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ml.chart+xml" PartName="/xl/charts/chart15.xml"/>
  <Override ContentType="application/vnd.openxmlformats-officedocument.drawingml.chart+xml" PartName="/xl/charts/chart16.xml"/>
  <Override ContentType="application/vnd.openxmlformats-officedocument.drawingml.chart+xml" PartName="/xl/charts/chart17.xml"/>
  <Override ContentType="application/vnd.openxmlformats-officedocument.drawingml.chart+xml" PartName="/xl/charts/chart18.xml"/>
  <Override ContentType="application/vnd.openxmlformats-officedocument.drawingml.chart+xml" PartName="/xl/charts/chart19.xml"/>
  <Override ContentType="application/vnd.openxmlformats-officedocument.drawingml.chart+xml" PartName="/xl/charts/chart2.xml"/>
  <Override ContentType="application/vnd.openxmlformats-officedocument.drawingml.chart+xml" PartName="/xl/charts/chart20.xml"/>
  <Override ContentType="application/vnd.openxmlformats-officedocument.drawingml.chart+xml" PartName="/xl/charts/chart21.xml"/>
  <Override ContentType="application/vnd.openxmlformats-officedocument.drawingml.chart+xml" PartName="/xl/charts/chart22.xml"/>
  <Override ContentType="application/vnd.openxmlformats-officedocument.drawingml.chart+xml" PartName="/xl/charts/chart23.xml"/>
  <Override ContentType="application/vnd.openxmlformats-officedocument.drawingml.chart+xml" PartName="/xl/charts/chart24.xml"/>
  <Override ContentType="application/vnd.openxmlformats-officedocument.drawingml.chart+xml" PartName="/xl/charts/chart25.xml"/>
  <Override ContentType="application/vnd.openxmlformats-officedocument.drawingml.chart+xml" PartName="/xl/charts/chart26.xml"/>
  <Override ContentType="application/vnd.openxmlformats-officedocument.drawingml.chart+xml" PartName="/xl/charts/chart27.xml"/>
  <Override ContentType="application/vnd.openxmlformats-officedocument.drawingml.chart+xml" PartName="/xl/charts/chart28.xml"/>
  <Override ContentType="application/vnd.openxmlformats-officedocument.drawingml.chart+xml" PartName="/xl/charts/chart29.xml"/>
  <Override ContentType="application/vnd.openxmlformats-officedocument.drawingml.chart+xml" PartName="/xl/charts/chart3.xml"/>
  <Override ContentType="application/vnd.openxmlformats-officedocument.drawingml.chart+xml" PartName="/xl/charts/chart30.xml"/>
  <Override ContentType="application/vnd.openxmlformats-officedocument.drawingml.chart+xml" PartName="/xl/charts/chart31.xml"/>
  <Override ContentType="application/vnd.openxmlformats-officedocument.drawingml.chart+xml" PartName="/xl/charts/chart32.xml"/>
  <Override ContentType="application/vnd.openxmlformats-officedocument.drawingml.chart+xml" PartName="/xl/charts/chart33.xml"/>
  <Override ContentType="application/vnd.openxmlformats-officedocument.drawingml.chart+xml" PartName="/xl/charts/chart34.xml"/>
  <Override ContentType="application/vnd.openxmlformats-officedocument.drawingml.chart+xml" PartName="/xl/charts/chart35.xml"/>
  <Override ContentType="application/vnd.openxmlformats-officedocument.drawingml.chart+xml" PartName="/xl/charts/chart36.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hartsheet+xml" PartName="/xl/chartsheets/sheet1.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16.xml"/>
  <Override ContentType="application/vnd.openxmlformats-officedocument.spreadsheetml.comments+xml" PartName="/xl/comments17.xml"/>
  <Override ContentType="application/vnd.openxmlformats-officedocument.spreadsheetml.comments+xml" PartName="/xl/comments18.xml"/>
  <Override ContentType="application/vnd.openxmlformats-officedocument.spreadsheetml.comments+xml" PartName="/xl/comments19.xml"/>
  <Override ContentType="application/vnd.openxmlformats-officedocument.spreadsheetml.comments+xml" PartName="/xl/comments2.xml"/>
  <Override ContentType="application/vnd.openxmlformats-officedocument.spreadsheetml.comments+xml" PartName="/xl/comments20.xml"/>
  <Override ContentType="application/vnd.openxmlformats-officedocument.spreadsheetml.comments+xml" PartName="/xl/comments21.xml"/>
  <Override ContentType="application/vnd.openxmlformats-officedocument.spreadsheetml.comments+xml" PartName="/xl/comments22.xml"/>
  <Override ContentType="application/vnd.openxmlformats-officedocument.spreadsheetml.comments+xml" PartName="/xl/comments23.xml"/>
  <Override ContentType="application/vnd.openxmlformats-officedocument.spreadsheetml.comments+xml" PartName="/xl/comments24.xml"/>
  <Override ContentType="application/vnd.openxmlformats-officedocument.spreadsheetml.comments+xml" PartName="/xl/comments25.xml"/>
  <Override ContentType="application/vnd.openxmlformats-officedocument.spreadsheetml.comments+xml" PartName="/xl/comments26.xml"/>
  <Override ContentType="application/vnd.openxmlformats-officedocument.spreadsheetml.comments+xml" PartName="/xl/comments27.xml"/>
  <Override ContentType="application/vnd.openxmlformats-officedocument.spreadsheetml.comments+xml" PartName="/xl/comments28.xml"/>
  <Override ContentType="application/vnd.openxmlformats-officedocument.spreadsheetml.comments+xml" PartName="/xl/comments29.xml"/>
  <Override ContentType="application/vnd.openxmlformats-officedocument.spreadsheetml.comments+xml" PartName="/xl/comments3.xml"/>
  <Override ContentType="application/vnd.openxmlformats-officedocument.spreadsheetml.comments+xml" PartName="/xl/comments30.xml"/>
  <Override ContentType="application/vnd.openxmlformats-officedocument.spreadsheetml.comments+xml" PartName="/xl/comments31.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10.xml"/>
  <Override ContentType="application/vnd.openxmlformats-officedocument.drawingml.chartshapes+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ml.chartshapes+xml" PartName="/xl/drawings/drawing14.xml"/>
  <Override ContentType="application/vnd.openxmlformats-officedocument.drawingml.chartshapes+xml" PartName="/xl/drawings/drawing15.xml"/>
  <Override ContentType="application/vnd.openxmlformats-officedocument.drawing+xml" PartName="/xl/drawings/drawing16.xml"/>
  <Override ContentType="application/vnd.openxmlformats-officedocument.drawingml.chartshapes+xml" PartName="/xl/drawings/drawing17.xml"/>
  <Override ContentType="application/vnd.openxmlformats-officedocument.drawingml.chartshapes+xml" PartName="/xl/drawings/drawing18.xml"/>
  <Override ContentType="application/vnd.openxmlformats-officedocument.drawing+xml" PartName="/xl/drawings/drawing19.xml"/>
  <Override ContentType="application/vnd.openxmlformats-officedocument.drawing+xml" PartName="/xl/drawings/drawing2.xml"/>
  <Override ContentType="application/vnd.openxmlformats-officedocument.drawingml.chartshapes+xml" PartName="/xl/drawings/drawing20.xml"/>
  <Override ContentType="application/vnd.openxmlformats-officedocument.drawing+xml" PartName="/xl/drawings/drawing21.xml"/>
  <Override ContentType="application/vnd.openxmlformats-officedocument.drawingml.chartshapes+xml" PartName="/xl/drawings/drawing22.xml"/>
  <Override ContentType="application/vnd.openxmlformats-officedocument.drawingml.chartshapes+xml" PartName="/xl/drawings/drawing23.xml"/>
  <Override ContentType="application/vnd.openxmlformats-officedocument.drawing+xml" PartName="/xl/drawings/drawing3.xml"/>
  <Override ContentType="application/vnd.openxmlformats-officedocument.drawingml.chartshapes+xml" PartName="/xl/drawings/drawing4.xml"/>
  <Override ContentType="application/vnd.openxmlformats-officedocument.drawingml.chartshapes+xml" PartName="/xl/drawings/drawing5.xml"/>
  <Override ContentType="application/vnd.openxmlformats-officedocument.drawingml.chartshapes+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225" windowWidth="16470" windowHeight="10500" tabRatio="948"/>
  </bookViews>
  <sheets>
    <sheet name="ImportantDisclosures" sheetId="90" r:id="rId1"/>
    <sheet name="SheetVisibilityStatus" sheetId="94" state="veryHidden" r:id="rId2"/>
    <sheet name="CircularReferenceAlert" sheetId="93" r:id="rId3"/>
    <sheet name="MAR" sheetId="4" state="veryHidden" r:id="rId4"/>
    <sheet name="MW-Cache" sheetId="5" state="veryHidden" r:id="rId5"/>
    <sheet name="EBITDA Val" sheetId="43" state="veryHidden" r:id="rId6"/>
    <sheet name="PT Impact" sheetId="45" state="veryHidden" r:id="rId7"/>
    <sheet name="New Exhibits" sheetId="72" state="veryHidden" r:id="rId8"/>
    <sheet name="Price per key" sheetId="87" state="veryHidden" r:id="rId9"/>
    <sheet name="RevPAR" sheetId="51" state="veryHidden" r:id="rId10"/>
    <sheet name="Rooms" sheetId="49" state="veryHidden" r:id="rId11"/>
    <sheet name="MAR-HOT Historical PF RevPAR" sheetId="86" state="veryHidden" r:id="rId12"/>
    <sheet name="MAR vs. H" sheetId="74" state="veryHidden" r:id="rId13"/>
    <sheet name="CompSheetOutput" sheetId="68" state="veryHidden" r:id="rId14"/>
    <sheet name="2Q14" sheetId="81" state="veryHidden" r:id="rId15"/>
    <sheet name="3Q13" sheetId="73" state="veryHidden" r:id="rId16"/>
    <sheet name="Chart1" sheetId="32" state="veryHidden" r:id="rId17"/>
    <sheet name="Bear_to_Bull_Data" sheetId="33" state="veryHidden" r:id="rId18"/>
    <sheet name="2Q13" sheetId="71" state="veryHidden" r:id="rId19"/>
    <sheet name="1Q13" sheetId="69" state="veryHidden" r:id="rId20"/>
    <sheet name="4Q12" sheetId="67" state="veryHidden" r:id="rId21"/>
    <sheet name="3Q12" sheetId="66" state="veryHidden" r:id="rId22"/>
    <sheet name="WWRooms_10K" sheetId="38" state="veryHidden" r:id="rId23"/>
    <sheet name="Incentive Fee Analysis" sheetId="55" state="veryHidden" r:id="rId24"/>
    <sheet name="2Q12" sheetId="64" state="veryHidden" r:id="rId25"/>
    <sheet name="1Q12" sheetId="63" state="veryHidden" r:id="rId26"/>
    <sheet name="D&amp;A" sheetId="62" state="veryHidden" r:id="rId27"/>
    <sheet name="STR_QTR" sheetId="57" state="veryHidden" r:id="rId28"/>
    <sheet name="ROIC" sheetId="58" state="veryHidden" r:id="rId29"/>
    <sheet name="4Q11" sheetId="56" state="veryHidden" r:id="rId30"/>
    <sheet name="3Q11" sheetId="48" state="veryHidden" r:id="rId31"/>
    <sheet name="Guidance" sheetId="8" state="veryHidden" r:id="rId32"/>
    <sheet name="Share Repo Analysis" sheetId="59" state="veryHidden" r:id="rId33"/>
    <sheet name="To Do" sheetId="54" state="veryHidden" r:id="rId34"/>
    <sheet name="Sensitvity2" sheetId="53" state="veryHidden" r:id="rId35"/>
    <sheet name="Weighted RevPAR" sheetId="47" state="veryHidden" r:id="rId36"/>
    <sheet name="North America" sheetId="46" state="veryHidden" r:id="rId37"/>
    <sheet name="Weighted RevPAR2" sheetId="50" state="veryHidden" r:id="rId38"/>
    <sheet name="Fuss Notes" sheetId="40" state="veryHidden" r:id="rId39"/>
    <sheet name="2Q Estimates" sheetId="36" state="veryHidden" r:id="rId40"/>
    <sheet name="2Q11" sheetId="35" state="veryHidden" r:id="rId41"/>
    <sheet name="1Q11" sheetId="30" state="veryHidden" r:id="rId42"/>
    <sheet name="Exhibits (3)" sheetId="9" state="veryHidden" r:id="rId43"/>
    <sheet name="Exhibits (4)" sheetId="31" state="veryHidden" r:id="rId44"/>
    <sheet name="Credit Facility" sheetId="34" state="veryHidden" r:id="rId45"/>
    <sheet name="Model Instructions" sheetId="13" state="veryHidden" r:id="rId46"/>
    <sheet name="IndexInformation" sheetId="91" state="veryHidden" r:id="rId47"/>
    <sheet name="ModPubIndex" sheetId="92" state="veryHidden" r:id="rId48"/>
  </sheets>
  <definedNames>
    <definedName name="__FDS_HYPERLINK_TOGGLE_STATE__" hidden="1">"ON"</definedName>
    <definedName name="__FDS_UNIQUE_RANGE_ID_GENERATOR_COUNTER" localSheetId="8" hidden="1">1</definedName>
    <definedName name="__FDS_UNIQUE_RANGE_ID_GENERATOR_COUNTER" hidden="1">9</definedName>
    <definedName name="_1__FDSAUDITLINK__" localSheetId="25"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19"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24"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18"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21"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15"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29"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20"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8"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localSheetId="28" hidden="1">{"fdsup://Directions/FactSet Auditing Viewer?action=AUDIT_VALUE&amp;DB=129&amp;ID1=G6774310&amp;VALUEID=01001&amp;SDATE=200904&amp;PERIODTYPE=QTR_STD&amp;window=popup_no_bar&amp;width=385&amp;height=120&amp;START_MAXIMIZED=FALSE&amp;creator=factset&amp;display_string=Audit"}</definedName>
    <definedName name="_1__FDSAUDITLINK__" hidden="1">{"fdsup://Directions/FactSet Auditing Viewer?action=AUDIT_VALUE&amp;DB=129&amp;ID1=G6774310&amp;VALUEID=01001&amp;SDATE=200904&amp;PERIODTYPE=QTR_STD&amp;window=popup_no_bar&amp;width=385&amp;height=120&amp;START_MAXIMIZED=FALSE&amp;creator=factset&amp;display_string=Audit"}</definedName>
    <definedName name="_2__FDSAUDITLINK__" localSheetId="25"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19"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24"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18"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21"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15"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29"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20"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8"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localSheetId="28" hidden="1">{"fdsup://Directions/FactSet Auditing Viewer?action=AUDIT_VALUE&amp;DB=129&amp;ID1=36790510&amp;VALUEID=01001&amp;SDATE=201002&amp;PERIODTYPE=QTR_STD&amp;SCFT=3&amp;window=popup_no_bar&amp;width=385&amp;height=120&amp;START_MAXIMIZED=FALSE&amp;creator=factset&amp;display_string=Audit"}</definedName>
    <definedName name="_2__FDSAUDITLINK__" hidden="1">{"fdsup://Directions/FactSet Auditing Viewer?action=AUDIT_VALUE&amp;DB=129&amp;ID1=36790510&amp;VALUEID=01001&amp;SDATE=201002&amp;PERIODTYPE=QTR_STD&amp;SCFT=3&amp;window=popup_no_bar&amp;width=385&amp;height=120&amp;START_MAXIMIZED=FALSE&amp;creator=factset&amp;display_string=Audit"}</definedName>
    <definedName name="_2017">MAR!$CT:$CT</definedName>
    <definedName name="_2018">MAR!$CY:$CY</definedName>
    <definedName name="_2Q16">MAR!$CL:$CL</definedName>
    <definedName name="_3__FDSAUDITLINK__" localSheetId="25"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19"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24"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18"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21"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15"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29"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20"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8"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localSheetId="28" hidden="1">{"fdsup://Directions/FactSet Auditing Viewer?action=AUDIT_VALUE&amp;DB=129&amp;ID1=98310W10&amp;VALUEID=01001&amp;SDATE=201002&amp;PERIODTYPE=QTR_STD&amp;SCFT=3&amp;window=popup_no_bar&amp;width=385&amp;height=120&amp;START_MAXIMIZED=FALSE&amp;creator=factset&amp;display_string=Audit"}</definedName>
    <definedName name="_3__FDSAUDITLINK__" hidden="1">{"fdsup://Directions/FactSet Auditing Viewer?action=AUDIT_VALUE&amp;DB=129&amp;ID1=98310W10&amp;VALUEID=01001&amp;SDATE=201002&amp;PERIODTYPE=QTR_STD&amp;SCFT=3&amp;window=popup_no_bar&amp;width=385&amp;height=120&amp;START_MAXIMIZED=FALSE&amp;creator=factset&amp;display_string=Audit"}</definedName>
    <definedName name="_4__FDSAUDITLINK__" localSheetId="25"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19"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24"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18"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21"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15"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29"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20"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8"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localSheetId="28" hidden="1">{"fdsup://Directions/FactSet Auditing Viewer?action=AUDIT_VALUE&amp;DB=129&amp;ID1=16990510&amp;VALUEID=01001&amp;SDATE=201002&amp;PERIODTYPE=QTR_STD&amp;SCFT=3&amp;window=popup_no_bar&amp;width=385&amp;height=120&amp;START_MAXIMIZED=FALSE&amp;creator=factset&amp;display_string=Audit"}</definedName>
    <definedName name="_4__FDSAUDITLINK__" hidden="1">{"fdsup://Directions/FactSet Auditing Viewer?action=AUDIT_VALUE&amp;DB=129&amp;ID1=16990510&amp;VALUEID=01001&amp;SDATE=201002&amp;PERIODTYPE=QTR_STD&amp;SCFT=3&amp;window=popup_no_bar&amp;width=385&amp;height=120&amp;START_MAXIMIZED=FALSE&amp;creator=factset&amp;display_string=Audit"}</definedName>
    <definedName name="_5__FDSAUDITLINK__" localSheetId="25"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19"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24"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18"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21"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15"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29"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20"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8"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localSheetId="28" hidden="1">{"fdsup://Directions/FactSet Auditing Viewer?action=AUDIT_VALUE&amp;DB=129&amp;ID1=36790510&amp;VALUEID=01001&amp;SDATE=201002&amp;PERIODTYPE=QTR_STD&amp;SCFT=3&amp;window=popup_no_bar&amp;width=385&amp;height=120&amp;START_MAXIMIZED=FALSE&amp;creator=factset&amp;display_string=Audit"}</definedName>
    <definedName name="_5__FDSAUDITLINK__" hidden="1">{"fdsup://Directions/FactSet Auditing Viewer?action=AUDIT_VALUE&amp;DB=129&amp;ID1=36790510&amp;VALUEID=01001&amp;SDATE=201002&amp;PERIODTYPE=QTR_STD&amp;SCFT=3&amp;window=popup_no_bar&amp;width=385&amp;height=120&amp;START_MAXIMIZED=FALSE&amp;creator=factset&amp;display_string=Audit"}</definedName>
    <definedName name="_6__FDSAUDITLINK__" localSheetId="25"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19"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24"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18"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21"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15"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29"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20"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8"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localSheetId="28" hidden="1">{"fdsup://Directions/FactSet Auditing Viewer?action=AUDIT_VALUE&amp;DB=129&amp;ID1=98310W10&amp;VALUEID=01001&amp;SDATE=201002&amp;PERIODTYPE=QTR_STD&amp;SCFT=3&amp;window=popup_no_bar&amp;width=385&amp;height=120&amp;START_MAXIMIZED=FALSE&amp;creator=factset&amp;display_string=Audit"}</definedName>
    <definedName name="_6__FDSAUDITLINK__" hidden="1">{"fdsup://Directions/FactSet Auditing Viewer?action=AUDIT_VALUE&amp;DB=129&amp;ID1=98310W10&amp;VALUEID=01001&amp;SDATE=201002&amp;PERIODTYPE=QTR_STD&amp;SCFT=3&amp;window=popup_no_bar&amp;width=385&amp;height=120&amp;START_MAXIMIZED=FALSE&amp;creator=factset&amp;display_string=Audit"}</definedName>
    <definedName name="_7__FDSAUDITLINK__" localSheetId="25"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19"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24"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18"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21"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15"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29"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20"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8"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localSheetId="28" hidden="1">{"fdsup://Directions/FactSet Auditing Viewer?action=AUDIT_VALUE&amp;DB=129&amp;ID1=16990510&amp;VALUEID=01001&amp;SDATE=201002&amp;PERIODTYPE=QTR_STD&amp;SCFT=3&amp;window=popup_no_bar&amp;width=385&amp;height=120&amp;START_MAXIMIZED=FALSE&amp;creator=factset&amp;display_string=Audit"}</definedName>
    <definedName name="_7__FDSAUDITLINK__" hidden="1">{"fdsup://Directions/FactSet Auditing Viewer?action=AUDIT_VALUE&amp;DB=129&amp;ID1=16990510&amp;VALUEID=01001&amp;SDATE=201002&amp;PERIODTYPE=QTR_STD&amp;SCFT=3&amp;window=popup_no_bar&amp;width=385&amp;height=120&amp;START_MAXIMIZED=FALSE&amp;creator=factset&amp;display_string=Audit"}</definedName>
    <definedName name="_8__FDSAUDITLINK__" localSheetId="25"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19"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24"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18"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21"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15"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29"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20"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8"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localSheetId="28" hidden="1">{"fdsup://Directions/FactSet Auditing Viewer?action=AUDIT_VALUE&amp;DB=129&amp;ID1=85590A40&amp;VALUEID=01001&amp;SDATE=201002&amp;PERIODTYPE=QTR_STD&amp;SCFT=3&amp;window=popup_no_bar&amp;width=385&amp;height=120&amp;START_MAXIMIZED=FALSE&amp;creator=factset&amp;display_string=Audit"}</definedName>
    <definedName name="_8__FDSAUDITLINK__" hidden="1">{"fdsup://Directions/FactSet Auditing Viewer?action=AUDIT_VALUE&amp;DB=129&amp;ID1=85590A40&amp;VALUEID=01001&amp;SDATE=201002&amp;PERIODTYPE=QTR_STD&amp;SCFT=3&amp;window=popup_no_bar&amp;width=385&amp;height=120&amp;START_MAXIMIZED=FALSE&amp;creator=factset&amp;display_string=Audit"}</definedName>
    <definedName name="_bdm.010FD7EE42B34E139E55A7E0BC6AC2CA.edm" localSheetId="25" hidden="1">'1Q12'!$1:$1048576</definedName>
    <definedName name="_bdm.010FD7EE42B34E139E55A7E0BC6AC2CA.edm" localSheetId="19" hidden="1">'1Q13'!$1:$1048576</definedName>
    <definedName name="_bdm.010FD7EE42B34E139E55A7E0BC6AC2CA.edm" localSheetId="24" hidden="1">'2Q12'!$1:$1048576</definedName>
    <definedName name="_bdm.010FD7EE42B34E139E55A7E0BC6AC2CA.edm" localSheetId="18" hidden="1">'2Q13'!$1:$1048576</definedName>
    <definedName name="_bdm.010FD7EE42B34E139E55A7E0BC6AC2CA.edm" localSheetId="21" hidden="1">'3Q12'!$1:$1048576</definedName>
    <definedName name="_bdm.010FD7EE42B34E139E55A7E0BC6AC2CA.edm" localSheetId="15" hidden="1">'3Q13'!$1:$1048576</definedName>
    <definedName name="_bdm.010FD7EE42B34E139E55A7E0BC6AC2CA.edm" localSheetId="29" hidden="1">'4Q11'!$1:$1048576</definedName>
    <definedName name="_bdm.010FD7EE42B34E139E55A7E0BC6AC2CA.edm" localSheetId="20" hidden="1">'4Q12'!$1:$1048576</definedName>
    <definedName name="_bdm.010FD7EE42B34E139E55A7E0BC6AC2CA.edm" hidden="1">'3Q11'!$1:$1048576</definedName>
    <definedName name="_bdm.03875982D9E9481DA50B6AAFB2DA784D.edm" hidden="1">'2Q11'!$1:$1048576</definedName>
    <definedName name="_bdm.0585E95FFE0941DD95A43543ABF5B00E.edm" localSheetId="3" hidden="1">MAR!$A$6:$A$70</definedName>
    <definedName name="_bdm.0E2E85F992EE4F8C853B89DD1B436DAB.edm" localSheetId="31" hidden="1">Guidance!$B$5:$D$14</definedName>
    <definedName name="_bdm.0F28A59C09A24D909080055B61AED1E1.edm" localSheetId="31" hidden="1">Guidance!$W$173:$Z$184</definedName>
    <definedName name="_bdm.106A0FF7A2974CB18C1C246750D5E444.edm" localSheetId="42" hidden="1">'Exhibits (3)'!$DT$308:$EF$331</definedName>
    <definedName name="_bdm.1187DFFAFC824E6EB482499BA6148A71.edm" localSheetId="31" hidden="1">Guidance!$CH$399:$CM$412</definedName>
    <definedName name="_bdm.12C673FA1AE144ADA138D7FBC1139C6D.edm" localSheetId="31" hidden="1">Guidance!$AI$217:$AQ$240</definedName>
    <definedName name="_bdm.1412EB3012BC4001B1E66507CCB92DBF.edm" localSheetId="41" hidden="1">'1Q11'!$A$64:$L$109</definedName>
    <definedName name="_bdm.1412EB3012BC4001B1E66507CCB92DBF.edm" localSheetId="25" hidden="1">'1Q12'!$A$77:$L$151</definedName>
    <definedName name="_bdm.1412EB3012BC4001B1E66507CCB92DBF.edm" localSheetId="19" hidden="1">'1Q13'!$A$77:$L$152</definedName>
    <definedName name="_bdm.1412EB3012BC4001B1E66507CCB92DBF.edm" localSheetId="40" hidden="1">'2Q11'!$A$64:$L$109</definedName>
    <definedName name="_bdm.1412EB3012BC4001B1E66507CCB92DBF.edm" localSheetId="24" hidden="1">'2Q12'!$A$77:$L$151</definedName>
    <definedName name="_bdm.1412EB3012BC4001B1E66507CCB92DBF.edm" localSheetId="18" hidden="1">'2Q13'!$A$77:$L$152</definedName>
    <definedName name="_bdm.1412EB3012BC4001B1E66507CCB92DBF.edm" localSheetId="30" hidden="1">'3Q11'!$A$64:$L$117</definedName>
    <definedName name="_bdm.1412EB3012BC4001B1E66507CCB92DBF.edm" localSheetId="21" hidden="1">'3Q12'!$A$77:$L$151</definedName>
    <definedName name="_bdm.1412EB3012BC4001B1E66507CCB92DBF.edm" localSheetId="15" hidden="1">'3Q13'!$A$77:$L$152</definedName>
    <definedName name="_bdm.1412EB3012BC4001B1E66507CCB92DBF.edm" localSheetId="29" hidden="1">'4Q11'!$A$84:$L$125</definedName>
    <definedName name="_bdm.1412EB3012BC4001B1E66507CCB92DBF.edm" localSheetId="20" hidden="1">'4Q12'!$A$77:$L$151</definedName>
    <definedName name="_bdm.158FB2C0E05B47AAA27F48D54DE16DEF.edm" localSheetId="41" hidden="1">'1Q11'!$A$4:$L$61</definedName>
    <definedName name="_bdm.158FB2C0E05B47AAA27F48D54DE16DEF.edm" localSheetId="25" hidden="1">'1Q12'!$A$4:$L$76</definedName>
    <definedName name="_bdm.158FB2C0E05B47AAA27F48D54DE16DEF.edm" localSheetId="19" hidden="1">'1Q13'!$A$4:$L$76</definedName>
    <definedName name="_bdm.158FB2C0E05B47AAA27F48D54DE16DEF.edm" localSheetId="40" hidden="1">'2Q11'!$A$4:$L$61</definedName>
    <definedName name="_bdm.158FB2C0E05B47AAA27F48D54DE16DEF.edm" localSheetId="24" hidden="1">'2Q12'!$A$4:$L$76</definedName>
    <definedName name="_bdm.158FB2C0E05B47AAA27F48D54DE16DEF.edm" localSheetId="18" hidden="1">'2Q13'!$A$4:$L$76</definedName>
    <definedName name="_bdm.158FB2C0E05B47AAA27F48D54DE16DEF.edm" localSheetId="30" hidden="1">'3Q11'!$A$4:$L$61</definedName>
    <definedName name="_bdm.158FB2C0E05B47AAA27F48D54DE16DEF.edm" localSheetId="21" hidden="1">'3Q12'!$A$4:$L$76</definedName>
    <definedName name="_bdm.158FB2C0E05B47AAA27F48D54DE16DEF.edm" localSheetId="15" hidden="1">'3Q13'!$A$4:$L$76</definedName>
    <definedName name="_bdm.158FB2C0E05B47AAA27F48D54DE16DEF.edm" localSheetId="29" hidden="1">'4Q11'!$A$4:$L$83</definedName>
    <definedName name="_bdm.158FB2C0E05B47AAA27F48D54DE16DEF.edm" localSheetId="20" hidden="1">'4Q12'!$A$4:$L$76</definedName>
    <definedName name="_bdm.18F8FF04F481498DB88219A32595F024.edm" localSheetId="41" hidden="1">'1Q11'!$N$129:$T$145</definedName>
    <definedName name="_bdm.18F8FF04F481498DB88219A32595F024.edm" localSheetId="25" hidden="1">'1Q12'!$U$171:$U$187</definedName>
    <definedName name="_bdm.18F8FF04F481498DB88219A32595F024.edm" localSheetId="19" hidden="1">'1Q13'!$U$172:$U$188</definedName>
    <definedName name="_bdm.18F8FF04F481498DB88219A32595F024.edm" localSheetId="40" hidden="1">'2Q11'!$N$129:$T$145</definedName>
    <definedName name="_bdm.18F8FF04F481498DB88219A32595F024.edm" localSheetId="24" hidden="1">'2Q12'!$U$171:$U$187</definedName>
    <definedName name="_bdm.18F8FF04F481498DB88219A32595F024.edm" localSheetId="18" hidden="1">'2Q13'!$U$172:$U$188</definedName>
    <definedName name="_bdm.18F8FF04F481498DB88219A32595F024.edm" localSheetId="30" hidden="1">'3Q11'!$N$137:$T$153</definedName>
    <definedName name="_bdm.18F8FF04F481498DB88219A32595F024.edm" localSheetId="21" hidden="1">'3Q12'!$U$171:$U$187</definedName>
    <definedName name="_bdm.18F8FF04F481498DB88219A32595F024.edm" localSheetId="15" hidden="1">'3Q13'!$U$172:$U$188</definedName>
    <definedName name="_bdm.18F8FF04F481498DB88219A32595F024.edm" localSheetId="29" hidden="1">'4Q11'!$S$145:$S$161</definedName>
    <definedName name="_bdm.18F8FF04F481498DB88219A32595F024.edm" localSheetId="20" hidden="1">'4Q12'!$U$171:$U$187</definedName>
    <definedName name="_bdm.1F79E6185F86439AB85779A96ACD8179.edm" localSheetId="3" hidden="1">MAR!$A$436:$BP$442</definedName>
    <definedName name="_bdm.23D5989396934373BAD8B17F3E07600C.edm" localSheetId="42" hidden="1">'Exhibits (3)'!$BF$86:$BH$95</definedName>
    <definedName name="_bdm.23FE277E4F8447B59C428176E6F68F45.edm" localSheetId="3" hidden="1">MAR!$A$3:$BU$70</definedName>
    <definedName name="_bdm.26294F8841464608862AE3BA557479FF.edm" localSheetId="31" hidden="1">Guidance!$AB$204:$AG$215</definedName>
    <definedName name="_bdm.2D618BE3F8FB4FBA80669E99F4D21DEE.edm" localSheetId="31" hidden="1">Guidance!$P$144:$R$157</definedName>
    <definedName name="_bdm.327E1972030549B392B8FB0481196912.edm" localSheetId="31" hidden="1">Guidance!$AI$220:$AN$240</definedName>
    <definedName name="_bdm.3D2118E6089E40239D4E4A6CED262113.edm" localSheetId="31" hidden="1">Guidance!$M$91:$N$114</definedName>
    <definedName name="_bdm.4A70C0A04D44427585C60AC9E0FAD9C5.edm" localSheetId="3" hidden="1">MAR!$A$2:$BU$70</definedName>
    <definedName name="_bdm.4D1B6E82A7D7405EB3913D61253DCF14.edm" hidden="1">MAR!$1:$1048576</definedName>
    <definedName name="_bdm.4D34C924E3024C56AE5ACDC02A50A64F.edm" localSheetId="3" hidden="1">MAR!$A$436:$BP$442</definedName>
    <definedName name="_bdm.4EA5B0CEA6544338996576204ADE6708.edm" localSheetId="3" hidden="1">MAR!$A$73:$BU$131</definedName>
    <definedName name="_bdm.5332ED6710AB4C77B2DC6E782635FECB.edm" localSheetId="25" hidden="1">'1Q12'!$A$4:$L$45</definedName>
    <definedName name="_bdm.5332ED6710AB4C77B2DC6E782635FECB.edm" localSheetId="19" hidden="1">'1Q13'!$A$4:$L$45</definedName>
    <definedName name="_bdm.5332ED6710AB4C77B2DC6E782635FECB.edm" localSheetId="40" hidden="1">'2Q11'!$A$4:$L$51</definedName>
    <definedName name="_bdm.5332ED6710AB4C77B2DC6E782635FECB.edm" localSheetId="24" hidden="1">'2Q12'!$A$4:$L$45</definedName>
    <definedName name="_bdm.5332ED6710AB4C77B2DC6E782635FECB.edm" localSheetId="18" hidden="1">'2Q13'!$A$4:$L$45</definedName>
    <definedName name="_bdm.5332ED6710AB4C77B2DC6E782635FECB.edm" localSheetId="30" hidden="1">'3Q11'!$A$4:$L$51</definedName>
    <definedName name="_bdm.5332ED6710AB4C77B2DC6E782635FECB.edm" localSheetId="21" hidden="1">'3Q12'!$A$4:$L$45</definedName>
    <definedName name="_bdm.5332ED6710AB4C77B2DC6E782635FECB.edm" localSheetId="15" hidden="1">'3Q13'!$A$4:$L$45</definedName>
    <definedName name="_bdm.5332ED6710AB4C77B2DC6E782635FECB.edm" localSheetId="29" hidden="1">'4Q11'!$A$4:$L$46</definedName>
    <definedName name="_bdm.5332ED6710AB4C77B2DC6E782635FECB.edm" localSheetId="20" hidden="1">'4Q12'!$A$4:$L$45</definedName>
    <definedName name="_bdm.556D49AC2AD845C6888DF0E7DA675AD0.edm" localSheetId="30" hidden="1">'3Q11'!$AC$95:$AG$104</definedName>
    <definedName name="_bdm.556D49AC2AD845C6888DF0E7DA675AD0.edm" localSheetId="29" hidden="1">'4Q11'!$AE$103:$AI$112</definedName>
    <definedName name="_bdm.598C728CD6214D6CB319554D09CBBCA4.edm" localSheetId="31" hidden="1">Guidance!$B$3:$D$14</definedName>
    <definedName name="_bdm.5A05931821AA4538AE493AE81D8DB592.edm" localSheetId="42" hidden="1">'Exhibits (3)'!$AY$72:$BB$82</definedName>
    <definedName name="_bdm.5ABE2280E2EF4B00946C4425BA9EEA73.edm" localSheetId="3" hidden="1">MAR!$A$6:$BU$70</definedName>
    <definedName name="_bdm.5AEA050E32E54AC194913A099C31B9CC.edm" localSheetId="3" hidden="1">MAR!$A$742:$BU$786</definedName>
    <definedName name="_bdm.5C9CE8815A954D36930614080E7FF63B.edm" localSheetId="3" hidden="1">MAR!$A$741:$BU$786</definedName>
    <definedName name="_bdm.5F75F48CE7B749D8883D15D8F17AD443.edm" localSheetId="3" hidden="1">MAR!$A$6:$BU$59</definedName>
    <definedName name="_bdm.6109DDFB39F741F787BA0C5879641642.edm" localSheetId="31" hidden="1">Guidance!$AI$220:$AZ$241</definedName>
    <definedName name="_bdm.6AA8D57E8E924BC8956FFADF125D40C5.edm" localSheetId="3" hidden="1">MAR!$A$694:$BU$727</definedName>
    <definedName name="_bdm.6B8FB8301DA843F29596703B129E3527.edm" localSheetId="42" hidden="1">'Exhibits (3)'!$AG$49:$AV$64</definedName>
    <definedName name="_bdm.6DB7A329A6E7462E8353651F106CE772.edm" localSheetId="31" hidden="1">Guidance!$M$32:$N$44</definedName>
    <definedName name="_bdm.6EA2D63E27A945878EDF83B8668C865E.edm" localSheetId="31" hidden="1">Guidance!$CH$399:$CM$411</definedName>
    <definedName name="_bdm.6EB7EF6A778542F58DE623F7180FE6C3.edm" localSheetId="31" hidden="1">Guidance!$M$64:$N$87</definedName>
    <definedName name="_bdm.6F55507BABD748F68D64C8B28B238453.edm" localSheetId="42" hidden="1">'Exhibits (3)'!$ET$358:$EZ$363</definedName>
    <definedName name="_bdm.7225514164EE4B5AAD32866B1D8714BE.edm" localSheetId="31" hidden="1">Guidance!$AI$220:$AJ$235</definedName>
    <definedName name="_bdm.7C50F47CAF094D34B800315E47146318.edm" localSheetId="3" hidden="1">MAR!$A$694:$BU$726</definedName>
    <definedName name="_bdm.881CC1B5EB5840F598862FAA087C39C8.edm" localSheetId="31" hidden="1">Guidance!$CH$402:$CM$411</definedName>
    <definedName name="_bdm.8FD5B68637E240CABD2212BAE53813B9.edm" localSheetId="3" hidden="1">MAR!$A$694:$BU$726</definedName>
    <definedName name="_bdm.92003EED9E0E42A585A6CA8C9C5CFC0F.edm" localSheetId="3" hidden="1">MAR!$A$468:$BP$483</definedName>
    <definedName name="_bdm.9649FEA80A6A4E40A473DE6D92D979AA.edm" localSheetId="3" hidden="1">MAR!$A$6:$BU$84</definedName>
    <definedName name="_bdm.9BCD02D56B324DDC9B0673FF8C00F58F.edm" localSheetId="3" hidden="1">MAR!$A$6:$BF$59</definedName>
    <definedName name="_bdm.9D3AB50F14C6470E8E1BA0F3773D71F8.edm" localSheetId="3" hidden="1">MAR!$A$73:$BU$132</definedName>
    <definedName name="_bdm.A4FDAA7793C147529E1C713BD6051DBA.edm" localSheetId="41" hidden="1">'1Q11'!$N$128:$T$145</definedName>
    <definedName name="_bdm.A4FDAA7793C147529E1C713BD6051DBA.edm" localSheetId="25" hidden="1">'1Q12'!$U$170:$U$187</definedName>
    <definedName name="_bdm.A4FDAA7793C147529E1C713BD6051DBA.edm" localSheetId="19" hidden="1">'1Q13'!$U$171:$U$188</definedName>
    <definedName name="_bdm.A4FDAA7793C147529E1C713BD6051DBA.edm" localSheetId="40" hidden="1">'2Q11'!$N$128:$T$145</definedName>
    <definedName name="_bdm.A4FDAA7793C147529E1C713BD6051DBA.edm" localSheetId="24" hidden="1">'2Q12'!$U$170:$U$187</definedName>
    <definedName name="_bdm.A4FDAA7793C147529E1C713BD6051DBA.edm" localSheetId="18" hidden="1">'2Q13'!$U$171:$U$188</definedName>
    <definedName name="_bdm.A4FDAA7793C147529E1C713BD6051DBA.edm" localSheetId="30" hidden="1">'3Q11'!$N$136:$T$153</definedName>
    <definedName name="_bdm.A4FDAA7793C147529E1C713BD6051DBA.edm" localSheetId="21" hidden="1">'3Q12'!$U$170:$U$187</definedName>
    <definedName name="_bdm.A4FDAA7793C147529E1C713BD6051DBA.edm" localSheetId="15" hidden="1">'3Q13'!$U$171:$U$188</definedName>
    <definedName name="_bdm.A4FDAA7793C147529E1C713BD6051DBA.edm" localSheetId="29" hidden="1">'4Q11'!$S$144:$S$161</definedName>
    <definedName name="_bdm.A4FDAA7793C147529E1C713BD6051DBA.edm" localSheetId="20" hidden="1">'4Q12'!$U$170:$U$187</definedName>
    <definedName name="_bdm.A66021EDDA974802AC5FE0AC4D9E2FE6.edm" hidden="1">'Exhibits (4)'!$1:$1048576</definedName>
    <definedName name="_bdm.A743AB5339494CE088DE95F13FA92870.edm" localSheetId="31" hidden="1">Guidance!$M$47:$N$61</definedName>
    <definedName name="_bdm.A950221427EF4848B6EC4FBF437E11E5.edm" localSheetId="3" hidden="1">MAR!$A$1:$BU$70</definedName>
    <definedName name="_bdm.A9A0B75691D941C9B3AE9938A6CE9D7F.edm" hidden="1">'Exhibits (3)'!$1:$1048576</definedName>
    <definedName name="_bdm.AA3CC49E166145078207DAD17D203AA8.edm" localSheetId="31" hidden="1">Guidance!$BX$316:$CF$336</definedName>
    <definedName name="_bdm.B0368E34524542AEBF2040E3065E22A7.edm" localSheetId="31" hidden="1">Guidance!$CH$400:$CM$413</definedName>
    <definedName name="_bdm.B1F197AE12A042E99C6211630EA93431.edm" localSheetId="42" hidden="1">'Exhibits (3)'!$B$2:$Q$7</definedName>
    <definedName name="_bdm.B1F807F8AEB046409C8067A8DC80100C.edm" localSheetId="31" hidden="1">Guidance!$BX$367:$CF$391</definedName>
    <definedName name="_bdm.B93D935BDABA4DBA910B39F282060B37.edm" localSheetId="31" hidden="1">Guidance!$AI$218:$AY$240</definedName>
    <definedName name="_bdm.BC8544C776014E36AA6D0FD36D71FD84.edm" localSheetId="43" hidden="1">'Exhibits (4)'!$R$9:$W$14</definedName>
    <definedName name="_bdm.C068D3BCF0BE48C0A666458706436BCB.edm" localSheetId="42" hidden="1">'Exhibits (3)'!$AC$31:$AD$46</definedName>
    <definedName name="_bdm.C5A4918F022C40AE8D7DA24CCE7AEB1C.edm" localSheetId="3" hidden="1">MAR!$A$6:$BU$70</definedName>
    <definedName name="_bdm.CE05A894FA244594BB8E16A8412B023B.edm" localSheetId="31" hidden="1">Guidance!$B$4:$D$14</definedName>
    <definedName name="_bdm.CE0D499E852846B58620B00271F8161C.edm" localSheetId="31" hidden="1">Guidance!$AI$218:$AQ$240</definedName>
    <definedName name="_bdm.CE5576B15E07488E90E34D97866B5472.edm" hidden="1">'1Q11'!$1:$1048576</definedName>
    <definedName name="_bdm.CFEA7DFB7B75439EA7B004305E453A44.edm" localSheetId="42" hidden="1">'Exhibits (3)'!$S$9:$AA$28</definedName>
    <definedName name="_bdm.D46D5679A4814388AEB4F53C803343EE.edm" localSheetId="41" hidden="1">'1Q11'!$A$4:$L$60</definedName>
    <definedName name="_bdm.D46D5679A4814388AEB4F53C803343EE.edm" localSheetId="25" hidden="1">'1Q12'!$A$4:$L$76</definedName>
    <definedName name="_bdm.D46D5679A4814388AEB4F53C803343EE.edm" localSheetId="19" hidden="1">'1Q13'!$A$4:$L$76</definedName>
    <definedName name="_bdm.D46D5679A4814388AEB4F53C803343EE.edm" localSheetId="40" hidden="1">'2Q11'!$A$4:$L$60</definedName>
    <definedName name="_bdm.D46D5679A4814388AEB4F53C803343EE.edm" localSheetId="24" hidden="1">'2Q12'!$A$4:$L$76</definedName>
    <definedName name="_bdm.D46D5679A4814388AEB4F53C803343EE.edm" localSheetId="18" hidden="1">'2Q13'!$A$4:$L$76</definedName>
    <definedName name="_bdm.D46D5679A4814388AEB4F53C803343EE.edm" localSheetId="30" hidden="1">'3Q11'!$A$4:$L$60</definedName>
    <definedName name="_bdm.D46D5679A4814388AEB4F53C803343EE.edm" localSheetId="21" hidden="1">'3Q12'!$A$4:$L$76</definedName>
    <definedName name="_bdm.D46D5679A4814388AEB4F53C803343EE.edm" localSheetId="15" hidden="1">'3Q13'!$A$4:$L$76</definedName>
    <definedName name="_bdm.D46D5679A4814388AEB4F53C803343EE.edm" localSheetId="29" hidden="1">'4Q11'!$A$4:$L$83</definedName>
    <definedName name="_bdm.D46D5679A4814388AEB4F53C803343EE.edm" localSheetId="20" hidden="1">'4Q12'!$A$4:$L$76</definedName>
    <definedName name="_bdm.D620E2BFB5E64CE8A86D26F6B7DC0535.edm" localSheetId="30" hidden="1">'3Q11'!$AD$96:$AG$104</definedName>
    <definedName name="_bdm.D620E2BFB5E64CE8A86D26F6B7DC0535.edm" localSheetId="29" hidden="1">'4Q11'!$AF$104:$AI$112</definedName>
    <definedName name="_bdm.D884821797D94CEAB3016CBA5D897CC3.edm" localSheetId="25" hidden="1">'1Q12'!$AZ$141:$BE$151</definedName>
    <definedName name="_bdm.D884821797D94CEAB3016CBA5D897CC3.edm" localSheetId="30" hidden="1">'3Q11'!$AJ$106:$AO$117</definedName>
    <definedName name="_bdm.D884821797D94CEAB3016CBA5D897CC3.edm" localSheetId="29" hidden="1">'4Q11'!$AL$114:$AQ$125</definedName>
    <definedName name="_bdm.D8DD18542EF840FDAE1E8DACCAECA5B8.edm" localSheetId="31" hidden="1">Guidance!$BX$342:$CF$364</definedName>
    <definedName name="_bdm.D911D0E9509E4C35B30C7235DFEA0E4B.edm" localSheetId="3" hidden="1">MAR!$A$444:$BP$463</definedName>
    <definedName name="_bdm.D9B3A7CD1DB24E069436A0C8EB30E15D.edm" localSheetId="43" hidden="1">'Exhibits (4)'!$R$11:$W$14</definedName>
    <definedName name="_bdm.DA5C474F718C47C29CBCD1457D826080.edm" hidden="1">Guidance!$1:$1048576</definedName>
    <definedName name="_bdm.DB365F26A6F94642A2290CBEE354DBDB.edm" localSheetId="31" hidden="1">Guidance!$P$144:$R$158</definedName>
    <definedName name="_bdm.DB95750DC19C4D809F081D78D6753D42.edm" localSheetId="3" hidden="1">MAR!$A$468:$BP$483</definedName>
    <definedName name="_bdm.DCE3CAE64C594B018BD80200A48513A7.edm" localSheetId="3" hidden="1">MAR!$A$73:$BF$131</definedName>
    <definedName name="_bdm.E33E77FDB6A54BA9A1F0BD3BDB8F69B5.edm" localSheetId="41" hidden="1">'1Q11'!$A$63:$L$108</definedName>
    <definedName name="_bdm.E33E77FDB6A54BA9A1F0BD3BDB8F69B5.edm" localSheetId="25" hidden="1">'1Q12'!$A$77:$L$150</definedName>
    <definedName name="_bdm.E33E77FDB6A54BA9A1F0BD3BDB8F69B5.edm" localSheetId="19" hidden="1">'1Q13'!$A$77:$L$151</definedName>
    <definedName name="_bdm.E33E77FDB6A54BA9A1F0BD3BDB8F69B5.edm" localSheetId="40" hidden="1">'2Q11'!$A$63:$L$108</definedName>
    <definedName name="_bdm.E33E77FDB6A54BA9A1F0BD3BDB8F69B5.edm" localSheetId="24" hidden="1">'2Q12'!$A$77:$L$150</definedName>
    <definedName name="_bdm.E33E77FDB6A54BA9A1F0BD3BDB8F69B5.edm" localSheetId="18" hidden="1">'2Q13'!$A$77:$L$151</definedName>
    <definedName name="_bdm.E33E77FDB6A54BA9A1F0BD3BDB8F69B5.edm" localSheetId="30" hidden="1">'3Q11'!$A$63:$L$116</definedName>
    <definedName name="_bdm.E33E77FDB6A54BA9A1F0BD3BDB8F69B5.edm" localSheetId="21" hidden="1">'3Q12'!$A$77:$L$150</definedName>
    <definedName name="_bdm.E33E77FDB6A54BA9A1F0BD3BDB8F69B5.edm" localSheetId="15" hidden="1">'3Q13'!$A$77:$L$151</definedName>
    <definedName name="_bdm.E33E77FDB6A54BA9A1F0BD3BDB8F69B5.edm" localSheetId="29" hidden="1">'4Q11'!$A$84:$L$124</definedName>
    <definedName name="_bdm.E33E77FDB6A54BA9A1F0BD3BDB8F69B5.edm" localSheetId="20" hidden="1">'4Q12'!$A$77:$L$150</definedName>
    <definedName name="_bdm.E3C358F921F34C20B8C9C628E68EFC9E.edm" localSheetId="43" hidden="1">'Exhibits (4)'!$R$9:$W$15</definedName>
    <definedName name="_bdm.E95274FB3D1A49B99985ACF597AC3A72.edm" localSheetId="30" hidden="1">'3Q11'!$AC$95:$AG$105</definedName>
    <definedName name="_bdm.E95274FB3D1A49B99985ACF597AC3A72.edm" localSheetId="29" hidden="1">'4Q11'!$AE$103:$AI$113</definedName>
    <definedName name="_bdm.EA5F8E8C2DFA4B2D81941B4B89382DFF.edm" localSheetId="31" hidden="1">Guidance!$AI$217:$AN$240</definedName>
    <definedName name="_bdm.ECA0184E8E664BBB9955B455962F356E.edm" localSheetId="3" hidden="1">MAR!$A$444:$BP$463</definedName>
    <definedName name="_bdm.EF13FEAB59ED44A59D7F68040079AFC3.edm" localSheetId="41" hidden="1">'1Q11'!$N$129:$U$145</definedName>
    <definedName name="_bdm.EF13FEAB59ED44A59D7F68040079AFC3.edm" localSheetId="25" hidden="1">'1Q12'!$U$171:$U$187</definedName>
    <definedName name="_bdm.EF13FEAB59ED44A59D7F68040079AFC3.edm" localSheetId="19" hidden="1">'1Q13'!$U$172:$U$188</definedName>
    <definedName name="_bdm.EF13FEAB59ED44A59D7F68040079AFC3.edm" localSheetId="40" hidden="1">'2Q11'!$N$129:$U$145</definedName>
    <definedName name="_bdm.EF13FEAB59ED44A59D7F68040079AFC3.edm" localSheetId="24" hidden="1">'2Q12'!$U$171:$U$187</definedName>
    <definedName name="_bdm.EF13FEAB59ED44A59D7F68040079AFC3.edm" localSheetId="18" hidden="1">'2Q13'!$U$172:$U$188</definedName>
    <definedName name="_bdm.EF13FEAB59ED44A59D7F68040079AFC3.edm" localSheetId="30" hidden="1">'3Q11'!$N$137:$U$153</definedName>
    <definedName name="_bdm.EF13FEAB59ED44A59D7F68040079AFC3.edm" localSheetId="21" hidden="1">'3Q12'!$U$171:$U$187</definedName>
    <definedName name="_bdm.EF13FEAB59ED44A59D7F68040079AFC3.edm" localSheetId="15" hidden="1">'3Q13'!$U$172:$U$188</definedName>
    <definedName name="_bdm.EF13FEAB59ED44A59D7F68040079AFC3.edm" localSheetId="29" hidden="1">'4Q11'!$S$145:$S$161</definedName>
    <definedName name="_bdm.EF13FEAB59ED44A59D7F68040079AFC3.edm" localSheetId="20" hidden="1">'4Q12'!$U$171:$U$187</definedName>
    <definedName name="_bdm.F32347D2C9C14BE3988829D913EB7CD9.edm" localSheetId="31" hidden="1">Guidance!$AB$204:$AF$215</definedName>
    <definedName name="_bdm.F6BB97F6D00D42DC9977303440A48E66.edm" localSheetId="31" hidden="1">Guidance!$BX$340:$CF$364</definedName>
    <definedName name="_bdm.F9A9E38290BE4C7187DB6336B04D5E25.edm" localSheetId="3" hidden="1">MAR!$A$73:$BU$132</definedName>
    <definedName name="_bdm.FC30795CBA0B41CB88898F487501DBEA.edm" localSheetId="42" hidden="1">'Exhibits (3)'!$ET$358:$EY$363</definedName>
    <definedName name="_bdm.FD194AC5C7F74FF7A01ADBE3FB7B40CF.edm" localSheetId="3" hidden="1">MAR!$A$740:$BU$786</definedName>
    <definedName name="_bdm.FEA2A18D98CE4584BCCFE666E520EF7D.edm" localSheetId="42" hidden="1">'Exhibits (3)'!$AG$49:$AV$65</definedName>
    <definedName name="_bdm.FF4206AD73F947F4AB6BBC3E4F12AA95.edm" localSheetId="31" hidden="1">Guidance!$M$47:$N$62</definedName>
    <definedName name="_DCF2" localSheetId="25">{"Client Name or Project Name"}</definedName>
    <definedName name="_DCF2" localSheetId="19">{"Client Name or Project Name"}</definedName>
    <definedName name="_DCF2" localSheetId="40">{"Client Name or Project Name"}</definedName>
    <definedName name="_DCF2" localSheetId="24">{"Client Name or Project Name"}</definedName>
    <definedName name="_DCF2" localSheetId="18">{"Client Name or Project Name"}</definedName>
    <definedName name="_DCF2" localSheetId="30">{"Client Name or Project Name"}</definedName>
    <definedName name="_DCF2" localSheetId="21">{"Client Name or Project Name"}</definedName>
    <definedName name="_DCF2" localSheetId="15">{"Client Name or Project Name"}</definedName>
    <definedName name="_DCF2" localSheetId="29">{"Client Name or Project Name"}</definedName>
    <definedName name="_DCF2" localSheetId="20">{"Client Name or Project Name"}</definedName>
    <definedName name="_DCF2" localSheetId="17">{"Client Name or Project Name"}</definedName>
    <definedName name="_DCF2" localSheetId="5">{"Client Name or Project Name"}</definedName>
    <definedName name="_DCF2" localSheetId="8">{"Client Name or Project Name"}</definedName>
    <definedName name="_DCF2" localSheetId="6">{"Client Name or Project Name"}</definedName>
    <definedName name="_DCF2" localSheetId="28">{"Client Name or Project Name"}</definedName>
    <definedName name="_DCF2">{"Client Name or Project Name"}</definedName>
    <definedName name="_xlnm._FilterDatabase" localSheetId="8" hidden="1">'Price per key'!$A$4:$H$24</definedName>
    <definedName name="AdditionalInstructions">IndexInformation!$B$42</definedName>
    <definedName name="Address" localSheetId="0">ImportantDisclosures!$A$2:$A$2</definedName>
    <definedName name="ANA" localSheetId="47">ModPubIndex!$A$7</definedName>
    <definedName name="Authors" localSheetId="0">ImportantDisclosures!$A$7</definedName>
    <definedName name="Authors" localSheetId="46">IndexInformation!$B$18</definedName>
    <definedName name="BRO" localSheetId="47">ModPubIndex!$A$1</definedName>
    <definedName name="Buttons" localSheetId="2">CircularReferenceAlert!$B$13:$B$15</definedName>
    <definedName name="CopyrightStamp">ImportantDisclosures!$A$27</definedName>
    <definedName name="COU" localSheetId="47">ModPubIndex!$A$5</definedName>
    <definedName name="CQEnd" localSheetId="46">IndexInformation!$B$31</definedName>
    <definedName name="Currency" localSheetId="46">IndexInformation!$B$24</definedName>
    <definedName name="CurrentStockPrice" localSheetId="46">IndexInformation!$B$23</definedName>
    <definedName name="CurrQtrEPS" localSheetId="46">IndexInformation!$B$29</definedName>
    <definedName name="CurrYearEPS" localSheetId="46">IndexInformation!$B$11</definedName>
    <definedName name="CurrYearTotalRevenue" localSheetId="46">IndexInformation!$B$10</definedName>
    <definedName name="CurrYearTotalRevenueActual" localSheetId="46">IndexInformation!$B$32</definedName>
    <definedName name="CUSIP" localSheetId="46">IndexInformation!$B$20</definedName>
    <definedName name="CYEnd" localSheetId="46">IndexInformation!$B$30</definedName>
    <definedName name="Date" localSheetId="0">ImportantDisclosures!$A$8</definedName>
    <definedName name="Deleted" localSheetId="46">IndexInformation!$B$27</definedName>
    <definedName name="Description" localSheetId="46">IndexInformation!$B$7</definedName>
    <definedName name="Discipline" localSheetId="46">IndexInformation!$B$3</definedName>
    <definedName name="DISCIPLINE" localSheetId="47">ModPubIndex!$A$12</definedName>
    <definedName name="DisclosuresText">ImportantDisclosures!$A$22</definedName>
    <definedName name="Distribution" localSheetId="46">IndexInformation!$B$26</definedName>
    <definedName name="DistTable" localSheetId="0">ImportantDisclosures!#REF!</definedName>
    <definedName name="DistTablePreamble" localSheetId="0">ImportantDisclosures!#REF!</definedName>
    <definedName name="dividend">MAR!$70:$70</definedName>
    <definedName name="DOCDAT" localSheetId="47">ModPubIndex!$A$2</definedName>
    <definedName name="DOCTIME" localSheetId="47">ModPubIndex!$A$3</definedName>
    <definedName name="DocType" localSheetId="46">IndexInformation!$B$5</definedName>
    <definedName name="EMAIL_ALERT" localSheetId="47">ModPubIndex!$A$10</definedName>
    <definedName name="EmailAlert" localSheetId="46">IndexInformation!$B$28</definedName>
    <definedName name="FiveYearGrowthRate" localSheetId="46">IndexInformation!$B$16</definedName>
    <definedName name="FollowingYearEPS" localSheetId="46">IndexInformation!$B$15</definedName>
    <definedName name="FollowingYearTotalRevenue" localSheetId="46">IndexInformation!$B$14</definedName>
    <definedName name="FollowingYearTotalRevenueActual" localSheetId="46">IndexInformation!$B$34</definedName>
    <definedName name="HL" localSheetId="47">ModPubIndex!$A$8</definedName>
    <definedName name="IND" localSheetId="47">ModPubIndex!$A$9</definedName>
    <definedName name="Industry" localSheetId="0">ImportantDisclosures!$A$12</definedName>
    <definedName name="IndustryId">IndexInformation!$B$40</definedName>
    <definedName name="IndustryRating" localSheetId="0">ImportantDisclosures!$A$13</definedName>
    <definedName name="IQ_ADDIN" hidden="1">"AUTO"</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CAPEX_BR" hidden="1">"c111"</definedName>
    <definedName name="IQ_CH" hidden="1">110000</definedName>
    <definedName name="IQ_CHANGE_AP_BR" hidden="1">"c135"</definedName>
    <definedName name="IQ_CHANGE_AR_BR" hidden="1">"c142"</definedName>
    <definedName name="IQ_CHANGE_OTHER_NET_OPER_ASSETS_BR" hidden="1">"c3595"</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Q" hidden="1">5000</definedName>
    <definedName name="IQ_CURRENCY_GAIN_BR" hidden="1">"c236"</definedName>
    <definedName name="IQ_CURRENT_PORT_DEBT_BR" hidden="1">"c1567"</definedName>
    <definedName name="IQ_CY" hidden="1">10000</definedName>
    <definedName name="IQ_DA_BR" hidden="1">"c248"</definedName>
    <definedName name="IQ_DA_CF_BR" hidden="1">"c251"</definedName>
    <definedName name="IQ_DA_SUPPL_BR" hidden="1">"c260"</definedName>
    <definedName name="IQ_DA_SUPPL_CF_BR" hidden="1">"c263"</definedName>
    <definedName name="IQ_DAILY" hidden="1">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XPENSE_CODE_">"019802400"</definedName>
    <definedName name="IQ_EXTRA_ACC_ITEMS_BR" hidden="1">"c412"</definedName>
    <definedName name="IQ_FH" hidden="1">100000</definedName>
    <definedName name="IQ_FIN_DIV_CURRENT_PORT_DEBT_TOTAL" hidden="1">"c5524"</definedName>
    <definedName name="IQ_FIN_DIV_CURRENT_PORT_LEASES_TOTAL" hidden="1">"c5523"</definedName>
    <definedName name="IQ_FIN_DIV_DEBT_LT_TOTAL" hidden="1">"c5526"</definedName>
    <definedName name="IQ_FIN_DIV_LEASES_LT_TOTAL" hidden="1">"c5525"</definedName>
    <definedName name="IQ_FIN_DIV_NOTES_PAY_TOTAL" hidden="1">"c5522"</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W_AMORT_BR" hidden="1">"c532"</definedName>
    <definedName name="IQ_GW_INTAN_AMORT_BR" hidden="1">"c1470"</definedName>
    <definedName name="IQ_GW_INTAN_AMORT_CF_BR" hidden="1">"c1473"</definedName>
    <definedName name="IQ_INC_EQUITY_BR" hidden="1">"c550"</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 hidden="1">2000</definedName>
    <definedName name="IQ_LTMMONTH" hidden="1">120000</definedName>
    <definedName name="IQ_MERGER_BR" hidden="1">"c715"</definedName>
    <definedName name="IQ_MERGER_RESTRUCTURE_BR" hidden="1">"c721"</definedName>
    <definedName name="IQ_MINORITY_INTEREST_BR" hidden="1">"c729"</definedName>
    <definedName name="IQ_MONTH" hidden="1">15000</definedName>
    <definedName name="IQ_MTD" hidden="1">800000</definedName>
    <definedName name="IQ_NAMES_REVISION_DATE_" localSheetId="8" hidden="1">41541.7844907407</definedName>
    <definedName name="IQ_NAMES_REVISION_DATE_" hidden="1">41541.7844907407</definedName>
    <definedName name="IQ_NET_DEBT_ISSUED_BR" hidden="1">"c753"</definedName>
    <definedName name="IQ_NET_INT_INC_BR" hidden="1">"c765"</definedName>
    <definedName name="IQ_NTM" hidden="1">6000</definedName>
    <definedName name="IQ_OPER_INC_BR" hidden="1">"c850"</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SALE_INTAN_CF_BR" hidden="1">"c1133"</definedName>
    <definedName name="IQ_SALE_PPE_CF_BR" hidden="1">"c1139"</definedName>
    <definedName name="IQ_SALE_REAL_ESTATE_CF_BR" hidden="1">"c1145"</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OTAL_UNUSUAL_BR" hidden="1">"c5517"</definedName>
    <definedName name="IQ_TREASURY_OTHER_EQUITY_BR" hidden="1">"c1314"</definedName>
    <definedName name="IQ_UNEARN_REV_CURRENT_BR" hidden="1">"c1324"</definedName>
    <definedName name="IQ_WEEK" hidden="1">50000</definedName>
    <definedName name="IQ_YTD" hidden="1">3000</definedName>
    <definedName name="IQ_YTDMONTH" hidden="1">130000</definedName>
    <definedName name="KeepVersions" localSheetId="46">IndexInformation!$B$8</definedName>
    <definedName name="LanguageCode">IndexInformation!$B$38</definedName>
    <definedName name="LastCell" localSheetId="0">ImportantDisclosures!$A$22</definedName>
    <definedName name="Linking_1">MAR!$A$5:$CT$62</definedName>
    <definedName name="Linking_10" localSheetId="8">'New Exhibits'!$CQ$439:$CR$450</definedName>
    <definedName name="Linking_19">'New Exhibits'!$CD$297:$CE$309</definedName>
    <definedName name="Linking_2">MAR!$A$87:$CT$151</definedName>
    <definedName name="Linking_20">'New Exhibits'!$BX$271:$BY$292</definedName>
    <definedName name="Linking_22">'New Exhibits'!$CF$313:$CL$340</definedName>
    <definedName name="Linking_24">'New Exhibits'!$Y$38:$AD$42</definedName>
    <definedName name="Linking_28">'New Exhibits'!$Y$38:$AE$42</definedName>
    <definedName name="Linking_29">MAR!$A$5:$CY$62</definedName>
    <definedName name="Linking_3">MAR!$A$694:$CT$726</definedName>
    <definedName name="Linking_30">MAR!$A$87:$CY$151</definedName>
    <definedName name="Linking_31">MAR!$A$694:$CY$726</definedName>
    <definedName name="Linking_32">MAR!$A$742:$CY$786</definedName>
    <definedName name="Linking_36">MAR!$A$1:$CY$60</definedName>
    <definedName name="Linking_37">MAR!$A$1:$DA$62</definedName>
    <definedName name="Linking_38">MAR!$A$87:$DA$151</definedName>
    <definedName name="Linking_39">MAR!$A$1:$CY$62</definedName>
    <definedName name="Linking_4">MAR!$A$742:$CT$786</definedName>
    <definedName name="Linking_40">MAR!$A$1:$DA$108</definedName>
    <definedName name="Linking_41">MAR!$A$694:$DA$726</definedName>
    <definedName name="Linking_42">MAR!$A$742:$DA$786</definedName>
    <definedName name="Linking_43">'New Exhibits'!$FH$543:$FO$552</definedName>
    <definedName name="Linking_44">'New Exhibits'!$IN$787:$IP$797</definedName>
    <definedName name="Linking_45">'New Exhibits'!$IS$800:$IT$835</definedName>
    <definedName name="Linking_46">'New Exhibits'!$IS$798:$IV$822</definedName>
    <definedName name="Linking_47">'New Exhibits'!$IS$799:$IV$822</definedName>
    <definedName name="Linking_48">MAR!$A$1:$DA$68</definedName>
    <definedName name="Linking_49">MAR!$A$1:$DA$60</definedName>
    <definedName name="Linking_5">MAR!$A$5:$CT$71</definedName>
    <definedName name="Linking_50">'New Exhibits'!$IY$825:$IZ$846</definedName>
    <definedName name="Linking_51">'New Exhibits'!$EA$442:$EE$458</definedName>
    <definedName name="Linking_52">'EBITDA Val'!$A$6:$H$22</definedName>
    <definedName name="Linking_53">'New Exhibits'!$JI$870:$JL$886</definedName>
    <definedName name="Linking_54">'New Exhibits'!$EF$466:$EP$475</definedName>
    <definedName name="Linking_55">'New Exhibits'!$EF$464:$EP$489</definedName>
    <definedName name="Linking_6">'New Exhibits'!$BT$236:$BV$239</definedName>
    <definedName name="Linking_7">'New Exhibits'!$BX$271:$CB$292</definedName>
    <definedName name="Linking_Range_1" localSheetId="19">'1Q13'!$V$79:$AM$97</definedName>
    <definedName name="Linking_Range_1" localSheetId="24">'2Q12'!$V$79:$AM$97</definedName>
    <definedName name="Linking_Range_1" localSheetId="18">'2Q13'!$V$79:$AM$97</definedName>
    <definedName name="Linking_Range_1" localSheetId="21">'3Q12'!$V$79:$AQ$97</definedName>
    <definedName name="Linking_Range_1" localSheetId="15">'3Q13'!$V$79:$AM$97</definedName>
    <definedName name="Linking_Range_1" localSheetId="20">'4Q12'!$V$79:$AQ$97</definedName>
    <definedName name="Linking_Range_1">'1Q12'!$V$79:$AI$97</definedName>
    <definedName name="Linking_Range_10" localSheetId="25">'1Q12'!$AZ$141:$BE$151</definedName>
    <definedName name="Linking_Range_10">'4Q11'!$AL$114:$AQ$125</definedName>
    <definedName name="Linking_Range_11" localSheetId="19">'1Q13'!$A$4:$L$52</definedName>
    <definedName name="Linking_Range_11" localSheetId="24">'2Q12'!$A$4:$L$52</definedName>
    <definedName name="Linking_Range_11" localSheetId="18">'2Q13'!$A$4:$L$52</definedName>
    <definedName name="Linking_Range_11" localSheetId="21">'3Q12'!$A$4:$L$52</definedName>
    <definedName name="Linking_Range_11" localSheetId="15">'3Q13'!$A$4:$L$52</definedName>
    <definedName name="Linking_Range_11" localSheetId="20">'4Q12'!$A$4:$L$52</definedName>
    <definedName name="Linking_Range_11">'1Q12'!$A$4:$L$52</definedName>
    <definedName name="Linking_Range_12" localSheetId="19">'1Q13'!$V$78:$AM$99</definedName>
    <definedName name="Linking_Range_12" localSheetId="24">'2Q12'!$V$78:$AM$99</definedName>
    <definedName name="Linking_Range_12" localSheetId="18">'2Q13'!$V$78:$AM$99</definedName>
    <definedName name="Linking_Range_12" localSheetId="21">'3Q12'!$V$78:$AQ$99</definedName>
    <definedName name="Linking_Range_12" localSheetId="15">'3Q13'!$V$78:$AM$99</definedName>
    <definedName name="Linking_Range_12" localSheetId="20">'4Q12'!$V$78:$AQ$99</definedName>
    <definedName name="Linking_Range_12">'1Q12'!$V$78:$AI$99</definedName>
    <definedName name="Linking_Range_13" localSheetId="19">'1Q13'!$V$79:$AM$99</definedName>
    <definedName name="Linking_Range_13" localSheetId="24">'2Q12'!$V$79:$AM$99</definedName>
    <definedName name="Linking_Range_13" localSheetId="18">'2Q13'!$V$79:$AM$99</definedName>
    <definedName name="Linking_Range_13" localSheetId="21">'3Q12'!$V$79:$AQ$99</definedName>
    <definedName name="Linking_Range_13" localSheetId="15">'3Q13'!$V$79:$AM$99</definedName>
    <definedName name="Linking_Range_13" localSheetId="20">'4Q12'!$V$79:$AQ$99</definedName>
    <definedName name="Linking_Range_13">'1Q12'!$V$79:$AI$99</definedName>
    <definedName name="Linking_Range_14" localSheetId="19">'1Q13'!$AO$107:$AR$121</definedName>
    <definedName name="Linking_Range_14" localSheetId="24">'2Q12'!$AO$106:$AR$120</definedName>
    <definedName name="Linking_Range_14" localSheetId="18">'2Q13'!$AQ$107:$AT$121</definedName>
    <definedName name="Linking_Range_14" localSheetId="21">'3Q12'!$AS$106:$AV$120</definedName>
    <definedName name="Linking_Range_14" localSheetId="15">'3Q13'!$AQ$107:$AT$121</definedName>
    <definedName name="Linking_Range_14" localSheetId="20">'4Q12'!$AS$106:$AV$120</definedName>
    <definedName name="Linking_Range_14">'1Q12'!$AK$106:$AN$120</definedName>
    <definedName name="Linking_Range_15" localSheetId="19">'1Q13'!$V$79:$AM$99</definedName>
    <definedName name="Linking_Range_15" localSheetId="18">'2Q13'!$V$79:$AM$99</definedName>
    <definedName name="Linking_Range_15" localSheetId="21">'3Q12'!$V$79:$AQ$99</definedName>
    <definedName name="Linking_Range_15" localSheetId="15">'3Q13'!$V$79:$AM$99</definedName>
    <definedName name="Linking_Range_15" localSheetId="20">'4Q12'!$V$79:$AQ$99</definedName>
    <definedName name="Linking_Range_15">'2Q12'!$V$79:$AM$99</definedName>
    <definedName name="Linking_Range_16" localSheetId="19">'1Q13'!$AO$107:$AR$121</definedName>
    <definedName name="Linking_Range_16" localSheetId="18">'2Q13'!$AQ$107:$AT$121</definedName>
    <definedName name="Linking_Range_16" localSheetId="21">'3Q12'!$AS$106:$AV$120</definedName>
    <definedName name="Linking_Range_16" localSheetId="15">'3Q13'!$AQ$107:$AT$121</definedName>
    <definedName name="Linking_Range_16" localSheetId="20">'4Q12'!$AS$106:$AV$120</definedName>
    <definedName name="Linking_Range_16">'2Q12'!$AO$106:$AR$120</definedName>
    <definedName name="Linking_Range_17" localSheetId="19">'1Q13'!$AO$107:$AR$123</definedName>
    <definedName name="Linking_Range_17" localSheetId="18">'2Q13'!$AQ$107:$AT$123</definedName>
    <definedName name="Linking_Range_17" localSheetId="21">'3Q12'!$AS$106:$AV$122</definedName>
    <definedName name="Linking_Range_17" localSheetId="15">'3Q13'!$AQ$107:$AT$123</definedName>
    <definedName name="Linking_Range_17" localSheetId="20">'4Q12'!$AS$106:$AV$122</definedName>
    <definedName name="Linking_Range_17">'2Q12'!$AO$106:$AR$122</definedName>
    <definedName name="Linking_Range_18">MAR!$A$6:$CJ$61</definedName>
    <definedName name="Linking_Range_19">MAR!$A$87:$CJ$133</definedName>
    <definedName name="Linking_Range_2" localSheetId="25">'1Q12'!$A$4:$L$45</definedName>
    <definedName name="Linking_Range_2" localSheetId="19">'1Q13'!$A$4:$L$45</definedName>
    <definedName name="Linking_Range_2" localSheetId="24">'2Q12'!$A$4:$L$45</definedName>
    <definedName name="Linking_Range_2" localSheetId="18">'2Q13'!$A$4:$L$45</definedName>
    <definedName name="Linking_Range_2" localSheetId="21">'3Q12'!$A$4:$L$45</definedName>
    <definedName name="Linking_Range_2" localSheetId="15">'3Q13'!$A$4:$L$45</definedName>
    <definedName name="Linking_Range_2" localSheetId="20">'4Q12'!$A$4:$L$45</definedName>
    <definedName name="Linking_Range_2">'4Q11'!$A$4:$L$46</definedName>
    <definedName name="Linking_Range_20" localSheetId="19">'1Q13'!$AO$107:$AR$123</definedName>
    <definedName name="Linking_Range_20" localSheetId="18">'2Q13'!$AQ$107:$AT$123</definedName>
    <definedName name="Linking_Range_20" localSheetId="15">'3Q13'!$AQ$107:$AT$123</definedName>
    <definedName name="Linking_Range_20" localSheetId="20">'4Q12'!$AS$106:$AV$122</definedName>
    <definedName name="Linking_Range_20">'3Q12'!$AS$106:$AV$122</definedName>
    <definedName name="Linking_Range_21" localSheetId="19">'1Q13'!$V$79:$AM$98</definedName>
    <definedName name="Linking_Range_21" localSheetId="18">'2Q13'!$V$79:$AM$98</definedName>
    <definedName name="Linking_Range_21" localSheetId="15">'3Q13'!$V$79:$AM$98</definedName>
    <definedName name="Linking_Range_21" localSheetId="20">'4Q12'!$V$79:$AQ$98</definedName>
    <definedName name="Linking_Range_21">'3Q12'!$V$79:$AQ$98</definedName>
    <definedName name="Linking_Range_22" localSheetId="19">'1Q13'!$V$79:$AM$99</definedName>
    <definedName name="Linking_Range_22" localSheetId="18">'2Q13'!$V$79:$AM$99</definedName>
    <definedName name="Linking_Range_22" localSheetId="15">'3Q13'!$V$79:$AM$99</definedName>
    <definedName name="Linking_Range_22" localSheetId="20">'4Q12'!$V$79:$AQ$99</definedName>
    <definedName name="Linking_Range_22">'3Q12'!$V$79:$AQ$99</definedName>
    <definedName name="Linking_Range_23" localSheetId="19">'1Q13'!$AO$107:$AR$120</definedName>
    <definedName name="Linking_Range_23" localSheetId="18">'2Q13'!$AQ$107:$AT$120</definedName>
    <definedName name="Linking_Range_23" localSheetId="15">'3Q13'!$AQ$107:$AT$120</definedName>
    <definedName name="Linking_Range_23" localSheetId="20">'4Q12'!$AS$106:$AV$119</definedName>
    <definedName name="Linking_Range_23">'3Q12'!$AS$106:$AV$119</definedName>
    <definedName name="Linking_Range_24">MAR!$A$2:$CJ$61</definedName>
    <definedName name="Linking_Range_25">MAR!$A$111:$CJ$132</definedName>
    <definedName name="Linking_Range_26">MAR!$A$2:$CJ$101</definedName>
    <definedName name="Linking_Range_27">MAR!$A$2:$CJ$108</definedName>
    <definedName name="Linking_Range_28">MAR!$A$111:$CJ$133</definedName>
    <definedName name="Linking_Range_29" localSheetId="18">'2Q13'!$AV$125:$BE$132</definedName>
    <definedName name="Linking_Range_29" localSheetId="15">'3Q13'!$AV$125:$BE$132</definedName>
    <definedName name="Linking_Range_29">'1Q13'!$AT$125:$BC$132</definedName>
    <definedName name="Linking_Range_3" localSheetId="25">'1Q12'!$P$58:$T$76</definedName>
    <definedName name="Linking_Range_3" localSheetId="19">'1Q13'!$P$58:$T$76</definedName>
    <definedName name="Linking_Range_3" localSheetId="24">'2Q12'!$P$58:$T$76</definedName>
    <definedName name="Linking_Range_3" localSheetId="18">'2Q13'!$P$58:$T$76</definedName>
    <definedName name="Linking_Range_3" localSheetId="21">'3Q12'!$P$58:$T$76</definedName>
    <definedName name="Linking_Range_3" localSheetId="15">'3Q13'!$P$58:$T$76</definedName>
    <definedName name="Linking_Range_3" localSheetId="20">'4Q12'!$P$58:$T$76</definedName>
    <definedName name="Linking_Range_3">'4Q11'!$O$64:$R$83</definedName>
    <definedName name="Linking_Range_30" localSheetId="15">'3Q13'!$A$5:$L$45</definedName>
    <definedName name="Linking_Range_30">'2Q13'!$A$5:$L$45</definedName>
    <definedName name="Linking_Range_31" localSheetId="15">'3Q13'!$V$81:$AM$104</definedName>
    <definedName name="Linking_Range_31">'2Q13'!$V$81:$AM$104</definedName>
    <definedName name="Linking_Range_32" localSheetId="15">'3Q13'!$V$81:$AO$104</definedName>
    <definedName name="Linking_Range_32">'2Q13'!$V$81:$AO$104</definedName>
    <definedName name="Linking_Range_33">'3Q13'!$A$5:$L$45</definedName>
    <definedName name="Linking_Range_34">'3Q13'!$V$81:$AO$104</definedName>
    <definedName name="Linking_Range_35">MAR!$A$5:$CE$62</definedName>
    <definedName name="Linking_Range_36">'EBITDA Val'!$A$7:$G$22</definedName>
    <definedName name="Linking_Range_37">MAR!$A$5:$CJ$62</definedName>
    <definedName name="Linking_Range_38">MAR!$A$87:$CJ$151</definedName>
    <definedName name="Linking_Range_39">MAR!$A$694:$CJ$726</definedName>
    <definedName name="Linking_Range_4">Guidance!$M$118:$N$135</definedName>
    <definedName name="Linking_Range_40">MAR!$A$742:$CJ$786</definedName>
    <definedName name="Linking_Range_41">'New Exhibits'!$Y$38:$AC$47</definedName>
    <definedName name="Linking_Range_42">MAR!$A$5:$CO$71</definedName>
    <definedName name="Linking_Range_43">MAR!$A$87:$CO$151</definedName>
    <definedName name="Linking_Range_44">MAR!$A$694:$CO$726</definedName>
    <definedName name="Linking_Range_45">MAR!$A$742:$CO$786</definedName>
    <definedName name="Linking_Range_46">'EBITDA Val'!$A$6:$G$22</definedName>
    <definedName name="Linking_Range_47">MAR!$A$5:$CO$62</definedName>
    <definedName name="Linking_Range_48">'2Q14'!$A$4:$L$46</definedName>
    <definedName name="Linking_Range_49">'2Q14'!$A$5:$L$46</definedName>
    <definedName name="Linking_Range_5" localSheetId="25">'1Q12'!$A$4:$L$45</definedName>
    <definedName name="Linking_Range_5" localSheetId="19">'1Q13'!$A$4:$L$45</definedName>
    <definedName name="Linking_Range_5" localSheetId="24">'2Q12'!$A$4:$L$45</definedName>
    <definedName name="Linking_Range_5" localSheetId="18">'2Q13'!$A$4:$L$45</definedName>
    <definedName name="Linking_Range_5" localSheetId="21">'3Q12'!$A$4:$L$45</definedName>
    <definedName name="Linking_Range_5" localSheetId="15">'3Q13'!$A$4:$L$45</definedName>
    <definedName name="Linking_Range_5" localSheetId="20">'4Q12'!$A$4:$L$45</definedName>
    <definedName name="Linking_Range_5">'4Q11'!$A$4:$L$49</definedName>
    <definedName name="Linking_Range_50">MAR!$A$2:$CO$63</definedName>
    <definedName name="Linking_Range_51" localSheetId="8">'Price per key'!$A$3:$H$28</definedName>
    <definedName name="Linking_Range_51">MAR!$CE$657:$CJ$660</definedName>
    <definedName name="Linking_Range_52" localSheetId="8">'Price per key'!$A$4:$H$28</definedName>
    <definedName name="Linking_Range_52">'EBITDA Val'!$A$6:$G$24</definedName>
    <definedName name="Linking_Range_53">'New Exhibits'!$AO$71:$BA$91</definedName>
    <definedName name="Linking_Range_54">'New Exhibits'!$Y$38:$AD$47</definedName>
    <definedName name="Linking_Range_6">MAR!$A$6:$BZ$70</definedName>
    <definedName name="Linking_Range_7">MAR!$A$73:$BZ$132</definedName>
    <definedName name="Linking_Range_8">MAR!$A$694:$BZ$726</definedName>
    <definedName name="Linking_Range_9">MAR!$A$742:$BZ$786</definedName>
    <definedName name="MacroVersion" localSheetId="46">IndexInformation!$B$1</definedName>
    <definedName name="MaxChange" localSheetId="2">CircularReferenceAlert!$B$9</definedName>
    <definedName name="MaxIterations" localSheetId="2">CircularReferenceAlert!$B$8</definedName>
    <definedName name="ModelPrice" localSheetId="0">ImportantDisclosures!$A$14</definedName>
    <definedName name="Multiplier" localSheetId="46">IndexInformation!$B$35</definedName>
    <definedName name="NextYearEPS" localSheetId="46">IndexInformation!$B$13</definedName>
    <definedName name="NextYearTotalRevenue" localSheetId="46">IndexInformation!$B$12</definedName>
    <definedName name="NextYearTotalRevenueActual" localSheetId="46">IndexInformation!$B$33</definedName>
    <definedName name="ObjectType">IndexInformation!$B$37</definedName>
    <definedName name="PANA" localSheetId="47">ModPubIndex!$A$11</definedName>
    <definedName name="PathName" localSheetId="46">IndexInformation!$B$25</definedName>
    <definedName name="_xlnm.Print_Area" localSheetId="19">'1Q13'!$A$1:$N$54</definedName>
    <definedName name="_xlnm.Print_Area" localSheetId="18">'2Q13'!$A$1:$N$54</definedName>
    <definedName name="_xlnm.Print_Area" localSheetId="15">'3Q13'!$A$1:$N$54</definedName>
    <definedName name="_xlnm.Print_Area" localSheetId="42">'Exhibits (3)'!$B$2:$Q$7</definedName>
    <definedName name="_xlnm.Print_Area" localSheetId="31">Guidance!$M$32:$U$157</definedName>
    <definedName name="_xlnm.Print_Area" localSheetId="9">RevPAR!$A$1:$CC$54</definedName>
    <definedName name="_xlnm.Print_Area">#REF!</definedName>
    <definedName name="_xlnm.Print_Titles" localSheetId="41">'1Q11'!$1:$4</definedName>
    <definedName name="_xlnm.Print_Titles" localSheetId="25">'1Q12'!$1:$4</definedName>
    <definedName name="_xlnm.Print_Titles" localSheetId="19">'1Q13'!$1:$4</definedName>
    <definedName name="_xlnm.Print_Titles" localSheetId="40">'2Q11'!$1:$4</definedName>
    <definedName name="_xlnm.Print_Titles" localSheetId="24">'2Q12'!$1:$4</definedName>
    <definedName name="_xlnm.Print_Titles" localSheetId="18">'2Q13'!$1:$4</definedName>
    <definedName name="_xlnm.Print_Titles" localSheetId="30">'3Q11'!$1:$4</definedName>
    <definedName name="_xlnm.Print_Titles" localSheetId="21">'3Q12'!$1:$4</definedName>
    <definedName name="_xlnm.Print_Titles" localSheetId="15">'3Q13'!$1:$4</definedName>
    <definedName name="_xlnm.Print_Titles" localSheetId="29">'4Q11'!$1:$4</definedName>
    <definedName name="_xlnm.Print_Titles" localSheetId="20">'4Q12'!$1:$4</definedName>
    <definedName name="_xlnm.Print_Titles">#REF!</definedName>
    <definedName name="PRODUCT" localSheetId="47">ModPubIndex!$A$6</definedName>
    <definedName name="ProjectName" localSheetId="41">{"Client Name or Project Name"}</definedName>
    <definedName name="ProjectName" localSheetId="25">{"Client Name or Project Name"}</definedName>
    <definedName name="ProjectName" localSheetId="19">{"Client Name or Project Name"}</definedName>
    <definedName name="ProjectName" localSheetId="40">{"Client Name or Project Name"}</definedName>
    <definedName name="ProjectName" localSheetId="24">{"Client Name or Project Name"}</definedName>
    <definedName name="ProjectName" localSheetId="18">{"Client Name or Project Name"}</definedName>
    <definedName name="ProjectName" localSheetId="30">{"Client Name or Project Name"}</definedName>
    <definedName name="ProjectName" localSheetId="21">{"Client Name or Project Name"}</definedName>
    <definedName name="ProjectName" localSheetId="15">{"Client Name or Project Name"}</definedName>
    <definedName name="ProjectName" localSheetId="29">{"Client Name or Project Name"}</definedName>
    <definedName name="ProjectName" localSheetId="20">{"Client Name or Project Name"}</definedName>
    <definedName name="ProjectName" localSheetId="17">{"Client Name or Project Name"}</definedName>
    <definedName name="ProjectName" localSheetId="5">{"Client Name or Project Name"}</definedName>
    <definedName name="ProjectName" localSheetId="45">{"Client Name or Project Name"}</definedName>
    <definedName name="ProjectName" localSheetId="8">{"Client Name or Project Name"}</definedName>
    <definedName name="ProjectName" localSheetId="6">{"Client Name or Project Name"}</definedName>
    <definedName name="ProjectName" localSheetId="28">{"Client Name or Project Name"}</definedName>
    <definedName name="ProjectName">{"Client Name or Project Name"}</definedName>
    <definedName name="ProjectName2" localSheetId="41">{"Client Name or Project Name"}</definedName>
    <definedName name="ProjectName2" localSheetId="25">{"Client Name or Project Name"}</definedName>
    <definedName name="ProjectName2" localSheetId="19">{"Client Name or Project Name"}</definedName>
    <definedName name="ProjectName2" localSheetId="40">{"Client Name or Project Name"}</definedName>
    <definedName name="ProjectName2" localSheetId="24">{"Client Name or Project Name"}</definedName>
    <definedName name="ProjectName2" localSheetId="18">{"Client Name or Project Name"}</definedName>
    <definedName name="ProjectName2" localSheetId="30">{"Client Name or Project Name"}</definedName>
    <definedName name="ProjectName2" localSheetId="21">{"Client Name or Project Name"}</definedName>
    <definedName name="ProjectName2" localSheetId="15">{"Client Name or Project Name"}</definedName>
    <definedName name="ProjectName2" localSheetId="29">{"Client Name or Project Name"}</definedName>
    <definedName name="ProjectName2" localSheetId="20">{"Client Name or Project Name"}</definedName>
    <definedName name="ProjectName2" localSheetId="17">{"Client Name or Project Name"}</definedName>
    <definedName name="ProjectName2" localSheetId="5">{"Client Name or Project Name"}</definedName>
    <definedName name="ProjectName2" localSheetId="8">{"Client Name or Project Name"}</definedName>
    <definedName name="ProjectName2" localSheetId="6">{"Client Name or Project Name"}</definedName>
    <definedName name="projectname2" localSheetId="28">{"Client Name or Project Name"}</definedName>
    <definedName name="projectname2">{"Client Name or Project Name"}</definedName>
    <definedName name="PSYM" localSheetId="47">ModPubIndex!$A$4</definedName>
    <definedName name="PublishDate" localSheetId="46">IndexInformation!$B$2</definedName>
    <definedName name="Rating" localSheetId="46">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pairedName0026" hidden="1">"iQShowAnnual"</definedName>
    <definedName name="ResearchTopic" localSheetId="46">IndexInformation!$B$4</definedName>
    <definedName name="revsheet" localSheetId="25">{"Client Name or Project Name"}</definedName>
    <definedName name="revsheet" localSheetId="19">{"Client Name or Project Name"}</definedName>
    <definedName name="revsheet" localSheetId="40">{"Client Name or Project Name"}</definedName>
    <definedName name="revsheet" localSheetId="24">{"Client Name or Project Name"}</definedName>
    <definedName name="revsheet" localSheetId="18">{"Client Name or Project Name"}</definedName>
    <definedName name="revsheet" localSheetId="30">{"Client Name or Project Name"}</definedName>
    <definedName name="revsheet" localSheetId="21">{"Client Name or Project Name"}</definedName>
    <definedName name="revsheet" localSheetId="15">{"Client Name or Project Name"}</definedName>
    <definedName name="revsheet" localSheetId="29">{"Client Name or Project Name"}</definedName>
    <definedName name="revsheet" localSheetId="20">{"Client Name or Project Name"}</definedName>
    <definedName name="revsheet" localSheetId="17">{"Client Name or Project Name"}</definedName>
    <definedName name="revsheet" localSheetId="5">{"Client Name or Project Name"}</definedName>
    <definedName name="revsheet" localSheetId="8">{"Client Name or Project Name"}</definedName>
    <definedName name="revsheet" localSheetId="6">{"Client Name or Project Name"}</definedName>
    <definedName name="revsheet" localSheetId="28">{"Client Name or Project Name"}</definedName>
    <definedName name="revsheet">{"Client Name or Project Name"}</definedName>
    <definedName name="RIC" localSheetId="46">IndexInformation!$B$21</definedName>
    <definedName name="SECSettlement" localSheetId="0">ImportantDisclosures!#REF!</definedName>
    <definedName name="SEDOL" localSheetId="46">IndexInformation!$B$22</definedName>
    <definedName name="solver_cvg" localSheetId="3" hidden="1">0.001</definedName>
    <definedName name="solver_drv" localSheetId="3" hidden="1">1</definedName>
    <definedName name="solver_est" localSheetId="3" hidden="1">1</definedName>
    <definedName name="solver_itr" localSheetId="3" hidden="1">100</definedName>
    <definedName name="solver_lin" localSheetId="3" hidden="1">2</definedName>
    <definedName name="solver_neg" localSheetId="3" hidden="1">2</definedName>
    <definedName name="solver_num" localSheetId="3" hidden="1">0</definedName>
    <definedName name="solver_nwt" localSheetId="3" hidden="1">1</definedName>
    <definedName name="solver_pre" localSheetId="3" hidden="1">0.000001</definedName>
    <definedName name="solver_scl" localSheetId="3" hidden="1">2</definedName>
    <definedName name="solver_sho" localSheetId="3" hidden="1">2</definedName>
    <definedName name="solver_tim" localSheetId="3" hidden="1">100</definedName>
    <definedName name="solver_tol" localSheetId="3" hidden="1">0.05</definedName>
    <definedName name="solver_typ" localSheetId="3" hidden="1">3</definedName>
    <definedName name="solver_val" localSheetId="3" hidden="1">-0.55</definedName>
    <definedName name="SourceDefined" localSheetId="0">ImportantDisclosures!$A$19</definedName>
    <definedName name="StockRating" localSheetId="0">ImportantDisclosures!$A$11</definedName>
    <definedName name="SubjectCode" localSheetId="46">IndexInformation!$B$6</definedName>
    <definedName name="SubmitterUserId">IndexInformation!$B$39</definedName>
    <definedName name="SUPPRESSED" localSheetId="47">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46">IndexInformation!$B$19</definedName>
    <definedName name="UpdateReason" localSheetId="46">IndexInformation!$B$17</definedName>
    <definedName name="USRegDisclosures" localSheetId="0">ImportantDisclosures!#REF!</definedName>
  </definedNames>
  <calcPr calcId="145621" iterate="1"/>
</workbook>
</file>

<file path=xl/calcChain.xml><?xml version="1.0" encoding="utf-8"?>
<calcChain xmlns="http://schemas.openxmlformats.org/spreadsheetml/2006/main">
  <c r="CV95" i="4" l="1"/>
  <c r="CW95" i="4"/>
  <c r="CX95" i="4"/>
  <c r="CU95" i="4"/>
  <c r="CU701" i="4"/>
  <c r="CV92" i="4"/>
  <c r="CW92" i="4"/>
  <c r="CX92" i="4"/>
  <c r="CU92" i="4"/>
  <c r="CV703" i="4"/>
  <c r="CW703" i="4"/>
  <c r="CX703" i="4"/>
  <c r="CU703" i="4"/>
  <c r="CX701" i="4"/>
  <c r="CW701" i="4"/>
  <c r="CV701" i="4"/>
  <c r="CV710" i="4"/>
  <c r="CS710" i="4"/>
  <c r="CS833" i="4"/>
  <c r="CU710" i="4"/>
  <c r="CS189" i="4"/>
  <c r="CU364" i="4" l="1"/>
  <c r="CV91" i="4"/>
  <c r="CW91" i="4"/>
  <c r="CX91" i="4"/>
  <c r="CU91" i="4"/>
  <c r="CZ878" i="4"/>
  <c r="DA878" i="4" s="1"/>
  <c r="JZ914" i="72" l="1"/>
  <c r="JY915" i="72"/>
  <c r="JY919" i="72" s="1"/>
  <c r="JY921" i="72" s="1"/>
  <c r="JY916" i="72"/>
  <c r="JX916" i="72" s="1"/>
  <c r="JY917" i="72"/>
  <c r="JX917" i="72" s="1"/>
  <c r="JZ919" i="72"/>
  <c r="JZ921" i="72" s="1"/>
  <c r="JW921" i="72"/>
  <c r="JZ924" i="72"/>
  <c r="JZ925" i="72" s="1"/>
  <c r="JX925" i="72"/>
  <c r="JY925" i="72"/>
  <c r="JZ926" i="72"/>
  <c r="JZ927" i="72" s="1"/>
  <c r="JX927" i="72"/>
  <c r="JY927" i="72"/>
  <c r="JW928" i="72"/>
  <c r="JX928" i="72"/>
  <c r="JY928" i="72"/>
  <c r="JY929" i="72" s="1"/>
  <c r="JX929" i="72"/>
  <c r="JW931" i="72"/>
  <c r="JX931" i="72"/>
  <c r="JZ932" i="72"/>
  <c r="JX933" i="72"/>
  <c r="JY933" i="72"/>
  <c r="JZ934" i="72"/>
  <c r="JZ933" i="72" s="1"/>
  <c r="JW935" i="72"/>
  <c r="JX935" i="72" l="1"/>
  <c r="JX936" i="72" s="1"/>
  <c r="JZ931" i="72"/>
  <c r="JX915" i="72"/>
  <c r="JX919" i="72" s="1"/>
  <c r="JX921" i="72" s="1"/>
  <c r="JY931" i="72"/>
  <c r="JY935" i="72" s="1"/>
  <c r="JY936" i="72" s="1"/>
  <c r="JZ928" i="72"/>
  <c r="CX187" i="4"/>
  <c r="CW187" i="4"/>
  <c r="CV187" i="4"/>
  <c r="CU187" i="4"/>
  <c r="DA187" i="4"/>
  <c r="CZ187" i="4"/>
  <c r="CT276" i="4"/>
  <c r="CT275" i="4"/>
  <c r="CT274" i="4"/>
  <c r="CT273" i="4"/>
  <c r="CT272" i="4"/>
  <c r="CT271" i="4"/>
  <c r="CT269" i="4"/>
  <c r="CS276" i="4"/>
  <c r="CS275" i="4"/>
  <c r="CS274" i="4"/>
  <c r="CS273" i="4"/>
  <c r="CS272" i="4"/>
  <c r="CS271" i="4"/>
  <c r="CS269" i="4"/>
  <c r="CX239" i="4"/>
  <c r="CW239" i="4"/>
  <c r="CV239" i="4"/>
  <c r="CU239" i="4"/>
  <c r="DA239" i="4"/>
  <c r="CZ239" i="4"/>
  <c r="CN892" i="49"/>
  <c r="CN889" i="49"/>
  <c r="CN883" i="49"/>
  <c r="CN876" i="49"/>
  <c r="CN870" i="49"/>
  <c r="CN867" i="49"/>
  <c r="CN864" i="49"/>
  <c r="CN861" i="49"/>
  <c r="CS499" i="49"/>
  <c r="CT499" i="49" s="1"/>
  <c r="CU499" i="49" s="1"/>
  <c r="CV499" i="49" s="1"/>
  <c r="CR499" i="49"/>
  <c r="CQ499" i="49"/>
  <c r="CP499" i="49"/>
  <c r="CO499" i="49"/>
  <c r="CO785" i="49"/>
  <c r="CN666" i="49"/>
  <c r="CN661" i="49"/>
  <c r="CN659" i="49"/>
  <c r="CN633" i="49"/>
  <c r="CP609" i="49"/>
  <c r="CN635" i="49"/>
  <c r="CN587" i="49"/>
  <c r="CN586" i="49"/>
  <c r="CN585" i="49"/>
  <c r="CN584" i="49"/>
  <c r="CN583" i="49"/>
  <c r="CN601" i="49" s="1"/>
  <c r="CN524" i="49"/>
  <c r="CN526" i="49"/>
  <c r="CN490" i="49"/>
  <c r="CN492" i="49"/>
  <c r="CN476" i="49"/>
  <c r="CN464" i="49"/>
  <c r="CN457" i="49"/>
  <c r="CO417" i="49"/>
  <c r="CO416" i="49"/>
  <c r="CO415" i="49"/>
  <c r="CO414" i="49"/>
  <c r="CO413" i="49"/>
  <c r="CO412" i="49"/>
  <c r="CO411" i="49"/>
  <c r="CO410" i="49"/>
  <c r="CO409" i="49"/>
  <c r="CO408" i="49"/>
  <c r="CO407" i="49"/>
  <c r="CO405" i="49"/>
  <c r="CO404" i="49"/>
  <c r="CO403" i="49"/>
  <c r="CO402" i="49"/>
  <c r="CO401" i="49"/>
  <c r="CO400" i="49"/>
  <c r="CO399" i="49"/>
  <c r="CO398" i="49"/>
  <c r="CO397" i="49"/>
  <c r="CO396" i="49"/>
  <c r="CO395" i="49"/>
  <c r="CO394" i="49"/>
  <c r="CO393" i="49"/>
  <c r="CO392" i="49"/>
  <c r="CO391" i="49"/>
  <c r="CO390" i="49"/>
  <c r="CO389" i="49"/>
  <c r="CO388" i="49"/>
  <c r="CO387" i="49"/>
  <c r="CO386" i="49"/>
  <c r="CO418" i="49" s="1"/>
  <c r="CN417" i="49"/>
  <c r="CN416" i="49"/>
  <c r="CN415" i="49"/>
  <c r="CN414" i="49"/>
  <c r="CN413" i="49"/>
  <c r="CN412" i="49"/>
  <c r="CN411" i="49"/>
  <c r="CN410" i="49"/>
  <c r="CN409" i="49"/>
  <c r="CN408" i="49"/>
  <c r="CN407" i="49"/>
  <c r="CN405" i="49"/>
  <c r="CN404" i="49"/>
  <c r="CN403" i="49"/>
  <c r="CN402" i="49"/>
  <c r="CN401" i="49"/>
  <c r="CN400" i="49"/>
  <c r="CN399" i="49"/>
  <c r="CN398" i="49"/>
  <c r="CN397" i="49"/>
  <c r="CN396" i="49"/>
  <c r="CN395" i="49"/>
  <c r="CN394" i="49"/>
  <c r="CN393" i="49"/>
  <c r="CN392" i="49"/>
  <c r="CN391" i="49"/>
  <c r="CN390" i="49"/>
  <c r="CN389" i="49"/>
  <c r="CN388" i="49"/>
  <c r="CN387" i="49"/>
  <c r="CN386" i="49"/>
  <c r="CN418" i="49" s="1"/>
  <c r="CO381" i="49"/>
  <c r="CO380" i="49"/>
  <c r="CO379" i="49"/>
  <c r="CO378" i="49"/>
  <c r="CO377" i="49"/>
  <c r="CO376" i="49"/>
  <c r="CO375" i="49"/>
  <c r="CO374" i="49"/>
  <c r="CO373" i="49"/>
  <c r="CO372" i="49"/>
  <c r="CO371" i="49"/>
  <c r="CO369" i="49"/>
  <c r="CO368" i="49"/>
  <c r="CO367" i="49"/>
  <c r="CO366" i="49"/>
  <c r="CO365" i="49"/>
  <c r="CO364" i="49"/>
  <c r="CO363" i="49"/>
  <c r="CO362" i="49"/>
  <c r="CO361" i="49"/>
  <c r="CO360" i="49"/>
  <c r="CO359" i="49"/>
  <c r="CO358" i="49"/>
  <c r="CO357" i="49"/>
  <c r="CO356" i="49"/>
  <c r="CO355" i="49"/>
  <c r="CO354" i="49"/>
  <c r="CO353" i="49"/>
  <c r="CO352" i="49"/>
  <c r="CO383" i="49" s="1"/>
  <c r="CN381" i="49"/>
  <c r="CN380" i="49"/>
  <c r="CN379" i="49"/>
  <c r="CN378" i="49"/>
  <c r="CN377" i="49"/>
  <c r="CN376" i="49"/>
  <c r="CN375" i="49"/>
  <c r="CN374" i="49"/>
  <c r="CN373" i="49"/>
  <c r="CN372" i="49"/>
  <c r="CN371" i="49"/>
  <c r="CN369" i="49"/>
  <c r="CN368" i="49"/>
  <c r="CN367" i="49"/>
  <c r="CN366" i="49"/>
  <c r="CN365" i="49"/>
  <c r="CN364" i="49"/>
  <c r="CN363" i="49"/>
  <c r="CN362" i="49"/>
  <c r="CN361" i="49"/>
  <c r="CN360" i="49"/>
  <c r="CN359" i="49"/>
  <c r="CN358" i="49"/>
  <c r="CN357" i="49"/>
  <c r="CN356" i="49"/>
  <c r="CN355" i="49"/>
  <c r="CN354" i="49"/>
  <c r="CN353" i="49"/>
  <c r="CN352" i="49"/>
  <c r="CN383" i="49" s="1"/>
  <c r="CO347" i="49"/>
  <c r="CO346" i="49"/>
  <c r="CO345" i="49"/>
  <c r="CO344" i="49"/>
  <c r="CO343" i="49"/>
  <c r="CO342" i="49"/>
  <c r="CO341" i="49"/>
  <c r="CO340" i="49"/>
  <c r="CO339" i="49"/>
  <c r="CO338" i="49"/>
  <c r="CO337" i="49"/>
  <c r="CO335" i="49"/>
  <c r="CO334" i="49"/>
  <c r="CO333" i="49"/>
  <c r="CO332" i="49"/>
  <c r="CO331" i="49"/>
  <c r="CO330" i="49"/>
  <c r="CO329" i="49"/>
  <c r="CO328" i="49"/>
  <c r="CO327" i="49"/>
  <c r="CO326" i="49"/>
  <c r="CO325" i="49"/>
  <c r="CO324" i="49"/>
  <c r="CO323" i="49"/>
  <c r="CO322" i="49"/>
  <c r="CO321" i="49"/>
  <c r="CO320" i="49"/>
  <c r="CO319" i="49"/>
  <c r="CO318" i="49"/>
  <c r="CO317" i="49"/>
  <c r="CO349" i="49" s="1"/>
  <c r="CN347" i="49"/>
  <c r="CN346" i="49"/>
  <c r="CN345" i="49"/>
  <c r="CN344" i="49"/>
  <c r="CN343" i="49"/>
  <c r="CN342" i="49"/>
  <c r="CN341" i="49"/>
  <c r="CN340" i="49"/>
  <c r="CN339" i="49"/>
  <c r="CN338" i="49"/>
  <c r="CN337" i="49"/>
  <c r="CN335" i="49"/>
  <c r="CN334" i="49"/>
  <c r="CN333" i="49"/>
  <c r="CN332" i="49"/>
  <c r="CN331" i="49"/>
  <c r="CN330" i="49"/>
  <c r="CN329" i="49"/>
  <c r="CN328" i="49"/>
  <c r="CN327" i="49"/>
  <c r="CN326" i="49"/>
  <c r="CN325" i="49"/>
  <c r="CN324" i="49"/>
  <c r="CN323" i="49"/>
  <c r="CN322" i="49"/>
  <c r="CN321" i="49"/>
  <c r="CN320" i="49"/>
  <c r="CN319" i="49"/>
  <c r="CN349" i="49" s="1"/>
  <c r="CN318" i="49"/>
  <c r="CN317" i="49"/>
  <c r="CO312" i="49"/>
  <c r="CO311" i="49"/>
  <c r="CO310" i="49"/>
  <c r="CO309" i="49"/>
  <c r="CO308" i="49"/>
  <c r="CO307" i="49"/>
  <c r="CO306" i="49"/>
  <c r="CO305" i="49"/>
  <c r="CO304" i="49"/>
  <c r="CO303" i="49"/>
  <c r="CO302" i="49"/>
  <c r="CO300" i="49"/>
  <c r="CO299" i="49"/>
  <c r="CO298" i="49"/>
  <c r="CO297" i="49"/>
  <c r="CO296" i="49"/>
  <c r="CO295" i="49"/>
  <c r="CO294" i="49"/>
  <c r="CO293" i="49"/>
  <c r="CO292" i="49"/>
  <c r="CO291" i="49"/>
  <c r="CO290" i="49"/>
  <c r="CO289" i="49"/>
  <c r="CO288" i="49"/>
  <c r="CO287" i="49"/>
  <c r="CO286" i="49"/>
  <c r="CO285" i="49"/>
  <c r="CO284" i="49"/>
  <c r="CO314" i="49" s="1"/>
  <c r="CN312" i="49"/>
  <c r="CN311" i="49"/>
  <c r="CN310" i="49"/>
  <c r="CN309" i="49"/>
  <c r="CN308" i="49"/>
  <c r="CN307" i="49"/>
  <c r="CN306" i="49"/>
  <c r="CN305" i="49"/>
  <c r="CN304" i="49"/>
  <c r="CN303" i="49"/>
  <c r="CN302" i="49"/>
  <c r="CN300" i="49"/>
  <c r="CN299" i="49"/>
  <c r="CN298" i="49"/>
  <c r="CN297" i="49"/>
  <c r="CN296" i="49"/>
  <c r="CN295" i="49"/>
  <c r="CN294" i="49"/>
  <c r="CN293" i="49"/>
  <c r="CN292" i="49"/>
  <c r="CN291" i="49"/>
  <c r="CN290" i="49"/>
  <c r="CN289" i="49"/>
  <c r="CN288" i="49"/>
  <c r="CN287" i="49"/>
  <c r="CN286" i="49"/>
  <c r="CN285" i="49"/>
  <c r="CN284" i="49"/>
  <c r="CN314" i="49" s="1"/>
  <c r="CN275" i="49"/>
  <c r="CO275" i="49"/>
  <c r="CO274" i="49"/>
  <c r="CN274" i="49"/>
  <c r="CO273" i="49"/>
  <c r="CN273" i="49"/>
  <c r="CO272" i="49"/>
  <c r="CN272" i="49"/>
  <c r="CO271" i="49"/>
  <c r="CN271" i="49"/>
  <c r="CO270" i="49"/>
  <c r="CN270" i="49"/>
  <c r="CO269" i="49"/>
  <c r="CN269" i="49"/>
  <c r="CO268" i="49"/>
  <c r="CN268" i="49"/>
  <c r="CO267" i="49"/>
  <c r="CN267" i="49"/>
  <c r="CO266" i="49"/>
  <c r="CN266" i="49"/>
  <c r="CO265" i="49"/>
  <c r="CN265" i="49"/>
  <c r="CO263" i="49"/>
  <c r="CO262" i="49"/>
  <c r="CN262" i="49"/>
  <c r="CO261" i="49"/>
  <c r="CN261" i="49"/>
  <c r="CO260" i="49"/>
  <c r="CN260" i="49"/>
  <c r="CO259" i="49"/>
  <c r="CN259" i="49"/>
  <c r="CO258" i="49"/>
  <c r="CN258" i="49"/>
  <c r="CO257" i="49"/>
  <c r="CN257" i="49"/>
  <c r="CO256" i="49"/>
  <c r="CN256" i="49"/>
  <c r="CO255" i="49"/>
  <c r="CN255" i="49"/>
  <c r="CO254" i="49"/>
  <c r="CN254" i="49"/>
  <c r="CO253" i="49"/>
  <c r="CN253" i="49"/>
  <c r="CO252" i="49"/>
  <c r="CN252" i="49"/>
  <c r="CO251" i="49"/>
  <c r="CN251" i="49"/>
  <c r="CO250" i="49"/>
  <c r="CN250" i="49"/>
  <c r="CO249" i="49"/>
  <c r="CN249" i="49"/>
  <c r="CO248" i="49"/>
  <c r="CN248" i="49"/>
  <c r="CO247" i="49"/>
  <c r="CN247" i="49"/>
  <c r="CO246" i="49"/>
  <c r="CN246" i="49"/>
  <c r="CN276" i="49" s="1"/>
  <c r="CN243" i="49"/>
  <c r="CO241" i="49"/>
  <c r="CO240" i="49"/>
  <c r="CO239" i="49"/>
  <c r="CO238" i="49"/>
  <c r="CO237" i="49"/>
  <c r="CO236" i="49"/>
  <c r="CO235" i="49"/>
  <c r="CO234" i="49"/>
  <c r="CO233" i="49"/>
  <c r="CO232" i="49"/>
  <c r="CO231" i="49"/>
  <c r="CO229" i="49"/>
  <c r="CO228" i="49"/>
  <c r="CO227" i="49"/>
  <c r="CO226" i="49"/>
  <c r="CO225" i="49"/>
  <c r="CO224" i="49"/>
  <c r="CO223" i="49"/>
  <c r="CO222" i="49"/>
  <c r="CO221" i="49"/>
  <c r="CO220" i="49"/>
  <c r="CO219" i="49"/>
  <c r="CO218" i="49"/>
  <c r="CO217" i="49"/>
  <c r="CO216" i="49"/>
  <c r="CO215" i="49"/>
  <c r="CO214" i="49"/>
  <c r="CO213" i="49"/>
  <c r="CN208" i="49"/>
  <c r="CN210" i="49"/>
  <c r="CO208" i="49"/>
  <c r="CO207" i="49"/>
  <c r="CO206" i="49"/>
  <c r="CO205" i="49"/>
  <c r="CO204" i="49"/>
  <c r="CO203" i="49"/>
  <c r="CO202" i="49"/>
  <c r="CO201" i="49"/>
  <c r="CO200" i="49"/>
  <c r="CO199" i="49"/>
  <c r="CO198" i="49"/>
  <c r="CO196" i="49"/>
  <c r="CO195" i="49"/>
  <c r="CO194" i="49"/>
  <c r="CO193" i="49"/>
  <c r="CO192" i="49"/>
  <c r="CO191" i="49"/>
  <c r="CO190" i="49"/>
  <c r="CO189" i="49"/>
  <c r="CO188" i="49"/>
  <c r="CO187" i="49"/>
  <c r="CO186" i="49"/>
  <c r="CO185" i="49"/>
  <c r="CO184" i="49"/>
  <c r="CO183" i="49"/>
  <c r="CO182" i="49"/>
  <c r="CO181" i="49"/>
  <c r="CO180" i="49"/>
  <c r="CN177" i="49"/>
  <c r="CO175" i="49"/>
  <c r="CO174" i="49"/>
  <c r="CO173" i="49"/>
  <c r="CO172" i="49"/>
  <c r="CO171" i="49"/>
  <c r="CO170" i="49"/>
  <c r="CO169" i="49"/>
  <c r="CO168" i="49"/>
  <c r="CO167" i="49"/>
  <c r="CO166" i="49"/>
  <c r="CO165" i="49"/>
  <c r="CO158" i="49"/>
  <c r="CO157" i="49"/>
  <c r="CO156" i="49"/>
  <c r="CO155" i="49"/>
  <c r="CO154" i="49"/>
  <c r="CO153" i="49"/>
  <c r="CO152" i="49"/>
  <c r="CO151" i="49"/>
  <c r="CO150" i="49"/>
  <c r="CO149" i="49"/>
  <c r="CO148" i="49"/>
  <c r="CO177" i="49" s="1"/>
  <c r="CO147" i="49"/>
  <c r="CN138" i="49"/>
  <c r="CO138" i="49" s="1"/>
  <c r="CO137" i="49"/>
  <c r="CO136" i="49"/>
  <c r="CN136" i="49"/>
  <c r="CO135" i="49"/>
  <c r="CN135" i="49"/>
  <c r="CO134" i="49"/>
  <c r="CN134" i="49"/>
  <c r="CO133" i="49"/>
  <c r="CN133" i="49"/>
  <c r="CO132" i="49"/>
  <c r="CN132" i="49"/>
  <c r="CO131" i="49"/>
  <c r="CN131" i="49"/>
  <c r="CO130" i="49"/>
  <c r="CN130" i="49"/>
  <c r="CO129" i="49"/>
  <c r="CN129" i="49"/>
  <c r="CO128" i="49"/>
  <c r="CN128" i="49"/>
  <c r="CO127" i="49"/>
  <c r="CN127" i="49"/>
  <c r="CO125" i="49"/>
  <c r="CN125" i="49"/>
  <c r="CO124" i="49"/>
  <c r="CN124" i="49"/>
  <c r="CO123" i="49"/>
  <c r="CN123" i="49"/>
  <c r="CO122" i="49"/>
  <c r="CN122" i="49"/>
  <c r="CO121" i="49"/>
  <c r="CN121" i="49"/>
  <c r="CO120" i="49"/>
  <c r="CN120" i="49"/>
  <c r="CO119" i="49"/>
  <c r="CN119" i="49"/>
  <c r="CO118" i="49"/>
  <c r="CN118" i="49"/>
  <c r="CO117" i="49"/>
  <c r="CN117" i="49"/>
  <c r="CO116" i="49"/>
  <c r="CN116" i="49"/>
  <c r="CO115" i="49"/>
  <c r="CN115" i="49"/>
  <c r="CO114" i="49"/>
  <c r="CN114" i="49"/>
  <c r="CO113" i="49"/>
  <c r="CN113" i="49"/>
  <c r="CO112" i="49"/>
  <c r="CN112" i="49"/>
  <c r="CO111" i="49"/>
  <c r="CN111" i="49"/>
  <c r="CO110" i="49"/>
  <c r="CN110" i="49"/>
  <c r="CO109" i="49"/>
  <c r="CN109" i="49"/>
  <c r="CN139" i="49" s="1"/>
  <c r="CO108" i="49"/>
  <c r="CN108" i="49"/>
  <c r="CN103" i="49"/>
  <c r="CN105" i="49" s="1"/>
  <c r="CO103" i="49"/>
  <c r="CO102" i="49"/>
  <c r="CO101" i="49"/>
  <c r="CO100" i="49"/>
  <c r="CO99" i="49"/>
  <c r="CO98" i="49"/>
  <c r="CO97" i="49"/>
  <c r="CO96" i="49"/>
  <c r="CO95" i="49"/>
  <c r="CO94" i="49"/>
  <c r="CO93" i="49"/>
  <c r="CO90" i="49"/>
  <c r="CO89" i="49"/>
  <c r="CO88" i="49"/>
  <c r="CO87" i="49"/>
  <c r="CO86" i="49"/>
  <c r="CO85" i="49"/>
  <c r="CO84" i="49"/>
  <c r="CO83" i="49"/>
  <c r="CO82" i="49"/>
  <c r="CO81" i="49"/>
  <c r="CO80" i="49"/>
  <c r="CO79" i="49"/>
  <c r="CO78" i="49"/>
  <c r="CO77" i="49"/>
  <c r="CO76" i="49"/>
  <c r="CO75" i="49"/>
  <c r="CN70" i="49"/>
  <c r="CO70" i="49"/>
  <c r="CN72" i="49"/>
  <c r="CO69" i="49"/>
  <c r="CO68" i="49"/>
  <c r="CO67" i="49"/>
  <c r="CO66" i="49"/>
  <c r="CO65" i="49"/>
  <c r="CO64" i="49"/>
  <c r="CO63" i="49"/>
  <c r="CO62" i="49"/>
  <c r="CO61" i="49"/>
  <c r="CO60" i="49"/>
  <c r="CO58" i="49"/>
  <c r="CO57" i="49"/>
  <c r="CO56" i="49"/>
  <c r="CO55" i="49"/>
  <c r="CO54" i="49"/>
  <c r="CO53" i="49"/>
  <c r="CO52" i="49"/>
  <c r="CO51" i="49"/>
  <c r="CO50" i="49"/>
  <c r="CO49" i="49"/>
  <c r="CO48" i="49"/>
  <c r="CO47" i="49"/>
  <c r="CO46" i="49"/>
  <c r="CO45" i="49"/>
  <c r="CO44" i="49"/>
  <c r="CO43" i="49"/>
  <c r="CO42" i="49"/>
  <c r="CO41" i="49"/>
  <c r="CN38" i="49"/>
  <c r="CO36" i="49"/>
  <c r="CO35" i="49"/>
  <c r="CO34" i="49"/>
  <c r="CO33" i="49"/>
  <c r="CO32" i="49"/>
  <c r="CO31" i="49"/>
  <c r="CO30" i="49"/>
  <c r="CO29" i="49"/>
  <c r="CO28" i="49"/>
  <c r="CO27" i="49"/>
  <c r="CO26" i="49"/>
  <c r="CO24" i="49"/>
  <c r="CO23" i="49"/>
  <c r="CO22" i="49"/>
  <c r="CO21" i="49"/>
  <c r="CO20" i="49"/>
  <c r="CO19" i="49"/>
  <c r="CO18" i="49"/>
  <c r="CO17" i="49"/>
  <c r="CO16" i="49"/>
  <c r="CO15" i="49"/>
  <c r="CO14" i="49"/>
  <c r="CO13" i="49"/>
  <c r="CO12" i="49"/>
  <c r="CO11" i="49"/>
  <c r="CO10" i="49"/>
  <c r="CM17" i="51"/>
  <c r="CM16" i="51"/>
  <c r="CM13" i="51"/>
  <c r="CL13" i="51"/>
  <c r="CL12" i="51"/>
  <c r="CL11" i="51"/>
  <c r="CL10" i="51"/>
  <c r="CL9" i="51"/>
  <c r="CL8" i="51"/>
  <c r="CM110" i="51"/>
  <c r="CL110" i="51"/>
  <c r="CM246" i="51"/>
  <c r="CM247" i="51" s="1"/>
  <c r="CM243" i="51"/>
  <c r="CM244" i="51" s="1"/>
  <c r="CM241" i="51"/>
  <c r="CM240" i="51"/>
  <c r="CM238" i="51"/>
  <c r="CM237" i="51"/>
  <c r="CM235" i="51"/>
  <c r="CM234" i="51"/>
  <c r="CM226" i="51"/>
  <c r="CM225" i="51"/>
  <c r="CM223" i="51"/>
  <c r="CM222" i="51"/>
  <c r="CL246" i="51"/>
  <c r="CL247" i="51" s="1"/>
  <c r="CL244" i="51"/>
  <c r="CL243" i="51"/>
  <c r="CL240" i="51"/>
  <c r="CL238" i="51"/>
  <c r="CL237" i="51"/>
  <c r="CL235" i="51"/>
  <c r="CL234" i="51"/>
  <c r="CL226" i="51"/>
  <c r="CL225" i="51"/>
  <c r="CL223" i="51"/>
  <c r="CL222" i="51"/>
  <c r="CL326" i="51"/>
  <c r="CL323" i="51"/>
  <c r="CL320" i="51"/>
  <c r="CL317" i="51"/>
  <c r="CL314" i="51"/>
  <c r="CL305" i="51"/>
  <c r="CL302" i="51"/>
  <c r="CM326" i="51"/>
  <c r="CM323" i="51"/>
  <c r="CM320" i="51"/>
  <c r="CM317" i="51"/>
  <c r="CM314" i="51"/>
  <c r="CM305" i="51"/>
  <c r="CM302" i="51"/>
  <c r="CM297" i="51"/>
  <c r="CM294" i="51"/>
  <c r="CM291" i="51"/>
  <c r="CM288" i="51"/>
  <c r="CM285" i="51"/>
  <c r="CM276" i="51"/>
  <c r="CM273" i="51"/>
  <c r="CL297" i="51"/>
  <c r="CL294" i="51"/>
  <c r="CL291" i="51"/>
  <c r="CL288" i="51"/>
  <c r="CL285" i="51"/>
  <c r="CL276" i="51"/>
  <c r="CL273" i="51"/>
  <c r="CL114" i="51"/>
  <c r="CT797" i="4"/>
  <c r="CT796" i="4"/>
  <c r="CR663" i="4"/>
  <c r="CS644" i="4"/>
  <c r="CS645" i="4" s="1"/>
  <c r="CS641" i="4"/>
  <c r="CS639" i="4"/>
  <c r="CS181" i="4"/>
  <c r="CS172" i="4"/>
  <c r="CR172" i="4"/>
  <c r="CQ172" i="4"/>
  <c r="CT26" i="4"/>
  <c r="CS97" i="4"/>
  <c r="CS52" i="4"/>
  <c r="CS378" i="4"/>
  <c r="CS347" i="4"/>
  <c r="JZ929" i="72" l="1"/>
  <c r="JZ935" i="72"/>
  <c r="JZ936" i="72" s="1"/>
  <c r="CO420" i="49"/>
  <c r="CO419" i="49"/>
  <c r="CN420" i="49"/>
  <c r="CN419" i="49"/>
  <c r="CO276" i="49"/>
  <c r="CO278" i="49" s="1"/>
  <c r="CN278" i="49"/>
  <c r="CN277" i="49"/>
  <c r="CO243" i="49"/>
  <c r="CO210" i="49"/>
  <c r="CO139" i="49"/>
  <c r="CO141" i="49" s="1"/>
  <c r="CN141" i="49"/>
  <c r="CN140" i="49"/>
  <c r="CO105" i="49"/>
  <c r="CO72" i="49"/>
  <c r="CO38" i="49"/>
  <c r="CR912" i="4" l="1"/>
  <c r="CR865" i="4"/>
  <c r="CR784" i="4"/>
  <c r="CR775" i="4"/>
  <c r="CR770" i="4"/>
  <c r="CR768" i="4"/>
  <c r="CR764" i="4"/>
  <c r="CR702" i="4"/>
  <c r="JQ893" i="72" l="1"/>
  <c r="JP893" i="72"/>
  <c r="EG483" i="72"/>
  <c r="EG484" i="72" s="1"/>
  <c r="EG485" i="72" s="1"/>
  <c r="EG486" i="72" s="1"/>
  <c r="EG487" i="72" s="1"/>
  <c r="EG488" i="72" s="1"/>
  <c r="EG489" i="72" s="1"/>
  <c r="EI481" i="72"/>
  <c r="EJ481" i="72" s="1"/>
  <c r="EK481" i="72" s="1"/>
  <c r="EL481" i="72" s="1"/>
  <c r="EM481" i="72" s="1"/>
  <c r="EN481" i="72" s="1"/>
  <c r="EO481" i="72" s="1"/>
  <c r="EP481" i="72" s="1"/>
  <c r="EG469" i="72"/>
  <c r="EG470" i="72" s="1"/>
  <c r="EG471" i="72" s="1"/>
  <c r="EG472" i="72" s="1"/>
  <c r="EG473" i="72" s="1"/>
  <c r="EG474" i="72" s="1"/>
  <c r="EG475" i="72" s="1"/>
  <c r="EI467" i="72"/>
  <c r="EJ467" i="72" s="1"/>
  <c r="EK467" i="72" s="1"/>
  <c r="EL467" i="72" s="1"/>
  <c r="EM467" i="72" s="1"/>
  <c r="EN467" i="72" s="1"/>
  <c r="EO467" i="72" s="1"/>
  <c r="EP467" i="72" s="1"/>
  <c r="JL874" i="72" l="1"/>
  <c r="JL884" i="72"/>
  <c r="JL879" i="72"/>
  <c r="JL885" i="72"/>
  <c r="I65" i="45" l="1"/>
  <c r="EC444" i="72" l="1"/>
  <c r="ED444" i="72" s="1"/>
  <c r="ED449" i="72" s="1"/>
  <c r="EC449" i="72"/>
  <c r="EE444" i="72" l="1"/>
  <c r="EE449" i="72" s="1"/>
  <c r="ED453" i="72" l="1"/>
  <c r="ED457" i="72" s="1"/>
  <c r="EC458" i="72"/>
  <c r="EB458" i="72"/>
  <c r="EE453" i="72"/>
  <c r="EE457" i="72" s="1"/>
  <c r="EC451" i="72"/>
  <c r="EC455" i="72"/>
  <c r="IZ843" i="72" l="1"/>
  <c r="IZ842" i="72"/>
  <c r="IZ844" i="72" s="1"/>
  <c r="EG467" i="72"/>
  <c r="ED458" i="72"/>
  <c r="EE458" i="72"/>
  <c r="F46" i="87"/>
  <c r="F47" i="87"/>
  <c r="F45" i="87"/>
  <c r="CK110" i="51" l="1"/>
  <c r="AZ128" i="31" l="1"/>
  <c r="AY128" i="31"/>
  <c r="AX128" i="31"/>
  <c r="AW128" i="31"/>
  <c r="AZ126" i="31" s="1"/>
  <c r="AQ91" i="31"/>
  <c r="AI91" i="31"/>
  <c r="AA91" i="31"/>
  <c r="AR89" i="31"/>
  <c r="AR91" i="31" s="1"/>
  <c r="AQ89" i="31"/>
  <c r="AP89" i="31"/>
  <c r="AP91" i="31" s="1"/>
  <c r="AO89" i="31"/>
  <c r="AO91" i="31" s="1"/>
  <c r="AN89" i="31"/>
  <c r="AN91" i="31" s="1"/>
  <c r="AM89" i="31"/>
  <c r="AM91" i="31" s="1"/>
  <c r="AL89" i="31"/>
  <c r="AL91" i="31" s="1"/>
  <c r="AK89" i="31"/>
  <c r="AK91" i="31" s="1"/>
  <c r="AJ89" i="31"/>
  <c r="AJ91" i="31" s="1"/>
  <c r="AI89" i="31"/>
  <c r="AH89" i="31"/>
  <c r="AH91" i="31" s="1"/>
  <c r="AG89" i="31"/>
  <c r="AG91" i="31" s="1"/>
  <c r="AF89" i="31"/>
  <c r="AF91" i="31" s="1"/>
  <c r="AE89" i="31"/>
  <c r="AE91" i="31" s="1"/>
  <c r="AD89" i="31"/>
  <c r="AD91" i="31" s="1"/>
  <c r="AC89" i="31"/>
  <c r="AC91" i="31" s="1"/>
  <c r="AB89" i="31"/>
  <c r="AB91" i="31" s="1"/>
  <c r="AA89" i="31"/>
  <c r="N62" i="31"/>
  <c r="M62" i="31"/>
  <c r="P29" i="31"/>
  <c r="O29" i="31"/>
  <c r="O62" i="31" s="1"/>
  <c r="N29" i="31"/>
  <c r="M29" i="31"/>
  <c r="L29" i="31"/>
  <c r="L62" i="31" s="1"/>
  <c r="K29" i="31"/>
  <c r="K62" i="31" s="1"/>
  <c r="J29" i="31"/>
  <c r="I29" i="31"/>
  <c r="H29" i="31"/>
  <c r="G29" i="31"/>
  <c r="F29" i="31"/>
  <c r="E29" i="31"/>
  <c r="D29" i="31"/>
  <c r="C29" i="31"/>
  <c r="X14" i="31"/>
  <c r="W14" i="31"/>
  <c r="V14" i="31"/>
  <c r="U14" i="31"/>
  <c r="T14" i="31"/>
  <c r="S14" i="31"/>
  <c r="X13" i="31"/>
  <c r="W13" i="31"/>
  <c r="V13" i="31"/>
  <c r="U13" i="31"/>
  <c r="T13" i="31"/>
  <c r="S13" i="31"/>
  <c r="O7" i="31"/>
  <c r="N7" i="31"/>
  <c r="M7" i="31"/>
  <c r="L7" i="31"/>
  <c r="K7" i="31"/>
  <c r="J7" i="31"/>
  <c r="I7" i="31"/>
  <c r="GW375" i="9"/>
  <c r="GV375" i="9"/>
  <c r="GU375" i="9"/>
  <c r="GT375" i="9"/>
  <c r="GS375" i="9"/>
  <c r="GR375" i="9"/>
  <c r="GQ375" i="9"/>
  <c r="GP375" i="9"/>
  <c r="GO375" i="9"/>
  <c r="GN375" i="9"/>
  <c r="GM375" i="9"/>
  <c r="GL375" i="9"/>
  <c r="GK375" i="9"/>
  <c r="GJ375" i="9"/>
  <c r="GI375" i="9"/>
  <c r="GH375" i="9"/>
  <c r="GG375" i="9"/>
  <c r="GJ378" i="9" s="1"/>
  <c r="GF375" i="9"/>
  <c r="GE375" i="9"/>
  <c r="GD375" i="9"/>
  <c r="GC375" i="9"/>
  <c r="GB375" i="9"/>
  <c r="GA375" i="9"/>
  <c r="FZ375" i="9"/>
  <c r="FY375" i="9"/>
  <c r="FX375" i="9"/>
  <c r="FW375" i="9"/>
  <c r="FV375" i="9"/>
  <c r="FU375" i="9"/>
  <c r="FT375" i="9"/>
  <c r="FS375" i="9"/>
  <c r="FR375" i="9"/>
  <c r="FQ375" i="9"/>
  <c r="FP375" i="9"/>
  <c r="FO375" i="9"/>
  <c r="FN375" i="9"/>
  <c r="FM375" i="9"/>
  <c r="FL375" i="9"/>
  <c r="FK375" i="9"/>
  <c r="FJ375" i="9"/>
  <c r="FF375" i="9"/>
  <c r="GW371" i="9"/>
  <c r="GV371" i="9"/>
  <c r="GU371" i="9"/>
  <c r="GT371" i="9"/>
  <c r="GS371" i="9"/>
  <c r="GR371" i="9"/>
  <c r="GQ371" i="9"/>
  <c r="GP371" i="9"/>
  <c r="GO371" i="9"/>
  <c r="GN371" i="9"/>
  <c r="GM371" i="9"/>
  <c r="GL371" i="9"/>
  <c r="GK371" i="9"/>
  <c r="GJ371" i="9"/>
  <c r="GI371" i="9"/>
  <c r="GH371" i="9"/>
  <c r="GG371" i="9"/>
  <c r="GF371" i="9"/>
  <c r="GE371" i="9"/>
  <c r="GD371" i="9"/>
  <c r="GC371" i="9"/>
  <c r="GB371" i="9"/>
  <c r="GA371" i="9"/>
  <c r="FZ371" i="9"/>
  <c r="FY371" i="9"/>
  <c r="FX371" i="9"/>
  <c r="FW371" i="9"/>
  <c r="FV371" i="9"/>
  <c r="FU371" i="9"/>
  <c r="FT371" i="9"/>
  <c r="FS371" i="9"/>
  <c r="FR371" i="9"/>
  <c r="FQ371" i="9"/>
  <c r="FP371" i="9"/>
  <c r="FO371" i="9"/>
  <c r="FN371" i="9"/>
  <c r="FM371" i="9"/>
  <c r="FL371" i="9"/>
  <c r="FK371" i="9"/>
  <c r="FJ371" i="9"/>
  <c r="FI371" i="9"/>
  <c r="FH371" i="9"/>
  <c r="FG371" i="9"/>
  <c r="FF371" i="9"/>
  <c r="EX362" i="9"/>
  <c r="EW362" i="9"/>
  <c r="EV362" i="9"/>
  <c r="EU362" i="9"/>
  <c r="EO350" i="9"/>
  <c r="ER342" i="9"/>
  <c r="EP342" i="9"/>
  <c r="ER341" i="9"/>
  <c r="ER350" i="9" s="1"/>
  <c r="ER340" i="9"/>
  <c r="DZ330" i="9"/>
  <c r="EA330" i="9" s="1"/>
  <c r="EB330" i="9" s="1"/>
  <c r="EC330" i="9" s="1"/>
  <c r="ED330" i="9" s="1"/>
  <c r="EE330" i="9" s="1"/>
  <c r="EF330" i="9" s="1"/>
  <c r="DX330" i="9"/>
  <c r="DW330" i="9"/>
  <c r="DV330" i="9"/>
  <c r="DU330" i="9"/>
  <c r="ED325" i="9"/>
  <c r="EE325" i="9" s="1"/>
  <c r="EF325" i="9" s="1"/>
  <c r="EF315" i="9"/>
  <c r="EE315" i="9"/>
  <c r="ED315" i="9"/>
  <c r="EC315" i="9"/>
  <c r="EB315" i="9"/>
  <c r="EA315" i="9"/>
  <c r="DZ315" i="9"/>
  <c r="DY314" i="9"/>
  <c r="DX314" i="9"/>
  <c r="DW314" i="9"/>
  <c r="DV314" i="9"/>
  <c r="DU314" i="9"/>
  <c r="DX313" i="9"/>
  <c r="DW313" i="9"/>
  <c r="DV313" i="9"/>
  <c r="DU313" i="9"/>
  <c r="CT210" i="9" s="1"/>
  <c r="ED301" i="9"/>
  <c r="DQ297" i="9"/>
  <c r="DP297" i="9"/>
  <c r="DO297" i="9"/>
  <c r="DN297" i="9"/>
  <c r="DN267" i="9"/>
  <c r="DJ258" i="9"/>
  <c r="DJ254" i="9"/>
  <c r="DJ255" i="9" s="1"/>
  <c r="DB242" i="9"/>
  <c r="DA242" i="9"/>
  <c r="CZ242" i="9"/>
  <c r="CY242" i="9"/>
  <c r="CW242" i="9"/>
  <c r="CV242" i="9"/>
  <c r="CU242" i="9"/>
  <c r="CT242" i="9"/>
  <c r="DB241" i="9"/>
  <c r="DA241" i="9"/>
  <c r="DA243" i="9" s="1"/>
  <c r="CZ241" i="9"/>
  <c r="CZ243" i="9" s="1"/>
  <c r="CY241" i="9"/>
  <c r="CY243" i="9" s="1"/>
  <c r="CW241" i="9"/>
  <c r="CW243" i="9" s="1"/>
  <c r="CV241" i="9"/>
  <c r="CV243" i="9" s="1"/>
  <c r="CU241" i="9"/>
  <c r="CU243" i="9" s="1"/>
  <c r="CT241" i="9"/>
  <c r="CX234" i="9"/>
  <c r="CW234" i="9"/>
  <c r="CV234" i="9"/>
  <c r="CU234" i="9"/>
  <c r="CT234" i="9"/>
  <c r="DD234" i="9"/>
  <c r="DE234" i="9" s="1"/>
  <c r="DC234" i="9"/>
  <c r="DG231" i="9"/>
  <c r="DG233" i="9" s="1"/>
  <c r="CX214" i="9"/>
  <c r="CX211" i="9"/>
  <c r="CW211" i="9"/>
  <c r="CV211" i="9"/>
  <c r="CU211" i="9"/>
  <c r="CT211" i="9"/>
  <c r="CW210" i="9"/>
  <c r="CV210" i="9"/>
  <c r="CU210" i="9"/>
  <c r="BP157" i="9"/>
  <c r="BO157" i="9"/>
  <c r="BN157" i="9"/>
  <c r="BM157" i="9"/>
  <c r="BL157" i="9"/>
  <c r="BN152" i="9"/>
  <c r="BO152" i="9" s="1"/>
  <c r="BP152" i="9" s="1"/>
  <c r="BM152" i="9"/>
  <c r="BK144" i="9"/>
  <c r="BL117" i="9"/>
  <c r="BP116" i="9"/>
  <c r="BO116" i="9"/>
  <c r="BN116" i="9"/>
  <c r="BM116" i="9"/>
  <c r="BL116" i="9"/>
  <c r="BM111" i="9"/>
  <c r="BN111" i="9" s="1"/>
  <c r="BO111" i="9" s="1"/>
  <c r="BP111" i="9" s="1"/>
  <c r="BK103" i="9"/>
  <c r="AY77" i="9"/>
  <c r="AY75" i="9"/>
  <c r="AY76" i="9" s="1"/>
  <c r="AY74" i="9"/>
  <c r="AI56" i="9"/>
  <c r="AH56" i="9"/>
  <c r="AH55" i="9"/>
  <c r="AH54" i="9"/>
  <c r="AH52" i="9"/>
  <c r="AV56" i="9"/>
  <c r="AU56" i="9"/>
  <c r="AT56" i="9"/>
  <c r="AS56" i="9"/>
  <c r="AR56" i="9"/>
  <c r="AQ56" i="9"/>
  <c r="AP56" i="9"/>
  <c r="AO56" i="9"/>
  <c r="AN56" i="9"/>
  <c r="AM56" i="9"/>
  <c r="AL56" i="9"/>
  <c r="AR55" i="9"/>
  <c r="AQ55" i="9"/>
  <c r="AP55" i="9"/>
  <c r="AO55" i="9"/>
  <c r="AM55" i="9"/>
  <c r="AL55" i="9"/>
  <c r="AR54" i="9"/>
  <c r="AQ54" i="9"/>
  <c r="AP54" i="9"/>
  <c r="AO54" i="9"/>
  <c r="AM54" i="9"/>
  <c r="AL54" i="9"/>
  <c r="AR53" i="9"/>
  <c r="AQ53" i="9"/>
  <c r="AO53" i="9"/>
  <c r="AM53" i="9"/>
  <c r="AL53" i="9"/>
  <c r="AR52" i="9"/>
  <c r="AQ52" i="9"/>
  <c r="AP52" i="9"/>
  <c r="AO52" i="9"/>
  <c r="AM52" i="9"/>
  <c r="AL52" i="9"/>
  <c r="AK56" i="9"/>
  <c r="AJ56" i="9"/>
  <c r="AK55" i="9"/>
  <c r="AJ55" i="9"/>
  <c r="AK54" i="9"/>
  <c r="AJ54" i="9"/>
  <c r="AJ53" i="9"/>
  <c r="AK52" i="9"/>
  <c r="AJ52" i="9"/>
  <c r="BE48" i="9"/>
  <c r="AD39" i="9"/>
  <c r="AD38" i="9"/>
  <c r="AC40" i="9"/>
  <c r="AC39" i="9"/>
  <c r="AD33" i="9"/>
  <c r="AD32" i="9"/>
  <c r="AD35" i="9" s="1"/>
  <c r="W33" i="9"/>
  <c r="U24" i="9"/>
  <c r="AA23" i="9"/>
  <c r="X23" i="9"/>
  <c r="AD40" i="9" s="1"/>
  <c r="T23" i="9"/>
  <c r="AA9" i="9"/>
  <c r="Z9" i="9"/>
  <c r="Y9" i="9"/>
  <c r="X9" i="9"/>
  <c r="W9" i="9"/>
  <c r="V9" i="9"/>
  <c r="U9" i="9"/>
  <c r="Q2" i="9"/>
  <c r="AV49" i="9" s="1"/>
  <c r="P2" i="9"/>
  <c r="AU49" i="9" s="1"/>
  <c r="O2" i="9"/>
  <c r="AT49" i="9" s="1"/>
  <c r="N2" i="9"/>
  <c r="AS49" i="9" s="1"/>
  <c r="M2" i="9"/>
  <c r="AR49" i="9" s="1"/>
  <c r="L2" i="9"/>
  <c r="AQ49" i="9" s="1"/>
  <c r="K2" i="9"/>
  <c r="AP49" i="9" s="1"/>
  <c r="J2" i="9"/>
  <c r="AO49" i="9" s="1"/>
  <c r="I2" i="9"/>
  <c r="AN49" i="9" s="1"/>
  <c r="H2" i="9"/>
  <c r="AM49" i="9" s="1"/>
  <c r="G2" i="9"/>
  <c r="AL49" i="9" s="1"/>
  <c r="F2" i="9"/>
  <c r="AK49" i="9" s="1"/>
  <c r="E2" i="9"/>
  <c r="AJ49" i="9" s="1"/>
  <c r="D2" i="9"/>
  <c r="AI49" i="9" s="1"/>
  <c r="C2" i="9"/>
  <c r="AH49" i="9" s="1"/>
  <c r="D50" i="30"/>
  <c r="C50" i="30"/>
  <c r="K50" i="30" s="1"/>
  <c r="D49" i="30"/>
  <c r="C49" i="30"/>
  <c r="K49" i="30" s="1"/>
  <c r="D48" i="30"/>
  <c r="F48" i="30" s="1"/>
  <c r="D45" i="30"/>
  <c r="G45" i="30" s="1"/>
  <c r="D44" i="30"/>
  <c r="F44" i="30" s="1"/>
  <c r="D42" i="30"/>
  <c r="C47" i="30"/>
  <c r="L47" i="30" s="1"/>
  <c r="C46" i="30"/>
  <c r="K46" i="30" s="1"/>
  <c r="C43" i="30"/>
  <c r="L43" i="30" s="1"/>
  <c r="L50" i="30"/>
  <c r="L49" i="30"/>
  <c r="L48" i="30"/>
  <c r="K48" i="30"/>
  <c r="K47" i="30"/>
  <c r="L46" i="30"/>
  <c r="L45" i="30"/>
  <c r="K45" i="30"/>
  <c r="L44" i="30"/>
  <c r="K44" i="30"/>
  <c r="G50" i="30"/>
  <c r="G48" i="30"/>
  <c r="F45" i="30"/>
  <c r="G42" i="30"/>
  <c r="L35" i="30"/>
  <c r="F35" i="30"/>
  <c r="D35" i="30"/>
  <c r="G35" i="30" s="1"/>
  <c r="C35" i="30"/>
  <c r="K35" i="30" s="1"/>
  <c r="L32" i="30"/>
  <c r="K32" i="30"/>
  <c r="D32" i="30"/>
  <c r="G32" i="30" s="1"/>
  <c r="I30" i="30"/>
  <c r="D29" i="30"/>
  <c r="F29" i="30" s="1"/>
  <c r="D28" i="30"/>
  <c r="G28" i="30" s="1"/>
  <c r="D27" i="30"/>
  <c r="F27" i="30" s="1"/>
  <c r="D26" i="30"/>
  <c r="G26" i="30" s="1"/>
  <c r="L29" i="30"/>
  <c r="K29" i="30"/>
  <c r="L28" i="30"/>
  <c r="K28" i="30"/>
  <c r="L27" i="30"/>
  <c r="K27" i="30"/>
  <c r="L26" i="30"/>
  <c r="K26" i="30"/>
  <c r="G29" i="30"/>
  <c r="G27" i="30"/>
  <c r="F26" i="30"/>
  <c r="L23" i="30"/>
  <c r="K23" i="30"/>
  <c r="C19" i="30"/>
  <c r="D16" i="30"/>
  <c r="G16" i="30" s="1"/>
  <c r="D15" i="30"/>
  <c r="D19" i="30" s="1"/>
  <c r="L19" i="30"/>
  <c r="L18" i="30"/>
  <c r="K18" i="30"/>
  <c r="L17" i="30"/>
  <c r="K17" i="30"/>
  <c r="L16" i="30"/>
  <c r="K16" i="30"/>
  <c r="L15" i="30"/>
  <c r="K15" i="30"/>
  <c r="K19" i="30" s="1"/>
  <c r="F16" i="30"/>
  <c r="D11" i="30"/>
  <c r="G11" i="30" s="1"/>
  <c r="D10" i="30"/>
  <c r="G10" i="30" s="1"/>
  <c r="L11" i="30"/>
  <c r="K11" i="30"/>
  <c r="L10" i="30"/>
  <c r="K10" i="30"/>
  <c r="C9" i="30"/>
  <c r="L9" i="30" s="1"/>
  <c r="D50" i="35"/>
  <c r="D49" i="35"/>
  <c r="G49" i="35" s="1"/>
  <c r="D48" i="35"/>
  <c r="F48" i="35" s="1"/>
  <c r="D45" i="35"/>
  <c r="F45" i="35" s="1"/>
  <c r="D44" i="35"/>
  <c r="D42" i="35"/>
  <c r="C47" i="35"/>
  <c r="C43" i="35"/>
  <c r="L51" i="35"/>
  <c r="L50" i="35"/>
  <c r="K50" i="35"/>
  <c r="L49" i="35"/>
  <c r="K49" i="35"/>
  <c r="L48" i="35"/>
  <c r="K48" i="35"/>
  <c r="L47" i="35"/>
  <c r="K47" i="35"/>
  <c r="L46" i="35"/>
  <c r="K46" i="35"/>
  <c r="L45" i="35"/>
  <c r="K45" i="35"/>
  <c r="L44" i="35"/>
  <c r="K44" i="35"/>
  <c r="L43" i="35"/>
  <c r="L42" i="35"/>
  <c r="G50" i="35"/>
  <c r="F50" i="35"/>
  <c r="G45" i="35"/>
  <c r="G44" i="35"/>
  <c r="G42" i="35"/>
  <c r="L35" i="35"/>
  <c r="K35" i="35"/>
  <c r="F35" i="35"/>
  <c r="D35" i="35"/>
  <c r="G35" i="35" s="1"/>
  <c r="L32" i="35"/>
  <c r="K32" i="35"/>
  <c r="D32" i="35"/>
  <c r="G32" i="35" s="1"/>
  <c r="D29" i="35"/>
  <c r="F29" i="35" s="1"/>
  <c r="D28" i="35"/>
  <c r="F28" i="35" s="1"/>
  <c r="D27" i="35"/>
  <c r="F27" i="35" s="1"/>
  <c r="D26" i="35"/>
  <c r="L29" i="35"/>
  <c r="K29" i="35"/>
  <c r="L28" i="35"/>
  <c r="K28" i="35"/>
  <c r="L27" i="35"/>
  <c r="K27" i="35"/>
  <c r="L26" i="35"/>
  <c r="K26" i="35"/>
  <c r="G29" i="35"/>
  <c r="G28" i="35"/>
  <c r="G27" i="35"/>
  <c r="I23" i="35"/>
  <c r="C19" i="35"/>
  <c r="C18" i="35"/>
  <c r="P17" i="35"/>
  <c r="Q17" i="35" s="1"/>
  <c r="P16" i="35"/>
  <c r="Q16" i="35" s="1"/>
  <c r="P15" i="35"/>
  <c r="Q15" i="35" s="1"/>
  <c r="Q18" i="35" s="1"/>
  <c r="N17" i="35"/>
  <c r="N16" i="35"/>
  <c r="N15" i="35"/>
  <c r="D16" i="35"/>
  <c r="F16" i="35" s="1"/>
  <c r="D15" i="35"/>
  <c r="L17" i="35"/>
  <c r="K17" i="35"/>
  <c r="L16" i="35"/>
  <c r="K16" i="35"/>
  <c r="L15" i="35"/>
  <c r="K15" i="35"/>
  <c r="G16" i="35"/>
  <c r="G15" i="35"/>
  <c r="F15" i="35"/>
  <c r="I12" i="35"/>
  <c r="C12" i="35"/>
  <c r="C21" i="35" s="1"/>
  <c r="D11" i="35"/>
  <c r="F11" i="35" s="1"/>
  <c r="D10" i="35"/>
  <c r="G10" i="35" s="1"/>
  <c r="L11" i="35"/>
  <c r="K11" i="35"/>
  <c r="L10" i="35"/>
  <c r="K10" i="35"/>
  <c r="L9" i="35"/>
  <c r="K9" i="35"/>
  <c r="K12" i="35" s="1"/>
  <c r="G11" i="35"/>
  <c r="AE6" i="50"/>
  <c r="AD6" i="50"/>
  <c r="AC6" i="50"/>
  <c r="AB6" i="50"/>
  <c r="AA6" i="50"/>
  <c r="Y6" i="50"/>
  <c r="X6" i="50"/>
  <c r="W6" i="50"/>
  <c r="L6" i="50"/>
  <c r="J6" i="50"/>
  <c r="I6" i="50"/>
  <c r="H6" i="50"/>
  <c r="G6" i="50"/>
  <c r="K6" i="50" s="1"/>
  <c r="E6" i="50"/>
  <c r="D6" i="50"/>
  <c r="C6" i="50"/>
  <c r="F6" i="50" s="1"/>
  <c r="AI5" i="50"/>
  <c r="Z5" i="50"/>
  <c r="U5" i="50"/>
  <c r="V6" i="50" s="1"/>
  <c r="Z6" i="50" s="1"/>
  <c r="P5" i="50"/>
  <c r="Q5" i="50" s="1"/>
  <c r="M5" i="50"/>
  <c r="M6" i="50" s="1"/>
  <c r="K5" i="50"/>
  <c r="F5" i="50"/>
  <c r="AN5" i="50"/>
  <c r="BI4" i="50"/>
  <c r="BH4" i="50"/>
  <c r="BG4" i="50"/>
  <c r="BF4" i="50"/>
  <c r="BE4" i="50"/>
  <c r="BD4" i="50"/>
  <c r="BC4" i="50"/>
  <c r="BB4" i="50"/>
  <c r="BA4" i="50"/>
  <c r="AZ4" i="50"/>
  <c r="AY4" i="50"/>
  <c r="AX4" i="50"/>
  <c r="AW4" i="50"/>
  <c r="AV4" i="50"/>
  <c r="AU4" i="50"/>
  <c r="AT4" i="50"/>
  <c r="AS4" i="50"/>
  <c r="AR4" i="50"/>
  <c r="AQ4" i="50"/>
  <c r="AP4" i="50"/>
  <c r="AO4" i="50"/>
  <c r="AN4" i="50"/>
  <c r="AM4" i="50"/>
  <c r="AL4" i="50"/>
  <c r="AK4" i="50"/>
  <c r="N60" i="46"/>
  <c r="N59" i="46"/>
  <c r="N58" i="46"/>
  <c r="N57" i="46"/>
  <c r="H50" i="46"/>
  <c r="H49" i="46"/>
  <c r="H51" i="46" s="1"/>
  <c r="H45" i="46"/>
  <c r="H44" i="46"/>
  <c r="H43" i="46"/>
  <c r="H46" i="46" s="1"/>
  <c r="H39" i="46"/>
  <c r="H38" i="46"/>
  <c r="H40" i="46" s="1"/>
  <c r="H35" i="46"/>
  <c r="H34" i="46"/>
  <c r="H33" i="46"/>
  <c r="H32" i="46"/>
  <c r="B26" i="46"/>
  <c r="B25" i="46"/>
  <c r="B24" i="46"/>
  <c r="B23" i="46"/>
  <c r="B27" i="46" s="1"/>
  <c r="B18" i="46"/>
  <c r="B17" i="46"/>
  <c r="B16" i="46"/>
  <c r="B15" i="46"/>
  <c r="B19" i="46" s="1"/>
  <c r="B10" i="46"/>
  <c r="B9" i="46"/>
  <c r="B8" i="46"/>
  <c r="B7" i="46"/>
  <c r="B11" i="46" s="1"/>
  <c r="F78" i="47"/>
  <c r="H70" i="47"/>
  <c r="F71" i="47"/>
  <c r="H71" i="47" s="1"/>
  <c r="H72" i="47" s="1"/>
  <c r="F70" i="47"/>
  <c r="F72" i="47" s="1"/>
  <c r="G71" i="47"/>
  <c r="G70" i="47"/>
  <c r="F66" i="47"/>
  <c r="H66" i="47" s="1"/>
  <c r="F65" i="47"/>
  <c r="F67" i="47" s="1"/>
  <c r="F64" i="47"/>
  <c r="H64" i="47" s="1"/>
  <c r="G66" i="47"/>
  <c r="G65" i="47"/>
  <c r="G64" i="47"/>
  <c r="H60" i="47"/>
  <c r="H61" i="47" s="1"/>
  <c r="F60" i="47"/>
  <c r="F61" i="47" s="1"/>
  <c r="G60" i="47"/>
  <c r="H55" i="47"/>
  <c r="H57" i="47" s="1"/>
  <c r="F56" i="47"/>
  <c r="H56" i="47" s="1"/>
  <c r="F55" i="47"/>
  <c r="G56" i="47"/>
  <c r="G55" i="47"/>
  <c r="F49" i="47"/>
  <c r="K72" i="47"/>
  <c r="L72" i="47" s="1"/>
  <c r="F42" i="47"/>
  <c r="F41" i="47"/>
  <c r="K67" i="47"/>
  <c r="L67" i="47" s="1"/>
  <c r="F37" i="47"/>
  <c r="F36" i="47"/>
  <c r="F35" i="47"/>
  <c r="K61" i="47"/>
  <c r="L61" i="47" s="1"/>
  <c r="F31" i="47"/>
  <c r="K57" i="47"/>
  <c r="L57" i="47" s="1"/>
  <c r="F27" i="47"/>
  <c r="F26" i="47"/>
  <c r="B7" i="47"/>
  <c r="C7" i="47" s="1"/>
  <c r="B6" i="47"/>
  <c r="C6" i="47" s="1"/>
  <c r="G35" i="53"/>
  <c r="J33" i="53"/>
  <c r="G31" i="53"/>
  <c r="J31" i="53" s="1"/>
  <c r="G29" i="53"/>
  <c r="J29" i="53" s="1"/>
  <c r="J35" i="53" s="1"/>
  <c r="J14" i="53"/>
  <c r="G12" i="53"/>
  <c r="J12" i="53" s="1"/>
  <c r="G10" i="53"/>
  <c r="G16" i="53" s="1"/>
  <c r="R99" i="59"/>
  <c r="F58" i="59"/>
  <c r="E58" i="59"/>
  <c r="D58" i="59"/>
  <c r="C58" i="59"/>
  <c r="F41" i="59"/>
  <c r="E41" i="59"/>
  <c r="D41" i="59"/>
  <c r="C41" i="59"/>
  <c r="F38" i="59"/>
  <c r="E38" i="59"/>
  <c r="D38" i="59"/>
  <c r="C38" i="59"/>
  <c r="F29" i="59"/>
  <c r="E29" i="59"/>
  <c r="D29" i="59"/>
  <c r="C29" i="59"/>
  <c r="F15" i="59"/>
  <c r="E15" i="59"/>
  <c r="D15" i="59"/>
  <c r="C15" i="59"/>
  <c r="F8" i="59"/>
  <c r="E8" i="59"/>
  <c r="D8" i="59"/>
  <c r="C8" i="59"/>
  <c r="CF390" i="8"/>
  <c r="CB391" i="8"/>
  <c r="CF391" i="8" s="1"/>
  <c r="BT391" i="8"/>
  <c r="CD389" i="8"/>
  <c r="CF388" i="8"/>
  <c r="CF387" i="8"/>
  <c r="CB387" i="8"/>
  <c r="CF383" i="8"/>
  <c r="CB383" i="8"/>
  <c r="CF381" i="8"/>
  <c r="CF379" i="8"/>
  <c r="CB381" i="8"/>
  <c r="CB380" i="8"/>
  <c r="CF380" i="8" s="1"/>
  <c r="CF375" i="8"/>
  <c r="CF373" i="8"/>
  <c r="CB374" i="8"/>
  <c r="CF374" i="8" s="1"/>
  <c r="CF363" i="8"/>
  <c r="CF362" i="8"/>
  <c r="CF361" i="8"/>
  <c r="CF360" i="8"/>
  <c r="CB364" i="8"/>
  <c r="CF364" i="8" s="1"/>
  <c r="CB360" i="8"/>
  <c r="CF356" i="8"/>
  <c r="CB356" i="8"/>
  <c r="CF354" i="8"/>
  <c r="CF352" i="8"/>
  <c r="CB354" i="8"/>
  <c r="CB353" i="8"/>
  <c r="CF353" i="8" s="1"/>
  <c r="CB352" i="8"/>
  <c r="CF348" i="8"/>
  <c r="CF346" i="8"/>
  <c r="CB348" i="8"/>
  <c r="CB347" i="8"/>
  <c r="CF347" i="8" s="1"/>
  <c r="CF335" i="8"/>
  <c r="CF334" i="8"/>
  <c r="CF333" i="8"/>
  <c r="CB336" i="8"/>
  <c r="CF336" i="8" s="1"/>
  <c r="CB332" i="8"/>
  <c r="CF332" i="8" s="1"/>
  <c r="CB329" i="8"/>
  <c r="CF329" i="8" s="1"/>
  <c r="CB328" i="8"/>
  <c r="CF328" i="8" s="1"/>
  <c r="CB327" i="8"/>
  <c r="CF327" i="8" s="1"/>
  <c r="CB326" i="8"/>
  <c r="CF326" i="8" s="1"/>
  <c r="CF323" i="8"/>
  <c r="CF321" i="8"/>
  <c r="CB323" i="8"/>
  <c r="CB322" i="8"/>
  <c r="CF322" i="8" s="1"/>
  <c r="CB321" i="8"/>
  <c r="BR300" i="8"/>
  <c r="BB300" i="8"/>
  <c r="BB292" i="8"/>
  <c r="BR284" i="8"/>
  <c r="AY240" i="8"/>
  <c r="AY239" i="8"/>
  <c r="AY237" i="8"/>
  <c r="AY236" i="8"/>
  <c r="AY235" i="8"/>
  <c r="AY234" i="8"/>
  <c r="AY231" i="8"/>
  <c r="AY230" i="8"/>
  <c r="AY229" i="8"/>
  <c r="AD230" i="8"/>
  <c r="AB229" i="8"/>
  <c r="AY225" i="8"/>
  <c r="AY224" i="8" s="1"/>
  <c r="AD217" i="8"/>
  <c r="Y197" i="8"/>
  <c r="Y195" i="8"/>
  <c r="X192" i="8"/>
  <c r="Y192" i="8" s="1"/>
  <c r="Y190" i="8"/>
  <c r="Y189" i="8"/>
  <c r="Y188" i="8"/>
  <c r="Y183" i="8"/>
  <c r="Y181" i="8"/>
  <c r="X178" i="8"/>
  <c r="Y178" i="8"/>
  <c r="Y176" i="8"/>
  <c r="Y175" i="8"/>
  <c r="Y174" i="8"/>
  <c r="N165" i="8"/>
  <c r="N164" i="8"/>
  <c r="N162" i="8"/>
  <c r="N161" i="8"/>
  <c r="C147" i="8"/>
  <c r="B146" i="8"/>
  <c r="D145" i="8"/>
  <c r="D144" i="8"/>
  <c r="D147" i="8" s="1"/>
  <c r="P25" i="8"/>
  <c r="P27" i="8" s="1"/>
  <c r="P24" i="8"/>
  <c r="P23" i="8"/>
  <c r="Q20" i="8"/>
  <c r="P20" i="8"/>
  <c r="P61" i="48"/>
  <c r="P60" i="48"/>
  <c r="P59" i="48"/>
  <c r="P58" i="48"/>
  <c r="P57" i="48"/>
  <c r="P56" i="48"/>
  <c r="D50" i="48"/>
  <c r="D49" i="48"/>
  <c r="G49" i="48" s="1"/>
  <c r="D48" i="48"/>
  <c r="F48" i="48" s="1"/>
  <c r="D45" i="48"/>
  <c r="D44" i="48"/>
  <c r="F44" i="48" s="1"/>
  <c r="D42" i="48"/>
  <c r="C47" i="48"/>
  <c r="C43" i="48"/>
  <c r="L43" i="48" s="1"/>
  <c r="L50" i="48"/>
  <c r="K50" i="48"/>
  <c r="L49" i="48"/>
  <c r="K49" i="48"/>
  <c r="L48" i="48"/>
  <c r="K48" i="48"/>
  <c r="L47" i="48"/>
  <c r="K47" i="48"/>
  <c r="L46" i="48"/>
  <c r="K46" i="48"/>
  <c r="L45" i="48"/>
  <c r="K45" i="48"/>
  <c r="L44" i="48"/>
  <c r="K44" i="48"/>
  <c r="G50" i="48"/>
  <c r="F50" i="48"/>
  <c r="F49" i="48"/>
  <c r="G45" i="48"/>
  <c r="F45" i="48"/>
  <c r="G42" i="48"/>
  <c r="D38" i="48"/>
  <c r="F38" i="48" s="1"/>
  <c r="G38" i="48" s="1"/>
  <c r="L35" i="48"/>
  <c r="K35" i="48"/>
  <c r="F35" i="48"/>
  <c r="D35" i="48"/>
  <c r="G35" i="48" s="1"/>
  <c r="L32" i="48"/>
  <c r="K32" i="48"/>
  <c r="D32" i="48"/>
  <c r="G32" i="48" s="1"/>
  <c r="D29" i="48"/>
  <c r="F29" i="48" s="1"/>
  <c r="D28" i="48"/>
  <c r="D27" i="48"/>
  <c r="D26" i="48"/>
  <c r="L29" i="48"/>
  <c r="K29" i="48"/>
  <c r="L28" i="48"/>
  <c r="K28" i="48"/>
  <c r="L27" i="48"/>
  <c r="K27" i="48"/>
  <c r="L26" i="48"/>
  <c r="K26" i="48"/>
  <c r="G29" i="48"/>
  <c r="G28" i="48"/>
  <c r="F28" i="48"/>
  <c r="G26" i="48"/>
  <c r="F26" i="48"/>
  <c r="I23" i="48"/>
  <c r="L23" i="48"/>
  <c r="K23" i="48"/>
  <c r="I19" i="48"/>
  <c r="C18" i="48"/>
  <c r="K18" i="48" s="1"/>
  <c r="D16" i="48"/>
  <c r="D15" i="48"/>
  <c r="D19" i="48" s="1"/>
  <c r="L17" i="48"/>
  <c r="K17" i="48"/>
  <c r="L16" i="48"/>
  <c r="K16" i="48"/>
  <c r="L15" i="48"/>
  <c r="K15" i="48"/>
  <c r="K19" i="48" s="1"/>
  <c r="G16" i="48"/>
  <c r="F16" i="48"/>
  <c r="F15" i="48"/>
  <c r="I12" i="48"/>
  <c r="I21" i="48" s="1"/>
  <c r="D11" i="48"/>
  <c r="F11" i="48" s="1"/>
  <c r="D10" i="48"/>
  <c r="G10" i="48" s="1"/>
  <c r="L11" i="48"/>
  <c r="K11" i="48"/>
  <c r="L10" i="48"/>
  <c r="K10" i="48"/>
  <c r="K12" i="48" s="1"/>
  <c r="K9" i="48"/>
  <c r="C9" i="48"/>
  <c r="P55" i="48" s="1"/>
  <c r="Q82" i="56"/>
  <c r="Q81" i="56"/>
  <c r="Z78" i="56"/>
  <c r="Z77" i="56"/>
  <c r="Q78" i="56"/>
  <c r="Q76" i="56"/>
  <c r="F61" i="56"/>
  <c r="F60" i="56"/>
  <c r="C61" i="56"/>
  <c r="C60" i="56"/>
  <c r="C59" i="56"/>
  <c r="F59" i="56" s="1"/>
  <c r="I57" i="56"/>
  <c r="L57" i="56"/>
  <c r="K57" i="56"/>
  <c r="L56" i="56"/>
  <c r="K56" i="56"/>
  <c r="L55" i="56"/>
  <c r="K55" i="56"/>
  <c r="L54" i="56"/>
  <c r="K54" i="56"/>
  <c r="L53" i="56"/>
  <c r="K53" i="56"/>
  <c r="I47" i="56"/>
  <c r="D45" i="56"/>
  <c r="D44" i="56"/>
  <c r="D41" i="56"/>
  <c r="F41" i="56" s="1"/>
  <c r="D40" i="56"/>
  <c r="D38" i="56"/>
  <c r="C43" i="56"/>
  <c r="C42" i="56"/>
  <c r="C39" i="56"/>
  <c r="L45" i="56"/>
  <c r="K45" i="56"/>
  <c r="L44" i="56"/>
  <c r="K44" i="56"/>
  <c r="L43" i="56"/>
  <c r="K43" i="56"/>
  <c r="L42" i="56"/>
  <c r="K42" i="56"/>
  <c r="L41" i="56"/>
  <c r="K41" i="56"/>
  <c r="L40" i="56"/>
  <c r="K40" i="56"/>
  <c r="L39" i="56"/>
  <c r="K39" i="56"/>
  <c r="G45" i="56"/>
  <c r="F45" i="56"/>
  <c r="G44" i="56"/>
  <c r="F44" i="56"/>
  <c r="G41" i="56"/>
  <c r="G40" i="56"/>
  <c r="F40" i="56"/>
  <c r="G38" i="56"/>
  <c r="G34" i="56"/>
  <c r="F32" i="56"/>
  <c r="D32" i="56"/>
  <c r="G32" i="56" s="1"/>
  <c r="D30" i="56"/>
  <c r="G30" i="56" s="1"/>
  <c r="D28" i="56"/>
  <c r="F28" i="56" s="1"/>
  <c r="D27" i="56"/>
  <c r="G27" i="56" s="1"/>
  <c r="D26" i="56"/>
  <c r="G26" i="56" s="1"/>
  <c r="D25" i="56"/>
  <c r="G25" i="56" s="1"/>
  <c r="L32" i="56"/>
  <c r="K32" i="56"/>
  <c r="L30" i="56"/>
  <c r="K30" i="56"/>
  <c r="L28" i="56"/>
  <c r="K28" i="56"/>
  <c r="L27" i="56"/>
  <c r="K27" i="56"/>
  <c r="L26" i="56"/>
  <c r="K26" i="56"/>
  <c r="L25" i="56"/>
  <c r="K25" i="56"/>
  <c r="G23" i="56"/>
  <c r="D23" i="56"/>
  <c r="L22" i="56"/>
  <c r="K22" i="56"/>
  <c r="G21" i="56"/>
  <c r="I19" i="56"/>
  <c r="I18" i="56"/>
  <c r="C18" i="56"/>
  <c r="C19" i="56" s="1"/>
  <c r="D16" i="56"/>
  <c r="G16" i="56" s="1"/>
  <c r="D15" i="56"/>
  <c r="N15" i="56"/>
  <c r="K18" i="56"/>
  <c r="L17" i="56"/>
  <c r="K17" i="56"/>
  <c r="L16" i="56"/>
  <c r="K16" i="56"/>
  <c r="L15" i="56"/>
  <c r="K15" i="56"/>
  <c r="K19" i="56" s="1"/>
  <c r="F16" i="56"/>
  <c r="G15" i="56"/>
  <c r="F15" i="56"/>
  <c r="I12" i="56"/>
  <c r="I21" i="56" s="1"/>
  <c r="C12" i="56"/>
  <c r="D11" i="56"/>
  <c r="F11" i="56" s="1"/>
  <c r="D10" i="56"/>
  <c r="F10" i="56" s="1"/>
  <c r="L11" i="56"/>
  <c r="K11" i="56"/>
  <c r="L10" i="56"/>
  <c r="K10" i="56"/>
  <c r="L9" i="56"/>
  <c r="K9" i="56"/>
  <c r="K12" i="56" s="1"/>
  <c r="G11" i="56"/>
  <c r="C3" i="56"/>
  <c r="H44" i="58"/>
  <c r="G44" i="58"/>
  <c r="F44" i="58"/>
  <c r="E44" i="58"/>
  <c r="H43" i="58"/>
  <c r="G43" i="58"/>
  <c r="F43" i="58"/>
  <c r="E43" i="58"/>
  <c r="H42" i="58"/>
  <c r="H45" i="58" s="1"/>
  <c r="G42" i="58"/>
  <c r="G45" i="58" s="1"/>
  <c r="F42" i="58"/>
  <c r="F45" i="58" s="1"/>
  <c r="E42" i="58"/>
  <c r="E45" i="58" s="1"/>
  <c r="H39" i="58"/>
  <c r="G39" i="58"/>
  <c r="F39" i="58"/>
  <c r="E39" i="58"/>
  <c r="H35" i="58"/>
  <c r="G35" i="58"/>
  <c r="F35" i="58"/>
  <c r="E35" i="58"/>
  <c r="B28" i="58"/>
  <c r="H24" i="58"/>
  <c r="G24" i="58"/>
  <c r="F24" i="58"/>
  <c r="E24" i="58"/>
  <c r="D24" i="58"/>
  <c r="C24" i="58"/>
  <c r="C26" i="58" s="1"/>
  <c r="F12" i="58"/>
  <c r="I11" i="58"/>
  <c r="H11" i="58"/>
  <c r="H12" i="58" s="1"/>
  <c r="G11" i="58"/>
  <c r="G12" i="58" s="1"/>
  <c r="G13" i="58" s="1"/>
  <c r="F11" i="58"/>
  <c r="F13" i="58" s="1"/>
  <c r="E11" i="58"/>
  <c r="D11" i="58"/>
  <c r="D12" i="58" s="1"/>
  <c r="C11" i="58"/>
  <c r="C12" i="58" s="1"/>
  <c r="C13" i="58" s="1"/>
  <c r="F57" i="57"/>
  <c r="E57" i="57"/>
  <c r="C57" i="57"/>
  <c r="F54" i="57"/>
  <c r="E53" i="57"/>
  <c r="E54" i="57" s="1"/>
  <c r="D53" i="57"/>
  <c r="D57" i="57" s="1"/>
  <c r="B52" i="57"/>
  <c r="F52" i="57"/>
  <c r="E52" i="57"/>
  <c r="D52" i="57"/>
  <c r="C52" i="57"/>
  <c r="C54" i="57" s="1"/>
  <c r="F27" i="57"/>
  <c r="E27" i="57"/>
  <c r="D27" i="57"/>
  <c r="C27" i="57"/>
  <c r="B27" i="57"/>
  <c r="F26" i="57"/>
  <c r="E26" i="57"/>
  <c r="D26" i="57"/>
  <c r="C26" i="57"/>
  <c r="B26" i="57"/>
  <c r="F25" i="57"/>
  <c r="E25" i="57"/>
  <c r="D25" i="57"/>
  <c r="C25" i="57"/>
  <c r="B25" i="57"/>
  <c r="F24" i="57"/>
  <c r="E24" i="57"/>
  <c r="D24" i="57"/>
  <c r="C24" i="57"/>
  <c r="B24" i="57"/>
  <c r="F23" i="57"/>
  <c r="E23" i="57"/>
  <c r="D23" i="57"/>
  <c r="C23" i="57"/>
  <c r="B23" i="57"/>
  <c r="F22" i="57"/>
  <c r="E22" i="57"/>
  <c r="D22" i="57"/>
  <c r="C22" i="57"/>
  <c r="B22" i="57"/>
  <c r="F21" i="57"/>
  <c r="E21" i="57"/>
  <c r="D21" i="57"/>
  <c r="C21" i="57"/>
  <c r="B21" i="57"/>
  <c r="F19" i="57"/>
  <c r="E19" i="57"/>
  <c r="D19" i="57"/>
  <c r="C19" i="57"/>
  <c r="B19" i="57"/>
  <c r="M7" i="62"/>
  <c r="L7" i="62"/>
  <c r="K7" i="62"/>
  <c r="J7" i="62"/>
  <c r="I7" i="62"/>
  <c r="H7" i="62"/>
  <c r="G7" i="62"/>
  <c r="F7" i="62"/>
  <c r="E7" i="62"/>
  <c r="D7" i="62"/>
  <c r="C7" i="62"/>
  <c r="B7" i="62"/>
  <c r="M2" i="62"/>
  <c r="L2" i="62"/>
  <c r="K2" i="62"/>
  <c r="J2" i="62"/>
  <c r="I2" i="62"/>
  <c r="H2" i="62"/>
  <c r="G2" i="62"/>
  <c r="F2" i="62"/>
  <c r="E2" i="62"/>
  <c r="D2" i="62"/>
  <c r="C2" i="62"/>
  <c r="B2" i="62"/>
  <c r="AI102" i="63"/>
  <c r="AI101" i="63"/>
  <c r="AI100" i="63"/>
  <c r="AI97" i="63"/>
  <c r="AI94" i="63"/>
  <c r="AI93" i="63"/>
  <c r="AI92" i="63"/>
  <c r="AI89" i="63"/>
  <c r="AI88" i="63"/>
  <c r="AI87" i="63"/>
  <c r="AI86" i="63"/>
  <c r="AI85" i="63"/>
  <c r="AI84" i="63"/>
  <c r="R75" i="63"/>
  <c r="T75" i="63" s="1"/>
  <c r="R74" i="63"/>
  <c r="T74" i="63" s="1"/>
  <c r="R72" i="63"/>
  <c r="T72" i="63" s="1"/>
  <c r="R69" i="63"/>
  <c r="T69" i="63" s="1"/>
  <c r="T65" i="63"/>
  <c r="T64" i="63"/>
  <c r="T63" i="63"/>
  <c r="I52" i="63"/>
  <c r="L52" i="63" s="1"/>
  <c r="C52" i="63"/>
  <c r="L51" i="63"/>
  <c r="K51" i="63"/>
  <c r="K50" i="63"/>
  <c r="K49" i="63"/>
  <c r="L49" i="63"/>
  <c r="I44" i="63"/>
  <c r="L43" i="63"/>
  <c r="L42" i="63"/>
  <c r="L41" i="63"/>
  <c r="L40" i="63"/>
  <c r="L39" i="63"/>
  <c r="L38" i="63"/>
  <c r="K43" i="63"/>
  <c r="K40" i="63"/>
  <c r="D44" i="63"/>
  <c r="D43" i="63"/>
  <c r="F43" i="63" s="1"/>
  <c r="D40" i="63"/>
  <c r="D39" i="63"/>
  <c r="F39" i="63" s="1"/>
  <c r="C42" i="63"/>
  <c r="K42" i="63" s="1"/>
  <c r="C41" i="63"/>
  <c r="K41" i="63" s="1"/>
  <c r="C38" i="63"/>
  <c r="G44" i="63"/>
  <c r="F44" i="63"/>
  <c r="G43" i="63"/>
  <c r="G40" i="63"/>
  <c r="F40" i="63"/>
  <c r="G39" i="63"/>
  <c r="I31" i="63"/>
  <c r="K31" i="63" s="1"/>
  <c r="L29" i="63"/>
  <c r="C34" i="63"/>
  <c r="D31" i="63"/>
  <c r="D29" i="63"/>
  <c r="F29" i="63" s="1"/>
  <c r="D26" i="63"/>
  <c r="F26" i="63" s="1"/>
  <c r="D25" i="63"/>
  <c r="D24" i="63"/>
  <c r="F24" i="63" s="1"/>
  <c r="D23" i="63"/>
  <c r="L31" i="63"/>
  <c r="G31" i="63"/>
  <c r="F31" i="63"/>
  <c r="G29" i="63"/>
  <c r="K26" i="63"/>
  <c r="L24" i="63"/>
  <c r="L26" i="63"/>
  <c r="L25" i="63"/>
  <c r="K25" i="63"/>
  <c r="L23" i="63"/>
  <c r="K23" i="63"/>
  <c r="G25" i="63"/>
  <c r="F25" i="63"/>
  <c r="G24" i="63"/>
  <c r="G23" i="63"/>
  <c r="F23" i="63"/>
  <c r="C16" i="63"/>
  <c r="C17" i="63" s="1"/>
  <c r="K15" i="63"/>
  <c r="D14" i="63"/>
  <c r="G14" i="63" s="1"/>
  <c r="L15" i="63"/>
  <c r="K14" i="63"/>
  <c r="F14" i="63"/>
  <c r="K10" i="63"/>
  <c r="I11" i="63"/>
  <c r="D10" i="63"/>
  <c r="G10" i="63" s="1"/>
  <c r="L10" i="63"/>
  <c r="C9" i="63"/>
  <c r="R68" i="63" s="1"/>
  <c r="T68" i="63" s="1"/>
  <c r="AU110" i="64"/>
  <c r="AT110" i="64"/>
  <c r="AW106" i="64"/>
  <c r="AW107" i="64" s="1"/>
  <c r="AM102" i="64"/>
  <c r="AM101" i="64"/>
  <c r="AM100" i="64"/>
  <c r="AM97" i="64"/>
  <c r="AW96" i="64"/>
  <c r="AM94" i="64"/>
  <c r="AM93" i="64"/>
  <c r="AM92" i="64"/>
  <c r="AM88" i="64"/>
  <c r="AM87" i="64"/>
  <c r="AM86" i="64"/>
  <c r="AM85" i="64"/>
  <c r="AM84" i="64"/>
  <c r="AK89" i="64"/>
  <c r="AI89" i="64"/>
  <c r="AM89" i="64" s="1"/>
  <c r="T75" i="64"/>
  <c r="T74" i="64"/>
  <c r="T73" i="64"/>
  <c r="T72" i="64"/>
  <c r="T69" i="64"/>
  <c r="R69" i="64"/>
  <c r="R68" i="64"/>
  <c r="T68" i="64" s="1"/>
  <c r="T65" i="64"/>
  <c r="T64" i="64"/>
  <c r="T63" i="64"/>
  <c r="T60" i="64"/>
  <c r="I52" i="64"/>
  <c r="C52" i="64"/>
  <c r="L51" i="64"/>
  <c r="K51" i="64"/>
  <c r="L50" i="64"/>
  <c r="K50" i="64"/>
  <c r="L49" i="64"/>
  <c r="I44" i="64"/>
  <c r="L43" i="64"/>
  <c r="L39" i="64"/>
  <c r="D44" i="64"/>
  <c r="G44" i="64" s="1"/>
  <c r="D43" i="64"/>
  <c r="F43" i="64" s="1"/>
  <c r="D40" i="64"/>
  <c r="F40" i="64" s="1"/>
  <c r="D39" i="64"/>
  <c r="G39" i="64" s="1"/>
  <c r="C42" i="64"/>
  <c r="C41" i="64"/>
  <c r="L41" i="64" s="1"/>
  <c r="C38" i="64"/>
  <c r="L42" i="64"/>
  <c r="K42" i="64"/>
  <c r="K41" i="64"/>
  <c r="L40" i="64"/>
  <c r="K40" i="64"/>
  <c r="L38" i="64"/>
  <c r="K38" i="64"/>
  <c r="G40" i="64"/>
  <c r="I31" i="64"/>
  <c r="L29" i="64"/>
  <c r="C34" i="64"/>
  <c r="D31" i="64"/>
  <c r="G31" i="64" s="1"/>
  <c r="D29" i="64"/>
  <c r="F29" i="64" s="1"/>
  <c r="D26" i="64"/>
  <c r="F26" i="64" s="1"/>
  <c r="D25" i="64"/>
  <c r="D24" i="64"/>
  <c r="D23" i="64"/>
  <c r="F31" i="64"/>
  <c r="K25" i="64"/>
  <c r="L24" i="64"/>
  <c r="K23" i="64"/>
  <c r="L26" i="64"/>
  <c r="K26" i="64"/>
  <c r="L23" i="64"/>
  <c r="G25" i="64"/>
  <c r="F25" i="64"/>
  <c r="G24" i="64"/>
  <c r="F24" i="64"/>
  <c r="F23" i="64"/>
  <c r="C17" i="64"/>
  <c r="C16" i="64"/>
  <c r="K14" i="64"/>
  <c r="D14" i="64"/>
  <c r="L15" i="64"/>
  <c r="K15" i="64"/>
  <c r="G14" i="64"/>
  <c r="F14" i="64"/>
  <c r="K10" i="64"/>
  <c r="L9" i="64"/>
  <c r="D10" i="64"/>
  <c r="G10" i="64" s="1"/>
  <c r="L10" i="64"/>
  <c r="C9" i="64"/>
  <c r="C11" i="64" s="1"/>
  <c r="L31" i="55"/>
  <c r="M31" i="55" s="1"/>
  <c r="N31" i="55" s="1"/>
  <c r="O31" i="55" s="1"/>
  <c r="J27" i="55"/>
  <c r="K27" i="55" s="1"/>
  <c r="I27" i="55"/>
  <c r="H27" i="55"/>
  <c r="G27" i="55"/>
  <c r="F27" i="55"/>
  <c r="E27" i="55"/>
  <c r="D27" i="55"/>
  <c r="C27" i="55"/>
  <c r="B27" i="55"/>
  <c r="K26" i="55"/>
  <c r="L26" i="55" s="1"/>
  <c r="J26" i="55"/>
  <c r="J28" i="55" s="1"/>
  <c r="I26" i="55"/>
  <c r="I28" i="55" s="1"/>
  <c r="H26" i="55"/>
  <c r="H28" i="55" s="1"/>
  <c r="G26" i="55"/>
  <c r="G28" i="55" s="1"/>
  <c r="F26" i="55"/>
  <c r="F28" i="55" s="1"/>
  <c r="E26" i="55"/>
  <c r="E28" i="55" s="1"/>
  <c r="D26" i="55"/>
  <c r="D28" i="55" s="1"/>
  <c r="C26" i="55"/>
  <c r="C28" i="55" s="1"/>
  <c r="B26" i="55"/>
  <c r="B28" i="55" s="1"/>
  <c r="I11" i="55"/>
  <c r="H11" i="55"/>
  <c r="AA177" i="38"/>
  <c r="AA174" i="38"/>
  <c r="V167" i="38"/>
  <c r="U167" i="38"/>
  <c r="U169" i="38" s="1"/>
  <c r="V140" i="38"/>
  <c r="U140" i="38"/>
  <c r="V126" i="38"/>
  <c r="U126" i="38"/>
  <c r="V111" i="38"/>
  <c r="AA176" i="38" s="1"/>
  <c r="U111" i="38"/>
  <c r="V106" i="38"/>
  <c r="AA175" i="38" s="1"/>
  <c r="U106" i="38"/>
  <c r="L74" i="38"/>
  <c r="R71" i="38"/>
  <c r="R70" i="38"/>
  <c r="R69" i="38"/>
  <c r="R68" i="38"/>
  <c r="R67" i="38"/>
  <c r="R66" i="38"/>
  <c r="R65" i="38"/>
  <c r="R64" i="38"/>
  <c r="R63" i="38"/>
  <c r="R62" i="38"/>
  <c r="R61" i="38"/>
  <c r="R60" i="38"/>
  <c r="R59" i="38"/>
  <c r="R58" i="38"/>
  <c r="R57" i="38"/>
  <c r="R56" i="38"/>
  <c r="R55" i="38"/>
  <c r="R72" i="38" s="1"/>
  <c r="P72" i="38"/>
  <c r="P74" i="38" s="1"/>
  <c r="O72" i="38"/>
  <c r="O74" i="38" s="1"/>
  <c r="M72" i="38"/>
  <c r="M74" i="38" s="1"/>
  <c r="L72" i="38"/>
  <c r="R51" i="38"/>
  <c r="R50" i="38"/>
  <c r="R49" i="38"/>
  <c r="R48" i="38"/>
  <c r="R47" i="38"/>
  <c r="R46" i="38"/>
  <c r="R45" i="38"/>
  <c r="R44" i="38"/>
  <c r="R43" i="38"/>
  <c r="R42" i="38"/>
  <c r="R41" i="38"/>
  <c r="R40" i="38"/>
  <c r="R39" i="38"/>
  <c r="R38" i="38"/>
  <c r="R37" i="38"/>
  <c r="R36" i="38"/>
  <c r="R35" i="38"/>
  <c r="R34" i="38"/>
  <c r="R33" i="38"/>
  <c r="R52" i="38" s="1"/>
  <c r="P52" i="38"/>
  <c r="O52" i="38"/>
  <c r="M52" i="38"/>
  <c r="L52" i="38"/>
  <c r="H24" i="38"/>
  <c r="G24" i="38"/>
  <c r="F24" i="38"/>
  <c r="E24" i="38"/>
  <c r="D24" i="38"/>
  <c r="C24" i="38"/>
  <c r="D23" i="38"/>
  <c r="C23" i="38"/>
  <c r="H22" i="38"/>
  <c r="G22" i="38"/>
  <c r="F22" i="38"/>
  <c r="E22" i="38"/>
  <c r="D22" i="38"/>
  <c r="C22" i="38"/>
  <c r="G19" i="38"/>
  <c r="C19" i="38"/>
  <c r="H12" i="38"/>
  <c r="H23" i="38" s="1"/>
  <c r="F12" i="38"/>
  <c r="G23" i="38" s="1"/>
  <c r="E12" i="38"/>
  <c r="E23" i="38" s="1"/>
  <c r="H10" i="38"/>
  <c r="H21" i="38" s="1"/>
  <c r="G10" i="38"/>
  <c r="F10" i="38"/>
  <c r="F21" i="38" s="1"/>
  <c r="E10" i="38"/>
  <c r="E21" i="38" s="1"/>
  <c r="D10" i="38"/>
  <c r="D21" i="38" s="1"/>
  <c r="C10" i="38"/>
  <c r="B10" i="38"/>
  <c r="C21" i="38" s="1"/>
  <c r="E9" i="38"/>
  <c r="H8" i="38"/>
  <c r="H19" i="38" s="1"/>
  <c r="G8" i="38"/>
  <c r="G9" i="38" s="1"/>
  <c r="F8" i="38"/>
  <c r="E8" i="38"/>
  <c r="E19" i="38" s="1"/>
  <c r="D8" i="38"/>
  <c r="D19" i="38" s="1"/>
  <c r="C8" i="38"/>
  <c r="C9" i="38" s="1"/>
  <c r="B8" i="38"/>
  <c r="AY110" i="66"/>
  <c r="AX110" i="66"/>
  <c r="BA107" i="66"/>
  <c r="BA106" i="66"/>
  <c r="AQ102" i="66"/>
  <c r="AQ101" i="66"/>
  <c r="AQ100" i="66"/>
  <c r="AQ97" i="66"/>
  <c r="BA96" i="66"/>
  <c r="AQ88" i="66"/>
  <c r="AQ87" i="66"/>
  <c r="AQ86" i="66"/>
  <c r="AQ85" i="66"/>
  <c r="AQ84" i="66"/>
  <c r="AO89" i="66"/>
  <c r="AQ89" i="66" s="1"/>
  <c r="AM89" i="66"/>
  <c r="AK89" i="66"/>
  <c r="AI89" i="66"/>
  <c r="AS85" i="66"/>
  <c r="T75" i="66"/>
  <c r="T74" i="66"/>
  <c r="T73" i="66"/>
  <c r="T72" i="66"/>
  <c r="AS70" i="66"/>
  <c r="T69" i="66"/>
  <c r="T68" i="66"/>
  <c r="V68" i="66"/>
  <c r="T65" i="66"/>
  <c r="T64" i="66"/>
  <c r="T63" i="66"/>
  <c r="T60" i="66"/>
  <c r="K51" i="66"/>
  <c r="L50" i="66"/>
  <c r="C52" i="66"/>
  <c r="K50" i="66"/>
  <c r="L49" i="66"/>
  <c r="I44" i="66"/>
  <c r="K44" i="66" s="1"/>
  <c r="L43" i="66"/>
  <c r="L41" i="66"/>
  <c r="K40" i="66"/>
  <c r="L39" i="66"/>
  <c r="D44" i="66"/>
  <c r="G44" i="66" s="1"/>
  <c r="D43" i="66"/>
  <c r="F43" i="66" s="1"/>
  <c r="D40" i="66"/>
  <c r="D39" i="66"/>
  <c r="F39" i="66" s="1"/>
  <c r="C42" i="66"/>
  <c r="C41" i="66"/>
  <c r="C38" i="66"/>
  <c r="L44" i="66"/>
  <c r="K43" i="66"/>
  <c r="L42" i="66"/>
  <c r="K42" i="66"/>
  <c r="K41" i="66"/>
  <c r="L40" i="66"/>
  <c r="K39" i="66"/>
  <c r="L38" i="66"/>
  <c r="F44" i="66"/>
  <c r="G43" i="66"/>
  <c r="G40" i="66"/>
  <c r="F40" i="66"/>
  <c r="G39" i="66"/>
  <c r="I31" i="66"/>
  <c r="K31" i="66" s="1"/>
  <c r="I30" i="66"/>
  <c r="K29" i="66"/>
  <c r="C34" i="66"/>
  <c r="D33" i="66"/>
  <c r="F33" i="66" s="1"/>
  <c r="D31" i="66"/>
  <c r="F31" i="66" s="1"/>
  <c r="D29" i="66"/>
  <c r="F29" i="66" s="1"/>
  <c r="D26" i="66"/>
  <c r="D25" i="66"/>
  <c r="F25" i="66" s="1"/>
  <c r="D24" i="66"/>
  <c r="F24" i="66" s="1"/>
  <c r="D23" i="66"/>
  <c r="G23" i="66" s="1"/>
  <c r="L31" i="66"/>
  <c r="L29" i="66"/>
  <c r="G31" i="66"/>
  <c r="K26" i="66"/>
  <c r="K24" i="66"/>
  <c r="L23" i="66"/>
  <c r="L26" i="66"/>
  <c r="L25" i="66"/>
  <c r="K25" i="66"/>
  <c r="L24" i="66"/>
  <c r="G26" i="66"/>
  <c r="F26" i="66"/>
  <c r="G24" i="66"/>
  <c r="F23" i="66"/>
  <c r="C17" i="66"/>
  <c r="C16" i="66"/>
  <c r="K14" i="66"/>
  <c r="D14" i="66"/>
  <c r="G14" i="66" s="1"/>
  <c r="L15" i="66"/>
  <c r="K15" i="66"/>
  <c r="F14" i="66"/>
  <c r="D10" i="66"/>
  <c r="F10" i="66" s="1"/>
  <c r="F11" i="66" s="1"/>
  <c r="L10" i="66"/>
  <c r="K10" i="66"/>
  <c r="C9" i="66"/>
  <c r="C11" i="66" s="1"/>
  <c r="BA107" i="67"/>
  <c r="BA106" i="67"/>
  <c r="AQ102" i="67"/>
  <c r="AQ101" i="67"/>
  <c r="AQ100" i="67"/>
  <c r="AQ97" i="67"/>
  <c r="BA96" i="67"/>
  <c r="AQ88" i="67"/>
  <c r="AQ87" i="67"/>
  <c r="AQ86" i="67"/>
  <c r="AQ85" i="67"/>
  <c r="AQ84" i="67"/>
  <c r="AO89" i="67"/>
  <c r="AM89" i="67"/>
  <c r="AQ89" i="67" s="1"/>
  <c r="AK89" i="67"/>
  <c r="AI89" i="67"/>
  <c r="AS85" i="67"/>
  <c r="T75" i="67"/>
  <c r="T74" i="67"/>
  <c r="T73" i="67"/>
  <c r="T72" i="67"/>
  <c r="AS70" i="67"/>
  <c r="T69" i="67"/>
  <c r="T68" i="67"/>
  <c r="V68" i="67"/>
  <c r="T65" i="67"/>
  <c r="T64" i="67"/>
  <c r="T63" i="67"/>
  <c r="T60" i="67"/>
  <c r="L44" i="67"/>
  <c r="D44" i="67"/>
  <c r="G44" i="67" s="1"/>
  <c r="C44" i="67"/>
  <c r="K44" i="67" s="1"/>
  <c r="D43" i="67"/>
  <c r="C43" i="67"/>
  <c r="F43" i="67" s="1"/>
  <c r="D42" i="67"/>
  <c r="C42" i="67"/>
  <c r="K42" i="67" s="1"/>
  <c r="D41" i="67"/>
  <c r="D40" i="67"/>
  <c r="G40" i="67" s="1"/>
  <c r="C40" i="67"/>
  <c r="K40" i="67" s="1"/>
  <c r="L31" i="67"/>
  <c r="L26" i="67"/>
  <c r="D33" i="67"/>
  <c r="C33" i="67"/>
  <c r="F33" i="67" s="1"/>
  <c r="D31" i="67"/>
  <c r="G31" i="67" s="1"/>
  <c r="C31" i="67"/>
  <c r="K31" i="67" s="1"/>
  <c r="D29" i="67"/>
  <c r="C29" i="67"/>
  <c r="K29" i="67" s="1"/>
  <c r="D26" i="67"/>
  <c r="G26" i="67" s="1"/>
  <c r="C26" i="67"/>
  <c r="K26" i="67" s="1"/>
  <c r="D25" i="67"/>
  <c r="C25" i="67"/>
  <c r="F25" i="67" s="1"/>
  <c r="D24" i="67"/>
  <c r="G24" i="67" s="1"/>
  <c r="C24" i="67"/>
  <c r="K24" i="67" s="1"/>
  <c r="D23" i="67"/>
  <c r="C23" i="67"/>
  <c r="F23" i="67" s="1"/>
  <c r="L20" i="67"/>
  <c r="G20" i="67"/>
  <c r="D20" i="67"/>
  <c r="C20" i="67"/>
  <c r="K20" i="67" s="1"/>
  <c r="D14" i="67"/>
  <c r="C14" i="67"/>
  <c r="K14" i="67" s="1"/>
  <c r="D10" i="67"/>
  <c r="C10" i="67"/>
  <c r="K10" i="67" s="1"/>
  <c r="T75" i="69"/>
  <c r="T74" i="69"/>
  <c r="T73" i="69"/>
  <c r="T72" i="69"/>
  <c r="AO70" i="69"/>
  <c r="T69" i="69"/>
  <c r="T68" i="69"/>
  <c r="T65" i="69"/>
  <c r="T64" i="69"/>
  <c r="T63" i="69"/>
  <c r="T60" i="69"/>
  <c r="L44" i="69"/>
  <c r="D44" i="69"/>
  <c r="G44" i="69" s="1"/>
  <c r="C44" i="69"/>
  <c r="D43" i="69"/>
  <c r="C43" i="69"/>
  <c r="K43" i="69" s="1"/>
  <c r="D42" i="69"/>
  <c r="C42" i="69"/>
  <c r="C41" i="69"/>
  <c r="K41" i="69" s="1"/>
  <c r="D40" i="69"/>
  <c r="C40" i="69"/>
  <c r="R32" i="69"/>
  <c r="R33" i="69" s="1"/>
  <c r="Q32" i="69"/>
  <c r="Q33" i="69" s="1"/>
  <c r="L31" i="69"/>
  <c r="L26" i="69"/>
  <c r="D33" i="69"/>
  <c r="C33" i="69"/>
  <c r="F33" i="69" s="1"/>
  <c r="D31" i="69"/>
  <c r="G31" i="69" s="1"/>
  <c r="C31" i="69"/>
  <c r="K31" i="69" s="1"/>
  <c r="D29" i="69"/>
  <c r="C29" i="69"/>
  <c r="D26" i="69"/>
  <c r="C26" i="69"/>
  <c r="D25" i="69"/>
  <c r="C25" i="69"/>
  <c r="K25" i="69" s="1"/>
  <c r="D24" i="69"/>
  <c r="C24" i="69"/>
  <c r="D23" i="69"/>
  <c r="C23" i="69"/>
  <c r="K23" i="69" s="1"/>
  <c r="D20" i="69"/>
  <c r="G20" i="69" s="1"/>
  <c r="C20" i="69"/>
  <c r="F20" i="69" s="1"/>
  <c r="D14" i="69"/>
  <c r="C14" i="69"/>
  <c r="K14" i="69" s="1"/>
  <c r="D10" i="69"/>
  <c r="C10" i="69"/>
  <c r="K10" i="69" s="1"/>
  <c r="AO104" i="71"/>
  <c r="AM104" i="71"/>
  <c r="AO102" i="71"/>
  <c r="AO101" i="71"/>
  <c r="AO100" i="71"/>
  <c r="AM102" i="71"/>
  <c r="AM101" i="71"/>
  <c r="AM100" i="71"/>
  <c r="AO97" i="71"/>
  <c r="AM97" i="71"/>
  <c r="AO94" i="71"/>
  <c r="AO93" i="71"/>
  <c r="AO92" i="71"/>
  <c r="AM94" i="71"/>
  <c r="AM93" i="71"/>
  <c r="AM92" i="71"/>
  <c r="AO89" i="71"/>
  <c r="AO88" i="71"/>
  <c r="AO87" i="71"/>
  <c r="AO86" i="71"/>
  <c r="AO85" i="71"/>
  <c r="AO84" i="71"/>
  <c r="AM89" i="71"/>
  <c r="AM88" i="71"/>
  <c r="AM87" i="71"/>
  <c r="AM86" i="71"/>
  <c r="AM85" i="71"/>
  <c r="AM84" i="71"/>
  <c r="AQ86" i="71"/>
  <c r="AQ87" i="71" s="1"/>
  <c r="AQ88" i="71" s="1"/>
  <c r="AP87" i="71"/>
  <c r="AP86" i="71"/>
  <c r="AQ70" i="71"/>
  <c r="P41" i="71"/>
  <c r="P37" i="71"/>
  <c r="L44" i="71"/>
  <c r="D44" i="71"/>
  <c r="G44" i="71" s="1"/>
  <c r="C44" i="71"/>
  <c r="D43" i="71"/>
  <c r="C43" i="71"/>
  <c r="K43" i="71" s="1"/>
  <c r="D42" i="71"/>
  <c r="G42" i="71" s="1"/>
  <c r="C42" i="71"/>
  <c r="C41" i="71"/>
  <c r="K41" i="71" s="1"/>
  <c r="D40" i="71"/>
  <c r="C40" i="71"/>
  <c r="Q30" i="71"/>
  <c r="L31" i="71"/>
  <c r="D33" i="71"/>
  <c r="C33" i="71"/>
  <c r="D31" i="71"/>
  <c r="G31" i="71" s="1"/>
  <c r="C31" i="71"/>
  <c r="K31" i="71" s="1"/>
  <c r="D29" i="71"/>
  <c r="C29" i="71"/>
  <c r="D26" i="71"/>
  <c r="G26" i="71" s="1"/>
  <c r="C26" i="71"/>
  <c r="R75" i="71" s="1"/>
  <c r="D25" i="71"/>
  <c r="C25" i="71"/>
  <c r="L25" i="71" s="1"/>
  <c r="D24" i="71"/>
  <c r="G24" i="71" s="1"/>
  <c r="C24" i="71"/>
  <c r="D23" i="71"/>
  <c r="C23" i="71"/>
  <c r="L23" i="71" s="1"/>
  <c r="D20" i="71"/>
  <c r="G20" i="71" s="1"/>
  <c r="C20" i="71"/>
  <c r="F20" i="71" s="1"/>
  <c r="D14" i="71"/>
  <c r="C14" i="71"/>
  <c r="L14" i="71" s="1"/>
  <c r="D10" i="71"/>
  <c r="G10" i="71" s="1"/>
  <c r="C10" i="71"/>
  <c r="L10" i="71" s="1"/>
  <c r="G43" i="71" l="1"/>
  <c r="G29" i="64"/>
  <c r="DJ260" i="9"/>
  <c r="GU376" i="9"/>
  <c r="F42" i="69"/>
  <c r="F44" i="69"/>
  <c r="G43" i="67"/>
  <c r="L25" i="64"/>
  <c r="FM372" i="9"/>
  <c r="FU372" i="9"/>
  <c r="GC372" i="9"/>
  <c r="GJ376" i="9"/>
  <c r="F10" i="48"/>
  <c r="F12" i="48" s="1"/>
  <c r="G14" i="71"/>
  <c r="G23" i="71"/>
  <c r="G40" i="71"/>
  <c r="F10" i="69"/>
  <c r="F11" i="69" s="1"/>
  <c r="G26" i="69"/>
  <c r="G40" i="69"/>
  <c r="G10" i="66"/>
  <c r="G26" i="64"/>
  <c r="G26" i="63"/>
  <c r="G44" i="30"/>
  <c r="F24" i="69"/>
  <c r="F26" i="69"/>
  <c r="K26" i="69"/>
  <c r="F10" i="30"/>
  <c r="FQ372" i="9"/>
  <c r="FY372" i="9"/>
  <c r="F33" i="71"/>
  <c r="F40" i="69"/>
  <c r="FJ372" i="9"/>
  <c r="FN372" i="9"/>
  <c r="FR372" i="9"/>
  <c r="FV372" i="9"/>
  <c r="FZ372" i="9"/>
  <c r="GD372" i="9"/>
  <c r="F10" i="63"/>
  <c r="F11" i="63" s="1"/>
  <c r="GE376" i="9"/>
  <c r="GI376" i="9"/>
  <c r="GM376" i="9"/>
  <c r="GQ376" i="9"/>
  <c r="K26" i="71"/>
  <c r="L41" i="71"/>
  <c r="G43" i="69"/>
  <c r="G10" i="67"/>
  <c r="I32" i="66"/>
  <c r="F30" i="56"/>
  <c r="GR376" i="9"/>
  <c r="G48" i="35"/>
  <c r="F44" i="64"/>
  <c r="F49" i="35"/>
  <c r="F24" i="71"/>
  <c r="K24" i="71"/>
  <c r="F40" i="71"/>
  <c r="F42" i="71"/>
  <c r="F44" i="71"/>
  <c r="L40" i="71"/>
  <c r="G14" i="69"/>
  <c r="G24" i="69"/>
  <c r="L24" i="69"/>
  <c r="F43" i="69"/>
  <c r="G14" i="67"/>
  <c r="L24" i="67"/>
  <c r="L43" i="67"/>
  <c r="D27" i="66"/>
  <c r="F39" i="64"/>
  <c r="G43" i="64"/>
  <c r="D30" i="48"/>
  <c r="G27" i="48"/>
  <c r="F26" i="35"/>
  <c r="G26" i="35"/>
  <c r="F10" i="71"/>
  <c r="F11" i="71" s="1"/>
  <c r="L42" i="71"/>
  <c r="G10" i="69"/>
  <c r="G23" i="69"/>
  <c r="G25" i="69"/>
  <c r="G29" i="69"/>
  <c r="G33" i="69"/>
  <c r="L10" i="67"/>
  <c r="G23" i="67"/>
  <c r="G25" i="67"/>
  <c r="G29" i="67"/>
  <c r="G33" i="67"/>
  <c r="D27" i="64"/>
  <c r="G23" i="64"/>
  <c r="K31" i="64"/>
  <c r="L31" i="64"/>
  <c r="L25" i="67"/>
  <c r="G42" i="67"/>
  <c r="L40" i="67"/>
  <c r="G49" i="30"/>
  <c r="F49" i="30"/>
  <c r="G25" i="71"/>
  <c r="G33" i="71"/>
  <c r="L43" i="71"/>
  <c r="K24" i="69"/>
  <c r="G42" i="69"/>
  <c r="L14" i="67"/>
  <c r="L23" i="67"/>
  <c r="L29" i="67"/>
  <c r="L42" i="67"/>
  <c r="K44" i="64"/>
  <c r="L44" i="64"/>
  <c r="L44" i="63"/>
  <c r="K44" i="63"/>
  <c r="D27" i="63"/>
  <c r="D28" i="63" s="1"/>
  <c r="D30" i="63" s="1"/>
  <c r="F27" i="56"/>
  <c r="D19" i="35"/>
  <c r="G19" i="35" s="1"/>
  <c r="F11" i="30"/>
  <c r="F12" i="30" s="1"/>
  <c r="F12" i="56"/>
  <c r="F26" i="56"/>
  <c r="D30" i="30"/>
  <c r="CT243" i="9"/>
  <c r="DB243" i="9"/>
  <c r="FL372" i="9"/>
  <c r="FP372" i="9"/>
  <c r="FT372" i="9"/>
  <c r="FX372" i="9"/>
  <c r="GB372" i="9"/>
  <c r="GF372" i="9"/>
  <c r="GJ372" i="9"/>
  <c r="GN372" i="9"/>
  <c r="GR372" i="9"/>
  <c r="GV372" i="9"/>
  <c r="GD376" i="9"/>
  <c r="GH376" i="9"/>
  <c r="GL376" i="9"/>
  <c r="GP376" i="9"/>
  <c r="GT376" i="9"/>
  <c r="ER343" i="9"/>
  <c r="L14" i="66"/>
  <c r="K17" i="64"/>
  <c r="K17" i="63"/>
  <c r="L51" i="66"/>
  <c r="I17" i="63"/>
  <c r="I19" i="63" s="1"/>
  <c r="I37" i="63" s="1"/>
  <c r="I52" i="66"/>
  <c r="K52" i="63"/>
  <c r="L73" i="47"/>
  <c r="L18" i="35"/>
  <c r="I11" i="66"/>
  <c r="I19" i="66" s="1"/>
  <c r="L14" i="64"/>
  <c r="AY78" i="9"/>
  <c r="BL112" i="9"/>
  <c r="U26" i="9"/>
  <c r="U28" i="9" s="1"/>
  <c r="BP158" i="9"/>
  <c r="BP153" i="9" s="1"/>
  <c r="BL158" i="9"/>
  <c r="BN158" i="9"/>
  <c r="BM158" i="9"/>
  <c r="BO158" i="9"/>
  <c r="BN117" i="9"/>
  <c r="BP117" i="9"/>
  <c r="BP112" i="9" s="1"/>
  <c r="CX210" i="9"/>
  <c r="DY313" i="9"/>
  <c r="FT378" i="9"/>
  <c r="GB378" i="9"/>
  <c r="GG376" i="9"/>
  <c r="GK376" i="9"/>
  <c r="GN378" i="9"/>
  <c r="GO376" i="9"/>
  <c r="GS376" i="9"/>
  <c r="GV378" i="9"/>
  <c r="GW376" i="9"/>
  <c r="GW374" i="9"/>
  <c r="GF378" i="9"/>
  <c r="BM117" i="9"/>
  <c r="FP378" i="9"/>
  <c r="GR378" i="9"/>
  <c r="BO117" i="9"/>
  <c r="FK372" i="9"/>
  <c r="FO372" i="9"/>
  <c r="FS372" i="9"/>
  <c r="FW372" i="9"/>
  <c r="GA372" i="9"/>
  <c r="GE372" i="9"/>
  <c r="GI372" i="9"/>
  <c r="GM372" i="9"/>
  <c r="GQ372" i="9"/>
  <c r="GU372" i="9"/>
  <c r="FX378" i="9"/>
  <c r="GH372" i="9"/>
  <c r="GL372" i="9"/>
  <c r="GP372" i="9"/>
  <c r="GT372" i="9"/>
  <c r="FO378" i="9"/>
  <c r="FS378" i="9"/>
  <c r="FW378" i="9"/>
  <c r="GA378" i="9"/>
  <c r="GE378" i="9"/>
  <c r="GI378" i="9"/>
  <c r="GM378" i="9"/>
  <c r="GQ378" i="9"/>
  <c r="GU378" i="9"/>
  <c r="GF376" i="9"/>
  <c r="GN376" i="9"/>
  <c r="GV376" i="9"/>
  <c r="FM378" i="9"/>
  <c r="FU378" i="9"/>
  <c r="GC378" i="9"/>
  <c r="GG378" i="9"/>
  <c r="GO378" i="9"/>
  <c r="GW378" i="9"/>
  <c r="FQ378" i="9"/>
  <c r="FY378" i="9"/>
  <c r="GK378" i="9"/>
  <c r="GS378" i="9"/>
  <c r="GG372" i="9"/>
  <c r="GK372" i="9"/>
  <c r="GO372" i="9"/>
  <c r="GS372" i="9"/>
  <c r="GW372" i="9"/>
  <c r="FN378" i="9"/>
  <c r="FR378" i="9"/>
  <c r="FV378" i="9"/>
  <c r="FZ378" i="9"/>
  <c r="GD378" i="9"/>
  <c r="GH378" i="9"/>
  <c r="GL378" i="9"/>
  <c r="GP378" i="9"/>
  <c r="GT378" i="9"/>
  <c r="F19" i="30"/>
  <c r="G19" i="30"/>
  <c r="D33" i="30"/>
  <c r="C12" i="30"/>
  <c r="K9" i="30"/>
  <c r="K12" i="30" s="1"/>
  <c r="K43" i="30"/>
  <c r="F15" i="30"/>
  <c r="F28" i="30"/>
  <c r="F32" i="30"/>
  <c r="G15" i="30"/>
  <c r="F50" i="30"/>
  <c r="F19" i="35"/>
  <c r="L23" i="35"/>
  <c r="K23" i="35"/>
  <c r="C42" i="35"/>
  <c r="C24" i="35"/>
  <c r="F10" i="35"/>
  <c r="F12" i="35" s="1"/>
  <c r="I19" i="35"/>
  <c r="I21" i="35" s="1"/>
  <c r="K21" i="35" s="1"/>
  <c r="F32" i="35"/>
  <c r="K43" i="35"/>
  <c r="L12" i="35"/>
  <c r="D30" i="35"/>
  <c r="K18" i="35"/>
  <c r="K19" i="35" s="1"/>
  <c r="F44" i="35"/>
  <c r="Q6" i="50"/>
  <c r="R5" i="50"/>
  <c r="N5" i="50"/>
  <c r="C25" i="46"/>
  <c r="C24" i="46"/>
  <c r="C26" i="46"/>
  <c r="C7" i="46"/>
  <c r="C10" i="46"/>
  <c r="C8" i="46"/>
  <c r="C18" i="46"/>
  <c r="C16" i="46"/>
  <c r="C17" i="46"/>
  <c r="C15" i="46"/>
  <c r="C9" i="46"/>
  <c r="C23" i="46"/>
  <c r="H67" i="47"/>
  <c r="H74" i="47" s="1"/>
  <c r="H65" i="47"/>
  <c r="F57" i="47"/>
  <c r="F74" i="47" s="1"/>
  <c r="J10" i="53"/>
  <c r="J16" i="53" s="1"/>
  <c r="AY226" i="8"/>
  <c r="I42" i="48"/>
  <c r="I24" i="48"/>
  <c r="D33" i="48"/>
  <c r="G11" i="48"/>
  <c r="L9" i="48"/>
  <c r="L18" i="48"/>
  <c r="F27" i="48"/>
  <c r="G44" i="48"/>
  <c r="G48" i="48"/>
  <c r="C12" i="48"/>
  <c r="G15" i="48"/>
  <c r="C19" i="48"/>
  <c r="G19" i="48" s="1"/>
  <c r="F32" i="48"/>
  <c r="K43" i="48"/>
  <c r="C21" i="56"/>
  <c r="L19" i="56"/>
  <c r="I23" i="56"/>
  <c r="I38" i="56"/>
  <c r="L21" i="56"/>
  <c r="G28" i="56"/>
  <c r="G10" i="56"/>
  <c r="L12" i="56"/>
  <c r="L18" i="56"/>
  <c r="F25" i="56"/>
  <c r="D29" i="56"/>
  <c r="D26" i="58"/>
  <c r="C53" i="58"/>
  <c r="C28" i="58"/>
  <c r="C51" i="58" s="1"/>
  <c r="E13" i="58"/>
  <c r="I13" i="58"/>
  <c r="E12" i="58"/>
  <c r="I12" i="58"/>
  <c r="D13" i="58"/>
  <c r="H13" i="58"/>
  <c r="D54" i="57"/>
  <c r="B54" i="57" s="1"/>
  <c r="B53" i="57" s="1"/>
  <c r="B57" i="57" s="1"/>
  <c r="K9" i="63"/>
  <c r="K11" i="63" s="1"/>
  <c r="C11" i="63"/>
  <c r="L14" i="63"/>
  <c r="K24" i="63"/>
  <c r="K29" i="63"/>
  <c r="I30" i="63"/>
  <c r="K38" i="63"/>
  <c r="R60" i="63"/>
  <c r="T60" i="63" s="1"/>
  <c r="L9" i="63"/>
  <c r="L52" i="64"/>
  <c r="K52" i="64"/>
  <c r="C19" i="64"/>
  <c r="D28" i="64"/>
  <c r="D30" i="64" s="1"/>
  <c r="I17" i="64"/>
  <c r="L17" i="64" s="1"/>
  <c r="K24" i="64"/>
  <c r="K29" i="64"/>
  <c r="I30" i="64"/>
  <c r="F10" i="64"/>
  <c r="F11" i="64" s="1"/>
  <c r="K9" i="64"/>
  <c r="K11" i="64" s="1"/>
  <c r="I11" i="64"/>
  <c r="K39" i="64"/>
  <c r="K43" i="64"/>
  <c r="K49" i="64"/>
  <c r="L19" i="55"/>
  <c r="M26" i="55"/>
  <c r="L27" i="55"/>
  <c r="K16" i="55"/>
  <c r="K19" i="55"/>
  <c r="K28" i="55"/>
  <c r="E20" i="38"/>
  <c r="C15" i="38"/>
  <c r="G15" i="38"/>
  <c r="R74" i="38"/>
  <c r="G21" i="38"/>
  <c r="D9" i="38"/>
  <c r="H9" i="38"/>
  <c r="H14" i="38" s="1"/>
  <c r="H25" i="38" s="1"/>
  <c r="C14" i="38"/>
  <c r="G14" i="38"/>
  <c r="F19" i="38"/>
  <c r="F23" i="38"/>
  <c r="V169" i="38"/>
  <c r="D14" i="38"/>
  <c r="D25" i="38" s="1"/>
  <c r="B9" i="38"/>
  <c r="B15" i="38" s="1"/>
  <c r="F9" i="38"/>
  <c r="G20" i="38" s="1"/>
  <c r="E14" i="38"/>
  <c r="E25" i="38" s="1"/>
  <c r="AA178" i="38"/>
  <c r="E15" i="38"/>
  <c r="I34" i="66"/>
  <c r="L34" i="66" s="1"/>
  <c r="L32" i="66"/>
  <c r="K32" i="66"/>
  <c r="C19" i="66"/>
  <c r="L11" i="66"/>
  <c r="L52" i="66"/>
  <c r="K52" i="66"/>
  <c r="L19" i="66"/>
  <c r="I37" i="66"/>
  <c r="K23" i="66"/>
  <c r="L9" i="66"/>
  <c r="G25" i="66"/>
  <c r="G29" i="66"/>
  <c r="G33" i="66"/>
  <c r="D28" i="66"/>
  <c r="K38" i="66"/>
  <c r="L30" i="66"/>
  <c r="K9" i="66"/>
  <c r="K11" i="66" s="1"/>
  <c r="K49" i="66"/>
  <c r="F14" i="67"/>
  <c r="F20" i="67"/>
  <c r="F24" i="67"/>
  <c r="F26" i="67"/>
  <c r="K23" i="67"/>
  <c r="K25" i="67"/>
  <c r="F40" i="67"/>
  <c r="F42" i="67"/>
  <c r="F44" i="67"/>
  <c r="K43" i="67"/>
  <c r="F10" i="67"/>
  <c r="F11" i="67" s="1"/>
  <c r="F29" i="67"/>
  <c r="F31" i="67"/>
  <c r="F23" i="69"/>
  <c r="F29" i="69"/>
  <c r="K40" i="69"/>
  <c r="K42" i="69"/>
  <c r="K44" i="69"/>
  <c r="L10" i="69"/>
  <c r="L14" i="69"/>
  <c r="L23" i="69"/>
  <c r="L25" i="69"/>
  <c r="L41" i="69"/>
  <c r="L43" i="69"/>
  <c r="K20" i="69"/>
  <c r="F25" i="69"/>
  <c r="F31" i="69"/>
  <c r="K29" i="69"/>
  <c r="L20" i="69"/>
  <c r="L29" i="69"/>
  <c r="L40" i="69"/>
  <c r="L42" i="69"/>
  <c r="F14" i="69"/>
  <c r="K20" i="71"/>
  <c r="F29" i="71"/>
  <c r="K29" i="71"/>
  <c r="L20" i="71"/>
  <c r="L24" i="71"/>
  <c r="L26" i="71"/>
  <c r="G29" i="71"/>
  <c r="L29" i="71"/>
  <c r="F43" i="71"/>
  <c r="K40" i="71"/>
  <c r="K42" i="71"/>
  <c r="K44" i="71"/>
  <c r="R69" i="71"/>
  <c r="R74" i="71"/>
  <c r="F25" i="71"/>
  <c r="F31" i="71"/>
  <c r="K10" i="71"/>
  <c r="F14" i="71"/>
  <c r="K14" i="71"/>
  <c r="F26" i="71"/>
  <c r="K23" i="71"/>
  <c r="K25" i="71"/>
  <c r="F23" i="71"/>
  <c r="D30" i="66" l="1"/>
  <c r="K34" i="66"/>
  <c r="L19" i="35"/>
  <c r="GH380" i="9"/>
  <c r="GH379" i="9"/>
  <c r="GO379" i="9"/>
  <c r="GO380" i="9"/>
  <c r="GL380" i="9"/>
  <c r="GL379" i="9"/>
  <c r="GS379" i="9"/>
  <c r="GS380" i="9"/>
  <c r="GW379" i="9"/>
  <c r="GW380" i="9"/>
  <c r="GQ380" i="9"/>
  <c r="GQ379" i="9"/>
  <c r="GI380" i="9"/>
  <c r="GI379" i="9"/>
  <c r="BO112" i="9"/>
  <c r="GF379" i="9"/>
  <c r="EC313" i="9"/>
  <c r="EB313" i="9"/>
  <c r="DZ313" i="9"/>
  <c r="EA313" i="9"/>
  <c r="GJ379" i="9"/>
  <c r="BM153" i="9"/>
  <c r="GK379" i="9"/>
  <c r="GK380" i="9"/>
  <c r="GV379" i="9"/>
  <c r="GV380" i="9"/>
  <c r="BN153" i="9"/>
  <c r="GT380" i="9"/>
  <c r="GT379" i="9"/>
  <c r="GD379" i="9"/>
  <c r="GG379" i="9"/>
  <c r="GG380" i="9"/>
  <c r="GU380" i="9"/>
  <c r="GU379" i="9"/>
  <c r="GM380" i="9"/>
  <c r="GM379" i="9"/>
  <c r="GE379" i="9"/>
  <c r="BM112" i="9"/>
  <c r="GN379" i="9"/>
  <c r="GN380" i="9"/>
  <c r="BN112" i="9"/>
  <c r="BL153" i="9"/>
  <c r="AY79" i="9"/>
  <c r="GP380" i="9"/>
  <c r="GP379" i="9"/>
  <c r="GC379" i="9"/>
  <c r="GR379" i="9"/>
  <c r="GR380" i="9"/>
  <c r="GJ380" i="9"/>
  <c r="BO153" i="9"/>
  <c r="C21" i="30"/>
  <c r="L12" i="30"/>
  <c r="D36" i="30"/>
  <c r="C51" i="35"/>
  <c r="K42" i="35"/>
  <c r="F42" i="35"/>
  <c r="D33" i="35"/>
  <c r="G30" i="35"/>
  <c r="C30" i="35"/>
  <c r="I24" i="35"/>
  <c r="L21" i="35"/>
  <c r="N6" i="50"/>
  <c r="P6" i="50" s="1"/>
  <c r="O6" i="50"/>
  <c r="R6" i="50"/>
  <c r="S5" i="50"/>
  <c r="C21" i="48"/>
  <c r="L12" i="48"/>
  <c r="D36" i="48"/>
  <c r="I51" i="48"/>
  <c r="I30" i="48"/>
  <c r="L19" i="48"/>
  <c r="F19" i="48"/>
  <c r="I46" i="56"/>
  <c r="D31" i="56"/>
  <c r="I29" i="56"/>
  <c r="C23" i="56"/>
  <c r="C38" i="56"/>
  <c r="L38" i="56" s="1"/>
  <c r="K21" i="56"/>
  <c r="D53" i="58"/>
  <c r="D28" i="58"/>
  <c r="D51" i="58" s="1"/>
  <c r="E26" i="58"/>
  <c r="D32" i="63"/>
  <c r="C19" i="63"/>
  <c r="L11" i="63"/>
  <c r="L30" i="63"/>
  <c r="I32" i="63"/>
  <c r="I45" i="63"/>
  <c r="D32" i="64"/>
  <c r="I19" i="64"/>
  <c r="I32" i="64"/>
  <c r="L30" i="64"/>
  <c r="L11" i="64"/>
  <c r="C37" i="64"/>
  <c r="K19" i="64"/>
  <c r="C21" i="64"/>
  <c r="C27" i="64" s="1"/>
  <c r="N26" i="55"/>
  <c r="M19" i="55"/>
  <c r="L16" i="55"/>
  <c r="M27" i="55"/>
  <c r="M28" i="55" s="1"/>
  <c r="L28" i="55"/>
  <c r="F14" i="38"/>
  <c r="F25" i="38" s="1"/>
  <c r="X163" i="38"/>
  <c r="X160" i="38"/>
  <c r="X109" i="38"/>
  <c r="X103" i="38"/>
  <c r="X156" i="38"/>
  <c r="X111" i="38"/>
  <c r="X153" i="38"/>
  <c r="X106" i="38"/>
  <c r="X167" i="38"/>
  <c r="B14" i="38"/>
  <c r="C25" i="38" s="1"/>
  <c r="F20" i="38"/>
  <c r="F15" i="38"/>
  <c r="D20" i="38"/>
  <c r="D15" i="38"/>
  <c r="X140" i="38"/>
  <c r="C20" i="38"/>
  <c r="H20" i="38"/>
  <c r="H15" i="38"/>
  <c r="G25" i="38"/>
  <c r="X126" i="38"/>
  <c r="AA179" i="38"/>
  <c r="C21" i="66"/>
  <c r="C27" i="66" s="1"/>
  <c r="K19" i="66"/>
  <c r="C37" i="66"/>
  <c r="D32" i="66"/>
  <c r="I45" i="66"/>
  <c r="AY80" i="9" l="1"/>
  <c r="DA210" i="9"/>
  <c r="CZ210" i="9"/>
  <c r="DB210" i="9"/>
  <c r="ED313" i="9"/>
  <c r="CY210" i="9"/>
  <c r="C42" i="30"/>
  <c r="K21" i="30"/>
  <c r="C24" i="30"/>
  <c r="L21" i="30"/>
  <c r="I30" i="35"/>
  <c r="L24" i="35"/>
  <c r="G33" i="35"/>
  <c r="D36" i="35"/>
  <c r="K30" i="35"/>
  <c r="C33" i="35"/>
  <c r="F30" i="35"/>
  <c r="F33" i="35" s="1"/>
  <c r="K24" i="35"/>
  <c r="K51" i="35"/>
  <c r="T6" i="50"/>
  <c r="S6" i="50"/>
  <c r="U6" i="50" s="1"/>
  <c r="D39" i="48"/>
  <c r="I33" i="48"/>
  <c r="C24" i="48"/>
  <c r="K21" i="48"/>
  <c r="C42" i="48"/>
  <c r="L21" i="48"/>
  <c r="C29" i="56"/>
  <c r="Q77" i="56"/>
  <c r="F23" i="56"/>
  <c r="K23" i="56"/>
  <c r="D33" i="56"/>
  <c r="L23" i="56"/>
  <c r="I31" i="56"/>
  <c r="L29" i="56"/>
  <c r="I49" i="56"/>
  <c r="K38" i="56"/>
  <c r="C46" i="56"/>
  <c r="L46" i="56" s="1"/>
  <c r="F38" i="56"/>
  <c r="E28" i="58"/>
  <c r="E51" i="58" s="1"/>
  <c r="F26" i="58"/>
  <c r="E53" i="58"/>
  <c r="I34" i="63"/>
  <c r="K32" i="63"/>
  <c r="L32" i="63"/>
  <c r="C37" i="63"/>
  <c r="K19" i="63"/>
  <c r="C21" i="63"/>
  <c r="L19" i="63"/>
  <c r="G32" i="63"/>
  <c r="F32" i="63"/>
  <c r="K32" i="64"/>
  <c r="L32" i="64"/>
  <c r="I34" i="64"/>
  <c r="C45" i="64"/>
  <c r="I37" i="64"/>
  <c r="L19" i="64"/>
  <c r="P27" i="64"/>
  <c r="P28" i="64" s="1"/>
  <c r="P29" i="64" s="1"/>
  <c r="F27" i="64"/>
  <c r="F30" i="64" s="1"/>
  <c r="C30" i="64"/>
  <c r="C28" i="64"/>
  <c r="G27" i="64"/>
  <c r="F32" i="64"/>
  <c r="G32" i="64"/>
  <c r="N27" i="55"/>
  <c r="M16" i="55"/>
  <c r="N19" i="55"/>
  <c r="N28" i="55"/>
  <c r="O26" i="55"/>
  <c r="AB176" i="38"/>
  <c r="AB175" i="38"/>
  <c r="AB177" i="38"/>
  <c r="X171" i="38"/>
  <c r="AB178" i="38"/>
  <c r="K37" i="66"/>
  <c r="C45" i="66"/>
  <c r="K45" i="66" s="1"/>
  <c r="L45" i="66"/>
  <c r="D34" i="66"/>
  <c r="F32" i="66"/>
  <c r="G32" i="66"/>
  <c r="L37" i="66"/>
  <c r="P27" i="66"/>
  <c r="P28" i="66" s="1"/>
  <c r="P29" i="66" s="1"/>
  <c r="F27" i="66"/>
  <c r="F30" i="66" s="1"/>
  <c r="C30" i="66"/>
  <c r="C28" i="66"/>
  <c r="G27" i="66"/>
  <c r="DC210" i="9" l="1"/>
  <c r="AY81" i="9"/>
  <c r="EE313" i="9"/>
  <c r="K24" i="30"/>
  <c r="L24" i="30"/>
  <c r="C30" i="30"/>
  <c r="K42" i="30"/>
  <c r="F42" i="30"/>
  <c r="C51" i="30"/>
  <c r="L42" i="30"/>
  <c r="G36" i="35"/>
  <c r="C36" i="35"/>
  <c r="L30" i="35"/>
  <c r="I33" i="35"/>
  <c r="K33" i="35" s="1"/>
  <c r="C30" i="48"/>
  <c r="K24" i="48"/>
  <c r="L24" i="48"/>
  <c r="F42" i="48"/>
  <c r="C51" i="48"/>
  <c r="K42" i="48"/>
  <c r="L42" i="48"/>
  <c r="I36" i="48"/>
  <c r="I33" i="56"/>
  <c r="L31" i="56"/>
  <c r="K46" i="56"/>
  <c r="C49" i="56"/>
  <c r="K49" i="56" s="1"/>
  <c r="F29" i="56"/>
  <c r="F31" i="56" s="1"/>
  <c r="C31" i="56"/>
  <c r="K29" i="56"/>
  <c r="G29" i="56"/>
  <c r="G26" i="58"/>
  <c r="F53" i="58"/>
  <c r="F28" i="58"/>
  <c r="F51" i="58" s="1"/>
  <c r="R73" i="63"/>
  <c r="T73" i="63" s="1"/>
  <c r="C27" i="63"/>
  <c r="C45" i="63"/>
  <c r="L45" i="63" s="1"/>
  <c r="K37" i="63"/>
  <c r="L37" i="63"/>
  <c r="L34" i="63"/>
  <c r="K34" i="63"/>
  <c r="K30" i="64"/>
  <c r="G30" i="64"/>
  <c r="L34" i="64"/>
  <c r="K34" i="64"/>
  <c r="L37" i="64"/>
  <c r="I45" i="64"/>
  <c r="L45" i="64" s="1"/>
  <c r="K37" i="64"/>
  <c r="N16" i="55"/>
  <c r="O27" i="55"/>
  <c r="O28" i="55" s="1"/>
  <c r="K30" i="66"/>
  <c r="G30" i="66"/>
  <c r="G34" i="66"/>
  <c r="F34" i="66"/>
  <c r="EF313" i="9" l="1"/>
  <c r="AY82" i="9"/>
  <c r="DD210" i="9"/>
  <c r="DE210" i="9" s="1"/>
  <c r="C33" i="30"/>
  <c r="F30" i="30"/>
  <c r="F33" i="30" s="1"/>
  <c r="K30" i="30"/>
  <c r="L30" i="30"/>
  <c r="G30" i="30"/>
  <c r="L51" i="30"/>
  <c r="K51" i="30"/>
  <c r="F36" i="35"/>
  <c r="L33" i="35"/>
  <c r="I36" i="35"/>
  <c r="I39" i="48"/>
  <c r="K51" i="48"/>
  <c r="L51" i="48"/>
  <c r="C33" i="48"/>
  <c r="F30" i="48"/>
  <c r="F33" i="48" s="1"/>
  <c r="K30" i="48"/>
  <c r="G30" i="48"/>
  <c r="L30" i="48"/>
  <c r="I35" i="56"/>
  <c r="K31" i="56"/>
  <c r="C33" i="56"/>
  <c r="G31" i="56"/>
  <c r="L49" i="56"/>
  <c r="H26" i="58"/>
  <c r="G28" i="58"/>
  <c r="G51" i="58" s="1"/>
  <c r="G53" i="58"/>
  <c r="C28" i="63"/>
  <c r="P27" i="63"/>
  <c r="P28" i="63" s="1"/>
  <c r="P29" i="63" s="1"/>
  <c r="F27" i="63"/>
  <c r="F30" i="63" s="1"/>
  <c r="C30" i="63"/>
  <c r="G27" i="63"/>
  <c r="K45" i="64"/>
  <c r="AO104" i="73"/>
  <c r="AM104" i="73"/>
  <c r="AO102" i="73"/>
  <c r="AO101" i="73"/>
  <c r="AO100" i="73"/>
  <c r="AM102" i="73"/>
  <c r="AM101" i="73"/>
  <c r="AM100" i="73"/>
  <c r="AO97" i="73"/>
  <c r="AM97" i="73"/>
  <c r="AQ91" i="73"/>
  <c r="AQ90" i="73"/>
  <c r="AO89" i="73"/>
  <c r="AO88" i="73"/>
  <c r="AO87" i="73"/>
  <c r="AO86" i="73"/>
  <c r="AO85" i="73"/>
  <c r="AO84" i="73"/>
  <c r="AM89" i="73"/>
  <c r="AM88" i="73"/>
  <c r="AM87" i="73"/>
  <c r="AM86" i="73"/>
  <c r="AM85" i="73"/>
  <c r="AM84" i="73"/>
  <c r="AQ88" i="73"/>
  <c r="AQ92" i="73" s="1"/>
  <c r="AQ87" i="73"/>
  <c r="R73" i="73"/>
  <c r="AQ70" i="73"/>
  <c r="L44" i="73"/>
  <c r="D44" i="73"/>
  <c r="G44" i="73" s="1"/>
  <c r="C44" i="73"/>
  <c r="D43" i="73"/>
  <c r="C43" i="73"/>
  <c r="K43" i="73" s="1"/>
  <c r="D42" i="73"/>
  <c r="G42" i="73" s="1"/>
  <c r="C42" i="73"/>
  <c r="L42" i="73" s="1"/>
  <c r="C41" i="73"/>
  <c r="K41" i="73" s="1"/>
  <c r="D40" i="73"/>
  <c r="G40" i="73" s="1"/>
  <c r="C40" i="73"/>
  <c r="L40" i="73" s="1"/>
  <c r="L31" i="73"/>
  <c r="L26" i="73"/>
  <c r="L25" i="73"/>
  <c r="D33" i="73"/>
  <c r="C33" i="73"/>
  <c r="D31" i="73"/>
  <c r="G31" i="73" s="1"/>
  <c r="C31" i="73"/>
  <c r="K31" i="73" s="1"/>
  <c r="D29" i="73"/>
  <c r="C29" i="73"/>
  <c r="L29" i="73" s="1"/>
  <c r="D26" i="73"/>
  <c r="C26" i="73"/>
  <c r="D25" i="73"/>
  <c r="C25" i="73"/>
  <c r="K25" i="73" s="1"/>
  <c r="D24" i="73"/>
  <c r="C24" i="73"/>
  <c r="F24" i="73" s="1"/>
  <c r="D23" i="73"/>
  <c r="C23" i="73"/>
  <c r="R74" i="73" s="1"/>
  <c r="D14" i="73"/>
  <c r="C14" i="73"/>
  <c r="L14" i="73" s="1"/>
  <c r="D10" i="73"/>
  <c r="C10" i="73"/>
  <c r="AO106" i="81"/>
  <c r="AM106" i="81"/>
  <c r="AO104" i="81"/>
  <c r="AO103" i="81"/>
  <c r="AO102" i="81"/>
  <c r="AM104" i="81"/>
  <c r="AM103" i="81"/>
  <c r="AM102" i="81"/>
  <c r="AO99" i="81"/>
  <c r="AM99" i="81"/>
  <c r="AQ93" i="81"/>
  <c r="AQ92" i="81"/>
  <c r="AO91" i="81"/>
  <c r="AO90" i="81"/>
  <c r="AO89" i="81"/>
  <c r="AO88" i="81"/>
  <c r="AO87" i="81"/>
  <c r="AO86" i="81"/>
  <c r="AM91" i="81"/>
  <c r="AM90" i="81"/>
  <c r="AM89" i="81"/>
  <c r="AM88" i="81"/>
  <c r="AM87" i="81"/>
  <c r="AM86" i="81"/>
  <c r="AQ89" i="81"/>
  <c r="AQ90" i="81" s="1"/>
  <c r="AQ94" i="81" s="1"/>
  <c r="AQ72" i="81"/>
  <c r="I54" i="81"/>
  <c r="I46" i="81"/>
  <c r="L45" i="81"/>
  <c r="D45" i="81"/>
  <c r="G45" i="81" s="1"/>
  <c r="C45" i="81"/>
  <c r="K45" i="81" s="1"/>
  <c r="D44" i="81"/>
  <c r="C44" i="81"/>
  <c r="L44" i="81" s="1"/>
  <c r="D43" i="81"/>
  <c r="G43" i="81" s="1"/>
  <c r="C43" i="81"/>
  <c r="K43" i="81" s="1"/>
  <c r="D42" i="81"/>
  <c r="C42" i="81"/>
  <c r="L42" i="81" s="1"/>
  <c r="D41" i="81"/>
  <c r="G41" i="81" s="1"/>
  <c r="C41" i="81"/>
  <c r="K41" i="81" s="1"/>
  <c r="D40" i="81"/>
  <c r="C40" i="81"/>
  <c r="L40" i="81" s="1"/>
  <c r="D33" i="81"/>
  <c r="G33" i="81" s="1"/>
  <c r="C33" i="81"/>
  <c r="L33" i="81" s="1"/>
  <c r="L30" i="81"/>
  <c r="D30" i="81"/>
  <c r="G30" i="81" s="1"/>
  <c r="D27" i="81"/>
  <c r="C27" i="81"/>
  <c r="L27" i="81" s="1"/>
  <c r="L24" i="81"/>
  <c r="L23" i="81"/>
  <c r="D24" i="81"/>
  <c r="C24" i="81"/>
  <c r="K24" i="81" s="1"/>
  <c r="D23" i="81"/>
  <c r="C23" i="81"/>
  <c r="F23" i="81" s="1"/>
  <c r="D22" i="81"/>
  <c r="C22" i="81"/>
  <c r="K22" i="81" s="1"/>
  <c r="D21" i="81"/>
  <c r="C21" i="81"/>
  <c r="R76" i="81" s="1"/>
  <c r="I17" i="81"/>
  <c r="C16" i="81"/>
  <c r="K16" i="81" s="1"/>
  <c r="D14" i="81"/>
  <c r="C14" i="81"/>
  <c r="L14" i="81" s="1"/>
  <c r="I11" i="81"/>
  <c r="I19" i="81" s="1"/>
  <c r="D10" i="81"/>
  <c r="G10" i="81" s="1"/>
  <c r="C10" i="81"/>
  <c r="B19" i="68"/>
  <c r="H16" i="68"/>
  <c r="G16" i="68"/>
  <c r="G17" i="68" s="1"/>
  <c r="F16" i="68"/>
  <c r="E16" i="68"/>
  <c r="B16" i="68"/>
  <c r="M13" i="74"/>
  <c r="L13" i="74"/>
  <c r="K13" i="74"/>
  <c r="J13" i="74"/>
  <c r="H13" i="74"/>
  <c r="M7" i="74"/>
  <c r="L7" i="74"/>
  <c r="K7" i="74"/>
  <c r="J7" i="74"/>
  <c r="I7" i="74"/>
  <c r="H7" i="74"/>
  <c r="E46" i="86"/>
  <c r="E47" i="86" s="1"/>
  <c r="D46" i="86"/>
  <c r="D47" i="86" s="1"/>
  <c r="C46" i="86"/>
  <c r="C47" i="86" s="1"/>
  <c r="B46" i="86"/>
  <c r="B47" i="86" s="1"/>
  <c r="E32" i="86"/>
  <c r="E33" i="86" s="1"/>
  <c r="D32" i="86"/>
  <c r="D33" i="86" s="1"/>
  <c r="C32" i="86"/>
  <c r="C33" i="86" s="1"/>
  <c r="B32" i="86"/>
  <c r="B33" i="86" s="1"/>
  <c r="E21" i="86"/>
  <c r="E22" i="86" s="1"/>
  <c r="D21" i="86"/>
  <c r="D22" i="86" s="1"/>
  <c r="C21" i="86"/>
  <c r="C22" i="86" s="1"/>
  <c r="B21" i="86"/>
  <c r="B22" i="86" s="1"/>
  <c r="E10" i="86"/>
  <c r="E11" i="86" s="1"/>
  <c r="D10" i="86"/>
  <c r="D11" i="86" s="1"/>
  <c r="C10" i="86"/>
  <c r="C11" i="86" s="1"/>
  <c r="B10" i="86"/>
  <c r="B11" i="86" s="1"/>
  <c r="BP1030" i="49"/>
  <c r="BP1029" i="49"/>
  <c r="BK1030" i="49"/>
  <c r="BK1029" i="49"/>
  <c r="BK1028" i="49"/>
  <c r="BK1027" i="49"/>
  <c r="BF1030" i="49"/>
  <c r="BF1029" i="49"/>
  <c r="BF1028" i="49"/>
  <c r="BF1027" i="49"/>
  <c r="BA1030" i="49"/>
  <c r="BA1029" i="49"/>
  <c r="BA1028" i="49"/>
  <c r="BA1027" i="49"/>
  <c r="AV1030" i="49"/>
  <c r="AV1029" i="49"/>
  <c r="AV1028" i="49"/>
  <c r="AV1027" i="49"/>
  <c r="AQ1030" i="49"/>
  <c r="AQ1029" i="49"/>
  <c r="AQ1028" i="49"/>
  <c r="AQ1027" i="49"/>
  <c r="AL1030" i="49"/>
  <c r="AL1029" i="49"/>
  <c r="AL1028" i="49"/>
  <c r="AL1027" i="49"/>
  <c r="AG1030" i="49"/>
  <c r="AG1029" i="49"/>
  <c r="AG1028" i="49"/>
  <c r="AG1027" i="49"/>
  <c r="AB1030" i="49"/>
  <c r="AB1029" i="49"/>
  <c r="AB1028" i="49"/>
  <c r="AB1027" i="49"/>
  <c r="W1028" i="49"/>
  <c r="W1027" i="49"/>
  <c r="S1030" i="49"/>
  <c r="W1030" i="49" s="1"/>
  <c r="S1029" i="49"/>
  <c r="W1029" i="49" s="1"/>
  <c r="Q1030" i="49"/>
  <c r="Q1029" i="49"/>
  <c r="Q1028" i="49"/>
  <c r="Q1027" i="49"/>
  <c r="L1030" i="49"/>
  <c r="L1029" i="49"/>
  <c r="L1028" i="49"/>
  <c r="L1027" i="49"/>
  <c r="G1030" i="49"/>
  <c r="G1029" i="49"/>
  <c r="G1028" i="49"/>
  <c r="G1027" i="49"/>
  <c r="BP1027" i="49"/>
  <c r="BR1011" i="49"/>
  <c r="BQ1011" i="49"/>
  <c r="BL1011" i="49"/>
  <c r="BG1011" i="49"/>
  <c r="BC1011" i="49"/>
  <c r="BU1009" i="49"/>
  <c r="BU1008" i="49"/>
  <c r="BP1009" i="49"/>
  <c r="BP1008" i="49"/>
  <c r="CJ1008" i="49"/>
  <c r="CE1008" i="49"/>
  <c r="BZ1008" i="49"/>
  <c r="BK1008" i="49"/>
  <c r="BF1008" i="49"/>
  <c r="BA1008" i="49"/>
  <c r="AV1008" i="49"/>
  <c r="AQ1008" i="49"/>
  <c r="AL1008" i="49"/>
  <c r="AG1008" i="49"/>
  <c r="AL1005" i="49"/>
  <c r="AK1005" i="49"/>
  <c r="AJ1005" i="49"/>
  <c r="AI1005" i="49"/>
  <c r="AH1005" i="49"/>
  <c r="AG1005" i="49"/>
  <c r="AF1005" i="49"/>
  <c r="AE1005" i="49"/>
  <c r="AD1005" i="49"/>
  <c r="AC1005" i="49"/>
  <c r="AB1005" i="49"/>
  <c r="AA1005" i="49"/>
  <c r="Z1005" i="49"/>
  <c r="Y1005" i="49"/>
  <c r="X1005" i="49"/>
  <c r="W1005" i="49"/>
  <c r="V1005" i="49"/>
  <c r="U1005" i="49"/>
  <c r="T1005" i="49"/>
  <c r="S1005" i="49"/>
  <c r="R1005" i="49"/>
  <c r="Q1005" i="49"/>
  <c r="P1005" i="49"/>
  <c r="O1005" i="49"/>
  <c r="N1005" i="49"/>
  <c r="M1005" i="49"/>
  <c r="L1005" i="49"/>
  <c r="K1005" i="49"/>
  <c r="J1005" i="49"/>
  <c r="I1005" i="49"/>
  <c r="H1005" i="49"/>
  <c r="G1005" i="49"/>
  <c r="F1005" i="49"/>
  <c r="E1005" i="49"/>
  <c r="D1005" i="49"/>
  <c r="CO1003" i="49"/>
  <c r="CJ1003" i="49"/>
  <c r="CE1003" i="49"/>
  <c r="BZ1003" i="49"/>
  <c r="BZ1001" i="49" s="1"/>
  <c r="CO1001" i="49"/>
  <c r="CJ1001" i="49"/>
  <c r="CE1001" i="49"/>
  <c r="CL995" i="49"/>
  <c r="CK995" i="49"/>
  <c r="CH995" i="49"/>
  <c r="CD995" i="49"/>
  <c r="CE995" i="49" s="1"/>
  <c r="CC995" i="49"/>
  <c r="CB995" i="49"/>
  <c r="BX995" i="49"/>
  <c r="BW995" i="49"/>
  <c r="BV995" i="49"/>
  <c r="BT995" i="49"/>
  <c r="BU995" i="49" s="1"/>
  <c r="BS995" i="49"/>
  <c r="BR995" i="49"/>
  <c r="BQ995" i="49"/>
  <c r="BP995" i="49"/>
  <c r="BO995" i="49"/>
  <c r="BN995" i="49"/>
  <c r="BM995" i="49"/>
  <c r="BL995" i="49"/>
  <c r="BJ995" i="49"/>
  <c r="BI995" i="49"/>
  <c r="BH995" i="49"/>
  <c r="BG995" i="49"/>
  <c r="CM994" i="49"/>
  <c r="CM995" i="49" s="1"/>
  <c r="CI994" i="49"/>
  <c r="CF994" i="49"/>
  <c r="CE994" i="49"/>
  <c r="BU994" i="49"/>
  <c r="BU993" i="49"/>
  <c r="BP994" i="49"/>
  <c r="BP993" i="49"/>
  <c r="CJ993" i="49"/>
  <c r="CJ992" i="49"/>
  <c r="CJ991" i="49"/>
  <c r="CJ990" i="49"/>
  <c r="CG993" i="49"/>
  <c r="CG995" i="49" s="1"/>
  <c r="CF993" i="49"/>
  <c r="CF995" i="49" s="1"/>
  <c r="CE993" i="49"/>
  <c r="CA994" i="49"/>
  <c r="BY994" i="49"/>
  <c r="BZ994" i="49" s="1"/>
  <c r="CA993" i="49"/>
  <c r="CA995" i="49" s="1"/>
  <c r="BY993" i="49"/>
  <c r="BZ993" i="49" s="1"/>
  <c r="CR993" i="49"/>
  <c r="CS993" i="49" s="1"/>
  <c r="CT993" i="49" s="1"/>
  <c r="CU993" i="49" s="1"/>
  <c r="CV993" i="49" s="1"/>
  <c r="CO993" i="49"/>
  <c r="CP993" i="49" s="1"/>
  <c r="CQ993" i="49" s="1"/>
  <c r="CO992" i="49"/>
  <c r="CP992" i="49" s="1"/>
  <c r="CQ992" i="49" s="1"/>
  <c r="CR992" i="49" s="1"/>
  <c r="CS992" i="49" s="1"/>
  <c r="CT992" i="49" s="1"/>
  <c r="CU992" i="49" s="1"/>
  <c r="CV992" i="49" s="1"/>
  <c r="CO991" i="49"/>
  <c r="CP991" i="49" s="1"/>
  <c r="CQ991" i="49" s="1"/>
  <c r="CR991" i="49" s="1"/>
  <c r="CS991" i="49" s="1"/>
  <c r="CT991" i="49" s="1"/>
  <c r="CU991" i="49" s="1"/>
  <c r="CV991" i="49" s="1"/>
  <c r="CO990" i="49"/>
  <c r="CP990" i="49" s="1"/>
  <c r="CQ990" i="49" s="1"/>
  <c r="CR990" i="49" s="1"/>
  <c r="CS990" i="49" s="1"/>
  <c r="CT990" i="49" s="1"/>
  <c r="CU990" i="49" s="1"/>
  <c r="CV990" i="49" s="1"/>
  <c r="CJ985" i="49"/>
  <c r="CJ984" i="49"/>
  <c r="CJ983" i="49"/>
  <c r="CE984" i="49"/>
  <c r="CE983" i="49"/>
  <c r="BZ984" i="49"/>
  <c r="BZ983" i="49"/>
  <c r="BU984" i="49"/>
  <c r="BU983" i="49"/>
  <c r="BP984" i="49"/>
  <c r="BP983" i="49"/>
  <c r="CO985" i="49"/>
  <c r="CP985" i="49" s="1"/>
  <c r="CQ985" i="49" s="1"/>
  <c r="CR985" i="49" s="1"/>
  <c r="CS985" i="49" s="1"/>
  <c r="CT985" i="49" s="1"/>
  <c r="CU985" i="49" s="1"/>
  <c r="CV985" i="49" s="1"/>
  <c r="CU984" i="49"/>
  <c r="CV984" i="49" s="1"/>
  <c r="CO984" i="49"/>
  <c r="CP984" i="49" s="1"/>
  <c r="CQ984" i="49" s="1"/>
  <c r="CR984" i="49" s="1"/>
  <c r="CS984" i="49" s="1"/>
  <c r="CT984" i="49" s="1"/>
  <c r="CM980" i="49"/>
  <c r="CL980" i="49"/>
  <c r="CK980" i="49"/>
  <c r="CI980" i="49"/>
  <c r="CJ980" i="49" s="1"/>
  <c r="CH980" i="49"/>
  <c r="CG980" i="49"/>
  <c r="CE980" i="49"/>
  <c r="CD980" i="49"/>
  <c r="CA980" i="49"/>
  <c r="BZ980" i="49"/>
  <c r="BY980" i="49"/>
  <c r="BX980" i="49"/>
  <c r="BW980" i="49"/>
  <c r="BV980" i="49"/>
  <c r="BU980" i="49"/>
  <c r="BT980" i="49"/>
  <c r="BS980" i="49"/>
  <c r="BR980" i="49"/>
  <c r="BQ980" i="49"/>
  <c r="BO980" i="49"/>
  <c r="BP980" i="49" s="1"/>
  <c r="BN980" i="49"/>
  <c r="BM980" i="49"/>
  <c r="BL980" i="49"/>
  <c r="BJ980" i="49"/>
  <c r="BK980" i="49" s="1"/>
  <c r="BI980" i="49"/>
  <c r="BH980" i="49"/>
  <c r="BG980" i="49"/>
  <c r="CJ979" i="49"/>
  <c r="CJ978" i="49"/>
  <c r="CE979" i="49"/>
  <c r="CE978" i="49"/>
  <c r="BZ979" i="49"/>
  <c r="BZ978" i="49"/>
  <c r="BU979" i="49"/>
  <c r="BU978" i="49"/>
  <c r="BP979" i="49"/>
  <c r="BP978" i="49"/>
  <c r="BK979" i="49"/>
  <c r="BK978" i="49"/>
  <c r="CV979" i="49"/>
  <c r="CQ979" i="49"/>
  <c r="CR979" i="49" s="1"/>
  <c r="CS979" i="49" s="1"/>
  <c r="CT979" i="49" s="1"/>
  <c r="CU979" i="49" s="1"/>
  <c r="CO979" i="49"/>
  <c r="CP979" i="49" s="1"/>
  <c r="CN979" i="49"/>
  <c r="CO978" i="49"/>
  <c r="CP978" i="49" s="1"/>
  <c r="CQ978" i="49" s="1"/>
  <c r="CR978" i="49" s="1"/>
  <c r="CS978" i="49" s="1"/>
  <c r="CT978" i="49" s="1"/>
  <c r="CU978" i="49" s="1"/>
  <c r="CV978" i="49" s="1"/>
  <c r="CN980" i="49"/>
  <c r="CO980" i="49" s="1"/>
  <c r="CP980" i="49" s="1"/>
  <c r="CQ980" i="49" s="1"/>
  <c r="CR980" i="49" s="1"/>
  <c r="CS980" i="49" s="1"/>
  <c r="CT980" i="49" s="1"/>
  <c r="CU980" i="49" s="1"/>
  <c r="CV980" i="49" s="1"/>
  <c r="CF978" i="49"/>
  <c r="CF980" i="49" s="1"/>
  <c r="CC978" i="49"/>
  <c r="CC980" i="49" s="1"/>
  <c r="CB978" i="49"/>
  <c r="CB980" i="49" s="1"/>
  <c r="CA978" i="49"/>
  <c r="AL976" i="49"/>
  <c r="AK976" i="49"/>
  <c r="AJ976" i="49"/>
  <c r="AI976" i="49"/>
  <c r="AH976" i="49"/>
  <c r="AG976" i="49"/>
  <c r="AF976" i="49"/>
  <c r="AE976" i="49"/>
  <c r="AD976" i="49"/>
  <c r="AC976" i="49"/>
  <c r="AB976" i="49"/>
  <c r="AA976" i="49"/>
  <c r="Z976" i="49"/>
  <c r="Y976" i="49"/>
  <c r="X976" i="49"/>
  <c r="W976" i="49"/>
  <c r="V976" i="49"/>
  <c r="U976" i="49"/>
  <c r="T976" i="49"/>
  <c r="S976" i="49"/>
  <c r="R976" i="49"/>
  <c r="Q976" i="49"/>
  <c r="P976" i="49"/>
  <c r="O976" i="49"/>
  <c r="N976" i="49"/>
  <c r="M976" i="49"/>
  <c r="L976" i="49"/>
  <c r="K976" i="49"/>
  <c r="J976" i="49"/>
  <c r="I976" i="49"/>
  <c r="H976" i="49"/>
  <c r="G976" i="49"/>
  <c r="F976" i="49"/>
  <c r="E976" i="49"/>
  <c r="D976" i="49"/>
  <c r="BJ973" i="49"/>
  <c r="BK973" i="49" s="1"/>
  <c r="CG972" i="49"/>
  <c r="CM971" i="49"/>
  <c r="CL971" i="49"/>
  <c r="CK971" i="49"/>
  <c r="CI971" i="49"/>
  <c r="CH971" i="49"/>
  <c r="CG971" i="49"/>
  <c r="CM970" i="49"/>
  <c r="CL970" i="49"/>
  <c r="CK970" i="49"/>
  <c r="CI970" i="49"/>
  <c r="CH970" i="49"/>
  <c r="CG970" i="49"/>
  <c r="CM969" i="49"/>
  <c r="CL969" i="49"/>
  <c r="CK969" i="49"/>
  <c r="CI969" i="49"/>
  <c r="CH969" i="49"/>
  <c r="CG969" i="49"/>
  <c r="CM968" i="49"/>
  <c r="CL968" i="49"/>
  <c r="CK968" i="49"/>
  <c r="CI968" i="49"/>
  <c r="CH968" i="49"/>
  <c r="CG968" i="49"/>
  <c r="CK967" i="49"/>
  <c r="CG967" i="49"/>
  <c r="CM966" i="49"/>
  <c r="CL966" i="49"/>
  <c r="CK966" i="49"/>
  <c r="CI966" i="49"/>
  <c r="CH966" i="49"/>
  <c r="CG966" i="49"/>
  <c r="CK965" i="49"/>
  <c r="CG965" i="49"/>
  <c r="CM964" i="49"/>
  <c r="CL964" i="49"/>
  <c r="CK964" i="49"/>
  <c r="CI964" i="49"/>
  <c r="CH964" i="49"/>
  <c r="CG964" i="49"/>
  <c r="CM963" i="49"/>
  <c r="CL963" i="49"/>
  <c r="CK963" i="49"/>
  <c r="CI963" i="49"/>
  <c r="CH963" i="49"/>
  <c r="CG963" i="49"/>
  <c r="CM962" i="49"/>
  <c r="CL962" i="49"/>
  <c r="CK962" i="49"/>
  <c r="CI962" i="49"/>
  <c r="CH962" i="49"/>
  <c r="CG962" i="49"/>
  <c r="CK960" i="49"/>
  <c r="CI960" i="49"/>
  <c r="CJ960" i="49" s="1"/>
  <c r="CH960" i="49"/>
  <c r="CG960" i="49"/>
  <c r="CF960" i="49"/>
  <c r="CE960" i="49"/>
  <c r="CD960" i="49"/>
  <c r="CC960" i="49"/>
  <c r="CB960" i="49"/>
  <c r="CA960" i="49"/>
  <c r="BZ960" i="49"/>
  <c r="BY960" i="49"/>
  <c r="BX960" i="49"/>
  <c r="BW960" i="49"/>
  <c r="BV960" i="49"/>
  <c r="BU960" i="49"/>
  <c r="BT960" i="49"/>
  <c r="BS960" i="49"/>
  <c r="BR960" i="49"/>
  <c r="BQ960" i="49"/>
  <c r="BO960" i="49"/>
  <c r="BP960" i="49" s="1"/>
  <c r="BN960" i="49"/>
  <c r="BM960" i="49"/>
  <c r="BL960" i="49"/>
  <c r="BK960" i="49"/>
  <c r="BJ960" i="49"/>
  <c r="BI960" i="49"/>
  <c r="BH960" i="49"/>
  <c r="BG960" i="49"/>
  <c r="BF960" i="49"/>
  <c r="BE960" i="49"/>
  <c r="BD960" i="49"/>
  <c r="BC960" i="49"/>
  <c r="BB960" i="49"/>
  <c r="BA960" i="49"/>
  <c r="AZ960" i="49"/>
  <c r="AY960" i="49"/>
  <c r="AX960" i="49"/>
  <c r="AW960" i="49"/>
  <c r="AU960" i="49"/>
  <c r="AV960" i="49" s="1"/>
  <c r="AT960" i="49"/>
  <c r="AS960" i="49"/>
  <c r="AR960" i="49"/>
  <c r="AQ960" i="49"/>
  <c r="AP960" i="49"/>
  <c r="AO960" i="49"/>
  <c r="AN960" i="49"/>
  <c r="AM960" i="49"/>
  <c r="AL960" i="49"/>
  <c r="AK960" i="49"/>
  <c r="AJ960" i="49"/>
  <c r="AI960" i="49"/>
  <c r="AH960" i="49"/>
  <c r="AG960" i="49"/>
  <c r="AF960" i="49"/>
  <c r="AE960" i="49"/>
  <c r="AD960" i="49"/>
  <c r="AC960" i="49"/>
  <c r="AA960" i="49"/>
  <c r="AB960" i="49" s="1"/>
  <c r="Z960" i="49"/>
  <c r="Y960" i="49"/>
  <c r="X960" i="49"/>
  <c r="W960" i="49"/>
  <c r="V960" i="49"/>
  <c r="U960" i="49"/>
  <c r="T960" i="49"/>
  <c r="S960" i="49"/>
  <c r="R960" i="49"/>
  <c r="Q960" i="49"/>
  <c r="O960" i="49"/>
  <c r="N960" i="49"/>
  <c r="M960" i="49"/>
  <c r="L960" i="49"/>
  <c r="CK959" i="49"/>
  <c r="CJ959" i="49"/>
  <c r="CI959" i="49"/>
  <c r="CH959" i="49"/>
  <c r="CG959" i="49"/>
  <c r="CF959" i="49"/>
  <c r="CE959" i="49"/>
  <c r="CD959" i="49"/>
  <c r="CC959" i="49"/>
  <c r="CB959" i="49"/>
  <c r="CA959" i="49"/>
  <c r="BZ959" i="49"/>
  <c r="BY959" i="49"/>
  <c r="BX959" i="49"/>
  <c r="BW959" i="49"/>
  <c r="BV959" i="49"/>
  <c r="BT959" i="49"/>
  <c r="BU959" i="49" s="1"/>
  <c r="BS959" i="49"/>
  <c r="BR959" i="49"/>
  <c r="BQ959" i="49"/>
  <c r="BP959" i="49"/>
  <c r="BO959" i="49"/>
  <c r="BN959" i="49"/>
  <c r="BM959" i="49"/>
  <c r="BL959" i="49"/>
  <c r="BK959" i="49"/>
  <c r="BJ959" i="49"/>
  <c r="BI959" i="49"/>
  <c r="BH959" i="49"/>
  <c r="BG959" i="49"/>
  <c r="BF959" i="49"/>
  <c r="BE959" i="49"/>
  <c r="BD959" i="49"/>
  <c r="BC959" i="49"/>
  <c r="BB959" i="49"/>
  <c r="AZ959" i="49"/>
  <c r="BA959" i="49" s="1"/>
  <c r="AY959" i="49"/>
  <c r="AX959" i="49"/>
  <c r="AW959" i="49"/>
  <c r="AV959" i="49"/>
  <c r="AU959" i="49"/>
  <c r="AT959" i="49"/>
  <c r="AS959" i="49"/>
  <c r="AR959" i="49"/>
  <c r="AQ959" i="49"/>
  <c r="AP959" i="49"/>
  <c r="AO959" i="49"/>
  <c r="AN959" i="49"/>
  <c r="AM959" i="49"/>
  <c r="AL959" i="49"/>
  <c r="AK959" i="49"/>
  <c r="AJ959" i="49"/>
  <c r="AI959" i="49"/>
  <c r="AH959" i="49"/>
  <c r="AF959" i="49"/>
  <c r="AG959" i="49" s="1"/>
  <c r="AE959" i="49"/>
  <c r="AD959" i="49"/>
  <c r="AC959" i="49"/>
  <c r="AB959" i="49"/>
  <c r="AA959" i="49"/>
  <c r="Z959" i="49"/>
  <c r="Y959" i="49"/>
  <c r="X959" i="49"/>
  <c r="W959" i="49"/>
  <c r="V959" i="49"/>
  <c r="U959" i="49"/>
  <c r="T959" i="49"/>
  <c r="S959" i="49"/>
  <c r="R959" i="49"/>
  <c r="Q959" i="49"/>
  <c r="P959" i="49"/>
  <c r="O959" i="49"/>
  <c r="N959" i="49"/>
  <c r="L959" i="49"/>
  <c r="M959" i="49" s="1"/>
  <c r="CM958" i="49"/>
  <c r="CL958" i="49"/>
  <c r="CK958" i="49"/>
  <c r="CJ958" i="49"/>
  <c r="CI958" i="49"/>
  <c r="CH958" i="49"/>
  <c r="CG958" i="49"/>
  <c r="CF958" i="49"/>
  <c r="CE958" i="49"/>
  <c r="CD958" i="49"/>
  <c r="CC958" i="49"/>
  <c r="CB958" i="49"/>
  <c r="CA958" i="49"/>
  <c r="BY958" i="49"/>
  <c r="BZ958" i="49" s="1"/>
  <c r="BX958" i="49"/>
  <c r="BW958" i="49"/>
  <c r="BV958" i="49"/>
  <c r="BU958" i="49"/>
  <c r="BT958" i="49"/>
  <c r="BS958" i="49"/>
  <c r="BR958" i="49"/>
  <c r="BQ958" i="49"/>
  <c r="BP958" i="49"/>
  <c r="BO958" i="49"/>
  <c r="BN958" i="49"/>
  <c r="BM958" i="49"/>
  <c r="BL958" i="49"/>
  <c r="BK958" i="49"/>
  <c r="BJ958" i="49"/>
  <c r="BI958" i="49"/>
  <c r="BH958" i="49"/>
  <c r="BG958" i="49"/>
  <c r="BE958" i="49"/>
  <c r="BF958" i="49" s="1"/>
  <c r="BD958" i="49"/>
  <c r="BC958" i="49"/>
  <c r="BB958" i="49"/>
  <c r="BA958" i="49"/>
  <c r="AZ958" i="49"/>
  <c r="AY958" i="49"/>
  <c r="AX958" i="49"/>
  <c r="AW958" i="49"/>
  <c r="AV958" i="49"/>
  <c r="AU958" i="49"/>
  <c r="AT958" i="49"/>
  <c r="AS958" i="49"/>
  <c r="AR958" i="49"/>
  <c r="AQ958" i="49"/>
  <c r="AP958" i="49"/>
  <c r="AO958" i="49"/>
  <c r="AN958" i="49"/>
  <c r="AM958" i="49"/>
  <c r="AK958" i="49"/>
  <c r="AL958" i="49" s="1"/>
  <c r="AJ958" i="49"/>
  <c r="AI958" i="49"/>
  <c r="AH958" i="49"/>
  <c r="AG958" i="49"/>
  <c r="AF958" i="49"/>
  <c r="AE958" i="49"/>
  <c r="AD958" i="49"/>
  <c r="AC958" i="49"/>
  <c r="AB958" i="49"/>
  <c r="AA958" i="49"/>
  <c r="Z958" i="49"/>
  <c r="Y958" i="49"/>
  <c r="X958" i="49"/>
  <c r="W958" i="49"/>
  <c r="V958" i="49"/>
  <c r="U958" i="49"/>
  <c r="T958" i="49"/>
  <c r="S958" i="49"/>
  <c r="Q958" i="49"/>
  <c r="R958" i="49" s="1"/>
  <c r="P958" i="49"/>
  <c r="O958" i="49"/>
  <c r="N958" i="49"/>
  <c r="M958" i="49"/>
  <c r="L958" i="49"/>
  <c r="K959" i="49"/>
  <c r="J959" i="49"/>
  <c r="I959" i="49"/>
  <c r="K958" i="49"/>
  <c r="J958" i="49"/>
  <c r="I958" i="49"/>
  <c r="M957" i="49"/>
  <c r="M956" i="49"/>
  <c r="M955" i="49"/>
  <c r="M954" i="49"/>
  <c r="O956" i="49"/>
  <c r="N956" i="49"/>
  <c r="L956" i="49"/>
  <c r="K956" i="49"/>
  <c r="J956" i="49"/>
  <c r="I956" i="49"/>
  <c r="CM957" i="49"/>
  <c r="CL957" i="49"/>
  <c r="CK957" i="49"/>
  <c r="CJ957" i="49"/>
  <c r="CI957" i="49"/>
  <c r="CH957" i="49"/>
  <c r="CG957" i="49"/>
  <c r="CF957" i="49"/>
  <c r="CD957" i="49"/>
  <c r="CE957" i="49" s="1"/>
  <c r="CC957" i="49"/>
  <c r="CB957" i="49"/>
  <c r="CA957" i="49"/>
  <c r="BZ957" i="49"/>
  <c r="BY957" i="49"/>
  <c r="BX957" i="49"/>
  <c r="BW957" i="49"/>
  <c r="BV957" i="49"/>
  <c r="BU957" i="49"/>
  <c r="BT957" i="49"/>
  <c r="BS957" i="49"/>
  <c r="BR957" i="49"/>
  <c r="BQ957" i="49"/>
  <c r="BP957" i="49"/>
  <c r="BO957" i="49"/>
  <c r="BN957" i="49"/>
  <c r="BM957" i="49"/>
  <c r="BL957" i="49"/>
  <c r="BJ957" i="49"/>
  <c r="BK957" i="49" s="1"/>
  <c r="BI957" i="49"/>
  <c r="BH957" i="49"/>
  <c r="BG957" i="49"/>
  <c r="BF957" i="49"/>
  <c r="BE957" i="49"/>
  <c r="BD957" i="49"/>
  <c r="BC957" i="49"/>
  <c r="BB957" i="49"/>
  <c r="BA957" i="49"/>
  <c r="AZ957" i="49"/>
  <c r="AY957" i="49"/>
  <c r="AX957" i="49"/>
  <c r="AW957" i="49"/>
  <c r="AV957" i="49"/>
  <c r="AU957" i="49"/>
  <c r="AT957" i="49"/>
  <c r="AS957" i="49"/>
  <c r="AR957" i="49"/>
  <c r="AP957" i="49"/>
  <c r="AQ957" i="49" s="1"/>
  <c r="AO957" i="49"/>
  <c r="AN957" i="49"/>
  <c r="AM957" i="49"/>
  <c r="AL957" i="49"/>
  <c r="AK957" i="49"/>
  <c r="AJ957" i="49"/>
  <c r="AI957" i="49"/>
  <c r="AH957" i="49"/>
  <c r="AG957" i="49"/>
  <c r="AF957" i="49"/>
  <c r="AE957" i="49"/>
  <c r="AD957" i="49"/>
  <c r="AC957" i="49"/>
  <c r="AB957" i="49"/>
  <c r="AA957" i="49"/>
  <c r="Z957" i="49"/>
  <c r="Y957" i="49"/>
  <c r="X957" i="49"/>
  <c r="V957" i="49"/>
  <c r="W957" i="49" s="1"/>
  <c r="U957" i="49"/>
  <c r="T957" i="49"/>
  <c r="S957" i="49"/>
  <c r="R957" i="49"/>
  <c r="Q957" i="49"/>
  <c r="P957" i="49"/>
  <c r="CM956" i="49"/>
  <c r="CL956" i="49"/>
  <c r="CK956" i="49"/>
  <c r="CI956" i="49"/>
  <c r="CJ956" i="49" s="1"/>
  <c r="CH956" i="49"/>
  <c r="CG956" i="49"/>
  <c r="CF956" i="49"/>
  <c r="CE956" i="49"/>
  <c r="CD956" i="49"/>
  <c r="CC956" i="49"/>
  <c r="CB956" i="49"/>
  <c r="CA956" i="49"/>
  <c r="BZ956" i="49"/>
  <c r="BY956" i="49"/>
  <c r="BX956" i="49"/>
  <c r="BW956" i="49"/>
  <c r="BV956" i="49"/>
  <c r="BU956" i="49"/>
  <c r="BT956" i="49"/>
  <c r="BS956" i="49"/>
  <c r="BR956" i="49"/>
  <c r="BQ956" i="49"/>
  <c r="BO956" i="49"/>
  <c r="BP956" i="49" s="1"/>
  <c r="BN956" i="49"/>
  <c r="BM956" i="49"/>
  <c r="BL956" i="49"/>
  <c r="BK956" i="49"/>
  <c r="BJ956" i="49"/>
  <c r="BI956" i="49"/>
  <c r="BH956" i="49"/>
  <c r="BG956" i="49"/>
  <c r="BE956" i="49"/>
  <c r="BF956" i="49" s="1"/>
  <c r="BD956" i="49"/>
  <c r="BC956" i="49"/>
  <c r="BB956" i="49"/>
  <c r="BA956" i="49"/>
  <c r="AZ956" i="49"/>
  <c r="AY956" i="49"/>
  <c r="AX956" i="49"/>
  <c r="AW956" i="49"/>
  <c r="AU956" i="49"/>
  <c r="AV956" i="49" s="1"/>
  <c r="AT956" i="49"/>
  <c r="AS956" i="49"/>
  <c r="AR956" i="49"/>
  <c r="AQ956" i="49"/>
  <c r="AP956" i="49"/>
  <c r="AO956" i="49"/>
  <c r="AN956" i="49"/>
  <c r="AM956" i="49"/>
  <c r="AK956" i="49"/>
  <c r="AL956" i="49" s="1"/>
  <c r="AJ956" i="49"/>
  <c r="AI956" i="49"/>
  <c r="AH956" i="49"/>
  <c r="AG956" i="49"/>
  <c r="AF956" i="49"/>
  <c r="AE956" i="49"/>
  <c r="AD956" i="49"/>
  <c r="AC956" i="49"/>
  <c r="AA956" i="49"/>
  <c r="AB956" i="49" s="1"/>
  <c r="Z956" i="49"/>
  <c r="Y956" i="49"/>
  <c r="X956" i="49"/>
  <c r="W956" i="49"/>
  <c r="V956" i="49"/>
  <c r="U956" i="49"/>
  <c r="T956" i="49"/>
  <c r="S956" i="49"/>
  <c r="Q956" i="49"/>
  <c r="R956" i="49" s="1"/>
  <c r="P956" i="49"/>
  <c r="CK955" i="49"/>
  <c r="CJ955" i="49"/>
  <c r="CI955" i="49"/>
  <c r="CH955" i="49"/>
  <c r="CG955" i="49"/>
  <c r="CF955" i="49"/>
  <c r="CD955" i="49"/>
  <c r="CE955" i="49" s="1"/>
  <c r="CC955" i="49"/>
  <c r="CB955" i="49"/>
  <c r="CA955" i="49"/>
  <c r="BZ955" i="49"/>
  <c r="BY955" i="49"/>
  <c r="BX955" i="49"/>
  <c r="BW955" i="49"/>
  <c r="BV955" i="49"/>
  <c r="BT955" i="49"/>
  <c r="BU955" i="49" s="1"/>
  <c r="BS955" i="49"/>
  <c r="BR955" i="49"/>
  <c r="BQ955" i="49"/>
  <c r="BP955" i="49"/>
  <c r="BO955" i="49"/>
  <c r="BN955" i="49"/>
  <c r="BM955" i="49"/>
  <c r="BL955" i="49"/>
  <c r="BJ955" i="49"/>
  <c r="BK955" i="49" s="1"/>
  <c r="BI955" i="49"/>
  <c r="BH955" i="49"/>
  <c r="BG955" i="49"/>
  <c r="BF955" i="49"/>
  <c r="BE955" i="49"/>
  <c r="BD955" i="49"/>
  <c r="BC955" i="49"/>
  <c r="BB955" i="49"/>
  <c r="AZ955" i="49"/>
  <c r="BA955" i="49" s="1"/>
  <c r="AY955" i="49"/>
  <c r="AX955" i="49"/>
  <c r="AW955" i="49"/>
  <c r="AV955" i="49"/>
  <c r="AU955" i="49"/>
  <c r="AT955" i="49"/>
  <c r="AS955" i="49"/>
  <c r="AR955" i="49"/>
  <c r="AP955" i="49"/>
  <c r="AQ955" i="49" s="1"/>
  <c r="AO955" i="49"/>
  <c r="AN955" i="49"/>
  <c r="AM955" i="49"/>
  <c r="AL955" i="49"/>
  <c r="AK955" i="49"/>
  <c r="AJ955" i="49"/>
  <c r="AI955" i="49"/>
  <c r="AH955" i="49"/>
  <c r="AF955" i="49"/>
  <c r="AG955" i="49" s="1"/>
  <c r="AE955" i="49"/>
  <c r="AD955" i="49"/>
  <c r="AC955" i="49"/>
  <c r="AB955" i="49"/>
  <c r="AA955" i="49"/>
  <c r="Z955" i="49"/>
  <c r="Y955" i="49"/>
  <c r="X955" i="49"/>
  <c r="V955" i="49"/>
  <c r="W955" i="49" s="1"/>
  <c r="U955" i="49"/>
  <c r="T955" i="49"/>
  <c r="S955" i="49"/>
  <c r="R955" i="49"/>
  <c r="Q955" i="49"/>
  <c r="P955" i="49"/>
  <c r="CM954" i="49"/>
  <c r="CL954" i="49"/>
  <c r="CK954" i="49"/>
  <c r="CI954" i="49"/>
  <c r="CJ954" i="49" s="1"/>
  <c r="CH954" i="49"/>
  <c r="CG954" i="49"/>
  <c r="CF954" i="49"/>
  <c r="CE954" i="49"/>
  <c r="CD954" i="49"/>
  <c r="CC954" i="49"/>
  <c r="CB954" i="49"/>
  <c r="CA954" i="49"/>
  <c r="BY954" i="49"/>
  <c r="BZ954" i="49" s="1"/>
  <c r="BX954" i="49"/>
  <c r="BW954" i="49"/>
  <c r="BV954" i="49"/>
  <c r="BU954" i="49"/>
  <c r="BT954" i="49"/>
  <c r="BS954" i="49"/>
  <c r="BR954" i="49"/>
  <c r="BQ954" i="49"/>
  <c r="BO954" i="49"/>
  <c r="BP954" i="49" s="1"/>
  <c r="BN954" i="49"/>
  <c r="BM954" i="49"/>
  <c r="BL954" i="49"/>
  <c r="BK954" i="49"/>
  <c r="BJ954" i="49"/>
  <c r="BI954" i="49"/>
  <c r="BH954" i="49"/>
  <c r="BG954" i="49"/>
  <c r="BE954" i="49"/>
  <c r="BF954" i="49" s="1"/>
  <c r="BD954" i="49"/>
  <c r="BC954" i="49"/>
  <c r="BB954" i="49"/>
  <c r="BA954" i="49"/>
  <c r="AZ954" i="49"/>
  <c r="AY954" i="49"/>
  <c r="AX954" i="49"/>
  <c r="AW954" i="49"/>
  <c r="AU954" i="49"/>
  <c r="AV954" i="49" s="1"/>
  <c r="AT954" i="49"/>
  <c r="AS954" i="49"/>
  <c r="AR954" i="49"/>
  <c r="AQ954" i="49"/>
  <c r="AP954" i="49"/>
  <c r="AO954" i="49"/>
  <c r="AN954" i="49"/>
  <c r="AM954" i="49"/>
  <c r="AK954" i="49"/>
  <c r="AL954" i="49" s="1"/>
  <c r="AJ954" i="49"/>
  <c r="AI954" i="49"/>
  <c r="AH954" i="49"/>
  <c r="AG954" i="49"/>
  <c r="AF954" i="49"/>
  <c r="AE954" i="49"/>
  <c r="AD954" i="49"/>
  <c r="AC954" i="49"/>
  <c r="AA954" i="49"/>
  <c r="AB954" i="49" s="1"/>
  <c r="Z954" i="49"/>
  <c r="Y954" i="49"/>
  <c r="X954" i="49"/>
  <c r="W954" i="49"/>
  <c r="V954" i="49"/>
  <c r="U954" i="49"/>
  <c r="T954" i="49"/>
  <c r="S954" i="49"/>
  <c r="Q954" i="49"/>
  <c r="R954" i="49" s="1"/>
  <c r="O954" i="49"/>
  <c r="N954" i="49"/>
  <c r="K954" i="49"/>
  <c r="J954" i="49"/>
  <c r="I954" i="49"/>
  <c r="BF952" i="49"/>
  <c r="BF951" i="49"/>
  <c r="BF950" i="49"/>
  <c r="BF948" i="49"/>
  <c r="BF944" i="49"/>
  <c r="BF940" i="49"/>
  <c r="BE952" i="49"/>
  <c r="BD952" i="49"/>
  <c r="BC952" i="49"/>
  <c r="BB952" i="49"/>
  <c r="BA952" i="49"/>
  <c r="AZ952" i="49"/>
  <c r="AY952" i="49"/>
  <c r="AX952" i="49"/>
  <c r="AW952" i="49"/>
  <c r="AU952" i="49"/>
  <c r="AV952" i="49" s="1"/>
  <c r="AT952" i="49"/>
  <c r="AS952" i="49"/>
  <c r="AR952" i="49"/>
  <c r="AQ952" i="49"/>
  <c r="AP952" i="49"/>
  <c r="AO952" i="49"/>
  <c r="AN952" i="49"/>
  <c r="AM952" i="49"/>
  <c r="AK952" i="49"/>
  <c r="AL952" i="49" s="1"/>
  <c r="AJ952" i="49"/>
  <c r="AI952" i="49"/>
  <c r="AH952" i="49"/>
  <c r="AG952" i="49"/>
  <c r="AF952" i="49"/>
  <c r="AE952" i="49"/>
  <c r="AD952" i="49"/>
  <c r="AC952" i="49"/>
  <c r="AA952" i="49"/>
  <c r="AB952" i="49" s="1"/>
  <c r="Z952" i="49"/>
  <c r="Y952" i="49"/>
  <c r="X952" i="49"/>
  <c r="W952" i="49"/>
  <c r="V952" i="49"/>
  <c r="U952" i="49"/>
  <c r="T952" i="49"/>
  <c r="S952" i="49"/>
  <c r="Q952" i="49"/>
  <c r="R952" i="49" s="1"/>
  <c r="P952" i="49"/>
  <c r="O952" i="49"/>
  <c r="N952" i="49"/>
  <c r="M952" i="49"/>
  <c r="L952" i="49"/>
  <c r="K952" i="49"/>
  <c r="J952" i="49"/>
  <c r="I952" i="49"/>
  <c r="BE951" i="49"/>
  <c r="BD951" i="49"/>
  <c r="BC951" i="49"/>
  <c r="BB951" i="49"/>
  <c r="BA951" i="49"/>
  <c r="AZ951" i="49"/>
  <c r="AY951" i="49"/>
  <c r="AX951" i="49"/>
  <c r="AW951" i="49"/>
  <c r="AV951" i="49"/>
  <c r="AU951" i="49"/>
  <c r="AT951" i="49"/>
  <c r="AS951" i="49"/>
  <c r="AR951" i="49"/>
  <c r="AQ951" i="49"/>
  <c r="AP951" i="49"/>
  <c r="AO951" i="49"/>
  <c r="AN951" i="49"/>
  <c r="AM951" i="49"/>
  <c r="AL951" i="49"/>
  <c r="AK951" i="49"/>
  <c r="AJ951" i="49"/>
  <c r="AI951" i="49"/>
  <c r="AH951" i="49"/>
  <c r="AG951" i="49"/>
  <c r="AF951" i="49"/>
  <c r="AE951" i="49"/>
  <c r="AD951" i="49"/>
  <c r="AC951" i="49"/>
  <c r="AB951" i="49"/>
  <c r="AA951" i="49"/>
  <c r="Z951" i="49"/>
  <c r="Y951" i="49"/>
  <c r="X951" i="49"/>
  <c r="W951" i="49"/>
  <c r="V951" i="49"/>
  <c r="U951" i="49"/>
  <c r="T951" i="49"/>
  <c r="S951" i="49"/>
  <c r="R951" i="49"/>
  <c r="Q951" i="49"/>
  <c r="P951" i="49"/>
  <c r="O951" i="49"/>
  <c r="N951" i="49"/>
  <c r="M951" i="49"/>
  <c r="L951" i="49"/>
  <c r="K951" i="49"/>
  <c r="J951" i="49"/>
  <c r="I951" i="49"/>
  <c r="BE950" i="49"/>
  <c r="BD950" i="49"/>
  <c r="BC950" i="49"/>
  <c r="BB950" i="49"/>
  <c r="BA950" i="49"/>
  <c r="AZ950" i="49"/>
  <c r="AY950" i="49"/>
  <c r="AX950" i="49"/>
  <c r="AW950" i="49"/>
  <c r="AV950" i="49"/>
  <c r="AU950" i="49"/>
  <c r="AT950" i="49"/>
  <c r="AS950" i="49"/>
  <c r="AR950" i="49"/>
  <c r="AQ950" i="49"/>
  <c r="AP950" i="49"/>
  <c r="AO950" i="49"/>
  <c r="AN950" i="49"/>
  <c r="AM950" i="49"/>
  <c r="AL950" i="49"/>
  <c r="AK950" i="49"/>
  <c r="AJ950" i="49"/>
  <c r="AI950" i="49"/>
  <c r="AH950" i="49"/>
  <c r="AG950" i="49"/>
  <c r="AF950" i="49"/>
  <c r="AE950" i="49"/>
  <c r="AD950" i="49"/>
  <c r="AC950" i="49"/>
  <c r="AB950" i="49"/>
  <c r="AA950" i="49"/>
  <c r="Z950" i="49"/>
  <c r="Y950" i="49"/>
  <c r="X950" i="49"/>
  <c r="W950" i="49"/>
  <c r="V950" i="49"/>
  <c r="U950" i="49"/>
  <c r="T950" i="49"/>
  <c r="S950" i="49"/>
  <c r="R950" i="49"/>
  <c r="Q950" i="49"/>
  <c r="P950" i="49"/>
  <c r="O950" i="49"/>
  <c r="N950" i="49"/>
  <c r="M950" i="49"/>
  <c r="L950" i="49"/>
  <c r="K950" i="49"/>
  <c r="J950" i="49"/>
  <c r="I950" i="49"/>
  <c r="BE949" i="49"/>
  <c r="BF949" i="49" s="1"/>
  <c r="BD949" i="49"/>
  <c r="BC949" i="49"/>
  <c r="BB949" i="49"/>
  <c r="AZ949" i="49"/>
  <c r="BA949" i="49" s="1"/>
  <c r="AY949" i="49"/>
  <c r="AX949" i="49"/>
  <c r="AW949" i="49"/>
  <c r="AV949" i="49"/>
  <c r="AU949" i="49"/>
  <c r="AT949" i="49"/>
  <c r="AS949" i="49"/>
  <c r="AR949" i="49"/>
  <c r="AP949" i="49"/>
  <c r="AQ949" i="49" s="1"/>
  <c r="AO949" i="49"/>
  <c r="AN949" i="49"/>
  <c r="AM949" i="49"/>
  <c r="AL949" i="49"/>
  <c r="AK949" i="49"/>
  <c r="AJ949" i="49"/>
  <c r="AI949" i="49"/>
  <c r="AH949" i="49"/>
  <c r="AF949" i="49"/>
  <c r="AG949" i="49" s="1"/>
  <c r="AE949" i="49"/>
  <c r="AD949" i="49"/>
  <c r="AC949" i="49"/>
  <c r="AB949" i="49"/>
  <c r="AA949" i="49"/>
  <c r="Z949" i="49"/>
  <c r="Y949" i="49"/>
  <c r="X949" i="49"/>
  <c r="V949" i="49"/>
  <c r="W949" i="49" s="1"/>
  <c r="U949" i="49"/>
  <c r="T949" i="49"/>
  <c r="S949" i="49"/>
  <c r="R949" i="49"/>
  <c r="Q949" i="49"/>
  <c r="P949" i="49"/>
  <c r="O949" i="49"/>
  <c r="N949" i="49"/>
  <c r="N948" i="49" s="1"/>
  <c r="L949" i="49"/>
  <c r="M949" i="49" s="1"/>
  <c r="K949" i="49"/>
  <c r="J949" i="49"/>
  <c r="J948" i="49" s="1"/>
  <c r="I949" i="49"/>
  <c r="BE948" i="49"/>
  <c r="BD948" i="49"/>
  <c r="BC948" i="49"/>
  <c r="BB948" i="49"/>
  <c r="BA948" i="49"/>
  <c r="AZ948" i="49"/>
  <c r="AY948" i="49"/>
  <c r="AX948" i="49"/>
  <c r="AW948" i="49"/>
  <c r="AU948" i="49"/>
  <c r="AV948" i="49" s="1"/>
  <c r="AT948" i="49"/>
  <c r="AS948" i="49"/>
  <c r="AR948" i="49"/>
  <c r="AQ948" i="49"/>
  <c r="AP948" i="49"/>
  <c r="AO948" i="49"/>
  <c r="AN948" i="49"/>
  <c r="AM948" i="49"/>
  <c r="AK948" i="49"/>
  <c r="AL948" i="49" s="1"/>
  <c r="AJ948" i="49"/>
  <c r="AI948" i="49"/>
  <c r="AH948" i="49"/>
  <c r="AG948" i="49"/>
  <c r="AF948" i="49"/>
  <c r="AE948" i="49"/>
  <c r="AD948" i="49"/>
  <c r="AC948" i="49"/>
  <c r="AA948" i="49"/>
  <c r="AB948" i="49" s="1"/>
  <c r="Z948" i="49"/>
  <c r="Y948" i="49"/>
  <c r="X948" i="49"/>
  <c r="W948" i="49"/>
  <c r="V948" i="49"/>
  <c r="U948" i="49"/>
  <c r="T948" i="49"/>
  <c r="S948" i="49"/>
  <c r="Q948" i="49"/>
  <c r="R948" i="49" s="1"/>
  <c r="P948" i="49"/>
  <c r="O948" i="49"/>
  <c r="M948" i="49"/>
  <c r="L948" i="49"/>
  <c r="K948" i="49"/>
  <c r="I948" i="49"/>
  <c r="BE947" i="49"/>
  <c r="BF947" i="49" s="1"/>
  <c r="BD947" i="49"/>
  <c r="BC947" i="49"/>
  <c r="BB947" i="49"/>
  <c r="AZ947" i="49"/>
  <c r="BA947" i="49" s="1"/>
  <c r="AY947" i="49"/>
  <c r="AX947" i="49"/>
  <c r="AW947" i="49"/>
  <c r="AV947" i="49"/>
  <c r="AU947" i="49"/>
  <c r="AT947" i="49"/>
  <c r="AS947" i="49"/>
  <c r="AR947" i="49"/>
  <c r="AP947" i="49"/>
  <c r="AQ947" i="49" s="1"/>
  <c r="AO947" i="49"/>
  <c r="AN947" i="49"/>
  <c r="AM947" i="49"/>
  <c r="AL947" i="49"/>
  <c r="AK947" i="49"/>
  <c r="AJ947" i="49"/>
  <c r="AI947" i="49"/>
  <c r="AH947" i="49"/>
  <c r="AF947" i="49"/>
  <c r="AG947" i="49" s="1"/>
  <c r="AE947" i="49"/>
  <c r="AD947" i="49"/>
  <c r="AC947" i="49"/>
  <c r="AB947" i="49"/>
  <c r="AA947" i="49"/>
  <c r="Z947" i="49"/>
  <c r="Y947" i="49"/>
  <c r="X947" i="49"/>
  <c r="V947" i="49"/>
  <c r="W947" i="49" s="1"/>
  <c r="U947" i="49"/>
  <c r="T947" i="49"/>
  <c r="S947" i="49"/>
  <c r="R947" i="49"/>
  <c r="Q947" i="49"/>
  <c r="P947" i="49"/>
  <c r="O947" i="49"/>
  <c r="N947" i="49"/>
  <c r="L947" i="49"/>
  <c r="M947" i="49" s="1"/>
  <c r="K947" i="49"/>
  <c r="J947" i="49"/>
  <c r="I947" i="49"/>
  <c r="BE946" i="49"/>
  <c r="BF946" i="49" s="1"/>
  <c r="BD946" i="49"/>
  <c r="BC946" i="49"/>
  <c r="BB946" i="49"/>
  <c r="BA946" i="49"/>
  <c r="AZ946" i="49"/>
  <c r="AY946" i="49"/>
  <c r="AX946" i="49"/>
  <c r="AW946" i="49"/>
  <c r="AU946" i="49"/>
  <c r="AV946" i="49" s="1"/>
  <c r="AT946" i="49"/>
  <c r="AS946" i="49"/>
  <c r="AR946" i="49"/>
  <c r="AQ946" i="49"/>
  <c r="AP946" i="49"/>
  <c r="AO946" i="49"/>
  <c r="AN946" i="49"/>
  <c r="AM946" i="49"/>
  <c r="AK946" i="49"/>
  <c r="AL946" i="49" s="1"/>
  <c r="AJ946" i="49"/>
  <c r="AI946" i="49"/>
  <c r="AH946" i="49"/>
  <c r="AG946" i="49"/>
  <c r="AF946" i="49"/>
  <c r="AE946" i="49"/>
  <c r="AD946" i="49"/>
  <c r="AC946" i="49"/>
  <c r="AA946" i="49"/>
  <c r="AB946" i="49" s="1"/>
  <c r="Z946" i="49"/>
  <c r="Y946" i="49"/>
  <c r="X946" i="49"/>
  <c r="W946" i="49"/>
  <c r="V946" i="49"/>
  <c r="U946" i="49"/>
  <c r="T946" i="49"/>
  <c r="S946" i="49"/>
  <c r="Q946" i="49"/>
  <c r="R946" i="49" s="1"/>
  <c r="P946" i="49"/>
  <c r="O946" i="49"/>
  <c r="N946" i="49"/>
  <c r="M946" i="49"/>
  <c r="BE945" i="49"/>
  <c r="BF945" i="49" s="1"/>
  <c r="BD945" i="49"/>
  <c r="BC945" i="49"/>
  <c r="BB945" i="49"/>
  <c r="AZ945" i="49"/>
  <c r="BA945" i="49" s="1"/>
  <c r="AY945" i="49"/>
  <c r="AX945" i="49"/>
  <c r="AW945" i="49"/>
  <c r="AV945" i="49"/>
  <c r="AU945" i="49"/>
  <c r="AT945" i="49"/>
  <c r="AS945" i="49"/>
  <c r="AR945" i="49"/>
  <c r="AP945" i="49"/>
  <c r="AQ945" i="49" s="1"/>
  <c r="AO945" i="49"/>
  <c r="AN945" i="49"/>
  <c r="AM945" i="49"/>
  <c r="AL945" i="49"/>
  <c r="AK945" i="49"/>
  <c r="AJ945" i="49"/>
  <c r="AI945" i="49"/>
  <c r="AH945" i="49"/>
  <c r="AF945" i="49"/>
  <c r="AG945" i="49" s="1"/>
  <c r="AE945" i="49"/>
  <c r="AD945" i="49"/>
  <c r="AC945" i="49"/>
  <c r="AB945" i="49"/>
  <c r="AA945" i="49"/>
  <c r="Z945" i="49"/>
  <c r="Y945" i="49"/>
  <c r="X945" i="49"/>
  <c r="V945" i="49"/>
  <c r="W945" i="49" s="1"/>
  <c r="U945" i="49"/>
  <c r="T945" i="49"/>
  <c r="S945" i="49"/>
  <c r="R945" i="49"/>
  <c r="Q945" i="49"/>
  <c r="P945" i="49"/>
  <c r="O945" i="49"/>
  <c r="N945" i="49"/>
  <c r="BE944" i="49"/>
  <c r="BD944" i="49"/>
  <c r="BC944" i="49"/>
  <c r="BB944" i="49"/>
  <c r="BA944" i="49"/>
  <c r="AZ944" i="49"/>
  <c r="AY944" i="49"/>
  <c r="AX944" i="49"/>
  <c r="AW944" i="49"/>
  <c r="AU944" i="49"/>
  <c r="AV944" i="49" s="1"/>
  <c r="AT944" i="49"/>
  <c r="AS944" i="49"/>
  <c r="AR944" i="49"/>
  <c r="AQ944" i="49"/>
  <c r="AP944" i="49"/>
  <c r="AO944" i="49"/>
  <c r="AN944" i="49"/>
  <c r="AM944" i="49"/>
  <c r="AK944" i="49"/>
  <c r="AL944" i="49" s="1"/>
  <c r="AJ944" i="49"/>
  <c r="AI944" i="49"/>
  <c r="AH944" i="49"/>
  <c r="AG944" i="49"/>
  <c r="AF944" i="49"/>
  <c r="AE944" i="49"/>
  <c r="AD944" i="49"/>
  <c r="AC944" i="49"/>
  <c r="AA944" i="49"/>
  <c r="AB944" i="49" s="1"/>
  <c r="Z944" i="49"/>
  <c r="Y944" i="49"/>
  <c r="X944" i="49"/>
  <c r="W944" i="49"/>
  <c r="V944" i="49"/>
  <c r="U944" i="49"/>
  <c r="T944" i="49"/>
  <c r="S944" i="49"/>
  <c r="Q944" i="49"/>
  <c r="R944" i="49" s="1"/>
  <c r="O944" i="49"/>
  <c r="O943" i="49" s="1"/>
  <c r="O462" i="49" s="1"/>
  <c r="O748" i="49" s="1"/>
  <c r="N944" i="49"/>
  <c r="BE943" i="49"/>
  <c r="BF943" i="49" s="1"/>
  <c r="BD943" i="49"/>
  <c r="BC943" i="49"/>
  <c r="BB943" i="49"/>
  <c r="AZ943" i="49"/>
  <c r="BA943" i="49" s="1"/>
  <c r="AY943" i="49"/>
  <c r="AX943" i="49"/>
  <c r="AW943" i="49"/>
  <c r="AV943" i="49"/>
  <c r="AU943" i="49"/>
  <c r="AT943" i="49"/>
  <c r="AS943" i="49"/>
  <c r="AR943" i="49"/>
  <c r="AP943" i="49"/>
  <c r="AQ943" i="49" s="1"/>
  <c r="AO943" i="49"/>
  <c r="AN943" i="49"/>
  <c r="AM943" i="49"/>
  <c r="AK943" i="49"/>
  <c r="AL943" i="49" s="1"/>
  <c r="AJ943" i="49"/>
  <c r="AI943" i="49"/>
  <c r="AH943" i="49"/>
  <c r="AF943" i="49"/>
  <c r="AG943" i="49" s="1"/>
  <c r="AE943" i="49"/>
  <c r="AD943" i="49"/>
  <c r="AC943" i="49"/>
  <c r="AB943" i="49"/>
  <c r="AA943" i="49"/>
  <c r="Z943" i="49"/>
  <c r="Y943" i="49"/>
  <c r="X943" i="49"/>
  <c r="V943" i="49"/>
  <c r="W943" i="49" s="1"/>
  <c r="U943" i="49"/>
  <c r="T943" i="49"/>
  <c r="S943" i="49"/>
  <c r="Q943" i="49"/>
  <c r="R943" i="49" s="1"/>
  <c r="P943" i="49"/>
  <c r="N943" i="49"/>
  <c r="L945" i="49"/>
  <c r="M945" i="49" s="1"/>
  <c r="K945" i="49"/>
  <c r="J945" i="49"/>
  <c r="I945" i="49"/>
  <c r="L944" i="49"/>
  <c r="M944" i="49" s="1"/>
  <c r="K944" i="49"/>
  <c r="J944" i="49"/>
  <c r="I944" i="49"/>
  <c r="L943" i="49"/>
  <c r="M943" i="49" s="1"/>
  <c r="K943" i="49"/>
  <c r="K462" i="49" s="1"/>
  <c r="K748" i="49" s="1"/>
  <c r="J943" i="49"/>
  <c r="I943" i="49"/>
  <c r="M942" i="49"/>
  <c r="CM953" i="49"/>
  <c r="CL953" i="49"/>
  <c r="CK953" i="49"/>
  <c r="CI953" i="49"/>
  <c r="CH953" i="49"/>
  <c r="CG953" i="49"/>
  <c r="CF953" i="49"/>
  <c r="CD953" i="49"/>
  <c r="CC953" i="49"/>
  <c r="CB953" i="49"/>
  <c r="CA953" i="49"/>
  <c r="BY953" i="49"/>
  <c r="BX953" i="49"/>
  <c r="BW953" i="49"/>
  <c r="BV953" i="49"/>
  <c r="BT953" i="49"/>
  <c r="BS953" i="49"/>
  <c r="BR953" i="49"/>
  <c r="BQ953" i="49"/>
  <c r="BO953" i="49"/>
  <c r="BN953" i="49"/>
  <c r="BM953" i="49"/>
  <c r="BL953" i="49"/>
  <c r="CM952" i="49"/>
  <c r="CL952" i="49"/>
  <c r="CK952" i="49"/>
  <c r="CI952" i="49"/>
  <c r="CJ952" i="49" s="1"/>
  <c r="CH952" i="49"/>
  <c r="CG952" i="49"/>
  <c r="CF952" i="49"/>
  <c r="CD952" i="49"/>
  <c r="CE952" i="49" s="1"/>
  <c r="CC952" i="49"/>
  <c r="CB952" i="49"/>
  <c r="CA952" i="49"/>
  <c r="BZ952" i="49"/>
  <c r="BY952" i="49"/>
  <c r="BX952" i="49"/>
  <c r="BW952" i="49"/>
  <c r="BV952" i="49"/>
  <c r="BU952" i="49"/>
  <c r="BT952" i="49"/>
  <c r="BS952" i="49"/>
  <c r="BR952" i="49"/>
  <c r="BQ952" i="49"/>
  <c r="BO952" i="49"/>
  <c r="BP952" i="49" s="1"/>
  <c r="BN952" i="49"/>
  <c r="BM952" i="49"/>
  <c r="BL952" i="49"/>
  <c r="CM951" i="49"/>
  <c r="CL951" i="49"/>
  <c r="CK951" i="49"/>
  <c r="CI951" i="49"/>
  <c r="CH951" i="49"/>
  <c r="CG951" i="49"/>
  <c r="CF951" i="49"/>
  <c r="CD951" i="49"/>
  <c r="CC951" i="49"/>
  <c r="CB951" i="49"/>
  <c r="CA951" i="49"/>
  <c r="BY951" i="49"/>
  <c r="BX951" i="49"/>
  <c r="BW951" i="49"/>
  <c r="BV951" i="49"/>
  <c r="BU951" i="49"/>
  <c r="BT951" i="49"/>
  <c r="BS951" i="49"/>
  <c r="BR951" i="49"/>
  <c r="BQ951" i="49"/>
  <c r="BP951" i="49"/>
  <c r="BO951" i="49"/>
  <c r="BN951" i="49"/>
  <c r="BM951" i="49"/>
  <c r="BL951" i="49"/>
  <c r="BK951" i="49"/>
  <c r="CT950" i="49"/>
  <c r="CU950" i="49" s="1"/>
  <c r="CV950" i="49" s="1"/>
  <c r="CO950" i="49"/>
  <c r="CP950" i="49" s="1"/>
  <c r="CQ950" i="49" s="1"/>
  <c r="CR950" i="49" s="1"/>
  <c r="CS950" i="49" s="1"/>
  <c r="CN950" i="49"/>
  <c r="CM950" i="49"/>
  <c r="CL950" i="49"/>
  <c r="CK950" i="49"/>
  <c r="CJ950" i="49"/>
  <c r="CI950" i="49"/>
  <c r="CH950" i="49"/>
  <c r="CG950" i="49"/>
  <c r="CF950" i="49"/>
  <c r="CE950" i="49"/>
  <c r="CD950" i="49"/>
  <c r="CC950" i="49"/>
  <c r="CB950" i="49"/>
  <c r="CA950" i="49"/>
  <c r="BZ950" i="49"/>
  <c r="BY950" i="49"/>
  <c r="BX950" i="49"/>
  <c r="BW950" i="49"/>
  <c r="BV950" i="49"/>
  <c r="BU950" i="49"/>
  <c r="BT950" i="49"/>
  <c r="BS950" i="49"/>
  <c r="BR950" i="49"/>
  <c r="BQ950" i="49"/>
  <c r="BP950" i="49"/>
  <c r="BO950" i="49"/>
  <c r="BN950" i="49"/>
  <c r="BM950" i="49"/>
  <c r="BL950" i="49"/>
  <c r="BK950" i="49"/>
  <c r="CM949" i="49"/>
  <c r="CL949" i="49"/>
  <c r="CK949" i="49"/>
  <c r="CI949" i="49"/>
  <c r="CJ949" i="49" s="1"/>
  <c r="CH949" i="49"/>
  <c r="CG949" i="49"/>
  <c r="CF949" i="49"/>
  <c r="CE949" i="49"/>
  <c r="CD949" i="49"/>
  <c r="CC949" i="49"/>
  <c r="CB949" i="49"/>
  <c r="CA949" i="49"/>
  <c r="BY949" i="49"/>
  <c r="BZ949" i="49" s="1"/>
  <c r="BX949" i="49"/>
  <c r="BW949" i="49"/>
  <c r="BV949" i="49"/>
  <c r="BT949" i="49"/>
  <c r="BU949" i="49" s="1"/>
  <c r="BS949" i="49"/>
  <c r="BR949" i="49"/>
  <c r="BQ949" i="49"/>
  <c r="BO949" i="49"/>
  <c r="BP949" i="49" s="1"/>
  <c r="BN949" i="49"/>
  <c r="BM949" i="49"/>
  <c r="BL949" i="49"/>
  <c r="BK949" i="49"/>
  <c r="CM948" i="49"/>
  <c r="CL948" i="49"/>
  <c r="CK948" i="49"/>
  <c r="CI948" i="49"/>
  <c r="CJ948" i="49" s="1"/>
  <c r="CH948" i="49"/>
  <c r="CG948" i="49"/>
  <c r="CF948" i="49"/>
  <c r="CD948" i="49"/>
  <c r="CE948" i="49" s="1"/>
  <c r="CC948" i="49"/>
  <c r="CB948" i="49"/>
  <c r="CA948" i="49"/>
  <c r="BZ948" i="49"/>
  <c r="BY948" i="49"/>
  <c r="BX948" i="49"/>
  <c r="BW948" i="49"/>
  <c r="BV948" i="49"/>
  <c r="BU948" i="49"/>
  <c r="BT948" i="49"/>
  <c r="BS948" i="49"/>
  <c r="BR948" i="49"/>
  <c r="BQ948" i="49"/>
  <c r="BO948" i="49"/>
  <c r="BP948" i="49" s="1"/>
  <c r="BN948" i="49"/>
  <c r="BM948" i="49"/>
  <c r="BL948" i="49"/>
  <c r="CK947" i="49"/>
  <c r="CI947" i="49"/>
  <c r="CJ947" i="49" s="1"/>
  <c r="CH947" i="49"/>
  <c r="CG947" i="49"/>
  <c r="CF947" i="49"/>
  <c r="CE947" i="49"/>
  <c r="CD947" i="49"/>
  <c r="CC947" i="49"/>
  <c r="CB947" i="49"/>
  <c r="CA947" i="49"/>
  <c r="BY947" i="49"/>
  <c r="BZ947" i="49" s="1"/>
  <c r="BX947" i="49"/>
  <c r="BW947" i="49"/>
  <c r="BV947" i="49"/>
  <c r="BT947" i="49"/>
  <c r="BU947" i="49" s="1"/>
  <c r="BS947" i="49"/>
  <c r="BR947" i="49"/>
  <c r="BQ947" i="49"/>
  <c r="BO947" i="49"/>
  <c r="BP947" i="49" s="1"/>
  <c r="BN947" i="49"/>
  <c r="BM947" i="49"/>
  <c r="BL947" i="49"/>
  <c r="BK947" i="49"/>
  <c r="CM946" i="49"/>
  <c r="CR946" i="49" s="1"/>
  <c r="CL946" i="49"/>
  <c r="CQ946" i="49" s="1"/>
  <c r="CK946" i="49"/>
  <c r="CP946" i="49" s="1"/>
  <c r="CG946" i="49"/>
  <c r="CF946" i="49"/>
  <c r="CC946" i="49"/>
  <c r="CB946" i="49"/>
  <c r="CA946" i="49"/>
  <c r="BY946" i="49"/>
  <c r="BZ946" i="49" s="1"/>
  <c r="BX946" i="49"/>
  <c r="BW946" i="49"/>
  <c r="BV946" i="49"/>
  <c r="BU946" i="49"/>
  <c r="BT946" i="49"/>
  <c r="BS946" i="49"/>
  <c r="BR946" i="49"/>
  <c r="BQ946" i="49"/>
  <c r="BO946" i="49"/>
  <c r="BP946" i="49" s="1"/>
  <c r="BN946" i="49"/>
  <c r="BM946" i="49"/>
  <c r="BL946" i="49"/>
  <c r="CQ945" i="49"/>
  <c r="CM945" i="49"/>
  <c r="CR945" i="49" s="1"/>
  <c r="CL945" i="49"/>
  <c r="CK945" i="49"/>
  <c r="CP945" i="49" s="1"/>
  <c r="CI945" i="49"/>
  <c r="CJ945" i="49" s="1"/>
  <c r="CH945" i="49"/>
  <c r="CG945" i="49"/>
  <c r="CF945" i="49"/>
  <c r="CE945" i="49"/>
  <c r="CD945" i="49"/>
  <c r="CC945" i="49"/>
  <c r="CB945" i="49"/>
  <c r="CA945" i="49"/>
  <c r="BZ945" i="49"/>
  <c r="BY945" i="49"/>
  <c r="BX945" i="49"/>
  <c r="BW945" i="49"/>
  <c r="BV945" i="49"/>
  <c r="BT945" i="49"/>
  <c r="BU945" i="49" s="1"/>
  <c r="BS945" i="49"/>
  <c r="BR945" i="49"/>
  <c r="BQ945" i="49"/>
  <c r="BP945" i="49"/>
  <c r="BO945" i="49"/>
  <c r="BN945" i="49"/>
  <c r="BM945" i="49"/>
  <c r="BL945" i="49"/>
  <c r="BK945" i="49"/>
  <c r="CP944" i="49"/>
  <c r="CM944" i="49"/>
  <c r="CR944" i="49" s="1"/>
  <c r="CL944" i="49"/>
  <c r="CQ944" i="49" s="1"/>
  <c r="CK944" i="49"/>
  <c r="CJ944" i="49"/>
  <c r="CI944" i="49"/>
  <c r="CH944" i="49"/>
  <c r="CG944" i="49"/>
  <c r="CF944" i="49"/>
  <c r="CD944" i="49"/>
  <c r="CE944" i="49" s="1"/>
  <c r="CC944" i="49"/>
  <c r="CB944" i="49"/>
  <c r="CA944" i="49"/>
  <c r="BZ944" i="49"/>
  <c r="BY944" i="49"/>
  <c r="BX944" i="49"/>
  <c r="BW944" i="49"/>
  <c r="BV944" i="49"/>
  <c r="BU944" i="49"/>
  <c r="BT944" i="49"/>
  <c r="BS944" i="49"/>
  <c r="BR944" i="49"/>
  <c r="BQ944" i="49"/>
  <c r="BP944" i="49"/>
  <c r="BO944" i="49"/>
  <c r="BN944" i="49"/>
  <c r="BM944" i="49"/>
  <c r="BL944" i="49"/>
  <c r="CQ943" i="49"/>
  <c r="CP943" i="49"/>
  <c r="CM943" i="49"/>
  <c r="CR943" i="49" s="1"/>
  <c r="CL943" i="49"/>
  <c r="CK943" i="49"/>
  <c r="CJ943" i="49"/>
  <c r="CI943" i="49"/>
  <c r="CH943" i="49"/>
  <c r="CG943" i="49"/>
  <c r="CF943" i="49"/>
  <c r="CE943" i="49"/>
  <c r="CD943" i="49"/>
  <c r="CC943" i="49"/>
  <c r="CB943" i="49"/>
  <c r="CA943" i="49"/>
  <c r="BZ943" i="49"/>
  <c r="BY943" i="49"/>
  <c r="BX943" i="49"/>
  <c r="BW943" i="49"/>
  <c r="BV943" i="49"/>
  <c r="BT943" i="49"/>
  <c r="BU943" i="49" s="1"/>
  <c r="BS943" i="49"/>
  <c r="BR943" i="49"/>
  <c r="BQ943" i="49"/>
  <c r="BN943" i="49"/>
  <c r="BM943" i="49"/>
  <c r="BL943" i="49"/>
  <c r="BK943" i="49"/>
  <c r="CK942" i="49"/>
  <c r="CP942" i="49" s="1"/>
  <c r="CI942" i="49"/>
  <c r="CJ942" i="49" s="1"/>
  <c r="CH942" i="49"/>
  <c r="CG942" i="49"/>
  <c r="CF942" i="49"/>
  <c r="CD942" i="49"/>
  <c r="CE942" i="49" s="1"/>
  <c r="CC942" i="49"/>
  <c r="CB942" i="49"/>
  <c r="CA942" i="49"/>
  <c r="BY942" i="49"/>
  <c r="BZ942" i="49" s="1"/>
  <c r="BX942" i="49"/>
  <c r="BW942" i="49"/>
  <c r="BV942" i="49"/>
  <c r="BU942" i="49"/>
  <c r="BT942" i="49"/>
  <c r="BS942" i="49"/>
  <c r="BR942" i="49"/>
  <c r="BQ942" i="49"/>
  <c r="BO942" i="49"/>
  <c r="BP942" i="49" s="1"/>
  <c r="BN942" i="49"/>
  <c r="BM942" i="49"/>
  <c r="BL942" i="49"/>
  <c r="CQ941" i="49"/>
  <c r="CM941" i="49"/>
  <c r="CR941" i="49" s="1"/>
  <c r="CL941" i="49"/>
  <c r="CK941" i="49"/>
  <c r="CP941" i="49" s="1"/>
  <c r="CI941" i="49"/>
  <c r="CJ941" i="49" s="1"/>
  <c r="CH941" i="49"/>
  <c r="CG941" i="49"/>
  <c r="CF941" i="49"/>
  <c r="CE941" i="49"/>
  <c r="CD941" i="49"/>
  <c r="CC941" i="49"/>
  <c r="CB941" i="49"/>
  <c r="CA941" i="49"/>
  <c r="BY941" i="49"/>
  <c r="BZ941" i="49" s="1"/>
  <c r="BX941" i="49"/>
  <c r="BW941" i="49"/>
  <c r="BV941" i="49"/>
  <c r="BT941" i="49"/>
  <c r="BU941" i="49" s="1"/>
  <c r="BS941" i="49"/>
  <c r="BR941" i="49"/>
  <c r="BQ941" i="49"/>
  <c r="BO941" i="49"/>
  <c r="BP941" i="49" s="1"/>
  <c r="BN941" i="49"/>
  <c r="BM941" i="49"/>
  <c r="BL941" i="49"/>
  <c r="BK941" i="49"/>
  <c r="CM940" i="49"/>
  <c r="CR940" i="49" s="1"/>
  <c r="CL940" i="49"/>
  <c r="CQ940" i="49" s="1"/>
  <c r="CK940" i="49"/>
  <c r="CP940" i="49" s="1"/>
  <c r="CI940" i="49"/>
  <c r="CJ940" i="49" s="1"/>
  <c r="CH940" i="49"/>
  <c r="CG940" i="49"/>
  <c r="CF940" i="49"/>
  <c r="CD940" i="49"/>
  <c r="CE940" i="49" s="1"/>
  <c r="CC940" i="49"/>
  <c r="CB940" i="49"/>
  <c r="CA940" i="49"/>
  <c r="BZ940" i="49"/>
  <c r="BY940" i="49"/>
  <c r="BX940" i="49"/>
  <c r="BW940" i="49"/>
  <c r="BV940" i="49"/>
  <c r="BU940" i="49"/>
  <c r="BT940" i="49"/>
  <c r="BS940" i="49"/>
  <c r="BR940" i="49"/>
  <c r="BQ940" i="49"/>
  <c r="BN940" i="49"/>
  <c r="BM940" i="49"/>
  <c r="BL940" i="49"/>
  <c r="CQ939" i="49"/>
  <c r="CM939" i="49"/>
  <c r="CR939" i="49" s="1"/>
  <c r="CL939" i="49"/>
  <c r="CK939" i="49"/>
  <c r="CP939" i="49" s="1"/>
  <c r="CI939" i="49"/>
  <c r="CJ939" i="49" s="1"/>
  <c r="CH939" i="49"/>
  <c r="CG939" i="49"/>
  <c r="CF939" i="49"/>
  <c r="CE939" i="49"/>
  <c r="CD939" i="49"/>
  <c r="CC939" i="49"/>
  <c r="CB939" i="49"/>
  <c r="CA939" i="49"/>
  <c r="BY939" i="49"/>
  <c r="BX939" i="49"/>
  <c r="BW939" i="49"/>
  <c r="BV939" i="49"/>
  <c r="BT939" i="49"/>
  <c r="BS939" i="49"/>
  <c r="BR939" i="49"/>
  <c r="BQ939" i="49"/>
  <c r="BN939" i="49"/>
  <c r="BM939" i="49"/>
  <c r="BL939" i="49"/>
  <c r="BK939" i="49"/>
  <c r="BJ952" i="49"/>
  <c r="BK952" i="49" s="1"/>
  <c r="BI952" i="49"/>
  <c r="BH952" i="49"/>
  <c r="BG952" i="49"/>
  <c r="BJ951" i="49"/>
  <c r="BI951" i="49"/>
  <c r="BH951" i="49"/>
  <c r="BG951" i="49"/>
  <c r="BJ950" i="49"/>
  <c r="BI950" i="49"/>
  <c r="BH950" i="49"/>
  <c r="BG950" i="49"/>
  <c r="BJ949" i="49"/>
  <c r="BI949" i="49"/>
  <c r="BH949" i="49"/>
  <c r="BG949" i="49"/>
  <c r="BJ948" i="49"/>
  <c r="BK948" i="49" s="1"/>
  <c r="BI948" i="49"/>
  <c r="BH948" i="49"/>
  <c r="BG948" i="49"/>
  <c r="BJ947" i="49"/>
  <c r="BI947" i="49"/>
  <c r="BH947" i="49"/>
  <c r="BG947" i="49"/>
  <c r="BJ946" i="49"/>
  <c r="BK946" i="49" s="1"/>
  <c r="BI946" i="49"/>
  <c r="BH946" i="49"/>
  <c r="BG946" i="49"/>
  <c r="BJ945" i="49"/>
  <c r="BI945" i="49"/>
  <c r="BH945" i="49"/>
  <c r="BG945" i="49"/>
  <c r="BJ944" i="49"/>
  <c r="BK944" i="49" s="1"/>
  <c r="BI944" i="49"/>
  <c r="BH944" i="49"/>
  <c r="BG944" i="49"/>
  <c r="BJ943" i="49"/>
  <c r="BH943" i="49"/>
  <c r="BG943" i="49"/>
  <c r="BJ942" i="49"/>
  <c r="BK942" i="49" s="1"/>
  <c r="BI942" i="49"/>
  <c r="BH942" i="49"/>
  <c r="BG942" i="49"/>
  <c r="BJ941" i="49"/>
  <c r="BI941" i="49"/>
  <c r="BH941" i="49"/>
  <c r="BG941" i="49"/>
  <c r="BJ940" i="49"/>
  <c r="BK940" i="49" s="1"/>
  <c r="BH940" i="49"/>
  <c r="BG940" i="49"/>
  <c r="BJ939" i="49"/>
  <c r="BH939" i="49"/>
  <c r="BH973" i="49" s="1"/>
  <c r="BG939" i="49"/>
  <c r="BE942" i="49"/>
  <c r="BF942" i="49" s="1"/>
  <c r="BD942" i="49"/>
  <c r="BC942" i="49"/>
  <c r="BB942" i="49"/>
  <c r="AZ942" i="49"/>
  <c r="BA942" i="49" s="1"/>
  <c r="AY942" i="49"/>
  <c r="AX942" i="49"/>
  <c r="AW942" i="49"/>
  <c r="AU942" i="49"/>
  <c r="AV942" i="49" s="1"/>
  <c r="AT942" i="49"/>
  <c r="AS942" i="49"/>
  <c r="AR942" i="49"/>
  <c r="AQ942" i="49"/>
  <c r="AP942" i="49"/>
  <c r="AO942" i="49"/>
  <c r="AN942" i="49"/>
  <c r="AM942" i="49"/>
  <c r="AL942" i="49"/>
  <c r="AK942" i="49"/>
  <c r="AJ942" i="49"/>
  <c r="AI942" i="49"/>
  <c r="AH942" i="49"/>
  <c r="AF942" i="49"/>
  <c r="AG942" i="49" s="1"/>
  <c r="AE942" i="49"/>
  <c r="AD942" i="49"/>
  <c r="AC942" i="49"/>
  <c r="AA942" i="49"/>
  <c r="AB942" i="49" s="1"/>
  <c r="Z942" i="49"/>
  <c r="Y942" i="49"/>
  <c r="X942" i="49"/>
  <c r="W942" i="49"/>
  <c r="V942" i="49"/>
  <c r="U942" i="49"/>
  <c r="T942" i="49"/>
  <c r="S942" i="49"/>
  <c r="R942" i="49"/>
  <c r="Q942" i="49"/>
  <c r="P942" i="49"/>
  <c r="BE941" i="49"/>
  <c r="BF941" i="49" s="1"/>
  <c r="BD941" i="49"/>
  <c r="BC941" i="49"/>
  <c r="BB941" i="49"/>
  <c r="BA941" i="49"/>
  <c r="AZ941" i="49"/>
  <c r="AY941" i="49"/>
  <c r="AX941" i="49"/>
  <c r="AW941" i="49"/>
  <c r="AV941" i="49"/>
  <c r="AU941" i="49"/>
  <c r="AT941" i="49"/>
  <c r="AS941" i="49"/>
  <c r="AR941" i="49"/>
  <c r="AP941" i="49"/>
  <c r="AQ941" i="49" s="1"/>
  <c r="AO941" i="49"/>
  <c r="AN941" i="49"/>
  <c r="AM941" i="49"/>
  <c r="AK941" i="49"/>
  <c r="AL941" i="49" s="1"/>
  <c r="AJ941" i="49"/>
  <c r="AI941" i="49"/>
  <c r="AH941" i="49"/>
  <c r="AG941" i="49"/>
  <c r="AF941" i="49"/>
  <c r="AE941" i="49"/>
  <c r="AD941" i="49"/>
  <c r="AC941" i="49"/>
  <c r="AB941" i="49"/>
  <c r="AA941" i="49"/>
  <c r="Z941" i="49"/>
  <c r="Y941" i="49"/>
  <c r="X941" i="49"/>
  <c r="V941" i="49"/>
  <c r="W941" i="49" s="1"/>
  <c r="U941" i="49"/>
  <c r="T941" i="49"/>
  <c r="S941" i="49"/>
  <c r="Q941" i="49"/>
  <c r="R941" i="49" s="1"/>
  <c r="P941" i="49"/>
  <c r="BE940" i="49"/>
  <c r="BD940" i="49"/>
  <c r="BC940" i="49"/>
  <c r="BB940" i="49"/>
  <c r="AZ940" i="49"/>
  <c r="BA940" i="49" s="1"/>
  <c r="AY940" i="49"/>
  <c r="AX940" i="49"/>
  <c r="AW940" i="49"/>
  <c r="AU940" i="49"/>
  <c r="AV940" i="49" s="1"/>
  <c r="AT940" i="49"/>
  <c r="AT973" i="49" s="1"/>
  <c r="AS940" i="49"/>
  <c r="AR940" i="49"/>
  <c r="AQ940" i="49"/>
  <c r="AP940" i="49"/>
  <c r="AO940" i="49"/>
  <c r="AN940" i="49"/>
  <c r="AM940" i="49"/>
  <c r="AL940" i="49"/>
  <c r="AK940" i="49"/>
  <c r="AJ940" i="49"/>
  <c r="AI940" i="49"/>
  <c r="AH940" i="49"/>
  <c r="AF940" i="49"/>
  <c r="AG940" i="49" s="1"/>
  <c r="AE940" i="49"/>
  <c r="AD940" i="49"/>
  <c r="AC940" i="49"/>
  <c r="AA940" i="49"/>
  <c r="AB940" i="49" s="1"/>
  <c r="Z940" i="49"/>
  <c r="Y940" i="49"/>
  <c r="X940" i="49"/>
  <c r="W940" i="49"/>
  <c r="V940" i="49"/>
  <c r="U940" i="49"/>
  <c r="T940" i="49"/>
  <c r="S940" i="49"/>
  <c r="S973" i="49" s="1"/>
  <c r="R940" i="49"/>
  <c r="Q940" i="49"/>
  <c r="P940" i="49"/>
  <c r="BE939" i="49"/>
  <c r="BD939" i="49"/>
  <c r="BC939" i="49"/>
  <c r="BB939" i="49"/>
  <c r="BA939" i="49"/>
  <c r="AZ939" i="49"/>
  <c r="AY939" i="49"/>
  <c r="AY973" i="49" s="1"/>
  <c r="AX939" i="49"/>
  <c r="AW939" i="49"/>
  <c r="AW973" i="49" s="1"/>
  <c r="AV939" i="49"/>
  <c r="AU939" i="49"/>
  <c r="AT939" i="49"/>
  <c r="AS939" i="49"/>
  <c r="AS973" i="49" s="1"/>
  <c r="AR939" i="49"/>
  <c r="AP939" i="49"/>
  <c r="AO939" i="49"/>
  <c r="AN939" i="49"/>
  <c r="AN973" i="49" s="1"/>
  <c r="AM939" i="49"/>
  <c r="AK939" i="49"/>
  <c r="AJ939" i="49"/>
  <c r="AI939" i="49"/>
  <c r="AI973" i="49" s="1"/>
  <c r="AH939" i="49"/>
  <c r="AG939" i="49"/>
  <c r="AF939" i="49"/>
  <c r="AE939" i="49"/>
  <c r="AD939" i="49"/>
  <c r="AC939" i="49"/>
  <c r="AC973" i="49" s="1"/>
  <c r="AB939" i="49"/>
  <c r="AA939" i="49"/>
  <c r="Z939" i="49"/>
  <c r="Y939" i="49"/>
  <c r="Y973" i="49" s="1"/>
  <c r="X939" i="49"/>
  <c r="X973" i="49" s="1"/>
  <c r="V939" i="49"/>
  <c r="U939" i="49"/>
  <c r="T939" i="49"/>
  <c r="T973" i="49" s="1"/>
  <c r="S939" i="49"/>
  <c r="Q939" i="49"/>
  <c r="P939" i="49"/>
  <c r="O941" i="49"/>
  <c r="N941" i="49"/>
  <c r="O940" i="49"/>
  <c r="O939" i="49" s="1"/>
  <c r="N940" i="49"/>
  <c r="N939" i="49" s="1"/>
  <c r="L941" i="49"/>
  <c r="M941" i="49" s="1"/>
  <c r="K941" i="49"/>
  <c r="K465" i="49" s="1"/>
  <c r="J941" i="49"/>
  <c r="I941" i="49"/>
  <c r="L940" i="49"/>
  <c r="M940" i="49" s="1"/>
  <c r="K940" i="49"/>
  <c r="J940" i="49"/>
  <c r="I940" i="49"/>
  <c r="L939" i="49"/>
  <c r="K939" i="49"/>
  <c r="J939" i="49"/>
  <c r="I939" i="49"/>
  <c r="CM938" i="49"/>
  <c r="CL938" i="49"/>
  <c r="CK938" i="49"/>
  <c r="CJ938" i="49"/>
  <c r="CI938" i="49"/>
  <c r="CH938" i="49"/>
  <c r="CG938" i="49"/>
  <c r="CF938" i="49"/>
  <c r="CM937" i="49"/>
  <c r="CL937" i="49"/>
  <c r="CK937" i="49"/>
  <c r="CJ937" i="49"/>
  <c r="CI937" i="49"/>
  <c r="CH937" i="49"/>
  <c r="CG937" i="49"/>
  <c r="CF937" i="49"/>
  <c r="AD934" i="49"/>
  <c r="V934" i="49"/>
  <c r="BO933" i="49"/>
  <c r="BP933" i="49" s="1"/>
  <c r="BN933" i="49"/>
  <c r="BM933" i="49"/>
  <c r="BL933" i="49"/>
  <c r="BJ933" i="49"/>
  <c r="BK933" i="49" s="1"/>
  <c r="BI933" i="49"/>
  <c r="BH933" i="49"/>
  <c r="BG933" i="49"/>
  <c r="BF933" i="49"/>
  <c r="BE933" i="49"/>
  <c r="BD933" i="49"/>
  <c r="BC933" i="49"/>
  <c r="BB933" i="49"/>
  <c r="BA933" i="49"/>
  <c r="AZ933" i="49"/>
  <c r="AY933" i="49"/>
  <c r="AX933" i="49"/>
  <c r="AW933" i="49"/>
  <c r="AU933" i="49"/>
  <c r="AV933" i="49" s="1"/>
  <c r="AT933" i="49"/>
  <c r="AS933" i="49"/>
  <c r="AR933" i="49"/>
  <c r="AP933" i="49"/>
  <c r="AQ933" i="49" s="1"/>
  <c r="AO933" i="49"/>
  <c r="AN933" i="49"/>
  <c r="AM933" i="49"/>
  <c r="AL933" i="49"/>
  <c r="AK933" i="49"/>
  <c r="AJ933" i="49"/>
  <c r="AI933" i="49"/>
  <c r="AH933" i="49"/>
  <c r="AG933" i="49"/>
  <c r="AF933" i="49"/>
  <c r="AE933" i="49"/>
  <c r="AD933" i="49"/>
  <c r="AC933" i="49"/>
  <c r="AB933" i="49"/>
  <c r="AA933" i="49"/>
  <c r="Z933" i="49"/>
  <c r="Y933" i="49"/>
  <c r="X933" i="49"/>
  <c r="V933" i="49"/>
  <c r="W933" i="49" s="1"/>
  <c r="U933" i="49"/>
  <c r="T933" i="49"/>
  <c r="S933" i="49"/>
  <c r="Q933" i="49"/>
  <c r="R933" i="49" s="1"/>
  <c r="P933" i="49"/>
  <c r="O933" i="49"/>
  <c r="N933" i="49"/>
  <c r="M933" i="49"/>
  <c r="L933" i="49"/>
  <c r="BO932" i="49"/>
  <c r="BP932" i="49" s="1"/>
  <c r="BN932" i="49"/>
  <c r="BM932" i="49"/>
  <c r="BL932" i="49"/>
  <c r="BK932" i="49"/>
  <c r="BJ932" i="49"/>
  <c r="BI932" i="49"/>
  <c r="BH932" i="49"/>
  <c r="BG932" i="49"/>
  <c r="BF932" i="49"/>
  <c r="BE932" i="49"/>
  <c r="BD932" i="49"/>
  <c r="BC932" i="49"/>
  <c r="BB932" i="49"/>
  <c r="AZ932" i="49"/>
  <c r="BA932" i="49" s="1"/>
  <c r="AY932" i="49"/>
  <c r="AX932" i="49"/>
  <c r="AW932" i="49"/>
  <c r="AU932" i="49"/>
  <c r="AV932" i="49" s="1"/>
  <c r="AT932" i="49"/>
  <c r="AS932" i="49"/>
  <c r="AR932" i="49"/>
  <c r="AQ932" i="49"/>
  <c r="AP932" i="49"/>
  <c r="AO932" i="49"/>
  <c r="AN932" i="49"/>
  <c r="AM932" i="49"/>
  <c r="AL932" i="49"/>
  <c r="AK932" i="49"/>
  <c r="AJ932" i="49"/>
  <c r="AI932" i="49"/>
  <c r="AH932" i="49"/>
  <c r="AF932" i="49"/>
  <c r="AG932" i="49" s="1"/>
  <c r="AE932" i="49"/>
  <c r="AD932" i="49"/>
  <c r="AC932" i="49"/>
  <c r="AA932" i="49"/>
  <c r="AB932" i="49" s="1"/>
  <c r="Z932" i="49"/>
  <c r="Y932" i="49"/>
  <c r="X932" i="49"/>
  <c r="W932" i="49"/>
  <c r="V932" i="49"/>
  <c r="U932" i="49"/>
  <c r="T932" i="49"/>
  <c r="S932" i="49"/>
  <c r="R932" i="49"/>
  <c r="Q932" i="49"/>
  <c r="P932" i="49"/>
  <c r="O932" i="49"/>
  <c r="N932" i="49"/>
  <c r="L932" i="49"/>
  <c r="M932" i="49" s="1"/>
  <c r="BO931" i="49"/>
  <c r="BP931" i="49" s="1"/>
  <c r="BN931" i="49"/>
  <c r="BM931" i="49"/>
  <c r="BL931" i="49"/>
  <c r="BK931" i="49"/>
  <c r="BJ931" i="49"/>
  <c r="BI931" i="49"/>
  <c r="BH931" i="49"/>
  <c r="BG931" i="49"/>
  <c r="BF931" i="49"/>
  <c r="BE931" i="49"/>
  <c r="BD931" i="49"/>
  <c r="BC931" i="49"/>
  <c r="BB931" i="49"/>
  <c r="AZ931" i="49"/>
  <c r="BA931" i="49" s="1"/>
  <c r="AY931" i="49"/>
  <c r="AX931" i="49"/>
  <c r="AW931" i="49"/>
  <c r="AV931" i="49"/>
  <c r="AU931" i="49"/>
  <c r="AT931" i="49"/>
  <c r="AS931" i="49"/>
  <c r="AR931" i="49"/>
  <c r="AQ931" i="49"/>
  <c r="AP931" i="49"/>
  <c r="AO931" i="49"/>
  <c r="AN931" i="49"/>
  <c r="AM931" i="49"/>
  <c r="AL931" i="49"/>
  <c r="AK931" i="49"/>
  <c r="AJ931" i="49"/>
  <c r="AI931" i="49"/>
  <c r="AH931" i="49"/>
  <c r="AF931" i="49"/>
  <c r="AG931" i="49" s="1"/>
  <c r="AE931" i="49"/>
  <c r="AD931" i="49"/>
  <c r="AC931" i="49"/>
  <c r="AA931" i="49"/>
  <c r="AB931" i="49" s="1"/>
  <c r="Z931" i="49"/>
  <c r="Y931" i="49"/>
  <c r="X931" i="49"/>
  <c r="W931" i="49"/>
  <c r="V931" i="49"/>
  <c r="U931" i="49"/>
  <c r="T931" i="49"/>
  <c r="S931" i="49"/>
  <c r="R931" i="49"/>
  <c r="Q931" i="49"/>
  <c r="P931" i="49"/>
  <c r="O931" i="49"/>
  <c r="N931" i="49"/>
  <c r="L931" i="49"/>
  <c r="M931" i="49" s="1"/>
  <c r="K932" i="49"/>
  <c r="J932" i="49"/>
  <c r="I932" i="49"/>
  <c r="K931" i="49"/>
  <c r="J931" i="49"/>
  <c r="I931" i="49"/>
  <c r="M930" i="49"/>
  <c r="M928" i="49"/>
  <c r="M922" i="49"/>
  <c r="M921" i="49"/>
  <c r="M920" i="49"/>
  <c r="M918" i="49"/>
  <c r="M916" i="49"/>
  <c r="O929" i="49"/>
  <c r="N929" i="49"/>
  <c r="L929" i="49"/>
  <c r="M929" i="49" s="1"/>
  <c r="K929" i="49"/>
  <c r="J929" i="49"/>
  <c r="I929" i="49"/>
  <c r="L927" i="49"/>
  <c r="M927" i="49" s="1"/>
  <c r="K927" i="49"/>
  <c r="J927" i="49"/>
  <c r="I927" i="49"/>
  <c r="L926" i="49"/>
  <c r="M926" i="49" s="1"/>
  <c r="K926" i="49"/>
  <c r="J926" i="49"/>
  <c r="I926" i="49"/>
  <c r="L925" i="49"/>
  <c r="M925" i="49" s="1"/>
  <c r="K925" i="49"/>
  <c r="J925" i="49"/>
  <c r="I925" i="49"/>
  <c r="L924" i="49"/>
  <c r="M924" i="49" s="1"/>
  <c r="K924" i="49"/>
  <c r="J924" i="49"/>
  <c r="I924" i="49"/>
  <c r="L923" i="49"/>
  <c r="M923" i="49" s="1"/>
  <c r="K923" i="49"/>
  <c r="J923" i="49"/>
  <c r="I923" i="49"/>
  <c r="BP930" i="49"/>
  <c r="BO930" i="49"/>
  <c r="BN930" i="49"/>
  <c r="BM930" i="49"/>
  <c r="BL930" i="49"/>
  <c r="BK930" i="49"/>
  <c r="BJ930" i="49"/>
  <c r="BI930" i="49"/>
  <c r="BH930" i="49"/>
  <c r="BG930" i="49"/>
  <c r="BE930" i="49"/>
  <c r="BF930" i="49" s="1"/>
  <c r="BD930" i="49"/>
  <c r="BC930" i="49"/>
  <c r="BB930" i="49"/>
  <c r="BA930" i="49"/>
  <c r="AZ930" i="49"/>
  <c r="AY930" i="49"/>
  <c r="AX930" i="49"/>
  <c r="AW930" i="49"/>
  <c r="AV930" i="49"/>
  <c r="AU930" i="49"/>
  <c r="AT930" i="49"/>
  <c r="AS930" i="49"/>
  <c r="AR930" i="49"/>
  <c r="AQ930" i="49"/>
  <c r="AP930" i="49"/>
  <c r="AO930" i="49"/>
  <c r="AN930" i="49"/>
  <c r="AM930" i="49"/>
  <c r="AK930" i="49"/>
  <c r="AL930" i="49" s="1"/>
  <c r="AJ930" i="49"/>
  <c r="AI930" i="49"/>
  <c r="AH930" i="49"/>
  <c r="AF930" i="49"/>
  <c r="AG930" i="49" s="1"/>
  <c r="AE930" i="49"/>
  <c r="AD930" i="49"/>
  <c r="AC930" i="49"/>
  <c r="AB930" i="49"/>
  <c r="AA930" i="49"/>
  <c r="Z930" i="49"/>
  <c r="Y930" i="49"/>
  <c r="X930" i="49"/>
  <c r="W930" i="49"/>
  <c r="V930" i="49"/>
  <c r="U930" i="49"/>
  <c r="T930" i="49"/>
  <c r="S930" i="49"/>
  <c r="Q930" i="49"/>
  <c r="R930" i="49" s="1"/>
  <c r="P930" i="49"/>
  <c r="BP929" i="49"/>
  <c r="BO929" i="49"/>
  <c r="BN929" i="49"/>
  <c r="BM929" i="49"/>
  <c r="BL929" i="49"/>
  <c r="BJ929" i="49"/>
  <c r="BK929" i="49" s="1"/>
  <c r="BI929" i="49"/>
  <c r="BH929" i="49"/>
  <c r="BG929" i="49"/>
  <c r="BE929" i="49"/>
  <c r="BF929" i="49" s="1"/>
  <c r="BD929" i="49"/>
  <c r="BC929" i="49"/>
  <c r="BB929" i="49"/>
  <c r="BA929" i="49"/>
  <c r="AZ929" i="49"/>
  <c r="AY929" i="49"/>
  <c r="AX929" i="49"/>
  <c r="AW929" i="49"/>
  <c r="AU929" i="49"/>
  <c r="AV929" i="49" s="1"/>
  <c r="AT929" i="49"/>
  <c r="AT934" i="49" s="1"/>
  <c r="AS929" i="49"/>
  <c r="AR929" i="49"/>
  <c r="AP929" i="49"/>
  <c r="AQ929" i="49" s="1"/>
  <c r="AO929" i="49"/>
  <c r="AN929" i="49"/>
  <c r="AM929" i="49"/>
  <c r="AK929" i="49"/>
  <c r="AL929" i="49" s="1"/>
  <c r="AJ929" i="49"/>
  <c r="AI929" i="49"/>
  <c r="AH929" i="49"/>
  <c r="AG929" i="49"/>
  <c r="AF929" i="49"/>
  <c r="AE929" i="49"/>
  <c r="AD929" i="49"/>
  <c r="AC929" i="49"/>
  <c r="AA929" i="49"/>
  <c r="AB929" i="49" s="1"/>
  <c r="Z929" i="49"/>
  <c r="Y929" i="49"/>
  <c r="X929" i="49"/>
  <c r="V929" i="49"/>
  <c r="W929" i="49" s="1"/>
  <c r="U929" i="49"/>
  <c r="T929" i="49"/>
  <c r="S929" i="49"/>
  <c r="Q929" i="49"/>
  <c r="R929" i="49" s="1"/>
  <c r="P929" i="49"/>
  <c r="BO928" i="49"/>
  <c r="BP928" i="49" s="1"/>
  <c r="BN928" i="49"/>
  <c r="BM928" i="49"/>
  <c r="BL928" i="49"/>
  <c r="BK928" i="49"/>
  <c r="BJ928" i="49"/>
  <c r="BI928" i="49"/>
  <c r="BH928" i="49"/>
  <c r="BG928" i="49"/>
  <c r="BF928" i="49"/>
  <c r="BE928" i="49"/>
  <c r="BD928" i="49"/>
  <c r="BC928" i="49"/>
  <c r="BB928" i="49"/>
  <c r="AZ928" i="49"/>
  <c r="BA928" i="49" s="1"/>
  <c r="AY928" i="49"/>
  <c r="AX928" i="49"/>
  <c r="AW928" i="49"/>
  <c r="AU928" i="49"/>
  <c r="AV928" i="49" s="1"/>
  <c r="AT928" i="49"/>
  <c r="AS928" i="49"/>
  <c r="AR928" i="49"/>
  <c r="AQ928" i="49"/>
  <c r="AP928" i="49"/>
  <c r="AO928" i="49"/>
  <c r="AN928" i="49"/>
  <c r="AM928" i="49"/>
  <c r="AL928" i="49"/>
  <c r="AK928" i="49"/>
  <c r="AJ928" i="49"/>
  <c r="AI928" i="49"/>
  <c r="AH928" i="49"/>
  <c r="AF928" i="49"/>
  <c r="AG928" i="49" s="1"/>
  <c r="AE928" i="49"/>
  <c r="AD928" i="49"/>
  <c r="AC928" i="49"/>
  <c r="AA928" i="49"/>
  <c r="AB928" i="49" s="1"/>
  <c r="Z928" i="49"/>
  <c r="Y928" i="49"/>
  <c r="X928" i="49"/>
  <c r="W928" i="49"/>
  <c r="V928" i="49"/>
  <c r="U928" i="49"/>
  <c r="T928" i="49"/>
  <c r="S928" i="49"/>
  <c r="R928" i="49"/>
  <c r="Q928" i="49"/>
  <c r="P928" i="49"/>
  <c r="BP927" i="49"/>
  <c r="BO927" i="49"/>
  <c r="BN927" i="49"/>
  <c r="BM927" i="49"/>
  <c r="BL927" i="49"/>
  <c r="BK927" i="49"/>
  <c r="BJ927" i="49"/>
  <c r="BI927" i="49"/>
  <c r="BH927" i="49"/>
  <c r="BG927" i="49"/>
  <c r="BE927" i="49"/>
  <c r="BF927" i="49" s="1"/>
  <c r="BD927" i="49"/>
  <c r="BC927" i="49"/>
  <c r="BB927" i="49"/>
  <c r="AZ927" i="49"/>
  <c r="BA927" i="49" s="1"/>
  <c r="AY927" i="49"/>
  <c r="AX927" i="49"/>
  <c r="AW927" i="49"/>
  <c r="AV927" i="49"/>
  <c r="AU927" i="49"/>
  <c r="AT927" i="49"/>
  <c r="AS927" i="49"/>
  <c r="AR927" i="49"/>
  <c r="AQ927" i="49"/>
  <c r="AP927" i="49"/>
  <c r="AO927" i="49"/>
  <c r="AN927" i="49"/>
  <c r="AM927" i="49"/>
  <c r="AK927" i="49"/>
  <c r="AL927" i="49" s="1"/>
  <c r="AJ927" i="49"/>
  <c r="AI927" i="49"/>
  <c r="AH927" i="49"/>
  <c r="AF927" i="49"/>
  <c r="AG927" i="49" s="1"/>
  <c r="AE927" i="49"/>
  <c r="AD927" i="49"/>
  <c r="AC927" i="49"/>
  <c r="AB927" i="49"/>
  <c r="AA927" i="49"/>
  <c r="Z927" i="49"/>
  <c r="Y927" i="49"/>
  <c r="X927" i="49"/>
  <c r="W927" i="49"/>
  <c r="V927" i="49"/>
  <c r="U927" i="49"/>
  <c r="T927" i="49"/>
  <c r="S927" i="49"/>
  <c r="Q927" i="49"/>
  <c r="R927" i="49" s="1"/>
  <c r="P927" i="49"/>
  <c r="BP926" i="49"/>
  <c r="BO926" i="49"/>
  <c r="BN926" i="49"/>
  <c r="BM926" i="49"/>
  <c r="BL926" i="49"/>
  <c r="BJ926" i="49"/>
  <c r="BK926" i="49" s="1"/>
  <c r="BI926" i="49"/>
  <c r="BH926" i="49"/>
  <c r="BG926" i="49"/>
  <c r="BE926" i="49"/>
  <c r="BF926" i="49" s="1"/>
  <c r="BD926" i="49"/>
  <c r="BC926" i="49"/>
  <c r="BB926" i="49"/>
  <c r="AZ926" i="49"/>
  <c r="BA926" i="49" s="1"/>
  <c r="AY926" i="49"/>
  <c r="AX926" i="49"/>
  <c r="AW926" i="49"/>
  <c r="AV926" i="49"/>
  <c r="AU926" i="49"/>
  <c r="AT926" i="49"/>
  <c r="AS926" i="49"/>
  <c r="AR926" i="49"/>
  <c r="AP926" i="49"/>
  <c r="AQ926" i="49" s="1"/>
  <c r="AO926" i="49"/>
  <c r="AN926" i="49"/>
  <c r="AM926" i="49"/>
  <c r="AK926" i="49"/>
  <c r="AL926" i="49" s="1"/>
  <c r="AJ926" i="49"/>
  <c r="AI926" i="49"/>
  <c r="AH926" i="49"/>
  <c r="AF926" i="49"/>
  <c r="AG926" i="49" s="1"/>
  <c r="AE926" i="49"/>
  <c r="AD926" i="49"/>
  <c r="AC926" i="49"/>
  <c r="AB926" i="49"/>
  <c r="AA926" i="49"/>
  <c r="Z926" i="49"/>
  <c r="Y926" i="49"/>
  <c r="X926" i="49"/>
  <c r="V926" i="49"/>
  <c r="W926" i="49" s="1"/>
  <c r="U926" i="49"/>
  <c r="T926" i="49"/>
  <c r="S926" i="49"/>
  <c r="Q926" i="49"/>
  <c r="R926" i="49" s="1"/>
  <c r="P926" i="49"/>
  <c r="BO925" i="49"/>
  <c r="BP925" i="49" s="1"/>
  <c r="BN925" i="49"/>
  <c r="BN934" i="49" s="1"/>
  <c r="BM925" i="49"/>
  <c r="BL925" i="49"/>
  <c r="BJ925" i="49"/>
  <c r="BK925" i="49" s="1"/>
  <c r="BI925" i="49"/>
  <c r="BH925" i="49"/>
  <c r="BG925" i="49"/>
  <c r="BE925" i="49"/>
  <c r="BF925" i="49" s="1"/>
  <c r="BD925" i="49"/>
  <c r="BC925" i="49"/>
  <c r="BB925" i="49"/>
  <c r="BA925" i="49"/>
  <c r="AZ925" i="49"/>
  <c r="AY925" i="49"/>
  <c r="AX925" i="49"/>
  <c r="AW925" i="49"/>
  <c r="AV925" i="49"/>
  <c r="AU925" i="49"/>
  <c r="AT925" i="49"/>
  <c r="AS925" i="49"/>
  <c r="AR925" i="49"/>
  <c r="AP925" i="49"/>
  <c r="AQ925" i="49" s="1"/>
  <c r="AO925" i="49"/>
  <c r="AN925" i="49"/>
  <c r="AM925" i="49"/>
  <c r="AL925" i="49"/>
  <c r="AK925" i="49"/>
  <c r="AJ925" i="49"/>
  <c r="AI925" i="49"/>
  <c r="AH925" i="49"/>
  <c r="AG925" i="49"/>
  <c r="AF925" i="49"/>
  <c r="AE925" i="49"/>
  <c r="AD925" i="49"/>
  <c r="AC925" i="49"/>
  <c r="AA925" i="49"/>
  <c r="AB925" i="49" s="1"/>
  <c r="Z925" i="49"/>
  <c r="Y925" i="49"/>
  <c r="X925" i="49"/>
  <c r="V925" i="49"/>
  <c r="W925" i="49" s="1"/>
  <c r="U925" i="49"/>
  <c r="T925" i="49"/>
  <c r="S925" i="49"/>
  <c r="R925" i="49"/>
  <c r="Q925" i="49"/>
  <c r="P925" i="49"/>
  <c r="BO924" i="49"/>
  <c r="BP924" i="49" s="1"/>
  <c r="BN924" i="49"/>
  <c r="BM924" i="49"/>
  <c r="BL924" i="49"/>
  <c r="BJ924" i="49"/>
  <c r="BK924" i="49" s="1"/>
  <c r="BI924" i="49"/>
  <c r="BH924" i="49"/>
  <c r="BG924" i="49"/>
  <c r="BF924" i="49"/>
  <c r="BE924" i="49"/>
  <c r="BD924" i="49"/>
  <c r="BC924" i="49"/>
  <c r="BB924" i="49"/>
  <c r="BB934" i="49" s="1"/>
  <c r="BA924" i="49"/>
  <c r="AZ924" i="49"/>
  <c r="AY924" i="49"/>
  <c r="AX924" i="49"/>
  <c r="AX934" i="49" s="1"/>
  <c r="AW924" i="49"/>
  <c r="AU924" i="49"/>
  <c r="AV924" i="49" s="1"/>
  <c r="AT924" i="49"/>
  <c r="AS924" i="49"/>
  <c r="AR924" i="49"/>
  <c r="AQ924" i="49"/>
  <c r="AP924" i="49"/>
  <c r="AO924" i="49"/>
  <c r="AN924" i="49"/>
  <c r="AM924" i="49"/>
  <c r="AL924" i="49"/>
  <c r="AK924" i="49"/>
  <c r="AJ924" i="49"/>
  <c r="AI924" i="49"/>
  <c r="AH924" i="49"/>
  <c r="AG924" i="49"/>
  <c r="AF924" i="49"/>
  <c r="AE924" i="49"/>
  <c r="AD924" i="49"/>
  <c r="AC924" i="49"/>
  <c r="AA924" i="49"/>
  <c r="AB924" i="49" s="1"/>
  <c r="Z924" i="49"/>
  <c r="Z934" i="49" s="1"/>
  <c r="Y924" i="49"/>
  <c r="X924" i="49"/>
  <c r="V924" i="49"/>
  <c r="W924" i="49" s="1"/>
  <c r="U924" i="49"/>
  <c r="T924" i="49"/>
  <c r="S924" i="49"/>
  <c r="R924" i="49"/>
  <c r="Q924" i="49"/>
  <c r="P924" i="49"/>
  <c r="BO923" i="49"/>
  <c r="BP923" i="49" s="1"/>
  <c r="BN923" i="49"/>
  <c r="BM923" i="49"/>
  <c r="BL923" i="49"/>
  <c r="BK923" i="49"/>
  <c r="BJ923" i="49"/>
  <c r="BI923" i="49"/>
  <c r="BH923" i="49"/>
  <c r="BG923" i="49"/>
  <c r="BE923" i="49"/>
  <c r="BF923" i="49" s="1"/>
  <c r="BD923" i="49"/>
  <c r="BC923" i="49"/>
  <c r="BB923" i="49"/>
  <c r="AZ923" i="49"/>
  <c r="BA923" i="49" s="1"/>
  <c r="AY923" i="49"/>
  <c r="AX923" i="49"/>
  <c r="AW923" i="49"/>
  <c r="AU923" i="49"/>
  <c r="AV923" i="49" s="1"/>
  <c r="AT923" i="49"/>
  <c r="AS923" i="49"/>
  <c r="AR923" i="49"/>
  <c r="AQ923" i="49"/>
  <c r="AP923" i="49"/>
  <c r="AO923" i="49"/>
  <c r="AN923" i="49"/>
  <c r="AM923" i="49"/>
  <c r="AK923" i="49"/>
  <c r="AL923" i="49" s="1"/>
  <c r="AJ923" i="49"/>
  <c r="AI923" i="49"/>
  <c r="AH923" i="49"/>
  <c r="AF923" i="49"/>
  <c r="AG923" i="49" s="1"/>
  <c r="AE923" i="49"/>
  <c r="AD923" i="49"/>
  <c r="AC923" i="49"/>
  <c r="AA923" i="49"/>
  <c r="AB923" i="49" s="1"/>
  <c r="Z923" i="49"/>
  <c r="Y923" i="49"/>
  <c r="X923" i="49"/>
  <c r="W923" i="49"/>
  <c r="V923" i="49"/>
  <c r="U923" i="49"/>
  <c r="T923" i="49"/>
  <c r="S923" i="49"/>
  <c r="Q923" i="49"/>
  <c r="R923" i="49" s="1"/>
  <c r="P923" i="49"/>
  <c r="BP922" i="49"/>
  <c r="BO922" i="49"/>
  <c r="BN922" i="49"/>
  <c r="BM922" i="49"/>
  <c r="BM934" i="49" s="1"/>
  <c r="BL922" i="49"/>
  <c r="BJ922" i="49"/>
  <c r="BK922" i="49" s="1"/>
  <c r="BI922" i="49"/>
  <c r="BH922" i="49"/>
  <c r="BG922" i="49"/>
  <c r="BE922" i="49"/>
  <c r="BF922" i="49" s="1"/>
  <c r="BD922" i="49"/>
  <c r="BC922" i="49"/>
  <c r="BB922" i="49"/>
  <c r="BA922" i="49"/>
  <c r="AZ922" i="49"/>
  <c r="AY922" i="49"/>
  <c r="AX922" i="49"/>
  <c r="AW922" i="49"/>
  <c r="AV922" i="49"/>
  <c r="AU922" i="49"/>
  <c r="AT922" i="49"/>
  <c r="AS922" i="49"/>
  <c r="AR922" i="49"/>
  <c r="AP922" i="49"/>
  <c r="AQ922" i="49" s="1"/>
  <c r="AO922" i="49"/>
  <c r="AN922" i="49"/>
  <c r="AM922" i="49"/>
  <c r="AK922" i="49"/>
  <c r="AL922" i="49" s="1"/>
  <c r="AJ922" i="49"/>
  <c r="AI922" i="49"/>
  <c r="AH922" i="49"/>
  <c r="AG922" i="49"/>
  <c r="AF922" i="49"/>
  <c r="AE922" i="49"/>
  <c r="AD922" i="49"/>
  <c r="AC922" i="49"/>
  <c r="AB922" i="49"/>
  <c r="AA922" i="49"/>
  <c r="Z922" i="49"/>
  <c r="Y922" i="49"/>
  <c r="Y934" i="49" s="1"/>
  <c r="X922" i="49"/>
  <c r="W922" i="49"/>
  <c r="V922" i="49"/>
  <c r="U922" i="49"/>
  <c r="U934" i="49" s="1"/>
  <c r="T922" i="49"/>
  <c r="S922" i="49"/>
  <c r="Q922" i="49"/>
  <c r="R922" i="49" s="1"/>
  <c r="P922" i="49"/>
  <c r="BP921" i="49"/>
  <c r="BP919" i="49"/>
  <c r="BP915" i="49"/>
  <c r="BK921" i="49"/>
  <c r="BK918" i="49"/>
  <c r="BF921" i="49"/>
  <c r="BF917" i="49"/>
  <c r="BA921" i="49"/>
  <c r="BA919" i="49"/>
  <c r="BA915" i="49"/>
  <c r="AV921" i="49"/>
  <c r="AV919" i="49"/>
  <c r="AV915" i="49"/>
  <c r="AQ921" i="49"/>
  <c r="AQ918" i="49"/>
  <c r="AL921" i="49"/>
  <c r="AL917" i="49"/>
  <c r="AG921" i="49"/>
  <c r="AG919" i="49"/>
  <c r="AG915" i="49"/>
  <c r="AB921" i="49"/>
  <c r="AB919" i="49"/>
  <c r="AB915" i="49"/>
  <c r="W921" i="49"/>
  <c r="W918" i="49"/>
  <c r="R921" i="49"/>
  <c r="R917" i="49"/>
  <c r="O927" i="49"/>
  <c r="N927" i="49"/>
  <c r="O926" i="49"/>
  <c r="N926" i="49"/>
  <c r="O925" i="49"/>
  <c r="N925" i="49"/>
  <c r="N924" i="49" s="1"/>
  <c r="O924" i="49"/>
  <c r="O923" i="49"/>
  <c r="N923" i="49"/>
  <c r="O922" i="49"/>
  <c r="N922" i="49"/>
  <c r="O921" i="49"/>
  <c r="N921" i="49"/>
  <c r="Q920" i="49"/>
  <c r="R920" i="49" s="1"/>
  <c r="P920" i="49"/>
  <c r="O920" i="49"/>
  <c r="N920" i="49"/>
  <c r="Q919" i="49"/>
  <c r="R919" i="49" s="1"/>
  <c r="P919" i="49"/>
  <c r="O919" i="49"/>
  <c r="N919" i="49"/>
  <c r="L920" i="49"/>
  <c r="K920" i="49"/>
  <c r="J920" i="49"/>
  <c r="I920" i="49"/>
  <c r="L919" i="49"/>
  <c r="M919" i="49" s="1"/>
  <c r="K919" i="49"/>
  <c r="J919" i="49"/>
  <c r="I919" i="49"/>
  <c r="BO920" i="49"/>
  <c r="BP920" i="49" s="1"/>
  <c r="BN920" i="49"/>
  <c r="BM920" i="49"/>
  <c r="BL920" i="49"/>
  <c r="BO919" i="49"/>
  <c r="BN919" i="49"/>
  <c r="BM919" i="49"/>
  <c r="BO918" i="49"/>
  <c r="BP918" i="49" s="1"/>
  <c r="BN918" i="49"/>
  <c r="BM918" i="49"/>
  <c r="BL918" i="49"/>
  <c r="BO917" i="49"/>
  <c r="BP917" i="49" s="1"/>
  <c r="BN917" i="49"/>
  <c r="BM917" i="49"/>
  <c r="BL917" i="49"/>
  <c r="BN916" i="49"/>
  <c r="BM916" i="49"/>
  <c r="BL916" i="49"/>
  <c r="BO915" i="49"/>
  <c r="BN915" i="49"/>
  <c r="BM915" i="49"/>
  <c r="BJ920" i="49"/>
  <c r="BK920" i="49" s="1"/>
  <c r="BI920" i="49"/>
  <c r="BH920" i="49"/>
  <c r="BG920" i="49"/>
  <c r="BJ919" i="49"/>
  <c r="BK919" i="49" s="1"/>
  <c r="BI919" i="49"/>
  <c r="BH919" i="49"/>
  <c r="BG919" i="49"/>
  <c r="BJ918" i="49"/>
  <c r="BI918" i="49"/>
  <c r="BH918" i="49"/>
  <c r="BG918" i="49"/>
  <c r="BJ917" i="49"/>
  <c r="BK917" i="49" s="1"/>
  <c r="BI917" i="49"/>
  <c r="BH917" i="49"/>
  <c r="BG917" i="49"/>
  <c r="BJ916" i="49"/>
  <c r="BK916" i="49" s="1"/>
  <c r="BI916" i="49"/>
  <c r="BH916" i="49"/>
  <c r="BG916" i="49"/>
  <c r="BJ915" i="49"/>
  <c r="BK915" i="49" s="1"/>
  <c r="BI915" i="49"/>
  <c r="BH915" i="49"/>
  <c r="BG915" i="49"/>
  <c r="BE920" i="49"/>
  <c r="BF920" i="49" s="1"/>
  <c r="BD920" i="49"/>
  <c r="BC920" i="49"/>
  <c r="BB920" i="49"/>
  <c r="BE919" i="49"/>
  <c r="BF919" i="49" s="1"/>
  <c r="BD919" i="49"/>
  <c r="BC919" i="49"/>
  <c r="BB919" i="49"/>
  <c r="BE918" i="49"/>
  <c r="BF918" i="49" s="1"/>
  <c r="BD918" i="49"/>
  <c r="BC918" i="49"/>
  <c r="BB918" i="49"/>
  <c r="BE917" i="49"/>
  <c r="BD917" i="49"/>
  <c r="BC917" i="49"/>
  <c r="BB917" i="49"/>
  <c r="BE916" i="49"/>
  <c r="BF916" i="49" s="1"/>
  <c r="BD916" i="49"/>
  <c r="BC916" i="49"/>
  <c r="BB916" i="49"/>
  <c r="BE915" i="49"/>
  <c r="BF915" i="49" s="1"/>
  <c r="BD915" i="49"/>
  <c r="BC915" i="49"/>
  <c r="BB915" i="49"/>
  <c r="AZ920" i="49"/>
  <c r="BA920" i="49" s="1"/>
  <c r="AY920" i="49"/>
  <c r="AX920" i="49"/>
  <c r="AW920" i="49"/>
  <c r="AZ919" i="49"/>
  <c r="AY919" i="49"/>
  <c r="AX919" i="49"/>
  <c r="AW919" i="49"/>
  <c r="AZ918" i="49"/>
  <c r="BA918" i="49" s="1"/>
  <c r="AY918" i="49"/>
  <c r="AX918" i="49"/>
  <c r="AW918" i="49"/>
  <c r="AZ917" i="49"/>
  <c r="BA917" i="49" s="1"/>
  <c r="AY917" i="49"/>
  <c r="AX917" i="49"/>
  <c r="AW917" i="49"/>
  <c r="AZ916" i="49"/>
  <c r="BA916" i="49" s="1"/>
  <c r="AY916" i="49"/>
  <c r="AX916" i="49"/>
  <c r="AW916" i="49"/>
  <c r="AZ915" i="49"/>
  <c r="AY915" i="49"/>
  <c r="AX915" i="49"/>
  <c r="AW915" i="49"/>
  <c r="AU920" i="49"/>
  <c r="AV920" i="49" s="1"/>
  <c r="AT920" i="49"/>
  <c r="AS920" i="49"/>
  <c r="AR920" i="49"/>
  <c r="AU919" i="49"/>
  <c r="AT919" i="49"/>
  <c r="AS919" i="49"/>
  <c r="AR919" i="49"/>
  <c r="AU918" i="49"/>
  <c r="AV918" i="49" s="1"/>
  <c r="AT918" i="49"/>
  <c r="AS918" i="49"/>
  <c r="AR918" i="49"/>
  <c r="AU917" i="49"/>
  <c r="AV917" i="49" s="1"/>
  <c r="AT917" i="49"/>
  <c r="AS917" i="49"/>
  <c r="AR917" i="49"/>
  <c r="AU916" i="49"/>
  <c r="AV916" i="49" s="1"/>
  <c r="AT916" i="49"/>
  <c r="AS916" i="49"/>
  <c r="AR916" i="49"/>
  <c r="AU915" i="49"/>
  <c r="AT915" i="49"/>
  <c r="AS915" i="49"/>
  <c r="AR915" i="49"/>
  <c r="AP920" i="49"/>
  <c r="AQ920" i="49" s="1"/>
  <c r="AO920" i="49"/>
  <c r="AN920" i="49"/>
  <c r="AM920" i="49"/>
  <c r="AP919" i="49"/>
  <c r="AQ919" i="49" s="1"/>
  <c r="AO919" i="49"/>
  <c r="AN919" i="49"/>
  <c r="AM919" i="49"/>
  <c r="AP918" i="49"/>
  <c r="AO918" i="49"/>
  <c r="AN918" i="49"/>
  <c r="AM918" i="49"/>
  <c r="AP917" i="49"/>
  <c r="AQ917" i="49" s="1"/>
  <c r="AO917" i="49"/>
  <c r="AN917" i="49"/>
  <c r="AM917" i="49"/>
  <c r="AP916" i="49"/>
  <c r="AQ916" i="49" s="1"/>
  <c r="AO916" i="49"/>
  <c r="AN916" i="49"/>
  <c r="AM916" i="49"/>
  <c r="AP915" i="49"/>
  <c r="AQ915" i="49" s="1"/>
  <c r="AO915" i="49"/>
  <c r="AN915" i="49"/>
  <c r="AM915" i="49"/>
  <c r="AK920" i="49"/>
  <c r="AL920" i="49" s="1"/>
  <c r="AJ920" i="49"/>
  <c r="AI920" i="49"/>
  <c r="AH920" i="49"/>
  <c r="AK919" i="49"/>
  <c r="AL919" i="49" s="1"/>
  <c r="AJ919" i="49"/>
  <c r="AI919" i="49"/>
  <c r="AH919" i="49"/>
  <c r="AK918" i="49"/>
  <c r="AL918" i="49" s="1"/>
  <c r="AJ918" i="49"/>
  <c r="AI918" i="49"/>
  <c r="AH918" i="49"/>
  <c r="AK917" i="49"/>
  <c r="AJ917" i="49"/>
  <c r="AI917" i="49"/>
  <c r="AH917" i="49"/>
  <c r="AK916" i="49"/>
  <c r="AL916" i="49" s="1"/>
  <c r="AJ916" i="49"/>
  <c r="AI916" i="49"/>
  <c r="AH916" i="49"/>
  <c r="AK915" i="49"/>
  <c r="AL915" i="49" s="1"/>
  <c r="AJ915" i="49"/>
  <c r="AI915" i="49"/>
  <c r="AH915" i="49"/>
  <c r="AH934" i="49" s="1"/>
  <c r="AF920" i="49"/>
  <c r="AG920" i="49" s="1"/>
  <c r="AE920" i="49"/>
  <c r="AD920" i="49"/>
  <c r="AC920" i="49"/>
  <c r="AF919" i="49"/>
  <c r="AE919" i="49"/>
  <c r="AD919" i="49"/>
  <c r="AC919" i="49"/>
  <c r="AF918" i="49"/>
  <c r="AG918" i="49" s="1"/>
  <c r="AE918" i="49"/>
  <c r="AD918" i="49"/>
  <c r="AC918" i="49"/>
  <c r="AF917" i="49"/>
  <c r="AG917" i="49" s="1"/>
  <c r="AE917" i="49"/>
  <c r="AD917" i="49"/>
  <c r="AC917" i="49"/>
  <c r="AF916" i="49"/>
  <c r="AG916" i="49" s="1"/>
  <c r="AE916" i="49"/>
  <c r="AD916" i="49"/>
  <c r="AC916" i="49"/>
  <c r="AF915" i="49"/>
  <c r="AE915" i="49"/>
  <c r="AD915" i="49"/>
  <c r="AC915" i="49"/>
  <c r="AA920" i="49"/>
  <c r="AB920" i="49" s="1"/>
  <c r="Z920" i="49"/>
  <c r="Y920" i="49"/>
  <c r="X920" i="49"/>
  <c r="AA919" i="49"/>
  <c r="Z919" i="49"/>
  <c r="Y919" i="49"/>
  <c r="X919" i="49"/>
  <c r="AA918" i="49"/>
  <c r="AB918" i="49" s="1"/>
  <c r="Z918" i="49"/>
  <c r="Y918" i="49"/>
  <c r="X918" i="49"/>
  <c r="AA917" i="49"/>
  <c r="AB917" i="49" s="1"/>
  <c r="Z917" i="49"/>
  <c r="Y917" i="49"/>
  <c r="X917" i="49"/>
  <c r="AA916" i="49"/>
  <c r="AB916" i="49" s="1"/>
  <c r="Z916" i="49"/>
  <c r="Y916" i="49"/>
  <c r="X916" i="49"/>
  <c r="AA915" i="49"/>
  <c r="Z915" i="49"/>
  <c r="Y915" i="49"/>
  <c r="X915" i="49"/>
  <c r="V920" i="49"/>
  <c r="W920" i="49" s="1"/>
  <c r="U920" i="49"/>
  <c r="T920" i="49"/>
  <c r="S920" i="49"/>
  <c r="V919" i="49"/>
  <c r="W919" i="49" s="1"/>
  <c r="U919" i="49"/>
  <c r="T919" i="49"/>
  <c r="S919" i="49"/>
  <c r="V918" i="49"/>
  <c r="U918" i="49"/>
  <c r="T918" i="49"/>
  <c r="S918" i="49"/>
  <c r="V917" i="49"/>
  <c r="W917" i="49" s="1"/>
  <c r="U917" i="49"/>
  <c r="T917" i="49"/>
  <c r="S917" i="49"/>
  <c r="V916" i="49"/>
  <c r="W916" i="49" s="1"/>
  <c r="U916" i="49"/>
  <c r="T916" i="49"/>
  <c r="S916" i="49"/>
  <c r="V915" i="49"/>
  <c r="W915" i="49" s="1"/>
  <c r="U915" i="49"/>
  <c r="T915" i="49"/>
  <c r="S915" i="49"/>
  <c r="Q918" i="49"/>
  <c r="R918" i="49" s="1"/>
  <c r="P918" i="49"/>
  <c r="Q917" i="49"/>
  <c r="P917" i="49"/>
  <c r="Q916" i="49"/>
  <c r="P916" i="49"/>
  <c r="Q915" i="49"/>
  <c r="R915" i="49" s="1"/>
  <c r="P915" i="49"/>
  <c r="O917" i="49"/>
  <c r="N917" i="49"/>
  <c r="O916" i="49"/>
  <c r="N916" i="49"/>
  <c r="N915" i="49" s="1"/>
  <c r="O915" i="49"/>
  <c r="L917" i="49"/>
  <c r="M917" i="49" s="1"/>
  <c r="K917" i="49"/>
  <c r="J917" i="49"/>
  <c r="I917" i="49"/>
  <c r="L916" i="49"/>
  <c r="K916" i="49"/>
  <c r="J916" i="49"/>
  <c r="I916" i="49"/>
  <c r="L915" i="49"/>
  <c r="K915" i="49"/>
  <c r="J915" i="49"/>
  <c r="I915" i="49"/>
  <c r="AL912" i="49"/>
  <c r="AK912" i="49"/>
  <c r="AJ912" i="49"/>
  <c r="AI912" i="49"/>
  <c r="AH912" i="49"/>
  <c r="AG912" i="49"/>
  <c r="AF912" i="49"/>
  <c r="AE912" i="49"/>
  <c r="AD912" i="49"/>
  <c r="AC912" i="49"/>
  <c r="AB912" i="49"/>
  <c r="AA912" i="49"/>
  <c r="Z912" i="49"/>
  <c r="Y912" i="49"/>
  <c r="X912" i="49"/>
  <c r="W912" i="49"/>
  <c r="V912" i="49"/>
  <c r="U912" i="49"/>
  <c r="T912" i="49"/>
  <c r="S912" i="49"/>
  <c r="R912" i="49"/>
  <c r="Q912" i="49"/>
  <c r="P912" i="49"/>
  <c r="O912" i="49"/>
  <c r="N912" i="49"/>
  <c r="M912" i="49"/>
  <c r="L912" i="49"/>
  <c r="K912" i="49"/>
  <c r="J912" i="49"/>
  <c r="I912" i="49"/>
  <c r="H912" i="49"/>
  <c r="G912" i="49"/>
  <c r="F912" i="49"/>
  <c r="E912" i="49"/>
  <c r="D912" i="49"/>
  <c r="BW904" i="49"/>
  <c r="CK890" i="49"/>
  <c r="CK888" i="49"/>
  <c r="CK887" i="49"/>
  <c r="CD897" i="49"/>
  <c r="BY897" i="49"/>
  <c r="BW897" i="49"/>
  <c r="BM897" i="49"/>
  <c r="BE897" i="49"/>
  <c r="BY896" i="49"/>
  <c r="BQ896" i="49"/>
  <c r="BM896" i="49"/>
  <c r="BD896" i="49"/>
  <c r="AW896" i="49"/>
  <c r="AR896" i="49"/>
  <c r="AN896" i="49"/>
  <c r="AK896" i="49"/>
  <c r="AC896" i="49"/>
  <c r="CH895" i="49"/>
  <c r="CG895" i="49"/>
  <c r="CF895" i="49"/>
  <c r="CE895" i="49"/>
  <c r="CE896" i="49" s="1"/>
  <c r="CD895" i="49"/>
  <c r="CC895" i="49"/>
  <c r="CB895" i="49"/>
  <c r="CA895" i="49"/>
  <c r="CA896" i="49" s="1"/>
  <c r="BZ895" i="49"/>
  <c r="BY895" i="49"/>
  <c r="BX895" i="49"/>
  <c r="BW895" i="49"/>
  <c r="BV895" i="49"/>
  <c r="BT895" i="49"/>
  <c r="BS895" i="49"/>
  <c r="BR895" i="49"/>
  <c r="BR897" i="49" s="1"/>
  <c r="BQ895" i="49"/>
  <c r="BN895" i="49"/>
  <c r="BM895" i="49"/>
  <c r="BL895" i="49"/>
  <c r="BJ895" i="49"/>
  <c r="BH895" i="49"/>
  <c r="BG895" i="49"/>
  <c r="BL896" i="49" s="1"/>
  <c r="BE895" i="49"/>
  <c r="BD895" i="49"/>
  <c r="BC895" i="49"/>
  <c r="BB895" i="49"/>
  <c r="AZ895" i="49"/>
  <c r="AY895" i="49"/>
  <c r="AX895" i="49"/>
  <c r="AW895" i="49"/>
  <c r="AU895" i="49"/>
  <c r="AT895" i="49"/>
  <c r="AS895" i="49"/>
  <c r="AR895" i="49"/>
  <c r="AP895" i="49"/>
  <c r="AO895" i="49"/>
  <c r="AN895" i="49"/>
  <c r="AM895" i="49"/>
  <c r="AK895" i="49"/>
  <c r="AJ895" i="49"/>
  <c r="AI895" i="49"/>
  <c r="AH895" i="49"/>
  <c r="AF895" i="49"/>
  <c r="AE895" i="49"/>
  <c r="AD895" i="49"/>
  <c r="AC895" i="49"/>
  <c r="AA895" i="49"/>
  <c r="Z895" i="49"/>
  <c r="Y895" i="49"/>
  <c r="X895" i="49"/>
  <c r="V895" i="49"/>
  <c r="U895" i="49"/>
  <c r="T895" i="49"/>
  <c r="S895" i="49"/>
  <c r="Q895" i="49"/>
  <c r="CC893" i="49"/>
  <c r="BX893" i="49"/>
  <c r="BS893" i="49"/>
  <c r="BL893" i="49"/>
  <c r="BG893" i="49"/>
  <c r="BC893" i="49"/>
  <c r="AM893" i="49"/>
  <c r="AJ893" i="49"/>
  <c r="AF893" i="49"/>
  <c r="U893" i="49"/>
  <c r="CB892" i="49"/>
  <c r="BW892" i="49"/>
  <c r="BS892" i="49"/>
  <c r="BC892" i="49"/>
  <c r="CM890" i="49"/>
  <c r="CL890" i="49"/>
  <c r="CL892" i="49" s="1"/>
  <c r="CI891" i="49"/>
  <c r="CA891" i="49"/>
  <c r="BS891" i="49"/>
  <c r="BO891" i="49"/>
  <c r="BN891" i="49"/>
  <c r="BJ891" i="49"/>
  <c r="AY891" i="49"/>
  <c r="AT891" i="49"/>
  <c r="AS891" i="49"/>
  <c r="AP891" i="49"/>
  <c r="AO891" i="49"/>
  <c r="AK891" i="49"/>
  <c r="AE891" i="49"/>
  <c r="Z891" i="49"/>
  <c r="Y891" i="49"/>
  <c r="U891" i="49"/>
  <c r="CI890" i="49"/>
  <c r="CH890" i="49"/>
  <c r="CG890" i="49"/>
  <c r="CF890" i="49"/>
  <c r="CF891" i="49" s="1"/>
  <c r="CD890" i="49"/>
  <c r="CC890" i="49"/>
  <c r="CB890" i="49"/>
  <c r="CA890" i="49"/>
  <c r="BY890" i="49"/>
  <c r="BX890" i="49"/>
  <c r="BW890" i="49"/>
  <c r="BV890" i="49"/>
  <c r="BT890" i="49"/>
  <c r="BS890" i="49"/>
  <c r="BR890" i="49"/>
  <c r="BQ890" i="49"/>
  <c r="BO890" i="49"/>
  <c r="BO892" i="49" s="1"/>
  <c r="BN890" i="49"/>
  <c r="BM890" i="49"/>
  <c r="BL890" i="49"/>
  <c r="BJ890" i="49"/>
  <c r="BI890" i="49"/>
  <c r="BH890" i="49"/>
  <c r="BG890" i="49"/>
  <c r="BE890" i="49"/>
  <c r="BD890" i="49"/>
  <c r="BC890" i="49"/>
  <c r="BB890" i="49"/>
  <c r="BG891" i="49" s="1"/>
  <c r="AZ890" i="49"/>
  <c r="AY890" i="49"/>
  <c r="AX890" i="49"/>
  <c r="AW890" i="49"/>
  <c r="AU890" i="49"/>
  <c r="AT890" i="49"/>
  <c r="AS890" i="49"/>
  <c r="AR890" i="49"/>
  <c r="AP890" i="49"/>
  <c r="AP893" i="49" s="1"/>
  <c r="AO890" i="49"/>
  <c r="AN890" i="49"/>
  <c r="AN891" i="49" s="1"/>
  <c r="AM890" i="49"/>
  <c r="AK890" i="49"/>
  <c r="AJ890" i="49"/>
  <c r="AJ891" i="49" s="1"/>
  <c r="AI890" i="49"/>
  <c r="AH890" i="49"/>
  <c r="AF890" i="49"/>
  <c r="AF891" i="49" s="1"/>
  <c r="AE890" i="49"/>
  <c r="AD890" i="49"/>
  <c r="AC890" i="49"/>
  <c r="AC891" i="49" s="1"/>
  <c r="AA890" i="49"/>
  <c r="Z890" i="49"/>
  <c r="Y890" i="49"/>
  <c r="Y893" i="49" s="1"/>
  <c r="X890" i="49"/>
  <c r="X891" i="49" s="1"/>
  <c r="V890" i="49"/>
  <c r="U890" i="49"/>
  <c r="T890" i="49"/>
  <c r="S890" i="49"/>
  <c r="Q890" i="49"/>
  <c r="P890" i="49"/>
  <c r="CC889" i="49"/>
  <c r="BR889" i="49"/>
  <c r="BO889" i="49"/>
  <c r="BI889" i="49"/>
  <c r="BH889" i="49"/>
  <c r="BD889" i="49"/>
  <c r="CL887" i="49"/>
  <c r="CL889" i="49" s="1"/>
  <c r="CB888" i="49"/>
  <c r="BW888" i="49"/>
  <c r="BR888" i="49"/>
  <c r="BL888" i="49"/>
  <c r="BH888" i="49"/>
  <c r="BG888" i="49"/>
  <c r="BB888" i="49"/>
  <c r="AR888" i="49"/>
  <c r="AM888" i="49"/>
  <c r="AF888" i="49"/>
  <c r="V888" i="49"/>
  <c r="CG887" i="49"/>
  <c r="CG888" i="49" s="1"/>
  <c r="CF887" i="49"/>
  <c r="CC887" i="49"/>
  <c r="CC888" i="49" s="1"/>
  <c r="CB887" i="49"/>
  <c r="CA887" i="49"/>
  <c r="BY887" i="49"/>
  <c r="BY888" i="49" s="1"/>
  <c r="BX887" i="49"/>
  <c r="BW887" i="49"/>
  <c r="BX889" i="49" s="1"/>
  <c r="BV887" i="49"/>
  <c r="BW889" i="49" s="1"/>
  <c r="BT887" i="49"/>
  <c r="BS887" i="49"/>
  <c r="BR887" i="49"/>
  <c r="BQ887" i="49"/>
  <c r="BO887" i="49"/>
  <c r="BN887" i="49"/>
  <c r="BM887" i="49"/>
  <c r="BL887" i="49"/>
  <c r="BJ887" i="49"/>
  <c r="BJ889" i="49" s="1"/>
  <c r="BI887" i="49"/>
  <c r="BI888" i="49" s="1"/>
  <c r="BH887" i="49"/>
  <c r="BG887" i="49"/>
  <c r="BE887" i="49"/>
  <c r="BD887" i="49"/>
  <c r="BC887" i="49"/>
  <c r="BB887" i="49"/>
  <c r="BC889" i="49" s="1"/>
  <c r="AZ887" i="49"/>
  <c r="AY887" i="49"/>
  <c r="AY893" i="49" s="1"/>
  <c r="AX887" i="49"/>
  <c r="AX888" i="49" s="1"/>
  <c r="AW887" i="49"/>
  <c r="AW888" i="49" s="1"/>
  <c r="AU887" i="49"/>
  <c r="AT887" i="49"/>
  <c r="AS887" i="49"/>
  <c r="AS888" i="49" s="1"/>
  <c r="AR887" i="49"/>
  <c r="AP887" i="49"/>
  <c r="AO887" i="49"/>
  <c r="AO888" i="49" s="1"/>
  <c r="AN887" i="49"/>
  <c r="AM887" i="49"/>
  <c r="AK887" i="49"/>
  <c r="AJ887" i="49"/>
  <c r="AI887" i="49"/>
  <c r="AH887" i="49"/>
  <c r="AF887" i="49"/>
  <c r="AE887" i="49"/>
  <c r="AE893" i="49" s="1"/>
  <c r="AD887" i="49"/>
  <c r="AD888" i="49" s="1"/>
  <c r="AC887" i="49"/>
  <c r="AC888" i="49" s="1"/>
  <c r="AA887" i="49"/>
  <c r="AA888" i="49" s="1"/>
  <c r="Z887" i="49"/>
  <c r="Z888" i="49" s="1"/>
  <c r="Y887" i="49"/>
  <c r="Y888" i="49" s="1"/>
  <c r="X887" i="49"/>
  <c r="V887" i="49"/>
  <c r="U887" i="49"/>
  <c r="T887" i="49"/>
  <c r="S887" i="49"/>
  <c r="Q887" i="49"/>
  <c r="CM884" i="49"/>
  <c r="CL884" i="49"/>
  <c r="CK884" i="49"/>
  <c r="CG884" i="49"/>
  <c r="CF884" i="49"/>
  <c r="CC884" i="49"/>
  <c r="CB884" i="49"/>
  <c r="CA884" i="49"/>
  <c r="BY884" i="49"/>
  <c r="BX884" i="49"/>
  <c r="BW884" i="49"/>
  <c r="BV884" i="49"/>
  <c r="BT884" i="49"/>
  <c r="BS884" i="49"/>
  <c r="BR884" i="49"/>
  <c r="BQ884" i="49"/>
  <c r="BO884" i="49"/>
  <c r="BN884" i="49"/>
  <c r="BM884" i="49"/>
  <c r="BL884" i="49"/>
  <c r="BJ884" i="49"/>
  <c r="BI884" i="49"/>
  <c r="BH884" i="49"/>
  <c r="BG884" i="49"/>
  <c r="BE884" i="49"/>
  <c r="BD884" i="49"/>
  <c r="BC884" i="49"/>
  <c r="BB884" i="49"/>
  <c r="AZ884" i="49"/>
  <c r="AY884" i="49"/>
  <c r="AX884" i="49"/>
  <c r="AW884" i="49"/>
  <c r="AU884" i="49"/>
  <c r="AT884" i="49"/>
  <c r="AS884" i="49"/>
  <c r="AR884" i="49"/>
  <c r="AP884" i="49"/>
  <c r="AO884" i="49"/>
  <c r="AN884" i="49"/>
  <c r="AM884" i="49"/>
  <c r="AK884" i="49"/>
  <c r="AJ884" i="49"/>
  <c r="AI884" i="49"/>
  <c r="AH884" i="49"/>
  <c r="AF884" i="49"/>
  <c r="AE884" i="49"/>
  <c r="AD884" i="49"/>
  <c r="AC884" i="49"/>
  <c r="AA884" i="49"/>
  <c r="Z884" i="49"/>
  <c r="Y884" i="49"/>
  <c r="X884" i="49"/>
  <c r="V884" i="49"/>
  <c r="U884" i="49"/>
  <c r="T884" i="49"/>
  <c r="S884" i="49"/>
  <c r="Q884" i="49"/>
  <c r="P884" i="49"/>
  <c r="O884" i="49"/>
  <c r="N884" i="49"/>
  <c r="L884" i="49"/>
  <c r="K884" i="49"/>
  <c r="J884" i="49"/>
  <c r="I884" i="49"/>
  <c r="CD883" i="49"/>
  <c r="BW883" i="49"/>
  <c r="BH883" i="49"/>
  <c r="BC883" i="49"/>
  <c r="CM882" i="49"/>
  <c r="CK882" i="49"/>
  <c r="CG882" i="49"/>
  <c r="CC882" i="49"/>
  <c r="CB882" i="49"/>
  <c r="BQ882" i="49"/>
  <c r="BL882" i="49"/>
  <c r="BH882" i="49"/>
  <c r="BG882" i="49"/>
  <c r="AR882" i="49"/>
  <c r="AM882" i="49"/>
  <c r="AK882" i="49"/>
  <c r="AF882" i="49"/>
  <c r="Y882" i="49"/>
  <c r="U882" i="49"/>
  <c r="CM881" i="49"/>
  <c r="CM883" i="49" s="1"/>
  <c r="CL881" i="49"/>
  <c r="CL883" i="49" s="1"/>
  <c r="CK881" i="49"/>
  <c r="CI881" i="49"/>
  <c r="CH881" i="49"/>
  <c r="CG881" i="49"/>
  <c r="CG883" i="49" s="1"/>
  <c r="CF881" i="49"/>
  <c r="CD881" i="49"/>
  <c r="CD882" i="49" s="1"/>
  <c r="CC881" i="49"/>
  <c r="CC883" i="49" s="1"/>
  <c r="CB881" i="49"/>
  <c r="CA881" i="49"/>
  <c r="BY881" i="49"/>
  <c r="BY883" i="49" s="1"/>
  <c r="BX881" i="49"/>
  <c r="BW881" i="49"/>
  <c r="BV881" i="49"/>
  <c r="BV882" i="49" s="1"/>
  <c r="BT881" i="49"/>
  <c r="BS881" i="49"/>
  <c r="BX882" i="49" s="1"/>
  <c r="BR881" i="49"/>
  <c r="BQ881" i="49"/>
  <c r="BN881" i="49"/>
  <c r="BM881" i="49"/>
  <c r="BM883" i="49" s="1"/>
  <c r="BL881" i="49"/>
  <c r="BJ881" i="49"/>
  <c r="BH881" i="49"/>
  <c r="BG881" i="49"/>
  <c r="BE881" i="49"/>
  <c r="BD881" i="49"/>
  <c r="BD883" i="49" s="1"/>
  <c r="BC881" i="49"/>
  <c r="BB881" i="49"/>
  <c r="AZ881" i="49"/>
  <c r="AY881" i="49"/>
  <c r="BD882" i="49" s="1"/>
  <c r="AX881" i="49"/>
  <c r="AW881" i="49"/>
  <c r="AW882" i="49" s="1"/>
  <c r="AU881" i="49"/>
  <c r="AZ882" i="49" s="1"/>
  <c r="AT881" i="49"/>
  <c r="AS881" i="49"/>
  <c r="AS882" i="49" s="1"/>
  <c r="AR881" i="49"/>
  <c r="AP881" i="49"/>
  <c r="AO881" i="49"/>
  <c r="AO882" i="49" s="1"/>
  <c r="AN881" i="49"/>
  <c r="AM881" i="49"/>
  <c r="AK881" i="49"/>
  <c r="AJ881" i="49"/>
  <c r="AI881" i="49"/>
  <c r="AN882" i="49" s="1"/>
  <c r="AH881" i="49"/>
  <c r="AF881" i="49"/>
  <c r="AE881" i="49"/>
  <c r="AJ882" i="49" s="1"/>
  <c r="AD881" i="49"/>
  <c r="AC881" i="49"/>
  <c r="AC882" i="49" s="1"/>
  <c r="AA881" i="49"/>
  <c r="Z881" i="49"/>
  <c r="Z882" i="49" s="1"/>
  <c r="Y881" i="49"/>
  <c r="X881" i="49"/>
  <c r="V881" i="49"/>
  <c r="V882" i="49" s="1"/>
  <c r="U881" i="49"/>
  <c r="T881" i="49"/>
  <c r="S881" i="49"/>
  <c r="Q881" i="49"/>
  <c r="P881" i="49"/>
  <c r="AW877" i="49"/>
  <c r="CH876" i="49"/>
  <c r="CD876" i="49"/>
  <c r="BX876" i="49"/>
  <c r="BR876" i="49"/>
  <c r="BC876" i="49"/>
  <c r="CH875" i="49"/>
  <c r="CD875" i="49"/>
  <c r="CC875" i="49"/>
  <c r="CA875" i="49"/>
  <c r="BY875" i="49"/>
  <c r="BV875" i="49"/>
  <c r="BQ875" i="49"/>
  <c r="BC875" i="49"/>
  <c r="AX875" i="49"/>
  <c r="AU875" i="49"/>
  <c r="AM875" i="49"/>
  <c r="AK875" i="49"/>
  <c r="Z875" i="49"/>
  <c r="V875" i="49"/>
  <c r="CH874" i="49"/>
  <c r="CG874" i="49"/>
  <c r="CG904" i="49" s="1"/>
  <c r="CF874" i="49"/>
  <c r="CE874" i="49"/>
  <c r="CD874" i="49"/>
  <c r="CC874" i="49"/>
  <c r="CC904" i="49" s="1"/>
  <c r="CB874" i="49"/>
  <c r="CB876" i="49" s="1"/>
  <c r="CA874" i="49"/>
  <c r="CA904" i="49" s="1"/>
  <c r="BY874" i="49"/>
  <c r="BX874" i="49"/>
  <c r="BW874" i="49"/>
  <c r="BV874" i="49"/>
  <c r="BU874" i="49"/>
  <c r="BT874" i="49"/>
  <c r="BS874" i="49"/>
  <c r="BS875" i="49" s="1"/>
  <c r="BR874" i="49"/>
  <c r="BQ874" i="49"/>
  <c r="BO874" i="49"/>
  <c r="BN874" i="49"/>
  <c r="BM874" i="49"/>
  <c r="BL874" i="49"/>
  <c r="BJ874" i="49"/>
  <c r="BI874" i="49"/>
  <c r="BJ876" i="49" s="1"/>
  <c r="BH874" i="49"/>
  <c r="BG874" i="49"/>
  <c r="BE874" i="49"/>
  <c r="BD874" i="49"/>
  <c r="BC874" i="49"/>
  <c r="BB874" i="49"/>
  <c r="AZ874" i="49"/>
  <c r="AZ875" i="49" s="1"/>
  <c r="AY874" i="49"/>
  <c r="AX874" i="49"/>
  <c r="AW874" i="49"/>
  <c r="BB875" i="49" s="1"/>
  <c r="AU874" i="49"/>
  <c r="AU904" i="49" s="1"/>
  <c r="AT874" i="49"/>
  <c r="AS874" i="49"/>
  <c r="AR874" i="49"/>
  <c r="AR875" i="49" s="1"/>
  <c r="AP874" i="49"/>
  <c r="AO874" i="49"/>
  <c r="AT875" i="49" s="1"/>
  <c r="AN874" i="49"/>
  <c r="AM874" i="49"/>
  <c r="AM904" i="49" s="1"/>
  <c r="AK874" i="49"/>
  <c r="AJ874" i="49"/>
  <c r="AI874" i="49"/>
  <c r="AH874" i="49"/>
  <c r="AF874" i="49"/>
  <c r="AE874" i="49"/>
  <c r="AD874" i="49"/>
  <c r="AC874" i="49"/>
  <c r="AA874" i="49"/>
  <c r="Z874" i="49"/>
  <c r="Y874" i="49"/>
  <c r="X874" i="49"/>
  <c r="V874" i="49"/>
  <c r="U874" i="49"/>
  <c r="U875" i="49" s="1"/>
  <c r="T874" i="49"/>
  <c r="S874" i="49"/>
  <c r="Q874" i="49"/>
  <c r="P874" i="49"/>
  <c r="CF871" i="49"/>
  <c r="BD871" i="49"/>
  <c r="AZ871" i="49"/>
  <c r="AN871" i="49"/>
  <c r="AJ871" i="49"/>
  <c r="X871" i="49"/>
  <c r="T871" i="49"/>
  <c r="CH870" i="49"/>
  <c r="CC870" i="49"/>
  <c r="BX870" i="49"/>
  <c r="BS870" i="49"/>
  <c r="BN870" i="49"/>
  <c r="BI870" i="49"/>
  <c r="BD870" i="49"/>
  <c r="CD869" i="49"/>
  <c r="BV869" i="49"/>
  <c r="BN869" i="49"/>
  <c r="BJ869" i="49"/>
  <c r="BD869" i="49"/>
  <c r="BB869" i="49"/>
  <c r="AX869" i="49"/>
  <c r="AT869" i="49"/>
  <c r="AP869" i="49"/>
  <c r="AH869" i="49"/>
  <c r="V869" i="49"/>
  <c r="CM868" i="49"/>
  <c r="CL868" i="49"/>
  <c r="CK868" i="49"/>
  <c r="CI868" i="49"/>
  <c r="CH868" i="49"/>
  <c r="CG868" i="49"/>
  <c r="CF868" i="49"/>
  <c r="CD868" i="49"/>
  <c r="CC868" i="49"/>
  <c r="CB868" i="49"/>
  <c r="CB870" i="49" s="1"/>
  <c r="CA868" i="49"/>
  <c r="BY868" i="49"/>
  <c r="BY871" i="49" s="1"/>
  <c r="BX868" i="49"/>
  <c r="BX869" i="49" s="1"/>
  <c r="BW868" i="49"/>
  <c r="BW871" i="49" s="1"/>
  <c r="BV868" i="49"/>
  <c r="CA869" i="49" s="1"/>
  <c r="BT868" i="49"/>
  <c r="BS868" i="49"/>
  <c r="BS871" i="49" s="1"/>
  <c r="BR868" i="49"/>
  <c r="BQ868" i="49"/>
  <c r="BO868" i="49"/>
  <c r="BN868" i="49"/>
  <c r="BM868" i="49"/>
  <c r="BL868" i="49"/>
  <c r="BJ868" i="49"/>
  <c r="BI868" i="49"/>
  <c r="BH868" i="49"/>
  <c r="BH870" i="49" s="1"/>
  <c r="BG868" i="49"/>
  <c r="BE868" i="49"/>
  <c r="BE871" i="49" s="1"/>
  <c r="BD868" i="49"/>
  <c r="BC868" i="49"/>
  <c r="BC871" i="49" s="1"/>
  <c r="BB868" i="49"/>
  <c r="BG869" i="49" s="1"/>
  <c r="AZ868" i="49"/>
  <c r="AZ869" i="49" s="1"/>
  <c r="AY868" i="49"/>
  <c r="AX868" i="49"/>
  <c r="AW868" i="49"/>
  <c r="AW871" i="49" s="1"/>
  <c r="AU868" i="49"/>
  <c r="AT868" i="49"/>
  <c r="AS868" i="49"/>
  <c r="AR868" i="49"/>
  <c r="AP868" i="49"/>
  <c r="AU869" i="49" s="1"/>
  <c r="AO868" i="49"/>
  <c r="AN868" i="49"/>
  <c r="AN869" i="49" s="1"/>
  <c r="AM868" i="49"/>
  <c r="AK868" i="49"/>
  <c r="AK871" i="49" s="1"/>
  <c r="AJ868" i="49"/>
  <c r="AJ869" i="49" s="1"/>
  <c r="AI868" i="49"/>
  <c r="AI871" i="49" s="1"/>
  <c r="AH868" i="49"/>
  <c r="AM869" i="49" s="1"/>
  <c r="AF868" i="49"/>
  <c r="AF869" i="49" s="1"/>
  <c r="AE868" i="49"/>
  <c r="AE871" i="49" s="1"/>
  <c r="AD868" i="49"/>
  <c r="AD869" i="49" s="1"/>
  <c r="AC868" i="49"/>
  <c r="AA868" i="49"/>
  <c r="Z868" i="49"/>
  <c r="Y868" i="49"/>
  <c r="X868" i="49"/>
  <c r="X869" i="49" s="1"/>
  <c r="V868" i="49"/>
  <c r="AA869" i="49" s="1"/>
  <c r="U868" i="49"/>
  <c r="T868" i="49"/>
  <c r="S868" i="49"/>
  <c r="Q868" i="49"/>
  <c r="Q871" i="49" s="1"/>
  <c r="Q877" i="49" s="1"/>
  <c r="P868" i="49"/>
  <c r="BN867" i="49"/>
  <c r="CF866" i="49"/>
  <c r="BT866" i="49"/>
  <c r="BN866" i="49"/>
  <c r="BL866" i="49"/>
  <c r="BH866" i="49"/>
  <c r="AZ866" i="49"/>
  <c r="AR866" i="49"/>
  <c r="AF866" i="49"/>
  <c r="Z866" i="49"/>
  <c r="X866" i="49"/>
  <c r="CM865" i="49"/>
  <c r="CL865" i="49"/>
  <c r="CL867" i="49" s="1"/>
  <c r="CK865" i="49"/>
  <c r="CK866" i="49" s="1"/>
  <c r="CI865" i="49"/>
  <c r="CH865" i="49"/>
  <c r="CH866" i="49" s="1"/>
  <c r="CG865" i="49"/>
  <c r="CG867" i="49" s="1"/>
  <c r="CF865" i="49"/>
  <c r="CD865" i="49"/>
  <c r="CC865" i="49"/>
  <c r="CB865" i="49"/>
  <c r="CA865" i="49"/>
  <c r="BY865" i="49"/>
  <c r="BX865" i="49"/>
  <c r="BW865" i="49"/>
  <c r="BV865" i="49"/>
  <c r="BT865" i="49"/>
  <c r="BT867" i="49" s="1"/>
  <c r="BS865" i="49"/>
  <c r="BR865" i="49"/>
  <c r="BQ865" i="49"/>
  <c r="BQ866" i="49" s="1"/>
  <c r="BO865" i="49"/>
  <c r="BN865" i="49"/>
  <c r="BM865" i="49"/>
  <c r="BM867" i="49" s="1"/>
  <c r="BL865" i="49"/>
  <c r="BJ865" i="49"/>
  <c r="BI865" i="49"/>
  <c r="BH865" i="49"/>
  <c r="BH871" i="49" s="1"/>
  <c r="BG865" i="49"/>
  <c r="BE865" i="49"/>
  <c r="BD865" i="49"/>
  <c r="BD867" i="49" s="1"/>
  <c r="BC865" i="49"/>
  <c r="BB865" i="49"/>
  <c r="AZ865" i="49"/>
  <c r="AY865" i="49"/>
  <c r="AX865" i="49"/>
  <c r="BC866" i="49" s="1"/>
  <c r="AW865" i="49"/>
  <c r="AW866" i="49" s="1"/>
  <c r="AU865" i="49"/>
  <c r="AT865" i="49"/>
  <c r="AY866" i="49" s="1"/>
  <c r="AS865" i="49"/>
  <c r="AR865" i="49"/>
  <c r="AP865" i="49"/>
  <c r="AO865" i="49"/>
  <c r="AN865" i="49"/>
  <c r="AN866" i="49" s="1"/>
  <c r="AM865" i="49"/>
  <c r="AK865" i="49"/>
  <c r="AJ865" i="49"/>
  <c r="AJ866" i="49" s="1"/>
  <c r="AI865" i="49"/>
  <c r="AH865" i="49"/>
  <c r="AF865" i="49"/>
  <c r="AE865" i="49"/>
  <c r="AD865" i="49"/>
  <c r="AI866" i="49" s="1"/>
  <c r="AC865" i="49"/>
  <c r="AC866" i="49" s="1"/>
  <c r="AA865" i="49"/>
  <c r="Z865" i="49"/>
  <c r="AE866" i="49" s="1"/>
  <c r="Y865" i="49"/>
  <c r="X865" i="49"/>
  <c r="V865" i="49"/>
  <c r="U865" i="49"/>
  <c r="T865" i="49"/>
  <c r="S865" i="49"/>
  <c r="Q865" i="49"/>
  <c r="P865" i="49"/>
  <c r="P871" i="49" s="1"/>
  <c r="CC864" i="49"/>
  <c r="BX864" i="49"/>
  <c r="BS864" i="49"/>
  <c r="BN864" i="49"/>
  <c r="BI864" i="49"/>
  <c r="BD864" i="49"/>
  <c r="CD863" i="49"/>
  <c r="BX863" i="49"/>
  <c r="BV863" i="49"/>
  <c r="BR863" i="49"/>
  <c r="BJ863" i="49"/>
  <c r="CH862" i="49"/>
  <c r="CG862" i="49"/>
  <c r="CF862" i="49"/>
  <c r="CD862" i="49"/>
  <c r="CC862" i="49"/>
  <c r="CB862" i="49"/>
  <c r="CA862" i="49"/>
  <c r="BY862" i="49"/>
  <c r="BX862" i="49"/>
  <c r="BW862" i="49"/>
  <c r="BV862" i="49"/>
  <c r="BT862" i="49"/>
  <c r="BT864" i="49" s="1"/>
  <c r="BS862" i="49"/>
  <c r="BS863" i="49" s="1"/>
  <c r="BR862" i="49"/>
  <c r="BR864" i="49" s="1"/>
  <c r="BQ862" i="49"/>
  <c r="BQ863" i="49" s="1"/>
  <c r="BO862" i="49"/>
  <c r="BN862" i="49"/>
  <c r="BM862" i="49"/>
  <c r="BL862" i="49"/>
  <c r="BJ862" i="49"/>
  <c r="BI862" i="49"/>
  <c r="BH862" i="49"/>
  <c r="BG862" i="49"/>
  <c r="BE862" i="49"/>
  <c r="BE864" i="49" s="1"/>
  <c r="BD862" i="49"/>
  <c r="BC862" i="49"/>
  <c r="BC864" i="49" s="1"/>
  <c r="BB862" i="49"/>
  <c r="AZ862" i="49"/>
  <c r="AY862" i="49"/>
  <c r="AX862" i="49"/>
  <c r="AW862" i="49"/>
  <c r="AU862" i="49"/>
  <c r="AT862" i="49"/>
  <c r="AS862" i="49"/>
  <c r="AR862" i="49"/>
  <c r="AP862" i="49"/>
  <c r="AO862" i="49"/>
  <c r="AN862" i="49"/>
  <c r="AM862" i="49"/>
  <c r="AK862" i="49"/>
  <c r="AJ862" i="49"/>
  <c r="AI862" i="49"/>
  <c r="AH862" i="49"/>
  <c r="AF862" i="49"/>
  <c r="AE862" i="49"/>
  <c r="AD862" i="49"/>
  <c r="AC862" i="49"/>
  <c r="AA862" i="49"/>
  <c r="Z862" i="49"/>
  <c r="Y862" i="49"/>
  <c r="X862" i="49"/>
  <c r="V862" i="49"/>
  <c r="U862" i="49"/>
  <c r="T862" i="49"/>
  <c r="S862" i="49"/>
  <c r="Q862" i="49"/>
  <c r="P862" i="49"/>
  <c r="CL861" i="49"/>
  <c r="CD861" i="49"/>
  <c r="BY861" i="49"/>
  <c r="BT861" i="49"/>
  <c r="BO861" i="49"/>
  <c r="BJ861" i="49"/>
  <c r="BE861" i="49"/>
  <c r="CM860" i="49"/>
  <c r="BW860" i="49"/>
  <c r="BS860" i="49"/>
  <c r="BG860" i="49"/>
  <c r="BC860" i="49"/>
  <c r="AY860" i="49"/>
  <c r="AI860" i="49"/>
  <c r="AE860" i="49"/>
  <c r="AA860" i="49"/>
  <c r="CM859" i="49"/>
  <c r="CM861" i="49" s="1"/>
  <c r="CL859" i="49"/>
  <c r="CK859" i="49"/>
  <c r="CI859" i="49"/>
  <c r="CH859" i="49"/>
  <c r="CG859" i="49"/>
  <c r="CF859" i="49"/>
  <c r="CE859" i="49"/>
  <c r="CD859" i="49"/>
  <c r="CC859" i="49"/>
  <c r="CB859" i="49"/>
  <c r="CA859" i="49"/>
  <c r="BY859" i="49"/>
  <c r="BX859" i="49"/>
  <c r="BX861" i="49" s="1"/>
  <c r="BW859" i="49"/>
  <c r="BW861" i="49" s="1"/>
  <c r="BV859" i="49"/>
  <c r="BV861" i="49" s="1"/>
  <c r="BU859" i="49"/>
  <c r="BT859" i="49"/>
  <c r="BS859" i="49"/>
  <c r="BS861" i="49" s="1"/>
  <c r="BR859" i="49"/>
  <c r="BQ859" i="49"/>
  <c r="BO859" i="49"/>
  <c r="BP859" i="49" s="1"/>
  <c r="BN859" i="49"/>
  <c r="BM859" i="49"/>
  <c r="BL859" i="49"/>
  <c r="BJ859" i="49"/>
  <c r="BI859" i="49"/>
  <c r="BH859" i="49"/>
  <c r="BG859" i="49"/>
  <c r="BE859" i="49"/>
  <c r="BJ860" i="49" s="1"/>
  <c r="BD859" i="49"/>
  <c r="BD861" i="49" s="1"/>
  <c r="BC859" i="49"/>
  <c r="BC861" i="49" s="1"/>
  <c r="BB859" i="49"/>
  <c r="AZ859" i="49"/>
  <c r="AY859" i="49"/>
  <c r="AX859" i="49"/>
  <c r="AW859" i="49"/>
  <c r="BB860" i="49" s="1"/>
  <c r="AU859" i="49"/>
  <c r="AU860" i="49" s="1"/>
  <c r="AT859" i="49"/>
  <c r="AS859" i="49"/>
  <c r="AR859" i="49"/>
  <c r="AP859" i="49"/>
  <c r="AO859" i="49"/>
  <c r="AN859" i="49"/>
  <c r="AM859" i="49"/>
  <c r="AM860" i="49" s="1"/>
  <c r="AK859" i="49"/>
  <c r="AP860" i="49" s="1"/>
  <c r="AJ859" i="49"/>
  <c r="AJ860" i="49" s="1"/>
  <c r="AI859" i="49"/>
  <c r="AH859" i="49"/>
  <c r="AF859" i="49"/>
  <c r="AE859" i="49"/>
  <c r="AD859" i="49"/>
  <c r="AC859" i="49"/>
  <c r="AH860" i="49" s="1"/>
  <c r="AA859" i="49"/>
  <c r="Z859" i="49"/>
  <c r="Y859" i="49"/>
  <c r="X859" i="49"/>
  <c r="V859" i="49"/>
  <c r="U859" i="49"/>
  <c r="T859" i="49"/>
  <c r="S859" i="49"/>
  <c r="Q859" i="49"/>
  <c r="V860" i="49" s="1"/>
  <c r="P859" i="49"/>
  <c r="AL856" i="49"/>
  <c r="AK856" i="49"/>
  <c r="AJ856" i="49"/>
  <c r="AI856" i="49"/>
  <c r="AH856" i="49"/>
  <c r="AG856" i="49"/>
  <c r="AF856" i="49"/>
  <c r="AE856" i="49"/>
  <c r="AD856" i="49"/>
  <c r="AC856" i="49"/>
  <c r="AB856" i="49"/>
  <c r="AA856" i="49"/>
  <c r="Z856" i="49"/>
  <c r="Y856" i="49"/>
  <c r="X856" i="49"/>
  <c r="W856" i="49"/>
  <c r="V856" i="49"/>
  <c r="U856" i="49"/>
  <c r="T856" i="49"/>
  <c r="S856" i="49"/>
  <c r="R856" i="49"/>
  <c r="Q856" i="49"/>
  <c r="P856" i="49"/>
  <c r="O856" i="49"/>
  <c r="N856" i="49"/>
  <c r="M856" i="49"/>
  <c r="L856" i="49"/>
  <c r="K856" i="49"/>
  <c r="J856" i="49"/>
  <c r="I856" i="49"/>
  <c r="H856" i="49"/>
  <c r="G856" i="49"/>
  <c r="F856" i="49"/>
  <c r="E856" i="49"/>
  <c r="D856" i="49"/>
  <c r="CI847" i="49"/>
  <c r="CI845" i="49"/>
  <c r="CJ845" i="49" s="1"/>
  <c r="CG846" i="49"/>
  <c r="CF846" i="49"/>
  <c r="CE846" i="49"/>
  <c r="CD846" i="49"/>
  <c r="CC846" i="49"/>
  <c r="CB846" i="49"/>
  <c r="CA846" i="49"/>
  <c r="BZ846" i="49"/>
  <c r="BY846" i="49"/>
  <c r="BX846" i="49"/>
  <c r="BW846" i="49"/>
  <c r="BV846" i="49"/>
  <c r="BU846" i="49"/>
  <c r="BT846" i="49"/>
  <c r="BS846" i="49"/>
  <c r="BR846" i="49"/>
  <c r="BQ846" i="49"/>
  <c r="BP846" i="49"/>
  <c r="BO846" i="49"/>
  <c r="BN846" i="49"/>
  <c r="BM846" i="49"/>
  <c r="BL846" i="49"/>
  <c r="BK846" i="49"/>
  <c r="BJ846" i="49"/>
  <c r="BI846" i="49"/>
  <c r="BH846" i="49"/>
  <c r="BG846" i="49"/>
  <c r="BF846" i="49"/>
  <c r="BE846" i="49"/>
  <c r="BD846" i="49"/>
  <c r="BC846" i="49"/>
  <c r="BB846" i="49"/>
  <c r="BA846" i="49"/>
  <c r="AZ846" i="49"/>
  <c r="AY846" i="49"/>
  <c r="AX846" i="49"/>
  <c r="AW846" i="49"/>
  <c r="AV846" i="49"/>
  <c r="AU846" i="49"/>
  <c r="AT846" i="49"/>
  <c r="AS846" i="49"/>
  <c r="AR846" i="49"/>
  <c r="AQ846" i="49"/>
  <c r="AP846" i="49"/>
  <c r="AO846" i="49"/>
  <c r="AN846" i="49"/>
  <c r="AM846" i="49"/>
  <c r="AL846" i="49"/>
  <c r="AK846" i="49"/>
  <c r="AJ846" i="49"/>
  <c r="AI846" i="49"/>
  <c r="AH846" i="49"/>
  <c r="AG846" i="49"/>
  <c r="AF846" i="49"/>
  <c r="AE846" i="49"/>
  <c r="AD846" i="49"/>
  <c r="AC846" i="49"/>
  <c r="AB846" i="49"/>
  <c r="AA846" i="49"/>
  <c r="Z846" i="49"/>
  <c r="Y846" i="49"/>
  <c r="X846" i="49"/>
  <c r="W846" i="49"/>
  <c r="V846" i="49"/>
  <c r="U846" i="49"/>
  <c r="T846" i="49"/>
  <c r="S846" i="49"/>
  <c r="R846" i="49"/>
  <c r="Q846" i="49"/>
  <c r="P846" i="49"/>
  <c r="O846" i="49"/>
  <c r="N846" i="49"/>
  <c r="M846" i="49"/>
  <c r="L846" i="49"/>
  <c r="K846" i="49"/>
  <c r="J846" i="49"/>
  <c r="I846" i="49"/>
  <c r="CH845" i="49"/>
  <c r="CG845" i="49"/>
  <c r="CF845" i="49"/>
  <c r="CE845" i="49"/>
  <c r="CD845" i="49"/>
  <c r="CC845" i="49"/>
  <c r="CB845" i="49"/>
  <c r="CA845" i="49"/>
  <c r="BZ845" i="49"/>
  <c r="BY845" i="49"/>
  <c r="BX845" i="49"/>
  <c r="BW845" i="49"/>
  <c r="BV845" i="49"/>
  <c r="BU845" i="49"/>
  <c r="BT845" i="49"/>
  <c r="BS845" i="49"/>
  <c r="BR845" i="49"/>
  <c r="BQ845" i="49"/>
  <c r="BP845" i="49"/>
  <c r="BO845" i="49"/>
  <c r="BN845" i="49"/>
  <c r="BM845" i="49"/>
  <c r="BL845" i="49"/>
  <c r="BK845" i="49"/>
  <c r="BJ845" i="49"/>
  <c r="BI845" i="49"/>
  <c r="BH845" i="49"/>
  <c r="BG845" i="49"/>
  <c r="BF845" i="49"/>
  <c r="BE845" i="49"/>
  <c r="BD845" i="49"/>
  <c r="BC845" i="49"/>
  <c r="BB845" i="49"/>
  <c r="BA845" i="49"/>
  <c r="AZ845" i="49"/>
  <c r="AY845" i="49"/>
  <c r="AX845" i="49"/>
  <c r="AW845" i="49"/>
  <c r="AV845" i="49"/>
  <c r="AU845" i="49"/>
  <c r="AT845" i="49"/>
  <c r="AS845" i="49"/>
  <c r="AR845" i="49"/>
  <c r="AQ845" i="49"/>
  <c r="AP845" i="49"/>
  <c r="AO845" i="49"/>
  <c r="AN845" i="49"/>
  <c r="AM845" i="49"/>
  <c r="AL845" i="49"/>
  <c r="AK845" i="49"/>
  <c r="AJ845" i="49"/>
  <c r="AI845" i="49"/>
  <c r="AH845" i="49"/>
  <c r="AG845" i="49"/>
  <c r="AF845" i="49"/>
  <c r="AE845" i="49"/>
  <c r="AD845" i="49"/>
  <c r="AC845" i="49"/>
  <c r="AB845" i="49"/>
  <c r="AA845" i="49"/>
  <c r="Z845" i="49"/>
  <c r="Y845" i="49"/>
  <c r="X845" i="49"/>
  <c r="W845" i="49"/>
  <c r="V845" i="49"/>
  <c r="U845" i="49"/>
  <c r="T845" i="49"/>
  <c r="S845" i="49"/>
  <c r="R845" i="49"/>
  <c r="Q845" i="49"/>
  <c r="P845" i="49"/>
  <c r="O845" i="49"/>
  <c r="N845" i="49"/>
  <c r="M845" i="49"/>
  <c r="L845" i="49"/>
  <c r="K845" i="49"/>
  <c r="J845" i="49"/>
  <c r="I845" i="49"/>
  <c r="CM847" i="49"/>
  <c r="CL847" i="49"/>
  <c r="CK847" i="49"/>
  <c r="CM845" i="49"/>
  <c r="CL845" i="49"/>
  <c r="CK845" i="49"/>
  <c r="CL841" i="49"/>
  <c r="CM836" i="49"/>
  <c r="CB829" i="49"/>
  <c r="AJ830" i="49"/>
  <c r="AP824" i="49"/>
  <c r="BE823" i="49"/>
  <c r="N823" i="49"/>
  <c r="AD822" i="49"/>
  <c r="AS821" i="49"/>
  <c r="R820" i="49"/>
  <c r="U817" i="49"/>
  <c r="BB812" i="49"/>
  <c r="CM809" i="49"/>
  <c r="CL809" i="49"/>
  <c r="CK809" i="49"/>
  <c r="CI809" i="49"/>
  <c r="CH809" i="49"/>
  <c r="CM808" i="49"/>
  <c r="CL808" i="49"/>
  <c r="CK808" i="49"/>
  <c r="CI808" i="49"/>
  <c r="CH808" i="49"/>
  <c r="CM807" i="49"/>
  <c r="CL807" i="49"/>
  <c r="CK807" i="49"/>
  <c r="CI807" i="49"/>
  <c r="CH807" i="49"/>
  <c r="CM806" i="49"/>
  <c r="CL806" i="49"/>
  <c r="CK806" i="49"/>
  <c r="CI806" i="49"/>
  <c r="CH806" i="49"/>
  <c r="CK805" i="49"/>
  <c r="CM804" i="49"/>
  <c r="CL804" i="49"/>
  <c r="CK804" i="49"/>
  <c r="CI804" i="49"/>
  <c r="CH804" i="49"/>
  <c r="CK803" i="49"/>
  <c r="CM802" i="49"/>
  <c r="CL802" i="49"/>
  <c r="CK802" i="49"/>
  <c r="CI802" i="49"/>
  <c r="CH802" i="49"/>
  <c r="CM801" i="49"/>
  <c r="CL801" i="49"/>
  <c r="CK801" i="49"/>
  <c r="CI801" i="49"/>
  <c r="CH801" i="49"/>
  <c r="CM800" i="49"/>
  <c r="CL800" i="49"/>
  <c r="CK800" i="49"/>
  <c r="CI800" i="49"/>
  <c r="CH800" i="49"/>
  <c r="CK798" i="49"/>
  <c r="CI798" i="49"/>
  <c r="CH798" i="49"/>
  <c r="CG798" i="49"/>
  <c r="CF798" i="49"/>
  <c r="CD798" i="49"/>
  <c r="CC798" i="49"/>
  <c r="CB798" i="49"/>
  <c r="CA798" i="49"/>
  <c r="BY798" i="49"/>
  <c r="BX798" i="49"/>
  <c r="BW798" i="49"/>
  <c r="BV798" i="49"/>
  <c r="BT798" i="49"/>
  <c r="BS798" i="49"/>
  <c r="BR798" i="49"/>
  <c r="BQ798" i="49"/>
  <c r="BO798" i="49"/>
  <c r="BN798" i="49"/>
  <c r="BM798" i="49"/>
  <c r="BL798" i="49"/>
  <c r="BJ798" i="49"/>
  <c r="BI798" i="49"/>
  <c r="BH798" i="49"/>
  <c r="BG798" i="49"/>
  <c r="BE798" i="49"/>
  <c r="BD798" i="49"/>
  <c r="BC798" i="49"/>
  <c r="BB798" i="49"/>
  <c r="AZ798" i="49"/>
  <c r="AY798" i="49"/>
  <c r="AX798" i="49"/>
  <c r="AW798" i="49"/>
  <c r="AU798" i="49"/>
  <c r="AT798" i="49"/>
  <c r="AS798" i="49"/>
  <c r="AR798" i="49"/>
  <c r="AP798" i="49"/>
  <c r="AO798" i="49"/>
  <c r="AN798" i="49"/>
  <c r="AM798" i="49"/>
  <c r="AK798" i="49"/>
  <c r="AJ798" i="49"/>
  <c r="AI798" i="49"/>
  <c r="AH798" i="49"/>
  <c r="AF798" i="49"/>
  <c r="AE798" i="49"/>
  <c r="AD798" i="49"/>
  <c r="AC798" i="49"/>
  <c r="AA798" i="49"/>
  <c r="Z798" i="49"/>
  <c r="Y798" i="49"/>
  <c r="X798" i="49"/>
  <c r="V798" i="49"/>
  <c r="U798" i="49"/>
  <c r="T798" i="49"/>
  <c r="S798" i="49"/>
  <c r="Q798" i="49"/>
  <c r="K798" i="49"/>
  <c r="J798" i="49"/>
  <c r="I798" i="49"/>
  <c r="CM797" i="49"/>
  <c r="CL797" i="49"/>
  <c r="CK797" i="49"/>
  <c r="CI797" i="49"/>
  <c r="CH797" i="49"/>
  <c r="CG797" i="49"/>
  <c r="CF797" i="49"/>
  <c r="CD797" i="49"/>
  <c r="CC797" i="49"/>
  <c r="CB797" i="49"/>
  <c r="CK796" i="49"/>
  <c r="CG796" i="49"/>
  <c r="CF796" i="49"/>
  <c r="CD796" i="49"/>
  <c r="CC796" i="49"/>
  <c r="CB796" i="49"/>
  <c r="CK795" i="49"/>
  <c r="CI795" i="49"/>
  <c r="CH795" i="49"/>
  <c r="CG795" i="49"/>
  <c r="CF795" i="49"/>
  <c r="CD795" i="49"/>
  <c r="CC795" i="49"/>
  <c r="CB795" i="49"/>
  <c r="CM794" i="49"/>
  <c r="CL794" i="49"/>
  <c r="CK794" i="49"/>
  <c r="CI794" i="49"/>
  <c r="CH794" i="49"/>
  <c r="CG794" i="49"/>
  <c r="CF794" i="49"/>
  <c r="CD794" i="49"/>
  <c r="CC794" i="49"/>
  <c r="CB794" i="49"/>
  <c r="CK793" i="49"/>
  <c r="CI793" i="49"/>
  <c r="CH793" i="49"/>
  <c r="CG793" i="49"/>
  <c r="CF793" i="49"/>
  <c r="CD793" i="49"/>
  <c r="CC793" i="49"/>
  <c r="CB793" i="49"/>
  <c r="CM792" i="49"/>
  <c r="CL792" i="49"/>
  <c r="CK792" i="49"/>
  <c r="CI792" i="49"/>
  <c r="CH792" i="49"/>
  <c r="CG792" i="49"/>
  <c r="CF792" i="49"/>
  <c r="CD792" i="49"/>
  <c r="CC792" i="49"/>
  <c r="CB792" i="49"/>
  <c r="CM791" i="49"/>
  <c r="CL791" i="49"/>
  <c r="CK791" i="49"/>
  <c r="CI791" i="49"/>
  <c r="CH791" i="49"/>
  <c r="CG791" i="49"/>
  <c r="CF791" i="49"/>
  <c r="CD791" i="49"/>
  <c r="CC791" i="49"/>
  <c r="CB791" i="49"/>
  <c r="CM790" i="49"/>
  <c r="CL790" i="49"/>
  <c r="CK790" i="49"/>
  <c r="CI790" i="49"/>
  <c r="CH790" i="49"/>
  <c r="CG790" i="49"/>
  <c r="CF790" i="49"/>
  <c r="CD790" i="49"/>
  <c r="CC790" i="49"/>
  <c r="CB790" i="49"/>
  <c r="CK789" i="49"/>
  <c r="CG789" i="49"/>
  <c r="CF789" i="49"/>
  <c r="CC789" i="49"/>
  <c r="CB789" i="49"/>
  <c r="CK788" i="49"/>
  <c r="CG788" i="49"/>
  <c r="CF788" i="49"/>
  <c r="CC788" i="49"/>
  <c r="CB788" i="49"/>
  <c r="CM787" i="49"/>
  <c r="CL787" i="49"/>
  <c r="CK787" i="49"/>
  <c r="CI787" i="49"/>
  <c r="CH787" i="49"/>
  <c r="CG787" i="49"/>
  <c r="CF787" i="49"/>
  <c r="CC787" i="49"/>
  <c r="CB787" i="49"/>
  <c r="CK786" i="49"/>
  <c r="CI786" i="49"/>
  <c r="CH786" i="49"/>
  <c r="CG786" i="49"/>
  <c r="CF786" i="49"/>
  <c r="CD786" i="49"/>
  <c r="CC786" i="49"/>
  <c r="CB786" i="49"/>
  <c r="CM785" i="49"/>
  <c r="CL785" i="49"/>
  <c r="CK785" i="49"/>
  <c r="CI785" i="49"/>
  <c r="CH785" i="49"/>
  <c r="CG785" i="49"/>
  <c r="CF785" i="49"/>
  <c r="CD785" i="49"/>
  <c r="CC785" i="49"/>
  <c r="CB785" i="49"/>
  <c r="CM784" i="49"/>
  <c r="CL784" i="49"/>
  <c r="CK784" i="49"/>
  <c r="CI784" i="49"/>
  <c r="CH784" i="49"/>
  <c r="CG784" i="49"/>
  <c r="CF784" i="49"/>
  <c r="CD784" i="49"/>
  <c r="CC784" i="49"/>
  <c r="CB784" i="49"/>
  <c r="CM783" i="49"/>
  <c r="CL783" i="49"/>
  <c r="CK783" i="49"/>
  <c r="CI783" i="49"/>
  <c r="CH783" i="49"/>
  <c r="CG783" i="49"/>
  <c r="CF783" i="49"/>
  <c r="CD783" i="49"/>
  <c r="CC783" i="49"/>
  <c r="CB783" i="49"/>
  <c r="CM782" i="49"/>
  <c r="CL782" i="49"/>
  <c r="CK782" i="49"/>
  <c r="CI782" i="49"/>
  <c r="CH782" i="49"/>
  <c r="CG782" i="49"/>
  <c r="CF782" i="49"/>
  <c r="CF812" i="49" s="1"/>
  <c r="CD782" i="49"/>
  <c r="CC782" i="49"/>
  <c r="CB782" i="49"/>
  <c r="CA796" i="49"/>
  <c r="BV796" i="49"/>
  <c r="BT796" i="49"/>
  <c r="BS796" i="49"/>
  <c r="BR796" i="49"/>
  <c r="BQ796" i="49"/>
  <c r="BO796" i="49"/>
  <c r="BN796" i="49"/>
  <c r="BM796" i="49"/>
  <c r="BL796" i="49"/>
  <c r="BJ796" i="49"/>
  <c r="BI796" i="49"/>
  <c r="BH796" i="49"/>
  <c r="BG796" i="49"/>
  <c r="BE796" i="49"/>
  <c r="BD796" i="49"/>
  <c r="BC796" i="49"/>
  <c r="BB796" i="49"/>
  <c r="AZ796" i="49"/>
  <c r="AY796" i="49"/>
  <c r="AX796" i="49"/>
  <c r="AW796" i="49"/>
  <c r="AU796" i="49"/>
  <c r="AT796" i="49"/>
  <c r="AS796" i="49"/>
  <c r="AR796" i="49"/>
  <c r="AP796" i="49"/>
  <c r="AO796" i="49"/>
  <c r="AN796" i="49"/>
  <c r="AM796" i="49"/>
  <c r="AK796" i="49"/>
  <c r="AJ796" i="49"/>
  <c r="AI796" i="49"/>
  <c r="AH796" i="49"/>
  <c r="AF796" i="49"/>
  <c r="AE796" i="49"/>
  <c r="AD796" i="49"/>
  <c r="AC796" i="49"/>
  <c r="AA796" i="49"/>
  <c r="Z796" i="49"/>
  <c r="Y796" i="49"/>
  <c r="X796" i="49"/>
  <c r="V796" i="49"/>
  <c r="U796" i="49"/>
  <c r="T796" i="49"/>
  <c r="S796" i="49"/>
  <c r="R796" i="49"/>
  <c r="Q796" i="49"/>
  <c r="P796" i="49"/>
  <c r="CA795" i="49"/>
  <c r="BY795" i="49"/>
  <c r="BX795" i="49"/>
  <c r="BW795" i="49"/>
  <c r="BV795" i="49"/>
  <c r="BT795" i="49"/>
  <c r="BS795" i="49"/>
  <c r="BR795" i="49"/>
  <c r="BQ795" i="49"/>
  <c r="BO795" i="49"/>
  <c r="BN795" i="49"/>
  <c r="BM795" i="49"/>
  <c r="BL795" i="49"/>
  <c r="BJ795" i="49"/>
  <c r="BI795" i="49"/>
  <c r="BH795" i="49"/>
  <c r="BG795" i="49"/>
  <c r="BE795" i="49"/>
  <c r="BD795" i="49"/>
  <c r="BC795" i="49"/>
  <c r="BB795" i="49"/>
  <c r="AZ795" i="49"/>
  <c r="AY795" i="49"/>
  <c r="AX795" i="49"/>
  <c r="AW795" i="49"/>
  <c r="AU795" i="49"/>
  <c r="AT795" i="49"/>
  <c r="AS795" i="49"/>
  <c r="AR795" i="49"/>
  <c r="AP795" i="49"/>
  <c r="AO795" i="49"/>
  <c r="AN795" i="49"/>
  <c r="AM795" i="49"/>
  <c r="AK795" i="49"/>
  <c r="AJ795" i="49"/>
  <c r="AI795" i="49"/>
  <c r="AH795" i="49"/>
  <c r="AF795" i="49"/>
  <c r="AE795" i="49"/>
  <c r="AD795" i="49"/>
  <c r="AC795" i="49"/>
  <c r="AA795" i="49"/>
  <c r="Z795" i="49"/>
  <c r="Y795" i="49"/>
  <c r="X795" i="49"/>
  <c r="V795" i="49"/>
  <c r="U795" i="49"/>
  <c r="T795" i="49"/>
  <c r="S795" i="49"/>
  <c r="Q795" i="49"/>
  <c r="O795" i="49"/>
  <c r="N795" i="49"/>
  <c r="CA794" i="49"/>
  <c r="BY794" i="49"/>
  <c r="BX794" i="49"/>
  <c r="BW794" i="49"/>
  <c r="BV794" i="49"/>
  <c r="BT794" i="49"/>
  <c r="BS794" i="49"/>
  <c r="BR794" i="49"/>
  <c r="BQ794" i="49"/>
  <c r="BO794" i="49"/>
  <c r="BN794" i="49"/>
  <c r="BM794" i="49"/>
  <c r="BL794" i="49"/>
  <c r="BJ794" i="49"/>
  <c r="BI794" i="49"/>
  <c r="BH794" i="49"/>
  <c r="BG794" i="49"/>
  <c r="BE794" i="49"/>
  <c r="BD794" i="49"/>
  <c r="BC794" i="49"/>
  <c r="BB794" i="49"/>
  <c r="BA794" i="49"/>
  <c r="AZ794" i="49"/>
  <c r="AY794" i="49"/>
  <c r="AX794" i="49"/>
  <c r="AW794" i="49"/>
  <c r="AU794" i="49"/>
  <c r="AT794" i="49"/>
  <c r="AS794" i="49"/>
  <c r="AR794" i="49"/>
  <c r="AP794" i="49"/>
  <c r="AO794" i="49"/>
  <c r="AN794" i="49"/>
  <c r="AM794" i="49"/>
  <c r="AK794" i="49"/>
  <c r="AJ794" i="49"/>
  <c r="AI794" i="49"/>
  <c r="AH794" i="49"/>
  <c r="AF794" i="49"/>
  <c r="AE794" i="49"/>
  <c r="AD794" i="49"/>
  <c r="AC794" i="49"/>
  <c r="AA794" i="49"/>
  <c r="Z794" i="49"/>
  <c r="Y794" i="49"/>
  <c r="X794" i="49"/>
  <c r="V794" i="49"/>
  <c r="U794" i="49"/>
  <c r="T794" i="49"/>
  <c r="S794" i="49"/>
  <c r="Q794" i="49"/>
  <c r="P794" i="49"/>
  <c r="CA793" i="49"/>
  <c r="BY793" i="49"/>
  <c r="BX793" i="49"/>
  <c r="BW793" i="49"/>
  <c r="BV793" i="49"/>
  <c r="BT793" i="49"/>
  <c r="BS793" i="49"/>
  <c r="BR793" i="49"/>
  <c r="BQ793" i="49"/>
  <c r="BO793" i="49"/>
  <c r="BN793" i="49"/>
  <c r="BM793" i="49"/>
  <c r="BL793" i="49"/>
  <c r="BJ793" i="49"/>
  <c r="BI793" i="49"/>
  <c r="BH793" i="49"/>
  <c r="BG793" i="49"/>
  <c r="BE793" i="49"/>
  <c r="BD793" i="49"/>
  <c r="BC793" i="49"/>
  <c r="BB793" i="49"/>
  <c r="AZ793" i="49"/>
  <c r="AY793" i="49"/>
  <c r="AX793" i="49"/>
  <c r="AW793" i="49"/>
  <c r="AU793" i="49"/>
  <c r="AT793" i="49"/>
  <c r="AS793" i="49"/>
  <c r="AR793" i="49"/>
  <c r="AP793" i="49"/>
  <c r="AO793" i="49"/>
  <c r="AN793" i="49"/>
  <c r="AM793" i="49"/>
  <c r="AK793" i="49"/>
  <c r="AJ793" i="49"/>
  <c r="AI793" i="49"/>
  <c r="AH793" i="49"/>
  <c r="AF793" i="49"/>
  <c r="AE793" i="49"/>
  <c r="AD793" i="49"/>
  <c r="AC793" i="49"/>
  <c r="AA793" i="49"/>
  <c r="Z793" i="49"/>
  <c r="Y793" i="49"/>
  <c r="X793" i="49"/>
  <c r="V793" i="49"/>
  <c r="U793" i="49"/>
  <c r="T793" i="49"/>
  <c r="S793" i="49"/>
  <c r="Q793" i="49"/>
  <c r="P793" i="49"/>
  <c r="K793" i="49"/>
  <c r="CA792" i="49"/>
  <c r="BY792" i="49"/>
  <c r="BX792" i="49"/>
  <c r="BW792" i="49"/>
  <c r="BV792" i="49"/>
  <c r="BT792" i="49"/>
  <c r="BS792" i="49"/>
  <c r="BR792" i="49"/>
  <c r="BQ792" i="49"/>
  <c r="BO792" i="49"/>
  <c r="BN792" i="49"/>
  <c r="BM792" i="49"/>
  <c r="BL792" i="49"/>
  <c r="BJ792" i="49"/>
  <c r="BI792" i="49"/>
  <c r="BH792" i="49"/>
  <c r="BG792" i="49"/>
  <c r="BE792" i="49"/>
  <c r="BD792" i="49"/>
  <c r="BC792" i="49"/>
  <c r="BB792" i="49"/>
  <c r="AZ792" i="49"/>
  <c r="AY792" i="49"/>
  <c r="AX792" i="49"/>
  <c r="AW792" i="49"/>
  <c r="AU792" i="49"/>
  <c r="AT792" i="49"/>
  <c r="AS792" i="49"/>
  <c r="AR792" i="49"/>
  <c r="AP792" i="49"/>
  <c r="AO792" i="49"/>
  <c r="AN792" i="49"/>
  <c r="AM792" i="49"/>
  <c r="AK792" i="49"/>
  <c r="AJ792" i="49"/>
  <c r="AI792" i="49"/>
  <c r="AH792" i="49"/>
  <c r="AF792" i="49"/>
  <c r="AE792" i="49"/>
  <c r="AD792" i="49"/>
  <c r="AC792" i="49"/>
  <c r="AA792" i="49"/>
  <c r="Z792" i="49"/>
  <c r="Y792" i="49"/>
  <c r="X792" i="49"/>
  <c r="V792" i="49"/>
  <c r="U792" i="49"/>
  <c r="T792" i="49"/>
  <c r="S792" i="49"/>
  <c r="Q792" i="49"/>
  <c r="P792" i="49"/>
  <c r="CA791" i="49"/>
  <c r="BY791" i="49"/>
  <c r="BX791" i="49"/>
  <c r="BW791" i="49"/>
  <c r="BV791" i="49"/>
  <c r="BU791" i="49"/>
  <c r="BT791" i="49"/>
  <c r="BS791" i="49"/>
  <c r="BR791" i="49"/>
  <c r="BQ791" i="49"/>
  <c r="BP791" i="49"/>
  <c r="BO791" i="49"/>
  <c r="BN791" i="49"/>
  <c r="BM791" i="49"/>
  <c r="BL791" i="49"/>
  <c r="BK791" i="49"/>
  <c r="BJ791" i="49"/>
  <c r="BI791" i="49"/>
  <c r="BH791" i="49"/>
  <c r="BG791" i="49"/>
  <c r="BF791" i="49"/>
  <c r="BE791" i="49"/>
  <c r="BD791" i="49"/>
  <c r="BC791" i="49"/>
  <c r="BB791" i="49"/>
  <c r="BA791" i="49"/>
  <c r="AZ791" i="49"/>
  <c r="AY791" i="49"/>
  <c r="AX791" i="49"/>
  <c r="AW791" i="49"/>
  <c r="AV791" i="49"/>
  <c r="AU791" i="49"/>
  <c r="AT791" i="49"/>
  <c r="AT812" i="49" s="1"/>
  <c r="AS791" i="49"/>
  <c r="AR791" i="49"/>
  <c r="AQ791" i="49"/>
  <c r="AP791" i="49"/>
  <c r="AO791" i="49"/>
  <c r="AN791" i="49"/>
  <c r="AM791" i="49"/>
  <c r="AL791" i="49"/>
  <c r="AK791" i="49"/>
  <c r="AJ791" i="49"/>
  <c r="AI791" i="49"/>
  <c r="AH791" i="49"/>
  <c r="AG791" i="49"/>
  <c r="AF791" i="49"/>
  <c r="AE791" i="49"/>
  <c r="AD791" i="49"/>
  <c r="AD812" i="49" s="1"/>
  <c r="AC791" i="49"/>
  <c r="AB791" i="49"/>
  <c r="AA791" i="49"/>
  <c r="Z791" i="49"/>
  <c r="Y791" i="49"/>
  <c r="X791" i="49"/>
  <c r="W791" i="49"/>
  <c r="V791" i="49"/>
  <c r="V812" i="49" s="1"/>
  <c r="U791" i="49"/>
  <c r="T791" i="49"/>
  <c r="S791" i="49"/>
  <c r="R791" i="49"/>
  <c r="Q791" i="49"/>
  <c r="P791" i="49"/>
  <c r="O791" i="49"/>
  <c r="N791" i="49"/>
  <c r="M791" i="49"/>
  <c r="L791" i="49"/>
  <c r="K791" i="49"/>
  <c r="J791" i="49"/>
  <c r="I791" i="49"/>
  <c r="CA790" i="49"/>
  <c r="BY790" i="49"/>
  <c r="BX790" i="49"/>
  <c r="BW790" i="49"/>
  <c r="BV790" i="49"/>
  <c r="BT790" i="49"/>
  <c r="BS790" i="49"/>
  <c r="BR790" i="49"/>
  <c r="BQ790" i="49"/>
  <c r="BO790" i="49"/>
  <c r="BN790" i="49"/>
  <c r="BM790" i="49"/>
  <c r="BL790" i="49"/>
  <c r="BJ790" i="49"/>
  <c r="BI790" i="49"/>
  <c r="BH790" i="49"/>
  <c r="BG790" i="49"/>
  <c r="BE790" i="49"/>
  <c r="BD790" i="49"/>
  <c r="BC790" i="49"/>
  <c r="BB790" i="49"/>
  <c r="AZ790" i="49"/>
  <c r="AY790" i="49"/>
  <c r="AX790" i="49"/>
  <c r="AW790" i="49"/>
  <c r="AU790" i="49"/>
  <c r="AT790" i="49"/>
  <c r="AS790" i="49"/>
  <c r="AR790" i="49"/>
  <c r="AP790" i="49"/>
  <c r="AO790" i="49"/>
  <c r="AN790" i="49"/>
  <c r="AM790" i="49"/>
  <c r="AK790" i="49"/>
  <c r="AJ790" i="49"/>
  <c r="AI790" i="49"/>
  <c r="AH790" i="49"/>
  <c r="AF790" i="49"/>
  <c r="AE790" i="49"/>
  <c r="AD790" i="49"/>
  <c r="AC790" i="49"/>
  <c r="AB790" i="49"/>
  <c r="AA790" i="49"/>
  <c r="Z790" i="49"/>
  <c r="Y790" i="49"/>
  <c r="X790" i="49"/>
  <c r="V790" i="49"/>
  <c r="U790" i="49"/>
  <c r="T790" i="49"/>
  <c r="S790" i="49"/>
  <c r="Q790" i="49"/>
  <c r="P790" i="49"/>
  <c r="CA789" i="49"/>
  <c r="BY789" i="49"/>
  <c r="BX789" i="49"/>
  <c r="BW789" i="49"/>
  <c r="BV789" i="49"/>
  <c r="BT789" i="49"/>
  <c r="BS789" i="49"/>
  <c r="BR789" i="49"/>
  <c r="BQ789" i="49"/>
  <c r="BO789" i="49"/>
  <c r="BN789" i="49"/>
  <c r="BM789" i="49"/>
  <c r="BL789" i="49"/>
  <c r="BJ789" i="49"/>
  <c r="BI789" i="49"/>
  <c r="BH789" i="49"/>
  <c r="BG789" i="49"/>
  <c r="BE789" i="49"/>
  <c r="BD789" i="49"/>
  <c r="BC789" i="49"/>
  <c r="BB789" i="49"/>
  <c r="AZ789" i="49"/>
  <c r="AY789" i="49"/>
  <c r="AX789" i="49"/>
  <c r="AW789" i="49"/>
  <c r="AU789" i="49"/>
  <c r="AT789" i="49"/>
  <c r="AS789" i="49"/>
  <c r="AR789" i="49"/>
  <c r="AP789" i="49"/>
  <c r="AO789" i="49"/>
  <c r="AN789" i="49"/>
  <c r="AM789" i="49"/>
  <c r="AK789" i="49"/>
  <c r="AJ789" i="49"/>
  <c r="AI789" i="49"/>
  <c r="AH789" i="49"/>
  <c r="AF789" i="49"/>
  <c r="AE789" i="49"/>
  <c r="AD789" i="49"/>
  <c r="AC789" i="49"/>
  <c r="AA789" i="49"/>
  <c r="Z789" i="49"/>
  <c r="Y789" i="49"/>
  <c r="X789" i="49"/>
  <c r="V789" i="49"/>
  <c r="U789" i="49"/>
  <c r="T789" i="49"/>
  <c r="S789" i="49"/>
  <c r="Q789" i="49"/>
  <c r="P789" i="49"/>
  <c r="O789" i="49"/>
  <c r="N789" i="49"/>
  <c r="L789" i="49"/>
  <c r="K789" i="49"/>
  <c r="J789" i="49"/>
  <c r="I789" i="49"/>
  <c r="CA788" i="49"/>
  <c r="BY788" i="49"/>
  <c r="BX788" i="49"/>
  <c r="BW788" i="49"/>
  <c r="BV788" i="49"/>
  <c r="BT788" i="49"/>
  <c r="BS788" i="49"/>
  <c r="BR788" i="49"/>
  <c r="BQ788" i="49"/>
  <c r="BO788" i="49"/>
  <c r="BN788" i="49"/>
  <c r="BM788" i="49"/>
  <c r="BL788" i="49"/>
  <c r="BJ788" i="49"/>
  <c r="BI788" i="49"/>
  <c r="BH788" i="49"/>
  <c r="BG788" i="49"/>
  <c r="BF788" i="49"/>
  <c r="BE788" i="49"/>
  <c r="BD788" i="49"/>
  <c r="BC788" i="49"/>
  <c r="BB788" i="49"/>
  <c r="AZ788" i="49"/>
  <c r="AY788" i="49"/>
  <c r="AX788" i="49"/>
  <c r="AW788" i="49"/>
  <c r="AU788" i="49"/>
  <c r="AT788" i="49"/>
  <c r="AS788" i="49"/>
  <c r="AR788" i="49"/>
  <c r="AP788" i="49"/>
  <c r="AO788" i="49"/>
  <c r="AN788" i="49"/>
  <c r="AM788" i="49"/>
  <c r="AK788" i="49"/>
  <c r="AJ788" i="49"/>
  <c r="AI788" i="49"/>
  <c r="AH788" i="49"/>
  <c r="AF788" i="49"/>
  <c r="AE788" i="49"/>
  <c r="AD788" i="49"/>
  <c r="AC788" i="49"/>
  <c r="AA788" i="49"/>
  <c r="Z788" i="49"/>
  <c r="Y788" i="49"/>
  <c r="X788" i="49"/>
  <c r="V788" i="49"/>
  <c r="U788" i="49"/>
  <c r="T788" i="49"/>
  <c r="S788" i="49"/>
  <c r="Q788" i="49"/>
  <c r="P788" i="49"/>
  <c r="O788" i="49"/>
  <c r="N788" i="49"/>
  <c r="L788" i="49"/>
  <c r="K788" i="49"/>
  <c r="J788" i="49"/>
  <c r="I788" i="49"/>
  <c r="CA787" i="49"/>
  <c r="BY787" i="49"/>
  <c r="BX787" i="49"/>
  <c r="BW787" i="49"/>
  <c r="BV787" i="49"/>
  <c r="BT787" i="49"/>
  <c r="BS787" i="49"/>
  <c r="BR787" i="49"/>
  <c r="BQ787" i="49"/>
  <c r="BO787" i="49"/>
  <c r="BN787" i="49"/>
  <c r="BM787" i="49"/>
  <c r="BL787" i="49"/>
  <c r="BJ787" i="49"/>
  <c r="BI787" i="49"/>
  <c r="BH787" i="49"/>
  <c r="BG787" i="49"/>
  <c r="BE787" i="49"/>
  <c r="BD787" i="49"/>
  <c r="BC787" i="49"/>
  <c r="BB787" i="49"/>
  <c r="AZ787" i="49"/>
  <c r="AY787" i="49"/>
  <c r="AX787" i="49"/>
  <c r="AW787" i="49"/>
  <c r="AU787" i="49"/>
  <c r="AT787" i="49"/>
  <c r="AS787" i="49"/>
  <c r="AR787" i="49"/>
  <c r="AP787" i="49"/>
  <c r="AO787" i="49"/>
  <c r="AN787" i="49"/>
  <c r="AM787" i="49"/>
  <c r="AK787" i="49"/>
  <c r="AJ787" i="49"/>
  <c r="AI787" i="49"/>
  <c r="AH787" i="49"/>
  <c r="AF787" i="49"/>
  <c r="AE787" i="49"/>
  <c r="AD787" i="49"/>
  <c r="AC787" i="49"/>
  <c r="AA787" i="49"/>
  <c r="Z787" i="49"/>
  <c r="Y787" i="49"/>
  <c r="X787" i="49"/>
  <c r="V787" i="49"/>
  <c r="U787" i="49"/>
  <c r="T787" i="49"/>
  <c r="S787" i="49"/>
  <c r="Q787" i="49"/>
  <c r="P787" i="49"/>
  <c r="O787" i="49"/>
  <c r="N787" i="49"/>
  <c r="L787" i="49"/>
  <c r="K787" i="49"/>
  <c r="J787" i="49"/>
  <c r="I787" i="49"/>
  <c r="CA786" i="49"/>
  <c r="BY786" i="49"/>
  <c r="BX786" i="49"/>
  <c r="BW786" i="49"/>
  <c r="BV786" i="49"/>
  <c r="BT786" i="49"/>
  <c r="BS786" i="49"/>
  <c r="BR786" i="49"/>
  <c r="BQ786" i="49"/>
  <c r="BO786" i="49"/>
  <c r="BN786" i="49"/>
  <c r="BM786" i="49"/>
  <c r="BL786" i="49"/>
  <c r="BJ786" i="49"/>
  <c r="BI786" i="49"/>
  <c r="BH786" i="49"/>
  <c r="BG786" i="49"/>
  <c r="BE786" i="49"/>
  <c r="BD786" i="49"/>
  <c r="BC786" i="49"/>
  <c r="BB786" i="49"/>
  <c r="AZ786" i="49"/>
  <c r="AY786" i="49"/>
  <c r="AX786" i="49"/>
  <c r="AW786" i="49"/>
  <c r="AU786" i="49"/>
  <c r="AT786" i="49"/>
  <c r="AS786" i="49"/>
  <c r="AR786" i="49"/>
  <c r="AP786" i="49"/>
  <c r="AO786" i="49"/>
  <c r="AN786" i="49"/>
  <c r="AM786" i="49"/>
  <c r="AK786" i="49"/>
  <c r="AJ786" i="49"/>
  <c r="AI786" i="49"/>
  <c r="AH786" i="49"/>
  <c r="AF786" i="49"/>
  <c r="AE786" i="49"/>
  <c r="AD786" i="49"/>
  <c r="AC786" i="49"/>
  <c r="AA786" i="49"/>
  <c r="Z786" i="49"/>
  <c r="Y786" i="49"/>
  <c r="X786" i="49"/>
  <c r="V786" i="49"/>
  <c r="U786" i="49"/>
  <c r="T786" i="49"/>
  <c r="S786" i="49"/>
  <c r="Q786" i="49"/>
  <c r="P786" i="49"/>
  <c r="O786" i="49"/>
  <c r="N786" i="49"/>
  <c r="L786" i="49"/>
  <c r="K786" i="49"/>
  <c r="J786" i="49"/>
  <c r="I786" i="49"/>
  <c r="CA785" i="49"/>
  <c r="BY785" i="49"/>
  <c r="BX785" i="49"/>
  <c r="BW785" i="49"/>
  <c r="BV785" i="49"/>
  <c r="BT785" i="49"/>
  <c r="BS785" i="49"/>
  <c r="BR785" i="49"/>
  <c r="BQ785" i="49"/>
  <c r="BP785" i="49"/>
  <c r="BN785" i="49"/>
  <c r="BM785" i="49"/>
  <c r="BL785" i="49"/>
  <c r="BK785" i="49"/>
  <c r="BJ785" i="49"/>
  <c r="BI785" i="49"/>
  <c r="BH785" i="49"/>
  <c r="BG785" i="49"/>
  <c r="BE785" i="49"/>
  <c r="BD785" i="49"/>
  <c r="BC785" i="49"/>
  <c r="BB785" i="49"/>
  <c r="AZ785" i="49"/>
  <c r="AY785" i="49"/>
  <c r="AX785" i="49"/>
  <c r="AW785" i="49"/>
  <c r="AU785" i="49"/>
  <c r="AT785" i="49"/>
  <c r="AS785" i="49"/>
  <c r="AR785" i="49"/>
  <c r="AP785" i="49"/>
  <c r="AO785" i="49"/>
  <c r="AN785" i="49"/>
  <c r="AM785" i="49"/>
  <c r="AK785" i="49"/>
  <c r="AJ785" i="49"/>
  <c r="AI785" i="49"/>
  <c r="AH785" i="49"/>
  <c r="AF785" i="49"/>
  <c r="AE785" i="49"/>
  <c r="AD785" i="49"/>
  <c r="AC785" i="49"/>
  <c r="AA785" i="49"/>
  <c r="Z785" i="49"/>
  <c r="Y785" i="49"/>
  <c r="X785" i="49"/>
  <c r="V785" i="49"/>
  <c r="U785" i="49"/>
  <c r="T785" i="49"/>
  <c r="S785" i="49"/>
  <c r="Q785" i="49"/>
  <c r="P785" i="49"/>
  <c r="O785" i="49"/>
  <c r="N785" i="49"/>
  <c r="L785" i="49"/>
  <c r="K785" i="49"/>
  <c r="J785" i="49"/>
  <c r="I785" i="49"/>
  <c r="CA784" i="49"/>
  <c r="CA812" i="49" s="1"/>
  <c r="BY784" i="49"/>
  <c r="BX784" i="49"/>
  <c r="BW784" i="49"/>
  <c r="BV784" i="49"/>
  <c r="BT784" i="49"/>
  <c r="BS784" i="49"/>
  <c r="BR784" i="49"/>
  <c r="BQ784" i="49"/>
  <c r="BO784" i="49"/>
  <c r="BN784" i="49"/>
  <c r="BM784" i="49"/>
  <c r="BL784" i="49"/>
  <c r="BJ784" i="49"/>
  <c r="BJ812" i="49" s="1"/>
  <c r="BI784" i="49"/>
  <c r="BH784" i="49"/>
  <c r="BG784" i="49"/>
  <c r="BG812" i="49" s="1"/>
  <c r="BE784" i="49"/>
  <c r="BD784" i="49"/>
  <c r="BC784" i="49"/>
  <c r="BC812" i="49" s="1"/>
  <c r="BB784" i="49"/>
  <c r="AZ784" i="49"/>
  <c r="AY784" i="49"/>
  <c r="AY812" i="49" s="1"/>
  <c r="AX784" i="49"/>
  <c r="AW784" i="49"/>
  <c r="AU784" i="49"/>
  <c r="AU812" i="49" s="1"/>
  <c r="AT784" i="49"/>
  <c r="AS784" i="49"/>
  <c r="AR784" i="49"/>
  <c r="AP784" i="49"/>
  <c r="AO784" i="49"/>
  <c r="AN784" i="49"/>
  <c r="AM784" i="49"/>
  <c r="AM812" i="49" s="1"/>
  <c r="AK784" i="49"/>
  <c r="AJ784" i="49"/>
  <c r="AI784" i="49"/>
  <c r="AH784" i="49"/>
  <c r="AF784" i="49"/>
  <c r="AE784" i="49"/>
  <c r="AD784" i="49"/>
  <c r="AC784" i="49"/>
  <c r="AA784" i="49"/>
  <c r="AA812" i="49" s="1"/>
  <c r="Z784" i="49"/>
  <c r="Y784" i="49"/>
  <c r="X784" i="49"/>
  <c r="V784" i="49"/>
  <c r="U784" i="49"/>
  <c r="T784" i="49"/>
  <c r="S784" i="49"/>
  <c r="S812" i="49" s="1"/>
  <c r="Q784" i="49"/>
  <c r="P784" i="49"/>
  <c r="O784" i="49"/>
  <c r="N784" i="49"/>
  <c r="L784" i="49"/>
  <c r="K784" i="49"/>
  <c r="J784" i="49"/>
  <c r="I784" i="49"/>
  <c r="CA783" i="49"/>
  <c r="BY783" i="49"/>
  <c r="BX783" i="49"/>
  <c r="BW783" i="49"/>
  <c r="BV783" i="49"/>
  <c r="BT783" i="49"/>
  <c r="BS783" i="49"/>
  <c r="BR783" i="49"/>
  <c r="BQ783" i="49"/>
  <c r="BN783" i="49"/>
  <c r="BN812" i="49" s="1"/>
  <c r="BM783" i="49"/>
  <c r="BL783" i="49"/>
  <c r="BJ783" i="49"/>
  <c r="BI783" i="49"/>
  <c r="BH783" i="49"/>
  <c r="BG783" i="49"/>
  <c r="BE783" i="49"/>
  <c r="BD783" i="49"/>
  <c r="BC783" i="49"/>
  <c r="BB783" i="49"/>
  <c r="AZ783" i="49"/>
  <c r="AY783" i="49"/>
  <c r="AX783" i="49"/>
  <c r="AW783" i="49"/>
  <c r="AU783" i="49"/>
  <c r="AT783" i="49"/>
  <c r="AS783" i="49"/>
  <c r="AR783" i="49"/>
  <c r="AP783" i="49"/>
  <c r="AP812" i="49" s="1"/>
  <c r="AO783" i="49"/>
  <c r="AN783" i="49"/>
  <c r="AM783" i="49"/>
  <c r="AK783" i="49"/>
  <c r="AJ783" i="49"/>
  <c r="AI783" i="49"/>
  <c r="AH783" i="49"/>
  <c r="AF783" i="49"/>
  <c r="AE783" i="49"/>
  <c r="AD783" i="49"/>
  <c r="AC783" i="49"/>
  <c r="AA783" i="49"/>
  <c r="Z783" i="49"/>
  <c r="Y783" i="49"/>
  <c r="X783" i="49"/>
  <c r="V783" i="49"/>
  <c r="U783" i="49"/>
  <c r="T783" i="49"/>
  <c r="S783" i="49"/>
  <c r="Q783" i="49"/>
  <c r="CA782" i="49"/>
  <c r="BY782" i="49"/>
  <c r="BX782" i="49"/>
  <c r="BW782" i="49"/>
  <c r="BV782" i="49"/>
  <c r="BT782" i="49"/>
  <c r="BS782" i="49"/>
  <c r="BR782" i="49"/>
  <c r="BQ782" i="49"/>
  <c r="BQ812" i="49" s="1"/>
  <c r="BN782" i="49"/>
  <c r="BM782" i="49"/>
  <c r="BL782" i="49"/>
  <c r="BJ782" i="49"/>
  <c r="BH782" i="49"/>
  <c r="BG782" i="49"/>
  <c r="BE782" i="49"/>
  <c r="BD782" i="49"/>
  <c r="BD812" i="49" s="1"/>
  <c r="BC782" i="49"/>
  <c r="BB782" i="49"/>
  <c r="AZ782" i="49"/>
  <c r="AZ812" i="49" s="1"/>
  <c r="AY782" i="49"/>
  <c r="AX782" i="49"/>
  <c r="AW782" i="49"/>
  <c r="AU782" i="49"/>
  <c r="AT782" i="49"/>
  <c r="AS782" i="49"/>
  <c r="AR782" i="49"/>
  <c r="AR812" i="49" s="1"/>
  <c r="AP782" i="49"/>
  <c r="AO782" i="49"/>
  <c r="AN782" i="49"/>
  <c r="AM782" i="49"/>
  <c r="AK782" i="49"/>
  <c r="AJ782" i="49"/>
  <c r="AI782" i="49"/>
  <c r="AH782" i="49"/>
  <c r="AF782" i="49"/>
  <c r="AE782" i="49"/>
  <c r="AD782" i="49"/>
  <c r="AC782" i="49"/>
  <c r="AA782" i="49"/>
  <c r="Z782" i="49"/>
  <c r="Y782" i="49"/>
  <c r="X782" i="49"/>
  <c r="V782" i="49"/>
  <c r="U782" i="49"/>
  <c r="U812" i="49" s="1"/>
  <c r="T782" i="49"/>
  <c r="S782" i="49"/>
  <c r="Q782" i="49"/>
  <c r="P782" i="49"/>
  <c r="CM781" i="49"/>
  <c r="CL781" i="49"/>
  <c r="CK781" i="49"/>
  <c r="CI781" i="49"/>
  <c r="CH781" i="49"/>
  <c r="BW778" i="49"/>
  <c r="CH776" i="49"/>
  <c r="CM775" i="49"/>
  <c r="CL775" i="49"/>
  <c r="CK775" i="49"/>
  <c r="CI775" i="49"/>
  <c r="CH775" i="49"/>
  <c r="CM774" i="49"/>
  <c r="CL774" i="49"/>
  <c r="CK774" i="49"/>
  <c r="CI774" i="49"/>
  <c r="CH774" i="49"/>
  <c r="CM773" i="49"/>
  <c r="CL773" i="49"/>
  <c r="CK773" i="49"/>
  <c r="CI773" i="49"/>
  <c r="CH773" i="49"/>
  <c r="CM772" i="49"/>
  <c r="CL772" i="49"/>
  <c r="CK772" i="49"/>
  <c r="CI772" i="49"/>
  <c r="CH772" i="49"/>
  <c r="CM771" i="49"/>
  <c r="CL771" i="49"/>
  <c r="CK771" i="49"/>
  <c r="CI771" i="49"/>
  <c r="CH771" i="49"/>
  <c r="CM770" i="49"/>
  <c r="CL770" i="49"/>
  <c r="CK770" i="49"/>
  <c r="CI770" i="49"/>
  <c r="CH770" i="49"/>
  <c r="CM769" i="49"/>
  <c r="CL769" i="49"/>
  <c r="CK769" i="49"/>
  <c r="CI769" i="49"/>
  <c r="CH769" i="49"/>
  <c r="CM768" i="49"/>
  <c r="CL768" i="49"/>
  <c r="CK768" i="49"/>
  <c r="CI768" i="49"/>
  <c r="CH768" i="49"/>
  <c r="CQ767" i="49"/>
  <c r="CM767" i="49"/>
  <c r="CL767" i="49"/>
  <c r="CK767" i="49"/>
  <c r="CI767" i="49"/>
  <c r="CH767" i="49"/>
  <c r="CM766" i="49"/>
  <c r="CL766" i="49"/>
  <c r="CK766" i="49"/>
  <c r="CI766" i="49"/>
  <c r="CH766" i="49"/>
  <c r="CM764" i="49"/>
  <c r="CL764" i="49"/>
  <c r="CK764" i="49"/>
  <c r="CI764" i="49"/>
  <c r="CH764" i="49"/>
  <c r="CG764" i="49"/>
  <c r="CF764" i="49"/>
  <c r="CD764" i="49"/>
  <c r="CC764" i="49"/>
  <c r="CB764" i="49"/>
  <c r="CA764" i="49"/>
  <c r="BY764" i="49"/>
  <c r="BX764" i="49"/>
  <c r="BW764" i="49"/>
  <c r="BV764" i="49"/>
  <c r="BT764" i="49"/>
  <c r="BS764" i="49"/>
  <c r="BR764" i="49"/>
  <c r="BQ764" i="49"/>
  <c r="BO764" i="49"/>
  <c r="BN764" i="49"/>
  <c r="BM764" i="49"/>
  <c r="BL764" i="49"/>
  <c r="BJ764" i="49"/>
  <c r="BI764" i="49"/>
  <c r="BH764" i="49"/>
  <c r="BG764" i="49"/>
  <c r="BE764" i="49"/>
  <c r="BD764" i="49"/>
  <c r="BC764" i="49"/>
  <c r="BB764" i="49"/>
  <c r="AZ764" i="49"/>
  <c r="AY764" i="49"/>
  <c r="AX764" i="49"/>
  <c r="AW764" i="49"/>
  <c r="AU764" i="49"/>
  <c r="AT764" i="49"/>
  <c r="AS764" i="49"/>
  <c r="AR764" i="49"/>
  <c r="AP764" i="49"/>
  <c r="AO764" i="49"/>
  <c r="AN764" i="49"/>
  <c r="AM764" i="49"/>
  <c r="AK764" i="49"/>
  <c r="AJ764" i="49"/>
  <c r="AI764" i="49"/>
  <c r="AH764" i="49"/>
  <c r="AF764" i="49"/>
  <c r="AE764" i="49"/>
  <c r="AD764" i="49"/>
  <c r="AC764" i="49"/>
  <c r="AA764" i="49"/>
  <c r="Z764" i="49"/>
  <c r="Y764" i="49"/>
  <c r="X764" i="49"/>
  <c r="V764" i="49"/>
  <c r="U764" i="49"/>
  <c r="T764" i="49"/>
  <c r="S764" i="49"/>
  <c r="Q764" i="49"/>
  <c r="P764" i="49"/>
  <c r="CM763" i="49"/>
  <c r="CL763" i="49"/>
  <c r="CK763" i="49"/>
  <c r="CI763" i="49"/>
  <c r="CH763" i="49"/>
  <c r="CG763" i="49"/>
  <c r="CF763" i="49"/>
  <c r="CD763" i="49"/>
  <c r="CC763" i="49"/>
  <c r="CB763" i="49"/>
  <c r="CM762" i="49"/>
  <c r="CL762" i="49"/>
  <c r="CK762" i="49"/>
  <c r="CI762" i="49"/>
  <c r="CH762" i="49"/>
  <c r="CG762" i="49"/>
  <c r="CF762" i="49"/>
  <c r="CD762" i="49"/>
  <c r="CC762" i="49"/>
  <c r="CB762" i="49"/>
  <c r="CA762" i="49"/>
  <c r="BY762" i="49"/>
  <c r="BX762" i="49"/>
  <c r="BW762" i="49"/>
  <c r="BV762" i="49"/>
  <c r="BT762" i="49"/>
  <c r="BS762" i="49"/>
  <c r="BR762" i="49"/>
  <c r="BQ762" i="49"/>
  <c r="BO762" i="49"/>
  <c r="CK761" i="49"/>
  <c r="CI761" i="49"/>
  <c r="CH761" i="49"/>
  <c r="CG761" i="49"/>
  <c r="CF761" i="49"/>
  <c r="CB761" i="49"/>
  <c r="CA761" i="49"/>
  <c r="BY761" i="49"/>
  <c r="BX761" i="49"/>
  <c r="BW761" i="49"/>
  <c r="BV761" i="49"/>
  <c r="BT761" i="49"/>
  <c r="BS761" i="49"/>
  <c r="BR761" i="49"/>
  <c r="BQ761" i="49"/>
  <c r="BO761" i="49"/>
  <c r="BN761" i="49"/>
  <c r="BM761" i="49"/>
  <c r="BL761" i="49"/>
  <c r="BJ761" i="49"/>
  <c r="BI761" i="49"/>
  <c r="BH761" i="49"/>
  <c r="BG761" i="49"/>
  <c r="BE761" i="49"/>
  <c r="BD761" i="49"/>
  <c r="BC761" i="49"/>
  <c r="BB761" i="49"/>
  <c r="AZ761" i="49"/>
  <c r="AY761" i="49"/>
  <c r="AX761" i="49"/>
  <c r="AW761" i="49"/>
  <c r="AU761" i="49"/>
  <c r="AT761" i="49"/>
  <c r="AS761" i="49"/>
  <c r="AR761" i="49"/>
  <c r="AQ761" i="49"/>
  <c r="AP761" i="49"/>
  <c r="AO761" i="49"/>
  <c r="AN761" i="49"/>
  <c r="AM761" i="49"/>
  <c r="AK761" i="49"/>
  <c r="AJ761" i="49"/>
  <c r="AI761" i="49"/>
  <c r="AH761" i="49"/>
  <c r="AF761" i="49"/>
  <c r="AE761" i="49"/>
  <c r="AD761" i="49"/>
  <c r="AC761" i="49"/>
  <c r="AA761" i="49"/>
  <c r="Z761" i="49"/>
  <c r="Y761" i="49"/>
  <c r="X761" i="49"/>
  <c r="V761" i="49"/>
  <c r="U761" i="49"/>
  <c r="T761" i="49"/>
  <c r="S761" i="49"/>
  <c r="Q761" i="49"/>
  <c r="P761" i="49"/>
  <c r="CN760" i="49"/>
  <c r="CM760" i="49"/>
  <c r="CL760" i="49"/>
  <c r="CK760" i="49"/>
  <c r="CI760" i="49"/>
  <c r="CH760" i="49"/>
  <c r="CG760" i="49"/>
  <c r="CF760" i="49"/>
  <c r="CD760" i="49"/>
  <c r="CC760" i="49"/>
  <c r="CB760" i="49"/>
  <c r="CA760" i="49"/>
  <c r="BY760" i="49"/>
  <c r="BX760" i="49"/>
  <c r="BW760" i="49"/>
  <c r="BV760" i="49"/>
  <c r="BT760" i="49"/>
  <c r="BS760" i="49"/>
  <c r="BR760" i="49"/>
  <c r="BQ760" i="49"/>
  <c r="BO760" i="49"/>
  <c r="BN760" i="49"/>
  <c r="BM760" i="49"/>
  <c r="BL760" i="49"/>
  <c r="BJ760" i="49"/>
  <c r="BI760" i="49"/>
  <c r="BH760" i="49"/>
  <c r="BG760" i="49"/>
  <c r="BE760" i="49"/>
  <c r="BD760" i="49"/>
  <c r="BC760" i="49"/>
  <c r="BB760" i="49"/>
  <c r="AZ760" i="49"/>
  <c r="AY760" i="49"/>
  <c r="AX760" i="49"/>
  <c r="AW760" i="49"/>
  <c r="AU760" i="49"/>
  <c r="AT760" i="49"/>
  <c r="AS760" i="49"/>
  <c r="AR760" i="49"/>
  <c r="AP760" i="49"/>
  <c r="AO760" i="49"/>
  <c r="AN760" i="49"/>
  <c r="AM760" i="49"/>
  <c r="AK760" i="49"/>
  <c r="AJ760" i="49"/>
  <c r="AI760" i="49"/>
  <c r="AH760" i="49"/>
  <c r="AF760" i="49"/>
  <c r="AE760" i="49"/>
  <c r="AD760" i="49"/>
  <c r="AC760" i="49"/>
  <c r="AA760" i="49"/>
  <c r="Z760" i="49"/>
  <c r="Y760" i="49"/>
  <c r="X760" i="49"/>
  <c r="V760" i="49"/>
  <c r="U760" i="49"/>
  <c r="T760" i="49"/>
  <c r="S760" i="49"/>
  <c r="Q760" i="49"/>
  <c r="P760" i="49"/>
  <c r="CM759" i="49"/>
  <c r="CL759" i="49"/>
  <c r="CK759" i="49"/>
  <c r="CI759" i="49"/>
  <c r="CH759" i="49"/>
  <c r="CG759" i="49"/>
  <c r="CF759" i="49"/>
  <c r="CD759" i="49"/>
  <c r="CC759" i="49"/>
  <c r="CB759" i="49"/>
  <c r="CA759" i="49"/>
  <c r="BY759" i="49"/>
  <c r="BX759" i="49"/>
  <c r="BW759" i="49"/>
  <c r="BV759" i="49"/>
  <c r="BT759" i="49"/>
  <c r="BS759" i="49"/>
  <c r="BR759" i="49"/>
  <c r="BQ759" i="49"/>
  <c r="BO759" i="49"/>
  <c r="BN759" i="49"/>
  <c r="BM759" i="49"/>
  <c r="BL759" i="49"/>
  <c r="BJ759" i="49"/>
  <c r="BI759" i="49"/>
  <c r="BH759" i="49"/>
  <c r="BG759" i="49"/>
  <c r="BE759" i="49"/>
  <c r="BD759" i="49"/>
  <c r="BC759" i="49"/>
  <c r="BB759" i="49"/>
  <c r="AZ759" i="49"/>
  <c r="AY759" i="49"/>
  <c r="AX759" i="49"/>
  <c r="AW759" i="49"/>
  <c r="AU759" i="49"/>
  <c r="AT759" i="49"/>
  <c r="AS759" i="49"/>
  <c r="AR759" i="49"/>
  <c r="AP759" i="49"/>
  <c r="AO759" i="49"/>
  <c r="AN759" i="49"/>
  <c r="AM759" i="49"/>
  <c r="AK759" i="49"/>
  <c r="AJ759" i="49"/>
  <c r="AI759" i="49"/>
  <c r="AH759" i="49"/>
  <c r="AF759" i="49"/>
  <c r="AE759" i="49"/>
  <c r="AD759" i="49"/>
  <c r="AC759" i="49"/>
  <c r="AA759" i="49"/>
  <c r="Z759" i="49"/>
  <c r="Y759" i="49"/>
  <c r="X759" i="49"/>
  <c r="V759" i="49"/>
  <c r="U759" i="49"/>
  <c r="T759" i="49"/>
  <c r="S759" i="49"/>
  <c r="Q759" i="49"/>
  <c r="P759" i="49"/>
  <c r="CM758" i="49"/>
  <c r="CL758" i="49"/>
  <c r="CK758" i="49"/>
  <c r="CI758" i="49"/>
  <c r="CH758" i="49"/>
  <c r="CG758" i="49"/>
  <c r="CF758" i="49"/>
  <c r="CD758" i="49"/>
  <c r="CC758" i="49"/>
  <c r="CB758" i="49"/>
  <c r="CA758" i="49"/>
  <c r="BY758" i="49"/>
  <c r="BX758" i="49"/>
  <c r="BW758" i="49"/>
  <c r="BV758" i="49"/>
  <c r="BT758" i="49"/>
  <c r="BS758" i="49"/>
  <c r="BR758" i="49"/>
  <c r="BQ758" i="49"/>
  <c r="BO758" i="49"/>
  <c r="BN758" i="49"/>
  <c r="BM758" i="49"/>
  <c r="BL758" i="49"/>
  <c r="BJ758" i="49"/>
  <c r="BI758" i="49"/>
  <c r="BH758" i="49"/>
  <c r="BG758" i="49"/>
  <c r="BE758" i="49"/>
  <c r="BD758" i="49"/>
  <c r="BC758" i="49"/>
  <c r="BB758" i="49"/>
  <c r="AZ758" i="49"/>
  <c r="AY758" i="49"/>
  <c r="AX758" i="49"/>
  <c r="AW758" i="49"/>
  <c r="AU758" i="49"/>
  <c r="AT758" i="49"/>
  <c r="AS758" i="49"/>
  <c r="AR758" i="49"/>
  <c r="AP758" i="49"/>
  <c r="AO758" i="49"/>
  <c r="AN758" i="49"/>
  <c r="AM758" i="49"/>
  <c r="AK758" i="49"/>
  <c r="AJ758" i="49"/>
  <c r="AI758" i="49"/>
  <c r="AH758" i="49"/>
  <c r="AF758" i="49"/>
  <c r="AE758" i="49"/>
  <c r="AD758" i="49"/>
  <c r="AC758" i="49"/>
  <c r="AA758" i="49"/>
  <c r="Z758" i="49"/>
  <c r="Y758" i="49"/>
  <c r="X758" i="49"/>
  <c r="V758" i="49"/>
  <c r="U758" i="49"/>
  <c r="T758" i="49"/>
  <c r="S758" i="49"/>
  <c r="Q758" i="49"/>
  <c r="P758" i="49"/>
  <c r="CM757" i="49"/>
  <c r="CL757" i="49"/>
  <c r="CK757" i="49"/>
  <c r="CI757" i="49"/>
  <c r="CH757" i="49"/>
  <c r="CG757" i="49"/>
  <c r="CF757" i="49"/>
  <c r="CD757" i="49"/>
  <c r="CC757" i="49"/>
  <c r="CB757" i="49"/>
  <c r="CA757" i="49"/>
  <c r="BY757" i="49"/>
  <c r="BX757" i="49"/>
  <c r="BW757" i="49"/>
  <c r="BV757" i="49"/>
  <c r="BT757" i="49"/>
  <c r="BS757" i="49"/>
  <c r="BR757" i="49"/>
  <c r="BQ757" i="49"/>
  <c r="BO757" i="49"/>
  <c r="BN757" i="49"/>
  <c r="BM757" i="49"/>
  <c r="BL757" i="49"/>
  <c r="BJ757" i="49"/>
  <c r="BI757" i="49"/>
  <c r="BH757" i="49"/>
  <c r="BG757" i="49"/>
  <c r="BE757" i="49"/>
  <c r="BD757" i="49"/>
  <c r="BC757" i="49"/>
  <c r="BB757" i="49"/>
  <c r="AZ757" i="49"/>
  <c r="AY757" i="49"/>
  <c r="AX757" i="49"/>
  <c r="AW757" i="49"/>
  <c r="AU757" i="49"/>
  <c r="AT757" i="49"/>
  <c r="AS757" i="49"/>
  <c r="AR757" i="49"/>
  <c r="AQ757" i="49"/>
  <c r="AP757" i="49"/>
  <c r="AO757" i="49"/>
  <c r="AN757" i="49"/>
  <c r="AM757" i="49"/>
  <c r="AK757" i="49"/>
  <c r="AJ757" i="49"/>
  <c r="AI757" i="49"/>
  <c r="AH757" i="49"/>
  <c r="AF757" i="49"/>
  <c r="AE757" i="49"/>
  <c r="AD757" i="49"/>
  <c r="AC757" i="49"/>
  <c r="AA757" i="49"/>
  <c r="Z757" i="49"/>
  <c r="Y757" i="49"/>
  <c r="X757" i="49"/>
  <c r="V757" i="49"/>
  <c r="U757" i="49"/>
  <c r="T757" i="49"/>
  <c r="S757" i="49"/>
  <c r="Q757" i="49"/>
  <c r="P757" i="49"/>
  <c r="CM756" i="49"/>
  <c r="CL756" i="49"/>
  <c r="CK756" i="49"/>
  <c r="CI756" i="49"/>
  <c r="CH756" i="49"/>
  <c r="CG756" i="49"/>
  <c r="CF756" i="49"/>
  <c r="CD756" i="49"/>
  <c r="CC756" i="49"/>
  <c r="CB756" i="49"/>
  <c r="CA756" i="49"/>
  <c r="BY756" i="49"/>
  <c r="BX756" i="49"/>
  <c r="BW756" i="49"/>
  <c r="BV756" i="49"/>
  <c r="BU756" i="49"/>
  <c r="BT756" i="49"/>
  <c r="BS756" i="49"/>
  <c r="BR756" i="49"/>
  <c r="BQ756" i="49"/>
  <c r="BP756" i="49"/>
  <c r="BO756" i="49"/>
  <c r="BN756" i="49"/>
  <c r="BM756" i="49"/>
  <c r="BL756" i="49"/>
  <c r="BK756" i="49"/>
  <c r="BJ756" i="49"/>
  <c r="BI756" i="49"/>
  <c r="BH756" i="49"/>
  <c r="BG756" i="49"/>
  <c r="BG778" i="49" s="1"/>
  <c r="BF756" i="49"/>
  <c r="BE756" i="49"/>
  <c r="BD756" i="49"/>
  <c r="BC756" i="49"/>
  <c r="BB756" i="49"/>
  <c r="BA756" i="49"/>
  <c r="AZ756" i="49"/>
  <c r="AY756" i="49"/>
  <c r="AX756" i="49"/>
  <c r="AW756" i="49"/>
  <c r="AV756" i="49"/>
  <c r="AU756" i="49"/>
  <c r="AT756" i="49"/>
  <c r="AS756" i="49"/>
  <c r="AR756" i="49"/>
  <c r="AQ756" i="49"/>
  <c r="AP756" i="49"/>
  <c r="AO756" i="49"/>
  <c r="AN756" i="49"/>
  <c r="AM756" i="49"/>
  <c r="AL756" i="49"/>
  <c r="AK756" i="49"/>
  <c r="AJ756" i="49"/>
  <c r="AI756" i="49"/>
  <c r="AH756" i="49"/>
  <c r="AG756" i="49"/>
  <c r="AF756" i="49"/>
  <c r="AE756" i="49"/>
  <c r="AD756" i="49"/>
  <c r="AC756" i="49"/>
  <c r="AB756" i="49"/>
  <c r="AA756" i="49"/>
  <c r="AA778" i="49" s="1"/>
  <c r="Z756" i="49"/>
  <c r="Y756" i="49"/>
  <c r="X756" i="49"/>
  <c r="W756" i="49"/>
  <c r="V756" i="49"/>
  <c r="U756" i="49"/>
  <c r="T756" i="49"/>
  <c r="S756" i="49"/>
  <c r="S778" i="49" s="1"/>
  <c r="R756" i="49"/>
  <c r="Q756" i="49"/>
  <c r="P756" i="49"/>
  <c r="O756" i="49"/>
  <c r="N756" i="49"/>
  <c r="M756" i="49"/>
  <c r="L756" i="49"/>
  <c r="K756" i="49"/>
  <c r="J756" i="49"/>
  <c r="I756" i="49"/>
  <c r="CM755" i="49"/>
  <c r="CL755" i="49"/>
  <c r="CK755" i="49"/>
  <c r="CI755" i="49"/>
  <c r="CH755" i="49"/>
  <c r="CG755" i="49"/>
  <c r="CF755" i="49"/>
  <c r="CD755" i="49"/>
  <c r="CC755" i="49"/>
  <c r="CB755" i="49"/>
  <c r="CA755" i="49"/>
  <c r="BY755" i="49"/>
  <c r="BX755" i="49"/>
  <c r="BW755" i="49"/>
  <c r="BV755" i="49"/>
  <c r="BT755" i="49"/>
  <c r="BS755" i="49"/>
  <c r="BR755" i="49"/>
  <c r="BQ755" i="49"/>
  <c r="BO755" i="49"/>
  <c r="BN755" i="49"/>
  <c r="BM755" i="49"/>
  <c r="BL755" i="49"/>
  <c r="BJ755" i="49"/>
  <c r="BI755" i="49"/>
  <c r="BH755" i="49"/>
  <c r="BG755" i="49"/>
  <c r="BE755" i="49"/>
  <c r="BD755" i="49"/>
  <c r="BC755" i="49"/>
  <c r="BB755" i="49"/>
  <c r="AZ755" i="49"/>
  <c r="AY755" i="49"/>
  <c r="AX755" i="49"/>
  <c r="AW755" i="49"/>
  <c r="AU755" i="49"/>
  <c r="AT755" i="49"/>
  <c r="AS755" i="49"/>
  <c r="AR755" i="49"/>
  <c r="AP755" i="49"/>
  <c r="AO755" i="49"/>
  <c r="AN755" i="49"/>
  <c r="AM755" i="49"/>
  <c r="AK755" i="49"/>
  <c r="AJ755" i="49"/>
  <c r="AI755" i="49"/>
  <c r="AH755" i="49"/>
  <c r="AF755" i="49"/>
  <c r="AE755" i="49"/>
  <c r="AD755" i="49"/>
  <c r="AC755" i="49"/>
  <c r="AA755" i="49"/>
  <c r="Z755" i="49"/>
  <c r="Y755" i="49"/>
  <c r="X755" i="49"/>
  <c r="V755" i="49"/>
  <c r="U755" i="49"/>
  <c r="T755" i="49"/>
  <c r="S755" i="49"/>
  <c r="Q755" i="49"/>
  <c r="P755" i="49"/>
  <c r="CM754" i="49"/>
  <c r="CL754" i="49"/>
  <c r="CK754" i="49"/>
  <c r="CI754" i="49"/>
  <c r="CH754" i="49"/>
  <c r="CG754" i="49"/>
  <c r="CF754" i="49"/>
  <c r="CD754" i="49"/>
  <c r="CC754" i="49"/>
  <c r="CB754" i="49"/>
  <c r="CA754" i="49"/>
  <c r="BY754" i="49"/>
  <c r="BX754" i="49"/>
  <c r="BW754" i="49"/>
  <c r="BV754" i="49"/>
  <c r="BT754" i="49"/>
  <c r="BS754" i="49"/>
  <c r="BR754" i="49"/>
  <c r="BQ754" i="49"/>
  <c r="BO754" i="49"/>
  <c r="BN754" i="49"/>
  <c r="BM754" i="49"/>
  <c r="BL754" i="49"/>
  <c r="BJ754" i="49"/>
  <c r="BI754" i="49"/>
  <c r="BH754" i="49"/>
  <c r="BG754" i="49"/>
  <c r="BE754" i="49"/>
  <c r="BD754" i="49"/>
  <c r="BC754" i="49"/>
  <c r="BB754" i="49"/>
  <c r="AZ754" i="49"/>
  <c r="AY754" i="49"/>
  <c r="AX754" i="49"/>
  <c r="AW754" i="49"/>
  <c r="AU754" i="49"/>
  <c r="AT754" i="49"/>
  <c r="AS754" i="49"/>
  <c r="AR754" i="49"/>
  <c r="AP754" i="49"/>
  <c r="AO754" i="49"/>
  <c r="AN754" i="49"/>
  <c r="AM754" i="49"/>
  <c r="AK754" i="49"/>
  <c r="AJ754" i="49"/>
  <c r="AI754" i="49"/>
  <c r="AH754" i="49"/>
  <c r="AF754" i="49"/>
  <c r="AE754" i="49"/>
  <c r="AD754" i="49"/>
  <c r="AC754" i="49"/>
  <c r="AA754" i="49"/>
  <c r="Z754" i="49"/>
  <c r="Y754" i="49"/>
  <c r="X754" i="49"/>
  <c r="V754" i="49"/>
  <c r="U754" i="49"/>
  <c r="T754" i="49"/>
  <c r="S754" i="49"/>
  <c r="R754" i="49"/>
  <c r="Q754" i="49"/>
  <c r="P754" i="49"/>
  <c r="O754" i="49"/>
  <c r="N754" i="49"/>
  <c r="M754" i="49"/>
  <c r="L754" i="49"/>
  <c r="K754" i="49"/>
  <c r="J754" i="49"/>
  <c r="I754" i="49"/>
  <c r="CM753" i="49"/>
  <c r="CL753" i="49"/>
  <c r="CK753" i="49"/>
  <c r="CI753" i="49"/>
  <c r="CJ753" i="49" s="1"/>
  <c r="CH753" i="49"/>
  <c r="CG753" i="49"/>
  <c r="CF753" i="49"/>
  <c r="CE753" i="49"/>
  <c r="CD753" i="49"/>
  <c r="CC753" i="49"/>
  <c r="CB753" i="49"/>
  <c r="CA753" i="49"/>
  <c r="BZ753" i="49"/>
  <c r="BY753" i="49"/>
  <c r="BX753" i="49"/>
  <c r="BW753" i="49"/>
  <c r="BV753" i="49"/>
  <c r="BT753" i="49"/>
  <c r="BU753" i="49" s="1"/>
  <c r="BS753" i="49"/>
  <c r="BR753" i="49"/>
  <c r="BQ753" i="49"/>
  <c r="BO753" i="49"/>
  <c r="BP753" i="49" s="1"/>
  <c r="BN753" i="49"/>
  <c r="BM753" i="49"/>
  <c r="BL753" i="49"/>
  <c r="BK753" i="49"/>
  <c r="BJ753" i="49"/>
  <c r="BI753" i="49"/>
  <c r="BH753" i="49"/>
  <c r="BG753" i="49"/>
  <c r="BE753" i="49"/>
  <c r="BD753" i="49"/>
  <c r="BC753" i="49"/>
  <c r="BB753" i="49"/>
  <c r="AZ753" i="49"/>
  <c r="AY753" i="49"/>
  <c r="AY778" i="49" s="1"/>
  <c r="AX753" i="49"/>
  <c r="AW753" i="49"/>
  <c r="AU753" i="49"/>
  <c r="AT753" i="49"/>
  <c r="AS753" i="49"/>
  <c r="AR753" i="49"/>
  <c r="AP753" i="49"/>
  <c r="AO753" i="49"/>
  <c r="AN753" i="49"/>
  <c r="AM753" i="49"/>
  <c r="AK753" i="49"/>
  <c r="AJ753" i="49"/>
  <c r="AI753" i="49"/>
  <c r="AH753" i="49"/>
  <c r="AF753" i="49"/>
  <c r="AE753" i="49"/>
  <c r="AD753" i="49"/>
  <c r="AC753" i="49"/>
  <c r="AA753" i="49"/>
  <c r="Z753" i="49"/>
  <c r="Y753" i="49"/>
  <c r="X753" i="49"/>
  <c r="V753" i="49"/>
  <c r="U753" i="49"/>
  <c r="T753" i="49"/>
  <c r="S753" i="49"/>
  <c r="R753" i="49"/>
  <c r="Q753" i="49"/>
  <c r="P753" i="49"/>
  <c r="O753" i="49"/>
  <c r="N753" i="49"/>
  <c r="M753" i="49"/>
  <c r="L753" i="49"/>
  <c r="K753" i="49"/>
  <c r="J753" i="49"/>
  <c r="I753" i="49"/>
  <c r="CM752" i="49"/>
  <c r="CL752" i="49"/>
  <c r="CK752" i="49"/>
  <c r="CI752" i="49"/>
  <c r="CH752" i="49"/>
  <c r="CG752" i="49"/>
  <c r="CF752" i="49"/>
  <c r="CD752" i="49"/>
  <c r="CC752" i="49"/>
  <c r="CB752" i="49"/>
  <c r="CA752" i="49"/>
  <c r="BY752" i="49"/>
  <c r="BX752" i="49"/>
  <c r="BW752" i="49"/>
  <c r="BV752" i="49"/>
  <c r="BT752" i="49"/>
  <c r="BS752" i="49"/>
  <c r="BR752" i="49"/>
  <c r="BQ752" i="49"/>
  <c r="BO752" i="49"/>
  <c r="BN752" i="49"/>
  <c r="BM752" i="49"/>
  <c r="BL752" i="49"/>
  <c r="BJ752" i="49"/>
  <c r="BI752" i="49"/>
  <c r="BH752" i="49"/>
  <c r="BG752" i="49"/>
  <c r="BE752" i="49"/>
  <c r="BD752" i="49"/>
  <c r="BC752" i="49"/>
  <c r="BB752" i="49"/>
  <c r="AZ752" i="49"/>
  <c r="AY752" i="49"/>
  <c r="AX752" i="49"/>
  <c r="AW752" i="49"/>
  <c r="AU752" i="49"/>
  <c r="AT752" i="49"/>
  <c r="AS752" i="49"/>
  <c r="AR752" i="49"/>
  <c r="AP752" i="49"/>
  <c r="AO752" i="49"/>
  <c r="AN752" i="49"/>
  <c r="AM752" i="49"/>
  <c r="AK752" i="49"/>
  <c r="AJ752" i="49"/>
  <c r="AI752" i="49"/>
  <c r="AH752" i="49"/>
  <c r="AG752" i="49"/>
  <c r="AF752" i="49"/>
  <c r="AE752" i="49"/>
  <c r="AD752" i="49"/>
  <c r="AC752" i="49"/>
  <c r="AA752" i="49"/>
  <c r="Z752" i="49"/>
  <c r="Y752" i="49"/>
  <c r="X752" i="49"/>
  <c r="V752" i="49"/>
  <c r="U752" i="49"/>
  <c r="T752" i="49"/>
  <c r="S752" i="49"/>
  <c r="R752" i="49"/>
  <c r="Q752" i="49"/>
  <c r="P752" i="49"/>
  <c r="O752" i="49"/>
  <c r="N752" i="49"/>
  <c r="M752" i="49"/>
  <c r="L752" i="49"/>
  <c r="K752" i="49"/>
  <c r="J752" i="49"/>
  <c r="I752" i="49"/>
  <c r="CM751" i="49"/>
  <c r="CL751" i="49"/>
  <c r="CK751" i="49"/>
  <c r="CI751" i="49"/>
  <c r="CH751" i="49"/>
  <c r="CG751" i="49"/>
  <c r="CF751" i="49"/>
  <c r="CD751" i="49"/>
  <c r="CC751" i="49"/>
  <c r="CB751" i="49"/>
  <c r="CA751" i="49"/>
  <c r="BY751" i="49"/>
  <c r="BX751" i="49"/>
  <c r="BW751" i="49"/>
  <c r="BV751" i="49"/>
  <c r="BU751" i="49"/>
  <c r="BT751" i="49"/>
  <c r="BS751" i="49"/>
  <c r="BR751" i="49"/>
  <c r="BQ751" i="49"/>
  <c r="BO751" i="49"/>
  <c r="BN751" i="49"/>
  <c r="BM751" i="49"/>
  <c r="BL751" i="49"/>
  <c r="BJ751" i="49"/>
  <c r="BI751" i="49"/>
  <c r="BH751" i="49"/>
  <c r="BG751" i="49"/>
  <c r="BE751" i="49"/>
  <c r="BD751" i="49"/>
  <c r="BC751" i="49"/>
  <c r="BB751" i="49"/>
  <c r="AZ751" i="49"/>
  <c r="AY751" i="49"/>
  <c r="AX751" i="49"/>
  <c r="AW751" i="49"/>
  <c r="AU751" i="49"/>
  <c r="AT751" i="49"/>
  <c r="AS751" i="49"/>
  <c r="AR751" i="49"/>
  <c r="AP751" i="49"/>
  <c r="AO751" i="49"/>
  <c r="AN751" i="49"/>
  <c r="AM751" i="49"/>
  <c r="AK751" i="49"/>
  <c r="AJ751" i="49"/>
  <c r="AI751" i="49"/>
  <c r="AH751" i="49"/>
  <c r="AF751" i="49"/>
  <c r="AE751" i="49"/>
  <c r="AD751" i="49"/>
  <c r="AC751" i="49"/>
  <c r="AA751" i="49"/>
  <c r="Z751" i="49"/>
  <c r="Y751" i="49"/>
  <c r="X751" i="49"/>
  <c r="V751" i="49"/>
  <c r="U751" i="49"/>
  <c r="T751" i="49"/>
  <c r="S751" i="49"/>
  <c r="Q751" i="49"/>
  <c r="P751" i="49"/>
  <c r="CK750" i="49"/>
  <c r="CI750" i="49"/>
  <c r="CH750" i="49"/>
  <c r="CG750" i="49"/>
  <c r="CF750" i="49"/>
  <c r="CD750" i="49"/>
  <c r="CC750" i="49"/>
  <c r="CB750" i="49"/>
  <c r="CA750" i="49"/>
  <c r="BY750" i="49"/>
  <c r="BX750" i="49"/>
  <c r="BW750" i="49"/>
  <c r="BV750" i="49"/>
  <c r="BT750" i="49"/>
  <c r="BS750" i="49"/>
  <c r="BR750" i="49"/>
  <c r="BQ750" i="49"/>
  <c r="BN750" i="49"/>
  <c r="BM750" i="49"/>
  <c r="BL750" i="49"/>
  <c r="BJ750" i="49"/>
  <c r="BI750" i="49"/>
  <c r="BH750" i="49"/>
  <c r="BG750" i="49"/>
  <c r="BE750" i="49"/>
  <c r="BD750" i="49"/>
  <c r="BC750" i="49"/>
  <c r="BB750" i="49"/>
  <c r="AZ750" i="49"/>
  <c r="AY750" i="49"/>
  <c r="AX750" i="49"/>
  <c r="AW750" i="49"/>
  <c r="AU750" i="49"/>
  <c r="AT750" i="49"/>
  <c r="AS750" i="49"/>
  <c r="AR750" i="49"/>
  <c r="AP750" i="49"/>
  <c r="AO750" i="49"/>
  <c r="AN750" i="49"/>
  <c r="AM750" i="49"/>
  <c r="AK750" i="49"/>
  <c r="AJ750" i="49"/>
  <c r="AI750" i="49"/>
  <c r="AH750" i="49"/>
  <c r="AF750" i="49"/>
  <c r="AE750" i="49"/>
  <c r="AD750" i="49"/>
  <c r="AC750" i="49"/>
  <c r="AA750" i="49"/>
  <c r="Z750" i="49"/>
  <c r="Y750" i="49"/>
  <c r="X750" i="49"/>
  <c r="V750" i="49"/>
  <c r="U750" i="49"/>
  <c r="T750" i="49"/>
  <c r="S750" i="49"/>
  <c r="R750" i="49"/>
  <c r="Q750" i="49"/>
  <c r="P750" i="49"/>
  <c r="O750" i="49"/>
  <c r="N750" i="49"/>
  <c r="M750" i="49"/>
  <c r="L750" i="49"/>
  <c r="K750" i="49"/>
  <c r="J750" i="49"/>
  <c r="I750" i="49"/>
  <c r="CM749" i="49"/>
  <c r="CL749" i="49"/>
  <c r="CK749" i="49"/>
  <c r="CI749" i="49"/>
  <c r="CH749" i="49"/>
  <c r="CG749" i="49"/>
  <c r="CF749" i="49"/>
  <c r="CD749" i="49"/>
  <c r="CC749" i="49"/>
  <c r="CB749" i="49"/>
  <c r="CA749" i="49"/>
  <c r="BY749" i="49"/>
  <c r="BX749" i="49"/>
  <c r="BW749" i="49"/>
  <c r="BV749" i="49"/>
  <c r="BT749" i="49"/>
  <c r="BS749" i="49"/>
  <c r="BR749" i="49"/>
  <c r="BQ749" i="49"/>
  <c r="BO749" i="49"/>
  <c r="BN749" i="49"/>
  <c r="BM749" i="49"/>
  <c r="BL749" i="49"/>
  <c r="BJ749" i="49"/>
  <c r="BI749" i="49"/>
  <c r="BH749" i="49"/>
  <c r="BG749" i="49"/>
  <c r="BE749" i="49"/>
  <c r="BD749" i="49"/>
  <c r="BC749" i="49"/>
  <c r="BB749" i="49"/>
  <c r="AZ749" i="49"/>
  <c r="AY749" i="49"/>
  <c r="AX749" i="49"/>
  <c r="AW749" i="49"/>
  <c r="AU749" i="49"/>
  <c r="AT749" i="49"/>
  <c r="AS749" i="49"/>
  <c r="AR749" i="49"/>
  <c r="AP749" i="49"/>
  <c r="AO749" i="49"/>
  <c r="AN749" i="49"/>
  <c r="AM749" i="49"/>
  <c r="AK749" i="49"/>
  <c r="AJ749" i="49"/>
  <c r="AI749" i="49"/>
  <c r="AH749" i="49"/>
  <c r="AF749" i="49"/>
  <c r="AE749" i="49"/>
  <c r="AD749" i="49"/>
  <c r="AC749" i="49"/>
  <c r="AA749" i="49"/>
  <c r="Z749" i="49"/>
  <c r="Y749" i="49"/>
  <c r="X749" i="49"/>
  <c r="V749" i="49"/>
  <c r="U749" i="49"/>
  <c r="T749" i="49"/>
  <c r="S749" i="49"/>
  <c r="R749" i="49"/>
  <c r="Q749" i="49"/>
  <c r="P749" i="49"/>
  <c r="O749" i="49"/>
  <c r="N749" i="49"/>
  <c r="M749" i="49"/>
  <c r="L749" i="49"/>
  <c r="K749" i="49"/>
  <c r="J749" i="49"/>
  <c r="I749" i="49"/>
  <c r="CM748" i="49"/>
  <c r="CL748" i="49"/>
  <c r="CK748" i="49"/>
  <c r="CI748" i="49"/>
  <c r="CH748" i="49"/>
  <c r="CG748" i="49"/>
  <c r="CF748" i="49"/>
  <c r="CD748" i="49"/>
  <c r="CC748" i="49"/>
  <c r="CB748" i="49"/>
  <c r="CA748" i="49"/>
  <c r="BY748" i="49"/>
  <c r="BX748" i="49"/>
  <c r="BW748" i="49"/>
  <c r="BV748" i="49"/>
  <c r="BT748" i="49"/>
  <c r="BS748" i="49"/>
  <c r="BR748" i="49"/>
  <c r="BQ748" i="49"/>
  <c r="BO748" i="49"/>
  <c r="BN748" i="49"/>
  <c r="BM748" i="49"/>
  <c r="BL748" i="49"/>
  <c r="BJ748" i="49"/>
  <c r="BI748" i="49"/>
  <c r="BH748" i="49"/>
  <c r="BG748" i="49"/>
  <c r="BE748" i="49"/>
  <c r="BD748" i="49"/>
  <c r="BC748" i="49"/>
  <c r="BB748" i="49"/>
  <c r="AZ748" i="49"/>
  <c r="AY748" i="49"/>
  <c r="AX748" i="49"/>
  <c r="AW748" i="49"/>
  <c r="AU748" i="49"/>
  <c r="AT748" i="49"/>
  <c r="AS748" i="49"/>
  <c r="AR748" i="49"/>
  <c r="AP748" i="49"/>
  <c r="AO748" i="49"/>
  <c r="AN748" i="49"/>
  <c r="AM748" i="49"/>
  <c r="AK748" i="49"/>
  <c r="AJ748" i="49"/>
  <c r="AI748" i="49"/>
  <c r="AH748" i="49"/>
  <c r="AF748" i="49"/>
  <c r="AE748" i="49"/>
  <c r="AD748" i="49"/>
  <c r="AC748" i="49"/>
  <c r="AA748" i="49"/>
  <c r="Z748" i="49"/>
  <c r="Y748" i="49"/>
  <c r="X748" i="49"/>
  <c r="V748" i="49"/>
  <c r="U748" i="49"/>
  <c r="T748" i="49"/>
  <c r="S748" i="49"/>
  <c r="Q748" i="49"/>
  <c r="P748" i="49"/>
  <c r="CM747" i="49"/>
  <c r="CL747" i="49"/>
  <c r="CK747" i="49"/>
  <c r="CI747" i="49"/>
  <c r="CH747" i="49"/>
  <c r="CG747" i="49"/>
  <c r="CF747" i="49"/>
  <c r="CF778" i="49" s="1"/>
  <c r="CD747" i="49"/>
  <c r="CC747" i="49"/>
  <c r="CB747" i="49"/>
  <c r="CB778" i="49" s="1"/>
  <c r="CA747" i="49"/>
  <c r="CA778" i="49" s="1"/>
  <c r="BY747" i="49"/>
  <c r="BX747" i="49"/>
  <c r="BX778" i="49" s="1"/>
  <c r="BW747" i="49"/>
  <c r="BV747" i="49"/>
  <c r="BV778" i="49" s="1"/>
  <c r="BT747" i="49"/>
  <c r="BT778" i="49" s="1"/>
  <c r="BS747" i="49"/>
  <c r="BS778" i="49" s="1"/>
  <c r="BR747" i="49"/>
  <c r="BR778" i="49" s="1"/>
  <c r="BQ747" i="49"/>
  <c r="BO747" i="49"/>
  <c r="BN747" i="49"/>
  <c r="BN778" i="49" s="1"/>
  <c r="BM747" i="49"/>
  <c r="BM778" i="49" s="1"/>
  <c r="BL747" i="49"/>
  <c r="BL778" i="49" s="1"/>
  <c r="BJ747" i="49"/>
  <c r="BJ778" i="49" s="1"/>
  <c r="BI747" i="49"/>
  <c r="BH747" i="49"/>
  <c r="BH778" i="49" s="1"/>
  <c r="BG747" i="49"/>
  <c r="BE747" i="49"/>
  <c r="BD747" i="49"/>
  <c r="BC747" i="49"/>
  <c r="BC778" i="49" s="1"/>
  <c r="BB747" i="49"/>
  <c r="BB778" i="49" s="1"/>
  <c r="AZ747" i="49"/>
  <c r="AY747" i="49"/>
  <c r="AX747" i="49"/>
  <c r="AX778" i="49" s="1"/>
  <c r="AW747" i="49"/>
  <c r="AU747" i="49"/>
  <c r="AT747" i="49"/>
  <c r="AT778" i="49" s="1"/>
  <c r="AS747" i="49"/>
  <c r="AR747" i="49"/>
  <c r="AP747" i="49"/>
  <c r="AP778" i="49" s="1"/>
  <c r="AO747" i="49"/>
  <c r="AN747" i="49"/>
  <c r="AM747" i="49"/>
  <c r="AK747" i="49"/>
  <c r="AJ747" i="49"/>
  <c r="AJ778" i="49" s="1"/>
  <c r="AI747" i="49"/>
  <c r="AH747" i="49"/>
  <c r="AF747" i="49"/>
  <c r="AF778" i="49" s="1"/>
  <c r="AE747" i="49"/>
  <c r="AE778" i="49" s="1"/>
  <c r="AD747" i="49"/>
  <c r="AD778" i="49" s="1"/>
  <c r="AC747" i="49"/>
  <c r="AA747" i="49"/>
  <c r="Z747" i="49"/>
  <c r="Z778" i="49" s="1"/>
  <c r="Y747" i="49"/>
  <c r="X747" i="49"/>
  <c r="X778" i="49" s="1"/>
  <c r="V747" i="49"/>
  <c r="V778" i="49" s="1"/>
  <c r="U747" i="49"/>
  <c r="T747" i="49"/>
  <c r="T778" i="49" s="1"/>
  <c r="S747" i="49"/>
  <c r="Q747" i="49"/>
  <c r="P747" i="49"/>
  <c r="CM746" i="49"/>
  <c r="CL746" i="49"/>
  <c r="CK746" i="49"/>
  <c r="CI746" i="49"/>
  <c r="CH746" i="49"/>
  <c r="CM741" i="49"/>
  <c r="CL741" i="49"/>
  <c r="CK741" i="49"/>
  <c r="CM740" i="49"/>
  <c r="CL740" i="49"/>
  <c r="CK740" i="49"/>
  <c r="CM739" i="49"/>
  <c r="CL739" i="49"/>
  <c r="CK739" i="49"/>
  <c r="CM738" i="49"/>
  <c r="CL738" i="49"/>
  <c r="CK738" i="49"/>
  <c r="CM737" i="49"/>
  <c r="CL737" i="49"/>
  <c r="CK737" i="49"/>
  <c r="CM736" i="49"/>
  <c r="CL736" i="49"/>
  <c r="CK736" i="49"/>
  <c r="CJ736" i="49"/>
  <c r="CI736" i="49"/>
  <c r="CH736" i="49"/>
  <c r="CM735" i="49"/>
  <c r="CL735" i="49"/>
  <c r="CK735" i="49"/>
  <c r="CI735" i="49"/>
  <c r="CJ735" i="49" s="1"/>
  <c r="CH735" i="49"/>
  <c r="CM734" i="49"/>
  <c r="CL734" i="49"/>
  <c r="CK734" i="49"/>
  <c r="CI734" i="49"/>
  <c r="CJ734" i="49" s="1"/>
  <c r="CH734" i="49"/>
  <c r="CM733" i="49"/>
  <c r="CL733" i="49"/>
  <c r="CK733" i="49"/>
  <c r="CI733" i="49"/>
  <c r="CJ733" i="49" s="1"/>
  <c r="CM732" i="49"/>
  <c r="CL732" i="49"/>
  <c r="CK732" i="49"/>
  <c r="CJ732" i="49"/>
  <c r="CI732" i="49"/>
  <c r="CH732" i="49"/>
  <c r="CM731" i="49"/>
  <c r="CL731" i="49"/>
  <c r="CK731" i="49"/>
  <c r="CI731" i="49"/>
  <c r="CJ731" i="49" s="1"/>
  <c r="CH731" i="49"/>
  <c r="CH729" i="49"/>
  <c r="CG729" i="49"/>
  <c r="CF729" i="49"/>
  <c r="CD729" i="49"/>
  <c r="CE729" i="49" s="1"/>
  <c r="CC729" i="49"/>
  <c r="CB729" i="49"/>
  <c r="CA729" i="49"/>
  <c r="BZ729" i="49"/>
  <c r="BY729" i="49"/>
  <c r="BX729" i="49"/>
  <c r="BW729" i="49"/>
  <c r="BV729" i="49"/>
  <c r="BT729" i="49"/>
  <c r="BU729" i="49" s="1"/>
  <c r="BS729" i="49"/>
  <c r="BR729" i="49"/>
  <c r="BQ729" i="49"/>
  <c r="BO729" i="49"/>
  <c r="BP729" i="49" s="1"/>
  <c r="BN729" i="49"/>
  <c r="BM729" i="49"/>
  <c r="BL729" i="49"/>
  <c r="BJ729" i="49"/>
  <c r="BK729" i="49" s="1"/>
  <c r="BI729" i="49"/>
  <c r="BH729" i="49"/>
  <c r="BG729" i="49"/>
  <c r="BF729" i="49"/>
  <c r="BE729" i="49"/>
  <c r="BD729" i="49"/>
  <c r="BC729" i="49"/>
  <c r="BB729" i="49"/>
  <c r="AZ729" i="49"/>
  <c r="BA729" i="49" s="1"/>
  <c r="AY729" i="49"/>
  <c r="AX729" i="49"/>
  <c r="AW729" i="49"/>
  <c r="AU729" i="49"/>
  <c r="AV729" i="49" s="1"/>
  <c r="AT729" i="49"/>
  <c r="AS729" i="49"/>
  <c r="AR729" i="49"/>
  <c r="AP729" i="49"/>
  <c r="AQ729" i="49" s="1"/>
  <c r="AO729" i="49"/>
  <c r="AN729" i="49"/>
  <c r="AM729" i="49"/>
  <c r="AL729" i="49"/>
  <c r="AK729" i="49"/>
  <c r="AJ729" i="49"/>
  <c r="AI729" i="49"/>
  <c r="AH729" i="49"/>
  <c r="AF729" i="49"/>
  <c r="AG729" i="49" s="1"/>
  <c r="AE729" i="49"/>
  <c r="AD729" i="49"/>
  <c r="AC729" i="49"/>
  <c r="AA729" i="49"/>
  <c r="AB729" i="49" s="1"/>
  <c r="Z729" i="49"/>
  <c r="Y729" i="49"/>
  <c r="X729" i="49"/>
  <c r="V729" i="49"/>
  <c r="W729" i="49" s="1"/>
  <c r="U729" i="49"/>
  <c r="T729" i="49"/>
  <c r="S729" i="49"/>
  <c r="R729" i="49"/>
  <c r="Q729" i="49"/>
  <c r="P729" i="49"/>
  <c r="O729" i="49"/>
  <c r="N729" i="49"/>
  <c r="L729" i="49"/>
  <c r="M729" i="49" s="1"/>
  <c r="K729" i="49"/>
  <c r="J729" i="49"/>
  <c r="I729" i="49"/>
  <c r="H729" i="49"/>
  <c r="CV728" i="49"/>
  <c r="CU728" i="49"/>
  <c r="CN728" i="49"/>
  <c r="CO728" i="49" s="1"/>
  <c r="CM728" i="49"/>
  <c r="CL728" i="49"/>
  <c r="CK728" i="49"/>
  <c r="CI728" i="49"/>
  <c r="CJ728" i="49" s="1"/>
  <c r="CH728" i="49"/>
  <c r="CG728" i="49"/>
  <c r="CF728" i="49"/>
  <c r="CE728" i="49"/>
  <c r="CD728" i="49"/>
  <c r="CC728" i="49"/>
  <c r="CB728" i="49"/>
  <c r="CA728" i="49"/>
  <c r="BY728" i="49"/>
  <c r="BZ728" i="49" s="1"/>
  <c r="BX728" i="49"/>
  <c r="BW728" i="49"/>
  <c r="BV728" i="49"/>
  <c r="CG727" i="49"/>
  <c r="CF727" i="49"/>
  <c r="CD727" i="49"/>
  <c r="CE727" i="49" s="1"/>
  <c r="CC727" i="49"/>
  <c r="CB727" i="49"/>
  <c r="CA727" i="49"/>
  <c r="BZ727" i="49"/>
  <c r="BY727" i="49"/>
  <c r="BX727" i="49"/>
  <c r="BW727" i="49"/>
  <c r="BV727" i="49"/>
  <c r="CG726" i="49"/>
  <c r="CF726" i="49"/>
  <c r="CC726" i="49"/>
  <c r="CB726" i="49"/>
  <c r="CA726" i="49"/>
  <c r="BV726" i="49"/>
  <c r="CG725" i="49"/>
  <c r="CF725" i="49"/>
  <c r="CB725" i="49"/>
  <c r="CA725" i="49"/>
  <c r="BV725" i="49"/>
  <c r="CG724" i="49"/>
  <c r="CF724" i="49"/>
  <c r="CB724" i="49"/>
  <c r="CA724" i="49"/>
  <c r="BV724" i="49"/>
  <c r="CM723" i="49"/>
  <c r="CL723" i="49"/>
  <c r="CK723" i="49"/>
  <c r="CI723" i="49"/>
  <c r="CJ723" i="49" s="1"/>
  <c r="CH723" i="49"/>
  <c r="CG723" i="49"/>
  <c r="CF723" i="49"/>
  <c r="CD723" i="49"/>
  <c r="CE723" i="49" s="1"/>
  <c r="CC723" i="49"/>
  <c r="CB723" i="49"/>
  <c r="CA723" i="49"/>
  <c r="BZ723" i="49"/>
  <c r="BY723" i="49"/>
  <c r="BV723" i="49"/>
  <c r="CM722" i="49"/>
  <c r="CL722" i="49"/>
  <c r="CK722" i="49"/>
  <c r="CI722" i="49"/>
  <c r="CH722" i="49"/>
  <c r="CG722" i="49"/>
  <c r="CF722" i="49"/>
  <c r="CD722" i="49"/>
  <c r="CC722" i="49"/>
  <c r="CB722" i="49"/>
  <c r="CA722" i="49"/>
  <c r="BY722" i="49"/>
  <c r="BX722" i="49"/>
  <c r="BW722" i="49"/>
  <c r="BV722" i="49"/>
  <c r="CM721" i="49"/>
  <c r="CL721" i="49"/>
  <c r="CK721" i="49"/>
  <c r="CJ721" i="49"/>
  <c r="CI721" i="49"/>
  <c r="CH721" i="49"/>
  <c r="CA721" i="49"/>
  <c r="CM720" i="49"/>
  <c r="CL720" i="49"/>
  <c r="CK720" i="49"/>
  <c r="CG720" i="49"/>
  <c r="CF720" i="49"/>
  <c r="CB720" i="49"/>
  <c r="CA720" i="49"/>
  <c r="BY720" i="49"/>
  <c r="BZ720" i="49" s="1"/>
  <c r="BX720" i="49"/>
  <c r="BW720" i="49"/>
  <c r="BV720" i="49"/>
  <c r="CM719" i="49"/>
  <c r="CL719" i="49"/>
  <c r="CK719" i="49"/>
  <c r="CH719" i="49"/>
  <c r="CG719" i="49"/>
  <c r="CF719" i="49"/>
  <c r="CB719" i="49"/>
  <c r="CA719" i="49"/>
  <c r="BZ719" i="49"/>
  <c r="BY719" i="49"/>
  <c r="BX719" i="49"/>
  <c r="BW719" i="49"/>
  <c r="BV719" i="49"/>
  <c r="CM718" i="49"/>
  <c r="CL718" i="49"/>
  <c r="CK718" i="49"/>
  <c r="CG718" i="49"/>
  <c r="CF718" i="49"/>
  <c r="CB718" i="49"/>
  <c r="CA718" i="49"/>
  <c r="BY718" i="49"/>
  <c r="BZ718" i="49" s="1"/>
  <c r="BX718" i="49"/>
  <c r="BW718" i="49"/>
  <c r="BV718" i="49"/>
  <c r="CM717" i="49"/>
  <c r="CL717" i="49"/>
  <c r="CK717" i="49"/>
  <c r="CJ717" i="49"/>
  <c r="CI717" i="49"/>
  <c r="CH717" i="49"/>
  <c r="CG717" i="49"/>
  <c r="CF717" i="49"/>
  <c r="CA717" i="49"/>
  <c r="CM716" i="49"/>
  <c r="CL716" i="49"/>
  <c r="CK716" i="49"/>
  <c r="CI716" i="49"/>
  <c r="CJ716" i="49" s="1"/>
  <c r="CG716" i="49"/>
  <c r="CF716" i="49"/>
  <c r="CB716" i="49"/>
  <c r="CA716" i="49"/>
  <c r="BY716" i="49"/>
  <c r="BZ716" i="49" s="1"/>
  <c r="BX716" i="49"/>
  <c r="BW716" i="49"/>
  <c r="BV716" i="49"/>
  <c r="CM715" i="49"/>
  <c r="CL715" i="49"/>
  <c r="CK715" i="49"/>
  <c r="CG715" i="49"/>
  <c r="CF715" i="49"/>
  <c r="CB715" i="49"/>
  <c r="CA715" i="49"/>
  <c r="BZ715" i="49"/>
  <c r="BY715" i="49"/>
  <c r="BX715" i="49"/>
  <c r="BW715" i="49"/>
  <c r="BV715" i="49"/>
  <c r="CM714" i="49"/>
  <c r="CL714" i="49"/>
  <c r="CK714" i="49"/>
  <c r="CI714" i="49"/>
  <c r="CJ714" i="49" s="1"/>
  <c r="CH714" i="49"/>
  <c r="CG714" i="49"/>
  <c r="CF714" i="49"/>
  <c r="CD714" i="49"/>
  <c r="CE714" i="49" s="1"/>
  <c r="CC714" i="49"/>
  <c r="CB714" i="49"/>
  <c r="CA714" i="49"/>
  <c r="BY714" i="49"/>
  <c r="BZ714" i="49" s="1"/>
  <c r="BX714" i="49"/>
  <c r="BW714" i="49"/>
  <c r="BV714" i="49"/>
  <c r="CM713" i="49"/>
  <c r="CL713" i="49"/>
  <c r="CK713" i="49"/>
  <c r="CJ713" i="49"/>
  <c r="CI713" i="49"/>
  <c r="CH713" i="49"/>
  <c r="CA713" i="49"/>
  <c r="CA743" i="49" s="1"/>
  <c r="BT727" i="49"/>
  <c r="BU727" i="49" s="1"/>
  <c r="BS727" i="49"/>
  <c r="BR727" i="49"/>
  <c r="BQ727" i="49"/>
  <c r="BP727" i="49"/>
  <c r="BO727" i="49"/>
  <c r="BN727" i="49"/>
  <c r="BM727" i="49"/>
  <c r="BL727" i="49"/>
  <c r="BJ727" i="49"/>
  <c r="BK727" i="49" s="1"/>
  <c r="BI727" i="49"/>
  <c r="BH727" i="49"/>
  <c r="BG727" i="49"/>
  <c r="BE727" i="49"/>
  <c r="BF727" i="49" s="1"/>
  <c r="BD727" i="49"/>
  <c r="BC727" i="49"/>
  <c r="BB727" i="49"/>
  <c r="AZ727" i="49"/>
  <c r="BA727" i="49" s="1"/>
  <c r="AY727" i="49"/>
  <c r="AX727" i="49"/>
  <c r="AW727" i="49"/>
  <c r="AV727" i="49"/>
  <c r="AU727" i="49"/>
  <c r="AT727" i="49"/>
  <c r="AS727" i="49"/>
  <c r="AR727" i="49"/>
  <c r="AP727" i="49"/>
  <c r="AQ727" i="49" s="1"/>
  <c r="AO727" i="49"/>
  <c r="AN727" i="49"/>
  <c r="AM727" i="49"/>
  <c r="AK727" i="49"/>
  <c r="AL727" i="49" s="1"/>
  <c r="AJ727" i="49"/>
  <c r="AI727" i="49"/>
  <c r="AH727" i="49"/>
  <c r="AF727" i="49"/>
  <c r="AG727" i="49" s="1"/>
  <c r="AE727" i="49"/>
  <c r="AD727" i="49"/>
  <c r="AC727" i="49"/>
  <c r="AB727" i="49"/>
  <c r="AA727" i="49"/>
  <c r="Z727" i="49"/>
  <c r="Y727" i="49"/>
  <c r="X727" i="49"/>
  <c r="V727" i="49"/>
  <c r="W727" i="49" s="1"/>
  <c r="U727" i="49"/>
  <c r="T727" i="49"/>
  <c r="S727" i="49"/>
  <c r="Q727" i="49"/>
  <c r="R727" i="49" s="1"/>
  <c r="P727" i="49"/>
  <c r="O727" i="49"/>
  <c r="N727" i="49"/>
  <c r="L727" i="49"/>
  <c r="M727" i="49" s="1"/>
  <c r="K727" i="49"/>
  <c r="J727" i="49"/>
  <c r="I727" i="49"/>
  <c r="H727" i="49"/>
  <c r="BT726" i="49"/>
  <c r="BU726" i="49" s="1"/>
  <c r="BS726" i="49"/>
  <c r="BR726" i="49"/>
  <c r="BQ726" i="49"/>
  <c r="BO726" i="49"/>
  <c r="BP726" i="49" s="1"/>
  <c r="BN726" i="49"/>
  <c r="BM726" i="49"/>
  <c r="BL726" i="49"/>
  <c r="BJ726" i="49"/>
  <c r="BK726" i="49" s="1"/>
  <c r="BI726" i="49"/>
  <c r="BH726" i="49"/>
  <c r="BG726" i="49"/>
  <c r="BF726" i="49"/>
  <c r="BE726" i="49"/>
  <c r="BD726" i="49"/>
  <c r="BC726" i="49"/>
  <c r="BB726" i="49"/>
  <c r="AZ726" i="49"/>
  <c r="BA726" i="49" s="1"/>
  <c r="AY726" i="49"/>
  <c r="AX726" i="49"/>
  <c r="AW726" i="49"/>
  <c r="AU726" i="49"/>
  <c r="AV726" i="49" s="1"/>
  <c r="AT726" i="49"/>
  <c r="AS726" i="49"/>
  <c r="AR726" i="49"/>
  <c r="AP726" i="49"/>
  <c r="AQ726" i="49" s="1"/>
  <c r="AO726" i="49"/>
  <c r="AN726" i="49"/>
  <c r="AM726" i="49"/>
  <c r="AL726" i="49"/>
  <c r="AK726" i="49"/>
  <c r="AJ726" i="49"/>
  <c r="AI726" i="49"/>
  <c r="AH726" i="49"/>
  <c r="AF726" i="49"/>
  <c r="AG726" i="49" s="1"/>
  <c r="AE726" i="49"/>
  <c r="AD726" i="49"/>
  <c r="AC726" i="49"/>
  <c r="AA726" i="49"/>
  <c r="AB726" i="49" s="1"/>
  <c r="Y726" i="49"/>
  <c r="X726" i="49"/>
  <c r="V726" i="49"/>
  <c r="W726" i="49" s="1"/>
  <c r="U726" i="49"/>
  <c r="T726" i="49"/>
  <c r="R726" i="49"/>
  <c r="Q726" i="49"/>
  <c r="P726" i="49"/>
  <c r="O726" i="49"/>
  <c r="N726" i="49"/>
  <c r="H726" i="49"/>
  <c r="BT725" i="49"/>
  <c r="BU725" i="49" s="1"/>
  <c r="BS725" i="49"/>
  <c r="BR725" i="49"/>
  <c r="BQ725" i="49"/>
  <c r="BP725" i="49"/>
  <c r="BO725" i="49"/>
  <c r="BN725" i="49"/>
  <c r="BM725" i="49"/>
  <c r="BL725" i="49"/>
  <c r="BJ725" i="49"/>
  <c r="BK725" i="49" s="1"/>
  <c r="BI725" i="49"/>
  <c r="BH725" i="49"/>
  <c r="BG725" i="49"/>
  <c r="BE725" i="49"/>
  <c r="BF725" i="49" s="1"/>
  <c r="BD725" i="49"/>
  <c r="BC725" i="49"/>
  <c r="BB725" i="49"/>
  <c r="AZ725" i="49"/>
  <c r="BA725" i="49" s="1"/>
  <c r="AY725" i="49"/>
  <c r="AX725" i="49"/>
  <c r="AW725" i="49"/>
  <c r="AV725" i="49"/>
  <c r="AU725" i="49"/>
  <c r="AT725" i="49"/>
  <c r="AS725" i="49"/>
  <c r="AR725" i="49"/>
  <c r="AP725" i="49"/>
  <c r="AQ725" i="49" s="1"/>
  <c r="AO725" i="49"/>
  <c r="AN725" i="49"/>
  <c r="AM725" i="49"/>
  <c r="AK725" i="49"/>
  <c r="AL725" i="49" s="1"/>
  <c r="AJ725" i="49"/>
  <c r="AI725" i="49"/>
  <c r="AH725" i="49"/>
  <c r="AF725" i="49"/>
  <c r="AG725" i="49" s="1"/>
  <c r="AE725" i="49"/>
  <c r="AD725" i="49"/>
  <c r="AC725" i="49"/>
  <c r="AB725" i="49"/>
  <c r="AA725" i="49"/>
  <c r="Z725" i="49"/>
  <c r="Y725" i="49"/>
  <c r="X725" i="49"/>
  <c r="V725" i="49"/>
  <c r="W725" i="49" s="1"/>
  <c r="U725" i="49"/>
  <c r="T725" i="49"/>
  <c r="S725" i="49"/>
  <c r="Q725" i="49"/>
  <c r="R725" i="49" s="1"/>
  <c r="P725" i="49"/>
  <c r="O725" i="49"/>
  <c r="N725" i="49"/>
  <c r="L725" i="49"/>
  <c r="M725" i="49" s="1"/>
  <c r="K725" i="49"/>
  <c r="J725" i="49"/>
  <c r="I725" i="49"/>
  <c r="H725" i="49"/>
  <c r="BT724" i="49"/>
  <c r="BU724" i="49" s="1"/>
  <c r="BS724" i="49"/>
  <c r="BR724" i="49"/>
  <c r="BQ724" i="49"/>
  <c r="BO724" i="49"/>
  <c r="BP724" i="49" s="1"/>
  <c r="BN724" i="49"/>
  <c r="BM724" i="49"/>
  <c r="BL724" i="49"/>
  <c r="BJ724" i="49"/>
  <c r="BK724" i="49" s="1"/>
  <c r="BI724" i="49"/>
  <c r="BH724" i="49"/>
  <c r="BG724" i="49"/>
  <c r="BF724" i="49"/>
  <c r="BE724" i="49"/>
  <c r="BD724" i="49"/>
  <c r="BC724" i="49"/>
  <c r="BB724" i="49"/>
  <c r="AZ724" i="49"/>
  <c r="BA724" i="49" s="1"/>
  <c r="AY724" i="49"/>
  <c r="AX724" i="49"/>
  <c r="AW724" i="49"/>
  <c r="AU724" i="49"/>
  <c r="AV724" i="49" s="1"/>
  <c r="AT724" i="49"/>
  <c r="AS724" i="49"/>
  <c r="AR724" i="49"/>
  <c r="AP724" i="49"/>
  <c r="AQ724" i="49" s="1"/>
  <c r="AO724" i="49"/>
  <c r="AN724" i="49"/>
  <c r="AM724" i="49"/>
  <c r="AL724" i="49"/>
  <c r="AK724" i="49"/>
  <c r="AJ724" i="49"/>
  <c r="AI724" i="49"/>
  <c r="AH724" i="49"/>
  <c r="AF724" i="49"/>
  <c r="AG724" i="49" s="1"/>
  <c r="AE724" i="49"/>
  <c r="AD724" i="49"/>
  <c r="AC724" i="49"/>
  <c r="AA724" i="49"/>
  <c r="AB724" i="49" s="1"/>
  <c r="Z724" i="49"/>
  <c r="Y724" i="49"/>
  <c r="X724" i="49"/>
  <c r="V724" i="49"/>
  <c r="W724" i="49" s="1"/>
  <c r="U724" i="49"/>
  <c r="T724" i="49"/>
  <c r="H724" i="49"/>
  <c r="BT723" i="49"/>
  <c r="BU723" i="49" s="1"/>
  <c r="BS723" i="49"/>
  <c r="BR723" i="49"/>
  <c r="BQ723" i="49"/>
  <c r="BP723" i="49"/>
  <c r="BO723" i="49"/>
  <c r="BN723" i="49"/>
  <c r="BM723" i="49"/>
  <c r="BL723" i="49"/>
  <c r="BJ723" i="49"/>
  <c r="BK723" i="49" s="1"/>
  <c r="BI723" i="49"/>
  <c r="BH723" i="49"/>
  <c r="BG723" i="49"/>
  <c r="BE723" i="49"/>
  <c r="BF723" i="49" s="1"/>
  <c r="BD723" i="49"/>
  <c r="BC723" i="49"/>
  <c r="BB723" i="49"/>
  <c r="AZ723" i="49"/>
  <c r="BA723" i="49" s="1"/>
  <c r="AY723" i="49"/>
  <c r="AX723" i="49"/>
  <c r="AW723" i="49"/>
  <c r="AV723" i="49"/>
  <c r="AU723" i="49"/>
  <c r="AT723" i="49"/>
  <c r="AS723" i="49"/>
  <c r="AR723" i="49"/>
  <c r="AP723" i="49"/>
  <c r="AQ723" i="49" s="1"/>
  <c r="AO723" i="49"/>
  <c r="AN723" i="49"/>
  <c r="AM723" i="49"/>
  <c r="AK723" i="49"/>
  <c r="AL723" i="49" s="1"/>
  <c r="AJ723" i="49"/>
  <c r="AI723" i="49"/>
  <c r="AH723" i="49"/>
  <c r="AF723" i="49"/>
  <c r="AG723" i="49" s="1"/>
  <c r="AE723" i="49"/>
  <c r="AD723" i="49"/>
  <c r="AC723" i="49"/>
  <c r="AB723" i="49"/>
  <c r="AA723" i="49"/>
  <c r="Z723" i="49"/>
  <c r="Y723" i="49"/>
  <c r="X723" i="49"/>
  <c r="V723" i="49"/>
  <c r="W723" i="49" s="1"/>
  <c r="U723" i="49"/>
  <c r="T723" i="49"/>
  <c r="P723" i="49"/>
  <c r="O723" i="49"/>
  <c r="N723" i="49"/>
  <c r="L723" i="49"/>
  <c r="M723" i="49" s="1"/>
  <c r="K723" i="49"/>
  <c r="J723" i="49"/>
  <c r="I723" i="49"/>
  <c r="H723" i="49"/>
  <c r="BU722" i="49"/>
  <c r="BT722" i="49"/>
  <c r="BS722" i="49"/>
  <c r="BR722" i="49"/>
  <c r="BQ722" i="49"/>
  <c r="BP722" i="49"/>
  <c r="BO722" i="49"/>
  <c r="BN722" i="49"/>
  <c r="BM722" i="49"/>
  <c r="BL722" i="49"/>
  <c r="BK722" i="49"/>
  <c r="BJ722" i="49"/>
  <c r="BI722" i="49"/>
  <c r="BH722" i="49"/>
  <c r="BG722" i="49"/>
  <c r="BF722" i="49"/>
  <c r="BE722" i="49"/>
  <c r="BD722" i="49"/>
  <c r="BC722" i="49"/>
  <c r="BB722" i="49"/>
  <c r="BA722" i="49"/>
  <c r="AZ722" i="49"/>
  <c r="AY722" i="49"/>
  <c r="AX722" i="49"/>
  <c r="AW722" i="49"/>
  <c r="AV722" i="49"/>
  <c r="AU722" i="49"/>
  <c r="AT722" i="49"/>
  <c r="AS722" i="49"/>
  <c r="AR722" i="49"/>
  <c r="AQ722" i="49"/>
  <c r="AP722" i="49"/>
  <c r="AO722" i="49"/>
  <c r="AN722" i="49"/>
  <c r="AM722" i="49"/>
  <c r="AL722" i="49"/>
  <c r="AK722" i="49"/>
  <c r="AJ722" i="49"/>
  <c r="AI722" i="49"/>
  <c r="AH722" i="49"/>
  <c r="AG722" i="49"/>
  <c r="AF722" i="49"/>
  <c r="AE722" i="49"/>
  <c r="AD722" i="49"/>
  <c r="AC722" i="49"/>
  <c r="AB722" i="49"/>
  <c r="AA722" i="49"/>
  <c r="Z722" i="49"/>
  <c r="Y722" i="49"/>
  <c r="X722" i="49"/>
  <c r="W722" i="49"/>
  <c r="V722" i="49"/>
  <c r="U722" i="49"/>
  <c r="T722" i="49"/>
  <c r="S722" i="49"/>
  <c r="R722" i="49"/>
  <c r="Q722" i="49"/>
  <c r="P722" i="49"/>
  <c r="O722" i="49"/>
  <c r="N722" i="49"/>
  <c r="M722" i="49"/>
  <c r="L722" i="49"/>
  <c r="K722" i="49"/>
  <c r="J722" i="49"/>
  <c r="I722" i="49"/>
  <c r="H722" i="49"/>
  <c r="AR721" i="49"/>
  <c r="AP721" i="49"/>
  <c r="AQ721" i="49" s="1"/>
  <c r="AO721" i="49"/>
  <c r="AN721" i="49"/>
  <c r="AM721" i="49"/>
  <c r="AK721" i="49"/>
  <c r="AL721" i="49" s="1"/>
  <c r="AJ721" i="49"/>
  <c r="AI721" i="49"/>
  <c r="AH721" i="49"/>
  <c r="AF721" i="49"/>
  <c r="AG721" i="49" s="1"/>
  <c r="AE721" i="49"/>
  <c r="AD721" i="49"/>
  <c r="AC721" i="49"/>
  <c r="AB721" i="49"/>
  <c r="AA721" i="49"/>
  <c r="Y721" i="49"/>
  <c r="X721" i="49"/>
  <c r="V721" i="49"/>
  <c r="W721" i="49" s="1"/>
  <c r="U721" i="49"/>
  <c r="T721" i="49"/>
  <c r="P721" i="49"/>
  <c r="H721" i="49"/>
  <c r="BT720" i="49"/>
  <c r="BU720" i="49" s="1"/>
  <c r="BS720" i="49"/>
  <c r="BR720" i="49"/>
  <c r="BQ720" i="49"/>
  <c r="BN720" i="49"/>
  <c r="BM720" i="49"/>
  <c r="BL720" i="49"/>
  <c r="BJ720" i="49"/>
  <c r="BK720" i="49" s="1"/>
  <c r="BI720" i="49"/>
  <c r="BH720" i="49"/>
  <c r="BG720" i="49"/>
  <c r="BF720" i="49"/>
  <c r="BE720" i="49"/>
  <c r="BD720" i="49"/>
  <c r="BC720" i="49"/>
  <c r="BB720" i="49"/>
  <c r="AZ720" i="49"/>
  <c r="BA720" i="49" s="1"/>
  <c r="AY720" i="49"/>
  <c r="AX720" i="49"/>
  <c r="AW720" i="49"/>
  <c r="AU720" i="49"/>
  <c r="AV720" i="49" s="1"/>
  <c r="AT720" i="49"/>
  <c r="AS720" i="49"/>
  <c r="AR720" i="49"/>
  <c r="AP720" i="49"/>
  <c r="AQ720" i="49" s="1"/>
  <c r="AO720" i="49"/>
  <c r="AN720" i="49"/>
  <c r="AM720" i="49"/>
  <c r="AL720" i="49"/>
  <c r="AK720" i="49"/>
  <c r="AJ720" i="49"/>
  <c r="AI720" i="49"/>
  <c r="AH720" i="49"/>
  <c r="AF720" i="49"/>
  <c r="AG720" i="49" s="1"/>
  <c r="AE720" i="49"/>
  <c r="AD720" i="49"/>
  <c r="AC720" i="49"/>
  <c r="AA720" i="49"/>
  <c r="AB720" i="49" s="1"/>
  <c r="Z720" i="49"/>
  <c r="Y720" i="49"/>
  <c r="X720" i="49"/>
  <c r="V720" i="49"/>
  <c r="W720" i="49" s="1"/>
  <c r="U720" i="49"/>
  <c r="T720" i="49"/>
  <c r="S720" i="49"/>
  <c r="R720" i="49"/>
  <c r="Q720" i="49"/>
  <c r="P720" i="49"/>
  <c r="O720" i="49"/>
  <c r="N720" i="49"/>
  <c r="L720" i="49"/>
  <c r="M720" i="49" s="1"/>
  <c r="K720" i="49"/>
  <c r="J720" i="49"/>
  <c r="I720" i="49"/>
  <c r="H720" i="49"/>
  <c r="BT719" i="49"/>
  <c r="BU719" i="49" s="1"/>
  <c r="BS719" i="49"/>
  <c r="BR719" i="49"/>
  <c r="BQ719" i="49"/>
  <c r="BN719" i="49"/>
  <c r="BM719" i="49"/>
  <c r="BL719" i="49"/>
  <c r="BJ719" i="49"/>
  <c r="BK719" i="49" s="1"/>
  <c r="BI719" i="49"/>
  <c r="BH719" i="49"/>
  <c r="BG719" i="49"/>
  <c r="BE719" i="49"/>
  <c r="BF719" i="49" s="1"/>
  <c r="BD719" i="49"/>
  <c r="BC719" i="49"/>
  <c r="BB719" i="49"/>
  <c r="AZ719" i="49"/>
  <c r="BA719" i="49" s="1"/>
  <c r="AY719" i="49"/>
  <c r="AX719" i="49"/>
  <c r="AW719" i="49"/>
  <c r="AV719" i="49"/>
  <c r="AU719" i="49"/>
  <c r="AT719" i="49"/>
  <c r="AS719" i="49"/>
  <c r="AR719" i="49"/>
  <c r="AP719" i="49"/>
  <c r="AQ719" i="49" s="1"/>
  <c r="AO719" i="49"/>
  <c r="AN719" i="49"/>
  <c r="AM719" i="49"/>
  <c r="AK719" i="49"/>
  <c r="AL719" i="49" s="1"/>
  <c r="AJ719" i="49"/>
  <c r="AI719" i="49"/>
  <c r="AH719" i="49"/>
  <c r="AF719" i="49"/>
  <c r="AG719" i="49" s="1"/>
  <c r="AE719" i="49"/>
  <c r="AD719" i="49"/>
  <c r="AC719" i="49"/>
  <c r="AB719" i="49"/>
  <c r="AA719" i="49"/>
  <c r="Z719" i="49"/>
  <c r="Y719" i="49"/>
  <c r="X719" i="49"/>
  <c r="V719" i="49"/>
  <c r="W719" i="49" s="1"/>
  <c r="U719" i="49"/>
  <c r="T719" i="49"/>
  <c r="S719" i="49"/>
  <c r="Q719" i="49"/>
  <c r="R719" i="49" s="1"/>
  <c r="P719" i="49"/>
  <c r="O719" i="49"/>
  <c r="N719" i="49"/>
  <c r="L719" i="49"/>
  <c r="M719" i="49" s="1"/>
  <c r="K719" i="49"/>
  <c r="J719" i="49"/>
  <c r="I719" i="49"/>
  <c r="H719" i="49"/>
  <c r="BT718" i="49"/>
  <c r="BU718" i="49" s="1"/>
  <c r="BS718" i="49"/>
  <c r="BR718" i="49"/>
  <c r="BQ718" i="49"/>
  <c r="BN718" i="49"/>
  <c r="BM718" i="49"/>
  <c r="BL718" i="49"/>
  <c r="BJ718" i="49"/>
  <c r="BK718" i="49" s="1"/>
  <c r="BI718" i="49"/>
  <c r="BH718" i="49"/>
  <c r="BG718" i="49"/>
  <c r="BF718" i="49"/>
  <c r="BE718" i="49"/>
  <c r="BD718" i="49"/>
  <c r="BC718" i="49"/>
  <c r="BB718" i="49"/>
  <c r="AZ718" i="49"/>
  <c r="BA718" i="49" s="1"/>
  <c r="AY718" i="49"/>
  <c r="AX718" i="49"/>
  <c r="AW718" i="49"/>
  <c r="AU718" i="49"/>
  <c r="AV718" i="49" s="1"/>
  <c r="AT718" i="49"/>
  <c r="AS718" i="49"/>
  <c r="AR718" i="49"/>
  <c r="AP718" i="49"/>
  <c r="AQ718" i="49" s="1"/>
  <c r="AO718" i="49"/>
  <c r="AN718" i="49"/>
  <c r="AM718" i="49"/>
  <c r="AL718" i="49"/>
  <c r="AK718" i="49"/>
  <c r="AJ718" i="49"/>
  <c r="AI718" i="49"/>
  <c r="AH718" i="49"/>
  <c r="AF718" i="49"/>
  <c r="AG718" i="49" s="1"/>
  <c r="AE718" i="49"/>
  <c r="AD718" i="49"/>
  <c r="AC718" i="49"/>
  <c r="AA718" i="49"/>
  <c r="AB718" i="49" s="1"/>
  <c r="Z718" i="49"/>
  <c r="Y718" i="49"/>
  <c r="X718" i="49"/>
  <c r="V718" i="49"/>
  <c r="W718" i="49" s="1"/>
  <c r="U718" i="49"/>
  <c r="T718" i="49"/>
  <c r="S718" i="49"/>
  <c r="R718" i="49"/>
  <c r="Q718" i="49"/>
  <c r="P718" i="49"/>
  <c r="O718" i="49"/>
  <c r="N718" i="49"/>
  <c r="L718" i="49"/>
  <c r="M718" i="49" s="1"/>
  <c r="K718" i="49"/>
  <c r="J718" i="49"/>
  <c r="I718" i="49"/>
  <c r="H718" i="49"/>
  <c r="BT717" i="49"/>
  <c r="BU717" i="49" s="1"/>
  <c r="BD717" i="49"/>
  <c r="AP717" i="49"/>
  <c r="AQ717" i="49" s="1"/>
  <c r="AO717" i="49"/>
  <c r="AN717" i="49"/>
  <c r="AM717" i="49"/>
  <c r="AK717" i="49"/>
  <c r="AL717" i="49" s="1"/>
  <c r="AJ717" i="49"/>
  <c r="AI717" i="49"/>
  <c r="AH717" i="49"/>
  <c r="AF717" i="49"/>
  <c r="AG717" i="49" s="1"/>
  <c r="AE717" i="49"/>
  <c r="AD717" i="49"/>
  <c r="AC717" i="49"/>
  <c r="AB717" i="49"/>
  <c r="AA717" i="49"/>
  <c r="Z717" i="49"/>
  <c r="Y717" i="49"/>
  <c r="X717" i="49"/>
  <c r="V717" i="49"/>
  <c r="W717" i="49" s="1"/>
  <c r="U717" i="49"/>
  <c r="T717" i="49"/>
  <c r="S717" i="49"/>
  <c r="Q717" i="49"/>
  <c r="R717" i="49" s="1"/>
  <c r="P717" i="49"/>
  <c r="O717" i="49"/>
  <c r="N717" i="49"/>
  <c r="L717" i="49"/>
  <c r="M717" i="49" s="1"/>
  <c r="K717" i="49"/>
  <c r="J717" i="49"/>
  <c r="I717" i="49"/>
  <c r="H717" i="49"/>
  <c r="BT716" i="49"/>
  <c r="BU716" i="49" s="1"/>
  <c r="BS716" i="49"/>
  <c r="BR716" i="49"/>
  <c r="BQ716" i="49"/>
  <c r="BN716" i="49"/>
  <c r="BM716" i="49"/>
  <c r="BL716" i="49"/>
  <c r="BJ716" i="49"/>
  <c r="BK716" i="49" s="1"/>
  <c r="BI716" i="49"/>
  <c r="BH716" i="49"/>
  <c r="BG716" i="49"/>
  <c r="BF716" i="49"/>
  <c r="BE716" i="49"/>
  <c r="BD716" i="49"/>
  <c r="BC716" i="49"/>
  <c r="BB716" i="49"/>
  <c r="AZ716" i="49"/>
  <c r="BA716" i="49" s="1"/>
  <c r="AY716" i="49"/>
  <c r="AX716" i="49"/>
  <c r="AW716" i="49"/>
  <c r="AU716" i="49"/>
  <c r="AV716" i="49" s="1"/>
  <c r="AT716" i="49"/>
  <c r="AS716" i="49"/>
  <c r="AR716" i="49"/>
  <c r="AP716" i="49"/>
  <c r="AQ716" i="49" s="1"/>
  <c r="AO716" i="49"/>
  <c r="AN716" i="49"/>
  <c r="AM716" i="49"/>
  <c r="AL716" i="49"/>
  <c r="AK716" i="49"/>
  <c r="AJ716" i="49"/>
  <c r="AI716" i="49"/>
  <c r="AH716" i="49"/>
  <c r="AF716" i="49"/>
  <c r="AG716" i="49" s="1"/>
  <c r="AE716" i="49"/>
  <c r="AD716" i="49"/>
  <c r="AC716" i="49"/>
  <c r="AA716" i="49"/>
  <c r="AB716" i="49" s="1"/>
  <c r="Z716" i="49"/>
  <c r="Y716" i="49"/>
  <c r="X716" i="49"/>
  <c r="V716" i="49"/>
  <c r="W716" i="49" s="1"/>
  <c r="U716" i="49"/>
  <c r="T716" i="49"/>
  <c r="S716" i="49"/>
  <c r="R716" i="49"/>
  <c r="Q716" i="49"/>
  <c r="P716" i="49"/>
  <c r="O716" i="49"/>
  <c r="N716" i="49"/>
  <c r="L716" i="49"/>
  <c r="M716" i="49" s="1"/>
  <c r="K716" i="49"/>
  <c r="J716" i="49"/>
  <c r="I716" i="49"/>
  <c r="H716" i="49"/>
  <c r="BT715" i="49"/>
  <c r="BU715" i="49" s="1"/>
  <c r="BS715" i="49"/>
  <c r="BR715" i="49"/>
  <c r="BQ715" i="49"/>
  <c r="BN715" i="49"/>
  <c r="BM715" i="49"/>
  <c r="BL715" i="49"/>
  <c r="BJ715" i="49"/>
  <c r="BK715" i="49" s="1"/>
  <c r="BI715" i="49"/>
  <c r="BH715" i="49"/>
  <c r="BG715" i="49"/>
  <c r="BE715" i="49"/>
  <c r="BF715" i="49" s="1"/>
  <c r="BD715" i="49"/>
  <c r="BC715" i="49"/>
  <c r="BB715" i="49"/>
  <c r="AZ715" i="49"/>
  <c r="BA715" i="49" s="1"/>
  <c r="AY715" i="49"/>
  <c r="AX715" i="49"/>
  <c r="AW715" i="49"/>
  <c r="AV715" i="49"/>
  <c r="AU715" i="49"/>
  <c r="AT715" i="49"/>
  <c r="AS715" i="49"/>
  <c r="AR715" i="49"/>
  <c r="AP715" i="49"/>
  <c r="AQ715" i="49" s="1"/>
  <c r="AO715" i="49"/>
  <c r="AN715" i="49"/>
  <c r="AM715" i="49"/>
  <c r="AK715" i="49"/>
  <c r="AL715" i="49" s="1"/>
  <c r="AJ715" i="49"/>
  <c r="AI715" i="49"/>
  <c r="AH715" i="49"/>
  <c r="AF715" i="49"/>
  <c r="AG715" i="49" s="1"/>
  <c r="AE715" i="49"/>
  <c r="AD715" i="49"/>
  <c r="AC715" i="49"/>
  <c r="AB715" i="49"/>
  <c r="AA715" i="49"/>
  <c r="Z715" i="49"/>
  <c r="Y715" i="49"/>
  <c r="X715" i="49"/>
  <c r="V715" i="49"/>
  <c r="W715" i="49" s="1"/>
  <c r="U715" i="49"/>
  <c r="T715" i="49"/>
  <c r="S715" i="49"/>
  <c r="Q715" i="49"/>
  <c r="R715" i="49" s="1"/>
  <c r="P715" i="49"/>
  <c r="O715" i="49"/>
  <c r="N715" i="49"/>
  <c r="L715" i="49"/>
  <c r="M715" i="49" s="1"/>
  <c r="K715" i="49"/>
  <c r="J715" i="49"/>
  <c r="I715" i="49"/>
  <c r="H715" i="49"/>
  <c r="BT714" i="49"/>
  <c r="BU714" i="49" s="1"/>
  <c r="BS714" i="49"/>
  <c r="BR714" i="49"/>
  <c r="BQ714" i="49"/>
  <c r="BO714" i="49"/>
  <c r="BP714" i="49" s="1"/>
  <c r="BN714" i="49"/>
  <c r="BM714" i="49"/>
  <c r="BL714" i="49"/>
  <c r="BJ714" i="49"/>
  <c r="BK714" i="49" s="1"/>
  <c r="BI714" i="49"/>
  <c r="BH714" i="49"/>
  <c r="BG714" i="49"/>
  <c r="BF714" i="49"/>
  <c r="BE714" i="49"/>
  <c r="BD714" i="49"/>
  <c r="BC714" i="49"/>
  <c r="BB714" i="49"/>
  <c r="AZ714" i="49"/>
  <c r="BA714" i="49" s="1"/>
  <c r="AY714" i="49"/>
  <c r="AX714" i="49"/>
  <c r="AW714" i="49"/>
  <c r="AU714" i="49"/>
  <c r="AV714" i="49" s="1"/>
  <c r="AT714" i="49"/>
  <c r="AS714" i="49"/>
  <c r="AR714" i="49"/>
  <c r="AP714" i="49"/>
  <c r="AQ714" i="49" s="1"/>
  <c r="AO714" i="49"/>
  <c r="AN714" i="49"/>
  <c r="AM714" i="49"/>
  <c r="AL714" i="49"/>
  <c r="AK714" i="49"/>
  <c r="AJ714" i="49"/>
  <c r="AI714" i="49"/>
  <c r="AH714" i="49"/>
  <c r="AF714" i="49"/>
  <c r="AG714" i="49" s="1"/>
  <c r="AE714" i="49"/>
  <c r="AD714" i="49"/>
  <c r="AC714" i="49"/>
  <c r="AA714" i="49"/>
  <c r="AB714" i="49" s="1"/>
  <c r="Z714" i="49"/>
  <c r="Y714" i="49"/>
  <c r="X714" i="49"/>
  <c r="V714" i="49"/>
  <c r="W714" i="49" s="1"/>
  <c r="U714" i="49"/>
  <c r="T714" i="49"/>
  <c r="S714" i="49"/>
  <c r="R714" i="49"/>
  <c r="Q714" i="49"/>
  <c r="P714" i="49"/>
  <c r="O714" i="49"/>
  <c r="N714" i="49"/>
  <c r="L714" i="49"/>
  <c r="M714" i="49" s="1"/>
  <c r="K714" i="49"/>
  <c r="J714" i="49"/>
  <c r="I714" i="49"/>
  <c r="H714" i="49"/>
  <c r="AO713" i="49"/>
  <c r="AO743" i="49" s="1"/>
  <c r="AN713" i="49"/>
  <c r="AN743" i="49" s="1"/>
  <c r="AM713" i="49"/>
  <c r="AM743" i="49" s="1"/>
  <c r="AK713" i="49"/>
  <c r="AL713" i="49" s="1"/>
  <c r="AJ713" i="49"/>
  <c r="AI713" i="49"/>
  <c r="AI743" i="49" s="1"/>
  <c r="AH713" i="49"/>
  <c r="AH743" i="49" s="1"/>
  <c r="AF713" i="49"/>
  <c r="AG713" i="49" s="1"/>
  <c r="AE713" i="49"/>
  <c r="AE743" i="49" s="1"/>
  <c r="AD713" i="49"/>
  <c r="AC713" i="49"/>
  <c r="AC743" i="49" s="1"/>
  <c r="AB713" i="49"/>
  <c r="AA713" i="49"/>
  <c r="AA743" i="49" s="1"/>
  <c r="Y713" i="49"/>
  <c r="Y743" i="49" s="1"/>
  <c r="X713" i="49"/>
  <c r="X743" i="49" s="1"/>
  <c r="V713" i="49"/>
  <c r="W713" i="49" s="1"/>
  <c r="U713" i="49"/>
  <c r="U743" i="49" s="1"/>
  <c r="T713" i="49"/>
  <c r="T743" i="49" s="1"/>
  <c r="P713" i="49"/>
  <c r="CM712" i="49"/>
  <c r="CL712" i="49"/>
  <c r="CK712" i="49"/>
  <c r="CI712" i="49"/>
  <c r="CH712" i="49"/>
  <c r="AL709" i="49"/>
  <c r="AK709" i="49"/>
  <c r="AJ709" i="49"/>
  <c r="AI709" i="49"/>
  <c r="AH709" i="49"/>
  <c r="AG709" i="49"/>
  <c r="AF709" i="49"/>
  <c r="AE709" i="49"/>
  <c r="AD709" i="49"/>
  <c r="AC709" i="49"/>
  <c r="AB709" i="49"/>
  <c r="AA709" i="49"/>
  <c r="Z709" i="49"/>
  <c r="Y709" i="49"/>
  <c r="X709" i="49"/>
  <c r="W709" i="49"/>
  <c r="V709" i="49"/>
  <c r="U709" i="49"/>
  <c r="T709" i="49"/>
  <c r="S709" i="49"/>
  <c r="R709" i="49"/>
  <c r="Q709" i="49"/>
  <c r="P709" i="49"/>
  <c r="O709" i="49"/>
  <c r="N709" i="49"/>
  <c r="M709" i="49"/>
  <c r="L709" i="49"/>
  <c r="K709" i="49"/>
  <c r="J709" i="49"/>
  <c r="I709" i="49"/>
  <c r="H709" i="49"/>
  <c r="G709" i="49"/>
  <c r="F709" i="49"/>
  <c r="E709" i="49"/>
  <c r="D709" i="49"/>
  <c r="CA703" i="49"/>
  <c r="AM703" i="49"/>
  <c r="AE703" i="49"/>
  <c r="CJ702" i="49"/>
  <c r="CJ701" i="49"/>
  <c r="CJ690" i="49"/>
  <c r="CO702" i="49"/>
  <c r="CO701" i="49"/>
  <c r="CP701" i="49" s="1"/>
  <c r="CN696" i="49"/>
  <c r="CM699" i="49"/>
  <c r="CL699" i="49"/>
  <c r="CK699" i="49"/>
  <c r="CM698" i="49"/>
  <c r="CL698" i="49"/>
  <c r="CK698" i="49"/>
  <c r="CM697" i="49"/>
  <c r="CL697" i="49"/>
  <c r="CK697" i="49"/>
  <c r="CM696" i="49"/>
  <c r="CL696" i="49"/>
  <c r="CK696" i="49"/>
  <c r="CK695" i="49"/>
  <c r="CM694" i="49"/>
  <c r="CL694" i="49"/>
  <c r="CK694" i="49"/>
  <c r="CK693" i="49"/>
  <c r="CM692" i="49"/>
  <c r="CL692" i="49"/>
  <c r="CK692" i="49"/>
  <c r="CM691" i="49"/>
  <c r="CL691" i="49"/>
  <c r="CK691" i="49"/>
  <c r="CM690" i="49"/>
  <c r="CL690" i="49"/>
  <c r="CK690" i="49"/>
  <c r="CI694" i="49"/>
  <c r="CH694" i="49"/>
  <c r="CI692" i="49"/>
  <c r="CH692" i="49"/>
  <c r="CI691" i="49"/>
  <c r="CH691" i="49"/>
  <c r="CI690" i="49"/>
  <c r="CH690" i="49"/>
  <c r="CG688" i="49"/>
  <c r="CF688" i="49"/>
  <c r="CD688" i="49"/>
  <c r="CC688" i="49"/>
  <c r="CB688" i="49"/>
  <c r="CA688" i="49"/>
  <c r="BY688" i="49"/>
  <c r="BX688" i="49"/>
  <c r="BW688" i="49"/>
  <c r="BV688" i="49"/>
  <c r="BT688" i="49"/>
  <c r="BS688" i="49"/>
  <c r="BR688" i="49"/>
  <c r="BQ688" i="49"/>
  <c r="BO688" i="49"/>
  <c r="BN688" i="49"/>
  <c r="BM688" i="49"/>
  <c r="BL688" i="49"/>
  <c r="BJ688" i="49"/>
  <c r="BI688" i="49"/>
  <c r="BH688" i="49"/>
  <c r="BG688" i="49"/>
  <c r="BE688" i="49"/>
  <c r="BD688" i="49"/>
  <c r="BC688" i="49"/>
  <c r="BB688" i="49"/>
  <c r="BA688" i="49"/>
  <c r="AZ688" i="49"/>
  <c r="AY688" i="49"/>
  <c r="AX688" i="49"/>
  <c r="AW688" i="49"/>
  <c r="AU688" i="49"/>
  <c r="AT688" i="49"/>
  <c r="AS688" i="49"/>
  <c r="AR688" i="49"/>
  <c r="AP688" i="49"/>
  <c r="AO688" i="49"/>
  <c r="AN688" i="49"/>
  <c r="AM688" i="49"/>
  <c r="AK688" i="49"/>
  <c r="AJ688" i="49"/>
  <c r="AI688" i="49"/>
  <c r="AH688" i="49"/>
  <c r="AF688" i="49"/>
  <c r="AE688" i="49"/>
  <c r="AD688" i="49"/>
  <c r="AC688" i="49"/>
  <c r="AA688" i="49"/>
  <c r="Z688" i="49"/>
  <c r="Y688" i="49"/>
  <c r="X688" i="49"/>
  <c r="V688" i="49"/>
  <c r="U688" i="49"/>
  <c r="T688" i="49"/>
  <c r="S688" i="49"/>
  <c r="Q688" i="49"/>
  <c r="CV687" i="49"/>
  <c r="CU687" i="49"/>
  <c r="CS687" i="49"/>
  <c r="CR687" i="49"/>
  <c r="CQ687" i="49"/>
  <c r="CP687" i="49"/>
  <c r="CN687" i="49"/>
  <c r="CM687" i="49"/>
  <c r="CL687" i="49"/>
  <c r="CK687" i="49"/>
  <c r="CI687" i="49"/>
  <c r="CH687" i="49"/>
  <c r="CG687" i="49"/>
  <c r="CF687" i="49"/>
  <c r="CD687" i="49"/>
  <c r="CC687" i="49"/>
  <c r="CB687" i="49"/>
  <c r="CA687" i="49"/>
  <c r="BY687" i="49"/>
  <c r="BX687" i="49"/>
  <c r="BW687" i="49"/>
  <c r="BV687" i="49"/>
  <c r="BT687" i="49"/>
  <c r="BS687" i="49"/>
  <c r="BR687" i="49"/>
  <c r="BQ687" i="49"/>
  <c r="CG686" i="49"/>
  <c r="CF686" i="49"/>
  <c r="CD686" i="49"/>
  <c r="CC686" i="49"/>
  <c r="CB686" i="49"/>
  <c r="CA686" i="49"/>
  <c r="BY686" i="49"/>
  <c r="BX686" i="49"/>
  <c r="BW686" i="49"/>
  <c r="BV686" i="49"/>
  <c r="BT686" i="49"/>
  <c r="BS686" i="49"/>
  <c r="BR686" i="49"/>
  <c r="BQ686" i="49"/>
  <c r="CG685" i="49"/>
  <c r="CF685" i="49"/>
  <c r="CD685" i="49"/>
  <c r="CC685" i="49"/>
  <c r="CB685" i="49"/>
  <c r="CA685" i="49"/>
  <c r="BY685" i="49"/>
  <c r="BX685" i="49"/>
  <c r="BW685" i="49"/>
  <c r="BV685" i="49"/>
  <c r="BT685" i="49"/>
  <c r="BS685" i="49"/>
  <c r="BR685" i="49"/>
  <c r="BQ685" i="49"/>
  <c r="CH684" i="49"/>
  <c r="CG684" i="49"/>
  <c r="CF684" i="49"/>
  <c r="CD684" i="49"/>
  <c r="CC684" i="49"/>
  <c r="CB684" i="49"/>
  <c r="CA684" i="49"/>
  <c r="BY684" i="49"/>
  <c r="BX684" i="49"/>
  <c r="BW684" i="49"/>
  <c r="BV684" i="49"/>
  <c r="BU684" i="49"/>
  <c r="BT684" i="49"/>
  <c r="BS684" i="49"/>
  <c r="BR684" i="49"/>
  <c r="BQ684" i="49"/>
  <c r="CG683" i="49"/>
  <c r="CF683" i="49"/>
  <c r="CD683" i="49"/>
  <c r="CC683" i="49"/>
  <c r="CB683" i="49"/>
  <c r="CA683" i="49"/>
  <c r="BY683" i="49"/>
  <c r="BX683" i="49"/>
  <c r="BW683" i="49"/>
  <c r="BV683" i="49"/>
  <c r="BT683" i="49"/>
  <c r="BS683" i="49"/>
  <c r="BR683" i="49"/>
  <c r="BQ683" i="49"/>
  <c r="CM682" i="49"/>
  <c r="CL682" i="49"/>
  <c r="CK682" i="49"/>
  <c r="CI682" i="49"/>
  <c r="CH682" i="49"/>
  <c r="CG682" i="49"/>
  <c r="CF682" i="49"/>
  <c r="CD682" i="49"/>
  <c r="CC682" i="49"/>
  <c r="CB682" i="49"/>
  <c r="CA682" i="49"/>
  <c r="BY682" i="49"/>
  <c r="BX682" i="49"/>
  <c r="BW682" i="49"/>
  <c r="BV682" i="49"/>
  <c r="BU682" i="49"/>
  <c r="BT682" i="49"/>
  <c r="BS682" i="49"/>
  <c r="BR682" i="49"/>
  <c r="BQ682" i="49"/>
  <c r="CM681" i="49"/>
  <c r="CL681" i="49"/>
  <c r="CK681" i="49"/>
  <c r="CI681" i="49"/>
  <c r="CH681" i="49"/>
  <c r="CG681" i="49"/>
  <c r="CF681" i="49"/>
  <c r="CD681" i="49"/>
  <c r="CC681" i="49"/>
  <c r="CB681" i="49"/>
  <c r="CA681" i="49"/>
  <c r="BZ681" i="49"/>
  <c r="BY681" i="49"/>
  <c r="BX681" i="49"/>
  <c r="BW681" i="49"/>
  <c r="BV681" i="49"/>
  <c r="BU681" i="49"/>
  <c r="BT681" i="49"/>
  <c r="BS681" i="49"/>
  <c r="BR681" i="49"/>
  <c r="BQ681" i="49"/>
  <c r="CM680" i="49"/>
  <c r="CL680" i="49"/>
  <c r="CK680" i="49"/>
  <c r="CI680" i="49"/>
  <c r="CH680" i="49"/>
  <c r="CG680" i="49"/>
  <c r="CF680" i="49"/>
  <c r="CD680" i="49"/>
  <c r="CC680" i="49"/>
  <c r="CB680" i="49"/>
  <c r="CA680" i="49"/>
  <c r="BY680" i="49"/>
  <c r="BX680" i="49"/>
  <c r="BW680" i="49"/>
  <c r="BV680" i="49"/>
  <c r="BT680" i="49"/>
  <c r="BS680" i="49"/>
  <c r="BR680" i="49"/>
  <c r="CK679" i="49"/>
  <c r="CJ679" i="49"/>
  <c r="CI679" i="49"/>
  <c r="CH679" i="49"/>
  <c r="CG679" i="49"/>
  <c r="CF679" i="49"/>
  <c r="CD679" i="49"/>
  <c r="CC679" i="49"/>
  <c r="CB679" i="49"/>
  <c r="CA679" i="49"/>
  <c r="BY679" i="49"/>
  <c r="BX679" i="49"/>
  <c r="BW679" i="49"/>
  <c r="BV679" i="49"/>
  <c r="BT679" i="49"/>
  <c r="BS679" i="49"/>
  <c r="BR679" i="49"/>
  <c r="BQ679" i="49"/>
  <c r="CK678" i="49"/>
  <c r="CJ678" i="49"/>
  <c r="CI678" i="49"/>
  <c r="CH678" i="49"/>
  <c r="CG678" i="49"/>
  <c r="CF678" i="49"/>
  <c r="CD678" i="49"/>
  <c r="CC678" i="49"/>
  <c r="CB678" i="49"/>
  <c r="CA678" i="49"/>
  <c r="BY678" i="49"/>
  <c r="BX678" i="49"/>
  <c r="BW678" i="49"/>
  <c r="BV678" i="49"/>
  <c r="BT678" i="49"/>
  <c r="BS678" i="49"/>
  <c r="BR678" i="49"/>
  <c r="BQ678" i="49"/>
  <c r="CM677" i="49"/>
  <c r="CL677" i="49"/>
  <c r="CK677" i="49"/>
  <c r="CI677" i="49"/>
  <c r="CH677" i="49"/>
  <c r="CG677" i="49"/>
  <c r="CF677" i="49"/>
  <c r="CD677" i="49"/>
  <c r="CC677" i="49"/>
  <c r="CB677" i="49"/>
  <c r="CA677" i="49"/>
  <c r="BY677" i="49"/>
  <c r="BX677" i="49"/>
  <c r="BW677" i="49"/>
  <c r="BV677" i="49"/>
  <c r="BT677" i="49"/>
  <c r="BS677" i="49"/>
  <c r="BR677" i="49"/>
  <c r="BQ677" i="49"/>
  <c r="CK676" i="49"/>
  <c r="CI676" i="49"/>
  <c r="CH676" i="49"/>
  <c r="CG676" i="49"/>
  <c r="CF676" i="49"/>
  <c r="CD676" i="49"/>
  <c r="CB676" i="49"/>
  <c r="CA676" i="49"/>
  <c r="BX676" i="49"/>
  <c r="BR676" i="49"/>
  <c r="CN675" i="49"/>
  <c r="CM675" i="49"/>
  <c r="CL675" i="49"/>
  <c r="CK675" i="49"/>
  <c r="CJ675" i="49"/>
  <c r="CI675" i="49"/>
  <c r="CH675" i="49"/>
  <c r="CG675" i="49"/>
  <c r="CF675" i="49"/>
  <c r="CD675" i="49"/>
  <c r="CC675" i="49"/>
  <c r="CB675" i="49"/>
  <c r="CA675" i="49"/>
  <c r="BY675" i="49"/>
  <c r="BX675" i="49"/>
  <c r="BW675" i="49"/>
  <c r="BV675" i="49"/>
  <c r="BT675" i="49"/>
  <c r="BS675" i="49"/>
  <c r="BR675" i="49"/>
  <c r="BQ675" i="49"/>
  <c r="CM674" i="49"/>
  <c r="CL674" i="49"/>
  <c r="CK674" i="49"/>
  <c r="CI674" i="49"/>
  <c r="CH674" i="49"/>
  <c r="CG674" i="49"/>
  <c r="CF674" i="49"/>
  <c r="CD674" i="49"/>
  <c r="CC674" i="49"/>
  <c r="CB674" i="49"/>
  <c r="CA674" i="49"/>
  <c r="BY674" i="49"/>
  <c r="BX674" i="49"/>
  <c r="BW674" i="49"/>
  <c r="BV674" i="49"/>
  <c r="BT674" i="49"/>
  <c r="BS674" i="49"/>
  <c r="BR674" i="49"/>
  <c r="BQ674" i="49"/>
  <c r="CM673" i="49"/>
  <c r="CL673" i="49"/>
  <c r="CK673" i="49"/>
  <c r="CI673" i="49"/>
  <c r="CH673" i="49"/>
  <c r="CG673" i="49"/>
  <c r="CF673" i="49"/>
  <c r="CD673" i="49"/>
  <c r="CC673" i="49"/>
  <c r="CB673" i="49"/>
  <c r="CA673" i="49"/>
  <c r="BY673" i="49"/>
  <c r="BX673" i="49"/>
  <c r="BW673" i="49"/>
  <c r="BV673" i="49"/>
  <c r="BU673" i="49"/>
  <c r="BT673" i="49"/>
  <c r="BS673" i="49"/>
  <c r="BR673" i="49"/>
  <c r="BQ673" i="49"/>
  <c r="CM672" i="49"/>
  <c r="CL672" i="49"/>
  <c r="CK672" i="49"/>
  <c r="CI672" i="49"/>
  <c r="CH672" i="49"/>
  <c r="CG672" i="49"/>
  <c r="CF672" i="49"/>
  <c r="CD672" i="49"/>
  <c r="CC672" i="49"/>
  <c r="CB672" i="49"/>
  <c r="CA672" i="49"/>
  <c r="BY672" i="49"/>
  <c r="BX672" i="49"/>
  <c r="BW672" i="49"/>
  <c r="BV672" i="49"/>
  <c r="BT672" i="49"/>
  <c r="BS672" i="49"/>
  <c r="BR672" i="49"/>
  <c r="BR703" i="49" s="1"/>
  <c r="BQ672" i="49"/>
  <c r="BO686" i="49"/>
  <c r="BN686" i="49"/>
  <c r="BM686" i="49"/>
  <c r="BL686" i="49"/>
  <c r="BJ686" i="49"/>
  <c r="BI686" i="49"/>
  <c r="BH686" i="49"/>
  <c r="BG686" i="49"/>
  <c r="BE686" i="49"/>
  <c r="BD686" i="49"/>
  <c r="BC686" i="49"/>
  <c r="BB686" i="49"/>
  <c r="BA686" i="49"/>
  <c r="AZ686" i="49"/>
  <c r="AY686" i="49"/>
  <c r="AX686" i="49"/>
  <c r="AW686" i="49"/>
  <c r="AU686" i="49"/>
  <c r="AT686" i="49"/>
  <c r="AS686" i="49"/>
  <c r="AR686" i="49"/>
  <c r="AP686" i="49"/>
  <c r="AO686" i="49"/>
  <c r="AN686" i="49"/>
  <c r="AM686" i="49"/>
  <c r="AK686" i="49"/>
  <c r="AJ686" i="49"/>
  <c r="AI686" i="49"/>
  <c r="AH686" i="49"/>
  <c r="AF686" i="49"/>
  <c r="AE686" i="49"/>
  <c r="AD686" i="49"/>
  <c r="AC686" i="49"/>
  <c r="AA686" i="49"/>
  <c r="Z686" i="49"/>
  <c r="Y686" i="49"/>
  <c r="X686" i="49"/>
  <c r="V686" i="49"/>
  <c r="U686" i="49"/>
  <c r="T686" i="49"/>
  <c r="S686" i="49"/>
  <c r="Q686" i="49"/>
  <c r="P686" i="49"/>
  <c r="BO685" i="49"/>
  <c r="BN685" i="49"/>
  <c r="BM685" i="49"/>
  <c r="BL685" i="49"/>
  <c r="BJ685" i="49"/>
  <c r="BI685" i="49"/>
  <c r="BH685" i="49"/>
  <c r="BG685" i="49"/>
  <c r="BE685" i="49"/>
  <c r="BD685" i="49"/>
  <c r="BC685" i="49"/>
  <c r="BB685" i="49"/>
  <c r="AZ685" i="49"/>
  <c r="AY685" i="49"/>
  <c r="AX685" i="49"/>
  <c r="AW685" i="49"/>
  <c r="AV685" i="49"/>
  <c r="AU685" i="49"/>
  <c r="AT685" i="49"/>
  <c r="AS685" i="49"/>
  <c r="AR685" i="49"/>
  <c r="AP685" i="49"/>
  <c r="AO685" i="49"/>
  <c r="AN685" i="49"/>
  <c r="AM685" i="49"/>
  <c r="AK685" i="49"/>
  <c r="AJ685" i="49"/>
  <c r="AI685" i="49"/>
  <c r="AH685" i="49"/>
  <c r="AF685" i="49"/>
  <c r="AE685" i="49"/>
  <c r="AD685" i="49"/>
  <c r="AC685" i="49"/>
  <c r="AA685" i="49"/>
  <c r="Z685" i="49"/>
  <c r="Y685" i="49"/>
  <c r="X685" i="49"/>
  <c r="V685" i="49"/>
  <c r="U685" i="49"/>
  <c r="T685" i="49"/>
  <c r="S685" i="49"/>
  <c r="R685" i="49"/>
  <c r="Q685" i="49"/>
  <c r="P685" i="49"/>
  <c r="O685" i="49"/>
  <c r="N685" i="49"/>
  <c r="M685" i="49"/>
  <c r="L685" i="49"/>
  <c r="K685" i="49"/>
  <c r="J685" i="49"/>
  <c r="I685" i="49"/>
  <c r="BO684" i="49"/>
  <c r="BN684" i="49"/>
  <c r="BM684" i="49"/>
  <c r="BL684" i="49"/>
  <c r="BJ684" i="49"/>
  <c r="BI684" i="49"/>
  <c r="BH684" i="49"/>
  <c r="BG684" i="49"/>
  <c r="BE684" i="49"/>
  <c r="BD684" i="49"/>
  <c r="BC684" i="49"/>
  <c r="BB684" i="49"/>
  <c r="BA684" i="49"/>
  <c r="AZ684" i="49"/>
  <c r="AY684" i="49"/>
  <c r="AX684" i="49"/>
  <c r="AW684" i="49"/>
  <c r="AU684" i="49"/>
  <c r="AT684" i="49"/>
  <c r="AS684" i="49"/>
  <c r="AR684" i="49"/>
  <c r="AP684" i="49"/>
  <c r="AO684" i="49"/>
  <c r="AN684" i="49"/>
  <c r="AM684" i="49"/>
  <c r="AK684" i="49"/>
  <c r="AJ684" i="49"/>
  <c r="AI684" i="49"/>
  <c r="AH684" i="49"/>
  <c r="AF684" i="49"/>
  <c r="AE684" i="49"/>
  <c r="AD684" i="49"/>
  <c r="AC684" i="49"/>
  <c r="AB684" i="49"/>
  <c r="AA684" i="49"/>
  <c r="Z684" i="49"/>
  <c r="Y684" i="49"/>
  <c r="X684" i="49"/>
  <c r="V684" i="49"/>
  <c r="U684" i="49"/>
  <c r="T684" i="49"/>
  <c r="S684" i="49"/>
  <c r="R684" i="49"/>
  <c r="Q684" i="49"/>
  <c r="P684" i="49"/>
  <c r="O684" i="49"/>
  <c r="N684" i="49"/>
  <c r="M684" i="49"/>
  <c r="L684" i="49"/>
  <c r="K684" i="49"/>
  <c r="J684" i="49"/>
  <c r="I684" i="49"/>
  <c r="BO683" i="49"/>
  <c r="BN683" i="49"/>
  <c r="BM683" i="49"/>
  <c r="BL683" i="49"/>
  <c r="BJ683" i="49"/>
  <c r="BI683" i="49"/>
  <c r="BH683" i="49"/>
  <c r="BG683" i="49"/>
  <c r="BE683" i="49"/>
  <c r="BD683" i="49"/>
  <c r="BC683" i="49"/>
  <c r="BB683" i="49"/>
  <c r="AZ683" i="49"/>
  <c r="AY683" i="49"/>
  <c r="AX683" i="49"/>
  <c r="AW683" i="49"/>
  <c r="AU683" i="49"/>
  <c r="AT683" i="49"/>
  <c r="AS683" i="49"/>
  <c r="AR683" i="49"/>
  <c r="AP683" i="49"/>
  <c r="AO683" i="49"/>
  <c r="AN683" i="49"/>
  <c r="AM683" i="49"/>
  <c r="AK683" i="49"/>
  <c r="AJ683" i="49"/>
  <c r="AI683" i="49"/>
  <c r="AH683" i="49"/>
  <c r="AG683" i="49"/>
  <c r="AF683" i="49"/>
  <c r="AE683" i="49"/>
  <c r="AD683" i="49"/>
  <c r="AC683" i="49"/>
  <c r="AA683" i="49"/>
  <c r="Z683" i="49"/>
  <c r="Y683" i="49"/>
  <c r="X683" i="49"/>
  <c r="V683" i="49"/>
  <c r="U683" i="49"/>
  <c r="T683" i="49"/>
  <c r="S683" i="49"/>
  <c r="R683" i="49"/>
  <c r="Q683" i="49"/>
  <c r="P683" i="49"/>
  <c r="O683" i="49"/>
  <c r="N683" i="49"/>
  <c r="M683" i="49"/>
  <c r="L683" i="49"/>
  <c r="K683" i="49"/>
  <c r="J683" i="49"/>
  <c r="I683" i="49"/>
  <c r="BO682" i="49"/>
  <c r="BN682" i="49"/>
  <c r="BM682" i="49"/>
  <c r="BL682" i="49"/>
  <c r="BJ682" i="49"/>
  <c r="BI682" i="49"/>
  <c r="BH682" i="49"/>
  <c r="BG682" i="49"/>
  <c r="BE682" i="49"/>
  <c r="BD682" i="49"/>
  <c r="BC682" i="49"/>
  <c r="BB682" i="49"/>
  <c r="AZ682" i="49"/>
  <c r="AY682" i="49"/>
  <c r="AX682" i="49"/>
  <c r="AW682" i="49"/>
  <c r="AV682" i="49"/>
  <c r="AU682" i="49"/>
  <c r="AT682" i="49"/>
  <c r="AS682" i="49"/>
  <c r="AR682" i="49"/>
  <c r="AP682" i="49"/>
  <c r="AO682" i="49"/>
  <c r="AN682" i="49"/>
  <c r="AM682" i="49"/>
  <c r="AK682" i="49"/>
  <c r="AJ682" i="49"/>
  <c r="AI682" i="49"/>
  <c r="AH682" i="49"/>
  <c r="AF682" i="49"/>
  <c r="AE682" i="49"/>
  <c r="AD682" i="49"/>
  <c r="AC682" i="49"/>
  <c r="AA682" i="49"/>
  <c r="Z682" i="49"/>
  <c r="Y682" i="49"/>
  <c r="X682" i="49"/>
  <c r="V682" i="49"/>
  <c r="U682" i="49"/>
  <c r="T682" i="49"/>
  <c r="S682" i="49"/>
  <c r="Q682" i="49"/>
  <c r="P682" i="49"/>
  <c r="O682" i="49"/>
  <c r="N682" i="49"/>
  <c r="L682" i="49"/>
  <c r="K682" i="49"/>
  <c r="J682" i="49"/>
  <c r="I682" i="49"/>
  <c r="BP681" i="49"/>
  <c r="BO681" i="49"/>
  <c r="BN681" i="49"/>
  <c r="BM681" i="49"/>
  <c r="BL681" i="49"/>
  <c r="BK681" i="49"/>
  <c r="BJ681" i="49"/>
  <c r="BI681" i="49"/>
  <c r="BH681" i="49"/>
  <c r="BG681" i="49"/>
  <c r="BF681" i="49"/>
  <c r="BE681" i="49"/>
  <c r="BD681" i="49"/>
  <c r="BC681" i="49"/>
  <c r="BB681" i="49"/>
  <c r="BA681" i="49"/>
  <c r="AZ681" i="49"/>
  <c r="AY681" i="49"/>
  <c r="AX681" i="49"/>
  <c r="AW681" i="49"/>
  <c r="AV681" i="49"/>
  <c r="AU681" i="49"/>
  <c r="AT681" i="49"/>
  <c r="AS681" i="49"/>
  <c r="AR681" i="49"/>
  <c r="AQ681" i="49"/>
  <c r="AP681" i="49"/>
  <c r="AO681" i="49"/>
  <c r="AN681" i="49"/>
  <c r="AM681" i="49"/>
  <c r="AL681" i="49"/>
  <c r="AK681" i="49"/>
  <c r="AJ681" i="49"/>
  <c r="AI681" i="49"/>
  <c r="AH681" i="49"/>
  <c r="AG681" i="49"/>
  <c r="AF681" i="49"/>
  <c r="AE681" i="49"/>
  <c r="AD681" i="49"/>
  <c r="AC681" i="49"/>
  <c r="AB681" i="49"/>
  <c r="AA681" i="49"/>
  <c r="Z681" i="49"/>
  <c r="Y681" i="49"/>
  <c r="X681" i="49"/>
  <c r="W681" i="49"/>
  <c r="V681" i="49"/>
  <c r="U681" i="49"/>
  <c r="T681" i="49"/>
  <c r="S681" i="49"/>
  <c r="R681" i="49"/>
  <c r="Q681" i="49"/>
  <c r="P681" i="49"/>
  <c r="O681" i="49"/>
  <c r="N681" i="49"/>
  <c r="M681" i="49"/>
  <c r="L681" i="49"/>
  <c r="K681" i="49"/>
  <c r="J681" i="49"/>
  <c r="I681" i="49"/>
  <c r="BL680" i="49"/>
  <c r="BH680" i="49"/>
  <c r="BD680" i="49"/>
  <c r="BC680" i="49"/>
  <c r="BB680" i="49"/>
  <c r="AZ680" i="49"/>
  <c r="AY680" i="49"/>
  <c r="AX680" i="49"/>
  <c r="AW680" i="49"/>
  <c r="AV680" i="49"/>
  <c r="AU680" i="49"/>
  <c r="AT680" i="49"/>
  <c r="AS680" i="49"/>
  <c r="AR680" i="49"/>
  <c r="AP680" i="49"/>
  <c r="AO680" i="49"/>
  <c r="AN680" i="49"/>
  <c r="AM680" i="49"/>
  <c r="AK680" i="49"/>
  <c r="AJ680" i="49"/>
  <c r="AI680" i="49"/>
  <c r="AH680" i="49"/>
  <c r="AF680" i="49"/>
  <c r="AE680" i="49"/>
  <c r="AD680" i="49"/>
  <c r="AC680" i="49"/>
  <c r="AB680" i="49"/>
  <c r="AA680" i="49"/>
  <c r="Z680" i="49"/>
  <c r="Y680" i="49"/>
  <c r="X680" i="49"/>
  <c r="V680" i="49"/>
  <c r="U680" i="49"/>
  <c r="T680" i="49"/>
  <c r="S680" i="49"/>
  <c r="Q680" i="49"/>
  <c r="P680" i="49"/>
  <c r="BO679" i="49"/>
  <c r="BN679" i="49"/>
  <c r="BM679" i="49"/>
  <c r="BL679" i="49"/>
  <c r="BJ679" i="49"/>
  <c r="BI679" i="49"/>
  <c r="BH679" i="49"/>
  <c r="BG679" i="49"/>
  <c r="BE679" i="49"/>
  <c r="BD679" i="49"/>
  <c r="BC679" i="49"/>
  <c r="BB679" i="49"/>
  <c r="AZ679" i="49"/>
  <c r="AY679" i="49"/>
  <c r="AX679" i="49"/>
  <c r="AW679" i="49"/>
  <c r="AU679" i="49"/>
  <c r="AT679" i="49"/>
  <c r="AS679" i="49"/>
  <c r="AR679" i="49"/>
  <c r="AP679" i="49"/>
  <c r="AO679" i="49"/>
  <c r="AN679" i="49"/>
  <c r="AM679" i="49"/>
  <c r="AK679" i="49"/>
  <c r="AJ679" i="49"/>
  <c r="AI679" i="49"/>
  <c r="AH679" i="49"/>
  <c r="AF679" i="49"/>
  <c r="AE679" i="49"/>
  <c r="AD679" i="49"/>
  <c r="AC679" i="49"/>
  <c r="AA679" i="49"/>
  <c r="Z679" i="49"/>
  <c r="Y679" i="49"/>
  <c r="X679" i="49"/>
  <c r="V679" i="49"/>
  <c r="U679" i="49"/>
  <c r="T679" i="49"/>
  <c r="S679" i="49"/>
  <c r="R679" i="49"/>
  <c r="Q679" i="49"/>
  <c r="P679" i="49"/>
  <c r="O679" i="49"/>
  <c r="N679" i="49"/>
  <c r="M679" i="49"/>
  <c r="L679" i="49"/>
  <c r="K679" i="49"/>
  <c r="J679" i="49"/>
  <c r="I679" i="49"/>
  <c r="BP678" i="49"/>
  <c r="BO678" i="49"/>
  <c r="BN678" i="49"/>
  <c r="BM678" i="49"/>
  <c r="BL678" i="49"/>
  <c r="BJ678" i="49"/>
  <c r="BK678" i="49" s="1"/>
  <c r="BI678" i="49"/>
  <c r="BH678" i="49"/>
  <c r="BG678" i="49"/>
  <c r="BE678" i="49"/>
  <c r="BD678" i="49"/>
  <c r="BC678" i="49"/>
  <c r="BB678" i="49"/>
  <c r="AZ678" i="49"/>
  <c r="AY678" i="49"/>
  <c r="AX678" i="49"/>
  <c r="AW678" i="49"/>
  <c r="AU678" i="49"/>
  <c r="AT678" i="49"/>
  <c r="AS678" i="49"/>
  <c r="AR678" i="49"/>
  <c r="AP678" i="49"/>
  <c r="AO678" i="49"/>
  <c r="AN678" i="49"/>
  <c r="AM678" i="49"/>
  <c r="AK678" i="49"/>
  <c r="AJ678" i="49"/>
  <c r="AI678" i="49"/>
  <c r="AH678" i="49"/>
  <c r="AF678" i="49"/>
  <c r="AE678" i="49"/>
  <c r="AD678" i="49"/>
  <c r="AC678" i="49"/>
  <c r="AB678" i="49"/>
  <c r="AA678" i="49"/>
  <c r="Z678" i="49"/>
  <c r="Y678" i="49"/>
  <c r="X678" i="49"/>
  <c r="V678" i="49"/>
  <c r="U678" i="49"/>
  <c r="T678" i="49"/>
  <c r="S678" i="49"/>
  <c r="R678" i="49"/>
  <c r="Q678" i="49"/>
  <c r="P678" i="49"/>
  <c r="O678" i="49"/>
  <c r="N678" i="49"/>
  <c r="M678" i="49"/>
  <c r="L678" i="49"/>
  <c r="K678" i="49"/>
  <c r="J678" i="49"/>
  <c r="I678" i="49"/>
  <c r="BO677" i="49"/>
  <c r="BN677" i="49"/>
  <c r="BM677" i="49"/>
  <c r="BL677" i="49"/>
  <c r="BJ677" i="49"/>
  <c r="BI677" i="49"/>
  <c r="BH677" i="49"/>
  <c r="BG677" i="49"/>
  <c r="BE677" i="49"/>
  <c r="BD677" i="49"/>
  <c r="BC677" i="49"/>
  <c r="BB677" i="49"/>
  <c r="AZ677" i="49"/>
  <c r="AY677" i="49"/>
  <c r="AX677" i="49"/>
  <c r="AW677" i="49"/>
  <c r="AV677" i="49"/>
  <c r="AU677" i="49"/>
  <c r="AT677" i="49"/>
  <c r="AS677" i="49"/>
  <c r="AR677" i="49"/>
  <c r="AP677" i="49"/>
  <c r="AO677" i="49"/>
  <c r="AN677" i="49"/>
  <c r="AM677" i="49"/>
  <c r="AK677" i="49"/>
  <c r="AJ677" i="49"/>
  <c r="AI677" i="49"/>
  <c r="AH677" i="49"/>
  <c r="AF677" i="49"/>
  <c r="AE677" i="49"/>
  <c r="AD677" i="49"/>
  <c r="AC677" i="49"/>
  <c r="AB677" i="49"/>
  <c r="AA677" i="49"/>
  <c r="Z677" i="49"/>
  <c r="Y677" i="49"/>
  <c r="X677" i="49"/>
  <c r="V677" i="49"/>
  <c r="U677" i="49"/>
  <c r="T677" i="49"/>
  <c r="S677" i="49"/>
  <c r="R677" i="49"/>
  <c r="Q677" i="49"/>
  <c r="P677" i="49"/>
  <c r="O677" i="49"/>
  <c r="N677" i="49"/>
  <c r="M677" i="49"/>
  <c r="L677" i="49"/>
  <c r="K677" i="49"/>
  <c r="J677" i="49"/>
  <c r="I677" i="49"/>
  <c r="BP676" i="49"/>
  <c r="BH676" i="49"/>
  <c r="BD676" i="49"/>
  <c r="AZ676" i="49"/>
  <c r="AV676" i="49"/>
  <c r="AP676" i="49"/>
  <c r="AO676" i="49"/>
  <c r="AN676" i="49"/>
  <c r="AM676" i="49"/>
  <c r="AK676" i="49"/>
  <c r="AJ676" i="49"/>
  <c r="AI676" i="49"/>
  <c r="AH676" i="49"/>
  <c r="AF676" i="49"/>
  <c r="AE676" i="49"/>
  <c r="AD676" i="49"/>
  <c r="AC676" i="49"/>
  <c r="AB676" i="49"/>
  <c r="AA676" i="49"/>
  <c r="Z676" i="49"/>
  <c r="Y676" i="49"/>
  <c r="X676" i="49"/>
  <c r="V676" i="49"/>
  <c r="U676" i="49"/>
  <c r="T676" i="49"/>
  <c r="S676" i="49"/>
  <c r="Q676" i="49"/>
  <c r="P676" i="49"/>
  <c r="BO675" i="49"/>
  <c r="BN675" i="49"/>
  <c r="BM675" i="49"/>
  <c r="BL675" i="49"/>
  <c r="BJ675" i="49"/>
  <c r="BI675" i="49"/>
  <c r="BH675" i="49"/>
  <c r="BG675" i="49"/>
  <c r="BE675" i="49"/>
  <c r="BD675" i="49"/>
  <c r="BC675" i="49"/>
  <c r="BB675" i="49"/>
  <c r="AZ675" i="49"/>
  <c r="AY675" i="49"/>
  <c r="AX675" i="49"/>
  <c r="AW675" i="49"/>
  <c r="AV675" i="49"/>
  <c r="AU675" i="49"/>
  <c r="AT675" i="49"/>
  <c r="AS675" i="49"/>
  <c r="AR675" i="49"/>
  <c r="AP675" i="49"/>
  <c r="AO675" i="49"/>
  <c r="AN675" i="49"/>
  <c r="AM675" i="49"/>
  <c r="AK675" i="49"/>
  <c r="AJ675" i="49"/>
  <c r="AI675" i="49"/>
  <c r="AH675" i="49"/>
  <c r="AF675" i="49"/>
  <c r="AE675" i="49"/>
  <c r="AD675" i="49"/>
  <c r="AC675" i="49"/>
  <c r="AA675" i="49"/>
  <c r="Z675" i="49"/>
  <c r="Y675" i="49"/>
  <c r="X675" i="49"/>
  <c r="V675" i="49"/>
  <c r="U675" i="49"/>
  <c r="T675" i="49"/>
  <c r="S675" i="49"/>
  <c r="Q675" i="49"/>
  <c r="P675" i="49"/>
  <c r="O675" i="49"/>
  <c r="N675" i="49"/>
  <c r="L675" i="49"/>
  <c r="K675" i="49"/>
  <c r="J675" i="49"/>
  <c r="I675" i="49"/>
  <c r="BP674" i="49"/>
  <c r="BO674" i="49"/>
  <c r="BN674" i="49"/>
  <c r="BM674" i="49"/>
  <c r="BL674" i="49"/>
  <c r="BJ674" i="49"/>
  <c r="BI674" i="49"/>
  <c r="BH674" i="49"/>
  <c r="BG674" i="49"/>
  <c r="BE674" i="49"/>
  <c r="BD674" i="49"/>
  <c r="BC674" i="49"/>
  <c r="BB674" i="49"/>
  <c r="AZ674" i="49"/>
  <c r="AY674" i="49"/>
  <c r="AX674" i="49"/>
  <c r="AW674" i="49"/>
  <c r="AU674" i="49"/>
  <c r="AT674" i="49"/>
  <c r="AS674" i="49"/>
  <c r="AR674" i="49"/>
  <c r="AP674" i="49"/>
  <c r="AO674" i="49"/>
  <c r="AN674" i="49"/>
  <c r="AM674" i="49"/>
  <c r="AK674" i="49"/>
  <c r="AJ674" i="49"/>
  <c r="AI674" i="49"/>
  <c r="AH674" i="49"/>
  <c r="AF674" i="49"/>
  <c r="AE674" i="49"/>
  <c r="AD674" i="49"/>
  <c r="AC674" i="49"/>
  <c r="AB674" i="49"/>
  <c r="AA674" i="49"/>
  <c r="Z674" i="49"/>
  <c r="Y674" i="49"/>
  <c r="X674" i="49"/>
  <c r="V674" i="49"/>
  <c r="U674" i="49"/>
  <c r="T674" i="49"/>
  <c r="S674" i="49"/>
  <c r="Q674" i="49"/>
  <c r="P674" i="49"/>
  <c r="O674" i="49"/>
  <c r="N674" i="49"/>
  <c r="L674" i="49"/>
  <c r="K674" i="49"/>
  <c r="J674" i="49"/>
  <c r="I674" i="49"/>
  <c r="BO673" i="49"/>
  <c r="BN673" i="49"/>
  <c r="BM673" i="49"/>
  <c r="BL673" i="49"/>
  <c r="BL817" i="49" s="1"/>
  <c r="BJ673" i="49"/>
  <c r="BI673" i="49"/>
  <c r="BH673" i="49"/>
  <c r="BG673" i="49"/>
  <c r="BE673" i="49"/>
  <c r="BD673" i="49"/>
  <c r="BC673" i="49"/>
  <c r="BB673" i="49"/>
  <c r="AZ673" i="49"/>
  <c r="AY673" i="49"/>
  <c r="AX673" i="49"/>
  <c r="AW673" i="49"/>
  <c r="AU673" i="49"/>
  <c r="AT673" i="49"/>
  <c r="AS673" i="49"/>
  <c r="AR673" i="49"/>
  <c r="AP673" i="49"/>
  <c r="AO673" i="49"/>
  <c r="AN673" i="49"/>
  <c r="AM673" i="49"/>
  <c r="AK673" i="49"/>
  <c r="AJ673" i="49"/>
  <c r="AI673" i="49"/>
  <c r="AH673" i="49"/>
  <c r="AF673" i="49"/>
  <c r="AE673" i="49"/>
  <c r="AD673" i="49"/>
  <c r="AC673" i="49"/>
  <c r="AA673" i="49"/>
  <c r="Z673" i="49"/>
  <c r="Y673" i="49"/>
  <c r="X673" i="49"/>
  <c r="V673" i="49"/>
  <c r="U673" i="49"/>
  <c r="T673" i="49"/>
  <c r="S673" i="49"/>
  <c r="Q673" i="49"/>
  <c r="P673" i="49"/>
  <c r="BN672" i="49"/>
  <c r="BM672" i="49"/>
  <c r="BL672" i="49"/>
  <c r="BJ672" i="49"/>
  <c r="BH672" i="49"/>
  <c r="BG672" i="49"/>
  <c r="BE672" i="49"/>
  <c r="BD672" i="49"/>
  <c r="AZ672" i="49"/>
  <c r="AV672" i="49"/>
  <c r="AO672" i="49"/>
  <c r="AN672" i="49"/>
  <c r="AN703" i="49" s="1"/>
  <c r="AM672" i="49"/>
  <c r="AK672" i="49"/>
  <c r="AJ672" i="49"/>
  <c r="AI672" i="49"/>
  <c r="AI703" i="49" s="1"/>
  <c r="AH672" i="49"/>
  <c r="AH703" i="49" s="1"/>
  <c r="AF672" i="49"/>
  <c r="AE672" i="49"/>
  <c r="AD672" i="49"/>
  <c r="AD703" i="49" s="1"/>
  <c r="AC672" i="49"/>
  <c r="AB672" i="49"/>
  <c r="AA672" i="49"/>
  <c r="AA703" i="49" s="1"/>
  <c r="Y672" i="49"/>
  <c r="X672" i="49"/>
  <c r="V672" i="49"/>
  <c r="U672" i="49"/>
  <c r="U703" i="49" s="1"/>
  <c r="T672" i="49"/>
  <c r="T703" i="49" s="1"/>
  <c r="P672" i="49"/>
  <c r="CM671" i="49"/>
  <c r="CL671" i="49"/>
  <c r="CK671" i="49"/>
  <c r="CJ671" i="49"/>
  <c r="CI671" i="49"/>
  <c r="CH671" i="49"/>
  <c r="CH668" i="49"/>
  <c r="CG668" i="49"/>
  <c r="CF668" i="49"/>
  <c r="CD668" i="49"/>
  <c r="CC668" i="49"/>
  <c r="CB668" i="49"/>
  <c r="CA668" i="49"/>
  <c r="BY668" i="49"/>
  <c r="BX668" i="49"/>
  <c r="BW668" i="49"/>
  <c r="BV668" i="49"/>
  <c r="BT668" i="49"/>
  <c r="BS668" i="49"/>
  <c r="BR668" i="49"/>
  <c r="BQ668" i="49"/>
  <c r="BO668" i="49"/>
  <c r="BN668" i="49"/>
  <c r="BM668" i="49"/>
  <c r="BL668" i="49"/>
  <c r="BK668" i="49"/>
  <c r="BJ668" i="49"/>
  <c r="BH668" i="49"/>
  <c r="BG668" i="49"/>
  <c r="BE668" i="49"/>
  <c r="BD668" i="49"/>
  <c r="BC668" i="49"/>
  <c r="BB668" i="49"/>
  <c r="AZ668" i="49"/>
  <c r="AY668" i="49"/>
  <c r="AX668" i="49"/>
  <c r="AW668" i="49"/>
  <c r="AU668" i="49"/>
  <c r="AS413" i="51" s="1"/>
  <c r="AT413" i="51" s="1"/>
  <c r="AT668" i="49"/>
  <c r="AS668" i="49"/>
  <c r="AR668" i="49"/>
  <c r="AQ668" i="49"/>
  <c r="AP668" i="49"/>
  <c r="AO668" i="49"/>
  <c r="AN668" i="49"/>
  <c r="AM668" i="49"/>
  <c r="AK413" i="51" s="1"/>
  <c r="AK668" i="49"/>
  <c r="AJ668" i="49"/>
  <c r="AI668" i="49"/>
  <c r="AH668" i="49"/>
  <c r="AF668" i="49"/>
  <c r="AE668" i="49"/>
  <c r="AD668" i="49"/>
  <c r="AC668" i="49"/>
  <c r="AA668" i="49"/>
  <c r="Z668" i="49"/>
  <c r="Y668" i="49"/>
  <c r="X668" i="49"/>
  <c r="V668" i="49"/>
  <c r="U668" i="49"/>
  <c r="T668" i="49"/>
  <c r="S668" i="49"/>
  <c r="Q668" i="49"/>
  <c r="K668" i="49"/>
  <c r="CJ665" i="49"/>
  <c r="CJ664" i="49"/>
  <c r="CJ663" i="49"/>
  <c r="CJ662" i="49"/>
  <c r="CJ660" i="49"/>
  <c r="CJ658" i="49"/>
  <c r="CJ657" i="49"/>
  <c r="CJ963" i="49" s="1"/>
  <c r="CJ656" i="49"/>
  <c r="CR666" i="49"/>
  <c r="CR665" i="49"/>
  <c r="CQ665" i="49"/>
  <c r="CP665" i="49"/>
  <c r="CR664" i="49"/>
  <c r="CR970" i="49" s="1"/>
  <c r="CQ664" i="49"/>
  <c r="CP664" i="49"/>
  <c r="CS663" i="49"/>
  <c r="CR663" i="49"/>
  <c r="CQ663" i="49"/>
  <c r="CP663" i="49"/>
  <c r="CO663" i="49"/>
  <c r="CR662" i="49"/>
  <c r="CQ662" i="49"/>
  <c r="CP662" i="49"/>
  <c r="CP968" i="49" s="1"/>
  <c r="CP661" i="49"/>
  <c r="CR660" i="49"/>
  <c r="CQ660" i="49"/>
  <c r="CP660" i="49"/>
  <c r="CP659" i="49"/>
  <c r="CR658" i="49"/>
  <c r="CQ658" i="49"/>
  <c r="CP658" i="49"/>
  <c r="CP964" i="49" s="1"/>
  <c r="CR657" i="49"/>
  <c r="CQ657" i="49"/>
  <c r="CQ963" i="49" s="1"/>
  <c r="CP657" i="49"/>
  <c r="CR656" i="49"/>
  <c r="CR962" i="49" s="1"/>
  <c r="CQ656" i="49"/>
  <c r="CP656" i="49"/>
  <c r="CJ654" i="49"/>
  <c r="CJ798" i="49" s="1"/>
  <c r="CJ653" i="49"/>
  <c r="CJ652" i="49"/>
  <c r="CJ651" i="49"/>
  <c r="CJ953" i="49" s="1"/>
  <c r="CJ650" i="49"/>
  <c r="CJ649" i="49"/>
  <c r="CJ648" i="49"/>
  <c r="CJ647" i="49"/>
  <c r="CJ680" i="49" s="1"/>
  <c r="CJ646" i="49"/>
  <c r="CJ645" i="49"/>
  <c r="CJ644" i="49"/>
  <c r="CJ643" i="49"/>
  <c r="CJ642" i="49"/>
  <c r="CJ641" i="49"/>
  <c r="CJ640" i="49"/>
  <c r="CJ639" i="49"/>
  <c r="CJ638" i="49"/>
  <c r="CE654" i="49"/>
  <c r="CE798" i="49" s="1"/>
  <c r="CE653" i="49"/>
  <c r="CE652" i="49"/>
  <c r="CE651" i="49"/>
  <c r="CE650" i="49"/>
  <c r="CE649" i="49"/>
  <c r="CE648" i="49"/>
  <c r="CE647" i="49"/>
  <c r="CE646" i="49"/>
  <c r="CE645" i="49"/>
  <c r="CE644" i="49"/>
  <c r="CE643" i="49"/>
  <c r="CE642" i="49"/>
  <c r="CE785" i="49" s="1"/>
  <c r="CE641" i="49"/>
  <c r="CE640" i="49"/>
  <c r="CE668" i="49" s="1"/>
  <c r="CE639" i="49"/>
  <c r="BZ654" i="49"/>
  <c r="BZ798" i="49" s="1"/>
  <c r="BZ653" i="49"/>
  <c r="BZ652" i="49"/>
  <c r="BZ651" i="49"/>
  <c r="BZ650" i="49"/>
  <c r="BZ649" i="49"/>
  <c r="BZ648" i="49"/>
  <c r="BZ951" i="49" s="1"/>
  <c r="BZ647" i="49"/>
  <c r="BZ646" i="49"/>
  <c r="BZ645" i="49"/>
  <c r="BZ644" i="49"/>
  <c r="BZ643" i="49"/>
  <c r="BZ642" i="49"/>
  <c r="BZ785" i="49" s="1"/>
  <c r="BZ641" i="49"/>
  <c r="BZ640" i="49"/>
  <c r="BZ639" i="49"/>
  <c r="BZ668" i="49" s="1"/>
  <c r="BU654" i="49"/>
  <c r="BU798" i="49" s="1"/>
  <c r="BU653" i="49"/>
  <c r="BU652" i="49"/>
  <c r="BU651" i="49"/>
  <c r="BU650" i="49"/>
  <c r="BU649" i="49"/>
  <c r="BP654" i="49"/>
  <c r="BP798" i="49" s="1"/>
  <c r="BP653" i="49"/>
  <c r="BP652" i="49"/>
  <c r="BP651" i="49"/>
  <c r="BP650" i="49"/>
  <c r="BP649" i="49"/>
  <c r="BK654" i="49"/>
  <c r="BK798" i="49" s="1"/>
  <c r="BK653" i="49"/>
  <c r="BK652" i="49"/>
  <c r="BK651" i="49"/>
  <c r="BK650" i="49"/>
  <c r="BK649" i="49"/>
  <c r="BF654" i="49"/>
  <c r="BF798" i="49" s="1"/>
  <c r="BF653" i="49"/>
  <c r="BF652" i="49"/>
  <c r="BF651" i="49"/>
  <c r="BF650" i="49"/>
  <c r="BF649" i="49"/>
  <c r="BA654" i="49"/>
  <c r="BA798" i="49" s="1"/>
  <c r="BA653" i="49"/>
  <c r="BA652" i="49"/>
  <c r="BA651" i="49"/>
  <c r="BA650" i="49"/>
  <c r="BA649" i="49"/>
  <c r="AV654" i="49"/>
  <c r="AV798" i="49" s="1"/>
  <c r="AV653" i="49"/>
  <c r="AV652" i="49"/>
  <c r="AV651" i="49"/>
  <c r="AV650" i="49"/>
  <c r="AV649" i="49"/>
  <c r="AQ654" i="49"/>
  <c r="AQ798" i="49" s="1"/>
  <c r="AQ653" i="49"/>
  <c r="AQ652" i="49"/>
  <c r="AQ651" i="49"/>
  <c r="AQ650" i="49"/>
  <c r="AQ649" i="49"/>
  <c r="AL654" i="49"/>
  <c r="AL798" i="49" s="1"/>
  <c r="AL653" i="49"/>
  <c r="AL652" i="49"/>
  <c r="AL651" i="49"/>
  <c r="AL650" i="49"/>
  <c r="AL649" i="49"/>
  <c r="AG654" i="49"/>
  <c r="AG798" i="49" s="1"/>
  <c r="AG653" i="49"/>
  <c r="AG652" i="49"/>
  <c r="AG651" i="49"/>
  <c r="AG650" i="49"/>
  <c r="AG649" i="49"/>
  <c r="AB654" i="49"/>
  <c r="AB798" i="49" s="1"/>
  <c r="AB653" i="49"/>
  <c r="AB652" i="49"/>
  <c r="AB651" i="49"/>
  <c r="AB650" i="49"/>
  <c r="AB649" i="49"/>
  <c r="W654" i="49"/>
  <c r="W798" i="49" s="1"/>
  <c r="W653" i="49"/>
  <c r="W652" i="49"/>
  <c r="W668" i="49" s="1"/>
  <c r="W651" i="49"/>
  <c r="W650" i="49"/>
  <c r="W649" i="49"/>
  <c r="R654" i="49"/>
  <c r="R798" i="49" s="1"/>
  <c r="R653" i="49"/>
  <c r="R652" i="49"/>
  <c r="P654" i="49"/>
  <c r="O654" i="49"/>
  <c r="N654" i="49"/>
  <c r="N798" i="49" s="1"/>
  <c r="M654" i="49"/>
  <c r="M798" i="49" s="1"/>
  <c r="L654" i="49"/>
  <c r="L798" i="49" s="1"/>
  <c r="O653" i="49"/>
  <c r="N653" i="49"/>
  <c r="N796" i="49" s="1"/>
  <c r="M653" i="49"/>
  <c r="L653" i="49"/>
  <c r="L796" i="49" s="1"/>
  <c r="K653" i="49"/>
  <c r="J653" i="49"/>
  <c r="J796" i="49" s="1"/>
  <c r="I653" i="49"/>
  <c r="I796" i="49" s="1"/>
  <c r="CP654" i="49"/>
  <c r="CP653" i="49"/>
  <c r="CP652" i="49"/>
  <c r="R649" i="49"/>
  <c r="R682" i="49" s="1"/>
  <c r="M649" i="49"/>
  <c r="M682" i="49" s="1"/>
  <c r="BU647" i="49"/>
  <c r="BU646" i="49"/>
  <c r="BU645" i="49"/>
  <c r="BU644" i="49"/>
  <c r="BU643" i="49"/>
  <c r="BU642" i="49"/>
  <c r="BU785" i="49" s="1"/>
  <c r="BU641" i="49"/>
  <c r="BU640" i="49"/>
  <c r="BU639" i="49"/>
  <c r="BP647" i="49"/>
  <c r="BP646" i="49"/>
  <c r="BP645" i="49"/>
  <c r="BP644" i="49"/>
  <c r="BP677" i="49" s="1"/>
  <c r="BP643" i="49"/>
  <c r="BK647" i="49"/>
  <c r="BK646" i="49"/>
  <c r="BK645" i="49"/>
  <c r="BK644" i="49"/>
  <c r="BK643" i="49"/>
  <c r="BF647" i="49"/>
  <c r="BF646" i="49"/>
  <c r="BF645" i="49"/>
  <c r="BF644" i="49"/>
  <c r="BF643" i="49"/>
  <c r="BF642" i="49"/>
  <c r="BF785" i="49" s="1"/>
  <c r="BF641" i="49"/>
  <c r="BF640" i="49"/>
  <c r="BF639" i="49"/>
  <c r="BA647" i="49"/>
  <c r="BA646" i="49"/>
  <c r="BA645" i="49"/>
  <c r="BA644" i="49"/>
  <c r="BA643" i="49"/>
  <c r="BA642" i="49"/>
  <c r="BA785" i="49" s="1"/>
  <c r="BA641" i="49"/>
  <c r="BA784" i="49" s="1"/>
  <c r="BA640" i="49"/>
  <c r="BA639" i="49"/>
  <c r="AV647" i="49"/>
  <c r="AV646" i="49"/>
  <c r="AV645" i="49"/>
  <c r="AV644" i="49"/>
  <c r="AV643" i="49"/>
  <c r="AV642" i="49"/>
  <c r="AV785" i="49" s="1"/>
  <c r="AV641" i="49"/>
  <c r="AV784" i="49" s="1"/>
  <c r="AV640" i="49"/>
  <c r="AV639" i="49"/>
  <c r="AQ647" i="49"/>
  <c r="AQ646" i="49"/>
  <c r="AQ645" i="49"/>
  <c r="AQ644" i="49"/>
  <c r="AQ643" i="49"/>
  <c r="AQ642" i="49"/>
  <c r="AQ785" i="49" s="1"/>
  <c r="AQ641" i="49"/>
  <c r="AQ784" i="49" s="1"/>
  <c r="AQ640" i="49"/>
  <c r="AQ639" i="49"/>
  <c r="AL647" i="49"/>
  <c r="AL646" i="49"/>
  <c r="AL645" i="49"/>
  <c r="AL644" i="49"/>
  <c r="AL643" i="49"/>
  <c r="AL642" i="49"/>
  <c r="AL785" i="49" s="1"/>
  <c r="AL641" i="49"/>
  <c r="AL784" i="49" s="1"/>
  <c r="AL640" i="49"/>
  <c r="AL639" i="49"/>
  <c r="AG647" i="49"/>
  <c r="AG646" i="49"/>
  <c r="AG645" i="49"/>
  <c r="AG644" i="49"/>
  <c r="AG643" i="49"/>
  <c r="AG642" i="49"/>
  <c r="AG785" i="49" s="1"/>
  <c r="AG641" i="49"/>
  <c r="AG784" i="49" s="1"/>
  <c r="AG640" i="49"/>
  <c r="AG639" i="49"/>
  <c r="AB647" i="49"/>
  <c r="AB646" i="49"/>
  <c r="AB645" i="49"/>
  <c r="AB644" i="49"/>
  <c r="AB643" i="49"/>
  <c r="AB642" i="49"/>
  <c r="AB785" i="49" s="1"/>
  <c r="AB641" i="49"/>
  <c r="AB784" i="49" s="1"/>
  <c r="AB640" i="49"/>
  <c r="AB673" i="49" s="1"/>
  <c r="AB639" i="49"/>
  <c r="W647" i="49"/>
  <c r="W646" i="49"/>
  <c r="W645" i="49"/>
  <c r="W644" i="49"/>
  <c r="W643" i="49"/>
  <c r="W642" i="49"/>
  <c r="W785" i="49" s="1"/>
  <c r="W641" i="49"/>
  <c r="W784" i="49" s="1"/>
  <c r="W640" i="49"/>
  <c r="W639" i="49"/>
  <c r="R647" i="49"/>
  <c r="O647" i="49"/>
  <c r="N647" i="49"/>
  <c r="L647" i="49"/>
  <c r="M647" i="49" s="1"/>
  <c r="K647" i="49"/>
  <c r="J647" i="49"/>
  <c r="I647" i="49"/>
  <c r="R643" i="49"/>
  <c r="R642" i="49"/>
  <c r="R785" i="49" s="1"/>
  <c r="R641" i="49"/>
  <c r="R784" i="49" s="1"/>
  <c r="R640" i="49"/>
  <c r="R639" i="49"/>
  <c r="M643" i="49"/>
  <c r="M642" i="49"/>
  <c r="M785" i="49" s="1"/>
  <c r="M641" i="49"/>
  <c r="BP641" i="49"/>
  <c r="BP640" i="49"/>
  <c r="BP673" i="49" s="1"/>
  <c r="BK641" i="49"/>
  <c r="BK640" i="49"/>
  <c r="BK639" i="49"/>
  <c r="BK895" i="49" s="1"/>
  <c r="P640" i="49"/>
  <c r="O640" i="49"/>
  <c r="N640" i="49"/>
  <c r="BO639" i="49"/>
  <c r="BI639" i="49"/>
  <c r="BI668" i="49" s="1"/>
  <c r="BG413" i="51" s="1"/>
  <c r="O639" i="49"/>
  <c r="N639" i="49"/>
  <c r="N895" i="49" s="1"/>
  <c r="L640" i="49"/>
  <c r="K640" i="49"/>
  <c r="J640" i="49"/>
  <c r="I640" i="49"/>
  <c r="L639" i="49"/>
  <c r="K639" i="49"/>
  <c r="J639" i="49"/>
  <c r="J895" i="49" s="1"/>
  <c r="I639" i="49"/>
  <c r="I895" i="49" s="1"/>
  <c r="CR651" i="49"/>
  <c r="CR953" i="49" s="1"/>
  <c r="CQ651" i="49"/>
  <c r="CP651" i="49"/>
  <c r="CP650" i="49"/>
  <c r="CR649" i="49"/>
  <c r="CQ649" i="49"/>
  <c r="CP649" i="49"/>
  <c r="CS648" i="49"/>
  <c r="CT648" i="49" s="1"/>
  <c r="CU648" i="49" s="1"/>
  <c r="CR648" i="49"/>
  <c r="CQ648" i="49"/>
  <c r="CP648" i="49"/>
  <c r="CO648" i="49"/>
  <c r="CR647" i="49"/>
  <c r="CQ647" i="49"/>
  <c r="CP647" i="49"/>
  <c r="CP646" i="49"/>
  <c r="CP645" i="49"/>
  <c r="CR644" i="49"/>
  <c r="CQ644" i="49"/>
  <c r="CP644" i="49"/>
  <c r="CO644" i="49"/>
  <c r="CS644" i="49"/>
  <c r="CT644" i="49" s="1"/>
  <c r="CU644" i="49" s="1"/>
  <c r="CV644" i="49" s="1"/>
  <c r="CP643" i="49"/>
  <c r="CS642" i="49"/>
  <c r="CT642" i="49" s="1"/>
  <c r="CR642" i="49"/>
  <c r="CQ642" i="49"/>
  <c r="CP642" i="49"/>
  <c r="CO642" i="49"/>
  <c r="CR641" i="49"/>
  <c r="CQ641" i="49"/>
  <c r="CP641" i="49"/>
  <c r="CS641" i="49"/>
  <c r="CT641" i="49" s="1"/>
  <c r="CU641" i="49" s="1"/>
  <c r="CV641" i="49" s="1"/>
  <c r="CS640" i="49"/>
  <c r="CT640" i="49" s="1"/>
  <c r="CU640" i="49" s="1"/>
  <c r="CV640" i="49" s="1"/>
  <c r="CR640" i="49"/>
  <c r="CQ640" i="49"/>
  <c r="CP640" i="49"/>
  <c r="CO640" i="49"/>
  <c r="CR639" i="49"/>
  <c r="CQ639" i="49"/>
  <c r="CP639" i="49"/>
  <c r="CS638" i="49"/>
  <c r="CR638" i="49"/>
  <c r="CQ638" i="49"/>
  <c r="CP638" i="49"/>
  <c r="CO638" i="49"/>
  <c r="CL635" i="49"/>
  <c r="CJ412" i="51" s="1"/>
  <c r="CH635" i="49"/>
  <c r="CG635" i="49"/>
  <c r="CF635" i="49"/>
  <c r="CD635" i="49"/>
  <c r="CB412" i="51" s="1"/>
  <c r="CC635" i="49"/>
  <c r="CB635" i="49"/>
  <c r="CA635" i="49"/>
  <c r="BZ635" i="49"/>
  <c r="BY635" i="49"/>
  <c r="BX635" i="49"/>
  <c r="BW635" i="49"/>
  <c r="BV635" i="49"/>
  <c r="BT412" i="51" s="1"/>
  <c r="BT635" i="49"/>
  <c r="BS635" i="49"/>
  <c r="BR635" i="49"/>
  <c r="BQ635" i="49"/>
  <c r="BO635" i="49"/>
  <c r="BN635" i="49"/>
  <c r="BM635" i="49"/>
  <c r="BL635" i="49"/>
  <c r="BJ635" i="49"/>
  <c r="BI635" i="49"/>
  <c r="BH635" i="49"/>
  <c r="BG635" i="49"/>
  <c r="BE635" i="49"/>
  <c r="BD635" i="49"/>
  <c r="BC635" i="49"/>
  <c r="BB635" i="49"/>
  <c r="AZ635" i="49"/>
  <c r="AY635" i="49"/>
  <c r="AX635" i="49"/>
  <c r="AV412" i="51" s="1"/>
  <c r="AW635" i="49"/>
  <c r="AU635" i="49"/>
  <c r="AT635" i="49"/>
  <c r="AS635" i="49"/>
  <c r="AR635" i="49"/>
  <c r="AP635" i="49"/>
  <c r="AO635" i="49"/>
  <c r="AN635" i="49"/>
  <c r="AM635" i="49"/>
  <c r="AK635" i="49"/>
  <c r="AJ635" i="49"/>
  <c r="AI635" i="49"/>
  <c r="AH635" i="49"/>
  <c r="AF635" i="49"/>
  <c r="AE635" i="49"/>
  <c r="AD635" i="49"/>
  <c r="AC635" i="49"/>
  <c r="AA635" i="49"/>
  <c r="Z635" i="49"/>
  <c r="Y635" i="49"/>
  <c r="X635" i="49"/>
  <c r="V635" i="49"/>
  <c r="U635" i="49"/>
  <c r="T635" i="49"/>
  <c r="S635" i="49"/>
  <c r="R635" i="49"/>
  <c r="Q635" i="49"/>
  <c r="P635" i="49"/>
  <c r="CP633" i="49"/>
  <c r="CM633" i="49"/>
  <c r="CL633" i="49"/>
  <c r="CK633" i="49"/>
  <c r="CK874" i="49" s="1"/>
  <c r="CI633" i="49"/>
  <c r="CI874" i="49" s="1"/>
  <c r="CJ632" i="49"/>
  <c r="CJ631" i="49"/>
  <c r="CJ630" i="49"/>
  <c r="CJ629" i="49"/>
  <c r="CJ628" i="49"/>
  <c r="CJ627" i="49"/>
  <c r="CJ626" i="49"/>
  <c r="CJ625" i="49"/>
  <c r="CJ624" i="49"/>
  <c r="CJ623" i="49"/>
  <c r="CR632" i="49"/>
  <c r="CQ632" i="49"/>
  <c r="CP632" i="49"/>
  <c r="CN775" i="49"/>
  <c r="CR631" i="49"/>
  <c r="CQ631" i="49"/>
  <c r="CP631" i="49"/>
  <c r="CS631" i="49"/>
  <c r="CT631" i="49" s="1"/>
  <c r="CU631" i="49" s="1"/>
  <c r="CV631" i="49" s="1"/>
  <c r="CR630" i="49"/>
  <c r="CQ630" i="49"/>
  <c r="CP630" i="49"/>
  <c r="CS629" i="49"/>
  <c r="CT629" i="49" s="1"/>
  <c r="CU629" i="49" s="1"/>
  <c r="CV629" i="49" s="1"/>
  <c r="CR629" i="49"/>
  <c r="CQ629" i="49"/>
  <c r="CP629" i="49"/>
  <c r="CO629" i="49"/>
  <c r="CR628" i="49"/>
  <c r="CQ628" i="49"/>
  <c r="CP628" i="49"/>
  <c r="CS628" i="49"/>
  <c r="CT628" i="49" s="1"/>
  <c r="CU628" i="49" s="1"/>
  <c r="CV628" i="49" s="1"/>
  <c r="CR627" i="49"/>
  <c r="CQ627" i="49"/>
  <c r="CP627" i="49"/>
  <c r="CS627" i="49"/>
  <c r="CT627" i="49" s="1"/>
  <c r="CU627" i="49" s="1"/>
  <c r="CV627" i="49" s="1"/>
  <c r="CR626" i="49"/>
  <c r="CQ626" i="49"/>
  <c r="CP626" i="49"/>
  <c r="CS625" i="49"/>
  <c r="CT625" i="49" s="1"/>
  <c r="CU625" i="49" s="1"/>
  <c r="CV625" i="49" s="1"/>
  <c r="CR625" i="49"/>
  <c r="CQ625" i="49"/>
  <c r="CP625" i="49"/>
  <c r="CO625" i="49"/>
  <c r="CR624" i="49"/>
  <c r="CQ624" i="49"/>
  <c r="CP624" i="49"/>
  <c r="CS624" i="49"/>
  <c r="CT624" i="49" s="1"/>
  <c r="CU624" i="49" s="1"/>
  <c r="CV624" i="49" s="1"/>
  <c r="CR623" i="49"/>
  <c r="CQ623" i="49"/>
  <c r="CP623" i="49"/>
  <c r="CS623" i="49"/>
  <c r="CT623" i="49" s="1"/>
  <c r="CU623" i="49" s="1"/>
  <c r="CV623" i="49" s="1"/>
  <c r="CR621" i="49"/>
  <c r="CQ621" i="49"/>
  <c r="CP621" i="49"/>
  <c r="CJ621" i="49"/>
  <c r="CJ764" i="49" s="1"/>
  <c r="CJ620" i="49"/>
  <c r="CJ687" i="49" s="1"/>
  <c r="CJ619" i="49"/>
  <c r="CJ618" i="49"/>
  <c r="CJ760" i="49" s="1"/>
  <c r="CJ617" i="49"/>
  <c r="CJ616" i="49"/>
  <c r="CJ615" i="49"/>
  <c r="CJ614" i="49"/>
  <c r="CJ756" i="49" s="1"/>
  <c r="CJ613" i="49"/>
  <c r="CJ612" i="49"/>
  <c r="CJ754" i="49" s="1"/>
  <c r="CJ611" i="49"/>
  <c r="CJ610" i="49"/>
  <c r="CJ752" i="49" s="1"/>
  <c r="CJ609" i="49"/>
  <c r="CJ608" i="49"/>
  <c r="CJ750" i="49" s="1"/>
  <c r="CJ607" i="49"/>
  <c r="CJ606" i="49"/>
  <c r="CJ605" i="49"/>
  <c r="CJ604" i="49"/>
  <c r="CE621" i="49"/>
  <c r="CE764" i="49" s="1"/>
  <c r="CE620" i="49"/>
  <c r="CE687" i="49" s="1"/>
  <c r="CE619" i="49"/>
  <c r="CE618" i="49"/>
  <c r="CE617" i="49"/>
  <c r="CE616" i="49"/>
  <c r="CE615" i="49"/>
  <c r="CE614" i="49"/>
  <c r="CE756" i="49" s="1"/>
  <c r="CE613" i="49"/>
  <c r="CE612" i="49"/>
  <c r="CE754" i="49" s="1"/>
  <c r="CE611" i="49"/>
  <c r="CE610" i="49"/>
  <c r="CE752" i="49" s="1"/>
  <c r="CE609" i="49"/>
  <c r="CE608" i="49"/>
  <c r="CE750" i="49" s="1"/>
  <c r="CE607" i="49"/>
  <c r="CE606" i="49"/>
  <c r="CE605" i="49"/>
  <c r="BZ621" i="49"/>
  <c r="BZ764" i="49" s="1"/>
  <c r="BZ620" i="49"/>
  <c r="BZ687" i="49" s="1"/>
  <c r="BZ619" i="49"/>
  <c r="BZ761" i="49" s="1"/>
  <c r="BZ618" i="49"/>
  <c r="BZ617" i="49"/>
  <c r="BZ616" i="49"/>
  <c r="BZ615" i="49"/>
  <c r="BZ614" i="49"/>
  <c r="BZ756" i="49" s="1"/>
  <c r="BZ613" i="49"/>
  <c r="BZ612" i="49"/>
  <c r="BZ754" i="49" s="1"/>
  <c r="BZ611" i="49"/>
  <c r="BZ610" i="49"/>
  <c r="BZ752" i="49" s="1"/>
  <c r="BZ609" i="49"/>
  <c r="BZ608" i="49"/>
  <c r="BZ750" i="49" s="1"/>
  <c r="BZ607" i="49"/>
  <c r="BZ606" i="49"/>
  <c r="BZ605" i="49"/>
  <c r="BZ672" i="49" s="1"/>
  <c r="BU621" i="49"/>
  <c r="BU764" i="49" s="1"/>
  <c r="BU620" i="49"/>
  <c r="BU687" i="49" s="1"/>
  <c r="BU619" i="49"/>
  <c r="BU618" i="49"/>
  <c r="BU617" i="49"/>
  <c r="BU616" i="49"/>
  <c r="BU615" i="49"/>
  <c r="BP621" i="49"/>
  <c r="BK621" i="49"/>
  <c r="BK764" i="49" s="1"/>
  <c r="BF621" i="49"/>
  <c r="BF764" i="49" s="1"/>
  <c r="BA621" i="49"/>
  <c r="BA764" i="49" s="1"/>
  <c r="AV621" i="49"/>
  <c r="AV764" i="49" s="1"/>
  <c r="AQ621" i="49"/>
  <c r="AQ764" i="49" s="1"/>
  <c r="AL621" i="49"/>
  <c r="AL764" i="49" s="1"/>
  <c r="AG621" i="49"/>
  <c r="AG764" i="49" s="1"/>
  <c r="AB621" i="49"/>
  <c r="AB764" i="49" s="1"/>
  <c r="W621" i="49"/>
  <c r="W764" i="49" s="1"/>
  <c r="R621" i="49"/>
  <c r="R764" i="49" s="1"/>
  <c r="N621" i="49"/>
  <c r="N764" i="49" s="1"/>
  <c r="L621" i="49"/>
  <c r="L764" i="49" s="1"/>
  <c r="K621" i="49"/>
  <c r="J621" i="49"/>
  <c r="I621" i="49"/>
  <c r="I764" i="49" s="1"/>
  <c r="CT620" i="49"/>
  <c r="CT687" i="49" s="1"/>
  <c r="CO620" i="49"/>
  <c r="CO687" i="49" s="1"/>
  <c r="CO619" i="49"/>
  <c r="CO618" i="49"/>
  <c r="CO616" i="49"/>
  <c r="CO615" i="49"/>
  <c r="CO613" i="49"/>
  <c r="CO611" i="49"/>
  <c r="CO609" i="49"/>
  <c r="CO608" i="49"/>
  <c r="CO750" i="49" s="1"/>
  <c r="CO607" i="49"/>
  <c r="BP619" i="49"/>
  <c r="BP618" i="49"/>
  <c r="BP617" i="49"/>
  <c r="BP616" i="49"/>
  <c r="BP615" i="49"/>
  <c r="BP682" i="49" s="1"/>
  <c r="BK619" i="49"/>
  <c r="BK761" i="49" s="1"/>
  <c r="BK618" i="49"/>
  <c r="BK617" i="49"/>
  <c r="BK616" i="49"/>
  <c r="BK615" i="49"/>
  <c r="BF619" i="49"/>
  <c r="BF761" i="49" s="1"/>
  <c r="BF618" i="49"/>
  <c r="BF617" i="49"/>
  <c r="BF616" i="49"/>
  <c r="BF615" i="49"/>
  <c r="BA619" i="49"/>
  <c r="BA761" i="49" s="1"/>
  <c r="BA618" i="49"/>
  <c r="BA617" i="49"/>
  <c r="BA616" i="49"/>
  <c r="BA615" i="49"/>
  <c r="AV619" i="49"/>
  <c r="AV761" i="49" s="1"/>
  <c r="AV618" i="49"/>
  <c r="AV617" i="49"/>
  <c r="AV616" i="49"/>
  <c r="AV615" i="49"/>
  <c r="AQ619" i="49"/>
  <c r="AQ618" i="49"/>
  <c r="AQ617" i="49"/>
  <c r="AQ616" i="49"/>
  <c r="AQ615" i="49"/>
  <c r="AL619" i="49"/>
  <c r="AL761" i="49" s="1"/>
  <c r="AL618" i="49"/>
  <c r="AL617" i="49"/>
  <c r="AL616" i="49"/>
  <c r="AL615" i="49"/>
  <c r="AG619" i="49"/>
  <c r="AG761" i="49" s="1"/>
  <c r="AG618" i="49"/>
  <c r="AG617" i="49"/>
  <c r="AG616" i="49"/>
  <c r="AG615" i="49"/>
  <c r="AB619" i="49"/>
  <c r="AB761" i="49" s="1"/>
  <c r="AB618" i="49"/>
  <c r="AB617" i="49"/>
  <c r="AB616" i="49"/>
  <c r="AB615" i="49"/>
  <c r="AB682" i="49" s="1"/>
  <c r="W619" i="49"/>
  <c r="W761" i="49" s="1"/>
  <c r="W618" i="49"/>
  <c r="W617" i="49"/>
  <c r="W616" i="49"/>
  <c r="W615" i="49"/>
  <c r="R619" i="49"/>
  <c r="R761" i="49" s="1"/>
  <c r="N619" i="49"/>
  <c r="N761" i="49" s="1"/>
  <c r="L619" i="49"/>
  <c r="L761" i="49" s="1"/>
  <c r="J619" i="49"/>
  <c r="I619" i="49"/>
  <c r="I761" i="49" s="1"/>
  <c r="CS617" i="49"/>
  <c r="CT617" i="49" s="1"/>
  <c r="CU617" i="49" s="1"/>
  <c r="CV617" i="49" s="1"/>
  <c r="CS615" i="49"/>
  <c r="CT615" i="49" s="1"/>
  <c r="CU615" i="49" s="1"/>
  <c r="CV615" i="49" s="1"/>
  <c r="CS612" i="49"/>
  <c r="CS611" i="49"/>
  <c r="CT611" i="49" s="1"/>
  <c r="CU611" i="49" s="1"/>
  <c r="CV611" i="49" s="1"/>
  <c r="BU613" i="49"/>
  <c r="BU612" i="49"/>
  <c r="BU754" i="49" s="1"/>
  <c r="BU611" i="49"/>
  <c r="BU610" i="49"/>
  <c r="BU752" i="49" s="1"/>
  <c r="BU609" i="49"/>
  <c r="BU608" i="49"/>
  <c r="BU750" i="49" s="1"/>
  <c r="BU607" i="49"/>
  <c r="BU749" i="49" s="1"/>
  <c r="BU606" i="49"/>
  <c r="BU605" i="49"/>
  <c r="BP613" i="49"/>
  <c r="BP612" i="49"/>
  <c r="BP754" i="49" s="1"/>
  <c r="BP611" i="49"/>
  <c r="BP610" i="49"/>
  <c r="BP752" i="49" s="1"/>
  <c r="BP609" i="49"/>
  <c r="BP608" i="49"/>
  <c r="BP750" i="49" s="1"/>
  <c r="BP607" i="49"/>
  <c r="BP749" i="49" s="1"/>
  <c r="BP606" i="49"/>
  <c r="BP605" i="49"/>
  <c r="BK613" i="49"/>
  <c r="BK612" i="49"/>
  <c r="BK754" i="49" s="1"/>
  <c r="BK611" i="49"/>
  <c r="BK610" i="49"/>
  <c r="BK752" i="49" s="1"/>
  <c r="BK609" i="49"/>
  <c r="BK608" i="49"/>
  <c r="BK750" i="49" s="1"/>
  <c r="BK607" i="49"/>
  <c r="BK749" i="49" s="1"/>
  <c r="BK606" i="49"/>
  <c r="BK605" i="49"/>
  <c r="BF613" i="49"/>
  <c r="BF612" i="49"/>
  <c r="BF754" i="49" s="1"/>
  <c r="BF611" i="49"/>
  <c r="BF610" i="49"/>
  <c r="BF752" i="49" s="1"/>
  <c r="BF609" i="49"/>
  <c r="BF608" i="49"/>
  <c r="BF750" i="49" s="1"/>
  <c r="BF607" i="49"/>
  <c r="BF749" i="49" s="1"/>
  <c r="BF606" i="49"/>
  <c r="BF635" i="49" s="1"/>
  <c r="BF605" i="49"/>
  <c r="BA613" i="49"/>
  <c r="BA612" i="49"/>
  <c r="BA754" i="49" s="1"/>
  <c r="BA611" i="49"/>
  <c r="BA753" i="49" s="1"/>
  <c r="BA610" i="49"/>
  <c r="BA752" i="49" s="1"/>
  <c r="BA609" i="49"/>
  <c r="BA608" i="49"/>
  <c r="BA750" i="49" s="1"/>
  <c r="BA607" i="49"/>
  <c r="BA749" i="49" s="1"/>
  <c r="BA606" i="49"/>
  <c r="BA605" i="49"/>
  <c r="AV613" i="49"/>
  <c r="AV612" i="49"/>
  <c r="AV611" i="49"/>
  <c r="AV753" i="49" s="1"/>
  <c r="AV610" i="49"/>
  <c r="AV752" i="49" s="1"/>
  <c r="AV609" i="49"/>
  <c r="AV608" i="49"/>
  <c r="AV750" i="49" s="1"/>
  <c r="AV607" i="49"/>
  <c r="AV749" i="49" s="1"/>
  <c r="AV606" i="49"/>
  <c r="AV605" i="49"/>
  <c r="AQ613" i="49"/>
  <c r="AQ612" i="49"/>
  <c r="AQ754" i="49" s="1"/>
  <c r="AQ611" i="49"/>
  <c r="AQ753" i="49" s="1"/>
  <c r="AQ610" i="49"/>
  <c r="AQ752" i="49" s="1"/>
  <c r="AQ609" i="49"/>
  <c r="AQ608" i="49"/>
  <c r="AQ750" i="49" s="1"/>
  <c r="AQ607" i="49"/>
  <c r="AQ749" i="49" s="1"/>
  <c r="AQ606" i="49"/>
  <c r="AQ605" i="49"/>
  <c r="AL613" i="49"/>
  <c r="AL612" i="49"/>
  <c r="AL754" i="49" s="1"/>
  <c r="AL611" i="49"/>
  <c r="AL753" i="49" s="1"/>
  <c r="AL610" i="49"/>
  <c r="AL752" i="49" s="1"/>
  <c r="AL609" i="49"/>
  <c r="AL608" i="49"/>
  <c r="AL750" i="49" s="1"/>
  <c r="AL607" i="49"/>
  <c r="AL749" i="49" s="1"/>
  <c r="AL606" i="49"/>
  <c r="AL635" i="49" s="1"/>
  <c r="AL605" i="49"/>
  <c r="AG613" i="49"/>
  <c r="AG612" i="49"/>
  <c r="AG754" i="49" s="1"/>
  <c r="AG611" i="49"/>
  <c r="AG753" i="49" s="1"/>
  <c r="AG610" i="49"/>
  <c r="AG609" i="49"/>
  <c r="AG608" i="49"/>
  <c r="AG750" i="49" s="1"/>
  <c r="AG607" i="49"/>
  <c r="AG749" i="49" s="1"/>
  <c r="AG606" i="49"/>
  <c r="AG605" i="49"/>
  <c r="AB613" i="49"/>
  <c r="AB612" i="49"/>
  <c r="AB611" i="49"/>
  <c r="AB753" i="49" s="1"/>
  <c r="AB610" i="49"/>
  <c r="AB752" i="49" s="1"/>
  <c r="AB609" i="49"/>
  <c r="AB608" i="49"/>
  <c r="AB607" i="49"/>
  <c r="AB749" i="49" s="1"/>
  <c r="AB606" i="49"/>
  <c r="AB605" i="49"/>
  <c r="W613" i="49"/>
  <c r="W612" i="49"/>
  <c r="W754" i="49" s="1"/>
  <c r="W611" i="49"/>
  <c r="W753" i="49" s="1"/>
  <c r="W610" i="49"/>
  <c r="W752" i="49" s="1"/>
  <c r="W609" i="49"/>
  <c r="W608" i="49"/>
  <c r="W750" i="49" s="1"/>
  <c r="W607" i="49"/>
  <c r="W749" i="49" s="1"/>
  <c r="W606" i="49"/>
  <c r="W605" i="49"/>
  <c r="R613" i="49"/>
  <c r="R680" i="49" s="1"/>
  <c r="N613" i="49"/>
  <c r="N680" i="49" s="1"/>
  <c r="M613" i="49"/>
  <c r="L613" i="49"/>
  <c r="L680" i="49" s="1"/>
  <c r="J613" i="49"/>
  <c r="J680" i="49" s="1"/>
  <c r="I613" i="49"/>
  <c r="I680" i="49" s="1"/>
  <c r="R609" i="49"/>
  <c r="O609" i="49"/>
  <c r="O676" i="49" s="1"/>
  <c r="N609" i="49"/>
  <c r="N676" i="49" s="1"/>
  <c r="L609" i="49"/>
  <c r="L676" i="49" s="1"/>
  <c r="K609" i="49"/>
  <c r="K676" i="49" s="1"/>
  <c r="J609" i="49"/>
  <c r="J676" i="49" s="1"/>
  <c r="I609" i="49"/>
  <c r="I676" i="49" s="1"/>
  <c r="CN674" i="49"/>
  <c r="CO606" i="49"/>
  <c r="CS605" i="49"/>
  <c r="CT605" i="49" s="1"/>
  <c r="CU605" i="49" s="1"/>
  <c r="CV605" i="49" s="1"/>
  <c r="R606" i="49"/>
  <c r="R673" i="49" s="1"/>
  <c r="R605" i="49"/>
  <c r="R874" i="49" s="1"/>
  <c r="O606" i="49"/>
  <c r="O673" i="49" s="1"/>
  <c r="N606" i="49"/>
  <c r="N673" i="49" s="1"/>
  <c r="K606" i="49"/>
  <c r="K673" i="49" s="1"/>
  <c r="J606" i="49"/>
  <c r="I606" i="49"/>
  <c r="I673" i="49" s="1"/>
  <c r="O605" i="49"/>
  <c r="N605" i="49"/>
  <c r="K605" i="49"/>
  <c r="J605" i="49"/>
  <c r="I605" i="49"/>
  <c r="CS619" i="49"/>
  <c r="CT619" i="49" s="1"/>
  <c r="CU619" i="49" s="1"/>
  <c r="CV619" i="49" s="1"/>
  <c r="CR619" i="49"/>
  <c r="CQ619" i="49"/>
  <c r="CP619" i="49"/>
  <c r="CS618" i="49"/>
  <c r="CT618" i="49" s="1"/>
  <c r="CU618" i="49" s="1"/>
  <c r="CV618" i="49" s="1"/>
  <c r="CR618" i="49"/>
  <c r="CQ618" i="49"/>
  <c r="CP618" i="49"/>
  <c r="CR617" i="49"/>
  <c r="CQ617" i="49"/>
  <c r="CP617" i="49"/>
  <c r="CS616" i="49"/>
  <c r="CT616" i="49" s="1"/>
  <c r="CU616" i="49" s="1"/>
  <c r="CV616" i="49" s="1"/>
  <c r="CR616" i="49"/>
  <c r="CQ616" i="49"/>
  <c r="CP616" i="49"/>
  <c r="CR615" i="49"/>
  <c r="CQ615" i="49"/>
  <c r="CP615" i="49"/>
  <c r="CR614" i="49"/>
  <c r="CQ614" i="49"/>
  <c r="CP614" i="49"/>
  <c r="CS613" i="49"/>
  <c r="CT613" i="49" s="1"/>
  <c r="CU613" i="49" s="1"/>
  <c r="CV613" i="49" s="1"/>
  <c r="CR613" i="49"/>
  <c r="CQ613" i="49"/>
  <c r="CP613" i="49"/>
  <c r="CR612" i="49"/>
  <c r="CR754" i="49" s="1"/>
  <c r="CQ612" i="49"/>
  <c r="CQ754" i="49" s="1"/>
  <c r="CP612" i="49"/>
  <c r="CP754" i="49" s="1"/>
  <c r="CR611" i="49"/>
  <c r="CQ611" i="49"/>
  <c r="CP611" i="49"/>
  <c r="CR610" i="49"/>
  <c r="CR752" i="49" s="1"/>
  <c r="CQ610" i="49"/>
  <c r="CQ752" i="49" s="1"/>
  <c r="CP610" i="49"/>
  <c r="CP752" i="49" s="1"/>
  <c r="CS609" i="49"/>
  <c r="CT609" i="49" s="1"/>
  <c r="CU609" i="49" s="1"/>
  <c r="CV609" i="49" s="1"/>
  <c r="CR609" i="49"/>
  <c r="CQ609" i="49"/>
  <c r="CS608" i="49"/>
  <c r="CT608" i="49" s="1"/>
  <c r="CR608" i="49"/>
  <c r="CQ608" i="49"/>
  <c r="CP608" i="49"/>
  <c r="CS607" i="49"/>
  <c r="CT607" i="49" s="1"/>
  <c r="CU607" i="49" s="1"/>
  <c r="CV607" i="49" s="1"/>
  <c r="CR607" i="49"/>
  <c r="CQ607" i="49"/>
  <c r="CP607" i="49"/>
  <c r="CR606" i="49"/>
  <c r="CQ606" i="49"/>
  <c r="CP606" i="49"/>
  <c r="CR605" i="49"/>
  <c r="CQ605" i="49"/>
  <c r="CP605" i="49"/>
  <c r="CR604" i="49"/>
  <c r="CQ604" i="49"/>
  <c r="CP604" i="49"/>
  <c r="CG601" i="49"/>
  <c r="CF601" i="49"/>
  <c r="CD601" i="49"/>
  <c r="CC601" i="49"/>
  <c r="CA601" i="49"/>
  <c r="BY601" i="49"/>
  <c r="BM601" i="49"/>
  <c r="AW601" i="49"/>
  <c r="AU601" i="49"/>
  <c r="AS601" i="49"/>
  <c r="AP601" i="49"/>
  <c r="AO601" i="49"/>
  <c r="AN601" i="49"/>
  <c r="AM601" i="49"/>
  <c r="AK601" i="49"/>
  <c r="AJ601" i="49"/>
  <c r="AI601" i="49"/>
  <c r="AH601" i="49"/>
  <c r="AF601" i="49"/>
  <c r="AE601" i="49"/>
  <c r="AD601" i="49"/>
  <c r="AC601" i="49"/>
  <c r="AA601" i="49"/>
  <c r="Y601" i="49"/>
  <c r="X601" i="49"/>
  <c r="V601" i="49"/>
  <c r="U601" i="49"/>
  <c r="T601" i="49"/>
  <c r="Q601" i="49"/>
  <c r="P601" i="49"/>
  <c r="M601" i="49"/>
  <c r="CH599" i="49"/>
  <c r="CI598" i="49"/>
  <c r="CI740" i="49" s="1"/>
  <c r="CJ740" i="49" s="1"/>
  <c r="CH598" i="49"/>
  <c r="CH597" i="49"/>
  <c r="CH698" i="49" s="1"/>
  <c r="CI596" i="49"/>
  <c r="CH596" i="49"/>
  <c r="CH697" i="49" s="1"/>
  <c r="CH595" i="49"/>
  <c r="CI595" i="49" s="1"/>
  <c r="CJ594" i="49"/>
  <c r="CJ593" i="49"/>
  <c r="CJ694" i="49" s="1"/>
  <c r="CJ592" i="49"/>
  <c r="CJ591" i="49"/>
  <c r="CJ692" i="49" s="1"/>
  <c r="CJ590" i="49"/>
  <c r="CJ691" i="49" s="1"/>
  <c r="CJ589" i="49"/>
  <c r="CO599" i="49"/>
  <c r="CO598" i="49"/>
  <c r="CO597" i="49"/>
  <c r="CN698" i="49"/>
  <c r="CO595" i="49"/>
  <c r="CO593" i="49"/>
  <c r="CN694" i="49"/>
  <c r="CO591" i="49"/>
  <c r="CN692" i="49"/>
  <c r="CO589" i="49"/>
  <c r="CP589" i="49" s="1"/>
  <c r="CN690" i="49"/>
  <c r="CE587" i="49"/>
  <c r="CE688" i="49" s="1"/>
  <c r="CE586" i="49"/>
  <c r="CE686" i="49" s="1"/>
  <c r="CE585" i="49"/>
  <c r="CE685" i="49" s="1"/>
  <c r="CE584" i="49"/>
  <c r="CE583" i="49"/>
  <c r="CE582" i="49"/>
  <c r="CE682" i="49" s="1"/>
  <c r="CE581" i="49"/>
  <c r="CE580" i="49"/>
  <c r="CE579" i="49"/>
  <c r="CE578" i="49"/>
  <c r="CE678" i="49" s="1"/>
  <c r="CE577" i="49"/>
  <c r="CE677" i="49" s="1"/>
  <c r="CE576" i="49"/>
  <c r="CE575" i="49"/>
  <c r="CE574" i="49"/>
  <c r="CE674" i="49" s="1"/>
  <c r="CE573" i="49"/>
  <c r="CE572" i="49"/>
  <c r="BZ587" i="49"/>
  <c r="BZ586" i="49"/>
  <c r="BZ686" i="49" s="1"/>
  <c r="BZ585" i="49"/>
  <c r="BZ685" i="49" s="1"/>
  <c r="BZ584" i="49"/>
  <c r="BZ583" i="49"/>
  <c r="BZ683" i="49" s="1"/>
  <c r="BZ582" i="49"/>
  <c r="BZ682" i="49" s="1"/>
  <c r="BZ581" i="49"/>
  <c r="BZ722" i="49" s="1"/>
  <c r="BZ580" i="49"/>
  <c r="BZ579" i="49"/>
  <c r="BZ679" i="49" s="1"/>
  <c r="BZ578" i="49"/>
  <c r="BZ678" i="49" s="1"/>
  <c r="BZ577" i="49"/>
  <c r="BZ677" i="49" s="1"/>
  <c r="BZ575" i="49"/>
  <c r="BZ675" i="49" s="1"/>
  <c r="BZ574" i="49"/>
  <c r="BZ674" i="49" s="1"/>
  <c r="BZ573" i="49"/>
  <c r="BZ572" i="49"/>
  <c r="BU587" i="49"/>
  <c r="BU688" i="49" s="1"/>
  <c r="BU586" i="49"/>
  <c r="BU686" i="49" s="1"/>
  <c r="BU585" i="49"/>
  <c r="BU584" i="49"/>
  <c r="BU583" i="49"/>
  <c r="BU683" i="49" s="1"/>
  <c r="BU582" i="49"/>
  <c r="BP587" i="49"/>
  <c r="BP586" i="49"/>
  <c r="BP585" i="49"/>
  <c r="BP685" i="49" s="1"/>
  <c r="BP584" i="49"/>
  <c r="BP684" i="49" s="1"/>
  <c r="BP583" i="49"/>
  <c r="BP683" i="49" s="1"/>
  <c r="BP582" i="49"/>
  <c r="BK587" i="49"/>
  <c r="BK688" i="49" s="1"/>
  <c r="BK586" i="49"/>
  <c r="BK686" i="49" s="1"/>
  <c r="BK585" i="49"/>
  <c r="BK685" i="49" s="1"/>
  <c r="BK584" i="49"/>
  <c r="BK583" i="49"/>
  <c r="BK582" i="49"/>
  <c r="BK682" i="49" s="1"/>
  <c r="BF587" i="49"/>
  <c r="BF688" i="49" s="1"/>
  <c r="BF586" i="49"/>
  <c r="BF686" i="49" s="1"/>
  <c r="BF585" i="49"/>
  <c r="BF685" i="49" s="1"/>
  <c r="BF584" i="49"/>
  <c r="BF684" i="49" s="1"/>
  <c r="BF583" i="49"/>
  <c r="BF683" i="49" s="1"/>
  <c r="BF582" i="49"/>
  <c r="BF682" i="49" s="1"/>
  <c r="BA587" i="49"/>
  <c r="BA586" i="49"/>
  <c r="BA585" i="49"/>
  <c r="BA685" i="49" s="1"/>
  <c r="BA584" i="49"/>
  <c r="BA583" i="49"/>
  <c r="BA683" i="49" s="1"/>
  <c r="BA582" i="49"/>
  <c r="BA682" i="49" s="1"/>
  <c r="AV587" i="49"/>
  <c r="AV586" i="49"/>
  <c r="AV585" i="49"/>
  <c r="AV584" i="49"/>
  <c r="AV684" i="49" s="1"/>
  <c r="AV583" i="49"/>
  <c r="AV683" i="49" s="1"/>
  <c r="AV582" i="49"/>
  <c r="AQ587" i="49"/>
  <c r="AQ688" i="49" s="1"/>
  <c r="AQ586" i="49"/>
  <c r="AQ686" i="49" s="1"/>
  <c r="AQ585" i="49"/>
  <c r="AQ685" i="49" s="1"/>
  <c r="AQ584" i="49"/>
  <c r="AQ583" i="49"/>
  <c r="AQ582" i="49"/>
  <c r="AQ682" i="49" s="1"/>
  <c r="AL587" i="49"/>
  <c r="AL688" i="49" s="1"/>
  <c r="AL586" i="49"/>
  <c r="AL686" i="49" s="1"/>
  <c r="AL585" i="49"/>
  <c r="AL685" i="49" s="1"/>
  <c r="AL584" i="49"/>
  <c r="AL684" i="49" s="1"/>
  <c r="AL583" i="49"/>
  <c r="AL683" i="49" s="1"/>
  <c r="AL582" i="49"/>
  <c r="AL682" i="49" s="1"/>
  <c r="AG587" i="49"/>
  <c r="AG688" i="49" s="1"/>
  <c r="AG586" i="49"/>
  <c r="AG686" i="49" s="1"/>
  <c r="AG585" i="49"/>
  <c r="AG685" i="49" s="1"/>
  <c r="AG584" i="49"/>
  <c r="AG684" i="49" s="1"/>
  <c r="AG583" i="49"/>
  <c r="AG582" i="49"/>
  <c r="AG682" i="49" s="1"/>
  <c r="AB587" i="49"/>
  <c r="AB688" i="49" s="1"/>
  <c r="AB586" i="49"/>
  <c r="AB585" i="49"/>
  <c r="AB685" i="49" s="1"/>
  <c r="AB584" i="49"/>
  <c r="AB583" i="49"/>
  <c r="AB683" i="49" s="1"/>
  <c r="AB582" i="49"/>
  <c r="W587" i="49"/>
  <c r="W688" i="49" s="1"/>
  <c r="W586" i="49"/>
  <c r="W686" i="49" s="1"/>
  <c r="W585" i="49"/>
  <c r="W685" i="49" s="1"/>
  <c r="W584" i="49"/>
  <c r="W583" i="49"/>
  <c r="W582" i="49"/>
  <c r="W682" i="49" s="1"/>
  <c r="CH587" i="49"/>
  <c r="CH688" i="49" s="1"/>
  <c r="CI586" i="49"/>
  <c r="CH586" i="49"/>
  <c r="CH686" i="49" s="1"/>
  <c r="CH585" i="49"/>
  <c r="CI584" i="49"/>
  <c r="CI684" i="49" s="1"/>
  <c r="CH584" i="49"/>
  <c r="CH583" i="49"/>
  <c r="CI583" i="49" s="1"/>
  <c r="CJ582" i="49"/>
  <c r="CJ682" i="49" s="1"/>
  <c r="CJ581" i="49"/>
  <c r="CJ580" i="49"/>
  <c r="CJ579" i="49"/>
  <c r="CJ578" i="49"/>
  <c r="CJ577" i="49"/>
  <c r="CJ576" i="49"/>
  <c r="CJ676" i="49" s="1"/>
  <c r="CJ575" i="49"/>
  <c r="CJ574" i="49"/>
  <c r="CJ674" i="49" s="1"/>
  <c r="CJ573" i="49"/>
  <c r="CJ572" i="49"/>
  <c r="CJ672" i="49" s="1"/>
  <c r="CJ571" i="49"/>
  <c r="BU580" i="49"/>
  <c r="BU680" i="49" s="1"/>
  <c r="BU579" i="49"/>
  <c r="BU679" i="49" s="1"/>
  <c r="BU578" i="49"/>
  <c r="BU577" i="49"/>
  <c r="BU677" i="49" s="1"/>
  <c r="BU576" i="49"/>
  <c r="BU676" i="49" s="1"/>
  <c r="BU575" i="49"/>
  <c r="BU675" i="49" s="1"/>
  <c r="BU574" i="49"/>
  <c r="BU573" i="49"/>
  <c r="BU572" i="49"/>
  <c r="BU672" i="49" s="1"/>
  <c r="BQ580" i="49"/>
  <c r="BQ680" i="49" s="1"/>
  <c r="BO580" i="49"/>
  <c r="BO680" i="49" s="1"/>
  <c r="BN580" i="49"/>
  <c r="BN680" i="49" s="1"/>
  <c r="BM580" i="49"/>
  <c r="BM680" i="49" s="1"/>
  <c r="BL580" i="49"/>
  <c r="BK580" i="49"/>
  <c r="BJ580" i="49"/>
  <c r="BJ680" i="49" s="1"/>
  <c r="BI580" i="49"/>
  <c r="BI680" i="49" s="1"/>
  <c r="BH580" i="49"/>
  <c r="BG580" i="49"/>
  <c r="BG680" i="49" s="1"/>
  <c r="BE580" i="49"/>
  <c r="BA580" i="49"/>
  <c r="BA680" i="49" s="1"/>
  <c r="BA579" i="49"/>
  <c r="BA679" i="49" s="1"/>
  <c r="BA578" i="49"/>
  <c r="BA577" i="49"/>
  <c r="BA677" i="49" s="1"/>
  <c r="BA575" i="49"/>
  <c r="BA675" i="49" s="1"/>
  <c r="BA574" i="49"/>
  <c r="BA573" i="49"/>
  <c r="BA673" i="49" s="1"/>
  <c r="AV580" i="49"/>
  <c r="AV579" i="49"/>
  <c r="AV578" i="49"/>
  <c r="AV678" i="49" s="1"/>
  <c r="AV577" i="49"/>
  <c r="AV576" i="49"/>
  <c r="AV575" i="49"/>
  <c r="AV574" i="49"/>
  <c r="AV674" i="49" s="1"/>
  <c r="AV573" i="49"/>
  <c r="AV572" i="49"/>
  <c r="AV601" i="49" s="1"/>
  <c r="AQ580" i="49"/>
  <c r="AQ579" i="49"/>
  <c r="AQ679" i="49" s="1"/>
  <c r="AQ578" i="49"/>
  <c r="AQ678" i="49" s="1"/>
  <c r="AQ577" i="49"/>
  <c r="AQ677" i="49" s="1"/>
  <c r="AQ576" i="49"/>
  <c r="AQ575" i="49"/>
  <c r="AQ675" i="49" s="1"/>
  <c r="AQ574" i="49"/>
  <c r="AQ674" i="49" s="1"/>
  <c r="AQ573" i="49"/>
  <c r="AQ673" i="49" s="1"/>
  <c r="AQ572" i="49"/>
  <c r="AL580" i="49"/>
  <c r="AL680" i="49" s="1"/>
  <c r="AL579" i="49"/>
  <c r="AL679" i="49" s="1"/>
  <c r="AL578" i="49"/>
  <c r="AL678" i="49" s="1"/>
  <c r="AL577" i="49"/>
  <c r="AL576" i="49"/>
  <c r="AL676" i="49" s="1"/>
  <c r="AL575" i="49"/>
  <c r="AL675" i="49" s="1"/>
  <c r="AL574" i="49"/>
  <c r="AL674" i="49" s="1"/>
  <c r="AL573" i="49"/>
  <c r="AL572" i="49"/>
  <c r="AG580" i="49"/>
  <c r="AG680" i="49" s="1"/>
  <c r="AG579" i="49"/>
  <c r="AG679" i="49" s="1"/>
  <c r="AG578" i="49"/>
  <c r="AG577" i="49"/>
  <c r="AG677" i="49" s="1"/>
  <c r="AG576" i="49"/>
  <c r="AG676" i="49" s="1"/>
  <c r="AG575" i="49"/>
  <c r="AG675" i="49" s="1"/>
  <c r="AG819" i="49" s="1"/>
  <c r="AG574" i="49"/>
  <c r="AG573" i="49"/>
  <c r="AG673" i="49" s="1"/>
  <c r="AG572" i="49"/>
  <c r="AG672" i="49" s="1"/>
  <c r="AB580" i="49"/>
  <c r="AB579" i="49"/>
  <c r="AB578" i="49"/>
  <c r="AB577" i="49"/>
  <c r="AB576" i="49"/>
  <c r="AB575" i="49"/>
  <c r="AB574" i="49"/>
  <c r="AB573" i="49"/>
  <c r="AB572" i="49"/>
  <c r="AB601" i="49" s="1"/>
  <c r="W580" i="49"/>
  <c r="W579" i="49"/>
  <c r="W679" i="49" s="1"/>
  <c r="W578" i="49"/>
  <c r="W678" i="49" s="1"/>
  <c r="W577" i="49"/>
  <c r="W677" i="49" s="1"/>
  <c r="W576" i="49"/>
  <c r="W575" i="49"/>
  <c r="W675" i="49" s="1"/>
  <c r="W574" i="49"/>
  <c r="W674" i="49" s="1"/>
  <c r="W573" i="49"/>
  <c r="W673" i="49" s="1"/>
  <c r="W572" i="49"/>
  <c r="BP579" i="49"/>
  <c r="BP679" i="49" s="1"/>
  <c r="BP578" i="49"/>
  <c r="BP577" i="49"/>
  <c r="BP576" i="49"/>
  <c r="BP575" i="49"/>
  <c r="BP675" i="49" s="1"/>
  <c r="BP574" i="49"/>
  <c r="BP573" i="49"/>
  <c r="BP572" i="49"/>
  <c r="BK579" i="49"/>
  <c r="BK679" i="49" s="1"/>
  <c r="BK578" i="49"/>
  <c r="BK577" i="49"/>
  <c r="BK677" i="49" s="1"/>
  <c r="BK576" i="49"/>
  <c r="BK575" i="49"/>
  <c r="BK675" i="49" s="1"/>
  <c r="BK574" i="49"/>
  <c r="BK674" i="49" s="1"/>
  <c r="BK573" i="49"/>
  <c r="BK673" i="49" s="1"/>
  <c r="BK572" i="49"/>
  <c r="BF579" i="49"/>
  <c r="BF679" i="49" s="1"/>
  <c r="BF578" i="49"/>
  <c r="BF678" i="49" s="1"/>
  <c r="BF577" i="49"/>
  <c r="BF677" i="49" s="1"/>
  <c r="BF576" i="49"/>
  <c r="BF676" i="49" s="1"/>
  <c r="BF575" i="49"/>
  <c r="BF675" i="49" s="1"/>
  <c r="BF574" i="49"/>
  <c r="BF674" i="49" s="1"/>
  <c r="BF573" i="49"/>
  <c r="BF673" i="49" s="1"/>
  <c r="BF572" i="49"/>
  <c r="BF672" i="49" s="1"/>
  <c r="CO581" i="49"/>
  <c r="CN722" i="49"/>
  <c r="CO580" i="49"/>
  <c r="CP580" i="49" s="1"/>
  <c r="CO579" i="49"/>
  <c r="CP579" i="49" s="1"/>
  <c r="CP679" i="49" s="1"/>
  <c r="CO577" i="49"/>
  <c r="CP577" i="49" s="1"/>
  <c r="CN677" i="49"/>
  <c r="CO576" i="49"/>
  <c r="CC576" i="49"/>
  <c r="CC676" i="49" s="1"/>
  <c r="CB576" i="49"/>
  <c r="CB601" i="49" s="1"/>
  <c r="BY576" i="49"/>
  <c r="BY717" i="49" s="1"/>
  <c r="BZ717" i="49" s="1"/>
  <c r="BX576" i="49"/>
  <c r="BX601" i="49" s="1"/>
  <c r="BW576" i="49"/>
  <c r="BV576" i="49"/>
  <c r="BT576" i="49"/>
  <c r="BT601" i="49" s="1"/>
  <c r="BS576" i="49"/>
  <c r="BR576" i="49"/>
  <c r="BR717" i="49" s="1"/>
  <c r="BQ576" i="49"/>
  <c r="BQ601" i="49" s="1"/>
  <c r="BO576" i="49"/>
  <c r="BO676" i="49" s="1"/>
  <c r="BN576" i="49"/>
  <c r="BN717" i="49" s="1"/>
  <c r="BM576" i="49"/>
  <c r="BM717" i="49" s="1"/>
  <c r="BL576" i="49"/>
  <c r="BJ576" i="49"/>
  <c r="BJ717" i="49" s="1"/>
  <c r="BK717" i="49" s="1"/>
  <c r="BI576" i="49"/>
  <c r="BI717" i="49" s="1"/>
  <c r="BH576" i="49"/>
  <c r="BH601" i="49" s="1"/>
  <c r="BG576" i="49"/>
  <c r="BE576" i="49"/>
  <c r="BE717" i="49" s="1"/>
  <c r="BF717" i="49" s="1"/>
  <c r="BD576" i="49"/>
  <c r="BC576" i="49"/>
  <c r="BC717" i="49" s="1"/>
  <c r="BB576" i="49"/>
  <c r="AZ576" i="49"/>
  <c r="AZ717" i="49" s="1"/>
  <c r="BA717" i="49" s="1"/>
  <c r="AY576" i="49"/>
  <c r="AY717" i="49" s="1"/>
  <c r="AX576" i="49"/>
  <c r="AX717" i="49" s="1"/>
  <c r="AW576" i="49"/>
  <c r="AU576" i="49"/>
  <c r="AU717" i="49" s="1"/>
  <c r="AV717" i="49" s="1"/>
  <c r="AT576" i="49"/>
  <c r="AT717" i="49" s="1"/>
  <c r="AS576" i="49"/>
  <c r="AS717" i="49" s="1"/>
  <c r="AR576" i="49"/>
  <c r="AR717" i="49" s="1"/>
  <c r="R576" i="49"/>
  <c r="R676" i="49" s="1"/>
  <c r="M576" i="49"/>
  <c r="CO573" i="49"/>
  <c r="BD572" i="49"/>
  <c r="BD601" i="49" s="1"/>
  <c r="BC572" i="49"/>
  <c r="BC672" i="49" s="1"/>
  <c r="BB572" i="49"/>
  <c r="AZ572" i="49"/>
  <c r="AZ601" i="49" s="1"/>
  <c r="AY572" i="49"/>
  <c r="AY672" i="49" s="1"/>
  <c r="AX572" i="49"/>
  <c r="AX672" i="49" s="1"/>
  <c r="AW572" i="49"/>
  <c r="AW672" i="49" s="1"/>
  <c r="AU572" i="49"/>
  <c r="AU672" i="49" s="1"/>
  <c r="AT572" i="49"/>
  <c r="AT672" i="49" s="1"/>
  <c r="AS572" i="49"/>
  <c r="AS672" i="49" s="1"/>
  <c r="AR572" i="49"/>
  <c r="AR601" i="49" s="1"/>
  <c r="AP572" i="49"/>
  <c r="AP672" i="49" s="1"/>
  <c r="AP703" i="49" s="1"/>
  <c r="Z572" i="49"/>
  <c r="Z672" i="49" s="1"/>
  <c r="Z703" i="49" s="1"/>
  <c r="S572" i="49"/>
  <c r="S713" i="49" s="1"/>
  <c r="R572" i="49"/>
  <c r="Q572" i="49"/>
  <c r="Q713" i="49" s="1"/>
  <c r="O572" i="49"/>
  <c r="O672" i="49" s="1"/>
  <c r="N572" i="49"/>
  <c r="N672" i="49" s="1"/>
  <c r="M572" i="49"/>
  <c r="L572" i="49"/>
  <c r="L601" i="49" s="1"/>
  <c r="K572" i="49"/>
  <c r="J572" i="49"/>
  <c r="J672" i="49" s="1"/>
  <c r="I572" i="49"/>
  <c r="I672" i="49" s="1"/>
  <c r="H572" i="49"/>
  <c r="H601" i="49" s="1"/>
  <c r="CO575" i="49"/>
  <c r="CO675" i="49" s="1"/>
  <c r="CO574" i="49"/>
  <c r="CP574" i="49" s="1"/>
  <c r="CO571" i="49"/>
  <c r="CP571" i="49" s="1"/>
  <c r="AL568" i="49"/>
  <c r="AK568" i="49"/>
  <c r="AJ568" i="49"/>
  <c r="AI568" i="49"/>
  <c r="AH568" i="49"/>
  <c r="AG568" i="49"/>
  <c r="AF568" i="49"/>
  <c r="AE568" i="49"/>
  <c r="AD568" i="49"/>
  <c r="AC568" i="49"/>
  <c r="AB568" i="49"/>
  <c r="AA568" i="49"/>
  <c r="Z568" i="49"/>
  <c r="Y568" i="49"/>
  <c r="X568" i="49"/>
  <c r="W568" i="49"/>
  <c r="V568" i="49"/>
  <c r="U568" i="49"/>
  <c r="T568" i="49"/>
  <c r="S568" i="49"/>
  <c r="R568" i="49"/>
  <c r="Q568" i="49"/>
  <c r="P568" i="49"/>
  <c r="O568" i="49"/>
  <c r="N568" i="49"/>
  <c r="M568" i="49"/>
  <c r="L568" i="49"/>
  <c r="K568" i="49"/>
  <c r="J568" i="49"/>
  <c r="I568" i="49"/>
  <c r="H568" i="49"/>
  <c r="G568" i="49"/>
  <c r="F568" i="49"/>
  <c r="E568" i="49"/>
  <c r="D568" i="49"/>
  <c r="CJ562" i="49"/>
  <c r="CJ561" i="49"/>
  <c r="CJ554" i="49"/>
  <c r="CJ839" i="49" s="1"/>
  <c r="CO562" i="49"/>
  <c r="CP562" i="49" s="1"/>
  <c r="CQ562" i="49" s="1"/>
  <c r="CR562" i="49" s="1"/>
  <c r="CS562" i="49" s="1"/>
  <c r="CT562" i="49" s="1"/>
  <c r="CU562" i="49" s="1"/>
  <c r="CV562" i="49" s="1"/>
  <c r="CO561" i="49"/>
  <c r="CP561" i="49" s="1"/>
  <c r="CQ561" i="49" s="1"/>
  <c r="CR561" i="49" s="1"/>
  <c r="CS561" i="49" s="1"/>
  <c r="CT561" i="49" s="1"/>
  <c r="CU561" i="49" s="1"/>
  <c r="CV561" i="49" s="1"/>
  <c r="CN559" i="49"/>
  <c r="CK560" i="49"/>
  <c r="CM559" i="49"/>
  <c r="CL559" i="49"/>
  <c r="CL844" i="49" s="1"/>
  <c r="CK559" i="49"/>
  <c r="CK844" i="49" s="1"/>
  <c r="CM558" i="49"/>
  <c r="CM843" i="49" s="1"/>
  <c r="CL558" i="49"/>
  <c r="CK558" i="49"/>
  <c r="CK843" i="49" s="1"/>
  <c r="CM557" i="49"/>
  <c r="CM842" i="49" s="1"/>
  <c r="CL557" i="49"/>
  <c r="CL842" i="49" s="1"/>
  <c r="CK557" i="49"/>
  <c r="CM556" i="49"/>
  <c r="CM841" i="49" s="1"/>
  <c r="CL556" i="49"/>
  <c r="CK556" i="49"/>
  <c r="CK841" i="49" s="1"/>
  <c r="CM555" i="49"/>
  <c r="CL555" i="49"/>
  <c r="CK555" i="49"/>
  <c r="CK840" i="49" s="1"/>
  <c r="CM554" i="49"/>
  <c r="CM839" i="49" s="1"/>
  <c r="CL554" i="49"/>
  <c r="CL839" i="49" s="1"/>
  <c r="CK554" i="49"/>
  <c r="CK839" i="49" s="1"/>
  <c r="CM553" i="49"/>
  <c r="CL553" i="49"/>
  <c r="CK553" i="49"/>
  <c r="CK838" i="49" s="1"/>
  <c r="CM552" i="49"/>
  <c r="CM837" i="49" s="1"/>
  <c r="CL552" i="49"/>
  <c r="CL837" i="49" s="1"/>
  <c r="CK552" i="49"/>
  <c r="CK837" i="49" s="1"/>
  <c r="CM551" i="49"/>
  <c r="CL551" i="49"/>
  <c r="CL836" i="49" s="1"/>
  <c r="CK551" i="49"/>
  <c r="CK836" i="49" s="1"/>
  <c r="CM550" i="49"/>
  <c r="CM835" i="49" s="1"/>
  <c r="CL550" i="49"/>
  <c r="CL835" i="49" s="1"/>
  <c r="CK550" i="49"/>
  <c r="CK835" i="49" s="1"/>
  <c r="CH560" i="49"/>
  <c r="CI559" i="49"/>
  <c r="CH559" i="49"/>
  <c r="CI558" i="49"/>
  <c r="CH558" i="49"/>
  <c r="CH843" i="49" s="1"/>
  <c r="CI557" i="49"/>
  <c r="CI556" i="49"/>
  <c r="CH556" i="49"/>
  <c r="CI554" i="49"/>
  <c r="CI839" i="49" s="1"/>
  <c r="CH554" i="49"/>
  <c r="CH839" i="49" s="1"/>
  <c r="CI552" i="49"/>
  <c r="CI837" i="49" s="1"/>
  <c r="CI551" i="49"/>
  <c r="CI836" i="49" s="1"/>
  <c r="CH551" i="49"/>
  <c r="CH836" i="49" s="1"/>
  <c r="CI550" i="49"/>
  <c r="CI835" i="49" s="1"/>
  <c r="CH550" i="49"/>
  <c r="CH835" i="49" s="1"/>
  <c r="CP548" i="49"/>
  <c r="CQ548" i="49" s="1"/>
  <c r="CR548" i="49" s="1"/>
  <c r="CS548" i="49" s="1"/>
  <c r="CV547" i="49"/>
  <c r="CU547" i="49"/>
  <c r="CT547" i="49"/>
  <c r="CO547" i="49"/>
  <c r="CN547" i="49"/>
  <c r="CM547" i="49"/>
  <c r="CL547" i="49"/>
  <c r="CK547" i="49"/>
  <c r="CJ547" i="49"/>
  <c r="CI547" i="49"/>
  <c r="CH547" i="49"/>
  <c r="CG547" i="49"/>
  <c r="CG833" i="49" s="1"/>
  <c r="CF547" i="49"/>
  <c r="CF833" i="49" s="1"/>
  <c r="CE547" i="49"/>
  <c r="CE833" i="49" s="1"/>
  <c r="CD547" i="49"/>
  <c r="CC547" i="49"/>
  <c r="CC833" i="49" s="1"/>
  <c r="CB547" i="49"/>
  <c r="CB833" i="49" s="1"/>
  <c r="CA547" i="49"/>
  <c r="CA833" i="49" s="1"/>
  <c r="BZ547" i="49"/>
  <c r="BY547" i="49"/>
  <c r="BY833" i="49" s="1"/>
  <c r="BX547" i="49"/>
  <c r="BX833" i="49" s="1"/>
  <c r="BW547" i="49"/>
  <c r="BW833" i="49" s="1"/>
  <c r="BV547" i="49"/>
  <c r="BU547" i="49"/>
  <c r="BU833" i="49" s="1"/>
  <c r="BT547" i="49"/>
  <c r="BT833" i="49" s="1"/>
  <c r="BS547" i="49"/>
  <c r="BS833" i="49" s="1"/>
  <c r="BR547" i="49"/>
  <c r="BQ547" i="49"/>
  <c r="BQ833" i="49" s="1"/>
  <c r="BO547" i="49"/>
  <c r="BO833" i="49" s="1"/>
  <c r="BN547" i="49"/>
  <c r="BM547" i="49"/>
  <c r="BM833" i="49" s="1"/>
  <c r="BL547" i="49"/>
  <c r="BL833" i="49" s="1"/>
  <c r="BK547" i="49"/>
  <c r="BK833" i="49" s="1"/>
  <c r="BJ547" i="49"/>
  <c r="BJ833" i="49" s="1"/>
  <c r="BI547" i="49"/>
  <c r="BI833" i="49" s="1"/>
  <c r="BH547" i="49"/>
  <c r="BH833" i="49" s="1"/>
  <c r="BG547" i="49"/>
  <c r="BG833" i="49" s="1"/>
  <c r="BF547" i="49"/>
  <c r="BE547" i="49"/>
  <c r="BE833" i="49" s="1"/>
  <c r="BD547" i="49"/>
  <c r="BD833" i="49" s="1"/>
  <c r="BC547" i="49"/>
  <c r="BC833" i="49" s="1"/>
  <c r="BB547" i="49"/>
  <c r="BB833" i="49" s="1"/>
  <c r="BA547" i="49"/>
  <c r="BA833" i="49" s="1"/>
  <c r="AZ547" i="49"/>
  <c r="AZ833" i="49" s="1"/>
  <c r="AY547" i="49"/>
  <c r="AY833" i="49" s="1"/>
  <c r="AX547" i="49"/>
  <c r="AX833" i="49" s="1"/>
  <c r="AW547" i="49"/>
  <c r="AW833" i="49" s="1"/>
  <c r="AV547" i="49"/>
  <c r="AU547" i="49"/>
  <c r="AU833" i="49" s="1"/>
  <c r="AT547" i="49"/>
  <c r="AT833" i="49" s="1"/>
  <c r="AS547" i="49"/>
  <c r="AS833" i="49" s="1"/>
  <c r="AR547" i="49"/>
  <c r="AR833" i="49" s="1"/>
  <c r="AQ547" i="49"/>
  <c r="AQ833" i="49" s="1"/>
  <c r="AP547" i="49"/>
  <c r="AP833" i="49" s="1"/>
  <c r="AO547" i="49"/>
  <c r="AO833" i="49" s="1"/>
  <c r="AN547" i="49"/>
  <c r="AM547" i="49"/>
  <c r="AM833" i="49" s="1"/>
  <c r="AL547" i="49"/>
  <c r="AK547" i="49"/>
  <c r="AK833" i="49" s="1"/>
  <c r="AJ547" i="49"/>
  <c r="AI547" i="49"/>
  <c r="AI833" i="49" s="1"/>
  <c r="AH547" i="49"/>
  <c r="AH833" i="49" s="1"/>
  <c r="AG547" i="49"/>
  <c r="AG833" i="49" s="1"/>
  <c r="AF547" i="49"/>
  <c r="AE547" i="49"/>
  <c r="AE833" i="49" s="1"/>
  <c r="AD547" i="49"/>
  <c r="AD833" i="49" s="1"/>
  <c r="AC547" i="49"/>
  <c r="AC833" i="49" s="1"/>
  <c r="AB547" i="49"/>
  <c r="AA547" i="49"/>
  <c r="AA833" i="49" s="1"/>
  <c r="Z547" i="49"/>
  <c r="Z833" i="49" s="1"/>
  <c r="Y547" i="49"/>
  <c r="Y833" i="49" s="1"/>
  <c r="X547" i="49"/>
  <c r="W547" i="49"/>
  <c r="W833" i="49" s="1"/>
  <c r="V547" i="49"/>
  <c r="V833" i="49" s="1"/>
  <c r="U547" i="49"/>
  <c r="U833" i="49" s="1"/>
  <c r="T547" i="49"/>
  <c r="T833" i="49" s="1"/>
  <c r="S547" i="49"/>
  <c r="S833" i="49" s="1"/>
  <c r="R547" i="49"/>
  <c r="Q547" i="49"/>
  <c r="Q833" i="49" s="1"/>
  <c r="P547" i="49"/>
  <c r="O547" i="49"/>
  <c r="N547" i="49"/>
  <c r="M547" i="49"/>
  <c r="L547" i="49"/>
  <c r="K547" i="49"/>
  <c r="J547" i="49"/>
  <c r="I547" i="49"/>
  <c r="CM546" i="49"/>
  <c r="CM832" i="49" s="1"/>
  <c r="CL546" i="49"/>
  <c r="CL832" i="49" s="1"/>
  <c r="CK546" i="49"/>
  <c r="CK832" i="49" s="1"/>
  <c r="CI546" i="49"/>
  <c r="CI832" i="49" s="1"/>
  <c r="CH546" i="49"/>
  <c r="CH832" i="49" s="1"/>
  <c r="CG546" i="49"/>
  <c r="CG832" i="49" s="1"/>
  <c r="CF546" i="49"/>
  <c r="CF832" i="49" s="1"/>
  <c r="CD546" i="49"/>
  <c r="CD832" i="49" s="1"/>
  <c r="CC546" i="49"/>
  <c r="CC832" i="49" s="1"/>
  <c r="CB546" i="49"/>
  <c r="CB832" i="49" s="1"/>
  <c r="CM545" i="49"/>
  <c r="CM831" i="49" s="1"/>
  <c r="CL545" i="49"/>
  <c r="CL831" i="49" s="1"/>
  <c r="CK545" i="49"/>
  <c r="CI545" i="49"/>
  <c r="CI831" i="49" s="1"/>
  <c r="CH545" i="49"/>
  <c r="CH831" i="49" s="1"/>
  <c r="CG545" i="49"/>
  <c r="CF545" i="49"/>
  <c r="CF831" i="49" s="1"/>
  <c r="CD545" i="49"/>
  <c r="CD831" i="49" s="1"/>
  <c r="CC545" i="49"/>
  <c r="CC831" i="49" s="1"/>
  <c r="CB545" i="49"/>
  <c r="CK544" i="49"/>
  <c r="CG544" i="49"/>
  <c r="CG830" i="49" s="1"/>
  <c r="CF544" i="49"/>
  <c r="CB544" i="49"/>
  <c r="CB830" i="49" s="1"/>
  <c r="CM543" i="49"/>
  <c r="CL543" i="49"/>
  <c r="CK543" i="49"/>
  <c r="CG543" i="49"/>
  <c r="CG829" i="49" s="1"/>
  <c r="CF543" i="49"/>
  <c r="CF829" i="49" s="1"/>
  <c r="CB543" i="49"/>
  <c r="CM542" i="49"/>
  <c r="CL542" i="49"/>
  <c r="CK542" i="49"/>
  <c r="CG542" i="49"/>
  <c r="CG828" i="49" s="1"/>
  <c r="CF542" i="49"/>
  <c r="CF828" i="49" s="1"/>
  <c r="CB542" i="49"/>
  <c r="CB828" i="49" s="1"/>
  <c r="CM541" i="49"/>
  <c r="CL541" i="49"/>
  <c r="CK541" i="49"/>
  <c r="CH541" i="49"/>
  <c r="CG541" i="49"/>
  <c r="CF541" i="49"/>
  <c r="CF827" i="49" s="1"/>
  <c r="CB541" i="49"/>
  <c r="CM540" i="49"/>
  <c r="CM826" i="49" s="1"/>
  <c r="CL540" i="49"/>
  <c r="CK540" i="49"/>
  <c r="CK826" i="49" s="1"/>
  <c r="CI540" i="49"/>
  <c r="CI826" i="49" s="1"/>
  <c r="CH540" i="49"/>
  <c r="CG540" i="49"/>
  <c r="CG826" i="49" s="1"/>
  <c r="CF540" i="49"/>
  <c r="CF826" i="49" s="1"/>
  <c r="CE540" i="49"/>
  <c r="CE826" i="49" s="1"/>
  <c r="CD540" i="49"/>
  <c r="CD826" i="49" s="1"/>
  <c r="CC540" i="49"/>
  <c r="CB540" i="49"/>
  <c r="CB826" i="49" s="1"/>
  <c r="CV539" i="49"/>
  <c r="CU539" i="49"/>
  <c r="CT539" i="49"/>
  <c r="CO539" i="49"/>
  <c r="CN539" i="49"/>
  <c r="CM539" i="49"/>
  <c r="CM825" i="49" s="1"/>
  <c r="CL539" i="49"/>
  <c r="CL825" i="49" s="1"/>
  <c r="CK539" i="49"/>
  <c r="CK825" i="49" s="1"/>
  <c r="CJ539" i="49"/>
  <c r="CI539" i="49"/>
  <c r="CI825" i="49" s="1"/>
  <c r="CH539" i="49"/>
  <c r="CH825" i="49" s="1"/>
  <c r="CG539" i="49"/>
  <c r="CG825" i="49" s="1"/>
  <c r="CF539" i="49"/>
  <c r="CF825" i="49" s="1"/>
  <c r="CE539" i="49"/>
  <c r="CD539" i="49"/>
  <c r="CC539" i="49"/>
  <c r="CC825" i="49" s="1"/>
  <c r="CB539" i="49"/>
  <c r="CB825" i="49" s="1"/>
  <c r="CM538" i="49"/>
  <c r="CM824" i="49" s="1"/>
  <c r="CL538" i="49"/>
  <c r="CL824" i="49" s="1"/>
  <c r="CK538" i="49"/>
  <c r="CK824" i="49" s="1"/>
  <c r="CI538" i="49"/>
  <c r="CI824" i="49" s="1"/>
  <c r="CH538" i="49"/>
  <c r="CH824" i="49" s="1"/>
  <c r="CM537" i="49"/>
  <c r="CL537" i="49"/>
  <c r="CK537" i="49"/>
  <c r="CK823" i="49" s="1"/>
  <c r="CG537" i="49"/>
  <c r="CG823" i="49" s="1"/>
  <c r="CF537" i="49"/>
  <c r="CB537" i="49"/>
  <c r="CB823" i="49" s="1"/>
  <c r="CM536" i="49"/>
  <c r="CL536" i="49"/>
  <c r="CK536" i="49"/>
  <c r="CK822" i="49" s="1"/>
  <c r="CG536" i="49"/>
  <c r="CG822" i="49" s="1"/>
  <c r="CF536" i="49"/>
  <c r="CB536" i="49"/>
  <c r="CB822" i="49" s="1"/>
  <c r="CM535" i="49"/>
  <c r="CM821" i="49" s="1"/>
  <c r="CL535" i="49"/>
  <c r="CL821" i="49" s="1"/>
  <c r="CK535" i="49"/>
  <c r="CJ535" i="49"/>
  <c r="CG535" i="49"/>
  <c r="CF535" i="49"/>
  <c r="CF821" i="49" s="1"/>
  <c r="CB535" i="49"/>
  <c r="CB821" i="49" s="1"/>
  <c r="CM534" i="49"/>
  <c r="CL534" i="49"/>
  <c r="CK534" i="49"/>
  <c r="CK820" i="49" s="1"/>
  <c r="CI534" i="49"/>
  <c r="CI820" i="49" s="1"/>
  <c r="CH534" i="49"/>
  <c r="CH820" i="49" s="1"/>
  <c r="CG534" i="49"/>
  <c r="CG820" i="49" s="1"/>
  <c r="CF534" i="49"/>
  <c r="CF820" i="49" s="1"/>
  <c r="CB534" i="49"/>
  <c r="CV533" i="49"/>
  <c r="CU533" i="49"/>
  <c r="CT533" i="49"/>
  <c r="CO533" i="49"/>
  <c r="CL533" i="49"/>
  <c r="CL819" i="49" s="1"/>
  <c r="CK533" i="49"/>
  <c r="CK819" i="49" s="1"/>
  <c r="CH533" i="49"/>
  <c r="CH819" i="49" s="1"/>
  <c r="CG533" i="49"/>
  <c r="CG819" i="49" s="1"/>
  <c r="CF533" i="49"/>
  <c r="CE533" i="49"/>
  <c r="CB533" i="49"/>
  <c r="CB819" i="49" s="1"/>
  <c r="CM532" i="49"/>
  <c r="CM818" i="49" s="1"/>
  <c r="CL532" i="49"/>
  <c r="CL818" i="49" s="1"/>
  <c r="CK532" i="49"/>
  <c r="CG532" i="49"/>
  <c r="CF532" i="49"/>
  <c r="CF818" i="49" s="1"/>
  <c r="CE532" i="49"/>
  <c r="CE818" i="49" s="1"/>
  <c r="CB532" i="49"/>
  <c r="CM531" i="49"/>
  <c r="CM817" i="49" s="1"/>
  <c r="CL531" i="49"/>
  <c r="CK531" i="49"/>
  <c r="CK817" i="49" s="1"/>
  <c r="CI531" i="49"/>
  <c r="CI817" i="49" s="1"/>
  <c r="CH531" i="49"/>
  <c r="CG531" i="49"/>
  <c r="CG817" i="49" s="1"/>
  <c r="CF531" i="49"/>
  <c r="CF817" i="49" s="1"/>
  <c r="CD531" i="49"/>
  <c r="CD817" i="49" s="1"/>
  <c r="CC531" i="49"/>
  <c r="CB531" i="49"/>
  <c r="CB817" i="49" s="1"/>
  <c r="CM530" i="49"/>
  <c r="CM816" i="49" s="1"/>
  <c r="CL530" i="49"/>
  <c r="CL816" i="49" s="1"/>
  <c r="CK530" i="49"/>
  <c r="CK816" i="49" s="1"/>
  <c r="CI530" i="49"/>
  <c r="CI816" i="49" s="1"/>
  <c r="CH530" i="49"/>
  <c r="CH816" i="49" s="1"/>
  <c r="CG530" i="49"/>
  <c r="CA545" i="49"/>
  <c r="CA831" i="49" s="1"/>
  <c r="BY545" i="49"/>
  <c r="BY831" i="49" s="1"/>
  <c r="BX545" i="49"/>
  <c r="BW545" i="49"/>
  <c r="BW831" i="49" s="1"/>
  <c r="BV545" i="49"/>
  <c r="BV831" i="49" s="1"/>
  <c r="BU545" i="49"/>
  <c r="BU831" i="49" s="1"/>
  <c r="BT545" i="49"/>
  <c r="BS545" i="49"/>
  <c r="BS831" i="49" s="1"/>
  <c r="BR545" i="49"/>
  <c r="BR831" i="49" s="1"/>
  <c r="BQ545" i="49"/>
  <c r="BQ831" i="49" s="1"/>
  <c r="BO545" i="49"/>
  <c r="BO831" i="49" s="1"/>
  <c r="CA544" i="49"/>
  <c r="CA830" i="49" s="1"/>
  <c r="BV544" i="49"/>
  <c r="BV830" i="49" s="1"/>
  <c r="BT544" i="49"/>
  <c r="BT830" i="49" s="1"/>
  <c r="BS544" i="49"/>
  <c r="BS830" i="49" s="1"/>
  <c r="BR544" i="49"/>
  <c r="BR830" i="49" s="1"/>
  <c r="BQ544" i="49"/>
  <c r="BQ830" i="49" s="1"/>
  <c r="BO544" i="49"/>
  <c r="BO830" i="49" s="1"/>
  <c r="CA543" i="49"/>
  <c r="CA829" i="49" s="1"/>
  <c r="BV543" i="49"/>
  <c r="BT543" i="49"/>
  <c r="BT829" i="49" s="1"/>
  <c r="BS543" i="49"/>
  <c r="BS829" i="49" s="1"/>
  <c r="BR543" i="49"/>
  <c r="BQ543" i="49"/>
  <c r="BQ829" i="49" s="1"/>
  <c r="BO543" i="49"/>
  <c r="BO829" i="49" s="1"/>
  <c r="CA542" i="49"/>
  <c r="CA828" i="49" s="1"/>
  <c r="BV542" i="49"/>
  <c r="BV828" i="49" s="1"/>
  <c r="BT542" i="49"/>
  <c r="BT828" i="49" s="1"/>
  <c r="BS542" i="49"/>
  <c r="BS828" i="49" s="1"/>
  <c r="BR542" i="49"/>
  <c r="BR828" i="49" s="1"/>
  <c r="BQ542" i="49"/>
  <c r="BP542" i="49"/>
  <c r="BP828" i="49" s="1"/>
  <c r="BO542" i="49"/>
  <c r="BO828" i="49" s="1"/>
  <c r="CA541" i="49"/>
  <c r="CA827" i="49" s="1"/>
  <c r="BV541" i="49"/>
  <c r="BV827" i="49" s="1"/>
  <c r="BU541" i="49"/>
  <c r="BU827" i="49" s="1"/>
  <c r="BT541" i="49"/>
  <c r="BS541" i="49"/>
  <c r="BS827" i="49" s="1"/>
  <c r="BR541" i="49"/>
  <c r="BR827" i="49" s="1"/>
  <c r="BQ541" i="49"/>
  <c r="BQ827" i="49" s="1"/>
  <c r="BO541" i="49"/>
  <c r="BO827" i="49" s="1"/>
  <c r="CA540" i="49"/>
  <c r="CA826" i="49" s="1"/>
  <c r="BZ540" i="49"/>
  <c r="BZ826" i="49" s="1"/>
  <c r="BY540" i="49"/>
  <c r="BV540" i="49"/>
  <c r="BV826" i="49" s="1"/>
  <c r="BT540" i="49"/>
  <c r="BT826" i="49" s="1"/>
  <c r="BS540" i="49"/>
  <c r="BS826" i="49" s="1"/>
  <c r="BR540" i="49"/>
  <c r="BR826" i="49" s="1"/>
  <c r="BQ540" i="49"/>
  <c r="BO540" i="49"/>
  <c r="BO826" i="49" s="1"/>
  <c r="CA539" i="49"/>
  <c r="CA825" i="49" s="1"/>
  <c r="BZ539" i="49"/>
  <c r="BY539" i="49"/>
  <c r="BY825" i="49" s="1"/>
  <c r="BX539" i="49"/>
  <c r="BX825" i="49" s="1"/>
  <c r="BW539" i="49"/>
  <c r="BW825" i="49" s="1"/>
  <c r="BV539" i="49"/>
  <c r="BU539" i="49"/>
  <c r="BU825" i="49" s="1"/>
  <c r="BT539" i="49"/>
  <c r="BT825" i="49" s="1"/>
  <c r="BS539" i="49"/>
  <c r="BS825" i="49" s="1"/>
  <c r="BR539" i="49"/>
  <c r="BQ539" i="49"/>
  <c r="BQ825" i="49" s="1"/>
  <c r="BP539" i="49"/>
  <c r="BO539" i="49"/>
  <c r="BO825" i="49" s="1"/>
  <c r="CA538" i="49"/>
  <c r="CA824" i="49" s="1"/>
  <c r="CA537" i="49"/>
  <c r="CA823" i="49" s="1"/>
  <c r="BY537" i="49"/>
  <c r="BY823" i="49" s="1"/>
  <c r="BX537" i="49"/>
  <c r="BX823" i="49" s="1"/>
  <c r="BW537" i="49"/>
  <c r="BW823" i="49" s="1"/>
  <c r="BV537" i="49"/>
  <c r="BV823" i="49" s="1"/>
  <c r="BU537" i="49"/>
  <c r="BU823" i="49" s="1"/>
  <c r="BT537" i="49"/>
  <c r="BT823" i="49" s="1"/>
  <c r="BS537" i="49"/>
  <c r="BS823" i="49" s="1"/>
  <c r="BR537" i="49"/>
  <c r="BR823" i="49" s="1"/>
  <c r="BQ537" i="49"/>
  <c r="BQ823" i="49" s="1"/>
  <c r="CA536" i="49"/>
  <c r="CA822" i="49" s="1"/>
  <c r="BZ536" i="49"/>
  <c r="BZ822" i="49" s="1"/>
  <c r="BY536" i="49"/>
  <c r="BY822" i="49" s="1"/>
  <c r="BX536" i="49"/>
  <c r="BX822" i="49" s="1"/>
  <c r="BW536" i="49"/>
  <c r="BW822" i="49" s="1"/>
  <c r="BV536" i="49"/>
  <c r="BV822" i="49" s="1"/>
  <c r="BT536" i="49"/>
  <c r="BT822" i="49" s="1"/>
  <c r="BS536" i="49"/>
  <c r="BS822" i="49" s="1"/>
  <c r="BR536" i="49"/>
  <c r="BR822" i="49" s="1"/>
  <c r="BQ536" i="49"/>
  <c r="BQ822" i="49" s="1"/>
  <c r="CA535" i="49"/>
  <c r="CA821" i="49" s="1"/>
  <c r="BY535" i="49"/>
  <c r="BY821" i="49" s="1"/>
  <c r="BX535" i="49"/>
  <c r="BW535" i="49"/>
  <c r="BW821" i="49" s="1"/>
  <c r="BV535" i="49"/>
  <c r="BV821" i="49" s="1"/>
  <c r="BT535" i="49"/>
  <c r="BS535" i="49"/>
  <c r="BS821" i="49" s="1"/>
  <c r="BR535" i="49"/>
  <c r="BR821" i="49" s="1"/>
  <c r="BQ535" i="49"/>
  <c r="BQ821" i="49" s="1"/>
  <c r="BO535" i="49"/>
  <c r="BO821" i="49" s="1"/>
  <c r="CA534" i="49"/>
  <c r="CA820" i="49" s="1"/>
  <c r="BY534" i="49"/>
  <c r="BX534" i="49"/>
  <c r="BX820" i="49" s="1"/>
  <c r="BW534" i="49"/>
  <c r="BV534" i="49"/>
  <c r="BT534" i="49"/>
  <c r="BS534" i="49"/>
  <c r="BR534" i="49"/>
  <c r="BQ534" i="49"/>
  <c r="BP534" i="49"/>
  <c r="BP820" i="49" s="1"/>
  <c r="CA533" i="49"/>
  <c r="CA819" i="49" s="1"/>
  <c r="BZ533" i="49"/>
  <c r="BY533" i="49"/>
  <c r="BY819" i="49" s="1"/>
  <c r="BX533" i="49"/>
  <c r="BX819" i="49" s="1"/>
  <c r="BW533" i="49"/>
  <c r="BW819" i="49" s="1"/>
  <c r="BV533" i="49"/>
  <c r="BV819" i="49" s="1"/>
  <c r="BU533" i="49"/>
  <c r="BU819" i="49" s="1"/>
  <c r="BT533" i="49"/>
  <c r="BT819" i="49" s="1"/>
  <c r="BS533" i="49"/>
  <c r="BS819" i="49" s="1"/>
  <c r="BR533" i="49"/>
  <c r="BR819" i="49" s="1"/>
  <c r="BQ533" i="49"/>
  <c r="BQ819" i="49" s="1"/>
  <c r="BP533" i="49"/>
  <c r="CA532" i="49"/>
  <c r="CA818" i="49" s="1"/>
  <c r="BY532" i="49"/>
  <c r="BY818" i="49" s="1"/>
  <c r="BX532" i="49"/>
  <c r="BW532" i="49"/>
  <c r="BW818" i="49" s="1"/>
  <c r="BV532" i="49"/>
  <c r="BV818" i="49" s="1"/>
  <c r="BT532" i="49"/>
  <c r="BS532" i="49"/>
  <c r="BS818" i="49" s="1"/>
  <c r="BR532" i="49"/>
  <c r="BR818" i="49" s="1"/>
  <c r="BQ532" i="49"/>
  <c r="BQ818" i="49" s="1"/>
  <c r="CA531" i="49"/>
  <c r="CA817" i="49" s="1"/>
  <c r="BY531" i="49"/>
  <c r="BX531" i="49"/>
  <c r="BX817" i="49" s="1"/>
  <c r="BW531" i="49"/>
  <c r="BW817" i="49" s="1"/>
  <c r="BV531" i="49"/>
  <c r="BV817" i="49" s="1"/>
  <c r="BT531" i="49"/>
  <c r="BT817" i="49" s="1"/>
  <c r="BS531" i="49"/>
  <c r="BS817" i="49" s="1"/>
  <c r="BR531" i="49"/>
  <c r="BR817" i="49" s="1"/>
  <c r="BQ531" i="49"/>
  <c r="BO531" i="49"/>
  <c r="BO817" i="49" s="1"/>
  <c r="CA530" i="49"/>
  <c r="CA816" i="49" s="1"/>
  <c r="BN544" i="49"/>
  <c r="BM544" i="49"/>
  <c r="BM830" i="49" s="1"/>
  <c r="BL544" i="49"/>
  <c r="BL830" i="49" s="1"/>
  <c r="BJ544" i="49"/>
  <c r="BJ830" i="49" s="1"/>
  <c r="BI544" i="49"/>
  <c r="BH544" i="49"/>
  <c r="BH830" i="49" s="1"/>
  <c r="BG544" i="49"/>
  <c r="BG830" i="49" s="1"/>
  <c r="BE544" i="49"/>
  <c r="BD544" i="49"/>
  <c r="BD830" i="49" s="1"/>
  <c r="BC544" i="49"/>
  <c r="BC830" i="49" s="1"/>
  <c r="BB544" i="49"/>
  <c r="BB830" i="49" s="1"/>
  <c r="AZ544" i="49"/>
  <c r="AZ830" i="49" s="1"/>
  <c r="AY544" i="49"/>
  <c r="AY830" i="49" s="1"/>
  <c r="AX544" i="49"/>
  <c r="AX830" i="49" s="1"/>
  <c r="AW544" i="49"/>
  <c r="AV544" i="49"/>
  <c r="AU544" i="49"/>
  <c r="AU830" i="49" s="1"/>
  <c r="AT544" i="49"/>
  <c r="AT830" i="49" s="1"/>
  <c r="AS544" i="49"/>
  <c r="AR544" i="49"/>
  <c r="AR830" i="49" s="1"/>
  <c r="AP544" i="49"/>
  <c r="AP830" i="49" s="1"/>
  <c r="AO544" i="49"/>
  <c r="AO830" i="49" s="1"/>
  <c r="AN544" i="49"/>
  <c r="AN830" i="49" s="1"/>
  <c r="AM544" i="49"/>
  <c r="AM830" i="49" s="1"/>
  <c r="AK544" i="49"/>
  <c r="AK830" i="49" s="1"/>
  <c r="AJ544" i="49"/>
  <c r="AI544" i="49"/>
  <c r="AI830" i="49" s="1"/>
  <c r="AH544" i="49"/>
  <c r="AH830" i="49" s="1"/>
  <c r="AF544" i="49"/>
  <c r="AF830" i="49" s="1"/>
  <c r="AE544" i="49"/>
  <c r="AE830" i="49" s="1"/>
  <c r="AD544" i="49"/>
  <c r="AD830" i="49" s="1"/>
  <c r="AC544" i="49"/>
  <c r="AC830" i="49" s="1"/>
  <c r="AB544" i="49"/>
  <c r="AA544" i="49"/>
  <c r="AA830" i="49" s="1"/>
  <c r="Z544" i="49"/>
  <c r="Z830" i="49" s="1"/>
  <c r="Y544" i="49"/>
  <c r="Y830" i="49" s="1"/>
  <c r="X544" i="49"/>
  <c r="X830" i="49" s="1"/>
  <c r="V544" i="49"/>
  <c r="V830" i="49" s="1"/>
  <c r="U544" i="49"/>
  <c r="U830" i="49" s="1"/>
  <c r="T544" i="49"/>
  <c r="T830" i="49" s="1"/>
  <c r="S544" i="49"/>
  <c r="S830" i="49" s="1"/>
  <c r="Q544" i="49"/>
  <c r="Q830" i="49" s="1"/>
  <c r="P544" i="49"/>
  <c r="P830" i="49" s="1"/>
  <c r="O544" i="49"/>
  <c r="N544" i="49"/>
  <c r="L544" i="49"/>
  <c r="K544" i="49"/>
  <c r="J544" i="49"/>
  <c r="I544" i="49"/>
  <c r="BN543" i="49"/>
  <c r="BN829" i="49" s="1"/>
  <c r="BM543" i="49"/>
  <c r="BL543" i="49"/>
  <c r="BL829" i="49" s="1"/>
  <c r="BJ543" i="49"/>
  <c r="BJ829" i="49" s="1"/>
  <c r="BI543" i="49"/>
  <c r="BI829" i="49" s="1"/>
  <c r="BH543" i="49"/>
  <c r="BG543" i="49"/>
  <c r="BG829" i="49" s="1"/>
  <c r="BE543" i="49"/>
  <c r="BE829" i="49" s="1"/>
  <c r="BD543" i="49"/>
  <c r="BC543" i="49"/>
  <c r="BC829" i="49" s="1"/>
  <c r="BB543" i="49"/>
  <c r="BB829" i="49" s="1"/>
  <c r="AZ543" i="49"/>
  <c r="AY543" i="49"/>
  <c r="AY829" i="49" s="1"/>
  <c r="AX543" i="49"/>
  <c r="AX829" i="49" s="1"/>
  <c r="AW543" i="49"/>
  <c r="AW829" i="49" s="1"/>
  <c r="AU543" i="49"/>
  <c r="AU829" i="49" s="1"/>
  <c r="AT543" i="49"/>
  <c r="AT829" i="49" s="1"/>
  <c r="AS543" i="49"/>
  <c r="AS829" i="49" s="1"/>
  <c r="AR543" i="49"/>
  <c r="AP543" i="49"/>
  <c r="AP829" i="49" s="1"/>
  <c r="AO543" i="49"/>
  <c r="AO829" i="49" s="1"/>
  <c r="AN543" i="49"/>
  <c r="AN829" i="49" s="1"/>
  <c r="AM543" i="49"/>
  <c r="AM829" i="49" s="1"/>
  <c r="AK543" i="49"/>
  <c r="AK829" i="49" s="1"/>
  <c r="AJ543" i="49"/>
  <c r="AJ829" i="49" s="1"/>
  <c r="AI543" i="49"/>
  <c r="AI829" i="49" s="1"/>
  <c r="AH543" i="49"/>
  <c r="AH829" i="49" s="1"/>
  <c r="AF543" i="49"/>
  <c r="AF829" i="49" s="1"/>
  <c r="AE543" i="49"/>
  <c r="AE829" i="49" s="1"/>
  <c r="AD543" i="49"/>
  <c r="AD829" i="49" s="1"/>
  <c r="AC543" i="49"/>
  <c r="AC829" i="49" s="1"/>
  <c r="AA543" i="49"/>
  <c r="AA829" i="49" s="1"/>
  <c r="Y543" i="49"/>
  <c r="Y829" i="49" s="1"/>
  <c r="X543" i="49"/>
  <c r="X829" i="49" s="1"/>
  <c r="V543" i="49"/>
  <c r="V829" i="49" s="1"/>
  <c r="U543" i="49"/>
  <c r="U829" i="49" s="1"/>
  <c r="T543" i="49"/>
  <c r="T829" i="49" s="1"/>
  <c r="Q543" i="49"/>
  <c r="Q829" i="49" s="1"/>
  <c r="N543" i="49"/>
  <c r="N829" i="49" s="1"/>
  <c r="BN542" i="49"/>
  <c r="BM542" i="49"/>
  <c r="BM828" i="49" s="1"/>
  <c r="BM1038" i="49" s="1"/>
  <c r="BL542" i="49"/>
  <c r="BL828" i="49" s="1"/>
  <c r="BL1038" i="49" s="1"/>
  <c r="BJ542" i="49"/>
  <c r="BJ828" i="49" s="1"/>
  <c r="BI542" i="49"/>
  <c r="BH542" i="49"/>
  <c r="BH828" i="49" s="1"/>
  <c r="BH1038" i="49" s="1"/>
  <c r="BG542" i="49"/>
  <c r="BG828" i="49" s="1"/>
  <c r="BE542" i="49"/>
  <c r="BD542" i="49"/>
  <c r="BD828" i="49" s="1"/>
  <c r="BC542" i="49"/>
  <c r="BC828" i="49" s="1"/>
  <c r="BB542" i="49"/>
  <c r="BB828" i="49" s="1"/>
  <c r="AZ542" i="49"/>
  <c r="AZ828" i="49" s="1"/>
  <c r="AY542" i="49"/>
  <c r="AY828" i="49" s="1"/>
  <c r="AX542" i="49"/>
  <c r="AX828" i="49" s="1"/>
  <c r="AW542" i="49"/>
  <c r="AV542" i="49"/>
  <c r="AU542" i="49"/>
  <c r="AU828" i="49" s="1"/>
  <c r="AT542" i="49"/>
  <c r="AT828" i="49" s="1"/>
  <c r="AS542" i="49"/>
  <c r="AR542" i="49"/>
  <c r="AR828" i="49" s="1"/>
  <c r="AP542" i="49"/>
  <c r="AP828" i="49" s="1"/>
  <c r="AO542" i="49"/>
  <c r="AO828" i="49" s="1"/>
  <c r="AN542" i="49"/>
  <c r="AM542" i="49"/>
  <c r="AM828" i="49" s="1"/>
  <c r="AK542" i="49"/>
  <c r="AK828" i="49" s="1"/>
  <c r="AJ542" i="49"/>
  <c r="AJ828" i="49" s="1"/>
  <c r="AI542" i="49"/>
  <c r="AI828" i="49" s="1"/>
  <c r="AH542" i="49"/>
  <c r="AH828" i="49" s="1"/>
  <c r="AF542" i="49"/>
  <c r="AE542" i="49"/>
  <c r="AE828" i="49" s="1"/>
  <c r="AD542" i="49"/>
  <c r="AD828" i="49" s="1"/>
  <c r="AC542" i="49"/>
  <c r="AC828" i="49" s="1"/>
  <c r="AB542" i="49"/>
  <c r="AA542" i="49"/>
  <c r="AA828" i="49" s="1"/>
  <c r="Z542" i="49"/>
  <c r="Z828" i="49" s="1"/>
  <c r="Y542" i="49"/>
  <c r="Y828" i="49" s="1"/>
  <c r="X542" i="49"/>
  <c r="V542" i="49"/>
  <c r="V828" i="49" s="1"/>
  <c r="U542" i="49"/>
  <c r="U828" i="49" s="1"/>
  <c r="T542" i="49"/>
  <c r="T828" i="49" s="1"/>
  <c r="S542" i="49"/>
  <c r="S828" i="49" s="1"/>
  <c r="Q542" i="49"/>
  <c r="Q828" i="49" s="1"/>
  <c r="P542" i="49"/>
  <c r="BN541" i="49"/>
  <c r="BN827" i="49" s="1"/>
  <c r="BM541" i="49"/>
  <c r="BM827" i="49" s="1"/>
  <c r="BL541" i="49"/>
  <c r="BL827" i="49" s="1"/>
  <c r="BJ541" i="49"/>
  <c r="BJ827" i="49" s="1"/>
  <c r="BI541" i="49"/>
  <c r="BI827" i="49" s="1"/>
  <c r="BH541" i="49"/>
  <c r="BH827" i="49" s="1"/>
  <c r="BG541" i="49"/>
  <c r="BG827" i="49" s="1"/>
  <c r="BF541" i="49"/>
  <c r="BE541" i="49"/>
  <c r="BE827" i="49" s="1"/>
  <c r="BD541" i="49"/>
  <c r="BD827" i="49" s="1"/>
  <c r="BC541" i="49"/>
  <c r="BC827" i="49" s="1"/>
  <c r="BB541" i="49"/>
  <c r="BB827" i="49" s="1"/>
  <c r="AZ541" i="49"/>
  <c r="AZ827" i="49" s="1"/>
  <c r="AY541" i="49"/>
  <c r="AY827" i="49" s="1"/>
  <c r="AX541" i="49"/>
  <c r="AX827" i="49" s="1"/>
  <c r="AW541" i="49"/>
  <c r="AW827" i="49" s="1"/>
  <c r="AU541" i="49"/>
  <c r="AU827" i="49" s="1"/>
  <c r="AT541" i="49"/>
  <c r="AT827" i="49" s="1"/>
  <c r="AS541" i="49"/>
  <c r="AS827" i="49" s="1"/>
  <c r="AR541" i="49"/>
  <c r="AR827" i="49" s="1"/>
  <c r="AP541" i="49"/>
  <c r="AP827" i="49" s="1"/>
  <c r="AO541" i="49"/>
  <c r="AN541" i="49"/>
  <c r="AN827" i="49" s="1"/>
  <c r="AM541" i="49"/>
  <c r="AM827" i="49" s="1"/>
  <c r="AL541" i="49"/>
  <c r="AL827" i="49" s="1"/>
  <c r="AK541" i="49"/>
  <c r="AJ541" i="49"/>
  <c r="AJ827" i="49" s="1"/>
  <c r="AI541" i="49"/>
  <c r="AI827" i="49" s="1"/>
  <c r="AH541" i="49"/>
  <c r="AH827" i="49" s="1"/>
  <c r="AF541" i="49"/>
  <c r="AF827" i="49" s="1"/>
  <c r="AE541" i="49"/>
  <c r="AE827" i="49" s="1"/>
  <c r="AD541" i="49"/>
  <c r="AD827" i="49" s="1"/>
  <c r="AC541" i="49"/>
  <c r="AA541" i="49"/>
  <c r="AA827" i="49" s="1"/>
  <c r="Z541" i="49"/>
  <c r="Z827" i="49" s="1"/>
  <c r="Y541" i="49"/>
  <c r="X541" i="49"/>
  <c r="X827" i="49" s="1"/>
  <c r="V541" i="49"/>
  <c r="V827" i="49" s="1"/>
  <c r="U541" i="49"/>
  <c r="U827" i="49" s="1"/>
  <c r="T541" i="49"/>
  <c r="N541" i="49"/>
  <c r="N827" i="49" s="1"/>
  <c r="BN540" i="49"/>
  <c r="BN826" i="49" s="1"/>
  <c r="BM540" i="49"/>
  <c r="BM826" i="49" s="1"/>
  <c r="BL540" i="49"/>
  <c r="BL826" i="49" s="1"/>
  <c r="BJ540" i="49"/>
  <c r="BJ826" i="49" s="1"/>
  <c r="BI540" i="49"/>
  <c r="BI826" i="49" s="1"/>
  <c r="BH540" i="49"/>
  <c r="BH826" i="49" s="1"/>
  <c r="BG540" i="49"/>
  <c r="BG826" i="49" s="1"/>
  <c r="BE540" i="49"/>
  <c r="BE826" i="49" s="1"/>
  <c r="BD540" i="49"/>
  <c r="BD826" i="49" s="1"/>
  <c r="BC540" i="49"/>
  <c r="BC826" i="49" s="1"/>
  <c r="BB540" i="49"/>
  <c r="BB826" i="49" s="1"/>
  <c r="AZ540" i="49"/>
  <c r="AZ826" i="49" s="1"/>
  <c r="AY540" i="49"/>
  <c r="AY826" i="49" s="1"/>
  <c r="AX540" i="49"/>
  <c r="AX826" i="49" s="1"/>
  <c r="AW540" i="49"/>
  <c r="AW826" i="49" s="1"/>
  <c r="AU540" i="49"/>
  <c r="AU826" i="49" s="1"/>
  <c r="AT540" i="49"/>
  <c r="AT826" i="49" s="1"/>
  <c r="AS540" i="49"/>
  <c r="AS826" i="49" s="1"/>
  <c r="AR540" i="49"/>
  <c r="AR826" i="49" s="1"/>
  <c r="AP540" i="49"/>
  <c r="AP826" i="49" s="1"/>
  <c r="AO540" i="49"/>
  <c r="AO826" i="49" s="1"/>
  <c r="AN540" i="49"/>
  <c r="AN826" i="49" s="1"/>
  <c r="AM540" i="49"/>
  <c r="AM826" i="49" s="1"/>
  <c r="AK540" i="49"/>
  <c r="AK826" i="49" s="1"/>
  <c r="AJ540" i="49"/>
  <c r="AJ826" i="49" s="1"/>
  <c r="AI540" i="49"/>
  <c r="AI826" i="49" s="1"/>
  <c r="AH540" i="49"/>
  <c r="AH826" i="49" s="1"/>
  <c r="AF540" i="49"/>
  <c r="AF826" i="49" s="1"/>
  <c r="AE540" i="49"/>
  <c r="AE826" i="49" s="1"/>
  <c r="AD540" i="49"/>
  <c r="AD826" i="49" s="1"/>
  <c r="AC540" i="49"/>
  <c r="AC826" i="49" s="1"/>
  <c r="AA540" i="49"/>
  <c r="AA826" i="49" s="1"/>
  <c r="Z540" i="49"/>
  <c r="Z826" i="49" s="1"/>
  <c r="Y540" i="49"/>
  <c r="Y826" i="49" s="1"/>
  <c r="X540" i="49"/>
  <c r="X826" i="49" s="1"/>
  <c r="V540" i="49"/>
  <c r="V826" i="49" s="1"/>
  <c r="U540" i="49"/>
  <c r="U826" i="49" s="1"/>
  <c r="T540" i="49"/>
  <c r="T826" i="49" s="1"/>
  <c r="P540" i="49"/>
  <c r="P826" i="49" s="1"/>
  <c r="L540" i="49"/>
  <c r="L826" i="49" s="1"/>
  <c r="BN539" i="49"/>
  <c r="BN825" i="49" s="1"/>
  <c r="BM539" i="49"/>
  <c r="BM825" i="49" s="1"/>
  <c r="BL539" i="49"/>
  <c r="BK539" i="49"/>
  <c r="BK825" i="49" s="1"/>
  <c r="BJ539" i="49"/>
  <c r="BJ825" i="49" s="1"/>
  <c r="BI539" i="49"/>
  <c r="BI825" i="49" s="1"/>
  <c r="BH539" i="49"/>
  <c r="BG539" i="49"/>
  <c r="BG825" i="49" s="1"/>
  <c r="BF539" i="49"/>
  <c r="BF825" i="49" s="1"/>
  <c r="BE539" i="49"/>
  <c r="BE825" i="49" s="1"/>
  <c r="BD539" i="49"/>
  <c r="BC539" i="49"/>
  <c r="BC825" i="49" s="1"/>
  <c r="BB539" i="49"/>
  <c r="BB825" i="49" s="1"/>
  <c r="BA539" i="49"/>
  <c r="BA825" i="49" s="1"/>
  <c r="AZ539" i="49"/>
  <c r="AY539" i="49"/>
  <c r="AY825" i="49" s="1"/>
  <c r="AX539" i="49"/>
  <c r="AX825" i="49" s="1"/>
  <c r="AW539" i="49"/>
  <c r="AW825" i="49" s="1"/>
  <c r="AV539" i="49"/>
  <c r="AV825" i="49" s="1"/>
  <c r="AU539" i="49"/>
  <c r="AU825" i="49" s="1"/>
  <c r="AT539" i="49"/>
  <c r="AT825" i="49" s="1"/>
  <c r="AS539" i="49"/>
  <c r="AS825" i="49" s="1"/>
  <c r="AR539" i="49"/>
  <c r="AQ539" i="49"/>
  <c r="AQ825" i="49" s="1"/>
  <c r="AP539" i="49"/>
  <c r="AP825" i="49" s="1"/>
  <c r="AO539" i="49"/>
  <c r="AO825" i="49" s="1"/>
  <c r="AN539" i="49"/>
  <c r="AM539" i="49"/>
  <c r="AM825" i="49" s="1"/>
  <c r="AL539" i="49"/>
  <c r="AL825" i="49" s="1"/>
  <c r="AK539" i="49"/>
  <c r="AK825" i="49" s="1"/>
  <c r="AJ539" i="49"/>
  <c r="AI539" i="49"/>
  <c r="AI825" i="49" s="1"/>
  <c r="AH539" i="49"/>
  <c r="AH825" i="49" s="1"/>
  <c r="AG539" i="49"/>
  <c r="AG825" i="49" s="1"/>
  <c r="AF539" i="49"/>
  <c r="AE539" i="49"/>
  <c r="AE825" i="49" s="1"/>
  <c r="AD539" i="49"/>
  <c r="AD825" i="49" s="1"/>
  <c r="AC539" i="49"/>
  <c r="AC825" i="49" s="1"/>
  <c r="AB539" i="49"/>
  <c r="AA539" i="49"/>
  <c r="AA825" i="49" s="1"/>
  <c r="Z539" i="49"/>
  <c r="Z825" i="49" s="1"/>
  <c r="Y539" i="49"/>
  <c r="Y825" i="49" s="1"/>
  <c r="X539" i="49"/>
  <c r="W539" i="49"/>
  <c r="W825" i="49" s="1"/>
  <c r="V539" i="49"/>
  <c r="V825" i="49" s="1"/>
  <c r="U539" i="49"/>
  <c r="U825" i="49" s="1"/>
  <c r="T539" i="49"/>
  <c r="S539" i="49"/>
  <c r="S825" i="49" s="1"/>
  <c r="R539" i="49"/>
  <c r="R825" i="49" s="1"/>
  <c r="Q539" i="49"/>
  <c r="Q825" i="49" s="1"/>
  <c r="P539" i="49"/>
  <c r="P825" i="49" s="1"/>
  <c r="O539" i="49"/>
  <c r="O825" i="49" s="1"/>
  <c r="N539" i="49"/>
  <c r="N825" i="49" s="1"/>
  <c r="M539" i="49"/>
  <c r="M825" i="49" s="1"/>
  <c r="L539" i="49"/>
  <c r="K539" i="49"/>
  <c r="K825" i="49" s="1"/>
  <c r="J539" i="49"/>
  <c r="J825" i="49" s="1"/>
  <c r="I539" i="49"/>
  <c r="I825" i="49" s="1"/>
  <c r="AZ538" i="49"/>
  <c r="AR538" i="49"/>
  <c r="AP538" i="49"/>
  <c r="AO538" i="49"/>
  <c r="AO824" i="49" s="1"/>
  <c r="AN538" i="49"/>
  <c r="AN824" i="49" s="1"/>
  <c r="AM538" i="49"/>
  <c r="AM824" i="49" s="1"/>
  <c r="AK538" i="49"/>
  <c r="AK824" i="49" s="1"/>
  <c r="AJ538" i="49"/>
  <c r="AI538" i="49"/>
  <c r="AI824" i="49" s="1"/>
  <c r="AH538" i="49"/>
  <c r="AH824" i="49" s="1"/>
  <c r="AF538" i="49"/>
  <c r="AF824" i="49" s="1"/>
  <c r="AE538" i="49"/>
  <c r="AE824" i="49" s="1"/>
  <c r="AD538" i="49"/>
  <c r="AD824" i="49" s="1"/>
  <c r="AC538" i="49"/>
  <c r="AC824" i="49" s="1"/>
  <c r="AA538" i="49"/>
  <c r="AA824" i="49" s="1"/>
  <c r="Y538" i="49"/>
  <c r="Y824" i="49" s="1"/>
  <c r="X538" i="49"/>
  <c r="X824" i="49" s="1"/>
  <c r="V538" i="49"/>
  <c r="V824" i="49" s="1"/>
  <c r="U538" i="49"/>
  <c r="U824" i="49" s="1"/>
  <c r="T538" i="49"/>
  <c r="P538" i="49"/>
  <c r="P824" i="49" s="1"/>
  <c r="BN537" i="49"/>
  <c r="BN823" i="49" s="1"/>
  <c r="BM537" i="49"/>
  <c r="BM823" i="49" s="1"/>
  <c r="BL537" i="49"/>
  <c r="BK537" i="49"/>
  <c r="BJ537" i="49"/>
  <c r="BJ823" i="49" s="1"/>
  <c r="BI537" i="49"/>
  <c r="BI823" i="49" s="1"/>
  <c r="BH537" i="49"/>
  <c r="BG537" i="49"/>
  <c r="BG823" i="49" s="1"/>
  <c r="BF537" i="49"/>
  <c r="BF823" i="49" s="1"/>
  <c r="BE537" i="49"/>
  <c r="BD537" i="49"/>
  <c r="BC537" i="49"/>
  <c r="BC823" i="49" s="1"/>
  <c r="BB537" i="49"/>
  <c r="BB823" i="49" s="1"/>
  <c r="AZ537" i="49"/>
  <c r="AY537" i="49"/>
  <c r="AY823" i="49" s="1"/>
  <c r="AX537" i="49"/>
  <c r="AX823" i="49" s="1"/>
  <c r="AW537" i="49"/>
  <c r="AW823" i="49" s="1"/>
  <c r="AU537" i="49"/>
  <c r="AU823" i="49" s="1"/>
  <c r="AT537" i="49"/>
  <c r="AT823" i="49" s="1"/>
  <c r="AS537" i="49"/>
  <c r="AS823" i="49" s="1"/>
  <c r="AR537" i="49"/>
  <c r="AQ537" i="49"/>
  <c r="AP537" i="49"/>
  <c r="AP823" i="49" s="1"/>
  <c r="AO537" i="49"/>
  <c r="AO823" i="49" s="1"/>
  <c r="AN537" i="49"/>
  <c r="AM537" i="49"/>
  <c r="AM823" i="49" s="1"/>
  <c r="AL537" i="49"/>
  <c r="AL823" i="49" s="1"/>
  <c r="AK537" i="49"/>
  <c r="AK823" i="49" s="1"/>
  <c r="AJ537" i="49"/>
  <c r="AJ823" i="49" s="1"/>
  <c r="AI537" i="49"/>
  <c r="AI823" i="49" s="1"/>
  <c r="AH537" i="49"/>
  <c r="AH823" i="49" s="1"/>
  <c r="AF537" i="49"/>
  <c r="AE537" i="49"/>
  <c r="AE823" i="49" s="1"/>
  <c r="AD537" i="49"/>
  <c r="AD823" i="49" s="1"/>
  <c r="AC537" i="49"/>
  <c r="AC823" i="49" s="1"/>
  <c r="AA537" i="49"/>
  <c r="AA823" i="49" s="1"/>
  <c r="Z537" i="49"/>
  <c r="Z823" i="49" s="1"/>
  <c r="Y537" i="49"/>
  <c r="Y823" i="49" s="1"/>
  <c r="X537" i="49"/>
  <c r="W537" i="49"/>
  <c r="V537" i="49"/>
  <c r="V823" i="49" s="1"/>
  <c r="U537" i="49"/>
  <c r="U823" i="49" s="1"/>
  <c r="T537" i="49"/>
  <c r="S537" i="49"/>
  <c r="S823" i="49" s="1"/>
  <c r="R537" i="49"/>
  <c r="R823" i="49" s="1"/>
  <c r="Q537" i="49"/>
  <c r="Q823" i="49" s="1"/>
  <c r="P537" i="49"/>
  <c r="O537" i="49"/>
  <c r="O823" i="49" s="1"/>
  <c r="N537" i="49"/>
  <c r="L537" i="49"/>
  <c r="K537" i="49"/>
  <c r="K823" i="49" s="1"/>
  <c r="J537" i="49"/>
  <c r="J823" i="49" s="1"/>
  <c r="I537" i="49"/>
  <c r="I823" i="49" s="1"/>
  <c r="BN536" i="49"/>
  <c r="BN822" i="49" s="1"/>
  <c r="BM536" i="49"/>
  <c r="BM822" i="49" s="1"/>
  <c r="BL536" i="49"/>
  <c r="BL822" i="49" s="1"/>
  <c r="BJ536" i="49"/>
  <c r="BJ822" i="49" s="1"/>
  <c r="BI536" i="49"/>
  <c r="BI822" i="49" s="1"/>
  <c r="BH536" i="49"/>
  <c r="BH822" i="49" s="1"/>
  <c r="BG536" i="49"/>
  <c r="BG822" i="49" s="1"/>
  <c r="BE536" i="49"/>
  <c r="BE822" i="49" s="1"/>
  <c r="BD536" i="49"/>
  <c r="BC536" i="49"/>
  <c r="BC822" i="49" s="1"/>
  <c r="BB536" i="49"/>
  <c r="BB822" i="49" s="1"/>
  <c r="AZ536" i="49"/>
  <c r="AZ822" i="49" s="1"/>
  <c r="AY536" i="49"/>
  <c r="AY822" i="49" s="1"/>
  <c r="AX536" i="49"/>
  <c r="AX822" i="49" s="1"/>
  <c r="AW536" i="49"/>
  <c r="AW822" i="49" s="1"/>
  <c r="AV536" i="49"/>
  <c r="AV822" i="49" s="1"/>
  <c r="AU536" i="49"/>
  <c r="AU822" i="49" s="1"/>
  <c r="AT536" i="49"/>
  <c r="AT822" i="49" s="1"/>
  <c r="AS536" i="49"/>
  <c r="AS822" i="49" s="1"/>
  <c r="AR536" i="49"/>
  <c r="AR822" i="49" s="1"/>
  <c r="AP536" i="49"/>
  <c r="AP822" i="49" s="1"/>
  <c r="AO536" i="49"/>
  <c r="AO822" i="49" s="1"/>
  <c r="AN536" i="49"/>
  <c r="AN822" i="49" s="1"/>
  <c r="AM536" i="49"/>
  <c r="AM822" i="49" s="1"/>
  <c r="AK536" i="49"/>
  <c r="AK822" i="49" s="1"/>
  <c r="AJ536" i="49"/>
  <c r="AJ822" i="49" s="1"/>
  <c r="AI536" i="49"/>
  <c r="AI822" i="49" s="1"/>
  <c r="AH536" i="49"/>
  <c r="AH822" i="49" s="1"/>
  <c r="AF536" i="49"/>
  <c r="AE536" i="49"/>
  <c r="AE822" i="49" s="1"/>
  <c r="AD536" i="49"/>
  <c r="AC536" i="49"/>
  <c r="AC822" i="49" s="1"/>
  <c r="AB536" i="49"/>
  <c r="AA536" i="49"/>
  <c r="AA822" i="49" s="1"/>
  <c r="Z536" i="49"/>
  <c r="Z822" i="49" s="1"/>
  <c r="Y536" i="49"/>
  <c r="Y822" i="49" s="1"/>
  <c r="X536" i="49"/>
  <c r="V536" i="49"/>
  <c r="V822" i="49" s="1"/>
  <c r="U536" i="49"/>
  <c r="U822" i="49" s="1"/>
  <c r="T536" i="49"/>
  <c r="T822" i="49" s="1"/>
  <c r="S536" i="49"/>
  <c r="S822" i="49" s="1"/>
  <c r="Q536" i="49"/>
  <c r="Q822" i="49" s="1"/>
  <c r="P536" i="49"/>
  <c r="P822" i="49" s="1"/>
  <c r="O536" i="49"/>
  <c r="O822" i="49" s="1"/>
  <c r="N536" i="49"/>
  <c r="N822" i="49" s="1"/>
  <c r="M536" i="49"/>
  <c r="M822" i="49" s="1"/>
  <c r="L536" i="49"/>
  <c r="L822" i="49" s="1"/>
  <c r="K536" i="49"/>
  <c r="K822" i="49" s="1"/>
  <c r="J536" i="49"/>
  <c r="J822" i="49" s="1"/>
  <c r="I536" i="49"/>
  <c r="I822" i="49" s="1"/>
  <c r="BN535" i="49"/>
  <c r="BN821" i="49" s="1"/>
  <c r="BM535" i="49"/>
  <c r="BM821" i="49" s="1"/>
  <c r="BL535" i="49"/>
  <c r="BJ535" i="49"/>
  <c r="BJ821" i="49" s="1"/>
  <c r="BI535" i="49"/>
  <c r="BI821" i="49" s="1"/>
  <c r="BH535" i="49"/>
  <c r="BG535" i="49"/>
  <c r="BG821" i="49" s="1"/>
  <c r="BE535" i="49"/>
  <c r="BE821" i="49" s="1"/>
  <c r="BD535" i="49"/>
  <c r="BD821" i="49" s="1"/>
  <c r="BC535" i="49"/>
  <c r="BC821" i="49" s="1"/>
  <c r="BB535" i="49"/>
  <c r="BB821" i="49" s="1"/>
  <c r="AZ535" i="49"/>
  <c r="AY535" i="49"/>
  <c r="AY821" i="49" s="1"/>
  <c r="AX535" i="49"/>
  <c r="AX821" i="49" s="1"/>
  <c r="AW535" i="49"/>
  <c r="AW821" i="49" s="1"/>
  <c r="AU535" i="49"/>
  <c r="AU821" i="49" s="1"/>
  <c r="AT535" i="49"/>
  <c r="AT821" i="49" s="1"/>
  <c r="AS535" i="49"/>
  <c r="AR535" i="49"/>
  <c r="AP535" i="49"/>
  <c r="AP821" i="49" s="1"/>
  <c r="AO535" i="49"/>
  <c r="AO821" i="49" s="1"/>
  <c r="AN535" i="49"/>
  <c r="AM535" i="49"/>
  <c r="AM821" i="49" s="1"/>
  <c r="AK535" i="49"/>
  <c r="AK821" i="49" s="1"/>
  <c r="AJ535" i="49"/>
  <c r="AI535" i="49"/>
  <c r="AI821" i="49" s="1"/>
  <c r="AH535" i="49"/>
  <c r="AH821" i="49" s="1"/>
  <c r="AF535" i="49"/>
  <c r="AE535" i="49"/>
  <c r="AE821" i="49" s="1"/>
  <c r="AD535" i="49"/>
  <c r="AD821" i="49" s="1"/>
  <c r="AC535" i="49"/>
  <c r="AC821" i="49" s="1"/>
  <c r="AA535" i="49"/>
  <c r="AA821" i="49" s="1"/>
  <c r="Z535" i="49"/>
  <c r="Z821" i="49" s="1"/>
  <c r="Y535" i="49"/>
  <c r="Y821" i="49" s="1"/>
  <c r="X535" i="49"/>
  <c r="X821" i="49" s="1"/>
  <c r="V535" i="49"/>
  <c r="V821" i="49" s="1"/>
  <c r="U535" i="49"/>
  <c r="U821" i="49" s="1"/>
  <c r="T535" i="49"/>
  <c r="S535" i="49"/>
  <c r="S821" i="49" s="1"/>
  <c r="R535" i="49"/>
  <c r="R821" i="49" s="1"/>
  <c r="Q535" i="49"/>
  <c r="Q821" i="49" s="1"/>
  <c r="P535" i="49"/>
  <c r="O535" i="49"/>
  <c r="O821" i="49" s="1"/>
  <c r="N535" i="49"/>
  <c r="N821" i="49" s="1"/>
  <c r="L535" i="49"/>
  <c r="K535" i="49"/>
  <c r="K821" i="49" s="1"/>
  <c r="J535" i="49"/>
  <c r="J821" i="49" s="1"/>
  <c r="I535" i="49"/>
  <c r="I821" i="49" s="1"/>
  <c r="BN534" i="49"/>
  <c r="BM534" i="49"/>
  <c r="BL534" i="49"/>
  <c r="BJ534" i="49"/>
  <c r="BI534" i="49"/>
  <c r="BH534" i="49"/>
  <c r="BH820" i="49" s="1"/>
  <c r="BG534" i="49"/>
  <c r="BE534" i="49"/>
  <c r="BD534" i="49"/>
  <c r="BD820" i="49" s="1"/>
  <c r="BC534" i="49"/>
  <c r="BB534" i="49"/>
  <c r="AZ534" i="49"/>
  <c r="AZ820" i="49" s="1"/>
  <c r="AY534" i="49"/>
  <c r="AX534" i="49"/>
  <c r="AW534" i="49"/>
  <c r="AV534" i="49"/>
  <c r="AV820" i="49" s="1"/>
  <c r="AU534" i="49"/>
  <c r="AT534" i="49"/>
  <c r="AS534" i="49"/>
  <c r="AR534" i="49"/>
  <c r="AR563" i="49" s="1"/>
  <c r="AP534" i="49"/>
  <c r="AP820" i="49" s="1"/>
  <c r="AO534" i="49"/>
  <c r="AO820" i="49" s="1"/>
  <c r="AN534" i="49"/>
  <c r="AN820" i="49" s="1"/>
  <c r="AM534" i="49"/>
  <c r="AM820" i="49" s="1"/>
  <c r="AK534" i="49"/>
  <c r="AK820" i="49" s="1"/>
  <c r="AJ534" i="49"/>
  <c r="AI534" i="49"/>
  <c r="AI820" i="49" s="1"/>
  <c r="AH534" i="49"/>
  <c r="AH820" i="49" s="1"/>
  <c r="AF534" i="49"/>
  <c r="AF820" i="49" s="1"/>
  <c r="AE534" i="49"/>
  <c r="AE820" i="49" s="1"/>
  <c r="AD534" i="49"/>
  <c r="AD820" i="49" s="1"/>
  <c r="AC534" i="49"/>
  <c r="AC820" i="49" s="1"/>
  <c r="AB534" i="49"/>
  <c r="AB820" i="49" s="1"/>
  <c r="AA534" i="49"/>
  <c r="AA820" i="49" s="1"/>
  <c r="Z534" i="49"/>
  <c r="Z820" i="49" s="1"/>
  <c r="Y534" i="49"/>
  <c r="Y820" i="49" s="1"/>
  <c r="X534" i="49"/>
  <c r="X820" i="49" s="1"/>
  <c r="V534" i="49"/>
  <c r="V820" i="49" s="1"/>
  <c r="U534" i="49"/>
  <c r="U820" i="49" s="1"/>
  <c r="T534" i="49"/>
  <c r="S534" i="49"/>
  <c r="S820" i="49" s="1"/>
  <c r="Q534" i="49"/>
  <c r="Q820" i="49" s="1"/>
  <c r="P534" i="49"/>
  <c r="P820" i="49" s="1"/>
  <c r="BN533" i="49"/>
  <c r="BN819" i="49" s="1"/>
  <c r="BM533" i="49"/>
  <c r="BM819" i="49" s="1"/>
  <c r="BL533" i="49"/>
  <c r="BK533" i="49"/>
  <c r="BJ533" i="49"/>
  <c r="BJ819" i="49" s="1"/>
  <c r="BI533" i="49"/>
  <c r="BI819" i="49" s="1"/>
  <c r="BH533" i="49"/>
  <c r="BG533" i="49"/>
  <c r="BG819" i="49" s="1"/>
  <c r="BF533" i="49"/>
  <c r="BF819" i="49" s="1"/>
  <c r="BE533" i="49"/>
  <c r="BE819" i="49" s="1"/>
  <c r="BD533" i="49"/>
  <c r="BC533" i="49"/>
  <c r="BC819" i="49" s="1"/>
  <c r="BB533" i="49"/>
  <c r="BB819" i="49" s="1"/>
  <c r="BA533" i="49"/>
  <c r="AZ533" i="49"/>
  <c r="AY533" i="49"/>
  <c r="AY819" i="49" s="1"/>
  <c r="AX533" i="49"/>
  <c r="AX819" i="49" s="1"/>
  <c r="AW533" i="49"/>
  <c r="AW819" i="49" s="1"/>
  <c r="AV533" i="49"/>
  <c r="AU533" i="49"/>
  <c r="AU819" i="49" s="1"/>
  <c r="AT533" i="49"/>
  <c r="AT819" i="49" s="1"/>
  <c r="AS533" i="49"/>
  <c r="AS819" i="49" s="1"/>
  <c r="AR533" i="49"/>
  <c r="AQ533" i="49"/>
  <c r="AP533" i="49"/>
  <c r="AP819" i="49" s="1"/>
  <c r="AO533" i="49"/>
  <c r="AO819" i="49" s="1"/>
  <c r="AN533" i="49"/>
  <c r="AM533" i="49"/>
  <c r="AM819" i="49" s="1"/>
  <c r="AL533" i="49"/>
  <c r="AL819" i="49" s="1"/>
  <c r="AK533" i="49"/>
  <c r="AK819" i="49" s="1"/>
  <c r="AJ533" i="49"/>
  <c r="AI533" i="49"/>
  <c r="AI819" i="49" s="1"/>
  <c r="AH533" i="49"/>
  <c r="AH819" i="49" s="1"/>
  <c r="AG533" i="49"/>
  <c r="AF533" i="49"/>
  <c r="AE533" i="49"/>
  <c r="AE819" i="49" s="1"/>
  <c r="AD533" i="49"/>
  <c r="AD819" i="49" s="1"/>
  <c r="AC533" i="49"/>
  <c r="AC819" i="49" s="1"/>
  <c r="AB533" i="49"/>
  <c r="AA533" i="49"/>
  <c r="AA819" i="49" s="1"/>
  <c r="Z533" i="49"/>
  <c r="Z819" i="49" s="1"/>
  <c r="Y533" i="49"/>
  <c r="Y819" i="49" s="1"/>
  <c r="X533" i="49"/>
  <c r="W533" i="49"/>
  <c r="V533" i="49"/>
  <c r="V819" i="49" s="1"/>
  <c r="U533" i="49"/>
  <c r="U819" i="49" s="1"/>
  <c r="T533" i="49"/>
  <c r="S533" i="49"/>
  <c r="S819" i="49" s="1"/>
  <c r="R533" i="49"/>
  <c r="Q533" i="49"/>
  <c r="Q819" i="49" s="1"/>
  <c r="P533" i="49"/>
  <c r="O533" i="49"/>
  <c r="O819" i="49" s="1"/>
  <c r="N533" i="49"/>
  <c r="N819" i="49" s="1"/>
  <c r="M533" i="49"/>
  <c r="L533" i="49"/>
  <c r="L819" i="49" s="1"/>
  <c r="K533" i="49"/>
  <c r="K819" i="49" s="1"/>
  <c r="J533" i="49"/>
  <c r="J819" i="49" s="1"/>
  <c r="I533" i="49"/>
  <c r="I819" i="49" s="1"/>
  <c r="BN532" i="49"/>
  <c r="BN818" i="49" s="1"/>
  <c r="BM532" i="49"/>
  <c r="BM818" i="49" s="1"/>
  <c r="BL532" i="49"/>
  <c r="BL818" i="49" s="1"/>
  <c r="BJ532" i="49"/>
  <c r="BJ818" i="49" s="1"/>
  <c r="BI532" i="49"/>
  <c r="BI818" i="49" s="1"/>
  <c r="BH532" i="49"/>
  <c r="BH818" i="49" s="1"/>
  <c r="BG532" i="49"/>
  <c r="BG818" i="49" s="1"/>
  <c r="BE532" i="49"/>
  <c r="BE818" i="49" s="1"/>
  <c r="BD532" i="49"/>
  <c r="BC532" i="49"/>
  <c r="BC818" i="49" s="1"/>
  <c r="BB532" i="49"/>
  <c r="BB818" i="49" s="1"/>
  <c r="BA532" i="49"/>
  <c r="AZ532" i="49"/>
  <c r="AZ818" i="49" s="1"/>
  <c r="AY532" i="49"/>
  <c r="AY818" i="49" s="1"/>
  <c r="AX532" i="49"/>
  <c r="AX818" i="49" s="1"/>
  <c r="AW532" i="49"/>
  <c r="AW818" i="49" s="1"/>
  <c r="AV532" i="49"/>
  <c r="AV818" i="49" s="1"/>
  <c r="AU532" i="49"/>
  <c r="AU818" i="49" s="1"/>
  <c r="AT532" i="49"/>
  <c r="AT818" i="49" s="1"/>
  <c r="AS532" i="49"/>
  <c r="AS818" i="49" s="1"/>
  <c r="AR532" i="49"/>
  <c r="AR818" i="49" s="1"/>
  <c r="AQ532" i="49"/>
  <c r="AP532" i="49"/>
  <c r="AP818" i="49" s="1"/>
  <c r="AO532" i="49"/>
  <c r="AO818" i="49" s="1"/>
  <c r="AN532" i="49"/>
  <c r="AN818" i="49" s="1"/>
  <c r="AM532" i="49"/>
  <c r="AM818" i="49" s="1"/>
  <c r="AL532" i="49"/>
  <c r="AK532" i="49"/>
  <c r="AK818" i="49" s="1"/>
  <c r="AJ532" i="49"/>
  <c r="AJ818" i="49" s="1"/>
  <c r="AI532" i="49"/>
  <c r="AI818" i="49" s="1"/>
  <c r="AH532" i="49"/>
  <c r="AH818" i="49" s="1"/>
  <c r="AG532" i="49"/>
  <c r="AF532" i="49"/>
  <c r="AE532" i="49"/>
  <c r="AE818" i="49" s="1"/>
  <c r="AD532" i="49"/>
  <c r="AD818" i="49" s="1"/>
  <c r="AC532" i="49"/>
  <c r="AC818" i="49" s="1"/>
  <c r="AB532" i="49"/>
  <c r="AA532" i="49"/>
  <c r="AA818" i="49" s="1"/>
  <c r="Z532" i="49"/>
  <c r="Z818" i="49" s="1"/>
  <c r="Y532" i="49"/>
  <c r="Y818" i="49" s="1"/>
  <c r="X532" i="49"/>
  <c r="W532" i="49"/>
  <c r="V532" i="49"/>
  <c r="V818" i="49" s="1"/>
  <c r="U532" i="49"/>
  <c r="U818" i="49" s="1"/>
  <c r="T532" i="49"/>
  <c r="T818" i="49" s="1"/>
  <c r="S532" i="49"/>
  <c r="S818" i="49" s="1"/>
  <c r="R532" i="49"/>
  <c r="Q532" i="49"/>
  <c r="Q818" i="49" s="1"/>
  <c r="P532" i="49"/>
  <c r="P818" i="49" s="1"/>
  <c r="O532" i="49"/>
  <c r="O818" i="49" s="1"/>
  <c r="N532" i="49"/>
  <c r="N818" i="49" s="1"/>
  <c r="M532" i="49"/>
  <c r="L532" i="49"/>
  <c r="L818" i="49" s="1"/>
  <c r="K532" i="49"/>
  <c r="K818" i="49" s="1"/>
  <c r="J532" i="49"/>
  <c r="J818" i="49" s="1"/>
  <c r="I532" i="49"/>
  <c r="I818" i="49" s="1"/>
  <c r="BN531" i="49"/>
  <c r="BN817" i="49" s="1"/>
  <c r="BM531" i="49"/>
  <c r="BM817" i="49" s="1"/>
  <c r="BL531" i="49"/>
  <c r="BJ531" i="49"/>
  <c r="BJ817" i="49" s="1"/>
  <c r="BH531" i="49"/>
  <c r="BG531" i="49"/>
  <c r="BG817" i="49" s="1"/>
  <c r="BF531" i="49"/>
  <c r="BE531" i="49"/>
  <c r="BE817" i="49" s="1"/>
  <c r="BD531" i="49"/>
  <c r="BC531" i="49"/>
  <c r="BC817" i="49" s="1"/>
  <c r="BB531" i="49"/>
  <c r="BB817" i="49" s="1"/>
  <c r="AZ531" i="49"/>
  <c r="AY531" i="49"/>
  <c r="AY817" i="49" s="1"/>
  <c r="AX531" i="49"/>
  <c r="AX817" i="49" s="1"/>
  <c r="AW531" i="49"/>
  <c r="AW817" i="49" s="1"/>
  <c r="AU531" i="49"/>
  <c r="AU817" i="49" s="1"/>
  <c r="AT531" i="49"/>
  <c r="AT817" i="49" s="1"/>
  <c r="AS531" i="49"/>
  <c r="AS817" i="49" s="1"/>
  <c r="AR531" i="49"/>
  <c r="AP531" i="49"/>
  <c r="AP817" i="49" s="1"/>
  <c r="AO531" i="49"/>
  <c r="AO817" i="49" s="1"/>
  <c r="AN531" i="49"/>
  <c r="AM531" i="49"/>
  <c r="AM817" i="49" s="1"/>
  <c r="AL531" i="49"/>
  <c r="AK531" i="49"/>
  <c r="AK817" i="49" s="1"/>
  <c r="AJ531" i="49"/>
  <c r="AI531" i="49"/>
  <c r="AI817" i="49" s="1"/>
  <c r="AH531" i="49"/>
  <c r="AH817" i="49" s="1"/>
  <c r="AF531" i="49"/>
  <c r="AF817" i="49" s="1"/>
  <c r="AE531" i="49"/>
  <c r="AE817" i="49" s="1"/>
  <c r="AD531" i="49"/>
  <c r="AD817" i="49" s="1"/>
  <c r="AC531" i="49"/>
  <c r="AC817" i="49" s="1"/>
  <c r="AA531" i="49"/>
  <c r="AA817" i="49" s="1"/>
  <c r="Z531" i="49"/>
  <c r="Z817" i="49" s="1"/>
  <c r="Y531" i="49"/>
  <c r="Y817" i="49" s="1"/>
  <c r="X531" i="49"/>
  <c r="V531" i="49"/>
  <c r="V817" i="49" s="1"/>
  <c r="U531" i="49"/>
  <c r="T531" i="49"/>
  <c r="S531" i="49"/>
  <c r="S817" i="49" s="1"/>
  <c r="R531" i="49"/>
  <c r="R817" i="49" s="1"/>
  <c r="Q531" i="49"/>
  <c r="Q817" i="49" s="1"/>
  <c r="P531" i="49"/>
  <c r="BL530" i="49"/>
  <c r="AR530" i="49"/>
  <c r="AO530" i="49"/>
  <c r="AO816" i="49" s="1"/>
  <c r="AN530" i="49"/>
  <c r="AM530" i="49"/>
  <c r="AM816" i="49" s="1"/>
  <c r="AK530" i="49"/>
  <c r="AK816" i="49" s="1"/>
  <c r="AJ530" i="49"/>
  <c r="AJ816" i="49" s="1"/>
  <c r="AI530" i="49"/>
  <c r="AI816" i="49" s="1"/>
  <c r="AH530" i="49"/>
  <c r="AH816" i="49" s="1"/>
  <c r="AH848" i="49" s="1"/>
  <c r="AF530" i="49"/>
  <c r="AF816" i="49" s="1"/>
  <c r="AE530" i="49"/>
  <c r="AE816" i="49" s="1"/>
  <c r="AD530" i="49"/>
  <c r="AD816" i="49" s="1"/>
  <c r="AC530" i="49"/>
  <c r="AC816" i="49" s="1"/>
  <c r="AA530" i="49"/>
  <c r="AA816" i="49" s="1"/>
  <c r="Y530" i="49"/>
  <c r="Y816" i="49" s="1"/>
  <c r="X530" i="49"/>
  <c r="V530" i="49"/>
  <c r="V816" i="49" s="1"/>
  <c r="U530" i="49"/>
  <c r="U816" i="49" s="1"/>
  <c r="T530" i="49"/>
  <c r="S530" i="49"/>
  <c r="Q530" i="49"/>
  <c r="P530" i="49"/>
  <c r="P816" i="49" s="1"/>
  <c r="CM529" i="49"/>
  <c r="CM815" i="49" s="1"/>
  <c r="CL529" i="49"/>
  <c r="CL815" i="49" s="1"/>
  <c r="CK529" i="49"/>
  <c r="CK815" i="49" s="1"/>
  <c r="CI529" i="49"/>
  <c r="CI815" i="49" s="1"/>
  <c r="CH529" i="49"/>
  <c r="CH815" i="49" s="1"/>
  <c r="CL526" i="49"/>
  <c r="CK526" i="49"/>
  <c r="CG526" i="49"/>
  <c r="CF526" i="49"/>
  <c r="CC526" i="49"/>
  <c r="CB526" i="49"/>
  <c r="CA526" i="49"/>
  <c r="BW526" i="49"/>
  <c r="BV526" i="49"/>
  <c r="BT526" i="49"/>
  <c r="BS526" i="49"/>
  <c r="BR526" i="49"/>
  <c r="BQ526" i="49"/>
  <c r="BO526" i="49"/>
  <c r="BN526" i="49"/>
  <c r="BM526" i="49"/>
  <c r="BL526" i="49"/>
  <c r="BJ526" i="49"/>
  <c r="BH526" i="49"/>
  <c r="BG526" i="49"/>
  <c r="BE526" i="49"/>
  <c r="BD526" i="49"/>
  <c r="BC526" i="49"/>
  <c r="BB526" i="49"/>
  <c r="AZ526" i="49"/>
  <c r="AY526" i="49"/>
  <c r="AX526" i="49"/>
  <c r="AW526" i="49"/>
  <c r="AU526" i="49"/>
  <c r="AT526" i="49"/>
  <c r="AS526" i="49"/>
  <c r="AR526" i="49"/>
  <c r="AP526" i="49"/>
  <c r="AO526" i="49"/>
  <c r="AN526" i="49"/>
  <c r="AM526" i="49"/>
  <c r="AK526" i="49"/>
  <c r="AJ526" i="49"/>
  <c r="AI526" i="49"/>
  <c r="AH526" i="49"/>
  <c r="AF526" i="49"/>
  <c r="AE526" i="49"/>
  <c r="AD526" i="49"/>
  <c r="AC526" i="49"/>
  <c r="AA526" i="49"/>
  <c r="Z526" i="49"/>
  <c r="Y526" i="49"/>
  <c r="X526" i="49"/>
  <c r="V526" i="49"/>
  <c r="U526" i="49"/>
  <c r="T526" i="49"/>
  <c r="S526" i="49"/>
  <c r="Q526" i="49"/>
  <c r="P526" i="49"/>
  <c r="CQ524" i="49"/>
  <c r="CP524" i="49"/>
  <c r="CM524" i="49"/>
  <c r="CJ524" i="49"/>
  <c r="CJ523" i="49"/>
  <c r="CJ522" i="49"/>
  <c r="CJ808" i="49" s="1"/>
  <c r="CJ521" i="49"/>
  <c r="CJ807" i="49" s="1"/>
  <c r="CJ520" i="49"/>
  <c r="CJ806" i="49" s="1"/>
  <c r="CJ518" i="49"/>
  <c r="CJ804" i="49" s="1"/>
  <c r="CJ516" i="49"/>
  <c r="CJ802" i="49" s="1"/>
  <c r="CJ515" i="49"/>
  <c r="CJ514" i="49"/>
  <c r="CJ800" i="49" s="1"/>
  <c r="CI519" i="49"/>
  <c r="CH519" i="49"/>
  <c r="CH555" i="49" s="1"/>
  <c r="CH517" i="49"/>
  <c r="CR523" i="49"/>
  <c r="CR809" i="49" s="1"/>
  <c r="CQ523" i="49"/>
  <c r="CP523" i="49"/>
  <c r="CP809" i="49" s="1"/>
  <c r="CS522" i="49"/>
  <c r="CR522" i="49"/>
  <c r="CQ522" i="49"/>
  <c r="CQ808" i="49" s="1"/>
  <c r="CP522" i="49"/>
  <c r="CP808" i="49" s="1"/>
  <c r="CO522" i="49"/>
  <c r="CN808" i="49"/>
  <c r="CR521" i="49"/>
  <c r="CR807" i="49" s="1"/>
  <c r="CQ521" i="49"/>
  <c r="CQ807" i="49" s="1"/>
  <c r="CP521" i="49"/>
  <c r="CP807" i="49" s="1"/>
  <c r="CN807" i="49"/>
  <c r="CR520" i="49"/>
  <c r="CR806" i="49" s="1"/>
  <c r="CQ520" i="49"/>
  <c r="CQ806" i="49" s="1"/>
  <c r="CP520" i="49"/>
  <c r="CN806" i="49"/>
  <c r="CO518" i="49"/>
  <c r="CR516" i="49"/>
  <c r="CR802" i="49" s="1"/>
  <c r="CQ516" i="49"/>
  <c r="CQ802" i="49" s="1"/>
  <c r="CP516" i="49"/>
  <c r="CN802" i="49"/>
  <c r="CR515" i="49"/>
  <c r="CR801" i="49" s="1"/>
  <c r="CQ515" i="49"/>
  <c r="CP515" i="49"/>
  <c r="CP801" i="49" s="1"/>
  <c r="CN551" i="49"/>
  <c r="CS514" i="49"/>
  <c r="CR514" i="49"/>
  <c r="CQ514" i="49"/>
  <c r="CQ800" i="49" s="1"/>
  <c r="CP514" i="49"/>
  <c r="CP800" i="49" s="1"/>
  <c r="CO514" i="49"/>
  <c r="CN800" i="49"/>
  <c r="CQ512" i="49"/>
  <c r="CP512" i="49"/>
  <c r="CP798" i="49" s="1"/>
  <c r="CJ511" i="49"/>
  <c r="CJ797" i="49" s="1"/>
  <c r="CJ509" i="49"/>
  <c r="CJ795" i="49" s="1"/>
  <c r="CJ508" i="49"/>
  <c r="CJ507" i="49"/>
  <c r="CJ793" i="49" s="1"/>
  <c r="CJ506" i="49"/>
  <c r="CJ792" i="49" s="1"/>
  <c r="CE511" i="49"/>
  <c r="CE797" i="49" s="1"/>
  <c r="CE510" i="49"/>
  <c r="CE796" i="49" s="1"/>
  <c r="CE509" i="49"/>
  <c r="CE508" i="49"/>
  <c r="CE507" i="49"/>
  <c r="CE793" i="49" s="1"/>
  <c r="CE506" i="49"/>
  <c r="CE792" i="49" s="1"/>
  <c r="CH510" i="49"/>
  <c r="CH796" i="49" s="1"/>
  <c r="BW510" i="49"/>
  <c r="BW796" i="49" s="1"/>
  <c r="BU510" i="49"/>
  <c r="BU796" i="49" s="1"/>
  <c r="BU509" i="49"/>
  <c r="BU508" i="49"/>
  <c r="BU507" i="49"/>
  <c r="BU793" i="49" s="1"/>
  <c r="BU506" i="49"/>
  <c r="BU792" i="49" s="1"/>
  <c r="BP510" i="49"/>
  <c r="BP796" i="49" s="1"/>
  <c r="BP509" i="49"/>
  <c r="BP795" i="49" s="1"/>
  <c r="BP508" i="49"/>
  <c r="BP507" i="49"/>
  <c r="BP793" i="49" s="1"/>
  <c r="BP506" i="49"/>
  <c r="BP792" i="49" s="1"/>
  <c r="BK510" i="49"/>
  <c r="BK796" i="49" s="1"/>
  <c r="BK509" i="49"/>
  <c r="BK508" i="49"/>
  <c r="BK507" i="49"/>
  <c r="BK793" i="49" s="1"/>
  <c r="BK506" i="49"/>
  <c r="BK792" i="49" s="1"/>
  <c r="BF510" i="49"/>
  <c r="BF544" i="49" s="1"/>
  <c r="BF830" i="49" s="1"/>
  <c r="BF509" i="49"/>
  <c r="BF795" i="49" s="1"/>
  <c r="BF508" i="49"/>
  <c r="BF507" i="49"/>
  <c r="BF506" i="49"/>
  <c r="BF792" i="49" s="1"/>
  <c r="BA510" i="49"/>
  <c r="BA509" i="49"/>
  <c r="BA508" i="49"/>
  <c r="BA507" i="49"/>
  <c r="BA793" i="49" s="1"/>
  <c r="BA506" i="49"/>
  <c r="BA792" i="49" s="1"/>
  <c r="AV510" i="49"/>
  <c r="AV796" i="49" s="1"/>
  <c r="AV509" i="49"/>
  <c r="AV795" i="49" s="1"/>
  <c r="AV508" i="49"/>
  <c r="AV507" i="49"/>
  <c r="AV793" i="49" s="1"/>
  <c r="AV506" i="49"/>
  <c r="AV792" i="49" s="1"/>
  <c r="AQ510" i="49"/>
  <c r="AQ796" i="49" s="1"/>
  <c r="AQ509" i="49"/>
  <c r="AQ508" i="49"/>
  <c r="AQ507" i="49"/>
  <c r="AQ793" i="49" s="1"/>
  <c r="AQ506" i="49"/>
  <c r="AQ792" i="49" s="1"/>
  <c r="AL510" i="49"/>
  <c r="AL796" i="49" s="1"/>
  <c r="AL509" i="49"/>
  <c r="AL795" i="49" s="1"/>
  <c r="AL508" i="49"/>
  <c r="AL507" i="49"/>
  <c r="AL506" i="49"/>
  <c r="AL792" i="49" s="1"/>
  <c r="AG510" i="49"/>
  <c r="AG509" i="49"/>
  <c r="AG508" i="49"/>
  <c r="AG507" i="49"/>
  <c r="AG793" i="49" s="1"/>
  <c r="AG506" i="49"/>
  <c r="AG792" i="49" s="1"/>
  <c r="AB510" i="49"/>
  <c r="AB796" i="49" s="1"/>
  <c r="AB509" i="49"/>
  <c r="AB795" i="49" s="1"/>
  <c r="AB508" i="49"/>
  <c r="AB507" i="49"/>
  <c r="AB793" i="49" s="1"/>
  <c r="AB506" i="49"/>
  <c r="AB792" i="49" s="1"/>
  <c r="W510" i="49"/>
  <c r="W796" i="49" s="1"/>
  <c r="W509" i="49"/>
  <c r="W508" i="49"/>
  <c r="W526" i="49" s="1"/>
  <c r="W507" i="49"/>
  <c r="W793" i="49" s="1"/>
  <c r="W506" i="49"/>
  <c r="W792" i="49" s="1"/>
  <c r="R510" i="49"/>
  <c r="R544" i="49" s="1"/>
  <c r="R509" i="49"/>
  <c r="R508" i="49"/>
  <c r="R507" i="49"/>
  <c r="R793" i="49" s="1"/>
  <c r="R506" i="49"/>
  <c r="R792" i="49" s="1"/>
  <c r="M510" i="49"/>
  <c r="M507" i="49"/>
  <c r="M793" i="49" s="1"/>
  <c r="M506" i="49"/>
  <c r="M792" i="49" s="1"/>
  <c r="BZ509" i="49"/>
  <c r="BZ795" i="49" s="1"/>
  <c r="BZ508" i="49"/>
  <c r="BZ507" i="49"/>
  <c r="BZ793" i="49" s="1"/>
  <c r="BZ506" i="49"/>
  <c r="BZ792" i="49" s="1"/>
  <c r="P509" i="49"/>
  <c r="P543" i="49" s="1"/>
  <c r="P829" i="49" s="1"/>
  <c r="CR511" i="49"/>
  <c r="CR797" i="49" s="1"/>
  <c r="CQ511" i="49"/>
  <c r="CQ797" i="49" s="1"/>
  <c r="CP511" i="49"/>
  <c r="CP797" i="49" s="1"/>
  <c r="CN797" i="49"/>
  <c r="CR509" i="49"/>
  <c r="CQ509" i="49"/>
  <c r="CP509" i="49"/>
  <c r="CP795" i="49" s="1"/>
  <c r="CS508" i="49"/>
  <c r="CR508" i="49"/>
  <c r="CQ508" i="49"/>
  <c r="CP508" i="49"/>
  <c r="CO508" i="49"/>
  <c r="CR507" i="49"/>
  <c r="CQ507" i="49"/>
  <c r="CP507" i="49"/>
  <c r="CP793" i="49" s="1"/>
  <c r="CR506" i="49"/>
  <c r="CR792" i="49" s="1"/>
  <c r="CQ506" i="49"/>
  <c r="CQ792" i="49" s="1"/>
  <c r="CP506" i="49"/>
  <c r="O508" i="49"/>
  <c r="N508" i="49"/>
  <c r="O507" i="49"/>
  <c r="O793" i="49" s="1"/>
  <c r="N507" i="49"/>
  <c r="N793" i="49" s="1"/>
  <c r="O506" i="49"/>
  <c r="O792" i="49" s="1"/>
  <c r="N506" i="49"/>
  <c r="N792" i="49" s="1"/>
  <c r="L509" i="49"/>
  <c r="L795" i="49" s="1"/>
  <c r="K509" i="49"/>
  <c r="K795" i="49" s="1"/>
  <c r="J509" i="49"/>
  <c r="I509" i="49"/>
  <c r="I795" i="49" s="1"/>
  <c r="L508" i="49"/>
  <c r="K508" i="49"/>
  <c r="J508" i="49"/>
  <c r="I508" i="49"/>
  <c r="I794" i="49" s="1"/>
  <c r="L507" i="49"/>
  <c r="L793" i="49" s="1"/>
  <c r="K507" i="49"/>
  <c r="K472" i="49" s="1"/>
  <c r="J507" i="49"/>
  <c r="I507" i="49"/>
  <c r="I793" i="49" s="1"/>
  <c r="L506" i="49"/>
  <c r="L792" i="49" s="1"/>
  <c r="K506" i="49"/>
  <c r="K792" i="49" s="1"/>
  <c r="J506" i="49"/>
  <c r="I506" i="49"/>
  <c r="I792" i="49" s="1"/>
  <c r="CQ505" i="49"/>
  <c r="CP505" i="49"/>
  <c r="CP791" i="49" s="1"/>
  <c r="CJ504" i="49"/>
  <c r="CJ501" i="49"/>
  <c r="CJ787" i="49" s="1"/>
  <c r="CJ500" i="49"/>
  <c r="CJ499" i="49"/>
  <c r="CJ785" i="49" s="1"/>
  <c r="CJ498" i="49"/>
  <c r="CJ784" i="49" s="1"/>
  <c r="CJ497" i="49"/>
  <c r="CJ783" i="49" s="1"/>
  <c r="CJ496" i="49"/>
  <c r="CJ495" i="49"/>
  <c r="CE504" i="49"/>
  <c r="CE790" i="49" s="1"/>
  <c r="CE500" i="49"/>
  <c r="BZ504" i="49"/>
  <c r="BZ790" i="49" s="1"/>
  <c r="BZ503" i="49"/>
  <c r="BZ537" i="49" s="1"/>
  <c r="BZ502" i="49"/>
  <c r="BZ788" i="49" s="1"/>
  <c r="BZ501" i="49"/>
  <c r="BZ500" i="49"/>
  <c r="BU504" i="49"/>
  <c r="BU503" i="49"/>
  <c r="BU502" i="49"/>
  <c r="BU788" i="49" s="1"/>
  <c r="BU501" i="49"/>
  <c r="BU787" i="49" s="1"/>
  <c r="BU500" i="49"/>
  <c r="BP504" i="49"/>
  <c r="BP790" i="49" s="1"/>
  <c r="BP503" i="49"/>
  <c r="BP502" i="49"/>
  <c r="BP788" i="49" s="1"/>
  <c r="BP501" i="49"/>
  <c r="BP535" i="49" s="1"/>
  <c r="BP500" i="49"/>
  <c r="BP884" i="49" s="1"/>
  <c r="BK504" i="49"/>
  <c r="BK790" i="49" s="1"/>
  <c r="BK503" i="49"/>
  <c r="BK502" i="49"/>
  <c r="BK501" i="49"/>
  <c r="BK787" i="49" s="1"/>
  <c r="BK500" i="49"/>
  <c r="BF504" i="49"/>
  <c r="BF790" i="49" s="1"/>
  <c r="BF503" i="49"/>
  <c r="BF502" i="49"/>
  <c r="BF501" i="49"/>
  <c r="BF787" i="49" s="1"/>
  <c r="BF500" i="49"/>
  <c r="BA504" i="49"/>
  <c r="BA503" i="49"/>
  <c r="BA502" i="49"/>
  <c r="BA501" i="49"/>
  <c r="BA787" i="49" s="1"/>
  <c r="BA500" i="49"/>
  <c r="AV504" i="49"/>
  <c r="AV790" i="49" s="1"/>
  <c r="AV503" i="49"/>
  <c r="AV502" i="49"/>
  <c r="AV788" i="49" s="1"/>
  <c r="AV501" i="49"/>
  <c r="AV500" i="49"/>
  <c r="AQ504" i="49"/>
  <c r="AQ790" i="49" s="1"/>
  <c r="AQ503" i="49"/>
  <c r="AQ502" i="49"/>
  <c r="AQ501" i="49"/>
  <c r="AQ787" i="49" s="1"/>
  <c r="AQ500" i="49"/>
  <c r="AL504" i="49"/>
  <c r="AL790" i="49" s="1"/>
  <c r="AL503" i="49"/>
  <c r="AL502" i="49"/>
  <c r="AL788" i="49" s="1"/>
  <c r="AL501" i="49"/>
  <c r="AL787" i="49" s="1"/>
  <c r="AL500" i="49"/>
  <c r="AG504" i="49"/>
  <c r="AG503" i="49"/>
  <c r="AG502" i="49"/>
  <c r="AG501" i="49"/>
  <c r="AG787" i="49" s="1"/>
  <c r="AG500" i="49"/>
  <c r="AB504" i="49"/>
  <c r="AB503" i="49"/>
  <c r="AB502" i="49"/>
  <c r="AB788" i="49" s="1"/>
  <c r="AB501" i="49"/>
  <c r="AB500" i="49"/>
  <c r="AB884" i="49" s="1"/>
  <c r="W504" i="49"/>
  <c r="W790" i="49" s="1"/>
  <c r="W503" i="49"/>
  <c r="W789" i="49" s="1"/>
  <c r="W502" i="49"/>
  <c r="W501" i="49"/>
  <c r="W787" i="49" s="1"/>
  <c r="W500" i="49"/>
  <c r="R504" i="49"/>
  <c r="R790" i="49" s="1"/>
  <c r="R503" i="49"/>
  <c r="R502" i="49"/>
  <c r="R788" i="49" s="1"/>
  <c r="R501" i="49"/>
  <c r="R787" i="49" s="1"/>
  <c r="R500" i="49"/>
  <c r="N504" i="49"/>
  <c r="M504" i="49"/>
  <c r="L504" i="49"/>
  <c r="L790" i="49" s="1"/>
  <c r="J504" i="49"/>
  <c r="I504" i="49"/>
  <c r="CD503" i="49"/>
  <c r="CD502" i="49"/>
  <c r="CD501" i="49"/>
  <c r="M503" i="49"/>
  <c r="M502" i="49"/>
  <c r="M788" i="49" s="1"/>
  <c r="M501" i="49"/>
  <c r="M787" i="49" s="1"/>
  <c r="M500" i="49"/>
  <c r="CI503" i="49"/>
  <c r="CH503" i="49"/>
  <c r="CH789" i="49" s="1"/>
  <c r="CH502" i="49"/>
  <c r="CR504" i="49"/>
  <c r="CR790" i="49" s="1"/>
  <c r="CQ504" i="49"/>
  <c r="CQ790" i="49" s="1"/>
  <c r="CP504" i="49"/>
  <c r="CP790" i="49" s="1"/>
  <c r="CO503" i="49"/>
  <c r="CN787" i="49"/>
  <c r="CN785" i="49"/>
  <c r="CN781" i="49"/>
  <c r="BO499" i="49"/>
  <c r="BO785" i="49" s="1"/>
  <c r="CE498" i="49"/>
  <c r="CE784" i="49" s="1"/>
  <c r="CE497" i="49"/>
  <c r="CE783" i="49" s="1"/>
  <c r="CE496" i="49"/>
  <c r="BZ498" i="49"/>
  <c r="BZ784" i="49" s="1"/>
  <c r="BZ497" i="49"/>
  <c r="BZ496" i="49"/>
  <c r="BU498" i="49"/>
  <c r="BU784" i="49" s="1"/>
  <c r="BU497" i="49"/>
  <c r="BU783" i="49" s="1"/>
  <c r="BU496" i="49"/>
  <c r="BP498" i="49"/>
  <c r="BK498" i="49"/>
  <c r="BK784" i="49" s="1"/>
  <c r="BK497" i="49"/>
  <c r="BK783" i="49" s="1"/>
  <c r="BK496" i="49"/>
  <c r="BF498" i="49"/>
  <c r="BF784" i="49" s="1"/>
  <c r="BF497" i="49"/>
  <c r="BF783" i="49" s="1"/>
  <c r="BF496" i="49"/>
  <c r="BO497" i="49"/>
  <c r="BO496" i="49"/>
  <c r="BI497" i="49"/>
  <c r="BI943" i="49" s="1"/>
  <c r="BI496" i="49"/>
  <c r="BA497" i="49"/>
  <c r="BA783" i="49" s="1"/>
  <c r="BA496" i="49"/>
  <c r="AV497" i="49"/>
  <c r="AV496" i="49"/>
  <c r="AQ497" i="49"/>
  <c r="AQ783" i="49" s="1"/>
  <c r="AQ496" i="49"/>
  <c r="AL497" i="49"/>
  <c r="AL783" i="49" s="1"/>
  <c r="AL496" i="49"/>
  <c r="AG497" i="49"/>
  <c r="AG783" i="49" s="1"/>
  <c r="AG496" i="49"/>
  <c r="AB497" i="49"/>
  <c r="AB496" i="49"/>
  <c r="W497" i="49"/>
  <c r="W783" i="49" s="1"/>
  <c r="W496" i="49"/>
  <c r="R497" i="49"/>
  <c r="R496" i="49"/>
  <c r="O497" i="49"/>
  <c r="O783" i="49" s="1"/>
  <c r="N497" i="49"/>
  <c r="N783" i="49" s="1"/>
  <c r="L497" i="49"/>
  <c r="K497" i="49"/>
  <c r="K783" i="49" s="1"/>
  <c r="J497" i="49"/>
  <c r="J783" i="49" s="1"/>
  <c r="I497" i="49"/>
  <c r="I783" i="49" s="1"/>
  <c r="O496" i="49"/>
  <c r="N496" i="49"/>
  <c r="K496" i="49"/>
  <c r="J496" i="49"/>
  <c r="I496" i="49"/>
  <c r="CS498" i="49"/>
  <c r="CR498" i="49"/>
  <c r="CR784" i="49" s="1"/>
  <c r="CQ498" i="49"/>
  <c r="CQ784" i="49" s="1"/>
  <c r="CP498" i="49"/>
  <c r="CO498" i="49"/>
  <c r="CR497" i="49"/>
  <c r="CR783" i="49" s="1"/>
  <c r="CQ497" i="49"/>
  <c r="CQ783" i="49" s="1"/>
  <c r="CP497" i="49"/>
  <c r="CP783" i="49" s="1"/>
  <c r="CR496" i="49"/>
  <c r="CQ496" i="49"/>
  <c r="CQ782" i="49" s="1"/>
  <c r="CP496" i="49"/>
  <c r="CP782" i="49" s="1"/>
  <c r="CS495" i="49"/>
  <c r="CR495" i="49"/>
  <c r="CQ495" i="49"/>
  <c r="CP495" i="49"/>
  <c r="CO495" i="49"/>
  <c r="CH492" i="49"/>
  <c r="CG492" i="49"/>
  <c r="CF492" i="49"/>
  <c r="CB492" i="49"/>
  <c r="CA492" i="49"/>
  <c r="BY492" i="49"/>
  <c r="BX492" i="49"/>
  <c r="BW492" i="49"/>
  <c r="BV492" i="49"/>
  <c r="BT492" i="49"/>
  <c r="BS492" i="49"/>
  <c r="BR492" i="49"/>
  <c r="BQ492" i="49"/>
  <c r="BN492" i="49"/>
  <c r="BM492" i="49"/>
  <c r="BL492" i="49"/>
  <c r="BJ492" i="49"/>
  <c r="BI492" i="49"/>
  <c r="BH492" i="49"/>
  <c r="BG492" i="49"/>
  <c r="BE492" i="49"/>
  <c r="BD492" i="49"/>
  <c r="BC492" i="49"/>
  <c r="BB492" i="49"/>
  <c r="AZ492" i="49"/>
  <c r="AY492" i="49"/>
  <c r="AX492" i="49"/>
  <c r="AW492" i="49"/>
  <c r="AU492" i="49"/>
  <c r="AT492" i="49"/>
  <c r="AS492" i="49"/>
  <c r="AR492" i="49"/>
  <c r="AP492" i="49"/>
  <c r="AO492" i="49"/>
  <c r="AN492" i="49"/>
  <c r="AM492" i="49"/>
  <c r="AK492" i="49"/>
  <c r="AJ492" i="49"/>
  <c r="AI492" i="49"/>
  <c r="AH492" i="49"/>
  <c r="AF492" i="49"/>
  <c r="AE492" i="49"/>
  <c r="AD492" i="49"/>
  <c r="AC492" i="49"/>
  <c r="AA492" i="49"/>
  <c r="Z492" i="49"/>
  <c r="Y492" i="49"/>
  <c r="X492" i="49"/>
  <c r="V492" i="49"/>
  <c r="U492" i="49"/>
  <c r="T492" i="49"/>
  <c r="S492" i="49"/>
  <c r="Q492" i="49"/>
  <c r="P492" i="49"/>
  <c r="CQ490" i="49"/>
  <c r="CM490" i="49"/>
  <c r="CL490" i="49"/>
  <c r="CL560" i="49" s="1"/>
  <c r="CK490" i="49"/>
  <c r="CI490" i="49"/>
  <c r="CI492" i="49" s="1"/>
  <c r="CP489" i="49"/>
  <c r="CJ489" i="49"/>
  <c r="CJ488" i="49"/>
  <c r="CJ774" i="49" s="1"/>
  <c r="CJ487" i="49"/>
  <c r="CJ773" i="49" s="1"/>
  <c r="CJ486" i="49"/>
  <c r="CJ772" i="49" s="1"/>
  <c r="CJ485" i="49"/>
  <c r="CJ484" i="49"/>
  <c r="CJ770" i="49" s="1"/>
  <c r="CJ483" i="49"/>
  <c r="CJ769" i="49" s="1"/>
  <c r="CJ482" i="49"/>
  <c r="CJ768" i="49" s="1"/>
  <c r="CJ481" i="49"/>
  <c r="CJ480" i="49"/>
  <c r="CJ766" i="49" s="1"/>
  <c r="CR488" i="49"/>
  <c r="CR774" i="49" s="1"/>
  <c r="CQ488" i="49"/>
  <c r="CQ774" i="49" s="1"/>
  <c r="CP488" i="49"/>
  <c r="CP774" i="49" s="1"/>
  <c r="CN774" i="49"/>
  <c r="CR487" i="49"/>
  <c r="CR773" i="49" s="1"/>
  <c r="CQ487" i="49"/>
  <c r="CQ773" i="49" s="1"/>
  <c r="CP487" i="49"/>
  <c r="CP773" i="49" s="1"/>
  <c r="CS486" i="49"/>
  <c r="CR486" i="49"/>
  <c r="CR772" i="49" s="1"/>
  <c r="CQ486" i="49"/>
  <c r="CQ772" i="49" s="1"/>
  <c r="CP486" i="49"/>
  <c r="CP772" i="49" s="1"/>
  <c r="CO486" i="49"/>
  <c r="CO772" i="49" s="1"/>
  <c r="CN772" i="49"/>
  <c r="CR485" i="49"/>
  <c r="CR771" i="49" s="1"/>
  <c r="CQ485" i="49"/>
  <c r="CQ771" i="49" s="1"/>
  <c r="CP485" i="49"/>
  <c r="CP771" i="49" s="1"/>
  <c r="CN771" i="49"/>
  <c r="CR484" i="49"/>
  <c r="CR770" i="49" s="1"/>
  <c r="CQ484" i="49"/>
  <c r="CQ770" i="49" s="1"/>
  <c r="CP484" i="49"/>
  <c r="CP770" i="49" s="1"/>
  <c r="CN770" i="49"/>
  <c r="CR483" i="49"/>
  <c r="CR769" i="49" s="1"/>
  <c r="CQ483" i="49"/>
  <c r="CQ769" i="49" s="1"/>
  <c r="CP483" i="49"/>
  <c r="CP769" i="49" s="1"/>
  <c r="CS482" i="49"/>
  <c r="CR482" i="49"/>
  <c r="CR768" i="49" s="1"/>
  <c r="CQ482" i="49"/>
  <c r="CQ768" i="49" s="1"/>
  <c r="CP482" i="49"/>
  <c r="CP768" i="49" s="1"/>
  <c r="CO482" i="49"/>
  <c r="CO768" i="49" s="1"/>
  <c r="CN768" i="49"/>
  <c r="CR481" i="49"/>
  <c r="CR767" i="49" s="1"/>
  <c r="CQ481" i="49"/>
  <c r="CP481" i="49"/>
  <c r="CP767" i="49" s="1"/>
  <c r="CN767" i="49"/>
  <c r="CR480" i="49"/>
  <c r="CR766" i="49" s="1"/>
  <c r="CQ480" i="49"/>
  <c r="CQ766" i="49" s="1"/>
  <c r="CP480" i="49"/>
  <c r="CP766" i="49" s="1"/>
  <c r="CN766" i="49"/>
  <c r="CP478" i="49"/>
  <c r="CP764" i="49" s="1"/>
  <c r="BP478" i="49"/>
  <c r="CJ477" i="49"/>
  <c r="CJ546" i="49" s="1"/>
  <c r="CJ832" i="49" s="1"/>
  <c r="CJ476" i="49"/>
  <c r="CJ761" i="49" s="1"/>
  <c r="CJ475" i="49"/>
  <c r="CJ474" i="49"/>
  <c r="CJ473" i="49"/>
  <c r="CJ759" i="49" s="1"/>
  <c r="CJ472" i="49"/>
  <c r="CJ471" i="49"/>
  <c r="CJ757" i="49" s="1"/>
  <c r="CE477" i="49"/>
  <c r="CE475" i="49"/>
  <c r="CE760" i="49" s="1"/>
  <c r="CE474" i="49"/>
  <c r="CE473" i="49"/>
  <c r="CE759" i="49" s="1"/>
  <c r="CE472" i="49"/>
  <c r="CE471" i="49"/>
  <c r="CE757" i="49" s="1"/>
  <c r="CL476" i="49"/>
  <c r="BU476" i="49"/>
  <c r="BU761" i="49" s="1"/>
  <c r="BU475" i="49"/>
  <c r="BU474" i="49"/>
  <c r="BU762" i="49" s="1"/>
  <c r="BU473" i="49"/>
  <c r="BU759" i="49" s="1"/>
  <c r="BU472" i="49"/>
  <c r="BU471" i="49"/>
  <c r="BU757" i="49" s="1"/>
  <c r="BP476" i="49"/>
  <c r="BP544" i="49" s="1"/>
  <c r="BP475" i="49"/>
  <c r="BP760" i="49" s="1"/>
  <c r="BP474" i="49"/>
  <c r="BP762" i="49" s="1"/>
  <c r="BP473" i="49"/>
  <c r="BP759" i="49" s="1"/>
  <c r="BP472" i="49"/>
  <c r="BP758" i="49" s="1"/>
  <c r="BP471" i="49"/>
  <c r="BZ475" i="49"/>
  <c r="BZ760" i="49" s="1"/>
  <c r="BZ474" i="49"/>
  <c r="BZ473" i="49"/>
  <c r="BZ472" i="49"/>
  <c r="BZ471" i="49"/>
  <c r="BZ757" i="49" s="1"/>
  <c r="BK475" i="49"/>
  <c r="BK760" i="49" s="1"/>
  <c r="BF475" i="49"/>
  <c r="BF760" i="49" s="1"/>
  <c r="BA475" i="49"/>
  <c r="AV475" i="49"/>
  <c r="AV760" i="49" s="1"/>
  <c r="AQ475" i="49"/>
  <c r="AQ760" i="49" s="1"/>
  <c r="AL475" i="49"/>
  <c r="AL760" i="49" s="1"/>
  <c r="AG475" i="49"/>
  <c r="AB475" i="49"/>
  <c r="AB760" i="49" s="1"/>
  <c r="W475" i="49"/>
  <c r="W760" i="49" s="1"/>
  <c r="R475" i="49"/>
  <c r="R760" i="49" s="1"/>
  <c r="O475" i="49"/>
  <c r="O760" i="49" s="1"/>
  <c r="N475" i="49"/>
  <c r="N760" i="49" s="1"/>
  <c r="K475" i="49"/>
  <c r="K760" i="49" s="1"/>
  <c r="I475" i="49"/>
  <c r="I760" i="49" s="1"/>
  <c r="BK473" i="49"/>
  <c r="BK759" i="49" s="1"/>
  <c r="BK472" i="49"/>
  <c r="BK471" i="49"/>
  <c r="BK757" i="49" s="1"/>
  <c r="BF473" i="49"/>
  <c r="BF759" i="49" s="1"/>
  <c r="BF472" i="49"/>
  <c r="BF471" i="49"/>
  <c r="BF757" i="49" s="1"/>
  <c r="BA473" i="49"/>
  <c r="BA759" i="49" s="1"/>
  <c r="BA472" i="49"/>
  <c r="BA471" i="49"/>
  <c r="BA757" i="49" s="1"/>
  <c r="AV473" i="49"/>
  <c r="AV759" i="49" s="1"/>
  <c r="AV472" i="49"/>
  <c r="AV471" i="49"/>
  <c r="AV757" i="49" s="1"/>
  <c r="AQ473" i="49"/>
  <c r="AQ759" i="49" s="1"/>
  <c r="AQ472" i="49"/>
  <c r="AQ471" i="49"/>
  <c r="AL473" i="49"/>
  <c r="AL759" i="49" s="1"/>
  <c r="AL472" i="49"/>
  <c r="AL471" i="49"/>
  <c r="AL757" i="49" s="1"/>
  <c r="AG473" i="49"/>
  <c r="AG759" i="49" s="1"/>
  <c r="AG472" i="49"/>
  <c r="AG471" i="49"/>
  <c r="AG757" i="49" s="1"/>
  <c r="AB473" i="49"/>
  <c r="AB759" i="49" s="1"/>
  <c r="AB472" i="49"/>
  <c r="AB868" i="49" s="1"/>
  <c r="AB471" i="49"/>
  <c r="AB757" i="49" s="1"/>
  <c r="W473" i="49"/>
  <c r="W759" i="49" s="1"/>
  <c r="W472" i="49"/>
  <c r="W471" i="49"/>
  <c r="W757" i="49" s="1"/>
  <c r="R473" i="49"/>
  <c r="R759" i="49" s="1"/>
  <c r="R472" i="49"/>
  <c r="R471" i="49"/>
  <c r="R757" i="49" s="1"/>
  <c r="CR477" i="49"/>
  <c r="CR763" i="49" s="1"/>
  <c r="CQ477" i="49"/>
  <c r="CQ763" i="49" s="1"/>
  <c r="CP477" i="49"/>
  <c r="CP763" i="49" s="1"/>
  <c r="CN546" i="49"/>
  <c r="CN832" i="49" s="1"/>
  <c r="CP476" i="49"/>
  <c r="CS475" i="49"/>
  <c r="CR475" i="49"/>
  <c r="CR760" i="49" s="1"/>
  <c r="CQ475" i="49"/>
  <c r="CQ760" i="49" s="1"/>
  <c r="CP475" i="49"/>
  <c r="CO475" i="49"/>
  <c r="CO760" i="49" s="1"/>
  <c r="CR474" i="49"/>
  <c r="CR762" i="49" s="1"/>
  <c r="CQ474" i="49"/>
  <c r="CQ762" i="49" s="1"/>
  <c r="CP474" i="49"/>
  <c r="CP762" i="49" s="1"/>
  <c r="CN762" i="49"/>
  <c r="CR473" i="49"/>
  <c r="CR759" i="49" s="1"/>
  <c r="CQ473" i="49"/>
  <c r="CQ759" i="49" s="1"/>
  <c r="CP473" i="49"/>
  <c r="CN759" i="49"/>
  <c r="CR472" i="49"/>
  <c r="CQ472" i="49"/>
  <c r="CP472" i="49"/>
  <c r="CS471" i="49"/>
  <c r="CR471" i="49"/>
  <c r="CR757" i="49" s="1"/>
  <c r="CQ471" i="49"/>
  <c r="CQ757" i="49" s="1"/>
  <c r="CP471" i="49"/>
  <c r="CO471" i="49"/>
  <c r="CO757" i="49" s="1"/>
  <c r="CN757" i="49"/>
  <c r="N473" i="49"/>
  <c r="N759" i="49" s="1"/>
  <c r="K473" i="49"/>
  <c r="K759" i="49" s="1"/>
  <c r="I473" i="49"/>
  <c r="N472" i="49"/>
  <c r="L472" i="49"/>
  <c r="I472" i="49"/>
  <c r="N471" i="49"/>
  <c r="N757" i="49" s="1"/>
  <c r="L471" i="49"/>
  <c r="L757" i="49" s="1"/>
  <c r="K471" i="49"/>
  <c r="I471" i="49"/>
  <c r="I757" i="49" s="1"/>
  <c r="CP470" i="49"/>
  <c r="CR469" i="49"/>
  <c r="CQ469" i="49"/>
  <c r="CP469" i="49"/>
  <c r="CJ469" i="49"/>
  <c r="CE469" i="49"/>
  <c r="CE755" i="49" s="1"/>
  <c r="BZ469" i="49"/>
  <c r="BU469" i="49"/>
  <c r="BP469" i="49"/>
  <c r="BK469" i="49"/>
  <c r="BF469" i="49"/>
  <c r="BA469" i="49"/>
  <c r="AV469" i="49"/>
  <c r="AQ469" i="49"/>
  <c r="AL469" i="49"/>
  <c r="AL755" i="49" s="1"/>
  <c r="AG469" i="49"/>
  <c r="AB469" i="49"/>
  <c r="AB538" i="49" s="1"/>
  <c r="AB824" i="49" s="1"/>
  <c r="W469" i="49"/>
  <c r="R469" i="49"/>
  <c r="N469" i="49"/>
  <c r="L469" i="49"/>
  <c r="J469" i="49"/>
  <c r="CR467" i="49"/>
  <c r="CR753" i="49" s="1"/>
  <c r="CQ467" i="49"/>
  <c r="CQ753" i="49" s="1"/>
  <c r="CP467" i="49"/>
  <c r="CN753" i="49"/>
  <c r="CO753" i="49" s="1"/>
  <c r="CJ467" i="49"/>
  <c r="CE467" i="49"/>
  <c r="BZ467" i="49"/>
  <c r="BU467" i="49"/>
  <c r="BU536" i="49" s="1"/>
  <c r="BP467" i="49"/>
  <c r="BP536" i="49" s="1"/>
  <c r="BP822" i="49" s="1"/>
  <c r="BK467" i="49"/>
  <c r="BK536" i="49" s="1"/>
  <c r="BK822" i="49" s="1"/>
  <c r="BF467" i="49"/>
  <c r="BF753" i="49" s="1"/>
  <c r="CR465" i="49"/>
  <c r="CQ465" i="49"/>
  <c r="CP465" i="49"/>
  <c r="CJ465" i="49"/>
  <c r="CE465" i="49"/>
  <c r="BZ465" i="49"/>
  <c r="BZ534" i="49" s="1"/>
  <c r="BU465" i="49"/>
  <c r="BU862" i="49" s="1"/>
  <c r="BP465" i="49"/>
  <c r="BK465" i="49"/>
  <c r="BF465" i="49"/>
  <c r="BF534" i="49" s="1"/>
  <c r="BF820" i="49" s="1"/>
  <c r="BA465" i="49"/>
  <c r="BA862" i="49" s="1"/>
  <c r="BB864" i="49" s="1"/>
  <c r="AV465" i="49"/>
  <c r="AQ465" i="49"/>
  <c r="AL465" i="49"/>
  <c r="AL534" i="49" s="1"/>
  <c r="AL820" i="49" s="1"/>
  <c r="AG465" i="49"/>
  <c r="AG862" i="49" s="1"/>
  <c r="AB465" i="49"/>
  <c r="W465" i="49"/>
  <c r="R465" i="49"/>
  <c r="R534" i="49" s="1"/>
  <c r="O465" i="49"/>
  <c r="N465" i="49"/>
  <c r="L465" i="49"/>
  <c r="L534" i="49" s="1"/>
  <c r="L820" i="49" s="1"/>
  <c r="J465" i="49"/>
  <c r="I465" i="49"/>
  <c r="CP464" i="49"/>
  <c r="CL464" i="49"/>
  <c r="CL750" i="49" s="1"/>
  <c r="BO464" i="49"/>
  <c r="BO750" i="49" s="1"/>
  <c r="BO778" i="49" s="1"/>
  <c r="CJ463" i="49"/>
  <c r="CJ749" i="49" s="1"/>
  <c r="CJ462" i="49"/>
  <c r="CJ461" i="49"/>
  <c r="CJ460" i="49"/>
  <c r="CE463" i="49"/>
  <c r="CE749" i="49" s="1"/>
  <c r="CE462" i="49"/>
  <c r="CE748" i="49" s="1"/>
  <c r="CE461" i="49"/>
  <c r="CE747" i="49" s="1"/>
  <c r="BZ463" i="49"/>
  <c r="BZ749" i="49" s="1"/>
  <c r="BZ462" i="49"/>
  <c r="BZ748" i="49" s="1"/>
  <c r="BZ461" i="49"/>
  <c r="BU462" i="49"/>
  <c r="BU748" i="49" s="1"/>
  <c r="BU461" i="49"/>
  <c r="BP462" i="49"/>
  <c r="BP748" i="49" s="1"/>
  <c r="BP461" i="49"/>
  <c r="BP747" i="49" s="1"/>
  <c r="BK462" i="49"/>
  <c r="BK748" i="49" s="1"/>
  <c r="BK461" i="49"/>
  <c r="BF462" i="49"/>
  <c r="BF461" i="49"/>
  <c r="BA462" i="49"/>
  <c r="BA748" i="49" s="1"/>
  <c r="BA461" i="49"/>
  <c r="AV462" i="49"/>
  <c r="AV748" i="49" s="1"/>
  <c r="AV461" i="49"/>
  <c r="AQ462" i="49"/>
  <c r="AQ748" i="49" s="1"/>
  <c r="AQ461" i="49"/>
  <c r="AQ492" i="49" s="1"/>
  <c r="AL462" i="49"/>
  <c r="AL461" i="49"/>
  <c r="AG462" i="49"/>
  <c r="AG748" i="49" s="1"/>
  <c r="AG461" i="49"/>
  <c r="AB462" i="49"/>
  <c r="AB748" i="49" s="1"/>
  <c r="AB461" i="49"/>
  <c r="W462" i="49"/>
  <c r="W748" i="49" s="1"/>
  <c r="W461" i="49"/>
  <c r="W492" i="49" s="1"/>
  <c r="R462" i="49"/>
  <c r="R748" i="49" s="1"/>
  <c r="R461" i="49"/>
  <c r="N462" i="49"/>
  <c r="N748" i="49" s="1"/>
  <c r="J462" i="49"/>
  <c r="N461" i="49"/>
  <c r="J461" i="49"/>
  <c r="I461" i="49"/>
  <c r="CS463" i="49"/>
  <c r="CR463" i="49"/>
  <c r="CR749" i="49" s="1"/>
  <c r="CQ463" i="49"/>
  <c r="CQ749" i="49" s="1"/>
  <c r="CP463" i="49"/>
  <c r="CO463" i="49"/>
  <c r="CN749" i="49"/>
  <c r="CR462" i="49"/>
  <c r="CR748" i="49" s="1"/>
  <c r="CQ462" i="49"/>
  <c r="CQ748" i="49" s="1"/>
  <c r="CP462" i="49"/>
  <c r="CP748" i="49" s="1"/>
  <c r="CN748" i="49"/>
  <c r="CR461" i="49"/>
  <c r="CQ461" i="49"/>
  <c r="CP461" i="49"/>
  <c r="CR460" i="49"/>
  <c r="CQ460" i="49"/>
  <c r="CQ746" i="49" s="1"/>
  <c r="CP460" i="49"/>
  <c r="CM457" i="49"/>
  <c r="CL457" i="49"/>
  <c r="CK457" i="49"/>
  <c r="CA457" i="49"/>
  <c r="BQ457" i="49"/>
  <c r="BM457" i="49"/>
  <c r="AW457" i="49"/>
  <c r="AO457" i="49"/>
  <c r="AN457" i="49"/>
  <c r="AM457" i="49"/>
  <c r="AK457" i="49"/>
  <c r="AJ457" i="49"/>
  <c r="AI457" i="49"/>
  <c r="AH457" i="49"/>
  <c r="AF457" i="49"/>
  <c r="AE457" i="49"/>
  <c r="AD457" i="49"/>
  <c r="AC457" i="49"/>
  <c r="AA457" i="49"/>
  <c r="Y457" i="49"/>
  <c r="X457" i="49"/>
  <c r="V457" i="49"/>
  <c r="U457" i="49"/>
  <c r="T457" i="49"/>
  <c r="CJ455" i="49"/>
  <c r="CJ454" i="49"/>
  <c r="CJ559" i="49" s="1"/>
  <c r="CJ453" i="49"/>
  <c r="CJ558" i="49" s="1"/>
  <c r="CJ452" i="49"/>
  <c r="CJ451" i="49"/>
  <c r="CJ556" i="49" s="1"/>
  <c r="CJ450" i="49"/>
  <c r="CJ449" i="49"/>
  <c r="CJ448" i="49"/>
  <c r="CJ447" i="49"/>
  <c r="CJ552" i="49" s="1"/>
  <c r="CJ837" i="49" s="1"/>
  <c r="CJ446" i="49"/>
  <c r="CJ551" i="49" s="1"/>
  <c r="CJ836" i="49" s="1"/>
  <c r="CJ445" i="49"/>
  <c r="CJ550" i="49" s="1"/>
  <c r="CJ835" i="49" s="1"/>
  <c r="CH453" i="49"/>
  <c r="CH739" i="49" s="1"/>
  <c r="CH452" i="49"/>
  <c r="CH738" i="49" s="1"/>
  <c r="CH451" i="49"/>
  <c r="CH447" i="49"/>
  <c r="CH733" i="49" s="1"/>
  <c r="CO455" i="49"/>
  <c r="CO741" i="49" s="1"/>
  <c r="CN741" i="49"/>
  <c r="CO454" i="49"/>
  <c r="CN739" i="49"/>
  <c r="CO451" i="49"/>
  <c r="CO737" i="49" s="1"/>
  <c r="CN737" i="49"/>
  <c r="CO450" i="49"/>
  <c r="CO448" i="49"/>
  <c r="CO447" i="49"/>
  <c r="CP447" i="49" s="1"/>
  <c r="CN733" i="49"/>
  <c r="CO446" i="49"/>
  <c r="CP443" i="49"/>
  <c r="CP442" i="49"/>
  <c r="CP441" i="49"/>
  <c r="BU440" i="49"/>
  <c r="BU543" i="49" s="1"/>
  <c r="BU439" i="49"/>
  <c r="BU542" i="49" s="1"/>
  <c r="BU828" i="49" s="1"/>
  <c r="BU1038" i="49" s="1"/>
  <c r="BU438" i="49"/>
  <c r="BU437" i="49"/>
  <c r="BP440" i="49"/>
  <c r="BP543" i="49" s="1"/>
  <c r="BP829" i="49" s="1"/>
  <c r="BP439" i="49"/>
  <c r="BP438" i="49"/>
  <c r="BP437" i="49"/>
  <c r="BP540" i="49" s="1"/>
  <c r="BK440" i="49"/>
  <c r="BK543" i="49" s="1"/>
  <c r="BK829" i="49" s="1"/>
  <c r="BK439" i="49"/>
  <c r="BK438" i="49"/>
  <c r="BK541" i="49" s="1"/>
  <c r="BK437" i="49"/>
  <c r="BK540" i="49" s="1"/>
  <c r="BF440" i="49"/>
  <c r="BF439" i="49"/>
  <c r="BF438" i="49"/>
  <c r="BF437" i="49"/>
  <c r="BF540" i="49" s="1"/>
  <c r="BF826" i="49" s="1"/>
  <c r="BA440" i="49"/>
  <c r="BA543" i="49" s="1"/>
  <c r="BA829" i="49" s="1"/>
  <c r="BA439" i="49"/>
  <c r="BA542" i="49" s="1"/>
  <c r="BA828" i="49" s="1"/>
  <c r="BA438" i="49"/>
  <c r="BA437" i="49"/>
  <c r="AV440" i="49"/>
  <c r="AV543" i="49" s="1"/>
  <c r="AV439" i="49"/>
  <c r="AV438" i="49"/>
  <c r="AV437" i="49"/>
  <c r="AQ440" i="49"/>
  <c r="AQ543" i="49" s="1"/>
  <c r="AQ829" i="49" s="1"/>
  <c r="AQ439" i="49"/>
  <c r="AQ438" i="49"/>
  <c r="AQ541" i="49" s="1"/>
  <c r="AQ437" i="49"/>
  <c r="AQ540" i="49" s="1"/>
  <c r="AL440" i="49"/>
  <c r="AL439" i="49"/>
  <c r="AL438" i="49"/>
  <c r="AL437" i="49"/>
  <c r="AL540" i="49" s="1"/>
  <c r="AL826" i="49" s="1"/>
  <c r="AG440" i="49"/>
  <c r="AG543" i="49" s="1"/>
  <c r="AG829" i="49" s="1"/>
  <c r="AG439" i="49"/>
  <c r="AG542" i="49" s="1"/>
  <c r="AG828" i="49" s="1"/>
  <c r="AG438" i="49"/>
  <c r="AG437" i="49"/>
  <c r="AB440" i="49"/>
  <c r="AB543" i="49" s="1"/>
  <c r="AB829" i="49" s="1"/>
  <c r="AB439" i="49"/>
  <c r="AB438" i="49"/>
  <c r="AB437" i="49"/>
  <c r="AB540" i="49" s="1"/>
  <c r="AB826" i="49" s="1"/>
  <c r="Z440" i="49"/>
  <c r="Z726" i="49" s="1"/>
  <c r="W440" i="49"/>
  <c r="W543" i="49" s="1"/>
  <c r="W829" i="49" s="1"/>
  <c r="W439" i="49"/>
  <c r="W438" i="49"/>
  <c r="W541" i="49" s="1"/>
  <c r="W437" i="49"/>
  <c r="W540" i="49" s="1"/>
  <c r="W826" i="49" s="1"/>
  <c r="S440" i="49"/>
  <c r="S726" i="49" s="1"/>
  <c r="R440" i="49"/>
  <c r="L440" i="49"/>
  <c r="K440" i="49"/>
  <c r="K726" i="49" s="1"/>
  <c r="J440" i="49"/>
  <c r="J726" i="49" s="1"/>
  <c r="I440" i="49"/>
  <c r="R439" i="49"/>
  <c r="R542" i="49" s="1"/>
  <c r="R828" i="49" s="1"/>
  <c r="M439" i="49"/>
  <c r="M437" i="49"/>
  <c r="CI440" i="49"/>
  <c r="CH440" i="49"/>
  <c r="CH439" i="49"/>
  <c r="CH438" i="49"/>
  <c r="CH724" i="49" s="1"/>
  <c r="CE440" i="49"/>
  <c r="CE543" i="49" s="1"/>
  <c r="CE829" i="49" s="1"/>
  <c r="CD440" i="49"/>
  <c r="CC440" i="49"/>
  <c r="CC543" i="49" s="1"/>
  <c r="CC829" i="49" s="1"/>
  <c r="CD439" i="49"/>
  <c r="CC439" i="49"/>
  <c r="CC725" i="49" s="1"/>
  <c r="CC438" i="49"/>
  <c r="BX440" i="49"/>
  <c r="BW440" i="49"/>
  <c r="BW726" i="49" s="1"/>
  <c r="BX439" i="49"/>
  <c r="BW439" i="49"/>
  <c r="BW438" i="49"/>
  <c r="S438" i="49"/>
  <c r="S437" i="49"/>
  <c r="S723" i="49" s="1"/>
  <c r="Q438" i="49"/>
  <c r="P438" i="49"/>
  <c r="O438" i="49"/>
  <c r="N438" i="49"/>
  <c r="N724" i="49" s="1"/>
  <c r="L438" i="49"/>
  <c r="K438" i="49"/>
  <c r="J438" i="49"/>
  <c r="J724" i="49" s="1"/>
  <c r="I438" i="49"/>
  <c r="I724" i="49" s="1"/>
  <c r="CO437" i="49"/>
  <c r="CP437" i="49" s="1"/>
  <c r="CN540" i="49"/>
  <c r="CJ437" i="49"/>
  <c r="CJ540" i="49" s="1"/>
  <c r="CJ826" i="49" s="1"/>
  <c r="CE437" i="49"/>
  <c r="BZ437" i="49"/>
  <c r="BW437" i="49"/>
  <c r="Q437" i="49"/>
  <c r="CQ436" i="49"/>
  <c r="CP436" i="49"/>
  <c r="CO435" i="49"/>
  <c r="CJ435" i="49"/>
  <c r="CJ538" i="49" s="1"/>
  <c r="CG435" i="49"/>
  <c r="CG721" i="49" s="1"/>
  <c r="CF435" i="49"/>
  <c r="CE435" i="49"/>
  <c r="CE538" i="49" s="1"/>
  <c r="CD435" i="49"/>
  <c r="CD721" i="49" s="1"/>
  <c r="CE721" i="49" s="1"/>
  <c r="CC435" i="49"/>
  <c r="CC721" i="49" s="1"/>
  <c r="CB435" i="49"/>
  <c r="BZ435" i="49"/>
  <c r="BZ538" i="49" s="1"/>
  <c r="BY435" i="49"/>
  <c r="BY721" i="49" s="1"/>
  <c r="BZ721" i="49" s="1"/>
  <c r="BX435" i="49"/>
  <c r="BX721" i="49" s="1"/>
  <c r="BW435" i="49"/>
  <c r="BV435" i="49"/>
  <c r="BT435" i="49"/>
  <c r="BT538" i="49" s="1"/>
  <c r="BT824" i="49" s="1"/>
  <c r="BT1037" i="49" s="1"/>
  <c r="BS435" i="49"/>
  <c r="BR435" i="49"/>
  <c r="BQ435" i="49"/>
  <c r="BQ538" i="49" s="1"/>
  <c r="BQ824" i="49" s="1"/>
  <c r="BO435" i="49"/>
  <c r="BN435" i="49"/>
  <c r="BM435" i="49"/>
  <c r="BM538" i="49" s="1"/>
  <c r="BM824" i="49" s="1"/>
  <c r="BL435" i="49"/>
  <c r="BL721" i="49" s="1"/>
  <c r="BJ435" i="49"/>
  <c r="BI435" i="49"/>
  <c r="BI538" i="49" s="1"/>
  <c r="BI824" i="49" s="1"/>
  <c r="BI1037" i="49" s="1"/>
  <c r="BH435" i="49"/>
  <c r="BH721" i="49" s="1"/>
  <c r="BG435" i="49"/>
  <c r="BF435" i="49"/>
  <c r="BF538" i="49" s="1"/>
  <c r="BE435" i="49"/>
  <c r="BE538" i="49" s="1"/>
  <c r="BD435" i="49"/>
  <c r="BD721" i="49" s="1"/>
  <c r="BC435" i="49"/>
  <c r="BB435" i="49"/>
  <c r="AZ435" i="49"/>
  <c r="AY435" i="49"/>
  <c r="AX435" i="49"/>
  <c r="AW435" i="49"/>
  <c r="AW721" i="49" s="1"/>
  <c r="AV435" i="49"/>
  <c r="AV538" i="49" s="1"/>
  <c r="AU435" i="49"/>
  <c r="AT435" i="49"/>
  <c r="AS435" i="49"/>
  <c r="AS721" i="49" s="1"/>
  <c r="AQ435" i="49"/>
  <c r="AQ538" i="49" s="1"/>
  <c r="AL435" i="49"/>
  <c r="AL538" i="49" s="1"/>
  <c r="AL824" i="49" s="1"/>
  <c r="AG435" i="49"/>
  <c r="AG538" i="49" s="1"/>
  <c r="AG824" i="49" s="1"/>
  <c r="AB435" i="49"/>
  <c r="Z435" i="49"/>
  <c r="W435" i="49"/>
  <c r="W538" i="49" s="1"/>
  <c r="S435" i="49"/>
  <c r="Q435" i="49"/>
  <c r="Q457" i="49" s="1"/>
  <c r="O435" i="49"/>
  <c r="N435" i="49"/>
  <c r="L435" i="49"/>
  <c r="K435" i="49"/>
  <c r="J435" i="49"/>
  <c r="I435" i="49"/>
  <c r="I721" i="49" s="1"/>
  <c r="CN718" i="49"/>
  <c r="CO718" i="49" s="1"/>
  <c r="CN714" i="49"/>
  <c r="CO714" i="49" s="1"/>
  <c r="CN713" i="49"/>
  <c r="CO713" i="49" s="1"/>
  <c r="BO434" i="49"/>
  <c r="BO433" i="49"/>
  <c r="BO432" i="49"/>
  <c r="BO718" i="49" s="1"/>
  <c r="BP718" i="49" s="1"/>
  <c r="BO431" i="49"/>
  <c r="BO430" i="49"/>
  <c r="BO429" i="49"/>
  <c r="BZ433" i="49"/>
  <c r="CH434" i="49"/>
  <c r="CI433" i="49"/>
  <c r="CI719" i="49" s="1"/>
  <c r="CJ719" i="49" s="1"/>
  <c r="CH433" i="49"/>
  <c r="CH536" i="49" s="1"/>
  <c r="CH822" i="49" s="1"/>
  <c r="CH432" i="49"/>
  <c r="CP434" i="49"/>
  <c r="CP720" i="49" s="1"/>
  <c r="CQ433" i="49"/>
  <c r="CP433" i="49"/>
  <c r="CQ432" i="49"/>
  <c r="CP432" i="49"/>
  <c r="CP431" i="49"/>
  <c r="CP430" i="49"/>
  <c r="CQ429" i="49"/>
  <c r="CQ532" i="49" s="1"/>
  <c r="CP429" i="49"/>
  <c r="CI430" i="49"/>
  <c r="CI533" i="49" s="1"/>
  <c r="CI819" i="49" s="1"/>
  <c r="CH430" i="49"/>
  <c r="CH716" i="49" s="1"/>
  <c r="CI429" i="49"/>
  <c r="CI532" i="49" s="1"/>
  <c r="CI818" i="49" s="1"/>
  <c r="CI814" i="49" s="1"/>
  <c r="CH429" i="49"/>
  <c r="CD434" i="49"/>
  <c r="CD720" i="49" s="1"/>
  <c r="CE720" i="49" s="1"/>
  <c r="CC434" i="49"/>
  <c r="CC720" i="49" s="1"/>
  <c r="CD433" i="49"/>
  <c r="CC433" i="49"/>
  <c r="CD432" i="49"/>
  <c r="CC432" i="49"/>
  <c r="CC718" i="49" s="1"/>
  <c r="CD431" i="49"/>
  <c r="CC431" i="49"/>
  <c r="CC717" i="49" s="1"/>
  <c r="CD430" i="49"/>
  <c r="CD716" i="49" s="1"/>
  <c r="CE716" i="49" s="1"/>
  <c r="CC430" i="49"/>
  <c r="CC716" i="49" s="1"/>
  <c r="CD429" i="49"/>
  <c r="CC429" i="49"/>
  <c r="CJ428" i="49"/>
  <c r="CJ531" i="49" s="1"/>
  <c r="CJ427" i="49"/>
  <c r="CJ530" i="49" s="1"/>
  <c r="CJ816" i="49" s="1"/>
  <c r="CJ426" i="49"/>
  <c r="CJ529" i="49" s="1"/>
  <c r="CE428" i="49"/>
  <c r="CE531" i="49" s="1"/>
  <c r="CE427" i="49"/>
  <c r="BZ428" i="49"/>
  <c r="BZ531" i="49" s="1"/>
  <c r="BU428" i="49"/>
  <c r="BU531" i="49" s="1"/>
  <c r="BU427" i="49"/>
  <c r="BU530" i="49" s="1"/>
  <c r="BP428" i="49"/>
  <c r="BK428" i="49"/>
  <c r="BK531" i="49" s="1"/>
  <c r="BK427" i="49"/>
  <c r="BF428" i="49"/>
  <c r="BA428" i="49"/>
  <c r="BA531" i="49" s="1"/>
  <c r="BA817" i="49" s="1"/>
  <c r="BA427" i="49"/>
  <c r="BA530" i="49" s="1"/>
  <c r="AV428" i="49"/>
  <c r="AV531" i="49" s="1"/>
  <c r="AQ428" i="49"/>
  <c r="AQ531" i="49" s="1"/>
  <c r="AQ427" i="49"/>
  <c r="AL428" i="49"/>
  <c r="AL427" i="49"/>
  <c r="AG428" i="49"/>
  <c r="AG531" i="49" s="1"/>
  <c r="AG817" i="49" s="1"/>
  <c r="AG427" i="49"/>
  <c r="AG530" i="49" s="1"/>
  <c r="AB428" i="49"/>
  <c r="AB531" i="49" s="1"/>
  <c r="AB817" i="49" s="1"/>
  <c r="AB427" i="49"/>
  <c r="W428" i="49"/>
  <c r="W531" i="49" s="1"/>
  <c r="W427" i="49"/>
  <c r="CG427" i="49"/>
  <c r="CG713" i="49" s="1"/>
  <c r="CF427" i="49"/>
  <c r="CF713" i="49" s="1"/>
  <c r="CD427" i="49"/>
  <c r="CC427" i="49"/>
  <c r="CC713" i="49" s="1"/>
  <c r="CB427" i="49"/>
  <c r="CB713" i="49" s="1"/>
  <c r="BY427" i="49"/>
  <c r="BX427" i="49"/>
  <c r="BW427" i="49"/>
  <c r="BV427" i="49"/>
  <c r="BV713" i="49" s="1"/>
  <c r="BT427" i="49"/>
  <c r="BT457" i="49" s="1"/>
  <c r="BS427" i="49"/>
  <c r="BR427" i="49"/>
  <c r="BQ427" i="49"/>
  <c r="BQ713" i="49" s="1"/>
  <c r="BO427" i="49"/>
  <c r="BN427" i="49"/>
  <c r="BM427" i="49"/>
  <c r="BL427" i="49"/>
  <c r="BL457" i="49" s="1"/>
  <c r="BJ427" i="49"/>
  <c r="BI427" i="49"/>
  <c r="BH427" i="49"/>
  <c r="BG427" i="49"/>
  <c r="BG713" i="49" s="1"/>
  <c r="BE427" i="49"/>
  <c r="BE457" i="49" s="1"/>
  <c r="BD427" i="49"/>
  <c r="BD457" i="49" s="1"/>
  <c r="BC427" i="49"/>
  <c r="BB427" i="49"/>
  <c r="BB530" i="49" s="1"/>
  <c r="AZ427" i="49"/>
  <c r="AZ530" i="49" s="1"/>
  <c r="AY427" i="49"/>
  <c r="AX427" i="49"/>
  <c r="AW427" i="49"/>
  <c r="AW530" i="49" s="1"/>
  <c r="AU427" i="49"/>
  <c r="AT427" i="49"/>
  <c r="AS427" i="49"/>
  <c r="AR427" i="49"/>
  <c r="AR457" i="49" s="1"/>
  <c r="AP427" i="49"/>
  <c r="Z427" i="49"/>
  <c r="R427" i="49"/>
  <c r="O427" i="49"/>
  <c r="O713" i="49" s="1"/>
  <c r="N427" i="49"/>
  <c r="L427" i="49"/>
  <c r="K427" i="49"/>
  <c r="K713" i="49" s="1"/>
  <c r="J427" i="49"/>
  <c r="I427" i="49"/>
  <c r="H427" i="49"/>
  <c r="H457" i="49" s="1"/>
  <c r="CO428" i="49"/>
  <c r="CP428" i="49" s="1"/>
  <c r="CO427" i="49"/>
  <c r="AL423" i="49"/>
  <c r="AK423" i="49"/>
  <c r="AJ423" i="49"/>
  <c r="AI423" i="49"/>
  <c r="AH423" i="49"/>
  <c r="AG423" i="49"/>
  <c r="AF423" i="49"/>
  <c r="AE423" i="49"/>
  <c r="AD423" i="49"/>
  <c r="AC423" i="49"/>
  <c r="AB423" i="49"/>
  <c r="AA423" i="49"/>
  <c r="Z423" i="49"/>
  <c r="Y423" i="49"/>
  <c r="X423" i="49"/>
  <c r="W423" i="49"/>
  <c r="V423" i="49"/>
  <c r="U423" i="49"/>
  <c r="T423" i="49"/>
  <c r="S423" i="49"/>
  <c r="R423" i="49"/>
  <c r="Q423" i="49"/>
  <c r="P423" i="49"/>
  <c r="O423" i="49"/>
  <c r="N423" i="49"/>
  <c r="M423" i="49"/>
  <c r="L423" i="49"/>
  <c r="K423" i="49"/>
  <c r="J423" i="49"/>
  <c r="I423" i="49"/>
  <c r="H423" i="49"/>
  <c r="G423" i="49"/>
  <c r="F423" i="49"/>
  <c r="E423" i="49"/>
  <c r="D423" i="49"/>
  <c r="CD417" i="49"/>
  <c r="CC417" i="49"/>
  <c r="CL416" i="49"/>
  <c r="CL415" i="49"/>
  <c r="CH413" i="49"/>
  <c r="CL408" i="49"/>
  <c r="CL407" i="49"/>
  <c r="CJ405" i="49"/>
  <c r="CI405" i="49"/>
  <c r="CG405" i="49"/>
  <c r="CF405" i="49"/>
  <c r="CD405" i="49"/>
  <c r="CC405" i="49"/>
  <c r="CB405" i="49"/>
  <c r="CA405" i="49"/>
  <c r="BY405" i="49"/>
  <c r="BX405" i="49"/>
  <c r="BW405" i="49"/>
  <c r="BV405" i="49"/>
  <c r="BT405" i="49"/>
  <c r="BS405" i="49"/>
  <c r="BR405" i="49"/>
  <c r="BQ405" i="49"/>
  <c r="BP405" i="49"/>
  <c r="BO405" i="49"/>
  <c r="BN405" i="49"/>
  <c r="BM405" i="49"/>
  <c r="BL405" i="49"/>
  <c r="BK405" i="49"/>
  <c r="BJ405" i="49"/>
  <c r="BI405" i="49"/>
  <c r="BH405" i="49"/>
  <c r="BG405" i="49"/>
  <c r="BF405" i="49"/>
  <c r="BE405" i="49"/>
  <c r="BD405" i="49"/>
  <c r="BC405" i="49"/>
  <c r="BB405" i="49"/>
  <c r="BA405" i="49"/>
  <c r="AZ405" i="49"/>
  <c r="AY405" i="49"/>
  <c r="AX405" i="49"/>
  <c r="AW405" i="49"/>
  <c r="AV405" i="49"/>
  <c r="AU405" i="49"/>
  <c r="AT405" i="49"/>
  <c r="AS405" i="49"/>
  <c r="AR405" i="49"/>
  <c r="AQ405" i="49"/>
  <c r="AP405" i="49"/>
  <c r="AO405" i="49"/>
  <c r="AN405" i="49"/>
  <c r="AM405" i="49"/>
  <c r="AL405" i="49"/>
  <c r="AK405" i="49"/>
  <c r="AJ405" i="49"/>
  <c r="AI405" i="49"/>
  <c r="AH405" i="49"/>
  <c r="AG405" i="49"/>
  <c r="AF405" i="49"/>
  <c r="AE405" i="49"/>
  <c r="AD405" i="49"/>
  <c r="AC405" i="49"/>
  <c r="AB405" i="49"/>
  <c r="AA405" i="49"/>
  <c r="Z405" i="49"/>
  <c r="Y405" i="49"/>
  <c r="X405" i="49"/>
  <c r="W405" i="49"/>
  <c r="V405" i="49"/>
  <c r="U405" i="49"/>
  <c r="T405" i="49"/>
  <c r="S405" i="49"/>
  <c r="R405" i="49"/>
  <c r="Q405" i="49"/>
  <c r="P405" i="49"/>
  <c r="O405" i="49"/>
  <c r="N405" i="49"/>
  <c r="M405" i="49"/>
  <c r="L405" i="49"/>
  <c r="K405" i="49"/>
  <c r="J405" i="49"/>
  <c r="I405" i="49"/>
  <c r="CH404" i="49"/>
  <c r="CC404" i="49"/>
  <c r="BR404" i="49"/>
  <c r="BM404" i="49"/>
  <c r="BB404" i="49"/>
  <c r="AW404" i="49"/>
  <c r="AL404" i="49"/>
  <c r="V404" i="49"/>
  <c r="Q404" i="49"/>
  <c r="CM403" i="49"/>
  <c r="CH403" i="49"/>
  <c r="CB403" i="49"/>
  <c r="BW403" i="49"/>
  <c r="BR403" i="49"/>
  <c r="BG403" i="49"/>
  <c r="BB403" i="49"/>
  <c r="AA403" i="49"/>
  <c r="V403" i="49"/>
  <c r="P403" i="49"/>
  <c r="K403" i="49"/>
  <c r="CM402" i="49"/>
  <c r="CB402" i="49"/>
  <c r="BW402" i="49"/>
  <c r="BL402" i="49"/>
  <c r="BG402" i="49"/>
  <c r="AK402" i="49"/>
  <c r="AF402" i="49"/>
  <c r="AA402" i="49"/>
  <c r="P402" i="49"/>
  <c r="CG401" i="49"/>
  <c r="CB401" i="49"/>
  <c r="BQ401" i="49"/>
  <c r="BL401" i="49"/>
  <c r="AK401" i="49"/>
  <c r="AF401" i="49"/>
  <c r="U401" i="49"/>
  <c r="P401" i="49"/>
  <c r="CL400" i="49"/>
  <c r="CG400" i="49"/>
  <c r="BV400" i="49"/>
  <c r="BQ400" i="49"/>
  <c r="BF400" i="49"/>
  <c r="AP400" i="49"/>
  <c r="AK400" i="49"/>
  <c r="Z400" i="49"/>
  <c r="U400" i="49"/>
  <c r="CL399" i="49"/>
  <c r="CA399" i="49"/>
  <c r="BV399" i="49"/>
  <c r="AU399" i="49"/>
  <c r="AP399" i="49"/>
  <c r="AJ399" i="49"/>
  <c r="AE399" i="49"/>
  <c r="Z399" i="49"/>
  <c r="CF398" i="49"/>
  <c r="CA398" i="49"/>
  <c r="AZ398" i="49"/>
  <c r="AU398" i="49"/>
  <c r="AJ398" i="49"/>
  <c r="AE398" i="49"/>
  <c r="T398" i="49"/>
  <c r="BG396" i="49"/>
  <c r="BI395" i="49"/>
  <c r="AS395" i="49"/>
  <c r="AN395" i="49"/>
  <c r="BE394" i="49"/>
  <c r="Y394" i="49"/>
  <c r="BG393" i="49"/>
  <c r="K393" i="49"/>
  <c r="AS392" i="49"/>
  <c r="BK391" i="49"/>
  <c r="AE391" i="49"/>
  <c r="BM390" i="49"/>
  <c r="AG390" i="49"/>
  <c r="Q390" i="49"/>
  <c r="CV405" i="49"/>
  <c r="CU405" i="49"/>
  <c r="CT405" i="49"/>
  <c r="CV404" i="49"/>
  <c r="CU403" i="49"/>
  <c r="CT402" i="49"/>
  <c r="CV400" i="49"/>
  <c r="CU399" i="49"/>
  <c r="CT398" i="49"/>
  <c r="CV396" i="49"/>
  <c r="CU395" i="49"/>
  <c r="CT394" i="49"/>
  <c r="CV392" i="49"/>
  <c r="CU391" i="49"/>
  <c r="CT390" i="49"/>
  <c r="CV388" i="49"/>
  <c r="CU387" i="49"/>
  <c r="CM397" i="49"/>
  <c r="CI397" i="49"/>
  <c r="CJ397" i="49" s="1"/>
  <c r="CA397" i="49"/>
  <c r="BW397" i="49"/>
  <c r="CK395" i="49"/>
  <c r="CG395" i="49"/>
  <c r="CC395" i="49"/>
  <c r="BY395" i="49"/>
  <c r="CF394" i="49"/>
  <c r="CB394" i="49"/>
  <c r="BX394" i="49"/>
  <c r="CM393" i="49"/>
  <c r="CI393" i="49"/>
  <c r="CJ393" i="49" s="1"/>
  <c r="CA393" i="49"/>
  <c r="BW393" i="49"/>
  <c r="CL392" i="49"/>
  <c r="BY391" i="49"/>
  <c r="CB390" i="49"/>
  <c r="CM389" i="49"/>
  <c r="CI389" i="49"/>
  <c r="CJ389" i="49" s="1"/>
  <c r="CA389" i="49"/>
  <c r="BW389" i="49"/>
  <c r="CH388" i="49"/>
  <c r="CK387" i="49"/>
  <c r="BQ389" i="49"/>
  <c r="BE388" i="49"/>
  <c r="AO388" i="49"/>
  <c r="Y388" i="49"/>
  <c r="BG387" i="49"/>
  <c r="BC387" i="49"/>
  <c r="AY387" i="49"/>
  <c r="AU387" i="49"/>
  <c r="AM387" i="49"/>
  <c r="AI387" i="49"/>
  <c r="AE387" i="49"/>
  <c r="AA387" i="49"/>
  <c r="CH386" i="49"/>
  <c r="CC383" i="49"/>
  <c r="BM383" i="49"/>
  <c r="Q383" i="49"/>
  <c r="CL381" i="49"/>
  <c r="CK381" i="49"/>
  <c r="CJ381" i="49"/>
  <c r="CI381" i="49"/>
  <c r="CH381" i="49"/>
  <c r="CM380" i="49"/>
  <c r="CL380" i="49"/>
  <c r="CK380" i="49"/>
  <c r="CI380" i="49"/>
  <c r="CJ380" i="49" s="1"/>
  <c r="CH380" i="49"/>
  <c r="CM379" i="49"/>
  <c r="CL379" i="49"/>
  <c r="CK379" i="49"/>
  <c r="CJ379" i="49"/>
  <c r="CI379" i="49"/>
  <c r="CH379" i="49"/>
  <c r="CM378" i="49"/>
  <c r="CL378" i="49"/>
  <c r="CK378" i="49"/>
  <c r="CI378" i="49"/>
  <c r="CJ378" i="49" s="1"/>
  <c r="CH378" i="49"/>
  <c r="CM377" i="49"/>
  <c r="CL377" i="49"/>
  <c r="CK377" i="49"/>
  <c r="CJ377" i="49"/>
  <c r="CI377" i="49"/>
  <c r="CH377" i="49"/>
  <c r="CM376" i="49"/>
  <c r="CL376" i="49"/>
  <c r="CK376" i="49"/>
  <c r="CI376" i="49"/>
  <c r="CJ376" i="49" s="1"/>
  <c r="CH376" i="49"/>
  <c r="CM375" i="49"/>
  <c r="CL375" i="49"/>
  <c r="CK375" i="49"/>
  <c r="CJ375" i="49"/>
  <c r="CI375" i="49"/>
  <c r="CH375" i="49"/>
  <c r="CM374" i="49"/>
  <c r="CL374" i="49"/>
  <c r="CK374" i="49"/>
  <c r="CI374" i="49"/>
  <c r="CJ374" i="49" s="1"/>
  <c r="CH374" i="49"/>
  <c r="CM373" i="49"/>
  <c r="CL373" i="49"/>
  <c r="CK373" i="49"/>
  <c r="CJ373" i="49"/>
  <c r="CI373" i="49"/>
  <c r="CH373" i="49"/>
  <c r="CM372" i="49"/>
  <c r="CL372" i="49"/>
  <c r="CK372" i="49"/>
  <c r="CI372" i="49"/>
  <c r="CJ372" i="49" s="1"/>
  <c r="CH372" i="49"/>
  <c r="CM371" i="49"/>
  <c r="CL371" i="49"/>
  <c r="CK371" i="49"/>
  <c r="CJ371" i="49"/>
  <c r="CI371" i="49"/>
  <c r="CH371" i="49"/>
  <c r="CM369" i="49"/>
  <c r="CL369" i="49"/>
  <c r="CL404" i="49" s="1"/>
  <c r="CK369" i="49"/>
  <c r="CK404" i="49" s="1"/>
  <c r="CJ369" i="49"/>
  <c r="CI369" i="49"/>
  <c r="CH369" i="49"/>
  <c r="CG369" i="49"/>
  <c r="CG404" i="49" s="1"/>
  <c r="CF369" i="49"/>
  <c r="CF404" i="49" s="1"/>
  <c r="CD369" i="49"/>
  <c r="CD404" i="49" s="1"/>
  <c r="CC369" i="49"/>
  <c r="CB369" i="49"/>
  <c r="CA369" i="49"/>
  <c r="CA404" i="49" s="1"/>
  <c r="BY369" i="49"/>
  <c r="BY404" i="49" s="1"/>
  <c r="BX369" i="49"/>
  <c r="BW369" i="49"/>
  <c r="BV369" i="49"/>
  <c r="BV404" i="49" s="1"/>
  <c r="BT369" i="49"/>
  <c r="BS369" i="49"/>
  <c r="BR369" i="49"/>
  <c r="BQ369" i="49"/>
  <c r="BQ404" i="49" s="1"/>
  <c r="BP369" i="49"/>
  <c r="BO369" i="49"/>
  <c r="BN369" i="49"/>
  <c r="BN404" i="49" s="1"/>
  <c r="BM369" i="49"/>
  <c r="BL369" i="49"/>
  <c r="BJ369" i="49"/>
  <c r="BJ404" i="49" s="1"/>
  <c r="BI369" i="49"/>
  <c r="BI404" i="49" s="1"/>
  <c r="BH369" i="49"/>
  <c r="BH404" i="49" s="1"/>
  <c r="BG369" i="49"/>
  <c r="BE369" i="49"/>
  <c r="BE404" i="49" s="1"/>
  <c r="BD369" i="49"/>
  <c r="BC369" i="49"/>
  <c r="BC404" i="49" s="1"/>
  <c r="BB369" i="49"/>
  <c r="AZ369" i="49"/>
  <c r="AY369" i="49"/>
  <c r="AX369" i="49"/>
  <c r="AX404" i="49" s="1"/>
  <c r="AW369" i="49"/>
  <c r="AV369" i="49"/>
  <c r="AU369" i="49"/>
  <c r="AT369" i="49"/>
  <c r="AT404" i="49" s="1"/>
  <c r="AS369" i="49"/>
  <c r="AS404" i="49" s="1"/>
  <c r="AR369" i="49"/>
  <c r="AP369" i="49"/>
  <c r="AP404" i="49" s="1"/>
  <c r="AO369" i="49"/>
  <c r="AO404" i="49" s="1"/>
  <c r="AN369" i="49"/>
  <c r="AM369" i="49"/>
  <c r="AK369" i="49"/>
  <c r="AK404" i="49" s="1"/>
  <c r="AJ369" i="49"/>
  <c r="AJ404" i="49" s="1"/>
  <c r="AI369" i="49"/>
  <c r="AH369" i="49"/>
  <c r="AH404" i="49" s="1"/>
  <c r="AF369" i="49"/>
  <c r="AE369" i="49"/>
  <c r="AE404" i="49" s="1"/>
  <c r="AD369" i="49"/>
  <c r="AD404" i="49" s="1"/>
  <c r="AC369" i="49"/>
  <c r="AC404" i="49" s="1"/>
  <c r="AB369" i="49"/>
  <c r="AA369" i="49"/>
  <c r="Z369" i="49"/>
  <c r="Z404" i="49" s="1"/>
  <c r="Y369" i="49"/>
  <c r="Y404" i="49" s="1"/>
  <c r="X369" i="49"/>
  <c r="V369" i="49"/>
  <c r="U369" i="49"/>
  <c r="U404" i="49" s="1"/>
  <c r="T369" i="49"/>
  <c r="S369" i="49"/>
  <c r="Q369" i="49"/>
  <c r="P369" i="49"/>
  <c r="O369" i="49"/>
  <c r="L369" i="49"/>
  <c r="K369" i="49"/>
  <c r="J369" i="49"/>
  <c r="I369" i="49"/>
  <c r="CM368" i="49"/>
  <c r="CL368" i="49"/>
  <c r="CL403" i="49" s="1"/>
  <c r="CK368" i="49"/>
  <c r="CK403" i="49" s="1"/>
  <c r="CI368" i="49"/>
  <c r="CJ368" i="49" s="1"/>
  <c r="CH368" i="49"/>
  <c r="CG368" i="49"/>
  <c r="CG403" i="49" s="1"/>
  <c r="CF368" i="49"/>
  <c r="CD368" i="49"/>
  <c r="CD403" i="49" s="1"/>
  <c r="CC368" i="49"/>
  <c r="CC403" i="49" s="1"/>
  <c r="CB368" i="49"/>
  <c r="CA368" i="49"/>
  <c r="CA403" i="49" s="1"/>
  <c r="BY368" i="49"/>
  <c r="BY403" i="49" s="1"/>
  <c r="BX368" i="49"/>
  <c r="BW368" i="49"/>
  <c r="BV368" i="49"/>
  <c r="BV403" i="49" s="1"/>
  <c r="BU368" i="49"/>
  <c r="BU403" i="49" s="1"/>
  <c r="BT368" i="49"/>
  <c r="BS368" i="49"/>
  <c r="BS403" i="49" s="1"/>
  <c r="BR368" i="49"/>
  <c r="BQ368" i="49"/>
  <c r="BQ403" i="49" s="1"/>
  <c r="BO368" i="49"/>
  <c r="BO403" i="49" s="1"/>
  <c r="BN368" i="49"/>
  <c r="BN403" i="49" s="1"/>
  <c r="BM368" i="49"/>
  <c r="BM403" i="49" s="1"/>
  <c r="BL368" i="49"/>
  <c r="BJ368" i="49"/>
  <c r="BJ403" i="49" s="1"/>
  <c r="BI368" i="49"/>
  <c r="BI403" i="49" s="1"/>
  <c r="BH368" i="49"/>
  <c r="BG368" i="49"/>
  <c r="BE368" i="49"/>
  <c r="BE403" i="49" s="1"/>
  <c r="BD368" i="49"/>
  <c r="BC368" i="49"/>
  <c r="BC403" i="49" s="1"/>
  <c r="BB368" i="49"/>
  <c r="BA368" i="49"/>
  <c r="AZ368" i="49"/>
  <c r="AY368" i="49"/>
  <c r="AY403" i="49" s="1"/>
  <c r="AX368" i="49"/>
  <c r="AX403" i="49" s="1"/>
  <c r="AW368" i="49"/>
  <c r="AW403" i="49" s="1"/>
  <c r="AU368" i="49"/>
  <c r="AU403" i="49" s="1"/>
  <c r="AT368" i="49"/>
  <c r="AT403" i="49" s="1"/>
  <c r="AS368" i="49"/>
  <c r="AS403" i="49" s="1"/>
  <c r="AR368" i="49"/>
  <c r="AP368" i="49"/>
  <c r="AP403" i="49" s="1"/>
  <c r="AO368" i="49"/>
  <c r="AO403" i="49" s="1"/>
  <c r="AN368" i="49"/>
  <c r="AN403" i="49" s="1"/>
  <c r="AM368" i="49"/>
  <c r="AM403" i="49" s="1"/>
  <c r="AK368" i="49"/>
  <c r="AK403" i="49" s="1"/>
  <c r="AJ368" i="49"/>
  <c r="AI368" i="49"/>
  <c r="AI403" i="49" s="1"/>
  <c r="AH368" i="49"/>
  <c r="AH403" i="49" s="1"/>
  <c r="AG368" i="49"/>
  <c r="AF368" i="49"/>
  <c r="AE368" i="49"/>
  <c r="AE403" i="49" s="1"/>
  <c r="AD368" i="49"/>
  <c r="AD403" i="49" s="1"/>
  <c r="AC368" i="49"/>
  <c r="AC403" i="49" s="1"/>
  <c r="AA368" i="49"/>
  <c r="Z368" i="49"/>
  <c r="Z403" i="49" s="1"/>
  <c r="Y368" i="49"/>
  <c r="Y403" i="49" s="1"/>
  <c r="X368" i="49"/>
  <c r="V368" i="49"/>
  <c r="U368" i="49"/>
  <c r="U403" i="49" s="1"/>
  <c r="T368" i="49"/>
  <c r="S368" i="49"/>
  <c r="S403" i="49" s="1"/>
  <c r="Q368" i="49"/>
  <c r="Q403" i="49" s="1"/>
  <c r="P368" i="49"/>
  <c r="O368" i="49"/>
  <c r="O403" i="49" s="1"/>
  <c r="N368" i="49"/>
  <c r="N403" i="49" s="1"/>
  <c r="M368" i="49"/>
  <c r="L368" i="49"/>
  <c r="K368" i="49"/>
  <c r="J368" i="49"/>
  <c r="J403" i="49" s="1"/>
  <c r="I368" i="49"/>
  <c r="I403" i="49" s="1"/>
  <c r="CM367" i="49"/>
  <c r="CL367" i="49"/>
  <c r="CL402" i="49" s="1"/>
  <c r="CK367" i="49"/>
  <c r="CI367" i="49"/>
  <c r="CJ367" i="49" s="1"/>
  <c r="CH367" i="49"/>
  <c r="CH402" i="49" s="1"/>
  <c r="CG367" i="49"/>
  <c r="CF367" i="49"/>
  <c r="CF402" i="49" s="1"/>
  <c r="CD367" i="49"/>
  <c r="CD402" i="49" s="1"/>
  <c r="CC367" i="49"/>
  <c r="CB367" i="49"/>
  <c r="CA367" i="49"/>
  <c r="CA402" i="49" s="1"/>
  <c r="BZ367" i="49"/>
  <c r="BY367" i="49"/>
  <c r="BX367" i="49"/>
  <c r="BX402" i="49" s="1"/>
  <c r="BW367" i="49"/>
  <c r="BV367" i="49"/>
  <c r="BV402" i="49" s="1"/>
  <c r="BT367" i="49"/>
  <c r="BT402" i="49" s="1"/>
  <c r="BS367" i="49"/>
  <c r="BS402" i="49" s="1"/>
  <c r="BR367" i="49"/>
  <c r="BR402" i="49" s="1"/>
  <c r="BQ367" i="49"/>
  <c r="BO367" i="49"/>
  <c r="BO402" i="49" s="1"/>
  <c r="BN367" i="49"/>
  <c r="BN402" i="49" s="1"/>
  <c r="BM367" i="49"/>
  <c r="BL367" i="49"/>
  <c r="BJ367" i="49"/>
  <c r="BJ402" i="49" s="1"/>
  <c r="BI367" i="49"/>
  <c r="BH367" i="49"/>
  <c r="BH402" i="49" s="1"/>
  <c r="BG367" i="49"/>
  <c r="BE367" i="49"/>
  <c r="BD367" i="49"/>
  <c r="BD402" i="49" s="1"/>
  <c r="BC367" i="49"/>
  <c r="BC402" i="49" s="1"/>
  <c r="BB367" i="49"/>
  <c r="BB402" i="49" s="1"/>
  <c r="AZ367" i="49"/>
  <c r="AZ402" i="49" s="1"/>
  <c r="AY367" i="49"/>
  <c r="AY402" i="49" s="1"/>
  <c r="AX367" i="49"/>
  <c r="AX402" i="49" s="1"/>
  <c r="AW367" i="49"/>
  <c r="AU367" i="49"/>
  <c r="AU402" i="49" s="1"/>
  <c r="AT367" i="49"/>
  <c r="AT402" i="49" s="1"/>
  <c r="AS367" i="49"/>
  <c r="AR367" i="49"/>
  <c r="AR402" i="49" s="1"/>
  <c r="AP367" i="49"/>
  <c r="AP402" i="49" s="1"/>
  <c r="AO367" i="49"/>
  <c r="AN367" i="49"/>
  <c r="AN402" i="49" s="1"/>
  <c r="AM367" i="49"/>
  <c r="AM402" i="49" s="1"/>
  <c r="AL367" i="49"/>
  <c r="AK367" i="49"/>
  <c r="AJ367" i="49"/>
  <c r="AJ402" i="49" s="1"/>
  <c r="AI367" i="49"/>
  <c r="AI402" i="49" s="1"/>
  <c r="AH367" i="49"/>
  <c r="AH402" i="49" s="1"/>
  <c r="AF367" i="49"/>
  <c r="AE367" i="49"/>
  <c r="AE402" i="49" s="1"/>
  <c r="AD367" i="49"/>
  <c r="AD402" i="49" s="1"/>
  <c r="AC367" i="49"/>
  <c r="AA367" i="49"/>
  <c r="Z367" i="49"/>
  <c r="Z402" i="49" s="1"/>
  <c r="Y367" i="49"/>
  <c r="X367" i="49"/>
  <c r="X402" i="49" s="1"/>
  <c r="V367" i="49"/>
  <c r="V402" i="49" s="1"/>
  <c r="U367" i="49"/>
  <c r="T367" i="49"/>
  <c r="T402" i="49" s="1"/>
  <c r="S367" i="49"/>
  <c r="S402" i="49" s="1"/>
  <c r="R367" i="49"/>
  <c r="Q367" i="49"/>
  <c r="P367" i="49"/>
  <c r="O367" i="49"/>
  <c r="N367" i="49"/>
  <c r="J367" i="49"/>
  <c r="CM366" i="49"/>
  <c r="CM401" i="49" s="1"/>
  <c r="CL366" i="49"/>
  <c r="CK366" i="49"/>
  <c r="CK401" i="49" s="1"/>
  <c r="CI366" i="49"/>
  <c r="CH366" i="49"/>
  <c r="CG366" i="49"/>
  <c r="CF366" i="49"/>
  <c r="CF401" i="49" s="1"/>
  <c r="CE366" i="49"/>
  <c r="CD366" i="49"/>
  <c r="CD401" i="49" s="1"/>
  <c r="CC366" i="49"/>
  <c r="CC401" i="49" s="1"/>
  <c r="CB366" i="49"/>
  <c r="CA366" i="49"/>
  <c r="CA401" i="49" s="1"/>
  <c r="BY366" i="49"/>
  <c r="BY401" i="49" s="1"/>
  <c r="BX366" i="49"/>
  <c r="BX401" i="49" s="1"/>
  <c r="BW366" i="49"/>
  <c r="BW401" i="49" s="1"/>
  <c r="BV366" i="49"/>
  <c r="BT366" i="49"/>
  <c r="BT401" i="49" s="1"/>
  <c r="BS366" i="49"/>
  <c r="BS401" i="49" s="1"/>
  <c r="BR366" i="49"/>
  <c r="BQ366" i="49"/>
  <c r="BO366" i="49"/>
  <c r="BO401" i="49" s="1"/>
  <c r="BN366" i="49"/>
  <c r="BM366" i="49"/>
  <c r="BM401" i="49" s="1"/>
  <c r="BL366" i="49"/>
  <c r="BK366" i="49"/>
  <c r="BJ366" i="49"/>
  <c r="BI366" i="49"/>
  <c r="BI401" i="49" s="1"/>
  <c r="BH366" i="49"/>
  <c r="BH401" i="49" s="1"/>
  <c r="BG366" i="49"/>
  <c r="BG401" i="49" s="1"/>
  <c r="BE366" i="49"/>
  <c r="BE401" i="49" s="1"/>
  <c r="BD366" i="49"/>
  <c r="BD401" i="49" s="1"/>
  <c r="BC366" i="49"/>
  <c r="BC401" i="49" s="1"/>
  <c r="BB366" i="49"/>
  <c r="AZ366" i="49"/>
  <c r="AZ401" i="49" s="1"/>
  <c r="AY366" i="49"/>
  <c r="AY401" i="49" s="1"/>
  <c r="AX366" i="49"/>
  <c r="AW366" i="49"/>
  <c r="AW401" i="49" s="1"/>
  <c r="AU366" i="49"/>
  <c r="AU401" i="49" s="1"/>
  <c r="AT366" i="49"/>
  <c r="AS366" i="49"/>
  <c r="AS401" i="49" s="1"/>
  <c r="AR366" i="49"/>
  <c r="AR401" i="49" s="1"/>
  <c r="AQ366" i="49"/>
  <c r="AP366" i="49"/>
  <c r="AO366" i="49"/>
  <c r="AO401" i="49" s="1"/>
  <c r="AN366" i="49"/>
  <c r="AN401" i="49" s="1"/>
  <c r="AM366" i="49"/>
  <c r="AM401" i="49" s="1"/>
  <c r="AK366" i="49"/>
  <c r="AJ366" i="49"/>
  <c r="AJ401" i="49" s="1"/>
  <c r="AI366" i="49"/>
  <c r="AI401" i="49" s="1"/>
  <c r="AH366" i="49"/>
  <c r="AF366" i="49"/>
  <c r="AE366" i="49"/>
  <c r="AE401" i="49" s="1"/>
  <c r="AD366" i="49"/>
  <c r="AC366" i="49"/>
  <c r="AC401" i="49" s="1"/>
  <c r="AA366" i="49"/>
  <c r="AA401" i="49" s="1"/>
  <c r="Z366" i="49"/>
  <c r="Y366" i="49"/>
  <c r="Y401" i="49" s="1"/>
  <c r="X366" i="49"/>
  <c r="X401" i="49" s="1"/>
  <c r="W366" i="49"/>
  <c r="V366" i="49"/>
  <c r="U366" i="49"/>
  <c r="T366" i="49"/>
  <c r="T401" i="49" s="1"/>
  <c r="S366" i="49"/>
  <c r="Q366" i="49"/>
  <c r="Q401" i="49" s="1"/>
  <c r="P366" i="49"/>
  <c r="O366" i="49"/>
  <c r="K366" i="49"/>
  <c r="CM365" i="49"/>
  <c r="CL365" i="49"/>
  <c r="CK365" i="49"/>
  <c r="CK400" i="49" s="1"/>
  <c r="CJ365" i="49"/>
  <c r="CI365" i="49"/>
  <c r="CH365" i="49"/>
  <c r="CH400" i="49" s="1"/>
  <c r="CG365" i="49"/>
  <c r="CF365" i="49"/>
  <c r="CF400" i="49" s="1"/>
  <c r="CD365" i="49"/>
  <c r="CD400" i="49" s="1"/>
  <c r="CC365" i="49"/>
  <c r="CC400" i="49" s="1"/>
  <c r="CB365" i="49"/>
  <c r="CB400" i="49" s="1"/>
  <c r="CA365" i="49"/>
  <c r="BY365" i="49"/>
  <c r="BY400" i="49" s="1"/>
  <c r="BX365" i="49"/>
  <c r="BX400" i="49" s="1"/>
  <c r="BW365" i="49"/>
  <c r="BV365" i="49"/>
  <c r="BT365" i="49"/>
  <c r="BT400" i="49" s="1"/>
  <c r="BS365" i="49"/>
  <c r="BR365" i="49"/>
  <c r="BR400" i="49" s="1"/>
  <c r="BQ365" i="49"/>
  <c r="BP365" i="49"/>
  <c r="BO365" i="49"/>
  <c r="BN365" i="49"/>
  <c r="BN400" i="49" s="1"/>
  <c r="BM365" i="49"/>
  <c r="BM400" i="49" s="1"/>
  <c r="BL365" i="49"/>
  <c r="BL400" i="49" s="1"/>
  <c r="BJ365" i="49"/>
  <c r="BJ400" i="49" s="1"/>
  <c r="BI365" i="49"/>
  <c r="BI400" i="49" s="1"/>
  <c r="BH365" i="49"/>
  <c r="BH400" i="49" s="1"/>
  <c r="BG365" i="49"/>
  <c r="BE365" i="49"/>
  <c r="BE400" i="49" s="1"/>
  <c r="BD365" i="49"/>
  <c r="BD400" i="49" s="1"/>
  <c r="BC365" i="49"/>
  <c r="BB365" i="49"/>
  <c r="BB400" i="49" s="1"/>
  <c r="AZ365" i="49"/>
  <c r="AZ400" i="49" s="1"/>
  <c r="AY365" i="49"/>
  <c r="AX365" i="49"/>
  <c r="AX400" i="49" s="1"/>
  <c r="AW365" i="49"/>
  <c r="AW400" i="49" s="1"/>
  <c r="AU365" i="49"/>
  <c r="AT365" i="49"/>
  <c r="AT400" i="49" s="1"/>
  <c r="AS365" i="49"/>
  <c r="AS400" i="49" s="1"/>
  <c r="AR365" i="49"/>
  <c r="AR400" i="49" s="1"/>
  <c r="AP365" i="49"/>
  <c r="AO365" i="49"/>
  <c r="AO400" i="49" s="1"/>
  <c r="AN365" i="49"/>
  <c r="AN400" i="49" s="1"/>
  <c r="AM365" i="49"/>
  <c r="AK365" i="49"/>
  <c r="AJ365" i="49"/>
  <c r="AJ400" i="49" s="1"/>
  <c r="AI365" i="49"/>
  <c r="AH365" i="49"/>
  <c r="AH400" i="49" s="1"/>
  <c r="AF365" i="49"/>
  <c r="AF400" i="49" s="1"/>
  <c r="AE365" i="49"/>
  <c r="AD365" i="49"/>
  <c r="AD400" i="49" s="1"/>
  <c r="AC365" i="49"/>
  <c r="AC400" i="49" s="1"/>
  <c r="AA365" i="49"/>
  <c r="AA400" i="49" s="1"/>
  <c r="Z365" i="49"/>
  <c r="Y365" i="49"/>
  <c r="Y400" i="49" s="1"/>
  <c r="X365" i="49"/>
  <c r="X400" i="49" s="1"/>
  <c r="V365" i="49"/>
  <c r="V400" i="49" s="1"/>
  <c r="U365" i="49"/>
  <c r="T365" i="49"/>
  <c r="T400" i="49" s="1"/>
  <c r="S365" i="49"/>
  <c r="Q365" i="49"/>
  <c r="Q400" i="49" s="1"/>
  <c r="P365" i="49"/>
  <c r="P400" i="49" s="1"/>
  <c r="O365" i="49"/>
  <c r="CM364" i="49"/>
  <c r="CM399" i="49" s="1"/>
  <c r="CL364" i="49"/>
  <c r="CK364" i="49"/>
  <c r="CK399" i="49" s="1"/>
  <c r="CI364" i="49"/>
  <c r="CJ364" i="49" s="1"/>
  <c r="CH364" i="49"/>
  <c r="CH399" i="49" s="1"/>
  <c r="CG364" i="49"/>
  <c r="CG399" i="49" s="1"/>
  <c r="CF364" i="49"/>
  <c r="CD364" i="49"/>
  <c r="CD399" i="49" s="1"/>
  <c r="CC364" i="49"/>
  <c r="CC399" i="49" s="1"/>
  <c r="CB364" i="49"/>
  <c r="CA364" i="49"/>
  <c r="BY364" i="49"/>
  <c r="BY399" i="49" s="1"/>
  <c r="BX364" i="49"/>
  <c r="BW364" i="49"/>
  <c r="BW399" i="49" s="1"/>
  <c r="BV364" i="49"/>
  <c r="BU364" i="49"/>
  <c r="BT364" i="49"/>
  <c r="BS364" i="49"/>
  <c r="BS399" i="49" s="1"/>
  <c r="BR364" i="49"/>
  <c r="BR399" i="49" s="1"/>
  <c r="BQ364" i="49"/>
  <c r="BQ399" i="49" s="1"/>
  <c r="BO364" i="49"/>
  <c r="BO399" i="49" s="1"/>
  <c r="BN364" i="49"/>
  <c r="BN399" i="49" s="1"/>
  <c r="BM364" i="49"/>
  <c r="BM399" i="49" s="1"/>
  <c r="BL364" i="49"/>
  <c r="BJ364" i="49"/>
  <c r="BJ399" i="49" s="1"/>
  <c r="BI364" i="49"/>
  <c r="BI399" i="49" s="1"/>
  <c r="BH364" i="49"/>
  <c r="BH399" i="49" s="1"/>
  <c r="BG364" i="49"/>
  <c r="BG399" i="49" s="1"/>
  <c r="BE364" i="49"/>
  <c r="BE399" i="49" s="1"/>
  <c r="BD364" i="49"/>
  <c r="BC364" i="49"/>
  <c r="BC399" i="49" s="1"/>
  <c r="BB364" i="49"/>
  <c r="BB399" i="49" s="1"/>
  <c r="BA364" i="49"/>
  <c r="AZ364" i="49"/>
  <c r="AY364" i="49"/>
  <c r="AY399" i="49" s="1"/>
  <c r="AX364" i="49"/>
  <c r="AX399" i="49" s="1"/>
  <c r="AW364" i="49"/>
  <c r="AW399" i="49" s="1"/>
  <c r="AU364" i="49"/>
  <c r="AT364" i="49"/>
  <c r="AT399" i="49" s="1"/>
  <c r="AS364" i="49"/>
  <c r="AS399" i="49" s="1"/>
  <c r="AR364" i="49"/>
  <c r="AP364" i="49"/>
  <c r="AO364" i="49"/>
  <c r="AO399" i="49" s="1"/>
  <c r="AN364" i="49"/>
  <c r="AM364" i="49"/>
  <c r="AM399" i="49" s="1"/>
  <c r="AK364" i="49"/>
  <c r="AK399" i="49" s="1"/>
  <c r="AJ364" i="49"/>
  <c r="AI364" i="49"/>
  <c r="AI399" i="49" s="1"/>
  <c r="AH364" i="49"/>
  <c r="AH399" i="49" s="1"/>
  <c r="AG364" i="49"/>
  <c r="AF364" i="49"/>
  <c r="AF399" i="49" s="1"/>
  <c r="AE364" i="49"/>
  <c r="AD364" i="49"/>
  <c r="AD399" i="49" s="1"/>
  <c r="AC364" i="49"/>
  <c r="AC399" i="49" s="1"/>
  <c r="AA364" i="49"/>
  <c r="AA399" i="49" s="1"/>
  <c r="Z364" i="49"/>
  <c r="Y364" i="49"/>
  <c r="Y399" i="49" s="1"/>
  <c r="X364" i="49"/>
  <c r="V364" i="49"/>
  <c r="V399" i="49" s="1"/>
  <c r="U364" i="49"/>
  <c r="U399" i="49" s="1"/>
  <c r="T364" i="49"/>
  <c r="S364" i="49"/>
  <c r="Q364" i="49"/>
  <c r="P364" i="49"/>
  <c r="O364" i="49"/>
  <c r="I364" i="49"/>
  <c r="CM363" i="49"/>
  <c r="CM398" i="49" s="1"/>
  <c r="CL363" i="49"/>
  <c r="CL398" i="49" s="1"/>
  <c r="CK363" i="49"/>
  <c r="CI363" i="49"/>
  <c r="CI398" i="49" s="1"/>
  <c r="CJ398" i="49" s="1"/>
  <c r="CH363" i="49"/>
  <c r="CH398" i="49" s="1"/>
  <c r="CG363" i="49"/>
  <c r="CG398" i="49" s="1"/>
  <c r="CF363" i="49"/>
  <c r="CD363" i="49"/>
  <c r="CD398" i="49" s="1"/>
  <c r="CC363" i="49"/>
  <c r="CB363" i="49"/>
  <c r="CB398" i="49" s="1"/>
  <c r="CA363" i="49"/>
  <c r="BY363" i="49"/>
  <c r="BX363" i="49"/>
  <c r="BX398" i="49" s="1"/>
  <c r="BW363" i="49"/>
  <c r="BW398" i="49" s="1"/>
  <c r="BV363" i="49"/>
  <c r="BV398" i="49" s="1"/>
  <c r="BT363" i="49"/>
  <c r="BT398" i="49" s="1"/>
  <c r="BS363" i="49"/>
  <c r="BS398" i="49" s="1"/>
  <c r="BR363" i="49"/>
  <c r="BR398" i="49" s="1"/>
  <c r="BQ363" i="49"/>
  <c r="BO363" i="49"/>
  <c r="BO398" i="49" s="1"/>
  <c r="BN363" i="49"/>
  <c r="BN398" i="49" s="1"/>
  <c r="BM363" i="49"/>
  <c r="BL363" i="49"/>
  <c r="BL398" i="49" s="1"/>
  <c r="BJ363" i="49"/>
  <c r="BJ398" i="49" s="1"/>
  <c r="BI363" i="49"/>
  <c r="BI398" i="49" s="1"/>
  <c r="BH363" i="49"/>
  <c r="BH398" i="49" s="1"/>
  <c r="BG363" i="49"/>
  <c r="BG398" i="49" s="1"/>
  <c r="BE363" i="49"/>
  <c r="BD363" i="49"/>
  <c r="BD398" i="49" s="1"/>
  <c r="BC363" i="49"/>
  <c r="BC398" i="49" s="1"/>
  <c r="BB363" i="49"/>
  <c r="BB398" i="49" s="1"/>
  <c r="AZ363" i="49"/>
  <c r="AY363" i="49"/>
  <c r="AY398" i="49" s="1"/>
  <c r="AX363" i="49"/>
  <c r="AX398" i="49" s="1"/>
  <c r="AW363" i="49"/>
  <c r="AU363" i="49"/>
  <c r="AT363" i="49"/>
  <c r="AT398" i="49" s="1"/>
  <c r="AS363" i="49"/>
  <c r="AR363" i="49"/>
  <c r="AR398" i="49" s="1"/>
  <c r="AP363" i="49"/>
  <c r="AP398" i="49" s="1"/>
  <c r="AO363" i="49"/>
  <c r="AN363" i="49"/>
  <c r="AN398" i="49" s="1"/>
  <c r="AM363" i="49"/>
  <c r="AM398" i="49" s="1"/>
  <c r="AL363" i="49"/>
  <c r="AK363" i="49"/>
  <c r="AJ363" i="49"/>
  <c r="AI363" i="49"/>
  <c r="AI398" i="49" s="1"/>
  <c r="AH363" i="49"/>
  <c r="AH398" i="49" s="1"/>
  <c r="AF363" i="49"/>
  <c r="AF398" i="49" s="1"/>
  <c r="AE363" i="49"/>
  <c r="AD363" i="49"/>
  <c r="AD398" i="49" s="1"/>
  <c r="AC363" i="49"/>
  <c r="AC398" i="49" s="1"/>
  <c r="AA363" i="49"/>
  <c r="AA398" i="49" s="1"/>
  <c r="Z363" i="49"/>
  <c r="Z398" i="49" s="1"/>
  <c r="Y363" i="49"/>
  <c r="X363" i="49"/>
  <c r="X398" i="49" s="1"/>
  <c r="V363" i="49"/>
  <c r="V398" i="49" s="1"/>
  <c r="U363" i="49"/>
  <c r="T363" i="49"/>
  <c r="S363" i="49"/>
  <c r="Q363" i="49"/>
  <c r="P363" i="49"/>
  <c r="P398" i="49" s="1"/>
  <c r="O363" i="49"/>
  <c r="J363" i="49"/>
  <c r="CV369" i="49"/>
  <c r="CU369" i="49"/>
  <c r="CU404" i="49" s="1"/>
  <c r="CT369" i="49"/>
  <c r="CT404" i="49" s="1"/>
  <c r="CV368" i="49"/>
  <c r="CU368" i="49"/>
  <c r="CT368" i="49"/>
  <c r="CT403" i="49" s="1"/>
  <c r="CV367" i="49"/>
  <c r="CU367" i="49"/>
  <c r="CT367" i="49"/>
  <c r="CV366" i="49"/>
  <c r="CV401" i="49" s="1"/>
  <c r="CU366" i="49"/>
  <c r="CT366" i="49"/>
  <c r="CV365" i="49"/>
  <c r="CU365" i="49"/>
  <c r="CU400" i="49" s="1"/>
  <c r="CT365" i="49"/>
  <c r="CV364" i="49"/>
  <c r="CU364" i="49"/>
  <c r="CT364" i="49"/>
  <c r="CT399" i="49" s="1"/>
  <c r="CV363" i="49"/>
  <c r="CU363" i="49"/>
  <c r="CT363" i="49"/>
  <c r="CV362" i="49"/>
  <c r="CV397" i="49" s="1"/>
  <c r="CU362" i="49"/>
  <c r="CT362" i="49"/>
  <c r="CT397" i="49" s="1"/>
  <c r="CV361" i="49"/>
  <c r="CU361" i="49"/>
  <c r="CU396" i="49" s="1"/>
  <c r="CT361" i="49"/>
  <c r="CV360" i="49"/>
  <c r="CV395" i="49" s="1"/>
  <c r="CU360" i="49"/>
  <c r="CT360" i="49"/>
  <c r="CT395" i="49" s="1"/>
  <c r="CV359" i="49"/>
  <c r="CU359" i="49"/>
  <c r="CU394" i="49" s="1"/>
  <c r="CT359" i="49"/>
  <c r="CV358" i="49"/>
  <c r="CV393" i="49" s="1"/>
  <c r="CU358" i="49"/>
  <c r="CT358" i="49"/>
  <c r="CT393" i="49" s="1"/>
  <c r="CV357" i="49"/>
  <c r="CU357" i="49"/>
  <c r="CU392" i="49" s="1"/>
  <c r="CT357" i="49"/>
  <c r="CV356" i="49"/>
  <c r="CV391" i="49" s="1"/>
  <c r="CU356" i="49"/>
  <c r="CT356" i="49"/>
  <c r="CT391" i="49" s="1"/>
  <c r="CV355" i="49"/>
  <c r="CU355" i="49"/>
  <c r="CU390" i="49" s="1"/>
  <c r="CT355" i="49"/>
  <c r="CV354" i="49"/>
  <c r="CU354" i="49"/>
  <c r="CT354" i="49"/>
  <c r="CT388" i="49" s="1"/>
  <c r="CV353" i="49"/>
  <c r="CV387" i="49" s="1"/>
  <c r="CU353" i="49"/>
  <c r="CT353" i="49"/>
  <c r="CM362" i="49"/>
  <c r="CL362" i="49"/>
  <c r="CK362" i="49"/>
  <c r="CK397" i="49" s="1"/>
  <c r="CI362" i="49"/>
  <c r="CJ362" i="49" s="1"/>
  <c r="CH362" i="49"/>
  <c r="CH397" i="49" s="1"/>
  <c r="CG362" i="49"/>
  <c r="CG397" i="49" s="1"/>
  <c r="CF362" i="49"/>
  <c r="CD362" i="49"/>
  <c r="CC362" i="49"/>
  <c r="CC397" i="49" s="1"/>
  <c r="CB362" i="49"/>
  <c r="CA362" i="49"/>
  <c r="BZ362" i="49"/>
  <c r="BY362" i="49"/>
  <c r="BY397" i="49" s="1"/>
  <c r="BX362" i="49"/>
  <c r="BW362" i="49"/>
  <c r="CM361" i="49"/>
  <c r="CL361" i="49"/>
  <c r="CK361" i="49"/>
  <c r="CK396" i="49" s="1"/>
  <c r="CI361" i="49"/>
  <c r="CJ361" i="49" s="1"/>
  <c r="CH361" i="49"/>
  <c r="CG361" i="49"/>
  <c r="CF361" i="49"/>
  <c r="CD361" i="49"/>
  <c r="CC361" i="49"/>
  <c r="CB361" i="49"/>
  <c r="CA361" i="49"/>
  <c r="BY361" i="49"/>
  <c r="BX361" i="49"/>
  <c r="BX396" i="49" s="1"/>
  <c r="BW361" i="49"/>
  <c r="CM360" i="49"/>
  <c r="CM395" i="49" s="1"/>
  <c r="CL360" i="49"/>
  <c r="CK360" i="49"/>
  <c r="CJ360" i="49"/>
  <c r="CI360" i="49"/>
  <c r="CI395" i="49" s="1"/>
  <c r="CJ395" i="49" s="1"/>
  <c r="CH360" i="49"/>
  <c r="CG360" i="49"/>
  <c r="CF360" i="49"/>
  <c r="CF395" i="49" s="1"/>
  <c r="CD360" i="49"/>
  <c r="CC360" i="49"/>
  <c r="CB360" i="49"/>
  <c r="CA360" i="49"/>
  <c r="CA395" i="49" s="1"/>
  <c r="BY360" i="49"/>
  <c r="BX360" i="49"/>
  <c r="BW360" i="49"/>
  <c r="BW395" i="49" s="1"/>
  <c r="CM359" i="49"/>
  <c r="CM394" i="49" s="1"/>
  <c r="CL359" i="49"/>
  <c r="CK359" i="49"/>
  <c r="CK394" i="49" s="1"/>
  <c r="CI359" i="49"/>
  <c r="CH359" i="49"/>
  <c r="CG359" i="49"/>
  <c r="CF359" i="49"/>
  <c r="CE359" i="49"/>
  <c r="CD359" i="49"/>
  <c r="CC359" i="49"/>
  <c r="CB359" i="49"/>
  <c r="CA359" i="49"/>
  <c r="CA394" i="49" s="1"/>
  <c r="BY359" i="49"/>
  <c r="BX359" i="49"/>
  <c r="BW359" i="49"/>
  <c r="BW394" i="49" s="1"/>
  <c r="CM358" i="49"/>
  <c r="CL358" i="49"/>
  <c r="CL393" i="49" s="1"/>
  <c r="CK358" i="49"/>
  <c r="CK393" i="49" s="1"/>
  <c r="CI358" i="49"/>
  <c r="CJ358" i="49" s="1"/>
  <c r="CH358" i="49"/>
  <c r="CG358" i="49"/>
  <c r="CG393" i="49" s="1"/>
  <c r="CF358" i="49"/>
  <c r="CF393" i="49" s="1"/>
  <c r="CD358" i="49"/>
  <c r="CC358" i="49"/>
  <c r="CC393" i="49" s="1"/>
  <c r="CB358" i="49"/>
  <c r="CB393" i="49" s="1"/>
  <c r="CA358" i="49"/>
  <c r="BZ358" i="49"/>
  <c r="BY358" i="49"/>
  <c r="BY393" i="49" s="1"/>
  <c r="BX358" i="49"/>
  <c r="BX393" i="49" s="1"/>
  <c r="BW358" i="49"/>
  <c r="CM357" i="49"/>
  <c r="CM392" i="49" s="1"/>
  <c r="CL357" i="49"/>
  <c r="CK357" i="49"/>
  <c r="CK392" i="49" s="1"/>
  <c r="CI357" i="49"/>
  <c r="CJ357" i="49" s="1"/>
  <c r="CH357" i="49"/>
  <c r="CG357" i="49"/>
  <c r="CG392" i="49" s="1"/>
  <c r="CF357" i="49"/>
  <c r="CF392" i="49" s="1"/>
  <c r="CD357" i="49"/>
  <c r="CC357" i="49"/>
  <c r="CC392" i="49" s="1"/>
  <c r="CB357" i="49"/>
  <c r="CA357" i="49"/>
  <c r="BY357" i="49"/>
  <c r="BX357" i="49"/>
  <c r="BX392" i="49" s="1"/>
  <c r="BW357" i="49"/>
  <c r="CM356" i="49"/>
  <c r="CM391" i="49" s="1"/>
  <c r="CL356" i="49"/>
  <c r="CK356" i="49"/>
  <c r="CJ356" i="49"/>
  <c r="CI356" i="49"/>
  <c r="CI391" i="49" s="1"/>
  <c r="CJ391" i="49" s="1"/>
  <c r="CH356" i="49"/>
  <c r="CG356" i="49"/>
  <c r="CF356" i="49"/>
  <c r="CF391" i="49" s="1"/>
  <c r="CD356" i="49"/>
  <c r="CC356" i="49"/>
  <c r="CB356" i="49"/>
  <c r="CB391" i="49" s="1"/>
  <c r="CA356" i="49"/>
  <c r="CA391" i="49" s="1"/>
  <c r="BY356" i="49"/>
  <c r="BX356" i="49"/>
  <c r="BX391" i="49" s="1"/>
  <c r="BW356" i="49"/>
  <c r="BW391" i="49" s="1"/>
  <c r="CM355" i="49"/>
  <c r="CM390" i="49" s="1"/>
  <c r="CL355" i="49"/>
  <c r="CK355" i="49"/>
  <c r="CK390" i="49" s="1"/>
  <c r="CI355" i="49"/>
  <c r="CH355" i="49"/>
  <c r="CG355" i="49"/>
  <c r="CG390" i="49" s="1"/>
  <c r="CF355" i="49"/>
  <c r="CE355" i="49"/>
  <c r="CE390" i="49" s="1"/>
  <c r="CD355" i="49"/>
  <c r="CC355" i="49"/>
  <c r="CC390" i="49" s="1"/>
  <c r="CB355" i="49"/>
  <c r="CA355" i="49"/>
  <c r="CA390" i="49" s="1"/>
  <c r="BY355" i="49"/>
  <c r="BY390" i="49" s="1"/>
  <c r="BX355" i="49"/>
  <c r="BW355" i="49"/>
  <c r="BW390" i="49" s="1"/>
  <c r="CM354" i="49"/>
  <c r="CL354" i="49"/>
  <c r="CL388" i="49" s="1"/>
  <c r="CK354" i="49"/>
  <c r="CK388" i="49" s="1"/>
  <c r="CI354" i="49"/>
  <c r="CJ354" i="49" s="1"/>
  <c r="CH354" i="49"/>
  <c r="CG354" i="49"/>
  <c r="CG388" i="49" s="1"/>
  <c r="CF354" i="49"/>
  <c r="CF388" i="49" s="1"/>
  <c r="CD354" i="49"/>
  <c r="CD388" i="49" s="1"/>
  <c r="CC354" i="49"/>
  <c r="CC388" i="49" s="1"/>
  <c r="CB354" i="49"/>
  <c r="CB388" i="49" s="1"/>
  <c r="CA354" i="49"/>
  <c r="CA388" i="49" s="1"/>
  <c r="BZ354" i="49"/>
  <c r="BZ388" i="49" s="1"/>
  <c r="BY354" i="49"/>
  <c r="BY388" i="49" s="1"/>
  <c r="BX354" i="49"/>
  <c r="BX388" i="49" s="1"/>
  <c r="BW354" i="49"/>
  <c r="BW388" i="49" s="1"/>
  <c r="CM353" i="49"/>
  <c r="CM387" i="49" s="1"/>
  <c r="CL353" i="49"/>
  <c r="CK353" i="49"/>
  <c r="CK383" i="49" s="1"/>
  <c r="CI353" i="49"/>
  <c r="CJ353" i="49" s="1"/>
  <c r="CG353" i="49"/>
  <c r="CG387" i="49" s="1"/>
  <c r="CF353" i="49"/>
  <c r="CF387" i="49" s="1"/>
  <c r="CD353" i="49"/>
  <c r="CC353" i="49"/>
  <c r="CC387" i="49" s="1"/>
  <c r="CB353" i="49"/>
  <c r="CB387" i="49" s="1"/>
  <c r="CA353" i="49"/>
  <c r="CA387" i="49" s="1"/>
  <c r="BY353" i="49"/>
  <c r="BY387" i="49" s="1"/>
  <c r="BX353" i="49"/>
  <c r="BX387" i="49" s="1"/>
  <c r="BW353" i="49"/>
  <c r="BW387" i="49" s="1"/>
  <c r="BV361" i="49"/>
  <c r="BV396" i="49" s="1"/>
  <c r="BU361" i="49"/>
  <c r="BT361" i="49"/>
  <c r="BS361" i="49"/>
  <c r="BR361" i="49"/>
  <c r="BQ361" i="49"/>
  <c r="BQ396" i="49" s="1"/>
  <c r="BO361" i="49"/>
  <c r="BN361" i="49"/>
  <c r="BM361" i="49"/>
  <c r="BM396" i="49" s="1"/>
  <c r="BL361" i="49"/>
  <c r="BJ361" i="49"/>
  <c r="BI361" i="49"/>
  <c r="BI396" i="49" s="1"/>
  <c r="BH361" i="49"/>
  <c r="BG361" i="49"/>
  <c r="BE361" i="49"/>
  <c r="BE396" i="49" s="1"/>
  <c r="BD361" i="49"/>
  <c r="BC361" i="49"/>
  <c r="BC396" i="49" s="1"/>
  <c r="BB361" i="49"/>
  <c r="BA361" i="49"/>
  <c r="AZ361" i="49"/>
  <c r="AY361" i="49"/>
  <c r="AY396" i="49" s="1"/>
  <c r="AX361" i="49"/>
  <c r="AW361" i="49"/>
  <c r="AW396" i="49" s="1"/>
  <c r="AU361" i="49"/>
  <c r="AT361" i="49"/>
  <c r="AT396" i="49" s="1"/>
  <c r="AS361" i="49"/>
  <c r="AS396" i="49" s="1"/>
  <c r="AR361" i="49"/>
  <c r="AP361" i="49"/>
  <c r="AO361" i="49"/>
  <c r="AO396" i="49" s="1"/>
  <c r="AN361" i="49"/>
  <c r="AM361" i="49"/>
  <c r="AK361" i="49"/>
  <c r="AK396" i="49" s="1"/>
  <c r="AJ361" i="49"/>
  <c r="AI361" i="49"/>
  <c r="AH361" i="49"/>
  <c r="AG361" i="49"/>
  <c r="AG396" i="49" s="1"/>
  <c r="AF361" i="49"/>
  <c r="AE361" i="49"/>
  <c r="AD361" i="49"/>
  <c r="AC361" i="49"/>
  <c r="AC396" i="49" s="1"/>
  <c r="AA361" i="49"/>
  <c r="Z361" i="49"/>
  <c r="Y361" i="49"/>
  <c r="Y396" i="49" s="1"/>
  <c r="X361" i="49"/>
  <c r="V361" i="49"/>
  <c r="U361" i="49"/>
  <c r="U396" i="49" s="1"/>
  <c r="T361" i="49"/>
  <c r="S361" i="49"/>
  <c r="Q361" i="49"/>
  <c r="Q396" i="49" s="1"/>
  <c r="P361" i="49"/>
  <c r="I361" i="49"/>
  <c r="BV360" i="49"/>
  <c r="BT360" i="49"/>
  <c r="BS360" i="49"/>
  <c r="BR360" i="49"/>
  <c r="BQ360" i="49"/>
  <c r="BQ395" i="49" s="1"/>
  <c r="BO360" i="49"/>
  <c r="BO395" i="49" s="1"/>
  <c r="BN360" i="49"/>
  <c r="BM360" i="49"/>
  <c r="BM395" i="49" s="1"/>
  <c r="BL360" i="49"/>
  <c r="BJ360" i="49"/>
  <c r="BI360" i="49"/>
  <c r="BH360" i="49"/>
  <c r="BH395" i="49" s="1"/>
  <c r="BG360" i="49"/>
  <c r="BE360" i="49"/>
  <c r="BE395" i="49" s="1"/>
  <c r="BD360" i="49"/>
  <c r="BC360" i="49"/>
  <c r="BC395" i="49" s="1"/>
  <c r="BB360" i="49"/>
  <c r="AZ360" i="49"/>
  <c r="AY360" i="49"/>
  <c r="AY395" i="49" s="1"/>
  <c r="AX360" i="49"/>
  <c r="AW360" i="49"/>
  <c r="AW395" i="49" s="1"/>
  <c r="AU360" i="49"/>
  <c r="AT360" i="49"/>
  <c r="AS360" i="49"/>
  <c r="AR360" i="49"/>
  <c r="AP360" i="49"/>
  <c r="AO360" i="49"/>
  <c r="AO395" i="49" s="1"/>
  <c r="AN360" i="49"/>
  <c r="AM360" i="49"/>
  <c r="AK360" i="49"/>
  <c r="AK395" i="49" s="1"/>
  <c r="AJ360" i="49"/>
  <c r="AJ395" i="49" s="1"/>
  <c r="AI360" i="49"/>
  <c r="AI395" i="49" s="1"/>
  <c r="AH360" i="49"/>
  <c r="AH395" i="49" s="1"/>
  <c r="AF360" i="49"/>
  <c r="AE360" i="49"/>
  <c r="AE395" i="49" s="1"/>
  <c r="AD360" i="49"/>
  <c r="AD395" i="49" s="1"/>
  <c r="AC360" i="49"/>
  <c r="AC395" i="49" s="1"/>
  <c r="AA360" i="49"/>
  <c r="AA395" i="49" s="1"/>
  <c r="Z360" i="49"/>
  <c r="Z395" i="49" s="1"/>
  <c r="Y360" i="49"/>
  <c r="Y395" i="49" s="1"/>
  <c r="X360" i="49"/>
  <c r="V360" i="49"/>
  <c r="V395" i="49" s="1"/>
  <c r="U360" i="49"/>
  <c r="U395" i="49" s="1"/>
  <c r="T360" i="49"/>
  <c r="S360" i="49"/>
  <c r="S395" i="49" s="1"/>
  <c r="Q360" i="49"/>
  <c r="Q395" i="49" s="1"/>
  <c r="P360" i="49"/>
  <c r="O360" i="49"/>
  <c r="O395" i="49" s="1"/>
  <c r="N360" i="49"/>
  <c r="N395" i="49" s="1"/>
  <c r="L360" i="49"/>
  <c r="L395" i="49" s="1"/>
  <c r="K360" i="49"/>
  <c r="K395" i="49" s="1"/>
  <c r="J360" i="49"/>
  <c r="J395" i="49" s="1"/>
  <c r="I360" i="49"/>
  <c r="I395" i="49" s="1"/>
  <c r="BV359" i="49"/>
  <c r="BV394" i="49" s="1"/>
  <c r="BU359" i="49"/>
  <c r="BT359" i="49"/>
  <c r="BS359" i="49"/>
  <c r="BS394" i="49" s="1"/>
  <c r="BR359" i="49"/>
  <c r="BR394" i="49" s="1"/>
  <c r="BQ359" i="49"/>
  <c r="BQ394" i="49" s="1"/>
  <c r="BO359" i="49"/>
  <c r="BO394" i="49" s="1"/>
  <c r="BN359" i="49"/>
  <c r="BN394" i="49" s="1"/>
  <c r="BM359" i="49"/>
  <c r="BM394" i="49" s="1"/>
  <c r="BL359" i="49"/>
  <c r="BJ359" i="49"/>
  <c r="BJ394" i="49" s="1"/>
  <c r="BI359" i="49"/>
  <c r="BI394" i="49" s="1"/>
  <c r="BH359" i="49"/>
  <c r="BH394" i="49" s="1"/>
  <c r="BG359" i="49"/>
  <c r="BG394" i="49" s="1"/>
  <c r="BE359" i="49"/>
  <c r="BD359" i="49"/>
  <c r="BC359" i="49"/>
  <c r="BC394" i="49" s="1"/>
  <c r="BB359" i="49"/>
  <c r="BB394" i="49" s="1"/>
  <c r="BA359" i="49"/>
  <c r="BA394" i="49" s="1"/>
  <c r="AZ359" i="49"/>
  <c r="AY359" i="49"/>
  <c r="AY394" i="49" s="1"/>
  <c r="AX359" i="49"/>
  <c r="AX394" i="49" s="1"/>
  <c r="AW359" i="49"/>
  <c r="AW394" i="49" s="1"/>
  <c r="AU359" i="49"/>
  <c r="AU394" i="49" s="1"/>
  <c r="AT359" i="49"/>
  <c r="AT394" i="49" s="1"/>
  <c r="AS359" i="49"/>
  <c r="AS394" i="49" s="1"/>
  <c r="AR359" i="49"/>
  <c r="AP359" i="49"/>
  <c r="AP394" i="49" s="1"/>
  <c r="AO359" i="49"/>
  <c r="AO394" i="49" s="1"/>
  <c r="AN359" i="49"/>
  <c r="AM359" i="49"/>
  <c r="AM394" i="49" s="1"/>
  <c r="AK359" i="49"/>
  <c r="AK394" i="49" s="1"/>
  <c r="AJ359" i="49"/>
  <c r="AJ394" i="49" s="1"/>
  <c r="AI359" i="49"/>
  <c r="AI394" i="49" s="1"/>
  <c r="AH359" i="49"/>
  <c r="AH394" i="49" s="1"/>
  <c r="AG359" i="49"/>
  <c r="AG394" i="49" s="1"/>
  <c r="AF359" i="49"/>
  <c r="AF394" i="49" s="1"/>
  <c r="AE359" i="49"/>
  <c r="AE394" i="49" s="1"/>
  <c r="AD359" i="49"/>
  <c r="AD394" i="49" s="1"/>
  <c r="AC359" i="49"/>
  <c r="AC394" i="49" s="1"/>
  <c r="AA359" i="49"/>
  <c r="AA394" i="49" s="1"/>
  <c r="Z359" i="49"/>
  <c r="Z394" i="49" s="1"/>
  <c r="Y359" i="49"/>
  <c r="X359" i="49"/>
  <c r="V359" i="49"/>
  <c r="V394" i="49" s="1"/>
  <c r="U359" i="49"/>
  <c r="U394" i="49" s="1"/>
  <c r="T359" i="49"/>
  <c r="S359" i="49"/>
  <c r="S394" i="49" s="1"/>
  <c r="Q359" i="49"/>
  <c r="Q394" i="49" s="1"/>
  <c r="P359" i="49"/>
  <c r="O359" i="49"/>
  <c r="O394" i="49" s="1"/>
  <c r="N359" i="49"/>
  <c r="N394" i="49" s="1"/>
  <c r="M359" i="49"/>
  <c r="M394" i="49" s="1"/>
  <c r="L359" i="49"/>
  <c r="K359" i="49"/>
  <c r="K394" i="49" s="1"/>
  <c r="J359" i="49"/>
  <c r="J394" i="49" s="1"/>
  <c r="I359" i="49"/>
  <c r="I394" i="49" s="1"/>
  <c r="BV358" i="49"/>
  <c r="BT358" i="49"/>
  <c r="BT393" i="49" s="1"/>
  <c r="BS358" i="49"/>
  <c r="BS393" i="49" s="1"/>
  <c r="BR358" i="49"/>
  <c r="BR393" i="49" s="1"/>
  <c r="BQ358" i="49"/>
  <c r="BO358" i="49"/>
  <c r="BO393" i="49" s="1"/>
  <c r="BN358" i="49"/>
  <c r="BM358" i="49"/>
  <c r="BM393" i="49" s="1"/>
  <c r="BL358" i="49"/>
  <c r="BL393" i="49" s="1"/>
  <c r="BK358" i="49"/>
  <c r="BJ358" i="49"/>
  <c r="BI358" i="49"/>
  <c r="BH358" i="49"/>
  <c r="BH393" i="49" s="1"/>
  <c r="BG358" i="49"/>
  <c r="BE358" i="49"/>
  <c r="BD358" i="49"/>
  <c r="BD393" i="49" s="1"/>
  <c r="BC358" i="49"/>
  <c r="BC393" i="49" s="1"/>
  <c r="BB358" i="49"/>
  <c r="AZ358" i="49"/>
  <c r="AZ393" i="49" s="1"/>
  <c r="AY358" i="49"/>
  <c r="AY393" i="49" s="1"/>
  <c r="AX358" i="49"/>
  <c r="AW358" i="49"/>
  <c r="AU358" i="49"/>
  <c r="AU393" i="49" s="1"/>
  <c r="AT358" i="49"/>
  <c r="AT393" i="49" s="1"/>
  <c r="AS358" i="49"/>
  <c r="AR358" i="49"/>
  <c r="AR393" i="49" s="1"/>
  <c r="AQ358" i="49"/>
  <c r="AP358" i="49"/>
  <c r="AP393" i="49" s="1"/>
  <c r="AO358" i="49"/>
  <c r="AN358" i="49"/>
  <c r="AN393" i="49" s="1"/>
  <c r="AM358" i="49"/>
  <c r="AM393" i="49" s="1"/>
  <c r="AK358" i="49"/>
  <c r="AJ358" i="49"/>
  <c r="AJ393" i="49" s="1"/>
  <c r="AI358" i="49"/>
  <c r="AI393" i="49" s="1"/>
  <c r="AH358" i="49"/>
  <c r="AF358" i="49"/>
  <c r="AF393" i="49" s="1"/>
  <c r="AE358" i="49"/>
  <c r="AE393" i="49" s="1"/>
  <c r="AD358" i="49"/>
  <c r="AC358" i="49"/>
  <c r="AA358" i="49"/>
  <c r="AA393" i="49" s="1"/>
  <c r="Z358" i="49"/>
  <c r="Y358" i="49"/>
  <c r="X358" i="49"/>
  <c r="X393" i="49" s="1"/>
  <c r="W358" i="49"/>
  <c r="W393" i="49" s="1"/>
  <c r="V358" i="49"/>
  <c r="U358" i="49"/>
  <c r="T358" i="49"/>
  <c r="T393" i="49" s="1"/>
  <c r="S358" i="49"/>
  <c r="S393" i="49" s="1"/>
  <c r="Q358" i="49"/>
  <c r="P358" i="49"/>
  <c r="P393" i="49" s="1"/>
  <c r="O358" i="49"/>
  <c r="O393" i="49" s="1"/>
  <c r="N358" i="49"/>
  <c r="N393" i="49" s="1"/>
  <c r="L358" i="49"/>
  <c r="L393" i="49" s="1"/>
  <c r="K358" i="49"/>
  <c r="J358" i="49"/>
  <c r="I358" i="49"/>
  <c r="I393" i="49" s="1"/>
  <c r="BV357" i="49"/>
  <c r="BU357" i="49"/>
  <c r="BU392" i="49" s="1"/>
  <c r="BT357" i="49"/>
  <c r="BT392" i="49" s="1"/>
  <c r="BS357" i="49"/>
  <c r="BS392" i="49" s="1"/>
  <c r="BR357" i="49"/>
  <c r="BQ357" i="49"/>
  <c r="BQ392" i="49" s="1"/>
  <c r="BO357" i="49"/>
  <c r="BN357" i="49"/>
  <c r="BN392" i="49" s="1"/>
  <c r="BM357" i="49"/>
  <c r="BL357" i="49"/>
  <c r="BJ357" i="49"/>
  <c r="BI357" i="49"/>
  <c r="BI392" i="49" s="1"/>
  <c r="BH357" i="49"/>
  <c r="BH392" i="49" s="1"/>
  <c r="BG357" i="49"/>
  <c r="BE357" i="49"/>
  <c r="BE392" i="49" s="1"/>
  <c r="BD357" i="49"/>
  <c r="BD392" i="49" s="1"/>
  <c r="BC357" i="49"/>
  <c r="BB357" i="49"/>
  <c r="BA357" i="49"/>
  <c r="BA392" i="49" s="1"/>
  <c r="AZ357" i="49"/>
  <c r="AZ392" i="49" s="1"/>
  <c r="AY357" i="49"/>
  <c r="AX357" i="49"/>
  <c r="AW357" i="49"/>
  <c r="AW392" i="49" s="1"/>
  <c r="AU357" i="49"/>
  <c r="AU392" i="49" s="1"/>
  <c r="AT357" i="49"/>
  <c r="AS357" i="49"/>
  <c r="AR357" i="49"/>
  <c r="AR392" i="49" s="1"/>
  <c r="AP357" i="49"/>
  <c r="AP392" i="49" s="1"/>
  <c r="AO357" i="49"/>
  <c r="AO392" i="49" s="1"/>
  <c r="AN357" i="49"/>
  <c r="AN392" i="49" s="1"/>
  <c r="AM357" i="49"/>
  <c r="AK357" i="49"/>
  <c r="AK392" i="49" s="1"/>
  <c r="AJ357" i="49"/>
  <c r="AJ392" i="49" s="1"/>
  <c r="AI357" i="49"/>
  <c r="AH357" i="49"/>
  <c r="AG357" i="49"/>
  <c r="AG392" i="49" s="1"/>
  <c r="AF357" i="49"/>
  <c r="AF392" i="49" s="1"/>
  <c r="AE357" i="49"/>
  <c r="AD357" i="49"/>
  <c r="AC357" i="49"/>
  <c r="AC392" i="49" s="1"/>
  <c r="AA357" i="49"/>
  <c r="Z357" i="49"/>
  <c r="Y357" i="49"/>
  <c r="Y392" i="49" s="1"/>
  <c r="X357" i="49"/>
  <c r="X392" i="49" s="1"/>
  <c r="V357" i="49"/>
  <c r="U357" i="49"/>
  <c r="U392" i="49" s="1"/>
  <c r="T357" i="49"/>
  <c r="T392" i="49" s="1"/>
  <c r="S357" i="49"/>
  <c r="Q357" i="49"/>
  <c r="Q392" i="49" s="1"/>
  <c r="P357" i="49"/>
  <c r="O357" i="49"/>
  <c r="N357" i="49"/>
  <c r="M357" i="49"/>
  <c r="L357" i="49"/>
  <c r="K357" i="49"/>
  <c r="J357" i="49"/>
  <c r="I357" i="49"/>
  <c r="BV356" i="49"/>
  <c r="BT356" i="49"/>
  <c r="BT391" i="49" s="1"/>
  <c r="BS356" i="49"/>
  <c r="BS391" i="49" s="1"/>
  <c r="BR356" i="49"/>
  <c r="BR391" i="49" s="1"/>
  <c r="BQ356" i="49"/>
  <c r="BO356" i="49"/>
  <c r="BO391" i="49" s="1"/>
  <c r="BN356" i="49"/>
  <c r="BN391" i="49" s="1"/>
  <c r="BM356" i="49"/>
  <c r="BM391" i="49" s="1"/>
  <c r="BL356" i="49"/>
  <c r="BL391" i="49" s="1"/>
  <c r="BK356" i="49"/>
  <c r="BJ356" i="49"/>
  <c r="BJ391" i="49" s="1"/>
  <c r="BI356" i="49"/>
  <c r="BI391" i="49" s="1"/>
  <c r="BH356" i="49"/>
  <c r="BH391" i="49" s="1"/>
  <c r="BG356" i="49"/>
  <c r="BG391" i="49" s="1"/>
  <c r="BE356" i="49"/>
  <c r="BE391" i="49" s="1"/>
  <c r="BD356" i="49"/>
  <c r="BD391" i="49" s="1"/>
  <c r="BC356" i="49"/>
  <c r="BC391" i="49" s="1"/>
  <c r="BB356" i="49"/>
  <c r="AZ356" i="49"/>
  <c r="AZ391" i="49" s="1"/>
  <c r="AY356" i="49"/>
  <c r="AY391" i="49" s="1"/>
  <c r="AX356" i="49"/>
  <c r="AW356" i="49"/>
  <c r="AW391" i="49" s="1"/>
  <c r="AU356" i="49"/>
  <c r="AU391" i="49" s="1"/>
  <c r="AT356" i="49"/>
  <c r="AS356" i="49"/>
  <c r="AS391" i="49" s="1"/>
  <c r="AR356" i="49"/>
  <c r="AR391" i="49" s="1"/>
  <c r="AQ356" i="49"/>
  <c r="AQ391" i="49" s="1"/>
  <c r="AP356" i="49"/>
  <c r="AO356" i="49"/>
  <c r="AO391" i="49" s="1"/>
  <c r="AN356" i="49"/>
  <c r="AN391" i="49" s="1"/>
  <c r="AM356" i="49"/>
  <c r="AM391" i="49" s="1"/>
  <c r="AK356" i="49"/>
  <c r="AK391" i="49" s="1"/>
  <c r="AJ356" i="49"/>
  <c r="AJ391" i="49" s="1"/>
  <c r="AI356" i="49"/>
  <c r="AI391" i="49" s="1"/>
  <c r="AH356" i="49"/>
  <c r="AH391" i="49" s="1"/>
  <c r="AF356" i="49"/>
  <c r="AF391" i="49" s="1"/>
  <c r="AE356" i="49"/>
  <c r="AD356" i="49"/>
  <c r="AC356" i="49"/>
  <c r="AC391" i="49" s="1"/>
  <c r="AA356" i="49"/>
  <c r="AA391" i="49" s="1"/>
  <c r="Z356" i="49"/>
  <c r="Y356" i="49"/>
  <c r="Y391" i="49" s="1"/>
  <c r="X356" i="49"/>
  <c r="X391" i="49" s="1"/>
  <c r="W356" i="49"/>
  <c r="W391" i="49" s="1"/>
  <c r="V356" i="49"/>
  <c r="U356" i="49"/>
  <c r="U391" i="49" s="1"/>
  <c r="T356" i="49"/>
  <c r="T391" i="49" s="1"/>
  <c r="S356" i="49"/>
  <c r="S391" i="49" s="1"/>
  <c r="Q356" i="49"/>
  <c r="Q391" i="49" s="1"/>
  <c r="P356" i="49"/>
  <c r="P391" i="49" s="1"/>
  <c r="O356" i="49"/>
  <c r="O391" i="49" s="1"/>
  <c r="N356" i="49"/>
  <c r="L356" i="49"/>
  <c r="L391" i="49" s="1"/>
  <c r="K356" i="49"/>
  <c r="K391" i="49" s="1"/>
  <c r="J356" i="49"/>
  <c r="J391" i="49" s="1"/>
  <c r="I356" i="49"/>
  <c r="I391" i="49" s="1"/>
  <c r="BV355" i="49"/>
  <c r="BU355" i="49"/>
  <c r="BU390" i="49" s="1"/>
  <c r="BT355" i="49"/>
  <c r="BT390" i="49" s="1"/>
  <c r="BS355" i="49"/>
  <c r="BS390" i="49" s="1"/>
  <c r="BR355" i="49"/>
  <c r="BR390" i="49" s="1"/>
  <c r="BQ355" i="49"/>
  <c r="BQ390" i="49" s="1"/>
  <c r="BO355" i="49"/>
  <c r="BO390" i="49" s="1"/>
  <c r="BN355" i="49"/>
  <c r="BN390" i="49" s="1"/>
  <c r="BM355" i="49"/>
  <c r="BL355" i="49"/>
  <c r="BJ355" i="49"/>
  <c r="BJ390" i="49" s="1"/>
  <c r="BI355" i="49"/>
  <c r="BI390" i="49" s="1"/>
  <c r="BH355" i="49"/>
  <c r="BG355" i="49"/>
  <c r="BG390" i="49" s="1"/>
  <c r="BE355" i="49"/>
  <c r="BE390" i="49" s="1"/>
  <c r="BD355" i="49"/>
  <c r="BC355" i="49"/>
  <c r="BC390" i="49" s="1"/>
  <c r="BB355" i="49"/>
  <c r="BB390" i="49" s="1"/>
  <c r="BA355" i="49"/>
  <c r="BA390" i="49" s="1"/>
  <c r="AZ355" i="49"/>
  <c r="AY355" i="49"/>
  <c r="AY390" i="49" s="1"/>
  <c r="AX355" i="49"/>
  <c r="AX390" i="49" s="1"/>
  <c r="AW355" i="49"/>
  <c r="AW390" i="49" s="1"/>
  <c r="AU355" i="49"/>
  <c r="AU390" i="49" s="1"/>
  <c r="AT355" i="49"/>
  <c r="AT390" i="49" s="1"/>
  <c r="AS355" i="49"/>
  <c r="AS390" i="49" s="1"/>
  <c r="AR355" i="49"/>
  <c r="AR390" i="49" s="1"/>
  <c r="AP355" i="49"/>
  <c r="AP390" i="49" s="1"/>
  <c r="AO355" i="49"/>
  <c r="AO390" i="49" s="1"/>
  <c r="AN355" i="49"/>
  <c r="AM355" i="49"/>
  <c r="AM390" i="49" s="1"/>
  <c r="AK355" i="49"/>
  <c r="AK390" i="49" s="1"/>
  <c r="AJ355" i="49"/>
  <c r="AI355" i="49"/>
  <c r="AI390" i="49" s="1"/>
  <c r="AH355" i="49"/>
  <c r="AH390" i="49" s="1"/>
  <c r="AG355" i="49"/>
  <c r="AF355" i="49"/>
  <c r="AE355" i="49"/>
  <c r="AE390" i="49" s="1"/>
  <c r="AD355" i="49"/>
  <c r="AD390" i="49" s="1"/>
  <c r="AC355" i="49"/>
  <c r="AC390" i="49" s="1"/>
  <c r="AA355" i="49"/>
  <c r="AA390" i="49" s="1"/>
  <c r="Z355" i="49"/>
  <c r="Z390" i="49" s="1"/>
  <c r="Y355" i="49"/>
  <c r="Y390" i="49" s="1"/>
  <c r="X355" i="49"/>
  <c r="V355" i="49"/>
  <c r="V390" i="49" s="1"/>
  <c r="U355" i="49"/>
  <c r="U390" i="49" s="1"/>
  <c r="T355" i="49"/>
  <c r="T390" i="49" s="1"/>
  <c r="S355" i="49"/>
  <c r="S390" i="49" s="1"/>
  <c r="Q355" i="49"/>
  <c r="P355" i="49"/>
  <c r="O355" i="49"/>
  <c r="O390" i="49" s="1"/>
  <c r="N355" i="49"/>
  <c r="N390" i="49" s="1"/>
  <c r="M355" i="49"/>
  <c r="M390" i="49" s="1"/>
  <c r="L355" i="49"/>
  <c r="K355" i="49"/>
  <c r="K390" i="49" s="1"/>
  <c r="J355" i="49"/>
  <c r="J390" i="49" s="1"/>
  <c r="I355" i="49"/>
  <c r="I390" i="49" s="1"/>
  <c r="BV354" i="49"/>
  <c r="BT354" i="49"/>
  <c r="BT388" i="49" s="1"/>
  <c r="BS354" i="49"/>
  <c r="BR354" i="49"/>
  <c r="BR388" i="49" s="1"/>
  <c r="BQ354" i="49"/>
  <c r="BO354" i="49"/>
  <c r="BO388" i="49" s="1"/>
  <c r="BN354" i="49"/>
  <c r="BM354" i="49"/>
  <c r="BK354" i="49"/>
  <c r="BJ354" i="49"/>
  <c r="BJ388" i="49" s="1"/>
  <c r="BI354" i="49"/>
  <c r="BH354" i="49"/>
  <c r="BH388" i="49" s="1"/>
  <c r="BG354" i="49"/>
  <c r="BG388" i="49" s="1"/>
  <c r="BE354" i="49"/>
  <c r="BD354" i="49"/>
  <c r="BD388" i="49" s="1"/>
  <c r="BC354" i="49"/>
  <c r="BC388" i="49" s="1"/>
  <c r="BB354" i="49"/>
  <c r="AZ354" i="49"/>
  <c r="AZ388" i="49" s="1"/>
  <c r="AY354" i="49"/>
  <c r="AY388" i="49" s="1"/>
  <c r="AX354" i="49"/>
  <c r="AW354" i="49"/>
  <c r="AU354" i="49"/>
  <c r="AU388" i="49" s="1"/>
  <c r="AT354" i="49"/>
  <c r="AS354" i="49"/>
  <c r="AR354" i="49"/>
  <c r="AR388" i="49" s="1"/>
  <c r="AQ354" i="49"/>
  <c r="AP354" i="49"/>
  <c r="AO354" i="49"/>
  <c r="AN354" i="49"/>
  <c r="AN388" i="49" s="1"/>
  <c r="AM354" i="49"/>
  <c r="AM388" i="49" s="1"/>
  <c r="AK354" i="49"/>
  <c r="AJ354" i="49"/>
  <c r="AJ388" i="49" s="1"/>
  <c r="AI354" i="49"/>
  <c r="AI388" i="49" s="1"/>
  <c r="AH354" i="49"/>
  <c r="AH388" i="49" s="1"/>
  <c r="AF354" i="49"/>
  <c r="AF388" i="49" s="1"/>
  <c r="AE354" i="49"/>
  <c r="AE388" i="49" s="1"/>
  <c r="AD354" i="49"/>
  <c r="AC354" i="49"/>
  <c r="AA354" i="49"/>
  <c r="AA388" i="49" s="1"/>
  <c r="Z354" i="49"/>
  <c r="Y354" i="49"/>
  <c r="X354" i="49"/>
  <c r="X388" i="49" s="1"/>
  <c r="W354" i="49"/>
  <c r="V354" i="49"/>
  <c r="U354" i="49"/>
  <c r="T354" i="49"/>
  <c r="T388" i="49" s="1"/>
  <c r="S354" i="49"/>
  <c r="S388" i="49" s="1"/>
  <c r="Q354" i="49"/>
  <c r="P354" i="49"/>
  <c r="P388" i="49" s="1"/>
  <c r="O354" i="49"/>
  <c r="BV353" i="49"/>
  <c r="BU353" i="49"/>
  <c r="BT353" i="49"/>
  <c r="BT387" i="49" s="1"/>
  <c r="BS353" i="49"/>
  <c r="BS387" i="49" s="1"/>
  <c r="BR353" i="49"/>
  <c r="BQ353" i="49"/>
  <c r="BQ387" i="49" s="1"/>
  <c r="BN353" i="49"/>
  <c r="BN387" i="49" s="1"/>
  <c r="BM353" i="49"/>
  <c r="BM387" i="49" s="1"/>
  <c r="BJ353" i="49"/>
  <c r="BI353" i="49"/>
  <c r="BI387" i="49" s="1"/>
  <c r="BH353" i="49"/>
  <c r="BH387" i="49" s="1"/>
  <c r="BG353" i="49"/>
  <c r="BE353" i="49"/>
  <c r="BE387" i="49" s="1"/>
  <c r="BD353" i="49"/>
  <c r="BC353" i="49"/>
  <c r="BB353" i="49"/>
  <c r="BA353" i="49"/>
  <c r="AZ353" i="49"/>
  <c r="AY353" i="49"/>
  <c r="AX353" i="49"/>
  <c r="AW353" i="49"/>
  <c r="AW387" i="49" s="1"/>
  <c r="AU353" i="49"/>
  <c r="AT353" i="49"/>
  <c r="AT387" i="49" s="1"/>
  <c r="AS353" i="49"/>
  <c r="AS387" i="49" s="1"/>
  <c r="AR353" i="49"/>
  <c r="AP353" i="49"/>
  <c r="AO353" i="49"/>
  <c r="AO387" i="49" s="1"/>
  <c r="AN353" i="49"/>
  <c r="AM353" i="49"/>
  <c r="AK353" i="49"/>
  <c r="AK387" i="49" s="1"/>
  <c r="AJ353" i="49"/>
  <c r="AJ387" i="49" s="1"/>
  <c r="AI353" i="49"/>
  <c r="AH353" i="49"/>
  <c r="AG353" i="49"/>
  <c r="AF353" i="49"/>
  <c r="AF387" i="49" s="1"/>
  <c r="AE353" i="49"/>
  <c r="AD353" i="49"/>
  <c r="AC353" i="49"/>
  <c r="AC387" i="49" s="1"/>
  <c r="AA353" i="49"/>
  <c r="Z353" i="49"/>
  <c r="Y353" i="49"/>
  <c r="Y387" i="49" s="1"/>
  <c r="X353" i="49"/>
  <c r="V353" i="49"/>
  <c r="V387" i="49" s="1"/>
  <c r="U353" i="49"/>
  <c r="U387" i="49" s="1"/>
  <c r="T353" i="49"/>
  <c r="S353" i="49"/>
  <c r="Q353" i="49"/>
  <c r="Q387" i="49" s="1"/>
  <c r="P353" i="49"/>
  <c r="I353" i="49"/>
  <c r="CM352" i="49"/>
  <c r="CM383" i="49" s="1"/>
  <c r="CL352" i="49"/>
  <c r="CK352" i="49"/>
  <c r="CK386" i="49" s="1"/>
  <c r="CJ352" i="49"/>
  <c r="CI352" i="49"/>
  <c r="CI383" i="49" s="1"/>
  <c r="CH352" i="49"/>
  <c r="BC349" i="49"/>
  <c r="CM346" i="49"/>
  <c r="CL346" i="49"/>
  <c r="CK346" i="49"/>
  <c r="CJ346" i="49"/>
  <c r="CI346" i="49"/>
  <c r="CH346" i="49"/>
  <c r="CM345" i="49"/>
  <c r="CL345" i="49"/>
  <c r="CK345" i="49"/>
  <c r="CI345" i="49"/>
  <c r="CJ345" i="49" s="1"/>
  <c r="CH345" i="49"/>
  <c r="CM344" i="49"/>
  <c r="CL344" i="49"/>
  <c r="CK344" i="49"/>
  <c r="CJ344" i="49"/>
  <c r="CI344" i="49"/>
  <c r="CH344" i="49"/>
  <c r="CM343" i="49"/>
  <c r="CL343" i="49"/>
  <c r="CK343" i="49"/>
  <c r="CI343" i="49"/>
  <c r="CJ343" i="49" s="1"/>
  <c r="CH343" i="49"/>
  <c r="CM342" i="49"/>
  <c r="CL342" i="49"/>
  <c r="CK342" i="49"/>
  <c r="CJ342" i="49"/>
  <c r="CI342" i="49"/>
  <c r="CH342" i="49"/>
  <c r="CM341" i="49"/>
  <c r="CL341" i="49"/>
  <c r="CK341" i="49"/>
  <c r="CI341" i="49"/>
  <c r="CJ341" i="49" s="1"/>
  <c r="CH341" i="49"/>
  <c r="CM340" i="49"/>
  <c r="CL340" i="49"/>
  <c r="CK340" i="49"/>
  <c r="CJ340" i="49"/>
  <c r="CI340" i="49"/>
  <c r="CH340" i="49"/>
  <c r="CM339" i="49"/>
  <c r="CL339" i="49"/>
  <c r="CK339" i="49"/>
  <c r="CI339" i="49"/>
  <c r="CJ339" i="49" s="1"/>
  <c r="CH339" i="49"/>
  <c r="CM338" i="49"/>
  <c r="CL338" i="49"/>
  <c r="CK338" i="49"/>
  <c r="CJ338" i="49"/>
  <c r="CI338" i="49"/>
  <c r="CH338" i="49"/>
  <c r="CM337" i="49"/>
  <c r="CL337" i="49"/>
  <c r="CK337" i="49"/>
  <c r="CI337" i="49"/>
  <c r="CJ337" i="49" s="1"/>
  <c r="CH337" i="49"/>
  <c r="CV335" i="49"/>
  <c r="CU335" i="49"/>
  <c r="CT335" i="49"/>
  <c r="CV334" i="49"/>
  <c r="CU334" i="49"/>
  <c r="CT334" i="49"/>
  <c r="CV333" i="49"/>
  <c r="CU333" i="49"/>
  <c r="CT333" i="49"/>
  <c r="CV332" i="49"/>
  <c r="CU332" i="49"/>
  <c r="CT332" i="49"/>
  <c r="CV331" i="49"/>
  <c r="CU331" i="49"/>
  <c r="CT331" i="49"/>
  <c r="CV330" i="49"/>
  <c r="CU330" i="49"/>
  <c r="CT330" i="49"/>
  <c r="CV329" i="49"/>
  <c r="CU329" i="49"/>
  <c r="CT329" i="49"/>
  <c r="CM335" i="49"/>
  <c r="CM404" i="49" s="1"/>
  <c r="CL335" i="49"/>
  <c r="CK335" i="49"/>
  <c r="CI335" i="49"/>
  <c r="CJ335" i="49" s="1"/>
  <c r="CH335" i="49"/>
  <c r="CG335" i="49"/>
  <c r="CF335" i="49"/>
  <c r="CE335" i="49"/>
  <c r="CD335" i="49"/>
  <c r="CC335" i="49"/>
  <c r="CB335" i="49"/>
  <c r="CA335" i="49"/>
  <c r="BY335" i="49"/>
  <c r="BX335" i="49"/>
  <c r="BW335" i="49"/>
  <c r="BW404" i="49" s="1"/>
  <c r="BV335" i="49"/>
  <c r="BT335" i="49"/>
  <c r="BS335" i="49"/>
  <c r="BR335" i="49"/>
  <c r="BQ335" i="49"/>
  <c r="BO335" i="49"/>
  <c r="BN335" i="49"/>
  <c r="BM335" i="49"/>
  <c r="BL335" i="49"/>
  <c r="BK335" i="49"/>
  <c r="BJ335" i="49"/>
  <c r="BI335" i="49"/>
  <c r="BH335" i="49"/>
  <c r="BG335" i="49"/>
  <c r="BG404" i="49" s="1"/>
  <c r="BE335" i="49"/>
  <c r="BD335" i="49"/>
  <c r="BC335" i="49"/>
  <c r="BB335" i="49"/>
  <c r="AZ335" i="49"/>
  <c r="AY335" i="49"/>
  <c r="AX335" i="49"/>
  <c r="AW335" i="49"/>
  <c r="AU335" i="49"/>
  <c r="AT335" i="49"/>
  <c r="AS335" i="49"/>
  <c r="AR335" i="49"/>
  <c r="AQ335" i="49"/>
  <c r="AP335" i="49"/>
  <c r="AO335" i="49"/>
  <c r="AN335" i="49"/>
  <c r="AM335" i="49"/>
  <c r="AK335" i="49"/>
  <c r="AJ335" i="49"/>
  <c r="AI335" i="49"/>
  <c r="AH335" i="49"/>
  <c r="AF335" i="49"/>
  <c r="AE335" i="49"/>
  <c r="AD335" i="49"/>
  <c r="AC335" i="49"/>
  <c r="AA335" i="49"/>
  <c r="AA404" i="49" s="1"/>
  <c r="Z335" i="49"/>
  <c r="Y335" i="49"/>
  <c r="X335" i="49"/>
  <c r="W335" i="49"/>
  <c r="V335" i="49"/>
  <c r="U335" i="49"/>
  <c r="T335" i="49"/>
  <c r="S335" i="49"/>
  <c r="Q335" i="49"/>
  <c r="P335" i="49"/>
  <c r="CM334" i="49"/>
  <c r="CL334" i="49"/>
  <c r="CK334" i="49"/>
  <c r="CJ334" i="49"/>
  <c r="CI334" i="49"/>
  <c r="CH334" i="49"/>
  <c r="CG334" i="49"/>
  <c r="CF334" i="49"/>
  <c r="CD334" i="49"/>
  <c r="CC334" i="49"/>
  <c r="CB334" i="49"/>
  <c r="CA334" i="49"/>
  <c r="BY334" i="49"/>
  <c r="BX334" i="49"/>
  <c r="BW334" i="49"/>
  <c r="BV334" i="49"/>
  <c r="BT334" i="49"/>
  <c r="BS334" i="49"/>
  <c r="BR334" i="49"/>
  <c r="BQ334" i="49"/>
  <c r="BP334" i="49"/>
  <c r="BO334" i="49"/>
  <c r="BN334" i="49"/>
  <c r="BM334" i="49"/>
  <c r="BL334" i="49"/>
  <c r="BL403" i="49" s="1"/>
  <c r="BJ334" i="49"/>
  <c r="BI334" i="49"/>
  <c r="BH334" i="49"/>
  <c r="BG334" i="49"/>
  <c r="BE334" i="49"/>
  <c r="BD334" i="49"/>
  <c r="BC334" i="49"/>
  <c r="BB334" i="49"/>
  <c r="AZ334" i="49"/>
  <c r="AY334" i="49"/>
  <c r="AX334" i="49"/>
  <c r="AW334" i="49"/>
  <c r="AV334" i="49"/>
  <c r="AU334" i="49"/>
  <c r="AT334" i="49"/>
  <c r="AS334" i="49"/>
  <c r="AR334" i="49"/>
  <c r="AP334" i="49"/>
  <c r="AO334" i="49"/>
  <c r="AN334" i="49"/>
  <c r="AM334" i="49"/>
  <c r="AK334" i="49"/>
  <c r="AJ334" i="49"/>
  <c r="AI334" i="49"/>
  <c r="AH334" i="49"/>
  <c r="AF334" i="49"/>
  <c r="AF403" i="49" s="1"/>
  <c r="AE334" i="49"/>
  <c r="AD334" i="49"/>
  <c r="AC334" i="49"/>
  <c r="AB334" i="49"/>
  <c r="AA334" i="49"/>
  <c r="Z334" i="49"/>
  <c r="Y334" i="49"/>
  <c r="X334" i="49"/>
  <c r="V334" i="49"/>
  <c r="U334" i="49"/>
  <c r="T334" i="49"/>
  <c r="S334" i="49"/>
  <c r="Q334" i="49"/>
  <c r="P334" i="49"/>
  <c r="O334" i="49"/>
  <c r="N334" i="49"/>
  <c r="L334" i="49"/>
  <c r="K334" i="49"/>
  <c r="J334" i="49"/>
  <c r="I334" i="49"/>
  <c r="CM333" i="49"/>
  <c r="CL333" i="49"/>
  <c r="CK333" i="49"/>
  <c r="CI333" i="49"/>
  <c r="CJ333" i="49" s="1"/>
  <c r="CH333" i="49"/>
  <c r="CG333" i="49"/>
  <c r="CG402" i="49" s="1"/>
  <c r="CF333" i="49"/>
  <c r="CD333" i="49"/>
  <c r="CC333" i="49"/>
  <c r="CB333" i="49"/>
  <c r="CA333" i="49"/>
  <c r="BY333" i="49"/>
  <c r="BX333" i="49"/>
  <c r="BW333" i="49"/>
  <c r="BV333" i="49"/>
  <c r="BU333" i="49"/>
  <c r="BT333" i="49"/>
  <c r="BS333" i="49"/>
  <c r="BR333" i="49"/>
  <c r="BQ333" i="49"/>
  <c r="BQ402" i="49" s="1"/>
  <c r="BO333" i="49"/>
  <c r="BN333" i="49"/>
  <c r="BM333" i="49"/>
  <c r="BL333" i="49"/>
  <c r="BJ333" i="49"/>
  <c r="BI333" i="49"/>
  <c r="BH333" i="49"/>
  <c r="BG333" i="49"/>
  <c r="BE333" i="49"/>
  <c r="BD333" i="49"/>
  <c r="BC333" i="49"/>
  <c r="BB333" i="49"/>
  <c r="AZ333" i="49"/>
  <c r="AY333" i="49"/>
  <c r="AX333" i="49"/>
  <c r="AW333" i="49"/>
  <c r="AU333" i="49"/>
  <c r="AT333" i="49"/>
  <c r="AS333" i="49"/>
  <c r="AR333" i="49"/>
  <c r="AP333" i="49"/>
  <c r="AO333" i="49"/>
  <c r="AN333" i="49"/>
  <c r="AM333" i="49"/>
  <c r="AK333" i="49"/>
  <c r="AJ333" i="49"/>
  <c r="AI333" i="49"/>
  <c r="AH333" i="49"/>
  <c r="AF333" i="49"/>
  <c r="AE333" i="49"/>
  <c r="AD333" i="49"/>
  <c r="AC333" i="49"/>
  <c r="AA333" i="49"/>
  <c r="Z333" i="49"/>
  <c r="Y333" i="49"/>
  <c r="X333" i="49"/>
  <c r="V333" i="49"/>
  <c r="U333" i="49"/>
  <c r="U402" i="49" s="1"/>
  <c r="T333" i="49"/>
  <c r="S333" i="49"/>
  <c r="Q333" i="49"/>
  <c r="P333" i="49"/>
  <c r="I333" i="49"/>
  <c r="CM332" i="49"/>
  <c r="CL332" i="49"/>
  <c r="CL401" i="49" s="1"/>
  <c r="CK332" i="49"/>
  <c r="CI332" i="49"/>
  <c r="CJ332" i="49" s="1"/>
  <c r="CH332" i="49"/>
  <c r="CG332" i="49"/>
  <c r="CF332" i="49"/>
  <c r="CD332" i="49"/>
  <c r="CC332" i="49"/>
  <c r="CB332" i="49"/>
  <c r="CA332" i="49"/>
  <c r="BY332" i="49"/>
  <c r="BX332" i="49"/>
  <c r="BW332" i="49"/>
  <c r="BV332" i="49"/>
  <c r="BV401" i="49" s="1"/>
  <c r="BT332" i="49"/>
  <c r="BS332" i="49"/>
  <c r="BR332" i="49"/>
  <c r="BQ332" i="49"/>
  <c r="BO332" i="49"/>
  <c r="BN332" i="49"/>
  <c r="BM332" i="49"/>
  <c r="BL332" i="49"/>
  <c r="BJ332" i="49"/>
  <c r="BI332" i="49"/>
  <c r="BH332" i="49"/>
  <c r="BG332" i="49"/>
  <c r="BF332" i="49"/>
  <c r="BE332" i="49"/>
  <c r="BD332" i="49"/>
  <c r="BC332" i="49"/>
  <c r="BB332" i="49"/>
  <c r="AZ332" i="49"/>
  <c r="AY332" i="49"/>
  <c r="AX332" i="49"/>
  <c r="AW332" i="49"/>
  <c r="AU332" i="49"/>
  <c r="AT332" i="49"/>
  <c r="AS332" i="49"/>
  <c r="AR332" i="49"/>
  <c r="AP332" i="49"/>
  <c r="AP401" i="49" s="1"/>
  <c r="AO332" i="49"/>
  <c r="AN332" i="49"/>
  <c r="AM332" i="49"/>
  <c r="AL332" i="49"/>
  <c r="AK332" i="49"/>
  <c r="AJ332" i="49"/>
  <c r="AI332" i="49"/>
  <c r="AH332" i="49"/>
  <c r="AF332" i="49"/>
  <c r="AE332" i="49"/>
  <c r="AD332" i="49"/>
  <c r="AC332" i="49"/>
  <c r="AA332" i="49"/>
  <c r="Z332" i="49"/>
  <c r="Z401" i="49" s="1"/>
  <c r="Y332" i="49"/>
  <c r="X332" i="49"/>
  <c r="V332" i="49"/>
  <c r="U332" i="49"/>
  <c r="T332" i="49"/>
  <c r="S332" i="49"/>
  <c r="R332" i="49"/>
  <c r="Q332" i="49"/>
  <c r="P332" i="49"/>
  <c r="CM331" i="49"/>
  <c r="CL331" i="49"/>
  <c r="CK331" i="49"/>
  <c r="CI331" i="49"/>
  <c r="CJ331" i="49" s="1"/>
  <c r="CH331" i="49"/>
  <c r="CG331" i="49"/>
  <c r="CF331" i="49"/>
  <c r="CD331" i="49"/>
  <c r="CC331" i="49"/>
  <c r="CB331" i="49"/>
  <c r="CA331" i="49"/>
  <c r="BY331" i="49"/>
  <c r="BX331" i="49"/>
  <c r="BW331" i="49"/>
  <c r="BV331" i="49"/>
  <c r="BT331" i="49"/>
  <c r="BS331" i="49"/>
  <c r="BR331" i="49"/>
  <c r="BQ331" i="49"/>
  <c r="BO331" i="49"/>
  <c r="BN331" i="49"/>
  <c r="BM331" i="49"/>
  <c r="BL331" i="49"/>
  <c r="BJ331" i="49"/>
  <c r="BI331" i="49"/>
  <c r="BH331" i="49"/>
  <c r="BG331" i="49"/>
  <c r="BE331" i="49"/>
  <c r="BD331" i="49"/>
  <c r="BC331" i="49"/>
  <c r="BB331" i="49"/>
  <c r="AZ331" i="49"/>
  <c r="AY331" i="49"/>
  <c r="AX331" i="49"/>
  <c r="AW331" i="49"/>
  <c r="AU331" i="49"/>
  <c r="AU400" i="49" s="1"/>
  <c r="AT331" i="49"/>
  <c r="AS331" i="49"/>
  <c r="AR331" i="49"/>
  <c r="AP331" i="49"/>
  <c r="AO331" i="49"/>
  <c r="AN331" i="49"/>
  <c r="AM331" i="49"/>
  <c r="AK331" i="49"/>
  <c r="AJ331" i="49"/>
  <c r="AI331" i="49"/>
  <c r="AH331" i="49"/>
  <c r="AF331" i="49"/>
  <c r="AE331" i="49"/>
  <c r="AE400" i="49" s="1"/>
  <c r="AD331" i="49"/>
  <c r="AC331" i="49"/>
  <c r="AA331" i="49"/>
  <c r="Z331" i="49"/>
  <c r="Y331" i="49"/>
  <c r="X331" i="49"/>
  <c r="V331" i="49"/>
  <c r="U331" i="49"/>
  <c r="T331" i="49"/>
  <c r="S331" i="49"/>
  <c r="Q331" i="49"/>
  <c r="P331" i="49"/>
  <c r="CM330" i="49"/>
  <c r="CL330" i="49"/>
  <c r="CK330" i="49"/>
  <c r="CJ330" i="49"/>
  <c r="CI330" i="49"/>
  <c r="CH330" i="49"/>
  <c r="CG330" i="49"/>
  <c r="CF330" i="49"/>
  <c r="CF399" i="49" s="1"/>
  <c r="CD330" i="49"/>
  <c r="CC330" i="49"/>
  <c r="CB330" i="49"/>
  <c r="CA330" i="49"/>
  <c r="BY330" i="49"/>
  <c r="BX330" i="49"/>
  <c r="BW330" i="49"/>
  <c r="BV330" i="49"/>
  <c r="BT330" i="49"/>
  <c r="BS330" i="49"/>
  <c r="BR330" i="49"/>
  <c r="BQ330" i="49"/>
  <c r="BP330" i="49"/>
  <c r="BO330" i="49"/>
  <c r="BN330" i="49"/>
  <c r="BM330" i="49"/>
  <c r="BL330" i="49"/>
  <c r="BJ330" i="49"/>
  <c r="BI330" i="49"/>
  <c r="BH330" i="49"/>
  <c r="BG330" i="49"/>
  <c r="BE330" i="49"/>
  <c r="BD330" i="49"/>
  <c r="BC330" i="49"/>
  <c r="BB330" i="49"/>
  <c r="AZ330" i="49"/>
  <c r="AZ399" i="49" s="1"/>
  <c r="AY330" i="49"/>
  <c r="AX330" i="49"/>
  <c r="AW330" i="49"/>
  <c r="AV330" i="49"/>
  <c r="AU330" i="49"/>
  <c r="AT330" i="49"/>
  <c r="AS330" i="49"/>
  <c r="AR330" i="49"/>
  <c r="AP330" i="49"/>
  <c r="AO330" i="49"/>
  <c r="AN330" i="49"/>
  <c r="AM330" i="49"/>
  <c r="AK330" i="49"/>
  <c r="AJ330" i="49"/>
  <c r="AI330" i="49"/>
  <c r="AH330" i="49"/>
  <c r="AF330" i="49"/>
  <c r="AE330" i="49"/>
  <c r="AD330" i="49"/>
  <c r="AC330" i="49"/>
  <c r="AB330" i="49"/>
  <c r="AA330" i="49"/>
  <c r="Z330" i="49"/>
  <c r="Y330" i="49"/>
  <c r="X330" i="49"/>
  <c r="V330" i="49"/>
  <c r="U330" i="49"/>
  <c r="T330" i="49"/>
  <c r="T399" i="49" s="1"/>
  <c r="S330" i="49"/>
  <c r="Q330" i="49"/>
  <c r="P330" i="49"/>
  <c r="CM329" i="49"/>
  <c r="CL329" i="49"/>
  <c r="CK329" i="49"/>
  <c r="CK398" i="49" s="1"/>
  <c r="CI329" i="49"/>
  <c r="CJ329" i="49" s="1"/>
  <c r="CH329" i="49"/>
  <c r="CG329" i="49"/>
  <c r="CF329" i="49"/>
  <c r="CD329" i="49"/>
  <c r="CC329" i="49"/>
  <c r="CB329" i="49"/>
  <c r="CA329" i="49"/>
  <c r="BY329" i="49"/>
  <c r="BX329" i="49"/>
  <c r="BW329" i="49"/>
  <c r="BV329" i="49"/>
  <c r="BU329" i="49"/>
  <c r="BT329" i="49"/>
  <c r="BS329" i="49"/>
  <c r="BR329" i="49"/>
  <c r="BQ329" i="49"/>
  <c r="BO329" i="49"/>
  <c r="BN329" i="49"/>
  <c r="BM329" i="49"/>
  <c r="BL329" i="49"/>
  <c r="BJ329" i="49"/>
  <c r="BI329" i="49"/>
  <c r="BH329" i="49"/>
  <c r="BG329" i="49"/>
  <c r="BE329" i="49"/>
  <c r="BE398" i="49" s="1"/>
  <c r="BD329" i="49"/>
  <c r="BC329" i="49"/>
  <c r="BB329" i="49"/>
  <c r="AZ329" i="49"/>
  <c r="AY329" i="49"/>
  <c r="AX329" i="49"/>
  <c r="AW329" i="49"/>
  <c r="AU329" i="49"/>
  <c r="AT329" i="49"/>
  <c r="AS329" i="49"/>
  <c r="AR329" i="49"/>
  <c r="AP329" i="49"/>
  <c r="AO329" i="49"/>
  <c r="AO398" i="49" s="1"/>
  <c r="AN329" i="49"/>
  <c r="AM329" i="49"/>
  <c r="AK329" i="49"/>
  <c r="AJ329" i="49"/>
  <c r="AI329" i="49"/>
  <c r="AH329" i="49"/>
  <c r="AF329" i="49"/>
  <c r="AE329" i="49"/>
  <c r="AD329" i="49"/>
  <c r="AC329" i="49"/>
  <c r="AA329" i="49"/>
  <c r="Z329" i="49"/>
  <c r="Y329" i="49"/>
  <c r="Y398" i="49" s="1"/>
  <c r="X329" i="49"/>
  <c r="V329" i="49"/>
  <c r="U329" i="49"/>
  <c r="T329" i="49"/>
  <c r="S329" i="49"/>
  <c r="Q329" i="49"/>
  <c r="P329" i="49"/>
  <c r="CM328" i="49"/>
  <c r="CL328" i="49"/>
  <c r="CK328" i="49"/>
  <c r="CJ328" i="49"/>
  <c r="CI328" i="49"/>
  <c r="CH328" i="49"/>
  <c r="CG328" i="49"/>
  <c r="CF328" i="49"/>
  <c r="CD328" i="49"/>
  <c r="CC328" i="49"/>
  <c r="CB328" i="49"/>
  <c r="CA328" i="49"/>
  <c r="BY328" i="49"/>
  <c r="BX328" i="49"/>
  <c r="BW328" i="49"/>
  <c r="CM327" i="49"/>
  <c r="CL327" i="49"/>
  <c r="CK327" i="49"/>
  <c r="CI327" i="49"/>
  <c r="CJ327" i="49" s="1"/>
  <c r="CH327" i="49"/>
  <c r="CG327" i="49"/>
  <c r="CF327" i="49"/>
  <c r="CE327" i="49"/>
  <c r="CD327" i="49"/>
  <c r="CC327" i="49"/>
  <c r="CB327" i="49"/>
  <c r="CA327" i="49"/>
  <c r="BY327" i="49"/>
  <c r="BX327" i="49"/>
  <c r="BW327" i="49"/>
  <c r="BV327" i="49"/>
  <c r="BT327" i="49"/>
  <c r="BS327" i="49"/>
  <c r="BR327" i="49"/>
  <c r="BQ327" i="49"/>
  <c r="BO327" i="49"/>
  <c r="BN327" i="49"/>
  <c r="BM327" i="49"/>
  <c r="BL327" i="49"/>
  <c r="BK327" i="49"/>
  <c r="BJ327" i="49"/>
  <c r="BI327" i="49"/>
  <c r="BH327" i="49"/>
  <c r="BG327" i="49"/>
  <c r="BE327" i="49"/>
  <c r="BD327" i="49"/>
  <c r="BC327" i="49"/>
  <c r="BB327" i="49"/>
  <c r="AZ327" i="49"/>
  <c r="AY327" i="49"/>
  <c r="AX327" i="49"/>
  <c r="AW327" i="49"/>
  <c r="AU327" i="49"/>
  <c r="AT327" i="49"/>
  <c r="AS327" i="49"/>
  <c r="AR327" i="49"/>
  <c r="AQ327" i="49"/>
  <c r="AP327" i="49"/>
  <c r="AO327" i="49"/>
  <c r="AN327" i="49"/>
  <c r="AM327" i="49"/>
  <c r="AM349" i="49" s="1"/>
  <c r="AK327" i="49"/>
  <c r="AJ327" i="49"/>
  <c r="AI327" i="49"/>
  <c r="AH327" i="49"/>
  <c r="AF327" i="49"/>
  <c r="AE327" i="49"/>
  <c r="AD327" i="49"/>
  <c r="AC327" i="49"/>
  <c r="AA327" i="49"/>
  <c r="AA396" i="49" s="1"/>
  <c r="Z327" i="49"/>
  <c r="Y327" i="49"/>
  <c r="X327" i="49"/>
  <c r="W327" i="49"/>
  <c r="V327" i="49"/>
  <c r="U327" i="49"/>
  <c r="T327" i="49"/>
  <c r="S327" i="49"/>
  <c r="Q327" i="49"/>
  <c r="P327" i="49"/>
  <c r="O327" i="49"/>
  <c r="CM326" i="49"/>
  <c r="CL326" i="49"/>
  <c r="CK326" i="49"/>
  <c r="CJ326" i="49"/>
  <c r="CI326" i="49"/>
  <c r="CH326" i="49"/>
  <c r="CG326" i="49"/>
  <c r="CF326" i="49"/>
  <c r="CD326" i="49"/>
  <c r="CC326" i="49"/>
  <c r="CB326" i="49"/>
  <c r="CA326" i="49"/>
  <c r="BY326" i="49"/>
  <c r="BX326" i="49"/>
  <c r="BW326" i="49"/>
  <c r="BV326" i="49"/>
  <c r="BT326" i="49"/>
  <c r="BT395" i="49" s="1"/>
  <c r="BS326" i="49"/>
  <c r="BR326" i="49"/>
  <c r="BQ326" i="49"/>
  <c r="BO326" i="49"/>
  <c r="BN326" i="49"/>
  <c r="BM326" i="49"/>
  <c r="BL326" i="49"/>
  <c r="BJ326" i="49"/>
  <c r="BI326" i="49"/>
  <c r="BH326" i="49"/>
  <c r="BG326" i="49"/>
  <c r="BF326" i="49"/>
  <c r="BE326" i="49"/>
  <c r="BD326" i="49"/>
  <c r="BD395" i="49" s="1"/>
  <c r="BC326" i="49"/>
  <c r="BB326" i="49"/>
  <c r="BA326" i="49"/>
  <c r="AZ326" i="49"/>
  <c r="AY326" i="49"/>
  <c r="AX326" i="49"/>
  <c r="AW326" i="49"/>
  <c r="AV326" i="49"/>
  <c r="AU326" i="49"/>
  <c r="AT326" i="49"/>
  <c r="AS326" i="49"/>
  <c r="AR326" i="49"/>
  <c r="AQ326" i="49"/>
  <c r="AP326" i="49"/>
  <c r="AO326" i="49"/>
  <c r="AN326" i="49"/>
  <c r="AM326" i="49"/>
  <c r="AL326" i="49"/>
  <c r="AK326" i="49"/>
  <c r="AJ326" i="49"/>
  <c r="AI326" i="49"/>
  <c r="AH326" i="49"/>
  <c r="AG326" i="49"/>
  <c r="AF326" i="49"/>
  <c r="AE326" i="49"/>
  <c r="AD326" i="49"/>
  <c r="AC326" i="49"/>
  <c r="AB326" i="49"/>
  <c r="AA326" i="49"/>
  <c r="Z326" i="49"/>
  <c r="Y326" i="49"/>
  <c r="X326" i="49"/>
  <c r="W326" i="49"/>
  <c r="V326" i="49"/>
  <c r="U326" i="49"/>
  <c r="T326" i="49"/>
  <c r="S326" i="49"/>
  <c r="R326" i="49"/>
  <c r="Q326" i="49"/>
  <c r="P326" i="49"/>
  <c r="O326" i="49"/>
  <c r="N326" i="49"/>
  <c r="M326" i="49"/>
  <c r="L326" i="49"/>
  <c r="K326" i="49"/>
  <c r="J326" i="49"/>
  <c r="I326" i="49"/>
  <c r="CM325" i="49"/>
  <c r="CL325" i="49"/>
  <c r="CK325" i="49"/>
  <c r="CI325" i="49"/>
  <c r="CJ325" i="49" s="1"/>
  <c r="CH325" i="49"/>
  <c r="CG325" i="49"/>
  <c r="CF325" i="49"/>
  <c r="CD325" i="49"/>
  <c r="CC325" i="49"/>
  <c r="CB325" i="49"/>
  <c r="CA325" i="49"/>
  <c r="BY325" i="49"/>
  <c r="BX325" i="49"/>
  <c r="BW325" i="49"/>
  <c r="BV325" i="49"/>
  <c r="BT325" i="49"/>
  <c r="BS325" i="49"/>
  <c r="BR325" i="49"/>
  <c r="BQ325" i="49"/>
  <c r="BO325" i="49"/>
  <c r="BN325" i="49"/>
  <c r="BM325" i="49"/>
  <c r="BL325" i="49"/>
  <c r="BJ325" i="49"/>
  <c r="BI325" i="49"/>
  <c r="BH325" i="49"/>
  <c r="BG325" i="49"/>
  <c r="BE325" i="49"/>
  <c r="BD325" i="49"/>
  <c r="BC325" i="49"/>
  <c r="BB325" i="49"/>
  <c r="BA325" i="49"/>
  <c r="AZ325" i="49"/>
  <c r="AY325" i="49"/>
  <c r="AX325" i="49"/>
  <c r="AW325" i="49"/>
  <c r="AV325" i="49"/>
  <c r="AU325" i="49"/>
  <c r="AT325" i="49"/>
  <c r="AS325" i="49"/>
  <c r="AR325" i="49"/>
  <c r="AQ325" i="49"/>
  <c r="AP325" i="49"/>
  <c r="AO325" i="49"/>
  <c r="AN325" i="49"/>
  <c r="AM325" i="49"/>
  <c r="AL325" i="49"/>
  <c r="AK325" i="49"/>
  <c r="AJ325" i="49"/>
  <c r="AI325" i="49"/>
  <c r="AH325" i="49"/>
  <c r="AG325" i="49"/>
  <c r="AF325" i="49"/>
  <c r="AE325" i="49"/>
  <c r="AD325" i="49"/>
  <c r="AC325" i="49"/>
  <c r="AB325" i="49"/>
  <c r="AA325" i="49"/>
  <c r="Z325" i="49"/>
  <c r="Y325" i="49"/>
  <c r="X325" i="49"/>
  <c r="W325" i="49"/>
  <c r="V325" i="49"/>
  <c r="U325" i="49"/>
  <c r="T325" i="49"/>
  <c r="S325" i="49"/>
  <c r="R325" i="49"/>
  <c r="Q325" i="49"/>
  <c r="P325" i="49"/>
  <c r="O325" i="49"/>
  <c r="N325" i="49"/>
  <c r="M325" i="49"/>
  <c r="L325" i="49"/>
  <c r="K325" i="49"/>
  <c r="J325" i="49"/>
  <c r="I325" i="49"/>
  <c r="CM324" i="49"/>
  <c r="CL324" i="49"/>
  <c r="CK324" i="49"/>
  <c r="CI324" i="49"/>
  <c r="CJ324" i="49" s="1"/>
  <c r="CH324" i="49"/>
  <c r="CG324" i="49"/>
  <c r="CF324" i="49"/>
  <c r="CD324" i="49"/>
  <c r="CC324" i="49"/>
  <c r="CB324" i="49"/>
  <c r="CA324" i="49"/>
  <c r="BZ324" i="49"/>
  <c r="BY324" i="49"/>
  <c r="BX324" i="49"/>
  <c r="BW324" i="49"/>
  <c r="BV324" i="49"/>
  <c r="BT324" i="49"/>
  <c r="BS324" i="49"/>
  <c r="BR324" i="49"/>
  <c r="BQ324" i="49"/>
  <c r="BO324" i="49"/>
  <c r="BN324" i="49"/>
  <c r="BM324" i="49"/>
  <c r="BL324" i="49"/>
  <c r="BJ324" i="49"/>
  <c r="BI324" i="49"/>
  <c r="BH324" i="49"/>
  <c r="BG324" i="49"/>
  <c r="BF324" i="49"/>
  <c r="BE324" i="49"/>
  <c r="BD324" i="49"/>
  <c r="BC324" i="49"/>
  <c r="BB324" i="49"/>
  <c r="AZ324" i="49"/>
  <c r="AY324" i="49"/>
  <c r="AX324" i="49"/>
  <c r="AW324" i="49"/>
  <c r="AU324" i="49"/>
  <c r="AT324" i="49"/>
  <c r="AS324" i="49"/>
  <c r="AR324" i="49"/>
  <c r="AP324" i="49"/>
  <c r="AO324" i="49"/>
  <c r="AN324" i="49"/>
  <c r="AM324" i="49"/>
  <c r="AL324" i="49"/>
  <c r="AK324" i="49"/>
  <c r="AJ324" i="49"/>
  <c r="AI324" i="49"/>
  <c r="AH324" i="49"/>
  <c r="AF324" i="49"/>
  <c r="AE324" i="49"/>
  <c r="AD324" i="49"/>
  <c r="AC324" i="49"/>
  <c r="AA324" i="49"/>
  <c r="Z324" i="49"/>
  <c r="Y324" i="49"/>
  <c r="X324" i="49"/>
  <c r="W324" i="49"/>
  <c r="V324" i="49"/>
  <c r="U324" i="49"/>
  <c r="T324" i="49"/>
  <c r="S324" i="49"/>
  <c r="R324" i="49"/>
  <c r="Q324" i="49"/>
  <c r="P324" i="49"/>
  <c r="O324" i="49"/>
  <c r="N324" i="49"/>
  <c r="L324" i="49"/>
  <c r="K324" i="49"/>
  <c r="J324" i="49"/>
  <c r="I324" i="49"/>
  <c r="CM323" i="49"/>
  <c r="CL323" i="49"/>
  <c r="CK323" i="49"/>
  <c r="CI323" i="49"/>
  <c r="CJ323" i="49" s="1"/>
  <c r="CH323" i="49"/>
  <c r="CG323" i="49"/>
  <c r="CF323" i="49"/>
  <c r="CE323" i="49"/>
  <c r="CD323" i="49"/>
  <c r="CC323" i="49"/>
  <c r="CB323" i="49"/>
  <c r="CA323" i="49"/>
  <c r="BY323" i="49"/>
  <c r="BX323" i="49"/>
  <c r="BW323" i="49"/>
  <c r="BV323" i="49"/>
  <c r="BT323" i="49"/>
  <c r="BS323" i="49"/>
  <c r="BR323" i="49"/>
  <c r="BQ323" i="49"/>
  <c r="BO323" i="49"/>
  <c r="BN323" i="49"/>
  <c r="BM323" i="49"/>
  <c r="BL323" i="49"/>
  <c r="BK323" i="49"/>
  <c r="BJ323" i="49"/>
  <c r="BI323" i="49"/>
  <c r="BH323" i="49"/>
  <c r="BG323" i="49"/>
  <c r="BG349" i="49" s="1"/>
  <c r="BE323" i="49"/>
  <c r="BD323" i="49"/>
  <c r="BC323" i="49"/>
  <c r="BB323" i="49"/>
  <c r="AZ323" i="49"/>
  <c r="AY323" i="49"/>
  <c r="AY349" i="49" s="1"/>
  <c r="AX323" i="49"/>
  <c r="AW323" i="49"/>
  <c r="AU323" i="49"/>
  <c r="AU349" i="49" s="1"/>
  <c r="AT323" i="49"/>
  <c r="AS323" i="49"/>
  <c r="AR323" i="49"/>
  <c r="AQ323" i="49"/>
  <c r="AP323" i="49"/>
  <c r="AO323" i="49"/>
  <c r="AN323" i="49"/>
  <c r="AM323" i="49"/>
  <c r="AK323" i="49"/>
  <c r="AJ323" i="49"/>
  <c r="AI323" i="49"/>
  <c r="AI349" i="49" s="1"/>
  <c r="AH323" i="49"/>
  <c r="AF323" i="49"/>
  <c r="AE323" i="49"/>
  <c r="AE349" i="49" s="1"/>
  <c r="AD323" i="49"/>
  <c r="AC323" i="49"/>
  <c r="AA323" i="49"/>
  <c r="AA349" i="49" s="1"/>
  <c r="Z323" i="49"/>
  <c r="Y323" i="49"/>
  <c r="X323" i="49"/>
  <c r="W323" i="49"/>
  <c r="V323" i="49"/>
  <c r="U323" i="49"/>
  <c r="T323" i="49"/>
  <c r="S323" i="49"/>
  <c r="S349" i="49" s="1"/>
  <c r="Q323" i="49"/>
  <c r="P323" i="49"/>
  <c r="CV327" i="49"/>
  <c r="CU327" i="49"/>
  <c r="CT327" i="49"/>
  <c r="CV326" i="49"/>
  <c r="CU326" i="49"/>
  <c r="CT326" i="49"/>
  <c r="CV325" i="49"/>
  <c r="CU325" i="49"/>
  <c r="CT325" i="49"/>
  <c r="CV324" i="49"/>
  <c r="CU324" i="49"/>
  <c r="CT324" i="49"/>
  <c r="CV323" i="49"/>
  <c r="CU323" i="49"/>
  <c r="CT323" i="49"/>
  <c r="CV322" i="49"/>
  <c r="CV389" i="49" s="1"/>
  <c r="CU322" i="49"/>
  <c r="CU389" i="49" s="1"/>
  <c r="CT322" i="49"/>
  <c r="CT389" i="49" s="1"/>
  <c r="CV321" i="49"/>
  <c r="CU321" i="49"/>
  <c r="CT321" i="49"/>
  <c r="CV320" i="49"/>
  <c r="CU320" i="49"/>
  <c r="CT320" i="49"/>
  <c r="CV319" i="49"/>
  <c r="CU319" i="49"/>
  <c r="CU349" i="49" s="1"/>
  <c r="CT319" i="49"/>
  <c r="CV318" i="49"/>
  <c r="CV349" i="49" s="1"/>
  <c r="CU318" i="49"/>
  <c r="CT318" i="49"/>
  <c r="CM322" i="49"/>
  <c r="CL322" i="49"/>
  <c r="CL389" i="49" s="1"/>
  <c r="CK322" i="49"/>
  <c r="CK389" i="49" s="1"/>
  <c r="CI322" i="49"/>
  <c r="CJ322" i="49" s="1"/>
  <c r="CH322" i="49"/>
  <c r="CH389" i="49" s="1"/>
  <c r="CG322" i="49"/>
  <c r="CG389" i="49" s="1"/>
  <c r="CF322" i="49"/>
  <c r="CF389" i="49" s="1"/>
  <c r="CD322" i="49"/>
  <c r="CD389" i="49" s="1"/>
  <c r="CC322" i="49"/>
  <c r="CC389" i="49" s="1"/>
  <c r="CB322" i="49"/>
  <c r="CB389" i="49" s="1"/>
  <c r="CA322" i="49"/>
  <c r="BY322" i="49"/>
  <c r="BY389" i="49" s="1"/>
  <c r="BX322" i="49"/>
  <c r="BX389" i="49" s="1"/>
  <c r="BW322" i="49"/>
  <c r="BV322" i="49"/>
  <c r="BV389" i="49" s="1"/>
  <c r="BT322" i="49"/>
  <c r="BT389" i="49" s="1"/>
  <c r="BS322" i="49"/>
  <c r="BS389" i="49" s="1"/>
  <c r="BR322" i="49"/>
  <c r="BR389" i="49" s="1"/>
  <c r="BQ322" i="49"/>
  <c r="BO322" i="49"/>
  <c r="BO389" i="49" s="1"/>
  <c r="CM321" i="49"/>
  <c r="CL321" i="49"/>
  <c r="CK321" i="49"/>
  <c r="CK391" i="49" s="1"/>
  <c r="CI321" i="49"/>
  <c r="CJ321" i="49" s="1"/>
  <c r="CH321" i="49"/>
  <c r="CG321" i="49"/>
  <c r="CG391" i="49" s="1"/>
  <c r="CF321" i="49"/>
  <c r="CD321" i="49"/>
  <c r="CC321" i="49"/>
  <c r="CC391" i="49" s="1"/>
  <c r="CB321" i="49"/>
  <c r="CA321" i="49"/>
  <c r="BY321" i="49"/>
  <c r="BX321" i="49"/>
  <c r="BW321" i="49"/>
  <c r="BV321" i="49"/>
  <c r="BU321" i="49"/>
  <c r="BT321" i="49"/>
  <c r="BS321" i="49"/>
  <c r="BR321" i="49"/>
  <c r="BQ321" i="49"/>
  <c r="BO321" i="49"/>
  <c r="CM320" i="49"/>
  <c r="CL320" i="49"/>
  <c r="CK320" i="49"/>
  <c r="CJ320" i="49"/>
  <c r="CI320" i="49"/>
  <c r="CH320" i="49"/>
  <c r="CG320" i="49"/>
  <c r="CF320" i="49"/>
  <c r="CF390" i="49" s="1"/>
  <c r="CD320" i="49"/>
  <c r="CC320" i="49"/>
  <c r="CB320" i="49"/>
  <c r="CA320" i="49"/>
  <c r="BY320" i="49"/>
  <c r="BX320" i="49"/>
  <c r="BX390" i="49" s="1"/>
  <c r="BW320" i="49"/>
  <c r="BV320" i="49"/>
  <c r="BT320" i="49"/>
  <c r="BS320" i="49"/>
  <c r="BR320" i="49"/>
  <c r="BQ320" i="49"/>
  <c r="BO320" i="49"/>
  <c r="CM319" i="49"/>
  <c r="CL319" i="49"/>
  <c r="CK319" i="49"/>
  <c r="CI319" i="49"/>
  <c r="CJ319" i="49" s="1"/>
  <c r="CH319" i="49"/>
  <c r="CG319" i="49"/>
  <c r="CF319" i="49"/>
  <c r="CD319" i="49"/>
  <c r="CC319" i="49"/>
  <c r="CB319" i="49"/>
  <c r="CA319" i="49"/>
  <c r="CA349" i="49" s="1"/>
  <c r="BY319" i="49"/>
  <c r="BX319" i="49"/>
  <c r="BW319" i="49"/>
  <c r="BW349" i="49" s="1"/>
  <c r="BV319" i="49"/>
  <c r="BT319" i="49"/>
  <c r="BS319" i="49"/>
  <c r="BS349" i="49" s="1"/>
  <c r="BR319" i="49"/>
  <c r="BQ319" i="49"/>
  <c r="BO319" i="49"/>
  <c r="BO349" i="49" s="1"/>
  <c r="CM318" i="49"/>
  <c r="CL318" i="49"/>
  <c r="CK318" i="49"/>
  <c r="CI318" i="49"/>
  <c r="CJ318" i="49" s="1"/>
  <c r="CH318" i="49"/>
  <c r="CG318" i="49"/>
  <c r="CG349" i="49" s="1"/>
  <c r="CF318" i="49"/>
  <c r="CF349" i="49" s="1"/>
  <c r="CD318" i="49"/>
  <c r="CC318" i="49"/>
  <c r="CB318" i="49"/>
  <c r="CA318" i="49"/>
  <c r="BY318" i="49"/>
  <c r="BX318" i="49"/>
  <c r="BW318" i="49"/>
  <c r="BV318" i="49"/>
  <c r="BT318" i="49"/>
  <c r="BS318" i="49"/>
  <c r="BR318" i="49"/>
  <c r="BR349" i="49" s="1"/>
  <c r="BQ318" i="49"/>
  <c r="BO318" i="49"/>
  <c r="BN321" i="49"/>
  <c r="BM321" i="49"/>
  <c r="BL321" i="49"/>
  <c r="BK321" i="49"/>
  <c r="BJ321" i="49"/>
  <c r="BI321" i="49"/>
  <c r="BH321" i="49"/>
  <c r="BG321" i="49"/>
  <c r="BF321" i="49"/>
  <c r="BE321" i="49"/>
  <c r="BD321" i="49"/>
  <c r="BC321" i="49"/>
  <c r="BB321" i="49"/>
  <c r="BA321" i="49"/>
  <c r="AZ321" i="49"/>
  <c r="AY321" i="49"/>
  <c r="AX321" i="49"/>
  <c r="AW321" i="49"/>
  <c r="AV321" i="49"/>
  <c r="AU321" i="49"/>
  <c r="AT321" i="49"/>
  <c r="AS321" i="49"/>
  <c r="AR321" i="49"/>
  <c r="AQ321" i="49"/>
  <c r="AP321" i="49"/>
  <c r="AO321" i="49"/>
  <c r="AN321" i="49"/>
  <c r="AM321" i="49"/>
  <c r="AL321" i="49"/>
  <c r="AK321" i="49"/>
  <c r="AJ321" i="49"/>
  <c r="AI321" i="49"/>
  <c r="AH321" i="49"/>
  <c r="AG321" i="49"/>
  <c r="AF321" i="49"/>
  <c r="AE321" i="49"/>
  <c r="AD321" i="49"/>
  <c r="AC321" i="49"/>
  <c r="AB321" i="49"/>
  <c r="AA321" i="49"/>
  <c r="Z321" i="49"/>
  <c r="Y321" i="49"/>
  <c r="X321" i="49"/>
  <c r="W321" i="49"/>
  <c r="V321" i="49"/>
  <c r="U321" i="49"/>
  <c r="T321" i="49"/>
  <c r="S321" i="49"/>
  <c r="R321" i="49"/>
  <c r="Q321" i="49"/>
  <c r="P321" i="49"/>
  <c r="O321" i="49"/>
  <c r="N321" i="49"/>
  <c r="M321" i="49"/>
  <c r="L321" i="49"/>
  <c r="K321" i="49"/>
  <c r="J321" i="49"/>
  <c r="I321" i="49"/>
  <c r="BN320" i="49"/>
  <c r="BM320" i="49"/>
  <c r="BL320" i="49"/>
  <c r="BK320" i="49"/>
  <c r="BJ320" i="49"/>
  <c r="BI320" i="49"/>
  <c r="BH320" i="49"/>
  <c r="BG320" i="49"/>
  <c r="BF320" i="49"/>
  <c r="BE320" i="49"/>
  <c r="BD320" i="49"/>
  <c r="BC320" i="49"/>
  <c r="BB320" i="49"/>
  <c r="BA320" i="49"/>
  <c r="AZ320" i="49"/>
  <c r="AY320" i="49"/>
  <c r="AX320" i="49"/>
  <c r="AW320" i="49"/>
  <c r="AV320" i="49"/>
  <c r="AU320" i="49"/>
  <c r="AT320" i="49"/>
  <c r="AS320" i="49"/>
  <c r="AR320" i="49"/>
  <c r="AQ320" i="49"/>
  <c r="AP320" i="49"/>
  <c r="AO320" i="49"/>
  <c r="AN320" i="49"/>
  <c r="AM320" i="49"/>
  <c r="AL320" i="49"/>
  <c r="AK320" i="49"/>
  <c r="AJ320" i="49"/>
  <c r="AI320" i="49"/>
  <c r="AH320" i="49"/>
  <c r="AG320" i="49"/>
  <c r="AF320" i="49"/>
  <c r="AE320" i="49"/>
  <c r="AD320" i="49"/>
  <c r="AC320" i="49"/>
  <c r="AB320" i="49"/>
  <c r="AA320" i="49"/>
  <c r="Z320" i="49"/>
  <c r="Y320" i="49"/>
  <c r="X320" i="49"/>
  <c r="W320" i="49"/>
  <c r="V320" i="49"/>
  <c r="U320" i="49"/>
  <c r="T320" i="49"/>
  <c r="S320" i="49"/>
  <c r="R320" i="49"/>
  <c r="Q320" i="49"/>
  <c r="P320" i="49"/>
  <c r="O320" i="49"/>
  <c r="N320" i="49"/>
  <c r="M320" i="49"/>
  <c r="L320" i="49"/>
  <c r="K320" i="49"/>
  <c r="J320" i="49"/>
  <c r="I320" i="49"/>
  <c r="BN319" i="49"/>
  <c r="BM319" i="49"/>
  <c r="BL319" i="49"/>
  <c r="BJ319" i="49"/>
  <c r="BI319" i="49"/>
  <c r="BH319" i="49"/>
  <c r="BG319" i="49"/>
  <c r="BF319" i="49"/>
  <c r="BE319" i="49"/>
  <c r="BD319" i="49"/>
  <c r="BC319" i="49"/>
  <c r="BB319" i="49"/>
  <c r="AZ319" i="49"/>
  <c r="AY319" i="49"/>
  <c r="AX319" i="49"/>
  <c r="AW319" i="49"/>
  <c r="AU319" i="49"/>
  <c r="AT319" i="49"/>
  <c r="AS319" i="49"/>
  <c r="AR319" i="49"/>
  <c r="AP319" i="49"/>
  <c r="AO319" i="49"/>
  <c r="AN319" i="49"/>
  <c r="AM319" i="49"/>
  <c r="AL319" i="49"/>
  <c r="AK319" i="49"/>
  <c r="AJ319" i="49"/>
  <c r="AI319" i="49"/>
  <c r="AH319" i="49"/>
  <c r="AF319" i="49"/>
  <c r="AE319" i="49"/>
  <c r="AD319" i="49"/>
  <c r="AC319" i="49"/>
  <c r="AA319" i="49"/>
  <c r="Z319" i="49"/>
  <c r="Y319" i="49"/>
  <c r="X319" i="49"/>
  <c r="V319" i="49"/>
  <c r="U319" i="49"/>
  <c r="T319" i="49"/>
  <c r="S319" i="49"/>
  <c r="R319" i="49"/>
  <c r="Q319" i="49"/>
  <c r="P319" i="49"/>
  <c r="BN318" i="49"/>
  <c r="BM318" i="49"/>
  <c r="BL318" i="49"/>
  <c r="BJ318" i="49"/>
  <c r="BJ349" i="49" s="1"/>
  <c r="BI318" i="49"/>
  <c r="BI349" i="49" s="1"/>
  <c r="BH318" i="49"/>
  <c r="BG318" i="49"/>
  <c r="BE318" i="49"/>
  <c r="BE349" i="49" s="1"/>
  <c r="BD318" i="49"/>
  <c r="BC318" i="49"/>
  <c r="BB318" i="49"/>
  <c r="AZ318" i="49"/>
  <c r="AZ349" i="49" s="1"/>
  <c r="AY318" i="49"/>
  <c r="AX318" i="49"/>
  <c r="AX349" i="49" s="1"/>
  <c r="AW318" i="49"/>
  <c r="AV318" i="49"/>
  <c r="AU318" i="49"/>
  <c r="AT318" i="49"/>
  <c r="AS318" i="49"/>
  <c r="AS349" i="49" s="1"/>
  <c r="AR318" i="49"/>
  <c r="AR349" i="49" s="1"/>
  <c r="AP318" i="49"/>
  <c r="AO318" i="49"/>
  <c r="AN318" i="49"/>
  <c r="AM318" i="49"/>
  <c r="AK318" i="49"/>
  <c r="AK349" i="49" s="1"/>
  <c r="AJ318" i="49"/>
  <c r="AI318" i="49"/>
  <c r="AH318" i="49"/>
  <c r="AH349" i="49" s="1"/>
  <c r="AF318" i="49"/>
  <c r="AE318" i="49"/>
  <c r="AD318" i="49"/>
  <c r="AC318" i="49"/>
  <c r="AC349" i="49" s="1"/>
  <c r="AA318" i="49"/>
  <c r="Z318" i="49"/>
  <c r="Z349" i="49" s="1"/>
  <c r="Y318" i="49"/>
  <c r="Y349" i="49" s="1"/>
  <c r="X318" i="49"/>
  <c r="V318" i="49"/>
  <c r="U318" i="49"/>
  <c r="U349" i="49" s="1"/>
  <c r="T318" i="49"/>
  <c r="T349" i="49" s="1"/>
  <c r="S318" i="49"/>
  <c r="Q318" i="49"/>
  <c r="P318" i="49"/>
  <c r="CM317" i="49"/>
  <c r="CL317" i="49"/>
  <c r="CK317" i="49"/>
  <c r="CI317" i="49"/>
  <c r="CJ317" i="49" s="1"/>
  <c r="CH317" i="49"/>
  <c r="V314" i="49"/>
  <c r="CM312" i="49"/>
  <c r="CL312" i="49"/>
  <c r="CK312" i="49"/>
  <c r="CI312" i="49"/>
  <c r="CJ312" i="49" s="1"/>
  <c r="CH312" i="49"/>
  <c r="CG312" i="49"/>
  <c r="CM311" i="49"/>
  <c r="CL311" i="49"/>
  <c r="CK311" i="49"/>
  <c r="CJ311" i="49"/>
  <c r="CI311" i="49"/>
  <c r="CH311" i="49"/>
  <c r="CG311" i="49"/>
  <c r="CM310" i="49"/>
  <c r="CL310" i="49"/>
  <c r="CK310" i="49"/>
  <c r="CI310" i="49"/>
  <c r="CJ310" i="49" s="1"/>
  <c r="CH310" i="49"/>
  <c r="CG310" i="49"/>
  <c r="CM309" i="49"/>
  <c r="CL309" i="49"/>
  <c r="CK309" i="49"/>
  <c r="CI309" i="49"/>
  <c r="CJ309" i="49" s="1"/>
  <c r="CH309" i="49"/>
  <c r="CG309" i="49"/>
  <c r="CM308" i="49"/>
  <c r="CL308" i="49"/>
  <c r="CK308" i="49"/>
  <c r="CI308" i="49"/>
  <c r="CJ308" i="49" s="1"/>
  <c r="CH308" i="49"/>
  <c r="CG308" i="49"/>
  <c r="CM307" i="49"/>
  <c r="CL307" i="49"/>
  <c r="CK307" i="49"/>
  <c r="CJ307" i="49"/>
  <c r="CI307" i="49"/>
  <c r="CH307" i="49"/>
  <c r="CG307" i="49"/>
  <c r="CM306" i="49"/>
  <c r="CL306" i="49"/>
  <c r="CK306" i="49"/>
  <c r="CI306" i="49"/>
  <c r="CJ306" i="49" s="1"/>
  <c r="CH306" i="49"/>
  <c r="CG306" i="49"/>
  <c r="CM305" i="49"/>
  <c r="CL305" i="49"/>
  <c r="CK305" i="49"/>
  <c r="CI305" i="49"/>
  <c r="CJ305" i="49" s="1"/>
  <c r="CH305" i="49"/>
  <c r="CG305" i="49"/>
  <c r="CM304" i="49"/>
  <c r="CL304" i="49"/>
  <c r="CK304" i="49"/>
  <c r="CI304" i="49"/>
  <c r="CJ304" i="49" s="1"/>
  <c r="CH304" i="49"/>
  <c r="CG304" i="49"/>
  <c r="CM303" i="49"/>
  <c r="CL303" i="49"/>
  <c r="CK303" i="49"/>
  <c r="CJ303" i="49"/>
  <c r="CI303" i="49"/>
  <c r="CH303" i="49"/>
  <c r="CG303" i="49"/>
  <c r="CM302" i="49"/>
  <c r="CL302" i="49"/>
  <c r="CK302" i="49"/>
  <c r="CI302" i="49"/>
  <c r="CJ302" i="49" s="1"/>
  <c r="CH302" i="49"/>
  <c r="CG302" i="49"/>
  <c r="CM300" i="49"/>
  <c r="CL300" i="49"/>
  <c r="CK300" i="49"/>
  <c r="CJ300" i="49"/>
  <c r="CI300" i="49"/>
  <c r="CH300" i="49"/>
  <c r="CG300" i="49"/>
  <c r="CF300" i="49"/>
  <c r="CD300" i="49"/>
  <c r="CC300" i="49"/>
  <c r="CB300" i="49"/>
  <c r="CA300" i="49"/>
  <c r="BY300" i="49"/>
  <c r="BX300" i="49"/>
  <c r="BW300" i="49"/>
  <c r="BV300" i="49"/>
  <c r="BT300" i="49"/>
  <c r="BS300" i="49"/>
  <c r="BR300" i="49"/>
  <c r="BQ300" i="49"/>
  <c r="BP300" i="49"/>
  <c r="BO300" i="49"/>
  <c r="BN300" i="49"/>
  <c r="BM300" i="49"/>
  <c r="BL300" i="49"/>
  <c r="BJ300" i="49"/>
  <c r="BI300" i="49"/>
  <c r="BH300" i="49"/>
  <c r="BG300" i="49"/>
  <c r="BF300" i="49"/>
  <c r="BE300" i="49"/>
  <c r="BD300" i="49"/>
  <c r="BC300" i="49"/>
  <c r="BB300" i="49"/>
  <c r="BA300" i="49"/>
  <c r="AZ300" i="49"/>
  <c r="AY300" i="49"/>
  <c r="AX300" i="49"/>
  <c r="AW300" i="49"/>
  <c r="AV300" i="49"/>
  <c r="AU300" i="49"/>
  <c r="AT300" i="49"/>
  <c r="AS300" i="49"/>
  <c r="AR300" i="49"/>
  <c r="AQ300" i="49"/>
  <c r="AP300" i="49"/>
  <c r="AO300" i="49"/>
  <c r="AN300" i="49"/>
  <c r="AM300" i="49"/>
  <c r="AL300" i="49"/>
  <c r="AK300" i="49"/>
  <c r="AJ300" i="49"/>
  <c r="AI300" i="49"/>
  <c r="AH300" i="49"/>
  <c r="AG300" i="49"/>
  <c r="AF300" i="49"/>
  <c r="AE300" i="49"/>
  <c r="AD300" i="49"/>
  <c r="AC300" i="49"/>
  <c r="AB300" i="49"/>
  <c r="AA300" i="49"/>
  <c r="Z300" i="49"/>
  <c r="Y300" i="49"/>
  <c r="X300" i="49"/>
  <c r="W300" i="49"/>
  <c r="V300" i="49"/>
  <c r="U300" i="49"/>
  <c r="T300" i="49"/>
  <c r="S300" i="49"/>
  <c r="R300" i="49"/>
  <c r="Q300" i="49"/>
  <c r="P300" i="49"/>
  <c r="O300" i="49"/>
  <c r="N300" i="49"/>
  <c r="M300" i="49"/>
  <c r="L300" i="49"/>
  <c r="K300" i="49"/>
  <c r="J300" i="49"/>
  <c r="I300" i="49"/>
  <c r="CM299" i="49"/>
  <c r="CL299" i="49"/>
  <c r="CK299" i="49"/>
  <c r="CI299" i="49"/>
  <c r="CJ299" i="49" s="1"/>
  <c r="CH299" i="49"/>
  <c r="CG299" i="49"/>
  <c r="CF299" i="49"/>
  <c r="CD299" i="49"/>
  <c r="CC299" i="49"/>
  <c r="CB299" i="49"/>
  <c r="CA299" i="49"/>
  <c r="BY299" i="49"/>
  <c r="BX299" i="49"/>
  <c r="BW299" i="49"/>
  <c r="BV299" i="49"/>
  <c r="BU299" i="49"/>
  <c r="BT299" i="49"/>
  <c r="BS299" i="49"/>
  <c r="BR299" i="49"/>
  <c r="BQ299" i="49"/>
  <c r="BO299" i="49"/>
  <c r="BN299" i="49"/>
  <c r="BM299" i="49"/>
  <c r="BL299" i="49"/>
  <c r="BJ299" i="49"/>
  <c r="BI299" i="49"/>
  <c r="BH299" i="49"/>
  <c r="BG299" i="49"/>
  <c r="BF299" i="49"/>
  <c r="BE299" i="49"/>
  <c r="BD299" i="49"/>
  <c r="BC299" i="49"/>
  <c r="BB299" i="49"/>
  <c r="BA299" i="49"/>
  <c r="AZ299" i="49"/>
  <c r="AY299" i="49"/>
  <c r="AX299" i="49"/>
  <c r="AW299" i="49"/>
  <c r="AV299" i="49"/>
  <c r="AU299" i="49"/>
  <c r="AT299" i="49"/>
  <c r="AS299" i="49"/>
  <c r="AR299" i="49"/>
  <c r="AQ299" i="49"/>
  <c r="AP299" i="49"/>
  <c r="AO299" i="49"/>
  <c r="AN299" i="49"/>
  <c r="AM299" i="49"/>
  <c r="AL299" i="49"/>
  <c r="AK299" i="49"/>
  <c r="AJ299" i="49"/>
  <c r="AI299" i="49"/>
  <c r="AH299" i="49"/>
  <c r="AG299" i="49"/>
  <c r="AF299" i="49"/>
  <c r="AE299" i="49"/>
  <c r="AD299" i="49"/>
  <c r="AC299" i="49"/>
  <c r="AB299" i="49"/>
  <c r="AA299" i="49"/>
  <c r="Z299" i="49"/>
  <c r="Y299" i="49"/>
  <c r="X299" i="49"/>
  <c r="W299" i="49"/>
  <c r="V299" i="49"/>
  <c r="U299" i="49"/>
  <c r="T299" i="49"/>
  <c r="S299" i="49"/>
  <c r="R299" i="49"/>
  <c r="Q299" i="49"/>
  <c r="P299" i="49"/>
  <c r="O299" i="49"/>
  <c r="N299" i="49"/>
  <c r="M299" i="49"/>
  <c r="L299" i="49"/>
  <c r="K299" i="49"/>
  <c r="J299" i="49"/>
  <c r="I299" i="49"/>
  <c r="CM298" i="49"/>
  <c r="CL298" i="49"/>
  <c r="CK298" i="49"/>
  <c r="CI298" i="49"/>
  <c r="CJ298" i="49" s="1"/>
  <c r="CH298" i="49"/>
  <c r="CG298" i="49"/>
  <c r="CF298" i="49"/>
  <c r="CD298" i="49"/>
  <c r="CC298" i="49"/>
  <c r="CB298" i="49"/>
  <c r="CA298" i="49"/>
  <c r="BZ298" i="49"/>
  <c r="BY298" i="49"/>
  <c r="BX298" i="49"/>
  <c r="BW298" i="49"/>
  <c r="BV298" i="49"/>
  <c r="BT298" i="49"/>
  <c r="BS298" i="49"/>
  <c r="BR298" i="49"/>
  <c r="BQ298" i="49"/>
  <c r="BO298" i="49"/>
  <c r="BN298" i="49"/>
  <c r="BM298" i="49"/>
  <c r="BL298" i="49"/>
  <c r="BJ298" i="49"/>
  <c r="BI298" i="49"/>
  <c r="BH298" i="49"/>
  <c r="BG298" i="49"/>
  <c r="BF298" i="49"/>
  <c r="BE298" i="49"/>
  <c r="BD298" i="49"/>
  <c r="BC298" i="49"/>
  <c r="BB298" i="49"/>
  <c r="AZ298" i="49"/>
  <c r="AY298" i="49"/>
  <c r="AX298" i="49"/>
  <c r="AW298" i="49"/>
  <c r="AU298" i="49"/>
  <c r="AT298" i="49"/>
  <c r="AS298" i="49"/>
  <c r="AR298" i="49"/>
  <c r="AP298" i="49"/>
  <c r="AO298" i="49"/>
  <c r="AN298" i="49"/>
  <c r="AM298" i="49"/>
  <c r="AL298" i="49"/>
  <c r="AK298" i="49"/>
  <c r="AJ298" i="49"/>
  <c r="AI298" i="49"/>
  <c r="AH298" i="49"/>
  <c r="AF298" i="49"/>
  <c r="AE298" i="49"/>
  <c r="AD298" i="49"/>
  <c r="AC298" i="49"/>
  <c r="AA298" i="49"/>
  <c r="Z298" i="49"/>
  <c r="Y298" i="49"/>
  <c r="X298" i="49"/>
  <c r="V298" i="49"/>
  <c r="U298" i="49"/>
  <c r="T298" i="49"/>
  <c r="R298" i="49"/>
  <c r="Q298" i="49"/>
  <c r="P298" i="49"/>
  <c r="O298" i="49"/>
  <c r="N298" i="49"/>
  <c r="J298" i="49"/>
  <c r="CM297" i="49"/>
  <c r="CL297" i="49"/>
  <c r="CK297" i="49"/>
  <c r="CI297" i="49"/>
  <c r="CJ297" i="49" s="1"/>
  <c r="CH297" i="49"/>
  <c r="CG297" i="49"/>
  <c r="CF297" i="49"/>
  <c r="CE297" i="49"/>
  <c r="CD297" i="49"/>
  <c r="CC297" i="49"/>
  <c r="CB297" i="49"/>
  <c r="CA297" i="49"/>
  <c r="CA400" i="49" s="1"/>
  <c r="BY297" i="49"/>
  <c r="BX297" i="49"/>
  <c r="BW297" i="49"/>
  <c r="BV297" i="49"/>
  <c r="BT297" i="49"/>
  <c r="BS297" i="49"/>
  <c r="BR297" i="49"/>
  <c r="BQ297" i="49"/>
  <c r="BO297" i="49"/>
  <c r="BN297" i="49"/>
  <c r="BM297" i="49"/>
  <c r="BL297" i="49"/>
  <c r="BK297" i="49"/>
  <c r="BJ297" i="49"/>
  <c r="BI297" i="49"/>
  <c r="BH297" i="49"/>
  <c r="BG297" i="49"/>
  <c r="BE297" i="49"/>
  <c r="BD297" i="49"/>
  <c r="BC297" i="49"/>
  <c r="BB297" i="49"/>
  <c r="AZ297" i="49"/>
  <c r="AY297" i="49"/>
  <c r="AX297" i="49"/>
  <c r="AW297" i="49"/>
  <c r="AU297" i="49"/>
  <c r="AT297" i="49"/>
  <c r="AS297" i="49"/>
  <c r="AR297" i="49"/>
  <c r="AQ297" i="49"/>
  <c r="AP297" i="49"/>
  <c r="AO297" i="49"/>
  <c r="AN297" i="49"/>
  <c r="AM297" i="49"/>
  <c r="AK297" i="49"/>
  <c r="AJ297" i="49"/>
  <c r="AI297" i="49"/>
  <c r="AH297" i="49"/>
  <c r="AF297" i="49"/>
  <c r="AE297" i="49"/>
  <c r="AD297" i="49"/>
  <c r="AC297" i="49"/>
  <c r="AA297" i="49"/>
  <c r="Z297" i="49"/>
  <c r="Y297" i="49"/>
  <c r="X297" i="49"/>
  <c r="W297" i="49"/>
  <c r="V297" i="49"/>
  <c r="U297" i="49"/>
  <c r="T297" i="49"/>
  <c r="S297" i="49"/>
  <c r="Q297" i="49"/>
  <c r="P297" i="49"/>
  <c r="O297" i="49"/>
  <c r="K297" i="49"/>
  <c r="J297" i="49"/>
  <c r="I297" i="49"/>
  <c r="CM296" i="49"/>
  <c r="CL296" i="49"/>
  <c r="CK296" i="49"/>
  <c r="CJ296" i="49"/>
  <c r="CI296" i="49"/>
  <c r="CH296" i="49"/>
  <c r="CG296" i="49"/>
  <c r="CF296" i="49"/>
  <c r="CD296" i="49"/>
  <c r="CC296" i="49"/>
  <c r="CB296" i="49"/>
  <c r="CA296" i="49"/>
  <c r="BY296" i="49"/>
  <c r="BX296" i="49"/>
  <c r="BW296" i="49"/>
  <c r="BV296" i="49"/>
  <c r="BT296" i="49"/>
  <c r="BS296" i="49"/>
  <c r="BR296" i="49"/>
  <c r="BQ296" i="49"/>
  <c r="BP296" i="49"/>
  <c r="BO296" i="49"/>
  <c r="BN296" i="49"/>
  <c r="BM296" i="49"/>
  <c r="BL296" i="49"/>
  <c r="BJ296" i="49"/>
  <c r="BI296" i="49"/>
  <c r="BH296" i="49"/>
  <c r="BG296" i="49"/>
  <c r="BE296" i="49"/>
  <c r="BD296" i="49"/>
  <c r="BC296" i="49"/>
  <c r="BB296" i="49"/>
  <c r="AZ296" i="49"/>
  <c r="AY296" i="49"/>
  <c r="AX296" i="49"/>
  <c r="AW296" i="49"/>
  <c r="AV296" i="49"/>
  <c r="AU296" i="49"/>
  <c r="AT296" i="49"/>
  <c r="AS296" i="49"/>
  <c r="AR296" i="49"/>
  <c r="AP296" i="49"/>
  <c r="AO296" i="49"/>
  <c r="AN296" i="49"/>
  <c r="AM296" i="49"/>
  <c r="AK296" i="49"/>
  <c r="AJ296" i="49"/>
  <c r="AI296" i="49"/>
  <c r="AH296" i="49"/>
  <c r="AF296" i="49"/>
  <c r="AE296" i="49"/>
  <c r="AD296" i="49"/>
  <c r="AC296" i="49"/>
  <c r="AB296" i="49"/>
  <c r="AA296" i="49"/>
  <c r="Z296" i="49"/>
  <c r="Y296" i="49"/>
  <c r="X296" i="49"/>
  <c r="V296" i="49"/>
  <c r="U296" i="49"/>
  <c r="T296" i="49"/>
  <c r="P296" i="49"/>
  <c r="L296" i="49"/>
  <c r="CM295" i="49"/>
  <c r="CL295" i="49"/>
  <c r="CK295" i="49"/>
  <c r="CI295" i="49"/>
  <c r="CJ295" i="49" s="1"/>
  <c r="CH295" i="49"/>
  <c r="CG295" i="49"/>
  <c r="CF295" i="49"/>
  <c r="CD295" i="49"/>
  <c r="CC295" i="49"/>
  <c r="CB295" i="49"/>
  <c r="CA295" i="49"/>
  <c r="BY295" i="49"/>
  <c r="BX295" i="49"/>
  <c r="BW295" i="49"/>
  <c r="BV295" i="49"/>
  <c r="BU295" i="49"/>
  <c r="BT295" i="49"/>
  <c r="BS295" i="49"/>
  <c r="BR295" i="49"/>
  <c r="BQ295" i="49"/>
  <c r="BO295" i="49"/>
  <c r="BN295" i="49"/>
  <c r="BM295" i="49"/>
  <c r="BL295" i="49"/>
  <c r="BJ295" i="49"/>
  <c r="BI295" i="49"/>
  <c r="BH295" i="49"/>
  <c r="BG295" i="49"/>
  <c r="BE295" i="49"/>
  <c r="BD295" i="49"/>
  <c r="BC295" i="49"/>
  <c r="BB295" i="49"/>
  <c r="BA295" i="49"/>
  <c r="AZ295" i="49"/>
  <c r="AY295" i="49"/>
  <c r="AX295" i="49"/>
  <c r="AW295" i="49"/>
  <c r="AU295" i="49"/>
  <c r="AT295" i="49"/>
  <c r="AS295" i="49"/>
  <c r="AR295" i="49"/>
  <c r="AP295" i="49"/>
  <c r="AO295" i="49"/>
  <c r="AN295" i="49"/>
  <c r="AM295" i="49"/>
  <c r="AK295" i="49"/>
  <c r="AJ295" i="49"/>
  <c r="AI295" i="49"/>
  <c r="AH295" i="49"/>
  <c r="AG295" i="49"/>
  <c r="AF295" i="49"/>
  <c r="AE295" i="49"/>
  <c r="AD295" i="49"/>
  <c r="AC295" i="49"/>
  <c r="AA295" i="49"/>
  <c r="Z295" i="49"/>
  <c r="Y295" i="49"/>
  <c r="X295" i="49"/>
  <c r="V295" i="49"/>
  <c r="U295" i="49"/>
  <c r="T295" i="49"/>
  <c r="Q295" i="49"/>
  <c r="P295" i="49"/>
  <c r="O295" i="49"/>
  <c r="N295" i="49"/>
  <c r="M295" i="49"/>
  <c r="L295" i="49"/>
  <c r="K295" i="49"/>
  <c r="I295" i="49"/>
  <c r="CV300" i="49"/>
  <c r="CU300" i="49"/>
  <c r="CT300" i="49"/>
  <c r="CV299" i="49"/>
  <c r="CU299" i="49"/>
  <c r="CT299" i="49"/>
  <c r="CV298" i="49"/>
  <c r="CU298" i="49"/>
  <c r="CT298" i="49"/>
  <c r="CV297" i="49"/>
  <c r="CU297" i="49"/>
  <c r="CT297" i="49"/>
  <c r="CV296" i="49"/>
  <c r="CU296" i="49"/>
  <c r="CT296" i="49"/>
  <c r="CV295" i="49"/>
  <c r="CU295" i="49"/>
  <c r="CT295" i="49"/>
  <c r="CV294" i="49"/>
  <c r="CU294" i="49"/>
  <c r="CT294" i="49"/>
  <c r="CV293" i="49"/>
  <c r="CU293" i="49"/>
  <c r="CT293" i="49"/>
  <c r="CV292" i="49"/>
  <c r="CU292" i="49"/>
  <c r="CT292" i="49"/>
  <c r="CV291" i="49"/>
  <c r="CU291" i="49"/>
  <c r="CT291" i="49"/>
  <c r="CV290" i="49"/>
  <c r="CU290" i="49"/>
  <c r="CT290" i="49"/>
  <c r="CV289" i="49"/>
  <c r="CU289" i="49"/>
  <c r="CT289" i="49"/>
  <c r="CV288" i="49"/>
  <c r="CU288" i="49"/>
  <c r="CT288" i="49"/>
  <c r="CV287" i="49"/>
  <c r="CU287" i="49"/>
  <c r="CT287" i="49"/>
  <c r="CV286" i="49"/>
  <c r="CU286" i="49"/>
  <c r="CT286" i="49"/>
  <c r="CV285" i="49"/>
  <c r="CV314" i="49" s="1"/>
  <c r="CU285" i="49"/>
  <c r="CT285" i="49"/>
  <c r="CT314" i="49" s="1"/>
  <c r="CM294" i="49"/>
  <c r="CL294" i="49"/>
  <c r="CK294" i="49"/>
  <c r="CI294" i="49"/>
  <c r="CJ294" i="49" s="1"/>
  <c r="CH294" i="49"/>
  <c r="CG294" i="49"/>
  <c r="CF294" i="49"/>
  <c r="CD294" i="49"/>
  <c r="CC294" i="49"/>
  <c r="CB294" i="49"/>
  <c r="CA294" i="49"/>
  <c r="BZ294" i="49"/>
  <c r="BY294" i="49"/>
  <c r="BX294" i="49"/>
  <c r="BW294" i="49"/>
  <c r="BV294" i="49"/>
  <c r="CM293" i="49"/>
  <c r="CL293" i="49"/>
  <c r="CL396" i="49" s="1"/>
  <c r="CK293" i="49"/>
  <c r="CI293" i="49"/>
  <c r="CJ293" i="49" s="1"/>
  <c r="CH293" i="49"/>
  <c r="CH396" i="49" s="1"/>
  <c r="CD293" i="49"/>
  <c r="CD396" i="49" s="1"/>
  <c r="CA293" i="49"/>
  <c r="BX293" i="49"/>
  <c r="BW293" i="49"/>
  <c r="BV293" i="49"/>
  <c r="CM292" i="49"/>
  <c r="CL292" i="49"/>
  <c r="CK292" i="49"/>
  <c r="CI292" i="49"/>
  <c r="CJ292" i="49" s="1"/>
  <c r="CH292" i="49"/>
  <c r="CG292" i="49"/>
  <c r="CF292" i="49"/>
  <c r="CD292" i="49"/>
  <c r="CC292" i="49"/>
  <c r="CB292" i="49"/>
  <c r="CA292" i="49"/>
  <c r="BY292" i="49"/>
  <c r="BX292" i="49"/>
  <c r="BW292" i="49"/>
  <c r="BV292" i="49"/>
  <c r="CM291" i="49"/>
  <c r="CL291" i="49"/>
  <c r="CK291" i="49"/>
  <c r="CI291" i="49"/>
  <c r="CJ291" i="49" s="1"/>
  <c r="CH291" i="49"/>
  <c r="CG291" i="49"/>
  <c r="CF291" i="49"/>
  <c r="CD291" i="49"/>
  <c r="CE291" i="49" s="1"/>
  <c r="CC291" i="49"/>
  <c r="CB291" i="49"/>
  <c r="CA291" i="49"/>
  <c r="BZ291" i="49"/>
  <c r="BY291" i="49"/>
  <c r="BX291" i="49"/>
  <c r="BW291" i="49"/>
  <c r="BV291" i="49"/>
  <c r="CM290" i="49"/>
  <c r="CL290" i="49"/>
  <c r="CK290" i="49"/>
  <c r="CI290" i="49"/>
  <c r="CJ290" i="49" s="1"/>
  <c r="CH290" i="49"/>
  <c r="CH314" i="49" s="1"/>
  <c r="CG290" i="49"/>
  <c r="CF290" i="49"/>
  <c r="CD290" i="49"/>
  <c r="CE290" i="49" s="1"/>
  <c r="CC290" i="49"/>
  <c r="CB290" i="49"/>
  <c r="CA290" i="49"/>
  <c r="BZ290" i="49"/>
  <c r="BY290" i="49"/>
  <c r="BX290" i="49"/>
  <c r="BW290" i="49"/>
  <c r="BV290" i="49"/>
  <c r="CM289" i="49"/>
  <c r="CL289" i="49"/>
  <c r="CK289" i="49"/>
  <c r="CI289" i="49"/>
  <c r="CJ289" i="49" s="1"/>
  <c r="CH289" i="49"/>
  <c r="CH392" i="49" s="1"/>
  <c r="CG289" i="49"/>
  <c r="CF289" i="49"/>
  <c r="CD289" i="49"/>
  <c r="CE289" i="49" s="1"/>
  <c r="CA289" i="49"/>
  <c r="BX289" i="49"/>
  <c r="BW289" i="49"/>
  <c r="BV289" i="49"/>
  <c r="CM288" i="49"/>
  <c r="CL288" i="49"/>
  <c r="CK288" i="49"/>
  <c r="CI288" i="49"/>
  <c r="CJ288" i="49" s="1"/>
  <c r="CH288" i="49"/>
  <c r="CG288" i="49"/>
  <c r="CF288" i="49"/>
  <c r="CD288" i="49"/>
  <c r="CE288" i="49" s="1"/>
  <c r="CC288" i="49"/>
  <c r="CB288" i="49"/>
  <c r="CA288" i="49"/>
  <c r="BZ288" i="49"/>
  <c r="BY288" i="49"/>
  <c r="BX288" i="49"/>
  <c r="BW288" i="49"/>
  <c r="BV288" i="49"/>
  <c r="CM287" i="49"/>
  <c r="CL287" i="49"/>
  <c r="CK287" i="49"/>
  <c r="CI287" i="49"/>
  <c r="CJ287" i="49" s="1"/>
  <c r="CH287" i="49"/>
  <c r="CG287" i="49"/>
  <c r="CF287" i="49"/>
  <c r="CD287" i="49"/>
  <c r="CE287" i="49" s="1"/>
  <c r="CC287" i="49"/>
  <c r="CB287" i="49"/>
  <c r="CA287" i="49"/>
  <c r="BZ287" i="49"/>
  <c r="BY287" i="49"/>
  <c r="BX287" i="49"/>
  <c r="BW287" i="49"/>
  <c r="BV287" i="49"/>
  <c r="CM286" i="49"/>
  <c r="CL286" i="49"/>
  <c r="CK286" i="49"/>
  <c r="CI286" i="49"/>
  <c r="CJ286" i="49" s="1"/>
  <c r="CH286" i="49"/>
  <c r="CG286" i="49"/>
  <c r="CF286" i="49"/>
  <c r="CD286" i="49"/>
  <c r="CE286" i="49" s="1"/>
  <c r="CC286" i="49"/>
  <c r="CB286" i="49"/>
  <c r="CA286" i="49"/>
  <c r="BZ286" i="49"/>
  <c r="BY286" i="49"/>
  <c r="BX286" i="49"/>
  <c r="BW286" i="49"/>
  <c r="BV286" i="49"/>
  <c r="CM285" i="49"/>
  <c r="CL285" i="49"/>
  <c r="CK285" i="49"/>
  <c r="CI285" i="49"/>
  <c r="CJ285" i="49" s="1"/>
  <c r="CH285" i="49"/>
  <c r="CG285" i="49"/>
  <c r="CG314" i="49" s="1"/>
  <c r="CF285" i="49"/>
  <c r="CD285" i="49"/>
  <c r="CE285" i="49" s="1"/>
  <c r="CC285" i="49"/>
  <c r="CB285" i="49"/>
  <c r="CA285" i="49"/>
  <c r="BZ285" i="49"/>
  <c r="BY285" i="49"/>
  <c r="BX285" i="49"/>
  <c r="BX314" i="49" s="1"/>
  <c r="BW285" i="49"/>
  <c r="BV285" i="49"/>
  <c r="BV314" i="49" s="1"/>
  <c r="BT293" i="49"/>
  <c r="BS293" i="49"/>
  <c r="BR293" i="49"/>
  <c r="BR396" i="49" s="1"/>
  <c r="BQ293" i="49"/>
  <c r="BN293" i="49"/>
  <c r="BJ293" i="49"/>
  <c r="BI293" i="49"/>
  <c r="BH293" i="49"/>
  <c r="BG293" i="49"/>
  <c r="BF293" i="49"/>
  <c r="BE293" i="49"/>
  <c r="BD293" i="49"/>
  <c r="BC293" i="49"/>
  <c r="BB293" i="49"/>
  <c r="BB396" i="49" s="1"/>
  <c r="AZ293" i="49"/>
  <c r="AY293" i="49"/>
  <c r="AX293" i="49"/>
  <c r="AW293" i="49"/>
  <c r="AU293" i="49"/>
  <c r="AT293" i="49"/>
  <c r="AS293" i="49"/>
  <c r="AR293" i="49"/>
  <c r="AP293" i="49"/>
  <c r="AO293" i="49"/>
  <c r="AN293" i="49"/>
  <c r="AM293" i="49"/>
  <c r="AL293" i="49"/>
  <c r="AK293" i="49"/>
  <c r="AJ293" i="49"/>
  <c r="AI293" i="49"/>
  <c r="AH293" i="49"/>
  <c r="AF293" i="49"/>
  <c r="AE293" i="49"/>
  <c r="AD293" i="49"/>
  <c r="AC293" i="49"/>
  <c r="AA293" i="49"/>
  <c r="Z293" i="49"/>
  <c r="Y293" i="49"/>
  <c r="X293" i="49"/>
  <c r="V293" i="49"/>
  <c r="V396" i="49" s="1"/>
  <c r="U293" i="49"/>
  <c r="T293" i="49"/>
  <c r="N293" i="49"/>
  <c r="J293" i="49"/>
  <c r="BT292" i="49"/>
  <c r="BS292" i="49"/>
  <c r="BR292" i="49"/>
  <c r="BQ292" i="49"/>
  <c r="BO292" i="49"/>
  <c r="BN292" i="49"/>
  <c r="BM292" i="49"/>
  <c r="BL292" i="49"/>
  <c r="BK292" i="49"/>
  <c r="BJ292" i="49"/>
  <c r="BI292" i="49"/>
  <c r="BH292" i="49"/>
  <c r="BG292" i="49"/>
  <c r="BE292" i="49"/>
  <c r="BD292" i="49"/>
  <c r="BC292" i="49"/>
  <c r="BB292" i="49"/>
  <c r="AZ292" i="49"/>
  <c r="AY292" i="49"/>
  <c r="AX292" i="49"/>
  <c r="AW292" i="49"/>
  <c r="AU292" i="49"/>
  <c r="AT292" i="49"/>
  <c r="AS292" i="49"/>
  <c r="AR292" i="49"/>
  <c r="AQ292" i="49"/>
  <c r="AP292" i="49"/>
  <c r="AO292" i="49"/>
  <c r="AN292" i="49"/>
  <c r="AM292" i="49"/>
  <c r="AK292" i="49"/>
  <c r="AJ292" i="49"/>
  <c r="AI292" i="49"/>
  <c r="AH292" i="49"/>
  <c r="AF292" i="49"/>
  <c r="AE292" i="49"/>
  <c r="AD292" i="49"/>
  <c r="AC292" i="49"/>
  <c r="AA292" i="49"/>
  <c r="Z292" i="49"/>
  <c r="Y292" i="49"/>
  <c r="X292" i="49"/>
  <c r="W292" i="49"/>
  <c r="V292" i="49"/>
  <c r="U292" i="49"/>
  <c r="T292" i="49"/>
  <c r="S292" i="49"/>
  <c r="Q292" i="49"/>
  <c r="P292" i="49"/>
  <c r="O292" i="49"/>
  <c r="N292" i="49"/>
  <c r="L292" i="49"/>
  <c r="K292" i="49"/>
  <c r="J292" i="49"/>
  <c r="I292" i="49"/>
  <c r="BT291" i="49"/>
  <c r="BU291" i="49" s="1"/>
  <c r="BS291" i="49"/>
  <c r="BR291" i="49"/>
  <c r="BQ291" i="49"/>
  <c r="BP291" i="49"/>
  <c r="BO291" i="49"/>
  <c r="BN291" i="49"/>
  <c r="BM291" i="49"/>
  <c r="BL291" i="49"/>
  <c r="BJ291" i="49"/>
  <c r="BK291" i="49" s="1"/>
  <c r="BI291" i="49"/>
  <c r="BH291" i="49"/>
  <c r="BG291" i="49"/>
  <c r="BE291" i="49"/>
  <c r="BF291" i="49" s="1"/>
  <c r="BD291" i="49"/>
  <c r="BC291" i="49"/>
  <c r="BB291" i="49"/>
  <c r="AZ291" i="49"/>
  <c r="BA291" i="49" s="1"/>
  <c r="AY291" i="49"/>
  <c r="AX291" i="49"/>
  <c r="AW291" i="49"/>
  <c r="AV291" i="49"/>
  <c r="AU291" i="49"/>
  <c r="AT291" i="49"/>
  <c r="AS291" i="49"/>
  <c r="AR291" i="49"/>
  <c r="AP291" i="49"/>
  <c r="AQ291" i="49" s="1"/>
  <c r="AO291" i="49"/>
  <c r="AN291" i="49"/>
  <c r="AM291" i="49"/>
  <c r="AK291" i="49"/>
  <c r="AL291" i="49" s="1"/>
  <c r="AJ291" i="49"/>
  <c r="AI291" i="49"/>
  <c r="AH291" i="49"/>
  <c r="AF291" i="49"/>
  <c r="AG291" i="49" s="1"/>
  <c r="AE291" i="49"/>
  <c r="AD291" i="49"/>
  <c r="AC291" i="49"/>
  <c r="AB291" i="49"/>
  <c r="AA291" i="49"/>
  <c r="Z291" i="49"/>
  <c r="Y291" i="49"/>
  <c r="X291" i="49"/>
  <c r="V291" i="49"/>
  <c r="W291" i="49" s="1"/>
  <c r="U291" i="49"/>
  <c r="T291" i="49"/>
  <c r="S291" i="49"/>
  <c r="Q291" i="49"/>
  <c r="R291" i="49" s="1"/>
  <c r="P291" i="49"/>
  <c r="O291" i="49"/>
  <c r="N291" i="49"/>
  <c r="L291" i="49"/>
  <c r="M291" i="49" s="1"/>
  <c r="K291" i="49"/>
  <c r="J291" i="49"/>
  <c r="I291" i="49"/>
  <c r="BU290" i="49"/>
  <c r="BT290" i="49"/>
  <c r="BS290" i="49"/>
  <c r="BR290" i="49"/>
  <c r="BQ290" i="49"/>
  <c r="BO290" i="49"/>
  <c r="BP290" i="49" s="1"/>
  <c r="BN290" i="49"/>
  <c r="BM290" i="49"/>
  <c r="BL290" i="49"/>
  <c r="BJ290" i="49"/>
  <c r="BK290" i="49" s="1"/>
  <c r="BI290" i="49"/>
  <c r="BH290" i="49"/>
  <c r="BG290" i="49"/>
  <c r="BE290" i="49"/>
  <c r="BF290" i="49" s="1"/>
  <c r="BD290" i="49"/>
  <c r="BC290" i="49"/>
  <c r="BB290" i="49"/>
  <c r="BA290" i="49"/>
  <c r="AZ290" i="49"/>
  <c r="AY290" i="49"/>
  <c r="AX290" i="49"/>
  <c r="AW290" i="49"/>
  <c r="AU290" i="49"/>
  <c r="AV290" i="49" s="1"/>
  <c r="AT290" i="49"/>
  <c r="AS290" i="49"/>
  <c r="AR290" i="49"/>
  <c r="AP290" i="49"/>
  <c r="AQ290" i="49" s="1"/>
  <c r="AO290" i="49"/>
  <c r="AN290" i="49"/>
  <c r="AM290" i="49"/>
  <c r="AK290" i="49"/>
  <c r="AL290" i="49" s="1"/>
  <c r="AJ290" i="49"/>
  <c r="AI290" i="49"/>
  <c r="AH290" i="49"/>
  <c r="AG290" i="49"/>
  <c r="AF290" i="49"/>
  <c r="AE290" i="49"/>
  <c r="AD290" i="49"/>
  <c r="AC290" i="49"/>
  <c r="AA290" i="49"/>
  <c r="AB290" i="49" s="1"/>
  <c r="Z290" i="49"/>
  <c r="Y290" i="49"/>
  <c r="X290" i="49"/>
  <c r="V290" i="49"/>
  <c r="W290" i="49" s="1"/>
  <c r="U290" i="49"/>
  <c r="T290" i="49"/>
  <c r="S290" i="49"/>
  <c r="Q290" i="49"/>
  <c r="R290" i="49" s="1"/>
  <c r="P290" i="49"/>
  <c r="O290" i="49"/>
  <c r="N290" i="49"/>
  <c r="M290" i="49"/>
  <c r="L290" i="49"/>
  <c r="K290" i="49"/>
  <c r="J290" i="49"/>
  <c r="I290" i="49"/>
  <c r="BT289" i="49"/>
  <c r="BU289" i="49" s="1"/>
  <c r="BS289" i="49"/>
  <c r="BR289" i="49"/>
  <c r="BR314" i="49" s="1"/>
  <c r="BQ289" i="49"/>
  <c r="BO289" i="49"/>
  <c r="BP289" i="49" s="1"/>
  <c r="BN289" i="49"/>
  <c r="BJ289" i="49"/>
  <c r="BK289" i="49" s="1"/>
  <c r="BI289" i="49"/>
  <c r="BH289" i="49"/>
  <c r="BG289" i="49"/>
  <c r="BF289" i="49"/>
  <c r="BE289" i="49"/>
  <c r="BD289" i="49"/>
  <c r="BC289" i="49"/>
  <c r="BB289" i="49"/>
  <c r="AZ289" i="49"/>
  <c r="BA289" i="49" s="1"/>
  <c r="AY289" i="49"/>
  <c r="AX289" i="49"/>
  <c r="AW289" i="49"/>
  <c r="AU289" i="49"/>
  <c r="AV289" i="49" s="1"/>
  <c r="AT289" i="49"/>
  <c r="AS289" i="49"/>
  <c r="AR289" i="49"/>
  <c r="AP289" i="49"/>
  <c r="AQ289" i="49" s="1"/>
  <c r="AO289" i="49"/>
  <c r="AN289" i="49"/>
  <c r="AM289" i="49"/>
  <c r="AL289" i="49"/>
  <c r="AK289" i="49"/>
  <c r="AJ289" i="49"/>
  <c r="AI289" i="49"/>
  <c r="AH289" i="49"/>
  <c r="AF289" i="49"/>
  <c r="AG289" i="49" s="1"/>
  <c r="AE289" i="49"/>
  <c r="AD289" i="49"/>
  <c r="AC289" i="49"/>
  <c r="AA289" i="49"/>
  <c r="AB289" i="49" s="1"/>
  <c r="Z289" i="49"/>
  <c r="Y289" i="49"/>
  <c r="X289" i="49"/>
  <c r="V289" i="49"/>
  <c r="W289" i="49" s="1"/>
  <c r="U289" i="49"/>
  <c r="T289" i="49"/>
  <c r="S289" i="49"/>
  <c r="R289" i="49"/>
  <c r="Q289" i="49"/>
  <c r="N289" i="49"/>
  <c r="J289" i="49"/>
  <c r="BT288" i="49"/>
  <c r="BU288" i="49" s="1"/>
  <c r="BS288" i="49"/>
  <c r="BR288" i="49"/>
  <c r="BQ288" i="49"/>
  <c r="BO288" i="49"/>
  <c r="BP288" i="49" s="1"/>
  <c r="BN288" i="49"/>
  <c r="BM288" i="49"/>
  <c r="BL288" i="49"/>
  <c r="BK288" i="49"/>
  <c r="BJ288" i="49"/>
  <c r="BI288" i="49"/>
  <c r="BH288" i="49"/>
  <c r="BG288" i="49"/>
  <c r="BE288" i="49"/>
  <c r="BF288" i="49" s="1"/>
  <c r="BD288" i="49"/>
  <c r="BC288" i="49"/>
  <c r="BB288" i="49"/>
  <c r="AZ288" i="49"/>
  <c r="BA288" i="49" s="1"/>
  <c r="AY288" i="49"/>
  <c r="AX288" i="49"/>
  <c r="AW288" i="49"/>
  <c r="AU288" i="49"/>
  <c r="AV288" i="49" s="1"/>
  <c r="AT288" i="49"/>
  <c r="AS288" i="49"/>
  <c r="AR288" i="49"/>
  <c r="AQ288" i="49"/>
  <c r="AP288" i="49"/>
  <c r="AO288" i="49"/>
  <c r="AN288" i="49"/>
  <c r="AM288" i="49"/>
  <c r="AK288" i="49"/>
  <c r="AL288" i="49" s="1"/>
  <c r="AJ288" i="49"/>
  <c r="AI288" i="49"/>
  <c r="AH288" i="49"/>
  <c r="AF288" i="49"/>
  <c r="AG288" i="49" s="1"/>
  <c r="AE288" i="49"/>
  <c r="AD288" i="49"/>
  <c r="AC288" i="49"/>
  <c r="AA288" i="49"/>
  <c r="AB288" i="49" s="1"/>
  <c r="Z288" i="49"/>
  <c r="Y288" i="49"/>
  <c r="X288" i="49"/>
  <c r="W288" i="49"/>
  <c r="V288" i="49"/>
  <c r="U288" i="49"/>
  <c r="T288" i="49"/>
  <c r="S288" i="49"/>
  <c r="Q288" i="49"/>
  <c r="R288" i="49" s="1"/>
  <c r="P288" i="49"/>
  <c r="O288" i="49"/>
  <c r="N288" i="49"/>
  <c r="L288" i="49"/>
  <c r="M288" i="49" s="1"/>
  <c r="K288" i="49"/>
  <c r="J288" i="49"/>
  <c r="I288" i="49"/>
  <c r="BT287" i="49"/>
  <c r="BU287" i="49" s="1"/>
  <c r="BS287" i="49"/>
  <c r="BR287" i="49"/>
  <c r="BQ287" i="49"/>
  <c r="BP287" i="49"/>
  <c r="BO287" i="49"/>
  <c r="BN287" i="49"/>
  <c r="BM287" i="49"/>
  <c r="BL287" i="49"/>
  <c r="BJ287" i="49"/>
  <c r="BK287" i="49" s="1"/>
  <c r="BI287" i="49"/>
  <c r="BH287" i="49"/>
  <c r="BG287" i="49"/>
  <c r="BE287" i="49"/>
  <c r="BF287" i="49" s="1"/>
  <c r="BD287" i="49"/>
  <c r="BC287" i="49"/>
  <c r="BB287" i="49"/>
  <c r="AZ287" i="49"/>
  <c r="BA287" i="49" s="1"/>
  <c r="AY287" i="49"/>
  <c r="AX287" i="49"/>
  <c r="AW287" i="49"/>
  <c r="AV287" i="49"/>
  <c r="AU287" i="49"/>
  <c r="AT287" i="49"/>
  <c r="AS287" i="49"/>
  <c r="AR287" i="49"/>
  <c r="AP287" i="49"/>
  <c r="AQ287" i="49" s="1"/>
  <c r="AO287" i="49"/>
  <c r="AN287" i="49"/>
  <c r="AM287" i="49"/>
  <c r="AK287" i="49"/>
  <c r="AL287" i="49" s="1"/>
  <c r="AJ287" i="49"/>
  <c r="AI287" i="49"/>
  <c r="AH287" i="49"/>
  <c r="AF287" i="49"/>
  <c r="AG287" i="49" s="1"/>
  <c r="AE287" i="49"/>
  <c r="AD287" i="49"/>
  <c r="AC287" i="49"/>
  <c r="AB287" i="49"/>
  <c r="AA287" i="49"/>
  <c r="Z287" i="49"/>
  <c r="Y287" i="49"/>
  <c r="X287" i="49"/>
  <c r="V287" i="49"/>
  <c r="W287" i="49" s="1"/>
  <c r="U287" i="49"/>
  <c r="T287" i="49"/>
  <c r="S287" i="49"/>
  <c r="Q287" i="49"/>
  <c r="R287" i="49" s="1"/>
  <c r="P287" i="49"/>
  <c r="O287" i="49"/>
  <c r="N287" i="49"/>
  <c r="L287" i="49"/>
  <c r="M287" i="49" s="1"/>
  <c r="K287" i="49"/>
  <c r="J287" i="49"/>
  <c r="I287" i="49"/>
  <c r="BU286" i="49"/>
  <c r="BT286" i="49"/>
  <c r="BS286" i="49"/>
  <c r="BR286" i="49"/>
  <c r="BQ286" i="49"/>
  <c r="BQ388" i="49" s="1"/>
  <c r="BO286" i="49"/>
  <c r="BP286" i="49" s="1"/>
  <c r="BN286" i="49"/>
  <c r="BM286" i="49"/>
  <c r="BM388" i="49" s="1"/>
  <c r="BL286" i="49"/>
  <c r="BJ286" i="49"/>
  <c r="BK286" i="49" s="1"/>
  <c r="BI286" i="49"/>
  <c r="BI388" i="49" s="1"/>
  <c r="BH286" i="49"/>
  <c r="BG286" i="49"/>
  <c r="BE286" i="49"/>
  <c r="BF286" i="49" s="1"/>
  <c r="BD286" i="49"/>
  <c r="BC286" i="49"/>
  <c r="BB286" i="49"/>
  <c r="BA286" i="49"/>
  <c r="AZ286" i="49"/>
  <c r="AY286" i="49"/>
  <c r="AX286" i="49"/>
  <c r="AW286" i="49"/>
  <c r="AW388" i="49" s="1"/>
  <c r="AU286" i="49"/>
  <c r="AV286" i="49" s="1"/>
  <c r="AT286" i="49"/>
  <c r="AS286" i="49"/>
  <c r="AS388" i="49" s="1"/>
  <c r="AR286" i="49"/>
  <c r="AP286" i="49"/>
  <c r="AQ286" i="49" s="1"/>
  <c r="AO286" i="49"/>
  <c r="AN286" i="49"/>
  <c r="AM286" i="49"/>
  <c r="AK286" i="49"/>
  <c r="AL286" i="49" s="1"/>
  <c r="AJ286" i="49"/>
  <c r="AI286" i="49"/>
  <c r="AH286" i="49"/>
  <c r="AG286" i="49"/>
  <c r="AF286" i="49"/>
  <c r="AE286" i="49"/>
  <c r="AD286" i="49"/>
  <c r="AC286" i="49"/>
  <c r="AC388" i="49" s="1"/>
  <c r="AA286" i="49"/>
  <c r="AB286" i="49" s="1"/>
  <c r="Z286" i="49"/>
  <c r="Y286" i="49"/>
  <c r="X286" i="49"/>
  <c r="V286" i="49"/>
  <c r="W286" i="49" s="1"/>
  <c r="U286" i="49"/>
  <c r="U388" i="49" s="1"/>
  <c r="T286" i="49"/>
  <c r="S286" i="49"/>
  <c r="Q286" i="49"/>
  <c r="R286" i="49" s="1"/>
  <c r="P286" i="49"/>
  <c r="O286" i="49"/>
  <c r="N286" i="49"/>
  <c r="M286" i="49"/>
  <c r="L286" i="49"/>
  <c r="K286" i="49"/>
  <c r="J286" i="49"/>
  <c r="I286" i="49"/>
  <c r="BT285" i="49"/>
  <c r="BU285" i="49" s="1"/>
  <c r="BS285" i="49"/>
  <c r="BR285" i="49"/>
  <c r="BQ285" i="49"/>
  <c r="BO285" i="49"/>
  <c r="BP285" i="49" s="1"/>
  <c r="BN285" i="49"/>
  <c r="BN314" i="49" s="1"/>
  <c r="BM285" i="49"/>
  <c r="BL285" i="49"/>
  <c r="BJ285" i="49"/>
  <c r="BK285" i="49" s="1"/>
  <c r="BI285" i="49"/>
  <c r="BH285" i="49"/>
  <c r="BG285" i="49"/>
  <c r="BF285" i="49"/>
  <c r="BE285" i="49"/>
  <c r="BD285" i="49"/>
  <c r="BC285" i="49"/>
  <c r="BB285" i="49"/>
  <c r="BB314" i="49" s="1"/>
  <c r="AZ285" i="49"/>
  <c r="BA285" i="49" s="1"/>
  <c r="AY285" i="49"/>
  <c r="AX285" i="49"/>
  <c r="AX314" i="49" s="1"/>
  <c r="AW285" i="49"/>
  <c r="AW314" i="49" s="1"/>
  <c r="AU285" i="49"/>
  <c r="AV285" i="49" s="1"/>
  <c r="AT285" i="49"/>
  <c r="AT314" i="49" s="1"/>
  <c r="AS285" i="49"/>
  <c r="AR285" i="49"/>
  <c r="AR314" i="49" s="1"/>
  <c r="AP285" i="49"/>
  <c r="AQ285" i="49" s="1"/>
  <c r="AO285" i="49"/>
  <c r="AN285" i="49"/>
  <c r="AM285" i="49"/>
  <c r="AM314" i="49" s="1"/>
  <c r="AL285" i="49"/>
  <c r="AK285" i="49"/>
  <c r="AJ285" i="49"/>
  <c r="AI285" i="49"/>
  <c r="AI314" i="49" s="1"/>
  <c r="AH285" i="49"/>
  <c r="AH314" i="49" s="1"/>
  <c r="AF285" i="49"/>
  <c r="AG285" i="49" s="1"/>
  <c r="AE285" i="49"/>
  <c r="AD285" i="49"/>
  <c r="AD314" i="49" s="1"/>
  <c r="AC285" i="49"/>
  <c r="AA285" i="49"/>
  <c r="AB285" i="49" s="1"/>
  <c r="Z285" i="49"/>
  <c r="Z314" i="49" s="1"/>
  <c r="Y285" i="49"/>
  <c r="Y314" i="49" s="1"/>
  <c r="X285" i="49"/>
  <c r="V285" i="49"/>
  <c r="W285" i="49" s="1"/>
  <c r="U285" i="49"/>
  <c r="T285" i="49"/>
  <c r="T314" i="49" s="1"/>
  <c r="P285" i="49"/>
  <c r="J285" i="49"/>
  <c r="CM284" i="49"/>
  <c r="CM314" i="49" s="1"/>
  <c r="CL284" i="49"/>
  <c r="CL386" i="49" s="1"/>
  <c r="CK284" i="49"/>
  <c r="CK314" i="49" s="1"/>
  <c r="CI284" i="49"/>
  <c r="CH284" i="49"/>
  <c r="CD284" i="49"/>
  <c r="CA284" i="49"/>
  <c r="BX284" i="49"/>
  <c r="BW284" i="49"/>
  <c r="BV284" i="49"/>
  <c r="BT284" i="49"/>
  <c r="BS284" i="49"/>
  <c r="BR284" i="49"/>
  <c r="BQ284" i="49"/>
  <c r="BO284" i="49"/>
  <c r="BN284" i="49"/>
  <c r="BJ284" i="49"/>
  <c r="BI284" i="49"/>
  <c r="BH284" i="49"/>
  <c r="BG284" i="49"/>
  <c r="BF284" i="49"/>
  <c r="BE284" i="49"/>
  <c r="BD284" i="49"/>
  <c r="BC284" i="49"/>
  <c r="BB284" i="49"/>
  <c r="AZ284" i="49"/>
  <c r="AY284" i="49"/>
  <c r="AX284" i="49"/>
  <c r="AU284" i="49"/>
  <c r="AT284" i="49"/>
  <c r="AS284" i="49"/>
  <c r="AR284" i="49"/>
  <c r="AP284" i="49"/>
  <c r="AO284" i="49"/>
  <c r="AN284" i="49"/>
  <c r="AM284" i="49"/>
  <c r="AL284" i="49"/>
  <c r="AK284" i="49"/>
  <c r="AJ284" i="49"/>
  <c r="AI284" i="49"/>
  <c r="AH284" i="49"/>
  <c r="AF284" i="49"/>
  <c r="AE284" i="49"/>
  <c r="AD284" i="49"/>
  <c r="AC284" i="49"/>
  <c r="AA284" i="49"/>
  <c r="Z284" i="49"/>
  <c r="Y284" i="49"/>
  <c r="X284" i="49"/>
  <c r="V284" i="49"/>
  <c r="U284" i="49"/>
  <c r="T284" i="49"/>
  <c r="S284" i="49"/>
  <c r="R284" i="49"/>
  <c r="Q284" i="49"/>
  <c r="P284" i="49"/>
  <c r="J284" i="49"/>
  <c r="AL281" i="49"/>
  <c r="AK281" i="49"/>
  <c r="AJ281" i="49"/>
  <c r="AI281" i="49"/>
  <c r="AH281" i="49"/>
  <c r="AG281" i="49"/>
  <c r="AF281" i="49"/>
  <c r="AE281" i="49"/>
  <c r="AD281" i="49"/>
  <c r="AC281" i="49"/>
  <c r="AB281" i="49"/>
  <c r="AA281" i="49"/>
  <c r="Z281" i="49"/>
  <c r="Y281" i="49"/>
  <c r="X281" i="49"/>
  <c r="W281" i="49"/>
  <c r="V281" i="49"/>
  <c r="U281" i="49"/>
  <c r="T281" i="49"/>
  <c r="S281" i="49"/>
  <c r="R281" i="49"/>
  <c r="Q281" i="49"/>
  <c r="P281" i="49"/>
  <c r="O281" i="49"/>
  <c r="N281" i="49"/>
  <c r="M281" i="49"/>
  <c r="L281" i="49"/>
  <c r="K281" i="49"/>
  <c r="J281" i="49"/>
  <c r="I281" i="49"/>
  <c r="H281" i="49"/>
  <c r="G281" i="49"/>
  <c r="F281" i="49"/>
  <c r="E281" i="49"/>
  <c r="D281" i="49"/>
  <c r="CV276" i="49"/>
  <c r="CU276" i="49"/>
  <c r="CT276" i="49"/>
  <c r="CA276" i="49"/>
  <c r="BS276" i="49"/>
  <c r="BO276" i="49"/>
  <c r="BG276" i="49"/>
  <c r="BC276" i="49"/>
  <c r="AY276" i="49"/>
  <c r="AU276" i="49"/>
  <c r="AM276" i="49"/>
  <c r="AI276" i="49"/>
  <c r="AE276" i="49"/>
  <c r="AA276" i="49"/>
  <c r="CL275" i="49"/>
  <c r="CH275" i="49"/>
  <c r="CF275" i="49"/>
  <c r="CE275" i="49"/>
  <c r="CE417" i="49" s="1"/>
  <c r="CB275" i="49"/>
  <c r="CA275" i="49"/>
  <c r="CA417" i="49" s="1"/>
  <c r="BZ275" i="49"/>
  <c r="BU275" i="49"/>
  <c r="CM274" i="49"/>
  <c r="CM416" i="49" s="1"/>
  <c r="CL274" i="49"/>
  <c r="CK274" i="49"/>
  <c r="CI274" i="49"/>
  <c r="CI416" i="49" s="1"/>
  <c r="CJ416" i="49" s="1"/>
  <c r="CH274" i="49"/>
  <c r="CH416" i="49" s="1"/>
  <c r="CM273" i="49"/>
  <c r="CL273" i="49"/>
  <c r="CK273" i="49"/>
  <c r="CI273" i="49"/>
  <c r="CH273" i="49"/>
  <c r="CH415" i="49" s="1"/>
  <c r="CM272" i="49"/>
  <c r="CM414" i="49" s="1"/>
  <c r="CL272" i="49"/>
  <c r="CL414" i="49" s="1"/>
  <c r="CK272" i="49"/>
  <c r="CI272" i="49"/>
  <c r="CH272" i="49"/>
  <c r="CM271" i="49"/>
  <c r="CL271" i="49"/>
  <c r="CL413" i="49" s="1"/>
  <c r="CK271" i="49"/>
  <c r="CI271" i="49"/>
  <c r="CH271" i="49"/>
  <c r="CM270" i="49"/>
  <c r="CM412" i="49" s="1"/>
  <c r="CL270" i="49"/>
  <c r="CL412" i="49" s="1"/>
  <c r="CK270" i="49"/>
  <c r="CI270" i="49"/>
  <c r="CI412" i="49" s="1"/>
  <c r="CJ412" i="49" s="1"/>
  <c r="CH270" i="49"/>
  <c r="CH412" i="49" s="1"/>
  <c r="CM269" i="49"/>
  <c r="CL269" i="49"/>
  <c r="CL411" i="49" s="1"/>
  <c r="CK269" i="49"/>
  <c r="CI269" i="49"/>
  <c r="CH269" i="49"/>
  <c r="CH411" i="49" s="1"/>
  <c r="CM268" i="49"/>
  <c r="CM410" i="49" s="1"/>
  <c r="CL268" i="49"/>
  <c r="CL410" i="49" s="1"/>
  <c r="CK268" i="49"/>
  <c r="CI268" i="49"/>
  <c r="CH268" i="49"/>
  <c r="CM267" i="49"/>
  <c r="CL267" i="49"/>
  <c r="CL409" i="49" s="1"/>
  <c r="CK267" i="49"/>
  <c r="CK409" i="49" s="1"/>
  <c r="CI267" i="49"/>
  <c r="CH267" i="49"/>
  <c r="CH409" i="49" s="1"/>
  <c r="CM266" i="49"/>
  <c r="CM408" i="49" s="1"/>
  <c r="CL266" i="49"/>
  <c r="CK266" i="49"/>
  <c r="CI266" i="49"/>
  <c r="CI408" i="49" s="1"/>
  <c r="CJ408" i="49" s="1"/>
  <c r="CH266" i="49"/>
  <c r="CH408" i="49" s="1"/>
  <c r="CM265" i="49"/>
  <c r="CL265" i="49"/>
  <c r="CK265" i="49"/>
  <c r="CI265" i="49"/>
  <c r="CH265" i="49"/>
  <c r="CH407" i="49" s="1"/>
  <c r="CJ263" i="49"/>
  <c r="CJ255" i="49"/>
  <c r="CH263" i="49"/>
  <c r="CH405" i="49" s="1"/>
  <c r="CH262" i="49"/>
  <c r="CH261" i="49"/>
  <c r="CH260" i="49"/>
  <c r="CH259" i="49"/>
  <c r="CH258" i="49"/>
  <c r="CH257" i="49"/>
  <c r="CH256" i="49"/>
  <c r="CH255" i="49"/>
  <c r="CH254" i="49"/>
  <c r="CH253" i="49"/>
  <c r="CH252" i="49"/>
  <c r="CH251" i="49"/>
  <c r="CH250" i="49"/>
  <c r="CH249" i="49"/>
  <c r="CH248" i="49"/>
  <c r="CH247" i="49"/>
  <c r="CH246" i="49"/>
  <c r="CH276" i="49" s="1"/>
  <c r="CE263" i="49"/>
  <c r="CE251" i="49"/>
  <c r="BZ263" i="49"/>
  <c r="BZ405" i="49" s="1"/>
  <c r="BZ256" i="49"/>
  <c r="BZ252" i="49"/>
  <c r="BU263" i="49"/>
  <c r="BU261" i="49"/>
  <c r="BU257" i="49"/>
  <c r="CI262" i="49"/>
  <c r="CI261" i="49"/>
  <c r="CI260" i="49"/>
  <c r="CI259" i="49"/>
  <c r="CI258" i="49"/>
  <c r="CI257" i="49"/>
  <c r="CI256" i="49"/>
  <c r="CI255" i="49"/>
  <c r="CI254" i="49"/>
  <c r="CI253" i="49"/>
  <c r="CI252" i="49"/>
  <c r="CI251" i="49"/>
  <c r="CI250" i="49"/>
  <c r="CI249" i="49"/>
  <c r="CI248" i="49"/>
  <c r="CI247" i="49"/>
  <c r="CI246" i="49"/>
  <c r="BY262" i="49"/>
  <c r="BX262" i="49"/>
  <c r="BW262" i="49"/>
  <c r="BV262" i="49"/>
  <c r="BY261" i="49"/>
  <c r="BX261" i="49"/>
  <c r="BW261" i="49"/>
  <c r="BV261" i="49"/>
  <c r="BY260" i="49"/>
  <c r="BX260" i="49"/>
  <c r="BW260" i="49"/>
  <c r="BV260" i="49"/>
  <c r="BY259" i="49"/>
  <c r="BX259" i="49"/>
  <c r="BW259" i="49"/>
  <c r="BV259" i="49"/>
  <c r="BY258" i="49"/>
  <c r="BX258" i="49"/>
  <c r="BW258" i="49"/>
  <c r="BV258" i="49"/>
  <c r="BY257" i="49"/>
  <c r="BX257" i="49"/>
  <c r="BW257" i="49"/>
  <c r="BV257" i="49"/>
  <c r="BT262" i="49"/>
  <c r="BS262" i="49"/>
  <c r="BR262" i="49"/>
  <c r="BQ262" i="49"/>
  <c r="BO262" i="49"/>
  <c r="BN262" i="49"/>
  <c r="BM262" i="49"/>
  <c r="BL262" i="49"/>
  <c r="BJ262" i="49"/>
  <c r="BI262" i="49"/>
  <c r="BH262" i="49"/>
  <c r="BG262" i="49"/>
  <c r="BE262" i="49"/>
  <c r="BD262" i="49"/>
  <c r="BC262" i="49"/>
  <c r="BB262" i="49"/>
  <c r="AZ262" i="49"/>
  <c r="AY262" i="49"/>
  <c r="AX262" i="49"/>
  <c r="AW262" i="49"/>
  <c r="AU262" i="49"/>
  <c r="AT262" i="49"/>
  <c r="AS262" i="49"/>
  <c r="AR262" i="49"/>
  <c r="AP262" i="49"/>
  <c r="AO262" i="49"/>
  <c r="AN262" i="49"/>
  <c r="AM262" i="49"/>
  <c r="AL262" i="49"/>
  <c r="AK262" i="49"/>
  <c r="AJ262" i="49"/>
  <c r="AI262" i="49"/>
  <c r="AH262" i="49"/>
  <c r="AF262" i="49"/>
  <c r="AE262" i="49"/>
  <c r="AD262" i="49"/>
  <c r="AC262" i="49"/>
  <c r="AA262" i="49"/>
  <c r="Z262" i="49"/>
  <c r="Y262" i="49"/>
  <c r="X262" i="49"/>
  <c r="V262" i="49"/>
  <c r="U262" i="49"/>
  <c r="T262" i="49"/>
  <c r="S262" i="49"/>
  <c r="Q262" i="49"/>
  <c r="P262" i="49"/>
  <c r="BT261" i="49"/>
  <c r="BS261" i="49"/>
  <c r="BR261" i="49"/>
  <c r="BQ261" i="49"/>
  <c r="BO261" i="49"/>
  <c r="BN261" i="49"/>
  <c r="BM261" i="49"/>
  <c r="BL261" i="49"/>
  <c r="BJ261" i="49"/>
  <c r="BI261" i="49"/>
  <c r="BH261" i="49"/>
  <c r="BG261" i="49"/>
  <c r="BE261" i="49"/>
  <c r="BD261" i="49"/>
  <c r="BC261" i="49"/>
  <c r="BB261" i="49"/>
  <c r="AZ261" i="49"/>
  <c r="AY261" i="49"/>
  <c r="AX261" i="49"/>
  <c r="AW261" i="49"/>
  <c r="AU261" i="49"/>
  <c r="AT261" i="49"/>
  <c r="AS261" i="49"/>
  <c r="AR261" i="49"/>
  <c r="AP261" i="49"/>
  <c r="AO261" i="49"/>
  <c r="AN261" i="49"/>
  <c r="AM261" i="49"/>
  <c r="AL261" i="49"/>
  <c r="AK261" i="49"/>
  <c r="AJ261" i="49"/>
  <c r="AI261" i="49"/>
  <c r="AH261" i="49"/>
  <c r="AF261" i="49"/>
  <c r="AE261" i="49"/>
  <c r="AD261" i="49"/>
  <c r="AC261" i="49"/>
  <c r="AA261" i="49"/>
  <c r="Z261" i="49"/>
  <c r="Y261" i="49"/>
  <c r="X261" i="49"/>
  <c r="V261" i="49"/>
  <c r="U261" i="49"/>
  <c r="T261" i="49"/>
  <c r="S261" i="49"/>
  <c r="R261" i="49"/>
  <c r="Q261" i="49"/>
  <c r="P261" i="49"/>
  <c r="N261" i="49"/>
  <c r="BT260" i="49"/>
  <c r="BS260" i="49"/>
  <c r="BR260" i="49"/>
  <c r="BQ260" i="49"/>
  <c r="BO260" i="49"/>
  <c r="BN260" i="49"/>
  <c r="BM260" i="49"/>
  <c r="BL260" i="49"/>
  <c r="BJ260" i="49"/>
  <c r="BI260" i="49"/>
  <c r="BH260" i="49"/>
  <c r="BG260" i="49"/>
  <c r="BF260" i="49"/>
  <c r="BE260" i="49"/>
  <c r="BD260" i="49"/>
  <c r="BC260" i="49"/>
  <c r="BB260" i="49"/>
  <c r="AZ260" i="49"/>
  <c r="AY260" i="49"/>
  <c r="AX260" i="49"/>
  <c r="AW260" i="49"/>
  <c r="AU260" i="49"/>
  <c r="AT260" i="49"/>
  <c r="AS260" i="49"/>
  <c r="AR260" i="49"/>
  <c r="AP260" i="49"/>
  <c r="AO260" i="49"/>
  <c r="AN260" i="49"/>
  <c r="AM260" i="49"/>
  <c r="AL260" i="49"/>
  <c r="AK260" i="49"/>
  <c r="AJ260" i="49"/>
  <c r="AI260" i="49"/>
  <c r="AH260" i="49"/>
  <c r="AF260" i="49"/>
  <c r="AE260" i="49"/>
  <c r="AD260" i="49"/>
  <c r="AC260" i="49"/>
  <c r="AA260" i="49"/>
  <c r="Z260" i="49"/>
  <c r="Y260" i="49"/>
  <c r="X260" i="49"/>
  <c r="V260" i="49"/>
  <c r="U260" i="49"/>
  <c r="T260" i="49"/>
  <c r="S260" i="49"/>
  <c r="R260" i="49"/>
  <c r="Q260" i="49"/>
  <c r="P260" i="49"/>
  <c r="O260" i="49"/>
  <c r="N260" i="49"/>
  <c r="M260" i="49"/>
  <c r="L260" i="49"/>
  <c r="K260" i="49"/>
  <c r="J260" i="49"/>
  <c r="I260" i="49"/>
  <c r="BT259" i="49"/>
  <c r="BS259" i="49"/>
  <c r="BR259" i="49"/>
  <c r="BQ259" i="49"/>
  <c r="BO259" i="49"/>
  <c r="BN259" i="49"/>
  <c r="BM259" i="49"/>
  <c r="BL259" i="49"/>
  <c r="BJ259" i="49"/>
  <c r="BI259" i="49"/>
  <c r="BH259" i="49"/>
  <c r="BG259" i="49"/>
  <c r="BF259" i="49"/>
  <c r="BE259" i="49"/>
  <c r="BD259" i="49"/>
  <c r="BC259" i="49"/>
  <c r="BB259" i="49"/>
  <c r="AZ259" i="49"/>
  <c r="AY259" i="49"/>
  <c r="AX259" i="49"/>
  <c r="AW259" i="49"/>
  <c r="AU259" i="49"/>
  <c r="AT259" i="49"/>
  <c r="AS259" i="49"/>
  <c r="AR259" i="49"/>
  <c r="AP259" i="49"/>
  <c r="AO259" i="49"/>
  <c r="AN259" i="49"/>
  <c r="AM259" i="49"/>
  <c r="AK259" i="49"/>
  <c r="AJ259" i="49"/>
  <c r="AI259" i="49"/>
  <c r="AH259" i="49"/>
  <c r="AF259" i="49"/>
  <c r="AE259" i="49"/>
  <c r="AD259" i="49"/>
  <c r="AC259" i="49"/>
  <c r="AA259" i="49"/>
  <c r="Z259" i="49"/>
  <c r="Y259" i="49"/>
  <c r="X259" i="49"/>
  <c r="V259" i="49"/>
  <c r="U259" i="49"/>
  <c r="T259" i="49"/>
  <c r="S259" i="49"/>
  <c r="R259" i="49"/>
  <c r="Q259" i="49"/>
  <c r="P259" i="49"/>
  <c r="O259" i="49"/>
  <c r="N259" i="49"/>
  <c r="M259" i="49"/>
  <c r="L259" i="49"/>
  <c r="K259" i="49"/>
  <c r="J259" i="49"/>
  <c r="I259" i="49"/>
  <c r="BT258" i="49"/>
  <c r="BS258" i="49"/>
  <c r="BR258" i="49"/>
  <c r="BQ258" i="49"/>
  <c r="BO258" i="49"/>
  <c r="BN258" i="49"/>
  <c r="BM258" i="49"/>
  <c r="BL258" i="49"/>
  <c r="BJ258" i="49"/>
  <c r="BI258" i="49"/>
  <c r="BH258" i="49"/>
  <c r="BG258" i="49"/>
  <c r="BF258" i="49"/>
  <c r="BE258" i="49"/>
  <c r="BD258" i="49"/>
  <c r="BC258" i="49"/>
  <c r="BB258" i="49"/>
  <c r="BA258" i="49"/>
  <c r="AZ258" i="49"/>
  <c r="AY258" i="49"/>
  <c r="AX258" i="49"/>
  <c r="AW258" i="49"/>
  <c r="AV258" i="49"/>
  <c r="AU258" i="49"/>
  <c r="AT258" i="49"/>
  <c r="AS258" i="49"/>
  <c r="AR258" i="49"/>
  <c r="AQ258" i="49"/>
  <c r="AP258" i="49"/>
  <c r="AO258" i="49"/>
  <c r="AN258" i="49"/>
  <c r="AM258" i="49"/>
  <c r="AL258" i="49"/>
  <c r="AK258" i="49"/>
  <c r="AJ258" i="49"/>
  <c r="AI258" i="49"/>
  <c r="AH258" i="49"/>
  <c r="AG258" i="49"/>
  <c r="AF258" i="49"/>
  <c r="AE258" i="49"/>
  <c r="AD258" i="49"/>
  <c r="AC258" i="49"/>
  <c r="AB258" i="49"/>
  <c r="AA258" i="49"/>
  <c r="Z258" i="49"/>
  <c r="Y258" i="49"/>
  <c r="X258" i="49"/>
  <c r="W258" i="49"/>
  <c r="V258" i="49"/>
  <c r="U258" i="49"/>
  <c r="T258" i="49"/>
  <c r="S258" i="49"/>
  <c r="R258" i="49"/>
  <c r="Q258" i="49"/>
  <c r="P258" i="49"/>
  <c r="O258" i="49"/>
  <c r="N258" i="49"/>
  <c r="M258" i="49"/>
  <c r="L258" i="49"/>
  <c r="K258" i="49"/>
  <c r="J258" i="49"/>
  <c r="I258" i="49"/>
  <c r="BT257" i="49"/>
  <c r="BS257" i="49"/>
  <c r="BR257" i="49"/>
  <c r="BQ257" i="49"/>
  <c r="BO257" i="49"/>
  <c r="BN257" i="49"/>
  <c r="BM257" i="49"/>
  <c r="BL257" i="49"/>
  <c r="BJ257" i="49"/>
  <c r="BI257" i="49"/>
  <c r="BH257" i="49"/>
  <c r="BG257" i="49"/>
  <c r="BE257" i="49"/>
  <c r="BD257" i="49"/>
  <c r="BC257" i="49"/>
  <c r="BB257" i="49"/>
  <c r="AZ257" i="49"/>
  <c r="AY257" i="49"/>
  <c r="AX257" i="49"/>
  <c r="AW257" i="49"/>
  <c r="AU257" i="49"/>
  <c r="AT257" i="49"/>
  <c r="AS257" i="49"/>
  <c r="AR257" i="49"/>
  <c r="AP257" i="49"/>
  <c r="AO257" i="49"/>
  <c r="AN257" i="49"/>
  <c r="AM257" i="49"/>
  <c r="AL257" i="49"/>
  <c r="AK257" i="49"/>
  <c r="AJ257" i="49"/>
  <c r="AI257" i="49"/>
  <c r="AH257" i="49"/>
  <c r="AF257" i="49"/>
  <c r="AE257" i="49"/>
  <c r="AD257" i="49"/>
  <c r="AC257" i="49"/>
  <c r="AA257" i="49"/>
  <c r="Z257" i="49"/>
  <c r="Y257" i="49"/>
  <c r="X257" i="49"/>
  <c r="V257" i="49"/>
  <c r="U257" i="49"/>
  <c r="T257" i="49"/>
  <c r="S257" i="49"/>
  <c r="R257" i="49"/>
  <c r="Q257" i="49"/>
  <c r="P257" i="49"/>
  <c r="J257" i="49"/>
  <c r="CG262" i="49"/>
  <c r="CF262" i="49"/>
  <c r="CG261" i="49"/>
  <c r="CF261" i="49"/>
  <c r="CG260" i="49"/>
  <c r="CF260" i="49"/>
  <c r="CG259" i="49"/>
  <c r="CF259" i="49"/>
  <c r="CG258" i="49"/>
  <c r="CF258" i="49"/>
  <c r="CG257" i="49"/>
  <c r="CF257" i="49"/>
  <c r="CG256" i="49"/>
  <c r="CF256" i="49"/>
  <c r="CG255" i="49"/>
  <c r="CF255" i="49"/>
  <c r="CG254" i="49"/>
  <c r="CF254" i="49"/>
  <c r="CG253" i="49"/>
  <c r="CF253" i="49"/>
  <c r="CG252" i="49"/>
  <c r="CF252" i="49"/>
  <c r="CG251" i="49"/>
  <c r="CF251" i="49"/>
  <c r="CG250" i="49"/>
  <c r="CF250" i="49"/>
  <c r="CG249" i="49"/>
  <c r="CF249" i="49"/>
  <c r="CG248" i="49"/>
  <c r="CF248" i="49"/>
  <c r="CG247" i="49"/>
  <c r="CF247" i="49"/>
  <c r="CF276" i="49" s="1"/>
  <c r="CD262" i="49"/>
  <c r="CC262" i="49"/>
  <c r="CB262" i="49"/>
  <c r="CA262" i="49"/>
  <c r="CD261" i="49"/>
  <c r="CC261" i="49"/>
  <c r="CB261" i="49"/>
  <c r="CA261" i="49"/>
  <c r="CD260" i="49"/>
  <c r="CC260" i="49"/>
  <c r="CB260" i="49"/>
  <c r="CA260" i="49"/>
  <c r="CD259" i="49"/>
  <c r="CC259" i="49"/>
  <c r="CB259" i="49"/>
  <c r="CA259" i="49"/>
  <c r="CD258" i="49"/>
  <c r="CC258" i="49"/>
  <c r="CB258" i="49"/>
  <c r="CA258" i="49"/>
  <c r="CD257" i="49"/>
  <c r="CC257" i="49"/>
  <c r="CB257" i="49"/>
  <c r="CA257" i="49"/>
  <c r="CD256" i="49"/>
  <c r="CC256" i="49"/>
  <c r="CB256" i="49"/>
  <c r="CA256" i="49"/>
  <c r="CD255" i="49"/>
  <c r="CC255" i="49"/>
  <c r="CB255" i="49"/>
  <c r="CA255" i="49"/>
  <c r="CD254" i="49"/>
  <c r="CC254" i="49"/>
  <c r="CB254" i="49"/>
  <c r="CA254" i="49"/>
  <c r="CD253" i="49"/>
  <c r="CC253" i="49"/>
  <c r="CB253" i="49"/>
  <c r="CA253" i="49"/>
  <c r="CD252" i="49"/>
  <c r="CC252" i="49"/>
  <c r="CB252" i="49"/>
  <c r="CA252" i="49"/>
  <c r="CD251" i="49"/>
  <c r="CB251" i="49"/>
  <c r="CA251" i="49"/>
  <c r="CD250" i="49"/>
  <c r="CC250" i="49"/>
  <c r="CB250" i="49"/>
  <c r="CA250" i="49"/>
  <c r="CD249" i="49"/>
  <c r="CC249" i="49"/>
  <c r="CB249" i="49"/>
  <c r="CA249" i="49"/>
  <c r="CD248" i="49"/>
  <c r="CC248" i="49"/>
  <c r="CB248" i="49"/>
  <c r="CA248" i="49"/>
  <c r="CD247" i="49"/>
  <c r="CD276" i="49" s="1"/>
  <c r="CC247" i="49"/>
  <c r="CB247" i="49"/>
  <c r="CA247" i="49"/>
  <c r="BY256" i="49"/>
  <c r="BX256" i="49"/>
  <c r="BW256" i="49"/>
  <c r="BY255" i="49"/>
  <c r="BX255" i="49"/>
  <c r="BW255" i="49"/>
  <c r="BY254" i="49"/>
  <c r="BX254" i="49"/>
  <c r="BW254" i="49"/>
  <c r="BY253" i="49"/>
  <c r="BX253" i="49"/>
  <c r="BW253" i="49"/>
  <c r="BY252" i="49"/>
  <c r="BX252" i="49"/>
  <c r="BW252" i="49"/>
  <c r="BX251" i="49"/>
  <c r="BW251" i="49"/>
  <c r="BY250" i="49"/>
  <c r="BX250" i="49"/>
  <c r="BW250" i="49"/>
  <c r="BY249" i="49"/>
  <c r="BX249" i="49"/>
  <c r="BW249" i="49"/>
  <c r="BY248" i="49"/>
  <c r="BX248" i="49"/>
  <c r="BW248" i="49"/>
  <c r="BW276" i="49" s="1"/>
  <c r="BY247" i="49"/>
  <c r="BX247" i="49"/>
  <c r="BX276" i="49" s="1"/>
  <c r="BW247" i="49"/>
  <c r="BV255" i="49"/>
  <c r="BT255" i="49"/>
  <c r="BS255" i="49"/>
  <c r="BR255" i="49"/>
  <c r="BQ255" i="49"/>
  <c r="BO255" i="49"/>
  <c r="BN255" i="49"/>
  <c r="BJ255" i="49"/>
  <c r="BI255" i="49"/>
  <c r="BH255" i="49"/>
  <c r="BG255" i="49"/>
  <c r="BF255" i="49"/>
  <c r="BE255" i="49"/>
  <c r="BD255" i="49"/>
  <c r="BC255" i="49"/>
  <c r="BB255" i="49"/>
  <c r="AZ255" i="49"/>
  <c r="AY255" i="49"/>
  <c r="AX255" i="49"/>
  <c r="AW255" i="49"/>
  <c r="AU255" i="49"/>
  <c r="AT255" i="49"/>
  <c r="AS255" i="49"/>
  <c r="AR255" i="49"/>
  <c r="AP255" i="49"/>
  <c r="AO255" i="49"/>
  <c r="AN255" i="49"/>
  <c r="AM255" i="49"/>
  <c r="AL255" i="49"/>
  <c r="AK255" i="49"/>
  <c r="AJ255" i="49"/>
  <c r="AI255" i="49"/>
  <c r="AH255" i="49"/>
  <c r="AF255" i="49"/>
  <c r="AE255" i="49"/>
  <c r="AD255" i="49"/>
  <c r="AC255" i="49"/>
  <c r="AA255" i="49"/>
  <c r="Z255" i="49"/>
  <c r="Y255" i="49"/>
  <c r="X255" i="49"/>
  <c r="V255" i="49"/>
  <c r="U255" i="49"/>
  <c r="T255" i="49"/>
  <c r="S255" i="49"/>
  <c r="R255" i="49"/>
  <c r="Q255" i="49"/>
  <c r="P255" i="49"/>
  <c r="BV254" i="49"/>
  <c r="BT254" i="49"/>
  <c r="BS254" i="49"/>
  <c r="BR254" i="49"/>
  <c r="BQ254" i="49"/>
  <c r="BP254" i="49"/>
  <c r="BO254" i="49"/>
  <c r="BN254" i="49"/>
  <c r="BM254" i="49"/>
  <c r="BL254" i="49"/>
  <c r="BJ254" i="49"/>
  <c r="BI254" i="49"/>
  <c r="BH254" i="49"/>
  <c r="BG254" i="49"/>
  <c r="BF254" i="49"/>
  <c r="BE254" i="49"/>
  <c r="BD254" i="49"/>
  <c r="BC254" i="49"/>
  <c r="BB254" i="49"/>
  <c r="BA254" i="49"/>
  <c r="AZ254" i="49"/>
  <c r="AY254" i="49"/>
  <c r="AX254" i="49"/>
  <c r="AW254" i="49"/>
  <c r="AV254" i="49"/>
  <c r="AU254" i="49"/>
  <c r="AT254" i="49"/>
  <c r="AS254" i="49"/>
  <c r="AR254" i="49"/>
  <c r="AQ254" i="49"/>
  <c r="AP254" i="49"/>
  <c r="AO254" i="49"/>
  <c r="AN254" i="49"/>
  <c r="AM254" i="49"/>
  <c r="AL254" i="49"/>
  <c r="AK254" i="49"/>
  <c r="AJ254" i="49"/>
  <c r="AI254" i="49"/>
  <c r="AH254" i="49"/>
  <c r="AG254" i="49"/>
  <c r="AF254" i="49"/>
  <c r="AE254" i="49"/>
  <c r="AD254" i="49"/>
  <c r="AC254" i="49"/>
  <c r="AB254" i="49"/>
  <c r="AA254" i="49"/>
  <c r="Z254" i="49"/>
  <c r="Y254" i="49"/>
  <c r="X254" i="49"/>
  <c r="W254" i="49"/>
  <c r="V254" i="49"/>
  <c r="U254" i="49"/>
  <c r="T254" i="49"/>
  <c r="S254" i="49"/>
  <c r="R254" i="49"/>
  <c r="Q254" i="49"/>
  <c r="P254" i="49"/>
  <c r="O254" i="49"/>
  <c r="N254" i="49"/>
  <c r="M254" i="49"/>
  <c r="L254" i="49"/>
  <c r="K254" i="49"/>
  <c r="J254" i="49"/>
  <c r="I254" i="49"/>
  <c r="BV253" i="49"/>
  <c r="BT253" i="49"/>
  <c r="BS253" i="49"/>
  <c r="BR253" i="49"/>
  <c r="BQ253" i="49"/>
  <c r="BO253" i="49"/>
  <c r="BN253" i="49"/>
  <c r="BM253" i="49"/>
  <c r="BL253" i="49"/>
  <c r="BK253" i="49"/>
  <c r="BJ253" i="49"/>
  <c r="BI253" i="49"/>
  <c r="BH253" i="49"/>
  <c r="BG253" i="49"/>
  <c r="BF253" i="49"/>
  <c r="BE253" i="49"/>
  <c r="BD253" i="49"/>
  <c r="BC253" i="49"/>
  <c r="BB253" i="49"/>
  <c r="BA253" i="49"/>
  <c r="AZ253" i="49"/>
  <c r="AY253" i="49"/>
  <c r="AX253" i="49"/>
  <c r="AW253" i="49"/>
  <c r="AV253" i="49"/>
  <c r="AU253" i="49"/>
  <c r="AT253" i="49"/>
  <c r="AS253" i="49"/>
  <c r="AR253" i="49"/>
  <c r="AQ253" i="49"/>
  <c r="AP253" i="49"/>
  <c r="AO253" i="49"/>
  <c r="AN253" i="49"/>
  <c r="AM253" i="49"/>
  <c r="AL253" i="49"/>
  <c r="AK253" i="49"/>
  <c r="AJ253" i="49"/>
  <c r="AI253" i="49"/>
  <c r="AH253" i="49"/>
  <c r="AG253" i="49"/>
  <c r="AF253" i="49"/>
  <c r="AE253" i="49"/>
  <c r="AD253" i="49"/>
  <c r="AC253" i="49"/>
  <c r="AB253" i="49"/>
  <c r="AA253" i="49"/>
  <c r="Z253" i="49"/>
  <c r="Y253" i="49"/>
  <c r="X253" i="49"/>
  <c r="W253" i="49"/>
  <c r="V253" i="49"/>
  <c r="U253" i="49"/>
  <c r="T253" i="49"/>
  <c r="S253" i="49"/>
  <c r="R253" i="49"/>
  <c r="Q253" i="49"/>
  <c r="P253" i="49"/>
  <c r="O253" i="49"/>
  <c r="N253" i="49"/>
  <c r="M253" i="49"/>
  <c r="L253" i="49"/>
  <c r="K253" i="49"/>
  <c r="J253" i="49"/>
  <c r="I253" i="49"/>
  <c r="BV252" i="49"/>
  <c r="BT252" i="49"/>
  <c r="BS252" i="49"/>
  <c r="BR252" i="49"/>
  <c r="BQ252" i="49"/>
  <c r="BO252" i="49"/>
  <c r="BN252" i="49"/>
  <c r="BM252" i="49"/>
  <c r="BL252" i="49"/>
  <c r="BJ252" i="49"/>
  <c r="BI252" i="49"/>
  <c r="BH252" i="49"/>
  <c r="BG252" i="49"/>
  <c r="BE252" i="49"/>
  <c r="BD252" i="49"/>
  <c r="BC252" i="49"/>
  <c r="BB252" i="49"/>
  <c r="AZ252" i="49"/>
  <c r="AY252" i="49"/>
  <c r="AX252" i="49"/>
  <c r="AW252" i="49"/>
  <c r="AU252" i="49"/>
  <c r="AT252" i="49"/>
  <c r="AS252" i="49"/>
  <c r="AR252" i="49"/>
  <c r="AP252" i="49"/>
  <c r="AO252" i="49"/>
  <c r="AN252" i="49"/>
  <c r="AM252" i="49"/>
  <c r="AK252" i="49"/>
  <c r="AJ252" i="49"/>
  <c r="AI252" i="49"/>
  <c r="AH252" i="49"/>
  <c r="AF252" i="49"/>
  <c r="AE252" i="49"/>
  <c r="AD252" i="49"/>
  <c r="AC252" i="49"/>
  <c r="AA252" i="49"/>
  <c r="Z252" i="49"/>
  <c r="Y252" i="49"/>
  <c r="X252" i="49"/>
  <c r="W252" i="49"/>
  <c r="V252" i="49"/>
  <c r="U252" i="49"/>
  <c r="T252" i="49"/>
  <c r="S252" i="49"/>
  <c r="Q252" i="49"/>
  <c r="P252" i="49"/>
  <c r="O252" i="49"/>
  <c r="N252" i="49"/>
  <c r="L252" i="49"/>
  <c r="K252" i="49"/>
  <c r="J252" i="49"/>
  <c r="I252" i="49"/>
  <c r="BV251" i="49"/>
  <c r="BT251" i="49"/>
  <c r="BS251" i="49"/>
  <c r="BR251" i="49"/>
  <c r="BQ251" i="49"/>
  <c r="BO251" i="49"/>
  <c r="BN251" i="49"/>
  <c r="BJ251" i="49"/>
  <c r="BI251" i="49"/>
  <c r="BH251" i="49"/>
  <c r="BG251" i="49"/>
  <c r="BF251" i="49"/>
  <c r="BE251" i="49"/>
  <c r="BD251" i="49"/>
  <c r="BC251" i="49"/>
  <c r="BB251" i="49"/>
  <c r="AZ251" i="49"/>
  <c r="AY251" i="49"/>
  <c r="AX251" i="49"/>
  <c r="AW251" i="49"/>
  <c r="AU251" i="49"/>
  <c r="AT251" i="49"/>
  <c r="AS251" i="49"/>
  <c r="AR251" i="49"/>
  <c r="AP251" i="49"/>
  <c r="AO251" i="49"/>
  <c r="AN251" i="49"/>
  <c r="AM251" i="49"/>
  <c r="AK251" i="49"/>
  <c r="AJ251" i="49"/>
  <c r="AI251" i="49"/>
  <c r="AH251" i="49"/>
  <c r="AF251" i="49"/>
  <c r="AE251" i="49"/>
  <c r="AD251" i="49"/>
  <c r="AC251" i="49"/>
  <c r="AA251" i="49"/>
  <c r="Z251" i="49"/>
  <c r="Y251" i="49"/>
  <c r="X251" i="49"/>
  <c r="V251" i="49"/>
  <c r="U251" i="49"/>
  <c r="T251" i="49"/>
  <c r="S251" i="49"/>
  <c r="Q251" i="49"/>
  <c r="N251" i="49"/>
  <c r="BV250" i="49"/>
  <c r="BT250" i="49"/>
  <c r="BS250" i="49"/>
  <c r="BR250" i="49"/>
  <c r="BQ250" i="49"/>
  <c r="BP250" i="49"/>
  <c r="BO250" i="49"/>
  <c r="BN250" i="49"/>
  <c r="BM250" i="49"/>
  <c r="BL250" i="49"/>
  <c r="BK250" i="49"/>
  <c r="BJ250" i="49"/>
  <c r="BI250" i="49"/>
  <c r="BH250" i="49"/>
  <c r="BG250" i="49"/>
  <c r="BF250" i="49"/>
  <c r="BE250" i="49"/>
  <c r="BD250" i="49"/>
  <c r="BC250" i="49"/>
  <c r="BB250" i="49"/>
  <c r="BA250" i="49"/>
  <c r="AZ250" i="49"/>
  <c r="AY250" i="49"/>
  <c r="AX250" i="49"/>
  <c r="AW250" i="49"/>
  <c r="AV250" i="49"/>
  <c r="AU250" i="49"/>
  <c r="AT250" i="49"/>
  <c r="AS250" i="49"/>
  <c r="AR250" i="49"/>
  <c r="AQ250" i="49"/>
  <c r="AP250" i="49"/>
  <c r="AO250" i="49"/>
  <c r="AN250" i="49"/>
  <c r="AM250" i="49"/>
  <c r="AL250" i="49"/>
  <c r="AK250" i="49"/>
  <c r="AJ250" i="49"/>
  <c r="AI250" i="49"/>
  <c r="AH250" i="49"/>
  <c r="AG250" i="49"/>
  <c r="AF250" i="49"/>
  <c r="AE250" i="49"/>
  <c r="AD250" i="49"/>
  <c r="AC250" i="49"/>
  <c r="AB250" i="49"/>
  <c r="AA250" i="49"/>
  <c r="Z250" i="49"/>
  <c r="Y250" i="49"/>
  <c r="X250" i="49"/>
  <c r="W250" i="49"/>
  <c r="V250" i="49"/>
  <c r="U250" i="49"/>
  <c r="T250" i="49"/>
  <c r="S250" i="49"/>
  <c r="R250" i="49"/>
  <c r="Q250" i="49"/>
  <c r="P250" i="49"/>
  <c r="O250" i="49"/>
  <c r="N250" i="49"/>
  <c r="M250" i="49"/>
  <c r="L250" i="49"/>
  <c r="K250" i="49"/>
  <c r="J250" i="49"/>
  <c r="I250" i="49"/>
  <c r="BV249" i="49"/>
  <c r="BT249" i="49"/>
  <c r="BS249" i="49"/>
  <c r="BR249" i="49"/>
  <c r="BQ249" i="49"/>
  <c r="BO249" i="49"/>
  <c r="BN249" i="49"/>
  <c r="BM249" i="49"/>
  <c r="BL249" i="49"/>
  <c r="BJ249" i="49"/>
  <c r="BI249" i="49"/>
  <c r="BH249" i="49"/>
  <c r="BG249" i="49"/>
  <c r="BF249" i="49"/>
  <c r="BE249" i="49"/>
  <c r="BD249" i="49"/>
  <c r="BC249" i="49"/>
  <c r="BB249" i="49"/>
  <c r="BA249" i="49"/>
  <c r="AZ249" i="49"/>
  <c r="AY249" i="49"/>
  <c r="AX249" i="49"/>
  <c r="AW249" i="49"/>
  <c r="AV249" i="49"/>
  <c r="AU249" i="49"/>
  <c r="AT249" i="49"/>
  <c r="AS249" i="49"/>
  <c r="AR249" i="49"/>
  <c r="AQ249" i="49"/>
  <c r="AP249" i="49"/>
  <c r="AO249" i="49"/>
  <c r="AN249" i="49"/>
  <c r="AM249" i="49"/>
  <c r="AL249" i="49"/>
  <c r="AK249" i="49"/>
  <c r="AJ249" i="49"/>
  <c r="AI249" i="49"/>
  <c r="AH249" i="49"/>
  <c r="AG249" i="49"/>
  <c r="AF249" i="49"/>
  <c r="AE249" i="49"/>
  <c r="AD249" i="49"/>
  <c r="AC249" i="49"/>
  <c r="AB249" i="49"/>
  <c r="AA249" i="49"/>
  <c r="Z249" i="49"/>
  <c r="Y249" i="49"/>
  <c r="X249" i="49"/>
  <c r="W249" i="49"/>
  <c r="V249" i="49"/>
  <c r="U249" i="49"/>
  <c r="T249" i="49"/>
  <c r="S249" i="49"/>
  <c r="R249" i="49"/>
  <c r="Q249" i="49"/>
  <c r="P249" i="49"/>
  <c r="O249" i="49"/>
  <c r="N249" i="49"/>
  <c r="M249" i="49"/>
  <c r="L249" i="49"/>
  <c r="K249" i="49"/>
  <c r="J249" i="49"/>
  <c r="I249" i="49"/>
  <c r="BV248" i="49"/>
  <c r="BT248" i="49"/>
  <c r="BS248" i="49"/>
  <c r="BR248" i="49"/>
  <c r="BQ248" i="49"/>
  <c r="BO248" i="49"/>
  <c r="BN248" i="49"/>
  <c r="BM248" i="49"/>
  <c r="BL248" i="49"/>
  <c r="BJ248" i="49"/>
  <c r="BI248" i="49"/>
  <c r="BH248" i="49"/>
  <c r="BG248" i="49"/>
  <c r="BE248" i="49"/>
  <c r="BD248" i="49"/>
  <c r="BC248" i="49"/>
  <c r="BB248" i="49"/>
  <c r="AZ248" i="49"/>
  <c r="AY248" i="49"/>
  <c r="AX248" i="49"/>
  <c r="AW248" i="49"/>
  <c r="AU248" i="49"/>
  <c r="AT248" i="49"/>
  <c r="AS248" i="49"/>
  <c r="AR248" i="49"/>
  <c r="AP248" i="49"/>
  <c r="AO248" i="49"/>
  <c r="AN248" i="49"/>
  <c r="AM248" i="49"/>
  <c r="AK248" i="49"/>
  <c r="AJ248" i="49"/>
  <c r="AI248" i="49"/>
  <c r="AH248" i="49"/>
  <c r="AF248" i="49"/>
  <c r="AE248" i="49"/>
  <c r="AD248" i="49"/>
  <c r="AC248" i="49"/>
  <c r="AA248" i="49"/>
  <c r="Z248" i="49"/>
  <c r="Y248" i="49"/>
  <c r="X248" i="49"/>
  <c r="V248" i="49"/>
  <c r="U248" i="49"/>
  <c r="T248" i="49"/>
  <c r="S248" i="49"/>
  <c r="Q248" i="49"/>
  <c r="P248" i="49"/>
  <c r="BV247" i="49"/>
  <c r="BT247" i="49"/>
  <c r="BS247" i="49"/>
  <c r="BR247" i="49"/>
  <c r="BR276" i="49" s="1"/>
  <c r="BR277" i="49" s="1"/>
  <c r="BQ247" i="49"/>
  <c r="BQ276" i="49" s="1"/>
  <c r="BO247" i="49"/>
  <c r="BN247" i="49"/>
  <c r="BM247" i="49"/>
  <c r="BL247" i="49"/>
  <c r="BJ247" i="49"/>
  <c r="BI247" i="49"/>
  <c r="BI276" i="49" s="1"/>
  <c r="BH247" i="49"/>
  <c r="BH276" i="49" s="1"/>
  <c r="BG247" i="49"/>
  <c r="BE247" i="49"/>
  <c r="BE276" i="49" s="1"/>
  <c r="BD247" i="49"/>
  <c r="BD276" i="49" s="1"/>
  <c r="BC247" i="49"/>
  <c r="BB247" i="49"/>
  <c r="AZ247" i="49"/>
  <c r="AY247" i="49"/>
  <c r="AX247" i="49"/>
  <c r="AW247" i="49"/>
  <c r="AW276" i="49" s="1"/>
  <c r="AU247" i="49"/>
  <c r="AT247" i="49"/>
  <c r="AT276" i="49" s="1"/>
  <c r="AT277" i="49" s="1"/>
  <c r="AS247" i="49"/>
  <c r="AS276" i="49" s="1"/>
  <c r="AR247" i="49"/>
  <c r="AP247" i="49"/>
  <c r="AO247" i="49"/>
  <c r="AO276" i="49" s="1"/>
  <c r="AN247" i="49"/>
  <c r="AM247" i="49"/>
  <c r="AK247" i="49"/>
  <c r="AK276" i="49" s="1"/>
  <c r="AJ247" i="49"/>
  <c r="AI247" i="49"/>
  <c r="AH247" i="49"/>
  <c r="AF247" i="49"/>
  <c r="AF276" i="49" s="1"/>
  <c r="AF278" i="49" s="1"/>
  <c r="AE247" i="49"/>
  <c r="AD247" i="49"/>
  <c r="AC247" i="49"/>
  <c r="AC276" i="49" s="1"/>
  <c r="AA247" i="49"/>
  <c r="Z247" i="49"/>
  <c r="Y247" i="49"/>
  <c r="Y276" i="49" s="1"/>
  <c r="X247" i="49"/>
  <c r="V247" i="49"/>
  <c r="V276" i="49" s="1"/>
  <c r="U247" i="49"/>
  <c r="U276" i="49" s="1"/>
  <c r="T247" i="49"/>
  <c r="P247" i="49"/>
  <c r="CM262" i="49"/>
  <c r="CL262" i="49"/>
  <c r="CK262" i="49"/>
  <c r="CM261" i="49"/>
  <c r="CL261" i="49"/>
  <c r="CK261" i="49"/>
  <c r="CM260" i="49"/>
  <c r="CL260" i="49"/>
  <c r="CK260" i="49"/>
  <c r="CM259" i="49"/>
  <c r="CL259" i="49"/>
  <c r="CK259" i="49"/>
  <c r="CM258" i="49"/>
  <c r="CL258" i="49"/>
  <c r="CK258" i="49"/>
  <c r="CM257" i="49"/>
  <c r="CL257" i="49"/>
  <c r="CK257" i="49"/>
  <c r="CM256" i="49"/>
  <c r="CL256" i="49"/>
  <c r="CK256" i="49"/>
  <c r="CM255" i="49"/>
  <c r="CL255" i="49"/>
  <c r="CK255" i="49"/>
  <c r="CM254" i="49"/>
  <c r="CL254" i="49"/>
  <c r="CK254" i="49"/>
  <c r="CM253" i="49"/>
  <c r="CL253" i="49"/>
  <c r="CK253" i="49"/>
  <c r="CM252" i="49"/>
  <c r="CL252" i="49"/>
  <c r="CK252" i="49"/>
  <c r="CM251" i="49"/>
  <c r="CL251" i="49"/>
  <c r="CK251" i="49"/>
  <c r="CM250" i="49"/>
  <c r="CL250" i="49"/>
  <c r="CK250" i="49"/>
  <c r="CM249" i="49"/>
  <c r="CL249" i="49"/>
  <c r="CK249" i="49"/>
  <c r="CM248" i="49"/>
  <c r="CL248" i="49"/>
  <c r="CK248" i="49"/>
  <c r="CM247" i="49"/>
  <c r="CL247" i="49"/>
  <c r="CK247" i="49"/>
  <c r="CM246" i="49"/>
  <c r="CL246" i="49"/>
  <c r="CL276" i="49" s="1"/>
  <c r="CK246" i="49"/>
  <c r="CV243" i="49"/>
  <c r="CU243" i="49"/>
  <c r="CT243" i="49"/>
  <c r="CM243" i="49"/>
  <c r="CL243" i="49"/>
  <c r="CK243" i="49"/>
  <c r="CI243" i="49"/>
  <c r="CH243" i="49"/>
  <c r="CG243" i="49"/>
  <c r="CF243" i="49"/>
  <c r="CD243" i="49"/>
  <c r="CC243" i="49"/>
  <c r="CB243" i="49"/>
  <c r="CA243" i="49"/>
  <c r="BY243" i="49"/>
  <c r="BX243" i="49"/>
  <c r="BW243" i="49"/>
  <c r="BV243" i="49"/>
  <c r="BT243" i="49"/>
  <c r="BS243" i="49"/>
  <c r="BR243" i="49"/>
  <c r="BQ243" i="49"/>
  <c r="BO243" i="49"/>
  <c r="BN243" i="49"/>
  <c r="BM243" i="49"/>
  <c r="BL243" i="49"/>
  <c r="BJ243" i="49"/>
  <c r="BI243" i="49"/>
  <c r="BH243" i="49"/>
  <c r="BG243" i="49"/>
  <c r="BE243" i="49"/>
  <c r="BD243" i="49"/>
  <c r="BC243" i="49"/>
  <c r="BB243" i="49"/>
  <c r="BA243" i="49"/>
  <c r="AZ243" i="49"/>
  <c r="AY243" i="49"/>
  <c r="AX243" i="49"/>
  <c r="AW243" i="49"/>
  <c r="AU243" i="49"/>
  <c r="AT243" i="49"/>
  <c r="AS243" i="49"/>
  <c r="AR243" i="49"/>
  <c r="AP243" i="49"/>
  <c r="AO243" i="49"/>
  <c r="AN243" i="49"/>
  <c r="AM243" i="49"/>
  <c r="AK243" i="49"/>
  <c r="AJ243" i="49"/>
  <c r="AI243" i="49"/>
  <c r="AH243" i="49"/>
  <c r="AG243" i="49"/>
  <c r="AF243" i="49"/>
  <c r="AE243" i="49"/>
  <c r="AD243" i="49"/>
  <c r="AC243" i="49"/>
  <c r="AA243" i="49"/>
  <c r="Z243" i="49"/>
  <c r="Y243" i="49"/>
  <c r="X243" i="49"/>
  <c r="V243" i="49"/>
  <c r="U243" i="49"/>
  <c r="T243" i="49"/>
  <c r="S243" i="49"/>
  <c r="Q243" i="49"/>
  <c r="P243" i="49"/>
  <c r="O243" i="49"/>
  <c r="K243" i="49"/>
  <c r="I243" i="49"/>
  <c r="CJ241" i="49"/>
  <c r="CJ240" i="49"/>
  <c r="CJ239" i="49"/>
  <c r="CJ238" i="49"/>
  <c r="CJ237" i="49"/>
  <c r="CJ236" i="49"/>
  <c r="CJ235" i="49"/>
  <c r="CJ234" i="49"/>
  <c r="CJ233" i="49"/>
  <c r="CJ232" i="49"/>
  <c r="CJ231" i="49"/>
  <c r="CJ229" i="49"/>
  <c r="CJ228" i="49"/>
  <c r="CJ227" i="49"/>
  <c r="CJ226" i="49"/>
  <c r="CJ225" i="49"/>
  <c r="CJ224" i="49"/>
  <c r="CJ223" i="49"/>
  <c r="CJ222" i="49"/>
  <c r="CJ221" i="49"/>
  <c r="CJ220" i="49"/>
  <c r="CJ219" i="49"/>
  <c r="CJ218" i="49"/>
  <c r="CJ217" i="49"/>
  <c r="CJ216" i="49"/>
  <c r="CJ215" i="49"/>
  <c r="CJ214" i="49"/>
  <c r="CJ213" i="49"/>
  <c r="CJ243" i="49" s="1"/>
  <c r="CE229" i="49"/>
  <c r="CE369" i="49" s="1"/>
  <c r="CE228" i="49"/>
  <c r="CE227" i="49"/>
  <c r="CE226" i="49"/>
  <c r="CE259" i="49" s="1"/>
  <c r="CE225" i="49"/>
  <c r="CE224" i="49"/>
  <c r="CE223" i="49"/>
  <c r="CE362" i="49" s="1"/>
  <c r="CE397" i="49" s="1"/>
  <c r="CE222" i="49"/>
  <c r="CE255" i="49" s="1"/>
  <c r="CE221" i="49"/>
  <c r="CE220" i="49"/>
  <c r="CE219" i="49"/>
  <c r="CE218" i="49"/>
  <c r="CE217" i="49"/>
  <c r="CE216" i="49"/>
  <c r="CE215" i="49"/>
  <c r="CE214" i="49"/>
  <c r="CE243" i="49" s="1"/>
  <c r="BZ229" i="49"/>
  <c r="BZ369" i="49" s="1"/>
  <c r="BZ228" i="49"/>
  <c r="BZ227" i="49"/>
  <c r="BZ226" i="49"/>
  <c r="BZ225" i="49"/>
  <c r="BZ224" i="49"/>
  <c r="BZ223" i="49"/>
  <c r="BZ222" i="49"/>
  <c r="BZ221" i="49"/>
  <c r="BZ220" i="49"/>
  <c r="BZ219" i="49"/>
  <c r="BZ218" i="49"/>
  <c r="BZ217" i="49"/>
  <c r="BZ216" i="49"/>
  <c r="BZ215" i="49"/>
  <c r="BZ214" i="49"/>
  <c r="BZ243" i="49" s="1"/>
  <c r="BU229" i="49"/>
  <c r="BU369" i="49" s="1"/>
  <c r="BU228" i="49"/>
  <c r="BU227" i="49"/>
  <c r="BU226" i="49"/>
  <c r="BU225" i="49"/>
  <c r="BU224" i="49"/>
  <c r="BP229" i="49"/>
  <c r="BP228" i="49"/>
  <c r="BP227" i="49"/>
  <c r="BP226" i="49"/>
  <c r="BP225" i="49"/>
  <c r="BP224" i="49"/>
  <c r="BK229" i="49"/>
  <c r="BK369" i="49" s="1"/>
  <c r="BK228" i="49"/>
  <c r="BK227" i="49"/>
  <c r="BK260" i="49" s="1"/>
  <c r="BK226" i="49"/>
  <c r="BK259" i="49" s="1"/>
  <c r="BK225" i="49"/>
  <c r="BK258" i="49" s="1"/>
  <c r="BK224" i="49"/>
  <c r="BF229" i="49"/>
  <c r="BF369" i="49" s="1"/>
  <c r="BF228" i="49"/>
  <c r="BF367" i="49" s="1"/>
  <c r="BF227" i="49"/>
  <c r="BF226" i="49"/>
  <c r="BF225" i="49"/>
  <c r="BF224" i="49"/>
  <c r="BF257" i="49" s="1"/>
  <c r="BA229" i="49"/>
  <c r="BA369" i="49" s="1"/>
  <c r="BA228" i="49"/>
  <c r="BA227" i="49"/>
  <c r="BA260" i="49" s="1"/>
  <c r="BA226" i="49"/>
  <c r="BA259" i="49" s="1"/>
  <c r="AV229" i="49"/>
  <c r="AV228" i="49"/>
  <c r="AV227" i="49"/>
  <c r="AV260" i="49" s="1"/>
  <c r="AV226" i="49"/>
  <c r="AV259" i="49" s="1"/>
  <c r="AQ229" i="49"/>
  <c r="AQ369" i="49" s="1"/>
  <c r="AQ404" i="49" s="1"/>
  <c r="AQ228" i="49"/>
  <c r="AQ227" i="49"/>
  <c r="AQ260" i="49" s="1"/>
  <c r="AQ226" i="49"/>
  <c r="AQ259" i="49" s="1"/>
  <c r="AL229" i="49"/>
  <c r="AL369" i="49" s="1"/>
  <c r="AL228" i="49"/>
  <c r="AL227" i="49"/>
  <c r="AL226" i="49"/>
  <c r="AL259" i="49" s="1"/>
  <c r="AG229" i="49"/>
  <c r="AG369" i="49" s="1"/>
  <c r="AG228" i="49"/>
  <c r="AG227" i="49"/>
  <c r="AG260" i="49" s="1"/>
  <c r="AG226" i="49"/>
  <c r="AG259" i="49" s="1"/>
  <c r="AB229" i="49"/>
  <c r="AB228" i="49"/>
  <c r="AB227" i="49"/>
  <c r="AB260" i="49" s="1"/>
  <c r="AB226" i="49"/>
  <c r="AB259" i="49" s="1"/>
  <c r="W229" i="49"/>
  <c r="W369" i="49" s="1"/>
  <c r="W404" i="49" s="1"/>
  <c r="W228" i="49"/>
  <c r="W227" i="49"/>
  <c r="W260" i="49" s="1"/>
  <c r="W226" i="49"/>
  <c r="W259" i="49" s="1"/>
  <c r="R229" i="49"/>
  <c r="R369" i="49" s="1"/>
  <c r="R228" i="49"/>
  <c r="R227" i="49"/>
  <c r="N229" i="49"/>
  <c r="M229" i="49"/>
  <c r="M369" i="49" s="1"/>
  <c r="N228" i="49"/>
  <c r="L228" i="49"/>
  <c r="K228" i="49"/>
  <c r="K367" i="49" s="1"/>
  <c r="J228" i="49"/>
  <c r="I228" i="49"/>
  <c r="I367" i="49" s="1"/>
  <c r="BA224" i="49"/>
  <c r="AV224" i="49"/>
  <c r="AQ224" i="49"/>
  <c r="AL224" i="49"/>
  <c r="AG224" i="49"/>
  <c r="AB224" i="49"/>
  <c r="W224" i="49"/>
  <c r="R224" i="49"/>
  <c r="M224" i="49"/>
  <c r="BU222" i="49"/>
  <c r="BU221" i="49"/>
  <c r="BU220" i="49"/>
  <c r="BU219" i="49"/>
  <c r="BU218" i="49"/>
  <c r="BU217" i="49"/>
  <c r="BU216" i="49"/>
  <c r="BU215" i="49"/>
  <c r="BU243" i="49" s="1"/>
  <c r="BU214" i="49"/>
  <c r="BP222" i="49"/>
  <c r="BP221" i="49"/>
  <c r="BP220" i="49"/>
  <c r="BP219" i="49"/>
  <c r="BP218" i="49"/>
  <c r="BP217" i="49"/>
  <c r="BP216" i="49"/>
  <c r="BP215" i="49"/>
  <c r="BP214" i="49"/>
  <c r="BP243" i="49" s="1"/>
  <c r="BK222" i="49"/>
  <c r="BK221" i="49"/>
  <c r="BF222" i="49"/>
  <c r="BA222" i="49"/>
  <c r="AV222" i="49"/>
  <c r="AQ222" i="49"/>
  <c r="AL222" i="49"/>
  <c r="AG222" i="49"/>
  <c r="AB222" i="49"/>
  <c r="W222" i="49"/>
  <c r="R222" i="49"/>
  <c r="N222" i="49"/>
  <c r="L222" i="49"/>
  <c r="K222" i="49"/>
  <c r="J222" i="49"/>
  <c r="I222" i="49"/>
  <c r="I189" i="49" s="1"/>
  <c r="I255" i="49" s="1"/>
  <c r="BK216" i="49"/>
  <c r="BK249" i="49" s="1"/>
  <c r="BK215" i="49"/>
  <c r="BK214" i="49"/>
  <c r="BF215" i="49"/>
  <c r="BF214" i="49"/>
  <c r="BF243" i="49" s="1"/>
  <c r="BA215" i="49"/>
  <c r="BA214" i="49"/>
  <c r="AV215" i="49"/>
  <c r="AV214" i="49"/>
  <c r="AV243" i="49" s="1"/>
  <c r="AQ215" i="49"/>
  <c r="AQ214" i="49"/>
  <c r="AQ243" i="49" s="1"/>
  <c r="AL215" i="49"/>
  <c r="AL214" i="49"/>
  <c r="AL243" i="49" s="1"/>
  <c r="AG215" i="49"/>
  <c r="AG214" i="49"/>
  <c r="AB215" i="49"/>
  <c r="AB214" i="49"/>
  <c r="AB243" i="49" s="1"/>
  <c r="W215" i="49"/>
  <c r="W214" i="49"/>
  <c r="W243" i="49" s="1"/>
  <c r="R215" i="49"/>
  <c r="R214" i="49"/>
  <c r="R243" i="49" s="1"/>
  <c r="BO214" i="49"/>
  <c r="BO916" i="49" s="1"/>
  <c r="BP916" i="49" s="1"/>
  <c r="N215" i="49"/>
  <c r="N182" i="49" s="1"/>
  <c r="N248" i="49" s="1"/>
  <c r="L215" i="49"/>
  <c r="K215" i="49"/>
  <c r="J215" i="49"/>
  <c r="J182" i="49" s="1"/>
  <c r="J248" i="49" s="1"/>
  <c r="I215" i="49"/>
  <c r="N214" i="49"/>
  <c r="L214" i="49"/>
  <c r="L243" i="49" s="1"/>
  <c r="K214" i="49"/>
  <c r="J214" i="49"/>
  <c r="I214" i="49"/>
  <c r="CV210" i="49"/>
  <c r="CU210" i="49"/>
  <c r="CT210" i="49"/>
  <c r="CL210" i="49"/>
  <c r="CH210" i="49"/>
  <c r="CG210" i="49"/>
  <c r="CF210" i="49"/>
  <c r="CD210" i="49"/>
  <c r="CC210" i="49"/>
  <c r="CB210" i="49"/>
  <c r="CA210" i="49"/>
  <c r="BY210" i="49"/>
  <c r="BX210" i="49"/>
  <c r="BW210" i="49"/>
  <c r="BV210" i="49"/>
  <c r="BT210" i="49"/>
  <c r="BS210" i="49"/>
  <c r="BR210" i="49"/>
  <c r="BQ210" i="49"/>
  <c r="BO210" i="49"/>
  <c r="BN210" i="49"/>
  <c r="BM210" i="49"/>
  <c r="BL210" i="49"/>
  <c r="BJ210" i="49"/>
  <c r="BI210" i="49"/>
  <c r="BH210" i="49"/>
  <c r="BG210" i="49"/>
  <c r="BE210" i="49"/>
  <c r="BD210" i="49"/>
  <c r="BC210" i="49"/>
  <c r="BB210" i="49"/>
  <c r="AZ210" i="49"/>
  <c r="AY210" i="49"/>
  <c r="AX210" i="49"/>
  <c r="AW210" i="49"/>
  <c r="AU210" i="49"/>
  <c r="AT210" i="49"/>
  <c r="AS210" i="49"/>
  <c r="AR210" i="49"/>
  <c r="AP210" i="49"/>
  <c r="AO210" i="49"/>
  <c r="AN210" i="49"/>
  <c r="AM210" i="49"/>
  <c r="AL210" i="49"/>
  <c r="AK210" i="49"/>
  <c r="AJ210" i="49"/>
  <c r="AI210" i="49"/>
  <c r="AH210" i="49"/>
  <c r="AF210" i="49"/>
  <c r="AE210" i="49"/>
  <c r="AD210" i="49"/>
  <c r="AC210" i="49"/>
  <c r="AA210" i="49"/>
  <c r="Z210" i="49"/>
  <c r="Y210" i="49"/>
  <c r="X210" i="49"/>
  <c r="V210" i="49"/>
  <c r="U210" i="49"/>
  <c r="T210" i="49"/>
  <c r="S210" i="49"/>
  <c r="R210" i="49"/>
  <c r="Q210" i="49"/>
  <c r="P210" i="49"/>
  <c r="CM208" i="49"/>
  <c r="CM347" i="49" s="1"/>
  <c r="CL208" i="49"/>
  <c r="CK208" i="49"/>
  <c r="CI208" i="49"/>
  <c r="CJ208" i="49" s="1"/>
  <c r="CH208" i="49"/>
  <c r="CG275" i="49"/>
  <c r="CG417" i="49" s="1"/>
  <c r="CJ207" i="49"/>
  <c r="CJ206" i="49"/>
  <c r="CJ205" i="49"/>
  <c r="CJ204" i="49"/>
  <c r="CJ203" i="49"/>
  <c r="CJ202" i="49"/>
  <c r="CJ201" i="49"/>
  <c r="CJ200" i="49"/>
  <c r="CJ199" i="49"/>
  <c r="CJ198" i="49"/>
  <c r="CJ196" i="49"/>
  <c r="CJ262" i="49" s="1"/>
  <c r="CJ195" i="49"/>
  <c r="CJ261" i="49" s="1"/>
  <c r="CJ194" i="49"/>
  <c r="CJ260" i="49" s="1"/>
  <c r="CJ193" i="49"/>
  <c r="CJ259" i="49" s="1"/>
  <c r="CJ192" i="49"/>
  <c r="CJ258" i="49" s="1"/>
  <c r="CJ191" i="49"/>
  <c r="CJ190" i="49"/>
  <c r="CJ189" i="49"/>
  <c r="CJ188" i="49"/>
  <c r="CJ187" i="49"/>
  <c r="CJ186" i="49"/>
  <c r="CJ185" i="49"/>
  <c r="CJ251" i="49" s="1"/>
  <c r="CJ184" i="49"/>
  <c r="CJ183" i="49"/>
  <c r="CJ182" i="49"/>
  <c r="CJ181" i="49"/>
  <c r="CJ180" i="49"/>
  <c r="CE196" i="49"/>
  <c r="CE262" i="49" s="1"/>
  <c r="CE195" i="49"/>
  <c r="CE261" i="49" s="1"/>
  <c r="CE194" i="49"/>
  <c r="CE260" i="49" s="1"/>
  <c r="CE193" i="49"/>
  <c r="CE192" i="49"/>
  <c r="CE258" i="49" s="1"/>
  <c r="CE191" i="49"/>
  <c r="CE257" i="49" s="1"/>
  <c r="CE190" i="49"/>
  <c r="CE328" i="49" s="1"/>
  <c r="CE189" i="49"/>
  <c r="CE188" i="49"/>
  <c r="CE187" i="49"/>
  <c r="CE186" i="49"/>
  <c r="CE185" i="49"/>
  <c r="CE184" i="49"/>
  <c r="CE183" i="49"/>
  <c r="CE182" i="49"/>
  <c r="CE210" i="49" s="1"/>
  <c r="CE181" i="49"/>
  <c r="BZ196" i="49"/>
  <c r="BZ335" i="49" s="1"/>
  <c r="BZ195" i="49"/>
  <c r="BZ261" i="49" s="1"/>
  <c r="BZ194" i="49"/>
  <c r="BZ332" i="49" s="1"/>
  <c r="BZ193" i="49"/>
  <c r="BZ259" i="49" s="1"/>
  <c r="BZ192" i="49"/>
  <c r="BZ258" i="49" s="1"/>
  <c r="BZ191" i="49"/>
  <c r="BZ257" i="49" s="1"/>
  <c r="BZ190" i="49"/>
  <c r="BZ328" i="49" s="1"/>
  <c r="BZ189" i="49"/>
  <c r="BZ188" i="49"/>
  <c r="BZ187" i="49"/>
  <c r="BZ186" i="49"/>
  <c r="BZ185" i="49"/>
  <c r="BZ184" i="49"/>
  <c r="BZ183" i="49"/>
  <c r="BZ182" i="49"/>
  <c r="BZ210" i="49" s="1"/>
  <c r="BZ181" i="49"/>
  <c r="BU196" i="49"/>
  <c r="BU335" i="49" s="1"/>
  <c r="BU195" i="49"/>
  <c r="BU194" i="49"/>
  <c r="BU260" i="49" s="1"/>
  <c r="BU193" i="49"/>
  <c r="BU259" i="49" s="1"/>
  <c r="BU192" i="49"/>
  <c r="BU258" i="49" s="1"/>
  <c r="BU191" i="49"/>
  <c r="BP196" i="49"/>
  <c r="BP195" i="49"/>
  <c r="BP261" i="49" s="1"/>
  <c r="BP194" i="49"/>
  <c r="BP260" i="49" s="1"/>
  <c r="BP193" i="49"/>
  <c r="BP259" i="49" s="1"/>
  <c r="BP192" i="49"/>
  <c r="BP258" i="49" s="1"/>
  <c r="BP191" i="49"/>
  <c r="BP257" i="49" s="1"/>
  <c r="BK196" i="49"/>
  <c r="BK262" i="49" s="1"/>
  <c r="BK195" i="49"/>
  <c r="BK261" i="49" s="1"/>
  <c r="BF196" i="49"/>
  <c r="BF335" i="49" s="1"/>
  <c r="BF195" i="49"/>
  <c r="BA196" i="49"/>
  <c r="BA262" i="49" s="1"/>
  <c r="BA195" i="49"/>
  <c r="BA261" i="49" s="1"/>
  <c r="AV196" i="49"/>
  <c r="AV195" i="49"/>
  <c r="AV261" i="49" s="1"/>
  <c r="AQ196" i="49"/>
  <c r="AQ262" i="49" s="1"/>
  <c r="AQ195" i="49"/>
  <c r="AQ261" i="49" s="1"/>
  <c r="AL196" i="49"/>
  <c r="AL335" i="49" s="1"/>
  <c r="AL195" i="49"/>
  <c r="AG196" i="49"/>
  <c r="AG262" i="49" s="1"/>
  <c r="AG195" i="49"/>
  <c r="AG261" i="49" s="1"/>
  <c r="AB196" i="49"/>
  <c r="AB195" i="49"/>
  <c r="AB261" i="49" s="1"/>
  <c r="W196" i="49"/>
  <c r="W262" i="49" s="1"/>
  <c r="W195" i="49"/>
  <c r="W261" i="49" s="1"/>
  <c r="R196" i="49"/>
  <c r="R335" i="49" s="1"/>
  <c r="R195" i="49"/>
  <c r="O196" i="49"/>
  <c r="O262" i="49" s="1"/>
  <c r="L196" i="49"/>
  <c r="L262" i="49" s="1"/>
  <c r="K196" i="49"/>
  <c r="K262" i="49" s="1"/>
  <c r="J196" i="49"/>
  <c r="J335" i="49" s="1"/>
  <c r="I196" i="49"/>
  <c r="O195" i="49"/>
  <c r="O333" i="49" s="1"/>
  <c r="N195" i="49"/>
  <c r="N333" i="49" s="1"/>
  <c r="L195" i="49"/>
  <c r="K195" i="49"/>
  <c r="K333" i="49" s="1"/>
  <c r="J195" i="49"/>
  <c r="J333" i="49" s="1"/>
  <c r="I195" i="49"/>
  <c r="I261" i="49" s="1"/>
  <c r="BK191" i="49"/>
  <c r="BK257" i="49" s="1"/>
  <c r="BF191" i="49"/>
  <c r="BA191" i="49"/>
  <c r="BA257" i="49" s="1"/>
  <c r="AV191" i="49"/>
  <c r="AV257" i="49" s="1"/>
  <c r="AQ191" i="49"/>
  <c r="AQ257" i="49" s="1"/>
  <c r="AL191" i="49"/>
  <c r="AG191" i="49"/>
  <c r="AG257" i="49" s="1"/>
  <c r="AB191" i="49"/>
  <c r="AB257" i="49" s="1"/>
  <c r="W191" i="49"/>
  <c r="W257" i="49" s="1"/>
  <c r="R191" i="49"/>
  <c r="O191" i="49"/>
  <c r="O257" i="49" s="1"/>
  <c r="N191" i="49"/>
  <c r="N257" i="49" s="1"/>
  <c r="M191" i="49"/>
  <c r="M257" i="49" s="1"/>
  <c r="L191" i="49"/>
  <c r="L257" i="49" s="1"/>
  <c r="K191" i="49"/>
  <c r="K257" i="49" s="1"/>
  <c r="J191" i="49"/>
  <c r="I191" i="49"/>
  <c r="I257" i="49" s="1"/>
  <c r="BU189" i="49"/>
  <c r="BU188" i="49"/>
  <c r="BU187" i="49"/>
  <c r="BU186" i="49"/>
  <c r="BU325" i="49" s="1"/>
  <c r="BU394" i="49" s="1"/>
  <c r="BU185" i="49"/>
  <c r="BU184" i="49"/>
  <c r="BU183" i="49"/>
  <c r="BU182" i="49"/>
  <c r="BU181" i="49"/>
  <c r="BP189" i="49"/>
  <c r="BP188" i="49"/>
  <c r="BP187" i="49"/>
  <c r="BP252" i="49" s="1"/>
  <c r="BP186" i="49"/>
  <c r="BP253" i="49" s="1"/>
  <c r="BP185" i="49"/>
  <c r="BP184" i="49"/>
  <c r="BP321" i="49" s="1"/>
  <c r="BP183" i="49"/>
  <c r="BP249" i="49" s="1"/>
  <c r="BP182" i="49"/>
  <c r="BP181" i="49"/>
  <c r="BK189" i="49"/>
  <c r="BK188" i="49"/>
  <c r="BK187" i="49"/>
  <c r="BK252" i="49" s="1"/>
  <c r="BF189" i="49"/>
  <c r="BA189" i="49"/>
  <c r="AV189" i="49"/>
  <c r="AQ189" i="49"/>
  <c r="AQ255" i="49" s="1"/>
  <c r="AL189" i="49"/>
  <c r="AG189" i="49"/>
  <c r="AG255" i="49" s="1"/>
  <c r="AB189" i="49"/>
  <c r="AB255" i="49" s="1"/>
  <c r="W189" i="49"/>
  <c r="W255" i="49" s="1"/>
  <c r="R189" i="49"/>
  <c r="O189" i="49"/>
  <c r="O255" i="49" s="1"/>
  <c r="N189" i="49"/>
  <c r="N255" i="49" s="1"/>
  <c r="K189" i="49"/>
  <c r="K255" i="49" s="1"/>
  <c r="J189" i="49"/>
  <c r="J255" i="49" s="1"/>
  <c r="BF187" i="49"/>
  <c r="BF252" i="49" s="1"/>
  <c r="BA187" i="49"/>
  <c r="BA324" i="49" s="1"/>
  <c r="AV187" i="49"/>
  <c r="AV324" i="49" s="1"/>
  <c r="AQ187" i="49"/>
  <c r="AQ252" i="49" s="1"/>
  <c r="AL187" i="49"/>
  <c r="AL252" i="49" s="1"/>
  <c r="AG187" i="49"/>
  <c r="AG324" i="49" s="1"/>
  <c r="AB187" i="49"/>
  <c r="AB324" i="49" s="1"/>
  <c r="R187" i="49"/>
  <c r="R252" i="49" s="1"/>
  <c r="M187" i="49"/>
  <c r="M324" i="49" s="1"/>
  <c r="BK185" i="49"/>
  <c r="BF185" i="49"/>
  <c r="BA185" i="49"/>
  <c r="AV185" i="49"/>
  <c r="AQ185" i="49"/>
  <c r="AL185" i="49"/>
  <c r="AL251" i="49" s="1"/>
  <c r="AG185" i="49"/>
  <c r="AB185" i="49"/>
  <c r="W185" i="49"/>
  <c r="R185" i="49"/>
  <c r="R251" i="49" s="1"/>
  <c r="O185" i="49"/>
  <c r="N185" i="49"/>
  <c r="L185" i="49"/>
  <c r="M185" i="49" s="1"/>
  <c r="K185" i="49"/>
  <c r="J185" i="49"/>
  <c r="J251" i="49" s="1"/>
  <c r="I185" i="49"/>
  <c r="BK182" i="49"/>
  <c r="BK210" i="49" s="1"/>
  <c r="BK181" i="49"/>
  <c r="BF182" i="49"/>
  <c r="BF181" i="49"/>
  <c r="BA182" i="49"/>
  <c r="BA181" i="49"/>
  <c r="AV182" i="49"/>
  <c r="AV181" i="49"/>
  <c r="AQ182" i="49"/>
  <c r="AQ210" i="49" s="1"/>
  <c r="AQ181" i="49"/>
  <c r="AL182" i="49"/>
  <c r="AL181" i="49"/>
  <c r="AG182" i="49"/>
  <c r="AG181" i="49"/>
  <c r="AB182" i="49"/>
  <c r="AB181" i="49"/>
  <c r="W182" i="49"/>
  <c r="W210" i="49" s="1"/>
  <c r="W181" i="49"/>
  <c r="R182" i="49"/>
  <c r="R248" i="49" s="1"/>
  <c r="R181" i="49"/>
  <c r="O182" i="49"/>
  <c r="O248" i="49" s="1"/>
  <c r="K182" i="49"/>
  <c r="K248" i="49" s="1"/>
  <c r="I182" i="49"/>
  <c r="I248" i="49" s="1"/>
  <c r="O181" i="49"/>
  <c r="N181" i="49"/>
  <c r="L181" i="49"/>
  <c r="M181" i="49" s="1"/>
  <c r="K181" i="49"/>
  <c r="K210" i="49" s="1"/>
  <c r="J181" i="49"/>
  <c r="J210" i="49" s="1"/>
  <c r="I181" i="49"/>
  <c r="CV177" i="49"/>
  <c r="CU177" i="49"/>
  <c r="CT177" i="49"/>
  <c r="CM177" i="49"/>
  <c r="CL177" i="49"/>
  <c r="CK177" i="49"/>
  <c r="CI177" i="49"/>
  <c r="CH177" i="49"/>
  <c r="CG177" i="49"/>
  <c r="CF177" i="49"/>
  <c r="CD177" i="49"/>
  <c r="CB177" i="49"/>
  <c r="CA177" i="49"/>
  <c r="BX177" i="49"/>
  <c r="BW177" i="49"/>
  <c r="BV177" i="49"/>
  <c r="BT177" i="49"/>
  <c r="BS177" i="49"/>
  <c r="BR177" i="49"/>
  <c r="BQ177" i="49"/>
  <c r="BO177" i="49"/>
  <c r="BN177" i="49"/>
  <c r="BL177" i="49"/>
  <c r="BJ177" i="49"/>
  <c r="BI177" i="49"/>
  <c r="BH177" i="49"/>
  <c r="BG177" i="49"/>
  <c r="BE177" i="49"/>
  <c r="BD177" i="49"/>
  <c r="BC177" i="49"/>
  <c r="BB177" i="49"/>
  <c r="AZ177" i="49"/>
  <c r="AY177" i="49"/>
  <c r="AX177" i="49"/>
  <c r="AW177" i="49"/>
  <c r="AU177" i="49"/>
  <c r="AT177" i="49"/>
  <c r="AS177" i="49"/>
  <c r="AR177" i="49"/>
  <c r="AP177" i="49"/>
  <c r="AO177" i="49"/>
  <c r="AN177" i="49"/>
  <c r="AM177" i="49"/>
  <c r="AK177" i="49"/>
  <c r="AJ177" i="49"/>
  <c r="AI177" i="49"/>
  <c r="AH177" i="49"/>
  <c r="AF177" i="49"/>
  <c r="AE177" i="49"/>
  <c r="AD177" i="49"/>
  <c r="AC177" i="49"/>
  <c r="AA177" i="49"/>
  <c r="Z177" i="49"/>
  <c r="Y177" i="49"/>
  <c r="X177" i="49"/>
  <c r="V177" i="49"/>
  <c r="U177" i="49"/>
  <c r="T177" i="49"/>
  <c r="CJ175" i="49"/>
  <c r="CJ174" i="49"/>
  <c r="CJ274" i="49" s="1"/>
  <c r="CJ173" i="49"/>
  <c r="CJ273" i="49" s="1"/>
  <c r="CJ172" i="49"/>
  <c r="CJ272" i="49" s="1"/>
  <c r="CJ171" i="49"/>
  <c r="CJ271" i="49" s="1"/>
  <c r="CJ170" i="49"/>
  <c r="CJ270" i="49" s="1"/>
  <c r="CJ169" i="49"/>
  <c r="CJ269" i="49" s="1"/>
  <c r="CJ168" i="49"/>
  <c r="CJ268" i="49" s="1"/>
  <c r="CJ167" i="49"/>
  <c r="CJ267" i="49" s="1"/>
  <c r="CJ166" i="49"/>
  <c r="CJ266" i="49" s="1"/>
  <c r="CJ165" i="49"/>
  <c r="CJ265" i="49" s="1"/>
  <c r="CJ158" i="49"/>
  <c r="CJ257" i="49" s="1"/>
  <c r="CJ157" i="49"/>
  <c r="CJ256" i="49" s="1"/>
  <c r="CJ156" i="49"/>
  <c r="CJ155" i="49"/>
  <c r="CJ254" i="49" s="1"/>
  <c r="CJ154" i="49"/>
  <c r="CJ253" i="49" s="1"/>
  <c r="CJ153" i="49"/>
  <c r="CJ252" i="49" s="1"/>
  <c r="CJ152" i="49"/>
  <c r="CJ151" i="49"/>
  <c r="CJ250" i="49" s="1"/>
  <c r="CJ150" i="49"/>
  <c r="CJ249" i="49" s="1"/>
  <c r="CJ149" i="49"/>
  <c r="CJ248" i="49" s="1"/>
  <c r="CJ148" i="49"/>
  <c r="CJ147" i="49"/>
  <c r="CE157" i="49"/>
  <c r="CE294" i="49" s="1"/>
  <c r="CE156" i="49"/>
  <c r="CE155" i="49"/>
  <c r="CE254" i="49" s="1"/>
  <c r="CE154" i="49"/>
  <c r="CE153" i="49"/>
  <c r="CE252" i="49" s="1"/>
  <c r="CE152" i="49"/>
  <c r="CE151" i="49"/>
  <c r="CE250" i="49" s="1"/>
  <c r="CE150" i="49"/>
  <c r="CE249" i="49" s="1"/>
  <c r="CE149" i="49"/>
  <c r="CE248" i="49" s="1"/>
  <c r="CE148" i="49"/>
  <c r="CE177" i="49" s="1"/>
  <c r="BZ157" i="49"/>
  <c r="BZ156" i="49"/>
  <c r="BZ255" i="49" s="1"/>
  <c r="BZ155" i="49"/>
  <c r="BZ254" i="49" s="1"/>
  <c r="BZ154" i="49"/>
  <c r="BZ253" i="49" s="1"/>
  <c r="BZ153" i="49"/>
  <c r="BZ151" i="49"/>
  <c r="BZ250" i="49" s="1"/>
  <c r="BZ150" i="49"/>
  <c r="BZ249" i="49" s="1"/>
  <c r="BZ149" i="49"/>
  <c r="BZ148" i="49"/>
  <c r="BZ247" i="49" s="1"/>
  <c r="BU156" i="49"/>
  <c r="BU255" i="49" s="1"/>
  <c r="BU155" i="49"/>
  <c r="BU254" i="49" s="1"/>
  <c r="BU154" i="49"/>
  <c r="BU253" i="49" s="1"/>
  <c r="BU153" i="49"/>
  <c r="BU252" i="49" s="1"/>
  <c r="BU152" i="49"/>
  <c r="BU251" i="49" s="1"/>
  <c r="BU151" i="49"/>
  <c r="BU250" i="49" s="1"/>
  <c r="BU150" i="49"/>
  <c r="BU249" i="49" s="1"/>
  <c r="BU149" i="49"/>
  <c r="BU148" i="49"/>
  <c r="BU247" i="49" s="1"/>
  <c r="BP156" i="49"/>
  <c r="BP255" i="49" s="1"/>
  <c r="BN156" i="49"/>
  <c r="BM156" i="49"/>
  <c r="BM255" i="49" s="1"/>
  <c r="BL156" i="49"/>
  <c r="BL255" i="49" s="1"/>
  <c r="BK156" i="49"/>
  <c r="BK255" i="49" s="1"/>
  <c r="BF156" i="49"/>
  <c r="BA156" i="49"/>
  <c r="BA255" i="49" s="1"/>
  <c r="AV156" i="49"/>
  <c r="CC152" i="49"/>
  <c r="CC289" i="49" s="1"/>
  <c r="CB152" i="49"/>
  <c r="CB289" i="49" s="1"/>
  <c r="BY152" i="49"/>
  <c r="BP152" i="49"/>
  <c r="BP251" i="49" s="1"/>
  <c r="BP151" i="49"/>
  <c r="BN152" i="49"/>
  <c r="BM152" i="49"/>
  <c r="BL152" i="49"/>
  <c r="BL289" i="49" s="1"/>
  <c r="BK152" i="49"/>
  <c r="BK251" i="49" s="1"/>
  <c r="BF152" i="49"/>
  <c r="BA152" i="49"/>
  <c r="BA251" i="49" s="1"/>
  <c r="AV152" i="49"/>
  <c r="AV251" i="49" s="1"/>
  <c r="AQ152" i="49"/>
  <c r="AQ251" i="49" s="1"/>
  <c r="AL152" i="49"/>
  <c r="AG152" i="49"/>
  <c r="AG251" i="49" s="1"/>
  <c r="AB152" i="49"/>
  <c r="AB251" i="49" s="1"/>
  <c r="W152" i="49"/>
  <c r="W251" i="49" s="1"/>
  <c r="R152" i="49"/>
  <c r="P152" i="49"/>
  <c r="O152" i="49"/>
  <c r="O289" i="49" s="1"/>
  <c r="N152" i="49"/>
  <c r="L152" i="49"/>
  <c r="K152" i="49"/>
  <c r="K289" i="49" s="1"/>
  <c r="J152" i="49"/>
  <c r="I152" i="49"/>
  <c r="I289" i="49" s="1"/>
  <c r="BP149" i="49"/>
  <c r="BP177" i="49" s="1"/>
  <c r="BP148" i="49"/>
  <c r="BP247" i="49" s="1"/>
  <c r="BK149" i="49"/>
  <c r="BK148" i="49"/>
  <c r="BK247" i="49" s="1"/>
  <c r="BF149" i="49"/>
  <c r="BF248" i="49" s="1"/>
  <c r="BF148" i="49"/>
  <c r="BA149" i="49"/>
  <c r="BA148" i="49"/>
  <c r="BA247" i="49" s="1"/>
  <c r="AV149" i="49"/>
  <c r="AV177" i="49" s="1"/>
  <c r="AV148" i="49"/>
  <c r="AQ149" i="49"/>
  <c r="AQ148" i="49"/>
  <c r="AQ247" i="49" s="1"/>
  <c r="AL149" i="49"/>
  <c r="AL248" i="49" s="1"/>
  <c r="AL148" i="49"/>
  <c r="AG149" i="49"/>
  <c r="AG148" i="49"/>
  <c r="AG247" i="49" s="1"/>
  <c r="AB149" i="49"/>
  <c r="AB177" i="49" s="1"/>
  <c r="AB148" i="49"/>
  <c r="W149" i="49"/>
  <c r="W148" i="49"/>
  <c r="W247" i="49" s="1"/>
  <c r="S148" i="49"/>
  <c r="Q148" i="49"/>
  <c r="Q285" i="49" s="1"/>
  <c r="O148" i="49"/>
  <c r="O285" i="49" s="1"/>
  <c r="N148" i="49"/>
  <c r="N247" i="49" s="1"/>
  <c r="L148" i="49"/>
  <c r="M148" i="49" s="1"/>
  <c r="K148" i="49"/>
  <c r="K285" i="49" s="1"/>
  <c r="J148" i="49"/>
  <c r="J10" i="49" s="1"/>
  <c r="I148" i="49"/>
  <c r="I285" i="49" s="1"/>
  <c r="AL144" i="49"/>
  <c r="AK144" i="49"/>
  <c r="AJ144" i="49"/>
  <c r="AI144" i="49"/>
  <c r="AH144" i="49"/>
  <c r="AG144" i="49"/>
  <c r="AF144" i="49"/>
  <c r="AE144" i="49"/>
  <c r="AD144" i="49"/>
  <c r="AC144" i="49"/>
  <c r="AB144" i="49"/>
  <c r="AA144" i="49"/>
  <c r="Z144" i="49"/>
  <c r="Y144" i="49"/>
  <c r="X144" i="49"/>
  <c r="W144" i="49"/>
  <c r="V144" i="49"/>
  <c r="U144" i="49"/>
  <c r="T144" i="49"/>
  <c r="S144" i="49"/>
  <c r="R144" i="49"/>
  <c r="Q144" i="49"/>
  <c r="P144" i="49"/>
  <c r="O144" i="49"/>
  <c r="N144" i="49"/>
  <c r="M144" i="49"/>
  <c r="L144" i="49"/>
  <c r="K144" i="49"/>
  <c r="J144" i="49"/>
  <c r="I144" i="49"/>
  <c r="H144" i="49"/>
  <c r="G144" i="49"/>
  <c r="F144" i="49"/>
  <c r="E144" i="49"/>
  <c r="D144" i="49"/>
  <c r="CV139" i="49"/>
  <c r="CU139" i="49"/>
  <c r="CT139" i="49"/>
  <c r="CG138" i="49"/>
  <c r="CF138" i="49"/>
  <c r="CE138" i="49"/>
  <c r="CB138" i="49"/>
  <c r="CA138" i="49"/>
  <c r="BZ138" i="49"/>
  <c r="BU138" i="49"/>
  <c r="BU137" i="49"/>
  <c r="CH137" i="49"/>
  <c r="CH136" i="49"/>
  <c r="CH135" i="49"/>
  <c r="CH134" i="49"/>
  <c r="CH414" i="49" s="1"/>
  <c r="CH133" i="49"/>
  <c r="CH132" i="49"/>
  <c r="CH131" i="49"/>
  <c r="CH130" i="49"/>
  <c r="CH129" i="49"/>
  <c r="CH128" i="49"/>
  <c r="CH127" i="49"/>
  <c r="CE137" i="49"/>
  <c r="BZ137" i="49"/>
  <c r="CI136" i="49"/>
  <c r="CI135" i="49"/>
  <c r="CI134" i="49"/>
  <c r="CI133" i="49"/>
  <c r="CI132" i="49"/>
  <c r="CI131" i="49"/>
  <c r="CI130" i="49"/>
  <c r="CI129" i="49"/>
  <c r="CI128" i="49"/>
  <c r="CI127" i="49"/>
  <c r="CG136" i="49"/>
  <c r="CG135" i="49"/>
  <c r="CG134" i="49"/>
  <c r="CG133" i="49"/>
  <c r="CG132" i="49"/>
  <c r="CG131" i="49"/>
  <c r="CG130" i="49"/>
  <c r="CG129" i="49"/>
  <c r="CG128" i="49"/>
  <c r="CG127" i="49"/>
  <c r="CM137" i="49"/>
  <c r="CM405" i="49" s="1"/>
  <c r="CL137" i="49"/>
  <c r="CL405" i="49" s="1"/>
  <c r="CK137" i="49"/>
  <c r="CK405" i="49" s="1"/>
  <c r="CJ137" i="49"/>
  <c r="CM136" i="49"/>
  <c r="CL136" i="49"/>
  <c r="CK136" i="49"/>
  <c r="CM135" i="49"/>
  <c r="CL135" i="49"/>
  <c r="CK135" i="49"/>
  <c r="CM134" i="49"/>
  <c r="CL134" i="49"/>
  <c r="CK134" i="49"/>
  <c r="CM133" i="49"/>
  <c r="CL133" i="49"/>
  <c r="CK133" i="49"/>
  <c r="CM132" i="49"/>
  <c r="CL132" i="49"/>
  <c r="CK132" i="49"/>
  <c r="CM131" i="49"/>
  <c r="CL131" i="49"/>
  <c r="CK131" i="49"/>
  <c r="CM130" i="49"/>
  <c r="CL130" i="49"/>
  <c r="CK130" i="49"/>
  <c r="CM129" i="49"/>
  <c r="CL129" i="49"/>
  <c r="CK129" i="49"/>
  <c r="CM128" i="49"/>
  <c r="CL128" i="49"/>
  <c r="CK128" i="49"/>
  <c r="CM127" i="49"/>
  <c r="CL127" i="49"/>
  <c r="CK127" i="49"/>
  <c r="CM125" i="49"/>
  <c r="CL125" i="49"/>
  <c r="CK125" i="49"/>
  <c r="CI125" i="49"/>
  <c r="CH125" i="49"/>
  <c r="CG125" i="49"/>
  <c r="CF125" i="49"/>
  <c r="CD125" i="49"/>
  <c r="CC125" i="49"/>
  <c r="CB125" i="49"/>
  <c r="CA125" i="49"/>
  <c r="BY125" i="49"/>
  <c r="BX125" i="49"/>
  <c r="BW125" i="49"/>
  <c r="BV125" i="49"/>
  <c r="BT125" i="49"/>
  <c r="BS125" i="49"/>
  <c r="BR125" i="49"/>
  <c r="BQ125" i="49"/>
  <c r="BO125" i="49"/>
  <c r="BN125" i="49"/>
  <c r="BM125" i="49"/>
  <c r="BL125" i="49"/>
  <c r="BJ125" i="49"/>
  <c r="BI125" i="49"/>
  <c r="BH125" i="49"/>
  <c r="BG125" i="49"/>
  <c r="BF125" i="49"/>
  <c r="BE125" i="49"/>
  <c r="BD125" i="49"/>
  <c r="BC125" i="49"/>
  <c r="BB125" i="49"/>
  <c r="BA125" i="49"/>
  <c r="AZ125" i="49"/>
  <c r="AY125" i="49"/>
  <c r="AX125" i="49"/>
  <c r="AW125" i="49"/>
  <c r="AV125" i="49"/>
  <c r="AU125" i="49"/>
  <c r="AT125" i="49"/>
  <c r="AS125" i="49"/>
  <c r="AR125" i="49"/>
  <c r="AQ125" i="49"/>
  <c r="AP125" i="49"/>
  <c r="AO125" i="49"/>
  <c r="AN125" i="49"/>
  <c r="AM125" i="49"/>
  <c r="AL125" i="49"/>
  <c r="AK125" i="49"/>
  <c r="AJ125" i="49"/>
  <c r="AI125" i="49"/>
  <c r="AH125" i="49"/>
  <c r="AG125" i="49"/>
  <c r="AF125" i="49"/>
  <c r="AE125" i="49"/>
  <c r="AD125" i="49"/>
  <c r="AC125" i="49"/>
  <c r="AB125" i="49"/>
  <c r="AA125" i="49"/>
  <c r="Z125" i="49"/>
  <c r="Y125" i="49"/>
  <c r="X125" i="49"/>
  <c r="W125" i="49"/>
  <c r="V125" i="49"/>
  <c r="U125" i="49"/>
  <c r="T125" i="49"/>
  <c r="S125" i="49"/>
  <c r="R125" i="49"/>
  <c r="Q125" i="49"/>
  <c r="P125" i="49"/>
  <c r="O125" i="49"/>
  <c r="N125" i="49"/>
  <c r="M125" i="49"/>
  <c r="L125" i="49"/>
  <c r="K125" i="49"/>
  <c r="J125" i="49"/>
  <c r="I125" i="49"/>
  <c r="CM124" i="49"/>
  <c r="CL124" i="49"/>
  <c r="CK124" i="49"/>
  <c r="CI124" i="49"/>
  <c r="CH124" i="49"/>
  <c r="CG124" i="49"/>
  <c r="CF124" i="49"/>
  <c r="CD124" i="49"/>
  <c r="CC124" i="49"/>
  <c r="CB124" i="49"/>
  <c r="CA124" i="49"/>
  <c r="BY124" i="49"/>
  <c r="BX124" i="49"/>
  <c r="BW124" i="49"/>
  <c r="BV124" i="49"/>
  <c r="BT124" i="49"/>
  <c r="BS124" i="49"/>
  <c r="BR124" i="49"/>
  <c r="BQ124" i="49"/>
  <c r="BP124" i="49"/>
  <c r="BO124" i="49"/>
  <c r="BN124" i="49"/>
  <c r="BM124" i="49"/>
  <c r="BL124" i="49"/>
  <c r="BJ124" i="49"/>
  <c r="BI124" i="49"/>
  <c r="BH124" i="49"/>
  <c r="BG124" i="49"/>
  <c r="BE124" i="49"/>
  <c r="BD124" i="49"/>
  <c r="BC124" i="49"/>
  <c r="BB124" i="49"/>
  <c r="AZ124" i="49"/>
  <c r="AY124" i="49"/>
  <c r="AX124" i="49"/>
  <c r="AW124" i="49"/>
  <c r="AV124" i="49"/>
  <c r="AU124" i="49"/>
  <c r="AT124" i="49"/>
  <c r="AS124" i="49"/>
  <c r="AR124" i="49"/>
  <c r="AP124" i="49"/>
  <c r="AO124" i="49"/>
  <c r="AN124" i="49"/>
  <c r="AM124" i="49"/>
  <c r="AK124" i="49"/>
  <c r="AJ124" i="49"/>
  <c r="AI124" i="49"/>
  <c r="AH124" i="49"/>
  <c r="AF124" i="49"/>
  <c r="AE124" i="49"/>
  <c r="AD124" i="49"/>
  <c r="AC124" i="49"/>
  <c r="AB124" i="49"/>
  <c r="AA124" i="49"/>
  <c r="Z124" i="49"/>
  <c r="Y124" i="49"/>
  <c r="X124" i="49"/>
  <c r="V124" i="49"/>
  <c r="U124" i="49"/>
  <c r="T124" i="49"/>
  <c r="S124" i="49"/>
  <c r="Q124" i="49"/>
  <c r="P124" i="49"/>
  <c r="O124" i="49"/>
  <c r="N124" i="49"/>
  <c r="L124" i="49"/>
  <c r="K124" i="49"/>
  <c r="J124" i="49"/>
  <c r="I124" i="49"/>
  <c r="CM123" i="49"/>
  <c r="CL123" i="49"/>
  <c r="CK123" i="49"/>
  <c r="CI123" i="49"/>
  <c r="CH123" i="49"/>
  <c r="CG123" i="49"/>
  <c r="CF123" i="49"/>
  <c r="CE123" i="49"/>
  <c r="CD123" i="49"/>
  <c r="CC123" i="49"/>
  <c r="CB123" i="49"/>
  <c r="CA123" i="49"/>
  <c r="BY123" i="49"/>
  <c r="BX123" i="49"/>
  <c r="BW123" i="49"/>
  <c r="BV123" i="49"/>
  <c r="BT123" i="49"/>
  <c r="BS123" i="49"/>
  <c r="BR123" i="49"/>
  <c r="BQ123" i="49"/>
  <c r="BO123" i="49"/>
  <c r="BN123" i="49"/>
  <c r="BM123" i="49"/>
  <c r="BL123" i="49"/>
  <c r="BK123" i="49"/>
  <c r="BJ123" i="49"/>
  <c r="BI123" i="49"/>
  <c r="BH123" i="49"/>
  <c r="BG123" i="49"/>
  <c r="BE123" i="49"/>
  <c r="BD123" i="49"/>
  <c r="BC123" i="49"/>
  <c r="BB123" i="49"/>
  <c r="AZ123" i="49"/>
  <c r="AY123" i="49"/>
  <c r="AX123" i="49"/>
  <c r="AW123" i="49"/>
  <c r="AU123" i="49"/>
  <c r="AT123" i="49"/>
  <c r="AS123" i="49"/>
  <c r="AR123" i="49"/>
  <c r="AQ123" i="49"/>
  <c r="AP123" i="49"/>
  <c r="AO123" i="49"/>
  <c r="AN123" i="49"/>
  <c r="AM123" i="49"/>
  <c r="AK123" i="49"/>
  <c r="AJ123" i="49"/>
  <c r="AI123" i="49"/>
  <c r="AH123" i="49"/>
  <c r="AF123" i="49"/>
  <c r="AE123" i="49"/>
  <c r="AD123" i="49"/>
  <c r="AC123" i="49"/>
  <c r="AA123" i="49"/>
  <c r="Z123" i="49"/>
  <c r="Y123" i="49"/>
  <c r="X123" i="49"/>
  <c r="W123" i="49"/>
  <c r="V123" i="49"/>
  <c r="U123" i="49"/>
  <c r="T123" i="49"/>
  <c r="S123" i="49"/>
  <c r="Q123" i="49"/>
  <c r="P123" i="49"/>
  <c r="O123" i="49"/>
  <c r="N123" i="49"/>
  <c r="L123" i="49"/>
  <c r="K123" i="49"/>
  <c r="J123" i="49"/>
  <c r="I123" i="49"/>
  <c r="CM122" i="49"/>
  <c r="CL122" i="49"/>
  <c r="CK122" i="49"/>
  <c r="CI122" i="49"/>
  <c r="CH122" i="49"/>
  <c r="CG122" i="49"/>
  <c r="CF122" i="49"/>
  <c r="CD122" i="49"/>
  <c r="CC122" i="49"/>
  <c r="CB122" i="49"/>
  <c r="CA122" i="49"/>
  <c r="BZ122" i="49"/>
  <c r="BY122" i="49"/>
  <c r="BX122" i="49"/>
  <c r="BW122" i="49"/>
  <c r="BV122" i="49"/>
  <c r="BT122" i="49"/>
  <c r="BS122" i="49"/>
  <c r="BR122" i="49"/>
  <c r="BQ122" i="49"/>
  <c r="BO122" i="49"/>
  <c r="BN122" i="49"/>
  <c r="BM122" i="49"/>
  <c r="BL122" i="49"/>
  <c r="BJ122" i="49"/>
  <c r="BI122" i="49"/>
  <c r="BH122" i="49"/>
  <c r="BG122" i="49"/>
  <c r="BF122" i="49"/>
  <c r="BE122" i="49"/>
  <c r="BD122" i="49"/>
  <c r="BC122" i="49"/>
  <c r="BB122" i="49"/>
  <c r="AZ122" i="49"/>
  <c r="AY122" i="49"/>
  <c r="AX122" i="49"/>
  <c r="AW122" i="49"/>
  <c r="AU122" i="49"/>
  <c r="AT122" i="49"/>
  <c r="AS122" i="49"/>
  <c r="AR122" i="49"/>
  <c r="AP122" i="49"/>
  <c r="AO122" i="49"/>
  <c r="AN122" i="49"/>
  <c r="AM122" i="49"/>
  <c r="AL122" i="49"/>
  <c r="AK122" i="49"/>
  <c r="AJ122" i="49"/>
  <c r="AI122" i="49"/>
  <c r="AH122" i="49"/>
  <c r="AF122" i="49"/>
  <c r="AE122" i="49"/>
  <c r="AD122" i="49"/>
  <c r="AC122" i="49"/>
  <c r="AA122" i="49"/>
  <c r="Z122" i="49"/>
  <c r="Y122" i="49"/>
  <c r="X122" i="49"/>
  <c r="V122" i="49"/>
  <c r="U122" i="49"/>
  <c r="T122" i="49"/>
  <c r="R122" i="49"/>
  <c r="Q122" i="49"/>
  <c r="P122" i="49"/>
  <c r="CM121" i="49"/>
  <c r="CL121" i="49"/>
  <c r="CK121" i="49"/>
  <c r="CI121" i="49"/>
  <c r="CH121" i="49"/>
  <c r="CG121" i="49"/>
  <c r="CF121" i="49"/>
  <c r="CD121" i="49"/>
  <c r="CC121" i="49"/>
  <c r="CB121" i="49"/>
  <c r="CA121" i="49"/>
  <c r="BY121" i="49"/>
  <c r="BX121" i="49"/>
  <c r="BW121" i="49"/>
  <c r="BV121" i="49"/>
  <c r="BT121" i="49"/>
  <c r="BS121" i="49"/>
  <c r="BR121" i="49"/>
  <c r="BQ121" i="49"/>
  <c r="BO121" i="49"/>
  <c r="BN121" i="49"/>
  <c r="BM121" i="49"/>
  <c r="BL121" i="49"/>
  <c r="BJ121" i="49"/>
  <c r="BI121" i="49"/>
  <c r="BH121" i="49"/>
  <c r="BG121" i="49"/>
  <c r="BE121" i="49"/>
  <c r="BD121" i="49"/>
  <c r="BC121" i="49"/>
  <c r="BB121" i="49"/>
  <c r="AZ121" i="49"/>
  <c r="AY121" i="49"/>
  <c r="AX121" i="49"/>
  <c r="AW121" i="49"/>
  <c r="AU121" i="49"/>
  <c r="AT121" i="49"/>
  <c r="AS121" i="49"/>
  <c r="AR121" i="49"/>
  <c r="AP121" i="49"/>
  <c r="AO121" i="49"/>
  <c r="AN121" i="49"/>
  <c r="AM121" i="49"/>
  <c r="AK121" i="49"/>
  <c r="AJ121" i="49"/>
  <c r="AI121" i="49"/>
  <c r="AH121" i="49"/>
  <c r="AF121" i="49"/>
  <c r="AE121" i="49"/>
  <c r="AD121" i="49"/>
  <c r="AC121" i="49"/>
  <c r="AA121" i="49"/>
  <c r="Z121" i="49"/>
  <c r="Y121" i="49"/>
  <c r="X121" i="49"/>
  <c r="V121" i="49"/>
  <c r="U121" i="49"/>
  <c r="T121" i="49"/>
  <c r="S121" i="49"/>
  <c r="Q121" i="49"/>
  <c r="P121" i="49"/>
  <c r="CM120" i="49"/>
  <c r="CL120" i="49"/>
  <c r="CK120" i="49"/>
  <c r="CI120" i="49"/>
  <c r="CH120" i="49"/>
  <c r="CG120" i="49"/>
  <c r="CF120" i="49"/>
  <c r="CD120" i="49"/>
  <c r="CC120" i="49"/>
  <c r="CB120" i="49"/>
  <c r="CA120" i="49"/>
  <c r="BY120" i="49"/>
  <c r="BX120" i="49"/>
  <c r="BW120" i="49"/>
  <c r="BV120" i="49"/>
  <c r="BT120" i="49"/>
  <c r="BS120" i="49"/>
  <c r="BR120" i="49"/>
  <c r="BQ120" i="49"/>
  <c r="BP120" i="49"/>
  <c r="BO120" i="49"/>
  <c r="BN120" i="49"/>
  <c r="BM120" i="49"/>
  <c r="BL120" i="49"/>
  <c r="BJ120" i="49"/>
  <c r="BI120" i="49"/>
  <c r="BH120" i="49"/>
  <c r="BG120" i="49"/>
  <c r="BE120" i="49"/>
  <c r="BD120" i="49"/>
  <c r="BC120" i="49"/>
  <c r="BB120" i="49"/>
  <c r="AZ120" i="49"/>
  <c r="AY120" i="49"/>
  <c r="AX120" i="49"/>
  <c r="AW120" i="49"/>
  <c r="AV120" i="49"/>
  <c r="AU120" i="49"/>
  <c r="AT120" i="49"/>
  <c r="AS120" i="49"/>
  <c r="AR120" i="49"/>
  <c r="AP120" i="49"/>
  <c r="AO120" i="49"/>
  <c r="AN120" i="49"/>
  <c r="AM120" i="49"/>
  <c r="AK120" i="49"/>
  <c r="AJ120" i="49"/>
  <c r="AI120" i="49"/>
  <c r="AH120" i="49"/>
  <c r="AF120" i="49"/>
  <c r="AE120" i="49"/>
  <c r="AD120" i="49"/>
  <c r="AC120" i="49"/>
  <c r="AB120" i="49"/>
  <c r="AA120" i="49"/>
  <c r="Z120" i="49"/>
  <c r="Y120" i="49"/>
  <c r="X120" i="49"/>
  <c r="V120" i="49"/>
  <c r="U120" i="49"/>
  <c r="T120" i="49"/>
  <c r="P120" i="49"/>
  <c r="CM119" i="49"/>
  <c r="CL119" i="49"/>
  <c r="CK119" i="49"/>
  <c r="CI119" i="49"/>
  <c r="CH119" i="49"/>
  <c r="CG119" i="49"/>
  <c r="CF119" i="49"/>
  <c r="CE119" i="49"/>
  <c r="CD119" i="49"/>
  <c r="CC119" i="49"/>
  <c r="CB119" i="49"/>
  <c r="CA119" i="49"/>
  <c r="BY119" i="49"/>
  <c r="BX119" i="49"/>
  <c r="BW119" i="49"/>
  <c r="BV119" i="49"/>
  <c r="BT119" i="49"/>
  <c r="BS119" i="49"/>
  <c r="BR119" i="49"/>
  <c r="BQ119" i="49"/>
  <c r="BO119" i="49"/>
  <c r="BN119" i="49"/>
  <c r="BM119" i="49"/>
  <c r="BL119" i="49"/>
  <c r="BK119" i="49"/>
  <c r="BJ119" i="49"/>
  <c r="BI119" i="49"/>
  <c r="BH119" i="49"/>
  <c r="BG119" i="49"/>
  <c r="BE119" i="49"/>
  <c r="BD119" i="49"/>
  <c r="BC119" i="49"/>
  <c r="BB119" i="49"/>
  <c r="AZ119" i="49"/>
  <c r="AY119" i="49"/>
  <c r="AX119" i="49"/>
  <c r="AW119" i="49"/>
  <c r="AU119" i="49"/>
  <c r="AT119" i="49"/>
  <c r="AS119" i="49"/>
  <c r="AR119" i="49"/>
  <c r="AQ119" i="49"/>
  <c r="AP119" i="49"/>
  <c r="AO119" i="49"/>
  <c r="AN119" i="49"/>
  <c r="AM119" i="49"/>
  <c r="AK119" i="49"/>
  <c r="AJ119" i="49"/>
  <c r="AI119" i="49"/>
  <c r="AH119" i="49"/>
  <c r="AF119" i="49"/>
  <c r="AE119" i="49"/>
  <c r="AD119" i="49"/>
  <c r="AC119" i="49"/>
  <c r="AA119" i="49"/>
  <c r="Z119" i="49"/>
  <c r="Y119" i="49"/>
  <c r="X119" i="49"/>
  <c r="W119" i="49"/>
  <c r="V119" i="49"/>
  <c r="U119" i="49"/>
  <c r="T119" i="49"/>
  <c r="S119" i="49"/>
  <c r="P119" i="49"/>
  <c r="CM118" i="49"/>
  <c r="CL118" i="49"/>
  <c r="CK118" i="49"/>
  <c r="CI118" i="49"/>
  <c r="CH118" i="49"/>
  <c r="CD118" i="49"/>
  <c r="CA118" i="49"/>
  <c r="BX118" i="49"/>
  <c r="BW118" i="49"/>
  <c r="BV118" i="49"/>
  <c r="BT118" i="49"/>
  <c r="BS118" i="49"/>
  <c r="BR118" i="49"/>
  <c r="BQ118" i="49"/>
  <c r="BN118" i="49"/>
  <c r="BJ118" i="49"/>
  <c r="BI118" i="49"/>
  <c r="BH118" i="49"/>
  <c r="BG118" i="49"/>
  <c r="BF118" i="49"/>
  <c r="BE118" i="49"/>
  <c r="BD118" i="49"/>
  <c r="BC118" i="49"/>
  <c r="BB118" i="49"/>
  <c r="AZ118" i="49"/>
  <c r="AY118" i="49"/>
  <c r="AX118" i="49"/>
  <c r="AW118" i="49"/>
  <c r="AU118" i="49"/>
  <c r="AT118" i="49"/>
  <c r="AS118" i="49"/>
  <c r="AR118" i="49"/>
  <c r="AP118" i="49"/>
  <c r="AO118" i="49"/>
  <c r="AN118" i="49"/>
  <c r="AM118" i="49"/>
  <c r="AL118" i="49"/>
  <c r="AK118" i="49"/>
  <c r="AJ118" i="49"/>
  <c r="AI118" i="49"/>
  <c r="AH118" i="49"/>
  <c r="AF118" i="49"/>
  <c r="AE118" i="49"/>
  <c r="AD118" i="49"/>
  <c r="AC118" i="49"/>
  <c r="AA118" i="49"/>
  <c r="Z118" i="49"/>
  <c r="Y118" i="49"/>
  <c r="X118" i="49"/>
  <c r="V118" i="49"/>
  <c r="U118" i="49"/>
  <c r="T118" i="49"/>
  <c r="CM117" i="49"/>
  <c r="CL117" i="49"/>
  <c r="CK117" i="49"/>
  <c r="CI117" i="49"/>
  <c r="CH117" i="49"/>
  <c r="CG117" i="49"/>
  <c r="CF117" i="49"/>
  <c r="CD117" i="49"/>
  <c r="CC117" i="49"/>
  <c r="CB117" i="49"/>
  <c r="CA117" i="49"/>
  <c r="BY117" i="49"/>
  <c r="BX117" i="49"/>
  <c r="BW117" i="49"/>
  <c r="BV117" i="49"/>
  <c r="BT117" i="49"/>
  <c r="BS117" i="49"/>
  <c r="BR117" i="49"/>
  <c r="BQ117" i="49"/>
  <c r="BO117" i="49"/>
  <c r="BN117" i="49"/>
  <c r="BM117" i="49"/>
  <c r="BL117" i="49"/>
  <c r="BJ117" i="49"/>
  <c r="BI117" i="49"/>
  <c r="BH117" i="49"/>
  <c r="BG117" i="49"/>
  <c r="BE117" i="49"/>
  <c r="BD117" i="49"/>
  <c r="BC117" i="49"/>
  <c r="BB117" i="49"/>
  <c r="BA117" i="49"/>
  <c r="AZ117" i="49"/>
  <c r="AY117" i="49"/>
  <c r="AX117" i="49"/>
  <c r="AW117" i="49"/>
  <c r="AU117" i="49"/>
  <c r="AT117" i="49"/>
  <c r="AS117" i="49"/>
  <c r="AR117" i="49"/>
  <c r="AP117" i="49"/>
  <c r="AO117" i="49"/>
  <c r="AN117" i="49"/>
  <c r="AM117" i="49"/>
  <c r="AK117" i="49"/>
  <c r="AJ117" i="49"/>
  <c r="AI117" i="49"/>
  <c r="AH117" i="49"/>
  <c r="AG117" i="49"/>
  <c r="AF117" i="49"/>
  <c r="AE117" i="49"/>
  <c r="AD117" i="49"/>
  <c r="AC117" i="49"/>
  <c r="AA117" i="49"/>
  <c r="Z117" i="49"/>
  <c r="Y117" i="49"/>
  <c r="X117" i="49"/>
  <c r="V117" i="49"/>
  <c r="U117" i="49"/>
  <c r="T117" i="49"/>
  <c r="S117" i="49"/>
  <c r="Q117" i="49"/>
  <c r="P117" i="49"/>
  <c r="O117" i="49"/>
  <c r="N117" i="49"/>
  <c r="M117" i="49"/>
  <c r="L117" i="49"/>
  <c r="K117" i="49"/>
  <c r="J117" i="49"/>
  <c r="I117" i="49"/>
  <c r="CM116" i="49"/>
  <c r="CL116" i="49"/>
  <c r="CK116" i="49"/>
  <c r="CI116" i="49"/>
  <c r="CH116" i="49"/>
  <c r="CG116" i="49"/>
  <c r="CF116" i="49"/>
  <c r="CD116" i="49"/>
  <c r="CC116" i="49"/>
  <c r="CB116" i="49"/>
  <c r="CA116" i="49"/>
  <c r="BY116" i="49"/>
  <c r="BX116" i="49"/>
  <c r="BW116" i="49"/>
  <c r="BV116" i="49"/>
  <c r="BT116" i="49"/>
  <c r="BS116" i="49"/>
  <c r="BR116" i="49"/>
  <c r="BQ116" i="49"/>
  <c r="BP116" i="49"/>
  <c r="BO116" i="49"/>
  <c r="BN116" i="49"/>
  <c r="BM116" i="49"/>
  <c r="BL116" i="49"/>
  <c r="BJ116" i="49"/>
  <c r="BI116" i="49"/>
  <c r="BH116" i="49"/>
  <c r="BG116" i="49"/>
  <c r="BE116" i="49"/>
  <c r="BD116" i="49"/>
  <c r="BC116" i="49"/>
  <c r="BB116" i="49"/>
  <c r="AZ116" i="49"/>
  <c r="AY116" i="49"/>
  <c r="AX116" i="49"/>
  <c r="AW116" i="49"/>
  <c r="AV116" i="49"/>
  <c r="AU116" i="49"/>
  <c r="AT116" i="49"/>
  <c r="AS116" i="49"/>
  <c r="AR116" i="49"/>
  <c r="AP116" i="49"/>
  <c r="AO116" i="49"/>
  <c r="AN116" i="49"/>
  <c r="AM116" i="49"/>
  <c r="AK116" i="49"/>
  <c r="AJ116" i="49"/>
  <c r="AI116" i="49"/>
  <c r="AH116" i="49"/>
  <c r="AF116" i="49"/>
  <c r="AE116" i="49"/>
  <c r="AD116" i="49"/>
  <c r="AC116" i="49"/>
  <c r="AB116" i="49"/>
  <c r="AA116" i="49"/>
  <c r="Z116" i="49"/>
  <c r="Y116" i="49"/>
  <c r="X116" i="49"/>
  <c r="V116" i="49"/>
  <c r="U116" i="49"/>
  <c r="T116" i="49"/>
  <c r="S116" i="49"/>
  <c r="Q116" i="49"/>
  <c r="P116" i="49"/>
  <c r="O116" i="49"/>
  <c r="N116" i="49"/>
  <c r="L116" i="49"/>
  <c r="K116" i="49"/>
  <c r="J116" i="49"/>
  <c r="I116" i="49"/>
  <c r="CM115" i="49"/>
  <c r="CL115" i="49"/>
  <c r="CK115" i="49"/>
  <c r="CI115" i="49"/>
  <c r="CH115" i="49"/>
  <c r="CG115" i="49"/>
  <c r="CF115" i="49"/>
  <c r="CE115" i="49"/>
  <c r="CD115" i="49"/>
  <c r="CC115" i="49"/>
  <c r="CB115" i="49"/>
  <c r="CA115" i="49"/>
  <c r="BY115" i="49"/>
  <c r="BX115" i="49"/>
  <c r="BW115" i="49"/>
  <c r="BV115" i="49"/>
  <c r="BT115" i="49"/>
  <c r="BS115" i="49"/>
  <c r="BR115" i="49"/>
  <c r="BQ115" i="49"/>
  <c r="BO115" i="49"/>
  <c r="BN115" i="49"/>
  <c r="BM115" i="49"/>
  <c r="BL115" i="49"/>
  <c r="BK115" i="49"/>
  <c r="BJ115" i="49"/>
  <c r="BI115" i="49"/>
  <c r="BH115" i="49"/>
  <c r="BG115" i="49"/>
  <c r="BE115" i="49"/>
  <c r="BD115" i="49"/>
  <c r="BC115" i="49"/>
  <c r="BB115" i="49"/>
  <c r="AZ115" i="49"/>
  <c r="AY115" i="49"/>
  <c r="AX115" i="49"/>
  <c r="AW115" i="49"/>
  <c r="AU115" i="49"/>
  <c r="AT115" i="49"/>
  <c r="AS115" i="49"/>
  <c r="AR115" i="49"/>
  <c r="AQ115" i="49"/>
  <c r="AP115" i="49"/>
  <c r="AO115" i="49"/>
  <c r="AN115" i="49"/>
  <c r="AM115" i="49"/>
  <c r="AK115" i="49"/>
  <c r="AJ115" i="49"/>
  <c r="AI115" i="49"/>
  <c r="AI139" i="49" s="1"/>
  <c r="AH115" i="49"/>
  <c r="AF115" i="49"/>
  <c r="AE115" i="49"/>
  <c r="AD115" i="49"/>
  <c r="AC115" i="49"/>
  <c r="AA115" i="49"/>
  <c r="Z115" i="49"/>
  <c r="Y115" i="49"/>
  <c r="X115" i="49"/>
  <c r="W115" i="49"/>
  <c r="V115" i="49"/>
  <c r="U115" i="49"/>
  <c r="T115" i="49"/>
  <c r="S115" i="49"/>
  <c r="Q115" i="49"/>
  <c r="P115" i="49"/>
  <c r="O115" i="49"/>
  <c r="N115" i="49"/>
  <c r="L115" i="49"/>
  <c r="K115" i="49"/>
  <c r="J115" i="49"/>
  <c r="I115" i="49"/>
  <c r="CM114" i="49"/>
  <c r="CL114" i="49"/>
  <c r="CK114" i="49"/>
  <c r="CI114" i="49"/>
  <c r="CH114" i="49"/>
  <c r="CG114" i="49"/>
  <c r="CF114" i="49"/>
  <c r="CD114" i="49"/>
  <c r="CC114" i="49"/>
  <c r="CB114" i="49"/>
  <c r="CA114" i="49"/>
  <c r="BZ114" i="49"/>
  <c r="BY114" i="49"/>
  <c r="BX114" i="49"/>
  <c r="BW114" i="49"/>
  <c r="BV114" i="49"/>
  <c r="BT114" i="49"/>
  <c r="BS114" i="49"/>
  <c r="BR114" i="49"/>
  <c r="BQ114" i="49"/>
  <c r="BO114" i="49"/>
  <c r="BN114" i="49"/>
  <c r="BM114" i="49"/>
  <c r="BL114" i="49"/>
  <c r="BJ114" i="49"/>
  <c r="BI114" i="49"/>
  <c r="BH114" i="49"/>
  <c r="BG114" i="49"/>
  <c r="BF114" i="49"/>
  <c r="BE114" i="49"/>
  <c r="BD114" i="49"/>
  <c r="BC114" i="49"/>
  <c r="BB114" i="49"/>
  <c r="AZ114" i="49"/>
  <c r="AY114" i="49"/>
  <c r="AX114" i="49"/>
  <c r="AW114" i="49"/>
  <c r="AU114" i="49"/>
  <c r="AT114" i="49"/>
  <c r="AS114" i="49"/>
  <c r="AR114" i="49"/>
  <c r="AP114" i="49"/>
  <c r="AO114" i="49"/>
  <c r="AN114" i="49"/>
  <c r="AM114" i="49"/>
  <c r="AL114" i="49"/>
  <c r="AK114" i="49"/>
  <c r="AJ114" i="49"/>
  <c r="AI114" i="49"/>
  <c r="AH114" i="49"/>
  <c r="AF114" i="49"/>
  <c r="AE114" i="49"/>
  <c r="AD114" i="49"/>
  <c r="AC114" i="49"/>
  <c r="AA114" i="49"/>
  <c r="Z114" i="49"/>
  <c r="Y114" i="49"/>
  <c r="X114" i="49"/>
  <c r="V114" i="49"/>
  <c r="U114" i="49"/>
  <c r="T114" i="49"/>
  <c r="S114" i="49"/>
  <c r="Q114" i="49"/>
  <c r="P114" i="49"/>
  <c r="N114" i="49"/>
  <c r="CM113" i="49"/>
  <c r="CL113" i="49"/>
  <c r="CK113" i="49"/>
  <c r="CI113" i="49"/>
  <c r="CH113" i="49"/>
  <c r="CG113" i="49"/>
  <c r="CF113" i="49"/>
  <c r="CE113" i="49"/>
  <c r="CD113" i="49"/>
  <c r="CC113" i="49"/>
  <c r="CB113" i="49"/>
  <c r="CA113" i="49"/>
  <c r="BY113" i="49"/>
  <c r="BZ113" i="49" s="1"/>
  <c r="BX113" i="49"/>
  <c r="BW113" i="49"/>
  <c r="BV113" i="49"/>
  <c r="BU113" i="49"/>
  <c r="BT113" i="49"/>
  <c r="BS113" i="49"/>
  <c r="BR113" i="49"/>
  <c r="BQ113" i="49"/>
  <c r="BO113" i="49"/>
  <c r="BP113" i="49" s="1"/>
  <c r="CM112" i="49"/>
  <c r="CL112" i="49"/>
  <c r="CK112" i="49"/>
  <c r="CI112" i="49"/>
  <c r="CH112" i="49"/>
  <c r="CG112" i="49"/>
  <c r="CF112" i="49"/>
  <c r="CD112" i="49"/>
  <c r="CC112" i="49"/>
  <c r="CB112" i="49"/>
  <c r="CA112" i="49"/>
  <c r="BY112" i="49"/>
  <c r="BX112" i="49"/>
  <c r="BW112" i="49"/>
  <c r="BV112" i="49"/>
  <c r="BT112" i="49"/>
  <c r="BS112" i="49"/>
  <c r="BR112" i="49"/>
  <c r="BQ112" i="49"/>
  <c r="BO112" i="49"/>
  <c r="CM111" i="49"/>
  <c r="CL111" i="49"/>
  <c r="CK111" i="49"/>
  <c r="CI111" i="49"/>
  <c r="CI139" i="49" s="1"/>
  <c r="CH111" i="49"/>
  <c r="CG111" i="49"/>
  <c r="CF111" i="49"/>
  <c r="CE111" i="49"/>
  <c r="CD111" i="49"/>
  <c r="CC111" i="49"/>
  <c r="CB111" i="49"/>
  <c r="CA111" i="49"/>
  <c r="CA139" i="49" s="1"/>
  <c r="BY111" i="49"/>
  <c r="BX111" i="49"/>
  <c r="BW111" i="49"/>
  <c r="BW139" i="49" s="1"/>
  <c r="BV111" i="49"/>
  <c r="BT111" i="49"/>
  <c r="BS111" i="49"/>
  <c r="BS139" i="49" s="1"/>
  <c r="BR111" i="49"/>
  <c r="BQ111" i="49"/>
  <c r="BO111" i="49"/>
  <c r="CM110" i="49"/>
  <c r="CL110" i="49"/>
  <c r="CK110" i="49"/>
  <c r="CI110" i="49"/>
  <c r="CH110" i="49"/>
  <c r="CG110" i="49"/>
  <c r="CF110" i="49"/>
  <c r="CD110" i="49"/>
  <c r="CC110" i="49"/>
  <c r="CB110" i="49"/>
  <c r="CA110" i="49"/>
  <c r="BY110" i="49"/>
  <c r="BX110" i="49"/>
  <c r="BW110" i="49"/>
  <c r="BV110" i="49"/>
  <c r="BT110" i="49"/>
  <c r="BS110" i="49"/>
  <c r="BR110" i="49"/>
  <c r="BQ110" i="49"/>
  <c r="BO110" i="49"/>
  <c r="CM109" i="49"/>
  <c r="CL109" i="49"/>
  <c r="CK109" i="49"/>
  <c r="CI109" i="49"/>
  <c r="CG109" i="49"/>
  <c r="CD109" i="49"/>
  <c r="CA109" i="49"/>
  <c r="BY109" i="49"/>
  <c r="BX109" i="49"/>
  <c r="BW109" i="49"/>
  <c r="BV109" i="49"/>
  <c r="BT109" i="49"/>
  <c r="BS109" i="49"/>
  <c r="BR109" i="49"/>
  <c r="BR139" i="49" s="1"/>
  <c r="BQ109" i="49"/>
  <c r="BQ139" i="49" s="1"/>
  <c r="BO109" i="49"/>
  <c r="BN112" i="49"/>
  <c r="BM112" i="49"/>
  <c r="BL112" i="49"/>
  <c r="BJ112" i="49"/>
  <c r="BI112" i="49"/>
  <c r="BH112" i="49"/>
  <c r="BG112" i="49"/>
  <c r="BE112" i="49"/>
  <c r="BD112" i="49"/>
  <c r="BC112" i="49"/>
  <c r="BB112" i="49"/>
  <c r="BA112" i="49"/>
  <c r="AZ112" i="49"/>
  <c r="AY112" i="49"/>
  <c r="AX112" i="49"/>
  <c r="AW112" i="49"/>
  <c r="AU112" i="49"/>
  <c r="AT112" i="49"/>
  <c r="AS112" i="49"/>
  <c r="AR112" i="49"/>
  <c r="AP112" i="49"/>
  <c r="AO112" i="49"/>
  <c r="AN112" i="49"/>
  <c r="AM112" i="49"/>
  <c r="AK112" i="49"/>
  <c r="AJ112" i="49"/>
  <c r="AI112" i="49"/>
  <c r="AH112" i="49"/>
  <c r="AG112" i="49"/>
  <c r="AF112" i="49"/>
  <c r="AE112" i="49"/>
  <c r="AD112" i="49"/>
  <c r="AC112" i="49"/>
  <c r="AA112" i="49"/>
  <c r="Z112" i="49"/>
  <c r="Y112" i="49"/>
  <c r="X112" i="49"/>
  <c r="V112" i="49"/>
  <c r="U112" i="49"/>
  <c r="T112" i="49"/>
  <c r="S112" i="49"/>
  <c r="Q112" i="49"/>
  <c r="P112" i="49"/>
  <c r="O112" i="49"/>
  <c r="N112" i="49"/>
  <c r="M112" i="49"/>
  <c r="L112" i="49"/>
  <c r="K112" i="49"/>
  <c r="J112" i="49"/>
  <c r="I112" i="49"/>
  <c r="BN111" i="49"/>
  <c r="BM111" i="49"/>
  <c r="BL111" i="49"/>
  <c r="BK111" i="49"/>
  <c r="BJ111" i="49"/>
  <c r="BI111" i="49"/>
  <c r="BH111" i="49"/>
  <c r="BG111" i="49"/>
  <c r="BE111" i="49"/>
  <c r="BD111" i="49"/>
  <c r="BC111" i="49"/>
  <c r="BB111" i="49"/>
  <c r="AZ111" i="49"/>
  <c r="AY111" i="49"/>
  <c r="AX111" i="49"/>
  <c r="AW111" i="49"/>
  <c r="AU111" i="49"/>
  <c r="AT111" i="49"/>
  <c r="AS111" i="49"/>
  <c r="AR111" i="49"/>
  <c r="AQ111" i="49"/>
  <c r="AP111" i="49"/>
  <c r="AO111" i="49"/>
  <c r="AN111" i="49"/>
  <c r="AM111" i="49"/>
  <c r="AK111" i="49"/>
  <c r="AJ111" i="49"/>
  <c r="AI111" i="49"/>
  <c r="AH111" i="49"/>
  <c r="AF111" i="49"/>
  <c r="AE111" i="49"/>
  <c r="AD111" i="49"/>
  <c r="AC111" i="49"/>
  <c r="AA111" i="49"/>
  <c r="Z111" i="49"/>
  <c r="Y111" i="49"/>
  <c r="X111" i="49"/>
  <c r="W111" i="49"/>
  <c r="V111" i="49"/>
  <c r="U111" i="49"/>
  <c r="T111" i="49"/>
  <c r="S111" i="49"/>
  <c r="Q111" i="49"/>
  <c r="P111" i="49"/>
  <c r="O111" i="49"/>
  <c r="N111" i="49"/>
  <c r="L111" i="49"/>
  <c r="K111" i="49"/>
  <c r="J111" i="49"/>
  <c r="I111" i="49"/>
  <c r="BN110" i="49"/>
  <c r="BM110" i="49"/>
  <c r="BJ110" i="49"/>
  <c r="BI110" i="49"/>
  <c r="BH110" i="49"/>
  <c r="BG110" i="49"/>
  <c r="BE110" i="49"/>
  <c r="BD110" i="49"/>
  <c r="BC110" i="49"/>
  <c r="BB110" i="49"/>
  <c r="BA110" i="49"/>
  <c r="AZ110" i="49"/>
  <c r="AY110" i="49"/>
  <c r="AX110" i="49"/>
  <c r="AW110" i="49"/>
  <c r="AU110" i="49"/>
  <c r="AT110" i="49"/>
  <c r="AS110" i="49"/>
  <c r="AR110" i="49"/>
  <c r="AP110" i="49"/>
  <c r="AO110" i="49"/>
  <c r="AN110" i="49"/>
  <c r="AM110" i="49"/>
  <c r="AK110" i="49"/>
  <c r="AJ110" i="49"/>
  <c r="AI110" i="49"/>
  <c r="AH110" i="49"/>
  <c r="AF110" i="49"/>
  <c r="AE110" i="49"/>
  <c r="AD110" i="49"/>
  <c r="AC110" i="49"/>
  <c r="AA110" i="49"/>
  <c r="Z110" i="49"/>
  <c r="Y110" i="49"/>
  <c r="X110" i="49"/>
  <c r="V110" i="49"/>
  <c r="U110" i="49"/>
  <c r="T110" i="49"/>
  <c r="S110" i="49"/>
  <c r="Q110" i="49"/>
  <c r="P110" i="49"/>
  <c r="BJ109" i="49"/>
  <c r="BI109" i="49"/>
  <c r="BI139" i="49" s="1"/>
  <c r="BH109" i="49"/>
  <c r="BG109" i="49"/>
  <c r="BG139" i="49" s="1"/>
  <c r="BE109" i="49"/>
  <c r="BD109" i="49"/>
  <c r="BD139" i="49" s="1"/>
  <c r="BC109" i="49"/>
  <c r="BC139" i="49" s="1"/>
  <c r="BB109" i="49"/>
  <c r="AZ109" i="49"/>
  <c r="AZ139" i="49" s="1"/>
  <c r="AY109" i="49"/>
  <c r="AY139" i="49" s="1"/>
  <c r="AX109" i="49"/>
  <c r="AU109" i="49"/>
  <c r="AU139" i="49" s="1"/>
  <c r="AT109" i="49"/>
  <c r="AS109" i="49"/>
  <c r="AS139" i="49" s="1"/>
  <c r="AR109" i="49"/>
  <c r="AQ109" i="49"/>
  <c r="AP109" i="49"/>
  <c r="AO109" i="49"/>
  <c r="AO139" i="49" s="1"/>
  <c r="AN109" i="49"/>
  <c r="AM109" i="49"/>
  <c r="AM139" i="49" s="1"/>
  <c r="AK109" i="49"/>
  <c r="AK139" i="49" s="1"/>
  <c r="AJ109" i="49"/>
  <c r="AJ139" i="49" s="1"/>
  <c r="AI109" i="49"/>
  <c r="AH109" i="49"/>
  <c r="AF109" i="49"/>
  <c r="AE109" i="49"/>
  <c r="AE139" i="49" s="1"/>
  <c r="AD109" i="49"/>
  <c r="AC109" i="49"/>
  <c r="AC139" i="49" s="1"/>
  <c r="AA109" i="49"/>
  <c r="AA139" i="49" s="1"/>
  <c r="Z109" i="49"/>
  <c r="Z139" i="49" s="1"/>
  <c r="Y109" i="49"/>
  <c r="X109" i="49"/>
  <c r="V109" i="49"/>
  <c r="V139" i="49" s="1"/>
  <c r="U109" i="49"/>
  <c r="T109" i="49"/>
  <c r="T139" i="49" s="1"/>
  <c r="S109" i="49"/>
  <c r="Q109" i="49"/>
  <c r="P109" i="49"/>
  <c r="O109" i="49"/>
  <c r="CM108" i="49"/>
  <c r="CL108" i="49"/>
  <c r="CK108" i="49"/>
  <c r="CI108" i="49"/>
  <c r="CH108" i="49"/>
  <c r="CV105" i="49"/>
  <c r="CV383" i="49" s="1"/>
  <c r="CU105" i="49"/>
  <c r="CU383" i="49" s="1"/>
  <c r="CT105" i="49"/>
  <c r="CT383" i="49" s="1"/>
  <c r="CM105" i="49"/>
  <c r="CL105" i="49"/>
  <c r="CK105" i="49"/>
  <c r="CI105" i="49"/>
  <c r="CG105" i="49"/>
  <c r="CF105" i="49"/>
  <c r="CF383" i="49" s="1"/>
  <c r="CD105" i="49"/>
  <c r="CD383" i="49" s="1"/>
  <c r="CC105" i="49"/>
  <c r="CB105" i="49"/>
  <c r="CB383" i="49" s="1"/>
  <c r="CA105" i="49"/>
  <c r="CA383" i="49" s="1"/>
  <c r="BY105" i="49"/>
  <c r="BY383" i="49" s="1"/>
  <c r="BX105" i="49"/>
  <c r="BX383" i="49" s="1"/>
  <c r="BW105" i="49"/>
  <c r="BV105" i="49"/>
  <c r="BV383" i="49" s="1"/>
  <c r="BU105" i="49"/>
  <c r="BU383" i="49" s="1"/>
  <c r="BT105" i="49"/>
  <c r="BT383" i="49" s="1"/>
  <c r="BS105" i="49"/>
  <c r="BS383" i="49" s="1"/>
  <c r="BR105" i="49"/>
  <c r="BR383" i="49" s="1"/>
  <c r="BQ105" i="49"/>
  <c r="BQ383" i="49" s="1"/>
  <c r="BO105" i="49"/>
  <c r="BO383" i="49" s="1"/>
  <c r="BN105" i="49"/>
  <c r="BN383" i="49" s="1"/>
  <c r="BM105" i="49"/>
  <c r="BJ105" i="49"/>
  <c r="BJ383" i="49" s="1"/>
  <c r="BI105" i="49"/>
  <c r="BI383" i="49" s="1"/>
  <c r="BH105" i="49"/>
  <c r="BH383" i="49" s="1"/>
  <c r="BG105" i="49"/>
  <c r="BG383" i="49" s="1"/>
  <c r="BE105" i="49"/>
  <c r="BE383" i="49" s="1"/>
  <c r="BD105" i="49"/>
  <c r="BD383" i="49" s="1"/>
  <c r="BC105" i="49"/>
  <c r="BC383" i="49" s="1"/>
  <c r="BB105" i="49"/>
  <c r="BB383" i="49" s="1"/>
  <c r="BA105" i="49"/>
  <c r="BA383" i="49" s="1"/>
  <c r="AZ105" i="49"/>
  <c r="AZ383" i="49" s="1"/>
  <c r="AY105" i="49"/>
  <c r="AY383" i="49" s="1"/>
  <c r="AX105" i="49"/>
  <c r="AX383" i="49" s="1"/>
  <c r="AW105" i="49"/>
  <c r="AW383" i="49" s="1"/>
  <c r="AU105" i="49"/>
  <c r="AU383" i="49" s="1"/>
  <c r="AT105" i="49"/>
  <c r="AT383" i="49" s="1"/>
  <c r="AS105" i="49"/>
  <c r="AS383" i="49" s="1"/>
  <c r="AR105" i="49"/>
  <c r="AR383" i="49" s="1"/>
  <c r="AP105" i="49"/>
  <c r="AP383" i="49" s="1"/>
  <c r="AO105" i="49"/>
  <c r="AO383" i="49" s="1"/>
  <c r="AN105" i="49"/>
  <c r="AN383" i="49" s="1"/>
  <c r="AM105" i="49"/>
  <c r="AM383" i="49" s="1"/>
  <c r="AK105" i="49"/>
  <c r="AK383" i="49" s="1"/>
  <c r="AJ105" i="49"/>
  <c r="AJ383" i="49" s="1"/>
  <c r="AI105" i="49"/>
  <c r="AI383" i="49" s="1"/>
  <c r="AH105" i="49"/>
  <c r="AH383" i="49" s="1"/>
  <c r="AF105" i="49"/>
  <c r="AF383" i="49" s="1"/>
  <c r="AE105" i="49"/>
  <c r="AE383" i="49" s="1"/>
  <c r="AD105" i="49"/>
  <c r="AD383" i="49" s="1"/>
  <c r="AC105" i="49"/>
  <c r="AC383" i="49" s="1"/>
  <c r="AA105" i="49"/>
  <c r="AA383" i="49" s="1"/>
  <c r="Z105" i="49"/>
  <c r="Z383" i="49" s="1"/>
  <c r="Y105" i="49"/>
  <c r="Y383" i="49" s="1"/>
  <c r="X105" i="49"/>
  <c r="X383" i="49" s="1"/>
  <c r="V105" i="49"/>
  <c r="V383" i="49" s="1"/>
  <c r="U105" i="49"/>
  <c r="U383" i="49" s="1"/>
  <c r="T105" i="49"/>
  <c r="T383" i="49" s="1"/>
  <c r="S105" i="49"/>
  <c r="S383" i="49" s="1"/>
  <c r="Q105" i="49"/>
  <c r="P105" i="49"/>
  <c r="P383" i="49" s="1"/>
  <c r="O105" i="49"/>
  <c r="O383" i="49" s="1"/>
  <c r="I105" i="49"/>
  <c r="I383" i="49" s="1"/>
  <c r="CM103" i="49"/>
  <c r="CM381" i="49" s="1"/>
  <c r="CJ103" i="49"/>
  <c r="CJ102" i="49"/>
  <c r="CJ101" i="49"/>
  <c r="CJ100" i="49"/>
  <c r="CJ99" i="49"/>
  <c r="CJ98" i="49"/>
  <c r="CJ97" i="49"/>
  <c r="CJ96" i="49"/>
  <c r="CJ95" i="49"/>
  <c r="CJ94" i="49"/>
  <c r="CJ93" i="49"/>
  <c r="CJ90" i="49"/>
  <c r="CJ89" i="49"/>
  <c r="CJ88" i="49"/>
  <c r="CJ87" i="49"/>
  <c r="CJ86" i="49"/>
  <c r="CJ85" i="49"/>
  <c r="CJ84" i="49"/>
  <c r="CJ83" i="49"/>
  <c r="CJ82" i="49"/>
  <c r="CJ81" i="49"/>
  <c r="CJ80" i="49"/>
  <c r="CJ79" i="49"/>
  <c r="CJ78" i="49"/>
  <c r="CJ77" i="49"/>
  <c r="CJ76" i="49"/>
  <c r="CJ75" i="49"/>
  <c r="CJ105" i="49" s="1"/>
  <c r="CE90" i="49"/>
  <c r="CE368" i="49" s="1"/>
  <c r="CE403" i="49" s="1"/>
  <c r="CE89" i="49"/>
  <c r="CE367" i="49" s="1"/>
  <c r="CE402" i="49" s="1"/>
  <c r="CE88" i="49"/>
  <c r="CE87" i="49"/>
  <c r="CE364" i="49" s="1"/>
  <c r="CE86" i="49"/>
  <c r="CE363" i="49" s="1"/>
  <c r="CE85" i="49"/>
  <c r="CE365" i="49" s="1"/>
  <c r="CE84" i="49"/>
  <c r="CE361" i="49" s="1"/>
  <c r="CE83" i="49"/>
  <c r="CE360" i="49" s="1"/>
  <c r="CE82" i="49"/>
  <c r="CE81" i="49"/>
  <c r="CE358" i="49" s="1"/>
  <c r="CE393" i="49" s="1"/>
  <c r="CE80" i="49"/>
  <c r="CE356" i="49" s="1"/>
  <c r="CE79" i="49"/>
  <c r="CE78" i="49"/>
  <c r="CE77" i="49"/>
  <c r="CE105" i="49" s="1"/>
  <c r="CE383" i="49" s="1"/>
  <c r="CE76" i="49"/>
  <c r="CE353" i="49" s="1"/>
  <c r="BZ90" i="49"/>
  <c r="BZ368" i="49" s="1"/>
  <c r="BZ403" i="49" s="1"/>
  <c r="BZ89" i="49"/>
  <c r="BZ88" i="49"/>
  <c r="BZ366" i="49" s="1"/>
  <c r="BZ87" i="49"/>
  <c r="BZ364" i="49" s="1"/>
  <c r="BZ86" i="49"/>
  <c r="BZ363" i="49" s="1"/>
  <c r="BZ85" i="49"/>
  <c r="BZ365" i="49" s="1"/>
  <c r="BZ84" i="49"/>
  <c r="BZ361" i="49" s="1"/>
  <c r="BZ83" i="49"/>
  <c r="BZ360" i="49" s="1"/>
  <c r="BZ82" i="49"/>
  <c r="BZ359" i="49" s="1"/>
  <c r="BZ394" i="49" s="1"/>
  <c r="BZ81" i="49"/>
  <c r="BZ80" i="49"/>
  <c r="BZ356" i="49" s="1"/>
  <c r="BZ391" i="49" s="1"/>
  <c r="BZ79" i="49"/>
  <c r="BZ78" i="49"/>
  <c r="BZ355" i="49" s="1"/>
  <c r="BZ77" i="49"/>
  <c r="BZ76" i="49"/>
  <c r="BZ353" i="49" s="1"/>
  <c r="BU90" i="49"/>
  <c r="BU89" i="49"/>
  <c r="BU367" i="49" s="1"/>
  <c r="BU402" i="49" s="1"/>
  <c r="BU88" i="49"/>
  <c r="BU366" i="49" s="1"/>
  <c r="BU87" i="49"/>
  <c r="BU86" i="49"/>
  <c r="BU363" i="49" s="1"/>
  <c r="BU398" i="49" s="1"/>
  <c r="BU85" i="49"/>
  <c r="BU365" i="49" s="1"/>
  <c r="BU84" i="49"/>
  <c r="BU83" i="49"/>
  <c r="BU360" i="49" s="1"/>
  <c r="BU82" i="49"/>
  <c r="BU81" i="49"/>
  <c r="BU358" i="49" s="1"/>
  <c r="BU80" i="49"/>
  <c r="BU356" i="49" s="1"/>
  <c r="BU391" i="49" s="1"/>
  <c r="BU79" i="49"/>
  <c r="BU78" i="49"/>
  <c r="BU77" i="49"/>
  <c r="BU354" i="49" s="1"/>
  <c r="BU76" i="49"/>
  <c r="BP90" i="49"/>
  <c r="BP368" i="49" s="1"/>
  <c r="BP403" i="49" s="1"/>
  <c r="BP89" i="49"/>
  <c r="BP367" i="49" s="1"/>
  <c r="BP88" i="49"/>
  <c r="BP366" i="49" s="1"/>
  <c r="BP87" i="49"/>
  <c r="BP364" i="49" s="1"/>
  <c r="BP399" i="49" s="1"/>
  <c r="BP86" i="49"/>
  <c r="BP363" i="49" s="1"/>
  <c r="BP85" i="49"/>
  <c r="BP84" i="49"/>
  <c r="BP361" i="49" s="1"/>
  <c r="BP83" i="49"/>
  <c r="BP360" i="49" s="1"/>
  <c r="BP82" i="49"/>
  <c r="BP359" i="49" s="1"/>
  <c r="BP394" i="49" s="1"/>
  <c r="BP81" i="49"/>
  <c r="BP358" i="49" s="1"/>
  <c r="BP80" i="49"/>
  <c r="BP79" i="49"/>
  <c r="BP78" i="49"/>
  <c r="BP355" i="49" s="1"/>
  <c r="BP77" i="49"/>
  <c r="BP354" i="49" s="1"/>
  <c r="BP76" i="49"/>
  <c r="BK90" i="49"/>
  <c r="BK368" i="49" s="1"/>
  <c r="BK403" i="49" s="1"/>
  <c r="BK89" i="49"/>
  <c r="BK367" i="49" s="1"/>
  <c r="BK402" i="49" s="1"/>
  <c r="BK88" i="49"/>
  <c r="BK87" i="49"/>
  <c r="BK364" i="49" s="1"/>
  <c r="BK399" i="49" s="1"/>
  <c r="BK86" i="49"/>
  <c r="BK363" i="49" s="1"/>
  <c r="BK85" i="49"/>
  <c r="BK365" i="49" s="1"/>
  <c r="BK84" i="49"/>
  <c r="BK361" i="49" s="1"/>
  <c r="BK83" i="49"/>
  <c r="BK360" i="49" s="1"/>
  <c r="BK82" i="49"/>
  <c r="BK359" i="49" s="1"/>
  <c r="BK81" i="49"/>
  <c r="BK80" i="49"/>
  <c r="BK357" i="49" s="1"/>
  <c r="BK79" i="49"/>
  <c r="BK78" i="49"/>
  <c r="BK77" i="49"/>
  <c r="BK105" i="49" s="1"/>
  <c r="BK76" i="49"/>
  <c r="BK353" i="49" s="1"/>
  <c r="BK387" i="49" s="1"/>
  <c r="BF90" i="49"/>
  <c r="BF368" i="49" s="1"/>
  <c r="BF89" i="49"/>
  <c r="BF88" i="49"/>
  <c r="BF366" i="49" s="1"/>
  <c r="BF401" i="49" s="1"/>
  <c r="BF87" i="49"/>
  <c r="BF364" i="49" s="1"/>
  <c r="BF86" i="49"/>
  <c r="BF363" i="49" s="1"/>
  <c r="BF85" i="49"/>
  <c r="BF365" i="49" s="1"/>
  <c r="BF84" i="49"/>
  <c r="BF361" i="49" s="1"/>
  <c r="BF396" i="49" s="1"/>
  <c r="BF83" i="49"/>
  <c r="BF360" i="49" s="1"/>
  <c r="BF82" i="49"/>
  <c r="BF359" i="49" s="1"/>
  <c r="BF81" i="49"/>
  <c r="BF358" i="49" s="1"/>
  <c r="BF80" i="49"/>
  <c r="BF356" i="49" s="1"/>
  <c r="BF391" i="49" s="1"/>
  <c r="BF79" i="49"/>
  <c r="BF78" i="49"/>
  <c r="BF355" i="49" s="1"/>
  <c r="BF390" i="49" s="1"/>
  <c r="BF77" i="49"/>
  <c r="BF354" i="49" s="1"/>
  <c r="BF388" i="49" s="1"/>
  <c r="BF76" i="49"/>
  <c r="BF353" i="49" s="1"/>
  <c r="BA90" i="49"/>
  <c r="BA89" i="49"/>
  <c r="BA367" i="49" s="1"/>
  <c r="BA88" i="49"/>
  <c r="BA366" i="49" s="1"/>
  <c r="BA401" i="49" s="1"/>
  <c r="BA87" i="49"/>
  <c r="BA86" i="49"/>
  <c r="BA363" i="49" s="1"/>
  <c r="BA85" i="49"/>
  <c r="BA365" i="49" s="1"/>
  <c r="BA400" i="49" s="1"/>
  <c r="BA84" i="49"/>
  <c r="BA83" i="49"/>
  <c r="BA360" i="49" s="1"/>
  <c r="BA395" i="49" s="1"/>
  <c r="BA82" i="49"/>
  <c r="BA81" i="49"/>
  <c r="BA358" i="49" s="1"/>
  <c r="BA80" i="49"/>
  <c r="BA356" i="49" s="1"/>
  <c r="BA391" i="49" s="1"/>
  <c r="BA79" i="49"/>
  <c r="BA78" i="49"/>
  <c r="BA77" i="49"/>
  <c r="BA354" i="49" s="1"/>
  <c r="BA76" i="49"/>
  <c r="AV90" i="49"/>
  <c r="AV368" i="49" s="1"/>
  <c r="AV403" i="49" s="1"/>
  <c r="AV89" i="49"/>
  <c r="AV367" i="49" s="1"/>
  <c r="AV402" i="49" s="1"/>
  <c r="AV88" i="49"/>
  <c r="AV366" i="49" s="1"/>
  <c r="AV401" i="49" s="1"/>
  <c r="AV87" i="49"/>
  <c r="AV364" i="49" s="1"/>
  <c r="AV399" i="49" s="1"/>
  <c r="AV86" i="49"/>
  <c r="AV363" i="49" s="1"/>
  <c r="AV398" i="49" s="1"/>
  <c r="AV85" i="49"/>
  <c r="AV84" i="49"/>
  <c r="AV361" i="49" s="1"/>
  <c r="AV83" i="49"/>
  <c r="AV360" i="49" s="1"/>
  <c r="AV82" i="49"/>
  <c r="AV359" i="49" s="1"/>
  <c r="AV394" i="49" s="1"/>
  <c r="AV81" i="49"/>
  <c r="AV358" i="49" s="1"/>
  <c r="AV80" i="49"/>
  <c r="AV79" i="49"/>
  <c r="AV78" i="49"/>
  <c r="AV355" i="49" s="1"/>
  <c r="AV390" i="49" s="1"/>
  <c r="AV77" i="49"/>
  <c r="AV354" i="49" s="1"/>
  <c r="AV76" i="49"/>
  <c r="AQ90" i="49"/>
  <c r="AQ368" i="49" s="1"/>
  <c r="AQ403" i="49" s="1"/>
  <c r="AQ89" i="49"/>
  <c r="AQ367" i="49" s="1"/>
  <c r="AQ402" i="49" s="1"/>
  <c r="AQ88" i="49"/>
  <c r="AQ87" i="49"/>
  <c r="AQ364" i="49" s="1"/>
  <c r="AQ86" i="49"/>
  <c r="AQ363" i="49" s="1"/>
  <c r="AQ85" i="49"/>
  <c r="AQ365" i="49" s="1"/>
  <c r="AQ84" i="49"/>
  <c r="AQ361" i="49" s="1"/>
  <c r="AQ83" i="49"/>
  <c r="AQ117" i="49" s="1"/>
  <c r="AQ82" i="49"/>
  <c r="AQ116" i="49" s="1"/>
  <c r="AQ81" i="49"/>
  <c r="AQ80" i="49"/>
  <c r="AQ357" i="49" s="1"/>
  <c r="AQ392" i="49" s="1"/>
  <c r="AQ79" i="49"/>
  <c r="AQ112" i="49" s="1"/>
  <c r="AQ78" i="49"/>
  <c r="AQ355" i="49" s="1"/>
  <c r="AQ390" i="49" s="1"/>
  <c r="AQ77" i="49"/>
  <c r="AQ105" i="49" s="1"/>
  <c r="AQ383" i="49" s="1"/>
  <c r="AQ76" i="49"/>
  <c r="AQ353" i="49" s="1"/>
  <c r="AQ387" i="49" s="1"/>
  <c r="AL90" i="49"/>
  <c r="AL368" i="49" s="1"/>
  <c r="AL89" i="49"/>
  <c r="AL88" i="49"/>
  <c r="AL366" i="49" s="1"/>
  <c r="AL401" i="49" s="1"/>
  <c r="AL87" i="49"/>
  <c r="AL364" i="49" s="1"/>
  <c r="AL86" i="49"/>
  <c r="AL85" i="49"/>
  <c r="AL365" i="49" s="1"/>
  <c r="AL84" i="49"/>
  <c r="AL361" i="49" s="1"/>
  <c r="AL396" i="49" s="1"/>
  <c r="AL83" i="49"/>
  <c r="AL360" i="49" s="1"/>
  <c r="AL82" i="49"/>
  <c r="AL359" i="49" s="1"/>
  <c r="AL394" i="49" s="1"/>
  <c r="AL81" i="49"/>
  <c r="AL358" i="49" s="1"/>
  <c r="AL80" i="49"/>
  <c r="AL356" i="49" s="1"/>
  <c r="AL391" i="49" s="1"/>
  <c r="AL79" i="49"/>
  <c r="AL78" i="49"/>
  <c r="AL355" i="49" s="1"/>
  <c r="AL390" i="49" s="1"/>
  <c r="AL77" i="49"/>
  <c r="AL354" i="49" s="1"/>
  <c r="AL388" i="49" s="1"/>
  <c r="AL76" i="49"/>
  <c r="AL353" i="49" s="1"/>
  <c r="AG90" i="49"/>
  <c r="AG89" i="49"/>
  <c r="AG367" i="49" s="1"/>
  <c r="AG88" i="49"/>
  <c r="AG366" i="49" s="1"/>
  <c r="AG87" i="49"/>
  <c r="AG86" i="49"/>
  <c r="AG363" i="49" s="1"/>
  <c r="AG85" i="49"/>
  <c r="AG365" i="49" s="1"/>
  <c r="AG84" i="49"/>
  <c r="AG83" i="49"/>
  <c r="AG360" i="49" s="1"/>
  <c r="AG395" i="49" s="1"/>
  <c r="AG82" i="49"/>
  <c r="AG81" i="49"/>
  <c r="AG358" i="49" s="1"/>
  <c r="AG80" i="49"/>
  <c r="AG356" i="49" s="1"/>
  <c r="AG79" i="49"/>
  <c r="AG78" i="49"/>
  <c r="AG77" i="49"/>
  <c r="AG354" i="49" s="1"/>
  <c r="AG76" i="49"/>
  <c r="AB90" i="49"/>
  <c r="AB368" i="49" s="1"/>
  <c r="AB403" i="49" s="1"/>
  <c r="AB89" i="49"/>
  <c r="AB367" i="49" s="1"/>
  <c r="AB88" i="49"/>
  <c r="AB366" i="49" s="1"/>
  <c r="AB87" i="49"/>
  <c r="AB364" i="49" s="1"/>
  <c r="AB399" i="49" s="1"/>
  <c r="AB86" i="49"/>
  <c r="AB363" i="49" s="1"/>
  <c r="AB398" i="49" s="1"/>
  <c r="AB85" i="49"/>
  <c r="AB84" i="49"/>
  <c r="AB361" i="49" s="1"/>
  <c r="AB83" i="49"/>
  <c r="AB360" i="49" s="1"/>
  <c r="AB82" i="49"/>
  <c r="AB359" i="49" s="1"/>
  <c r="AB394" i="49" s="1"/>
  <c r="AB81" i="49"/>
  <c r="AB358" i="49" s="1"/>
  <c r="AB393" i="49" s="1"/>
  <c r="AB80" i="49"/>
  <c r="AB79" i="49"/>
  <c r="AB78" i="49"/>
  <c r="AB355" i="49" s="1"/>
  <c r="AB390" i="49" s="1"/>
  <c r="AB77" i="49"/>
  <c r="AB354" i="49" s="1"/>
  <c r="AB76" i="49"/>
  <c r="W90" i="49"/>
  <c r="W368" i="49" s="1"/>
  <c r="W403" i="49" s="1"/>
  <c r="W89" i="49"/>
  <c r="W367" i="49" s="1"/>
  <c r="W402" i="49" s="1"/>
  <c r="W88" i="49"/>
  <c r="W87" i="49"/>
  <c r="W364" i="49" s="1"/>
  <c r="W86" i="49"/>
  <c r="W363" i="49" s="1"/>
  <c r="W85" i="49"/>
  <c r="W365" i="49" s="1"/>
  <c r="W84" i="49"/>
  <c r="W361" i="49" s="1"/>
  <c r="W83" i="49"/>
  <c r="W360" i="49" s="1"/>
  <c r="W395" i="49" s="1"/>
  <c r="W82" i="49"/>
  <c r="W359" i="49" s="1"/>
  <c r="W394" i="49" s="1"/>
  <c r="W81" i="49"/>
  <c r="W80" i="49"/>
  <c r="W357" i="49" s="1"/>
  <c r="W79" i="49"/>
  <c r="W78" i="49"/>
  <c r="W355" i="49" s="1"/>
  <c r="W77" i="49"/>
  <c r="W105" i="49" s="1"/>
  <c r="W383" i="49" s="1"/>
  <c r="W76" i="49"/>
  <c r="W353" i="49" s="1"/>
  <c r="W387" i="49" s="1"/>
  <c r="R90" i="49"/>
  <c r="R368" i="49" s="1"/>
  <c r="R89" i="49"/>
  <c r="R88" i="49"/>
  <c r="R366" i="49" s="1"/>
  <c r="R401" i="49" s="1"/>
  <c r="R87" i="49"/>
  <c r="R364" i="49" s="1"/>
  <c r="R86" i="49"/>
  <c r="R363" i="49" s="1"/>
  <c r="R85" i="49"/>
  <c r="R365" i="49" s="1"/>
  <c r="R84" i="49"/>
  <c r="R361" i="49" s="1"/>
  <c r="R83" i="49"/>
  <c r="R360" i="49" s="1"/>
  <c r="R82" i="49"/>
  <c r="R359" i="49" s="1"/>
  <c r="R394" i="49" s="1"/>
  <c r="R81" i="49"/>
  <c r="R358" i="49" s="1"/>
  <c r="R393" i="49" s="1"/>
  <c r="R80" i="49"/>
  <c r="R356" i="49" s="1"/>
  <c r="R391" i="49" s="1"/>
  <c r="R79" i="49"/>
  <c r="R78" i="49"/>
  <c r="R355" i="49" s="1"/>
  <c r="R77" i="49"/>
  <c r="R354" i="49" s="1"/>
  <c r="R76" i="49"/>
  <c r="R353" i="49" s="1"/>
  <c r="M90" i="49"/>
  <c r="M89" i="49"/>
  <c r="M85" i="49"/>
  <c r="M365" i="49" s="1"/>
  <c r="M83" i="49"/>
  <c r="M360" i="49" s="1"/>
  <c r="M395" i="49" s="1"/>
  <c r="M82" i="49"/>
  <c r="M81" i="49"/>
  <c r="M358" i="49" s="1"/>
  <c r="M393" i="49" s="1"/>
  <c r="M80" i="49"/>
  <c r="M356" i="49" s="1"/>
  <c r="M391" i="49" s="1"/>
  <c r="M79" i="49"/>
  <c r="M78" i="49"/>
  <c r="N88" i="49"/>
  <c r="N366" i="49" s="1"/>
  <c r="N87" i="49"/>
  <c r="N364" i="49" s="1"/>
  <c r="N86" i="49"/>
  <c r="N52" i="49" s="1"/>
  <c r="N85" i="49"/>
  <c r="N365" i="49" s="1"/>
  <c r="N84" i="49"/>
  <c r="N361" i="49" s="1"/>
  <c r="O84" i="49"/>
  <c r="O361" i="49" s="1"/>
  <c r="L88" i="49"/>
  <c r="K88" i="49"/>
  <c r="J88" i="49"/>
  <c r="J366" i="49" s="1"/>
  <c r="I88" i="49"/>
  <c r="I366" i="49" s="1"/>
  <c r="L87" i="49"/>
  <c r="K87" i="49"/>
  <c r="K364" i="49" s="1"/>
  <c r="J87" i="49"/>
  <c r="J364" i="49" s="1"/>
  <c r="I87" i="49"/>
  <c r="L86" i="49"/>
  <c r="K86" i="49"/>
  <c r="K363" i="49" s="1"/>
  <c r="J86" i="49"/>
  <c r="I86" i="49"/>
  <c r="I363" i="49" s="1"/>
  <c r="L85" i="49"/>
  <c r="L365" i="49" s="1"/>
  <c r="K85" i="49"/>
  <c r="K365" i="49" s="1"/>
  <c r="J85" i="49"/>
  <c r="J365" i="49" s="1"/>
  <c r="I85" i="49"/>
  <c r="I365" i="49" s="1"/>
  <c r="K84" i="49"/>
  <c r="K361" i="49" s="1"/>
  <c r="J84" i="49"/>
  <c r="J361" i="49" s="1"/>
  <c r="I84" i="49"/>
  <c r="BL77" i="49"/>
  <c r="BL76" i="49"/>
  <c r="BL915" i="49" s="1"/>
  <c r="CH76" i="49"/>
  <c r="CH353" i="49" s="1"/>
  <c r="CH387" i="49" s="1"/>
  <c r="O77" i="49"/>
  <c r="N77" i="49"/>
  <c r="O76" i="49"/>
  <c r="O353" i="49" s="1"/>
  <c r="K77" i="49"/>
  <c r="K43" i="49" s="1"/>
  <c r="J77" i="49"/>
  <c r="J354" i="49" s="1"/>
  <c r="I77" i="49"/>
  <c r="I354" i="49" s="1"/>
  <c r="L76" i="49"/>
  <c r="L353" i="49" s="1"/>
  <c r="K76" i="49"/>
  <c r="I76" i="49"/>
  <c r="I42" i="49" s="1"/>
  <c r="CV72" i="49"/>
  <c r="CU72" i="49"/>
  <c r="CT72" i="49"/>
  <c r="CM72" i="49"/>
  <c r="CK72" i="49"/>
  <c r="CI72" i="49"/>
  <c r="CG72" i="49"/>
  <c r="CF72" i="49"/>
  <c r="CD72" i="49"/>
  <c r="CC72" i="49"/>
  <c r="CB72" i="49"/>
  <c r="CA72" i="49"/>
  <c r="BY72" i="49"/>
  <c r="BX72" i="49"/>
  <c r="BW72" i="49"/>
  <c r="BV72" i="49"/>
  <c r="BT72" i="49"/>
  <c r="BS72" i="49"/>
  <c r="BR72" i="49"/>
  <c r="BQ72" i="49"/>
  <c r="BO72" i="49"/>
  <c r="BN72" i="49"/>
  <c r="BM72" i="49"/>
  <c r="BL72" i="49"/>
  <c r="BJ72" i="49"/>
  <c r="BI72" i="49"/>
  <c r="BH72" i="49"/>
  <c r="BG72" i="49"/>
  <c r="BE72" i="49"/>
  <c r="BD72" i="49"/>
  <c r="BC72" i="49"/>
  <c r="BB72" i="49"/>
  <c r="AZ72" i="49"/>
  <c r="AY72" i="49"/>
  <c r="AX72" i="49"/>
  <c r="AW72" i="49"/>
  <c r="AU72" i="49"/>
  <c r="AT72" i="49"/>
  <c r="AS72" i="49"/>
  <c r="AR72" i="49"/>
  <c r="AP72" i="49"/>
  <c r="AO72" i="49"/>
  <c r="AN72" i="49"/>
  <c r="AM72" i="49"/>
  <c r="AK72" i="49"/>
  <c r="AJ72" i="49"/>
  <c r="AI72" i="49"/>
  <c r="AH72" i="49"/>
  <c r="AF72" i="49"/>
  <c r="AE72" i="49"/>
  <c r="AD72" i="49"/>
  <c r="AC72" i="49"/>
  <c r="AA72" i="49"/>
  <c r="Z72" i="49"/>
  <c r="Y72" i="49"/>
  <c r="X72" i="49"/>
  <c r="V72" i="49"/>
  <c r="U72" i="49"/>
  <c r="T72" i="49"/>
  <c r="S72" i="49"/>
  <c r="Q72" i="49"/>
  <c r="P72" i="49"/>
  <c r="CM70" i="49"/>
  <c r="CL70" i="49"/>
  <c r="CL72" i="49" s="1"/>
  <c r="CK70" i="49"/>
  <c r="CK138" i="49" s="1"/>
  <c r="CJ70" i="49"/>
  <c r="CI70" i="49"/>
  <c r="CI138" i="49" s="1"/>
  <c r="CJ138" i="49" s="1"/>
  <c r="CH70" i="49"/>
  <c r="CH347" i="49" s="1"/>
  <c r="CJ69" i="49"/>
  <c r="CJ68" i="49"/>
  <c r="CJ67" i="49"/>
  <c r="CJ66" i="49"/>
  <c r="CJ65" i="49"/>
  <c r="CJ64" i="49"/>
  <c r="CJ63" i="49"/>
  <c r="CJ62" i="49"/>
  <c r="CJ61" i="49"/>
  <c r="CJ60" i="49"/>
  <c r="CJ58" i="49"/>
  <c r="CJ57" i="49"/>
  <c r="CJ124" i="49" s="1"/>
  <c r="CJ56" i="49"/>
  <c r="CJ55" i="49"/>
  <c r="CJ54" i="49"/>
  <c r="CJ53" i="49"/>
  <c r="CJ120" i="49" s="1"/>
  <c r="CJ52" i="49"/>
  <c r="CJ51" i="49"/>
  <c r="CJ50" i="49"/>
  <c r="CJ49" i="49"/>
  <c r="CJ116" i="49" s="1"/>
  <c r="CJ48" i="49"/>
  <c r="CJ47" i="49"/>
  <c r="CJ46" i="49"/>
  <c r="CJ45" i="49"/>
  <c r="CJ44" i="49"/>
  <c r="CJ43" i="49"/>
  <c r="CJ42" i="49"/>
  <c r="CJ41" i="49"/>
  <c r="CE57" i="49"/>
  <c r="CE334" i="49" s="1"/>
  <c r="CE56" i="49"/>
  <c r="CE333" i="49" s="1"/>
  <c r="CE55" i="49"/>
  <c r="CE332" i="49" s="1"/>
  <c r="CE54" i="49"/>
  <c r="CE331" i="49" s="1"/>
  <c r="CE53" i="49"/>
  <c r="CE330" i="49" s="1"/>
  <c r="CE52" i="49"/>
  <c r="CE329" i="49" s="1"/>
  <c r="CE51" i="49"/>
  <c r="CE50" i="49"/>
  <c r="CE326" i="49" s="1"/>
  <c r="CE49" i="49"/>
  <c r="CE325" i="49" s="1"/>
  <c r="CE48" i="49"/>
  <c r="CE324" i="49" s="1"/>
  <c r="CE47" i="49"/>
  <c r="CE46" i="49"/>
  <c r="CE322" i="49" s="1"/>
  <c r="CE389" i="49" s="1"/>
  <c r="CE45" i="49"/>
  <c r="CE321" i="49" s="1"/>
  <c r="CE44" i="49"/>
  <c r="CE320" i="49" s="1"/>
  <c r="CE43" i="49"/>
  <c r="CE42" i="49"/>
  <c r="CE318" i="49" s="1"/>
  <c r="BZ57" i="49"/>
  <c r="BZ334" i="49" s="1"/>
  <c r="BZ56" i="49"/>
  <c r="BZ333" i="49" s="1"/>
  <c r="BZ55" i="49"/>
  <c r="BZ54" i="49"/>
  <c r="BZ331" i="49" s="1"/>
  <c r="BZ53" i="49"/>
  <c r="BZ330" i="49" s="1"/>
  <c r="BZ52" i="49"/>
  <c r="BZ329" i="49" s="1"/>
  <c r="BZ51" i="49"/>
  <c r="BZ327" i="49" s="1"/>
  <c r="BZ50" i="49"/>
  <c r="BZ326" i="49" s="1"/>
  <c r="BZ49" i="49"/>
  <c r="BZ325" i="49" s="1"/>
  <c r="BZ48" i="49"/>
  <c r="BZ47" i="49"/>
  <c r="BZ323" i="49" s="1"/>
  <c r="BZ46" i="49"/>
  <c r="BZ322" i="49" s="1"/>
  <c r="BZ389" i="49" s="1"/>
  <c r="BZ45" i="49"/>
  <c r="BZ321" i="49" s="1"/>
  <c r="BZ44" i="49"/>
  <c r="BZ320" i="49" s="1"/>
  <c r="BZ43" i="49"/>
  <c r="BZ319" i="49" s="1"/>
  <c r="BZ42" i="49"/>
  <c r="BZ72" i="49" s="1"/>
  <c r="BU57" i="49"/>
  <c r="BU334" i="49" s="1"/>
  <c r="BU56" i="49"/>
  <c r="BU55" i="49"/>
  <c r="BU332" i="49" s="1"/>
  <c r="BU54" i="49"/>
  <c r="BU331" i="49" s="1"/>
  <c r="BU53" i="49"/>
  <c r="BU330" i="49" s="1"/>
  <c r="BU52" i="49"/>
  <c r="BU51" i="49"/>
  <c r="BU327" i="49" s="1"/>
  <c r="BU50" i="49"/>
  <c r="BU326" i="49" s="1"/>
  <c r="BU49" i="49"/>
  <c r="BU48" i="49"/>
  <c r="BU324" i="49" s="1"/>
  <c r="BU47" i="49"/>
  <c r="BU323" i="49" s="1"/>
  <c r="BU46" i="49"/>
  <c r="BU322" i="49" s="1"/>
  <c r="BU389" i="49" s="1"/>
  <c r="BU45" i="49"/>
  <c r="BU44" i="49"/>
  <c r="BU320" i="49" s="1"/>
  <c r="BU43" i="49"/>
  <c r="BU42" i="49"/>
  <c r="BP57" i="49"/>
  <c r="BP56" i="49"/>
  <c r="BP333" i="49" s="1"/>
  <c r="BP55" i="49"/>
  <c r="BP332" i="49" s="1"/>
  <c r="BP54" i="49"/>
  <c r="BP331" i="49" s="1"/>
  <c r="BP53" i="49"/>
  <c r="BP52" i="49"/>
  <c r="BP329" i="49" s="1"/>
  <c r="BP51" i="49"/>
  <c r="BP327" i="49" s="1"/>
  <c r="BP50" i="49"/>
  <c r="BP326" i="49" s="1"/>
  <c r="BP49" i="49"/>
  <c r="BP325" i="49" s="1"/>
  <c r="BP48" i="49"/>
  <c r="BP47" i="49"/>
  <c r="BP323" i="49" s="1"/>
  <c r="BP46" i="49"/>
  <c r="BP322" i="49" s="1"/>
  <c r="BP389" i="49" s="1"/>
  <c r="BK57" i="49"/>
  <c r="BK334" i="49" s="1"/>
  <c r="BK56" i="49"/>
  <c r="BK333" i="49" s="1"/>
  <c r="BK55" i="49"/>
  <c r="BK332" i="49" s="1"/>
  <c r="BK54" i="49"/>
  <c r="BK72" i="49" s="1"/>
  <c r="BK53" i="49"/>
  <c r="BK330" i="49" s="1"/>
  <c r="BK52" i="49"/>
  <c r="BK51" i="49"/>
  <c r="BF57" i="49"/>
  <c r="BF56" i="49"/>
  <c r="BF123" i="49" s="1"/>
  <c r="BF55" i="49"/>
  <c r="BF54" i="49"/>
  <c r="BF331" i="49" s="1"/>
  <c r="BF53" i="49"/>
  <c r="BF330" i="49" s="1"/>
  <c r="BF399" i="49" s="1"/>
  <c r="BF52" i="49"/>
  <c r="BF329" i="49" s="1"/>
  <c r="BF51" i="49"/>
  <c r="BF327" i="49" s="1"/>
  <c r="BA57" i="49"/>
  <c r="BA334" i="49" s="1"/>
  <c r="BA56" i="49"/>
  <c r="BA123" i="49" s="1"/>
  <c r="BA55" i="49"/>
  <c r="BA332" i="49" s="1"/>
  <c r="BA54" i="49"/>
  <c r="BA331" i="49" s="1"/>
  <c r="BA53" i="49"/>
  <c r="BA330" i="49" s="1"/>
  <c r="BA52" i="49"/>
  <c r="BA329" i="49" s="1"/>
  <c r="BA51" i="49"/>
  <c r="BA327" i="49" s="1"/>
  <c r="AV57" i="49"/>
  <c r="AV56" i="49"/>
  <c r="AV333" i="49" s="1"/>
  <c r="AV55" i="49"/>
  <c r="AV332" i="49" s="1"/>
  <c r="AV54" i="49"/>
  <c r="AV331" i="49" s="1"/>
  <c r="AV53" i="49"/>
  <c r="AV52" i="49"/>
  <c r="AV329" i="49" s="1"/>
  <c r="AV51" i="49"/>
  <c r="AV327" i="49" s="1"/>
  <c r="AQ57" i="49"/>
  <c r="AQ334" i="49" s="1"/>
  <c r="AQ56" i="49"/>
  <c r="AQ333" i="49" s="1"/>
  <c r="AQ55" i="49"/>
  <c r="AQ332" i="49" s="1"/>
  <c r="AQ54" i="49"/>
  <c r="AQ72" i="49" s="1"/>
  <c r="AQ53" i="49"/>
  <c r="AQ330" i="49" s="1"/>
  <c r="AQ52" i="49"/>
  <c r="AQ51" i="49"/>
  <c r="AL57" i="49"/>
  <c r="AL56" i="49"/>
  <c r="AL123" i="49" s="1"/>
  <c r="AL55" i="49"/>
  <c r="AL54" i="49"/>
  <c r="AL331" i="49" s="1"/>
  <c r="AL53" i="49"/>
  <c r="AL330" i="49" s="1"/>
  <c r="AL52" i="49"/>
  <c r="AL329" i="49" s="1"/>
  <c r="AL51" i="49"/>
  <c r="AL327" i="49" s="1"/>
  <c r="AG57" i="49"/>
  <c r="AG334" i="49" s="1"/>
  <c r="AG56" i="49"/>
  <c r="AG123" i="49" s="1"/>
  <c r="AG55" i="49"/>
  <c r="AG332" i="49" s="1"/>
  <c r="AG54" i="49"/>
  <c r="AG331" i="49" s="1"/>
  <c r="AG53" i="49"/>
  <c r="AG330" i="49" s="1"/>
  <c r="AG52" i="49"/>
  <c r="AG329" i="49" s="1"/>
  <c r="AG51" i="49"/>
  <c r="AG327" i="49" s="1"/>
  <c r="AB57" i="49"/>
  <c r="AB56" i="49"/>
  <c r="AB333" i="49" s="1"/>
  <c r="AB55" i="49"/>
  <c r="AB332" i="49" s="1"/>
  <c r="AB54" i="49"/>
  <c r="AB331" i="49" s="1"/>
  <c r="AB53" i="49"/>
  <c r="AB52" i="49"/>
  <c r="AB329" i="49" s="1"/>
  <c r="AB51" i="49"/>
  <c r="AB327" i="49" s="1"/>
  <c r="W57" i="49"/>
  <c r="W334" i="49" s="1"/>
  <c r="W56" i="49"/>
  <c r="W333" i="49" s="1"/>
  <c r="W55" i="49"/>
  <c r="W332" i="49" s="1"/>
  <c r="W54" i="49"/>
  <c r="W331" i="49" s="1"/>
  <c r="W53" i="49"/>
  <c r="W330" i="49" s="1"/>
  <c r="W52" i="49"/>
  <c r="W51" i="49"/>
  <c r="R57" i="49"/>
  <c r="R56" i="49"/>
  <c r="R123" i="49" s="1"/>
  <c r="R55" i="49"/>
  <c r="R54" i="49"/>
  <c r="R331" i="49" s="1"/>
  <c r="R53" i="49"/>
  <c r="R330" i="49" s="1"/>
  <c r="R52" i="49"/>
  <c r="R329" i="49" s="1"/>
  <c r="R51" i="49"/>
  <c r="R327" i="49" s="1"/>
  <c r="M57" i="49"/>
  <c r="M334" i="49" s="1"/>
  <c r="M56" i="49"/>
  <c r="M123" i="49" s="1"/>
  <c r="O55" i="49"/>
  <c r="O332" i="49" s="1"/>
  <c r="O54" i="49"/>
  <c r="O331" i="49" s="1"/>
  <c r="O400" i="49" s="1"/>
  <c r="N54" i="49"/>
  <c r="N331" i="49" s="1"/>
  <c r="O53" i="49"/>
  <c r="O330" i="49" s="1"/>
  <c r="N53" i="49"/>
  <c r="N330" i="49" s="1"/>
  <c r="O52" i="49"/>
  <c r="O51" i="49"/>
  <c r="L55" i="49"/>
  <c r="K55" i="49"/>
  <c r="K332" i="49" s="1"/>
  <c r="J55" i="49"/>
  <c r="J332" i="49" s="1"/>
  <c r="I55" i="49"/>
  <c r="I332" i="49" s="1"/>
  <c r="L54" i="49"/>
  <c r="K54" i="49"/>
  <c r="K121" i="49" s="1"/>
  <c r="J54" i="49"/>
  <c r="J331" i="49" s="1"/>
  <c r="I54" i="49"/>
  <c r="I331" i="49" s="1"/>
  <c r="L53" i="49"/>
  <c r="M53" i="49" s="1"/>
  <c r="M330" i="49" s="1"/>
  <c r="K53" i="49"/>
  <c r="K330" i="49" s="1"/>
  <c r="J53" i="49"/>
  <c r="J330" i="49" s="1"/>
  <c r="I53" i="49"/>
  <c r="I330" i="49" s="1"/>
  <c r="L52" i="49"/>
  <c r="K52" i="49"/>
  <c r="K329" i="49" s="1"/>
  <c r="J52" i="49"/>
  <c r="J329" i="49" s="1"/>
  <c r="I52" i="49"/>
  <c r="K51" i="49"/>
  <c r="K327" i="49" s="1"/>
  <c r="J51" i="49"/>
  <c r="J327" i="49" s="1"/>
  <c r="I51" i="49"/>
  <c r="I327" i="49" s="1"/>
  <c r="BK49" i="49"/>
  <c r="BK325" i="49" s="1"/>
  <c r="BF49" i="49"/>
  <c r="BF325" i="49" s="1"/>
  <c r="BK47" i="49"/>
  <c r="BF47" i="49"/>
  <c r="BF323" i="49" s="1"/>
  <c r="BA47" i="49"/>
  <c r="BA323" i="49" s="1"/>
  <c r="AV47" i="49"/>
  <c r="AV323" i="49" s="1"/>
  <c r="AQ47" i="49"/>
  <c r="AQ114" i="49" s="1"/>
  <c r="AL47" i="49"/>
  <c r="AL323" i="49" s="1"/>
  <c r="AG47" i="49"/>
  <c r="AG323" i="49" s="1"/>
  <c r="AB47" i="49"/>
  <c r="AB323" i="49" s="1"/>
  <c r="W47" i="49"/>
  <c r="R47" i="49"/>
  <c r="R323" i="49" s="1"/>
  <c r="O47" i="49"/>
  <c r="O114" i="49" s="1"/>
  <c r="N47" i="49"/>
  <c r="N323" i="49" s="1"/>
  <c r="M47" i="49"/>
  <c r="L47" i="49"/>
  <c r="L114" i="49" s="1"/>
  <c r="K47" i="49"/>
  <c r="K114" i="49" s="1"/>
  <c r="J47" i="49"/>
  <c r="J114" i="49" s="1"/>
  <c r="I47" i="49"/>
  <c r="I114" i="49" s="1"/>
  <c r="BP43" i="49"/>
  <c r="BP319" i="49" s="1"/>
  <c r="BP42" i="49"/>
  <c r="BK43" i="49"/>
  <c r="BK42" i="49"/>
  <c r="BK318" i="49" s="1"/>
  <c r="BF43" i="49"/>
  <c r="BF42" i="49"/>
  <c r="BA43" i="49"/>
  <c r="BA42" i="49"/>
  <c r="AV43" i="49"/>
  <c r="AV319" i="49" s="1"/>
  <c r="AV42" i="49"/>
  <c r="AQ43" i="49"/>
  <c r="AQ42" i="49"/>
  <c r="AQ318" i="49" s="1"/>
  <c r="AL43" i="49"/>
  <c r="AL42" i="49"/>
  <c r="AG43" i="49"/>
  <c r="AG42" i="49"/>
  <c r="AB43" i="49"/>
  <c r="AB319" i="49" s="1"/>
  <c r="AB42" i="49"/>
  <c r="W43" i="49"/>
  <c r="W42" i="49"/>
  <c r="W318" i="49" s="1"/>
  <c r="R43" i="49"/>
  <c r="R42" i="49"/>
  <c r="CH42" i="49"/>
  <c r="CH72" i="49" s="1"/>
  <c r="O43" i="49"/>
  <c r="O110" i="49" s="1"/>
  <c r="J43" i="49"/>
  <c r="J110" i="49" s="1"/>
  <c r="I43" i="49"/>
  <c r="O42" i="49"/>
  <c r="O318" i="49" s="1"/>
  <c r="L42" i="49"/>
  <c r="CV38" i="49"/>
  <c r="CU38" i="49"/>
  <c r="CT38" i="49"/>
  <c r="CM38" i="49"/>
  <c r="CL38" i="49"/>
  <c r="CK38" i="49"/>
  <c r="CI38" i="49"/>
  <c r="CH38" i="49"/>
  <c r="CF38" i="49"/>
  <c r="CD38" i="49"/>
  <c r="CB38" i="49"/>
  <c r="CA38" i="49"/>
  <c r="BX38" i="49"/>
  <c r="BW38" i="49"/>
  <c r="BV38" i="49"/>
  <c r="BT38" i="49"/>
  <c r="BS38" i="49"/>
  <c r="BR38" i="49"/>
  <c r="BQ38" i="49"/>
  <c r="BL38" i="49"/>
  <c r="BJ38" i="49"/>
  <c r="BI38" i="49"/>
  <c r="BH38" i="49"/>
  <c r="BG38" i="49"/>
  <c r="BE38" i="49"/>
  <c r="BD38" i="49"/>
  <c r="BC38" i="49"/>
  <c r="BB38" i="49"/>
  <c r="AZ38" i="49"/>
  <c r="AY38" i="49"/>
  <c r="AX38" i="49"/>
  <c r="AU38" i="49"/>
  <c r="AT38" i="49"/>
  <c r="AS38" i="49"/>
  <c r="AR38" i="49"/>
  <c r="AP38" i="49"/>
  <c r="AO38" i="49"/>
  <c r="AN38" i="49"/>
  <c r="AM38" i="49"/>
  <c r="AK38" i="49"/>
  <c r="AJ38" i="49"/>
  <c r="AI38" i="49"/>
  <c r="AH38" i="49"/>
  <c r="AF38" i="49"/>
  <c r="AE38" i="49"/>
  <c r="AD38" i="49"/>
  <c r="AC38" i="49"/>
  <c r="AA38" i="49"/>
  <c r="Z38" i="49"/>
  <c r="Y38" i="49"/>
  <c r="X38" i="49"/>
  <c r="V38" i="49"/>
  <c r="U38" i="49"/>
  <c r="T38" i="49"/>
  <c r="P38" i="49"/>
  <c r="CJ36" i="49"/>
  <c r="CJ35" i="49"/>
  <c r="CJ136" i="49" s="1"/>
  <c r="CJ34" i="49"/>
  <c r="CJ135" i="49" s="1"/>
  <c r="CJ33" i="49"/>
  <c r="CJ134" i="49" s="1"/>
  <c r="CJ32" i="49"/>
  <c r="CJ31" i="49"/>
  <c r="CJ132" i="49" s="1"/>
  <c r="CJ30" i="49"/>
  <c r="CJ131" i="49" s="1"/>
  <c r="CJ29" i="49"/>
  <c r="CJ130" i="49" s="1"/>
  <c r="CJ28" i="49"/>
  <c r="CJ27" i="49"/>
  <c r="CJ128" i="49" s="1"/>
  <c r="CJ26" i="49"/>
  <c r="CJ127" i="49" s="1"/>
  <c r="CJ24" i="49"/>
  <c r="CJ125" i="49" s="1"/>
  <c r="CJ23" i="49"/>
  <c r="CJ123" i="49" s="1"/>
  <c r="CJ22" i="49"/>
  <c r="CJ122" i="49" s="1"/>
  <c r="CJ21" i="49"/>
  <c r="CJ121" i="49" s="1"/>
  <c r="CJ20" i="49"/>
  <c r="CJ19" i="49"/>
  <c r="CJ119" i="49" s="1"/>
  <c r="CJ18" i="49"/>
  <c r="CJ118" i="49" s="1"/>
  <c r="CJ17" i="49"/>
  <c r="CJ117" i="49" s="1"/>
  <c r="CJ16" i="49"/>
  <c r="CJ115" i="49" s="1"/>
  <c r="CJ15" i="49"/>
  <c r="CJ114" i="49" s="1"/>
  <c r="CJ14" i="49"/>
  <c r="CJ113" i="49" s="1"/>
  <c r="CJ13" i="49"/>
  <c r="CJ12" i="49"/>
  <c r="CJ111" i="49" s="1"/>
  <c r="CJ11" i="49"/>
  <c r="CJ110" i="49" s="1"/>
  <c r="CJ10" i="49"/>
  <c r="CJ109" i="49" s="1"/>
  <c r="CE24" i="49"/>
  <c r="CE300" i="49" s="1"/>
  <c r="CE23" i="49"/>
  <c r="CE299" i="49" s="1"/>
  <c r="CE22" i="49"/>
  <c r="CE21" i="49"/>
  <c r="CE121" i="49" s="1"/>
  <c r="CE20" i="49"/>
  <c r="CE296" i="49" s="1"/>
  <c r="CE19" i="49"/>
  <c r="CE295" i="49" s="1"/>
  <c r="CE18" i="49"/>
  <c r="CE17" i="49"/>
  <c r="CE117" i="49" s="1"/>
  <c r="CE16" i="49"/>
  <c r="CE116" i="49" s="1"/>
  <c r="CE15" i="49"/>
  <c r="CE14" i="49"/>
  <c r="CE114" i="49" s="1"/>
  <c r="CE13" i="49"/>
  <c r="CE112" i="49" s="1"/>
  <c r="CE12" i="49"/>
  <c r="CE11" i="49"/>
  <c r="CE110" i="49" s="1"/>
  <c r="CE10" i="49"/>
  <c r="BZ24" i="49"/>
  <c r="BZ300" i="49" s="1"/>
  <c r="BZ23" i="49"/>
  <c r="BZ123" i="49" s="1"/>
  <c r="BZ22" i="49"/>
  <c r="BZ21" i="49"/>
  <c r="BZ20" i="49"/>
  <c r="BZ296" i="49" s="1"/>
  <c r="BZ19" i="49"/>
  <c r="BZ119" i="49" s="1"/>
  <c r="BZ17" i="49"/>
  <c r="BZ292" i="49" s="1"/>
  <c r="BZ16" i="49"/>
  <c r="BZ116" i="49" s="1"/>
  <c r="BZ15" i="49"/>
  <c r="BZ115" i="49" s="1"/>
  <c r="BZ14" i="49"/>
  <c r="BZ13" i="49"/>
  <c r="BZ112" i="49" s="1"/>
  <c r="BZ12" i="49"/>
  <c r="BZ111" i="49" s="1"/>
  <c r="BZ11" i="49"/>
  <c r="BZ110" i="49" s="1"/>
  <c r="BU24" i="49"/>
  <c r="BU300" i="49" s="1"/>
  <c r="BU23" i="49"/>
  <c r="BU123" i="49" s="1"/>
  <c r="BU22" i="49"/>
  <c r="BU298" i="49" s="1"/>
  <c r="BU21" i="49"/>
  <c r="BU297" i="49" s="1"/>
  <c r="BU20" i="49"/>
  <c r="BU19" i="49"/>
  <c r="BU119" i="49" s="1"/>
  <c r="BU18" i="49"/>
  <c r="BU293" i="49" s="1"/>
  <c r="BU17" i="49"/>
  <c r="BU292" i="49" s="1"/>
  <c r="BU16" i="49"/>
  <c r="BU116" i="49" s="1"/>
  <c r="BU15" i="49"/>
  <c r="BU115" i="49" s="1"/>
  <c r="BU14" i="49"/>
  <c r="BU114" i="49" s="1"/>
  <c r="BU13" i="49"/>
  <c r="BU112" i="49" s="1"/>
  <c r="BU12" i="49"/>
  <c r="BU111" i="49" s="1"/>
  <c r="BU11" i="49"/>
  <c r="BU110" i="49" s="1"/>
  <c r="BU10" i="49"/>
  <c r="BU284" i="49" s="1"/>
  <c r="BP24" i="49"/>
  <c r="BP125" i="49" s="1"/>
  <c r="BP23" i="49"/>
  <c r="BP22" i="49"/>
  <c r="BP298" i="49" s="1"/>
  <c r="BP21" i="49"/>
  <c r="BP20" i="49"/>
  <c r="BP19" i="49"/>
  <c r="BP17" i="49"/>
  <c r="BP16" i="49"/>
  <c r="BP15" i="49"/>
  <c r="BP115" i="49" s="1"/>
  <c r="BP14" i="49"/>
  <c r="BP114" i="49" s="1"/>
  <c r="BP13" i="49"/>
  <c r="BP112" i="49" s="1"/>
  <c r="BP12" i="49"/>
  <c r="BP111" i="49" s="1"/>
  <c r="BP11" i="49"/>
  <c r="BP110" i="49" s="1"/>
  <c r="BP10" i="49"/>
  <c r="BP109" i="49" s="1"/>
  <c r="BK24" i="49"/>
  <c r="BK300" i="49" s="1"/>
  <c r="BK23" i="49"/>
  <c r="BK299" i="49" s="1"/>
  <c r="BK22" i="49"/>
  <c r="BK21" i="49"/>
  <c r="BK20" i="49"/>
  <c r="BK296" i="49" s="1"/>
  <c r="BK19" i="49"/>
  <c r="BK295" i="49" s="1"/>
  <c r="BK18" i="49"/>
  <c r="BK17" i="49"/>
  <c r="BK117" i="49" s="1"/>
  <c r="BK16" i="49"/>
  <c r="BK116" i="49" s="1"/>
  <c r="BK15" i="49"/>
  <c r="BK14" i="49"/>
  <c r="BK114" i="49" s="1"/>
  <c r="BK13" i="49"/>
  <c r="BK112" i="49" s="1"/>
  <c r="BK12" i="49"/>
  <c r="BK11" i="49"/>
  <c r="BK110" i="49" s="1"/>
  <c r="BK10" i="49"/>
  <c r="BF22" i="49"/>
  <c r="BF21" i="49"/>
  <c r="BF297" i="49" s="1"/>
  <c r="BF20" i="49"/>
  <c r="BF296" i="49" s="1"/>
  <c r="BF19" i="49"/>
  <c r="BF18" i="49"/>
  <c r="BF17" i="49"/>
  <c r="BF292" i="49" s="1"/>
  <c r="BF16" i="49"/>
  <c r="BF116" i="49" s="1"/>
  <c r="BF15" i="49"/>
  <c r="BF115" i="49" s="1"/>
  <c r="BF14" i="49"/>
  <c r="BF13" i="49"/>
  <c r="BF112" i="49" s="1"/>
  <c r="BF12" i="49"/>
  <c r="BF111" i="49" s="1"/>
  <c r="BF11" i="49"/>
  <c r="BF10" i="49"/>
  <c r="BF109" i="49" s="1"/>
  <c r="BA22" i="49"/>
  <c r="BA298" i="49" s="1"/>
  <c r="BA21" i="49"/>
  <c r="BA297" i="49" s="1"/>
  <c r="BA20" i="49"/>
  <c r="BA19" i="49"/>
  <c r="BA18" i="49"/>
  <c r="BA293" i="49" s="1"/>
  <c r="BA17" i="49"/>
  <c r="BA292" i="49" s="1"/>
  <c r="BA16" i="49"/>
  <c r="BA116" i="49" s="1"/>
  <c r="BA15" i="49"/>
  <c r="BA14" i="49"/>
  <c r="BA114" i="49" s="1"/>
  <c r="BA13" i="49"/>
  <c r="BA12" i="49"/>
  <c r="BA111" i="49" s="1"/>
  <c r="BA11" i="49"/>
  <c r="BA10" i="49"/>
  <c r="BA284" i="49" s="1"/>
  <c r="AV22" i="49"/>
  <c r="AV298" i="49" s="1"/>
  <c r="AV21" i="49"/>
  <c r="AV20" i="49"/>
  <c r="AV19" i="49"/>
  <c r="AV295" i="49" s="1"/>
  <c r="AV18" i="49"/>
  <c r="AV293" i="49" s="1"/>
  <c r="AV17" i="49"/>
  <c r="AV16" i="49"/>
  <c r="AV15" i="49"/>
  <c r="AV115" i="49" s="1"/>
  <c r="AV14" i="49"/>
  <c r="AV114" i="49" s="1"/>
  <c r="AV13" i="49"/>
  <c r="AV112" i="49" s="1"/>
  <c r="AV12" i="49"/>
  <c r="AV111" i="49" s="1"/>
  <c r="AV11" i="49"/>
  <c r="AV110" i="49" s="1"/>
  <c r="AV10" i="49"/>
  <c r="AV284" i="49" s="1"/>
  <c r="AQ22" i="49"/>
  <c r="AQ21" i="49"/>
  <c r="AQ20" i="49"/>
  <c r="AQ296" i="49" s="1"/>
  <c r="AQ19" i="49"/>
  <c r="AQ295" i="49" s="1"/>
  <c r="AQ18" i="49"/>
  <c r="AL22" i="49"/>
  <c r="AL21" i="49"/>
  <c r="AL297" i="49" s="1"/>
  <c r="AL20" i="49"/>
  <c r="AL296" i="49" s="1"/>
  <c r="AL19" i="49"/>
  <c r="AL18" i="49"/>
  <c r="AL17" i="49"/>
  <c r="AL292" i="49" s="1"/>
  <c r="AL16" i="49"/>
  <c r="AL116" i="49" s="1"/>
  <c r="AL15" i="49"/>
  <c r="AL115" i="49" s="1"/>
  <c r="AL14" i="49"/>
  <c r="AL13" i="49"/>
  <c r="AL112" i="49" s="1"/>
  <c r="AL12" i="49"/>
  <c r="AL111" i="49" s="1"/>
  <c r="AL11" i="49"/>
  <c r="AL10" i="49"/>
  <c r="AL109" i="49" s="1"/>
  <c r="AG22" i="49"/>
  <c r="AG298" i="49" s="1"/>
  <c r="AG21" i="49"/>
  <c r="AG297" i="49" s="1"/>
  <c r="AG20" i="49"/>
  <c r="AG19" i="49"/>
  <c r="AG18" i="49"/>
  <c r="AG293" i="49" s="1"/>
  <c r="AG17" i="49"/>
  <c r="AG292" i="49" s="1"/>
  <c r="AG16" i="49"/>
  <c r="AG116" i="49" s="1"/>
  <c r="AG15" i="49"/>
  <c r="AG14" i="49"/>
  <c r="AG114" i="49" s="1"/>
  <c r="AG13" i="49"/>
  <c r="AG12" i="49"/>
  <c r="AG111" i="49" s="1"/>
  <c r="AG11" i="49"/>
  <c r="AG10" i="49"/>
  <c r="AG284" i="49" s="1"/>
  <c r="AB22" i="49"/>
  <c r="AB298" i="49" s="1"/>
  <c r="AB21" i="49"/>
  <c r="AB20" i="49"/>
  <c r="AB19" i="49"/>
  <c r="AB295" i="49" s="1"/>
  <c r="AB18" i="49"/>
  <c r="AB293" i="49" s="1"/>
  <c r="AB17" i="49"/>
  <c r="AB16" i="49"/>
  <c r="AB15" i="49"/>
  <c r="AB115" i="49" s="1"/>
  <c r="AB14" i="49"/>
  <c r="AB114" i="49" s="1"/>
  <c r="AB13" i="49"/>
  <c r="AB112" i="49" s="1"/>
  <c r="AB12" i="49"/>
  <c r="AB111" i="49" s="1"/>
  <c r="AB11" i="49"/>
  <c r="AB110" i="49" s="1"/>
  <c r="AB10" i="49"/>
  <c r="AB284" i="49" s="1"/>
  <c r="W22" i="49"/>
  <c r="W21" i="49"/>
  <c r="W20" i="49"/>
  <c r="W296" i="49" s="1"/>
  <c r="W19" i="49"/>
  <c r="W295" i="49" s="1"/>
  <c r="W18" i="49"/>
  <c r="W17" i="49"/>
  <c r="W16" i="49"/>
  <c r="W116" i="49" s="1"/>
  <c r="W15" i="49"/>
  <c r="W14" i="49"/>
  <c r="W114" i="49" s="1"/>
  <c r="W13" i="49"/>
  <c r="W12" i="49"/>
  <c r="W11" i="49"/>
  <c r="W110" i="49" s="1"/>
  <c r="W10" i="49"/>
  <c r="W109" i="49" s="1"/>
  <c r="S22" i="49"/>
  <c r="S298" i="49" s="1"/>
  <c r="R22" i="49"/>
  <c r="N22" i="49"/>
  <c r="M22" i="49"/>
  <c r="L22" i="49"/>
  <c r="L298" i="49" s="1"/>
  <c r="K22" i="49"/>
  <c r="K298" i="49" s="1"/>
  <c r="J22" i="49"/>
  <c r="I22" i="49"/>
  <c r="R21" i="49"/>
  <c r="R297" i="49" s="1"/>
  <c r="R19" i="49"/>
  <c r="R119" i="49" s="1"/>
  <c r="R18" i="49"/>
  <c r="R293" i="49" s="1"/>
  <c r="R17" i="49"/>
  <c r="R292" i="49" s="1"/>
  <c r="R16" i="49"/>
  <c r="R15" i="49"/>
  <c r="R115" i="49" s="1"/>
  <c r="R14" i="49"/>
  <c r="R114" i="49" s="1"/>
  <c r="R13" i="49"/>
  <c r="R112" i="49" s="1"/>
  <c r="R12" i="49"/>
  <c r="R11" i="49"/>
  <c r="R110" i="49" s="1"/>
  <c r="R10" i="49"/>
  <c r="O21" i="49"/>
  <c r="O121" i="49" s="1"/>
  <c r="N21" i="49"/>
  <c r="N297" i="49" s="1"/>
  <c r="L21" i="49"/>
  <c r="S20" i="49"/>
  <c r="S296" i="49" s="1"/>
  <c r="S19" i="49"/>
  <c r="S295" i="49" s="1"/>
  <c r="S18" i="49"/>
  <c r="S38" i="49" s="1"/>
  <c r="Q20" i="49"/>
  <c r="P20" i="49"/>
  <c r="O20" i="49"/>
  <c r="O296" i="49" s="1"/>
  <c r="O399" i="49" s="1"/>
  <c r="N20" i="49"/>
  <c r="N296" i="49" s="1"/>
  <c r="M20" i="49"/>
  <c r="L20" i="49"/>
  <c r="K20" i="49"/>
  <c r="K296" i="49" s="1"/>
  <c r="J20" i="49"/>
  <c r="J296" i="49" s="1"/>
  <c r="I20" i="49"/>
  <c r="Q19" i="49"/>
  <c r="Q119" i="49" s="1"/>
  <c r="Q18" i="49"/>
  <c r="Q293" i="49" s="1"/>
  <c r="M19" i="49"/>
  <c r="M17" i="49"/>
  <c r="M292" i="49" s="1"/>
  <c r="M16" i="49"/>
  <c r="M116" i="49" s="1"/>
  <c r="M15" i="49"/>
  <c r="M14" i="49"/>
  <c r="M13" i="49"/>
  <c r="M12" i="49"/>
  <c r="M111" i="49" s="1"/>
  <c r="M11" i="49"/>
  <c r="M10" i="49"/>
  <c r="J19" i="49"/>
  <c r="J119" i="49" s="1"/>
  <c r="I19" i="49"/>
  <c r="I119" i="49" s="1"/>
  <c r="CG18" i="49"/>
  <c r="CG293" i="49" s="1"/>
  <c r="CF18" i="49"/>
  <c r="CD18" i="49"/>
  <c r="CC18" i="49"/>
  <c r="CC293" i="49" s="1"/>
  <c r="CB18" i="49"/>
  <c r="CB293" i="49" s="1"/>
  <c r="BY18" i="49"/>
  <c r="BO18" i="49"/>
  <c r="BO38" i="49" s="1"/>
  <c r="BN18" i="49"/>
  <c r="BN38" i="49" s="1"/>
  <c r="BM18" i="49"/>
  <c r="BM293" i="49" s="1"/>
  <c r="BL18" i="49"/>
  <c r="P18" i="49"/>
  <c r="P293" i="49" s="1"/>
  <c r="O18" i="49"/>
  <c r="O293" i="49" s="1"/>
  <c r="N18" i="49"/>
  <c r="L18" i="49"/>
  <c r="K18" i="49"/>
  <c r="K293" i="49" s="1"/>
  <c r="J18" i="49"/>
  <c r="I18" i="49"/>
  <c r="I293" i="49" s="1"/>
  <c r="AQ11" i="49"/>
  <c r="AQ110" i="49" s="1"/>
  <c r="AQ10" i="49"/>
  <c r="CG10" i="49"/>
  <c r="CG284" i="49" s="1"/>
  <c r="CF10" i="49"/>
  <c r="CF109" i="49" s="1"/>
  <c r="CC10" i="49"/>
  <c r="CB10" i="49"/>
  <c r="CB109" i="49" s="1"/>
  <c r="BY10" i="49"/>
  <c r="BY284" i="49" s="1"/>
  <c r="BN10" i="49"/>
  <c r="BN109" i="49" s="1"/>
  <c r="BM10" i="49"/>
  <c r="BL10" i="49"/>
  <c r="BL284" i="49" s="1"/>
  <c r="AW10" i="49"/>
  <c r="AW284" i="49" s="1"/>
  <c r="O10" i="49"/>
  <c r="O38" i="49" s="1"/>
  <c r="N10" i="49"/>
  <c r="N284" i="49" s="1"/>
  <c r="L10" i="49"/>
  <c r="L284" i="49" s="1"/>
  <c r="K10" i="49"/>
  <c r="K38" i="49" s="1"/>
  <c r="I10" i="49"/>
  <c r="AL6" i="49"/>
  <c r="AK6" i="49"/>
  <c r="AJ6" i="49"/>
  <c r="AI6" i="49"/>
  <c r="AH6" i="49"/>
  <c r="AG6" i="49"/>
  <c r="AF6" i="49"/>
  <c r="AE6" i="49"/>
  <c r="AD6" i="49"/>
  <c r="AC6" i="49"/>
  <c r="AB6" i="49"/>
  <c r="AA6" i="49"/>
  <c r="Z6" i="49"/>
  <c r="Y6" i="49"/>
  <c r="X6" i="49"/>
  <c r="W6" i="49"/>
  <c r="V6" i="49"/>
  <c r="U6" i="49"/>
  <c r="T6" i="49"/>
  <c r="S6" i="49"/>
  <c r="R6" i="49"/>
  <c r="Q6" i="49"/>
  <c r="P6" i="49"/>
  <c r="O6" i="49"/>
  <c r="N6" i="49"/>
  <c r="M6" i="49"/>
  <c r="L6" i="49"/>
  <c r="K6" i="49"/>
  <c r="J6" i="49"/>
  <c r="I6" i="49"/>
  <c r="H6" i="49"/>
  <c r="G6" i="49"/>
  <c r="F6" i="49"/>
  <c r="E6" i="49"/>
  <c r="D6" i="49"/>
  <c r="AL4" i="49"/>
  <c r="AK4" i="49"/>
  <c r="AJ4" i="49"/>
  <c r="AI4" i="49"/>
  <c r="AH4" i="49"/>
  <c r="AG4" i="49"/>
  <c r="AF4" i="49"/>
  <c r="AE4" i="49"/>
  <c r="AD4" i="49"/>
  <c r="AC4" i="49"/>
  <c r="AB4" i="49"/>
  <c r="AA4" i="49"/>
  <c r="Z4" i="49"/>
  <c r="Y4" i="49"/>
  <c r="X4" i="49"/>
  <c r="W4" i="49"/>
  <c r="V4" i="49"/>
  <c r="U4" i="49"/>
  <c r="T4" i="49"/>
  <c r="S4" i="49"/>
  <c r="R4" i="49"/>
  <c r="Q4" i="49"/>
  <c r="P4" i="49"/>
  <c r="O4" i="49"/>
  <c r="N4" i="49"/>
  <c r="M4" i="49"/>
  <c r="L4" i="49"/>
  <c r="K4" i="49"/>
  <c r="J4" i="49"/>
  <c r="I4" i="49"/>
  <c r="H4" i="49"/>
  <c r="G4" i="49"/>
  <c r="F4" i="49"/>
  <c r="E4" i="49"/>
  <c r="D4" i="49"/>
  <c r="AJ685" i="51"/>
  <c r="AI685" i="51"/>
  <c r="AH685" i="51"/>
  <c r="AG685" i="51"/>
  <c r="AF685" i="51"/>
  <c r="AE685" i="51"/>
  <c r="AD685" i="51"/>
  <c r="AC685" i="51"/>
  <c r="AB685" i="51"/>
  <c r="AA685" i="51"/>
  <c r="Z685" i="51"/>
  <c r="Y685" i="51"/>
  <c r="X685" i="51"/>
  <c r="W685" i="51"/>
  <c r="V685" i="51"/>
  <c r="U685" i="51"/>
  <c r="T685" i="51"/>
  <c r="S685" i="51"/>
  <c r="R685" i="51"/>
  <c r="Q685" i="51"/>
  <c r="P685" i="51"/>
  <c r="O685" i="51"/>
  <c r="N685" i="51"/>
  <c r="M685" i="51"/>
  <c r="L685" i="51"/>
  <c r="K685" i="51"/>
  <c r="J685" i="51"/>
  <c r="I685" i="51"/>
  <c r="H685" i="51"/>
  <c r="G685" i="51"/>
  <c r="F685" i="51"/>
  <c r="E685" i="51"/>
  <c r="D685" i="51"/>
  <c r="C685" i="51"/>
  <c r="B685" i="51"/>
  <c r="AE673" i="51"/>
  <c r="AJ550" i="51"/>
  <c r="AI550" i="51"/>
  <c r="AH550" i="51"/>
  <c r="AG550" i="51"/>
  <c r="AF550" i="51"/>
  <c r="AE550" i="51"/>
  <c r="AD550" i="51"/>
  <c r="AC550" i="51"/>
  <c r="AB550" i="51"/>
  <c r="AA550" i="51"/>
  <c r="Z550" i="51"/>
  <c r="Y550" i="51"/>
  <c r="X550" i="51"/>
  <c r="W550" i="51"/>
  <c r="V550" i="51"/>
  <c r="U550" i="51"/>
  <c r="T550" i="51"/>
  <c r="S550" i="51"/>
  <c r="R550" i="51"/>
  <c r="Q550" i="51"/>
  <c r="P550" i="51"/>
  <c r="O550" i="51"/>
  <c r="N550" i="51"/>
  <c r="M550" i="51"/>
  <c r="L550" i="51"/>
  <c r="K550" i="51"/>
  <c r="J550" i="51"/>
  <c r="I550" i="51"/>
  <c r="H550" i="51"/>
  <c r="G550" i="51"/>
  <c r="F550" i="51"/>
  <c r="E550" i="51"/>
  <c r="D550" i="51"/>
  <c r="C550" i="51"/>
  <c r="B550" i="51"/>
  <c r="AJ533" i="51"/>
  <c r="AI533" i="51"/>
  <c r="AH533" i="51"/>
  <c r="AG533" i="51"/>
  <c r="AF533" i="51"/>
  <c r="AE533" i="51"/>
  <c r="AD533" i="51"/>
  <c r="AC533" i="51"/>
  <c r="AB533" i="51"/>
  <c r="AA533" i="51"/>
  <c r="Z533" i="51"/>
  <c r="Y533" i="51"/>
  <c r="X533" i="51"/>
  <c r="W533" i="51"/>
  <c r="V533" i="51"/>
  <c r="U533" i="51"/>
  <c r="T533" i="51"/>
  <c r="S533" i="51"/>
  <c r="R533" i="51"/>
  <c r="Q533" i="51"/>
  <c r="P533" i="51"/>
  <c r="O533" i="51"/>
  <c r="N533" i="51"/>
  <c r="M533" i="51"/>
  <c r="L533" i="51"/>
  <c r="K533" i="51"/>
  <c r="J533" i="51"/>
  <c r="I533" i="51"/>
  <c r="H533" i="51"/>
  <c r="G533" i="51"/>
  <c r="F533" i="51"/>
  <c r="E533" i="51"/>
  <c r="D533" i="51"/>
  <c r="C533" i="51"/>
  <c r="B533" i="51"/>
  <c r="BZ493" i="51"/>
  <c r="AJ483" i="51"/>
  <c r="AI483" i="51"/>
  <c r="AH483" i="51"/>
  <c r="AG483" i="51"/>
  <c r="AF483" i="51"/>
  <c r="AE483" i="51"/>
  <c r="AD483" i="51"/>
  <c r="AC483" i="51"/>
  <c r="AB483" i="51"/>
  <c r="AA483" i="51"/>
  <c r="Z483" i="51"/>
  <c r="Y483" i="51"/>
  <c r="X483" i="51"/>
  <c r="W483" i="51"/>
  <c r="V483" i="51"/>
  <c r="U483" i="51"/>
  <c r="T483" i="51"/>
  <c r="S483" i="51"/>
  <c r="R483" i="51"/>
  <c r="Q483" i="51"/>
  <c r="P483" i="51"/>
  <c r="O483" i="51"/>
  <c r="N483" i="51"/>
  <c r="M483" i="51"/>
  <c r="L483" i="51"/>
  <c r="K483" i="51"/>
  <c r="J483" i="51"/>
  <c r="I483" i="51"/>
  <c r="H483" i="51"/>
  <c r="G483" i="51"/>
  <c r="F483" i="51"/>
  <c r="E483" i="51"/>
  <c r="D483" i="51"/>
  <c r="C483" i="51"/>
  <c r="B483" i="51"/>
  <c r="AJ419" i="51"/>
  <c r="AI419" i="51"/>
  <c r="AH419" i="51"/>
  <c r="AG419" i="51"/>
  <c r="AF419" i="51"/>
  <c r="AE419" i="51"/>
  <c r="AD419" i="51"/>
  <c r="AC419" i="51"/>
  <c r="AB419" i="51"/>
  <c r="AA419" i="51"/>
  <c r="Z419" i="51"/>
  <c r="Y419" i="51"/>
  <c r="X419" i="51"/>
  <c r="W419" i="51"/>
  <c r="V419" i="51"/>
  <c r="U419" i="51"/>
  <c r="T419" i="51"/>
  <c r="S419" i="51"/>
  <c r="R419" i="51"/>
  <c r="Q419" i="51"/>
  <c r="P419" i="51"/>
  <c r="O419" i="51"/>
  <c r="N419" i="51"/>
  <c r="M419" i="51"/>
  <c r="L419" i="51"/>
  <c r="K419" i="51"/>
  <c r="J419" i="51"/>
  <c r="I419" i="51"/>
  <c r="H419" i="51"/>
  <c r="G419" i="51"/>
  <c r="F419" i="51"/>
  <c r="E419" i="51"/>
  <c r="D419" i="51"/>
  <c r="C419" i="51"/>
  <c r="B419" i="51"/>
  <c r="CB414" i="51"/>
  <c r="CC414" i="51" s="1"/>
  <c r="AN414" i="51"/>
  <c r="AO414" i="51" s="1"/>
  <c r="CF413" i="51"/>
  <c r="CE413" i="51"/>
  <c r="CD413" i="51"/>
  <c r="CB413" i="51"/>
  <c r="CA413" i="51"/>
  <c r="BZ413" i="51"/>
  <c r="BY413" i="51"/>
  <c r="BW413" i="51"/>
  <c r="BV413" i="51"/>
  <c r="BU413" i="51"/>
  <c r="BT413" i="51"/>
  <c r="BS413" i="51"/>
  <c r="BR413" i="51"/>
  <c r="BQ413" i="51"/>
  <c r="BP413" i="51"/>
  <c r="BO413" i="51"/>
  <c r="BO414" i="51" s="1"/>
  <c r="BM413" i="51"/>
  <c r="BN413" i="51" s="1"/>
  <c r="BL413" i="51"/>
  <c r="BK413" i="51"/>
  <c r="BK414" i="51" s="1"/>
  <c r="BJ413" i="51"/>
  <c r="BH413" i="51"/>
  <c r="BI413" i="51" s="1"/>
  <c r="BF413" i="51"/>
  <c r="BE413" i="51"/>
  <c r="BC413" i="51"/>
  <c r="BD413" i="51" s="1"/>
  <c r="BB413" i="51"/>
  <c r="BA413" i="51"/>
  <c r="AZ413" i="51"/>
  <c r="AY413" i="51"/>
  <c r="AX413" i="51"/>
  <c r="AW413" i="51"/>
  <c r="AV413" i="51"/>
  <c r="AU413" i="51"/>
  <c r="AR413" i="51"/>
  <c r="AQ413" i="51"/>
  <c r="AP413" i="51"/>
  <c r="AN413" i="51"/>
  <c r="AO413" i="51" s="1"/>
  <c r="AM413" i="51"/>
  <c r="AL413" i="51"/>
  <c r="AI413" i="51"/>
  <c r="AJ413" i="51" s="1"/>
  <c r="AH413" i="51"/>
  <c r="AG413" i="51"/>
  <c r="AF413" i="51"/>
  <c r="CF412" i="51"/>
  <c r="CF414" i="51" s="1"/>
  <c r="CE412" i="51"/>
  <c r="CD412" i="51"/>
  <c r="CA412" i="51"/>
  <c r="BZ412" i="51"/>
  <c r="BY412" i="51"/>
  <c r="BY414" i="51" s="1"/>
  <c r="BY416" i="51" s="1"/>
  <c r="BW412" i="51"/>
  <c r="BV412" i="51"/>
  <c r="BU412" i="51"/>
  <c r="BU414" i="51" s="1"/>
  <c r="BU416" i="51" s="1"/>
  <c r="BR412" i="51"/>
  <c r="BQ412" i="51"/>
  <c r="BP412" i="51"/>
  <c r="BP414" i="51" s="1"/>
  <c r="BO412" i="51"/>
  <c r="BN412" i="51"/>
  <c r="BM412" i="51"/>
  <c r="BL412" i="51"/>
  <c r="BK412" i="51"/>
  <c r="BJ412" i="51"/>
  <c r="BH412" i="51"/>
  <c r="BI412" i="51" s="1"/>
  <c r="BG412" i="51"/>
  <c r="BF412" i="51"/>
  <c r="BE412" i="51"/>
  <c r="BE414" i="51" s="1"/>
  <c r="BE415" i="51" s="1"/>
  <c r="BE416" i="51" s="1"/>
  <c r="BC412" i="51"/>
  <c r="BB412" i="51"/>
  <c r="BA412" i="51"/>
  <c r="BA414" i="51" s="1"/>
  <c r="BA415" i="51" s="1"/>
  <c r="BA416" i="51" s="1"/>
  <c r="AZ412" i="51"/>
  <c r="AX412" i="51"/>
  <c r="AW412" i="51"/>
  <c r="AU412" i="51"/>
  <c r="AT412" i="51"/>
  <c r="AS412" i="51"/>
  <c r="AR412" i="51"/>
  <c r="AR414" i="51" s="1"/>
  <c r="AQ412" i="51"/>
  <c r="AP412" i="51"/>
  <c r="AN412" i="51"/>
  <c r="AM412" i="51"/>
  <c r="AL412" i="51"/>
  <c r="AK412" i="51"/>
  <c r="AI412" i="51"/>
  <c r="AH412" i="51"/>
  <c r="AG412" i="51"/>
  <c r="AG414" i="51" s="1"/>
  <c r="AG415" i="51" s="1"/>
  <c r="AG416" i="51" s="1"/>
  <c r="AF412" i="51"/>
  <c r="AS410" i="51"/>
  <c r="AY409" i="51"/>
  <c r="AY410" i="51" s="1"/>
  <c r="AX409" i="51"/>
  <c r="AX410" i="51" s="1"/>
  <c r="AT409" i="51"/>
  <c r="AT410" i="51" s="1"/>
  <c r="AS409" i="51"/>
  <c r="AO409" i="51"/>
  <c r="AN409" i="51"/>
  <c r="AI409" i="51"/>
  <c r="AE409" i="51"/>
  <c r="AD409" i="51"/>
  <c r="BH408" i="51"/>
  <c r="BI408" i="51" s="1"/>
  <c r="BD408" i="51"/>
  <c r="AY408" i="51"/>
  <c r="BC407" i="51"/>
  <c r="BD407" i="51" s="1"/>
  <c r="AY407" i="51"/>
  <c r="AW407" i="51" s="1"/>
  <c r="BH406" i="51"/>
  <c r="BC406" i="51"/>
  <c r="BD406" i="51" s="1"/>
  <c r="BD22" i="51" s="1"/>
  <c r="AY406" i="51"/>
  <c r="BI407" i="51"/>
  <c r="BI406" i="51"/>
  <c r="BI405" i="51"/>
  <c r="BH405" i="51"/>
  <c r="BH409" i="51" s="1"/>
  <c r="BF405" i="51"/>
  <c r="BE405" i="51"/>
  <c r="BD405" i="51"/>
  <c r="BA405" i="51"/>
  <c r="AZ405" i="51"/>
  <c r="AY405" i="51"/>
  <c r="AT408" i="51"/>
  <c r="AV407" i="51"/>
  <c r="AU407" i="51"/>
  <c r="AT407" i="51"/>
  <c r="AV406" i="51"/>
  <c r="AW406" i="51" s="1"/>
  <c r="AU406" i="51"/>
  <c r="AT406" i="51"/>
  <c r="AV405" i="51"/>
  <c r="AU405" i="51"/>
  <c r="AT405" i="51"/>
  <c r="AQ408" i="51"/>
  <c r="AR408" i="51" s="1"/>
  <c r="AP408" i="51"/>
  <c r="AO408" i="51"/>
  <c r="AQ407" i="51"/>
  <c r="AR407" i="51" s="1"/>
  <c r="AP407" i="51"/>
  <c r="AO407" i="51"/>
  <c r="AQ406" i="51"/>
  <c r="AR406" i="51" s="1"/>
  <c r="AP406" i="51"/>
  <c r="AO406" i="51"/>
  <c r="AQ405" i="51"/>
  <c r="AR405" i="51" s="1"/>
  <c r="AP405" i="51"/>
  <c r="AP409" i="51" s="1"/>
  <c r="AO405" i="51"/>
  <c r="AL408" i="51"/>
  <c r="AK408" i="51"/>
  <c r="AJ408" i="51"/>
  <c r="AL407" i="51"/>
  <c r="AK407" i="51"/>
  <c r="AJ407" i="51"/>
  <c r="AL406" i="51"/>
  <c r="AK406" i="51"/>
  <c r="AJ406" i="51"/>
  <c r="AK405" i="51"/>
  <c r="AJ405" i="51"/>
  <c r="AG408" i="51"/>
  <c r="AH408" i="51" s="1"/>
  <c r="AF408" i="51"/>
  <c r="AE408" i="51"/>
  <c r="AF407" i="51"/>
  <c r="AG407" i="51" s="1"/>
  <c r="AH407" i="51" s="1"/>
  <c r="AE407" i="51"/>
  <c r="AF406" i="51"/>
  <c r="AG406" i="51" s="1"/>
  <c r="AH406" i="51" s="1"/>
  <c r="AE406" i="51"/>
  <c r="AF405" i="51"/>
  <c r="AE405" i="51"/>
  <c r="AJ330" i="51"/>
  <c r="AI330" i="51"/>
  <c r="AH330" i="51"/>
  <c r="AG330" i="51"/>
  <c r="AF330" i="51"/>
  <c r="AE330" i="51"/>
  <c r="AD330" i="51"/>
  <c r="AC330" i="51"/>
  <c r="AB330" i="51"/>
  <c r="AA330" i="51"/>
  <c r="Z330" i="51"/>
  <c r="Y330" i="51"/>
  <c r="X330" i="51"/>
  <c r="W330" i="51"/>
  <c r="V330" i="51"/>
  <c r="U330" i="51"/>
  <c r="T330" i="51"/>
  <c r="S330" i="51"/>
  <c r="R330" i="51"/>
  <c r="Q330" i="51"/>
  <c r="P330" i="51"/>
  <c r="O330" i="51"/>
  <c r="N330" i="51"/>
  <c r="M330" i="51"/>
  <c r="L330" i="51"/>
  <c r="K330" i="51"/>
  <c r="J330" i="51"/>
  <c r="I330" i="51"/>
  <c r="H330" i="51"/>
  <c r="G330" i="51"/>
  <c r="F330" i="51"/>
  <c r="E330" i="51"/>
  <c r="D330" i="51"/>
  <c r="C330" i="51"/>
  <c r="B330" i="51"/>
  <c r="CK326" i="51"/>
  <c r="CJ326" i="51"/>
  <c r="CI326" i="51"/>
  <c r="CH326" i="51"/>
  <c r="CG326" i="51"/>
  <c r="CF326" i="51"/>
  <c r="CE326" i="51"/>
  <c r="CD326" i="51"/>
  <c r="CC326" i="51"/>
  <c r="CB326" i="51"/>
  <c r="CA326" i="51"/>
  <c r="BZ326" i="51"/>
  <c r="BY326" i="51"/>
  <c r="BX326" i="51"/>
  <c r="BW326" i="51"/>
  <c r="BV326" i="51"/>
  <c r="BU326" i="51"/>
  <c r="BT326" i="51"/>
  <c r="BS326" i="51"/>
  <c r="BR326" i="51"/>
  <c r="BQ326" i="51"/>
  <c r="BP326" i="51"/>
  <c r="BO326" i="51"/>
  <c r="BM326" i="51"/>
  <c r="BL326" i="51"/>
  <c r="BK326" i="51"/>
  <c r="BJ326" i="51"/>
  <c r="BH326" i="51"/>
  <c r="BG326" i="51"/>
  <c r="BF326" i="51"/>
  <c r="BE326" i="51"/>
  <c r="BC326" i="51"/>
  <c r="BB326" i="51"/>
  <c r="BA326" i="51"/>
  <c r="AZ326" i="51"/>
  <c r="AX326" i="51"/>
  <c r="AW326" i="51"/>
  <c r="AV326" i="51"/>
  <c r="AU326" i="51"/>
  <c r="BI325" i="51"/>
  <c r="BN326" i="51" s="1"/>
  <c r="BD325" i="51"/>
  <c r="BI326" i="51" s="1"/>
  <c r="AY325" i="51"/>
  <c r="BD326" i="51" s="1"/>
  <c r="AT325" i="51"/>
  <c r="AY326" i="51" s="1"/>
  <c r="CK323" i="51"/>
  <c r="CJ323" i="51"/>
  <c r="CI323" i="51"/>
  <c r="CH323" i="51"/>
  <c r="CG323" i="51"/>
  <c r="CF323" i="51"/>
  <c r="CE323" i="51"/>
  <c r="CD323" i="51"/>
  <c r="CC323" i="51"/>
  <c r="CB323" i="51"/>
  <c r="CA323" i="51"/>
  <c r="BZ323" i="51"/>
  <c r="BY323" i="51"/>
  <c r="BX323" i="51"/>
  <c r="BW323" i="51"/>
  <c r="BV323" i="51"/>
  <c r="BU323" i="51"/>
  <c r="BT323" i="51"/>
  <c r="BS323" i="51"/>
  <c r="BR323" i="51"/>
  <c r="BQ323" i="51"/>
  <c r="BP323" i="51"/>
  <c r="BO323" i="51"/>
  <c r="BN323" i="51"/>
  <c r="BM323" i="51"/>
  <c r="BL323" i="51"/>
  <c r="BK323" i="51"/>
  <c r="BJ323" i="51"/>
  <c r="BH323" i="51"/>
  <c r="BG323" i="51"/>
  <c r="BF323" i="51"/>
  <c r="BE323" i="51"/>
  <c r="BC323" i="51"/>
  <c r="BB323" i="51"/>
  <c r="BA323" i="51"/>
  <c r="AZ323" i="51"/>
  <c r="AX323" i="51"/>
  <c r="AW323" i="51"/>
  <c r="AV323" i="51"/>
  <c r="AU323" i="51"/>
  <c r="BI322" i="51"/>
  <c r="BI323" i="51" s="1"/>
  <c r="BD322" i="51"/>
  <c r="AY322" i="51"/>
  <c r="BD323" i="51" s="1"/>
  <c r="AT322" i="51"/>
  <c r="AY323" i="51" s="1"/>
  <c r="CK320" i="51"/>
  <c r="CJ320" i="51"/>
  <c r="CI320" i="51"/>
  <c r="CH320" i="51"/>
  <c r="CG320" i="51"/>
  <c r="CF320" i="51"/>
  <c r="CE320" i="51"/>
  <c r="CD320" i="51"/>
  <c r="CC320" i="51"/>
  <c r="CB320" i="51"/>
  <c r="CA320" i="51"/>
  <c r="BZ320" i="51"/>
  <c r="BY320" i="51"/>
  <c r="BX320" i="51"/>
  <c r="BW320" i="51"/>
  <c r="BV320" i="51"/>
  <c r="BU320" i="51"/>
  <c r="BT320" i="51"/>
  <c r="BS320" i="51"/>
  <c r="BR320" i="51"/>
  <c r="BQ320" i="51"/>
  <c r="BP320" i="51"/>
  <c r="BO320" i="51"/>
  <c r="BM320" i="51"/>
  <c r="BL320" i="51"/>
  <c r="BK320" i="51"/>
  <c r="BJ320" i="51"/>
  <c r="BI320" i="51"/>
  <c r="BH320" i="51"/>
  <c r="BG320" i="51"/>
  <c r="BF320" i="51"/>
  <c r="BE320" i="51"/>
  <c r="BC320" i="51"/>
  <c r="BB320" i="51"/>
  <c r="BA320" i="51"/>
  <c r="AZ320" i="51"/>
  <c r="AX320" i="51"/>
  <c r="AW320" i="51"/>
  <c r="AV320" i="51"/>
  <c r="AU320" i="51"/>
  <c r="BI319" i="51"/>
  <c r="BN320" i="51" s="1"/>
  <c r="BD319" i="51"/>
  <c r="BD320" i="51" s="1"/>
  <c r="AY319" i="51"/>
  <c r="AT319" i="51"/>
  <c r="AY320" i="51" s="1"/>
  <c r="AO319" i="51"/>
  <c r="Z319" i="51"/>
  <c r="CK317" i="51"/>
  <c r="CJ317" i="51"/>
  <c r="CI317" i="51"/>
  <c r="CH317" i="51"/>
  <c r="CG317" i="51"/>
  <c r="CF317" i="51"/>
  <c r="CE317" i="51"/>
  <c r="CD317" i="51"/>
  <c r="CC317" i="51"/>
  <c r="CB317" i="51"/>
  <c r="CA317" i="51"/>
  <c r="BZ317" i="51"/>
  <c r="BY317" i="51"/>
  <c r="BX317" i="51"/>
  <c r="BW317" i="51"/>
  <c r="BV317" i="51"/>
  <c r="BU317" i="51"/>
  <c r="BT317" i="51"/>
  <c r="BS317" i="51"/>
  <c r="BR317" i="51"/>
  <c r="BQ317" i="51"/>
  <c r="BP317" i="51"/>
  <c r="BO317" i="51"/>
  <c r="BM317" i="51"/>
  <c r="BL317" i="51"/>
  <c r="BK317" i="51"/>
  <c r="BJ317" i="51"/>
  <c r="BH317" i="51"/>
  <c r="BG317" i="51"/>
  <c r="BF317" i="51"/>
  <c r="BE317" i="51"/>
  <c r="BC317" i="51"/>
  <c r="BB317" i="51"/>
  <c r="BA317" i="51"/>
  <c r="AZ317" i="51"/>
  <c r="AX317" i="51"/>
  <c r="AW317" i="51"/>
  <c r="AV317" i="51"/>
  <c r="AU317" i="51"/>
  <c r="BI316" i="51"/>
  <c r="BI317" i="51" s="1"/>
  <c r="BD316" i="51"/>
  <c r="AY316" i="51"/>
  <c r="BD317" i="51" s="1"/>
  <c r="AT316" i="51"/>
  <c r="AY317" i="51" s="1"/>
  <c r="CK314" i="51"/>
  <c r="CJ314" i="51"/>
  <c r="CI314" i="51"/>
  <c r="CH314" i="51"/>
  <c r="CG314" i="51"/>
  <c r="CF314" i="51"/>
  <c r="CE314" i="51"/>
  <c r="CD314" i="51"/>
  <c r="CC314" i="51"/>
  <c r="CB314" i="51"/>
  <c r="CA314" i="51"/>
  <c r="BZ314" i="51"/>
  <c r="BY314" i="51"/>
  <c r="BX314" i="51"/>
  <c r="BW314" i="51"/>
  <c r="BV314" i="51"/>
  <c r="BU314" i="51"/>
  <c r="BT314" i="51"/>
  <c r="BS314" i="51"/>
  <c r="BR314" i="51"/>
  <c r="BQ314" i="51"/>
  <c r="BP314" i="51"/>
  <c r="BO314" i="51"/>
  <c r="BM314" i="51"/>
  <c r="BL314" i="51"/>
  <c r="BK314" i="51"/>
  <c r="BJ314" i="51"/>
  <c r="BH314" i="51"/>
  <c r="BG314" i="51"/>
  <c r="BF314" i="51"/>
  <c r="BE314" i="51"/>
  <c r="BC314" i="51"/>
  <c r="BB314" i="51"/>
  <c r="BA314" i="51"/>
  <c r="AZ314" i="51"/>
  <c r="AX314" i="51"/>
  <c r="AW314" i="51"/>
  <c r="AV314" i="51"/>
  <c r="AU314" i="51"/>
  <c r="BI313" i="51"/>
  <c r="BN314" i="51" s="1"/>
  <c r="BD313" i="51"/>
  <c r="AY313" i="51"/>
  <c r="AT313" i="51"/>
  <c r="AY314" i="51" s="1"/>
  <c r="BD311" i="51"/>
  <c r="BC311" i="51"/>
  <c r="BB311" i="51"/>
  <c r="BA311" i="51"/>
  <c r="AZ311" i="51"/>
  <c r="AY311" i="51"/>
  <c r="AX311" i="51"/>
  <c r="AW311" i="51"/>
  <c r="AV311" i="51"/>
  <c r="AU311" i="51"/>
  <c r="BD310" i="51"/>
  <c r="AY310" i="51"/>
  <c r="AT310" i="51"/>
  <c r="BD308" i="51"/>
  <c r="BC308" i="51"/>
  <c r="BB308" i="51"/>
  <c r="BA308" i="51"/>
  <c r="AZ308" i="51"/>
  <c r="AX308" i="51"/>
  <c r="AW308" i="51"/>
  <c r="AV308" i="51"/>
  <c r="AU308" i="51"/>
  <c r="BD307" i="51"/>
  <c r="AY307" i="51"/>
  <c r="AT307" i="51"/>
  <c r="CK305" i="51"/>
  <c r="CJ305" i="51"/>
  <c r="CI305" i="51"/>
  <c r="CH305" i="51"/>
  <c r="CG305" i="51"/>
  <c r="CF305" i="51"/>
  <c r="CE305" i="51"/>
  <c r="CD305" i="51"/>
  <c r="CC305" i="51"/>
  <c r="CB305" i="51"/>
  <c r="CA305" i="51"/>
  <c r="BZ305" i="51"/>
  <c r="BY305" i="51"/>
  <c r="BX305" i="51"/>
  <c r="BW305" i="51"/>
  <c r="BV305" i="51"/>
  <c r="BU305" i="51"/>
  <c r="BT305" i="51"/>
  <c r="BS305" i="51"/>
  <c r="BR305" i="51"/>
  <c r="BQ305" i="51"/>
  <c r="BP305" i="51"/>
  <c r="BO305" i="51"/>
  <c r="BN305" i="51"/>
  <c r="BM305" i="51"/>
  <c r="BL305" i="51"/>
  <c r="BK305" i="51"/>
  <c r="BJ305" i="51"/>
  <c r="BI304" i="51"/>
  <c r="CK302" i="51"/>
  <c r="CJ302" i="51"/>
  <c r="CI302" i="51"/>
  <c r="CH302" i="51"/>
  <c r="CG302" i="51"/>
  <c r="CF302" i="51"/>
  <c r="CE302" i="51"/>
  <c r="CD302" i="51"/>
  <c r="CC302" i="51"/>
  <c r="CB302" i="51"/>
  <c r="CA302" i="51"/>
  <c r="BZ302" i="51"/>
  <c r="BY302" i="51"/>
  <c r="BX302" i="51"/>
  <c r="BW302" i="51"/>
  <c r="BV302" i="51"/>
  <c r="BU302" i="51"/>
  <c r="BT302" i="51"/>
  <c r="BS302" i="51"/>
  <c r="BR302" i="51"/>
  <c r="BQ302" i="51"/>
  <c r="BP302" i="51"/>
  <c r="BO302" i="51"/>
  <c r="BM302" i="51"/>
  <c r="BL302" i="51"/>
  <c r="BK302" i="51"/>
  <c r="BJ302" i="51"/>
  <c r="BH302" i="51"/>
  <c r="BG302" i="51"/>
  <c r="BF302" i="51"/>
  <c r="BE302" i="51"/>
  <c r="BC302" i="51"/>
  <c r="BB302" i="51"/>
  <c r="BA302" i="51"/>
  <c r="AZ302" i="51"/>
  <c r="AX302" i="51"/>
  <c r="AW302" i="51"/>
  <c r="AV302" i="51"/>
  <c r="AU302" i="51"/>
  <c r="BI301" i="51"/>
  <c r="BN302" i="51" s="1"/>
  <c r="BD301" i="51"/>
  <c r="BI302" i="51" s="1"/>
  <c r="AY301" i="51"/>
  <c r="BD302" i="51" s="1"/>
  <c r="AT301" i="51"/>
  <c r="AY302" i="51" s="1"/>
  <c r="CK297" i="51"/>
  <c r="CJ297" i="51"/>
  <c r="CI297" i="51"/>
  <c r="CH297" i="51"/>
  <c r="CG297" i="51"/>
  <c r="CF297" i="51"/>
  <c r="CE297" i="51"/>
  <c r="CD297" i="51"/>
  <c r="CC297" i="51"/>
  <c r="CB297" i="51"/>
  <c r="CA297" i="51"/>
  <c r="BZ297" i="51"/>
  <c r="BY297" i="51"/>
  <c r="BX297" i="51"/>
  <c r="BW297" i="51"/>
  <c r="BV297" i="51"/>
  <c r="BU297" i="51"/>
  <c r="BT297" i="51"/>
  <c r="BS297" i="51"/>
  <c r="BR297" i="51"/>
  <c r="BQ297" i="51"/>
  <c r="BP297" i="51"/>
  <c r="BO297" i="51"/>
  <c r="BN297" i="51"/>
  <c r="BM297" i="51"/>
  <c r="BL297" i="51"/>
  <c r="BK297" i="51"/>
  <c r="BJ297" i="51"/>
  <c r="BH297" i="51"/>
  <c r="BG297" i="51"/>
  <c r="BF297" i="51"/>
  <c r="BE297" i="51"/>
  <c r="BC297" i="51"/>
  <c r="BB297" i="51"/>
  <c r="BA297" i="51"/>
  <c r="AZ297" i="51"/>
  <c r="AX297" i="51"/>
  <c r="AW297" i="51"/>
  <c r="AV297" i="51"/>
  <c r="AU297" i="51"/>
  <c r="BI296" i="51"/>
  <c r="BI297" i="51" s="1"/>
  <c r="BD296" i="51"/>
  <c r="AY296" i="51"/>
  <c r="BD297" i="51" s="1"/>
  <c r="AT296" i="51"/>
  <c r="AY297" i="51" s="1"/>
  <c r="CK294" i="51"/>
  <c r="CJ294" i="51"/>
  <c r="CI294" i="51"/>
  <c r="CH294" i="51"/>
  <c r="CG294" i="51"/>
  <c r="CF294" i="51"/>
  <c r="CE294" i="51"/>
  <c r="CD294" i="51"/>
  <c r="CC294" i="51"/>
  <c r="CB294" i="51"/>
  <c r="CA294" i="51"/>
  <c r="BZ294" i="51"/>
  <c r="BY294" i="51"/>
  <c r="BX294" i="51"/>
  <c r="BW294" i="51"/>
  <c r="BV294" i="51"/>
  <c r="BU294" i="51"/>
  <c r="BT294" i="51"/>
  <c r="BS294" i="51"/>
  <c r="BR294" i="51"/>
  <c r="BQ294" i="51"/>
  <c r="BP294" i="51"/>
  <c r="BO294" i="51"/>
  <c r="BM294" i="51"/>
  <c r="BL294" i="51"/>
  <c r="BK294" i="51"/>
  <c r="BJ294" i="51"/>
  <c r="BI294" i="51"/>
  <c r="BH294" i="51"/>
  <c r="BG294" i="51"/>
  <c r="BF294" i="51"/>
  <c r="BE294" i="51"/>
  <c r="BC294" i="51"/>
  <c r="BB294" i="51"/>
  <c r="BA294" i="51"/>
  <c r="AZ294" i="51"/>
  <c r="AX294" i="51"/>
  <c r="AW294" i="51"/>
  <c r="AV294" i="51"/>
  <c r="AU294" i="51"/>
  <c r="BI293" i="51"/>
  <c r="BN294" i="51" s="1"/>
  <c r="BD293" i="51"/>
  <c r="BD294" i="51" s="1"/>
  <c r="AY293" i="51"/>
  <c r="AT293" i="51"/>
  <c r="AY294" i="51" s="1"/>
  <c r="CK291" i="51"/>
  <c r="CJ291" i="51"/>
  <c r="CI291" i="51"/>
  <c r="CH291" i="51"/>
  <c r="CG291" i="51"/>
  <c r="CF291" i="51"/>
  <c r="CE291" i="51"/>
  <c r="CD291" i="51"/>
  <c r="CC291" i="51"/>
  <c r="CB291" i="51"/>
  <c r="CA291" i="51"/>
  <c r="BZ291" i="51"/>
  <c r="BY291" i="51"/>
  <c r="BX291" i="51"/>
  <c r="BW291" i="51"/>
  <c r="BV291" i="51"/>
  <c r="BU291" i="51"/>
  <c r="BT291" i="51"/>
  <c r="BS291" i="51"/>
  <c r="BR291" i="51"/>
  <c r="BQ291" i="51"/>
  <c r="BP291" i="51"/>
  <c r="BO291" i="51"/>
  <c r="BM291" i="51"/>
  <c r="BL291" i="51"/>
  <c r="BK291" i="51"/>
  <c r="BJ291" i="51"/>
  <c r="BH291" i="51"/>
  <c r="BG291" i="51"/>
  <c r="BF291" i="51"/>
  <c r="BE291" i="51"/>
  <c r="BD291" i="51"/>
  <c r="BC291" i="51"/>
  <c r="BB291" i="51"/>
  <c r="BA291" i="51"/>
  <c r="AZ291" i="51"/>
  <c r="AX291" i="51"/>
  <c r="AW291" i="51"/>
  <c r="AV291" i="51"/>
  <c r="AU291" i="51"/>
  <c r="BI290" i="51"/>
  <c r="BN291" i="51" s="1"/>
  <c r="BD290" i="51"/>
  <c r="BI291" i="51" s="1"/>
  <c r="AY290" i="51"/>
  <c r="AY291" i="51" s="1"/>
  <c r="AT290" i="51"/>
  <c r="AO290" i="51"/>
  <c r="CK288" i="51"/>
  <c r="CJ288" i="51"/>
  <c r="CI288" i="51"/>
  <c r="CH288" i="51"/>
  <c r="CG288" i="51"/>
  <c r="CF288" i="51"/>
  <c r="CE288" i="51"/>
  <c r="CD288" i="51"/>
  <c r="CC288" i="51"/>
  <c r="CB288" i="51"/>
  <c r="CA288" i="51"/>
  <c r="BZ288" i="51"/>
  <c r="BY288" i="51"/>
  <c r="BX288" i="51"/>
  <c r="BW288" i="51"/>
  <c r="BV288" i="51"/>
  <c r="BU288" i="51"/>
  <c r="BT288" i="51"/>
  <c r="BS288" i="51"/>
  <c r="BR288" i="51"/>
  <c r="BQ288" i="51"/>
  <c r="BP288" i="51"/>
  <c r="BO288" i="51"/>
  <c r="BM288" i="51"/>
  <c r="BL288" i="51"/>
  <c r="BK288" i="51"/>
  <c r="BJ288" i="51"/>
  <c r="BH288" i="51"/>
  <c r="BG288" i="51"/>
  <c r="BF288" i="51"/>
  <c r="BE288" i="51"/>
  <c r="BC288" i="51"/>
  <c r="BB288" i="51"/>
  <c r="BA288" i="51"/>
  <c r="AZ288" i="51"/>
  <c r="AX288" i="51"/>
  <c r="AW288" i="51"/>
  <c r="AV288" i="51"/>
  <c r="AU288" i="51"/>
  <c r="BI287" i="51"/>
  <c r="BN288" i="51" s="1"/>
  <c r="BD287" i="51"/>
  <c r="BI288" i="51" s="1"/>
  <c r="AY287" i="51"/>
  <c r="AT287" i="51"/>
  <c r="CK285" i="51"/>
  <c r="CJ285" i="51"/>
  <c r="CI285" i="51"/>
  <c r="CH285" i="51"/>
  <c r="CG285" i="51"/>
  <c r="CF285" i="51"/>
  <c r="CE285" i="51"/>
  <c r="CD285" i="51"/>
  <c r="CC285" i="51"/>
  <c r="CB285" i="51"/>
  <c r="CA285" i="51"/>
  <c r="BZ285" i="51"/>
  <c r="BY285" i="51"/>
  <c r="BX285" i="51"/>
  <c r="BW285" i="51"/>
  <c r="BV285" i="51"/>
  <c r="BU285" i="51"/>
  <c r="BT285" i="51"/>
  <c r="BS285" i="51"/>
  <c r="BR285" i="51"/>
  <c r="BQ285" i="51"/>
  <c r="BP285" i="51"/>
  <c r="BO285" i="51"/>
  <c r="BM285" i="51"/>
  <c r="BL285" i="51"/>
  <c r="BK285" i="51"/>
  <c r="BJ285" i="51"/>
  <c r="BH285" i="51"/>
  <c r="BG285" i="51"/>
  <c r="BF285" i="51"/>
  <c r="BE285" i="51"/>
  <c r="BC285" i="51"/>
  <c r="BB285" i="51"/>
  <c r="BA285" i="51"/>
  <c r="AZ285" i="51"/>
  <c r="AX285" i="51"/>
  <c r="AW285" i="51"/>
  <c r="AV285" i="51"/>
  <c r="AU285" i="51"/>
  <c r="BI284" i="51"/>
  <c r="BN285" i="51" s="1"/>
  <c r="BD284" i="51"/>
  <c r="BI285" i="51" s="1"/>
  <c r="AY284" i="51"/>
  <c r="BD285" i="51" s="1"/>
  <c r="AT284" i="51"/>
  <c r="AY285" i="51" s="1"/>
  <c r="BC282" i="51"/>
  <c r="BB282" i="51"/>
  <c r="BA282" i="51"/>
  <c r="AZ282" i="51"/>
  <c r="AX282" i="51"/>
  <c r="AW282" i="51"/>
  <c r="AV282" i="51"/>
  <c r="AU282" i="51"/>
  <c r="BD281" i="51"/>
  <c r="AY281" i="51"/>
  <c r="AY282" i="51" s="1"/>
  <c r="AT281" i="51"/>
  <c r="BC279" i="51"/>
  <c r="BB279" i="51"/>
  <c r="BA279" i="51"/>
  <c r="AZ279" i="51"/>
  <c r="AY279" i="51"/>
  <c r="AX279" i="51"/>
  <c r="AW279" i="51"/>
  <c r="AV279" i="51"/>
  <c r="AU279" i="51"/>
  <c r="BD278" i="51"/>
  <c r="BD279" i="51" s="1"/>
  <c r="AY278" i="51"/>
  <c r="AT278" i="51"/>
  <c r="CK276" i="51"/>
  <c r="CJ276" i="51"/>
  <c r="CI276" i="51"/>
  <c r="CH276" i="51"/>
  <c r="CG276" i="51"/>
  <c r="CF276" i="51"/>
  <c r="CE276" i="51"/>
  <c r="CD276" i="51"/>
  <c r="CC276" i="51"/>
  <c r="CB276" i="51"/>
  <c r="CA276" i="51"/>
  <c r="BZ276" i="51"/>
  <c r="BY276" i="51"/>
  <c r="BX276" i="51"/>
  <c r="BW276" i="51"/>
  <c r="BV276" i="51"/>
  <c r="BU276" i="51"/>
  <c r="BT276" i="51"/>
  <c r="BS276" i="51"/>
  <c r="BR276" i="51"/>
  <c r="BQ276" i="51"/>
  <c r="BP276" i="51"/>
  <c r="BO276" i="51"/>
  <c r="BM276" i="51"/>
  <c r="BL276" i="51"/>
  <c r="BK276" i="51"/>
  <c r="BJ276" i="51"/>
  <c r="BI275" i="51"/>
  <c r="BN276" i="51" s="1"/>
  <c r="CK273" i="51"/>
  <c r="CJ273" i="51"/>
  <c r="CI273" i="51"/>
  <c r="CH273" i="51"/>
  <c r="CG273" i="51"/>
  <c r="CF273" i="51"/>
  <c r="CE273" i="51"/>
  <c r="CD273" i="51"/>
  <c r="CC273" i="51"/>
  <c r="CB273" i="51"/>
  <c r="CA273" i="51"/>
  <c r="BZ273" i="51"/>
  <c r="BY273" i="51"/>
  <c r="BX273" i="51"/>
  <c r="BW273" i="51"/>
  <c r="BV273" i="51"/>
  <c r="BU273" i="51"/>
  <c r="BT273" i="51"/>
  <c r="BS273" i="51"/>
  <c r="BR273" i="51"/>
  <c r="BQ273" i="51"/>
  <c r="BP273" i="51"/>
  <c r="BO273" i="51"/>
  <c r="BM273" i="51"/>
  <c r="BL273" i="51"/>
  <c r="BK273" i="51"/>
  <c r="BJ273" i="51"/>
  <c r="BI273" i="51"/>
  <c r="BH273" i="51"/>
  <c r="BG273" i="51"/>
  <c r="BF273" i="51"/>
  <c r="BE273" i="51"/>
  <c r="BC273" i="51"/>
  <c r="BB273" i="51"/>
  <c r="BA273" i="51"/>
  <c r="AZ273" i="51"/>
  <c r="AX273" i="51"/>
  <c r="AW273" i="51"/>
  <c r="AV273" i="51"/>
  <c r="AU273" i="51"/>
  <c r="BI272" i="51"/>
  <c r="BN273" i="51" s="1"/>
  <c r="BD272" i="51"/>
  <c r="BD273" i="51" s="1"/>
  <c r="AY272" i="51"/>
  <c r="AT272" i="51"/>
  <c r="AY273" i="51" s="1"/>
  <c r="CC263" i="51"/>
  <c r="CB263" i="51"/>
  <c r="CA263" i="51"/>
  <c r="BZ263" i="51"/>
  <c r="BY263" i="51"/>
  <c r="CC260" i="51"/>
  <c r="CB260" i="51"/>
  <c r="CA260" i="51"/>
  <c r="BZ260" i="51"/>
  <c r="BY260" i="51"/>
  <c r="CC257" i="51"/>
  <c r="CB257" i="51"/>
  <c r="CA257" i="51"/>
  <c r="BZ257" i="51"/>
  <c r="BY257" i="51"/>
  <c r="CC254" i="51"/>
  <c r="CB254" i="51"/>
  <c r="CA254" i="51"/>
  <c r="BZ254" i="51"/>
  <c r="BY254" i="51"/>
  <c r="CC251" i="51"/>
  <c r="CB251" i="51"/>
  <c r="CA251" i="51"/>
  <c r="BZ251" i="51"/>
  <c r="BY251" i="51"/>
  <c r="CC247" i="51"/>
  <c r="BM247" i="51"/>
  <c r="AW247" i="51"/>
  <c r="CK246" i="51"/>
  <c r="CJ246" i="51"/>
  <c r="CJ247" i="51" s="1"/>
  <c r="CI246" i="51"/>
  <c r="CH246" i="51"/>
  <c r="CH247" i="51" s="1"/>
  <c r="CG246" i="51"/>
  <c r="CF246" i="51"/>
  <c r="CF247" i="51" s="1"/>
  <c r="CE246" i="51"/>
  <c r="CD246" i="51"/>
  <c r="CI247" i="51" s="1"/>
  <c r="CC246" i="51"/>
  <c r="CB246" i="51"/>
  <c r="CB247" i="51" s="1"/>
  <c r="CA246" i="51"/>
  <c r="BZ246" i="51"/>
  <c r="CE247" i="51" s="1"/>
  <c r="BY246" i="51"/>
  <c r="BX246" i="51"/>
  <c r="BW246" i="51"/>
  <c r="BV246" i="51"/>
  <c r="CA247" i="51" s="1"/>
  <c r="BU246" i="51"/>
  <c r="BT246" i="51"/>
  <c r="BT247" i="51" s="1"/>
  <c r="BR246" i="51"/>
  <c r="BW247" i="51" s="1"/>
  <c r="BQ246" i="51"/>
  <c r="BP246" i="51"/>
  <c r="BP247" i="51" s="1"/>
  <c r="BO246" i="51"/>
  <c r="BS246" i="51" s="1"/>
  <c r="BM246" i="51"/>
  <c r="BL246" i="51"/>
  <c r="BK246" i="51"/>
  <c r="BJ246" i="51"/>
  <c r="BO247" i="51" s="1"/>
  <c r="BH246" i="51"/>
  <c r="BH247" i="51" s="1"/>
  <c r="BG246" i="51"/>
  <c r="BF246" i="51"/>
  <c r="BK247" i="51" s="1"/>
  <c r="BE246" i="51"/>
  <c r="BI246" i="51" s="1"/>
  <c r="BC246" i="51"/>
  <c r="BB246" i="51"/>
  <c r="BG247" i="51" s="1"/>
  <c r="BA246" i="51"/>
  <c r="AZ246" i="51"/>
  <c r="AZ247" i="51" s="1"/>
  <c r="AX246" i="51"/>
  <c r="BC247" i="51" s="1"/>
  <c r="AW246" i="51"/>
  <c r="AV246" i="51"/>
  <c r="AV247" i="51" s="1"/>
  <c r="AU246" i="51"/>
  <c r="AS246" i="51"/>
  <c r="AR246" i="51"/>
  <c r="AQ246" i="51"/>
  <c r="AP246" i="51"/>
  <c r="AU247" i="51" s="1"/>
  <c r="CJ244" i="51"/>
  <c r="BT244" i="51"/>
  <c r="CK243" i="51"/>
  <c r="CK244" i="51" s="1"/>
  <c r="CJ243" i="51"/>
  <c r="CI243" i="51"/>
  <c r="CI244" i="51" s="1"/>
  <c r="CH243" i="51"/>
  <c r="CG243" i="51"/>
  <c r="CG244" i="51" s="1"/>
  <c r="CF243" i="51"/>
  <c r="CE243" i="51"/>
  <c r="CE244" i="51" s="1"/>
  <c r="CD243" i="51"/>
  <c r="CC243" i="51"/>
  <c r="CH244" i="51" s="1"/>
  <c r="CB243" i="51"/>
  <c r="CA243" i="51"/>
  <c r="CA244" i="51" s="1"/>
  <c r="BZ243" i="51"/>
  <c r="BY243" i="51"/>
  <c r="CD244" i="51" s="1"/>
  <c r="BX243" i="51"/>
  <c r="BW243" i="51"/>
  <c r="BW244" i="51" s="1"/>
  <c r="BV243" i="51"/>
  <c r="BU243" i="51"/>
  <c r="BZ244" i="51" s="1"/>
  <c r="BT243" i="51"/>
  <c r="BR243" i="51"/>
  <c r="BQ243" i="51"/>
  <c r="BV244" i="51" s="1"/>
  <c r="BP243" i="51"/>
  <c r="BO243" i="51"/>
  <c r="BO244" i="51" s="1"/>
  <c r="BM243" i="51"/>
  <c r="BR244" i="51" s="1"/>
  <c r="BL243" i="51"/>
  <c r="BK243" i="51"/>
  <c r="BJ243" i="51"/>
  <c r="BH243" i="51"/>
  <c r="BG243" i="51"/>
  <c r="BG244" i="51" s="1"/>
  <c r="BF243" i="51"/>
  <c r="BE243" i="51"/>
  <c r="BJ244" i="51" s="1"/>
  <c r="BC243" i="51"/>
  <c r="BC244" i="51" s="1"/>
  <c r="BB243" i="51"/>
  <c r="BA243" i="51"/>
  <c r="BF244" i="51" s="1"/>
  <c r="AZ243" i="51"/>
  <c r="BD243" i="51" s="1"/>
  <c r="AX243" i="51"/>
  <c r="AW243" i="51"/>
  <c r="BB244" i="51" s="1"/>
  <c r="AV243" i="51"/>
  <c r="AU243" i="51"/>
  <c r="AU244" i="51" s="1"/>
  <c r="AS243" i="51"/>
  <c r="AX244" i="51" s="1"/>
  <c r="AR243" i="51"/>
  <c r="AQ243" i="51"/>
  <c r="AV244" i="51" s="1"/>
  <c r="AP243" i="51"/>
  <c r="BH241" i="51"/>
  <c r="CK240" i="51"/>
  <c r="CJ240" i="51"/>
  <c r="CI240" i="51"/>
  <c r="CG240" i="51"/>
  <c r="CF240" i="51"/>
  <c r="CE240" i="51"/>
  <c r="CD240" i="51"/>
  <c r="CB240" i="51"/>
  <c r="CB241" i="51" s="1"/>
  <c r="CA240" i="51"/>
  <c r="CA241" i="51" s="1"/>
  <c r="BZ240" i="51"/>
  <c r="BZ241" i="51" s="1"/>
  <c r="BY240" i="51"/>
  <c r="BY241" i="51" s="1"/>
  <c r="BW240" i="51"/>
  <c r="BV240" i="51"/>
  <c r="BV241" i="51" s="1"/>
  <c r="BU240" i="51"/>
  <c r="BT240" i="51"/>
  <c r="BT241" i="51" s="1"/>
  <c r="BR240" i="51"/>
  <c r="BQ240" i="51"/>
  <c r="BP240" i="51"/>
  <c r="BP241" i="51" s="1"/>
  <c r="BO240" i="51"/>
  <c r="BO241" i="51" s="1"/>
  <c r="BM240" i="51"/>
  <c r="BL240" i="51"/>
  <c r="BL241" i="51" s="1"/>
  <c r="BL53" i="51" s="1"/>
  <c r="BK240" i="51"/>
  <c r="BK241" i="51" s="1"/>
  <c r="BJ240" i="51"/>
  <c r="BH240" i="51"/>
  <c r="BG240" i="51"/>
  <c r="BF240" i="51"/>
  <c r="BF241" i="51" s="1"/>
  <c r="BE240" i="51"/>
  <c r="BC240" i="51"/>
  <c r="BB240" i="51"/>
  <c r="BA240" i="51"/>
  <c r="AZ240" i="51"/>
  <c r="AZ241" i="51" s="1"/>
  <c r="AX240" i="51"/>
  <c r="AW240" i="51"/>
  <c r="AW241" i="51" s="1"/>
  <c r="AW53" i="51" s="1"/>
  <c r="AV240" i="51"/>
  <c r="AV241" i="51" s="1"/>
  <c r="AU240" i="51"/>
  <c r="AS240" i="51"/>
  <c r="AR240" i="51"/>
  <c r="AQ240" i="51"/>
  <c r="AP240" i="51"/>
  <c r="AT240" i="51" s="1"/>
  <c r="BV238" i="51"/>
  <c r="BR238" i="51"/>
  <c r="BM238" i="51"/>
  <c r="BH238" i="51"/>
  <c r="BB238" i="51"/>
  <c r="AW238" i="51"/>
  <c r="CQ237" i="51"/>
  <c r="CK237" i="51"/>
  <c r="CJ237" i="51"/>
  <c r="CI237" i="51"/>
  <c r="CG237" i="51"/>
  <c r="CF237" i="51"/>
  <c r="CE237" i="51"/>
  <c r="CD237" i="51"/>
  <c r="CB237" i="51"/>
  <c r="CA237" i="51"/>
  <c r="BZ237" i="51"/>
  <c r="BY237" i="51"/>
  <c r="BW237" i="51"/>
  <c r="BV237" i="51"/>
  <c r="BU237" i="51"/>
  <c r="BT237" i="51"/>
  <c r="BR237" i="51"/>
  <c r="BQ237" i="51"/>
  <c r="BP237" i="51"/>
  <c r="BO237" i="51"/>
  <c r="BM237" i="51"/>
  <c r="BL237" i="51"/>
  <c r="BK237" i="51"/>
  <c r="BJ237" i="51"/>
  <c r="BH237" i="51"/>
  <c r="BG237" i="51"/>
  <c r="BF237" i="51"/>
  <c r="BE237" i="51"/>
  <c r="BC237" i="51"/>
  <c r="BB237" i="51"/>
  <c r="BA237" i="51"/>
  <c r="AZ237" i="51"/>
  <c r="AX237" i="51"/>
  <c r="AW237" i="51"/>
  <c r="AV237" i="51"/>
  <c r="BA238" i="51" s="1"/>
  <c r="AU237" i="51"/>
  <c r="AS237" i="51"/>
  <c r="AR237" i="51"/>
  <c r="AQ237" i="51"/>
  <c r="AP237" i="51"/>
  <c r="CK235" i="51"/>
  <c r="CJ235" i="51"/>
  <c r="CF235" i="51"/>
  <c r="BY235" i="51"/>
  <c r="BT235" i="51"/>
  <c r="BR235" i="51"/>
  <c r="BB235" i="51"/>
  <c r="AX235" i="51"/>
  <c r="CK234" i="51"/>
  <c r="CJ234" i="51"/>
  <c r="CI234" i="51"/>
  <c r="CG234" i="51"/>
  <c r="CF234" i="51"/>
  <c r="CE234" i="51"/>
  <c r="CD234" i="51"/>
  <c r="CD235" i="51" s="1"/>
  <c r="CB234" i="51"/>
  <c r="CA234" i="51"/>
  <c r="BZ234" i="51"/>
  <c r="BY234" i="51"/>
  <c r="BW234" i="51"/>
  <c r="BV234" i="51"/>
  <c r="BU234" i="51"/>
  <c r="BT234" i="51"/>
  <c r="BR234" i="51"/>
  <c r="BQ234" i="51"/>
  <c r="BP234" i="51"/>
  <c r="BO234" i="51"/>
  <c r="BM234" i="51"/>
  <c r="BL234" i="51"/>
  <c r="BK234" i="51"/>
  <c r="BJ234" i="51"/>
  <c r="BH234" i="51"/>
  <c r="BG234" i="51"/>
  <c r="BF234" i="51"/>
  <c r="BE234" i="51"/>
  <c r="BC234" i="51"/>
  <c r="BB234" i="51"/>
  <c r="BA234" i="51"/>
  <c r="AZ234" i="51"/>
  <c r="BD234" i="51" s="1"/>
  <c r="AX234" i="51"/>
  <c r="AW234" i="51"/>
  <c r="AV234" i="51"/>
  <c r="AU234" i="51"/>
  <c r="AS234" i="51"/>
  <c r="AR234" i="51"/>
  <c r="AQ234" i="51"/>
  <c r="AP234" i="51"/>
  <c r="BB232" i="51"/>
  <c r="AW232" i="51"/>
  <c r="AU232" i="51"/>
  <c r="BC231" i="51"/>
  <c r="BC232" i="51" s="1"/>
  <c r="BB231" i="51"/>
  <c r="BA231" i="51"/>
  <c r="BA232" i="51" s="1"/>
  <c r="AZ231" i="51"/>
  <c r="AX231" i="51"/>
  <c r="AW231" i="51"/>
  <c r="AV231" i="51"/>
  <c r="AU231" i="51"/>
  <c r="AY231" i="51" s="1"/>
  <c r="AS231" i="51"/>
  <c r="AX232" i="51" s="1"/>
  <c r="AR231" i="51"/>
  <c r="AQ231" i="51"/>
  <c r="AP231" i="51"/>
  <c r="BC228" i="51"/>
  <c r="BB228" i="51"/>
  <c r="BA228" i="51"/>
  <c r="AZ228" i="51"/>
  <c r="AX228" i="51"/>
  <c r="AW228" i="51"/>
  <c r="AV228" i="51"/>
  <c r="AU228" i="51"/>
  <c r="AS228" i="51"/>
  <c r="AR228" i="51"/>
  <c r="AQ228" i="51"/>
  <c r="AP228" i="51"/>
  <c r="CK226" i="51"/>
  <c r="CF226" i="51"/>
  <c r="CD226" i="51"/>
  <c r="BZ226" i="51"/>
  <c r="BY226" i="51"/>
  <c r="BU226" i="51"/>
  <c r="BP226" i="51"/>
  <c r="BJ226" i="51"/>
  <c r="CK225" i="51"/>
  <c r="CJ225" i="51"/>
  <c r="CO225" i="51" s="1"/>
  <c r="CI225" i="51"/>
  <c r="CG225" i="51"/>
  <c r="CG226" i="51" s="1"/>
  <c r="CF225" i="51"/>
  <c r="CE225" i="51"/>
  <c r="CD225" i="51"/>
  <c r="CB225" i="51"/>
  <c r="CA225" i="51"/>
  <c r="BZ225" i="51"/>
  <c r="BY225" i="51"/>
  <c r="BW225" i="51"/>
  <c r="BV225" i="51"/>
  <c r="BU225" i="51"/>
  <c r="BT225" i="51"/>
  <c r="BR225" i="51"/>
  <c r="BQ225" i="51"/>
  <c r="BV226" i="51" s="1"/>
  <c r="BP225" i="51"/>
  <c r="BO225" i="51"/>
  <c r="BM225" i="51"/>
  <c r="BL225" i="51"/>
  <c r="BL226" i="51" s="1"/>
  <c r="BK225" i="51"/>
  <c r="BJ225" i="51"/>
  <c r="BH225" i="51"/>
  <c r="BG225" i="51"/>
  <c r="BF225" i="51"/>
  <c r="BE225" i="51"/>
  <c r="CJ223" i="51"/>
  <c r="CE223" i="51"/>
  <c r="BT223" i="51"/>
  <c r="BO223" i="51"/>
  <c r="BJ223" i="51"/>
  <c r="BC223" i="51"/>
  <c r="CO222" i="51"/>
  <c r="CK222" i="51"/>
  <c r="CJ222" i="51"/>
  <c r="CI222" i="51"/>
  <c r="CG222" i="51"/>
  <c r="CF222" i="51"/>
  <c r="CF223" i="51" s="1"/>
  <c r="CE222" i="51"/>
  <c r="CD222" i="51"/>
  <c r="CB222" i="51"/>
  <c r="CA222" i="51"/>
  <c r="BZ222" i="51"/>
  <c r="BY222" i="51"/>
  <c r="BW222" i="51"/>
  <c r="BV222" i="51"/>
  <c r="BU222" i="51"/>
  <c r="BT222" i="51"/>
  <c r="BR222" i="51"/>
  <c r="BQ222" i="51"/>
  <c r="BP222" i="51"/>
  <c r="BO222" i="51"/>
  <c r="BM222" i="51"/>
  <c r="BL222" i="51"/>
  <c r="BK222" i="51"/>
  <c r="BJ222" i="51"/>
  <c r="BH222" i="51"/>
  <c r="BG222" i="51"/>
  <c r="BF222" i="51"/>
  <c r="BE222" i="51"/>
  <c r="BC222" i="51"/>
  <c r="BB222" i="51"/>
  <c r="BA222" i="51"/>
  <c r="AZ222" i="51"/>
  <c r="AX222" i="51"/>
  <c r="AW222" i="51"/>
  <c r="AV222" i="51"/>
  <c r="AU222" i="51"/>
  <c r="AS222" i="51"/>
  <c r="AX223" i="51" s="1"/>
  <c r="AR222" i="51"/>
  <c r="AQ222" i="51"/>
  <c r="AP222" i="51"/>
  <c r="AU223" i="51" s="1"/>
  <c r="AJ219" i="51"/>
  <c r="AI219" i="51"/>
  <c r="AH219" i="51"/>
  <c r="AG219" i="51"/>
  <c r="AF219" i="51"/>
  <c r="AE219" i="51"/>
  <c r="AD219" i="51"/>
  <c r="AC219" i="51"/>
  <c r="AB219" i="51"/>
  <c r="AA219" i="51"/>
  <c r="Z219" i="51"/>
  <c r="Y219" i="51"/>
  <c r="X219" i="51"/>
  <c r="W219" i="51"/>
  <c r="V219" i="51"/>
  <c r="U219" i="51"/>
  <c r="T219" i="51"/>
  <c r="S219" i="51"/>
  <c r="R219" i="51"/>
  <c r="Q219" i="51"/>
  <c r="P219" i="51"/>
  <c r="O219" i="51"/>
  <c r="N219" i="51"/>
  <c r="M219" i="51"/>
  <c r="L219" i="51"/>
  <c r="K219" i="51"/>
  <c r="J219" i="51"/>
  <c r="I219" i="51"/>
  <c r="H219" i="51"/>
  <c r="G219" i="51"/>
  <c r="F219" i="51"/>
  <c r="E219" i="51"/>
  <c r="D219" i="51"/>
  <c r="C219" i="51"/>
  <c r="B219" i="51"/>
  <c r="CF216" i="51"/>
  <c r="CE216" i="51"/>
  <c r="CD216" i="51"/>
  <c r="CC216" i="51"/>
  <c r="CB216" i="51"/>
  <c r="CA216" i="51"/>
  <c r="BZ216" i="51"/>
  <c r="BY216" i="51"/>
  <c r="BX216" i="51"/>
  <c r="BW216" i="51"/>
  <c r="BV216" i="51"/>
  <c r="BU216" i="51"/>
  <c r="BT216" i="51"/>
  <c r="BS216" i="51"/>
  <c r="BR216" i="51"/>
  <c r="BQ216" i="51"/>
  <c r="BP216" i="51"/>
  <c r="BO216" i="51"/>
  <c r="BN216" i="51"/>
  <c r="BM216" i="51"/>
  <c r="BL216" i="51"/>
  <c r="BK216" i="51"/>
  <c r="BJ216" i="51"/>
  <c r="BI216" i="51"/>
  <c r="BH216" i="51"/>
  <c r="BG216" i="51"/>
  <c r="BF216" i="51"/>
  <c r="BE216" i="51"/>
  <c r="BD216" i="51"/>
  <c r="BC216" i="51"/>
  <c r="BB216" i="51"/>
  <c r="BA216" i="51"/>
  <c r="AZ216" i="51"/>
  <c r="AY216" i="51"/>
  <c r="AX216" i="51"/>
  <c r="AW216" i="51"/>
  <c r="AV216" i="51"/>
  <c r="AU216" i="51"/>
  <c r="AT216" i="51"/>
  <c r="AS216" i="51"/>
  <c r="AR216" i="51"/>
  <c r="AQ216" i="51"/>
  <c r="AP216" i="51"/>
  <c r="AO216" i="51"/>
  <c r="AN216" i="51"/>
  <c r="AM216" i="51"/>
  <c r="AL216" i="51"/>
  <c r="AK216" i="51"/>
  <c r="AJ216" i="51"/>
  <c r="AI216" i="51"/>
  <c r="AH216" i="51"/>
  <c r="AG216" i="51"/>
  <c r="AF216" i="51"/>
  <c r="AE216" i="51"/>
  <c r="AD216" i="51"/>
  <c r="AC216" i="51"/>
  <c r="AB216" i="51"/>
  <c r="AA216" i="51"/>
  <c r="Z216" i="51"/>
  <c r="Y216" i="51"/>
  <c r="X216" i="51"/>
  <c r="W216" i="51"/>
  <c r="V216" i="51"/>
  <c r="U216" i="51"/>
  <c r="T216" i="51"/>
  <c r="S216" i="51"/>
  <c r="R216" i="51"/>
  <c r="Q216" i="51"/>
  <c r="CF195" i="51"/>
  <c r="CE195" i="51"/>
  <c r="CD195" i="51"/>
  <c r="CC195" i="51"/>
  <c r="CB195" i="51"/>
  <c r="CA195" i="51"/>
  <c r="BZ195" i="51"/>
  <c r="BY195" i="51"/>
  <c r="BX195" i="51"/>
  <c r="BW195" i="51"/>
  <c r="BV195" i="51"/>
  <c r="BU195" i="51"/>
  <c r="BT195" i="51"/>
  <c r="BS195" i="51"/>
  <c r="BR195" i="51"/>
  <c r="BQ195" i="51"/>
  <c r="BP195" i="51"/>
  <c r="BO195" i="51"/>
  <c r="BN195" i="51"/>
  <c r="BM195" i="51"/>
  <c r="BL195" i="51"/>
  <c r="BK195" i="51"/>
  <c r="BJ195" i="51"/>
  <c r="BI195" i="51"/>
  <c r="BH195" i="51"/>
  <c r="BG195" i="51"/>
  <c r="BF195" i="51"/>
  <c r="BE195" i="51"/>
  <c r="BD195" i="51"/>
  <c r="BC195" i="51"/>
  <c r="BB195" i="51"/>
  <c r="BA195" i="51"/>
  <c r="AZ195" i="51"/>
  <c r="AY195" i="51"/>
  <c r="AX195" i="51"/>
  <c r="AW195" i="51"/>
  <c r="AV195" i="51"/>
  <c r="AU195" i="51"/>
  <c r="AT195" i="51"/>
  <c r="AS195" i="51"/>
  <c r="AR195" i="51"/>
  <c r="AQ195" i="51"/>
  <c r="AP195" i="51"/>
  <c r="AO195" i="51"/>
  <c r="AN195" i="51"/>
  <c r="AM195" i="51"/>
  <c r="AL195" i="51"/>
  <c r="AK195" i="51"/>
  <c r="AJ195" i="51"/>
  <c r="AI195" i="51"/>
  <c r="AH195" i="51"/>
  <c r="AG195" i="51"/>
  <c r="AF195" i="51"/>
  <c r="AE195" i="51"/>
  <c r="AD195" i="51"/>
  <c r="AC195" i="51"/>
  <c r="AB195" i="51"/>
  <c r="AA195" i="51"/>
  <c r="Z195" i="51"/>
  <c r="Y195" i="51"/>
  <c r="X195" i="51"/>
  <c r="W195" i="51"/>
  <c r="V195" i="51"/>
  <c r="U195" i="51"/>
  <c r="T195" i="51"/>
  <c r="S195" i="51"/>
  <c r="R195" i="51"/>
  <c r="Q195" i="51"/>
  <c r="CF194" i="51"/>
  <c r="CE194" i="51"/>
  <c r="CD194" i="51"/>
  <c r="CB194" i="51"/>
  <c r="CA194" i="51"/>
  <c r="BZ194" i="51"/>
  <c r="BY194" i="51"/>
  <c r="BW194" i="51"/>
  <c r="BV194" i="51"/>
  <c r="BU194" i="51"/>
  <c r="BT194" i="51"/>
  <c r="BR194" i="51"/>
  <c r="BQ194" i="51"/>
  <c r="BP194" i="51"/>
  <c r="BO194" i="51"/>
  <c r="BM194" i="51"/>
  <c r="BL194" i="51"/>
  <c r="BK194" i="51"/>
  <c r="BJ194" i="51"/>
  <c r="BH194" i="51"/>
  <c r="BG194" i="51"/>
  <c r="BF194" i="51"/>
  <c r="BE194" i="51"/>
  <c r="BC194" i="51"/>
  <c r="BB194" i="51"/>
  <c r="BA194" i="51"/>
  <c r="AZ194" i="51"/>
  <c r="AX194" i="51"/>
  <c r="AW194" i="51"/>
  <c r="AV194" i="51"/>
  <c r="AU194" i="51"/>
  <c r="AS194" i="51"/>
  <c r="AR194" i="51"/>
  <c r="AQ194" i="51"/>
  <c r="AP194" i="51"/>
  <c r="AN194" i="51"/>
  <c r="AM194" i="51"/>
  <c r="AL194" i="51"/>
  <c r="AK194" i="51"/>
  <c r="AI194" i="51"/>
  <c r="AH194" i="51"/>
  <c r="AG194" i="51"/>
  <c r="AF194" i="51"/>
  <c r="AD194" i="51"/>
  <c r="AC194" i="51"/>
  <c r="AB194" i="51"/>
  <c r="AA194" i="51"/>
  <c r="Y194" i="51"/>
  <c r="X194" i="51"/>
  <c r="W194" i="51"/>
  <c r="V194" i="51"/>
  <c r="T194" i="51"/>
  <c r="S194" i="51"/>
  <c r="R194" i="51"/>
  <c r="Q194" i="51"/>
  <c r="CC192" i="51"/>
  <c r="CC189" i="51"/>
  <c r="CC186" i="51"/>
  <c r="CC183" i="51"/>
  <c r="CC180" i="51"/>
  <c r="CC177" i="51"/>
  <c r="CC174" i="51"/>
  <c r="CC171" i="51"/>
  <c r="BX192" i="51"/>
  <c r="BX189" i="51"/>
  <c r="BX186" i="51"/>
  <c r="BX183" i="51"/>
  <c r="BX180" i="51"/>
  <c r="BX177" i="51"/>
  <c r="BX174" i="51"/>
  <c r="BX171" i="51"/>
  <c r="BS192" i="51"/>
  <c r="BS189" i="51"/>
  <c r="BS186" i="51"/>
  <c r="BS183" i="51"/>
  <c r="BS180" i="51"/>
  <c r="BS177" i="51"/>
  <c r="BS174" i="51"/>
  <c r="BS171" i="51"/>
  <c r="BN192" i="51"/>
  <c r="BN189" i="51"/>
  <c r="BN186" i="51"/>
  <c r="BN183" i="51"/>
  <c r="BN180" i="51"/>
  <c r="BN177" i="51"/>
  <c r="BI192" i="51"/>
  <c r="BI189" i="51"/>
  <c r="BI186" i="51"/>
  <c r="BI183" i="51"/>
  <c r="BI180" i="51"/>
  <c r="BD192" i="51"/>
  <c r="BD189" i="51"/>
  <c r="BD186" i="51"/>
  <c r="BD183" i="51"/>
  <c r="BD180" i="51"/>
  <c r="AY192" i="51"/>
  <c r="AY189" i="51"/>
  <c r="AY186" i="51"/>
  <c r="AY183" i="51"/>
  <c r="AY180" i="51"/>
  <c r="AT192" i="51"/>
  <c r="AT189" i="51"/>
  <c r="AT186" i="51"/>
  <c r="AT183" i="51"/>
  <c r="AT180" i="51"/>
  <c r="AO192" i="51"/>
  <c r="AO189" i="51"/>
  <c r="AO186" i="51"/>
  <c r="AO183" i="51"/>
  <c r="AO180" i="51"/>
  <c r="AJ192" i="51"/>
  <c r="AJ189" i="51"/>
  <c r="AJ186" i="51"/>
  <c r="AJ183" i="51"/>
  <c r="AJ180" i="51"/>
  <c r="AE192" i="51"/>
  <c r="AE189" i="51"/>
  <c r="AE186" i="51"/>
  <c r="AE183" i="51"/>
  <c r="AE180" i="51"/>
  <c r="Z192" i="51"/>
  <c r="Z189" i="51"/>
  <c r="Z186" i="51"/>
  <c r="Z183" i="51"/>
  <c r="Z180" i="51"/>
  <c r="U192" i="51"/>
  <c r="U189" i="51"/>
  <c r="U186" i="51"/>
  <c r="U183" i="51"/>
  <c r="U180" i="51"/>
  <c r="CF192" i="51"/>
  <c r="CE192" i="51"/>
  <c r="CD192" i="51"/>
  <c r="CF191" i="51"/>
  <c r="CE191" i="51"/>
  <c r="CD191" i="51"/>
  <c r="CB192" i="51"/>
  <c r="CA192" i="51"/>
  <c r="BZ192" i="51"/>
  <c r="BY192" i="51"/>
  <c r="CB191" i="51"/>
  <c r="CA191" i="51"/>
  <c r="BZ191" i="51"/>
  <c r="BY191" i="51"/>
  <c r="BW192" i="51"/>
  <c r="BV192" i="51"/>
  <c r="BU192" i="51"/>
  <c r="BT192" i="51"/>
  <c r="BW191" i="51"/>
  <c r="BV191" i="51"/>
  <c r="BU191" i="51"/>
  <c r="BT191" i="51"/>
  <c r="BR192" i="51"/>
  <c r="BQ192" i="51"/>
  <c r="BP192" i="51"/>
  <c r="BO192" i="51"/>
  <c r="BR191" i="51"/>
  <c r="BQ191" i="51"/>
  <c r="BP191" i="51"/>
  <c r="BO191" i="51"/>
  <c r="BM192" i="51"/>
  <c r="BL192" i="51"/>
  <c r="BK192" i="51"/>
  <c r="BJ192" i="51"/>
  <c r="BM191" i="51"/>
  <c r="BL191" i="51"/>
  <c r="BK191" i="51"/>
  <c r="BJ191" i="51"/>
  <c r="BH192" i="51"/>
  <c r="BG192" i="51"/>
  <c r="BF192" i="51"/>
  <c r="BE192" i="51"/>
  <c r="BH191" i="51"/>
  <c r="BG191" i="51"/>
  <c r="BF191" i="51"/>
  <c r="BE191" i="51"/>
  <c r="BC192" i="51"/>
  <c r="BB192" i="51"/>
  <c r="BA192" i="51"/>
  <c r="AZ192" i="51"/>
  <c r="BC191" i="51"/>
  <c r="BB191" i="51"/>
  <c r="BA191" i="51"/>
  <c r="AZ191" i="51"/>
  <c r="AX192" i="51"/>
  <c r="AW192" i="51"/>
  <c r="AV192" i="51"/>
  <c r="AU192" i="51"/>
  <c r="AX191" i="51"/>
  <c r="AW191" i="51"/>
  <c r="AV191" i="51"/>
  <c r="AU191" i="51"/>
  <c r="AS192" i="51"/>
  <c r="AR192" i="51"/>
  <c r="AQ192" i="51"/>
  <c r="AP192" i="51"/>
  <c r="AS191" i="51"/>
  <c r="AR191" i="51"/>
  <c r="AQ191" i="51"/>
  <c r="AP191" i="51"/>
  <c r="AN192" i="51"/>
  <c r="AM192" i="51"/>
  <c r="AL192" i="51"/>
  <c r="AK192" i="51"/>
  <c r="AN191" i="51"/>
  <c r="AM191" i="51"/>
  <c r="AL191" i="51"/>
  <c r="AK191" i="51"/>
  <c r="AI192" i="51"/>
  <c r="AH192" i="51"/>
  <c r="AG192" i="51"/>
  <c r="AF192" i="51"/>
  <c r="AI191" i="51"/>
  <c r="AH191" i="51"/>
  <c r="AG191" i="51"/>
  <c r="AF191" i="51"/>
  <c r="AD192" i="51"/>
  <c r="AC192" i="51"/>
  <c r="AB192" i="51"/>
  <c r="AA192" i="51"/>
  <c r="AD191" i="51"/>
  <c r="AC191" i="51"/>
  <c r="AB191" i="51"/>
  <c r="AA191" i="51"/>
  <c r="Y192" i="51"/>
  <c r="X192" i="51"/>
  <c r="W192" i="51"/>
  <c r="V192" i="51"/>
  <c r="Y191" i="51"/>
  <c r="X191" i="51"/>
  <c r="W191" i="51"/>
  <c r="V191" i="51"/>
  <c r="T192" i="51"/>
  <c r="S192" i="51"/>
  <c r="R192" i="51"/>
  <c r="Q192" i="51"/>
  <c r="T191" i="51"/>
  <c r="S191" i="51"/>
  <c r="R191" i="51"/>
  <c r="Q191" i="51"/>
  <c r="CF189" i="51"/>
  <c r="CE189" i="51"/>
  <c r="CD189" i="51"/>
  <c r="CF188" i="51"/>
  <c r="CE188" i="51"/>
  <c r="CD188" i="51"/>
  <c r="CB189" i="51"/>
  <c r="CA189" i="51"/>
  <c r="BZ189" i="51"/>
  <c r="BY189" i="51"/>
  <c r="CB188" i="51"/>
  <c r="CA188" i="51"/>
  <c r="BZ188" i="51"/>
  <c r="BY188" i="51"/>
  <c r="BW189" i="51"/>
  <c r="BV189" i="51"/>
  <c r="BU189" i="51"/>
  <c r="BT189" i="51"/>
  <c r="BW188" i="51"/>
  <c r="BV188" i="51"/>
  <c r="BU188" i="51"/>
  <c r="BT188" i="51"/>
  <c r="BR189" i="51"/>
  <c r="BQ189" i="51"/>
  <c r="BP189" i="51"/>
  <c r="BO189" i="51"/>
  <c r="BR188" i="51"/>
  <c r="BQ188" i="51"/>
  <c r="BP188" i="51"/>
  <c r="BO188" i="51"/>
  <c r="BM189" i="51"/>
  <c r="BL189" i="51"/>
  <c r="BK189" i="51"/>
  <c r="BJ189" i="51"/>
  <c r="BM188" i="51"/>
  <c r="BL188" i="51"/>
  <c r="BK188" i="51"/>
  <c r="BJ188" i="51"/>
  <c r="BH189" i="51"/>
  <c r="BG189" i="51"/>
  <c r="BF189" i="51"/>
  <c r="BE189" i="51"/>
  <c r="BH188" i="51"/>
  <c r="BG188" i="51"/>
  <c r="BF188" i="51"/>
  <c r="BE188" i="51"/>
  <c r="BC189" i="51"/>
  <c r="BB189" i="51"/>
  <c r="BA189" i="51"/>
  <c r="AZ189" i="51"/>
  <c r="BC188" i="51"/>
  <c r="BB188" i="51"/>
  <c r="BA188" i="51"/>
  <c r="AZ188" i="51"/>
  <c r="AX189" i="51"/>
  <c r="AW189" i="51"/>
  <c r="AV189" i="51"/>
  <c r="AU189" i="51"/>
  <c r="AX188" i="51"/>
  <c r="AW188" i="51"/>
  <c r="AV188" i="51"/>
  <c r="AU188" i="51"/>
  <c r="AS189" i="51"/>
  <c r="AR189" i="51"/>
  <c r="AQ189" i="51"/>
  <c r="AP189" i="51"/>
  <c r="AS188" i="51"/>
  <c r="AR188" i="51"/>
  <c r="AQ188" i="51"/>
  <c r="AP188" i="51"/>
  <c r="AN189" i="51"/>
  <c r="AM189" i="51"/>
  <c r="AL189" i="51"/>
  <c r="AK189" i="51"/>
  <c r="AN188" i="51"/>
  <c r="AM188" i="51"/>
  <c r="AL188" i="51"/>
  <c r="AK188" i="51"/>
  <c r="AI189" i="51"/>
  <c r="AH189" i="51"/>
  <c r="AG189" i="51"/>
  <c r="AF189" i="51"/>
  <c r="AI188" i="51"/>
  <c r="AH188" i="51"/>
  <c r="AG188" i="51"/>
  <c r="AF188" i="51"/>
  <c r="AD189" i="51"/>
  <c r="AC189" i="51"/>
  <c r="AB189" i="51"/>
  <c r="AA189" i="51"/>
  <c r="AD188" i="51"/>
  <c r="AC188" i="51"/>
  <c r="AB188" i="51"/>
  <c r="AA188" i="51"/>
  <c r="Y189" i="51"/>
  <c r="X189" i="51"/>
  <c r="W189" i="51"/>
  <c r="V189" i="51"/>
  <c r="Y188" i="51"/>
  <c r="X188" i="51"/>
  <c r="W188" i="51"/>
  <c r="V188" i="51"/>
  <c r="T189" i="51"/>
  <c r="S189" i="51"/>
  <c r="R189" i="51"/>
  <c r="Q189" i="51"/>
  <c r="T188" i="51"/>
  <c r="S188" i="51"/>
  <c r="R188" i="51"/>
  <c r="Q188" i="51"/>
  <c r="O188" i="51"/>
  <c r="N188" i="51"/>
  <c r="M188" i="51"/>
  <c r="L188" i="51"/>
  <c r="J188" i="51"/>
  <c r="I188" i="51"/>
  <c r="H188" i="51"/>
  <c r="G188" i="51"/>
  <c r="CF186" i="51"/>
  <c r="CE186" i="51"/>
  <c r="CD186" i="51"/>
  <c r="CF185" i="51"/>
  <c r="CE185" i="51"/>
  <c r="CD185" i="51"/>
  <c r="CB186" i="51"/>
  <c r="CA186" i="51"/>
  <c r="BZ186" i="51"/>
  <c r="BY186" i="51"/>
  <c r="CB185" i="51"/>
  <c r="CA185" i="51"/>
  <c r="BZ185" i="51"/>
  <c r="BY185" i="51"/>
  <c r="BW186" i="51"/>
  <c r="BV186" i="51"/>
  <c r="BU186" i="51"/>
  <c r="BT186" i="51"/>
  <c r="BW185" i="51"/>
  <c r="BV185" i="51"/>
  <c r="BU185" i="51"/>
  <c r="BT185" i="51"/>
  <c r="BR186" i="51"/>
  <c r="BQ186" i="51"/>
  <c r="BP186" i="51"/>
  <c r="BO186" i="51"/>
  <c r="BR185" i="51"/>
  <c r="BQ185" i="51"/>
  <c r="BP185" i="51"/>
  <c r="BO185" i="51"/>
  <c r="BM186" i="51"/>
  <c r="BL186" i="51"/>
  <c r="BK186" i="51"/>
  <c r="BJ186" i="51"/>
  <c r="BM185" i="51"/>
  <c r="BL185" i="51"/>
  <c r="BK185" i="51"/>
  <c r="BJ185" i="51"/>
  <c r="BH186" i="51"/>
  <c r="BG186" i="51"/>
  <c r="BF186" i="51"/>
  <c r="BE186" i="51"/>
  <c r="BH185" i="51"/>
  <c r="BG185" i="51"/>
  <c r="BF185" i="51"/>
  <c r="BE185" i="51"/>
  <c r="BC186" i="51"/>
  <c r="BB186" i="51"/>
  <c r="BA186" i="51"/>
  <c r="AZ186" i="51"/>
  <c r="BC185" i="51"/>
  <c r="BB185" i="51"/>
  <c r="BA185" i="51"/>
  <c r="AZ185" i="51"/>
  <c r="AX186" i="51"/>
  <c r="AW186" i="51"/>
  <c r="AV186" i="51"/>
  <c r="AU186" i="51"/>
  <c r="AX185" i="51"/>
  <c r="AW185" i="51"/>
  <c r="AV185" i="51"/>
  <c r="AU185" i="51"/>
  <c r="AS186" i="51"/>
  <c r="AR186" i="51"/>
  <c r="AQ186" i="51"/>
  <c r="AP186" i="51"/>
  <c r="AS185" i="51"/>
  <c r="AR185" i="51"/>
  <c r="AQ185" i="51"/>
  <c r="AP185" i="51"/>
  <c r="AN186" i="51"/>
  <c r="AM186" i="51"/>
  <c r="AL186" i="51"/>
  <c r="AK186" i="51"/>
  <c r="AN185" i="51"/>
  <c r="AM185" i="51"/>
  <c r="AL185" i="51"/>
  <c r="AK185" i="51"/>
  <c r="AI186" i="51"/>
  <c r="AH186" i="51"/>
  <c r="AG186" i="51"/>
  <c r="AF186" i="51"/>
  <c r="AI185" i="51"/>
  <c r="AH185" i="51"/>
  <c r="AG185" i="51"/>
  <c r="AF185" i="51"/>
  <c r="AD186" i="51"/>
  <c r="AC186" i="51"/>
  <c r="AB186" i="51"/>
  <c r="AA186" i="51"/>
  <c r="AD185" i="51"/>
  <c r="AC185" i="51"/>
  <c r="AB185" i="51"/>
  <c r="AA185" i="51"/>
  <c r="Y186" i="51"/>
  <c r="X186" i="51"/>
  <c r="W186" i="51"/>
  <c r="V186" i="51"/>
  <c r="Y185" i="51"/>
  <c r="X185" i="51"/>
  <c r="W185" i="51"/>
  <c r="V185" i="51"/>
  <c r="T186" i="51"/>
  <c r="S186" i="51"/>
  <c r="R186" i="51"/>
  <c r="Q186" i="51"/>
  <c r="T185" i="51"/>
  <c r="S185" i="51"/>
  <c r="R185" i="51"/>
  <c r="Q185" i="51"/>
  <c r="O185" i="51"/>
  <c r="N185" i="51"/>
  <c r="M185" i="51"/>
  <c r="L185" i="51"/>
  <c r="J185" i="51"/>
  <c r="I185" i="51"/>
  <c r="H185" i="51"/>
  <c r="G185" i="51"/>
  <c r="CF183" i="51"/>
  <c r="CE183" i="51"/>
  <c r="CD183" i="51"/>
  <c r="CF182" i="51"/>
  <c r="CE182" i="51"/>
  <c r="CD182" i="51"/>
  <c r="CB183" i="51"/>
  <c r="CA183" i="51"/>
  <c r="BZ183" i="51"/>
  <c r="BY183" i="51"/>
  <c r="CB182" i="51"/>
  <c r="CA182" i="51"/>
  <c r="BZ182" i="51"/>
  <c r="BY182" i="51"/>
  <c r="BW183" i="51"/>
  <c r="BV183" i="51"/>
  <c r="BU183" i="51"/>
  <c r="BT183" i="51"/>
  <c r="BW182" i="51"/>
  <c r="BV182" i="51"/>
  <c r="BU182" i="51"/>
  <c r="BT182" i="51"/>
  <c r="BR183" i="51"/>
  <c r="BQ183" i="51"/>
  <c r="BP183" i="51"/>
  <c r="BO183" i="51"/>
  <c r="BR182" i="51"/>
  <c r="BQ182" i="51"/>
  <c r="BP182" i="51"/>
  <c r="BO182" i="51"/>
  <c r="BM183" i="51"/>
  <c r="BL183" i="51"/>
  <c r="BK183" i="51"/>
  <c r="BJ183" i="51"/>
  <c r="BM182" i="51"/>
  <c r="BL182" i="51"/>
  <c r="BK182" i="51"/>
  <c r="BJ182" i="51"/>
  <c r="BH183" i="51"/>
  <c r="BG183" i="51"/>
  <c r="BF183" i="51"/>
  <c r="BE183" i="51"/>
  <c r="BH182" i="51"/>
  <c r="BG182" i="51"/>
  <c r="BF182" i="51"/>
  <c r="BE182" i="51"/>
  <c r="BC183" i="51"/>
  <c r="BB183" i="51"/>
  <c r="BA183" i="51"/>
  <c r="AZ183" i="51"/>
  <c r="BC182" i="51"/>
  <c r="BB182" i="51"/>
  <c r="BA182" i="51"/>
  <c r="AZ182" i="51"/>
  <c r="AX183" i="51"/>
  <c r="AW183" i="51"/>
  <c r="AV183" i="51"/>
  <c r="AU183" i="51"/>
  <c r="AX182" i="51"/>
  <c r="AW182" i="51"/>
  <c r="AV182" i="51"/>
  <c r="AU182" i="51"/>
  <c r="AS183" i="51"/>
  <c r="AR183" i="51"/>
  <c r="AQ183" i="51"/>
  <c r="AP183" i="51"/>
  <c r="AS182" i="51"/>
  <c r="AR182" i="51"/>
  <c r="AQ182" i="51"/>
  <c r="AP182" i="51"/>
  <c r="AN183" i="51"/>
  <c r="AM183" i="51"/>
  <c r="AL183" i="51"/>
  <c r="AK183" i="51"/>
  <c r="AN182" i="51"/>
  <c r="AM182" i="51"/>
  <c r="AL182" i="51"/>
  <c r="AK182" i="51"/>
  <c r="AI183" i="51"/>
  <c r="AH183" i="51"/>
  <c r="AG183" i="51"/>
  <c r="AF183" i="51"/>
  <c r="AI182" i="51"/>
  <c r="AH182" i="51"/>
  <c r="AG182" i="51"/>
  <c r="AF182" i="51"/>
  <c r="AD183" i="51"/>
  <c r="AC183" i="51"/>
  <c r="AB183" i="51"/>
  <c r="AA183" i="51"/>
  <c r="AD182" i="51"/>
  <c r="AC182" i="51"/>
  <c r="AB182" i="51"/>
  <c r="AA182" i="51"/>
  <c r="Y183" i="51"/>
  <c r="X183" i="51"/>
  <c r="W183" i="51"/>
  <c r="V183" i="51"/>
  <c r="Y182" i="51"/>
  <c r="X182" i="51"/>
  <c r="W182" i="51"/>
  <c r="V182" i="51"/>
  <c r="T183" i="51"/>
  <c r="S183" i="51"/>
  <c r="R183" i="51"/>
  <c r="Q183" i="51"/>
  <c r="T182" i="51"/>
  <c r="S182" i="51"/>
  <c r="R182" i="51"/>
  <c r="Q182" i="51"/>
  <c r="O182" i="51"/>
  <c r="N182" i="51"/>
  <c r="M182" i="51"/>
  <c r="L182" i="51"/>
  <c r="J182" i="51"/>
  <c r="I182" i="51"/>
  <c r="H182" i="51"/>
  <c r="G182" i="51"/>
  <c r="CF180" i="51"/>
  <c r="CE180" i="51"/>
  <c r="CD180" i="51"/>
  <c r="CF179" i="51"/>
  <c r="CE179" i="51"/>
  <c r="CD179" i="51"/>
  <c r="CB180" i="51"/>
  <c r="CA180" i="51"/>
  <c r="BZ180" i="51"/>
  <c r="BY180" i="51"/>
  <c r="CB179" i="51"/>
  <c r="CA179" i="51"/>
  <c r="BZ179" i="51"/>
  <c r="BY179" i="51"/>
  <c r="BW180" i="51"/>
  <c r="BV180" i="51"/>
  <c r="BU180" i="51"/>
  <c r="BT180" i="51"/>
  <c r="BW179" i="51"/>
  <c r="BV179" i="51"/>
  <c r="BU179" i="51"/>
  <c r="BT179" i="51"/>
  <c r="BR180" i="51"/>
  <c r="BQ180" i="51"/>
  <c r="BP180" i="51"/>
  <c r="BO180" i="51"/>
  <c r="BR179" i="51"/>
  <c r="BQ179" i="51"/>
  <c r="BP179" i="51"/>
  <c r="BO179" i="51"/>
  <c r="BM180" i="51"/>
  <c r="BL180" i="51"/>
  <c r="BK180" i="51"/>
  <c r="BJ180" i="51"/>
  <c r="BM179" i="51"/>
  <c r="BL179" i="51"/>
  <c r="BK179" i="51"/>
  <c r="BJ179" i="51"/>
  <c r="BH180" i="51"/>
  <c r="BG180" i="51"/>
  <c r="BF180" i="51"/>
  <c r="BE180" i="51"/>
  <c r="BH179" i="51"/>
  <c r="BG179" i="51"/>
  <c r="BF179" i="51"/>
  <c r="BE179" i="51"/>
  <c r="BC180" i="51"/>
  <c r="BB180" i="51"/>
  <c r="BA180" i="51"/>
  <c r="AZ180" i="51"/>
  <c r="BC179" i="51"/>
  <c r="BB179" i="51"/>
  <c r="BA179" i="51"/>
  <c r="AZ179" i="51"/>
  <c r="AX180" i="51"/>
  <c r="AW180" i="51"/>
  <c r="AV180" i="51"/>
  <c r="AU180" i="51"/>
  <c r="AX179" i="51"/>
  <c r="AW179" i="51"/>
  <c r="AV179" i="51"/>
  <c r="AU179" i="51"/>
  <c r="AS180" i="51"/>
  <c r="AR180" i="51"/>
  <c r="AQ180" i="51"/>
  <c r="AP180" i="51"/>
  <c r="AS179" i="51"/>
  <c r="AR179" i="51"/>
  <c r="AQ179" i="51"/>
  <c r="AP179" i="51"/>
  <c r="AN180" i="51"/>
  <c r="AM180" i="51"/>
  <c r="AL180" i="51"/>
  <c r="AK180" i="51"/>
  <c r="AN179" i="51"/>
  <c r="AM179" i="51"/>
  <c r="AL179" i="51"/>
  <c r="AK179" i="51"/>
  <c r="AI180" i="51"/>
  <c r="AH180" i="51"/>
  <c r="AG180" i="51"/>
  <c r="AF180" i="51"/>
  <c r="AI179" i="51"/>
  <c r="AH179" i="51"/>
  <c r="AG179" i="51"/>
  <c r="AF179" i="51"/>
  <c r="AD180" i="51"/>
  <c r="AC180" i="51"/>
  <c r="AB180" i="51"/>
  <c r="AA180" i="51"/>
  <c r="AD179" i="51"/>
  <c r="AC179" i="51"/>
  <c r="AB179" i="51"/>
  <c r="AA179" i="51"/>
  <c r="Y180" i="51"/>
  <c r="X180" i="51"/>
  <c r="W180" i="51"/>
  <c r="V180" i="51"/>
  <c r="Y179" i="51"/>
  <c r="X179" i="51"/>
  <c r="W179" i="51"/>
  <c r="V179" i="51"/>
  <c r="T180" i="51"/>
  <c r="S180" i="51"/>
  <c r="R180" i="51"/>
  <c r="Q180" i="51"/>
  <c r="T179" i="51"/>
  <c r="S179" i="51"/>
  <c r="R179" i="51"/>
  <c r="Q179" i="51"/>
  <c r="O179" i="51"/>
  <c r="N179" i="51"/>
  <c r="M179" i="51"/>
  <c r="L179" i="51"/>
  <c r="BR177" i="51"/>
  <c r="BQ177" i="51"/>
  <c r="BP177" i="51"/>
  <c r="BO177" i="51"/>
  <c r="BM177" i="51"/>
  <c r="BL177" i="51"/>
  <c r="BK177" i="51"/>
  <c r="BJ177" i="51"/>
  <c r="CF177" i="51"/>
  <c r="CE177" i="51"/>
  <c r="CD177" i="51"/>
  <c r="CF176" i="51"/>
  <c r="CE176" i="51"/>
  <c r="CD176" i="51"/>
  <c r="CB177" i="51"/>
  <c r="CA177" i="51"/>
  <c r="BZ177" i="51"/>
  <c r="BY177" i="51"/>
  <c r="CB176" i="51"/>
  <c r="CA176" i="51"/>
  <c r="BZ176" i="51"/>
  <c r="BY176" i="51"/>
  <c r="BW177" i="51"/>
  <c r="BV177" i="51"/>
  <c r="BU177" i="51"/>
  <c r="BT177" i="51"/>
  <c r="BW176" i="51"/>
  <c r="BV176" i="51"/>
  <c r="BU176" i="51"/>
  <c r="BT176" i="51"/>
  <c r="BR176" i="51"/>
  <c r="BR174" i="51"/>
  <c r="BQ174" i="51"/>
  <c r="BP174" i="51"/>
  <c r="BO174" i="51"/>
  <c r="BN174" i="51"/>
  <c r="BM174" i="51"/>
  <c r="BL174" i="51"/>
  <c r="BK174" i="51"/>
  <c r="BJ174" i="51"/>
  <c r="BI174" i="51"/>
  <c r="BH174" i="51"/>
  <c r="BG174" i="51"/>
  <c r="BF174" i="51"/>
  <c r="BE174" i="51"/>
  <c r="BD174" i="51"/>
  <c r="BC174" i="51"/>
  <c r="BB174" i="51"/>
  <c r="BA174" i="51"/>
  <c r="AZ174" i="51"/>
  <c r="AY174" i="51"/>
  <c r="AX174" i="51"/>
  <c r="AW174" i="51"/>
  <c r="AV174" i="51"/>
  <c r="AU174" i="51"/>
  <c r="AT174" i="51"/>
  <c r="AS174" i="51"/>
  <c r="AR174" i="51"/>
  <c r="AQ174" i="51"/>
  <c r="AP174" i="51"/>
  <c r="AO174" i="51"/>
  <c r="AN174" i="51"/>
  <c r="AM174" i="51"/>
  <c r="AL174" i="51"/>
  <c r="AK174" i="51"/>
  <c r="AJ174" i="51"/>
  <c r="AI174" i="51"/>
  <c r="AH174" i="51"/>
  <c r="AG174" i="51"/>
  <c r="AF174" i="51"/>
  <c r="AE174" i="51"/>
  <c r="AD174" i="51"/>
  <c r="AC174" i="51"/>
  <c r="AB174" i="51"/>
  <c r="AA174" i="51"/>
  <c r="Z174" i="51"/>
  <c r="Y174" i="51"/>
  <c r="X174" i="51"/>
  <c r="W174" i="51"/>
  <c r="V174" i="51"/>
  <c r="U174" i="51"/>
  <c r="T174" i="51"/>
  <c r="S174" i="51"/>
  <c r="R174" i="51"/>
  <c r="Q174" i="51"/>
  <c r="CF174" i="51"/>
  <c r="CE174" i="51"/>
  <c r="CD174" i="51"/>
  <c r="CF173" i="51"/>
  <c r="CE173" i="51"/>
  <c r="CD173" i="51"/>
  <c r="CB174" i="51"/>
  <c r="CA174" i="51"/>
  <c r="BZ174" i="51"/>
  <c r="BY174" i="51"/>
  <c r="CB173" i="51"/>
  <c r="CA173" i="51"/>
  <c r="BZ173" i="51"/>
  <c r="BY173" i="51"/>
  <c r="BW174" i="51"/>
  <c r="BV174" i="51"/>
  <c r="BU174" i="51"/>
  <c r="BT174" i="51"/>
  <c r="BW173" i="51"/>
  <c r="BV173" i="51"/>
  <c r="BU173" i="51"/>
  <c r="BT173" i="51"/>
  <c r="BR173" i="51"/>
  <c r="BQ173" i="51"/>
  <c r="BP173" i="51"/>
  <c r="BO173" i="51"/>
  <c r="BM173" i="51"/>
  <c r="BL173" i="51"/>
  <c r="BK173" i="51"/>
  <c r="BJ173" i="51"/>
  <c r="BH173" i="51"/>
  <c r="BG173" i="51"/>
  <c r="BF173" i="51"/>
  <c r="BE173" i="51"/>
  <c r="BC173" i="51"/>
  <c r="BB173" i="51"/>
  <c r="BA173" i="51"/>
  <c r="AZ173" i="51"/>
  <c r="AX173" i="51"/>
  <c r="AW173" i="51"/>
  <c r="AV173" i="51"/>
  <c r="AU173" i="51"/>
  <c r="AS173" i="51"/>
  <c r="AR173" i="51"/>
  <c r="AQ173" i="51"/>
  <c r="AP173" i="51"/>
  <c r="AN173" i="51"/>
  <c r="AM173" i="51"/>
  <c r="AL173" i="51"/>
  <c r="AK173" i="51"/>
  <c r="AI173" i="51"/>
  <c r="AH173" i="51"/>
  <c r="AG173" i="51"/>
  <c r="AF173" i="51"/>
  <c r="AD173" i="51"/>
  <c r="AC173" i="51"/>
  <c r="AB173" i="51"/>
  <c r="AA173" i="51"/>
  <c r="Y173" i="51"/>
  <c r="X173" i="51"/>
  <c r="W173" i="51"/>
  <c r="BN171" i="51"/>
  <c r="BI171" i="51"/>
  <c r="BD171" i="51"/>
  <c r="AY171" i="51"/>
  <c r="AT171" i="51"/>
  <c r="AO171" i="51"/>
  <c r="AJ171" i="51"/>
  <c r="AE171" i="51"/>
  <c r="Z171" i="51"/>
  <c r="U171" i="51"/>
  <c r="CF171" i="51"/>
  <c r="CE171" i="51"/>
  <c r="CD171" i="51"/>
  <c r="CF170" i="51"/>
  <c r="CE170" i="51"/>
  <c r="CD170" i="51"/>
  <c r="CB171" i="51"/>
  <c r="CA171" i="51"/>
  <c r="BZ171" i="51"/>
  <c r="BY171" i="51"/>
  <c r="CB170" i="51"/>
  <c r="CA170" i="51"/>
  <c r="BZ170" i="51"/>
  <c r="BY170" i="51"/>
  <c r="BW171" i="51"/>
  <c r="BV171" i="51"/>
  <c r="BU171" i="51"/>
  <c r="BT171" i="51"/>
  <c r="BW170" i="51"/>
  <c r="BV170" i="51"/>
  <c r="BU170" i="51"/>
  <c r="BT170" i="51"/>
  <c r="BR171" i="51"/>
  <c r="BQ171" i="51"/>
  <c r="BP171" i="51"/>
  <c r="BO171" i="51"/>
  <c r="BR170" i="51"/>
  <c r="BQ170" i="51"/>
  <c r="BP170" i="51"/>
  <c r="BO170" i="51"/>
  <c r="BM171" i="51"/>
  <c r="BL171" i="51"/>
  <c r="BK171" i="51"/>
  <c r="BJ171" i="51"/>
  <c r="BM170" i="51"/>
  <c r="BL170" i="51"/>
  <c r="BK170" i="51"/>
  <c r="BJ170" i="51"/>
  <c r="BH171" i="51"/>
  <c r="BG171" i="51"/>
  <c r="BF171" i="51"/>
  <c r="BE171" i="51"/>
  <c r="BH170" i="51"/>
  <c r="BG170" i="51"/>
  <c r="BF170" i="51"/>
  <c r="BE170" i="51"/>
  <c r="BC171" i="51"/>
  <c r="BB171" i="51"/>
  <c r="BA171" i="51"/>
  <c r="AZ171" i="51"/>
  <c r="BC170" i="51"/>
  <c r="BB170" i="51"/>
  <c r="BA170" i="51"/>
  <c r="AZ170" i="51"/>
  <c r="AX171" i="51"/>
  <c r="AW171" i="51"/>
  <c r="AV171" i="51"/>
  <c r="AU171" i="51"/>
  <c r="AX170" i="51"/>
  <c r="AW170" i="51"/>
  <c r="AV170" i="51"/>
  <c r="AU170" i="51"/>
  <c r="AS171" i="51"/>
  <c r="AR171" i="51"/>
  <c r="AQ171" i="51"/>
  <c r="AP171" i="51"/>
  <c r="AS170" i="51"/>
  <c r="AR170" i="51"/>
  <c r="AQ170" i="51"/>
  <c r="AP170" i="51"/>
  <c r="AN171" i="51"/>
  <c r="AM171" i="51"/>
  <c r="AL171" i="51"/>
  <c r="AK171" i="51"/>
  <c r="AN170" i="51"/>
  <c r="AM170" i="51"/>
  <c r="AL170" i="51"/>
  <c r="AK170" i="51"/>
  <c r="AI171" i="51"/>
  <c r="AH171" i="51"/>
  <c r="AG171" i="51"/>
  <c r="AF171" i="51"/>
  <c r="AI170" i="51"/>
  <c r="AH170" i="51"/>
  <c r="AG170" i="51"/>
  <c r="AF170" i="51"/>
  <c r="AD171" i="51"/>
  <c r="AC171" i="51"/>
  <c r="AB171" i="51"/>
  <c r="AA171" i="51"/>
  <c r="AD170" i="51"/>
  <c r="AC170" i="51"/>
  <c r="AB170" i="51"/>
  <c r="AA170" i="51"/>
  <c r="Y171" i="51"/>
  <c r="X171" i="51"/>
  <c r="W171" i="51"/>
  <c r="V171" i="51"/>
  <c r="Y170" i="51"/>
  <c r="X170" i="51"/>
  <c r="W170" i="51"/>
  <c r="V170" i="51"/>
  <c r="T171" i="51"/>
  <c r="S171" i="51"/>
  <c r="R171" i="51"/>
  <c r="Q171" i="51"/>
  <c r="T170" i="51"/>
  <c r="S170" i="51"/>
  <c r="R170" i="51"/>
  <c r="Q170" i="51"/>
  <c r="O170" i="51"/>
  <c r="N170" i="51"/>
  <c r="M170" i="51"/>
  <c r="L170" i="51"/>
  <c r="J170" i="51"/>
  <c r="I170" i="51"/>
  <c r="H170" i="51"/>
  <c r="G170" i="51"/>
  <c r="CA166" i="51"/>
  <c r="BZ166" i="51"/>
  <c r="BY166" i="51"/>
  <c r="BX166" i="51"/>
  <c r="BW166" i="51"/>
  <c r="BV166" i="51"/>
  <c r="BU166" i="51"/>
  <c r="BT166" i="51"/>
  <c r="BS166" i="51"/>
  <c r="BR166" i="51"/>
  <c r="BQ166" i="51"/>
  <c r="BP166" i="51"/>
  <c r="BO166" i="51"/>
  <c r="BN166" i="51"/>
  <c r="BM166" i="51"/>
  <c r="BL166" i="51"/>
  <c r="BK166" i="51"/>
  <c r="BJ166" i="51"/>
  <c r="BI166" i="51"/>
  <c r="BH166" i="51"/>
  <c r="BG166" i="51"/>
  <c r="BF166" i="51"/>
  <c r="BE166" i="51"/>
  <c r="BD166" i="51"/>
  <c r="BC166" i="51"/>
  <c r="BB166" i="51"/>
  <c r="BA166" i="51"/>
  <c r="AZ166" i="51"/>
  <c r="AY166" i="51"/>
  <c r="AX166" i="51"/>
  <c r="AW166" i="51"/>
  <c r="AV166" i="51"/>
  <c r="AU166" i="51"/>
  <c r="AT166" i="51"/>
  <c r="AS166" i="51"/>
  <c r="AR166" i="51"/>
  <c r="AQ166" i="51"/>
  <c r="AP166" i="51"/>
  <c r="AO166" i="51"/>
  <c r="AN166" i="51"/>
  <c r="AM166" i="51"/>
  <c r="AL166" i="51"/>
  <c r="AK166" i="51"/>
  <c r="AJ166" i="51"/>
  <c r="AI166" i="51"/>
  <c r="AH166" i="51"/>
  <c r="AG166" i="51"/>
  <c r="AF166" i="51"/>
  <c r="AE166" i="51"/>
  <c r="AD166" i="51"/>
  <c r="AC166" i="51"/>
  <c r="AB166" i="51"/>
  <c r="AA166" i="51"/>
  <c r="Z166" i="51"/>
  <c r="Y166" i="51"/>
  <c r="X166" i="51"/>
  <c r="W166" i="51"/>
  <c r="V166" i="51"/>
  <c r="U166" i="51"/>
  <c r="T166" i="51"/>
  <c r="S166" i="51"/>
  <c r="R166" i="51"/>
  <c r="Q166" i="51"/>
  <c r="AH165" i="51"/>
  <c r="V165" i="51"/>
  <c r="CD101" i="51"/>
  <c r="CF99" i="51"/>
  <c r="CB99" i="51"/>
  <c r="CD97" i="51"/>
  <c r="CF95" i="51"/>
  <c r="CB95" i="51"/>
  <c r="CD93" i="51"/>
  <c r="CF91" i="51"/>
  <c r="CB91" i="51"/>
  <c r="CF145" i="51"/>
  <c r="CE145" i="51"/>
  <c r="CD145" i="51"/>
  <c r="CC145" i="51"/>
  <c r="CB145" i="51"/>
  <c r="CA145" i="51"/>
  <c r="BZ145" i="51"/>
  <c r="BY145" i="51"/>
  <c r="BX145" i="51"/>
  <c r="BW145" i="51"/>
  <c r="BV145" i="51"/>
  <c r="BU145" i="51"/>
  <c r="BT145" i="51"/>
  <c r="BS145" i="51"/>
  <c r="BR145" i="51"/>
  <c r="BQ145" i="51"/>
  <c r="BP145" i="51"/>
  <c r="BO145" i="51"/>
  <c r="BN145" i="51"/>
  <c r="BM145" i="51"/>
  <c r="BL145" i="51"/>
  <c r="BK145" i="51"/>
  <c r="BJ145" i="51"/>
  <c r="BI145" i="51"/>
  <c r="BH145" i="51"/>
  <c r="BG145" i="51"/>
  <c r="BF145" i="51"/>
  <c r="BE145" i="51"/>
  <c r="BD145" i="51"/>
  <c r="BC145" i="51"/>
  <c r="BB145" i="51"/>
  <c r="BA145" i="51"/>
  <c r="AZ145" i="51"/>
  <c r="AY145" i="51"/>
  <c r="AX145" i="51"/>
  <c r="AW145" i="51"/>
  <c r="AV145" i="51"/>
  <c r="AU145" i="51"/>
  <c r="AT145" i="51"/>
  <c r="AS145" i="51"/>
  <c r="AR145" i="51"/>
  <c r="AQ145" i="51"/>
  <c r="AP145" i="51"/>
  <c r="AO145" i="51"/>
  <c r="AN145" i="51"/>
  <c r="AM145" i="51"/>
  <c r="AL145" i="51"/>
  <c r="AK145" i="51"/>
  <c r="AJ145" i="51"/>
  <c r="AI145" i="51"/>
  <c r="AH145" i="51"/>
  <c r="AG145" i="51"/>
  <c r="AF145" i="51"/>
  <c r="AE145" i="51"/>
  <c r="AD145" i="51"/>
  <c r="AC145" i="51"/>
  <c r="AB145" i="51"/>
  <c r="AA145" i="51"/>
  <c r="Z145" i="51"/>
  <c r="Y145" i="51"/>
  <c r="X145" i="51"/>
  <c r="W145" i="51"/>
  <c r="V145" i="51"/>
  <c r="U145" i="51"/>
  <c r="T145" i="51"/>
  <c r="S145" i="51"/>
  <c r="R145" i="51"/>
  <c r="Q145" i="51"/>
  <c r="CF144" i="51"/>
  <c r="CE144" i="51"/>
  <c r="CD144" i="51"/>
  <c r="CB144" i="51"/>
  <c r="CA144" i="51"/>
  <c r="BZ144" i="51"/>
  <c r="BY144" i="51"/>
  <c r="BX144" i="51"/>
  <c r="BW144" i="51"/>
  <c r="BV144" i="51"/>
  <c r="BU144" i="51"/>
  <c r="BT144" i="51"/>
  <c r="BR144" i="51"/>
  <c r="BQ144" i="51"/>
  <c r="BP144" i="51"/>
  <c r="BO144" i="51"/>
  <c r="BM144" i="51"/>
  <c r="BL144" i="51"/>
  <c r="BK144" i="51"/>
  <c r="BJ144" i="51"/>
  <c r="BH144" i="51"/>
  <c r="BG144" i="51"/>
  <c r="BF144" i="51"/>
  <c r="BE144" i="51"/>
  <c r="BC144" i="51"/>
  <c r="BB144" i="51"/>
  <c r="BA144" i="51"/>
  <c r="AZ144" i="51"/>
  <c r="AX144" i="51"/>
  <c r="AW144" i="51"/>
  <c r="AV144" i="51"/>
  <c r="AU144" i="51"/>
  <c r="AS144" i="51"/>
  <c r="AR144" i="51"/>
  <c r="AQ144" i="51"/>
  <c r="AP144" i="51"/>
  <c r="AN144" i="51"/>
  <c r="AM144" i="51"/>
  <c r="AL144" i="51"/>
  <c r="AK144" i="51"/>
  <c r="AI144" i="51"/>
  <c r="AH144" i="51"/>
  <c r="AG144" i="51"/>
  <c r="AF144" i="51"/>
  <c r="AD144" i="51"/>
  <c r="AC144" i="51"/>
  <c r="AB144" i="51"/>
  <c r="AA144" i="51"/>
  <c r="Y144" i="51"/>
  <c r="X144" i="51"/>
  <c r="W144" i="51"/>
  <c r="V144" i="51"/>
  <c r="T144" i="51"/>
  <c r="S144" i="51"/>
  <c r="R144" i="51"/>
  <c r="Q144" i="51"/>
  <c r="O144" i="51"/>
  <c r="N144" i="51"/>
  <c r="M144" i="51"/>
  <c r="L144" i="51"/>
  <c r="CC142" i="51"/>
  <c r="CC139" i="51"/>
  <c r="CC136" i="51"/>
  <c r="CC133" i="51"/>
  <c r="CC130" i="51"/>
  <c r="CC127" i="51"/>
  <c r="CC124" i="51"/>
  <c r="CC121" i="51"/>
  <c r="BN142" i="51"/>
  <c r="BN139" i="51"/>
  <c r="BN136" i="51"/>
  <c r="BN133" i="51"/>
  <c r="BN130" i="51"/>
  <c r="BN127" i="51"/>
  <c r="BI142" i="51"/>
  <c r="BI139" i="51"/>
  <c r="BI136" i="51"/>
  <c r="BI133" i="51"/>
  <c r="BI130" i="51"/>
  <c r="BD142" i="51"/>
  <c r="BD139" i="51"/>
  <c r="BD136" i="51"/>
  <c r="BD133" i="51"/>
  <c r="BD130" i="51"/>
  <c r="AY142" i="51"/>
  <c r="AY139" i="51"/>
  <c r="AY136" i="51"/>
  <c r="AY133" i="51"/>
  <c r="AY130" i="51"/>
  <c r="AT142" i="51"/>
  <c r="AT139" i="51"/>
  <c r="AT136" i="51"/>
  <c r="AT133" i="51"/>
  <c r="AT130" i="51"/>
  <c r="AO142" i="51"/>
  <c r="AO139" i="51"/>
  <c r="AO136" i="51"/>
  <c r="AO133" i="51"/>
  <c r="AO130" i="51"/>
  <c r="AJ142" i="51"/>
  <c r="AJ139" i="51"/>
  <c r="AJ136" i="51"/>
  <c r="AJ133" i="51"/>
  <c r="AJ130" i="51"/>
  <c r="AE142" i="51"/>
  <c r="AE139" i="51"/>
  <c r="AE136" i="51"/>
  <c r="AE133" i="51"/>
  <c r="AE130" i="51"/>
  <c r="Z142" i="51"/>
  <c r="Z139" i="51"/>
  <c r="Z136" i="51"/>
  <c r="Z133" i="51"/>
  <c r="Z130" i="51"/>
  <c r="U142" i="51"/>
  <c r="U139" i="51"/>
  <c r="U136" i="51"/>
  <c r="U133" i="51"/>
  <c r="U130" i="51"/>
  <c r="CF142" i="51"/>
  <c r="CE142" i="51"/>
  <c r="CD142" i="51"/>
  <c r="CF141" i="51"/>
  <c r="CE141" i="51"/>
  <c r="CD141" i="51"/>
  <c r="CB142" i="51"/>
  <c r="CA142" i="51"/>
  <c r="BZ142" i="51"/>
  <c r="BY142" i="51"/>
  <c r="BX142" i="51"/>
  <c r="BW142" i="51"/>
  <c r="BV142" i="51"/>
  <c r="BU142" i="51"/>
  <c r="BT142" i="51"/>
  <c r="BS142" i="51"/>
  <c r="BR142" i="51"/>
  <c r="BQ142" i="51"/>
  <c r="BP142" i="51"/>
  <c r="BO142" i="51"/>
  <c r="CB141" i="51"/>
  <c r="CA141" i="51"/>
  <c r="BZ141" i="51"/>
  <c r="BY141" i="51"/>
  <c r="BX141" i="51"/>
  <c r="BW141" i="51"/>
  <c r="BV141" i="51"/>
  <c r="BU141" i="51"/>
  <c r="BT141" i="51"/>
  <c r="BR141" i="51"/>
  <c r="BQ141" i="51"/>
  <c r="BP141" i="51"/>
  <c r="BO141" i="51"/>
  <c r="BM142" i="51"/>
  <c r="BL142" i="51"/>
  <c r="BK142" i="51"/>
  <c r="BJ142" i="51"/>
  <c r="BM141" i="51"/>
  <c r="BL141" i="51"/>
  <c r="BK141" i="51"/>
  <c r="BJ141" i="51"/>
  <c r="BH142" i="51"/>
  <c r="BG142" i="51"/>
  <c r="BF142" i="51"/>
  <c r="BE142" i="51"/>
  <c r="BH141" i="51"/>
  <c r="BG141" i="51"/>
  <c r="BF141" i="51"/>
  <c r="BE141" i="51"/>
  <c r="BC142" i="51"/>
  <c r="BB142" i="51"/>
  <c r="BA142" i="51"/>
  <c r="AZ142" i="51"/>
  <c r="BC141" i="51"/>
  <c r="BB141" i="51"/>
  <c r="BA141" i="51"/>
  <c r="AZ141" i="51"/>
  <c r="AX142" i="51"/>
  <c r="AW142" i="51"/>
  <c r="AV142" i="51"/>
  <c r="AU142" i="51"/>
  <c r="AX141" i="51"/>
  <c r="AW141" i="51"/>
  <c r="AV141" i="51"/>
  <c r="AU141" i="51"/>
  <c r="AS142" i="51"/>
  <c r="AR142" i="51"/>
  <c r="AQ142" i="51"/>
  <c r="AP142" i="51"/>
  <c r="AS141" i="51"/>
  <c r="AR141" i="51"/>
  <c r="AQ141" i="51"/>
  <c r="AP141" i="51"/>
  <c r="AN142" i="51"/>
  <c r="AM142" i="51"/>
  <c r="AL142" i="51"/>
  <c r="AK142" i="51"/>
  <c r="AN141" i="51"/>
  <c r="AM141" i="51"/>
  <c r="AL141" i="51"/>
  <c r="AK141" i="51"/>
  <c r="AI142" i="51"/>
  <c r="AH142" i="51"/>
  <c r="AG142" i="51"/>
  <c r="AF142" i="51"/>
  <c r="AI141" i="51"/>
  <c r="AH141" i="51"/>
  <c r="AG141" i="51"/>
  <c r="AF141" i="51"/>
  <c r="AD142" i="51"/>
  <c r="AC142" i="51"/>
  <c r="AB142" i="51"/>
  <c r="AA142" i="51"/>
  <c r="AD141" i="51"/>
  <c r="AC141" i="51"/>
  <c r="AB141" i="51"/>
  <c r="AA141" i="51"/>
  <c r="Y142" i="51"/>
  <c r="X142" i="51"/>
  <c r="W142" i="51"/>
  <c r="V142" i="51"/>
  <c r="Y141" i="51"/>
  <c r="X141" i="51"/>
  <c r="W141" i="51"/>
  <c r="V141" i="51"/>
  <c r="T142" i="51"/>
  <c r="S142" i="51"/>
  <c r="R142" i="51"/>
  <c r="Q142" i="51"/>
  <c r="T141" i="51"/>
  <c r="S141" i="51"/>
  <c r="R141" i="51"/>
  <c r="Q141" i="51"/>
  <c r="O141" i="51"/>
  <c r="N141" i="51"/>
  <c r="M141" i="51"/>
  <c r="L141" i="51"/>
  <c r="CF139" i="51"/>
  <c r="CE139" i="51"/>
  <c r="CD139" i="51"/>
  <c r="CF138" i="51"/>
  <c r="CE138" i="51"/>
  <c r="CD138" i="51"/>
  <c r="CB139" i="51"/>
  <c r="CA139" i="51"/>
  <c r="BZ139" i="51"/>
  <c r="BY139" i="51"/>
  <c r="BX139" i="51"/>
  <c r="BW139" i="51"/>
  <c r="BV139" i="51"/>
  <c r="BU139" i="51"/>
  <c r="BT139" i="51"/>
  <c r="BS139" i="51"/>
  <c r="BR139" i="51"/>
  <c r="BQ139" i="51"/>
  <c r="BP139" i="51"/>
  <c r="BO139" i="51"/>
  <c r="CB138" i="51"/>
  <c r="CA138" i="51"/>
  <c r="BZ138" i="51"/>
  <c r="BY138" i="51"/>
  <c r="BX138" i="51"/>
  <c r="BW138" i="51"/>
  <c r="BV138" i="51"/>
  <c r="BU138" i="51"/>
  <c r="BT138" i="51"/>
  <c r="BR138" i="51"/>
  <c r="BQ138" i="51"/>
  <c r="BP138" i="51"/>
  <c r="BO138" i="51"/>
  <c r="BM139" i="51"/>
  <c r="BL139" i="51"/>
  <c r="BK139" i="51"/>
  <c r="BJ139" i="51"/>
  <c r="BM138" i="51"/>
  <c r="BL138" i="51"/>
  <c r="BK138" i="51"/>
  <c r="BJ138" i="51"/>
  <c r="BH139" i="51"/>
  <c r="BG139" i="51"/>
  <c r="BF139" i="51"/>
  <c r="BE139" i="51"/>
  <c r="BH138" i="51"/>
  <c r="BG138" i="51"/>
  <c r="BF138" i="51"/>
  <c r="BE138" i="51"/>
  <c r="BC139" i="51"/>
  <c r="BB139" i="51"/>
  <c r="BA139" i="51"/>
  <c r="AZ139" i="51"/>
  <c r="BC138" i="51"/>
  <c r="BB138" i="51"/>
  <c r="BA138" i="51"/>
  <c r="AZ138" i="51"/>
  <c r="AX139" i="51"/>
  <c r="AW139" i="51"/>
  <c r="AV139" i="51"/>
  <c r="AU139" i="51"/>
  <c r="AX138" i="51"/>
  <c r="AW138" i="51"/>
  <c r="AV138" i="51"/>
  <c r="AU138" i="51"/>
  <c r="AS139" i="51"/>
  <c r="AR139" i="51"/>
  <c r="AQ139" i="51"/>
  <c r="AP139" i="51"/>
  <c r="AS138" i="51"/>
  <c r="AR138" i="51"/>
  <c r="AQ138" i="51"/>
  <c r="AP138" i="51"/>
  <c r="AN139" i="51"/>
  <c r="AM139" i="51"/>
  <c r="AL139" i="51"/>
  <c r="AK139" i="51"/>
  <c r="AN138" i="51"/>
  <c r="AM138" i="51"/>
  <c r="AL138" i="51"/>
  <c r="AK138" i="51"/>
  <c r="AI139" i="51"/>
  <c r="AH139" i="51"/>
  <c r="AG139" i="51"/>
  <c r="AF139" i="51"/>
  <c r="AI138" i="51"/>
  <c r="AH138" i="51"/>
  <c r="AG138" i="51"/>
  <c r="AF138" i="51"/>
  <c r="AD139" i="51"/>
  <c r="AC139" i="51"/>
  <c r="AB139" i="51"/>
  <c r="AA139" i="51"/>
  <c r="AD138" i="51"/>
  <c r="AC138" i="51"/>
  <c r="AB138" i="51"/>
  <c r="AA138" i="51"/>
  <c r="Y139" i="51"/>
  <c r="X139" i="51"/>
  <c r="W139" i="51"/>
  <c r="V139" i="51"/>
  <c r="Y138" i="51"/>
  <c r="X138" i="51"/>
  <c r="W138" i="51"/>
  <c r="V138" i="51"/>
  <c r="T139" i="51"/>
  <c r="S139" i="51"/>
  <c r="R139" i="51"/>
  <c r="Q139" i="51"/>
  <c r="T138" i="51"/>
  <c r="S138" i="51"/>
  <c r="R138" i="51"/>
  <c r="Q138" i="51"/>
  <c r="O138" i="51"/>
  <c r="N138" i="51"/>
  <c r="M138" i="51"/>
  <c r="L138" i="51"/>
  <c r="J138" i="51"/>
  <c r="I138" i="51"/>
  <c r="H138" i="51"/>
  <c r="G138" i="51"/>
  <c r="CF136" i="51"/>
  <c r="CE136" i="51"/>
  <c r="CD136" i="51"/>
  <c r="CF135" i="51"/>
  <c r="CE135" i="51"/>
  <c r="CD135" i="51"/>
  <c r="CB136" i="51"/>
  <c r="CA136" i="51"/>
  <c r="BZ136" i="51"/>
  <c r="BY136" i="51"/>
  <c r="BX136" i="51"/>
  <c r="BW136" i="51"/>
  <c r="BV136" i="51"/>
  <c r="BU136" i="51"/>
  <c r="BT136" i="51"/>
  <c r="BS136" i="51"/>
  <c r="BR136" i="51"/>
  <c r="BQ136" i="51"/>
  <c r="BP136" i="51"/>
  <c r="BO136" i="51"/>
  <c r="CB135" i="51"/>
  <c r="CA135" i="51"/>
  <c r="BZ135" i="51"/>
  <c r="BY135" i="51"/>
  <c r="BX135" i="51"/>
  <c r="BW135" i="51"/>
  <c r="BV135" i="51"/>
  <c r="BU135" i="51"/>
  <c r="BT135" i="51"/>
  <c r="BR135" i="51"/>
  <c r="BQ135" i="51"/>
  <c r="BP135" i="51"/>
  <c r="BO135" i="51"/>
  <c r="BM136" i="51"/>
  <c r="BL136" i="51"/>
  <c r="BK136" i="51"/>
  <c r="BJ136" i="51"/>
  <c r="BM135" i="51"/>
  <c r="BL135" i="51"/>
  <c r="BK135" i="51"/>
  <c r="BJ135" i="51"/>
  <c r="BH136" i="51"/>
  <c r="BG136" i="51"/>
  <c r="BF136" i="51"/>
  <c r="BE136" i="51"/>
  <c r="BH135" i="51"/>
  <c r="BG135" i="51"/>
  <c r="BF135" i="51"/>
  <c r="BE135" i="51"/>
  <c r="BC136" i="51"/>
  <c r="BB136" i="51"/>
  <c r="BA136" i="51"/>
  <c r="AZ136" i="51"/>
  <c r="BC135" i="51"/>
  <c r="BB135" i="51"/>
  <c r="BA135" i="51"/>
  <c r="AZ135" i="51"/>
  <c r="AX136" i="51"/>
  <c r="AW136" i="51"/>
  <c r="AV136" i="51"/>
  <c r="AU136" i="51"/>
  <c r="AX135" i="51"/>
  <c r="AW135" i="51"/>
  <c r="AV135" i="51"/>
  <c r="AU135" i="51"/>
  <c r="AS136" i="51"/>
  <c r="AR136" i="51"/>
  <c r="AQ136" i="51"/>
  <c r="AP136" i="51"/>
  <c r="AS135" i="51"/>
  <c r="AR135" i="51"/>
  <c r="AQ135" i="51"/>
  <c r="AP135" i="51"/>
  <c r="AN136" i="51"/>
  <c r="AM136" i="51"/>
  <c r="AL136" i="51"/>
  <c r="AK136" i="51"/>
  <c r="AN135" i="51"/>
  <c r="AM135" i="51"/>
  <c r="AL135" i="51"/>
  <c r="AK135" i="51"/>
  <c r="AI136" i="51"/>
  <c r="AH136" i="51"/>
  <c r="AG136" i="51"/>
  <c r="AF136" i="51"/>
  <c r="AI135" i="51"/>
  <c r="AH135" i="51"/>
  <c r="AG135" i="51"/>
  <c r="AF135" i="51"/>
  <c r="AD136" i="51"/>
  <c r="AC136" i="51"/>
  <c r="AB136" i="51"/>
  <c r="AA136" i="51"/>
  <c r="AD135" i="51"/>
  <c r="AC135" i="51"/>
  <c r="AB135" i="51"/>
  <c r="AA135" i="51"/>
  <c r="Y136" i="51"/>
  <c r="X136" i="51"/>
  <c r="W136" i="51"/>
  <c r="V136" i="51"/>
  <c r="Y135" i="51"/>
  <c r="X135" i="51"/>
  <c r="W135" i="51"/>
  <c r="V135" i="51"/>
  <c r="T136" i="51"/>
  <c r="S136" i="51"/>
  <c r="R136" i="51"/>
  <c r="Q136" i="51"/>
  <c r="T135" i="51"/>
  <c r="S135" i="51"/>
  <c r="R135" i="51"/>
  <c r="Q135" i="51"/>
  <c r="O135" i="51"/>
  <c r="N135" i="51"/>
  <c r="M135" i="51"/>
  <c r="L135" i="51"/>
  <c r="J135" i="51"/>
  <c r="I135" i="51"/>
  <c r="H135" i="51"/>
  <c r="G135" i="51"/>
  <c r="CF133" i="51"/>
  <c r="CE133" i="51"/>
  <c r="CD133" i="51"/>
  <c r="CF132" i="51"/>
  <c r="CE132" i="51"/>
  <c r="CD132" i="51"/>
  <c r="CB133" i="51"/>
  <c r="CA133" i="51"/>
  <c r="BZ133" i="51"/>
  <c r="BY133" i="51"/>
  <c r="BX133" i="51"/>
  <c r="BW133" i="51"/>
  <c r="BV133" i="51"/>
  <c r="BU133" i="51"/>
  <c r="BT133" i="51"/>
  <c r="BS133" i="51"/>
  <c r="BR133" i="51"/>
  <c r="BQ133" i="51"/>
  <c r="BP133" i="51"/>
  <c r="BO133" i="51"/>
  <c r="CB132" i="51"/>
  <c r="CA132" i="51"/>
  <c r="BZ132" i="51"/>
  <c r="BY132" i="51"/>
  <c r="BX132" i="51"/>
  <c r="BW132" i="51"/>
  <c r="BV132" i="51"/>
  <c r="BU132" i="51"/>
  <c r="BT132" i="51"/>
  <c r="BR132" i="51"/>
  <c r="BQ132" i="51"/>
  <c r="BP132" i="51"/>
  <c r="BO132" i="51"/>
  <c r="BM133" i="51"/>
  <c r="BL133" i="51"/>
  <c r="BK133" i="51"/>
  <c r="BJ133" i="51"/>
  <c r="BM132" i="51"/>
  <c r="BL132" i="51"/>
  <c r="BK132" i="51"/>
  <c r="BJ132" i="51"/>
  <c r="BH133" i="51"/>
  <c r="BG133" i="51"/>
  <c r="BF133" i="51"/>
  <c r="BE133" i="51"/>
  <c r="BH132" i="51"/>
  <c r="BG132" i="51"/>
  <c r="BF132" i="51"/>
  <c r="BE132" i="51"/>
  <c r="BC133" i="51"/>
  <c r="BB133" i="51"/>
  <c r="BA133" i="51"/>
  <c r="AZ133" i="51"/>
  <c r="BC132" i="51"/>
  <c r="BB132" i="51"/>
  <c r="BA132" i="51"/>
  <c r="AZ132" i="51"/>
  <c r="AX133" i="51"/>
  <c r="AW133" i="51"/>
  <c r="AV133" i="51"/>
  <c r="AU133" i="51"/>
  <c r="AX132" i="51"/>
  <c r="AW132" i="51"/>
  <c r="AV132" i="51"/>
  <c r="AU132" i="51"/>
  <c r="AS133" i="51"/>
  <c r="AR133" i="51"/>
  <c r="AQ133" i="51"/>
  <c r="AP133" i="51"/>
  <c r="AS132" i="51"/>
  <c r="AR132" i="51"/>
  <c r="AQ132" i="51"/>
  <c r="AP132" i="51"/>
  <c r="AN133" i="51"/>
  <c r="AM133" i="51"/>
  <c r="AL133" i="51"/>
  <c r="AK133" i="51"/>
  <c r="AN132" i="51"/>
  <c r="AM132" i="51"/>
  <c r="AL132" i="51"/>
  <c r="AK132" i="51"/>
  <c r="AI133" i="51"/>
  <c r="AH133" i="51"/>
  <c r="AG133" i="51"/>
  <c r="AF133" i="51"/>
  <c r="AI132" i="51"/>
  <c r="AH132" i="51"/>
  <c r="AG132" i="51"/>
  <c r="AF132" i="51"/>
  <c r="AD133" i="51"/>
  <c r="AC133" i="51"/>
  <c r="AB133" i="51"/>
  <c r="AA133" i="51"/>
  <c r="AD132" i="51"/>
  <c r="AC132" i="51"/>
  <c r="AB132" i="51"/>
  <c r="AA132" i="51"/>
  <c r="Y133" i="51"/>
  <c r="X133" i="51"/>
  <c r="W133" i="51"/>
  <c r="V133" i="51"/>
  <c r="Y132" i="51"/>
  <c r="X132" i="51"/>
  <c r="W132" i="51"/>
  <c r="V132" i="51"/>
  <c r="T133" i="51"/>
  <c r="S133" i="51"/>
  <c r="R133" i="51"/>
  <c r="Q133" i="51"/>
  <c r="T132" i="51"/>
  <c r="S132" i="51"/>
  <c r="R132" i="51"/>
  <c r="R165" i="51" s="1"/>
  <c r="Q132" i="51"/>
  <c r="O132" i="51"/>
  <c r="N132" i="51"/>
  <c r="N165" i="51" s="1"/>
  <c r="M132" i="51"/>
  <c r="L132" i="51"/>
  <c r="J132" i="51"/>
  <c r="I132" i="51"/>
  <c r="H132" i="51"/>
  <c r="G132" i="51"/>
  <c r="CF130" i="51"/>
  <c r="CE130" i="51"/>
  <c r="CD130" i="51"/>
  <c r="CF129" i="51"/>
  <c r="CE129" i="51"/>
  <c r="CD129" i="51"/>
  <c r="CB130" i="51"/>
  <c r="CA130" i="51"/>
  <c r="BZ130" i="51"/>
  <c r="BY130" i="51"/>
  <c r="BX130" i="51"/>
  <c r="BW130" i="51"/>
  <c r="BV130" i="51"/>
  <c r="BU130" i="51"/>
  <c r="BT130" i="51"/>
  <c r="BS130" i="51"/>
  <c r="BR130" i="51"/>
  <c r="BQ130" i="51"/>
  <c r="BP130" i="51"/>
  <c r="BO130" i="51"/>
  <c r="CB129" i="51"/>
  <c r="CA129" i="51"/>
  <c r="BZ129" i="51"/>
  <c r="BY129" i="51"/>
  <c r="BX129" i="51"/>
  <c r="BW129" i="51"/>
  <c r="BV129" i="51"/>
  <c r="BU129" i="51"/>
  <c r="BT129" i="51"/>
  <c r="BR129" i="51"/>
  <c r="BQ129" i="51"/>
  <c r="BP129" i="51"/>
  <c r="BO129" i="51"/>
  <c r="BM130" i="51"/>
  <c r="BL130" i="51"/>
  <c r="BK130" i="51"/>
  <c r="BJ130" i="51"/>
  <c r="BM129" i="51"/>
  <c r="BL129" i="51"/>
  <c r="BK129" i="51"/>
  <c r="BJ129" i="51"/>
  <c r="BH130" i="51"/>
  <c r="BG130" i="51"/>
  <c r="BF130" i="51"/>
  <c r="BE130" i="51"/>
  <c r="BH129" i="51"/>
  <c r="BG129" i="51"/>
  <c r="BF129" i="51"/>
  <c r="BE129" i="51"/>
  <c r="BC130" i="51"/>
  <c r="BB130" i="51"/>
  <c r="BA130" i="51"/>
  <c r="AZ130" i="51"/>
  <c r="BC129" i="51"/>
  <c r="BB129" i="51"/>
  <c r="BA129" i="51"/>
  <c r="AZ129" i="51"/>
  <c r="AX130" i="51"/>
  <c r="AW130" i="51"/>
  <c r="AV130" i="51"/>
  <c r="AU130" i="51"/>
  <c r="AX129" i="51"/>
  <c r="AW129" i="51"/>
  <c r="AV129" i="51"/>
  <c r="AU129" i="51"/>
  <c r="AS130" i="51"/>
  <c r="AR130" i="51"/>
  <c r="AQ130" i="51"/>
  <c r="AP130" i="51"/>
  <c r="AS129" i="51"/>
  <c r="AR129" i="51"/>
  <c r="AQ129" i="51"/>
  <c r="AP129" i="51"/>
  <c r="AN130" i="51"/>
  <c r="AM130" i="51"/>
  <c r="AL130" i="51"/>
  <c r="AK130" i="51"/>
  <c r="AN129" i="51"/>
  <c r="AM129" i="51"/>
  <c r="AL129" i="51"/>
  <c r="AK129" i="51"/>
  <c r="AI130" i="51"/>
  <c r="AH130" i="51"/>
  <c r="AG130" i="51"/>
  <c r="AF130" i="51"/>
  <c r="AI129" i="51"/>
  <c r="AH129" i="51"/>
  <c r="AG129" i="51"/>
  <c r="AF129" i="51"/>
  <c r="AD130" i="51"/>
  <c r="AC130" i="51"/>
  <c r="AB130" i="51"/>
  <c r="AA130" i="51"/>
  <c r="AD129" i="51"/>
  <c r="AC129" i="51"/>
  <c r="AB129" i="51"/>
  <c r="AA129" i="51"/>
  <c r="Y130" i="51"/>
  <c r="X130" i="51"/>
  <c r="W130" i="51"/>
  <c r="V130" i="51"/>
  <c r="Y129" i="51"/>
  <c r="X129" i="51"/>
  <c r="W129" i="51"/>
  <c r="V129" i="51"/>
  <c r="T130" i="51"/>
  <c r="S130" i="51"/>
  <c r="R130" i="51"/>
  <c r="Q130" i="51"/>
  <c r="T129" i="51"/>
  <c r="S129" i="51"/>
  <c r="R129" i="51"/>
  <c r="Q129" i="51"/>
  <c r="O129" i="51"/>
  <c r="N129" i="51"/>
  <c r="M129" i="51"/>
  <c r="L129" i="51"/>
  <c r="CB127" i="51"/>
  <c r="CA127" i="51"/>
  <c r="BZ127" i="51"/>
  <c r="BY127" i="51"/>
  <c r="BX127" i="51"/>
  <c r="BW127" i="51"/>
  <c r="BV127" i="51"/>
  <c r="BU127" i="51"/>
  <c r="BT127" i="51"/>
  <c r="BS127" i="51"/>
  <c r="BR127" i="51"/>
  <c r="BQ127" i="51"/>
  <c r="BP127" i="51"/>
  <c r="BO127" i="51"/>
  <c r="BM127" i="51"/>
  <c r="BL127" i="51"/>
  <c r="BK127" i="51"/>
  <c r="BJ127" i="51"/>
  <c r="CF127" i="51"/>
  <c r="CE127" i="51"/>
  <c r="CD127" i="51"/>
  <c r="CF126" i="51"/>
  <c r="CE126" i="51"/>
  <c r="CD126" i="51"/>
  <c r="CB126" i="51"/>
  <c r="CA126" i="51"/>
  <c r="BZ126" i="51"/>
  <c r="BY126" i="51"/>
  <c r="BX126" i="51"/>
  <c r="BW126" i="51"/>
  <c r="BV126" i="51"/>
  <c r="BU126" i="51"/>
  <c r="BT126" i="51"/>
  <c r="BS126" i="51"/>
  <c r="BR126" i="51"/>
  <c r="CB124" i="51"/>
  <c r="CA124" i="51"/>
  <c r="BZ124" i="51"/>
  <c r="BY124" i="51"/>
  <c r="BX124" i="51"/>
  <c r="BW124" i="51"/>
  <c r="BV124" i="51"/>
  <c r="BU124" i="51"/>
  <c r="BT124" i="51"/>
  <c r="BS124" i="51"/>
  <c r="BR124" i="51"/>
  <c r="BQ124" i="51"/>
  <c r="BP124" i="51"/>
  <c r="BO124" i="51"/>
  <c r="BN124" i="51"/>
  <c r="BM124" i="51"/>
  <c r="BL124" i="51"/>
  <c r="BK124" i="51"/>
  <c r="BJ124" i="51"/>
  <c r="BI124" i="51"/>
  <c r="BH124" i="51"/>
  <c r="BG124" i="51"/>
  <c r="BF124" i="51"/>
  <c r="BE124" i="51"/>
  <c r="BD124" i="51"/>
  <c r="BC124" i="51"/>
  <c r="BB124" i="51"/>
  <c r="BA124" i="51"/>
  <c r="AZ124" i="51"/>
  <c r="AY124" i="51"/>
  <c r="AX124" i="51"/>
  <c r="AW124" i="51"/>
  <c r="AV124" i="51"/>
  <c r="AU124" i="51"/>
  <c r="AT124" i="51"/>
  <c r="AS124" i="51"/>
  <c r="AR124" i="51"/>
  <c r="AQ124" i="51"/>
  <c r="AP124" i="51"/>
  <c r="AO124" i="51"/>
  <c r="AN124" i="51"/>
  <c r="AM124" i="51"/>
  <c r="AL124" i="51"/>
  <c r="AK124" i="51"/>
  <c r="AJ124" i="51"/>
  <c r="AI124" i="51"/>
  <c r="AH124" i="51"/>
  <c r="AG124" i="51"/>
  <c r="AF124" i="51"/>
  <c r="AE124" i="51"/>
  <c r="AD124" i="51"/>
  <c r="AC124" i="51"/>
  <c r="AB124" i="51"/>
  <c r="AA124" i="51"/>
  <c r="Z124" i="51"/>
  <c r="Y124" i="51"/>
  <c r="X124" i="51"/>
  <c r="W124" i="51"/>
  <c r="V124" i="51"/>
  <c r="U124" i="51"/>
  <c r="T124" i="51"/>
  <c r="S124" i="51"/>
  <c r="R124" i="51"/>
  <c r="Q124" i="51"/>
  <c r="CF124" i="51"/>
  <c r="CE124" i="51"/>
  <c r="CD124" i="51"/>
  <c r="CF123" i="51"/>
  <c r="CE123" i="51"/>
  <c r="CD123" i="51"/>
  <c r="CB123" i="51"/>
  <c r="CA123" i="51"/>
  <c r="BZ123" i="51"/>
  <c r="BY123" i="51"/>
  <c r="BX123" i="51"/>
  <c r="BW123" i="51"/>
  <c r="BV123" i="51"/>
  <c r="BU123" i="51"/>
  <c r="BT123" i="51"/>
  <c r="BR123" i="51"/>
  <c r="BQ123" i="51"/>
  <c r="BP123" i="51"/>
  <c r="BO123" i="51"/>
  <c r="BM123" i="51"/>
  <c r="BL123" i="51"/>
  <c r="BK123" i="51"/>
  <c r="BJ123" i="51"/>
  <c r="BH123" i="51"/>
  <c r="BG123" i="51"/>
  <c r="BF123" i="51"/>
  <c r="BE123" i="51"/>
  <c r="BC123" i="51"/>
  <c r="BB123" i="51"/>
  <c r="BA123" i="51"/>
  <c r="AZ123" i="51"/>
  <c r="AX123" i="51"/>
  <c r="AW123" i="51"/>
  <c r="AV123" i="51"/>
  <c r="AU123" i="51"/>
  <c r="AS123" i="51"/>
  <c r="AR123" i="51"/>
  <c r="AQ123" i="51"/>
  <c r="AP123" i="51"/>
  <c r="AN123" i="51"/>
  <c r="AM123" i="51"/>
  <c r="AL123" i="51"/>
  <c r="AK123" i="51"/>
  <c r="AI123" i="51"/>
  <c r="AH123" i="51"/>
  <c r="AG123" i="51"/>
  <c r="AF123" i="51"/>
  <c r="AD123" i="51"/>
  <c r="AC123" i="51"/>
  <c r="AB123" i="51"/>
  <c r="AA123" i="51"/>
  <c r="Y123" i="51"/>
  <c r="X123" i="51"/>
  <c r="W123" i="51"/>
  <c r="BN121" i="51"/>
  <c r="BI121" i="51"/>
  <c r="BD121" i="51"/>
  <c r="AY121" i="51"/>
  <c r="AT121" i="51"/>
  <c r="AO121" i="51"/>
  <c r="AJ121" i="51"/>
  <c r="AE121" i="51"/>
  <c r="Z121" i="51"/>
  <c r="U121" i="51"/>
  <c r="CF121" i="51"/>
  <c r="CE121" i="51"/>
  <c r="CD121" i="51"/>
  <c r="CF120" i="51"/>
  <c r="CE120" i="51"/>
  <c r="CD120" i="51"/>
  <c r="CB121" i="51"/>
  <c r="CA121" i="51"/>
  <c r="BZ121" i="51"/>
  <c r="BY121" i="51"/>
  <c r="BX121" i="51"/>
  <c r="BW121" i="51"/>
  <c r="BV121" i="51"/>
  <c r="BU121" i="51"/>
  <c r="BT121" i="51"/>
  <c r="BS121" i="51"/>
  <c r="BR121" i="51"/>
  <c r="BQ121" i="51"/>
  <c r="BP121" i="51"/>
  <c r="BO121" i="51"/>
  <c r="CB120" i="51"/>
  <c r="CA120" i="51"/>
  <c r="BZ120" i="51"/>
  <c r="BY120" i="51"/>
  <c r="BX120" i="51"/>
  <c r="BW120" i="51"/>
  <c r="BV120" i="51"/>
  <c r="BU120" i="51"/>
  <c r="BT120" i="51"/>
  <c r="BR120" i="51"/>
  <c r="BQ120" i="51"/>
  <c r="BP120" i="51"/>
  <c r="BO120" i="51"/>
  <c r="BM121" i="51"/>
  <c r="BL121" i="51"/>
  <c r="BK121" i="51"/>
  <c r="BJ121" i="51"/>
  <c r="BM120" i="51"/>
  <c r="BL120" i="51"/>
  <c r="BK120" i="51"/>
  <c r="BJ120" i="51"/>
  <c r="BH121" i="51"/>
  <c r="BG121" i="51"/>
  <c r="BF121" i="51"/>
  <c r="BE121" i="51"/>
  <c r="BH120" i="51"/>
  <c r="BG120" i="51"/>
  <c r="BF120" i="51"/>
  <c r="BE120" i="51"/>
  <c r="BC121" i="51"/>
  <c r="BB121" i="51"/>
  <c r="BA121" i="51"/>
  <c r="AZ121" i="51"/>
  <c r="BC120" i="51"/>
  <c r="BB120" i="51"/>
  <c r="BA120" i="51"/>
  <c r="AZ120" i="51"/>
  <c r="AX121" i="51"/>
  <c r="AW121" i="51"/>
  <c r="AV121" i="51"/>
  <c r="AU121" i="51"/>
  <c r="AX120" i="51"/>
  <c r="AW120" i="51"/>
  <c r="AV120" i="51"/>
  <c r="AU120" i="51"/>
  <c r="AS121" i="51"/>
  <c r="AR121" i="51"/>
  <c r="AQ121" i="51"/>
  <c r="AP121" i="51"/>
  <c r="AS120" i="51"/>
  <c r="AR120" i="51"/>
  <c r="AQ120" i="51"/>
  <c r="AP120" i="51"/>
  <c r="AN121" i="51"/>
  <c r="AM121" i="51"/>
  <c r="AL121" i="51"/>
  <c r="AK121" i="51"/>
  <c r="AN120" i="51"/>
  <c r="AM120" i="51"/>
  <c r="AL120" i="51"/>
  <c r="AK120" i="51"/>
  <c r="AI121" i="51"/>
  <c r="AH121" i="51"/>
  <c r="AG121" i="51"/>
  <c r="AF121" i="51"/>
  <c r="AI120" i="51"/>
  <c r="AI165" i="51" s="1"/>
  <c r="AH120" i="51"/>
  <c r="AG120" i="51"/>
  <c r="AF120" i="51"/>
  <c r="AD121" i="51"/>
  <c r="AC121" i="51"/>
  <c r="AB121" i="51"/>
  <c r="AA121" i="51"/>
  <c r="AD120" i="51"/>
  <c r="AD165" i="51" s="1"/>
  <c r="AC120" i="51"/>
  <c r="AB120" i="51"/>
  <c r="AA120" i="51"/>
  <c r="AA165" i="51" s="1"/>
  <c r="Y121" i="51"/>
  <c r="X121" i="51"/>
  <c r="W121" i="51"/>
  <c r="V121" i="51"/>
  <c r="Y120" i="51"/>
  <c r="Y165" i="51" s="1"/>
  <c r="X120" i="51"/>
  <c r="X165" i="51" s="1"/>
  <c r="W120" i="51"/>
  <c r="V120" i="51"/>
  <c r="T121" i="51"/>
  <c r="S121" i="51"/>
  <c r="R121" i="51"/>
  <c r="Q121" i="51"/>
  <c r="T120" i="51"/>
  <c r="T165" i="51" s="1"/>
  <c r="S120" i="51"/>
  <c r="S165" i="51" s="1"/>
  <c r="R120" i="51"/>
  <c r="Q120" i="51"/>
  <c r="Q165" i="51" s="1"/>
  <c r="O120" i="51"/>
  <c r="O165" i="51" s="1"/>
  <c r="N120" i="51"/>
  <c r="M120" i="51"/>
  <c r="M165" i="51" s="1"/>
  <c r="L120" i="51"/>
  <c r="L165" i="51" s="1"/>
  <c r="J120" i="51"/>
  <c r="I120" i="51"/>
  <c r="H120" i="51"/>
  <c r="G120" i="51"/>
  <c r="CK114" i="51"/>
  <c r="CJ114" i="51"/>
  <c r="CI114" i="51"/>
  <c r="CM114" i="51" s="1"/>
  <c r="CH114" i="51"/>
  <c r="CG114" i="51"/>
  <c r="CF114" i="51"/>
  <c r="CE114" i="51"/>
  <c r="CD114" i="51"/>
  <c r="CP113" i="51"/>
  <c r="CO113" i="51"/>
  <c r="CN113" i="51"/>
  <c r="CC113" i="51"/>
  <c r="CB113" i="51"/>
  <c r="CA113" i="51"/>
  <c r="BZ113" i="51"/>
  <c r="BY113" i="51"/>
  <c r="CJ110" i="51"/>
  <c r="CI110" i="51"/>
  <c r="CH110" i="51"/>
  <c r="CG110" i="51"/>
  <c r="CF110" i="51"/>
  <c r="CE110" i="51"/>
  <c r="CD110" i="51"/>
  <c r="CC110" i="51"/>
  <c r="CB110" i="51"/>
  <c r="CA110" i="51"/>
  <c r="BZ110" i="51"/>
  <c r="BY110" i="51"/>
  <c r="BX110" i="51"/>
  <c r="BW110" i="51"/>
  <c r="BV110" i="51"/>
  <c r="BU110" i="51"/>
  <c r="BT110" i="51"/>
  <c r="BS110" i="51"/>
  <c r="BR110" i="51"/>
  <c r="BQ110" i="51"/>
  <c r="BP110" i="51"/>
  <c r="BO110" i="51"/>
  <c r="BN110" i="51"/>
  <c r="BM110" i="51"/>
  <c r="BL110" i="51"/>
  <c r="BK110" i="51"/>
  <c r="BJ110" i="51"/>
  <c r="BI110" i="51"/>
  <c r="BH110" i="51"/>
  <c r="BG110" i="51"/>
  <c r="BF110" i="51"/>
  <c r="BE110" i="51"/>
  <c r="BD110" i="51"/>
  <c r="BC110" i="51"/>
  <c r="BB110" i="51"/>
  <c r="BA110" i="51"/>
  <c r="AZ110" i="51"/>
  <c r="AY110" i="51"/>
  <c r="AX110" i="51"/>
  <c r="AW110" i="51"/>
  <c r="AV110" i="51"/>
  <c r="AU110" i="51"/>
  <c r="AT110" i="51"/>
  <c r="AS110" i="51"/>
  <c r="AR110" i="51"/>
  <c r="AQ110" i="51"/>
  <c r="AP110" i="51"/>
  <c r="AO110" i="51"/>
  <c r="AN110" i="51"/>
  <c r="AM110" i="51"/>
  <c r="AL110" i="51"/>
  <c r="AK110" i="51"/>
  <c r="AJ110" i="51"/>
  <c r="AI110" i="51"/>
  <c r="AH110" i="51"/>
  <c r="AG110" i="51"/>
  <c r="AF110" i="51"/>
  <c r="AE110" i="51"/>
  <c r="AD110" i="51"/>
  <c r="AC110" i="51"/>
  <c r="AB110" i="51"/>
  <c r="AA110" i="51"/>
  <c r="Z110" i="51"/>
  <c r="Y110" i="51"/>
  <c r="X110" i="51"/>
  <c r="W110" i="51"/>
  <c r="V110" i="51"/>
  <c r="U110" i="51"/>
  <c r="T110" i="51"/>
  <c r="S110" i="51"/>
  <c r="R110" i="51"/>
  <c r="Q110" i="51"/>
  <c r="CF103" i="51"/>
  <c r="CE101" i="51"/>
  <c r="CE97" i="51"/>
  <c r="CE93" i="51"/>
  <c r="CC103" i="51"/>
  <c r="CB103" i="51"/>
  <c r="CC99" i="51"/>
  <c r="CC95" i="51"/>
  <c r="CC91" i="51"/>
  <c r="O87" i="51"/>
  <c r="N87" i="51"/>
  <c r="M87" i="51"/>
  <c r="L87" i="51"/>
  <c r="J87" i="51"/>
  <c r="I87" i="51"/>
  <c r="H87" i="51"/>
  <c r="G87" i="51"/>
  <c r="E87" i="51"/>
  <c r="D87" i="51"/>
  <c r="C87" i="51"/>
  <c r="B87" i="51"/>
  <c r="O84" i="51"/>
  <c r="N84" i="51"/>
  <c r="M84" i="51"/>
  <c r="L84" i="51"/>
  <c r="J84" i="51"/>
  <c r="I84" i="51"/>
  <c r="H84" i="51"/>
  <c r="G84" i="51"/>
  <c r="E84" i="51"/>
  <c r="D84" i="51"/>
  <c r="C84" i="51"/>
  <c r="B84" i="51"/>
  <c r="M82" i="51"/>
  <c r="O81" i="51"/>
  <c r="O82" i="51" s="1"/>
  <c r="N81" i="51"/>
  <c r="M81" i="51"/>
  <c r="L81" i="51"/>
  <c r="J81" i="51"/>
  <c r="I81" i="51"/>
  <c r="N82" i="51" s="1"/>
  <c r="H81" i="51"/>
  <c r="G81" i="51"/>
  <c r="G82" i="51" s="1"/>
  <c r="E81" i="51"/>
  <c r="J82" i="51" s="1"/>
  <c r="D81" i="51"/>
  <c r="I82" i="51" s="1"/>
  <c r="C81" i="51"/>
  <c r="B81" i="51"/>
  <c r="H79" i="51"/>
  <c r="O78" i="51"/>
  <c r="N78" i="51"/>
  <c r="N79" i="51" s="1"/>
  <c r="M78" i="51"/>
  <c r="L78" i="51"/>
  <c r="L79" i="51" s="1"/>
  <c r="J78" i="51"/>
  <c r="O79" i="51" s="1"/>
  <c r="I78" i="51"/>
  <c r="I79" i="51" s="1"/>
  <c r="H78" i="51"/>
  <c r="G78" i="51"/>
  <c r="E78" i="51"/>
  <c r="D78" i="51"/>
  <c r="C78" i="51"/>
  <c r="B78" i="51"/>
  <c r="G76" i="51"/>
  <c r="O75" i="51"/>
  <c r="O76" i="51" s="1"/>
  <c r="N75" i="51"/>
  <c r="M75" i="51"/>
  <c r="L75" i="51"/>
  <c r="L76" i="51" s="1"/>
  <c r="J75" i="51"/>
  <c r="I75" i="51"/>
  <c r="H75" i="51"/>
  <c r="H76" i="51" s="1"/>
  <c r="G75" i="51"/>
  <c r="E75" i="51"/>
  <c r="D75" i="51"/>
  <c r="C75" i="51"/>
  <c r="B75" i="51"/>
  <c r="CF89" i="51"/>
  <c r="CE89" i="51"/>
  <c r="CD89" i="51"/>
  <c r="CC89" i="51"/>
  <c r="CB89" i="51"/>
  <c r="CA89" i="51"/>
  <c r="BZ89" i="51"/>
  <c r="BY89" i="51"/>
  <c r="BX89" i="51"/>
  <c r="BW89" i="51"/>
  <c r="BV89" i="51"/>
  <c r="BU89" i="51"/>
  <c r="BT89" i="51"/>
  <c r="BS89" i="51"/>
  <c r="BR89" i="51"/>
  <c r="BQ89" i="51"/>
  <c r="BP89" i="51"/>
  <c r="BO89" i="51"/>
  <c r="BN89" i="51"/>
  <c r="BM89" i="51"/>
  <c r="BL89" i="51"/>
  <c r="BK89" i="51"/>
  <c r="BJ89" i="51"/>
  <c r="BI89" i="51"/>
  <c r="BH89" i="51"/>
  <c r="BG89" i="51"/>
  <c r="BF89" i="51"/>
  <c r="BE89" i="51"/>
  <c r="BD89" i="51"/>
  <c r="BC89" i="51"/>
  <c r="BB89" i="51"/>
  <c r="BA89" i="51"/>
  <c r="AZ89" i="51"/>
  <c r="AY89" i="51"/>
  <c r="AX89" i="51"/>
  <c r="AW89" i="51"/>
  <c r="AV89" i="51"/>
  <c r="AU89" i="51"/>
  <c r="AT89" i="51"/>
  <c r="AS89" i="51"/>
  <c r="AR89" i="51"/>
  <c r="AQ89" i="51"/>
  <c r="AP89" i="51"/>
  <c r="AO89" i="51"/>
  <c r="AN89" i="51"/>
  <c r="AM89" i="51"/>
  <c r="AL89" i="51"/>
  <c r="AK89" i="51"/>
  <c r="AJ89" i="51"/>
  <c r="AI89" i="51"/>
  <c r="AH89" i="51"/>
  <c r="AG89" i="51"/>
  <c r="AF89" i="51"/>
  <c r="AE89" i="51"/>
  <c r="AD89" i="51"/>
  <c r="AC89" i="51"/>
  <c r="AB89" i="51"/>
  <c r="AA89" i="51"/>
  <c r="Z89" i="51"/>
  <c r="Y89" i="51"/>
  <c r="X89" i="51"/>
  <c r="W89" i="51"/>
  <c r="V89" i="51"/>
  <c r="U89" i="51"/>
  <c r="T89" i="51"/>
  <c r="S89" i="51"/>
  <c r="R89" i="51"/>
  <c r="Q89" i="51"/>
  <c r="BW88" i="51"/>
  <c r="BK88" i="51"/>
  <c r="AQ88" i="51"/>
  <c r="CF87" i="51"/>
  <c r="CE87" i="51"/>
  <c r="CD87" i="51"/>
  <c r="CB87" i="51"/>
  <c r="CA87" i="51"/>
  <c r="CA88" i="51" s="1"/>
  <c r="BZ87" i="51"/>
  <c r="BY87" i="51"/>
  <c r="BW87" i="51"/>
  <c r="BV87" i="51"/>
  <c r="BU87" i="51"/>
  <c r="BT87" i="51"/>
  <c r="BR87" i="51"/>
  <c r="BQ87" i="51"/>
  <c r="BP87" i="51"/>
  <c r="BO87" i="51"/>
  <c r="BM87" i="51"/>
  <c r="BL87" i="51"/>
  <c r="BK87" i="51"/>
  <c r="BJ87" i="51"/>
  <c r="BH87" i="51"/>
  <c r="BG87" i="51"/>
  <c r="BF87" i="51"/>
  <c r="BE87" i="51"/>
  <c r="BC87" i="51"/>
  <c r="BB87" i="51"/>
  <c r="BA87" i="51"/>
  <c r="AZ87" i="51"/>
  <c r="AX87" i="51"/>
  <c r="AW87" i="51"/>
  <c r="AV87" i="51"/>
  <c r="AU87" i="51"/>
  <c r="AS87" i="51"/>
  <c r="AR87" i="51"/>
  <c r="AQ87" i="51"/>
  <c r="AP87" i="51"/>
  <c r="AN87" i="51"/>
  <c r="AM87" i="51"/>
  <c r="AL87" i="51"/>
  <c r="AK87" i="51"/>
  <c r="AI87" i="51"/>
  <c r="AI88" i="51" s="1"/>
  <c r="AH87" i="51"/>
  <c r="AH88" i="51" s="1"/>
  <c r="AG87" i="51"/>
  <c r="AG88" i="51" s="1"/>
  <c r="AF87" i="51"/>
  <c r="AF88" i="51" s="1"/>
  <c r="AD87" i="51"/>
  <c r="AD88" i="51" s="1"/>
  <c r="AC87" i="51"/>
  <c r="AC88" i="51" s="1"/>
  <c r="AB87" i="51"/>
  <c r="AA87" i="51"/>
  <c r="AA88" i="51" s="1"/>
  <c r="Y87" i="51"/>
  <c r="Y88" i="51" s="1"/>
  <c r="X87" i="51"/>
  <c r="W87" i="51"/>
  <c r="W88" i="51" s="1"/>
  <c r="V87" i="51"/>
  <c r="V88" i="51" s="1"/>
  <c r="T87" i="51"/>
  <c r="T88" i="51" s="1"/>
  <c r="S87" i="51"/>
  <c r="S88" i="51" s="1"/>
  <c r="R87" i="51"/>
  <c r="R88" i="51" s="1"/>
  <c r="Q87" i="51"/>
  <c r="Q88" i="51" s="1"/>
  <c r="CF86" i="51"/>
  <c r="CE86" i="51"/>
  <c r="CD86" i="51"/>
  <c r="CC86" i="51"/>
  <c r="CB86" i="51"/>
  <c r="CA86" i="51"/>
  <c r="BZ86" i="51"/>
  <c r="BY86" i="51"/>
  <c r="BX86" i="51"/>
  <c r="BW86" i="51"/>
  <c r="BV86" i="51"/>
  <c r="BU86" i="51"/>
  <c r="BT86" i="51"/>
  <c r="BS86" i="51"/>
  <c r="BR86" i="51"/>
  <c r="BQ86" i="51"/>
  <c r="BP86" i="51"/>
  <c r="BO86" i="51"/>
  <c r="BN86" i="51"/>
  <c r="BM86" i="51"/>
  <c r="BL86" i="51"/>
  <c r="BK86" i="51"/>
  <c r="BJ86" i="51"/>
  <c r="BI86" i="51"/>
  <c r="BH86" i="51"/>
  <c r="BG86" i="51"/>
  <c r="BF86" i="51"/>
  <c r="BE86" i="51"/>
  <c r="BD86" i="51"/>
  <c r="BC86" i="51"/>
  <c r="BB86" i="51"/>
  <c r="BA86" i="51"/>
  <c r="AZ86" i="51"/>
  <c r="AY86" i="51"/>
  <c r="AX86" i="51"/>
  <c r="AW86" i="51"/>
  <c r="AV86" i="51"/>
  <c r="AU86" i="51"/>
  <c r="AT86" i="51"/>
  <c r="AS86" i="51"/>
  <c r="AR86" i="51"/>
  <c r="AQ86" i="51"/>
  <c r="AP86" i="51"/>
  <c r="AO86" i="51"/>
  <c r="AN86" i="51"/>
  <c r="AM86" i="51"/>
  <c r="AL86" i="51"/>
  <c r="AK86" i="51"/>
  <c r="AJ86" i="51"/>
  <c r="AI86" i="51"/>
  <c r="AH86" i="51"/>
  <c r="AG86" i="51"/>
  <c r="AF86" i="51"/>
  <c r="AE86" i="51"/>
  <c r="AD86" i="51"/>
  <c r="AC86" i="51"/>
  <c r="AB86" i="51"/>
  <c r="AA86" i="51"/>
  <c r="Z86" i="51"/>
  <c r="Y86" i="51"/>
  <c r="X86" i="51"/>
  <c r="W86" i="51"/>
  <c r="V86" i="51"/>
  <c r="U86" i="51"/>
  <c r="T86" i="51"/>
  <c r="S86" i="51"/>
  <c r="R86" i="51"/>
  <c r="Q86" i="51"/>
  <c r="BW85" i="51"/>
  <c r="BC85" i="51"/>
  <c r="AQ85" i="51"/>
  <c r="W85" i="51"/>
  <c r="CF84" i="51"/>
  <c r="CE84" i="51"/>
  <c r="CD84" i="51"/>
  <c r="CB84" i="51"/>
  <c r="CA84" i="51"/>
  <c r="BZ84" i="51"/>
  <c r="BY84" i="51"/>
  <c r="BW84" i="51"/>
  <c r="BV84" i="51"/>
  <c r="BU84" i="51"/>
  <c r="BT84" i="51"/>
  <c r="BR84" i="51"/>
  <c r="BQ84" i="51"/>
  <c r="BP84" i="51"/>
  <c r="BO84" i="51"/>
  <c r="BM84" i="51"/>
  <c r="BL84" i="51"/>
  <c r="BK84" i="51"/>
  <c r="BJ84" i="51"/>
  <c r="BH84" i="51"/>
  <c r="BG84" i="51"/>
  <c r="BG85" i="51" s="1"/>
  <c r="BF84" i="51"/>
  <c r="BE84" i="51"/>
  <c r="BC84" i="51"/>
  <c r="BB84" i="51"/>
  <c r="BA84" i="51"/>
  <c r="AZ84" i="51"/>
  <c r="AX84" i="51"/>
  <c r="AW84" i="51"/>
  <c r="AV84" i="51"/>
  <c r="AU84" i="51"/>
  <c r="AS84" i="51"/>
  <c r="AR84" i="51"/>
  <c r="AQ84" i="51"/>
  <c r="AP84" i="51"/>
  <c r="AN84" i="51"/>
  <c r="AM84" i="51"/>
  <c r="AL84" i="51"/>
  <c r="AK84" i="51"/>
  <c r="AI84" i="51"/>
  <c r="AI85" i="51" s="1"/>
  <c r="AH84" i="51"/>
  <c r="AH85" i="51" s="1"/>
  <c r="AG84" i="51"/>
  <c r="AG85" i="51" s="1"/>
  <c r="AF84" i="51"/>
  <c r="AD84" i="51"/>
  <c r="AD85" i="51" s="1"/>
  <c r="AC84" i="51"/>
  <c r="AC85" i="51" s="1"/>
  <c r="AB84" i="51"/>
  <c r="AA84" i="51"/>
  <c r="AA85" i="51" s="1"/>
  <c r="Y84" i="51"/>
  <c r="Y85" i="51" s="1"/>
  <c r="X84" i="51"/>
  <c r="W84" i="51"/>
  <c r="V84" i="51"/>
  <c r="V85" i="51" s="1"/>
  <c r="T84" i="51"/>
  <c r="T85" i="51" s="1"/>
  <c r="S84" i="51"/>
  <c r="S85" i="51" s="1"/>
  <c r="R84" i="51"/>
  <c r="R85" i="51" s="1"/>
  <c r="Q84" i="51"/>
  <c r="Q85" i="51" s="1"/>
  <c r="CF83" i="51"/>
  <c r="CE83" i="51"/>
  <c r="CD83" i="51"/>
  <c r="CC83" i="51"/>
  <c r="CB83" i="51"/>
  <c r="CA83" i="51"/>
  <c r="BZ83" i="51"/>
  <c r="BY83" i="51"/>
  <c r="BX83" i="51"/>
  <c r="BW83" i="51"/>
  <c r="BV83" i="51"/>
  <c r="BU83" i="51"/>
  <c r="BT83" i="51"/>
  <c r="BS83" i="51"/>
  <c r="BR83" i="51"/>
  <c r="BQ83" i="51"/>
  <c r="BP83" i="51"/>
  <c r="BO83" i="51"/>
  <c r="BN83" i="51"/>
  <c r="BM83" i="51"/>
  <c r="BL83" i="51"/>
  <c r="BK83" i="51"/>
  <c r="BJ83" i="51"/>
  <c r="BI83" i="51"/>
  <c r="BH83" i="51"/>
  <c r="BG83" i="51"/>
  <c r="BF83" i="51"/>
  <c r="BE83" i="51"/>
  <c r="BD83" i="51"/>
  <c r="BC83" i="51"/>
  <c r="BB83" i="51"/>
  <c r="BA83" i="51"/>
  <c r="AZ83" i="51"/>
  <c r="AY83" i="51"/>
  <c r="AX83" i="51"/>
  <c r="AW83" i="51"/>
  <c r="AV83" i="51"/>
  <c r="AU83" i="51"/>
  <c r="AT83" i="51"/>
  <c r="AS83" i="51"/>
  <c r="AR83" i="51"/>
  <c r="AQ83" i="51"/>
  <c r="AP83" i="51"/>
  <c r="AO83" i="51"/>
  <c r="AN83" i="51"/>
  <c r="AM83" i="51"/>
  <c r="AL83" i="51"/>
  <c r="AK83" i="51"/>
  <c r="AJ83" i="51"/>
  <c r="AI83" i="51"/>
  <c r="AH83" i="51"/>
  <c r="AG83" i="51"/>
  <c r="AF83" i="51"/>
  <c r="AE83" i="51"/>
  <c r="AD83" i="51"/>
  <c r="AC83" i="51"/>
  <c r="AB83" i="51"/>
  <c r="AA83" i="51"/>
  <c r="Z83" i="51"/>
  <c r="Y83" i="51"/>
  <c r="X83" i="51"/>
  <c r="W83" i="51"/>
  <c r="V83" i="51"/>
  <c r="U83" i="51"/>
  <c r="T83" i="51"/>
  <c r="S83" i="51"/>
  <c r="R83" i="51"/>
  <c r="Q83" i="51"/>
  <c r="CE82" i="51"/>
  <c r="BC82" i="51"/>
  <c r="AI82" i="51"/>
  <c r="W82" i="51"/>
  <c r="CF81" i="51"/>
  <c r="CE81" i="51"/>
  <c r="CD81" i="51"/>
  <c r="CB81" i="51"/>
  <c r="CA81" i="51"/>
  <c r="BZ81" i="51"/>
  <c r="BY81" i="51"/>
  <c r="BW81" i="51"/>
  <c r="BV81" i="51"/>
  <c r="BU81" i="51"/>
  <c r="BT81" i="51"/>
  <c r="BR81" i="51"/>
  <c r="BQ81" i="51"/>
  <c r="BP81" i="51"/>
  <c r="BO81" i="51"/>
  <c r="BM81" i="51"/>
  <c r="BL81" i="51"/>
  <c r="BK81" i="51"/>
  <c r="BJ81" i="51"/>
  <c r="BH81" i="51"/>
  <c r="BG81" i="51"/>
  <c r="BF81" i="51"/>
  <c r="BE81" i="51"/>
  <c r="BC81" i="51"/>
  <c r="BB81" i="51"/>
  <c r="BA81" i="51"/>
  <c r="AZ81" i="51"/>
  <c r="AX81" i="51"/>
  <c r="AW81" i="51"/>
  <c r="AV81" i="51"/>
  <c r="AU81" i="51"/>
  <c r="AS81" i="51"/>
  <c r="AR81" i="51"/>
  <c r="AQ81" i="51"/>
  <c r="AP81" i="51"/>
  <c r="AN81" i="51"/>
  <c r="AM81" i="51"/>
  <c r="AM82" i="51" s="1"/>
  <c r="AL81" i="51"/>
  <c r="AK81" i="51"/>
  <c r="AI81" i="51"/>
  <c r="AH81" i="51"/>
  <c r="AH82" i="51" s="1"/>
  <c r="AG81" i="51"/>
  <c r="AG82" i="51" s="1"/>
  <c r="AF81" i="51"/>
  <c r="AF82" i="51" s="1"/>
  <c r="AD81" i="51"/>
  <c r="AD82" i="51" s="1"/>
  <c r="AC81" i="51"/>
  <c r="AC82" i="51" s="1"/>
  <c r="AB81" i="51"/>
  <c r="AA81" i="51"/>
  <c r="AA82" i="51" s="1"/>
  <c r="Y81" i="51"/>
  <c r="Y82" i="51" s="1"/>
  <c r="X81" i="51"/>
  <c r="W81" i="51"/>
  <c r="V81" i="51"/>
  <c r="V82" i="51" s="1"/>
  <c r="T81" i="51"/>
  <c r="T82" i="51" s="1"/>
  <c r="S81" i="51"/>
  <c r="S82" i="51" s="1"/>
  <c r="R81" i="51"/>
  <c r="R82" i="51" s="1"/>
  <c r="Q81" i="51"/>
  <c r="Q82" i="51" s="1"/>
  <c r="CF80" i="51"/>
  <c r="CE80" i="51"/>
  <c r="CD80" i="51"/>
  <c r="CC80" i="51"/>
  <c r="CB80" i="51"/>
  <c r="CA80" i="51"/>
  <c r="BZ80" i="51"/>
  <c r="BY80" i="51"/>
  <c r="BX80" i="51"/>
  <c r="BW80" i="51"/>
  <c r="BV80" i="51"/>
  <c r="BU80" i="51"/>
  <c r="BT80" i="51"/>
  <c r="BS80" i="51"/>
  <c r="BR80" i="51"/>
  <c r="BQ80" i="51"/>
  <c r="BP80" i="51"/>
  <c r="BO80" i="51"/>
  <c r="BN80" i="51"/>
  <c r="BM80" i="51"/>
  <c r="BL80" i="51"/>
  <c r="BK80" i="51"/>
  <c r="BJ80" i="51"/>
  <c r="BI80" i="51"/>
  <c r="BH80" i="51"/>
  <c r="BG80" i="51"/>
  <c r="BF80" i="51"/>
  <c r="BE80" i="51"/>
  <c r="BD80" i="51"/>
  <c r="BC80" i="51"/>
  <c r="BB80" i="51"/>
  <c r="BA80" i="51"/>
  <c r="AZ80" i="51"/>
  <c r="AY80" i="51"/>
  <c r="AX80" i="51"/>
  <c r="AW80" i="51"/>
  <c r="AV80" i="51"/>
  <c r="AU80" i="51"/>
  <c r="AT80" i="51"/>
  <c r="AS80" i="51"/>
  <c r="AR80" i="51"/>
  <c r="AQ80" i="51"/>
  <c r="AP80" i="51"/>
  <c r="AO80" i="51"/>
  <c r="AN80" i="51"/>
  <c r="AM80" i="51"/>
  <c r="AL80" i="51"/>
  <c r="AK80" i="51"/>
  <c r="AJ80" i="51"/>
  <c r="AI80" i="51"/>
  <c r="AH80" i="51"/>
  <c r="AG80" i="51"/>
  <c r="AF80" i="51"/>
  <c r="AE80" i="51"/>
  <c r="AD80" i="51"/>
  <c r="AC80" i="51"/>
  <c r="AB80" i="51"/>
  <c r="AA80" i="51"/>
  <c r="Z80" i="51"/>
  <c r="Y80" i="51"/>
  <c r="X80" i="51"/>
  <c r="W80" i="51"/>
  <c r="V80" i="51"/>
  <c r="U80" i="51"/>
  <c r="T80" i="51"/>
  <c r="S80" i="51"/>
  <c r="R80" i="51"/>
  <c r="Q80" i="51"/>
  <c r="CE79" i="51"/>
  <c r="BK79" i="51"/>
  <c r="AI79" i="51"/>
  <c r="CF78" i="51"/>
  <c r="CE78" i="51"/>
  <c r="CD78" i="51"/>
  <c r="CB78" i="51"/>
  <c r="CA78" i="51"/>
  <c r="BZ78" i="51"/>
  <c r="BY78" i="51"/>
  <c r="BW78" i="51"/>
  <c r="BV78" i="51"/>
  <c r="BU78" i="51"/>
  <c r="BT78" i="51"/>
  <c r="BR78" i="51"/>
  <c r="BQ78" i="51"/>
  <c r="BP78" i="51"/>
  <c r="BO78" i="51"/>
  <c r="BM78" i="51"/>
  <c r="BL78" i="51"/>
  <c r="BK78" i="51"/>
  <c r="BJ78" i="51"/>
  <c r="BH78" i="51"/>
  <c r="BG78" i="51"/>
  <c r="BF78" i="51"/>
  <c r="BE78" i="51"/>
  <c r="BC78" i="51"/>
  <c r="BB78" i="51"/>
  <c r="BA78" i="51"/>
  <c r="AZ78" i="51"/>
  <c r="AX78" i="51"/>
  <c r="AW78" i="51"/>
  <c r="AV78" i="51"/>
  <c r="AU78" i="51"/>
  <c r="AS78" i="51"/>
  <c r="AR78" i="51"/>
  <c r="AQ78" i="51"/>
  <c r="AP78" i="51"/>
  <c r="AN78" i="51"/>
  <c r="AM78" i="51"/>
  <c r="AL78" i="51"/>
  <c r="AK78" i="51"/>
  <c r="AI78" i="51"/>
  <c r="AH78" i="51"/>
  <c r="AH79" i="51" s="1"/>
  <c r="AG78" i="51"/>
  <c r="AG79" i="51" s="1"/>
  <c r="AF78" i="51"/>
  <c r="AF79" i="51" s="1"/>
  <c r="AD78" i="51"/>
  <c r="AD79" i="51" s="1"/>
  <c r="AC78" i="51"/>
  <c r="AC79" i="51" s="1"/>
  <c r="AB78" i="51"/>
  <c r="AA78" i="51"/>
  <c r="AA79" i="51" s="1"/>
  <c r="Y78" i="51"/>
  <c r="Y79" i="51" s="1"/>
  <c r="X78" i="51"/>
  <c r="W78" i="51"/>
  <c r="W79" i="51" s="1"/>
  <c r="V78" i="51"/>
  <c r="V79" i="51" s="1"/>
  <c r="T78" i="51"/>
  <c r="T79" i="51" s="1"/>
  <c r="S78" i="51"/>
  <c r="S79" i="51" s="1"/>
  <c r="R78" i="51"/>
  <c r="R79" i="51" s="1"/>
  <c r="Q78" i="51"/>
  <c r="Q79" i="51" s="1"/>
  <c r="CF77" i="51"/>
  <c r="CE77" i="51"/>
  <c r="CD77" i="51"/>
  <c r="CC77" i="51"/>
  <c r="CB77" i="51"/>
  <c r="CA77" i="51"/>
  <c r="BZ77" i="51"/>
  <c r="BY77" i="51"/>
  <c r="BX77" i="51"/>
  <c r="BW77" i="51"/>
  <c r="BV77" i="51"/>
  <c r="BU77" i="51"/>
  <c r="BT77" i="51"/>
  <c r="BS77" i="51"/>
  <c r="BR77" i="51"/>
  <c r="BQ77" i="51"/>
  <c r="BP77" i="51"/>
  <c r="BO77" i="51"/>
  <c r="BN77" i="51"/>
  <c r="BM77" i="51"/>
  <c r="BL77" i="51"/>
  <c r="BK77" i="51"/>
  <c r="BJ77" i="51"/>
  <c r="BI77" i="51"/>
  <c r="BH77" i="51"/>
  <c r="BG77" i="51"/>
  <c r="BF77" i="51"/>
  <c r="BE77" i="51"/>
  <c r="BD77" i="51"/>
  <c r="BC77" i="51"/>
  <c r="BB77" i="51"/>
  <c r="BA77" i="51"/>
  <c r="AZ77" i="51"/>
  <c r="AY77" i="51"/>
  <c r="AX77" i="51"/>
  <c r="AW77" i="51"/>
  <c r="AV77" i="51"/>
  <c r="AU77" i="51"/>
  <c r="AT77" i="51"/>
  <c r="AS77" i="51"/>
  <c r="AR77" i="51"/>
  <c r="AQ77" i="51"/>
  <c r="AP77" i="51"/>
  <c r="AO77" i="51"/>
  <c r="AN77" i="51"/>
  <c r="AM77" i="51"/>
  <c r="AL77" i="51"/>
  <c r="AK77" i="51"/>
  <c r="AJ77" i="51"/>
  <c r="AI77" i="51"/>
  <c r="AH77" i="51"/>
  <c r="AG77" i="51"/>
  <c r="AF77" i="51"/>
  <c r="AE77" i="51"/>
  <c r="AD77" i="51"/>
  <c r="AC77" i="51"/>
  <c r="AB77" i="51"/>
  <c r="AA77" i="51"/>
  <c r="Z77" i="51"/>
  <c r="Y77" i="51"/>
  <c r="X77" i="51"/>
  <c r="W77" i="51"/>
  <c r="V77" i="51"/>
  <c r="U77" i="51"/>
  <c r="T77" i="51"/>
  <c r="S77" i="51"/>
  <c r="R77" i="51"/>
  <c r="Q77" i="51"/>
  <c r="BW76" i="51"/>
  <c r="BK76" i="51"/>
  <c r="AQ76" i="51"/>
  <c r="CF75" i="51"/>
  <c r="CE75" i="51"/>
  <c r="CD75" i="51"/>
  <c r="CB75" i="51"/>
  <c r="CA75" i="51"/>
  <c r="BZ75" i="51"/>
  <c r="BY75" i="51"/>
  <c r="BW75" i="51"/>
  <c r="BV75" i="51"/>
  <c r="BU75" i="51"/>
  <c r="BT75" i="51"/>
  <c r="BR75" i="51"/>
  <c r="BQ75" i="51"/>
  <c r="BP75" i="51"/>
  <c r="BO75" i="51"/>
  <c r="BM75" i="51"/>
  <c r="BL75" i="51"/>
  <c r="BK75" i="51"/>
  <c r="BJ75" i="51"/>
  <c r="BH75" i="51"/>
  <c r="BG75" i="51"/>
  <c r="BF75" i="51"/>
  <c r="BE75" i="51"/>
  <c r="BC75" i="51"/>
  <c r="BB75" i="51"/>
  <c r="BA75" i="51"/>
  <c r="AZ75" i="51"/>
  <c r="AX75" i="51"/>
  <c r="AW75" i="51"/>
  <c r="AV75" i="51"/>
  <c r="AU75" i="51"/>
  <c r="AU76" i="51" s="1"/>
  <c r="AS75" i="51"/>
  <c r="AR75" i="51"/>
  <c r="AQ75" i="51"/>
  <c r="AP75" i="51"/>
  <c r="AN75" i="51"/>
  <c r="AM75" i="51"/>
  <c r="AL75" i="51"/>
  <c r="AK75" i="51"/>
  <c r="AI75" i="51"/>
  <c r="AI76" i="51" s="1"/>
  <c r="AH75" i="51"/>
  <c r="AH76" i="51" s="1"/>
  <c r="AG75" i="51"/>
  <c r="AG76" i="51" s="1"/>
  <c r="AF75" i="51"/>
  <c r="AF76" i="51" s="1"/>
  <c r="AD75" i="51"/>
  <c r="AD76" i="51" s="1"/>
  <c r="AC75" i="51"/>
  <c r="AC76" i="51" s="1"/>
  <c r="AB75" i="51"/>
  <c r="AA75" i="51"/>
  <c r="AA76" i="51" s="1"/>
  <c r="Y75" i="51"/>
  <c r="Y76" i="51" s="1"/>
  <c r="X75" i="51"/>
  <c r="W75" i="51"/>
  <c r="W76" i="51" s="1"/>
  <c r="V75" i="51"/>
  <c r="V76" i="51" s="1"/>
  <c r="T75" i="51"/>
  <c r="T76" i="51" s="1"/>
  <c r="S75" i="51"/>
  <c r="S76" i="51" s="1"/>
  <c r="R75" i="51"/>
  <c r="R76" i="51" s="1"/>
  <c r="Q75" i="51"/>
  <c r="Q76" i="51" s="1"/>
  <c r="CF74" i="51"/>
  <c r="CE74" i="51"/>
  <c r="CD74" i="51"/>
  <c r="CC74" i="51"/>
  <c r="CB74" i="51"/>
  <c r="CA74" i="51"/>
  <c r="BZ74" i="51"/>
  <c r="BY74" i="51"/>
  <c r="BX74" i="51"/>
  <c r="BW74" i="51"/>
  <c r="BV74" i="51"/>
  <c r="BU74" i="51"/>
  <c r="BT74" i="51"/>
  <c r="BS74" i="51"/>
  <c r="BR74" i="51"/>
  <c r="BQ74" i="51"/>
  <c r="BP74" i="51"/>
  <c r="BO74" i="51"/>
  <c r="BN74" i="51"/>
  <c r="BM74" i="51"/>
  <c r="BL74" i="51"/>
  <c r="BK74" i="51"/>
  <c r="BJ74" i="51"/>
  <c r="BI74" i="51"/>
  <c r="BH74" i="51"/>
  <c r="BG74" i="51"/>
  <c r="BF74" i="51"/>
  <c r="BE74" i="51"/>
  <c r="BD74" i="51"/>
  <c r="BC74" i="51"/>
  <c r="BB74" i="51"/>
  <c r="BA74" i="51"/>
  <c r="AZ74" i="51"/>
  <c r="AY74" i="51"/>
  <c r="AX74" i="51"/>
  <c r="AW74" i="51"/>
  <c r="AV74" i="51"/>
  <c r="AU74" i="51"/>
  <c r="AT74" i="51"/>
  <c r="AS74" i="51"/>
  <c r="AR74" i="51"/>
  <c r="AQ74" i="51"/>
  <c r="AP74" i="51"/>
  <c r="AO74" i="51"/>
  <c r="AN74" i="51"/>
  <c r="AM74" i="51"/>
  <c r="AL74" i="51"/>
  <c r="AK74" i="51"/>
  <c r="AJ74" i="51"/>
  <c r="AI74" i="51"/>
  <c r="AH74" i="51"/>
  <c r="AG74" i="51"/>
  <c r="AF74" i="51"/>
  <c r="AE74" i="51"/>
  <c r="AD74" i="51"/>
  <c r="AC74" i="51"/>
  <c r="AB74" i="51"/>
  <c r="AA74" i="51"/>
  <c r="Z74" i="51"/>
  <c r="Y74" i="51"/>
  <c r="X74" i="51"/>
  <c r="W74" i="51"/>
  <c r="V74" i="51"/>
  <c r="U74" i="51"/>
  <c r="T74" i="51"/>
  <c r="S74" i="51"/>
  <c r="R74" i="51"/>
  <c r="Q74" i="51"/>
  <c r="BW73" i="51"/>
  <c r="BC73" i="51"/>
  <c r="AQ73" i="51"/>
  <c r="W73" i="51"/>
  <c r="CF72" i="51"/>
  <c r="CE72" i="51"/>
  <c r="CD72" i="51"/>
  <c r="CB72" i="51"/>
  <c r="CA72" i="51"/>
  <c r="BZ72" i="51"/>
  <c r="BY72" i="51"/>
  <c r="BW72" i="51"/>
  <c r="BV72" i="51"/>
  <c r="BU72" i="51"/>
  <c r="BT72" i="51"/>
  <c r="BR72" i="51"/>
  <c r="BQ72" i="51"/>
  <c r="BP72" i="51"/>
  <c r="BO72" i="51"/>
  <c r="BM72" i="51"/>
  <c r="BL72" i="51"/>
  <c r="BK72" i="51"/>
  <c r="BJ72" i="51"/>
  <c r="BH72" i="51"/>
  <c r="BG72" i="51"/>
  <c r="BF72" i="51"/>
  <c r="BE72" i="51"/>
  <c r="BC72" i="51"/>
  <c r="BB72" i="51"/>
  <c r="BA72" i="51"/>
  <c r="AZ72" i="51"/>
  <c r="AX72" i="51"/>
  <c r="AW72" i="51"/>
  <c r="AV72" i="51"/>
  <c r="AU72" i="51"/>
  <c r="AS72" i="51"/>
  <c r="AR72" i="51"/>
  <c r="AQ72" i="51"/>
  <c r="AP72" i="51"/>
  <c r="AN72" i="51"/>
  <c r="AM72" i="51"/>
  <c r="AL72" i="51"/>
  <c r="AK72" i="51"/>
  <c r="AI72" i="51"/>
  <c r="AI73" i="51" s="1"/>
  <c r="AH72" i="51"/>
  <c r="AH73" i="51" s="1"/>
  <c r="AG72" i="51"/>
  <c r="AG73" i="51" s="1"/>
  <c r="AF72" i="51"/>
  <c r="AD72" i="51"/>
  <c r="AD73" i="51" s="1"/>
  <c r="AC72" i="51"/>
  <c r="AC73" i="51" s="1"/>
  <c r="AB72" i="51"/>
  <c r="AA72" i="51"/>
  <c r="AA73" i="51" s="1"/>
  <c r="Y72" i="51"/>
  <c r="Y73" i="51" s="1"/>
  <c r="X72" i="51"/>
  <c r="W72" i="51"/>
  <c r="V72" i="51"/>
  <c r="V73" i="51" s="1"/>
  <c r="T72" i="51"/>
  <c r="T73" i="51" s="1"/>
  <c r="S72" i="51"/>
  <c r="S73" i="51" s="1"/>
  <c r="R72" i="51"/>
  <c r="R73" i="51" s="1"/>
  <c r="Q72" i="51"/>
  <c r="Q73" i="51" s="1"/>
  <c r="O73" i="51"/>
  <c r="O72" i="51"/>
  <c r="N72" i="51"/>
  <c r="N73" i="51" s="1"/>
  <c r="M72" i="51"/>
  <c r="L72" i="51"/>
  <c r="L73" i="51" s="1"/>
  <c r="J72" i="51"/>
  <c r="I72" i="51"/>
  <c r="H72" i="51"/>
  <c r="M73" i="51" s="1"/>
  <c r="G72" i="51"/>
  <c r="E72" i="51"/>
  <c r="D72" i="51"/>
  <c r="C72" i="51"/>
  <c r="B72" i="51"/>
  <c r="CF71" i="51"/>
  <c r="CE71" i="51"/>
  <c r="CD71" i="51"/>
  <c r="CC71" i="51"/>
  <c r="CB71" i="51"/>
  <c r="CA71" i="51"/>
  <c r="BZ71" i="51"/>
  <c r="BY71" i="51"/>
  <c r="BX71" i="51"/>
  <c r="BW71" i="51"/>
  <c r="BV71" i="51"/>
  <c r="BU71" i="51"/>
  <c r="BT71" i="51"/>
  <c r="BS71" i="51"/>
  <c r="BR71" i="51"/>
  <c r="BQ71" i="51"/>
  <c r="BP71" i="51"/>
  <c r="BO71" i="51"/>
  <c r="BN71" i="51"/>
  <c r="BM71" i="51"/>
  <c r="BL71" i="51"/>
  <c r="BK71" i="51"/>
  <c r="BJ71" i="51"/>
  <c r="BI71" i="51"/>
  <c r="BL68" i="51"/>
  <c r="BK68" i="51"/>
  <c r="BJ68" i="51"/>
  <c r="BI68" i="51"/>
  <c r="BH68" i="51"/>
  <c r="BG68" i="51"/>
  <c r="BF68" i="51"/>
  <c r="BE68" i="51"/>
  <c r="BD68" i="51"/>
  <c r="BC68" i="51"/>
  <c r="BB68" i="51"/>
  <c r="BA68" i="51"/>
  <c r="AZ68" i="51"/>
  <c r="AY68" i="51"/>
  <c r="AX68" i="51"/>
  <c r="AW68" i="51"/>
  <c r="AV68" i="51"/>
  <c r="AU68" i="51"/>
  <c r="AT68" i="51"/>
  <c r="AS68" i="51"/>
  <c r="AR68" i="51"/>
  <c r="AQ68" i="51"/>
  <c r="AP68" i="51"/>
  <c r="AO68" i="51"/>
  <c r="AN68" i="51"/>
  <c r="AM68" i="51"/>
  <c r="AL68" i="51"/>
  <c r="AK68" i="51"/>
  <c r="AJ68" i="51"/>
  <c r="AI68" i="51"/>
  <c r="AH68" i="51"/>
  <c r="AG68" i="51"/>
  <c r="AF68" i="51"/>
  <c r="AE68" i="51"/>
  <c r="AD68" i="51"/>
  <c r="AC68" i="51"/>
  <c r="AB68" i="51"/>
  <c r="AA68" i="51"/>
  <c r="Z68" i="51"/>
  <c r="Y68" i="51"/>
  <c r="X68" i="51"/>
  <c r="W68" i="51"/>
  <c r="V68" i="51"/>
  <c r="U68" i="51"/>
  <c r="T68" i="51"/>
  <c r="S68" i="51"/>
  <c r="R68" i="51"/>
  <c r="Q68" i="51"/>
  <c r="Q65" i="51"/>
  <c r="Q63" i="51"/>
  <c r="Q64" i="51" s="1"/>
  <c r="BU70" i="51"/>
  <c r="CF69" i="51"/>
  <c r="CF70" i="51" s="1"/>
  <c r="CE69" i="51"/>
  <c r="CE70" i="51" s="1"/>
  <c r="CD69" i="51"/>
  <c r="CB69" i="51"/>
  <c r="CB70" i="51" s="1"/>
  <c r="CA69" i="51"/>
  <c r="CA70" i="51" s="1"/>
  <c r="BZ69" i="51"/>
  <c r="BY69" i="51"/>
  <c r="BY70" i="51" s="1"/>
  <c r="BW69" i="51"/>
  <c r="BW70" i="51" s="1"/>
  <c r="BV69" i="51"/>
  <c r="BU69" i="51"/>
  <c r="CF68" i="51"/>
  <c r="CE68" i="51"/>
  <c r="CD68" i="51"/>
  <c r="CC68" i="51"/>
  <c r="CB68" i="51"/>
  <c r="CA68" i="51"/>
  <c r="BZ68" i="51"/>
  <c r="BY68" i="51"/>
  <c r="BX68" i="51"/>
  <c r="BW68" i="51"/>
  <c r="BV68" i="51"/>
  <c r="BU68" i="51"/>
  <c r="BY67" i="51"/>
  <c r="CF66" i="51"/>
  <c r="CE66" i="51"/>
  <c r="CD66" i="51"/>
  <c r="CB66" i="51"/>
  <c r="CA66" i="51"/>
  <c r="BZ66" i="51"/>
  <c r="BY66" i="51"/>
  <c r="BW66" i="51"/>
  <c r="BV66" i="51"/>
  <c r="BU66" i="51"/>
  <c r="CF65" i="51"/>
  <c r="CE65" i="51"/>
  <c r="CD65" i="51"/>
  <c r="CC65" i="51"/>
  <c r="CB65" i="51"/>
  <c r="CA65" i="51"/>
  <c r="BZ65" i="51"/>
  <c r="BY65" i="51"/>
  <c r="BX65" i="51"/>
  <c r="BW65" i="51"/>
  <c r="BV65" i="51"/>
  <c r="BU65" i="51"/>
  <c r="BU64" i="51"/>
  <c r="CF63" i="51"/>
  <c r="CE63" i="51"/>
  <c r="CD63" i="51"/>
  <c r="CB63" i="51"/>
  <c r="CA63" i="51"/>
  <c r="BZ63" i="51"/>
  <c r="BY63" i="51"/>
  <c r="BW63" i="51"/>
  <c r="BV63" i="51"/>
  <c r="BU63" i="51"/>
  <c r="BT69" i="51"/>
  <c r="BR69" i="51"/>
  <c r="BQ69" i="51"/>
  <c r="BP69" i="51"/>
  <c r="BO69" i="51"/>
  <c r="BN69" i="51"/>
  <c r="BM69" i="51"/>
  <c r="BT68" i="51"/>
  <c r="BS68" i="51"/>
  <c r="BR68" i="51"/>
  <c r="BQ68" i="51"/>
  <c r="BP68" i="51"/>
  <c r="BO68" i="51"/>
  <c r="BN68" i="51"/>
  <c r="BM68" i="51"/>
  <c r="BM67" i="51"/>
  <c r="BT66" i="51"/>
  <c r="BR66" i="51"/>
  <c r="BQ66" i="51"/>
  <c r="BP66" i="51"/>
  <c r="BO66" i="51"/>
  <c r="BM66" i="51"/>
  <c r="BT65" i="51"/>
  <c r="BS65" i="51"/>
  <c r="BR65" i="51"/>
  <c r="BQ65" i="51"/>
  <c r="BP65" i="51"/>
  <c r="BO65" i="51"/>
  <c r="BN65" i="51"/>
  <c r="BM65" i="51"/>
  <c r="BM64" i="51"/>
  <c r="BT63" i="51"/>
  <c r="BR63" i="51"/>
  <c r="BQ63" i="51"/>
  <c r="BP63" i="51"/>
  <c r="BO63" i="51"/>
  <c r="BM63" i="51"/>
  <c r="BE67" i="51"/>
  <c r="BA67" i="51"/>
  <c r="AW67" i="51"/>
  <c r="AS67" i="51"/>
  <c r="AK67" i="51"/>
  <c r="AG67" i="51"/>
  <c r="AC67" i="51"/>
  <c r="Y67" i="51"/>
  <c r="BL66" i="51"/>
  <c r="BK66" i="51"/>
  <c r="BJ66" i="51"/>
  <c r="BH66" i="51"/>
  <c r="BG66" i="51"/>
  <c r="BF66" i="51"/>
  <c r="BE66" i="51"/>
  <c r="BJ67" i="51" s="1"/>
  <c r="BC66" i="51"/>
  <c r="BB66" i="51"/>
  <c r="BA66" i="51"/>
  <c r="BF67" i="51" s="1"/>
  <c r="AZ66" i="51"/>
  <c r="AX66" i="51"/>
  <c r="AW66" i="51"/>
  <c r="BB67" i="51" s="1"/>
  <c r="AV66" i="51"/>
  <c r="AU66" i="51"/>
  <c r="AS66" i="51"/>
  <c r="AX67" i="51" s="1"/>
  <c r="AR66" i="51"/>
  <c r="AQ66" i="51"/>
  <c r="AP66" i="51"/>
  <c r="AN66" i="51"/>
  <c r="AM66" i="51"/>
  <c r="AL66" i="51"/>
  <c r="AK66" i="51"/>
  <c r="AP67" i="51" s="1"/>
  <c r="AI66" i="51"/>
  <c r="AI67" i="51" s="1"/>
  <c r="AH66" i="51"/>
  <c r="AG66" i="51"/>
  <c r="AL67" i="51" s="1"/>
  <c r="AF66" i="51"/>
  <c r="AF67" i="51" s="1"/>
  <c r="AD66" i="51"/>
  <c r="AC66" i="51"/>
  <c r="AH67" i="51" s="1"/>
  <c r="AB66" i="51"/>
  <c r="AA66" i="51"/>
  <c r="AA67" i="51" s="1"/>
  <c r="Y66" i="51"/>
  <c r="AD67" i="51" s="1"/>
  <c r="X66" i="51"/>
  <c r="X67" i="51" s="1"/>
  <c r="W66" i="51"/>
  <c r="W67" i="51" s="1"/>
  <c r="BL65" i="51"/>
  <c r="BK65" i="51"/>
  <c r="BJ65" i="51"/>
  <c r="BI65" i="51"/>
  <c r="BH65" i="51"/>
  <c r="BG65" i="51"/>
  <c r="BF65" i="51"/>
  <c r="BE65" i="51"/>
  <c r="BD65" i="51"/>
  <c r="BC65" i="51"/>
  <c r="BB65" i="51"/>
  <c r="BA65" i="51"/>
  <c r="AZ65" i="51"/>
  <c r="AY65" i="51"/>
  <c r="AX65" i="51"/>
  <c r="AW65" i="51"/>
  <c r="AV65" i="51"/>
  <c r="AU65" i="51"/>
  <c r="AT65" i="51"/>
  <c r="AS65" i="51"/>
  <c r="AR65" i="51"/>
  <c r="AQ65" i="51"/>
  <c r="AP65" i="51"/>
  <c r="AO65" i="51"/>
  <c r="AN65" i="51"/>
  <c r="AM65" i="51"/>
  <c r="AL65" i="51"/>
  <c r="AK65" i="51"/>
  <c r="AJ65" i="51"/>
  <c r="AI65" i="51"/>
  <c r="AH65" i="51"/>
  <c r="AG65" i="51"/>
  <c r="AF65" i="51"/>
  <c r="AE65" i="51"/>
  <c r="AD65" i="51"/>
  <c r="AC65" i="51"/>
  <c r="AB65" i="51"/>
  <c r="AA65" i="51"/>
  <c r="Z65" i="51"/>
  <c r="Y65" i="51"/>
  <c r="X65" i="51"/>
  <c r="W65" i="51"/>
  <c r="BK64" i="51"/>
  <c r="BG64" i="51"/>
  <c r="BC64" i="51"/>
  <c r="AU64" i="51"/>
  <c r="AQ64" i="51"/>
  <c r="AM64" i="51"/>
  <c r="AI64" i="51"/>
  <c r="AA64" i="51"/>
  <c r="X64" i="51"/>
  <c r="W64" i="51"/>
  <c r="BL63" i="51"/>
  <c r="BK63" i="51"/>
  <c r="BJ63" i="51"/>
  <c r="BJ64" i="51" s="1"/>
  <c r="BH63" i="51"/>
  <c r="BG63" i="51"/>
  <c r="BL64" i="51" s="1"/>
  <c r="BF63" i="51"/>
  <c r="BE63" i="51"/>
  <c r="BC63" i="51"/>
  <c r="BH64" i="51" s="1"/>
  <c r="BB63" i="51"/>
  <c r="BA63" i="51"/>
  <c r="AZ63" i="51"/>
  <c r="AX63" i="51"/>
  <c r="AW63" i="51"/>
  <c r="AV63" i="51"/>
  <c r="AU63" i="51"/>
  <c r="AZ64" i="51" s="1"/>
  <c r="AS63" i="51"/>
  <c r="AR63" i="51"/>
  <c r="AQ63" i="51"/>
  <c r="AV64" i="51" s="1"/>
  <c r="AP63" i="51"/>
  <c r="AP64" i="51" s="1"/>
  <c r="AN63" i="51"/>
  <c r="AM63" i="51"/>
  <c r="AR64" i="51" s="1"/>
  <c r="AL63" i="51"/>
  <c r="AK63" i="51"/>
  <c r="AI63" i="51"/>
  <c r="AN64" i="51" s="1"/>
  <c r="AH63" i="51"/>
  <c r="AG63" i="51"/>
  <c r="AG64" i="51" s="1"/>
  <c r="AF63" i="51"/>
  <c r="AD63" i="51"/>
  <c r="AC63" i="51"/>
  <c r="AC64" i="51" s="1"/>
  <c r="AB63" i="51"/>
  <c r="AA63" i="51"/>
  <c r="AF64" i="51" s="1"/>
  <c r="Y63" i="51"/>
  <c r="Y64" i="51" s="1"/>
  <c r="X63" i="51"/>
  <c r="W63" i="51"/>
  <c r="AB64" i="51" s="1"/>
  <c r="V66" i="51"/>
  <c r="T66" i="51"/>
  <c r="S66" i="51"/>
  <c r="R66" i="51"/>
  <c r="V65" i="51"/>
  <c r="U65" i="51"/>
  <c r="T65" i="51"/>
  <c r="S65" i="51"/>
  <c r="R65" i="51"/>
  <c r="S64" i="51"/>
  <c r="V63" i="51"/>
  <c r="T63" i="51"/>
  <c r="T64" i="51" s="1"/>
  <c r="S63" i="51"/>
  <c r="R63" i="51"/>
  <c r="R64" i="51" s="1"/>
  <c r="O64" i="51"/>
  <c r="G64" i="51"/>
  <c r="O63" i="51"/>
  <c r="N63" i="51"/>
  <c r="M63" i="51"/>
  <c r="M64" i="51" s="1"/>
  <c r="L63" i="51"/>
  <c r="J63" i="51"/>
  <c r="I63" i="51"/>
  <c r="I64" i="51" s="1"/>
  <c r="H63" i="51"/>
  <c r="G63" i="51"/>
  <c r="L64" i="51" s="1"/>
  <c r="E63" i="51"/>
  <c r="D63" i="51"/>
  <c r="C63" i="51"/>
  <c r="H64" i="51" s="1"/>
  <c r="B63" i="51"/>
  <c r="F63" i="51" s="1"/>
  <c r="CL59" i="51"/>
  <c r="CJ59" i="51"/>
  <c r="CK59" i="51" s="1"/>
  <c r="CF59" i="51"/>
  <c r="AJ57" i="51"/>
  <c r="AI57" i="51"/>
  <c r="AH57" i="51"/>
  <c r="AG57" i="51"/>
  <c r="AF57" i="51"/>
  <c r="AE57" i="51"/>
  <c r="AD57" i="51"/>
  <c r="AC57" i="51"/>
  <c r="AB57" i="51"/>
  <c r="AA57" i="51"/>
  <c r="Z57" i="51"/>
  <c r="Y57" i="51"/>
  <c r="X57" i="51"/>
  <c r="W57" i="51"/>
  <c r="V57" i="51"/>
  <c r="U57" i="51"/>
  <c r="T57" i="51"/>
  <c r="S57" i="51"/>
  <c r="R57" i="51"/>
  <c r="Q57" i="51"/>
  <c r="P57" i="51"/>
  <c r="O57" i="51"/>
  <c r="N57" i="51"/>
  <c r="M57" i="51"/>
  <c r="L57" i="51"/>
  <c r="K57" i="51"/>
  <c r="J57" i="51"/>
  <c r="I57" i="51"/>
  <c r="H57" i="51"/>
  <c r="G57" i="51"/>
  <c r="F57" i="51"/>
  <c r="E57" i="51"/>
  <c r="D57" i="51"/>
  <c r="C57" i="51"/>
  <c r="B57" i="51"/>
  <c r="CB53" i="51"/>
  <c r="CA53" i="51"/>
  <c r="BZ53" i="51"/>
  <c r="BY53" i="51"/>
  <c r="BV53" i="51"/>
  <c r="BT53" i="51"/>
  <c r="BP53" i="51"/>
  <c r="BO53" i="51"/>
  <c r="BK53" i="51"/>
  <c r="BH53" i="51"/>
  <c r="BF53" i="51"/>
  <c r="AZ53" i="51"/>
  <c r="AV53" i="51"/>
  <c r="BI24" i="51"/>
  <c r="BH24" i="51"/>
  <c r="BD24" i="51"/>
  <c r="BC24" i="51"/>
  <c r="AY24" i="51"/>
  <c r="AX24" i="51"/>
  <c r="AT24" i="51"/>
  <c r="AS24" i="51"/>
  <c r="AR24" i="51"/>
  <c r="AQ24" i="51"/>
  <c r="AP24" i="51"/>
  <c r="AO24" i="51"/>
  <c r="AN24" i="51"/>
  <c r="AL24" i="51"/>
  <c r="AK24" i="51"/>
  <c r="AJ24" i="51"/>
  <c r="AI24" i="51"/>
  <c r="AH24" i="51"/>
  <c r="AG24" i="51"/>
  <c r="AF24" i="51"/>
  <c r="BI23" i="51"/>
  <c r="BH23" i="51"/>
  <c r="AY23" i="51"/>
  <c r="AX23" i="51"/>
  <c r="AW23" i="51"/>
  <c r="AV23" i="51"/>
  <c r="AU23" i="51"/>
  <c r="AT23" i="51"/>
  <c r="AS23" i="51"/>
  <c r="AR23" i="51"/>
  <c r="AQ23" i="51"/>
  <c r="AP23" i="51"/>
  <c r="AO23" i="51"/>
  <c r="AN23" i="51"/>
  <c r="AL23" i="51"/>
  <c r="AK23" i="51"/>
  <c r="AJ23" i="51"/>
  <c r="AI23" i="51"/>
  <c r="AH23" i="51"/>
  <c r="AG23" i="51"/>
  <c r="AF23" i="51"/>
  <c r="BI22" i="51"/>
  <c r="BH22" i="51"/>
  <c r="AY22" i="51"/>
  <c r="AX22" i="51"/>
  <c r="AW22" i="51"/>
  <c r="AV22" i="51"/>
  <c r="AU22" i="51"/>
  <c r="AT22" i="51"/>
  <c r="AS22" i="51"/>
  <c r="AR22" i="51"/>
  <c r="AQ22" i="51"/>
  <c r="AP22" i="51"/>
  <c r="AO22" i="51"/>
  <c r="AN22" i="51"/>
  <c r="AL22" i="51"/>
  <c r="AK22" i="51"/>
  <c r="AJ22" i="51"/>
  <c r="AI22" i="51"/>
  <c r="AH22" i="51"/>
  <c r="AG22" i="51"/>
  <c r="AF22" i="51"/>
  <c r="BI21" i="51"/>
  <c r="BH21" i="51"/>
  <c r="BF21" i="51"/>
  <c r="BE21" i="51"/>
  <c r="BD21" i="51"/>
  <c r="BC21" i="51"/>
  <c r="BA21" i="51"/>
  <c r="AZ21" i="51"/>
  <c r="AY21" i="51"/>
  <c r="AX21" i="51"/>
  <c r="AV21" i="51"/>
  <c r="AU21" i="51"/>
  <c r="AT21" i="51"/>
  <c r="AS21" i="51"/>
  <c r="AR21" i="51"/>
  <c r="AQ21" i="51"/>
  <c r="AP21" i="51"/>
  <c r="AO21" i="51"/>
  <c r="AN21" i="51"/>
  <c r="AK21" i="51"/>
  <c r="AJ21" i="51"/>
  <c r="AI21" i="51"/>
  <c r="AF21" i="51"/>
  <c r="BA20" i="51"/>
  <c r="AH20" i="51"/>
  <c r="CH17" i="51"/>
  <c r="CH16" i="51"/>
  <c r="CC17" i="51"/>
  <c r="CC16" i="51"/>
  <c r="CK13" i="51"/>
  <c r="CJ13" i="51"/>
  <c r="CI13" i="51"/>
  <c r="CH13" i="51"/>
  <c r="CG13" i="51"/>
  <c r="CF13" i="51"/>
  <c r="CE13" i="51"/>
  <c r="CD13" i="51"/>
  <c r="CC13" i="51"/>
  <c r="CB13" i="51"/>
  <c r="CA13" i="51"/>
  <c r="BZ13" i="51"/>
  <c r="BY13" i="51"/>
  <c r="BX13" i="51"/>
  <c r="BW13" i="51"/>
  <c r="BV13" i="51"/>
  <c r="BU13" i="51"/>
  <c r="BT13" i="51"/>
  <c r="BS13" i="51"/>
  <c r="BR13" i="51"/>
  <c r="BQ13" i="51"/>
  <c r="BP13" i="51"/>
  <c r="BO13" i="51"/>
  <c r="BN13" i="51"/>
  <c r="BM13" i="51"/>
  <c r="BL13" i="51"/>
  <c r="BK13" i="51"/>
  <c r="BJ13" i="51"/>
  <c r="BH13" i="51"/>
  <c r="BG13" i="51"/>
  <c r="BF13" i="51"/>
  <c r="BE13" i="51"/>
  <c r="BC13" i="51"/>
  <c r="BB13" i="51"/>
  <c r="BA13" i="51"/>
  <c r="AZ13" i="51"/>
  <c r="AX13" i="51"/>
  <c r="AW13" i="51"/>
  <c r="AV13" i="51"/>
  <c r="AU13" i="51"/>
  <c r="AS13" i="51"/>
  <c r="AR13" i="51"/>
  <c r="AQ13" i="51"/>
  <c r="AP13" i="51"/>
  <c r="AN13" i="51"/>
  <c r="AM13" i="51"/>
  <c r="AL13" i="51"/>
  <c r="AK13" i="51"/>
  <c r="AJ13" i="51"/>
  <c r="AI13" i="51"/>
  <c r="AH13" i="51"/>
  <c r="AG13" i="51"/>
  <c r="AF13" i="51"/>
  <c r="AE13" i="51"/>
  <c r="AD13" i="51"/>
  <c r="AC13" i="51"/>
  <c r="AB13" i="51"/>
  <c r="AA13" i="51"/>
  <c r="Z13" i="51"/>
  <c r="Y13" i="51"/>
  <c r="X13" i="51"/>
  <c r="W13" i="51"/>
  <c r="V13" i="51"/>
  <c r="U13" i="51"/>
  <c r="T13" i="51"/>
  <c r="S13" i="51"/>
  <c r="R13" i="51"/>
  <c r="Q13" i="51"/>
  <c r="CT12" i="51"/>
  <c r="CS12" i="51"/>
  <c r="CQ12" i="51"/>
  <c r="CP12" i="51"/>
  <c r="CO12" i="51"/>
  <c r="CN12" i="51"/>
  <c r="CR12" i="51" s="1"/>
  <c r="CK12" i="51"/>
  <c r="CJ12" i="51"/>
  <c r="CI12" i="51"/>
  <c r="CG12" i="51"/>
  <c r="CF12" i="51"/>
  <c r="CE12" i="51"/>
  <c r="CD12" i="51"/>
  <c r="CC12" i="51"/>
  <c r="CB12" i="51"/>
  <c r="CA12" i="51"/>
  <c r="BZ12" i="51"/>
  <c r="BY12" i="51"/>
  <c r="BX12" i="51"/>
  <c r="BW12" i="51"/>
  <c r="BV12" i="51"/>
  <c r="BU12" i="51"/>
  <c r="BT12" i="51"/>
  <c r="BS12" i="51"/>
  <c r="BR12" i="51"/>
  <c r="BQ12" i="51"/>
  <c r="BP12" i="51"/>
  <c r="BO12" i="51"/>
  <c r="BN12" i="51"/>
  <c r="BM12" i="51"/>
  <c r="BL12" i="51"/>
  <c r="BK12" i="51"/>
  <c r="BJ12" i="51"/>
  <c r="BI12" i="51"/>
  <c r="BH12" i="51"/>
  <c r="BG12" i="51"/>
  <c r="BF12" i="51"/>
  <c r="BE12" i="51"/>
  <c r="BD12" i="51"/>
  <c r="BC12" i="51"/>
  <c r="BB12" i="51"/>
  <c r="BA12" i="51"/>
  <c r="AZ12" i="51"/>
  <c r="AY12" i="51"/>
  <c r="AX12" i="51"/>
  <c r="AW12" i="51"/>
  <c r="AV12" i="51"/>
  <c r="AU12" i="51"/>
  <c r="AT12" i="51"/>
  <c r="AS12" i="51"/>
  <c r="AR12" i="51"/>
  <c r="AQ12" i="51"/>
  <c r="AP12" i="51"/>
  <c r="AO12" i="51"/>
  <c r="AN12" i="51"/>
  <c r="AM12" i="51"/>
  <c r="AL12" i="51"/>
  <c r="AK12" i="51"/>
  <c r="AJ12" i="51"/>
  <c r="AI12" i="51"/>
  <c r="AH12" i="51"/>
  <c r="AG12" i="51"/>
  <c r="AF12" i="51"/>
  <c r="AE12" i="51"/>
  <c r="AD12" i="51"/>
  <c r="AC12" i="51"/>
  <c r="AB12" i="51"/>
  <c r="AA12" i="51"/>
  <c r="Z12" i="51"/>
  <c r="Y12" i="51"/>
  <c r="X12" i="51"/>
  <c r="W12" i="51"/>
  <c r="V12" i="51"/>
  <c r="U12" i="51"/>
  <c r="T12" i="51"/>
  <c r="S12" i="51"/>
  <c r="R12" i="51"/>
  <c r="Q12" i="51"/>
  <c r="CT11" i="51"/>
  <c r="CS11" i="51"/>
  <c r="CQ11" i="51"/>
  <c r="CP11" i="51"/>
  <c r="CO11" i="51"/>
  <c r="CN11" i="51"/>
  <c r="CK11" i="51"/>
  <c r="CJ11" i="51"/>
  <c r="CI11" i="51"/>
  <c r="CG11" i="51"/>
  <c r="CF11" i="51"/>
  <c r="CE11" i="51"/>
  <c r="CD11" i="51"/>
  <c r="CH11" i="51" s="1"/>
  <c r="CC11" i="51"/>
  <c r="CB11" i="51"/>
  <c r="CA11" i="51"/>
  <c r="BZ11" i="51"/>
  <c r="BY11" i="51"/>
  <c r="BX11" i="51"/>
  <c r="BW11" i="51"/>
  <c r="BV11" i="51"/>
  <c r="BU11" i="51"/>
  <c r="BT11" i="51"/>
  <c r="BS11" i="51"/>
  <c r="BR11" i="51"/>
  <c r="BQ11" i="51"/>
  <c r="BP11" i="51"/>
  <c r="BO11" i="51"/>
  <c r="BN11" i="51"/>
  <c r="BM11" i="51"/>
  <c r="BL11" i="51"/>
  <c r="BK11" i="51"/>
  <c r="BJ11" i="51"/>
  <c r="BI11" i="51"/>
  <c r="BH11" i="51"/>
  <c r="BG11" i="51"/>
  <c r="BF11" i="51"/>
  <c r="BE11" i="51"/>
  <c r="BD11" i="51"/>
  <c r="BC11" i="51"/>
  <c r="BB11" i="51"/>
  <c r="BA11" i="51"/>
  <c r="AZ11" i="51"/>
  <c r="AY11" i="51"/>
  <c r="AX11" i="51"/>
  <c r="AW11" i="51"/>
  <c r="AV11" i="51"/>
  <c r="AU11" i="51"/>
  <c r="AT11" i="51"/>
  <c r="AS11" i="51"/>
  <c r="AR11" i="51"/>
  <c r="AQ11" i="51"/>
  <c r="AP11" i="51"/>
  <c r="AO11" i="51"/>
  <c r="AN11" i="51"/>
  <c r="AM11" i="51"/>
  <c r="AL11" i="51"/>
  <c r="AK11" i="51"/>
  <c r="AJ11" i="51"/>
  <c r="AI11" i="51"/>
  <c r="AH11" i="51"/>
  <c r="AG11" i="51"/>
  <c r="AF11" i="51"/>
  <c r="AE11" i="51"/>
  <c r="AD11" i="51"/>
  <c r="AC11" i="51"/>
  <c r="AB11" i="51"/>
  <c r="AA11" i="51"/>
  <c r="Z11" i="51"/>
  <c r="Y11" i="51"/>
  <c r="X11" i="51"/>
  <c r="W11" i="51"/>
  <c r="V11" i="51"/>
  <c r="U11" i="51"/>
  <c r="T11" i="51"/>
  <c r="S11" i="51"/>
  <c r="R11" i="51"/>
  <c r="Q11" i="51"/>
  <c r="CT10" i="51"/>
  <c r="CS10" i="51"/>
  <c r="CQ10" i="51"/>
  <c r="CP10" i="51"/>
  <c r="CO10" i="51"/>
  <c r="CN10" i="51"/>
  <c r="CK10" i="51"/>
  <c r="CJ10" i="51"/>
  <c r="CI10" i="51"/>
  <c r="CG10" i="51"/>
  <c r="CF10" i="51"/>
  <c r="CE10" i="51"/>
  <c r="CD10" i="51"/>
  <c r="CC10" i="51"/>
  <c r="CB10" i="51"/>
  <c r="CA10" i="51"/>
  <c r="BZ10" i="51"/>
  <c r="BY10" i="51"/>
  <c r="BX10" i="51"/>
  <c r="BW10" i="51"/>
  <c r="BV10" i="51"/>
  <c r="BU10" i="51"/>
  <c r="BT10" i="51"/>
  <c r="BS10" i="51"/>
  <c r="BR10" i="51"/>
  <c r="BQ10" i="51"/>
  <c r="BP10" i="51"/>
  <c r="BO10" i="51"/>
  <c r="BN10" i="51"/>
  <c r="BM10" i="51"/>
  <c r="BL10" i="51"/>
  <c r="BK10" i="51"/>
  <c r="BJ10" i="51"/>
  <c r="BI10" i="51"/>
  <c r="BH10" i="51"/>
  <c r="BG10" i="51"/>
  <c r="BF10" i="51"/>
  <c r="BE10" i="51"/>
  <c r="CT9" i="51"/>
  <c r="CS9" i="51"/>
  <c r="CQ9" i="51"/>
  <c r="CP9" i="51"/>
  <c r="CO9" i="51"/>
  <c r="CN9" i="51"/>
  <c r="CK9" i="51"/>
  <c r="CJ9" i="51"/>
  <c r="CI9" i="51"/>
  <c r="CM9" i="51" s="1"/>
  <c r="CG9" i="51"/>
  <c r="CF9" i="51"/>
  <c r="CE9" i="51"/>
  <c r="CD9" i="51"/>
  <c r="CH9" i="51" s="1"/>
  <c r="CC9" i="51"/>
  <c r="CB9" i="51"/>
  <c r="CA9" i="51"/>
  <c r="BZ9" i="51"/>
  <c r="BY9" i="51"/>
  <c r="BX9" i="51"/>
  <c r="BW9" i="51"/>
  <c r="BV9" i="51"/>
  <c r="BU9" i="51"/>
  <c r="BT9" i="51"/>
  <c r="BS9" i="51"/>
  <c r="BR9" i="51"/>
  <c r="BQ9" i="51"/>
  <c r="BP9" i="51"/>
  <c r="BO9" i="51"/>
  <c r="BN9" i="51"/>
  <c r="BM9" i="51"/>
  <c r="BL9" i="51"/>
  <c r="BK9" i="51"/>
  <c r="BJ9" i="51"/>
  <c r="BI9" i="51"/>
  <c r="BH9" i="51"/>
  <c r="BG9" i="51"/>
  <c r="BF9" i="51"/>
  <c r="BE9" i="51"/>
  <c r="CT8" i="51"/>
  <c r="CS8" i="51"/>
  <c r="CQ8" i="51"/>
  <c r="CP8" i="51"/>
  <c r="CO8" i="51"/>
  <c r="CN8" i="51"/>
  <c r="CK8" i="51"/>
  <c r="CJ8" i="51"/>
  <c r="CI8" i="51"/>
  <c r="CG8" i="51"/>
  <c r="CF8" i="51"/>
  <c r="CE8" i="51"/>
  <c r="CD8" i="51"/>
  <c r="CC8" i="51"/>
  <c r="CB8" i="51"/>
  <c r="CA8" i="51"/>
  <c r="BZ8" i="51"/>
  <c r="BY8" i="51"/>
  <c r="BX8" i="51"/>
  <c r="BW8" i="51"/>
  <c r="BV8" i="51"/>
  <c r="BU8" i="51"/>
  <c r="BT8" i="51"/>
  <c r="BS8" i="51"/>
  <c r="BR8" i="51"/>
  <c r="BQ8" i="51"/>
  <c r="BP8" i="51"/>
  <c r="BO8" i="51"/>
  <c r="BN8" i="51"/>
  <c r="BM8" i="51"/>
  <c r="BL8" i="51"/>
  <c r="BK8" i="51"/>
  <c r="BJ8" i="51"/>
  <c r="BI8" i="51"/>
  <c r="BH8" i="51"/>
  <c r="BG8" i="51"/>
  <c r="BF8" i="51"/>
  <c r="BE8" i="51"/>
  <c r="BD9" i="51"/>
  <c r="BC9" i="51"/>
  <c r="BB9" i="51"/>
  <c r="BA9" i="51"/>
  <c r="AZ9" i="51"/>
  <c r="AY9" i="51"/>
  <c r="AX9" i="51"/>
  <c r="AW9" i="51"/>
  <c r="AV9" i="51"/>
  <c r="AU9" i="51"/>
  <c r="AT9" i="51"/>
  <c r="AS9" i="51"/>
  <c r="AR9" i="51"/>
  <c r="AQ9" i="51"/>
  <c r="AP9" i="51"/>
  <c r="AO9" i="51"/>
  <c r="AN9" i="51"/>
  <c r="AM9" i="51"/>
  <c r="AL9" i="51"/>
  <c r="AK9" i="51"/>
  <c r="AJ9" i="51"/>
  <c r="AI9" i="51"/>
  <c r="AH9" i="51"/>
  <c r="AG9" i="51"/>
  <c r="AF9" i="51"/>
  <c r="AE9" i="51"/>
  <c r="AD9" i="51"/>
  <c r="AC9" i="51"/>
  <c r="AB9" i="51"/>
  <c r="AA9" i="51"/>
  <c r="Z9" i="51"/>
  <c r="Y9" i="51"/>
  <c r="X9" i="51"/>
  <c r="W9" i="51"/>
  <c r="V9" i="51"/>
  <c r="U9" i="51"/>
  <c r="T9" i="51"/>
  <c r="S9" i="51"/>
  <c r="R9" i="51"/>
  <c r="Q9" i="51"/>
  <c r="BD8" i="51"/>
  <c r="BC8" i="51"/>
  <c r="BB8" i="51"/>
  <c r="BA8" i="51"/>
  <c r="AZ8" i="51"/>
  <c r="AY8" i="51"/>
  <c r="AX8" i="51"/>
  <c r="AW8" i="51"/>
  <c r="AV8" i="51"/>
  <c r="AU8" i="51"/>
  <c r="AT8" i="51"/>
  <c r="AS8" i="51"/>
  <c r="AR8" i="51"/>
  <c r="AQ8" i="51"/>
  <c r="AP8" i="51"/>
  <c r="AO8" i="51"/>
  <c r="AN8" i="51"/>
  <c r="AM8" i="51"/>
  <c r="AL8" i="51"/>
  <c r="AK8" i="51"/>
  <c r="AJ8" i="51"/>
  <c r="AI8" i="51"/>
  <c r="AH8" i="51"/>
  <c r="AG8" i="51"/>
  <c r="AF8" i="51"/>
  <c r="AE8" i="51"/>
  <c r="AD8" i="51"/>
  <c r="AC8" i="51"/>
  <c r="AB8" i="51"/>
  <c r="AA8" i="51"/>
  <c r="Z8" i="51"/>
  <c r="Y8" i="51"/>
  <c r="X8" i="51"/>
  <c r="W8" i="51"/>
  <c r="V8" i="51"/>
  <c r="U8" i="51"/>
  <c r="T8" i="51"/>
  <c r="S8" i="51"/>
  <c r="R8" i="51"/>
  <c r="Q8" i="51"/>
  <c r="CT5" i="51"/>
  <c r="CV144" i="49" s="1"/>
  <c r="CS5" i="51"/>
  <c r="CR5" i="51"/>
  <c r="CT144" i="49" s="1"/>
  <c r="CQ5" i="51"/>
  <c r="CS144" i="49" s="1"/>
  <c r="CP5" i="51"/>
  <c r="CR144" i="49" s="1"/>
  <c r="CO5" i="51"/>
  <c r="CN5" i="51"/>
  <c r="CP144" i="49" s="1"/>
  <c r="CM5" i="51"/>
  <c r="CO144" i="49" s="1"/>
  <c r="CL5" i="51"/>
  <c r="CN144" i="49" s="1"/>
  <c r="CK5" i="51"/>
  <c r="CJ5" i="51"/>
  <c r="CL144" i="49" s="1"/>
  <c r="CI5" i="51"/>
  <c r="CI57" i="51" s="1"/>
  <c r="CH5" i="51"/>
  <c r="CJ144" i="49" s="1"/>
  <c r="CG5" i="51"/>
  <c r="CF5" i="51"/>
  <c r="CH144" i="49" s="1"/>
  <c r="CE5" i="51"/>
  <c r="CG144" i="49" s="1"/>
  <c r="CD5" i="51"/>
  <c r="CF144" i="49" s="1"/>
  <c r="CC5" i="51"/>
  <c r="CB5" i="51"/>
  <c r="CD144" i="49" s="1"/>
  <c r="CA5" i="51"/>
  <c r="CC144" i="49" s="1"/>
  <c r="BZ5" i="51"/>
  <c r="CB144" i="49" s="1"/>
  <c r="BY5" i="51"/>
  <c r="BX5" i="51"/>
  <c r="BZ144" i="49" s="1"/>
  <c r="BW5" i="51"/>
  <c r="BY144" i="49" s="1"/>
  <c r="BV5" i="51"/>
  <c r="BX144" i="49" s="1"/>
  <c r="BU5" i="51"/>
  <c r="BT5" i="51"/>
  <c r="BV144" i="49" s="1"/>
  <c r="BS5" i="51"/>
  <c r="BU144" i="49" s="1"/>
  <c r="BR5" i="51"/>
  <c r="BT144" i="49" s="1"/>
  <c r="BQ5" i="51"/>
  <c r="BP5" i="51"/>
  <c r="BR144" i="49" s="1"/>
  <c r="BO5" i="51"/>
  <c r="BQ144" i="49" s="1"/>
  <c r="BN5" i="51"/>
  <c r="BP144" i="49" s="1"/>
  <c r="BM5" i="51"/>
  <c r="BL5" i="51"/>
  <c r="BN144" i="49" s="1"/>
  <c r="BK5" i="51"/>
  <c r="BM144" i="49" s="1"/>
  <c r="BJ5" i="51"/>
  <c r="BL856" i="49" s="1"/>
  <c r="BI5" i="51"/>
  <c r="BH5" i="51"/>
  <c r="BJ144" i="49" s="1"/>
  <c r="BG5" i="51"/>
  <c r="BI144" i="49" s="1"/>
  <c r="BF5" i="51"/>
  <c r="BH144" i="49" s="1"/>
  <c r="BE5" i="51"/>
  <c r="BD5" i="51"/>
  <c r="BF144" i="49" s="1"/>
  <c r="BC5" i="51"/>
  <c r="BE856" i="49" s="1"/>
  <c r="BB5" i="51"/>
  <c r="BD856" i="49" s="1"/>
  <c r="BA5" i="51"/>
  <c r="AZ5" i="51"/>
  <c r="BB144" i="49" s="1"/>
  <c r="AY5" i="51"/>
  <c r="BA144" i="49" s="1"/>
  <c r="AX5" i="51"/>
  <c r="AZ144" i="49" s="1"/>
  <c r="AW5" i="51"/>
  <c r="AV5" i="51"/>
  <c r="AX144" i="49" s="1"/>
  <c r="AU5" i="51"/>
  <c r="AW144" i="49" s="1"/>
  <c r="AT5" i="51"/>
  <c r="AV144" i="49" s="1"/>
  <c r="AS5" i="51"/>
  <c r="AR5" i="51"/>
  <c r="AT144" i="49" s="1"/>
  <c r="AQ5" i="51"/>
  <c r="AS144" i="49" s="1"/>
  <c r="AP5" i="51"/>
  <c r="AR144" i="49" s="1"/>
  <c r="AO5" i="51"/>
  <c r="AN5" i="51"/>
  <c r="AP144" i="49" s="1"/>
  <c r="AM5" i="51"/>
  <c r="AO144" i="49" s="1"/>
  <c r="AL5" i="51"/>
  <c r="AN144" i="49" s="1"/>
  <c r="AK5" i="51"/>
  <c r="AD4" i="51"/>
  <c r="AC4" i="51"/>
  <c r="AB4" i="51"/>
  <c r="Y4" i="51"/>
  <c r="X4" i="51"/>
  <c r="W4" i="51"/>
  <c r="L4" i="51"/>
  <c r="J4" i="51"/>
  <c r="I4" i="51"/>
  <c r="H4" i="51"/>
  <c r="E4" i="51"/>
  <c r="D4" i="51"/>
  <c r="F4" i="51" s="1"/>
  <c r="C4" i="51"/>
  <c r="CT3" i="51"/>
  <c r="CS3" i="51"/>
  <c r="CR3" i="51"/>
  <c r="CQ3" i="51"/>
  <c r="CP3" i="51"/>
  <c r="CO3" i="51"/>
  <c r="CP4" i="51" s="1"/>
  <c r="CN3" i="51"/>
  <c r="CM3" i="51"/>
  <c r="CL3" i="51"/>
  <c r="CK3" i="51"/>
  <c r="CL4" i="51" s="1"/>
  <c r="CJ3" i="51"/>
  <c r="CI3" i="51"/>
  <c r="CH3" i="51"/>
  <c r="CG3" i="51"/>
  <c r="CG4" i="51" s="1"/>
  <c r="CF3" i="51"/>
  <c r="CE3" i="51"/>
  <c r="CD3" i="51"/>
  <c r="CC3" i="51"/>
  <c r="CD4" i="51" s="1"/>
  <c r="CB3" i="51"/>
  <c r="CA3" i="51"/>
  <c r="BZ3" i="51"/>
  <c r="BY3" i="51"/>
  <c r="BZ4" i="51" s="1"/>
  <c r="BW3" i="51"/>
  <c r="BV3" i="51"/>
  <c r="BU3" i="51"/>
  <c r="BT3" i="51"/>
  <c r="BR3" i="51"/>
  <c r="BS3" i="51" s="1"/>
  <c r="BQ3" i="51"/>
  <c r="BP3" i="51"/>
  <c r="BO3" i="51"/>
  <c r="AN3" i="51"/>
  <c r="AI3" i="51"/>
  <c r="Z3" i="51"/>
  <c r="AA4" i="51" s="1"/>
  <c r="U3" i="51"/>
  <c r="V4" i="51" s="1"/>
  <c r="P3" i="51"/>
  <c r="Q3" i="51" s="1"/>
  <c r="M3" i="51"/>
  <c r="M4" i="51" s="1"/>
  <c r="K3" i="51"/>
  <c r="F3" i="51"/>
  <c r="G4" i="51" s="1"/>
  <c r="E32" i="87"/>
  <c r="E31" i="87"/>
  <c r="E30" i="87"/>
  <c r="F23" i="87"/>
  <c r="F22" i="87"/>
  <c r="F21" i="87"/>
  <c r="F20" i="87"/>
  <c r="F19" i="87"/>
  <c r="F18" i="87"/>
  <c r="F17" i="87"/>
  <c r="F16" i="87"/>
  <c r="F15" i="87"/>
  <c r="F14" i="87"/>
  <c r="F13" i="87"/>
  <c r="F12" i="87"/>
  <c r="H25" i="87" s="1"/>
  <c r="F11" i="87"/>
  <c r="F10" i="87"/>
  <c r="F9" i="87"/>
  <c r="F8" i="87"/>
  <c r="F7" i="87"/>
  <c r="F6" i="87"/>
  <c r="F5" i="87"/>
  <c r="D24" i="87"/>
  <c r="K21" i="87"/>
  <c r="IT804" i="72"/>
  <c r="IT807" i="72" s="1"/>
  <c r="IR803" i="72"/>
  <c r="IV802" i="72"/>
  <c r="ET506" i="72" s="1"/>
  <c r="IT802" i="72"/>
  <c r="IO797" i="72"/>
  <c r="IO796" i="72"/>
  <c r="IP796" i="72"/>
  <c r="IK776" i="72"/>
  <c r="IK775" i="72"/>
  <c r="IK773" i="72"/>
  <c r="IK772" i="72"/>
  <c r="IK770" i="72"/>
  <c r="IG754" i="72"/>
  <c r="IG755" i="72" s="1"/>
  <c r="ID741" i="72"/>
  <c r="ID740" i="72" s="1"/>
  <c r="ID739" i="72"/>
  <c r="IG750" i="72" s="1"/>
  <c r="IG751" i="72" s="1"/>
  <c r="IA733" i="72"/>
  <c r="IA736" i="72" s="1"/>
  <c r="HW710" i="72"/>
  <c r="HX710" i="72" s="1"/>
  <c r="HT688" i="72"/>
  <c r="HJ674" i="72"/>
  <c r="HJ675" i="72" s="1"/>
  <c r="HJ676" i="72" s="1"/>
  <c r="HJ677" i="72" s="1"/>
  <c r="HJ678" i="72" s="1"/>
  <c r="HJ679" i="72" s="1"/>
  <c r="HJ680" i="72" s="1"/>
  <c r="HJ681" i="72" s="1"/>
  <c r="HE666" i="72"/>
  <c r="HE658" i="72"/>
  <c r="HE661" i="72" s="1"/>
  <c r="HE662" i="72" s="1"/>
  <c r="HE656" i="72"/>
  <c r="FX654" i="72"/>
  <c r="HE653" i="72"/>
  <c r="GT649" i="72"/>
  <c r="GT648" i="72"/>
  <c r="GS641" i="72"/>
  <c r="GU641" i="72" s="1"/>
  <c r="GR641" i="72"/>
  <c r="GX640" i="72"/>
  <c r="GV641" i="72"/>
  <c r="GV640" i="72"/>
  <c r="GU640" i="72"/>
  <c r="GR640" i="72"/>
  <c r="GI615" i="72"/>
  <c r="GK615" i="72" s="1"/>
  <c r="GB590" i="72"/>
  <c r="FR561" i="72"/>
  <c r="FR562" i="72" s="1"/>
  <c r="FR559" i="72"/>
  <c r="FR556" i="72"/>
  <c r="FR557" i="72" s="1"/>
  <c r="FI548" i="72"/>
  <c r="FI549" i="72" s="1"/>
  <c r="FI550" i="72" s="1"/>
  <c r="FI551" i="72" s="1"/>
  <c r="FI552" i="72" s="1"/>
  <c r="GS547" i="72"/>
  <c r="FF527" i="72"/>
  <c r="FI524" i="72"/>
  <c r="FF522" i="72"/>
  <c r="FF524" i="72" s="1"/>
  <c r="EY514" i="72"/>
  <c r="FJ546" i="72" s="1"/>
  <c r="FK546" i="72" s="1"/>
  <c r="FL546" i="72" s="1"/>
  <c r="FM546" i="72" s="1"/>
  <c r="FN546" i="72" s="1"/>
  <c r="FO546" i="72" s="1"/>
  <c r="EY512" i="72"/>
  <c r="EY511" i="72" s="1"/>
  <c r="ES512" i="72"/>
  <c r="ET512" i="72" s="1"/>
  <c r="ET511" i="72"/>
  <c r="ET510" i="72"/>
  <c r="ET509" i="72"/>
  <c r="ES508" i="72"/>
  <c r="ET508" i="72" s="1"/>
  <c r="EZ513" i="72"/>
  <c r="EB455" i="72"/>
  <c r="EB451" i="72"/>
  <c r="EB447" i="72"/>
  <c r="DD420" i="72"/>
  <c r="DD423" i="72" s="1"/>
  <c r="DN400" i="72"/>
  <c r="DI399" i="72"/>
  <c r="DJ399" i="72" s="1"/>
  <c r="DK399" i="72" s="1"/>
  <c r="DL399" i="72" s="1"/>
  <c r="DM399" i="72" s="1"/>
  <c r="DN399" i="72" s="1"/>
  <c r="DO399" i="72" s="1"/>
  <c r="DP399" i="72" s="1"/>
  <c r="DQ399" i="72" s="1"/>
  <c r="DR399" i="72" s="1"/>
  <c r="DE399" i="72"/>
  <c r="DF399" i="72" s="1"/>
  <c r="DG399" i="72" s="1"/>
  <c r="CU384" i="72"/>
  <c r="CU382" i="72"/>
  <c r="CU380" i="72"/>
  <c r="CR373" i="72"/>
  <c r="CR371" i="72"/>
  <c r="CR372" i="72" s="1"/>
  <c r="CR368" i="72"/>
  <c r="CP361" i="72"/>
  <c r="CO361" i="72"/>
  <c r="CN361" i="72"/>
  <c r="CP347" i="72"/>
  <c r="CO347" i="72"/>
  <c r="CN347" i="72"/>
  <c r="CL337" i="72"/>
  <c r="CK337" i="72"/>
  <c r="CJ337" i="72"/>
  <c r="CI337" i="72"/>
  <c r="CH337" i="72"/>
  <c r="CG337" i="72"/>
  <c r="CJ331" i="72"/>
  <c r="CI331" i="72"/>
  <c r="CH331" i="72"/>
  <c r="CE325" i="72"/>
  <c r="G23" i="73" l="1"/>
  <c r="G25" i="73"/>
  <c r="G29" i="73"/>
  <c r="G14" i="73"/>
  <c r="G24" i="73"/>
  <c r="G43" i="73"/>
  <c r="R71" i="81"/>
  <c r="R69" i="73"/>
  <c r="CA4" i="51"/>
  <c r="CI4" i="51"/>
  <c r="CQ4" i="51"/>
  <c r="CE4" i="51"/>
  <c r="BT4" i="51"/>
  <c r="CB4" i="51"/>
  <c r="CJ4" i="51"/>
  <c r="CN4" i="51"/>
  <c r="G21" i="81"/>
  <c r="G23" i="81"/>
  <c r="G40" i="81"/>
  <c r="G42" i="81"/>
  <c r="G44" i="81"/>
  <c r="G33" i="73"/>
  <c r="H17" i="68"/>
  <c r="F26" i="73"/>
  <c r="O329" i="49"/>
  <c r="O398" i="49" s="1"/>
  <c r="O387" i="49"/>
  <c r="K396" i="49"/>
  <c r="J122" i="49"/>
  <c r="K402" i="49"/>
  <c r="J261" i="49"/>
  <c r="K323" i="49"/>
  <c r="O335" i="49"/>
  <c r="M465" i="49"/>
  <c r="K672" i="49"/>
  <c r="I934" i="49"/>
  <c r="N934" i="49"/>
  <c r="O973" i="49"/>
  <c r="N399" i="49"/>
  <c r="J118" i="49"/>
  <c r="K331" i="49"/>
  <c r="J323" i="49"/>
  <c r="J388" i="49"/>
  <c r="J400" i="49"/>
  <c r="J399" i="49"/>
  <c r="J401" i="49"/>
  <c r="K119" i="49"/>
  <c r="I121" i="49"/>
  <c r="M196" i="49"/>
  <c r="I402" i="49"/>
  <c r="J262" i="49"/>
  <c r="J392" i="49"/>
  <c r="N402" i="49"/>
  <c r="I703" i="49"/>
  <c r="M676" i="49"/>
  <c r="M609" i="49"/>
  <c r="I688" i="49"/>
  <c r="I833" i="49" s="1"/>
  <c r="M114" i="49"/>
  <c r="I319" i="49"/>
  <c r="I388" i="49" s="1"/>
  <c r="K400" i="49"/>
  <c r="O119" i="49"/>
  <c r="I210" i="49"/>
  <c r="J319" i="49"/>
  <c r="K335" i="49"/>
  <c r="K404" i="49" s="1"/>
  <c r="I686" i="49"/>
  <c r="N688" i="49"/>
  <c r="J934" i="49"/>
  <c r="CT750" i="49"/>
  <c r="CU608" i="49"/>
  <c r="CP575" i="49"/>
  <c r="CQ579" i="49"/>
  <c r="CM349" i="49"/>
  <c r="CM11" i="51"/>
  <c r="BR4" i="51"/>
  <c r="BV4" i="51"/>
  <c r="AA88" i="31"/>
  <c r="AM976" i="49"/>
  <c r="AM912" i="49"/>
  <c r="AM1005" i="49"/>
  <c r="AQ976" i="49"/>
  <c r="AQ912" i="49"/>
  <c r="AQ1005" i="49"/>
  <c r="AH88" i="31"/>
  <c r="AU976" i="49"/>
  <c r="AU912" i="49"/>
  <c r="AU1005" i="49"/>
  <c r="AK88" i="31"/>
  <c r="AY976" i="49"/>
  <c r="AY912" i="49"/>
  <c r="AY1005" i="49"/>
  <c r="AN88" i="31"/>
  <c r="BC976" i="49"/>
  <c r="BC912" i="49"/>
  <c r="BC1005" i="49"/>
  <c r="AQ88" i="31"/>
  <c r="BG976" i="49"/>
  <c r="BG912" i="49"/>
  <c r="BG1005" i="49"/>
  <c r="BK976" i="49"/>
  <c r="BK912" i="49"/>
  <c r="BK1005" i="49"/>
  <c r="BK856" i="49"/>
  <c r="BO976" i="49"/>
  <c r="BO912" i="49"/>
  <c r="BO1005" i="49"/>
  <c r="BO856" i="49"/>
  <c r="BS976" i="49"/>
  <c r="BS912" i="49"/>
  <c r="BS1005" i="49"/>
  <c r="BS856" i="49"/>
  <c r="BW976" i="49"/>
  <c r="BW912" i="49"/>
  <c r="BW1005" i="49"/>
  <c r="BW856" i="49"/>
  <c r="CA976" i="49"/>
  <c r="CA912" i="49"/>
  <c r="CA1005" i="49"/>
  <c r="CA856" i="49"/>
  <c r="CE976" i="49"/>
  <c r="CE912" i="49"/>
  <c r="CE1005" i="49"/>
  <c r="CE856" i="49"/>
  <c r="CI976" i="49"/>
  <c r="CI912" i="49"/>
  <c r="CI1005" i="49"/>
  <c r="CI856" i="49"/>
  <c r="CM976" i="49"/>
  <c r="CM912" i="49"/>
  <c r="CM1005" i="49"/>
  <c r="CM856" i="49"/>
  <c r="CQ976" i="49"/>
  <c r="CQ912" i="49"/>
  <c r="CQ1005" i="49"/>
  <c r="CQ856" i="49"/>
  <c r="CU976" i="49"/>
  <c r="CU912" i="49"/>
  <c r="CU1005" i="49"/>
  <c r="CU856" i="49"/>
  <c r="AY57" i="51"/>
  <c r="BO57" i="51"/>
  <c r="CE57" i="51"/>
  <c r="AW219" i="51"/>
  <c r="AM4" i="49"/>
  <c r="AQ4" i="49"/>
  <c r="AU4" i="49"/>
  <c r="AY4" i="49"/>
  <c r="BC4" i="49"/>
  <c r="BG4" i="49"/>
  <c r="BK4" i="49"/>
  <c r="BO4" i="49"/>
  <c r="BS4" i="49"/>
  <c r="BW4" i="49"/>
  <c r="CA4" i="49"/>
  <c r="CE4" i="49"/>
  <c r="CI4" i="49"/>
  <c r="CM4" i="49"/>
  <c r="CQ4" i="49"/>
  <c r="CU4" i="49"/>
  <c r="AP6" i="49"/>
  <c r="AT6" i="49"/>
  <c r="AX6" i="49"/>
  <c r="BB6" i="49"/>
  <c r="BF6" i="49"/>
  <c r="BJ6" i="49"/>
  <c r="BN6" i="49"/>
  <c r="BR6" i="49"/>
  <c r="BV6" i="49"/>
  <c r="BZ6" i="49"/>
  <c r="CD6" i="49"/>
  <c r="CH6" i="49"/>
  <c r="CL6" i="49"/>
  <c r="CP6" i="49"/>
  <c r="CT6" i="49"/>
  <c r="BD144" i="49"/>
  <c r="BL144" i="49"/>
  <c r="AO281" i="49"/>
  <c r="AS281" i="49"/>
  <c r="AW281" i="49"/>
  <c r="BA281" i="49"/>
  <c r="BE281" i="49"/>
  <c r="BI281" i="49"/>
  <c r="BM281" i="49"/>
  <c r="BQ281" i="49"/>
  <c r="BU281" i="49"/>
  <c r="BY281" i="49"/>
  <c r="CC281" i="49"/>
  <c r="CG281" i="49"/>
  <c r="CO281" i="49"/>
  <c r="CS281" i="49"/>
  <c r="AM423" i="49"/>
  <c r="AQ423" i="49"/>
  <c r="AU423" i="49"/>
  <c r="AY423" i="49"/>
  <c r="BC423" i="49"/>
  <c r="BG423" i="49"/>
  <c r="BK423" i="49"/>
  <c r="BO423" i="49"/>
  <c r="BS423" i="49"/>
  <c r="BW423" i="49"/>
  <c r="CA423" i="49"/>
  <c r="CE423" i="49"/>
  <c r="CI423" i="49"/>
  <c r="CM423" i="49"/>
  <c r="CQ423" i="49"/>
  <c r="CU423" i="49"/>
  <c r="AM568" i="49"/>
  <c r="AQ568" i="49"/>
  <c r="AU568" i="49"/>
  <c r="AY568" i="49"/>
  <c r="BC568" i="49"/>
  <c r="BG568" i="49"/>
  <c r="BK568" i="49"/>
  <c r="BO568" i="49"/>
  <c r="BS568" i="49"/>
  <c r="BW568" i="49"/>
  <c r="CA568" i="49"/>
  <c r="CE568" i="49"/>
  <c r="CI568" i="49"/>
  <c r="CM568" i="49"/>
  <c r="CQ568" i="49"/>
  <c r="CU568" i="49"/>
  <c r="AO709" i="49"/>
  <c r="AS709" i="49"/>
  <c r="AW709" i="49"/>
  <c r="BA709" i="49"/>
  <c r="BE709" i="49"/>
  <c r="BI709" i="49"/>
  <c r="BM709" i="49"/>
  <c r="BQ709" i="49"/>
  <c r="BU709" i="49"/>
  <c r="BY709" i="49"/>
  <c r="CC709" i="49"/>
  <c r="CG709" i="49"/>
  <c r="CO709" i="49"/>
  <c r="CS709" i="49"/>
  <c r="AM856" i="49"/>
  <c r="AQ856" i="49"/>
  <c r="AU856" i="49"/>
  <c r="AY856" i="49"/>
  <c r="AB88" i="31"/>
  <c r="AN1005" i="49"/>
  <c r="AN976" i="49"/>
  <c r="AN912" i="49"/>
  <c r="AE88" i="31"/>
  <c r="AR1005" i="49"/>
  <c r="AR976" i="49"/>
  <c r="AR912" i="49"/>
  <c r="AV1005" i="49"/>
  <c r="AV976" i="49"/>
  <c r="AV912" i="49"/>
  <c r="AL88" i="31"/>
  <c r="AZ1005" i="49"/>
  <c r="AZ976" i="49"/>
  <c r="AZ912" i="49"/>
  <c r="AO88" i="31"/>
  <c r="BD1005" i="49"/>
  <c r="BD976" i="49"/>
  <c r="BD912" i="49"/>
  <c r="AR88" i="31"/>
  <c r="BH1005" i="49"/>
  <c r="BH976" i="49"/>
  <c r="BH912" i="49"/>
  <c r="BL1005" i="49"/>
  <c r="BL976" i="49"/>
  <c r="BL912" i="49"/>
  <c r="BP1005" i="49"/>
  <c r="BP976" i="49"/>
  <c r="BP912" i="49"/>
  <c r="BT1005" i="49"/>
  <c r="BT976" i="49"/>
  <c r="BT912" i="49"/>
  <c r="BX1005" i="49"/>
  <c r="BX856" i="49"/>
  <c r="BX976" i="49"/>
  <c r="BX912" i="49"/>
  <c r="CB1005" i="49"/>
  <c r="CB856" i="49"/>
  <c r="CB976" i="49"/>
  <c r="CB912" i="49"/>
  <c r="CF1005" i="49"/>
  <c r="CF856" i="49"/>
  <c r="CF976" i="49"/>
  <c r="CF912" i="49"/>
  <c r="CJ1005" i="49"/>
  <c r="CJ856" i="49"/>
  <c r="CJ976" i="49"/>
  <c r="CJ912" i="49"/>
  <c r="CN1005" i="49"/>
  <c r="CN856" i="49"/>
  <c r="CN976" i="49"/>
  <c r="CN912" i="49"/>
  <c r="CR1005" i="49"/>
  <c r="CR856" i="49"/>
  <c r="CR976" i="49"/>
  <c r="CR912" i="49"/>
  <c r="CV1005" i="49"/>
  <c r="CV856" i="49"/>
  <c r="CV976" i="49"/>
  <c r="CV912" i="49"/>
  <c r="AM57" i="51"/>
  <c r="BC57" i="51"/>
  <c r="BS57" i="51"/>
  <c r="BM219" i="51"/>
  <c r="AN4" i="49"/>
  <c r="AR4" i="49"/>
  <c r="AV4" i="49"/>
  <c r="AZ4" i="49"/>
  <c r="BD4" i="49"/>
  <c r="BH4" i="49"/>
  <c r="BL4" i="49"/>
  <c r="BP4" i="49"/>
  <c r="BT4" i="49"/>
  <c r="BX4" i="49"/>
  <c r="CB4" i="49"/>
  <c r="CF4" i="49"/>
  <c r="CJ4" i="49"/>
  <c r="CN4" i="49"/>
  <c r="CR4" i="49"/>
  <c r="CV4" i="49"/>
  <c r="AM6" i="49"/>
  <c r="AQ6" i="49"/>
  <c r="AU6" i="49"/>
  <c r="AY6" i="49"/>
  <c r="BC6" i="49"/>
  <c r="BG6" i="49"/>
  <c r="BK6" i="49"/>
  <c r="BO6" i="49"/>
  <c r="BS6" i="49"/>
  <c r="BW6" i="49"/>
  <c r="CA6" i="49"/>
  <c r="CE6" i="49"/>
  <c r="CI6" i="49"/>
  <c r="CM6" i="49"/>
  <c r="CQ6" i="49"/>
  <c r="CU6" i="49"/>
  <c r="BE144" i="49"/>
  <c r="AP281" i="49"/>
  <c r="AT281" i="49"/>
  <c r="AX281" i="49"/>
  <c r="BB281" i="49"/>
  <c r="BF281" i="49"/>
  <c r="BJ281" i="49"/>
  <c r="BN281" i="49"/>
  <c r="BR281" i="49"/>
  <c r="BV281" i="49"/>
  <c r="BZ281" i="49"/>
  <c r="CD281" i="49"/>
  <c r="CH281" i="49"/>
  <c r="CL281" i="49"/>
  <c r="CP281" i="49"/>
  <c r="CT281" i="49"/>
  <c r="AN423" i="49"/>
  <c r="AR423" i="49"/>
  <c r="AV423" i="49"/>
  <c r="AZ423" i="49"/>
  <c r="BD423" i="49"/>
  <c r="BH423" i="49"/>
  <c r="BL423" i="49"/>
  <c r="BP423" i="49"/>
  <c r="BT423" i="49"/>
  <c r="BX423" i="49"/>
  <c r="CB423" i="49"/>
  <c r="CF423" i="49"/>
  <c r="CJ423" i="49"/>
  <c r="CN423" i="49"/>
  <c r="CR423" i="49"/>
  <c r="CV423" i="49"/>
  <c r="AN568" i="49"/>
  <c r="AR568" i="49"/>
  <c r="AV568" i="49"/>
  <c r="AZ568" i="49"/>
  <c r="BD568" i="49"/>
  <c r="BH568" i="49"/>
  <c r="BL568" i="49"/>
  <c r="BP568" i="49"/>
  <c r="BT568" i="49"/>
  <c r="BX568" i="49"/>
  <c r="CB568" i="49"/>
  <c r="CF568" i="49"/>
  <c r="CJ568" i="49"/>
  <c r="CN568" i="49"/>
  <c r="CR568" i="49"/>
  <c r="CV568" i="49"/>
  <c r="AP709" i="49"/>
  <c r="AT709" i="49"/>
  <c r="AX709" i="49"/>
  <c r="BB709" i="49"/>
  <c r="BF709" i="49"/>
  <c r="BJ709" i="49"/>
  <c r="BN709" i="49"/>
  <c r="BR709" i="49"/>
  <c r="BV709" i="49"/>
  <c r="BZ709" i="49"/>
  <c r="CD709" i="49"/>
  <c r="CH709" i="49"/>
  <c r="CL709" i="49"/>
  <c r="CP709" i="49"/>
  <c r="CT709" i="49"/>
  <c r="AN856" i="49"/>
  <c r="AR856" i="49"/>
  <c r="AV856" i="49"/>
  <c r="AZ856" i="49"/>
  <c r="BP856" i="49"/>
  <c r="BP4" i="51"/>
  <c r="AC88" i="31"/>
  <c r="AO1005" i="49"/>
  <c r="AO976" i="49"/>
  <c r="AO912" i="49"/>
  <c r="AF88" i="31"/>
  <c r="AS1005" i="49"/>
  <c r="AS976" i="49"/>
  <c r="AS912" i="49"/>
  <c r="AI88" i="31"/>
  <c r="AW1005" i="49"/>
  <c r="AW976" i="49"/>
  <c r="AW912" i="49"/>
  <c r="BA1005" i="49"/>
  <c r="BA976" i="49"/>
  <c r="BA912" i="49"/>
  <c r="AP88" i="31"/>
  <c r="BE1005" i="49"/>
  <c r="BE976" i="49"/>
  <c r="BE912" i="49"/>
  <c r="AS88" i="31"/>
  <c r="BI1005" i="49"/>
  <c r="BI856" i="49"/>
  <c r="BI976" i="49"/>
  <c r="BI912" i="49"/>
  <c r="BM1005" i="49"/>
  <c r="BM856" i="49"/>
  <c r="BM976" i="49"/>
  <c r="BM912" i="49"/>
  <c r="BQ1005" i="49"/>
  <c r="BQ856" i="49"/>
  <c r="BQ976" i="49"/>
  <c r="BQ912" i="49"/>
  <c r="BU1005" i="49"/>
  <c r="BU856" i="49"/>
  <c r="BU976" i="49"/>
  <c r="BU912" i="49"/>
  <c r="BY1005" i="49"/>
  <c r="BY856" i="49"/>
  <c r="BY976" i="49"/>
  <c r="BY912" i="49"/>
  <c r="CC1005" i="49"/>
  <c r="CC856" i="49"/>
  <c r="CC976" i="49"/>
  <c r="CC912" i="49"/>
  <c r="CG1005" i="49"/>
  <c r="CG856" i="49"/>
  <c r="CG976" i="49"/>
  <c r="CG912" i="49"/>
  <c r="CO1005" i="49"/>
  <c r="CO856" i="49"/>
  <c r="CO976" i="49"/>
  <c r="CO912" i="49"/>
  <c r="CS1005" i="49"/>
  <c r="CS856" i="49"/>
  <c r="CS976" i="49"/>
  <c r="CS912" i="49"/>
  <c r="AQ57" i="51"/>
  <c r="BG57" i="51"/>
  <c r="BW57" i="51"/>
  <c r="CM57" i="51"/>
  <c r="CC219" i="51"/>
  <c r="AO4" i="49"/>
  <c r="AS4" i="49"/>
  <c r="AW4" i="49"/>
  <c r="BA4" i="49"/>
  <c r="BE4" i="49"/>
  <c r="BI4" i="49"/>
  <c r="BM4" i="49"/>
  <c r="BQ4" i="49"/>
  <c r="BU4" i="49"/>
  <c r="BY4" i="49"/>
  <c r="CC4" i="49"/>
  <c r="CG4" i="49"/>
  <c r="CO4" i="49"/>
  <c r="CS4" i="49"/>
  <c r="AN6" i="49"/>
  <c r="AR6" i="49"/>
  <c r="AV6" i="49"/>
  <c r="AZ6" i="49"/>
  <c r="BD6" i="49"/>
  <c r="BH6" i="49"/>
  <c r="BL6" i="49"/>
  <c r="BP6" i="49"/>
  <c r="BT6" i="49"/>
  <c r="BX6" i="49"/>
  <c r="CB6" i="49"/>
  <c r="CF6" i="49"/>
  <c r="CJ6" i="49"/>
  <c r="CN6" i="49"/>
  <c r="CR6" i="49"/>
  <c r="CV6" i="49"/>
  <c r="AM281" i="49"/>
  <c r="AQ281" i="49"/>
  <c r="AU281" i="49"/>
  <c r="AY281" i="49"/>
  <c r="BC281" i="49"/>
  <c r="BG281" i="49"/>
  <c r="BK281" i="49"/>
  <c r="BO281" i="49"/>
  <c r="BS281" i="49"/>
  <c r="BW281" i="49"/>
  <c r="CA281" i="49"/>
  <c r="CE281" i="49"/>
  <c r="CI281" i="49"/>
  <c r="CM281" i="49"/>
  <c r="CQ281" i="49"/>
  <c r="CU281" i="49"/>
  <c r="AO423" i="49"/>
  <c r="AS423" i="49"/>
  <c r="AW423" i="49"/>
  <c r="BA423" i="49"/>
  <c r="BE423" i="49"/>
  <c r="BI423" i="49"/>
  <c r="BM423" i="49"/>
  <c r="BQ423" i="49"/>
  <c r="BU423" i="49"/>
  <c r="BY423" i="49"/>
  <c r="CC423" i="49"/>
  <c r="CG423" i="49"/>
  <c r="CO423" i="49"/>
  <c r="CS423" i="49"/>
  <c r="AO568" i="49"/>
  <c r="AS568" i="49"/>
  <c r="AW568" i="49"/>
  <c r="BA568" i="49"/>
  <c r="BE568" i="49"/>
  <c r="BI568" i="49"/>
  <c r="BM568" i="49"/>
  <c r="BQ568" i="49"/>
  <c r="BU568" i="49"/>
  <c r="BY568" i="49"/>
  <c r="CC568" i="49"/>
  <c r="CG568" i="49"/>
  <c r="CO568" i="49"/>
  <c r="CS568" i="49"/>
  <c r="AM709" i="49"/>
  <c r="AQ709" i="49"/>
  <c r="AU709" i="49"/>
  <c r="AY709" i="49"/>
  <c r="BC709" i="49"/>
  <c r="BG709" i="49"/>
  <c r="BK709" i="49"/>
  <c r="BO709" i="49"/>
  <c r="BS709" i="49"/>
  <c r="BW709" i="49"/>
  <c r="CA709" i="49"/>
  <c r="CE709" i="49"/>
  <c r="CI709" i="49"/>
  <c r="CM709" i="49"/>
  <c r="CQ709" i="49"/>
  <c r="CU709" i="49"/>
  <c r="AO856" i="49"/>
  <c r="AS856" i="49"/>
  <c r="AW856" i="49"/>
  <c r="BA856" i="49"/>
  <c r="BG856" i="49"/>
  <c r="BT856" i="49"/>
  <c r="AN57" i="51"/>
  <c r="AD88" i="31"/>
  <c r="AP976" i="49"/>
  <c r="AP912" i="49"/>
  <c r="AP1005" i="49"/>
  <c r="AR57" i="51"/>
  <c r="AG88" i="31"/>
  <c r="AT976" i="49"/>
  <c r="AT912" i="49"/>
  <c r="AT1005" i="49"/>
  <c r="AV57" i="51"/>
  <c r="AJ88" i="31"/>
  <c r="AX976" i="49"/>
  <c r="AX912" i="49"/>
  <c r="AX1005" i="49"/>
  <c r="AZ57" i="51"/>
  <c r="AM88" i="31"/>
  <c r="BB856" i="49"/>
  <c r="BB976" i="49"/>
  <c r="BB912" i="49"/>
  <c r="BB1005" i="49"/>
  <c r="BD57" i="51"/>
  <c r="BF856" i="49"/>
  <c r="BF976" i="49"/>
  <c r="BF912" i="49"/>
  <c r="BF1005" i="49"/>
  <c r="BH57" i="51"/>
  <c r="AT88" i="31"/>
  <c r="BJ856" i="49"/>
  <c r="BJ976" i="49"/>
  <c r="BJ912" i="49"/>
  <c r="BJ1005" i="49"/>
  <c r="BL57" i="51"/>
  <c r="BN856" i="49"/>
  <c r="BN976" i="49"/>
  <c r="BN912" i="49"/>
  <c r="BN1005" i="49"/>
  <c r="BP57" i="51"/>
  <c r="BR856" i="49"/>
  <c r="BR976" i="49"/>
  <c r="BR912" i="49"/>
  <c r="BR1005" i="49"/>
  <c r="BT57" i="51"/>
  <c r="BV856" i="49"/>
  <c r="BV976" i="49"/>
  <c r="BV912" i="49"/>
  <c r="BV1005" i="49"/>
  <c r="BX57" i="51"/>
  <c r="BZ856" i="49"/>
  <c r="BZ976" i="49"/>
  <c r="BZ912" i="49"/>
  <c r="BZ1005" i="49"/>
  <c r="CB57" i="51"/>
  <c r="CD856" i="49"/>
  <c r="CD976" i="49"/>
  <c r="CD912" i="49"/>
  <c r="CD1005" i="49"/>
  <c r="CF57" i="51"/>
  <c r="CH856" i="49"/>
  <c r="CH976" i="49"/>
  <c r="CH912" i="49"/>
  <c r="CH1005" i="49"/>
  <c r="CJ57" i="51"/>
  <c r="CL856" i="49"/>
  <c r="CL976" i="49"/>
  <c r="CL912" i="49"/>
  <c r="CL1005" i="49"/>
  <c r="CN57" i="51"/>
  <c r="CP856" i="49"/>
  <c r="CP976" i="49"/>
  <c r="CP912" i="49"/>
  <c r="CP1005" i="49"/>
  <c r="CR57" i="51"/>
  <c r="CT856" i="49"/>
  <c r="CT976" i="49"/>
  <c r="CT912" i="49"/>
  <c r="CT1005" i="49"/>
  <c r="AU57" i="51"/>
  <c r="BK57" i="51"/>
  <c r="CA57" i="51"/>
  <c r="CQ57" i="51"/>
  <c r="CS219" i="51"/>
  <c r="AP4" i="49"/>
  <c r="AT4" i="49"/>
  <c r="AX4" i="49"/>
  <c r="BB4" i="49"/>
  <c r="BF4" i="49"/>
  <c r="BJ4" i="49"/>
  <c r="BN4" i="49"/>
  <c r="BR4" i="49"/>
  <c r="BV4" i="49"/>
  <c r="BZ4" i="49"/>
  <c r="CD4" i="49"/>
  <c r="CH4" i="49"/>
  <c r="CL4" i="49"/>
  <c r="CP4" i="49"/>
  <c r="CT4" i="49"/>
  <c r="AO6" i="49"/>
  <c r="AS6" i="49"/>
  <c r="AW6" i="49"/>
  <c r="BA6" i="49"/>
  <c r="BE6" i="49"/>
  <c r="BI6" i="49"/>
  <c r="BM6" i="49"/>
  <c r="BQ6" i="49"/>
  <c r="BU6" i="49"/>
  <c r="BY6" i="49"/>
  <c r="CC6" i="49"/>
  <c r="CG6" i="49"/>
  <c r="CO6" i="49"/>
  <c r="CS6" i="49"/>
  <c r="AM144" i="49"/>
  <c r="AQ144" i="49"/>
  <c r="AU144" i="49"/>
  <c r="AY144" i="49"/>
  <c r="BC144" i="49"/>
  <c r="BG144" i="49"/>
  <c r="BK144" i="49"/>
  <c r="BO144" i="49"/>
  <c r="BS144" i="49"/>
  <c r="BW144" i="49"/>
  <c r="CA144" i="49"/>
  <c r="CE144" i="49"/>
  <c r="CI144" i="49"/>
  <c r="CM144" i="49"/>
  <c r="CQ144" i="49"/>
  <c r="CU144" i="49"/>
  <c r="AN281" i="49"/>
  <c r="AR281" i="49"/>
  <c r="AV281" i="49"/>
  <c r="AZ281" i="49"/>
  <c r="BD281" i="49"/>
  <c r="BH281" i="49"/>
  <c r="BL281" i="49"/>
  <c r="BP281" i="49"/>
  <c r="BT281" i="49"/>
  <c r="BX281" i="49"/>
  <c r="CB281" i="49"/>
  <c r="CF281" i="49"/>
  <c r="CJ281" i="49"/>
  <c r="CN281" i="49"/>
  <c r="CR281" i="49"/>
  <c r="CV281" i="49"/>
  <c r="AP423" i="49"/>
  <c r="AT423" i="49"/>
  <c r="AX423" i="49"/>
  <c r="BB423" i="49"/>
  <c r="BF423" i="49"/>
  <c r="BJ423" i="49"/>
  <c r="BN423" i="49"/>
  <c r="BR423" i="49"/>
  <c r="BV423" i="49"/>
  <c r="BZ423" i="49"/>
  <c r="CD423" i="49"/>
  <c r="CH423" i="49"/>
  <c r="CL423" i="49"/>
  <c r="CP423" i="49"/>
  <c r="CT423" i="49"/>
  <c r="AP568" i="49"/>
  <c r="AT568" i="49"/>
  <c r="AX568" i="49"/>
  <c r="BB568" i="49"/>
  <c r="BF568" i="49"/>
  <c r="BJ568" i="49"/>
  <c r="BN568" i="49"/>
  <c r="BR568" i="49"/>
  <c r="BV568" i="49"/>
  <c r="BZ568" i="49"/>
  <c r="CD568" i="49"/>
  <c r="CH568" i="49"/>
  <c r="CL568" i="49"/>
  <c r="CP568" i="49"/>
  <c r="CT568" i="49"/>
  <c r="AN709" i="49"/>
  <c r="AR709" i="49"/>
  <c r="AV709" i="49"/>
  <c r="AZ709" i="49"/>
  <c r="BD709" i="49"/>
  <c r="BH709" i="49"/>
  <c r="BL709" i="49"/>
  <c r="BP709" i="49"/>
  <c r="BT709" i="49"/>
  <c r="BX709" i="49"/>
  <c r="CB709" i="49"/>
  <c r="CF709" i="49"/>
  <c r="CJ709" i="49"/>
  <c r="CN709" i="49"/>
  <c r="CR709" i="49"/>
  <c r="CV709" i="49"/>
  <c r="AP856" i="49"/>
  <c r="AT856" i="49"/>
  <c r="AX856" i="49"/>
  <c r="BC856" i="49"/>
  <c r="BH856" i="49"/>
  <c r="G10" i="73"/>
  <c r="L23" i="73"/>
  <c r="L16" i="81"/>
  <c r="L21" i="81"/>
  <c r="L41" i="81"/>
  <c r="R77" i="81"/>
  <c r="F10" i="73"/>
  <c r="F11" i="73" s="1"/>
  <c r="G26" i="73"/>
  <c r="L24" i="73"/>
  <c r="F17" i="68"/>
  <c r="G14" i="81"/>
  <c r="G22" i="81"/>
  <c r="G24" i="81"/>
  <c r="L22" i="81"/>
  <c r="G27" i="81"/>
  <c r="L43" i="81"/>
  <c r="F33" i="73"/>
  <c r="F40" i="73"/>
  <c r="F42" i="73"/>
  <c r="F44" i="73"/>
  <c r="CR10" i="51"/>
  <c r="ET507" i="72"/>
  <c r="ET516" i="72"/>
  <c r="CR370" i="72"/>
  <c r="CR376" i="72" s="1"/>
  <c r="EZ512" i="72"/>
  <c r="FA512" i="72" s="1"/>
  <c r="FF536" i="72"/>
  <c r="FA513" i="72"/>
  <c r="EZ511" i="72"/>
  <c r="FA511" i="72" s="1"/>
  <c r="EY510" i="72"/>
  <c r="EY509" i="72" s="1"/>
  <c r="EY508" i="72" s="1"/>
  <c r="HE663" i="72"/>
  <c r="HE667" i="72" s="1"/>
  <c r="HE668" i="72" s="1"/>
  <c r="EZ514" i="72"/>
  <c r="FA514" i="72" s="1"/>
  <c r="GD590" i="72"/>
  <c r="GF590" i="72" s="1"/>
  <c r="IG758" i="72"/>
  <c r="IG759" i="72" s="1"/>
  <c r="ET505" i="72"/>
  <c r="EU511" i="72" s="1"/>
  <c r="ID743" i="72"/>
  <c r="IV807" i="72"/>
  <c r="HK680" i="72"/>
  <c r="IV804" i="72"/>
  <c r="CG276" i="49"/>
  <c r="CE91" i="51"/>
  <c r="CC93" i="51"/>
  <c r="CE95" i="51"/>
  <c r="CC97" i="51"/>
  <c r="CE99" i="51"/>
  <c r="CC101" i="51"/>
  <c r="CE103" i="51"/>
  <c r="CD91" i="51"/>
  <c r="CB93" i="51"/>
  <c r="CF93" i="51"/>
  <c r="CD95" i="51"/>
  <c r="CB97" i="51"/>
  <c r="CF97" i="51"/>
  <c r="CD99" i="51"/>
  <c r="CB101" i="51"/>
  <c r="CF101" i="51"/>
  <c r="CD103" i="51"/>
  <c r="GB591" i="72"/>
  <c r="FF531" i="72"/>
  <c r="FF533" i="72" s="1"/>
  <c r="F24" i="87"/>
  <c r="C36" i="30"/>
  <c r="L33" i="30"/>
  <c r="K33" i="30"/>
  <c r="G33" i="30"/>
  <c r="I39" i="35"/>
  <c r="L36" i="35"/>
  <c r="K36" i="35"/>
  <c r="C36" i="48"/>
  <c r="K33" i="48"/>
  <c r="G33" i="48"/>
  <c r="L33" i="48"/>
  <c r="C35" i="56"/>
  <c r="F33" i="56"/>
  <c r="K33" i="56"/>
  <c r="G33" i="56"/>
  <c r="L33" i="56"/>
  <c r="L35" i="56"/>
  <c r="H53" i="58"/>
  <c r="H28" i="58"/>
  <c r="H51" i="58" s="1"/>
  <c r="K30" i="63"/>
  <c r="G30" i="63"/>
  <c r="BD23" i="51"/>
  <c r="AZ407" i="51"/>
  <c r="AZ23" i="51" s="1"/>
  <c r="BC22" i="51"/>
  <c r="BC23" i="51"/>
  <c r="BC409" i="51"/>
  <c r="BH410" i="51" s="1"/>
  <c r="K10" i="73"/>
  <c r="F14" i="73"/>
  <c r="K14" i="73"/>
  <c r="L41" i="73"/>
  <c r="L43" i="73"/>
  <c r="R75" i="73"/>
  <c r="L10" i="73"/>
  <c r="C27" i="73"/>
  <c r="F23" i="73"/>
  <c r="F25" i="73"/>
  <c r="K24" i="73"/>
  <c r="K26" i="73"/>
  <c r="F29" i="73"/>
  <c r="F31" i="73"/>
  <c r="K29" i="73"/>
  <c r="F43" i="73"/>
  <c r="K40" i="73"/>
  <c r="K42" i="73"/>
  <c r="K44" i="73"/>
  <c r="D27" i="73"/>
  <c r="K23" i="73"/>
  <c r="I25" i="81"/>
  <c r="K10" i="81"/>
  <c r="F27" i="81"/>
  <c r="K27" i="81"/>
  <c r="L10" i="81"/>
  <c r="F14" i="81"/>
  <c r="K14" i="81"/>
  <c r="F22" i="81"/>
  <c r="F24" i="81"/>
  <c r="K21" i="81"/>
  <c r="K23" i="81"/>
  <c r="F40" i="81"/>
  <c r="F42" i="81"/>
  <c r="F44" i="81"/>
  <c r="K40" i="81"/>
  <c r="K42" i="81"/>
  <c r="K44" i="81"/>
  <c r="F10" i="81"/>
  <c r="F33" i="81"/>
  <c r="K33" i="81"/>
  <c r="F21" i="81"/>
  <c r="F41" i="81"/>
  <c r="F43" i="81"/>
  <c r="F45" i="81"/>
  <c r="BS140" i="49"/>
  <c r="BC140" i="49"/>
  <c r="BW278" i="49"/>
  <c r="J314" i="49"/>
  <c r="BA402" i="49"/>
  <c r="AI140" i="49"/>
  <c r="BK400" i="49"/>
  <c r="AE141" i="49"/>
  <c r="AZ140" i="49"/>
  <c r="CA141" i="49"/>
  <c r="AG404" i="49"/>
  <c r="BK395" i="49"/>
  <c r="AU141" i="49"/>
  <c r="AK277" i="49"/>
  <c r="AA141" i="49"/>
  <c r="AA140" i="49"/>
  <c r="BW141" i="49"/>
  <c r="BF402" i="49"/>
  <c r="AB121" i="49"/>
  <c r="AB297" i="49"/>
  <c r="AG296" i="49"/>
  <c r="AG120" i="49"/>
  <c r="BA296" i="49"/>
  <c r="BA120" i="49"/>
  <c r="BF119" i="49"/>
  <c r="BF295" i="49"/>
  <c r="BF314" i="49" s="1"/>
  <c r="BK293" i="49"/>
  <c r="BK118" i="49"/>
  <c r="M42" i="49"/>
  <c r="R334" i="49"/>
  <c r="R124" i="49"/>
  <c r="BU318" i="49"/>
  <c r="BU72" i="49"/>
  <c r="CJ108" i="49"/>
  <c r="CJ72" i="49"/>
  <c r="I72" i="49"/>
  <c r="I318" i="49"/>
  <c r="R396" i="49"/>
  <c r="W400" i="49"/>
  <c r="Z140" i="49"/>
  <c r="CL277" i="49"/>
  <c r="CG277" i="49"/>
  <c r="CB417" i="49"/>
  <c r="BS277" i="49"/>
  <c r="CB314" i="49"/>
  <c r="BT418" i="49"/>
  <c r="S392" i="49"/>
  <c r="BI393" i="49"/>
  <c r="CD391" i="49"/>
  <c r="CH401" i="49"/>
  <c r="CK402" i="49"/>
  <c r="CK418" i="49" s="1"/>
  <c r="BO720" i="49"/>
  <c r="BP720" i="49" s="1"/>
  <c r="BO537" i="49"/>
  <c r="BO823" i="49" s="1"/>
  <c r="CS749" i="49"/>
  <c r="CT463" i="49"/>
  <c r="L758" i="49"/>
  <c r="M472" i="49"/>
  <c r="CN948" i="49"/>
  <c r="CO948" i="49" s="1"/>
  <c r="CP948" i="49" s="1"/>
  <c r="CQ948" i="49" s="1"/>
  <c r="CR948" i="49" s="1"/>
  <c r="CS948" i="49" s="1"/>
  <c r="CT948" i="49" s="1"/>
  <c r="CU948" i="49" s="1"/>
  <c r="CV948" i="49" s="1"/>
  <c r="CN790" i="49"/>
  <c r="CS504" i="49"/>
  <c r="CO504" i="49"/>
  <c r="M796" i="49"/>
  <c r="M544" i="49"/>
  <c r="AH997" i="49"/>
  <c r="AH853" i="49"/>
  <c r="AN828" i="49"/>
  <c r="AV830" i="49"/>
  <c r="CT638" i="49"/>
  <c r="AN705" i="49"/>
  <c r="AN706" i="49" s="1"/>
  <c r="AN704" i="49"/>
  <c r="BL415" i="51"/>
  <c r="BL416" i="51" s="1"/>
  <c r="BL414" i="51"/>
  <c r="AQ38" i="49"/>
  <c r="R109" i="49"/>
  <c r="BP121" i="49"/>
  <c r="BZ297" i="49"/>
  <c r="BZ121" i="49"/>
  <c r="CE38" i="49"/>
  <c r="CE109" i="49"/>
  <c r="CE284" i="49"/>
  <c r="CE293" i="49"/>
  <c r="CE396" i="49" s="1"/>
  <c r="CE118" i="49"/>
  <c r="CE298" i="49"/>
  <c r="CE122" i="49"/>
  <c r="CJ129" i="49"/>
  <c r="CJ133" i="49"/>
  <c r="AG72" i="49"/>
  <c r="BA72" i="49"/>
  <c r="M323" i="49"/>
  <c r="BU319" i="49"/>
  <c r="BU388" i="49" s="1"/>
  <c r="CE72" i="49"/>
  <c r="K42" i="49"/>
  <c r="K353" i="49"/>
  <c r="K105" i="49"/>
  <c r="K383" i="49" s="1"/>
  <c r="K110" i="49"/>
  <c r="K319" i="49"/>
  <c r="J396" i="49"/>
  <c r="R388" i="49"/>
  <c r="R400" i="49"/>
  <c r="W390" i="49"/>
  <c r="W398" i="49"/>
  <c r="AG391" i="49"/>
  <c r="AG401" i="49"/>
  <c r="AL393" i="49"/>
  <c r="AL400" i="49"/>
  <c r="BF393" i="49"/>
  <c r="BK355" i="49"/>
  <c r="BK390" i="49" s="1"/>
  <c r="BK394" i="49"/>
  <c r="BU401" i="49"/>
  <c r="BZ400" i="49"/>
  <c r="CE398" i="49"/>
  <c r="AF139" i="49"/>
  <c r="AK141" i="49"/>
  <c r="AP139" i="49"/>
  <c r="AT139" i="49"/>
  <c r="AZ141" i="49"/>
  <c r="BE139" i="49"/>
  <c r="BJ139" i="49"/>
  <c r="BR140" i="49"/>
  <c r="BV139" i="49"/>
  <c r="R118" i="49"/>
  <c r="L120" i="49"/>
  <c r="AG121" i="49"/>
  <c r="BU125" i="49"/>
  <c r="CL138" i="49"/>
  <c r="AK140" i="49"/>
  <c r="BF177" i="49"/>
  <c r="O210" i="49"/>
  <c r="AB210" i="49"/>
  <c r="AV210" i="49"/>
  <c r="CK347" i="49"/>
  <c r="CK275" i="49"/>
  <c r="CK417" i="49" s="1"/>
  <c r="CK210" i="49"/>
  <c r="N76" i="49"/>
  <c r="N243" i="49"/>
  <c r="M215" i="49"/>
  <c r="L182" i="49"/>
  <c r="L77" i="49"/>
  <c r="R404" i="49"/>
  <c r="BK404" i="49"/>
  <c r="BU404" i="49"/>
  <c r="BZ404" i="49"/>
  <c r="CE404" i="49"/>
  <c r="X276" i="49"/>
  <c r="AH276" i="49"/>
  <c r="AL247" i="49"/>
  <c r="AL276" i="49" s="1"/>
  <c r="AM277" i="49" s="1"/>
  <c r="AP276" i="49"/>
  <c r="AZ276" i="49"/>
  <c r="BE278" i="49" s="1"/>
  <c r="BI278" i="49"/>
  <c r="BI277" i="49"/>
  <c r="BN276" i="49"/>
  <c r="BS278" i="49" s="1"/>
  <c r="BP248" i="49"/>
  <c r="AB252" i="49"/>
  <c r="CB276" i="49"/>
  <c r="CG278" i="49" s="1"/>
  <c r="BF262" i="49"/>
  <c r="BU405" i="49"/>
  <c r="BZ260" i="49"/>
  <c r="CK407" i="49"/>
  <c r="CK411" i="49"/>
  <c r="CK415" i="49"/>
  <c r="AA278" i="49"/>
  <c r="V277" i="49"/>
  <c r="N285" i="49"/>
  <c r="N314" i="49" s="1"/>
  <c r="U314" i="49"/>
  <c r="AE314" i="49"/>
  <c r="AJ314" i="49"/>
  <c r="AN314" i="49"/>
  <c r="AS314" i="49"/>
  <c r="BC314" i="49"/>
  <c r="BG314" i="49"/>
  <c r="BQ314" i="49"/>
  <c r="CC314" i="49"/>
  <c r="AP314" i="49"/>
  <c r="CL314" i="49"/>
  <c r="CK349" i="49"/>
  <c r="P349" i="49"/>
  <c r="AD349" i="49"/>
  <c r="AN349" i="49"/>
  <c r="AW349" i="49"/>
  <c r="BB349" i="49"/>
  <c r="BL349" i="49"/>
  <c r="BX349" i="49"/>
  <c r="CB349" i="49"/>
  <c r="BP320" i="49"/>
  <c r="BP390" i="49" s="1"/>
  <c r="O323" i="49"/>
  <c r="BK331" i="49"/>
  <c r="AG333" i="49"/>
  <c r="AG402" i="49" s="1"/>
  <c r="I387" i="49"/>
  <c r="X387" i="49"/>
  <c r="AC418" i="49"/>
  <c r="AP387" i="49"/>
  <c r="AZ387" i="49"/>
  <c r="AZ418" i="49" s="1"/>
  <c r="BD387" i="49"/>
  <c r="AD388" i="49"/>
  <c r="BB388" i="49"/>
  <c r="BV388" i="49"/>
  <c r="L390" i="49"/>
  <c r="P390" i="49"/>
  <c r="AN390" i="49"/>
  <c r="BL390" i="49"/>
  <c r="AD391" i="49"/>
  <c r="BB391" i="49"/>
  <c r="K392" i="49"/>
  <c r="O392" i="49"/>
  <c r="AD392" i="49"/>
  <c r="AH392" i="49"/>
  <c r="AM392" i="49"/>
  <c r="BJ392" i="49"/>
  <c r="BO392" i="49"/>
  <c r="J393" i="49"/>
  <c r="AC393" i="49"/>
  <c r="AH393" i="49"/>
  <c r="BE393" i="49"/>
  <c r="BJ393" i="49"/>
  <c r="BN393" i="49"/>
  <c r="X394" i="49"/>
  <c r="AZ394" i="49"/>
  <c r="BD394" i="49"/>
  <c r="AF395" i="49"/>
  <c r="I396" i="49"/>
  <c r="AP396" i="49"/>
  <c r="AU396" i="49"/>
  <c r="BN396" i="49"/>
  <c r="BS396" i="49"/>
  <c r="CH393" i="49"/>
  <c r="CC394" i="49"/>
  <c r="CC418" i="49" s="1"/>
  <c r="CG394" i="49"/>
  <c r="CL394" i="49"/>
  <c r="CB395" i="49"/>
  <c r="CA396" i="49"/>
  <c r="BZ397" i="49"/>
  <c r="CD397" i="49"/>
  <c r="AW398" i="49"/>
  <c r="BY398" i="49"/>
  <c r="CC398" i="49"/>
  <c r="S399" i="49"/>
  <c r="X399" i="49"/>
  <c r="AG399" i="49"/>
  <c r="BD399" i="49"/>
  <c r="CB399" i="49"/>
  <c r="S400" i="49"/>
  <c r="AB365" i="49"/>
  <c r="AY400" i="49"/>
  <c r="BW400" i="49"/>
  <c r="V401" i="49"/>
  <c r="AX401" i="49"/>
  <c r="CE401" i="49"/>
  <c r="CI401" i="49"/>
  <c r="CJ401" i="49" s="1"/>
  <c r="CJ366" i="49"/>
  <c r="O402" i="49"/>
  <c r="AC402" i="49"/>
  <c r="AL402" i="49"/>
  <c r="BE402" i="49"/>
  <c r="BI402" i="49"/>
  <c r="BI418" i="49" s="1"/>
  <c r="M403" i="49"/>
  <c r="AJ403" i="49"/>
  <c r="BH403" i="49"/>
  <c r="CF403" i="49"/>
  <c r="S404" i="49"/>
  <c r="X404" i="49"/>
  <c r="AF404" i="49"/>
  <c r="AU404" i="49"/>
  <c r="AY404" i="49"/>
  <c r="BD404" i="49"/>
  <c r="CB404" i="49"/>
  <c r="CG383" i="49"/>
  <c r="CP531" i="49"/>
  <c r="CQ428" i="49"/>
  <c r="AW816" i="49"/>
  <c r="AW563" i="49"/>
  <c r="CR432" i="49"/>
  <c r="CH720" i="49"/>
  <c r="CI434" i="49"/>
  <c r="K724" i="49"/>
  <c r="K541" i="49"/>
  <c r="K827" i="49" s="1"/>
  <c r="P724" i="49"/>
  <c r="P457" i="49"/>
  <c r="P541" i="49"/>
  <c r="P827" i="49" s="1"/>
  <c r="BW541" i="49"/>
  <c r="BW827" i="49" s="1"/>
  <c r="BW724" i="49"/>
  <c r="BX438" i="49"/>
  <c r="CD725" i="49"/>
  <c r="CE725" i="49" s="1"/>
  <c r="CE439" i="49"/>
  <c r="CE542" i="49" s="1"/>
  <c r="CD542" i="49"/>
  <c r="CD828" i="49" s="1"/>
  <c r="CP446" i="49"/>
  <c r="CQ937" i="49"/>
  <c r="CQ781" i="49"/>
  <c r="K881" i="49"/>
  <c r="P882" i="49" s="1"/>
  <c r="K782" i="49"/>
  <c r="K461" i="49"/>
  <c r="K530" i="49" s="1"/>
  <c r="CN941" i="49"/>
  <c r="CN884" i="49"/>
  <c r="CO500" i="49"/>
  <c r="X816" i="49"/>
  <c r="X563" i="49"/>
  <c r="V163" i="51"/>
  <c r="BL816" i="49"/>
  <c r="BL563" i="49"/>
  <c r="CN682" i="49"/>
  <c r="CO582" i="49"/>
  <c r="CP874" i="49"/>
  <c r="CP635" i="49"/>
  <c r="CN412" i="51" s="1"/>
  <c r="CN764" i="49"/>
  <c r="CS621" i="49"/>
  <c r="CT621" i="49" s="1"/>
  <c r="CO621" i="49"/>
  <c r="CO764" i="49" s="1"/>
  <c r="CN949" i="49"/>
  <c r="CO949" i="49" s="1"/>
  <c r="CP949" i="49" s="1"/>
  <c r="CQ949" i="49" s="1"/>
  <c r="CR949" i="49" s="1"/>
  <c r="CS949" i="49" s="1"/>
  <c r="CT949" i="49" s="1"/>
  <c r="CU949" i="49" s="1"/>
  <c r="CV949" i="49" s="1"/>
  <c r="CS647" i="49"/>
  <c r="CT647" i="49" s="1"/>
  <c r="CU647" i="49" s="1"/>
  <c r="CV647" i="49" s="1"/>
  <c r="CO647" i="49"/>
  <c r="CO680" i="49" s="1"/>
  <c r="CN680" i="49"/>
  <c r="M298" i="49"/>
  <c r="W298" i="49"/>
  <c r="W122" i="49"/>
  <c r="AL38" i="49"/>
  <c r="AL110" i="49"/>
  <c r="AL119" i="49"/>
  <c r="AL295" i="49"/>
  <c r="AL314" i="49" s="1"/>
  <c r="AQ298" i="49"/>
  <c r="AQ122" i="49"/>
  <c r="AV117" i="49"/>
  <c r="AV292" i="49"/>
  <c r="AV395" i="49" s="1"/>
  <c r="AV121" i="49"/>
  <c r="AV297" i="49"/>
  <c r="BK38" i="49"/>
  <c r="BK284" i="49"/>
  <c r="BK298" i="49"/>
  <c r="BK401" i="49" s="1"/>
  <c r="BK122" i="49"/>
  <c r="AV38" i="49"/>
  <c r="AL334" i="49"/>
  <c r="AL403" i="49" s="1"/>
  <c r="AL124" i="49"/>
  <c r="I400" i="49"/>
  <c r="O396" i="49"/>
  <c r="BZ401" i="49"/>
  <c r="CE400" i="49"/>
  <c r="AO141" i="49"/>
  <c r="AO140" i="49"/>
  <c r="BI141" i="49"/>
  <c r="BU109" i="49"/>
  <c r="S285" i="49"/>
  <c r="S247" i="49"/>
  <c r="S276" i="49" s="1"/>
  <c r="S177" i="49"/>
  <c r="L289" i="49"/>
  <c r="M289" i="49" s="1"/>
  <c r="L251" i="49"/>
  <c r="M152" i="49"/>
  <c r="M251" i="49" s="1"/>
  <c r="AL177" i="49"/>
  <c r="BK326" i="49"/>
  <c r="BK254" i="49"/>
  <c r="L333" i="49"/>
  <c r="L261" i="49"/>
  <c r="M195" i="49"/>
  <c r="L189" i="49"/>
  <c r="L210" i="49" s="1"/>
  <c r="M222" i="49"/>
  <c r="P276" i="49"/>
  <c r="U278" i="49" s="1"/>
  <c r="AK278" i="49"/>
  <c r="BH278" i="49"/>
  <c r="BH277" i="49"/>
  <c r="AV248" i="49"/>
  <c r="CH277" i="49"/>
  <c r="AM278" i="49"/>
  <c r="BU314" i="49"/>
  <c r="AQ331" i="49"/>
  <c r="AQ400" i="49" s="1"/>
  <c r="CL347" i="49"/>
  <c r="N392" i="49"/>
  <c r="AK393" i="49"/>
  <c r="CL387" i="49"/>
  <c r="CL418" i="49" s="1"/>
  <c r="CI390" i="49"/>
  <c r="CJ390" i="49" s="1"/>
  <c r="CJ355" i="49"/>
  <c r="CJ383" i="49" s="1"/>
  <c r="BY396" i="49"/>
  <c r="S398" i="49"/>
  <c r="BC400" i="49"/>
  <c r="AZ816" i="49"/>
  <c r="AZ563" i="49"/>
  <c r="CO532" i="49"/>
  <c r="CO749" i="49"/>
  <c r="CS768" i="49"/>
  <c r="CT482" i="49"/>
  <c r="AG796" i="49"/>
  <c r="AG544" i="49"/>
  <c r="AG830" i="49" s="1"/>
  <c r="AQ890" i="49"/>
  <c r="AQ794" i="49"/>
  <c r="CP675" i="49"/>
  <c r="CQ575" i="49"/>
  <c r="T704" i="49"/>
  <c r="AE705" i="49"/>
  <c r="AE706" i="49" s="1"/>
  <c r="AE704" i="49"/>
  <c r="BH414" i="51"/>
  <c r="BI414" i="51" s="1"/>
  <c r="BI415" i="51" s="1"/>
  <c r="BI416" i="51" s="1"/>
  <c r="N38" i="49"/>
  <c r="BM284" i="49"/>
  <c r="BM109" i="49"/>
  <c r="BM38" i="49"/>
  <c r="CC284" i="49"/>
  <c r="CC38" i="49"/>
  <c r="L293" i="49"/>
  <c r="BL293" i="49"/>
  <c r="BL314" i="49" s="1"/>
  <c r="BL118" i="49"/>
  <c r="BY293" i="49"/>
  <c r="BY118" i="49"/>
  <c r="BY139" i="49" s="1"/>
  <c r="BZ18" i="49"/>
  <c r="CF293" i="49"/>
  <c r="CF396" i="49" s="1"/>
  <c r="CF418" i="49" s="1"/>
  <c r="CF118" i="49"/>
  <c r="M284" i="49"/>
  <c r="M18" i="49"/>
  <c r="I296" i="49"/>
  <c r="I314" i="49" s="1"/>
  <c r="I120" i="49"/>
  <c r="M296" i="49"/>
  <c r="R20" i="49"/>
  <c r="Q296" i="49"/>
  <c r="Q399" i="49" s="1"/>
  <c r="Q120" i="49"/>
  <c r="L121" i="49"/>
  <c r="L297" i="49"/>
  <c r="M21" i="49"/>
  <c r="BP117" i="49"/>
  <c r="BZ117" i="49"/>
  <c r="L38" i="49"/>
  <c r="W319" i="49"/>
  <c r="W349" i="49" s="1"/>
  <c r="AG319" i="49"/>
  <c r="AG388" i="49" s="1"/>
  <c r="AQ319" i="49"/>
  <c r="AQ349" i="49" s="1"/>
  <c r="BA319" i="49"/>
  <c r="BA388" i="49" s="1"/>
  <c r="BK319" i="49"/>
  <c r="BK388" i="49" s="1"/>
  <c r="W329" i="49"/>
  <c r="AQ329" i="49"/>
  <c r="AQ398" i="49" s="1"/>
  <c r="BK329" i="49"/>
  <c r="BK398" i="49" s="1"/>
  <c r="BP324" i="49"/>
  <c r="W72" i="49"/>
  <c r="K398" i="49"/>
  <c r="K399" i="49"/>
  <c r="N400" i="49"/>
  <c r="R390" i="49"/>
  <c r="R403" i="49"/>
  <c r="W399" i="49"/>
  <c r="AB353" i="49"/>
  <c r="AB105" i="49"/>
  <c r="AB383" i="49" s="1"/>
  <c r="AB357" i="49"/>
  <c r="AB392" i="49" s="1"/>
  <c r="AB356" i="49"/>
  <c r="AB391" i="49" s="1"/>
  <c r="AB396" i="49"/>
  <c r="AB401" i="49"/>
  <c r="AG393" i="49"/>
  <c r="AG400" i="49"/>
  <c r="AQ399" i="49"/>
  <c r="AV353" i="49"/>
  <c r="AV387" i="49" s="1"/>
  <c r="AV105" i="49"/>
  <c r="AV383" i="49" s="1"/>
  <c r="AV357" i="49"/>
  <c r="AV392" i="49" s="1"/>
  <c r="AV356" i="49"/>
  <c r="AV391" i="49" s="1"/>
  <c r="AV396" i="49"/>
  <c r="BA393" i="49"/>
  <c r="BF394" i="49"/>
  <c r="BF403" i="49"/>
  <c r="BP353" i="49"/>
  <c r="BP105" i="49"/>
  <c r="BP383" i="49" s="1"/>
  <c r="BP357" i="49"/>
  <c r="BP392" i="49" s="1"/>
  <c r="BP356" i="49"/>
  <c r="BP391" i="49" s="1"/>
  <c r="BP401" i="49"/>
  <c r="BU393" i="49"/>
  <c r="BU400" i="49"/>
  <c r="BZ390" i="49"/>
  <c r="CE399" i="49"/>
  <c r="CK139" i="49"/>
  <c r="X139" i="49"/>
  <c r="AC141" i="49"/>
  <c r="AH139" i="49"/>
  <c r="BB139" i="49"/>
  <c r="BK109" i="49"/>
  <c r="CC109" i="49"/>
  <c r="BA121" i="49"/>
  <c r="J38" i="49"/>
  <c r="O314" i="49"/>
  <c r="W248" i="49"/>
  <c r="W276" i="49" s="1"/>
  <c r="AG248" i="49"/>
  <c r="AG276" i="49" s="1"/>
  <c r="AQ248" i="49"/>
  <c r="AQ276" i="49" s="1"/>
  <c r="AQ278" i="49" s="1"/>
  <c r="BA248" i="49"/>
  <c r="BK248" i="49"/>
  <c r="BK276" i="49" s="1"/>
  <c r="AV255" i="49"/>
  <c r="J177" i="49"/>
  <c r="BP210" i="49"/>
  <c r="AB262" i="49"/>
  <c r="AB335" i="49"/>
  <c r="AB404" i="49" s="1"/>
  <c r="AV262" i="49"/>
  <c r="AV335" i="49"/>
  <c r="AV404" i="49" s="1"/>
  <c r="BP262" i="49"/>
  <c r="BP335" i="49"/>
  <c r="CJ210" i="49"/>
  <c r="BF210" i="49"/>
  <c r="J76" i="49"/>
  <c r="J243" i="49"/>
  <c r="BK243" i="49"/>
  <c r="BK383" i="49" s="1"/>
  <c r="N369" i="49"/>
  <c r="N196" i="49"/>
  <c r="N210" i="49" s="1"/>
  <c r="J247" i="49"/>
  <c r="J276" i="49" s="1"/>
  <c r="T276" i="49"/>
  <c r="Y278" i="49"/>
  <c r="AD276" i="49"/>
  <c r="AR276" i="49"/>
  <c r="AW278" i="49"/>
  <c r="BB276" i="49"/>
  <c r="BF247" i="49"/>
  <c r="BJ276" i="49"/>
  <c r="BT276" i="49"/>
  <c r="AV252" i="49"/>
  <c r="BF261" i="49"/>
  <c r="BZ248" i="49"/>
  <c r="CJ247" i="49"/>
  <c r="CH410" i="49"/>
  <c r="AE277" i="49"/>
  <c r="AU278" i="49"/>
  <c r="AU277" i="49"/>
  <c r="CL278" i="49"/>
  <c r="P314" i="49"/>
  <c r="AG314" i="49"/>
  <c r="AK314" i="49"/>
  <c r="AO314" i="49"/>
  <c r="AY314" i="49"/>
  <c r="BD314" i="49"/>
  <c r="BH314" i="49"/>
  <c r="BJ314" i="49"/>
  <c r="CL349" i="49"/>
  <c r="Q349" i="49"/>
  <c r="V349" i="49"/>
  <c r="AJ349" i="49"/>
  <c r="AO349" i="49"/>
  <c r="AT349" i="49"/>
  <c r="BH349" i="49"/>
  <c r="BM349" i="49"/>
  <c r="BT349" i="49"/>
  <c r="BY349" i="49"/>
  <c r="CC349" i="49"/>
  <c r="CE319" i="49"/>
  <c r="CE349" i="49" s="1"/>
  <c r="CT349" i="49"/>
  <c r="M333" i="49"/>
  <c r="BA333" i="49"/>
  <c r="T387" i="49"/>
  <c r="AD387" i="49"/>
  <c r="AH387" i="49"/>
  <c r="AR387" i="49"/>
  <c r="BE418" i="49"/>
  <c r="BJ387" i="49"/>
  <c r="BR387" i="49"/>
  <c r="BV387" i="49"/>
  <c r="V388" i="49"/>
  <c r="V418" i="49" s="1"/>
  <c r="Z388" i="49"/>
  <c r="AX388" i="49"/>
  <c r="AF390" i="49"/>
  <c r="AJ390" i="49"/>
  <c r="AJ418" i="49" s="1"/>
  <c r="BH390" i="49"/>
  <c r="BH418" i="49" s="1"/>
  <c r="BV390" i="49"/>
  <c r="V391" i="49"/>
  <c r="Z391" i="49"/>
  <c r="AX391" i="49"/>
  <c r="BQ391" i="49"/>
  <c r="BQ418" i="49" s="1"/>
  <c r="BV391" i="49"/>
  <c r="P392" i="49"/>
  <c r="Z392" i="49"/>
  <c r="AE392" i="49"/>
  <c r="AE418" i="49" s="1"/>
  <c r="AI392" i="49"/>
  <c r="AX392" i="49"/>
  <c r="BB392" i="49"/>
  <c r="BG392" i="49"/>
  <c r="BL392" i="49"/>
  <c r="U393" i="49"/>
  <c r="Y393" i="49"/>
  <c r="Y418" i="49" s="1"/>
  <c r="AD393" i="49"/>
  <c r="AW393" i="49"/>
  <c r="AW418" i="49" s="1"/>
  <c r="BB393" i="49"/>
  <c r="T394" i="49"/>
  <c r="AR394" i="49"/>
  <c r="BT394" i="49"/>
  <c r="T395" i="49"/>
  <c r="X395" i="49"/>
  <c r="AM395" i="49"/>
  <c r="AM418" i="49" s="1"/>
  <c r="AQ360" i="49"/>
  <c r="AQ395" i="49" s="1"/>
  <c r="AU395" i="49"/>
  <c r="AU418" i="49" s="1"/>
  <c r="AZ395" i="49"/>
  <c r="BS395" i="49"/>
  <c r="AD396" i="49"/>
  <c r="AH396" i="49"/>
  <c r="AM396" i="49"/>
  <c r="BA396" i="49"/>
  <c r="BJ396" i="49"/>
  <c r="BO396" i="49"/>
  <c r="CM388" i="49"/>
  <c r="CL390" i="49"/>
  <c r="CA392" i="49"/>
  <c r="CA418" i="49" s="1"/>
  <c r="BZ393" i="49"/>
  <c r="CD393" i="49"/>
  <c r="BY394" i="49"/>
  <c r="CD394" i="49"/>
  <c r="CH394" i="49"/>
  <c r="BX395" i="49"/>
  <c r="BX418" i="49" s="1"/>
  <c r="CH395" i="49"/>
  <c r="CL395" i="49"/>
  <c r="BW396" i="49"/>
  <c r="CB396" i="49"/>
  <c r="CG396" i="49"/>
  <c r="CG418" i="49" s="1"/>
  <c r="CF397" i="49"/>
  <c r="CU398" i="49"/>
  <c r="CV399" i="49"/>
  <c r="CT401" i="49"/>
  <c r="CU402" i="49"/>
  <c r="CV403" i="49"/>
  <c r="Q398" i="49"/>
  <c r="Q418" i="49" s="1"/>
  <c r="U398" i="49"/>
  <c r="AS398" i="49"/>
  <c r="BQ398" i="49"/>
  <c r="AR399" i="49"/>
  <c r="BA399" i="49"/>
  <c r="BT399" i="49"/>
  <c r="BX399" i="49"/>
  <c r="AM400" i="49"/>
  <c r="AV365" i="49"/>
  <c r="BO400" i="49"/>
  <c r="BS400" i="49"/>
  <c r="K401" i="49"/>
  <c r="S401" i="49"/>
  <c r="W401" i="49"/>
  <c r="AT401" i="49"/>
  <c r="BR401" i="49"/>
  <c r="Y402" i="49"/>
  <c r="AW402" i="49"/>
  <c r="BY402" i="49"/>
  <c r="CC402" i="49"/>
  <c r="X403" i="49"/>
  <c r="AG403" i="49"/>
  <c r="AZ403" i="49"/>
  <c r="BD403" i="49"/>
  <c r="O404" i="49"/>
  <c r="T404" i="49"/>
  <c r="AM404" i="49"/>
  <c r="AR404" i="49"/>
  <c r="AZ404" i="49"/>
  <c r="BO404" i="49"/>
  <c r="BS404" i="49"/>
  <c r="BX404" i="49"/>
  <c r="BG418" i="49"/>
  <c r="Q388" i="49"/>
  <c r="CD392" i="49"/>
  <c r="BP531" i="49"/>
  <c r="BP817" i="49" s="1"/>
  <c r="CH718" i="49"/>
  <c r="CH535" i="49"/>
  <c r="CH821" i="49" s="1"/>
  <c r="CI432" i="49"/>
  <c r="BR721" i="49"/>
  <c r="BR538" i="49"/>
  <c r="BR824" i="49" s="1"/>
  <c r="BW721" i="49"/>
  <c r="BW538" i="49"/>
  <c r="BW824" i="49" s="1"/>
  <c r="BW1037" i="49" s="1"/>
  <c r="CB721" i="49"/>
  <c r="CB538" i="49"/>
  <c r="CB824" i="49" s="1"/>
  <c r="CB1037" i="49" s="1"/>
  <c r="CF538" i="49"/>
  <c r="CF824" i="49" s="1"/>
  <c r="CF1037" i="49" s="1"/>
  <c r="CF721" i="49"/>
  <c r="CF743" i="49" s="1"/>
  <c r="CP435" i="49"/>
  <c r="CP540" i="49"/>
  <c r="CQ437" i="49"/>
  <c r="CN542" i="49"/>
  <c r="CO439" i="49"/>
  <c r="AL543" i="49"/>
  <c r="AL829" i="49" s="1"/>
  <c r="AV829" i="49"/>
  <c r="BF543" i="49"/>
  <c r="BF829" i="49" s="1"/>
  <c r="BU829" i="49"/>
  <c r="CN746" i="49"/>
  <c r="CS460" i="49"/>
  <c r="CO460" i="49"/>
  <c r="CS760" i="49"/>
  <c r="CT475" i="49"/>
  <c r="CL761" i="49"/>
  <c r="CL544" i="49"/>
  <c r="CQ476" i="49"/>
  <c r="CQ761" i="49" s="1"/>
  <c r="CN954" i="49"/>
  <c r="CO954" i="49" s="1"/>
  <c r="CP954" i="49" s="1"/>
  <c r="CQ954" i="49" s="1"/>
  <c r="CR954" i="49" s="1"/>
  <c r="CS954" i="49" s="1"/>
  <c r="CT954" i="49" s="1"/>
  <c r="CU954" i="49" s="1"/>
  <c r="CV954" i="49" s="1"/>
  <c r="CS509" i="49"/>
  <c r="CO509" i="49"/>
  <c r="CM887" i="49"/>
  <c r="CM810" i="49"/>
  <c r="CR524" i="49"/>
  <c r="CR810" i="49" s="1"/>
  <c r="CM526" i="49"/>
  <c r="AZ824" i="49"/>
  <c r="AV540" i="49"/>
  <c r="AV826" i="49" s="1"/>
  <c r="X828" i="49"/>
  <c r="Z543" i="49"/>
  <c r="Z829" i="49" s="1"/>
  <c r="CG816" i="49"/>
  <c r="CH537" i="49"/>
  <c r="CH823" i="49" s="1"/>
  <c r="CN543" i="49"/>
  <c r="CN691" i="49"/>
  <c r="CN836" i="49" s="1"/>
  <c r="CO590" i="49"/>
  <c r="CO732" i="49" s="1"/>
  <c r="J673" i="49"/>
  <c r="J635" i="49"/>
  <c r="W874" i="49"/>
  <c r="W635" i="49"/>
  <c r="AB750" i="49"/>
  <c r="AB675" i="49"/>
  <c r="AB754" i="49"/>
  <c r="AB679" i="49"/>
  <c r="AQ874" i="49"/>
  <c r="AQ635" i="49"/>
  <c r="AV679" i="49"/>
  <c r="AV754" i="49"/>
  <c r="BK874" i="49"/>
  <c r="BK635" i="49"/>
  <c r="CN752" i="49"/>
  <c r="CO610" i="49"/>
  <c r="CS610" i="49"/>
  <c r="CO614" i="49"/>
  <c r="CO756" i="49" s="1"/>
  <c r="CS614" i="49"/>
  <c r="CT614" i="49" s="1"/>
  <c r="CT951" i="49" s="1"/>
  <c r="CU951" i="49" s="1"/>
  <c r="CV951" i="49" s="1"/>
  <c r="CN756" i="49"/>
  <c r="J761" i="49"/>
  <c r="J686" i="49"/>
  <c r="J830" i="49" s="1"/>
  <c r="BT414" i="51"/>
  <c r="BT415" i="51" s="1"/>
  <c r="CB415" i="51"/>
  <c r="CC412" i="51"/>
  <c r="BZ688" i="49"/>
  <c r="CA705" i="49"/>
  <c r="CA706" i="49" s="1"/>
  <c r="P743" i="49"/>
  <c r="I298" i="49"/>
  <c r="I401" i="49" s="1"/>
  <c r="I122" i="49"/>
  <c r="W38" i="49"/>
  <c r="W284" i="49"/>
  <c r="W293" i="49"/>
  <c r="W314" i="49" s="1"/>
  <c r="W118" i="49"/>
  <c r="AB117" i="49"/>
  <c r="AB292" i="49"/>
  <c r="AB395" i="49" s="1"/>
  <c r="AQ293" i="49"/>
  <c r="AQ396" i="49" s="1"/>
  <c r="AQ118" i="49"/>
  <c r="AQ139" i="49" s="1"/>
  <c r="AQ141" i="49" s="1"/>
  <c r="BF38" i="49"/>
  <c r="BF110" i="49"/>
  <c r="BF334" i="49"/>
  <c r="BF124" i="49"/>
  <c r="BF387" i="49"/>
  <c r="BU395" i="49"/>
  <c r="AJ140" i="49"/>
  <c r="AJ141" i="49"/>
  <c r="BD140" i="49"/>
  <c r="BD141" i="49"/>
  <c r="CH138" i="49"/>
  <c r="CH417" i="49" s="1"/>
  <c r="M177" i="49"/>
  <c r="BD277" i="49"/>
  <c r="BD278" i="49"/>
  <c r="BX277" i="49"/>
  <c r="BX278" i="49"/>
  <c r="CL417" i="49"/>
  <c r="BC277" i="49"/>
  <c r="BE277" i="49"/>
  <c r="BK314" i="49"/>
  <c r="L318" i="49"/>
  <c r="L387" i="49" s="1"/>
  <c r="AF418" i="49"/>
  <c r="BL395" i="49"/>
  <c r="AL398" i="49"/>
  <c r="AD401" i="49"/>
  <c r="BB401" i="49"/>
  <c r="AO402" i="49"/>
  <c r="BM402" i="49"/>
  <c r="L403" i="49"/>
  <c r="CJ815" i="49"/>
  <c r="BO716" i="49"/>
  <c r="BP716" i="49" s="1"/>
  <c r="BO533" i="49"/>
  <c r="BO819" i="49" s="1"/>
  <c r="CN715" i="49"/>
  <c r="CO715" i="49" s="1"/>
  <c r="CN532" i="49"/>
  <c r="CN818" i="49" s="1"/>
  <c r="CN719" i="49"/>
  <c r="CO719" i="49" s="1"/>
  <c r="CN536" i="49"/>
  <c r="K721" i="49"/>
  <c r="K457" i="49"/>
  <c r="Q721" i="49"/>
  <c r="R721" i="49" s="1"/>
  <c r="R435" i="49"/>
  <c r="R538" i="49" s="1"/>
  <c r="R824" i="49" s="1"/>
  <c r="Q538" i="49"/>
  <c r="Q824" i="49" s="1"/>
  <c r="BB721" i="49"/>
  <c r="BB538" i="49"/>
  <c r="BB824" i="49" s="1"/>
  <c r="BB457" i="49"/>
  <c r="BJ721" i="49"/>
  <c r="BK721" i="49" s="1"/>
  <c r="BJ538" i="49"/>
  <c r="BJ824" i="49" s="1"/>
  <c r="BJ1037" i="49" s="1"/>
  <c r="BK435" i="49"/>
  <c r="BK538" i="49" s="1"/>
  <c r="CI543" i="49"/>
  <c r="CJ440" i="49"/>
  <c r="CJ543" i="49" s="1"/>
  <c r="CP450" i="49"/>
  <c r="CN868" i="49"/>
  <c r="CN758" i="49"/>
  <c r="CS472" i="49"/>
  <c r="CO472" i="49"/>
  <c r="R795" i="49"/>
  <c r="R543" i="49"/>
  <c r="R829" i="49" s="1"/>
  <c r="W890" i="49"/>
  <c r="W794" i="49"/>
  <c r="BA796" i="49"/>
  <c r="BA544" i="49"/>
  <c r="BA830" i="49" s="1"/>
  <c r="BK890" i="49"/>
  <c r="BK794" i="49"/>
  <c r="P828" i="49"/>
  <c r="AI705" i="49"/>
  <c r="AI706" i="49" s="1"/>
  <c r="AI704" i="49"/>
  <c r="CC415" i="51"/>
  <c r="I284" i="49"/>
  <c r="I109" i="49"/>
  <c r="I38" i="49"/>
  <c r="BN139" i="49"/>
  <c r="CF139" i="49"/>
  <c r="M115" i="49"/>
  <c r="R111" i="49"/>
  <c r="R116" i="49"/>
  <c r="W112" i="49"/>
  <c r="W139" i="49" s="1"/>
  <c r="W117" i="49"/>
  <c r="W121" i="49"/>
  <c r="AG115" i="49"/>
  <c r="AG119" i="49"/>
  <c r="AL139" i="49"/>
  <c r="AM140" i="49" s="1"/>
  <c r="AQ121" i="49"/>
  <c r="BA115" i="49"/>
  <c r="BA119" i="49"/>
  <c r="BK121" i="49"/>
  <c r="BP295" i="49"/>
  <c r="BP398" i="49" s="1"/>
  <c r="BP119" i="49"/>
  <c r="BP299" i="49"/>
  <c r="BP123" i="49"/>
  <c r="BU296" i="49"/>
  <c r="BU120" i="49"/>
  <c r="CJ112" i="49"/>
  <c r="AB38" i="49"/>
  <c r="CJ38" i="49"/>
  <c r="R72" i="49"/>
  <c r="R318" i="49"/>
  <c r="R387" i="49" s="1"/>
  <c r="AB72" i="49"/>
  <c r="AL72" i="49"/>
  <c r="AL318" i="49"/>
  <c r="AL349" i="49" s="1"/>
  <c r="AV72" i="49"/>
  <c r="BF72" i="49"/>
  <c r="BF318" i="49"/>
  <c r="BP318" i="49"/>
  <c r="BP349" i="49" s="1"/>
  <c r="BP72" i="49"/>
  <c r="L329" i="49"/>
  <c r="L119" i="49"/>
  <c r="M54" i="49"/>
  <c r="M331" i="49" s="1"/>
  <c r="L331" i="49"/>
  <c r="L400" i="49" s="1"/>
  <c r="M55" i="49"/>
  <c r="M332" i="49" s="1"/>
  <c r="L332" i="49"/>
  <c r="M52" i="49"/>
  <c r="M329" i="49" s="1"/>
  <c r="O72" i="49"/>
  <c r="N354" i="49"/>
  <c r="N43" i="49"/>
  <c r="BL919" i="49"/>
  <c r="BL110" i="49"/>
  <c r="BL354" i="49"/>
  <c r="BL388" i="49" s="1"/>
  <c r="L84" i="49"/>
  <c r="L363" i="49"/>
  <c r="M86" i="49"/>
  <c r="M363" i="49" s="1"/>
  <c r="L364" i="49"/>
  <c r="M87" i="49"/>
  <c r="M364" i="49" s="1"/>
  <c r="M399" i="49" s="1"/>
  <c r="M88" i="49"/>
  <c r="M366" i="49" s="1"/>
  <c r="L366" i="49"/>
  <c r="L401" i="49" s="1"/>
  <c r="N119" i="49"/>
  <c r="N329" i="49"/>
  <c r="R395" i="49"/>
  <c r="W392" i="49"/>
  <c r="W396" i="49"/>
  <c r="AB388" i="49"/>
  <c r="AB402" i="49"/>
  <c r="AG398" i="49"/>
  <c r="AL395" i="49"/>
  <c r="AL399" i="49"/>
  <c r="AV388" i="49"/>
  <c r="AV393" i="49"/>
  <c r="BA398" i="49"/>
  <c r="BF395" i="49"/>
  <c r="BK392" i="49"/>
  <c r="BK396" i="49"/>
  <c r="BP388" i="49"/>
  <c r="BP393" i="49"/>
  <c r="BP402" i="49"/>
  <c r="BZ395" i="49"/>
  <c r="BZ399" i="49"/>
  <c r="CE387" i="49"/>
  <c r="CE391" i="49"/>
  <c r="AG105" i="49"/>
  <c r="AG383" i="49" s="1"/>
  <c r="CL139" i="49"/>
  <c r="U139" i="49"/>
  <c r="V140" i="49" s="1"/>
  <c r="Y139" i="49"/>
  <c r="AD139" i="49"/>
  <c r="AE140" i="49" s="1"/>
  <c r="AN139" i="49"/>
  <c r="AR139" i="49"/>
  <c r="AX139" i="49"/>
  <c r="BH139" i="49"/>
  <c r="BI140" i="49" s="1"/>
  <c r="I110" i="49"/>
  <c r="AG110" i="49"/>
  <c r="BT139" i="49"/>
  <c r="BX139" i="49"/>
  <c r="CD139" i="49"/>
  <c r="CI141" i="49" s="1"/>
  <c r="BU117" i="49"/>
  <c r="BU121" i="49"/>
  <c r="Z141" i="49"/>
  <c r="K314" i="49"/>
  <c r="Q314" i="49"/>
  <c r="AB247" i="49"/>
  <c r="AV247" i="49"/>
  <c r="AV276" i="49" s="1"/>
  <c r="BP276" i="49"/>
  <c r="P289" i="49"/>
  <c r="P251" i="49"/>
  <c r="P177" i="49"/>
  <c r="BM289" i="49"/>
  <c r="BM314" i="49" s="1"/>
  <c r="BM251" i="49"/>
  <c r="BM276" i="49" s="1"/>
  <c r="BM177" i="49"/>
  <c r="BY289" i="49"/>
  <c r="BZ289" i="49" s="1"/>
  <c r="BY251" i="49"/>
  <c r="BY276" i="49" s="1"/>
  <c r="BY177" i="49"/>
  <c r="BU248" i="49"/>
  <c r="BU276" i="49" s="1"/>
  <c r="BU278" i="49" s="1"/>
  <c r="BZ152" i="49"/>
  <c r="CE253" i="49"/>
  <c r="CJ246" i="49"/>
  <c r="CJ177" i="49"/>
  <c r="N177" i="49"/>
  <c r="AG210" i="49"/>
  <c r="BA210" i="49"/>
  <c r="BU210" i="49"/>
  <c r="I262" i="49"/>
  <c r="I335" i="49"/>
  <c r="I404" i="49" s="1"/>
  <c r="M262" i="49"/>
  <c r="M335" i="49"/>
  <c r="M404" i="49" s="1"/>
  <c r="L367" i="49"/>
  <c r="L402" i="49" s="1"/>
  <c r="M228" i="49"/>
  <c r="M367" i="49" s="1"/>
  <c r="M402" i="49" s="1"/>
  <c r="BF404" i="49"/>
  <c r="CK276" i="49"/>
  <c r="U277" i="49"/>
  <c r="Z276" i="49"/>
  <c r="AJ276" i="49"/>
  <c r="AN276" i="49"/>
  <c r="AS278" i="49"/>
  <c r="AS277" i="49"/>
  <c r="AX276" i="49"/>
  <c r="BC278" i="49" s="1"/>
  <c r="BQ277" i="49"/>
  <c r="BV276" i="49"/>
  <c r="BW277" i="49" s="1"/>
  <c r="AB248" i="49"/>
  <c r="CF278" i="49"/>
  <c r="R262" i="49"/>
  <c r="CE247" i="49"/>
  <c r="CE405" i="49"/>
  <c r="CI410" i="49"/>
  <c r="CJ410" i="49" s="1"/>
  <c r="CK413" i="49"/>
  <c r="CI414" i="49"/>
  <c r="CJ414" i="49" s="1"/>
  <c r="AI277" i="49"/>
  <c r="AI278" i="49"/>
  <c r="AY277" i="49"/>
  <c r="AY278" i="49"/>
  <c r="BO278" i="49"/>
  <c r="AF277" i="49"/>
  <c r="AT278" i="49"/>
  <c r="CI314" i="49"/>
  <c r="R285" i="49"/>
  <c r="X314" i="49"/>
  <c r="AC314" i="49"/>
  <c r="AQ314" i="49"/>
  <c r="AV314" i="49"/>
  <c r="BA314" i="49"/>
  <c r="BE314" i="49"/>
  <c r="BI314" i="49"/>
  <c r="BS314" i="49"/>
  <c r="BW314" i="49"/>
  <c r="CA314" i="49"/>
  <c r="CF314" i="49"/>
  <c r="CU314" i="49"/>
  <c r="CD314" i="49"/>
  <c r="CH349" i="49"/>
  <c r="X349" i="49"/>
  <c r="AB318" i="49"/>
  <c r="AB349" i="49" s="1"/>
  <c r="AF349" i="49"/>
  <c r="AP349" i="49"/>
  <c r="BD349" i="49"/>
  <c r="BN349" i="49"/>
  <c r="BQ349" i="49"/>
  <c r="BV349" i="49"/>
  <c r="BZ318" i="49"/>
  <c r="BZ349" i="49" s="1"/>
  <c r="CD349" i="49"/>
  <c r="I329" i="49"/>
  <c r="I398" i="49" s="1"/>
  <c r="L330" i="49"/>
  <c r="CH383" i="49"/>
  <c r="CL383" i="49"/>
  <c r="P387" i="49"/>
  <c r="U418" i="49"/>
  <c r="Z387" i="49"/>
  <c r="AN387" i="49"/>
  <c r="AX387" i="49"/>
  <c r="BB387" i="49"/>
  <c r="K354" i="49"/>
  <c r="W388" i="49"/>
  <c r="W418" i="49" s="1"/>
  <c r="AP388" i="49"/>
  <c r="AT388" i="49"/>
  <c r="AT418" i="49" s="1"/>
  <c r="BN388" i="49"/>
  <c r="BN418" i="49" s="1"/>
  <c r="BS388" i="49"/>
  <c r="BS418" i="49" s="1"/>
  <c r="X390" i="49"/>
  <c r="AZ390" i="49"/>
  <c r="BD390" i="49"/>
  <c r="N391" i="49"/>
  <c r="AP391" i="49"/>
  <c r="AT391" i="49"/>
  <c r="V392" i="49"/>
  <c r="AA392" i="49"/>
  <c r="AA418" i="49" s="1"/>
  <c r="AT392" i="49"/>
  <c r="AY392" i="49"/>
  <c r="AY418" i="49" s="1"/>
  <c r="BC392" i="49"/>
  <c r="BC418" i="49" s="1"/>
  <c r="BR392" i="49"/>
  <c r="BV392" i="49"/>
  <c r="Q393" i="49"/>
  <c r="V393" i="49"/>
  <c r="Z393" i="49"/>
  <c r="AO393" i="49"/>
  <c r="AO418" i="49" s="1"/>
  <c r="AS393" i="49"/>
  <c r="AS418" i="49" s="1"/>
  <c r="AX393" i="49"/>
  <c r="BQ393" i="49"/>
  <c r="BV393" i="49"/>
  <c r="L394" i="49"/>
  <c r="P394" i="49"/>
  <c r="AN394" i="49"/>
  <c r="BL394" i="49"/>
  <c r="P395" i="49"/>
  <c r="AR395" i="49"/>
  <c r="BG395" i="49"/>
  <c r="Z396" i="49"/>
  <c r="AE396" i="49"/>
  <c r="AI396" i="49"/>
  <c r="AI418" i="49" s="1"/>
  <c r="AX396" i="49"/>
  <c r="BU396" i="49"/>
  <c r="CD387" i="49"/>
  <c r="CD390" i="49"/>
  <c r="CH390" i="49"/>
  <c r="CH418" i="49" s="1"/>
  <c r="CH391" i="49"/>
  <c r="CL391" i="49"/>
  <c r="BW392" i="49"/>
  <c r="BW418" i="49" s="1"/>
  <c r="CB392" i="49"/>
  <c r="CB418" i="49" s="1"/>
  <c r="CE394" i="49"/>
  <c r="CI394" i="49"/>
  <c r="CJ394" i="49" s="1"/>
  <c r="CJ359" i="49"/>
  <c r="CD395" i="49"/>
  <c r="CC396" i="49"/>
  <c r="CM396" i="49"/>
  <c r="BX397" i="49"/>
  <c r="CB397" i="49"/>
  <c r="CL397" i="49"/>
  <c r="CT387" i="49"/>
  <c r="CU388" i="49"/>
  <c r="CU418" i="49" s="1"/>
  <c r="CV390" i="49"/>
  <c r="CT392" i="49"/>
  <c r="CU393" i="49"/>
  <c r="CV394" i="49"/>
  <c r="CV418" i="49" s="1"/>
  <c r="CT396" i="49"/>
  <c r="CU397" i="49"/>
  <c r="CV398" i="49"/>
  <c r="CT400" i="49"/>
  <c r="CU401" i="49"/>
  <c r="CV402" i="49"/>
  <c r="N363" i="49"/>
  <c r="N398" i="49" s="1"/>
  <c r="AK398" i="49"/>
  <c r="BM398" i="49"/>
  <c r="P399" i="49"/>
  <c r="AN399" i="49"/>
  <c r="BL399" i="49"/>
  <c r="BU399" i="49"/>
  <c r="AI400" i="49"/>
  <c r="BG400" i="49"/>
  <c r="CI400" i="49"/>
  <c r="CJ400" i="49" s="1"/>
  <c r="CM400" i="49"/>
  <c r="O401" i="49"/>
  <c r="AH401" i="49"/>
  <c r="AQ401" i="49"/>
  <c r="BJ401" i="49"/>
  <c r="BN401" i="49"/>
  <c r="J402" i="49"/>
  <c r="Q402" i="49"/>
  <c r="AS402" i="49"/>
  <c r="T403" i="49"/>
  <c r="AR403" i="49"/>
  <c r="BA403" i="49"/>
  <c r="BT403" i="49"/>
  <c r="BX403" i="49"/>
  <c r="J404" i="49"/>
  <c r="P404" i="49"/>
  <c r="AI404" i="49"/>
  <c r="AN404" i="49"/>
  <c r="BL404" i="49"/>
  <c r="BP404" i="49"/>
  <c r="BT404" i="49"/>
  <c r="CI404" i="49"/>
  <c r="CJ404" i="49" s="1"/>
  <c r="AK388" i="49"/>
  <c r="AK418" i="49" s="1"/>
  <c r="CQ431" i="49"/>
  <c r="AV824" i="49"/>
  <c r="BN721" i="49"/>
  <c r="BN538" i="49"/>
  <c r="BN824" i="49" s="1"/>
  <c r="BN1037" i="49" s="1"/>
  <c r="BX725" i="49"/>
  <c r="BY439" i="49"/>
  <c r="BX542" i="49"/>
  <c r="BX828" i="49" s="1"/>
  <c r="L726" i="49"/>
  <c r="M726" i="49" s="1"/>
  <c r="M440" i="49"/>
  <c r="BU822" i="49"/>
  <c r="AG868" i="49"/>
  <c r="AG758" i="49"/>
  <c r="BA868" i="49"/>
  <c r="BA758" i="49"/>
  <c r="K868" i="49"/>
  <c r="K758" i="49"/>
  <c r="CR512" i="49"/>
  <c r="T820" i="49"/>
  <c r="R163" i="51"/>
  <c r="AP213" i="51"/>
  <c r="AP163" i="51"/>
  <c r="AJ824" i="49"/>
  <c r="CO673" i="49"/>
  <c r="CP573" i="49"/>
  <c r="CP714" i="49" s="1"/>
  <c r="CR579" i="49"/>
  <c r="BE680" i="49"/>
  <c r="BF580" i="49"/>
  <c r="BF680" i="49" s="1"/>
  <c r="BF824" i="49" s="1"/>
  <c r="BF1037" i="49" s="1"/>
  <c r="BE601" i="49"/>
  <c r="CI683" i="49"/>
  <c r="CJ583" i="49"/>
  <c r="CP597" i="49"/>
  <c r="AV414" i="51"/>
  <c r="AV415" i="51" s="1"/>
  <c r="AZ703" i="49"/>
  <c r="BH703" i="49"/>
  <c r="BM414" i="51"/>
  <c r="BN414" i="51" s="1"/>
  <c r="BQ414" i="51"/>
  <c r="CF416" i="51"/>
  <c r="BZ10" i="49"/>
  <c r="Q38" i="49"/>
  <c r="AG38" i="49"/>
  <c r="AW38" i="49"/>
  <c r="BA38" i="49"/>
  <c r="BU38" i="49"/>
  <c r="BY38" i="49"/>
  <c r="CG38" i="49"/>
  <c r="N51" i="49"/>
  <c r="N55" i="49"/>
  <c r="R105" i="49"/>
  <c r="R383" i="49" s="1"/>
  <c r="AL105" i="49"/>
  <c r="AL383" i="49" s="1"/>
  <c r="BF105" i="49"/>
  <c r="BF383" i="49" s="1"/>
  <c r="BZ105" i="49"/>
  <c r="BZ383" i="49" s="1"/>
  <c r="CH105" i="49"/>
  <c r="L109" i="49"/>
  <c r="AB109" i="49"/>
  <c r="AV109" i="49"/>
  <c r="BL109" i="49"/>
  <c r="BL139" i="49" s="1"/>
  <c r="BQ141" i="49" s="1"/>
  <c r="CH109" i="49"/>
  <c r="R117" i="49"/>
  <c r="AL117" i="49"/>
  <c r="BF117" i="49"/>
  <c r="BF139" i="49" s="1"/>
  <c r="K118" i="49"/>
  <c r="O118" i="49"/>
  <c r="S118" i="49"/>
  <c r="BO118" i="49"/>
  <c r="BO139" i="49" s="1"/>
  <c r="AB119" i="49"/>
  <c r="AV119" i="49"/>
  <c r="J121" i="49"/>
  <c r="N121" i="49"/>
  <c r="R121" i="49"/>
  <c r="AL121" i="49"/>
  <c r="BF121" i="49"/>
  <c r="K122" i="49"/>
  <c r="O122" i="49"/>
  <c r="S122" i="49"/>
  <c r="AB123" i="49"/>
  <c r="AV123" i="49"/>
  <c r="M124" i="49"/>
  <c r="AG124" i="49"/>
  <c r="BA124" i="49"/>
  <c r="BU124" i="49"/>
  <c r="BZ125" i="49"/>
  <c r="CM138" i="49"/>
  <c r="CM139" i="49" s="1"/>
  <c r="K177" i="49"/>
  <c r="O177" i="49"/>
  <c r="W177" i="49"/>
  <c r="AQ177" i="49"/>
  <c r="BK177" i="49"/>
  <c r="CI210" i="49"/>
  <c r="CM210" i="49"/>
  <c r="K247" i="49"/>
  <c r="O247" i="49"/>
  <c r="K251" i="49"/>
  <c r="O251" i="49"/>
  <c r="M252" i="49"/>
  <c r="AG252" i="49"/>
  <c r="BA252" i="49"/>
  <c r="BA276" i="49" s="1"/>
  <c r="BA278" i="49" s="1"/>
  <c r="CC251" i="49"/>
  <c r="CC276" i="49" s="1"/>
  <c r="K261" i="49"/>
  <c r="O261" i="49"/>
  <c r="BU262" i="49"/>
  <c r="CE256" i="49"/>
  <c r="CI275" i="49"/>
  <c r="CM275" i="49"/>
  <c r="CM417" i="49" s="1"/>
  <c r="K284" i="49"/>
  <c r="O284" i="49"/>
  <c r="AQ284" i="49"/>
  <c r="BP292" i="49"/>
  <c r="BP395" i="49" s="1"/>
  <c r="S293" i="49"/>
  <c r="S396" i="49" s="1"/>
  <c r="BO293" i="49"/>
  <c r="CE292" i="49"/>
  <c r="CE395" i="49" s="1"/>
  <c r="J295" i="49"/>
  <c r="J398" i="49" s="1"/>
  <c r="R295" i="49"/>
  <c r="R398" i="49" s="1"/>
  <c r="BZ295" i="49"/>
  <c r="BZ398" i="49" s="1"/>
  <c r="BP297" i="49"/>
  <c r="BP400" i="49" s="1"/>
  <c r="BZ299" i="49"/>
  <c r="BZ402" i="49" s="1"/>
  <c r="AA314" i="49"/>
  <c r="AU314" i="49"/>
  <c r="BO314" i="49"/>
  <c r="AG318" i="49"/>
  <c r="BA318" i="49"/>
  <c r="BA349" i="49" s="1"/>
  <c r="O319" i="49"/>
  <c r="O388" i="49" s="1"/>
  <c r="O418" i="49" s="1"/>
  <c r="L323" i="49"/>
  <c r="L392" i="49" s="1"/>
  <c r="AQ324" i="49"/>
  <c r="AQ393" i="49" s="1"/>
  <c r="BK324" i="49"/>
  <c r="BK393" i="49" s="1"/>
  <c r="R333" i="49"/>
  <c r="R402" i="49" s="1"/>
  <c r="AL333" i="49"/>
  <c r="BF333" i="49"/>
  <c r="L335" i="49"/>
  <c r="L404" i="49" s="1"/>
  <c r="CI347" i="49"/>
  <c r="CJ347" i="49" s="1"/>
  <c r="CJ349" i="49" s="1"/>
  <c r="R357" i="49"/>
  <c r="R392" i="49" s="1"/>
  <c r="AL357" i="49"/>
  <c r="AL392" i="49" s="1"/>
  <c r="BF357" i="49"/>
  <c r="BF392" i="49" s="1"/>
  <c r="CE354" i="49"/>
  <c r="CE388" i="49" s="1"/>
  <c r="BZ357" i="49"/>
  <c r="CI386" i="49"/>
  <c r="CM386" i="49"/>
  <c r="CI388" i="49"/>
  <c r="CJ388" i="49" s="1"/>
  <c r="CI392" i="49"/>
  <c r="CJ392" i="49" s="1"/>
  <c r="CI396" i="49"/>
  <c r="CJ396" i="49" s="1"/>
  <c r="CI402" i="49"/>
  <c r="CJ402" i="49" s="1"/>
  <c r="CI403" i="49"/>
  <c r="CJ403" i="49" s="1"/>
  <c r="L457" i="49"/>
  <c r="L713" i="49"/>
  <c r="R530" i="49"/>
  <c r="AS713" i="49"/>
  <c r="AS743" i="49" s="1"/>
  <c r="AS530" i="49"/>
  <c r="AX713" i="49"/>
  <c r="AX743" i="49" s="1"/>
  <c r="AX530" i="49"/>
  <c r="AX457" i="49"/>
  <c r="BC713" i="49"/>
  <c r="BC530" i="49"/>
  <c r="BC457" i="49"/>
  <c r="BH457" i="49"/>
  <c r="BH713" i="49"/>
  <c r="BM713" i="49"/>
  <c r="BM743" i="49" s="1"/>
  <c r="BM530" i="49"/>
  <c r="BR713" i="49"/>
  <c r="BR743" i="49" s="1"/>
  <c r="BR530" i="49"/>
  <c r="BR457" i="49"/>
  <c r="BW713" i="49"/>
  <c r="BW530" i="49"/>
  <c r="BW457" i="49"/>
  <c r="W530" i="49"/>
  <c r="W457" i="49"/>
  <c r="AG816" i="49"/>
  <c r="AQ530" i="49"/>
  <c r="AQ457" i="49"/>
  <c r="BK530" i="49"/>
  <c r="BK457" i="49"/>
  <c r="BU816" i="49"/>
  <c r="CE530" i="49"/>
  <c r="CD718" i="49"/>
  <c r="CE718" i="49" s="1"/>
  <c r="CD535" i="49"/>
  <c r="CD821" i="49" s="1"/>
  <c r="CP716" i="49"/>
  <c r="BO717" i="49"/>
  <c r="BP717" i="49" s="1"/>
  <c r="BO534" i="49"/>
  <c r="BO820" i="49" s="1"/>
  <c r="CN712" i="49"/>
  <c r="CN716" i="49"/>
  <c r="CO716" i="49" s="1"/>
  <c r="CN720" i="49"/>
  <c r="CO720" i="49" s="1"/>
  <c r="CN537" i="49"/>
  <c r="L721" i="49"/>
  <c r="M721" i="49" s="1"/>
  <c r="M435" i="49"/>
  <c r="S721" i="49"/>
  <c r="S538" i="49"/>
  <c r="S824" i="49" s="1"/>
  <c r="S457" i="49"/>
  <c r="AT721" i="49"/>
  <c r="AT538" i="49"/>
  <c r="AT824" i="49" s="1"/>
  <c r="AX721" i="49"/>
  <c r="AX538" i="49"/>
  <c r="AX824" i="49" s="1"/>
  <c r="BC721" i="49"/>
  <c r="BC538" i="49"/>
  <c r="BC824" i="49" s="1"/>
  <c r="BG721" i="49"/>
  <c r="BG538" i="49"/>
  <c r="BG824" i="49" s="1"/>
  <c r="BG1037" i="49" s="1"/>
  <c r="BG457" i="49"/>
  <c r="BO721" i="49"/>
  <c r="BP721" i="49" s="1"/>
  <c r="BO538" i="49"/>
  <c r="BO824" i="49" s="1"/>
  <c r="BO1037" i="49" s="1"/>
  <c r="BS721" i="49"/>
  <c r="BS538" i="49"/>
  <c r="BS824" i="49" s="1"/>
  <c r="BS1037" i="49" s="1"/>
  <c r="Q723" i="49"/>
  <c r="R723" i="49" s="1"/>
  <c r="R437" i="49"/>
  <c r="R540" i="49" s="1"/>
  <c r="R826" i="49" s="1"/>
  <c r="Q540" i="49"/>
  <c r="CN541" i="49"/>
  <c r="L724" i="49"/>
  <c r="M724" i="49" s="1"/>
  <c r="L541" i="49"/>
  <c r="L827" i="49" s="1"/>
  <c r="Q724" i="49"/>
  <c r="R724" i="49" s="1"/>
  <c r="Q541" i="49"/>
  <c r="Q827" i="49" s="1"/>
  <c r="R438" i="49"/>
  <c r="R541" i="49" s="1"/>
  <c r="R827" i="49" s="1"/>
  <c r="CC724" i="49"/>
  <c r="CC541" i="49"/>
  <c r="CC827" i="49" s="1"/>
  <c r="I726" i="49"/>
  <c r="I543" i="49"/>
  <c r="I829" i="49" s="1"/>
  <c r="AG540" i="49"/>
  <c r="AG826" i="49" s="1"/>
  <c r="AQ826" i="49"/>
  <c r="BA540" i="49"/>
  <c r="BA826" i="49" s="1"/>
  <c r="BK826" i="49"/>
  <c r="BP826" i="49"/>
  <c r="BU540" i="49"/>
  <c r="BU826" i="49" s="1"/>
  <c r="CQ441" i="49"/>
  <c r="CQ443" i="49"/>
  <c r="CP547" i="49"/>
  <c r="CP451" i="49"/>
  <c r="CO740" i="49"/>
  <c r="CP455" i="49"/>
  <c r="CC457" i="49"/>
  <c r="I747" i="49"/>
  <c r="J748" i="49"/>
  <c r="AB492" i="49"/>
  <c r="AV492" i="49"/>
  <c r="CP750" i="49"/>
  <c r="CQ464" i="49"/>
  <c r="CP751" i="49"/>
  <c r="CP753" i="49"/>
  <c r="J755" i="49"/>
  <c r="AQ755" i="49"/>
  <c r="CQ755" i="49"/>
  <c r="CN769" i="49"/>
  <c r="CS483" i="49"/>
  <c r="CO483" i="49"/>
  <c r="CS772" i="49"/>
  <c r="CT486" i="49"/>
  <c r="R881" i="49"/>
  <c r="R782" i="49"/>
  <c r="R526" i="49"/>
  <c r="AB881" i="49"/>
  <c r="AB882" i="49" s="1"/>
  <c r="AB782" i="49"/>
  <c r="AB526" i="49"/>
  <c r="AL881" i="49"/>
  <c r="AL782" i="49"/>
  <c r="AL526" i="49"/>
  <c r="AV881" i="49"/>
  <c r="AV782" i="49"/>
  <c r="AV526" i="49"/>
  <c r="BI939" i="49"/>
  <c r="BI881" i="49"/>
  <c r="BI526" i="49"/>
  <c r="BI782" i="49"/>
  <c r="BI812" i="49" s="1"/>
  <c r="BF881" i="49"/>
  <c r="BF782" i="49"/>
  <c r="BF526" i="49"/>
  <c r="W884" i="49"/>
  <c r="W786" i="49"/>
  <c r="AB887" i="49"/>
  <c r="AB789" i="49"/>
  <c r="AB537" i="49"/>
  <c r="AB823" i="49" s="1"/>
  <c r="AG788" i="49"/>
  <c r="AG536" i="49"/>
  <c r="AQ884" i="49"/>
  <c r="AQ786" i="49"/>
  <c r="AV887" i="49"/>
  <c r="AV789" i="49"/>
  <c r="AV537" i="49"/>
  <c r="AV823" i="49" s="1"/>
  <c r="BA788" i="49"/>
  <c r="BA536" i="49"/>
  <c r="BK884" i="49"/>
  <c r="BK786" i="49"/>
  <c r="BP887" i="49"/>
  <c r="BP888" i="49" s="1"/>
  <c r="BP789" i="49"/>
  <c r="BP537" i="49"/>
  <c r="BP823" i="49" s="1"/>
  <c r="BZ787" i="49"/>
  <c r="BZ535" i="49"/>
  <c r="BZ821" i="49" s="1"/>
  <c r="CE786" i="49"/>
  <c r="CQ791" i="49"/>
  <c r="CR505" i="49"/>
  <c r="CP518" i="49"/>
  <c r="CP966" i="49" s="1"/>
  <c r="CT522" i="49"/>
  <c r="CI555" i="49"/>
  <c r="CJ519" i="49"/>
  <c r="AQ526" i="49"/>
  <c r="BK526" i="49"/>
  <c r="T816" i="49"/>
  <c r="AN816" i="49"/>
  <c r="J531" i="49"/>
  <c r="X818" i="49"/>
  <c r="AB818" i="49"/>
  <c r="AF818" i="49"/>
  <c r="BD818" i="49"/>
  <c r="AR819" i="49"/>
  <c r="AL535" i="49"/>
  <c r="L538" i="49"/>
  <c r="L824" i="49" s="1"/>
  <c r="BD538" i="49"/>
  <c r="BD824" i="49" s="1"/>
  <c r="BT530" i="49"/>
  <c r="CD533" i="49"/>
  <c r="CD819" i="49" s="1"/>
  <c r="CP533" i="49"/>
  <c r="CD537" i="49"/>
  <c r="CD823" i="49" s="1"/>
  <c r="CC542" i="49"/>
  <c r="CC828" i="49" s="1"/>
  <c r="CC1038" i="49" s="1"/>
  <c r="CH552" i="49"/>
  <c r="CH837" i="49" s="1"/>
  <c r="P563" i="49"/>
  <c r="AF563" i="49"/>
  <c r="CP674" i="49"/>
  <c r="CQ574" i="49"/>
  <c r="Z704" i="49"/>
  <c r="Z705" i="49"/>
  <c r="Z706" i="49" s="1"/>
  <c r="CQ577" i="49"/>
  <c r="CQ718" i="49" s="1"/>
  <c r="CP677" i="49"/>
  <c r="BA678" i="49"/>
  <c r="BK680" i="49"/>
  <c r="BU674" i="49"/>
  <c r="BU678" i="49"/>
  <c r="BZ680" i="49"/>
  <c r="BZ824" i="49" s="1"/>
  <c r="BZ684" i="49"/>
  <c r="CO594" i="49"/>
  <c r="CN700" i="49"/>
  <c r="CI738" i="49"/>
  <c r="CJ738" i="49" s="1"/>
  <c r="CI697" i="49"/>
  <c r="CJ596" i="49"/>
  <c r="CJ697" i="49" s="1"/>
  <c r="AG601" i="49"/>
  <c r="I874" i="49"/>
  <c r="I904" i="49" s="1"/>
  <c r="I635" i="49"/>
  <c r="M680" i="49"/>
  <c r="BP635" i="49"/>
  <c r="CE635" i="49"/>
  <c r="CS626" i="49"/>
  <c r="CT626" i="49" s="1"/>
  <c r="CU626" i="49" s="1"/>
  <c r="CV626" i="49" s="1"/>
  <c r="CO626" i="49"/>
  <c r="CL874" i="49"/>
  <c r="CQ633" i="49"/>
  <c r="CN940" i="49"/>
  <c r="CS639" i="49"/>
  <c r="CT639" i="49" s="1"/>
  <c r="CU639" i="49" s="1"/>
  <c r="CV639" i="49" s="1"/>
  <c r="CO639" i="49"/>
  <c r="CN953" i="49"/>
  <c r="CS651" i="49"/>
  <c r="CS794" i="49" s="1"/>
  <c r="CO651" i="49"/>
  <c r="CO794" i="49" s="1"/>
  <c r="L895" i="49"/>
  <c r="L605" i="49"/>
  <c r="M639" i="49"/>
  <c r="L668" i="49"/>
  <c r="L496" i="49"/>
  <c r="M640" i="49"/>
  <c r="L606" i="49"/>
  <c r="BO940" i="49"/>
  <c r="BP940" i="49" s="1"/>
  <c r="BO895" i="49"/>
  <c r="BO672" i="49"/>
  <c r="BO703" i="49" s="1"/>
  <c r="BP639" i="49"/>
  <c r="BK896" i="49"/>
  <c r="BL897" i="49"/>
  <c r="BK904" i="49"/>
  <c r="K796" i="49"/>
  <c r="K619" i="49"/>
  <c r="O796" i="49"/>
  <c r="O619" i="49"/>
  <c r="O798" i="49"/>
  <c r="O621" i="49"/>
  <c r="CE951" i="49"/>
  <c r="CE791" i="49"/>
  <c r="CN962" i="49"/>
  <c r="CS656" i="49"/>
  <c r="CO656" i="49"/>
  <c r="CO800" i="49" s="1"/>
  <c r="CT663" i="49"/>
  <c r="O668" i="49"/>
  <c r="AA704" i="49"/>
  <c r="AJ703" i="49"/>
  <c r="BD703" i="49"/>
  <c r="AB686" i="49"/>
  <c r="CP845" i="49"/>
  <c r="CQ701" i="49"/>
  <c r="AM705" i="49"/>
  <c r="AM706" i="49" s="1"/>
  <c r="AJ743" i="49"/>
  <c r="AO778" i="49"/>
  <c r="AN415" i="51"/>
  <c r="AN416" i="51" s="1"/>
  <c r="AR415" i="51"/>
  <c r="AR416" i="51" s="1"/>
  <c r="CF415" i="51"/>
  <c r="CB416" i="51"/>
  <c r="AG109" i="49"/>
  <c r="AW109" i="49"/>
  <c r="AW139" i="49" s="1"/>
  <c r="BA109" i="49"/>
  <c r="P118" i="49"/>
  <c r="P139" i="49" s="1"/>
  <c r="AB118" i="49"/>
  <c r="AV118" i="49"/>
  <c r="CB118" i="49"/>
  <c r="CB139" i="49" s="1"/>
  <c r="J120" i="49"/>
  <c r="N120" i="49"/>
  <c r="AL120" i="49"/>
  <c r="BF120" i="49"/>
  <c r="BZ120" i="49"/>
  <c r="L122" i="49"/>
  <c r="AB122" i="49"/>
  <c r="AV122" i="49"/>
  <c r="BP122" i="49"/>
  <c r="BZ124" i="49"/>
  <c r="BK125" i="49"/>
  <c r="CE125" i="49"/>
  <c r="L177" i="49"/>
  <c r="L247" i="49"/>
  <c r="BL251" i="49"/>
  <c r="BL276" i="49" s="1"/>
  <c r="BZ262" i="49"/>
  <c r="CI407" i="49"/>
  <c r="CJ407" i="49" s="1"/>
  <c r="CM407" i="49"/>
  <c r="CK408" i="49"/>
  <c r="CI409" i="49"/>
  <c r="CJ409" i="49" s="1"/>
  <c r="CM409" i="49"/>
  <c r="CK410" i="49"/>
  <c r="CI411" i="49"/>
  <c r="CJ411" i="49" s="1"/>
  <c r="CM411" i="49"/>
  <c r="CK412" i="49"/>
  <c r="CI413" i="49"/>
  <c r="CJ413" i="49" s="1"/>
  <c r="CM413" i="49"/>
  <c r="CK414" i="49"/>
  <c r="CI415" i="49"/>
  <c r="CJ415" i="49" s="1"/>
  <c r="CM415" i="49"/>
  <c r="CK416" i="49"/>
  <c r="CF417" i="49"/>
  <c r="BP284" i="49"/>
  <c r="CB284" i="49"/>
  <c r="CF284" i="49"/>
  <c r="CJ284" i="49"/>
  <c r="CJ314" i="49" s="1"/>
  <c r="L285" i="49"/>
  <c r="AF314" i="49"/>
  <c r="AZ314" i="49"/>
  <c r="BT314" i="49"/>
  <c r="I323" i="49"/>
  <c r="I392" i="49" s="1"/>
  <c r="AG335" i="49"/>
  <c r="BA335" i="49"/>
  <c r="BA404" i="49" s="1"/>
  <c r="BO353" i="49"/>
  <c r="BO387" i="49" s="1"/>
  <c r="BO418" i="49" s="1"/>
  <c r="AQ359" i="49"/>
  <c r="AQ394" i="49" s="1"/>
  <c r="CE357" i="49"/>
  <c r="CE392" i="49" s="1"/>
  <c r="CJ363" i="49"/>
  <c r="BW383" i="49"/>
  <c r="CI387" i="49"/>
  <c r="CJ387" i="49" s="1"/>
  <c r="CI399" i="49"/>
  <c r="CJ399" i="49" s="1"/>
  <c r="CP427" i="49"/>
  <c r="I713" i="49"/>
  <c r="I743" i="49" s="1"/>
  <c r="I530" i="49"/>
  <c r="M427" i="49"/>
  <c r="Z713" i="49"/>
  <c r="Z530" i="49"/>
  <c r="Z457" i="49"/>
  <c r="AT713" i="49"/>
  <c r="AT743" i="49" s="1"/>
  <c r="AT530" i="49"/>
  <c r="AT457" i="49"/>
  <c r="AY713" i="49"/>
  <c r="AY530" i="49"/>
  <c r="AY457" i="49"/>
  <c r="BI713" i="49"/>
  <c r="BI530" i="49"/>
  <c r="BN713" i="49"/>
  <c r="BN743" i="49" s="1"/>
  <c r="BN530" i="49"/>
  <c r="BN457" i="49"/>
  <c r="BS713" i="49"/>
  <c r="BS530" i="49"/>
  <c r="BS457" i="49"/>
  <c r="BQ20" i="51" s="1"/>
  <c r="BX457" i="49"/>
  <c r="BX713" i="49"/>
  <c r="CD713" i="49"/>
  <c r="CD530" i="49"/>
  <c r="CD457" i="49"/>
  <c r="W817" i="49"/>
  <c r="AQ817" i="49"/>
  <c r="BK817" i="49"/>
  <c r="BU817" i="49"/>
  <c r="CC715" i="49"/>
  <c r="CC532" i="49"/>
  <c r="CC818" i="49" s="1"/>
  <c r="CC719" i="49"/>
  <c r="CC743" i="49" s="1"/>
  <c r="CC536" i="49"/>
  <c r="CC822" i="49" s="1"/>
  <c r="CH532" i="49"/>
  <c r="CH818" i="49" s="1"/>
  <c r="CH715" i="49"/>
  <c r="CH457" i="49"/>
  <c r="CP532" i="49"/>
  <c r="CP818" i="49" s="1"/>
  <c r="CP715" i="49"/>
  <c r="CQ430" i="49"/>
  <c r="CQ434" i="49"/>
  <c r="CN534" i="49"/>
  <c r="N721" i="49"/>
  <c r="N538" i="49"/>
  <c r="N824" i="49" s="1"/>
  <c r="AU721" i="49"/>
  <c r="AV721" i="49" s="1"/>
  <c r="AU538" i="49"/>
  <c r="AU824" i="49" s="1"/>
  <c r="AY721" i="49"/>
  <c r="AY538" i="49"/>
  <c r="AY824" i="49" s="1"/>
  <c r="BP435" i="49"/>
  <c r="BP538" i="49" s="1"/>
  <c r="BT721" i="49"/>
  <c r="BU721" i="49" s="1"/>
  <c r="BU435" i="49"/>
  <c r="BU538" i="49" s="1"/>
  <c r="BU824" i="49" s="1"/>
  <c r="BU1037" i="49" s="1"/>
  <c r="CJ824" i="49"/>
  <c r="CP539" i="49"/>
  <c r="BW723" i="49"/>
  <c r="BX437" i="49"/>
  <c r="BW540" i="49"/>
  <c r="BW826" i="49" s="1"/>
  <c r="CN826" i="49"/>
  <c r="CO438" i="49"/>
  <c r="CD438" i="49"/>
  <c r="CD726" i="49"/>
  <c r="CE726" i="49" s="1"/>
  <c r="CD543" i="49"/>
  <c r="CD829" i="49" s="1"/>
  <c r="CH725" i="49"/>
  <c r="CI439" i="49"/>
  <c r="CH542" i="49"/>
  <c r="M438" i="49"/>
  <c r="M541" i="49" s="1"/>
  <c r="M827" i="49" s="1"/>
  <c r="W542" i="49"/>
  <c r="W828" i="49" s="1"/>
  <c r="AB541" i="49"/>
  <c r="AB827" i="49" s="1"/>
  <c r="AG541" i="49"/>
  <c r="AG827" i="49" s="1"/>
  <c r="AV541" i="49"/>
  <c r="AV827" i="49" s="1"/>
  <c r="BA541" i="49"/>
  <c r="BA827" i="49" s="1"/>
  <c r="BP541" i="49"/>
  <c r="BP827" i="49" s="1"/>
  <c r="BP1038" i="49" s="1"/>
  <c r="CN734" i="49"/>
  <c r="CN553" i="49"/>
  <c r="CP454" i="49"/>
  <c r="CJ557" i="49"/>
  <c r="CJ842" i="49" s="1"/>
  <c r="I457" i="49"/>
  <c r="CG457" i="49"/>
  <c r="I862" i="49"/>
  <c r="I751" i="49"/>
  <c r="I534" i="49"/>
  <c r="I820" i="49" s="1"/>
  <c r="M862" i="49"/>
  <c r="M751" i="49"/>
  <c r="M534" i="49"/>
  <c r="M820" i="49" s="1"/>
  <c r="W862" i="49"/>
  <c r="W751" i="49"/>
  <c r="W534" i="49"/>
  <c r="AQ862" i="49"/>
  <c r="AQ751" i="49"/>
  <c r="AQ534" i="49"/>
  <c r="AQ820" i="49" s="1"/>
  <c r="BK862" i="49"/>
  <c r="BK751" i="49"/>
  <c r="BK534" i="49"/>
  <c r="CE862" i="49"/>
  <c r="CE751" i="49"/>
  <c r="CE534" i="49"/>
  <c r="AB865" i="49"/>
  <c r="AB755" i="49"/>
  <c r="AV865" i="49"/>
  <c r="AV755" i="49"/>
  <c r="BP865" i="49"/>
  <c r="BP755" i="49"/>
  <c r="BP778" i="49" s="1"/>
  <c r="CJ865" i="49"/>
  <c r="CJ755" i="49"/>
  <c r="O471" i="49"/>
  <c r="I759" i="49"/>
  <c r="I542" i="49"/>
  <c r="I828" i="49" s="1"/>
  <c r="BZ762" i="49"/>
  <c r="BZ545" i="49"/>
  <c r="BZ831" i="49" s="1"/>
  <c r="BU760" i="49"/>
  <c r="CE763" i="49"/>
  <c r="CE546" i="49"/>
  <c r="CE832" i="49" s="1"/>
  <c r="CJ762" i="49"/>
  <c r="CJ545" i="49"/>
  <c r="CJ831" i="49" s="1"/>
  <c r="BP764" i="49"/>
  <c r="BP547" i="49"/>
  <c r="CN773" i="49"/>
  <c r="CS487" i="49"/>
  <c r="CO487" i="49"/>
  <c r="CP775" i="49"/>
  <c r="CQ489" i="49"/>
  <c r="CM862" i="49"/>
  <c r="CM776" i="49"/>
  <c r="CM560" i="49"/>
  <c r="CR490" i="49"/>
  <c r="O881" i="49"/>
  <c r="O782" i="49"/>
  <c r="O461" i="49"/>
  <c r="O530" i="49" s="1"/>
  <c r="L783" i="49"/>
  <c r="L462" i="49"/>
  <c r="M497" i="49"/>
  <c r="M783" i="49" s="1"/>
  <c r="CO537" i="49"/>
  <c r="CP503" i="49"/>
  <c r="M790" i="49"/>
  <c r="CS800" i="49"/>
  <c r="CT514" i="49"/>
  <c r="CN809" i="49"/>
  <c r="CS523" i="49"/>
  <c r="CO523" i="49"/>
  <c r="CN529" i="49"/>
  <c r="BD530" i="49"/>
  <c r="N531" i="49"/>
  <c r="N817" i="49" s="1"/>
  <c r="AJ820" i="49"/>
  <c r="BF535" i="49"/>
  <c r="BF821" i="49" s="1"/>
  <c r="BF1035" i="49" s="1"/>
  <c r="AR824" i="49"/>
  <c r="BH538" i="49"/>
  <c r="BH824" i="49" s="1"/>
  <c r="AB828" i="49"/>
  <c r="AF828" i="49"/>
  <c r="BX530" i="49"/>
  <c r="BZ532" i="49"/>
  <c r="BZ818" i="49" s="1"/>
  <c r="BX538" i="49"/>
  <c r="BX824" i="49" s="1"/>
  <c r="BW543" i="49"/>
  <c r="BW829" i="49" s="1"/>
  <c r="CC534" i="49"/>
  <c r="CC820" i="49" s="1"/>
  <c r="CC1035" i="49" s="1"/>
  <c r="CC538" i="49"/>
  <c r="CC824" i="49" s="1"/>
  <c r="CP545" i="49"/>
  <c r="CP831" i="49" s="1"/>
  <c r="T563" i="49"/>
  <c r="AJ563" i="49"/>
  <c r="CP671" i="49"/>
  <c r="CQ571" i="49"/>
  <c r="AP704" i="49"/>
  <c r="CP576" i="49"/>
  <c r="CP717" i="49" s="1"/>
  <c r="CO681" i="49"/>
  <c r="CO722" i="49"/>
  <c r="CP581" i="49"/>
  <c r="AL672" i="49"/>
  <c r="AL601" i="49"/>
  <c r="BA674" i="49"/>
  <c r="CJ673" i="49"/>
  <c r="CJ817" i="49" s="1"/>
  <c r="CJ677" i="49"/>
  <c r="CJ722" i="49"/>
  <c r="CJ681" i="49"/>
  <c r="CH685" i="49"/>
  <c r="CH703" i="49" s="1"/>
  <c r="CH705" i="49" s="1"/>
  <c r="CH706" i="49" s="1"/>
  <c r="CI585" i="49"/>
  <c r="CI601" i="49" s="1"/>
  <c r="AV686" i="49"/>
  <c r="BP686" i="49"/>
  <c r="BP830" i="49" s="1"/>
  <c r="CE673" i="49"/>
  <c r="CE817" i="49" s="1"/>
  <c r="CE601" i="49"/>
  <c r="CE681" i="49"/>
  <c r="CE722" i="49"/>
  <c r="CQ589" i="49"/>
  <c r="CP690" i="49"/>
  <c r="CP598" i="49"/>
  <c r="CH741" i="49"/>
  <c r="CI599" i="49"/>
  <c r="BU601" i="49"/>
  <c r="CU750" i="49"/>
  <c r="CV608" i="49"/>
  <c r="CV750" i="49" s="1"/>
  <c r="CS604" i="49"/>
  <c r="CS938" i="49" s="1"/>
  <c r="CO604" i="49"/>
  <c r="CO938" i="49" s="1"/>
  <c r="BU635" i="49"/>
  <c r="CS754" i="49"/>
  <c r="CT612" i="49"/>
  <c r="J764" i="49"/>
  <c r="J688" i="49"/>
  <c r="CS630" i="49"/>
  <c r="CT630" i="49" s="1"/>
  <c r="CU630" i="49" s="1"/>
  <c r="CV630" i="49" s="1"/>
  <c r="CO630" i="49"/>
  <c r="N635" i="49"/>
  <c r="CT791" i="49"/>
  <c r="M784" i="49"/>
  <c r="M674" i="49"/>
  <c r="O613" i="49"/>
  <c r="O680" i="49" s="1"/>
  <c r="O504" i="49"/>
  <c r="AB668" i="49"/>
  <c r="AG895" i="49"/>
  <c r="AG668" i="49"/>
  <c r="AV668" i="49"/>
  <c r="BA895" i="49"/>
  <c r="BA668" i="49"/>
  <c r="BU668" i="49"/>
  <c r="CN970" i="49"/>
  <c r="CS664" i="49"/>
  <c r="CO664" i="49"/>
  <c r="CO808" i="49" s="1"/>
  <c r="CJ971" i="49"/>
  <c r="AB703" i="49"/>
  <c r="AF703" i="49"/>
  <c r="AR672" i="49"/>
  <c r="AV673" i="49"/>
  <c r="AV817" i="49" s="1"/>
  <c r="AR676" i="49"/>
  <c r="AR820" i="49" s="1"/>
  <c r="N686" i="49"/>
  <c r="N703" i="49" s="1"/>
  <c r="H713" i="49"/>
  <c r="H743" i="49" s="1"/>
  <c r="AB743" i="49"/>
  <c r="BD713" i="49"/>
  <c r="BD743" i="49" s="1"/>
  <c r="CB717" i="49"/>
  <c r="CB743" i="49" s="1"/>
  <c r="CO733" i="49"/>
  <c r="AF743" i="49"/>
  <c r="Q778" i="49"/>
  <c r="AI778" i="49"/>
  <c r="AI812" i="49"/>
  <c r="AK414" i="51"/>
  <c r="AK415" i="51" s="1"/>
  <c r="AK416" i="51" s="1"/>
  <c r="AO412" i="51"/>
  <c r="AO415" i="51" s="1"/>
  <c r="AO416" i="51" s="1"/>
  <c r="AS414" i="51"/>
  <c r="AT414" i="51" s="1"/>
  <c r="AW414" i="51"/>
  <c r="AW415" i="51" s="1"/>
  <c r="AW416" i="51" s="1"/>
  <c r="BT416" i="51"/>
  <c r="AF414" i="51"/>
  <c r="AF415" i="51" s="1"/>
  <c r="AF416" i="51" s="1"/>
  <c r="AZ414" i="51"/>
  <c r="AZ415" i="51" s="1"/>
  <c r="BP18" i="49"/>
  <c r="BL934" i="49"/>
  <c r="M76" i="49"/>
  <c r="BL105" i="49"/>
  <c r="BL383" i="49" s="1"/>
  <c r="I118" i="49"/>
  <c r="Q118" i="49"/>
  <c r="Q139" i="49" s="1"/>
  <c r="AG118" i="49"/>
  <c r="BA118" i="49"/>
  <c r="BM118" i="49"/>
  <c r="BU118" i="49"/>
  <c r="CC118" i="49"/>
  <c r="CG118" i="49"/>
  <c r="CG139" i="49" s="1"/>
  <c r="K120" i="49"/>
  <c r="O120" i="49"/>
  <c r="S120" i="49"/>
  <c r="W120" i="49"/>
  <c r="AQ120" i="49"/>
  <c r="BK120" i="49"/>
  <c r="CE120" i="49"/>
  <c r="AG122" i="49"/>
  <c r="BA122" i="49"/>
  <c r="BU122" i="49"/>
  <c r="W124" i="49"/>
  <c r="AQ124" i="49"/>
  <c r="BK124" i="49"/>
  <c r="CE124" i="49"/>
  <c r="R148" i="49"/>
  <c r="I177" i="49"/>
  <c r="Q177" i="49"/>
  <c r="AG177" i="49"/>
  <c r="BA177" i="49"/>
  <c r="BU177" i="49"/>
  <c r="CC177" i="49"/>
  <c r="M214" i="49"/>
  <c r="M243" i="49" s="1"/>
  <c r="I247" i="49"/>
  <c r="Q247" i="49"/>
  <c r="Q276" i="49" s="1"/>
  <c r="I251" i="49"/>
  <c r="BL353" i="49"/>
  <c r="BL387" i="49" s="1"/>
  <c r="AP395" i="49"/>
  <c r="AT395" i="49"/>
  <c r="AX395" i="49"/>
  <c r="BB395" i="49"/>
  <c r="BJ395" i="49"/>
  <c r="BN395" i="49"/>
  <c r="BR395" i="49"/>
  <c r="BV395" i="49"/>
  <c r="P396" i="49"/>
  <c r="T396" i="49"/>
  <c r="X396" i="49"/>
  <c r="AF396" i="49"/>
  <c r="AJ396" i="49"/>
  <c r="AN396" i="49"/>
  <c r="AR396" i="49"/>
  <c r="AZ396" i="49"/>
  <c r="BD396" i="49"/>
  <c r="BH396" i="49"/>
  <c r="BL396" i="49"/>
  <c r="BT396" i="49"/>
  <c r="CO426" i="49"/>
  <c r="J713" i="49"/>
  <c r="J530" i="49"/>
  <c r="J457" i="49"/>
  <c r="N713" i="49"/>
  <c r="N743" i="49" s="1"/>
  <c r="N530" i="49"/>
  <c r="N457" i="49"/>
  <c r="AP713" i="49"/>
  <c r="AP530" i="49"/>
  <c r="AP457" i="49"/>
  <c r="AU713" i="49"/>
  <c r="AU530" i="49"/>
  <c r="AU457" i="49"/>
  <c r="AZ713" i="49"/>
  <c r="AZ457" i="49"/>
  <c r="BE713" i="49"/>
  <c r="BE530" i="49"/>
  <c r="BJ713" i="49"/>
  <c r="BJ530" i="49"/>
  <c r="BJ457" i="49"/>
  <c r="BO713" i="49"/>
  <c r="BO530" i="49"/>
  <c r="BO457" i="49"/>
  <c r="BY713" i="49"/>
  <c r="BY530" i="49"/>
  <c r="CF530" i="49"/>
  <c r="CF457" i="49"/>
  <c r="AB457" i="49"/>
  <c r="AL530" i="49"/>
  <c r="AL457" i="49"/>
  <c r="AV427" i="49"/>
  <c r="BF427" i="49"/>
  <c r="BP427" i="49"/>
  <c r="BZ427" i="49"/>
  <c r="CD532" i="49"/>
  <c r="CD818" i="49" s="1"/>
  <c r="CD715" i="49"/>
  <c r="CE715" i="49" s="1"/>
  <c r="CD717" i="49"/>
  <c r="CE717" i="49" s="1"/>
  <c r="CD534" i="49"/>
  <c r="CD820" i="49" s="1"/>
  <c r="CD536" i="49"/>
  <c r="CD822" i="49" s="1"/>
  <c r="CD719" i="49"/>
  <c r="CE719" i="49" s="1"/>
  <c r="CI715" i="49"/>
  <c r="CJ715" i="49" s="1"/>
  <c r="CQ715" i="49"/>
  <c r="CR429" i="49"/>
  <c r="CP718" i="49"/>
  <c r="CR433" i="49"/>
  <c r="BO715" i="49"/>
  <c r="BP715" i="49" s="1"/>
  <c r="BO532" i="49"/>
  <c r="BO818" i="49" s="1"/>
  <c r="BO719" i="49"/>
  <c r="BP719" i="49" s="1"/>
  <c r="BO536" i="49"/>
  <c r="BO822" i="49" s="1"/>
  <c r="J721" i="49"/>
  <c r="J538" i="49"/>
  <c r="J824" i="49" s="1"/>
  <c r="O721" i="49"/>
  <c r="O457" i="49"/>
  <c r="Z721" i="49"/>
  <c r="Z538" i="49"/>
  <c r="Z824" i="49" s="1"/>
  <c r="AQ824" i="49"/>
  <c r="BA435" i="49"/>
  <c r="BA538" i="49" s="1"/>
  <c r="BA824" i="49" s="1"/>
  <c r="AZ721" i="49"/>
  <c r="BA721" i="49" s="1"/>
  <c r="BE824" i="49"/>
  <c r="BV721" i="49"/>
  <c r="BV538" i="49"/>
  <c r="BV824" i="49" s="1"/>
  <c r="BV1037" i="49" s="1"/>
  <c r="BV457" i="49"/>
  <c r="CN721" i="49"/>
  <c r="CO721" i="49" s="1"/>
  <c r="CN538" i="49"/>
  <c r="CR436" i="49"/>
  <c r="CO440" i="49"/>
  <c r="O724" i="49"/>
  <c r="S724" i="49"/>
  <c r="S541" i="49"/>
  <c r="S827" i="49" s="1"/>
  <c r="BW725" i="49"/>
  <c r="BW542" i="49"/>
  <c r="BW828" i="49" s="1"/>
  <c r="BW1038" i="49" s="1"/>
  <c r="BX726" i="49"/>
  <c r="BY440" i="49"/>
  <c r="BX543" i="49"/>
  <c r="BX829" i="49" s="1"/>
  <c r="CH726" i="49"/>
  <c r="CH543" i="49"/>
  <c r="AL542" i="49"/>
  <c r="AL828" i="49" s="1"/>
  <c r="AQ542" i="49"/>
  <c r="BF542" i="49"/>
  <c r="BF828" i="49" s="1"/>
  <c r="BK542" i="49"/>
  <c r="CP728" i="49"/>
  <c r="CQ442" i="49"/>
  <c r="CP546" i="49"/>
  <c r="CP832" i="49" s="1"/>
  <c r="CN731" i="49"/>
  <c r="CN550" i="49"/>
  <c r="CN835" i="49" s="1"/>
  <c r="CO445" i="49"/>
  <c r="CP552" i="49"/>
  <c r="CQ447" i="49"/>
  <c r="CP448" i="49"/>
  <c r="CN735" i="49"/>
  <c r="CN554" i="49"/>
  <c r="CN839" i="49" s="1"/>
  <c r="CO449" i="49"/>
  <c r="CN738" i="49"/>
  <c r="CN557" i="49"/>
  <c r="CO452" i="49"/>
  <c r="AG457" i="49"/>
  <c r="AS457" i="49"/>
  <c r="BI457" i="49"/>
  <c r="CR746" i="49"/>
  <c r="CQ859" i="49"/>
  <c r="CQ747" i="49"/>
  <c r="W747" i="49"/>
  <c r="W859" i="49"/>
  <c r="W860" i="49" s="1"/>
  <c r="AG859" i="49"/>
  <c r="AG492" i="49"/>
  <c r="AG747" i="49"/>
  <c r="AQ859" i="49"/>
  <c r="AQ860" i="49" s="1"/>
  <c r="AQ747" i="49"/>
  <c r="BA859" i="49"/>
  <c r="BA747" i="49"/>
  <c r="BA492" i="49"/>
  <c r="BK859" i="49"/>
  <c r="BK747" i="49"/>
  <c r="BU747" i="49"/>
  <c r="BU492" i="49"/>
  <c r="CJ746" i="49"/>
  <c r="N865" i="49"/>
  <c r="N755" i="49"/>
  <c r="K757" i="49"/>
  <c r="K540" i="49"/>
  <c r="K826" i="49" s="1"/>
  <c r="CS757" i="49"/>
  <c r="CT471" i="49"/>
  <c r="CR868" i="49"/>
  <c r="CR758" i="49"/>
  <c r="CI862" i="49"/>
  <c r="CI776" i="49"/>
  <c r="CI560" i="49"/>
  <c r="CJ560" i="49" s="1"/>
  <c r="CJ490" i="49"/>
  <c r="CQ776" i="49"/>
  <c r="BK492" i="49"/>
  <c r="BO492" i="49"/>
  <c r="BP784" i="49"/>
  <c r="BP532" i="49"/>
  <c r="BP818" i="49" s="1"/>
  <c r="BZ881" i="49"/>
  <c r="BZ782" i="49"/>
  <c r="CN939" i="49"/>
  <c r="CN782" i="49"/>
  <c r="CS496" i="49"/>
  <c r="CO496" i="49"/>
  <c r="CP785" i="49"/>
  <c r="CI887" i="49"/>
  <c r="CI789" i="49"/>
  <c r="CJ503" i="49"/>
  <c r="M789" i="49"/>
  <c r="M537" i="49"/>
  <c r="M823" i="49" s="1"/>
  <c r="I887" i="49"/>
  <c r="I790" i="49"/>
  <c r="I469" i="49"/>
  <c r="I538" i="49" s="1"/>
  <c r="I824" i="49" s="1"/>
  <c r="BP821" i="49"/>
  <c r="BP1035" i="49" s="1"/>
  <c r="BZ823" i="49"/>
  <c r="J792" i="49"/>
  <c r="J471" i="49"/>
  <c r="J793" i="49"/>
  <c r="J472" i="49"/>
  <c r="J890" i="49"/>
  <c r="J794" i="49"/>
  <c r="J473" i="49"/>
  <c r="J795" i="49"/>
  <c r="J475" i="49"/>
  <c r="O890" i="49"/>
  <c r="O794" i="49"/>
  <c r="O473" i="49"/>
  <c r="CT508" i="49"/>
  <c r="CN801" i="49"/>
  <c r="CS515" i="49"/>
  <c r="CO515" i="49"/>
  <c r="CO519" i="49"/>
  <c r="AB530" i="49"/>
  <c r="AR816" i="49"/>
  <c r="BH530" i="49"/>
  <c r="BF817" i="49"/>
  <c r="AL818" i="49"/>
  <c r="R819" i="49"/>
  <c r="X822" i="49"/>
  <c r="AB822" i="49"/>
  <c r="AF822" i="49"/>
  <c r="BD822" i="49"/>
  <c r="T824" i="49"/>
  <c r="BL538" i="49"/>
  <c r="BL824" i="49" s="1"/>
  <c r="BL1037" i="49" s="1"/>
  <c r="BF827" i="49"/>
  <c r="AV828" i="49"/>
  <c r="AB830" i="49"/>
  <c r="CC530" i="49"/>
  <c r="CN531" i="49"/>
  <c r="CJ821" i="49"/>
  <c r="CN535" i="49"/>
  <c r="CN821" i="49" s="1"/>
  <c r="CG538" i="49"/>
  <c r="CJ825" i="49"/>
  <c r="CG1038" i="49"/>
  <c r="CI842" i="49"/>
  <c r="CN555" i="49"/>
  <c r="AN563" i="49"/>
  <c r="AL163" i="51" s="1"/>
  <c r="R672" i="49"/>
  <c r="R703" i="49" s="1"/>
  <c r="R601" i="49"/>
  <c r="BB672" i="49"/>
  <c r="BB601" i="49"/>
  <c r="CO572" i="49"/>
  <c r="CN672" i="49"/>
  <c r="AW717" i="49"/>
  <c r="AW676" i="49"/>
  <c r="AW703" i="49" s="1"/>
  <c r="BB717" i="49"/>
  <c r="BB676" i="49"/>
  <c r="BG717" i="49"/>
  <c r="BG676" i="49"/>
  <c r="BG820" i="49" s="1"/>
  <c r="BG1035" i="49" s="1"/>
  <c r="BG601" i="49"/>
  <c r="BL601" i="49"/>
  <c r="BL717" i="49"/>
  <c r="BQ717" i="49"/>
  <c r="BQ676" i="49"/>
  <c r="BV717" i="49"/>
  <c r="BV676" i="49"/>
  <c r="BV601" i="49"/>
  <c r="CO578" i="49"/>
  <c r="CP680" i="49"/>
  <c r="CQ580" i="49"/>
  <c r="BF703" i="49"/>
  <c r="BK672" i="49"/>
  <c r="BK676" i="49"/>
  <c r="W672" i="49"/>
  <c r="W676" i="49"/>
  <c r="W680" i="49"/>
  <c r="W824" i="49" s="1"/>
  <c r="AG674" i="49"/>
  <c r="AG703" i="49" s="1"/>
  <c r="AG678" i="49"/>
  <c r="AL673" i="49"/>
  <c r="AL817" i="49" s="1"/>
  <c r="AL677" i="49"/>
  <c r="AQ672" i="49"/>
  <c r="AQ676" i="49"/>
  <c r="AQ680" i="49"/>
  <c r="CI686" i="49"/>
  <c r="CI727" i="49"/>
  <c r="CJ727" i="49" s="1"/>
  <c r="CJ586" i="49"/>
  <c r="AV688" i="49"/>
  <c r="BP688" i="49"/>
  <c r="BU685" i="49"/>
  <c r="BU703" i="49" s="1"/>
  <c r="BZ673" i="49"/>
  <c r="BZ817" i="49" s="1"/>
  <c r="CP593" i="49"/>
  <c r="CI737" i="49"/>
  <c r="CJ737" i="49" s="1"/>
  <c r="CJ595" i="49"/>
  <c r="CJ696" i="49" s="1"/>
  <c r="CJ841" i="49" s="1"/>
  <c r="CI696" i="49"/>
  <c r="CI841" i="49" s="1"/>
  <c r="I601" i="49"/>
  <c r="BI601" i="49"/>
  <c r="CT785" i="49"/>
  <c r="CU642" i="49"/>
  <c r="CU791" i="49"/>
  <c r="CV648" i="49"/>
  <c r="CV791" i="49" s="1"/>
  <c r="K613" i="49"/>
  <c r="K680" i="49" s="1"/>
  <c r="K504" i="49"/>
  <c r="CN966" i="49"/>
  <c r="CS660" i="49"/>
  <c r="CO660" i="49"/>
  <c r="CN671" i="49"/>
  <c r="X703" i="49"/>
  <c r="BG703" i="49"/>
  <c r="BL676" i="49"/>
  <c r="BL820" i="49" s="1"/>
  <c r="BL1035" i="49" s="1"/>
  <c r="BV703" i="49"/>
  <c r="CD703" i="49"/>
  <c r="CH696" i="49"/>
  <c r="CH841" i="49" s="1"/>
  <c r="CN699" i="49"/>
  <c r="CN844" i="49" s="1"/>
  <c r="BT713" i="49"/>
  <c r="BR812" i="49"/>
  <c r="BZ791" i="49"/>
  <c r="BA884" i="49"/>
  <c r="CH737" i="49"/>
  <c r="CN859" i="49"/>
  <c r="CN860" i="49" s="1"/>
  <c r="CN747" i="49"/>
  <c r="CR859" i="49"/>
  <c r="CR747" i="49"/>
  <c r="CP749" i="49"/>
  <c r="J859" i="49"/>
  <c r="J747" i="49"/>
  <c r="N859" i="49"/>
  <c r="N747" i="49"/>
  <c r="CJ859" i="49"/>
  <c r="CJ860" i="49" s="1"/>
  <c r="CJ747" i="49"/>
  <c r="J862" i="49"/>
  <c r="J751" i="49"/>
  <c r="N862" i="49"/>
  <c r="N751" i="49"/>
  <c r="AB862" i="49"/>
  <c r="AB871" i="49" s="1"/>
  <c r="AB751" i="49"/>
  <c r="AV862" i="49"/>
  <c r="AV751" i="49"/>
  <c r="BP862" i="49"/>
  <c r="BP863" i="49" s="1"/>
  <c r="BP751" i="49"/>
  <c r="CJ862" i="49"/>
  <c r="CJ751" i="49"/>
  <c r="CQ862" i="49"/>
  <c r="CQ751" i="49"/>
  <c r="AG865" i="49"/>
  <c r="AG866" i="49" s="1"/>
  <c r="AG755" i="49"/>
  <c r="BA865" i="49"/>
  <c r="BA866" i="49" s="1"/>
  <c r="BA755" i="49"/>
  <c r="BU865" i="49"/>
  <c r="BU866" i="49" s="1"/>
  <c r="BU755" i="49"/>
  <c r="CN865" i="49"/>
  <c r="CN866" i="49" s="1"/>
  <c r="CN755" i="49"/>
  <c r="CR755" i="49"/>
  <c r="I868" i="49"/>
  <c r="I758" i="49"/>
  <c r="CP757" i="49"/>
  <c r="CP760" i="49"/>
  <c r="AB869" i="49"/>
  <c r="AV758" i="49"/>
  <c r="AV868" i="49"/>
  <c r="BU868" i="49"/>
  <c r="BU758" i="49"/>
  <c r="CE762" i="49"/>
  <c r="BP492" i="49"/>
  <c r="CR937" i="49"/>
  <c r="CR781" i="49"/>
  <c r="CR782" i="49"/>
  <c r="R783" i="49"/>
  <c r="AB783" i="49"/>
  <c r="AV783" i="49"/>
  <c r="BU881" i="49"/>
  <c r="BU782" i="49"/>
  <c r="BZ783" i="49"/>
  <c r="CN943" i="49"/>
  <c r="CN783" i="49"/>
  <c r="CH946" i="49"/>
  <c r="CH973" i="49" s="1"/>
  <c r="CH884" i="49"/>
  <c r="CH788" i="49"/>
  <c r="M884" i="49"/>
  <c r="M786" i="49"/>
  <c r="CD884" i="49"/>
  <c r="CD787" i="49"/>
  <c r="J790" i="49"/>
  <c r="J887" i="49"/>
  <c r="N887" i="49"/>
  <c r="N888" i="49" s="1"/>
  <c r="N790" i="49"/>
  <c r="AG887" i="49"/>
  <c r="AG888" i="49" s="1"/>
  <c r="AG789" i="49"/>
  <c r="AV884" i="49"/>
  <c r="AV786" i="49"/>
  <c r="BA887" i="49"/>
  <c r="BA888" i="49" s="1"/>
  <c r="BA789" i="49"/>
  <c r="BU887" i="49"/>
  <c r="BU789" i="49"/>
  <c r="CE501" i="49"/>
  <c r="CJ881" i="49"/>
  <c r="K890" i="49"/>
  <c r="K794" i="49"/>
  <c r="CN956" i="49"/>
  <c r="CO956" i="49" s="1"/>
  <c r="CP956" i="49" s="1"/>
  <c r="CQ956" i="49" s="1"/>
  <c r="CR956" i="49" s="1"/>
  <c r="CS956" i="49" s="1"/>
  <c r="CT956" i="49" s="1"/>
  <c r="CU956" i="49" s="1"/>
  <c r="CV956" i="49" s="1"/>
  <c r="CN792" i="49"/>
  <c r="CP890" i="49"/>
  <c r="CP794" i="49"/>
  <c r="W795" i="49"/>
  <c r="AB890" i="49"/>
  <c r="AB794" i="49"/>
  <c r="AQ795" i="49"/>
  <c r="AV794" i="49"/>
  <c r="AV890" i="49"/>
  <c r="BK795" i="49"/>
  <c r="BP890" i="49"/>
  <c r="BP794" i="49"/>
  <c r="CE890" i="49"/>
  <c r="CE794" i="49"/>
  <c r="U848" i="49"/>
  <c r="Y848" i="49"/>
  <c r="K531" i="49"/>
  <c r="K817" i="49" s="1"/>
  <c r="O531" i="49"/>
  <c r="O817" i="49" s="1"/>
  <c r="M818" i="49"/>
  <c r="BA818" i="49"/>
  <c r="W819" i="49"/>
  <c r="AQ819" i="49"/>
  <c r="BK819" i="49"/>
  <c r="AG534" i="49"/>
  <c r="AG820" i="49" s="1"/>
  <c r="BA534" i="49"/>
  <c r="BE820" i="49"/>
  <c r="W535" i="49"/>
  <c r="W821" i="49" s="1"/>
  <c r="AQ535" i="49"/>
  <c r="AQ821" i="49" s="1"/>
  <c r="BK535" i="49"/>
  <c r="BK821" i="49" s="1"/>
  <c r="W823" i="49"/>
  <c r="AQ823" i="49"/>
  <c r="BK823" i="49"/>
  <c r="AS538" i="49"/>
  <c r="AS824" i="49" s="1"/>
  <c r="AW538" i="49"/>
  <c r="AW824" i="49" s="1"/>
  <c r="I540" i="49"/>
  <c r="I826" i="49" s="1"/>
  <c r="AS828" i="49"/>
  <c r="AW828" i="49"/>
  <c r="BE828" i="49"/>
  <c r="BI828" i="49"/>
  <c r="BI1038" i="49" s="1"/>
  <c r="K543" i="49"/>
  <c r="K829" i="49" s="1"/>
  <c r="O543" i="49"/>
  <c r="O829" i="49" s="1"/>
  <c r="S543" i="49"/>
  <c r="S829" i="49" s="1"/>
  <c r="I830" i="49"/>
  <c r="AS830" i="49"/>
  <c r="AW830" i="49"/>
  <c r="BE830" i="49"/>
  <c r="BI830" i="49"/>
  <c r="BQ530" i="49"/>
  <c r="BZ819" i="49"/>
  <c r="BQ820" i="49"/>
  <c r="BQ1035" i="49" s="1"/>
  <c r="BU534" i="49"/>
  <c r="BT821" i="49"/>
  <c r="BX821" i="49"/>
  <c r="BX1035" i="49" s="1"/>
  <c r="BY538" i="49"/>
  <c r="BY824" i="49" s="1"/>
  <c r="BP825" i="49"/>
  <c r="BQ828" i="49"/>
  <c r="BQ1038" i="49" s="1"/>
  <c r="BW544" i="49"/>
  <c r="BW830" i="49" s="1"/>
  <c r="CC817" i="49"/>
  <c r="CB818" i="49"/>
  <c r="CJ532" i="49"/>
  <c r="CJ818" i="49" s="1"/>
  <c r="CC535" i="49"/>
  <c r="CC821" i="49" s="1"/>
  <c r="CG821" i="49"/>
  <c r="CG1035" i="49" s="1"/>
  <c r="CK821" i="49"/>
  <c r="CK1035" i="49" s="1"/>
  <c r="CF822" i="49"/>
  <c r="CD538" i="49"/>
  <c r="CD824" i="49" s="1"/>
  <c r="CD1037" i="49" s="1"/>
  <c r="CO825" i="49"/>
  <c r="CF830" i="49"/>
  <c r="CE545" i="49"/>
  <c r="CE831" i="49" s="1"/>
  <c r="CQ545" i="49"/>
  <c r="CQ831" i="49" s="1"/>
  <c r="J833" i="49"/>
  <c r="N833" i="49"/>
  <c r="R833" i="49"/>
  <c r="AL833" i="49"/>
  <c r="BF833" i="49"/>
  <c r="BN833" i="49"/>
  <c r="BR833" i="49"/>
  <c r="BV833" i="49"/>
  <c r="BZ833" i="49"/>
  <c r="CD833" i="49"/>
  <c r="CH833" i="49"/>
  <c r="CN552" i="49"/>
  <c r="CN837" i="49" s="1"/>
  <c r="CN556" i="49"/>
  <c r="CN841" i="49" s="1"/>
  <c r="CN560" i="49"/>
  <c r="U563" i="49"/>
  <c r="Y563" i="49"/>
  <c r="AC563" i="49"/>
  <c r="AK563" i="49"/>
  <c r="AO563" i="49"/>
  <c r="CK563" i="49"/>
  <c r="S743" i="49"/>
  <c r="BW717" i="49"/>
  <c r="BW676" i="49"/>
  <c r="BW703" i="49" s="1"/>
  <c r="CH699" i="49"/>
  <c r="CH740" i="49"/>
  <c r="J601" i="49"/>
  <c r="N601" i="49"/>
  <c r="Z601" i="49"/>
  <c r="AT601" i="49"/>
  <c r="AX601" i="49"/>
  <c r="BF601" i="49"/>
  <c r="BJ601" i="49"/>
  <c r="BN601" i="49"/>
  <c r="BR601" i="49"/>
  <c r="CH601" i="49"/>
  <c r="CQ874" i="49"/>
  <c r="J874" i="49"/>
  <c r="J904" i="49" s="1"/>
  <c r="N874" i="49"/>
  <c r="AB874" i="49"/>
  <c r="AV874" i="49"/>
  <c r="CO612" i="49"/>
  <c r="K764" i="49"/>
  <c r="K688" i="49"/>
  <c r="CI876" i="49"/>
  <c r="CI875" i="49"/>
  <c r="CM972" i="49"/>
  <c r="CM874" i="49"/>
  <c r="CM700" i="49"/>
  <c r="CM846" i="49" s="1"/>
  <c r="CI635" i="49"/>
  <c r="CG412" i="51" s="1"/>
  <c r="CM635" i="49"/>
  <c r="CK412" i="51" s="1"/>
  <c r="CQ635" i="49"/>
  <c r="CO412" i="51" s="1"/>
  <c r="CP938" i="49"/>
  <c r="CN944" i="49"/>
  <c r="CN951" i="49"/>
  <c r="CN791" i="49"/>
  <c r="N896" i="49"/>
  <c r="N904" i="49"/>
  <c r="AL895" i="49"/>
  <c r="BF895" i="49"/>
  <c r="P960" i="49"/>
  <c r="P798" i="49"/>
  <c r="BF953" i="49"/>
  <c r="BP953" i="49"/>
  <c r="CJ951" i="49"/>
  <c r="CJ791" i="49"/>
  <c r="CN963" i="49"/>
  <c r="CR963" i="49"/>
  <c r="CQ964" i="49"/>
  <c r="CQ968" i="49"/>
  <c r="CP969" i="49"/>
  <c r="CN971" i="49"/>
  <c r="CJ964" i="49"/>
  <c r="CJ968" i="49"/>
  <c r="P668" i="49"/>
  <c r="Q672" i="49"/>
  <c r="Q703" i="49" s="1"/>
  <c r="U704" i="49"/>
  <c r="Y703" i="49"/>
  <c r="AC703" i="49"/>
  <c r="AK703" i="49"/>
  <c r="AO703" i="49"/>
  <c r="BI672" i="49"/>
  <c r="BM703" i="49"/>
  <c r="M675" i="49"/>
  <c r="AS676" i="49"/>
  <c r="AS820" i="49" s="1"/>
  <c r="BE676" i="49"/>
  <c r="BE703" i="49" s="1"/>
  <c r="BI676" i="49"/>
  <c r="BI820" i="49" s="1"/>
  <c r="BI1035" i="49" s="1"/>
  <c r="BM676" i="49"/>
  <c r="BM820" i="49" s="1"/>
  <c r="BM1035" i="49" s="1"/>
  <c r="CF703" i="49"/>
  <c r="BT676" i="49"/>
  <c r="BT820" i="49" s="1"/>
  <c r="BT1035" i="49" s="1"/>
  <c r="BY676" i="49"/>
  <c r="BY820" i="49" s="1"/>
  <c r="BY1035" i="49" s="1"/>
  <c r="CN681" i="49"/>
  <c r="CN825" i="49" s="1"/>
  <c r="CH683" i="49"/>
  <c r="CH827" i="49" s="1"/>
  <c r="P688" i="49"/>
  <c r="P703" i="49" s="1"/>
  <c r="CI699" i="49"/>
  <c r="CI844" i="49" s="1"/>
  <c r="CN847" i="49"/>
  <c r="CJ847" i="49"/>
  <c r="CH743" i="49"/>
  <c r="W743" i="49"/>
  <c r="AG743" i="49"/>
  <c r="AL743" i="49"/>
  <c r="AR713" i="49"/>
  <c r="AR743" i="49" s="1"/>
  <c r="BH717" i="49"/>
  <c r="CN717" i="49"/>
  <c r="CO717" i="49" s="1"/>
  <c r="CH727" i="49"/>
  <c r="CN732" i="49"/>
  <c r="AC778" i="49"/>
  <c r="AK778" i="49"/>
  <c r="AU778" i="49"/>
  <c r="AZ778" i="49"/>
  <c r="BD778" i="49"/>
  <c r="BI778" i="49"/>
  <c r="CG778" i="49"/>
  <c r="CN754" i="49"/>
  <c r="AB758" i="49"/>
  <c r="AH812" i="49"/>
  <c r="BV812" i="49"/>
  <c r="AE812" i="49"/>
  <c r="BW812" i="49"/>
  <c r="AB786" i="49"/>
  <c r="BF796" i="49"/>
  <c r="BX867" i="49"/>
  <c r="BX871" i="49"/>
  <c r="BX866" i="49"/>
  <c r="T877" i="49"/>
  <c r="BM877" i="49"/>
  <c r="CO453" i="49"/>
  <c r="CP746" i="49"/>
  <c r="CO461" i="49"/>
  <c r="CS461" i="49"/>
  <c r="R859" i="49"/>
  <c r="R747" i="49"/>
  <c r="AB859" i="49"/>
  <c r="AB747" i="49"/>
  <c r="AB778" i="49" s="1"/>
  <c r="AL859" i="49"/>
  <c r="AL860" i="49" s="1"/>
  <c r="AL747" i="49"/>
  <c r="AV859" i="49"/>
  <c r="AV747" i="49"/>
  <c r="AV778" i="49" s="1"/>
  <c r="BF859" i="49"/>
  <c r="BF860" i="49" s="1"/>
  <c r="BF747" i="49"/>
  <c r="BZ747" i="49"/>
  <c r="CJ748" i="49"/>
  <c r="CM464" i="49"/>
  <c r="K862" i="49"/>
  <c r="K751" i="49"/>
  <c r="O862" i="49"/>
  <c r="O751" i="49"/>
  <c r="BV864" i="49"/>
  <c r="CN751" i="49"/>
  <c r="CR862" i="49"/>
  <c r="CR751" i="49"/>
  <c r="L755" i="49"/>
  <c r="R865" i="49"/>
  <c r="R755" i="49"/>
  <c r="BF755" i="49"/>
  <c r="BF865" i="49"/>
  <c r="BZ755" i="49"/>
  <c r="BZ865" i="49"/>
  <c r="CO469" i="49"/>
  <c r="CS469" i="49"/>
  <c r="CP756" i="49"/>
  <c r="M471" i="49"/>
  <c r="M757" i="49" s="1"/>
  <c r="N758" i="49"/>
  <c r="N868" i="49"/>
  <c r="CP868" i="49"/>
  <c r="CP758" i="49"/>
  <c r="CO473" i="49"/>
  <c r="CS473" i="49"/>
  <c r="CP761" i="49"/>
  <c r="CO477" i="49"/>
  <c r="CS477" i="49"/>
  <c r="W868" i="49"/>
  <c r="W758" i="49"/>
  <c r="AQ868" i="49"/>
  <c r="AQ758" i="49"/>
  <c r="BK868" i="49"/>
  <c r="BK758" i="49"/>
  <c r="AG760" i="49"/>
  <c r="BA760" i="49"/>
  <c r="BZ868" i="49"/>
  <c r="BZ758" i="49"/>
  <c r="BP757" i="49"/>
  <c r="CJ868" i="49"/>
  <c r="CJ758" i="49"/>
  <c r="CQ478" i="49"/>
  <c r="CO480" i="49"/>
  <c r="CO766" i="49" s="1"/>
  <c r="CS480" i="49"/>
  <c r="CO484" i="49"/>
  <c r="CS484" i="49"/>
  <c r="CO488" i="49"/>
  <c r="CS488" i="49"/>
  <c r="CK862" i="49"/>
  <c r="CK776" i="49"/>
  <c r="CK778" i="49" s="1"/>
  <c r="CK492" i="49"/>
  <c r="CI353" i="51" s="1"/>
  <c r="CO937" i="49"/>
  <c r="CO781" i="49"/>
  <c r="CS937" i="49"/>
  <c r="CS781" i="49"/>
  <c r="CO497" i="49"/>
  <c r="CO783" i="49" s="1"/>
  <c r="CS497" i="49"/>
  <c r="CS784" i="49"/>
  <c r="I881" i="49"/>
  <c r="I782" i="49"/>
  <c r="I812" i="49" s="1"/>
  <c r="W782" i="49"/>
  <c r="W881" i="49"/>
  <c r="W882" i="49" s="1"/>
  <c r="AG881" i="49"/>
  <c r="AG782" i="49"/>
  <c r="AG812" i="49" s="1"/>
  <c r="AQ881" i="49"/>
  <c r="AQ882" i="49" s="1"/>
  <c r="AQ782" i="49"/>
  <c r="BA881" i="49"/>
  <c r="BA882" i="49" s="1"/>
  <c r="BA782" i="49"/>
  <c r="BO881" i="49"/>
  <c r="BO939" i="49"/>
  <c r="BO782" i="49"/>
  <c r="BP496" i="49"/>
  <c r="CN945" i="49"/>
  <c r="CN784" i="49"/>
  <c r="CO501" i="49"/>
  <c r="CN946" i="49"/>
  <c r="CI502" i="49"/>
  <c r="CD946" i="49"/>
  <c r="CE946" i="49" s="1"/>
  <c r="CD788" i="49"/>
  <c r="R887" i="49"/>
  <c r="R789" i="49"/>
  <c r="W788" i="49"/>
  <c r="AB787" i="49"/>
  <c r="AG884" i="49"/>
  <c r="AG786" i="49"/>
  <c r="AG790" i="49"/>
  <c r="AL887" i="49"/>
  <c r="AL888" i="49" s="1"/>
  <c r="AL789" i="49"/>
  <c r="AQ788" i="49"/>
  <c r="AV787" i="49"/>
  <c r="BA786" i="49"/>
  <c r="BA790" i="49"/>
  <c r="BF887" i="49"/>
  <c r="BF888" i="49" s="1"/>
  <c r="BF789" i="49"/>
  <c r="BK788" i="49"/>
  <c r="BP787" i="49"/>
  <c r="BU884" i="49"/>
  <c r="BU786" i="49"/>
  <c r="BU790" i="49"/>
  <c r="BZ887" i="49"/>
  <c r="BZ888" i="49" s="1"/>
  <c r="BZ789" i="49"/>
  <c r="CE502" i="49"/>
  <c r="CE788" i="49" s="1"/>
  <c r="CJ782" i="49"/>
  <c r="CJ786" i="49"/>
  <c r="CJ790" i="49"/>
  <c r="L890" i="49"/>
  <c r="L794" i="49"/>
  <c r="CO506" i="49"/>
  <c r="CS506" i="49"/>
  <c r="CN958" i="49"/>
  <c r="CO958" i="49" s="1"/>
  <c r="CP958" i="49" s="1"/>
  <c r="CQ958" i="49" s="1"/>
  <c r="CR958" i="49" s="1"/>
  <c r="CS958" i="49" s="1"/>
  <c r="CT958" i="49" s="1"/>
  <c r="CU958" i="49" s="1"/>
  <c r="CV958" i="49" s="1"/>
  <c r="CQ890" i="49"/>
  <c r="CQ794" i="49"/>
  <c r="CO510" i="49"/>
  <c r="BZ890" i="49"/>
  <c r="BZ794" i="49"/>
  <c r="M508" i="49"/>
  <c r="AG890" i="49"/>
  <c r="AG794" i="49"/>
  <c r="AL793" i="49"/>
  <c r="BA890" i="49"/>
  <c r="BF793" i="49"/>
  <c r="BU890" i="49"/>
  <c r="BU794" i="49"/>
  <c r="BX510" i="49"/>
  <c r="CI510" i="49"/>
  <c r="CE795" i="49"/>
  <c r="CO516" i="49"/>
  <c r="CO552" i="49" s="1"/>
  <c r="CS516" i="49"/>
  <c r="CO520" i="49"/>
  <c r="CO556" i="49" s="1"/>
  <c r="CS520" i="49"/>
  <c r="CI517" i="49"/>
  <c r="CJ801" i="49"/>
  <c r="CJ809" i="49"/>
  <c r="I526" i="49"/>
  <c r="AG526" i="49"/>
  <c r="BA526" i="49"/>
  <c r="BU526" i="49"/>
  <c r="V848" i="49"/>
  <c r="AD848" i="49"/>
  <c r="P817" i="49"/>
  <c r="P848" i="49" s="1"/>
  <c r="T817" i="49"/>
  <c r="X817" i="49"/>
  <c r="AJ817" i="49"/>
  <c r="AJ848" i="49" s="1"/>
  <c r="AN817" i="49"/>
  <c r="AR817" i="49"/>
  <c r="AZ817" i="49"/>
  <c r="BD817" i="49"/>
  <c r="BH817" i="49"/>
  <c r="BF532" i="49"/>
  <c r="BF818" i="49" s="1"/>
  <c r="P819" i="49"/>
  <c r="T819" i="49"/>
  <c r="X819" i="49"/>
  <c r="AB819" i="49"/>
  <c r="AF819" i="49"/>
  <c r="AF848" i="49" s="1"/>
  <c r="AJ819" i="49"/>
  <c r="AN819" i="49"/>
  <c r="AV819" i="49"/>
  <c r="AZ819" i="49"/>
  <c r="BD819" i="49"/>
  <c r="BH819" i="49"/>
  <c r="BL819" i="49"/>
  <c r="J534" i="49"/>
  <c r="J820" i="49" s="1"/>
  <c r="N534" i="49"/>
  <c r="N820" i="49" s="1"/>
  <c r="BB820" i="49"/>
  <c r="BJ820" i="49"/>
  <c r="BJ1035" i="49" s="1"/>
  <c r="L821" i="49"/>
  <c r="P821" i="49"/>
  <c r="T821" i="49"/>
  <c r="AB535" i="49"/>
  <c r="AB821" i="49" s="1"/>
  <c r="AF821" i="49"/>
  <c r="AJ821" i="49"/>
  <c r="AN821" i="49"/>
  <c r="AR821" i="49"/>
  <c r="AV535" i="49"/>
  <c r="AV821" i="49" s="1"/>
  <c r="AZ821" i="49"/>
  <c r="BH821" i="49"/>
  <c r="BH1035" i="49" s="1"/>
  <c r="BL821" i="49"/>
  <c r="R536" i="49"/>
  <c r="R822" i="49" s="1"/>
  <c r="AL536" i="49"/>
  <c r="AL822" i="49" s="1"/>
  <c r="BF536" i="49"/>
  <c r="BF822" i="49" s="1"/>
  <c r="L823" i="49"/>
  <c r="P823" i="49"/>
  <c r="T823" i="49"/>
  <c r="X823" i="49"/>
  <c r="AF823" i="49"/>
  <c r="AN823" i="49"/>
  <c r="AR823" i="49"/>
  <c r="AZ823" i="49"/>
  <c r="BD823" i="49"/>
  <c r="BH823" i="49"/>
  <c r="BL823" i="49"/>
  <c r="L825" i="49"/>
  <c r="T825" i="49"/>
  <c r="X825" i="49"/>
  <c r="AB825" i="49"/>
  <c r="AF825" i="49"/>
  <c r="AJ825" i="49"/>
  <c r="AN825" i="49"/>
  <c r="AR825" i="49"/>
  <c r="AZ825" i="49"/>
  <c r="BD825" i="49"/>
  <c r="BH825" i="49"/>
  <c r="BL825" i="49"/>
  <c r="N540" i="49"/>
  <c r="N826" i="49" s="1"/>
  <c r="T827" i="49"/>
  <c r="N542" i="49"/>
  <c r="N828" i="49" s="1"/>
  <c r="BJ1038" i="49"/>
  <c r="BN828" i="49"/>
  <c r="BN1038" i="49" s="1"/>
  <c r="AR829" i="49"/>
  <c r="AZ829" i="49"/>
  <c r="BD829" i="49"/>
  <c r="BH829" i="49"/>
  <c r="N830" i="49"/>
  <c r="AL544" i="49"/>
  <c r="AL830" i="49" s="1"/>
  <c r="BN830" i="49"/>
  <c r="BV530" i="49"/>
  <c r="BQ817" i="49"/>
  <c r="BY817" i="49"/>
  <c r="BT818" i="49"/>
  <c r="BX818" i="49"/>
  <c r="BR820" i="49"/>
  <c r="BR1035" i="49" s="1"/>
  <c r="BV820" i="49"/>
  <c r="BV1035" i="49" s="1"/>
  <c r="BU535" i="49"/>
  <c r="BU821" i="49" s="1"/>
  <c r="BR1038" i="49"/>
  <c r="BV1038" i="49"/>
  <c r="CH817" i="49"/>
  <c r="CH1036" i="49" s="1"/>
  <c r="CL817" i="49"/>
  <c r="CG818" i="49"/>
  <c r="CK818" i="49"/>
  <c r="CF819" i="49"/>
  <c r="CJ533" i="49"/>
  <c r="CJ819" i="49" s="1"/>
  <c r="CF823" i="49"/>
  <c r="CD825" i="49"/>
  <c r="CC826" i="49"/>
  <c r="CB827" i="49"/>
  <c r="CB1038" i="49" s="1"/>
  <c r="CB831" i="49"/>
  <c r="CN545" i="49"/>
  <c r="CN831" i="49" s="1"/>
  <c r="CR545" i="49"/>
  <c r="CR831" i="49" s="1"/>
  <c r="K833" i="49"/>
  <c r="CH553" i="49"/>
  <c r="CH557" i="49"/>
  <c r="CH842" i="49" s="1"/>
  <c r="CH844" i="49"/>
  <c r="V563" i="49"/>
  <c r="AD563" i="49"/>
  <c r="AH563" i="49"/>
  <c r="CL563" i="49"/>
  <c r="BS717" i="49"/>
  <c r="BS676" i="49"/>
  <c r="BS703" i="49" s="1"/>
  <c r="W683" i="49"/>
  <c r="W827" i="49" s="1"/>
  <c r="AQ683" i="49"/>
  <c r="AQ827" i="49" s="1"/>
  <c r="BK683" i="49"/>
  <c r="BK827" i="49" s="1"/>
  <c r="CE675" i="49"/>
  <c r="CE819" i="49" s="1"/>
  <c r="CE679" i="49"/>
  <c r="CE683" i="49"/>
  <c r="CN697" i="49"/>
  <c r="K601" i="49"/>
  <c r="O601" i="49"/>
  <c r="S601" i="49"/>
  <c r="W601" i="49"/>
  <c r="AQ601" i="49"/>
  <c r="AY601" i="49"/>
  <c r="BC601" i="49"/>
  <c r="BK601" i="49"/>
  <c r="BO601" i="49"/>
  <c r="BS601" i="49"/>
  <c r="BW601" i="49"/>
  <c r="CR874" i="49"/>
  <c r="O874" i="49"/>
  <c r="T875" i="49" s="1"/>
  <c r="AG874" i="49"/>
  <c r="BA874" i="49"/>
  <c r="CO605" i="49"/>
  <c r="CO617" i="49"/>
  <c r="CO623" i="49"/>
  <c r="CO627" i="49"/>
  <c r="CO631" i="49"/>
  <c r="CO698" i="49" s="1"/>
  <c r="CJ633" i="49"/>
  <c r="CJ874" i="49" s="1"/>
  <c r="CN874" i="49"/>
  <c r="CR633" i="49"/>
  <c r="AB635" i="49"/>
  <c r="AV635" i="49"/>
  <c r="CJ635" i="49"/>
  <c r="CR635" i="49"/>
  <c r="CP412" i="51" s="1"/>
  <c r="CQ938" i="49"/>
  <c r="CO951" i="49"/>
  <c r="CP951" i="49" s="1"/>
  <c r="CQ951" i="49" s="1"/>
  <c r="CR951" i="49" s="1"/>
  <c r="CS951" i="49" s="1"/>
  <c r="CO791" i="49"/>
  <c r="CN957" i="49"/>
  <c r="CO957" i="49" s="1"/>
  <c r="CP957" i="49" s="1"/>
  <c r="CQ957" i="49" s="1"/>
  <c r="CR957" i="49" s="1"/>
  <c r="CS957" i="49" s="1"/>
  <c r="CT957" i="49" s="1"/>
  <c r="CU957" i="49" s="1"/>
  <c r="CV957" i="49" s="1"/>
  <c r="CP953" i="49"/>
  <c r="O895" i="49"/>
  <c r="W895" i="49"/>
  <c r="AQ895" i="49"/>
  <c r="CP962" i="49"/>
  <c r="CO657" i="49"/>
  <c r="CS657" i="49"/>
  <c r="CN964" i="49"/>
  <c r="CR964" i="49"/>
  <c r="CN968" i="49"/>
  <c r="CR968" i="49"/>
  <c r="CQ969" i="49"/>
  <c r="CP970" i="49"/>
  <c r="CO665" i="49"/>
  <c r="CS665" i="49"/>
  <c r="CR972" i="49"/>
  <c r="CJ969" i="49"/>
  <c r="I668" i="49"/>
  <c r="V703" i="49"/>
  <c r="AD705" i="49"/>
  <c r="AD706" i="49" s="1"/>
  <c r="AD704" i="49"/>
  <c r="AH705" i="49"/>
  <c r="AH706" i="49" s="1"/>
  <c r="BN703" i="49"/>
  <c r="R674" i="49"/>
  <c r="R818" i="49" s="1"/>
  <c r="R675" i="49"/>
  <c r="AT676" i="49"/>
  <c r="AT703" i="49" s="1"/>
  <c r="AX676" i="49"/>
  <c r="AX820" i="49" s="1"/>
  <c r="BJ676" i="49"/>
  <c r="BJ703" i="49" s="1"/>
  <c r="BN676" i="49"/>
  <c r="BN820" i="49" s="1"/>
  <c r="BN1035" i="49" s="1"/>
  <c r="L686" i="49"/>
  <c r="L830" i="49" s="1"/>
  <c r="BT703" i="49"/>
  <c r="BX703" i="49"/>
  <c r="CB703" i="49"/>
  <c r="CG703" i="49"/>
  <c r="CN673" i="49"/>
  <c r="L688" i="49"/>
  <c r="CN845" i="49"/>
  <c r="CO847" i="49"/>
  <c r="BL713" i="49"/>
  <c r="BL743" i="49" s="1"/>
  <c r="BX717" i="49"/>
  <c r="CN736" i="49"/>
  <c r="CN740" i="49"/>
  <c r="Y778" i="49"/>
  <c r="AM778" i="49"/>
  <c r="AR778" i="49"/>
  <c r="AW778" i="49"/>
  <c r="BE778" i="49"/>
  <c r="AG751" i="49"/>
  <c r="CJ763" i="49"/>
  <c r="CN763" i="49"/>
  <c r="CJ781" i="49"/>
  <c r="AX812" i="49"/>
  <c r="BS812" i="49"/>
  <c r="BP786" i="49"/>
  <c r="BN861" i="49"/>
  <c r="BR860" i="49"/>
  <c r="BM861" i="49"/>
  <c r="BM860" i="49"/>
  <c r="CB861" i="49"/>
  <c r="CA860" i="49"/>
  <c r="CI861" i="49"/>
  <c r="CI860" i="49"/>
  <c r="AM866" i="49"/>
  <c r="AH871" i="49"/>
  <c r="AH866" i="49"/>
  <c r="AL865" i="49"/>
  <c r="AL866" i="49" s="1"/>
  <c r="AU866" i="49"/>
  <c r="AP871" i="49"/>
  <c r="AP866" i="49"/>
  <c r="AE904" i="49"/>
  <c r="AE877" i="49"/>
  <c r="AE875" i="49"/>
  <c r="BD875" i="49"/>
  <c r="BD877" i="49"/>
  <c r="BD876" i="49"/>
  <c r="BI876" i="49"/>
  <c r="BN875" i="49"/>
  <c r="BI875" i="49"/>
  <c r="K743" i="49"/>
  <c r="O743" i="49"/>
  <c r="AW713" i="49"/>
  <c r="AW743" i="49" s="1"/>
  <c r="BB713" i="49"/>
  <c r="BB743" i="49" s="1"/>
  <c r="BG743" i="49"/>
  <c r="BQ743" i="49"/>
  <c r="BV743" i="49"/>
  <c r="CG743" i="49"/>
  <c r="BE721" i="49"/>
  <c r="BF721" i="49" s="1"/>
  <c r="BI721" i="49"/>
  <c r="BM721" i="49"/>
  <c r="BQ721" i="49"/>
  <c r="CN723" i="49"/>
  <c r="CO723" i="49" s="1"/>
  <c r="CI438" i="49"/>
  <c r="CB457" i="49"/>
  <c r="CP859" i="49"/>
  <c r="CP747" i="49"/>
  <c r="CO462" i="49"/>
  <c r="CO748" i="49" s="1"/>
  <c r="CS462" i="49"/>
  <c r="I462" i="49"/>
  <c r="AL748" i="49"/>
  <c r="BF748" i="49"/>
  <c r="L862" i="49"/>
  <c r="L751" i="49"/>
  <c r="R862" i="49"/>
  <c r="R751" i="49"/>
  <c r="AL862" i="49"/>
  <c r="AL751" i="49"/>
  <c r="BF862" i="49"/>
  <c r="BG864" i="49" s="1"/>
  <c r="BF751" i="49"/>
  <c r="BZ862" i="49"/>
  <c r="BZ863" i="49" s="1"/>
  <c r="BZ751" i="49"/>
  <c r="CO465" i="49"/>
  <c r="CS465" i="49"/>
  <c r="CO467" i="49"/>
  <c r="CS467" i="49"/>
  <c r="M469" i="49"/>
  <c r="W865" i="49"/>
  <c r="W866" i="49" s="1"/>
  <c r="W755" i="49"/>
  <c r="AQ865" i="49"/>
  <c r="BK865" i="49"/>
  <c r="BK755" i="49"/>
  <c r="CE865" i="49"/>
  <c r="CP755" i="49"/>
  <c r="CP865" i="49"/>
  <c r="CQ470" i="49"/>
  <c r="CQ539" i="49" s="1"/>
  <c r="O472" i="49"/>
  <c r="L473" i="49"/>
  <c r="CQ868" i="49"/>
  <c r="CQ758" i="49"/>
  <c r="CP759" i="49"/>
  <c r="CO474" i="49"/>
  <c r="CS474" i="49"/>
  <c r="R868" i="49"/>
  <c r="R758" i="49"/>
  <c r="AL868" i="49"/>
  <c r="AL758" i="49"/>
  <c r="BF868" i="49"/>
  <c r="BF758" i="49"/>
  <c r="L475" i="49"/>
  <c r="BZ759" i="49"/>
  <c r="BP868" i="49"/>
  <c r="BP761" i="49"/>
  <c r="CE868" i="49"/>
  <c r="CE758" i="49"/>
  <c r="CO481" i="49"/>
  <c r="CS481" i="49"/>
  <c r="CO485" i="49"/>
  <c r="CS485" i="49"/>
  <c r="CJ767" i="49"/>
  <c r="CJ771" i="49"/>
  <c r="CJ775" i="49"/>
  <c r="CL862" i="49"/>
  <c r="CL871" i="49" s="1"/>
  <c r="CL776" i="49"/>
  <c r="CP490" i="49"/>
  <c r="CP776" i="49" s="1"/>
  <c r="N492" i="49"/>
  <c r="R492" i="49"/>
  <c r="AL492" i="49"/>
  <c r="BF492" i="49"/>
  <c r="BZ492" i="49"/>
  <c r="CL492" i="49"/>
  <c r="CP492" i="49"/>
  <c r="CP937" i="49"/>
  <c r="CP881" i="49"/>
  <c r="CP781" i="49"/>
  <c r="CT495" i="49"/>
  <c r="CP784" i="49"/>
  <c r="CT498" i="49"/>
  <c r="J881" i="49"/>
  <c r="J782" i="49"/>
  <c r="N881" i="49"/>
  <c r="N882" i="49" s="1"/>
  <c r="N782" i="49"/>
  <c r="N812" i="49" s="1"/>
  <c r="BO943" i="49"/>
  <c r="BP943" i="49" s="1"/>
  <c r="BO783" i="49"/>
  <c r="BK881" i="49"/>
  <c r="BK782" i="49"/>
  <c r="BK812" i="49" s="1"/>
  <c r="BP497" i="49"/>
  <c r="BP783" i="49" s="1"/>
  <c r="CE881" i="49"/>
  <c r="CE782" i="49"/>
  <c r="CN937" i="49"/>
  <c r="CN881" i="49"/>
  <c r="CN882" i="49" s="1"/>
  <c r="CO502" i="49"/>
  <c r="CD887" i="49"/>
  <c r="CD789" i="49"/>
  <c r="L887" i="49"/>
  <c r="R884" i="49"/>
  <c r="R786" i="49"/>
  <c r="W887" i="49"/>
  <c r="W888" i="49" s="1"/>
  <c r="AL884" i="49"/>
  <c r="AL786" i="49"/>
  <c r="AQ887" i="49"/>
  <c r="AQ789" i="49"/>
  <c r="BF884" i="49"/>
  <c r="BF786" i="49"/>
  <c r="BK887" i="49"/>
  <c r="BK888" i="49" s="1"/>
  <c r="BZ884" i="49"/>
  <c r="BZ786" i="49"/>
  <c r="CE503" i="49"/>
  <c r="I890" i="49"/>
  <c r="I893" i="49" s="1"/>
  <c r="I898" i="49" s="1"/>
  <c r="N890" i="49"/>
  <c r="N794" i="49"/>
  <c r="CP792" i="49"/>
  <c r="CO507" i="49"/>
  <c r="CO890" i="49" s="1"/>
  <c r="CS507" i="49"/>
  <c r="CS890" i="49" s="1"/>
  <c r="CN952" i="49"/>
  <c r="CO952" i="49" s="1"/>
  <c r="CP952" i="49" s="1"/>
  <c r="CQ952" i="49" s="1"/>
  <c r="CR952" i="49" s="1"/>
  <c r="CS952" i="49" s="1"/>
  <c r="CT952" i="49" s="1"/>
  <c r="CU952" i="49" s="1"/>
  <c r="CV952" i="49" s="1"/>
  <c r="CN890" i="49"/>
  <c r="CN794" i="49"/>
  <c r="CR890" i="49"/>
  <c r="CR794" i="49"/>
  <c r="CO511" i="49"/>
  <c r="CO797" i="49" s="1"/>
  <c r="CS511" i="49"/>
  <c r="P954" i="49"/>
  <c r="P887" i="49"/>
  <c r="P795" i="49"/>
  <c r="M509" i="49"/>
  <c r="M795" i="49" s="1"/>
  <c r="R890" i="49"/>
  <c r="R794" i="49"/>
  <c r="AG795" i="49"/>
  <c r="AL890" i="49"/>
  <c r="AL794" i="49"/>
  <c r="BA795" i="49"/>
  <c r="BF890" i="49"/>
  <c r="BF794" i="49"/>
  <c r="BU795" i="49"/>
  <c r="CJ890" i="49"/>
  <c r="CJ794" i="49"/>
  <c r="CR800" i="49"/>
  <c r="CQ801" i="49"/>
  <c r="CP802" i="49"/>
  <c r="CO517" i="49"/>
  <c r="CO553" i="49" s="1"/>
  <c r="CN804" i="49"/>
  <c r="CP806" i="49"/>
  <c r="CO521" i="49"/>
  <c r="CO807" i="49" s="1"/>
  <c r="CS521" i="49"/>
  <c r="CR808" i="49"/>
  <c r="CQ809" i="49"/>
  <c r="J526" i="49"/>
  <c r="N526" i="49"/>
  <c r="CD526" i="49"/>
  <c r="CH526" i="49"/>
  <c r="S816" i="49"/>
  <c r="AA848" i="49"/>
  <c r="AE848" i="49"/>
  <c r="AI848" i="49"/>
  <c r="AM848" i="49"/>
  <c r="BG530" i="49"/>
  <c r="BI531" i="49"/>
  <c r="BI817" i="49" s="1"/>
  <c r="W818" i="49"/>
  <c r="AQ818" i="49"/>
  <c r="BK532" i="49"/>
  <c r="BK818" i="49" s="1"/>
  <c r="M819" i="49"/>
  <c r="BA819" i="49"/>
  <c r="K534" i="49"/>
  <c r="K820" i="49" s="1"/>
  <c r="O534" i="49"/>
  <c r="O820" i="49" s="1"/>
  <c r="M535" i="49"/>
  <c r="M821" i="49" s="1"/>
  <c r="AG535" i="49"/>
  <c r="AG821" i="49" s="1"/>
  <c r="BA535" i="49"/>
  <c r="BA821" i="49" s="1"/>
  <c r="W536" i="49"/>
  <c r="W822" i="49" s="1"/>
  <c r="AQ536" i="49"/>
  <c r="AQ822" i="49" s="1"/>
  <c r="AG537" i="49"/>
  <c r="AG823" i="49" s="1"/>
  <c r="BA537" i="49"/>
  <c r="BA823" i="49" s="1"/>
  <c r="S540" i="49"/>
  <c r="I541" i="49"/>
  <c r="I827" i="49" s="1"/>
  <c r="Y827" i="49"/>
  <c r="AC827" i="49"/>
  <c r="AC848" i="49" s="1"/>
  <c r="AK827" i="49"/>
  <c r="AK848" i="49" s="1"/>
  <c r="AO827" i="49"/>
  <c r="AO848" i="49" s="1"/>
  <c r="K542" i="49"/>
  <c r="K828" i="49" s="1"/>
  <c r="BG1038" i="49"/>
  <c r="BM829" i="49"/>
  <c r="BM1037" i="49" s="1"/>
  <c r="W544" i="49"/>
  <c r="W830" i="49" s="1"/>
  <c r="AQ544" i="49"/>
  <c r="AQ830" i="49" s="1"/>
  <c r="BK544" i="49"/>
  <c r="BK830" i="49" s="1"/>
  <c r="CA1036" i="49"/>
  <c r="CA848" i="49"/>
  <c r="BU532" i="49"/>
  <c r="BU818" i="49" s="1"/>
  <c r="BP819" i="49"/>
  <c r="BS820" i="49"/>
  <c r="BS1035" i="49" s="1"/>
  <c r="BW820" i="49"/>
  <c r="BW1035" i="49" s="1"/>
  <c r="CA1035" i="49"/>
  <c r="CA1037" i="49"/>
  <c r="BR825" i="49"/>
  <c r="BV825" i="49"/>
  <c r="BZ825" i="49"/>
  <c r="BQ826" i="49"/>
  <c r="BQ1037" i="49" s="1"/>
  <c r="BY826" i="49"/>
  <c r="BT827" i="49"/>
  <c r="BT1038" i="49" s="1"/>
  <c r="BO1038" i="49"/>
  <c r="BS1038" i="49"/>
  <c r="CA1038" i="49"/>
  <c r="BR829" i="49"/>
  <c r="BV829" i="49"/>
  <c r="BU544" i="49"/>
  <c r="BU830" i="49" s="1"/>
  <c r="BP545" i="49"/>
  <c r="BP831" i="49" s="1"/>
  <c r="BT831" i="49"/>
  <c r="BX831" i="49"/>
  <c r="CB530" i="49"/>
  <c r="CN530" i="49"/>
  <c r="CC533" i="49"/>
  <c r="CC819" i="49" s="1"/>
  <c r="CO819" i="49"/>
  <c r="CB820" i="49"/>
  <c r="CB1035" i="49" s="1"/>
  <c r="CF1035" i="49"/>
  <c r="CJ534" i="49"/>
  <c r="CJ820" i="49" s="1"/>
  <c r="CC537" i="49"/>
  <c r="CC823" i="49" s="1"/>
  <c r="CE825" i="49"/>
  <c r="CH826" i="49"/>
  <c r="CL826" i="49"/>
  <c r="CG827" i="49"/>
  <c r="CF1038" i="49"/>
  <c r="CH544" i="49"/>
  <c r="CH830" i="49" s="1"/>
  <c r="CG831" i="49"/>
  <c r="CK831" i="49"/>
  <c r="L833" i="49"/>
  <c r="P833" i="49"/>
  <c r="X833" i="49"/>
  <c r="AB833" i="49"/>
  <c r="AF833" i="49"/>
  <c r="AJ833" i="49"/>
  <c r="AN833" i="49"/>
  <c r="AV833" i="49"/>
  <c r="CK842" i="49"/>
  <c r="CL843" i="49"/>
  <c r="CM844" i="49"/>
  <c r="CN558" i="49"/>
  <c r="CN843" i="49" s="1"/>
  <c r="S563" i="49"/>
  <c r="AA563" i="49"/>
  <c r="AE563" i="49"/>
  <c r="AI563" i="49"/>
  <c r="AM563" i="49"/>
  <c r="CA563" i="49"/>
  <c r="R713" i="49"/>
  <c r="R743" i="49" s="1"/>
  <c r="BA572" i="49"/>
  <c r="BA576" i="49"/>
  <c r="BA676" i="49" s="1"/>
  <c r="BP580" i="49"/>
  <c r="BP680" i="49" s="1"/>
  <c r="CJ584" i="49"/>
  <c r="CI587" i="49"/>
  <c r="W684" i="49"/>
  <c r="AQ684" i="49"/>
  <c r="BK684" i="49"/>
  <c r="BZ576" i="49"/>
  <c r="BZ676" i="49" s="1"/>
  <c r="BZ820" i="49" s="1"/>
  <c r="BZ1035" i="49" s="1"/>
  <c r="CE672" i="49"/>
  <c r="CE676" i="49"/>
  <c r="CE680" i="49"/>
  <c r="CE824" i="49" s="1"/>
  <c r="CE1037" i="49" s="1"/>
  <c r="CE684" i="49"/>
  <c r="CP591" i="49"/>
  <c r="CO592" i="49"/>
  <c r="CO734" i="49" s="1"/>
  <c r="CP595" i="49"/>
  <c r="CO596" i="49"/>
  <c r="CP599" i="49"/>
  <c r="CI597" i="49"/>
  <c r="CJ598" i="49"/>
  <c r="CJ699" i="49" s="1"/>
  <c r="CJ844" i="49" s="1"/>
  <c r="CS606" i="49"/>
  <c r="CT606" i="49" s="1"/>
  <c r="CU606" i="49" s="1"/>
  <c r="CV606" i="49" s="1"/>
  <c r="AL874" i="49"/>
  <c r="BF874" i="49"/>
  <c r="BG876" i="49" s="1"/>
  <c r="M619" i="49"/>
  <c r="M621" i="49"/>
  <c r="CO624" i="49"/>
  <c r="CO628" i="49"/>
  <c r="CO632" i="49"/>
  <c r="CO775" i="49" s="1"/>
  <c r="CS632" i="49"/>
  <c r="CT632" i="49" s="1"/>
  <c r="CK875" i="49"/>
  <c r="AG635" i="49"/>
  <c r="BA635" i="49"/>
  <c r="CK635" i="49"/>
  <c r="CI412" i="51" s="1"/>
  <c r="CN938" i="49"/>
  <c r="CR938" i="49"/>
  <c r="CO641" i="49"/>
  <c r="CO784" i="49" s="1"/>
  <c r="CO649" i="49"/>
  <c r="CS649" i="49"/>
  <c r="CT649" i="49" s="1"/>
  <c r="CU649" i="49" s="1"/>
  <c r="CV649" i="49" s="1"/>
  <c r="CQ953" i="49"/>
  <c r="K895" i="49"/>
  <c r="BI940" i="49"/>
  <c r="BI895" i="49"/>
  <c r="P944" i="49"/>
  <c r="P973" i="49" s="1"/>
  <c r="P895" i="49"/>
  <c r="P783" i="49"/>
  <c r="P812" i="49" s="1"/>
  <c r="R895" i="49"/>
  <c r="AB895" i="49"/>
  <c r="AV895" i="49"/>
  <c r="BK953" i="49"/>
  <c r="BU953" i="49"/>
  <c r="BZ953" i="49"/>
  <c r="CE953" i="49"/>
  <c r="CQ962" i="49"/>
  <c r="CP963" i="49"/>
  <c r="CO658" i="49"/>
  <c r="CS658" i="49"/>
  <c r="CO662" i="49"/>
  <c r="CS662" i="49"/>
  <c r="CN969" i="49"/>
  <c r="CR969" i="49"/>
  <c r="CQ970" i="49"/>
  <c r="CP971" i="49"/>
  <c r="CO666" i="49"/>
  <c r="CS666" i="49"/>
  <c r="CJ962" i="49"/>
  <c r="CJ966" i="49"/>
  <c r="CJ970" i="49"/>
  <c r="J668" i="49"/>
  <c r="N668" i="49"/>
  <c r="R668" i="49"/>
  <c r="AL668" i="49"/>
  <c r="BF668" i="49"/>
  <c r="S672" i="49"/>
  <c r="S703" i="49" s="1"/>
  <c r="AU676" i="49"/>
  <c r="AU703" i="49" s="1"/>
  <c r="AY676" i="49"/>
  <c r="AY703" i="49" s="1"/>
  <c r="BC676" i="49"/>
  <c r="BC703" i="49" s="1"/>
  <c r="R686" i="49"/>
  <c r="R830" i="49" s="1"/>
  <c r="BQ703" i="49"/>
  <c r="CC703" i="49"/>
  <c r="R688" i="49"/>
  <c r="CO845" i="49"/>
  <c r="CP702" i="49"/>
  <c r="AD743" i="49"/>
  <c r="CI778" i="49"/>
  <c r="P778" i="49"/>
  <c r="U778" i="49"/>
  <c r="AN778" i="49"/>
  <c r="AS778" i="49"/>
  <c r="BQ778" i="49"/>
  <c r="BY778" i="49"/>
  <c r="BA751" i="49"/>
  <c r="Z812" i="49"/>
  <c r="BK789" i="49"/>
  <c r="CD812" i="49"/>
  <c r="CL870" i="49"/>
  <c r="CM870" i="49"/>
  <c r="CL869" i="49"/>
  <c r="CH887" i="49"/>
  <c r="AM902" i="49"/>
  <c r="AK743" i="49"/>
  <c r="CH778" i="49"/>
  <c r="CL778" i="49"/>
  <c r="AH778" i="49"/>
  <c r="Q812" i="49"/>
  <c r="AN812" i="49"/>
  <c r="AS812" i="49"/>
  <c r="AW812" i="49"/>
  <c r="BE812" i="49"/>
  <c r="BT812" i="49"/>
  <c r="AF860" i="49"/>
  <c r="BI861" i="49"/>
  <c r="BN860" i="49"/>
  <c r="BI860" i="49"/>
  <c r="CG864" i="49"/>
  <c r="CG863" i="49"/>
  <c r="CH864" i="49"/>
  <c r="Y866" i="49"/>
  <c r="BG866" i="49"/>
  <c r="BB866" i="49"/>
  <c r="BJ867" i="49"/>
  <c r="BO866" i="49"/>
  <c r="BJ866" i="49"/>
  <c r="AM871" i="49"/>
  <c r="AR869" i="49"/>
  <c r="AR871" i="49"/>
  <c r="BE877" i="49"/>
  <c r="BE872" i="49"/>
  <c r="BC537" i="51" s="1"/>
  <c r="BJ871" i="49"/>
  <c r="CC871" i="49"/>
  <c r="CI870" i="49"/>
  <c r="CM869" i="49"/>
  <c r="CH871" i="49"/>
  <c r="CH869" i="49"/>
  <c r="AT888" i="49"/>
  <c r="AY898" i="49"/>
  <c r="BG897" i="49"/>
  <c r="V743" i="49"/>
  <c r="X812" i="49"/>
  <c r="AF812" i="49"/>
  <c r="AJ812" i="49"/>
  <c r="AO812" i="49"/>
  <c r="BL812" i="49"/>
  <c r="CB812" i="49"/>
  <c r="AZ860" i="49"/>
  <c r="CD864" i="49"/>
  <c r="CC863" i="49"/>
  <c r="CH863" i="49"/>
  <c r="AI869" i="49"/>
  <c r="AD871" i="49"/>
  <c r="AI872" i="49"/>
  <c r="AG537" i="51" s="1"/>
  <c r="AW872" i="49"/>
  <c r="AU537" i="51" s="1"/>
  <c r="BG871" i="49"/>
  <c r="BL870" i="49"/>
  <c r="BL869" i="49"/>
  <c r="BL871" i="49"/>
  <c r="BT870" i="49"/>
  <c r="BT869" i="49"/>
  <c r="AJ872" i="49"/>
  <c r="AH537" i="51" s="1"/>
  <c r="AJ877" i="49"/>
  <c r="AJ878" i="49" s="1"/>
  <c r="BN883" i="49"/>
  <c r="BN882" i="49"/>
  <c r="AR891" i="49"/>
  <c r="AR893" i="49"/>
  <c r="AZ891" i="49"/>
  <c r="AZ893" i="49"/>
  <c r="BE891" i="49"/>
  <c r="CC902" i="49"/>
  <c r="CC898" i="49"/>
  <c r="CC894" i="49"/>
  <c r="CA542" i="51" s="1"/>
  <c r="Q896" i="49"/>
  <c r="Q904" i="49"/>
  <c r="CJ712" i="49"/>
  <c r="T812" i="49"/>
  <c r="Y812" i="49"/>
  <c r="AC812" i="49"/>
  <c r="AK812" i="49"/>
  <c r="BH812" i="49"/>
  <c r="BM812" i="49"/>
  <c r="CC812" i="49"/>
  <c r="CG812" i="49"/>
  <c r="BG863" i="49"/>
  <c r="BL863" i="49"/>
  <c r="BO864" i="49"/>
  <c r="BO863" i="49"/>
  <c r="BT863" i="49"/>
  <c r="BH872" i="49"/>
  <c r="BF537" i="51" s="1"/>
  <c r="BH877" i="49"/>
  <c r="CB867" i="49"/>
  <c r="CC867" i="49"/>
  <c r="CC476" i="49" s="1"/>
  <c r="CB871" i="49"/>
  <c r="CB866" i="49"/>
  <c r="U871" i="49"/>
  <c r="U872" i="49" s="1"/>
  <c r="S537" i="51" s="1"/>
  <c r="AE869" i="49"/>
  <c r="Z871" i="49"/>
  <c r="Z872" i="49" s="1"/>
  <c r="X537" i="51" s="1"/>
  <c r="Z869" i="49"/>
  <c r="AN872" i="49"/>
  <c r="AL537" i="51" s="1"/>
  <c r="BT871" i="49"/>
  <c r="BY872" i="49" s="1"/>
  <c r="BW537" i="51" s="1"/>
  <c r="AI877" i="49"/>
  <c r="AI875" i="49"/>
  <c r="AN875" i="49"/>
  <c r="AN877" i="49"/>
  <c r="AN878" i="49" s="1"/>
  <c r="AS875" i="49"/>
  <c r="BR875" i="49"/>
  <c r="BM875" i="49"/>
  <c r="BM876" i="49"/>
  <c r="BN876" i="49"/>
  <c r="BG898" i="49"/>
  <c r="BG896" i="49"/>
  <c r="BG904" i="49"/>
  <c r="BS897" i="49"/>
  <c r="BS898" i="49"/>
  <c r="BS904" i="49"/>
  <c r="BS905" i="49" s="1"/>
  <c r="BT897" i="49"/>
  <c r="BS896" i="49"/>
  <c r="BX904" i="49"/>
  <c r="BX898" i="49"/>
  <c r="BX897" i="49"/>
  <c r="BX896" i="49"/>
  <c r="CC896" i="49"/>
  <c r="CB904" i="49"/>
  <c r="CB905" i="49" s="1"/>
  <c r="CB897" i="49"/>
  <c r="CG896" i="49"/>
  <c r="CB896" i="49"/>
  <c r="CF904" i="49"/>
  <c r="CF905" i="49" s="1"/>
  <c r="CF896" i="49"/>
  <c r="CG897" i="49"/>
  <c r="CF897" i="49"/>
  <c r="Z860" i="49"/>
  <c r="U860" i="49"/>
  <c r="AD860" i="49"/>
  <c r="Y860" i="49"/>
  <c r="BB861" i="49"/>
  <c r="BG861" i="49"/>
  <c r="BH861" i="49"/>
  <c r="BP860" i="49"/>
  <c r="BT860" i="49"/>
  <c r="CC861" i="49"/>
  <c r="CH860" i="49"/>
  <c r="CC860" i="49"/>
  <c r="CH861" i="49"/>
  <c r="CL860" i="49"/>
  <c r="CG860" i="49"/>
  <c r="CG861" i="49"/>
  <c r="CA863" i="49"/>
  <c r="CA864" i="49"/>
  <c r="CF863" i="49"/>
  <c r="AS866" i="49"/>
  <c r="CA866" i="49"/>
  <c r="BV871" i="49"/>
  <c r="BV866" i="49"/>
  <c r="CD867" i="49"/>
  <c r="CI866" i="49"/>
  <c r="CD871" i="49"/>
  <c r="CD877" i="49" s="1"/>
  <c r="CD866" i="49"/>
  <c r="AE872" i="49"/>
  <c r="AC537" i="51" s="1"/>
  <c r="AO871" i="49"/>
  <c r="AY869" i="49"/>
  <c r="AT871" i="49"/>
  <c r="BC869" i="49"/>
  <c r="AX871" i="49"/>
  <c r="BC872" i="49"/>
  <c r="BA537" i="51" s="1"/>
  <c r="CA871" i="49"/>
  <c r="CF872" i="49" s="1"/>
  <c r="CD537" i="51" s="1"/>
  <c r="CF870" i="49"/>
  <c r="CF869" i="49"/>
  <c r="X877" i="49"/>
  <c r="X878" i="49" s="1"/>
  <c r="AH875" i="49"/>
  <c r="AC875" i="49"/>
  <c r="AK877" i="49"/>
  <c r="AP877" i="49"/>
  <c r="AP875" i="49"/>
  <c r="BC877" i="49"/>
  <c r="X882" i="49"/>
  <c r="S882" i="49"/>
  <c r="AA893" i="49"/>
  <c r="AA882" i="49"/>
  <c r="AO893" i="49"/>
  <c r="BH891" i="49"/>
  <c r="BH892" i="49"/>
  <c r="BH893" i="49"/>
  <c r="BI892" i="49"/>
  <c r="BM892" i="49"/>
  <c r="BM891" i="49"/>
  <c r="BN892" i="49"/>
  <c r="BM893" i="49"/>
  <c r="U902" i="49"/>
  <c r="AW893" i="49"/>
  <c r="BS902" i="49"/>
  <c r="Y896" i="49"/>
  <c r="Y904" i="49"/>
  <c r="Y905" i="49" s="1"/>
  <c r="Y898" i="49"/>
  <c r="AD904" i="49"/>
  <c r="AD896" i="49"/>
  <c r="AI896" i="49"/>
  <c r="AT860" i="49"/>
  <c r="AO860" i="49"/>
  <c r="AX860" i="49"/>
  <c r="AS860" i="49"/>
  <c r="BU860" i="49"/>
  <c r="BO860" i="49"/>
  <c r="BJ864" i="49"/>
  <c r="BI863" i="49"/>
  <c r="BM864" i="49"/>
  <c r="BM863" i="49"/>
  <c r="BN863" i="49"/>
  <c r="AA866" i="49"/>
  <c r="V866" i="49"/>
  <c r="BH867" i="49"/>
  <c r="BI867" i="49"/>
  <c r="BD866" i="49"/>
  <c r="BV867" i="49"/>
  <c r="S871" i="49"/>
  <c r="BI871" i="49"/>
  <c r="BO870" i="49"/>
  <c r="BS869" i="49"/>
  <c r="BN871" i="49"/>
  <c r="BW869" i="49"/>
  <c r="BR870" i="49"/>
  <c r="BR871" i="49"/>
  <c r="BW872" i="49"/>
  <c r="BU537" i="51" s="1"/>
  <c r="BR869" i="49"/>
  <c r="AF871" i="49"/>
  <c r="BG877" i="49"/>
  <c r="BG875" i="49"/>
  <c r="BH876" i="49"/>
  <c r="BO876" i="49"/>
  <c r="BO875" i="49"/>
  <c r="BP874" i="49"/>
  <c r="BP875" i="49" s="1"/>
  <c r="BR882" i="49"/>
  <c r="BR883" i="49"/>
  <c r="BW893" i="49"/>
  <c r="BW882" i="49"/>
  <c r="BE888" i="49"/>
  <c r="BE893" i="49"/>
  <c r="BE898" i="49" s="1"/>
  <c r="BE889" i="49"/>
  <c r="AF902" i="49"/>
  <c r="AF894" i="49"/>
  <c r="AD542" i="51" s="1"/>
  <c r="BX894" i="49"/>
  <c r="BV542" i="51" s="1"/>
  <c r="BJ904" i="49"/>
  <c r="BJ896" i="49"/>
  <c r="BJ897" i="49"/>
  <c r="AN860" i="49"/>
  <c r="AR860" i="49"/>
  <c r="CB860" i="49"/>
  <c r="CF861" i="49"/>
  <c r="CK861" i="49"/>
  <c r="AW860" i="49"/>
  <c r="BE860" i="49"/>
  <c r="CK860" i="49"/>
  <c r="BW863" i="49"/>
  <c r="BW864" i="49"/>
  <c r="CB864" i="49"/>
  <c r="CB863" i="49"/>
  <c r="U866" i="49"/>
  <c r="BE867" i="49"/>
  <c r="BI866" i="49"/>
  <c r="BO867" i="49"/>
  <c r="BS866" i="49"/>
  <c r="BW866" i="49"/>
  <c r="BR867" i="49"/>
  <c r="BW867" i="49"/>
  <c r="AD866" i="49"/>
  <c r="AT866" i="49"/>
  <c r="BR866" i="49"/>
  <c r="BS867" i="49"/>
  <c r="CM867" i="49"/>
  <c r="CM476" i="49" s="1"/>
  <c r="Y871" i="49"/>
  <c r="Y872" i="49" s="1"/>
  <c r="W537" i="51" s="1"/>
  <c r="AC871" i="49"/>
  <c r="AC872" i="49" s="1"/>
  <c r="AA537" i="51" s="1"/>
  <c r="AU871" i="49"/>
  <c r="AY871" i="49"/>
  <c r="AY877" i="49" s="1"/>
  <c r="AY878" i="49" s="1"/>
  <c r="BM871" i="49"/>
  <c r="BQ871" i="49"/>
  <c r="CD870" i="49"/>
  <c r="CI869" i="49"/>
  <c r="BH869" i="49"/>
  <c r="V871" i="49"/>
  <c r="V872" i="49" s="1"/>
  <c r="T537" i="51" s="1"/>
  <c r="BB871" i="49"/>
  <c r="BB877" i="49" s="1"/>
  <c r="BB878" i="49" s="1"/>
  <c r="S904" i="49"/>
  <c r="S877" i="49"/>
  <c r="S875" i="49"/>
  <c r="AA875" i="49"/>
  <c r="AT877" i="49"/>
  <c r="AX877" i="49"/>
  <c r="BQ904" i="49"/>
  <c r="BQ876" i="49"/>
  <c r="BU875" i="49"/>
  <c r="BY904" i="49"/>
  <c r="BY905" i="49" s="1"/>
  <c r="BZ874" i="49"/>
  <c r="BZ875" i="49" s="1"/>
  <c r="BY876" i="49"/>
  <c r="CH877" i="49"/>
  <c r="AZ877" i="49"/>
  <c r="BY877" i="49"/>
  <c r="BE882" i="49"/>
  <c r="BE883" i="49"/>
  <c r="CA883" i="49"/>
  <c r="CF882" i="49"/>
  <c r="CA882" i="49"/>
  <c r="CB883" i="49"/>
  <c r="CI883" i="49"/>
  <c r="CI882" i="49"/>
  <c r="S893" i="49"/>
  <c r="X888" i="49"/>
  <c r="S888" i="49"/>
  <c r="BN889" i="49"/>
  <c r="BN888" i="49"/>
  <c r="BT889" i="49"/>
  <c r="BS889" i="49"/>
  <c r="BS888" i="49"/>
  <c r="BX888" i="49"/>
  <c r="Y894" i="49"/>
  <c r="W542" i="51" s="1"/>
  <c r="Y902" i="49"/>
  <c r="AD893" i="49"/>
  <c r="AI891" i="49"/>
  <c r="AD891" i="49"/>
  <c r="BQ893" i="49"/>
  <c r="BV891" i="49"/>
  <c r="BY892" i="49"/>
  <c r="CD891" i="49"/>
  <c r="BY891" i="49"/>
  <c r="BY893" i="49"/>
  <c r="BQ891" i="49"/>
  <c r="CM893" i="49"/>
  <c r="CM891" i="49"/>
  <c r="CM892" i="49"/>
  <c r="BC902" i="49"/>
  <c r="BC894" i="49"/>
  <c r="BA542" i="51" s="1"/>
  <c r="AH904" i="49"/>
  <c r="AH896" i="49"/>
  <c r="AP904" i="49"/>
  <c r="AP905" i="49" s="1"/>
  <c r="AP896" i="49"/>
  <c r="AP898" i="49"/>
  <c r="CK893" i="49"/>
  <c r="CK891" i="49"/>
  <c r="X860" i="49"/>
  <c r="BH860" i="49"/>
  <c r="BL861" i="49"/>
  <c r="BV860" i="49"/>
  <c r="BQ861" i="49"/>
  <c r="CD860" i="49"/>
  <c r="BZ859" i="49"/>
  <c r="BZ860" i="49" s="1"/>
  <c r="AC860" i="49"/>
  <c r="AK860" i="49"/>
  <c r="BQ860" i="49"/>
  <c r="BY860" i="49"/>
  <c r="BR861" i="49"/>
  <c r="BH864" i="49"/>
  <c r="BY864" i="49"/>
  <c r="BY863" i="49"/>
  <c r="BH863" i="49"/>
  <c r="BQ864" i="49"/>
  <c r="AK866" i="49"/>
  <c r="AO866" i="49"/>
  <c r="BC867" i="49"/>
  <c r="BY867" i="49"/>
  <c r="CC866" i="49"/>
  <c r="CI867" i="49"/>
  <c r="CM866" i="49"/>
  <c r="AX866" i="49"/>
  <c r="CL866" i="49"/>
  <c r="CH867" i="49"/>
  <c r="AA871" i="49"/>
  <c r="AS871" i="49"/>
  <c r="BJ870" i="49"/>
  <c r="BO869" i="49"/>
  <c r="BO871" i="49"/>
  <c r="CG871" i="49"/>
  <c r="CK871" i="49"/>
  <c r="CB869" i="49"/>
  <c r="BB870" i="49"/>
  <c r="P877" i="49"/>
  <c r="U877" i="49"/>
  <c r="U878" i="49" s="1"/>
  <c r="AD875" i="49"/>
  <c r="Y875" i="49"/>
  <c r="BE876" i="49"/>
  <c r="BS877" i="49"/>
  <c r="BS876" i="49"/>
  <c r="BW877" i="49"/>
  <c r="BW878" i="49" s="1"/>
  <c r="BW876" i="49"/>
  <c r="BW875" i="49"/>
  <c r="CB875" i="49"/>
  <c r="CB877" i="49"/>
  <c r="CB878" i="49" s="1"/>
  <c r="CC876" i="49"/>
  <c r="CF876" i="49"/>
  <c r="CF875" i="49"/>
  <c r="CF877" i="49"/>
  <c r="CF878" i="49" s="1"/>
  <c r="CG875" i="49"/>
  <c r="BT876" i="49"/>
  <c r="Y877" i="49"/>
  <c r="Y878" i="49" s="1"/>
  <c r="BV889" i="49"/>
  <c r="BV888" i="49"/>
  <c r="V893" i="49"/>
  <c r="AA891" i="49"/>
  <c r="V891" i="49"/>
  <c r="CB891" i="49"/>
  <c r="CC892" i="49"/>
  <c r="CB893" i="49"/>
  <c r="CG892" i="49"/>
  <c r="CG893" i="49"/>
  <c r="CG891" i="49"/>
  <c r="CH892" i="49"/>
  <c r="BX902" i="49"/>
  <c r="BX903" i="49" s="1"/>
  <c r="AS904" i="49"/>
  <c r="AS896" i="49"/>
  <c r="AX904" i="49"/>
  <c r="AX905" i="49" s="1"/>
  <c r="AX896" i="49"/>
  <c r="BC898" i="49"/>
  <c r="BC904" i="49"/>
  <c r="BC905" i="49" s="1"/>
  <c r="BC897" i="49"/>
  <c r="BC896" i="49"/>
  <c r="BH896" i="49"/>
  <c r="BN904" i="49"/>
  <c r="BN897" i="49"/>
  <c r="BN896" i="49"/>
  <c r="AA904" i="49"/>
  <c r="Q973" i="49"/>
  <c r="R939" i="49"/>
  <c r="R973" i="49" s="1"/>
  <c r="DE400" i="72" s="1"/>
  <c r="BE973" i="49"/>
  <c r="BF973" i="49" s="1"/>
  <c r="DM400" i="72" s="1"/>
  <c r="BF939" i="49"/>
  <c r="BD860" i="49"/>
  <c r="BL860" i="49"/>
  <c r="BX860" i="49"/>
  <c r="CF860" i="49"/>
  <c r="BE866" i="49"/>
  <c r="BM866" i="49"/>
  <c r="BY866" i="49"/>
  <c r="CG866" i="49"/>
  <c r="U869" i="49"/>
  <c r="Y869" i="49"/>
  <c r="AC869" i="49"/>
  <c r="AK869" i="49"/>
  <c r="AO869" i="49"/>
  <c r="AS869" i="49"/>
  <c r="AW869" i="49"/>
  <c r="BE869" i="49"/>
  <c r="BI869" i="49"/>
  <c r="BM869" i="49"/>
  <c r="BQ869" i="49"/>
  <c r="BY869" i="49"/>
  <c r="CC869" i="49"/>
  <c r="CG869" i="49"/>
  <c r="CK869" i="49"/>
  <c r="BC870" i="49"/>
  <c r="BM870" i="49"/>
  <c r="BW870" i="49"/>
  <c r="CG870" i="49"/>
  <c r="Z877" i="49"/>
  <c r="Z878" i="49" s="1"/>
  <c r="AD877" i="49"/>
  <c r="AD878" i="49" s="1"/>
  <c r="AH877" i="49"/>
  <c r="AM905" i="49"/>
  <c r="BH875" i="49"/>
  <c r="BL876" i="49"/>
  <c r="BL875" i="49"/>
  <c r="BT875" i="49"/>
  <c r="BX875" i="49"/>
  <c r="CC905" i="49"/>
  <c r="AO875" i="49"/>
  <c r="AY875" i="49"/>
  <c r="BE875" i="49"/>
  <c r="BJ875" i="49"/>
  <c r="CG876" i="49"/>
  <c r="BX877" i="49"/>
  <c r="BX878" i="49" s="1"/>
  <c r="AX882" i="49"/>
  <c r="BB882" i="49"/>
  <c r="BJ882" i="49"/>
  <c r="CH883" i="49"/>
  <c r="CH882" i="49"/>
  <c r="BC882" i="49"/>
  <c r="BM882" i="49"/>
  <c r="BB883" i="49"/>
  <c r="AK888" i="49"/>
  <c r="AP888" i="49"/>
  <c r="AU893" i="49"/>
  <c r="BM888" i="49"/>
  <c r="BM889" i="49"/>
  <c r="CA889" i="49"/>
  <c r="CA893" i="49"/>
  <c r="CB889" i="49"/>
  <c r="CF888" i="49"/>
  <c r="CA888" i="49"/>
  <c r="AH888" i="49"/>
  <c r="BC888" i="49"/>
  <c r="Q891" i="49"/>
  <c r="Z893" i="49"/>
  <c r="AS893" i="49"/>
  <c r="AS898" i="49" s="1"/>
  <c r="AW891" i="49"/>
  <c r="BL891" i="49"/>
  <c r="BL892" i="49"/>
  <c r="BT892" i="49"/>
  <c r="BT891" i="49"/>
  <c r="BT893" i="49"/>
  <c r="BX891" i="49"/>
  <c r="BX892" i="49"/>
  <c r="CC891" i="49"/>
  <c r="CH893" i="49"/>
  <c r="CH891" i="49"/>
  <c r="AU891" i="49"/>
  <c r="Q893" i="49"/>
  <c r="AK893" i="49"/>
  <c r="BG902" i="49"/>
  <c r="U904" i="49"/>
  <c r="U898" i="49"/>
  <c r="AI904" i="49"/>
  <c r="AI905" i="49" s="1"/>
  <c r="BB904" i="49"/>
  <c r="BB896" i="49"/>
  <c r="BB897" i="49"/>
  <c r="U896" i="49"/>
  <c r="BE870" i="49"/>
  <c r="BY870" i="49"/>
  <c r="X875" i="49"/>
  <c r="AF875" i="49"/>
  <c r="AJ875" i="49"/>
  <c r="BN877" i="49"/>
  <c r="BR877" i="49"/>
  <c r="BV877" i="49"/>
  <c r="CA877" i="49"/>
  <c r="CA876" i="49"/>
  <c r="AW875" i="49"/>
  <c r="AF877" i="49"/>
  <c r="BS883" i="49"/>
  <c r="BT883" i="49"/>
  <c r="BS882" i="49"/>
  <c r="AE894" i="49"/>
  <c r="AC542" i="51" s="1"/>
  <c r="AE902" i="49"/>
  <c r="AI893" i="49"/>
  <c r="BB889" i="49"/>
  <c r="BJ888" i="49"/>
  <c r="BO893" i="49"/>
  <c r="AH893" i="49"/>
  <c r="AH898" i="49" s="1"/>
  <c r="AM891" i="49"/>
  <c r="AH891" i="49"/>
  <c r="BD891" i="49"/>
  <c r="BI891" i="49"/>
  <c r="BD893" i="49"/>
  <c r="BD892" i="49"/>
  <c r="BI893" i="49"/>
  <c r="CL893" i="49"/>
  <c r="CL891" i="49"/>
  <c r="BL902" i="49"/>
  <c r="BL903" i="49" s="1"/>
  <c r="BL894" i="49"/>
  <c r="BJ542" i="51" s="1"/>
  <c r="S896" i="49"/>
  <c r="AC904" i="49"/>
  <c r="AK904" i="49"/>
  <c r="AO904" i="49"/>
  <c r="AO896" i="49"/>
  <c r="AO898" i="49"/>
  <c r="AT904" i="49"/>
  <c r="AT896" i="49"/>
  <c r="AY904" i="49"/>
  <c r="AY905" i="49" s="1"/>
  <c r="BW898" i="49"/>
  <c r="AY896" i="49"/>
  <c r="AE898" i="49"/>
  <c r="BJ934" i="49"/>
  <c r="BK934" i="49" s="1"/>
  <c r="BB876" i="49"/>
  <c r="BV876" i="49"/>
  <c r="AD882" i="49"/>
  <c r="AH882" i="49"/>
  <c r="AP882" i="49"/>
  <c r="AT882" i="49"/>
  <c r="BX883" i="49"/>
  <c r="AI882" i="49"/>
  <c r="AY882" i="49"/>
  <c r="BY882" i="49"/>
  <c r="Q888" i="49"/>
  <c r="U888" i="49"/>
  <c r="BG889" i="49"/>
  <c r="AI888" i="49"/>
  <c r="AN888" i="49"/>
  <c r="AY888" i="49"/>
  <c r="BD888" i="49"/>
  <c r="BO888" i="49"/>
  <c r="BT888" i="49"/>
  <c r="BY889" i="49"/>
  <c r="CG889" i="49"/>
  <c r="BE892" i="49"/>
  <c r="BN893" i="49"/>
  <c r="BS894" i="49" s="1"/>
  <c r="BQ542" i="51" s="1"/>
  <c r="BR893" i="49"/>
  <c r="BV893" i="49"/>
  <c r="CD893" i="49"/>
  <c r="CD892" i="49"/>
  <c r="CI892" i="49"/>
  <c r="BB891" i="49"/>
  <c r="BR891" i="49"/>
  <c r="BW891" i="49"/>
  <c r="BR892" i="49"/>
  <c r="CF892" i="49"/>
  <c r="X893" i="49"/>
  <c r="AC893" i="49"/>
  <c r="AN893" i="49"/>
  <c r="V896" i="49"/>
  <c r="Z896" i="49"/>
  <c r="Z904" i="49"/>
  <c r="Z905" i="49" s="1"/>
  <c r="AE896" i="49"/>
  <c r="AM898" i="49"/>
  <c r="AU896" i="49"/>
  <c r="BV904" i="49"/>
  <c r="BV905" i="49" s="1"/>
  <c r="BV896" i="49"/>
  <c r="BZ904" i="49"/>
  <c r="BZ896" i="49"/>
  <c r="CD904" i="49"/>
  <c r="CD896" i="49"/>
  <c r="CD898" i="49"/>
  <c r="CH904" i="49"/>
  <c r="CH905" i="49" s="1"/>
  <c r="CH897" i="49"/>
  <c r="CH896" i="49"/>
  <c r="X896" i="49"/>
  <c r="AF896" i="49"/>
  <c r="AM896" i="49"/>
  <c r="BW896" i="49"/>
  <c r="CA897" i="49"/>
  <c r="S898" i="49"/>
  <c r="Z898" i="49"/>
  <c r="AU898" i="49"/>
  <c r="V904" i="49"/>
  <c r="V905" i="49" s="1"/>
  <c r="CE904" i="49"/>
  <c r="CE905" i="49" s="1"/>
  <c r="Q934" i="49"/>
  <c r="CL882" i="49"/>
  <c r="AE882" i="49"/>
  <c r="AU882" i="49"/>
  <c r="BL889" i="49"/>
  <c r="BQ888" i="49"/>
  <c r="AE888" i="49"/>
  <c r="AJ888" i="49"/>
  <c r="AU888" i="49"/>
  <c r="AZ888" i="49"/>
  <c r="CL888" i="49"/>
  <c r="P891" i="49"/>
  <c r="T891" i="49"/>
  <c r="AT893" i="49"/>
  <c r="AY894" i="49" s="1"/>
  <c r="AW542" i="51" s="1"/>
  <c r="AX893" i="49"/>
  <c r="AX898" i="49" s="1"/>
  <c r="BB893" i="49"/>
  <c r="BJ893" i="49"/>
  <c r="BJ892" i="49"/>
  <c r="AX891" i="49"/>
  <c r="BC891" i="49"/>
  <c r="T893" i="49"/>
  <c r="AJ902" i="49"/>
  <c r="AJ903" i="49" s="1"/>
  <c r="CF893" i="49"/>
  <c r="CF898" i="49" s="1"/>
  <c r="AJ894" i="49"/>
  <c r="AH542" i="51" s="1"/>
  <c r="AW904" i="49"/>
  <c r="BE904" i="49"/>
  <c r="BE905" i="49" s="1"/>
  <c r="BE896" i="49"/>
  <c r="BM904" i="49"/>
  <c r="BR904" i="49"/>
  <c r="BR896" i="49"/>
  <c r="AA896" i="49"/>
  <c r="BR898" i="49"/>
  <c r="AS934" i="49"/>
  <c r="L973" i="49"/>
  <c r="M939" i="49"/>
  <c r="M973" i="49" s="1"/>
  <c r="DD400" i="72" s="1"/>
  <c r="AK973" i="49"/>
  <c r="AL973" i="49" s="1"/>
  <c r="DI400" i="72" s="1"/>
  <c r="AL939" i="49"/>
  <c r="T904" i="49"/>
  <c r="T898" i="49"/>
  <c r="X904" i="49"/>
  <c r="X905" i="49" s="1"/>
  <c r="X898" i="49"/>
  <c r="AF904" i="49"/>
  <c r="AF905" i="49" s="1"/>
  <c r="AF898" i="49"/>
  <c r="AJ904" i="49"/>
  <c r="AJ905" i="49" s="1"/>
  <c r="AJ898" i="49"/>
  <c r="AN904" i="49"/>
  <c r="AN905" i="49" s="1"/>
  <c r="AN898" i="49"/>
  <c r="AR904" i="49"/>
  <c r="AR905" i="49" s="1"/>
  <c r="AR898" i="49"/>
  <c r="AZ904" i="49"/>
  <c r="AZ905" i="49" s="1"/>
  <c r="AZ898" i="49"/>
  <c r="BD904" i="49"/>
  <c r="BD905" i="49" s="1"/>
  <c r="BD898" i="49"/>
  <c r="BD897" i="49"/>
  <c r="BH904" i="49"/>
  <c r="BH905" i="49" s="1"/>
  <c r="BH898" i="49"/>
  <c r="BL904" i="49"/>
  <c r="BL905" i="49" s="1"/>
  <c r="BL898" i="49"/>
  <c r="BT904" i="49"/>
  <c r="BT898" i="49"/>
  <c r="BU895" i="49"/>
  <c r="BV897" i="49" s="1"/>
  <c r="CC897" i="49"/>
  <c r="AJ896" i="49"/>
  <c r="AZ896" i="49"/>
  <c r="BH897" i="49"/>
  <c r="L934" i="49"/>
  <c r="AE934" i="49"/>
  <c r="AJ934" i="49"/>
  <c r="AY934" i="49"/>
  <c r="BD934" i="49"/>
  <c r="AO934" i="49"/>
  <c r="AP934" i="49"/>
  <c r="AQ934" i="49" s="1"/>
  <c r="BS973" i="49"/>
  <c r="BX973" i="49"/>
  <c r="P934" i="49"/>
  <c r="S934" i="49"/>
  <c r="X934" i="49"/>
  <c r="AC934" i="49"/>
  <c r="AM934" i="49"/>
  <c r="AR934" i="49"/>
  <c r="AW934" i="49"/>
  <c r="BG934" i="49"/>
  <c r="BI934" i="49"/>
  <c r="CA973" i="49"/>
  <c r="K934" i="49"/>
  <c r="T934" i="49"/>
  <c r="AI934" i="49"/>
  <c r="AN934" i="49"/>
  <c r="BC934" i="49"/>
  <c r="BH934" i="49"/>
  <c r="R916" i="49"/>
  <c r="R934" i="49" s="1"/>
  <c r="AK934" i="49"/>
  <c r="AL934" i="49" s="1"/>
  <c r="K973" i="49"/>
  <c r="AF973" i="49"/>
  <c r="AG973" i="49" s="1"/>
  <c r="DH400" i="72" s="1"/>
  <c r="AJ973" i="49"/>
  <c r="AO973" i="49"/>
  <c r="BL973" i="49"/>
  <c r="BT973" i="49"/>
  <c r="BU973" i="49" s="1"/>
  <c r="DP400" i="72" s="1"/>
  <c r="BU939" i="49"/>
  <c r="O934" i="49"/>
  <c r="W934" i="49"/>
  <c r="AA934" i="49"/>
  <c r="AB934" i="49" s="1"/>
  <c r="AF934" i="49"/>
  <c r="AG934" i="49" s="1"/>
  <c r="AU934" i="49"/>
  <c r="AV934" i="49" s="1"/>
  <c r="AZ934" i="49"/>
  <c r="BA934" i="49" s="1"/>
  <c r="BO934" i="49"/>
  <c r="BP934" i="49" s="1"/>
  <c r="BE934" i="49"/>
  <c r="BF934" i="49" s="1"/>
  <c r="N973" i="49"/>
  <c r="U973" i="49"/>
  <c r="AD973" i="49"/>
  <c r="AR973" i="49"/>
  <c r="AZ973" i="49"/>
  <c r="BA973" i="49" s="1"/>
  <c r="DL400" i="72" s="1"/>
  <c r="BD973" i="49"/>
  <c r="BG973" i="49"/>
  <c r="BW973" i="49"/>
  <c r="CB973" i="49"/>
  <c r="CF973" i="49"/>
  <c r="CO983" i="49"/>
  <c r="I973" i="49"/>
  <c r="V973" i="49"/>
  <c r="Z973" i="49"/>
  <c r="AH973" i="49"/>
  <c r="AP973" i="49"/>
  <c r="AQ973" i="49" s="1"/>
  <c r="DJ400" i="72" s="1"/>
  <c r="AX973" i="49"/>
  <c r="BB973" i="49"/>
  <c r="BM973" i="49"/>
  <c r="BQ973" i="49"/>
  <c r="BY973" i="49"/>
  <c r="BZ973" i="49" s="1"/>
  <c r="DQ400" i="72" s="1"/>
  <c r="CC973" i="49"/>
  <c r="CG973" i="49"/>
  <c r="M915" i="49"/>
  <c r="M934" i="49" s="1"/>
  <c r="J973" i="49"/>
  <c r="W939" i="49"/>
  <c r="W973" i="49" s="1"/>
  <c r="DF400" i="72" s="1"/>
  <c r="AA973" i="49"/>
  <c r="AB973" i="49" s="1"/>
  <c r="DG400" i="72" s="1"/>
  <c r="AE973" i="49"/>
  <c r="AM973" i="49"/>
  <c r="AQ939" i="49"/>
  <c r="AU973" i="49"/>
  <c r="AV973" i="49" s="1"/>
  <c r="DK400" i="72" s="1"/>
  <c r="BC973" i="49"/>
  <c r="BN973" i="49"/>
  <c r="BR973" i="49"/>
  <c r="BV973" i="49"/>
  <c r="BZ939" i="49"/>
  <c r="CD973" i="49"/>
  <c r="CE973" i="49" s="1"/>
  <c r="DR400" i="72" s="1"/>
  <c r="DR401" i="72" s="1"/>
  <c r="BY995" i="49"/>
  <c r="BZ995" i="49" s="1"/>
  <c r="CI995" i="49"/>
  <c r="CJ994" i="49"/>
  <c r="CJ995" i="49" s="1"/>
  <c r="CO994" i="49"/>
  <c r="CP994" i="49" s="1"/>
  <c r="CQ994" i="49" s="1"/>
  <c r="CR994" i="49" s="1"/>
  <c r="CS994" i="49" s="1"/>
  <c r="CT994" i="49" s="1"/>
  <c r="CU994" i="49" s="1"/>
  <c r="CV994" i="49" s="1"/>
  <c r="AE63" i="51"/>
  <c r="AE4" i="51"/>
  <c r="AE72" i="51" s="1"/>
  <c r="AE73" i="51" s="1"/>
  <c r="AD64" i="51"/>
  <c r="BB64" i="51"/>
  <c r="CA425" i="51"/>
  <c r="CA336" i="51"/>
  <c r="AE84" i="51"/>
  <c r="CE428" i="51"/>
  <c r="CE339" i="51"/>
  <c r="AB88" i="51"/>
  <c r="AU88" i="51"/>
  <c r="I76" i="51"/>
  <c r="K4" i="51"/>
  <c r="K81" i="51" s="1"/>
  <c r="K82" i="51" s="1"/>
  <c r="Z4" i="51"/>
  <c r="Z63" i="51" s="1"/>
  <c r="BX3" i="51"/>
  <c r="BW4" i="51"/>
  <c r="BW430" i="51" s="1"/>
  <c r="CJ442" i="51"/>
  <c r="CJ353" i="51"/>
  <c r="AL685" i="51"/>
  <c r="AL550" i="51"/>
  <c r="AL533" i="51"/>
  <c r="AL483" i="51"/>
  <c r="AL419" i="51"/>
  <c r="AL330" i="51"/>
  <c r="AL219" i="51"/>
  <c r="AL57" i="51"/>
  <c r="AP685" i="51"/>
  <c r="AP550" i="51"/>
  <c r="AP533" i="51"/>
  <c r="AP483" i="51"/>
  <c r="AP419" i="51"/>
  <c r="AP330" i="51"/>
  <c r="AP219" i="51"/>
  <c r="AP57" i="51"/>
  <c r="AT685" i="51"/>
  <c r="AT550" i="51"/>
  <c r="AT533" i="51"/>
  <c r="AT483" i="51"/>
  <c r="AT419" i="51"/>
  <c r="AT330" i="51"/>
  <c r="AT219" i="51"/>
  <c r="AT57" i="51"/>
  <c r="AX685" i="51"/>
  <c r="AX550" i="51"/>
  <c r="AX533" i="51"/>
  <c r="AX483" i="51"/>
  <c r="AX419" i="51"/>
  <c r="AX330" i="51"/>
  <c r="AX219" i="51"/>
  <c r="AX57" i="51"/>
  <c r="BB685" i="51"/>
  <c r="BB550" i="51"/>
  <c r="BB533" i="51"/>
  <c r="BB483" i="51"/>
  <c r="BB419" i="51"/>
  <c r="BB330" i="51"/>
  <c r="BB219" i="51"/>
  <c r="BB57" i="51"/>
  <c r="BF685" i="51"/>
  <c r="BF550" i="51"/>
  <c r="BF533" i="51"/>
  <c r="BF483" i="51"/>
  <c r="BF419" i="51"/>
  <c r="BF330" i="51"/>
  <c r="BF219" i="51"/>
  <c r="BF57" i="51"/>
  <c r="BJ685" i="51"/>
  <c r="BJ550" i="51"/>
  <c r="BJ533" i="51"/>
  <c r="BJ483" i="51"/>
  <c r="BJ419" i="51"/>
  <c r="BJ330" i="51"/>
  <c r="BJ219" i="51"/>
  <c r="BJ57" i="51"/>
  <c r="BN685" i="51"/>
  <c r="BN550" i="51"/>
  <c r="BN533" i="51"/>
  <c r="BN483" i="51"/>
  <c r="BN419" i="51"/>
  <c r="BN330" i="51"/>
  <c r="BN219" i="51"/>
  <c r="BN57" i="51"/>
  <c r="BR685" i="51"/>
  <c r="BR550" i="51"/>
  <c r="BR533" i="51"/>
  <c r="BR483" i="51"/>
  <c r="BR419" i="51"/>
  <c r="BR330" i="51"/>
  <c r="BR219" i="51"/>
  <c r="BR57" i="51"/>
  <c r="BV685" i="51"/>
  <c r="BV550" i="51"/>
  <c r="BV533" i="51"/>
  <c r="BV483" i="51"/>
  <c r="BV419" i="51"/>
  <c r="BV330" i="51"/>
  <c r="BV219" i="51"/>
  <c r="BV57" i="51"/>
  <c r="BZ685" i="51"/>
  <c r="BZ550" i="51"/>
  <c r="BZ533" i="51"/>
  <c r="BZ483" i="51"/>
  <c r="BZ419" i="51"/>
  <c r="BZ330" i="51"/>
  <c r="BZ219" i="51"/>
  <c r="BZ57" i="51"/>
  <c r="CD685" i="51"/>
  <c r="CD550" i="51"/>
  <c r="CD533" i="51"/>
  <c r="CD483" i="51"/>
  <c r="CD419" i="51"/>
  <c r="CD330" i="51"/>
  <c r="CD219" i="51"/>
  <c r="CD57" i="51"/>
  <c r="CH685" i="51"/>
  <c r="CH550" i="51"/>
  <c r="CH533" i="51"/>
  <c r="CH483" i="51"/>
  <c r="CH419" i="51"/>
  <c r="CH330" i="51"/>
  <c r="CH219" i="51"/>
  <c r="CH57" i="51"/>
  <c r="CL685" i="51"/>
  <c r="CL550" i="51"/>
  <c r="CL533" i="51"/>
  <c r="CL483" i="51"/>
  <c r="CL419" i="51"/>
  <c r="CL330" i="51"/>
  <c r="CL219" i="51"/>
  <c r="CL57" i="51"/>
  <c r="CP685" i="51"/>
  <c r="CP550" i="51"/>
  <c r="CP533" i="51"/>
  <c r="CP483" i="51"/>
  <c r="CP419" i="51"/>
  <c r="CP330" i="51"/>
  <c r="CP219" i="51"/>
  <c r="CP57" i="51"/>
  <c r="CT685" i="51"/>
  <c r="CT550" i="51"/>
  <c r="CT483" i="51"/>
  <c r="CT533" i="51"/>
  <c r="CT419" i="51"/>
  <c r="CT330" i="51"/>
  <c r="CT219" i="51"/>
  <c r="CT57" i="51"/>
  <c r="J64" i="51"/>
  <c r="AH64" i="51"/>
  <c r="BA64" i="51"/>
  <c r="BF64" i="51"/>
  <c r="AE66" i="51"/>
  <c r="AE67" i="51" s="1"/>
  <c r="AN67" i="51"/>
  <c r="BG67" i="51"/>
  <c r="BL67" i="51"/>
  <c r="AM73" i="51"/>
  <c r="AE75" i="51"/>
  <c r="CE425" i="51"/>
  <c r="CE336" i="51"/>
  <c r="BG76" i="51"/>
  <c r="AB79" i="51"/>
  <c r="CA426" i="51"/>
  <c r="CA337" i="51"/>
  <c r="AU79" i="51"/>
  <c r="CA79" i="51"/>
  <c r="X82" i="51"/>
  <c r="BO427" i="51"/>
  <c r="BO338" i="51"/>
  <c r="BW427" i="51"/>
  <c r="BO82" i="51"/>
  <c r="AM85" i="51"/>
  <c r="AE87" i="51"/>
  <c r="CE430" i="51"/>
  <c r="CE341" i="51"/>
  <c r="BG88" i="51"/>
  <c r="M76" i="51"/>
  <c r="CG369" i="51"/>
  <c r="CG353" i="51"/>
  <c r="AU67" i="51"/>
  <c r="BH67" i="51"/>
  <c r="CE424" i="51"/>
  <c r="CE335" i="51"/>
  <c r="CA76" i="51"/>
  <c r="BO426" i="51"/>
  <c r="BO337" i="51"/>
  <c r="BO79" i="51"/>
  <c r="CB441" i="51"/>
  <c r="CB429" i="51"/>
  <c r="CB340" i="51"/>
  <c r="CH8" i="51"/>
  <c r="CM8" i="51"/>
  <c r="CR8" i="51"/>
  <c r="CH10" i="51"/>
  <c r="CM10" i="51"/>
  <c r="CH12" i="51"/>
  <c r="CM12" i="51"/>
  <c r="CG59" i="51"/>
  <c r="Z66" i="51"/>
  <c r="AK64" i="51"/>
  <c r="AS64" i="51"/>
  <c r="AX64" i="51"/>
  <c r="AQ67" i="51"/>
  <c r="AV67" i="51"/>
  <c r="AZ67" i="51"/>
  <c r="BQ64" i="51"/>
  <c r="BQ67" i="51"/>
  <c r="BY64" i="51"/>
  <c r="BZ70" i="51"/>
  <c r="CD70" i="51"/>
  <c r="K66" i="51"/>
  <c r="AB73" i="51"/>
  <c r="AF73" i="51"/>
  <c r="CA424" i="51"/>
  <c r="CA335" i="51"/>
  <c r="AU73" i="51"/>
  <c r="BK73" i="51"/>
  <c r="CA73" i="51"/>
  <c r="X76" i="51"/>
  <c r="BO425" i="51"/>
  <c r="BO336" i="51"/>
  <c r="BW336" i="51"/>
  <c r="BO76" i="51"/>
  <c r="CE76" i="51"/>
  <c r="AM79" i="51"/>
  <c r="BC79" i="51"/>
  <c r="AE81" i="51"/>
  <c r="CE427" i="51"/>
  <c r="CE338" i="51"/>
  <c r="AQ82" i="51"/>
  <c r="BG82" i="51"/>
  <c r="BW82" i="51"/>
  <c r="AB85" i="51"/>
  <c r="AF85" i="51"/>
  <c r="CA428" i="51"/>
  <c r="CA339" i="51"/>
  <c r="AU85" i="51"/>
  <c r="BK85" i="51"/>
  <c r="CA85" i="51"/>
  <c r="X88" i="51"/>
  <c r="BO430" i="51"/>
  <c r="BO341" i="51"/>
  <c r="BO88" i="51"/>
  <c r="CE88" i="51"/>
  <c r="F84" i="51"/>
  <c r="CD443" i="51"/>
  <c r="CD429" i="51"/>
  <c r="CD369" i="51"/>
  <c r="CD340" i="51"/>
  <c r="CD357" i="51"/>
  <c r="AW64" i="51"/>
  <c r="AB67" i="51"/>
  <c r="BC67" i="51"/>
  <c r="BG73" i="51"/>
  <c r="AB76" i="51"/>
  <c r="X79" i="51"/>
  <c r="BW337" i="51"/>
  <c r="CA430" i="51"/>
  <c r="CA341" i="51"/>
  <c r="R3" i="51"/>
  <c r="Q4" i="51"/>
  <c r="CA429" i="51"/>
  <c r="CA340" i="51"/>
  <c r="CE443" i="51"/>
  <c r="CE429" i="51"/>
  <c r="CE369" i="51"/>
  <c r="CE340" i="51"/>
  <c r="CE357" i="51"/>
  <c r="CF4" i="51"/>
  <c r="CF340" i="51" s="1"/>
  <c r="F66" i="51"/>
  <c r="CR9" i="51"/>
  <c r="CR11" i="51"/>
  <c r="N64" i="51"/>
  <c r="V64" i="51"/>
  <c r="AL64" i="51"/>
  <c r="BE64" i="51"/>
  <c r="AM67" i="51"/>
  <c r="AR67" i="51"/>
  <c r="BK67" i="51"/>
  <c r="BU67" i="51"/>
  <c r="BV70" i="51"/>
  <c r="F72" i="51"/>
  <c r="X73" i="51"/>
  <c r="BO424" i="51"/>
  <c r="BO335" i="51"/>
  <c r="BO73" i="51"/>
  <c r="CE73" i="51"/>
  <c r="AM76" i="51"/>
  <c r="BC76" i="51"/>
  <c r="AE78" i="51"/>
  <c r="CE426" i="51"/>
  <c r="CE337" i="51"/>
  <c r="AQ79" i="51"/>
  <c r="BG79" i="51"/>
  <c r="BW79" i="51"/>
  <c r="AB82" i="51"/>
  <c r="CA427" i="51"/>
  <c r="CA338" i="51"/>
  <c r="AU82" i="51"/>
  <c r="BK82" i="51"/>
  <c r="CA82" i="51"/>
  <c r="X85" i="51"/>
  <c r="BO428" i="51"/>
  <c r="BO339" i="51"/>
  <c r="BO85" i="51"/>
  <c r="CE85" i="51"/>
  <c r="AM88" i="51"/>
  <c r="BC88" i="51"/>
  <c r="F75" i="51"/>
  <c r="F78" i="51"/>
  <c r="CF350" i="51"/>
  <c r="CD441" i="51"/>
  <c r="CD432" i="51"/>
  <c r="CD437" i="51"/>
  <c r="CD436" i="51"/>
  <c r="CE226" i="51"/>
  <c r="BM235" i="51"/>
  <c r="BH235" i="51"/>
  <c r="CG238" i="51"/>
  <c r="CB238" i="51"/>
  <c r="CC238" i="51" s="1"/>
  <c r="BB241" i="51"/>
  <c r="BB53" i="51" s="1"/>
  <c r="N3" i="51"/>
  <c r="AK685" i="51"/>
  <c r="AK550" i="51"/>
  <c r="AK533" i="51"/>
  <c r="AK483" i="51"/>
  <c r="AK419" i="51"/>
  <c r="AK330" i="51"/>
  <c r="AO685" i="51"/>
  <c r="AO550" i="51"/>
  <c r="AO533" i="51"/>
  <c r="AO483" i="51"/>
  <c r="AO419" i="51"/>
  <c r="AO330" i="51"/>
  <c r="AS685" i="51"/>
  <c r="AS550" i="51"/>
  <c r="AS533" i="51"/>
  <c r="AS483" i="51"/>
  <c r="AS419" i="51"/>
  <c r="AS330" i="51"/>
  <c r="AW685" i="51"/>
  <c r="AW550" i="51"/>
  <c r="AW533" i="51"/>
  <c r="AW483" i="51"/>
  <c r="AW419" i="51"/>
  <c r="AW330" i="51"/>
  <c r="BA685" i="51"/>
  <c r="BA550" i="51"/>
  <c r="BA533" i="51"/>
  <c r="BA483" i="51"/>
  <c r="BA419" i="51"/>
  <c r="BA330" i="51"/>
  <c r="BE685" i="51"/>
  <c r="BE550" i="51"/>
  <c r="BE533" i="51"/>
  <c r="BE483" i="51"/>
  <c r="BE419" i="51"/>
  <c r="BE330" i="51"/>
  <c r="BI685" i="51"/>
  <c r="BI550" i="51"/>
  <c r="BI533" i="51"/>
  <c r="BI483" i="51"/>
  <c r="BI419" i="51"/>
  <c r="BI330" i="51"/>
  <c r="BM685" i="51"/>
  <c r="BM550" i="51"/>
  <c r="BM533" i="51"/>
  <c r="BM483" i="51"/>
  <c r="BM419" i="51"/>
  <c r="BM330" i="51"/>
  <c r="BQ685" i="51"/>
  <c r="BQ550" i="51"/>
  <c r="BQ533" i="51"/>
  <c r="BQ483" i="51"/>
  <c r="BQ419" i="51"/>
  <c r="BQ330" i="51"/>
  <c r="BU685" i="51"/>
  <c r="BU550" i="51"/>
  <c r="BU533" i="51"/>
  <c r="BU483" i="51"/>
  <c r="BU419" i="51"/>
  <c r="BU330" i="51"/>
  <c r="BY685" i="51"/>
  <c r="BY550" i="51"/>
  <c r="BY483" i="51"/>
  <c r="BY533" i="51"/>
  <c r="BY419" i="51"/>
  <c r="BY330" i="51"/>
  <c r="CC685" i="51"/>
  <c r="CC550" i="51"/>
  <c r="CC533" i="51"/>
  <c r="CC483" i="51"/>
  <c r="CC419" i="51"/>
  <c r="CC330" i="51"/>
  <c r="CG685" i="51"/>
  <c r="CG550" i="51"/>
  <c r="CG533" i="51"/>
  <c r="CG483" i="51"/>
  <c r="CG419" i="51"/>
  <c r="CG330" i="51"/>
  <c r="CK685" i="51"/>
  <c r="CK550" i="51"/>
  <c r="CK533" i="51"/>
  <c r="CK483" i="51"/>
  <c r="CK419" i="51"/>
  <c r="CK330" i="51"/>
  <c r="CO685" i="51"/>
  <c r="CO550" i="51"/>
  <c r="CO533" i="51"/>
  <c r="CO483" i="51"/>
  <c r="CO419" i="51"/>
  <c r="CO330" i="51"/>
  <c r="CS685" i="51"/>
  <c r="CS550" i="51"/>
  <c r="CS533" i="51"/>
  <c r="CS483" i="51"/>
  <c r="CS419" i="51"/>
  <c r="CS330" i="51"/>
  <c r="BP422" i="51"/>
  <c r="BP333" i="51"/>
  <c r="BT422" i="51"/>
  <c r="BT333" i="51"/>
  <c r="BP64" i="51"/>
  <c r="BT64" i="51"/>
  <c r="BP423" i="51"/>
  <c r="BP334" i="51"/>
  <c r="BT423" i="51"/>
  <c r="BT334" i="51"/>
  <c r="BP67" i="51"/>
  <c r="BT67" i="51"/>
  <c r="CB422" i="51"/>
  <c r="CB333" i="51"/>
  <c r="CB64" i="51"/>
  <c r="CF64" i="51"/>
  <c r="CB423" i="51"/>
  <c r="CB334" i="51"/>
  <c r="CB67" i="51"/>
  <c r="CF67" i="51"/>
  <c r="Z72" i="51"/>
  <c r="BR424" i="51"/>
  <c r="BR335" i="51"/>
  <c r="BV424" i="51"/>
  <c r="BV335" i="51"/>
  <c r="BZ424" i="51"/>
  <c r="BZ335" i="51"/>
  <c r="CD424" i="51"/>
  <c r="CD335" i="51"/>
  <c r="AL73" i="51"/>
  <c r="AP73" i="51"/>
  <c r="AX73" i="51"/>
  <c r="BB73" i="51"/>
  <c r="BF73" i="51"/>
  <c r="BJ73" i="51"/>
  <c r="BR73" i="51"/>
  <c r="BV73" i="51"/>
  <c r="BZ73" i="51"/>
  <c r="CD73" i="51"/>
  <c r="Z75" i="51"/>
  <c r="BR425" i="51"/>
  <c r="BR336" i="51"/>
  <c r="BV425" i="51"/>
  <c r="BV336" i="51"/>
  <c r="BZ425" i="51"/>
  <c r="BZ336" i="51"/>
  <c r="CD425" i="51"/>
  <c r="CD336" i="51"/>
  <c r="AL76" i="51"/>
  <c r="AP76" i="51"/>
  <c r="AX76" i="51"/>
  <c r="BB76" i="51"/>
  <c r="BF76" i="51"/>
  <c r="BJ76" i="51"/>
  <c r="BR76" i="51"/>
  <c r="BV76" i="51"/>
  <c r="BZ76" i="51"/>
  <c r="CD76" i="51"/>
  <c r="Z78" i="51"/>
  <c r="BR426" i="51"/>
  <c r="BR337" i="51"/>
  <c r="BV426" i="51"/>
  <c r="BV337" i="51"/>
  <c r="BZ426" i="51"/>
  <c r="BZ337" i="51"/>
  <c r="CD426" i="51"/>
  <c r="CD337" i="51"/>
  <c r="AL79" i="51"/>
  <c r="AP79" i="51"/>
  <c r="AX79" i="51"/>
  <c r="BB79" i="51"/>
  <c r="BF79" i="51"/>
  <c r="BJ79" i="51"/>
  <c r="BR79" i="51"/>
  <c r="BV79" i="51"/>
  <c r="BZ79" i="51"/>
  <c r="CD79" i="51"/>
  <c r="Z81" i="51"/>
  <c r="BR427" i="51"/>
  <c r="BR338" i="51"/>
  <c r="BV427" i="51"/>
  <c r="BV338" i="51"/>
  <c r="BZ427" i="51"/>
  <c r="BZ338" i="51"/>
  <c r="CD427" i="51"/>
  <c r="CD338" i="51"/>
  <c r="AL82" i="51"/>
  <c r="AP82" i="51"/>
  <c r="AX82" i="51"/>
  <c r="BB82" i="51"/>
  <c r="BF82" i="51"/>
  <c r="BJ82" i="51"/>
  <c r="BR82" i="51"/>
  <c r="BV82" i="51"/>
  <c r="BZ82" i="51"/>
  <c r="CD82" i="51"/>
  <c r="Z84" i="51"/>
  <c r="BR428" i="51"/>
  <c r="BR339" i="51"/>
  <c r="BV428" i="51"/>
  <c r="BV339" i="51"/>
  <c r="BZ428" i="51"/>
  <c r="BZ339" i="51"/>
  <c r="CD428" i="51"/>
  <c r="CD339" i="51"/>
  <c r="AL85" i="51"/>
  <c r="AP85" i="51"/>
  <c r="AX85" i="51"/>
  <c r="BB85" i="51"/>
  <c r="BF85" i="51"/>
  <c r="BJ85" i="51"/>
  <c r="BR85" i="51"/>
  <c r="BV85" i="51"/>
  <c r="BZ85" i="51"/>
  <c r="CD85" i="51"/>
  <c r="Z87" i="51"/>
  <c r="BR430" i="51"/>
  <c r="BR341" i="51"/>
  <c r="BV430" i="51"/>
  <c r="BV341" i="51"/>
  <c r="BZ430" i="51"/>
  <c r="BZ341" i="51"/>
  <c r="CD430" i="51"/>
  <c r="CD341" i="51"/>
  <c r="AL88" i="51"/>
  <c r="AP88" i="51"/>
  <c r="AX88" i="51"/>
  <c r="BB88" i="51"/>
  <c r="BF88" i="51"/>
  <c r="BJ88" i="51"/>
  <c r="BR88" i="51"/>
  <c r="BV88" i="51"/>
  <c r="BZ88" i="51"/>
  <c r="CD88" i="51"/>
  <c r="M79" i="51"/>
  <c r="G79" i="51"/>
  <c r="H82" i="51"/>
  <c r="L82" i="51"/>
  <c r="CD434" i="51"/>
  <c r="AC165" i="51"/>
  <c r="AS219" i="51"/>
  <c r="BI219" i="51"/>
  <c r="BY219" i="51"/>
  <c r="CO219" i="51"/>
  <c r="BZ223" i="51"/>
  <c r="AU238" i="51"/>
  <c r="AY237" i="51"/>
  <c r="BC238" i="51"/>
  <c r="BU241" i="51"/>
  <c r="BU53" i="51" s="1"/>
  <c r="AY288" i="51"/>
  <c r="BD288" i="51"/>
  <c r="CB443" i="51"/>
  <c r="CB433" i="51"/>
  <c r="CB434" i="51"/>
  <c r="BQ223" i="51"/>
  <c r="CJ226" i="51"/>
  <c r="BY238" i="51"/>
  <c r="BT238" i="51"/>
  <c r="BL247" i="51"/>
  <c r="BQ247" i="51"/>
  <c r="BQ4" i="51"/>
  <c r="BS4" i="51" s="1"/>
  <c r="BU4" i="51"/>
  <c r="BU333" i="51" s="1"/>
  <c r="BY4" i="51"/>
  <c r="BY422" i="51" s="1"/>
  <c r="CK4" i="51"/>
  <c r="CM4" i="51" s="1"/>
  <c r="CR4" i="51" s="1"/>
  <c r="CS4" i="51" s="1"/>
  <c r="CT4" i="51" s="1"/>
  <c r="CO4" i="51"/>
  <c r="AM685" i="51"/>
  <c r="AM550" i="51"/>
  <c r="AM533" i="51"/>
  <c r="AM483" i="51"/>
  <c r="AM419" i="51"/>
  <c r="AM330" i="51"/>
  <c r="AM219" i="51"/>
  <c r="AQ685" i="51"/>
  <c r="AQ550" i="51"/>
  <c r="AQ533" i="51"/>
  <c r="AQ483" i="51"/>
  <c r="AQ419" i="51"/>
  <c r="AQ330" i="51"/>
  <c r="AQ219" i="51"/>
  <c r="AU685" i="51"/>
  <c r="AU550" i="51"/>
  <c r="AU533" i="51"/>
  <c r="AU483" i="51"/>
  <c r="AU419" i="51"/>
  <c r="AU330" i="51"/>
  <c r="AU219" i="51"/>
  <c r="AY685" i="51"/>
  <c r="AY550" i="51"/>
  <c r="AY533" i="51"/>
  <c r="AY483" i="51"/>
  <c r="AY419" i="51"/>
  <c r="AY330" i="51"/>
  <c r="AY219" i="51"/>
  <c r="BC685" i="51"/>
  <c r="BC550" i="51"/>
  <c r="BC533" i="51"/>
  <c r="BC483" i="51"/>
  <c r="BC419" i="51"/>
  <c r="BC330" i="51"/>
  <c r="BC219" i="51"/>
  <c r="BG685" i="51"/>
  <c r="BG550" i="51"/>
  <c r="BG533" i="51"/>
  <c r="BG483" i="51"/>
  <c r="BG419" i="51"/>
  <c r="BG330" i="51"/>
  <c r="BG219" i="51"/>
  <c r="BK685" i="51"/>
  <c r="BK550" i="51"/>
  <c r="BK533" i="51"/>
  <c r="BK483" i="51"/>
  <c r="BK419" i="51"/>
  <c r="BK330" i="51"/>
  <c r="BK219" i="51"/>
  <c r="BO685" i="51"/>
  <c r="BO550" i="51"/>
  <c r="BO533" i="51"/>
  <c r="BO483" i="51"/>
  <c r="BO419" i="51"/>
  <c r="BO330" i="51"/>
  <c r="BO219" i="51"/>
  <c r="BS685" i="51"/>
  <c r="BS550" i="51"/>
  <c r="BS533" i="51"/>
  <c r="BS483" i="51"/>
  <c r="BS419" i="51"/>
  <c r="BS330" i="51"/>
  <c r="BS219" i="51"/>
  <c r="BW685" i="51"/>
  <c r="BW550" i="51"/>
  <c r="BW533" i="51"/>
  <c r="BW483" i="51"/>
  <c r="BW419" i="51"/>
  <c r="BW330" i="51"/>
  <c r="BW219" i="51"/>
  <c r="CA685" i="51"/>
  <c r="CA550" i="51"/>
  <c r="CA533" i="51"/>
  <c r="CA483" i="51"/>
  <c r="CA419" i="51"/>
  <c r="CA330" i="51"/>
  <c r="CA219" i="51"/>
  <c r="CE685" i="51"/>
  <c r="CE550" i="51"/>
  <c r="CE533" i="51"/>
  <c r="CE483" i="51"/>
  <c r="CE419" i="51"/>
  <c r="CE330" i="51"/>
  <c r="CE219" i="51"/>
  <c r="CI685" i="51"/>
  <c r="CI550" i="51"/>
  <c r="CI533" i="51"/>
  <c r="CI483" i="51"/>
  <c r="CI419" i="51"/>
  <c r="CI330" i="51"/>
  <c r="CI219" i="51"/>
  <c r="CM685" i="51"/>
  <c r="CM550" i="51"/>
  <c r="CM533" i="51"/>
  <c r="CM483" i="51"/>
  <c r="CM419" i="51"/>
  <c r="CM330" i="51"/>
  <c r="CM219" i="51"/>
  <c r="CQ685" i="51"/>
  <c r="CQ550" i="51"/>
  <c r="CQ533" i="51"/>
  <c r="CQ483" i="51"/>
  <c r="CQ419" i="51"/>
  <c r="CQ330" i="51"/>
  <c r="CQ219" i="51"/>
  <c r="BR422" i="51"/>
  <c r="BR333" i="51"/>
  <c r="BR64" i="51"/>
  <c r="BR423" i="51"/>
  <c r="BR334" i="51"/>
  <c r="BR67" i="51"/>
  <c r="BV422" i="51"/>
  <c r="BV333" i="51"/>
  <c r="BZ422" i="51"/>
  <c r="BZ333" i="51"/>
  <c r="CD422" i="51"/>
  <c r="CD333" i="51"/>
  <c r="BV64" i="51"/>
  <c r="BZ64" i="51"/>
  <c r="CD64" i="51"/>
  <c r="BV423" i="51"/>
  <c r="BV334" i="51"/>
  <c r="BZ423" i="51"/>
  <c r="BZ334" i="51"/>
  <c r="CD423" i="51"/>
  <c r="CD334" i="51"/>
  <c r="BV67" i="51"/>
  <c r="BZ67" i="51"/>
  <c r="CD67" i="51"/>
  <c r="BP424" i="51"/>
  <c r="BP335" i="51"/>
  <c r="BT424" i="51"/>
  <c r="BT335" i="51"/>
  <c r="CB424" i="51"/>
  <c r="CB335" i="51"/>
  <c r="AN73" i="51"/>
  <c r="AR73" i="51"/>
  <c r="AV73" i="51"/>
  <c r="AZ73" i="51"/>
  <c r="BH73" i="51"/>
  <c r="BL73" i="51"/>
  <c r="BP73" i="51"/>
  <c r="BT73" i="51"/>
  <c r="CB73" i="51"/>
  <c r="CF73" i="51"/>
  <c r="BP425" i="51"/>
  <c r="BP336" i="51"/>
  <c r="BT425" i="51"/>
  <c r="BT336" i="51"/>
  <c r="CB425" i="51"/>
  <c r="CB336" i="51"/>
  <c r="AN76" i="51"/>
  <c r="AR76" i="51"/>
  <c r="AV76" i="51"/>
  <c r="AZ76" i="51"/>
  <c r="BH76" i="51"/>
  <c r="BL76" i="51"/>
  <c r="BP76" i="51"/>
  <c r="BT76" i="51"/>
  <c r="CB76" i="51"/>
  <c r="CF76" i="51"/>
  <c r="BP426" i="51"/>
  <c r="BP337" i="51"/>
  <c r="BT426" i="51"/>
  <c r="BT337" i="51"/>
  <c r="CB426" i="51"/>
  <c r="CB337" i="51"/>
  <c r="CF426" i="51"/>
  <c r="AN79" i="51"/>
  <c r="AR79" i="51"/>
  <c r="AV79" i="51"/>
  <c r="AZ79" i="51"/>
  <c r="BH79" i="51"/>
  <c r="BL79" i="51"/>
  <c r="BP79" i="51"/>
  <c r="BT79" i="51"/>
  <c r="CB79" i="51"/>
  <c r="CF79" i="51"/>
  <c r="BP427" i="51"/>
  <c r="BP338" i="51"/>
  <c r="BT427" i="51"/>
  <c r="BT338" i="51"/>
  <c r="CB427" i="51"/>
  <c r="CB338" i="51"/>
  <c r="AN82" i="51"/>
  <c r="AR82" i="51"/>
  <c r="AV82" i="51"/>
  <c r="AZ82" i="51"/>
  <c r="BH82" i="51"/>
  <c r="BL82" i="51"/>
  <c r="BP82" i="51"/>
  <c r="BT82" i="51"/>
  <c r="CB82" i="51"/>
  <c r="CF82" i="51"/>
  <c r="BP428" i="51"/>
  <c r="BP339" i="51"/>
  <c r="BT428" i="51"/>
  <c r="BT339" i="51"/>
  <c r="CB428" i="51"/>
  <c r="CB339" i="51"/>
  <c r="AN85" i="51"/>
  <c r="AR85" i="51"/>
  <c r="AV85" i="51"/>
  <c r="AZ85" i="51"/>
  <c r="BH85" i="51"/>
  <c r="BL85" i="51"/>
  <c r="BP85" i="51"/>
  <c r="BT85" i="51"/>
  <c r="CB85" i="51"/>
  <c r="CF85" i="51"/>
  <c r="BP430" i="51"/>
  <c r="BP341" i="51"/>
  <c r="BT430" i="51"/>
  <c r="BT341" i="51"/>
  <c r="CB430" i="51"/>
  <c r="CB341" i="51"/>
  <c r="AN88" i="51"/>
  <c r="AR88" i="51"/>
  <c r="AV88" i="51"/>
  <c r="AZ88" i="51"/>
  <c r="BH88" i="51"/>
  <c r="BL88" i="51"/>
  <c r="BP88" i="51"/>
  <c r="BT88" i="51"/>
  <c r="CB88" i="51"/>
  <c r="CF88" i="51"/>
  <c r="J79" i="51"/>
  <c r="CD433" i="51"/>
  <c r="U165" i="51"/>
  <c r="AF165" i="51"/>
  <c r="AJ165" i="51" s="1"/>
  <c r="CE432" i="51"/>
  <c r="CE343" i="51"/>
  <c r="CE437" i="51"/>
  <c r="CE436" i="51"/>
  <c r="CE348" i="51"/>
  <c r="CE347" i="51"/>
  <c r="CE435" i="51"/>
  <c r="CE346" i="51"/>
  <c r="CE439" i="51"/>
  <c r="CE440" i="51"/>
  <c r="CE350" i="51"/>
  <c r="CE351" i="51"/>
  <c r="AK219" i="51"/>
  <c r="BA219" i="51"/>
  <c r="BQ219" i="51"/>
  <c r="CG219" i="51"/>
  <c r="BE223" i="51"/>
  <c r="BI222" i="51"/>
  <c r="BM223" i="51"/>
  <c r="CA226" i="51"/>
  <c r="CH226" i="51"/>
  <c r="AY232" i="51"/>
  <c r="BA235" i="51"/>
  <c r="AV235" i="51"/>
  <c r="CH234" i="51"/>
  <c r="CQ234" i="51"/>
  <c r="BU238" i="51"/>
  <c r="BP238" i="51"/>
  <c r="P165" i="51"/>
  <c r="CB438" i="51"/>
  <c r="CD435" i="51"/>
  <c r="CD440" i="51"/>
  <c r="CD439" i="51"/>
  <c r="CA223" i="51"/>
  <c r="BV223" i="51"/>
  <c r="BE235" i="51"/>
  <c r="AZ235" i="51"/>
  <c r="BX237" i="51"/>
  <c r="AN685" i="51"/>
  <c r="AN550" i="51"/>
  <c r="AN533" i="51"/>
  <c r="AN483" i="51"/>
  <c r="AN419" i="51"/>
  <c r="AN330" i="51"/>
  <c r="AN219" i="51"/>
  <c r="AR685" i="51"/>
  <c r="AR550" i="51"/>
  <c r="AR533" i="51"/>
  <c r="AR483" i="51"/>
  <c r="AR419" i="51"/>
  <c r="AR330" i="51"/>
  <c r="AR219" i="51"/>
  <c r="AV685" i="51"/>
  <c r="AV550" i="51"/>
  <c r="AV533" i="51"/>
  <c r="AV483" i="51"/>
  <c r="AV419" i="51"/>
  <c r="AV330" i="51"/>
  <c r="AV219" i="51"/>
  <c r="AZ685" i="51"/>
  <c r="AZ550" i="51"/>
  <c r="AZ533" i="51"/>
  <c r="AZ483" i="51"/>
  <c r="AZ419" i="51"/>
  <c r="AZ330" i="51"/>
  <c r="AZ219" i="51"/>
  <c r="BD685" i="51"/>
  <c r="BD550" i="51"/>
  <c r="BD533" i="51"/>
  <c r="BD483" i="51"/>
  <c r="BD419" i="51"/>
  <c r="BD330" i="51"/>
  <c r="BD219" i="51"/>
  <c r="BH533" i="51"/>
  <c r="BH685" i="51"/>
  <c r="BH550" i="51"/>
  <c r="BH483" i="51"/>
  <c r="BH419" i="51"/>
  <c r="BH330" i="51"/>
  <c r="BH219" i="51"/>
  <c r="BL533" i="51"/>
  <c r="BL685" i="51"/>
  <c r="BL550" i="51"/>
  <c r="BL483" i="51"/>
  <c r="BL419" i="51"/>
  <c r="BL330" i="51"/>
  <c r="BL219" i="51"/>
  <c r="BP533" i="51"/>
  <c r="BP685" i="51"/>
  <c r="BP550" i="51"/>
  <c r="BP483" i="51"/>
  <c r="BP419" i="51"/>
  <c r="BP330" i="51"/>
  <c r="BP219" i="51"/>
  <c r="BT533" i="51"/>
  <c r="BT685" i="51"/>
  <c r="BT550" i="51"/>
  <c r="BT483" i="51"/>
  <c r="BT419" i="51"/>
  <c r="BT330" i="51"/>
  <c r="BT219" i="51"/>
  <c r="BX533" i="51"/>
  <c r="BX685" i="51"/>
  <c r="BX550" i="51"/>
  <c r="BX483" i="51"/>
  <c r="BX419" i="51"/>
  <c r="BX330" i="51"/>
  <c r="BX219" i="51"/>
  <c r="CB533" i="51"/>
  <c r="CB685" i="51"/>
  <c r="CB550" i="51"/>
  <c r="CB483" i="51"/>
  <c r="CB419" i="51"/>
  <c r="CB330" i="51"/>
  <c r="CB219" i="51"/>
  <c r="CF533" i="51"/>
  <c r="CF685" i="51"/>
  <c r="CF550" i="51"/>
  <c r="CF483" i="51"/>
  <c r="CF419" i="51"/>
  <c r="CF330" i="51"/>
  <c r="CF219" i="51"/>
  <c r="CJ533" i="51"/>
  <c r="CJ685" i="51"/>
  <c r="CJ550" i="51"/>
  <c r="CJ483" i="51"/>
  <c r="CJ419" i="51"/>
  <c r="CJ330" i="51"/>
  <c r="CJ219" i="51"/>
  <c r="CN533" i="51"/>
  <c r="CN685" i="51"/>
  <c r="CN550" i="51"/>
  <c r="CN483" i="51"/>
  <c r="CN419" i="51"/>
  <c r="CN330" i="51"/>
  <c r="CN219" i="51"/>
  <c r="CR533" i="51"/>
  <c r="CR685" i="51"/>
  <c r="CR550" i="51"/>
  <c r="CR483" i="51"/>
  <c r="CR419" i="51"/>
  <c r="CR330" i="51"/>
  <c r="CR219" i="51"/>
  <c r="AK57" i="51"/>
  <c r="AO57" i="51"/>
  <c r="AS57" i="51"/>
  <c r="AW57" i="51"/>
  <c r="BA57" i="51"/>
  <c r="BE57" i="51"/>
  <c r="BI57" i="51"/>
  <c r="BM57" i="51"/>
  <c r="BQ57" i="51"/>
  <c r="BU57" i="51"/>
  <c r="BY57" i="51"/>
  <c r="CC57" i="51"/>
  <c r="CG57" i="51"/>
  <c r="CK57" i="51"/>
  <c r="CO57" i="51"/>
  <c r="CS57" i="51"/>
  <c r="BO422" i="51"/>
  <c r="BO333" i="51"/>
  <c r="BO64" i="51"/>
  <c r="BO423" i="51"/>
  <c r="BO334" i="51"/>
  <c r="BO67" i="51"/>
  <c r="BW333" i="51"/>
  <c r="CA422" i="51"/>
  <c r="CA333" i="51"/>
  <c r="CE422" i="51"/>
  <c r="CE333" i="51"/>
  <c r="BW64" i="51"/>
  <c r="CA64" i="51"/>
  <c r="CE64" i="51"/>
  <c r="BW423" i="51"/>
  <c r="CA423" i="51"/>
  <c r="CA334" i="51"/>
  <c r="CE423" i="51"/>
  <c r="CE334" i="51"/>
  <c r="BW67" i="51"/>
  <c r="CA67" i="51"/>
  <c r="CE67" i="51"/>
  <c r="BQ335" i="51"/>
  <c r="BU335" i="51"/>
  <c r="BY335" i="51"/>
  <c r="AK73" i="51"/>
  <c r="AS73" i="51"/>
  <c r="AW73" i="51"/>
  <c r="BA73" i="51"/>
  <c r="BE73" i="51"/>
  <c r="BM73" i="51"/>
  <c r="BQ73" i="51"/>
  <c r="BU73" i="51"/>
  <c r="BY73" i="51"/>
  <c r="BQ336" i="51"/>
  <c r="BU425" i="51"/>
  <c r="BY336" i="51"/>
  <c r="AK76" i="51"/>
  <c r="AS76" i="51"/>
  <c r="AW76" i="51"/>
  <c r="BA76" i="51"/>
  <c r="BE76" i="51"/>
  <c r="BM76" i="51"/>
  <c r="BQ76" i="51"/>
  <c r="BU76" i="51"/>
  <c r="BY76" i="51"/>
  <c r="BU426" i="51"/>
  <c r="BY426" i="51"/>
  <c r="AK79" i="51"/>
  <c r="AS79" i="51"/>
  <c r="AW79" i="51"/>
  <c r="BA79" i="51"/>
  <c r="BE79" i="51"/>
  <c r="BM79" i="51"/>
  <c r="BQ79" i="51"/>
  <c r="BU79" i="51"/>
  <c r="BY79" i="51"/>
  <c r="BU427" i="51"/>
  <c r="BY427" i="51"/>
  <c r="AK82" i="51"/>
  <c r="AS82" i="51"/>
  <c r="AW82" i="51"/>
  <c r="BA82" i="51"/>
  <c r="BE82" i="51"/>
  <c r="BM82" i="51"/>
  <c r="BQ82" i="51"/>
  <c r="BU82" i="51"/>
  <c r="BY82" i="51"/>
  <c r="BQ339" i="51"/>
  <c r="BU339" i="51"/>
  <c r="BY339" i="51"/>
  <c r="AK85" i="51"/>
  <c r="AS85" i="51"/>
  <c r="AW85" i="51"/>
  <c r="BA85" i="51"/>
  <c r="BE85" i="51"/>
  <c r="BM85" i="51"/>
  <c r="BQ85" i="51"/>
  <c r="BU85" i="51"/>
  <c r="BY85" i="51"/>
  <c r="BQ341" i="51"/>
  <c r="BU430" i="51"/>
  <c r="BY341" i="51"/>
  <c r="AK88" i="51"/>
  <c r="AS88" i="51"/>
  <c r="AW88" i="51"/>
  <c r="BA88" i="51"/>
  <c r="BE88" i="51"/>
  <c r="BM88" i="51"/>
  <c r="BQ88" i="51"/>
  <c r="BU88" i="51"/>
  <c r="BY88" i="51"/>
  <c r="J76" i="51"/>
  <c r="N76" i="51"/>
  <c r="K78" i="51"/>
  <c r="K79" i="51" s="1"/>
  <c r="F81" i="51"/>
  <c r="F87" i="51"/>
  <c r="CD438" i="51"/>
  <c r="W165" i="51"/>
  <c r="Z165" i="51" s="1"/>
  <c r="AB165" i="51"/>
  <c r="AE165" i="51" s="1"/>
  <c r="AG165" i="51"/>
  <c r="AO219" i="51"/>
  <c r="BE219" i="51"/>
  <c r="BU219" i="51"/>
  <c r="CK219" i="51"/>
  <c r="AV223" i="51"/>
  <c r="BA223" i="51"/>
  <c r="CI223" i="51"/>
  <c r="CD223" i="51"/>
  <c r="CH223" i="51" s="1"/>
  <c r="CH222" i="51"/>
  <c r="CQ222" i="51"/>
  <c r="BO226" i="51"/>
  <c r="BT226" i="51"/>
  <c r="BS225" i="51"/>
  <c r="BS226" i="51" s="1"/>
  <c r="BW226" i="51"/>
  <c r="AZ229" i="51"/>
  <c r="BD228" i="51"/>
  <c r="AW235" i="51"/>
  <c r="BG238" i="51"/>
  <c r="BQ238" i="51"/>
  <c r="BL238" i="51"/>
  <c r="BK244" i="51"/>
  <c r="BP244" i="51"/>
  <c r="BD314" i="51"/>
  <c r="BI314" i="51"/>
  <c r="CA443" i="51"/>
  <c r="CA357" i="51"/>
  <c r="CN353" i="51"/>
  <c r="BD222" i="51"/>
  <c r="BU223" i="51"/>
  <c r="BY223" i="51"/>
  <c r="CC222" i="51"/>
  <c r="CG223" i="51"/>
  <c r="CK223" i="51"/>
  <c r="BH223" i="51"/>
  <c r="BI225" i="51"/>
  <c r="CI226" i="51"/>
  <c r="CN225" i="51"/>
  <c r="AT228" i="51"/>
  <c r="AX229" i="51"/>
  <c r="BC229" i="51"/>
  <c r="AU235" i="51"/>
  <c r="AY234" i="51"/>
  <c r="BC235" i="51"/>
  <c r="BG235" i="51"/>
  <c r="BX234" i="51"/>
  <c r="AT237" i="51"/>
  <c r="BK238" i="51"/>
  <c r="BO238" i="51"/>
  <c r="BS237" i="51"/>
  <c r="BS238" i="51" s="1"/>
  <c r="BW238" i="51"/>
  <c r="CA238" i="51"/>
  <c r="CO237" i="51"/>
  <c r="AV238" i="51"/>
  <c r="BF238" i="51"/>
  <c r="BA241" i="51"/>
  <c r="BA53" i="51" s="1"/>
  <c r="BE241" i="51"/>
  <c r="BE53" i="51" s="1"/>
  <c r="BI240" i="51"/>
  <c r="BJ241" i="51"/>
  <c r="BJ53" i="51" s="1"/>
  <c r="BX240" i="51"/>
  <c r="BN243" i="51"/>
  <c r="BS243" i="51"/>
  <c r="AZ244" i="51"/>
  <c r="CF244" i="51"/>
  <c r="BY247" i="51"/>
  <c r="CE433" i="51"/>
  <c r="CE344" i="51"/>
  <c r="CE438" i="51"/>
  <c r="CE349" i="51"/>
  <c r="CE434" i="51"/>
  <c r="CE345" i="51"/>
  <c r="CE441" i="51"/>
  <c r="CE352" i="51"/>
  <c r="BY443" i="51"/>
  <c r="AW223" i="51"/>
  <c r="BN222" i="51"/>
  <c r="BN223" i="51" s="1"/>
  <c r="AZ223" i="51"/>
  <c r="BF223" i="51"/>
  <c r="BK223" i="51"/>
  <c r="BP223" i="51"/>
  <c r="BK226" i="51"/>
  <c r="BX225" i="51"/>
  <c r="BX226" i="51" s="1"/>
  <c r="CP225" i="51"/>
  <c r="BQ226" i="51"/>
  <c r="CB226" i="51"/>
  <c r="BA229" i="51"/>
  <c r="AU229" i="51"/>
  <c r="AT231" i="51"/>
  <c r="BN234" i="51"/>
  <c r="CE235" i="51"/>
  <c r="CH235" i="51" s="1"/>
  <c r="CI235" i="51"/>
  <c r="CN234" i="51"/>
  <c r="BJ235" i="51"/>
  <c r="BP235" i="51"/>
  <c r="BU235" i="51"/>
  <c r="BZ235" i="51"/>
  <c r="BD237" i="51"/>
  <c r="BD238" i="51" s="1"/>
  <c r="CH237" i="51"/>
  <c r="AX238" i="51"/>
  <c r="CD238" i="51"/>
  <c r="CJ238" i="51"/>
  <c r="AX241" i="51"/>
  <c r="AX53" i="51" s="1"/>
  <c r="BC241" i="51"/>
  <c r="BC53" i="51" s="1"/>
  <c r="BG241" i="51"/>
  <c r="BG53" i="51" s="1"/>
  <c r="BQ241" i="51"/>
  <c r="BQ53" i="51" s="1"/>
  <c r="BH244" i="51"/>
  <c r="AY246" i="51"/>
  <c r="BD246" i="51"/>
  <c r="BD247" i="51" s="1"/>
  <c r="BA247" i="51"/>
  <c r="CG247" i="51"/>
  <c r="CB432" i="51"/>
  <c r="CB437" i="51"/>
  <c r="CB436" i="51"/>
  <c r="CB435" i="51"/>
  <c r="CB440" i="51"/>
  <c r="CB439" i="51"/>
  <c r="BZ443" i="51"/>
  <c r="BZ357" i="51"/>
  <c r="CL442" i="51"/>
  <c r="CQ113" i="51"/>
  <c r="CR113" i="51" s="1"/>
  <c r="AT222" i="51"/>
  <c r="BX222" i="51"/>
  <c r="BX223" i="51" s="1"/>
  <c r="CP222" i="51"/>
  <c r="BB223" i="51"/>
  <c r="BG223" i="51"/>
  <c r="BL223" i="51"/>
  <c r="BR223" i="51"/>
  <c r="BW223" i="51"/>
  <c r="CB223" i="51"/>
  <c r="CC225" i="51"/>
  <c r="CC226" i="51" s="1"/>
  <c r="BM226" i="51"/>
  <c r="BR226" i="51"/>
  <c r="AW229" i="51"/>
  <c r="AV229" i="51"/>
  <c r="BB229" i="51"/>
  <c r="AV232" i="51"/>
  <c r="AZ232" i="51"/>
  <c r="BD231" i="51"/>
  <c r="BD232" i="51" s="1"/>
  <c r="AT234" i="51"/>
  <c r="BK235" i="51"/>
  <c r="BO235" i="51"/>
  <c r="BS234" i="51"/>
  <c r="BS235" i="51" s="1"/>
  <c r="BW235" i="51"/>
  <c r="CA235" i="51"/>
  <c r="CO234" i="51"/>
  <c r="BF235" i="51"/>
  <c r="BL235" i="51"/>
  <c r="BQ235" i="51"/>
  <c r="BV235" i="51"/>
  <c r="CB235" i="51"/>
  <c r="CC235" i="51" s="1"/>
  <c r="CG235" i="51"/>
  <c r="BN237" i="51"/>
  <c r="CE238" i="51"/>
  <c r="CI238" i="51"/>
  <c r="CN237" i="51"/>
  <c r="AZ238" i="51"/>
  <c r="BE238" i="51"/>
  <c r="BJ238" i="51"/>
  <c r="BZ238" i="51"/>
  <c r="CF238" i="51"/>
  <c r="CK238" i="51"/>
  <c r="AU241" i="51"/>
  <c r="AU53" i="51" s="1"/>
  <c r="BD240" i="51"/>
  <c r="BM241" i="51"/>
  <c r="BM53" i="51" s="1"/>
  <c r="AT243" i="51"/>
  <c r="AY243" i="51"/>
  <c r="BL244" i="51"/>
  <c r="CB244" i="51"/>
  <c r="BS247" i="51"/>
  <c r="BX247" i="51"/>
  <c r="BE247" i="51"/>
  <c r="BU247" i="51"/>
  <c r="CK247" i="51"/>
  <c r="CB369" i="51"/>
  <c r="BD282" i="51"/>
  <c r="AY308" i="51"/>
  <c r="BN317" i="51"/>
  <c r="CC240" i="51"/>
  <c r="CC241" i="51" s="1"/>
  <c r="CC53" i="51" s="1"/>
  <c r="AW244" i="51"/>
  <c r="BA244" i="51"/>
  <c r="BE244" i="51"/>
  <c r="BM244" i="51"/>
  <c r="BQ244" i="51"/>
  <c r="BU244" i="51"/>
  <c r="BY244" i="51"/>
  <c r="CC244" i="51"/>
  <c r="AX247" i="51"/>
  <c r="BB247" i="51"/>
  <c r="BF247" i="51"/>
  <c r="BJ247" i="51"/>
  <c r="BR247" i="51"/>
  <c r="BV247" i="51"/>
  <c r="BZ247" i="51"/>
  <c r="CD247" i="51"/>
  <c r="BY369" i="51"/>
  <c r="BN240" i="51"/>
  <c r="BN241" i="51" s="1"/>
  <c r="BN53" i="51" s="1"/>
  <c r="CD453" i="51"/>
  <c r="CH240" i="51"/>
  <c r="BI243" i="51"/>
  <c r="BI244" i="51" s="1"/>
  <c r="AT246" i="51"/>
  <c r="BN246" i="51"/>
  <c r="BN247" i="51" s="1"/>
  <c r="BZ369" i="51"/>
  <c r="AY222" i="51"/>
  <c r="BS222" i="51"/>
  <c r="CN222" i="51"/>
  <c r="BN225" i="51"/>
  <c r="CH225" i="51"/>
  <c r="CQ225" i="51"/>
  <c r="AY228" i="51"/>
  <c r="AY229" i="51" s="1"/>
  <c r="BI234" i="51"/>
  <c r="BI235" i="51" s="1"/>
  <c r="CC234" i="51"/>
  <c r="CP234" i="51"/>
  <c r="BI237" i="51"/>
  <c r="BI238" i="51" s="1"/>
  <c r="CC237" i="51"/>
  <c r="CP237" i="51"/>
  <c r="AY240" i="51"/>
  <c r="AY241" i="51" s="1"/>
  <c r="AY53" i="51" s="1"/>
  <c r="BS240" i="51"/>
  <c r="CE453" i="51"/>
  <c r="CA369" i="51"/>
  <c r="AM408" i="51"/>
  <c r="AU408" i="51"/>
  <c r="BF414" i="51"/>
  <c r="BF415" i="51" s="1"/>
  <c r="BJ414" i="51"/>
  <c r="BJ415" i="51" s="1"/>
  <c r="BR414" i="51"/>
  <c r="BS414" i="51" s="1"/>
  <c r="BS412" i="51"/>
  <c r="BX413" i="51"/>
  <c r="BW414" i="51"/>
  <c r="BX414" i="51" s="1"/>
  <c r="BU415" i="51"/>
  <c r="AM407" i="51"/>
  <c r="AZ409" i="51"/>
  <c r="AZ406" i="51"/>
  <c r="AZ22" i="51" s="1"/>
  <c r="BE406" i="51"/>
  <c r="BE22" i="51" s="1"/>
  <c r="BA406" i="51"/>
  <c r="BA408" i="51"/>
  <c r="BA24" i="51" s="1"/>
  <c r="AZ408" i="51"/>
  <c r="AZ24" i="51" s="1"/>
  <c r="BB408" i="51"/>
  <c r="BB24" i="51" s="1"/>
  <c r="BB414" i="51"/>
  <c r="BB415" i="51" s="1"/>
  <c r="BB416" i="51" s="1"/>
  <c r="BK415" i="51"/>
  <c r="BK416" i="51" s="1"/>
  <c r="AS415" i="51"/>
  <c r="AS416" i="51" s="1"/>
  <c r="BY415" i="51"/>
  <c r="AF409" i="51"/>
  <c r="AK409" i="51"/>
  <c r="AM406" i="51"/>
  <c r="AP410" i="51"/>
  <c r="BB405" i="51"/>
  <c r="BI409" i="51"/>
  <c r="BF406" i="51"/>
  <c r="BF22" i="51" s="1"/>
  <c r="BF408" i="51"/>
  <c r="BF24" i="51" s="1"/>
  <c r="BE408" i="51"/>
  <c r="BE24" i="51" s="1"/>
  <c r="BG408" i="51"/>
  <c r="BG24" i="51" s="1"/>
  <c r="AJ409" i="51"/>
  <c r="AO410" i="51" s="1"/>
  <c r="AN410" i="51"/>
  <c r="AQ409" i="51"/>
  <c r="AL414" i="51"/>
  <c r="AL415" i="51" s="1"/>
  <c r="AP414" i="51"/>
  <c r="AP415" i="51" s="1"/>
  <c r="AT415" i="51"/>
  <c r="AT416" i="51" s="1"/>
  <c r="AX414" i="51"/>
  <c r="AY414" i="51" s="1"/>
  <c r="AY412" i="51"/>
  <c r="BH415" i="51"/>
  <c r="BH416" i="51" s="1"/>
  <c r="BZ414" i="51"/>
  <c r="BZ416" i="51" s="1"/>
  <c r="CD414" i="51"/>
  <c r="CD416" i="51" s="1"/>
  <c r="CE414" i="51"/>
  <c r="CE416" i="51" s="1"/>
  <c r="BM415" i="51"/>
  <c r="BM416" i="51" s="1"/>
  <c r="AG405" i="51"/>
  <c r="AL405" i="51"/>
  <c r="AR409" i="51"/>
  <c r="AW405" i="51"/>
  <c r="BG405" i="51"/>
  <c r="BB407" i="51"/>
  <c r="BB23" i="51" s="1"/>
  <c r="BA407" i="51"/>
  <c r="BA23" i="51" s="1"/>
  <c r="AH414" i="51"/>
  <c r="AH415" i="51" s="1"/>
  <c r="AH416" i="51" s="1"/>
  <c r="BV414" i="51"/>
  <c r="BV416" i="51" s="1"/>
  <c r="BV415" i="51"/>
  <c r="CA414" i="51"/>
  <c r="CA416" i="51" s="1"/>
  <c r="AI414" i="51"/>
  <c r="AJ414" i="51" s="1"/>
  <c r="AM414" i="51"/>
  <c r="AM415" i="51" s="1"/>
  <c r="AM416" i="51" s="1"/>
  <c r="AQ414" i="51"/>
  <c r="AQ415" i="51" s="1"/>
  <c r="AQ416" i="51" s="1"/>
  <c r="AU414" i="51"/>
  <c r="AU415" i="51" s="1"/>
  <c r="BC414" i="51"/>
  <c r="BD414" i="51" s="1"/>
  <c r="BG414" i="51"/>
  <c r="BG415" i="51" s="1"/>
  <c r="BG416" i="51" s="1"/>
  <c r="BE407" i="51"/>
  <c r="BE23" i="51" s="1"/>
  <c r="AJ412" i="51"/>
  <c r="AJ415" i="51" s="1"/>
  <c r="AJ416" i="51" s="1"/>
  <c r="BD412" i="51"/>
  <c r="BX412" i="51"/>
  <c r="CC413" i="51"/>
  <c r="CC416" i="51" s="1"/>
  <c r="F25" i="87"/>
  <c r="E24" i="87"/>
  <c r="EZ509" i="72"/>
  <c r="GK616" i="72"/>
  <c r="GM615" i="72"/>
  <c r="EZ510" i="72"/>
  <c r="FA510" i="72" s="1"/>
  <c r="FF529" i="72"/>
  <c r="FR563" i="72"/>
  <c r="GI616" i="72"/>
  <c r="HK675" i="72"/>
  <c r="HK677" i="72"/>
  <c r="HK679" i="72"/>
  <c r="HK681" i="72"/>
  <c r="HK674" i="72"/>
  <c r="HK676" i="72"/>
  <c r="HK678" i="72"/>
  <c r="CH320" i="72"/>
  <c r="CG320" i="72"/>
  <c r="CG323" i="72" s="1"/>
  <c r="CI317" i="72"/>
  <c r="CJ317" i="72" s="1"/>
  <c r="CK317" i="72" s="1"/>
  <c r="CL317" i="72" s="1"/>
  <c r="CI316" i="72"/>
  <c r="CJ316" i="72" s="1"/>
  <c r="CE307" i="72"/>
  <c r="CE301" i="72"/>
  <c r="BZ290" i="72"/>
  <c r="CA290" i="72" s="1"/>
  <c r="CB290" i="72" s="1"/>
  <c r="BY278" i="72"/>
  <c r="CR374" i="72"/>
  <c r="BY263" i="72"/>
  <c r="DF401" i="72" l="1"/>
  <c r="CF423" i="51"/>
  <c r="CF441" i="51"/>
  <c r="CF347" i="51"/>
  <c r="BU341" i="51"/>
  <c r="BU424" i="51"/>
  <c r="CF434" i="51"/>
  <c r="CF424" i="51"/>
  <c r="CF488" i="51" s="1"/>
  <c r="BW428" i="51"/>
  <c r="BW335" i="51"/>
  <c r="BW341" i="51"/>
  <c r="BU428" i="51"/>
  <c r="BX428" i="51" s="1"/>
  <c r="BU338" i="51"/>
  <c r="BU337" i="51"/>
  <c r="BU336" i="51"/>
  <c r="CF428" i="51"/>
  <c r="CF492" i="51" s="1"/>
  <c r="CF348" i="51"/>
  <c r="BY428" i="51"/>
  <c r="BQ428" i="51"/>
  <c r="BY337" i="51"/>
  <c r="BY424" i="51"/>
  <c r="BQ424" i="51"/>
  <c r="BW334" i="51"/>
  <c r="CF343" i="51"/>
  <c r="CF339" i="51"/>
  <c r="CF335" i="51"/>
  <c r="CF346" i="51"/>
  <c r="BW424" i="51"/>
  <c r="BW425" i="51"/>
  <c r="BW338" i="51"/>
  <c r="CF352" i="51"/>
  <c r="BY357" i="51"/>
  <c r="CF437" i="51"/>
  <c r="BY430" i="51"/>
  <c r="BY338" i="51"/>
  <c r="BQ427" i="51"/>
  <c r="BS427" i="51" s="1"/>
  <c r="BY425" i="51"/>
  <c r="BW422" i="51"/>
  <c r="CF337" i="51"/>
  <c r="BW339" i="51"/>
  <c r="BW426" i="51"/>
  <c r="M401" i="49"/>
  <c r="L398" i="49"/>
  <c r="O349" i="49"/>
  <c r="N905" i="49"/>
  <c r="O139" i="49"/>
  <c r="J703" i="49"/>
  <c r="J704" i="49" s="1"/>
  <c r="K874" i="49"/>
  <c r="P875" i="49" s="1"/>
  <c r="J492" i="49"/>
  <c r="K388" i="49"/>
  <c r="CO674" i="49"/>
  <c r="CO694" i="49"/>
  <c r="CO690" i="49"/>
  <c r="CO671" i="49"/>
  <c r="CN824" i="49"/>
  <c r="CN816" i="49"/>
  <c r="CP819" i="49"/>
  <c r="CO964" i="49"/>
  <c r="CO968" i="49"/>
  <c r="CO531" i="49"/>
  <c r="CO817" i="49" s="1"/>
  <c r="CG325" i="72"/>
  <c r="CH325" i="72"/>
  <c r="BY423" i="51"/>
  <c r="BY333" i="51"/>
  <c r="CC443" i="51"/>
  <c r="FS560" i="72"/>
  <c r="FT560" i="72" s="1"/>
  <c r="EU509" i="72"/>
  <c r="EU508" i="72"/>
  <c r="GD591" i="72"/>
  <c r="GF591" i="72" s="1"/>
  <c r="DK401" i="72"/>
  <c r="CE309" i="72"/>
  <c r="CI320" i="72"/>
  <c r="CI325" i="72" s="1"/>
  <c r="DH401" i="72"/>
  <c r="DM401" i="72"/>
  <c r="EU510" i="72"/>
  <c r="EU505" i="72"/>
  <c r="EU512" i="72"/>
  <c r="L36" i="30"/>
  <c r="K36" i="30"/>
  <c r="F36" i="30"/>
  <c r="C39" i="30"/>
  <c r="G36" i="30"/>
  <c r="L39" i="35"/>
  <c r="K39" i="35"/>
  <c r="C39" i="48"/>
  <c r="K36" i="48"/>
  <c r="F36" i="48"/>
  <c r="G36" i="48"/>
  <c r="L36" i="48"/>
  <c r="Q83" i="56"/>
  <c r="K35" i="56"/>
  <c r="BD409" i="51"/>
  <c r="BD410" i="51" s="1"/>
  <c r="BC410" i="51"/>
  <c r="G27" i="73"/>
  <c r="D30" i="73"/>
  <c r="K27" i="73"/>
  <c r="C30" i="73"/>
  <c r="F27" i="73"/>
  <c r="F30" i="73" s="1"/>
  <c r="L27" i="73"/>
  <c r="D28" i="73"/>
  <c r="C28" i="73"/>
  <c r="I28" i="81"/>
  <c r="AU704" i="49"/>
  <c r="AU705" i="49"/>
  <c r="AU706" i="49" s="1"/>
  <c r="CL872" i="49"/>
  <c r="CJ20" i="51"/>
  <c r="CJ36" i="51" s="1"/>
  <c r="AJ997" i="49"/>
  <c r="AJ849" i="49"/>
  <c r="AJ853" i="49"/>
  <c r="AJ850" i="49"/>
  <c r="AJ851" i="49" s="1"/>
  <c r="AT420" i="49"/>
  <c r="AT419" i="49"/>
  <c r="AW420" i="49"/>
  <c r="BY141" i="49"/>
  <c r="BY140" i="49"/>
  <c r="AH906" i="49"/>
  <c r="CM761" i="49"/>
  <c r="CR476" i="49"/>
  <c r="CR761" i="49" s="1"/>
  <c r="CM544" i="49"/>
  <c r="BE899" i="49"/>
  <c r="BE906" i="49"/>
  <c r="CE877" i="49"/>
  <c r="CE878" i="49" s="1"/>
  <c r="CD878" i="49"/>
  <c r="AK997" i="49"/>
  <c r="AK850" i="49"/>
  <c r="AK851" i="49" s="1"/>
  <c r="AK849" i="49"/>
  <c r="AK853" i="49"/>
  <c r="CJ875" i="49"/>
  <c r="CK876" i="49"/>
  <c r="AF997" i="49"/>
  <c r="AF850" i="49"/>
  <c r="AF851" i="49" s="1"/>
  <c r="AF849" i="49"/>
  <c r="AF853" i="49"/>
  <c r="U705" i="49"/>
  <c r="U706" i="49" s="1"/>
  <c r="BE704" i="49"/>
  <c r="BE705" i="49"/>
  <c r="BE706" i="49" s="1"/>
  <c r="BU705" i="49"/>
  <c r="BU706" i="49" s="1"/>
  <c r="AG705" i="49"/>
  <c r="AG706" i="49" s="1"/>
  <c r="AH704" i="49"/>
  <c r="Q140" i="49"/>
  <c r="V141" i="49"/>
  <c r="CM140" i="49"/>
  <c r="T141" i="49"/>
  <c r="AO420" i="49"/>
  <c r="AO419" i="49"/>
  <c r="CG419" i="49"/>
  <c r="CG420" i="49"/>
  <c r="AM420" i="49"/>
  <c r="BQ420" i="49"/>
  <c r="CL419" i="49"/>
  <c r="CL420" i="49"/>
  <c r="CF906" i="49"/>
  <c r="AO997" i="49"/>
  <c r="AO850" i="49"/>
  <c r="AO851" i="49" s="1"/>
  <c r="AO853" i="49"/>
  <c r="CN875" i="49"/>
  <c r="AY420" i="49"/>
  <c r="AU416" i="51"/>
  <c r="AS899" i="49"/>
  <c r="AC997" i="49"/>
  <c r="AC853" i="49"/>
  <c r="AH850" i="49"/>
  <c r="AH851" i="49" s="1"/>
  <c r="CO891" i="49"/>
  <c r="AT704" i="49"/>
  <c r="AT705" i="49"/>
  <c r="AT706" i="49" s="1"/>
  <c r="P140" i="49"/>
  <c r="CC278" i="49"/>
  <c r="CC277" i="49"/>
  <c r="CD277" i="49"/>
  <c r="CH278" i="49"/>
  <c r="AK419" i="49"/>
  <c r="AK420" i="49"/>
  <c r="CB420" i="49"/>
  <c r="CB419" i="49"/>
  <c r="CH419" i="49"/>
  <c r="CH420" i="49"/>
  <c r="AA420" i="49"/>
  <c r="BS420" i="49"/>
  <c r="M400" i="49"/>
  <c r="BX420" i="49"/>
  <c r="BX419" i="49"/>
  <c r="BH420" i="49"/>
  <c r="BH419" i="49"/>
  <c r="BK418" i="49"/>
  <c r="CF420" i="49"/>
  <c r="AX906" i="49"/>
  <c r="AX899" i="49"/>
  <c r="BJ704" i="49"/>
  <c r="BJ705" i="49"/>
  <c r="BJ706" i="49" s="1"/>
  <c r="BY278" i="49"/>
  <c r="CD278" i="49"/>
  <c r="BY277" i="49"/>
  <c r="AY705" i="49"/>
  <c r="AY706" i="49" s="1"/>
  <c r="AY704" i="49"/>
  <c r="P997" i="49"/>
  <c r="AW705" i="49"/>
  <c r="AW706" i="49" s="1"/>
  <c r="AL213" i="51"/>
  <c r="CG141" i="49"/>
  <c r="CG140" i="49"/>
  <c r="AZ416" i="51"/>
  <c r="N705" i="49"/>
  <c r="N706" i="49" s="1"/>
  <c r="O816" i="49"/>
  <c r="BL278" i="49"/>
  <c r="BL277" i="49"/>
  <c r="BQ278" i="49"/>
  <c r="CB141" i="49"/>
  <c r="CB140" i="49"/>
  <c r="BO141" i="49"/>
  <c r="BO140" i="49"/>
  <c r="BG140" i="49"/>
  <c r="AV416" i="51"/>
  <c r="AI420" i="49"/>
  <c r="BN420" i="49"/>
  <c r="BM278" i="49"/>
  <c r="BM277" i="49"/>
  <c r="BR278" i="49"/>
  <c r="AU420" i="49"/>
  <c r="AU419" i="49"/>
  <c r="AJ420" i="49"/>
  <c r="AJ419" i="49"/>
  <c r="V420" i="49"/>
  <c r="V419" i="49"/>
  <c r="BI419" i="49"/>
  <c r="CC420" i="49"/>
  <c r="CC419" i="49"/>
  <c r="CK420" i="49"/>
  <c r="U906" i="49"/>
  <c r="BT902" i="49"/>
  <c r="BT903" i="49" s="1"/>
  <c r="BT894" i="49"/>
  <c r="BR542" i="51" s="1"/>
  <c r="BN898" i="49"/>
  <c r="CG872" i="49"/>
  <c r="CE537" i="51" s="1"/>
  <c r="CG877" i="49"/>
  <c r="CG878" i="49" s="1"/>
  <c r="CE20" i="51"/>
  <c r="CM894" i="49"/>
  <c r="AX878" i="49"/>
  <c r="BH902" i="49"/>
  <c r="BH903" i="49" s="1"/>
  <c r="BH894" i="49"/>
  <c r="BF542" i="51" s="1"/>
  <c r="BF20" i="51"/>
  <c r="AK878" i="49"/>
  <c r="BL877" i="49"/>
  <c r="BL878" i="49" s="1"/>
  <c r="BL872" i="49"/>
  <c r="BJ537" i="51" s="1"/>
  <c r="BJ20" i="51"/>
  <c r="AY902" i="49"/>
  <c r="AY903" i="49" s="1"/>
  <c r="BJ872" i="49"/>
  <c r="BH537" i="51" s="1"/>
  <c r="BH20" i="51"/>
  <c r="CJ597" i="49"/>
  <c r="CJ698" i="49" s="1"/>
  <c r="CJ843" i="49" s="1"/>
  <c r="CI698" i="49"/>
  <c r="CI843" i="49" s="1"/>
  <c r="CI739" i="49"/>
  <c r="CJ739" i="49" s="1"/>
  <c r="CA997" i="49"/>
  <c r="CA853" i="49"/>
  <c r="S848" i="49"/>
  <c r="CT784" i="49"/>
  <c r="CU498" i="49"/>
  <c r="CS771" i="49"/>
  <c r="CT485" i="49"/>
  <c r="M755" i="49"/>
  <c r="CI724" i="49"/>
  <c r="CJ724" i="49" s="1"/>
  <c r="CI541" i="49"/>
  <c r="CI827" i="49" s="1"/>
  <c r="CJ438" i="49"/>
  <c r="AE905" i="49"/>
  <c r="BT705" i="49"/>
  <c r="BT706" i="49" s="1"/>
  <c r="BT704" i="49"/>
  <c r="BN704" i="49"/>
  <c r="CT665" i="49"/>
  <c r="O904" i="49"/>
  <c r="O905" i="49" s="1"/>
  <c r="O896" i="49"/>
  <c r="CI796" i="49"/>
  <c r="CJ510" i="49"/>
  <c r="CI544" i="49"/>
  <c r="CI830" i="49" s="1"/>
  <c r="AG891" i="49"/>
  <c r="AG893" i="49"/>
  <c r="L893" i="49"/>
  <c r="Q894" i="49" s="1"/>
  <c r="O542" i="51" s="1"/>
  <c r="CO946" i="49"/>
  <c r="CS946" i="49"/>
  <c r="CT946" i="49" s="1"/>
  <c r="CU946" i="49" s="1"/>
  <c r="CV946" i="49" s="1"/>
  <c r="BZ866" i="49"/>
  <c r="CA867" i="49"/>
  <c r="BZ778" i="49"/>
  <c r="CS859" i="49"/>
  <c r="CT461" i="49"/>
  <c r="CS747" i="49"/>
  <c r="Q704" i="49"/>
  <c r="AC565" i="49"/>
  <c r="AC566" i="49" s="1"/>
  <c r="AC564" i="49"/>
  <c r="AA163" i="51"/>
  <c r="AA164" i="51" s="1"/>
  <c r="AQ703" i="49"/>
  <c r="CI864" i="49"/>
  <c r="CI863" i="49"/>
  <c r="S866" i="49"/>
  <c r="CR532" i="49"/>
  <c r="CS429" i="49"/>
  <c r="AL816" i="49"/>
  <c r="AL563" i="49"/>
  <c r="CQ690" i="49"/>
  <c r="CR589" i="49"/>
  <c r="CU514" i="49"/>
  <c r="CM863" i="49"/>
  <c r="CM864" i="49"/>
  <c r="AL812" i="49"/>
  <c r="CT772" i="49"/>
  <c r="CU486" i="49"/>
  <c r="BA563" i="49"/>
  <c r="AG563" i="49"/>
  <c r="BC816" i="49"/>
  <c r="BC848" i="49" s="1"/>
  <c r="BC563" i="49"/>
  <c r="BA163" i="51"/>
  <c r="R563" i="49"/>
  <c r="R816" i="49"/>
  <c r="R848" i="49" s="1"/>
  <c r="BY725" i="49"/>
  <c r="BZ725" i="49" s="1"/>
  <c r="BY542" i="49"/>
  <c r="BY828" i="49" s="1"/>
  <c r="BZ439" i="49"/>
  <c r="BZ542" i="49" s="1"/>
  <c r="BZ828" i="49" s="1"/>
  <c r="AV278" i="49"/>
  <c r="CL140" i="49"/>
  <c r="CL141" i="49"/>
  <c r="CQ450" i="49"/>
  <c r="DN401" i="72"/>
  <c r="CO752" i="49"/>
  <c r="CO677" i="49"/>
  <c r="CG1036" i="49"/>
  <c r="CG848" i="49"/>
  <c r="CN810" i="49"/>
  <c r="CS524" i="49"/>
  <c r="CO524" i="49"/>
  <c r="CO810" i="49" s="1"/>
  <c r="CP439" i="49"/>
  <c r="CO542" i="49"/>
  <c r="AR418" i="49"/>
  <c r="W278" i="49"/>
  <c r="CT768" i="49"/>
  <c r="CU482" i="49"/>
  <c r="M122" i="49"/>
  <c r="CO682" i="49"/>
  <c r="CP582" i="49"/>
  <c r="BX724" i="49"/>
  <c r="BX541" i="49"/>
  <c r="BX827" i="49" s="1"/>
  <c r="BX1038" i="49" s="1"/>
  <c r="BY438" i="49"/>
  <c r="AW565" i="49"/>
  <c r="AW566" i="49" s="1"/>
  <c r="AZ420" i="49"/>
  <c r="AZ419" i="49"/>
  <c r="X278" i="49"/>
  <c r="X277" i="49"/>
  <c r="L43" i="49"/>
  <c r="L354" i="49"/>
  <c r="M77" i="49"/>
  <c r="M354" i="49" s="1"/>
  <c r="N42" i="49"/>
  <c r="N353" i="49"/>
  <c r="N105" i="49"/>
  <c r="N383" i="49" s="1"/>
  <c r="K318" i="49"/>
  <c r="K349" i="49" s="1"/>
  <c r="K72" i="49"/>
  <c r="K109" i="49"/>
  <c r="K139" i="49" s="1"/>
  <c r="BT420" i="49"/>
  <c r="BT419" i="49"/>
  <c r="CA415" i="51"/>
  <c r="BJ408" i="51"/>
  <c r="BA213" i="51"/>
  <c r="DL401" i="72"/>
  <c r="T896" i="49"/>
  <c r="AZ906" i="49"/>
  <c r="AZ899" i="49"/>
  <c r="AN906" i="49"/>
  <c r="AF906" i="49"/>
  <c r="T906" i="49"/>
  <c r="BR905" i="49"/>
  <c r="AW905" i="49"/>
  <c r="T902" i="49"/>
  <c r="BJ902" i="49"/>
  <c r="BJ903" i="49" s="1"/>
  <c r="BJ894" i="49"/>
  <c r="BH542" i="51" s="1"/>
  <c r="BK893" i="49"/>
  <c r="BQ889" i="49"/>
  <c r="AU906" i="49"/>
  <c r="AU907" i="49" s="1"/>
  <c r="AU899" i="49"/>
  <c r="CD906" i="49"/>
  <c r="CD900" i="49"/>
  <c r="CD899" i="49"/>
  <c r="CE898" i="49"/>
  <c r="CF900" i="49" s="1"/>
  <c r="X902" i="49"/>
  <c r="X894" i="49"/>
  <c r="V542" i="51" s="1"/>
  <c r="CD902" i="49"/>
  <c r="CD894" i="49"/>
  <c r="CB542" i="51" s="1"/>
  <c r="AT898" i="49"/>
  <c r="AC905" i="49"/>
  <c r="BD902" i="49"/>
  <c r="BD894" i="49"/>
  <c r="BB542" i="51" s="1"/>
  <c r="BB20" i="51"/>
  <c r="BR878" i="49"/>
  <c r="Q902" i="49"/>
  <c r="DE401" i="72"/>
  <c r="BO872" i="49"/>
  <c r="BM537" i="51" s="1"/>
  <c r="BM20" i="51"/>
  <c r="AA872" i="49"/>
  <c r="Y537" i="51" s="1"/>
  <c r="CK902" i="49"/>
  <c r="CK894" i="49"/>
  <c r="S902" i="49"/>
  <c r="AU877" i="49"/>
  <c r="AU878" i="49" s="1"/>
  <c r="AU872" i="49"/>
  <c r="AS537" i="51" s="1"/>
  <c r="BJ898" i="49"/>
  <c r="BO877" i="49"/>
  <c r="BN872" i="49"/>
  <c r="BL537" i="51" s="1"/>
  <c r="BL20" i="51"/>
  <c r="AA894" i="49"/>
  <c r="Y542" i="51" s="1"/>
  <c r="AA902" i="49"/>
  <c r="AX872" i="49"/>
  <c r="AV537" i="51" s="1"/>
  <c r="AV20" i="51"/>
  <c r="AO877" i="49"/>
  <c r="AO878" i="49" s="1"/>
  <c r="AO872" i="49"/>
  <c r="AM537" i="51" s="1"/>
  <c r="AM20" i="51"/>
  <c r="BX905" i="49"/>
  <c r="BS906" i="49"/>
  <c r="BS899" i="49"/>
  <c r="BS900" i="49"/>
  <c r="BG906" i="49"/>
  <c r="BG899" i="49"/>
  <c r="AI878" i="49"/>
  <c r="CB872" i="49"/>
  <c r="BZ537" i="51" s="1"/>
  <c r="BZ20" i="51"/>
  <c r="AZ902" i="49"/>
  <c r="AZ894" i="49"/>
  <c r="AX542" i="51" s="1"/>
  <c r="X872" i="49"/>
  <c r="V537" i="51" s="1"/>
  <c r="AM872" i="49"/>
  <c r="AK537" i="51" s="1"/>
  <c r="AM877" i="49"/>
  <c r="AM878" i="49" s="1"/>
  <c r="AK20" i="51"/>
  <c r="AK25" i="51" s="1"/>
  <c r="AK29" i="51" s="1"/>
  <c r="S860" i="49"/>
  <c r="CH889" i="49"/>
  <c r="CH888" i="49"/>
  <c r="CP847" i="49"/>
  <c r="CQ702" i="49"/>
  <c r="BY703" i="49"/>
  <c r="CS968" i="49"/>
  <c r="CT662" i="49"/>
  <c r="CS964" i="49"/>
  <c r="CT658" i="49"/>
  <c r="R904" i="49"/>
  <c r="R898" i="49"/>
  <c r="BI897" i="49"/>
  <c r="BI904" i="49"/>
  <c r="BI905" i="49" s="1"/>
  <c r="BI898" i="49"/>
  <c r="BI896" i="49"/>
  <c r="AL875" i="49"/>
  <c r="CQ599" i="49"/>
  <c r="CP692" i="49"/>
  <c r="CP837" i="49" s="1"/>
  <c r="CQ591" i="49"/>
  <c r="CE703" i="49"/>
  <c r="AI565" i="49"/>
  <c r="AI566" i="49" s="1"/>
  <c r="AI564" i="49"/>
  <c r="AG163" i="51"/>
  <c r="AL164" i="51" s="1"/>
  <c r="AY820" i="49"/>
  <c r="AI997" i="49"/>
  <c r="AI853" i="49"/>
  <c r="AI850" i="49"/>
  <c r="AI851" i="49" s="1"/>
  <c r="AI849" i="49"/>
  <c r="R893" i="49"/>
  <c r="CN887" i="49"/>
  <c r="CN888" i="49" s="1"/>
  <c r="BK882" i="49"/>
  <c r="BL883" i="49"/>
  <c r="CO771" i="49"/>
  <c r="CE869" i="49"/>
  <c r="CE871" i="49"/>
  <c r="L760" i="49"/>
  <c r="M475" i="49"/>
  <c r="M760" i="49" s="1"/>
  <c r="AL871" i="49"/>
  <c r="AL869" i="49"/>
  <c r="CO762" i="49"/>
  <c r="CO545" i="49"/>
  <c r="CO831" i="49" s="1"/>
  <c r="L759" i="49"/>
  <c r="L542" i="49"/>
  <c r="L828" i="49" s="1"/>
  <c r="M473" i="49"/>
  <c r="AQ866" i="49"/>
  <c r="CS753" i="49"/>
  <c r="CT753" i="49" s="1"/>
  <c r="CT467" i="49"/>
  <c r="I531" i="49"/>
  <c r="I817" i="49" s="1"/>
  <c r="I748" i="49"/>
  <c r="I778" i="49" s="1"/>
  <c r="CA861" i="49"/>
  <c r="CG705" i="49"/>
  <c r="CG706" i="49" s="1"/>
  <c r="V704" i="49"/>
  <c r="V705" i="49"/>
  <c r="V706" i="49" s="1"/>
  <c r="CO971" i="49"/>
  <c r="CS963" i="49"/>
  <c r="CT657" i="49"/>
  <c r="O875" i="49"/>
  <c r="CO696" i="49"/>
  <c r="CO841" i="49" s="1"/>
  <c r="CH563" i="49"/>
  <c r="V997" i="49"/>
  <c r="V849" i="49"/>
  <c r="CI553" i="49"/>
  <c r="CJ517" i="49"/>
  <c r="CS802" i="49"/>
  <c r="CT516" i="49"/>
  <c r="BX796" i="49"/>
  <c r="BX812" i="49" s="1"/>
  <c r="BY510" i="49"/>
  <c r="BX544" i="49"/>
  <c r="BX830" i="49" s="1"/>
  <c r="BX526" i="49"/>
  <c r="BA893" i="49"/>
  <c r="BA891" i="49"/>
  <c r="BB892" i="49"/>
  <c r="M890" i="49"/>
  <c r="M794" i="49"/>
  <c r="CS792" i="49"/>
  <c r="CT506" i="49"/>
  <c r="CO787" i="49"/>
  <c r="CP501" i="49"/>
  <c r="CO535" i="49"/>
  <c r="CO821" i="49" s="1"/>
  <c r="BO812" i="49"/>
  <c r="AG882" i="49"/>
  <c r="CT484" i="49"/>
  <c r="CS770" i="49"/>
  <c r="CQ764" i="49"/>
  <c r="CR478" i="49"/>
  <c r="BU863" i="49"/>
  <c r="AV860" i="49"/>
  <c r="AB860" i="49"/>
  <c r="CO747" i="49"/>
  <c r="CO859" i="49"/>
  <c r="CO860" i="49" s="1"/>
  <c r="AZ872" i="49"/>
  <c r="AX537" i="51" s="1"/>
  <c r="BI703" i="49"/>
  <c r="BN705" i="49" s="1"/>
  <c r="BN706" i="49" s="1"/>
  <c r="AC704" i="49"/>
  <c r="AC705" i="49"/>
  <c r="AC706" i="49" s="1"/>
  <c r="BF904" i="49"/>
  <c r="BF896" i="49"/>
  <c r="CM875" i="49"/>
  <c r="CM876" i="49"/>
  <c r="AV875" i="49"/>
  <c r="Y565" i="49"/>
  <c r="Y566" i="49" s="1"/>
  <c r="Y564" i="49"/>
  <c r="W163" i="51"/>
  <c r="W164" i="51" s="1"/>
  <c r="BA820" i="49"/>
  <c r="AG818" i="49"/>
  <c r="U997" i="49"/>
  <c r="U850" i="49"/>
  <c r="U851" i="49" s="1"/>
  <c r="BP891" i="49"/>
  <c r="BP893" i="49"/>
  <c r="BQ892" i="49"/>
  <c r="CE787" i="49"/>
  <c r="CE812" i="49" s="1"/>
  <c r="CE535" i="49"/>
  <c r="CE821" i="49" s="1"/>
  <c r="BU882" i="49"/>
  <c r="BV883" i="49"/>
  <c r="AV869" i="49"/>
  <c r="AV871" i="49"/>
  <c r="CD705" i="49"/>
  <c r="CD706" i="49" s="1"/>
  <c r="AV703" i="49"/>
  <c r="AV705" i="49" s="1"/>
  <c r="AV706" i="49" s="1"/>
  <c r="K887" i="49"/>
  <c r="K893" i="49" s="1"/>
  <c r="K790" i="49"/>
  <c r="K469" i="49"/>
  <c r="CU785" i="49"/>
  <c r="CV642" i="49"/>
  <c r="CV785" i="49" s="1"/>
  <c r="K635" i="49"/>
  <c r="BZ601" i="49"/>
  <c r="BB703" i="49"/>
  <c r="CC816" i="49"/>
  <c r="O891" i="49"/>
  <c r="J757" i="49"/>
  <c r="J540" i="49"/>
  <c r="J826" i="49" s="1"/>
  <c r="I865" i="49"/>
  <c r="N866" i="49" s="1"/>
  <c r="I755" i="49"/>
  <c r="CI888" i="49"/>
  <c r="CI889" i="49"/>
  <c r="CO782" i="49"/>
  <c r="CO526" i="49"/>
  <c r="CJ776" i="49"/>
  <c r="BU778" i="49"/>
  <c r="BA778" i="49"/>
  <c r="AG778" i="49"/>
  <c r="W778" i="49"/>
  <c r="CO735" i="49"/>
  <c r="CP449" i="49"/>
  <c r="CO554" i="49"/>
  <c r="CO839" i="49" s="1"/>
  <c r="CP733" i="49"/>
  <c r="BK828" i="49"/>
  <c r="BK1038" i="49" s="1"/>
  <c r="BY543" i="49"/>
  <c r="BY829" i="49" s="1"/>
  <c r="BY726" i="49"/>
  <c r="BZ726" i="49" s="1"/>
  <c r="BZ440" i="49"/>
  <c r="BZ543" i="49" s="1"/>
  <c r="BZ829" i="49" s="1"/>
  <c r="BZ1037" i="49" s="1"/>
  <c r="CO543" i="49"/>
  <c r="CP440" i="49"/>
  <c r="BF530" i="49"/>
  <c r="BF457" i="49"/>
  <c r="BZ713" i="49"/>
  <c r="BF713" i="49"/>
  <c r="BF743" i="49" s="1"/>
  <c r="BE743" i="49"/>
  <c r="AU816" i="49"/>
  <c r="AU563" i="49"/>
  <c r="AS163" i="51"/>
  <c r="AQ713" i="49"/>
  <c r="AQ743" i="49" s="1"/>
  <c r="AP743" i="49"/>
  <c r="CO529" i="49"/>
  <c r="CT426" i="49"/>
  <c r="CO457" i="49"/>
  <c r="CP426" i="49"/>
  <c r="Q277" i="49"/>
  <c r="BP293" i="49"/>
  <c r="BP118" i="49"/>
  <c r="BP139" i="49" s="1"/>
  <c r="BL703" i="49"/>
  <c r="O887" i="49"/>
  <c r="O893" i="49" s="1"/>
  <c r="O790" i="49"/>
  <c r="O812" i="49" s="1"/>
  <c r="O469" i="49"/>
  <c r="O526" i="49"/>
  <c r="CO699" i="49"/>
  <c r="CQ576" i="49"/>
  <c r="CP676" i="49"/>
  <c r="CQ671" i="49"/>
  <c r="CR571" i="49"/>
  <c r="T564" i="49"/>
  <c r="CC1037" i="49"/>
  <c r="CO809" i="49"/>
  <c r="CR776" i="49"/>
  <c r="CR489" i="49"/>
  <c r="CQ775" i="49"/>
  <c r="O757" i="49"/>
  <c r="O540" i="49"/>
  <c r="O826" i="49" s="1"/>
  <c r="BP866" i="49"/>
  <c r="BQ867" i="49"/>
  <c r="AB866" i="49"/>
  <c r="BK820" i="49"/>
  <c r="BK1035" i="49" s="1"/>
  <c r="BU457" i="49"/>
  <c r="CP740" i="49"/>
  <c r="CP559" i="49"/>
  <c r="CQ454" i="49"/>
  <c r="CR430" i="49"/>
  <c r="CQ533" i="49"/>
  <c r="CQ716" i="49"/>
  <c r="CD816" i="49"/>
  <c r="BN816" i="49"/>
  <c r="BN563" i="49"/>
  <c r="BL163" i="51"/>
  <c r="AT816" i="49"/>
  <c r="AT563" i="49"/>
  <c r="AR163" i="51" s="1"/>
  <c r="AR164" i="51" s="1"/>
  <c r="Z743" i="49"/>
  <c r="CP530" i="49"/>
  <c r="CQ427" i="49"/>
  <c r="BA139" i="49"/>
  <c r="BA141" i="49" s="1"/>
  <c r="CQ845" i="49"/>
  <c r="CR701" i="49"/>
  <c r="AJ705" i="49"/>
  <c r="AJ706" i="49" s="1"/>
  <c r="AJ704" i="49"/>
  <c r="CQ971" i="49"/>
  <c r="CO962" i="49"/>
  <c r="O761" i="49"/>
  <c r="O686" i="49"/>
  <c r="O830" i="49" s="1"/>
  <c r="BK905" i="49"/>
  <c r="BP668" i="49"/>
  <c r="BP672" i="49"/>
  <c r="BP703" i="49" s="1"/>
  <c r="M606" i="49"/>
  <c r="M673" i="49" s="1"/>
  <c r="L673" i="49"/>
  <c r="M895" i="49"/>
  <c r="M668" i="49"/>
  <c r="CS953" i="49"/>
  <c r="CT651" i="49"/>
  <c r="CO940" i="49"/>
  <c r="CS940" i="49"/>
  <c r="CT940" i="49" s="1"/>
  <c r="CU940" i="49" s="1"/>
  <c r="CV940" i="49" s="1"/>
  <c r="CP594" i="49"/>
  <c r="AF564" i="49"/>
  <c r="AF565" i="49"/>
  <c r="AF566" i="49" s="1"/>
  <c r="AD163" i="51"/>
  <c r="AD164" i="51" s="1"/>
  <c r="J817" i="49"/>
  <c r="CP804" i="49"/>
  <c r="CQ518" i="49"/>
  <c r="AV812" i="49"/>
  <c r="AL882" i="49"/>
  <c r="CP862" i="49"/>
  <c r="CP871" i="49" s="1"/>
  <c r="BA457" i="49"/>
  <c r="AX20" i="51" s="1"/>
  <c r="CO559" i="49"/>
  <c r="M538" i="49"/>
  <c r="M824" i="49" s="1"/>
  <c r="BO1035" i="49"/>
  <c r="BU1036" i="49"/>
  <c r="BR816" i="49"/>
  <c r="BR563" i="49"/>
  <c r="BP163" i="51"/>
  <c r="BP164" i="51" s="1"/>
  <c r="BH743" i="49"/>
  <c r="BC743" i="49"/>
  <c r="AS816" i="49"/>
  <c r="AS848" i="49" s="1"/>
  <c r="AS563" i="49"/>
  <c r="M713" i="49"/>
  <c r="M743" i="49" s="1"/>
  <c r="L743" i="49"/>
  <c r="CI418" i="49"/>
  <c r="CJ386" i="49"/>
  <c r="AG349" i="49"/>
  <c r="O276" i="49"/>
  <c r="S139" i="49"/>
  <c r="X141" i="49" s="1"/>
  <c r="AV139" i="49"/>
  <c r="AV141" i="49" s="1"/>
  <c r="N122" i="49"/>
  <c r="N332" i="49"/>
  <c r="N401" i="49" s="1"/>
  <c r="CJ683" i="49"/>
  <c r="CK583" i="49"/>
  <c r="AX703" i="49"/>
  <c r="BA871" i="49"/>
  <c r="BA869" i="49"/>
  <c r="L543" i="49"/>
  <c r="L829" i="49" s="1"/>
  <c r="CT418" i="49"/>
  <c r="CD418" i="49"/>
  <c r="P418" i="49"/>
  <c r="AB276" i="49"/>
  <c r="BT141" i="49"/>
  <c r="BT140" i="49"/>
  <c r="AX140" i="49"/>
  <c r="AX141" i="49"/>
  <c r="Y141" i="49"/>
  <c r="Y140" i="49"/>
  <c r="L361" i="49"/>
  <c r="M84" i="49"/>
  <c r="M361" i="49" s="1"/>
  <c r="L51" i="49"/>
  <c r="N110" i="49"/>
  <c r="N319" i="49"/>
  <c r="BF349" i="49"/>
  <c r="I139" i="49"/>
  <c r="BK891" i="49"/>
  <c r="W891" i="49"/>
  <c r="W893" i="49"/>
  <c r="CS868" i="49"/>
  <c r="CS758" i="49"/>
  <c r="CT472" i="49"/>
  <c r="CO555" i="49"/>
  <c r="CI726" i="49"/>
  <c r="CJ726" i="49" s="1"/>
  <c r="AV349" i="49"/>
  <c r="AL387" i="49"/>
  <c r="AL418" i="49" s="1"/>
  <c r="CT756" i="49"/>
  <c r="CU614" i="49"/>
  <c r="W875" i="49"/>
  <c r="CO691" i="49"/>
  <c r="CP590" i="49"/>
  <c r="CT760" i="49"/>
  <c r="CU475" i="49"/>
  <c r="CO530" i="49"/>
  <c r="BE420" i="49"/>
  <c r="AH418" i="49"/>
  <c r="AI419" i="49" s="1"/>
  <c r="CA278" i="49"/>
  <c r="BF276" i="49"/>
  <c r="AR278" i="49"/>
  <c r="AR277" i="49"/>
  <c r="T278" i="49"/>
  <c r="T277" i="49"/>
  <c r="BB141" i="49"/>
  <c r="X140" i="49"/>
  <c r="AB387" i="49"/>
  <c r="M120" i="49"/>
  <c r="M293" i="49"/>
  <c r="BM139" i="49"/>
  <c r="CI349" i="49"/>
  <c r="S277" i="49"/>
  <c r="BZ703" i="49"/>
  <c r="BL1036" i="49"/>
  <c r="BL848" i="49"/>
  <c r="CE536" i="49"/>
  <c r="CE822" i="49" s="1"/>
  <c r="BB563" i="49"/>
  <c r="AP418" i="49"/>
  <c r="X418" i="49"/>
  <c r="AH277" i="49"/>
  <c r="AH278" i="49"/>
  <c r="M182" i="49"/>
  <c r="L248" i="49"/>
  <c r="BV140" i="49"/>
  <c r="BV141" i="49"/>
  <c r="AF141" i="49"/>
  <c r="AF140" i="49"/>
  <c r="CO790" i="49"/>
  <c r="M868" i="49"/>
  <c r="M758" i="49"/>
  <c r="CJ139" i="49"/>
  <c r="CJ141" i="49" s="1"/>
  <c r="V278" i="49"/>
  <c r="BM392" i="49"/>
  <c r="BM418" i="49" s="1"/>
  <c r="BN419" i="49" s="1"/>
  <c r="BT906" i="49"/>
  <c r="BT900" i="49"/>
  <c r="BU898" i="49"/>
  <c r="BH906" i="49"/>
  <c r="BH907" i="49" s="1"/>
  <c r="BH899" i="49"/>
  <c r="BR906" i="49"/>
  <c r="BR899" i="49"/>
  <c r="AT894" i="49"/>
  <c r="AR542" i="51" s="1"/>
  <c r="AT902" i="49"/>
  <c r="AC902" i="49"/>
  <c r="AC903" i="49" s="1"/>
  <c r="AC894" i="49"/>
  <c r="AA542" i="51" s="1"/>
  <c r="AO899" i="49"/>
  <c r="CH661" i="49"/>
  <c r="CH659" i="49"/>
  <c r="CH666" i="49"/>
  <c r="BI872" i="49"/>
  <c r="BG537" i="51" s="1"/>
  <c r="BG20" i="51"/>
  <c r="AW902" i="49"/>
  <c r="AW894" i="49"/>
  <c r="AU542" i="51" s="1"/>
  <c r="AU20" i="51"/>
  <c r="BC878" i="49"/>
  <c r="BV872" i="49"/>
  <c r="BT537" i="51" s="1"/>
  <c r="BT20" i="51"/>
  <c r="CC704" i="49"/>
  <c r="CC705" i="49"/>
  <c r="CC706" i="49" s="1"/>
  <c r="AM565" i="49"/>
  <c r="AM566" i="49" s="1"/>
  <c r="AK163" i="51"/>
  <c r="AP164" i="51" s="1"/>
  <c r="AM564" i="49"/>
  <c r="BC820" i="49"/>
  <c r="P893" i="49"/>
  <c r="CE887" i="49"/>
  <c r="CE789" i="49"/>
  <c r="CE537" i="49"/>
  <c r="CE823" i="49" s="1"/>
  <c r="CL864" i="49"/>
  <c r="CL863" i="49"/>
  <c r="BI877" i="49"/>
  <c r="BI878" i="49" s="1"/>
  <c r="V564" i="49"/>
  <c r="T163" i="51"/>
  <c r="AD997" i="49"/>
  <c r="AD853" i="49"/>
  <c r="AD849" i="49"/>
  <c r="AD850" i="49"/>
  <c r="AD851" i="49" s="1"/>
  <c r="BP881" i="49"/>
  <c r="BP782" i="49"/>
  <c r="BP812" i="49" s="1"/>
  <c r="BP526" i="49"/>
  <c r="BA812" i="49"/>
  <c r="AQ869" i="49"/>
  <c r="AQ871" i="49"/>
  <c r="AK704" i="49"/>
  <c r="AK705" i="49"/>
  <c r="AK706" i="49" s="1"/>
  <c r="CO754" i="49"/>
  <c r="Y997" i="49"/>
  <c r="Y850" i="49"/>
  <c r="Y851" i="49" s="1"/>
  <c r="BU812" i="49"/>
  <c r="BU871" i="49"/>
  <c r="BU869" i="49"/>
  <c r="BV870" i="49"/>
  <c r="BG705" i="49"/>
  <c r="BG706" i="49" s="1"/>
  <c r="BG704" i="49"/>
  <c r="BP601" i="49"/>
  <c r="CP519" i="49"/>
  <c r="CP555" i="49" s="1"/>
  <c r="CS939" i="49"/>
  <c r="CT939" i="49" s="1"/>
  <c r="CU939" i="49" s="1"/>
  <c r="CV939" i="49" s="1"/>
  <c r="CO939" i="49"/>
  <c r="CS436" i="49"/>
  <c r="CS433" i="49"/>
  <c r="BY816" i="49"/>
  <c r="BE816" i="49"/>
  <c r="BE848" i="49" s="1"/>
  <c r="BE563" i="49"/>
  <c r="BC163" i="51"/>
  <c r="BA904" i="49"/>
  <c r="BA896" i="49"/>
  <c r="BA898" i="49"/>
  <c r="CP681" i="49"/>
  <c r="CP825" i="49" s="1"/>
  <c r="CQ581" i="49"/>
  <c r="BX816" i="49"/>
  <c r="BX563" i="49"/>
  <c r="CP887" i="49"/>
  <c r="CP789" i="49"/>
  <c r="CQ503" i="49"/>
  <c r="CQ537" i="49" s="1"/>
  <c r="CP537" i="49"/>
  <c r="CP823" i="49" s="1"/>
  <c r="CN776" i="49"/>
  <c r="CS490" i="49"/>
  <c r="CS862" i="49" s="1"/>
  <c r="CO490" i="49"/>
  <c r="CO541" i="49"/>
  <c r="CP438" i="49"/>
  <c r="BO419" i="49"/>
  <c r="CR441" i="49"/>
  <c r="CO712" i="49"/>
  <c r="BL141" i="49"/>
  <c r="M543" i="49"/>
  <c r="M829" i="49" s="1"/>
  <c r="U420" i="49"/>
  <c r="U419" i="49"/>
  <c r="Z277" i="49"/>
  <c r="Z278" i="49"/>
  <c r="BX140" i="49"/>
  <c r="BX141" i="49"/>
  <c r="AD140" i="49"/>
  <c r="AD141" i="49"/>
  <c r="M119" i="49"/>
  <c r="AF420" i="49"/>
  <c r="AF419" i="49"/>
  <c r="CI718" i="49"/>
  <c r="CI535" i="49"/>
  <c r="T418" i="49"/>
  <c r="BJ278" i="49"/>
  <c r="BJ277" i="49"/>
  <c r="CK141" i="49"/>
  <c r="R296" i="49"/>
  <c r="R399" i="49" s="1"/>
  <c r="R418" i="49" s="1"/>
  <c r="R120" i="49"/>
  <c r="CQ675" i="49"/>
  <c r="CR575" i="49"/>
  <c r="X848" i="49"/>
  <c r="AC850" i="49" s="1"/>
  <c r="AC851" i="49" s="1"/>
  <c r="AL278" i="49"/>
  <c r="DG401" i="72"/>
  <c r="DQ401" i="72"/>
  <c r="CO995" i="49"/>
  <c r="CP983" i="49"/>
  <c r="BL906" i="49"/>
  <c r="BL907" i="49" s="1"/>
  <c r="BL899" i="49"/>
  <c r="T905" i="49"/>
  <c r="AW898" i="49"/>
  <c r="BM905" i="49"/>
  <c r="BB902" i="49"/>
  <c r="BB903" i="49" s="1"/>
  <c r="BB894" i="49"/>
  <c r="AZ542" i="51" s="1"/>
  <c r="Z906" i="49"/>
  <c r="Z907" i="49" s="1"/>
  <c r="Z899" i="49"/>
  <c r="AM906" i="49"/>
  <c r="AM899" i="49"/>
  <c r="BV902" i="49"/>
  <c r="BV898" i="49"/>
  <c r="BV894" i="49"/>
  <c r="BT542" i="51" s="1"/>
  <c r="AE906" i="49"/>
  <c r="AE907" i="49" s="1"/>
  <c r="AE899" i="49"/>
  <c r="AO905" i="49"/>
  <c r="CL902" i="49"/>
  <c r="CL903" i="49" s="1"/>
  <c r="CL894" i="49"/>
  <c r="AH902" i="49"/>
  <c r="AH894" i="49"/>
  <c r="AF542" i="51" s="1"/>
  <c r="AI894" i="49"/>
  <c r="AG542" i="51" s="1"/>
  <c r="AI898" i="49"/>
  <c r="AN899" i="49" s="1"/>
  <c r="AI902" i="49"/>
  <c r="AG20" i="51"/>
  <c r="BN878" i="49"/>
  <c r="BB905" i="49"/>
  <c r="AS902" i="49"/>
  <c r="AS894" i="49"/>
  <c r="AQ542" i="51" s="1"/>
  <c r="CA894" i="49"/>
  <c r="BY542" i="51" s="1"/>
  <c r="CA902" i="49"/>
  <c r="CA903" i="49" s="1"/>
  <c r="CA898" i="49"/>
  <c r="AU894" i="49"/>
  <c r="AS542" i="51" s="1"/>
  <c r="AU902" i="49"/>
  <c r="AU903" i="49" s="1"/>
  <c r="V877" i="49"/>
  <c r="V878" i="49" s="1"/>
  <c r="AS905" i="49"/>
  <c r="CG898" i="49"/>
  <c r="CG894" i="49"/>
  <c r="CE542" i="51" s="1"/>
  <c r="CG902" i="49"/>
  <c r="V902" i="49"/>
  <c r="V903" i="49" s="1"/>
  <c r="V894" i="49"/>
  <c r="T542" i="51" s="1"/>
  <c r="V898" i="49"/>
  <c r="BS878" i="49"/>
  <c r="AP906" i="49"/>
  <c r="BY902" i="49"/>
  <c r="BY903" i="49" s="1"/>
  <c r="BY898" i="49"/>
  <c r="BY894" i="49"/>
  <c r="BW542" i="51" s="1"/>
  <c r="AD894" i="49"/>
  <c r="AB542" i="51" s="1"/>
  <c r="AD902" i="49"/>
  <c r="AD903" i="49" s="1"/>
  <c r="BZ877" i="49"/>
  <c r="S905" i="49"/>
  <c r="CM871" i="49"/>
  <c r="CM902" i="49" s="1"/>
  <c r="CM903" i="49" s="1"/>
  <c r="BQ872" i="49"/>
  <c r="BO537" i="51" s="1"/>
  <c r="BQ877" i="49"/>
  <c r="BQ878" i="49" s="1"/>
  <c r="BO20" i="51"/>
  <c r="AF903" i="49"/>
  <c r="BR872" i="49"/>
  <c r="BP537" i="51" s="1"/>
  <c r="BP20" i="51"/>
  <c r="AD905" i="49"/>
  <c r="AU905" i="49"/>
  <c r="CE875" i="49"/>
  <c r="BT877" i="49"/>
  <c r="BT872" i="49"/>
  <c r="BR537" i="51" s="1"/>
  <c r="BR20" i="51"/>
  <c r="CC761" i="49"/>
  <c r="CC778" i="49" s="1"/>
  <c r="CD476" i="49"/>
  <c r="CC544" i="49"/>
  <c r="CC830" i="49" s="1"/>
  <c r="CC492" i="49"/>
  <c r="AA898" i="49"/>
  <c r="CC900" i="49"/>
  <c r="CC899" i="49"/>
  <c r="AD872" i="49"/>
  <c r="AB537" i="51" s="1"/>
  <c r="CC872" i="49"/>
  <c r="CA537" i="51" s="1"/>
  <c r="CC877" i="49"/>
  <c r="CC878" i="49" s="1"/>
  <c r="CA20" i="51"/>
  <c r="BE878" i="49"/>
  <c r="BB867" i="49"/>
  <c r="BQ705" i="49"/>
  <c r="BQ706" i="49" s="1"/>
  <c r="BQ704" i="49"/>
  <c r="AV904" i="49"/>
  <c r="AV896" i="49"/>
  <c r="CT775" i="49"/>
  <c r="CU632" i="49"/>
  <c r="M764" i="49"/>
  <c r="M688" i="49"/>
  <c r="M833" i="49" s="1"/>
  <c r="CO697" i="49"/>
  <c r="CP596" i="49"/>
  <c r="CI688" i="49"/>
  <c r="CI833" i="49" s="1"/>
  <c r="CI1036" i="49" s="1"/>
  <c r="CI729" i="49"/>
  <c r="CJ729" i="49" s="1"/>
  <c r="CJ587" i="49"/>
  <c r="BA672" i="49"/>
  <c r="BA601" i="49"/>
  <c r="AE564" i="49"/>
  <c r="AC163" i="51"/>
  <c r="CB816" i="49"/>
  <c r="CB563" i="49"/>
  <c r="AU820" i="49"/>
  <c r="AE997" i="49"/>
  <c r="AE853" i="49"/>
  <c r="AE849" i="49"/>
  <c r="AE850" i="49"/>
  <c r="AE851" i="49" s="1"/>
  <c r="K816" i="49"/>
  <c r="AL893" i="49"/>
  <c r="AL891" i="49"/>
  <c r="CS797" i="49"/>
  <c r="CT511" i="49"/>
  <c r="CT507" i="49"/>
  <c r="N893" i="49"/>
  <c r="N891" i="49"/>
  <c r="S891" i="49"/>
  <c r="CP502" i="49"/>
  <c r="CF883" i="49"/>
  <c r="CE882" i="49"/>
  <c r="J812" i="49"/>
  <c r="CT781" i="49"/>
  <c r="CU495" i="49"/>
  <c r="CS767" i="49"/>
  <c r="CT481" i="49"/>
  <c r="O868" i="49"/>
  <c r="O758" i="49"/>
  <c r="CE866" i="49"/>
  <c r="CF867" i="49"/>
  <c r="CO536" i="49"/>
  <c r="CT462" i="49"/>
  <c r="CS748" i="49"/>
  <c r="AP872" i="49"/>
  <c r="AN537" i="51" s="1"/>
  <c r="AP902" i="49"/>
  <c r="AN20" i="51"/>
  <c r="AH872" i="49"/>
  <c r="AF537" i="51" s="1"/>
  <c r="AF20" i="51"/>
  <c r="AF25" i="51" s="1"/>
  <c r="CE860" i="49"/>
  <c r="CB705" i="49"/>
  <c r="CB706" i="49" s="1"/>
  <c r="CB704" i="49"/>
  <c r="CO963" i="49"/>
  <c r="AQ904" i="49"/>
  <c r="AQ896" i="49"/>
  <c r="CS633" i="49"/>
  <c r="CT633" i="49" s="1"/>
  <c r="CU633" i="49" s="1"/>
  <c r="CV633" i="49" s="1"/>
  <c r="CO633" i="49"/>
  <c r="CO700" i="49" s="1"/>
  <c r="BA877" i="49"/>
  <c r="BA875" i="49"/>
  <c r="BS705" i="49"/>
  <c r="BS706" i="49" s="1"/>
  <c r="BS704" i="49"/>
  <c r="AH564" i="49"/>
  <c r="AH565" i="49"/>
  <c r="AH566" i="49" s="1"/>
  <c r="AF163" i="51"/>
  <c r="AT820" i="49"/>
  <c r="CS806" i="49"/>
  <c r="CT520" i="49"/>
  <c r="CO802" i="49"/>
  <c r="CO792" i="49"/>
  <c r="CI946" i="49"/>
  <c r="CI884" i="49"/>
  <c r="CI893" i="49" s="1"/>
  <c r="CI788" i="49"/>
  <c r="CI526" i="49"/>
  <c r="CG442" i="51" s="1"/>
  <c r="CJ502" i="49"/>
  <c r="BO973" i="49"/>
  <c r="BP973" i="49" s="1"/>
  <c r="DO400" i="72" s="1"/>
  <c r="DO401" i="72" s="1"/>
  <c r="BP939" i="49"/>
  <c r="AQ812" i="49"/>
  <c r="CO881" i="49"/>
  <c r="CO882" i="49" s="1"/>
  <c r="CK863" i="49"/>
  <c r="CK864" i="49"/>
  <c r="CO770" i="49"/>
  <c r="BZ871" i="49"/>
  <c r="CA870" i="49"/>
  <c r="BZ869" i="49"/>
  <c r="BK869" i="49"/>
  <c r="BK871" i="49"/>
  <c r="W869" i="49"/>
  <c r="W871" i="49"/>
  <c r="W877" i="49" s="1"/>
  <c r="CS759" i="49"/>
  <c r="CT473" i="49"/>
  <c r="S869" i="49"/>
  <c r="N871" i="49"/>
  <c r="S872" i="49" s="1"/>
  <c r="Q537" i="51" s="1"/>
  <c r="N869" i="49"/>
  <c r="CS755" i="49"/>
  <c r="CT469" i="49"/>
  <c r="BF866" i="49"/>
  <c r="BG867" i="49"/>
  <c r="L865" i="49"/>
  <c r="Q866" i="49" s="1"/>
  <c r="CM750" i="49"/>
  <c r="CM778" i="49" s="1"/>
  <c r="CM533" i="49"/>
  <c r="CM492" i="49"/>
  <c r="CK353" i="51" s="1"/>
  <c r="BF778" i="49"/>
  <c r="AL778" i="49"/>
  <c r="R778" i="49"/>
  <c r="CP778" i="49"/>
  <c r="BX872" i="49"/>
  <c r="BV537" i="51" s="1"/>
  <c r="BV20" i="51"/>
  <c r="CF705" i="49"/>
  <c r="CF706" i="49" s="1"/>
  <c r="CF704" i="49"/>
  <c r="Y704" i="49"/>
  <c r="Y705" i="49"/>
  <c r="Y706" i="49" s="1"/>
  <c r="AL904" i="49"/>
  <c r="AL896" i="49"/>
  <c r="CS944" i="49"/>
  <c r="CT944" i="49" s="1"/>
  <c r="CU944" i="49" s="1"/>
  <c r="CV944" i="49" s="1"/>
  <c r="CO944" i="49"/>
  <c r="AB875" i="49"/>
  <c r="AB877" i="49"/>
  <c r="BW705" i="49"/>
  <c r="BW706" i="49" s="1"/>
  <c r="BW704" i="49"/>
  <c r="AO565" i="49"/>
  <c r="AO566" i="49" s="1"/>
  <c r="AO564" i="49"/>
  <c r="AM213" i="51"/>
  <c r="AM163" i="51"/>
  <c r="U565" i="49"/>
  <c r="U566" i="49" s="1"/>
  <c r="U564" i="49"/>
  <c r="S163" i="51"/>
  <c r="BQ816" i="49"/>
  <c r="BQ563" i="49"/>
  <c r="BO163" i="51"/>
  <c r="AW820" i="49"/>
  <c r="AW848" i="49" s="1"/>
  <c r="Q816" i="49"/>
  <c r="CS943" i="49"/>
  <c r="CT943" i="49" s="1"/>
  <c r="CU943" i="49" s="1"/>
  <c r="CV943" i="49" s="1"/>
  <c r="CO943" i="49"/>
  <c r="CJ863" i="49"/>
  <c r="BU713" i="49"/>
  <c r="BU743" i="49" s="1"/>
  <c r="BT743" i="49"/>
  <c r="BV705" i="49"/>
  <c r="BV706" i="49" s="1"/>
  <c r="BV704" i="49"/>
  <c r="X705" i="49"/>
  <c r="X706" i="49" s="1"/>
  <c r="CO966" i="49"/>
  <c r="CJ686" i="49"/>
  <c r="CK586" i="49"/>
  <c r="BK703" i="49"/>
  <c r="BK705" i="49" s="1"/>
  <c r="BK706" i="49" s="1"/>
  <c r="CP578" i="49"/>
  <c r="AN565" i="49"/>
  <c r="AN566" i="49" s="1"/>
  <c r="AN564" i="49"/>
  <c r="AB816" i="49"/>
  <c r="AB848" i="49" s="1"/>
  <c r="AB563" i="49"/>
  <c r="CO801" i="49"/>
  <c r="CU508" i="49"/>
  <c r="CT794" i="49"/>
  <c r="J760" i="49"/>
  <c r="J543" i="49"/>
  <c r="J829" i="49" s="1"/>
  <c r="J893" i="49"/>
  <c r="M887" i="49"/>
  <c r="CQ785" i="49"/>
  <c r="CS782" i="49"/>
  <c r="CT496" i="49"/>
  <c r="CJ492" i="49"/>
  <c r="BK778" i="49"/>
  <c r="BA860" i="49"/>
  <c r="CO738" i="49"/>
  <c r="CO557" i="49"/>
  <c r="CO842" i="49" s="1"/>
  <c r="CP452" i="49"/>
  <c r="CO731" i="49"/>
  <c r="CP445" i="49"/>
  <c r="CO550" i="49"/>
  <c r="CO835" i="49" s="1"/>
  <c r="CR442" i="49"/>
  <c r="CQ728" i="49"/>
  <c r="CQ546" i="49"/>
  <c r="CQ832" i="49" s="1"/>
  <c r="BF1038" i="49"/>
  <c r="CH829" i="49"/>
  <c r="CH1037" i="49" s="1"/>
  <c r="CI457" i="49"/>
  <c r="CD1035" i="49"/>
  <c r="AV457" i="49"/>
  <c r="AS20" i="51" s="1"/>
  <c r="AV530" i="49"/>
  <c r="BJ816" i="49"/>
  <c r="BJ563" i="49"/>
  <c r="BH163" i="51"/>
  <c r="AU743" i="49"/>
  <c r="AV713" i="49"/>
  <c r="AV743" i="49" s="1"/>
  <c r="J816" i="49"/>
  <c r="I276" i="49"/>
  <c r="R177" i="49"/>
  <c r="R247" i="49"/>
  <c r="R276" i="49" s="1"/>
  <c r="L105" i="49"/>
  <c r="L383" i="49" s="1"/>
  <c r="AR703" i="49"/>
  <c r="CO970" i="49"/>
  <c r="CO874" i="49"/>
  <c r="CO875" i="49" s="1"/>
  <c r="CO635" i="49"/>
  <c r="O635" i="49"/>
  <c r="CI741" i="49"/>
  <c r="CJ741" i="49" s="1"/>
  <c r="CJ599" i="49"/>
  <c r="CP699" i="49"/>
  <c r="CQ598" i="49"/>
  <c r="CN815" i="49"/>
  <c r="CT523" i="49"/>
  <c r="CS809" i="49"/>
  <c r="L748" i="49"/>
  <c r="M462" i="49"/>
  <c r="L531" i="49"/>
  <c r="L817" i="49" s="1"/>
  <c r="T882" i="49"/>
  <c r="O882" i="49"/>
  <c r="BP833" i="49"/>
  <c r="CE820" i="49"/>
  <c r="CE1035" i="49" s="1"/>
  <c r="CH828" i="49"/>
  <c r="CF163" i="51"/>
  <c r="CP722" i="49"/>
  <c r="BP824" i="49"/>
  <c r="BP1037" i="49" s="1"/>
  <c r="CE713" i="49"/>
  <c r="CE743" i="49" s="1"/>
  <c r="BS816" i="49"/>
  <c r="BS563" i="49"/>
  <c r="BQ163" i="51"/>
  <c r="AY816" i="49"/>
  <c r="AY848" i="49" s="1"/>
  <c r="AY563" i="49"/>
  <c r="AW163" i="51"/>
  <c r="M457" i="49"/>
  <c r="AW141" i="49"/>
  <c r="AW140" i="49"/>
  <c r="AA705" i="49"/>
  <c r="AA706" i="49" s="1"/>
  <c r="CU663" i="49"/>
  <c r="CS962" i="49"/>
  <c r="CT656" i="49"/>
  <c r="CT800" i="49" s="1"/>
  <c r="BO704" i="49"/>
  <c r="BO705" i="49"/>
  <c r="BO706" i="49" s="1"/>
  <c r="L874" i="49"/>
  <c r="L635" i="49"/>
  <c r="L672" i="49"/>
  <c r="L703" i="49" s="1"/>
  <c r="M605" i="49"/>
  <c r="CQ674" i="49"/>
  <c r="CQ818" i="49" s="1"/>
  <c r="CR574" i="49"/>
  <c r="CR715" i="49" s="1"/>
  <c r="BT816" i="49"/>
  <c r="BT563" i="49"/>
  <c r="BR163" i="51"/>
  <c r="AL821" i="49"/>
  <c r="AN848" i="49"/>
  <c r="CU522" i="49"/>
  <c r="CO804" i="49"/>
  <c r="AG822" i="49"/>
  <c r="AG848" i="49" s="1"/>
  <c r="AB888" i="49"/>
  <c r="BF812" i="49"/>
  <c r="BI883" i="49"/>
  <c r="BI882" i="49"/>
  <c r="BJ883" i="49"/>
  <c r="AV882" i="49"/>
  <c r="R812" i="49"/>
  <c r="CO769" i="49"/>
  <c r="J865" i="49"/>
  <c r="I492" i="49"/>
  <c r="CR443" i="49"/>
  <c r="CQ547" i="49"/>
  <c r="Q826" i="49"/>
  <c r="O163" i="51"/>
  <c r="BW816" i="49"/>
  <c r="BW563" i="49"/>
  <c r="BU163" i="51"/>
  <c r="BZ392" i="49"/>
  <c r="CJ275" i="49"/>
  <c r="CJ276" i="49" s="1"/>
  <c r="CI417" i="49"/>
  <c r="CJ417" i="49" s="1"/>
  <c r="CI276" i="49"/>
  <c r="K276" i="49"/>
  <c r="K277" i="49" s="1"/>
  <c r="AB139" i="49"/>
  <c r="N327" i="49"/>
  <c r="N396" i="49" s="1"/>
  <c r="N118" i="49"/>
  <c r="BZ38" i="49"/>
  <c r="BZ109" i="49"/>
  <c r="BZ284" i="49"/>
  <c r="CQ573" i="49"/>
  <c r="CQ714" i="49" s="1"/>
  <c r="CP673" i="49"/>
  <c r="AS703" i="49"/>
  <c r="CQ717" i="49"/>
  <c r="CR431" i="49"/>
  <c r="AN418" i="49"/>
  <c r="CE276" i="49"/>
  <c r="AN278" i="49"/>
  <c r="AN277" i="49"/>
  <c r="AR141" i="49"/>
  <c r="AR140" i="49"/>
  <c r="U141" i="49"/>
  <c r="U140" i="49"/>
  <c r="L399" i="49"/>
  <c r="N388" i="49"/>
  <c r="CF141" i="49"/>
  <c r="CF140" i="49"/>
  <c r="N163" i="51"/>
  <c r="CO736" i="49"/>
  <c r="BK824" i="49"/>
  <c r="BK1037" i="49" s="1"/>
  <c r="BR704" i="49"/>
  <c r="CT509" i="49"/>
  <c r="CP721" i="49"/>
  <c r="CQ435" i="49"/>
  <c r="CP538" i="49"/>
  <c r="CP824" i="49" s="1"/>
  <c r="BR1037" i="49"/>
  <c r="BV418" i="49"/>
  <c r="CA420" i="49" s="1"/>
  <c r="BA387" i="49"/>
  <c r="BA418" i="49" s="1"/>
  <c r="AD418" i="49"/>
  <c r="CE314" i="49"/>
  <c r="AB314" i="49"/>
  <c r="BB277" i="49"/>
  <c r="BB278" i="49"/>
  <c r="AD277" i="49"/>
  <c r="AD278" i="49"/>
  <c r="J277" i="49"/>
  <c r="AH141" i="49"/>
  <c r="M38" i="49"/>
  <c r="AZ565" i="49"/>
  <c r="AZ566" i="49" s="1"/>
  <c r="AX163" i="51"/>
  <c r="I399" i="49"/>
  <c r="I418" i="49" s="1"/>
  <c r="M189" i="49"/>
  <c r="M255" i="49" s="1"/>
  <c r="L255" i="49"/>
  <c r="L276" i="49" s="1"/>
  <c r="S314" i="49"/>
  <c r="S387" i="49"/>
  <c r="S418" i="49" s="1"/>
  <c r="BJ163" i="51"/>
  <c r="K526" i="49"/>
  <c r="CS941" i="49"/>
  <c r="CT941" i="49" s="1"/>
  <c r="CU941" i="49" s="1"/>
  <c r="CV941" i="49" s="1"/>
  <c r="CO941" i="49"/>
  <c r="CP732" i="49"/>
  <c r="CP551" i="49"/>
  <c r="CQ446" i="49"/>
  <c r="CE828" i="49"/>
  <c r="CS432" i="49"/>
  <c r="BB816" i="49"/>
  <c r="BB848" i="49" s="1"/>
  <c r="CQ531" i="49"/>
  <c r="CR428" i="49"/>
  <c r="AB400" i="49"/>
  <c r="BY392" i="49"/>
  <c r="BY418" i="49" s="1"/>
  <c r="BG278" i="49"/>
  <c r="CB278" i="49"/>
  <c r="CB277" i="49"/>
  <c r="BN277" i="49"/>
  <c r="BN278" i="49"/>
  <c r="BO277" i="49"/>
  <c r="AZ278" i="49"/>
  <c r="AZ277" i="49"/>
  <c r="AT140" i="49"/>
  <c r="AT141" i="49"/>
  <c r="BP38" i="49"/>
  <c r="CE139" i="49"/>
  <c r="CS790" i="49"/>
  <c r="CT504" i="49"/>
  <c r="AO277" i="49"/>
  <c r="AS140" i="49"/>
  <c r="I349" i="49"/>
  <c r="M318" i="49"/>
  <c r="BW140" i="49"/>
  <c r="AM141" i="49"/>
  <c r="AY141" i="49"/>
  <c r="BG141" i="49"/>
  <c r="BK349" i="49"/>
  <c r="BF398" i="49"/>
  <c r="BF418" i="49" s="1"/>
  <c r="DI401" i="72"/>
  <c r="BN902" i="49"/>
  <c r="BN903" i="49" s="1"/>
  <c r="BN894" i="49"/>
  <c r="BL542" i="51" s="1"/>
  <c r="BW906" i="49"/>
  <c r="BW907" i="49" s="1"/>
  <c r="BW900" i="49"/>
  <c r="BW899" i="49"/>
  <c r="AC898" i="49"/>
  <c r="AK902" i="49"/>
  <c r="AK903" i="49" s="1"/>
  <c r="AK894" i="49"/>
  <c r="AI542" i="51" s="1"/>
  <c r="AK898" i="49"/>
  <c r="AP899" i="49" s="1"/>
  <c r="AI20" i="51"/>
  <c r="AI25" i="51" s="1"/>
  <c r="CH902" i="49"/>
  <c r="CH903" i="49" s="1"/>
  <c r="CH894" i="49"/>
  <c r="CF542" i="51" s="1"/>
  <c r="CH898" i="49"/>
  <c r="BC906" i="49"/>
  <c r="BC907" i="49" s="1"/>
  <c r="BC899" i="49"/>
  <c r="CB902" i="49"/>
  <c r="CB903" i="49" s="1"/>
  <c r="CB894" i="49"/>
  <c r="BZ542" i="51" s="1"/>
  <c r="AS872" i="49"/>
  <c r="AQ537" i="51" s="1"/>
  <c r="AQ20" i="51"/>
  <c r="AQ25" i="51" s="1"/>
  <c r="AY872" i="49"/>
  <c r="AW537" i="51" s="1"/>
  <c r="AW20" i="51"/>
  <c r="BE894" i="49"/>
  <c r="BC542" i="51" s="1"/>
  <c r="BE902" i="49"/>
  <c r="BE903" i="49" s="1"/>
  <c r="BC20" i="51"/>
  <c r="BG878" i="49"/>
  <c r="CD872" i="49"/>
  <c r="CB537" i="51" s="1"/>
  <c r="CB20" i="51"/>
  <c r="BX906" i="49"/>
  <c r="BX907" i="49" s="1"/>
  <c r="BX899" i="49"/>
  <c r="BX900" i="49"/>
  <c r="AS877" i="49"/>
  <c r="AS878" i="49" s="1"/>
  <c r="BH878" i="49"/>
  <c r="BD872" i="49"/>
  <c r="BB537" i="51" s="1"/>
  <c r="AM903" i="49"/>
  <c r="CO972" i="49"/>
  <c r="BF875" i="49"/>
  <c r="CP592" i="49"/>
  <c r="S564" i="49"/>
  <c r="AM997" i="49"/>
  <c r="AM853" i="49"/>
  <c r="AM850" i="49"/>
  <c r="AM851" i="49" s="1"/>
  <c r="CJ891" i="49"/>
  <c r="CN893" i="49"/>
  <c r="CN891" i="49"/>
  <c r="CS762" i="49"/>
  <c r="CS545" i="49"/>
  <c r="CS831" i="49" s="1"/>
  <c r="CT474" i="49"/>
  <c r="BK866" i="49"/>
  <c r="BL867" i="49"/>
  <c r="CO534" i="49"/>
  <c r="CO751" i="49"/>
  <c r="CL564" i="49"/>
  <c r="CP510" i="49"/>
  <c r="CS783" i="49"/>
  <c r="CT497" i="49"/>
  <c r="CO774" i="49"/>
  <c r="CO763" i="49"/>
  <c r="CO546" i="49"/>
  <c r="CO832" i="49" s="1"/>
  <c r="BM878" i="49"/>
  <c r="BM704" i="49"/>
  <c r="BM705" i="49"/>
  <c r="BM706" i="49" s="1"/>
  <c r="CJ882" i="49"/>
  <c r="CK883" i="49"/>
  <c r="CQ680" i="49"/>
  <c r="CR580" i="49"/>
  <c r="AR848" i="49"/>
  <c r="J759" i="49"/>
  <c r="J542" i="49"/>
  <c r="J828" i="49" s="1"/>
  <c r="CQ448" i="49"/>
  <c r="BP457" i="49"/>
  <c r="BP530" i="49"/>
  <c r="BO743" i="49"/>
  <c r="BP713" i="49"/>
  <c r="BP743" i="49" s="1"/>
  <c r="AP563" i="49"/>
  <c r="AP816" i="49"/>
  <c r="AP848" i="49" s="1"/>
  <c r="AN163" i="51"/>
  <c r="AN164" i="51" s="1"/>
  <c r="CS874" i="49"/>
  <c r="CS635" i="49"/>
  <c r="CQ412" i="51" s="1"/>
  <c r="CT604" i="49"/>
  <c r="CT938" i="49" s="1"/>
  <c r="AJ565" i="49"/>
  <c r="AJ566" i="49" s="1"/>
  <c r="AJ564" i="49"/>
  <c r="BH1037" i="49"/>
  <c r="O859" i="49"/>
  <c r="O747" i="49"/>
  <c r="CS773" i="49"/>
  <c r="CT487" i="49"/>
  <c r="CE863" i="49"/>
  <c r="CF864" i="49"/>
  <c r="BI743" i="49"/>
  <c r="Z816" i="49"/>
  <c r="Z848" i="49" s="1"/>
  <c r="Z563" i="49"/>
  <c r="X163" i="51"/>
  <c r="BD705" i="49"/>
  <c r="BD706" i="49" s="1"/>
  <c r="BD704" i="49"/>
  <c r="CO969" i="49"/>
  <c r="CO953" i="49"/>
  <c r="CL877" i="49"/>
  <c r="CL878" i="49" s="1"/>
  <c r="CL876" i="49"/>
  <c r="CL875" i="49"/>
  <c r="CN846" i="49"/>
  <c r="CR791" i="49"/>
  <c r="CS505" i="49"/>
  <c r="CS791" i="49" s="1"/>
  <c r="CQ750" i="49"/>
  <c r="CR464" i="49"/>
  <c r="CQ492" i="49"/>
  <c r="M540" i="49"/>
  <c r="M826" i="49" s="1"/>
  <c r="BU563" i="49"/>
  <c r="CM418" i="49"/>
  <c r="AZ705" i="49"/>
  <c r="AZ706" i="49" s="1"/>
  <c r="AZ704" i="49"/>
  <c r="CS579" i="49"/>
  <c r="AX418" i="49"/>
  <c r="BC420" i="49" s="1"/>
  <c r="BH141" i="49"/>
  <c r="BH140" i="49"/>
  <c r="CE418" i="49"/>
  <c r="CO868" i="49"/>
  <c r="CO758" i="49"/>
  <c r="CI829" i="49"/>
  <c r="CI1037" i="49" s="1"/>
  <c r="CT460" i="49"/>
  <c r="CS746" i="49"/>
  <c r="BJ418" i="49"/>
  <c r="BK139" i="49"/>
  <c r="BK141" i="49" s="1"/>
  <c r="AQ891" i="49"/>
  <c r="AQ893" i="49"/>
  <c r="AQ898" i="49" s="1"/>
  <c r="P277" i="49"/>
  <c r="P278" i="49"/>
  <c r="BZ387" i="49"/>
  <c r="K812" i="49"/>
  <c r="CI720" i="49"/>
  <c r="CJ720" i="49" s="1"/>
  <c r="CI537" i="49"/>
  <c r="CI823" i="49" s="1"/>
  <c r="AC420" i="49"/>
  <c r="BY314" i="49"/>
  <c r="BE141" i="49"/>
  <c r="BE140" i="49"/>
  <c r="R139" i="49"/>
  <c r="W141" i="49" s="1"/>
  <c r="CT749" i="49"/>
  <c r="CT532" i="49"/>
  <c r="CU463" i="49"/>
  <c r="BJ406" i="51"/>
  <c r="DJ401" i="72"/>
  <c r="CN995" i="49"/>
  <c r="BU904" i="49"/>
  <c r="BD906" i="49"/>
  <c r="BD907" i="49" s="1"/>
  <c r="BD899" i="49"/>
  <c r="AR906" i="49"/>
  <c r="AR907" i="49" s="1"/>
  <c r="AR899" i="49"/>
  <c r="AJ906" i="49"/>
  <c r="AJ907" i="49" s="1"/>
  <c r="AJ899" i="49"/>
  <c r="X906" i="49"/>
  <c r="X907" i="49" s="1"/>
  <c r="X899" i="49"/>
  <c r="CF902" i="49"/>
  <c r="CF903" i="49" s="1"/>
  <c r="CF894" i="49"/>
  <c r="CD542" i="51" s="1"/>
  <c r="CD20" i="51"/>
  <c r="AX902" i="49"/>
  <c r="AX903" i="49" s="1"/>
  <c r="AX894" i="49"/>
  <c r="AV542" i="51" s="1"/>
  <c r="S906" i="49"/>
  <c r="CD905" i="49"/>
  <c r="AN902" i="49"/>
  <c r="AN903" i="49" s="1"/>
  <c r="AN894" i="49"/>
  <c r="AL542" i="51" s="1"/>
  <c r="AL20" i="51"/>
  <c r="BR902" i="49"/>
  <c r="BR894" i="49"/>
  <c r="BP542" i="51" s="1"/>
  <c r="AT905" i="49"/>
  <c r="AK905" i="49"/>
  <c r="BI902" i="49"/>
  <c r="BI903" i="49" s="1"/>
  <c r="BI894" i="49"/>
  <c r="BG542" i="51" s="1"/>
  <c r="BO894" i="49"/>
  <c r="BM542" i="51" s="1"/>
  <c r="BO902" i="49"/>
  <c r="CA878" i="49"/>
  <c r="BJ877" i="49"/>
  <c r="BB898" i="49"/>
  <c r="BG894" i="49"/>
  <c r="BE542" i="51" s="1"/>
  <c r="Z902" i="49"/>
  <c r="Z903" i="49" s="1"/>
  <c r="Z894" i="49"/>
  <c r="X542" i="51" s="1"/>
  <c r="CG905" i="49"/>
  <c r="AH878" i="49"/>
  <c r="AA905" i="49"/>
  <c r="BN905" i="49"/>
  <c r="AP894" i="49"/>
  <c r="AN542" i="51" s="1"/>
  <c r="CK872" i="49"/>
  <c r="CI20" i="51"/>
  <c r="CI36" i="51" s="1"/>
  <c r="CK892" i="49"/>
  <c r="AH905" i="49"/>
  <c r="BQ902" i="49"/>
  <c r="BQ903" i="49" s="1"/>
  <c r="BQ898" i="49"/>
  <c r="BR900" i="49" s="1"/>
  <c r="BQ894" i="49"/>
  <c r="BO542" i="51" s="1"/>
  <c r="Y903" i="49"/>
  <c r="AZ878" i="49"/>
  <c r="BQ905" i="49"/>
  <c r="AA877" i="49"/>
  <c r="AA878" i="49" s="1"/>
  <c r="BB872" i="49"/>
  <c r="AZ537" i="51" s="1"/>
  <c r="AZ20" i="51"/>
  <c r="CI871" i="49"/>
  <c r="BM872" i="49"/>
  <c r="BK537" i="51" s="1"/>
  <c r="BK20" i="51"/>
  <c r="BW905" i="49"/>
  <c r="BJ905" i="49"/>
  <c r="BW894" i="49"/>
  <c r="BU542" i="51" s="1"/>
  <c r="BW902" i="49"/>
  <c r="BW903" i="49" s="1"/>
  <c r="BU20" i="51"/>
  <c r="AF872" i="49"/>
  <c r="AD537" i="51" s="1"/>
  <c r="AK872" i="49"/>
  <c r="AI537" i="51" s="1"/>
  <c r="AD898" i="49"/>
  <c r="Y899" i="49"/>
  <c r="Y906" i="49"/>
  <c r="Y907" i="49" s="1"/>
  <c r="BM902" i="49"/>
  <c r="BM903" i="49" s="1"/>
  <c r="BM894" i="49"/>
  <c r="BK542" i="51" s="1"/>
  <c r="BM898" i="49"/>
  <c r="AO902" i="49"/>
  <c r="AO903" i="49" s="1"/>
  <c r="AO894" i="49"/>
  <c r="AM542" i="51" s="1"/>
  <c r="AP878" i="49"/>
  <c r="AC877" i="49"/>
  <c r="AC878" i="49" s="1"/>
  <c r="CA872" i="49"/>
  <c r="BY537" i="51" s="1"/>
  <c r="BY20" i="51"/>
  <c r="AT872" i="49"/>
  <c r="AR537" i="51" s="1"/>
  <c r="AR20" i="51"/>
  <c r="CB898" i="49"/>
  <c r="BG905" i="49"/>
  <c r="CA905" i="49"/>
  <c r="Q898" i="49"/>
  <c r="CC903" i="49"/>
  <c r="AR902" i="49"/>
  <c r="AR903" i="49" s="1"/>
  <c r="AR894" i="49"/>
  <c r="AP542" i="51" s="1"/>
  <c r="BG872" i="49"/>
  <c r="BE537" i="51" s="1"/>
  <c r="BE20" i="51"/>
  <c r="AY906" i="49"/>
  <c r="AY899" i="49"/>
  <c r="CH872" i="49"/>
  <c r="CF537" i="51" s="1"/>
  <c r="CF20" i="51"/>
  <c r="BS872" i="49"/>
  <c r="BQ537" i="51" s="1"/>
  <c r="AR872" i="49"/>
  <c r="AP537" i="51" s="1"/>
  <c r="AR877" i="49"/>
  <c r="AP20" i="51"/>
  <c r="AM894" i="49"/>
  <c r="AK542" i="51" s="1"/>
  <c r="S705" i="49"/>
  <c r="S706" i="49" s="1"/>
  <c r="S704" i="49"/>
  <c r="CT666" i="49"/>
  <c r="AB904" i="49"/>
  <c r="AB905" i="49" s="1"/>
  <c r="AB896" i="49"/>
  <c r="P904" i="49"/>
  <c r="P905" i="49" s="1"/>
  <c r="P898" i="49"/>
  <c r="P896" i="49"/>
  <c r="K904" i="49"/>
  <c r="CK877" i="49"/>
  <c r="M761" i="49"/>
  <c r="M686" i="49"/>
  <c r="CP696" i="49"/>
  <c r="CQ595" i="49"/>
  <c r="CJ684" i="49"/>
  <c r="CK584" i="49"/>
  <c r="Q743" i="49"/>
  <c r="CA565" i="49"/>
  <c r="CA566" i="49" s="1"/>
  <c r="BY163" i="51"/>
  <c r="AA564" i="49"/>
  <c r="AA565" i="49"/>
  <c r="AA566" i="49" s="1"/>
  <c r="Y163" i="51"/>
  <c r="Y164" i="51" s="1"/>
  <c r="CA1039" i="49"/>
  <c r="CA1043" i="49" s="1"/>
  <c r="CA1042" i="49"/>
  <c r="S826" i="49"/>
  <c r="Q163" i="51"/>
  <c r="V164" i="51" s="1"/>
  <c r="BG816" i="49"/>
  <c r="BG563" i="49"/>
  <c r="BL565" i="49" s="1"/>
  <c r="BL566" i="49" s="1"/>
  <c r="AA997" i="49"/>
  <c r="AA850" i="49"/>
  <c r="AA851" i="49" s="1"/>
  <c r="AA849" i="49"/>
  <c r="CS807" i="49"/>
  <c r="CT521" i="49"/>
  <c r="CP517" i="49"/>
  <c r="CP553" i="49" s="1"/>
  <c r="BF893" i="49"/>
  <c r="BF898" i="49" s="1"/>
  <c r="BG892" i="49"/>
  <c r="BF891" i="49"/>
  <c r="AQ888" i="49"/>
  <c r="CD889" i="49"/>
  <c r="CD888" i="49"/>
  <c r="CO767" i="49"/>
  <c r="BQ870" i="49"/>
  <c r="BP869" i="49"/>
  <c r="BP871" i="49"/>
  <c r="BF871" i="49"/>
  <c r="BG870" i="49"/>
  <c r="BF869" i="49"/>
  <c r="R871" i="49"/>
  <c r="R869" i="49"/>
  <c r="CQ756" i="49"/>
  <c r="CR470" i="49"/>
  <c r="CR539" i="49" s="1"/>
  <c r="CS751" i="49"/>
  <c r="CT465" i="49"/>
  <c r="BD878" i="49"/>
  <c r="AE878" i="49"/>
  <c r="BX705" i="49"/>
  <c r="BX706" i="49" s="1"/>
  <c r="BX704" i="49"/>
  <c r="CN972" i="49"/>
  <c r="W904" i="49"/>
  <c r="W905" i="49" s="1"/>
  <c r="W898" i="49"/>
  <c r="W896" i="49"/>
  <c r="AG875" i="49"/>
  <c r="CO692" i="49"/>
  <c r="CO837" i="49" s="1"/>
  <c r="AD564" i="49"/>
  <c r="AB163" i="51"/>
  <c r="AB164" i="51" s="1"/>
  <c r="AD565" i="49"/>
  <c r="AD566" i="49" s="1"/>
  <c r="BV816" i="49"/>
  <c r="BV563" i="49"/>
  <c r="BT163" i="51"/>
  <c r="BT164" i="51" s="1"/>
  <c r="CO806" i="49"/>
  <c r="BU893" i="49"/>
  <c r="BU891" i="49"/>
  <c r="BV892" i="49"/>
  <c r="BZ893" i="49"/>
  <c r="CA892" i="49"/>
  <c r="BZ891" i="49"/>
  <c r="R888" i="49"/>
  <c r="CS945" i="49"/>
  <c r="CT945" i="49" s="1"/>
  <c r="CU945" i="49" s="1"/>
  <c r="CV945" i="49" s="1"/>
  <c r="CO945" i="49"/>
  <c r="BT882" i="49"/>
  <c r="BO882" i="49"/>
  <c r="BO883" i="49"/>
  <c r="W812" i="49"/>
  <c r="CT488" i="49"/>
  <c r="CS774" i="49"/>
  <c r="CT480" i="49"/>
  <c r="CS766" i="49"/>
  <c r="CJ869" i="49"/>
  <c r="CK870" i="49"/>
  <c r="CJ871" i="49"/>
  <c r="CS763" i="49"/>
  <c r="CT477" i="49"/>
  <c r="CO759" i="49"/>
  <c r="CO865" i="49"/>
  <c r="CO866" i="49" s="1"/>
  <c r="CO755" i="49"/>
  <c r="CN862" i="49"/>
  <c r="CN863" i="49" s="1"/>
  <c r="CO739" i="49"/>
  <c r="CP453" i="49"/>
  <c r="CO558" i="49"/>
  <c r="CO843" i="49" s="1"/>
  <c r="AO704" i="49"/>
  <c r="AO705" i="49"/>
  <c r="AO706" i="49" s="1"/>
  <c r="CH412" i="51"/>
  <c r="N877" i="49"/>
  <c r="N875" i="49"/>
  <c r="AK565" i="49"/>
  <c r="AK566" i="49" s="1"/>
  <c r="AK564" i="49"/>
  <c r="AI213" i="51"/>
  <c r="AI163" i="51"/>
  <c r="Q563" i="49"/>
  <c r="BY1037" i="49"/>
  <c r="BU820" i="49"/>
  <c r="BU1035" i="49" s="1"/>
  <c r="CE891" i="49"/>
  <c r="AV891" i="49"/>
  <c r="AV893" i="49"/>
  <c r="AV898" i="49" s="1"/>
  <c r="AB891" i="49"/>
  <c r="AB893" i="49"/>
  <c r="BU888" i="49"/>
  <c r="N778" i="49"/>
  <c r="CT660" i="49"/>
  <c r="CQ593" i="49"/>
  <c r="CP694" i="49"/>
  <c r="W703" i="49"/>
  <c r="W705" i="49" s="1"/>
  <c r="W706" i="49" s="1"/>
  <c r="CO672" i="49"/>
  <c r="CP572" i="49"/>
  <c r="CG824" i="49"/>
  <c r="CG1037" i="49" s="1"/>
  <c r="CN817" i="49"/>
  <c r="BH816" i="49"/>
  <c r="BH563" i="49"/>
  <c r="CE526" i="49"/>
  <c r="CT515" i="49"/>
  <c r="CT881" i="49" s="1"/>
  <c r="CT882" i="49" s="1"/>
  <c r="CS801" i="49"/>
  <c r="O759" i="49"/>
  <c r="O542" i="49"/>
  <c r="O828" i="49" s="1"/>
  <c r="J868" i="49"/>
  <c r="J871" i="49" s="1"/>
  <c r="J877" i="49" s="1"/>
  <c r="J758" i="49"/>
  <c r="J541" i="49"/>
  <c r="J827" i="49" s="1"/>
  <c r="CJ887" i="49"/>
  <c r="CJ789" i="49"/>
  <c r="CJ537" i="49"/>
  <c r="CJ823" i="49" s="1"/>
  <c r="BZ882" i="49"/>
  <c r="CT757" i="49"/>
  <c r="CU471" i="49"/>
  <c r="CJ778" i="49"/>
  <c r="BK860" i="49"/>
  <c r="AQ778" i="49"/>
  <c r="AG860" i="49"/>
  <c r="CN842" i="49"/>
  <c r="CQ733" i="49"/>
  <c r="CR447" i="49"/>
  <c r="CQ552" i="49"/>
  <c r="AQ828" i="49"/>
  <c r="O541" i="49"/>
  <c r="O827" i="49" s="1"/>
  <c r="CO540" i="49"/>
  <c r="BZ530" i="49"/>
  <c r="CF816" i="49"/>
  <c r="CF563" i="49"/>
  <c r="CK565" i="49" s="1"/>
  <c r="CK566" i="49" s="1"/>
  <c r="BO816" i="49"/>
  <c r="BO563" i="49"/>
  <c r="BM163" i="51"/>
  <c r="BM164" i="51" s="1"/>
  <c r="BK713" i="49"/>
  <c r="BK743" i="49" s="1"/>
  <c r="BJ743" i="49"/>
  <c r="BA713" i="49"/>
  <c r="BA743" i="49" s="1"/>
  <c r="AZ743" i="49"/>
  <c r="N816" i="49"/>
  <c r="N848" i="49" s="1"/>
  <c r="N563" i="49"/>
  <c r="L163" i="51"/>
  <c r="J743" i="49"/>
  <c r="BL418" i="49"/>
  <c r="M105" i="49"/>
  <c r="M383" i="49" s="1"/>
  <c r="M353" i="49"/>
  <c r="AF705" i="49"/>
  <c r="AF706" i="49" s="1"/>
  <c r="AF704" i="49"/>
  <c r="CS970" i="49"/>
  <c r="CT664" i="49"/>
  <c r="AG904" i="49"/>
  <c r="AG905" i="49" s="1"/>
  <c r="AG896" i="49"/>
  <c r="AG898" i="49"/>
  <c r="CT754" i="49"/>
  <c r="CU612" i="49"/>
  <c r="CL412" i="51"/>
  <c r="CI685" i="49"/>
  <c r="CJ585" i="49"/>
  <c r="AL703" i="49"/>
  <c r="AP705" i="49"/>
  <c r="AP706" i="49" s="1"/>
  <c r="CI536" i="49"/>
  <c r="CI822" i="49" s="1"/>
  <c r="BD816" i="49"/>
  <c r="BD848" i="49" s="1"/>
  <c r="BD563" i="49"/>
  <c r="CO887" i="49"/>
  <c r="CO888" i="49" s="1"/>
  <c r="CO773" i="49"/>
  <c r="CK867" i="49"/>
  <c r="CJ866" i="49"/>
  <c r="AV866" i="49"/>
  <c r="BK863" i="49"/>
  <c r="BL864" i="49"/>
  <c r="W820" i="49"/>
  <c r="CI725" i="49"/>
  <c r="CJ725" i="49" s="1"/>
  <c r="CJ439" i="49"/>
  <c r="CJ542" i="49" s="1"/>
  <c r="CJ828" i="49" s="1"/>
  <c r="CI542" i="49"/>
  <c r="CI828" i="49" s="1"/>
  <c r="CD724" i="49"/>
  <c r="CE724" i="49" s="1"/>
  <c r="CE438" i="49"/>
  <c r="CD541" i="49"/>
  <c r="BX723" i="49"/>
  <c r="BX540" i="49"/>
  <c r="BX826" i="49" s="1"/>
  <c r="BX1037" i="49" s="1"/>
  <c r="CQ720" i="49"/>
  <c r="CR434" i="49"/>
  <c r="BX743" i="49"/>
  <c r="BS743" i="49"/>
  <c r="BI816" i="49"/>
  <c r="BI563" i="49"/>
  <c r="BG163" i="51"/>
  <c r="AY743" i="49"/>
  <c r="I816" i="49"/>
  <c r="I848" i="49" s="1"/>
  <c r="I997" i="49" s="1"/>
  <c r="I563" i="49"/>
  <c r="G163" i="51"/>
  <c r="M285" i="49"/>
  <c r="L314" i="49"/>
  <c r="AG139" i="49"/>
  <c r="AG141" i="49" s="1"/>
  <c r="CS969" i="49"/>
  <c r="O764" i="49"/>
  <c r="O688" i="49"/>
  <c r="O833" i="49" s="1"/>
  <c r="K686" i="49"/>
  <c r="K830" i="49" s="1"/>
  <c r="K761" i="49"/>
  <c r="BO897" i="49"/>
  <c r="BP895" i="49"/>
  <c r="BU896" i="49" s="1"/>
  <c r="BO904" i="49"/>
  <c r="BO905" i="49" s="1"/>
  <c r="BO896" i="49"/>
  <c r="BO898" i="49"/>
  <c r="BT899" i="49" s="1"/>
  <c r="BT896" i="49"/>
  <c r="L881" i="49"/>
  <c r="Q882" i="49" s="1"/>
  <c r="L782" i="49"/>
  <c r="L812" i="49" s="1"/>
  <c r="L461" i="49"/>
  <c r="M496" i="49"/>
  <c r="L526" i="49"/>
  <c r="L904" i="49"/>
  <c r="Q905" i="49" s="1"/>
  <c r="CQ677" i="49"/>
  <c r="CR577" i="49"/>
  <c r="T848" i="49"/>
  <c r="U849" i="49" s="1"/>
  <c r="CS808" i="49"/>
  <c r="CE884" i="49"/>
  <c r="CE893" i="49" s="1"/>
  <c r="BA822" i="49"/>
  <c r="AV888" i="49"/>
  <c r="BF882" i="49"/>
  <c r="BG883" i="49"/>
  <c r="BI973" i="49"/>
  <c r="AB812" i="49"/>
  <c r="CS769" i="49"/>
  <c r="CT483" i="49"/>
  <c r="CQ865" i="49"/>
  <c r="CQ871" i="49" s="1"/>
  <c r="I859" i="49"/>
  <c r="I871" i="49" s="1"/>
  <c r="CP741" i="49"/>
  <c r="CP560" i="49"/>
  <c r="CQ455" i="49"/>
  <c r="CP737" i="49"/>
  <c r="CP556" i="49"/>
  <c r="CP841" i="49" s="1"/>
  <c r="CQ451" i="49"/>
  <c r="CE816" i="49"/>
  <c r="BK816" i="49"/>
  <c r="BK563" i="49"/>
  <c r="AQ816" i="49"/>
  <c r="AQ848" i="49" s="1"/>
  <c r="AQ563" i="49"/>
  <c r="W816" i="49"/>
  <c r="W848" i="49" s="1"/>
  <c r="W563" i="49"/>
  <c r="W565" i="49" s="1"/>
  <c r="W566" i="49" s="1"/>
  <c r="BW743" i="49"/>
  <c r="BM816" i="49"/>
  <c r="BM563" i="49"/>
  <c r="BK163" i="51"/>
  <c r="AX563" i="49"/>
  <c r="AX816" i="49"/>
  <c r="AX848" i="49" s="1"/>
  <c r="R457" i="49"/>
  <c r="CH139" i="49"/>
  <c r="CM141" i="49" s="1"/>
  <c r="BH705" i="49"/>
  <c r="BH706" i="49" s="1"/>
  <c r="BH704" i="49"/>
  <c r="CP698" i="49"/>
  <c r="CQ597" i="49"/>
  <c r="AH163" i="51"/>
  <c r="CS512" i="49"/>
  <c r="P869" i="49"/>
  <c r="AG871" i="49"/>
  <c r="AG872" i="49" s="1"/>
  <c r="AE537" i="51" s="1"/>
  <c r="AG869" i="49"/>
  <c r="CJ555" i="49"/>
  <c r="BB418" i="49"/>
  <c r="Z418" i="49"/>
  <c r="BV277" i="49"/>
  <c r="BV278" i="49"/>
  <c r="AX277" i="49"/>
  <c r="AX278" i="49"/>
  <c r="AJ277" i="49"/>
  <c r="AJ278" i="49"/>
  <c r="CK278" i="49"/>
  <c r="BZ251" i="49"/>
  <c r="BZ276" i="49" s="1"/>
  <c r="BZ177" i="49"/>
  <c r="BP278" i="49"/>
  <c r="CD140" i="49"/>
  <c r="CD141" i="49"/>
  <c r="AN141" i="49"/>
  <c r="AN140" i="49"/>
  <c r="M398" i="49"/>
  <c r="R349" i="49"/>
  <c r="BN140" i="49"/>
  <c r="BN141" i="49"/>
  <c r="CN869" i="49"/>
  <c r="M247" i="49"/>
  <c r="BR705" i="49"/>
  <c r="BR706" i="49" s="1"/>
  <c r="CS752" i="49"/>
  <c r="CT610" i="49"/>
  <c r="BK875" i="49"/>
  <c r="AQ877" i="49"/>
  <c r="AQ875" i="49"/>
  <c r="CG563" i="49"/>
  <c r="CM888" i="49"/>
  <c r="CM889" i="49"/>
  <c r="CO746" i="49"/>
  <c r="CR437" i="49"/>
  <c r="CQ540" i="49"/>
  <c r="CO538" i="49"/>
  <c r="CO824" i="49" s="1"/>
  <c r="AV400" i="49"/>
  <c r="AV418" i="49" s="1"/>
  <c r="BR418" i="49"/>
  <c r="AA277" i="49"/>
  <c r="AE278" i="49"/>
  <c r="BT278" i="49"/>
  <c r="BT277" i="49"/>
  <c r="AW277" i="49"/>
  <c r="Y277" i="49"/>
  <c r="N335" i="49"/>
  <c r="N404" i="49" s="1"/>
  <c r="N262" i="49"/>
  <c r="N276" i="49" s="1"/>
  <c r="J42" i="49"/>
  <c r="J353" i="49"/>
  <c r="J105" i="49"/>
  <c r="J383" i="49" s="1"/>
  <c r="CC139" i="49"/>
  <c r="BP387" i="49"/>
  <c r="M297" i="49"/>
  <c r="M121" i="49"/>
  <c r="M109" i="49"/>
  <c r="BZ118" i="49"/>
  <c r="BZ293" i="49"/>
  <c r="BZ396" i="49" s="1"/>
  <c r="CO818" i="49"/>
  <c r="AZ848" i="49"/>
  <c r="M261" i="49"/>
  <c r="BU139" i="49"/>
  <c r="CT764" i="49"/>
  <c r="CU621" i="49"/>
  <c r="BJ213" i="51"/>
  <c r="X565" i="49"/>
  <c r="X566" i="49" s="1"/>
  <c r="X564" i="49"/>
  <c r="CO884" i="49"/>
  <c r="CP500" i="49"/>
  <c r="K859" i="49"/>
  <c r="P860" i="49" s="1"/>
  <c r="K747" i="49"/>
  <c r="K492" i="49"/>
  <c r="CQ881" i="49"/>
  <c r="CO551" i="49"/>
  <c r="CO836" i="49" s="1"/>
  <c r="AU163" i="51"/>
  <c r="CP817" i="49"/>
  <c r="BD418" i="49"/>
  <c r="AG387" i="49"/>
  <c r="AG418" i="49" s="1"/>
  <c r="AP278" i="49"/>
  <c r="AP277" i="49"/>
  <c r="AC278" i="49"/>
  <c r="BJ141" i="49"/>
  <c r="BJ140" i="49"/>
  <c r="AP141" i="49"/>
  <c r="AP140" i="49"/>
  <c r="K387" i="49"/>
  <c r="K418" i="49" s="1"/>
  <c r="M392" i="49"/>
  <c r="R38" i="49"/>
  <c r="CU638" i="49"/>
  <c r="M830" i="49"/>
  <c r="L868" i="49"/>
  <c r="AQ388" i="49"/>
  <c r="AQ418" i="49" s="1"/>
  <c r="AQ420" i="49" s="1"/>
  <c r="AO278" i="49"/>
  <c r="AS141" i="49"/>
  <c r="BU349" i="49"/>
  <c r="BU387" i="49"/>
  <c r="BU418" i="49" s="1"/>
  <c r="AU140" i="49"/>
  <c r="CM276" i="49"/>
  <c r="AY140" i="49"/>
  <c r="AR565" i="49"/>
  <c r="AR566" i="49" s="1"/>
  <c r="AI141" i="49"/>
  <c r="BC141" i="49"/>
  <c r="BS141" i="49"/>
  <c r="BS63" i="51"/>
  <c r="BS66" i="51"/>
  <c r="AP416" i="51"/>
  <c r="AL416" i="51"/>
  <c r="BF416" i="51"/>
  <c r="CC422" i="51"/>
  <c r="BB21" i="51"/>
  <c r="AI415" i="51"/>
  <c r="AI416" i="51" s="1"/>
  <c r="BN244" i="51"/>
  <c r="CN395" i="51"/>
  <c r="CN357" i="51"/>
  <c r="CN354" i="51"/>
  <c r="BD229" i="51"/>
  <c r="BY494" i="51"/>
  <c r="CC341" i="51"/>
  <c r="CE487" i="51"/>
  <c r="BW487" i="51"/>
  <c r="BZ487" i="51"/>
  <c r="BX415" i="51"/>
  <c r="BG406" i="51"/>
  <c r="CE415" i="51"/>
  <c r="AV408" i="51"/>
  <c r="AM405" i="51"/>
  <c r="AL409" i="51"/>
  <c r="AL21" i="51"/>
  <c r="AX415" i="51"/>
  <c r="BW416" i="51"/>
  <c r="BE409" i="51"/>
  <c r="BE410" i="51" s="1"/>
  <c r="BS241" i="51"/>
  <c r="BS53" i="51" s="1"/>
  <c r="BN226" i="51"/>
  <c r="BS223" i="51"/>
  <c r="AY244" i="51"/>
  <c r="BD244" i="51"/>
  <c r="BN235" i="51"/>
  <c r="AY235" i="51"/>
  <c r="CC223" i="51"/>
  <c r="BI247" i="51"/>
  <c r="BU494" i="51"/>
  <c r="BY491" i="51"/>
  <c r="CC338" i="51"/>
  <c r="BQ338" i="51"/>
  <c r="CC426" i="51"/>
  <c r="BQ426" i="51"/>
  <c r="BU489" i="51"/>
  <c r="CA487" i="51"/>
  <c r="CE442" i="51"/>
  <c r="CE460" i="51" s="1"/>
  <c r="BO442" i="51"/>
  <c r="BO460" i="51" s="1"/>
  <c r="CF345" i="51"/>
  <c r="CF430" i="51"/>
  <c r="BX430" i="51"/>
  <c r="CF427" i="51"/>
  <c r="BX427" i="51"/>
  <c r="CF425" i="51"/>
  <c r="BX425" i="51"/>
  <c r="CD487" i="51"/>
  <c r="BV487" i="51"/>
  <c r="BZ442" i="51"/>
  <c r="BZ460" i="51" s="1"/>
  <c r="BR487" i="51"/>
  <c r="BR442" i="51"/>
  <c r="BR465" i="51" s="1"/>
  <c r="BZ494" i="51"/>
  <c r="BR494" i="51"/>
  <c r="CD491" i="51"/>
  <c r="BV491" i="51"/>
  <c r="BZ489" i="51"/>
  <c r="BR489" i="51"/>
  <c r="CF334" i="51"/>
  <c r="CF422" i="51"/>
  <c r="BP487" i="51"/>
  <c r="BT486" i="51"/>
  <c r="BX333" i="51"/>
  <c r="BT353" i="51"/>
  <c r="BT378" i="51" s="1"/>
  <c r="CF438" i="51"/>
  <c r="CF433" i="51"/>
  <c r="CF351" i="51"/>
  <c r="BW492" i="51"/>
  <c r="BS428" i="51"/>
  <c r="K72" i="51"/>
  <c r="BY334" i="51"/>
  <c r="CH4" i="51"/>
  <c r="BO494" i="51"/>
  <c r="BS341" i="51"/>
  <c r="CA492" i="51"/>
  <c r="CE491" i="51"/>
  <c r="AE82" i="51"/>
  <c r="BO489" i="51"/>
  <c r="BS336" i="51"/>
  <c r="CA488" i="51"/>
  <c r="BQ334" i="51"/>
  <c r="BS334" i="51" s="1"/>
  <c r="BQ422" i="51"/>
  <c r="CG506" i="51"/>
  <c r="CG395" i="51"/>
  <c r="CG357" i="51"/>
  <c r="BO491" i="51"/>
  <c r="BO380" i="51"/>
  <c r="BS338" i="51"/>
  <c r="CE489" i="51"/>
  <c r="AE76" i="51"/>
  <c r="K87" i="51"/>
  <c r="BC415" i="51"/>
  <c r="BD415" i="51"/>
  <c r="BD416" i="51" s="1"/>
  <c r="AW21" i="51"/>
  <c r="AG409" i="51"/>
  <c r="AH405" i="51"/>
  <c r="AG21" i="51"/>
  <c r="CD415" i="51"/>
  <c r="BK408" i="51"/>
  <c r="BJ24" i="51"/>
  <c r="AM22" i="51"/>
  <c r="BB406" i="51"/>
  <c r="BA22" i="51"/>
  <c r="AZ410" i="51"/>
  <c r="AU409" i="51"/>
  <c r="AU410" i="51" s="1"/>
  <c r="AU24" i="51"/>
  <c r="AM24" i="51"/>
  <c r="AY223" i="51"/>
  <c r="BD241" i="51"/>
  <c r="BD53" i="51" s="1"/>
  <c r="CR237" i="51"/>
  <c r="CL480" i="51"/>
  <c r="CL444" i="51"/>
  <c r="BS244" i="51"/>
  <c r="BX244" i="51"/>
  <c r="BI241" i="51"/>
  <c r="BI53" i="51" s="1"/>
  <c r="CR225" i="51"/>
  <c r="BD223" i="51"/>
  <c r="CS113" i="51"/>
  <c r="CR114" i="51"/>
  <c r="BY492" i="51"/>
  <c r="CC339" i="51"/>
  <c r="BQ492" i="51"/>
  <c r="CC427" i="51"/>
  <c r="BU490" i="51"/>
  <c r="BY488" i="51"/>
  <c r="CC335" i="51"/>
  <c r="BQ488" i="51"/>
  <c r="CA486" i="51"/>
  <c r="CA353" i="51"/>
  <c r="BX238" i="51"/>
  <c r="CB494" i="51"/>
  <c r="BP494" i="51"/>
  <c r="BT492" i="51"/>
  <c r="BX339" i="51"/>
  <c r="CB491" i="51"/>
  <c r="BP491" i="51"/>
  <c r="CF490" i="51"/>
  <c r="BT490" i="51"/>
  <c r="BT379" i="51"/>
  <c r="BX337" i="51"/>
  <c r="CB489" i="51"/>
  <c r="BP489" i="51"/>
  <c r="BT488" i="51"/>
  <c r="BX335" i="51"/>
  <c r="CD486" i="51"/>
  <c r="CD353" i="51"/>
  <c r="CD380" i="51" s="1"/>
  <c r="BV486" i="51"/>
  <c r="BV353" i="51"/>
  <c r="BV380" i="51" s="1"/>
  <c r="CO353" i="51"/>
  <c r="BZ492" i="51"/>
  <c r="BR492" i="51"/>
  <c r="CD490" i="51"/>
  <c r="BV490" i="51"/>
  <c r="BZ488" i="51"/>
  <c r="BR488" i="51"/>
  <c r="CB486" i="51"/>
  <c r="CB353" i="51"/>
  <c r="CB375" i="51" s="1"/>
  <c r="BT442" i="51"/>
  <c r="BT460" i="51" s="1"/>
  <c r="BS72" i="51"/>
  <c r="CF429" i="51"/>
  <c r="CF443" i="51"/>
  <c r="CF445" i="51" s="1"/>
  <c r="CF369" i="51"/>
  <c r="CF370" i="51" s="1"/>
  <c r="CF357" i="51"/>
  <c r="CE445" i="51"/>
  <c r="R4" i="51"/>
  <c r="S3" i="51"/>
  <c r="CH357" i="51"/>
  <c r="CD445" i="51"/>
  <c r="BW494" i="51"/>
  <c r="BW489" i="51"/>
  <c r="BQ423" i="51"/>
  <c r="BS423" i="51" s="1"/>
  <c r="AK32" i="51"/>
  <c r="AK28" i="51"/>
  <c r="CB493" i="51"/>
  <c r="BY486" i="51"/>
  <c r="CC333" i="51"/>
  <c r="CG370" i="51"/>
  <c r="BD235" i="51"/>
  <c r="BW491" i="51"/>
  <c r="CJ506" i="51"/>
  <c r="CJ395" i="51"/>
  <c r="CJ357" i="51"/>
  <c r="CJ358" i="51" s="1"/>
  <c r="K84" i="51"/>
  <c r="AE85" i="51"/>
  <c r="AE64" i="51"/>
  <c r="CD489" i="51"/>
  <c r="CD378" i="51"/>
  <c r="BV489" i="51"/>
  <c r="BV378" i="51"/>
  <c r="CB487" i="51"/>
  <c r="CB376" i="51"/>
  <c r="CB442" i="51"/>
  <c r="CB466" i="51" s="1"/>
  <c r="BT487" i="51"/>
  <c r="BT376" i="51"/>
  <c r="BP486" i="51"/>
  <c r="BP353" i="51"/>
  <c r="N4" i="51"/>
  <c r="O4" i="51"/>
  <c r="CF440" i="51"/>
  <c r="K75" i="51"/>
  <c r="K76" i="51" s="1"/>
  <c r="BS84" i="51"/>
  <c r="CE490" i="51"/>
  <c r="AE79" i="51"/>
  <c r="BO488" i="51"/>
  <c r="BS335" i="51"/>
  <c r="AK31" i="51"/>
  <c r="CE493" i="51"/>
  <c r="CA493" i="51"/>
  <c r="CD493" i="51"/>
  <c r="CD382" i="51"/>
  <c r="BU422" i="51"/>
  <c r="BX422" i="51" s="1"/>
  <c r="BO490" i="51"/>
  <c r="CG480" i="51"/>
  <c r="CG443" i="51"/>
  <c r="CG445" i="51" s="1"/>
  <c r="CE494" i="51"/>
  <c r="AE88" i="51"/>
  <c r="BU334" i="51"/>
  <c r="CJ480" i="51"/>
  <c r="CJ445" i="51"/>
  <c r="K63" i="51"/>
  <c r="K64" i="51" s="1"/>
  <c r="CA489" i="51"/>
  <c r="AQ32" i="51"/>
  <c r="BX4" i="51"/>
  <c r="AM23" i="51"/>
  <c r="BN415" i="51"/>
  <c r="BJ416" i="51"/>
  <c r="CC428" i="51"/>
  <c r="BU491" i="51"/>
  <c r="BY489" i="51"/>
  <c r="CC336" i="51"/>
  <c r="CC424" i="51"/>
  <c r="CA442" i="51"/>
  <c r="CA462" i="51" s="1"/>
  <c r="BI223" i="51"/>
  <c r="BX426" i="51"/>
  <c r="CD442" i="51"/>
  <c r="CD468" i="51" s="1"/>
  <c r="BV442" i="51"/>
  <c r="BV464" i="51" s="1"/>
  <c r="CK442" i="51"/>
  <c r="CD494" i="51"/>
  <c r="CD383" i="51"/>
  <c r="BV494" i="51"/>
  <c r="BV383" i="51"/>
  <c r="BZ491" i="51"/>
  <c r="BR491" i="51"/>
  <c r="BG21" i="51"/>
  <c r="BZ415" i="51"/>
  <c r="AY415" i="51"/>
  <c r="AY416" i="51" s="1"/>
  <c r="AQ410" i="51"/>
  <c r="BK406" i="51"/>
  <c r="BJ22" i="51"/>
  <c r="BA409" i="51"/>
  <c r="AK410" i="51"/>
  <c r="BX416" i="51"/>
  <c r="BW415" i="51"/>
  <c r="BJ407" i="51"/>
  <c r="BJ405" i="51"/>
  <c r="BF407" i="51"/>
  <c r="CR222" i="51"/>
  <c r="CH241" i="51"/>
  <c r="BN238" i="51"/>
  <c r="AY247" i="51"/>
  <c r="CH238" i="51"/>
  <c r="CR234" i="51"/>
  <c r="BX241" i="51"/>
  <c r="BX53" i="51" s="1"/>
  <c r="BX235" i="51"/>
  <c r="CF436" i="51"/>
  <c r="CC430" i="51"/>
  <c r="BQ430" i="51"/>
  <c r="BY490" i="51"/>
  <c r="CC337" i="51"/>
  <c r="BQ337" i="51"/>
  <c r="CC425" i="51"/>
  <c r="BQ425" i="51"/>
  <c r="BQ489" i="51" s="1"/>
  <c r="BU488" i="51"/>
  <c r="CE486" i="51"/>
  <c r="CE353" i="51"/>
  <c r="CE380" i="51" s="1"/>
  <c r="BW486" i="51"/>
  <c r="BW353" i="51"/>
  <c r="BW375" i="51" s="1"/>
  <c r="BO487" i="51"/>
  <c r="BO486" i="51"/>
  <c r="BO375" i="51"/>
  <c r="BO353" i="51"/>
  <c r="CF432" i="51"/>
  <c r="CF341" i="51"/>
  <c r="BT494" i="51"/>
  <c r="BX341" i="51"/>
  <c r="CB492" i="51"/>
  <c r="BP492" i="51"/>
  <c r="CF338" i="51"/>
  <c r="BT491" i="51"/>
  <c r="BX338" i="51"/>
  <c r="CB490" i="51"/>
  <c r="CB379" i="51"/>
  <c r="BP490" i="51"/>
  <c r="CF336" i="51"/>
  <c r="BT489" i="51"/>
  <c r="BX336" i="51"/>
  <c r="CB488" i="51"/>
  <c r="BP488" i="51"/>
  <c r="BZ486" i="51"/>
  <c r="BZ353" i="51"/>
  <c r="BZ380" i="51" s="1"/>
  <c r="BR486" i="51"/>
  <c r="BR353" i="51"/>
  <c r="BR381" i="51" s="1"/>
  <c r="BE25" i="51"/>
  <c r="BE32" i="51" s="1"/>
  <c r="BY340" i="51"/>
  <c r="BY353" i="51" s="1"/>
  <c r="AY238" i="51"/>
  <c r="CF435" i="51"/>
  <c r="CD492" i="51"/>
  <c r="CD381" i="51"/>
  <c r="BV492" i="51"/>
  <c r="BV381" i="51"/>
  <c r="BZ490" i="51"/>
  <c r="BZ379" i="51"/>
  <c r="BR490" i="51"/>
  <c r="BR379" i="51"/>
  <c r="CD488" i="51"/>
  <c r="CD377" i="51"/>
  <c r="BV488" i="51"/>
  <c r="BV377" i="51"/>
  <c r="CF333" i="51"/>
  <c r="BP442" i="51"/>
  <c r="BP466" i="51" s="1"/>
  <c r="CF349" i="51"/>
  <c r="CF344" i="51"/>
  <c r="CF439" i="51"/>
  <c r="BO492" i="51"/>
  <c r="BO381" i="51"/>
  <c r="BS339" i="51"/>
  <c r="CA491" i="51"/>
  <c r="CA380" i="51"/>
  <c r="BW377" i="51"/>
  <c r="BS424" i="51"/>
  <c r="CI395" i="51"/>
  <c r="CI354" i="51"/>
  <c r="CI357" i="51"/>
  <c r="CI358" i="51" s="1"/>
  <c r="CE370" i="51"/>
  <c r="CC429" i="51"/>
  <c r="CA494" i="51"/>
  <c r="CA383" i="51"/>
  <c r="BW490" i="51"/>
  <c r="BW379" i="51"/>
  <c r="CD370" i="51"/>
  <c r="BS87" i="51"/>
  <c r="BS75" i="51"/>
  <c r="BQ333" i="51"/>
  <c r="CE488" i="51"/>
  <c r="CE377" i="51"/>
  <c r="BS81" i="51"/>
  <c r="CA490" i="51"/>
  <c r="CA379" i="51"/>
  <c r="BU423" i="51"/>
  <c r="BX423" i="51" s="1"/>
  <c r="AQ28" i="51"/>
  <c r="AI28" i="51"/>
  <c r="CE492" i="51"/>
  <c r="AK30" i="51"/>
  <c r="BS78" i="51"/>
  <c r="CC140" i="51"/>
  <c r="CC141" i="51" s="1"/>
  <c r="F26" i="87"/>
  <c r="BY265" i="72"/>
  <c r="BY267" i="72" s="1"/>
  <c r="CK316" i="72"/>
  <c r="CJ320" i="72"/>
  <c r="CJ325" i="72" s="1"/>
  <c r="BY275" i="72"/>
  <c r="CH335" i="72"/>
  <c r="FS558" i="72"/>
  <c r="FT558" i="72" s="1"/>
  <c r="FS559" i="72"/>
  <c r="FT559" i="72" s="1"/>
  <c r="FS564" i="72"/>
  <c r="FS561" i="72"/>
  <c r="EZ516" i="72"/>
  <c r="FA509" i="72"/>
  <c r="FA516" i="72" s="1"/>
  <c r="FS557" i="72"/>
  <c r="CI335" i="72"/>
  <c r="CH323" i="72"/>
  <c r="FS563" i="72"/>
  <c r="FF537" i="72"/>
  <c r="FF539" i="72" s="1"/>
  <c r="FF541" i="72" s="1"/>
  <c r="FI546" i="72" s="1"/>
  <c r="CI323" i="72"/>
  <c r="GM616" i="72"/>
  <c r="EY507" i="72"/>
  <c r="EZ507" i="72" s="1"/>
  <c r="FA507" i="72" s="1"/>
  <c r="EZ508" i="72"/>
  <c r="FA508" i="72" s="1"/>
  <c r="FS562" i="72"/>
  <c r="BY245" i="72"/>
  <c r="BY291" i="72" s="1"/>
  <c r="BY292" i="72" s="1"/>
  <c r="BY244" i="72"/>
  <c r="BU492" i="51" l="1"/>
  <c r="BW442" i="51"/>
  <c r="BW460" i="51" s="1"/>
  <c r="BY442" i="51"/>
  <c r="CC423" i="51"/>
  <c r="BW488" i="51"/>
  <c r="BW506" i="51" s="1"/>
  <c r="BW514" i="51" s="1"/>
  <c r="BX424" i="51"/>
  <c r="CD379" i="51"/>
  <c r="BZ375" i="51"/>
  <c r="BV379" i="51"/>
  <c r="BV375" i="51"/>
  <c r="BV376" i="51"/>
  <c r="J778" i="49"/>
  <c r="CO844" i="49"/>
  <c r="CS972" i="49"/>
  <c r="BR464" i="51"/>
  <c r="BR468" i="51"/>
  <c r="BO462" i="51"/>
  <c r="BO466" i="51"/>
  <c r="CA378" i="51"/>
  <c r="CA377" i="51"/>
  <c r="CA375" i="51"/>
  <c r="CA382" i="51"/>
  <c r="BW381" i="51"/>
  <c r="BW378" i="51"/>
  <c r="CC4" i="51"/>
  <c r="CC125" i="51"/>
  <c r="CB382" i="51"/>
  <c r="BW376" i="51"/>
  <c r="CD375" i="51"/>
  <c r="BV468" i="51"/>
  <c r="BR466" i="51"/>
  <c r="BR462" i="51"/>
  <c r="BR463" i="51"/>
  <c r="BR461" i="51"/>
  <c r="BR460" i="51"/>
  <c r="BZ468" i="51"/>
  <c r="CD463" i="51"/>
  <c r="CB463" i="51"/>
  <c r="BO465" i="51"/>
  <c r="BO463" i="51"/>
  <c r="BO468" i="51"/>
  <c r="BT461" i="51"/>
  <c r="BT462" i="51"/>
  <c r="BO464" i="51"/>
  <c r="BT464" i="51"/>
  <c r="DP401" i="72"/>
  <c r="CB461" i="51"/>
  <c r="BZ462" i="51"/>
  <c r="BZ463" i="51"/>
  <c r="BZ461" i="51"/>
  <c r="CG444" i="51"/>
  <c r="BZ465" i="51"/>
  <c r="BZ466" i="51"/>
  <c r="CB467" i="51"/>
  <c r="CE465" i="51"/>
  <c r="CE464" i="51"/>
  <c r="BV463" i="51"/>
  <c r="CE461" i="51"/>
  <c r="CJ444" i="51"/>
  <c r="CE466" i="51"/>
  <c r="BZ464" i="51"/>
  <c r="BP460" i="51"/>
  <c r="BV460" i="51"/>
  <c r="CE462" i="51"/>
  <c r="CE468" i="51"/>
  <c r="CE463" i="51"/>
  <c r="CE467" i="51"/>
  <c r="BV461" i="51"/>
  <c r="BV462" i="51"/>
  <c r="CB462" i="51"/>
  <c r="BV466" i="51"/>
  <c r="CB464" i="51"/>
  <c r="BP463" i="51"/>
  <c r="BP468" i="51"/>
  <c r="L39" i="30"/>
  <c r="K39" i="30"/>
  <c r="K39" i="48"/>
  <c r="F39" i="48"/>
  <c r="G39" i="48"/>
  <c r="L39" i="48"/>
  <c r="BI410" i="51"/>
  <c r="D37" i="73"/>
  <c r="G30" i="73"/>
  <c r="D32" i="73"/>
  <c r="C37" i="73"/>
  <c r="K30" i="73"/>
  <c r="C32" i="73"/>
  <c r="L30" i="73"/>
  <c r="I31" i="81"/>
  <c r="BF899" i="49"/>
  <c r="CE894" i="49"/>
  <c r="CC542" i="51" s="1"/>
  <c r="CE902" i="49"/>
  <c r="L277" i="49"/>
  <c r="Q278" i="49"/>
  <c r="CJ278" i="49"/>
  <c r="CK277" i="49"/>
  <c r="AW997" i="49"/>
  <c r="AW850" i="49"/>
  <c r="AW851" i="49" s="1"/>
  <c r="AW853" i="49"/>
  <c r="CI902" i="49"/>
  <c r="CI903" i="49" s="1"/>
  <c r="CI894" i="49"/>
  <c r="CP872" i="49"/>
  <c r="CP877" i="49"/>
  <c r="CP878" i="49" s="1"/>
  <c r="CQ872" i="49"/>
  <c r="CQ877" i="49"/>
  <c r="CQ878" i="49" s="1"/>
  <c r="AG997" i="49"/>
  <c r="AG850" i="49"/>
  <c r="AG851" i="49" s="1"/>
  <c r="AG853" i="49"/>
  <c r="AH849" i="49"/>
  <c r="AQ906" i="49"/>
  <c r="W420" i="49"/>
  <c r="K898" i="49"/>
  <c r="BF420" i="49"/>
  <c r="BG419" i="49"/>
  <c r="AV420" i="49"/>
  <c r="AW419" i="49"/>
  <c r="I902" i="49"/>
  <c r="I877" i="49"/>
  <c r="I906" i="49" s="1"/>
  <c r="AV899" i="49"/>
  <c r="AS25" i="51"/>
  <c r="AS28" i="51" s="1"/>
  <c r="AX25" i="51"/>
  <c r="O894" i="49"/>
  <c r="M542" i="51" s="1"/>
  <c r="O898" i="49"/>
  <c r="T894" i="49"/>
  <c r="R542" i="51" s="1"/>
  <c r="CU764" i="49"/>
  <c r="CV621" i="49"/>
  <c r="CV764" i="49" s="1"/>
  <c r="CG565" i="49"/>
  <c r="CG566" i="49" s="1"/>
  <c r="CG564" i="49"/>
  <c r="AX564" i="49"/>
  <c r="AX565" i="49"/>
  <c r="AX566" i="49" s="1"/>
  <c r="CM412" i="51"/>
  <c r="BZ816" i="49"/>
  <c r="BU894" i="49"/>
  <c r="BS542" i="51" s="1"/>
  <c r="BU902" i="49"/>
  <c r="CE420" i="49"/>
  <c r="CT579" i="49"/>
  <c r="CR680" i="49"/>
  <c r="CS580" i="49"/>
  <c r="CP693" i="49"/>
  <c r="CP838" i="49" s="1"/>
  <c r="CQ592" i="49"/>
  <c r="S419" i="49"/>
  <c r="BU213" i="51"/>
  <c r="BU164" i="51"/>
  <c r="CR785" i="49"/>
  <c r="CR881" i="49"/>
  <c r="S164" i="51"/>
  <c r="AF31" i="51"/>
  <c r="AF30" i="51"/>
  <c r="AL902" i="49"/>
  <c r="AL894" i="49"/>
  <c r="AJ542" i="51" s="1"/>
  <c r="CP995" i="49"/>
  <c r="CQ983" i="49"/>
  <c r="BX565" i="49"/>
  <c r="BX566" i="49" s="1"/>
  <c r="BX564" i="49"/>
  <c r="P902" i="49"/>
  <c r="P894" i="49"/>
  <c r="N542" i="51" s="1"/>
  <c r="U894" i="49"/>
  <c r="S542" i="51" s="1"/>
  <c r="CH967" i="49"/>
  <c r="CH695" i="49"/>
  <c r="CH840" i="49" s="1"/>
  <c r="CH805" i="49"/>
  <c r="CH848" i="49"/>
  <c r="CU760" i="49"/>
  <c r="CV475" i="49"/>
  <c r="CV760" i="49" s="1"/>
  <c r="M51" i="49"/>
  <c r="L327" i="49"/>
  <c r="L118" i="49"/>
  <c r="CR716" i="49"/>
  <c r="CR533" i="49"/>
  <c r="CS430" i="49"/>
  <c r="O865" i="49"/>
  <c r="O755" i="49"/>
  <c r="O538" i="49"/>
  <c r="M893" i="49"/>
  <c r="CT802" i="49"/>
  <c r="CU516" i="49"/>
  <c r="L110" i="49"/>
  <c r="L319" i="49"/>
  <c r="L349" i="49" s="1"/>
  <c r="M43" i="49"/>
  <c r="L72" i="49"/>
  <c r="CP542" i="49"/>
  <c r="CQ439" i="49"/>
  <c r="CV486" i="49"/>
  <c r="CV772" i="49" s="1"/>
  <c r="CU772" i="49"/>
  <c r="CS532" i="49"/>
  <c r="CF419" i="49"/>
  <c r="AF32" i="51"/>
  <c r="AF28" i="51"/>
  <c r="CM277" i="49"/>
  <c r="CM278" i="49"/>
  <c r="BD420" i="49"/>
  <c r="BD419" i="49"/>
  <c r="CP884" i="49"/>
  <c r="CP893" i="49" s="1"/>
  <c r="CP786" i="49"/>
  <c r="CQ500" i="49"/>
  <c r="CP534" i="49"/>
  <c r="CP820" i="49" s="1"/>
  <c r="CP526" i="49"/>
  <c r="CC141" i="49"/>
  <c r="CC140" i="49"/>
  <c r="N278" i="49"/>
  <c r="BR419" i="49"/>
  <c r="BR420" i="49"/>
  <c r="CR540" i="49"/>
  <c r="CS437" i="49"/>
  <c r="CT752" i="49"/>
  <c r="CU610" i="49"/>
  <c r="BB420" i="49"/>
  <c r="BB419" i="49"/>
  <c r="BK213" i="51"/>
  <c r="BI565" i="49"/>
  <c r="BI566" i="49" s="1"/>
  <c r="BI564" i="49"/>
  <c r="BD997" i="49"/>
  <c r="BD849" i="49"/>
  <c r="BD850" i="49"/>
  <c r="BD851" i="49" s="1"/>
  <c r="BD853" i="49"/>
  <c r="AL705" i="49"/>
  <c r="AL706" i="49" s="1"/>
  <c r="AM704" i="49"/>
  <c r="CU754" i="49"/>
  <c r="CV612" i="49"/>
  <c r="CV754" i="49" s="1"/>
  <c r="CT970" i="49"/>
  <c r="CU664" i="49"/>
  <c r="M387" i="49"/>
  <c r="L164" i="51"/>
  <c r="BO564" i="49"/>
  <c r="BO565" i="49"/>
  <c r="BO566" i="49" s="1"/>
  <c r="BM213" i="51"/>
  <c r="CD163" i="51"/>
  <c r="CD164" i="51" s="1"/>
  <c r="BH565" i="49"/>
  <c r="BH566" i="49" s="1"/>
  <c r="BH564" i="49"/>
  <c r="CE163" i="51"/>
  <c r="AB902" i="49"/>
  <c r="AB903" i="49" s="1"/>
  <c r="AB894" i="49"/>
  <c r="Z542" i="51" s="1"/>
  <c r="CT763" i="49"/>
  <c r="CT546" i="49"/>
  <c r="CT832" i="49" s="1"/>
  <c r="CU477" i="49"/>
  <c r="CT774" i="49"/>
  <c r="CU488" i="49"/>
  <c r="BZ894" i="49"/>
  <c r="BX542" i="51" s="1"/>
  <c r="BZ902" i="49"/>
  <c r="BZ903" i="49" s="1"/>
  <c r="CT751" i="49"/>
  <c r="CU465" i="49"/>
  <c r="BG1036" i="49"/>
  <c r="BG848" i="49"/>
  <c r="CU666" i="49"/>
  <c r="AD906" i="49"/>
  <c r="AD907" i="49" s="1"/>
  <c r="AD899" i="49"/>
  <c r="AE903" i="49"/>
  <c r="BR903" i="49"/>
  <c r="AN213" i="51"/>
  <c r="AN214" i="51" s="1"/>
  <c r="BL564" i="49"/>
  <c r="BJ420" i="49"/>
  <c r="BJ419" i="49"/>
  <c r="CT746" i="49"/>
  <c r="CU460" i="49"/>
  <c r="CU937" i="49" s="1"/>
  <c r="BU565" i="49"/>
  <c r="BU566" i="49" s="1"/>
  <c r="CR750" i="49"/>
  <c r="CS464" i="49"/>
  <c r="CR492" i="49"/>
  <c r="CP353" i="51" s="1"/>
  <c r="CP354" i="51" s="1"/>
  <c r="X164" i="51"/>
  <c r="CT773" i="49"/>
  <c r="CU487" i="49"/>
  <c r="O860" i="49"/>
  <c r="T860" i="49"/>
  <c r="CT874" i="49"/>
  <c r="CT875" i="49" s="1"/>
  <c r="CU604" i="49"/>
  <c r="CT635" i="49"/>
  <c r="AP997" i="49"/>
  <c r="AP849" i="49"/>
  <c r="AP850" i="49"/>
  <c r="AP851" i="49" s="1"/>
  <c r="AP853" i="49"/>
  <c r="BP816" i="49"/>
  <c r="BP563" i="49"/>
  <c r="BP565" i="49" s="1"/>
  <c r="BP566" i="49" s="1"/>
  <c r="CQ734" i="49"/>
  <c r="CR448" i="49"/>
  <c r="CT783" i="49"/>
  <c r="CU497" i="49"/>
  <c r="AQ30" i="51"/>
  <c r="AQ31" i="51"/>
  <c r="AQ29" i="51"/>
  <c r="CT790" i="49"/>
  <c r="CU504" i="49"/>
  <c r="BB997" i="49"/>
  <c r="BB850" i="49"/>
  <c r="BB851" i="49" s="1"/>
  <c r="BB853" i="49"/>
  <c r="AX164" i="51"/>
  <c r="AX213" i="51"/>
  <c r="AX214" i="51" s="1"/>
  <c r="AN420" i="49"/>
  <c r="AN419" i="49"/>
  <c r="BW565" i="49"/>
  <c r="BW566" i="49" s="1"/>
  <c r="BW564" i="49"/>
  <c r="CV522" i="49"/>
  <c r="BR164" i="51"/>
  <c r="M874" i="49"/>
  <c r="M635" i="49"/>
  <c r="M672" i="49"/>
  <c r="M703" i="49" s="1"/>
  <c r="CV663" i="49"/>
  <c r="AW164" i="51"/>
  <c r="BS1049" i="49"/>
  <c r="BS564" i="49"/>
  <c r="BS565" i="49"/>
  <c r="BS566" i="49" s="1"/>
  <c r="J848" i="49"/>
  <c r="BH164" i="51"/>
  <c r="CT782" i="49"/>
  <c r="CU496" i="49"/>
  <c r="AB565" i="49"/>
  <c r="AB566" i="49" s="1"/>
  <c r="CK727" i="49"/>
  <c r="CL586" i="49"/>
  <c r="CK686" i="49"/>
  <c r="CK830" i="49" s="1"/>
  <c r="BO213" i="51"/>
  <c r="BO214" i="51" s="1"/>
  <c r="BO164" i="51"/>
  <c r="AB878" i="49"/>
  <c r="CM819" i="49"/>
  <c r="CM563" i="49"/>
  <c r="CT759" i="49"/>
  <c r="CU473" i="49"/>
  <c r="BK872" i="49"/>
  <c r="BI537" i="51" s="1"/>
  <c r="BI20" i="51"/>
  <c r="BZ872" i="49"/>
  <c r="BX537" i="51" s="1"/>
  <c r="AF213" i="51"/>
  <c r="AF164" i="51"/>
  <c r="CT937" i="49"/>
  <c r="CP788" i="49"/>
  <c r="CQ502" i="49"/>
  <c r="CP536" i="49"/>
  <c r="N894" i="49"/>
  <c r="L542" i="51" s="1"/>
  <c r="N902" i="49"/>
  <c r="N898" i="49"/>
  <c r="CT797" i="49"/>
  <c r="CU511" i="49"/>
  <c r="CA1044" i="49"/>
  <c r="CB565" i="49"/>
  <c r="CB566" i="49" s="1"/>
  <c r="CB564" i="49"/>
  <c r="CC906" i="49"/>
  <c r="CC907" i="49" s="1"/>
  <c r="CD761" i="49"/>
  <c r="CD778" i="49" s="1"/>
  <c r="CD544" i="49"/>
  <c r="CD492" i="49"/>
  <c r="CE476" i="49"/>
  <c r="CB357" i="51"/>
  <c r="CC357" i="51" s="1"/>
  <c r="CH358" i="51" s="1"/>
  <c r="BT878" i="49"/>
  <c r="BU877" i="49"/>
  <c r="BU878" i="49" s="1"/>
  <c r="BY878" i="49"/>
  <c r="CG899" i="49"/>
  <c r="CG906" i="49"/>
  <c r="CG900" i="49"/>
  <c r="AM907" i="49"/>
  <c r="CR675" i="49"/>
  <c r="CS575" i="49"/>
  <c r="CK140" i="49"/>
  <c r="T420" i="49"/>
  <c r="T419" i="49"/>
  <c r="BL140" i="49"/>
  <c r="BO420" i="49"/>
  <c r="CS776" i="49"/>
  <c r="CT490" i="49"/>
  <c r="BA899" i="49"/>
  <c r="BA906" i="49"/>
  <c r="BE565" i="49"/>
  <c r="BE566" i="49" s="1"/>
  <c r="BE564" i="49"/>
  <c r="BY1036" i="49"/>
  <c r="BU872" i="49"/>
  <c r="BS537" i="51" s="1"/>
  <c r="BS20" i="51"/>
  <c r="BP882" i="49"/>
  <c r="BQ883" i="49"/>
  <c r="P888" i="49"/>
  <c r="CH878" i="49"/>
  <c r="BU906" i="49"/>
  <c r="X420" i="49"/>
  <c r="X419" i="49"/>
  <c r="BB564" i="49"/>
  <c r="BB565" i="49"/>
  <c r="BB566" i="49" s="1"/>
  <c r="AZ163" i="51"/>
  <c r="AZ164" i="51" s="1"/>
  <c r="BL997" i="49"/>
  <c r="BL850" i="49"/>
  <c r="BL851" i="49" s="1"/>
  <c r="BL853" i="49"/>
  <c r="S278" i="49"/>
  <c r="CO816" i="49"/>
  <c r="AL420" i="49"/>
  <c r="W902" i="49"/>
  <c r="W894" i="49"/>
  <c r="U542" i="51" s="1"/>
  <c r="AB278" i="49"/>
  <c r="AC277" i="49"/>
  <c r="O277" i="49"/>
  <c r="O278" i="49"/>
  <c r="AS997" i="49"/>
  <c r="AS850" i="49"/>
  <c r="AS851" i="49" s="1"/>
  <c r="AS849" i="49"/>
  <c r="AS853" i="49"/>
  <c r="BR564" i="49"/>
  <c r="BR565" i="49"/>
  <c r="BR566" i="49" s="1"/>
  <c r="BP213" i="51"/>
  <c r="BP705" i="49"/>
  <c r="BP706" i="49" s="1"/>
  <c r="CR427" i="49"/>
  <c r="CQ530" i="49"/>
  <c r="BN564" i="49"/>
  <c r="BN565" i="49"/>
  <c r="BN566" i="49" s="1"/>
  <c r="BL213" i="51"/>
  <c r="CD1036" i="49"/>
  <c r="CR775" i="49"/>
  <c r="CS489" i="49"/>
  <c r="CR971" i="49"/>
  <c r="CS571" i="49"/>
  <c r="CR671" i="49"/>
  <c r="CR576" i="49"/>
  <c r="BP396" i="49"/>
  <c r="BP418" i="49" s="1"/>
  <c r="BP314" i="49"/>
  <c r="BB705" i="49"/>
  <c r="BB706" i="49" s="1"/>
  <c r="AV872" i="49"/>
  <c r="AT537" i="51" s="1"/>
  <c r="AT20" i="51"/>
  <c r="CT792" i="49"/>
  <c r="CU506" i="49"/>
  <c r="AL872" i="49"/>
  <c r="AJ537" i="51" s="1"/>
  <c r="AJ20" i="51"/>
  <c r="R902" i="49"/>
  <c r="R894" i="49"/>
  <c r="P542" i="51" s="1"/>
  <c r="CE705" i="49"/>
  <c r="CE706" i="49" s="1"/>
  <c r="CR599" i="49"/>
  <c r="BI899" i="49"/>
  <c r="BI906" i="49"/>
  <c r="BI907" i="49" s="1"/>
  <c r="CT968" i="49"/>
  <c r="CU662" i="49"/>
  <c r="BO878" i="49"/>
  <c r="BP877" i="49"/>
  <c r="S894" i="49"/>
  <c r="Q542" i="51" s="1"/>
  <c r="AT906" i="49"/>
  <c r="AT899" i="49"/>
  <c r="X903" i="49"/>
  <c r="BT905" i="49"/>
  <c r="N72" i="49"/>
  <c r="N318" i="49"/>
  <c r="N349" i="49" s="1"/>
  <c r="N109" i="49"/>
  <c r="N139" i="49" s="1"/>
  <c r="S141" i="49" s="1"/>
  <c r="CR450" i="49"/>
  <c r="AG565" i="49"/>
  <c r="AG566" i="49" s="1"/>
  <c r="AB705" i="49"/>
  <c r="AB706" i="49" s="1"/>
  <c r="N860" i="49"/>
  <c r="CT859" i="49"/>
  <c r="CT860" i="49" s="1"/>
  <c r="CT747" i="49"/>
  <c r="CU461" i="49"/>
  <c r="AG902" i="49"/>
  <c r="AG903" i="49" s="1"/>
  <c r="AG894" i="49"/>
  <c r="AE542" i="51" s="1"/>
  <c r="BF141" i="49"/>
  <c r="BC704" i="49"/>
  <c r="AY419" i="49"/>
  <c r="K703" i="49"/>
  <c r="AM419" i="49"/>
  <c r="BE907" i="49"/>
  <c r="AS420" i="49"/>
  <c r="AZ997" i="49"/>
  <c r="AZ853" i="49"/>
  <c r="AZ849" i="49"/>
  <c r="J72" i="49"/>
  <c r="J318" i="49"/>
  <c r="J349" i="49" s="1"/>
  <c r="J109" i="49"/>
  <c r="J139" i="49" s="1"/>
  <c r="K140" i="49" s="1"/>
  <c r="Z419" i="49"/>
  <c r="Z420" i="49"/>
  <c r="CE1036" i="49"/>
  <c r="CR677" i="49"/>
  <c r="CS577" i="49"/>
  <c r="BD565" i="49"/>
  <c r="BD566" i="49" s="1"/>
  <c r="BD564" i="49"/>
  <c r="CF565" i="49"/>
  <c r="CF566" i="49" s="1"/>
  <c r="CP672" i="49"/>
  <c r="CQ572" i="49"/>
  <c r="N878" i="49"/>
  <c r="CQ696" i="49"/>
  <c r="CR595" i="49"/>
  <c r="P906" i="49"/>
  <c r="U907" i="49" s="1"/>
  <c r="P899" i="49"/>
  <c r="CM419" i="49"/>
  <c r="CM420" i="49"/>
  <c r="CR718" i="49"/>
  <c r="BV420" i="49"/>
  <c r="BV419" i="49"/>
  <c r="CQ721" i="49"/>
  <c r="CQ538" i="49"/>
  <c r="CQ824" i="49" s="1"/>
  <c r="CR435" i="49"/>
  <c r="CU509" i="49"/>
  <c r="CQ673" i="49"/>
  <c r="CQ817" i="49" s="1"/>
  <c r="CR573" i="49"/>
  <c r="Q875" i="49"/>
  <c r="M531" i="49"/>
  <c r="M817" i="49" s="1"/>
  <c r="M748" i="49"/>
  <c r="CR728" i="49"/>
  <c r="CR546" i="49"/>
  <c r="CR832" i="49" s="1"/>
  <c r="CS442" i="49"/>
  <c r="X704" i="49"/>
  <c r="AL905" i="49"/>
  <c r="AI906" i="49"/>
  <c r="AI907" i="49" s="1"/>
  <c r="AI899" i="49"/>
  <c r="X997" i="49"/>
  <c r="X849" i="49"/>
  <c r="X850" i="49"/>
  <c r="X851" i="49" s="1"/>
  <c r="CO776" i="49"/>
  <c r="CO560" i="49"/>
  <c r="CO846" i="49" s="1"/>
  <c r="CQ887" i="49"/>
  <c r="CR503" i="49"/>
  <c r="BF278" i="49"/>
  <c r="BG277" i="49"/>
  <c r="CD420" i="49"/>
  <c r="CD419" i="49"/>
  <c r="S140" i="49"/>
  <c r="T140" i="49"/>
  <c r="BP141" i="49"/>
  <c r="BQ140" i="49"/>
  <c r="CP712" i="49"/>
  <c r="CP529" i="49"/>
  <c r="CP457" i="49"/>
  <c r="CQ426" i="49"/>
  <c r="AU848" i="49"/>
  <c r="AZ850" i="49" s="1"/>
  <c r="AZ851" i="49" s="1"/>
  <c r="CC1036" i="49"/>
  <c r="CC848" i="49"/>
  <c r="CU467" i="49"/>
  <c r="CE872" i="49"/>
  <c r="CC537" i="51" s="1"/>
  <c r="R891" i="49"/>
  <c r="CQ847" i="49"/>
  <c r="CR702" i="49"/>
  <c r="S903" i="49"/>
  <c r="N387" i="49"/>
  <c r="N418" i="49" s="1"/>
  <c r="S420" i="49" s="1"/>
  <c r="R997" i="49"/>
  <c r="CT771" i="49"/>
  <c r="CU485" i="49"/>
  <c r="AF29" i="51"/>
  <c r="CV638" i="49"/>
  <c r="BU141" i="49"/>
  <c r="AH213" i="51"/>
  <c r="AM214" i="51" s="1"/>
  <c r="AH164" i="51"/>
  <c r="AV163" i="51"/>
  <c r="AV213" i="51" s="1"/>
  <c r="BM565" i="49"/>
  <c r="BM566" i="49" s="1"/>
  <c r="BM564" i="49"/>
  <c r="W997" i="49"/>
  <c r="W850" i="49"/>
  <c r="W851" i="49" s="1"/>
  <c r="BK1036" i="49"/>
  <c r="BK848" i="49"/>
  <c r="CQ741" i="49"/>
  <c r="CR455" i="49"/>
  <c r="CQ560" i="49"/>
  <c r="M881" i="49"/>
  <c r="R882" i="49" s="1"/>
  <c r="M782" i="49"/>
  <c r="M812" i="49" s="1"/>
  <c r="M526" i="49"/>
  <c r="BP904" i="49"/>
  <c r="BP905" i="49" s="1"/>
  <c r="BP896" i="49"/>
  <c r="BQ897" i="49"/>
  <c r="BI1036" i="49"/>
  <c r="BI848" i="49"/>
  <c r="CR720" i="49"/>
  <c r="CR537" i="49"/>
  <c r="CS434" i="49"/>
  <c r="BB163" i="51"/>
  <c r="BB164" i="51" s="1"/>
  <c r="CK585" i="49"/>
  <c r="CK601" i="49" s="1"/>
  <c r="CJ685" i="49"/>
  <c r="CJ829" i="49" s="1"/>
  <c r="CJ1037" i="49" s="1"/>
  <c r="CJ601" i="49"/>
  <c r="N565" i="49"/>
  <c r="N566" i="49" s="1"/>
  <c r="BO1036" i="49"/>
  <c r="BO848" i="49"/>
  <c r="CF1036" i="49"/>
  <c r="CF848" i="49"/>
  <c r="CO826" i="49"/>
  <c r="CV471" i="49"/>
  <c r="CV757" i="49" s="1"/>
  <c r="CU757" i="49"/>
  <c r="CT801" i="49"/>
  <c r="CU515" i="49"/>
  <c r="BF163" i="51"/>
  <c r="CQ694" i="49"/>
  <c r="CR593" i="49"/>
  <c r="Q564" i="49"/>
  <c r="CP739" i="49"/>
  <c r="CP558" i="49"/>
  <c r="CP843" i="49" s="1"/>
  <c r="CQ453" i="49"/>
  <c r="W906" i="49"/>
  <c r="W899" i="49"/>
  <c r="BF872" i="49"/>
  <c r="BD537" i="51" s="1"/>
  <c r="BD20" i="51"/>
  <c r="CT807" i="49"/>
  <c r="CU521" i="49"/>
  <c r="Q164" i="51"/>
  <c r="CK725" i="49"/>
  <c r="CK684" i="49"/>
  <c r="CK828" i="49" s="1"/>
  <c r="CL584" i="49"/>
  <c r="AP25" i="51"/>
  <c r="AP28" i="51"/>
  <c r="CB906" i="49"/>
  <c r="CB907" i="49" s="1"/>
  <c r="CB899" i="49"/>
  <c r="CB900" i="49"/>
  <c r="BS903" i="49"/>
  <c r="BB906" i="49"/>
  <c r="BB899" i="49"/>
  <c r="BO903" i="49"/>
  <c r="BU905" i="49"/>
  <c r="AQ894" i="49"/>
  <c r="AO542" i="51" s="1"/>
  <c r="AQ902" i="49"/>
  <c r="AQ903" i="49" s="1"/>
  <c r="BG420" i="49"/>
  <c r="CO869" i="49"/>
  <c r="CQ778" i="49"/>
  <c r="Z564" i="49"/>
  <c r="Z565" i="49"/>
  <c r="Z566" i="49" s="1"/>
  <c r="CR412" i="51"/>
  <c r="AP564" i="49"/>
  <c r="AP565" i="49"/>
  <c r="AP566" i="49" s="1"/>
  <c r="CP734" i="49"/>
  <c r="AR997" i="49"/>
  <c r="AR849" i="49"/>
  <c r="AR853" i="49"/>
  <c r="AR850" i="49"/>
  <c r="AR851" i="49" s="1"/>
  <c r="CT762" i="49"/>
  <c r="CU474" i="49"/>
  <c r="CT545" i="49"/>
  <c r="CT831" i="49" s="1"/>
  <c r="CN894" i="49"/>
  <c r="AI30" i="51"/>
  <c r="AI31" i="51"/>
  <c r="AI33" i="51" s="1"/>
  <c r="AI29" i="51"/>
  <c r="AI32" i="51"/>
  <c r="AF878" i="49"/>
  <c r="CR714" i="49"/>
  <c r="CS428" i="49"/>
  <c r="CR531" i="49"/>
  <c r="CQ551" i="49"/>
  <c r="CR446" i="49"/>
  <c r="AH140" i="49"/>
  <c r="AD419" i="49"/>
  <c r="AD420" i="49"/>
  <c r="AS704" i="49"/>
  <c r="AS705" i="49"/>
  <c r="AS706" i="49" s="1"/>
  <c r="BZ139" i="49"/>
  <c r="AB141" i="49"/>
  <c r="AC140" i="49"/>
  <c r="BW1036" i="49"/>
  <c r="BW848" i="49"/>
  <c r="CT808" i="49"/>
  <c r="BR213" i="51"/>
  <c r="BR214" i="51" s="1"/>
  <c r="CT969" i="49"/>
  <c r="AY564" i="49"/>
  <c r="AY565" i="49"/>
  <c r="AY566" i="49" s="1"/>
  <c r="AW213" i="51"/>
  <c r="BS1036" i="49"/>
  <c r="BS848" i="49"/>
  <c r="J563" i="49"/>
  <c r="J564" i="49" s="1"/>
  <c r="BJ564" i="49"/>
  <c r="BJ565" i="49"/>
  <c r="BJ566" i="49" s="1"/>
  <c r="BH213" i="51"/>
  <c r="BH214" i="51" s="1"/>
  <c r="CP731" i="49"/>
  <c r="CP550" i="49"/>
  <c r="CP835" i="49" s="1"/>
  <c r="CQ445" i="49"/>
  <c r="J902" i="49"/>
  <c r="J898" i="49"/>
  <c r="J906" i="49" s="1"/>
  <c r="CV508" i="49"/>
  <c r="AB997" i="49"/>
  <c r="AB850" i="49"/>
  <c r="AB851" i="49" s="1"/>
  <c r="BQ565" i="49"/>
  <c r="BQ566" i="49" s="1"/>
  <c r="BQ564" i="49"/>
  <c r="AL898" i="49"/>
  <c r="CN750" i="49"/>
  <c r="CL353" i="51"/>
  <c r="CM353" i="51" s="1"/>
  <c r="CM395" i="51" s="1"/>
  <c r="CN533" i="49"/>
  <c r="CJ788" i="49"/>
  <c r="CJ526" i="49"/>
  <c r="CI442" i="51" s="1"/>
  <c r="CJ884" i="49"/>
  <c r="CJ536" i="49"/>
  <c r="CJ946" i="49"/>
  <c r="CT806" i="49"/>
  <c r="CU520" i="49"/>
  <c r="AN25" i="51"/>
  <c r="AN28" i="51" s="1"/>
  <c r="CT748" i="49"/>
  <c r="CU462" i="49"/>
  <c r="CU781" i="49"/>
  <c r="CV495" i="49"/>
  <c r="CU507" i="49"/>
  <c r="CB1036" i="49"/>
  <c r="CB848" i="49"/>
  <c r="AC164" i="51"/>
  <c r="BA703" i="49"/>
  <c r="BA816" i="49"/>
  <c r="BA848" i="49" s="1"/>
  <c r="CQ596" i="49"/>
  <c r="CP697" i="49"/>
  <c r="CU775" i="49"/>
  <c r="CV632" i="49"/>
  <c r="CV775" i="49" s="1"/>
  <c r="AV905" i="49"/>
  <c r="AA906" i="49"/>
  <c r="AA899" i="49"/>
  <c r="BZ878" i="49"/>
  <c r="CA906" i="49"/>
  <c r="CA899" i="49"/>
  <c r="AS903" i="49"/>
  <c r="BV906" i="49"/>
  <c r="BV899" i="49"/>
  <c r="BV900" i="49"/>
  <c r="CI821" i="49"/>
  <c r="CI563" i="49"/>
  <c r="CS441" i="49"/>
  <c r="CQ438" i="49"/>
  <c r="CP541" i="49"/>
  <c r="BX1036" i="49"/>
  <c r="BX848" i="49"/>
  <c r="BE997" i="49"/>
  <c r="BE850" i="49"/>
  <c r="BE851" i="49" s="1"/>
  <c r="BE853" i="49"/>
  <c r="BE849" i="49"/>
  <c r="T164" i="51"/>
  <c r="AK213" i="51"/>
  <c r="AK164" i="51"/>
  <c r="CH972" i="49"/>
  <c r="CH810" i="49"/>
  <c r="CH700" i="49"/>
  <c r="CH846" i="49" s="1"/>
  <c r="CH1038" i="49" s="1"/>
  <c r="AO906" i="49"/>
  <c r="AO907" i="49" s="1"/>
  <c r="AT903" i="49"/>
  <c r="BM419" i="49"/>
  <c r="BM420" i="49"/>
  <c r="M248" i="49"/>
  <c r="M276" i="49" s="1"/>
  <c r="N277" i="49" s="1"/>
  <c r="M210" i="49"/>
  <c r="AP419" i="49"/>
  <c r="AP420" i="49"/>
  <c r="AH420" i="49"/>
  <c r="AH419" i="49"/>
  <c r="CT758" i="49"/>
  <c r="CT868" i="49"/>
  <c r="CU472" i="49"/>
  <c r="L396" i="49"/>
  <c r="AX705" i="49"/>
  <c r="AX706" i="49" s="1"/>
  <c r="AX704" i="49"/>
  <c r="BR1036" i="49"/>
  <c r="BR848" i="49"/>
  <c r="M904" i="49"/>
  <c r="R905" i="49" s="1"/>
  <c r="CR845" i="49"/>
  <c r="CS701" i="49"/>
  <c r="CP816" i="49"/>
  <c r="AT564" i="49"/>
  <c r="AT565" i="49"/>
  <c r="AT566" i="49" s="1"/>
  <c r="AR213" i="51"/>
  <c r="AR214" i="51" s="1"/>
  <c r="BN1036" i="49"/>
  <c r="BN848" i="49"/>
  <c r="CQ740" i="49"/>
  <c r="CQ559" i="49"/>
  <c r="CR454" i="49"/>
  <c r="T888" i="49"/>
  <c r="O888" i="49"/>
  <c r="CT529" i="49"/>
  <c r="CU426" i="49"/>
  <c r="AS164" i="51"/>
  <c r="BF816" i="49"/>
  <c r="BF563" i="49"/>
  <c r="BF565" i="49" s="1"/>
  <c r="BF566" i="49" s="1"/>
  <c r="K865" i="49"/>
  <c r="K755" i="49"/>
  <c r="K538" i="49"/>
  <c r="BI704" i="49"/>
  <c r="BI705" i="49"/>
  <c r="BI706" i="49" s="1"/>
  <c r="CT770" i="49"/>
  <c r="CU484" i="49"/>
  <c r="BY796" i="49"/>
  <c r="BY812" i="49" s="1"/>
  <c r="BY544" i="49"/>
  <c r="BY830" i="49" s="1"/>
  <c r="BY526" i="49"/>
  <c r="BZ510" i="49"/>
  <c r="CJ553" i="49"/>
  <c r="CA1045" i="49"/>
  <c r="CA1046" i="49" s="1"/>
  <c r="AG213" i="51"/>
  <c r="AL214" i="51" s="1"/>
  <c r="AG164" i="51"/>
  <c r="CQ692" i="49"/>
  <c r="CQ837" i="49" s="1"/>
  <c r="CR591" i="49"/>
  <c r="R896" i="49"/>
  <c r="BJ906" i="49"/>
  <c r="BJ907" i="49" s="1"/>
  <c r="BJ899" i="49"/>
  <c r="S878" i="49"/>
  <c r="BC903" i="49"/>
  <c r="BZ905" i="49"/>
  <c r="BK894" i="49"/>
  <c r="BI542" i="51" s="1"/>
  <c r="BK902" i="49"/>
  <c r="BK898" i="49"/>
  <c r="AZ25" i="51"/>
  <c r="AZ28" i="51" s="1"/>
  <c r="CV482" i="49"/>
  <c r="CV768" i="49" s="1"/>
  <c r="CU768" i="49"/>
  <c r="AR420" i="49"/>
  <c r="AR419" i="49"/>
  <c r="CS810" i="49"/>
  <c r="CT524" i="49"/>
  <c r="CT972" i="49" s="1"/>
  <c r="BA164" i="51"/>
  <c r="BA565" i="49"/>
  <c r="BA566" i="49" s="1"/>
  <c r="AL565" i="49"/>
  <c r="AL566" i="49" s="1"/>
  <c r="Q705" i="49"/>
  <c r="Q706" i="49" s="1"/>
  <c r="CJ541" i="49"/>
  <c r="CJ827" i="49" s="1"/>
  <c r="CJ457" i="49"/>
  <c r="M865" i="49"/>
  <c r="R866" i="49" s="1"/>
  <c r="CU784" i="49"/>
  <c r="CV498" i="49"/>
  <c r="CV784" i="49" s="1"/>
  <c r="BH25" i="51"/>
  <c r="BH28" i="51"/>
  <c r="BN906" i="49"/>
  <c r="BN907" i="49" s="1"/>
  <c r="BN900" i="49"/>
  <c r="BN899" i="49"/>
  <c r="U899" i="49"/>
  <c r="BI420" i="49"/>
  <c r="BW420" i="49"/>
  <c r="BK420" i="49"/>
  <c r="Y420" i="49"/>
  <c r="BS419" i="49"/>
  <c r="CO893" i="49"/>
  <c r="BC705" i="49"/>
  <c r="BC706" i="49" s="1"/>
  <c r="AE420" i="49"/>
  <c r="O703" i="49"/>
  <c r="AS419" i="49"/>
  <c r="CG1039" i="49"/>
  <c r="CG1043" i="49" s="1"/>
  <c r="AQ33" i="51"/>
  <c r="Q869" i="49"/>
  <c r="AG420" i="49"/>
  <c r="CH140" i="49"/>
  <c r="CH141" i="49"/>
  <c r="CI140" i="49"/>
  <c r="AQ997" i="49"/>
  <c r="AQ853" i="49"/>
  <c r="BG213" i="51"/>
  <c r="BG164" i="51"/>
  <c r="CE541" i="49"/>
  <c r="CE457" i="49"/>
  <c r="CC20" i="51" s="1"/>
  <c r="BU1039" i="49"/>
  <c r="BU1043" i="49" s="1"/>
  <c r="BV1036" i="49"/>
  <c r="BV848" i="49"/>
  <c r="CR756" i="49"/>
  <c r="CS470" i="49"/>
  <c r="CR865" i="49"/>
  <c r="CR871" i="49" s="1"/>
  <c r="CP803" i="49"/>
  <c r="CQ517" i="49"/>
  <c r="CP965" i="49"/>
  <c r="BG565" i="49"/>
  <c r="BG566" i="49" s="1"/>
  <c r="BG564" i="49"/>
  <c r="CK878" i="49"/>
  <c r="IX802" i="72"/>
  <c r="CU749" i="49"/>
  <c r="CV463" i="49"/>
  <c r="CU532" i="49"/>
  <c r="O778" i="49"/>
  <c r="BC25" i="51"/>
  <c r="BC28" i="51" s="1"/>
  <c r="BY420" i="49"/>
  <c r="BY419" i="49"/>
  <c r="CE278" i="49"/>
  <c r="CF277" i="49"/>
  <c r="CI278" i="49"/>
  <c r="CI277" i="49"/>
  <c r="BT1036" i="49"/>
  <c r="BT848" i="49"/>
  <c r="BQ213" i="51"/>
  <c r="BQ214" i="51" s="1"/>
  <c r="BQ164" i="51"/>
  <c r="H163" i="51"/>
  <c r="AV816" i="49"/>
  <c r="AV848" i="49" s="1"/>
  <c r="AV563" i="49"/>
  <c r="CQ452" i="49"/>
  <c r="CP738" i="49"/>
  <c r="CP557" i="49"/>
  <c r="AQ905" i="49"/>
  <c r="CT767" i="49"/>
  <c r="CU481" i="49"/>
  <c r="V906" i="49"/>
  <c r="V899" i="49"/>
  <c r="BC213" i="51"/>
  <c r="BC164" i="51"/>
  <c r="BA872" i="49"/>
  <c r="AY537" i="51" s="1"/>
  <c r="AY20" i="51"/>
  <c r="CI420" i="49"/>
  <c r="CI419" i="49"/>
  <c r="AS565" i="49"/>
  <c r="AS566" i="49" s="1"/>
  <c r="AS564" i="49"/>
  <c r="BU848" i="49"/>
  <c r="CQ804" i="49"/>
  <c r="CR518" i="49"/>
  <c r="CQ966" i="49"/>
  <c r="BL164" i="51"/>
  <c r="BP902" i="49"/>
  <c r="BP903" i="49" s="1"/>
  <c r="BP894" i="49"/>
  <c r="BN542" i="51" s="1"/>
  <c r="CK903" i="49"/>
  <c r="AF907" i="49"/>
  <c r="AZ907" i="49"/>
  <c r="CG997" i="49"/>
  <c r="CG854" i="49"/>
  <c r="CG853" i="49"/>
  <c r="CG849" i="49"/>
  <c r="BC997" i="49"/>
  <c r="BC853" i="49"/>
  <c r="BC849" i="49"/>
  <c r="BC850" i="49"/>
  <c r="BC851" i="49" s="1"/>
  <c r="CJ796" i="49"/>
  <c r="CJ544" i="49"/>
  <c r="CJ830" i="49" s="1"/>
  <c r="S997" i="49"/>
  <c r="S850" i="49"/>
  <c r="S851" i="49" s="1"/>
  <c r="S849" i="49"/>
  <c r="AA419" i="49"/>
  <c r="AU213" i="51"/>
  <c r="AU214" i="51" s="1"/>
  <c r="AU164" i="51"/>
  <c r="K778" i="49"/>
  <c r="J387" i="49"/>
  <c r="J418" i="49" s="1"/>
  <c r="K419" i="49" s="1"/>
  <c r="AQ878" i="49"/>
  <c r="CN871" i="49"/>
  <c r="BZ278" i="49"/>
  <c r="CA277" i="49"/>
  <c r="CQ698" i="49"/>
  <c r="CR597" i="49"/>
  <c r="AX997" i="49"/>
  <c r="AX849" i="49"/>
  <c r="AX850" i="49"/>
  <c r="AX851" i="49" s="1"/>
  <c r="AX853" i="49"/>
  <c r="BM1036" i="49"/>
  <c r="BM848" i="49"/>
  <c r="AQ565" i="49"/>
  <c r="AQ566" i="49" s="1"/>
  <c r="AR564" i="49"/>
  <c r="CQ737" i="49"/>
  <c r="CR451" i="49"/>
  <c r="CQ556" i="49"/>
  <c r="CT769" i="49"/>
  <c r="CU483" i="49"/>
  <c r="T997" i="49"/>
  <c r="T849" i="49"/>
  <c r="L898" i="49"/>
  <c r="L859" i="49"/>
  <c r="Q860" i="49" s="1"/>
  <c r="L747" i="49"/>
  <c r="L778" i="49" s="1"/>
  <c r="L492" i="49"/>
  <c r="M461" i="49"/>
  <c r="L530" i="49"/>
  <c r="BO900" i="49"/>
  <c r="BP898" i="49"/>
  <c r="BO906" i="49"/>
  <c r="BO907" i="49" s="1"/>
  <c r="BO899" i="49"/>
  <c r="M314" i="49"/>
  <c r="CD827" i="49"/>
  <c r="CD1038" i="49" s="1"/>
  <c r="BB213" i="51"/>
  <c r="BB214" i="51" s="1"/>
  <c r="BL420" i="49"/>
  <c r="BL419" i="49"/>
  <c r="N997" i="49"/>
  <c r="N850" i="49"/>
  <c r="N851" i="49" s="1"/>
  <c r="CD213" i="51"/>
  <c r="CR733" i="49"/>
  <c r="CR552" i="49"/>
  <c r="CS447" i="49"/>
  <c r="CJ888" i="49"/>
  <c r="CK889" i="49"/>
  <c r="BH1036" i="49"/>
  <c r="BH848" i="49"/>
  <c r="CU660" i="49"/>
  <c r="AV902" i="49"/>
  <c r="AV894" i="49"/>
  <c r="AT542" i="51" s="1"/>
  <c r="BS163" i="51"/>
  <c r="AI164" i="51"/>
  <c r="CJ872" i="49"/>
  <c r="CH20" i="51"/>
  <c r="CH36" i="51" s="1"/>
  <c r="CT766" i="49"/>
  <c r="CU480" i="49"/>
  <c r="BV565" i="49"/>
  <c r="BV566" i="49" s="1"/>
  <c r="BV564" i="49"/>
  <c r="BT213" i="51"/>
  <c r="AG877" i="49"/>
  <c r="AG878" i="49" s="1"/>
  <c r="R877" i="49"/>
  <c r="BP872" i="49"/>
  <c r="BN537" i="51" s="1"/>
  <c r="BN20" i="51"/>
  <c r="BF902" i="49"/>
  <c r="BF894" i="49"/>
  <c r="BD542" i="51" s="1"/>
  <c r="BE163" i="51"/>
  <c r="BJ164" i="51" s="1"/>
  <c r="BY213" i="51"/>
  <c r="BY214" i="51" s="1"/>
  <c r="BY164" i="51"/>
  <c r="AB898" i="49"/>
  <c r="AR878" i="49"/>
  <c r="AW878" i="49"/>
  <c r="Q906" i="49"/>
  <c r="Q899" i="49"/>
  <c r="AR25" i="51"/>
  <c r="BM906" i="49"/>
  <c r="BM907" i="49" s="1"/>
  <c r="BM900" i="49"/>
  <c r="BM899" i="49"/>
  <c r="CI872" i="49"/>
  <c r="CG20" i="51"/>
  <c r="CG36" i="51" s="1"/>
  <c r="CI877" i="49"/>
  <c r="BQ899" i="49"/>
  <c r="BQ906" i="49"/>
  <c r="BQ907" i="49" s="1"/>
  <c r="BQ900" i="49"/>
  <c r="BJ878" i="49"/>
  <c r="BK877" i="49"/>
  <c r="BZ418" i="49"/>
  <c r="AL141" i="49"/>
  <c r="AX419" i="49"/>
  <c r="AX420" i="49"/>
  <c r="CL661" i="49"/>
  <c r="CL659" i="49"/>
  <c r="Z997" i="49"/>
  <c r="Z849" i="49"/>
  <c r="Z850" i="49"/>
  <c r="Z851" i="49" s="1"/>
  <c r="O492" i="49"/>
  <c r="CP796" i="49"/>
  <c r="CQ510" i="49"/>
  <c r="CP544" i="49"/>
  <c r="CL565" i="49"/>
  <c r="CL566" i="49" s="1"/>
  <c r="CO862" i="49"/>
  <c r="CO863" i="49" s="1"/>
  <c r="CJ893" i="49"/>
  <c r="S565" i="49"/>
  <c r="S566" i="49" s="1"/>
  <c r="BF877" i="49"/>
  <c r="BF878" i="49" s="1"/>
  <c r="CH906" i="49"/>
  <c r="CH907" i="49" s="1"/>
  <c r="CH899" i="49"/>
  <c r="CH900" i="49"/>
  <c r="AK899" i="49"/>
  <c r="AK906" i="49"/>
  <c r="AK907" i="49" s="1"/>
  <c r="AC899" i="49"/>
  <c r="AC906" i="49"/>
  <c r="AC907" i="49" s="1"/>
  <c r="CE141" i="49"/>
  <c r="CS718" i="49"/>
  <c r="CT718" i="49" s="1"/>
  <c r="AZ564" i="49"/>
  <c r="BA420" i="49"/>
  <c r="CS431" i="49"/>
  <c r="CR547" i="49"/>
  <c r="CS443" i="49"/>
  <c r="AN997" i="49"/>
  <c r="AN850" i="49"/>
  <c r="AN851" i="49" s="1"/>
  <c r="AN849" i="49"/>
  <c r="AN853" i="49"/>
  <c r="BT564" i="49"/>
  <c r="BT565" i="49"/>
  <c r="BT566" i="49" s="1"/>
  <c r="CS574" i="49"/>
  <c r="CS715" i="49" s="1"/>
  <c r="CT715" i="49" s="1"/>
  <c r="CR674" i="49"/>
  <c r="CR818" i="49" s="1"/>
  <c r="CT962" i="49"/>
  <c r="CU656" i="49"/>
  <c r="AY997" i="49"/>
  <c r="AY853" i="49"/>
  <c r="AY849" i="49"/>
  <c r="AY850" i="49"/>
  <c r="AY851" i="49" s="1"/>
  <c r="CD743" i="49"/>
  <c r="CT809" i="49"/>
  <c r="CU523" i="49"/>
  <c r="CQ699" i="49"/>
  <c r="CR598" i="49"/>
  <c r="AR705" i="49"/>
  <c r="AR706" i="49" s="1"/>
  <c r="AR704" i="49"/>
  <c r="BJ1036" i="49"/>
  <c r="BJ848" i="49"/>
  <c r="CT890" i="49"/>
  <c r="CQ578" i="49"/>
  <c r="CP678" i="49"/>
  <c r="CP719" i="49"/>
  <c r="Q848" i="49"/>
  <c r="BQ1036" i="49"/>
  <c r="BQ848" i="49"/>
  <c r="AM164" i="51"/>
  <c r="CT865" i="49"/>
  <c r="CT866" i="49" s="1"/>
  <c r="CT755" i="49"/>
  <c r="CU469" i="49"/>
  <c r="N872" i="49"/>
  <c r="L537" i="51" s="1"/>
  <c r="W872" i="49"/>
  <c r="U537" i="51" s="1"/>
  <c r="AP903" i="49"/>
  <c r="O869" i="49"/>
  <c r="O871" i="49"/>
  <c r="O902" i="49" s="1"/>
  <c r="T869" i="49"/>
  <c r="BZ163" i="51"/>
  <c r="AE565" i="49"/>
  <c r="AE566" i="49" s="1"/>
  <c r="CK587" i="49"/>
  <c r="CJ688" i="49"/>
  <c r="CJ833" i="49" s="1"/>
  <c r="CJ1036" i="49" s="1"/>
  <c r="CM872" i="49"/>
  <c r="CK20" i="51"/>
  <c r="CK36" i="51" s="1"/>
  <c r="BY900" i="49"/>
  <c r="BZ898" i="49"/>
  <c r="BY906" i="49"/>
  <c r="BY907" i="49" s="1"/>
  <c r="BY899" i="49"/>
  <c r="CG903" i="49"/>
  <c r="BG903" i="49"/>
  <c r="AI903" i="49"/>
  <c r="AH903" i="49"/>
  <c r="BV903" i="49"/>
  <c r="AW906" i="49"/>
  <c r="AW907" i="49" s="1"/>
  <c r="AW899" i="49"/>
  <c r="CJ718" i="49"/>
  <c r="CJ743" i="49" s="1"/>
  <c r="CI743" i="49"/>
  <c r="BV163" i="51"/>
  <c r="BV164" i="51" s="1"/>
  <c r="CQ681" i="49"/>
  <c r="CQ825" i="49" s="1"/>
  <c r="CR581" i="49"/>
  <c r="CQ722" i="49"/>
  <c r="BA905" i="49"/>
  <c r="CP805" i="49"/>
  <c r="CQ519" i="49"/>
  <c r="CQ555" i="49" s="1"/>
  <c r="CP967" i="49"/>
  <c r="Y849" i="49"/>
  <c r="AQ872" i="49"/>
  <c r="AO537" i="51" s="1"/>
  <c r="AO20" i="51"/>
  <c r="V565" i="49"/>
  <c r="V566" i="49" s="1"/>
  <c r="CE888" i="49"/>
  <c r="CF889" i="49"/>
  <c r="AW903" i="49"/>
  <c r="CH965" i="49"/>
  <c r="CH693" i="49"/>
  <c r="CH838" i="49" s="1"/>
  <c r="CH1035" i="49" s="1"/>
  <c r="CH803" i="49"/>
  <c r="CH812" i="49" s="1"/>
  <c r="CF453" i="51"/>
  <c r="BZ705" i="49"/>
  <c r="BZ706" i="49" s="1"/>
  <c r="CA704" i="49"/>
  <c r="BM141" i="49"/>
  <c r="BM140" i="49"/>
  <c r="BR141" i="49"/>
  <c r="AB418" i="49"/>
  <c r="BB140" i="49"/>
  <c r="BE419" i="49"/>
  <c r="CP691" i="49"/>
  <c r="CP836" i="49" s="1"/>
  <c r="CQ590" i="49"/>
  <c r="CU756" i="49"/>
  <c r="CV614" i="49"/>
  <c r="CV756" i="49" s="1"/>
  <c r="P420" i="49"/>
  <c r="P419" i="49"/>
  <c r="CK724" i="49"/>
  <c r="CK683" i="49"/>
  <c r="CL583" i="49"/>
  <c r="CJ418" i="49"/>
  <c r="AQ163" i="51"/>
  <c r="CP695" i="49"/>
  <c r="CP840" i="49" s="1"/>
  <c r="CQ594" i="49"/>
  <c r="CT953" i="49"/>
  <c r="CU651" i="49"/>
  <c r="CP713" i="49"/>
  <c r="AT848" i="49"/>
  <c r="CQ819" i="49"/>
  <c r="CP844" i="49"/>
  <c r="BL705" i="49"/>
  <c r="BL706" i="49" s="1"/>
  <c r="BL704" i="49"/>
  <c r="CO815" i="49"/>
  <c r="AU564" i="49"/>
  <c r="AU565" i="49"/>
  <c r="AU566" i="49" s="1"/>
  <c r="AS213" i="51"/>
  <c r="AS214" i="51" s="1"/>
  <c r="CP543" i="49"/>
  <c r="CQ440" i="49"/>
  <c r="CP735" i="49"/>
  <c r="CP554" i="49"/>
  <c r="CP839" i="49" s="1"/>
  <c r="CQ449" i="49"/>
  <c r="CN442" i="51"/>
  <c r="CC563" i="49"/>
  <c r="CH565" i="49" s="1"/>
  <c r="CH566" i="49" s="1"/>
  <c r="AV877" i="49"/>
  <c r="AV878" i="49" s="1"/>
  <c r="CM877" i="49"/>
  <c r="CM878" i="49" s="1"/>
  <c r="BF905" i="49"/>
  <c r="CR764" i="49"/>
  <c r="CS478" i="49"/>
  <c r="CS764" i="49" s="1"/>
  <c r="CP787" i="49"/>
  <c r="CQ501" i="49"/>
  <c r="CP535" i="49"/>
  <c r="CP821" i="49" s="1"/>
  <c r="BA902" i="49"/>
  <c r="BA903" i="49" s="1"/>
  <c r="BA894" i="49"/>
  <c r="AY542" i="51" s="1"/>
  <c r="CH564" i="49"/>
  <c r="CF213" i="51"/>
  <c r="CT963" i="49"/>
  <c r="CU657" i="49"/>
  <c r="M759" i="49"/>
  <c r="M542" i="49"/>
  <c r="M828" i="49" s="1"/>
  <c r="AL877" i="49"/>
  <c r="AL878" i="49" s="1"/>
  <c r="CT964" i="49"/>
  <c r="CU658" i="49"/>
  <c r="BY704" i="49"/>
  <c r="BY705" i="49"/>
  <c r="BY706" i="49" s="1"/>
  <c r="AZ903" i="49"/>
  <c r="AA903" i="49"/>
  <c r="AT878" i="49"/>
  <c r="U905" i="49"/>
  <c r="BD903" i="49"/>
  <c r="CD903" i="49"/>
  <c r="CE906" i="49"/>
  <c r="AF899" i="49"/>
  <c r="L388" i="49"/>
  <c r="L418" i="49" s="1"/>
  <c r="BY724" i="49"/>
  <c r="BZ438" i="49"/>
  <c r="BY541" i="49"/>
  <c r="BY457" i="49"/>
  <c r="BW20" i="51" s="1"/>
  <c r="CQ582" i="49"/>
  <c r="CP682" i="49"/>
  <c r="CP826" i="49" s="1"/>
  <c r="CP723" i="49"/>
  <c r="CP736" i="49"/>
  <c r="R314" i="49"/>
  <c r="BC565" i="49"/>
  <c r="BC566" i="49" s="1"/>
  <c r="BC564" i="49"/>
  <c r="CU800" i="49"/>
  <c r="CV514" i="49"/>
  <c r="CR690" i="49"/>
  <c r="CS589" i="49"/>
  <c r="AL848" i="49"/>
  <c r="AQ705" i="49"/>
  <c r="AQ706" i="49" s="1"/>
  <c r="CT971" i="49"/>
  <c r="CU665" i="49"/>
  <c r="BV878" i="49"/>
  <c r="BC419" i="49"/>
  <c r="BW419" i="49"/>
  <c r="AW704" i="49"/>
  <c r="AB872" i="49"/>
  <c r="Z537" i="51" s="1"/>
  <c r="BL1039" i="49"/>
  <c r="BL1043" i="49" s="1"/>
  <c r="BK278" i="49"/>
  <c r="Y419" i="49"/>
  <c r="Q419" i="49"/>
  <c r="P141" i="49"/>
  <c r="AC849" i="49"/>
  <c r="AS906" i="49"/>
  <c r="AS907" i="49" s="1"/>
  <c r="AO849" i="49"/>
  <c r="CF899" i="49"/>
  <c r="AG278" i="49"/>
  <c r="AE419" i="49"/>
  <c r="BZ314" i="49"/>
  <c r="CN761" i="49"/>
  <c r="CN544" i="49"/>
  <c r="CS476" i="49"/>
  <c r="CO476" i="49"/>
  <c r="AH899" i="49"/>
  <c r="BY395" i="51"/>
  <c r="BY354" i="51"/>
  <c r="BY538" i="51" s="1"/>
  <c r="CC353" i="51"/>
  <c r="BY377" i="51"/>
  <c r="BY383" i="51"/>
  <c r="BY380" i="51"/>
  <c r="BY381" i="51"/>
  <c r="BY375" i="51"/>
  <c r="BY378" i="51"/>
  <c r="BY379" i="51"/>
  <c r="BF23" i="51"/>
  <c r="BG407" i="51"/>
  <c r="CD480" i="51"/>
  <c r="CD444" i="51"/>
  <c r="CD543" i="51" s="1"/>
  <c r="CC489" i="51"/>
  <c r="BP395" i="51"/>
  <c r="CA466" i="51"/>
  <c r="S4" i="51"/>
  <c r="T4" i="51"/>
  <c r="BV506" i="51"/>
  <c r="BV518" i="51" s="1"/>
  <c r="BP378" i="51"/>
  <c r="BP383" i="51"/>
  <c r="CC134" i="51"/>
  <c r="CC135" i="51" s="1"/>
  <c r="BS489" i="51"/>
  <c r="CF487" i="51"/>
  <c r="BR376" i="51"/>
  <c r="AM409" i="51"/>
  <c r="AM21" i="51"/>
  <c r="BY480" i="51"/>
  <c r="BY467" i="51"/>
  <c r="BY444" i="51"/>
  <c r="BY543" i="51" s="1"/>
  <c r="CC442" i="51"/>
  <c r="CC468" i="51" s="1"/>
  <c r="CC143" i="51"/>
  <c r="CC144" i="51" s="1"/>
  <c r="CH369" i="51"/>
  <c r="CA467" i="51"/>
  <c r="CF486" i="51"/>
  <c r="CF375" i="51"/>
  <c r="CF353" i="51"/>
  <c r="CC66" i="51"/>
  <c r="CC81" i="51"/>
  <c r="BE28" i="51"/>
  <c r="BE29" i="51"/>
  <c r="BZ395" i="51"/>
  <c r="BZ382" i="51"/>
  <c r="CB377" i="51"/>
  <c r="CF489" i="51"/>
  <c r="CF378" i="51"/>
  <c r="BX491" i="51"/>
  <c r="BP381" i="51"/>
  <c r="BT383" i="51"/>
  <c r="BO395" i="51"/>
  <c r="BO376" i="51"/>
  <c r="BL406" i="51"/>
  <c r="BK22" i="51"/>
  <c r="BE31" i="51"/>
  <c r="CK445" i="51"/>
  <c r="CK480" i="51"/>
  <c r="BP465" i="51"/>
  <c r="BY462" i="51"/>
  <c r="CC193" i="51"/>
  <c r="BX75" i="51"/>
  <c r="BX76" i="51" s="1"/>
  <c r="BU487" i="51"/>
  <c r="BX487" i="51" s="1"/>
  <c r="CE383" i="51"/>
  <c r="BU442" i="51"/>
  <c r="BU460" i="51" s="1"/>
  <c r="CE382" i="51"/>
  <c r="BS488" i="51"/>
  <c r="BX334" i="51"/>
  <c r="CB480" i="51"/>
  <c r="CB444" i="51"/>
  <c r="CB543" i="51" s="1"/>
  <c r="CC119" i="51"/>
  <c r="BW380" i="51"/>
  <c r="AK33" i="51"/>
  <c r="BU353" i="51"/>
  <c r="BZ354" i="51" s="1"/>
  <c r="BZ538" i="51" s="1"/>
  <c r="BW383" i="51"/>
  <c r="BY461" i="51"/>
  <c r="BP461" i="51"/>
  <c r="BR377" i="51"/>
  <c r="CD465" i="51"/>
  <c r="BV536" i="51"/>
  <c r="BV52" i="51" s="1"/>
  <c r="CD506" i="51"/>
  <c r="CD515" i="51" s="1"/>
  <c r="BX488" i="51"/>
  <c r="BX492" i="51"/>
  <c r="CA395" i="51"/>
  <c r="CA354" i="51"/>
  <c r="CA538" i="51" s="1"/>
  <c r="CC488" i="51"/>
  <c r="BY465" i="51"/>
  <c r="CR226" i="51"/>
  <c r="CS225" i="51"/>
  <c r="BL408" i="51"/>
  <c r="BK24" i="51"/>
  <c r="AH409" i="51"/>
  <c r="AH21" i="51"/>
  <c r="BE30" i="51"/>
  <c r="CC172" i="51"/>
  <c r="BO378" i="51"/>
  <c r="CD467" i="51"/>
  <c r="BT506" i="51"/>
  <c r="BT515" i="51" s="1"/>
  <c r="BX66" i="51"/>
  <c r="BX67" i="51" s="1"/>
  <c r="BZ378" i="51"/>
  <c r="BZ383" i="51"/>
  <c r="BP462" i="51"/>
  <c r="BP464" i="51"/>
  <c r="BO480" i="51"/>
  <c r="BW480" i="51"/>
  <c r="BW444" i="51"/>
  <c r="BW543" i="51" s="1"/>
  <c r="CA376" i="51"/>
  <c r="AX416" i="51"/>
  <c r="AL410" i="51"/>
  <c r="BZ376" i="51"/>
  <c r="CC122" i="51"/>
  <c r="CC123" i="51" s="1"/>
  <c r="BR395" i="51"/>
  <c r="CE395" i="51"/>
  <c r="CE354" i="51"/>
  <c r="CE538" i="51" s="1"/>
  <c r="CC490" i="51"/>
  <c r="CC126" i="51"/>
  <c r="CC178" i="51"/>
  <c r="BP376" i="51"/>
  <c r="CC491" i="51"/>
  <c r="CC494" i="51"/>
  <c r="BX78" i="51"/>
  <c r="BX79" i="51" s="1"/>
  <c r="CA463" i="51"/>
  <c r="CC75" i="51"/>
  <c r="CC76" i="51" s="1"/>
  <c r="CC87" i="51"/>
  <c r="BR375" i="51"/>
  <c r="BZ506" i="51"/>
  <c r="BZ514" i="51" s="1"/>
  <c r="BP377" i="51"/>
  <c r="CB381" i="51"/>
  <c r="CF494" i="51"/>
  <c r="CF383" i="51"/>
  <c r="BO506" i="51"/>
  <c r="BO516" i="51" s="1"/>
  <c r="BW395" i="51"/>
  <c r="BW354" i="51"/>
  <c r="BW538" i="51" s="1"/>
  <c r="CE375" i="51"/>
  <c r="BQ490" i="51"/>
  <c r="CR235" i="51"/>
  <c r="CS234" i="51"/>
  <c r="CS222" i="51"/>
  <c r="CR223" i="51"/>
  <c r="BK405" i="51"/>
  <c r="BJ409" i="51"/>
  <c r="BJ410" i="51" s="1"/>
  <c r="BJ21" i="51"/>
  <c r="CD460" i="51"/>
  <c r="CA460" i="51"/>
  <c r="CC131" i="51"/>
  <c r="CC132" i="51" s="1"/>
  <c r="BS337" i="51"/>
  <c r="P72" i="51"/>
  <c r="P73" i="51" s="1"/>
  <c r="P78" i="51"/>
  <c r="P79" i="51" s="1"/>
  <c r="P4" i="51"/>
  <c r="P66" i="51" s="1"/>
  <c r="BP375" i="51"/>
  <c r="CC181" i="51"/>
  <c r="BX72" i="51"/>
  <c r="BX73" i="51" s="1"/>
  <c r="CJ354" i="51"/>
  <c r="BU486" i="51"/>
  <c r="BS430" i="51"/>
  <c r="BZ377" i="51"/>
  <c r="BZ381" i="51"/>
  <c r="CO395" i="51"/>
  <c r="CO357" i="51"/>
  <c r="CO358" i="51" s="1"/>
  <c r="CO354" i="51"/>
  <c r="CD395" i="51"/>
  <c r="CD354" i="51"/>
  <c r="CD538" i="51" s="1"/>
  <c r="CH353" i="51"/>
  <c r="CD461" i="51"/>
  <c r="BX490" i="51"/>
  <c r="CA506" i="51"/>
  <c r="CA514" i="51" s="1"/>
  <c r="CC377" i="51"/>
  <c r="CR238" i="51"/>
  <c r="CS237" i="51"/>
  <c r="BB22" i="51"/>
  <c r="CC169" i="51"/>
  <c r="CC184" i="51"/>
  <c r="CE378" i="51"/>
  <c r="BQ442" i="51"/>
  <c r="BQ460" i="51" s="1"/>
  <c r="BO383" i="51"/>
  <c r="BY487" i="51"/>
  <c r="BY376" i="51"/>
  <c r="CC334" i="51"/>
  <c r="CC376" i="51" s="1"/>
  <c r="CD462" i="51"/>
  <c r="BR378" i="51"/>
  <c r="CD466" i="51"/>
  <c r="BR383" i="51"/>
  <c r="CE480" i="51"/>
  <c r="CE444" i="51"/>
  <c r="CE543" i="51" s="1"/>
  <c r="BQ491" i="51"/>
  <c r="BS491" i="51" s="1"/>
  <c r="AL25" i="51"/>
  <c r="CB468" i="51"/>
  <c r="BB409" i="51"/>
  <c r="BY460" i="51"/>
  <c r="BQ486" i="51"/>
  <c r="BQ353" i="51"/>
  <c r="BQ380" i="51" s="1"/>
  <c r="CF491" i="51"/>
  <c r="CF380" i="51"/>
  <c r="BX494" i="51"/>
  <c r="CA480" i="51"/>
  <c r="CA444" i="51"/>
  <c r="CA543" i="51" s="1"/>
  <c r="BX84" i="51"/>
  <c r="BX85" i="51" s="1"/>
  <c r="CC486" i="51"/>
  <c r="CB395" i="51"/>
  <c r="CB354" i="51"/>
  <c r="CB538" i="51" s="1"/>
  <c r="CB380" i="51"/>
  <c r="CC492" i="51"/>
  <c r="CT113" i="51"/>
  <c r="AU25" i="51"/>
  <c r="AU32" i="51" s="1"/>
  <c r="BA30" i="51"/>
  <c r="BA25" i="51"/>
  <c r="BC416" i="51"/>
  <c r="BX81" i="51"/>
  <c r="BX82" i="51" s="1"/>
  <c r="CA465" i="51"/>
  <c r="BT395" i="51"/>
  <c r="BT354" i="51"/>
  <c r="BT538" i="51" s="1"/>
  <c r="BX353" i="51"/>
  <c r="BX379" i="51" s="1"/>
  <c r="BG22" i="51"/>
  <c r="BB25" i="51"/>
  <c r="CC137" i="51"/>
  <c r="CC138" i="51" s="1"/>
  <c r="CC128" i="51"/>
  <c r="CC129" i="51" s="1"/>
  <c r="CE381" i="51"/>
  <c r="BS426" i="51"/>
  <c r="BS492" i="51"/>
  <c r="BP480" i="51"/>
  <c r="BX63" i="51"/>
  <c r="BX64" i="51" s="1"/>
  <c r="CC63" i="51"/>
  <c r="BY493" i="51"/>
  <c r="CC493" i="51" s="1"/>
  <c r="BY382" i="51"/>
  <c r="CC340" i="51"/>
  <c r="CC382" i="51" s="1"/>
  <c r="BR506" i="51"/>
  <c r="BR513" i="51" s="1"/>
  <c r="BX489" i="51"/>
  <c r="BP379" i="51"/>
  <c r="BT380" i="51"/>
  <c r="BX383" i="51"/>
  <c r="BS333" i="51"/>
  <c r="CE506" i="51"/>
  <c r="BY463" i="51"/>
  <c r="CC379" i="51"/>
  <c r="BY468" i="51"/>
  <c r="BK407" i="51"/>
  <c r="BJ23" i="51"/>
  <c r="BR380" i="51"/>
  <c r="CK506" i="51"/>
  <c r="CK395" i="51"/>
  <c r="CK357" i="51"/>
  <c r="CK358" i="51" s="1"/>
  <c r="CK354" i="51"/>
  <c r="BV480" i="51"/>
  <c r="CC378" i="51"/>
  <c r="BY466" i="51"/>
  <c r="BQ494" i="51"/>
  <c r="BS494" i="51" s="1"/>
  <c r="BO415" i="51"/>
  <c r="BN416" i="51"/>
  <c r="CC190" i="51"/>
  <c r="BX87" i="51"/>
  <c r="BX88" i="51" s="1"/>
  <c r="BO379" i="51"/>
  <c r="BO536" i="51" s="1"/>
  <c r="BO52" i="51" s="1"/>
  <c r="BO377" i="51"/>
  <c r="CE379" i="51"/>
  <c r="BP506" i="51"/>
  <c r="BP514" i="51" s="1"/>
  <c r="CB460" i="51"/>
  <c r="CD464" i="51"/>
  <c r="CC187" i="51"/>
  <c r="CC375" i="51"/>
  <c r="BS425" i="51"/>
  <c r="CH443" i="51"/>
  <c r="CH445" i="51" s="1"/>
  <c r="CC461" i="51"/>
  <c r="BT480" i="51"/>
  <c r="BT444" i="51"/>
  <c r="BT543" i="51" s="1"/>
  <c r="CB506" i="51"/>
  <c r="CB518" i="51" s="1"/>
  <c r="BV465" i="51"/>
  <c r="BV395" i="51"/>
  <c r="BT377" i="51"/>
  <c r="CB378" i="51"/>
  <c r="BP380" i="51"/>
  <c r="BT381" i="51"/>
  <c r="CB383" i="51"/>
  <c r="CA461" i="51"/>
  <c r="CC381" i="51"/>
  <c r="CL445" i="51"/>
  <c r="AG25" i="51"/>
  <c r="AG29" i="51" s="1"/>
  <c r="CC175" i="51"/>
  <c r="CA464" i="51"/>
  <c r="CG354" i="51"/>
  <c r="BQ487" i="51"/>
  <c r="BQ376" i="51"/>
  <c r="CA381" i="51"/>
  <c r="CA468" i="51"/>
  <c r="BT375" i="51"/>
  <c r="CF442" i="51"/>
  <c r="CK444" i="51" s="1"/>
  <c r="BR480" i="51"/>
  <c r="BZ480" i="51"/>
  <c r="BZ467" i="51"/>
  <c r="CD376" i="51"/>
  <c r="CD536" i="51" s="1"/>
  <c r="CD52" i="51" s="1"/>
  <c r="BT463" i="51"/>
  <c r="BT465" i="51"/>
  <c r="BT468" i="51"/>
  <c r="BS422" i="51"/>
  <c r="BO461" i="51"/>
  <c r="BY464" i="51"/>
  <c r="CC380" i="51"/>
  <c r="BF409" i="51"/>
  <c r="BF410" i="51" s="1"/>
  <c r="AV24" i="51"/>
  <c r="AW408" i="51"/>
  <c r="AV409" i="51"/>
  <c r="AV410" i="51" s="1"/>
  <c r="CB465" i="51"/>
  <c r="BT466" i="51"/>
  <c r="CE376" i="51"/>
  <c r="CC383" i="51"/>
  <c r="CN358" i="51"/>
  <c r="CF493" i="51"/>
  <c r="BY272" i="72"/>
  <c r="BY274" i="72" s="1"/>
  <c r="BY294" i="72"/>
  <c r="BY246" i="72"/>
  <c r="CH338" i="72"/>
  <c r="CR377" i="72"/>
  <c r="BY279" i="72"/>
  <c r="CI338" i="72"/>
  <c r="CJ335" i="72"/>
  <c r="CJ323" i="72"/>
  <c r="CK320" i="72"/>
  <c r="CK323" i="72" s="1"/>
  <c r="CL316" i="72"/>
  <c r="CL320" i="72" s="1"/>
  <c r="CL323" i="72" s="1"/>
  <c r="BY268" i="72"/>
  <c r="BY269" i="72"/>
  <c r="BP214" i="72"/>
  <c r="BO214" i="72"/>
  <c r="BO195" i="72"/>
  <c r="BQ195" i="72" s="1"/>
  <c r="BO194" i="72"/>
  <c r="BQ194" i="72" s="1"/>
  <c r="BO193" i="72"/>
  <c r="BO192" i="72"/>
  <c r="BO191" i="72"/>
  <c r="BQ191" i="72" s="1"/>
  <c r="BP181" i="72"/>
  <c r="BP187" i="72" s="1"/>
  <c r="BP201" i="72" s="1"/>
  <c r="BO181" i="72"/>
  <c r="BO187" i="72" s="1"/>
  <c r="BP180" i="72"/>
  <c r="BP184" i="72" s="1"/>
  <c r="BP198" i="72" s="1"/>
  <c r="BO180" i="72"/>
  <c r="BO184" i="72" s="1"/>
  <c r="BO198" i="72" s="1"/>
  <c r="BM165" i="72"/>
  <c r="BM167" i="72" s="1"/>
  <c r="BM170" i="72" s="1"/>
  <c r="BK153" i="72"/>
  <c r="BK146" i="72"/>
  <c r="BK139" i="72"/>
  <c r="BD131" i="72"/>
  <c r="BD123" i="72"/>
  <c r="BD115" i="72"/>
  <c r="BD107" i="72"/>
  <c r="BD98" i="72"/>
  <c r="AQ73" i="72" s="1"/>
  <c r="AR73" i="72" s="1"/>
  <c r="AS73" i="72" s="1"/>
  <c r="AT73" i="72" s="1"/>
  <c r="BE93" i="72"/>
  <c r="BF93" i="72" s="1"/>
  <c r="BG93" i="72" s="1"/>
  <c r="BH93" i="72" s="1"/>
  <c r="AU90" i="72"/>
  <c r="AV90" i="72" s="1"/>
  <c r="AW90" i="72" s="1"/>
  <c r="AQ90" i="72"/>
  <c r="AR90" i="72" s="1"/>
  <c r="AS90" i="72" s="1"/>
  <c r="AT90" i="72" s="1"/>
  <c r="AY83" i="72"/>
  <c r="AX83" i="72"/>
  <c r="AW83" i="72"/>
  <c r="AV83" i="72"/>
  <c r="AT83" i="72"/>
  <c r="AS83" i="72"/>
  <c r="AR83" i="72"/>
  <c r="AQ83" i="72"/>
  <c r="BA82" i="72"/>
  <c r="AU82" i="72"/>
  <c r="AV82" i="72" s="1"/>
  <c r="AW82" i="72" s="1"/>
  <c r="AP82" i="72"/>
  <c r="AQ82" i="72" s="1"/>
  <c r="AW81" i="72"/>
  <c r="AV81" i="72"/>
  <c r="AT81" i="72"/>
  <c r="AS81" i="72"/>
  <c r="AR81" i="72"/>
  <c r="AQ81" i="72"/>
  <c r="AV74" i="72"/>
  <c r="AW74" i="72" s="1"/>
  <c r="AX74" i="72" s="1"/>
  <c r="AY74" i="72" s="1"/>
  <c r="AZ74" i="72" s="1"/>
  <c r="BA74" i="72" s="1"/>
  <c r="AU73" i="72"/>
  <c r="AV73" i="72" s="1"/>
  <c r="AW73" i="72" s="1"/>
  <c r="AM65" i="72"/>
  <c r="AL65" i="72"/>
  <c r="AJ51" i="72"/>
  <c r="AJ53" i="72" s="1"/>
  <c r="AI51" i="72"/>
  <c r="AI53" i="72" s="1"/>
  <c r="AH51" i="72"/>
  <c r="AH53" i="72" s="1"/>
  <c r="AG51" i="72"/>
  <c r="AG53" i="72" s="1"/>
  <c r="BW461" i="51" l="1"/>
  <c r="BW465" i="51"/>
  <c r="BW466" i="51"/>
  <c r="BZ518" i="51"/>
  <c r="BW462" i="51"/>
  <c r="BW463" i="51"/>
  <c r="BW464" i="51"/>
  <c r="BW468" i="51"/>
  <c r="BV354" i="51"/>
  <c r="BV538" i="51" s="1"/>
  <c r="BW536" i="51"/>
  <c r="BW52" i="51" s="1"/>
  <c r="CB536" i="51"/>
  <c r="CB52" i="51" s="1"/>
  <c r="BQ379" i="51"/>
  <c r="BT536" i="51"/>
  <c r="BT52" i="51" s="1"/>
  <c r="CP842" i="49"/>
  <c r="CN778" i="49"/>
  <c r="BZ444" i="51"/>
  <c r="BZ543" i="51" s="1"/>
  <c r="CC465" i="51"/>
  <c r="CA536" i="51"/>
  <c r="CA52" i="51" s="1"/>
  <c r="CC64" i="51"/>
  <c r="BZ536" i="51"/>
  <c r="BZ52" i="51" s="1"/>
  <c r="CC78" i="51"/>
  <c r="CC79" i="51" s="1"/>
  <c r="CC84" i="51"/>
  <c r="CC85" i="51" s="1"/>
  <c r="CC72" i="51"/>
  <c r="CC73" i="51" s="1"/>
  <c r="BR541" i="51"/>
  <c r="BR54" i="51" s="1"/>
  <c r="CD514" i="51"/>
  <c r="CD517" i="51"/>
  <c r="BX442" i="51"/>
  <c r="BX464" i="51" s="1"/>
  <c r="BO541" i="51"/>
  <c r="BO54" i="51" s="1"/>
  <c r="CC462" i="51"/>
  <c r="CC467" i="51"/>
  <c r="BZ512" i="51"/>
  <c r="BZ515" i="51"/>
  <c r="BZ516" i="51"/>
  <c r="BZ511" i="51"/>
  <c r="BV444" i="51"/>
  <c r="BV543" i="51" s="1"/>
  <c r="CD511" i="51"/>
  <c r="BQ461" i="51"/>
  <c r="CC464" i="51"/>
  <c r="CD513" i="51"/>
  <c r="CD518" i="51"/>
  <c r="BV515" i="51"/>
  <c r="BV512" i="51"/>
  <c r="BW512" i="51"/>
  <c r="BW513" i="51"/>
  <c r="BW516" i="51"/>
  <c r="BW518" i="51"/>
  <c r="BV513" i="51"/>
  <c r="BW511" i="51"/>
  <c r="BV516" i="51"/>
  <c r="BV511" i="51"/>
  <c r="CC466" i="51"/>
  <c r="CC463" i="51"/>
  <c r="CC460" i="51"/>
  <c r="BT511" i="51"/>
  <c r="BM158" i="72"/>
  <c r="BO186" i="72"/>
  <c r="BO200" i="72" s="1"/>
  <c r="BP186" i="72"/>
  <c r="BP200" i="72" s="1"/>
  <c r="BO188" i="72"/>
  <c r="BO202" i="72" s="1"/>
  <c r="BQ193" i="72"/>
  <c r="AV85" i="72"/>
  <c r="BP188" i="72"/>
  <c r="BP202" i="72" s="1"/>
  <c r="CE541" i="51"/>
  <c r="CE54" i="51" s="1"/>
  <c r="BZ541" i="51"/>
  <c r="BZ54" i="51" s="1"/>
  <c r="BZ510" i="51"/>
  <c r="BT514" i="51"/>
  <c r="CB517" i="51"/>
  <c r="CF460" i="51"/>
  <c r="BT513" i="51"/>
  <c r="BT518" i="51"/>
  <c r="BV541" i="51"/>
  <c r="BV54" i="51" s="1"/>
  <c r="CB541" i="51"/>
  <c r="CB54" i="51" s="1"/>
  <c r="BP518" i="51"/>
  <c r="BP513" i="51"/>
  <c r="BT510" i="51"/>
  <c r="BT516" i="51"/>
  <c r="CH442" i="51"/>
  <c r="BQ463" i="51"/>
  <c r="BP541" i="51"/>
  <c r="BP54" i="51" s="1"/>
  <c r="BP511" i="51"/>
  <c r="BP516" i="51"/>
  <c r="K32" i="73"/>
  <c r="F32" i="73"/>
  <c r="C34" i="73"/>
  <c r="L32" i="73"/>
  <c r="G32" i="73"/>
  <c r="D34" i="73"/>
  <c r="K37" i="73"/>
  <c r="F37" i="73"/>
  <c r="L37" i="73"/>
  <c r="G37" i="73"/>
  <c r="I34" i="81"/>
  <c r="O903" i="49"/>
  <c r="T903" i="49"/>
  <c r="BP420" i="49"/>
  <c r="BQ419" i="49"/>
  <c r="BU420" i="49"/>
  <c r="BA214" i="51"/>
  <c r="CS761" i="49"/>
  <c r="CT476" i="49"/>
  <c r="CQ735" i="49"/>
  <c r="CQ554" i="49"/>
  <c r="CQ839" i="49" s="1"/>
  <c r="CR449" i="49"/>
  <c r="CJ420" i="49"/>
  <c r="CK419" i="49"/>
  <c r="CU962" i="49"/>
  <c r="CV656" i="49"/>
  <c r="CL965" i="49"/>
  <c r="CL803" i="49"/>
  <c r="CL693" i="49"/>
  <c r="CL838" i="49" s="1"/>
  <c r="CM659" i="49"/>
  <c r="CQ659" i="49"/>
  <c r="CI878" i="49"/>
  <c r="CJ877" i="49"/>
  <c r="CJ878" i="49" s="1"/>
  <c r="CS552" i="49"/>
  <c r="CT447" i="49"/>
  <c r="L816" i="49"/>
  <c r="L848" i="49" s="1"/>
  <c r="L563" i="49"/>
  <c r="CU770" i="49"/>
  <c r="CV484" i="49"/>
  <c r="CV770" i="49" s="1"/>
  <c r="CU529" i="49"/>
  <c r="CV426" i="49"/>
  <c r="CR740" i="49"/>
  <c r="CS454" i="49"/>
  <c r="CR559" i="49"/>
  <c r="CI445" i="51"/>
  <c r="CI506" i="51"/>
  <c r="CI480" i="51"/>
  <c r="AH907" i="49"/>
  <c r="CU859" i="49"/>
  <c r="CU747" i="49"/>
  <c r="CV461" i="49"/>
  <c r="CU968" i="49"/>
  <c r="CV662" i="49"/>
  <c r="CU751" i="49"/>
  <c r="CV465" i="49"/>
  <c r="CU763" i="49"/>
  <c r="CU546" i="49"/>
  <c r="CU832" i="49" s="1"/>
  <c r="CV477" i="49"/>
  <c r="CU970" i="49"/>
  <c r="CV664" i="49"/>
  <c r="CQ995" i="49"/>
  <c r="CR983" i="49"/>
  <c r="BT541" i="51"/>
  <c r="BT54" i="51" s="1"/>
  <c r="CM357" i="51"/>
  <c r="CM358" i="51" s="1"/>
  <c r="CU971" i="49"/>
  <c r="CV665" i="49"/>
  <c r="CS690" i="49"/>
  <c r="CT589" i="49"/>
  <c r="L419" i="49"/>
  <c r="Q420" i="49"/>
  <c r="CU964" i="49"/>
  <c r="CV658" i="49"/>
  <c r="AT997" i="49"/>
  <c r="AT849" i="49"/>
  <c r="AT853" i="49"/>
  <c r="AT850" i="49"/>
  <c r="AT851" i="49" s="1"/>
  <c r="CR594" i="49"/>
  <c r="CQ691" i="49"/>
  <c r="CQ836" i="49" s="1"/>
  <c r="CR590" i="49"/>
  <c r="AB420" i="49"/>
  <c r="AC419" i="49"/>
  <c r="CI659" i="49"/>
  <c r="CK729" i="49"/>
  <c r="CL587" i="49"/>
  <c r="CK688" i="49"/>
  <c r="CK833" i="49" s="1"/>
  <c r="CK1036" i="49" s="1"/>
  <c r="BJ997" i="49"/>
  <c r="BJ853" i="49"/>
  <c r="BJ850" i="49"/>
  <c r="BJ851" i="49" s="1"/>
  <c r="BJ849" i="49"/>
  <c r="CR699" i="49"/>
  <c r="CS598" i="49"/>
  <c r="CJ902" i="49"/>
  <c r="CJ903" i="49" s="1"/>
  <c r="CJ894" i="49"/>
  <c r="CR510" i="49"/>
  <c r="CQ544" i="49"/>
  <c r="CL967" i="49"/>
  <c r="CL695" i="49"/>
  <c r="CL840" i="49" s="1"/>
  <c r="CL805" i="49"/>
  <c r="CM661" i="49"/>
  <c r="CQ661" i="49"/>
  <c r="CQ967" i="49" s="1"/>
  <c r="BZ420" i="49"/>
  <c r="CA419" i="49"/>
  <c r="BF903" i="49"/>
  <c r="AV903" i="49"/>
  <c r="BH1043" i="49"/>
  <c r="BH1039" i="49"/>
  <c r="M859" i="49"/>
  <c r="R860" i="49" s="1"/>
  <c r="M747" i="49"/>
  <c r="M778" i="49" s="1"/>
  <c r="M492" i="49"/>
  <c r="M530" i="49"/>
  <c r="CU769" i="49"/>
  <c r="CV483" i="49"/>
  <c r="CV769" i="49" s="1"/>
  <c r="BM1039" i="49"/>
  <c r="CG358" i="51"/>
  <c r="BU997" i="49"/>
  <c r="BU853" i="49"/>
  <c r="BC214" i="51"/>
  <c r="BT1043" i="49"/>
  <c r="BT1039" i="49"/>
  <c r="BC30" i="51"/>
  <c r="BC29" i="51"/>
  <c r="BC31" i="51"/>
  <c r="BC32" i="51"/>
  <c r="CV749" i="49"/>
  <c r="CV532" i="49"/>
  <c r="BE213" i="51"/>
  <c r="CQ803" i="49"/>
  <c r="CR517" i="49"/>
  <c r="BU1042" i="49"/>
  <c r="CE827" i="49"/>
  <c r="CO894" i="49"/>
  <c r="BH31" i="51"/>
  <c r="BH33" i="51" s="1"/>
  <c r="BH32" i="51"/>
  <c r="BH30" i="51"/>
  <c r="BH29" i="51"/>
  <c r="CD907" i="49"/>
  <c r="CS591" i="49"/>
  <c r="CR692" i="49"/>
  <c r="CR837" i="49" s="1"/>
  <c r="CQ844" i="49"/>
  <c r="CS845" i="49"/>
  <c r="CT701" i="49"/>
  <c r="CT869" i="49"/>
  <c r="BR907" i="49"/>
  <c r="CI666" i="49"/>
  <c r="AK214" i="51"/>
  <c r="AP214" i="51"/>
  <c r="BX997" i="49"/>
  <c r="BX849" i="49"/>
  <c r="BX853" i="49"/>
  <c r="BX850" i="49"/>
  <c r="BX851" i="49" s="1"/>
  <c r="CI564" i="49"/>
  <c r="BV907" i="49"/>
  <c r="CA907" i="49"/>
  <c r="AA907" i="49"/>
  <c r="AL906" i="49"/>
  <c r="AL907" i="49" s="1"/>
  <c r="AL899" i="49"/>
  <c r="BS997" i="49"/>
  <c r="BS853" i="49"/>
  <c r="BS849" i="49"/>
  <c r="BS850" i="49"/>
  <c r="BS851" i="49" s="1"/>
  <c r="CQ732" i="49"/>
  <c r="CU762" i="49"/>
  <c r="CV474" i="49"/>
  <c r="CU545" i="49"/>
  <c r="CU831" i="49" s="1"/>
  <c r="BB907" i="49"/>
  <c r="W907" i="49"/>
  <c r="CG1044" i="49"/>
  <c r="CF997" i="49"/>
  <c r="CF854" i="49"/>
  <c r="CF850" i="49"/>
  <c r="CF851" i="49" s="1"/>
  <c r="CF853" i="49"/>
  <c r="BK997" i="49"/>
  <c r="BK853" i="49"/>
  <c r="CU771" i="49"/>
  <c r="CV485" i="49"/>
  <c r="CV771" i="49" s="1"/>
  <c r="CC997" i="49"/>
  <c r="CC854" i="49"/>
  <c r="CC853" i="49"/>
  <c r="CC850" i="49"/>
  <c r="CC851" i="49" s="1"/>
  <c r="CC849" i="49"/>
  <c r="CQ712" i="49"/>
  <c r="CQ529" i="49"/>
  <c r="CR426" i="49"/>
  <c r="CQ457" i="49"/>
  <c r="BA878" i="49"/>
  <c r="CS728" i="49"/>
  <c r="CT728" i="49" s="1"/>
  <c r="CS546" i="49"/>
  <c r="CS832" i="49" s="1"/>
  <c r="CV509" i="49"/>
  <c r="CR736" i="49"/>
  <c r="CS450" i="49"/>
  <c r="N141" i="49"/>
  <c r="O140" i="49"/>
  <c r="BP878" i="49"/>
  <c r="CR700" i="49"/>
  <c r="CS599" i="49"/>
  <c r="BL849" i="49"/>
  <c r="AZ213" i="51"/>
  <c r="AZ214" i="51" s="1"/>
  <c r="BA907" i="49"/>
  <c r="CE761" i="49"/>
  <c r="CE778" i="49" s="1"/>
  <c r="CE544" i="49"/>
  <c r="CE830" i="49" s="1"/>
  <c r="CE492" i="49"/>
  <c r="N903" i="49"/>
  <c r="CU782" i="49"/>
  <c r="CV496" i="49"/>
  <c r="R705" i="49"/>
  <c r="R706" i="49" s="1"/>
  <c r="N704" i="49"/>
  <c r="CV808" i="49"/>
  <c r="CR778" i="49"/>
  <c r="CS540" i="49"/>
  <c r="CT437" i="49"/>
  <c r="AF33" i="51"/>
  <c r="CQ542" i="49"/>
  <c r="CR439" i="49"/>
  <c r="M319" i="49"/>
  <c r="M110" i="49"/>
  <c r="M72" i="49"/>
  <c r="BS907" i="49"/>
  <c r="CS716" i="49"/>
  <c r="CT716" i="49" s="1"/>
  <c r="CS533" i="49"/>
  <c r="U903" i="49"/>
  <c r="CS785" i="49"/>
  <c r="CS881" i="49"/>
  <c r="BU214" i="51"/>
  <c r="BU903" i="49"/>
  <c r="BZ1036" i="49"/>
  <c r="AV906" i="49"/>
  <c r="AV907" i="49" s="1"/>
  <c r="CK743" i="49"/>
  <c r="AO25" i="51"/>
  <c r="AO28" i="51" s="1"/>
  <c r="CS581" i="49"/>
  <c r="CR681" i="49"/>
  <c r="CR825" i="49" s="1"/>
  <c r="CR722" i="49"/>
  <c r="Q997" i="49"/>
  <c r="Q850" i="49"/>
  <c r="Q851" i="49" s="1"/>
  <c r="Q849" i="49"/>
  <c r="V850" i="49"/>
  <c r="V851" i="49" s="1"/>
  <c r="BH997" i="49"/>
  <c r="BH853" i="49"/>
  <c r="BH849" i="49"/>
  <c r="BH850" i="49"/>
  <c r="BH851" i="49" s="1"/>
  <c r="BM997" i="49"/>
  <c r="BM850" i="49"/>
  <c r="BM851" i="49" s="1"/>
  <c r="BM853" i="49"/>
  <c r="BM849" i="49"/>
  <c r="AV997" i="49"/>
  <c r="AV850" i="49"/>
  <c r="AV851" i="49" s="1"/>
  <c r="AV853" i="49"/>
  <c r="BU1045" i="49"/>
  <c r="BU1044" i="49"/>
  <c r="BN1043" i="49"/>
  <c r="BN1039" i="49"/>
  <c r="CQ541" i="49"/>
  <c r="CR438" i="49"/>
  <c r="BA705" i="49"/>
  <c r="BA706" i="49" s="1"/>
  <c r="BF705" i="49"/>
  <c r="BF706" i="49" s="1"/>
  <c r="CU807" i="49"/>
  <c r="CV521" i="49"/>
  <c r="CV807" i="49" s="1"/>
  <c r="CK726" i="49"/>
  <c r="CK685" i="49"/>
  <c r="CK829" i="49" s="1"/>
  <c r="CK1037" i="49" s="1"/>
  <c r="CL585" i="49"/>
  <c r="CL601" i="49" s="1"/>
  <c r="CR847" i="49"/>
  <c r="CS702" i="49"/>
  <c r="CS576" i="49"/>
  <c r="CT776" i="49"/>
  <c r="CU490" i="49"/>
  <c r="CU862" i="49" s="1"/>
  <c r="N906" i="49"/>
  <c r="N899" i="49"/>
  <c r="S899" i="49"/>
  <c r="BI25" i="51"/>
  <c r="BI28" i="51"/>
  <c r="CU773" i="49"/>
  <c r="CV487" i="49"/>
  <c r="CV773" i="49" s="1"/>
  <c r="CQ884" i="49"/>
  <c r="CQ893" i="49" s="1"/>
  <c r="CR500" i="49"/>
  <c r="CQ534" i="49"/>
  <c r="CQ526" i="49"/>
  <c r="CS680" i="49"/>
  <c r="CT580" i="49"/>
  <c r="O899" i="49"/>
  <c r="T899" i="49"/>
  <c r="AX29" i="51"/>
  <c r="AX31" i="51"/>
  <c r="AX30" i="51"/>
  <c r="AX32" i="51"/>
  <c r="AW849" i="49"/>
  <c r="CM354" i="51"/>
  <c r="CI444" i="51"/>
  <c r="AX907" i="49"/>
  <c r="BY827" i="49"/>
  <c r="BY563" i="49"/>
  <c r="CV657" i="49"/>
  <c r="CU963" i="49"/>
  <c r="CC565" i="49"/>
  <c r="CC566" i="49" s="1"/>
  <c r="CC564" i="49"/>
  <c r="CA163" i="51"/>
  <c r="CL724" i="49"/>
  <c r="CM583" i="49"/>
  <c r="CH1039" i="49"/>
  <c r="CH1045" i="49" s="1"/>
  <c r="CU865" i="49"/>
  <c r="CU755" i="49"/>
  <c r="CV469" i="49"/>
  <c r="BQ997" i="49"/>
  <c r="BQ850" i="49"/>
  <c r="BQ851" i="49" s="1"/>
  <c r="BQ853" i="49"/>
  <c r="BQ849" i="49"/>
  <c r="BJ1039" i="49"/>
  <c r="CS547" i="49"/>
  <c r="CR717" i="49"/>
  <c r="AR31" i="51"/>
  <c r="AR32" i="51"/>
  <c r="AR30" i="51"/>
  <c r="AR29" i="51"/>
  <c r="CU766" i="49"/>
  <c r="CV480" i="49"/>
  <c r="CV766" i="49" s="1"/>
  <c r="CV660" i="49"/>
  <c r="BP906" i="49"/>
  <c r="BP899" i="49"/>
  <c r="CR698" i="49"/>
  <c r="CS597" i="49"/>
  <c r="J419" i="49"/>
  <c r="O420" i="49"/>
  <c r="AY25" i="51"/>
  <c r="CQ738" i="49"/>
  <c r="CQ557" i="49"/>
  <c r="CR452" i="49"/>
  <c r="BV997" i="49"/>
  <c r="BV849" i="49"/>
  <c r="BV853" i="49"/>
  <c r="BV850" i="49"/>
  <c r="BV851" i="49" s="1"/>
  <c r="CA850" i="49"/>
  <c r="CA851" i="49" s="1"/>
  <c r="CA854" i="49"/>
  <c r="L871" i="49"/>
  <c r="O705" i="49"/>
  <c r="O706" i="49" s="1"/>
  <c r="O704" i="49"/>
  <c r="T705" i="49"/>
  <c r="T706" i="49" s="1"/>
  <c r="P704" i="49"/>
  <c r="AZ32" i="51"/>
  <c r="AZ29" i="51"/>
  <c r="AZ30" i="51"/>
  <c r="AZ31" i="51"/>
  <c r="BK906" i="49"/>
  <c r="BK899" i="49"/>
  <c r="BL900" i="49"/>
  <c r="K824" i="49"/>
  <c r="K848" i="49" s="1"/>
  <c r="K563" i="49"/>
  <c r="I163" i="51"/>
  <c r="N164" i="51" s="1"/>
  <c r="BF1036" i="49"/>
  <c r="BF848" i="49"/>
  <c r="BG849" i="49" s="1"/>
  <c r="BO1039" i="49"/>
  <c r="M871" i="49"/>
  <c r="R872" i="49" s="1"/>
  <c r="P537" i="51" s="1"/>
  <c r="BX1039" i="49"/>
  <c r="AP907" i="49"/>
  <c r="CR596" i="49"/>
  <c r="CQ697" i="49"/>
  <c r="CB997" i="49"/>
  <c r="CB850" i="49"/>
  <c r="CB851" i="49" s="1"/>
  <c r="CB849" i="49"/>
  <c r="CB853" i="49"/>
  <c r="CB854" i="49"/>
  <c r="CV781" i="49"/>
  <c r="CU748" i="49"/>
  <c r="CV462" i="49"/>
  <c r="CV748" i="49" s="1"/>
  <c r="CU806" i="49"/>
  <c r="CV520" i="49"/>
  <c r="CJ822" i="49"/>
  <c r="CJ563" i="49"/>
  <c r="CN819" i="49"/>
  <c r="CN563" i="49"/>
  <c r="BS1043" i="49"/>
  <c r="BS1039" i="49"/>
  <c r="CO871" i="49"/>
  <c r="BD25" i="51"/>
  <c r="BD28" i="51" s="1"/>
  <c r="CQ558" i="49"/>
  <c r="CQ843" i="49" s="1"/>
  <c r="CR453" i="49"/>
  <c r="CQ739" i="49"/>
  <c r="BF164" i="51"/>
  <c r="BF213" i="51"/>
  <c r="BF214" i="51" s="1"/>
  <c r="CF1043" i="49"/>
  <c r="CF1039" i="49"/>
  <c r="BI997" i="49"/>
  <c r="BI850" i="49"/>
  <c r="BI851" i="49" s="1"/>
  <c r="BI849" i="49"/>
  <c r="BI853" i="49"/>
  <c r="CF907" i="49"/>
  <c r="N420" i="49"/>
  <c r="O419" i="49"/>
  <c r="CC1039" i="49"/>
  <c r="CC1043" i="49" s="1"/>
  <c r="BT907" i="49"/>
  <c r="CS677" i="49"/>
  <c r="CT577" i="49"/>
  <c r="J140" i="49"/>
  <c r="O141" i="49"/>
  <c r="AJ25" i="51"/>
  <c r="AJ28" i="51" s="1"/>
  <c r="AT25" i="51"/>
  <c r="AT28" i="51"/>
  <c r="CS775" i="49"/>
  <c r="CS971" i="49"/>
  <c r="BL214" i="51"/>
  <c r="CR530" i="49"/>
  <c r="CS427" i="49"/>
  <c r="BP214" i="51"/>
  <c r="BU907" i="49"/>
  <c r="CU797" i="49"/>
  <c r="CV511" i="49"/>
  <c r="CV797" i="49" s="1"/>
  <c r="CU759" i="49"/>
  <c r="CV473" i="49"/>
  <c r="CV759" i="49" s="1"/>
  <c r="CL727" i="49"/>
  <c r="CM586" i="49"/>
  <c r="J997" i="49"/>
  <c r="J849" i="49"/>
  <c r="CU808" i="49"/>
  <c r="CR553" i="49"/>
  <c r="CS448" i="49"/>
  <c r="BP1036" i="49"/>
  <c r="BP848" i="49"/>
  <c r="BG997" i="49"/>
  <c r="BG853" i="49"/>
  <c r="BG850" i="49"/>
  <c r="BG851" i="49" s="1"/>
  <c r="CU774" i="49"/>
  <c r="CV488" i="49"/>
  <c r="CV774" i="49" s="1"/>
  <c r="BK565" i="49"/>
  <c r="BK566" i="49" s="1"/>
  <c r="CO442" i="51"/>
  <c r="CP902" i="49"/>
  <c r="CP903" i="49" s="1"/>
  <c r="CP894" i="49"/>
  <c r="CU802" i="49"/>
  <c r="CV516" i="49"/>
  <c r="O824" i="49"/>
  <c r="O848" i="49" s="1"/>
  <c r="O563" i="49"/>
  <c r="CR819" i="49"/>
  <c r="M327" i="49"/>
  <c r="M396" i="49" s="1"/>
  <c r="M118" i="49"/>
  <c r="CH849" i="49"/>
  <c r="CH852" i="49"/>
  <c r="CH850" i="49"/>
  <c r="CH851" i="49" s="1"/>
  <c r="CQ693" i="49"/>
  <c r="CR592" i="49"/>
  <c r="CU579" i="49"/>
  <c r="AS29" i="51"/>
  <c r="AS33" i="51" s="1"/>
  <c r="AS31" i="51"/>
  <c r="AS32" i="51"/>
  <c r="AS30" i="51"/>
  <c r="AQ899" i="49"/>
  <c r="AL997" i="49"/>
  <c r="AL850" i="49"/>
  <c r="AL851" i="49" s="1"/>
  <c r="AL853" i="49"/>
  <c r="AM849" i="49"/>
  <c r="CQ682" i="49"/>
  <c r="CQ826" i="49" s="1"/>
  <c r="CR582" i="49"/>
  <c r="CQ723" i="49"/>
  <c r="BZ724" i="49"/>
  <c r="BZ743" i="49" s="1"/>
  <c r="BY743" i="49"/>
  <c r="CQ805" i="49"/>
  <c r="CR519" i="49"/>
  <c r="CR555" i="49" s="1"/>
  <c r="BZ906" i="49"/>
  <c r="BZ907" i="49" s="1"/>
  <c r="BZ899" i="49"/>
  <c r="O872" i="49"/>
  <c r="M537" i="51" s="1"/>
  <c r="T872" i="49"/>
  <c r="R537" i="51" s="1"/>
  <c r="O877" i="49"/>
  <c r="O906" i="49" s="1"/>
  <c r="CT891" i="49"/>
  <c r="AB906" i="49"/>
  <c r="AB907" i="49" s="1"/>
  <c r="AB899" i="49"/>
  <c r="CR737" i="49"/>
  <c r="CR556" i="49"/>
  <c r="CS451" i="49"/>
  <c r="CU767" i="49"/>
  <c r="CV481" i="49"/>
  <c r="CV767" i="49" s="1"/>
  <c r="BT997" i="49"/>
  <c r="BT850" i="49"/>
  <c r="BT851" i="49" s="1"/>
  <c r="BT849" i="49"/>
  <c r="BT853" i="49"/>
  <c r="CS756" i="49"/>
  <c r="CS865" i="49"/>
  <c r="CS871" i="49" s="1"/>
  <c r="AQ850" i="49"/>
  <c r="AQ851" i="49" s="1"/>
  <c r="CG1042" i="49"/>
  <c r="CG1045" i="49"/>
  <c r="BZ796" i="49"/>
  <c r="BZ812" i="49" s="1"/>
  <c r="BZ544" i="49"/>
  <c r="BZ830" i="49" s="1"/>
  <c r="BZ526" i="49"/>
  <c r="P866" i="49"/>
  <c r="K871" i="49"/>
  <c r="BR1043" i="49"/>
  <c r="BR1039" i="49"/>
  <c r="CU868" i="49"/>
  <c r="CU758" i="49"/>
  <c r="CV472" i="49"/>
  <c r="CV507" i="49"/>
  <c r="AN31" i="51"/>
  <c r="AN30" i="51"/>
  <c r="AN32" i="51"/>
  <c r="AN29" i="51"/>
  <c r="CU890" i="49"/>
  <c r="BW1039" i="49"/>
  <c r="CL725" i="49"/>
  <c r="CL684" i="49"/>
  <c r="CL828" i="49" s="1"/>
  <c r="CM584" i="49"/>
  <c r="AG899" i="49"/>
  <c r="AU997" i="49"/>
  <c r="AU853" i="49"/>
  <c r="AU849" i="49"/>
  <c r="AU850" i="49"/>
  <c r="AU851" i="49" s="1"/>
  <c r="CQ672" i="49"/>
  <c r="CR572" i="49"/>
  <c r="K704" i="49"/>
  <c r="P705" i="49"/>
  <c r="P706" i="49" s="1"/>
  <c r="CU792" i="49"/>
  <c r="CV506" i="49"/>
  <c r="CV792" i="49" s="1"/>
  <c r="BB704" i="49"/>
  <c r="CR502" i="49"/>
  <c r="CQ536" i="49"/>
  <c r="CM564" i="49"/>
  <c r="CM565" i="49"/>
  <c r="CM566" i="49" s="1"/>
  <c r="CU969" i="49"/>
  <c r="CU783" i="49"/>
  <c r="CV497" i="49"/>
  <c r="CV783" i="49" s="1"/>
  <c r="CU874" i="49"/>
  <c r="CU635" i="49"/>
  <c r="CS412" i="51" s="1"/>
  <c r="CV604" i="49"/>
  <c r="CV938" i="49" s="1"/>
  <c r="CS750" i="49"/>
  <c r="CS492" i="49"/>
  <c r="CQ353" i="51" s="1"/>
  <c r="CV666" i="49"/>
  <c r="O866" i="49"/>
  <c r="T866" i="49"/>
  <c r="CI661" i="49"/>
  <c r="CM442" i="51"/>
  <c r="CM480" i="51" s="1"/>
  <c r="CO761" i="49"/>
  <c r="CO778" i="49" s="1"/>
  <c r="CO544" i="49"/>
  <c r="CO492" i="49"/>
  <c r="BL1045" i="49"/>
  <c r="BL1044" i="49"/>
  <c r="BL1042" i="49"/>
  <c r="CV800" i="49"/>
  <c r="BZ541" i="49"/>
  <c r="BZ457" i="49"/>
  <c r="BX20" i="51" s="1"/>
  <c r="CE899" i="49"/>
  <c r="CQ787" i="49"/>
  <c r="CR501" i="49"/>
  <c r="CQ535" i="49"/>
  <c r="CQ821" i="49" s="1"/>
  <c r="CN506" i="51"/>
  <c r="CN444" i="51"/>
  <c r="CN480" i="51"/>
  <c r="CQ543" i="49"/>
  <c r="CR440" i="49"/>
  <c r="CU953" i="49"/>
  <c r="CV651" i="49"/>
  <c r="CV953" i="49" s="1"/>
  <c r="AQ213" i="51"/>
  <c r="AQ214" i="51" s="1"/>
  <c r="AQ164" i="51"/>
  <c r="CK827" i="49"/>
  <c r="BZ164" i="51"/>
  <c r="BZ213" i="51"/>
  <c r="BZ214" i="51" s="1"/>
  <c r="BQ1039" i="49"/>
  <c r="CR578" i="49"/>
  <c r="CQ719" i="49"/>
  <c r="CU809" i="49"/>
  <c r="CV523" i="49"/>
  <c r="CS674" i="49"/>
  <c r="CS818" i="49" s="1"/>
  <c r="CT574" i="49"/>
  <c r="BK878" i="49"/>
  <c r="AR28" i="51"/>
  <c r="BE164" i="51"/>
  <c r="BT214" i="51"/>
  <c r="CD214" i="51"/>
  <c r="CQ841" i="49"/>
  <c r="CN872" i="49"/>
  <c r="CL20" i="51"/>
  <c r="CL36" i="51" s="1"/>
  <c r="CM36" i="51" s="1"/>
  <c r="CN877" i="49"/>
  <c r="CG850" i="49"/>
  <c r="CG851" i="49" s="1"/>
  <c r="CR804" i="49"/>
  <c r="CS518" i="49"/>
  <c r="CR966" i="49"/>
  <c r="V907" i="49"/>
  <c r="AV565" i="49"/>
  <c r="AV566" i="49" s="1"/>
  <c r="AW564" i="49"/>
  <c r="CR872" i="49"/>
  <c r="CR877" i="49"/>
  <c r="CR878" i="49" s="1"/>
  <c r="BV1043" i="49"/>
  <c r="BV1039" i="49"/>
  <c r="BG214" i="51"/>
  <c r="CT810" i="49"/>
  <c r="CU524" i="49"/>
  <c r="CU972" i="49" s="1"/>
  <c r="AN907" i="49"/>
  <c r="BK903" i="49"/>
  <c r="BK1039" i="49"/>
  <c r="BK1043" i="49" s="1"/>
  <c r="BN997" i="49"/>
  <c r="BN849" i="49"/>
  <c r="BN853" i="49"/>
  <c r="BN850" i="49"/>
  <c r="BN851" i="49" s="1"/>
  <c r="M898" i="49"/>
  <c r="BR997" i="49"/>
  <c r="BR850" i="49"/>
  <c r="BR851" i="49" s="1"/>
  <c r="BR849" i="49"/>
  <c r="BR853" i="49"/>
  <c r="CA900" i="49"/>
  <c r="BA997" i="49"/>
  <c r="BA850" i="49"/>
  <c r="BA851" i="49" s="1"/>
  <c r="BA853" i="49"/>
  <c r="CB1039" i="49"/>
  <c r="CU881" i="49"/>
  <c r="CL354" i="51"/>
  <c r="CL395" i="51"/>
  <c r="CL357" i="51"/>
  <c r="CL358" i="51" s="1"/>
  <c r="CL506" i="51"/>
  <c r="CL507" i="51" s="1"/>
  <c r="CU794" i="49"/>
  <c r="CQ550" i="49"/>
  <c r="CQ835" i="49" s="1"/>
  <c r="CQ731" i="49"/>
  <c r="CR445" i="49"/>
  <c r="CD1039" i="49"/>
  <c r="AW214" i="51"/>
  <c r="L704" i="49"/>
  <c r="BW997" i="49"/>
  <c r="BW853" i="49"/>
  <c r="BW850" i="49"/>
  <c r="BW851" i="49" s="1"/>
  <c r="BW849" i="49"/>
  <c r="BZ141" i="49"/>
  <c r="CA140" i="49"/>
  <c r="CS446" i="49"/>
  <c r="CR732" i="49"/>
  <c r="CR551" i="49"/>
  <c r="CS531" i="49"/>
  <c r="CT428" i="49"/>
  <c r="CN902" i="49"/>
  <c r="CN903" i="49" s="1"/>
  <c r="AP29" i="51"/>
  <c r="AP32" i="51"/>
  <c r="AP33" i="51" s="1"/>
  <c r="AP31" i="51"/>
  <c r="AP30" i="51"/>
  <c r="CR694" i="49"/>
  <c r="CS593" i="49"/>
  <c r="CU801" i="49"/>
  <c r="CV515" i="49"/>
  <c r="CV881" i="49" s="1"/>
  <c r="BO997" i="49"/>
  <c r="BO853" i="49"/>
  <c r="BO850" i="49"/>
  <c r="BO851" i="49" s="1"/>
  <c r="BO849" i="49"/>
  <c r="AG906" i="49"/>
  <c r="CS720" i="49"/>
  <c r="CT720" i="49" s="1"/>
  <c r="BI1039" i="49"/>
  <c r="BI1043" i="49" s="1"/>
  <c r="CR741" i="49"/>
  <c r="CR560" i="49"/>
  <c r="CS455" i="49"/>
  <c r="AV164" i="51"/>
  <c r="CU938" i="49"/>
  <c r="R906" i="49"/>
  <c r="CU753" i="49"/>
  <c r="CV467" i="49"/>
  <c r="CP815" i="49"/>
  <c r="CP563" i="49"/>
  <c r="CR887" i="49"/>
  <c r="CS503" i="49"/>
  <c r="CS573" i="49"/>
  <c r="CR673" i="49"/>
  <c r="CR817" i="49" s="1"/>
  <c r="CR538" i="49"/>
  <c r="CR824" i="49" s="1"/>
  <c r="CS435" i="49"/>
  <c r="CR721" i="49"/>
  <c r="CR696" i="49"/>
  <c r="CS595" i="49"/>
  <c r="CQ736" i="49"/>
  <c r="AT907" i="49"/>
  <c r="BG907" i="49"/>
  <c r="CS671" i="49"/>
  <c r="CT571" i="49"/>
  <c r="CQ713" i="49"/>
  <c r="W903" i="49"/>
  <c r="BU899" i="49"/>
  <c r="CS539" i="49"/>
  <c r="BV213" i="51"/>
  <c r="BV214" i="51" s="1"/>
  <c r="CT575" i="49"/>
  <c r="CS675" i="49"/>
  <c r="CG907" i="49"/>
  <c r="CD830" i="49"/>
  <c r="CD848" i="49" s="1"/>
  <c r="CD563" i="49"/>
  <c r="CP822" i="49"/>
  <c r="CP1035" i="49" s="1"/>
  <c r="R278" i="49"/>
  <c r="R875" i="49"/>
  <c r="BB849" i="49"/>
  <c r="CU790" i="49"/>
  <c r="CV504" i="49"/>
  <c r="CV790" i="49" s="1"/>
  <c r="CQ553" i="49"/>
  <c r="CQ838" i="49" s="1"/>
  <c r="CP395" i="51"/>
  <c r="CP357" i="51"/>
  <c r="CP358" i="51" s="1"/>
  <c r="CU746" i="49"/>
  <c r="CV460" i="49"/>
  <c r="CV937" i="49" s="1"/>
  <c r="AY907" i="49"/>
  <c r="BG1043" i="49"/>
  <c r="BG1039" i="49"/>
  <c r="CT862" i="49"/>
  <c r="CT863" i="49" s="1"/>
  <c r="CE213" i="51"/>
  <c r="CE164" i="51"/>
  <c r="BM214" i="51"/>
  <c r="BK164" i="51"/>
  <c r="CU752" i="49"/>
  <c r="CV610" i="49"/>
  <c r="CV752" i="49" s="1"/>
  <c r="L139" i="49"/>
  <c r="AL903" i="49"/>
  <c r="AX28" i="51"/>
  <c r="W878" i="49"/>
  <c r="CN20" i="51"/>
  <c r="CN36" i="51" s="1"/>
  <c r="CE903" i="49"/>
  <c r="BF906" i="49"/>
  <c r="BF907" i="49" s="1"/>
  <c r="CE507" i="51"/>
  <c r="CE530" i="51"/>
  <c r="CE107" i="51"/>
  <c r="BR530" i="51"/>
  <c r="BR107" i="51"/>
  <c r="AL31" i="51"/>
  <c r="AL32" i="51"/>
  <c r="AL30" i="51"/>
  <c r="AL28" i="51"/>
  <c r="CA541" i="51"/>
  <c r="CA54" i="51" s="1"/>
  <c r="BO530" i="51"/>
  <c r="BO107" i="51"/>
  <c r="U4" i="51"/>
  <c r="U81" i="51" s="1"/>
  <c r="U78" i="51"/>
  <c r="U72" i="51"/>
  <c r="BO518" i="51"/>
  <c r="BO416" i="51"/>
  <c r="BP415" i="51"/>
  <c r="BR510" i="51"/>
  <c r="BY506" i="51"/>
  <c r="BY511" i="51" s="1"/>
  <c r="CE517" i="51"/>
  <c r="BQ506" i="51"/>
  <c r="BS506" i="51" s="1"/>
  <c r="BB410" i="51"/>
  <c r="BQ480" i="51"/>
  <c r="BQ462" i="51"/>
  <c r="BQ465" i="51"/>
  <c r="BQ466" i="51"/>
  <c r="BX381" i="51"/>
  <c r="BX377" i="51"/>
  <c r="BU506" i="51"/>
  <c r="BU510" i="51" s="1"/>
  <c r="CB511" i="51"/>
  <c r="P87" i="51"/>
  <c r="P84" i="51"/>
  <c r="CT222" i="51"/>
  <c r="CE536" i="51"/>
  <c r="CE52" i="51" s="1"/>
  <c r="BO510" i="51"/>
  <c r="BX380" i="51"/>
  <c r="CC88" i="51"/>
  <c r="CF465" i="51"/>
  <c r="BX486" i="51"/>
  <c r="U66" i="51"/>
  <c r="Z67" i="51" s="1"/>
  <c r="BM408" i="51"/>
  <c r="BL24" i="51"/>
  <c r="CC120" i="51"/>
  <c r="BX376" i="51"/>
  <c r="BM406" i="51"/>
  <c r="BL22" i="51"/>
  <c r="BW530" i="51"/>
  <c r="BW507" i="51"/>
  <c r="BW107" i="51"/>
  <c r="CC67" i="51"/>
  <c r="CF395" i="51"/>
  <c r="CF354" i="51"/>
  <c r="CF538" i="51" s="1"/>
  <c r="CF379" i="51"/>
  <c r="CF382" i="51"/>
  <c r="CF381" i="51"/>
  <c r="CF377" i="51"/>
  <c r="CE516" i="51"/>
  <c r="CC480" i="51"/>
  <c r="BV530" i="51"/>
  <c r="BV107" i="51"/>
  <c r="BV514" i="51"/>
  <c r="CE518" i="51"/>
  <c r="BS487" i="51"/>
  <c r="CT237" i="51"/>
  <c r="CE515" i="51"/>
  <c r="CT225" i="51"/>
  <c r="CE514" i="51"/>
  <c r="CA515" i="51"/>
  <c r="AM410" i="51"/>
  <c r="AR410" i="51"/>
  <c r="BO511" i="51"/>
  <c r="BY536" i="51"/>
  <c r="BY52" i="51" s="1"/>
  <c r="AV25" i="51"/>
  <c r="AV32" i="51" s="1"/>
  <c r="CE513" i="51"/>
  <c r="CB530" i="51"/>
  <c r="CB507" i="51"/>
  <c r="CB107" i="51"/>
  <c r="CF467" i="51"/>
  <c r="BP530" i="51"/>
  <c r="BP107" i="51"/>
  <c r="CE510" i="51"/>
  <c r="BP512" i="51"/>
  <c r="BB28" i="51"/>
  <c r="BB32" i="51"/>
  <c r="BB31" i="51"/>
  <c r="CA511" i="51"/>
  <c r="CB512" i="51"/>
  <c r="BQ395" i="51"/>
  <c r="BQ381" i="51"/>
  <c r="BQ383" i="51"/>
  <c r="BQ378" i="51"/>
  <c r="BQ377" i="51"/>
  <c r="AL29" i="51"/>
  <c r="BX375" i="51"/>
  <c r="CC487" i="51"/>
  <c r="U63" i="51"/>
  <c r="BO515" i="51"/>
  <c r="CA510" i="51"/>
  <c r="CB515" i="51"/>
  <c r="P75" i="51"/>
  <c r="P76" i="51" s="1"/>
  <c r="P63" i="51"/>
  <c r="P64" i="51" s="1"/>
  <c r="CB514" i="51"/>
  <c r="BZ530" i="51"/>
  <c r="BZ107" i="51"/>
  <c r="BR514" i="51"/>
  <c r="CA518" i="51"/>
  <c r="CE512" i="51"/>
  <c r="BQ464" i="51"/>
  <c r="CJ507" i="51"/>
  <c r="CC69" i="51"/>
  <c r="U87" i="51"/>
  <c r="CD530" i="51"/>
  <c r="CD107" i="51"/>
  <c r="BU395" i="51"/>
  <c r="BU354" i="51"/>
  <c r="BU538" i="51" s="1"/>
  <c r="BU383" i="51"/>
  <c r="BU378" i="51"/>
  <c r="BU379" i="51"/>
  <c r="BU381" i="51"/>
  <c r="BU377" i="51"/>
  <c r="BU380" i="51"/>
  <c r="BU375" i="51"/>
  <c r="BS490" i="51"/>
  <c r="BS353" i="51"/>
  <c r="BS379" i="51" s="1"/>
  <c r="BE33" i="51"/>
  <c r="CF506" i="51"/>
  <c r="CF511" i="51" s="1"/>
  <c r="BZ513" i="51"/>
  <c r="BO513" i="51"/>
  <c r="BR512" i="51"/>
  <c r="CD512" i="51"/>
  <c r="CC395" i="51"/>
  <c r="CC354" i="51"/>
  <c r="CC538" i="51" s="1"/>
  <c r="AU30" i="51"/>
  <c r="AU29" i="51"/>
  <c r="AU28" i="51"/>
  <c r="AU31" i="51"/>
  <c r="BR516" i="51"/>
  <c r="CA530" i="51"/>
  <c r="CA507" i="51"/>
  <c r="CA107" i="51"/>
  <c r="BL405" i="51"/>
  <c r="BK409" i="51"/>
  <c r="BK410" i="51" s="1"/>
  <c r="BK21" i="51"/>
  <c r="BF25" i="51"/>
  <c r="U84" i="51"/>
  <c r="AW24" i="51"/>
  <c r="AW409" i="51"/>
  <c r="AW410" i="51" s="1"/>
  <c r="BR518" i="51"/>
  <c r="CF480" i="51"/>
  <c r="CF444" i="51"/>
  <c r="CF543" i="51" s="1"/>
  <c r="CF466" i="51"/>
  <c r="CF464" i="51"/>
  <c r="CF462" i="51"/>
  <c r="CF461" i="51"/>
  <c r="AG28" i="51"/>
  <c r="AG32" i="51"/>
  <c r="AG31" i="51"/>
  <c r="AG30" i="51"/>
  <c r="CB510" i="51"/>
  <c r="BP510" i="51"/>
  <c r="CA517" i="51"/>
  <c r="BL407" i="51"/>
  <c r="BK23" i="51"/>
  <c r="CB516" i="51"/>
  <c r="BB29" i="51"/>
  <c r="BX395" i="51"/>
  <c r="BX354" i="51"/>
  <c r="BX538" i="51" s="1"/>
  <c r="BA28" i="51"/>
  <c r="BA29" i="51"/>
  <c r="BA32" i="51"/>
  <c r="BA31" i="51"/>
  <c r="BQ375" i="51"/>
  <c r="BY541" i="51"/>
  <c r="BY54" i="51" s="1"/>
  <c r="BR511" i="51"/>
  <c r="CA512" i="51"/>
  <c r="CG507" i="51"/>
  <c r="BB30" i="51"/>
  <c r="CH395" i="51"/>
  <c r="CH354" i="51"/>
  <c r="BP536" i="51"/>
  <c r="BP52" i="51" s="1"/>
  <c r="P81" i="51"/>
  <c r="P82" i="51" s="1"/>
  <c r="CA513" i="51"/>
  <c r="CD541" i="51"/>
  <c r="CD54" i="51" s="1"/>
  <c r="BA410" i="51"/>
  <c r="BJ25" i="51"/>
  <c r="BJ29" i="51" s="1"/>
  <c r="CT234" i="51"/>
  <c r="BS486" i="51"/>
  <c r="BR536" i="51"/>
  <c r="BR52" i="51" s="1"/>
  <c r="CE511" i="51"/>
  <c r="BS442" i="51"/>
  <c r="BS463" i="51" s="1"/>
  <c r="CF468" i="51"/>
  <c r="CF463" i="51"/>
  <c r="BT530" i="51"/>
  <c r="BT507" i="51"/>
  <c r="BT107" i="51"/>
  <c r="U75" i="51"/>
  <c r="CA516" i="51"/>
  <c r="AH25" i="51"/>
  <c r="BP515" i="51"/>
  <c r="CB513" i="51"/>
  <c r="BT512" i="51"/>
  <c r="CD510" i="51"/>
  <c r="BO512" i="51"/>
  <c r="BU444" i="51"/>
  <c r="BU543" i="51" s="1"/>
  <c r="BU480" i="51"/>
  <c r="BU462" i="51"/>
  <c r="BU468" i="51"/>
  <c r="BU465" i="51"/>
  <c r="BU466" i="51"/>
  <c r="BU464" i="51"/>
  <c r="BU463" i="51"/>
  <c r="BO514" i="51"/>
  <c r="BU376" i="51"/>
  <c r="BR515" i="51"/>
  <c r="BW510" i="51"/>
  <c r="CC82" i="51"/>
  <c r="CD516" i="51"/>
  <c r="BU461" i="51"/>
  <c r="AM25" i="51"/>
  <c r="AM29" i="51" s="1"/>
  <c r="CF376" i="51"/>
  <c r="BV510" i="51"/>
  <c r="BW515" i="51"/>
  <c r="BG23" i="51"/>
  <c r="BG25" i="51" s="1"/>
  <c r="BQ468" i="51"/>
  <c r="BX378" i="51"/>
  <c r="BG409" i="51"/>
  <c r="BG410" i="51" s="1"/>
  <c r="AX73" i="72"/>
  <c r="AY73" i="72" s="1"/>
  <c r="AZ73" i="72" s="1"/>
  <c r="BA73" i="72" s="1"/>
  <c r="BR202" i="72"/>
  <c r="AW85" i="72"/>
  <c r="AX82" i="72"/>
  <c r="AY82" i="72" s="1"/>
  <c r="AR82" i="72"/>
  <c r="AS82" i="72" s="1"/>
  <c r="AQ85" i="72"/>
  <c r="BR198" i="72"/>
  <c r="BQ198" i="72"/>
  <c r="AX90" i="72"/>
  <c r="AY90" i="72" s="1"/>
  <c r="AZ90" i="72" s="1"/>
  <c r="BA90" i="72" s="1"/>
  <c r="BQ192" i="72"/>
  <c r="BO201" i="72"/>
  <c r="BQ201" i="72" s="1"/>
  <c r="BO185" i="72"/>
  <c r="BO199" i="72" s="1"/>
  <c r="BP185" i="72"/>
  <c r="BP199" i="72" s="1"/>
  <c r="CJ338" i="72"/>
  <c r="BY287" i="72"/>
  <c r="BY277" i="72"/>
  <c r="BY281" i="72" s="1"/>
  <c r="BY285" i="72" s="1"/>
  <c r="BX287" i="72" s="1"/>
  <c r="BW541" i="51" l="1"/>
  <c r="BW54" i="51" s="1"/>
  <c r="BQ202" i="72"/>
  <c r="CV802" i="49"/>
  <c r="CV806" i="49"/>
  <c r="CQ842" i="49"/>
  <c r="CV971" i="49"/>
  <c r="CV969" i="49"/>
  <c r="CV963" i="49"/>
  <c r="CM445" i="51"/>
  <c r="BQ515" i="51"/>
  <c r="BX468" i="51"/>
  <c r="CF536" i="51"/>
  <c r="CF52" i="51" s="1"/>
  <c r="BU536" i="51"/>
  <c r="BU52" i="51" s="1"/>
  <c r="CC536" i="51"/>
  <c r="CC52" i="51" s="1"/>
  <c r="BX461" i="51"/>
  <c r="BX460" i="51"/>
  <c r="BX463" i="51"/>
  <c r="BX480" i="51"/>
  <c r="BX465" i="51"/>
  <c r="CC444" i="51"/>
  <c r="CC543" i="51" s="1"/>
  <c r="BX466" i="51"/>
  <c r="BX462" i="51"/>
  <c r="BZ165" i="51"/>
  <c r="CM444" i="51"/>
  <c r="BP203" i="72"/>
  <c r="CD507" i="51"/>
  <c r="CH444" i="51"/>
  <c r="CH480" i="51"/>
  <c r="BQ200" i="72"/>
  <c r="BR200" i="72"/>
  <c r="BR201" i="72"/>
  <c r="BQ514" i="51"/>
  <c r="BV507" i="51"/>
  <c r="CF518" i="51"/>
  <c r="BQ518" i="51"/>
  <c r="BZ215" i="51"/>
  <c r="BX506" i="51"/>
  <c r="BX511" i="51" s="1"/>
  <c r="CF510" i="51"/>
  <c r="BZ507" i="51"/>
  <c r="BU511" i="51"/>
  <c r="CF513" i="51"/>
  <c r="CK507" i="51"/>
  <c r="BQ510" i="51"/>
  <c r="BQ541" i="51"/>
  <c r="BQ54" i="51" s="1"/>
  <c r="BU541" i="51"/>
  <c r="BU54" i="51" s="1"/>
  <c r="BT215" i="51"/>
  <c r="CF541" i="51"/>
  <c r="CF54" i="51" s="1"/>
  <c r="BQ511" i="51"/>
  <c r="BC33" i="51"/>
  <c r="F34" i="73"/>
  <c r="L34" i="73"/>
  <c r="R60" i="73"/>
  <c r="K34" i="73"/>
  <c r="G34" i="73"/>
  <c r="O907" i="49"/>
  <c r="T907" i="49"/>
  <c r="CS694" i="49"/>
  <c r="CT593" i="49"/>
  <c r="CB1042" i="49"/>
  <c r="CB1045" i="49"/>
  <c r="CB1044" i="49"/>
  <c r="CI967" i="49"/>
  <c r="CI695" i="49"/>
  <c r="CI840" i="49" s="1"/>
  <c r="CJ661" i="49"/>
  <c r="CI805" i="49"/>
  <c r="CS502" i="49"/>
  <c r="CR536" i="49"/>
  <c r="CS572" i="49"/>
  <c r="CS713" i="49" s="1"/>
  <c r="CT713" i="49" s="1"/>
  <c r="CR672" i="49"/>
  <c r="CR816" i="49" s="1"/>
  <c r="CT448" i="49"/>
  <c r="CS530" i="49"/>
  <c r="CT427" i="49"/>
  <c r="CU577" i="49"/>
  <c r="CT677" i="49"/>
  <c r="CR739" i="49"/>
  <c r="CR558" i="49"/>
  <c r="CR843" i="49" s="1"/>
  <c r="CS453" i="49"/>
  <c r="K997" i="49"/>
  <c r="K849" i="49"/>
  <c r="P850" i="49"/>
  <c r="P851" i="49" s="1"/>
  <c r="CR738" i="49"/>
  <c r="CR557" i="49"/>
  <c r="CS452" i="49"/>
  <c r="CV865" i="49"/>
  <c r="CV755" i="49"/>
  <c r="CT540" i="49"/>
  <c r="CU437" i="49"/>
  <c r="BE214" i="51"/>
  <c r="BJ214" i="51"/>
  <c r="CS740" i="49"/>
  <c r="CS559" i="49"/>
  <c r="CT454" i="49"/>
  <c r="L564" i="49"/>
  <c r="Q565" i="49"/>
  <c r="Q566" i="49" s="1"/>
  <c r="CR735" i="49"/>
  <c r="CR554" i="49"/>
  <c r="CR839" i="49" s="1"/>
  <c r="CS449" i="49"/>
  <c r="CT761" i="49"/>
  <c r="CT778" i="49" s="1"/>
  <c r="CU476" i="49"/>
  <c r="CT492" i="49"/>
  <c r="AX33" i="51"/>
  <c r="CE214" i="51"/>
  <c r="M877" i="49"/>
  <c r="R878" i="49" s="1"/>
  <c r="CD564" i="49"/>
  <c r="CD565" i="49"/>
  <c r="CD566" i="49" s="1"/>
  <c r="CB163" i="51"/>
  <c r="CB213" i="51"/>
  <c r="CT675" i="49"/>
  <c r="CT819" i="49" s="1"/>
  <c r="CU575" i="49"/>
  <c r="CS673" i="49"/>
  <c r="CS817" i="49" s="1"/>
  <c r="CT573" i="49"/>
  <c r="CP565" i="49"/>
  <c r="CP566" i="49" s="1"/>
  <c r="CS560" i="49"/>
  <c r="CS741" i="49"/>
  <c r="CT455" i="49"/>
  <c r="AG907" i="49"/>
  <c r="CS551" i="49"/>
  <c r="CT446" i="49"/>
  <c r="CB1043" i="49"/>
  <c r="CS804" i="49"/>
  <c r="CT518" i="49"/>
  <c r="CS966" i="49"/>
  <c r="CV809" i="49"/>
  <c r="CS440" i="49"/>
  <c r="CR543" i="49"/>
  <c r="CR787" i="49"/>
  <c r="CS501" i="49"/>
  <c r="CR535" i="49"/>
  <c r="CR821" i="49" s="1"/>
  <c r="BZ827" i="49"/>
  <c r="BZ563" i="49"/>
  <c r="BX163" i="51" s="1"/>
  <c r="BX164" i="51" s="1"/>
  <c r="CQ354" i="51"/>
  <c r="CR353" i="51"/>
  <c r="CQ357" i="51"/>
  <c r="CQ358" i="51" s="1"/>
  <c r="CQ395" i="51"/>
  <c r="AN33" i="51"/>
  <c r="CG1046" i="49"/>
  <c r="CR841" i="49"/>
  <c r="CS592" i="49"/>
  <c r="CS734" i="49" s="1"/>
  <c r="CH854" i="49"/>
  <c r="CH853" i="49"/>
  <c r="CH997" i="49" s="1"/>
  <c r="CO444" i="51"/>
  <c r="CV364" i="4" s="1"/>
  <c r="CO480" i="51"/>
  <c r="CO506" i="51"/>
  <c r="CO507" i="51" s="1"/>
  <c r="CO872" i="49"/>
  <c r="CM20" i="51"/>
  <c r="CV794" i="49"/>
  <c r="CK564" i="49"/>
  <c r="BO1045" i="49"/>
  <c r="BO1044" i="49"/>
  <c r="BO1042" i="49"/>
  <c r="BF1043" i="49"/>
  <c r="BF1039" i="49"/>
  <c r="Q872" i="49"/>
  <c r="O537" i="51" s="1"/>
  <c r="L902" i="49"/>
  <c r="Q903" i="49" s="1"/>
  <c r="L877" i="49"/>
  <c r="BY565" i="49"/>
  <c r="BY566" i="49" s="1"/>
  <c r="BY564" i="49"/>
  <c r="N907" i="49"/>
  <c r="S907" i="49"/>
  <c r="CT576" i="49"/>
  <c r="CS681" i="49"/>
  <c r="CS825" i="49" s="1"/>
  <c r="CT581" i="49"/>
  <c r="CS722" i="49"/>
  <c r="CS819" i="49"/>
  <c r="M139" i="49"/>
  <c r="CV782" i="49"/>
  <c r="CQ816" i="49"/>
  <c r="CR846" i="49"/>
  <c r="CT871" i="49"/>
  <c r="BU1046" i="49"/>
  <c r="CS717" i="49"/>
  <c r="CT717" i="49" s="1"/>
  <c r="CM587" i="49"/>
  <c r="CL729" i="49"/>
  <c r="CQ695" i="49"/>
  <c r="CQ840" i="49" s="1"/>
  <c r="CV970" i="49"/>
  <c r="CM506" i="51"/>
  <c r="CI507" i="51"/>
  <c r="J163" i="51"/>
  <c r="O164" i="51" s="1"/>
  <c r="AV214" i="51"/>
  <c r="BI1044" i="49"/>
  <c r="BI1042" i="49"/>
  <c r="BI1045" i="49"/>
  <c r="CT531" i="49"/>
  <c r="CU428" i="49"/>
  <c r="CV868" i="49"/>
  <c r="CV758" i="49"/>
  <c r="AJ31" i="51"/>
  <c r="AJ30" i="51"/>
  <c r="AJ29" i="51"/>
  <c r="AJ32" i="51"/>
  <c r="BK907" i="49"/>
  <c r="AY30" i="51"/>
  <c r="AY31" i="51"/>
  <c r="AY29" i="51"/>
  <c r="AY32" i="51"/>
  <c r="CS700" i="49"/>
  <c r="CT599" i="49"/>
  <c r="CQ894" i="49"/>
  <c r="CQ902" i="49"/>
  <c r="CQ903" i="49" s="1"/>
  <c r="CO20" i="51"/>
  <c r="CO36" i="51" s="1"/>
  <c r="CV762" i="49"/>
  <c r="CV545" i="49"/>
  <c r="CV831" i="49" s="1"/>
  <c r="CS510" i="49"/>
  <c r="CR544" i="49"/>
  <c r="CS594" i="49"/>
  <c r="CV859" i="49"/>
  <c r="CV747" i="49"/>
  <c r="CV746" i="49"/>
  <c r="CD997" i="49"/>
  <c r="CD853" i="49"/>
  <c r="CD850" i="49"/>
  <c r="CD851" i="49" s="1"/>
  <c r="CD849" i="49"/>
  <c r="CS721" i="49"/>
  <c r="CT721" i="49" s="1"/>
  <c r="CS538" i="49"/>
  <c r="CS824" i="49" s="1"/>
  <c r="CT435" i="49"/>
  <c r="CS887" i="49"/>
  <c r="CT503" i="49"/>
  <c r="CS537" i="49"/>
  <c r="CV801" i="49"/>
  <c r="CS714" i="49"/>
  <c r="CT714" i="49" s="1"/>
  <c r="CD1044" i="49"/>
  <c r="CD1042" i="49"/>
  <c r="BQ1045" i="49"/>
  <c r="BQ1044" i="49"/>
  <c r="BQ1042" i="49"/>
  <c r="CS778" i="49"/>
  <c r="BW1042" i="49"/>
  <c r="BW1046" i="49" s="1"/>
  <c r="BW1045" i="49"/>
  <c r="BW1044" i="49"/>
  <c r="CU871" i="49"/>
  <c r="P872" i="49"/>
  <c r="N537" i="51" s="1"/>
  <c r="K877" i="49"/>
  <c r="K902" i="49"/>
  <c r="P903" i="49" s="1"/>
  <c r="CR682" i="49"/>
  <c r="CR826" i="49" s="1"/>
  <c r="CS582" i="49"/>
  <c r="CR723" i="49"/>
  <c r="O565" i="49"/>
  <c r="O566" i="49" s="1"/>
  <c r="O564" i="49"/>
  <c r="P564" i="49"/>
  <c r="T565" i="49"/>
  <c r="T566" i="49" s="1"/>
  <c r="M163" i="51"/>
  <c r="BP997" i="49"/>
  <c r="BP853" i="49"/>
  <c r="BP850" i="49"/>
  <c r="BP851" i="49" s="1"/>
  <c r="CR734" i="49"/>
  <c r="CM727" i="49"/>
  <c r="CV890" i="49"/>
  <c r="BX1042" i="49"/>
  <c r="BX1044" i="49"/>
  <c r="BX1045" i="49"/>
  <c r="BP907" i="49"/>
  <c r="BJ1045" i="49"/>
  <c r="BJ1042" i="49"/>
  <c r="BJ1046" i="49" s="1"/>
  <c r="BJ1044" i="49"/>
  <c r="CA213" i="51"/>
  <c r="CA164" i="51"/>
  <c r="CF164" i="51"/>
  <c r="BW163" i="51"/>
  <c r="CT680" i="49"/>
  <c r="CU580" i="49"/>
  <c r="BK214" i="51"/>
  <c r="BI29" i="51"/>
  <c r="BI33" i="51" s="1"/>
  <c r="BI32" i="51"/>
  <c r="BI30" i="51"/>
  <c r="BI31" i="51"/>
  <c r="CU776" i="49"/>
  <c r="CV490" i="49"/>
  <c r="CV776" i="49" s="1"/>
  <c r="CS847" i="49"/>
  <c r="CT702" i="49"/>
  <c r="BN1042" i="49"/>
  <c r="BN1046" i="49" s="1"/>
  <c r="BN1045" i="49"/>
  <c r="BN1044" i="49"/>
  <c r="M349" i="49"/>
  <c r="M388" i="49"/>
  <c r="M418" i="49" s="1"/>
  <c r="CD1043" i="49"/>
  <c r="CR712" i="49"/>
  <c r="CR457" i="49"/>
  <c r="CR529" i="49"/>
  <c r="CS426" i="49"/>
  <c r="CO902" i="49"/>
  <c r="CO903" i="49" s="1"/>
  <c r="CR803" i="49"/>
  <c r="CS517" i="49"/>
  <c r="CS553" i="49" s="1"/>
  <c r="BM1045" i="49"/>
  <c r="BM1042" i="49"/>
  <c r="BM1044" i="49"/>
  <c r="CT598" i="49"/>
  <c r="CS699" i="49"/>
  <c r="CR691" i="49"/>
  <c r="CR836" i="49" s="1"/>
  <c r="CS590" i="49"/>
  <c r="CS732" i="49" s="1"/>
  <c r="CV964" i="49"/>
  <c r="CU589" i="49"/>
  <c r="CT690" i="49"/>
  <c r="CR995" i="49"/>
  <c r="CS983" i="49"/>
  <c r="CV751" i="49"/>
  <c r="CV862" i="49"/>
  <c r="CV968" i="49"/>
  <c r="BO1043" i="49"/>
  <c r="L997" i="49"/>
  <c r="L849" i="49"/>
  <c r="CT552" i="49"/>
  <c r="CU447" i="49"/>
  <c r="CQ965" i="49"/>
  <c r="L140" i="49"/>
  <c r="Q141" i="49"/>
  <c r="CV753" i="49"/>
  <c r="BK1045" i="49"/>
  <c r="BK1044" i="49"/>
  <c r="BK1042" i="49"/>
  <c r="CN878" i="49"/>
  <c r="CO877" i="49"/>
  <c r="CO878" i="49" s="1"/>
  <c r="CS578" i="49"/>
  <c r="CR719" i="49"/>
  <c r="CS556" i="49"/>
  <c r="CS737" i="49"/>
  <c r="CT451" i="49"/>
  <c r="CS519" i="49"/>
  <c r="CC1045" i="49"/>
  <c r="CC1042" i="49"/>
  <c r="CC1046" i="49" s="1"/>
  <c r="CC1044" i="49"/>
  <c r="CR697" i="49"/>
  <c r="CS596" i="49"/>
  <c r="BF997" i="49"/>
  <c r="BF853" i="49"/>
  <c r="BF850" i="49"/>
  <c r="BF851" i="49" s="1"/>
  <c r="CH1043" i="49"/>
  <c r="CH1044" i="49"/>
  <c r="M902" i="49"/>
  <c r="R903" i="49" s="1"/>
  <c r="CL726" i="49"/>
  <c r="CL743" i="49" s="1"/>
  <c r="CM585" i="49"/>
  <c r="CE848" i="49"/>
  <c r="CE1038" i="49"/>
  <c r="AQ907" i="49"/>
  <c r="BG1044" i="49"/>
  <c r="BG1042" i="49"/>
  <c r="BG1045" i="49"/>
  <c r="CT671" i="49"/>
  <c r="CU571" i="49"/>
  <c r="CS696" i="49"/>
  <c r="CT595" i="49"/>
  <c r="CR731" i="49"/>
  <c r="CR550" i="49"/>
  <c r="CR835" i="49" s="1"/>
  <c r="CS445" i="49"/>
  <c r="M899" i="49"/>
  <c r="R899" i="49"/>
  <c r="CU810" i="49"/>
  <c r="CV524" i="49"/>
  <c r="CV810" i="49" s="1"/>
  <c r="BV1044" i="49"/>
  <c r="BV1045" i="49"/>
  <c r="BV1042" i="49"/>
  <c r="CU574" i="49"/>
  <c r="CT674" i="49"/>
  <c r="CT818" i="49" s="1"/>
  <c r="BQ1043" i="49"/>
  <c r="CN507" i="51"/>
  <c r="BL1046" i="49"/>
  <c r="CO563" i="49"/>
  <c r="CO565" i="49" s="1"/>
  <c r="CO566" i="49" s="1"/>
  <c r="CV874" i="49"/>
  <c r="CV635" i="49"/>
  <c r="CT412" i="51" s="1"/>
  <c r="CM725" i="49"/>
  <c r="CM684" i="49"/>
  <c r="CM828" i="49" s="1"/>
  <c r="BW1043" i="49"/>
  <c r="BR1042" i="49"/>
  <c r="BR1045" i="49"/>
  <c r="BR1044" i="49"/>
  <c r="CS872" i="49"/>
  <c r="CS877" i="49"/>
  <c r="O878" i="49"/>
  <c r="T878" i="49"/>
  <c r="CV579" i="49"/>
  <c r="CU720" i="49"/>
  <c r="O997" i="49"/>
  <c r="O850" i="49"/>
  <c r="O851" i="49" s="1"/>
  <c r="O849" i="49"/>
  <c r="P849" i="49"/>
  <c r="T850" i="49"/>
  <c r="T851" i="49" s="1"/>
  <c r="BP1039" i="49"/>
  <c r="BP1043" i="49" s="1"/>
  <c r="CR713" i="49"/>
  <c r="AT29" i="51"/>
  <c r="AT33" i="51" s="1"/>
  <c r="AT30" i="51"/>
  <c r="AT31" i="51"/>
  <c r="AT32" i="51"/>
  <c r="CF1044" i="49"/>
  <c r="CF1042" i="49"/>
  <c r="CF1045" i="49"/>
  <c r="BD31" i="51"/>
  <c r="BD30" i="51"/>
  <c r="BD29" i="51"/>
  <c r="BD32" i="51"/>
  <c r="BS1044" i="49"/>
  <c r="BS1045" i="49"/>
  <c r="BS1042" i="49"/>
  <c r="CN564" i="49"/>
  <c r="CN565" i="49"/>
  <c r="CN566" i="49" s="1"/>
  <c r="BX1043" i="49"/>
  <c r="K564" i="49"/>
  <c r="P565" i="49"/>
  <c r="P566" i="49" s="1"/>
  <c r="AZ33" i="51"/>
  <c r="AY28" i="51"/>
  <c r="CS698" i="49"/>
  <c r="CT597" i="49"/>
  <c r="CD1045" i="49"/>
  <c r="AR33" i="51"/>
  <c r="BJ1043" i="49"/>
  <c r="CH1042" i="49"/>
  <c r="CM724" i="49"/>
  <c r="BY848" i="49"/>
  <c r="BY1038" i="49"/>
  <c r="CR884" i="49"/>
  <c r="CR893" i="49" s="1"/>
  <c r="CS500" i="49"/>
  <c r="CR526" i="49"/>
  <c r="CR534" i="49"/>
  <c r="CR541" i="49"/>
  <c r="CS438" i="49"/>
  <c r="AO29" i="51"/>
  <c r="AO33" i="51" s="1"/>
  <c r="AO31" i="51"/>
  <c r="AO32" i="51"/>
  <c r="AO30" i="51"/>
  <c r="CR542" i="49"/>
  <c r="CS439" i="49"/>
  <c r="CS736" i="49"/>
  <c r="CT450" i="49"/>
  <c r="CQ815" i="49"/>
  <c r="CQ563" i="49"/>
  <c r="BK850" i="49"/>
  <c r="BK851" i="49" s="1"/>
  <c r="CI565" i="49"/>
  <c r="CI566" i="49" s="1"/>
  <c r="CI972" i="49"/>
  <c r="CI810" i="49"/>
  <c r="CJ666" i="49"/>
  <c r="CI700" i="49"/>
  <c r="CI846" i="49" s="1"/>
  <c r="CT845" i="49"/>
  <c r="CU701" i="49"/>
  <c r="CS692" i="49"/>
  <c r="CS837" i="49" s="1"/>
  <c r="CT591" i="49"/>
  <c r="CE563" i="49"/>
  <c r="BT1044" i="49"/>
  <c r="BT1042" i="49"/>
  <c r="BT1046" i="49" s="1"/>
  <c r="BT1045" i="49"/>
  <c r="BU850" i="49"/>
  <c r="BU851" i="49" s="1"/>
  <c r="BM1043" i="49"/>
  <c r="M816" i="49"/>
  <c r="M848" i="49" s="1"/>
  <c r="M563" i="49"/>
  <c r="BH1045" i="49"/>
  <c r="BH1042" i="49"/>
  <c r="BH1044" i="49"/>
  <c r="CM967" i="49"/>
  <c r="CM805" i="49"/>
  <c r="CR661" i="49"/>
  <c r="CR967" i="49" s="1"/>
  <c r="CM695" i="49"/>
  <c r="CM840" i="49" s="1"/>
  <c r="CI965" i="49"/>
  <c r="CI895" i="49"/>
  <c r="CJ659" i="49"/>
  <c r="CI668" i="49"/>
  <c r="CI693" i="49"/>
  <c r="CG453" i="51"/>
  <c r="CH453" i="51" s="1"/>
  <c r="CI803" i="49"/>
  <c r="CI812" i="49" s="1"/>
  <c r="CV763" i="49"/>
  <c r="CV546" i="49"/>
  <c r="CV832" i="49" s="1"/>
  <c r="CR844" i="49"/>
  <c r="CV529" i="49"/>
  <c r="CS733" i="49"/>
  <c r="CM965" i="49"/>
  <c r="CM803" i="49"/>
  <c r="CM693" i="49"/>
  <c r="CM838" i="49" s="1"/>
  <c r="CR659" i="49"/>
  <c r="CR693" i="49" s="1"/>
  <c r="CR838" i="49" s="1"/>
  <c r="CV962" i="49"/>
  <c r="CE907" i="49"/>
  <c r="BS530" i="51"/>
  <c r="BS107" i="51"/>
  <c r="BS513" i="51"/>
  <c r="BS518" i="51"/>
  <c r="BS516" i="51"/>
  <c r="BS512" i="51"/>
  <c r="BS515" i="51"/>
  <c r="BG28" i="51"/>
  <c r="BG32" i="51"/>
  <c r="BG29" i="51"/>
  <c r="BG30" i="51"/>
  <c r="BS460" i="51"/>
  <c r="CD36" i="51"/>
  <c r="BX536" i="51"/>
  <c r="BX52" i="51" s="1"/>
  <c r="U79" i="51"/>
  <c r="Z79" i="51"/>
  <c r="BW165" i="51"/>
  <c r="BW215" i="51"/>
  <c r="BW109" i="51"/>
  <c r="CD215" i="51"/>
  <c r="CD109" i="51"/>
  <c r="CD165" i="51"/>
  <c r="BJ28" i="51"/>
  <c r="BJ32" i="51"/>
  <c r="BJ30" i="51"/>
  <c r="BQ536" i="51"/>
  <c r="BQ52" i="51" s="1"/>
  <c r="BA33" i="51"/>
  <c r="BS464" i="51"/>
  <c r="BF29" i="51"/>
  <c r="BF28" i="51"/>
  <c r="BF32" i="51"/>
  <c r="BF30" i="51"/>
  <c r="BL409" i="51"/>
  <c r="BL410" i="51" s="1"/>
  <c r="BM405" i="51"/>
  <c r="BL21" i="51"/>
  <c r="CF530" i="51"/>
  <c r="CF507" i="51"/>
  <c r="CF107" i="51"/>
  <c r="CF512" i="51"/>
  <c r="CF516" i="51"/>
  <c r="CF514" i="51"/>
  <c r="BS395" i="51"/>
  <c r="BS380" i="51"/>
  <c r="BS381" i="51"/>
  <c r="BS378" i="51"/>
  <c r="BS377" i="51"/>
  <c r="BS383" i="51"/>
  <c r="BS376" i="51"/>
  <c r="BZ36" i="51"/>
  <c r="CE165" i="51"/>
  <c r="CE215" i="51"/>
  <c r="CE109" i="51"/>
  <c r="AV31" i="51"/>
  <c r="AV28" i="51"/>
  <c r="AV30" i="51"/>
  <c r="AV29" i="51"/>
  <c r="BS375" i="51"/>
  <c r="BU530" i="51"/>
  <c r="BU507" i="51"/>
  <c r="BU107" i="51"/>
  <c r="BU513" i="51"/>
  <c r="BU518" i="51"/>
  <c r="BU515" i="51"/>
  <c r="BU512" i="51"/>
  <c r="BU516" i="51"/>
  <c r="BU514" i="51"/>
  <c r="BY530" i="51"/>
  <c r="BY507" i="51"/>
  <c r="CC506" i="51"/>
  <c r="BY107" i="51"/>
  <c r="CD108" i="51" s="1"/>
  <c r="BY518" i="51"/>
  <c r="BY514" i="51"/>
  <c r="BY516" i="51"/>
  <c r="BY515" i="51"/>
  <c r="BY512" i="51"/>
  <c r="BY513" i="51"/>
  <c r="BY510" i="51"/>
  <c r="BP416" i="51"/>
  <c r="BQ415" i="51"/>
  <c r="U73" i="51"/>
  <c r="Z73" i="51"/>
  <c r="CF517" i="51"/>
  <c r="BT165" i="51"/>
  <c r="BZ109" i="51"/>
  <c r="BR36" i="51"/>
  <c r="BV215" i="51"/>
  <c r="BV109" i="51"/>
  <c r="BV165" i="51"/>
  <c r="BS480" i="51"/>
  <c r="BS465" i="51"/>
  <c r="BS461" i="51"/>
  <c r="BS462" i="51"/>
  <c r="BS466" i="51"/>
  <c r="AH32" i="51"/>
  <c r="AH30" i="51"/>
  <c r="AH28" i="51"/>
  <c r="AH31" i="51"/>
  <c r="BP165" i="51"/>
  <c r="BP109" i="51"/>
  <c r="BP215" i="51"/>
  <c r="CB165" i="51"/>
  <c r="CB109" i="51"/>
  <c r="CB215" i="51"/>
  <c r="BF31" i="51"/>
  <c r="BK29" i="51"/>
  <c r="BK25" i="51"/>
  <c r="CA108" i="51"/>
  <c r="CA36" i="51"/>
  <c r="CH506" i="51"/>
  <c r="U64" i="51"/>
  <c r="Z64" i="51"/>
  <c r="BB33" i="51"/>
  <c r="BJ31" i="51"/>
  <c r="BP36" i="51"/>
  <c r="CB108" i="51"/>
  <c r="CB36" i="51"/>
  <c r="CF515" i="51"/>
  <c r="BN408" i="51"/>
  <c r="BM24" i="51"/>
  <c r="BR215" i="51"/>
  <c r="BR109" i="51"/>
  <c r="BR165" i="51"/>
  <c r="U82" i="51"/>
  <c r="Z82" i="51"/>
  <c r="BT109" i="51"/>
  <c r="BG31" i="51"/>
  <c r="BT108" i="51"/>
  <c r="BT36" i="51"/>
  <c r="BS514" i="51"/>
  <c r="BV36" i="51"/>
  <c r="U76" i="51"/>
  <c r="Z76" i="51"/>
  <c r="BS510" i="51"/>
  <c r="AM28" i="51"/>
  <c r="AM31" i="51"/>
  <c r="AM30" i="51"/>
  <c r="AM32" i="51"/>
  <c r="AH29" i="51"/>
  <c r="BM407" i="51"/>
  <c r="BL23" i="51"/>
  <c r="AG33" i="51"/>
  <c r="AW32" i="51"/>
  <c r="AW25" i="51"/>
  <c r="U85" i="51"/>
  <c r="Z85" i="51"/>
  <c r="AU33" i="51"/>
  <c r="U88" i="51"/>
  <c r="Z88" i="51"/>
  <c r="CC541" i="51"/>
  <c r="CC54" i="51" s="1"/>
  <c r="CA165" i="51"/>
  <c r="CA215" i="51"/>
  <c r="CA109" i="51"/>
  <c r="CC511" i="51"/>
  <c r="BX444" i="51"/>
  <c r="BX543" i="51" s="1"/>
  <c r="BS511" i="51"/>
  <c r="BW108" i="51"/>
  <c r="BW36" i="51"/>
  <c r="BN406" i="51"/>
  <c r="BM22" i="51"/>
  <c r="BO165" i="51"/>
  <c r="BO215" i="51"/>
  <c r="BO109" i="51"/>
  <c r="BQ530" i="51"/>
  <c r="BQ107" i="51"/>
  <c r="BV108" i="51" s="1"/>
  <c r="BQ512" i="51"/>
  <c r="BQ513" i="51"/>
  <c r="BQ516" i="51"/>
  <c r="BO36" i="51"/>
  <c r="BS468" i="51"/>
  <c r="AL33" i="51"/>
  <c r="CE108" i="51"/>
  <c r="CE36" i="51"/>
  <c r="BO203" i="72"/>
  <c r="AS85" i="72"/>
  <c r="AT82" i="72"/>
  <c r="AT85" i="72" s="1"/>
  <c r="BR199" i="72"/>
  <c r="BQ199" i="72"/>
  <c r="AZ82" i="72"/>
  <c r="AR85" i="72"/>
  <c r="Z36" i="72"/>
  <c r="B3" i="72"/>
  <c r="B5" i="72" s="1"/>
  <c r="B48" i="45"/>
  <c r="B47" i="45"/>
  <c r="C33" i="45"/>
  <c r="C29" i="45"/>
  <c r="C14" i="45"/>
  <c r="C10" i="45"/>
  <c r="H1" i="43"/>
  <c r="DY969" i="4"/>
  <c r="DX969" i="4"/>
  <c r="DW969" i="4"/>
  <c r="DV969" i="4"/>
  <c r="DU969" i="4"/>
  <c r="DT969" i="4"/>
  <c r="DS969" i="4"/>
  <c r="DR969" i="4"/>
  <c r="DQ969" i="4"/>
  <c r="DP969" i="4"/>
  <c r="DO969" i="4"/>
  <c r="DN969" i="4"/>
  <c r="DM969" i="4"/>
  <c r="DL969" i="4"/>
  <c r="DK969" i="4"/>
  <c r="DJ969" i="4"/>
  <c r="DI969" i="4"/>
  <c r="DH969" i="4"/>
  <c r="DG969" i="4"/>
  <c r="DF969" i="4"/>
  <c r="DE969" i="4"/>
  <c r="DE967" i="4"/>
  <c r="BP967" i="4"/>
  <c r="DP967" i="4" s="1"/>
  <c r="BO967" i="4"/>
  <c r="BN967" i="4"/>
  <c r="BL967" i="4"/>
  <c r="BK967" i="4"/>
  <c r="BG967" i="4"/>
  <c r="BF967" i="4"/>
  <c r="BE967" i="4" s="1"/>
  <c r="BC967" i="4"/>
  <c r="BA967" i="4"/>
  <c r="AX967" i="4" s="1"/>
  <c r="AY967" i="4"/>
  <c r="AW967" i="4"/>
  <c r="AV967" i="4"/>
  <c r="DL967" i="4" s="1"/>
  <c r="AU967" i="4"/>
  <c r="AR967" i="4"/>
  <c r="AQ967" i="4"/>
  <c r="AL967" i="4"/>
  <c r="AK967" i="4" s="1"/>
  <c r="AG967" i="4"/>
  <c r="AE967" i="4" s="1"/>
  <c r="AF967" i="4"/>
  <c r="AC967" i="4"/>
  <c r="AB967" i="4"/>
  <c r="DH967" i="4" s="1"/>
  <c r="W967" i="4"/>
  <c r="S967" i="4" s="1"/>
  <c r="R967" i="4"/>
  <c r="Q967" i="4" s="1"/>
  <c r="O967" i="4"/>
  <c r="N967" i="4"/>
  <c r="M967" i="4"/>
  <c r="L967" i="4"/>
  <c r="K967" i="4"/>
  <c r="J967" i="4"/>
  <c r="I967" i="4"/>
  <c r="BP963" i="4"/>
  <c r="DP963" i="4" s="1"/>
  <c r="BP962" i="4"/>
  <c r="DP962" i="4" s="1"/>
  <c r="BK963" i="4"/>
  <c r="DO963" i="4" s="1"/>
  <c r="BK962" i="4"/>
  <c r="BF963" i="4"/>
  <c r="BF962" i="4"/>
  <c r="I963" i="4"/>
  <c r="BA962" i="4"/>
  <c r="AV962" i="4"/>
  <c r="DL962" i="4" s="1"/>
  <c r="AQ962" i="4"/>
  <c r="DK962" i="4" s="1"/>
  <c r="AL962" i="4"/>
  <c r="DJ962" i="4" s="1"/>
  <c r="AG962" i="4"/>
  <c r="AB962" i="4"/>
  <c r="W962" i="4"/>
  <c r="DG962" i="4" s="1"/>
  <c r="R962" i="4"/>
  <c r="DF962" i="4" s="1"/>
  <c r="M962" i="4"/>
  <c r="DY964" i="4"/>
  <c r="DX964" i="4"/>
  <c r="DY963" i="4"/>
  <c r="DX963" i="4"/>
  <c r="DW963" i="4"/>
  <c r="DV963" i="4"/>
  <c r="DU963" i="4"/>
  <c r="DT963" i="4"/>
  <c r="DS963" i="4"/>
  <c r="DR963" i="4"/>
  <c r="DQ963" i="4"/>
  <c r="DN963" i="4"/>
  <c r="DY962" i="4"/>
  <c r="DX962" i="4"/>
  <c r="DW962" i="4"/>
  <c r="DV962" i="4"/>
  <c r="DU962" i="4"/>
  <c r="DT962" i="4"/>
  <c r="DS962" i="4"/>
  <c r="DR962" i="4"/>
  <c r="DQ962" i="4"/>
  <c r="DO962" i="4"/>
  <c r="DN962" i="4"/>
  <c r="DM962" i="4"/>
  <c r="DI962" i="4"/>
  <c r="DH962" i="4"/>
  <c r="DE962" i="4"/>
  <c r="CP961" i="4"/>
  <c r="CK961" i="4"/>
  <c r="CF961" i="4"/>
  <c r="CA961" i="4"/>
  <c r="BV961" i="4"/>
  <c r="BQ961" i="4"/>
  <c r="CQ960" i="4"/>
  <c r="CN960" i="4"/>
  <c r="CM960" i="4"/>
  <c r="CL960" i="4"/>
  <c r="CI960" i="4"/>
  <c r="CD960" i="4"/>
  <c r="CC960" i="4"/>
  <c r="CB960" i="4"/>
  <c r="BY960" i="4"/>
  <c r="BX960" i="4"/>
  <c r="BW960" i="4"/>
  <c r="BT960" i="4"/>
  <c r="BS960" i="4"/>
  <c r="BR960" i="4"/>
  <c r="BL961" i="4"/>
  <c r="BO960" i="4"/>
  <c r="BN960" i="4"/>
  <c r="BM960" i="4"/>
  <c r="BG961" i="4"/>
  <c r="BJ960" i="4"/>
  <c r="BI960" i="4"/>
  <c r="BH960" i="4"/>
  <c r="BB961" i="4"/>
  <c r="BE960" i="4"/>
  <c r="BD960" i="4"/>
  <c r="BC960" i="4"/>
  <c r="AW961" i="4"/>
  <c r="AR961" i="4"/>
  <c r="AM961" i="4"/>
  <c r="AH961" i="4"/>
  <c r="AC961" i="4"/>
  <c r="X961" i="4"/>
  <c r="S961" i="4"/>
  <c r="N961" i="4"/>
  <c r="I961" i="4"/>
  <c r="I960" i="4"/>
  <c r="Q956" i="4"/>
  <c r="DY956" i="4"/>
  <c r="DX956" i="4"/>
  <c r="DW956" i="4"/>
  <c r="DV956" i="4"/>
  <c r="DU956" i="4"/>
  <c r="DT956" i="4"/>
  <c r="DS956" i="4"/>
  <c r="DR956" i="4"/>
  <c r="DQ956" i="4"/>
  <c r="DP956" i="4"/>
  <c r="DO956" i="4"/>
  <c r="DN956" i="4"/>
  <c r="DM956" i="4"/>
  <c r="DL956" i="4"/>
  <c r="DK956" i="4"/>
  <c r="DJ956" i="4"/>
  <c r="DI956" i="4"/>
  <c r="DH956" i="4"/>
  <c r="DG956" i="4"/>
  <c r="DF956" i="4"/>
  <c r="DE956" i="4"/>
  <c r="DY955" i="4"/>
  <c r="DX955" i="4"/>
  <c r="DW955" i="4"/>
  <c r="DV955" i="4"/>
  <c r="DU955" i="4"/>
  <c r="DT955" i="4"/>
  <c r="DS955" i="4"/>
  <c r="DR955" i="4"/>
  <c r="DQ955" i="4"/>
  <c r="DP955" i="4"/>
  <c r="DO955" i="4"/>
  <c r="DN955" i="4"/>
  <c r="DM955" i="4"/>
  <c r="DL955" i="4"/>
  <c r="DK955" i="4"/>
  <c r="DJ955" i="4"/>
  <c r="DI955" i="4"/>
  <c r="DH955" i="4"/>
  <c r="DG955" i="4"/>
  <c r="DF955" i="4"/>
  <c r="DE955" i="4"/>
  <c r="DY954" i="4"/>
  <c r="DX954" i="4"/>
  <c r="DW954" i="4"/>
  <c r="DV954" i="4"/>
  <c r="DU954" i="4"/>
  <c r="DT954" i="4"/>
  <c r="DS954" i="4"/>
  <c r="DR954" i="4"/>
  <c r="DQ954" i="4"/>
  <c r="DP954" i="4"/>
  <c r="DO954" i="4"/>
  <c r="DN954" i="4"/>
  <c r="DM954" i="4"/>
  <c r="DL954" i="4"/>
  <c r="DK954" i="4"/>
  <c r="DJ954" i="4"/>
  <c r="DI954" i="4"/>
  <c r="DH954" i="4"/>
  <c r="DG954" i="4"/>
  <c r="DF954" i="4"/>
  <c r="DE954" i="4"/>
  <c r="DY953" i="4"/>
  <c r="DX953" i="4"/>
  <c r="DW953" i="4"/>
  <c r="DV953" i="4"/>
  <c r="DU953" i="4"/>
  <c r="DT953" i="4"/>
  <c r="DS953" i="4"/>
  <c r="DR953" i="4"/>
  <c r="DQ953" i="4"/>
  <c r="DP953" i="4"/>
  <c r="DO953" i="4"/>
  <c r="DN953" i="4"/>
  <c r="DM953" i="4"/>
  <c r="DL953" i="4"/>
  <c r="DK953" i="4"/>
  <c r="DJ953" i="4"/>
  <c r="DI953" i="4"/>
  <c r="DH953" i="4"/>
  <c r="DG953" i="4"/>
  <c r="DF953" i="4"/>
  <c r="DE953" i="4"/>
  <c r="DY952" i="4"/>
  <c r="DX952" i="4"/>
  <c r="DW952" i="4"/>
  <c r="DV952" i="4"/>
  <c r="DU952" i="4"/>
  <c r="DT952" i="4"/>
  <c r="DS952" i="4"/>
  <c r="DR952" i="4"/>
  <c r="DQ952" i="4"/>
  <c r="DP952" i="4"/>
  <c r="DO952" i="4"/>
  <c r="DN952" i="4"/>
  <c r="DM952" i="4"/>
  <c r="DL952" i="4"/>
  <c r="DK952" i="4"/>
  <c r="DJ952" i="4"/>
  <c r="DI952" i="4"/>
  <c r="DH952" i="4"/>
  <c r="DG952" i="4"/>
  <c r="DF952" i="4"/>
  <c r="DE952" i="4"/>
  <c r="DY951" i="4"/>
  <c r="DX951" i="4"/>
  <c r="DW951" i="4"/>
  <c r="DV951" i="4"/>
  <c r="DU951" i="4"/>
  <c r="DT951" i="4"/>
  <c r="DS951" i="4"/>
  <c r="DR951" i="4"/>
  <c r="DQ951" i="4"/>
  <c r="DP951" i="4"/>
  <c r="DO951" i="4"/>
  <c r="DN951" i="4"/>
  <c r="DM951" i="4"/>
  <c r="DL951" i="4"/>
  <c r="DK951" i="4"/>
  <c r="DJ951" i="4"/>
  <c r="DI951" i="4"/>
  <c r="DH951" i="4"/>
  <c r="DG951" i="4"/>
  <c r="DF951" i="4"/>
  <c r="DE951" i="4"/>
  <c r="DY950" i="4"/>
  <c r="DX950" i="4"/>
  <c r="DW950" i="4"/>
  <c r="DV950" i="4"/>
  <c r="DU950" i="4"/>
  <c r="DT950" i="4"/>
  <c r="DS950" i="4"/>
  <c r="DR950" i="4"/>
  <c r="DQ950" i="4"/>
  <c r="DP950" i="4"/>
  <c r="DO950" i="4"/>
  <c r="DN950" i="4"/>
  <c r="DM950" i="4"/>
  <c r="DL950" i="4"/>
  <c r="DK950" i="4"/>
  <c r="DJ950" i="4"/>
  <c r="DI950" i="4"/>
  <c r="DH950" i="4"/>
  <c r="DG950" i="4"/>
  <c r="DF950" i="4"/>
  <c r="DE950" i="4"/>
  <c r="DY949" i="4"/>
  <c r="DX949" i="4"/>
  <c r="DW949" i="4"/>
  <c r="DV949" i="4"/>
  <c r="DU949" i="4"/>
  <c r="DT949" i="4"/>
  <c r="DS949" i="4"/>
  <c r="DR949" i="4"/>
  <c r="DQ949" i="4"/>
  <c r="DP949" i="4"/>
  <c r="DO949" i="4"/>
  <c r="DN949" i="4"/>
  <c r="DM949" i="4"/>
  <c r="DL949" i="4"/>
  <c r="DK949" i="4"/>
  <c r="DJ949" i="4"/>
  <c r="DI949" i="4"/>
  <c r="DH949" i="4"/>
  <c r="DG949" i="4"/>
  <c r="DF949" i="4"/>
  <c r="DE949" i="4"/>
  <c r="DY948" i="4"/>
  <c r="DX948" i="4"/>
  <c r="DW948" i="4"/>
  <c r="DV948" i="4"/>
  <c r="DU948" i="4"/>
  <c r="DT948" i="4"/>
  <c r="DS948" i="4"/>
  <c r="DR948" i="4"/>
  <c r="DQ948" i="4"/>
  <c r="DP948" i="4"/>
  <c r="DO948" i="4"/>
  <c r="DN948" i="4"/>
  <c r="DM948" i="4"/>
  <c r="DL948" i="4"/>
  <c r="DK948" i="4"/>
  <c r="DJ948" i="4"/>
  <c r="DI948" i="4"/>
  <c r="DH948" i="4"/>
  <c r="DG948" i="4"/>
  <c r="DF948" i="4"/>
  <c r="DE948" i="4"/>
  <c r="BE943" i="4"/>
  <c r="BO942" i="4"/>
  <c r="BP942" i="4" s="1"/>
  <c r="BN942" i="4"/>
  <c r="BM942" i="4"/>
  <c r="BL942" i="4"/>
  <c r="BJ942" i="4"/>
  <c r="BK942" i="4" s="1"/>
  <c r="DO942" i="4" s="1"/>
  <c r="BI942" i="4"/>
  <c r="BH942" i="4"/>
  <c r="BG942" i="4"/>
  <c r="BF942" i="4"/>
  <c r="DN942" i="4" s="1"/>
  <c r="BE942" i="4"/>
  <c r="BD942" i="4"/>
  <c r="BC942" i="4"/>
  <c r="BB942" i="4"/>
  <c r="AZ942" i="4"/>
  <c r="BA942" i="4" s="1"/>
  <c r="DM942" i="4" s="1"/>
  <c r="AY942" i="4"/>
  <c r="AW942" i="4"/>
  <c r="AU942" i="4"/>
  <c r="AV942" i="4" s="1"/>
  <c r="DL942" i="4" s="1"/>
  <c r="AT942" i="4"/>
  <c r="AS942" i="4"/>
  <c r="AR942" i="4"/>
  <c r="AP942" i="4"/>
  <c r="AQ942" i="4" s="1"/>
  <c r="DK942" i="4" s="1"/>
  <c r="AO942" i="4"/>
  <c r="AN942" i="4"/>
  <c r="AM942" i="4"/>
  <c r="AK942" i="4"/>
  <c r="AL942" i="4" s="1"/>
  <c r="DJ942" i="4" s="1"/>
  <c r="AF942" i="4"/>
  <c r="AG942" i="4" s="1"/>
  <c r="DI942" i="4" s="1"/>
  <c r="AA942" i="4"/>
  <c r="AB942" i="4" s="1"/>
  <c r="DH942" i="4" s="1"/>
  <c r="V942" i="4"/>
  <c r="W942" i="4" s="1"/>
  <c r="DG942" i="4" s="1"/>
  <c r="Q942" i="4"/>
  <c r="R942" i="4" s="1"/>
  <c r="DF942" i="4" s="1"/>
  <c r="L942" i="4"/>
  <c r="M942" i="4" s="1"/>
  <c r="DE942" i="4" s="1"/>
  <c r="BF941" i="4"/>
  <c r="DN941" i="4" s="1"/>
  <c r="BE941" i="4"/>
  <c r="BD941" i="4"/>
  <c r="BC941" i="4"/>
  <c r="BC943" i="4" s="1"/>
  <c r="DQ939" i="4"/>
  <c r="DP939" i="4"/>
  <c r="DO939" i="4"/>
  <c r="DN939" i="4"/>
  <c r="DM939" i="4"/>
  <c r="DL939" i="4"/>
  <c r="DK939" i="4"/>
  <c r="DJ939" i="4"/>
  <c r="DI939" i="4"/>
  <c r="DH939" i="4"/>
  <c r="DG939" i="4"/>
  <c r="DF939" i="4"/>
  <c r="DE939" i="4"/>
  <c r="DE937" i="4"/>
  <c r="BE937" i="4"/>
  <c r="BD937" i="4"/>
  <c r="BC937" i="4"/>
  <c r="BB937" i="4"/>
  <c r="AZ937" i="4"/>
  <c r="AY937" i="4"/>
  <c r="AX937" i="4"/>
  <c r="AW937" i="4"/>
  <c r="AU937" i="4"/>
  <c r="AT937" i="4"/>
  <c r="AS937" i="4"/>
  <c r="AR937" i="4"/>
  <c r="AP937" i="4"/>
  <c r="AO937" i="4"/>
  <c r="AN937" i="4"/>
  <c r="AM937" i="4"/>
  <c r="AK937" i="4"/>
  <c r="AJ937" i="4"/>
  <c r="AI937" i="4"/>
  <c r="AH937" i="4"/>
  <c r="AF937" i="4"/>
  <c r="AE937" i="4"/>
  <c r="AD937" i="4"/>
  <c r="AC937" i="4"/>
  <c r="AA937" i="4"/>
  <c r="Z937" i="4"/>
  <c r="Y937" i="4"/>
  <c r="X937" i="4"/>
  <c r="V937" i="4"/>
  <c r="S937" i="4"/>
  <c r="P937" i="4"/>
  <c r="O937" i="4"/>
  <c r="N937" i="4"/>
  <c r="CQ936" i="4"/>
  <c r="CR936" i="4" s="1"/>
  <c r="CP936" i="4"/>
  <c r="CO936" i="4"/>
  <c r="CY934" i="4"/>
  <c r="CY933" i="4"/>
  <c r="DW933" i="4" s="1"/>
  <c r="DY934" i="4"/>
  <c r="DX934" i="4"/>
  <c r="DW934" i="4"/>
  <c r="DE934" i="4"/>
  <c r="DE933" i="4"/>
  <c r="DE932" i="4"/>
  <c r="DE931" i="4"/>
  <c r="DE930" i="4"/>
  <c r="CT916" i="4"/>
  <c r="CO916" i="4"/>
  <c r="CJ916" i="4"/>
  <c r="CE916" i="4"/>
  <c r="BY916" i="4"/>
  <c r="BZ916" i="4" s="1"/>
  <c r="DR916" i="4" s="1"/>
  <c r="BR916" i="4"/>
  <c r="BS916" i="4" s="1"/>
  <c r="BM916" i="4"/>
  <c r="BN916" i="4" s="1"/>
  <c r="BH916" i="4"/>
  <c r="BI916" i="4" s="1"/>
  <c r="BC916" i="4"/>
  <c r="BD916" i="4" s="1"/>
  <c r="AX916" i="4"/>
  <c r="AY916" i="4" s="1"/>
  <c r="AS916" i="4"/>
  <c r="AT916" i="4" s="1"/>
  <c r="AN916" i="4"/>
  <c r="AO916" i="4" s="1"/>
  <c r="AI916" i="4"/>
  <c r="AJ916" i="4" s="1"/>
  <c r="AD916" i="4"/>
  <c r="AE916" i="4" s="1"/>
  <c r="Y916" i="4"/>
  <c r="Z916" i="4" s="1"/>
  <c r="T916" i="4"/>
  <c r="U916" i="4" s="1"/>
  <c r="O916" i="4"/>
  <c r="P916" i="4" s="1"/>
  <c r="J916" i="4"/>
  <c r="K916" i="4" s="1"/>
  <c r="CY916" i="4"/>
  <c r="CZ916" i="4" s="1"/>
  <c r="DV916" i="4"/>
  <c r="DU916" i="4"/>
  <c r="DT916" i="4"/>
  <c r="DS916" i="4"/>
  <c r="DI914" i="4"/>
  <c r="DH914" i="4"/>
  <c r="DG914" i="4"/>
  <c r="DF914" i="4"/>
  <c r="DE914" i="4"/>
  <c r="DA912" i="4"/>
  <c r="DY912" i="4" s="1"/>
  <c r="CZ912" i="4"/>
  <c r="DX912" i="4" s="1"/>
  <c r="CX912" i="4"/>
  <c r="CW912" i="4"/>
  <c r="CV912" i="4"/>
  <c r="CU912" i="4"/>
  <c r="CY912" i="4" s="1"/>
  <c r="DW912" i="4" s="1"/>
  <c r="CS912" i="4"/>
  <c r="CQ912" i="4"/>
  <c r="CP912" i="4"/>
  <c r="CT912" i="4" s="1"/>
  <c r="DV912" i="4" s="1"/>
  <c r="CN912" i="4"/>
  <c r="CM912" i="4"/>
  <c r="CL912" i="4"/>
  <c r="CK912" i="4"/>
  <c r="CI912" i="4"/>
  <c r="CH912" i="4"/>
  <c r="CG912" i="4"/>
  <c r="CF912" i="4"/>
  <c r="CD912" i="4"/>
  <c r="CC912" i="4"/>
  <c r="CB912" i="4"/>
  <c r="CA912" i="4"/>
  <c r="BY912" i="4"/>
  <c r="BX912" i="4"/>
  <c r="BW912" i="4"/>
  <c r="BV912" i="4"/>
  <c r="BT912" i="4"/>
  <c r="BS912" i="4"/>
  <c r="BR912" i="4"/>
  <c r="BQ912" i="4"/>
  <c r="BO912" i="4"/>
  <c r="BN912" i="4"/>
  <c r="BM912" i="4"/>
  <c r="BL912" i="4"/>
  <c r="BJ912" i="4"/>
  <c r="BI912" i="4"/>
  <c r="BH912" i="4"/>
  <c r="BG912" i="4"/>
  <c r="BE912" i="4"/>
  <c r="BD912" i="4"/>
  <c r="BC912" i="4"/>
  <c r="BB912" i="4"/>
  <c r="AZ912" i="4"/>
  <c r="AY912" i="4"/>
  <c r="AX912" i="4"/>
  <c r="AW912" i="4"/>
  <c r="AU912" i="4"/>
  <c r="AT912" i="4"/>
  <c r="AS912" i="4"/>
  <c r="AR912" i="4"/>
  <c r="AP912" i="4"/>
  <c r="AO912" i="4"/>
  <c r="AN912" i="4"/>
  <c r="AM912" i="4"/>
  <c r="AK912" i="4"/>
  <c r="AJ912" i="4"/>
  <c r="AI912" i="4"/>
  <c r="AH912" i="4"/>
  <c r="AF912" i="4"/>
  <c r="AE912" i="4"/>
  <c r="AD912" i="4"/>
  <c r="CE907" i="4"/>
  <c r="AL901" i="4"/>
  <c r="DJ901" i="4" s="1"/>
  <c r="DQ906" i="4"/>
  <c r="DP906" i="4"/>
  <c r="DO906" i="4"/>
  <c r="DN906" i="4"/>
  <c r="DM906" i="4"/>
  <c r="DL906" i="4"/>
  <c r="DK906" i="4"/>
  <c r="DJ906" i="4"/>
  <c r="DI906" i="4"/>
  <c r="DH906" i="4"/>
  <c r="DG906" i="4"/>
  <c r="DF906" i="4"/>
  <c r="DE906" i="4"/>
  <c r="DP905" i="4"/>
  <c r="DO905" i="4"/>
  <c r="DN905" i="4"/>
  <c r="DM905" i="4"/>
  <c r="DL905" i="4"/>
  <c r="DK905" i="4"/>
  <c r="DJ905" i="4"/>
  <c r="DI905" i="4"/>
  <c r="DH905" i="4"/>
  <c r="DG905" i="4"/>
  <c r="DF905" i="4"/>
  <c r="DE905" i="4"/>
  <c r="DP904" i="4"/>
  <c r="DO904" i="4"/>
  <c r="DN904" i="4"/>
  <c r="DM904" i="4"/>
  <c r="DL904" i="4"/>
  <c r="DK904" i="4"/>
  <c r="DJ904" i="4"/>
  <c r="DI904" i="4"/>
  <c r="DH904" i="4"/>
  <c r="DG904" i="4"/>
  <c r="DF904" i="4"/>
  <c r="DE904" i="4"/>
  <c r="DK903" i="4"/>
  <c r="DJ903" i="4"/>
  <c r="DI903" i="4"/>
  <c r="DH903" i="4"/>
  <c r="DG903" i="4"/>
  <c r="DF903" i="4"/>
  <c r="DE903" i="4"/>
  <c r="DJ902" i="4"/>
  <c r="DI902" i="4"/>
  <c r="DH902" i="4"/>
  <c r="DG902" i="4"/>
  <c r="DF902" i="4"/>
  <c r="DE902" i="4"/>
  <c r="DI901" i="4"/>
  <c r="DH901" i="4"/>
  <c r="DG901" i="4"/>
  <c r="DF901" i="4"/>
  <c r="DE901" i="4"/>
  <c r="DK900" i="4"/>
  <c r="DJ900" i="4"/>
  <c r="DI900" i="4"/>
  <c r="DH900" i="4"/>
  <c r="DG900" i="4"/>
  <c r="DF900" i="4"/>
  <c r="DE900" i="4"/>
  <c r="DI899" i="4"/>
  <c r="DH899" i="4"/>
  <c r="DG899" i="4"/>
  <c r="DF899" i="4"/>
  <c r="DE899" i="4"/>
  <c r="D893" i="4"/>
  <c r="C893" i="4"/>
  <c r="DY890" i="4"/>
  <c r="DX890" i="4"/>
  <c r="DW890" i="4"/>
  <c r="DV890" i="4"/>
  <c r="DU890" i="4"/>
  <c r="DT890" i="4"/>
  <c r="DS890" i="4"/>
  <c r="DR890" i="4"/>
  <c r="DQ890" i="4"/>
  <c r="DP890" i="4"/>
  <c r="DO890" i="4"/>
  <c r="DN890" i="4"/>
  <c r="DM890" i="4"/>
  <c r="DL890" i="4"/>
  <c r="DK890" i="4"/>
  <c r="DJ890" i="4"/>
  <c r="DI890" i="4"/>
  <c r="DH890" i="4"/>
  <c r="DG890" i="4"/>
  <c r="DF890" i="4"/>
  <c r="DE890" i="4"/>
  <c r="CY888" i="4"/>
  <c r="CY887" i="4"/>
  <c r="CY886" i="4"/>
  <c r="CY885" i="4"/>
  <c r="CY884" i="4"/>
  <c r="CY883" i="4"/>
  <c r="CY881" i="4"/>
  <c r="CY880" i="4"/>
  <c r="DW880" i="4" s="1"/>
  <c r="CY877" i="4"/>
  <c r="DW877" i="4" s="1"/>
  <c r="CQ883" i="4"/>
  <c r="CN883" i="4"/>
  <c r="CM883" i="4"/>
  <c r="CU882" i="4"/>
  <c r="CV882" i="4" s="1"/>
  <c r="CW882" i="4" s="1"/>
  <c r="CX882" i="4" s="1"/>
  <c r="BR882" i="4"/>
  <c r="BM882" i="4"/>
  <c r="BN882" i="4" s="1"/>
  <c r="BO882" i="4" s="1"/>
  <c r="BI882" i="4"/>
  <c r="BH882" i="4"/>
  <c r="BE882" i="4"/>
  <c r="BC882" i="4"/>
  <c r="AX882" i="4"/>
  <c r="AY882" i="4" s="1"/>
  <c r="AZ882" i="4" s="1"/>
  <c r="CO879" i="4"/>
  <c r="CO878" i="4"/>
  <c r="DU878" i="4" s="1"/>
  <c r="CO877" i="4"/>
  <c r="CJ879" i="4"/>
  <c r="DT879" i="4" s="1"/>
  <c r="CJ877" i="4"/>
  <c r="DT877" i="4" s="1"/>
  <c r="CE879" i="4"/>
  <c r="DS879" i="4" s="1"/>
  <c r="CE877" i="4"/>
  <c r="BZ879" i="4"/>
  <c r="BZ877" i="4"/>
  <c r="BU879" i="4"/>
  <c r="BU877" i="4"/>
  <c r="BP877" i="4"/>
  <c r="DP877" i="4" s="1"/>
  <c r="BL879" i="4"/>
  <c r="BP879" i="4" s="1"/>
  <c r="DP879" i="4" s="1"/>
  <c r="BJ879" i="4"/>
  <c r="BI879" i="4"/>
  <c r="BH879" i="4"/>
  <c r="BG879" i="4"/>
  <c r="BE879" i="4"/>
  <c r="BD879" i="4"/>
  <c r="BC879" i="4"/>
  <c r="BB879" i="4"/>
  <c r="BA879" i="4"/>
  <c r="DM879" i="4" s="1"/>
  <c r="AZ879" i="4"/>
  <c r="AU879" i="4"/>
  <c r="AV879" i="4" s="1"/>
  <c r="DL879" i="4" s="1"/>
  <c r="AQ879" i="4"/>
  <c r="DK879" i="4" s="1"/>
  <c r="AQ878" i="4"/>
  <c r="DK878" i="4" s="1"/>
  <c r="AQ877" i="4"/>
  <c r="BF877" i="4"/>
  <c r="DN877" i="4" s="1"/>
  <c r="BD878" i="4"/>
  <c r="BD877" i="4"/>
  <c r="BB878" i="4"/>
  <c r="BA878" i="4"/>
  <c r="DM878" i="4" s="1"/>
  <c r="AV878" i="4"/>
  <c r="AV877" i="4"/>
  <c r="DL877" i="4" s="1"/>
  <c r="AL878" i="4"/>
  <c r="AL877" i="4"/>
  <c r="DJ877" i="4" s="1"/>
  <c r="DY883" i="4"/>
  <c r="DX883" i="4"/>
  <c r="DW883" i="4"/>
  <c r="DV883" i="4"/>
  <c r="DU883" i="4"/>
  <c r="DT883" i="4"/>
  <c r="DS883" i="4"/>
  <c r="DR883" i="4"/>
  <c r="DQ883" i="4"/>
  <c r="DP883" i="4"/>
  <c r="DO883" i="4"/>
  <c r="DN883" i="4"/>
  <c r="DM883" i="4"/>
  <c r="DL883" i="4"/>
  <c r="DK883" i="4"/>
  <c r="DJ883" i="4"/>
  <c r="DI883" i="4"/>
  <c r="DH883" i="4"/>
  <c r="DG883" i="4"/>
  <c r="DF883" i="4"/>
  <c r="DE883" i="4"/>
  <c r="DV882" i="4"/>
  <c r="DU882" i="4"/>
  <c r="DT882" i="4"/>
  <c r="DS882" i="4"/>
  <c r="DR882" i="4"/>
  <c r="DQ882" i="4"/>
  <c r="DP882" i="4"/>
  <c r="DO882" i="4"/>
  <c r="DN882" i="4"/>
  <c r="DM882" i="4"/>
  <c r="DL882" i="4"/>
  <c r="DK882" i="4"/>
  <c r="DJ882" i="4"/>
  <c r="DI882" i="4"/>
  <c r="DH882" i="4"/>
  <c r="DG882" i="4"/>
  <c r="DF882" i="4"/>
  <c r="DE882" i="4"/>
  <c r="DY881" i="4"/>
  <c r="DX881" i="4"/>
  <c r="DW881" i="4"/>
  <c r="DV881" i="4"/>
  <c r="DU881" i="4"/>
  <c r="DT881" i="4"/>
  <c r="DS881" i="4"/>
  <c r="DR881" i="4"/>
  <c r="DQ881" i="4"/>
  <c r="DP881" i="4"/>
  <c r="DO881" i="4"/>
  <c r="DN881" i="4"/>
  <c r="DM881" i="4"/>
  <c r="DL881" i="4"/>
  <c r="DK881" i="4"/>
  <c r="DJ881" i="4"/>
  <c r="DI881" i="4"/>
  <c r="DH881" i="4"/>
  <c r="DG881" i="4"/>
  <c r="DF881" i="4"/>
  <c r="DE881" i="4"/>
  <c r="DY880" i="4"/>
  <c r="DX880" i="4"/>
  <c r="DV880" i="4"/>
  <c r="DU880" i="4"/>
  <c r="DT880" i="4"/>
  <c r="DS880" i="4"/>
  <c r="DR880" i="4"/>
  <c r="DQ880" i="4"/>
  <c r="DP880" i="4"/>
  <c r="DO880" i="4"/>
  <c r="DN880" i="4"/>
  <c r="DM880" i="4"/>
  <c r="DL880" i="4"/>
  <c r="DK880" i="4"/>
  <c r="DJ880" i="4"/>
  <c r="DI880" i="4"/>
  <c r="DH880" i="4"/>
  <c r="DG880" i="4"/>
  <c r="DF880" i="4"/>
  <c r="DE880" i="4"/>
  <c r="DU879" i="4"/>
  <c r="DR879" i="4"/>
  <c r="DQ879" i="4"/>
  <c r="DJ879" i="4"/>
  <c r="DI879" i="4"/>
  <c r="DH879" i="4"/>
  <c r="DG879" i="4"/>
  <c r="DF879" i="4"/>
  <c r="DE879" i="4"/>
  <c r="DL878" i="4"/>
  <c r="DJ878" i="4"/>
  <c r="DI878" i="4"/>
  <c r="DH878" i="4"/>
  <c r="DG878" i="4"/>
  <c r="DF878" i="4"/>
  <c r="DE878" i="4"/>
  <c r="DX877" i="4"/>
  <c r="DU877" i="4"/>
  <c r="DS877" i="4"/>
  <c r="DR877" i="4"/>
  <c r="DQ877" i="4"/>
  <c r="DK877" i="4"/>
  <c r="DA877" i="4"/>
  <c r="DY877" i="4" s="1"/>
  <c r="CZ877" i="4"/>
  <c r="CT879" i="4"/>
  <c r="CU879" i="4" s="1"/>
  <c r="CV879" i="4" s="1"/>
  <c r="CW879" i="4" s="1"/>
  <c r="CX879" i="4" s="1"/>
  <c r="CT878" i="4"/>
  <c r="DV878" i="4" s="1"/>
  <c r="CX877" i="4"/>
  <c r="CW877" i="4"/>
  <c r="CV877" i="4"/>
  <c r="CU877" i="4"/>
  <c r="CT877" i="4"/>
  <c r="DV877" i="4" s="1"/>
  <c r="CS877" i="4"/>
  <c r="CR877" i="4"/>
  <c r="CQ877" i="4"/>
  <c r="CP877" i="4"/>
  <c r="CN877" i="4"/>
  <c r="CM877" i="4"/>
  <c r="CL877" i="4"/>
  <c r="CK877" i="4"/>
  <c r="CI878" i="4"/>
  <c r="CH878" i="4"/>
  <c r="CG878" i="4"/>
  <c r="CF878" i="4"/>
  <c r="CI877" i="4"/>
  <c r="CH877" i="4"/>
  <c r="CG877" i="4"/>
  <c r="CF877" i="4"/>
  <c r="CD878" i="4"/>
  <c r="CC878" i="4"/>
  <c r="CB878" i="4"/>
  <c r="CA878" i="4"/>
  <c r="CD877" i="4"/>
  <c r="CC877" i="4"/>
  <c r="CB877" i="4"/>
  <c r="CA877" i="4"/>
  <c r="BY878" i="4"/>
  <c r="BX878" i="4"/>
  <c r="BW878" i="4"/>
  <c r="BV878" i="4"/>
  <c r="BY877" i="4"/>
  <c r="BX877" i="4"/>
  <c r="BW877" i="4"/>
  <c r="BV877" i="4"/>
  <c r="BT878" i="4"/>
  <c r="BS878" i="4"/>
  <c r="BR878" i="4"/>
  <c r="BQ878" i="4"/>
  <c r="BT877" i="4"/>
  <c r="BS877" i="4"/>
  <c r="BR877" i="4"/>
  <c r="BQ877" i="4"/>
  <c r="BO878" i="4"/>
  <c r="BN878" i="4"/>
  <c r="BM878" i="4"/>
  <c r="BL878" i="4"/>
  <c r="BJ878" i="4"/>
  <c r="BI878" i="4"/>
  <c r="BO877" i="4"/>
  <c r="BN877" i="4"/>
  <c r="BM877" i="4"/>
  <c r="BL877" i="4"/>
  <c r="BK877" i="4"/>
  <c r="DO877" i="4" s="1"/>
  <c r="BJ877" i="4"/>
  <c r="BI877" i="4"/>
  <c r="BH877" i="4"/>
  <c r="BG877" i="4"/>
  <c r="BE877" i="4"/>
  <c r="BC877" i="4"/>
  <c r="BB877" i="4"/>
  <c r="BA877" i="4"/>
  <c r="DM877" i="4" s="1"/>
  <c r="AZ877" i="4"/>
  <c r="AY877" i="4"/>
  <c r="AX877" i="4"/>
  <c r="AW877" i="4"/>
  <c r="AU877" i="4"/>
  <c r="AT877" i="4"/>
  <c r="AS877" i="4"/>
  <c r="AR877" i="4"/>
  <c r="AP877" i="4"/>
  <c r="AO877" i="4"/>
  <c r="AN877" i="4"/>
  <c r="AM877" i="4"/>
  <c r="AK877" i="4"/>
  <c r="AJ877" i="4"/>
  <c r="AI877" i="4"/>
  <c r="AH877" i="4"/>
  <c r="AG877" i="4"/>
  <c r="DI877" i="4" s="1"/>
  <c r="AF877" i="4"/>
  <c r="AE877" i="4"/>
  <c r="AD877" i="4"/>
  <c r="AC877" i="4"/>
  <c r="AB877" i="4"/>
  <c r="DH877" i="4" s="1"/>
  <c r="AA877" i="4"/>
  <c r="Z877" i="4"/>
  <c r="Y877" i="4"/>
  <c r="X877" i="4"/>
  <c r="W877" i="4"/>
  <c r="DG877" i="4" s="1"/>
  <c r="V877" i="4"/>
  <c r="U877" i="4"/>
  <c r="T877" i="4"/>
  <c r="S877" i="4"/>
  <c r="R877" i="4"/>
  <c r="DF877" i="4" s="1"/>
  <c r="Q877" i="4"/>
  <c r="P877" i="4"/>
  <c r="O877" i="4"/>
  <c r="N877" i="4"/>
  <c r="M877" i="4"/>
  <c r="DE877" i="4" s="1"/>
  <c r="L877" i="4"/>
  <c r="K877" i="4"/>
  <c r="J877" i="4"/>
  <c r="I877" i="4"/>
  <c r="AB874" i="4"/>
  <c r="DH874" i="4" s="1"/>
  <c r="W874" i="4"/>
  <c r="W872" i="4"/>
  <c r="R874" i="4"/>
  <c r="DF874" i="4" s="1"/>
  <c r="M874" i="4"/>
  <c r="AC872" i="4"/>
  <c r="AC871" i="4"/>
  <c r="AD872" i="4"/>
  <c r="AD871" i="4"/>
  <c r="DY874" i="4"/>
  <c r="DX874" i="4"/>
  <c r="DW874" i="4"/>
  <c r="DV874" i="4"/>
  <c r="DU874" i="4"/>
  <c r="DT874" i="4"/>
  <c r="DS874" i="4"/>
  <c r="DR874" i="4"/>
  <c r="DQ874" i="4"/>
  <c r="DP874" i="4"/>
  <c r="DO874" i="4"/>
  <c r="DN874" i="4"/>
  <c r="DM874" i="4"/>
  <c r="DL874" i="4"/>
  <c r="DK874" i="4"/>
  <c r="DJ874" i="4"/>
  <c r="DI874" i="4"/>
  <c r="DG874" i="4"/>
  <c r="DE874" i="4"/>
  <c r="DY873" i="4"/>
  <c r="DX873" i="4"/>
  <c r="DW873" i="4"/>
  <c r="DV873" i="4"/>
  <c r="DU873" i="4"/>
  <c r="DT873" i="4"/>
  <c r="DS873" i="4"/>
  <c r="DR873" i="4"/>
  <c r="DQ873" i="4"/>
  <c r="DP873" i="4"/>
  <c r="DO873" i="4"/>
  <c r="DN873" i="4"/>
  <c r="DM873" i="4"/>
  <c r="DL873" i="4"/>
  <c r="DK873" i="4"/>
  <c r="DJ873" i="4"/>
  <c r="DI873" i="4"/>
  <c r="DY872" i="4"/>
  <c r="DX872" i="4"/>
  <c r="DW872" i="4"/>
  <c r="DV872" i="4"/>
  <c r="DU872" i="4"/>
  <c r="DT872" i="4"/>
  <c r="DS872" i="4"/>
  <c r="DR872" i="4"/>
  <c r="DQ872" i="4"/>
  <c r="DP872" i="4"/>
  <c r="DO872" i="4"/>
  <c r="DN872" i="4"/>
  <c r="DM872" i="4"/>
  <c r="DL872" i="4"/>
  <c r="DK872" i="4"/>
  <c r="DJ872" i="4"/>
  <c r="DI872" i="4"/>
  <c r="CB871" i="4"/>
  <c r="CB797" i="4" s="1"/>
  <c r="CA871" i="4"/>
  <c r="BY871" i="4"/>
  <c r="BX871" i="4"/>
  <c r="BW871" i="4"/>
  <c r="AT871" i="4"/>
  <c r="AT797" i="4" s="1"/>
  <c r="AS871" i="4"/>
  <c r="AR871" i="4"/>
  <c r="AP871" i="4"/>
  <c r="AP797" i="4" s="1"/>
  <c r="AO871" i="4"/>
  <c r="AO797" i="4" s="1"/>
  <c r="AN871" i="4"/>
  <c r="AM871" i="4"/>
  <c r="AK871" i="4"/>
  <c r="AJ871" i="4"/>
  <c r="AI871" i="4"/>
  <c r="AH871" i="4"/>
  <c r="AF871" i="4"/>
  <c r="AF797" i="4" s="1"/>
  <c r="AE871" i="4"/>
  <c r="AE797" i="4" s="1"/>
  <c r="AA872" i="4"/>
  <c r="AB872" i="4" s="1"/>
  <c r="Z872" i="4"/>
  <c r="Y872" i="4"/>
  <c r="X872" i="4"/>
  <c r="AA871" i="4"/>
  <c r="Z871" i="4"/>
  <c r="Y871" i="4"/>
  <c r="X871" i="4"/>
  <c r="X797" i="4" s="1"/>
  <c r="V872" i="4"/>
  <c r="U872" i="4"/>
  <c r="T872" i="4"/>
  <c r="S872" i="4"/>
  <c r="V871" i="4"/>
  <c r="U871" i="4"/>
  <c r="T871" i="4"/>
  <c r="T797" i="4" s="1"/>
  <c r="S871" i="4"/>
  <c r="S797" i="4" s="1"/>
  <c r="Q872" i="4"/>
  <c r="P872" i="4"/>
  <c r="O872" i="4"/>
  <c r="N872" i="4"/>
  <c r="Q871" i="4"/>
  <c r="P871" i="4"/>
  <c r="O871" i="4"/>
  <c r="O797" i="4" s="1"/>
  <c r="N871" i="4"/>
  <c r="N797" i="4" s="1"/>
  <c r="L872" i="4"/>
  <c r="K872" i="4"/>
  <c r="L873" i="4" s="1"/>
  <c r="L912" i="4" s="1"/>
  <c r="J872" i="4"/>
  <c r="K873" i="4" s="1"/>
  <c r="K912" i="4" s="1"/>
  <c r="I872" i="4"/>
  <c r="I873" i="4" s="1"/>
  <c r="L871" i="4"/>
  <c r="K871" i="4"/>
  <c r="K797" i="4" s="1"/>
  <c r="J871" i="4"/>
  <c r="J797" i="4" s="1"/>
  <c r="I871" i="4"/>
  <c r="CM870" i="4"/>
  <c r="CM871" i="4" s="1"/>
  <c r="CO869" i="4"/>
  <c r="CO867" i="4"/>
  <c r="CQ869" i="4"/>
  <c r="CR869" i="4" s="1"/>
  <c r="CN868" i="4"/>
  <c r="CS867" i="4"/>
  <c r="DA865" i="4"/>
  <c r="CZ865" i="4"/>
  <c r="DX865" i="4" s="1"/>
  <c r="CY865" i="4"/>
  <c r="DW865" i="4" s="1"/>
  <c r="CX865" i="4"/>
  <c r="CW865" i="4"/>
  <c r="CV865" i="4"/>
  <c r="CU865" i="4"/>
  <c r="CT865" i="4"/>
  <c r="DV865" i="4" s="1"/>
  <c r="CS865" i="4"/>
  <c r="CQ865" i="4"/>
  <c r="CP865" i="4"/>
  <c r="CN865" i="4"/>
  <c r="CO865" i="4" s="1"/>
  <c r="DU865" i="4" s="1"/>
  <c r="CL865" i="4"/>
  <c r="CK865" i="4"/>
  <c r="CI865" i="4"/>
  <c r="CJ865" i="4" s="1"/>
  <c r="DT865" i="4" s="1"/>
  <c r="CH865" i="4"/>
  <c r="CG865" i="4"/>
  <c r="CG871" i="4" s="1"/>
  <c r="CF865" i="4"/>
  <c r="CF871" i="4" s="1"/>
  <c r="CF797" i="4" s="1"/>
  <c r="CD865" i="4"/>
  <c r="CE865" i="4" s="1"/>
  <c r="CC865" i="4"/>
  <c r="BZ865" i="4"/>
  <c r="BZ864" i="4"/>
  <c r="DR864" i="4" s="1"/>
  <c r="BZ863" i="4"/>
  <c r="BV865" i="4"/>
  <c r="BT865" i="4"/>
  <c r="BU865" i="4" s="1"/>
  <c r="DQ865" i="4" s="1"/>
  <c r="BS865" i="4"/>
  <c r="BR865" i="4"/>
  <c r="BQ865" i="4"/>
  <c r="BO865" i="4"/>
  <c r="BP865" i="4" s="1"/>
  <c r="DP865" i="4" s="1"/>
  <c r="BN865" i="4"/>
  <c r="BM865" i="4"/>
  <c r="BL865" i="4"/>
  <c r="BJ865" i="4"/>
  <c r="BK865" i="4" s="1"/>
  <c r="DO865" i="4" s="1"/>
  <c r="BI865" i="4"/>
  <c r="BH865" i="4"/>
  <c r="BG865" i="4"/>
  <c r="BE865" i="4"/>
  <c r="BF865" i="4" s="1"/>
  <c r="DN865" i="4" s="1"/>
  <c r="BD865" i="4"/>
  <c r="BC865" i="4"/>
  <c r="BB865" i="4"/>
  <c r="BB871" i="4" s="1"/>
  <c r="AZ865" i="4"/>
  <c r="BA865" i="4" s="1"/>
  <c r="DM865" i="4" s="1"/>
  <c r="AY865" i="4"/>
  <c r="AY871" i="4" s="1"/>
  <c r="AY797" i="4" s="1"/>
  <c r="AX865" i="4"/>
  <c r="AX871" i="4" s="1"/>
  <c r="AW865" i="4"/>
  <c r="AW871" i="4" s="1"/>
  <c r="AU865" i="4"/>
  <c r="AQ865" i="4"/>
  <c r="AQ864" i="4"/>
  <c r="AQ863" i="4"/>
  <c r="AL865" i="4"/>
  <c r="DJ865" i="4" s="1"/>
  <c r="AL864" i="4"/>
  <c r="DJ864" i="4" s="1"/>
  <c r="AL863" i="4"/>
  <c r="AG865" i="4"/>
  <c r="DI865" i="4" s="1"/>
  <c r="AG864" i="4"/>
  <c r="AG863" i="4"/>
  <c r="AG871" i="4" s="1"/>
  <c r="DI871" i="4" s="1"/>
  <c r="AB865" i="4"/>
  <c r="AB864" i="4"/>
  <c r="AB863" i="4"/>
  <c r="W865" i="4"/>
  <c r="DG865" i="4" s="1"/>
  <c r="W864" i="4"/>
  <c r="R865" i="4"/>
  <c r="R872" i="4" s="1"/>
  <c r="DF872" i="4" s="1"/>
  <c r="R864" i="4"/>
  <c r="M865" i="4"/>
  <c r="DE865" i="4" s="1"/>
  <c r="M864" i="4"/>
  <c r="CO864" i="4"/>
  <c r="CO863" i="4"/>
  <c r="CJ864" i="4"/>
  <c r="DT864" i="4" s="1"/>
  <c r="CE864" i="4"/>
  <c r="BU864" i="4"/>
  <c r="BP864" i="4"/>
  <c r="BN864" i="4"/>
  <c r="BM864" i="4"/>
  <c r="BL864" i="4"/>
  <c r="BJ864" i="4"/>
  <c r="BK864" i="4" s="1"/>
  <c r="BI864" i="4"/>
  <c r="BH864" i="4"/>
  <c r="BG864" i="4"/>
  <c r="BF864" i="4"/>
  <c r="AZ864" i="4"/>
  <c r="AV864" i="4"/>
  <c r="DL864" i="4" s="1"/>
  <c r="AV863" i="4"/>
  <c r="DL863" i="4" s="1"/>
  <c r="DY865" i="4"/>
  <c r="DS865" i="4"/>
  <c r="DR865" i="4"/>
  <c r="DK865" i="4"/>
  <c r="DH865" i="4"/>
  <c r="DF865" i="4"/>
  <c r="DU864" i="4"/>
  <c r="DS864" i="4"/>
  <c r="DQ864" i="4"/>
  <c r="DP864" i="4"/>
  <c r="DN864" i="4"/>
  <c r="DK864" i="4"/>
  <c r="DH864" i="4"/>
  <c r="DG864" i="4"/>
  <c r="DE864" i="4"/>
  <c r="DU863" i="4"/>
  <c r="DM863" i="4"/>
  <c r="DK863" i="4"/>
  <c r="DJ863" i="4"/>
  <c r="DI863" i="4"/>
  <c r="DG863" i="4"/>
  <c r="DF863" i="4"/>
  <c r="DE863" i="4"/>
  <c r="CS864" i="4"/>
  <c r="CT864" i="4" s="1"/>
  <c r="CN863" i="4"/>
  <c r="CH863" i="4"/>
  <c r="CC863" i="4"/>
  <c r="CD863" i="4" s="1"/>
  <c r="CD871" i="4" s="1"/>
  <c r="CD797" i="4" s="1"/>
  <c r="BC863" i="4"/>
  <c r="BC871" i="4" s="1"/>
  <c r="BA863" i="4"/>
  <c r="CL860" i="4"/>
  <c r="CL796" i="4" s="1"/>
  <c r="CA860" i="4"/>
  <c r="CA796" i="4" s="1"/>
  <c r="AT860" i="4"/>
  <c r="AS860" i="4"/>
  <c r="AR860" i="4"/>
  <c r="AP860" i="4"/>
  <c r="AP796" i="4" s="1"/>
  <c r="AO860" i="4"/>
  <c r="AN860" i="4"/>
  <c r="AM860" i="4"/>
  <c r="AK860" i="4"/>
  <c r="AK796" i="4" s="1"/>
  <c r="AJ860" i="4"/>
  <c r="AI860" i="4"/>
  <c r="AI796" i="4" s="1"/>
  <c r="AH860" i="4"/>
  <c r="AH796" i="4" s="1"/>
  <c r="AF860" i="4"/>
  <c r="AE860" i="4"/>
  <c r="AD860" i="4"/>
  <c r="AC860" i="4"/>
  <c r="AA860" i="4"/>
  <c r="Z860" i="4"/>
  <c r="Y860" i="4"/>
  <c r="X860" i="4"/>
  <c r="V860" i="4"/>
  <c r="U860" i="4"/>
  <c r="T860" i="4"/>
  <c r="S860" i="4"/>
  <c r="Q860" i="4"/>
  <c r="P860" i="4"/>
  <c r="O860" i="4"/>
  <c r="N860" i="4"/>
  <c r="N796" i="4" s="1"/>
  <c r="L860" i="4"/>
  <c r="K860" i="4"/>
  <c r="J860" i="4"/>
  <c r="J796" i="4" s="1"/>
  <c r="I860" i="4"/>
  <c r="I796" i="4" s="1"/>
  <c r="CO859" i="4"/>
  <c r="CO858" i="4"/>
  <c r="CO857" i="4"/>
  <c r="CO856" i="4"/>
  <c r="CO855" i="4"/>
  <c r="CS859" i="4"/>
  <c r="CS857" i="4"/>
  <c r="CS855" i="4"/>
  <c r="CO853" i="4"/>
  <c r="CO852" i="4"/>
  <c r="CO851" i="4"/>
  <c r="CO850" i="4"/>
  <c r="CO849" i="4"/>
  <c r="CO848" i="4"/>
  <c r="CO847" i="4"/>
  <c r="CO846" i="4"/>
  <c r="DU846" i="4" s="1"/>
  <c r="CO845" i="4"/>
  <c r="CJ851" i="4"/>
  <c r="CJ850" i="4"/>
  <c r="CJ849" i="4"/>
  <c r="CJ848" i="4"/>
  <c r="CJ847" i="4"/>
  <c r="CJ846" i="4"/>
  <c r="CJ845" i="4"/>
  <c r="DT845" i="4" s="1"/>
  <c r="CJ844" i="4"/>
  <c r="CJ843" i="4"/>
  <c r="CE849" i="4"/>
  <c r="CE848" i="4"/>
  <c r="CE847" i="4"/>
  <c r="CE846" i="4"/>
  <c r="DS846" i="4" s="1"/>
  <c r="CE845" i="4"/>
  <c r="DS845" i="4" s="1"/>
  <c r="CE844" i="4"/>
  <c r="CE843" i="4"/>
  <c r="CE842" i="4"/>
  <c r="DS842" i="4" s="1"/>
  <c r="CE841" i="4"/>
  <c r="BY848" i="4"/>
  <c r="BZ847" i="4"/>
  <c r="BZ846" i="4"/>
  <c r="BZ845" i="4"/>
  <c r="BZ844" i="4"/>
  <c r="BZ843" i="4"/>
  <c r="DR843" i="4" s="1"/>
  <c r="BZ842" i="4"/>
  <c r="DR842" i="4" s="1"/>
  <c r="BZ841" i="4"/>
  <c r="DR841" i="4" s="1"/>
  <c r="BZ840" i="4"/>
  <c r="BZ839" i="4"/>
  <c r="BZ838" i="4"/>
  <c r="BZ837" i="4"/>
  <c r="BU847" i="4"/>
  <c r="BU845" i="4"/>
  <c r="DQ845" i="4" s="1"/>
  <c r="BU844" i="4"/>
  <c r="BU843" i="4"/>
  <c r="DQ843" i="4" s="1"/>
  <c r="BU842" i="4"/>
  <c r="BP847" i="4"/>
  <c r="BP846" i="4"/>
  <c r="DP846" i="4" s="1"/>
  <c r="BP845" i="4"/>
  <c r="DP845" i="4" s="1"/>
  <c r="BP844" i="4"/>
  <c r="BP843" i="4"/>
  <c r="BP842" i="4"/>
  <c r="BP841" i="4"/>
  <c r="DP841" i="4" s="1"/>
  <c r="BK847" i="4"/>
  <c r="BK846" i="4"/>
  <c r="BK842" i="4"/>
  <c r="DO842" i="4" s="1"/>
  <c r="BF847" i="4"/>
  <c r="BF846" i="4"/>
  <c r="BF845" i="4"/>
  <c r="BF844" i="4"/>
  <c r="DN844" i="4" s="1"/>
  <c r="BF843" i="4"/>
  <c r="BF842" i="4"/>
  <c r="BF841" i="4"/>
  <c r="BF840" i="4"/>
  <c r="DN840" i="4" s="1"/>
  <c r="BA847" i="4"/>
  <c r="DM847" i="4" s="1"/>
  <c r="BA846" i="4"/>
  <c r="BA845" i="4"/>
  <c r="DM845" i="4" s="1"/>
  <c r="BA844" i="4"/>
  <c r="DM844" i="4" s="1"/>
  <c r="BA843" i="4"/>
  <c r="BA842" i="4"/>
  <c r="BA841" i="4"/>
  <c r="BA840" i="4"/>
  <c r="DM840" i="4" s="1"/>
  <c r="AV847" i="4"/>
  <c r="AV846" i="4"/>
  <c r="DL846" i="4" s="1"/>
  <c r="AV845" i="4"/>
  <c r="DL845" i="4" s="1"/>
  <c r="AV844" i="4"/>
  <c r="AV843" i="4"/>
  <c r="AV842" i="4"/>
  <c r="AV841" i="4"/>
  <c r="DL841" i="4" s="1"/>
  <c r="AV840" i="4"/>
  <c r="DL840" i="4" s="1"/>
  <c r="AV838" i="4"/>
  <c r="AQ847" i="4"/>
  <c r="AQ846" i="4"/>
  <c r="DK846" i="4" s="1"/>
  <c r="AL847" i="4"/>
  <c r="DJ847" i="4" s="1"/>
  <c r="AL846" i="4"/>
  <c r="AG847" i="4"/>
  <c r="DI847" i="4" s="1"/>
  <c r="AG846" i="4"/>
  <c r="AB847" i="4"/>
  <c r="DH847" i="4" s="1"/>
  <c r="AB846" i="4"/>
  <c r="W847" i="4"/>
  <c r="W846" i="4"/>
  <c r="DG846" i="4" s="1"/>
  <c r="R847" i="4"/>
  <c r="DF847" i="4" s="1"/>
  <c r="R846" i="4"/>
  <c r="BS846" i="4"/>
  <c r="BT846" i="4" s="1"/>
  <c r="BU846" i="4" s="1"/>
  <c r="BJ845" i="4"/>
  <c r="BK845" i="4" s="1"/>
  <c r="DO845" i="4" s="1"/>
  <c r="BJ844" i="4"/>
  <c r="BJ843" i="4"/>
  <c r="CN844" i="4"/>
  <c r="CN843" i="4"/>
  <c r="CO843" i="4" s="1"/>
  <c r="DU843" i="4" s="1"/>
  <c r="CN842" i="4"/>
  <c r="CN841" i="4"/>
  <c r="AQ844" i="4"/>
  <c r="DK844" i="4" s="1"/>
  <c r="AQ843" i="4"/>
  <c r="AL843" i="4"/>
  <c r="DJ843" i="4" s="1"/>
  <c r="AG843" i="4"/>
  <c r="AB843" i="4"/>
  <c r="DH843" i="4" s="1"/>
  <c r="CI842" i="4"/>
  <c r="CJ842" i="4" s="1"/>
  <c r="CK842" i="4" s="1"/>
  <c r="CI841" i="4"/>
  <c r="BJ841" i="4"/>
  <c r="BG841" i="4"/>
  <c r="BH841" i="4" s="1"/>
  <c r="AQ841" i="4"/>
  <c r="AQ840" i="4"/>
  <c r="AQ839" i="4"/>
  <c r="AQ838" i="4"/>
  <c r="DK838" i="4" s="1"/>
  <c r="AQ837" i="4"/>
  <c r="AL841" i="4"/>
  <c r="AL840" i="4"/>
  <c r="DJ840" i="4" s="1"/>
  <c r="AL839" i="4"/>
  <c r="DJ839" i="4" s="1"/>
  <c r="AL838" i="4"/>
  <c r="AL837" i="4"/>
  <c r="AG841" i="4"/>
  <c r="AG840" i="4"/>
  <c r="DI840" i="4" s="1"/>
  <c r="AG839" i="4"/>
  <c r="AG838" i="4"/>
  <c r="AG837" i="4"/>
  <c r="AB841" i="4"/>
  <c r="DH841" i="4" s="1"/>
  <c r="AB840" i="4"/>
  <c r="AB839" i="4"/>
  <c r="AB838" i="4"/>
  <c r="AB837" i="4"/>
  <c r="CM840" i="4"/>
  <c r="CM839" i="4"/>
  <c r="CM838" i="4"/>
  <c r="CM837" i="4"/>
  <c r="W840" i="4"/>
  <c r="W839" i="4"/>
  <c r="W838" i="4"/>
  <c r="DG838" i="4" s="1"/>
  <c r="W837" i="4"/>
  <c r="DG837" i="4" s="1"/>
  <c r="R840" i="4"/>
  <c r="R839" i="4"/>
  <c r="DF839" i="4" s="1"/>
  <c r="R838" i="4"/>
  <c r="DF838" i="4" s="1"/>
  <c r="R837" i="4"/>
  <c r="R860" i="4" s="1"/>
  <c r="DF860" i="4" s="1"/>
  <c r="M840" i="4"/>
  <c r="M839" i="4"/>
  <c r="M838" i="4"/>
  <c r="M837" i="4"/>
  <c r="M860" i="4" s="1"/>
  <c r="DE860" i="4" s="1"/>
  <c r="AU839" i="4"/>
  <c r="DU848" i="4"/>
  <c r="DT848" i="4"/>
  <c r="DS848" i="4"/>
  <c r="DQ848" i="4"/>
  <c r="DP848" i="4"/>
  <c r="DO848" i="4"/>
  <c r="DN848" i="4"/>
  <c r="DM848" i="4"/>
  <c r="DL848" i="4"/>
  <c r="DK848" i="4"/>
  <c r="DJ848" i="4"/>
  <c r="DI848" i="4"/>
  <c r="DH848" i="4"/>
  <c r="DG848" i="4"/>
  <c r="DF848" i="4"/>
  <c r="DE848" i="4"/>
  <c r="DT847" i="4"/>
  <c r="DR847" i="4"/>
  <c r="DP847" i="4"/>
  <c r="DO847" i="4"/>
  <c r="DN847" i="4"/>
  <c r="DL847" i="4"/>
  <c r="DK847" i="4"/>
  <c r="DG847" i="4"/>
  <c r="DE847" i="4"/>
  <c r="DR846" i="4"/>
  <c r="DQ846" i="4"/>
  <c r="DO846" i="4"/>
  <c r="DN846" i="4"/>
  <c r="DM846" i="4"/>
  <c r="DJ846" i="4"/>
  <c r="DI846" i="4"/>
  <c r="DH846" i="4"/>
  <c r="DF846" i="4"/>
  <c r="DE846" i="4"/>
  <c r="DU845" i="4"/>
  <c r="DR845" i="4"/>
  <c r="DN845" i="4"/>
  <c r="DK845" i="4"/>
  <c r="DJ845" i="4"/>
  <c r="DI845" i="4"/>
  <c r="DH845" i="4"/>
  <c r="DG845" i="4"/>
  <c r="DF845" i="4"/>
  <c r="DE845" i="4"/>
  <c r="DT844" i="4"/>
  <c r="DS844" i="4"/>
  <c r="DQ844" i="4"/>
  <c r="DP844" i="4"/>
  <c r="DL844" i="4"/>
  <c r="DJ844" i="4"/>
  <c r="DI844" i="4"/>
  <c r="DH844" i="4"/>
  <c r="DG844" i="4"/>
  <c r="DF844" i="4"/>
  <c r="DE844" i="4"/>
  <c r="DT843" i="4"/>
  <c r="DP843" i="4"/>
  <c r="DN843" i="4"/>
  <c r="DM843" i="4"/>
  <c r="DL843" i="4"/>
  <c r="DI843" i="4"/>
  <c r="DG843" i="4"/>
  <c r="DF843" i="4"/>
  <c r="DE843" i="4"/>
  <c r="DQ842" i="4"/>
  <c r="DP842" i="4"/>
  <c r="DN842" i="4"/>
  <c r="DM842" i="4"/>
  <c r="DL842" i="4"/>
  <c r="DK842" i="4"/>
  <c r="DJ842" i="4"/>
  <c r="DI842" i="4"/>
  <c r="DH842" i="4"/>
  <c r="DG842" i="4"/>
  <c r="DF842" i="4"/>
  <c r="DE842" i="4"/>
  <c r="DS841" i="4"/>
  <c r="DN841" i="4"/>
  <c r="DM841" i="4"/>
  <c r="DK841" i="4"/>
  <c r="DJ841" i="4"/>
  <c r="DI841" i="4"/>
  <c r="DG841" i="4"/>
  <c r="DF841" i="4"/>
  <c r="DE841" i="4"/>
  <c r="DK840" i="4"/>
  <c r="DH840" i="4"/>
  <c r="DG840" i="4"/>
  <c r="DF840" i="4"/>
  <c r="DE840" i="4"/>
  <c r="DR839" i="4"/>
  <c r="DK839" i="4"/>
  <c r="DI839" i="4"/>
  <c r="DH839" i="4"/>
  <c r="DG839" i="4"/>
  <c r="DE839" i="4"/>
  <c r="DR838" i="4"/>
  <c r="DL838" i="4"/>
  <c r="DJ838" i="4"/>
  <c r="DI838" i="4"/>
  <c r="DH838" i="4"/>
  <c r="DE838" i="4"/>
  <c r="DR837" i="4"/>
  <c r="DK837" i="4"/>
  <c r="DJ837" i="4"/>
  <c r="DI837" i="4"/>
  <c r="DH837" i="4"/>
  <c r="CS852" i="4"/>
  <c r="CT852" i="4" s="1"/>
  <c r="CS850" i="4"/>
  <c r="CT850" i="4" s="1"/>
  <c r="CS848" i="4"/>
  <c r="CT848" i="4" s="1"/>
  <c r="CS846" i="4"/>
  <c r="CT846" i="4" s="1"/>
  <c r="DV846" i="4" s="1"/>
  <c r="CR845" i="4"/>
  <c r="CB840" i="4"/>
  <c r="CC840" i="4" s="1"/>
  <c r="CD840" i="4" s="1"/>
  <c r="CE840" i="4" s="1"/>
  <c r="CB839" i="4"/>
  <c r="CC839" i="4" s="1"/>
  <c r="CD839" i="4" s="1"/>
  <c r="CE839" i="4" s="1"/>
  <c r="CC838" i="4"/>
  <c r="CB838" i="4"/>
  <c r="CB837" i="4"/>
  <c r="BS841" i="4"/>
  <c r="AX838" i="4"/>
  <c r="AY838" i="4" s="1"/>
  <c r="AU837" i="4"/>
  <c r="AU860" i="4" s="1"/>
  <c r="CN834" i="4"/>
  <c r="CM834" i="4"/>
  <c r="CL834" i="4"/>
  <c r="CK834" i="4"/>
  <c r="CI834" i="4"/>
  <c r="CH834" i="4"/>
  <c r="CG834" i="4"/>
  <c r="CF834" i="4"/>
  <c r="CC834" i="4"/>
  <c r="CB834" i="4"/>
  <c r="CB795" i="4" s="1"/>
  <c r="CA834" i="4"/>
  <c r="CA795" i="4" s="1"/>
  <c r="BY834" i="4"/>
  <c r="BX834" i="4"/>
  <c r="BX795" i="4" s="1"/>
  <c r="BW834" i="4"/>
  <c r="BW795" i="4" s="1"/>
  <c r="BV834" i="4"/>
  <c r="BV795" i="4" s="1"/>
  <c r="BT834" i="4"/>
  <c r="BS834" i="4"/>
  <c r="BS795" i="4" s="1"/>
  <c r="BR834" i="4"/>
  <c r="BR795" i="4" s="1"/>
  <c r="BQ834" i="4"/>
  <c r="BQ795" i="4" s="1"/>
  <c r="BO834" i="4"/>
  <c r="BO795" i="4" s="1"/>
  <c r="BN834" i="4"/>
  <c r="BN795" i="4" s="1"/>
  <c r="BM834" i="4"/>
  <c r="BM795" i="4" s="1"/>
  <c r="AZ834" i="4"/>
  <c r="AX834" i="4"/>
  <c r="AW834" i="4"/>
  <c r="AV834" i="4"/>
  <c r="AV795" i="4" s="1"/>
  <c r="AU834" i="4"/>
  <c r="AT834" i="4"/>
  <c r="AS834" i="4"/>
  <c r="AS795" i="4" s="1"/>
  <c r="AS798" i="4" s="1"/>
  <c r="AR834" i="4"/>
  <c r="AR795" i="4" s="1"/>
  <c r="AR798" i="4" s="1"/>
  <c r="AP834" i="4"/>
  <c r="AO834" i="4"/>
  <c r="AN834" i="4"/>
  <c r="AN795" i="4" s="1"/>
  <c r="AN798" i="4" s="1"/>
  <c r="AM834" i="4"/>
  <c r="AM795" i="4" s="1"/>
  <c r="AM798" i="4" s="1"/>
  <c r="AK834" i="4"/>
  <c r="AJ834" i="4"/>
  <c r="AI834" i="4"/>
  <c r="AI795" i="4" s="1"/>
  <c r="AI798" i="4" s="1"/>
  <c r="AI800" i="4" s="1"/>
  <c r="AH834" i="4"/>
  <c r="AH795" i="4" s="1"/>
  <c r="AH798" i="4" s="1"/>
  <c r="AH800" i="4" s="1"/>
  <c r="AF834" i="4"/>
  <c r="AE834" i="4"/>
  <c r="AD834" i="4"/>
  <c r="AD795" i="4" s="1"/>
  <c r="AC834" i="4"/>
  <c r="AC795" i="4" s="1"/>
  <c r="AC798" i="4" s="1"/>
  <c r="AC800" i="4" s="1"/>
  <c r="AA834" i="4"/>
  <c r="Z834" i="4"/>
  <c r="Y834" i="4"/>
  <c r="Y795" i="4" s="1"/>
  <c r="Y798" i="4" s="1"/>
  <c r="Y800" i="4" s="1"/>
  <c r="X834" i="4"/>
  <c r="X795" i="4" s="1"/>
  <c r="X798" i="4" s="1"/>
  <c r="V834" i="4"/>
  <c r="U834" i="4"/>
  <c r="T834" i="4"/>
  <c r="T795" i="4" s="1"/>
  <c r="T798" i="4" s="1"/>
  <c r="T800" i="4" s="1"/>
  <c r="S834" i="4"/>
  <c r="S795" i="4" s="1"/>
  <c r="Q834" i="4"/>
  <c r="P834" i="4"/>
  <c r="O834" i="4"/>
  <c r="O795" i="4" s="1"/>
  <c r="N834" i="4"/>
  <c r="N795" i="4" s="1"/>
  <c r="L834" i="4"/>
  <c r="K834" i="4"/>
  <c r="J834" i="4"/>
  <c r="J795" i="4" s="1"/>
  <c r="I834" i="4"/>
  <c r="I795" i="4" s="1"/>
  <c r="I798" i="4" s="1"/>
  <c r="I800" i="4" s="1"/>
  <c r="CO833" i="4"/>
  <c r="CO832" i="4"/>
  <c r="CJ833" i="4"/>
  <c r="DT833" i="4" s="1"/>
  <c r="CJ832" i="4"/>
  <c r="CJ834" i="4" s="1"/>
  <c r="CE833" i="4"/>
  <c r="BZ833" i="4"/>
  <c r="BZ832" i="4"/>
  <c r="BU833" i="4"/>
  <c r="DQ833" i="4" s="1"/>
  <c r="BU832" i="4"/>
  <c r="BP833" i="4"/>
  <c r="BP832" i="4"/>
  <c r="BA833" i="4"/>
  <c r="BB833" i="4" s="1"/>
  <c r="AV833" i="4"/>
  <c r="AV832" i="4"/>
  <c r="AQ833" i="4"/>
  <c r="AQ832" i="4"/>
  <c r="AQ834" i="4" s="1"/>
  <c r="DK834" i="4" s="1"/>
  <c r="AL833" i="4"/>
  <c r="AL832" i="4"/>
  <c r="AG833" i="4"/>
  <c r="DI833" i="4" s="1"/>
  <c r="AG832" i="4"/>
  <c r="AG834" i="4" s="1"/>
  <c r="DI834" i="4" s="1"/>
  <c r="AB833" i="4"/>
  <c r="AB832" i="4"/>
  <c r="W833" i="4"/>
  <c r="W832" i="4"/>
  <c r="DG832" i="4" s="1"/>
  <c r="R833" i="4"/>
  <c r="R832" i="4"/>
  <c r="M833" i="4"/>
  <c r="DE833" i="4" s="1"/>
  <c r="M832" i="4"/>
  <c r="M834" i="4" s="1"/>
  <c r="DE834" i="4" s="1"/>
  <c r="DU833" i="4"/>
  <c r="DR833" i="4"/>
  <c r="DP833" i="4"/>
  <c r="DL833" i="4"/>
  <c r="DK833" i="4"/>
  <c r="DJ833" i="4"/>
  <c r="DH833" i="4"/>
  <c r="DG833" i="4"/>
  <c r="DF833" i="4"/>
  <c r="DU832" i="4"/>
  <c r="DR832" i="4"/>
  <c r="DQ832" i="4"/>
  <c r="DN832" i="4"/>
  <c r="DK832" i="4"/>
  <c r="DF832" i="4"/>
  <c r="CT833" i="4"/>
  <c r="CP832" i="4"/>
  <c r="CQ832" i="4" s="1"/>
  <c r="CR832" i="4" s="1"/>
  <c r="CD832" i="4"/>
  <c r="BK832" i="4"/>
  <c r="BF832" i="4"/>
  <c r="BA832" i="4"/>
  <c r="AY832" i="4"/>
  <c r="DY829" i="4"/>
  <c r="DS829" i="4"/>
  <c r="DO829" i="4"/>
  <c r="DG829" i="4"/>
  <c r="DA829" i="4"/>
  <c r="CZ829" i="4"/>
  <c r="DX829" i="4" s="1"/>
  <c r="CY829" i="4"/>
  <c r="DW829" i="4" s="1"/>
  <c r="CX829" i="4"/>
  <c r="CW829" i="4"/>
  <c r="CV829" i="4"/>
  <c r="CU829" i="4"/>
  <c r="CT829" i="4"/>
  <c r="DV829" i="4" s="1"/>
  <c r="CS829" i="4"/>
  <c r="CR829" i="4"/>
  <c r="CQ829" i="4"/>
  <c r="CP829" i="4"/>
  <c r="CO829" i="4"/>
  <c r="DU829" i="4" s="1"/>
  <c r="CN829" i="4"/>
  <c r="CM829" i="4"/>
  <c r="CL829" i="4"/>
  <c r="CK829" i="4"/>
  <c r="CJ829" i="4"/>
  <c r="DT829" i="4" s="1"/>
  <c r="CI829" i="4"/>
  <c r="CH829" i="4"/>
  <c r="CG829" i="4"/>
  <c r="CF829" i="4"/>
  <c r="CE829" i="4"/>
  <c r="CD829" i="4"/>
  <c r="CC829" i="4"/>
  <c r="CB829" i="4"/>
  <c r="CA829" i="4"/>
  <c r="BZ829" i="4"/>
  <c r="DR829" i="4" s="1"/>
  <c r="BY829" i="4"/>
  <c r="BX829" i="4"/>
  <c r="BW829" i="4"/>
  <c r="BV829" i="4"/>
  <c r="BU829" i="4"/>
  <c r="DQ829" i="4" s="1"/>
  <c r="BT829" i="4"/>
  <c r="BS829" i="4"/>
  <c r="BR829" i="4"/>
  <c r="BQ829" i="4"/>
  <c r="BP829" i="4"/>
  <c r="DP829" i="4" s="1"/>
  <c r="BO829" i="4"/>
  <c r="BN829" i="4"/>
  <c r="BM829" i="4"/>
  <c r="BL829" i="4"/>
  <c r="BK829" i="4"/>
  <c r="BJ829" i="4"/>
  <c r="BI829" i="4"/>
  <c r="BH829" i="4"/>
  <c r="BG829" i="4"/>
  <c r="BF829" i="4"/>
  <c r="DN829" i="4" s="1"/>
  <c r="BE829" i="4"/>
  <c r="BD829" i="4"/>
  <c r="BC829" i="4"/>
  <c r="BB829" i="4"/>
  <c r="BA829" i="4"/>
  <c r="DM829" i="4" s="1"/>
  <c r="AZ829" i="4"/>
  <c r="AY829" i="4"/>
  <c r="AX829" i="4"/>
  <c r="AW829" i="4"/>
  <c r="AV829" i="4"/>
  <c r="DL829" i="4" s="1"/>
  <c r="AU829" i="4"/>
  <c r="AT829" i="4"/>
  <c r="AS829" i="4"/>
  <c r="AR829" i="4"/>
  <c r="AQ829" i="4"/>
  <c r="DK829" i="4" s="1"/>
  <c r="AP829" i="4"/>
  <c r="AO829" i="4"/>
  <c r="AN829" i="4"/>
  <c r="AM829" i="4"/>
  <c r="AL829" i="4"/>
  <c r="DJ829" i="4" s="1"/>
  <c r="AK829" i="4"/>
  <c r="AJ829" i="4"/>
  <c r="AI829" i="4"/>
  <c r="AH829" i="4"/>
  <c r="AG829" i="4"/>
  <c r="DI829" i="4" s="1"/>
  <c r="AF829" i="4"/>
  <c r="AE829" i="4"/>
  <c r="AD829" i="4"/>
  <c r="AC829" i="4"/>
  <c r="AB829" i="4"/>
  <c r="DH829" i="4" s="1"/>
  <c r="AA829" i="4"/>
  <c r="Z829" i="4"/>
  <c r="Y829" i="4"/>
  <c r="X829" i="4"/>
  <c r="W829" i="4"/>
  <c r="V829" i="4"/>
  <c r="U829" i="4"/>
  <c r="T829" i="4"/>
  <c r="S829" i="4"/>
  <c r="R829" i="4"/>
  <c r="DF829" i="4" s="1"/>
  <c r="Q829" i="4"/>
  <c r="P829" i="4"/>
  <c r="O829" i="4"/>
  <c r="N829" i="4"/>
  <c r="M829" i="4"/>
  <c r="DE829" i="4" s="1"/>
  <c r="L829" i="4"/>
  <c r="K829" i="4"/>
  <c r="J829" i="4"/>
  <c r="I829" i="4"/>
  <c r="CO823" i="4"/>
  <c r="DO826" i="4"/>
  <c r="DN826" i="4"/>
  <c r="DM826" i="4"/>
  <c r="DL826" i="4"/>
  <c r="DK826" i="4"/>
  <c r="DJ826" i="4"/>
  <c r="DI826" i="4"/>
  <c r="DH826" i="4"/>
  <c r="DG826" i="4"/>
  <c r="DF826" i="4"/>
  <c r="DE826" i="4"/>
  <c r="DY825" i="4"/>
  <c r="DX825" i="4"/>
  <c r="DW825" i="4"/>
  <c r="DV825" i="4"/>
  <c r="DU825" i="4"/>
  <c r="DT825" i="4"/>
  <c r="DS825" i="4"/>
  <c r="DR825" i="4"/>
  <c r="DQ825" i="4"/>
  <c r="DP825" i="4"/>
  <c r="DO825" i="4"/>
  <c r="DN825" i="4"/>
  <c r="DM825" i="4"/>
  <c r="DL825" i="4"/>
  <c r="DK825" i="4"/>
  <c r="DJ825" i="4"/>
  <c r="DI825" i="4"/>
  <c r="DH825" i="4"/>
  <c r="DG825" i="4"/>
  <c r="DF825" i="4"/>
  <c r="DE825" i="4"/>
  <c r="DO824" i="4"/>
  <c r="DN824" i="4"/>
  <c r="DM824" i="4"/>
  <c r="DL824" i="4"/>
  <c r="DK824" i="4"/>
  <c r="DJ824" i="4"/>
  <c r="DI824" i="4"/>
  <c r="DH824" i="4"/>
  <c r="DG824" i="4"/>
  <c r="DF824" i="4"/>
  <c r="DE824" i="4"/>
  <c r="DU823" i="4"/>
  <c r="DO823" i="4"/>
  <c r="DN823" i="4"/>
  <c r="DM823" i="4"/>
  <c r="DL823" i="4"/>
  <c r="DK823" i="4"/>
  <c r="DJ823" i="4"/>
  <c r="DI823" i="4"/>
  <c r="DH823" i="4"/>
  <c r="DG823" i="4"/>
  <c r="DF823" i="4"/>
  <c r="DE823" i="4"/>
  <c r="CE818" i="4"/>
  <c r="CJ818" i="4" s="1"/>
  <c r="DT818" i="4" s="1"/>
  <c r="BU819" i="4"/>
  <c r="DY821" i="4"/>
  <c r="DX821" i="4"/>
  <c r="DW821" i="4"/>
  <c r="DV821" i="4"/>
  <c r="DU821" i="4"/>
  <c r="DT821" i="4"/>
  <c r="DS821" i="4"/>
  <c r="DR821" i="4"/>
  <c r="DQ821" i="4"/>
  <c r="DP821" i="4"/>
  <c r="DO821" i="4"/>
  <c r="DN821" i="4"/>
  <c r="DM821" i="4"/>
  <c r="DL821" i="4"/>
  <c r="DK821" i="4"/>
  <c r="DJ821" i="4"/>
  <c r="DI821" i="4"/>
  <c r="DH821" i="4"/>
  <c r="DG821" i="4"/>
  <c r="DF821" i="4"/>
  <c r="DE821" i="4"/>
  <c r="DY820" i="4"/>
  <c r="DX820" i="4"/>
  <c r="DW820" i="4"/>
  <c r="DV820" i="4"/>
  <c r="DU820" i="4"/>
  <c r="DT820" i="4"/>
  <c r="DS820" i="4"/>
  <c r="DR820" i="4"/>
  <c r="DQ820" i="4"/>
  <c r="DP820" i="4"/>
  <c r="DO820" i="4"/>
  <c r="DN820" i="4"/>
  <c r="DM820" i="4"/>
  <c r="DL820" i="4"/>
  <c r="DK820" i="4"/>
  <c r="DJ820" i="4"/>
  <c r="DI820" i="4"/>
  <c r="DH820" i="4"/>
  <c r="DG820" i="4"/>
  <c r="DF820" i="4"/>
  <c r="DE820" i="4"/>
  <c r="DU819" i="4"/>
  <c r="DQ819" i="4"/>
  <c r="DO819" i="4"/>
  <c r="DN819" i="4"/>
  <c r="DM819" i="4"/>
  <c r="DL819" i="4"/>
  <c r="DK819" i="4"/>
  <c r="DJ819" i="4"/>
  <c r="DI819" i="4"/>
  <c r="DH819" i="4"/>
  <c r="DG819" i="4"/>
  <c r="DF819" i="4"/>
  <c r="DE819" i="4"/>
  <c r="DU818" i="4"/>
  <c r="DS818" i="4"/>
  <c r="DR818" i="4"/>
  <c r="DQ818" i="4"/>
  <c r="DP818" i="4"/>
  <c r="DO818" i="4"/>
  <c r="DN818" i="4"/>
  <c r="DM818" i="4"/>
  <c r="DL818" i="4"/>
  <c r="DK818" i="4"/>
  <c r="DJ818" i="4"/>
  <c r="DI818" i="4"/>
  <c r="DH818" i="4"/>
  <c r="DG818" i="4"/>
  <c r="DF818" i="4"/>
  <c r="DE818" i="4"/>
  <c r="DU817" i="4"/>
  <c r="DO817" i="4"/>
  <c r="DN817" i="4"/>
  <c r="DM817" i="4"/>
  <c r="DL817" i="4"/>
  <c r="DK817" i="4"/>
  <c r="DJ817" i="4"/>
  <c r="DI817" i="4"/>
  <c r="DH817" i="4"/>
  <c r="DG817" i="4"/>
  <c r="DF817" i="4"/>
  <c r="DE817" i="4"/>
  <c r="DU816" i="4"/>
  <c r="DO816" i="4"/>
  <c r="DN816" i="4"/>
  <c r="DM816" i="4"/>
  <c r="DL816" i="4"/>
  <c r="DK816" i="4"/>
  <c r="DJ816" i="4"/>
  <c r="DI816" i="4"/>
  <c r="DH816" i="4"/>
  <c r="DG816" i="4"/>
  <c r="DF816" i="4"/>
  <c r="DE816" i="4"/>
  <c r="DO814" i="4"/>
  <c r="DN814" i="4"/>
  <c r="DM814" i="4"/>
  <c r="DL814" i="4"/>
  <c r="DK814" i="4"/>
  <c r="DJ814" i="4"/>
  <c r="DI814" i="4"/>
  <c r="DH814" i="4"/>
  <c r="DG814" i="4"/>
  <c r="DF814" i="4"/>
  <c r="DE814" i="4"/>
  <c r="CT810" i="4"/>
  <c r="CY810" i="4" s="1"/>
  <c r="CT809" i="4"/>
  <c r="CT819" i="4" s="1"/>
  <c r="DV819" i="4" s="1"/>
  <c r="BZ810" i="4"/>
  <c r="CE810" i="4" s="1"/>
  <c r="DO811" i="4"/>
  <c r="DN811" i="4"/>
  <c r="DM811" i="4"/>
  <c r="DL811" i="4"/>
  <c r="DK811" i="4"/>
  <c r="DJ811" i="4"/>
  <c r="DI811" i="4"/>
  <c r="DH811" i="4"/>
  <c r="DG811" i="4"/>
  <c r="DF811" i="4"/>
  <c r="DE811" i="4"/>
  <c r="DV810" i="4"/>
  <c r="DU810" i="4"/>
  <c r="DQ810" i="4"/>
  <c r="DP810" i="4"/>
  <c r="DO810" i="4"/>
  <c r="DN810" i="4"/>
  <c r="DM810" i="4"/>
  <c r="DL810" i="4"/>
  <c r="DK810" i="4"/>
  <c r="DJ810" i="4"/>
  <c r="DI810" i="4"/>
  <c r="DH810" i="4"/>
  <c r="DG810" i="4"/>
  <c r="DF810" i="4"/>
  <c r="DE810" i="4"/>
  <c r="CJ808" i="4"/>
  <c r="CJ807" i="4"/>
  <c r="CE807" i="4"/>
  <c r="CE819" i="4" s="1"/>
  <c r="DS819" i="4" s="1"/>
  <c r="BZ807" i="4"/>
  <c r="BP807" i="4"/>
  <c r="DP807" i="4" s="1"/>
  <c r="DY807" i="4"/>
  <c r="DX807" i="4"/>
  <c r="DW807" i="4"/>
  <c r="DV807" i="4"/>
  <c r="DU807" i="4"/>
  <c r="DS807" i="4"/>
  <c r="DQ807" i="4"/>
  <c r="DO807" i="4"/>
  <c r="DN807" i="4"/>
  <c r="DM807" i="4"/>
  <c r="DL807" i="4"/>
  <c r="DK807" i="4"/>
  <c r="DJ807" i="4"/>
  <c r="DI807" i="4"/>
  <c r="DH807" i="4"/>
  <c r="DG807" i="4"/>
  <c r="DF807" i="4"/>
  <c r="DE807" i="4"/>
  <c r="DO806" i="4"/>
  <c r="DN806" i="4"/>
  <c r="DM806" i="4"/>
  <c r="DL806" i="4"/>
  <c r="DK806" i="4"/>
  <c r="DJ806" i="4"/>
  <c r="DI806" i="4"/>
  <c r="DH806" i="4"/>
  <c r="DG806" i="4"/>
  <c r="DF806" i="4"/>
  <c r="DE806" i="4"/>
  <c r="DI803" i="4"/>
  <c r="DH803" i="4"/>
  <c r="DG803" i="4"/>
  <c r="DF803" i="4"/>
  <c r="DE803" i="4"/>
  <c r="DI802" i="4"/>
  <c r="DH802" i="4"/>
  <c r="DG802" i="4"/>
  <c r="DF802" i="4"/>
  <c r="DE802" i="4"/>
  <c r="DI801" i="4"/>
  <c r="DH801" i="4"/>
  <c r="DG801" i="4"/>
  <c r="DF801" i="4"/>
  <c r="DE801" i="4"/>
  <c r="DE799" i="4"/>
  <c r="BN799" i="4"/>
  <c r="BM799" i="4"/>
  <c r="BL799" i="4"/>
  <c r="BK799" i="4"/>
  <c r="DO799" i="4" s="1"/>
  <c r="BJ799" i="4"/>
  <c r="BI799" i="4"/>
  <c r="BH799" i="4"/>
  <c r="BG799" i="4"/>
  <c r="BF799" i="4"/>
  <c r="DN799" i="4" s="1"/>
  <c r="BE799" i="4"/>
  <c r="BD799" i="4"/>
  <c r="BC799" i="4"/>
  <c r="BB799" i="4"/>
  <c r="BA799" i="4"/>
  <c r="DM799" i="4" s="1"/>
  <c r="AZ799" i="4"/>
  <c r="AY799" i="4"/>
  <c r="AX799" i="4"/>
  <c r="AW799" i="4"/>
  <c r="AV799" i="4"/>
  <c r="DL799" i="4" s="1"/>
  <c r="AU799" i="4"/>
  <c r="AT799" i="4"/>
  <c r="AS799" i="4"/>
  <c r="AR799" i="4"/>
  <c r="AQ799" i="4"/>
  <c r="DK799" i="4" s="1"/>
  <c r="AP799" i="4"/>
  <c r="AO799" i="4"/>
  <c r="AN799" i="4"/>
  <c r="AM799" i="4"/>
  <c r="AL799" i="4"/>
  <c r="DJ799" i="4" s="1"/>
  <c r="CM797" i="4"/>
  <c r="CG797" i="4"/>
  <c r="CA797" i="4"/>
  <c r="BY797" i="4"/>
  <c r="BX797" i="4"/>
  <c r="BW797" i="4"/>
  <c r="BC797" i="4"/>
  <c r="BB797" i="4"/>
  <c r="AX797" i="4"/>
  <c r="AW797" i="4"/>
  <c r="AS797" i="4"/>
  <c r="AR797" i="4"/>
  <c r="AN797" i="4"/>
  <c r="AM797" i="4"/>
  <c r="AU796" i="4"/>
  <c r="AT796" i="4"/>
  <c r="AS796" i="4"/>
  <c r="AR796" i="4"/>
  <c r="AO796" i="4"/>
  <c r="AN796" i="4"/>
  <c r="AM796" i="4"/>
  <c r="CN795" i="4"/>
  <c r="CM795" i="4"/>
  <c r="CL795" i="4"/>
  <c r="CK795" i="4"/>
  <c r="CI795" i="4"/>
  <c r="CH795" i="4"/>
  <c r="CG795" i="4"/>
  <c r="CF795" i="4"/>
  <c r="CC795" i="4"/>
  <c r="BY795" i="4"/>
  <c r="BT795" i="4"/>
  <c r="AZ795" i="4"/>
  <c r="AU795" i="4"/>
  <c r="AT795" i="4"/>
  <c r="AP795" i="4"/>
  <c r="AO795" i="4"/>
  <c r="AK799" i="4"/>
  <c r="AJ799" i="4"/>
  <c r="AI799" i="4"/>
  <c r="AH799" i="4"/>
  <c r="AK797" i="4"/>
  <c r="AJ797" i="4"/>
  <c r="AI797" i="4"/>
  <c r="AH797" i="4"/>
  <c r="AJ796" i="4"/>
  <c r="AK795" i="4"/>
  <c r="AJ795" i="4"/>
  <c r="AJ798" i="4" s="1"/>
  <c r="AJ800" i="4" s="1"/>
  <c r="AG799" i="4"/>
  <c r="DI799" i="4" s="1"/>
  <c r="AF799" i="4"/>
  <c r="AE799" i="4"/>
  <c r="AD799" i="4"/>
  <c r="AC799" i="4"/>
  <c r="AB799" i="4"/>
  <c r="DH799" i="4" s="1"/>
  <c r="AA799" i="4"/>
  <c r="Z799" i="4"/>
  <c r="Y799" i="4"/>
  <c r="X799" i="4"/>
  <c r="W799" i="4"/>
  <c r="DG799" i="4" s="1"/>
  <c r="V799" i="4"/>
  <c r="U799" i="4"/>
  <c r="T799" i="4"/>
  <c r="S799" i="4"/>
  <c r="R799" i="4"/>
  <c r="DF799" i="4" s="1"/>
  <c r="Q799" i="4"/>
  <c r="P799" i="4"/>
  <c r="O799" i="4"/>
  <c r="N799" i="4"/>
  <c r="M799" i="4"/>
  <c r="L799" i="4"/>
  <c r="K799" i="4"/>
  <c r="J799" i="4"/>
  <c r="I799" i="4"/>
  <c r="AD797" i="4"/>
  <c r="AC797" i="4"/>
  <c r="AA797" i="4"/>
  <c r="Z797" i="4"/>
  <c r="Y797" i="4"/>
  <c r="V797" i="4"/>
  <c r="U797" i="4"/>
  <c r="Q797" i="4"/>
  <c r="P797" i="4"/>
  <c r="L797" i="4"/>
  <c r="I797" i="4"/>
  <c r="AF796" i="4"/>
  <c r="AE796" i="4"/>
  <c r="AD796" i="4"/>
  <c r="AC796" i="4"/>
  <c r="AA796" i="4"/>
  <c r="Z796" i="4"/>
  <c r="Y796" i="4"/>
  <c r="X796" i="4"/>
  <c r="V796" i="4"/>
  <c r="U796" i="4"/>
  <c r="T796" i="4"/>
  <c r="S796" i="4"/>
  <c r="Q796" i="4"/>
  <c r="P796" i="4"/>
  <c r="O796" i="4"/>
  <c r="L796" i="4"/>
  <c r="K796" i="4"/>
  <c r="AF795" i="4"/>
  <c r="AE795" i="4"/>
  <c r="AA795" i="4"/>
  <c r="Z795" i="4"/>
  <c r="V795" i="4"/>
  <c r="U795" i="4"/>
  <c r="U798" i="4" s="1"/>
  <c r="U800" i="4" s="1"/>
  <c r="Q795" i="4"/>
  <c r="Q798" i="4" s="1"/>
  <c r="Q800" i="4" s="1"/>
  <c r="P795" i="4"/>
  <c r="P798" i="4" s="1"/>
  <c r="P800" i="4" s="1"/>
  <c r="L795" i="4"/>
  <c r="K795" i="4"/>
  <c r="DA793" i="4"/>
  <c r="CZ793" i="4"/>
  <c r="CY793" i="4"/>
  <c r="CX793" i="4"/>
  <c r="CW793" i="4"/>
  <c r="CV793" i="4"/>
  <c r="CU793" i="4"/>
  <c r="CT793" i="4"/>
  <c r="CS793" i="4"/>
  <c r="CR793" i="4"/>
  <c r="CQ793" i="4"/>
  <c r="CP793" i="4"/>
  <c r="CO793" i="4"/>
  <c r="CN793" i="4"/>
  <c r="CM793" i="4"/>
  <c r="CL793" i="4"/>
  <c r="CK793" i="4"/>
  <c r="CJ793" i="4"/>
  <c r="CI793" i="4"/>
  <c r="CH793" i="4"/>
  <c r="CG793" i="4"/>
  <c r="CF793" i="4"/>
  <c r="CE793" i="4"/>
  <c r="CD793" i="4"/>
  <c r="CC793" i="4"/>
  <c r="CB793" i="4"/>
  <c r="CA793" i="4"/>
  <c r="BZ793" i="4"/>
  <c r="BY793" i="4"/>
  <c r="BX793" i="4"/>
  <c r="BW793" i="4"/>
  <c r="BV793" i="4"/>
  <c r="BU793" i="4"/>
  <c r="BT793" i="4"/>
  <c r="BS793" i="4"/>
  <c r="BR793" i="4"/>
  <c r="BQ793" i="4"/>
  <c r="BP793" i="4"/>
  <c r="BO793" i="4"/>
  <c r="BN793" i="4"/>
  <c r="BM793" i="4"/>
  <c r="BL793" i="4"/>
  <c r="BK793" i="4"/>
  <c r="BJ793" i="4"/>
  <c r="BI793" i="4"/>
  <c r="BH793" i="4"/>
  <c r="BG793" i="4"/>
  <c r="BF793" i="4"/>
  <c r="BE793" i="4"/>
  <c r="BD793" i="4"/>
  <c r="BC793" i="4"/>
  <c r="BB793" i="4"/>
  <c r="BA793" i="4"/>
  <c r="AZ793" i="4"/>
  <c r="AY793" i="4"/>
  <c r="AX793" i="4"/>
  <c r="AW793" i="4"/>
  <c r="AV793" i="4"/>
  <c r="AU793" i="4"/>
  <c r="AT793" i="4"/>
  <c r="AS793" i="4"/>
  <c r="AR793" i="4"/>
  <c r="AQ793" i="4"/>
  <c r="AP793" i="4"/>
  <c r="AO793" i="4"/>
  <c r="AN793" i="4"/>
  <c r="AM793" i="4"/>
  <c r="AL793" i="4"/>
  <c r="AK793" i="4"/>
  <c r="AJ793" i="4"/>
  <c r="AI793" i="4"/>
  <c r="AH793" i="4"/>
  <c r="AG793" i="4"/>
  <c r="AF793" i="4"/>
  <c r="AE793" i="4"/>
  <c r="AD793" i="4"/>
  <c r="AC793" i="4"/>
  <c r="AB793" i="4"/>
  <c r="AA793" i="4"/>
  <c r="Z793" i="4"/>
  <c r="Y793" i="4"/>
  <c r="X793" i="4"/>
  <c r="W793" i="4"/>
  <c r="V793" i="4"/>
  <c r="U793" i="4"/>
  <c r="T793" i="4"/>
  <c r="S793" i="4"/>
  <c r="R793" i="4"/>
  <c r="Q793" i="4"/>
  <c r="P793" i="4"/>
  <c r="O793" i="4"/>
  <c r="N793" i="4"/>
  <c r="M793" i="4"/>
  <c r="L793" i="4"/>
  <c r="K793" i="4"/>
  <c r="J793" i="4"/>
  <c r="I793" i="4"/>
  <c r="DV791" i="4"/>
  <c r="DU791" i="4"/>
  <c r="DT791" i="4"/>
  <c r="DS791" i="4"/>
  <c r="DR791" i="4"/>
  <c r="DQ791" i="4"/>
  <c r="DP791" i="4"/>
  <c r="DO791" i="4"/>
  <c r="DN791" i="4"/>
  <c r="DM791" i="4"/>
  <c r="DL791" i="4"/>
  <c r="DK791" i="4"/>
  <c r="DJ791" i="4"/>
  <c r="DI791" i="4"/>
  <c r="DH791" i="4"/>
  <c r="DG791" i="4"/>
  <c r="DF791" i="4"/>
  <c r="DE791" i="4"/>
  <c r="DT790" i="4"/>
  <c r="DS790" i="4"/>
  <c r="CY791" i="4"/>
  <c r="DW791" i="4" s="1"/>
  <c r="AE41" i="72"/>
  <c r="AA41" i="72"/>
  <c r="M906" i="49" l="1"/>
  <c r="R907" i="49" s="1"/>
  <c r="CS841" i="49"/>
  <c r="CS846" i="49"/>
  <c r="CP564" i="49"/>
  <c r="DX916" i="4"/>
  <c r="DA916" i="4"/>
  <c r="DY916" i="4" s="1"/>
  <c r="DW810" i="4"/>
  <c r="CZ810" i="4"/>
  <c r="DX810" i="4" s="1"/>
  <c r="DT834" i="4"/>
  <c r="CJ795" i="4"/>
  <c r="DT795" i="4" s="1"/>
  <c r="N798" i="4"/>
  <c r="N800" i="4" s="1"/>
  <c r="J798" i="4"/>
  <c r="J800" i="4" s="1"/>
  <c r="K798" i="4"/>
  <c r="K800" i="4" s="1"/>
  <c r="AD798" i="4"/>
  <c r="AD800" i="4" s="1"/>
  <c r="BC833" i="4"/>
  <c r="BC834" i="4" s="1"/>
  <c r="BC795" i="4" s="1"/>
  <c r="L798" i="4"/>
  <c r="L800" i="4" s="1"/>
  <c r="Z798" i="4"/>
  <c r="Z800" i="4" s="1"/>
  <c r="AP798" i="4"/>
  <c r="DE837" i="4"/>
  <c r="AZ871" i="4"/>
  <c r="AZ797" i="4" s="1"/>
  <c r="M872" i="4"/>
  <c r="BP878" i="4"/>
  <c r="DP878" i="4" s="1"/>
  <c r="BU878" i="4"/>
  <c r="DQ878" i="4" s="1"/>
  <c r="BZ878" i="4"/>
  <c r="DR878" i="4" s="1"/>
  <c r="CE878" i="4"/>
  <c r="DS878" i="4" s="1"/>
  <c r="CJ878" i="4"/>
  <c r="DT878" i="4" s="1"/>
  <c r="BF879" i="4"/>
  <c r="DN879" i="4" s="1"/>
  <c r="CR883" i="4"/>
  <c r="CS883" i="4" s="1"/>
  <c r="AL912" i="4"/>
  <c r="DJ912" i="4" s="1"/>
  <c r="AQ912" i="4"/>
  <c r="DK912" i="4" s="1"/>
  <c r="AV912" i="4"/>
  <c r="DL912" i="4" s="1"/>
  <c r="BA912" i="4"/>
  <c r="DM912" i="4" s="1"/>
  <c r="BF912" i="4"/>
  <c r="DN912" i="4" s="1"/>
  <c r="BK912" i="4"/>
  <c r="DO912" i="4" s="1"/>
  <c r="BP912" i="4"/>
  <c r="DP912" i="4" s="1"/>
  <c r="BU912" i="4"/>
  <c r="DQ912" i="4" s="1"/>
  <c r="BZ912" i="4"/>
  <c r="DR912" i="4" s="1"/>
  <c r="CE912" i="4"/>
  <c r="DS912" i="4" s="1"/>
  <c r="CJ912" i="4"/>
  <c r="DT912" i="4" s="1"/>
  <c r="CO912" i="4"/>
  <c r="DU912" i="4" s="1"/>
  <c r="X967" i="4"/>
  <c r="AZ967" i="4"/>
  <c r="DI967" i="4"/>
  <c r="AT798" i="4"/>
  <c r="DO832" i="4"/>
  <c r="AF798" i="4"/>
  <c r="V798" i="4"/>
  <c r="V800" i="4" s="1"/>
  <c r="AK798" i="4"/>
  <c r="AK800" i="4" s="1"/>
  <c r="DT832" i="4"/>
  <c r="DL834" i="4"/>
  <c r="CY882" i="4"/>
  <c r="BD943" i="4"/>
  <c r="Z967" i="4"/>
  <c r="AD967" i="4"/>
  <c r="AH967" i="4"/>
  <c r="DM967" i="4"/>
  <c r="AE798" i="4"/>
  <c r="AE800" i="4" s="1"/>
  <c r="AO798" i="4"/>
  <c r="W860" i="4"/>
  <c r="AA798" i="4"/>
  <c r="AA800" i="4" s="1"/>
  <c r="DE832" i="4"/>
  <c r="M796" i="4"/>
  <c r="DE796" i="4" s="1"/>
  <c r="AQ795" i="4"/>
  <c r="DK795" i="4" s="1"/>
  <c r="AW795" i="4"/>
  <c r="CY809" i="4"/>
  <c r="CY819" i="4" s="1"/>
  <c r="DW819" i="4" s="1"/>
  <c r="DR810" i="4"/>
  <c r="BP819" i="4"/>
  <c r="DP819" i="4" s="1"/>
  <c r="DP832" i="4"/>
  <c r="DF837" i="4"/>
  <c r="CM860" i="4"/>
  <c r="CM796" i="4" s="1"/>
  <c r="AQ860" i="4"/>
  <c r="AQ871" i="4"/>
  <c r="R796" i="4"/>
  <c r="DF796" i="4" s="1"/>
  <c r="AG797" i="4"/>
  <c r="DI797" i="4" s="1"/>
  <c r="AX795" i="4"/>
  <c r="DI832" i="4"/>
  <c r="DM833" i="4"/>
  <c r="AH60" i="9"/>
  <c r="C3" i="9"/>
  <c r="BP834" i="4"/>
  <c r="BG840" i="4"/>
  <c r="BH840" i="4" s="1"/>
  <c r="M871" i="4"/>
  <c r="W871" i="4"/>
  <c r="CS869" i="4"/>
  <c r="J873" i="4"/>
  <c r="J912" i="4" s="1"/>
  <c r="BK878" i="4"/>
  <c r="DO878" i="4" s="1"/>
  <c r="BF878" i="4"/>
  <c r="DN878" i="4" s="1"/>
  <c r="CY878" i="4"/>
  <c r="DW916" i="4"/>
  <c r="AA967" i="4"/>
  <c r="AI967" i="4"/>
  <c r="AT967" i="4"/>
  <c r="BB967" i="4"/>
  <c r="BX541" i="51"/>
  <c r="BX54" i="51" s="1"/>
  <c r="DV879" i="4"/>
  <c r="BR203" i="72"/>
  <c r="BQ203" i="72"/>
  <c r="BX507" i="51"/>
  <c r="BX515" i="51"/>
  <c r="BX530" i="51"/>
  <c r="BX518" i="51"/>
  <c r="BX512" i="51"/>
  <c r="BX514" i="51"/>
  <c r="BX516" i="51"/>
  <c r="CF109" i="51"/>
  <c r="BX510" i="51"/>
  <c r="BQ165" i="51"/>
  <c r="BS165" i="51" s="1"/>
  <c r="BU215" i="51"/>
  <c r="BX215" i="51" s="1"/>
  <c r="BX513" i="51"/>
  <c r="CF165" i="51"/>
  <c r="BQ215" i="51"/>
  <c r="BS215" i="51" s="1"/>
  <c r="BD33" i="51"/>
  <c r="CR902" i="49"/>
  <c r="CR903" i="49" s="1"/>
  <c r="CR894" i="49"/>
  <c r="CP20" i="51"/>
  <c r="CP36" i="51" s="1"/>
  <c r="CG413" i="51"/>
  <c r="CG409" i="51"/>
  <c r="CH409" i="51" s="1"/>
  <c r="CE565" i="49"/>
  <c r="CE566" i="49" s="1"/>
  <c r="CF564" i="49"/>
  <c r="CC163" i="51"/>
  <c r="CC164" i="51" s="1"/>
  <c r="CT877" i="49"/>
  <c r="CT878" i="49" s="1"/>
  <c r="CS878" i="49"/>
  <c r="CU435" i="49"/>
  <c r="CT538" i="49"/>
  <c r="CT824" i="49" s="1"/>
  <c r="CU531" i="49"/>
  <c r="CV428" i="49"/>
  <c r="CU675" i="49"/>
  <c r="CU819" i="49" s="1"/>
  <c r="CV575" i="49"/>
  <c r="CU716" i="49"/>
  <c r="BX107" i="51"/>
  <c r="BX108" i="51" s="1"/>
  <c r="CN965" i="49"/>
  <c r="CS659" i="49"/>
  <c r="CS803" i="49" s="1"/>
  <c r="CO659" i="49"/>
  <c r="CN803" i="49"/>
  <c r="CN693" i="49"/>
  <c r="CN838" i="49" s="1"/>
  <c r="CJ965" i="49"/>
  <c r="CJ693" i="49"/>
  <c r="CJ838" i="49" s="1"/>
  <c r="CJ668" i="49"/>
  <c r="CJ895" i="49"/>
  <c r="CJ803" i="49"/>
  <c r="R565" i="49"/>
  <c r="R566" i="49" s="1"/>
  <c r="N564" i="49"/>
  <c r="CT692" i="49"/>
  <c r="CT837" i="49" s="1"/>
  <c r="CU591" i="49"/>
  <c r="CJ846" i="49"/>
  <c r="CJ1038" i="49" s="1"/>
  <c r="CI1038" i="49"/>
  <c r="CT439" i="49"/>
  <c r="CS542" i="49"/>
  <c r="CS884" i="49"/>
  <c r="CT500" i="49"/>
  <c r="CS526" i="49"/>
  <c r="CQ442" i="51" s="1"/>
  <c r="CS534" i="49"/>
  <c r="BY997" i="49"/>
  <c r="BY850" i="49"/>
  <c r="BY851" i="49" s="1"/>
  <c r="BY849" i="49"/>
  <c r="BY853" i="49"/>
  <c r="AY33" i="51"/>
  <c r="BS1046" i="49"/>
  <c r="CF1046" i="49"/>
  <c r="BR1046" i="49"/>
  <c r="CV972" i="49"/>
  <c r="BV1046" i="49"/>
  <c r="CS731" i="49"/>
  <c r="CT445" i="49"/>
  <c r="CS550" i="49"/>
  <c r="CS835" i="49" s="1"/>
  <c r="CE1039" i="49"/>
  <c r="CR805" i="49"/>
  <c r="CT578" i="49"/>
  <c r="CS719" i="49"/>
  <c r="CT719" i="49" s="1"/>
  <c r="BK1046" i="49"/>
  <c r="CU733" i="49"/>
  <c r="CV447" i="49"/>
  <c r="CU552" i="49"/>
  <c r="BM1046" i="49"/>
  <c r="CT847" i="49"/>
  <c r="CU702" i="49"/>
  <c r="BW213" i="51"/>
  <c r="BW214" i="51" s="1"/>
  <c r="BW164" i="51"/>
  <c r="BX1046" i="49"/>
  <c r="CU872" i="49"/>
  <c r="CT887" i="49"/>
  <c r="CU503" i="49"/>
  <c r="CT537" i="49"/>
  <c r="CT510" i="49"/>
  <c r="CS544" i="49"/>
  <c r="CT700" i="49"/>
  <c r="CU599" i="49"/>
  <c r="AJ33" i="51"/>
  <c r="CV871" i="49"/>
  <c r="CV877" i="49" s="1"/>
  <c r="CM729" i="49"/>
  <c r="R141" i="49"/>
  <c r="N140" i="49"/>
  <c r="BO1046" i="49"/>
  <c r="CJ565" i="49"/>
  <c r="CJ566" i="49" s="1"/>
  <c r="CT673" i="49"/>
  <c r="CT817" i="49" s="1"/>
  <c r="CU573" i="49"/>
  <c r="CT740" i="49"/>
  <c r="CT559" i="49"/>
  <c r="CU454" i="49"/>
  <c r="CT530" i="49"/>
  <c r="CU427" i="49"/>
  <c r="CS672" i="49"/>
  <c r="CS816" i="49" s="1"/>
  <c r="CT572" i="49"/>
  <c r="CV720" i="49"/>
  <c r="CT815" i="49"/>
  <c r="CS682" i="49"/>
  <c r="CS826" i="49" s="1"/>
  <c r="CT582" i="49"/>
  <c r="CS723" i="49"/>
  <c r="CT723" i="49" s="1"/>
  <c r="BZ565" i="49"/>
  <c r="BZ566" i="49" s="1"/>
  <c r="CA564" i="49"/>
  <c r="CT741" i="49"/>
  <c r="CT560" i="49"/>
  <c r="CU455" i="49"/>
  <c r="CU677" i="49"/>
  <c r="CU718" i="49"/>
  <c r="CV577" i="49"/>
  <c r="CU448" i="49"/>
  <c r="CT694" i="49"/>
  <c r="CU593" i="49"/>
  <c r="AV33" i="51"/>
  <c r="BJ33" i="51"/>
  <c r="CR965" i="49"/>
  <c r="CI904" i="49"/>
  <c r="CI905" i="49" s="1"/>
  <c r="CI898" i="49"/>
  <c r="CI897" i="49"/>
  <c r="CI896" i="49"/>
  <c r="CN967" i="49"/>
  <c r="CS661" i="49"/>
  <c r="CS805" i="49" s="1"/>
  <c r="CO661" i="49"/>
  <c r="CN695" i="49"/>
  <c r="CN840" i="49" s="1"/>
  <c r="CN805" i="49"/>
  <c r="M997" i="49"/>
  <c r="R850" i="49"/>
  <c r="R851" i="49" s="1"/>
  <c r="N849" i="49"/>
  <c r="CJ972" i="49"/>
  <c r="CK666" i="49"/>
  <c r="CJ810" i="49"/>
  <c r="CJ700" i="49"/>
  <c r="CU450" i="49"/>
  <c r="CO583" i="49"/>
  <c r="CN724" i="49"/>
  <c r="CH1046" i="49"/>
  <c r="CU674" i="49"/>
  <c r="CU818" i="49" s="1"/>
  <c r="CU715" i="49"/>
  <c r="CV574" i="49"/>
  <c r="CT696" i="49"/>
  <c r="CU595" i="49"/>
  <c r="CU671" i="49"/>
  <c r="CV571" i="49"/>
  <c r="CU712" i="49"/>
  <c r="CE997" i="49"/>
  <c r="CE853" i="49"/>
  <c r="CE708" i="49"/>
  <c r="CF849" i="49"/>
  <c r="CT737" i="49"/>
  <c r="CT556" i="49"/>
  <c r="CU451" i="49"/>
  <c r="CU690" i="49"/>
  <c r="CV589" i="49"/>
  <c r="CV690" i="49" s="1"/>
  <c r="CS712" i="49"/>
  <c r="CS529" i="49"/>
  <c r="CS457" i="49"/>
  <c r="CA214" i="51"/>
  <c r="CF214" i="51"/>
  <c r="M164" i="51"/>
  <c r="R164" i="51"/>
  <c r="CD1046" i="49"/>
  <c r="CD854" i="49"/>
  <c r="CR695" i="49"/>
  <c r="CR840" i="49" s="1"/>
  <c r="CT722" i="49"/>
  <c r="CT681" i="49"/>
  <c r="CT825" i="49" s="1"/>
  <c r="CU581" i="49"/>
  <c r="CU576" i="49"/>
  <c r="CU877" i="49"/>
  <c r="CR395" i="51"/>
  <c r="CR357" i="51"/>
  <c r="CR358" i="51" s="1"/>
  <c r="CR354" i="51"/>
  <c r="BZ1038" i="49"/>
  <c r="BZ848" i="49"/>
  <c r="CE850" i="49" s="1"/>
  <c r="CE851" i="49" s="1"/>
  <c r="CB214" i="51"/>
  <c r="CS844" i="49"/>
  <c r="CV437" i="49"/>
  <c r="CU540" i="49"/>
  <c r="CS738" i="49"/>
  <c r="CS557" i="49"/>
  <c r="CT452" i="49"/>
  <c r="CJ967" i="49"/>
  <c r="CJ695" i="49"/>
  <c r="CJ840" i="49" s="1"/>
  <c r="CJ805" i="49"/>
  <c r="CS541" i="49"/>
  <c r="CT438" i="49"/>
  <c r="BY1039" i="49"/>
  <c r="BY1045" i="49" s="1"/>
  <c r="BP1042" i="49"/>
  <c r="BP1045" i="49"/>
  <c r="BP1044" i="49"/>
  <c r="CM726" i="49"/>
  <c r="CM743" i="49" s="1"/>
  <c r="CT519" i="49"/>
  <c r="CT555" i="49" s="1"/>
  <c r="CS691" i="49"/>
  <c r="CS836" i="49" s="1"/>
  <c r="CT590" i="49"/>
  <c r="Q878" i="49"/>
  <c r="L906" i="49"/>
  <c r="Q907" i="49" s="1"/>
  <c r="CT592" i="49"/>
  <c r="CT734" i="49" s="1"/>
  <c r="CS787" i="49"/>
  <c r="CT501" i="49"/>
  <c r="CS535" i="49"/>
  <c r="CS821" i="49" s="1"/>
  <c r="CT804" i="49"/>
  <c r="CU518" i="49"/>
  <c r="CT966" i="49"/>
  <c r="CU761" i="49"/>
  <c r="CU778" i="49" s="1"/>
  <c r="CV476" i="49"/>
  <c r="CU492" i="49"/>
  <c r="CS353" i="51" s="1"/>
  <c r="CS739" i="49"/>
  <c r="CT453" i="49"/>
  <c r="CS558" i="49"/>
  <c r="CS843" i="49" s="1"/>
  <c r="CI838" i="49"/>
  <c r="CI703" i="49"/>
  <c r="CI705" i="49" s="1"/>
  <c r="CI706" i="49" s="1"/>
  <c r="CI973" i="49"/>
  <c r="BH1046" i="49"/>
  <c r="CU845" i="49"/>
  <c r="CV701" i="49"/>
  <c r="CV845" i="49" s="1"/>
  <c r="CQ565" i="49"/>
  <c r="CQ566" i="49" s="1"/>
  <c r="CQ564" i="49"/>
  <c r="CS555" i="49"/>
  <c r="CM601" i="49"/>
  <c r="CT698" i="49"/>
  <c r="CU597" i="49"/>
  <c r="CN684" i="49"/>
  <c r="CN828" i="49" s="1"/>
  <c r="CO584" i="49"/>
  <c r="CN725" i="49"/>
  <c r="CO725" i="49" s="1"/>
  <c r="BG1046" i="49"/>
  <c r="CS697" i="49"/>
  <c r="CT596" i="49"/>
  <c r="CT733" i="49"/>
  <c r="CS995" i="49"/>
  <c r="CT983" i="49"/>
  <c r="CT699" i="49"/>
  <c r="CU598" i="49"/>
  <c r="CT517" i="49"/>
  <c r="CR815" i="49"/>
  <c r="CR563" i="49"/>
  <c r="R420" i="49"/>
  <c r="N419" i="49"/>
  <c r="CU680" i="49"/>
  <c r="CV580" i="49"/>
  <c r="CV680" i="49" s="1"/>
  <c r="CN727" i="49"/>
  <c r="CO727" i="49" s="1"/>
  <c r="CO586" i="49"/>
  <c r="P878" i="49"/>
  <c r="K906" i="49"/>
  <c r="P907" i="49" s="1"/>
  <c r="BQ1046" i="49"/>
  <c r="CS893" i="49"/>
  <c r="CT594" i="49"/>
  <c r="BI1046" i="49"/>
  <c r="CT872" i="49"/>
  <c r="CP442" i="51"/>
  <c r="BF1044" i="49"/>
  <c r="BF1042" i="49"/>
  <c r="BF1045" i="49"/>
  <c r="CS543" i="49"/>
  <c r="CT440" i="49"/>
  <c r="CT732" i="49"/>
  <c r="CT551" i="49"/>
  <c r="CU446" i="49"/>
  <c r="CB164" i="51"/>
  <c r="CS735" i="49"/>
  <c r="CT449" i="49"/>
  <c r="CS554" i="49"/>
  <c r="CS839" i="49" s="1"/>
  <c r="CR842" i="49"/>
  <c r="CT502" i="49"/>
  <c r="CS536" i="49"/>
  <c r="CB1046" i="49"/>
  <c r="BU108" i="51"/>
  <c r="BU36" i="51"/>
  <c r="CH507" i="51"/>
  <c r="CM507" i="51"/>
  <c r="CF108" i="51"/>
  <c r="CF36" i="51"/>
  <c r="BS36" i="51"/>
  <c r="BK28" i="51"/>
  <c r="BK32" i="51"/>
  <c r="BK30" i="51"/>
  <c r="BK31" i="51"/>
  <c r="AH33" i="51"/>
  <c r="CF215" i="51"/>
  <c r="BR415" i="51"/>
  <c r="BR416" i="51" s="1"/>
  <c r="BQ416" i="51"/>
  <c r="BY215" i="51"/>
  <c r="CC215" i="51" s="1"/>
  <c r="BY109" i="51"/>
  <c r="CC109" i="51" s="1"/>
  <c r="BY165" i="51"/>
  <c r="CC165" i="51" s="1"/>
  <c r="CC530" i="51"/>
  <c r="CC507" i="51"/>
  <c r="CC107" i="51"/>
  <c r="CC518" i="51"/>
  <c r="CC514" i="51"/>
  <c r="CC510" i="51"/>
  <c r="CC512" i="51"/>
  <c r="CC517" i="51"/>
  <c r="CC515" i="51"/>
  <c r="CC513" i="51"/>
  <c r="CC516" i="51"/>
  <c r="BQ109" i="51"/>
  <c r="BL25" i="51"/>
  <c r="BU109" i="51"/>
  <c r="BY108" i="51"/>
  <c r="BY36" i="51"/>
  <c r="BU165" i="51"/>
  <c r="BX165" i="51" s="1"/>
  <c r="BQ36" i="51"/>
  <c r="BO406" i="51"/>
  <c r="BO449" i="51" s="1"/>
  <c r="BN22" i="51"/>
  <c r="AW28" i="51"/>
  <c r="AW30" i="51"/>
  <c r="AW31" i="51"/>
  <c r="AW29" i="51"/>
  <c r="BN407" i="51"/>
  <c r="BM23" i="51"/>
  <c r="AM33" i="51"/>
  <c r="BO408" i="51"/>
  <c r="BN24" i="51"/>
  <c r="BO451" i="51"/>
  <c r="BZ108" i="51"/>
  <c r="BM409" i="51"/>
  <c r="BN405" i="51"/>
  <c r="BM21" i="51"/>
  <c r="BF33" i="51"/>
  <c r="BG33" i="51"/>
  <c r="CJ332" i="72"/>
  <c r="G23" i="43"/>
  <c r="AM800" i="4"/>
  <c r="AN800" i="4"/>
  <c r="AS800" i="4"/>
  <c r="CM798" i="4"/>
  <c r="AR800" i="4"/>
  <c r="DL795" i="4"/>
  <c r="DV848" i="4"/>
  <c r="CU848" i="4"/>
  <c r="AO800" i="4"/>
  <c r="AT800" i="4"/>
  <c r="DS839" i="4"/>
  <c r="CF839" i="4"/>
  <c r="CU852" i="4"/>
  <c r="S798" i="4"/>
  <c r="S800" i="4" s="1"/>
  <c r="X800" i="4"/>
  <c r="AF800" i="4"/>
  <c r="AP800" i="4"/>
  <c r="CA798" i="4"/>
  <c r="AV72" i="72" s="1"/>
  <c r="O798" i="4"/>
  <c r="O800" i="4" s="1"/>
  <c r="DS810" i="4"/>
  <c r="CJ810" i="4"/>
  <c r="DT810" i="4" s="1"/>
  <c r="BI840" i="4"/>
  <c r="DK843" i="4"/>
  <c r="CT859" i="4"/>
  <c r="CU859" i="4" s="1"/>
  <c r="CV859" i="4" s="1"/>
  <c r="CW859" i="4" s="1"/>
  <c r="CX859" i="4" s="1"/>
  <c r="CY859" i="4" s="1"/>
  <c r="M795" i="4"/>
  <c r="AG795" i="4"/>
  <c r="BZ819" i="4"/>
  <c r="DR819" i="4" s="1"/>
  <c r="DR807" i="4"/>
  <c r="DV833" i="4"/>
  <c r="AZ838" i="4"/>
  <c r="BA838" i="4" s="1"/>
  <c r="CB860" i="4"/>
  <c r="CB796" i="4" s="1"/>
  <c r="CB798" i="4" s="1"/>
  <c r="AW72" i="72" s="1"/>
  <c r="CC837" i="4"/>
  <c r="CS847" i="4"/>
  <c r="CT847" i="4" s="1"/>
  <c r="CS851" i="4"/>
  <c r="CT851" i="4" s="1"/>
  <c r="DT842" i="4"/>
  <c r="DT846" i="4"/>
  <c r="DW878" i="4"/>
  <c r="BB834" i="4"/>
  <c r="BB795" i="4" s="1"/>
  <c r="I912" i="4"/>
  <c r="M912" i="4" s="1"/>
  <c r="DE912" i="4" s="1"/>
  <c r="M873" i="4"/>
  <c r="DE873" i="4" s="1"/>
  <c r="CD834" i="4"/>
  <c r="CD795" i="4" s="1"/>
  <c r="CE832" i="4"/>
  <c r="CU833" i="4"/>
  <c r="R834" i="4"/>
  <c r="DH832" i="4"/>
  <c r="AL834" i="4"/>
  <c r="DL832" i="4"/>
  <c r="DS833" i="4"/>
  <c r="CP843" i="4"/>
  <c r="DS843" i="4"/>
  <c r="DS847" i="4"/>
  <c r="CZ791" i="4"/>
  <c r="CJ819" i="4"/>
  <c r="DT819" i="4" s="1"/>
  <c r="DT807" i="4"/>
  <c r="BA834" i="4"/>
  <c r="DM832" i="4"/>
  <c r="DJ832" i="4"/>
  <c r="AB834" i="4"/>
  <c r="CD838" i="4"/>
  <c r="CE838" i="4" s="1"/>
  <c r="CF840" i="4"/>
  <c r="DS840" i="4"/>
  <c r="CS845" i="4"/>
  <c r="CT845" i="4" s="1"/>
  <c r="CU846" i="4"/>
  <c r="CS849" i="4"/>
  <c r="CT849" i="4" s="1"/>
  <c r="CU850" i="4"/>
  <c r="CS853" i="4"/>
  <c r="CT853" i="4" s="1"/>
  <c r="DQ847" i="4"/>
  <c r="DR840" i="4"/>
  <c r="DR844" i="4"/>
  <c r="BY860" i="4"/>
  <c r="BY796" i="4" s="1"/>
  <c r="BY798" i="4" s="1"/>
  <c r="AT72" i="72" s="1"/>
  <c r="BZ848" i="4"/>
  <c r="DE237" i="9" s="1"/>
  <c r="CZ809" i="4"/>
  <c r="DA810" i="4"/>
  <c r="DY810" i="4" s="1"/>
  <c r="BL832" i="4"/>
  <c r="W834" i="4"/>
  <c r="AY834" i="4"/>
  <c r="AY795" i="4" s="1"/>
  <c r="CQ834" i="4"/>
  <c r="CQ795" i="4" s="1"/>
  <c r="BT841" i="4"/>
  <c r="BU841" i="4" s="1"/>
  <c r="DO864" i="4"/>
  <c r="CT869" i="4"/>
  <c r="CU869" i="4" s="1"/>
  <c r="CV869" i="4" s="1"/>
  <c r="CW869" i="4" s="1"/>
  <c r="CX869" i="4" s="1"/>
  <c r="CY869" i="4" s="1"/>
  <c r="DH872" i="4"/>
  <c r="BU834" i="4"/>
  <c r="CO834" i="4"/>
  <c r="AG860" i="4"/>
  <c r="CT857" i="4"/>
  <c r="CU857" i="4" s="1"/>
  <c r="CV857" i="4" s="1"/>
  <c r="CW857" i="4" s="1"/>
  <c r="CX857" i="4" s="1"/>
  <c r="CY857" i="4" s="1"/>
  <c r="CT863" i="4"/>
  <c r="CP863" i="4"/>
  <c r="DF864" i="4"/>
  <c r="R871" i="4"/>
  <c r="AB871" i="4"/>
  <c r="DH863" i="4"/>
  <c r="DI864" i="4"/>
  <c r="AV865" i="4"/>
  <c r="DL865" i="4" s="1"/>
  <c r="AU871" i="4"/>
  <c r="AU797" i="4" s="1"/>
  <c r="AU798" i="4" s="1"/>
  <c r="BZ871" i="4"/>
  <c r="DR863" i="4"/>
  <c r="DE872" i="4"/>
  <c r="DG872" i="4"/>
  <c r="CY879" i="4"/>
  <c r="BZ834" i="4"/>
  <c r="CP834" i="4"/>
  <c r="CP795" i="4" s="1"/>
  <c r="AV837" i="4"/>
  <c r="AL860" i="4"/>
  <c r="CN839" i="4"/>
  <c r="CO839" i="4" s="1"/>
  <c r="BK841" i="4"/>
  <c r="DU847" i="4"/>
  <c r="CT855" i="4"/>
  <c r="CU855" i="4" s="1"/>
  <c r="CV855" i="4" s="1"/>
  <c r="CW855" i="4" s="1"/>
  <c r="CX855" i="4" s="1"/>
  <c r="CY855" i="4" s="1"/>
  <c r="DV864" i="4"/>
  <c r="CU864" i="4"/>
  <c r="CE863" i="4"/>
  <c r="CT867" i="4"/>
  <c r="CU867" i="4" s="1"/>
  <c r="CV867" i="4" s="1"/>
  <c r="CW867" i="4" s="1"/>
  <c r="CX867" i="4" s="1"/>
  <c r="CY867" i="4" s="1"/>
  <c r="BK879" i="4"/>
  <c r="DO879" i="4" s="1"/>
  <c r="BJ882" i="4"/>
  <c r="CN838" i="4"/>
  <c r="CO838" i="4" s="1"/>
  <c r="BK844" i="4"/>
  <c r="CJ841" i="4"/>
  <c r="CO842" i="4"/>
  <c r="BZ860" i="4"/>
  <c r="CN840" i="4"/>
  <c r="CO840" i="4" s="1"/>
  <c r="AV839" i="4"/>
  <c r="CO844" i="4"/>
  <c r="AB860" i="4"/>
  <c r="CN870" i="4"/>
  <c r="CC871" i="4"/>
  <c r="CC797" i="4" s="1"/>
  <c r="CN837" i="4"/>
  <c r="BK843" i="4"/>
  <c r="CO841" i="4"/>
  <c r="CS856" i="4"/>
  <c r="CS858" i="4"/>
  <c r="BD863" i="4"/>
  <c r="CI863" i="4"/>
  <c r="BA864" i="4"/>
  <c r="DM864" i="4" s="1"/>
  <c r="CO868" i="4"/>
  <c r="AL871" i="4"/>
  <c r="CH871" i="4"/>
  <c r="CH797" i="4" s="1"/>
  <c r="BS882" i="4"/>
  <c r="AA916" i="4"/>
  <c r="AB916" i="4" s="1"/>
  <c r="DH916" i="4" s="1"/>
  <c r="L916" i="4"/>
  <c r="M916" i="4" s="1"/>
  <c r="DE916" i="4" s="1"/>
  <c r="AF916" i="4"/>
  <c r="AG916" i="4" s="1"/>
  <c r="DI916" i="4" s="1"/>
  <c r="BT916" i="4"/>
  <c r="BU916" i="4" s="1"/>
  <c r="DQ916" i="4" s="1"/>
  <c r="Q916" i="4"/>
  <c r="R916" i="4" s="1"/>
  <c r="DF916" i="4" s="1"/>
  <c r="V916" i="4"/>
  <c r="W916" i="4" s="1"/>
  <c r="DG916" i="4" s="1"/>
  <c r="AK916" i="4"/>
  <c r="AL916" i="4" s="1"/>
  <c r="DJ916" i="4" s="1"/>
  <c r="AP916" i="4"/>
  <c r="AQ916" i="4" s="1"/>
  <c r="DK916" i="4" s="1"/>
  <c r="AU916" i="4"/>
  <c r="AV916" i="4" s="1"/>
  <c r="DL916" i="4" s="1"/>
  <c r="AZ916" i="4"/>
  <c r="BA916" i="4" s="1"/>
  <c r="DM916" i="4" s="1"/>
  <c r="BE916" i="4"/>
  <c r="BF916" i="4" s="1"/>
  <c r="DN916" i="4" s="1"/>
  <c r="BJ916" i="4"/>
  <c r="BK916" i="4" s="1"/>
  <c r="DO916" i="4" s="1"/>
  <c r="BO916" i="4"/>
  <c r="BP916" i="4" s="1"/>
  <c r="DP916" i="4" s="1"/>
  <c r="DP942" i="4"/>
  <c r="BQ942" i="4"/>
  <c r="BR942" i="4" s="1"/>
  <c r="BS942" i="4" s="1"/>
  <c r="BT942" i="4" s="1"/>
  <c r="BU942" i="4" s="1"/>
  <c r="BF943" i="4"/>
  <c r="DN943" i="4" s="1"/>
  <c r="AP967" i="4"/>
  <c r="DK967" i="4"/>
  <c r="AO967" i="4"/>
  <c r="AN967" i="4"/>
  <c r="AM967" i="4"/>
  <c r="V967" i="4"/>
  <c r="DG967" i="4"/>
  <c r="U967" i="4"/>
  <c r="T967" i="4"/>
  <c r="BJ967" i="4"/>
  <c r="DO967" i="4"/>
  <c r="BI967" i="4"/>
  <c r="BH967" i="4"/>
  <c r="P967" i="4"/>
  <c r="AJ967" i="4"/>
  <c r="BD967" i="4"/>
  <c r="DF967" i="4"/>
  <c r="DJ967" i="4"/>
  <c r="DN967" i="4"/>
  <c r="Y967" i="4"/>
  <c r="AS967" i="4"/>
  <c r="BM967" i="4"/>
  <c r="BQ967" i="4"/>
  <c r="BR967" i="4" s="1"/>
  <c r="BS967" i="4" s="1"/>
  <c r="BT967" i="4" s="1"/>
  <c r="BU967" i="4" s="1"/>
  <c r="DU790" i="4"/>
  <c r="AB41" i="72"/>
  <c r="AD41" i="72"/>
  <c r="AC41" i="72"/>
  <c r="AA45" i="72"/>
  <c r="CS693" i="49" l="1"/>
  <c r="CS838" i="49" s="1"/>
  <c r="CS695" i="49"/>
  <c r="CU878" i="49"/>
  <c r="CT841" i="49"/>
  <c r="CH332" i="72"/>
  <c r="CH339" i="72" s="1"/>
  <c r="CH340" i="72" s="1"/>
  <c r="D3" i="9"/>
  <c r="DE871" i="4"/>
  <c r="M797" i="4"/>
  <c r="DE797" i="4" s="1"/>
  <c r="AV89" i="72"/>
  <c r="AV76" i="72"/>
  <c r="AV87" i="72" s="1"/>
  <c r="CC213" i="51"/>
  <c r="DG871" i="4"/>
  <c r="W797" i="4"/>
  <c r="DG797" i="4" s="1"/>
  <c r="AW76" i="72"/>
  <c r="AW87" i="72" s="1"/>
  <c r="AW89" i="72"/>
  <c r="DK871" i="4"/>
  <c r="AQ797" i="4"/>
  <c r="DK797" i="4" s="1"/>
  <c r="DW882" i="4"/>
  <c r="CZ882" i="4"/>
  <c r="AT76" i="72"/>
  <c r="AT87" i="72" s="1"/>
  <c r="AT89" i="72"/>
  <c r="BD833" i="4"/>
  <c r="DP834" i="4"/>
  <c r="BP795" i="4"/>
  <c r="DP795" i="4" s="1"/>
  <c r="DK860" i="4"/>
  <c r="AQ796" i="4"/>
  <c r="DG860" i="4"/>
  <c r="W796" i="4"/>
  <c r="DG796" i="4" s="1"/>
  <c r="CG332" i="72"/>
  <c r="CG339" i="72" s="1"/>
  <c r="CI332" i="72"/>
  <c r="CI333" i="72" s="1"/>
  <c r="CC108" i="51"/>
  <c r="BX109" i="51"/>
  <c r="BX36" i="51"/>
  <c r="CQ480" i="51"/>
  <c r="CQ444" i="51"/>
  <c r="CX364" i="4" s="1"/>
  <c r="CQ506" i="51"/>
  <c r="CQ507" i="51" s="1"/>
  <c r="AW33" i="51"/>
  <c r="CU502" i="49"/>
  <c r="CT536" i="49"/>
  <c r="CT543" i="49"/>
  <c r="CU440" i="49"/>
  <c r="BF1046" i="49"/>
  <c r="CU594" i="49"/>
  <c r="CU517" i="49"/>
  <c r="CU553" i="49" s="1"/>
  <c r="CT995" i="49"/>
  <c r="CU983" i="49"/>
  <c r="CS354" i="51"/>
  <c r="CS357" i="51"/>
  <c r="CS358" i="51" s="1"/>
  <c r="CZ317" i="4" s="1"/>
  <c r="DX317" i="4" s="1"/>
  <c r="CS395" i="51"/>
  <c r="CT787" i="49"/>
  <c r="CT535" i="49"/>
  <c r="CT821" i="49" s="1"/>
  <c r="CU501" i="49"/>
  <c r="BZ1039" i="49"/>
  <c r="CU681" i="49"/>
  <c r="CU825" i="49" s="1"/>
  <c r="CU722" i="49"/>
  <c r="CV581" i="49"/>
  <c r="CT712" i="49"/>
  <c r="CU737" i="49"/>
  <c r="CV451" i="49"/>
  <c r="CU556" i="49"/>
  <c r="CU815" i="49"/>
  <c r="CU736" i="49"/>
  <c r="CV450" i="49"/>
  <c r="CO967" i="49"/>
  <c r="CO695" i="49"/>
  <c r="CO840" i="49" s="1"/>
  <c r="CO805" i="49"/>
  <c r="CU694" i="49"/>
  <c r="CV593" i="49"/>
  <c r="CV694" i="49" s="1"/>
  <c r="CT682" i="49"/>
  <c r="CT826" i="49" s="1"/>
  <c r="CU582" i="49"/>
  <c r="CV878" i="49"/>
  <c r="CT672" i="49"/>
  <c r="CT816" i="49" s="1"/>
  <c r="CU572" i="49"/>
  <c r="CU673" i="49"/>
  <c r="CV573" i="49"/>
  <c r="CV673" i="49" s="1"/>
  <c r="CV599" i="49"/>
  <c r="CV700" i="49" s="1"/>
  <c r="CU700" i="49"/>
  <c r="CU887" i="49"/>
  <c r="CV503" i="49"/>
  <c r="CU537" i="49"/>
  <c r="CU847" i="49"/>
  <c r="CV702" i="49"/>
  <c r="CV847" i="49" s="1"/>
  <c r="CJ812" i="49"/>
  <c r="CJ973" i="49"/>
  <c r="CU714" i="49"/>
  <c r="CH413" i="51"/>
  <c r="CG416" i="51"/>
  <c r="CG414" i="51"/>
  <c r="CU551" i="49"/>
  <c r="CV446" i="49"/>
  <c r="CS902" i="49"/>
  <c r="CS903" i="49" s="1"/>
  <c r="CS894" i="49"/>
  <c r="CQ20" i="51"/>
  <c r="CQ36" i="51" s="1"/>
  <c r="CR36" i="51" s="1"/>
  <c r="CP586" i="49"/>
  <c r="CU698" i="49"/>
  <c r="CV597" i="49"/>
  <c r="CV698" i="49" s="1"/>
  <c r="CV761" i="49"/>
  <c r="CV778" i="49" s="1"/>
  <c r="CV492" i="49"/>
  <c r="CT353" i="51" s="1"/>
  <c r="DA325" i="4" s="1"/>
  <c r="DY325" i="4" s="1"/>
  <c r="CU804" i="49"/>
  <c r="CV518" i="49"/>
  <c r="CU966" i="49"/>
  <c r="CT691" i="49"/>
  <c r="CU590" i="49"/>
  <c r="CO585" i="49"/>
  <c r="CN726" i="49"/>
  <c r="CO726" i="49" s="1"/>
  <c r="CU438" i="49"/>
  <c r="CT541" i="49"/>
  <c r="CU696" i="49"/>
  <c r="CV595" i="49"/>
  <c r="CV696" i="49" s="1"/>
  <c r="CP583" i="49"/>
  <c r="CK972" i="49"/>
  <c r="CK973" i="49" s="1"/>
  <c r="CK895" i="49"/>
  <c r="CK810" i="49"/>
  <c r="CK812" i="49" s="1"/>
  <c r="CK668" i="49"/>
  <c r="CL666" i="49"/>
  <c r="CP666" i="49"/>
  <c r="CK700" i="49"/>
  <c r="CS967" i="49"/>
  <c r="CT661" i="49"/>
  <c r="CI900" i="49"/>
  <c r="CJ898" i="49"/>
  <c r="CI906" i="49"/>
  <c r="CI899" i="49"/>
  <c r="CV448" i="49"/>
  <c r="CU741" i="49"/>
  <c r="CV455" i="49"/>
  <c r="CU560" i="49"/>
  <c r="CU740" i="49"/>
  <c r="CU559" i="49"/>
  <c r="CV454" i="49"/>
  <c r="CT846" i="49"/>
  <c r="CV552" i="49"/>
  <c r="CU578" i="49"/>
  <c r="CE1044" i="49"/>
  <c r="CE1042" i="49"/>
  <c r="CE1043" i="49"/>
  <c r="CJ896" i="49"/>
  <c r="CJ904" i="49"/>
  <c r="CJ905" i="49" s="1"/>
  <c r="CO965" i="49"/>
  <c r="CO693" i="49"/>
  <c r="CO838" i="49" s="1"/>
  <c r="CO803" i="49"/>
  <c r="CV716" i="49"/>
  <c r="CV675" i="49"/>
  <c r="CV819" i="49" s="1"/>
  <c r="CT735" i="49"/>
  <c r="CT554" i="49"/>
  <c r="CT839" i="49" s="1"/>
  <c r="CU449" i="49"/>
  <c r="CT836" i="49"/>
  <c r="CR565" i="49"/>
  <c r="CR566" i="49" s="1"/>
  <c r="CR564" i="49"/>
  <c r="CU699" i="49"/>
  <c r="CV598" i="49"/>
  <c r="CV699" i="49" s="1"/>
  <c r="CS840" i="49"/>
  <c r="CI848" i="49"/>
  <c r="CI1035" i="49"/>
  <c r="CT739" i="49"/>
  <c r="CT558" i="49"/>
  <c r="CT843" i="49" s="1"/>
  <c r="CU453" i="49"/>
  <c r="CU592" i="49"/>
  <c r="BP1046" i="49"/>
  <c r="CT738" i="49"/>
  <c r="CU452" i="49"/>
  <c r="CT557" i="49"/>
  <c r="CV540" i="49"/>
  <c r="CU717" i="49"/>
  <c r="CV576" i="49"/>
  <c r="CV671" i="49"/>
  <c r="CV712" i="49"/>
  <c r="CT736" i="49"/>
  <c r="CV718" i="49"/>
  <c r="CV677" i="49"/>
  <c r="CT457" i="49"/>
  <c r="CT844" i="49"/>
  <c r="CV872" i="49"/>
  <c r="CT888" i="49"/>
  <c r="CT893" i="49"/>
  <c r="CE1045" i="49"/>
  <c r="CT731" i="49"/>
  <c r="CT550" i="49"/>
  <c r="CT835" i="49" s="1"/>
  <c r="CU445" i="49"/>
  <c r="CT884" i="49"/>
  <c r="CU500" i="49"/>
  <c r="CT526" i="49"/>
  <c r="CT534" i="49"/>
  <c r="CS965" i="49"/>
  <c r="CT659" i="49"/>
  <c r="CT803" i="49" s="1"/>
  <c r="CV531" i="49"/>
  <c r="CU721" i="49"/>
  <c r="CU538" i="49"/>
  <c r="CU824" i="49" s="1"/>
  <c r="CV435" i="49"/>
  <c r="CP480" i="51"/>
  <c r="CP444" i="51"/>
  <c r="CW364" i="4" s="1"/>
  <c r="CP506" i="51"/>
  <c r="CR442" i="51"/>
  <c r="CT697" i="49"/>
  <c r="CU596" i="49"/>
  <c r="CO684" i="49"/>
  <c r="CO828" i="49" s="1"/>
  <c r="CP584" i="49"/>
  <c r="CT805" i="49"/>
  <c r="CU519" i="49"/>
  <c r="BY1042" i="49"/>
  <c r="BY1044" i="49"/>
  <c r="BY1043" i="49"/>
  <c r="CS842" i="49"/>
  <c r="BZ997" i="49"/>
  <c r="BZ998" i="49" s="1"/>
  <c r="BZ853" i="49"/>
  <c r="BZ850" i="49"/>
  <c r="BZ851" i="49" s="1"/>
  <c r="CA849" i="49"/>
  <c r="CS815" i="49"/>
  <c r="CS563" i="49"/>
  <c r="CE854" i="49"/>
  <c r="CV715" i="49"/>
  <c r="CV674" i="49"/>
  <c r="CV818" i="49" s="1"/>
  <c r="CO724" i="49"/>
  <c r="CJ703" i="49"/>
  <c r="CJ705" i="49" s="1"/>
  <c r="CJ706" i="49" s="1"/>
  <c r="CT553" i="49"/>
  <c r="CU713" i="49"/>
  <c r="CV427" i="49"/>
  <c r="CU530" i="49"/>
  <c r="CN729" i="49"/>
  <c r="CO729" i="49" s="1"/>
  <c r="CO587" i="49"/>
  <c r="CU510" i="49"/>
  <c r="CT544" i="49"/>
  <c r="CT542" i="49"/>
  <c r="CU439" i="49"/>
  <c r="CU692" i="49"/>
  <c r="CU837" i="49" s="1"/>
  <c r="CV591" i="49"/>
  <c r="CV692" i="49" s="1"/>
  <c r="CJ1035" i="49"/>
  <c r="CJ848" i="49"/>
  <c r="CU817" i="49"/>
  <c r="BO405" i="51"/>
  <c r="BO448" i="51" s="1"/>
  <c r="BN21" i="51"/>
  <c r="BO407" i="51"/>
  <c r="BN23" i="51"/>
  <c r="BO450" i="51"/>
  <c r="BN409" i="51"/>
  <c r="BN410" i="51" s="1"/>
  <c r="BM410" i="51"/>
  <c r="BL28" i="51"/>
  <c r="BL30" i="51"/>
  <c r="BL32" i="51"/>
  <c r="BP408" i="51"/>
  <c r="BO24" i="51"/>
  <c r="BO364" i="51"/>
  <c r="BP406" i="51"/>
  <c r="BP449" i="51" s="1"/>
  <c r="BO22" i="51"/>
  <c r="BO362" i="51"/>
  <c r="CC36" i="51"/>
  <c r="BL29" i="51"/>
  <c r="BL31" i="51"/>
  <c r="BM25" i="51"/>
  <c r="BM31" i="51" s="1"/>
  <c r="BS415" i="51"/>
  <c r="BS416" i="51" s="1"/>
  <c r="BK33" i="51"/>
  <c r="CJ333" i="72"/>
  <c r="CJ339" i="72"/>
  <c r="CJ340" i="72" s="1"/>
  <c r="AU800" i="4"/>
  <c r="BV967" i="4"/>
  <c r="BW967" i="4" s="1"/>
  <c r="BX967" i="4" s="1"/>
  <c r="BY967" i="4" s="1"/>
  <c r="BZ967" i="4" s="1"/>
  <c r="DQ967" i="4"/>
  <c r="CT858" i="4"/>
  <c r="CU858" i="4" s="1"/>
  <c r="CV858" i="4" s="1"/>
  <c r="CW858" i="4" s="1"/>
  <c r="CX858" i="4" s="1"/>
  <c r="CY858" i="4" s="1"/>
  <c r="CO870" i="4"/>
  <c r="CN871" i="4"/>
  <c r="CN797" i="4" s="1"/>
  <c r="CP840" i="4"/>
  <c r="DU840" i="4"/>
  <c r="DH871" i="4"/>
  <c r="AB797" i="4"/>
  <c r="DH797" i="4" s="1"/>
  <c r="CZ857" i="4"/>
  <c r="DU834" i="4"/>
  <c r="CO795" i="4"/>
  <c r="BL834" i="4"/>
  <c r="BL795" i="4" s="1"/>
  <c r="CZ819" i="4"/>
  <c r="DX819" i="4" s="1"/>
  <c r="DA809" i="4"/>
  <c r="DA819" i="4" s="1"/>
  <c r="DY819" i="4" s="1"/>
  <c r="CV850" i="4"/>
  <c r="DS832" i="4"/>
  <c r="CE834" i="4"/>
  <c r="DY878" i="4"/>
  <c r="DX878" i="4"/>
  <c r="CU847" i="4"/>
  <c r="DV847" i="4"/>
  <c r="BB838" i="4"/>
  <c r="DM838" i="4"/>
  <c r="CZ859" i="4"/>
  <c r="BJ840" i="4"/>
  <c r="BK840" i="4" s="1"/>
  <c r="CS936" i="4"/>
  <c r="CJ863" i="4"/>
  <c r="CI871" i="4"/>
  <c r="CI797" i="4" s="1"/>
  <c r="CT856" i="4"/>
  <c r="CU856" i="4" s="1"/>
  <c r="CV856" i="4" s="1"/>
  <c r="CW856" i="4" s="1"/>
  <c r="CX856" i="4" s="1"/>
  <c r="CY856" i="4" s="1"/>
  <c r="DU841" i="4"/>
  <c r="CP841" i="4"/>
  <c r="CP844" i="4"/>
  <c r="DU844" i="4"/>
  <c r="CP842" i="4"/>
  <c r="DU842" i="4"/>
  <c r="CP838" i="4"/>
  <c r="DU838" i="4"/>
  <c r="DS863" i="4"/>
  <c r="CE871" i="4"/>
  <c r="BA871" i="4"/>
  <c r="DO841" i="4"/>
  <c r="CP839" i="4"/>
  <c r="DU839" i="4"/>
  <c r="DJ860" i="4"/>
  <c r="AL796" i="4"/>
  <c r="DJ796" i="4" s="1"/>
  <c r="DR834" i="4"/>
  <c r="BZ795" i="4"/>
  <c r="DR871" i="4"/>
  <c r="BZ797" i="4"/>
  <c r="DR797" i="4" s="1"/>
  <c r="DF871" i="4"/>
  <c r="R797" i="4"/>
  <c r="DF797" i="4" s="1"/>
  <c r="CQ863" i="4"/>
  <c r="CR863" i="4" s="1"/>
  <c r="DQ834" i="4"/>
  <c r="BU795" i="4"/>
  <c r="DG834" i="4"/>
  <c r="W795" i="4"/>
  <c r="CU853" i="4"/>
  <c r="CV846" i="4"/>
  <c r="DS838" i="4"/>
  <c r="CF838" i="4"/>
  <c r="DJ834" i="4"/>
  <c r="AL795" i="4"/>
  <c r="AV871" i="4"/>
  <c r="CU851" i="4"/>
  <c r="CG839" i="4"/>
  <c r="CY936" i="4"/>
  <c r="CZ936" i="4" s="1"/>
  <c r="DA936" i="4" s="1"/>
  <c r="DJ871" i="4"/>
  <c r="AL797" i="4"/>
  <c r="DJ797" i="4" s="1"/>
  <c r="BE863" i="4"/>
  <c r="BD871" i="4"/>
  <c r="BD797" i="4" s="1"/>
  <c r="DO843" i="4"/>
  <c r="CO837" i="4"/>
  <c r="CN860" i="4"/>
  <c r="CN796" i="4" s="1"/>
  <c r="CN798" i="4" s="1"/>
  <c r="DH860" i="4"/>
  <c r="AB796" i="4"/>
  <c r="DH796" i="4" s="1"/>
  <c r="AW839" i="4"/>
  <c r="DL839" i="4"/>
  <c r="DR860" i="4"/>
  <c r="BZ796" i="4"/>
  <c r="DR796" i="4" s="1"/>
  <c r="CK841" i="4"/>
  <c r="DT841" i="4"/>
  <c r="CV864" i="4"/>
  <c r="AV860" i="4"/>
  <c r="AI60" i="9" s="1"/>
  <c r="DL837" i="4"/>
  <c r="AW837" i="4"/>
  <c r="DW879" i="4"/>
  <c r="CZ879" i="4"/>
  <c r="DV863" i="4"/>
  <c r="CY863" i="4"/>
  <c r="CU863" i="4"/>
  <c r="DR848" i="4"/>
  <c r="CU849" i="4"/>
  <c r="DA791" i="4"/>
  <c r="DY791" i="4" s="1"/>
  <c r="DX791" i="4"/>
  <c r="CQ843" i="4"/>
  <c r="DF834" i="4"/>
  <c r="R795" i="4"/>
  <c r="DI795" i="4"/>
  <c r="CV848" i="4"/>
  <c r="BE833" i="4"/>
  <c r="BD834" i="4"/>
  <c r="BD795" i="4" s="1"/>
  <c r="DQ942" i="4"/>
  <c r="BV942" i="4"/>
  <c r="BW942" i="4" s="1"/>
  <c r="BX942" i="4" s="1"/>
  <c r="BY942" i="4" s="1"/>
  <c r="BZ942" i="4" s="1"/>
  <c r="BT882" i="4"/>
  <c r="BV882" i="4" s="1"/>
  <c r="BW882" i="4" s="1"/>
  <c r="CP868" i="4"/>
  <c r="DO844" i="4"/>
  <c r="CZ867" i="4"/>
  <c r="CZ855" i="4"/>
  <c r="DI860" i="4"/>
  <c r="AG796" i="4"/>
  <c r="DI796" i="4" s="1"/>
  <c r="CZ869" i="4"/>
  <c r="DQ841" i="4"/>
  <c r="CR834" i="4"/>
  <c r="CR795" i="4" s="1"/>
  <c r="DV845" i="4"/>
  <c r="CU845" i="4"/>
  <c r="CG840" i="4"/>
  <c r="DH834" i="4"/>
  <c r="AB795" i="4"/>
  <c r="DM834" i="4"/>
  <c r="BA795" i="4"/>
  <c r="CV833" i="4"/>
  <c r="CC860" i="4"/>
  <c r="CC796" i="4" s="1"/>
  <c r="CC798" i="4" s="1"/>
  <c r="AX72" i="72" s="1"/>
  <c r="AX76" i="72" s="1"/>
  <c r="CD837" i="4"/>
  <c r="DE795" i="4"/>
  <c r="M798" i="4"/>
  <c r="CV852" i="4"/>
  <c r="DV790" i="4"/>
  <c r="CQ784" i="4"/>
  <c r="CP784" i="4"/>
  <c r="CN784" i="4"/>
  <c r="CM784" i="4"/>
  <c r="CL784" i="4"/>
  <c r="CI784" i="4"/>
  <c r="CH784" i="4"/>
  <c r="CC784" i="4"/>
  <c r="CB784" i="4"/>
  <c r="CA784" i="4"/>
  <c r="BY784" i="4"/>
  <c r="BX784" i="4"/>
  <c r="BW784" i="4"/>
  <c r="BV784" i="4"/>
  <c r="BT784" i="4"/>
  <c r="BS784" i="4"/>
  <c r="BR784" i="4"/>
  <c r="BQ784" i="4"/>
  <c r="BD784" i="4"/>
  <c r="AZ784" i="4"/>
  <c r="AY784" i="4"/>
  <c r="AX784" i="4"/>
  <c r="AW784" i="4"/>
  <c r="AU784" i="4"/>
  <c r="AT784" i="4"/>
  <c r="AS784" i="4"/>
  <c r="AR784" i="4"/>
  <c r="AP784" i="4"/>
  <c r="AO784" i="4"/>
  <c r="AN784" i="4"/>
  <c r="AM784" i="4"/>
  <c r="AK784" i="4"/>
  <c r="AJ784" i="4"/>
  <c r="AI784" i="4"/>
  <c r="AH784" i="4"/>
  <c r="AF784" i="4"/>
  <c r="AE784" i="4"/>
  <c r="AD784" i="4"/>
  <c r="AC784" i="4"/>
  <c r="AA784" i="4"/>
  <c r="V784" i="4"/>
  <c r="U784" i="4"/>
  <c r="T784" i="4"/>
  <c r="S784" i="4"/>
  <c r="Q784" i="4"/>
  <c r="P784" i="4"/>
  <c r="O784" i="4"/>
  <c r="N784" i="4"/>
  <c r="L784" i="4"/>
  <c r="K784" i="4"/>
  <c r="J784" i="4"/>
  <c r="I784" i="4"/>
  <c r="CO783" i="4"/>
  <c r="DU783" i="4" s="1"/>
  <c r="CO782" i="4"/>
  <c r="CO781" i="4"/>
  <c r="CO780" i="4"/>
  <c r="CO779" i="4"/>
  <c r="DU779" i="4" s="1"/>
  <c r="CO778" i="4"/>
  <c r="CJ783" i="4"/>
  <c r="CJ782" i="4"/>
  <c r="CJ781" i="4"/>
  <c r="CK781" i="4" s="1"/>
  <c r="CK784" i="4" s="1"/>
  <c r="CJ780" i="4"/>
  <c r="DT780" i="4" s="1"/>
  <c r="CJ779" i="4"/>
  <c r="CJ778" i="4"/>
  <c r="CE783" i="4"/>
  <c r="DS783" i="4" s="1"/>
  <c r="CE782" i="4"/>
  <c r="DS782" i="4" s="1"/>
  <c r="CE780" i="4"/>
  <c r="CE779" i="4"/>
  <c r="CE778" i="4"/>
  <c r="BZ783" i="4"/>
  <c r="BZ782" i="4"/>
  <c r="BZ781" i="4"/>
  <c r="BZ780" i="4"/>
  <c r="DR780" i="4" s="1"/>
  <c r="BZ779" i="4"/>
  <c r="BZ778" i="4"/>
  <c r="BU783" i="4"/>
  <c r="BU782" i="4"/>
  <c r="DQ782" i="4" s="1"/>
  <c r="BU781" i="4"/>
  <c r="BU780" i="4"/>
  <c r="BU779" i="4"/>
  <c r="BU778" i="4"/>
  <c r="DQ778" i="4" s="1"/>
  <c r="BP783" i="4"/>
  <c r="BP782" i="4"/>
  <c r="BP781" i="4"/>
  <c r="BP779" i="4"/>
  <c r="BP778" i="4"/>
  <c r="BK783" i="4"/>
  <c r="BK782" i="4"/>
  <c r="DO782" i="4" s="1"/>
  <c r="BK781" i="4"/>
  <c r="BK779" i="4"/>
  <c r="BK778" i="4"/>
  <c r="BF783" i="4"/>
  <c r="BF782" i="4"/>
  <c r="BF780" i="4"/>
  <c r="DN780" i="4" s="1"/>
  <c r="BF779" i="4"/>
  <c r="BF778" i="4"/>
  <c r="BC783" i="4"/>
  <c r="BC784" i="4" s="1"/>
  <c r="BB783" i="4"/>
  <c r="BB784" i="4" s="1"/>
  <c r="BA783" i="4"/>
  <c r="AV783" i="4"/>
  <c r="AV782" i="4"/>
  <c r="DL782" i="4" s="1"/>
  <c r="AV781" i="4"/>
  <c r="DL781" i="4" s="1"/>
  <c r="AV780" i="4"/>
  <c r="AW963" i="4" s="1"/>
  <c r="AV779" i="4"/>
  <c r="AV778" i="4"/>
  <c r="DL778" i="4" s="1"/>
  <c r="AQ783" i="4"/>
  <c r="DK783" i="4" s="1"/>
  <c r="AQ782" i="4"/>
  <c r="DK782" i="4" s="1"/>
  <c r="AQ781" i="4"/>
  <c r="DK781" i="4" s="1"/>
  <c r="AQ780" i="4"/>
  <c r="AQ779" i="4"/>
  <c r="DK779" i="4" s="1"/>
  <c r="AQ778" i="4"/>
  <c r="AL783" i="4"/>
  <c r="AL782" i="4"/>
  <c r="DJ782" i="4" s="1"/>
  <c r="AL781" i="4"/>
  <c r="AL780" i="4"/>
  <c r="AM963" i="4" s="1"/>
  <c r="AL779" i="4"/>
  <c r="AL778" i="4"/>
  <c r="DJ778" i="4" s="1"/>
  <c r="AG783" i="4"/>
  <c r="DI783" i="4" s="1"/>
  <c r="AG782" i="4"/>
  <c r="AG781" i="4"/>
  <c r="AG780" i="4"/>
  <c r="AH963" i="4" s="1"/>
  <c r="AG779" i="4"/>
  <c r="DI779" i="4" s="1"/>
  <c r="AG778" i="4"/>
  <c r="AB783" i="4"/>
  <c r="AB782" i="4"/>
  <c r="DH782" i="4" s="1"/>
  <c r="AB781" i="4"/>
  <c r="DH781" i="4" s="1"/>
  <c r="AB780" i="4"/>
  <c r="AC963" i="4" s="1"/>
  <c r="AB779" i="4"/>
  <c r="AB778" i="4"/>
  <c r="DH778" i="4" s="1"/>
  <c r="Z783" i="4"/>
  <c r="Z784" i="4" s="1"/>
  <c r="Y783" i="4"/>
  <c r="Y784" i="4" s="1"/>
  <c r="X783" i="4"/>
  <c r="X784" i="4" s="1"/>
  <c r="W783" i="4"/>
  <c r="DG783" i="4" s="1"/>
  <c r="R783" i="4"/>
  <c r="DF783" i="4" s="1"/>
  <c r="R782" i="4"/>
  <c r="DF782" i="4" s="1"/>
  <c r="R781" i="4"/>
  <c r="R780" i="4"/>
  <c r="R779" i="4"/>
  <c r="DF779" i="4" s="1"/>
  <c r="R778" i="4"/>
  <c r="M783" i="4"/>
  <c r="DE783" i="4" s="1"/>
  <c r="M782" i="4"/>
  <c r="DE782" i="4" s="1"/>
  <c r="M781" i="4"/>
  <c r="DE781" i="4" s="1"/>
  <c r="M780" i="4"/>
  <c r="N963" i="4" s="1"/>
  <c r="M779" i="4"/>
  <c r="DE779" i="4" s="1"/>
  <c r="M778" i="4"/>
  <c r="DE778" i="4" s="1"/>
  <c r="BA782" i="4"/>
  <c r="BA781" i="4"/>
  <c r="BA780" i="4"/>
  <c r="BA779" i="4"/>
  <c r="DM779" i="4" s="1"/>
  <c r="BA778" i="4"/>
  <c r="W782" i="4"/>
  <c r="DG782" i="4" s="1"/>
  <c r="W781" i="4"/>
  <c r="DG781" i="4" s="1"/>
  <c r="W780" i="4"/>
  <c r="W779" i="4"/>
  <c r="DG779" i="4" s="1"/>
  <c r="W778" i="4"/>
  <c r="CD781" i="4"/>
  <c r="CD784" i="4" s="1"/>
  <c r="BI781" i="4"/>
  <c r="BI780" i="4"/>
  <c r="BI784" i="4" s="1"/>
  <c r="BG780" i="4"/>
  <c r="BE781" i="4"/>
  <c r="BE784" i="4" s="1"/>
  <c r="BO780" i="4"/>
  <c r="BO784" i="4" s="1"/>
  <c r="BN780" i="4"/>
  <c r="BN784" i="4" s="1"/>
  <c r="BM780" i="4"/>
  <c r="BM784" i="4" s="1"/>
  <c r="BL780" i="4"/>
  <c r="BL784" i="4" s="1"/>
  <c r="BJ780" i="4"/>
  <c r="BH780" i="4"/>
  <c r="BH784" i="4" s="1"/>
  <c r="DT783" i="4"/>
  <c r="DR783" i="4"/>
  <c r="DQ783" i="4"/>
  <c r="DP783" i="4"/>
  <c r="DO783" i="4"/>
  <c r="DN783" i="4"/>
  <c r="DM783" i="4"/>
  <c r="DL783" i="4"/>
  <c r="DJ783" i="4"/>
  <c r="DH783" i="4"/>
  <c r="DU782" i="4"/>
  <c r="DT782" i="4"/>
  <c r="DR782" i="4"/>
  <c r="DP782" i="4"/>
  <c r="DN782" i="4"/>
  <c r="DM782" i="4"/>
  <c r="DI782" i="4"/>
  <c r="DU781" i="4"/>
  <c r="DT781" i="4"/>
  <c r="DR781" i="4"/>
  <c r="DQ781" i="4"/>
  <c r="DP781" i="4"/>
  <c r="DO781" i="4"/>
  <c r="DM781" i="4"/>
  <c r="DJ781" i="4"/>
  <c r="DI781" i="4"/>
  <c r="DF781" i="4"/>
  <c r="DU780" i="4"/>
  <c r="DS780" i="4"/>
  <c r="DQ780" i="4"/>
  <c r="DM780" i="4"/>
  <c r="DL780" i="4"/>
  <c r="DJ780" i="4"/>
  <c r="DI780" i="4"/>
  <c r="DT779" i="4"/>
  <c r="DS779" i="4"/>
  <c r="DR779" i="4"/>
  <c r="DQ779" i="4"/>
  <c r="DP779" i="4"/>
  <c r="DO779" i="4"/>
  <c r="DN779" i="4"/>
  <c r="DL779" i="4"/>
  <c r="DJ779" i="4"/>
  <c r="DH779" i="4"/>
  <c r="DU778" i="4"/>
  <c r="DT778" i="4"/>
  <c r="DR778" i="4"/>
  <c r="DP778" i="4"/>
  <c r="DN778" i="4"/>
  <c r="DM778" i="4"/>
  <c r="DI778" i="4"/>
  <c r="CS783" i="4"/>
  <c r="CT783" i="4" s="1"/>
  <c r="CS782" i="4"/>
  <c r="CT782" i="4" s="1"/>
  <c r="CS781" i="4"/>
  <c r="CT781" i="4" s="1"/>
  <c r="CU781" i="4" s="1"/>
  <c r="CV781" i="4" s="1"/>
  <c r="CW781" i="4" s="1"/>
  <c r="CX781" i="4" s="1"/>
  <c r="CY781" i="4" s="1"/>
  <c r="CT779" i="4"/>
  <c r="CS779" i="4"/>
  <c r="CG778" i="4"/>
  <c r="CL775" i="4"/>
  <c r="CK775" i="4"/>
  <c r="CI775" i="4"/>
  <c r="CJ775" i="4" s="1"/>
  <c r="DT775" i="4" s="1"/>
  <c r="CH775" i="4"/>
  <c r="CG775" i="4"/>
  <c r="CF775" i="4"/>
  <c r="CE775" i="4"/>
  <c r="DS775" i="4" s="1"/>
  <c r="CD775" i="4"/>
  <c r="CC775" i="4"/>
  <c r="CB775" i="4"/>
  <c r="CA775" i="4"/>
  <c r="BY775" i="4"/>
  <c r="BZ775" i="4" s="1"/>
  <c r="DR775" i="4" s="1"/>
  <c r="BX775" i="4"/>
  <c r="BW775" i="4"/>
  <c r="BV775" i="4"/>
  <c r="BT775" i="4"/>
  <c r="BU775" i="4" s="1"/>
  <c r="BS775" i="4"/>
  <c r="BR775" i="4"/>
  <c r="BQ775" i="4"/>
  <c r="BP775" i="4"/>
  <c r="BO775" i="4"/>
  <c r="BN775" i="4"/>
  <c r="BM775" i="4"/>
  <c r="BL775" i="4"/>
  <c r="BJ775" i="4"/>
  <c r="BK775" i="4" s="1"/>
  <c r="BI775" i="4"/>
  <c r="BH775" i="4"/>
  <c r="BG775" i="4"/>
  <c r="BF775" i="4"/>
  <c r="AS61" i="9" s="1"/>
  <c r="BE775" i="4"/>
  <c r="AR61" i="9" s="1"/>
  <c r="BD775" i="4"/>
  <c r="AQ61" i="9" s="1"/>
  <c r="BC775" i="4"/>
  <c r="AP61" i="9" s="1"/>
  <c r="BB775" i="4"/>
  <c r="AO61" i="9" s="1"/>
  <c r="AZ775" i="4"/>
  <c r="AY775" i="4"/>
  <c r="AL61" i="9" s="1"/>
  <c r="AX775" i="4"/>
  <c r="AK61" i="9" s="1"/>
  <c r="AW775" i="4"/>
  <c r="AJ61" i="9" s="1"/>
  <c r="AU775" i="4"/>
  <c r="AH61" i="9" s="1"/>
  <c r="AH62" i="9" s="1"/>
  <c r="AT775" i="4"/>
  <c r="AS775" i="4"/>
  <c r="AR775" i="4"/>
  <c r="AQ775" i="4"/>
  <c r="AP775" i="4"/>
  <c r="AO775" i="4"/>
  <c r="AN775" i="4"/>
  <c r="AM775" i="4"/>
  <c r="AK775" i="4"/>
  <c r="AL775" i="4" s="1"/>
  <c r="DJ775" i="4" s="1"/>
  <c r="AJ775" i="4"/>
  <c r="AI775" i="4"/>
  <c r="AH775" i="4"/>
  <c r="AF775" i="4"/>
  <c r="AG775" i="4" s="1"/>
  <c r="DI775" i="4" s="1"/>
  <c r="AE775" i="4"/>
  <c r="AD775" i="4"/>
  <c r="AC775" i="4"/>
  <c r="AB775" i="4"/>
  <c r="DH775" i="4" s="1"/>
  <c r="Z775" i="4"/>
  <c r="V775" i="4"/>
  <c r="W775" i="4" s="1"/>
  <c r="DG775" i="4" s="1"/>
  <c r="R775" i="4"/>
  <c r="DF775" i="4" s="1"/>
  <c r="Q775" i="4"/>
  <c r="L775" i="4"/>
  <c r="M775" i="4" s="1"/>
  <c r="DE775" i="4" s="1"/>
  <c r="CS775" i="4"/>
  <c r="CT775" i="4" s="1"/>
  <c r="CQ775" i="4"/>
  <c r="CP775" i="4"/>
  <c r="CN775" i="4"/>
  <c r="CO775" i="4" s="1"/>
  <c r="DU775" i="4" s="1"/>
  <c r="CL774" i="4"/>
  <c r="CM774" i="4" s="1"/>
  <c r="CI774" i="4"/>
  <c r="CJ774" i="4" s="1"/>
  <c r="DT774" i="4" s="1"/>
  <c r="CE774" i="4"/>
  <c r="BZ774" i="4"/>
  <c r="BT774" i="4"/>
  <c r="BU774" i="4" s="1"/>
  <c r="DQ774" i="4" s="1"/>
  <c r="BF774" i="4"/>
  <c r="BA774" i="4"/>
  <c r="DM774" i="4" s="1"/>
  <c r="AV774" i="4"/>
  <c r="AQ774" i="4"/>
  <c r="DK774" i="4" s="1"/>
  <c r="AL774" i="4"/>
  <c r="AG774" i="4"/>
  <c r="AB774" i="4"/>
  <c r="W774" i="4"/>
  <c r="DG774" i="4" s="1"/>
  <c r="S774" i="4"/>
  <c r="T774" i="4" s="1"/>
  <c r="R774" i="4"/>
  <c r="P774" i="4"/>
  <c r="O774" i="4" s="1"/>
  <c r="M774" i="4"/>
  <c r="DE774" i="4" s="1"/>
  <c r="K774" i="4"/>
  <c r="J774" i="4"/>
  <c r="DK775" i="4"/>
  <c r="DL774" i="4"/>
  <c r="DH774" i="4"/>
  <c r="DF774" i="4"/>
  <c r="CN773" i="4"/>
  <c r="CM773" i="4"/>
  <c r="CC773" i="4"/>
  <c r="CB773" i="4"/>
  <c r="CA773" i="4"/>
  <c r="BY773" i="4"/>
  <c r="AU773" i="4"/>
  <c r="AT773" i="4"/>
  <c r="AS773" i="4"/>
  <c r="AR773" i="4"/>
  <c r="AP773" i="4"/>
  <c r="AO773" i="4"/>
  <c r="AN773" i="4"/>
  <c r="AM773" i="4"/>
  <c r="AK773" i="4"/>
  <c r="AJ773" i="4"/>
  <c r="AI773" i="4"/>
  <c r="AH773" i="4"/>
  <c r="AF773" i="4"/>
  <c r="AE773" i="4"/>
  <c r="AD773" i="4"/>
  <c r="AD786" i="4" s="1"/>
  <c r="AC773" i="4"/>
  <c r="AA773" i="4"/>
  <c r="Z773" i="4"/>
  <c r="Y773" i="4"/>
  <c r="X773" i="4"/>
  <c r="V773" i="4"/>
  <c r="U773" i="4"/>
  <c r="T773" i="4"/>
  <c r="S773" i="4"/>
  <c r="Q773" i="4"/>
  <c r="P773" i="4"/>
  <c r="O773" i="4"/>
  <c r="N773" i="4"/>
  <c r="L773" i="4"/>
  <c r="K773" i="4"/>
  <c r="J773" i="4"/>
  <c r="I773" i="4"/>
  <c r="CM771" i="4"/>
  <c r="AM771" i="4"/>
  <c r="AM786" i="4" s="1"/>
  <c r="AE771" i="4"/>
  <c r="AE786" i="4" s="1"/>
  <c r="AD771" i="4"/>
  <c r="AC771" i="4"/>
  <c r="AC786" i="4" s="1"/>
  <c r="AA771" i="4"/>
  <c r="AA786" i="4" s="1"/>
  <c r="Z771" i="4"/>
  <c r="Y771" i="4"/>
  <c r="X771" i="4"/>
  <c r="X786" i="4" s="1"/>
  <c r="V771" i="4"/>
  <c r="U771" i="4"/>
  <c r="U786" i="4" s="1"/>
  <c r="T771" i="4"/>
  <c r="S771" i="4"/>
  <c r="S786" i="4" s="1"/>
  <c r="Q771" i="4"/>
  <c r="Q786" i="4" s="1"/>
  <c r="P771" i="4"/>
  <c r="O771" i="4"/>
  <c r="N771" i="4"/>
  <c r="L771" i="4"/>
  <c r="L786" i="4" s="1"/>
  <c r="K771" i="4"/>
  <c r="K786" i="4" s="1"/>
  <c r="J771" i="4"/>
  <c r="I771" i="4"/>
  <c r="CS770" i="4"/>
  <c r="CT770" i="4" s="1"/>
  <c r="CQ770" i="4"/>
  <c r="CP770" i="4"/>
  <c r="CN770" i="4"/>
  <c r="CO770" i="4" s="1"/>
  <c r="DU770" i="4" s="1"/>
  <c r="CL770" i="4"/>
  <c r="CK770" i="4"/>
  <c r="CI770" i="4"/>
  <c r="CJ770" i="4" s="1"/>
  <c r="CH770" i="4"/>
  <c r="CG770" i="4"/>
  <c r="CF770" i="4"/>
  <c r="CD770" i="4"/>
  <c r="CC770" i="4"/>
  <c r="CB770" i="4"/>
  <c r="CA770" i="4"/>
  <c r="BZ770" i="4"/>
  <c r="DR770" i="4" s="1"/>
  <c r="BY770" i="4"/>
  <c r="BX770" i="4"/>
  <c r="BW770" i="4"/>
  <c r="BV770" i="4"/>
  <c r="BV771" i="4" s="1"/>
  <c r="BT770" i="4"/>
  <c r="BU770" i="4" s="1"/>
  <c r="DQ770" i="4" s="1"/>
  <c r="BS770" i="4"/>
  <c r="BR770" i="4"/>
  <c r="BQ770" i="4"/>
  <c r="BO770" i="4"/>
  <c r="BP770" i="4" s="1"/>
  <c r="DP770" i="4" s="1"/>
  <c r="BN770" i="4"/>
  <c r="BM770" i="4"/>
  <c r="BL770" i="4"/>
  <c r="BK770" i="4"/>
  <c r="DO770" i="4" s="1"/>
  <c r="BJ770" i="4"/>
  <c r="BI770" i="4"/>
  <c r="BH770" i="4"/>
  <c r="BG770" i="4"/>
  <c r="BE770" i="4"/>
  <c r="BF770" i="4" s="1"/>
  <c r="DN770" i="4" s="1"/>
  <c r="BD770" i="4"/>
  <c r="BC770" i="4"/>
  <c r="BB770" i="4"/>
  <c r="AZ770" i="4"/>
  <c r="BA770" i="4" s="1"/>
  <c r="DM770" i="4" s="1"/>
  <c r="AY770" i="4"/>
  <c r="AY771" i="4" s="1"/>
  <c r="AX770" i="4"/>
  <c r="AX771" i="4" s="1"/>
  <c r="AW770" i="4"/>
  <c r="AW771" i="4" s="1"/>
  <c r="AU770" i="4"/>
  <c r="AV770" i="4" s="1"/>
  <c r="AT770" i="4"/>
  <c r="AT771" i="4" s="1"/>
  <c r="AT786" i="4" s="1"/>
  <c r="AS770" i="4"/>
  <c r="AR770" i="4"/>
  <c r="AP770" i="4"/>
  <c r="AO770" i="4"/>
  <c r="AO771" i="4" s="1"/>
  <c r="AN770" i="4"/>
  <c r="AN771" i="4" s="1"/>
  <c r="AM770" i="4"/>
  <c r="AL770" i="4"/>
  <c r="DJ770" i="4" s="1"/>
  <c r="AK770" i="4"/>
  <c r="AK771" i="4" s="1"/>
  <c r="AJ770" i="4"/>
  <c r="AJ771" i="4" s="1"/>
  <c r="AJ786" i="4" s="1"/>
  <c r="AI770" i="4"/>
  <c r="AI771" i="4" s="1"/>
  <c r="AH770" i="4"/>
  <c r="AH771" i="4" s="1"/>
  <c r="AH786" i="4" s="1"/>
  <c r="AF770" i="4"/>
  <c r="AG770" i="4" s="1"/>
  <c r="DI770" i="4" s="1"/>
  <c r="CO769" i="4"/>
  <c r="CJ769" i="4"/>
  <c r="CE769" i="4"/>
  <c r="DS769" i="4" s="1"/>
  <c r="BZ769" i="4"/>
  <c r="BU769" i="4"/>
  <c r="BU768" i="4"/>
  <c r="BP769" i="4"/>
  <c r="BK769" i="4"/>
  <c r="DO769" i="4" s="1"/>
  <c r="BF769" i="4"/>
  <c r="DN769" i="4" s="1"/>
  <c r="BA769" i="4"/>
  <c r="BA768" i="4"/>
  <c r="AV769" i="4"/>
  <c r="AV768" i="4"/>
  <c r="AQ769" i="4"/>
  <c r="DK769" i="4" s="1"/>
  <c r="AQ768" i="4"/>
  <c r="DK768" i="4" s="1"/>
  <c r="AL769" i="4"/>
  <c r="AL768" i="4"/>
  <c r="AG769" i="4"/>
  <c r="DI769" i="4" s="1"/>
  <c r="AG768" i="4"/>
  <c r="AB769" i="4"/>
  <c r="AB768" i="4"/>
  <c r="W769" i="4"/>
  <c r="DG769" i="4" s="1"/>
  <c r="R769" i="4"/>
  <c r="R768" i="4"/>
  <c r="M769" i="4"/>
  <c r="DE769" i="4" s="1"/>
  <c r="M768" i="4"/>
  <c r="DT770" i="4"/>
  <c r="DL770" i="4"/>
  <c r="DH770" i="4"/>
  <c r="DG770" i="4"/>
  <c r="DF770" i="4"/>
  <c r="DE770" i="4"/>
  <c r="DU769" i="4"/>
  <c r="DT769" i="4"/>
  <c r="DR769" i="4"/>
  <c r="DQ769" i="4"/>
  <c r="DP769" i="4"/>
  <c r="DM769" i="4"/>
  <c r="DL769" i="4"/>
  <c r="DJ769" i="4"/>
  <c r="DH769" i="4"/>
  <c r="DF769" i="4"/>
  <c r="DM768" i="4"/>
  <c r="DJ768" i="4"/>
  <c r="DI768" i="4"/>
  <c r="DE768" i="4"/>
  <c r="CQ768" i="4"/>
  <c r="CQ771" i="4" s="1"/>
  <c r="CP768" i="4"/>
  <c r="CP771" i="4" s="1"/>
  <c r="CN768" i="4"/>
  <c r="CL768" i="4"/>
  <c r="CL771" i="4" s="1"/>
  <c r="CK768" i="4"/>
  <c r="CK771" i="4" s="1"/>
  <c r="CI768" i="4"/>
  <c r="CJ768" i="4" s="1"/>
  <c r="CH768" i="4"/>
  <c r="CG768" i="4"/>
  <c r="CG771" i="4" s="1"/>
  <c r="CF768" i="4"/>
  <c r="CF771" i="4" s="1"/>
  <c r="CD768" i="4"/>
  <c r="CE768" i="4" s="1"/>
  <c r="DS768" i="4" s="1"/>
  <c r="CC768" i="4"/>
  <c r="CC771" i="4" s="1"/>
  <c r="CC786" i="4" s="1"/>
  <c r="CB768" i="4"/>
  <c r="CB771" i="4" s="1"/>
  <c r="CB786" i="4" s="1"/>
  <c r="CA768" i="4"/>
  <c r="CA771" i="4" s="1"/>
  <c r="BY768" i="4"/>
  <c r="BY771" i="4" s="1"/>
  <c r="BX768" i="4"/>
  <c r="BX771" i="4" s="1"/>
  <c r="BW768" i="4"/>
  <c r="BV768" i="4"/>
  <c r="BT768" i="4"/>
  <c r="BT771" i="4" s="1"/>
  <c r="BS768" i="4"/>
  <c r="BS771" i="4" s="1"/>
  <c r="BR768" i="4"/>
  <c r="BR771" i="4" s="1"/>
  <c r="BQ768" i="4"/>
  <c r="BO768" i="4"/>
  <c r="BP768" i="4" s="1"/>
  <c r="BN768" i="4"/>
  <c r="BN771" i="4" s="1"/>
  <c r="BM768" i="4"/>
  <c r="BM771" i="4" s="1"/>
  <c r="BL768" i="4"/>
  <c r="BJ768" i="4"/>
  <c r="BK768" i="4" s="1"/>
  <c r="DO768" i="4" s="1"/>
  <c r="BI768" i="4"/>
  <c r="BI771" i="4" s="1"/>
  <c r="BH768" i="4"/>
  <c r="BH771" i="4" s="1"/>
  <c r="BG768" i="4"/>
  <c r="BE768" i="4"/>
  <c r="BE771" i="4" s="1"/>
  <c r="BD768" i="4"/>
  <c r="BC768" i="4"/>
  <c r="BB768" i="4"/>
  <c r="AT768" i="4"/>
  <c r="AS768" i="4"/>
  <c r="AS771" i="4" s="1"/>
  <c r="AR768" i="4"/>
  <c r="AR771" i="4" s="1"/>
  <c r="V768" i="4"/>
  <c r="W768" i="4" s="1"/>
  <c r="DG768" i="4" s="1"/>
  <c r="CQ764" i="4"/>
  <c r="CP764" i="4"/>
  <c r="CO764" i="4"/>
  <c r="DU764" i="4" s="1"/>
  <c r="CN764" i="4"/>
  <c r="CL764" i="4"/>
  <c r="CK764" i="4"/>
  <c r="CJ764" i="4"/>
  <c r="DT764" i="4" s="1"/>
  <c r="CI764" i="4"/>
  <c r="CH764" i="4"/>
  <c r="CG764" i="4"/>
  <c r="CF764" i="4"/>
  <c r="CD764" i="4"/>
  <c r="CE764" i="4" s="1"/>
  <c r="DS764" i="4" s="1"/>
  <c r="CC764" i="4"/>
  <c r="CB764" i="4"/>
  <c r="CA764" i="4"/>
  <c r="BY764" i="4"/>
  <c r="BZ764" i="4" s="1"/>
  <c r="DR764" i="4" s="1"/>
  <c r="BX764" i="4"/>
  <c r="BW764" i="4"/>
  <c r="BV764" i="4"/>
  <c r="BT764" i="4"/>
  <c r="BU764" i="4" s="1"/>
  <c r="BS764" i="4"/>
  <c r="BR764" i="4"/>
  <c r="BQ764" i="4"/>
  <c r="BO764" i="4"/>
  <c r="BP764" i="4" s="1"/>
  <c r="DP764" i="4" s="1"/>
  <c r="BN764" i="4"/>
  <c r="BM764" i="4"/>
  <c r="BL764" i="4"/>
  <c r="BJ764" i="4"/>
  <c r="BK764" i="4" s="1"/>
  <c r="DO764" i="4" s="1"/>
  <c r="BI764" i="4"/>
  <c r="BH764" i="4"/>
  <c r="BG764" i="4"/>
  <c r="BE764" i="4"/>
  <c r="BF764" i="4" s="1"/>
  <c r="DN764" i="4" s="1"/>
  <c r="BD764" i="4"/>
  <c r="BC764" i="4"/>
  <c r="BB764" i="4"/>
  <c r="AZ764" i="4"/>
  <c r="BA764" i="4" s="1"/>
  <c r="DM764" i="4" s="1"/>
  <c r="AY764" i="4"/>
  <c r="AX764" i="4"/>
  <c r="AW764" i="4"/>
  <c r="AV764" i="4"/>
  <c r="DL764" i="4" s="1"/>
  <c r="AU764" i="4"/>
  <c r="AT764" i="4"/>
  <c r="AS764" i="4"/>
  <c r="AR764" i="4"/>
  <c r="AP764" i="4"/>
  <c r="AQ764" i="4" s="1"/>
  <c r="DK764" i="4" s="1"/>
  <c r="AO764" i="4"/>
  <c r="AN764" i="4"/>
  <c r="AM764" i="4"/>
  <c r="AK764" i="4"/>
  <c r="AL764" i="4" s="1"/>
  <c r="DJ764" i="4" s="1"/>
  <c r="AJ764" i="4"/>
  <c r="AI764" i="4"/>
  <c r="AH764" i="4"/>
  <c r="AF764" i="4"/>
  <c r="AG764" i="4" s="1"/>
  <c r="AB764" i="4"/>
  <c r="AB763" i="4"/>
  <c r="DH763" i="4" s="1"/>
  <c r="AB762" i="4"/>
  <c r="AB761" i="4"/>
  <c r="AB760" i="4"/>
  <c r="AB758" i="4"/>
  <c r="W764" i="4"/>
  <c r="DG764" i="4" s="1"/>
  <c r="W763" i="4"/>
  <c r="W762" i="4"/>
  <c r="W761" i="4"/>
  <c r="DG761" i="4" s="1"/>
  <c r="W760" i="4"/>
  <c r="DG760" i="4" s="1"/>
  <c r="W758" i="4"/>
  <c r="R764" i="4"/>
  <c r="DF764" i="4" s="1"/>
  <c r="R762" i="4"/>
  <c r="R760" i="4"/>
  <c r="R757" i="4"/>
  <c r="DF757" i="4" s="1"/>
  <c r="M764" i="4"/>
  <c r="M762" i="4"/>
  <c r="M760" i="4"/>
  <c r="M757" i="4"/>
  <c r="DE757" i="4" s="1"/>
  <c r="CO763" i="4"/>
  <c r="CP763" i="4" s="1"/>
  <c r="CD763" i="4"/>
  <c r="CE763" i="4" s="1"/>
  <c r="BZ763" i="4"/>
  <c r="DR763" i="4" s="1"/>
  <c r="BZ762" i="4"/>
  <c r="BZ761" i="4"/>
  <c r="BZ760" i="4"/>
  <c r="BZ759" i="4"/>
  <c r="DR759" i="4" s="1"/>
  <c r="BZ758" i="4"/>
  <c r="BU763" i="4"/>
  <c r="BU762" i="4"/>
  <c r="DQ762" i="4" s="1"/>
  <c r="BU761" i="4"/>
  <c r="BU760" i="4"/>
  <c r="BU759" i="4"/>
  <c r="BU758" i="4"/>
  <c r="DQ758" i="4" s="1"/>
  <c r="BU757" i="4"/>
  <c r="DQ757" i="4" s="1"/>
  <c r="BF763" i="4"/>
  <c r="BG763" i="4" s="1"/>
  <c r="BH763" i="4" s="1"/>
  <c r="BI763" i="4" s="1"/>
  <c r="BJ763" i="4" s="1"/>
  <c r="BK763" i="4" s="1"/>
  <c r="DO763" i="4" s="1"/>
  <c r="BC763" i="4"/>
  <c r="BB763" i="4"/>
  <c r="BA763" i="4"/>
  <c r="AV763" i="4"/>
  <c r="AV762" i="4"/>
  <c r="DL762" i="4" s="1"/>
  <c r="AV761" i="4"/>
  <c r="AV759" i="4"/>
  <c r="AV757" i="4"/>
  <c r="AQ763" i="4"/>
  <c r="DK763" i="4" s="1"/>
  <c r="AQ762" i="4"/>
  <c r="AQ761" i="4"/>
  <c r="AQ759" i="4"/>
  <c r="AQ758" i="4"/>
  <c r="DK758" i="4" s="1"/>
  <c r="AQ757" i="4"/>
  <c r="AL763" i="4"/>
  <c r="AL762" i="4"/>
  <c r="AL759" i="4"/>
  <c r="AL685" i="4" s="1"/>
  <c r="AL758" i="4"/>
  <c r="AL757" i="4"/>
  <c r="AG763" i="4"/>
  <c r="AG762" i="4"/>
  <c r="DI762" i="4" s="1"/>
  <c r="AG761" i="4"/>
  <c r="DI761" i="4" s="1"/>
  <c r="AG760" i="4"/>
  <c r="AG758" i="4"/>
  <c r="DI758" i="4" s="1"/>
  <c r="U763" i="4"/>
  <c r="T761" i="4" s="1"/>
  <c r="CO762" i="4"/>
  <c r="DU762" i="4" s="1"/>
  <c r="CO761" i="4"/>
  <c r="CO760" i="4"/>
  <c r="CO759" i="4"/>
  <c r="CO685" i="4" s="1"/>
  <c r="CO758" i="4"/>
  <c r="DU758" i="4" s="1"/>
  <c r="CO757" i="4"/>
  <c r="CJ762" i="4"/>
  <c r="CJ761" i="4"/>
  <c r="CJ685" i="4" s="1"/>
  <c r="CJ760" i="4"/>
  <c r="CJ759" i="4"/>
  <c r="CJ758" i="4"/>
  <c r="CJ757" i="4"/>
  <c r="DT757" i="4" s="1"/>
  <c r="CE762" i="4"/>
  <c r="CE761" i="4"/>
  <c r="CE760" i="4"/>
  <c r="CE759" i="4"/>
  <c r="CE758" i="4"/>
  <c r="CE757" i="4"/>
  <c r="BP762" i="4"/>
  <c r="BP761" i="4"/>
  <c r="BP760" i="4"/>
  <c r="BP759" i="4"/>
  <c r="BP758" i="4"/>
  <c r="BP757" i="4"/>
  <c r="DP757" i="4" s="1"/>
  <c r="BK762" i="4"/>
  <c r="BK761" i="4"/>
  <c r="BK758" i="4"/>
  <c r="BK757" i="4"/>
  <c r="DO757" i="4" s="1"/>
  <c r="BF762" i="4"/>
  <c r="BF761" i="4"/>
  <c r="DN761" i="4" s="1"/>
  <c r="BF760" i="4"/>
  <c r="DN760" i="4" s="1"/>
  <c r="BF759" i="4"/>
  <c r="BF758" i="4"/>
  <c r="BA762" i="4"/>
  <c r="DM762" i="4" s="1"/>
  <c r="BA761" i="4"/>
  <c r="DM761" i="4" s="1"/>
  <c r="BA759" i="4"/>
  <c r="O762" i="4"/>
  <c r="AX761" i="4"/>
  <c r="AM761" i="4"/>
  <c r="AK761" i="4"/>
  <c r="AL761" i="4" s="1"/>
  <c r="DJ761" i="4" s="1"/>
  <c r="BD760" i="4"/>
  <c r="BD759" i="4"/>
  <c r="BD685" i="4" s="1"/>
  <c r="AJ760" i="4"/>
  <c r="AD760" i="4"/>
  <c r="AC760" i="4"/>
  <c r="X760" i="4"/>
  <c r="BG760" i="4"/>
  <c r="AI759" i="4"/>
  <c r="AH759" i="4"/>
  <c r="AF759" i="4"/>
  <c r="AA759" i="4"/>
  <c r="V759" i="4"/>
  <c r="U759" i="4"/>
  <c r="T759" i="4"/>
  <c r="S759" i="4"/>
  <c r="L759" i="4"/>
  <c r="M759" i="4" s="1"/>
  <c r="DE759" i="4" s="1"/>
  <c r="L758" i="4"/>
  <c r="M758" i="4" s="1"/>
  <c r="DE758" i="4" s="1"/>
  <c r="AZ758" i="4"/>
  <c r="BA758" i="4" s="1"/>
  <c r="DM758" i="4" s="1"/>
  <c r="AY758" i="4"/>
  <c r="AX758" i="4"/>
  <c r="AW758" i="4"/>
  <c r="AU758" i="4"/>
  <c r="AV758" i="4" s="1"/>
  <c r="DL758" i="4" s="1"/>
  <c r="AT758" i="4"/>
  <c r="AS758" i="4"/>
  <c r="AR758" i="4"/>
  <c r="U758" i="4"/>
  <c r="T758" i="4"/>
  <c r="S758" i="4"/>
  <c r="Q759" i="4"/>
  <c r="P759" i="4"/>
  <c r="O759" i="4"/>
  <c r="N759" i="4"/>
  <c r="Q758" i="4"/>
  <c r="R758" i="4" s="1"/>
  <c r="DF758" i="4" s="1"/>
  <c r="P758" i="4"/>
  <c r="O758" i="4"/>
  <c r="N758" i="4"/>
  <c r="K758" i="4"/>
  <c r="J758" i="4"/>
  <c r="I758" i="4"/>
  <c r="DQ764" i="4"/>
  <c r="DI764" i="4"/>
  <c r="DH764" i="4"/>
  <c r="DE764" i="4"/>
  <c r="DU763" i="4"/>
  <c r="DQ763" i="4"/>
  <c r="DN763" i="4"/>
  <c r="DM763" i="4"/>
  <c r="DL763" i="4"/>
  <c r="DJ763" i="4"/>
  <c r="DI763" i="4"/>
  <c r="DG763" i="4"/>
  <c r="DT762" i="4"/>
  <c r="DS762" i="4"/>
  <c r="DR762" i="4"/>
  <c r="DP762" i="4"/>
  <c r="DO762" i="4"/>
  <c r="DN762" i="4"/>
  <c r="DK762" i="4"/>
  <c r="DJ762" i="4"/>
  <c r="DH762" i="4"/>
  <c r="DG762" i="4"/>
  <c r="DF762" i="4"/>
  <c r="DE762" i="4"/>
  <c r="DU761" i="4"/>
  <c r="DS761" i="4"/>
  <c r="DR761" i="4"/>
  <c r="DO761" i="4"/>
  <c r="DL761" i="4"/>
  <c r="DK761" i="4"/>
  <c r="DH761" i="4"/>
  <c r="DU760" i="4"/>
  <c r="DT760" i="4"/>
  <c r="DS760" i="4"/>
  <c r="DR760" i="4"/>
  <c r="DQ760" i="4"/>
  <c r="DP760" i="4"/>
  <c r="DI760" i="4"/>
  <c r="DH760" i="4"/>
  <c r="DE760" i="4"/>
  <c r="DT759" i="4"/>
  <c r="DQ759" i="4"/>
  <c r="DP759" i="4"/>
  <c r="DL759" i="4"/>
  <c r="DT758" i="4"/>
  <c r="DS758" i="4"/>
  <c r="DR758" i="4"/>
  <c r="DP758" i="4"/>
  <c r="DO758" i="4"/>
  <c r="DN758" i="4"/>
  <c r="DJ758" i="4"/>
  <c r="DH758" i="4"/>
  <c r="DG758" i="4"/>
  <c r="DU757" i="4"/>
  <c r="DS757" i="4"/>
  <c r="DL757" i="4"/>
  <c r="DK757" i="4"/>
  <c r="DJ757" i="4"/>
  <c r="CS763" i="4"/>
  <c r="CT763" i="4" s="1"/>
  <c r="CU763" i="4" s="1"/>
  <c r="CV763" i="4" s="1"/>
  <c r="CW763" i="4" s="1"/>
  <c r="CX763" i="4" s="1"/>
  <c r="CY763" i="4" s="1"/>
  <c r="CS762" i="4"/>
  <c r="CT762" i="4" s="1"/>
  <c r="DV762" i="4" s="1"/>
  <c r="CS761" i="4"/>
  <c r="CT761" i="4" s="1"/>
  <c r="CS759" i="4"/>
  <c r="CS757" i="4"/>
  <c r="CT757" i="4" s="1"/>
  <c r="CB757" i="4"/>
  <c r="CA757" i="4"/>
  <c r="BY757" i="4"/>
  <c r="BZ757" i="4" s="1"/>
  <c r="DR757" i="4" s="1"/>
  <c r="BW757" i="4"/>
  <c r="BT757" i="4"/>
  <c r="BR757" i="4"/>
  <c r="BQ757" i="4"/>
  <c r="BO757" i="4"/>
  <c r="BN757" i="4"/>
  <c r="BM757" i="4"/>
  <c r="BL757" i="4"/>
  <c r="BH757" i="4"/>
  <c r="BG757" i="4"/>
  <c r="BE757" i="4"/>
  <c r="BF757" i="4" s="1"/>
  <c r="DN757" i="4" s="1"/>
  <c r="BD757" i="4"/>
  <c r="BC757" i="4"/>
  <c r="BB757" i="4"/>
  <c r="AZ757" i="4"/>
  <c r="BA757" i="4" s="1"/>
  <c r="DM757" i="4" s="1"/>
  <c r="AY757" i="4"/>
  <c r="AX757" i="4"/>
  <c r="AJ757" i="4"/>
  <c r="AI757" i="4"/>
  <c r="AH757" i="4"/>
  <c r="AF757" i="4"/>
  <c r="AG757" i="4" s="1"/>
  <c r="DI757" i="4" s="1"/>
  <c r="AE757" i="4"/>
  <c r="AD757" i="4"/>
  <c r="AC757" i="4"/>
  <c r="AA757" i="4"/>
  <c r="AB757" i="4" s="1"/>
  <c r="DH757" i="4" s="1"/>
  <c r="Z757" i="4"/>
  <c r="Y757" i="4"/>
  <c r="X757" i="4"/>
  <c r="V757" i="4"/>
  <c r="W757" i="4" s="1"/>
  <c r="DG757" i="4" s="1"/>
  <c r="U757" i="4"/>
  <c r="T757" i="4"/>
  <c r="S757" i="4"/>
  <c r="CO755" i="4"/>
  <c r="DU755" i="4" s="1"/>
  <c r="CN755" i="4"/>
  <c r="CI755" i="4"/>
  <c r="CH755" i="4"/>
  <c r="CG755" i="4"/>
  <c r="CF755" i="4"/>
  <c r="CD755" i="4"/>
  <c r="CC755" i="4"/>
  <c r="CB755" i="4"/>
  <c r="CA755" i="4"/>
  <c r="BY755" i="4"/>
  <c r="BX755" i="4"/>
  <c r="BW755" i="4"/>
  <c r="BV755" i="4"/>
  <c r="BT755" i="4"/>
  <c r="BS755" i="4"/>
  <c r="BR755" i="4"/>
  <c r="BQ755" i="4"/>
  <c r="BO755" i="4"/>
  <c r="BO941" i="4" s="1"/>
  <c r="BN755" i="4"/>
  <c r="BN941" i="4" s="1"/>
  <c r="BN943" i="4" s="1"/>
  <c r="BM755" i="4"/>
  <c r="BM941" i="4" s="1"/>
  <c r="BM943" i="4" s="1"/>
  <c r="BL755" i="4"/>
  <c r="BL941" i="4" s="1"/>
  <c r="BL943" i="4" s="1"/>
  <c r="BJ755" i="4"/>
  <c r="BJ941" i="4" s="1"/>
  <c r="BI755" i="4"/>
  <c r="BI941" i="4" s="1"/>
  <c r="BI943" i="4" s="1"/>
  <c r="BH755" i="4"/>
  <c r="BH941" i="4" s="1"/>
  <c r="BH943" i="4" s="1"/>
  <c r="BG755" i="4"/>
  <c r="BG941" i="4" s="1"/>
  <c r="BG943" i="4" s="1"/>
  <c r="BB755" i="4"/>
  <c r="BB941" i="4" s="1"/>
  <c r="BB943" i="4" s="1"/>
  <c r="AZ755" i="4"/>
  <c r="AZ941" i="4" s="1"/>
  <c r="AY755" i="4"/>
  <c r="AY941" i="4" s="1"/>
  <c r="AY943" i="4" s="1"/>
  <c r="AW755" i="4"/>
  <c r="AW941" i="4" s="1"/>
  <c r="AW943" i="4" s="1"/>
  <c r="AU755" i="4"/>
  <c r="AU941" i="4" s="1"/>
  <c r="AT755" i="4"/>
  <c r="AT941" i="4" s="1"/>
  <c r="AT943" i="4" s="1"/>
  <c r="AS755" i="4"/>
  <c r="AS941" i="4" s="1"/>
  <c r="AS943" i="4" s="1"/>
  <c r="AR755" i="4"/>
  <c r="AR941" i="4" s="1"/>
  <c r="AR943" i="4" s="1"/>
  <c r="AP755" i="4"/>
  <c r="AP941" i="4" s="1"/>
  <c r="AO755" i="4"/>
  <c r="AO941" i="4" s="1"/>
  <c r="AO943" i="4" s="1"/>
  <c r="AN755" i="4"/>
  <c r="AN941" i="4" s="1"/>
  <c r="AN943" i="4" s="1"/>
  <c r="AM755" i="4"/>
  <c r="AM941" i="4" s="1"/>
  <c r="AM943" i="4" s="1"/>
  <c r="AK755" i="4"/>
  <c r="AK941" i="4" s="1"/>
  <c r="CJ754" i="4"/>
  <c r="CE754" i="4"/>
  <c r="DS754" i="4" s="1"/>
  <c r="CE753" i="4"/>
  <c r="BZ754" i="4"/>
  <c r="BZ753" i="4"/>
  <c r="BZ755" i="4" s="1"/>
  <c r="DR755" i="4" s="1"/>
  <c r="BU754" i="4"/>
  <c r="DQ754" i="4" s="1"/>
  <c r="BU753" i="4"/>
  <c r="DQ753" i="4" s="1"/>
  <c r="BP754" i="4"/>
  <c r="BP753" i="4"/>
  <c r="BK754" i="4"/>
  <c r="DO754" i="4" s="1"/>
  <c r="BK753" i="4"/>
  <c r="H30" i="58" s="1"/>
  <c r="BF754" i="4"/>
  <c r="BF753" i="4"/>
  <c r="BA754" i="4"/>
  <c r="DM754" i="4" s="1"/>
  <c r="BA753" i="4"/>
  <c r="F30" i="58" s="1"/>
  <c r="AX754" i="4"/>
  <c r="AX942" i="4" s="1"/>
  <c r="AV754" i="4"/>
  <c r="AV753" i="4"/>
  <c r="E30" i="58" s="1"/>
  <c r="AQ754" i="4"/>
  <c r="DK754" i="4" s="1"/>
  <c r="AQ753" i="4"/>
  <c r="AQ755" i="4" s="1"/>
  <c r="DK755" i="4" s="1"/>
  <c r="AL754" i="4"/>
  <c r="DJ754" i="4" s="1"/>
  <c r="AL753" i="4"/>
  <c r="AB754" i="4"/>
  <c r="W754" i="4"/>
  <c r="R754" i="4"/>
  <c r="DF754" i="4" s="1"/>
  <c r="M754" i="4"/>
  <c r="DT754" i="4"/>
  <c r="DR754" i="4"/>
  <c r="DP754" i="4"/>
  <c r="DN754" i="4"/>
  <c r="DL754" i="4"/>
  <c r="DS753" i="4"/>
  <c r="DR753" i="4"/>
  <c r="DO753" i="4"/>
  <c r="DK753" i="4"/>
  <c r="CO754" i="4"/>
  <c r="DU754" i="4" s="1"/>
  <c r="CO753" i="4"/>
  <c r="DU753" i="4" s="1"/>
  <c r="CJ753" i="4"/>
  <c r="AG754" i="4"/>
  <c r="DI754" i="4" s="1"/>
  <c r="AF753" i="4"/>
  <c r="AF755" i="4" s="1"/>
  <c r="AF941" i="4" s="1"/>
  <c r="AA753" i="4"/>
  <c r="AB753" i="4" s="1"/>
  <c r="V753" i="4"/>
  <c r="Q753" i="4"/>
  <c r="Q755" i="4" s="1"/>
  <c r="Q941" i="4" s="1"/>
  <c r="BE751" i="4"/>
  <c r="BB751" i="4"/>
  <c r="AZ751" i="4"/>
  <c r="AY751" i="4"/>
  <c r="AF751" i="4"/>
  <c r="AA751" i="4"/>
  <c r="V751" i="4"/>
  <c r="CO750" i="4"/>
  <c r="DU750" i="4" s="1"/>
  <c r="CN750" i="4"/>
  <c r="CL750" i="4"/>
  <c r="CK750" i="4"/>
  <c r="CJ750" i="4"/>
  <c r="DT750" i="4" s="1"/>
  <c r="CI750" i="4"/>
  <c r="CH750" i="4"/>
  <c r="CG750" i="4"/>
  <c r="CF750" i="4"/>
  <c r="CD750" i="4"/>
  <c r="CE750" i="4" s="1"/>
  <c r="DS750" i="4" s="1"/>
  <c r="BY750" i="4"/>
  <c r="BZ750" i="4" s="1"/>
  <c r="BX750" i="4"/>
  <c r="BU750" i="4"/>
  <c r="BU749" i="4"/>
  <c r="BU748" i="4"/>
  <c r="DQ748" i="4" s="1"/>
  <c r="BU747" i="4"/>
  <c r="DQ747" i="4" s="1"/>
  <c r="BU746" i="4"/>
  <c r="BP750" i="4"/>
  <c r="DP750" i="4" s="1"/>
  <c r="BP749" i="4"/>
  <c r="DP749" i="4" s="1"/>
  <c r="BP748" i="4"/>
  <c r="DP748" i="4" s="1"/>
  <c r="BP747" i="4"/>
  <c r="BK750" i="4"/>
  <c r="BK748" i="4"/>
  <c r="DO748" i="4" s="1"/>
  <c r="BK747" i="4"/>
  <c r="DO747" i="4" s="1"/>
  <c r="BF750" i="4"/>
  <c r="BG750" i="4" s="1"/>
  <c r="BA750" i="4"/>
  <c r="BA749" i="4"/>
  <c r="BA748" i="4"/>
  <c r="DM748" i="4" s="1"/>
  <c r="BA747" i="4"/>
  <c r="AX750" i="4"/>
  <c r="AX751" i="4" s="1"/>
  <c r="AW750" i="4"/>
  <c r="AW751" i="4" s="1"/>
  <c r="AV750" i="4"/>
  <c r="DL750" i="4" s="1"/>
  <c r="AU750" i="4"/>
  <c r="AU751" i="4" s="1"/>
  <c r="AT750" i="4"/>
  <c r="AT751" i="4" s="1"/>
  <c r="AS750" i="4"/>
  <c r="AS751" i="4" s="1"/>
  <c r="AR750" i="4"/>
  <c r="AR751" i="4" s="1"/>
  <c r="AP750" i="4"/>
  <c r="AP751" i="4" s="1"/>
  <c r="AO750" i="4"/>
  <c r="AO751" i="4" s="1"/>
  <c r="AN750" i="4"/>
  <c r="AN751" i="4" s="1"/>
  <c r="AM750" i="4"/>
  <c r="AK750" i="4"/>
  <c r="AL750" i="4" s="1"/>
  <c r="DJ750" i="4" s="1"/>
  <c r="AG750" i="4"/>
  <c r="DI750" i="4" s="1"/>
  <c r="AG749" i="4"/>
  <c r="DI749" i="4" s="1"/>
  <c r="AG748" i="4"/>
  <c r="AG747" i="4"/>
  <c r="AB750" i="4"/>
  <c r="DH750" i="4" s="1"/>
  <c r="AB749" i="4"/>
  <c r="AB748" i="4"/>
  <c r="AB747" i="4"/>
  <c r="DH747" i="4" s="1"/>
  <c r="AB746" i="4"/>
  <c r="DH746" i="4" s="1"/>
  <c r="W750" i="4"/>
  <c r="W749" i="4"/>
  <c r="W748" i="4"/>
  <c r="DG748" i="4" s="1"/>
  <c r="W747" i="4"/>
  <c r="DG747" i="4" s="1"/>
  <c r="W746" i="4"/>
  <c r="Q750" i="4"/>
  <c r="R750" i="4" s="1"/>
  <c r="DF750" i="4" s="1"/>
  <c r="L750" i="4"/>
  <c r="M750" i="4" s="1"/>
  <c r="DE750" i="4" s="1"/>
  <c r="CO749" i="4"/>
  <c r="DU749" i="4" s="1"/>
  <c r="CO748" i="4"/>
  <c r="DU748" i="4" s="1"/>
  <c r="CO747" i="4"/>
  <c r="CO746" i="4"/>
  <c r="CJ749" i="4"/>
  <c r="DT749" i="4" s="1"/>
  <c r="CJ748" i="4"/>
  <c r="CJ746" i="4"/>
  <c r="DT746" i="4" s="1"/>
  <c r="CE749" i="4"/>
  <c r="CE748" i="4"/>
  <c r="DS748" i="4" s="1"/>
  <c r="CE747" i="4"/>
  <c r="DS747" i="4" s="1"/>
  <c r="CE746" i="4"/>
  <c r="DS746" i="4" s="1"/>
  <c r="BZ749" i="4"/>
  <c r="BZ748" i="4"/>
  <c r="DR748" i="4" s="1"/>
  <c r="BZ747" i="4"/>
  <c r="DR747" i="4" s="1"/>
  <c r="BZ746" i="4"/>
  <c r="BN749" i="4"/>
  <c r="BN751" i="4" s="1"/>
  <c r="BM749" i="4"/>
  <c r="BM751" i="4" s="1"/>
  <c r="BL749" i="4"/>
  <c r="BL751" i="4" s="1"/>
  <c r="BJ749" i="4"/>
  <c r="BJ751" i="4" s="1"/>
  <c r="BI749" i="4"/>
  <c r="BI751" i="4" s="1"/>
  <c r="BH749" i="4"/>
  <c r="BH751" i="4" s="1"/>
  <c r="BG749" i="4"/>
  <c r="BF749" i="4"/>
  <c r="BC750" i="4"/>
  <c r="BD749" i="4"/>
  <c r="BC749" i="4"/>
  <c r="AV749" i="4"/>
  <c r="DL749" i="4" s="1"/>
  <c r="AV748" i="4"/>
  <c r="DL748" i="4" s="1"/>
  <c r="AV747" i="4"/>
  <c r="AQ749" i="4"/>
  <c r="AQ748" i="4"/>
  <c r="AQ747" i="4"/>
  <c r="AM749" i="4"/>
  <c r="AM751" i="4" s="1"/>
  <c r="AK749" i="4"/>
  <c r="AK751" i="4" s="1"/>
  <c r="AH749" i="4"/>
  <c r="AI749" i="4" s="1"/>
  <c r="R749" i="4"/>
  <c r="R746" i="4"/>
  <c r="M749" i="4"/>
  <c r="DE749" i="4" s="1"/>
  <c r="M746" i="4"/>
  <c r="BF748" i="4"/>
  <c r="DN748" i="4" s="1"/>
  <c r="BF747" i="4"/>
  <c r="AL748" i="4"/>
  <c r="DJ748" i="4" s="1"/>
  <c r="AL747" i="4"/>
  <c r="DJ747" i="4" s="1"/>
  <c r="CI747" i="4"/>
  <c r="CJ747" i="4" s="1"/>
  <c r="DT747" i="4" s="1"/>
  <c r="Q748" i="4"/>
  <c r="R748" i="4" s="1"/>
  <c r="P748" i="4"/>
  <c r="O748" i="4" s="1"/>
  <c r="Q747" i="4"/>
  <c r="L748" i="4"/>
  <c r="M748" i="4" s="1"/>
  <c r="DE748" i="4" s="1"/>
  <c r="K748" i="4"/>
  <c r="L747" i="4"/>
  <c r="M747" i="4" s="1"/>
  <c r="H747" i="4"/>
  <c r="DR750" i="4"/>
  <c r="DQ750" i="4"/>
  <c r="DO750" i="4"/>
  <c r="DN750" i="4"/>
  <c r="DM750" i="4"/>
  <c r="DG750" i="4"/>
  <c r="DS749" i="4"/>
  <c r="DR749" i="4"/>
  <c r="DQ749" i="4"/>
  <c r="DN749" i="4"/>
  <c r="DM749" i="4"/>
  <c r="DK749" i="4"/>
  <c r="DH749" i="4"/>
  <c r="DG749" i="4"/>
  <c r="DF749" i="4"/>
  <c r="DT748" i="4"/>
  <c r="DK748" i="4"/>
  <c r="DI748" i="4"/>
  <c r="DH748" i="4"/>
  <c r="DU747" i="4"/>
  <c r="DP747" i="4"/>
  <c r="DN747" i="4"/>
  <c r="DM747" i="4"/>
  <c r="DL747" i="4"/>
  <c r="DK747" i="4"/>
  <c r="DI747" i="4"/>
  <c r="DE747" i="4"/>
  <c r="DU746" i="4"/>
  <c r="DR746" i="4"/>
  <c r="DQ746" i="4"/>
  <c r="DG746" i="4"/>
  <c r="DF746" i="4"/>
  <c r="DO745" i="4"/>
  <c r="DN745" i="4"/>
  <c r="DM745" i="4"/>
  <c r="DL745" i="4"/>
  <c r="DK745" i="4"/>
  <c r="DJ745" i="4"/>
  <c r="DI745" i="4"/>
  <c r="DH745" i="4"/>
  <c r="DG745" i="4"/>
  <c r="DF745" i="4"/>
  <c r="DE745" i="4"/>
  <c r="CS749" i="4"/>
  <c r="CT749" i="4" s="1"/>
  <c r="CS748" i="4"/>
  <c r="CT748" i="4" s="1"/>
  <c r="CS747" i="4"/>
  <c r="CT747" i="4" s="1"/>
  <c r="DA742" i="4"/>
  <c r="DY742" i="4" s="1"/>
  <c r="CZ742" i="4"/>
  <c r="DX742" i="4" s="1"/>
  <c r="CY742" i="4"/>
  <c r="DW742" i="4" s="1"/>
  <c r="CX742" i="4"/>
  <c r="CW742" i="4"/>
  <c r="CV742" i="4"/>
  <c r="CU742" i="4"/>
  <c r="CT742" i="4"/>
  <c r="DV742" i="4" s="1"/>
  <c r="CS742" i="4"/>
  <c r="CR742" i="4"/>
  <c r="CQ742" i="4"/>
  <c r="CP742" i="4"/>
  <c r="CO742" i="4"/>
  <c r="DU742" i="4" s="1"/>
  <c r="CN742" i="4"/>
  <c r="CM742" i="4"/>
  <c r="CL742" i="4"/>
  <c r="CK742" i="4"/>
  <c r="CJ742" i="4"/>
  <c r="DT742" i="4" s="1"/>
  <c r="CI742" i="4"/>
  <c r="CH742" i="4"/>
  <c r="CG742" i="4"/>
  <c r="CF742" i="4"/>
  <c r="CE742" i="4"/>
  <c r="DS742" i="4" s="1"/>
  <c r="CD742" i="4"/>
  <c r="CC742" i="4"/>
  <c r="CB742" i="4"/>
  <c r="CA742" i="4"/>
  <c r="BZ742" i="4"/>
  <c r="DR742" i="4" s="1"/>
  <c r="BY742" i="4"/>
  <c r="BX742" i="4"/>
  <c r="BW742" i="4"/>
  <c r="BV742" i="4"/>
  <c r="BU742" i="4"/>
  <c r="DQ742" i="4" s="1"/>
  <c r="BT742" i="4"/>
  <c r="BS742" i="4"/>
  <c r="BR742" i="4"/>
  <c r="BQ742" i="4"/>
  <c r="BP742" i="4"/>
  <c r="DP742" i="4" s="1"/>
  <c r="BO742" i="4"/>
  <c r="BN742" i="4"/>
  <c r="BM742" i="4"/>
  <c r="BL742" i="4"/>
  <c r="BK742" i="4"/>
  <c r="DO742" i="4" s="1"/>
  <c r="BJ742" i="4"/>
  <c r="BI742" i="4"/>
  <c r="BH742" i="4"/>
  <c r="BG742" i="4"/>
  <c r="BF742" i="4"/>
  <c r="DN742" i="4" s="1"/>
  <c r="BE742" i="4"/>
  <c r="BD742" i="4"/>
  <c r="BC742" i="4"/>
  <c r="BB742" i="4"/>
  <c r="BA742" i="4"/>
  <c r="DM742" i="4" s="1"/>
  <c r="AZ742" i="4"/>
  <c r="AY742" i="4"/>
  <c r="AX742" i="4"/>
  <c r="AW742" i="4"/>
  <c r="AV742" i="4"/>
  <c r="DL742" i="4" s="1"/>
  <c r="AU742" i="4"/>
  <c r="AT742" i="4"/>
  <c r="AS742" i="4"/>
  <c r="AR742" i="4"/>
  <c r="AQ742" i="4"/>
  <c r="DK742" i="4" s="1"/>
  <c r="AP742" i="4"/>
  <c r="AO742" i="4"/>
  <c r="AN742" i="4"/>
  <c r="AM742" i="4"/>
  <c r="AL742" i="4"/>
  <c r="DJ742" i="4" s="1"/>
  <c r="AK742" i="4"/>
  <c r="AJ742" i="4"/>
  <c r="AI742" i="4"/>
  <c r="AH742" i="4"/>
  <c r="AG742" i="4"/>
  <c r="DI742" i="4" s="1"/>
  <c r="AF742" i="4"/>
  <c r="AE742" i="4"/>
  <c r="AD742" i="4"/>
  <c r="AC742" i="4"/>
  <c r="AB742" i="4"/>
  <c r="DH742" i="4" s="1"/>
  <c r="AA742" i="4"/>
  <c r="Z742" i="4"/>
  <c r="Y742" i="4"/>
  <c r="X742" i="4"/>
  <c r="W742" i="4"/>
  <c r="DG742" i="4" s="1"/>
  <c r="V742" i="4"/>
  <c r="U742" i="4"/>
  <c r="T742" i="4"/>
  <c r="S742" i="4"/>
  <c r="R742" i="4"/>
  <c r="DF742" i="4" s="1"/>
  <c r="Q742" i="4"/>
  <c r="P742" i="4"/>
  <c r="O742" i="4"/>
  <c r="N742" i="4"/>
  <c r="M742" i="4"/>
  <c r="DE742" i="4" s="1"/>
  <c r="L742" i="4"/>
  <c r="K742" i="4"/>
  <c r="J742" i="4"/>
  <c r="I742" i="4"/>
  <c r="AZ739" i="4"/>
  <c r="AY739" i="4"/>
  <c r="AX739" i="4"/>
  <c r="AW739" i="4"/>
  <c r="AR739" i="4"/>
  <c r="AM739" i="4"/>
  <c r="AH739" i="4"/>
  <c r="AW738" i="4"/>
  <c r="AR738" i="4"/>
  <c r="AM738" i="4"/>
  <c r="AH738" i="4"/>
  <c r="AC739" i="4"/>
  <c r="AC738" i="4"/>
  <c r="AS737" i="4"/>
  <c r="AS736" i="4"/>
  <c r="AT736" i="4" s="1"/>
  <c r="AU736" i="4" s="1"/>
  <c r="AS735" i="4"/>
  <c r="AT735" i="4" s="1"/>
  <c r="AU735" i="4" s="1"/>
  <c r="AS734" i="4"/>
  <c r="AS733" i="4"/>
  <c r="AS732" i="4"/>
  <c r="AS731" i="4"/>
  <c r="AS730" i="4"/>
  <c r="AT732" i="4"/>
  <c r="AT731" i="4"/>
  <c r="DY739" i="4"/>
  <c r="DX739" i="4"/>
  <c r="DW739" i="4"/>
  <c r="DV739" i="4"/>
  <c r="DU739" i="4"/>
  <c r="DT739" i="4"/>
  <c r="DS739" i="4"/>
  <c r="DR739" i="4"/>
  <c r="DQ739" i="4"/>
  <c r="DP739" i="4"/>
  <c r="DO739" i="4"/>
  <c r="DN739" i="4"/>
  <c r="DM739" i="4"/>
  <c r="DI739" i="4"/>
  <c r="DH739" i="4"/>
  <c r="DG739" i="4"/>
  <c r="DF739" i="4"/>
  <c r="DE739" i="4"/>
  <c r="DY738" i="4"/>
  <c r="DX738" i="4"/>
  <c r="DW738" i="4"/>
  <c r="DV738" i="4"/>
  <c r="DU738" i="4"/>
  <c r="DT738" i="4"/>
  <c r="DS738" i="4"/>
  <c r="DR738" i="4"/>
  <c r="DQ738" i="4"/>
  <c r="DP738" i="4"/>
  <c r="DO738" i="4"/>
  <c r="DN738" i="4"/>
  <c r="DM738" i="4"/>
  <c r="DI738" i="4"/>
  <c r="DH738" i="4"/>
  <c r="DG738" i="4"/>
  <c r="DF738" i="4"/>
  <c r="DE738" i="4"/>
  <c r="DY737" i="4"/>
  <c r="DX737" i="4"/>
  <c r="DW737" i="4"/>
  <c r="DV737" i="4"/>
  <c r="DU737" i="4"/>
  <c r="DT737" i="4"/>
  <c r="DS737" i="4"/>
  <c r="DR737" i="4"/>
  <c r="DQ737" i="4"/>
  <c r="DP737" i="4"/>
  <c r="DO737" i="4"/>
  <c r="DN737" i="4"/>
  <c r="DM737" i="4"/>
  <c r="DI737" i="4"/>
  <c r="DH737" i="4"/>
  <c r="DG737" i="4"/>
  <c r="DF737" i="4"/>
  <c r="DE737" i="4"/>
  <c r="DY736" i="4"/>
  <c r="DX736" i="4"/>
  <c r="DW736" i="4"/>
  <c r="DV736" i="4"/>
  <c r="DU736" i="4"/>
  <c r="DT736" i="4"/>
  <c r="DS736" i="4"/>
  <c r="DR736" i="4"/>
  <c r="DQ736" i="4"/>
  <c r="DP736" i="4"/>
  <c r="DO736" i="4"/>
  <c r="DN736" i="4"/>
  <c r="DM736" i="4"/>
  <c r="DI736" i="4"/>
  <c r="DH736" i="4"/>
  <c r="DG736" i="4"/>
  <c r="DF736" i="4"/>
  <c r="DE736" i="4"/>
  <c r="DY735" i="4"/>
  <c r="DX735" i="4"/>
  <c r="DW735" i="4"/>
  <c r="DV735" i="4"/>
  <c r="DU735" i="4"/>
  <c r="DT735" i="4"/>
  <c r="DS735" i="4"/>
  <c r="DR735" i="4"/>
  <c r="DQ735" i="4"/>
  <c r="DP735" i="4"/>
  <c r="DO735" i="4"/>
  <c r="DN735" i="4"/>
  <c r="DM735" i="4"/>
  <c r="DI735" i="4"/>
  <c r="DH735" i="4"/>
  <c r="DG735" i="4"/>
  <c r="DF735" i="4"/>
  <c r="DE735" i="4"/>
  <c r="DY734" i="4"/>
  <c r="DX734" i="4"/>
  <c r="DW734" i="4"/>
  <c r="DV734" i="4"/>
  <c r="DU734" i="4"/>
  <c r="DT734" i="4"/>
  <c r="DS734" i="4"/>
  <c r="DR734" i="4"/>
  <c r="DQ734" i="4"/>
  <c r="DP734" i="4"/>
  <c r="DO734" i="4"/>
  <c r="DN734" i="4"/>
  <c r="DM734" i="4"/>
  <c r="DI734" i="4"/>
  <c r="DH734" i="4"/>
  <c r="DG734" i="4"/>
  <c r="DF734" i="4"/>
  <c r="DE734" i="4"/>
  <c r="DY733" i="4"/>
  <c r="DX733" i="4"/>
  <c r="DW733" i="4"/>
  <c r="DV733" i="4"/>
  <c r="DU733" i="4"/>
  <c r="DT733" i="4"/>
  <c r="DS733" i="4"/>
  <c r="DR733" i="4"/>
  <c r="DQ733" i="4"/>
  <c r="DP733" i="4"/>
  <c r="DO733" i="4"/>
  <c r="DN733" i="4"/>
  <c r="DM733" i="4"/>
  <c r="DI733" i="4"/>
  <c r="DH733" i="4"/>
  <c r="DG733" i="4"/>
  <c r="DF733" i="4"/>
  <c r="DE733" i="4"/>
  <c r="DY732" i="4"/>
  <c r="DX732" i="4"/>
  <c r="DW732" i="4"/>
  <c r="DV732" i="4"/>
  <c r="DU732" i="4"/>
  <c r="DT732" i="4"/>
  <c r="DS732" i="4"/>
  <c r="DR732" i="4"/>
  <c r="DQ732" i="4"/>
  <c r="DP732" i="4"/>
  <c r="DO732" i="4"/>
  <c r="DN732" i="4"/>
  <c r="DM732" i="4"/>
  <c r="DI732" i="4"/>
  <c r="DH732" i="4"/>
  <c r="DG732" i="4"/>
  <c r="DF732" i="4"/>
  <c r="DE732" i="4"/>
  <c r="DY731" i="4"/>
  <c r="DX731" i="4"/>
  <c r="DW731" i="4"/>
  <c r="DV731" i="4"/>
  <c r="DU731" i="4"/>
  <c r="DT731" i="4"/>
  <c r="DS731" i="4"/>
  <c r="DR731" i="4"/>
  <c r="DQ731" i="4"/>
  <c r="DP731" i="4"/>
  <c r="DO731" i="4"/>
  <c r="DN731" i="4"/>
  <c r="DM731" i="4"/>
  <c r="DI731" i="4"/>
  <c r="DH731" i="4"/>
  <c r="DG731" i="4"/>
  <c r="DF731" i="4"/>
  <c r="DE731" i="4"/>
  <c r="DY730" i="4"/>
  <c r="DX730" i="4"/>
  <c r="DW730" i="4"/>
  <c r="DV730" i="4"/>
  <c r="DU730" i="4"/>
  <c r="DT730" i="4"/>
  <c r="DS730" i="4"/>
  <c r="DR730" i="4"/>
  <c r="DQ730" i="4"/>
  <c r="DP730" i="4"/>
  <c r="DO730" i="4"/>
  <c r="DN730" i="4"/>
  <c r="DM730" i="4"/>
  <c r="DI730" i="4"/>
  <c r="DH730" i="4"/>
  <c r="DG730" i="4"/>
  <c r="DF730" i="4"/>
  <c r="DE730" i="4"/>
  <c r="AV733" i="4"/>
  <c r="DL733" i="4" s="1"/>
  <c r="AU733" i="4"/>
  <c r="AU731" i="4"/>
  <c r="AV731" i="4" s="1"/>
  <c r="DL731" i="4" s="1"/>
  <c r="AN737" i="4"/>
  <c r="AO737" i="4" s="1"/>
  <c r="AN736" i="4"/>
  <c r="AO736" i="4" s="1"/>
  <c r="AP736" i="4" s="1"/>
  <c r="AN735" i="4"/>
  <c r="AO735" i="4" s="1"/>
  <c r="AN734" i="4"/>
  <c r="AO734" i="4" s="1"/>
  <c r="AP734" i="4" s="1"/>
  <c r="AN733" i="4"/>
  <c r="AO733" i="4" s="1"/>
  <c r="AN732" i="4"/>
  <c r="AO732" i="4" s="1"/>
  <c r="AP732" i="4" s="1"/>
  <c r="AN731" i="4"/>
  <c r="AO731" i="4" s="1"/>
  <c r="AN730" i="4"/>
  <c r="AO730" i="4" s="1"/>
  <c r="AI737" i="4"/>
  <c r="AJ737" i="4" s="1"/>
  <c r="AI736" i="4"/>
  <c r="AJ736" i="4" s="1"/>
  <c r="AK736" i="4" s="1"/>
  <c r="AI735" i="4"/>
  <c r="AJ735" i="4" s="1"/>
  <c r="AI734" i="4"/>
  <c r="AJ734" i="4" s="1"/>
  <c r="AK734" i="4" s="1"/>
  <c r="AI733" i="4"/>
  <c r="AJ733" i="4" s="1"/>
  <c r="AI732" i="4"/>
  <c r="AJ732" i="4" s="1"/>
  <c r="AK732" i="4" s="1"/>
  <c r="AI731" i="4"/>
  <c r="AJ731" i="4" s="1"/>
  <c r="AI730" i="4"/>
  <c r="AI739" i="4" s="1"/>
  <c r="AE737" i="4"/>
  <c r="AD737" i="4"/>
  <c r="AD736" i="4"/>
  <c r="AE736" i="4" s="1"/>
  <c r="AE735" i="4"/>
  <c r="AD735" i="4"/>
  <c r="AD734" i="4"/>
  <c r="AE734" i="4" s="1"/>
  <c r="AE733" i="4"/>
  <c r="AD733" i="4"/>
  <c r="AD732" i="4"/>
  <c r="AE732" i="4" s="1"/>
  <c r="AE731" i="4"/>
  <c r="AD731" i="4"/>
  <c r="AD730" i="4"/>
  <c r="AD739" i="4" s="1"/>
  <c r="DN725" i="4"/>
  <c r="BP725" i="4"/>
  <c r="DP725" i="4" s="1"/>
  <c r="BO725" i="4"/>
  <c r="BN725" i="4"/>
  <c r="BM725" i="4"/>
  <c r="BL725" i="4"/>
  <c r="BK725" i="4"/>
  <c r="DO725" i="4" s="1"/>
  <c r="BJ725" i="4"/>
  <c r="BI725" i="4"/>
  <c r="BH725" i="4"/>
  <c r="BG725" i="4"/>
  <c r="BF725" i="4"/>
  <c r="BE725" i="4"/>
  <c r="BD725" i="4"/>
  <c r="BC725" i="4"/>
  <c r="BB725" i="4"/>
  <c r="BA725" i="4"/>
  <c r="DM725" i="4" s="1"/>
  <c r="AZ725" i="4"/>
  <c r="AY725" i="4"/>
  <c r="AX725" i="4"/>
  <c r="AW725" i="4"/>
  <c r="AV725" i="4"/>
  <c r="DL725" i="4" s="1"/>
  <c r="AU725" i="4"/>
  <c r="AT725" i="4"/>
  <c r="AS725" i="4"/>
  <c r="AR725" i="4"/>
  <c r="AQ725" i="4"/>
  <c r="DK725" i="4" s="1"/>
  <c r="AP725" i="4"/>
  <c r="AO725" i="4"/>
  <c r="AN725" i="4"/>
  <c r="AM725" i="4"/>
  <c r="AL725" i="4"/>
  <c r="DJ725" i="4" s="1"/>
  <c r="AK725" i="4"/>
  <c r="AJ725" i="4"/>
  <c r="AI725" i="4"/>
  <c r="AH725" i="4"/>
  <c r="AG725" i="4"/>
  <c r="DI725" i="4" s="1"/>
  <c r="AF725" i="4"/>
  <c r="AE725" i="4"/>
  <c r="AD725" i="4"/>
  <c r="AC725" i="4"/>
  <c r="AB725" i="4"/>
  <c r="DH725" i="4" s="1"/>
  <c r="AA725" i="4"/>
  <c r="Z725" i="4"/>
  <c r="Y725" i="4"/>
  <c r="X725" i="4"/>
  <c r="W725" i="4"/>
  <c r="DG725" i="4" s="1"/>
  <c r="V725" i="4"/>
  <c r="U725" i="4"/>
  <c r="T725" i="4"/>
  <c r="S725" i="4"/>
  <c r="R725" i="4"/>
  <c r="DF725" i="4" s="1"/>
  <c r="Q725" i="4"/>
  <c r="P725" i="4"/>
  <c r="O725" i="4"/>
  <c r="N725" i="4"/>
  <c r="M725" i="4"/>
  <c r="DE725" i="4" s="1"/>
  <c r="L725" i="4"/>
  <c r="K725" i="4"/>
  <c r="J725" i="4"/>
  <c r="I725" i="4"/>
  <c r="CY721" i="4"/>
  <c r="CY720" i="4"/>
  <c r="DW720" i="4" s="1"/>
  <c r="CY719" i="4"/>
  <c r="CT720" i="4"/>
  <c r="CQ721" i="4"/>
  <c r="CQ720" i="4"/>
  <c r="CR720" i="4" s="1"/>
  <c r="CQ719" i="4"/>
  <c r="CQ718" i="4"/>
  <c r="CR718" i="4" s="1"/>
  <c r="CJ721" i="4"/>
  <c r="DT721" i="4" s="1"/>
  <c r="CE721" i="4"/>
  <c r="BK721" i="4"/>
  <c r="DO721" i="4" s="1"/>
  <c r="BF721" i="4"/>
  <c r="BF719" i="4"/>
  <c r="AR721" i="4"/>
  <c r="AP721" i="4"/>
  <c r="AM721" i="4"/>
  <c r="AN721" i="4" s="1"/>
  <c r="AO721" i="4" s="1"/>
  <c r="AI721" i="4"/>
  <c r="AJ721" i="4" s="1"/>
  <c r="AK721" i="4" s="1"/>
  <c r="W721" i="4"/>
  <c r="DG721" i="4" s="1"/>
  <c r="R721" i="4"/>
  <c r="DF721" i="4" s="1"/>
  <c r="M721" i="4"/>
  <c r="BH720" i="4"/>
  <c r="BC720" i="4"/>
  <c r="AD721" i="4"/>
  <c r="AD720" i="4"/>
  <c r="Z721" i="4"/>
  <c r="Y720" i="4"/>
  <c r="Y718" i="4"/>
  <c r="Z718" i="4" s="1"/>
  <c r="AA718" i="4" s="1"/>
  <c r="BL719" i="4"/>
  <c r="BJ719" i="4"/>
  <c r="BK719" i="4" s="1"/>
  <c r="M3" i="72" s="1"/>
  <c r="AH719" i="4"/>
  <c r="AG719" i="4"/>
  <c r="AC719" i="4"/>
  <c r="AD719" i="4" s="1"/>
  <c r="AE719" i="4" s="1"/>
  <c r="AF719" i="4" s="1"/>
  <c r="X719" i="4"/>
  <c r="Y719" i="4" s="1"/>
  <c r="Z719" i="4" s="1"/>
  <c r="AA719" i="4" s="1"/>
  <c r="N719" i="4"/>
  <c r="I719" i="4"/>
  <c r="J719" i="4" s="1"/>
  <c r="CL721" i="4"/>
  <c r="CL720" i="4"/>
  <c r="CL719" i="4"/>
  <c r="CL718" i="4"/>
  <c r="CL961" i="4" s="1"/>
  <c r="BW721" i="4"/>
  <c r="BW720" i="4"/>
  <c r="BW719" i="4"/>
  <c r="BW718" i="4"/>
  <c r="BW961" i="4" s="1"/>
  <c r="BR721" i="4"/>
  <c r="BR720" i="4"/>
  <c r="BR719" i="4"/>
  <c r="BR718" i="4"/>
  <c r="BR961" i="4" s="1"/>
  <c r="BO721" i="4"/>
  <c r="BP721" i="4" s="1"/>
  <c r="DP721" i="4" s="1"/>
  <c r="BM720" i="4"/>
  <c r="BM719" i="4"/>
  <c r="BM718" i="4"/>
  <c r="AX721" i="4"/>
  <c r="AX720" i="4"/>
  <c r="AX719" i="4"/>
  <c r="AX718" i="4"/>
  <c r="AU720" i="4"/>
  <c r="AT720" i="4"/>
  <c r="AS720" i="4"/>
  <c r="AT719" i="4"/>
  <c r="AU719" i="4" s="1"/>
  <c r="AS719" i="4"/>
  <c r="AS718" i="4"/>
  <c r="AO720" i="4"/>
  <c r="AP720" i="4" s="1"/>
  <c r="AN720" i="4"/>
  <c r="AO719" i="4"/>
  <c r="AP719" i="4" s="1"/>
  <c r="AN719" i="4"/>
  <c r="AQ719" i="4" s="1"/>
  <c r="AO718" i="4"/>
  <c r="AP718" i="4" s="1"/>
  <c r="AN718" i="4"/>
  <c r="AQ718" i="4" s="1"/>
  <c r="AJ720" i="4"/>
  <c r="AK720" i="4" s="1"/>
  <c r="AI720" i="4"/>
  <c r="AL720" i="4" s="1"/>
  <c r="DJ720" i="4" s="1"/>
  <c r="AJ719" i="4"/>
  <c r="AK719" i="4" s="1"/>
  <c r="AI719" i="4"/>
  <c r="AL719" i="4" s="1"/>
  <c r="AJ718" i="4"/>
  <c r="AK718" i="4" s="1"/>
  <c r="AI718" i="4"/>
  <c r="AL718" i="4" s="1"/>
  <c r="AE718" i="4"/>
  <c r="AF718" i="4" s="1"/>
  <c r="AD718" i="4"/>
  <c r="AG718" i="4" s="1"/>
  <c r="DY721" i="4"/>
  <c r="DX721" i="4"/>
  <c r="DW721" i="4"/>
  <c r="DS721" i="4"/>
  <c r="DN721" i="4"/>
  <c r="DE721" i="4"/>
  <c r="DY720" i="4"/>
  <c r="DX720" i="4"/>
  <c r="DV720" i="4"/>
  <c r="DY719" i="4"/>
  <c r="DX719" i="4"/>
  <c r="DW719" i="4"/>
  <c r="DO719" i="4"/>
  <c r="CR961" i="4"/>
  <c r="CP717" i="4"/>
  <c r="CL717" i="4"/>
  <c r="CK717" i="4"/>
  <c r="CK722" i="4" s="1"/>
  <c r="CH720" i="4"/>
  <c r="CG720" i="4"/>
  <c r="CG719" i="4"/>
  <c r="CI718" i="4"/>
  <c r="CI961" i="4" s="1"/>
  <c r="CH718" i="4"/>
  <c r="CH961" i="4" s="1"/>
  <c r="CG718" i="4"/>
  <c r="CH717" i="4"/>
  <c r="CG717" i="4"/>
  <c r="CF717" i="4"/>
  <c r="CB720" i="4"/>
  <c r="CC720" i="4" s="1"/>
  <c r="CD720" i="4" s="1"/>
  <c r="CB719" i="4"/>
  <c r="CB718" i="4"/>
  <c r="CA717" i="4"/>
  <c r="BR717" i="4"/>
  <c r="BR722" i="4" s="1"/>
  <c r="BQ717" i="4"/>
  <c r="BQ722" i="4" s="1"/>
  <c r="BM717" i="4"/>
  <c r="BN717" i="4" s="1"/>
  <c r="BL717" i="4"/>
  <c r="BL722" i="4" s="1"/>
  <c r="BI718" i="4"/>
  <c r="BI961" i="4" s="1"/>
  <c r="BH718" i="4"/>
  <c r="BG717" i="4"/>
  <c r="BE718" i="4"/>
  <c r="BD718" i="4"/>
  <c r="BC718" i="4"/>
  <c r="BD717" i="4"/>
  <c r="BC717" i="4"/>
  <c r="BB717" i="4"/>
  <c r="AW717" i="4"/>
  <c r="AR717" i="4"/>
  <c r="AO717" i="4"/>
  <c r="AN717" i="4"/>
  <c r="AM717" i="4"/>
  <c r="AK717" i="4"/>
  <c r="AK722" i="4" s="1"/>
  <c r="AJ717" i="4"/>
  <c r="AI717" i="4"/>
  <c r="AH717" i="4"/>
  <c r="AH722" i="4" s="1"/>
  <c r="AC717" i="4"/>
  <c r="X717" i="4"/>
  <c r="T720" i="4"/>
  <c r="U720" i="4" s="1"/>
  <c r="V720" i="4" s="1"/>
  <c r="V719" i="4"/>
  <c r="U719" i="4"/>
  <c r="T719" i="4"/>
  <c r="T718" i="4"/>
  <c r="T717" i="4"/>
  <c r="S717" i="4"/>
  <c r="O720" i="4"/>
  <c r="Q719" i="4"/>
  <c r="P719" i="4"/>
  <c r="O719" i="4"/>
  <c r="O718" i="4"/>
  <c r="P718" i="4" s="1"/>
  <c r="O717" i="4"/>
  <c r="N717" i="4"/>
  <c r="J720" i="4"/>
  <c r="K720" i="4" s="1"/>
  <c r="L720" i="4" s="1"/>
  <c r="J718" i="4"/>
  <c r="K718" i="4" s="1"/>
  <c r="L718" i="4" s="1"/>
  <c r="K717" i="4"/>
  <c r="J717" i="4"/>
  <c r="I717" i="4"/>
  <c r="DU715" i="4"/>
  <c r="CK714" i="4"/>
  <c r="BV714" i="4"/>
  <c r="BQ714" i="4"/>
  <c r="BL714" i="4"/>
  <c r="BG714" i="4"/>
  <c r="AW714" i="4"/>
  <c r="AR714" i="4"/>
  <c r="AM714" i="4"/>
  <c r="AH714" i="4"/>
  <c r="AC714" i="4"/>
  <c r="X714" i="4"/>
  <c r="S714" i="4"/>
  <c r="N714" i="4"/>
  <c r="I714" i="4"/>
  <c r="CY713" i="4"/>
  <c r="CQ713" i="4"/>
  <c r="CR713" i="4" s="1"/>
  <c r="CF713" i="4"/>
  <c r="CF714" i="4" s="1"/>
  <c r="CA713" i="4"/>
  <c r="BW713" i="4"/>
  <c r="AS713" i="4"/>
  <c r="AN713" i="4"/>
  <c r="AI713" i="4"/>
  <c r="AD713" i="4"/>
  <c r="Y713" i="4"/>
  <c r="T713" i="4"/>
  <c r="O713" i="4"/>
  <c r="J713" i="4"/>
  <c r="CL713" i="4"/>
  <c r="CL712" i="4"/>
  <c r="AX713" i="4"/>
  <c r="AX712" i="4"/>
  <c r="CQ712" i="4"/>
  <c r="CR712" i="4" s="1"/>
  <c r="CS711" i="4"/>
  <c r="CT711" i="4" s="1"/>
  <c r="DV711" i="4" s="1"/>
  <c r="CQ711" i="4"/>
  <c r="CR711" i="4" s="1"/>
  <c r="CP711" i="4"/>
  <c r="CP714" i="4" s="1"/>
  <c r="CL711" i="4"/>
  <c r="BM713" i="4"/>
  <c r="BN713" i="4" s="1"/>
  <c r="BO713" i="4" s="1"/>
  <c r="BM712" i="4"/>
  <c r="BN712" i="4" s="1"/>
  <c r="BO712" i="4" s="1"/>
  <c r="BM711" i="4"/>
  <c r="BN711" i="4" s="1"/>
  <c r="BK713" i="4"/>
  <c r="DO713" i="4" s="1"/>
  <c r="BH713" i="4"/>
  <c r="BI713" i="4" s="1"/>
  <c r="BJ713" i="4" s="1"/>
  <c r="BH712" i="4"/>
  <c r="BI712" i="4" s="1"/>
  <c r="BJ712" i="4" s="1"/>
  <c r="BK711" i="4"/>
  <c r="BH711" i="4"/>
  <c r="BI711" i="4" s="1"/>
  <c r="BJ711" i="4" s="1"/>
  <c r="BB711" i="4"/>
  <c r="AX711" i="4"/>
  <c r="CY710" i="4"/>
  <c r="DW710" i="4" s="1"/>
  <c r="CX709" i="4"/>
  <c r="G18" i="43"/>
  <c r="CS709" i="4"/>
  <c r="CQ710" i="4"/>
  <c r="CQ709" i="4"/>
  <c r="CR709" i="4" s="1"/>
  <c r="CQ708" i="4"/>
  <c r="CR708" i="4" s="1"/>
  <c r="CQ707" i="4"/>
  <c r="BH710" i="4"/>
  <c r="BH709" i="4"/>
  <c r="BI709" i="4" s="1"/>
  <c r="BH708" i="4"/>
  <c r="BH707" i="4"/>
  <c r="BM709" i="4"/>
  <c r="BM708" i="4"/>
  <c r="BM707" i="4"/>
  <c r="BI708" i="4"/>
  <c r="BJ708" i="4" s="1"/>
  <c r="AJ711" i="4"/>
  <c r="AK711" i="4" s="1"/>
  <c r="AI711" i="4"/>
  <c r="AI710" i="4"/>
  <c r="AJ710" i="4" s="1"/>
  <c r="AK710" i="4" s="1"/>
  <c r="AJ709" i="4"/>
  <c r="AK709" i="4" s="1"/>
  <c r="AI709" i="4"/>
  <c r="AD711" i="4"/>
  <c r="AE711" i="4" s="1"/>
  <c r="AF711" i="4" s="1"/>
  <c r="AE710" i="4"/>
  <c r="AF710" i="4" s="1"/>
  <c r="AD710" i="4"/>
  <c r="AD709" i="4"/>
  <c r="AE709" i="4" s="1"/>
  <c r="AF709" i="4" s="1"/>
  <c r="Z711" i="4"/>
  <c r="AA711" i="4" s="1"/>
  <c r="Y711" i="4"/>
  <c r="Y710" i="4"/>
  <c r="Z710" i="4" s="1"/>
  <c r="AA710" i="4" s="1"/>
  <c r="Z709" i="4"/>
  <c r="AA709" i="4" s="1"/>
  <c r="Y709" i="4"/>
  <c r="T711" i="4"/>
  <c r="U711" i="4" s="1"/>
  <c r="V711" i="4" s="1"/>
  <c r="U710" i="4"/>
  <c r="V710" i="4" s="1"/>
  <c r="T710" i="4"/>
  <c r="T709" i="4"/>
  <c r="U709" i="4" s="1"/>
  <c r="V709" i="4" s="1"/>
  <c r="P711" i="4"/>
  <c r="Q711" i="4" s="1"/>
  <c r="O711" i="4"/>
  <c r="O710" i="4"/>
  <c r="P710" i="4" s="1"/>
  <c r="Q710" i="4" s="1"/>
  <c r="P709" i="4"/>
  <c r="Q709" i="4" s="1"/>
  <c r="O709" i="4"/>
  <c r="J711" i="4"/>
  <c r="K711" i="4" s="1"/>
  <c r="L711" i="4" s="1"/>
  <c r="K710" i="4"/>
  <c r="L710" i="4" s="1"/>
  <c r="J710" i="4"/>
  <c r="J709" i="4"/>
  <c r="K709" i="4" s="1"/>
  <c r="L709" i="4" s="1"/>
  <c r="DY713" i="4"/>
  <c r="DX713" i="4"/>
  <c r="DW713" i="4"/>
  <c r="DL712" i="4"/>
  <c r="DK712" i="4"/>
  <c r="DJ712" i="4"/>
  <c r="DI712" i="4"/>
  <c r="DH712" i="4"/>
  <c r="DG712" i="4"/>
  <c r="DF712" i="4"/>
  <c r="DE712" i="4"/>
  <c r="DJ708" i="4"/>
  <c r="DI708" i="4"/>
  <c r="DH708" i="4"/>
  <c r="DG708" i="4"/>
  <c r="DF708" i="4"/>
  <c r="DE708" i="4"/>
  <c r="DA711" i="4"/>
  <c r="DY711" i="4" s="1"/>
  <c r="CZ711" i="4"/>
  <c r="DX711" i="4" s="1"/>
  <c r="DA710" i="4"/>
  <c r="DY710" i="4" s="1"/>
  <c r="CZ710" i="4"/>
  <c r="DX710" i="4" s="1"/>
  <c r="DA709" i="4"/>
  <c r="DY709" i="4" s="1"/>
  <c r="CZ709" i="4"/>
  <c r="DX709" i="4" s="1"/>
  <c r="CL710" i="4"/>
  <c r="CN709" i="4"/>
  <c r="CO709" i="4" s="1"/>
  <c r="DU709" i="4" s="1"/>
  <c r="CM709" i="4"/>
  <c r="CL709" i="4"/>
  <c r="CN708" i="4"/>
  <c r="CO708" i="4" s="1"/>
  <c r="DU708" i="4" s="1"/>
  <c r="CM708" i="4"/>
  <c r="CL708" i="4"/>
  <c r="CM707" i="4"/>
  <c r="CL707" i="4"/>
  <c r="CG712" i="4"/>
  <c r="CI711" i="4"/>
  <c r="CJ711" i="4" s="1"/>
  <c r="DT711" i="4" s="1"/>
  <c r="CH711" i="4"/>
  <c r="CG711" i="4"/>
  <c r="CI710" i="4"/>
  <c r="CJ710" i="4" s="1"/>
  <c r="DT710" i="4" s="1"/>
  <c r="CH710" i="4"/>
  <c r="CG710" i="4"/>
  <c r="CH709" i="4"/>
  <c r="CG709" i="4"/>
  <c r="CI709" i="4" s="1"/>
  <c r="CG708" i="4"/>
  <c r="CI707" i="4"/>
  <c r="CH707" i="4"/>
  <c r="CG707" i="4"/>
  <c r="CD712" i="4"/>
  <c r="CE712" i="4" s="1"/>
  <c r="DS712" i="4" s="1"/>
  <c r="CC712" i="4"/>
  <c r="CB712" i="4"/>
  <c r="CC711" i="4"/>
  <c r="CB711" i="4"/>
  <c r="CB710" i="4"/>
  <c r="CC710" i="4" s="1"/>
  <c r="CD710" i="4" s="1"/>
  <c r="CE710" i="4" s="1"/>
  <c r="DS710" i="4" s="1"/>
  <c r="CD709" i="4"/>
  <c r="CE709" i="4" s="1"/>
  <c r="DS709" i="4" s="1"/>
  <c r="CC709" i="4"/>
  <c r="CB709" i="4"/>
  <c r="CD708" i="4"/>
  <c r="CE708" i="4" s="1"/>
  <c r="DS708" i="4" s="1"/>
  <c r="CC708" i="4"/>
  <c r="CB708" i="4"/>
  <c r="CC707" i="4"/>
  <c r="CD707" i="4" s="1"/>
  <c r="CB707" i="4"/>
  <c r="BW712" i="4"/>
  <c r="BX712" i="4" s="1"/>
  <c r="BY712" i="4" s="1"/>
  <c r="BZ712" i="4" s="1"/>
  <c r="DR712" i="4" s="1"/>
  <c r="BY711" i="4"/>
  <c r="BZ711" i="4" s="1"/>
  <c r="DR711" i="4" s="1"/>
  <c r="BX711" i="4"/>
  <c r="BW711" i="4"/>
  <c r="BY710" i="4"/>
  <c r="BZ710" i="4" s="1"/>
  <c r="DR710" i="4" s="1"/>
  <c r="BX710" i="4"/>
  <c r="BW710" i="4"/>
  <c r="BX709" i="4"/>
  <c r="BY709" i="4" s="1"/>
  <c r="BZ709" i="4" s="1"/>
  <c r="DR709" i="4" s="1"/>
  <c r="BW709" i="4"/>
  <c r="BW708" i="4"/>
  <c r="BY707" i="4"/>
  <c r="BX707" i="4"/>
  <c r="BW707" i="4"/>
  <c r="BT713" i="4"/>
  <c r="BU713" i="4" s="1"/>
  <c r="DQ713" i="4" s="1"/>
  <c r="BS713" i="4"/>
  <c r="BR713" i="4"/>
  <c r="BS712" i="4"/>
  <c r="BT712" i="4" s="1"/>
  <c r="BU712" i="4" s="1"/>
  <c r="DQ712" i="4" s="1"/>
  <c r="BR712" i="4"/>
  <c r="BR711" i="4"/>
  <c r="BS711" i="4" s="1"/>
  <c r="BT711" i="4" s="1"/>
  <c r="BU711" i="4" s="1"/>
  <c r="DQ711" i="4" s="1"/>
  <c r="BT710" i="4"/>
  <c r="BU710" i="4" s="1"/>
  <c r="DQ710" i="4" s="1"/>
  <c r="BS710" i="4"/>
  <c r="BR710" i="4"/>
  <c r="BT709" i="4"/>
  <c r="BU709" i="4" s="1"/>
  <c r="DQ709" i="4" s="1"/>
  <c r="BS709" i="4"/>
  <c r="BR709" i="4"/>
  <c r="BS708" i="4"/>
  <c r="BT708" i="4" s="1"/>
  <c r="BR708" i="4"/>
  <c r="BR707" i="4"/>
  <c r="BO710" i="4"/>
  <c r="BP710" i="4" s="1"/>
  <c r="DP710" i="4" s="1"/>
  <c r="BN710" i="4"/>
  <c r="BN708" i="4"/>
  <c r="BP707" i="4"/>
  <c r="BO707" i="4"/>
  <c r="BN707" i="4"/>
  <c r="BE713" i="4"/>
  <c r="BD713" i="4"/>
  <c r="BC713" i="4"/>
  <c r="BD712" i="4"/>
  <c r="BC712" i="4"/>
  <c r="BE712" i="4" s="1"/>
  <c r="BC710" i="4"/>
  <c r="BE709" i="4"/>
  <c r="BD709" i="4"/>
  <c r="BC709" i="4"/>
  <c r="BE708" i="4"/>
  <c r="BD708" i="4"/>
  <c r="BC708" i="4"/>
  <c r="BD707" i="4"/>
  <c r="BD675" i="4" s="1"/>
  <c r="BC707" i="4"/>
  <c r="AX710" i="4"/>
  <c r="AZ709" i="4"/>
  <c r="AY709" i="4"/>
  <c r="AX709" i="4"/>
  <c r="AZ708" i="4"/>
  <c r="AY708" i="4"/>
  <c r="AX708" i="4"/>
  <c r="AY707" i="4"/>
  <c r="AX707" i="4"/>
  <c r="AZ707" i="4" s="1"/>
  <c r="AS711" i="4"/>
  <c r="AU710" i="4"/>
  <c r="AT710" i="4"/>
  <c r="AS710" i="4"/>
  <c r="AU709" i="4"/>
  <c r="AT709" i="4"/>
  <c r="AS709" i="4"/>
  <c r="AT708" i="4"/>
  <c r="AT660" i="4" s="1"/>
  <c r="AS708" i="4"/>
  <c r="AS707" i="4"/>
  <c r="AP711" i="4"/>
  <c r="AO711" i="4"/>
  <c r="AN711" i="4"/>
  <c r="AP710" i="4"/>
  <c r="AO710" i="4"/>
  <c r="AN710" i="4"/>
  <c r="AO709" i="4"/>
  <c r="AN709" i="4"/>
  <c r="AP709" i="4" s="1"/>
  <c r="AN708" i="4"/>
  <c r="AP707" i="4"/>
  <c r="AO707" i="4"/>
  <c r="AN707" i="4"/>
  <c r="AK707" i="4"/>
  <c r="AJ707" i="4"/>
  <c r="AI707" i="4"/>
  <c r="AE707" i="4"/>
  <c r="AD707" i="4"/>
  <c r="Y707" i="4"/>
  <c r="V707" i="4"/>
  <c r="U707" i="4"/>
  <c r="T707" i="4"/>
  <c r="Q707" i="4"/>
  <c r="Q675" i="4" s="1"/>
  <c r="P707" i="4"/>
  <c r="O707" i="4"/>
  <c r="K707" i="4"/>
  <c r="J707" i="4"/>
  <c r="DA703" i="4"/>
  <c r="DY703" i="4" s="1"/>
  <c r="DA700" i="4"/>
  <c r="CP703" i="4"/>
  <c r="CQ703" i="4" s="1"/>
  <c r="CK703" i="4"/>
  <c r="CG703" i="4"/>
  <c r="CH703" i="4" s="1"/>
  <c r="CF703" i="4"/>
  <c r="CA703" i="4"/>
  <c r="CB703" i="4" s="1"/>
  <c r="CC703" i="4" s="1"/>
  <c r="CD703" i="4" s="1"/>
  <c r="BV703" i="4"/>
  <c r="BW703" i="4" s="1"/>
  <c r="BX703" i="4" s="1"/>
  <c r="BY703" i="4" s="1"/>
  <c r="BR703" i="4"/>
  <c r="BS703" i="4" s="1"/>
  <c r="BT703" i="4" s="1"/>
  <c r="AW703" i="4"/>
  <c r="AS703" i="4"/>
  <c r="AT703" i="4" s="1"/>
  <c r="AU703" i="4" s="1"/>
  <c r="AR703" i="4"/>
  <c r="AO703" i="4"/>
  <c r="AP703" i="4" s="1"/>
  <c r="AN703" i="4"/>
  <c r="Z703" i="4"/>
  <c r="AA703" i="4" s="1"/>
  <c r="Y703" i="4"/>
  <c r="X703" i="4"/>
  <c r="U703" i="4"/>
  <c r="V703" i="4" s="1"/>
  <c r="T703" i="4"/>
  <c r="CT702" i="4"/>
  <c r="CT699" i="4"/>
  <c r="CO702" i="4"/>
  <c r="DU702" i="4" s="1"/>
  <c r="CO699" i="4"/>
  <c r="DU699" i="4" s="1"/>
  <c r="CJ702" i="4"/>
  <c r="CJ699" i="4"/>
  <c r="CE702" i="4"/>
  <c r="DS702" i="4" s="1"/>
  <c r="CE699" i="4"/>
  <c r="DS699" i="4" s="1"/>
  <c r="BX702" i="4"/>
  <c r="BW702" i="4"/>
  <c r="BZ702" i="4" s="1"/>
  <c r="DR702" i="4" s="1"/>
  <c r="BU699" i="4"/>
  <c r="DQ699" i="4" s="1"/>
  <c r="BS702" i="4"/>
  <c r="BU702" i="4" s="1"/>
  <c r="BM703" i="4"/>
  <c r="BN703" i="4" s="1"/>
  <c r="BO703" i="4" s="1"/>
  <c r="BM702" i="4"/>
  <c r="BN702" i="4" s="1"/>
  <c r="BO702" i="4" s="1"/>
  <c r="BH703" i="4"/>
  <c r="BI703" i="4" s="1"/>
  <c r="BJ703" i="4" s="1"/>
  <c r="BH702" i="4"/>
  <c r="BI702" i="4" s="1"/>
  <c r="BJ702" i="4" s="1"/>
  <c r="BC703" i="4"/>
  <c r="BD703" i="4" s="1"/>
  <c r="BC702" i="4"/>
  <c r="BD702" i="4" s="1"/>
  <c r="AX702" i="4"/>
  <c r="AX738" i="4" s="1"/>
  <c r="AS702" i="4"/>
  <c r="AS738" i="4" s="1"/>
  <c r="AN702" i="4"/>
  <c r="AN738" i="4" s="1"/>
  <c r="AI703" i="4"/>
  <c r="AJ703" i="4" s="1"/>
  <c r="AK703" i="4" s="1"/>
  <c r="AI702" i="4"/>
  <c r="AI738" i="4" s="1"/>
  <c r="AD703" i="4"/>
  <c r="AE703" i="4" s="1"/>
  <c r="AF703" i="4" s="1"/>
  <c r="AD702" i="4"/>
  <c r="AD738" i="4" s="1"/>
  <c r="Y702" i="4"/>
  <c r="Z702" i="4" s="1"/>
  <c r="AA702" i="4" s="1"/>
  <c r="T702" i="4"/>
  <c r="U702" i="4" s="1"/>
  <c r="BT700" i="4"/>
  <c r="BU700" i="4" s="1"/>
  <c r="DQ700" i="4" s="1"/>
  <c r="BQ701" i="4"/>
  <c r="BR701" i="4" s="1"/>
  <c r="BS701" i="4" s="1"/>
  <c r="BT701" i="4" s="1"/>
  <c r="BL701" i="4"/>
  <c r="BM701" i="4" s="1"/>
  <c r="BN701" i="4" s="1"/>
  <c r="BG701" i="4"/>
  <c r="BB701" i="4"/>
  <c r="AW701" i="4"/>
  <c r="AX701" i="4" s="1"/>
  <c r="AR701" i="4"/>
  <c r="AS701" i="4" s="1"/>
  <c r="AT701" i="4" s="1"/>
  <c r="AU701" i="4" s="1"/>
  <c r="AM701" i="4"/>
  <c r="AN701" i="4" s="1"/>
  <c r="AH701" i="4"/>
  <c r="AI701" i="4" s="1"/>
  <c r="AJ701" i="4" s="1"/>
  <c r="AK701" i="4" s="1"/>
  <c r="AD701" i="4"/>
  <c r="AE701" i="4" s="1"/>
  <c r="AF701" i="4" s="1"/>
  <c r="AC701" i="4"/>
  <c r="X701" i="4"/>
  <c r="Y701" i="4" s="1"/>
  <c r="Z701" i="4" s="1"/>
  <c r="AA701" i="4" s="1"/>
  <c r="T701" i="4"/>
  <c r="U701" i="4" s="1"/>
  <c r="V701" i="4" s="1"/>
  <c r="O703" i="4"/>
  <c r="P703" i="4" s="1"/>
  <c r="Q703" i="4" s="1"/>
  <c r="O702" i="4"/>
  <c r="P702" i="4" s="1"/>
  <c r="Q702" i="4" s="1"/>
  <c r="O701" i="4"/>
  <c r="P701" i="4" s="1"/>
  <c r="J703" i="4"/>
  <c r="K703" i="4" s="1"/>
  <c r="L703" i="4" s="1"/>
  <c r="J702" i="4"/>
  <c r="K702" i="4" s="1"/>
  <c r="L702" i="4" s="1"/>
  <c r="J701" i="4"/>
  <c r="K701" i="4" s="1"/>
  <c r="L701" i="4" s="1"/>
  <c r="CY702" i="4"/>
  <c r="DW702" i="4" s="1"/>
  <c r="CZ700" i="4"/>
  <c r="DX700" i="4" s="1"/>
  <c r="CX700" i="4"/>
  <c r="CW700" i="4"/>
  <c r="CV700" i="4"/>
  <c r="CU700" i="4"/>
  <c r="CY700" i="4" s="1"/>
  <c r="DW700" i="4" s="1"/>
  <c r="CQ701" i="4"/>
  <c r="CR701" i="4" s="1"/>
  <c r="CS700" i="4"/>
  <c r="CR700" i="4"/>
  <c r="CQ700" i="4"/>
  <c r="CP700" i="4"/>
  <c r="CL701" i="4"/>
  <c r="CM701" i="4" s="1"/>
  <c r="CN700" i="4"/>
  <c r="CM700" i="4"/>
  <c r="CL700" i="4"/>
  <c r="CK700" i="4"/>
  <c r="CH701" i="4"/>
  <c r="CI701" i="4" s="1"/>
  <c r="CG701" i="4"/>
  <c r="CI700" i="4"/>
  <c r="CH700" i="4"/>
  <c r="CG700" i="4"/>
  <c r="CJ700" i="4" s="1"/>
  <c r="DT700" i="4" s="1"/>
  <c r="CC701" i="4"/>
  <c r="CD701" i="4" s="1"/>
  <c r="CB701" i="4"/>
  <c r="CD700" i="4"/>
  <c r="CC700" i="4"/>
  <c r="CB700" i="4"/>
  <c r="BW701" i="4"/>
  <c r="BX701" i="4" s="1"/>
  <c r="BY701" i="4" s="1"/>
  <c r="BY700" i="4"/>
  <c r="BW700" i="4"/>
  <c r="BO700" i="4"/>
  <c r="BP700" i="4" s="1"/>
  <c r="DP700" i="4" s="1"/>
  <c r="BJ700" i="4"/>
  <c r="BI700" i="4"/>
  <c r="BH700" i="4"/>
  <c r="BG700" i="4"/>
  <c r="BE700" i="4"/>
  <c r="BD700" i="4"/>
  <c r="BC700" i="4"/>
  <c r="BB700" i="4"/>
  <c r="AZ700" i="4"/>
  <c r="AY700" i="4"/>
  <c r="AX700" i="4"/>
  <c r="AW700" i="4"/>
  <c r="AU700" i="4"/>
  <c r="AT700" i="4"/>
  <c r="AS700" i="4"/>
  <c r="AR700" i="4"/>
  <c r="AR704" i="4" s="1"/>
  <c r="AP700" i="4"/>
  <c r="AO700" i="4"/>
  <c r="AN700" i="4"/>
  <c r="AM700" i="4"/>
  <c r="AM704" i="4" s="1"/>
  <c r="AL700" i="4"/>
  <c r="DJ700" i="4" s="1"/>
  <c r="AG700" i="4"/>
  <c r="DI700" i="4" s="1"/>
  <c r="AG699" i="4"/>
  <c r="DI699" i="4" s="1"/>
  <c r="AB700" i="4"/>
  <c r="DH700" i="4" s="1"/>
  <c r="AB699" i="4"/>
  <c r="W700" i="4"/>
  <c r="DG700" i="4" s="1"/>
  <c r="W699" i="4"/>
  <c r="DG699" i="4" s="1"/>
  <c r="R700" i="4"/>
  <c r="R699" i="4"/>
  <c r="M700" i="4"/>
  <c r="M699" i="4"/>
  <c r="CY699" i="4"/>
  <c r="DW699" i="4" s="1"/>
  <c r="BW699" i="4"/>
  <c r="BP699" i="4"/>
  <c r="DP699" i="4" s="1"/>
  <c r="BP697" i="4"/>
  <c r="DP697" i="4" s="1"/>
  <c r="BK699" i="4"/>
  <c r="DO699" i="4" s="1"/>
  <c r="BF699" i="4"/>
  <c r="BA699" i="4"/>
  <c r="DM699" i="4" s="1"/>
  <c r="AV699" i="4"/>
  <c r="AQ699" i="4"/>
  <c r="DK699" i="4" s="1"/>
  <c r="AL699" i="4"/>
  <c r="BO698" i="4"/>
  <c r="BM698" i="4"/>
  <c r="BN698" i="4" s="1"/>
  <c r="BI698" i="4"/>
  <c r="BH698" i="4"/>
  <c r="BC698" i="4"/>
  <c r="AY698" i="4"/>
  <c r="AX698" i="4"/>
  <c r="AS698" i="4"/>
  <c r="AT698" i="4" s="1"/>
  <c r="AO698" i="4"/>
  <c r="AN698" i="4"/>
  <c r="AK698" i="4"/>
  <c r="AJ698" i="4"/>
  <c r="AI698" i="4"/>
  <c r="AH698" i="4"/>
  <c r="AF698" i="4"/>
  <c r="AE698" i="4"/>
  <c r="AD698" i="4"/>
  <c r="AD704" i="4" s="1"/>
  <c r="AC698" i="4"/>
  <c r="AC704" i="4" s="1"/>
  <c r="AA698" i="4"/>
  <c r="Z698" i="4"/>
  <c r="Y698" i="4"/>
  <c r="X698" i="4"/>
  <c r="V698" i="4"/>
  <c r="U698" i="4"/>
  <c r="T698" i="4"/>
  <c r="S698" i="4"/>
  <c r="S704" i="4" s="1"/>
  <c r="Q698" i="4"/>
  <c r="P698" i="4"/>
  <c r="O698" i="4"/>
  <c r="O704" i="4" s="1"/>
  <c r="N698" i="4"/>
  <c r="N704" i="4" s="1"/>
  <c r="L698" i="4"/>
  <c r="K698" i="4"/>
  <c r="J698" i="4"/>
  <c r="I698" i="4"/>
  <c r="I754" i="4" s="1"/>
  <c r="DX703" i="4"/>
  <c r="DV702" i="4"/>
  <c r="DT702" i="4"/>
  <c r="DQ702" i="4"/>
  <c r="DY700" i="4"/>
  <c r="DF700" i="4"/>
  <c r="DE700" i="4"/>
  <c r="DY699" i="4"/>
  <c r="DX699" i="4"/>
  <c r="DV699" i="4"/>
  <c r="DT699" i="4"/>
  <c r="DN699" i="4"/>
  <c r="DL699" i="4"/>
  <c r="DJ699" i="4"/>
  <c r="DH699" i="4"/>
  <c r="DF699" i="4"/>
  <c r="DE699" i="4"/>
  <c r="DO697" i="4"/>
  <c r="DN697" i="4"/>
  <c r="DM697" i="4"/>
  <c r="DL697" i="4"/>
  <c r="DK697" i="4"/>
  <c r="DJ697" i="4"/>
  <c r="DI697" i="4"/>
  <c r="DH697" i="4"/>
  <c r="DG697" i="4"/>
  <c r="DF697" i="4"/>
  <c r="DE697" i="4"/>
  <c r="CS698" i="4"/>
  <c r="CR698" i="4"/>
  <c r="CQ698" i="4"/>
  <c r="CP698" i="4"/>
  <c r="CN698" i="4"/>
  <c r="CM698" i="4"/>
  <c r="CL698" i="4"/>
  <c r="CK698" i="4"/>
  <c r="CI698" i="4"/>
  <c r="CH698" i="4"/>
  <c r="CG698" i="4"/>
  <c r="CB698" i="4"/>
  <c r="BY698" i="4"/>
  <c r="BW698" i="4"/>
  <c r="BX698" i="4" s="1"/>
  <c r="BR698" i="4"/>
  <c r="DW694" i="4"/>
  <c r="DS694" i="4"/>
  <c r="DG694" i="4"/>
  <c r="DA694" i="4"/>
  <c r="DY694" i="4" s="1"/>
  <c r="CZ694" i="4"/>
  <c r="DX694" i="4" s="1"/>
  <c r="CY694" i="4"/>
  <c r="CX694" i="4"/>
  <c r="CW694" i="4"/>
  <c r="CV694" i="4"/>
  <c r="CU694" i="4"/>
  <c r="CT694" i="4"/>
  <c r="DV694" i="4" s="1"/>
  <c r="CS694" i="4"/>
  <c r="CR694" i="4"/>
  <c r="CQ694" i="4"/>
  <c r="CP694" i="4"/>
  <c r="CO694" i="4"/>
  <c r="DU694" i="4" s="1"/>
  <c r="CN694" i="4"/>
  <c r="CM694" i="4"/>
  <c r="CL694" i="4"/>
  <c r="CK694" i="4"/>
  <c r="CJ694" i="4"/>
  <c r="DT694" i="4" s="1"/>
  <c r="CI694" i="4"/>
  <c r="CH694" i="4"/>
  <c r="CG694" i="4"/>
  <c r="CF694" i="4"/>
  <c r="CE694" i="4"/>
  <c r="CD694" i="4"/>
  <c r="CC694" i="4"/>
  <c r="CB694" i="4"/>
  <c r="CA694" i="4"/>
  <c r="BZ694" i="4"/>
  <c r="DR694" i="4" s="1"/>
  <c r="BY694" i="4"/>
  <c r="BX694" i="4"/>
  <c r="BW694" i="4"/>
  <c r="BV694" i="4"/>
  <c r="BU694" i="4"/>
  <c r="DQ694" i="4" s="1"/>
  <c r="BT694" i="4"/>
  <c r="BS694" i="4"/>
  <c r="BR694" i="4"/>
  <c r="BQ694" i="4"/>
  <c r="BP694" i="4"/>
  <c r="DP694" i="4" s="1"/>
  <c r="BO694" i="4"/>
  <c r="BN694" i="4"/>
  <c r="BM694" i="4"/>
  <c r="BL694" i="4"/>
  <c r="BK694" i="4"/>
  <c r="DO694" i="4" s="1"/>
  <c r="BJ694" i="4"/>
  <c r="BI694" i="4"/>
  <c r="BH694" i="4"/>
  <c r="BG694" i="4"/>
  <c r="BF694" i="4"/>
  <c r="DN694" i="4" s="1"/>
  <c r="BE694" i="4"/>
  <c r="BD694" i="4"/>
  <c r="BC694" i="4"/>
  <c r="BB694" i="4"/>
  <c r="BA694" i="4"/>
  <c r="DM694" i="4" s="1"/>
  <c r="AZ694" i="4"/>
  <c r="AY694" i="4"/>
  <c r="AX694" i="4"/>
  <c r="AW694" i="4"/>
  <c r="AV694" i="4"/>
  <c r="DL694" i="4" s="1"/>
  <c r="AU694" i="4"/>
  <c r="AT694" i="4"/>
  <c r="AS694" i="4"/>
  <c r="AR694" i="4"/>
  <c r="AQ694" i="4"/>
  <c r="DK694" i="4" s="1"/>
  <c r="AP694" i="4"/>
  <c r="AO694" i="4"/>
  <c r="AN694" i="4"/>
  <c r="AM694" i="4"/>
  <c r="AL694" i="4"/>
  <c r="DJ694" i="4" s="1"/>
  <c r="AK694" i="4"/>
  <c r="AJ694" i="4"/>
  <c r="AI694" i="4"/>
  <c r="AH694" i="4"/>
  <c r="AG694" i="4"/>
  <c r="DI694" i="4" s="1"/>
  <c r="AF694" i="4"/>
  <c r="AE694" i="4"/>
  <c r="AD694" i="4"/>
  <c r="AC694" i="4"/>
  <c r="AB694" i="4"/>
  <c r="DH694" i="4" s="1"/>
  <c r="AA694" i="4"/>
  <c r="Z694" i="4"/>
  <c r="Y694" i="4"/>
  <c r="X694" i="4"/>
  <c r="W694" i="4"/>
  <c r="V694" i="4"/>
  <c r="U694" i="4"/>
  <c r="T694" i="4"/>
  <c r="S694" i="4"/>
  <c r="R694" i="4"/>
  <c r="DF694" i="4" s="1"/>
  <c r="Q694" i="4"/>
  <c r="P694" i="4"/>
  <c r="O694" i="4"/>
  <c r="N694" i="4"/>
  <c r="M694" i="4"/>
  <c r="DE694" i="4" s="1"/>
  <c r="L694" i="4"/>
  <c r="K694" i="4"/>
  <c r="J694" i="4"/>
  <c r="I694" i="4"/>
  <c r="BY693" i="4"/>
  <c r="BX693" i="4"/>
  <c r="DE691" i="4"/>
  <c r="DE690" i="4"/>
  <c r="CS685" i="4"/>
  <c r="CS686" i="4" s="1"/>
  <c r="CR685" i="4"/>
  <c r="CQ685" i="4"/>
  <c r="CP685" i="4"/>
  <c r="CN685" i="4"/>
  <c r="CM685" i="4"/>
  <c r="CN686" i="4" s="1"/>
  <c r="CL685" i="4"/>
  <c r="CK685" i="4"/>
  <c r="CI685" i="4"/>
  <c r="CI686" i="4" s="1"/>
  <c r="CH685" i="4"/>
  <c r="CG685" i="4"/>
  <c r="CG686" i="4" s="1"/>
  <c r="CF685" i="4"/>
  <c r="CE685" i="4"/>
  <c r="CJ686" i="4" s="1"/>
  <c r="DT686" i="4" s="1"/>
  <c r="CD685" i="4"/>
  <c r="CC685" i="4"/>
  <c r="CC686" i="4" s="1"/>
  <c r="CB685" i="4"/>
  <c r="CA685" i="4"/>
  <c r="CB686" i="4" s="1"/>
  <c r="BZ685" i="4"/>
  <c r="DR685" i="4" s="1"/>
  <c r="BY685" i="4"/>
  <c r="BY686" i="4" s="1"/>
  <c r="BX685" i="4"/>
  <c r="BW685" i="4"/>
  <c r="BX686" i="4" s="1"/>
  <c r="BV685" i="4"/>
  <c r="BT685" i="4"/>
  <c r="BS685" i="4"/>
  <c r="BT686" i="4" s="1"/>
  <c r="BR685" i="4"/>
  <c r="BQ685" i="4"/>
  <c r="BO685" i="4"/>
  <c r="BN685" i="4"/>
  <c r="BE685" i="4"/>
  <c r="BE686" i="4" s="1"/>
  <c r="BC685" i="4"/>
  <c r="BB685" i="4"/>
  <c r="BA685" i="4"/>
  <c r="DM685" i="4" s="1"/>
  <c r="AZ685" i="4"/>
  <c r="AY685" i="4"/>
  <c r="AZ686" i="4" s="1"/>
  <c r="AX685" i="4"/>
  <c r="AW685" i="4"/>
  <c r="AW686" i="4" s="1"/>
  <c r="AV685" i="4"/>
  <c r="AU685" i="4"/>
  <c r="AU686" i="4" s="1"/>
  <c r="AT685" i="4"/>
  <c r="AS685" i="4"/>
  <c r="AS686" i="4" s="1"/>
  <c r="AR685" i="4"/>
  <c r="AQ685" i="4"/>
  <c r="AR686" i="4" s="1"/>
  <c r="AP685" i="4"/>
  <c r="AO685" i="4"/>
  <c r="AO686" i="4" s="1"/>
  <c r="AN685" i="4"/>
  <c r="AM685" i="4"/>
  <c r="AN686" i="4" s="1"/>
  <c r="AK685" i="4"/>
  <c r="AI685" i="4"/>
  <c r="AI686" i="4" s="1"/>
  <c r="AH685" i="4"/>
  <c r="AF685" i="4"/>
  <c r="AA685" i="4"/>
  <c r="V685" i="4"/>
  <c r="U685" i="4"/>
  <c r="DF686" i="4"/>
  <c r="DE686" i="4"/>
  <c r="DT685" i="4"/>
  <c r="DL685" i="4"/>
  <c r="DJ685" i="4"/>
  <c r="DE685" i="4"/>
  <c r="DY684" i="4"/>
  <c r="DX684" i="4"/>
  <c r="DW684" i="4"/>
  <c r="DV684" i="4"/>
  <c r="DU684" i="4"/>
  <c r="DT684" i="4"/>
  <c r="DS684" i="4"/>
  <c r="DR684" i="4"/>
  <c r="DQ684" i="4"/>
  <c r="DP684" i="4"/>
  <c r="DO684" i="4"/>
  <c r="DN684" i="4"/>
  <c r="DM684" i="4"/>
  <c r="DL684" i="4"/>
  <c r="DK684" i="4"/>
  <c r="DJ684" i="4"/>
  <c r="DI684" i="4"/>
  <c r="DH684" i="4"/>
  <c r="DG684" i="4"/>
  <c r="DF684" i="4"/>
  <c r="DE684" i="4"/>
  <c r="CE682" i="4"/>
  <c r="DS682" i="4" s="1"/>
  <c r="BY682" i="4"/>
  <c r="BT682" i="4"/>
  <c r="BP682" i="4"/>
  <c r="BK682" i="4"/>
  <c r="BF682" i="4"/>
  <c r="BD682" i="4"/>
  <c r="BC682" i="4"/>
  <c r="BB682" i="4"/>
  <c r="AZ682" i="4"/>
  <c r="AY682" i="4"/>
  <c r="AX682" i="4"/>
  <c r="AW682" i="4"/>
  <c r="AU682" i="4"/>
  <c r="AV682" i="4" s="1"/>
  <c r="DL682" i="4" s="1"/>
  <c r="DP682" i="4"/>
  <c r="DN682" i="4"/>
  <c r="DK682" i="4"/>
  <c r="DJ682" i="4"/>
  <c r="DI682" i="4"/>
  <c r="DH682" i="4"/>
  <c r="DG682" i="4"/>
  <c r="DF682" i="4"/>
  <c r="DE682" i="4"/>
  <c r="DY681" i="4"/>
  <c r="DX681" i="4"/>
  <c r="DW681" i="4"/>
  <c r="DV681" i="4"/>
  <c r="DU681" i="4"/>
  <c r="DT681" i="4"/>
  <c r="DS681" i="4"/>
  <c r="DR681" i="4"/>
  <c r="DQ681" i="4"/>
  <c r="DP681" i="4"/>
  <c r="DO681" i="4"/>
  <c r="DN681" i="4"/>
  <c r="DM681" i="4"/>
  <c r="DL681" i="4"/>
  <c r="DK681" i="4"/>
  <c r="DJ681" i="4"/>
  <c r="DI681" i="4"/>
  <c r="DH681" i="4"/>
  <c r="DG681" i="4"/>
  <c r="DF681" i="4"/>
  <c r="DE681" i="4"/>
  <c r="BR678" i="4"/>
  <c r="BB678" i="4"/>
  <c r="DA677" i="4"/>
  <c r="DY677" i="4" s="1"/>
  <c r="CT674" i="4"/>
  <c r="BY676" i="4"/>
  <c r="BX676" i="4"/>
  <c r="BW676" i="4"/>
  <c r="BV676" i="4"/>
  <c r="BT676" i="4"/>
  <c r="BS676" i="4"/>
  <c r="BR676" i="4"/>
  <c r="BQ676" i="4"/>
  <c r="V677" i="4"/>
  <c r="U677" i="4"/>
  <c r="T677" i="4"/>
  <c r="S677" i="4"/>
  <c r="V676" i="4"/>
  <c r="U676" i="4"/>
  <c r="T676" i="4"/>
  <c r="S676" i="4"/>
  <c r="CD675" i="4"/>
  <c r="CD678" i="4" s="1"/>
  <c r="CC675" i="4"/>
  <c r="CB675" i="4"/>
  <c r="CB674" i="4" s="1"/>
  <c r="CA675" i="4"/>
  <c r="BY675" i="4"/>
  <c r="BY657" i="4" s="1"/>
  <c r="BX675" i="4"/>
  <c r="BW675" i="4"/>
  <c r="BW674" i="4" s="1"/>
  <c r="BV675" i="4"/>
  <c r="BR675" i="4"/>
  <c r="BQ675" i="4"/>
  <c r="BV678" i="4" s="1"/>
  <c r="BO675" i="4"/>
  <c r="BO674" i="4" s="1"/>
  <c r="BN675" i="4"/>
  <c r="BM675" i="4"/>
  <c r="BM678" i="4" s="1"/>
  <c r="BL675" i="4"/>
  <c r="BH675" i="4"/>
  <c r="BG675" i="4"/>
  <c r="BG674" i="4" s="1"/>
  <c r="BC675" i="4"/>
  <c r="BC674" i="4" s="1"/>
  <c r="BB675" i="4"/>
  <c r="BB674" i="4" s="1"/>
  <c r="AY675" i="4"/>
  <c r="AX675" i="4"/>
  <c r="AX678" i="4" s="1"/>
  <c r="AW675" i="4"/>
  <c r="AS675" i="4"/>
  <c r="AR675" i="4"/>
  <c r="AR678" i="4" s="1"/>
  <c r="AO675" i="4"/>
  <c r="AN675" i="4"/>
  <c r="AM675" i="4"/>
  <c r="AK675" i="4"/>
  <c r="AJ675" i="4"/>
  <c r="AI675" i="4"/>
  <c r="AI678" i="4" s="1"/>
  <c r="AH675" i="4"/>
  <c r="AH678" i="4" s="1"/>
  <c r="AE675" i="4"/>
  <c r="AD675" i="4"/>
  <c r="AC675" i="4"/>
  <c r="X675" i="4"/>
  <c r="X678" i="4" s="1"/>
  <c r="U675" i="4"/>
  <c r="T675" i="4"/>
  <c r="T678" i="4" s="1"/>
  <c r="S675" i="4"/>
  <c r="P675" i="4"/>
  <c r="O675" i="4"/>
  <c r="N675" i="4"/>
  <c r="BX674" i="4"/>
  <c r="BV674" i="4"/>
  <c r="BR674" i="4"/>
  <c r="BL674" i="4"/>
  <c r="BH674" i="4"/>
  <c r="CX674" i="4"/>
  <c r="CX677" i="4" s="1"/>
  <c r="CW674" i="4"/>
  <c r="CW677" i="4" s="1"/>
  <c r="CV674" i="4"/>
  <c r="CV677" i="4" s="1"/>
  <c r="CU674" i="4"/>
  <c r="CM675" i="4"/>
  <c r="CL675" i="4"/>
  <c r="CL678" i="4" s="1"/>
  <c r="CK675" i="4"/>
  <c r="CI675" i="4"/>
  <c r="CH675" i="4"/>
  <c r="CH678" i="4" s="1"/>
  <c r="CG675" i="4"/>
  <c r="CG678" i="4" s="1"/>
  <c r="CF675" i="4"/>
  <c r="CD673" i="4"/>
  <c r="CC673" i="4"/>
  <c r="CB673" i="4"/>
  <c r="CA673" i="4"/>
  <c r="BZ673" i="4"/>
  <c r="BU673" i="4"/>
  <c r="BP673" i="4"/>
  <c r="DP673" i="4" s="1"/>
  <c r="DF678" i="4"/>
  <c r="DE678" i="4"/>
  <c r="DN677" i="4"/>
  <c r="DM677" i="4"/>
  <c r="DL677" i="4"/>
  <c r="DK677" i="4"/>
  <c r="DJ677" i="4"/>
  <c r="DI677" i="4"/>
  <c r="DH677" i="4"/>
  <c r="DG677" i="4"/>
  <c r="DF677" i="4"/>
  <c r="DE677" i="4"/>
  <c r="DY676" i="4"/>
  <c r="DX676" i="4"/>
  <c r="DP676" i="4"/>
  <c r="DO676" i="4"/>
  <c r="DN676" i="4"/>
  <c r="DM676" i="4"/>
  <c r="DL676" i="4"/>
  <c r="DK676" i="4"/>
  <c r="DJ676" i="4"/>
  <c r="DI676" i="4"/>
  <c r="DH676" i="4"/>
  <c r="DG676" i="4"/>
  <c r="DF676" i="4"/>
  <c r="DE676" i="4"/>
  <c r="DE675" i="4"/>
  <c r="DY674" i="4"/>
  <c r="DX674" i="4"/>
  <c r="DV674" i="4"/>
  <c r="DM674" i="4"/>
  <c r="DL674" i="4"/>
  <c r="DK674" i="4"/>
  <c r="DJ674" i="4"/>
  <c r="DI674" i="4"/>
  <c r="DH674" i="4"/>
  <c r="DG674" i="4"/>
  <c r="DF674" i="4"/>
  <c r="DE674" i="4"/>
  <c r="DO673" i="4"/>
  <c r="DN673" i="4"/>
  <c r="DM673" i="4"/>
  <c r="DL673" i="4"/>
  <c r="DK673" i="4"/>
  <c r="DJ673" i="4"/>
  <c r="DI673" i="4"/>
  <c r="DH673" i="4"/>
  <c r="DG673" i="4"/>
  <c r="DF673" i="4"/>
  <c r="DE673" i="4"/>
  <c r="DY672" i="4"/>
  <c r="DX672" i="4"/>
  <c r="DW672" i="4"/>
  <c r="DV672" i="4"/>
  <c r="DU672" i="4"/>
  <c r="DT672" i="4"/>
  <c r="DS672" i="4"/>
  <c r="DR672" i="4"/>
  <c r="DQ672" i="4"/>
  <c r="DP672" i="4"/>
  <c r="DO672" i="4"/>
  <c r="DN672" i="4"/>
  <c r="DM672" i="4"/>
  <c r="DL672" i="4"/>
  <c r="DK672" i="4"/>
  <c r="DJ672" i="4"/>
  <c r="DI672" i="4"/>
  <c r="DH672" i="4"/>
  <c r="DG672" i="4"/>
  <c r="DF672" i="4"/>
  <c r="DE672" i="4"/>
  <c r="CK668" i="4"/>
  <c r="BV668" i="4"/>
  <c r="DM670" i="4"/>
  <c r="DL670" i="4"/>
  <c r="DK670" i="4"/>
  <c r="DJ670" i="4"/>
  <c r="DI670" i="4"/>
  <c r="DH670" i="4"/>
  <c r="DG670" i="4"/>
  <c r="DF670" i="4"/>
  <c r="DE670" i="4"/>
  <c r="DY669" i="4"/>
  <c r="DX669" i="4"/>
  <c r="DM669" i="4"/>
  <c r="DL669" i="4"/>
  <c r="DK669" i="4"/>
  <c r="DJ669" i="4"/>
  <c r="DI669" i="4"/>
  <c r="DH669" i="4"/>
  <c r="DG669" i="4"/>
  <c r="DF669" i="4"/>
  <c r="DE669" i="4"/>
  <c r="DY668" i="4"/>
  <c r="DX668" i="4"/>
  <c r="DM668" i="4"/>
  <c r="DL668" i="4"/>
  <c r="DK668" i="4"/>
  <c r="DJ668" i="4"/>
  <c r="DI668" i="4"/>
  <c r="DH668" i="4"/>
  <c r="DG668" i="4"/>
  <c r="DF668" i="4"/>
  <c r="DE668" i="4"/>
  <c r="DY667" i="4"/>
  <c r="DX667" i="4"/>
  <c r="DM667" i="4"/>
  <c r="DL667" i="4"/>
  <c r="DK667" i="4"/>
  <c r="DJ667" i="4"/>
  <c r="DI667" i="4"/>
  <c r="DH667" i="4"/>
  <c r="DG667" i="4"/>
  <c r="DF667" i="4"/>
  <c r="DE667" i="4"/>
  <c r="DM666" i="4"/>
  <c r="DL666" i="4"/>
  <c r="DK666" i="4"/>
  <c r="DJ666" i="4"/>
  <c r="DI666" i="4"/>
  <c r="DH666" i="4"/>
  <c r="DG666" i="4"/>
  <c r="DF666" i="4"/>
  <c r="DE666" i="4"/>
  <c r="CY663" i="4"/>
  <c r="CT659" i="4"/>
  <c r="DV659" i="4" s="1"/>
  <c r="CP663" i="4"/>
  <c r="CL663" i="4"/>
  <c r="CK663" i="4"/>
  <c r="CI663" i="4"/>
  <c r="CH663" i="4"/>
  <c r="CG663" i="4"/>
  <c r="CF663" i="4"/>
  <c r="CD663" i="4"/>
  <c r="CC663" i="4"/>
  <c r="CB663" i="4"/>
  <c r="CA663" i="4"/>
  <c r="BY663" i="4"/>
  <c r="BX663" i="4"/>
  <c r="BW663" i="4"/>
  <c r="BV663" i="4"/>
  <c r="BT663" i="4"/>
  <c r="BS663" i="4"/>
  <c r="BR663" i="4"/>
  <c r="BQ663" i="4"/>
  <c r="BO663" i="4"/>
  <c r="BN663" i="4"/>
  <c r="BM663" i="4"/>
  <c r="BL663" i="4"/>
  <c r="BI663" i="4"/>
  <c r="BG663" i="4"/>
  <c r="BC663" i="4"/>
  <c r="BB663" i="4"/>
  <c r="AW663" i="4"/>
  <c r="AU663" i="4"/>
  <c r="AT663" i="4"/>
  <c r="AS663" i="4"/>
  <c r="AR663" i="4"/>
  <c r="AP663" i="4"/>
  <c r="AO663" i="4"/>
  <c r="AN663" i="4"/>
  <c r="AM663" i="4"/>
  <c r="CR662" i="4"/>
  <c r="CQ662" i="4"/>
  <c r="CV662" i="4" s="1"/>
  <c r="CV709" i="4" s="1"/>
  <c r="CP662" i="4"/>
  <c r="CN662" i="4"/>
  <c r="CM662" i="4"/>
  <c r="CL662" i="4"/>
  <c r="CK662" i="4"/>
  <c r="CH662" i="4"/>
  <c r="CG662" i="4"/>
  <c r="CF662" i="4"/>
  <c r="CD662" i="4"/>
  <c r="CC662" i="4"/>
  <c r="CB662" i="4"/>
  <c r="CA662" i="4"/>
  <c r="BY662" i="4"/>
  <c r="BX662" i="4"/>
  <c r="BW662" i="4"/>
  <c r="BV662" i="4"/>
  <c r="BT662" i="4"/>
  <c r="BS662" i="4"/>
  <c r="BR662" i="4"/>
  <c r="BQ662" i="4"/>
  <c r="BM662" i="4"/>
  <c r="BL662" i="4"/>
  <c r="BI662" i="4"/>
  <c r="BH662" i="4"/>
  <c r="BG662" i="4"/>
  <c r="BE662" i="4"/>
  <c r="BD662" i="4"/>
  <c r="BC662" i="4"/>
  <c r="BB662" i="4"/>
  <c r="AZ662" i="4"/>
  <c r="AY662" i="4"/>
  <c r="AX662" i="4"/>
  <c r="AW662" i="4"/>
  <c r="AU662" i="4"/>
  <c r="AT662" i="4"/>
  <c r="AS662" i="4"/>
  <c r="AR662" i="4"/>
  <c r="AP662" i="4"/>
  <c r="AO662" i="4"/>
  <c r="AN662" i="4"/>
  <c r="AM662" i="4"/>
  <c r="CN660" i="4"/>
  <c r="CS660" i="4" s="1"/>
  <c r="CM660" i="4"/>
  <c r="CL660" i="4"/>
  <c r="CQ660" i="4" s="1"/>
  <c r="CV660" i="4" s="1"/>
  <c r="CV708" i="4" s="1"/>
  <c r="CK660" i="4"/>
  <c r="CP660" i="4" s="1"/>
  <c r="CG660" i="4"/>
  <c r="CG682" i="4" s="1"/>
  <c r="CF660" i="4"/>
  <c r="CD660" i="4"/>
  <c r="CC660" i="4"/>
  <c r="CB660" i="4"/>
  <c r="CA660" i="4"/>
  <c r="BV660" i="4"/>
  <c r="BS660" i="4"/>
  <c r="BS669" i="4" s="1"/>
  <c r="BR660" i="4"/>
  <c r="BQ660" i="4"/>
  <c r="BQ669" i="4" s="1"/>
  <c r="BN660" i="4"/>
  <c r="BM660" i="4"/>
  <c r="BL660" i="4"/>
  <c r="BJ660" i="4"/>
  <c r="BJ669" i="4" s="1"/>
  <c r="BI660" i="4"/>
  <c r="BH660" i="4"/>
  <c r="BH669" i="4" s="1"/>
  <c r="BG660" i="4"/>
  <c r="BE660" i="4"/>
  <c r="BD660" i="4"/>
  <c r="BD669" i="4" s="1"/>
  <c r="BC660" i="4"/>
  <c r="BB660" i="4"/>
  <c r="BB669" i="4" s="1"/>
  <c r="AZ660" i="4"/>
  <c r="AY660" i="4"/>
  <c r="AX660" i="4"/>
  <c r="AW660" i="4"/>
  <c r="AS660" i="4"/>
  <c r="AR660" i="4"/>
  <c r="AN660" i="4"/>
  <c r="AM660" i="4"/>
  <c r="DJ664" i="4"/>
  <c r="DI664" i="4"/>
  <c r="DH664" i="4"/>
  <c r="DG664" i="4"/>
  <c r="DF664" i="4"/>
  <c r="DE664" i="4"/>
  <c r="DY663" i="4"/>
  <c r="DX663" i="4"/>
  <c r="DW663" i="4"/>
  <c r="DJ663" i="4"/>
  <c r="DI663" i="4"/>
  <c r="DH663" i="4"/>
  <c r="DG663" i="4"/>
  <c r="DF663" i="4"/>
  <c r="DE663" i="4"/>
  <c r="DY662" i="4"/>
  <c r="DX662" i="4"/>
  <c r="DJ662" i="4"/>
  <c r="DI662" i="4"/>
  <c r="DH662" i="4"/>
  <c r="DG662" i="4"/>
  <c r="DF662" i="4"/>
  <c r="DE662" i="4"/>
  <c r="DJ661" i="4"/>
  <c r="DI661" i="4"/>
  <c r="DH661" i="4"/>
  <c r="DG661" i="4"/>
  <c r="DF661" i="4"/>
  <c r="DE661" i="4"/>
  <c r="DJ660" i="4"/>
  <c r="DI660" i="4"/>
  <c r="DH660" i="4"/>
  <c r="DG660" i="4"/>
  <c r="DF660" i="4"/>
  <c r="DE660" i="4"/>
  <c r="DY659" i="4"/>
  <c r="DX659" i="4"/>
  <c r="DJ659" i="4"/>
  <c r="DI659" i="4"/>
  <c r="DH659" i="4"/>
  <c r="DG659" i="4"/>
  <c r="DF659" i="4"/>
  <c r="DE659" i="4"/>
  <c r="DJ658" i="4"/>
  <c r="DI658" i="4"/>
  <c r="DH658" i="4"/>
  <c r="DG658" i="4"/>
  <c r="DF658" i="4"/>
  <c r="DE658" i="4"/>
  <c r="DJ657" i="4"/>
  <c r="DI657" i="4"/>
  <c r="DH657" i="4"/>
  <c r="DG657" i="4"/>
  <c r="DF657" i="4"/>
  <c r="DE657" i="4"/>
  <c r="CX659" i="4"/>
  <c r="CX711" i="4" s="1"/>
  <c r="CW659" i="4"/>
  <c r="CW711" i="4" s="1"/>
  <c r="CV659" i="4"/>
  <c r="CV711" i="4" s="1"/>
  <c r="CU659" i="4"/>
  <c r="CU711" i="4" s="1"/>
  <c r="CL659" i="4"/>
  <c r="CQ668" i="4" s="1"/>
  <c r="CK659" i="4"/>
  <c r="CI659" i="4"/>
  <c r="CH659" i="4"/>
  <c r="CG659" i="4"/>
  <c r="CF659" i="4"/>
  <c r="CB659" i="4"/>
  <c r="CA659" i="4"/>
  <c r="BY659" i="4"/>
  <c r="BY668" i="4" s="1"/>
  <c r="BX659" i="4"/>
  <c r="BW659" i="4"/>
  <c r="BV659" i="4"/>
  <c r="BT659" i="4"/>
  <c r="BS659" i="4"/>
  <c r="BR659" i="4"/>
  <c r="BQ659" i="4"/>
  <c r="BL659" i="4"/>
  <c r="BJ659" i="4"/>
  <c r="BI659" i="4"/>
  <c r="BH659" i="4"/>
  <c r="BG659" i="4"/>
  <c r="BG668" i="4" s="1"/>
  <c r="BB659" i="4"/>
  <c r="BB668" i="4" s="1"/>
  <c r="AX659" i="4"/>
  <c r="AW659" i="4"/>
  <c r="AS659" i="4"/>
  <c r="AR659" i="4"/>
  <c r="AP659" i="4"/>
  <c r="AO659" i="4"/>
  <c r="AN659" i="4"/>
  <c r="AM659" i="4"/>
  <c r="CL658" i="4"/>
  <c r="CQ658" i="4" s="1"/>
  <c r="CV658" i="4" s="1"/>
  <c r="CV712" i="4" s="1"/>
  <c r="CK658" i="4"/>
  <c r="CG658" i="4"/>
  <c r="CF658" i="4"/>
  <c r="CD658" i="4"/>
  <c r="CC658" i="4"/>
  <c r="CB658" i="4"/>
  <c r="CA658" i="4"/>
  <c r="BY658" i="4"/>
  <c r="BX658" i="4"/>
  <c r="BW658" i="4"/>
  <c r="BV658" i="4"/>
  <c r="BT658" i="4"/>
  <c r="BS658" i="4"/>
  <c r="BR658" i="4"/>
  <c r="BQ658" i="4"/>
  <c r="BO658" i="4"/>
  <c r="BN658" i="4"/>
  <c r="BM658" i="4"/>
  <c r="BL658" i="4"/>
  <c r="BJ658" i="4"/>
  <c r="BI658" i="4"/>
  <c r="BH658" i="4"/>
  <c r="BG658" i="4"/>
  <c r="BE658" i="4"/>
  <c r="BD658" i="4"/>
  <c r="BC658" i="4"/>
  <c r="BC667" i="4" s="1"/>
  <c r="BB658" i="4"/>
  <c r="AX658" i="4"/>
  <c r="AW658" i="4"/>
  <c r="AU658" i="4"/>
  <c r="AT658" i="4"/>
  <c r="AS658" i="4"/>
  <c r="AR658" i="4"/>
  <c r="AP658" i="4"/>
  <c r="AO658" i="4"/>
  <c r="AN658" i="4"/>
  <c r="AM658" i="4"/>
  <c r="CM657" i="4"/>
  <c r="CL657" i="4"/>
  <c r="CK657" i="4"/>
  <c r="CI657" i="4"/>
  <c r="CH657" i="4"/>
  <c r="CG657" i="4"/>
  <c r="CG666" i="4" s="1"/>
  <c r="CC657" i="4"/>
  <c r="CC666" i="4" s="1"/>
  <c r="CB657" i="4"/>
  <c r="BX657" i="4"/>
  <c r="BV657" i="4"/>
  <c r="BV666" i="4" s="1"/>
  <c r="BR657" i="4"/>
  <c r="BQ657" i="4"/>
  <c r="BM657" i="4"/>
  <c r="BL657" i="4"/>
  <c r="BL666" i="4" s="1"/>
  <c r="BH657" i="4"/>
  <c r="BH666" i="4" s="1"/>
  <c r="BG657" i="4"/>
  <c r="BD657" i="4"/>
  <c r="BD666" i="4" s="1"/>
  <c r="BC657" i="4"/>
  <c r="BB657" i="4"/>
  <c r="AY657" i="4"/>
  <c r="AX657" i="4"/>
  <c r="AX661" i="4" s="1"/>
  <c r="AW657" i="4"/>
  <c r="AW661" i="4" s="1"/>
  <c r="AW664" i="4" s="1"/>
  <c r="AS657" i="4"/>
  <c r="AS661" i="4" s="1"/>
  <c r="AS664" i="4" s="1"/>
  <c r="AR657" i="4"/>
  <c r="AR661" i="4" s="1"/>
  <c r="AR664" i="4" s="1"/>
  <c r="AP657" i="4"/>
  <c r="AO657" i="4"/>
  <c r="AN657" i="4"/>
  <c r="AN661" i="4" s="1"/>
  <c r="AN664" i="4" s="1"/>
  <c r="AM657" i="4"/>
  <c r="DA654" i="4"/>
  <c r="DY654" i="4" s="1"/>
  <c r="CZ654" i="4"/>
  <c r="DX654" i="4" s="1"/>
  <c r="CY654" i="4"/>
  <c r="DW654" i="4" s="1"/>
  <c r="CX654" i="4"/>
  <c r="CW654" i="4"/>
  <c r="CV654" i="4"/>
  <c r="CU654" i="4"/>
  <c r="CT654" i="4"/>
  <c r="DV654" i="4" s="1"/>
  <c r="CS654" i="4"/>
  <c r="CR654" i="4"/>
  <c r="CQ654" i="4"/>
  <c r="CP654" i="4"/>
  <c r="CO654" i="4"/>
  <c r="DU654" i="4" s="1"/>
  <c r="CN654" i="4"/>
  <c r="CM654" i="4"/>
  <c r="CL654" i="4"/>
  <c r="CK654" i="4"/>
  <c r="CJ654" i="4"/>
  <c r="DT654" i="4" s="1"/>
  <c r="CI654" i="4"/>
  <c r="CH654" i="4"/>
  <c r="CG654" i="4"/>
  <c r="CF654" i="4"/>
  <c r="CE654" i="4"/>
  <c r="DS654" i="4" s="1"/>
  <c r="CD654" i="4"/>
  <c r="CC654" i="4"/>
  <c r="CB654" i="4"/>
  <c r="CA654" i="4"/>
  <c r="BZ654" i="4"/>
  <c r="DR654" i="4" s="1"/>
  <c r="BY654" i="4"/>
  <c r="BX654" i="4"/>
  <c r="BW654" i="4"/>
  <c r="BV654" i="4"/>
  <c r="BU654" i="4"/>
  <c r="DQ654" i="4" s="1"/>
  <c r="BT654" i="4"/>
  <c r="BS654" i="4"/>
  <c r="BR654" i="4"/>
  <c r="BQ654" i="4"/>
  <c r="BP654" i="4"/>
  <c r="DP654" i="4" s="1"/>
  <c r="BO654" i="4"/>
  <c r="BN654" i="4"/>
  <c r="BM654" i="4"/>
  <c r="BL654" i="4"/>
  <c r="BK654" i="4"/>
  <c r="DO654" i="4" s="1"/>
  <c r="BJ654" i="4"/>
  <c r="BI654" i="4"/>
  <c r="BH654" i="4"/>
  <c r="BG654" i="4"/>
  <c r="BF654" i="4"/>
  <c r="DN654" i="4" s="1"/>
  <c r="BE654" i="4"/>
  <c r="BD654" i="4"/>
  <c r="BC654" i="4"/>
  <c r="BB654" i="4"/>
  <c r="BA654" i="4"/>
  <c r="DM654" i="4" s="1"/>
  <c r="AZ654" i="4"/>
  <c r="AY654" i="4"/>
  <c r="AX654" i="4"/>
  <c r="AW654" i="4"/>
  <c r="AV654" i="4"/>
  <c r="DL654" i="4" s="1"/>
  <c r="AU654" i="4"/>
  <c r="AT654" i="4"/>
  <c r="AS654" i="4"/>
  <c r="AR654" i="4"/>
  <c r="AQ654" i="4"/>
  <c r="DK654" i="4" s="1"/>
  <c r="AP654" i="4"/>
  <c r="AO654" i="4"/>
  <c r="AN654" i="4"/>
  <c r="AM654" i="4"/>
  <c r="AL654" i="4"/>
  <c r="DJ654" i="4" s="1"/>
  <c r="AK654" i="4"/>
  <c r="AJ654" i="4"/>
  <c r="AI654" i="4"/>
  <c r="AH654" i="4"/>
  <c r="AG654" i="4"/>
  <c r="DI654" i="4" s="1"/>
  <c r="AF654" i="4"/>
  <c r="AE654" i="4"/>
  <c r="AD654" i="4"/>
  <c r="AC654" i="4"/>
  <c r="AB654" i="4"/>
  <c r="DH654" i="4" s="1"/>
  <c r="AA654" i="4"/>
  <c r="Z654" i="4"/>
  <c r="Y654" i="4"/>
  <c r="X654" i="4"/>
  <c r="W654" i="4"/>
  <c r="DG654" i="4" s="1"/>
  <c r="V654" i="4"/>
  <c r="U654" i="4"/>
  <c r="T654" i="4"/>
  <c r="S654" i="4"/>
  <c r="R654" i="4"/>
  <c r="DF654" i="4" s="1"/>
  <c r="Q654" i="4"/>
  <c r="P654" i="4"/>
  <c r="O654" i="4"/>
  <c r="N654" i="4"/>
  <c r="M654" i="4"/>
  <c r="DE654" i="4" s="1"/>
  <c r="L654" i="4"/>
  <c r="K654" i="4"/>
  <c r="J654" i="4"/>
  <c r="I654" i="4"/>
  <c r="DY651" i="4"/>
  <c r="DX651" i="4"/>
  <c r="DW651" i="4"/>
  <c r="DE651" i="4"/>
  <c r="CT651" i="4"/>
  <c r="DV651" i="4" s="1"/>
  <c r="CO651" i="4"/>
  <c r="DU651" i="4" s="1"/>
  <c r="CG649" i="4"/>
  <c r="BW649" i="4"/>
  <c r="BH649" i="4"/>
  <c r="AI649" i="4"/>
  <c r="CY648" i="4"/>
  <c r="DW648" i="4" s="1"/>
  <c r="CT648" i="4"/>
  <c r="DV648" i="4" s="1"/>
  <c r="CO648" i="4"/>
  <c r="CJ648" i="4"/>
  <c r="CE648" i="4"/>
  <c r="DS648" i="4" s="1"/>
  <c r="BZ648" i="4"/>
  <c r="DR648" i="4" s="1"/>
  <c r="BU648" i="4"/>
  <c r="BP648" i="4"/>
  <c r="BK648" i="4"/>
  <c r="DO648" i="4" s="1"/>
  <c r="BF648" i="4"/>
  <c r="DN648" i="4" s="1"/>
  <c r="BA648" i="4"/>
  <c r="AV648" i="4"/>
  <c r="AQ648" i="4"/>
  <c r="DK648" i="4" s="1"/>
  <c r="AL648" i="4"/>
  <c r="AF648" i="4"/>
  <c r="AG648" i="4" s="1"/>
  <c r="DI648" i="4" s="1"/>
  <c r="AB648" i="4"/>
  <c r="AA648" i="4"/>
  <c r="W648" i="4"/>
  <c r="DG648" i="4" s="1"/>
  <c r="Q648" i="4"/>
  <c r="R648" i="4" s="1"/>
  <c r="DF648" i="4" s="1"/>
  <c r="DE649" i="4"/>
  <c r="DY648" i="4"/>
  <c r="DX648" i="4"/>
  <c r="DU648" i="4"/>
  <c r="DT648" i="4"/>
  <c r="DQ648" i="4"/>
  <c r="DP648" i="4"/>
  <c r="DM648" i="4"/>
  <c r="DL648" i="4"/>
  <c r="DH648" i="4"/>
  <c r="DE648" i="4"/>
  <c r="DE647" i="4"/>
  <c r="CI647" i="4"/>
  <c r="CI649" i="4" s="1"/>
  <c r="CH647" i="4"/>
  <c r="CH649" i="4" s="1"/>
  <c r="CG647" i="4"/>
  <c r="CF647" i="4"/>
  <c r="CF649" i="4" s="1"/>
  <c r="CD647" i="4"/>
  <c r="CD649" i="4" s="1"/>
  <c r="CC647" i="4"/>
  <c r="CB647" i="4"/>
  <c r="CB649" i="4" s="1"/>
  <c r="CA647" i="4"/>
  <c r="CA649" i="4" s="1"/>
  <c r="BY647" i="4"/>
  <c r="BY649" i="4" s="1"/>
  <c r="BX647" i="4"/>
  <c r="BX649" i="4" s="1"/>
  <c r="BW647" i="4"/>
  <c r="BV647" i="4"/>
  <c r="BV649" i="4" s="1"/>
  <c r="BT647" i="4"/>
  <c r="BT649" i="4" s="1"/>
  <c r="BS647" i="4"/>
  <c r="BU647" i="4" s="1"/>
  <c r="DQ647" i="4" s="1"/>
  <c r="BR647" i="4"/>
  <c r="BR649" i="4" s="1"/>
  <c r="BQ647" i="4"/>
  <c r="BQ649" i="4" s="1"/>
  <c r="BO647" i="4"/>
  <c r="BO649" i="4" s="1"/>
  <c r="BN647" i="4"/>
  <c r="BN649" i="4" s="1"/>
  <c r="BM647" i="4"/>
  <c r="BM649" i="4" s="1"/>
  <c r="BL647" i="4"/>
  <c r="BL649" i="4" s="1"/>
  <c r="BJ647" i="4"/>
  <c r="BJ649" i="4" s="1"/>
  <c r="BI647" i="4"/>
  <c r="BH647" i="4"/>
  <c r="BG647" i="4"/>
  <c r="BG649" i="4" s="1"/>
  <c r="BE647" i="4"/>
  <c r="BE649" i="4" s="1"/>
  <c r="BC647" i="4"/>
  <c r="BC649" i="4" s="1"/>
  <c r="BB647" i="4"/>
  <c r="BB649" i="4" s="1"/>
  <c r="AZ647" i="4"/>
  <c r="AZ649" i="4" s="1"/>
  <c r="AY647" i="4"/>
  <c r="AX647" i="4"/>
  <c r="AX649" i="4" s="1"/>
  <c r="AW647" i="4"/>
  <c r="AW649" i="4" s="1"/>
  <c r="AU647" i="4"/>
  <c r="AU649" i="4" s="1"/>
  <c r="AT647" i="4"/>
  <c r="AT649" i="4" s="1"/>
  <c r="AS647" i="4"/>
  <c r="AS649" i="4" s="1"/>
  <c r="AR647" i="4"/>
  <c r="AR649" i="4" s="1"/>
  <c r="AP647" i="4"/>
  <c r="AP649" i="4" s="1"/>
  <c r="AO647" i="4"/>
  <c r="AN647" i="4"/>
  <c r="AN649" i="4" s="1"/>
  <c r="AM647" i="4"/>
  <c r="AM649" i="4" s="1"/>
  <c r="AK647" i="4"/>
  <c r="AK649" i="4" s="1"/>
  <c r="AJ647" i="4"/>
  <c r="AJ649" i="4" s="1"/>
  <c r="AI647" i="4"/>
  <c r="AH647" i="4"/>
  <c r="AH649" i="4" s="1"/>
  <c r="AF647" i="4"/>
  <c r="AF649" i="4" s="1"/>
  <c r="AE647" i="4"/>
  <c r="AE649" i="4" s="1"/>
  <c r="AD647" i="4"/>
  <c r="AD649" i="4" s="1"/>
  <c r="AC647" i="4"/>
  <c r="AC649" i="4" s="1"/>
  <c r="AA647" i="4"/>
  <c r="AA649" i="4" s="1"/>
  <c r="Z647" i="4"/>
  <c r="Z649" i="4" s="1"/>
  <c r="Y647" i="4"/>
  <c r="Y649" i="4" s="1"/>
  <c r="X647" i="4"/>
  <c r="X649" i="4" s="1"/>
  <c r="U647" i="4"/>
  <c r="U649" i="4" s="1"/>
  <c r="T647" i="4"/>
  <c r="T649" i="4" s="1"/>
  <c r="S647" i="4"/>
  <c r="S649" i="4" s="1"/>
  <c r="DE645" i="4"/>
  <c r="AN644" i="4"/>
  <c r="AN645" i="4" s="1"/>
  <c r="AA644" i="4"/>
  <c r="Z644" i="4"/>
  <c r="Y644" i="4"/>
  <c r="X644" i="4"/>
  <c r="V644" i="4"/>
  <c r="U644" i="4"/>
  <c r="T644" i="4"/>
  <c r="S644" i="4"/>
  <c r="S645" i="4" s="1"/>
  <c r="R644" i="4"/>
  <c r="Q644" i="4"/>
  <c r="O644" i="4"/>
  <c r="N644" i="4"/>
  <c r="DY641" i="4"/>
  <c r="DX641" i="4"/>
  <c r="DW641" i="4"/>
  <c r="DV641" i="4"/>
  <c r="DU641" i="4"/>
  <c r="DF641" i="4"/>
  <c r="CR641" i="4"/>
  <c r="CR644" i="4" s="1"/>
  <c r="CR645" i="4" s="1"/>
  <c r="CQ641" i="4"/>
  <c r="CQ644" i="4" s="1"/>
  <c r="CP641" i="4"/>
  <c r="CP644" i="4" s="1"/>
  <c r="CN641" i="4"/>
  <c r="CN644" i="4" s="1"/>
  <c r="CN645" i="4" s="1"/>
  <c r="CM641" i="4"/>
  <c r="CM644" i="4" s="1"/>
  <c r="CL641" i="4"/>
  <c r="CL644" i="4" s="1"/>
  <c r="CK641" i="4"/>
  <c r="CK644" i="4" s="1"/>
  <c r="CI641" i="4"/>
  <c r="CI644" i="4" s="1"/>
  <c r="CH641" i="4"/>
  <c r="CH644" i="4" s="1"/>
  <c r="CG641" i="4"/>
  <c r="CG644" i="4" s="1"/>
  <c r="CF641" i="4"/>
  <c r="CD641" i="4"/>
  <c r="CD644" i="4" s="1"/>
  <c r="CC641" i="4"/>
  <c r="CC644" i="4" s="1"/>
  <c r="CB641" i="4"/>
  <c r="CB644" i="4" s="1"/>
  <c r="CA641" i="4"/>
  <c r="CA644" i="4" s="1"/>
  <c r="BY641" i="4"/>
  <c r="BY644" i="4" s="1"/>
  <c r="BX641" i="4"/>
  <c r="BX644" i="4" s="1"/>
  <c r="BX645" i="4" s="1"/>
  <c r="BW641" i="4"/>
  <c r="BW644" i="4" s="1"/>
  <c r="BV641" i="4"/>
  <c r="BV644" i="4" s="1"/>
  <c r="BT641" i="4"/>
  <c r="BT644" i="4" s="1"/>
  <c r="BS641" i="4"/>
  <c r="BS644" i="4" s="1"/>
  <c r="BR641" i="4"/>
  <c r="BR644" i="4" s="1"/>
  <c r="BQ641" i="4"/>
  <c r="BQ644" i="4" s="1"/>
  <c r="BO641" i="4"/>
  <c r="BO644" i="4" s="1"/>
  <c r="BN641" i="4"/>
  <c r="BN644" i="4" s="1"/>
  <c r="BM641" i="4"/>
  <c r="BM644" i="4" s="1"/>
  <c r="BL641" i="4"/>
  <c r="BL644" i="4" s="1"/>
  <c r="BJ641" i="4"/>
  <c r="BJ644" i="4" s="1"/>
  <c r="BI641" i="4"/>
  <c r="BI644" i="4" s="1"/>
  <c r="BH641" i="4"/>
  <c r="BH644" i="4" s="1"/>
  <c r="BG641" i="4"/>
  <c r="BG644" i="4" s="1"/>
  <c r="BE641" i="4"/>
  <c r="BE644" i="4" s="1"/>
  <c r="BD641" i="4"/>
  <c r="BD644" i="4" s="1"/>
  <c r="BC641" i="4"/>
  <c r="BC644" i="4" s="1"/>
  <c r="BB641" i="4"/>
  <c r="BB644" i="4" s="1"/>
  <c r="AZ641" i="4"/>
  <c r="AZ644" i="4" s="1"/>
  <c r="AY641" i="4"/>
  <c r="AY644" i="4" s="1"/>
  <c r="AX641" i="4"/>
  <c r="AX644" i="4" s="1"/>
  <c r="AW641" i="4"/>
  <c r="AW644" i="4" s="1"/>
  <c r="AU641" i="4"/>
  <c r="AU644" i="4" s="1"/>
  <c r="AT641" i="4"/>
  <c r="AT644" i="4" s="1"/>
  <c r="AS641" i="4"/>
  <c r="AS644" i="4" s="1"/>
  <c r="AR641" i="4"/>
  <c r="AP641" i="4"/>
  <c r="AP644" i="4" s="1"/>
  <c r="AO641" i="4"/>
  <c r="AO644" i="4" s="1"/>
  <c r="AN641" i="4"/>
  <c r="AM641" i="4"/>
  <c r="AM644" i="4" s="1"/>
  <c r="AK641" i="4"/>
  <c r="AK644" i="4" s="1"/>
  <c r="AJ641" i="4"/>
  <c r="AJ644" i="4" s="1"/>
  <c r="AI641" i="4"/>
  <c r="AI644" i="4" s="1"/>
  <c r="AH641" i="4"/>
  <c r="AH644" i="4" s="1"/>
  <c r="AF641" i="4"/>
  <c r="AF644" i="4" s="1"/>
  <c r="AF645" i="4" s="1"/>
  <c r="AE641" i="4"/>
  <c r="AE644" i="4" s="1"/>
  <c r="AE645" i="4" s="1"/>
  <c r="AD641" i="4"/>
  <c r="AD644" i="4" s="1"/>
  <c r="AD645" i="4" s="1"/>
  <c r="AC641" i="4"/>
  <c r="AC644" i="4" s="1"/>
  <c r="AB641" i="4"/>
  <c r="DH641" i="4" s="1"/>
  <c r="W641" i="4"/>
  <c r="W644" i="4" s="1"/>
  <c r="W645" i="4" s="1"/>
  <c r="DG645" i="4" s="1"/>
  <c r="P641" i="4"/>
  <c r="P644" i="4" s="1"/>
  <c r="K641" i="4"/>
  <c r="J641" i="4"/>
  <c r="J644" i="4" s="1"/>
  <c r="I641" i="4"/>
  <c r="I644" i="4" s="1"/>
  <c r="CR639" i="4"/>
  <c r="CQ639" i="4"/>
  <c r="CP639" i="4"/>
  <c r="CN639" i="4"/>
  <c r="CL639" i="4"/>
  <c r="CK639" i="4"/>
  <c r="CI639" i="4"/>
  <c r="CH639" i="4"/>
  <c r="CG639" i="4"/>
  <c r="CF639" i="4"/>
  <c r="CJ639" i="4" s="1"/>
  <c r="CD639" i="4"/>
  <c r="CC639" i="4"/>
  <c r="CB639" i="4"/>
  <c r="CA639" i="4"/>
  <c r="CE639" i="4" s="1"/>
  <c r="BY639" i="4"/>
  <c r="BX639" i="4"/>
  <c r="BW639" i="4"/>
  <c r="BV639" i="4"/>
  <c r="BZ639" i="4" s="1"/>
  <c r="BT639" i="4"/>
  <c r="BS639" i="4"/>
  <c r="BR639" i="4"/>
  <c r="BQ639" i="4"/>
  <c r="BU639" i="4" s="1"/>
  <c r="BO639" i="4"/>
  <c r="BN639" i="4"/>
  <c r="BM639" i="4"/>
  <c r="BL639" i="4"/>
  <c r="BJ639" i="4"/>
  <c r="BI639" i="4"/>
  <c r="BH639" i="4"/>
  <c r="BG639" i="4"/>
  <c r="BF639" i="4"/>
  <c r="BA639" i="4"/>
  <c r="DM639" i="4" s="1"/>
  <c r="AV639" i="4"/>
  <c r="DL639" i="4" s="1"/>
  <c r="AQ639" i="4"/>
  <c r="DK639" i="4" s="1"/>
  <c r="AK639" i="4"/>
  <c r="AJ639" i="4"/>
  <c r="AI639" i="4"/>
  <c r="DN639" i="4"/>
  <c r="DN638" i="4"/>
  <c r="BP633" i="4"/>
  <c r="BK633" i="4"/>
  <c r="DO633" i="4" s="1"/>
  <c r="W633" i="4"/>
  <c r="R633" i="4"/>
  <c r="M633" i="4"/>
  <c r="DE633" i="4" s="1"/>
  <c r="DY634" i="4"/>
  <c r="DX634" i="4"/>
  <c r="DW634" i="4"/>
  <c r="DV634" i="4"/>
  <c r="DU634" i="4"/>
  <c r="DT634" i="4"/>
  <c r="DS634" i="4"/>
  <c r="DR634" i="4"/>
  <c r="DY633" i="4"/>
  <c r="DX633" i="4"/>
  <c r="DW633" i="4"/>
  <c r="DV633" i="4"/>
  <c r="DU633" i="4"/>
  <c r="DT633" i="4"/>
  <c r="DS633" i="4"/>
  <c r="DR633" i="4"/>
  <c r="DP633" i="4"/>
  <c r="DN633" i="4"/>
  <c r="DM633" i="4"/>
  <c r="DL633" i="4"/>
  <c r="DK633" i="4"/>
  <c r="DJ633" i="4"/>
  <c r="DI633" i="4"/>
  <c r="DH633" i="4"/>
  <c r="DG633" i="4"/>
  <c r="DY632" i="4"/>
  <c r="DX632" i="4"/>
  <c r="DW632" i="4"/>
  <c r="DV632" i="4"/>
  <c r="DU632" i="4"/>
  <c r="DT632" i="4"/>
  <c r="DS632" i="4"/>
  <c r="DR632" i="4"/>
  <c r="DQ632" i="4"/>
  <c r="DP632" i="4"/>
  <c r="DO632" i="4"/>
  <c r="DN632" i="4"/>
  <c r="DM632" i="4"/>
  <c r="DL632" i="4"/>
  <c r="DK632" i="4"/>
  <c r="DJ632" i="4"/>
  <c r="DI632" i="4"/>
  <c r="DH632" i="4"/>
  <c r="DG632" i="4"/>
  <c r="DF632" i="4"/>
  <c r="DE632" i="4"/>
  <c r="DY631" i="4"/>
  <c r="DX631" i="4"/>
  <c r="DW631" i="4"/>
  <c r="DV631" i="4"/>
  <c r="DU631" i="4"/>
  <c r="DT631" i="4"/>
  <c r="DS631" i="4"/>
  <c r="DR631" i="4"/>
  <c r="DQ631" i="4"/>
  <c r="DP631" i="4"/>
  <c r="DO631" i="4"/>
  <c r="DN631" i="4"/>
  <c r="DM631" i="4"/>
  <c r="DL631" i="4"/>
  <c r="DK631" i="4"/>
  <c r="DJ631" i="4"/>
  <c r="DI631" i="4"/>
  <c r="DH631" i="4"/>
  <c r="DG631" i="4"/>
  <c r="DF631" i="4"/>
  <c r="DE631" i="4"/>
  <c r="DY630" i="4"/>
  <c r="DX630" i="4"/>
  <c r="DW630" i="4"/>
  <c r="DV630" i="4"/>
  <c r="DU630" i="4"/>
  <c r="DT630" i="4"/>
  <c r="DS630" i="4"/>
  <c r="DR630" i="4"/>
  <c r="DQ630" i="4"/>
  <c r="DP630" i="4"/>
  <c r="DO630" i="4"/>
  <c r="DN630" i="4"/>
  <c r="DM630" i="4"/>
  <c r="DL630" i="4"/>
  <c r="DK630" i="4"/>
  <c r="DJ630" i="4"/>
  <c r="DI630" i="4"/>
  <c r="DH630" i="4"/>
  <c r="DG630" i="4"/>
  <c r="DF630" i="4"/>
  <c r="DE630" i="4"/>
  <c r="DY629" i="4"/>
  <c r="DX629" i="4"/>
  <c r="DW629" i="4"/>
  <c r="DV629" i="4"/>
  <c r="DU629" i="4"/>
  <c r="DT629" i="4"/>
  <c r="DS629" i="4"/>
  <c r="DR629" i="4"/>
  <c r="DP629" i="4"/>
  <c r="DO629" i="4"/>
  <c r="DN629" i="4"/>
  <c r="DM629" i="4"/>
  <c r="DL629" i="4"/>
  <c r="DK629" i="4"/>
  <c r="DJ629" i="4"/>
  <c r="DI629" i="4"/>
  <c r="DH629" i="4"/>
  <c r="DG629" i="4"/>
  <c r="DF629" i="4"/>
  <c r="DE629" i="4"/>
  <c r="BU629" i="4"/>
  <c r="DQ629" i="4" s="1"/>
  <c r="BV626" i="4"/>
  <c r="BU626" i="4"/>
  <c r="BS626" i="4"/>
  <c r="BR626" i="4"/>
  <c r="BQ626" i="4"/>
  <c r="BP626" i="4"/>
  <c r="BO626" i="4"/>
  <c r="BN626" i="4"/>
  <c r="BM626" i="4"/>
  <c r="BL626" i="4"/>
  <c r="BK626" i="4"/>
  <c r="DO626" i="4" s="1"/>
  <c r="BI626" i="4"/>
  <c r="BH626" i="4"/>
  <c r="BF626" i="4"/>
  <c r="DN626" i="4" s="1"/>
  <c r="BA626" i="4"/>
  <c r="AV626" i="4"/>
  <c r="DL626" i="4" s="1"/>
  <c r="DY626" i="4"/>
  <c r="DX626" i="4"/>
  <c r="DW626" i="4"/>
  <c r="DV626" i="4"/>
  <c r="DU626" i="4"/>
  <c r="DT626" i="4"/>
  <c r="DS626" i="4"/>
  <c r="DR626" i="4"/>
  <c r="DQ626" i="4"/>
  <c r="DP626" i="4"/>
  <c r="DM626" i="4"/>
  <c r="DJ626" i="4"/>
  <c r="DI626" i="4"/>
  <c r="DE626" i="4"/>
  <c r="DY625" i="4"/>
  <c r="DX625" i="4"/>
  <c r="DW625" i="4"/>
  <c r="DV625" i="4"/>
  <c r="DU625" i="4"/>
  <c r="DT625" i="4"/>
  <c r="DS625" i="4"/>
  <c r="DR625" i="4"/>
  <c r="DQ625" i="4"/>
  <c r="DP625" i="4"/>
  <c r="DO625" i="4"/>
  <c r="DN625" i="4"/>
  <c r="DM625" i="4"/>
  <c r="DL625" i="4"/>
  <c r="DK625" i="4"/>
  <c r="BT625" i="4"/>
  <c r="BO625" i="4"/>
  <c r="BJ625" i="4"/>
  <c r="BB625" i="4"/>
  <c r="AH625" i="4"/>
  <c r="AH626" i="4" s="1"/>
  <c r="AE625" i="4"/>
  <c r="AD625" i="4"/>
  <c r="AF625" i="4" s="1"/>
  <c r="AC625" i="4"/>
  <c r="Z625" i="4"/>
  <c r="Y625" i="4"/>
  <c r="X625" i="4"/>
  <c r="V625" i="4"/>
  <c r="U625" i="4"/>
  <c r="T625" i="4"/>
  <c r="S625" i="4"/>
  <c r="Q625" i="4"/>
  <c r="P625" i="4"/>
  <c r="O625" i="4"/>
  <c r="N625" i="4"/>
  <c r="L625" i="4"/>
  <c r="K625" i="4"/>
  <c r="J625" i="4"/>
  <c r="I625" i="4"/>
  <c r="M625" i="4" s="1"/>
  <c r="DE625" i="4" s="1"/>
  <c r="BO623" i="4"/>
  <c r="BN623" i="4"/>
  <c r="BM623" i="4"/>
  <c r="BL623" i="4"/>
  <c r="CO622" i="4"/>
  <c r="CJ622" i="4"/>
  <c r="BP622" i="4"/>
  <c r="DP622" i="4" s="1"/>
  <c r="BK622" i="4"/>
  <c r="DO622" i="4" s="1"/>
  <c r="DY623" i="4"/>
  <c r="DX623" i="4"/>
  <c r="DW623" i="4"/>
  <c r="DV623" i="4"/>
  <c r="DU623" i="4"/>
  <c r="DT623" i="4"/>
  <c r="DS623" i="4"/>
  <c r="DR623" i="4"/>
  <c r="DQ623" i="4"/>
  <c r="DO623" i="4"/>
  <c r="DN623" i="4"/>
  <c r="DM623" i="4"/>
  <c r="DL623" i="4"/>
  <c r="DK623" i="4"/>
  <c r="DJ623" i="4"/>
  <c r="DI623" i="4"/>
  <c r="DH623" i="4"/>
  <c r="DG623" i="4"/>
  <c r="DF623" i="4"/>
  <c r="DE623" i="4"/>
  <c r="DY622" i="4"/>
  <c r="DX622" i="4"/>
  <c r="DW622" i="4"/>
  <c r="DV622" i="4"/>
  <c r="DU622" i="4"/>
  <c r="DT622" i="4"/>
  <c r="DS622" i="4"/>
  <c r="DR622" i="4"/>
  <c r="DQ622" i="4"/>
  <c r="DN622" i="4"/>
  <c r="DM622" i="4"/>
  <c r="DL622" i="4"/>
  <c r="DK622" i="4"/>
  <c r="DJ622" i="4"/>
  <c r="DI622" i="4"/>
  <c r="DH622" i="4"/>
  <c r="DG622" i="4"/>
  <c r="DF622" i="4"/>
  <c r="DE622" i="4"/>
  <c r="DY621" i="4"/>
  <c r="DX621" i="4"/>
  <c r="DW621" i="4"/>
  <c r="DV621" i="4"/>
  <c r="DU621" i="4"/>
  <c r="DT621" i="4"/>
  <c r="DS621" i="4"/>
  <c r="DR621" i="4"/>
  <c r="DQ621" i="4"/>
  <c r="DP621" i="4"/>
  <c r="DO621" i="4"/>
  <c r="DN621" i="4"/>
  <c r="DM621" i="4"/>
  <c r="DL621" i="4"/>
  <c r="DK621" i="4"/>
  <c r="DJ621" i="4"/>
  <c r="DI621" i="4"/>
  <c r="DH621" i="4"/>
  <c r="DG621" i="4"/>
  <c r="DF621" i="4"/>
  <c r="DE621" i="4"/>
  <c r="CR619" i="4"/>
  <c r="CQ619" i="4"/>
  <c r="CP619" i="4"/>
  <c r="CH619" i="4"/>
  <c r="CT615" i="4"/>
  <c r="CM618" i="4"/>
  <c r="CL618" i="4"/>
  <c r="CK618" i="4"/>
  <c r="CJ618" i="4"/>
  <c r="CI618" i="4"/>
  <c r="CH618" i="4"/>
  <c r="CG618" i="4"/>
  <c r="CF618" i="4"/>
  <c r="CE618" i="4"/>
  <c r="CM616" i="4"/>
  <c r="CL616" i="4"/>
  <c r="CK616" i="4"/>
  <c r="CJ616" i="4"/>
  <c r="DT616" i="4" s="1"/>
  <c r="CI616" i="4"/>
  <c r="CN619" i="4" s="1"/>
  <c r="CH616" i="4"/>
  <c r="CH617" i="4" s="1"/>
  <c r="CG616" i="4"/>
  <c r="CF616" i="4"/>
  <c r="CF617" i="4" s="1"/>
  <c r="BT617" i="4"/>
  <c r="BS617" i="4"/>
  <c r="BR617" i="4"/>
  <c r="BQ617" i="4"/>
  <c r="BO617" i="4"/>
  <c r="BM617" i="4"/>
  <c r="BL617" i="4"/>
  <c r="CD616" i="4"/>
  <c r="CC616" i="4"/>
  <c r="CB616" i="4"/>
  <c r="CA616" i="4"/>
  <c r="BY616" i="4"/>
  <c r="BX616" i="4"/>
  <c r="BW616" i="4"/>
  <c r="BV616" i="4"/>
  <c r="BT616" i="4"/>
  <c r="BY619" i="4" s="1"/>
  <c r="BS616" i="4"/>
  <c r="BR616" i="4"/>
  <c r="BR619" i="4" s="1"/>
  <c r="BQ616" i="4"/>
  <c r="BQ619" i="4" s="1"/>
  <c r="BO616" i="4"/>
  <c r="BM616" i="4"/>
  <c r="BL616" i="4"/>
  <c r="BJ616" i="4"/>
  <c r="BI616" i="4"/>
  <c r="BH616" i="4"/>
  <c r="BM619" i="4" s="1"/>
  <c r="BG616" i="4"/>
  <c r="DY617" i="4"/>
  <c r="DX617" i="4"/>
  <c r="DO617" i="4"/>
  <c r="DN617" i="4"/>
  <c r="DM617" i="4"/>
  <c r="DL617" i="4"/>
  <c r="DK617" i="4"/>
  <c r="DJ617" i="4"/>
  <c r="DI617" i="4"/>
  <c r="DH617" i="4"/>
  <c r="DG617" i="4"/>
  <c r="DF617" i="4"/>
  <c r="DE617" i="4"/>
  <c r="DN616" i="4"/>
  <c r="DM616" i="4"/>
  <c r="DL616" i="4"/>
  <c r="DK616" i="4"/>
  <c r="DJ616" i="4"/>
  <c r="DI616" i="4"/>
  <c r="DH616" i="4"/>
  <c r="DG616" i="4"/>
  <c r="DF616" i="4"/>
  <c r="DE616" i="4"/>
  <c r="DY615" i="4"/>
  <c r="DX615" i="4"/>
  <c r="DV615" i="4"/>
  <c r="DO615" i="4"/>
  <c r="DN615" i="4"/>
  <c r="DM615" i="4"/>
  <c r="DL615" i="4"/>
  <c r="DK615" i="4"/>
  <c r="DJ615" i="4"/>
  <c r="DI615" i="4"/>
  <c r="DH615" i="4"/>
  <c r="DG615" i="4"/>
  <c r="DF615" i="4"/>
  <c r="DE615" i="4"/>
  <c r="CN615" i="4"/>
  <c r="CN614" i="4" s="1"/>
  <c r="CO614" i="4" s="1"/>
  <c r="CN613" i="4"/>
  <c r="CO613" i="4" s="1"/>
  <c r="CO618" i="4" s="1"/>
  <c r="CN612" i="4"/>
  <c r="CO612" i="4" s="1"/>
  <c r="CJ615" i="4"/>
  <c r="DT615" i="4" s="1"/>
  <c r="CE615" i="4"/>
  <c r="DS615" i="4" s="1"/>
  <c r="BZ615" i="4"/>
  <c r="DR615" i="4" s="1"/>
  <c r="BU615" i="4"/>
  <c r="DQ615" i="4" s="1"/>
  <c r="BN615" i="4"/>
  <c r="BP615" i="4" s="1"/>
  <c r="DP615" i="4" s="1"/>
  <c r="CX615" i="4"/>
  <c r="CW615" i="4"/>
  <c r="CV615" i="4"/>
  <c r="CU615" i="4"/>
  <c r="CX614" i="4"/>
  <c r="CW614" i="4"/>
  <c r="CV614" i="4"/>
  <c r="CY614" i="4"/>
  <c r="CR613" i="4"/>
  <c r="CQ613" i="4"/>
  <c r="CP613" i="4"/>
  <c r="CS612" i="4"/>
  <c r="CR612" i="4"/>
  <c r="CW612" i="4" s="1"/>
  <c r="CQ612" i="4"/>
  <c r="CV612" i="4" s="1"/>
  <c r="CP612" i="4"/>
  <c r="CJ612" i="4"/>
  <c r="DT612" i="4" s="1"/>
  <c r="CE612" i="4"/>
  <c r="DS612" i="4" s="1"/>
  <c r="BZ612" i="4"/>
  <c r="BZ617" i="4" s="1"/>
  <c r="DR617" i="4" s="1"/>
  <c r="BU612" i="4"/>
  <c r="BU616" i="4" s="1"/>
  <c r="DQ616" i="4" s="1"/>
  <c r="BP612" i="4"/>
  <c r="BK612" i="4"/>
  <c r="DO612" i="4" s="1"/>
  <c r="DQ612" i="4"/>
  <c r="DN612" i="4"/>
  <c r="DM612" i="4"/>
  <c r="DL612" i="4"/>
  <c r="DK612" i="4"/>
  <c r="DJ612" i="4"/>
  <c r="DI612" i="4"/>
  <c r="DH612" i="4"/>
  <c r="DG612" i="4"/>
  <c r="DF612" i="4"/>
  <c r="DE612" i="4"/>
  <c r="DY611" i="4"/>
  <c r="DX611" i="4"/>
  <c r="DW611" i="4"/>
  <c r="DV611" i="4"/>
  <c r="DU611" i="4"/>
  <c r="DT611" i="4"/>
  <c r="DS611" i="4"/>
  <c r="DR611" i="4"/>
  <c r="DQ611" i="4"/>
  <c r="DP611" i="4"/>
  <c r="DO611" i="4"/>
  <c r="DN611" i="4"/>
  <c r="DM611" i="4"/>
  <c r="DL611" i="4"/>
  <c r="DK611" i="4"/>
  <c r="DJ611" i="4"/>
  <c r="DI611" i="4"/>
  <c r="DH611" i="4"/>
  <c r="DG611" i="4"/>
  <c r="DF611" i="4"/>
  <c r="DE611" i="4"/>
  <c r="DA609" i="4"/>
  <c r="CZ609" i="4"/>
  <c r="CY609" i="4"/>
  <c r="CX609" i="4"/>
  <c r="CW609" i="4"/>
  <c r="CV609" i="4"/>
  <c r="CU609" i="4"/>
  <c r="CT609" i="4"/>
  <c r="CS609" i="4"/>
  <c r="CR609" i="4"/>
  <c r="CQ609" i="4"/>
  <c r="CP609" i="4"/>
  <c r="CO609" i="4"/>
  <c r="CN609" i="4"/>
  <c r="CM609" i="4"/>
  <c r="CL609" i="4"/>
  <c r="CK609" i="4"/>
  <c r="CJ609" i="4"/>
  <c r="CI609" i="4"/>
  <c r="CH609" i="4"/>
  <c r="CG609" i="4"/>
  <c r="CF609" i="4"/>
  <c r="CE609" i="4"/>
  <c r="CD609" i="4"/>
  <c r="CC609" i="4"/>
  <c r="CB609" i="4"/>
  <c r="CA609" i="4"/>
  <c r="BZ609" i="4"/>
  <c r="BY609" i="4"/>
  <c r="BX609" i="4"/>
  <c r="BW609" i="4"/>
  <c r="BV609" i="4"/>
  <c r="BU609" i="4"/>
  <c r="BT609" i="4"/>
  <c r="BS609" i="4"/>
  <c r="BR609" i="4"/>
  <c r="BQ609" i="4"/>
  <c r="BP609" i="4"/>
  <c r="BO609" i="4"/>
  <c r="BN609" i="4"/>
  <c r="BM609" i="4"/>
  <c r="BL609" i="4"/>
  <c r="BK609" i="4"/>
  <c r="BJ609" i="4"/>
  <c r="BI609" i="4"/>
  <c r="BH609" i="4"/>
  <c r="BG609" i="4"/>
  <c r="BF609" i="4"/>
  <c r="BE609" i="4"/>
  <c r="BD609" i="4"/>
  <c r="BC609" i="4"/>
  <c r="BB609" i="4"/>
  <c r="BA609" i="4"/>
  <c r="AZ609" i="4"/>
  <c r="AY609" i="4"/>
  <c r="AX609" i="4"/>
  <c r="AW609" i="4"/>
  <c r="AV609" i="4"/>
  <c r="AU609" i="4"/>
  <c r="AT609" i="4"/>
  <c r="AS609" i="4"/>
  <c r="AR609" i="4"/>
  <c r="AQ609" i="4"/>
  <c r="AP609" i="4"/>
  <c r="AO609" i="4"/>
  <c r="AN609" i="4"/>
  <c r="AM609" i="4"/>
  <c r="AL609" i="4"/>
  <c r="AK609" i="4"/>
  <c r="AJ609" i="4"/>
  <c r="AI609" i="4"/>
  <c r="AH609" i="4"/>
  <c r="AG609" i="4"/>
  <c r="AF609" i="4"/>
  <c r="AE609" i="4"/>
  <c r="AD609" i="4"/>
  <c r="AC609" i="4"/>
  <c r="AB609" i="4"/>
  <c r="AA609" i="4"/>
  <c r="Z609" i="4"/>
  <c r="Y609" i="4"/>
  <c r="X609" i="4"/>
  <c r="W609" i="4"/>
  <c r="V609" i="4"/>
  <c r="U609" i="4"/>
  <c r="T609" i="4"/>
  <c r="S609" i="4"/>
  <c r="R609" i="4"/>
  <c r="Q609" i="4"/>
  <c r="P609" i="4"/>
  <c r="O609" i="4"/>
  <c r="N609" i="4"/>
  <c r="M609" i="4"/>
  <c r="L609" i="4"/>
  <c r="K609" i="4"/>
  <c r="J609" i="4"/>
  <c r="I609" i="4"/>
  <c r="BU607" i="4"/>
  <c r="DQ607" i="4" s="1"/>
  <c r="BU606" i="4"/>
  <c r="BJ607" i="4"/>
  <c r="DY607" i="4"/>
  <c r="DX607" i="4"/>
  <c r="DW607" i="4"/>
  <c r="DV607" i="4"/>
  <c r="DU607" i="4"/>
  <c r="DT607" i="4"/>
  <c r="DS607" i="4"/>
  <c r="DR607" i="4"/>
  <c r="DK607" i="4"/>
  <c r="DJ607" i="4"/>
  <c r="DI607" i="4"/>
  <c r="DH607" i="4"/>
  <c r="DG607" i="4"/>
  <c r="DF607" i="4"/>
  <c r="DE607" i="4"/>
  <c r="DY606" i="4"/>
  <c r="DX606" i="4"/>
  <c r="DW606" i="4"/>
  <c r="DV606" i="4"/>
  <c r="DU606" i="4"/>
  <c r="DT606" i="4"/>
  <c r="DS606" i="4"/>
  <c r="DR606" i="4"/>
  <c r="DQ606" i="4"/>
  <c r="DK606" i="4"/>
  <c r="DJ606" i="4"/>
  <c r="DI606" i="4"/>
  <c r="DH606" i="4"/>
  <c r="DG606" i="4"/>
  <c r="DF606" i="4"/>
  <c r="DE606" i="4"/>
  <c r="DY605" i="4"/>
  <c r="DX605" i="4"/>
  <c r="DW605" i="4"/>
  <c r="DV605" i="4"/>
  <c r="DU605" i="4"/>
  <c r="DT605" i="4"/>
  <c r="DS605" i="4"/>
  <c r="DR605" i="4"/>
  <c r="BT605" i="4"/>
  <c r="BS605" i="4"/>
  <c r="BR605" i="4"/>
  <c r="BQ605" i="4"/>
  <c r="BN606" i="4"/>
  <c r="BM606" i="4"/>
  <c r="BM605" i="4" s="1"/>
  <c r="BL606" i="4"/>
  <c r="BJ606" i="4"/>
  <c r="BI606" i="4"/>
  <c r="BH606" i="4"/>
  <c r="BG606" i="4"/>
  <c r="BE606" i="4"/>
  <c r="BD606" i="4"/>
  <c r="BC606" i="4"/>
  <c r="BB606" i="4"/>
  <c r="AZ606" i="4"/>
  <c r="AY606" i="4"/>
  <c r="AX606" i="4"/>
  <c r="AW606" i="4"/>
  <c r="AU606" i="4"/>
  <c r="AT606" i="4"/>
  <c r="AS606" i="4"/>
  <c r="AR606" i="4"/>
  <c r="BN605" i="4"/>
  <c r="BL605" i="4"/>
  <c r="BJ605" i="4"/>
  <c r="BI605" i="4"/>
  <c r="BI607" i="4" s="1"/>
  <c r="BH605" i="4"/>
  <c r="BG605" i="4"/>
  <c r="BG607" i="4" s="1"/>
  <c r="BE605" i="4"/>
  <c r="BE607" i="4" s="1"/>
  <c r="BD605" i="4"/>
  <c r="BD607" i="4" s="1"/>
  <c r="BC605" i="4"/>
  <c r="BB605" i="4"/>
  <c r="AZ605" i="4"/>
  <c r="AZ607" i="4" s="1"/>
  <c r="AY605" i="4"/>
  <c r="AY607" i="4" s="1"/>
  <c r="AX605" i="4"/>
  <c r="AW605" i="4"/>
  <c r="BA605" i="4" s="1"/>
  <c r="DM605" i="4" s="1"/>
  <c r="AU605" i="4"/>
  <c r="AU607" i="4" s="1"/>
  <c r="AT605" i="4"/>
  <c r="AT607" i="4" s="1"/>
  <c r="AS605" i="4"/>
  <c r="AR605" i="4"/>
  <c r="AV605" i="4" s="1"/>
  <c r="DL605" i="4" s="1"/>
  <c r="AP605" i="4"/>
  <c r="AO605" i="4"/>
  <c r="AN605" i="4"/>
  <c r="AM605" i="4"/>
  <c r="AQ605" i="4" s="1"/>
  <c r="DK605" i="4" s="1"/>
  <c r="AJ605" i="4"/>
  <c r="AI605" i="4"/>
  <c r="AH605" i="4"/>
  <c r="AF605" i="4"/>
  <c r="AE605" i="4"/>
  <c r="AD605" i="4"/>
  <c r="AC605" i="4"/>
  <c r="AA605" i="4"/>
  <c r="Z605" i="4"/>
  <c r="Y605" i="4"/>
  <c r="X605" i="4"/>
  <c r="V605" i="4"/>
  <c r="U605" i="4"/>
  <c r="T605" i="4"/>
  <c r="S605" i="4"/>
  <c r="Q605" i="4"/>
  <c r="P605" i="4"/>
  <c r="O605" i="4"/>
  <c r="N605" i="4"/>
  <c r="L605" i="4"/>
  <c r="K605" i="4"/>
  <c r="J605" i="4"/>
  <c r="I605" i="4"/>
  <c r="AT603" i="4"/>
  <c r="AH603" i="4"/>
  <c r="DY603" i="4"/>
  <c r="DX603" i="4"/>
  <c r="DW603" i="4"/>
  <c r="DV603" i="4"/>
  <c r="DU603" i="4"/>
  <c r="DT603" i="4"/>
  <c r="DS603" i="4"/>
  <c r="DR603" i="4"/>
  <c r="DQ603" i="4"/>
  <c r="DP603" i="4"/>
  <c r="DO603" i="4"/>
  <c r="DN603" i="4"/>
  <c r="DM603" i="4"/>
  <c r="DL603" i="4"/>
  <c r="DH603" i="4"/>
  <c r="DG603" i="4"/>
  <c r="DF603" i="4"/>
  <c r="DE603" i="4"/>
  <c r="DY602" i="4"/>
  <c r="DX602" i="4"/>
  <c r="DW602" i="4"/>
  <c r="DV602" i="4"/>
  <c r="DU602" i="4"/>
  <c r="DT602" i="4"/>
  <c r="DS602" i="4"/>
  <c r="DR602" i="4"/>
  <c r="DF602" i="4"/>
  <c r="AQ602" i="4"/>
  <c r="DK602" i="4" s="1"/>
  <c r="AL602" i="4"/>
  <c r="AG602" i="4"/>
  <c r="DI602" i="4" s="1"/>
  <c r="AB602" i="4"/>
  <c r="DH602" i="4" s="1"/>
  <c r="W602" i="4"/>
  <c r="DG602" i="4" s="1"/>
  <c r="M602" i="4"/>
  <c r="DE602" i="4" s="1"/>
  <c r="DY600" i="4"/>
  <c r="DX600" i="4"/>
  <c r="DW600" i="4"/>
  <c r="DV600" i="4"/>
  <c r="DU600" i="4"/>
  <c r="DT600" i="4"/>
  <c r="DS600" i="4"/>
  <c r="DR600" i="4"/>
  <c r="DQ600" i="4"/>
  <c r="DF600" i="4"/>
  <c r="AL600" i="4"/>
  <c r="AQ600" i="4" s="1"/>
  <c r="AG600" i="4"/>
  <c r="DI600" i="4" s="1"/>
  <c r="AB600" i="4"/>
  <c r="DH600" i="4" s="1"/>
  <c r="W600" i="4"/>
  <c r="DG600" i="4" s="1"/>
  <c r="M600" i="4"/>
  <c r="DE600" i="4" s="1"/>
  <c r="BU598" i="4"/>
  <c r="BE598" i="4"/>
  <c r="BJ598" i="4" s="1"/>
  <c r="BO598" i="4" s="1"/>
  <c r="BD598" i="4"/>
  <c r="BI598" i="4" s="1"/>
  <c r="BN598" i="4" s="1"/>
  <c r="BC598" i="4"/>
  <c r="BH598" i="4" s="1"/>
  <c r="BM598" i="4" s="1"/>
  <c r="BB598" i="4"/>
  <c r="BG598" i="4" s="1"/>
  <c r="Z598" i="4"/>
  <c r="BA594" i="4"/>
  <c r="AV595" i="4"/>
  <c r="DL595" i="4" s="1"/>
  <c r="AV594" i="4"/>
  <c r="AT597" i="4"/>
  <c r="AS597" i="4"/>
  <c r="AP597" i="4"/>
  <c r="AO597" i="4"/>
  <c r="AN597" i="4"/>
  <c r="AK597" i="4"/>
  <c r="AJ597" i="4"/>
  <c r="AI597" i="4"/>
  <c r="AF597" i="4"/>
  <c r="AE597" i="4"/>
  <c r="AA597" i="4"/>
  <c r="Z597" i="4"/>
  <c r="Y597" i="4"/>
  <c r="X597" i="4"/>
  <c r="V597" i="4"/>
  <c r="U597" i="4"/>
  <c r="T597" i="4"/>
  <c r="AZ596" i="4"/>
  <c r="AZ602" i="4" s="1"/>
  <c r="AW596" i="4"/>
  <c r="AW602" i="4" s="1"/>
  <c r="AU596" i="4"/>
  <c r="AU602" i="4" s="1"/>
  <c r="AV602" i="4" s="1"/>
  <c r="DL602" i="4" s="1"/>
  <c r="AT596" i="4"/>
  <c r="AT598" i="4" s="1"/>
  <c r="AS596" i="4"/>
  <c r="AS598" i="4" s="1"/>
  <c r="AR596" i="4"/>
  <c r="AR603" i="4" s="1"/>
  <c r="AP596" i="4"/>
  <c r="AP598" i="4" s="1"/>
  <c r="AO596" i="4"/>
  <c r="AO598" i="4" s="1"/>
  <c r="AN596" i="4"/>
  <c r="AN603" i="4" s="1"/>
  <c r="AM596" i="4"/>
  <c r="AM598" i="4" s="1"/>
  <c r="AK596" i="4"/>
  <c r="AK598" i="4" s="1"/>
  <c r="AJ596" i="4"/>
  <c r="AJ603" i="4" s="1"/>
  <c r="AI596" i="4"/>
  <c r="AH596" i="4"/>
  <c r="AH598" i="4" s="1"/>
  <c r="AF596" i="4"/>
  <c r="AF603" i="4" s="1"/>
  <c r="AE596" i="4"/>
  <c r="AE598" i="4" s="1"/>
  <c r="AD596" i="4"/>
  <c r="AC596" i="4"/>
  <c r="AA596" i="4"/>
  <c r="AA598" i="4" s="1"/>
  <c r="Z596" i="4"/>
  <c r="Y596" i="4"/>
  <c r="Y598" i="4" s="1"/>
  <c r="X596" i="4"/>
  <c r="X598" i="4" s="1"/>
  <c r="V596" i="4"/>
  <c r="V598" i="4" s="1"/>
  <c r="U596" i="4"/>
  <c r="U598" i="4" s="1"/>
  <c r="T596" i="4"/>
  <c r="T598" i="4" s="1"/>
  <c r="S596" i="4"/>
  <c r="S598" i="4" s="1"/>
  <c r="R596" i="4"/>
  <c r="Q596" i="4"/>
  <c r="P596" i="4"/>
  <c r="O596" i="4"/>
  <c r="N596" i="4"/>
  <c r="L596" i="4"/>
  <c r="K596" i="4"/>
  <c r="J596" i="4"/>
  <c r="I596" i="4"/>
  <c r="BC595" i="4"/>
  <c r="BC596" i="4" s="1"/>
  <c r="BC602" i="4" s="1"/>
  <c r="BB595" i="4"/>
  <c r="AZ595" i="4"/>
  <c r="AY595" i="4"/>
  <c r="AY596" i="4" s="1"/>
  <c r="AY602" i="4" s="1"/>
  <c r="AX595" i="4"/>
  <c r="BA595" i="4" s="1"/>
  <c r="DM595" i="4" s="1"/>
  <c r="AQ595" i="4"/>
  <c r="AQ596" i="4" s="1"/>
  <c r="AQ594" i="4"/>
  <c r="AR597" i="4" s="1"/>
  <c r="AL595" i="4"/>
  <c r="AL594" i="4"/>
  <c r="AQ597" i="4" s="1"/>
  <c r="DK597" i="4" s="1"/>
  <c r="AG595" i="4"/>
  <c r="DI595" i="4" s="1"/>
  <c r="AG594" i="4"/>
  <c r="AB595" i="4"/>
  <c r="AB594" i="4"/>
  <c r="AB596" i="4" s="1"/>
  <c r="W595" i="4"/>
  <c r="W596" i="4" s="1"/>
  <c r="W594" i="4"/>
  <c r="M595" i="4"/>
  <c r="M594" i="4"/>
  <c r="M596" i="4" s="1"/>
  <c r="DE596" i="4" s="1"/>
  <c r="DY598" i="4"/>
  <c r="DX598" i="4"/>
  <c r="DW598" i="4"/>
  <c r="DV598" i="4"/>
  <c r="DU598" i="4"/>
  <c r="DT598" i="4"/>
  <c r="DS598" i="4"/>
  <c r="DR598" i="4"/>
  <c r="DQ598" i="4"/>
  <c r="DP598" i="4"/>
  <c r="DO598" i="4"/>
  <c r="DN598" i="4"/>
  <c r="DM598" i="4"/>
  <c r="DL598" i="4"/>
  <c r="DF598" i="4"/>
  <c r="DE598" i="4"/>
  <c r="DY597" i="4"/>
  <c r="DX597" i="4"/>
  <c r="DW597" i="4"/>
  <c r="DV597" i="4"/>
  <c r="DU597" i="4"/>
  <c r="DT597" i="4"/>
  <c r="DS597" i="4"/>
  <c r="DR597" i="4"/>
  <c r="DQ597" i="4"/>
  <c r="DP597" i="4"/>
  <c r="DO597" i="4"/>
  <c r="DN597" i="4"/>
  <c r="DG597" i="4"/>
  <c r="DF597" i="4"/>
  <c r="DE597" i="4"/>
  <c r="DY596" i="4"/>
  <c r="DX596" i="4"/>
  <c r="DW596" i="4"/>
  <c r="DV596" i="4"/>
  <c r="DU596" i="4"/>
  <c r="DT596" i="4"/>
  <c r="DS596" i="4"/>
  <c r="DR596" i="4"/>
  <c r="DF596" i="4"/>
  <c r="DY595" i="4"/>
  <c r="DX595" i="4"/>
  <c r="DW595" i="4"/>
  <c r="DV595" i="4"/>
  <c r="DU595" i="4"/>
  <c r="DT595" i="4"/>
  <c r="DS595" i="4"/>
  <c r="DR595" i="4"/>
  <c r="DJ595" i="4"/>
  <c r="DH595" i="4"/>
  <c r="DF595" i="4"/>
  <c r="DE595" i="4"/>
  <c r="DY594" i="4"/>
  <c r="DX594" i="4"/>
  <c r="DW594" i="4"/>
  <c r="DV594" i="4"/>
  <c r="DU594" i="4"/>
  <c r="DT594" i="4"/>
  <c r="DS594" i="4"/>
  <c r="DR594" i="4"/>
  <c r="DK594" i="4"/>
  <c r="DJ594" i="4"/>
  <c r="DI594" i="4"/>
  <c r="DG594" i="4"/>
  <c r="DF594" i="4"/>
  <c r="BH594" i="4"/>
  <c r="BM594" i="4" s="1"/>
  <c r="BG594" i="4"/>
  <c r="BE594" i="4"/>
  <c r="BJ594" i="4" s="1"/>
  <c r="BO594" i="4" s="1"/>
  <c r="BD594" i="4"/>
  <c r="DY590" i="4"/>
  <c r="DX590" i="4"/>
  <c r="DW590" i="4"/>
  <c r="DV590" i="4"/>
  <c r="DU590" i="4"/>
  <c r="DT590" i="4"/>
  <c r="DS590" i="4"/>
  <c r="DR590" i="4"/>
  <c r="DQ590" i="4"/>
  <c r="DP590" i="4"/>
  <c r="DO590" i="4"/>
  <c r="DN590" i="4"/>
  <c r="DM590" i="4"/>
  <c r="DL590" i="4"/>
  <c r="DK590" i="4"/>
  <c r="DJ590" i="4"/>
  <c r="DI590" i="4"/>
  <c r="DH590" i="4"/>
  <c r="DG590" i="4"/>
  <c r="DF590" i="4"/>
  <c r="DE590" i="4"/>
  <c r="DY589" i="4"/>
  <c r="DX589" i="4"/>
  <c r="DW589" i="4"/>
  <c r="DV589" i="4"/>
  <c r="DU589" i="4"/>
  <c r="DT589" i="4"/>
  <c r="DS589" i="4"/>
  <c r="DR589" i="4"/>
  <c r="DQ589" i="4"/>
  <c r="DP589" i="4"/>
  <c r="DO589" i="4"/>
  <c r="DN589" i="4"/>
  <c r="DM589" i="4"/>
  <c r="DL589" i="4"/>
  <c r="DK589" i="4"/>
  <c r="DJ589" i="4"/>
  <c r="DI589" i="4"/>
  <c r="DH589" i="4"/>
  <c r="DG589" i="4"/>
  <c r="DF589" i="4"/>
  <c r="DE589" i="4"/>
  <c r="DY588" i="4"/>
  <c r="DX588" i="4"/>
  <c r="DW588" i="4"/>
  <c r="DV588" i="4"/>
  <c r="DU588" i="4"/>
  <c r="DT588" i="4"/>
  <c r="DS588" i="4"/>
  <c r="DR588" i="4"/>
  <c r="DQ588" i="4"/>
  <c r="DP588" i="4"/>
  <c r="DO588" i="4"/>
  <c r="DN588" i="4"/>
  <c r="DM588" i="4"/>
  <c r="DL588" i="4"/>
  <c r="DK588" i="4"/>
  <c r="DJ588" i="4"/>
  <c r="DI588" i="4"/>
  <c r="DH588" i="4"/>
  <c r="DG588" i="4"/>
  <c r="DF588" i="4"/>
  <c r="DE588" i="4"/>
  <c r="DY587" i="4"/>
  <c r="DX587" i="4"/>
  <c r="DW587" i="4"/>
  <c r="DV587" i="4"/>
  <c r="DU587" i="4"/>
  <c r="DT587" i="4"/>
  <c r="DS587" i="4"/>
  <c r="DR587" i="4"/>
  <c r="DQ587" i="4"/>
  <c r="DP587" i="4"/>
  <c r="DO587" i="4"/>
  <c r="DN587" i="4"/>
  <c r="DM587" i="4"/>
  <c r="DL587" i="4"/>
  <c r="DK587" i="4"/>
  <c r="DJ587" i="4"/>
  <c r="DI587" i="4"/>
  <c r="DH587" i="4"/>
  <c r="DG587" i="4"/>
  <c r="DF587" i="4"/>
  <c r="DE587" i="4"/>
  <c r="DY586" i="4"/>
  <c r="DX586" i="4"/>
  <c r="DW586" i="4"/>
  <c r="DV586" i="4"/>
  <c r="DU586" i="4"/>
  <c r="DT586" i="4"/>
  <c r="DS586" i="4"/>
  <c r="DR586" i="4"/>
  <c r="DQ586" i="4"/>
  <c r="DP586" i="4"/>
  <c r="DO586" i="4"/>
  <c r="DN586" i="4"/>
  <c r="DM586" i="4"/>
  <c r="DL586" i="4"/>
  <c r="DK586" i="4"/>
  <c r="DJ586" i="4"/>
  <c r="DI586" i="4"/>
  <c r="DH586" i="4"/>
  <c r="DG586" i="4"/>
  <c r="DF586" i="4"/>
  <c r="DE586" i="4"/>
  <c r="DY585" i="4"/>
  <c r="DX585" i="4"/>
  <c r="DW585" i="4"/>
  <c r="DV585" i="4"/>
  <c r="DU585" i="4"/>
  <c r="DT585" i="4"/>
  <c r="DS585" i="4"/>
  <c r="DR585" i="4"/>
  <c r="DQ585" i="4"/>
  <c r="DP585" i="4"/>
  <c r="DO585" i="4"/>
  <c r="DN585" i="4"/>
  <c r="DM585" i="4"/>
  <c r="DL585" i="4"/>
  <c r="DK585" i="4"/>
  <c r="DJ585" i="4"/>
  <c r="DI585" i="4"/>
  <c r="DH585" i="4"/>
  <c r="DG585" i="4"/>
  <c r="DF585" i="4"/>
  <c r="DE585" i="4"/>
  <c r="DY583" i="4"/>
  <c r="DX583" i="4"/>
  <c r="DW583" i="4"/>
  <c r="DV583" i="4"/>
  <c r="DU583" i="4"/>
  <c r="DT583" i="4"/>
  <c r="DS583" i="4"/>
  <c r="DR583" i="4"/>
  <c r="DQ583" i="4"/>
  <c r="DP583" i="4"/>
  <c r="DO583" i="4"/>
  <c r="DN583" i="4"/>
  <c r="DM583" i="4"/>
  <c r="DL583" i="4"/>
  <c r="DK583" i="4"/>
  <c r="DJ583" i="4"/>
  <c r="DI583" i="4"/>
  <c r="DH583" i="4"/>
  <c r="DE583" i="4"/>
  <c r="DY582" i="4"/>
  <c r="DX582" i="4"/>
  <c r="DW582" i="4"/>
  <c r="DV582" i="4"/>
  <c r="DU582" i="4"/>
  <c r="DT582" i="4"/>
  <c r="DS582" i="4"/>
  <c r="DR582" i="4"/>
  <c r="DQ582" i="4"/>
  <c r="DP582" i="4"/>
  <c r="DO582" i="4"/>
  <c r="DN582" i="4"/>
  <c r="DM582" i="4"/>
  <c r="DL582" i="4"/>
  <c r="DK582" i="4"/>
  <c r="DJ582" i="4"/>
  <c r="DI582" i="4"/>
  <c r="DH582" i="4"/>
  <c r="DY581" i="4"/>
  <c r="DX581" i="4"/>
  <c r="DW581" i="4"/>
  <c r="DV581" i="4"/>
  <c r="DU581" i="4"/>
  <c r="DT581" i="4"/>
  <c r="DS581" i="4"/>
  <c r="DR581" i="4"/>
  <c r="DY579" i="4"/>
  <c r="DX579" i="4"/>
  <c r="DW579" i="4"/>
  <c r="DV579" i="4"/>
  <c r="DU579" i="4"/>
  <c r="DT579" i="4"/>
  <c r="DS579" i="4"/>
  <c r="DR579" i="4"/>
  <c r="DQ579" i="4"/>
  <c r="BP579" i="4"/>
  <c r="DP579" i="4" s="1"/>
  <c r="BK579" i="4"/>
  <c r="DO579" i="4" s="1"/>
  <c r="BF579" i="4"/>
  <c r="DN579" i="4" s="1"/>
  <c r="BA579" i="4"/>
  <c r="DM579" i="4" s="1"/>
  <c r="AV579" i="4"/>
  <c r="DL579" i="4" s="1"/>
  <c r="AQ579" i="4"/>
  <c r="DK579" i="4" s="1"/>
  <c r="AL579" i="4"/>
  <c r="DJ579" i="4" s="1"/>
  <c r="AG579" i="4"/>
  <c r="DI579" i="4" s="1"/>
  <c r="AB579" i="4"/>
  <c r="DH579" i="4" s="1"/>
  <c r="W579" i="4"/>
  <c r="DG579" i="4" s="1"/>
  <c r="R579" i="4"/>
  <c r="DF579" i="4" s="1"/>
  <c r="M579" i="4"/>
  <c r="DE579" i="4" s="1"/>
  <c r="DY577" i="4"/>
  <c r="DX577" i="4"/>
  <c r="DW577" i="4"/>
  <c r="DV577" i="4"/>
  <c r="DU577" i="4"/>
  <c r="DT577" i="4"/>
  <c r="DS577" i="4"/>
  <c r="DR577" i="4"/>
  <c r="DQ577" i="4"/>
  <c r="DP577" i="4"/>
  <c r="DO577" i="4"/>
  <c r="DN577" i="4"/>
  <c r="DM577" i="4"/>
  <c r="DL577" i="4"/>
  <c r="DK577" i="4"/>
  <c r="DJ577" i="4"/>
  <c r="DI577" i="4"/>
  <c r="DH577" i="4"/>
  <c r="DY576" i="4"/>
  <c r="DX576" i="4"/>
  <c r="DW576" i="4"/>
  <c r="DV576" i="4"/>
  <c r="DU576" i="4"/>
  <c r="DT576" i="4"/>
  <c r="DS576" i="4"/>
  <c r="DR576" i="4"/>
  <c r="DQ576" i="4"/>
  <c r="DP576" i="4"/>
  <c r="DO576" i="4"/>
  <c r="DN576" i="4"/>
  <c r="DM576" i="4"/>
  <c r="DL576" i="4"/>
  <c r="DK576" i="4"/>
  <c r="DJ576" i="4"/>
  <c r="DI576" i="4"/>
  <c r="DH576" i="4"/>
  <c r="DE576" i="4"/>
  <c r="DY575" i="4"/>
  <c r="DX575" i="4"/>
  <c r="DW575" i="4"/>
  <c r="DV575" i="4"/>
  <c r="DU575" i="4"/>
  <c r="DT575" i="4"/>
  <c r="DS575" i="4"/>
  <c r="DR575" i="4"/>
  <c r="BG575" i="4"/>
  <c r="BG581" i="4" s="1"/>
  <c r="AX575" i="4"/>
  <c r="AX581" i="4" s="1"/>
  <c r="AM575" i="4"/>
  <c r="AM581" i="4" s="1"/>
  <c r="AD575" i="4"/>
  <c r="AD581" i="4" s="1"/>
  <c r="X575" i="4"/>
  <c r="X581" i="4" s="1"/>
  <c r="V575" i="4"/>
  <c r="V581" i="4" s="1"/>
  <c r="U575" i="4"/>
  <c r="U581" i="4" s="1"/>
  <c r="T575" i="4"/>
  <c r="T577" i="4" s="1"/>
  <c r="S575" i="4"/>
  <c r="S581" i="4" s="1"/>
  <c r="Q575" i="4"/>
  <c r="P575" i="4"/>
  <c r="P577" i="4" s="1"/>
  <c r="O575" i="4"/>
  <c r="O581" i="4" s="1"/>
  <c r="N575" i="4"/>
  <c r="N577" i="4" s="1"/>
  <c r="L575" i="4"/>
  <c r="L577" i="4" s="1"/>
  <c r="K575" i="4"/>
  <c r="K581" i="4" s="1"/>
  <c r="K582" i="4" s="1"/>
  <c r="J575" i="4"/>
  <c r="J577" i="4" s="1"/>
  <c r="I575" i="4"/>
  <c r="I581" i="4" s="1"/>
  <c r="I582" i="4" s="1"/>
  <c r="X573" i="4"/>
  <c r="V573" i="4"/>
  <c r="U573" i="4"/>
  <c r="T573" i="4"/>
  <c r="S573" i="4"/>
  <c r="Q573" i="4"/>
  <c r="P573" i="4"/>
  <c r="O573" i="4"/>
  <c r="N573" i="4"/>
  <c r="DY573" i="4"/>
  <c r="DX573" i="4"/>
  <c r="DW573" i="4"/>
  <c r="DV573" i="4"/>
  <c r="DU573" i="4"/>
  <c r="DT573" i="4"/>
  <c r="DS573" i="4"/>
  <c r="DR573" i="4"/>
  <c r="DQ573" i="4"/>
  <c r="DP573" i="4"/>
  <c r="DO573" i="4"/>
  <c r="DN573" i="4"/>
  <c r="DM573" i="4"/>
  <c r="DL573" i="4"/>
  <c r="DK573" i="4"/>
  <c r="DJ573" i="4"/>
  <c r="DI573" i="4"/>
  <c r="DH573" i="4"/>
  <c r="DE573" i="4"/>
  <c r="DY572" i="4"/>
  <c r="DX572" i="4"/>
  <c r="DW572" i="4"/>
  <c r="DV572" i="4"/>
  <c r="DU572" i="4"/>
  <c r="DT572" i="4"/>
  <c r="DS572" i="4"/>
  <c r="DR572" i="4"/>
  <c r="BO572" i="4"/>
  <c r="BO575" i="4" s="1"/>
  <c r="BO581" i="4" s="1"/>
  <c r="BN572" i="4"/>
  <c r="BN575" i="4" s="1"/>
  <c r="BN581" i="4" s="1"/>
  <c r="BM572" i="4"/>
  <c r="BM575" i="4" s="1"/>
  <c r="BM581" i="4" s="1"/>
  <c r="BL572" i="4"/>
  <c r="BL575" i="4" s="1"/>
  <c r="BJ572" i="4"/>
  <c r="BJ575" i="4" s="1"/>
  <c r="BJ581" i="4" s="1"/>
  <c r="BI572" i="4"/>
  <c r="BI575" i="4" s="1"/>
  <c r="BI581" i="4" s="1"/>
  <c r="BH572" i="4"/>
  <c r="BH575" i="4" s="1"/>
  <c r="BH581" i="4" s="1"/>
  <c r="BG572" i="4"/>
  <c r="BE572" i="4"/>
  <c r="BE575" i="4" s="1"/>
  <c r="BE581" i="4" s="1"/>
  <c r="BD572" i="4"/>
  <c r="BD575" i="4" s="1"/>
  <c r="BD581" i="4" s="1"/>
  <c r="BC572" i="4"/>
  <c r="BC575" i="4" s="1"/>
  <c r="BC581" i="4" s="1"/>
  <c r="BB572" i="4"/>
  <c r="AZ572" i="4"/>
  <c r="AZ575" i="4" s="1"/>
  <c r="AZ581" i="4" s="1"/>
  <c r="AY572" i="4"/>
  <c r="AY575" i="4" s="1"/>
  <c r="AY581" i="4" s="1"/>
  <c r="AX572" i="4"/>
  <c r="AW572" i="4"/>
  <c r="AU572" i="4"/>
  <c r="AU575" i="4" s="1"/>
  <c r="AU581" i="4" s="1"/>
  <c r="AT572" i="4"/>
  <c r="AT575" i="4" s="1"/>
  <c r="AT581" i="4" s="1"/>
  <c r="AS572" i="4"/>
  <c r="AS575" i="4" s="1"/>
  <c r="AS581" i="4" s="1"/>
  <c r="AR572" i="4"/>
  <c r="AR575" i="4" s="1"/>
  <c r="AP572" i="4"/>
  <c r="AP575" i="4" s="1"/>
  <c r="AP581" i="4" s="1"/>
  <c r="AO572" i="4"/>
  <c r="AO575" i="4" s="1"/>
  <c r="AO581" i="4" s="1"/>
  <c r="AN572" i="4"/>
  <c r="AN575" i="4" s="1"/>
  <c r="AN581" i="4" s="1"/>
  <c r="AM572" i="4"/>
  <c r="AK572" i="4"/>
  <c r="AK575" i="4" s="1"/>
  <c r="AK581" i="4" s="1"/>
  <c r="AJ572" i="4"/>
  <c r="AJ575" i="4" s="1"/>
  <c r="AJ581" i="4" s="1"/>
  <c r="AI572" i="4"/>
  <c r="AI575" i="4" s="1"/>
  <c r="AI581" i="4" s="1"/>
  <c r="AH572" i="4"/>
  <c r="AF572" i="4"/>
  <c r="AF575" i="4" s="1"/>
  <c r="AF581" i="4" s="1"/>
  <c r="AE572" i="4"/>
  <c r="AE575" i="4" s="1"/>
  <c r="AE581" i="4" s="1"/>
  <c r="AD572" i="4"/>
  <c r="AC572" i="4"/>
  <c r="AA572" i="4"/>
  <c r="AA575" i="4" s="1"/>
  <c r="AA581" i="4" s="1"/>
  <c r="Z572" i="4"/>
  <c r="Z575" i="4" s="1"/>
  <c r="Z581" i="4" s="1"/>
  <c r="Y572" i="4"/>
  <c r="W572" i="4"/>
  <c r="DG572" i="4" s="1"/>
  <c r="R572" i="4"/>
  <c r="M572" i="4"/>
  <c r="DE572" i="4" s="1"/>
  <c r="X570" i="4"/>
  <c r="V570" i="4"/>
  <c r="U570" i="4"/>
  <c r="T570" i="4"/>
  <c r="S570" i="4"/>
  <c r="Q570" i="4"/>
  <c r="P570" i="4"/>
  <c r="O570" i="4"/>
  <c r="N570" i="4"/>
  <c r="DY570" i="4"/>
  <c r="DX570" i="4"/>
  <c r="DW570" i="4"/>
  <c r="DV570" i="4"/>
  <c r="DU570" i="4"/>
  <c r="DT570" i="4"/>
  <c r="DS570" i="4"/>
  <c r="DR570" i="4"/>
  <c r="DQ570" i="4"/>
  <c r="DP570" i="4"/>
  <c r="DO570" i="4"/>
  <c r="DN570" i="4"/>
  <c r="DM570" i="4"/>
  <c r="DL570" i="4"/>
  <c r="DK570" i="4"/>
  <c r="DJ570" i="4"/>
  <c r="DI570" i="4"/>
  <c r="DH570" i="4"/>
  <c r="DE570" i="4"/>
  <c r="DY569" i="4"/>
  <c r="DX569" i="4"/>
  <c r="DW569" i="4"/>
  <c r="DV569" i="4"/>
  <c r="DU569" i="4"/>
  <c r="DT569" i="4"/>
  <c r="DS569" i="4"/>
  <c r="DR569" i="4"/>
  <c r="DQ569" i="4"/>
  <c r="BP569" i="4"/>
  <c r="DP569" i="4" s="1"/>
  <c r="BK569" i="4"/>
  <c r="DO569" i="4" s="1"/>
  <c r="BF569" i="4"/>
  <c r="DN569" i="4" s="1"/>
  <c r="BA569" i="4"/>
  <c r="DM569" i="4" s="1"/>
  <c r="AV569" i="4"/>
  <c r="DL569" i="4" s="1"/>
  <c r="AQ569" i="4"/>
  <c r="DK569" i="4" s="1"/>
  <c r="AL569" i="4"/>
  <c r="DJ569" i="4" s="1"/>
  <c r="AG569" i="4"/>
  <c r="DI569" i="4" s="1"/>
  <c r="AB569" i="4"/>
  <c r="DH569" i="4" s="1"/>
  <c r="W569" i="4"/>
  <c r="DG569" i="4" s="1"/>
  <c r="R569" i="4"/>
  <c r="DF569" i="4" s="1"/>
  <c r="M569" i="4"/>
  <c r="DE569" i="4" s="1"/>
  <c r="DY565" i="4"/>
  <c r="DX565" i="4"/>
  <c r="DW565" i="4"/>
  <c r="DV565" i="4"/>
  <c r="DU565" i="4"/>
  <c r="DT565" i="4"/>
  <c r="DS565" i="4"/>
  <c r="DR565" i="4"/>
  <c r="DQ565" i="4"/>
  <c r="DP565" i="4"/>
  <c r="DO565" i="4"/>
  <c r="DN565" i="4"/>
  <c r="DM565" i="4"/>
  <c r="DL565" i="4"/>
  <c r="DK565" i="4"/>
  <c r="DJ565" i="4"/>
  <c r="DI565" i="4"/>
  <c r="DH565" i="4"/>
  <c r="DE565" i="4"/>
  <c r="DY564" i="4"/>
  <c r="DX564" i="4"/>
  <c r="DW564" i="4"/>
  <c r="DV564" i="4"/>
  <c r="DU564" i="4"/>
  <c r="DT564" i="4"/>
  <c r="DS564" i="4"/>
  <c r="DR564" i="4"/>
  <c r="DQ564" i="4"/>
  <c r="DP564" i="4"/>
  <c r="DO564" i="4"/>
  <c r="DN564" i="4"/>
  <c r="DM564" i="4"/>
  <c r="DL564" i="4"/>
  <c r="DK564" i="4"/>
  <c r="DJ564" i="4"/>
  <c r="DI564" i="4"/>
  <c r="DH564" i="4"/>
  <c r="DY563" i="4"/>
  <c r="DX563" i="4"/>
  <c r="DW563" i="4"/>
  <c r="DV563" i="4"/>
  <c r="DU563" i="4"/>
  <c r="DT563" i="4"/>
  <c r="DS563" i="4"/>
  <c r="DR563" i="4"/>
  <c r="BN563" i="4"/>
  <c r="BE563" i="4"/>
  <c r="AT563" i="4"/>
  <c r="AK563" i="4"/>
  <c r="Z563" i="4"/>
  <c r="Q563" i="4"/>
  <c r="Q565" i="4" s="1"/>
  <c r="DY561" i="4"/>
  <c r="DX561" i="4"/>
  <c r="DW561" i="4"/>
  <c r="DV561" i="4"/>
  <c r="DU561" i="4"/>
  <c r="DT561" i="4"/>
  <c r="DS561" i="4"/>
  <c r="DR561" i="4"/>
  <c r="DQ561" i="4"/>
  <c r="BP561" i="4"/>
  <c r="DP561" i="4" s="1"/>
  <c r="BK561" i="4"/>
  <c r="DO561" i="4" s="1"/>
  <c r="BF561" i="4"/>
  <c r="DN561" i="4" s="1"/>
  <c r="BA561" i="4"/>
  <c r="DM561" i="4" s="1"/>
  <c r="AV561" i="4"/>
  <c r="DL561" i="4" s="1"/>
  <c r="AQ561" i="4"/>
  <c r="DK561" i="4" s="1"/>
  <c r="AL561" i="4"/>
  <c r="DJ561" i="4" s="1"/>
  <c r="AG561" i="4"/>
  <c r="DI561" i="4" s="1"/>
  <c r="AB561" i="4"/>
  <c r="DH561" i="4" s="1"/>
  <c r="W561" i="4"/>
  <c r="DG561" i="4" s="1"/>
  <c r="R561" i="4"/>
  <c r="DF561" i="4" s="1"/>
  <c r="M561" i="4"/>
  <c r="DE561" i="4" s="1"/>
  <c r="P559" i="4"/>
  <c r="DY559" i="4"/>
  <c r="DX559" i="4"/>
  <c r="DW559" i="4"/>
  <c r="DV559" i="4"/>
  <c r="DU559" i="4"/>
  <c r="DT559" i="4"/>
  <c r="DS559" i="4"/>
  <c r="DR559" i="4"/>
  <c r="DQ559" i="4"/>
  <c r="DP559" i="4"/>
  <c r="DO559" i="4"/>
  <c r="DN559" i="4"/>
  <c r="DM559" i="4"/>
  <c r="DL559" i="4"/>
  <c r="DK559" i="4"/>
  <c r="DJ559" i="4"/>
  <c r="DI559" i="4"/>
  <c r="DH559" i="4"/>
  <c r="DY558" i="4"/>
  <c r="DX558" i="4"/>
  <c r="DW558" i="4"/>
  <c r="DV558" i="4"/>
  <c r="DU558" i="4"/>
  <c r="DT558" i="4"/>
  <c r="DS558" i="4"/>
  <c r="DR558" i="4"/>
  <c r="BU558" i="4"/>
  <c r="DQ558" i="4" s="1"/>
  <c r="BO558" i="4"/>
  <c r="BO563" i="4" s="1"/>
  <c r="BN558" i="4"/>
  <c r="BM558" i="4"/>
  <c r="BL558" i="4"/>
  <c r="BJ558" i="4"/>
  <c r="BJ563" i="4" s="1"/>
  <c r="BI558" i="4"/>
  <c r="BI563" i="4" s="1"/>
  <c r="BH558" i="4"/>
  <c r="BH563" i="4" s="1"/>
  <c r="BG558" i="4"/>
  <c r="BG563" i="4" s="1"/>
  <c r="BE558" i="4"/>
  <c r="BD558" i="4"/>
  <c r="BD563" i="4" s="1"/>
  <c r="BC558" i="4"/>
  <c r="BC563" i="4" s="1"/>
  <c r="BB558" i="4"/>
  <c r="AZ558" i="4"/>
  <c r="AZ563" i="4" s="1"/>
  <c r="AY558" i="4"/>
  <c r="AY563" i="4" s="1"/>
  <c r="AX558" i="4"/>
  <c r="AX563" i="4" s="1"/>
  <c r="AW558" i="4"/>
  <c r="AU558" i="4"/>
  <c r="AU563" i="4" s="1"/>
  <c r="AT558" i="4"/>
  <c r="AS558" i="4"/>
  <c r="AR558" i="4"/>
  <c r="AP558" i="4"/>
  <c r="AP563" i="4" s="1"/>
  <c r="AO558" i="4"/>
  <c r="AO563" i="4" s="1"/>
  <c r="AN558" i="4"/>
  <c r="AN563" i="4" s="1"/>
  <c r="AM558" i="4"/>
  <c r="AM563" i="4" s="1"/>
  <c r="AK558" i="4"/>
  <c r="AJ558" i="4"/>
  <c r="AJ563" i="4" s="1"/>
  <c r="AI558" i="4"/>
  <c r="AI563" i="4" s="1"/>
  <c r="AH558" i="4"/>
  <c r="AF558" i="4"/>
  <c r="AF563" i="4" s="1"/>
  <c r="AE558" i="4"/>
  <c r="AE563" i="4" s="1"/>
  <c r="AD558" i="4"/>
  <c r="AD563" i="4" s="1"/>
  <c r="AC558" i="4"/>
  <c r="AA558" i="4"/>
  <c r="AA563" i="4" s="1"/>
  <c r="Z558" i="4"/>
  <c r="Y558" i="4"/>
  <c r="Y563" i="4" s="1"/>
  <c r="X558" i="4"/>
  <c r="V558" i="4"/>
  <c r="V563" i="4" s="1"/>
  <c r="U558" i="4"/>
  <c r="U563" i="4" s="1"/>
  <c r="T558" i="4"/>
  <c r="S558" i="4"/>
  <c r="Q558" i="4"/>
  <c r="Q559" i="4" s="1"/>
  <c r="P558" i="4"/>
  <c r="P563" i="4" s="1"/>
  <c r="P564" i="4" s="1"/>
  <c r="O558" i="4"/>
  <c r="O563" i="4" s="1"/>
  <c r="N558" i="4"/>
  <c r="N563" i="4" s="1"/>
  <c r="L558" i="4"/>
  <c r="L563" i="4" s="1"/>
  <c r="L564" i="4" s="1"/>
  <c r="K558" i="4"/>
  <c r="K563" i="4" s="1"/>
  <c r="J558" i="4"/>
  <c r="J563" i="4" s="1"/>
  <c r="J564" i="4" s="1"/>
  <c r="I558" i="4"/>
  <c r="BU556" i="4"/>
  <c r="BU555" i="4"/>
  <c r="DQ555" i="4" s="1"/>
  <c r="BO556" i="4"/>
  <c r="BN556" i="4"/>
  <c r="BM556" i="4"/>
  <c r="BL556" i="4"/>
  <c r="BJ556" i="4"/>
  <c r="BI556" i="4"/>
  <c r="BH556" i="4"/>
  <c r="BG556" i="4"/>
  <c r="BE556" i="4"/>
  <c r="BD556" i="4"/>
  <c r="BC556" i="4"/>
  <c r="BB556" i="4"/>
  <c r="AZ556" i="4"/>
  <c r="AY556" i="4"/>
  <c r="AX556" i="4"/>
  <c r="AW556" i="4"/>
  <c r="AU556" i="4"/>
  <c r="AT556" i="4"/>
  <c r="AS556" i="4"/>
  <c r="AR556" i="4"/>
  <c r="AP556" i="4"/>
  <c r="AO556" i="4"/>
  <c r="AN556" i="4"/>
  <c r="AM556" i="4"/>
  <c r="AK556" i="4"/>
  <c r="AJ556" i="4"/>
  <c r="AI556" i="4"/>
  <c r="AH556" i="4"/>
  <c r="AF556" i="4"/>
  <c r="AE556" i="4"/>
  <c r="AD556" i="4"/>
  <c r="AC556" i="4"/>
  <c r="AA556" i="4"/>
  <c r="Z556" i="4"/>
  <c r="Y556" i="4"/>
  <c r="X556" i="4"/>
  <c r="V556" i="4"/>
  <c r="T556" i="4"/>
  <c r="S556" i="4"/>
  <c r="Q556" i="4"/>
  <c r="P556" i="4"/>
  <c r="O556" i="4"/>
  <c r="N556" i="4"/>
  <c r="DY556" i="4"/>
  <c r="DX556" i="4"/>
  <c r="DW556" i="4"/>
  <c r="DV556" i="4"/>
  <c r="DU556" i="4"/>
  <c r="DT556" i="4"/>
  <c r="DS556" i="4"/>
  <c r="DR556" i="4"/>
  <c r="DQ556" i="4"/>
  <c r="DP556" i="4"/>
  <c r="DO556" i="4"/>
  <c r="DN556" i="4"/>
  <c r="DM556" i="4"/>
  <c r="DL556" i="4"/>
  <c r="DK556" i="4"/>
  <c r="DJ556" i="4"/>
  <c r="DI556" i="4"/>
  <c r="DE556" i="4"/>
  <c r="DY555" i="4"/>
  <c r="DX555" i="4"/>
  <c r="DW555" i="4"/>
  <c r="DV555" i="4"/>
  <c r="DU555" i="4"/>
  <c r="DT555" i="4"/>
  <c r="DS555" i="4"/>
  <c r="DR555" i="4"/>
  <c r="BN555" i="4"/>
  <c r="BN553" i="4" s="1"/>
  <c r="BJ555" i="4"/>
  <c r="BJ553" i="4" s="1"/>
  <c r="BI555" i="4"/>
  <c r="BI553" i="4" s="1"/>
  <c r="BE555" i="4"/>
  <c r="BE553" i="4" s="1"/>
  <c r="BB555" i="4"/>
  <c r="AW555" i="4"/>
  <c r="AT555" i="4"/>
  <c r="AT553" i="4" s="1"/>
  <c r="AP555" i="4"/>
  <c r="AP553" i="4" s="1"/>
  <c r="AO555" i="4"/>
  <c r="AO553" i="4" s="1"/>
  <c r="AK555" i="4"/>
  <c r="AK553" i="4" s="1"/>
  <c r="AH555" i="4"/>
  <c r="AD555" i="4"/>
  <c r="AD553" i="4" s="1"/>
  <c r="AC555" i="4"/>
  <c r="AB555" i="4"/>
  <c r="DH555" i="4" s="1"/>
  <c r="W555" i="4"/>
  <c r="DG555" i="4" s="1"/>
  <c r="R555" i="4"/>
  <c r="DF555" i="4" s="1"/>
  <c r="M555" i="4"/>
  <c r="DE555" i="4" s="1"/>
  <c r="AB553" i="4"/>
  <c r="W553" i="4"/>
  <c r="R553" i="4"/>
  <c r="R556" i="4" s="1"/>
  <c r="DF556" i="4" s="1"/>
  <c r="M553" i="4"/>
  <c r="DE553" i="4" s="1"/>
  <c r="DY553" i="4"/>
  <c r="DX553" i="4"/>
  <c r="DW553" i="4"/>
  <c r="DV553" i="4"/>
  <c r="DU553" i="4"/>
  <c r="DT553" i="4"/>
  <c r="DS553" i="4"/>
  <c r="DR553" i="4"/>
  <c r="DH553" i="4"/>
  <c r="DY552" i="4"/>
  <c r="DX552" i="4"/>
  <c r="DW552" i="4"/>
  <c r="DV552" i="4"/>
  <c r="DU552" i="4"/>
  <c r="DT552" i="4"/>
  <c r="DS552" i="4"/>
  <c r="DR552" i="4"/>
  <c r="DQ552" i="4"/>
  <c r="DP552" i="4"/>
  <c r="DO552" i="4"/>
  <c r="DN552" i="4"/>
  <c r="DM552" i="4"/>
  <c r="DL552" i="4"/>
  <c r="DK552" i="4"/>
  <c r="DJ552" i="4"/>
  <c r="DI552" i="4"/>
  <c r="DH552" i="4"/>
  <c r="DG552" i="4"/>
  <c r="DF552" i="4"/>
  <c r="DE552" i="4"/>
  <c r="DY551" i="4"/>
  <c r="DX551" i="4"/>
  <c r="DW551" i="4"/>
  <c r="DV551" i="4"/>
  <c r="DU551" i="4"/>
  <c r="DT551" i="4"/>
  <c r="DS551" i="4"/>
  <c r="DR551" i="4"/>
  <c r="DQ551" i="4"/>
  <c r="DP551" i="4"/>
  <c r="DO551" i="4"/>
  <c r="DN551" i="4"/>
  <c r="DM551" i="4"/>
  <c r="DL551" i="4"/>
  <c r="DK551" i="4"/>
  <c r="DJ551" i="4"/>
  <c r="DI551" i="4"/>
  <c r="DH551" i="4"/>
  <c r="DG551" i="4"/>
  <c r="DF551" i="4"/>
  <c r="DE551" i="4"/>
  <c r="AB548" i="4"/>
  <c r="W548" i="4"/>
  <c r="U549" i="4"/>
  <c r="U556" i="4" s="1"/>
  <c r="T549" i="4"/>
  <c r="S549" i="4"/>
  <c r="Q549" i="4"/>
  <c r="P549" i="4"/>
  <c r="O549" i="4"/>
  <c r="N549" i="4"/>
  <c r="DY549" i="4"/>
  <c r="DX549" i="4"/>
  <c r="DW549" i="4"/>
  <c r="DV549" i="4"/>
  <c r="DU549" i="4"/>
  <c r="DT549" i="4"/>
  <c r="DS549" i="4"/>
  <c r="DR549" i="4"/>
  <c r="DQ549" i="4"/>
  <c r="DP549" i="4"/>
  <c r="DO549" i="4"/>
  <c r="DN549" i="4"/>
  <c r="DM549" i="4"/>
  <c r="DL549" i="4"/>
  <c r="DK549" i="4"/>
  <c r="DJ549" i="4"/>
  <c r="DI549" i="4"/>
  <c r="DE549" i="4"/>
  <c r="DY548" i="4"/>
  <c r="DX548" i="4"/>
  <c r="DW548" i="4"/>
  <c r="DV548" i="4"/>
  <c r="DU548" i="4"/>
  <c r="DT548" i="4"/>
  <c r="DS548" i="4"/>
  <c r="DR548" i="4"/>
  <c r="DQ548" i="4"/>
  <c r="DH548" i="4"/>
  <c r="DG548" i="4"/>
  <c r="BP548" i="4"/>
  <c r="DP548" i="4" s="1"/>
  <c r="BK548" i="4"/>
  <c r="DO548" i="4" s="1"/>
  <c r="BF548" i="4"/>
  <c r="DN548" i="4" s="1"/>
  <c r="BA548" i="4"/>
  <c r="DM548" i="4" s="1"/>
  <c r="AV548" i="4"/>
  <c r="DL548" i="4" s="1"/>
  <c r="AQ548" i="4"/>
  <c r="DK548" i="4" s="1"/>
  <c r="AL548" i="4"/>
  <c r="DJ548" i="4" s="1"/>
  <c r="AG548" i="4"/>
  <c r="DI548" i="4" s="1"/>
  <c r="R548" i="4"/>
  <c r="DF548" i="4" s="1"/>
  <c r="M548" i="4"/>
  <c r="DE548" i="4" s="1"/>
  <c r="BP546" i="4"/>
  <c r="BP545" i="4"/>
  <c r="BP544" i="4"/>
  <c r="DP544" i="4" s="1"/>
  <c r="BP543" i="4"/>
  <c r="DP543" i="4" s="1"/>
  <c r="BK546" i="4"/>
  <c r="BK545" i="4"/>
  <c r="BK544" i="4"/>
  <c r="DO544" i="4" s="1"/>
  <c r="BK543" i="4"/>
  <c r="DO543" i="4" s="1"/>
  <c r="BF546" i="4"/>
  <c r="BF545" i="4"/>
  <c r="BF544" i="4"/>
  <c r="BF543" i="4"/>
  <c r="DN543" i="4" s="1"/>
  <c r="BA546" i="4"/>
  <c r="BA545" i="4"/>
  <c r="BA544" i="4"/>
  <c r="BA543" i="4"/>
  <c r="DM543" i="4" s="1"/>
  <c r="AV546" i="4"/>
  <c r="AV545" i="4"/>
  <c r="AV544" i="4"/>
  <c r="DL544" i="4" s="1"/>
  <c r="AV543" i="4"/>
  <c r="DL543" i="4" s="1"/>
  <c r="AQ546" i="4"/>
  <c r="AQ545" i="4"/>
  <c r="AQ544" i="4"/>
  <c r="DK544" i="4" s="1"/>
  <c r="AQ543" i="4"/>
  <c r="DK543" i="4" s="1"/>
  <c r="AL546" i="4"/>
  <c r="AL545" i="4"/>
  <c r="AL544" i="4"/>
  <c r="AL543" i="4"/>
  <c r="DJ543" i="4" s="1"/>
  <c r="AG546" i="4"/>
  <c r="AG545" i="4"/>
  <c r="AG544" i="4"/>
  <c r="AG543" i="4"/>
  <c r="DI543" i="4" s="1"/>
  <c r="AB546" i="4"/>
  <c r="AB545" i="4"/>
  <c r="AB544" i="4"/>
  <c r="DH544" i="4" s="1"/>
  <c r="AB543" i="4"/>
  <c r="DH543" i="4" s="1"/>
  <c r="W546" i="4"/>
  <c r="W545" i="4"/>
  <c r="W543" i="4"/>
  <c r="DG543" i="4" s="1"/>
  <c r="R546" i="4"/>
  <c r="DF546" i="4" s="1"/>
  <c r="Q546" i="4"/>
  <c r="L546" i="4"/>
  <c r="M546" i="4" s="1"/>
  <c r="DE546" i="4" s="1"/>
  <c r="R545" i="4"/>
  <c r="DF545" i="4" s="1"/>
  <c r="R543" i="4"/>
  <c r="DF543" i="4" s="1"/>
  <c r="M545" i="4"/>
  <c r="DE545" i="4" s="1"/>
  <c r="U544" i="4"/>
  <c r="T544" i="4"/>
  <c r="S544" i="4"/>
  <c r="P544" i="4"/>
  <c r="O544" i="4"/>
  <c r="N544" i="4"/>
  <c r="K544" i="4"/>
  <c r="J544" i="4"/>
  <c r="I544" i="4"/>
  <c r="DY546" i="4"/>
  <c r="DX546" i="4"/>
  <c r="DW546" i="4"/>
  <c r="DV546" i="4"/>
  <c r="DU546" i="4"/>
  <c r="DT546" i="4"/>
  <c r="DS546" i="4"/>
  <c r="DR546" i="4"/>
  <c r="DQ546" i="4"/>
  <c r="DP546" i="4"/>
  <c r="DO546" i="4"/>
  <c r="DN546" i="4"/>
  <c r="DM546" i="4"/>
  <c r="DL546" i="4"/>
  <c r="DK546" i="4"/>
  <c r="DJ546" i="4"/>
  <c r="DI546" i="4"/>
  <c r="DH546" i="4"/>
  <c r="DG546" i="4"/>
  <c r="DY545" i="4"/>
  <c r="DX545" i="4"/>
  <c r="DW545" i="4"/>
  <c r="DV545" i="4"/>
  <c r="DU545" i="4"/>
  <c r="DT545" i="4"/>
  <c r="DS545" i="4"/>
  <c r="DR545" i="4"/>
  <c r="DQ545" i="4"/>
  <c r="DP545" i="4"/>
  <c r="DO545" i="4"/>
  <c r="DN545" i="4"/>
  <c r="DM545" i="4"/>
  <c r="DL545" i="4"/>
  <c r="DK545" i="4"/>
  <c r="DJ545" i="4"/>
  <c r="DI545" i="4"/>
  <c r="DH545" i="4"/>
  <c r="DG545" i="4"/>
  <c r="DY544" i="4"/>
  <c r="DX544" i="4"/>
  <c r="DW544" i="4"/>
  <c r="DV544" i="4"/>
  <c r="DU544" i="4"/>
  <c r="DT544" i="4"/>
  <c r="DS544" i="4"/>
  <c r="DR544" i="4"/>
  <c r="DQ544" i="4"/>
  <c r="DN544" i="4"/>
  <c r="DM544" i="4"/>
  <c r="DJ544" i="4"/>
  <c r="DI544" i="4"/>
  <c r="DY543" i="4"/>
  <c r="DX543" i="4"/>
  <c r="DW543" i="4"/>
  <c r="DV543" i="4"/>
  <c r="DU543" i="4"/>
  <c r="DT543" i="4"/>
  <c r="DS543" i="4"/>
  <c r="DR543" i="4"/>
  <c r="DQ543" i="4"/>
  <c r="Q543" i="4"/>
  <c r="Q544" i="4" s="1"/>
  <c r="L543" i="4"/>
  <c r="M543" i="4" s="1"/>
  <c r="DE543" i="4" s="1"/>
  <c r="AI539" i="4"/>
  <c r="AK539" i="4" s="1"/>
  <c r="AI538" i="4"/>
  <c r="AJ538" i="4"/>
  <c r="AJ540" i="4" s="1"/>
  <c r="AH538" i="4"/>
  <c r="AH537" i="4" s="1"/>
  <c r="AH536" i="4"/>
  <c r="AH535" i="4"/>
  <c r="AH534" i="4"/>
  <c r="AJ537" i="4"/>
  <c r="AL536" i="4"/>
  <c r="AJ535" i="4"/>
  <c r="AI535" i="4"/>
  <c r="AI534" i="4" s="1"/>
  <c r="DY540" i="4"/>
  <c r="DX540" i="4"/>
  <c r="DW540" i="4"/>
  <c r="DV540" i="4"/>
  <c r="DU540" i="4"/>
  <c r="DT540" i="4"/>
  <c r="DS540" i="4"/>
  <c r="DR540" i="4"/>
  <c r="DQ540" i="4"/>
  <c r="DP540" i="4"/>
  <c r="DO540" i="4"/>
  <c r="DN540" i="4"/>
  <c r="DM540" i="4"/>
  <c r="DL540" i="4"/>
  <c r="DK540" i="4"/>
  <c r="DI540" i="4"/>
  <c r="DH540" i="4"/>
  <c r="DG540" i="4"/>
  <c r="DF540" i="4"/>
  <c r="DE540" i="4"/>
  <c r="DY539" i="4"/>
  <c r="DX539" i="4"/>
  <c r="DW539" i="4"/>
  <c r="DV539" i="4"/>
  <c r="DU539" i="4"/>
  <c r="DT539" i="4"/>
  <c r="DS539" i="4"/>
  <c r="DR539" i="4"/>
  <c r="DI539" i="4"/>
  <c r="DH539" i="4"/>
  <c r="DG539" i="4"/>
  <c r="DF539" i="4"/>
  <c r="DE539" i="4"/>
  <c r="DY538" i="4"/>
  <c r="DX538" i="4"/>
  <c r="DW538" i="4"/>
  <c r="DV538" i="4"/>
  <c r="DU538" i="4"/>
  <c r="DT538" i="4"/>
  <c r="DS538" i="4"/>
  <c r="DR538" i="4"/>
  <c r="DI538" i="4"/>
  <c r="DH538" i="4"/>
  <c r="DG538" i="4"/>
  <c r="DF538" i="4"/>
  <c r="DE538" i="4"/>
  <c r="DY537" i="4"/>
  <c r="DX537" i="4"/>
  <c r="DW537" i="4"/>
  <c r="DV537" i="4"/>
  <c r="DU537" i="4"/>
  <c r="DT537" i="4"/>
  <c r="DS537" i="4"/>
  <c r="DR537" i="4"/>
  <c r="DI537" i="4"/>
  <c r="DH537" i="4"/>
  <c r="DG537" i="4"/>
  <c r="DF537" i="4"/>
  <c r="DE537" i="4"/>
  <c r="DY536" i="4"/>
  <c r="DX536" i="4"/>
  <c r="DW536" i="4"/>
  <c r="DV536" i="4"/>
  <c r="DU536" i="4"/>
  <c r="DT536" i="4"/>
  <c r="DS536" i="4"/>
  <c r="DR536" i="4"/>
  <c r="DQ536" i="4"/>
  <c r="DP536" i="4"/>
  <c r="DO536" i="4"/>
  <c r="DN536" i="4"/>
  <c r="DM536" i="4"/>
  <c r="DL536" i="4"/>
  <c r="DK536" i="4"/>
  <c r="DJ536" i="4"/>
  <c r="DI536" i="4"/>
  <c r="DH536" i="4"/>
  <c r="DG536" i="4"/>
  <c r="DF536" i="4"/>
  <c r="DE536" i="4"/>
  <c r="DY535" i="4"/>
  <c r="DX535" i="4"/>
  <c r="DW535" i="4"/>
  <c r="DV535" i="4"/>
  <c r="DU535" i="4"/>
  <c r="DT535" i="4"/>
  <c r="DS535" i="4"/>
  <c r="DR535" i="4"/>
  <c r="DQ535" i="4"/>
  <c r="DP535" i="4"/>
  <c r="DO535" i="4"/>
  <c r="DN535" i="4"/>
  <c r="DM535" i="4"/>
  <c r="DL535" i="4"/>
  <c r="DK535" i="4"/>
  <c r="DI535" i="4"/>
  <c r="DH535" i="4"/>
  <c r="DG535" i="4"/>
  <c r="DF535" i="4"/>
  <c r="DE535" i="4"/>
  <c r="DY534" i="4"/>
  <c r="DX534" i="4"/>
  <c r="DW534" i="4"/>
  <c r="DV534" i="4"/>
  <c r="DU534" i="4"/>
  <c r="DT534" i="4"/>
  <c r="DS534" i="4"/>
  <c r="DR534" i="4"/>
  <c r="DQ534" i="4"/>
  <c r="DP534" i="4"/>
  <c r="DO534" i="4"/>
  <c r="DN534" i="4"/>
  <c r="DM534" i="4"/>
  <c r="DL534" i="4"/>
  <c r="DK534" i="4"/>
  <c r="DI534" i="4"/>
  <c r="DH534" i="4"/>
  <c r="DG534" i="4"/>
  <c r="DF534" i="4"/>
  <c r="DE534" i="4"/>
  <c r="DY533" i="4"/>
  <c r="DX533" i="4"/>
  <c r="DW533" i="4"/>
  <c r="DV533" i="4"/>
  <c r="DU533" i="4"/>
  <c r="DT533" i="4"/>
  <c r="DS533" i="4"/>
  <c r="DR533" i="4"/>
  <c r="DQ533" i="4"/>
  <c r="DP533" i="4"/>
  <c r="DO533" i="4"/>
  <c r="DN533" i="4"/>
  <c r="DM533" i="4"/>
  <c r="DL533" i="4"/>
  <c r="DK533" i="4"/>
  <c r="DJ533" i="4"/>
  <c r="DI533" i="4"/>
  <c r="DH533" i="4"/>
  <c r="DG533" i="4"/>
  <c r="DF533" i="4"/>
  <c r="DE533" i="4"/>
  <c r="DY531" i="4"/>
  <c r="DX531" i="4"/>
  <c r="DW531" i="4"/>
  <c r="DV531" i="4"/>
  <c r="DU531" i="4"/>
  <c r="DT531" i="4"/>
  <c r="DS531" i="4"/>
  <c r="DR531" i="4"/>
  <c r="DF531" i="4"/>
  <c r="DE531" i="4"/>
  <c r="DY530" i="4"/>
  <c r="DX530" i="4"/>
  <c r="DW530" i="4"/>
  <c r="DV530" i="4"/>
  <c r="DU530" i="4"/>
  <c r="DT530" i="4"/>
  <c r="DS530" i="4"/>
  <c r="DR530" i="4"/>
  <c r="DF530" i="4"/>
  <c r="DE530" i="4"/>
  <c r="DY528" i="4"/>
  <c r="DX528" i="4"/>
  <c r="DW528" i="4"/>
  <c r="DV528" i="4"/>
  <c r="DU528" i="4"/>
  <c r="DT528" i="4"/>
  <c r="DS528" i="4"/>
  <c r="DR528" i="4"/>
  <c r="DE528" i="4"/>
  <c r="DY527" i="4"/>
  <c r="DX527" i="4"/>
  <c r="DW527" i="4"/>
  <c r="DV527" i="4"/>
  <c r="DU527" i="4"/>
  <c r="DT527" i="4"/>
  <c r="DS527" i="4"/>
  <c r="DR527" i="4"/>
  <c r="DY526" i="4"/>
  <c r="DX526" i="4"/>
  <c r="DW526" i="4"/>
  <c r="DV526" i="4"/>
  <c r="DU526" i="4"/>
  <c r="DT526" i="4"/>
  <c r="DS526" i="4"/>
  <c r="DR526" i="4"/>
  <c r="L527" i="4"/>
  <c r="K527" i="4"/>
  <c r="J527" i="4"/>
  <c r="I527" i="4"/>
  <c r="M526" i="4"/>
  <c r="DE526" i="4" s="1"/>
  <c r="L526" i="4"/>
  <c r="K526" i="4"/>
  <c r="J526" i="4"/>
  <c r="I526" i="4"/>
  <c r="DY523" i="4"/>
  <c r="DX523" i="4"/>
  <c r="DW523" i="4"/>
  <c r="DV523" i="4"/>
  <c r="DU523" i="4"/>
  <c r="DT523" i="4"/>
  <c r="DS523" i="4"/>
  <c r="DR523" i="4"/>
  <c r="DY522" i="4"/>
  <c r="DX522" i="4"/>
  <c r="DW522" i="4"/>
  <c r="DV522" i="4"/>
  <c r="DU522" i="4"/>
  <c r="DT522" i="4"/>
  <c r="DS522" i="4"/>
  <c r="DR522" i="4"/>
  <c r="DY521" i="4"/>
  <c r="DX521" i="4"/>
  <c r="DW521" i="4"/>
  <c r="DV521" i="4"/>
  <c r="DU521" i="4"/>
  <c r="DT521" i="4"/>
  <c r="DS521" i="4"/>
  <c r="DR521" i="4"/>
  <c r="DY520" i="4"/>
  <c r="DX520" i="4"/>
  <c r="DW520" i="4"/>
  <c r="DV520" i="4"/>
  <c r="DU520" i="4"/>
  <c r="DT520" i="4"/>
  <c r="DS520" i="4"/>
  <c r="DR520" i="4"/>
  <c r="DY519" i="4"/>
  <c r="DX519" i="4"/>
  <c r="DW519" i="4"/>
  <c r="DV519" i="4"/>
  <c r="DU519" i="4"/>
  <c r="DT519" i="4"/>
  <c r="DS519" i="4"/>
  <c r="DR519" i="4"/>
  <c r="L522" i="4"/>
  <c r="K522" i="4"/>
  <c r="J522" i="4"/>
  <c r="I522" i="4"/>
  <c r="H522" i="4"/>
  <c r="BT520" i="4"/>
  <c r="BS520" i="4"/>
  <c r="BR520" i="4"/>
  <c r="BQ520" i="4"/>
  <c r="BO520" i="4"/>
  <c r="BN520" i="4"/>
  <c r="BM520" i="4"/>
  <c r="BL520" i="4"/>
  <c r="BJ520" i="4"/>
  <c r="BI520" i="4"/>
  <c r="BH520" i="4"/>
  <c r="BG520" i="4"/>
  <c r="BE520" i="4"/>
  <c r="BD520" i="4"/>
  <c r="BC520" i="4"/>
  <c r="BB520" i="4"/>
  <c r="AZ520" i="4"/>
  <c r="AY520" i="4"/>
  <c r="AX520" i="4"/>
  <c r="AW520" i="4"/>
  <c r="AP520" i="4"/>
  <c r="AO520" i="4"/>
  <c r="AN520" i="4"/>
  <c r="AM520" i="4"/>
  <c r="Z520" i="4"/>
  <c r="Y520" i="4"/>
  <c r="X520" i="4"/>
  <c r="V520" i="4"/>
  <c r="U520" i="4"/>
  <c r="T520" i="4"/>
  <c r="S520" i="4"/>
  <c r="Q520" i="4"/>
  <c r="P520" i="4"/>
  <c r="O520" i="4"/>
  <c r="N520" i="4"/>
  <c r="L520" i="4"/>
  <c r="K520" i="4"/>
  <c r="J520" i="4"/>
  <c r="I520" i="4"/>
  <c r="H520" i="4"/>
  <c r="AU519" i="4"/>
  <c r="AT519" i="4"/>
  <c r="AS519" i="4"/>
  <c r="AR519" i="4"/>
  <c r="AP519" i="4"/>
  <c r="AO519" i="4"/>
  <c r="AN519" i="4"/>
  <c r="AM519" i="4"/>
  <c r="AK519" i="4"/>
  <c r="AJ519" i="4"/>
  <c r="AI519" i="4"/>
  <c r="AH519" i="4"/>
  <c r="AF519" i="4"/>
  <c r="AE519" i="4"/>
  <c r="AD519" i="4"/>
  <c r="AC519" i="4"/>
  <c r="AA519" i="4"/>
  <c r="Z519" i="4"/>
  <c r="Y519" i="4"/>
  <c r="X519" i="4"/>
  <c r="V519" i="4"/>
  <c r="U519" i="4"/>
  <c r="T519" i="4"/>
  <c r="S519" i="4"/>
  <c r="Q519" i="4"/>
  <c r="P519" i="4"/>
  <c r="O519" i="4"/>
  <c r="N519" i="4"/>
  <c r="L519" i="4"/>
  <c r="K519" i="4"/>
  <c r="J519" i="4"/>
  <c r="I519" i="4"/>
  <c r="H519" i="4"/>
  <c r="DY516" i="4"/>
  <c r="DX516" i="4"/>
  <c r="DW516" i="4"/>
  <c r="DV516" i="4"/>
  <c r="DU516" i="4"/>
  <c r="DT516" i="4"/>
  <c r="DS516" i="4"/>
  <c r="DR516" i="4"/>
  <c r="DQ516" i="4"/>
  <c r="DP516" i="4"/>
  <c r="DO516" i="4"/>
  <c r="DN516" i="4"/>
  <c r="DM516" i="4"/>
  <c r="DL516" i="4"/>
  <c r="DK516" i="4"/>
  <c r="DJ516" i="4"/>
  <c r="DI516" i="4"/>
  <c r="DH516" i="4"/>
  <c r="DG516" i="4"/>
  <c r="DF516" i="4"/>
  <c r="DE516" i="4"/>
  <c r="AX513" i="4"/>
  <c r="AU513" i="4"/>
  <c r="AS513" i="4"/>
  <c r="DY514" i="4"/>
  <c r="DX514" i="4"/>
  <c r="DW514" i="4"/>
  <c r="DV514" i="4"/>
  <c r="DU514" i="4"/>
  <c r="DT514" i="4"/>
  <c r="DS514" i="4"/>
  <c r="DR514" i="4"/>
  <c r="DQ514" i="4"/>
  <c r="DP514" i="4"/>
  <c r="DO514" i="4"/>
  <c r="DN514" i="4"/>
  <c r="DM514" i="4"/>
  <c r="DL514" i="4"/>
  <c r="DK514" i="4"/>
  <c r="DJ514" i="4"/>
  <c r="DI514" i="4"/>
  <c r="DH514" i="4"/>
  <c r="DG514" i="4"/>
  <c r="DF514" i="4"/>
  <c r="DE514" i="4"/>
  <c r="DY513" i="4"/>
  <c r="DX513" i="4"/>
  <c r="DW513" i="4"/>
  <c r="DV513" i="4"/>
  <c r="DU513" i="4"/>
  <c r="DT513" i="4"/>
  <c r="DS513" i="4"/>
  <c r="DR513" i="4"/>
  <c r="DQ513" i="4"/>
  <c r="DO513" i="4"/>
  <c r="DN513" i="4"/>
  <c r="DE513" i="4"/>
  <c r="BR513" i="4"/>
  <c r="BS513" i="4" s="1"/>
  <c r="BT513" i="4" s="1"/>
  <c r="BT439" i="4" s="1"/>
  <c r="BO513" i="4"/>
  <c r="BM513" i="4"/>
  <c r="BN513" i="4" s="1"/>
  <c r="BH513" i="4"/>
  <c r="BI513" i="4" s="1"/>
  <c r="BB513" i="4"/>
  <c r="AP513" i="4"/>
  <c r="AN513" i="4"/>
  <c r="AK513" i="4"/>
  <c r="AI513" i="4"/>
  <c r="AF513" i="4"/>
  <c r="AD513" i="4"/>
  <c r="Y513" i="4"/>
  <c r="T513" i="4"/>
  <c r="O513" i="4"/>
  <c r="N513" i="4"/>
  <c r="DY511" i="4"/>
  <c r="DX511" i="4"/>
  <c r="DW511" i="4"/>
  <c r="DV511" i="4"/>
  <c r="DU511" i="4"/>
  <c r="DT511" i="4"/>
  <c r="DS511" i="4"/>
  <c r="DR511" i="4"/>
  <c r="DQ511" i="4"/>
  <c r="DE511" i="4"/>
  <c r="DY509" i="4"/>
  <c r="DX509" i="4"/>
  <c r="DW509" i="4"/>
  <c r="DV509" i="4"/>
  <c r="DU509" i="4"/>
  <c r="DT509" i="4"/>
  <c r="DS509" i="4"/>
  <c r="DR509" i="4"/>
  <c r="DQ509" i="4"/>
  <c r="DP509" i="4"/>
  <c r="DO509" i="4"/>
  <c r="DN509" i="4"/>
  <c r="DM509" i="4"/>
  <c r="DL509" i="4"/>
  <c r="DK509" i="4"/>
  <c r="DJ509" i="4"/>
  <c r="DI509" i="4"/>
  <c r="DH509" i="4"/>
  <c r="DG509" i="4"/>
  <c r="DF509" i="4"/>
  <c r="DE509" i="4"/>
  <c r="BN506" i="4"/>
  <c r="BM506" i="4"/>
  <c r="BL506" i="4"/>
  <c r="BJ506" i="4"/>
  <c r="BI506" i="4"/>
  <c r="BH506" i="4"/>
  <c r="BG506" i="4"/>
  <c r="BE506" i="4"/>
  <c r="BD506" i="4"/>
  <c r="BC506" i="4"/>
  <c r="BB506" i="4"/>
  <c r="AZ506" i="4"/>
  <c r="AY506" i="4"/>
  <c r="AX506" i="4"/>
  <c r="AW506" i="4"/>
  <c r="AU506" i="4"/>
  <c r="AT506" i="4"/>
  <c r="AS506" i="4"/>
  <c r="AR506" i="4"/>
  <c r="AP506" i="4"/>
  <c r="AO506" i="4"/>
  <c r="AN506" i="4"/>
  <c r="AM506" i="4"/>
  <c r="AK506" i="4"/>
  <c r="AJ506" i="4"/>
  <c r="AI506" i="4"/>
  <c r="AH506" i="4"/>
  <c r="AF506" i="4"/>
  <c r="AE506" i="4"/>
  <c r="AD506" i="4"/>
  <c r="AC506" i="4"/>
  <c r="AD503" i="4" s="1"/>
  <c r="AD504" i="4" s="1"/>
  <c r="AD522" i="4" s="1"/>
  <c r="AA506" i="4"/>
  <c r="Z506" i="4"/>
  <c r="Y506" i="4"/>
  <c r="Z503" i="4" s="1"/>
  <c r="Z504" i="4" s="1"/>
  <c r="Z522" i="4" s="1"/>
  <c r="X506" i="4"/>
  <c r="V506" i="4"/>
  <c r="U506" i="4"/>
  <c r="V503" i="4" s="1"/>
  <c r="T506" i="4"/>
  <c r="S506" i="4"/>
  <c r="Q506" i="4"/>
  <c r="R506" i="4" s="1"/>
  <c r="DF506" i="4" s="1"/>
  <c r="M506" i="4"/>
  <c r="BQ505" i="4"/>
  <c r="BO503" i="4"/>
  <c r="BK505" i="4"/>
  <c r="BF505" i="4"/>
  <c r="AD43" i="9" s="1"/>
  <c r="BE505" i="4"/>
  <c r="BE513" i="4" s="1"/>
  <c r="BA505" i="4"/>
  <c r="DM505" i="4" s="1"/>
  <c r="AV505" i="4"/>
  <c r="AQ505" i="4"/>
  <c r="AL505" i="4"/>
  <c r="AG505" i="4"/>
  <c r="AF505" i="4"/>
  <c r="AB505" i="4"/>
  <c r="AA505" i="4"/>
  <c r="AA513" i="4" s="1"/>
  <c r="U505" i="4"/>
  <c r="S505" i="4"/>
  <c r="S513" i="4" s="1"/>
  <c r="P505" i="4"/>
  <c r="BR503" i="4"/>
  <c r="BR505" i="4" s="1"/>
  <c r="BM503" i="4"/>
  <c r="BI503" i="4"/>
  <c r="BH503" i="4"/>
  <c r="BH504" i="4" s="1"/>
  <c r="BE503" i="4"/>
  <c r="BD503" i="4"/>
  <c r="BD504" i="4" s="1"/>
  <c r="BC503" i="4"/>
  <c r="BC504" i="4" s="1"/>
  <c r="AZ503" i="4"/>
  <c r="AZ504" i="4" s="1"/>
  <c r="AY503" i="4"/>
  <c r="AY504" i="4" s="1"/>
  <c r="AU503" i="4"/>
  <c r="AS503" i="4"/>
  <c r="AP504" i="4"/>
  <c r="AP522" i="4" s="1"/>
  <c r="AP503" i="4"/>
  <c r="AO503" i="4"/>
  <c r="AN503" i="4"/>
  <c r="AN504" i="4" s="1"/>
  <c r="AN522" i="4" s="1"/>
  <c r="AK504" i="4"/>
  <c r="AK522" i="4" s="1"/>
  <c r="AK503" i="4"/>
  <c r="AJ503" i="4"/>
  <c r="AJ504" i="4" s="1"/>
  <c r="AJ522" i="4" s="1"/>
  <c r="AI503" i="4"/>
  <c r="AI504" i="4" s="1"/>
  <c r="AI522" i="4" s="1"/>
  <c r="AF503" i="4"/>
  <c r="AE503" i="4"/>
  <c r="AE504" i="4" s="1"/>
  <c r="AE522" i="4" s="1"/>
  <c r="AA503" i="4"/>
  <c r="Y503" i="4"/>
  <c r="Y504" i="4" s="1"/>
  <c r="U503" i="4"/>
  <c r="T503" i="4"/>
  <c r="T504" i="4" s="1"/>
  <c r="T522" i="4" s="1"/>
  <c r="DY507" i="4"/>
  <c r="DX507" i="4"/>
  <c r="DW507" i="4"/>
  <c r="DV507" i="4"/>
  <c r="DU507" i="4"/>
  <c r="DT507" i="4"/>
  <c r="DS507" i="4"/>
  <c r="DR507" i="4"/>
  <c r="DQ507" i="4"/>
  <c r="DK507" i="4"/>
  <c r="DJ507" i="4"/>
  <c r="DI507" i="4"/>
  <c r="DH507" i="4"/>
  <c r="DG507" i="4"/>
  <c r="DF507" i="4"/>
  <c r="DE507" i="4"/>
  <c r="DY506" i="4"/>
  <c r="DX506" i="4"/>
  <c r="DW506" i="4"/>
  <c r="DV506" i="4"/>
  <c r="DU506" i="4"/>
  <c r="DT506" i="4"/>
  <c r="DS506" i="4"/>
  <c r="DR506" i="4"/>
  <c r="DY505" i="4"/>
  <c r="DX505" i="4"/>
  <c r="DW505" i="4"/>
  <c r="DV505" i="4"/>
  <c r="DU505" i="4"/>
  <c r="DT505" i="4"/>
  <c r="DS505" i="4"/>
  <c r="DR505" i="4"/>
  <c r="DO505" i="4"/>
  <c r="DL505" i="4"/>
  <c r="DK505" i="4"/>
  <c r="DJ505" i="4"/>
  <c r="DE505" i="4"/>
  <c r="DY504" i="4"/>
  <c r="DX504" i="4"/>
  <c r="DW504" i="4"/>
  <c r="DV504" i="4"/>
  <c r="DU504" i="4"/>
  <c r="DT504" i="4"/>
  <c r="DS504" i="4"/>
  <c r="DR504" i="4"/>
  <c r="DE504" i="4"/>
  <c r="DY503" i="4"/>
  <c r="DX503" i="4"/>
  <c r="DW503" i="4"/>
  <c r="DV503" i="4"/>
  <c r="DU503" i="4"/>
  <c r="DT503" i="4"/>
  <c r="DS503" i="4"/>
  <c r="DR503" i="4"/>
  <c r="DQ503" i="4"/>
  <c r="DE503" i="4"/>
  <c r="DY502" i="4"/>
  <c r="DX502" i="4"/>
  <c r="DW502" i="4"/>
  <c r="DV502" i="4"/>
  <c r="DU502" i="4"/>
  <c r="DT502" i="4"/>
  <c r="DS502" i="4"/>
  <c r="DR502" i="4"/>
  <c r="DQ502" i="4"/>
  <c r="DP502" i="4"/>
  <c r="DO502" i="4"/>
  <c r="DN502" i="4"/>
  <c r="DM502" i="4"/>
  <c r="DL502" i="4"/>
  <c r="DK502" i="4"/>
  <c r="DJ502" i="4"/>
  <c r="DI502" i="4"/>
  <c r="DH502" i="4"/>
  <c r="DG502" i="4"/>
  <c r="DF502" i="4"/>
  <c r="DE502" i="4"/>
  <c r="BN500" i="4"/>
  <c r="BM500" i="4"/>
  <c r="BM498" i="4" s="1"/>
  <c r="BM499" i="4" s="1"/>
  <c r="BL500" i="4"/>
  <c r="BJ500" i="4"/>
  <c r="BK500" i="4" s="1"/>
  <c r="BI500" i="4"/>
  <c r="BH500" i="4"/>
  <c r="BG500" i="4"/>
  <c r="BG498" i="4" s="1"/>
  <c r="BG499" i="4" s="1"/>
  <c r="BE500" i="4"/>
  <c r="BF500" i="4" s="1"/>
  <c r="BD500" i="4"/>
  <c r="BC500" i="4"/>
  <c r="BC498" i="4" s="1"/>
  <c r="BC499" i="4" s="1"/>
  <c r="BB500" i="4"/>
  <c r="AZ500" i="4"/>
  <c r="BA500" i="4" s="1"/>
  <c r="DM500" i="4" s="1"/>
  <c r="AY500" i="4"/>
  <c r="AY498" i="4" s="1"/>
  <c r="AY499" i="4" s="1"/>
  <c r="AX500" i="4"/>
  <c r="AW500" i="4"/>
  <c r="AU500" i="4"/>
  <c r="AT500" i="4"/>
  <c r="AS500" i="4"/>
  <c r="AR500" i="4"/>
  <c r="AQ500" i="4"/>
  <c r="DK500" i="4" s="1"/>
  <c r="AP500" i="4"/>
  <c r="AO500" i="4"/>
  <c r="AN500" i="4"/>
  <c r="AM500" i="4"/>
  <c r="AM498" i="4" s="1"/>
  <c r="AM499" i="4" s="1"/>
  <c r="AK500" i="4"/>
  <c r="AL500" i="4" s="1"/>
  <c r="DJ500" i="4" s="1"/>
  <c r="AG500" i="4"/>
  <c r="AF500" i="4"/>
  <c r="AA500" i="4"/>
  <c r="W500" i="4"/>
  <c r="DG500" i="4" s="1"/>
  <c r="V500" i="4"/>
  <c r="M500" i="4"/>
  <c r="DE500" i="4" s="1"/>
  <c r="L500" i="4"/>
  <c r="L499" i="4" s="1"/>
  <c r="DY500" i="4"/>
  <c r="DX500" i="4"/>
  <c r="DW500" i="4"/>
  <c r="DV500" i="4"/>
  <c r="DU500" i="4"/>
  <c r="DT500" i="4"/>
  <c r="DS500" i="4"/>
  <c r="DR500" i="4"/>
  <c r="DN500" i="4"/>
  <c r="DI500" i="4"/>
  <c r="DY499" i="4"/>
  <c r="DX499" i="4"/>
  <c r="DW499" i="4"/>
  <c r="DV499" i="4"/>
  <c r="DU499" i="4"/>
  <c r="DT499" i="4"/>
  <c r="DS499" i="4"/>
  <c r="DR499" i="4"/>
  <c r="DQ499" i="4"/>
  <c r="DY498" i="4"/>
  <c r="DX498" i="4"/>
  <c r="DW498" i="4"/>
  <c r="DV498" i="4"/>
  <c r="DU498" i="4"/>
  <c r="DT498" i="4"/>
  <c r="DS498" i="4"/>
  <c r="DR498" i="4"/>
  <c r="BO498" i="4"/>
  <c r="BP498" i="4" s="1"/>
  <c r="DP498" i="4" s="1"/>
  <c r="BN498" i="4"/>
  <c r="BN499" i="4" s="1"/>
  <c r="BL498" i="4"/>
  <c r="BL499" i="4" s="1"/>
  <c r="BJ498" i="4"/>
  <c r="BJ499" i="4" s="1"/>
  <c r="BI498" i="4"/>
  <c r="BI499" i="4" s="1"/>
  <c r="BH498" i="4"/>
  <c r="BH499" i="4" s="1"/>
  <c r="BE498" i="4"/>
  <c r="BF498" i="4" s="1"/>
  <c r="BD498" i="4"/>
  <c r="BD499" i="4" s="1"/>
  <c r="BB498" i="4"/>
  <c r="BB499" i="4" s="1"/>
  <c r="AX498" i="4"/>
  <c r="AX499" i="4" s="1"/>
  <c r="AW498" i="4"/>
  <c r="AW499" i="4" s="1"/>
  <c r="AT498" i="4"/>
  <c r="AT499" i="4" s="1"/>
  <c r="AS498" i="4"/>
  <c r="AS499" i="4" s="1"/>
  <c r="AR498" i="4"/>
  <c r="AR499" i="4" s="1"/>
  <c r="AP498" i="4"/>
  <c r="AP499" i="4" s="1"/>
  <c r="AO498" i="4"/>
  <c r="AO499" i="4" s="1"/>
  <c r="AN498" i="4"/>
  <c r="AN499" i="4" s="1"/>
  <c r="AK498" i="4"/>
  <c r="AL498" i="4" s="1"/>
  <c r="Z498" i="4"/>
  <c r="Y498" i="4"/>
  <c r="X498" i="4"/>
  <c r="V498" i="4"/>
  <c r="V499" i="4" s="1"/>
  <c r="R498" i="4"/>
  <c r="M498" i="4"/>
  <c r="BK496" i="4"/>
  <c r="BK493" i="4"/>
  <c r="BF496" i="4"/>
  <c r="DN496" i="4" s="1"/>
  <c r="BF493" i="4"/>
  <c r="DN493" i="4" s="1"/>
  <c r="BA496" i="4"/>
  <c r="BA493" i="4"/>
  <c r="AV496" i="4"/>
  <c r="BA492" i="4" s="1"/>
  <c r="DM492" i="4" s="1"/>
  <c r="AQ496" i="4"/>
  <c r="AQ493" i="4"/>
  <c r="DK493" i="4" s="1"/>
  <c r="AL496" i="4"/>
  <c r="DJ496" i="4" s="1"/>
  <c r="V496" i="4"/>
  <c r="L496" i="4"/>
  <c r="L753" i="4" s="1"/>
  <c r="BU495" i="4"/>
  <c r="DQ495" i="4" s="1"/>
  <c r="BU493" i="4"/>
  <c r="BP493" i="4"/>
  <c r="DP493" i="4" s="1"/>
  <c r="BP492" i="4"/>
  <c r="DP492" i="4" s="1"/>
  <c r="AK493" i="4"/>
  <c r="AK520" i="4" s="1"/>
  <c r="W493" i="4"/>
  <c r="DG493" i="4" s="1"/>
  <c r="R493" i="4"/>
  <c r="DF493" i="4" s="1"/>
  <c r="M493" i="4"/>
  <c r="DE493" i="4" s="1"/>
  <c r="DY496" i="4"/>
  <c r="DX496" i="4"/>
  <c r="DW496" i="4"/>
  <c r="DV496" i="4"/>
  <c r="DU496" i="4"/>
  <c r="DT496" i="4"/>
  <c r="DS496" i="4"/>
  <c r="DR496" i="4"/>
  <c r="DO496" i="4"/>
  <c r="DM496" i="4"/>
  <c r="DL496" i="4"/>
  <c r="DK496" i="4"/>
  <c r="DY495" i="4"/>
  <c r="DX495" i="4"/>
  <c r="DW495" i="4"/>
  <c r="DV495" i="4"/>
  <c r="DU495" i="4"/>
  <c r="DT495" i="4"/>
  <c r="DS495" i="4"/>
  <c r="DR495" i="4"/>
  <c r="DY494" i="4"/>
  <c r="DX494" i="4"/>
  <c r="DW494" i="4"/>
  <c r="DV494" i="4"/>
  <c r="DU494" i="4"/>
  <c r="DT494" i="4"/>
  <c r="DS494" i="4"/>
  <c r="DR494" i="4"/>
  <c r="DY493" i="4"/>
  <c r="DX493" i="4"/>
  <c r="DW493" i="4"/>
  <c r="DV493" i="4"/>
  <c r="DU493" i="4"/>
  <c r="DT493" i="4"/>
  <c r="DS493" i="4"/>
  <c r="DR493" i="4"/>
  <c r="DQ493" i="4"/>
  <c r="DO493" i="4"/>
  <c r="DM493" i="4"/>
  <c r="DY492" i="4"/>
  <c r="DX492" i="4"/>
  <c r="DW492" i="4"/>
  <c r="DV492" i="4"/>
  <c r="DU492" i="4"/>
  <c r="DT492" i="4"/>
  <c r="DS492" i="4"/>
  <c r="DR492" i="4"/>
  <c r="DQ492" i="4"/>
  <c r="DO492" i="4"/>
  <c r="DN492" i="4"/>
  <c r="DL492" i="4"/>
  <c r="DK492" i="4"/>
  <c r="DJ492" i="4"/>
  <c r="BO492" i="4"/>
  <c r="BN492" i="4"/>
  <c r="BM492" i="4"/>
  <c r="BL492" i="4"/>
  <c r="BJ492" i="4"/>
  <c r="BI492" i="4"/>
  <c r="BH492" i="4"/>
  <c r="BH521" i="4" s="1"/>
  <c r="BG492" i="4"/>
  <c r="BE492" i="4"/>
  <c r="BD492" i="4"/>
  <c r="BC492" i="4"/>
  <c r="BC521" i="4" s="1"/>
  <c r="BB492" i="4"/>
  <c r="BB521" i="4" s="1"/>
  <c r="AZ492" i="4"/>
  <c r="AY492" i="4"/>
  <c r="AX492" i="4"/>
  <c r="AX521" i="4" s="1"/>
  <c r="AW492" i="4"/>
  <c r="AU493" i="4"/>
  <c r="AU520" i="4" s="1"/>
  <c r="AT493" i="4"/>
  <c r="AT520" i="4" s="1"/>
  <c r="AS493" i="4"/>
  <c r="AS520" i="4" s="1"/>
  <c r="AR493" i="4"/>
  <c r="AU492" i="4"/>
  <c r="AU521" i="4" s="1"/>
  <c r="AT492" i="4"/>
  <c r="AS492" i="4"/>
  <c r="AS521" i="4" s="1"/>
  <c r="AR492" i="4"/>
  <c r="AR521" i="4" s="1"/>
  <c r="AP492" i="4"/>
  <c r="AP521" i="4" s="1"/>
  <c r="AP523" i="4" s="1"/>
  <c r="AO492" i="4"/>
  <c r="AN492" i="4"/>
  <c r="AN521" i="4" s="1"/>
  <c r="AJ493" i="4"/>
  <c r="AJ520" i="4" s="1"/>
  <c r="AI493" i="4"/>
  <c r="AI520" i="4" s="1"/>
  <c r="AH493" i="4"/>
  <c r="AH520" i="4" s="1"/>
  <c r="AF493" i="4"/>
  <c r="AF520" i="4" s="1"/>
  <c r="AE493" i="4"/>
  <c r="AE520" i="4" s="1"/>
  <c r="AD493" i="4"/>
  <c r="AD520" i="4" s="1"/>
  <c r="AC493" i="4"/>
  <c r="AC520" i="4" s="1"/>
  <c r="AA493" i="4"/>
  <c r="AA520" i="4" s="1"/>
  <c r="BU488" i="4"/>
  <c r="EQ342" i="9" s="1"/>
  <c r="DY489" i="4"/>
  <c r="DX489" i="4"/>
  <c r="DW489" i="4"/>
  <c r="DV489" i="4"/>
  <c r="DU489" i="4"/>
  <c r="DT489" i="4"/>
  <c r="DS489" i="4"/>
  <c r="DR489" i="4"/>
  <c r="DK489" i="4"/>
  <c r="DJ489" i="4"/>
  <c r="DI489" i="4"/>
  <c r="DH489" i="4"/>
  <c r="DG489" i="4"/>
  <c r="DF489" i="4"/>
  <c r="DE489" i="4"/>
  <c r="DY488" i="4"/>
  <c r="DX488" i="4"/>
  <c r="DW488" i="4"/>
  <c r="DV488" i="4"/>
  <c r="DU488" i="4"/>
  <c r="DT488" i="4"/>
  <c r="DS488" i="4"/>
  <c r="DR488" i="4"/>
  <c r="DQ488" i="4"/>
  <c r="DP488" i="4"/>
  <c r="DO488" i="4"/>
  <c r="DN488" i="4"/>
  <c r="DM488" i="4"/>
  <c r="DL488" i="4"/>
  <c r="DK488" i="4"/>
  <c r="DJ488" i="4"/>
  <c r="DI488" i="4"/>
  <c r="DH488" i="4"/>
  <c r="DG488" i="4"/>
  <c r="DF488" i="4"/>
  <c r="DE488" i="4"/>
  <c r="DY487" i="4"/>
  <c r="DX487" i="4"/>
  <c r="DW487" i="4"/>
  <c r="DV487" i="4"/>
  <c r="DU487" i="4"/>
  <c r="DT487" i="4"/>
  <c r="DS487" i="4"/>
  <c r="DR487" i="4"/>
  <c r="DK487" i="4"/>
  <c r="DJ487" i="4"/>
  <c r="DI487" i="4"/>
  <c r="DH487" i="4"/>
  <c r="DG487" i="4"/>
  <c r="DF487" i="4"/>
  <c r="DE487" i="4"/>
  <c r="DY486" i="4"/>
  <c r="DX486" i="4"/>
  <c r="DW486" i="4"/>
  <c r="DV486" i="4"/>
  <c r="DU486" i="4"/>
  <c r="DT486" i="4"/>
  <c r="DS486" i="4"/>
  <c r="DR486" i="4"/>
  <c r="DK486" i="4"/>
  <c r="DJ486" i="4"/>
  <c r="DI486" i="4"/>
  <c r="DH486" i="4"/>
  <c r="DG486" i="4"/>
  <c r="DF486" i="4"/>
  <c r="DE486" i="4"/>
  <c r="BM487" i="4"/>
  <c r="BN486" i="4"/>
  <c r="BM486" i="4"/>
  <c r="BL486" i="4"/>
  <c r="BJ486" i="4"/>
  <c r="BI486" i="4"/>
  <c r="BH486" i="4"/>
  <c r="BG486" i="4"/>
  <c r="BE486" i="4"/>
  <c r="BD486" i="4"/>
  <c r="BB486" i="4"/>
  <c r="AZ486" i="4"/>
  <c r="AY486" i="4"/>
  <c r="AX486" i="4"/>
  <c r="AW486" i="4"/>
  <c r="BN483" i="4"/>
  <c r="BM483" i="4"/>
  <c r="BL483" i="4"/>
  <c r="BJ483" i="4"/>
  <c r="BI483" i="4"/>
  <c r="BG483" i="4"/>
  <c r="BE483" i="4"/>
  <c r="BD483" i="4"/>
  <c r="BB483" i="4"/>
  <c r="AZ483" i="4"/>
  <c r="AY483" i="4"/>
  <c r="AX483" i="4"/>
  <c r="AW483" i="4"/>
  <c r="DY483" i="4"/>
  <c r="DX483" i="4"/>
  <c r="DW483" i="4"/>
  <c r="DV483" i="4"/>
  <c r="DU483" i="4"/>
  <c r="DT483" i="4"/>
  <c r="DS483" i="4"/>
  <c r="DR483" i="4"/>
  <c r="DJ483" i="4"/>
  <c r="DI483" i="4"/>
  <c r="DH483" i="4"/>
  <c r="DG483" i="4"/>
  <c r="DF483" i="4"/>
  <c r="DE483" i="4"/>
  <c r="DY482" i="4"/>
  <c r="DX482" i="4"/>
  <c r="DW482" i="4"/>
  <c r="DV482" i="4"/>
  <c r="DU482" i="4"/>
  <c r="DT482" i="4"/>
  <c r="DS482" i="4"/>
  <c r="DR482" i="4"/>
  <c r="DJ482" i="4"/>
  <c r="DI482" i="4"/>
  <c r="DH482" i="4"/>
  <c r="DF482" i="4"/>
  <c r="DE482" i="4"/>
  <c r="BC482" i="4"/>
  <c r="BC486" i="4" s="1"/>
  <c r="W482" i="4"/>
  <c r="DG482" i="4" s="1"/>
  <c r="DY480" i="4"/>
  <c r="DX480" i="4"/>
  <c r="DW480" i="4"/>
  <c r="DV480" i="4"/>
  <c r="DU480" i="4"/>
  <c r="DT480" i="4"/>
  <c r="DS480" i="4"/>
  <c r="DR480" i="4"/>
  <c r="DJ480" i="4"/>
  <c r="DI480" i="4"/>
  <c r="DH480" i="4"/>
  <c r="DG480" i="4"/>
  <c r="DF480" i="4"/>
  <c r="DE480" i="4"/>
  <c r="BS480" i="4"/>
  <c r="BR480" i="4"/>
  <c r="BQ480" i="4"/>
  <c r="BK480" i="4"/>
  <c r="DO480" i="4" s="1"/>
  <c r="BF480" i="4"/>
  <c r="DN480" i="4" s="1"/>
  <c r="BA480" i="4"/>
  <c r="DM480" i="4" s="1"/>
  <c r="AU480" i="4"/>
  <c r="AU473" i="4" s="1"/>
  <c r="AT480" i="4"/>
  <c r="AS480" i="4"/>
  <c r="AS473" i="4" s="1"/>
  <c r="AR480" i="4"/>
  <c r="AP480" i="4"/>
  <c r="AO480" i="4"/>
  <c r="AO482" i="4" s="1"/>
  <c r="AN480" i="4"/>
  <c r="AN482" i="4" s="1"/>
  <c r="AM480" i="4"/>
  <c r="AM482" i="4" s="1"/>
  <c r="AR483" i="4" s="1"/>
  <c r="BT478" i="4"/>
  <c r="BM478" i="4"/>
  <c r="BL478" i="4"/>
  <c r="BD478" i="4"/>
  <c r="BC478" i="4"/>
  <c r="AY478" i="4"/>
  <c r="AR478" i="4"/>
  <c r="BN477" i="4"/>
  <c r="BN478" i="4" s="1"/>
  <c r="BL477" i="4"/>
  <c r="BJ477" i="4"/>
  <c r="BJ478" i="4" s="1"/>
  <c r="BI477" i="4"/>
  <c r="BI478" i="4" s="1"/>
  <c r="BH477" i="4"/>
  <c r="BH478" i="4" s="1"/>
  <c r="BG477" i="4"/>
  <c r="BG478" i="4" s="1"/>
  <c r="BE477" i="4"/>
  <c r="BE478" i="4" s="1"/>
  <c r="BD477" i="4"/>
  <c r="BC477" i="4"/>
  <c r="BB477" i="4"/>
  <c r="BB478" i="4" s="1"/>
  <c r="AZ477" i="4"/>
  <c r="AZ478" i="4" s="1"/>
  <c r="AY477" i="4"/>
  <c r="AX477" i="4"/>
  <c r="AX478" i="4" s="1"/>
  <c r="AW477" i="4"/>
  <c r="AW478" i="4" s="1"/>
  <c r="AU477" i="4"/>
  <c r="AU478" i="4" s="1"/>
  <c r="AT477" i="4"/>
  <c r="AT478" i="4" s="1"/>
  <c r="AS477" i="4"/>
  <c r="AS478" i="4" s="1"/>
  <c r="AR477" i="4"/>
  <c r="AP477" i="4"/>
  <c r="AO477" i="4"/>
  <c r="AO478" i="4" s="1"/>
  <c r="AN477" i="4"/>
  <c r="AN478" i="4" s="1"/>
  <c r="AM477" i="4"/>
  <c r="AM478" i="4" s="1"/>
  <c r="DY478" i="4"/>
  <c r="DX478" i="4"/>
  <c r="DW478" i="4"/>
  <c r="DV478" i="4"/>
  <c r="DU478" i="4"/>
  <c r="DT478" i="4"/>
  <c r="DS478" i="4"/>
  <c r="DR478" i="4"/>
  <c r="DI478" i="4"/>
  <c r="DH478" i="4"/>
  <c r="DG478" i="4"/>
  <c r="DF478" i="4"/>
  <c r="DE478" i="4"/>
  <c r="DY477" i="4"/>
  <c r="DX477" i="4"/>
  <c r="DW477" i="4"/>
  <c r="DV477" i="4"/>
  <c r="DU477" i="4"/>
  <c r="DT477" i="4"/>
  <c r="DS477" i="4"/>
  <c r="DR477" i="4"/>
  <c r="DQ477" i="4"/>
  <c r="DI477" i="4"/>
  <c r="DH477" i="4"/>
  <c r="DG477" i="4"/>
  <c r="DF477" i="4"/>
  <c r="DE477" i="4"/>
  <c r="DY476" i="4"/>
  <c r="DX476" i="4"/>
  <c r="DW476" i="4"/>
  <c r="DV476" i="4"/>
  <c r="DU476" i="4"/>
  <c r="DT476" i="4"/>
  <c r="DS476" i="4"/>
  <c r="DR476" i="4"/>
  <c r="DI476" i="4"/>
  <c r="DH476" i="4"/>
  <c r="DG476" i="4"/>
  <c r="DF476" i="4"/>
  <c r="DE476" i="4"/>
  <c r="BS476" i="4"/>
  <c r="BS478" i="4" s="1"/>
  <c r="BR476" i="4"/>
  <c r="BR478" i="4" s="1"/>
  <c r="BQ476" i="4"/>
  <c r="BQ478" i="4" s="1"/>
  <c r="BO476" i="4"/>
  <c r="BO606" i="4" s="1"/>
  <c r="BO605" i="4" s="1"/>
  <c r="BK476" i="4"/>
  <c r="DO476" i="4" s="1"/>
  <c r="BF476" i="4"/>
  <c r="DN476" i="4" s="1"/>
  <c r="BA476" i="4"/>
  <c r="DM476" i="4" s="1"/>
  <c r="AV476" i="4"/>
  <c r="AQ476" i="4"/>
  <c r="DK476" i="4" s="1"/>
  <c r="AJ476" i="4"/>
  <c r="AJ482" i="4" s="1"/>
  <c r="AI476" i="4"/>
  <c r="AI482" i="4" s="1"/>
  <c r="AH476" i="4"/>
  <c r="AH478" i="4" s="1"/>
  <c r="BR474" i="4"/>
  <c r="BS474" i="4" s="1"/>
  <c r="BT474" i="4" s="1"/>
  <c r="BN473" i="4"/>
  <c r="BM473" i="4"/>
  <c r="BL473" i="4"/>
  <c r="BJ473" i="4"/>
  <c r="BI473" i="4"/>
  <c r="BH473" i="4"/>
  <c r="BG473" i="4"/>
  <c r="BE473" i="4"/>
  <c r="BD473" i="4"/>
  <c r="BC473" i="4"/>
  <c r="BB473" i="4"/>
  <c r="AZ473" i="4"/>
  <c r="AY473" i="4"/>
  <c r="AX473" i="4"/>
  <c r="AW473" i="4"/>
  <c r="AT473" i="4"/>
  <c r="AR473" i="4"/>
  <c r="AP473" i="4"/>
  <c r="AF473" i="4"/>
  <c r="AC473" i="4"/>
  <c r="Z471" i="4"/>
  <c r="X473" i="4"/>
  <c r="X471" i="4"/>
  <c r="BP471" i="4"/>
  <c r="BP470" i="4"/>
  <c r="DP470" i="4" s="1"/>
  <c r="Y471" i="4"/>
  <c r="BU471" i="4"/>
  <c r="DQ471" i="4" s="1"/>
  <c r="BK471" i="4"/>
  <c r="BK470" i="4"/>
  <c r="DO470" i="4" s="1"/>
  <c r="BF471" i="4"/>
  <c r="DN471" i="4" s="1"/>
  <c r="BF470" i="4"/>
  <c r="BA471" i="4"/>
  <c r="BA470" i="4"/>
  <c r="AV471" i="4"/>
  <c r="DL471" i="4" s="1"/>
  <c r="AV470" i="4"/>
  <c r="AQ471" i="4"/>
  <c r="AK471" i="4"/>
  <c r="AJ471" i="4"/>
  <c r="AI471" i="4"/>
  <c r="AH471" i="4"/>
  <c r="AG471" i="4"/>
  <c r="DI471" i="4" s="1"/>
  <c r="AF471" i="4"/>
  <c r="AE471" i="4"/>
  <c r="AD471" i="4"/>
  <c r="AC471" i="4"/>
  <c r="AB471" i="4"/>
  <c r="DH471" i="4" s="1"/>
  <c r="AA471" i="4"/>
  <c r="AO470" i="4"/>
  <c r="AO335" i="4" s="1"/>
  <c r="DY474" i="4"/>
  <c r="DX474" i="4"/>
  <c r="DW474" i="4"/>
  <c r="DV474" i="4"/>
  <c r="DU474" i="4"/>
  <c r="DT474" i="4"/>
  <c r="DS474" i="4"/>
  <c r="DR474" i="4"/>
  <c r="DQ474" i="4"/>
  <c r="DP474" i="4"/>
  <c r="DO474" i="4"/>
  <c r="DN474" i="4"/>
  <c r="DM474" i="4"/>
  <c r="DL474" i="4"/>
  <c r="DK474" i="4"/>
  <c r="DJ474" i="4"/>
  <c r="DI474" i="4"/>
  <c r="DH474" i="4"/>
  <c r="DG474" i="4"/>
  <c r="DF474" i="4"/>
  <c r="DE474" i="4"/>
  <c r="DY473" i="4"/>
  <c r="DX473" i="4"/>
  <c r="DW473" i="4"/>
  <c r="DV473" i="4"/>
  <c r="DU473" i="4"/>
  <c r="DT473" i="4"/>
  <c r="DS473" i="4"/>
  <c r="DR473" i="4"/>
  <c r="DG473" i="4"/>
  <c r="DF473" i="4"/>
  <c r="DE473" i="4"/>
  <c r="DY472" i="4"/>
  <c r="DX472" i="4"/>
  <c r="DW472" i="4"/>
  <c r="DV472" i="4"/>
  <c r="DU472" i="4"/>
  <c r="DT472" i="4"/>
  <c r="DS472" i="4"/>
  <c r="DR472" i="4"/>
  <c r="DQ472" i="4"/>
  <c r="DG472" i="4"/>
  <c r="DF472" i="4"/>
  <c r="DE472" i="4"/>
  <c r="DY471" i="4"/>
  <c r="DX471" i="4"/>
  <c r="DW471" i="4"/>
  <c r="DV471" i="4"/>
  <c r="DU471" i="4"/>
  <c r="DT471" i="4"/>
  <c r="DS471" i="4"/>
  <c r="DR471" i="4"/>
  <c r="DP471" i="4"/>
  <c r="DO471" i="4"/>
  <c r="DM471" i="4"/>
  <c r="DK471" i="4"/>
  <c r="DG471" i="4"/>
  <c r="DF471" i="4"/>
  <c r="DE471" i="4"/>
  <c r="DY470" i="4"/>
  <c r="DX470" i="4"/>
  <c r="DW470" i="4"/>
  <c r="DV470" i="4"/>
  <c r="DU470" i="4"/>
  <c r="DT470" i="4"/>
  <c r="DS470" i="4"/>
  <c r="DR470" i="4"/>
  <c r="DN470" i="4"/>
  <c r="DM470" i="4"/>
  <c r="DL470" i="4"/>
  <c r="DJ470" i="4"/>
  <c r="DI470" i="4"/>
  <c r="DH470" i="4"/>
  <c r="DG470" i="4"/>
  <c r="DF470" i="4"/>
  <c r="DE470" i="4"/>
  <c r="DY469" i="4"/>
  <c r="DX469" i="4"/>
  <c r="DW469" i="4"/>
  <c r="DV469" i="4"/>
  <c r="DU469" i="4"/>
  <c r="DT469" i="4"/>
  <c r="DS469" i="4"/>
  <c r="DR469" i="4"/>
  <c r="DG469" i="4"/>
  <c r="DF469" i="4"/>
  <c r="DE469" i="4"/>
  <c r="BR470" i="4"/>
  <c r="BO469" i="4"/>
  <c r="BO473" i="4" s="1"/>
  <c r="DY466" i="4"/>
  <c r="DX466" i="4"/>
  <c r="DW466" i="4"/>
  <c r="DV466" i="4"/>
  <c r="DU466" i="4"/>
  <c r="DT466" i="4"/>
  <c r="DS466" i="4"/>
  <c r="DR466" i="4"/>
  <c r="DK466" i="4"/>
  <c r="DJ466" i="4"/>
  <c r="DI466" i="4"/>
  <c r="DH466" i="4"/>
  <c r="DG466" i="4"/>
  <c r="DF466" i="4"/>
  <c r="DE466" i="4"/>
  <c r="DY465" i="4"/>
  <c r="DX465" i="4"/>
  <c r="DW465" i="4"/>
  <c r="DV465" i="4"/>
  <c r="DU465" i="4"/>
  <c r="DT465" i="4"/>
  <c r="DS465" i="4"/>
  <c r="DR465" i="4"/>
  <c r="DK465" i="4"/>
  <c r="DJ465" i="4"/>
  <c r="DI465" i="4"/>
  <c r="DH465" i="4"/>
  <c r="DG465" i="4"/>
  <c r="DF465" i="4"/>
  <c r="DE465" i="4"/>
  <c r="DY463" i="4"/>
  <c r="DX463" i="4"/>
  <c r="DW463" i="4"/>
  <c r="DV463" i="4"/>
  <c r="DU463" i="4"/>
  <c r="DT463" i="4"/>
  <c r="DS463" i="4"/>
  <c r="DR463" i="4"/>
  <c r="DE463" i="4"/>
  <c r="BO463" i="4"/>
  <c r="AC463" i="4"/>
  <c r="DY461" i="4"/>
  <c r="DX461" i="4"/>
  <c r="DW461" i="4"/>
  <c r="DV461" i="4"/>
  <c r="DU461" i="4"/>
  <c r="DT461" i="4"/>
  <c r="DS461" i="4"/>
  <c r="DR461" i="4"/>
  <c r="DE461" i="4"/>
  <c r="BT461" i="4"/>
  <c r="BT487" i="4" s="1"/>
  <c r="BS461" i="4"/>
  <c r="BS487" i="4" s="1"/>
  <c r="BR461" i="4"/>
  <c r="BR487" i="4" s="1"/>
  <c r="BQ461" i="4"/>
  <c r="BQ487" i="4" s="1"/>
  <c r="BO461" i="4"/>
  <c r="BO487" i="4" s="1"/>
  <c r="BN461" i="4"/>
  <c r="BN487" i="4" s="1"/>
  <c r="BM461" i="4"/>
  <c r="BL461" i="4"/>
  <c r="BJ461" i="4"/>
  <c r="BJ487" i="4" s="1"/>
  <c r="BI461" i="4"/>
  <c r="BI487" i="4" s="1"/>
  <c r="BH461" i="4"/>
  <c r="BH487" i="4" s="1"/>
  <c r="BG461" i="4"/>
  <c r="BG487" i="4" s="1"/>
  <c r="BE461" i="4"/>
  <c r="BE487" i="4" s="1"/>
  <c r="BD461" i="4"/>
  <c r="BD487" i="4" s="1"/>
  <c r="BC461" i="4"/>
  <c r="BC487" i="4" s="1"/>
  <c r="BB461" i="4"/>
  <c r="BF461" i="4" s="1"/>
  <c r="AZ461" i="4"/>
  <c r="AY461" i="4"/>
  <c r="AX461" i="4"/>
  <c r="AW461" i="4"/>
  <c r="AU461" i="4"/>
  <c r="AT461" i="4"/>
  <c r="AS461" i="4"/>
  <c r="AR461" i="4"/>
  <c r="AP461" i="4"/>
  <c r="AO461" i="4"/>
  <c r="AN461" i="4"/>
  <c r="AM461" i="4"/>
  <c r="AK461" i="4"/>
  <c r="AJ461" i="4"/>
  <c r="AI461" i="4"/>
  <c r="AH461" i="4"/>
  <c r="AL461" i="4" s="1"/>
  <c r="DJ461" i="4" s="1"/>
  <c r="AF461" i="4"/>
  <c r="AE461" i="4"/>
  <c r="AD461" i="4"/>
  <c r="AC461" i="4"/>
  <c r="AG461" i="4" s="1"/>
  <c r="DI461" i="4" s="1"/>
  <c r="AA461" i="4"/>
  <c r="Z461" i="4"/>
  <c r="Y461" i="4"/>
  <c r="X461" i="4"/>
  <c r="AB461" i="4" s="1"/>
  <c r="DH461" i="4" s="1"/>
  <c r="V461" i="4"/>
  <c r="U461" i="4"/>
  <c r="T461" i="4"/>
  <c r="S461" i="4"/>
  <c r="Q461" i="4"/>
  <c r="P461" i="4"/>
  <c r="O461" i="4"/>
  <c r="N461" i="4"/>
  <c r="R461" i="4" s="1"/>
  <c r="DF461" i="4" s="1"/>
  <c r="DY459" i="4"/>
  <c r="DX459" i="4"/>
  <c r="DW459" i="4"/>
  <c r="DV459" i="4"/>
  <c r="DU459" i="4"/>
  <c r="DT459" i="4"/>
  <c r="DS459" i="4"/>
  <c r="DR459" i="4"/>
  <c r="DQ459" i="4"/>
  <c r="DF459" i="4"/>
  <c r="DE459" i="4"/>
  <c r="DY458" i="4"/>
  <c r="DX458" i="4"/>
  <c r="DW458" i="4"/>
  <c r="DV458" i="4"/>
  <c r="DU458" i="4"/>
  <c r="DT458" i="4"/>
  <c r="DS458" i="4"/>
  <c r="DR458" i="4"/>
  <c r="DQ458" i="4"/>
  <c r="DE458" i="4"/>
  <c r="DY457" i="4"/>
  <c r="DX457" i="4"/>
  <c r="DW457" i="4"/>
  <c r="DV457" i="4"/>
  <c r="DU457" i="4"/>
  <c r="DT457" i="4"/>
  <c r="DS457" i="4"/>
  <c r="DR457" i="4"/>
  <c r="DE457" i="4"/>
  <c r="BO457" i="4"/>
  <c r="BO458" i="4" s="1"/>
  <c r="DY455" i="4"/>
  <c r="DX455" i="4"/>
  <c r="DW455" i="4"/>
  <c r="DV455" i="4"/>
  <c r="DU455" i="4"/>
  <c r="DT455" i="4"/>
  <c r="DS455" i="4"/>
  <c r="DR455" i="4"/>
  <c r="BN455" i="4"/>
  <c r="BM455" i="4"/>
  <c r="BL455" i="4"/>
  <c r="BJ455" i="4"/>
  <c r="BI455" i="4"/>
  <c r="BH455" i="4"/>
  <c r="BG455" i="4"/>
  <c r="BE455" i="4"/>
  <c r="BD455" i="4"/>
  <c r="BC455" i="4"/>
  <c r="BB455" i="4"/>
  <c r="AZ455" i="4"/>
  <c r="AY455" i="4"/>
  <c r="AX455" i="4"/>
  <c r="AW455" i="4"/>
  <c r="AU455" i="4"/>
  <c r="AT455" i="4"/>
  <c r="AS455" i="4"/>
  <c r="AR455" i="4"/>
  <c r="AP455" i="4"/>
  <c r="AO455" i="4"/>
  <c r="AN455" i="4"/>
  <c r="AM455" i="4"/>
  <c r="AK455" i="4"/>
  <c r="AJ455" i="4"/>
  <c r="AI455" i="4"/>
  <c r="AH455" i="4"/>
  <c r="AF455" i="4"/>
  <c r="AE455" i="4"/>
  <c r="AD455" i="4"/>
  <c r="AC455" i="4"/>
  <c r="AA455" i="4"/>
  <c r="Z455" i="4"/>
  <c r="Y455" i="4"/>
  <c r="X455" i="4"/>
  <c r="V455" i="4"/>
  <c r="U455" i="4"/>
  <c r="T455" i="4"/>
  <c r="S455" i="4"/>
  <c r="Q455" i="4"/>
  <c r="P455" i="4"/>
  <c r="O455" i="4"/>
  <c r="N455" i="4"/>
  <c r="N457" i="4" s="1"/>
  <c r="L455" i="4"/>
  <c r="K455" i="4"/>
  <c r="J455" i="4"/>
  <c r="I455" i="4"/>
  <c r="BR453" i="4"/>
  <c r="BM453" i="4"/>
  <c r="BN453" i="4" s="1"/>
  <c r="BO453" i="4" s="1"/>
  <c r="BR451" i="4"/>
  <c r="BS451" i="4" s="1"/>
  <c r="BT451" i="4" s="1"/>
  <c r="BH451" i="4"/>
  <c r="BI451" i="4" s="1"/>
  <c r="BJ451" i="4" s="1"/>
  <c r="BC451" i="4"/>
  <c r="BD451" i="4" s="1"/>
  <c r="AX451" i="4"/>
  <c r="AY451" i="4" s="1"/>
  <c r="AS451" i="4"/>
  <c r="AT451" i="4" s="1"/>
  <c r="AU451" i="4" s="1"/>
  <c r="BH450" i="4"/>
  <c r="BG450" i="4"/>
  <c r="BC450" i="4"/>
  <c r="BB450" i="4"/>
  <c r="AX450" i="4"/>
  <c r="AX514" i="4" s="1"/>
  <c r="AW450" i="4"/>
  <c r="BR449" i="4"/>
  <c r="BS449" i="4" s="1"/>
  <c r="BT449" i="4" s="1"/>
  <c r="BT448" i="4" s="1"/>
  <c r="BH449" i="4"/>
  <c r="BC449" i="4"/>
  <c r="AX449" i="4"/>
  <c r="AY449" i="4" s="1"/>
  <c r="BQ448" i="4"/>
  <c r="BB448" i="4"/>
  <c r="BB466" i="4" s="1"/>
  <c r="AW448" i="4"/>
  <c r="AW466" i="4" s="1"/>
  <c r="BR447" i="4"/>
  <c r="BS447" i="4" s="1"/>
  <c r="BG447" i="4"/>
  <c r="BH447" i="4" s="1"/>
  <c r="AV444" i="4"/>
  <c r="AV445" i="4" s="1"/>
  <c r="DL445" i="4" s="1"/>
  <c r="BN446" i="4"/>
  <c r="BM446" i="4"/>
  <c r="BL446" i="4"/>
  <c r="BG446" i="4"/>
  <c r="BE446" i="4"/>
  <c r="BD446" i="4"/>
  <c r="BC446" i="4"/>
  <c r="BB446" i="4"/>
  <c r="BF446" i="4" s="1"/>
  <c r="BF447" i="4" s="1"/>
  <c r="DN447" i="4" s="1"/>
  <c r="AZ446" i="4"/>
  <c r="AY446" i="4"/>
  <c r="AX446" i="4"/>
  <c r="AW446" i="4"/>
  <c r="AW452" i="4" s="1"/>
  <c r="AU446" i="4"/>
  <c r="AT446" i="4"/>
  <c r="AS446" i="4"/>
  <c r="AR446" i="4"/>
  <c r="AV446" i="4" s="1"/>
  <c r="AM446" i="4"/>
  <c r="BR445" i="4"/>
  <c r="BS445" i="4" s="1"/>
  <c r="BT445" i="4" s="1"/>
  <c r="BM445" i="4"/>
  <c r="BH445" i="4"/>
  <c r="DY453" i="4"/>
  <c r="DX453" i="4"/>
  <c r="DW453" i="4"/>
  <c r="DV453" i="4"/>
  <c r="DU453" i="4"/>
  <c r="DT453" i="4"/>
  <c r="DS453" i="4"/>
  <c r="DR453" i="4"/>
  <c r="DQ453" i="4"/>
  <c r="DJ453" i="4"/>
  <c r="DI453" i="4"/>
  <c r="DH453" i="4"/>
  <c r="DG453" i="4"/>
  <c r="DF453" i="4"/>
  <c r="DE453" i="4"/>
  <c r="DY452" i="4"/>
  <c r="DX452" i="4"/>
  <c r="DW452" i="4"/>
  <c r="DV452" i="4"/>
  <c r="DU452" i="4"/>
  <c r="DT452" i="4"/>
  <c r="DS452" i="4"/>
  <c r="DR452" i="4"/>
  <c r="DJ452" i="4"/>
  <c r="DI452" i="4"/>
  <c r="DH452" i="4"/>
  <c r="DG452" i="4"/>
  <c r="DF452" i="4"/>
  <c r="DE452" i="4"/>
  <c r="DY451" i="4"/>
  <c r="DX451" i="4"/>
  <c r="DW451" i="4"/>
  <c r="DV451" i="4"/>
  <c r="DU451" i="4"/>
  <c r="DT451" i="4"/>
  <c r="DS451" i="4"/>
  <c r="DR451" i="4"/>
  <c r="DQ451" i="4"/>
  <c r="DP451" i="4"/>
  <c r="DO451" i="4"/>
  <c r="DN451" i="4"/>
  <c r="DJ451" i="4"/>
  <c r="DI451" i="4"/>
  <c r="DH451" i="4"/>
  <c r="DG451" i="4"/>
  <c r="DF451" i="4"/>
  <c r="DE451" i="4"/>
  <c r="DY450" i="4"/>
  <c r="DX450" i="4"/>
  <c r="DW450" i="4"/>
  <c r="DV450" i="4"/>
  <c r="DU450" i="4"/>
  <c r="DT450" i="4"/>
  <c r="DS450" i="4"/>
  <c r="DR450" i="4"/>
  <c r="DJ450" i="4"/>
  <c r="DI450" i="4"/>
  <c r="DH450" i="4"/>
  <c r="DG450" i="4"/>
  <c r="DF450" i="4"/>
  <c r="DE450" i="4"/>
  <c r="DY449" i="4"/>
  <c r="DX449" i="4"/>
  <c r="DW449" i="4"/>
  <c r="DV449" i="4"/>
  <c r="DU449" i="4"/>
  <c r="DT449" i="4"/>
  <c r="DS449" i="4"/>
  <c r="DR449" i="4"/>
  <c r="DQ449" i="4"/>
  <c r="DI449" i="4"/>
  <c r="DH449" i="4"/>
  <c r="DG449" i="4"/>
  <c r="DF449" i="4"/>
  <c r="DE449" i="4"/>
  <c r="DY448" i="4"/>
  <c r="DX448" i="4"/>
  <c r="DW448" i="4"/>
  <c r="DV448" i="4"/>
  <c r="DU448" i="4"/>
  <c r="DT448" i="4"/>
  <c r="DS448" i="4"/>
  <c r="DR448" i="4"/>
  <c r="DL448" i="4"/>
  <c r="DK448" i="4"/>
  <c r="DJ448" i="4"/>
  <c r="DI448" i="4"/>
  <c r="DH448" i="4"/>
  <c r="DG448" i="4"/>
  <c r="DF448" i="4"/>
  <c r="DE448" i="4"/>
  <c r="DY447" i="4"/>
  <c r="DX447" i="4"/>
  <c r="DW447" i="4"/>
  <c r="DV447" i="4"/>
  <c r="DU447" i="4"/>
  <c r="DT447" i="4"/>
  <c r="DS447" i="4"/>
  <c r="DR447" i="4"/>
  <c r="DQ447" i="4"/>
  <c r="DY446" i="4"/>
  <c r="DX446" i="4"/>
  <c r="DW446" i="4"/>
  <c r="DV446" i="4"/>
  <c r="DU446" i="4"/>
  <c r="DT446" i="4"/>
  <c r="DS446" i="4"/>
  <c r="DR446" i="4"/>
  <c r="DY445" i="4"/>
  <c r="DX445" i="4"/>
  <c r="DW445" i="4"/>
  <c r="DV445" i="4"/>
  <c r="DU445" i="4"/>
  <c r="DT445" i="4"/>
  <c r="DS445" i="4"/>
  <c r="DR445" i="4"/>
  <c r="DQ445" i="4"/>
  <c r="DY444" i="4"/>
  <c r="DX444" i="4"/>
  <c r="DW444" i="4"/>
  <c r="DV444" i="4"/>
  <c r="DU444" i="4"/>
  <c r="DT444" i="4"/>
  <c r="DS444" i="4"/>
  <c r="DR444" i="4"/>
  <c r="BL444" i="4"/>
  <c r="BJ444" i="4"/>
  <c r="BJ494" i="4" s="1"/>
  <c r="BG444" i="4"/>
  <c r="AY445" i="4"/>
  <c r="AZ445" i="4" s="1"/>
  <c r="AZ444" i="4"/>
  <c r="AX444" i="4"/>
  <c r="AX494" i="4" s="1"/>
  <c r="AX495" i="4" s="1"/>
  <c r="AW444" i="4"/>
  <c r="AW494" i="4" s="1"/>
  <c r="AU445" i="4"/>
  <c r="AU444" i="4" s="1"/>
  <c r="AU494" i="4" s="1"/>
  <c r="AT445" i="4"/>
  <c r="AT444" i="4"/>
  <c r="AT494" i="4" s="1"/>
  <c r="AS444" i="4"/>
  <c r="AS494" i="4" s="1"/>
  <c r="AR444" i="4"/>
  <c r="AR494" i="4" s="1"/>
  <c r="AM444" i="4"/>
  <c r="AM494" i="4" s="1"/>
  <c r="AU442" i="4"/>
  <c r="AA442" i="4"/>
  <c r="BE441" i="4"/>
  <c r="BE442" i="4" s="1"/>
  <c r="BD441" i="4"/>
  <c r="AZ441" i="4"/>
  <c r="AY441" i="4"/>
  <c r="AY463" i="4" s="1"/>
  <c r="AY464" i="4" s="1"/>
  <c r="AX441" i="4"/>
  <c r="AX463" i="4" s="1"/>
  <c r="AX464" i="4" s="1"/>
  <c r="AW441" i="4"/>
  <c r="AW469" i="4" s="1"/>
  <c r="AW472" i="4" s="1"/>
  <c r="AU441" i="4"/>
  <c r="AU463" i="4" s="1"/>
  <c r="AT441" i="4"/>
  <c r="AT463" i="4" s="1"/>
  <c r="AS441" i="4"/>
  <c r="AS463" i="4" s="1"/>
  <c r="AR441" i="4"/>
  <c r="AP441" i="4"/>
  <c r="AP469" i="4" s="1"/>
  <c r="AO441" i="4"/>
  <c r="AO463" i="4" s="1"/>
  <c r="AM441" i="4"/>
  <c r="AM442" i="4" s="1"/>
  <c r="AK441" i="4"/>
  <c r="AJ441" i="4"/>
  <c r="AI441" i="4"/>
  <c r="AI463" i="4" s="1"/>
  <c r="AH441" i="4"/>
  <c r="AH457" i="4" s="1"/>
  <c r="AF441" i="4"/>
  <c r="AF469" i="4" s="1"/>
  <c r="AE441" i="4"/>
  <c r="AE463" i="4" s="1"/>
  <c r="AD441" i="4"/>
  <c r="AD469" i="4" s="1"/>
  <c r="AD472" i="4" s="1"/>
  <c r="AC441" i="4"/>
  <c r="AA441" i="4"/>
  <c r="Z441" i="4"/>
  <c r="Y441" i="4"/>
  <c r="Y463" i="4" s="1"/>
  <c r="X441" i="4"/>
  <c r="V441" i="4"/>
  <c r="U441" i="4"/>
  <c r="U463" i="4" s="1"/>
  <c r="T441" i="4"/>
  <c r="S441" i="4"/>
  <c r="S442" i="4" s="1"/>
  <c r="R441" i="4"/>
  <c r="DF441" i="4" s="1"/>
  <c r="P441" i="4"/>
  <c r="O441" i="4"/>
  <c r="O463" i="4" s="1"/>
  <c r="N441" i="4"/>
  <c r="K441" i="4"/>
  <c r="K437" i="4" s="1"/>
  <c r="J441" i="4"/>
  <c r="I441" i="4"/>
  <c r="BN440" i="4"/>
  <c r="BM440" i="4"/>
  <c r="BL440" i="4"/>
  <c r="BJ440" i="4"/>
  <c r="BI440" i="4"/>
  <c r="BH440" i="4"/>
  <c r="BF439" i="4"/>
  <c r="AS52" i="9" s="1"/>
  <c r="BF437" i="4"/>
  <c r="BF436" i="4"/>
  <c r="BC440" i="4"/>
  <c r="BB440" i="4"/>
  <c r="BB441" i="4" s="1"/>
  <c r="AY440" i="4"/>
  <c r="AT440" i="4"/>
  <c r="AM440" i="4"/>
  <c r="AN440" i="4" s="1"/>
  <c r="BQ440" i="4"/>
  <c r="BR439" i="4"/>
  <c r="BR450" i="4" s="1"/>
  <c r="BQ439" i="4"/>
  <c r="BN439" i="4"/>
  <c r="BM439" i="4"/>
  <c r="BL439" i="4"/>
  <c r="BK439" i="4"/>
  <c r="AT52" i="9" s="1"/>
  <c r="BA439" i="4"/>
  <c r="BA437" i="4"/>
  <c r="BA436" i="4"/>
  <c r="AV439" i="4"/>
  <c r="AV437" i="4"/>
  <c r="AV436" i="4"/>
  <c r="AQ439" i="4"/>
  <c r="AQ513" i="4" s="1"/>
  <c r="DK513" i="4" s="1"/>
  <c r="BN438" i="4"/>
  <c r="BN448" i="4" s="1"/>
  <c r="BM438" i="4"/>
  <c r="BL438" i="4"/>
  <c r="BL448" i="4" s="1"/>
  <c r="BJ438" i="4"/>
  <c r="BI438" i="4"/>
  <c r="BH438" i="4"/>
  <c r="BG438" i="4"/>
  <c r="BC438" i="4"/>
  <c r="AP53" i="9" s="1"/>
  <c r="AX438" i="4"/>
  <c r="AK53" i="9" s="1"/>
  <c r="AU438" i="4"/>
  <c r="AS438" i="4"/>
  <c r="G438" i="4"/>
  <c r="BK437" i="4"/>
  <c r="BK436" i="4"/>
  <c r="AN437" i="4"/>
  <c r="DY442" i="4"/>
  <c r="DX442" i="4"/>
  <c r="DW442" i="4"/>
  <c r="DV442" i="4"/>
  <c r="DU442" i="4"/>
  <c r="DT442" i="4"/>
  <c r="DS442" i="4"/>
  <c r="DR442" i="4"/>
  <c r="DE442" i="4"/>
  <c r="DY441" i="4"/>
  <c r="DX441" i="4"/>
  <c r="DW441" i="4"/>
  <c r="DV441" i="4"/>
  <c r="DU441" i="4"/>
  <c r="DT441" i="4"/>
  <c r="DS441" i="4"/>
  <c r="DR441" i="4"/>
  <c r="DY440" i="4"/>
  <c r="DX440" i="4"/>
  <c r="DW440" i="4"/>
  <c r="DV440" i="4"/>
  <c r="DU440" i="4"/>
  <c r="DT440" i="4"/>
  <c r="DS440" i="4"/>
  <c r="DR440" i="4"/>
  <c r="DJ440" i="4"/>
  <c r="DI440" i="4"/>
  <c r="DH440" i="4"/>
  <c r="DG440" i="4"/>
  <c r="DF440" i="4"/>
  <c r="DE440" i="4"/>
  <c r="DY439" i="4"/>
  <c r="DX439" i="4"/>
  <c r="DW439" i="4"/>
  <c r="DV439" i="4"/>
  <c r="DU439" i="4"/>
  <c r="DT439" i="4"/>
  <c r="DS439" i="4"/>
  <c r="DR439" i="4"/>
  <c r="DO439" i="4"/>
  <c r="DN439" i="4"/>
  <c r="DM439" i="4"/>
  <c r="DL439" i="4"/>
  <c r="DK439" i="4"/>
  <c r="DJ439" i="4"/>
  <c r="DI439" i="4"/>
  <c r="DH439" i="4"/>
  <c r="DG439" i="4"/>
  <c r="DF439" i="4"/>
  <c r="DE439" i="4"/>
  <c r="DY438" i="4"/>
  <c r="DX438" i="4"/>
  <c r="DW438" i="4"/>
  <c r="DV438" i="4"/>
  <c r="DU438" i="4"/>
  <c r="DT438" i="4"/>
  <c r="DS438" i="4"/>
  <c r="DR438" i="4"/>
  <c r="DY437" i="4"/>
  <c r="DX437" i="4"/>
  <c r="DW437" i="4"/>
  <c r="DV437" i="4"/>
  <c r="DU437" i="4"/>
  <c r="DT437" i="4"/>
  <c r="DS437" i="4"/>
  <c r="DR437" i="4"/>
  <c r="DO437" i="4"/>
  <c r="DN437" i="4"/>
  <c r="DL437" i="4"/>
  <c r="DY436" i="4"/>
  <c r="DX436" i="4"/>
  <c r="DW436" i="4"/>
  <c r="DV436" i="4"/>
  <c r="DU436" i="4"/>
  <c r="DT436" i="4"/>
  <c r="DS436" i="4"/>
  <c r="DR436" i="4"/>
  <c r="DO436" i="4"/>
  <c r="DN436" i="4"/>
  <c r="DM436" i="4"/>
  <c r="DL436" i="4"/>
  <c r="BQ437" i="4"/>
  <c r="AP438" i="4"/>
  <c r="AO437" i="4"/>
  <c r="AH438" i="4"/>
  <c r="AC438" i="4"/>
  <c r="S438" i="4"/>
  <c r="AI437" i="4"/>
  <c r="AH437" i="4"/>
  <c r="AE437" i="4"/>
  <c r="AD437" i="4"/>
  <c r="AC437" i="4"/>
  <c r="Z437" i="4"/>
  <c r="Y437" i="4"/>
  <c r="V437" i="4"/>
  <c r="U437" i="4"/>
  <c r="S437" i="4"/>
  <c r="O437" i="4"/>
  <c r="N437" i="4"/>
  <c r="J437" i="4"/>
  <c r="I437" i="4"/>
  <c r="BN434" i="4"/>
  <c r="BO434" i="4" s="1"/>
  <c r="BO437" i="4" s="1"/>
  <c r="BO452" i="4" s="1"/>
  <c r="BM434" i="4"/>
  <c r="BL434" i="4"/>
  <c r="BK434" i="4"/>
  <c r="BJ434" i="4"/>
  <c r="BI434" i="4"/>
  <c r="BH434" i="4"/>
  <c r="BG434" i="4"/>
  <c r="BE434" i="4"/>
  <c r="BD434" i="4"/>
  <c r="BC434" i="4"/>
  <c r="BB434" i="4"/>
  <c r="BA434" i="4"/>
  <c r="DM434" i="4" s="1"/>
  <c r="AZ434" i="4"/>
  <c r="AY434" i="4"/>
  <c r="AX434" i="4"/>
  <c r="AW434" i="4"/>
  <c r="AS434" i="4"/>
  <c r="AR434" i="4"/>
  <c r="AM434" i="4"/>
  <c r="AH434" i="4"/>
  <c r="AD434" i="4"/>
  <c r="Z434" i="4"/>
  <c r="DY434" i="4"/>
  <c r="DX434" i="4"/>
  <c r="DW434" i="4"/>
  <c r="DV434" i="4"/>
  <c r="DU434" i="4"/>
  <c r="DT434" i="4"/>
  <c r="DS434" i="4"/>
  <c r="DR434" i="4"/>
  <c r="DO434" i="4"/>
  <c r="DF434" i="4"/>
  <c r="DE434" i="4"/>
  <c r="DY433" i="4"/>
  <c r="DX433" i="4"/>
  <c r="DW433" i="4"/>
  <c r="DV433" i="4"/>
  <c r="DU433" i="4"/>
  <c r="DT433" i="4"/>
  <c r="DS433" i="4"/>
  <c r="DR433" i="4"/>
  <c r="DF433" i="4"/>
  <c r="DE433" i="4"/>
  <c r="BR434" i="4"/>
  <c r="BN433" i="4"/>
  <c r="BM433" i="4"/>
  <c r="BL433" i="4"/>
  <c r="BK433" i="4"/>
  <c r="DO433" i="4" s="1"/>
  <c r="BJ433" i="4"/>
  <c r="BI433" i="4"/>
  <c r="BH433" i="4"/>
  <c r="BG433" i="4"/>
  <c r="BE433" i="4"/>
  <c r="BD433" i="4"/>
  <c r="BC433" i="4"/>
  <c r="BB433" i="4"/>
  <c r="AZ433" i="4"/>
  <c r="AY433" i="4"/>
  <c r="AX433" i="4"/>
  <c r="AW433" i="4"/>
  <c r="AR433" i="4"/>
  <c r="DY431" i="4"/>
  <c r="DX431" i="4"/>
  <c r="DW431" i="4"/>
  <c r="DV431" i="4"/>
  <c r="DU431" i="4"/>
  <c r="DT431" i="4"/>
  <c r="DS431" i="4"/>
  <c r="DR431" i="4"/>
  <c r="DJ431" i="4"/>
  <c r="DI431" i="4"/>
  <c r="DH431" i="4"/>
  <c r="DG431" i="4"/>
  <c r="DF431" i="4"/>
  <c r="DE431" i="4"/>
  <c r="BN429" i="4"/>
  <c r="BM429" i="4"/>
  <c r="BL429" i="4"/>
  <c r="BJ429" i="4"/>
  <c r="BI429" i="4"/>
  <c r="BH429" i="4"/>
  <c r="BG429" i="4"/>
  <c r="BE429" i="4"/>
  <c r="BD429" i="4"/>
  <c r="BD431" i="4" s="1"/>
  <c r="BC429" i="4"/>
  <c r="BB429" i="4"/>
  <c r="BB431" i="4" s="1"/>
  <c r="AZ429" i="4"/>
  <c r="AY429" i="4"/>
  <c r="AY431" i="4" s="1"/>
  <c r="AX429" i="4"/>
  <c r="AX431" i="4" s="1"/>
  <c r="AW429" i="4"/>
  <c r="AU429" i="4"/>
  <c r="AT429" i="4"/>
  <c r="AT431" i="4" s="1"/>
  <c r="AS429" i="4"/>
  <c r="AR429" i="4"/>
  <c r="AQ429" i="4"/>
  <c r="AP429" i="4"/>
  <c r="AP431" i="4" s="1"/>
  <c r="AN429" i="4"/>
  <c r="AM429" i="4"/>
  <c r="BK428" i="4"/>
  <c r="DO428" i="4" s="1"/>
  <c r="BK427" i="4"/>
  <c r="DO427" i="4" s="1"/>
  <c r="BK426" i="4"/>
  <c r="BF428" i="4"/>
  <c r="BF427" i="4"/>
  <c r="BF426" i="4"/>
  <c r="DN426" i="4" s="1"/>
  <c r="BA428" i="4"/>
  <c r="BA427" i="4"/>
  <c r="BA426" i="4"/>
  <c r="AV428" i="4"/>
  <c r="DL428" i="4" s="1"/>
  <c r="AV427" i="4"/>
  <c r="AV426" i="4"/>
  <c r="AO428" i="4"/>
  <c r="AO427" i="4"/>
  <c r="AO426" i="4"/>
  <c r="DY429" i="4"/>
  <c r="DX429" i="4"/>
  <c r="DW429" i="4"/>
  <c r="DV429" i="4"/>
  <c r="DU429" i="4"/>
  <c r="DT429" i="4"/>
  <c r="DS429" i="4"/>
  <c r="DR429" i="4"/>
  <c r="DQ429" i="4"/>
  <c r="DP429" i="4"/>
  <c r="DK429" i="4"/>
  <c r="DJ429" i="4"/>
  <c r="DI429" i="4"/>
  <c r="DH429" i="4"/>
  <c r="DG429" i="4"/>
  <c r="DF429" i="4"/>
  <c r="DE429" i="4"/>
  <c r="DY428" i="4"/>
  <c r="DX428" i="4"/>
  <c r="DW428" i="4"/>
  <c r="DV428" i="4"/>
  <c r="DU428" i="4"/>
  <c r="DT428" i="4"/>
  <c r="DS428" i="4"/>
  <c r="DR428" i="4"/>
  <c r="DQ428" i="4"/>
  <c r="DP428" i="4"/>
  <c r="DN428" i="4"/>
  <c r="DM428" i="4"/>
  <c r="DK428" i="4"/>
  <c r="DJ428" i="4"/>
  <c r="DI428" i="4"/>
  <c r="DH428" i="4"/>
  <c r="DG428" i="4"/>
  <c r="DF428" i="4"/>
  <c r="DE428" i="4"/>
  <c r="DY427" i="4"/>
  <c r="DX427" i="4"/>
  <c r="DW427" i="4"/>
  <c r="DV427" i="4"/>
  <c r="DU427" i="4"/>
  <c r="DT427" i="4"/>
  <c r="DS427" i="4"/>
  <c r="DR427" i="4"/>
  <c r="DQ427" i="4"/>
  <c r="DP427" i="4"/>
  <c r="DN427" i="4"/>
  <c r="DM427" i="4"/>
  <c r="DL427" i="4"/>
  <c r="DK427" i="4"/>
  <c r="DJ427" i="4"/>
  <c r="DI427" i="4"/>
  <c r="DH427" i="4"/>
  <c r="DG427" i="4"/>
  <c r="DF427" i="4"/>
  <c r="DE427" i="4"/>
  <c r="DY426" i="4"/>
  <c r="DX426" i="4"/>
  <c r="DW426" i="4"/>
  <c r="DV426" i="4"/>
  <c r="DU426" i="4"/>
  <c r="DT426" i="4"/>
  <c r="DS426" i="4"/>
  <c r="DR426" i="4"/>
  <c r="DQ426" i="4"/>
  <c r="DP426" i="4"/>
  <c r="DO426" i="4"/>
  <c r="DL426" i="4"/>
  <c r="DK426" i="4"/>
  <c r="DJ426" i="4"/>
  <c r="DI426" i="4"/>
  <c r="DH426" i="4"/>
  <c r="DG426" i="4"/>
  <c r="DF426" i="4"/>
  <c r="DE426" i="4"/>
  <c r="BN423" i="4"/>
  <c r="BM423" i="4"/>
  <c r="BL423" i="4"/>
  <c r="BJ423" i="4"/>
  <c r="BI423" i="4"/>
  <c r="BH423" i="4"/>
  <c r="BG423" i="4"/>
  <c r="BE423" i="4"/>
  <c r="BD423" i="4"/>
  <c r="BC423" i="4"/>
  <c r="BB423" i="4"/>
  <c r="AZ423" i="4"/>
  <c r="AY423" i="4"/>
  <c r="AX423" i="4"/>
  <c r="AW423" i="4"/>
  <c r="AU423" i="4"/>
  <c r="AT423" i="4"/>
  <c r="AS423" i="4"/>
  <c r="AR423" i="4"/>
  <c r="AQ423" i="4"/>
  <c r="DK423" i="4" s="1"/>
  <c r="AP423" i="4"/>
  <c r="AN423" i="4"/>
  <c r="AM423" i="4"/>
  <c r="BK422" i="4"/>
  <c r="DO422" i="4" s="1"/>
  <c r="BK421" i="4"/>
  <c r="DO421" i="4" s="1"/>
  <c r="BK420" i="4"/>
  <c r="BF422" i="4"/>
  <c r="BF421" i="4"/>
  <c r="DN421" i="4" s="1"/>
  <c r="BF420" i="4"/>
  <c r="BA422" i="4"/>
  <c r="BA421" i="4"/>
  <c r="BA420" i="4"/>
  <c r="BA423" i="4" s="1"/>
  <c r="DM423" i="4" s="1"/>
  <c r="AV422" i="4"/>
  <c r="DL422" i="4" s="1"/>
  <c r="AV421" i="4"/>
  <c r="AV420" i="4"/>
  <c r="AO422" i="4"/>
  <c r="AO421" i="4"/>
  <c r="AO420" i="4"/>
  <c r="DY423" i="4"/>
  <c r="DX423" i="4"/>
  <c r="DW423" i="4"/>
  <c r="DV423" i="4"/>
  <c r="DU423" i="4"/>
  <c r="DT423" i="4"/>
  <c r="DS423" i="4"/>
  <c r="DR423" i="4"/>
  <c r="DQ423" i="4"/>
  <c r="DP423" i="4"/>
  <c r="DJ423" i="4"/>
  <c r="DI423" i="4"/>
  <c r="DH423" i="4"/>
  <c r="DG423" i="4"/>
  <c r="DF423" i="4"/>
  <c r="DE423" i="4"/>
  <c r="DY422" i="4"/>
  <c r="DX422" i="4"/>
  <c r="DW422" i="4"/>
  <c r="DV422" i="4"/>
  <c r="DU422" i="4"/>
  <c r="DT422" i="4"/>
  <c r="DS422" i="4"/>
  <c r="DR422" i="4"/>
  <c r="DQ422" i="4"/>
  <c r="DP422" i="4"/>
  <c r="DN422" i="4"/>
  <c r="DM422" i="4"/>
  <c r="DK422" i="4"/>
  <c r="DJ422" i="4"/>
  <c r="DI422" i="4"/>
  <c r="DH422" i="4"/>
  <c r="DG422" i="4"/>
  <c r="DF422" i="4"/>
  <c r="DE422" i="4"/>
  <c r="DY421" i="4"/>
  <c r="DX421" i="4"/>
  <c r="DW421" i="4"/>
  <c r="DV421" i="4"/>
  <c r="DU421" i="4"/>
  <c r="DT421" i="4"/>
  <c r="DS421" i="4"/>
  <c r="DR421" i="4"/>
  <c r="DQ421" i="4"/>
  <c r="DP421" i="4"/>
  <c r="DM421" i="4"/>
  <c r="DL421" i="4"/>
  <c r="DK421" i="4"/>
  <c r="DJ421" i="4"/>
  <c r="DI421" i="4"/>
  <c r="DH421" i="4"/>
  <c r="DG421" i="4"/>
  <c r="DF421" i="4"/>
  <c r="DE421" i="4"/>
  <c r="DY420" i="4"/>
  <c r="DX420" i="4"/>
  <c r="DW420" i="4"/>
  <c r="DV420" i="4"/>
  <c r="DU420" i="4"/>
  <c r="DT420" i="4"/>
  <c r="DS420" i="4"/>
  <c r="DR420" i="4"/>
  <c r="DQ420" i="4"/>
  <c r="DP420" i="4"/>
  <c r="DO420" i="4"/>
  <c r="DN420" i="4"/>
  <c r="DL420" i="4"/>
  <c r="DK420" i="4"/>
  <c r="DJ420" i="4"/>
  <c r="DI420" i="4"/>
  <c r="DH420" i="4"/>
  <c r="DG420" i="4"/>
  <c r="DF420" i="4"/>
  <c r="DE420" i="4"/>
  <c r="DY419" i="4"/>
  <c r="DX419" i="4"/>
  <c r="DW419" i="4"/>
  <c r="DV419" i="4"/>
  <c r="DU419" i="4"/>
  <c r="DT419" i="4"/>
  <c r="DS419" i="4"/>
  <c r="DR419" i="4"/>
  <c r="DQ419" i="4"/>
  <c r="DP419" i="4"/>
  <c r="DO419" i="4"/>
  <c r="DN419" i="4"/>
  <c r="DM419" i="4"/>
  <c r="DL419" i="4"/>
  <c r="DK419" i="4"/>
  <c r="DJ419" i="4"/>
  <c r="DI419" i="4"/>
  <c r="DH419" i="4"/>
  <c r="DG419" i="4"/>
  <c r="DF419" i="4"/>
  <c r="DE419" i="4"/>
  <c r="DY417" i="4"/>
  <c r="DX417" i="4"/>
  <c r="DW417" i="4"/>
  <c r="DV417" i="4"/>
  <c r="DU417" i="4"/>
  <c r="DT417" i="4"/>
  <c r="DS417" i="4"/>
  <c r="DR417" i="4"/>
  <c r="DQ417" i="4"/>
  <c r="DK417" i="4"/>
  <c r="DJ417" i="4"/>
  <c r="DI417" i="4"/>
  <c r="DH417" i="4"/>
  <c r="DG417" i="4"/>
  <c r="DF417" i="4"/>
  <c r="DE417" i="4"/>
  <c r="DY415" i="4"/>
  <c r="DX415" i="4"/>
  <c r="DW415" i="4"/>
  <c r="DV415" i="4"/>
  <c r="DU415" i="4"/>
  <c r="DT415" i="4"/>
  <c r="DS415" i="4"/>
  <c r="DR415" i="4"/>
  <c r="DQ415" i="4"/>
  <c r="DP415" i="4"/>
  <c r="DO415" i="4"/>
  <c r="DN415" i="4"/>
  <c r="DM415" i="4"/>
  <c r="DL415" i="4"/>
  <c r="DK415" i="4"/>
  <c r="DJ415" i="4"/>
  <c r="DI415" i="4"/>
  <c r="DH415" i="4"/>
  <c r="DG415" i="4"/>
  <c r="DF415" i="4"/>
  <c r="DE415" i="4"/>
  <c r="DY413" i="4"/>
  <c r="DX413" i="4"/>
  <c r="DW413" i="4"/>
  <c r="DV413" i="4"/>
  <c r="DU413" i="4"/>
  <c r="DT413" i="4"/>
  <c r="DS413" i="4"/>
  <c r="DR413" i="4"/>
  <c r="DQ413" i="4"/>
  <c r="DP413" i="4"/>
  <c r="DO413" i="4"/>
  <c r="DN413" i="4"/>
  <c r="DM413" i="4"/>
  <c r="DL413" i="4"/>
  <c r="DK413" i="4"/>
  <c r="DJ413" i="4"/>
  <c r="DI413" i="4"/>
  <c r="DH413" i="4"/>
  <c r="DG413" i="4"/>
  <c r="DF413" i="4"/>
  <c r="DE413" i="4"/>
  <c r="BN411" i="4"/>
  <c r="BO411" i="4" s="1"/>
  <c r="BM411" i="4"/>
  <c r="BL411" i="4"/>
  <c r="BJ411" i="4"/>
  <c r="BK411" i="4" s="1"/>
  <c r="DO411" i="4" s="1"/>
  <c r="BI411" i="4"/>
  <c r="BH411" i="4"/>
  <c r="BG411" i="4"/>
  <c r="BD411" i="4"/>
  <c r="BC411" i="4"/>
  <c r="BB411" i="4"/>
  <c r="AZ411" i="4"/>
  <c r="BA411" i="4" s="1"/>
  <c r="DM411" i="4" s="1"/>
  <c r="AY411" i="4"/>
  <c r="AX411" i="4"/>
  <c r="AU411" i="4"/>
  <c r="AV411" i="4" s="1"/>
  <c r="DL411" i="4" s="1"/>
  <c r="AT411" i="4"/>
  <c r="AS411" i="4"/>
  <c r="AR411" i="4"/>
  <c r="AP411" i="4"/>
  <c r="AQ411" i="4" s="1"/>
  <c r="DK411" i="4" s="1"/>
  <c r="AO411" i="4"/>
  <c r="AN411" i="4"/>
  <c r="AM411" i="4"/>
  <c r="AL411" i="4"/>
  <c r="DJ411" i="4" s="1"/>
  <c r="AK411" i="4"/>
  <c r="AJ411" i="4"/>
  <c r="AI411" i="4"/>
  <c r="AH411" i="4"/>
  <c r="AF411" i="4"/>
  <c r="AG411" i="4" s="1"/>
  <c r="DI411" i="4" s="1"/>
  <c r="AD411" i="4"/>
  <c r="AC411" i="4"/>
  <c r="AA411" i="4"/>
  <c r="Y411" i="4"/>
  <c r="X411" i="4"/>
  <c r="U411" i="4"/>
  <c r="S411" i="4"/>
  <c r="Q411" i="4"/>
  <c r="P411" i="4"/>
  <c r="O411" i="4"/>
  <c r="N411" i="4"/>
  <c r="M411" i="4"/>
  <c r="DE411" i="4" s="1"/>
  <c r="BN410" i="4"/>
  <c r="BM410" i="4"/>
  <c r="BJ410" i="4"/>
  <c r="BI410" i="4"/>
  <c r="BH410" i="4"/>
  <c r="BD410" i="4"/>
  <c r="BC410" i="4"/>
  <c r="BB410" i="4"/>
  <c r="AZ410" i="4"/>
  <c r="AY410" i="4"/>
  <c r="AU410" i="4"/>
  <c r="AT410" i="4"/>
  <c r="AS410" i="4"/>
  <c r="AP410" i="4"/>
  <c r="AO410" i="4"/>
  <c r="AN410" i="4"/>
  <c r="AK410" i="4"/>
  <c r="AJ410" i="4"/>
  <c r="AI410" i="4"/>
  <c r="AD410" i="4"/>
  <c r="Y410" i="4"/>
  <c r="Q410" i="4"/>
  <c r="P410" i="4"/>
  <c r="O410" i="4"/>
  <c r="N410" i="4"/>
  <c r="R410" i="4" s="1"/>
  <c r="DF410" i="4" s="1"/>
  <c r="DY411" i="4"/>
  <c r="DX411" i="4"/>
  <c r="DW411" i="4"/>
  <c r="DV411" i="4"/>
  <c r="DU411" i="4"/>
  <c r="DT411" i="4"/>
  <c r="DS411" i="4"/>
  <c r="DR411" i="4"/>
  <c r="DY410" i="4"/>
  <c r="DX410" i="4"/>
  <c r="DW410" i="4"/>
  <c r="DV410" i="4"/>
  <c r="DU410" i="4"/>
  <c r="DT410" i="4"/>
  <c r="DS410" i="4"/>
  <c r="DR410" i="4"/>
  <c r="DE410" i="4"/>
  <c r="DY409" i="4"/>
  <c r="DX409" i="4"/>
  <c r="DW409" i="4"/>
  <c r="DV409" i="4"/>
  <c r="DU409" i="4"/>
  <c r="DT409" i="4"/>
  <c r="DS409" i="4"/>
  <c r="DR409" i="4"/>
  <c r="DL409" i="4"/>
  <c r="DE409" i="4"/>
  <c r="BR411" i="4"/>
  <c r="BS411" i="4" s="1"/>
  <c r="BQ409" i="4"/>
  <c r="BK409" i="4"/>
  <c r="BL410" i="4" s="1"/>
  <c r="BF409" i="4"/>
  <c r="DN409" i="4" s="1"/>
  <c r="BE409" i="4"/>
  <c r="BG410" i="4" s="1"/>
  <c r="BA409" i="4"/>
  <c r="DM409" i="4" s="1"/>
  <c r="AW409" i="4"/>
  <c r="AW411" i="4" s="1"/>
  <c r="AV409" i="4"/>
  <c r="AQ409" i="4"/>
  <c r="AR410" i="4" s="1"/>
  <c r="AL409" i="4"/>
  <c r="DJ409" i="4" s="1"/>
  <c r="AG409" i="4"/>
  <c r="DI409" i="4" s="1"/>
  <c r="AE409" i="4"/>
  <c r="AB409" i="4"/>
  <c r="DH409" i="4" s="1"/>
  <c r="Z409" i="4"/>
  <c r="V409" i="4"/>
  <c r="W409" i="4" s="1"/>
  <c r="T409" i="4"/>
  <c r="R409" i="4"/>
  <c r="DF409" i="4" s="1"/>
  <c r="BN407" i="4"/>
  <c r="BM407" i="4"/>
  <c r="BJ407" i="4"/>
  <c r="BI407" i="4"/>
  <c r="BH407" i="4"/>
  <c r="BD407" i="4"/>
  <c r="BC407" i="4"/>
  <c r="AZ407" i="4"/>
  <c r="AY407" i="4"/>
  <c r="AX407" i="4"/>
  <c r="AU407" i="4"/>
  <c r="AT407" i="4"/>
  <c r="AS407" i="4"/>
  <c r="AP407" i="4"/>
  <c r="AO407" i="4"/>
  <c r="AN407" i="4"/>
  <c r="AK407" i="4"/>
  <c r="AJ407" i="4"/>
  <c r="AI407" i="4"/>
  <c r="AF407" i="4"/>
  <c r="AE407" i="4"/>
  <c r="AD407" i="4"/>
  <c r="Y407" i="4"/>
  <c r="Q407" i="4"/>
  <c r="P407" i="4"/>
  <c r="O407" i="4"/>
  <c r="N407" i="4"/>
  <c r="BR406" i="4"/>
  <c r="BO406" i="4"/>
  <c r="BK406" i="4"/>
  <c r="BL407" i="4" s="1"/>
  <c r="BK405" i="4"/>
  <c r="BF406" i="4"/>
  <c r="DN406" i="4" s="1"/>
  <c r="BE406" i="4"/>
  <c r="BE407" i="4" s="1"/>
  <c r="BA406" i="4"/>
  <c r="BB407" i="4" s="1"/>
  <c r="BA405" i="4"/>
  <c r="AV406" i="4"/>
  <c r="AV405" i="4"/>
  <c r="AQ406" i="4"/>
  <c r="DK406" i="4" s="1"/>
  <c r="AQ405" i="4"/>
  <c r="AL406" i="4"/>
  <c r="AL405" i="4"/>
  <c r="AG406" i="4"/>
  <c r="AH407" i="4" s="1"/>
  <c r="AG405" i="4"/>
  <c r="AB406" i="4"/>
  <c r="AC407" i="4" s="1"/>
  <c r="AB405" i="4"/>
  <c r="Z406" i="4"/>
  <c r="Z405" i="4"/>
  <c r="V406" i="4"/>
  <c r="T406" i="4"/>
  <c r="U407" i="4" s="1"/>
  <c r="T405" i="4"/>
  <c r="R406" i="4"/>
  <c r="R405" i="4"/>
  <c r="AA405" i="4"/>
  <c r="AA404" i="4"/>
  <c r="S405" i="4"/>
  <c r="S404" i="4"/>
  <c r="DY407" i="4"/>
  <c r="DX407" i="4"/>
  <c r="DW407" i="4"/>
  <c r="DV407" i="4"/>
  <c r="DU407" i="4"/>
  <c r="DT407" i="4"/>
  <c r="DS407" i="4"/>
  <c r="DR407" i="4"/>
  <c r="DE407" i="4"/>
  <c r="DY406" i="4"/>
  <c r="DX406" i="4"/>
  <c r="DW406" i="4"/>
  <c r="DV406" i="4"/>
  <c r="DU406" i="4"/>
  <c r="DT406" i="4"/>
  <c r="DS406" i="4"/>
  <c r="DR406" i="4"/>
  <c r="DO406" i="4"/>
  <c r="DM406" i="4"/>
  <c r="DI406" i="4"/>
  <c r="DE406" i="4"/>
  <c r="DO405" i="4"/>
  <c r="DM405" i="4"/>
  <c r="DL405" i="4"/>
  <c r="DK405" i="4"/>
  <c r="DJ405" i="4"/>
  <c r="DI405" i="4"/>
  <c r="DH405" i="4"/>
  <c r="DF405" i="4"/>
  <c r="DA405" i="4"/>
  <c r="DY405" i="4" s="1"/>
  <c r="CZ405" i="4"/>
  <c r="DX405" i="4" s="1"/>
  <c r="CY405" i="4"/>
  <c r="DW405" i="4" s="1"/>
  <c r="CX405" i="4"/>
  <c r="CW405" i="4"/>
  <c r="CV405" i="4"/>
  <c r="CU405" i="4"/>
  <c r="CT405" i="4"/>
  <c r="DV405" i="4" s="1"/>
  <c r="CS405" i="4"/>
  <c r="CR405" i="4"/>
  <c r="CQ405" i="4"/>
  <c r="CP405" i="4"/>
  <c r="CO405" i="4"/>
  <c r="DU405" i="4" s="1"/>
  <c r="CN405" i="4"/>
  <c r="CM405" i="4"/>
  <c r="CL405" i="4"/>
  <c r="CK405" i="4"/>
  <c r="CJ405" i="4"/>
  <c r="DT405" i="4" s="1"/>
  <c r="CI405" i="4"/>
  <c r="CH405" i="4"/>
  <c r="CG405" i="4"/>
  <c r="CF405" i="4"/>
  <c r="CE405" i="4"/>
  <c r="DS405" i="4" s="1"/>
  <c r="CD405" i="4"/>
  <c r="CC405" i="4"/>
  <c r="CB405" i="4"/>
  <c r="CA405" i="4"/>
  <c r="BZ405" i="4"/>
  <c r="DR405" i="4" s="1"/>
  <c r="BY405" i="4"/>
  <c r="BX405" i="4"/>
  <c r="BW405" i="4"/>
  <c r="BV405" i="4"/>
  <c r="BU405" i="4"/>
  <c r="DQ405" i="4" s="1"/>
  <c r="BT405" i="4"/>
  <c r="BS405" i="4"/>
  <c r="BR405" i="4"/>
  <c r="BQ405" i="4"/>
  <c r="BP405" i="4"/>
  <c r="DP405" i="4" s="1"/>
  <c r="BO405" i="4"/>
  <c r="BN405" i="4"/>
  <c r="BM405" i="4"/>
  <c r="BL405" i="4"/>
  <c r="DA404" i="4"/>
  <c r="DY404" i="4" s="1"/>
  <c r="CZ404" i="4"/>
  <c r="DX404" i="4" s="1"/>
  <c r="CY404" i="4"/>
  <c r="DW404" i="4" s="1"/>
  <c r="CX404" i="4"/>
  <c r="CW404" i="4"/>
  <c r="CV404" i="4"/>
  <c r="CU404" i="4"/>
  <c r="CT404" i="4"/>
  <c r="DV404" i="4" s="1"/>
  <c r="CS404" i="4"/>
  <c r="CR404" i="4"/>
  <c r="CQ404" i="4"/>
  <c r="CP404" i="4"/>
  <c r="CO404" i="4"/>
  <c r="DU404" i="4" s="1"/>
  <c r="CN404" i="4"/>
  <c r="CM404" i="4"/>
  <c r="CL404" i="4"/>
  <c r="CK404" i="4"/>
  <c r="CJ404" i="4"/>
  <c r="DT404" i="4" s="1"/>
  <c r="CI404" i="4"/>
  <c r="CH404" i="4"/>
  <c r="CG404" i="4"/>
  <c r="CF404" i="4"/>
  <c r="CD404" i="4"/>
  <c r="CC404" i="4"/>
  <c r="CB404" i="4"/>
  <c r="CA404" i="4"/>
  <c r="BY404" i="4"/>
  <c r="BX404" i="4"/>
  <c r="BW404" i="4"/>
  <c r="BV404" i="4"/>
  <c r="BJ405" i="4"/>
  <c r="BI405" i="4"/>
  <c r="BH405" i="4"/>
  <c r="BG405" i="4"/>
  <c r="BF405" i="4"/>
  <c r="DN405" i="4" s="1"/>
  <c r="BE405" i="4"/>
  <c r="BD405" i="4"/>
  <c r="BC405" i="4"/>
  <c r="BB405" i="4"/>
  <c r="AZ405" i="4"/>
  <c r="AY405" i="4"/>
  <c r="AX405" i="4"/>
  <c r="AW405" i="4"/>
  <c r="AU405" i="4"/>
  <c r="AT405" i="4"/>
  <c r="AS405" i="4"/>
  <c r="AR405" i="4"/>
  <c r="AU404" i="4"/>
  <c r="AP405" i="4"/>
  <c r="AO405" i="4"/>
  <c r="AN405" i="4"/>
  <c r="AM405" i="4"/>
  <c r="AP404" i="4"/>
  <c r="AK405" i="4"/>
  <c r="AJ405" i="4"/>
  <c r="AI405" i="4"/>
  <c r="AH405" i="4"/>
  <c r="AK404" i="4"/>
  <c r="AF405" i="4"/>
  <c r="AE405" i="4"/>
  <c r="AD405" i="4"/>
  <c r="AC405" i="4"/>
  <c r="AF404" i="4"/>
  <c r="AC404" i="4"/>
  <c r="Y405" i="4"/>
  <c r="X405" i="4"/>
  <c r="W405" i="4"/>
  <c r="DG405" i="4" s="1"/>
  <c r="V405" i="4"/>
  <c r="U405" i="4"/>
  <c r="V404" i="4"/>
  <c r="Q405" i="4"/>
  <c r="P405" i="4"/>
  <c r="O405" i="4"/>
  <c r="N405" i="4"/>
  <c r="M405" i="4"/>
  <c r="DE405" i="4" s="1"/>
  <c r="L405" i="4"/>
  <c r="K405" i="4"/>
  <c r="J405" i="4"/>
  <c r="I405" i="4"/>
  <c r="Q404" i="4"/>
  <c r="P404" i="4"/>
  <c r="O404" i="4"/>
  <c r="N404" i="4"/>
  <c r="L404" i="4"/>
  <c r="K404" i="4"/>
  <c r="J404" i="4"/>
  <c r="I404" i="4"/>
  <c r="DN386" i="4"/>
  <c r="DM386" i="4"/>
  <c r="DL386" i="4"/>
  <c r="DK386" i="4"/>
  <c r="DJ386" i="4"/>
  <c r="DI386" i="4"/>
  <c r="DH386" i="4"/>
  <c r="DG386" i="4"/>
  <c r="DF386" i="4"/>
  <c r="DE386" i="4"/>
  <c r="CR384" i="4"/>
  <c r="CQ384" i="4"/>
  <c r="CP384" i="4"/>
  <c r="CN384" i="4"/>
  <c r="CM384" i="4"/>
  <c r="CL384" i="4"/>
  <c r="CK384" i="4"/>
  <c r="CD384" i="4"/>
  <c r="BJ384" i="4"/>
  <c r="AP384" i="4"/>
  <c r="V384" i="4"/>
  <c r="DF384" i="4"/>
  <c r="DE384" i="4"/>
  <c r="DY383" i="4"/>
  <c r="DX383" i="4"/>
  <c r="DW383" i="4"/>
  <c r="DV383" i="4"/>
  <c r="DU383" i="4"/>
  <c r="DO383" i="4"/>
  <c r="DN383" i="4"/>
  <c r="DM383" i="4"/>
  <c r="DL383" i="4"/>
  <c r="DK383" i="4"/>
  <c r="DJ383" i="4"/>
  <c r="DI383" i="4"/>
  <c r="DH383" i="4"/>
  <c r="DG383" i="4"/>
  <c r="DF383" i="4"/>
  <c r="DE383" i="4"/>
  <c r="DY382" i="4"/>
  <c r="DX382" i="4"/>
  <c r="DW382" i="4"/>
  <c r="DV382" i="4"/>
  <c r="DU382" i="4"/>
  <c r="DM382" i="4"/>
  <c r="DL382" i="4"/>
  <c r="DK382" i="4"/>
  <c r="DJ382" i="4"/>
  <c r="DI382" i="4"/>
  <c r="DH382" i="4"/>
  <c r="DG382" i="4"/>
  <c r="DF382" i="4"/>
  <c r="DE382" i="4"/>
  <c r="CH382" i="4"/>
  <c r="CG382" i="4"/>
  <c r="CF382" i="4"/>
  <c r="CC382" i="4"/>
  <c r="CB382" i="4"/>
  <c r="CA382" i="4"/>
  <c r="BX382" i="4"/>
  <c r="BO382" i="4"/>
  <c r="BN382" i="4"/>
  <c r="BM382" i="4"/>
  <c r="BL382" i="4"/>
  <c r="CO381" i="4"/>
  <c r="CJ381" i="4"/>
  <c r="CS379" i="4"/>
  <c r="CT379" i="4" s="1"/>
  <c r="CN379" i="4"/>
  <c r="CR378" i="4"/>
  <c r="CQ378" i="4"/>
  <c r="CP378" i="4"/>
  <c r="CD378" i="4"/>
  <c r="CC378" i="4"/>
  <c r="CB378" i="4"/>
  <c r="CA378" i="4"/>
  <c r="BY378" i="4"/>
  <c r="BX378" i="4"/>
  <c r="BW378" i="4"/>
  <c r="BV378" i="4"/>
  <c r="BV384" i="4" s="1"/>
  <c r="BT378" i="4"/>
  <c r="BS378" i="4"/>
  <c r="BR378" i="4"/>
  <c r="BR384" i="4" s="1"/>
  <c r="BQ378" i="4"/>
  <c r="BO378" i="4"/>
  <c r="BN378" i="4"/>
  <c r="BN384" i="4" s="1"/>
  <c r="BM378" i="4"/>
  <c r="BL378" i="4"/>
  <c r="BJ378" i="4"/>
  <c r="BI378" i="4"/>
  <c r="BH378" i="4"/>
  <c r="BG378" i="4"/>
  <c r="BE378" i="4"/>
  <c r="BD378" i="4"/>
  <c r="BC378" i="4"/>
  <c r="BB378" i="4"/>
  <c r="BB384" i="4" s="1"/>
  <c r="AZ378" i="4"/>
  <c r="AY378" i="4"/>
  <c r="AX378" i="4"/>
  <c r="AW378" i="4"/>
  <c r="AU378" i="4"/>
  <c r="AT378" i="4"/>
  <c r="AS378" i="4"/>
  <c r="AS384" i="4" s="1"/>
  <c r="AR378" i="4"/>
  <c r="AP378" i="4"/>
  <c r="AO378" i="4"/>
  <c r="AN378" i="4"/>
  <c r="AM378" i="4"/>
  <c r="AK378" i="4"/>
  <c r="AJ378" i="4"/>
  <c r="AI378" i="4"/>
  <c r="AH378" i="4"/>
  <c r="AH384" i="4" s="1"/>
  <c r="AF378" i="4"/>
  <c r="AE378" i="4"/>
  <c r="AD378" i="4"/>
  <c r="AD384" i="4" s="1"/>
  <c r="AC378" i="4"/>
  <c r="AA378" i="4"/>
  <c r="Z378" i="4"/>
  <c r="Y378" i="4"/>
  <c r="X378" i="4"/>
  <c r="V378" i="4"/>
  <c r="U378" i="4"/>
  <c r="T378" i="4"/>
  <c r="S378" i="4"/>
  <c r="S384" i="4" s="1"/>
  <c r="Q378" i="4"/>
  <c r="O378" i="4"/>
  <c r="N378" i="4"/>
  <c r="M378" i="4"/>
  <c r="CM375" i="4"/>
  <c r="CL375" i="4"/>
  <c r="CK375" i="4"/>
  <c r="CI375" i="4"/>
  <c r="CH375" i="4"/>
  <c r="CG375" i="4"/>
  <c r="CF375" i="4"/>
  <c r="CE372" i="4"/>
  <c r="BZ372" i="4"/>
  <c r="BP374" i="4"/>
  <c r="BP372" i="4"/>
  <c r="BK374" i="4"/>
  <c r="BK382" i="4" s="1"/>
  <c r="DO382" i="4" s="1"/>
  <c r="BK372" i="4"/>
  <c r="BF374" i="4"/>
  <c r="BA374" i="4"/>
  <c r="BA378" i="4" s="1"/>
  <c r="AV374" i="4"/>
  <c r="AV378" i="4" s="1"/>
  <c r="AQ374" i="4"/>
  <c r="AL374" i="4"/>
  <c r="AL378" i="4" s="1"/>
  <c r="AG374" i="4"/>
  <c r="AG378" i="4" s="1"/>
  <c r="AB374" i="4"/>
  <c r="AB378" i="4" s="1"/>
  <c r="W374" i="4"/>
  <c r="P374" i="4"/>
  <c r="P378" i="4" s="1"/>
  <c r="CH373" i="4"/>
  <c r="CG373" i="4"/>
  <c r="CF373" i="4"/>
  <c r="CD373" i="4"/>
  <c r="CC373" i="4"/>
  <c r="CB373" i="4"/>
  <c r="CA373" i="4"/>
  <c r="BY373" i="4"/>
  <c r="BX373" i="4"/>
  <c r="BW373" i="4"/>
  <c r="BV373" i="4"/>
  <c r="BZ373" i="4" s="1"/>
  <c r="BO373" i="4"/>
  <c r="BO383" i="4" s="1"/>
  <c r="BN373" i="4"/>
  <c r="BM373" i="4"/>
  <c r="BL373" i="4"/>
  <c r="BJ373" i="4"/>
  <c r="BI373" i="4"/>
  <c r="BH373" i="4"/>
  <c r="BG373" i="4"/>
  <c r="DY374" i="4"/>
  <c r="DX374" i="4"/>
  <c r="DW374" i="4"/>
  <c r="DV374" i="4"/>
  <c r="DU374" i="4"/>
  <c r="DO374" i="4"/>
  <c r="DN374" i="4"/>
  <c r="DM374" i="4"/>
  <c r="DL374" i="4"/>
  <c r="DJ374" i="4"/>
  <c r="DI374" i="4"/>
  <c r="DH374" i="4"/>
  <c r="DE374" i="4"/>
  <c r="DN373" i="4"/>
  <c r="DM373" i="4"/>
  <c r="DL373" i="4"/>
  <c r="DK373" i="4"/>
  <c r="DJ373" i="4"/>
  <c r="DI373" i="4"/>
  <c r="DH373" i="4"/>
  <c r="DG373" i="4"/>
  <c r="DF373" i="4"/>
  <c r="DE373" i="4"/>
  <c r="DY372" i="4"/>
  <c r="DX372" i="4"/>
  <c r="DW372" i="4"/>
  <c r="DV372" i="4"/>
  <c r="DU372" i="4"/>
  <c r="DR372" i="4"/>
  <c r="DP372" i="4"/>
  <c r="DN372" i="4"/>
  <c r="DM372" i="4"/>
  <c r="DL372" i="4"/>
  <c r="DK372" i="4"/>
  <c r="DJ372" i="4"/>
  <c r="DI372" i="4"/>
  <c r="DH372" i="4"/>
  <c r="DG372" i="4"/>
  <c r="DF372" i="4"/>
  <c r="DE372" i="4"/>
  <c r="CM372" i="4"/>
  <c r="CM373" i="4" s="1"/>
  <c r="CM383" i="4" s="1"/>
  <c r="CL372" i="4"/>
  <c r="CL373" i="4" s="1"/>
  <c r="CL383" i="4" s="1"/>
  <c r="CK372" i="4"/>
  <c r="CK382" i="4" s="1"/>
  <c r="CI372" i="4"/>
  <c r="BT372" i="4"/>
  <c r="BS372" i="4"/>
  <c r="BS373" i="4" s="1"/>
  <c r="BS383" i="4" s="1"/>
  <c r="BR372" i="4"/>
  <c r="BR382" i="4" s="1"/>
  <c r="BQ372" i="4"/>
  <c r="DK369" i="4"/>
  <c r="DJ369" i="4"/>
  <c r="DI369" i="4"/>
  <c r="DH369" i="4"/>
  <c r="DG369" i="4"/>
  <c r="DF369" i="4"/>
  <c r="DE369" i="4"/>
  <c r="DK368" i="4"/>
  <c r="DJ368" i="4"/>
  <c r="DI368" i="4"/>
  <c r="DH368" i="4"/>
  <c r="DG368" i="4"/>
  <c r="DF368" i="4"/>
  <c r="DE368" i="4"/>
  <c r="DK367" i="4"/>
  <c r="DJ367" i="4"/>
  <c r="DI367" i="4"/>
  <c r="DH367" i="4"/>
  <c r="DG367" i="4"/>
  <c r="DF367" i="4"/>
  <c r="DE367" i="4"/>
  <c r="CX367" i="4"/>
  <c r="CW367" i="4"/>
  <c r="CV367" i="4"/>
  <c r="CU367" i="4"/>
  <c r="CS367" i="4"/>
  <c r="CR367" i="4"/>
  <c r="CQ367" i="4"/>
  <c r="CP367" i="4"/>
  <c r="CN367" i="4"/>
  <c r="CM367" i="4"/>
  <c r="CL367" i="4"/>
  <c r="CK367" i="4"/>
  <c r="CI367" i="4"/>
  <c r="CH367" i="4"/>
  <c r="CG367" i="4"/>
  <c r="CF367" i="4"/>
  <c r="CD367" i="4"/>
  <c r="CC367" i="4"/>
  <c r="CB367" i="4"/>
  <c r="CA367" i="4"/>
  <c r="BY367" i="4"/>
  <c r="BX367" i="4"/>
  <c r="BW367" i="4"/>
  <c r="BV367" i="4"/>
  <c r="CT364" i="4"/>
  <c r="CS364" i="4"/>
  <c r="CR364" i="4"/>
  <c r="CQ364" i="4"/>
  <c r="CP364" i="4"/>
  <c r="CO364" i="4"/>
  <c r="DU364" i="4" s="1"/>
  <c r="CN364" i="4"/>
  <c r="CM364" i="4"/>
  <c r="CL364" i="4"/>
  <c r="CK364" i="4"/>
  <c r="CJ364" i="4"/>
  <c r="DT364" i="4" s="1"/>
  <c r="CI364" i="4"/>
  <c r="CH364" i="4"/>
  <c r="CG364" i="4"/>
  <c r="CF364" i="4"/>
  <c r="CE364" i="4"/>
  <c r="DS364" i="4" s="1"/>
  <c r="CD364" i="4"/>
  <c r="CC364" i="4"/>
  <c r="CB364" i="4"/>
  <c r="CA364" i="4"/>
  <c r="DV364" i="4"/>
  <c r="DM364" i="4"/>
  <c r="DL364" i="4"/>
  <c r="DK364" i="4"/>
  <c r="DJ364" i="4"/>
  <c r="DI364" i="4"/>
  <c r="DH364" i="4"/>
  <c r="DG364" i="4"/>
  <c r="DF364" i="4"/>
  <c r="DE364" i="4"/>
  <c r="DY363" i="4"/>
  <c r="DX363" i="4"/>
  <c r="DW363" i="4"/>
  <c r="DV363" i="4"/>
  <c r="DU363" i="4"/>
  <c r="DN363" i="4"/>
  <c r="DM363" i="4"/>
  <c r="DL363" i="4"/>
  <c r="DK363" i="4"/>
  <c r="DJ363" i="4"/>
  <c r="DI363" i="4"/>
  <c r="DH363" i="4"/>
  <c r="DG363" i="4"/>
  <c r="DF363" i="4"/>
  <c r="DE363" i="4"/>
  <c r="CM363" i="4"/>
  <c r="CL363" i="4"/>
  <c r="CK363" i="4"/>
  <c r="CJ363" i="4"/>
  <c r="DT363" i="4" s="1"/>
  <c r="CI363" i="4"/>
  <c r="CH363" i="4"/>
  <c r="CG363" i="4"/>
  <c r="CF363" i="4"/>
  <c r="CE363" i="4"/>
  <c r="DS363" i="4" s="1"/>
  <c r="CD363" i="4"/>
  <c r="CC363" i="4"/>
  <c r="CB363" i="4"/>
  <c r="CA363" i="4"/>
  <c r="BY363" i="4"/>
  <c r="BX363" i="4"/>
  <c r="BW363" i="4"/>
  <c r="BV363" i="4"/>
  <c r="DE361" i="4"/>
  <c r="DF360" i="4"/>
  <c r="DE360" i="4"/>
  <c r="DE359" i="4"/>
  <c r="CN358" i="4"/>
  <c r="CM358" i="4"/>
  <c r="CL358" i="4"/>
  <c r="CL262" i="4" s="1"/>
  <c r="CK358" i="4"/>
  <c r="CI358" i="4"/>
  <c r="CH358" i="4"/>
  <c r="CG358" i="4"/>
  <c r="CF358" i="4"/>
  <c r="CD358" i="4"/>
  <c r="CE358" i="4" s="1"/>
  <c r="CC358" i="4"/>
  <c r="CD359" i="4" s="1"/>
  <c r="CB358" i="4"/>
  <c r="CA358" i="4"/>
  <c r="BY358" i="4"/>
  <c r="BZ358" i="4" s="1"/>
  <c r="BX358" i="4"/>
  <c r="BW358" i="4"/>
  <c r="BW262" i="4" s="1"/>
  <c r="BV358" i="4"/>
  <c r="BT358" i="4"/>
  <c r="BT262" i="4" s="1"/>
  <c r="BS358" i="4"/>
  <c r="BR358" i="4"/>
  <c r="BQ358" i="4"/>
  <c r="BO358" i="4"/>
  <c r="BP358" i="4" s="1"/>
  <c r="BP262" i="4" s="1"/>
  <c r="BN358" i="4"/>
  <c r="BM358" i="4"/>
  <c r="BL358" i="4"/>
  <c r="BJ358" i="4"/>
  <c r="BK358" i="4" s="1"/>
  <c r="BI358" i="4"/>
  <c r="BH358" i="4"/>
  <c r="BG358" i="4"/>
  <c r="BE358" i="4"/>
  <c r="BF358" i="4" s="1"/>
  <c r="BG359" i="4" s="1"/>
  <c r="BD358" i="4"/>
  <c r="BC358" i="4"/>
  <c r="BB358" i="4"/>
  <c r="AZ358" i="4"/>
  <c r="AY358" i="4"/>
  <c r="AX358" i="4"/>
  <c r="AW358" i="4"/>
  <c r="AU358" i="4"/>
  <c r="AT358" i="4"/>
  <c r="AS358" i="4"/>
  <c r="AR358" i="4"/>
  <c r="AP358" i="4"/>
  <c r="AQ358" i="4" s="1"/>
  <c r="AO358" i="4"/>
  <c r="AN358" i="4"/>
  <c r="AM358" i="4"/>
  <c r="AK358" i="4"/>
  <c r="AL358" i="4" s="1"/>
  <c r="AJ358" i="4"/>
  <c r="AJ262" i="4" s="1"/>
  <c r="AI358" i="4"/>
  <c r="AH358" i="4"/>
  <c r="AF358" i="4"/>
  <c r="AE358" i="4"/>
  <c r="AE262" i="4" s="1"/>
  <c r="AD358" i="4"/>
  <c r="AC358" i="4"/>
  <c r="AD359" i="4" s="1"/>
  <c r="AA358" i="4"/>
  <c r="Z358" i="4"/>
  <c r="Z262" i="4" s="1"/>
  <c r="Y358" i="4"/>
  <c r="X358" i="4"/>
  <c r="V358" i="4"/>
  <c r="W358" i="4" s="1"/>
  <c r="U358" i="4"/>
  <c r="U262" i="4" s="1"/>
  <c r="T358" i="4"/>
  <c r="S358" i="4"/>
  <c r="Q358" i="4"/>
  <c r="Q262" i="4" s="1"/>
  <c r="P358" i="4"/>
  <c r="O358" i="4"/>
  <c r="N358" i="4"/>
  <c r="M358" i="4"/>
  <c r="M262" i="4" s="1"/>
  <c r="DE262" i="4" s="1"/>
  <c r="DF356" i="4"/>
  <c r="DE356" i="4"/>
  <c r="DF355" i="4"/>
  <c r="DE355" i="4"/>
  <c r="DE354" i="4"/>
  <c r="BS354" i="4"/>
  <c r="BR354" i="4"/>
  <c r="BQ354" i="4"/>
  <c r="BO354" i="4"/>
  <c r="BN354" i="4"/>
  <c r="BM354" i="4"/>
  <c r="BL354" i="4"/>
  <c r="BJ354" i="4"/>
  <c r="BI354" i="4"/>
  <c r="BH354" i="4"/>
  <c r="BM356" i="4" s="1"/>
  <c r="BG354" i="4"/>
  <c r="BE354" i="4"/>
  <c r="BD354" i="4"/>
  <c r="BC354" i="4"/>
  <c r="BB354" i="4"/>
  <c r="AZ354" i="4"/>
  <c r="AY354" i="4"/>
  <c r="AX354" i="4"/>
  <c r="AW354" i="4"/>
  <c r="AU354" i="4"/>
  <c r="AT354" i="4"/>
  <c r="AS354" i="4"/>
  <c r="AR354" i="4"/>
  <c r="AP354" i="4"/>
  <c r="AO354" i="4"/>
  <c r="AN354" i="4"/>
  <c r="AM354" i="4"/>
  <c r="AK354" i="4"/>
  <c r="AJ354" i="4"/>
  <c r="AI354" i="4"/>
  <c r="AH354" i="4"/>
  <c r="AF354" i="4"/>
  <c r="AG354" i="4" s="1"/>
  <c r="DI354" i="4" s="1"/>
  <c r="AE354" i="4"/>
  <c r="AD354" i="4"/>
  <c r="AC354" i="4"/>
  <c r="AA354" i="4"/>
  <c r="Z354" i="4"/>
  <c r="Y354" i="4"/>
  <c r="X354" i="4"/>
  <c r="V354" i="4"/>
  <c r="U354" i="4"/>
  <c r="T354" i="4"/>
  <c r="S354" i="4"/>
  <c r="Q354" i="4"/>
  <c r="R354" i="4" s="1"/>
  <c r="DF354" i="4" s="1"/>
  <c r="P354" i="4"/>
  <c r="O354" i="4"/>
  <c r="N354" i="4"/>
  <c r="DS352" i="4"/>
  <c r="DA352" i="4"/>
  <c r="DY352" i="4" s="1"/>
  <c r="CZ352" i="4"/>
  <c r="DX352" i="4" s="1"/>
  <c r="CY352" i="4"/>
  <c r="DW352" i="4" s="1"/>
  <c r="CX352" i="4"/>
  <c r="CW352" i="4"/>
  <c r="CV352" i="4"/>
  <c r="CU352" i="4"/>
  <c r="CT352" i="4"/>
  <c r="DV352" i="4" s="1"/>
  <c r="CS352" i="4"/>
  <c r="CR352" i="4"/>
  <c r="CQ352" i="4"/>
  <c r="CP352" i="4"/>
  <c r="CO352" i="4"/>
  <c r="DU352" i="4" s="1"/>
  <c r="CN352" i="4"/>
  <c r="CM352" i="4"/>
  <c r="CL352" i="4"/>
  <c r="CK352" i="4"/>
  <c r="CJ352" i="4"/>
  <c r="DT352" i="4" s="1"/>
  <c r="CI352" i="4"/>
  <c r="CH352" i="4"/>
  <c r="CG352" i="4"/>
  <c r="CF352" i="4"/>
  <c r="CE352" i="4"/>
  <c r="CD352" i="4"/>
  <c r="CC352" i="4"/>
  <c r="CB352" i="4"/>
  <c r="CA352" i="4"/>
  <c r="BZ352" i="4"/>
  <c r="DR352" i="4" s="1"/>
  <c r="BY352" i="4"/>
  <c r="BX352" i="4"/>
  <c r="BW352" i="4"/>
  <c r="BV352" i="4"/>
  <c r="BU352" i="4"/>
  <c r="DQ352" i="4" s="1"/>
  <c r="BT352" i="4"/>
  <c r="BS352" i="4"/>
  <c r="BR352" i="4"/>
  <c r="BQ352" i="4"/>
  <c r="BP352" i="4"/>
  <c r="DP352" i="4" s="1"/>
  <c r="BO352" i="4"/>
  <c r="BN352" i="4"/>
  <c r="BM352" i="4"/>
  <c r="BL352" i="4"/>
  <c r="BK352" i="4"/>
  <c r="DO352" i="4" s="1"/>
  <c r="BJ352" i="4"/>
  <c r="BI352" i="4"/>
  <c r="BH352" i="4"/>
  <c r="BG352" i="4"/>
  <c r="BF352" i="4"/>
  <c r="DN352" i="4" s="1"/>
  <c r="BE352" i="4"/>
  <c r="BD352" i="4"/>
  <c r="BC352" i="4"/>
  <c r="BB352" i="4"/>
  <c r="BA352" i="4"/>
  <c r="DM352" i="4" s="1"/>
  <c r="AZ352" i="4"/>
  <c r="AY352" i="4"/>
  <c r="AX352" i="4"/>
  <c r="AW352" i="4"/>
  <c r="AV352" i="4"/>
  <c r="DL352" i="4" s="1"/>
  <c r="AU352" i="4"/>
  <c r="AT352" i="4"/>
  <c r="AS352" i="4"/>
  <c r="AR352" i="4"/>
  <c r="AQ352" i="4"/>
  <c r="DK352" i="4" s="1"/>
  <c r="AP352" i="4"/>
  <c r="AO352" i="4"/>
  <c r="AN352" i="4"/>
  <c r="AM352" i="4"/>
  <c r="AL352" i="4"/>
  <c r="DJ352" i="4" s="1"/>
  <c r="AK352" i="4"/>
  <c r="AJ352" i="4"/>
  <c r="AI352" i="4"/>
  <c r="AH352" i="4"/>
  <c r="AG352" i="4"/>
  <c r="DI352" i="4" s="1"/>
  <c r="AF352" i="4"/>
  <c r="AE352" i="4"/>
  <c r="AD352" i="4"/>
  <c r="AC352" i="4"/>
  <c r="AB352" i="4"/>
  <c r="DH352" i="4" s="1"/>
  <c r="AA352" i="4"/>
  <c r="Z352" i="4"/>
  <c r="Y352" i="4"/>
  <c r="X352" i="4"/>
  <c r="W352" i="4"/>
  <c r="DG352" i="4" s="1"/>
  <c r="V352" i="4"/>
  <c r="U352" i="4"/>
  <c r="T352" i="4"/>
  <c r="S352" i="4"/>
  <c r="R352" i="4"/>
  <c r="DF352" i="4" s="1"/>
  <c r="Q352" i="4"/>
  <c r="P352" i="4"/>
  <c r="O352" i="4"/>
  <c r="N352" i="4"/>
  <c r="M352" i="4"/>
  <c r="DE352" i="4" s="1"/>
  <c r="L352" i="4"/>
  <c r="K352" i="4"/>
  <c r="J352" i="4"/>
  <c r="I352" i="4"/>
  <c r="DY349" i="4"/>
  <c r="DX349" i="4"/>
  <c r="DW349" i="4"/>
  <c r="DV349" i="4"/>
  <c r="DU349" i="4"/>
  <c r="DT349" i="4"/>
  <c r="DS349" i="4"/>
  <c r="DR349" i="4"/>
  <c r="DQ349" i="4"/>
  <c r="DP349" i="4"/>
  <c r="DO349" i="4"/>
  <c r="DN349" i="4"/>
  <c r="DM349" i="4"/>
  <c r="DL349" i="4"/>
  <c r="DK349" i="4"/>
  <c r="DJ349" i="4"/>
  <c r="DI349" i="4"/>
  <c r="DH349" i="4"/>
  <c r="DG349" i="4"/>
  <c r="DF349" i="4"/>
  <c r="DE349" i="4"/>
  <c r="DL348" i="4"/>
  <c r="DK348" i="4"/>
  <c r="DJ348" i="4"/>
  <c r="DI348" i="4"/>
  <c r="DH348" i="4"/>
  <c r="DG348" i="4"/>
  <c r="DF348" i="4"/>
  <c r="DE348" i="4"/>
  <c r="DY347" i="4"/>
  <c r="DX347" i="4"/>
  <c r="DE347" i="4"/>
  <c r="BX347" i="4"/>
  <c r="BD347" i="4"/>
  <c r="CW346" i="4"/>
  <c r="CV346" i="4"/>
  <c r="CU346" i="4"/>
  <c r="CU237" i="4" s="1"/>
  <c r="CT346" i="4"/>
  <c r="CL346" i="4"/>
  <c r="CK346" i="4"/>
  <c r="CI346" i="4"/>
  <c r="CN347" i="4" s="1"/>
  <c r="CH346" i="4"/>
  <c r="CG346" i="4"/>
  <c r="CF346" i="4"/>
  <c r="CD346" i="4"/>
  <c r="CC346" i="4"/>
  <c r="CC347" i="4" s="1"/>
  <c r="CB346" i="4"/>
  <c r="CA346" i="4"/>
  <c r="BY346" i="4"/>
  <c r="BY347" i="4" s="1"/>
  <c r="BX346" i="4"/>
  <c r="BW346" i="4"/>
  <c r="BV346" i="4"/>
  <c r="BT346" i="4"/>
  <c r="BT347" i="4" s="1"/>
  <c r="BS346" i="4"/>
  <c r="BR346" i="4"/>
  <c r="BQ346" i="4"/>
  <c r="BO346" i="4"/>
  <c r="BN346" i="4"/>
  <c r="BM346" i="4"/>
  <c r="BL346" i="4"/>
  <c r="BL347" i="4" s="1"/>
  <c r="BJ346" i="4"/>
  <c r="BI346" i="4"/>
  <c r="BI347" i="4" s="1"/>
  <c r="BH346" i="4"/>
  <c r="BH347" i="4" s="1"/>
  <c r="BG346" i="4"/>
  <c r="BE346" i="4"/>
  <c r="BE347" i="4" s="1"/>
  <c r="BD346" i="4"/>
  <c r="BC346" i="4"/>
  <c r="BB346" i="4"/>
  <c r="BA346" i="4"/>
  <c r="AZ346" i="4"/>
  <c r="AZ347" i="4" s="1"/>
  <c r="AY346" i="4"/>
  <c r="AX346" i="4"/>
  <c r="AW346" i="4"/>
  <c r="AU346" i="4"/>
  <c r="AT346" i="4"/>
  <c r="AS346" i="4"/>
  <c r="AR346" i="4"/>
  <c r="AP346" i="4"/>
  <c r="AO346" i="4"/>
  <c r="AO347" i="4" s="1"/>
  <c r="AN346" i="4"/>
  <c r="AM346" i="4"/>
  <c r="AK346" i="4"/>
  <c r="AK347" i="4" s="1"/>
  <c r="AJ346" i="4"/>
  <c r="AI346" i="4"/>
  <c r="AH346" i="4"/>
  <c r="AF346" i="4"/>
  <c r="AF347" i="4" s="1"/>
  <c r="AE346" i="4"/>
  <c r="AJ347" i="4" s="1"/>
  <c r="AD346" i="4"/>
  <c r="AC346" i="4"/>
  <c r="AA346" i="4"/>
  <c r="Z346" i="4"/>
  <c r="Y346" i="4"/>
  <c r="X346" i="4"/>
  <c r="X347" i="4" s="1"/>
  <c r="V346" i="4"/>
  <c r="U346" i="4"/>
  <c r="T346" i="4"/>
  <c r="S346" i="4"/>
  <c r="N346" i="4"/>
  <c r="M346" i="4"/>
  <c r="CM344" i="4"/>
  <c r="CM346" i="4" s="1"/>
  <c r="DO343" i="4"/>
  <c r="CJ343" i="4"/>
  <c r="CJ234" i="4" s="1"/>
  <c r="CE343" i="4"/>
  <c r="BZ343" i="4"/>
  <c r="DR343" i="4" s="1"/>
  <c r="BU343" i="4"/>
  <c r="BP343" i="4"/>
  <c r="BK343" i="4"/>
  <c r="BF343" i="4"/>
  <c r="DN343" i="4" s="1"/>
  <c r="BA343" i="4"/>
  <c r="DM343" i="4" s="1"/>
  <c r="AV343" i="4"/>
  <c r="AV346" i="4" s="1"/>
  <c r="AV347" i="4" s="1"/>
  <c r="DL347" i="4" s="1"/>
  <c r="AQ343" i="4"/>
  <c r="AQ346" i="4" s="1"/>
  <c r="AL343" i="4"/>
  <c r="DJ343" i="4" s="1"/>
  <c r="AG343" i="4"/>
  <c r="DI343" i="4" s="1"/>
  <c r="AB343" i="4"/>
  <c r="AB346" i="4" s="1"/>
  <c r="AB347" i="4" s="1"/>
  <c r="DH347" i="4" s="1"/>
  <c r="W343" i="4"/>
  <c r="W346" i="4" s="1"/>
  <c r="O343" i="4"/>
  <c r="FG375" i="9" s="1"/>
  <c r="M343" i="4"/>
  <c r="BO336" i="4"/>
  <c r="BE336" i="4"/>
  <c r="AO336" i="4"/>
  <c r="BN335" i="4"/>
  <c r="BN336" i="4" s="1"/>
  <c r="BM335" i="4"/>
  <c r="BM336" i="4" s="1"/>
  <c r="BL335" i="4"/>
  <c r="BP335" i="4" s="1"/>
  <c r="DP335" i="4" s="1"/>
  <c r="BJ335" i="4"/>
  <c r="BJ336" i="4" s="1"/>
  <c r="BI335" i="4"/>
  <c r="BI336" i="4" s="1"/>
  <c r="BH335" i="4"/>
  <c r="BH336" i="4" s="1"/>
  <c r="BH337" i="4" s="1"/>
  <c r="BG335" i="4"/>
  <c r="BG336" i="4" s="1"/>
  <c r="BE335" i="4"/>
  <c r="BD335" i="4"/>
  <c r="BD336" i="4" s="1"/>
  <c r="BC335" i="4"/>
  <c r="BC336" i="4" s="1"/>
  <c r="BB335" i="4"/>
  <c r="BF335" i="4" s="1"/>
  <c r="DN335" i="4" s="1"/>
  <c r="AZ335" i="4"/>
  <c r="AZ336" i="4" s="1"/>
  <c r="AZ337" i="4" s="1"/>
  <c r="AY335" i="4"/>
  <c r="AY336" i="4" s="1"/>
  <c r="AX335" i="4"/>
  <c r="AX336" i="4" s="1"/>
  <c r="AW335" i="4"/>
  <c r="AU335" i="4"/>
  <c r="AU336" i="4" s="1"/>
  <c r="AT335" i="4"/>
  <c r="AT336" i="4" s="1"/>
  <c r="AT337" i="4" s="1"/>
  <c r="AS335" i="4"/>
  <c r="AS336" i="4" s="1"/>
  <c r="AR335" i="4"/>
  <c r="AV335" i="4" s="1"/>
  <c r="DL335" i="4" s="1"/>
  <c r="AP335" i="4"/>
  <c r="AP336" i="4" s="1"/>
  <c r="AU337" i="4" s="1"/>
  <c r="AN335" i="4"/>
  <c r="AN336" i="4" s="1"/>
  <c r="AM335" i="4"/>
  <c r="AM336" i="4" s="1"/>
  <c r="DL338" i="4"/>
  <c r="DK338" i="4"/>
  <c r="DJ338" i="4"/>
  <c r="DI338" i="4"/>
  <c r="DH338" i="4"/>
  <c r="DG338" i="4"/>
  <c r="DF338" i="4"/>
  <c r="DE338" i="4"/>
  <c r="DY337" i="4"/>
  <c r="DX337" i="4"/>
  <c r="DW337" i="4"/>
  <c r="DV337" i="4"/>
  <c r="DU337" i="4"/>
  <c r="DT337" i="4"/>
  <c r="DS337" i="4"/>
  <c r="DR337" i="4"/>
  <c r="DQ337" i="4"/>
  <c r="DK337" i="4"/>
  <c r="DJ337" i="4"/>
  <c r="DI337" i="4"/>
  <c r="DH337" i="4"/>
  <c r="DG337" i="4"/>
  <c r="DF337" i="4"/>
  <c r="DE337" i="4"/>
  <c r="DY336" i="4"/>
  <c r="DX336" i="4"/>
  <c r="DW336" i="4"/>
  <c r="DV336" i="4"/>
  <c r="DU336" i="4"/>
  <c r="DT336" i="4"/>
  <c r="DS336" i="4"/>
  <c r="DR336" i="4"/>
  <c r="DQ336" i="4"/>
  <c r="DJ336" i="4"/>
  <c r="DI336" i="4"/>
  <c r="DH336" i="4"/>
  <c r="DG336" i="4"/>
  <c r="DF336" i="4"/>
  <c r="DE336" i="4"/>
  <c r="DY335" i="4"/>
  <c r="DX335" i="4"/>
  <c r="DW335" i="4"/>
  <c r="DV335" i="4"/>
  <c r="DU335" i="4"/>
  <c r="DT335" i="4"/>
  <c r="DS335" i="4"/>
  <c r="DR335" i="4"/>
  <c r="DQ335" i="4"/>
  <c r="DJ335" i="4"/>
  <c r="DI335" i="4"/>
  <c r="DH335" i="4"/>
  <c r="DG335" i="4"/>
  <c r="DF335" i="4"/>
  <c r="DE335" i="4"/>
  <c r="DE334" i="4"/>
  <c r="CN334" i="4"/>
  <c r="BW334" i="4"/>
  <c r="CL333" i="4"/>
  <c r="CK333" i="4"/>
  <c r="CI333" i="4"/>
  <c r="CI334" i="4" s="1"/>
  <c r="CH333" i="4"/>
  <c r="CG333" i="4"/>
  <c r="CF333" i="4"/>
  <c r="CD333" i="4"/>
  <c r="CC333" i="4"/>
  <c r="CB333" i="4"/>
  <c r="CB334" i="4" s="1"/>
  <c r="CA333" i="4"/>
  <c r="CA334" i="4" s="1"/>
  <c r="BY333" i="4"/>
  <c r="BX333" i="4"/>
  <c r="BX334" i="4" s="1"/>
  <c r="BW333" i="4"/>
  <c r="BV333" i="4"/>
  <c r="BT333" i="4"/>
  <c r="BT334" i="4" s="1"/>
  <c r="BS333" i="4"/>
  <c r="BR333" i="4"/>
  <c r="BQ333" i="4"/>
  <c r="BO334" i="4"/>
  <c r="BD334" i="4"/>
  <c r="AN334" i="4"/>
  <c r="X334" i="4"/>
  <c r="BO333" i="4"/>
  <c r="BN333" i="4"/>
  <c r="BM333" i="4"/>
  <c r="BL333" i="4"/>
  <c r="BL334" i="4" s="1"/>
  <c r="BJ333" i="4"/>
  <c r="BI333" i="4"/>
  <c r="BI334" i="4" s="1"/>
  <c r="BH333" i="4"/>
  <c r="BH334" i="4" s="1"/>
  <c r="BG333" i="4"/>
  <c r="BG334" i="4" s="1"/>
  <c r="BE333" i="4"/>
  <c r="BE334" i="4" s="1"/>
  <c r="BD333" i="4"/>
  <c r="BC333" i="4"/>
  <c r="BC334" i="4" s="1"/>
  <c r="BB333" i="4"/>
  <c r="BA333" i="4"/>
  <c r="AZ333" i="4"/>
  <c r="AZ334" i="4" s="1"/>
  <c r="AY333" i="4"/>
  <c r="AX333" i="4"/>
  <c r="AW333" i="4"/>
  <c r="AU333" i="4"/>
  <c r="AT333" i="4"/>
  <c r="AS333" i="4"/>
  <c r="AR333" i="4"/>
  <c r="AP333" i="4"/>
  <c r="AO333" i="4"/>
  <c r="AN333" i="4"/>
  <c r="AM333" i="4"/>
  <c r="AK333" i="4"/>
  <c r="AJ333" i="4"/>
  <c r="AI333" i="4"/>
  <c r="AH333" i="4"/>
  <c r="AF333" i="4"/>
  <c r="AF334" i="4" s="1"/>
  <c r="AE333" i="4"/>
  <c r="AD333" i="4"/>
  <c r="AC333" i="4"/>
  <c r="AA333" i="4"/>
  <c r="AA334" i="4" s="1"/>
  <c r="Z333" i="4"/>
  <c r="Y333" i="4"/>
  <c r="X333" i="4"/>
  <c r="V333" i="4"/>
  <c r="U333" i="4"/>
  <c r="U334" i="4" s="1"/>
  <c r="T333" i="4"/>
  <c r="T334" i="4" s="1"/>
  <c r="S333" i="4"/>
  <c r="S334" i="4" s="1"/>
  <c r="Q333" i="4"/>
  <c r="P333" i="4"/>
  <c r="O333" i="4"/>
  <c r="N333" i="4"/>
  <c r="M333" i="4"/>
  <c r="CM331" i="4"/>
  <c r="CM333" i="4" s="1"/>
  <c r="DE330" i="4"/>
  <c r="CJ330" i="4"/>
  <c r="CE330" i="4"/>
  <c r="CE333" i="4" s="1"/>
  <c r="BZ330" i="4"/>
  <c r="BU330" i="4"/>
  <c r="BP330" i="4"/>
  <c r="BK330" i="4"/>
  <c r="BF330" i="4"/>
  <c r="BF333" i="4" s="1"/>
  <c r="BA330" i="4"/>
  <c r="BA223" i="4" s="1"/>
  <c r="AV330" i="4"/>
  <c r="AV333" i="4" s="1"/>
  <c r="AQ330" i="4"/>
  <c r="DK330" i="4" s="1"/>
  <c r="AL330" i="4"/>
  <c r="DJ330" i="4" s="1"/>
  <c r="AG330" i="4"/>
  <c r="AB330" i="4"/>
  <c r="AB333" i="4" s="1"/>
  <c r="AB334" i="4" s="1"/>
  <c r="DH334" i="4" s="1"/>
  <c r="W330" i="4"/>
  <c r="W333" i="4" s="1"/>
  <c r="R330" i="4"/>
  <c r="DF330" i="4" s="1"/>
  <c r="DM328" i="4"/>
  <c r="DL328" i="4"/>
  <c r="DK328" i="4"/>
  <c r="DJ328" i="4"/>
  <c r="DI328" i="4"/>
  <c r="DH328" i="4"/>
  <c r="DG328" i="4"/>
  <c r="DF328" i="4"/>
  <c r="DE328" i="4"/>
  <c r="DL327" i="4"/>
  <c r="DK327" i="4"/>
  <c r="DJ327" i="4"/>
  <c r="DI327" i="4"/>
  <c r="DH327" i="4"/>
  <c r="DG327" i="4"/>
  <c r="DF327" i="4"/>
  <c r="DE327" i="4"/>
  <c r="DL326" i="4"/>
  <c r="DK326" i="4"/>
  <c r="DJ326" i="4"/>
  <c r="DI326" i="4"/>
  <c r="DH326" i="4"/>
  <c r="DG326" i="4"/>
  <c r="DF326" i="4"/>
  <c r="DE326" i="4"/>
  <c r="DL325" i="4"/>
  <c r="DK325" i="4"/>
  <c r="DJ325" i="4"/>
  <c r="DI325" i="4"/>
  <c r="DH325" i="4"/>
  <c r="DG325" i="4"/>
  <c r="DF325" i="4"/>
  <c r="DE325" i="4"/>
  <c r="CZ325" i="4"/>
  <c r="CX325" i="4"/>
  <c r="CW325" i="4"/>
  <c r="CV325" i="4"/>
  <c r="CU325" i="4"/>
  <c r="CS325" i="4"/>
  <c r="CR325" i="4"/>
  <c r="CQ325" i="4"/>
  <c r="CP325" i="4"/>
  <c r="CN325" i="4"/>
  <c r="CM325" i="4"/>
  <c r="CL325" i="4"/>
  <c r="CK325" i="4"/>
  <c r="CI325" i="4"/>
  <c r="CH325" i="4"/>
  <c r="CG325" i="4"/>
  <c r="CF325" i="4"/>
  <c r="CD325" i="4"/>
  <c r="CC325" i="4"/>
  <c r="CB325" i="4"/>
  <c r="CA325" i="4"/>
  <c r="BY325" i="4"/>
  <c r="BX325" i="4"/>
  <c r="BW325" i="4"/>
  <c r="BV325" i="4"/>
  <c r="DL322" i="4"/>
  <c r="DK322" i="4"/>
  <c r="DJ322" i="4"/>
  <c r="DI322" i="4"/>
  <c r="DH322" i="4"/>
  <c r="DG322" i="4"/>
  <c r="DF322" i="4"/>
  <c r="DE322" i="4"/>
  <c r="DL321" i="4"/>
  <c r="DK321" i="4"/>
  <c r="DJ321" i="4"/>
  <c r="DI321" i="4"/>
  <c r="DH321" i="4"/>
  <c r="DG321" i="4"/>
  <c r="DF321" i="4"/>
  <c r="DE321" i="4"/>
  <c r="DM318" i="4"/>
  <c r="DL318" i="4"/>
  <c r="DK318" i="4"/>
  <c r="DJ318" i="4"/>
  <c r="DI318" i="4"/>
  <c r="DH318" i="4"/>
  <c r="DG318" i="4"/>
  <c r="DF318" i="4"/>
  <c r="DE318" i="4"/>
  <c r="DM317" i="4"/>
  <c r="DL317" i="4"/>
  <c r="DK317" i="4"/>
  <c r="DJ317" i="4"/>
  <c r="DI317" i="4"/>
  <c r="DH317" i="4"/>
  <c r="DG317" i="4"/>
  <c r="DF317" i="4"/>
  <c r="DE317" i="4"/>
  <c r="CN318" i="4"/>
  <c r="CY317" i="4"/>
  <c r="DW317" i="4" s="1"/>
  <c r="CX317" i="4"/>
  <c r="CW317" i="4"/>
  <c r="CV317" i="4"/>
  <c r="CU317" i="4"/>
  <c r="CT317" i="4"/>
  <c r="DV317" i="4" s="1"/>
  <c r="CS317" i="4"/>
  <c r="CR317" i="4"/>
  <c r="CQ317" i="4"/>
  <c r="CP317" i="4"/>
  <c r="CO317" i="4"/>
  <c r="DU317" i="4" s="1"/>
  <c r="CN317" i="4"/>
  <c r="CM317" i="4"/>
  <c r="CL317" i="4"/>
  <c r="CK317" i="4"/>
  <c r="CJ317" i="4"/>
  <c r="DT317" i="4" s="1"/>
  <c r="CI317" i="4"/>
  <c r="CH317" i="4"/>
  <c r="CG317" i="4"/>
  <c r="CF317" i="4"/>
  <c r="CE317" i="4"/>
  <c r="DS317" i="4" s="1"/>
  <c r="CD317" i="4"/>
  <c r="CC317" i="4"/>
  <c r="CB317" i="4"/>
  <c r="CA317" i="4"/>
  <c r="CO309" i="4"/>
  <c r="CJ309" i="4"/>
  <c r="CE309" i="4"/>
  <c r="DY305" i="4"/>
  <c r="DX305" i="4"/>
  <c r="DW305" i="4"/>
  <c r="DV305" i="4"/>
  <c r="DU305" i="4"/>
  <c r="DT305" i="4"/>
  <c r="DS305" i="4"/>
  <c r="DR305" i="4"/>
  <c r="DQ305" i="4"/>
  <c r="DP305" i="4"/>
  <c r="DO305" i="4"/>
  <c r="DN305" i="4"/>
  <c r="DM305" i="4"/>
  <c r="DL305" i="4"/>
  <c r="DK305" i="4"/>
  <c r="DJ305" i="4"/>
  <c r="DI305" i="4"/>
  <c r="DH305" i="4"/>
  <c r="DG305" i="4"/>
  <c r="DF305" i="4"/>
  <c r="DE305" i="4"/>
  <c r="DY304" i="4"/>
  <c r="DX304" i="4"/>
  <c r="DW304" i="4"/>
  <c r="DV304" i="4"/>
  <c r="DT304" i="4"/>
  <c r="DP304" i="4"/>
  <c r="DO304" i="4"/>
  <c r="DN304" i="4"/>
  <c r="DM304" i="4"/>
  <c r="DL304" i="4"/>
  <c r="DK304" i="4"/>
  <c r="DJ304" i="4"/>
  <c r="DI304" i="4"/>
  <c r="DH304" i="4"/>
  <c r="DG304" i="4"/>
  <c r="DF304" i="4"/>
  <c r="DE304" i="4"/>
  <c r="CO304" i="4"/>
  <c r="DU304" i="4" s="1"/>
  <c r="CJ304" i="4"/>
  <c r="CE304" i="4"/>
  <c r="DS304" i="4" s="1"/>
  <c r="BZ304" i="4"/>
  <c r="DR304" i="4" s="1"/>
  <c r="BU304" i="4"/>
  <c r="DQ304" i="4" s="1"/>
  <c r="DY301" i="4"/>
  <c r="DX301" i="4"/>
  <c r="DW301" i="4"/>
  <c r="DV301" i="4"/>
  <c r="DU301" i="4"/>
  <c r="DM301" i="4"/>
  <c r="DL301" i="4"/>
  <c r="DK301" i="4"/>
  <c r="DJ301" i="4"/>
  <c r="DI301" i="4"/>
  <c r="DH301" i="4"/>
  <c r="DG301" i="4"/>
  <c r="DF301" i="4"/>
  <c r="DE301" i="4"/>
  <c r="DY300" i="4"/>
  <c r="DX300" i="4"/>
  <c r="DW300" i="4"/>
  <c r="DV300" i="4"/>
  <c r="DU300" i="4"/>
  <c r="DM300" i="4"/>
  <c r="DL300" i="4"/>
  <c r="DK300" i="4"/>
  <c r="DJ300" i="4"/>
  <c r="DI300" i="4"/>
  <c r="DH300" i="4"/>
  <c r="DG300" i="4"/>
  <c r="DF300" i="4"/>
  <c r="DE300" i="4"/>
  <c r="CJ301" i="4"/>
  <c r="DT301" i="4" s="1"/>
  <c r="CI301" i="4"/>
  <c r="CH301" i="4"/>
  <c r="CG301" i="4"/>
  <c r="CF301" i="4"/>
  <c r="CE301" i="4"/>
  <c r="DS301" i="4" s="1"/>
  <c r="CC301" i="4"/>
  <c r="CB301" i="4"/>
  <c r="CA301" i="4"/>
  <c r="BZ301" i="4"/>
  <c r="DR301" i="4" s="1"/>
  <c r="BX301" i="4"/>
  <c r="BW301" i="4"/>
  <c r="BV301" i="4"/>
  <c r="BU301" i="4"/>
  <c r="DQ301" i="4" s="1"/>
  <c r="BT301" i="4"/>
  <c r="BS301" i="4"/>
  <c r="BR301" i="4"/>
  <c r="BQ301" i="4"/>
  <c r="BP301" i="4"/>
  <c r="DP301" i="4" s="1"/>
  <c r="BO301" i="4"/>
  <c r="BN301" i="4"/>
  <c r="BM301" i="4"/>
  <c r="BL301" i="4"/>
  <c r="BK301" i="4"/>
  <c r="DO301" i="4" s="1"/>
  <c r="BJ301" i="4"/>
  <c r="BI301" i="4"/>
  <c r="BH301" i="4"/>
  <c r="BG301" i="4"/>
  <c r="BF301" i="4"/>
  <c r="DN301" i="4" s="1"/>
  <c r="BE301" i="4"/>
  <c r="BD301" i="4"/>
  <c r="BC301" i="4"/>
  <c r="BB301" i="4"/>
  <c r="CM300" i="4"/>
  <c r="CL300" i="4"/>
  <c r="CK300" i="4"/>
  <c r="CJ300" i="4"/>
  <c r="DT300" i="4" s="1"/>
  <c r="CI300" i="4"/>
  <c r="CH300" i="4"/>
  <c r="CG300" i="4"/>
  <c r="CF300" i="4"/>
  <c r="CE300" i="4"/>
  <c r="DS300" i="4" s="1"/>
  <c r="CD300" i="4"/>
  <c r="CC300" i="4"/>
  <c r="CB300" i="4"/>
  <c r="CA300" i="4"/>
  <c r="BY300" i="4"/>
  <c r="BX300" i="4"/>
  <c r="BW300" i="4"/>
  <c r="BV300" i="4"/>
  <c r="DF297" i="4"/>
  <c r="DE297" i="4"/>
  <c r="DF296" i="4"/>
  <c r="DE296" i="4"/>
  <c r="DA297" i="4"/>
  <c r="DY297" i="4" s="1"/>
  <c r="CZ297" i="4"/>
  <c r="DX297" i="4" s="1"/>
  <c r="CY297" i="4"/>
  <c r="DW297" i="4" s="1"/>
  <c r="CX297" i="4"/>
  <c r="CW297" i="4"/>
  <c r="CV297" i="4"/>
  <c r="CU297" i="4"/>
  <c r="CT297" i="4"/>
  <c r="DV297" i="4" s="1"/>
  <c r="CS297" i="4"/>
  <c r="CR297" i="4"/>
  <c r="CQ297" i="4"/>
  <c r="CP297" i="4"/>
  <c r="CO297" i="4"/>
  <c r="DU297" i="4" s="1"/>
  <c r="CN297" i="4"/>
  <c r="CM297" i="4"/>
  <c r="CL297" i="4"/>
  <c r="CK297" i="4"/>
  <c r="CJ297" i="4"/>
  <c r="DT297" i="4" s="1"/>
  <c r="CI297" i="4"/>
  <c r="CH297" i="4"/>
  <c r="CG297" i="4"/>
  <c r="CF297" i="4"/>
  <c r="CE297" i="4"/>
  <c r="DS297" i="4" s="1"/>
  <c r="CD297" i="4"/>
  <c r="CC297" i="4"/>
  <c r="CB297" i="4"/>
  <c r="CA297" i="4"/>
  <c r="BZ297" i="4"/>
  <c r="DR297" i="4" s="1"/>
  <c r="BY297" i="4"/>
  <c r="BX297" i="4"/>
  <c r="BW297" i="4"/>
  <c r="BV297" i="4"/>
  <c r="BU297" i="4"/>
  <c r="DQ297" i="4" s="1"/>
  <c r="BT297" i="4"/>
  <c r="BS297" i="4"/>
  <c r="BR297" i="4"/>
  <c r="BQ297" i="4"/>
  <c r="BP297" i="4"/>
  <c r="DP297" i="4" s="1"/>
  <c r="BO297" i="4"/>
  <c r="BN297" i="4"/>
  <c r="BM297" i="4"/>
  <c r="BL297" i="4"/>
  <c r="BK297" i="4"/>
  <c r="DO297" i="4" s="1"/>
  <c r="BJ297" i="4"/>
  <c r="BI297" i="4"/>
  <c r="BH297" i="4"/>
  <c r="BG297" i="4"/>
  <c r="BF297" i="4"/>
  <c r="DN297" i="4" s="1"/>
  <c r="BE297" i="4"/>
  <c r="BD297" i="4"/>
  <c r="BC297" i="4"/>
  <c r="BB297" i="4"/>
  <c r="BA297" i="4"/>
  <c r="DM297" i="4" s="1"/>
  <c r="AZ297" i="4"/>
  <c r="AY297" i="4"/>
  <c r="AX297" i="4"/>
  <c r="AW297" i="4"/>
  <c r="AV297" i="4"/>
  <c r="DL297" i="4" s="1"/>
  <c r="AU297" i="4"/>
  <c r="AT297" i="4"/>
  <c r="AS297" i="4"/>
  <c r="AR297" i="4"/>
  <c r="AQ297" i="4"/>
  <c r="DK297" i="4" s="1"/>
  <c r="AP297" i="4"/>
  <c r="AO297" i="4"/>
  <c r="AN297" i="4"/>
  <c r="AM297" i="4"/>
  <c r="AL297" i="4"/>
  <c r="DJ297" i="4" s="1"/>
  <c r="AK297" i="4"/>
  <c r="AJ297" i="4"/>
  <c r="AI297" i="4"/>
  <c r="AH297" i="4"/>
  <c r="AG297" i="4"/>
  <c r="DI297" i="4" s="1"/>
  <c r="AF297" i="4"/>
  <c r="AE297" i="4"/>
  <c r="AD297" i="4"/>
  <c r="AC297" i="4"/>
  <c r="AB297" i="4"/>
  <c r="DH297" i="4" s="1"/>
  <c r="AA297" i="4"/>
  <c r="Z297" i="4"/>
  <c r="Y297" i="4"/>
  <c r="X297" i="4"/>
  <c r="W297" i="4"/>
  <c r="DG297" i="4" s="1"/>
  <c r="V297" i="4"/>
  <c r="U297" i="4"/>
  <c r="T297" i="4"/>
  <c r="S297" i="4"/>
  <c r="DA296" i="4"/>
  <c r="DY296" i="4" s="1"/>
  <c r="CZ296" i="4"/>
  <c r="DX296" i="4" s="1"/>
  <c r="CY296" i="4"/>
  <c r="DW296" i="4" s="1"/>
  <c r="CX296" i="4"/>
  <c r="CW296" i="4"/>
  <c r="CV296" i="4"/>
  <c r="CU296" i="4"/>
  <c r="CT296" i="4"/>
  <c r="DV296" i="4" s="1"/>
  <c r="CS296" i="4"/>
  <c r="CR296" i="4"/>
  <c r="CQ296" i="4"/>
  <c r="CP296" i="4"/>
  <c r="CO296" i="4"/>
  <c r="DU296" i="4" s="1"/>
  <c r="CN296" i="4"/>
  <c r="CM296" i="4"/>
  <c r="CL296" i="4"/>
  <c r="CK296" i="4"/>
  <c r="CJ296" i="4"/>
  <c r="DT296" i="4" s="1"/>
  <c r="CI296" i="4"/>
  <c r="CH296" i="4"/>
  <c r="CG296" i="4"/>
  <c r="CF296" i="4"/>
  <c r="CE296" i="4"/>
  <c r="DS296" i="4" s="1"/>
  <c r="CD296" i="4"/>
  <c r="CC296" i="4"/>
  <c r="CB296" i="4"/>
  <c r="CA296" i="4"/>
  <c r="BZ296" i="4"/>
  <c r="DR296" i="4" s="1"/>
  <c r="BY296" i="4"/>
  <c r="BX296" i="4"/>
  <c r="BW296" i="4"/>
  <c r="BV296" i="4"/>
  <c r="BU296" i="4"/>
  <c r="DQ296" i="4" s="1"/>
  <c r="BT296" i="4"/>
  <c r="BS296" i="4"/>
  <c r="BR296" i="4"/>
  <c r="BQ296" i="4"/>
  <c r="BP296" i="4"/>
  <c r="DP296" i="4" s="1"/>
  <c r="BO296" i="4"/>
  <c r="BN296" i="4"/>
  <c r="BM296" i="4"/>
  <c r="BL296" i="4"/>
  <c r="BK296" i="4"/>
  <c r="DO296" i="4" s="1"/>
  <c r="BJ296" i="4"/>
  <c r="BI296" i="4"/>
  <c r="BH296" i="4"/>
  <c r="BG296" i="4"/>
  <c r="BF296" i="4"/>
  <c r="DN296" i="4" s="1"/>
  <c r="BE296" i="4"/>
  <c r="BD296" i="4"/>
  <c r="BC296" i="4"/>
  <c r="BB296" i="4"/>
  <c r="BA296" i="4"/>
  <c r="DM296" i="4" s="1"/>
  <c r="AZ296" i="4"/>
  <c r="AY296" i="4"/>
  <c r="AX296" i="4"/>
  <c r="AW296" i="4"/>
  <c r="AV296" i="4"/>
  <c r="DL296" i="4" s="1"/>
  <c r="AU296" i="4"/>
  <c r="AT296" i="4"/>
  <c r="AS296" i="4"/>
  <c r="AR296" i="4"/>
  <c r="AQ296" i="4"/>
  <c r="DK296" i="4" s="1"/>
  <c r="AP296" i="4"/>
  <c r="AO296" i="4"/>
  <c r="AN296" i="4"/>
  <c r="AM296" i="4"/>
  <c r="AL296" i="4"/>
  <c r="DJ296" i="4" s="1"/>
  <c r="AK296" i="4"/>
  <c r="AJ296" i="4"/>
  <c r="AI296" i="4"/>
  <c r="AH296" i="4"/>
  <c r="AG296" i="4"/>
  <c r="DI296" i="4" s="1"/>
  <c r="AF296" i="4"/>
  <c r="AE296" i="4"/>
  <c r="AD296" i="4"/>
  <c r="AC296" i="4"/>
  <c r="AB296" i="4"/>
  <c r="DH296" i="4" s="1"/>
  <c r="AA296" i="4"/>
  <c r="Z296" i="4"/>
  <c r="Y296" i="4"/>
  <c r="X296" i="4"/>
  <c r="W296" i="4"/>
  <c r="DG296" i="4" s="1"/>
  <c r="V296" i="4"/>
  <c r="U296" i="4"/>
  <c r="T296" i="4"/>
  <c r="S296" i="4"/>
  <c r="DE294" i="4"/>
  <c r="DE293" i="4"/>
  <c r="DE292" i="4"/>
  <c r="DE291" i="4"/>
  <c r="DA292" i="4"/>
  <c r="DY292" i="4" s="1"/>
  <c r="CZ292" i="4"/>
  <c r="DX292" i="4" s="1"/>
  <c r="CY292" i="4"/>
  <c r="DW292" i="4" s="1"/>
  <c r="CX292" i="4"/>
  <c r="CW292" i="4"/>
  <c r="CV292" i="4"/>
  <c r="CU292" i="4"/>
  <c r="CT292" i="4"/>
  <c r="DV292" i="4" s="1"/>
  <c r="CS292" i="4"/>
  <c r="CR292" i="4"/>
  <c r="CQ292" i="4"/>
  <c r="CP292" i="4"/>
  <c r="CO292" i="4"/>
  <c r="DU292" i="4" s="1"/>
  <c r="CN292" i="4"/>
  <c r="CM292" i="4"/>
  <c r="CL292" i="4"/>
  <c r="CK292" i="4"/>
  <c r="CJ292" i="4"/>
  <c r="DT292" i="4" s="1"/>
  <c r="CI292" i="4"/>
  <c r="CH292" i="4"/>
  <c r="CG292" i="4"/>
  <c r="CF292" i="4"/>
  <c r="CE292" i="4"/>
  <c r="CD292" i="4"/>
  <c r="CC292" i="4"/>
  <c r="CB292" i="4"/>
  <c r="CA292" i="4"/>
  <c r="BZ292" i="4"/>
  <c r="BY292" i="4"/>
  <c r="BX292" i="4"/>
  <c r="BW292" i="4"/>
  <c r="BV292" i="4"/>
  <c r="BU292" i="4"/>
  <c r="DQ292" i="4" s="1"/>
  <c r="BT292" i="4"/>
  <c r="BS292" i="4"/>
  <c r="BR292" i="4"/>
  <c r="BQ292" i="4"/>
  <c r="BP292" i="4"/>
  <c r="DP292" i="4" s="1"/>
  <c r="BO292" i="4"/>
  <c r="BN292" i="4"/>
  <c r="BM292" i="4"/>
  <c r="BL292" i="4"/>
  <c r="BK292" i="4"/>
  <c r="DO292" i="4" s="1"/>
  <c r="BJ292" i="4"/>
  <c r="BI292" i="4"/>
  <c r="BH292" i="4"/>
  <c r="BG292" i="4"/>
  <c r="BF292" i="4"/>
  <c r="DN292" i="4" s="1"/>
  <c r="BE292" i="4"/>
  <c r="BD292" i="4"/>
  <c r="BC292" i="4"/>
  <c r="BB292" i="4"/>
  <c r="BA292" i="4"/>
  <c r="DM292" i="4" s="1"/>
  <c r="AZ292" i="4"/>
  <c r="AY292" i="4"/>
  <c r="AX292" i="4"/>
  <c r="AW292" i="4"/>
  <c r="AV292" i="4"/>
  <c r="DL292" i="4" s="1"/>
  <c r="AU292" i="4"/>
  <c r="AT292" i="4"/>
  <c r="AS292" i="4"/>
  <c r="AR292" i="4"/>
  <c r="AQ292" i="4"/>
  <c r="AP292" i="4"/>
  <c r="AO292" i="4"/>
  <c r="AN292" i="4"/>
  <c r="AM292" i="4"/>
  <c r="AL292" i="4"/>
  <c r="AK292" i="4"/>
  <c r="AJ292" i="4"/>
  <c r="AI292" i="4"/>
  <c r="AH292" i="4"/>
  <c r="AG292" i="4"/>
  <c r="DI292" i="4" s="1"/>
  <c r="AF292" i="4"/>
  <c r="AE292" i="4"/>
  <c r="AD292" i="4"/>
  <c r="AC292" i="4"/>
  <c r="AB292" i="4"/>
  <c r="DH292" i="4" s="1"/>
  <c r="AA292" i="4"/>
  <c r="Z292" i="4"/>
  <c r="Y292" i="4"/>
  <c r="X292" i="4"/>
  <c r="W292" i="4"/>
  <c r="DG292" i="4" s="1"/>
  <c r="V292" i="4"/>
  <c r="U292" i="4"/>
  <c r="T292" i="4"/>
  <c r="S292" i="4"/>
  <c r="R292" i="4"/>
  <c r="Q292" i="4"/>
  <c r="P292" i="4"/>
  <c r="O292" i="4"/>
  <c r="N292" i="4"/>
  <c r="DA291" i="4"/>
  <c r="DY291" i="4" s="1"/>
  <c r="CZ291" i="4"/>
  <c r="CZ293" i="4" s="1"/>
  <c r="DX293" i="4" s="1"/>
  <c r="CY291" i="4"/>
  <c r="CX291" i="4"/>
  <c r="CX293" i="4" s="1"/>
  <c r="CW291" i="4"/>
  <c r="CW293" i="4" s="1"/>
  <c r="CV291" i="4"/>
  <c r="CV293" i="4" s="1"/>
  <c r="CU291" i="4"/>
  <c r="CU293" i="4" s="1"/>
  <c r="CT291" i="4"/>
  <c r="DV291" i="4" s="1"/>
  <c r="CS291" i="4"/>
  <c r="CS293" i="4" s="1"/>
  <c r="CR291" i="4"/>
  <c r="CR293" i="4" s="1"/>
  <c r="CQ291" i="4"/>
  <c r="CQ293" i="4" s="1"/>
  <c r="CP291" i="4"/>
  <c r="CP293" i="4" s="1"/>
  <c r="CO291" i="4"/>
  <c r="DU291" i="4" s="1"/>
  <c r="CN291" i="4"/>
  <c r="CN293" i="4" s="1"/>
  <c r="CM291" i="4"/>
  <c r="CM293" i="4" s="1"/>
  <c r="CL291" i="4"/>
  <c r="CL293" i="4" s="1"/>
  <c r="CK291" i="4"/>
  <c r="CK293" i="4" s="1"/>
  <c r="CJ291" i="4"/>
  <c r="DT291" i="4" s="1"/>
  <c r="CI291" i="4"/>
  <c r="CI293" i="4" s="1"/>
  <c r="CH291" i="4"/>
  <c r="CH293" i="4" s="1"/>
  <c r="CG291" i="4"/>
  <c r="CG293" i="4" s="1"/>
  <c r="CF291" i="4"/>
  <c r="CF293" i="4" s="1"/>
  <c r="CE291" i="4"/>
  <c r="CD291" i="4"/>
  <c r="CD293" i="4" s="1"/>
  <c r="CC291" i="4"/>
  <c r="CC293" i="4" s="1"/>
  <c r="CB291" i="4"/>
  <c r="CB293" i="4" s="1"/>
  <c r="CA291" i="4"/>
  <c r="CA293" i="4" s="1"/>
  <c r="BZ291" i="4"/>
  <c r="DR291" i="4" s="1"/>
  <c r="BY291" i="4"/>
  <c r="BY293" i="4" s="1"/>
  <c r="BX291" i="4"/>
  <c r="BX293" i="4" s="1"/>
  <c r="BW291" i="4"/>
  <c r="BW293" i="4" s="1"/>
  <c r="BV291" i="4"/>
  <c r="BV293" i="4" s="1"/>
  <c r="BU291" i="4"/>
  <c r="DQ291" i="4" s="1"/>
  <c r="BT291" i="4"/>
  <c r="BT293" i="4" s="1"/>
  <c r="BS291" i="4"/>
  <c r="BS293" i="4" s="1"/>
  <c r="BR291" i="4"/>
  <c r="BR293" i="4" s="1"/>
  <c r="BQ291" i="4"/>
  <c r="BQ293" i="4" s="1"/>
  <c r="BP291" i="4"/>
  <c r="DP291" i="4" s="1"/>
  <c r="BO291" i="4"/>
  <c r="BO293" i="4" s="1"/>
  <c r="BN291" i="4"/>
  <c r="BN293" i="4" s="1"/>
  <c r="BM291" i="4"/>
  <c r="BM293" i="4" s="1"/>
  <c r="BL291" i="4"/>
  <c r="BL293" i="4" s="1"/>
  <c r="BK291" i="4"/>
  <c r="BJ291" i="4"/>
  <c r="BJ293" i="4" s="1"/>
  <c r="BI291" i="4"/>
  <c r="BI293" i="4" s="1"/>
  <c r="BH291" i="4"/>
  <c r="BH293" i="4" s="1"/>
  <c r="BG291" i="4"/>
  <c r="BG293" i="4" s="1"/>
  <c r="BF291" i="4"/>
  <c r="DN291" i="4" s="1"/>
  <c r="BE291" i="4"/>
  <c r="BE293" i="4" s="1"/>
  <c r="BD291" i="4"/>
  <c r="BD293" i="4" s="1"/>
  <c r="BC291" i="4"/>
  <c r="BC293" i="4" s="1"/>
  <c r="BB291" i="4"/>
  <c r="BB293" i="4" s="1"/>
  <c r="BA291" i="4"/>
  <c r="DM291" i="4" s="1"/>
  <c r="AZ291" i="4"/>
  <c r="AZ293" i="4" s="1"/>
  <c r="AY291" i="4"/>
  <c r="AY293" i="4" s="1"/>
  <c r="AX291" i="4"/>
  <c r="AX293" i="4" s="1"/>
  <c r="AW291" i="4"/>
  <c r="AW293" i="4" s="1"/>
  <c r="AV291" i="4"/>
  <c r="DL291" i="4" s="1"/>
  <c r="AU291" i="4"/>
  <c r="AU293" i="4" s="1"/>
  <c r="AT291" i="4"/>
  <c r="AT293" i="4" s="1"/>
  <c r="AS291" i="4"/>
  <c r="AS293" i="4" s="1"/>
  <c r="AR291" i="4"/>
  <c r="AR293" i="4" s="1"/>
  <c r="AQ291" i="4"/>
  <c r="AP291" i="4"/>
  <c r="AP293" i="4" s="1"/>
  <c r="AO291" i="4"/>
  <c r="AO293" i="4" s="1"/>
  <c r="AN291" i="4"/>
  <c r="AN293" i="4" s="1"/>
  <c r="AM291" i="4"/>
  <c r="AM293" i="4" s="1"/>
  <c r="AL291" i="4"/>
  <c r="DJ291" i="4" s="1"/>
  <c r="AK291" i="4"/>
  <c r="AK293" i="4" s="1"/>
  <c r="AJ291" i="4"/>
  <c r="AJ293" i="4" s="1"/>
  <c r="AI291" i="4"/>
  <c r="AI293" i="4" s="1"/>
  <c r="AH291" i="4"/>
  <c r="AH293" i="4" s="1"/>
  <c r="AG291" i="4"/>
  <c r="DI291" i="4" s="1"/>
  <c r="AF291" i="4"/>
  <c r="AF293" i="4" s="1"/>
  <c r="AE291" i="4"/>
  <c r="AE293" i="4" s="1"/>
  <c r="AD291" i="4"/>
  <c r="AD293" i="4" s="1"/>
  <c r="AC291" i="4"/>
  <c r="AC293" i="4" s="1"/>
  <c r="AB291" i="4"/>
  <c r="DH291" i="4" s="1"/>
  <c r="AA291" i="4"/>
  <c r="AA293" i="4" s="1"/>
  <c r="Z291" i="4"/>
  <c r="Z293" i="4" s="1"/>
  <c r="Y291" i="4"/>
  <c r="Y293" i="4" s="1"/>
  <c r="X291" i="4"/>
  <c r="X293" i="4" s="1"/>
  <c r="W291" i="4"/>
  <c r="V291" i="4"/>
  <c r="V293" i="4" s="1"/>
  <c r="U291" i="4"/>
  <c r="U293" i="4" s="1"/>
  <c r="T291" i="4"/>
  <c r="T293" i="4" s="1"/>
  <c r="S291" i="4"/>
  <c r="S293" i="4" s="1"/>
  <c r="R291" i="4"/>
  <c r="DF291" i="4" s="1"/>
  <c r="Q291" i="4"/>
  <c r="Q293" i="4" s="1"/>
  <c r="P291" i="4"/>
  <c r="P293" i="4" s="1"/>
  <c r="O291" i="4"/>
  <c r="O293" i="4" s="1"/>
  <c r="N291" i="4"/>
  <c r="N293" i="4" s="1"/>
  <c r="DE289" i="4"/>
  <c r="DF288" i="4"/>
  <c r="DE288" i="4"/>
  <c r="DE287" i="4"/>
  <c r="DA286" i="4"/>
  <c r="DY286" i="4" s="1"/>
  <c r="CZ286" i="4"/>
  <c r="CX286" i="4"/>
  <c r="CW286" i="4"/>
  <c r="CV286" i="4"/>
  <c r="CU286" i="4"/>
  <c r="CS286" i="4"/>
  <c r="CR286" i="4"/>
  <c r="CQ286" i="4"/>
  <c r="CP286" i="4"/>
  <c r="CN286" i="4"/>
  <c r="CM286" i="4"/>
  <c r="CL286" i="4"/>
  <c r="CK286" i="4"/>
  <c r="CL287" i="4" s="1"/>
  <c r="CI286" i="4"/>
  <c r="CI261" i="4" s="1"/>
  <c r="CH286" i="4"/>
  <c r="CG286" i="4"/>
  <c r="CF286" i="4"/>
  <c r="CG287" i="4" s="1"/>
  <c r="CE286" i="4"/>
  <c r="CE261" i="4" s="1"/>
  <c r="N23" i="55" s="1"/>
  <c r="CD286" i="4"/>
  <c r="CC286" i="4"/>
  <c r="CB286" i="4"/>
  <c r="CC287" i="4" s="1"/>
  <c r="CA286" i="4"/>
  <c r="BY286" i="4"/>
  <c r="BX286" i="4"/>
  <c r="BW286" i="4"/>
  <c r="BV286" i="4"/>
  <c r="BV261" i="4" s="1"/>
  <c r="BT286" i="4"/>
  <c r="BU286" i="4" s="1"/>
  <c r="GX382" i="9" s="1"/>
  <c r="BS286" i="4"/>
  <c r="BR286" i="4"/>
  <c r="BQ286" i="4"/>
  <c r="BO286" i="4"/>
  <c r="GW382" i="9" s="1"/>
  <c r="BN286" i="4"/>
  <c r="GV382" i="9" s="1"/>
  <c r="BM286" i="4"/>
  <c r="BL286" i="4"/>
  <c r="GT382" i="9" s="1"/>
  <c r="BJ286" i="4"/>
  <c r="GS382" i="9" s="1"/>
  <c r="BI286" i="4"/>
  <c r="BH286" i="4"/>
  <c r="GQ382" i="9" s="1"/>
  <c r="BG286" i="4"/>
  <c r="BE286" i="4"/>
  <c r="BD286" i="4"/>
  <c r="BC286" i="4"/>
  <c r="GM382" i="9" s="1"/>
  <c r="BB286" i="4"/>
  <c r="GL382" i="9" s="1"/>
  <c r="AZ286" i="4"/>
  <c r="AY286" i="4"/>
  <c r="AX286" i="4"/>
  <c r="AW286" i="4"/>
  <c r="AU286" i="4"/>
  <c r="GG382" i="9" s="1"/>
  <c r="AT286" i="4"/>
  <c r="GF382" i="9" s="1"/>
  <c r="AS286" i="4"/>
  <c r="GE382" i="9" s="1"/>
  <c r="AR286" i="4"/>
  <c r="AP286" i="4"/>
  <c r="AO286" i="4"/>
  <c r="GB382" i="9" s="1"/>
  <c r="AN286" i="4"/>
  <c r="GA382" i="9" s="1"/>
  <c r="AM286" i="4"/>
  <c r="AK286" i="4"/>
  <c r="AL286" i="4" s="1"/>
  <c r="AL261" i="4" s="1"/>
  <c r="AJ286" i="4"/>
  <c r="FX382" i="9" s="1"/>
  <c r="AI286" i="4"/>
  <c r="AH286" i="4"/>
  <c r="AF286" i="4"/>
  <c r="AE286" i="4"/>
  <c r="AD286" i="4"/>
  <c r="AC286" i="4"/>
  <c r="AA286" i="4"/>
  <c r="FQ382" i="9" s="1"/>
  <c r="Z286" i="4"/>
  <c r="FP382" i="9" s="1"/>
  <c r="Y286" i="4"/>
  <c r="X286" i="4"/>
  <c r="V286" i="4"/>
  <c r="FM382" i="9" s="1"/>
  <c r="U286" i="4"/>
  <c r="FL382" i="9" s="1"/>
  <c r="T286" i="4"/>
  <c r="S286" i="4"/>
  <c r="FJ382" i="9" s="1"/>
  <c r="Q286" i="4"/>
  <c r="P286" i="4"/>
  <c r="FH382" i="9" s="1"/>
  <c r="O286" i="4"/>
  <c r="N286" i="4"/>
  <c r="M286" i="4"/>
  <c r="DE286" i="4" s="1"/>
  <c r="DF284" i="4"/>
  <c r="DE284" i="4"/>
  <c r="DE283" i="4"/>
  <c r="DE282" i="4"/>
  <c r="BS282" i="4"/>
  <c r="BR282" i="4"/>
  <c r="BQ282" i="4"/>
  <c r="BO282" i="4"/>
  <c r="BP282" i="4" s="1"/>
  <c r="DP282" i="4" s="1"/>
  <c r="BN282" i="4"/>
  <c r="BM282" i="4"/>
  <c r="BL282" i="4"/>
  <c r="BJ282" i="4"/>
  <c r="BI282" i="4"/>
  <c r="BH282" i="4"/>
  <c r="BH283" i="4" s="1"/>
  <c r="BG282" i="4"/>
  <c r="BE282" i="4"/>
  <c r="BD282" i="4"/>
  <c r="BC282" i="4"/>
  <c r="BB282" i="4"/>
  <c r="AZ282" i="4"/>
  <c r="AY282" i="4"/>
  <c r="AX282" i="4"/>
  <c r="AW282" i="4"/>
  <c r="AU282" i="4"/>
  <c r="AT282" i="4"/>
  <c r="AS282" i="4"/>
  <c r="AR282" i="4"/>
  <c r="AP282" i="4"/>
  <c r="AO282" i="4"/>
  <c r="AN282" i="4"/>
  <c r="AN283" i="4" s="1"/>
  <c r="AM282" i="4"/>
  <c r="AK282" i="4"/>
  <c r="AJ282" i="4"/>
  <c r="AI282" i="4"/>
  <c r="AH282" i="4"/>
  <c r="AF282" i="4"/>
  <c r="AG282" i="4" s="1"/>
  <c r="AE282" i="4"/>
  <c r="AD282" i="4"/>
  <c r="AC282" i="4"/>
  <c r="AA282" i="4"/>
  <c r="AB282" i="4" s="1"/>
  <c r="DH282" i="4" s="1"/>
  <c r="Z282" i="4"/>
  <c r="Y282" i="4"/>
  <c r="X282" i="4"/>
  <c r="V282" i="4"/>
  <c r="U282" i="4"/>
  <c r="T282" i="4"/>
  <c r="T283" i="4" s="1"/>
  <c r="S282" i="4"/>
  <c r="Q282" i="4"/>
  <c r="P282" i="4"/>
  <c r="O282" i="4"/>
  <c r="N282" i="4"/>
  <c r="N283" i="4" s="1"/>
  <c r="DV280" i="4"/>
  <c r="DN280" i="4"/>
  <c r="DF280" i="4"/>
  <c r="DA280" i="4"/>
  <c r="DY280" i="4" s="1"/>
  <c r="CZ280" i="4"/>
  <c r="DX280" i="4" s="1"/>
  <c r="CY280" i="4"/>
  <c r="DW280" i="4" s="1"/>
  <c r="CX280" i="4"/>
  <c r="CW280" i="4"/>
  <c r="CV280" i="4"/>
  <c r="CU280" i="4"/>
  <c r="CT280" i="4"/>
  <c r="CS280" i="4"/>
  <c r="CR280" i="4"/>
  <c r="CQ280" i="4"/>
  <c r="CP280" i="4"/>
  <c r="CO280" i="4"/>
  <c r="DU280" i="4" s="1"/>
  <c r="CN280" i="4"/>
  <c r="CM280" i="4"/>
  <c r="CL280" i="4"/>
  <c r="CK280" i="4"/>
  <c r="CJ280" i="4"/>
  <c r="DT280" i="4" s="1"/>
  <c r="CI280" i="4"/>
  <c r="CH280" i="4"/>
  <c r="CG280" i="4"/>
  <c r="CF280" i="4"/>
  <c r="CE280" i="4"/>
  <c r="DS280" i="4" s="1"/>
  <c r="CD280" i="4"/>
  <c r="CC280" i="4"/>
  <c r="CB280" i="4"/>
  <c r="CA280" i="4"/>
  <c r="BZ280" i="4"/>
  <c r="DR280" i="4" s="1"/>
  <c r="BY280" i="4"/>
  <c r="BX280" i="4"/>
  <c r="BW280" i="4"/>
  <c r="BV280" i="4"/>
  <c r="BU280" i="4"/>
  <c r="DQ280" i="4" s="1"/>
  <c r="BT280" i="4"/>
  <c r="BS280" i="4"/>
  <c r="BR280" i="4"/>
  <c r="BQ280" i="4"/>
  <c r="BP280" i="4"/>
  <c r="DP280" i="4" s="1"/>
  <c r="BO280" i="4"/>
  <c r="BN280" i="4"/>
  <c r="BM280" i="4"/>
  <c r="BL280" i="4"/>
  <c r="BK280" i="4"/>
  <c r="DO280" i="4" s="1"/>
  <c r="BJ280" i="4"/>
  <c r="BI280" i="4"/>
  <c r="BH280" i="4"/>
  <c r="BG280" i="4"/>
  <c r="BF280" i="4"/>
  <c r="BE280" i="4"/>
  <c r="BD280" i="4"/>
  <c r="BC280" i="4"/>
  <c r="BB280" i="4"/>
  <c r="BA280" i="4"/>
  <c r="DM280" i="4" s="1"/>
  <c r="AZ280" i="4"/>
  <c r="AY280" i="4"/>
  <c r="AX280" i="4"/>
  <c r="AW280" i="4"/>
  <c r="AV280" i="4"/>
  <c r="DL280" i="4" s="1"/>
  <c r="AU280" i="4"/>
  <c r="AT280" i="4"/>
  <c r="AS280" i="4"/>
  <c r="AR280" i="4"/>
  <c r="AQ280" i="4"/>
  <c r="DK280" i="4" s="1"/>
  <c r="AP280" i="4"/>
  <c r="AO280" i="4"/>
  <c r="AN280" i="4"/>
  <c r="AM280" i="4"/>
  <c r="AL280" i="4"/>
  <c r="DJ280" i="4" s="1"/>
  <c r="AK280" i="4"/>
  <c r="AJ280" i="4"/>
  <c r="AI280" i="4"/>
  <c r="AH280" i="4"/>
  <c r="AG280" i="4"/>
  <c r="DI280" i="4" s="1"/>
  <c r="AF280" i="4"/>
  <c r="AE280" i="4"/>
  <c r="AD280" i="4"/>
  <c r="AC280" i="4"/>
  <c r="AB280" i="4"/>
  <c r="DH280" i="4" s="1"/>
  <c r="AA280" i="4"/>
  <c r="Z280" i="4"/>
  <c r="Y280" i="4"/>
  <c r="X280" i="4"/>
  <c r="W280" i="4"/>
  <c r="DG280" i="4" s="1"/>
  <c r="V280" i="4"/>
  <c r="U280" i="4"/>
  <c r="T280" i="4"/>
  <c r="S280" i="4"/>
  <c r="R280" i="4"/>
  <c r="Q280" i="4"/>
  <c r="P280" i="4"/>
  <c r="O280" i="4"/>
  <c r="N280" i="4"/>
  <c r="M280" i="4"/>
  <c r="DE280" i="4" s="1"/>
  <c r="L280" i="4"/>
  <c r="K280" i="4"/>
  <c r="J280" i="4"/>
  <c r="I280" i="4"/>
  <c r="CR276" i="4"/>
  <c r="CQ276" i="4"/>
  <c r="CP276" i="4"/>
  <c r="CO276" i="4"/>
  <c r="DU276" i="4" s="1"/>
  <c r="AC44" i="72" s="1"/>
  <c r="AC46" i="72" s="1"/>
  <c r="CN276" i="4"/>
  <c r="CM276" i="4"/>
  <c r="CL276" i="4"/>
  <c r="CK276" i="4"/>
  <c r="CJ276" i="4"/>
  <c r="CI276" i="4"/>
  <c r="CH276" i="4"/>
  <c r="CG276" i="4"/>
  <c r="CF276" i="4"/>
  <c r="CE276" i="4"/>
  <c r="DS276" i="4" s="1"/>
  <c r="AA44" i="72" s="1"/>
  <c r="AA46" i="72" s="1"/>
  <c r="CD276" i="4"/>
  <c r="CC276" i="4"/>
  <c r="CB276" i="4"/>
  <c r="CA276" i="4"/>
  <c r="BZ276" i="4"/>
  <c r="BY276" i="4"/>
  <c r="BX276" i="4"/>
  <c r="BW276" i="4"/>
  <c r="BV276" i="4"/>
  <c r="BU276" i="4"/>
  <c r="DQ276" i="4" s="1"/>
  <c r="BT276" i="4"/>
  <c r="BS276" i="4"/>
  <c r="BR276" i="4"/>
  <c r="BQ276" i="4"/>
  <c r="BO276" i="4"/>
  <c r="BN276" i="4"/>
  <c r="BM276" i="4"/>
  <c r="BL276" i="4"/>
  <c r="BJ276" i="4"/>
  <c r="BI276" i="4"/>
  <c r="BH276" i="4"/>
  <c r="BG276" i="4"/>
  <c r="CR275" i="4"/>
  <c r="CQ275" i="4"/>
  <c r="CP275" i="4"/>
  <c r="CO275" i="4"/>
  <c r="CN275" i="4"/>
  <c r="CM275" i="4"/>
  <c r="CL275" i="4"/>
  <c r="CK275" i="4"/>
  <c r="CJ275" i="4"/>
  <c r="CI275" i="4"/>
  <c r="CH275" i="4"/>
  <c r="CG275" i="4"/>
  <c r="CF275" i="4"/>
  <c r="CE275" i="4"/>
  <c r="DS275" i="4" s="1"/>
  <c r="CD275" i="4"/>
  <c r="CC275" i="4"/>
  <c r="CB275" i="4"/>
  <c r="CA275" i="4"/>
  <c r="BZ275" i="4"/>
  <c r="BY275" i="4"/>
  <c r="BX275" i="4"/>
  <c r="BW275" i="4"/>
  <c r="BV275" i="4"/>
  <c r="BU275" i="4"/>
  <c r="BT275" i="4"/>
  <c r="BS275" i="4"/>
  <c r="BR275" i="4"/>
  <c r="BQ275" i="4"/>
  <c r="BP275" i="4"/>
  <c r="BO275" i="4"/>
  <c r="BN275" i="4"/>
  <c r="BM275" i="4"/>
  <c r="BL275" i="4"/>
  <c r="BK275" i="4"/>
  <c r="DO275" i="4" s="1"/>
  <c r="BJ275" i="4"/>
  <c r="BI275" i="4"/>
  <c r="BH275" i="4"/>
  <c r="BG275" i="4"/>
  <c r="DA274" i="4"/>
  <c r="DY274" i="4" s="1"/>
  <c r="CZ274" i="4"/>
  <c r="CY274" i="4"/>
  <c r="CX274" i="4"/>
  <c r="CW274" i="4"/>
  <c r="CV274" i="4"/>
  <c r="CU274" i="4"/>
  <c r="CR274" i="4"/>
  <c r="CQ274" i="4"/>
  <c r="CP274" i="4"/>
  <c r="CO274" i="4"/>
  <c r="DU274" i="4" s="1"/>
  <c r="CN274" i="4"/>
  <c r="CM274" i="4"/>
  <c r="CL274" i="4"/>
  <c r="CK274" i="4"/>
  <c r="CJ274" i="4"/>
  <c r="DT274" i="4" s="1"/>
  <c r="CI274" i="4"/>
  <c r="CH274" i="4"/>
  <c r="CG274" i="4"/>
  <c r="CF274" i="4"/>
  <c r="CE274" i="4"/>
  <c r="CD274" i="4"/>
  <c r="CC274" i="4"/>
  <c r="CB274" i="4"/>
  <c r="CA274" i="4"/>
  <c r="BZ274" i="4"/>
  <c r="BY274" i="4"/>
  <c r="BX274" i="4"/>
  <c r="BW274" i="4"/>
  <c r="BV274" i="4"/>
  <c r="BU274" i="4"/>
  <c r="DQ274" i="4" s="1"/>
  <c r="BT274" i="4"/>
  <c r="BS274" i="4"/>
  <c r="BR274" i="4"/>
  <c r="BQ274" i="4"/>
  <c r="BP274" i="4"/>
  <c r="DP274" i="4" s="1"/>
  <c r="BO274" i="4"/>
  <c r="BN274" i="4"/>
  <c r="BM274" i="4"/>
  <c r="BL274" i="4"/>
  <c r="BK274" i="4"/>
  <c r="DO274" i="4" s="1"/>
  <c r="BJ274" i="4"/>
  <c r="BI274" i="4"/>
  <c r="BH274" i="4"/>
  <c r="BG274" i="4"/>
  <c r="DA273" i="4"/>
  <c r="DY273" i="4" s="1"/>
  <c r="CZ273" i="4"/>
  <c r="DX273" i="4" s="1"/>
  <c r="CY273" i="4"/>
  <c r="DW273" i="4" s="1"/>
  <c r="CX273" i="4"/>
  <c r="CW273" i="4"/>
  <c r="CV273" i="4"/>
  <c r="CU273" i="4"/>
  <c r="CR273" i="4"/>
  <c r="CQ273" i="4"/>
  <c r="CP273" i="4"/>
  <c r="CO273" i="4"/>
  <c r="DU273" i="4" s="1"/>
  <c r="CN273" i="4"/>
  <c r="CM273" i="4"/>
  <c r="CL273" i="4"/>
  <c r="CK273" i="4"/>
  <c r="CJ273" i="4"/>
  <c r="DT273" i="4" s="1"/>
  <c r="CI273" i="4"/>
  <c r="CH273" i="4"/>
  <c r="CG273" i="4"/>
  <c r="CF273" i="4"/>
  <c r="CE273" i="4"/>
  <c r="DS273" i="4" s="1"/>
  <c r="CD273" i="4"/>
  <c r="CC273" i="4"/>
  <c r="CB273" i="4"/>
  <c r="CA273" i="4"/>
  <c r="BZ273" i="4"/>
  <c r="BY273" i="4"/>
  <c r="BX273" i="4"/>
  <c r="BW273" i="4"/>
  <c r="BV273" i="4"/>
  <c r="BU273" i="4"/>
  <c r="DQ273" i="4" s="1"/>
  <c r="BT273" i="4"/>
  <c r="BS273" i="4"/>
  <c r="BR273" i="4"/>
  <c r="BQ273" i="4"/>
  <c r="BP273" i="4"/>
  <c r="BO273" i="4"/>
  <c r="BN273" i="4"/>
  <c r="BM273" i="4"/>
  <c r="BL273" i="4"/>
  <c r="BK273" i="4"/>
  <c r="DO273" i="4" s="1"/>
  <c r="BJ273" i="4"/>
  <c r="BI273" i="4"/>
  <c r="BH273" i="4"/>
  <c r="BG273" i="4"/>
  <c r="DT276" i="4"/>
  <c r="AB44" i="72" s="1"/>
  <c r="AB46" i="72" s="1"/>
  <c r="DR276" i="4"/>
  <c r="Z44" i="72" s="1"/>
  <c r="Z45" i="72" s="1"/>
  <c r="Z46" i="72" s="1"/>
  <c r="DN276" i="4"/>
  <c r="DM276" i="4"/>
  <c r="DL276" i="4"/>
  <c r="DK276" i="4"/>
  <c r="DJ276" i="4"/>
  <c r="DI276" i="4"/>
  <c r="DH276" i="4"/>
  <c r="DG276" i="4"/>
  <c r="DF276" i="4"/>
  <c r="DE276" i="4"/>
  <c r="DU275" i="4"/>
  <c r="DT275" i="4"/>
  <c r="DR275" i="4"/>
  <c r="DQ275" i="4"/>
  <c r="DP275" i="4"/>
  <c r="DN275" i="4"/>
  <c r="DM275" i="4"/>
  <c r="DL275" i="4"/>
  <c r="DK275" i="4"/>
  <c r="DJ275" i="4"/>
  <c r="DI275" i="4"/>
  <c r="DH275" i="4"/>
  <c r="DG275" i="4"/>
  <c r="DF275" i="4"/>
  <c r="DE275" i="4"/>
  <c r="DX274" i="4"/>
  <c r="DW274" i="4"/>
  <c r="DV274" i="4"/>
  <c r="DS274" i="4"/>
  <c r="DR274" i="4"/>
  <c r="DN274" i="4"/>
  <c r="DM274" i="4"/>
  <c r="DL274" i="4"/>
  <c r="DK274" i="4"/>
  <c r="DJ274" i="4"/>
  <c r="DI274" i="4"/>
  <c r="DH274" i="4"/>
  <c r="DG274" i="4"/>
  <c r="DF274" i="4"/>
  <c r="DE274" i="4"/>
  <c r="DV273" i="4"/>
  <c r="DR273" i="4"/>
  <c r="DP273" i="4"/>
  <c r="DN273" i="4"/>
  <c r="DM273" i="4"/>
  <c r="DL273" i="4"/>
  <c r="DK273" i="4"/>
  <c r="DJ273" i="4"/>
  <c r="DI273" i="4"/>
  <c r="DH273" i="4"/>
  <c r="DG273" i="4"/>
  <c r="DF273" i="4"/>
  <c r="DE273" i="4"/>
  <c r="DO272" i="4"/>
  <c r="DN272" i="4"/>
  <c r="DM272" i="4"/>
  <c r="DL272" i="4"/>
  <c r="DK272" i="4"/>
  <c r="DJ272" i="4"/>
  <c r="DI272" i="4"/>
  <c r="DH272" i="4"/>
  <c r="DG272" i="4"/>
  <c r="DF272" i="4"/>
  <c r="DE272" i="4"/>
  <c r="DN271" i="4"/>
  <c r="DM271" i="4"/>
  <c r="DL271" i="4"/>
  <c r="DK271" i="4"/>
  <c r="DJ271" i="4"/>
  <c r="DI271" i="4"/>
  <c r="DH271" i="4"/>
  <c r="DG271" i="4"/>
  <c r="DF271" i="4"/>
  <c r="DE271" i="4"/>
  <c r="DA272" i="4"/>
  <c r="DY272" i="4" s="1"/>
  <c r="CZ272" i="4"/>
  <c r="DX272" i="4" s="1"/>
  <c r="CY272" i="4"/>
  <c r="DW272" i="4" s="1"/>
  <c r="CX272" i="4"/>
  <c r="CW272" i="4"/>
  <c r="CV272" i="4"/>
  <c r="CU272" i="4"/>
  <c r="DV272" i="4"/>
  <c r="CR272" i="4"/>
  <c r="CQ272" i="4"/>
  <c r="CP272" i="4"/>
  <c r="CO272" i="4"/>
  <c r="DU272" i="4" s="1"/>
  <c r="CN272" i="4"/>
  <c r="CM272" i="4"/>
  <c r="CL272" i="4"/>
  <c r="CK272" i="4"/>
  <c r="CJ272" i="4"/>
  <c r="DT272" i="4" s="1"/>
  <c r="CI272" i="4"/>
  <c r="CH272" i="4"/>
  <c r="CG272" i="4"/>
  <c r="CF272" i="4"/>
  <c r="CE272" i="4"/>
  <c r="DS272" i="4" s="1"/>
  <c r="CD272" i="4"/>
  <c r="CC272" i="4"/>
  <c r="CB272" i="4"/>
  <c r="CA272" i="4"/>
  <c r="BZ272" i="4"/>
  <c r="DR272" i="4" s="1"/>
  <c r="BY272" i="4"/>
  <c r="BX272" i="4"/>
  <c r="BW272" i="4"/>
  <c r="BV272" i="4"/>
  <c r="BU272" i="4"/>
  <c r="DQ272" i="4" s="1"/>
  <c r="BT272" i="4"/>
  <c r="BS272" i="4"/>
  <c r="BR272" i="4"/>
  <c r="BQ272" i="4"/>
  <c r="BP272" i="4"/>
  <c r="DP272" i="4" s="1"/>
  <c r="BO272" i="4"/>
  <c r="BN272" i="4"/>
  <c r="BM272" i="4"/>
  <c r="BL272" i="4"/>
  <c r="DA271" i="4"/>
  <c r="DY271" i="4" s="1"/>
  <c r="CZ271" i="4"/>
  <c r="DX271" i="4" s="1"/>
  <c r="CY271" i="4"/>
  <c r="DW271" i="4" s="1"/>
  <c r="CX271" i="4"/>
  <c r="CW271" i="4"/>
  <c r="CV271" i="4"/>
  <c r="CU271" i="4"/>
  <c r="DV271" i="4"/>
  <c r="CR271" i="4"/>
  <c r="CQ271" i="4"/>
  <c r="CP271" i="4"/>
  <c r="CO271" i="4"/>
  <c r="DU271" i="4" s="1"/>
  <c r="CN271" i="4"/>
  <c r="CM271" i="4"/>
  <c r="CL271" i="4"/>
  <c r="CK271" i="4"/>
  <c r="CJ271" i="4"/>
  <c r="DT271" i="4" s="1"/>
  <c r="CI271" i="4"/>
  <c r="CH271" i="4"/>
  <c r="CG271" i="4"/>
  <c r="CF271" i="4"/>
  <c r="CE271" i="4"/>
  <c r="DS271" i="4" s="1"/>
  <c r="CD271" i="4"/>
  <c r="CC271" i="4"/>
  <c r="CB271" i="4"/>
  <c r="CA271" i="4"/>
  <c r="BZ271" i="4"/>
  <c r="DR271" i="4" s="1"/>
  <c r="BY271" i="4"/>
  <c r="BX271" i="4"/>
  <c r="BW271" i="4"/>
  <c r="BV271" i="4"/>
  <c r="BU271" i="4"/>
  <c r="DQ271" i="4" s="1"/>
  <c r="BT271" i="4"/>
  <c r="BS271" i="4"/>
  <c r="BR271" i="4"/>
  <c r="BQ271" i="4"/>
  <c r="BP271" i="4"/>
  <c r="DP271" i="4" s="1"/>
  <c r="BO271" i="4"/>
  <c r="BN271" i="4"/>
  <c r="BM271" i="4"/>
  <c r="BL271" i="4"/>
  <c r="BK271" i="4"/>
  <c r="DO271" i="4" s="1"/>
  <c r="BJ271" i="4"/>
  <c r="BI271" i="4"/>
  <c r="BH271" i="4"/>
  <c r="BG271" i="4"/>
  <c r="DN269" i="4"/>
  <c r="DM269" i="4"/>
  <c r="DL269" i="4"/>
  <c r="DK269" i="4"/>
  <c r="DJ269" i="4"/>
  <c r="DI269" i="4"/>
  <c r="DH269" i="4"/>
  <c r="DG269" i="4"/>
  <c r="DF269" i="4"/>
  <c r="DE269" i="4"/>
  <c r="DA269" i="4"/>
  <c r="DY269" i="4" s="1"/>
  <c r="CZ269" i="4"/>
  <c r="DX269" i="4" s="1"/>
  <c r="CY269" i="4"/>
  <c r="DW269" i="4" s="1"/>
  <c r="CX269" i="4"/>
  <c r="CW269" i="4"/>
  <c r="CV269" i="4"/>
  <c r="CU269" i="4"/>
  <c r="DV269" i="4"/>
  <c r="CR269" i="4"/>
  <c r="CQ269" i="4"/>
  <c r="CP269" i="4"/>
  <c r="CO269" i="4"/>
  <c r="DU269" i="4" s="1"/>
  <c r="CN269" i="4"/>
  <c r="CM269" i="4"/>
  <c r="CL269" i="4"/>
  <c r="CK269" i="4"/>
  <c r="CJ269" i="4"/>
  <c r="DT269" i="4" s="1"/>
  <c r="CI269" i="4"/>
  <c r="CH269" i="4"/>
  <c r="CG269" i="4"/>
  <c r="CF269" i="4"/>
  <c r="CE269" i="4"/>
  <c r="DS269" i="4" s="1"/>
  <c r="CD269" i="4"/>
  <c r="CC269" i="4"/>
  <c r="CB269" i="4"/>
  <c r="CA269" i="4"/>
  <c r="BZ269" i="4"/>
  <c r="DR269" i="4" s="1"/>
  <c r="BY269" i="4"/>
  <c r="BX269" i="4"/>
  <c r="X33" i="72" s="1"/>
  <c r="X35" i="72" s="1"/>
  <c r="BW269" i="4"/>
  <c r="W33" i="72" s="1"/>
  <c r="W35" i="72" s="1"/>
  <c r="BV269" i="4"/>
  <c r="V33" i="72" s="1"/>
  <c r="V35" i="72" s="1"/>
  <c r="BU269" i="4"/>
  <c r="DQ269" i="4" s="1"/>
  <c r="BT269" i="4"/>
  <c r="U33" i="72" s="1"/>
  <c r="U35" i="72" s="1"/>
  <c r="BS269" i="4"/>
  <c r="T33" i="72" s="1"/>
  <c r="T35" i="72" s="1"/>
  <c r="BR269" i="4"/>
  <c r="S33" i="72" s="1"/>
  <c r="S35" i="72" s="1"/>
  <c r="BQ269" i="4"/>
  <c r="R33" i="72" s="1"/>
  <c r="R35" i="72" s="1"/>
  <c r="BP269" i="4"/>
  <c r="DP269" i="4" s="1"/>
  <c r="BO269" i="4"/>
  <c r="BN269" i="4"/>
  <c r="BM269" i="4"/>
  <c r="BL269" i="4"/>
  <c r="BK269" i="4"/>
  <c r="DO269" i="4" s="1"/>
  <c r="BJ269" i="4"/>
  <c r="BI269" i="4"/>
  <c r="BH269" i="4"/>
  <c r="BG269" i="4"/>
  <c r="DF266" i="4"/>
  <c r="DE266" i="4"/>
  <c r="DF265" i="4"/>
  <c r="DE265" i="4"/>
  <c r="DF264" i="4"/>
  <c r="DE264" i="4"/>
  <c r="CN262" i="4"/>
  <c r="CM262" i="4"/>
  <c r="CK262" i="4"/>
  <c r="CI262" i="4"/>
  <c r="CH262" i="4"/>
  <c r="CF262" i="4"/>
  <c r="CD262" i="4"/>
  <c r="CC262" i="4"/>
  <c r="CA262" i="4"/>
  <c r="BY262" i="4"/>
  <c r="BY265" i="4" s="1"/>
  <c r="BX262" i="4"/>
  <c r="BV262" i="4"/>
  <c r="BS262" i="4"/>
  <c r="BR262" i="4"/>
  <c r="BQ262" i="4"/>
  <c r="BO262" i="4"/>
  <c r="BM262" i="4"/>
  <c r="BK262" i="4"/>
  <c r="DO262" i="4" s="1"/>
  <c r="BJ262" i="4"/>
  <c r="BH262" i="4"/>
  <c r="BG262" i="4"/>
  <c r="BF262" i="4"/>
  <c r="BE262" i="4"/>
  <c r="BD262" i="4"/>
  <c r="BC262" i="4"/>
  <c r="BB262" i="4"/>
  <c r="AZ262" i="4"/>
  <c r="AY262" i="4"/>
  <c r="AY256" i="4" s="1"/>
  <c r="AX262" i="4"/>
  <c r="AW262" i="4"/>
  <c r="AU262" i="4"/>
  <c r="AT262" i="4"/>
  <c r="AS262" i="4"/>
  <c r="AR262" i="4"/>
  <c r="AQ262" i="4"/>
  <c r="DK262" i="4" s="1"/>
  <c r="AP262" i="4"/>
  <c r="AN262" i="4"/>
  <c r="AM262" i="4"/>
  <c r="AL262" i="4"/>
  <c r="AK262" i="4"/>
  <c r="AI262" i="4"/>
  <c r="AH262" i="4"/>
  <c r="AF262" i="4"/>
  <c r="AD262" i="4"/>
  <c r="AC262" i="4"/>
  <c r="AA262" i="4"/>
  <c r="Y262" i="4"/>
  <c r="X262" i="4"/>
  <c r="V262" i="4"/>
  <c r="T262" i="4"/>
  <c r="S262" i="4"/>
  <c r="DA261" i="4"/>
  <c r="CW261" i="4"/>
  <c r="CV261" i="4"/>
  <c r="CU261" i="4"/>
  <c r="CR261" i="4"/>
  <c r="CQ261" i="4"/>
  <c r="CM261" i="4"/>
  <c r="CL261" i="4"/>
  <c r="CL255" i="4" s="1"/>
  <c r="CK261" i="4"/>
  <c r="CH261" i="4"/>
  <c r="CG261" i="4"/>
  <c r="CF261" i="4"/>
  <c r="CD261" i="4"/>
  <c r="CC261" i="4"/>
  <c r="CB261" i="4"/>
  <c r="BY261" i="4"/>
  <c r="BX261" i="4"/>
  <c r="BW261" i="4"/>
  <c r="BW263" i="4" s="1"/>
  <c r="BU261" i="4"/>
  <c r="L23" i="55" s="1"/>
  <c r="BT261" i="4"/>
  <c r="BR261" i="4"/>
  <c r="BR263" i="4" s="1"/>
  <c r="BO261" i="4"/>
  <c r="BM261" i="4"/>
  <c r="BI261" i="4"/>
  <c r="BH261" i="4"/>
  <c r="BE261" i="4"/>
  <c r="BD261" i="4"/>
  <c r="BC261" i="4"/>
  <c r="AZ261" i="4"/>
  <c r="AY261" i="4"/>
  <c r="AX261" i="4"/>
  <c r="AX263" i="4" s="1"/>
  <c r="AU261" i="4"/>
  <c r="AU263" i="4" s="1"/>
  <c r="AT261" i="4"/>
  <c r="AS261" i="4"/>
  <c r="AP261" i="4"/>
  <c r="AO261" i="4"/>
  <c r="AN261" i="4"/>
  <c r="AK261" i="4"/>
  <c r="AJ261" i="4"/>
  <c r="AH261" i="4"/>
  <c r="AH263" i="4" s="1"/>
  <c r="AF261" i="4"/>
  <c r="AC261" i="4"/>
  <c r="AA261" i="4"/>
  <c r="X261" i="4"/>
  <c r="U261" i="4"/>
  <c r="S261" i="4"/>
  <c r="P262" i="4"/>
  <c r="O262" i="4"/>
  <c r="N262" i="4"/>
  <c r="Q261" i="4"/>
  <c r="Q263" i="4" s="1"/>
  <c r="P261" i="4"/>
  <c r="N261" i="4"/>
  <c r="M261" i="4"/>
  <c r="DE261" i="4" s="1"/>
  <c r="DF258" i="4"/>
  <c r="DE258" i="4"/>
  <c r="DF257" i="4"/>
  <c r="DE257" i="4"/>
  <c r="DF256" i="4"/>
  <c r="DE256" i="4"/>
  <c r="DF255" i="4"/>
  <c r="DE255" i="4"/>
  <c r="BX257" i="4"/>
  <c r="CI256" i="4"/>
  <c r="BO256" i="4"/>
  <c r="AI256" i="4"/>
  <c r="CE250" i="4"/>
  <c r="CD250" i="4"/>
  <c r="CC250" i="4"/>
  <c r="CB250" i="4"/>
  <c r="CA250" i="4"/>
  <c r="BZ250" i="4"/>
  <c r="DR250" i="4" s="1"/>
  <c r="BY250" i="4"/>
  <c r="BX250" i="4"/>
  <c r="BW250" i="4"/>
  <c r="BV250" i="4"/>
  <c r="BU250" i="4"/>
  <c r="BT250" i="4"/>
  <c r="BS250" i="4"/>
  <c r="BR250" i="4"/>
  <c r="BQ250" i="4"/>
  <c r="BP250" i="4"/>
  <c r="BO250" i="4"/>
  <c r="BN250" i="4"/>
  <c r="BM250" i="4"/>
  <c r="BL250" i="4"/>
  <c r="BK250" i="4"/>
  <c r="BJ250" i="4"/>
  <c r="BI250" i="4"/>
  <c r="BH250" i="4"/>
  <c r="BG250" i="4"/>
  <c r="BF250" i="4"/>
  <c r="DN250" i="4" s="1"/>
  <c r="BE250" i="4"/>
  <c r="BD250" i="4"/>
  <c r="BC250" i="4"/>
  <c r="BB250" i="4"/>
  <c r="BA250" i="4"/>
  <c r="AZ250" i="4"/>
  <c r="AY250" i="4"/>
  <c r="AX250" i="4"/>
  <c r="AW250" i="4"/>
  <c r="AV250" i="4"/>
  <c r="AU250" i="4"/>
  <c r="AT250" i="4"/>
  <c r="AS250" i="4"/>
  <c r="AR250" i="4"/>
  <c r="AQ250" i="4"/>
  <c r="AP250" i="4"/>
  <c r="AO250" i="4"/>
  <c r="AN250" i="4"/>
  <c r="AM250" i="4"/>
  <c r="CL249" i="4"/>
  <c r="CK249" i="4"/>
  <c r="CJ249" i="4"/>
  <c r="CI249" i="4"/>
  <c r="CH249" i="4"/>
  <c r="CG249" i="4"/>
  <c r="CF249" i="4"/>
  <c r="CE249" i="4"/>
  <c r="DS249" i="4" s="1"/>
  <c r="CD249" i="4"/>
  <c r="CC249" i="4"/>
  <c r="CB249" i="4"/>
  <c r="CA249" i="4"/>
  <c r="BZ249" i="4"/>
  <c r="BY249" i="4"/>
  <c r="BX249" i="4"/>
  <c r="BW249" i="4"/>
  <c r="BV249" i="4"/>
  <c r="BU249" i="4"/>
  <c r="BT249" i="4"/>
  <c r="BS249" i="4"/>
  <c r="BR249" i="4"/>
  <c r="BQ249" i="4"/>
  <c r="BP249" i="4"/>
  <c r="BO249" i="4"/>
  <c r="BN249" i="4"/>
  <c r="BM249" i="4"/>
  <c r="BL249" i="4"/>
  <c r="BK249" i="4"/>
  <c r="DO249" i="4" s="1"/>
  <c r="BJ249" i="4"/>
  <c r="BI249" i="4"/>
  <c r="BH249" i="4"/>
  <c r="BG249" i="4"/>
  <c r="BF249" i="4"/>
  <c r="BE249" i="4"/>
  <c r="BD249" i="4"/>
  <c r="BC249" i="4"/>
  <c r="BB249" i="4"/>
  <c r="BA249" i="4"/>
  <c r="AZ249" i="4"/>
  <c r="AY249" i="4"/>
  <c r="AX249" i="4"/>
  <c r="AW249" i="4"/>
  <c r="AV249" i="4"/>
  <c r="AU249" i="4"/>
  <c r="AT249" i="4"/>
  <c r="AS249" i="4"/>
  <c r="AR249" i="4"/>
  <c r="AQ249" i="4"/>
  <c r="DK249" i="4" s="1"/>
  <c r="AP249" i="4"/>
  <c r="AO249" i="4"/>
  <c r="AN249" i="4"/>
  <c r="AM249" i="4"/>
  <c r="CM247" i="4"/>
  <c r="CL247" i="4"/>
  <c r="CK247" i="4"/>
  <c r="CI247" i="4"/>
  <c r="CH247" i="4"/>
  <c r="CG247" i="4"/>
  <c r="CF247" i="4"/>
  <c r="CE247" i="4"/>
  <c r="CD247" i="4"/>
  <c r="CC247" i="4"/>
  <c r="CB247" i="4"/>
  <c r="CA247" i="4"/>
  <c r="BZ247" i="4"/>
  <c r="BY247" i="4"/>
  <c r="BX247" i="4"/>
  <c r="BW247" i="4"/>
  <c r="BV247" i="4"/>
  <c r="BU247" i="4"/>
  <c r="BT247" i="4"/>
  <c r="BS247" i="4"/>
  <c r="BR247" i="4"/>
  <c r="BQ247" i="4"/>
  <c r="BP247" i="4"/>
  <c r="DP247" i="4" s="1"/>
  <c r="BO247" i="4"/>
  <c r="BN247" i="4"/>
  <c r="BM247" i="4"/>
  <c r="BL247" i="4"/>
  <c r="BK247" i="4"/>
  <c r="BJ247" i="4"/>
  <c r="BI247" i="4"/>
  <c r="BH247" i="4"/>
  <c r="BG247" i="4"/>
  <c r="BF247" i="4"/>
  <c r="BE247" i="4"/>
  <c r="BD247" i="4"/>
  <c r="BC247" i="4"/>
  <c r="BB247" i="4"/>
  <c r="BA247" i="4"/>
  <c r="AZ247" i="4"/>
  <c r="AY247" i="4"/>
  <c r="AX247" i="4"/>
  <c r="AW247" i="4"/>
  <c r="AV247" i="4"/>
  <c r="DL247" i="4" s="1"/>
  <c r="AU247" i="4"/>
  <c r="AT247" i="4"/>
  <c r="AS247" i="4"/>
  <c r="AR247" i="4"/>
  <c r="AQ247" i="4"/>
  <c r="AP247" i="4"/>
  <c r="AO247" i="4"/>
  <c r="AN247" i="4"/>
  <c r="AM247" i="4"/>
  <c r="CH246" i="4"/>
  <c r="CL245" i="4"/>
  <c r="CK245" i="4"/>
  <c r="CJ245" i="4"/>
  <c r="CI245" i="4"/>
  <c r="CH245" i="4"/>
  <c r="CG245" i="4"/>
  <c r="CF245" i="4"/>
  <c r="CE245" i="4"/>
  <c r="DS245" i="4" s="1"/>
  <c r="CD245" i="4"/>
  <c r="CC245" i="4"/>
  <c r="CB245" i="4"/>
  <c r="CA245" i="4"/>
  <c r="BZ245" i="4"/>
  <c r="BY245" i="4"/>
  <c r="BX245" i="4"/>
  <c r="BW245" i="4"/>
  <c r="BV245" i="4"/>
  <c r="BU245" i="4"/>
  <c r="BT245" i="4"/>
  <c r="BS245" i="4"/>
  <c r="BR245" i="4"/>
  <c r="BQ245" i="4"/>
  <c r="BP245" i="4"/>
  <c r="BO245" i="4"/>
  <c r="BN245" i="4"/>
  <c r="BM245" i="4"/>
  <c r="BL245" i="4"/>
  <c r="BK245" i="4"/>
  <c r="DO245" i="4" s="1"/>
  <c r="BJ245" i="4"/>
  <c r="BI245" i="4"/>
  <c r="BH245" i="4"/>
  <c r="BG245" i="4"/>
  <c r="BF245" i="4"/>
  <c r="BE245" i="4"/>
  <c r="BD245" i="4"/>
  <c r="BC245" i="4"/>
  <c r="BB245" i="4"/>
  <c r="BA245" i="4"/>
  <c r="AZ245" i="4"/>
  <c r="AY245" i="4"/>
  <c r="AX245" i="4"/>
  <c r="AW245" i="4"/>
  <c r="AV245" i="4"/>
  <c r="AU245" i="4"/>
  <c r="AT245" i="4"/>
  <c r="AS245" i="4"/>
  <c r="AR245" i="4"/>
  <c r="AQ245" i="4"/>
  <c r="DK245" i="4" s="1"/>
  <c r="AP245" i="4"/>
  <c r="AO245" i="4"/>
  <c r="AN245" i="4"/>
  <c r="AM245" i="4"/>
  <c r="DY252" i="4"/>
  <c r="DX252" i="4"/>
  <c r="DW252" i="4"/>
  <c r="DV252" i="4"/>
  <c r="DU252" i="4"/>
  <c r="DT252" i="4"/>
  <c r="DS252" i="4"/>
  <c r="DR252" i="4"/>
  <c r="DQ252" i="4"/>
  <c r="DP252" i="4"/>
  <c r="DO252" i="4"/>
  <c r="DN252" i="4"/>
  <c r="DM252" i="4"/>
  <c r="DL252" i="4"/>
  <c r="DK252" i="4"/>
  <c r="DJ252" i="4"/>
  <c r="DI252" i="4"/>
  <c r="DH252" i="4"/>
  <c r="DG252" i="4"/>
  <c r="DF252" i="4"/>
  <c r="DE252" i="4"/>
  <c r="DF251" i="4"/>
  <c r="DE251" i="4"/>
  <c r="DY250" i="4"/>
  <c r="DX250" i="4"/>
  <c r="DW250" i="4"/>
  <c r="DV250" i="4"/>
  <c r="DU250" i="4"/>
  <c r="DT250" i="4"/>
  <c r="DS250" i="4"/>
  <c r="DQ250" i="4"/>
  <c r="DP250" i="4"/>
  <c r="DO250" i="4"/>
  <c r="DM250" i="4"/>
  <c r="DL250" i="4"/>
  <c r="DK250" i="4"/>
  <c r="DJ250" i="4"/>
  <c r="DI250" i="4"/>
  <c r="DH250" i="4"/>
  <c r="DG250" i="4"/>
  <c r="DF250" i="4"/>
  <c r="DE250" i="4"/>
  <c r="DY249" i="4"/>
  <c r="DX249" i="4"/>
  <c r="DW249" i="4"/>
  <c r="DV249" i="4"/>
  <c r="DU249" i="4"/>
  <c r="DT249" i="4"/>
  <c r="DR249" i="4"/>
  <c r="DQ249" i="4"/>
  <c r="DP249" i="4"/>
  <c r="DN249" i="4"/>
  <c r="DM249" i="4"/>
  <c r="DL249" i="4"/>
  <c r="DJ249" i="4"/>
  <c r="DI249" i="4"/>
  <c r="DH249" i="4"/>
  <c r="DG249" i="4"/>
  <c r="DF249" i="4"/>
  <c r="DE249" i="4"/>
  <c r="DF248" i="4"/>
  <c r="DE248" i="4"/>
  <c r="DY247" i="4"/>
  <c r="DX247" i="4"/>
  <c r="DW247" i="4"/>
  <c r="DV247" i="4"/>
  <c r="DU247" i="4"/>
  <c r="DS247" i="4"/>
  <c r="DR247" i="4"/>
  <c r="DQ247" i="4"/>
  <c r="DO247" i="4"/>
  <c r="DN247" i="4"/>
  <c r="DM247" i="4"/>
  <c r="DK247" i="4"/>
  <c r="DJ247" i="4"/>
  <c r="DI247" i="4"/>
  <c r="DH247" i="4"/>
  <c r="DG247" i="4"/>
  <c r="DF247" i="4"/>
  <c r="DE247" i="4"/>
  <c r="DF246" i="4"/>
  <c r="DE246" i="4"/>
  <c r="DY245" i="4"/>
  <c r="DX245" i="4"/>
  <c r="DW245" i="4"/>
  <c r="DV245" i="4"/>
  <c r="DU245" i="4"/>
  <c r="DT245" i="4"/>
  <c r="DR245" i="4"/>
  <c r="DQ245" i="4"/>
  <c r="DP245" i="4"/>
  <c r="DN245" i="4"/>
  <c r="DM245" i="4"/>
  <c r="DL245" i="4"/>
  <c r="DJ245" i="4"/>
  <c r="DI245" i="4"/>
  <c r="DH245" i="4"/>
  <c r="DG245" i="4"/>
  <c r="DF245" i="4"/>
  <c r="DE245" i="4"/>
  <c r="DF244" i="4"/>
  <c r="DE244" i="4"/>
  <c r="AE244" i="4"/>
  <c r="BY242" i="4"/>
  <c r="AK242" i="4"/>
  <c r="AK251" i="4" s="1"/>
  <c r="AF242" i="4"/>
  <c r="AE242" i="4"/>
  <c r="AD242" i="4"/>
  <c r="AC242" i="4"/>
  <c r="AC251" i="4" s="1"/>
  <c r="AA242" i="4"/>
  <c r="Z242" i="4"/>
  <c r="Y242" i="4"/>
  <c r="Y251" i="4" s="1"/>
  <c r="X242" i="4"/>
  <c r="V242" i="4"/>
  <c r="U242" i="4"/>
  <c r="T242" i="4"/>
  <c r="S242" i="4"/>
  <c r="N242" i="4"/>
  <c r="M242" i="4"/>
  <c r="DE242" i="4" s="1"/>
  <c r="L242" i="4"/>
  <c r="H242" i="4"/>
  <c r="CY240" i="4"/>
  <c r="CT240" i="4"/>
  <c r="CO240" i="4"/>
  <c r="CJ240" i="4"/>
  <c r="CW237" i="4"/>
  <c r="CW257" i="4" s="1"/>
  <c r="CV237" i="4"/>
  <c r="CV9" i="4" s="1"/>
  <c r="CS237" i="4"/>
  <c r="CR237" i="4"/>
  <c r="CR257" i="4" s="1"/>
  <c r="CQ237" i="4"/>
  <c r="CP237" i="4"/>
  <c r="CP9" i="4" s="1"/>
  <c r="CN237" i="4"/>
  <c r="CM235" i="4"/>
  <c r="CM237" i="4" s="1"/>
  <c r="CM234" i="4"/>
  <c r="DL234" i="4"/>
  <c r="DE234" i="4"/>
  <c r="CL234" i="4"/>
  <c r="CK234" i="4"/>
  <c r="CI234" i="4"/>
  <c r="CH234" i="4"/>
  <c r="CG234" i="4"/>
  <c r="CG257" i="4" s="1"/>
  <c r="CF234" i="4"/>
  <c r="CE234" i="4"/>
  <c r="DS234" i="4" s="1"/>
  <c r="CD234" i="4"/>
  <c r="CD257" i="4" s="1"/>
  <c r="CC234" i="4"/>
  <c r="CC257" i="4" s="1"/>
  <c r="CB234" i="4"/>
  <c r="CA234" i="4"/>
  <c r="BZ234" i="4"/>
  <c r="M22" i="55" s="1"/>
  <c r="BY234" i="4"/>
  <c r="BY257" i="4" s="1"/>
  <c r="BX234" i="4"/>
  <c r="BW234" i="4"/>
  <c r="BV234" i="4"/>
  <c r="BU234" i="4"/>
  <c r="BT234" i="4"/>
  <c r="BS234" i="4"/>
  <c r="BR234" i="4"/>
  <c r="BQ234" i="4"/>
  <c r="BO234" i="4"/>
  <c r="BN234" i="4"/>
  <c r="BM234" i="4"/>
  <c r="BM257" i="4" s="1"/>
  <c r="BL234" i="4"/>
  <c r="BK234" i="4"/>
  <c r="J22" i="55" s="1"/>
  <c r="BJ234" i="4"/>
  <c r="BI234" i="4"/>
  <c r="BI257" i="4" s="1"/>
  <c r="BH234" i="4"/>
  <c r="BG234" i="4"/>
  <c r="BF234" i="4"/>
  <c r="I22" i="55" s="1"/>
  <c r="BE234" i="4"/>
  <c r="BD234" i="4"/>
  <c r="BC234" i="4"/>
  <c r="BB234" i="4"/>
  <c r="BA234" i="4"/>
  <c r="AZ234" i="4"/>
  <c r="AZ248" i="4" s="1"/>
  <c r="AY234" i="4"/>
  <c r="AX234" i="4"/>
  <c r="AW234" i="4"/>
  <c r="AV234" i="4"/>
  <c r="AU234" i="4"/>
  <c r="AT234" i="4"/>
  <c r="AT257" i="4" s="1"/>
  <c r="AS234" i="4"/>
  <c r="AS257" i="4" s="1"/>
  <c r="AR234" i="4"/>
  <c r="AR248" i="4" s="1"/>
  <c r="AQ234" i="4"/>
  <c r="F22" i="55" s="1"/>
  <c r="AP234" i="4"/>
  <c r="AO234" i="4"/>
  <c r="AO257" i="4" s="1"/>
  <c r="AN234" i="4"/>
  <c r="AM234" i="4"/>
  <c r="AL234" i="4"/>
  <c r="E22" i="55" s="1"/>
  <c r="AK234" i="4"/>
  <c r="AK257" i="4" s="1"/>
  <c r="AJ234" i="4"/>
  <c r="AJ248" i="4" s="1"/>
  <c r="AI234" i="4"/>
  <c r="AH234" i="4"/>
  <c r="AG234" i="4"/>
  <c r="AF234" i="4"/>
  <c r="AF248" i="4" s="1"/>
  <c r="AE234" i="4"/>
  <c r="AD234" i="4"/>
  <c r="AC234" i="4"/>
  <c r="AB234" i="4"/>
  <c r="AA234" i="4"/>
  <c r="Z234" i="4"/>
  <c r="Y234" i="4"/>
  <c r="X234" i="4"/>
  <c r="W234" i="4"/>
  <c r="B22" i="55" s="1"/>
  <c r="V234" i="4"/>
  <c r="U234" i="4"/>
  <c r="T234" i="4"/>
  <c r="S234" i="4"/>
  <c r="N234" i="4"/>
  <c r="CR232" i="4"/>
  <c r="CR246" i="4" s="1"/>
  <c r="CQ232" i="4"/>
  <c r="CQ246" i="4" s="1"/>
  <c r="CP232" i="4"/>
  <c r="CP246" i="4" s="1"/>
  <c r="CN232" i="4"/>
  <c r="CJ229" i="4"/>
  <c r="CJ375" i="4" s="1"/>
  <c r="DN228" i="4"/>
  <c r="DE228" i="4"/>
  <c r="CM228" i="4"/>
  <c r="CL228" i="4"/>
  <c r="CL230" i="4" s="1"/>
  <c r="CK228" i="4"/>
  <c r="CI228" i="4"/>
  <c r="CH228" i="4"/>
  <c r="CH230" i="4" s="1"/>
  <c r="CH376" i="4" s="1"/>
  <c r="CG228" i="4"/>
  <c r="CF228" i="4"/>
  <c r="CD228" i="4"/>
  <c r="CD256" i="4" s="1"/>
  <c r="CC228" i="4"/>
  <c r="CB228" i="4"/>
  <c r="CA228" i="4"/>
  <c r="BY228" i="4"/>
  <c r="BX228" i="4"/>
  <c r="BW228" i="4"/>
  <c r="BV228" i="4"/>
  <c r="BV256" i="4" s="1"/>
  <c r="BT228" i="4"/>
  <c r="BS228" i="4"/>
  <c r="BR228" i="4"/>
  <c r="BQ228" i="4"/>
  <c r="BQ256" i="4" s="1"/>
  <c r="BO228" i="4"/>
  <c r="BN228" i="4"/>
  <c r="BM228" i="4"/>
  <c r="BM256" i="4" s="1"/>
  <c r="BL228" i="4"/>
  <c r="BK228" i="4"/>
  <c r="BK256" i="4" s="1"/>
  <c r="DO256" i="4" s="1"/>
  <c r="BJ228" i="4"/>
  <c r="BI228" i="4"/>
  <c r="BN246" i="4" s="1"/>
  <c r="BH228" i="4"/>
  <c r="BG228" i="4"/>
  <c r="BF228" i="4"/>
  <c r="BF256" i="4" s="1"/>
  <c r="DN256" i="4" s="1"/>
  <c r="BE228" i="4"/>
  <c r="BE256" i="4" s="1"/>
  <c r="BD228" i="4"/>
  <c r="BC228" i="4"/>
  <c r="BC256" i="4" s="1"/>
  <c r="BB228" i="4"/>
  <c r="BB256" i="4" s="1"/>
  <c r="BA228" i="4"/>
  <c r="AZ228" i="4"/>
  <c r="AY228" i="4"/>
  <c r="AX228" i="4"/>
  <c r="AX256" i="4" s="1"/>
  <c r="AW228" i="4"/>
  <c r="AW256" i="4" s="1"/>
  <c r="AV228" i="4"/>
  <c r="AU228" i="4"/>
  <c r="AU256" i="4" s="1"/>
  <c r="AT228" i="4"/>
  <c r="AS228" i="4"/>
  <c r="AS256" i="4" s="1"/>
  <c r="AR228" i="4"/>
  <c r="AP228" i="4"/>
  <c r="AO228" i="4"/>
  <c r="AN228" i="4"/>
  <c r="AM228" i="4"/>
  <c r="AM256" i="4" s="1"/>
  <c r="AL228" i="4"/>
  <c r="DJ228" i="4" s="1"/>
  <c r="AK228" i="4"/>
  <c r="AK256" i="4" s="1"/>
  <c r="AJ228" i="4"/>
  <c r="AI228" i="4"/>
  <c r="AH228" i="4"/>
  <c r="AH256" i="4" s="1"/>
  <c r="AG228" i="4"/>
  <c r="AF228" i="4"/>
  <c r="AE228" i="4"/>
  <c r="AE256" i="4" s="1"/>
  <c r="AD228" i="4"/>
  <c r="AD256" i="4" s="1"/>
  <c r="AC228" i="4"/>
  <c r="AH246" i="4" s="1"/>
  <c r="AB228" i="4"/>
  <c r="AA228" i="4"/>
  <c r="Z228" i="4"/>
  <c r="Y228" i="4"/>
  <c r="X228" i="4"/>
  <c r="V228" i="4"/>
  <c r="U228" i="4"/>
  <c r="U256" i="4" s="1"/>
  <c r="T228" i="4"/>
  <c r="S228" i="4"/>
  <c r="S256" i="4" s="1"/>
  <c r="Q228" i="4"/>
  <c r="P228" i="4"/>
  <c r="O228" i="4"/>
  <c r="N228" i="4"/>
  <c r="CR226" i="4"/>
  <c r="CQ226" i="4"/>
  <c r="CQ242" i="4" s="1"/>
  <c r="CQ10" i="4" s="1"/>
  <c r="CP226" i="4"/>
  <c r="CN226" i="4"/>
  <c r="CF226" i="4"/>
  <c r="CM223" i="4"/>
  <c r="CM255" i="4" s="1"/>
  <c r="DO223" i="4"/>
  <c r="DE223" i="4"/>
  <c r="CL223" i="4"/>
  <c r="CK223" i="4"/>
  <c r="CI223" i="4"/>
  <c r="CH223" i="4"/>
  <c r="CH255" i="4" s="1"/>
  <c r="CG223" i="4"/>
  <c r="CF223" i="4"/>
  <c r="CE223" i="4"/>
  <c r="CD223" i="4"/>
  <c r="CC223" i="4"/>
  <c r="CB223" i="4"/>
  <c r="CA223" i="4"/>
  <c r="CA242" i="4" s="1"/>
  <c r="BZ223" i="4"/>
  <c r="BY223" i="4"/>
  <c r="BX223" i="4"/>
  <c r="BX255" i="4" s="1"/>
  <c r="BW223" i="4"/>
  <c r="BV223" i="4"/>
  <c r="BT223" i="4"/>
  <c r="BT255" i="4" s="1"/>
  <c r="BS223" i="4"/>
  <c r="BS242" i="4" s="1"/>
  <c r="BR223" i="4"/>
  <c r="BQ223" i="4"/>
  <c r="BQ242" i="4" s="1"/>
  <c r="BO223" i="4"/>
  <c r="BO242" i="4" s="1"/>
  <c r="BN223" i="4"/>
  <c r="BN7" i="4" s="1"/>
  <c r="BN10" i="4" s="1"/>
  <c r="BM223" i="4"/>
  <c r="BL223" i="4"/>
  <c r="BK223" i="4"/>
  <c r="BJ223" i="4"/>
  <c r="D53" i="56" s="1"/>
  <c r="BI223" i="4"/>
  <c r="BH223" i="4"/>
  <c r="BH255" i="4" s="1"/>
  <c r="BG223" i="4"/>
  <c r="BG242" i="4" s="1"/>
  <c r="BF223" i="4"/>
  <c r="BE223" i="4"/>
  <c r="BD223" i="4"/>
  <c r="BD255" i="4" s="1"/>
  <c r="BC223" i="4"/>
  <c r="BC242" i="4" s="1"/>
  <c r="BB223" i="4"/>
  <c r="BB7" i="4" s="1"/>
  <c r="BF7" i="4" s="1"/>
  <c r="DN7" i="4" s="1"/>
  <c r="AZ223" i="4"/>
  <c r="AY223" i="4"/>
  <c r="AY242" i="4" s="1"/>
  <c r="AX223" i="4"/>
  <c r="AW223" i="4"/>
  <c r="AU223" i="4"/>
  <c r="AU242" i="4" s="1"/>
  <c r="AT223" i="4"/>
  <c r="AS223" i="4"/>
  <c r="AR223" i="4"/>
  <c r="AQ223" i="4"/>
  <c r="AP223" i="4"/>
  <c r="AO223" i="4"/>
  <c r="AN223" i="4"/>
  <c r="AN255" i="4" s="1"/>
  <c r="AM223" i="4"/>
  <c r="AM242" i="4" s="1"/>
  <c r="AL223" i="4"/>
  <c r="AK223" i="4"/>
  <c r="AK244" i="4" s="1"/>
  <c r="AJ223" i="4"/>
  <c r="AJ255" i="4" s="1"/>
  <c r="AI223" i="4"/>
  <c r="AI242" i="4" s="1"/>
  <c r="AH223" i="4"/>
  <c r="AG223" i="4"/>
  <c r="AF223" i="4"/>
  <c r="AF255" i="4" s="1"/>
  <c r="AE223" i="4"/>
  <c r="AD223" i="4"/>
  <c r="AC223" i="4"/>
  <c r="AA223" i="4"/>
  <c r="AA255" i="4" s="1"/>
  <c r="Z223" i="4"/>
  <c r="Y223" i="4"/>
  <c r="X223" i="4"/>
  <c r="X255" i="4" s="1"/>
  <c r="W223" i="4"/>
  <c r="V223" i="4"/>
  <c r="U223" i="4"/>
  <c r="T223" i="4"/>
  <c r="S223" i="4"/>
  <c r="S255" i="4" s="1"/>
  <c r="R223" i="4"/>
  <c r="DF223" i="4" s="1"/>
  <c r="Q223" i="4"/>
  <c r="P223" i="4"/>
  <c r="O223" i="4"/>
  <c r="N223" i="4"/>
  <c r="DN220" i="4"/>
  <c r="DF220" i="4"/>
  <c r="DA220" i="4"/>
  <c r="DY220" i="4" s="1"/>
  <c r="CZ220" i="4"/>
  <c r="DX220" i="4" s="1"/>
  <c r="CY220" i="4"/>
  <c r="DW220" i="4" s="1"/>
  <c r="CX220" i="4"/>
  <c r="CW220" i="4"/>
  <c r="CV220" i="4"/>
  <c r="CU220" i="4"/>
  <c r="CT220" i="4"/>
  <c r="DV220" i="4" s="1"/>
  <c r="CS220" i="4"/>
  <c r="CR220" i="4"/>
  <c r="CQ220" i="4"/>
  <c r="CP220" i="4"/>
  <c r="CO220" i="4"/>
  <c r="DU220" i="4" s="1"/>
  <c r="CN220" i="4"/>
  <c r="CM220" i="4"/>
  <c r="CL220" i="4"/>
  <c r="CK220" i="4"/>
  <c r="CJ220" i="4"/>
  <c r="DT220" i="4" s="1"/>
  <c r="CI220" i="4"/>
  <c r="CH220" i="4"/>
  <c r="CG220" i="4"/>
  <c r="CF220" i="4"/>
  <c r="CE220" i="4"/>
  <c r="DS220" i="4" s="1"/>
  <c r="CD220" i="4"/>
  <c r="CC220" i="4"/>
  <c r="CB220" i="4"/>
  <c r="CA220" i="4"/>
  <c r="BZ220" i="4"/>
  <c r="DR220" i="4" s="1"/>
  <c r="BY220" i="4"/>
  <c r="BX220" i="4"/>
  <c r="BW220" i="4"/>
  <c r="BV220" i="4"/>
  <c r="BU220" i="4"/>
  <c r="DQ220" i="4" s="1"/>
  <c r="BT220" i="4"/>
  <c r="BS220" i="4"/>
  <c r="BR220" i="4"/>
  <c r="BQ220" i="4"/>
  <c r="BP220" i="4"/>
  <c r="DP220" i="4" s="1"/>
  <c r="BO220" i="4"/>
  <c r="BN220" i="4"/>
  <c r="BM220" i="4"/>
  <c r="BL220" i="4"/>
  <c r="BK220" i="4"/>
  <c r="DO220" i="4" s="1"/>
  <c r="BJ220" i="4"/>
  <c r="BI220" i="4"/>
  <c r="BH220" i="4"/>
  <c r="BG220" i="4"/>
  <c r="BF220" i="4"/>
  <c r="BE220" i="4"/>
  <c r="BD220" i="4"/>
  <c r="BC220" i="4"/>
  <c r="BB220" i="4"/>
  <c r="BA220" i="4"/>
  <c r="DM220" i="4" s="1"/>
  <c r="AZ220" i="4"/>
  <c r="AY220" i="4"/>
  <c r="AX220" i="4"/>
  <c r="AW220" i="4"/>
  <c r="AV220" i="4"/>
  <c r="DL220" i="4" s="1"/>
  <c r="AU220" i="4"/>
  <c r="AT220" i="4"/>
  <c r="AS220" i="4"/>
  <c r="AR220" i="4"/>
  <c r="AQ220" i="4"/>
  <c r="DK220" i="4" s="1"/>
  <c r="AP220" i="4"/>
  <c r="AO220" i="4"/>
  <c r="AN220" i="4"/>
  <c r="AM220" i="4"/>
  <c r="AL220" i="4"/>
  <c r="DJ220" i="4" s="1"/>
  <c r="AK220" i="4"/>
  <c r="AJ220" i="4"/>
  <c r="AI220" i="4"/>
  <c r="AH220" i="4"/>
  <c r="AG220" i="4"/>
  <c r="DI220" i="4" s="1"/>
  <c r="AF220" i="4"/>
  <c r="AE220" i="4"/>
  <c r="AD220" i="4"/>
  <c r="AC220" i="4"/>
  <c r="AB220" i="4"/>
  <c r="DH220" i="4" s="1"/>
  <c r="AA220" i="4"/>
  <c r="Z220" i="4"/>
  <c r="Y220" i="4"/>
  <c r="X220" i="4"/>
  <c r="W220" i="4"/>
  <c r="DG220" i="4" s="1"/>
  <c r="V220" i="4"/>
  <c r="U220" i="4"/>
  <c r="T220" i="4"/>
  <c r="S220" i="4"/>
  <c r="R220" i="4"/>
  <c r="Q220" i="4"/>
  <c r="P220" i="4"/>
  <c r="O220" i="4"/>
  <c r="N220" i="4"/>
  <c r="M220" i="4"/>
  <c r="DE220" i="4" s="1"/>
  <c r="L220" i="4"/>
  <c r="K220" i="4"/>
  <c r="J220" i="4"/>
  <c r="I220" i="4"/>
  <c r="BM217" i="4"/>
  <c r="BI217" i="4"/>
  <c r="BF217" i="4"/>
  <c r="DN217" i="4" s="1"/>
  <c r="BF216" i="4"/>
  <c r="DN216" i="4" s="1"/>
  <c r="BA217" i="4"/>
  <c r="BA216" i="4"/>
  <c r="DM216" i="4" s="1"/>
  <c r="AV217" i="4"/>
  <c r="DL217" i="4" s="1"/>
  <c r="AV216" i="4"/>
  <c r="AQ217" i="4"/>
  <c r="DK217" i="4" s="1"/>
  <c r="AQ216" i="4"/>
  <c r="DK216" i="4" s="1"/>
  <c r="AL217" i="4"/>
  <c r="DJ217" i="4" s="1"/>
  <c r="AL216" i="4"/>
  <c r="DJ216" i="4" s="1"/>
  <c r="DY217" i="4"/>
  <c r="DX217" i="4"/>
  <c r="DW217" i="4"/>
  <c r="DV217" i="4"/>
  <c r="DU217" i="4"/>
  <c r="DT217" i="4"/>
  <c r="DM217" i="4"/>
  <c r="DI217" i="4"/>
  <c r="DH217" i="4"/>
  <c r="DG217" i="4"/>
  <c r="DF217" i="4"/>
  <c r="DE217" i="4"/>
  <c r="DY216" i="4"/>
  <c r="DX216" i="4"/>
  <c r="DW216" i="4"/>
  <c r="DV216" i="4"/>
  <c r="DU216" i="4"/>
  <c r="DT216" i="4"/>
  <c r="DL216" i="4"/>
  <c r="DI216" i="4"/>
  <c r="DH216" i="4"/>
  <c r="DG216" i="4"/>
  <c r="DF216" i="4"/>
  <c r="DE216" i="4"/>
  <c r="BF214" i="4"/>
  <c r="BA214" i="4"/>
  <c r="AV214" i="4"/>
  <c r="DL214" i="4" s="1"/>
  <c r="AQ214" i="4"/>
  <c r="DK214" i="4" s="1"/>
  <c r="BF211" i="4"/>
  <c r="BF210" i="4"/>
  <c r="DN210" i="4" s="1"/>
  <c r="BA211" i="4"/>
  <c r="BA210" i="4"/>
  <c r="AV211" i="4"/>
  <c r="AV210" i="4"/>
  <c r="AQ211" i="4"/>
  <c r="AV212" i="4" s="1"/>
  <c r="DL212" i="4" s="1"/>
  <c r="AQ210" i="4"/>
  <c r="DK210" i="4" s="1"/>
  <c r="AL211" i="4"/>
  <c r="DJ211" i="4" s="1"/>
  <c r="DY214" i="4"/>
  <c r="DX214" i="4"/>
  <c r="DW214" i="4"/>
  <c r="DV214" i="4"/>
  <c r="DU214" i="4"/>
  <c r="DT214" i="4"/>
  <c r="DN214" i="4"/>
  <c r="DM214" i="4"/>
  <c r="DJ214" i="4"/>
  <c r="DI214" i="4"/>
  <c r="DH214" i="4"/>
  <c r="DG214" i="4"/>
  <c r="DF214" i="4"/>
  <c r="DE214" i="4"/>
  <c r="DY213" i="4"/>
  <c r="DX213" i="4"/>
  <c r="DW213" i="4"/>
  <c r="DV213" i="4"/>
  <c r="DU213" i="4"/>
  <c r="DT213" i="4"/>
  <c r="DN213" i="4"/>
  <c r="DM213" i="4"/>
  <c r="DL213" i="4"/>
  <c r="DK213" i="4"/>
  <c r="DJ213" i="4"/>
  <c r="DI213" i="4"/>
  <c r="DH213" i="4"/>
  <c r="DG213" i="4"/>
  <c r="DF213" i="4"/>
  <c r="DE213" i="4"/>
  <c r="DY212" i="4"/>
  <c r="DX212" i="4"/>
  <c r="DW212" i="4"/>
  <c r="DV212" i="4"/>
  <c r="DU212" i="4"/>
  <c r="DT212" i="4"/>
  <c r="DS212" i="4"/>
  <c r="DR212" i="4"/>
  <c r="DQ212" i="4"/>
  <c r="DP212" i="4"/>
  <c r="DO212" i="4"/>
  <c r="DJ212" i="4"/>
  <c r="DI212" i="4"/>
  <c r="DH212" i="4"/>
  <c r="DG212" i="4"/>
  <c r="DF212" i="4"/>
  <c r="DE212" i="4"/>
  <c r="DY211" i="4"/>
  <c r="DX211" i="4"/>
  <c r="DW211" i="4"/>
  <c r="DV211" i="4"/>
  <c r="DU211" i="4"/>
  <c r="DT211" i="4"/>
  <c r="DM211" i="4"/>
  <c r="DL211" i="4"/>
  <c r="DI211" i="4"/>
  <c r="DH211" i="4"/>
  <c r="DG211" i="4"/>
  <c r="DF211" i="4"/>
  <c r="DE211" i="4"/>
  <c r="DY210" i="4"/>
  <c r="DX210" i="4"/>
  <c r="DW210" i="4"/>
  <c r="DV210" i="4"/>
  <c r="DU210" i="4"/>
  <c r="DT210" i="4"/>
  <c r="DS210" i="4"/>
  <c r="DR210" i="4"/>
  <c r="DQ210" i="4"/>
  <c r="DP210" i="4"/>
  <c r="DO210" i="4"/>
  <c r="DM210" i="4"/>
  <c r="DL210" i="4"/>
  <c r="DJ210" i="4"/>
  <c r="DI210" i="4"/>
  <c r="DH210" i="4"/>
  <c r="DG210" i="4"/>
  <c r="DF210" i="4"/>
  <c r="DE210" i="4"/>
  <c r="DY209" i="4"/>
  <c r="DX209" i="4"/>
  <c r="DW209" i="4"/>
  <c r="DV209" i="4"/>
  <c r="DU209" i="4"/>
  <c r="DT209" i="4"/>
  <c r="DO209" i="4"/>
  <c r="DN209" i="4"/>
  <c r="DM209" i="4"/>
  <c r="DL209" i="4"/>
  <c r="DK209" i="4"/>
  <c r="DJ209" i="4"/>
  <c r="DI209" i="4"/>
  <c r="DH209" i="4"/>
  <c r="DG209" i="4"/>
  <c r="DF209" i="4"/>
  <c r="DE209" i="4"/>
  <c r="BP209" i="4"/>
  <c r="BK209" i="4"/>
  <c r="DY207" i="4"/>
  <c r="DX207" i="4"/>
  <c r="DW207" i="4"/>
  <c r="DV207" i="4"/>
  <c r="DU207" i="4"/>
  <c r="DT207" i="4"/>
  <c r="DS207" i="4"/>
  <c r="DR207" i="4"/>
  <c r="DQ207" i="4"/>
  <c r="DP207" i="4"/>
  <c r="DO207" i="4"/>
  <c r="DJ207" i="4"/>
  <c r="DI207" i="4"/>
  <c r="DH207" i="4"/>
  <c r="DG207" i="4"/>
  <c r="DF207" i="4"/>
  <c r="DE207" i="4"/>
  <c r="DY206" i="4"/>
  <c r="DX206" i="4"/>
  <c r="DW206" i="4"/>
  <c r="DV206" i="4"/>
  <c r="DU206" i="4"/>
  <c r="DT206" i="4"/>
  <c r="DI206" i="4"/>
  <c r="DH206" i="4"/>
  <c r="DG206" i="4"/>
  <c r="DF206" i="4"/>
  <c r="DE206" i="4"/>
  <c r="DY204" i="4"/>
  <c r="DX204" i="4"/>
  <c r="DW204" i="4"/>
  <c r="DV204" i="4"/>
  <c r="DU204" i="4"/>
  <c r="DT204" i="4"/>
  <c r="DS204" i="4"/>
  <c r="DR204" i="4"/>
  <c r="DQ204" i="4"/>
  <c r="DP204" i="4"/>
  <c r="DO204" i="4"/>
  <c r="DJ204" i="4"/>
  <c r="DI204" i="4"/>
  <c r="DH204" i="4"/>
  <c r="DG204" i="4"/>
  <c r="DF204" i="4"/>
  <c r="DE204" i="4"/>
  <c r="DY203" i="4"/>
  <c r="DX203" i="4"/>
  <c r="DW203" i="4"/>
  <c r="DV203" i="4"/>
  <c r="DU203" i="4"/>
  <c r="DT203" i="4"/>
  <c r="DI203" i="4"/>
  <c r="DH203" i="4"/>
  <c r="DG203" i="4"/>
  <c r="DF203" i="4"/>
  <c r="DE203" i="4"/>
  <c r="BF200" i="4"/>
  <c r="BA200" i="4"/>
  <c r="AV200" i="4"/>
  <c r="AQ200" i="4"/>
  <c r="AL200" i="4"/>
  <c r="DY201" i="4"/>
  <c r="DX201" i="4"/>
  <c r="DW201" i="4"/>
  <c r="DV201" i="4"/>
  <c r="DU201" i="4"/>
  <c r="DT201" i="4"/>
  <c r="DN201" i="4"/>
  <c r="DM201" i="4"/>
  <c r="DL201" i="4"/>
  <c r="DK201" i="4"/>
  <c r="DJ201" i="4"/>
  <c r="DI201" i="4"/>
  <c r="DH201" i="4"/>
  <c r="DG201" i="4"/>
  <c r="DF201" i="4"/>
  <c r="DE201" i="4"/>
  <c r="DY200" i="4"/>
  <c r="DX200" i="4"/>
  <c r="DW200" i="4"/>
  <c r="DV200" i="4"/>
  <c r="DU200" i="4"/>
  <c r="DT200" i="4"/>
  <c r="DN200" i="4"/>
  <c r="DM200" i="4"/>
  <c r="DJ200" i="4"/>
  <c r="DI200" i="4"/>
  <c r="DH200" i="4"/>
  <c r="DG200" i="4"/>
  <c r="DF200" i="4"/>
  <c r="DE200" i="4"/>
  <c r="DY199" i="4"/>
  <c r="DX199" i="4"/>
  <c r="DW199" i="4"/>
  <c r="DV199" i="4"/>
  <c r="DU199" i="4"/>
  <c r="DT199" i="4"/>
  <c r="DN199" i="4"/>
  <c r="DM199" i="4"/>
  <c r="DL199" i="4"/>
  <c r="DK199" i="4"/>
  <c r="DJ199" i="4"/>
  <c r="DI199" i="4"/>
  <c r="DH199" i="4"/>
  <c r="DG199" i="4"/>
  <c r="DF199" i="4"/>
  <c r="DE199" i="4"/>
  <c r="DY196" i="4"/>
  <c r="DX196" i="4"/>
  <c r="DW196" i="4"/>
  <c r="DV196" i="4"/>
  <c r="DU196" i="4"/>
  <c r="DT196" i="4"/>
  <c r="DS196" i="4"/>
  <c r="DR196" i="4"/>
  <c r="DI196" i="4"/>
  <c r="DH196" i="4"/>
  <c r="DG196" i="4"/>
  <c r="DF196" i="4"/>
  <c r="DE196" i="4"/>
  <c r="DY195" i="4"/>
  <c r="DX195" i="4"/>
  <c r="DW195" i="4"/>
  <c r="DV195" i="4"/>
  <c r="DU195" i="4"/>
  <c r="DT195" i="4"/>
  <c r="DS195" i="4"/>
  <c r="DR195" i="4"/>
  <c r="DQ195" i="4"/>
  <c r="DP195" i="4"/>
  <c r="DO195" i="4"/>
  <c r="DN195" i="4"/>
  <c r="DM195" i="4"/>
  <c r="DL195" i="4"/>
  <c r="DK195" i="4"/>
  <c r="DJ195" i="4"/>
  <c r="DI195" i="4"/>
  <c r="DH195" i="4"/>
  <c r="DG195" i="4"/>
  <c r="DF195" i="4"/>
  <c r="DE195" i="4"/>
  <c r="DE193" i="4"/>
  <c r="CR193" i="4"/>
  <c r="CQ193" i="4"/>
  <c r="CP193" i="4"/>
  <c r="CN193" i="4"/>
  <c r="CL193" i="4"/>
  <c r="BR193" i="4"/>
  <c r="AX193" i="4"/>
  <c r="Q193" i="4"/>
  <c r="CN191" i="4"/>
  <c r="CM191" i="4"/>
  <c r="CL191" i="4"/>
  <c r="CQ189" i="4" s="1"/>
  <c r="CK191" i="4"/>
  <c r="CI191" i="4"/>
  <c r="CH191" i="4"/>
  <c r="CG191" i="4"/>
  <c r="CF191" i="4"/>
  <c r="DF189" i="4"/>
  <c r="DE189" i="4"/>
  <c r="CR189" i="4"/>
  <c r="CP189" i="4"/>
  <c r="CN189" i="4"/>
  <c r="CM189" i="4"/>
  <c r="CL189" i="4"/>
  <c r="CK189" i="4"/>
  <c r="CJ188" i="4"/>
  <c r="CL184" i="4"/>
  <c r="CK184" i="4"/>
  <c r="CJ184" i="4"/>
  <c r="CI184" i="4"/>
  <c r="CH184" i="4"/>
  <c r="CG184" i="4"/>
  <c r="CF184" i="4"/>
  <c r="CE184" i="4"/>
  <c r="CD184" i="4"/>
  <c r="CC184" i="4"/>
  <c r="CB184" i="4"/>
  <c r="CA184" i="4"/>
  <c r="BZ184" i="4"/>
  <c r="BY184" i="4"/>
  <c r="BX184" i="4"/>
  <c r="BW184" i="4"/>
  <c r="BV184" i="4"/>
  <c r="BU184" i="4"/>
  <c r="BT184" i="4"/>
  <c r="BS184" i="4"/>
  <c r="BR184" i="4"/>
  <c r="BQ184" i="4"/>
  <c r="BO184" i="4"/>
  <c r="BN184" i="4"/>
  <c r="BM184" i="4"/>
  <c r="BL184" i="4"/>
  <c r="BK184" i="4"/>
  <c r="BJ184" i="4"/>
  <c r="BI184" i="4"/>
  <c r="BH184" i="4"/>
  <c r="BG184" i="4"/>
  <c r="BF184" i="4"/>
  <c r="BE184" i="4"/>
  <c r="BD184" i="4"/>
  <c r="BC184" i="4"/>
  <c r="BB184" i="4"/>
  <c r="BA184" i="4"/>
  <c r="AZ184" i="4"/>
  <c r="AY184" i="4"/>
  <c r="AX184" i="4"/>
  <c r="AW184" i="4"/>
  <c r="AU184" i="4"/>
  <c r="AT184" i="4"/>
  <c r="AS184" i="4"/>
  <c r="AR184" i="4"/>
  <c r="AQ184" i="4"/>
  <c r="AP184" i="4"/>
  <c r="AO184" i="4"/>
  <c r="AN184" i="4"/>
  <c r="AM184" i="4"/>
  <c r="AL184" i="4"/>
  <c r="AK184" i="4"/>
  <c r="AJ184" i="4"/>
  <c r="AI184" i="4"/>
  <c r="AH184" i="4"/>
  <c r="AG184" i="4"/>
  <c r="AF184" i="4"/>
  <c r="AE184" i="4"/>
  <c r="AD184" i="4"/>
  <c r="AC184" i="4"/>
  <c r="AB184" i="4"/>
  <c r="AA184" i="4"/>
  <c r="Z184" i="4"/>
  <c r="Y184" i="4"/>
  <c r="X184" i="4"/>
  <c r="W184" i="4"/>
  <c r="V184" i="4"/>
  <c r="U184" i="4"/>
  <c r="T184" i="4"/>
  <c r="S184" i="4"/>
  <c r="R184" i="4"/>
  <c r="Q184" i="4"/>
  <c r="Q188" i="4" s="1"/>
  <c r="P184" i="4"/>
  <c r="O184" i="4"/>
  <c r="N184" i="4"/>
  <c r="CF183" i="4"/>
  <c r="Q183" i="4"/>
  <c r="DE183" i="4"/>
  <c r="DY182" i="4"/>
  <c r="DX182" i="4"/>
  <c r="DW182" i="4"/>
  <c r="DV182" i="4"/>
  <c r="DU182" i="4"/>
  <c r="DT182" i="4"/>
  <c r="DS182" i="4"/>
  <c r="DR182" i="4"/>
  <c r="DQ182" i="4"/>
  <c r="DP182" i="4"/>
  <c r="DO182" i="4"/>
  <c r="DN182" i="4"/>
  <c r="DM182" i="4"/>
  <c r="DL182" i="4"/>
  <c r="DK182" i="4"/>
  <c r="DJ182" i="4"/>
  <c r="DI182" i="4"/>
  <c r="DH182" i="4"/>
  <c r="DG182" i="4"/>
  <c r="DF182" i="4"/>
  <c r="DE182" i="4"/>
  <c r="DY181" i="4"/>
  <c r="DX181" i="4"/>
  <c r="DV181" i="4"/>
  <c r="DF181" i="4"/>
  <c r="DE181" i="4"/>
  <c r="CR181" i="4"/>
  <c r="CQ181" i="4"/>
  <c r="CP181" i="4"/>
  <c r="CN181" i="4"/>
  <c r="CM181" i="4"/>
  <c r="CL181" i="4"/>
  <c r="CK181" i="4"/>
  <c r="CX180" i="4"/>
  <c r="CW180" i="4"/>
  <c r="CV180" i="4"/>
  <c r="CU180" i="4"/>
  <c r="CT180" i="4"/>
  <c r="CO180" i="4"/>
  <c r="CD180" i="4"/>
  <c r="BN180" i="4"/>
  <c r="BN181" i="4" s="1"/>
  <c r="AX180" i="4"/>
  <c r="AP180" i="4"/>
  <c r="AD180" i="4"/>
  <c r="S180" i="4"/>
  <c r="Q180" i="4"/>
  <c r="M180" i="4"/>
  <c r="L180" i="4"/>
  <c r="K180" i="4"/>
  <c r="J180" i="4"/>
  <c r="I180" i="4"/>
  <c r="CK178" i="4"/>
  <c r="CM176" i="4"/>
  <c r="CM177" i="4" s="1"/>
  <c r="CM178" i="4" s="1"/>
  <c r="DY176" i="4"/>
  <c r="DX176" i="4"/>
  <c r="DW176" i="4"/>
  <c r="DV176" i="4"/>
  <c r="DU176" i="4"/>
  <c r="DE176" i="4"/>
  <c r="CL176" i="4"/>
  <c r="CL178" i="4" s="1"/>
  <c r="CK176" i="4"/>
  <c r="CI176" i="4"/>
  <c r="CI178" i="4" s="1"/>
  <c r="CH176" i="4"/>
  <c r="CH178" i="4" s="1"/>
  <c r="CG176" i="4"/>
  <c r="CG178" i="4" s="1"/>
  <c r="CF176" i="4"/>
  <c r="CF178" i="4" s="1"/>
  <c r="CD176" i="4"/>
  <c r="CC176" i="4"/>
  <c r="CC180" i="4" s="1"/>
  <c r="CB176" i="4"/>
  <c r="CB180" i="4" s="1"/>
  <c r="CG181" i="4" s="1"/>
  <c r="BY176" i="4"/>
  <c r="BY180" i="4" s="1"/>
  <c r="BX176" i="4"/>
  <c r="BX180" i="4" s="1"/>
  <c r="BW176" i="4"/>
  <c r="BW180" i="4" s="1"/>
  <c r="BV176" i="4"/>
  <c r="BV180" i="4" s="1"/>
  <c r="BV181" i="4" s="1"/>
  <c r="BT176" i="4"/>
  <c r="BT180" i="4" s="1"/>
  <c r="BS176" i="4"/>
  <c r="BS180" i="4" s="1"/>
  <c r="BR176" i="4"/>
  <c r="BR180" i="4" s="1"/>
  <c r="BR181" i="4" s="1"/>
  <c r="BQ176" i="4"/>
  <c r="BQ180" i="4" s="1"/>
  <c r="BO176" i="4"/>
  <c r="BO180" i="4" s="1"/>
  <c r="BN176" i="4"/>
  <c r="BM176" i="4"/>
  <c r="BM180" i="4" s="1"/>
  <c r="BL176" i="4"/>
  <c r="BL180" i="4" s="1"/>
  <c r="BJ176" i="4"/>
  <c r="BJ180" i="4" s="1"/>
  <c r="BJ181" i="4" s="1"/>
  <c r="BI176" i="4"/>
  <c r="BI180" i="4" s="1"/>
  <c r="BH176" i="4"/>
  <c r="BH180" i="4" s="1"/>
  <c r="BG176" i="4"/>
  <c r="BG180" i="4" s="1"/>
  <c r="BE176" i="4"/>
  <c r="BE180" i="4" s="1"/>
  <c r="BD176" i="4"/>
  <c r="BD180" i="4" s="1"/>
  <c r="BC176" i="4"/>
  <c r="BC180" i="4" s="1"/>
  <c r="BB176" i="4"/>
  <c r="BB180" i="4" s="1"/>
  <c r="AZ176" i="4"/>
  <c r="AZ180" i="4" s="1"/>
  <c r="AY176" i="4"/>
  <c r="AY180" i="4" s="1"/>
  <c r="AX176" i="4"/>
  <c r="AW176" i="4"/>
  <c r="AW180" i="4" s="1"/>
  <c r="AU176" i="4"/>
  <c r="AU180" i="4" s="1"/>
  <c r="AT176" i="4"/>
  <c r="AT180" i="4" s="1"/>
  <c r="AS176" i="4"/>
  <c r="AS180" i="4" s="1"/>
  <c r="AR176" i="4"/>
  <c r="AR180" i="4" s="1"/>
  <c r="AP176" i="4"/>
  <c r="AO176" i="4"/>
  <c r="AO180" i="4" s="1"/>
  <c r="AN176" i="4"/>
  <c r="AN180" i="4" s="1"/>
  <c r="AM176" i="4"/>
  <c r="AM180" i="4" s="1"/>
  <c r="AR181" i="4" s="1"/>
  <c r="AK176" i="4"/>
  <c r="AK180" i="4" s="1"/>
  <c r="AJ176" i="4"/>
  <c r="AJ180" i="4" s="1"/>
  <c r="AI176" i="4"/>
  <c r="AI180" i="4" s="1"/>
  <c r="AH176" i="4"/>
  <c r="AH180" i="4" s="1"/>
  <c r="AH181" i="4" s="1"/>
  <c r="AF176" i="4"/>
  <c r="AF180" i="4" s="1"/>
  <c r="AE176" i="4"/>
  <c r="AE180" i="4" s="1"/>
  <c r="AD176" i="4"/>
  <c r="AC176" i="4"/>
  <c r="AC180" i="4" s="1"/>
  <c r="AA176" i="4"/>
  <c r="AA180" i="4" s="1"/>
  <c r="AA181" i="4" s="1"/>
  <c r="Z176" i="4"/>
  <c r="Z180" i="4" s="1"/>
  <c r="Y176" i="4"/>
  <c r="Y180" i="4" s="1"/>
  <c r="X176" i="4"/>
  <c r="X180" i="4" s="1"/>
  <c r="V176" i="4"/>
  <c r="V180" i="4" s="1"/>
  <c r="V181" i="4" s="1"/>
  <c r="U176" i="4"/>
  <c r="U180" i="4" s="1"/>
  <c r="T176" i="4"/>
  <c r="T180" i="4" s="1"/>
  <c r="S176" i="4"/>
  <c r="P176" i="4"/>
  <c r="P180" i="4" s="1"/>
  <c r="O176" i="4"/>
  <c r="O180" i="4" s="1"/>
  <c r="N176" i="4"/>
  <c r="N180" i="4" s="1"/>
  <c r="CO174" i="4"/>
  <c r="IX800" i="72" s="1"/>
  <c r="IX801" i="72" s="1"/>
  <c r="CJ174" i="4"/>
  <c r="DY173" i="4"/>
  <c r="DX173" i="4"/>
  <c r="DW173" i="4"/>
  <c r="DV173" i="4"/>
  <c r="DU173" i="4"/>
  <c r="DT173" i="4"/>
  <c r="DS173" i="4"/>
  <c r="DR173" i="4"/>
  <c r="DQ173" i="4"/>
  <c r="DP173" i="4"/>
  <c r="DO173" i="4"/>
  <c r="DN173" i="4"/>
  <c r="DM173" i="4"/>
  <c r="DL173" i="4"/>
  <c r="DK173" i="4"/>
  <c r="DJ173" i="4"/>
  <c r="DI173" i="4"/>
  <c r="DH173" i="4"/>
  <c r="DG173" i="4"/>
  <c r="DF173" i="4"/>
  <c r="DE173" i="4"/>
  <c r="DY172" i="4"/>
  <c r="DX172" i="4"/>
  <c r="DF172" i="4"/>
  <c r="DE172" i="4"/>
  <c r="CP172" i="4"/>
  <c r="CN172" i="4"/>
  <c r="CM172" i="4"/>
  <c r="CL172" i="4"/>
  <c r="CK172" i="4"/>
  <c r="CW171" i="4"/>
  <c r="CW188" i="4" s="1"/>
  <c r="CV171" i="4"/>
  <c r="CU171" i="4"/>
  <c r="CU188" i="4" s="1"/>
  <c r="CO171" i="4"/>
  <c r="BY171" i="4"/>
  <c r="BE171" i="4"/>
  <c r="AH171" i="4"/>
  <c r="Q171" i="4"/>
  <c r="CM167" i="4"/>
  <c r="CL167" i="4"/>
  <c r="CK167" i="4"/>
  <c r="CK169" i="4" s="1"/>
  <c r="CI167" i="4"/>
  <c r="CH167" i="4"/>
  <c r="CH183" i="4" s="1"/>
  <c r="CG167" i="4"/>
  <c r="CG169" i="4" s="1"/>
  <c r="CF167" i="4"/>
  <c r="CD167" i="4"/>
  <c r="CC167" i="4"/>
  <c r="CB167" i="4"/>
  <c r="CB183" i="4" s="1"/>
  <c r="CB188" i="4" s="1"/>
  <c r="CG189" i="4" s="1"/>
  <c r="CA167" i="4"/>
  <c r="BY167" i="4"/>
  <c r="BY183" i="4" s="1"/>
  <c r="BY188" i="4" s="1"/>
  <c r="BX167" i="4"/>
  <c r="BW167" i="4"/>
  <c r="BV167" i="4"/>
  <c r="BV183" i="4" s="1"/>
  <c r="BT167" i="4"/>
  <c r="BS167" i="4"/>
  <c r="BR167" i="4"/>
  <c r="BR183" i="4" s="1"/>
  <c r="BQ167" i="4"/>
  <c r="BQ183" i="4" s="1"/>
  <c r="BQ188" i="4" s="1"/>
  <c r="BO167" i="4"/>
  <c r="BN167" i="4"/>
  <c r="BM167" i="4"/>
  <c r="BM183" i="4" s="1"/>
  <c r="BM188" i="4" s="1"/>
  <c r="BL167" i="4"/>
  <c r="BJ167" i="4"/>
  <c r="BJ183" i="4" s="1"/>
  <c r="BI167" i="4"/>
  <c r="BH167" i="4"/>
  <c r="BG167" i="4"/>
  <c r="BE167" i="4"/>
  <c r="BE183" i="4" s="1"/>
  <c r="BE188" i="4" s="1"/>
  <c r="BD167" i="4"/>
  <c r="BC167" i="4"/>
  <c r="BB167" i="4"/>
  <c r="BB183" i="4" s="1"/>
  <c r="AZ167" i="4"/>
  <c r="AZ183" i="4" s="1"/>
  <c r="AZ188" i="4" s="1"/>
  <c r="AY167" i="4"/>
  <c r="AX167" i="4"/>
  <c r="AX183" i="4" s="1"/>
  <c r="AW167" i="4"/>
  <c r="AW183" i="4" s="1"/>
  <c r="AW188" i="4" s="1"/>
  <c r="AU167" i="4"/>
  <c r="AT167" i="4"/>
  <c r="AT171" i="4" s="1"/>
  <c r="AR167" i="4"/>
  <c r="AP167" i="4"/>
  <c r="AP183" i="4" s="1"/>
  <c r="AO167" i="4"/>
  <c r="AN167" i="4"/>
  <c r="AN183" i="4" s="1"/>
  <c r="AN188" i="4" s="1"/>
  <c r="AM167" i="4"/>
  <c r="AK167" i="4"/>
  <c r="AK183" i="4" s="1"/>
  <c r="AJ167" i="4"/>
  <c r="AJ183" i="4" s="1"/>
  <c r="AJ188" i="4" s="1"/>
  <c r="AI167" i="4"/>
  <c r="AH167" i="4"/>
  <c r="AH183" i="4" s="1"/>
  <c r="AF167" i="4"/>
  <c r="AE167" i="4"/>
  <c r="AD167" i="4"/>
  <c r="AC167" i="4"/>
  <c r="AC183" i="4" s="1"/>
  <c r="Z167" i="4"/>
  <c r="Z193" i="4" s="1"/>
  <c r="Y167" i="4"/>
  <c r="Y183" i="4" s="1"/>
  <c r="Y188" i="4" s="1"/>
  <c r="X167" i="4"/>
  <c r="AB167" i="4" s="1"/>
  <c r="V167" i="4"/>
  <c r="V183" i="4" s="1"/>
  <c r="U167" i="4"/>
  <c r="T167" i="4"/>
  <c r="T183" i="4" s="1"/>
  <c r="T188" i="4" s="1"/>
  <c r="S167" i="4"/>
  <c r="R167" i="4"/>
  <c r="R171" i="4" s="1"/>
  <c r="CR162" i="4"/>
  <c r="CR165" i="4" s="1"/>
  <c r="CQ162" i="4"/>
  <c r="CP162" i="4"/>
  <c r="CN162" i="4"/>
  <c r="CM162" i="4"/>
  <c r="CL162" i="4"/>
  <c r="CK162" i="4"/>
  <c r="CI162" i="4"/>
  <c r="CJ162" i="4" s="1"/>
  <c r="CK163" i="4" s="1"/>
  <c r="CH162" i="4"/>
  <c r="CI163" i="4" s="1"/>
  <c r="CG162" i="4"/>
  <c r="CF162" i="4"/>
  <c r="CD162" i="4"/>
  <c r="CE162" i="4" s="1"/>
  <c r="DS162" i="4" s="1"/>
  <c r="CC162" i="4"/>
  <c r="CB162" i="4"/>
  <c r="CA162" i="4"/>
  <c r="BY162" i="4"/>
  <c r="BX162" i="4"/>
  <c r="BW162" i="4"/>
  <c r="BV162" i="4"/>
  <c r="BT162" i="4"/>
  <c r="BS162" i="4"/>
  <c r="BR162" i="4"/>
  <c r="BQ162" i="4"/>
  <c r="BO162" i="4"/>
  <c r="BP162" i="4" s="1"/>
  <c r="BN162" i="4"/>
  <c r="BM162" i="4"/>
  <c r="BM527" i="4" s="1"/>
  <c r="BL162" i="4"/>
  <c r="BJ162" i="4"/>
  <c r="BK162" i="4" s="1"/>
  <c r="BI162" i="4"/>
  <c r="BH162" i="4"/>
  <c r="BG162" i="4"/>
  <c r="BE162" i="4"/>
  <c r="BE527" i="4" s="1"/>
  <c r="BD162" i="4"/>
  <c r="BC162" i="4"/>
  <c r="BB162" i="4"/>
  <c r="AZ162" i="4"/>
  <c r="AY162" i="4"/>
  <c r="AX162" i="4"/>
  <c r="AX527" i="4" s="1"/>
  <c r="AW162" i="4"/>
  <c r="AU162" i="4"/>
  <c r="AU527" i="4" s="1"/>
  <c r="AT162" i="4"/>
  <c r="AS162" i="4"/>
  <c r="AS527" i="4" s="1"/>
  <c r="AR162" i="4"/>
  <c r="AQ162" i="4"/>
  <c r="DK162" i="4" s="1"/>
  <c r="AP162" i="4"/>
  <c r="AP527" i="4" s="1"/>
  <c r="AO162" i="4"/>
  <c r="AN162" i="4"/>
  <c r="AM162" i="4"/>
  <c r="AK162" i="4"/>
  <c r="AK527" i="4" s="1"/>
  <c r="AJ162" i="4"/>
  <c r="AI162" i="4"/>
  <c r="AH162" i="4"/>
  <c r="AH527" i="4" s="1"/>
  <c r="AF162" i="4"/>
  <c r="AE162" i="4"/>
  <c r="AD162" i="4"/>
  <c r="AC162" i="4"/>
  <c r="AC527" i="4" s="1"/>
  <c r="AA162" i="4"/>
  <c r="AA527" i="4" s="1"/>
  <c r="Z162" i="4"/>
  <c r="Y162" i="4"/>
  <c r="Y527" i="4" s="1"/>
  <c r="X162" i="4"/>
  <c r="V162" i="4"/>
  <c r="W162" i="4" s="1"/>
  <c r="DG162" i="4" s="1"/>
  <c r="U162" i="4"/>
  <c r="U527" i="4" s="1"/>
  <c r="T162" i="4"/>
  <c r="S162" i="4"/>
  <c r="S527" i="4" s="1"/>
  <c r="Q162" i="4"/>
  <c r="P162" i="4"/>
  <c r="O162" i="4"/>
  <c r="N162" i="4"/>
  <c r="N527" i="4" s="1"/>
  <c r="M162" i="4"/>
  <c r="CS160" i="4"/>
  <c r="CS159" i="4"/>
  <c r="CT158" i="4"/>
  <c r="CN158" i="4"/>
  <c r="CN160" i="4" s="1"/>
  <c r="CM158" i="4"/>
  <c r="CM160" i="4" s="1"/>
  <c r="CL158" i="4"/>
  <c r="CK158" i="4"/>
  <c r="CI158" i="4"/>
  <c r="CI160" i="4" s="1"/>
  <c r="CH158" i="4"/>
  <c r="CG158" i="4"/>
  <c r="CF158" i="4"/>
  <c r="CD158" i="4"/>
  <c r="CD165" i="4" s="1"/>
  <c r="CC158" i="4"/>
  <c r="CB158" i="4"/>
  <c r="CA158" i="4"/>
  <c r="BZ158" i="4"/>
  <c r="BY158" i="4"/>
  <c r="BX158" i="4"/>
  <c r="BW158" i="4"/>
  <c r="BV158" i="4"/>
  <c r="BT158" i="4"/>
  <c r="BT160" i="4" s="1"/>
  <c r="BS158" i="4"/>
  <c r="BR158" i="4"/>
  <c r="BS159" i="4" s="1"/>
  <c r="BQ158" i="4"/>
  <c r="BO158" i="4"/>
  <c r="BO526" i="4" s="1"/>
  <c r="BN158" i="4"/>
  <c r="BM158" i="4"/>
  <c r="BL158" i="4"/>
  <c r="BJ158" i="4"/>
  <c r="BI158" i="4"/>
  <c r="BH158" i="4"/>
  <c r="BG158" i="4"/>
  <c r="BE158" i="4"/>
  <c r="BE160" i="4" s="1"/>
  <c r="BD158" i="4"/>
  <c r="BD526" i="4" s="1"/>
  <c r="BC158" i="4"/>
  <c r="BB158" i="4"/>
  <c r="AZ158" i="4"/>
  <c r="AZ526" i="4" s="1"/>
  <c r="AY158" i="4"/>
  <c r="AY526" i="4" s="1"/>
  <c r="AX158" i="4"/>
  <c r="AW158" i="4"/>
  <c r="AU158" i="4"/>
  <c r="AU526" i="4" s="1"/>
  <c r="AT158" i="4"/>
  <c r="AS158" i="4"/>
  <c r="AR158" i="4"/>
  <c r="AP158" i="4"/>
  <c r="AO158" i="4"/>
  <c r="AN158" i="4"/>
  <c r="AM158" i="4"/>
  <c r="AL158" i="4"/>
  <c r="AK158" i="4"/>
  <c r="AJ158" i="4"/>
  <c r="AJ526" i="4" s="1"/>
  <c r="AI158" i="4"/>
  <c r="AH158" i="4"/>
  <c r="AF158" i="4"/>
  <c r="AE158" i="4"/>
  <c r="AD158" i="4"/>
  <c r="AC158" i="4"/>
  <c r="AA158" i="4"/>
  <c r="AA526" i="4" s="1"/>
  <c r="Z158" i="4"/>
  <c r="Y158" i="4"/>
  <c r="X158" i="4"/>
  <c r="V158" i="4"/>
  <c r="U158" i="4"/>
  <c r="T158" i="4"/>
  <c r="S158" i="4"/>
  <c r="S526" i="4" s="1"/>
  <c r="Q158" i="4"/>
  <c r="P158" i="4"/>
  <c r="O158" i="4"/>
  <c r="O526" i="4" s="1"/>
  <c r="N158" i="4"/>
  <c r="N526" i="4" s="1"/>
  <c r="DY167" i="4"/>
  <c r="DX167" i="4"/>
  <c r="DW167" i="4"/>
  <c r="DV167" i="4"/>
  <c r="DU167" i="4"/>
  <c r="DF167" i="4"/>
  <c r="DE167" i="4"/>
  <c r="DY166" i="4"/>
  <c r="DX166" i="4"/>
  <c r="DW166" i="4"/>
  <c r="DV166" i="4"/>
  <c r="DU166" i="4"/>
  <c r="DT166" i="4"/>
  <c r="DS166" i="4"/>
  <c r="DR166" i="4"/>
  <c r="DQ166" i="4"/>
  <c r="DP166" i="4"/>
  <c r="DO166" i="4"/>
  <c r="DN166" i="4"/>
  <c r="DM166" i="4"/>
  <c r="DL166" i="4"/>
  <c r="DK166" i="4"/>
  <c r="DJ166" i="4"/>
  <c r="DI166" i="4"/>
  <c r="DH166" i="4"/>
  <c r="DG166" i="4"/>
  <c r="DF166" i="4"/>
  <c r="DE166" i="4"/>
  <c r="DE165" i="4"/>
  <c r="DF164" i="4"/>
  <c r="DE164" i="4"/>
  <c r="DE163" i="4"/>
  <c r="DO162" i="4"/>
  <c r="DY161" i="4"/>
  <c r="DX161" i="4"/>
  <c r="DW161" i="4"/>
  <c r="DV161" i="4"/>
  <c r="DU161" i="4"/>
  <c r="DT161" i="4"/>
  <c r="DS161" i="4"/>
  <c r="DR161" i="4"/>
  <c r="DQ161" i="4"/>
  <c r="DP161" i="4"/>
  <c r="DO161" i="4"/>
  <c r="DN161" i="4"/>
  <c r="DM161" i="4"/>
  <c r="DL161" i="4"/>
  <c r="DK161" i="4"/>
  <c r="DJ161" i="4"/>
  <c r="DI161" i="4"/>
  <c r="DH161" i="4"/>
  <c r="DG161" i="4"/>
  <c r="DF161" i="4"/>
  <c r="DE161" i="4"/>
  <c r="DF160" i="4"/>
  <c r="DE160" i="4"/>
  <c r="DE159" i="4"/>
  <c r="DE158" i="4"/>
  <c r="DY157" i="4"/>
  <c r="DX157" i="4"/>
  <c r="DW157" i="4"/>
  <c r="DV157" i="4"/>
  <c r="DU157" i="4"/>
  <c r="DT157" i="4"/>
  <c r="DS157" i="4"/>
  <c r="DR157" i="4"/>
  <c r="DQ157" i="4"/>
  <c r="DP157" i="4"/>
  <c r="DO157" i="4"/>
  <c r="DN157" i="4"/>
  <c r="DM157" i="4"/>
  <c r="DL157" i="4"/>
  <c r="DK157" i="4"/>
  <c r="DJ157" i="4"/>
  <c r="DI157" i="4"/>
  <c r="DH157" i="4"/>
  <c r="DG157" i="4"/>
  <c r="DF157" i="4"/>
  <c r="DE157" i="4"/>
  <c r="DP156" i="4"/>
  <c r="DE156" i="4"/>
  <c r="DA156" i="4"/>
  <c r="DY156" i="4" s="1"/>
  <c r="CZ156" i="4"/>
  <c r="DX156" i="4" s="1"/>
  <c r="CY156" i="4"/>
  <c r="DW156" i="4" s="1"/>
  <c r="CX156" i="4"/>
  <c r="CW156" i="4"/>
  <c r="CV156" i="4"/>
  <c r="CU156" i="4"/>
  <c r="CT156" i="4"/>
  <c r="DV156" i="4" s="1"/>
  <c r="CS156" i="4"/>
  <c r="CR156" i="4"/>
  <c r="CQ156" i="4"/>
  <c r="CP156" i="4"/>
  <c r="CO156" i="4"/>
  <c r="DU156" i="4" s="1"/>
  <c r="CN156" i="4"/>
  <c r="CM156" i="4"/>
  <c r="CL156" i="4"/>
  <c r="CK156" i="4"/>
  <c r="CJ156" i="4"/>
  <c r="DT156" i="4" s="1"/>
  <c r="CI156" i="4"/>
  <c r="CH156" i="4"/>
  <c r="CG156" i="4"/>
  <c r="CF156" i="4"/>
  <c r="CE156" i="4"/>
  <c r="DS156" i="4" s="1"/>
  <c r="CD156" i="4"/>
  <c r="CC156" i="4"/>
  <c r="CB156" i="4"/>
  <c r="CA156" i="4"/>
  <c r="BZ156" i="4"/>
  <c r="DR156" i="4" s="1"/>
  <c r="BY156" i="4"/>
  <c r="BX156" i="4"/>
  <c r="BW156" i="4"/>
  <c r="BV156" i="4"/>
  <c r="BU156" i="4"/>
  <c r="DQ156" i="4" s="1"/>
  <c r="BT156" i="4"/>
  <c r="BS156" i="4"/>
  <c r="BR156" i="4"/>
  <c r="BQ156" i="4"/>
  <c r="BP156" i="4"/>
  <c r="BO156" i="4"/>
  <c r="BN156" i="4"/>
  <c r="BM156" i="4"/>
  <c r="BL156" i="4"/>
  <c r="BK156" i="4"/>
  <c r="DO156" i="4" s="1"/>
  <c r="BJ156" i="4"/>
  <c r="BI156" i="4"/>
  <c r="BH156" i="4"/>
  <c r="BG156" i="4"/>
  <c r="BF156" i="4"/>
  <c r="DN156" i="4" s="1"/>
  <c r="BE156" i="4"/>
  <c r="BD156" i="4"/>
  <c r="BC156" i="4"/>
  <c r="BB156" i="4"/>
  <c r="BA156" i="4"/>
  <c r="DM156" i="4" s="1"/>
  <c r="AZ156" i="4"/>
  <c r="AY156" i="4"/>
  <c r="AX156" i="4"/>
  <c r="AW156" i="4"/>
  <c r="AV156" i="4"/>
  <c r="DL156" i="4" s="1"/>
  <c r="AU156" i="4"/>
  <c r="AT156" i="4"/>
  <c r="AS156" i="4"/>
  <c r="AR156" i="4"/>
  <c r="AQ156" i="4"/>
  <c r="DK156" i="4" s="1"/>
  <c r="AP156" i="4"/>
  <c r="AO156" i="4"/>
  <c r="AN156" i="4"/>
  <c r="AM156" i="4"/>
  <c r="AL156" i="4"/>
  <c r="DJ156" i="4" s="1"/>
  <c r="AK156" i="4"/>
  <c r="AJ156" i="4"/>
  <c r="AI156" i="4"/>
  <c r="AH156" i="4"/>
  <c r="AG156" i="4"/>
  <c r="DI156" i="4" s="1"/>
  <c r="AF156" i="4"/>
  <c r="AE156" i="4"/>
  <c r="AD156" i="4"/>
  <c r="AC156" i="4"/>
  <c r="AB156" i="4"/>
  <c r="DH156" i="4" s="1"/>
  <c r="AA156" i="4"/>
  <c r="Z156" i="4"/>
  <c r="Y156" i="4"/>
  <c r="X156" i="4"/>
  <c r="W156" i="4"/>
  <c r="DG156" i="4" s="1"/>
  <c r="V156" i="4"/>
  <c r="U156" i="4"/>
  <c r="T156" i="4"/>
  <c r="S156" i="4"/>
  <c r="R156" i="4"/>
  <c r="DF156" i="4" s="1"/>
  <c r="Q156" i="4"/>
  <c r="P156" i="4"/>
  <c r="O156" i="4"/>
  <c r="N156" i="4"/>
  <c r="M156" i="4"/>
  <c r="L156" i="4"/>
  <c r="K156" i="4"/>
  <c r="J156" i="4"/>
  <c r="I156" i="4"/>
  <c r="DA153" i="4"/>
  <c r="DY153" i="4" s="1"/>
  <c r="CZ153" i="4"/>
  <c r="DX153" i="4" s="1"/>
  <c r="CY153" i="4"/>
  <c r="DW153" i="4" s="1"/>
  <c r="CX153" i="4"/>
  <c r="CW153" i="4"/>
  <c r="CV153" i="4"/>
  <c r="CU153" i="4"/>
  <c r="CT153" i="4"/>
  <c r="DV153" i="4" s="1"/>
  <c r="CS153" i="4"/>
  <c r="CR153" i="4"/>
  <c r="CQ153" i="4"/>
  <c r="CP153" i="4"/>
  <c r="CO153" i="4"/>
  <c r="DU153" i="4" s="1"/>
  <c r="CN153" i="4"/>
  <c r="CM153" i="4"/>
  <c r="CL153" i="4"/>
  <c r="CK153" i="4"/>
  <c r="CJ153" i="4"/>
  <c r="DT153" i="4" s="1"/>
  <c r="CI153" i="4"/>
  <c r="CH153" i="4"/>
  <c r="CG153" i="4"/>
  <c r="CF153" i="4"/>
  <c r="CE153" i="4"/>
  <c r="DS153" i="4" s="1"/>
  <c r="CD153" i="4"/>
  <c r="CC153" i="4"/>
  <c r="CB153" i="4"/>
  <c r="CA153" i="4"/>
  <c r="BZ153" i="4"/>
  <c r="DR153" i="4" s="1"/>
  <c r="BY153" i="4"/>
  <c r="BX153" i="4"/>
  <c r="BW153" i="4"/>
  <c r="BV153" i="4"/>
  <c r="BU153" i="4"/>
  <c r="DQ153" i="4" s="1"/>
  <c r="BT153" i="4"/>
  <c r="BS153" i="4"/>
  <c r="BR153" i="4"/>
  <c r="BQ153" i="4"/>
  <c r="BP153" i="4"/>
  <c r="DP153" i="4" s="1"/>
  <c r="BO153" i="4"/>
  <c r="BN153" i="4"/>
  <c r="BM153" i="4"/>
  <c r="BL153" i="4"/>
  <c r="BK153" i="4"/>
  <c r="DO153" i="4" s="1"/>
  <c r="BJ153" i="4"/>
  <c r="BI153" i="4"/>
  <c r="BH153" i="4"/>
  <c r="BG153" i="4"/>
  <c r="BF153" i="4"/>
  <c r="DN153" i="4" s="1"/>
  <c r="BE153" i="4"/>
  <c r="BD153" i="4"/>
  <c r="BC153" i="4"/>
  <c r="BB153" i="4"/>
  <c r="BA153" i="4"/>
  <c r="DM153" i="4" s="1"/>
  <c r="AZ153" i="4"/>
  <c r="AY153" i="4"/>
  <c r="AX153" i="4"/>
  <c r="AW153" i="4"/>
  <c r="AV153" i="4"/>
  <c r="DL153" i="4" s="1"/>
  <c r="AU153" i="4"/>
  <c r="AT153" i="4"/>
  <c r="AS153" i="4"/>
  <c r="AR153" i="4"/>
  <c r="AQ153" i="4"/>
  <c r="DK153" i="4" s="1"/>
  <c r="AP153" i="4"/>
  <c r="AO153" i="4"/>
  <c r="AN153" i="4"/>
  <c r="AM153" i="4"/>
  <c r="AL153" i="4"/>
  <c r="DJ153" i="4" s="1"/>
  <c r="AK153" i="4"/>
  <c r="AJ153" i="4"/>
  <c r="AI153" i="4"/>
  <c r="AH153" i="4"/>
  <c r="AG153" i="4"/>
  <c r="DI153" i="4" s="1"/>
  <c r="AF153" i="4"/>
  <c r="AE153" i="4"/>
  <c r="AD153" i="4"/>
  <c r="AC153" i="4"/>
  <c r="AB153" i="4"/>
  <c r="DH153" i="4" s="1"/>
  <c r="AA153" i="4"/>
  <c r="Z153" i="4"/>
  <c r="Y153" i="4"/>
  <c r="X153" i="4"/>
  <c r="W153" i="4"/>
  <c r="DG153" i="4" s="1"/>
  <c r="V153" i="4"/>
  <c r="U153" i="4"/>
  <c r="T153" i="4"/>
  <c r="S153" i="4"/>
  <c r="R153" i="4"/>
  <c r="DF153" i="4" s="1"/>
  <c r="Q153" i="4"/>
  <c r="P153" i="4"/>
  <c r="O153" i="4"/>
  <c r="N153" i="4"/>
  <c r="M153" i="4"/>
  <c r="DE153" i="4" s="1"/>
  <c r="L153" i="4"/>
  <c r="K153" i="4"/>
  <c r="J153" i="4"/>
  <c r="I153" i="4"/>
  <c r="DH151" i="4"/>
  <c r="DG151" i="4"/>
  <c r="DF151" i="4"/>
  <c r="DE151" i="4"/>
  <c r="DH150" i="4"/>
  <c r="DG150" i="4"/>
  <c r="DF150" i="4"/>
  <c r="DE150" i="4"/>
  <c r="DH149" i="4"/>
  <c r="DG149" i="4"/>
  <c r="DF149" i="4"/>
  <c r="DE149" i="4"/>
  <c r="DH148" i="4"/>
  <c r="DG148" i="4"/>
  <c r="DF148" i="4"/>
  <c r="DD148" i="4"/>
  <c r="DH146" i="4"/>
  <c r="DG146" i="4"/>
  <c r="DF146" i="4"/>
  <c r="DE146" i="4"/>
  <c r="DH145" i="4"/>
  <c r="DG145" i="4"/>
  <c r="DF145" i="4"/>
  <c r="DE145" i="4"/>
  <c r="DH144" i="4"/>
  <c r="DG144" i="4"/>
  <c r="DF144" i="4"/>
  <c r="DE144" i="4"/>
  <c r="DI141" i="4"/>
  <c r="DH141" i="4"/>
  <c r="DG141" i="4"/>
  <c r="DF141" i="4"/>
  <c r="DE141" i="4"/>
  <c r="DH140" i="4"/>
  <c r="DG140" i="4"/>
  <c r="DF140" i="4"/>
  <c r="DE140" i="4"/>
  <c r="DH139" i="4"/>
  <c r="DG139" i="4"/>
  <c r="DF139" i="4"/>
  <c r="DE139" i="4"/>
  <c r="DH138" i="4"/>
  <c r="DG138" i="4"/>
  <c r="DF138" i="4"/>
  <c r="DE138" i="4"/>
  <c r="DH137" i="4"/>
  <c r="DG137" i="4"/>
  <c r="DF137" i="4"/>
  <c r="DE137" i="4"/>
  <c r="DH136" i="4"/>
  <c r="DG136" i="4"/>
  <c r="DF136" i="4"/>
  <c r="DE136" i="4"/>
  <c r="DK135" i="4"/>
  <c r="CQ141" i="4"/>
  <c r="CN141" i="4"/>
  <c r="CM141" i="4"/>
  <c r="CL141" i="4"/>
  <c r="CI141" i="4"/>
  <c r="CD141" i="4"/>
  <c r="CC141" i="4"/>
  <c r="CB141" i="4"/>
  <c r="BZ141" i="4"/>
  <c r="DR141" i="4" s="1"/>
  <c r="BY141" i="4"/>
  <c r="BX141" i="4"/>
  <c r="BW141" i="4"/>
  <c r="BU141" i="4"/>
  <c r="DQ141" i="4" s="1"/>
  <c r="BT141" i="4"/>
  <c r="BS141" i="4"/>
  <c r="BR141" i="4"/>
  <c r="BP141" i="4"/>
  <c r="DP141" i="4" s="1"/>
  <c r="BO141" i="4"/>
  <c r="BN141" i="4"/>
  <c r="BM141" i="4"/>
  <c r="BI141" i="4"/>
  <c r="BF141" i="4"/>
  <c r="DN141" i="4" s="1"/>
  <c r="BE141" i="4"/>
  <c r="BD141" i="4"/>
  <c r="BC141" i="4"/>
  <c r="BA141" i="4"/>
  <c r="DM141" i="4" s="1"/>
  <c r="AZ141" i="4"/>
  <c r="AY141" i="4"/>
  <c r="AX141" i="4"/>
  <c r="AV141" i="4"/>
  <c r="DL141" i="4" s="1"/>
  <c r="AU141" i="4"/>
  <c r="AT141" i="4"/>
  <c r="AS141" i="4"/>
  <c r="AQ141" i="4"/>
  <c r="DK141" i="4" s="1"/>
  <c r="AP141" i="4"/>
  <c r="AO141" i="4"/>
  <c r="AN141" i="4"/>
  <c r="AL141" i="4"/>
  <c r="DJ141" i="4" s="1"/>
  <c r="AK141" i="4"/>
  <c r="AJ141" i="4"/>
  <c r="AI141" i="4"/>
  <c r="AG141" i="4"/>
  <c r="CR137" i="4"/>
  <c r="CQ137" i="4"/>
  <c r="CP137" i="4"/>
  <c r="CN137" i="4"/>
  <c r="CM137" i="4"/>
  <c r="CL137" i="4"/>
  <c r="CK137" i="4"/>
  <c r="CI137" i="4"/>
  <c r="CH137" i="4"/>
  <c r="CG137" i="4"/>
  <c r="CF137" i="4"/>
  <c r="CD137" i="4"/>
  <c r="CC137" i="4"/>
  <c r="CB137" i="4"/>
  <c r="CA137" i="4"/>
  <c r="BY137" i="4"/>
  <c r="BW137" i="4"/>
  <c r="BV137" i="4"/>
  <c r="BT137" i="4"/>
  <c r="BS137" i="4"/>
  <c r="BR137" i="4"/>
  <c r="BQ137" i="4"/>
  <c r="BO137" i="4"/>
  <c r="BN137" i="4"/>
  <c r="BM137" i="4"/>
  <c r="BL137" i="4"/>
  <c r="BJ137" i="4"/>
  <c r="BI137" i="4"/>
  <c r="BH137" i="4"/>
  <c r="BG137" i="4"/>
  <c r="BE137" i="4"/>
  <c r="BD137" i="4"/>
  <c r="BC137" i="4"/>
  <c r="BB137" i="4"/>
  <c r="AZ137" i="4"/>
  <c r="AY137" i="4"/>
  <c r="AX137" i="4"/>
  <c r="AW137" i="4"/>
  <c r="AU137" i="4"/>
  <c r="AT137" i="4"/>
  <c r="AS137" i="4"/>
  <c r="AR137" i="4"/>
  <c r="AP137" i="4"/>
  <c r="AO137" i="4"/>
  <c r="AN137" i="4"/>
  <c r="AM137" i="4"/>
  <c r="AK137" i="4"/>
  <c r="AJ137" i="4"/>
  <c r="AI137" i="4"/>
  <c r="AH137" i="4"/>
  <c r="DA135" i="4"/>
  <c r="DY135" i="4" s="1"/>
  <c r="CZ135" i="4"/>
  <c r="DX135" i="4" s="1"/>
  <c r="CY135" i="4"/>
  <c r="DW135" i="4" s="1"/>
  <c r="CX135" i="4"/>
  <c r="CW135" i="4"/>
  <c r="CV135" i="4"/>
  <c r="CU135" i="4"/>
  <c r="CT135" i="4"/>
  <c r="DV135" i="4" s="1"/>
  <c r="CS135" i="4"/>
  <c r="CR135" i="4"/>
  <c r="CQ135" i="4"/>
  <c r="CP135" i="4"/>
  <c r="CO135" i="4"/>
  <c r="DU135" i="4" s="1"/>
  <c r="CN135" i="4"/>
  <c r="CM135" i="4"/>
  <c r="CL135" i="4"/>
  <c r="CK135" i="4"/>
  <c r="CJ135" i="4"/>
  <c r="DT135" i="4" s="1"/>
  <c r="CI135" i="4"/>
  <c r="CH135" i="4"/>
  <c r="CG135" i="4"/>
  <c r="CF135" i="4"/>
  <c r="CE135" i="4"/>
  <c r="DS135" i="4" s="1"/>
  <c r="CD135" i="4"/>
  <c r="CC135" i="4"/>
  <c r="CB135" i="4"/>
  <c r="CA135" i="4"/>
  <c r="BZ135" i="4"/>
  <c r="DR135" i="4" s="1"/>
  <c r="BY135" i="4"/>
  <c r="BX135" i="4"/>
  <c r="BW135" i="4"/>
  <c r="BV135" i="4"/>
  <c r="BU135" i="4"/>
  <c r="DQ135" i="4" s="1"/>
  <c r="BT135" i="4"/>
  <c r="BS135" i="4"/>
  <c r="BR135" i="4"/>
  <c r="BQ135" i="4"/>
  <c r="BP135" i="4"/>
  <c r="DP135" i="4" s="1"/>
  <c r="BO135" i="4"/>
  <c r="BN135" i="4"/>
  <c r="BM135" i="4"/>
  <c r="BL135" i="4"/>
  <c r="BK135" i="4"/>
  <c r="DO135" i="4" s="1"/>
  <c r="BJ135" i="4"/>
  <c r="BI135" i="4"/>
  <c r="BH135" i="4"/>
  <c r="BG135" i="4"/>
  <c r="BF135" i="4"/>
  <c r="DN135" i="4" s="1"/>
  <c r="BE135" i="4"/>
  <c r="BD135" i="4"/>
  <c r="BC135" i="4"/>
  <c r="BB135" i="4"/>
  <c r="BA135" i="4"/>
  <c r="DM135" i="4" s="1"/>
  <c r="AZ135" i="4"/>
  <c r="AY135" i="4"/>
  <c r="AX135" i="4"/>
  <c r="AW135" i="4"/>
  <c r="AV135" i="4"/>
  <c r="DL135" i="4" s="1"/>
  <c r="AU135" i="4"/>
  <c r="AT135" i="4"/>
  <c r="AS135" i="4"/>
  <c r="AR135" i="4"/>
  <c r="AQ135" i="4"/>
  <c r="AP135" i="4"/>
  <c r="AO135" i="4"/>
  <c r="AN135" i="4"/>
  <c r="AM135" i="4"/>
  <c r="AL135" i="4"/>
  <c r="DJ135" i="4" s="1"/>
  <c r="AK135" i="4"/>
  <c r="AJ135" i="4"/>
  <c r="AI135" i="4"/>
  <c r="AH135" i="4"/>
  <c r="AG135" i="4"/>
  <c r="DI135" i="4" s="1"/>
  <c r="AF135" i="4"/>
  <c r="AE135" i="4"/>
  <c r="AD135" i="4"/>
  <c r="AC135" i="4"/>
  <c r="AB135" i="4"/>
  <c r="DH135" i="4" s="1"/>
  <c r="AA135" i="4"/>
  <c r="Z135" i="4"/>
  <c r="Y135" i="4"/>
  <c r="X135" i="4"/>
  <c r="W135" i="4"/>
  <c r="DG135" i="4" s="1"/>
  <c r="V135" i="4"/>
  <c r="U135" i="4"/>
  <c r="T135" i="4"/>
  <c r="S135" i="4"/>
  <c r="R135" i="4"/>
  <c r="DF135" i="4" s="1"/>
  <c r="Q135" i="4"/>
  <c r="P135" i="4"/>
  <c r="O135" i="4"/>
  <c r="N135" i="4"/>
  <c r="M135" i="4"/>
  <c r="DE135" i="4" s="1"/>
  <c r="L135" i="4"/>
  <c r="K135" i="4"/>
  <c r="J135" i="4"/>
  <c r="I135" i="4"/>
  <c r="CR125" i="4"/>
  <c r="CQ125" i="4"/>
  <c r="CP125" i="4"/>
  <c r="CL125" i="4"/>
  <c r="CK125" i="4"/>
  <c r="CI125" i="4"/>
  <c r="CH125" i="4"/>
  <c r="CG125" i="4"/>
  <c r="CF125" i="4"/>
  <c r="CB125" i="4"/>
  <c r="CA125" i="4"/>
  <c r="BW125" i="4"/>
  <c r="BV125" i="4"/>
  <c r="BR125" i="4"/>
  <c r="BQ125" i="4"/>
  <c r="BM125" i="4"/>
  <c r="BL125" i="4"/>
  <c r="BI125" i="4"/>
  <c r="BH125" i="4"/>
  <c r="BG125" i="4"/>
  <c r="BE125" i="4"/>
  <c r="BD125" i="4"/>
  <c r="BC125" i="4"/>
  <c r="BB125" i="4"/>
  <c r="AX125" i="4"/>
  <c r="AW125" i="4"/>
  <c r="AS125" i="4"/>
  <c r="AR125" i="4"/>
  <c r="AQ125" i="4"/>
  <c r="DK125" i="4" s="1"/>
  <c r="AP125" i="4"/>
  <c r="AO125" i="4"/>
  <c r="AN125" i="4"/>
  <c r="AM125" i="4"/>
  <c r="AL125" i="4"/>
  <c r="DJ125" i="4" s="1"/>
  <c r="AK125" i="4"/>
  <c r="AJ125" i="4"/>
  <c r="AI125" i="4"/>
  <c r="AH125" i="4"/>
  <c r="AG125" i="4"/>
  <c r="AF125" i="4"/>
  <c r="AE125" i="4"/>
  <c r="AD125" i="4"/>
  <c r="AC125" i="4"/>
  <c r="AA125" i="4"/>
  <c r="Z125" i="4"/>
  <c r="Y125" i="4"/>
  <c r="X125" i="4"/>
  <c r="T125" i="4"/>
  <c r="S125" i="4"/>
  <c r="P125" i="4"/>
  <c r="O125" i="4"/>
  <c r="N125" i="4"/>
  <c r="L125" i="4"/>
  <c r="K125" i="4"/>
  <c r="J125" i="4"/>
  <c r="I125" i="4"/>
  <c r="DP133" i="4"/>
  <c r="DO133" i="4"/>
  <c r="DN133" i="4"/>
  <c r="DM133" i="4"/>
  <c r="DL133" i="4"/>
  <c r="DK133" i="4"/>
  <c r="DJ133" i="4"/>
  <c r="DI133" i="4"/>
  <c r="DH133" i="4"/>
  <c r="DG133" i="4"/>
  <c r="DF133" i="4"/>
  <c r="DE133" i="4"/>
  <c r="DE132" i="4"/>
  <c r="DE129" i="4"/>
  <c r="DF127" i="4"/>
  <c r="DE127" i="4"/>
  <c r="DI125" i="4"/>
  <c r="DJ121" i="4"/>
  <c r="DI121" i="4"/>
  <c r="DH121" i="4"/>
  <c r="DG121" i="4"/>
  <c r="DF121" i="4"/>
  <c r="DE121" i="4"/>
  <c r="DJ120" i="4"/>
  <c r="DI120" i="4"/>
  <c r="DH120" i="4"/>
  <c r="DG120" i="4"/>
  <c r="DF120" i="4"/>
  <c r="DE120" i="4"/>
  <c r="DE118" i="4"/>
  <c r="DO114" i="4"/>
  <c r="DN114" i="4"/>
  <c r="DM114" i="4"/>
  <c r="DL114" i="4"/>
  <c r="DK114" i="4"/>
  <c r="DJ114" i="4"/>
  <c r="DI114" i="4"/>
  <c r="DH114" i="4"/>
  <c r="DG114" i="4"/>
  <c r="DF114" i="4"/>
  <c r="DE114" i="4"/>
  <c r="DJ111" i="4"/>
  <c r="DA124" i="4"/>
  <c r="DY124" i="4" s="1"/>
  <c r="CZ124" i="4"/>
  <c r="DX124" i="4" s="1"/>
  <c r="CX124" i="4"/>
  <c r="CW124" i="4"/>
  <c r="CV124" i="4"/>
  <c r="CU124" i="4"/>
  <c r="CS124" i="4"/>
  <c r="CQ124" i="4"/>
  <c r="CP124" i="4"/>
  <c r="CL124" i="4"/>
  <c r="CK124" i="4"/>
  <c r="CG124" i="4"/>
  <c r="CF124" i="4"/>
  <c r="CB124" i="4"/>
  <c r="CA124" i="4"/>
  <c r="BW124" i="4"/>
  <c r="BV124" i="4"/>
  <c r="BR124" i="4"/>
  <c r="BQ124" i="4"/>
  <c r="BM124" i="4"/>
  <c r="BL124" i="4"/>
  <c r="BJ124" i="4"/>
  <c r="DX325" i="9" s="1"/>
  <c r="BI124" i="4"/>
  <c r="DW325" i="9" s="1"/>
  <c r="BH124" i="4"/>
  <c r="DV325" i="9" s="1"/>
  <c r="BG124" i="4"/>
  <c r="BE124" i="4"/>
  <c r="BD124" i="4"/>
  <c r="BC124" i="4"/>
  <c r="BB124" i="4"/>
  <c r="AX124" i="4"/>
  <c r="AW124" i="4"/>
  <c r="AU124" i="4"/>
  <c r="AT124" i="4"/>
  <c r="AS124" i="4"/>
  <c r="AR124" i="4"/>
  <c r="AP124" i="4"/>
  <c r="AO124" i="4"/>
  <c r="AN124" i="4"/>
  <c r="AM124" i="4"/>
  <c r="AK124" i="4"/>
  <c r="AJ124" i="4"/>
  <c r="AI124" i="4"/>
  <c r="AH124" i="4"/>
  <c r="AF124" i="4"/>
  <c r="AE124" i="4"/>
  <c r="AD124" i="4"/>
  <c r="AC124" i="4"/>
  <c r="AA124" i="4"/>
  <c r="Z124" i="4"/>
  <c r="Y124" i="4"/>
  <c r="X124" i="4"/>
  <c r="V124" i="4"/>
  <c r="U124" i="4"/>
  <c r="T124" i="4"/>
  <c r="S124" i="4"/>
  <c r="Q124" i="4"/>
  <c r="P124" i="4"/>
  <c r="O124" i="4"/>
  <c r="N124" i="4"/>
  <c r="J124" i="4"/>
  <c r="I124" i="4"/>
  <c r="CX122" i="4"/>
  <c r="CW122" i="4"/>
  <c r="CV122" i="4"/>
  <c r="CU122" i="4"/>
  <c r="CS122" i="4"/>
  <c r="CR122" i="4"/>
  <c r="CQ122" i="4"/>
  <c r="CP122" i="4"/>
  <c r="CN122" i="4"/>
  <c r="CM122" i="4"/>
  <c r="CL122" i="4"/>
  <c r="CK122" i="4"/>
  <c r="CI122" i="4"/>
  <c r="CH122" i="4"/>
  <c r="CG122" i="4"/>
  <c r="CF122" i="4"/>
  <c r="CD122" i="4"/>
  <c r="CC122" i="4"/>
  <c r="CB122" i="4"/>
  <c r="CA122" i="4"/>
  <c r="BY122" i="4"/>
  <c r="BX122" i="4"/>
  <c r="BW122" i="4"/>
  <c r="BV122" i="4"/>
  <c r="BT122" i="4"/>
  <c r="BS122" i="4"/>
  <c r="BR122" i="4"/>
  <c r="BQ122" i="4"/>
  <c r="BO122" i="4"/>
  <c r="EC323" i="9" s="1"/>
  <c r="BN122" i="4"/>
  <c r="EB323" i="9" s="1"/>
  <c r="BM122" i="4"/>
  <c r="EA323" i="9" s="1"/>
  <c r="BL122" i="4"/>
  <c r="DZ323" i="9" s="1"/>
  <c r="BJ122" i="4"/>
  <c r="DX323" i="9" s="1"/>
  <c r="BI122" i="4"/>
  <c r="DW323" i="9" s="1"/>
  <c r="BH122" i="4"/>
  <c r="DV323" i="9" s="1"/>
  <c r="BG122" i="4"/>
  <c r="DU323" i="9" s="1"/>
  <c r="BD122" i="4"/>
  <c r="BC122" i="4"/>
  <c r="BB122" i="4"/>
  <c r="AX122" i="4"/>
  <c r="AW122" i="4"/>
  <c r="AS122" i="4"/>
  <c r="AR122" i="4"/>
  <c r="AN122" i="4"/>
  <c r="AM122" i="4"/>
  <c r="AI122" i="4"/>
  <c r="AH122" i="4"/>
  <c r="AD122" i="4"/>
  <c r="AC122" i="4"/>
  <c r="AA122" i="4"/>
  <c r="Z122" i="4"/>
  <c r="Y122" i="4"/>
  <c r="X122" i="4"/>
  <c r="AB122" i="4" s="1"/>
  <c r="DH122" i="4" s="1"/>
  <c r="U122" i="4"/>
  <c r="T122" i="4"/>
  <c r="S122" i="4"/>
  <c r="Q122" i="4"/>
  <c r="P122" i="4"/>
  <c r="O122" i="4"/>
  <c r="N122" i="4"/>
  <c r="L122" i="4"/>
  <c r="K122" i="4"/>
  <c r="J122" i="4"/>
  <c r="I122" i="4"/>
  <c r="DA121" i="4"/>
  <c r="DY121" i="4" s="1"/>
  <c r="CZ121" i="4"/>
  <c r="DX121" i="4" s="1"/>
  <c r="CX121" i="4"/>
  <c r="CV121" i="4"/>
  <c r="CS121" i="4"/>
  <c r="CR121" i="4"/>
  <c r="CQ121" i="4"/>
  <c r="CP121" i="4"/>
  <c r="CN121" i="4"/>
  <c r="CM121" i="4"/>
  <c r="CL121" i="4"/>
  <c r="CK121" i="4"/>
  <c r="CH121" i="4"/>
  <c r="CG121" i="4"/>
  <c r="CF121" i="4"/>
  <c r="CD121" i="4"/>
  <c r="CC121" i="4"/>
  <c r="CB121" i="4"/>
  <c r="CA121" i="4"/>
  <c r="BY121" i="4"/>
  <c r="BX121" i="4"/>
  <c r="BW121" i="4"/>
  <c r="BV121" i="4"/>
  <c r="BT121" i="4"/>
  <c r="BS121" i="4"/>
  <c r="BR121" i="4"/>
  <c r="BQ121" i="4"/>
  <c r="BM121" i="4"/>
  <c r="CZ221" i="9" s="1"/>
  <c r="BL121" i="4"/>
  <c r="CY221" i="9" s="1"/>
  <c r="BI121" i="4"/>
  <c r="CV221" i="9" s="1"/>
  <c r="BH121" i="4"/>
  <c r="CU221" i="9" s="1"/>
  <c r="BG121" i="4"/>
  <c r="CT221" i="9" s="1"/>
  <c r="BE121" i="4"/>
  <c r="BD121" i="4"/>
  <c r="BC121" i="4"/>
  <c r="BB121" i="4"/>
  <c r="AZ121" i="4"/>
  <c r="AY121" i="4"/>
  <c r="AX121" i="4"/>
  <c r="AW121" i="4"/>
  <c r="AU121" i="4"/>
  <c r="AT121" i="4"/>
  <c r="AS121" i="4"/>
  <c r="AR121" i="4"/>
  <c r="AP121" i="4"/>
  <c r="AO121" i="4"/>
  <c r="AN121" i="4"/>
  <c r="AM121" i="4"/>
  <c r="CV120" i="4"/>
  <c r="CS120" i="4"/>
  <c r="CQ120" i="4"/>
  <c r="CP120" i="4"/>
  <c r="CN120" i="4"/>
  <c r="CM120" i="4"/>
  <c r="CL120" i="4"/>
  <c r="CK120" i="4"/>
  <c r="CG120" i="4"/>
  <c r="CF120" i="4"/>
  <c r="CD120" i="4"/>
  <c r="CC120" i="4"/>
  <c r="CB120" i="4"/>
  <c r="CA120" i="4"/>
  <c r="BV120" i="4"/>
  <c r="BS120" i="4"/>
  <c r="BR120" i="4"/>
  <c r="BQ120" i="4"/>
  <c r="BN120" i="4"/>
  <c r="BM120" i="4"/>
  <c r="BL120" i="4"/>
  <c r="BJ120" i="4"/>
  <c r="BI120" i="4"/>
  <c r="BH120" i="4"/>
  <c r="BG120" i="4"/>
  <c r="BE120" i="4"/>
  <c r="BD120" i="4"/>
  <c r="BC120" i="4"/>
  <c r="BB120" i="4"/>
  <c r="AZ120" i="4"/>
  <c r="AY120" i="4"/>
  <c r="AX120" i="4"/>
  <c r="AW120" i="4"/>
  <c r="AT120" i="4"/>
  <c r="AS120" i="4"/>
  <c r="AR120" i="4"/>
  <c r="AN120" i="4"/>
  <c r="AM120" i="4"/>
  <c r="AU119" i="4"/>
  <c r="AT119" i="4"/>
  <c r="AS119" i="4"/>
  <c r="AR119" i="4"/>
  <c r="AP119" i="4"/>
  <c r="AO119" i="4"/>
  <c r="AN119" i="4"/>
  <c r="AM119" i="4"/>
  <c r="AK119" i="4"/>
  <c r="AJ119" i="4"/>
  <c r="AI119" i="4"/>
  <c r="AH119" i="4"/>
  <c r="AF119" i="4"/>
  <c r="AE119" i="4"/>
  <c r="AD119" i="4"/>
  <c r="AC119" i="4"/>
  <c r="AA119" i="4"/>
  <c r="Z119" i="4"/>
  <c r="Y119" i="4"/>
  <c r="X119" i="4"/>
  <c r="V119" i="4"/>
  <c r="U119" i="4"/>
  <c r="T119" i="4"/>
  <c r="S119" i="4"/>
  <c r="Q119" i="4"/>
  <c r="P119" i="4"/>
  <c r="O119" i="4"/>
  <c r="N119" i="4"/>
  <c r="L119" i="4"/>
  <c r="K119" i="4"/>
  <c r="J119" i="4"/>
  <c r="I119" i="4"/>
  <c r="DA119" i="4"/>
  <c r="DY119" i="4" s="1"/>
  <c r="CZ119" i="4"/>
  <c r="DX119" i="4" s="1"/>
  <c r="CX119" i="4"/>
  <c r="CW119" i="4"/>
  <c r="CV119" i="4"/>
  <c r="CU119" i="4"/>
  <c r="CS119" i="4"/>
  <c r="CQ119" i="4"/>
  <c r="CP119" i="4"/>
  <c r="CL119" i="4"/>
  <c r="CK119" i="4"/>
  <c r="CJ119" i="4"/>
  <c r="DT119" i="4" s="1"/>
  <c r="CI119" i="4"/>
  <c r="CH119" i="4"/>
  <c r="CG119" i="4"/>
  <c r="CF119" i="4"/>
  <c r="CE119" i="4"/>
  <c r="DS119" i="4" s="1"/>
  <c r="CD119" i="4"/>
  <c r="CC119" i="4"/>
  <c r="CB119" i="4"/>
  <c r="CA119" i="4"/>
  <c r="BZ119" i="4"/>
  <c r="BY119" i="4"/>
  <c r="BX119" i="4"/>
  <c r="BW119" i="4"/>
  <c r="BV119" i="4"/>
  <c r="BU119" i="4"/>
  <c r="BT119" i="4"/>
  <c r="BS119" i="4"/>
  <c r="BR119" i="4"/>
  <c r="BQ119" i="4"/>
  <c r="BP119" i="4"/>
  <c r="BO119" i="4"/>
  <c r="BN119" i="4"/>
  <c r="BM119" i="4"/>
  <c r="BL119" i="4"/>
  <c r="BI119" i="4"/>
  <c r="BH119" i="4"/>
  <c r="BG119" i="4"/>
  <c r="BC119" i="4"/>
  <c r="BB119" i="4"/>
  <c r="AX119" i="4"/>
  <c r="AW119" i="4"/>
  <c r="DA118" i="4"/>
  <c r="DY118" i="4" s="1"/>
  <c r="CZ118" i="4"/>
  <c r="DX118" i="4" s="1"/>
  <c r="CX118" i="4"/>
  <c r="CW118" i="4"/>
  <c r="CV118" i="4"/>
  <c r="CU118" i="4"/>
  <c r="CT118" i="4"/>
  <c r="DV118" i="4" s="1"/>
  <c r="CS118" i="4"/>
  <c r="CR118" i="4"/>
  <c r="CQ118" i="4"/>
  <c r="CP118" i="4"/>
  <c r="CB118" i="4"/>
  <c r="BX118" i="4"/>
  <c r="BW118" i="4"/>
  <c r="BV118" i="4"/>
  <c r="BR118" i="4"/>
  <c r="BO118" i="4"/>
  <c r="BL118" i="4"/>
  <c r="BH118" i="4"/>
  <c r="BG118" i="4"/>
  <c r="BD118" i="4"/>
  <c r="BC118" i="4"/>
  <c r="BB118" i="4"/>
  <c r="AY118" i="4"/>
  <c r="AX118" i="4"/>
  <c r="AW118" i="4"/>
  <c r="CR116" i="4"/>
  <c r="CQ116" i="4"/>
  <c r="CP116" i="4"/>
  <c r="CM116" i="4"/>
  <c r="CL116" i="4"/>
  <c r="CK116" i="4"/>
  <c r="CI116" i="4"/>
  <c r="CH116" i="4"/>
  <c r="CG116" i="4"/>
  <c r="CF116" i="4"/>
  <c r="CJ116" i="4" s="1"/>
  <c r="DT116" i="4" s="1"/>
  <c r="CD116" i="4"/>
  <c r="CC116" i="4"/>
  <c r="CB116" i="4"/>
  <c r="CA116" i="4"/>
  <c r="CE116" i="4" s="1"/>
  <c r="DS116" i="4" s="1"/>
  <c r="BY116" i="4"/>
  <c r="BX116" i="4"/>
  <c r="BW116" i="4"/>
  <c r="BV116" i="4"/>
  <c r="BZ116" i="4" s="1"/>
  <c r="BT116" i="4"/>
  <c r="BS116" i="4"/>
  <c r="BR116" i="4"/>
  <c r="BQ116" i="4"/>
  <c r="BN116" i="4"/>
  <c r="BM116" i="4"/>
  <c r="BL116" i="4"/>
  <c r="BG116" i="4"/>
  <c r="BD116" i="4"/>
  <c r="BB116" i="4"/>
  <c r="AX116" i="4"/>
  <c r="AW116" i="4"/>
  <c r="CZ115" i="4"/>
  <c r="DX115" i="4" s="1"/>
  <c r="CX115" i="4"/>
  <c r="CW115" i="4"/>
  <c r="CV115" i="4"/>
  <c r="CU115" i="4"/>
  <c r="CQ115" i="4"/>
  <c r="CP115" i="4"/>
  <c r="CK115" i="4"/>
  <c r="CH115" i="4"/>
  <c r="CG115" i="4"/>
  <c r="CF115" i="4"/>
  <c r="CD115" i="4"/>
  <c r="CC115" i="4"/>
  <c r="CB115" i="4"/>
  <c r="CA115" i="4"/>
  <c r="BY115" i="4"/>
  <c r="BX115" i="4"/>
  <c r="BW115" i="4"/>
  <c r="BV115" i="4"/>
  <c r="BT115" i="4"/>
  <c r="BS115" i="4"/>
  <c r="BR115" i="4"/>
  <c r="BQ115" i="4"/>
  <c r="BO115" i="4"/>
  <c r="DB212" i="9" s="1"/>
  <c r="BN115" i="4"/>
  <c r="DA212" i="9" s="1"/>
  <c r="BM115" i="4"/>
  <c r="CZ212" i="9" s="1"/>
  <c r="BL115" i="4"/>
  <c r="CY212" i="9" s="1"/>
  <c r="BJ115" i="4"/>
  <c r="BI115" i="4"/>
  <c r="BH115" i="4"/>
  <c r="BG115" i="4"/>
  <c r="BD115" i="4"/>
  <c r="BC115" i="4"/>
  <c r="BB115" i="4"/>
  <c r="AW115" i="4"/>
  <c r="AS118" i="4"/>
  <c r="AR118" i="4"/>
  <c r="AO118" i="4"/>
  <c r="AN118" i="4"/>
  <c r="AM118" i="4"/>
  <c r="AK118" i="4"/>
  <c r="AJ118" i="4"/>
  <c r="AI118" i="4"/>
  <c r="AH118" i="4"/>
  <c r="AE118" i="4"/>
  <c r="AD118" i="4"/>
  <c r="AC118" i="4"/>
  <c r="X118" i="4"/>
  <c r="U118" i="4"/>
  <c r="T118" i="4"/>
  <c r="S118" i="4"/>
  <c r="Q118" i="4"/>
  <c r="P118" i="4"/>
  <c r="O118" i="4"/>
  <c r="N118" i="4"/>
  <c r="AU116" i="4"/>
  <c r="AT116" i="4"/>
  <c r="AS116" i="4"/>
  <c r="AR116" i="4"/>
  <c r="AN116" i="4"/>
  <c r="AM116" i="4"/>
  <c r="AK116" i="4"/>
  <c r="AJ116" i="4"/>
  <c r="AI116" i="4"/>
  <c r="AH116" i="4"/>
  <c r="AF116" i="4"/>
  <c r="AE116" i="4"/>
  <c r="AD116" i="4"/>
  <c r="AC116" i="4"/>
  <c r="AA116" i="4"/>
  <c r="Z116" i="4"/>
  <c r="Y116" i="4"/>
  <c r="X116" i="4"/>
  <c r="V116" i="4"/>
  <c r="U116" i="4"/>
  <c r="T116" i="4"/>
  <c r="S116" i="4"/>
  <c r="P116" i="4"/>
  <c r="O116" i="4"/>
  <c r="N116" i="4"/>
  <c r="AU115" i="4"/>
  <c r="AT115" i="4"/>
  <c r="AS115" i="4"/>
  <c r="AR115" i="4"/>
  <c r="AP115" i="4"/>
  <c r="AO115" i="4"/>
  <c r="AN115" i="4"/>
  <c r="AM115" i="4"/>
  <c r="AQ115" i="4" s="1"/>
  <c r="DK115" i="4" s="1"/>
  <c r="AK115" i="4"/>
  <c r="AJ115" i="4"/>
  <c r="AI115" i="4"/>
  <c r="AH115" i="4"/>
  <c r="AL115" i="4" s="1"/>
  <c r="DJ115" i="4" s="1"/>
  <c r="AF115" i="4"/>
  <c r="AE115" i="4"/>
  <c r="AD115" i="4"/>
  <c r="AC115" i="4"/>
  <c r="AA115" i="4"/>
  <c r="Z115" i="4"/>
  <c r="Y115" i="4"/>
  <c r="X115" i="4"/>
  <c r="V115" i="4"/>
  <c r="U115" i="4"/>
  <c r="T115" i="4"/>
  <c r="S115" i="4"/>
  <c r="Q115" i="4"/>
  <c r="P115" i="4"/>
  <c r="O115" i="4"/>
  <c r="N115" i="4"/>
  <c r="R115" i="4" s="1"/>
  <c r="DF115" i="4" s="1"/>
  <c r="L116" i="4"/>
  <c r="K116" i="4"/>
  <c r="J116" i="4"/>
  <c r="I116" i="4"/>
  <c r="M116" i="4" s="1"/>
  <c r="DE116" i="4" s="1"/>
  <c r="L115" i="4"/>
  <c r="K115" i="4"/>
  <c r="J115" i="4"/>
  <c r="I115" i="4"/>
  <c r="M115" i="4" s="1"/>
  <c r="DE115" i="4" s="1"/>
  <c r="BO114" i="4"/>
  <c r="BN114" i="4"/>
  <c r="BM114" i="4"/>
  <c r="BL114" i="4"/>
  <c r="CS113" i="4"/>
  <c r="CR113" i="4"/>
  <c r="CQ113" i="4"/>
  <c r="CP113" i="4"/>
  <c r="CN113" i="4"/>
  <c r="CM113" i="4"/>
  <c r="CL113" i="4"/>
  <c r="CK113" i="4"/>
  <c r="CI113" i="4"/>
  <c r="CH113" i="4"/>
  <c r="CG113" i="4"/>
  <c r="CF113" i="4"/>
  <c r="CB113" i="4"/>
  <c r="CA113" i="4"/>
  <c r="BY113" i="4"/>
  <c r="BX113" i="4"/>
  <c r="BW113" i="4"/>
  <c r="BV113" i="4"/>
  <c r="BR113" i="4"/>
  <c r="BQ113" i="4"/>
  <c r="BO113" i="4"/>
  <c r="BN113" i="4"/>
  <c r="BM113" i="4"/>
  <c r="BL113" i="4"/>
  <c r="DA111" i="4"/>
  <c r="DY111" i="4" s="1"/>
  <c r="CZ111" i="4"/>
  <c r="DX111" i="4" s="1"/>
  <c r="CY111" i="4"/>
  <c r="DW111" i="4" s="1"/>
  <c r="CX111" i="4"/>
  <c r="CW111" i="4"/>
  <c r="CV111" i="4"/>
  <c r="CU111" i="4"/>
  <c r="CT111" i="4"/>
  <c r="DV111" i="4" s="1"/>
  <c r="CS111" i="4"/>
  <c r="CR111" i="4"/>
  <c r="CQ111" i="4"/>
  <c r="CP111" i="4"/>
  <c r="CO111" i="4"/>
  <c r="DU111" i="4" s="1"/>
  <c r="CN111" i="4"/>
  <c r="CM111" i="4"/>
  <c r="CL111" i="4"/>
  <c r="CK111" i="4"/>
  <c r="CJ111" i="4"/>
  <c r="DT111" i="4" s="1"/>
  <c r="CI111" i="4"/>
  <c r="CH111" i="4"/>
  <c r="CG111" i="4"/>
  <c r="CF111" i="4"/>
  <c r="CE111" i="4"/>
  <c r="DS111" i="4" s="1"/>
  <c r="CD111" i="4"/>
  <c r="CC111" i="4"/>
  <c r="CB111" i="4"/>
  <c r="CA111" i="4"/>
  <c r="BZ111" i="4"/>
  <c r="DR111" i="4" s="1"/>
  <c r="BY111" i="4"/>
  <c r="BX111" i="4"/>
  <c r="BW111" i="4"/>
  <c r="BV111" i="4"/>
  <c r="BU111" i="4"/>
  <c r="DQ111" i="4" s="1"/>
  <c r="BT111" i="4"/>
  <c r="BS111" i="4"/>
  <c r="BR111" i="4"/>
  <c r="BQ111" i="4"/>
  <c r="BP111" i="4"/>
  <c r="DP111" i="4" s="1"/>
  <c r="BO111" i="4"/>
  <c r="BN111" i="4"/>
  <c r="BM111" i="4"/>
  <c r="BL111" i="4"/>
  <c r="BI113" i="4"/>
  <c r="BH113" i="4"/>
  <c r="BG113" i="4"/>
  <c r="BC113" i="4"/>
  <c r="BB113" i="4"/>
  <c r="AY113" i="4"/>
  <c r="AX113" i="4"/>
  <c r="AW113" i="4"/>
  <c r="AT113" i="4"/>
  <c r="AS113" i="4"/>
  <c r="AR113" i="4"/>
  <c r="AO113" i="4"/>
  <c r="AN113" i="4"/>
  <c r="AM113" i="4"/>
  <c r="AK113" i="4"/>
  <c r="AJ113" i="4"/>
  <c r="AI113" i="4"/>
  <c r="AH113" i="4"/>
  <c r="AF113" i="4"/>
  <c r="AE113" i="4"/>
  <c r="AD113" i="4"/>
  <c r="AC113" i="4"/>
  <c r="AA113" i="4"/>
  <c r="Z113" i="4"/>
  <c r="Y113" i="4"/>
  <c r="X113" i="4"/>
  <c r="V113" i="4"/>
  <c r="U113" i="4"/>
  <c r="T113" i="4"/>
  <c r="S113" i="4"/>
  <c r="Q113" i="4"/>
  <c r="P113" i="4"/>
  <c r="O113" i="4"/>
  <c r="N113" i="4"/>
  <c r="L113" i="4"/>
  <c r="K113" i="4"/>
  <c r="J113" i="4"/>
  <c r="I113" i="4"/>
  <c r="BK111" i="4"/>
  <c r="DO111" i="4" s="1"/>
  <c r="BJ111" i="4"/>
  <c r="BI111" i="4"/>
  <c r="BH111" i="4"/>
  <c r="BG111" i="4"/>
  <c r="BF111" i="4"/>
  <c r="DN111" i="4" s="1"/>
  <c r="BE111" i="4"/>
  <c r="BD111" i="4"/>
  <c r="BC111" i="4"/>
  <c r="BB111" i="4"/>
  <c r="BA111" i="4"/>
  <c r="DM111" i="4" s="1"/>
  <c r="AZ111" i="4"/>
  <c r="AY111" i="4"/>
  <c r="AX111" i="4"/>
  <c r="AW111" i="4"/>
  <c r="AV111" i="4"/>
  <c r="DL111" i="4" s="1"/>
  <c r="AU111" i="4"/>
  <c r="AT111" i="4"/>
  <c r="AS111" i="4"/>
  <c r="AR111" i="4"/>
  <c r="AQ111" i="4"/>
  <c r="DK111" i="4" s="1"/>
  <c r="AP111" i="4"/>
  <c r="AO111" i="4"/>
  <c r="AN111" i="4"/>
  <c r="AM111" i="4"/>
  <c r="AL111" i="4"/>
  <c r="AK111" i="4"/>
  <c r="AJ111" i="4"/>
  <c r="AI111" i="4"/>
  <c r="AH111" i="4"/>
  <c r="AG111" i="4"/>
  <c r="DI111" i="4" s="1"/>
  <c r="AF111" i="4"/>
  <c r="AE111" i="4"/>
  <c r="AD111" i="4"/>
  <c r="AC111" i="4"/>
  <c r="AB111" i="4"/>
  <c r="DH111" i="4" s="1"/>
  <c r="AA111" i="4"/>
  <c r="Z111" i="4"/>
  <c r="Y111" i="4"/>
  <c r="X111" i="4"/>
  <c r="W111" i="4"/>
  <c r="DG111" i="4" s="1"/>
  <c r="V111" i="4"/>
  <c r="U111" i="4"/>
  <c r="T111" i="4"/>
  <c r="S111" i="4"/>
  <c r="R111" i="4"/>
  <c r="DF111" i="4" s="1"/>
  <c r="Q111" i="4"/>
  <c r="P111" i="4"/>
  <c r="O111" i="4"/>
  <c r="N111" i="4"/>
  <c r="M111" i="4"/>
  <c r="DE111" i="4" s="1"/>
  <c r="L111" i="4"/>
  <c r="K111" i="4"/>
  <c r="J111" i="4"/>
  <c r="I111" i="4"/>
  <c r="DY109" i="4"/>
  <c r="DX109" i="4"/>
  <c r="DW109" i="4"/>
  <c r="DV109" i="4"/>
  <c r="DU109" i="4"/>
  <c r="DT109" i="4"/>
  <c r="DS109" i="4"/>
  <c r="DR109" i="4"/>
  <c r="DQ109" i="4"/>
  <c r="DP109" i="4"/>
  <c r="DO109" i="4"/>
  <c r="DN109" i="4"/>
  <c r="DM109" i="4"/>
  <c r="DL109" i="4"/>
  <c r="DK109" i="4"/>
  <c r="DJ109" i="4"/>
  <c r="DI109" i="4"/>
  <c r="DH109" i="4"/>
  <c r="DG109" i="4"/>
  <c r="DF109" i="4"/>
  <c r="DE109" i="4"/>
  <c r="DY108" i="4"/>
  <c r="DX108" i="4"/>
  <c r="DW108" i="4"/>
  <c r="DV108" i="4"/>
  <c r="DU108" i="4"/>
  <c r="DT108" i="4"/>
  <c r="DS108" i="4"/>
  <c r="DR108" i="4"/>
  <c r="DQ108" i="4"/>
  <c r="DP108" i="4"/>
  <c r="DO108" i="4"/>
  <c r="DN108" i="4"/>
  <c r="DM108" i="4"/>
  <c r="DL108" i="4"/>
  <c r="DK108" i="4"/>
  <c r="DJ108" i="4"/>
  <c r="DI108" i="4"/>
  <c r="DH108" i="4"/>
  <c r="DG108" i="4"/>
  <c r="DF108" i="4"/>
  <c r="DE108" i="4"/>
  <c r="BZ107" i="4"/>
  <c r="AU81" i="72" s="1"/>
  <c r="BU107" i="4"/>
  <c r="AP81" i="72" s="1"/>
  <c r="BP107" i="4"/>
  <c r="BK107" i="4"/>
  <c r="DO101" i="4"/>
  <c r="DN101" i="4"/>
  <c r="DM101" i="4"/>
  <c r="DL101" i="4"/>
  <c r="DK101" i="4"/>
  <c r="DJ101" i="4"/>
  <c r="DI101" i="4"/>
  <c r="DH101" i="4"/>
  <c r="DG101" i="4"/>
  <c r="DF101" i="4"/>
  <c r="DE101" i="4"/>
  <c r="DH100" i="4"/>
  <c r="DG100" i="4"/>
  <c r="DF100" i="4"/>
  <c r="DE100" i="4"/>
  <c r="DH99" i="4"/>
  <c r="DG99" i="4"/>
  <c r="DF99" i="4"/>
  <c r="DE99" i="4"/>
  <c r="DH98" i="4"/>
  <c r="DG98" i="4"/>
  <c r="DF98" i="4"/>
  <c r="DE98" i="4"/>
  <c r="DR97" i="4"/>
  <c r="DN97" i="4"/>
  <c r="DM97" i="4"/>
  <c r="DL97" i="4"/>
  <c r="DK97" i="4"/>
  <c r="DJ97" i="4"/>
  <c r="DI97" i="4"/>
  <c r="DH97" i="4"/>
  <c r="DG97" i="4"/>
  <c r="DF97" i="4"/>
  <c r="DE97" i="4"/>
  <c r="CQ97" i="4"/>
  <c r="CT97" i="4" s="1"/>
  <c r="DV97" i="4" s="1"/>
  <c r="CQ96" i="4"/>
  <c r="CJ97" i="4"/>
  <c r="DT97" i="4" s="1"/>
  <c r="CG97" i="4"/>
  <c r="CE97" i="4"/>
  <c r="DS97" i="4" s="1"/>
  <c r="BU97" i="4"/>
  <c r="DQ97" i="4" s="1"/>
  <c r="BP97" i="4"/>
  <c r="DP97" i="4" s="1"/>
  <c r="BK97" i="4"/>
  <c r="DO97" i="4" s="1"/>
  <c r="CZ97" i="4"/>
  <c r="DX97" i="4" s="1"/>
  <c r="CX97" i="4"/>
  <c r="CW97" i="4"/>
  <c r="CV97" i="4"/>
  <c r="CU97" i="4"/>
  <c r="CV96" i="4"/>
  <c r="CU96" i="4"/>
  <c r="CR96" i="4"/>
  <c r="CW96" i="4" s="1"/>
  <c r="CO95" i="4"/>
  <c r="CO94" i="4"/>
  <c r="DU94" i="4" s="1"/>
  <c r="CO93" i="4"/>
  <c r="DU93" i="4" s="1"/>
  <c r="CO92" i="4"/>
  <c r="CO91" i="4"/>
  <c r="CO87" i="4"/>
  <c r="DU87" i="4" s="1"/>
  <c r="CJ95" i="4"/>
  <c r="BA83" i="72" s="1"/>
  <c r="CJ94" i="4"/>
  <c r="DT94" i="4" s="1"/>
  <c r="CJ93" i="4"/>
  <c r="CJ92" i="4"/>
  <c r="DT92" i="4" s="1"/>
  <c r="CJ91" i="4"/>
  <c r="CJ87" i="4"/>
  <c r="CE95" i="4"/>
  <c r="CE94" i="4"/>
  <c r="DS94" i="4" s="1"/>
  <c r="CE93" i="4"/>
  <c r="CE87" i="4"/>
  <c r="DS87" i="4" s="1"/>
  <c r="BZ95" i="4"/>
  <c r="BZ94" i="4"/>
  <c r="DR94" i="4" s="1"/>
  <c r="BZ93" i="4"/>
  <c r="BZ92" i="4"/>
  <c r="DR92" i="4" s="1"/>
  <c r="BZ91" i="4"/>
  <c r="DR91" i="4" s="1"/>
  <c r="BZ87" i="4"/>
  <c r="BU95" i="4"/>
  <c r="AP83" i="72" s="1"/>
  <c r="BU94" i="4"/>
  <c r="BU93" i="4"/>
  <c r="DQ93" i="4" s="1"/>
  <c r="BU91" i="4"/>
  <c r="DQ91" i="4" s="1"/>
  <c r="BU87" i="4"/>
  <c r="BP94" i="4"/>
  <c r="DP94" i="4" s="1"/>
  <c r="BP93" i="4"/>
  <c r="BP92" i="4"/>
  <c r="BP91" i="4"/>
  <c r="BP87" i="4"/>
  <c r="DP87" i="4" s="1"/>
  <c r="BK94" i="4"/>
  <c r="BK93" i="4"/>
  <c r="DO93" i="4" s="1"/>
  <c r="BK92" i="4"/>
  <c r="DO92" i="4" s="1"/>
  <c r="BK91" i="4"/>
  <c r="BK87" i="4"/>
  <c r="CA92" i="4"/>
  <c r="CE92" i="4" s="1"/>
  <c r="DS92" i="4" s="1"/>
  <c r="BT92" i="4"/>
  <c r="C41" i="67" s="1"/>
  <c r="BS92" i="4"/>
  <c r="BR92" i="4"/>
  <c r="D41" i="71" s="1"/>
  <c r="BQ92" i="4"/>
  <c r="D41" i="69" s="1"/>
  <c r="BF91" i="4"/>
  <c r="BF75" i="4" s="1"/>
  <c r="BA91" i="4"/>
  <c r="BA75" i="4" s="1"/>
  <c r="AV91" i="4"/>
  <c r="AP91" i="4"/>
  <c r="AP75" i="4" s="1"/>
  <c r="AO91" i="4"/>
  <c r="AN91" i="4"/>
  <c r="AN75" i="4" s="1"/>
  <c r="AM91" i="4"/>
  <c r="AK91" i="4"/>
  <c r="AJ91" i="4"/>
  <c r="AI91" i="4"/>
  <c r="AI75" i="4" s="1"/>
  <c r="AH91" i="4"/>
  <c r="AH75" i="4" s="1"/>
  <c r="AF91" i="4"/>
  <c r="AE91" i="4"/>
  <c r="AD91" i="4"/>
  <c r="AD75" i="4" s="1"/>
  <c r="AC91" i="4"/>
  <c r="AA91" i="4"/>
  <c r="Z91" i="4"/>
  <c r="Y91" i="4"/>
  <c r="X91" i="4"/>
  <c r="V91" i="4"/>
  <c r="U91" i="4"/>
  <c r="T91" i="4"/>
  <c r="S91" i="4"/>
  <c r="Q91" i="4"/>
  <c r="P91" i="4"/>
  <c r="O91" i="4"/>
  <c r="N91" i="4"/>
  <c r="L91" i="4"/>
  <c r="K91" i="4"/>
  <c r="J91" i="4"/>
  <c r="I91" i="4"/>
  <c r="CL90" i="4"/>
  <c r="CK90" i="4"/>
  <c r="DV95" i="4"/>
  <c r="DU95" i="4"/>
  <c r="DT95" i="4"/>
  <c r="DQ95" i="4"/>
  <c r="DP95" i="4"/>
  <c r="DO95" i="4"/>
  <c r="DN95" i="4"/>
  <c r="DM95" i="4"/>
  <c r="DL95" i="4"/>
  <c r="DK95" i="4"/>
  <c r="DJ95" i="4"/>
  <c r="DI95" i="4"/>
  <c r="DH95" i="4"/>
  <c r="DG95" i="4"/>
  <c r="DF95" i="4"/>
  <c r="DE95" i="4"/>
  <c r="DQ94" i="4"/>
  <c r="DO94" i="4"/>
  <c r="DN94" i="4"/>
  <c r="DM94" i="4"/>
  <c r="DL94" i="4"/>
  <c r="DK94" i="4"/>
  <c r="DJ94" i="4"/>
  <c r="DI94" i="4"/>
  <c r="DH94" i="4"/>
  <c r="DG94" i="4"/>
  <c r="DF94" i="4"/>
  <c r="DE94" i="4"/>
  <c r="DT93" i="4"/>
  <c r="DS93" i="4"/>
  <c r="DR93" i="4"/>
  <c r="DP93" i="4"/>
  <c r="DN93" i="4"/>
  <c r="DM93" i="4"/>
  <c r="DL93" i="4"/>
  <c r="DK93" i="4"/>
  <c r="DJ93" i="4"/>
  <c r="DI93" i="4"/>
  <c r="DH93" i="4"/>
  <c r="DG93" i="4"/>
  <c r="DF93" i="4"/>
  <c r="DE93" i="4"/>
  <c r="DU92" i="4"/>
  <c r="DP92" i="4"/>
  <c r="DN92" i="4"/>
  <c r="DM92" i="4"/>
  <c r="DL92" i="4"/>
  <c r="DK92" i="4"/>
  <c r="DJ92" i="4"/>
  <c r="DI92" i="4"/>
  <c r="DH92" i="4"/>
  <c r="DG92" i="4"/>
  <c r="DF92" i="4"/>
  <c r="DE92" i="4"/>
  <c r="DU91" i="4"/>
  <c r="DT91" i="4"/>
  <c r="DP91" i="4"/>
  <c r="DN91" i="4"/>
  <c r="DM91" i="4"/>
  <c r="DL91" i="4"/>
  <c r="DN90" i="4"/>
  <c r="DM90" i="4"/>
  <c r="DL90" i="4"/>
  <c r="DK90" i="4"/>
  <c r="DJ90" i="4"/>
  <c r="DI90" i="4"/>
  <c r="DH90" i="4"/>
  <c r="DG90" i="4"/>
  <c r="DF90" i="4"/>
  <c r="DE90" i="4"/>
  <c r="DN89" i="4"/>
  <c r="DM89" i="4"/>
  <c r="DL89" i="4"/>
  <c r="DK89" i="4"/>
  <c r="DJ89" i="4"/>
  <c r="DI89" i="4"/>
  <c r="DH89" i="4"/>
  <c r="DG89" i="4"/>
  <c r="DF89" i="4"/>
  <c r="DE89" i="4"/>
  <c r="DN88" i="4"/>
  <c r="DM88" i="4"/>
  <c r="DL88" i="4"/>
  <c r="DK88" i="4"/>
  <c r="DJ88" i="4"/>
  <c r="DI88" i="4"/>
  <c r="DH88" i="4"/>
  <c r="DG88" i="4"/>
  <c r="DF88" i="4"/>
  <c r="DE88" i="4"/>
  <c r="DY87" i="4"/>
  <c r="DT87" i="4"/>
  <c r="DR87" i="4"/>
  <c r="DQ87" i="4"/>
  <c r="DO87" i="4"/>
  <c r="CV116" i="4"/>
  <c r="CT95" i="4"/>
  <c r="CT94" i="4"/>
  <c r="DV94" i="4" s="1"/>
  <c r="CX93" i="4"/>
  <c r="CW93" i="4"/>
  <c r="CV93" i="4"/>
  <c r="CU93" i="4"/>
  <c r="CT93" i="4"/>
  <c r="DV93" i="4" s="1"/>
  <c r="CT92" i="4"/>
  <c r="DV92" i="4" s="1"/>
  <c r="CX698" i="4"/>
  <c r="CX113" i="4" s="1"/>
  <c r="CW698" i="4"/>
  <c r="CW113" i="4" s="1"/>
  <c r="CV698" i="4"/>
  <c r="CV113" i="4" s="1"/>
  <c r="CT91" i="4"/>
  <c r="DV91" i="4" s="1"/>
  <c r="DA87" i="4"/>
  <c r="CZ87" i="4"/>
  <c r="DX87" i="4" s="1"/>
  <c r="CY87" i="4"/>
  <c r="DW87" i="4" s="1"/>
  <c r="CX87" i="4"/>
  <c r="CW87" i="4"/>
  <c r="CV87" i="4"/>
  <c r="CU87" i="4"/>
  <c r="CT87" i="4"/>
  <c r="DV87" i="4" s="1"/>
  <c r="CR90" i="4"/>
  <c r="CQ90" i="4"/>
  <c r="CP90" i="4"/>
  <c r="CR89" i="4"/>
  <c r="CQ89" i="4"/>
  <c r="CP89" i="4"/>
  <c r="CS87" i="4"/>
  <c r="CR87" i="4"/>
  <c r="CQ87" i="4"/>
  <c r="CP87" i="4"/>
  <c r="CN89" i="4"/>
  <c r="CM89" i="4"/>
  <c r="CL89" i="4"/>
  <c r="CK89" i="4"/>
  <c r="CN87" i="4"/>
  <c r="CM87" i="4"/>
  <c r="CL87" i="4"/>
  <c r="CK87" i="4"/>
  <c r="CI90" i="4"/>
  <c r="CH90" i="4"/>
  <c r="CG90" i="4"/>
  <c r="CF90" i="4"/>
  <c r="CI89" i="4"/>
  <c r="CH89" i="4"/>
  <c r="CG89" i="4"/>
  <c r="CF89" i="4"/>
  <c r="CI87" i="4"/>
  <c r="CH87" i="4"/>
  <c r="CG87" i="4"/>
  <c r="CF87" i="4"/>
  <c r="CD91" i="4"/>
  <c r="CC91" i="4"/>
  <c r="CE91" i="4" s="1"/>
  <c r="CD90" i="4"/>
  <c r="CC90" i="4"/>
  <c r="CD89" i="4"/>
  <c r="CC89" i="4"/>
  <c r="CD87" i="4"/>
  <c r="CC87" i="4"/>
  <c r="CB90" i="4"/>
  <c r="C39" i="81" s="1"/>
  <c r="CA90" i="4"/>
  <c r="CB89" i="4"/>
  <c r="C38" i="81" s="1"/>
  <c r="CA89" i="4"/>
  <c r="CB87" i="4"/>
  <c r="CA87" i="4"/>
  <c r="BY90" i="4"/>
  <c r="BX90" i="4"/>
  <c r="C39" i="73" s="1"/>
  <c r="BW90" i="4"/>
  <c r="BV90" i="4"/>
  <c r="BY89" i="4"/>
  <c r="BX89" i="4"/>
  <c r="C38" i="73" s="1"/>
  <c r="BW89" i="4"/>
  <c r="BV89" i="4"/>
  <c r="BY87" i="4"/>
  <c r="BX87" i="4"/>
  <c r="BW87" i="4"/>
  <c r="BV87" i="4"/>
  <c r="BT90" i="4"/>
  <c r="C39" i="67" s="1"/>
  <c r="BS90" i="4"/>
  <c r="D39" i="73" s="1"/>
  <c r="G39" i="73" s="1"/>
  <c r="BR90" i="4"/>
  <c r="D39" i="71" s="1"/>
  <c r="BQ90" i="4"/>
  <c r="BT89" i="4"/>
  <c r="C38" i="67" s="1"/>
  <c r="BS89" i="4"/>
  <c r="D38" i="73" s="1"/>
  <c r="BR89" i="4"/>
  <c r="D38" i="71" s="1"/>
  <c r="BQ89" i="4"/>
  <c r="BT87" i="4"/>
  <c r="BS87" i="4"/>
  <c r="BR87" i="4"/>
  <c r="BQ87" i="4"/>
  <c r="BO90" i="4"/>
  <c r="D39" i="67" s="1"/>
  <c r="G39" i="67" s="1"/>
  <c r="BN90" i="4"/>
  <c r="BM90" i="4"/>
  <c r="BL90" i="4"/>
  <c r="BO89" i="4"/>
  <c r="BN89" i="4"/>
  <c r="BM89" i="4"/>
  <c r="BL89" i="4"/>
  <c r="BO87" i="4"/>
  <c r="BN87" i="4"/>
  <c r="BM87" i="4"/>
  <c r="BL87" i="4"/>
  <c r="BJ90" i="4"/>
  <c r="BI90" i="4"/>
  <c r="BH90" i="4"/>
  <c r="BG90" i="4"/>
  <c r="BJ89" i="4"/>
  <c r="BI89" i="4"/>
  <c r="BH89" i="4"/>
  <c r="BG89" i="4"/>
  <c r="BJ87" i="4"/>
  <c r="BI87" i="4"/>
  <c r="BH87" i="4"/>
  <c r="BG87" i="4"/>
  <c r="BF87" i="4"/>
  <c r="DN87" i="4" s="1"/>
  <c r="BE87" i="4"/>
  <c r="BD87" i="4"/>
  <c r="BC87" i="4"/>
  <c r="BB87" i="4"/>
  <c r="BA87" i="4"/>
  <c r="DM87" i="4" s="1"/>
  <c r="AZ87" i="4"/>
  <c r="AY87" i="4"/>
  <c r="AX87" i="4"/>
  <c r="AW87" i="4"/>
  <c r="AV87" i="4"/>
  <c r="DL87" i="4" s="1"/>
  <c r="AU87" i="4"/>
  <c r="AT87" i="4"/>
  <c r="AS87" i="4"/>
  <c r="AR87" i="4"/>
  <c r="AQ87" i="4"/>
  <c r="DK87" i="4" s="1"/>
  <c r="AP87" i="4"/>
  <c r="AO87" i="4"/>
  <c r="AN87" i="4"/>
  <c r="AM87" i="4"/>
  <c r="AL87" i="4"/>
  <c r="DJ87" i="4" s="1"/>
  <c r="AK87" i="4"/>
  <c r="AJ87" i="4"/>
  <c r="AI87" i="4"/>
  <c r="AH87" i="4"/>
  <c r="AG87" i="4"/>
  <c r="DI87" i="4" s="1"/>
  <c r="AF87" i="4"/>
  <c r="AE87" i="4"/>
  <c r="AD87" i="4"/>
  <c r="AC87" i="4"/>
  <c r="AB87" i="4"/>
  <c r="DH87" i="4" s="1"/>
  <c r="AA87" i="4"/>
  <c r="Z87" i="4"/>
  <c r="Y87" i="4"/>
  <c r="X87" i="4"/>
  <c r="W87" i="4"/>
  <c r="DG87" i="4" s="1"/>
  <c r="V87" i="4"/>
  <c r="U87" i="4"/>
  <c r="T87" i="4"/>
  <c r="S87" i="4"/>
  <c r="R87" i="4"/>
  <c r="DF87" i="4" s="1"/>
  <c r="Q87" i="4"/>
  <c r="P87" i="4"/>
  <c r="O87" i="4"/>
  <c r="N87" i="4"/>
  <c r="M87" i="4"/>
  <c r="DE87" i="4" s="1"/>
  <c r="L87" i="4"/>
  <c r="K87" i="4"/>
  <c r="J87" i="4"/>
  <c r="I87" i="4"/>
  <c r="CY83" i="4"/>
  <c r="CY82" i="4"/>
  <c r="DW82" i="4" s="1"/>
  <c r="CY73" i="4"/>
  <c r="CT83" i="4"/>
  <c r="CT82" i="4"/>
  <c r="CT75" i="4"/>
  <c r="CT73" i="4"/>
  <c r="DV73" i="4" s="1"/>
  <c r="CO83" i="4"/>
  <c r="CO82" i="4"/>
  <c r="CO75" i="4"/>
  <c r="CO73" i="4"/>
  <c r="CJ83" i="4"/>
  <c r="CJ82" i="4"/>
  <c r="CJ75" i="4"/>
  <c r="CJ73" i="4"/>
  <c r="CE83" i="4"/>
  <c r="CE82" i="4"/>
  <c r="DS82" i="4" s="1"/>
  <c r="CE73" i="4"/>
  <c r="BZ83" i="4"/>
  <c r="BZ82" i="4"/>
  <c r="DR82" i="4" s="1"/>
  <c r="BZ75" i="4"/>
  <c r="BZ73" i="4"/>
  <c r="DR73" i="4" s="1"/>
  <c r="BU83" i="4"/>
  <c r="DQ83" i="4" s="1"/>
  <c r="BU82" i="4"/>
  <c r="BU77" i="4"/>
  <c r="BU75" i="4"/>
  <c r="BU73" i="4"/>
  <c r="BP83" i="4"/>
  <c r="DP83" i="4" s="1"/>
  <c r="BP82" i="4"/>
  <c r="BP81" i="4"/>
  <c r="BP78" i="4"/>
  <c r="DP78" i="4" s="1"/>
  <c r="BP77" i="4"/>
  <c r="BP75" i="4"/>
  <c r="BP73" i="4"/>
  <c r="BK83" i="4"/>
  <c r="DO83" i="4" s="1"/>
  <c r="BK82" i="4"/>
  <c r="DO82" i="4" s="1"/>
  <c r="BK81" i="4"/>
  <c r="BK78" i="4"/>
  <c r="DO78" i="4" s="1"/>
  <c r="BK77" i="4"/>
  <c r="DO77" i="4" s="1"/>
  <c r="BK73" i="4"/>
  <c r="BF81" i="4"/>
  <c r="DN81" i="4" s="1"/>
  <c r="BF78" i="4"/>
  <c r="BF77" i="4"/>
  <c r="BF73" i="4"/>
  <c r="DN73" i="4" s="1"/>
  <c r="BC83" i="4"/>
  <c r="BB83" i="4"/>
  <c r="BF83" i="4" s="1"/>
  <c r="DN83" i="4" s="1"/>
  <c r="AZ83" i="4"/>
  <c r="BA83" i="4" s="1"/>
  <c r="DM83" i="4" s="1"/>
  <c r="AV83" i="4"/>
  <c r="DL83" i="4" s="1"/>
  <c r="AV82" i="4"/>
  <c r="AV81" i="4"/>
  <c r="DL81" i="4" s="1"/>
  <c r="AV78" i="4"/>
  <c r="AV77" i="4"/>
  <c r="DL77" i="4" s="1"/>
  <c r="AV75" i="4"/>
  <c r="AV73" i="4"/>
  <c r="DL73" i="4" s="1"/>
  <c r="AQ83" i="4"/>
  <c r="DK83" i="4" s="1"/>
  <c r="AQ82" i="4"/>
  <c r="AQ81" i="4"/>
  <c r="AQ78" i="4"/>
  <c r="AQ77" i="4"/>
  <c r="AQ73" i="4"/>
  <c r="DK73" i="4" s="1"/>
  <c r="AL83" i="4"/>
  <c r="AL82" i="4"/>
  <c r="DJ82" i="4" s="1"/>
  <c r="AL81" i="4"/>
  <c r="AL78" i="4"/>
  <c r="DJ78" i="4" s="1"/>
  <c r="AL77" i="4"/>
  <c r="AL73" i="4"/>
  <c r="BD82" i="4"/>
  <c r="BC82" i="4"/>
  <c r="BB82" i="4"/>
  <c r="AY82" i="4"/>
  <c r="AX82" i="4"/>
  <c r="BA82" i="4" s="1"/>
  <c r="DM82" i="4" s="1"/>
  <c r="AG82" i="4"/>
  <c r="DI82" i="4" s="1"/>
  <c r="BR81" i="4"/>
  <c r="BQ81" i="4"/>
  <c r="BA81" i="4"/>
  <c r="DM81" i="4" s="1"/>
  <c r="BA78" i="4"/>
  <c r="BA77" i="4"/>
  <c r="BA73" i="4"/>
  <c r="DM73" i="4" s="1"/>
  <c r="BT80" i="4"/>
  <c r="BS80" i="4"/>
  <c r="BR80" i="4"/>
  <c r="BQ80" i="4"/>
  <c r="BU80" i="4" s="1"/>
  <c r="DQ80" i="4" s="1"/>
  <c r="BT79" i="4"/>
  <c r="BS79" i="4"/>
  <c r="BR79" i="4"/>
  <c r="BQ79" i="4"/>
  <c r="BU79" i="4" s="1"/>
  <c r="DQ79" i="4" s="1"/>
  <c r="BO80" i="4"/>
  <c r="BN80" i="4"/>
  <c r="BM80" i="4"/>
  <c r="BL80" i="4"/>
  <c r="BO79" i="4"/>
  <c r="BN79" i="4"/>
  <c r="BM79" i="4"/>
  <c r="BL79" i="4"/>
  <c r="BJ80" i="4"/>
  <c r="D43" i="56" s="1"/>
  <c r="BI80" i="4"/>
  <c r="D47" i="35" s="1"/>
  <c r="BH80" i="4"/>
  <c r="D47" i="48" s="1"/>
  <c r="BG80" i="4"/>
  <c r="BJ79" i="4"/>
  <c r="D42" i="56" s="1"/>
  <c r="BI79" i="4"/>
  <c r="D46" i="35" s="1"/>
  <c r="BH79" i="4"/>
  <c r="D46" i="48" s="1"/>
  <c r="BG79" i="4"/>
  <c r="BE80" i="4"/>
  <c r="BC80" i="4"/>
  <c r="BB80" i="4"/>
  <c r="BE79" i="4"/>
  <c r="BD79" i="4"/>
  <c r="BC79" i="4"/>
  <c r="BB79" i="4"/>
  <c r="AZ80" i="4"/>
  <c r="AY80" i="4"/>
  <c r="AZ79" i="4"/>
  <c r="AY79" i="4"/>
  <c r="AX79" i="4"/>
  <c r="AW79" i="4"/>
  <c r="AU81" i="4"/>
  <c r="AT81" i="4"/>
  <c r="AS81" i="4"/>
  <c r="AR81" i="4"/>
  <c r="AU79" i="4"/>
  <c r="AT79" i="4"/>
  <c r="AS79" i="4"/>
  <c r="AR79" i="4"/>
  <c r="AP81" i="4"/>
  <c r="AO81" i="4"/>
  <c r="AN81" i="4"/>
  <c r="AM81" i="4"/>
  <c r="AM80" i="4"/>
  <c r="AP79" i="4"/>
  <c r="AQ79" i="4" s="1"/>
  <c r="DK79" i="4" s="1"/>
  <c r="AO79" i="4"/>
  <c r="AN79" i="4"/>
  <c r="AM79" i="4"/>
  <c r="AK81" i="4"/>
  <c r="AJ81" i="4"/>
  <c r="AK80" i="4"/>
  <c r="AK79" i="4"/>
  <c r="AJ79" i="4"/>
  <c r="AI80" i="4"/>
  <c r="AH80" i="4"/>
  <c r="AF80" i="4"/>
  <c r="AE80" i="4"/>
  <c r="AD80" i="4"/>
  <c r="AC80" i="4"/>
  <c r="AI79" i="4"/>
  <c r="AH79" i="4"/>
  <c r="AF79" i="4"/>
  <c r="AE79" i="4"/>
  <c r="AD79" i="4"/>
  <c r="AC79" i="4"/>
  <c r="BT78" i="4"/>
  <c r="BR78" i="4"/>
  <c r="BQ78" i="4"/>
  <c r="AG78" i="4"/>
  <c r="DI78" i="4" s="1"/>
  <c r="AG77" i="4"/>
  <c r="DI77" i="4" s="1"/>
  <c r="AG73" i="4"/>
  <c r="DI73" i="4" s="1"/>
  <c r="DI85" i="4"/>
  <c r="DH85" i="4"/>
  <c r="DG85" i="4"/>
  <c r="DF85" i="4"/>
  <c r="DE85" i="4"/>
  <c r="DH84" i="4"/>
  <c r="DG84" i="4"/>
  <c r="DF84" i="4"/>
  <c r="DE84" i="4"/>
  <c r="DY83" i="4"/>
  <c r="DX83" i="4"/>
  <c r="DW83" i="4"/>
  <c r="DV83" i="4"/>
  <c r="DU83" i="4"/>
  <c r="DT83" i="4"/>
  <c r="DS83" i="4"/>
  <c r="DR83" i="4"/>
  <c r="DJ83" i="4"/>
  <c r="DI83" i="4"/>
  <c r="DH83" i="4"/>
  <c r="DG83" i="4"/>
  <c r="DF83" i="4"/>
  <c r="DE83" i="4"/>
  <c r="DY82" i="4"/>
  <c r="DX82" i="4"/>
  <c r="DV82" i="4"/>
  <c r="DU82" i="4"/>
  <c r="DT82" i="4"/>
  <c r="DQ82" i="4"/>
  <c r="DP82" i="4"/>
  <c r="DL82" i="4"/>
  <c r="DK82" i="4"/>
  <c r="DH82" i="4"/>
  <c r="DG82" i="4"/>
  <c r="DF82" i="4"/>
  <c r="DE82" i="4"/>
  <c r="DP81" i="4"/>
  <c r="DO81" i="4"/>
  <c r="DK81" i="4"/>
  <c r="DJ81" i="4"/>
  <c r="DI81" i="4"/>
  <c r="DH81" i="4"/>
  <c r="DG81" i="4"/>
  <c r="DF81" i="4"/>
  <c r="DE81" i="4"/>
  <c r="DH80" i="4"/>
  <c r="DG80" i="4"/>
  <c r="DF80" i="4"/>
  <c r="DE80" i="4"/>
  <c r="DH79" i="4"/>
  <c r="DG79" i="4"/>
  <c r="DF79" i="4"/>
  <c r="DE79" i="4"/>
  <c r="DN78" i="4"/>
  <c r="DM78" i="4"/>
  <c r="DL78" i="4"/>
  <c r="DK78" i="4"/>
  <c r="DH78" i="4"/>
  <c r="DG78" i="4"/>
  <c r="DF78" i="4"/>
  <c r="DE78" i="4"/>
  <c r="DQ77" i="4"/>
  <c r="DP77" i="4"/>
  <c r="DN77" i="4"/>
  <c r="DM77" i="4"/>
  <c r="DK77" i="4"/>
  <c r="DJ77" i="4"/>
  <c r="DH77" i="4"/>
  <c r="DG77" i="4"/>
  <c r="DF77" i="4"/>
  <c r="DE77" i="4"/>
  <c r="DH76" i="4"/>
  <c r="DG76" i="4"/>
  <c r="DF76" i="4"/>
  <c r="DE76" i="4"/>
  <c r="DH74" i="4"/>
  <c r="DG74" i="4"/>
  <c r="DF74" i="4"/>
  <c r="DE74" i="4"/>
  <c r="DW73" i="4"/>
  <c r="DU73" i="4"/>
  <c r="DT73" i="4"/>
  <c r="DS73" i="4"/>
  <c r="DQ73" i="4"/>
  <c r="DP73" i="4"/>
  <c r="DO73" i="4"/>
  <c r="DJ73" i="4"/>
  <c r="DA73" i="4"/>
  <c r="DY73" i="4" s="1"/>
  <c r="CZ73" i="4"/>
  <c r="DX73" i="4" s="1"/>
  <c r="CX75" i="4"/>
  <c r="CW75" i="4"/>
  <c r="CV75" i="4"/>
  <c r="CX73" i="4"/>
  <c r="CW73" i="4"/>
  <c r="CV73" i="4"/>
  <c r="CU73" i="4"/>
  <c r="CS80" i="4"/>
  <c r="CR80" i="4"/>
  <c r="CQ80" i="4"/>
  <c r="CP80" i="4"/>
  <c r="CR79" i="4"/>
  <c r="CQ79" i="4"/>
  <c r="CP79" i="4"/>
  <c r="CS76" i="4"/>
  <c r="CR76" i="4"/>
  <c r="CQ76" i="4"/>
  <c r="CP76" i="4"/>
  <c r="CS75" i="4"/>
  <c r="CR75" i="4"/>
  <c r="CQ75" i="4"/>
  <c r="CP75" i="4"/>
  <c r="CS73" i="4"/>
  <c r="CR73" i="4"/>
  <c r="CQ73" i="4"/>
  <c r="CP73" i="4"/>
  <c r="CN80" i="4"/>
  <c r="CM80" i="4"/>
  <c r="CL80" i="4"/>
  <c r="CK80" i="4"/>
  <c r="CN79" i="4"/>
  <c r="CM79" i="4"/>
  <c r="CL79" i="4"/>
  <c r="CK79" i="4"/>
  <c r="CN76" i="4"/>
  <c r="CM76" i="4"/>
  <c r="CL76" i="4"/>
  <c r="CK76" i="4"/>
  <c r="CN75" i="4"/>
  <c r="CM75" i="4"/>
  <c r="CL75" i="4"/>
  <c r="CK75" i="4"/>
  <c r="CN73" i="4"/>
  <c r="CM73" i="4"/>
  <c r="CL73" i="4"/>
  <c r="CK73" i="4"/>
  <c r="CH81" i="4"/>
  <c r="CG81" i="4"/>
  <c r="CF81" i="4"/>
  <c r="CI80" i="4"/>
  <c r="CH80" i="4"/>
  <c r="CG80" i="4"/>
  <c r="CF80" i="4"/>
  <c r="CJ80" i="4" s="1"/>
  <c r="DT80" i="4" s="1"/>
  <c r="CI79" i="4"/>
  <c r="CH79" i="4"/>
  <c r="CG79" i="4"/>
  <c r="CF79" i="4"/>
  <c r="CH78" i="4"/>
  <c r="CG78" i="4"/>
  <c r="CF78" i="4"/>
  <c r="CH77" i="4"/>
  <c r="CG77" i="4"/>
  <c r="CF77" i="4"/>
  <c r="CI76" i="4"/>
  <c r="CH76" i="4"/>
  <c r="CG76" i="4"/>
  <c r="CF76" i="4"/>
  <c r="CI75" i="4"/>
  <c r="CH75" i="4"/>
  <c r="CG75" i="4"/>
  <c r="CF75" i="4"/>
  <c r="CI73" i="4"/>
  <c r="CH73" i="4"/>
  <c r="CG73" i="4"/>
  <c r="CF73" i="4"/>
  <c r="CD81" i="4"/>
  <c r="CC81" i="4"/>
  <c r="CB81" i="4"/>
  <c r="CA81" i="4"/>
  <c r="CD80" i="4"/>
  <c r="CC80" i="4"/>
  <c r="CB80" i="4"/>
  <c r="CA80" i="4"/>
  <c r="CD79" i="4"/>
  <c r="CC79" i="4"/>
  <c r="CB79" i="4"/>
  <c r="CA79" i="4"/>
  <c r="CD78" i="4"/>
  <c r="CC78" i="4"/>
  <c r="CB78" i="4"/>
  <c r="CA78" i="4"/>
  <c r="CD77" i="4"/>
  <c r="CC77" i="4"/>
  <c r="CB77" i="4"/>
  <c r="CA77" i="4"/>
  <c r="CD76" i="4"/>
  <c r="CC76" i="4"/>
  <c r="CB76" i="4"/>
  <c r="CA76" i="4"/>
  <c r="CD75" i="4"/>
  <c r="CC75" i="4"/>
  <c r="CB75" i="4"/>
  <c r="CA75" i="4"/>
  <c r="CD73" i="4"/>
  <c r="CC73" i="4"/>
  <c r="CB73" i="4"/>
  <c r="CA73" i="4"/>
  <c r="BY81" i="4"/>
  <c r="BX81" i="4"/>
  <c r="BZ81" i="4" s="1"/>
  <c r="DR81" i="4" s="1"/>
  <c r="BW81" i="4"/>
  <c r="BV81" i="4"/>
  <c r="BY80" i="4"/>
  <c r="BX80" i="4"/>
  <c r="BW80" i="4"/>
  <c r="BV80" i="4"/>
  <c r="BY79" i="4"/>
  <c r="BX79" i="4"/>
  <c r="BW79" i="4"/>
  <c r="BV79" i="4"/>
  <c r="BY78" i="4"/>
  <c r="BX78" i="4"/>
  <c r="BW78" i="4"/>
  <c r="BV78" i="4"/>
  <c r="BY77" i="4"/>
  <c r="BX77" i="4"/>
  <c r="BW77" i="4"/>
  <c r="BV77" i="4"/>
  <c r="BY76" i="4"/>
  <c r="BX76" i="4"/>
  <c r="BW76" i="4"/>
  <c r="BV76" i="4"/>
  <c r="BY75" i="4"/>
  <c r="BX75" i="4"/>
  <c r="BW75" i="4"/>
  <c r="BV75" i="4"/>
  <c r="BY73" i="4"/>
  <c r="BX73" i="4"/>
  <c r="BW73" i="4"/>
  <c r="BV73" i="4"/>
  <c r="BT76" i="4"/>
  <c r="BS76" i="4"/>
  <c r="BU76" i="4" s="1"/>
  <c r="DQ76" i="4" s="1"/>
  <c r="BR76" i="4"/>
  <c r="BQ76" i="4"/>
  <c r="BT75" i="4"/>
  <c r="BS75" i="4"/>
  <c r="BR75" i="4"/>
  <c r="BQ75" i="4"/>
  <c r="BT73" i="4"/>
  <c r="BS73" i="4"/>
  <c r="BR73" i="4"/>
  <c r="BQ73" i="4"/>
  <c r="BO76" i="4"/>
  <c r="BN76" i="4"/>
  <c r="BM76" i="4"/>
  <c r="BL76" i="4"/>
  <c r="BO75" i="4"/>
  <c r="BN75" i="4"/>
  <c r="BM75" i="4"/>
  <c r="BL75" i="4"/>
  <c r="BO73" i="4"/>
  <c r="BN73" i="4"/>
  <c r="BM73" i="4"/>
  <c r="BL73" i="4"/>
  <c r="BJ76" i="4"/>
  <c r="D39" i="56" s="1"/>
  <c r="BI76" i="4"/>
  <c r="D43" i="35" s="1"/>
  <c r="BH76" i="4"/>
  <c r="D43" i="48" s="1"/>
  <c r="BG76" i="4"/>
  <c r="BJ75" i="4"/>
  <c r="BI75" i="4"/>
  <c r="BH75" i="4"/>
  <c r="BG75" i="4"/>
  <c r="BJ73" i="4"/>
  <c r="BI73" i="4"/>
  <c r="BH73" i="4"/>
  <c r="BG73" i="4"/>
  <c r="BE76" i="4"/>
  <c r="BD76" i="4"/>
  <c r="BC76" i="4"/>
  <c r="BB76" i="4"/>
  <c r="BE75" i="4"/>
  <c r="BD75" i="4"/>
  <c r="BC75" i="4"/>
  <c r="BB75" i="4"/>
  <c r="BE73" i="4"/>
  <c r="BD73" i="4"/>
  <c r="BC73" i="4"/>
  <c r="BB73" i="4"/>
  <c r="AZ76" i="4"/>
  <c r="AY76" i="4"/>
  <c r="BA76" i="4" s="1"/>
  <c r="DM76" i="4" s="1"/>
  <c r="AX76" i="4"/>
  <c r="AW76" i="4"/>
  <c r="AZ75" i="4"/>
  <c r="AY75" i="4"/>
  <c r="AX75" i="4"/>
  <c r="AW75" i="4"/>
  <c r="AZ73" i="4"/>
  <c r="AY73" i="4"/>
  <c r="AX73" i="4"/>
  <c r="AW73" i="4"/>
  <c r="AU76" i="4"/>
  <c r="AT76" i="4"/>
  <c r="AV76" i="4" s="1"/>
  <c r="DL76" i="4" s="1"/>
  <c r="AS76" i="4"/>
  <c r="AR76" i="4"/>
  <c r="AU75" i="4"/>
  <c r="AT75" i="4"/>
  <c r="AS75" i="4"/>
  <c r="AR75" i="4"/>
  <c r="AU73" i="4"/>
  <c r="AT73" i="4"/>
  <c r="AS73" i="4"/>
  <c r="AR73" i="4"/>
  <c r="AP76" i="4"/>
  <c r="AO76" i="4"/>
  <c r="AN76" i="4"/>
  <c r="AM76" i="4"/>
  <c r="AO75" i="4"/>
  <c r="AM75" i="4"/>
  <c r="AP73" i="4"/>
  <c r="AO73" i="4"/>
  <c r="AN73" i="4"/>
  <c r="AM73" i="4"/>
  <c r="AJ76" i="4"/>
  <c r="AI76" i="4"/>
  <c r="AH76" i="4"/>
  <c r="AK75" i="4"/>
  <c r="AJ75" i="4"/>
  <c r="AK73" i="4"/>
  <c r="AJ73" i="4"/>
  <c r="AI73" i="4"/>
  <c r="AH73" i="4"/>
  <c r="AF76" i="4"/>
  <c r="AE76" i="4"/>
  <c r="AD76" i="4"/>
  <c r="AC76" i="4"/>
  <c r="AF75" i="4"/>
  <c r="AE75" i="4"/>
  <c r="AC75" i="4"/>
  <c r="AF73" i="4"/>
  <c r="AE73" i="4"/>
  <c r="AD73" i="4"/>
  <c r="AC73" i="4"/>
  <c r="AB73" i="4"/>
  <c r="DH73" i="4" s="1"/>
  <c r="AA73" i="4"/>
  <c r="Z73" i="4"/>
  <c r="Y73" i="4"/>
  <c r="X73" i="4"/>
  <c r="W73" i="4"/>
  <c r="DG73" i="4" s="1"/>
  <c r="V73" i="4"/>
  <c r="U73" i="4"/>
  <c r="T73" i="4"/>
  <c r="S73" i="4"/>
  <c r="R73" i="4"/>
  <c r="DF73" i="4" s="1"/>
  <c r="Q73" i="4"/>
  <c r="P73" i="4"/>
  <c r="O73" i="4"/>
  <c r="N73" i="4"/>
  <c r="M73" i="4"/>
  <c r="DE73" i="4" s="1"/>
  <c r="L73" i="4"/>
  <c r="K73" i="4"/>
  <c r="J73" i="4"/>
  <c r="I73" i="4"/>
  <c r="AM72" i="4"/>
  <c r="AM71" i="4"/>
  <c r="CR71" i="4"/>
  <c r="CQ71" i="4"/>
  <c r="CP71" i="4"/>
  <c r="CN71" i="4"/>
  <c r="CM71" i="4"/>
  <c r="CL71" i="4"/>
  <c r="CK71" i="4"/>
  <c r="CI71" i="4"/>
  <c r="CH71" i="4"/>
  <c r="CG71" i="4"/>
  <c r="CF71" i="4"/>
  <c r="CD71" i="4"/>
  <c r="CC71" i="4"/>
  <c r="CB71" i="4"/>
  <c r="CA71" i="4"/>
  <c r="BY71" i="4"/>
  <c r="BX71" i="4"/>
  <c r="BW71" i="4"/>
  <c r="BV71" i="4"/>
  <c r="BS71" i="4"/>
  <c r="BR71" i="4"/>
  <c r="BQ71" i="4"/>
  <c r="BN71" i="4"/>
  <c r="BM71" i="4"/>
  <c r="BL71" i="4"/>
  <c r="BJ71" i="4"/>
  <c r="BI71" i="4"/>
  <c r="BH71" i="4"/>
  <c r="BG71" i="4"/>
  <c r="BE71" i="4"/>
  <c r="BD71" i="4"/>
  <c r="BC71" i="4"/>
  <c r="BB71" i="4"/>
  <c r="AZ71" i="4"/>
  <c r="AY71" i="4"/>
  <c r="AX71" i="4"/>
  <c r="AW71" i="4"/>
  <c r="AU71" i="4"/>
  <c r="AT71" i="4"/>
  <c r="AS71" i="4"/>
  <c r="AR71" i="4"/>
  <c r="AP71" i="4"/>
  <c r="AO71" i="4"/>
  <c r="AK71" i="4"/>
  <c r="AJ71" i="4"/>
  <c r="AI71" i="4"/>
  <c r="AH71" i="4"/>
  <c r="DY71" i="4"/>
  <c r="DX71" i="4"/>
  <c r="DU71" i="4"/>
  <c r="DH71" i="4"/>
  <c r="DG71" i="4"/>
  <c r="DF71" i="4"/>
  <c r="DE71" i="4"/>
  <c r="DF70" i="4"/>
  <c r="CW70" i="4"/>
  <c r="CV70" i="4"/>
  <c r="CU70" i="4"/>
  <c r="CS70" i="4"/>
  <c r="CS71" i="4" s="1"/>
  <c r="CO70" i="4"/>
  <c r="CO71" i="4" s="1"/>
  <c r="CJ70" i="4"/>
  <c r="CE70" i="4"/>
  <c r="G19" i="68" s="1"/>
  <c r="BZ70" i="4"/>
  <c r="DR70" i="4" s="1"/>
  <c r="BU70" i="4"/>
  <c r="BO70" i="4"/>
  <c r="BK70" i="4"/>
  <c r="BF70" i="4"/>
  <c r="BF71" i="4" s="1"/>
  <c r="DN71" i="4" s="1"/>
  <c r="BA70" i="4"/>
  <c r="DM70" i="4" s="1"/>
  <c r="AV70" i="4"/>
  <c r="AN70" i="4"/>
  <c r="AN71" i="4" s="1"/>
  <c r="AL70" i="4"/>
  <c r="AL71" i="4" s="1"/>
  <c r="DJ71" i="4" s="1"/>
  <c r="AG70" i="4"/>
  <c r="AB70" i="4"/>
  <c r="DH70" i="4" s="1"/>
  <c r="W70" i="4"/>
  <c r="DG70" i="4" s="1"/>
  <c r="R70" i="4"/>
  <c r="M70" i="4"/>
  <c r="DE70" i="4" s="1"/>
  <c r="CM66" i="4"/>
  <c r="CL66" i="4"/>
  <c r="CK66" i="4"/>
  <c r="CI66" i="4"/>
  <c r="CH66" i="4"/>
  <c r="CG66" i="4"/>
  <c r="CF66" i="4"/>
  <c r="CD66" i="4"/>
  <c r="CC66" i="4"/>
  <c r="CB66" i="4"/>
  <c r="CA66" i="4"/>
  <c r="BY66" i="4"/>
  <c r="BX66" i="4"/>
  <c r="BW66" i="4"/>
  <c r="BV66" i="4"/>
  <c r="BT66" i="4"/>
  <c r="BS66" i="4"/>
  <c r="BR66" i="4"/>
  <c r="BQ66" i="4"/>
  <c r="BO66" i="4"/>
  <c r="BN66" i="4"/>
  <c r="BM66" i="4"/>
  <c r="BL66" i="4"/>
  <c r="BJ66" i="4"/>
  <c r="BI66" i="4"/>
  <c r="BH66" i="4"/>
  <c r="BG66" i="4"/>
  <c r="BE66" i="4"/>
  <c r="BD66" i="4"/>
  <c r="BC66" i="4"/>
  <c r="BB66" i="4"/>
  <c r="AZ66" i="4"/>
  <c r="AY66" i="4"/>
  <c r="AX66" i="4"/>
  <c r="AW66" i="4"/>
  <c r="AU66" i="4"/>
  <c r="AT66" i="4"/>
  <c r="AS66" i="4"/>
  <c r="AR66" i="4"/>
  <c r="AP66" i="4"/>
  <c r="AO66" i="4"/>
  <c r="AN66" i="4"/>
  <c r="AM66" i="4"/>
  <c r="AK66" i="4"/>
  <c r="AJ66" i="4"/>
  <c r="AI66" i="4"/>
  <c r="AH66" i="4"/>
  <c r="AF66" i="4"/>
  <c r="AE66" i="4"/>
  <c r="AD66" i="4"/>
  <c r="AC66" i="4"/>
  <c r="AA66" i="4"/>
  <c r="Z66" i="4"/>
  <c r="Y66" i="4"/>
  <c r="X66" i="4"/>
  <c r="V66" i="4"/>
  <c r="U66" i="4"/>
  <c r="T66" i="4"/>
  <c r="S66" i="4"/>
  <c r="Q66" i="4"/>
  <c r="P66" i="4"/>
  <c r="O66" i="4"/>
  <c r="N66" i="4"/>
  <c r="L66" i="4"/>
  <c r="K66" i="4"/>
  <c r="J66" i="4"/>
  <c r="I66" i="4"/>
  <c r="CO58" i="4"/>
  <c r="CO57" i="4"/>
  <c r="DU57" i="4" s="1"/>
  <c r="BP58" i="4"/>
  <c r="D16" i="68" s="1"/>
  <c r="E17" i="68" s="1"/>
  <c r="BP57" i="4"/>
  <c r="BP56" i="4"/>
  <c r="BK58" i="4"/>
  <c r="DY330" i="9" s="1"/>
  <c r="BK57" i="4"/>
  <c r="BK56" i="4"/>
  <c r="BF58" i="4"/>
  <c r="BD71" i="9" s="1"/>
  <c r="BF57" i="4"/>
  <c r="DN57" i="4" s="1"/>
  <c r="BF56" i="4"/>
  <c r="BA58" i="4"/>
  <c r="BA57" i="4"/>
  <c r="BA56" i="4"/>
  <c r="DM56" i="4" s="1"/>
  <c r="AV58" i="4"/>
  <c r="AV57" i="4"/>
  <c r="AV56" i="4"/>
  <c r="AQ58" i="4"/>
  <c r="AQ57" i="4"/>
  <c r="AQ56" i="4"/>
  <c r="AL58" i="4"/>
  <c r="AL57" i="4"/>
  <c r="DJ57" i="4" s="1"/>
  <c r="AL56" i="4"/>
  <c r="AG58" i="4"/>
  <c r="AG56" i="4"/>
  <c r="DI56" i="4" s="1"/>
  <c r="AB58" i="4"/>
  <c r="AB56" i="4"/>
  <c r="W58" i="4"/>
  <c r="W57" i="4"/>
  <c r="DG57" i="4" s="1"/>
  <c r="W56" i="4"/>
  <c r="R58" i="4"/>
  <c r="R56" i="4"/>
  <c r="M58" i="4"/>
  <c r="M57" i="4"/>
  <c r="M56" i="4"/>
  <c r="CJ57" i="4"/>
  <c r="CE57" i="4"/>
  <c r="BZ57" i="4"/>
  <c r="DR57" i="4" s="1"/>
  <c r="BU57" i="4"/>
  <c r="DQ57" i="4" s="1"/>
  <c r="AM57" i="4"/>
  <c r="AK57" i="4"/>
  <c r="AJ57" i="4"/>
  <c r="AI57" i="4"/>
  <c r="AH57" i="4"/>
  <c r="AF57" i="4"/>
  <c r="AG57" i="4" s="1"/>
  <c r="DI57" i="4" s="1"/>
  <c r="AE57" i="4"/>
  <c r="AD57" i="4"/>
  <c r="AC57" i="4"/>
  <c r="AA57" i="4"/>
  <c r="AB57" i="4" s="1"/>
  <c r="DH57" i="4" s="1"/>
  <c r="Z57" i="4"/>
  <c r="Y57" i="4"/>
  <c r="X57" i="4"/>
  <c r="V57" i="4"/>
  <c r="U57" i="4"/>
  <c r="T57" i="4"/>
  <c r="S57" i="4"/>
  <c r="Q57" i="4"/>
  <c r="R57" i="4" s="1"/>
  <c r="DF57" i="4" s="1"/>
  <c r="P57" i="4"/>
  <c r="O57" i="4"/>
  <c r="N57" i="4"/>
  <c r="L57" i="4"/>
  <c r="K57" i="4"/>
  <c r="J57" i="4"/>
  <c r="I57" i="4"/>
  <c r="DY62" i="4"/>
  <c r="DX62" i="4"/>
  <c r="DW62" i="4"/>
  <c r="DV62" i="4"/>
  <c r="DU62" i="4"/>
  <c r="DT62" i="4"/>
  <c r="DS62" i="4"/>
  <c r="DR62" i="4"/>
  <c r="DQ62" i="4"/>
  <c r="DP62" i="4"/>
  <c r="DO62" i="4"/>
  <c r="DN62" i="4"/>
  <c r="DM62" i="4"/>
  <c r="DL62" i="4"/>
  <c r="DK62" i="4"/>
  <c r="DJ62" i="4"/>
  <c r="DI62" i="4"/>
  <c r="DH62" i="4"/>
  <c r="DG62" i="4"/>
  <c r="DF62" i="4"/>
  <c r="DE62" i="4"/>
  <c r="DH61" i="4"/>
  <c r="DG61" i="4"/>
  <c r="DF61" i="4"/>
  <c r="DE61" i="4"/>
  <c r="DU58" i="4"/>
  <c r="DT58" i="4"/>
  <c r="DS58" i="4"/>
  <c r="DR58" i="4"/>
  <c r="DQ58" i="4"/>
  <c r="DP58" i="4"/>
  <c r="DO58" i="4"/>
  <c r="DN58" i="4"/>
  <c r="DM58" i="4"/>
  <c r="DL58" i="4"/>
  <c r="DK58" i="4"/>
  <c r="DJ58" i="4"/>
  <c r="DI58" i="4"/>
  <c r="DH58" i="4"/>
  <c r="DG58" i="4"/>
  <c r="DF58" i="4"/>
  <c r="DE58" i="4"/>
  <c r="DT57" i="4"/>
  <c r="DS57" i="4"/>
  <c r="DP57" i="4"/>
  <c r="DO57" i="4"/>
  <c r="DM57" i="4"/>
  <c r="DL57" i="4"/>
  <c r="DK57" i="4"/>
  <c r="DE57" i="4"/>
  <c r="DT56" i="4"/>
  <c r="DS56" i="4"/>
  <c r="DR56" i="4"/>
  <c r="DQ56" i="4"/>
  <c r="DP56" i="4"/>
  <c r="DO56" i="4"/>
  <c r="DN56" i="4"/>
  <c r="DL56" i="4"/>
  <c r="DK56" i="4"/>
  <c r="DJ56" i="4"/>
  <c r="DH56" i="4"/>
  <c r="DG56" i="4"/>
  <c r="DF56" i="4"/>
  <c r="DE56" i="4"/>
  <c r="CT58" i="4"/>
  <c r="CR56" i="4"/>
  <c r="CQ56" i="4"/>
  <c r="CP56" i="4"/>
  <c r="CN56" i="4"/>
  <c r="CM56" i="4"/>
  <c r="CO56" i="4" s="1"/>
  <c r="DU56" i="4" s="1"/>
  <c r="CY52" i="4"/>
  <c r="CY46" i="4"/>
  <c r="CT52" i="4"/>
  <c r="DV52" i="4" s="1"/>
  <c r="CM52" i="4"/>
  <c r="CL52" i="4"/>
  <c r="CO52" i="4" s="1"/>
  <c r="DU52" i="4" s="1"/>
  <c r="CK52" i="4"/>
  <c r="CG52" i="4"/>
  <c r="CJ52" i="4" s="1"/>
  <c r="DT52" i="4" s="1"/>
  <c r="CE48" i="4"/>
  <c r="CE90" i="4" s="1"/>
  <c r="DS90" i="4" s="1"/>
  <c r="CE46" i="4"/>
  <c r="CB52" i="4"/>
  <c r="BZ52" i="4"/>
  <c r="DR52" i="4" s="1"/>
  <c r="BZ48" i="4"/>
  <c r="BZ46" i="4"/>
  <c r="BU52" i="4"/>
  <c r="BU48" i="4"/>
  <c r="DQ48" i="4" s="1"/>
  <c r="BU46" i="4"/>
  <c r="BP52" i="4"/>
  <c r="BP48" i="4"/>
  <c r="BP639" i="4" s="1"/>
  <c r="BP46" i="4"/>
  <c r="BK52" i="4"/>
  <c r="BK49" i="4"/>
  <c r="DO49" i="4" s="1"/>
  <c r="BK48" i="4"/>
  <c r="BK639" i="4" s="1"/>
  <c r="BK46" i="4"/>
  <c r="DO46" i="4" s="1"/>
  <c r="BF52" i="4"/>
  <c r="BF49" i="4"/>
  <c r="DN49" i="4" s="1"/>
  <c r="BF48" i="4"/>
  <c r="BA52" i="4"/>
  <c r="DM52" i="4" s="1"/>
  <c r="BA49" i="4"/>
  <c r="AV52" i="4"/>
  <c r="DL52" i="4" s="1"/>
  <c r="AV49" i="4"/>
  <c r="AQ52" i="4"/>
  <c r="DK52" i="4" s="1"/>
  <c r="AQ49" i="4"/>
  <c r="AL52" i="4"/>
  <c r="DJ52" i="4" s="1"/>
  <c r="AL49" i="4"/>
  <c r="AG52" i="4"/>
  <c r="DI52" i="4" s="1"/>
  <c r="AB52" i="4"/>
  <c r="W52" i="4"/>
  <c r="R52" i="4"/>
  <c r="M52" i="4"/>
  <c r="DE52" i="4" s="1"/>
  <c r="CH49" i="4"/>
  <c r="BT49" i="4"/>
  <c r="BT480" i="4" s="1"/>
  <c r="BO49" i="4"/>
  <c r="BO480" i="4" s="1"/>
  <c r="BP480" i="4" s="1"/>
  <c r="DP480" i="4" s="1"/>
  <c r="CM48" i="4"/>
  <c r="CO48" i="4" s="1"/>
  <c r="CM46" i="4"/>
  <c r="CO46" i="4" s="1"/>
  <c r="DU46" i="4" s="1"/>
  <c r="CJ48" i="4"/>
  <c r="CJ90" i="4" s="1"/>
  <c r="DT90" i="4" s="1"/>
  <c r="CJ46" i="4"/>
  <c r="DT46" i="4" s="1"/>
  <c r="R48" i="4"/>
  <c r="R46" i="4"/>
  <c r="CQ46" i="4"/>
  <c r="CT46" i="4" s="1"/>
  <c r="DV46" i="4" s="1"/>
  <c r="BD46" i="4"/>
  <c r="BC46" i="4"/>
  <c r="BB46" i="4"/>
  <c r="AZ46" i="4"/>
  <c r="AX46" i="4"/>
  <c r="BA46" i="4" s="1"/>
  <c r="DM46" i="4" s="1"/>
  <c r="AV46" i="4"/>
  <c r="AQ46" i="4"/>
  <c r="AM46" i="4"/>
  <c r="AJ46" i="4"/>
  <c r="AI46" i="4"/>
  <c r="AG46" i="4"/>
  <c r="AA46" i="4"/>
  <c r="Z46" i="4"/>
  <c r="Y46" i="4"/>
  <c r="X46" i="4"/>
  <c r="V46" i="4"/>
  <c r="U46" i="4"/>
  <c r="T46" i="4"/>
  <c r="S46" i="4"/>
  <c r="CO42" i="4"/>
  <c r="DU42" i="4" s="1"/>
  <c r="CO41" i="4"/>
  <c r="CO40" i="4"/>
  <c r="CO39" i="4"/>
  <c r="CO38" i="4"/>
  <c r="DU38" i="4" s="1"/>
  <c r="CJ42" i="4"/>
  <c r="DT42" i="4" s="1"/>
  <c r="CJ41" i="4"/>
  <c r="CJ40" i="4"/>
  <c r="CJ39" i="4"/>
  <c r="CJ38" i="4"/>
  <c r="CE42" i="4"/>
  <c r="CE41" i="4"/>
  <c r="CE40" i="4"/>
  <c r="DS40" i="4" s="1"/>
  <c r="CE39" i="4"/>
  <c r="G29" i="68" s="1"/>
  <c r="CE38" i="4"/>
  <c r="BZ42" i="4"/>
  <c r="BZ41" i="4"/>
  <c r="DR41" i="4" s="1"/>
  <c r="BZ40" i="4"/>
  <c r="BZ39" i="4"/>
  <c r="BZ38" i="4"/>
  <c r="BU42" i="4"/>
  <c r="BU41" i="4"/>
  <c r="DQ41" i="4" s="1"/>
  <c r="BU40" i="4"/>
  <c r="AV55" i="9" s="1"/>
  <c r="BU39" i="4"/>
  <c r="BU38" i="4"/>
  <c r="DQ38" i="4" s="1"/>
  <c r="BP42" i="4"/>
  <c r="AU54" i="9" s="1"/>
  <c r="BP41" i="4"/>
  <c r="BP40" i="4"/>
  <c r="AU55" i="9" s="1"/>
  <c r="BP39" i="4"/>
  <c r="BP38" i="4"/>
  <c r="DP38" i="4" s="1"/>
  <c r="BK42" i="4"/>
  <c r="AT54" i="9" s="1"/>
  <c r="BK41" i="4"/>
  <c r="BK40" i="4"/>
  <c r="BK39" i="4"/>
  <c r="DO39" i="4" s="1"/>
  <c r="BK38" i="4"/>
  <c r="BF42" i="4"/>
  <c r="AS54" i="9" s="1"/>
  <c r="BF41" i="4"/>
  <c r="DN41" i="4" s="1"/>
  <c r="BF40" i="4"/>
  <c r="AS55" i="9" s="1"/>
  <c r="BF39" i="4"/>
  <c r="BA42" i="4"/>
  <c r="BA40" i="4"/>
  <c r="AN55" i="9" s="1"/>
  <c r="BA39" i="4"/>
  <c r="DM39" i="4" s="1"/>
  <c r="BA38" i="4"/>
  <c r="DM38" i="4" s="1"/>
  <c r="AV42" i="4"/>
  <c r="AI54" i="9" s="1"/>
  <c r="AV40" i="4"/>
  <c r="AI55" i="9" s="1"/>
  <c r="AV39" i="4"/>
  <c r="AV38" i="4"/>
  <c r="AQ42" i="4"/>
  <c r="AQ40" i="4"/>
  <c r="DK40" i="4" s="1"/>
  <c r="AQ39" i="4"/>
  <c r="AQ38" i="4"/>
  <c r="AK42" i="4"/>
  <c r="AG42" i="4"/>
  <c r="AG41" i="4"/>
  <c r="DI41" i="4" s="1"/>
  <c r="AG40" i="4"/>
  <c r="AG39" i="4"/>
  <c r="DI39" i="4" s="1"/>
  <c r="AB42" i="4"/>
  <c r="AB41" i="4"/>
  <c r="DH41" i="4" s="1"/>
  <c r="AB40" i="4"/>
  <c r="AB39" i="4"/>
  <c r="AB38" i="4"/>
  <c r="W42" i="4"/>
  <c r="DG42" i="4" s="1"/>
  <c r="W41" i="4"/>
  <c r="W39" i="4"/>
  <c r="R42" i="4"/>
  <c r="R605" i="4" s="1"/>
  <c r="DF605" i="4" s="1"/>
  <c r="R41" i="4"/>
  <c r="DF41" i="4" s="1"/>
  <c r="R38" i="4"/>
  <c r="R647" i="4" s="1"/>
  <c r="M42" i="4"/>
  <c r="M605" i="4" s="1"/>
  <c r="DE605" i="4" s="1"/>
  <c r="M41" i="4"/>
  <c r="M38" i="4"/>
  <c r="DE38" i="4" s="1"/>
  <c r="AX41" i="4"/>
  <c r="AX80" i="4" s="1"/>
  <c r="AW41" i="4"/>
  <c r="AW80" i="4" s="1"/>
  <c r="BA80" i="4" s="1"/>
  <c r="DM80" i="4" s="1"/>
  <c r="AU41" i="4"/>
  <c r="AU80" i="4" s="1"/>
  <c r="AT41" i="4"/>
  <c r="AT80" i="4" s="1"/>
  <c r="AS41" i="4"/>
  <c r="AS80" i="4" s="1"/>
  <c r="AR41" i="4"/>
  <c r="AR80" i="4" s="1"/>
  <c r="AP41" i="4"/>
  <c r="AP80" i="4" s="1"/>
  <c r="AO41" i="4"/>
  <c r="AO80" i="4" s="1"/>
  <c r="AN41" i="4"/>
  <c r="AN80" i="4" s="1"/>
  <c r="AL40" i="4"/>
  <c r="AL39" i="4"/>
  <c r="AJ41" i="4"/>
  <c r="AJ80" i="4" s="1"/>
  <c r="U40" i="4"/>
  <c r="U937" i="4" s="1"/>
  <c r="T40" i="4"/>
  <c r="T937" i="4" s="1"/>
  <c r="Q40" i="4"/>
  <c r="Q937" i="4" s="1"/>
  <c r="Q39" i="4"/>
  <c r="L40" i="4"/>
  <c r="M40" i="4" s="1"/>
  <c r="DE40" i="4" s="1"/>
  <c r="L39" i="4"/>
  <c r="CX42" i="4"/>
  <c r="CX76" i="4" s="1"/>
  <c r="CW42" i="4"/>
  <c r="CW76" i="4" s="1"/>
  <c r="CV42" i="4"/>
  <c r="CV76" i="4" s="1"/>
  <c r="CU42" i="4"/>
  <c r="CU76" i="4" s="1"/>
  <c r="CT42" i="4"/>
  <c r="CX41" i="4"/>
  <c r="CX80" i="4" s="1"/>
  <c r="CW41" i="4"/>
  <c r="CW80" i="4" s="1"/>
  <c r="CV41" i="4"/>
  <c r="CV80" i="4" s="1"/>
  <c r="CU41" i="4"/>
  <c r="CU80" i="4" s="1"/>
  <c r="CT41" i="4"/>
  <c r="DV41" i="4" s="1"/>
  <c r="DE54" i="4"/>
  <c r="DY52" i="4"/>
  <c r="DX52" i="4"/>
  <c r="DW52" i="4"/>
  <c r="DQ52" i="4"/>
  <c r="DP52" i="4"/>
  <c r="DO52" i="4"/>
  <c r="DN52" i="4"/>
  <c r="DH52" i="4"/>
  <c r="DG52" i="4"/>
  <c r="DF52" i="4"/>
  <c r="DM49" i="4"/>
  <c r="DL49" i="4"/>
  <c r="DK49" i="4"/>
  <c r="DJ49" i="4"/>
  <c r="DI49" i="4"/>
  <c r="DH49" i="4"/>
  <c r="DG49" i="4"/>
  <c r="DF49" i="4"/>
  <c r="DE49" i="4"/>
  <c r="DT48" i="4"/>
  <c r="DS48" i="4"/>
  <c r="DR48" i="4"/>
  <c r="DP48" i="4"/>
  <c r="DO48" i="4"/>
  <c r="DN48" i="4"/>
  <c r="DM48" i="4"/>
  <c r="DL48" i="4"/>
  <c r="DK48" i="4"/>
  <c r="DJ48" i="4"/>
  <c r="DI48" i="4"/>
  <c r="DH48" i="4"/>
  <c r="DG48" i="4"/>
  <c r="DF48" i="4"/>
  <c r="DE48" i="4"/>
  <c r="DY46" i="4"/>
  <c r="DX46" i="4"/>
  <c r="DW46" i="4"/>
  <c r="DS46" i="4"/>
  <c r="DR46" i="4"/>
  <c r="DQ46" i="4"/>
  <c r="DP46" i="4"/>
  <c r="DL46" i="4"/>
  <c r="DK46" i="4"/>
  <c r="DI46" i="4"/>
  <c r="DF46" i="4"/>
  <c r="DE46" i="4"/>
  <c r="DY45" i="4"/>
  <c r="DX45" i="4"/>
  <c r="DW45" i="4"/>
  <c r="DV45" i="4"/>
  <c r="DU45" i="4"/>
  <c r="DT45" i="4"/>
  <c r="DS45" i="4"/>
  <c r="DR45" i="4"/>
  <c r="DQ45" i="4"/>
  <c r="DP45" i="4"/>
  <c r="DO45" i="4"/>
  <c r="DN45" i="4"/>
  <c r="DM45" i="4"/>
  <c r="DL45" i="4"/>
  <c r="DK45" i="4"/>
  <c r="DJ45" i="4"/>
  <c r="DI45" i="4"/>
  <c r="DH45" i="4"/>
  <c r="DG45" i="4"/>
  <c r="DF45" i="4"/>
  <c r="DE45" i="4"/>
  <c r="DY44" i="4"/>
  <c r="DX44" i="4"/>
  <c r="DW44" i="4"/>
  <c r="DV44" i="4"/>
  <c r="DU44" i="4"/>
  <c r="DT44" i="4"/>
  <c r="DS44" i="4"/>
  <c r="DR44" i="4"/>
  <c r="DQ44" i="4"/>
  <c r="DP44" i="4"/>
  <c r="DO44" i="4"/>
  <c r="DN44" i="4"/>
  <c r="DM44" i="4"/>
  <c r="DL44" i="4"/>
  <c r="DK44" i="4"/>
  <c r="DJ44" i="4"/>
  <c r="DI44" i="4"/>
  <c r="DH44" i="4"/>
  <c r="DG44" i="4"/>
  <c r="DF44" i="4"/>
  <c r="DE44" i="4"/>
  <c r="DY43" i="4"/>
  <c r="DX43" i="4"/>
  <c r="DW43" i="4"/>
  <c r="DV43" i="4"/>
  <c r="DU43" i="4"/>
  <c r="DT43" i="4"/>
  <c r="DS43" i="4"/>
  <c r="DR43" i="4"/>
  <c r="DQ43" i="4"/>
  <c r="DP43" i="4"/>
  <c r="DO43" i="4"/>
  <c r="DN43" i="4"/>
  <c r="DM43" i="4"/>
  <c r="DL43" i="4"/>
  <c r="DK43" i="4"/>
  <c r="DJ43" i="4"/>
  <c r="DI43" i="4"/>
  <c r="DH43" i="4"/>
  <c r="DG43" i="4"/>
  <c r="DF43" i="4"/>
  <c r="DE43" i="4"/>
  <c r="DV42" i="4"/>
  <c r="DS42" i="4"/>
  <c r="DR42" i="4"/>
  <c r="DO42" i="4"/>
  <c r="DN42" i="4"/>
  <c r="DL42" i="4"/>
  <c r="DK42" i="4"/>
  <c r="DI42" i="4"/>
  <c r="DH42" i="4"/>
  <c r="DF42" i="4"/>
  <c r="DU41" i="4"/>
  <c r="DT41" i="4"/>
  <c r="DS41" i="4"/>
  <c r="DP41" i="4"/>
  <c r="DO41" i="4"/>
  <c r="DG41" i="4"/>
  <c r="DE41" i="4"/>
  <c r="DU40" i="4"/>
  <c r="DT40" i="4"/>
  <c r="DR40" i="4"/>
  <c r="DQ40" i="4"/>
  <c r="DP40" i="4"/>
  <c r="DM40" i="4"/>
  <c r="DL40" i="4"/>
  <c r="DJ40" i="4"/>
  <c r="DI40" i="4"/>
  <c r="DH40" i="4"/>
  <c r="DU39" i="4"/>
  <c r="DR39" i="4"/>
  <c r="DQ39" i="4"/>
  <c r="DN39" i="4"/>
  <c r="DK39" i="4"/>
  <c r="DJ39" i="4"/>
  <c r="DG39" i="4"/>
  <c r="DX38" i="4"/>
  <c r="DT38" i="4"/>
  <c r="DS38" i="4"/>
  <c r="DR38" i="4"/>
  <c r="DO38" i="4"/>
  <c r="DL38" i="4"/>
  <c r="DK38" i="4"/>
  <c r="DJ38" i="4"/>
  <c r="DI38" i="4"/>
  <c r="DH38" i="4"/>
  <c r="DF38" i="4"/>
  <c r="DA38" i="4"/>
  <c r="CY38" i="4"/>
  <c r="DW38" i="4" s="1"/>
  <c r="CT38" i="4"/>
  <c r="DV38" i="4" s="1"/>
  <c r="BD38" i="4"/>
  <c r="BF38" i="4" s="1"/>
  <c r="DN38" i="4" s="1"/>
  <c r="V38" i="4"/>
  <c r="V647" i="4" s="1"/>
  <c r="V649" i="4" s="1"/>
  <c r="DY36" i="4"/>
  <c r="DX36" i="4"/>
  <c r="DW36" i="4"/>
  <c r="DV36" i="4"/>
  <c r="DU36" i="4"/>
  <c r="DT36" i="4"/>
  <c r="DS36" i="4"/>
  <c r="DR36" i="4"/>
  <c r="DQ36" i="4"/>
  <c r="DP36" i="4"/>
  <c r="DO36" i="4"/>
  <c r="DN36" i="4"/>
  <c r="DM36" i="4"/>
  <c r="DL36" i="4"/>
  <c r="DK36" i="4"/>
  <c r="DJ36" i="4"/>
  <c r="DI36" i="4"/>
  <c r="DH36" i="4"/>
  <c r="DG36" i="4"/>
  <c r="DF36" i="4"/>
  <c r="DE36" i="4"/>
  <c r="DH35" i="4"/>
  <c r="DG35" i="4"/>
  <c r="DF35" i="4"/>
  <c r="DE35" i="4"/>
  <c r="DH34" i="4"/>
  <c r="DG34" i="4"/>
  <c r="DF34" i="4"/>
  <c r="DE34" i="4"/>
  <c r="AY31" i="4"/>
  <c r="AE31" i="4"/>
  <c r="CO30" i="4"/>
  <c r="DU30" i="4" s="1"/>
  <c r="CO26" i="4"/>
  <c r="CJ30" i="4"/>
  <c r="CJ26" i="4"/>
  <c r="CA30" i="4"/>
  <c r="CE30" i="4" s="1"/>
  <c r="DS30" i="4" s="1"/>
  <c r="BY30" i="4"/>
  <c r="BX30" i="4"/>
  <c r="BW30" i="4"/>
  <c r="D16" i="81" s="1"/>
  <c r="BV30" i="4"/>
  <c r="BZ30" i="4" s="1"/>
  <c r="DR30" i="4" s="1"/>
  <c r="R29" i="4"/>
  <c r="CD29" i="4"/>
  <c r="CC29" i="4"/>
  <c r="CB29" i="4"/>
  <c r="C15" i="81" s="1"/>
  <c r="CA29" i="4"/>
  <c r="BY29" i="4"/>
  <c r="AJ56" i="72" s="1"/>
  <c r="AJ58" i="72" s="1"/>
  <c r="AJ60" i="72" s="1"/>
  <c r="BX29" i="4"/>
  <c r="BW29" i="4"/>
  <c r="BV29" i="4"/>
  <c r="BT29" i="4"/>
  <c r="C15" i="67" s="1"/>
  <c r="BS29" i="4"/>
  <c r="D15" i="73" s="1"/>
  <c r="BR29" i="4"/>
  <c r="D15" i="71" s="1"/>
  <c r="BQ29" i="4"/>
  <c r="BO29" i="4"/>
  <c r="D15" i="67" s="1"/>
  <c r="G15" i="67" s="1"/>
  <c r="BN29" i="4"/>
  <c r="BM29" i="4"/>
  <c r="BL29" i="4"/>
  <c r="BJ29" i="4"/>
  <c r="D17" i="56" s="1"/>
  <c r="BI29" i="4"/>
  <c r="BH29" i="4"/>
  <c r="BG29" i="4"/>
  <c r="BF29" i="4"/>
  <c r="BH93" i="9" s="1"/>
  <c r="CD28" i="4"/>
  <c r="CC28" i="4"/>
  <c r="CB28" i="4"/>
  <c r="CA28" i="4"/>
  <c r="BY28" i="4"/>
  <c r="BX28" i="4"/>
  <c r="BW28" i="4"/>
  <c r="BV28" i="4"/>
  <c r="BT28" i="4"/>
  <c r="BS28" i="4"/>
  <c r="BR28" i="4"/>
  <c r="BQ28" i="4"/>
  <c r="BO28" i="4"/>
  <c r="BO31" i="4" s="1"/>
  <c r="BN28" i="4"/>
  <c r="BM28" i="4"/>
  <c r="BM31" i="4" s="1"/>
  <c r="BL28" i="4"/>
  <c r="BL31" i="4" s="1"/>
  <c r="BJ28" i="4"/>
  <c r="BJ31" i="4" s="1"/>
  <c r="BI28" i="4"/>
  <c r="BH28" i="4"/>
  <c r="BH31" i="4" s="1"/>
  <c r="BG28" i="4"/>
  <c r="BE28" i="4"/>
  <c r="BE31" i="4" s="1"/>
  <c r="BD28" i="4"/>
  <c r="BD31" i="4" s="1"/>
  <c r="BC28" i="4"/>
  <c r="BC31" i="4" s="1"/>
  <c r="BB28" i="4"/>
  <c r="AZ28" i="4"/>
  <c r="AZ31" i="4" s="1"/>
  <c r="AY28" i="4"/>
  <c r="AX28" i="4"/>
  <c r="AX31" i="4" s="1"/>
  <c r="AW28" i="4"/>
  <c r="AW31" i="4" s="1"/>
  <c r="AU28" i="4"/>
  <c r="AU31" i="4" s="1"/>
  <c r="AT28" i="4"/>
  <c r="AT31" i="4" s="1"/>
  <c r="AS28" i="4"/>
  <c r="AS31" i="4" s="1"/>
  <c r="AR28" i="4"/>
  <c r="AR31" i="4" s="1"/>
  <c r="AP28" i="4"/>
  <c r="AP31" i="4" s="1"/>
  <c r="AO28" i="4"/>
  <c r="AO31" i="4" s="1"/>
  <c r="AN28" i="4"/>
  <c r="AN31" i="4" s="1"/>
  <c r="AM28" i="4"/>
  <c r="AK28" i="4"/>
  <c r="AK31" i="4" s="1"/>
  <c r="AJ28" i="4"/>
  <c r="AJ31" i="4" s="1"/>
  <c r="AI28" i="4"/>
  <c r="AI31" i="4" s="1"/>
  <c r="AH28" i="4"/>
  <c r="AF28" i="4"/>
  <c r="AF31" i="4" s="1"/>
  <c r="AE28" i="4"/>
  <c r="AD28" i="4"/>
  <c r="AD31" i="4" s="1"/>
  <c r="AC28" i="4"/>
  <c r="AC31" i="4" s="1"/>
  <c r="AA28" i="4"/>
  <c r="AA31" i="4" s="1"/>
  <c r="Z28" i="4"/>
  <c r="Z31" i="4" s="1"/>
  <c r="Y28" i="4"/>
  <c r="Y31" i="4" s="1"/>
  <c r="X28" i="4"/>
  <c r="X31" i="4" s="1"/>
  <c r="V28" i="4"/>
  <c r="V31" i="4" s="1"/>
  <c r="U28" i="4"/>
  <c r="U31" i="4" s="1"/>
  <c r="T28" i="4"/>
  <c r="T31" i="4" s="1"/>
  <c r="S28" i="4"/>
  <c r="Q28" i="4"/>
  <c r="Q31" i="4" s="1"/>
  <c r="Q691" i="4" s="1"/>
  <c r="O28" i="4"/>
  <c r="O31" i="4" s="1"/>
  <c r="O691" i="4" s="1"/>
  <c r="N28" i="4"/>
  <c r="N31" i="4" s="1"/>
  <c r="CX30" i="4"/>
  <c r="CW30" i="4"/>
  <c r="CV30" i="4"/>
  <c r="CR30" i="4"/>
  <c r="CT30" i="4" s="1"/>
  <c r="DV30" i="4" s="1"/>
  <c r="CR29" i="4"/>
  <c r="CR28" i="4"/>
  <c r="DA27" i="4"/>
  <c r="CZ27" i="4"/>
  <c r="CX27" i="4"/>
  <c r="CW27" i="4"/>
  <c r="CV27" i="4"/>
  <c r="CU27" i="4"/>
  <c r="CS27" i="4"/>
  <c r="CR27" i="4"/>
  <c r="CQ29" i="4"/>
  <c r="CP29" i="4"/>
  <c r="CQ28" i="4"/>
  <c r="CP28" i="4"/>
  <c r="CQ27" i="4"/>
  <c r="CP27" i="4"/>
  <c r="CP31" i="4" s="1"/>
  <c r="CN29" i="4"/>
  <c r="CM29" i="4"/>
  <c r="CL29" i="4"/>
  <c r="CK29" i="4"/>
  <c r="CN28" i="4"/>
  <c r="CM28" i="4"/>
  <c r="CL28" i="4"/>
  <c r="CK28" i="4"/>
  <c r="CN27" i="4"/>
  <c r="CN31" i="4" s="1"/>
  <c r="CM27" i="4"/>
  <c r="CM31" i="4" s="1"/>
  <c r="CM691" i="4" s="1"/>
  <c r="CL27" i="4"/>
  <c r="CL31" i="4" s="1"/>
  <c r="CK27" i="4"/>
  <c r="CK31" i="4" s="1"/>
  <c r="CI29" i="4"/>
  <c r="CH29" i="4"/>
  <c r="CG29" i="4"/>
  <c r="CF29" i="4"/>
  <c r="CI28" i="4"/>
  <c r="CH28" i="4"/>
  <c r="CG28" i="4"/>
  <c r="CF28" i="4"/>
  <c r="CI27" i="4"/>
  <c r="CI31" i="4" s="1"/>
  <c r="CI691" i="4" s="1"/>
  <c r="CH27" i="4"/>
  <c r="CH31" i="4" s="1"/>
  <c r="CG27" i="4"/>
  <c r="CG31" i="4" s="1"/>
  <c r="CF27" i="4"/>
  <c r="CF31" i="4" s="1"/>
  <c r="CD27" i="4"/>
  <c r="CD31" i="4" s="1"/>
  <c r="CD691" i="4" s="1"/>
  <c r="CC27" i="4"/>
  <c r="CC31" i="4" s="1"/>
  <c r="CB27" i="4"/>
  <c r="CA27" i="4"/>
  <c r="BY27" i="4"/>
  <c r="BY31" i="4" s="1"/>
  <c r="BY691" i="4" s="1"/>
  <c r="BX27" i="4"/>
  <c r="BX31" i="4" s="1"/>
  <c r="BW27" i="4"/>
  <c r="BV27" i="4"/>
  <c r="BP27" i="4"/>
  <c r="DC242" i="9" s="1"/>
  <c r="BK27" i="4"/>
  <c r="CX242" i="9" s="1"/>
  <c r="BK26" i="4"/>
  <c r="BF27" i="4"/>
  <c r="DN27" i="4" s="1"/>
  <c r="BF26" i="4"/>
  <c r="DN26" i="4" s="1"/>
  <c r="BA27" i="4"/>
  <c r="BA26" i="4"/>
  <c r="AV27" i="4"/>
  <c r="AV26" i="4"/>
  <c r="AQ27" i="4"/>
  <c r="AQ26" i="4"/>
  <c r="AL27" i="4"/>
  <c r="DJ27" i="4" s="1"/>
  <c r="AL26" i="4"/>
  <c r="DJ26" i="4" s="1"/>
  <c r="AG27" i="4"/>
  <c r="AG26" i="4"/>
  <c r="AB27" i="4"/>
  <c r="AB26" i="4"/>
  <c r="W27" i="4"/>
  <c r="W26" i="4"/>
  <c r="DG26" i="4" s="1"/>
  <c r="R27" i="4"/>
  <c r="DF27" i="4" s="1"/>
  <c r="R26" i="4"/>
  <c r="R176" i="4" s="1"/>
  <c r="R193" i="4" s="1"/>
  <c r="DF193" i="4" s="1"/>
  <c r="M27" i="4"/>
  <c r="M26" i="4"/>
  <c r="DT30" i="4"/>
  <c r="DQ30" i="4"/>
  <c r="DP30" i="4"/>
  <c r="DO30" i="4"/>
  <c r="DN30" i="4"/>
  <c r="DM30" i="4"/>
  <c r="DL30" i="4"/>
  <c r="DK30" i="4"/>
  <c r="DJ30" i="4"/>
  <c r="DI30" i="4"/>
  <c r="DH30" i="4"/>
  <c r="DG30" i="4"/>
  <c r="DF30" i="4"/>
  <c r="DE30" i="4"/>
  <c r="DN29" i="4"/>
  <c r="DM29" i="4"/>
  <c r="DL29" i="4"/>
  <c r="DK29" i="4"/>
  <c r="DJ29" i="4"/>
  <c r="DI29" i="4"/>
  <c r="DH29" i="4"/>
  <c r="DG29" i="4"/>
  <c r="DF29" i="4"/>
  <c r="DE29" i="4"/>
  <c r="DF28" i="4"/>
  <c r="DY27" i="4"/>
  <c r="DX27" i="4"/>
  <c r="DO27" i="4"/>
  <c r="DM27" i="4"/>
  <c r="DL27" i="4"/>
  <c r="DK27" i="4"/>
  <c r="DI27" i="4"/>
  <c r="DH27" i="4"/>
  <c r="DG27" i="4"/>
  <c r="DE27" i="4"/>
  <c r="DU26" i="4"/>
  <c r="DT26" i="4"/>
  <c r="DO26" i="4"/>
  <c r="DM26" i="4"/>
  <c r="DK26" i="4"/>
  <c r="DI26" i="4"/>
  <c r="DE26" i="4"/>
  <c r="CX26" i="4"/>
  <c r="CW26" i="4"/>
  <c r="CV26" i="4"/>
  <c r="CU26" i="4"/>
  <c r="DV26" i="4"/>
  <c r="CA26" i="4"/>
  <c r="CA176" i="4" s="1"/>
  <c r="CE176" i="4" s="1"/>
  <c r="BZ26" i="4"/>
  <c r="DR26" i="4" s="1"/>
  <c r="BU26" i="4"/>
  <c r="BP26" i="4"/>
  <c r="CO18" i="4"/>
  <c r="CO17" i="4"/>
  <c r="CO12" i="4"/>
  <c r="CO11" i="4"/>
  <c r="DA13" i="4"/>
  <c r="DY13" i="4" s="1"/>
  <c r="CZ13" i="4"/>
  <c r="CX13" i="4"/>
  <c r="CW13" i="4"/>
  <c r="CV13" i="4"/>
  <c r="CU13" i="4"/>
  <c r="CS13" i="4"/>
  <c r="CR13" i="4"/>
  <c r="CQ13" i="4"/>
  <c r="CP13" i="4"/>
  <c r="CN13" i="4"/>
  <c r="CM13" i="4"/>
  <c r="CL13" i="4"/>
  <c r="CK13" i="4"/>
  <c r="CI13" i="4"/>
  <c r="CH13" i="4"/>
  <c r="CG13" i="4"/>
  <c r="CF13" i="4"/>
  <c r="CD13" i="4"/>
  <c r="CC13" i="4"/>
  <c r="CB13" i="4"/>
  <c r="CA13" i="4"/>
  <c r="BY13" i="4"/>
  <c r="BX13" i="4"/>
  <c r="BW13" i="4"/>
  <c r="BV13" i="4"/>
  <c r="BP13" i="4"/>
  <c r="BK13" i="4"/>
  <c r="CX241" i="9" s="1"/>
  <c r="CX243" i="9" s="1"/>
  <c r="BK12" i="4"/>
  <c r="BK11" i="4"/>
  <c r="BF13" i="4"/>
  <c r="DN13" i="4" s="1"/>
  <c r="BF12" i="4"/>
  <c r="BF11" i="4"/>
  <c r="BA13" i="4"/>
  <c r="BA12" i="4"/>
  <c r="DM12" i="4" s="1"/>
  <c r="BA11" i="4"/>
  <c r="AV13" i="4"/>
  <c r="AV12" i="4"/>
  <c r="AV11" i="4"/>
  <c r="DL11" i="4" s="1"/>
  <c r="AQ12" i="4"/>
  <c r="AQ11" i="4"/>
  <c r="AN13" i="4"/>
  <c r="AN441" i="4" s="1"/>
  <c r="AL13" i="4"/>
  <c r="AL12" i="4"/>
  <c r="AL11" i="4"/>
  <c r="AG13" i="4"/>
  <c r="DI13" i="4" s="1"/>
  <c r="AG12" i="4"/>
  <c r="DI12" i="4" s="1"/>
  <c r="AG11" i="4"/>
  <c r="AB13" i="4"/>
  <c r="AB12" i="4"/>
  <c r="DH12" i="4" s="1"/>
  <c r="W13" i="4"/>
  <c r="DG13" i="4" s="1"/>
  <c r="W12" i="4"/>
  <c r="W11" i="4"/>
  <c r="DG11" i="4" s="1"/>
  <c r="Q13" i="4"/>
  <c r="Q441" i="4" s="1"/>
  <c r="CJ12" i="4"/>
  <c r="DT12" i="4" s="1"/>
  <c r="CJ11" i="4"/>
  <c r="CE12" i="4"/>
  <c r="CE11" i="4"/>
  <c r="BP174" i="72" s="1"/>
  <c r="BZ12" i="4"/>
  <c r="DR12" i="4" s="1"/>
  <c r="BZ11" i="4"/>
  <c r="BO174" i="72" s="1"/>
  <c r="BU12" i="4"/>
  <c r="DQ12" i="4" s="1"/>
  <c r="BU11" i="4"/>
  <c r="BP12" i="4"/>
  <c r="BP11" i="4"/>
  <c r="P12" i="4"/>
  <c r="P28" i="4" s="1"/>
  <c r="P31" i="4" s="1"/>
  <c r="P11" i="4"/>
  <c r="P167" i="4" s="1"/>
  <c r="P8" i="4"/>
  <c r="P7" i="4"/>
  <c r="L13" i="4"/>
  <c r="L441" i="4" s="1"/>
  <c r="K12" i="4"/>
  <c r="K28" i="4" s="1"/>
  <c r="K31" i="4" s="1"/>
  <c r="J12" i="4"/>
  <c r="J28" i="4" s="1"/>
  <c r="J31" i="4" s="1"/>
  <c r="I12" i="4"/>
  <c r="I28" i="4" s="1"/>
  <c r="AS11" i="4"/>
  <c r="AS167" i="4" s="1"/>
  <c r="AS9" i="4"/>
  <c r="AS8" i="4"/>
  <c r="AS7" i="4"/>
  <c r="AA11" i="4"/>
  <c r="AA167" i="4" s="1"/>
  <c r="AA9" i="4"/>
  <c r="AA8" i="4"/>
  <c r="AA7" i="4"/>
  <c r="Q11" i="4"/>
  <c r="Q8" i="4"/>
  <c r="Q7" i="4"/>
  <c r="AR9" i="4"/>
  <c r="AR8" i="4"/>
  <c r="AR7" i="4"/>
  <c r="AR10" i="4" s="1"/>
  <c r="BB306" i="8" s="1"/>
  <c r="O11" i="4"/>
  <c r="O167" i="4" s="1"/>
  <c r="N11" i="4"/>
  <c r="N167" i="4" s="1"/>
  <c r="K11" i="4"/>
  <c r="J11" i="4"/>
  <c r="I11" i="4"/>
  <c r="L10" i="4"/>
  <c r="L20" i="4" s="1"/>
  <c r="K10" i="4"/>
  <c r="K20" i="4" s="1"/>
  <c r="J10" i="4"/>
  <c r="J20" i="4" s="1"/>
  <c r="I10" i="4"/>
  <c r="I20" i="4" s="1"/>
  <c r="DH16" i="4"/>
  <c r="DG16" i="4"/>
  <c r="DF16" i="4"/>
  <c r="DE16" i="4"/>
  <c r="DH15" i="4"/>
  <c r="DG15" i="4"/>
  <c r="DF15" i="4"/>
  <c r="DE15" i="4"/>
  <c r="DX13" i="4"/>
  <c r="DO13" i="4"/>
  <c r="DM13" i="4"/>
  <c r="DL13" i="4"/>
  <c r="DJ13" i="4"/>
  <c r="DH13" i="4"/>
  <c r="DF13" i="4"/>
  <c r="DU12" i="4"/>
  <c r="DS12" i="4"/>
  <c r="DP12" i="4"/>
  <c r="DO12" i="4"/>
  <c r="DN12" i="4"/>
  <c r="DL12" i="4"/>
  <c r="DK12" i="4"/>
  <c r="DJ12" i="4"/>
  <c r="DG12" i="4"/>
  <c r="DF12" i="4"/>
  <c r="DU11" i="4"/>
  <c r="CN351" i="72" s="1"/>
  <c r="DT11" i="4"/>
  <c r="DS11" i="4"/>
  <c r="DR11" i="4"/>
  <c r="DQ11" i="4"/>
  <c r="DP11" i="4"/>
  <c r="DO11" i="4"/>
  <c r="DN11" i="4"/>
  <c r="DM11" i="4"/>
  <c r="DK11" i="4"/>
  <c r="DJ11" i="4"/>
  <c r="DI11" i="4"/>
  <c r="DF11" i="4"/>
  <c r="DE9" i="4"/>
  <c r="DE8" i="4"/>
  <c r="DE7" i="4"/>
  <c r="CW11" i="4"/>
  <c r="CU11" i="4"/>
  <c r="CW9" i="4"/>
  <c r="CU9" i="4"/>
  <c r="CS9" i="4"/>
  <c r="CR9" i="4"/>
  <c r="CQ9" i="4"/>
  <c r="CR8" i="4"/>
  <c r="CQ8" i="4"/>
  <c r="CP8" i="4"/>
  <c r="CR7" i="4"/>
  <c r="CP7" i="4"/>
  <c r="CN9" i="4"/>
  <c r="CM9" i="4"/>
  <c r="CL9" i="4"/>
  <c r="CK9" i="4"/>
  <c r="CN8" i="4"/>
  <c r="CM8" i="4"/>
  <c r="CL8" i="4"/>
  <c r="CK8" i="4"/>
  <c r="CN7" i="4"/>
  <c r="CM7" i="4"/>
  <c r="CM10" i="4" s="1"/>
  <c r="CL7" i="4"/>
  <c r="CL10" i="4" s="1"/>
  <c r="CK7" i="4"/>
  <c r="CI9" i="4"/>
  <c r="CH9" i="4"/>
  <c r="CG9" i="4"/>
  <c r="CF9" i="4"/>
  <c r="CI8" i="4"/>
  <c r="CH8" i="4"/>
  <c r="CG8" i="4"/>
  <c r="CF8" i="4"/>
  <c r="CI7" i="4"/>
  <c r="CI10" i="4" s="1"/>
  <c r="CH7" i="4"/>
  <c r="CH10" i="4" s="1"/>
  <c r="CG7" i="4"/>
  <c r="CG10" i="4" s="1"/>
  <c r="CF7" i="4"/>
  <c r="CD9" i="4"/>
  <c r="CC9" i="4"/>
  <c r="CB9" i="4"/>
  <c r="C53" i="81" s="1"/>
  <c r="CA9" i="4"/>
  <c r="CD8" i="4"/>
  <c r="CC8" i="4"/>
  <c r="CB8" i="4"/>
  <c r="CA8" i="4"/>
  <c r="CD7" i="4"/>
  <c r="CC7" i="4"/>
  <c r="CC10" i="4" s="1"/>
  <c r="CB7" i="4"/>
  <c r="CA7" i="4"/>
  <c r="BY9" i="4"/>
  <c r="BX9" i="4"/>
  <c r="C51" i="73" s="1"/>
  <c r="BW9" i="4"/>
  <c r="BV9" i="4"/>
  <c r="BY8" i="4"/>
  <c r="BX8" i="4"/>
  <c r="C50" i="73" s="1"/>
  <c r="BW8" i="4"/>
  <c r="BV8" i="4"/>
  <c r="BY7" i="4"/>
  <c r="BY10" i="4" s="1"/>
  <c r="BX7" i="4"/>
  <c r="BW7" i="4"/>
  <c r="BV7" i="4"/>
  <c r="BT9" i="4"/>
  <c r="C51" i="67" s="1"/>
  <c r="BS9" i="4"/>
  <c r="D51" i="73" s="1"/>
  <c r="G51" i="73" s="1"/>
  <c r="BR9" i="4"/>
  <c r="D51" i="71" s="1"/>
  <c r="BQ9" i="4"/>
  <c r="BT8" i="4"/>
  <c r="C50" i="67" s="1"/>
  <c r="BS8" i="4"/>
  <c r="D50" i="73" s="1"/>
  <c r="G50" i="73" s="1"/>
  <c r="BR8" i="4"/>
  <c r="D50" i="71" s="1"/>
  <c r="BQ8" i="4"/>
  <c r="D50" i="69" s="1"/>
  <c r="BT7" i="4"/>
  <c r="BR7" i="4"/>
  <c r="D49" i="71" s="1"/>
  <c r="BQ7" i="4"/>
  <c r="BO9" i="4"/>
  <c r="D51" i="67" s="1"/>
  <c r="G51" i="67" s="1"/>
  <c r="BN9" i="4"/>
  <c r="BM9" i="4"/>
  <c r="BL9" i="4"/>
  <c r="BO8" i="4"/>
  <c r="D50" i="67" s="1"/>
  <c r="G50" i="67" s="1"/>
  <c r="BN8" i="4"/>
  <c r="BM8" i="4"/>
  <c r="BL8" i="4"/>
  <c r="BO7" i="4"/>
  <c r="BM7" i="4"/>
  <c r="BM10" i="4" s="1"/>
  <c r="BL7" i="4"/>
  <c r="BJ9" i="4"/>
  <c r="BI9" i="4"/>
  <c r="BH9" i="4"/>
  <c r="BG9" i="4"/>
  <c r="BJ8" i="4"/>
  <c r="BI8" i="4"/>
  <c r="BH8" i="4"/>
  <c r="BG8" i="4"/>
  <c r="BJ7" i="4"/>
  <c r="BJ10" i="4" s="1"/>
  <c r="BI7" i="4"/>
  <c r="BI10" i="4" s="1"/>
  <c r="BH7" i="4"/>
  <c r="BH10" i="4" s="1"/>
  <c r="BG7" i="4"/>
  <c r="BE9" i="4"/>
  <c r="BD9" i="4"/>
  <c r="BC9" i="4"/>
  <c r="BB9" i="4"/>
  <c r="BE8" i="4"/>
  <c r="BD8" i="4"/>
  <c r="BC8" i="4"/>
  <c r="BB8" i="4"/>
  <c r="BE7" i="4"/>
  <c r="BE10" i="4" s="1"/>
  <c r="BM306" i="8" s="1"/>
  <c r="BD7" i="4"/>
  <c r="BD10" i="4" s="1"/>
  <c r="BL306" i="8" s="1"/>
  <c r="BC7" i="4"/>
  <c r="BC10" i="4" s="1"/>
  <c r="BK306" i="8" s="1"/>
  <c r="AZ9" i="4"/>
  <c r="AY9" i="4"/>
  <c r="AX9" i="4"/>
  <c r="AW9" i="4"/>
  <c r="AZ8" i="4"/>
  <c r="AY8" i="4"/>
  <c r="AX8" i="4"/>
  <c r="AW8" i="4"/>
  <c r="AZ7" i="4"/>
  <c r="AZ10" i="4" s="1"/>
  <c r="BI306" i="8" s="1"/>
  <c r="AY7" i="4"/>
  <c r="AY10" i="4" s="1"/>
  <c r="BH306" i="8" s="1"/>
  <c r="AX7" i="4"/>
  <c r="AX10" i="4" s="1"/>
  <c r="BG306" i="8" s="1"/>
  <c r="AW7" i="4"/>
  <c r="AU9" i="4"/>
  <c r="AT9" i="4"/>
  <c r="AU8" i="4"/>
  <c r="AT8" i="4"/>
  <c r="AU7" i="4"/>
  <c r="AU10" i="4" s="1"/>
  <c r="BE306" i="8" s="1"/>
  <c r="AT7" i="4"/>
  <c r="AT10" i="4" s="1"/>
  <c r="BD306" i="8" s="1"/>
  <c r="AP9" i="4"/>
  <c r="AO9" i="4"/>
  <c r="AN9" i="4"/>
  <c r="AM9" i="4"/>
  <c r="AP8" i="4"/>
  <c r="AO8" i="4"/>
  <c r="AN8" i="4"/>
  <c r="AM8" i="4"/>
  <c r="AP7" i="4"/>
  <c r="AP10" i="4" s="1"/>
  <c r="AO7" i="4"/>
  <c r="AO10" i="4" s="1"/>
  <c r="AN7" i="4"/>
  <c r="AN10" i="4" s="1"/>
  <c r="AM7" i="4"/>
  <c r="AK9" i="4"/>
  <c r="AJ9" i="4"/>
  <c r="AI9" i="4"/>
  <c r="AH9" i="4"/>
  <c r="AK8" i="4"/>
  <c r="AJ8" i="4"/>
  <c r="AI8" i="4"/>
  <c r="AH8" i="4"/>
  <c r="AK7" i="4"/>
  <c r="AK10" i="4" s="1"/>
  <c r="AJ7" i="4"/>
  <c r="AJ10" i="4" s="1"/>
  <c r="AI7" i="4"/>
  <c r="AH7" i="4"/>
  <c r="AF9" i="4"/>
  <c r="AE9" i="4"/>
  <c r="AD9" i="4"/>
  <c r="AG9" i="4" s="1"/>
  <c r="DI9" i="4" s="1"/>
  <c r="AC9" i="4"/>
  <c r="AF8" i="4"/>
  <c r="AE8" i="4"/>
  <c r="AD8" i="4"/>
  <c r="AC8" i="4"/>
  <c r="AF7" i="4"/>
  <c r="AF10" i="4" s="1"/>
  <c r="AE7" i="4"/>
  <c r="AE10" i="4" s="1"/>
  <c r="AD7" i="4"/>
  <c r="AD10" i="4" s="1"/>
  <c r="AC7" i="4"/>
  <c r="Z9" i="4"/>
  <c r="Y9" i="4"/>
  <c r="X9" i="4"/>
  <c r="Z8" i="4"/>
  <c r="Y8" i="4"/>
  <c r="X8" i="4"/>
  <c r="Z7" i="4"/>
  <c r="Z10" i="4" s="1"/>
  <c r="Y7" i="4"/>
  <c r="X7" i="4"/>
  <c r="T10" i="4"/>
  <c r="T20" i="4" s="1"/>
  <c r="V9" i="4"/>
  <c r="U9" i="4"/>
  <c r="T9" i="4"/>
  <c r="S9" i="4"/>
  <c r="W9" i="4" s="1"/>
  <c r="DG9" i="4" s="1"/>
  <c r="V8" i="4"/>
  <c r="T8" i="4"/>
  <c r="S8" i="4"/>
  <c r="V7" i="4"/>
  <c r="V10" i="4" s="1"/>
  <c r="U7" i="4"/>
  <c r="T7" i="4"/>
  <c r="S7" i="4"/>
  <c r="W7" i="4" s="1"/>
  <c r="DG7" i="4" s="1"/>
  <c r="N9" i="4"/>
  <c r="O8" i="4"/>
  <c r="N8" i="4"/>
  <c r="O7" i="4"/>
  <c r="R7" i="4" s="1"/>
  <c r="DF7" i="4" s="1"/>
  <c r="N7" i="4"/>
  <c r="N10" i="4" s="1"/>
  <c r="N20" i="4" s="1"/>
  <c r="DA4" i="4"/>
  <c r="DY4" i="4" s="1"/>
  <c r="CZ4" i="4"/>
  <c r="DX4" i="4" s="1"/>
  <c r="CY4" i="4"/>
  <c r="CX4" i="4"/>
  <c r="CW4" i="4"/>
  <c r="CV4" i="4"/>
  <c r="CU4" i="4"/>
  <c r="CT4" i="4"/>
  <c r="CS4" i="4"/>
  <c r="CR4" i="4"/>
  <c r="CQ4" i="4"/>
  <c r="CP4" i="4"/>
  <c r="CO4" i="4"/>
  <c r="DU4" i="4" s="1"/>
  <c r="CN4" i="4"/>
  <c r="CM4" i="4"/>
  <c r="CL4" i="4"/>
  <c r="CK4" i="4"/>
  <c r="CI4" i="4"/>
  <c r="CH4" i="4"/>
  <c r="CG4" i="4"/>
  <c r="CD4" i="4"/>
  <c r="CC4" i="4"/>
  <c r="CB4" i="4"/>
  <c r="BY4" i="4"/>
  <c r="BX4" i="4"/>
  <c r="BW4" i="4"/>
  <c r="Q4" i="4"/>
  <c r="FI367" i="9" s="1"/>
  <c r="P4" i="4"/>
  <c r="FH367" i="9" s="1"/>
  <c r="O4" i="4"/>
  <c r="FG367" i="9" s="1"/>
  <c r="L4" i="4"/>
  <c r="K4" i="4"/>
  <c r="J4" i="4"/>
  <c r="I4" i="4"/>
  <c r="DY5" i="4"/>
  <c r="DX5" i="4"/>
  <c r="DW5" i="4"/>
  <c r="DV5" i="4"/>
  <c r="DU5" i="4"/>
  <c r="DT5" i="4"/>
  <c r="DS5" i="4"/>
  <c r="DR5" i="4"/>
  <c r="DQ5" i="4"/>
  <c r="DP5" i="4"/>
  <c r="DO5" i="4"/>
  <c r="DN5" i="4"/>
  <c r="DM5" i="4"/>
  <c r="DL5" i="4"/>
  <c r="DK5" i="4"/>
  <c r="DJ5" i="4"/>
  <c r="DI5" i="4"/>
  <c r="DH5" i="4"/>
  <c r="DG5" i="4"/>
  <c r="DF5" i="4"/>
  <c r="DE5" i="4"/>
  <c r="DW4" i="4"/>
  <c r="DV4" i="4"/>
  <c r="DQ4" i="4"/>
  <c r="DY3" i="4"/>
  <c r="DX3" i="4"/>
  <c r="DW3" i="4"/>
  <c r="DV3" i="4"/>
  <c r="DU3" i="4"/>
  <c r="DT3" i="4"/>
  <c r="DS3" i="4"/>
  <c r="CE3" i="4"/>
  <c r="CE404" i="4" s="1"/>
  <c r="DS404" i="4" s="1"/>
  <c r="BZ3" i="4"/>
  <c r="DR3" i="4" s="1"/>
  <c r="AZ3" i="4"/>
  <c r="BB3" i="4" s="1"/>
  <c r="AV3" i="4"/>
  <c r="AQ3" i="4"/>
  <c r="AR3" i="4" s="1"/>
  <c r="AL3" i="4"/>
  <c r="DJ3" i="4" s="1"/>
  <c r="AG3" i="4"/>
  <c r="AH3" i="4" s="1"/>
  <c r="AD3" i="4"/>
  <c r="AB3" i="4"/>
  <c r="W3" i="4"/>
  <c r="DG3" i="4" s="1"/>
  <c r="T3" i="4"/>
  <c r="T4" i="4" s="1"/>
  <c r="FK367" i="9" s="1"/>
  <c r="R3" i="4"/>
  <c r="S4" i="4" s="1"/>
  <c r="FJ367" i="9" s="1"/>
  <c r="M3" i="4"/>
  <c r="DA115" i="4" l="1"/>
  <c r="DY115" i="4" s="1"/>
  <c r="CY119" i="4"/>
  <c r="DW119" i="4" s="1"/>
  <c r="CV11" i="4"/>
  <c r="CV188" i="4"/>
  <c r="CD263" i="4"/>
  <c r="AI284" i="4"/>
  <c r="AU359" i="4"/>
  <c r="BZ77" i="4"/>
  <c r="DR77" i="4" s="1"/>
  <c r="CE78" i="4"/>
  <c r="Q160" i="4"/>
  <c r="S263" i="4"/>
  <c r="T355" i="4"/>
  <c r="BY159" i="4"/>
  <c r="S265" i="4"/>
  <c r="U264" i="4"/>
  <c r="BO263" i="4"/>
  <c r="Z355" i="4"/>
  <c r="BX160" i="4"/>
  <c r="CB159" i="4"/>
  <c r="CG159" i="4"/>
  <c r="AS163" i="4"/>
  <c r="CY94" i="4"/>
  <c r="CM163" i="4"/>
  <c r="AE284" i="4"/>
  <c r="BV263" i="4"/>
  <c r="CI263" i="4"/>
  <c r="BN165" i="4"/>
  <c r="AP265" i="4"/>
  <c r="BH265" i="4"/>
  <c r="AJ355" i="4"/>
  <c r="AO355" i="4"/>
  <c r="AT355" i="4"/>
  <c r="P359" i="4"/>
  <c r="U160" i="4"/>
  <c r="AS160" i="4"/>
  <c r="BC263" i="4"/>
  <c r="BY264" i="4"/>
  <c r="BX265" i="4"/>
  <c r="BT287" i="4"/>
  <c r="BY287" i="4"/>
  <c r="CD287" i="4"/>
  <c r="CH287" i="4"/>
  <c r="CM287" i="4"/>
  <c r="CR287" i="4"/>
  <c r="V355" i="4"/>
  <c r="BR361" i="4"/>
  <c r="CV714" i="49"/>
  <c r="CV817" i="49"/>
  <c r="DA287" i="4"/>
  <c r="DY287" i="4" s="1"/>
  <c r="CZ261" i="4"/>
  <c r="DX261" i="4" s="1"/>
  <c r="CO743" i="49"/>
  <c r="CT9" i="4"/>
  <c r="CH333" i="72"/>
  <c r="AU5" i="50"/>
  <c r="AU3" i="51"/>
  <c r="DV9" i="4"/>
  <c r="CY390" i="72"/>
  <c r="CO90" i="4"/>
  <c r="DU90" i="4" s="1"/>
  <c r="DU48" i="4"/>
  <c r="AK5" i="50"/>
  <c r="AK6" i="50" s="1"/>
  <c r="AK3" i="51"/>
  <c r="BT10" i="4"/>
  <c r="C49" i="67"/>
  <c r="DP13" i="4"/>
  <c r="DC241" i="9"/>
  <c r="DC243" i="9" s="1"/>
  <c r="K15" i="81"/>
  <c r="K17" i="81" s="1"/>
  <c r="L15" i="81"/>
  <c r="R74" i="81"/>
  <c r="C17" i="81"/>
  <c r="L17" i="81" s="1"/>
  <c r="AD183" i="4"/>
  <c r="AD188" i="4" s="1"/>
  <c r="AD189" i="4" s="1"/>
  <c r="AD171" i="4"/>
  <c r="CC183" i="4"/>
  <c r="CC188" i="4" s="1"/>
  <c r="CC171" i="4"/>
  <c r="BC284" i="4"/>
  <c r="FG382" i="9"/>
  <c r="O261" i="4"/>
  <c r="U287" i="4"/>
  <c r="FK382" i="9"/>
  <c r="T261" i="4"/>
  <c r="FS382" i="9"/>
  <c r="AD261" i="4"/>
  <c r="AD263" i="4" s="1"/>
  <c r="FZ382" i="9"/>
  <c r="AM261" i="4"/>
  <c r="AM263" i="4" s="1"/>
  <c r="GH382" i="9"/>
  <c r="AW261" i="4"/>
  <c r="AW334" i="4"/>
  <c r="AB473" i="4"/>
  <c r="Z473" i="4"/>
  <c r="X3" i="4"/>
  <c r="DK3" i="4"/>
  <c r="AB9" i="4"/>
  <c r="DH9" i="4" s="1"/>
  <c r="AG7" i="4"/>
  <c r="DI7" i="4" s="1"/>
  <c r="AG8" i="4"/>
  <c r="DI8" i="4" s="1"/>
  <c r="AL7" i="4"/>
  <c r="DJ7" i="4" s="1"/>
  <c r="AL8" i="4"/>
  <c r="DJ8" i="4" s="1"/>
  <c r="AL9" i="4"/>
  <c r="DJ9" i="4" s="1"/>
  <c r="AQ7" i="4"/>
  <c r="DK7" i="4" s="1"/>
  <c r="AQ8" i="4"/>
  <c r="DK8" i="4" s="1"/>
  <c r="AQ9" i="4"/>
  <c r="DK9" i="4" s="1"/>
  <c r="D9" i="35"/>
  <c r="BP306" i="8"/>
  <c r="BS7" i="4"/>
  <c r="BU7" i="4" s="1"/>
  <c r="DQ7" i="4" s="1"/>
  <c r="BX10" i="4"/>
  <c r="C49" i="73"/>
  <c r="K50" i="73"/>
  <c r="F50" i="73"/>
  <c r="L50" i="73"/>
  <c r="K51" i="73"/>
  <c r="L51" i="73"/>
  <c r="F51" i="73"/>
  <c r="AA10" i="4"/>
  <c r="AS10" i="4"/>
  <c r="BC306" i="8" s="1"/>
  <c r="BO208" i="72"/>
  <c r="BO209" i="72"/>
  <c r="BO206" i="72"/>
  <c r="BO207" i="72"/>
  <c r="BO210" i="72"/>
  <c r="BX691" i="4"/>
  <c r="CC691" i="4"/>
  <c r="CH691" i="4"/>
  <c r="CR31" i="4"/>
  <c r="BI31" i="4"/>
  <c r="BN31" i="4"/>
  <c r="CE28" i="4"/>
  <c r="DS28" i="4" s="1"/>
  <c r="BU29" i="4"/>
  <c r="DQ29" i="4" s="1"/>
  <c r="D15" i="69"/>
  <c r="G15" i="69" s="1"/>
  <c r="BZ29" i="4"/>
  <c r="DR29" i="4" s="1"/>
  <c r="C15" i="69"/>
  <c r="AG56" i="72"/>
  <c r="AG58" i="72" s="1"/>
  <c r="AG60" i="72" s="1"/>
  <c r="CE29" i="4"/>
  <c r="DS29" i="4" s="1"/>
  <c r="BZ137" i="4"/>
  <c r="DR137" i="4" s="1"/>
  <c r="F29" i="68"/>
  <c r="AL46" i="4"/>
  <c r="DJ46" i="4" s="1"/>
  <c r="BF46" i="4"/>
  <c r="DN46" i="4" s="1"/>
  <c r="BK79" i="4"/>
  <c r="DO79" i="4" s="1"/>
  <c r="D46" i="30"/>
  <c r="BK80" i="4"/>
  <c r="DO80" i="4" s="1"/>
  <c r="D47" i="30"/>
  <c r="D41" i="64"/>
  <c r="D41" i="63"/>
  <c r="D41" i="66"/>
  <c r="BP79" i="4"/>
  <c r="DP79" i="4" s="1"/>
  <c r="BP80" i="4"/>
  <c r="DP80" i="4" s="1"/>
  <c r="D42" i="64"/>
  <c r="D42" i="66"/>
  <c r="D42" i="63"/>
  <c r="D38" i="69"/>
  <c r="BU89" i="4"/>
  <c r="DQ89" i="4" s="1"/>
  <c r="BU90" i="4"/>
  <c r="DQ90" i="4" s="1"/>
  <c r="D39" i="69"/>
  <c r="BZ89" i="4"/>
  <c r="DR89" i="4" s="1"/>
  <c r="C38" i="69"/>
  <c r="BZ90" i="4"/>
  <c r="DR90" i="4" s="1"/>
  <c r="C39" i="69"/>
  <c r="DW315" i="9"/>
  <c r="CV212" i="9"/>
  <c r="CU220" i="9"/>
  <c r="DV322" i="9"/>
  <c r="EA322" i="9"/>
  <c r="CZ220" i="9"/>
  <c r="AF526" i="4"/>
  <c r="AG158" i="4"/>
  <c r="AH159" i="4" s="1"/>
  <c r="AM527" i="4"/>
  <c r="CL183" i="4"/>
  <c r="CL169" i="4"/>
  <c r="Z181" i="4"/>
  <c r="AE181" i="4"/>
  <c r="BS181" i="4"/>
  <c r="BW242" i="4"/>
  <c r="CE255" i="4"/>
  <c r="DS255" i="4" s="1"/>
  <c r="DS223" i="4"/>
  <c r="CE244" i="4"/>
  <c r="DS244" i="4" s="1"/>
  <c r="CI255" i="4"/>
  <c r="CI226" i="4"/>
  <c r="AT246" i="4"/>
  <c r="BJ246" i="4"/>
  <c r="BE242" i="4"/>
  <c r="AF265" i="4"/>
  <c r="BA335" i="4"/>
  <c r="BA336" i="4" s="1"/>
  <c r="AW336" i="4"/>
  <c r="AR336" i="4"/>
  <c r="AR337" i="4" s="1"/>
  <c r="AN347" i="4"/>
  <c r="CF347" i="4"/>
  <c r="AC356" i="4"/>
  <c r="AW356" i="4"/>
  <c r="BQ356" i="4"/>
  <c r="BL383" i="4"/>
  <c r="CE373" i="4"/>
  <c r="DS373" i="4" s="1"/>
  <c r="CA383" i="4"/>
  <c r="CF383" i="4"/>
  <c r="DG374" i="4"/>
  <c r="W242" i="4"/>
  <c r="DG242" i="4" s="1"/>
  <c r="W228" i="4"/>
  <c r="DK374" i="4"/>
  <c r="AQ378" i="4"/>
  <c r="AQ228" i="4"/>
  <c r="BI431" i="4"/>
  <c r="BI417" i="4" s="1"/>
  <c r="BN431" i="4"/>
  <c r="AC436" i="4"/>
  <c r="AL438" i="4"/>
  <c r="AI448" i="4" s="1"/>
  <c r="AI449" i="4" s="1"/>
  <c r="AH436" i="4"/>
  <c r="AJ438" i="4"/>
  <c r="AE438" i="4"/>
  <c r="Z438" i="4"/>
  <c r="Z436" i="4" s="1"/>
  <c r="Z444" i="4" s="1"/>
  <c r="Z494" i="4" s="1"/>
  <c r="U438" i="4"/>
  <c r="U436" i="4" s="1"/>
  <c r="N438" i="4"/>
  <c r="AI438" i="4"/>
  <c r="AD438" i="4"/>
  <c r="AD436" i="4" s="1"/>
  <c r="AD444" i="4" s="1"/>
  <c r="AD494" i="4" s="1"/>
  <c r="Y438" i="4"/>
  <c r="Y436" i="4" s="1"/>
  <c r="T438" i="4"/>
  <c r="AK438" i="4"/>
  <c r="AF438" i="4"/>
  <c r="AF436" i="4" s="1"/>
  <c r="AA438" i="4"/>
  <c r="V438" i="4"/>
  <c r="O438" i="4"/>
  <c r="BF433" i="4"/>
  <c r="DN433" i="4" s="1"/>
  <c r="BA433" i="4"/>
  <c r="DM433" i="4" s="1"/>
  <c r="AW440" i="4"/>
  <c r="AW463" i="4"/>
  <c r="AW464" i="4" s="1"/>
  <c r="BQ306" i="8"/>
  <c r="D9" i="56"/>
  <c r="K50" i="67"/>
  <c r="L50" i="67"/>
  <c r="F50" i="67"/>
  <c r="CN691" i="4"/>
  <c r="C15" i="71"/>
  <c r="D15" i="81"/>
  <c r="AH56" i="72"/>
  <c r="AH58" i="72" s="1"/>
  <c r="AH60" i="72" s="1"/>
  <c r="BI183" i="4"/>
  <c r="BI188" i="4" s="1"/>
  <c r="BI171" i="4"/>
  <c r="BN172" i="4" s="1"/>
  <c r="CT286" i="4"/>
  <c r="CS261" i="4"/>
  <c r="CS257" i="4" s="1"/>
  <c r="BN183" i="4"/>
  <c r="BN188" i="4" s="1"/>
  <c r="BN189" i="4" s="1"/>
  <c r="BN193" i="4"/>
  <c r="DP209" i="4"/>
  <c r="BU209" i="4"/>
  <c r="G53" i="56"/>
  <c r="F53" i="56"/>
  <c r="GL383" i="9"/>
  <c r="CA288" i="4"/>
  <c r="CA261" i="4"/>
  <c r="CA263" i="4" s="1"/>
  <c r="CA266" i="4" s="1"/>
  <c r="CO286" i="4"/>
  <c r="CO261" i="4" s="1"/>
  <c r="CN261" i="4"/>
  <c r="CN257" i="4" s="1"/>
  <c r="DL3" i="4"/>
  <c r="AO5" i="50"/>
  <c r="AO3" i="51"/>
  <c r="R8" i="4"/>
  <c r="DF8" i="4" s="1"/>
  <c r="AB7" i="4"/>
  <c r="DH7" i="4" s="1"/>
  <c r="BA7" i="4"/>
  <c r="DM7" i="4" s="1"/>
  <c r="BA9" i="4"/>
  <c r="DM9" i="4" s="1"/>
  <c r="BF8" i="4"/>
  <c r="DN8" i="4" s="1"/>
  <c r="BK7" i="4"/>
  <c r="DO7" i="4" s="1"/>
  <c r="BK8" i="4"/>
  <c r="DO8" i="4" s="1"/>
  <c r="BK9" i="4"/>
  <c r="DO9" i="4" s="1"/>
  <c r="BP7" i="4"/>
  <c r="DP7" i="4" s="1"/>
  <c r="BP8" i="4"/>
  <c r="DP8" i="4" s="1"/>
  <c r="BP9" i="4"/>
  <c r="DP9" i="4" s="1"/>
  <c r="D49" i="69"/>
  <c r="BU9" i="4"/>
  <c r="DQ9" i="4" s="1"/>
  <c r="D51" i="69"/>
  <c r="BZ7" i="4"/>
  <c r="DR7" i="4" s="1"/>
  <c r="C49" i="69"/>
  <c r="BZ8" i="4"/>
  <c r="DR8" i="4" s="1"/>
  <c r="C50" i="69"/>
  <c r="BZ9" i="4"/>
  <c r="DR9" i="4" s="1"/>
  <c r="C51" i="69"/>
  <c r="CE7" i="4"/>
  <c r="DS7" i="4" s="1"/>
  <c r="CE9" i="4"/>
  <c r="DS9" i="4" s="1"/>
  <c r="CJ7" i="4"/>
  <c r="DT7" i="4" s="1"/>
  <c r="CJ8" i="4"/>
  <c r="DT8" i="4" s="1"/>
  <c r="CJ9" i="4"/>
  <c r="DT9" i="4" s="1"/>
  <c r="CO7" i="4"/>
  <c r="DU7" i="4" s="1"/>
  <c r="CO8" i="4"/>
  <c r="DU8" i="4" s="1"/>
  <c r="CO9" i="4"/>
  <c r="DU9" i="4" s="1"/>
  <c r="L11" i="4"/>
  <c r="AV8" i="4"/>
  <c r="DL8" i="4" s="1"/>
  <c r="BR174" i="72"/>
  <c r="BQ174" i="72"/>
  <c r="BP208" i="72"/>
  <c r="BP207" i="72"/>
  <c r="BP209" i="72"/>
  <c r="BP210" i="72"/>
  <c r="BP206" i="72"/>
  <c r="BZ13" i="4"/>
  <c r="DE241" i="9" s="1"/>
  <c r="CE13" i="4"/>
  <c r="DS13" i="4" s="1"/>
  <c r="CJ13" i="4"/>
  <c r="DT13" i="4" s="1"/>
  <c r="CO13" i="4"/>
  <c r="DU13" i="4" s="1"/>
  <c r="CT13" i="4"/>
  <c r="DV13" i="4" s="1"/>
  <c r="CY13" i="4"/>
  <c r="DW13" i="4" s="1"/>
  <c r="DP27" i="4"/>
  <c r="BZ27" i="4"/>
  <c r="DE242" i="9" s="1"/>
  <c r="CE27" i="4"/>
  <c r="DS27" i="4" s="1"/>
  <c r="CJ28" i="4"/>
  <c r="DT28" i="4" s="1"/>
  <c r="CJ29" i="4"/>
  <c r="DT29" i="4" s="1"/>
  <c r="CK691" i="4"/>
  <c r="CO28" i="4"/>
  <c r="DU28" i="4" s="1"/>
  <c r="W28" i="4"/>
  <c r="AL28" i="4"/>
  <c r="DJ28" i="4" s="1"/>
  <c r="AQ28" i="4"/>
  <c r="AQ31" i="4" s="1"/>
  <c r="BF28" i="4"/>
  <c r="DN28" i="4" s="1"/>
  <c r="BK28" i="4"/>
  <c r="BU28" i="4"/>
  <c r="DQ28" i="4" s="1"/>
  <c r="BZ28" i="4"/>
  <c r="DR28" i="4" s="1"/>
  <c r="F17" i="56"/>
  <c r="G17" i="56"/>
  <c r="D19" i="56"/>
  <c r="C15" i="73"/>
  <c r="G15" i="73" s="1"/>
  <c r="AI56" i="72"/>
  <c r="AI58" i="72" s="1"/>
  <c r="AI60" i="72" s="1"/>
  <c r="G16" i="81"/>
  <c r="F16" i="81"/>
  <c r="CA31" i="4"/>
  <c r="DN40" i="4"/>
  <c r="DO40" i="4"/>
  <c r="AT55" i="9"/>
  <c r="D29" i="68"/>
  <c r="DQ42" i="4"/>
  <c r="AV54" i="9"/>
  <c r="CJ89" i="4"/>
  <c r="DT89" i="4" s="1"/>
  <c r="H29" i="68"/>
  <c r="CE52" i="4"/>
  <c r="DS52" i="4" s="1"/>
  <c r="C30" i="81"/>
  <c r="DT70" i="4"/>
  <c r="H19" i="68"/>
  <c r="H20" i="68" s="1"/>
  <c r="G43" i="35"/>
  <c r="D51" i="35"/>
  <c r="G51" i="35" s="1"/>
  <c r="F43" i="35"/>
  <c r="AU83" i="72"/>
  <c r="DR95" i="4"/>
  <c r="EC314" i="9"/>
  <c r="DB211" i="9"/>
  <c r="CT171" i="4"/>
  <c r="AD193" i="4"/>
  <c r="T255" i="4"/>
  <c r="AC244" i="4"/>
  <c r="AO244" i="4"/>
  <c r="AO242" i="4"/>
  <c r="AS244" i="4"/>
  <c r="AS242" i="4"/>
  <c r="CC242" i="4"/>
  <c r="CK257" i="4"/>
  <c r="CM249" i="4"/>
  <c r="AP263" i="4"/>
  <c r="BL261" i="4"/>
  <c r="DI330" i="4"/>
  <c r="AG333" i="4"/>
  <c r="AG334" i="4" s="1"/>
  <c r="DI334" i="4" s="1"/>
  <c r="AG242" i="4"/>
  <c r="DI242" i="4" s="1"/>
  <c r="GX371" i="9"/>
  <c r="GX372" i="9" s="1"/>
  <c r="BU223" i="4"/>
  <c r="BU333" i="4"/>
  <c r="CJ248" i="4"/>
  <c r="DT248" i="4" s="1"/>
  <c r="O22" i="55"/>
  <c r="CJ237" i="4"/>
  <c r="DT234" i="4"/>
  <c r="AX384" i="4"/>
  <c r="BC384" i="4"/>
  <c r="DH406" i="4"/>
  <c r="BB417" i="4"/>
  <c r="X438" i="4"/>
  <c r="BH441" i="4"/>
  <c r="CR915" i="4"/>
  <c r="CR893" i="4"/>
  <c r="AI10" i="4"/>
  <c r="AI20" i="4" s="1"/>
  <c r="AI21" i="4" s="1"/>
  <c r="BO10" i="4"/>
  <c r="D49" i="67"/>
  <c r="L51" i="67"/>
  <c r="K51" i="67"/>
  <c r="F51" i="67"/>
  <c r="CD10" i="4"/>
  <c r="BW31" i="4"/>
  <c r="BW691" i="4" s="1"/>
  <c r="AT183" i="4"/>
  <c r="AT193" i="4"/>
  <c r="Y288" i="4"/>
  <c r="FO382" i="9"/>
  <c r="FO383" i="9" s="1"/>
  <c r="Y261" i="4"/>
  <c r="FW382" i="9"/>
  <c r="AI261" i="4"/>
  <c r="AI263" i="4" s="1"/>
  <c r="AR288" i="4"/>
  <c r="GD382" i="9"/>
  <c r="AR261" i="4"/>
  <c r="AR257" i="4" s="1"/>
  <c r="GP382" i="9"/>
  <c r="GP383" i="9" s="1"/>
  <c r="BG261" i="4"/>
  <c r="BG263" i="4" s="1"/>
  <c r="BQ288" i="4"/>
  <c r="BQ261" i="4"/>
  <c r="AR334" i="4"/>
  <c r="CB347" i="4"/>
  <c r="BQ384" i="4"/>
  <c r="CA384" i="4"/>
  <c r="N436" i="4"/>
  <c r="N504" i="4" s="1"/>
  <c r="BA3" i="4"/>
  <c r="AS5" i="50"/>
  <c r="AS3" i="51"/>
  <c r="U8" i="4"/>
  <c r="W8" i="4" s="1"/>
  <c r="DG8" i="4" s="1"/>
  <c r="Y10" i="4"/>
  <c r="AB8" i="4"/>
  <c r="DH8" i="4" s="1"/>
  <c r="X10" i="4"/>
  <c r="X20" i="4" s="1"/>
  <c r="BA8" i="4"/>
  <c r="DM8" i="4" s="1"/>
  <c r="BF9" i="4"/>
  <c r="DN9" i="4" s="1"/>
  <c r="D9" i="48"/>
  <c r="BO306" i="8"/>
  <c r="D52" i="71"/>
  <c r="C49" i="71"/>
  <c r="D51" i="81"/>
  <c r="C50" i="71"/>
  <c r="D52" i="81"/>
  <c r="C51" i="71"/>
  <c r="D53" i="81"/>
  <c r="G53" i="81" s="1"/>
  <c r="CB10" i="4"/>
  <c r="C51" i="81"/>
  <c r="CE8" i="4"/>
  <c r="DS8" i="4" s="1"/>
  <c r="C52" i="81"/>
  <c r="L53" i="81"/>
  <c r="K53" i="81"/>
  <c r="F53" i="81"/>
  <c r="CQ7" i="4"/>
  <c r="AV9" i="4"/>
  <c r="DL9" i="4" s="1"/>
  <c r="P691" i="4"/>
  <c r="CB31" i="4"/>
  <c r="CB691" i="4" s="1"/>
  <c r="CG691" i="4"/>
  <c r="CL691" i="4"/>
  <c r="CO29" i="4"/>
  <c r="DU29" i="4" s="1"/>
  <c r="CQ31" i="4"/>
  <c r="CQ691" i="4" s="1"/>
  <c r="T691" i="4"/>
  <c r="BK29" i="4"/>
  <c r="DO29" i="4" s="1"/>
  <c r="D15" i="63"/>
  <c r="D15" i="64"/>
  <c r="D15" i="66"/>
  <c r="BP29" i="4"/>
  <c r="DP29" i="4" s="1"/>
  <c r="K15" i="67"/>
  <c r="L15" i="67"/>
  <c r="F15" i="67"/>
  <c r="S31" i="4"/>
  <c r="AM31" i="4"/>
  <c r="BG31" i="4"/>
  <c r="DS39" i="4"/>
  <c r="DP42" i="4"/>
  <c r="DM42" i="4"/>
  <c r="AN54" i="9"/>
  <c r="BU137" i="4"/>
  <c r="DQ137" i="4" s="1"/>
  <c r="E29" i="68"/>
  <c r="CO137" i="4"/>
  <c r="DU137" i="4" s="1"/>
  <c r="I29" i="68"/>
  <c r="W46" i="4"/>
  <c r="DG46" i="4" s="1"/>
  <c r="AB46" i="4"/>
  <c r="DH46" i="4" s="1"/>
  <c r="BU92" i="4"/>
  <c r="DQ92" i="4" s="1"/>
  <c r="D41" i="73"/>
  <c r="DO91" i="4"/>
  <c r="BK75" i="4"/>
  <c r="DU312" i="9"/>
  <c r="CT209" i="9"/>
  <c r="DB209" i="9"/>
  <c r="EC312" i="9"/>
  <c r="DU316" i="9"/>
  <c r="CT213" i="9"/>
  <c r="DR116" i="4"/>
  <c r="EF316" i="9"/>
  <c r="DE213" i="9"/>
  <c r="DZ320" i="9"/>
  <c r="CY218" i="9"/>
  <c r="EB321" i="9"/>
  <c r="DA219" i="9"/>
  <c r="EF321" i="9"/>
  <c r="DE219" i="9"/>
  <c r="DR119" i="4"/>
  <c r="BX137" i="4"/>
  <c r="AN526" i="4"/>
  <c r="BC526" i="4"/>
  <c r="BH526" i="4"/>
  <c r="CE167" i="4"/>
  <c r="Y171" i="4"/>
  <c r="Y172" i="4" s="1"/>
  <c r="BN171" i="4"/>
  <c r="BW181" i="4"/>
  <c r="BR256" i="4"/>
  <c r="BR246" i="4"/>
  <c r="BW246" i="4"/>
  <c r="BW256" i="4"/>
  <c r="CG230" i="4"/>
  <c r="CG376" i="4" s="1"/>
  <c r="CL256" i="4"/>
  <c r="CL246" i="4"/>
  <c r="X248" i="4"/>
  <c r="X257" i="4"/>
  <c r="AB248" i="4"/>
  <c r="DH248" i="4" s="1"/>
  <c r="C22" i="55"/>
  <c r="DH234" i="4"/>
  <c r="AN248" i="4"/>
  <c r="AN257" i="4"/>
  <c r="AV248" i="4"/>
  <c r="DL248" i="4" s="1"/>
  <c r="G22" i="55"/>
  <c r="BD248" i="4"/>
  <c r="BD257" i="4"/>
  <c r="BH248" i="4"/>
  <c r="BH257" i="4"/>
  <c r="BL248" i="4"/>
  <c r="D51" i="63"/>
  <c r="D51" i="64"/>
  <c r="D51" i="66"/>
  <c r="BQ257" i="4"/>
  <c r="BU257" i="4"/>
  <c r="DQ257" i="4" s="1"/>
  <c r="B27" i="53"/>
  <c r="B8" i="53"/>
  <c r="L22" i="55"/>
  <c r="AX246" i="4"/>
  <c r="DJ261" i="4"/>
  <c r="E23" i="55"/>
  <c r="BD265" i="4"/>
  <c r="AJ334" i="4"/>
  <c r="AR347" i="4"/>
  <c r="AW347" i="4"/>
  <c r="AP359" i="4"/>
  <c r="AO262" i="4"/>
  <c r="AT265" i="4" s="1"/>
  <c r="BJ359" i="4"/>
  <c r="BI262" i="4"/>
  <c r="BI256" i="4" s="1"/>
  <c r="BO359" i="4"/>
  <c r="BN262" i="4"/>
  <c r="BN256" i="4" s="1"/>
  <c r="CC359" i="4"/>
  <c r="CB262" i="4"/>
  <c r="CB265" i="4" s="1"/>
  <c r="CH359" i="4"/>
  <c r="CG262" i="4"/>
  <c r="CG265" i="4" s="1"/>
  <c r="BY382" i="4"/>
  <c r="BT382" i="4"/>
  <c r="DP374" i="4"/>
  <c r="BP373" i="4"/>
  <c r="Z384" i="4"/>
  <c r="AE384" i="4"/>
  <c r="AO384" i="4"/>
  <c r="AT384" i="4"/>
  <c r="AM407" i="4"/>
  <c r="DJ406" i="4"/>
  <c r="AW407" i="4"/>
  <c r="BA407" i="4" s="1"/>
  <c r="DM407" i="4" s="1"/>
  <c r="DL406" i="4"/>
  <c r="BR407" i="4"/>
  <c r="BS406" i="4"/>
  <c r="AA410" i="4"/>
  <c r="Z411" i="4"/>
  <c r="Z410" i="4"/>
  <c r="DM420" i="4"/>
  <c r="V463" i="4"/>
  <c r="V436" i="4"/>
  <c r="V444" i="4" s="1"/>
  <c r="V494" i="4" s="1"/>
  <c r="AA463" i="4"/>
  <c r="AA437" i="4"/>
  <c r="AF472" i="4"/>
  <c r="AK463" i="4"/>
  <c r="AK437" i="4"/>
  <c r="AL437" i="4" s="1"/>
  <c r="BK71" i="4"/>
  <c r="DO71" i="4" s="1"/>
  <c r="CT70" i="4"/>
  <c r="CX70" i="4"/>
  <c r="CY70" i="4" s="1"/>
  <c r="K19" i="68" s="1"/>
  <c r="F43" i="48"/>
  <c r="D51" i="48"/>
  <c r="G51" i="48" s="1"/>
  <c r="G43" i="48"/>
  <c r="CT76" i="4"/>
  <c r="DV76" i="4" s="1"/>
  <c r="F42" i="56"/>
  <c r="G42" i="56"/>
  <c r="G43" i="56"/>
  <c r="F43" i="56"/>
  <c r="BF82" i="4"/>
  <c r="DN82" i="4" s="1"/>
  <c r="BK89" i="4"/>
  <c r="DO89" i="4" s="1"/>
  <c r="BP89" i="4"/>
  <c r="DP89" i="4" s="1"/>
  <c r="D38" i="67"/>
  <c r="G38" i="67" s="1"/>
  <c r="K38" i="67"/>
  <c r="L38" i="67"/>
  <c r="F39" i="67"/>
  <c r="L39" i="67"/>
  <c r="K39" i="67"/>
  <c r="L38" i="81"/>
  <c r="K38" i="81"/>
  <c r="CY93" i="4"/>
  <c r="M91" i="4"/>
  <c r="DE91" i="4" s="1"/>
  <c r="R91" i="4"/>
  <c r="DF91" i="4" s="1"/>
  <c r="AQ91" i="4"/>
  <c r="G41" i="71"/>
  <c r="F41" i="71"/>
  <c r="CS96" i="4"/>
  <c r="CS701" i="4" s="1"/>
  <c r="EB312" i="9"/>
  <c r="DA209" i="9"/>
  <c r="EB314" i="9"/>
  <c r="DA211" i="9"/>
  <c r="W116" i="4"/>
  <c r="DG116" i="4" s="1"/>
  <c r="AB116" i="4"/>
  <c r="DH116" i="4" s="1"/>
  <c r="AV116" i="4"/>
  <c r="DL116" i="4" s="1"/>
  <c r="DV315" i="9"/>
  <c r="CU212" i="9"/>
  <c r="EB316" i="9"/>
  <c r="DA213" i="9"/>
  <c r="DV320" i="9"/>
  <c r="CU218" i="9"/>
  <c r="DW321" i="9"/>
  <c r="CV219" i="9"/>
  <c r="EA321" i="9"/>
  <c r="CZ219" i="9"/>
  <c r="DQ119" i="4"/>
  <c r="EE321" i="9"/>
  <c r="DD219" i="9"/>
  <c r="CT220" i="9"/>
  <c r="DU322" i="9"/>
  <c r="CY220" i="9"/>
  <c r="DZ322" i="9"/>
  <c r="AG124" i="4"/>
  <c r="DI124" i="4" s="1"/>
  <c r="AL124" i="4"/>
  <c r="DJ124" i="4" s="1"/>
  <c r="AQ124" i="4"/>
  <c r="DK124" i="4" s="1"/>
  <c r="P526" i="4"/>
  <c r="AE526" i="4"/>
  <c r="AI526" i="4"/>
  <c r="AM526" i="4"/>
  <c r="AM528" i="4" s="1"/>
  <c r="AR526" i="4"/>
  <c r="BG526" i="4"/>
  <c r="BL526" i="4"/>
  <c r="BU158" i="4"/>
  <c r="BV159" i="4" s="1"/>
  <c r="CC159" i="4"/>
  <c r="O527" i="4"/>
  <c r="X163" i="4"/>
  <c r="AB162" i="4"/>
  <c r="DH162" i="4" s="1"/>
  <c r="AT527" i="4"/>
  <c r="AY527" i="4"/>
  <c r="BI527" i="4"/>
  <c r="BQ527" i="4"/>
  <c r="CB163" i="4"/>
  <c r="CG163" i="4"/>
  <c r="AC188" i="4"/>
  <c r="V171" i="4"/>
  <c r="V172" i="4" s="1"/>
  <c r="AP171" i="4"/>
  <c r="BB171" i="4"/>
  <c r="BM171" i="4"/>
  <c r="BV171" i="4"/>
  <c r="T181" i="4"/>
  <c r="AS181" i="4"/>
  <c r="BC181" i="4"/>
  <c r="BH181" i="4"/>
  <c r="AV184" i="4"/>
  <c r="BR188" i="4"/>
  <c r="BR189" i="4" s="1"/>
  <c r="CH185" i="4"/>
  <c r="CL185" i="4"/>
  <c r="CH193" i="4"/>
  <c r="T244" i="4"/>
  <c r="AR255" i="4"/>
  <c r="AW244" i="4"/>
  <c r="BE244" i="4"/>
  <c r="BI244" i="4"/>
  <c r="BM244" i="4"/>
  <c r="BR255" i="4"/>
  <c r="CA244" i="4"/>
  <c r="CI244" i="4"/>
  <c r="CM224" i="4"/>
  <c r="D50" i="64"/>
  <c r="D50" i="63"/>
  <c r="D50" i="66"/>
  <c r="CA246" i="4"/>
  <c r="F36" i="55"/>
  <c r="J36" i="55"/>
  <c r="J16" i="55"/>
  <c r="J19" i="55" s="1"/>
  <c r="BT248" i="4"/>
  <c r="BX248" i="4"/>
  <c r="CB248" i="4"/>
  <c r="CF248" i="4"/>
  <c r="X251" i="4"/>
  <c r="AW242" i="4"/>
  <c r="S244" i="4"/>
  <c r="AD246" i="4"/>
  <c r="CD246" i="4"/>
  <c r="BZ248" i="4"/>
  <c r="DR248" i="4" s="1"/>
  <c r="BV255" i="4"/>
  <c r="CA256" i="4"/>
  <c r="BT257" i="4"/>
  <c r="AA263" i="4"/>
  <c r="AK264" i="4"/>
  <c r="AO264" i="4"/>
  <c r="AT263" i="4"/>
  <c r="AY263" i="4"/>
  <c r="AX265" i="4"/>
  <c r="AM284" i="4"/>
  <c r="BQ284" i="4"/>
  <c r="N287" i="4"/>
  <c r="FF382" i="9"/>
  <c r="FJ383" i="9" s="1"/>
  <c r="Y287" i="4"/>
  <c r="FN382" i="9"/>
  <c r="FN383" i="9" s="1"/>
  <c r="AC288" i="4"/>
  <c r="FR382" i="9"/>
  <c r="FR383" i="9" s="1"/>
  <c r="AI287" i="4"/>
  <c r="FV382" i="9"/>
  <c r="AQ286" i="4"/>
  <c r="AQ261" i="4" s="1"/>
  <c r="F23" i="55" s="1"/>
  <c r="F24" i="55" s="1"/>
  <c r="GC382" i="9"/>
  <c r="BA286" i="4"/>
  <c r="BA261" i="4" s="1"/>
  <c r="H23" i="55" s="1"/>
  <c r="GK382" i="9"/>
  <c r="BF286" i="4"/>
  <c r="GO382" i="9"/>
  <c r="GS383" i="9"/>
  <c r="GW383" i="9"/>
  <c r="GX383" i="9"/>
  <c r="BY288" i="4"/>
  <c r="CN287" i="4"/>
  <c r="CW288" i="4"/>
  <c r="BP336" i="4"/>
  <c r="CM334" i="4"/>
  <c r="Y334" i="4"/>
  <c r="AI334" i="4"/>
  <c r="AH334" i="4"/>
  <c r="AL333" i="4"/>
  <c r="AP334" i="4"/>
  <c r="BM334" i="4"/>
  <c r="CL334" i="4"/>
  <c r="BJ337" i="4"/>
  <c r="BK107" i="9"/>
  <c r="BK148" i="9"/>
  <c r="Y347" i="4"/>
  <c r="AL346" i="4"/>
  <c r="BM347" i="4"/>
  <c r="BZ346" i="4"/>
  <c r="BZ347" i="4" s="1"/>
  <c r="DR347" i="4" s="1"/>
  <c r="W354" i="4"/>
  <c r="AK355" i="4"/>
  <c r="AP355" i="4"/>
  <c r="AZ355" i="4"/>
  <c r="BJ355" i="4"/>
  <c r="U359" i="4"/>
  <c r="Z359" i="4"/>
  <c r="AY359" i="4"/>
  <c r="BN359" i="4"/>
  <c r="BR359" i="4"/>
  <c r="BW359" i="4"/>
  <c r="CG359" i="4"/>
  <c r="CL359" i="4"/>
  <c r="CD383" i="4"/>
  <c r="AL384" i="4"/>
  <c r="DJ384" i="4" s="1"/>
  <c r="BF382" i="4"/>
  <c r="DN382" i="4" s="1"/>
  <c r="T384" i="4"/>
  <c r="Y384" i="4"/>
  <c r="AI384" i="4"/>
  <c r="AW384" i="4"/>
  <c r="BG384" i="4"/>
  <c r="BK378" i="4"/>
  <c r="BO384" i="4"/>
  <c r="BY384" i="4"/>
  <c r="CL382" i="4"/>
  <c r="T407" i="4"/>
  <c r="AH410" i="4"/>
  <c r="AL410" i="4" s="1"/>
  <c r="DJ410" i="4" s="1"/>
  <c r="AO423" i="4"/>
  <c r="BF423" i="4"/>
  <c r="DN423" i="4" s="1"/>
  <c r="AN431" i="4"/>
  <c r="BC431" i="4"/>
  <c r="BC417" i="4" s="1"/>
  <c r="BH431" i="4"/>
  <c r="AI52" i="9"/>
  <c r="AV513" i="4"/>
  <c r="DL513" i="4" s="1"/>
  <c r="BB457" i="4"/>
  <c r="AY444" i="4"/>
  <c r="AY494" i="4" s="1"/>
  <c r="AY469" i="4"/>
  <c r="AY472" i="4" s="1"/>
  <c r="AB493" i="4"/>
  <c r="DH493" i="4" s="1"/>
  <c r="AM492" i="4"/>
  <c r="AV493" i="4"/>
  <c r="DL493" i="4" s="1"/>
  <c r="AZ498" i="4"/>
  <c r="BA498" i="4" s="1"/>
  <c r="AX555" i="4"/>
  <c r="AX553" i="4" s="1"/>
  <c r="V576" i="4"/>
  <c r="BD595" i="4"/>
  <c r="BD596" i="4" s="1"/>
  <c r="BD602" i="4" s="1"/>
  <c r="BF594" i="4"/>
  <c r="DN594" i="4" s="1"/>
  <c r="BI594" i="4"/>
  <c r="BN594" i="4" s="1"/>
  <c r="BN595" i="4" s="1"/>
  <c r="BW619" i="4"/>
  <c r="BW617" i="4"/>
  <c r="CB619" i="4"/>
  <c r="CO615" i="4"/>
  <c r="DU615" i="4" s="1"/>
  <c r="AO701" i="4"/>
  <c r="AN704" i="4"/>
  <c r="AK731" i="4"/>
  <c r="AL731" i="4" s="1"/>
  <c r="DJ731" i="4" s="1"/>
  <c r="AK735" i="4"/>
  <c r="AL735" i="4"/>
  <c r="DJ735" i="4" s="1"/>
  <c r="AP731" i="4"/>
  <c r="AQ731" i="4" s="1"/>
  <c r="DK731" i="4" s="1"/>
  <c r="AP735" i="4"/>
  <c r="AQ735" i="4"/>
  <c r="DK735" i="4" s="1"/>
  <c r="DO500" i="4"/>
  <c r="AG513" i="4"/>
  <c r="DI513" i="4" s="1"/>
  <c r="DI505" i="4"/>
  <c r="BG626" i="4"/>
  <c r="BE625" i="4"/>
  <c r="AZ645" i="4"/>
  <c r="BT645" i="4"/>
  <c r="DJ648" i="4"/>
  <c r="AL513" i="4"/>
  <c r="DJ513" i="4" s="1"/>
  <c r="BH667" i="4"/>
  <c r="BM667" i="4"/>
  <c r="BR667" i="4"/>
  <c r="BR114" i="4"/>
  <c r="BW667" i="4"/>
  <c r="BW114" i="4"/>
  <c r="CB667" i="4"/>
  <c r="CG667" i="4"/>
  <c r="BW668" i="4"/>
  <c r="CB668" i="4"/>
  <c r="BZ676" i="4"/>
  <c r="DR676" i="4" s="1"/>
  <c r="DR673" i="4"/>
  <c r="CI673" i="4"/>
  <c r="CD114" i="4"/>
  <c r="BN674" i="4"/>
  <c r="BN118" i="4" s="1"/>
  <c r="BN657" i="4"/>
  <c r="CD674" i="4"/>
  <c r="CD118" i="4" s="1"/>
  <c r="CD657" i="4"/>
  <c r="CD666" i="4" s="1"/>
  <c r="BD678" i="4"/>
  <c r="BD674" i="4"/>
  <c r="BM714" i="4"/>
  <c r="BN709" i="4"/>
  <c r="BN662" i="4" s="1"/>
  <c r="BN121" i="4" s="1"/>
  <c r="DA221" i="9" s="1"/>
  <c r="BH663" i="4"/>
  <c r="BJ710" i="4"/>
  <c r="CR710" i="4"/>
  <c r="CQ663" i="4"/>
  <c r="DO711" i="4"/>
  <c r="BK659" i="4"/>
  <c r="DO659" i="4" s="1"/>
  <c r="BO711" i="4"/>
  <c r="BO659" i="4" s="1"/>
  <c r="BO668" i="4" s="1"/>
  <c r="BN659" i="4"/>
  <c r="BN668" i="4" s="1"/>
  <c r="DJ718" i="4"/>
  <c r="H2" i="72"/>
  <c r="I3" i="72"/>
  <c r="DK719" i="4"/>
  <c r="AA721" i="4"/>
  <c r="AB721" i="4" s="1"/>
  <c r="DH721" i="4" s="1"/>
  <c r="L3" i="72"/>
  <c r="DN719" i="4"/>
  <c r="CR721" i="4"/>
  <c r="CT721" i="4"/>
  <c r="DV721" i="4" s="1"/>
  <c r="DF768" i="4"/>
  <c r="R771" i="4"/>
  <c r="DF771" i="4" s="1"/>
  <c r="AZ73" i="9"/>
  <c r="BB77" i="9"/>
  <c r="AZ76" i="9"/>
  <c r="BB75" i="9"/>
  <c r="AZ77" i="9"/>
  <c r="BB76" i="9"/>
  <c r="BB73" i="9"/>
  <c r="AZ74" i="9"/>
  <c r="BB74" i="9"/>
  <c r="AZ75" i="9"/>
  <c r="BB78" i="9"/>
  <c r="AZ78" i="9"/>
  <c r="AZ79" i="9"/>
  <c r="BB79" i="9"/>
  <c r="AZ80" i="9"/>
  <c r="BB80" i="9"/>
  <c r="BB81" i="9"/>
  <c r="AZ81" i="9"/>
  <c r="BB82" i="9"/>
  <c r="AZ82" i="9"/>
  <c r="I16" i="68"/>
  <c r="I17" i="68" s="1"/>
  <c r="AN65" i="72"/>
  <c r="DQ70" i="4"/>
  <c r="E19" i="68"/>
  <c r="DU70" i="4"/>
  <c r="I19" i="68"/>
  <c r="I20" i="68" s="1"/>
  <c r="DJ70" i="4"/>
  <c r="G39" i="56"/>
  <c r="F39" i="56"/>
  <c r="D46" i="56"/>
  <c r="G46" i="56" s="1"/>
  <c r="CO76" i="4"/>
  <c r="DU76" i="4" s="1"/>
  <c r="CO80" i="4"/>
  <c r="DU80" i="4" s="1"/>
  <c r="BF79" i="4"/>
  <c r="DN79" i="4" s="1"/>
  <c r="F46" i="48"/>
  <c r="G46" i="48"/>
  <c r="G47" i="48"/>
  <c r="F47" i="48"/>
  <c r="C38" i="71"/>
  <c r="D38" i="81"/>
  <c r="G38" i="81" s="1"/>
  <c r="C39" i="71"/>
  <c r="G39" i="71" s="1"/>
  <c r="D39" i="81"/>
  <c r="G39" i="81" s="1"/>
  <c r="K39" i="81"/>
  <c r="L39" i="81"/>
  <c r="F39" i="81"/>
  <c r="CY91" i="4"/>
  <c r="CU116" i="4"/>
  <c r="F41" i="67"/>
  <c r="L41" i="67"/>
  <c r="G41" i="67"/>
  <c r="K41" i="67"/>
  <c r="DS95" i="4"/>
  <c r="AZ83" i="72"/>
  <c r="DV312" i="9"/>
  <c r="CU209" i="9"/>
  <c r="DZ312" i="9"/>
  <c r="CY209" i="9"/>
  <c r="DZ314" i="9"/>
  <c r="CY211" i="9"/>
  <c r="DX315" i="9"/>
  <c r="CW212" i="9"/>
  <c r="CY213" i="9"/>
  <c r="DZ316" i="9"/>
  <c r="DU321" i="9"/>
  <c r="CT219" i="9"/>
  <c r="DB219" i="9"/>
  <c r="EC321" i="9"/>
  <c r="DW322" i="9"/>
  <c r="CV220" i="9"/>
  <c r="EB322" i="9"/>
  <c r="DA220" i="9"/>
  <c r="M122" i="4"/>
  <c r="DE122" i="4" s="1"/>
  <c r="BU122" i="4"/>
  <c r="EE323" i="9" s="1"/>
  <c r="BZ122" i="4"/>
  <c r="CO122" i="4"/>
  <c r="DU122" i="4" s="1"/>
  <c r="CT122" i="4"/>
  <c r="DV122" i="4" s="1"/>
  <c r="CY122" i="4"/>
  <c r="DW122" i="4" s="1"/>
  <c r="BF124" i="4"/>
  <c r="DN124" i="4" s="1"/>
  <c r="BK124" i="4"/>
  <c r="DY325" i="9" s="1"/>
  <c r="DU325" i="9"/>
  <c r="CY124" i="4"/>
  <c r="DW124" i="4" s="1"/>
  <c r="X526" i="4"/>
  <c r="AK160" i="4"/>
  <c r="BI160" i="4"/>
  <c r="Z165" i="4"/>
  <c r="AD527" i="4"/>
  <c r="AI527" i="4"/>
  <c r="AW527" i="4"/>
  <c r="BG527" i="4"/>
  <c r="U183" i="4"/>
  <c r="U188" i="4" s="1"/>
  <c r="Z183" i="4"/>
  <c r="AO183" i="4"/>
  <c r="AO188" i="4" s="1"/>
  <c r="AO189" i="4" s="1"/>
  <c r="BE189" i="4"/>
  <c r="CD183" i="4"/>
  <c r="CD188" i="4" s="1"/>
  <c r="Z171" i="4"/>
  <c r="AK171" i="4"/>
  <c r="AW171" i="4"/>
  <c r="BQ171" i="4"/>
  <c r="AF181" i="4"/>
  <c r="AZ181" i="4"/>
  <c r="BO181" i="4"/>
  <c r="AH193" i="4"/>
  <c r="BB193" i="4"/>
  <c r="BV193" i="4"/>
  <c r="U244" i="4"/>
  <c r="Y244" i="4"/>
  <c r="CB255" i="4"/>
  <c r="CF255" i="4"/>
  <c r="CK244" i="4"/>
  <c r="V256" i="4"/>
  <c r="Z256" i="4"/>
  <c r="AL256" i="4"/>
  <c r="DJ256" i="4" s="1"/>
  <c r="AP256" i="4"/>
  <c r="AT256" i="4"/>
  <c r="BJ256" i="4"/>
  <c r="D54" i="56"/>
  <c r="BS246" i="4"/>
  <c r="CC256" i="4"/>
  <c r="CH256" i="4"/>
  <c r="CM246" i="4"/>
  <c r="CM230" i="4"/>
  <c r="CM376" i="4" s="1"/>
  <c r="CM378" i="4" s="1"/>
  <c r="CM379" i="4" s="1"/>
  <c r="U257" i="4"/>
  <c r="Y257" i="4"/>
  <c r="AC257" i="4"/>
  <c r="D22" i="55"/>
  <c r="AW257" i="4"/>
  <c r="BA257" i="4"/>
  <c r="DM257" i="4" s="1"/>
  <c r="H22" i="55"/>
  <c r="BE257" i="4"/>
  <c r="BR257" i="4"/>
  <c r="BV257" i="4"/>
  <c r="M36" i="55"/>
  <c r="CF237" i="4"/>
  <c r="Z251" i="4"/>
  <c r="AE251" i="4"/>
  <c r="BI242" i="4"/>
  <c r="AY244" i="4"/>
  <c r="V246" i="4"/>
  <c r="AL246" i="4"/>
  <c r="DJ246" i="4" s="1"/>
  <c r="BB246" i="4"/>
  <c r="BS256" i="4"/>
  <c r="CM256" i="4"/>
  <c r="CB257" i="4"/>
  <c r="CC264" i="4"/>
  <c r="CG264" i="4"/>
  <c r="CL263" i="4"/>
  <c r="X265" i="4"/>
  <c r="AZ265" i="4"/>
  <c r="CN265" i="4"/>
  <c r="Q283" i="4"/>
  <c r="AY284" i="4"/>
  <c r="BS284" i="4"/>
  <c r="FL383" i="9"/>
  <c r="FP383" i="9"/>
  <c r="AF287" i="4"/>
  <c r="FT382" i="9"/>
  <c r="FT383" i="9" s="1"/>
  <c r="GA383" i="9"/>
  <c r="GE383" i="9"/>
  <c r="AY287" i="4"/>
  <c r="GI382" i="9"/>
  <c r="GI383" i="9" s="1"/>
  <c r="GQ383" i="9"/>
  <c r="BM288" i="4"/>
  <c r="GU382" i="9"/>
  <c r="GU383" i="9" s="1"/>
  <c r="R333" i="4"/>
  <c r="W334" i="4" s="1"/>
  <c r="DG334" i="4" s="1"/>
  <c r="AS334" i="4"/>
  <c r="BQ334" i="4"/>
  <c r="BY334" i="4"/>
  <c r="CQ334" i="4"/>
  <c r="AX337" i="4"/>
  <c r="BC337" i="4"/>
  <c r="DE343" i="4"/>
  <c r="FE375" i="9"/>
  <c r="FE378" i="9" s="1"/>
  <c r="DQ343" i="4"/>
  <c r="GX375" i="9"/>
  <c r="DG343" i="4"/>
  <c r="S347" i="4"/>
  <c r="AS347" i="4"/>
  <c r="BF346" i="4"/>
  <c r="CG347" i="4"/>
  <c r="U355" i="4"/>
  <c r="Y355" i="4"/>
  <c r="AD355" i="4"/>
  <c r="AN355" i="4"/>
  <c r="AS355" i="4"/>
  <c r="O359" i="4"/>
  <c r="CK373" i="4"/>
  <c r="CK383" i="4" s="1"/>
  <c r="BM383" i="4"/>
  <c r="CB383" i="4"/>
  <c r="CG383" i="4"/>
  <c r="AA384" i="4"/>
  <c r="AK384" i="4"/>
  <c r="AY384" i="4"/>
  <c r="BI384" i="4"/>
  <c r="BM384" i="4"/>
  <c r="BW384" i="4"/>
  <c r="AB411" i="4"/>
  <c r="DH411" i="4" s="1"/>
  <c r="AV410" i="4"/>
  <c r="DL410" i="4" s="1"/>
  <c r="BK410" i="4"/>
  <c r="DO410" i="4" s="1"/>
  <c r="AX410" i="4"/>
  <c r="BF429" i="4"/>
  <c r="AQ431" i="4"/>
  <c r="DK431" i="4" s="1"/>
  <c r="AU431" i="4"/>
  <c r="AU417" i="4" s="1"/>
  <c r="AZ431" i="4"/>
  <c r="AZ417" i="4" s="1"/>
  <c r="BE431" i="4"/>
  <c r="BJ431" i="4"/>
  <c r="O436" i="4"/>
  <c r="O504" i="4" s="1"/>
  <c r="O522" i="4" s="1"/>
  <c r="AX440" i="4"/>
  <c r="BA440" i="4" s="1"/>
  <c r="DM440" i="4" s="1"/>
  <c r="N463" i="4"/>
  <c r="S463" i="4"/>
  <c r="AH469" i="4"/>
  <c r="AH472" i="4" s="1"/>
  <c r="AM463" i="4"/>
  <c r="AE442" i="4"/>
  <c r="AY442" i="4"/>
  <c r="AX465" i="4"/>
  <c r="BQ450" i="4"/>
  <c r="BQ466" i="4" s="1"/>
  <c r="BE463" i="4"/>
  <c r="BE464" i="4" s="1"/>
  <c r="AL471" i="4"/>
  <c r="DJ471" i="4" s="1"/>
  <c r="AH482" i="4"/>
  <c r="T559" i="4"/>
  <c r="T563" i="4"/>
  <c r="T564" i="4" s="1"/>
  <c r="AS555" i="4"/>
  <c r="AS553" i="4" s="1"/>
  <c r="AS563" i="4"/>
  <c r="BM555" i="4"/>
  <c r="BM553" i="4" s="1"/>
  <c r="BM563" i="4"/>
  <c r="AD598" i="4"/>
  <c r="AD603" i="4"/>
  <c r="AI598" i="4"/>
  <c r="AI603" i="4"/>
  <c r="BF605" i="4"/>
  <c r="DN605" i="4" s="1"/>
  <c r="BB607" i="4"/>
  <c r="BK607" i="4"/>
  <c r="DO607" i="4" s="1"/>
  <c r="S626" i="4"/>
  <c r="X626" i="4"/>
  <c r="AC626" i="4"/>
  <c r="K644" i="4"/>
  <c r="P645" i="4" s="1"/>
  <c r="L641" i="4"/>
  <c r="L644" i="4" s="1"/>
  <c r="BQ686" i="4"/>
  <c r="BU708" i="4"/>
  <c r="DQ708" i="4" s="1"/>
  <c r="BT660" i="4"/>
  <c r="BT120" i="4" s="1"/>
  <c r="BX708" i="4"/>
  <c r="BW660" i="4"/>
  <c r="CD711" i="4"/>
  <c r="CC659" i="4"/>
  <c r="CC668" i="4" s="1"/>
  <c r="CJ709" i="4"/>
  <c r="DT709" i="4" s="1"/>
  <c r="CI662" i="4"/>
  <c r="CI121" i="4" s="1"/>
  <c r="CH712" i="4"/>
  <c r="CH658" i="4" s="1"/>
  <c r="CH667" i="4" s="1"/>
  <c r="AK733" i="4"/>
  <c r="AL733" i="4"/>
  <c r="DJ733" i="4" s="1"/>
  <c r="AK737" i="4"/>
  <c r="AL737" i="4"/>
  <c r="DJ737" i="4" s="1"/>
  <c r="AP733" i="4"/>
  <c r="AQ733" i="4"/>
  <c r="DK733" i="4" s="1"/>
  <c r="AP737" i="4"/>
  <c r="AQ737" i="4"/>
  <c r="DK737" i="4" s="1"/>
  <c r="H753" i="4"/>
  <c r="H755" i="4" s="1"/>
  <c r="H500" i="4"/>
  <c r="Q751" i="4"/>
  <c r="Q500" i="4"/>
  <c r="DQ761" i="4"/>
  <c r="BU685" i="4"/>
  <c r="DQ685" i="4" s="1"/>
  <c r="M66" i="4"/>
  <c r="R66" i="4"/>
  <c r="AG66" i="4"/>
  <c r="AL66" i="4"/>
  <c r="BF66" i="4"/>
  <c r="BK66" i="4"/>
  <c r="BP66" i="4"/>
  <c r="BZ66" i="4"/>
  <c r="CE66" i="4"/>
  <c r="CJ66" i="4"/>
  <c r="BZ71" i="4"/>
  <c r="DR71" i="4" s="1"/>
  <c r="F19" i="68"/>
  <c r="F20" i="68" s="1"/>
  <c r="DN70" i="4"/>
  <c r="AQ76" i="4"/>
  <c r="DK76" i="4" s="1"/>
  <c r="BF76" i="4"/>
  <c r="DN76" i="4" s="1"/>
  <c r="BK76" i="4"/>
  <c r="DO76" i="4" s="1"/>
  <c r="D43" i="30"/>
  <c r="D38" i="64"/>
  <c r="D38" i="63"/>
  <c r="D38" i="66"/>
  <c r="BZ76" i="4"/>
  <c r="DR76" i="4" s="1"/>
  <c r="BZ78" i="4"/>
  <c r="DR78" i="4" s="1"/>
  <c r="BZ79" i="4"/>
  <c r="DR79" i="4" s="1"/>
  <c r="BZ80" i="4"/>
  <c r="DR80" i="4" s="1"/>
  <c r="CE76" i="4"/>
  <c r="DS76" i="4" s="1"/>
  <c r="CE77" i="4"/>
  <c r="CE79" i="4"/>
  <c r="DS79" i="4" s="1"/>
  <c r="CE80" i="4"/>
  <c r="DS80" i="4" s="1"/>
  <c r="CE81" i="4"/>
  <c r="CJ79" i="4"/>
  <c r="DT79" i="4" s="1"/>
  <c r="CT80" i="4"/>
  <c r="DV80" i="4" s="1"/>
  <c r="AG80" i="4"/>
  <c r="DI80" i="4" s="1"/>
  <c r="AL80" i="4"/>
  <c r="DJ80" i="4" s="1"/>
  <c r="F46" i="35"/>
  <c r="G46" i="35"/>
  <c r="G47" i="35"/>
  <c r="F47" i="35"/>
  <c r="BU81" i="4"/>
  <c r="DQ81" i="4" s="1"/>
  <c r="G38" i="73"/>
  <c r="D45" i="73"/>
  <c r="F38" i="73"/>
  <c r="L38" i="73"/>
  <c r="K38" i="73"/>
  <c r="C45" i="73"/>
  <c r="K39" i="73"/>
  <c r="F39" i="73"/>
  <c r="L39" i="73"/>
  <c r="CY92" i="4"/>
  <c r="CZ92" i="4" s="1"/>
  <c r="G41" i="69"/>
  <c r="F41" i="69"/>
  <c r="AU85" i="72"/>
  <c r="DW312" i="9"/>
  <c r="CV209" i="9"/>
  <c r="EA312" i="9"/>
  <c r="CZ209" i="9"/>
  <c r="EA314" i="9"/>
  <c r="CZ211" i="9"/>
  <c r="DU315" i="9"/>
  <c r="DY315" i="9" s="1"/>
  <c r="CT212" i="9"/>
  <c r="BU115" i="4"/>
  <c r="DD212" i="9" s="1"/>
  <c r="BZ115" i="4"/>
  <c r="CY115" i="4"/>
  <c r="DW115" i="4" s="1"/>
  <c r="EA316" i="9"/>
  <c r="CZ213" i="9"/>
  <c r="DU320" i="9"/>
  <c r="DU326" i="9" s="1"/>
  <c r="CT218" i="9"/>
  <c r="EC320" i="9"/>
  <c r="DB218" i="9"/>
  <c r="CU219" i="9"/>
  <c r="DV321" i="9"/>
  <c r="CY219" i="9"/>
  <c r="DZ321" i="9"/>
  <c r="DP119" i="4"/>
  <c r="ED321" i="9"/>
  <c r="DC219" i="9"/>
  <c r="CW220" i="9"/>
  <c r="T526" i="4"/>
  <c r="AE159" i="4"/>
  <c r="AE527" i="4"/>
  <c r="AO527" i="4"/>
  <c r="BD163" i="4"/>
  <c r="AK188" i="4"/>
  <c r="CH169" i="4"/>
  <c r="U171" i="4"/>
  <c r="AC171" i="4"/>
  <c r="AO171" i="4"/>
  <c r="AO172" i="4" s="1"/>
  <c r="AX171" i="4"/>
  <c r="BJ171" i="4"/>
  <c r="BR171" i="4"/>
  <c r="CD171" i="4"/>
  <c r="CI172" i="4" s="1"/>
  <c r="IT815" i="72"/>
  <c r="IT818" i="72" s="1"/>
  <c r="IV815" i="72"/>
  <c r="IV818" i="72" s="1"/>
  <c r="W176" i="4"/>
  <c r="X181" i="4"/>
  <c r="AQ176" i="4"/>
  <c r="AW181" i="4"/>
  <c r="BG181" i="4"/>
  <c r="BP184" i="4"/>
  <c r="V193" i="4"/>
  <c r="AP193" i="4"/>
  <c r="BJ193" i="4"/>
  <c r="CD193" i="4"/>
  <c r="BA212" i="4"/>
  <c r="DM212" i="4" s="1"/>
  <c r="BF212" i="4"/>
  <c r="DN212" i="4" s="1"/>
  <c r="V244" i="4"/>
  <c r="Z244" i="4"/>
  <c r="AI251" i="4"/>
  <c r="AZ255" i="4"/>
  <c r="BL255" i="4"/>
  <c r="D49" i="64"/>
  <c r="D49" i="66"/>
  <c r="D49" i="63"/>
  <c r="BQ244" i="4"/>
  <c r="BY244" i="4"/>
  <c r="CC244" i="4"/>
  <c r="CG244" i="4"/>
  <c r="S246" i="4"/>
  <c r="AA246" i="4"/>
  <c r="AE246" i="4"/>
  <c r="AI246" i="4"/>
  <c r="AM246" i="4"/>
  <c r="AU246" i="4"/>
  <c r="AY246" i="4"/>
  <c r="BC246" i="4"/>
  <c r="BG246" i="4"/>
  <c r="BK246" i="4"/>
  <c r="DO246" i="4" s="1"/>
  <c r="BO246" i="4"/>
  <c r="CI246" i="4"/>
  <c r="AD257" i="4"/>
  <c r="E36" i="55"/>
  <c r="E24" i="55"/>
  <c r="I16" i="55"/>
  <c r="I17" i="55" s="1"/>
  <c r="BJ248" i="4"/>
  <c r="D55" i="56"/>
  <c r="BW248" i="4"/>
  <c r="CA248" i="4"/>
  <c r="CE248" i="4"/>
  <c r="DS248" i="4" s="1"/>
  <c r="N22" i="55"/>
  <c r="CI248" i="4"/>
  <c r="S251" i="4"/>
  <c r="AA251" i="4"/>
  <c r="AF251" i="4"/>
  <c r="BM242" i="4"/>
  <c r="BO244" i="4"/>
  <c r="Z246" i="4"/>
  <c r="AP246" i="4"/>
  <c r="BF246" i="4"/>
  <c r="DN246" i="4" s="1"/>
  <c r="BV246" i="4"/>
  <c r="AA256" i="4"/>
  <c r="BG256" i="4"/>
  <c r="CF257" i="4"/>
  <c r="AS264" i="4"/>
  <c r="CH263" i="4"/>
  <c r="CM263" i="4"/>
  <c r="T265" i="4"/>
  <c r="AN265" i="4"/>
  <c r="AR265" i="4"/>
  <c r="CF265" i="4"/>
  <c r="CK265" i="4"/>
  <c r="AU284" i="4"/>
  <c r="R286" i="4"/>
  <c r="FI382" i="9"/>
  <c r="FM383" i="9" s="1"/>
  <c r="FQ383" i="9"/>
  <c r="AG286" i="4"/>
  <c r="AG261" i="4" s="1"/>
  <c r="D23" i="55" s="1"/>
  <c r="FU382" i="9"/>
  <c r="AK288" i="4"/>
  <c r="FY382" i="9"/>
  <c r="GB383" i="9"/>
  <c r="GF383" i="9"/>
  <c r="AZ287" i="4"/>
  <c r="GJ382" i="9"/>
  <c r="GJ383" i="9" s="1"/>
  <c r="BE287" i="4"/>
  <c r="GN382" i="9"/>
  <c r="BI288" i="4"/>
  <c r="GR382" i="9"/>
  <c r="GR383" i="9" s="1"/>
  <c r="BK147" i="9"/>
  <c r="BK106" i="9"/>
  <c r="BK108" i="9" s="1"/>
  <c r="DS330" i="4"/>
  <c r="AC334" i="4"/>
  <c r="AK334" i="4"/>
  <c r="AO334" i="4"/>
  <c r="CF334" i="4"/>
  <c r="BD337" i="4"/>
  <c r="BN337" i="4"/>
  <c r="AC347" i="4"/>
  <c r="AG346" i="4"/>
  <c r="AG347" i="4" s="1"/>
  <c r="DI347" i="4" s="1"/>
  <c r="BQ347" i="4"/>
  <c r="BU346" i="4"/>
  <c r="BI356" i="4"/>
  <c r="AH360" i="4"/>
  <c r="BM359" i="4"/>
  <c r="CS232" i="4"/>
  <c r="CT232" i="4" s="1"/>
  <c r="AG384" i="4"/>
  <c r="DI384" i="4" s="1"/>
  <c r="BA384" i="4"/>
  <c r="DM384" i="4" s="1"/>
  <c r="X384" i="4"/>
  <c r="AC384" i="4"/>
  <c r="AM384" i="4"/>
  <c r="AU384" i="4"/>
  <c r="BE384" i="4"/>
  <c r="BS384" i="4"/>
  <c r="CC384" i="4"/>
  <c r="CO384" i="4"/>
  <c r="DU384" i="4" s="1"/>
  <c r="JN889" i="72"/>
  <c r="JN890" i="72" s="1"/>
  <c r="JO893" i="72" s="1"/>
  <c r="AL407" i="4"/>
  <c r="DJ407" i="4" s="1"/>
  <c r="T411" i="4"/>
  <c r="AV429" i="4"/>
  <c r="DL429" i="4" s="1"/>
  <c r="AM431" i="4"/>
  <c r="AR431" i="4"/>
  <c r="AW431" i="4"/>
  <c r="BG431" i="4"/>
  <c r="BG417" i="4" s="1"/>
  <c r="BL431" i="4"/>
  <c r="AU440" i="4"/>
  <c r="AH53" i="9"/>
  <c r="BA513" i="4"/>
  <c r="DM513" i="4" s="1"/>
  <c r="AN52" i="9"/>
  <c r="AI442" i="4"/>
  <c r="AT469" i="4"/>
  <c r="AT472" i="4" s="1"/>
  <c r="AP482" i="4"/>
  <c r="BH483" i="4"/>
  <c r="AH540" i="4"/>
  <c r="U565" i="4"/>
  <c r="DF572" i="4"/>
  <c r="R573" i="4"/>
  <c r="DF573" i="4" s="1"/>
  <c r="Q581" i="4"/>
  <c r="Q576" i="4"/>
  <c r="AX607" i="4"/>
  <c r="BP616" i="4"/>
  <c r="DP612" i="4"/>
  <c r="X645" i="4"/>
  <c r="BM659" i="4"/>
  <c r="BM668" i="4" s="1"/>
  <c r="CG668" i="4"/>
  <c r="BM669" i="4"/>
  <c r="CM682" i="4"/>
  <c r="CR660" i="4"/>
  <c r="CR120" i="4" s="1"/>
  <c r="BL677" i="4"/>
  <c r="AN678" i="4"/>
  <c r="Y714" i="4"/>
  <c r="Z707" i="4"/>
  <c r="Y675" i="4"/>
  <c r="AZ657" i="4"/>
  <c r="AZ675" i="4"/>
  <c r="AY710" i="4"/>
  <c r="AX663" i="4"/>
  <c r="U504" i="4"/>
  <c r="AF504" i="4"/>
  <c r="AF522" i="4" s="1"/>
  <c r="AO504" i="4"/>
  <c r="AO522" i="4" s="1"/>
  <c r="AO523" i="4" s="1"/>
  <c r="M520" i="4"/>
  <c r="DE520" i="4" s="1"/>
  <c r="AB520" i="4"/>
  <c r="DH520" i="4" s="1"/>
  <c r="AQ520" i="4"/>
  <c r="DK520" i="4" s="1"/>
  <c r="BA520" i="4"/>
  <c r="DM520" i="4" s="1"/>
  <c r="BP520" i="4"/>
  <c r="DP520" i="4" s="1"/>
  <c r="BU520" i="4"/>
  <c r="DQ520" i="4" s="1"/>
  <c r="M558" i="4"/>
  <c r="W558" i="4"/>
  <c r="DG558" i="4" s="1"/>
  <c r="AB558" i="4"/>
  <c r="AG558" i="4"/>
  <c r="AL558" i="4"/>
  <c r="AV558" i="4"/>
  <c r="DL558" i="4" s="1"/>
  <c r="BA558" i="4"/>
  <c r="BF558" i="4"/>
  <c r="BP558" i="4"/>
  <c r="L559" i="4"/>
  <c r="U559" i="4"/>
  <c r="AH563" i="4"/>
  <c r="BB563" i="4"/>
  <c r="W573" i="4"/>
  <c r="DG573" i="4" s="1"/>
  <c r="U576" i="4"/>
  <c r="N581" i="4"/>
  <c r="N583" i="4" s="1"/>
  <c r="BL594" i="4"/>
  <c r="BP594" i="4" s="1"/>
  <c r="AG596" i="4"/>
  <c r="AV597" i="4"/>
  <c r="DL597" i="4" s="1"/>
  <c r="AE603" i="4"/>
  <c r="AP603" i="4"/>
  <c r="AV606" i="4"/>
  <c r="DL606" i="4" s="1"/>
  <c r="BA606" i="4"/>
  <c r="DM606" i="4" s="1"/>
  <c r="BF606" i="4"/>
  <c r="DN606" i="4" s="1"/>
  <c r="BK606" i="4"/>
  <c r="DO606" i="4" s="1"/>
  <c r="BV617" i="4"/>
  <c r="CA619" i="4"/>
  <c r="CM619" i="4"/>
  <c r="BV619" i="4"/>
  <c r="Q626" i="4"/>
  <c r="BT626" i="4"/>
  <c r="AJ645" i="4"/>
  <c r="AY645" i="4"/>
  <c r="BD645" i="4"/>
  <c r="N645" i="4"/>
  <c r="V645" i="4"/>
  <c r="AA645" i="4"/>
  <c r="AB649" i="4"/>
  <c r="DH649" i="4" s="1"/>
  <c r="AM661" i="4"/>
  <c r="AM664" i="4" s="1"/>
  <c r="CH666" i="4"/>
  <c r="CM666" i="4"/>
  <c r="BB667" i="4"/>
  <c r="BG667" i="4"/>
  <c r="BL667" i="4"/>
  <c r="BQ667" i="4"/>
  <c r="BQ114" i="4"/>
  <c r="BV667" i="4"/>
  <c r="BV114" i="4"/>
  <c r="CA667" i="4"/>
  <c r="CF667" i="4"/>
  <c r="CK667" i="4"/>
  <c r="BL668" i="4"/>
  <c r="BQ668" i="4"/>
  <c r="BZ659" i="4"/>
  <c r="D21" i="59" s="1"/>
  <c r="CA668" i="4"/>
  <c r="CF668" i="4"/>
  <c r="BC669" i="4"/>
  <c r="BG669" i="4"/>
  <c r="BL669" i="4"/>
  <c r="BR669" i="4"/>
  <c r="CB669" i="4"/>
  <c r="AQ662" i="4"/>
  <c r="AV662" i="4"/>
  <c r="BA662" i="4"/>
  <c r="BF662" i="4"/>
  <c r="DQ673" i="4"/>
  <c r="CH673" i="4"/>
  <c r="CH114" i="4" s="1"/>
  <c r="CC114" i="4"/>
  <c r="S678" i="4"/>
  <c r="AM678" i="4"/>
  <c r="AS678" i="4"/>
  <c r="CC678" i="4"/>
  <c r="BO686" i="4"/>
  <c r="AQ709" i="4"/>
  <c r="DK709" i="4" s="1"/>
  <c r="AU708" i="4"/>
  <c r="AU660" i="4" s="1"/>
  <c r="AU120" i="4" s="1"/>
  <c r="AT711" i="4"/>
  <c r="BF712" i="4"/>
  <c r="DN712" i="4" s="1"/>
  <c r="CI708" i="4"/>
  <c r="CH708" i="4"/>
  <c r="CH660" i="4" s="1"/>
  <c r="BJ709" i="4"/>
  <c r="BJ662" i="4" s="1"/>
  <c r="BJ121" i="4" s="1"/>
  <c r="CW221" i="9" s="1"/>
  <c r="AL732" i="4"/>
  <c r="DJ732" i="4" s="1"/>
  <c r="AL734" i="4"/>
  <c r="DJ734" i="4" s="1"/>
  <c r="AL736" i="4"/>
  <c r="DJ736" i="4" s="1"/>
  <c r="AQ732" i="4"/>
  <c r="DK732" i="4" s="1"/>
  <c r="AQ734" i="4"/>
  <c r="DK734" i="4" s="1"/>
  <c r="AQ736" i="4"/>
  <c r="DK736" i="4" s="1"/>
  <c r="AV737" i="4"/>
  <c r="DL737" i="4" s="1"/>
  <c r="AT737" i="4"/>
  <c r="AU737" i="4" s="1"/>
  <c r="BC751" i="4"/>
  <c r="BC765" i="4" s="1"/>
  <c r="BD140" i="4" s="1"/>
  <c r="BD750" i="4"/>
  <c r="BD751" i="4" s="1"/>
  <c r="BD765" i="4" s="1"/>
  <c r="DT761" i="4"/>
  <c r="AB771" i="4"/>
  <c r="DH768" i="4"/>
  <c r="AV771" i="4"/>
  <c r="DL768" i="4"/>
  <c r="CD771" i="4"/>
  <c r="CE770" i="4"/>
  <c r="DS770" i="4" s="1"/>
  <c r="DN775" i="4"/>
  <c r="AA504" i="4"/>
  <c r="W544" i="4"/>
  <c r="DG544" i="4" s="1"/>
  <c r="AB556" i="4"/>
  <c r="DH556" i="4" s="1"/>
  <c r="I563" i="4"/>
  <c r="I564" i="4" s="1"/>
  <c r="AC563" i="4"/>
  <c r="AW563" i="4"/>
  <c r="BU563" i="4"/>
  <c r="DQ563" i="4" s="1"/>
  <c r="W570" i="4"/>
  <c r="DG570" i="4" s="1"/>
  <c r="AG572" i="4"/>
  <c r="DI572" i="4" s="1"/>
  <c r="AL572" i="4"/>
  <c r="DJ572" i="4" s="1"/>
  <c r="AQ572" i="4"/>
  <c r="DK572" i="4" s="1"/>
  <c r="BA572" i="4"/>
  <c r="DM572" i="4" s="1"/>
  <c r="BF572" i="4"/>
  <c r="DN572" i="4" s="1"/>
  <c r="BK572" i="4"/>
  <c r="DO572" i="4" s="1"/>
  <c r="N576" i="4"/>
  <c r="BA597" i="4"/>
  <c r="DM597" i="4" s="1"/>
  <c r="W605" i="4"/>
  <c r="DG605" i="4" s="1"/>
  <c r="AB605" i="4"/>
  <c r="DH605" i="4" s="1"/>
  <c r="AG605" i="4"/>
  <c r="DI605" i="4" s="1"/>
  <c r="AS607" i="4"/>
  <c r="BC607" i="4"/>
  <c r="BH607" i="4"/>
  <c r="DR612" i="4"/>
  <c r="CK617" i="4"/>
  <c r="O626" i="4"/>
  <c r="T626" i="4"/>
  <c r="Y626" i="4"/>
  <c r="AE626" i="4"/>
  <c r="AV641" i="4"/>
  <c r="BL645" i="4"/>
  <c r="CJ641" i="4"/>
  <c r="DT641" i="4" s="1"/>
  <c r="DG641" i="4"/>
  <c r="T645" i="4"/>
  <c r="AR644" i="4"/>
  <c r="AR645" i="4" s="1"/>
  <c r="BA647" i="4"/>
  <c r="DM647" i="4" s="1"/>
  <c r="BC666" i="4"/>
  <c r="BG666" i="4"/>
  <c r="AQ658" i="4"/>
  <c r="DK658" i="4" s="1"/>
  <c r="AV658" i="4"/>
  <c r="DL658" i="4" s="1"/>
  <c r="BI667" i="4"/>
  <c r="BN667" i="4"/>
  <c r="BS667" i="4"/>
  <c r="BS114" i="4"/>
  <c r="BX667" i="4"/>
  <c r="BX114" i="4"/>
  <c r="CC667" i="4"/>
  <c r="CP658" i="4"/>
  <c r="CU658" i="4" s="1"/>
  <c r="CU712" i="4" s="1"/>
  <c r="CH668" i="4"/>
  <c r="CY711" i="4"/>
  <c r="DW711" i="4" s="1"/>
  <c r="BE669" i="4"/>
  <c r="BI669" i="4"/>
  <c r="BN669" i="4"/>
  <c r="AQ663" i="4"/>
  <c r="DK663" i="4" s="1"/>
  <c r="AV663" i="4"/>
  <c r="DL663" i="4" s="1"/>
  <c r="BP663" i="4"/>
  <c r="DP663" i="4" s="1"/>
  <c r="BU663" i="4"/>
  <c r="DQ663" i="4" s="1"/>
  <c r="BZ663" i="4"/>
  <c r="DR663" i="4" s="1"/>
  <c r="CE663" i="4"/>
  <c r="DS663" i="4" s="1"/>
  <c r="CJ663" i="4"/>
  <c r="DT663" i="4" s="1"/>
  <c r="CE673" i="4"/>
  <c r="CA114" i="4"/>
  <c r="CK678" i="4"/>
  <c r="CY674" i="4"/>
  <c r="CY118" i="4" s="1"/>
  <c r="DW118" i="4" s="1"/>
  <c r="U678" i="4"/>
  <c r="AJ678" i="4"/>
  <c r="AO678" i="4"/>
  <c r="BH678" i="4"/>
  <c r="BZ675" i="4"/>
  <c r="CA674" i="4"/>
  <c r="CA118" i="4" s="1"/>
  <c r="J704" i="4"/>
  <c r="T704" i="4"/>
  <c r="L707" i="4"/>
  <c r="M707" i="4" s="1"/>
  <c r="DE707" i="4" s="1"/>
  <c r="AO708" i="4"/>
  <c r="AP708" i="4" s="1"/>
  <c r="AP660" i="4" s="1"/>
  <c r="BA707" i="4"/>
  <c r="BE707" i="4"/>
  <c r="BD710" i="4"/>
  <c r="BE710" i="4" s="1"/>
  <c r="CN707" i="4"/>
  <c r="CN675" i="4" s="1"/>
  <c r="CN657" i="4" s="1"/>
  <c r="CN666" i="4" s="1"/>
  <c r="CN710" i="4"/>
  <c r="CM710" i="4"/>
  <c r="CL722" i="4"/>
  <c r="CM717" i="4"/>
  <c r="CA786" i="4"/>
  <c r="AP771" i="4"/>
  <c r="AP786" i="4" s="1"/>
  <c r="AQ770" i="4"/>
  <c r="DK770" i="4" s="1"/>
  <c r="J786" i="4"/>
  <c r="X963" i="4"/>
  <c r="DG780" i="4"/>
  <c r="S963" i="4"/>
  <c r="DF780" i="4"/>
  <c r="AR963" i="4"/>
  <c r="AR960" i="4" s="1"/>
  <c r="DK780" i="4"/>
  <c r="DK796" i="4"/>
  <c r="AQ798" i="4"/>
  <c r="AU504" i="4"/>
  <c r="AU522" i="4" s="1"/>
  <c r="R519" i="4"/>
  <c r="DF519" i="4" s="1"/>
  <c r="V565" i="4"/>
  <c r="I559" i="4"/>
  <c r="AB572" i="4"/>
  <c r="DH572" i="4" s="1"/>
  <c r="AH575" i="4"/>
  <c r="AH581" i="4" s="1"/>
  <c r="BB575" i="4"/>
  <c r="BB581" i="4" s="1"/>
  <c r="J581" i="4"/>
  <c r="J582" i="4" s="1"/>
  <c r="AH597" i="4"/>
  <c r="AM603" i="4"/>
  <c r="BU605" i="4"/>
  <c r="DQ605" i="4" s="1"/>
  <c r="BO619" i="4"/>
  <c r="CD617" i="4"/>
  <c r="BU617" i="4"/>
  <c r="DQ617" i="4" s="1"/>
  <c r="CM617" i="4"/>
  <c r="P626" i="4"/>
  <c r="U626" i="4"/>
  <c r="BJ626" i="4"/>
  <c r="AX645" i="4"/>
  <c r="BH645" i="4"/>
  <c r="BR645" i="4"/>
  <c r="CB645" i="4"/>
  <c r="Z645" i="4"/>
  <c r="CL666" i="4"/>
  <c r="BJ667" i="4"/>
  <c r="BO667" i="4"/>
  <c r="BT667" i="4"/>
  <c r="BT114" i="4"/>
  <c r="BY667" i="4"/>
  <c r="BY114" i="4"/>
  <c r="CD667" i="4"/>
  <c r="BT668" i="4"/>
  <c r="BV669" i="4"/>
  <c r="CA669" i="4"/>
  <c r="CF669" i="4"/>
  <c r="BU662" i="4"/>
  <c r="BZ662" i="4"/>
  <c r="CE662" i="4"/>
  <c r="CO662" i="4"/>
  <c r="CT662" i="4"/>
  <c r="CG673" i="4"/>
  <c r="CG114" i="4" s="1"/>
  <c r="CB114" i="4"/>
  <c r="AC678" i="4"/>
  <c r="AK678" i="4"/>
  <c r="AW678" i="4"/>
  <c r="BL678" i="4"/>
  <c r="BQ678" i="4"/>
  <c r="BW677" i="4"/>
  <c r="BD686" i="4"/>
  <c r="AF707" i="4"/>
  <c r="AF675" i="4" s="1"/>
  <c r="AS714" i="4"/>
  <c r="AT707" i="4"/>
  <c r="BR714" i="4"/>
  <c r="BS707" i="4"/>
  <c r="DI718" i="4"/>
  <c r="G2" i="72"/>
  <c r="H3" i="72"/>
  <c r="DJ719" i="4"/>
  <c r="I2" i="72"/>
  <c r="I5" i="72" s="1"/>
  <c r="DK718" i="4"/>
  <c r="G3" i="72"/>
  <c r="DI719" i="4"/>
  <c r="AB718" i="4"/>
  <c r="AO739" i="4"/>
  <c r="AP730" i="4"/>
  <c r="AQ730" i="4" s="1"/>
  <c r="G30" i="58"/>
  <c r="BF755" i="4"/>
  <c r="DN755" i="4" s="1"/>
  <c r="DN753" i="4"/>
  <c r="BP755" i="4"/>
  <c r="DP755" i="4" s="1"/>
  <c r="I30" i="58"/>
  <c r="DP753" i="4"/>
  <c r="BG759" i="4"/>
  <c r="BG685" i="4" s="1"/>
  <c r="DN759" i="4"/>
  <c r="BF685" i="4"/>
  <c r="DN685" i="4" s="1"/>
  <c r="DP761" i="4"/>
  <c r="BP685" i="4"/>
  <c r="DP685" i="4" s="1"/>
  <c r="CO686" i="4"/>
  <c r="DU686" i="4" s="1"/>
  <c r="T763" i="4"/>
  <c r="S761" i="4" s="1"/>
  <c r="T685" i="4"/>
  <c r="U686" i="4" s="1"/>
  <c r="AR786" i="4"/>
  <c r="BU771" i="4"/>
  <c r="DQ768" i="4"/>
  <c r="AT61" i="9"/>
  <c r="DO775" i="4"/>
  <c r="K704" i="4"/>
  <c r="U704" i="4"/>
  <c r="P704" i="4"/>
  <c r="AQ703" i="4"/>
  <c r="DK703" i="4" s="1"/>
  <c r="T714" i="4"/>
  <c r="AN714" i="4"/>
  <c r="BN714" i="4"/>
  <c r="CQ714" i="4"/>
  <c r="CR707" i="4"/>
  <c r="BC961" i="4"/>
  <c r="BF961" i="4" s="1"/>
  <c r="DN961" i="4" s="1"/>
  <c r="V24" i="9"/>
  <c r="AN739" i="4"/>
  <c r="CJ755" i="4"/>
  <c r="DT755" i="4" s="1"/>
  <c r="AA755" i="4"/>
  <c r="AA941" i="4" s="1"/>
  <c r="AX755" i="4"/>
  <c r="AX941" i="4" s="1"/>
  <c r="AX943" i="4" s="1"/>
  <c r="AS786" i="4"/>
  <c r="BD771" i="4"/>
  <c r="CH771" i="4"/>
  <c r="AI786" i="4"/>
  <c r="BW771" i="4"/>
  <c r="O786" i="4"/>
  <c r="AU771" i="4"/>
  <c r="AU786" i="4" s="1"/>
  <c r="Z786" i="4"/>
  <c r="BG960" i="4"/>
  <c r="BK960" i="4" s="1"/>
  <c r="DO960" i="4" s="1"/>
  <c r="CJ784" i="4"/>
  <c r="E3" i="9"/>
  <c r="CK686" i="4"/>
  <c r="BS698" i="4"/>
  <c r="CC698" i="4"/>
  <c r="CT698" i="4"/>
  <c r="CT113" i="4" s="1"/>
  <c r="DV113" i="4" s="1"/>
  <c r="BB704" i="4"/>
  <c r="BB724" i="4" s="1"/>
  <c r="BB726" i="4" s="1"/>
  <c r="BG704" i="4"/>
  <c r="CE701" i="4"/>
  <c r="DS701" i="4" s="1"/>
  <c r="CN701" i="4"/>
  <c r="CN116" i="4" s="1"/>
  <c r="L704" i="4"/>
  <c r="AG701" i="4"/>
  <c r="DI701" i="4" s="1"/>
  <c r="AB703" i="4"/>
  <c r="DH703" i="4" s="1"/>
  <c r="CR703" i="4"/>
  <c r="BL704" i="4"/>
  <c r="BL724" i="4" s="1"/>
  <c r="BL726" i="4" s="1"/>
  <c r="M710" i="4"/>
  <c r="R709" i="4"/>
  <c r="DF709" i="4" s="1"/>
  <c r="R711" i="4"/>
  <c r="DF711" i="4" s="1"/>
  <c r="W710" i="4"/>
  <c r="AB709" i="4"/>
  <c r="DH709" i="4" s="1"/>
  <c r="AB711" i="4"/>
  <c r="DH711" i="4" s="1"/>
  <c r="AG710" i="4"/>
  <c r="AL709" i="4"/>
  <c r="DJ709" i="4" s="1"/>
  <c r="AL711" i="4"/>
  <c r="DJ711" i="4" s="1"/>
  <c r="BP712" i="4"/>
  <c r="DP712" i="4" s="1"/>
  <c r="AI722" i="4"/>
  <c r="AN722" i="4"/>
  <c r="BD961" i="4"/>
  <c r="W24" i="9"/>
  <c r="W26" i="9" s="1"/>
  <c r="W28" i="9" s="1"/>
  <c r="BO717" i="4"/>
  <c r="BP717" i="4" s="1"/>
  <c r="Z720" i="4"/>
  <c r="AA720" i="4" s="1"/>
  <c r="BI720" i="4"/>
  <c r="BJ720" i="4" s="1"/>
  <c r="BK720" i="4" s="1"/>
  <c r="DO720" i="4" s="1"/>
  <c r="AS721" i="4"/>
  <c r="AT721" i="4" s="1"/>
  <c r="AU721" i="4" s="1"/>
  <c r="CT719" i="4"/>
  <c r="DV719" i="4" s="1"/>
  <c r="CR719" i="4"/>
  <c r="CR124" i="4" s="1"/>
  <c r="AE730" i="4"/>
  <c r="AJ730" i="4"/>
  <c r="AV735" i="4"/>
  <c r="DL735" i="4" s="1"/>
  <c r="AL749" i="4"/>
  <c r="DJ749" i="4" s="1"/>
  <c r="AA765" i="4"/>
  <c r="AA788" i="4" s="1"/>
  <c r="BY786" i="4"/>
  <c r="AN786" i="4"/>
  <c r="BB771" i="4"/>
  <c r="BJ771" i="4"/>
  <c r="P786" i="4"/>
  <c r="T786" i="4"/>
  <c r="Y786" i="4"/>
  <c r="V786" i="4"/>
  <c r="DP775" i="4"/>
  <c r="AU61" i="9"/>
  <c r="DQ775" i="4"/>
  <c r="AV61" i="9"/>
  <c r="CJ698" i="4"/>
  <c r="AB698" i="4"/>
  <c r="AH754" i="4"/>
  <c r="CE700" i="4"/>
  <c r="DS700" i="4" s="1"/>
  <c r="AV703" i="4"/>
  <c r="DL703" i="4" s="1"/>
  <c r="X704" i="4"/>
  <c r="J714" i="4"/>
  <c r="AD714" i="4"/>
  <c r="AQ710" i="4"/>
  <c r="AV709" i="4"/>
  <c r="DL709" i="4" s="1"/>
  <c r="AX714" i="4"/>
  <c r="BA708" i="4"/>
  <c r="BF708" i="4"/>
  <c r="BF713" i="4"/>
  <c r="DN713" i="4" s="1"/>
  <c r="CL714" i="4"/>
  <c r="O722" i="4"/>
  <c r="O724" i="4" s="1"/>
  <c r="O726" i="4" s="1"/>
  <c r="AJ722" i="4"/>
  <c r="BC722" i="4"/>
  <c r="BE961" i="4"/>
  <c r="X24" i="9"/>
  <c r="X26" i="9" s="1"/>
  <c r="X28" i="9" s="1"/>
  <c r="AQ750" i="4"/>
  <c r="DK750" i="4" s="1"/>
  <c r="BG751" i="4"/>
  <c r="BG765" i="4" s="1"/>
  <c r="AF765" i="4"/>
  <c r="BE765" i="4"/>
  <c r="R753" i="4"/>
  <c r="AG753" i="4"/>
  <c r="AG755" i="4" s="1"/>
  <c r="DI755" i="4" s="1"/>
  <c r="BL771" i="4"/>
  <c r="BQ771" i="4"/>
  <c r="AK786" i="4"/>
  <c r="AO786" i="4"/>
  <c r="BC771" i="4"/>
  <c r="BG771" i="4"/>
  <c r="CI771" i="4"/>
  <c r="AV775" i="4"/>
  <c r="BA775" i="4"/>
  <c r="AM61" i="9"/>
  <c r="BQ960" i="4"/>
  <c r="BU960" i="4" s="1"/>
  <c r="DQ960" i="4" s="1"/>
  <c r="CT936" i="4"/>
  <c r="DA882" i="4"/>
  <c r="DY882" i="4" s="1"/>
  <c r="DX882" i="4"/>
  <c r="CI339" i="72"/>
  <c r="CI340" i="72" s="1"/>
  <c r="AQ480" i="4"/>
  <c r="DK480" i="4" s="1"/>
  <c r="AV480" i="4"/>
  <c r="DL480" i="4" s="1"/>
  <c r="CR686" i="4"/>
  <c r="CU762" i="4"/>
  <c r="CV762" i="4" s="1"/>
  <c r="CW762" i="4" s="1"/>
  <c r="CX762" i="4" s="1"/>
  <c r="CY762" i="4" s="1"/>
  <c r="CZ762" i="4" s="1"/>
  <c r="CT612" i="4"/>
  <c r="CT617" i="4" s="1"/>
  <c r="DV617" i="4" s="1"/>
  <c r="CR614" i="4"/>
  <c r="CP614" i="4"/>
  <c r="CV189" i="4"/>
  <c r="CY180" i="4"/>
  <c r="CY26" i="4" s="1"/>
  <c r="DW26" i="4" s="1"/>
  <c r="DV58" i="4"/>
  <c r="J16" i="68"/>
  <c r="J17" i="68" s="1"/>
  <c r="CS56" i="4"/>
  <c r="CT56" i="4" s="1"/>
  <c r="DV56" i="4" s="1"/>
  <c r="CT57" i="4"/>
  <c r="CS718" i="4"/>
  <c r="CS961" i="4" s="1"/>
  <c r="G21" i="43"/>
  <c r="DF286" i="4"/>
  <c r="S287" i="4"/>
  <c r="R261" i="4"/>
  <c r="DF261" i="4" s="1"/>
  <c r="AQ263" i="4"/>
  <c r="AQ264" i="4"/>
  <c r="DK264" i="4" s="1"/>
  <c r="R158" i="4"/>
  <c r="DF158" i="4" s="1"/>
  <c r="BF158" i="4"/>
  <c r="DN158" i="4" s="1"/>
  <c r="P159" i="4"/>
  <c r="AJ159" i="4"/>
  <c r="BC159" i="4"/>
  <c r="BT159" i="4"/>
  <c r="CN159" i="4"/>
  <c r="AF160" i="4"/>
  <c r="BH160" i="4"/>
  <c r="BY160" i="4"/>
  <c r="BX165" i="4"/>
  <c r="CG165" i="4"/>
  <c r="CK165" i="4"/>
  <c r="AN163" i="4"/>
  <c r="AP165" i="4"/>
  <c r="CA165" i="4"/>
  <c r="AQ255" i="4"/>
  <c r="DK255" i="4" s="1"/>
  <c r="BC266" i="4"/>
  <c r="AM264" i="4"/>
  <c r="BC264" i="4"/>
  <c r="CI264" i="4"/>
  <c r="S284" i="4"/>
  <c r="AF283" i="4"/>
  <c r="AJ283" i="4"/>
  <c r="AO284" i="4"/>
  <c r="BG284" i="4"/>
  <c r="Q287" i="4"/>
  <c r="O287" i="4"/>
  <c r="AP287" i="4"/>
  <c r="AT287" i="4"/>
  <c r="BD287" i="4"/>
  <c r="BM287" i="4"/>
  <c r="BV288" i="4"/>
  <c r="BZ286" i="4"/>
  <c r="BZ261" i="4" s="1"/>
  <c r="M23" i="55" s="1"/>
  <c r="M24" i="55" s="1"/>
  <c r="CD288" i="4"/>
  <c r="CH288" i="4"/>
  <c r="CS287" i="4"/>
  <c r="CW287" i="4"/>
  <c r="T288" i="4"/>
  <c r="AO288" i="4"/>
  <c r="AZ288" i="4"/>
  <c r="CF288" i="4"/>
  <c r="CS288" i="4"/>
  <c r="DX286" i="4"/>
  <c r="T159" i="4"/>
  <c r="AN159" i="4"/>
  <c r="BD159" i="4"/>
  <c r="BX159" i="4"/>
  <c r="AJ160" i="4"/>
  <c r="AZ160" i="4"/>
  <c r="CB160" i="4"/>
  <c r="BY165" i="4"/>
  <c r="O165" i="4"/>
  <c r="AU165" i="4"/>
  <c r="CI165" i="4"/>
  <c r="BZ255" i="4"/>
  <c r="DR255" i="4" s="1"/>
  <c r="CM266" i="4"/>
  <c r="Y265" i="4"/>
  <c r="AC265" i="4"/>
  <c r="BM265" i="4"/>
  <c r="CC265" i="4"/>
  <c r="AL263" i="4"/>
  <c r="BW264" i="4"/>
  <c r="CM264" i="4"/>
  <c r="Y284" i="4"/>
  <c r="AC284" i="4"/>
  <c r="AK284" i="4"/>
  <c r="BM284" i="4"/>
  <c r="BI287" i="4"/>
  <c r="BR288" i="4"/>
  <c r="BW287" i="4"/>
  <c r="BE288" i="4"/>
  <c r="CG288" i="4"/>
  <c r="CV288" i="4"/>
  <c r="Q289" i="4"/>
  <c r="AA159" i="4"/>
  <c r="AU159" i="4"/>
  <c r="BH159" i="4"/>
  <c r="T160" i="4"/>
  <c r="BD160" i="4"/>
  <c r="CG160" i="4"/>
  <c r="AQ527" i="4"/>
  <c r="CM165" i="4"/>
  <c r="AX165" i="4"/>
  <c r="CL165" i="4"/>
  <c r="O263" i="4"/>
  <c r="AM266" i="4"/>
  <c r="BW266" i="4"/>
  <c r="CI266" i="4"/>
  <c r="U265" i="4"/>
  <c r="BE265" i="4"/>
  <c r="BI265" i="4"/>
  <c r="S264" i="4"/>
  <c r="AU264" i="4"/>
  <c r="CQ264" i="4"/>
  <c r="R282" i="4"/>
  <c r="S283" i="4" s="1"/>
  <c r="U284" i="4"/>
  <c r="AV282" i="4"/>
  <c r="DL282" i="4" s="1"/>
  <c r="AZ283" i="4"/>
  <c r="BD283" i="4"/>
  <c r="BI284" i="4"/>
  <c r="CP288" i="4"/>
  <c r="CX288" i="4"/>
  <c r="AS288" i="4"/>
  <c r="BH288" i="4"/>
  <c r="CK288" i="4"/>
  <c r="N294" i="4"/>
  <c r="R294" i="4"/>
  <c r="DF294" i="4" s="1"/>
  <c r="DF292" i="4"/>
  <c r="BA158" i="4"/>
  <c r="CO158" i="4"/>
  <c r="O159" i="4"/>
  <c r="AF159" i="4"/>
  <c r="AZ159" i="4"/>
  <c r="BO159" i="4"/>
  <c r="CI159" i="4"/>
  <c r="AN160" i="4"/>
  <c r="O163" i="4"/>
  <c r="AO163" i="4"/>
  <c r="AV162" i="4"/>
  <c r="AW163" i="4" s="1"/>
  <c r="BX163" i="4"/>
  <c r="CB165" i="4"/>
  <c r="CF165" i="4"/>
  <c r="AF163" i="4"/>
  <c r="AM165" i="4"/>
  <c r="P263" i="4"/>
  <c r="AW264" i="4"/>
  <c r="BM264" i="4"/>
  <c r="CK264" i="4"/>
  <c r="DA264" i="4"/>
  <c r="DY264" i="4" s="1"/>
  <c r="V265" i="4"/>
  <c r="AK265" i="4"/>
  <c r="AS265" i="4"/>
  <c r="AW265" i="4"/>
  <c r="BB265" i="4"/>
  <c r="BJ265" i="4"/>
  <c r="AI264" i="4"/>
  <c r="AY264" i="4"/>
  <c r="O283" i="4"/>
  <c r="V284" i="4"/>
  <c r="AA284" i="4"/>
  <c r="AS284" i="4"/>
  <c r="AW284" i="4"/>
  <c r="BA282" i="4"/>
  <c r="BE284" i="4"/>
  <c r="BO284" i="4"/>
  <c r="AK287" i="4"/>
  <c r="AO287" i="4"/>
  <c r="AS287" i="4"/>
  <c r="AX287" i="4"/>
  <c r="CL288" i="4"/>
  <c r="AW288" i="4"/>
  <c r="CC288" i="4"/>
  <c r="CN288" i="4"/>
  <c r="DA288" i="4"/>
  <c r="DY288" i="4" s="1"/>
  <c r="W293" i="4"/>
  <c r="DG293" i="4" s="1"/>
  <c r="DG291" i="4"/>
  <c r="AQ293" i="4"/>
  <c r="DK293" i="4" s="1"/>
  <c r="DK291" i="4"/>
  <c r="BK293" i="4"/>
  <c r="DO293" i="4" s="1"/>
  <c r="DO291" i="4"/>
  <c r="CE293" i="4"/>
  <c r="DS293" i="4" s="1"/>
  <c r="DS291" i="4"/>
  <c r="CY293" i="4"/>
  <c r="DW293" i="4" s="1"/>
  <c r="DW291" i="4"/>
  <c r="O294" i="4"/>
  <c r="Q294" i="4"/>
  <c r="U294" i="4"/>
  <c r="Y294" i="4"/>
  <c r="AC294" i="4"/>
  <c r="AK294" i="4"/>
  <c r="AO294" i="4"/>
  <c r="AS294" i="4"/>
  <c r="AW294" i="4"/>
  <c r="BE294" i="4"/>
  <c r="BI294" i="4"/>
  <c r="BM294" i="4"/>
  <c r="BQ294" i="4"/>
  <c r="BY294" i="4"/>
  <c r="CC294" i="4"/>
  <c r="CG294" i="4"/>
  <c r="CK294" i="4"/>
  <c r="CS294" i="4"/>
  <c r="CW294" i="4"/>
  <c r="AF355" i="4"/>
  <c r="AX355" i="4"/>
  <c r="BK354" i="4"/>
  <c r="BL355" i="4" s="1"/>
  <c r="U356" i="4"/>
  <c r="AO356" i="4"/>
  <c r="N359" i="4"/>
  <c r="V359" i="4"/>
  <c r="AA359" i="4"/>
  <c r="AE359" i="4"/>
  <c r="AT359" i="4"/>
  <c r="AX359" i="4"/>
  <c r="BC359" i="4"/>
  <c r="CI359" i="4"/>
  <c r="CM359" i="4"/>
  <c r="AD360" i="4"/>
  <c r="AX360" i="4"/>
  <c r="BR360" i="4"/>
  <c r="CL360" i="4"/>
  <c r="N361" i="4"/>
  <c r="AH361" i="4"/>
  <c r="BB361" i="4"/>
  <c r="CV530" i="49"/>
  <c r="BY1046" i="49"/>
  <c r="CP684" i="49"/>
  <c r="CP828" i="49" s="1"/>
  <c r="CQ584" i="49"/>
  <c r="CP725" i="49"/>
  <c r="CV815" i="49"/>
  <c r="CU738" i="49"/>
  <c r="CU557" i="49"/>
  <c r="CV452" i="49"/>
  <c r="CT693" i="49"/>
  <c r="CU719" i="49"/>
  <c r="CV578" i="49"/>
  <c r="CJ899" i="49"/>
  <c r="CJ906" i="49"/>
  <c r="CK846" i="49"/>
  <c r="CK703" i="49"/>
  <c r="CK705" i="49" s="1"/>
  <c r="CK706" i="49" s="1"/>
  <c r="CP683" i="49"/>
  <c r="CQ583" i="49"/>
  <c r="CP724" i="49"/>
  <c r="CU541" i="49"/>
  <c r="CV438" i="49"/>
  <c r="CU691" i="49"/>
  <c r="CU836" i="49" s="1"/>
  <c r="CV590" i="49"/>
  <c r="CV691" i="49" s="1"/>
  <c r="CV551" i="49"/>
  <c r="CU841" i="49"/>
  <c r="BZ1042" i="49"/>
  <c r="BZ1044" i="49"/>
  <c r="BZ1043" i="49"/>
  <c r="CU543" i="49"/>
  <c r="CV440" i="49"/>
  <c r="V294" i="4"/>
  <c r="Z294" i="4"/>
  <c r="AD294" i="4"/>
  <c r="AH294" i="4"/>
  <c r="AL294" i="4"/>
  <c r="DJ294" i="4" s="1"/>
  <c r="AP294" i="4"/>
  <c r="AT294" i="4"/>
  <c r="AX294" i="4"/>
  <c r="BB294" i="4"/>
  <c r="BF294" i="4"/>
  <c r="DN294" i="4" s="1"/>
  <c r="BJ294" i="4"/>
  <c r="BN294" i="4"/>
  <c r="BR294" i="4"/>
  <c r="BV294" i="4"/>
  <c r="BZ294" i="4"/>
  <c r="DR294" i="4" s="1"/>
  <c r="CD294" i="4"/>
  <c r="CH294" i="4"/>
  <c r="CL294" i="4"/>
  <c r="CP294" i="4"/>
  <c r="CT294" i="4"/>
  <c r="DV294" i="4" s="1"/>
  <c r="CX294" i="4"/>
  <c r="Y356" i="4"/>
  <c r="AS356" i="4"/>
  <c r="AA361" i="4"/>
  <c r="AJ265" i="4"/>
  <c r="BC361" i="4"/>
  <c r="BT265" i="4"/>
  <c r="CI360" i="4"/>
  <c r="CM360" i="4"/>
  <c r="BB360" i="4"/>
  <c r="BV360" i="4"/>
  <c r="V361" i="4"/>
  <c r="AP361" i="4"/>
  <c r="AQ361" i="4" s="1"/>
  <c r="DK361" i="4" s="1"/>
  <c r="CJ854" i="49"/>
  <c r="DS401" i="72" s="1"/>
  <c r="CJ850" i="49"/>
  <c r="CJ851" i="49" s="1"/>
  <c r="CU542" i="49"/>
  <c r="CV439" i="49"/>
  <c r="CV510" i="49"/>
  <c r="CU544" i="49"/>
  <c r="CR480" i="51"/>
  <c r="CR444" i="51"/>
  <c r="CR445" i="51"/>
  <c r="CT965" i="49"/>
  <c r="CU659" i="49"/>
  <c r="CU803" i="49" s="1"/>
  <c r="CV592" i="49"/>
  <c r="CI1039" i="49"/>
  <c r="CI1042" i="49" s="1"/>
  <c r="CU735" i="49"/>
  <c r="CU554" i="49"/>
  <c r="CU839" i="49" s="1"/>
  <c r="CV449" i="49"/>
  <c r="CE1046" i="49"/>
  <c r="CV837" i="49"/>
  <c r="CV559" i="49"/>
  <c r="CV844" i="49" s="1"/>
  <c r="CV740" i="49"/>
  <c r="CV741" i="49"/>
  <c r="CV560" i="49"/>
  <c r="CV846" i="49" s="1"/>
  <c r="CU734" i="49"/>
  <c r="CP972" i="49"/>
  <c r="CP895" i="49"/>
  <c r="CP810" i="49"/>
  <c r="CP812" i="49" s="1"/>
  <c r="CP668" i="49"/>
  <c r="CP700" i="49"/>
  <c r="CP846" i="49" s="1"/>
  <c r="CK904" i="49"/>
  <c r="CK905" i="49" s="1"/>
  <c r="CK897" i="49"/>
  <c r="CK896" i="49"/>
  <c r="CK898" i="49"/>
  <c r="CT354" i="51"/>
  <c r="CT357" i="51"/>
  <c r="CT358" i="51" s="1"/>
  <c r="DA317" i="4" s="1"/>
  <c r="DY317" i="4" s="1"/>
  <c r="CT395" i="51"/>
  <c r="CU846" i="49"/>
  <c r="CU682" i="49"/>
  <c r="CU826" i="49" s="1"/>
  <c r="CV582" i="49"/>
  <c r="CU723" i="49"/>
  <c r="CV737" i="49"/>
  <c r="CV556" i="49"/>
  <c r="CV841" i="49" s="1"/>
  <c r="CV722" i="49"/>
  <c r="CV681" i="49"/>
  <c r="CV825" i="49" s="1"/>
  <c r="BZ1045" i="49"/>
  <c r="CU995" i="49"/>
  <c r="CV983" i="49"/>
  <c r="CV995" i="49" s="1"/>
  <c r="CV594" i="49"/>
  <c r="CV736" i="49" s="1"/>
  <c r="S294" i="4"/>
  <c r="W294" i="4"/>
  <c r="DG294" i="4" s="1"/>
  <c r="AA294" i="4"/>
  <c r="AE294" i="4"/>
  <c r="AI294" i="4"/>
  <c r="AM294" i="4"/>
  <c r="AQ294" i="4"/>
  <c r="DK294" i="4" s="1"/>
  <c r="AU294" i="4"/>
  <c r="AY294" i="4"/>
  <c r="BC294" i="4"/>
  <c r="BG294" i="4"/>
  <c r="BK294" i="4"/>
  <c r="DO294" i="4" s="1"/>
  <c r="BO294" i="4"/>
  <c r="BS294" i="4"/>
  <c r="BW294" i="4"/>
  <c r="CA294" i="4"/>
  <c r="CE294" i="4"/>
  <c r="DS294" i="4" s="1"/>
  <c r="CI294" i="4"/>
  <c r="CM294" i="4"/>
  <c r="CQ294" i="4"/>
  <c r="CU294" i="4"/>
  <c r="CY294" i="4"/>
  <c r="DW294" i="4" s="1"/>
  <c r="DJ292" i="4"/>
  <c r="DR292" i="4"/>
  <c r="AQ354" i="4"/>
  <c r="BI355" i="4"/>
  <c r="BM355" i="4"/>
  <c r="BR355" i="4"/>
  <c r="AB358" i="4"/>
  <c r="AB262" i="4" s="1"/>
  <c r="DH262" i="4" s="1"/>
  <c r="AU361" i="4"/>
  <c r="AV361" i="4" s="1"/>
  <c r="DL361" i="4" s="1"/>
  <c r="CA360" i="4"/>
  <c r="CJ358" i="4"/>
  <c r="CJ262" i="4" s="1"/>
  <c r="DT262" i="4" s="1"/>
  <c r="AP360" i="4"/>
  <c r="BJ360" i="4"/>
  <c r="CD360" i="4"/>
  <c r="Z361" i="4"/>
  <c r="AT361" i="4"/>
  <c r="BJ361" i="4"/>
  <c r="BK361" i="4" s="1"/>
  <c r="DO361" i="4" s="1"/>
  <c r="CJ1039" i="49"/>
  <c r="CJ1042" i="49" s="1"/>
  <c r="CU457" i="49"/>
  <c r="CT838" i="49"/>
  <c r="CN743" i="49"/>
  <c r="CS162" i="4" s="1"/>
  <c r="CS165" i="4" s="1"/>
  <c r="CV519" i="49"/>
  <c r="CV596" i="49"/>
  <c r="CV697" i="49" s="1"/>
  <c r="CU697" i="49"/>
  <c r="CP507" i="51"/>
  <c r="CR506" i="51"/>
  <c r="CR507" i="51" s="1"/>
  <c r="CV538" i="49"/>
  <c r="CV824" i="49" s="1"/>
  <c r="CV721" i="49"/>
  <c r="CU884" i="49"/>
  <c r="CU893" i="49" s="1"/>
  <c r="CV500" i="49"/>
  <c r="CU534" i="49"/>
  <c r="CU526" i="49"/>
  <c r="CS442" i="51" s="1"/>
  <c r="CU731" i="49"/>
  <c r="CU550" i="49"/>
  <c r="CU835" i="49" s="1"/>
  <c r="CV445" i="49"/>
  <c r="CT902" i="49"/>
  <c r="CT903" i="49" s="1"/>
  <c r="CT894" i="49"/>
  <c r="CR20" i="51"/>
  <c r="CV717" i="49"/>
  <c r="CU558" i="49"/>
  <c r="CU843" i="49" s="1"/>
  <c r="CU739" i="49"/>
  <c r="CV453" i="49"/>
  <c r="CI854" i="49"/>
  <c r="CI849" i="49"/>
  <c r="CI850" i="49"/>
  <c r="CI851" i="49" s="1"/>
  <c r="CV733" i="49"/>
  <c r="CU844" i="49"/>
  <c r="CT967" i="49"/>
  <c r="CU661" i="49"/>
  <c r="CL972" i="49"/>
  <c r="CL810" i="49"/>
  <c r="CQ666" i="49"/>
  <c r="CL700" i="49"/>
  <c r="CP585" i="49"/>
  <c r="CP686" i="49"/>
  <c r="CP830" i="49" s="1"/>
  <c r="CQ586" i="49"/>
  <c r="CP727" i="49"/>
  <c r="CU732" i="49"/>
  <c r="CU672" i="49"/>
  <c r="CU816" i="49" s="1"/>
  <c r="CV572" i="49"/>
  <c r="CV713" i="49" s="1"/>
  <c r="CV555" i="49"/>
  <c r="CT695" i="49"/>
  <c r="CT840" i="49" s="1"/>
  <c r="P294" i="4"/>
  <c r="T294" i="4"/>
  <c r="X294" i="4"/>
  <c r="AF294" i="4"/>
  <c r="AJ294" i="4"/>
  <c r="AN294" i="4"/>
  <c r="AR294" i="4"/>
  <c r="AZ294" i="4"/>
  <c r="BD294" i="4"/>
  <c r="BH294" i="4"/>
  <c r="BL294" i="4"/>
  <c r="BT294" i="4"/>
  <c r="BX294" i="4"/>
  <c r="CB294" i="4"/>
  <c r="CF294" i="4"/>
  <c r="CN294" i="4"/>
  <c r="CR294" i="4"/>
  <c r="CV294" i="4"/>
  <c r="DK292" i="4"/>
  <c r="DS292" i="4"/>
  <c r="AR356" i="4"/>
  <c r="BA354" i="4"/>
  <c r="DM354" i="4" s="1"/>
  <c r="BE355" i="4"/>
  <c r="BN355" i="4"/>
  <c r="AK356" i="4"/>
  <c r="BE356" i="4"/>
  <c r="P361" i="4"/>
  <c r="AI359" i="4"/>
  <c r="AV358" i="4"/>
  <c r="BE361" i="4"/>
  <c r="BF361" i="4" s="1"/>
  <c r="DN361" i="4" s="1"/>
  <c r="BS359" i="4"/>
  <c r="BW360" i="4"/>
  <c r="Z360" i="4"/>
  <c r="AT360" i="4"/>
  <c r="BN360" i="4"/>
  <c r="CH360" i="4"/>
  <c r="AD361" i="4"/>
  <c r="AX361" i="4"/>
  <c r="BN361" i="4"/>
  <c r="CP587" i="49"/>
  <c r="CS565" i="49"/>
  <c r="CS566" i="49" s="1"/>
  <c r="CS564" i="49"/>
  <c r="CT842" i="49"/>
  <c r="CV734" i="49"/>
  <c r="CI997" i="49"/>
  <c r="CI908" i="49"/>
  <c r="CI907" i="49"/>
  <c r="CO601" i="49"/>
  <c r="CV804" i="49"/>
  <c r="CV966" i="49"/>
  <c r="CH414" i="51"/>
  <c r="CG415" i="51"/>
  <c r="CV887" i="49"/>
  <c r="CV537" i="49"/>
  <c r="CT563" i="49"/>
  <c r="CT565" i="49" s="1"/>
  <c r="CT566" i="49" s="1"/>
  <c r="CU555" i="49"/>
  <c r="CE998" i="49"/>
  <c r="CU787" i="49"/>
  <c r="CU535" i="49"/>
  <c r="CU821" i="49" s="1"/>
  <c r="CV501" i="49"/>
  <c r="CV517" i="49"/>
  <c r="CV553" i="49" s="1"/>
  <c r="CV502" i="49"/>
  <c r="CU536" i="49"/>
  <c r="CS8" i="4"/>
  <c r="CT8" i="4" s="1"/>
  <c r="BO452" i="51"/>
  <c r="BO40" i="51"/>
  <c r="BL33" i="51"/>
  <c r="BO38" i="51"/>
  <c r="BQ408" i="51"/>
  <c r="BP24" i="51"/>
  <c r="BP364" i="51"/>
  <c r="BN25" i="51"/>
  <c r="BN31" i="51" s="1"/>
  <c r="BM28" i="51"/>
  <c r="BM30" i="51"/>
  <c r="BM32" i="51"/>
  <c r="BQ406" i="51"/>
  <c r="BP22" i="51"/>
  <c r="BP362" i="51"/>
  <c r="BQ449" i="51"/>
  <c r="BP405" i="51"/>
  <c r="BO409" i="51"/>
  <c r="BO410" i="51" s="1"/>
  <c r="BO21" i="51"/>
  <c r="BO361" i="51"/>
  <c r="BP448" i="51"/>
  <c r="BM29" i="51"/>
  <c r="BP451" i="51"/>
  <c r="BP407" i="51"/>
  <c r="BO23" i="51"/>
  <c r="BO363" i="51"/>
  <c r="DE790" i="4"/>
  <c r="DG790" i="4"/>
  <c r="DH790" i="4"/>
  <c r="DR790" i="4"/>
  <c r="DF790" i="4"/>
  <c r="DI790" i="4"/>
  <c r="DJ790" i="4"/>
  <c r="DK790" i="4"/>
  <c r="DL790" i="4"/>
  <c r="AH404" i="4"/>
  <c r="AH4" i="4"/>
  <c r="FV367" i="9" s="1"/>
  <c r="AI3" i="4"/>
  <c r="AP258" i="4"/>
  <c r="AP20" i="4"/>
  <c r="AP15" i="4"/>
  <c r="AP14" i="4"/>
  <c r="CL258" i="4"/>
  <c r="CL20" i="4"/>
  <c r="CL15" i="4"/>
  <c r="CL14" i="4"/>
  <c r="CQ15" i="4"/>
  <c r="AE20" i="4"/>
  <c r="AE15" i="4"/>
  <c r="AE14" i="4"/>
  <c r="AJ15" i="4"/>
  <c r="AJ20" i="4"/>
  <c r="AJ21" i="4" s="1"/>
  <c r="AJ14" i="4"/>
  <c r="AO20" i="4"/>
  <c r="AO21" i="4" s="1"/>
  <c r="AO15" i="4"/>
  <c r="AO14" i="4"/>
  <c r="M11" i="4"/>
  <c r="DE11" i="4" s="1"/>
  <c r="AV10" i="4"/>
  <c r="AA258" i="4"/>
  <c r="AA20" i="4"/>
  <c r="AA14" i="4"/>
  <c r="AS20" i="4"/>
  <c r="AS15" i="4"/>
  <c r="AS14" i="4"/>
  <c r="I31" i="4"/>
  <c r="AK20" i="4"/>
  <c r="AK15" i="4"/>
  <c r="AK14" i="4"/>
  <c r="BC258" i="4"/>
  <c r="BC20" i="4"/>
  <c r="BC15" i="4"/>
  <c r="BC14" i="4"/>
  <c r="BH15" i="4"/>
  <c r="BH14" i="4"/>
  <c r="BH20" i="4"/>
  <c r="BH21" i="4" s="1"/>
  <c r="CB20" i="4"/>
  <c r="CB14" i="4"/>
  <c r="CG679" i="4"/>
  <c r="CG20" i="4"/>
  <c r="CG15" i="4"/>
  <c r="CG14" i="4"/>
  <c r="CR691" i="4"/>
  <c r="V20" i="4"/>
  <c r="V14" i="4"/>
  <c r="Z20" i="4"/>
  <c r="Z14" i="4"/>
  <c r="AT258" i="4"/>
  <c r="AT20" i="4"/>
  <c r="AT21" i="4" s="1"/>
  <c r="AT15" i="4"/>
  <c r="AT14" i="4"/>
  <c r="AY258" i="4"/>
  <c r="AY20" i="4"/>
  <c r="AY21" i="4" s="1"/>
  <c r="AY15" i="4"/>
  <c r="AY14" i="4"/>
  <c r="BD20" i="4"/>
  <c r="BD15" i="4"/>
  <c r="BD14" i="4"/>
  <c r="BI20" i="4"/>
  <c r="BI15" i="4"/>
  <c r="BI14" i="4"/>
  <c r="BN20" i="4"/>
  <c r="BN21" i="4" s="1"/>
  <c r="BN15" i="4"/>
  <c r="BN14" i="4"/>
  <c r="BX14" i="4"/>
  <c r="BX20" i="4"/>
  <c r="CC679" i="4"/>
  <c r="CC20" i="4"/>
  <c r="CC15" i="4"/>
  <c r="CC14" i="4"/>
  <c r="CH258" i="4"/>
  <c r="CH20" i="4"/>
  <c r="CH21" i="4" s="1"/>
  <c r="CH15" i="4"/>
  <c r="CH14" i="4"/>
  <c r="CM258" i="4"/>
  <c r="CM20" i="4"/>
  <c r="CM21" i="4" s="1"/>
  <c r="CM15" i="4"/>
  <c r="CM14" i="4"/>
  <c r="DR13" i="4"/>
  <c r="AV80" i="4"/>
  <c r="DL80" i="4" s="1"/>
  <c r="CZ94" i="4"/>
  <c r="DW94" i="4"/>
  <c r="Y20" i="4"/>
  <c r="Y21" i="4" s="1"/>
  <c r="Y14" i="4"/>
  <c r="AF14" i="4"/>
  <c r="AF20" i="4"/>
  <c r="AF21" i="4" s="1"/>
  <c r="AF15" i="4"/>
  <c r="AX258" i="4"/>
  <c r="AX20" i="4"/>
  <c r="AX21" i="4" s="1"/>
  <c r="AX15" i="4"/>
  <c r="AX14" i="4"/>
  <c r="BM20" i="4"/>
  <c r="BM21" i="4" s="1"/>
  <c r="BM15" i="4"/>
  <c r="BM14" i="4"/>
  <c r="CZ93" i="4"/>
  <c r="DW93" i="4"/>
  <c r="AR404" i="4"/>
  <c r="AR4" i="4"/>
  <c r="AS3" i="4"/>
  <c r="AW3" i="4"/>
  <c r="AD258" i="4"/>
  <c r="AD20" i="4"/>
  <c r="AD21" i="4" s="1"/>
  <c r="AD15" i="4"/>
  <c r="AD14" i="4"/>
  <c r="AI14" i="4"/>
  <c r="AN20" i="4"/>
  <c r="AN14" i="4"/>
  <c r="AU258" i="4"/>
  <c r="AU20" i="4"/>
  <c r="AU21" i="4" s="1"/>
  <c r="AU15" i="4"/>
  <c r="AU14" i="4"/>
  <c r="AZ20" i="4"/>
  <c r="AZ21" i="4" s="1"/>
  <c r="AZ14" i="4"/>
  <c r="AZ15" i="4"/>
  <c r="BE20" i="4"/>
  <c r="BE15" i="4"/>
  <c r="BE14" i="4"/>
  <c r="X179" i="8" s="1"/>
  <c r="BJ20" i="4"/>
  <c r="BJ15" i="4"/>
  <c r="BJ14" i="4"/>
  <c r="BO258" i="4"/>
  <c r="BO20" i="4"/>
  <c r="BO21" i="4" s="1"/>
  <c r="BO15" i="4"/>
  <c r="BO14" i="4"/>
  <c r="BT20" i="4"/>
  <c r="BT21" i="4" s="1"/>
  <c r="BT15" i="4"/>
  <c r="BY679" i="4"/>
  <c r="BY20" i="4"/>
  <c r="BY21" i="4" s="1"/>
  <c r="BY15" i="4"/>
  <c r="BY14" i="4"/>
  <c r="CD258" i="4"/>
  <c r="CD20" i="4"/>
  <c r="CD21" i="4" s="1"/>
  <c r="CD15" i="4"/>
  <c r="CD14" i="4"/>
  <c r="CI258" i="4"/>
  <c r="CI20" i="4"/>
  <c r="CI21" i="4" s="1"/>
  <c r="CI15" i="4"/>
  <c r="CI14" i="4"/>
  <c r="N21" i="4"/>
  <c r="N183" i="4"/>
  <c r="N188" i="4" s="1"/>
  <c r="N193" i="4"/>
  <c r="N171" i="4"/>
  <c r="W31" i="4"/>
  <c r="DG28" i="4"/>
  <c r="AR691" i="4"/>
  <c r="DO28" i="4"/>
  <c r="BK31" i="4"/>
  <c r="DW91" i="4"/>
  <c r="CZ91" i="4"/>
  <c r="CY75" i="4"/>
  <c r="DQ122" i="4"/>
  <c r="AD404" i="4"/>
  <c r="BB404" i="4"/>
  <c r="CG893" i="4"/>
  <c r="BR10" i="4"/>
  <c r="AN457" i="4"/>
  <c r="AN442" i="4"/>
  <c r="AN463" i="4"/>
  <c r="AN436" i="4"/>
  <c r="AN469" i="4"/>
  <c r="AN472" i="4" s="1"/>
  <c r="X14" i="4"/>
  <c r="AR14" i="4"/>
  <c r="CY76" i="4"/>
  <c r="DW76" i="4" s="1"/>
  <c r="CJ77" i="4"/>
  <c r="DS77" i="4"/>
  <c r="CJ81" i="4"/>
  <c r="DS81" i="4"/>
  <c r="DS78" i="4"/>
  <c r="CJ78" i="4"/>
  <c r="AV137" i="4"/>
  <c r="DL137" i="4" s="1"/>
  <c r="DG176" i="4"/>
  <c r="W180" i="4"/>
  <c r="AB176" i="4"/>
  <c r="AY417" i="4"/>
  <c r="BL451" i="4"/>
  <c r="BM451" i="4" s="1"/>
  <c r="BJ450" i="4"/>
  <c r="BF487" i="4"/>
  <c r="DN487" i="4" s="1"/>
  <c r="DN461" i="4"/>
  <c r="M404" i="4"/>
  <c r="DE404" i="4" s="1"/>
  <c r="W404" i="4"/>
  <c r="DG404" i="4" s="1"/>
  <c r="AB404" i="4"/>
  <c r="DH404" i="4" s="1"/>
  <c r="AM3" i="4"/>
  <c r="DF3" i="4"/>
  <c r="CB893" i="4"/>
  <c r="CF4" i="4"/>
  <c r="CJ4" i="4"/>
  <c r="DT4" i="4" s="1"/>
  <c r="CN915" i="4"/>
  <c r="CN893" i="4"/>
  <c r="S10" i="4"/>
  <c r="AC10" i="4"/>
  <c r="AH10" i="4"/>
  <c r="AM10" i="4"/>
  <c r="AW10" i="4"/>
  <c r="BF306" i="8" s="1"/>
  <c r="BB10" i="4"/>
  <c r="BJ306" i="8" s="1"/>
  <c r="BG10" i="4"/>
  <c r="BL10" i="4"/>
  <c r="BQ10" i="4"/>
  <c r="BV10" i="4"/>
  <c r="CA10" i="4"/>
  <c r="CF10" i="4"/>
  <c r="CK10" i="4"/>
  <c r="M10" i="4"/>
  <c r="AS183" i="4"/>
  <c r="AS188" i="4" s="1"/>
  <c r="AS189" i="4" s="1"/>
  <c r="AS193" i="4"/>
  <c r="L12" i="4"/>
  <c r="P193" i="4"/>
  <c r="P171" i="4"/>
  <c r="U172" i="4" s="1"/>
  <c r="P183" i="4"/>
  <c r="P188" i="4" s="1"/>
  <c r="Q437" i="4"/>
  <c r="V434" i="4" s="1"/>
  <c r="Q457" i="4"/>
  <c r="Q458" i="4" s="1"/>
  <c r="Q463" i="4"/>
  <c r="AB11" i="4"/>
  <c r="DH11" i="4" s="1"/>
  <c r="AQ13" i="4"/>
  <c r="DK13" i="4" s="1"/>
  <c r="K14" i="4"/>
  <c r="CQ20" i="4"/>
  <c r="CQ21" i="4" s="1"/>
  <c r="DH26" i="4"/>
  <c r="DL26" i="4"/>
  <c r="DP26" i="4"/>
  <c r="CT27" i="4"/>
  <c r="DV27" i="4" s="1"/>
  <c r="AB28" i="4"/>
  <c r="DH28" i="4" s="1"/>
  <c r="AV28" i="4"/>
  <c r="DL28" i="4" s="1"/>
  <c r="BP28" i="4"/>
  <c r="DP28" i="4" s="1"/>
  <c r="R31" i="4"/>
  <c r="AH31" i="4"/>
  <c r="AH691" i="4" s="1"/>
  <c r="AL31" i="4"/>
  <c r="BB31" i="4"/>
  <c r="BF31" i="4"/>
  <c r="DN31" i="4" s="1"/>
  <c r="BV31" i="4"/>
  <c r="R40" i="4"/>
  <c r="DF40" i="4" s="1"/>
  <c r="AQ137" i="4"/>
  <c r="DK137" i="4" s="1"/>
  <c r="BA41" i="4"/>
  <c r="DM41" i="4" s="1"/>
  <c r="BK137" i="4"/>
  <c r="DO137" i="4" s="1"/>
  <c r="CE89" i="4"/>
  <c r="DS89" i="4" s="1"/>
  <c r="CE137" i="4"/>
  <c r="DS137" i="4" s="1"/>
  <c r="BU66" i="4"/>
  <c r="AQ80" i="4"/>
  <c r="DK80" i="4" s="1"/>
  <c r="AV115" i="4"/>
  <c r="DL115" i="4" s="1"/>
  <c r="AG116" i="4"/>
  <c r="DI116" i="4" s="1"/>
  <c r="AL116" i="4"/>
  <c r="DJ116" i="4" s="1"/>
  <c r="CE115" i="4"/>
  <c r="DS115" i="4" s="1"/>
  <c r="CE122" i="4"/>
  <c r="DS122" i="4" s="1"/>
  <c r="CJ122" i="4"/>
  <c r="DT122" i="4" s="1"/>
  <c r="CT124" i="4"/>
  <c r="DV124" i="4" s="1"/>
  <c r="AU193" i="4"/>
  <c r="AU171" i="4"/>
  <c r="AU172" i="4" s="1"/>
  <c r="AU183" i="4"/>
  <c r="CM193" i="4"/>
  <c r="CM183" i="4"/>
  <c r="CM168" i="4"/>
  <c r="CM184" i="4" s="1"/>
  <c r="CO188" i="4"/>
  <c r="CW193" i="4"/>
  <c r="CW189" i="4"/>
  <c r="AJ181" i="4"/>
  <c r="S181" i="4"/>
  <c r="CA180" i="4"/>
  <c r="BX181" i="4"/>
  <c r="AD244" i="4"/>
  <c r="AD255" i="4"/>
  <c r="AH242" i="4"/>
  <c r="AM251" i="4" s="1"/>
  <c r="AH244" i="4"/>
  <c r="AH255" i="4"/>
  <c r="AM244" i="4"/>
  <c r="DJ223" i="4"/>
  <c r="AL244" i="4"/>
  <c r="DJ244" i="4" s="1"/>
  <c r="AQ244" i="4"/>
  <c r="DK244" i="4" s="1"/>
  <c r="AL255" i="4"/>
  <c r="DJ255" i="4" s="1"/>
  <c r="AP242" i="4"/>
  <c r="AP251" i="4" s="1"/>
  <c r="AP244" i="4"/>
  <c r="AU244" i="4"/>
  <c r="AT242" i="4"/>
  <c r="AT251" i="4" s="1"/>
  <c r="AT244" i="4"/>
  <c r="AT255" i="4"/>
  <c r="AI244" i="4"/>
  <c r="AP255" i="4"/>
  <c r="X404" i="4"/>
  <c r="BZ404" i="4"/>
  <c r="DR404" i="4" s="1"/>
  <c r="X4" i="4"/>
  <c r="FN367" i="9" s="1"/>
  <c r="CK893" i="4"/>
  <c r="CK915" i="4"/>
  <c r="BU8" i="4"/>
  <c r="DQ8" i="4" s="1"/>
  <c r="AR20" i="4"/>
  <c r="CY27" i="4"/>
  <c r="BA28" i="4"/>
  <c r="DM28" i="4" s="1"/>
  <c r="S691" i="4"/>
  <c r="CY41" i="4"/>
  <c r="CY42" i="4"/>
  <c r="B11" i="43" s="1"/>
  <c r="AL137" i="4"/>
  <c r="DJ137" i="4" s="1"/>
  <c r="W40" i="4"/>
  <c r="DG40" i="4" s="1"/>
  <c r="AK605" i="4"/>
  <c r="AK476" i="4"/>
  <c r="AK76" i="4"/>
  <c r="AF193" i="4"/>
  <c r="AF171" i="4"/>
  <c r="AF183" i="4"/>
  <c r="AF188" i="4" s="1"/>
  <c r="CA193" i="4"/>
  <c r="CA171" i="4"/>
  <c r="CA183" i="4"/>
  <c r="CI193" i="4"/>
  <c r="CI183" i="4"/>
  <c r="CI169" i="4"/>
  <c r="AK181" i="4"/>
  <c r="AY181" i="4"/>
  <c r="BD181" i="4"/>
  <c r="BV188" i="4"/>
  <c r="BV189" i="4" s="1"/>
  <c r="CD265" i="4"/>
  <c r="DP262" i="4"/>
  <c r="BP265" i="4"/>
  <c r="DP265" i="4" s="1"/>
  <c r="BS431" i="4"/>
  <c r="BS436" i="4" s="1"/>
  <c r="BN417" i="4"/>
  <c r="N458" i="4"/>
  <c r="BT450" i="4"/>
  <c r="BT466" i="4"/>
  <c r="T404" i="4"/>
  <c r="Y3" i="4"/>
  <c r="AE3" i="4"/>
  <c r="BC3" i="4"/>
  <c r="DH3" i="4"/>
  <c r="M4" i="4"/>
  <c r="DE4" i="4" s="1"/>
  <c r="AC4" i="4"/>
  <c r="CD893" i="4"/>
  <c r="CH893" i="4"/>
  <c r="CL915" i="4"/>
  <c r="CL893" i="4"/>
  <c r="CP893" i="4"/>
  <c r="CP915" i="4"/>
  <c r="L437" i="4"/>
  <c r="M437" i="4" s="1"/>
  <c r="DE437" i="4" s="1"/>
  <c r="I14" i="4"/>
  <c r="DF26" i="4"/>
  <c r="DA97" i="4"/>
  <c r="DY97" i="4" s="1"/>
  <c r="M39" i="4"/>
  <c r="R649" i="4"/>
  <c r="DF649" i="4" s="1"/>
  <c r="DF647" i="4"/>
  <c r="AL42" i="4"/>
  <c r="DJ42" i="4" s="1"/>
  <c r="AQ41" i="4"/>
  <c r="DK41" i="4" s="1"/>
  <c r="BA137" i="4"/>
  <c r="DM137" i="4" s="1"/>
  <c r="CM639" i="4"/>
  <c r="CM90" i="4"/>
  <c r="CI49" i="4"/>
  <c r="CJ49" i="4" s="1"/>
  <c r="DP639" i="4"/>
  <c r="BU49" i="4"/>
  <c r="DQ49" i="4" s="1"/>
  <c r="W66" i="4"/>
  <c r="AB66" i="4"/>
  <c r="DL70" i="4"/>
  <c r="BO71" i="4"/>
  <c r="BP70" i="4"/>
  <c r="D19" i="68" s="1"/>
  <c r="BT71" i="4"/>
  <c r="DV70" i="4"/>
  <c r="AG76" i="4"/>
  <c r="DI76" i="4" s="1"/>
  <c r="AL76" i="4"/>
  <c r="DJ76" i="4" s="1"/>
  <c r="BP76" i="4"/>
  <c r="DP76" i="4" s="1"/>
  <c r="CJ76" i="4"/>
  <c r="DT76" i="4" s="1"/>
  <c r="CO79" i="4"/>
  <c r="DU79" i="4" s="1"/>
  <c r="AG79" i="4"/>
  <c r="DI79" i="4" s="1"/>
  <c r="AL79" i="4"/>
  <c r="DJ79" i="4" s="1"/>
  <c r="AV79" i="4"/>
  <c r="DL79" i="4" s="1"/>
  <c r="BK90" i="4"/>
  <c r="DO90" i="4" s="1"/>
  <c r="DS91" i="4"/>
  <c r="CE75" i="4"/>
  <c r="CO89" i="4"/>
  <c r="DU89" i="4" s="1"/>
  <c r="BU116" i="4"/>
  <c r="R122" i="4"/>
  <c r="DF122" i="4" s="1"/>
  <c r="BP137" i="4"/>
  <c r="DP137" i="4" s="1"/>
  <c r="Y526" i="4"/>
  <c r="Y530" i="4" s="1"/>
  <c r="Y159" i="4"/>
  <c r="Y160" i="4"/>
  <c r="AD526" i="4"/>
  <c r="AD159" i="4"/>
  <c r="AD160" i="4"/>
  <c r="AD165" i="4"/>
  <c r="AH526" i="4"/>
  <c r="AI159" i="4"/>
  <c r="DJ158" i="4"/>
  <c r="AP526" i="4"/>
  <c r="AP159" i="4"/>
  <c r="AP160" i="4"/>
  <c r="AQ158" i="4"/>
  <c r="AQ165" i="4" s="1"/>
  <c r="DK165" i="4" s="1"/>
  <c r="BM526" i="4"/>
  <c r="BM530" i="4" s="1"/>
  <c r="BM159" i="4"/>
  <c r="BM160" i="4"/>
  <c r="BR526" i="4"/>
  <c r="BR159" i="4"/>
  <c r="BR160" i="4"/>
  <c r="BR165" i="4"/>
  <c r="BW159" i="4"/>
  <c r="DR158" i="4"/>
  <c r="CD159" i="4"/>
  <c r="CD160" i="4"/>
  <c r="CE158" i="4"/>
  <c r="CT160" i="4"/>
  <c r="DV160" i="4" s="1"/>
  <c r="CU158" i="4"/>
  <c r="DV158" i="4"/>
  <c r="T527" i="4"/>
  <c r="T165" i="4"/>
  <c r="U163" i="4"/>
  <c r="X527" i="4"/>
  <c r="X165" i="4"/>
  <c r="Y163" i="4"/>
  <c r="Y164" i="4" s="1"/>
  <c r="AC163" i="4"/>
  <c r="AF527" i="4"/>
  <c r="AF165" i="4"/>
  <c r="AG162" i="4"/>
  <c r="BC527" i="4"/>
  <c r="BC165" i="4"/>
  <c r="BH527" i="4"/>
  <c r="BH165" i="4"/>
  <c r="BI163" i="4"/>
  <c r="BL527" i="4"/>
  <c r="BL165" i="4"/>
  <c r="BM163" i="4"/>
  <c r="DP162" i="4"/>
  <c r="BQ163" i="4"/>
  <c r="BT165" i="4"/>
  <c r="BU162" i="4"/>
  <c r="BL163" i="4"/>
  <c r="BV165" i="4"/>
  <c r="X193" i="4"/>
  <c r="X171" i="4"/>
  <c r="X183" i="4"/>
  <c r="X188" i="4" s="1"/>
  <c r="AC189" i="4" s="1"/>
  <c r="AV167" i="4"/>
  <c r="BL181" i="4"/>
  <c r="BP176" i="4"/>
  <c r="BT181" i="4"/>
  <c r="BY181" i="4"/>
  <c r="AI181" i="4"/>
  <c r="AN181" i="4"/>
  <c r="CB246" i="4"/>
  <c r="CB256" i="4"/>
  <c r="CB242" i="4"/>
  <c r="CB251" i="4" s="1"/>
  <c r="AD248" i="4"/>
  <c r="CR264" i="4"/>
  <c r="CW264" i="4"/>
  <c r="R404" i="4"/>
  <c r="DF404" i="4" s="1"/>
  <c r="CC893" i="4"/>
  <c r="CS915" i="4"/>
  <c r="BW10" i="4"/>
  <c r="O193" i="4"/>
  <c r="O171" i="4"/>
  <c r="O183" i="4"/>
  <c r="O188" i="4" s="1"/>
  <c r="T189" i="4" s="1"/>
  <c r="AV7" i="4"/>
  <c r="DL7" i="4" s="1"/>
  <c r="T14" i="4"/>
  <c r="DQ26" i="4"/>
  <c r="DF176" i="4"/>
  <c r="R180" i="4"/>
  <c r="AG28" i="4"/>
  <c r="DI28" i="4" s="1"/>
  <c r="CJ27" i="4"/>
  <c r="DT27" i="4" s="1"/>
  <c r="CY80" i="4"/>
  <c r="DW80" i="4" s="1"/>
  <c r="AG137" i="4"/>
  <c r="DI137" i="4" s="1"/>
  <c r="CE71" i="4"/>
  <c r="DS71" i="4" s="1"/>
  <c r="DS70" i="4"/>
  <c r="CU698" i="4"/>
  <c r="CU75" i="4"/>
  <c r="CY95" i="4"/>
  <c r="CX96" i="4"/>
  <c r="CY96" i="4" s="1"/>
  <c r="CZ96" i="4" s="1"/>
  <c r="DA96" i="4" s="1"/>
  <c r="AB193" i="4"/>
  <c r="DH193" i="4" s="1"/>
  <c r="AB171" i="4"/>
  <c r="DH167" i="4"/>
  <c r="AB183" i="4"/>
  <c r="CE193" i="4"/>
  <c r="DS193" i="4" s="1"/>
  <c r="BV239" i="72" s="1"/>
  <c r="CE171" i="4"/>
  <c r="DS167" i="4"/>
  <c r="CE183" i="4"/>
  <c r="DS183" i="4" s="1"/>
  <c r="AC172" i="4"/>
  <c r="CV248" i="4"/>
  <c r="CV257" i="4"/>
  <c r="U3" i="4"/>
  <c r="AG404" i="4"/>
  <c r="DI404" i="4" s="1"/>
  <c r="AL404" i="4"/>
  <c r="DJ404" i="4" s="1"/>
  <c r="AQ404" i="4"/>
  <c r="DK404" i="4" s="1"/>
  <c r="AV404" i="4"/>
  <c r="DL404" i="4" s="1"/>
  <c r="AZ404" i="4"/>
  <c r="DE3" i="4"/>
  <c r="DI3" i="4"/>
  <c r="J915" i="4"/>
  <c r="J897" i="4"/>
  <c r="N4" i="4"/>
  <c r="FF367" i="9" s="1"/>
  <c r="FI368" i="9" s="1"/>
  <c r="AD4" i="4"/>
  <c r="CA4" i="4"/>
  <c r="CE4" i="4"/>
  <c r="DS4" i="4" s="1"/>
  <c r="CI893" i="4"/>
  <c r="CM915" i="4"/>
  <c r="CM893" i="4"/>
  <c r="CQ915" i="4"/>
  <c r="CQ893" i="4"/>
  <c r="CU915" i="4"/>
  <c r="AA193" i="4"/>
  <c r="AA171" i="4"/>
  <c r="AA183" i="4"/>
  <c r="AA188" i="4" s="1"/>
  <c r="M13" i="4"/>
  <c r="DE13" i="4" s="1"/>
  <c r="AB10" i="4"/>
  <c r="CQ14" i="4"/>
  <c r="J14" i="4"/>
  <c r="N14" i="4"/>
  <c r="DS176" i="4"/>
  <c r="CE180" i="4"/>
  <c r="CU30" i="4"/>
  <c r="CY30" i="4" s="1"/>
  <c r="DW30" i="4" s="1"/>
  <c r="CE26" i="4"/>
  <c r="CO27" i="4"/>
  <c r="DU27" i="4" s="1"/>
  <c r="BD647" i="4"/>
  <c r="BD649" i="4" s="1"/>
  <c r="BD80" i="4"/>
  <c r="BF80" i="4" s="1"/>
  <c r="DN80" i="4" s="1"/>
  <c r="DY38" i="4"/>
  <c r="DH39" i="4"/>
  <c r="DL39" i="4"/>
  <c r="DP39" i="4"/>
  <c r="DT39" i="4"/>
  <c r="DE42" i="4"/>
  <c r="AL41" i="4"/>
  <c r="DJ41" i="4" s="1"/>
  <c r="R39" i="4"/>
  <c r="W38" i="4"/>
  <c r="DG38" i="4" s="1"/>
  <c r="AV41" i="4"/>
  <c r="DL41" i="4" s="1"/>
  <c r="BF137" i="4"/>
  <c r="DN137" i="4" s="1"/>
  <c r="BV49" i="4"/>
  <c r="DO639" i="4"/>
  <c r="BP49" i="4"/>
  <c r="DP49" i="4" s="1"/>
  <c r="AQ66" i="4"/>
  <c r="AV66" i="4"/>
  <c r="BA66" i="4"/>
  <c r="AG71" i="4"/>
  <c r="DI71" i="4" s="1"/>
  <c r="DI70" i="4"/>
  <c r="BA71" i="4"/>
  <c r="DM71" i="4" s="1"/>
  <c r="BU78" i="4"/>
  <c r="DQ78" i="4" s="1"/>
  <c r="BA79" i="4"/>
  <c r="DM79" i="4" s="1"/>
  <c r="BP90" i="4"/>
  <c r="DP90" i="4" s="1"/>
  <c r="W91" i="4"/>
  <c r="DG91" i="4" s="1"/>
  <c r="AB91" i="4"/>
  <c r="DH91" i="4" s="1"/>
  <c r="AG91" i="4"/>
  <c r="AL91" i="4"/>
  <c r="CY97" i="4"/>
  <c r="DW97" i="4" s="1"/>
  <c r="W115" i="4"/>
  <c r="DG115" i="4" s="1"/>
  <c r="AB115" i="4"/>
  <c r="DH115" i="4" s="1"/>
  <c r="AG115" i="4"/>
  <c r="DI115" i="4" s="1"/>
  <c r="BK115" i="4"/>
  <c r="CX212" i="9" s="1"/>
  <c r="BP115" i="4"/>
  <c r="DC212" i="9" s="1"/>
  <c r="CO116" i="4"/>
  <c r="DU116" i="4" s="1"/>
  <c r="BK122" i="4"/>
  <c r="DY323" i="9" s="1"/>
  <c r="BP122" i="4"/>
  <c r="ED323" i="9" s="1"/>
  <c r="AV124" i="4"/>
  <c r="DL124" i="4" s="1"/>
  <c r="CJ137" i="4"/>
  <c r="DT137" i="4" s="1"/>
  <c r="BD146" i="4"/>
  <c r="AM159" i="4"/>
  <c r="CA159" i="4"/>
  <c r="CE159" i="4" s="1"/>
  <c r="DS159" i="4" s="1"/>
  <c r="M527" i="4"/>
  <c r="DE527" i="4" s="1"/>
  <c r="N163" i="4"/>
  <c r="O164" i="4" s="1"/>
  <c r="DE162" i="4"/>
  <c r="Q527" i="4"/>
  <c r="Q165" i="4"/>
  <c r="R162" i="4"/>
  <c r="CE165" i="4"/>
  <c r="DS165" i="4" s="1"/>
  <c r="BT163" i="4"/>
  <c r="CR163" i="4"/>
  <c r="AO164" i="4"/>
  <c r="AH165" i="4"/>
  <c r="T193" i="4"/>
  <c r="T171" i="4"/>
  <c r="T172" i="4" s="1"/>
  <c r="Y189" i="4"/>
  <c r="AY193" i="4"/>
  <c r="AY171" i="4"/>
  <c r="AY172" i="4" s="1"/>
  <c r="AY183" i="4"/>
  <c r="BD193" i="4"/>
  <c r="BD171" i="4"/>
  <c r="BD172" i="4" s="1"/>
  <c r="BD183" i="4"/>
  <c r="BD188" i="4" s="1"/>
  <c r="BI189" i="4" s="1"/>
  <c r="CH189" i="4"/>
  <c r="AS171" i="4"/>
  <c r="AX172" i="4" s="1"/>
  <c r="DL200" i="4"/>
  <c r="CL376" i="4"/>
  <c r="CL232" i="4"/>
  <c r="Z248" i="4"/>
  <c r="AH257" i="4"/>
  <c r="AH248" i="4"/>
  <c r="AL257" i="4"/>
  <c r="DJ257" i="4" s="1"/>
  <c r="DJ234" i="4"/>
  <c r="AL248" i="4"/>
  <c r="DJ248" i="4" s="1"/>
  <c r="AP257" i="4"/>
  <c r="AP248" i="4"/>
  <c r="AX257" i="4"/>
  <c r="AX248" i="4"/>
  <c r="BB248" i="4"/>
  <c r="DN234" i="4"/>
  <c r="BF248" i="4"/>
  <c r="DN248" i="4" s="1"/>
  <c r="BN248" i="4"/>
  <c r="BS248" i="4"/>
  <c r="AT248" i="4"/>
  <c r="AQ70" i="4"/>
  <c r="CJ71" i="4"/>
  <c r="DT71" i="4" s="1"/>
  <c r="AC526" i="4"/>
  <c r="AK526" i="4"/>
  <c r="AK530" i="4" s="1"/>
  <c r="AK159" i="4"/>
  <c r="AO526" i="4"/>
  <c r="AO159" i="4"/>
  <c r="AT526" i="4"/>
  <c r="AT528" i="4" s="1"/>
  <c r="AT159" i="4"/>
  <c r="AT160" i="4"/>
  <c r="BQ526" i="4"/>
  <c r="DQ158" i="4"/>
  <c r="CH159" i="4"/>
  <c r="CH160" i="4"/>
  <c r="P527" i="4"/>
  <c r="P528" i="4" s="1"/>
  <c r="P165" i="4"/>
  <c r="Q163" i="4"/>
  <c r="S528" i="4"/>
  <c r="AA528" i="4"/>
  <c r="AE531" i="4"/>
  <c r="AE528" i="4"/>
  <c r="AJ527" i="4"/>
  <c r="AJ165" i="4"/>
  <c r="BG531" i="4"/>
  <c r="BG537" i="4" s="1"/>
  <c r="BG528" i="4"/>
  <c r="CC165" i="4"/>
  <c r="CQ163" i="4"/>
  <c r="AK163" i="4"/>
  <c r="BY163" i="4"/>
  <c r="AE165" i="4"/>
  <c r="BS165" i="4"/>
  <c r="S193" i="4"/>
  <c r="S171" i="4"/>
  <c r="S172" i="4" s="1"/>
  <c r="S183" i="4"/>
  <c r="W167" i="4"/>
  <c r="AE193" i="4"/>
  <c r="AE171" i="4"/>
  <c r="AE172" i="4" s="1"/>
  <c r="AE183" i="4"/>
  <c r="AJ193" i="4"/>
  <c r="AJ171" i="4"/>
  <c r="AJ172" i="4" s="1"/>
  <c r="BC193" i="4"/>
  <c r="BC171" i="4"/>
  <c r="BC172" i="4" s="1"/>
  <c r="BC183" i="4"/>
  <c r="BH193" i="4"/>
  <c r="BH171" i="4"/>
  <c r="BH172" i="4" s="1"/>
  <c r="BL193" i="4"/>
  <c r="BL171" i="4"/>
  <c r="BP167" i="4"/>
  <c r="BT193" i="4"/>
  <c r="BT171" i="4"/>
  <c r="Z172" i="4"/>
  <c r="AH172" i="4"/>
  <c r="AP172" i="4"/>
  <c r="BV172" i="4"/>
  <c r="AO181" i="4"/>
  <c r="BF176" i="4"/>
  <c r="BK176" i="4"/>
  <c r="CH181" i="4"/>
  <c r="CC181" i="4"/>
  <c r="AP181" i="4"/>
  <c r="AX181" i="4"/>
  <c r="BL183" i="4"/>
  <c r="S188" i="4"/>
  <c r="AE188" i="4"/>
  <c r="AU188" i="4"/>
  <c r="AX242" i="4"/>
  <c r="AX244" i="4"/>
  <c r="BB242" i="4"/>
  <c r="BG251" i="4" s="1"/>
  <c r="BB244" i="4"/>
  <c r="DN223" i="4"/>
  <c r="BF244" i="4"/>
  <c r="DN244" i="4" s="1"/>
  <c r="BJ242" i="4"/>
  <c r="BJ251" i="4" s="1"/>
  <c r="BJ244" i="4"/>
  <c r="BN242" i="4"/>
  <c r="BN251" i="4" s="1"/>
  <c r="BN244" i="4"/>
  <c r="CN255" i="4"/>
  <c r="CN244" i="4"/>
  <c r="CN242" i="4"/>
  <c r="Y256" i="4"/>
  <c r="AC256" i="4"/>
  <c r="CF246" i="4"/>
  <c r="CF230" i="4"/>
  <c r="CF256" i="4"/>
  <c r="CK256" i="4"/>
  <c r="CK246" i="4"/>
  <c r="CK230" i="4"/>
  <c r="CK376" i="4" s="1"/>
  <c r="BZ257" i="4"/>
  <c r="DR257" i="4" s="1"/>
  <c r="DR234" i="4"/>
  <c r="CH257" i="4"/>
  <c r="CH237" i="4"/>
  <c r="CL257" i="4"/>
  <c r="CL237" i="4"/>
  <c r="CM248" i="4"/>
  <c r="BK244" i="4"/>
  <c r="DO244" i="4" s="1"/>
  <c r="BV248" i="4"/>
  <c r="CL248" i="4"/>
  <c r="T263" i="4"/>
  <c r="T266" i="4" s="1"/>
  <c r="T264" i="4"/>
  <c r="AF263" i="4"/>
  <c r="AF266" i="4" s="1"/>
  <c r="AF264" i="4"/>
  <c r="AJ263" i="4"/>
  <c r="AN263" i="4"/>
  <c r="AN266" i="4" s="1"/>
  <c r="AN264" i="4"/>
  <c r="AR263" i="4"/>
  <c r="AR266" i="4" s="1"/>
  <c r="AR264" i="4"/>
  <c r="AZ263" i="4"/>
  <c r="AZ266" i="4" s="1"/>
  <c r="AZ264" i="4"/>
  <c r="BE264" i="4"/>
  <c r="BL264" i="4"/>
  <c r="BQ264" i="4"/>
  <c r="CV264" i="4"/>
  <c r="BN265" i="4"/>
  <c r="CH265" i="4"/>
  <c r="DM336" i="4"/>
  <c r="BB458" i="4"/>
  <c r="DO70" i="4"/>
  <c r="Q526" i="4"/>
  <c r="Q159" i="4"/>
  <c r="U526" i="4"/>
  <c r="U530" i="4" s="1"/>
  <c r="U159" i="4"/>
  <c r="Z526" i="4"/>
  <c r="Z530" i="4" s="1"/>
  <c r="Z159" i="4"/>
  <c r="Z160" i="4"/>
  <c r="AW526" i="4"/>
  <c r="BA526" i="4"/>
  <c r="DM158" i="4"/>
  <c r="BE526" i="4"/>
  <c r="BE530" i="4" s="1"/>
  <c r="BE159" i="4"/>
  <c r="BI526" i="4"/>
  <c r="BI530" i="4" s="1"/>
  <c r="BI159" i="4"/>
  <c r="BN526" i="4"/>
  <c r="BN530" i="4" s="1"/>
  <c r="BN159" i="4"/>
  <c r="BN160" i="4"/>
  <c r="BW160" i="4"/>
  <c r="CA160" i="4"/>
  <c r="DK527" i="4"/>
  <c r="AU531" i="4"/>
  <c r="AU537" i="4" s="1"/>
  <c r="AU528" i="4"/>
  <c r="AY531" i="4"/>
  <c r="AY537" i="4" s="1"/>
  <c r="AY528" i="4"/>
  <c r="BD527" i="4"/>
  <c r="BD165" i="4"/>
  <c r="BW163" i="4"/>
  <c r="BE163" i="4"/>
  <c r="BE164" i="4" s="1"/>
  <c r="CC163" i="4"/>
  <c r="CC164" i="4" s="1"/>
  <c r="S165" i="4"/>
  <c r="AA165" i="4"/>
  <c r="AI165" i="4"/>
  <c r="AY165" i="4"/>
  <c r="BG165" i="4"/>
  <c r="BO165" i="4"/>
  <c r="BW165" i="4"/>
  <c r="AM193" i="4"/>
  <c r="AM171" i="4"/>
  <c r="AM172" i="4" s="1"/>
  <c r="AM183" i="4"/>
  <c r="AM188" i="4" s="1"/>
  <c r="AQ167" i="4"/>
  <c r="AZ193" i="4"/>
  <c r="AZ171" i="4"/>
  <c r="AZ172" i="4" s="1"/>
  <c r="BW193" i="4"/>
  <c r="BW171" i="4"/>
  <c r="BW172" i="4" s="1"/>
  <c r="BW183" i="4"/>
  <c r="CB193" i="4"/>
  <c r="CB171" i="4"/>
  <c r="CF193" i="4"/>
  <c r="CF169" i="4"/>
  <c r="CJ169" i="4" s="1"/>
  <c r="CJ167" i="4"/>
  <c r="AD172" i="4"/>
  <c r="BB172" i="4"/>
  <c r="BJ172" i="4"/>
  <c r="BR172" i="4"/>
  <c r="CX171" i="4"/>
  <c r="CX188" i="4" s="1"/>
  <c r="U181" i="4"/>
  <c r="Y181" i="4"/>
  <c r="AC181" i="4"/>
  <c r="AL176" i="4"/>
  <c r="BI181" i="4"/>
  <c r="BM181" i="4"/>
  <c r="BQ181" i="4"/>
  <c r="BZ176" i="4"/>
  <c r="AD181" i="4"/>
  <c r="AT181" i="4"/>
  <c r="BB181" i="4"/>
  <c r="CD181" i="4"/>
  <c r="CB181" i="4"/>
  <c r="BT183" i="4"/>
  <c r="BT188" i="4" s="1"/>
  <c r="AX188" i="4"/>
  <c r="AX189" i="4" s="1"/>
  <c r="BB188" i="4"/>
  <c r="BB189" i="4" s="1"/>
  <c r="BJ188" i="4"/>
  <c r="BJ189" i="4" s="1"/>
  <c r="BW188" i="4"/>
  <c r="BW189" i="4" s="1"/>
  <c r="CA188" i="4"/>
  <c r="CI185" i="4"/>
  <c r="BZ209" i="4"/>
  <c r="DQ209" i="4"/>
  <c r="CL226" i="4"/>
  <c r="CL244" i="4"/>
  <c r="BX246" i="4"/>
  <c r="BX256" i="4"/>
  <c r="BX242" i="4"/>
  <c r="CP242" i="4"/>
  <c r="S248" i="4"/>
  <c r="AA248" i="4"/>
  <c r="AE248" i="4"/>
  <c r="AI248" i="4"/>
  <c r="AM248" i="4"/>
  <c r="AQ248" i="4"/>
  <c r="DK248" i="4" s="1"/>
  <c r="AU248" i="4"/>
  <c r="AY248" i="4"/>
  <c r="BC248" i="4"/>
  <c r="BG248" i="4"/>
  <c r="BK248" i="4"/>
  <c r="DO248" i="4" s="1"/>
  <c r="BO248" i="4"/>
  <c r="CQ248" i="4"/>
  <c r="W244" i="4"/>
  <c r="DG244" i="4" s="1"/>
  <c r="BC244" i="4"/>
  <c r="BS244" i="4"/>
  <c r="CD248" i="4"/>
  <c r="AF257" i="4"/>
  <c r="BL257" i="4"/>
  <c r="X263" i="4"/>
  <c r="X266" i="4" s="1"/>
  <c r="X264" i="4"/>
  <c r="AC264" i="4"/>
  <c r="BH263" i="4"/>
  <c r="BH266" i="4" s="1"/>
  <c r="BH264" i="4"/>
  <c r="BT263" i="4"/>
  <c r="BT266" i="4" s="1"/>
  <c r="BT264" i="4"/>
  <c r="BX263" i="4"/>
  <c r="BX258" i="4" s="1"/>
  <c r="CB263" i="4"/>
  <c r="CB266" i="4" s="1"/>
  <c r="CB264" i="4"/>
  <c r="CF263" i="4"/>
  <c r="CF264" i="4"/>
  <c r="CN263" i="4"/>
  <c r="CN266" i="4" s="1"/>
  <c r="CN264" i="4"/>
  <c r="CS264" i="4"/>
  <c r="Z265" i="4"/>
  <c r="AD265" i="4"/>
  <c r="AH265" i="4"/>
  <c r="BV265" i="4"/>
  <c r="DN429" i="4"/>
  <c r="BF431" i="4"/>
  <c r="BH90" i="9" s="1"/>
  <c r="BO431" i="4"/>
  <c r="BJ417" i="4"/>
  <c r="CW116" i="4"/>
  <c r="V526" i="4"/>
  <c r="V530" i="4" s="1"/>
  <c r="V159" i="4"/>
  <c r="V160" i="4"/>
  <c r="W158" i="4"/>
  <c r="W165" i="4" s="1"/>
  <c r="DG165" i="4" s="1"/>
  <c r="AS526" i="4"/>
  <c r="AS530" i="4" s="1"/>
  <c r="AS159" i="4"/>
  <c r="AX526" i="4"/>
  <c r="AX530" i="4" s="1"/>
  <c r="AX159" i="4"/>
  <c r="AX160" i="4"/>
  <c r="BB526" i="4"/>
  <c r="BB530" i="4" s="1"/>
  <c r="BB159" i="4"/>
  <c r="BF159" i="4" s="1"/>
  <c r="DN159" i="4" s="1"/>
  <c r="BB160" i="4"/>
  <c r="BF160" i="4"/>
  <c r="DN160" i="4" s="1"/>
  <c r="BJ526" i="4"/>
  <c r="BJ530" i="4" s="1"/>
  <c r="BJ159" i="4"/>
  <c r="BJ160" i="4"/>
  <c r="BK158" i="4"/>
  <c r="BK165" i="4" s="1"/>
  <c r="DO165" i="4" s="1"/>
  <c r="CL159" i="4"/>
  <c r="CL160" i="4"/>
  <c r="AY159" i="4"/>
  <c r="BG159" i="4"/>
  <c r="CM159" i="4"/>
  <c r="AO160" i="4"/>
  <c r="CC160" i="4"/>
  <c r="P163" i="4"/>
  <c r="P164" i="4" s="1"/>
  <c r="AI531" i="4"/>
  <c r="AI528" i="4"/>
  <c r="AN527" i="4"/>
  <c r="AN165" i="4"/>
  <c r="AR527" i="4"/>
  <c r="AS531" i="4" s="1"/>
  <c r="AS537" i="4" s="1"/>
  <c r="AR165" i="4"/>
  <c r="DL162" i="4"/>
  <c r="AZ527" i="4"/>
  <c r="AZ165" i="4"/>
  <c r="BA162" i="4"/>
  <c r="DT162" i="4"/>
  <c r="CN165" i="4"/>
  <c r="CO162" i="4"/>
  <c r="T163" i="4"/>
  <c r="AJ163" i="4"/>
  <c r="AR163" i="4"/>
  <c r="AZ163" i="4"/>
  <c r="BH163" i="4"/>
  <c r="CF163" i="4"/>
  <c r="CN163" i="4"/>
  <c r="CN164" i="4" s="1"/>
  <c r="N165" i="4"/>
  <c r="V165" i="4"/>
  <c r="AT165" i="4"/>
  <c r="BB165" i="4"/>
  <c r="BJ165" i="4"/>
  <c r="CH165" i="4"/>
  <c r="R183" i="4"/>
  <c r="DF183" i="4" s="1"/>
  <c r="AI193" i="4"/>
  <c r="AI171" i="4"/>
  <c r="AI172" i="4" s="1"/>
  <c r="AI183" i="4"/>
  <c r="AI188" i="4" s="1"/>
  <c r="AN193" i="4"/>
  <c r="AN171" i="4"/>
  <c r="AR193" i="4"/>
  <c r="AR171" i="4"/>
  <c r="AR172" i="4" s="1"/>
  <c r="BG193" i="4"/>
  <c r="BG171" i="4"/>
  <c r="BG172" i="4" s="1"/>
  <c r="BG183" i="4"/>
  <c r="BG188" i="4" s="1"/>
  <c r="BG189" i="4" s="1"/>
  <c r="BK167" i="4"/>
  <c r="BO193" i="4"/>
  <c r="BO171" i="4"/>
  <c r="BO172" i="4" s="1"/>
  <c r="BO183" i="4"/>
  <c r="BO188" i="4" s="1"/>
  <c r="BO189" i="4" s="1"/>
  <c r="BS193" i="4"/>
  <c r="BS171" i="4"/>
  <c r="BS172" i="4" s="1"/>
  <c r="BS183" i="4"/>
  <c r="BS188" i="4" s="1"/>
  <c r="BX193" i="4"/>
  <c r="BX171" i="4"/>
  <c r="BX172" i="4" s="1"/>
  <c r="AW172" i="4"/>
  <c r="BE172" i="4"/>
  <c r="BM172" i="4"/>
  <c r="CH172" i="4"/>
  <c r="CC172" i="4"/>
  <c r="CY171" i="4"/>
  <c r="CY188" i="4" s="1"/>
  <c r="AV176" i="4"/>
  <c r="BE181" i="4"/>
  <c r="CJ178" i="4"/>
  <c r="CJ176" i="4"/>
  <c r="AM181" i="4"/>
  <c r="AU181" i="4"/>
  <c r="AR183" i="4"/>
  <c r="BH183" i="4"/>
  <c r="BH188" i="4" s="1"/>
  <c r="BM189" i="4" s="1"/>
  <c r="BX183" i="4"/>
  <c r="BX188" i="4" s="1"/>
  <c r="CC189" i="4" s="1"/>
  <c r="R188" i="4"/>
  <c r="V188" i="4"/>
  <c r="V189" i="4" s="1"/>
  <c r="Z188" i="4"/>
  <c r="AH188" i="4"/>
  <c r="AH189" i="4" s="1"/>
  <c r="AP188" i="4"/>
  <c r="AT188" i="4"/>
  <c r="AT189" i="4" s="1"/>
  <c r="AY188" i="4"/>
  <c r="BC188" i="4"/>
  <c r="BC189" i="4" s="1"/>
  <c r="CF185" i="4"/>
  <c r="CJ191" i="4"/>
  <c r="CO191" i="4"/>
  <c r="AQ212" i="4"/>
  <c r="DK212" i="4" s="1"/>
  <c r="DK211" i="4"/>
  <c r="BR242" i="4"/>
  <c r="BR244" i="4"/>
  <c r="BV242" i="4"/>
  <c r="CA251" i="4" s="1"/>
  <c r="BV244" i="4"/>
  <c r="DR223" i="4"/>
  <c r="BZ244" i="4"/>
  <c r="DR244" i="4" s="1"/>
  <c r="CD242" i="4"/>
  <c r="CD251" i="4" s="1"/>
  <c r="CD244" i="4"/>
  <c r="CH226" i="4"/>
  <c r="CH244" i="4"/>
  <c r="CR255" i="4"/>
  <c r="CR242" i="4"/>
  <c r="T246" i="4"/>
  <c r="T256" i="4"/>
  <c r="X246" i="4"/>
  <c r="X256" i="4"/>
  <c r="AB246" i="4"/>
  <c r="DH246" i="4" s="1"/>
  <c r="DH228" i="4"/>
  <c r="AB256" i="4"/>
  <c r="DH256" i="4" s="1"/>
  <c r="AF246" i="4"/>
  <c r="AF256" i="4"/>
  <c r="AJ246" i="4"/>
  <c r="AJ256" i="4"/>
  <c r="AJ242" i="4"/>
  <c r="AJ251" i="4" s="1"/>
  <c r="AN246" i="4"/>
  <c r="AN256" i="4"/>
  <c r="AN242" i="4"/>
  <c r="AN251" i="4" s="1"/>
  <c r="AR246" i="4"/>
  <c r="AR256" i="4"/>
  <c r="AR242" i="4"/>
  <c r="DL228" i="4"/>
  <c r="AZ246" i="4"/>
  <c r="AZ256" i="4"/>
  <c r="AZ242" i="4"/>
  <c r="AZ251" i="4" s="1"/>
  <c r="BD246" i="4"/>
  <c r="BD256" i="4"/>
  <c r="BD242" i="4"/>
  <c r="BD251" i="4" s="1"/>
  <c r="BH246" i="4"/>
  <c r="BH256" i="4"/>
  <c r="BH242" i="4"/>
  <c r="BL246" i="4"/>
  <c r="BL242" i="4"/>
  <c r="BP228" i="4"/>
  <c r="BT246" i="4"/>
  <c r="BT256" i="4"/>
  <c r="BT242" i="4"/>
  <c r="BT251" i="4" s="1"/>
  <c r="BY256" i="4"/>
  <c r="CH232" i="4"/>
  <c r="CR248" i="4"/>
  <c r="AD251" i="4"/>
  <c r="AA244" i="4"/>
  <c r="BG244" i="4"/>
  <c r="BW244" i="4"/>
  <c r="CM244" i="4"/>
  <c r="BR248" i="4"/>
  <c r="CH248" i="4"/>
  <c r="AX255" i="4"/>
  <c r="CD255" i="4"/>
  <c r="T257" i="4"/>
  <c r="AJ257" i="4"/>
  <c r="AZ257" i="4"/>
  <c r="N263" i="4"/>
  <c r="S266" i="4" s="1"/>
  <c r="Y264" i="4"/>
  <c r="AI266" i="4"/>
  <c r="AQ266" i="4"/>
  <c r="DK266" i="4" s="1"/>
  <c r="DK263" i="4"/>
  <c r="AU266" i="4"/>
  <c r="AY266" i="4"/>
  <c r="BD263" i="4"/>
  <c r="BD266" i="4" s="1"/>
  <c r="BD264" i="4"/>
  <c r="BI264" i="4"/>
  <c r="BR265" i="4"/>
  <c r="DJ263" i="4"/>
  <c r="DP336" i="4"/>
  <c r="CU248" i="4"/>
  <c r="CU257" i="4"/>
  <c r="U444" i="4"/>
  <c r="CI181" i="4"/>
  <c r="U193" i="4"/>
  <c r="Y193" i="4"/>
  <c r="AC193" i="4"/>
  <c r="AK193" i="4"/>
  <c r="AO193" i="4"/>
  <c r="AW193" i="4"/>
  <c r="BE193" i="4"/>
  <c r="BI193" i="4"/>
  <c r="BM193" i="4"/>
  <c r="BQ193" i="4"/>
  <c r="BY193" i="4"/>
  <c r="CC193" i="4"/>
  <c r="CG193" i="4"/>
  <c r="CK193" i="4"/>
  <c r="DG223" i="4"/>
  <c r="DK223" i="4"/>
  <c r="DI228" i="4"/>
  <c r="DM228" i="4"/>
  <c r="CG232" i="4"/>
  <c r="DG234" i="4"/>
  <c r="DK234" i="4"/>
  <c r="DO234" i="4"/>
  <c r="CI237" i="4"/>
  <c r="CN248" i="4" s="1"/>
  <c r="AB242" i="4"/>
  <c r="U246" i="4"/>
  <c r="Y246" i="4"/>
  <c r="AC246" i="4"/>
  <c r="AG246" i="4"/>
  <c r="DI246" i="4" s="1"/>
  <c r="AK246" i="4"/>
  <c r="AO246" i="4"/>
  <c r="AS246" i="4"/>
  <c r="AW246" i="4"/>
  <c r="BA246" i="4"/>
  <c r="DM246" i="4" s="1"/>
  <c r="BE246" i="4"/>
  <c r="BI246" i="4"/>
  <c r="BM246" i="4"/>
  <c r="BQ246" i="4"/>
  <c r="BY246" i="4"/>
  <c r="CC246" i="4"/>
  <c r="CG246" i="4"/>
  <c r="CS246" i="4"/>
  <c r="Y248" i="4"/>
  <c r="AC248" i="4"/>
  <c r="AG248" i="4"/>
  <c r="DI248" i="4" s="1"/>
  <c r="AK248" i="4"/>
  <c r="AO248" i="4"/>
  <c r="AS248" i="4"/>
  <c r="AW248" i="4"/>
  <c r="BA248" i="4"/>
  <c r="DM248" i="4" s="1"/>
  <c r="BE248" i="4"/>
  <c r="BI248" i="4"/>
  <c r="BM248" i="4"/>
  <c r="BQ248" i="4"/>
  <c r="BY248" i="4"/>
  <c r="CC248" i="4"/>
  <c r="CG248" i="4"/>
  <c r="CK248" i="4"/>
  <c r="CS248" i="4"/>
  <c r="CW248" i="4"/>
  <c r="U255" i="4"/>
  <c r="Y255" i="4"/>
  <c r="AC255" i="4"/>
  <c r="AG255" i="4"/>
  <c r="DI255" i="4" s="1"/>
  <c r="AK255" i="4"/>
  <c r="AO255" i="4"/>
  <c r="AS255" i="4"/>
  <c r="AW255" i="4"/>
  <c r="BA255" i="4"/>
  <c r="DM255" i="4" s="1"/>
  <c r="BE255" i="4"/>
  <c r="BI255" i="4"/>
  <c r="BM255" i="4"/>
  <c r="BQ255" i="4"/>
  <c r="BU255" i="4"/>
  <c r="DQ255" i="4" s="1"/>
  <c r="BY255" i="4"/>
  <c r="CC255" i="4"/>
  <c r="CG255" i="4"/>
  <c r="CK255" i="4"/>
  <c r="S257" i="4"/>
  <c r="AA257" i="4"/>
  <c r="AI257" i="4"/>
  <c r="AM257" i="4"/>
  <c r="AQ257" i="4"/>
  <c r="DK257" i="4" s="1"/>
  <c r="AU257" i="4"/>
  <c r="AY257" i="4"/>
  <c r="BC257" i="4"/>
  <c r="BG257" i="4"/>
  <c r="BO257" i="4"/>
  <c r="BW257" i="4"/>
  <c r="CE257" i="4"/>
  <c r="DS257" i="4" s="1"/>
  <c r="CI257" i="4"/>
  <c r="CM257" i="4"/>
  <c r="CQ257" i="4"/>
  <c r="AE261" i="4"/>
  <c r="BS261" i="4"/>
  <c r="BL262" i="4"/>
  <c r="BL265" i="4" s="1"/>
  <c r="U263" i="4"/>
  <c r="U266" i="4" s="1"/>
  <c r="Y263" i="4"/>
  <c r="AC263" i="4"/>
  <c r="AC266" i="4" s="1"/>
  <c r="AK263" i="4"/>
  <c r="AK266" i="4" s="1"/>
  <c r="AO263" i="4"/>
  <c r="AS263" i="4"/>
  <c r="AS266" i="4" s="1"/>
  <c r="AW263" i="4"/>
  <c r="AW266" i="4" s="1"/>
  <c r="BE263" i="4"/>
  <c r="BE266" i="4" s="1"/>
  <c r="BI263" i="4"/>
  <c r="BM263" i="4"/>
  <c r="BQ263" i="4"/>
  <c r="BY263" i="4"/>
  <c r="CC263" i="4"/>
  <c r="CC266" i="4" s="1"/>
  <c r="CK263" i="4"/>
  <c r="CK266" i="4" s="1"/>
  <c r="AD264" i="4"/>
  <c r="AH264" i="4"/>
  <c r="AL264" i="4"/>
  <c r="DJ264" i="4" s="1"/>
  <c r="AP264" i="4"/>
  <c r="AT264" i="4"/>
  <c r="AX264" i="4"/>
  <c r="BR264" i="4"/>
  <c r="BV264" i="4"/>
  <c r="BZ264" i="4"/>
  <c r="DR264" i="4" s="1"/>
  <c r="CD264" i="4"/>
  <c r="CH264" i="4"/>
  <c r="CL264" i="4"/>
  <c r="AA265" i="4"/>
  <c r="AE265" i="4"/>
  <c r="AI265" i="4"/>
  <c r="AM265" i="4"/>
  <c r="AQ265" i="4"/>
  <c r="DK265" i="4" s="1"/>
  <c r="AU265" i="4"/>
  <c r="AY265" i="4"/>
  <c r="BC265" i="4"/>
  <c r="BG265" i="4"/>
  <c r="BK265" i="4"/>
  <c r="DO265" i="4" s="1"/>
  <c r="BO265" i="4"/>
  <c r="BS265" i="4"/>
  <c r="BW265" i="4"/>
  <c r="CA265" i="4"/>
  <c r="CI265" i="4"/>
  <c r="CM265" i="4"/>
  <c r="DK261" i="4"/>
  <c r="DS261" i="4"/>
  <c r="DJ262" i="4"/>
  <c r="DN262" i="4"/>
  <c r="P283" i="4"/>
  <c r="R283" i="4" s="1"/>
  <c r="DF283" i="4" s="1"/>
  <c r="U283" i="4"/>
  <c r="Y283" i="4"/>
  <c r="AC283" i="4"/>
  <c r="AK283" i="4"/>
  <c r="AO283" i="4"/>
  <c r="AS283" i="4"/>
  <c r="AW283" i="4"/>
  <c r="BE283" i="4"/>
  <c r="BI283" i="4"/>
  <c r="BM283" i="4"/>
  <c r="BQ283" i="4"/>
  <c r="T284" i="4"/>
  <c r="AJ284" i="4"/>
  <c r="AR284" i="4"/>
  <c r="AZ284" i="4"/>
  <c r="BH284" i="4"/>
  <c r="DF282" i="4"/>
  <c r="V287" i="4"/>
  <c r="Z287" i="4"/>
  <c r="AD289" i="4"/>
  <c r="AD288" i="4"/>
  <c r="AI289" i="4"/>
  <c r="AI288" i="4"/>
  <c r="AM289" i="4"/>
  <c r="AM288" i="4"/>
  <c r="AQ288" i="4"/>
  <c r="DK288" i="4" s="1"/>
  <c r="AU289" i="4"/>
  <c r="AU288" i="4"/>
  <c r="AV286" i="4"/>
  <c r="AV527" i="4" s="1"/>
  <c r="BB287" i="4"/>
  <c r="DM286" i="4"/>
  <c r="BJ287" i="4"/>
  <c r="BN287" i="4"/>
  <c r="BW288" i="4"/>
  <c r="CE288" i="4"/>
  <c r="DS288" i="4" s="1"/>
  <c r="CI288" i="4"/>
  <c r="CJ286" i="4"/>
  <c r="CP287" i="4"/>
  <c r="DU286" i="4"/>
  <c r="CX287" i="4"/>
  <c r="AN287" i="4"/>
  <c r="CB287" i="4"/>
  <c r="P289" i="4"/>
  <c r="X289" i="4"/>
  <c r="AF289" i="4"/>
  <c r="AN289" i="4"/>
  <c r="BD289" i="4"/>
  <c r="BL289" i="4"/>
  <c r="AB293" i="4"/>
  <c r="DH293" i="4" s="1"/>
  <c r="BP293" i="4"/>
  <c r="DP293" i="4" s="1"/>
  <c r="AV294" i="4"/>
  <c r="DL294" i="4" s="1"/>
  <c r="CJ294" i="4"/>
  <c r="DT294" i="4" s="1"/>
  <c r="CZ294" i="4"/>
  <c r="DX294" i="4" s="1"/>
  <c r="DX291" i="4"/>
  <c r="CE325" i="4"/>
  <c r="AQ333" i="4"/>
  <c r="AQ334" i="4" s="1"/>
  <c r="DK334" i="4" s="1"/>
  <c r="BK333" i="4"/>
  <c r="BK334" i="4" s="1"/>
  <c r="DO334" i="4" s="1"/>
  <c r="DH330" i="4"/>
  <c r="DP330" i="4"/>
  <c r="AT334" i="4"/>
  <c r="AY334" i="4"/>
  <c r="CC334" i="4"/>
  <c r="CH334" i="4"/>
  <c r="CR334" i="4"/>
  <c r="AW337" i="4"/>
  <c r="BE337" i="4"/>
  <c r="BM337" i="4"/>
  <c r="BP346" i="4"/>
  <c r="CJ346" i="4"/>
  <c r="DL343" i="4"/>
  <c r="DT343" i="4"/>
  <c r="AT347" i="4"/>
  <c r="AY347" i="4"/>
  <c r="BU347" i="4"/>
  <c r="DQ347" i="4" s="1"/>
  <c r="CH347" i="4"/>
  <c r="DV343" i="4"/>
  <c r="CX346" i="4"/>
  <c r="CY346" i="4" s="1"/>
  <c r="AI356" i="4"/>
  <c r="AI355" i="4"/>
  <c r="AN356" i="4"/>
  <c r="BS356" i="4"/>
  <c r="BS355" i="4"/>
  <c r="R358" i="4"/>
  <c r="Q361" i="4"/>
  <c r="AI361" i="4"/>
  <c r="AN361" i="4"/>
  <c r="AN360" i="4"/>
  <c r="DO358" i="4"/>
  <c r="BK360" i="4"/>
  <c r="DO360" i="4" s="1"/>
  <c r="BL359" i="4"/>
  <c r="BP359" i="4" s="1"/>
  <c r="DP359" i="4" s="1"/>
  <c r="BO361" i="4"/>
  <c r="BP361" i="4" s="1"/>
  <c r="DP361" i="4" s="1"/>
  <c r="BS361" i="4"/>
  <c r="BT361" i="4" s="1"/>
  <c r="BU361" i="4" s="1"/>
  <c r="BX360" i="4"/>
  <c r="DE358" i="4"/>
  <c r="BN383" i="4"/>
  <c r="BX383" i="4"/>
  <c r="CC383" i="4"/>
  <c r="CH383" i="4"/>
  <c r="CG378" i="4"/>
  <c r="CL378" i="4"/>
  <c r="CL379" i="4" s="1"/>
  <c r="W378" i="4"/>
  <c r="AF384" i="4"/>
  <c r="BD384" i="4"/>
  <c r="CB384" i="4"/>
  <c r="Z407" i="4"/>
  <c r="AA407" i="4"/>
  <c r="AR407" i="4"/>
  <c r="AV407" i="4" s="1"/>
  <c r="DL407" i="4" s="1"/>
  <c r="X410" i="4"/>
  <c r="AB410" i="4" s="1"/>
  <c r="DH410" i="4" s="1"/>
  <c r="DG409" i="4"/>
  <c r="BT411" i="4"/>
  <c r="BP411" i="4"/>
  <c r="DP411" i="4" s="1"/>
  <c r="BO409" i="4"/>
  <c r="AV423" i="4"/>
  <c r="DL423" i="4" s="1"/>
  <c r="BK423" i="4"/>
  <c r="DO423" i="4" s="1"/>
  <c r="BD417" i="4"/>
  <c r="BM431" i="4"/>
  <c r="AI436" i="4"/>
  <c r="AI434" i="4"/>
  <c r="AL449" i="4"/>
  <c r="DJ449" i="4" s="1"/>
  <c r="AP437" i="4"/>
  <c r="AT434" i="4"/>
  <c r="BQ452" i="4"/>
  <c r="BK440" i="4"/>
  <c r="DO440" i="4" s="1"/>
  <c r="P457" i="4"/>
  <c r="P458" i="4" s="1"/>
  <c r="P437" i="4"/>
  <c r="U434" i="4" s="1"/>
  <c r="P463" i="4"/>
  <c r="U442" i="4"/>
  <c r="Z469" i="4"/>
  <c r="Z472" i="4" s="1"/>
  <c r="AS442" i="4"/>
  <c r="BD457" i="4"/>
  <c r="BD442" i="4"/>
  <c r="BD463" i="4"/>
  <c r="BD464" i="4" s="1"/>
  <c r="BI445" i="4"/>
  <c r="BI444" i="4" s="1"/>
  <c r="BH444" i="4"/>
  <c r="BH446" i="4"/>
  <c r="BI447" i="4"/>
  <c r="BE451" i="4"/>
  <c r="BE450" i="4" s="1"/>
  <c r="BD450" i="4"/>
  <c r="AD446" i="4"/>
  <c r="AD447" i="4" s="1"/>
  <c r="AD457" i="4"/>
  <c r="AT457" i="4"/>
  <c r="BP461" i="4"/>
  <c r="BU461" i="4"/>
  <c r="BU478" i="4"/>
  <c r="DQ478" i="4" s="1"/>
  <c r="BK478" i="4"/>
  <c r="AU483" i="4"/>
  <c r="BU480" i="4"/>
  <c r="DQ480" i="4" s="1"/>
  <c r="AT495" i="4"/>
  <c r="DI282" i="4"/>
  <c r="AG284" i="4"/>
  <c r="DI284" i="4" s="1"/>
  <c r="DM282" i="4"/>
  <c r="V283" i="4"/>
  <c r="Z283" i="4"/>
  <c r="AD283" i="4"/>
  <c r="AH283" i="4"/>
  <c r="AP283" i="4"/>
  <c r="AT283" i="4"/>
  <c r="AX283" i="4"/>
  <c r="BJ283" i="4"/>
  <c r="BN283" i="4"/>
  <c r="BR283" i="4"/>
  <c r="V289" i="4"/>
  <c r="V288" i="4"/>
  <c r="Z289" i="4"/>
  <c r="Z288" i="4"/>
  <c r="AE289" i="4"/>
  <c r="AE288" i="4"/>
  <c r="BB289" i="4"/>
  <c r="BB288" i="4"/>
  <c r="DN286" i="4"/>
  <c r="BF288" i="4"/>
  <c r="DN288" i="4" s="1"/>
  <c r="BJ289" i="4"/>
  <c r="BJ288" i="4"/>
  <c r="BN289" i="4"/>
  <c r="BN288" i="4"/>
  <c r="BS288" i="4"/>
  <c r="DV286" i="4"/>
  <c r="CT288" i="4"/>
  <c r="DV288" i="4" s="1"/>
  <c r="AA287" i="4"/>
  <c r="BG287" i="4"/>
  <c r="BO287" i="4"/>
  <c r="CU287" i="4"/>
  <c r="AJ288" i="4"/>
  <c r="BX288" i="4"/>
  <c r="Y289" i="4"/>
  <c r="AG289" i="4"/>
  <c r="DI289" i="4" s="1"/>
  <c r="AO289" i="4"/>
  <c r="AW289" i="4"/>
  <c r="BE289" i="4"/>
  <c r="BM289" i="4"/>
  <c r="BA293" i="4"/>
  <c r="DM293" i="4" s="1"/>
  <c r="CO293" i="4"/>
  <c r="DU293" i="4" s="1"/>
  <c r="AG294" i="4"/>
  <c r="DI294" i="4" s="1"/>
  <c r="BU294" i="4"/>
  <c r="DQ294" i="4" s="1"/>
  <c r="DA294" i="4"/>
  <c r="DY294" i="4" s="1"/>
  <c r="CJ325" i="4"/>
  <c r="AD334" i="4"/>
  <c r="CD334" i="4"/>
  <c r="CO333" i="4"/>
  <c r="BK335" i="4"/>
  <c r="DO335" i="4" s="1"/>
  <c r="BP333" i="4"/>
  <c r="BP334" i="4" s="1"/>
  <c r="DP334" i="4" s="1"/>
  <c r="O346" i="4"/>
  <c r="T347" i="4" s="1"/>
  <c r="AD347" i="4"/>
  <c r="AI347" i="4"/>
  <c r="AH347" i="4"/>
  <c r="AM347" i="4"/>
  <c r="AP347" i="4"/>
  <c r="AU347" i="4"/>
  <c r="BR347" i="4"/>
  <c r="BW347" i="4"/>
  <c r="BV347" i="4"/>
  <c r="CA347" i="4"/>
  <c r="CD347" i="4"/>
  <c r="CI347" i="4"/>
  <c r="AE356" i="4"/>
  <c r="AE355" i="4"/>
  <c r="AJ356" i="4"/>
  <c r="BG356" i="4"/>
  <c r="BG355" i="4"/>
  <c r="DO354" i="4"/>
  <c r="BO356" i="4"/>
  <c r="BP354" i="4"/>
  <c r="BQ355" i="4" s="1"/>
  <c r="BO355" i="4"/>
  <c r="DG358" i="4"/>
  <c r="W361" i="4"/>
  <c r="DG361" i="4" s="1"/>
  <c r="W360" i="4"/>
  <c r="DG360" i="4" s="1"/>
  <c r="X359" i="4"/>
  <c r="AE361" i="4"/>
  <c r="AJ361" i="4"/>
  <c r="AJ360" i="4"/>
  <c r="BG361" i="4"/>
  <c r="BL361" i="4"/>
  <c r="BL360" i="4"/>
  <c r="BP360" i="4"/>
  <c r="DP360" i="4" s="1"/>
  <c r="DP358" i="4"/>
  <c r="BT360" i="4"/>
  <c r="BU358" i="4"/>
  <c r="BT354" i="4"/>
  <c r="CA359" i="4"/>
  <c r="DR358" i="4"/>
  <c r="DS358" i="4"/>
  <c r="CE360" i="4"/>
  <c r="DS360" i="4" s="1"/>
  <c r="CF359" i="4"/>
  <c r="AK359" i="4"/>
  <c r="BQ359" i="4"/>
  <c r="BZ360" i="4"/>
  <c r="DR360" i="4" s="1"/>
  <c r="CO367" i="4"/>
  <c r="DP373" i="4"/>
  <c r="CE382" i="4"/>
  <c r="DS382" i="4" s="1"/>
  <c r="DS372" i="4"/>
  <c r="CH378" i="4"/>
  <c r="AQ384" i="4"/>
  <c r="DK384" i="4" s="1"/>
  <c r="AZ384" i="4"/>
  <c r="BX384" i="4"/>
  <c r="CT381" i="4"/>
  <c r="CS384" i="4"/>
  <c r="DM426" i="4"/>
  <c r="BA429" i="4"/>
  <c r="BE417" i="4"/>
  <c r="S436" i="4"/>
  <c r="S434" i="4"/>
  <c r="BP440" i="4"/>
  <c r="DP440" i="4" s="1"/>
  <c r="AJ457" i="4"/>
  <c r="AJ442" i="4"/>
  <c r="AJ437" i="4"/>
  <c r="AJ463" i="4"/>
  <c r="AO442" i="4"/>
  <c r="Y444" i="4"/>
  <c r="BG494" i="4"/>
  <c r="BK444" i="4"/>
  <c r="BG465" i="4"/>
  <c r="BN445" i="4"/>
  <c r="BN444" i="4" s="1"/>
  <c r="BM444" i="4"/>
  <c r="AZ449" i="4"/>
  <c r="AZ448" i="4" s="1"/>
  <c r="AY448" i="4"/>
  <c r="BF450" i="4"/>
  <c r="DN450" i="4" s="1"/>
  <c r="BS453" i="4"/>
  <c r="AH458" i="4"/>
  <c r="AX457" i="4"/>
  <c r="BO482" i="4"/>
  <c r="DH473" i="4"/>
  <c r="AQ478" i="4"/>
  <c r="U522" i="4"/>
  <c r="U511" i="4"/>
  <c r="AE530" i="4"/>
  <c r="AI530" i="4"/>
  <c r="BG530" i="4"/>
  <c r="BO530" i="4"/>
  <c r="O160" i="4"/>
  <c r="N528" i="4"/>
  <c r="U528" i="4"/>
  <c r="U531" i="4"/>
  <c r="Y531" i="4"/>
  <c r="AC528" i="4"/>
  <c r="AK531" i="4"/>
  <c r="AO528" i="4"/>
  <c r="AO531" i="4"/>
  <c r="AO537" i="4" s="1"/>
  <c r="AS528" i="4"/>
  <c r="AW528" i="4"/>
  <c r="BE528" i="4"/>
  <c r="BE531" i="4"/>
  <c r="BE537" i="4" s="1"/>
  <c r="BI531" i="4"/>
  <c r="BI537" i="4" s="1"/>
  <c r="BM528" i="4"/>
  <c r="BM531" i="4"/>
  <c r="BM537" i="4" s="1"/>
  <c r="BQ528" i="4"/>
  <c r="V163" i="4"/>
  <c r="V164" i="4" s="1"/>
  <c r="Z163" i="4"/>
  <c r="AD163" i="4"/>
  <c r="AP163" i="4"/>
  <c r="AP164" i="4" s="1"/>
  <c r="AT163" i="4"/>
  <c r="AT164" i="4" s="1"/>
  <c r="AX163" i="4"/>
  <c r="AX164" i="4" s="1"/>
  <c r="BJ163" i="4"/>
  <c r="BN163" i="4"/>
  <c r="BN164" i="4" s="1"/>
  <c r="BR163" i="4"/>
  <c r="BR164" i="4" s="1"/>
  <c r="CD163" i="4"/>
  <c r="CH163" i="4"/>
  <c r="CH164" i="4" s="1"/>
  <c r="CL163" i="4"/>
  <c r="CL164" i="4" s="1"/>
  <c r="AG167" i="4"/>
  <c r="BA167" i="4"/>
  <c r="BU167" i="4"/>
  <c r="AG176" i="4"/>
  <c r="BA176" i="4"/>
  <c r="BU176" i="4"/>
  <c r="CG183" i="4"/>
  <c r="CG185" i="4" s="1"/>
  <c r="CK183" i="4"/>
  <c r="CK185" i="4" s="1"/>
  <c r="DI223" i="4"/>
  <c r="DM223" i="4"/>
  <c r="DQ223" i="4"/>
  <c r="CG226" i="4"/>
  <c r="CK226" i="4"/>
  <c r="DG228" i="4"/>
  <c r="DO228" i="4"/>
  <c r="CI230" i="4"/>
  <c r="CI376" i="4" s="1"/>
  <c r="CI378" i="4" s="1"/>
  <c r="O234" i="4"/>
  <c r="O9" i="4" s="1"/>
  <c r="DI234" i="4"/>
  <c r="DM234" i="4"/>
  <c r="DQ234" i="4"/>
  <c r="CG237" i="4"/>
  <c r="CK237" i="4"/>
  <c r="CP248" i="4" s="1"/>
  <c r="X244" i="4"/>
  <c r="AF244" i="4"/>
  <c r="AJ244" i="4"/>
  <c r="AN244" i="4"/>
  <c r="AR244" i="4"/>
  <c r="AZ244" i="4"/>
  <c r="BD244" i="4"/>
  <c r="BH244" i="4"/>
  <c r="BL244" i="4"/>
  <c r="BT244" i="4"/>
  <c r="BX244" i="4"/>
  <c r="CB244" i="4"/>
  <c r="CF244" i="4"/>
  <c r="CJ247" i="4"/>
  <c r="DT247" i="4" s="1"/>
  <c r="AI255" i="4"/>
  <c r="AM255" i="4"/>
  <c r="AU255" i="4"/>
  <c r="AY255" i="4"/>
  <c r="BC255" i="4"/>
  <c r="BG255" i="4"/>
  <c r="BO255" i="4"/>
  <c r="BS255" i="4"/>
  <c r="BW255" i="4"/>
  <c r="CA255" i="4"/>
  <c r="CQ255" i="4"/>
  <c r="CN256" i="4"/>
  <c r="M263" i="4"/>
  <c r="DE263" i="4" s="1"/>
  <c r="BZ262" i="4"/>
  <c r="DI261" i="4"/>
  <c r="DM261" i="4"/>
  <c r="DQ261" i="4"/>
  <c r="DU261" i="4"/>
  <c r="DY261" i="4"/>
  <c r="Z284" i="4"/>
  <c r="AD284" i="4"/>
  <c r="AH284" i="4"/>
  <c r="AL282" i="4"/>
  <c r="AP284" i="4"/>
  <c r="AT284" i="4"/>
  <c r="AX284" i="4"/>
  <c r="BB284" i="4"/>
  <c r="BF282" i="4"/>
  <c r="BJ284" i="4"/>
  <c r="BN284" i="4"/>
  <c r="BR284" i="4"/>
  <c r="AA283" i="4"/>
  <c r="AE283" i="4"/>
  <c r="AI283" i="4"/>
  <c r="AU283" i="4"/>
  <c r="AY283" i="4"/>
  <c r="BC283" i="4"/>
  <c r="BG283" i="4"/>
  <c r="BO283" i="4"/>
  <c r="BS283" i="4"/>
  <c r="X284" i="4"/>
  <c r="AF284" i="4"/>
  <c r="AN284" i="4"/>
  <c r="BD284" i="4"/>
  <c r="BL284" i="4"/>
  <c r="N289" i="4"/>
  <c r="S289" i="4"/>
  <c r="S288" i="4"/>
  <c r="W286" i="4"/>
  <c r="AA289" i="4"/>
  <c r="AA288" i="4"/>
  <c r="AB286" i="4"/>
  <c r="AH287" i="4"/>
  <c r="DI286" i="4"/>
  <c r="AX289" i="4"/>
  <c r="AX288" i="4"/>
  <c r="BC289" i="4"/>
  <c r="BC288" i="4"/>
  <c r="BG289" i="4"/>
  <c r="BG288" i="4"/>
  <c r="BK286" i="4"/>
  <c r="BK527" i="4" s="1"/>
  <c r="BO289" i="4"/>
  <c r="BO288" i="4"/>
  <c r="BP286" i="4"/>
  <c r="BV287" i="4"/>
  <c r="DQ286" i="4"/>
  <c r="CQ288" i="4"/>
  <c r="CU288" i="4"/>
  <c r="CY286" i="4"/>
  <c r="T287" i="4"/>
  <c r="AJ287" i="4"/>
  <c r="AR287" i="4"/>
  <c r="BH287" i="4"/>
  <c r="BX287" i="4"/>
  <c r="CF287" i="4"/>
  <c r="CV287" i="4"/>
  <c r="U288" i="4"/>
  <c r="BA288" i="4"/>
  <c r="DM288" i="4" s="1"/>
  <c r="CO288" i="4"/>
  <c r="DU288" i="4" s="1"/>
  <c r="T289" i="4"/>
  <c r="AJ289" i="4"/>
  <c r="AR289" i="4"/>
  <c r="AZ289" i="4"/>
  <c r="BH289" i="4"/>
  <c r="AV293" i="4"/>
  <c r="DL293" i="4" s="1"/>
  <c r="CJ293" i="4"/>
  <c r="DT293" i="4" s="1"/>
  <c r="AB294" i="4"/>
  <c r="DH294" i="4" s="1"/>
  <c r="BP294" i="4"/>
  <c r="DP294" i="4" s="1"/>
  <c r="CY325" i="4"/>
  <c r="DL330" i="4"/>
  <c r="DT330" i="4"/>
  <c r="Z334" i="4"/>
  <c r="BA334" i="4"/>
  <c r="DM334" i="4" s="1"/>
  <c r="BN334" i="4"/>
  <c r="AE334" i="4"/>
  <c r="AM334" i="4"/>
  <c r="AU334" i="4"/>
  <c r="BR334" i="4"/>
  <c r="BV334" i="4"/>
  <c r="CJ333" i="4"/>
  <c r="CJ334" i="4" s="1"/>
  <c r="DT334" i="4" s="1"/>
  <c r="DM335" i="4"/>
  <c r="AS337" i="4"/>
  <c r="BI337" i="4"/>
  <c r="AY337" i="4"/>
  <c r="BO337" i="4"/>
  <c r="P343" i="4"/>
  <c r="FH375" i="9" s="1"/>
  <c r="DH343" i="4"/>
  <c r="DP343" i="4"/>
  <c r="Z347" i="4"/>
  <c r="AE347" i="4"/>
  <c r="BA347" i="4"/>
  <c r="DM347" i="4" s="1"/>
  <c r="BN347" i="4"/>
  <c r="BS347" i="4"/>
  <c r="CP347" i="4"/>
  <c r="CO346" i="4"/>
  <c r="CK347" i="4"/>
  <c r="S356" i="4"/>
  <c r="S355" i="4"/>
  <c r="W356" i="4"/>
  <c r="DG356" i="4" s="1"/>
  <c r="DG354" i="4"/>
  <c r="AA356" i="4"/>
  <c r="AB354" i="4"/>
  <c r="AA355" i="4"/>
  <c r="AY356" i="4"/>
  <c r="AY355" i="4"/>
  <c r="BC356" i="4"/>
  <c r="BC355" i="4"/>
  <c r="BH356" i="4"/>
  <c r="BL356" i="4"/>
  <c r="X355" i="4"/>
  <c r="AB355" i="4" s="1"/>
  <c r="DH355" i="4" s="1"/>
  <c r="BD355" i="4"/>
  <c r="O361" i="4"/>
  <c r="S361" i="4"/>
  <c r="X361" i="4"/>
  <c r="X360" i="4"/>
  <c r="AB361" i="4"/>
  <c r="DH361" i="4" s="1"/>
  <c r="AB360" i="4"/>
  <c r="DH360" i="4" s="1"/>
  <c r="DH358" i="4"/>
  <c r="AF361" i="4"/>
  <c r="AG361" i="4" s="1"/>
  <c r="DI361" i="4" s="1"/>
  <c r="AF360" i="4"/>
  <c r="AG358" i="4"/>
  <c r="AM359" i="4"/>
  <c r="DJ358" i="4"/>
  <c r="DK358" i="4"/>
  <c r="AQ360" i="4"/>
  <c r="DK360" i="4" s="1"/>
  <c r="AR359" i="4"/>
  <c r="AY361" i="4"/>
  <c r="BD361" i="4"/>
  <c r="BD360" i="4"/>
  <c r="BH361" i="4"/>
  <c r="BH360" i="4"/>
  <c r="CF360" i="4"/>
  <c r="CN360" i="4"/>
  <c r="CO358" i="4"/>
  <c r="Y359" i="4"/>
  <c r="AO359" i="4"/>
  <c r="BE359" i="4"/>
  <c r="BV382" i="4"/>
  <c r="BU372" i="4"/>
  <c r="BQ382" i="4"/>
  <c r="BQ373" i="4"/>
  <c r="DR373" i="4"/>
  <c r="BK373" i="4"/>
  <c r="DO373" i="4" s="1"/>
  <c r="DO372" i="4"/>
  <c r="U384" i="4"/>
  <c r="AN384" i="4"/>
  <c r="AR384" i="4"/>
  <c r="BT384" i="4"/>
  <c r="CT378" i="4"/>
  <c r="BP382" i="4"/>
  <c r="DP382" i="4" s="1"/>
  <c r="V407" i="4"/>
  <c r="W406" i="4"/>
  <c r="AG407" i="4"/>
  <c r="DI407" i="4" s="1"/>
  <c r="BF407" i="4"/>
  <c r="DN407" i="4" s="1"/>
  <c r="V411" i="4"/>
  <c r="AR417" i="4"/>
  <c r="AW417" i="4"/>
  <c r="BR437" i="4"/>
  <c r="BR452" i="4" s="1"/>
  <c r="BS434" i="4"/>
  <c r="BS440" i="4" s="1"/>
  <c r="BP437" i="4"/>
  <c r="AE436" i="4"/>
  <c r="AE434" i="4"/>
  <c r="BL450" i="4"/>
  <c r="BL452" i="4" s="1"/>
  <c r="BR440" i="4"/>
  <c r="AO440" i="4"/>
  <c r="AQ440" i="4" s="1"/>
  <c r="DK440" i="4" s="1"/>
  <c r="X457" i="4"/>
  <c r="X442" i="4"/>
  <c r="X437" i="4"/>
  <c r="X463" i="4"/>
  <c r="AF457" i="4"/>
  <c r="AF442" i="4"/>
  <c r="AF437" i="4"/>
  <c r="AG437" i="4" s="1"/>
  <c r="AF463" i="4"/>
  <c r="AK442" i="4"/>
  <c r="BH457" i="4"/>
  <c r="BH469" i="4"/>
  <c r="BH472" i="4" s="1"/>
  <c r="BH463" i="4"/>
  <c r="AZ494" i="4"/>
  <c r="AZ465" i="4"/>
  <c r="DL446" i="4"/>
  <c r="AV447" i="4"/>
  <c r="DL447" i="4" s="1"/>
  <c r="AW453" i="4"/>
  <c r="BA444" i="4"/>
  <c r="BS446" i="4"/>
  <c r="BD449" i="4"/>
  <c r="BC448" i="4"/>
  <c r="BI450" i="4"/>
  <c r="AY450" i="4"/>
  <c r="BA450" i="4" s="1"/>
  <c r="AZ451" i="4"/>
  <c r="AZ450" i="4" s="1"/>
  <c r="V446" i="4"/>
  <c r="V447" i="4" s="1"/>
  <c r="V457" i="4"/>
  <c r="W461" i="4"/>
  <c r="DG461" i="4" s="1"/>
  <c r="AJ469" i="4"/>
  <c r="AJ472" i="4" s="1"/>
  <c r="BD469" i="4"/>
  <c r="BD472" i="4" s="1"/>
  <c r="AV478" i="4"/>
  <c r="AS483" i="4"/>
  <c r="AN483" i="4"/>
  <c r="AZ511" i="4"/>
  <c r="AZ507" i="4"/>
  <c r="AZ522" i="4"/>
  <c r="T530" i="4"/>
  <c r="AB158" i="4"/>
  <c r="AF530" i="4"/>
  <c r="AJ530" i="4"/>
  <c r="AV158" i="4"/>
  <c r="AZ530" i="4"/>
  <c r="BD530" i="4"/>
  <c r="BH530" i="4"/>
  <c r="BP158" i="4"/>
  <c r="CJ158" i="4"/>
  <c r="CK159" i="4" s="1"/>
  <c r="CO159" i="4" s="1"/>
  <c r="DU159" i="4" s="1"/>
  <c r="AA160" i="4"/>
  <c r="AE160" i="4"/>
  <c r="AI160" i="4"/>
  <c r="AM160" i="4"/>
  <c r="AU160" i="4"/>
  <c r="AY160" i="4"/>
  <c r="BC160" i="4"/>
  <c r="BG160" i="4"/>
  <c r="BO160" i="4"/>
  <c r="BS160" i="4"/>
  <c r="P160" i="4"/>
  <c r="O528" i="4"/>
  <c r="V527" i="4"/>
  <c r="Z527" i="4"/>
  <c r="AD531" i="4"/>
  <c r="AH528" i="4"/>
  <c r="AL162" i="4"/>
  <c r="AP531" i="4"/>
  <c r="AP537" i="4" s="1"/>
  <c r="AP528" i="4"/>
  <c r="AT531" i="4"/>
  <c r="AT537" i="4" s="1"/>
  <c r="AX531" i="4"/>
  <c r="AX537" i="4" s="1"/>
  <c r="AX528" i="4"/>
  <c r="BB527" i="4"/>
  <c r="BF162" i="4"/>
  <c r="BJ527" i="4"/>
  <c r="BN527" i="4"/>
  <c r="BZ162" i="4"/>
  <c r="DQ268" i="9" s="1"/>
  <c r="AA163" i="4"/>
  <c r="AA164" i="4" s="1"/>
  <c r="AE163" i="4"/>
  <c r="AE164" i="4" s="1"/>
  <c r="AI163" i="4"/>
  <c r="AU163" i="4"/>
  <c r="AU164" i="4" s="1"/>
  <c r="AY163" i="4"/>
  <c r="AY164" i="4" s="1"/>
  <c r="BC163" i="4"/>
  <c r="BO163" i="4"/>
  <c r="BS163" i="4"/>
  <c r="BS164" i="4" s="1"/>
  <c r="U165" i="4"/>
  <c r="Y165" i="4"/>
  <c r="AC165" i="4"/>
  <c r="AK165" i="4"/>
  <c r="AO165" i="4"/>
  <c r="AS165" i="4"/>
  <c r="AW165" i="4"/>
  <c r="BE165" i="4"/>
  <c r="BI165" i="4"/>
  <c r="BM165" i="4"/>
  <c r="BQ165" i="4"/>
  <c r="AL167" i="4"/>
  <c r="BF167" i="4"/>
  <c r="BZ167" i="4"/>
  <c r="DK200" i="4"/>
  <c r="DN211" i="4"/>
  <c r="BK211" i="4"/>
  <c r="AB223" i="4"/>
  <c r="AV223" i="4"/>
  <c r="BA244" i="4" s="1"/>
  <c r="DM244" i="4" s="1"/>
  <c r="BP223" i="4"/>
  <c r="CJ223" i="4"/>
  <c r="BP234" i="4"/>
  <c r="K22" i="55" s="1"/>
  <c r="CT237" i="4"/>
  <c r="O242" i="4"/>
  <c r="T251" i="4" s="1"/>
  <c r="V261" i="4"/>
  <c r="Z261" i="4"/>
  <c r="Z257" i="4" s="1"/>
  <c r="BB261" i="4"/>
  <c r="BF261" i="4"/>
  <c r="BJ261" i="4"/>
  <c r="BN261" i="4"/>
  <c r="BN257" i="4" s="1"/>
  <c r="CP261" i="4"/>
  <c r="CT261" i="4"/>
  <c r="CX261" i="4"/>
  <c r="W262" i="4"/>
  <c r="CE262" i="4"/>
  <c r="W282" i="4"/>
  <c r="X283" i="4" s="1"/>
  <c r="AQ282" i="4"/>
  <c r="BK282" i="4"/>
  <c r="BP284" i="4" s="1"/>
  <c r="DP284" i="4" s="1"/>
  <c r="O289" i="4"/>
  <c r="P287" i="4"/>
  <c r="AD287" i="4"/>
  <c r="AH289" i="4"/>
  <c r="AH288" i="4"/>
  <c r="DJ286" i="4"/>
  <c r="AL289" i="4"/>
  <c r="DJ289" i="4" s="1"/>
  <c r="AL288" i="4"/>
  <c r="DJ288" i="4" s="1"/>
  <c r="AP289" i="4"/>
  <c r="AP288" i="4"/>
  <c r="AT289" i="4"/>
  <c r="AT288" i="4"/>
  <c r="AY289" i="4"/>
  <c r="AY288" i="4"/>
  <c r="BR287" i="4"/>
  <c r="DR286" i="4"/>
  <c r="BZ288" i="4"/>
  <c r="DR288" i="4" s="1"/>
  <c r="CM288" i="4"/>
  <c r="AE287" i="4"/>
  <c r="AM287" i="4"/>
  <c r="AU287" i="4"/>
  <c r="BC287" i="4"/>
  <c r="BS287" i="4"/>
  <c r="CA287" i="4"/>
  <c r="CI287" i="4"/>
  <c r="CQ287" i="4"/>
  <c r="X288" i="4"/>
  <c r="AF288" i="4"/>
  <c r="AN288" i="4"/>
  <c r="BD288" i="4"/>
  <c r="BL288" i="4"/>
  <c r="BT288" i="4"/>
  <c r="CB288" i="4"/>
  <c r="CR288" i="4"/>
  <c r="CZ288" i="4"/>
  <c r="DX288" i="4" s="1"/>
  <c r="DK286" i="4"/>
  <c r="DS286" i="4"/>
  <c r="U289" i="4"/>
  <c r="AC289" i="4"/>
  <c r="AK289" i="4"/>
  <c r="AS289" i="4"/>
  <c r="BA289" i="4"/>
  <c r="DM289" i="4" s="1"/>
  <c r="BI289" i="4"/>
  <c r="AG293" i="4"/>
  <c r="DI293" i="4" s="1"/>
  <c r="BU293" i="4"/>
  <c r="DQ293" i="4" s="1"/>
  <c r="DA293" i="4"/>
  <c r="DY293" i="4" s="1"/>
  <c r="BA294" i="4"/>
  <c r="DM294" i="4" s="1"/>
  <c r="CO294" i="4"/>
  <c r="DU294" i="4" s="1"/>
  <c r="DX325" i="4"/>
  <c r="DG330" i="4"/>
  <c r="DO330" i="4"/>
  <c r="V334" i="4"/>
  <c r="AX334" i="4"/>
  <c r="BB334" i="4"/>
  <c r="BF334" i="4"/>
  <c r="DN334" i="4" s="1"/>
  <c r="BJ334" i="4"/>
  <c r="CG334" i="4"/>
  <c r="CP334" i="4"/>
  <c r="CK334" i="4"/>
  <c r="BS334" i="4"/>
  <c r="AQ335" i="4"/>
  <c r="DK335" i="4" s="1"/>
  <c r="AV336" i="4"/>
  <c r="BA337" i="4" s="1"/>
  <c r="DM337" i="4" s="1"/>
  <c r="BL336" i="4"/>
  <c r="BL337" i="4" s="1"/>
  <c r="AQ347" i="4"/>
  <c r="DK347" i="4" s="1"/>
  <c r="BK346" i="4"/>
  <c r="BK347" i="4" s="1"/>
  <c r="DO347" i="4" s="1"/>
  <c r="CE346" i="4"/>
  <c r="CE347" i="4" s="1"/>
  <c r="DS347" i="4" s="1"/>
  <c r="DK343" i="4"/>
  <c r="DS343" i="4"/>
  <c r="CM347" i="4"/>
  <c r="AA347" i="4"/>
  <c r="AX347" i="4"/>
  <c r="BC347" i="4"/>
  <c r="BB347" i="4"/>
  <c r="BG347" i="4"/>
  <c r="BF347" i="4"/>
  <c r="DN347" i="4" s="1"/>
  <c r="BJ347" i="4"/>
  <c r="BO347" i="4"/>
  <c r="CL347" i="4"/>
  <c r="CQ347" i="4"/>
  <c r="CR347" i="4"/>
  <c r="T356" i="4"/>
  <c r="X356" i="4"/>
  <c r="AC355" i="4"/>
  <c r="AH355" i="4"/>
  <c r="AL355" i="4" s="1"/>
  <c r="DJ355" i="4" s="1"/>
  <c r="AM356" i="4"/>
  <c r="DK354" i="4"/>
  <c r="AU356" i="4"/>
  <c r="AV354" i="4"/>
  <c r="AU355" i="4"/>
  <c r="AZ356" i="4"/>
  <c r="BD356" i="4"/>
  <c r="AR355" i="4"/>
  <c r="BH355" i="4"/>
  <c r="T361" i="4"/>
  <c r="T360" i="4"/>
  <c r="AM361" i="4"/>
  <c r="AR361" i="4"/>
  <c r="AR360" i="4"/>
  <c r="AV360" i="4"/>
  <c r="DL360" i="4" s="1"/>
  <c r="DL358" i="4"/>
  <c r="AZ361" i="4"/>
  <c r="BA361" i="4" s="1"/>
  <c r="DM361" i="4" s="1"/>
  <c r="AZ360" i="4"/>
  <c r="BA358" i="4"/>
  <c r="CB360" i="4"/>
  <c r="AC359" i="4"/>
  <c r="AS359" i="4"/>
  <c r="BI359" i="4"/>
  <c r="BY359" i="4"/>
  <c r="V360" i="4"/>
  <c r="AL360" i="4"/>
  <c r="DJ360" i="4" s="1"/>
  <c r="CI373" i="4"/>
  <c r="CI383" i="4" s="1"/>
  <c r="CJ372" i="4"/>
  <c r="AB384" i="4"/>
  <c r="DH384" i="4" s="1"/>
  <c r="AV384" i="4"/>
  <c r="DL384" i="4" s="1"/>
  <c r="CK378" i="4"/>
  <c r="AJ384" i="4"/>
  <c r="BH384" i="4"/>
  <c r="BL384" i="4"/>
  <c r="DF406" i="4"/>
  <c r="S407" i="4"/>
  <c r="AQ407" i="4"/>
  <c r="DK407" i="4" s="1"/>
  <c r="BP406" i="4"/>
  <c r="BO407" i="4"/>
  <c r="BP407" i="4" s="1"/>
  <c r="DP407" i="4" s="1"/>
  <c r="R407" i="4"/>
  <c r="DF407" i="4" s="1"/>
  <c r="AF410" i="4"/>
  <c r="AE411" i="4"/>
  <c r="AE410" i="4"/>
  <c r="V410" i="4"/>
  <c r="R411" i="4"/>
  <c r="DF411" i="4" s="1"/>
  <c r="AO429" i="4"/>
  <c r="AO431" i="4" s="1"/>
  <c r="AT417" i="4" s="1"/>
  <c r="BK429" i="4"/>
  <c r="AS431" i="4"/>
  <c r="AS417" i="4" s="1"/>
  <c r="BP431" i="4"/>
  <c r="BL417" i="4"/>
  <c r="BQ431" i="4"/>
  <c r="AC444" i="4"/>
  <c r="R437" i="4"/>
  <c r="DF437" i="4" s="1"/>
  <c r="AA436" i="4"/>
  <c r="AA434" i="4"/>
  <c r="W438" i="4"/>
  <c r="DG438" i="4" s="1"/>
  <c r="AN434" i="4"/>
  <c r="AV438" i="4"/>
  <c r="AI53" i="9" s="1"/>
  <c r="AS440" i="4"/>
  <c r="BG448" i="4"/>
  <c r="BG452" i="4" s="1"/>
  <c r="BG441" i="4"/>
  <c r="BK438" i="4"/>
  <c r="AT53" i="9" s="1"/>
  <c r="AV465" i="4"/>
  <c r="DL465" i="4" s="1"/>
  <c r="DM437" i="4"/>
  <c r="BF434" i="4"/>
  <c r="DN434" i="4" s="1"/>
  <c r="BB469" i="4"/>
  <c r="BB472" i="4" s="1"/>
  <c r="BB463" i="4"/>
  <c r="BB464" i="4" s="1"/>
  <c r="BB442" i="4"/>
  <c r="T457" i="4"/>
  <c r="T442" i="4"/>
  <c r="T437" i="4"/>
  <c r="T463" i="4"/>
  <c r="Y442" i="4"/>
  <c r="AC442" i="4"/>
  <c r="AR469" i="4"/>
  <c r="AR472" i="4" s="1"/>
  <c r="AR457" i="4"/>
  <c r="AR440" i="4"/>
  <c r="AR442" i="4"/>
  <c r="AR463" i="4"/>
  <c r="AZ457" i="4"/>
  <c r="AZ469" i="4"/>
  <c r="AZ472" i="4" s="1"/>
  <c r="AZ442" i="4"/>
  <c r="AZ463" i="4"/>
  <c r="AZ464" i="4" s="1"/>
  <c r="BL441" i="4"/>
  <c r="O444" i="4"/>
  <c r="BL494" i="4"/>
  <c r="BL465" i="4"/>
  <c r="DL444" i="4"/>
  <c r="DN446" i="4"/>
  <c r="BT447" i="4"/>
  <c r="AX448" i="4"/>
  <c r="AX466" i="4" s="1"/>
  <c r="BH448" i="4"/>
  <c r="BH466" i="4" s="1"/>
  <c r="BI449" i="4"/>
  <c r="Z457" i="4"/>
  <c r="AP457" i="4"/>
  <c r="AQ461" i="4"/>
  <c r="DK461" i="4" s="1"/>
  <c r="AV461" i="4"/>
  <c r="BA461" i="4"/>
  <c r="X469" i="4"/>
  <c r="X472" i="4" s="1"/>
  <c r="AP472" i="4"/>
  <c r="BA478" i="4"/>
  <c r="BF478" i="4"/>
  <c r="AT483" i="4"/>
  <c r="AO483" i="4"/>
  <c r="AL354" i="4"/>
  <c r="AQ356" i="4" s="1"/>
  <c r="DK356" i="4" s="1"/>
  <c r="BF354" i="4"/>
  <c r="BK356" i="4" s="1"/>
  <c r="DO356" i="4" s="1"/>
  <c r="AF356" i="4"/>
  <c r="T359" i="4"/>
  <c r="AF359" i="4"/>
  <c r="AJ359" i="4"/>
  <c r="AN359" i="4"/>
  <c r="AZ359" i="4"/>
  <c r="BD359" i="4"/>
  <c r="BH359" i="4"/>
  <c r="BK359" i="4" s="1"/>
  <c r="DO359" i="4" s="1"/>
  <c r="BT359" i="4"/>
  <c r="BX359" i="4"/>
  <c r="CB359" i="4"/>
  <c r="CN359" i="4"/>
  <c r="U360" i="4"/>
  <c r="Y360" i="4"/>
  <c r="AC360" i="4"/>
  <c r="AK360" i="4"/>
  <c r="AO360" i="4"/>
  <c r="AS360" i="4"/>
  <c r="AW360" i="4"/>
  <c r="BE360" i="4"/>
  <c r="BI360" i="4"/>
  <c r="BM360" i="4"/>
  <c r="BQ360" i="4"/>
  <c r="BY360" i="4"/>
  <c r="CC360" i="4"/>
  <c r="CG360" i="4"/>
  <c r="CK360" i="4"/>
  <c r="U361" i="4"/>
  <c r="Y361" i="4"/>
  <c r="AC361" i="4"/>
  <c r="AK361" i="4"/>
  <c r="AL361" i="4" s="1"/>
  <c r="DJ361" i="4" s="1"/>
  <c r="AO361" i="4"/>
  <c r="AS361" i="4"/>
  <c r="AW361" i="4"/>
  <c r="BI361" i="4"/>
  <c r="BM361" i="4"/>
  <c r="BQ361" i="4"/>
  <c r="CJ367" i="4"/>
  <c r="BT373" i="4"/>
  <c r="BT383" i="4" s="1"/>
  <c r="R374" i="4"/>
  <c r="BZ374" i="4"/>
  <c r="BF378" i="4"/>
  <c r="BF384" i="4" s="1"/>
  <c r="DN384" i="4" s="1"/>
  <c r="BS382" i="4"/>
  <c r="BW382" i="4"/>
  <c r="BG407" i="4"/>
  <c r="BK407" i="4" s="1"/>
  <c r="DO407" i="4" s="1"/>
  <c r="DK409" i="4"/>
  <c r="DO409" i="4"/>
  <c r="U410" i="4"/>
  <c r="AC410" i="4"/>
  <c r="AG410" i="4" s="1"/>
  <c r="DI410" i="4" s="1"/>
  <c r="AW410" i="4"/>
  <c r="BA410" i="4" s="1"/>
  <c r="DM410" i="4" s="1"/>
  <c r="BE410" i="4"/>
  <c r="BF410" i="4" s="1"/>
  <c r="DN410" i="4" s="1"/>
  <c r="BE411" i="4"/>
  <c r="BF411" i="4" s="1"/>
  <c r="DN411" i="4" s="1"/>
  <c r="BF438" i="4"/>
  <c r="BC441" i="4"/>
  <c r="BK441" i="4"/>
  <c r="V442" i="4"/>
  <c r="Z442" i="4"/>
  <c r="AD442" i="4"/>
  <c r="AH442" i="4"/>
  <c r="AP442" i="4"/>
  <c r="AT442" i="4"/>
  <c r="AX442" i="4"/>
  <c r="N444" i="4"/>
  <c r="AH444" i="4"/>
  <c r="BM448" i="4"/>
  <c r="U457" i="4"/>
  <c r="Y457" i="4"/>
  <c r="AC457" i="4"/>
  <c r="AH459" i="4" s="1"/>
  <c r="AK457" i="4"/>
  <c r="AO457" i="4"/>
  <c r="AS457" i="4"/>
  <c r="AW457" i="4"/>
  <c r="BB459" i="4" s="1"/>
  <c r="BE457" i="4"/>
  <c r="AW465" i="4"/>
  <c r="AA469" i="4"/>
  <c r="AA472" i="4" s="1"/>
  <c r="AE469" i="4"/>
  <c r="AE472" i="4" s="1"/>
  <c r="AI469" i="4"/>
  <c r="AI472" i="4" s="1"/>
  <c r="AL472" i="4" s="1"/>
  <c r="DJ472" i="4" s="1"/>
  <c r="AM469" i="4"/>
  <c r="AM472" i="4" s="1"/>
  <c r="AS469" i="4"/>
  <c r="AS472" i="4" s="1"/>
  <c r="AX469" i="4"/>
  <c r="AX472" i="4" s="1"/>
  <c r="BA472" i="4" s="1"/>
  <c r="DM472" i="4" s="1"/>
  <c r="BS470" i="4"/>
  <c r="BT470" i="4" s="1"/>
  <c r="AO469" i="4"/>
  <c r="AO472" i="4" s="1"/>
  <c r="AL476" i="4"/>
  <c r="DJ476" i="4" s="1"/>
  <c r="BO478" i="4"/>
  <c r="BP478" i="4" s="1"/>
  <c r="AM483" i="4"/>
  <c r="BC483" i="4"/>
  <c r="BL487" i="4"/>
  <c r="AU495" i="4"/>
  <c r="AZ521" i="4"/>
  <c r="AZ495" i="4"/>
  <c r="BE521" i="4"/>
  <c r="BJ495" i="4"/>
  <c r="AC498" i="4"/>
  <c r="BA499" i="4"/>
  <c r="DM499" i="4" s="1"/>
  <c r="DM498" i="4"/>
  <c r="AB500" i="4"/>
  <c r="DH500" i="4" s="1"/>
  <c r="AY507" i="4"/>
  <c r="AY511" i="4"/>
  <c r="AY522" i="4"/>
  <c r="BD511" i="4"/>
  <c r="BD507" i="4"/>
  <c r="U513" i="4"/>
  <c r="V505" i="4"/>
  <c r="DN505" i="4"/>
  <c r="BI504" i="4"/>
  <c r="BJ503" i="4"/>
  <c r="BJ504" i="4" s="1"/>
  <c r="AL519" i="4"/>
  <c r="DJ519" i="4" s="1"/>
  <c r="AU523" i="4"/>
  <c r="R520" i="4"/>
  <c r="DF520" i="4" s="1"/>
  <c r="W520" i="4"/>
  <c r="DG520" i="4" s="1"/>
  <c r="BF520" i="4"/>
  <c r="DN520" i="4" s="1"/>
  <c r="BK520" i="4"/>
  <c r="DO520" i="4" s="1"/>
  <c r="BD522" i="4"/>
  <c r="AI537" i="4"/>
  <c r="AK538" i="4"/>
  <c r="AK537" i="4" s="1"/>
  <c r="R549" i="4"/>
  <c r="DF549" i="4" s="1"/>
  <c r="W549" i="4"/>
  <c r="DG549" i="4" s="1"/>
  <c r="AB549" i="4"/>
  <c r="DH549" i="4" s="1"/>
  <c r="O582" i="4"/>
  <c r="BO595" i="4"/>
  <c r="BO596" i="4" s="1"/>
  <c r="BO602" i="4" s="1"/>
  <c r="BG595" i="4"/>
  <c r="BL598" i="4"/>
  <c r="AQ470" i="4"/>
  <c r="DK470" i="4" s="1"/>
  <c r="AI478" i="4"/>
  <c r="AQ482" i="4"/>
  <c r="AG520" i="4"/>
  <c r="DI520" i="4" s="1"/>
  <c r="AG493" i="4"/>
  <c r="DI493" i="4" s="1"/>
  <c r="AM521" i="4"/>
  <c r="AM495" i="4"/>
  <c r="AV494" i="4"/>
  <c r="DL494" i="4" s="1"/>
  <c r="AR495" i="4"/>
  <c r="AW521" i="4"/>
  <c r="AW495" i="4"/>
  <c r="BG521" i="4"/>
  <c r="BG495" i="4"/>
  <c r="BL521" i="4"/>
  <c r="BL495" i="4"/>
  <c r="M499" i="4"/>
  <c r="DE499" i="4" s="1"/>
  <c r="DE498" i="4"/>
  <c r="Y522" i="4"/>
  <c r="Y511" i="4"/>
  <c r="BH511" i="4"/>
  <c r="BH507" i="4"/>
  <c r="AX503" i="4"/>
  <c r="AX504" i="4" s="1"/>
  <c r="BE504" i="4"/>
  <c r="Z511" i="4"/>
  <c r="BH522" i="4"/>
  <c r="M563" i="4"/>
  <c r="M559" i="4"/>
  <c r="DE559" i="4" s="1"/>
  <c r="DE558" i="4"/>
  <c r="N564" i="4"/>
  <c r="N565" i="4"/>
  <c r="DH558" i="4"/>
  <c r="AB563" i="4"/>
  <c r="DH563" i="4" s="1"/>
  <c r="AG563" i="4"/>
  <c r="DI563" i="4" s="1"/>
  <c r="DI558" i="4"/>
  <c r="AL563" i="4"/>
  <c r="DJ563" i="4" s="1"/>
  <c r="DJ558" i="4"/>
  <c r="BA563" i="4"/>
  <c r="DM563" i="4" s="1"/>
  <c r="DM558" i="4"/>
  <c r="BF563" i="4"/>
  <c r="DN563" i="4" s="1"/>
  <c r="DN558" i="4"/>
  <c r="DP558" i="4"/>
  <c r="BP563" i="4"/>
  <c r="DP563" i="4" s="1"/>
  <c r="U582" i="4"/>
  <c r="BL595" i="4"/>
  <c r="AG598" i="4"/>
  <c r="DI598" i="4" s="1"/>
  <c r="DI596" i="4"/>
  <c r="DK600" i="4"/>
  <c r="AV600" i="4"/>
  <c r="BF607" i="4"/>
  <c r="DN607" i="4" s="1"/>
  <c r="R289" i="4"/>
  <c r="DF289" i="4" s="1"/>
  <c r="R293" i="4"/>
  <c r="DF293" i="4" s="1"/>
  <c r="AL293" i="4"/>
  <c r="DJ293" i="4" s="1"/>
  <c r="BF293" i="4"/>
  <c r="DN293" i="4" s="1"/>
  <c r="BZ293" i="4"/>
  <c r="DR293" i="4" s="1"/>
  <c r="CT293" i="4"/>
  <c r="DV293" i="4" s="1"/>
  <c r="CO325" i="4"/>
  <c r="DM330" i="4"/>
  <c r="DQ330" i="4"/>
  <c r="BZ333" i="4"/>
  <c r="BB336" i="4"/>
  <c r="BB337" i="4" s="1"/>
  <c r="BF336" i="4"/>
  <c r="V356" i="4"/>
  <c r="Z356" i="4"/>
  <c r="AD356" i="4"/>
  <c r="AH356" i="4"/>
  <c r="AP356" i="4"/>
  <c r="AT356" i="4"/>
  <c r="AX356" i="4"/>
  <c r="BB356" i="4"/>
  <c r="BJ356" i="4"/>
  <c r="BN356" i="4"/>
  <c r="BR356" i="4"/>
  <c r="Q359" i="4"/>
  <c r="S360" i="4"/>
  <c r="AA360" i="4"/>
  <c r="AE360" i="4"/>
  <c r="AI360" i="4"/>
  <c r="AM360" i="4"/>
  <c r="AU360" i="4"/>
  <c r="AY360" i="4"/>
  <c r="BC360" i="4"/>
  <c r="BG360" i="4"/>
  <c r="BO360" i="4"/>
  <c r="BS360" i="4"/>
  <c r="DN358" i="4"/>
  <c r="BZ367" i="4"/>
  <c r="CT367" i="4"/>
  <c r="BR373" i="4"/>
  <c r="BP378" i="4"/>
  <c r="BP384" i="4" s="1"/>
  <c r="DP384" i="4" s="1"/>
  <c r="CM382" i="4"/>
  <c r="BR409" i="4"/>
  <c r="BR410" i="4" s="1"/>
  <c r="S410" i="4"/>
  <c r="AM410" i="4"/>
  <c r="AQ410" i="4" s="1"/>
  <c r="DK410" i="4" s="1"/>
  <c r="N522" i="4"/>
  <c r="AQ438" i="4"/>
  <c r="BA438" i="4"/>
  <c r="BF440" i="4"/>
  <c r="DN440" i="4" s="1"/>
  <c r="BI441" i="4"/>
  <c r="BM441" i="4"/>
  <c r="BA494" i="4"/>
  <c r="DM494" i="4" s="1"/>
  <c r="O457" i="4"/>
  <c r="O458" i="4" s="1"/>
  <c r="S457" i="4"/>
  <c r="AA457" i="4"/>
  <c r="AE457" i="4"/>
  <c r="AI457" i="4"/>
  <c r="AM457" i="4"/>
  <c r="AU457" i="4"/>
  <c r="AY457" i="4"/>
  <c r="BK461" i="4"/>
  <c r="Z463" i="4"/>
  <c r="AD463" i="4"/>
  <c r="AH463" i="4"/>
  <c r="AP463" i="4"/>
  <c r="AY465" i="4"/>
  <c r="Y469" i="4"/>
  <c r="Y472" i="4" s="1"/>
  <c r="AC469" i="4"/>
  <c r="AC472" i="4" s="1"/>
  <c r="AG472" i="4" s="1"/>
  <c r="DI472" i="4" s="1"/>
  <c r="AK469" i="4"/>
  <c r="AK472" i="4" s="1"/>
  <c r="AU469" i="4"/>
  <c r="AU472" i="4" s="1"/>
  <c r="BE469" i="4"/>
  <c r="BE472" i="4" s="1"/>
  <c r="BU476" i="4"/>
  <c r="DQ476" i="4" s="1"/>
  <c r="DL476" i="4"/>
  <c r="BP476" i="4"/>
  <c r="DP476" i="4" s="1"/>
  <c r="AJ478" i="4"/>
  <c r="AL520" i="4"/>
  <c r="DJ520" i="4" s="1"/>
  <c r="AS495" i="4"/>
  <c r="BM521" i="4"/>
  <c r="AL499" i="4"/>
  <c r="DJ499" i="4" s="1"/>
  <c r="DJ498" i="4"/>
  <c r="AZ499" i="4"/>
  <c r="AV500" i="4"/>
  <c r="DL500" i="4" s="1"/>
  <c r="AU498" i="4"/>
  <c r="P513" i="4"/>
  <c r="Q505" i="4"/>
  <c r="R505" i="4" s="1"/>
  <c r="AB513" i="4"/>
  <c r="DH513" i="4" s="1"/>
  <c r="DH505" i="4"/>
  <c r="BO505" i="4"/>
  <c r="R503" i="4"/>
  <c r="DF503" i="4" s="1"/>
  <c r="N503" i="4"/>
  <c r="N506" i="4" s="1"/>
  <c r="O503" i="4" s="1"/>
  <c r="O506" i="4" s="1"/>
  <c r="P503" i="4" s="1"/>
  <c r="L506" i="4"/>
  <c r="K506" i="4" s="1"/>
  <c r="DE506" i="4"/>
  <c r="AS504" i="4"/>
  <c r="AS522" i="4" s="1"/>
  <c r="AS523" i="4" s="1"/>
  <c r="AT503" i="4"/>
  <c r="AT504" i="4" s="1"/>
  <c r="AT522" i="4" s="1"/>
  <c r="AN523" i="4"/>
  <c r="AR520" i="4"/>
  <c r="AV520" i="4" s="1"/>
  <c r="DL520" i="4" s="1"/>
  <c r="AT521" i="4"/>
  <c r="AV521" i="4" s="1"/>
  <c r="DL521" i="4" s="1"/>
  <c r="BJ521" i="4"/>
  <c r="M522" i="4"/>
  <c r="DE522" i="4" s="1"/>
  <c r="O564" i="4"/>
  <c r="T565" i="4"/>
  <c r="O565" i="4"/>
  <c r="Q582" i="4"/>
  <c r="V583" i="4"/>
  <c r="BH595" i="4"/>
  <c r="BH596" i="4" s="1"/>
  <c r="BH602" i="4" s="1"/>
  <c r="W598" i="4"/>
  <c r="DG598" i="4" s="1"/>
  <c r="DG596" i="4"/>
  <c r="AQ603" i="4"/>
  <c r="DK603" i="4" s="1"/>
  <c r="AQ598" i="4"/>
  <c r="DK598" i="4" s="1"/>
  <c r="DK596" i="4"/>
  <c r="BP605" i="4"/>
  <c r="DP605" i="4" s="1"/>
  <c r="BP606" i="4"/>
  <c r="DP606" i="4" s="1"/>
  <c r="BU619" i="4"/>
  <c r="DP616" i="4"/>
  <c r="DA614" i="4"/>
  <c r="DQ639" i="4"/>
  <c r="W649" i="4"/>
  <c r="DG649" i="4" s="1"/>
  <c r="BZ325" i="4"/>
  <c r="CT325" i="4"/>
  <c r="DN330" i="4"/>
  <c r="DR330" i="4"/>
  <c r="CE367" i="4"/>
  <c r="CY367" i="4"/>
  <c r="T410" i="4"/>
  <c r="BJ441" i="4"/>
  <c r="BN441" i="4"/>
  <c r="AW442" i="4"/>
  <c r="BA446" i="4"/>
  <c r="AO521" i="4"/>
  <c r="AY521" i="4"/>
  <c r="AY495" i="4"/>
  <c r="BD521" i="4"/>
  <c r="BF521" i="4" s="1"/>
  <c r="DN521" i="4" s="1"/>
  <c r="BI521" i="4"/>
  <c r="AL493" i="4"/>
  <c r="DJ493" i="4" s="1"/>
  <c r="BF499" i="4"/>
  <c r="DN499" i="4" s="1"/>
  <c r="DN498" i="4"/>
  <c r="BQ498" i="4"/>
  <c r="AA522" i="4"/>
  <c r="BC507" i="4"/>
  <c r="BC511" i="4"/>
  <c r="BC522" i="4"/>
  <c r="W503" i="4"/>
  <c r="S503" i="4"/>
  <c r="S504" i="4" s="1"/>
  <c r="BN503" i="4"/>
  <c r="BN504" i="4" s="1"/>
  <c r="BM504" i="4"/>
  <c r="BN521" i="4"/>
  <c r="AK535" i="4"/>
  <c r="AK534" i="4" s="1"/>
  <c r="R544" i="4"/>
  <c r="DF544" i="4" s="1"/>
  <c r="K564" i="4"/>
  <c r="P565" i="4"/>
  <c r="AR581" i="4"/>
  <c r="AV575" i="4"/>
  <c r="BL581" i="4"/>
  <c r="BP575" i="4"/>
  <c r="S582" i="4"/>
  <c r="S583" i="4"/>
  <c r="X583" i="4"/>
  <c r="AB598" i="4"/>
  <c r="DH598" i="4" s="1"/>
  <c r="DH596" i="4"/>
  <c r="AL605" i="4"/>
  <c r="DJ605" i="4" s="1"/>
  <c r="CO617" i="4"/>
  <c r="DU617" i="4" s="1"/>
  <c r="CO616" i="4"/>
  <c r="DU612" i="4"/>
  <c r="DL641" i="4"/>
  <c r="AV644" i="4"/>
  <c r="AQ649" i="4"/>
  <c r="DK649" i="4" s="1"/>
  <c r="L755" i="4"/>
  <c r="L941" i="4" s="1"/>
  <c r="M753" i="4"/>
  <c r="W498" i="4"/>
  <c r="AA498" i="4"/>
  <c r="AE498" i="4"/>
  <c r="AQ498" i="4"/>
  <c r="BK498" i="4"/>
  <c r="M519" i="4"/>
  <c r="DE519" i="4" s="1"/>
  <c r="AG519" i="4"/>
  <c r="DI519" i="4" s="1"/>
  <c r="AL539" i="4"/>
  <c r="DF553" i="4"/>
  <c r="AC553" i="4"/>
  <c r="AW553" i="4"/>
  <c r="BU553" i="4"/>
  <c r="DQ553" i="4" s="1"/>
  <c r="AF555" i="4"/>
  <c r="AF553" i="4" s="1"/>
  <c r="AJ555" i="4"/>
  <c r="AJ553" i="4" s="1"/>
  <c r="AN555" i="4"/>
  <c r="AN553" i="4" s="1"/>
  <c r="AR555" i="4"/>
  <c r="AZ555" i="4"/>
  <c r="AZ553" i="4" s="1"/>
  <c r="BD555" i="4"/>
  <c r="BD553" i="4" s="1"/>
  <c r="BH555" i="4"/>
  <c r="BH553" i="4" s="1"/>
  <c r="BL555" i="4"/>
  <c r="W556" i="4"/>
  <c r="DG556" i="4" s="1"/>
  <c r="K559" i="4"/>
  <c r="O559" i="4"/>
  <c r="S559" i="4"/>
  <c r="S563" i="4"/>
  <c r="X563" i="4"/>
  <c r="AR563" i="4"/>
  <c r="BL563" i="4"/>
  <c r="R570" i="4"/>
  <c r="DF570" i="4" s="1"/>
  <c r="M575" i="4"/>
  <c r="P576" i="4"/>
  <c r="T576" i="4"/>
  <c r="Y575" i="4"/>
  <c r="Y581" i="4" s="1"/>
  <c r="AC575" i="4"/>
  <c r="AW575" i="4"/>
  <c r="I577" i="4"/>
  <c r="Q577" i="4"/>
  <c r="U577" i="4"/>
  <c r="L581" i="4"/>
  <c r="L582" i="4" s="1"/>
  <c r="P581" i="4"/>
  <c r="U583" i="4" s="1"/>
  <c r="T581" i="4"/>
  <c r="DH594" i="4"/>
  <c r="DL594" i="4"/>
  <c r="DG595" i="4"/>
  <c r="DK595" i="4"/>
  <c r="BE595" i="4"/>
  <c r="BF595" i="4" s="1"/>
  <c r="BM595" i="4"/>
  <c r="BM596" i="4" s="1"/>
  <c r="BM602" i="4" s="1"/>
  <c r="BB596" i="4"/>
  <c r="BB602" i="4" s="1"/>
  <c r="AL596" i="4"/>
  <c r="AB597" i="4"/>
  <c r="DH597" i="4" s="1"/>
  <c r="AG597" i="4"/>
  <c r="DI597" i="4" s="1"/>
  <c r="AV596" i="4"/>
  <c r="DL596" i="4" s="1"/>
  <c r="BA596" i="4"/>
  <c r="DM596" i="4" s="1"/>
  <c r="DJ602" i="4"/>
  <c r="AG603" i="4"/>
  <c r="DI603" i="4" s="1"/>
  <c r="AK603" i="4"/>
  <c r="AO603" i="4"/>
  <c r="AS603" i="4"/>
  <c r="BK605" i="4"/>
  <c r="DO605" i="4" s="1"/>
  <c r="AR607" i="4"/>
  <c r="BL607" i="4"/>
  <c r="BP607" i="4" s="1"/>
  <c r="DP607" i="4" s="1"/>
  <c r="CU612" i="4"/>
  <c r="CU613" i="4"/>
  <c r="CY615" i="4"/>
  <c r="DW615" i="4" s="1"/>
  <c r="BZ616" i="4"/>
  <c r="BP617" i="4"/>
  <c r="DP617" i="4" s="1"/>
  <c r="BY617" i="4"/>
  <c r="CE616" i="4"/>
  <c r="CI617" i="4"/>
  <c r="CD619" i="4"/>
  <c r="CI619" i="4"/>
  <c r="N626" i="4"/>
  <c r="AI645" i="4"/>
  <c r="AS645" i="4"/>
  <c r="AW645" i="4"/>
  <c r="BB645" i="4"/>
  <c r="BG645" i="4"/>
  <c r="BP641" i="4"/>
  <c r="BY645" i="4"/>
  <c r="CD645" i="4"/>
  <c r="CI645" i="4"/>
  <c r="CM645" i="4"/>
  <c r="Q645" i="4"/>
  <c r="U645" i="4"/>
  <c r="CF644" i="4"/>
  <c r="CK645" i="4" s="1"/>
  <c r="AV649" i="4"/>
  <c r="DL649" i="4" s="1"/>
  <c r="BP649" i="4"/>
  <c r="DP649" i="4" s="1"/>
  <c r="CJ649" i="4"/>
  <c r="BB666" i="4"/>
  <c r="BR666" i="4"/>
  <c r="CU660" i="4"/>
  <c r="CT660" i="4"/>
  <c r="CL673" i="4"/>
  <c r="CL114" i="4" s="1"/>
  <c r="CG674" i="4"/>
  <c r="CL679" i="4"/>
  <c r="CB679" i="4"/>
  <c r="DG553" i="4"/>
  <c r="AH553" i="4"/>
  <c r="BB553" i="4"/>
  <c r="R558" i="4"/>
  <c r="AQ558" i="4"/>
  <c r="BK558" i="4"/>
  <c r="Q564" i="4"/>
  <c r="U564" i="4"/>
  <c r="AV572" i="4"/>
  <c r="DL572" i="4" s="1"/>
  <c r="BP572" i="4"/>
  <c r="R575" i="4"/>
  <c r="AL575" i="4"/>
  <c r="BF575" i="4"/>
  <c r="W575" i="4"/>
  <c r="N582" i="4"/>
  <c r="DE594" i="4"/>
  <c r="DM594" i="4"/>
  <c r="BJ595" i="4"/>
  <c r="BJ596" i="4" s="1"/>
  <c r="BJ602" i="4" s="1"/>
  <c r="AC597" i="4"/>
  <c r="AL597" i="4"/>
  <c r="DJ597" i="4" s="1"/>
  <c r="AW607" i="4"/>
  <c r="BA607" i="4" s="1"/>
  <c r="DM607" i="4" s="1"/>
  <c r="CV613" i="4"/>
  <c r="CV616" i="4" s="1"/>
  <c r="CV29" i="4" s="1"/>
  <c r="CQ614" i="4"/>
  <c r="BN616" i="4"/>
  <c r="BS619" i="4" s="1"/>
  <c r="CA617" i="4"/>
  <c r="CF619" i="4"/>
  <c r="CE617" i="4"/>
  <c r="DS617" i="4" s="1"/>
  <c r="CJ617" i="4"/>
  <c r="DT617" i="4" s="1"/>
  <c r="CK619" i="4"/>
  <c r="AD626" i="4"/>
  <c r="DF633" i="4"/>
  <c r="CO639" i="4"/>
  <c r="AO645" i="4"/>
  <c r="AT645" i="4"/>
  <c r="BC645" i="4"/>
  <c r="BM645" i="4"/>
  <c r="BQ645" i="4"/>
  <c r="BV645" i="4"/>
  <c r="CA645" i="4"/>
  <c r="AO649" i="4"/>
  <c r="AQ647" i="4"/>
  <c r="DK647" i="4" s="1"/>
  <c r="BI649" i="4"/>
  <c r="BK649" i="4" s="1"/>
  <c r="DO649" i="4" s="1"/>
  <c r="BK647" i="4"/>
  <c r="DO647" i="4" s="1"/>
  <c r="CC649" i="4"/>
  <c r="CE649" i="4" s="1"/>
  <c r="DS649" i="4" s="1"/>
  <c r="CE647" i="4"/>
  <c r="DS647" i="4" s="1"/>
  <c r="BM666" i="4"/>
  <c r="BM661" i="4"/>
  <c r="DR659" i="4"/>
  <c r="CH682" i="4"/>
  <c r="CH679" i="4"/>
  <c r="CM679" i="4"/>
  <c r="BH677" i="4"/>
  <c r="BX679" i="4"/>
  <c r="AK499" i="4"/>
  <c r="BE499" i="4"/>
  <c r="W519" i="4"/>
  <c r="DG519" i="4" s="1"/>
  <c r="AQ519" i="4"/>
  <c r="DK519" i="4" s="1"/>
  <c r="AI540" i="4"/>
  <c r="AQ575" i="4"/>
  <c r="BK575" i="4"/>
  <c r="K577" i="4"/>
  <c r="O577" i="4"/>
  <c r="S577" i="4"/>
  <c r="AM597" i="4"/>
  <c r="AF598" i="4"/>
  <c r="AJ598" i="4"/>
  <c r="AN598" i="4"/>
  <c r="AR598" i="4"/>
  <c r="DJ600" i="4"/>
  <c r="CW613" i="4"/>
  <c r="CW616" i="4" s="1"/>
  <c r="CW29" i="4" s="1"/>
  <c r="BK616" i="4"/>
  <c r="DO616" i="4" s="1"/>
  <c r="BX619" i="4"/>
  <c r="CB617" i="4"/>
  <c r="CG617" i="4"/>
  <c r="CL617" i="4"/>
  <c r="CG619" i="4"/>
  <c r="CL619" i="4"/>
  <c r="BP623" i="4"/>
  <c r="DP623" i="4" s="1"/>
  <c r="Z626" i="4"/>
  <c r="DR639" i="4"/>
  <c r="DS639" i="4"/>
  <c r="DT639" i="4"/>
  <c r="AK645" i="4"/>
  <c r="AP645" i="4"/>
  <c r="AU645" i="4"/>
  <c r="BI645" i="4"/>
  <c r="BN645" i="4"/>
  <c r="BW645" i="4"/>
  <c r="CG645" i="4"/>
  <c r="CO644" i="4"/>
  <c r="CP645" i="4"/>
  <c r="O645" i="4"/>
  <c r="AB644" i="4"/>
  <c r="AB645" i="4" s="1"/>
  <c r="DH645" i="4" s="1"/>
  <c r="AB647" i="4"/>
  <c r="DH647" i="4" s="1"/>
  <c r="CM932" i="4"/>
  <c r="CN682" i="4"/>
  <c r="CN673" i="4"/>
  <c r="CI674" i="4"/>
  <c r="CI679" i="4"/>
  <c r="BG677" i="4"/>
  <c r="CD679" i="4"/>
  <c r="AD498" i="4"/>
  <c r="DF498" i="4"/>
  <c r="AB519" i="4"/>
  <c r="DH519" i="4" s="1"/>
  <c r="AV519" i="4"/>
  <c r="DL519" i="4" s="1"/>
  <c r="AJ534" i="4"/>
  <c r="AL534" i="4" s="1"/>
  <c r="DJ534" i="4" s="1"/>
  <c r="L544" i="4"/>
  <c r="M544" i="4" s="1"/>
  <c r="DE544" i="4" s="1"/>
  <c r="AE555" i="4"/>
  <c r="AE553" i="4" s="1"/>
  <c r="AI555" i="4"/>
  <c r="AI553" i="4" s="1"/>
  <c r="AM555" i="4"/>
  <c r="AU555" i="4"/>
  <c r="AU553" i="4" s="1"/>
  <c r="AY555" i="4"/>
  <c r="AY553" i="4" s="1"/>
  <c r="BC555" i="4"/>
  <c r="BC553" i="4" s="1"/>
  <c r="BG555" i="4"/>
  <c r="BO555" i="4"/>
  <c r="BO553" i="4" s="1"/>
  <c r="J559" i="4"/>
  <c r="N559" i="4"/>
  <c r="O576" i="4"/>
  <c r="S576" i="4"/>
  <c r="AX596" i="4"/>
  <c r="AX602" i="4" s="1"/>
  <c r="BA602" i="4" s="1"/>
  <c r="DM602" i="4" s="1"/>
  <c r="CS613" i="4"/>
  <c r="CX612" i="4"/>
  <c r="BL619" i="4"/>
  <c r="BT619" i="4"/>
  <c r="BX617" i="4"/>
  <c r="CC617" i="4"/>
  <c r="CC619" i="4"/>
  <c r="V626" i="4"/>
  <c r="BU633" i="4"/>
  <c r="AC645" i="4"/>
  <c r="AH645" i="4"/>
  <c r="AM645" i="4"/>
  <c r="BE645" i="4"/>
  <c r="BJ645" i="4"/>
  <c r="BO645" i="4"/>
  <c r="BS645" i="4"/>
  <c r="CC645" i="4"/>
  <c r="CH645" i="4"/>
  <c r="CL645" i="4"/>
  <c r="CQ645" i="4"/>
  <c r="Y645" i="4"/>
  <c r="W647" i="4"/>
  <c r="DG647" i="4" s="1"/>
  <c r="AG649" i="4"/>
  <c r="DI649" i="4" s="1"/>
  <c r="AL649" i="4"/>
  <c r="DJ649" i="4" s="1"/>
  <c r="AV647" i="4"/>
  <c r="DL647" i="4" s="1"/>
  <c r="BF649" i="4"/>
  <c r="DN649" i="4" s="1"/>
  <c r="BP647" i="4"/>
  <c r="DP647" i="4" s="1"/>
  <c r="BZ649" i="4"/>
  <c r="DR649" i="4" s="1"/>
  <c r="CJ647" i="4"/>
  <c r="DT647" i="4" s="1"/>
  <c r="AY649" i="4"/>
  <c r="BA649" i="4" s="1"/>
  <c r="DM649" i="4" s="1"/>
  <c r="BS649" i="4"/>
  <c r="BU649" i="4" s="1"/>
  <c r="DQ649" i="4" s="1"/>
  <c r="BQ666" i="4"/>
  <c r="BQ661" i="4"/>
  <c r="CS708" i="4"/>
  <c r="CT708" i="4" s="1"/>
  <c r="DV708" i="4" s="1"/>
  <c r="CX660" i="4"/>
  <c r="CE676" i="4"/>
  <c r="DS676" i="4" s="1"/>
  <c r="DS673" i="4"/>
  <c r="CF679" i="4"/>
  <c r="DW674" i="4"/>
  <c r="CZ677" i="4"/>
  <c r="DX677" i="4" s="1"/>
  <c r="CY677" i="4"/>
  <c r="DW677" i="4" s="1"/>
  <c r="CB677" i="4"/>
  <c r="DR675" i="4"/>
  <c r="CO657" i="4"/>
  <c r="BF658" i="4"/>
  <c r="BZ658" i="4"/>
  <c r="D20" i="59" s="1"/>
  <c r="CC661" i="4"/>
  <c r="CG661" i="4"/>
  <c r="CK661" i="4"/>
  <c r="CL667" i="4"/>
  <c r="CF673" i="4"/>
  <c r="CF114" i="4" s="1"/>
  <c r="CU677" i="4"/>
  <c r="CK679" i="4"/>
  <c r="V686" i="4"/>
  <c r="AP686" i="4"/>
  <c r="AT686" i="4"/>
  <c r="AV686" i="4" s="1"/>
  <c r="DL686" i="4" s="1"/>
  <c r="AX686" i="4"/>
  <c r="BB686" i="4"/>
  <c r="BR686" i="4"/>
  <c r="BV686" i="4"/>
  <c r="CD686" i="4"/>
  <c r="CH686" i="4"/>
  <c r="CL686" i="4"/>
  <c r="CP686" i="4"/>
  <c r="CT817" i="4"/>
  <c r="DV817" i="4" s="1"/>
  <c r="DV698" i="4"/>
  <c r="Z704" i="4"/>
  <c r="BD698" i="4"/>
  <c r="AZ701" i="4"/>
  <c r="AZ116" i="4" s="1"/>
  <c r="AY701" i="4"/>
  <c r="AY116" i="4" s="1"/>
  <c r="BA116" i="4" s="1"/>
  <c r="DM116" i="4" s="1"/>
  <c r="AX703" i="4"/>
  <c r="V714" i="4"/>
  <c r="AZ712" i="4"/>
  <c r="AZ658" i="4" s="1"/>
  <c r="AY712" i="4"/>
  <c r="AY658" i="4" s="1"/>
  <c r="K713" i="4"/>
  <c r="AE713" i="4"/>
  <c r="BX713" i="4"/>
  <c r="BY713" i="4" s="1"/>
  <c r="L963" i="4"/>
  <c r="L960" i="4" s="1"/>
  <c r="L961" i="4"/>
  <c r="BE717" i="4"/>
  <c r="CZ781" i="4"/>
  <c r="DW781" i="4"/>
  <c r="M641" i="4"/>
  <c r="AG641" i="4"/>
  <c r="BA641" i="4"/>
  <c r="BU641" i="4"/>
  <c r="AG647" i="4"/>
  <c r="DI647" i="4" s="1"/>
  <c r="BK658" i="4"/>
  <c r="CE658" i="4"/>
  <c r="E20" i="59" s="1"/>
  <c r="CJ659" i="4"/>
  <c r="F21" i="59" s="1"/>
  <c r="CW660" i="4"/>
  <c r="BU660" i="4"/>
  <c r="C22" i="59" s="1"/>
  <c r="C24" i="59" s="1"/>
  <c r="CO660" i="4"/>
  <c r="BB661" i="4"/>
  <c r="BR661" i="4"/>
  <c r="BV661" i="4"/>
  <c r="CH661" i="4"/>
  <c r="CL661" i="4"/>
  <c r="CU662" i="4"/>
  <c r="CY659" i="4"/>
  <c r="CL668" i="4"/>
  <c r="CP668" i="4"/>
  <c r="CG669" i="4"/>
  <c r="CK669" i="4"/>
  <c r="BM674" i="4"/>
  <c r="BR677" i="4" s="1"/>
  <c r="BQ674" i="4"/>
  <c r="BV677" i="4" s="1"/>
  <c r="BY674" i="4"/>
  <c r="CD677" i="4" s="1"/>
  <c r="CC674" i="4"/>
  <c r="BP675" i="4"/>
  <c r="BW678" i="4"/>
  <c r="CA678" i="4"/>
  <c r="CI678" i="4"/>
  <c r="CM678" i="4"/>
  <c r="BV679" i="4"/>
  <c r="BC678" i="4"/>
  <c r="BG678" i="4"/>
  <c r="BZ682" i="4"/>
  <c r="DK685" i="4"/>
  <c r="DS685" i="4"/>
  <c r="AM686" i="4"/>
  <c r="AQ686" i="4" s="1"/>
  <c r="DK686" i="4" s="1"/>
  <c r="AY686" i="4"/>
  <c r="BC686" i="4"/>
  <c r="BS686" i="4"/>
  <c r="BW686" i="4"/>
  <c r="CA686" i="4"/>
  <c r="CE686" i="4"/>
  <c r="DS686" i="4" s="1"/>
  <c r="CM686" i="4"/>
  <c r="CQ686" i="4"/>
  <c r="AA704" i="4"/>
  <c r="AU698" i="4"/>
  <c r="BX699" i="4"/>
  <c r="BZ699" i="4" s="1"/>
  <c r="DR699" i="4" s="1"/>
  <c r="R698" i="4"/>
  <c r="BZ700" i="4"/>
  <c r="DR700" i="4" s="1"/>
  <c r="BX700" i="4"/>
  <c r="CT700" i="4"/>
  <c r="DV700" i="4" s="1"/>
  <c r="Q701" i="4"/>
  <c r="Q116" i="4" s="1"/>
  <c r="R116" i="4" s="1"/>
  <c r="DF116" i="4" s="1"/>
  <c r="AL701" i="4"/>
  <c r="DJ701" i="4" s="1"/>
  <c r="BC701" i="4"/>
  <c r="BC116" i="4" s="1"/>
  <c r="BO701" i="4"/>
  <c r="BO116" i="4" s="1"/>
  <c r="V702" i="4"/>
  <c r="V122" i="4" s="1"/>
  <c r="W122" i="4" s="1"/>
  <c r="DG122" i="4" s="1"/>
  <c r="BE703" i="4"/>
  <c r="BE115" i="4" s="1"/>
  <c r="BF115" i="4" s="1"/>
  <c r="DN115" i="4" s="1"/>
  <c r="BU701" i="4"/>
  <c r="DQ701" i="4" s="1"/>
  <c r="BZ701" i="4"/>
  <c r="DR701" i="4" s="1"/>
  <c r="CY703" i="4"/>
  <c r="DW703" i="4" s="1"/>
  <c r="AV708" i="4"/>
  <c r="DM707" i="4"/>
  <c r="DP707" i="4"/>
  <c r="BZ707" i="4"/>
  <c r="CJ707" i="4"/>
  <c r="CT709" i="4"/>
  <c r="DV709" i="4" s="1"/>
  <c r="AY711" i="4"/>
  <c r="AY713" i="4"/>
  <c r="P713" i="4"/>
  <c r="Q713" i="4" s="1"/>
  <c r="Q714" i="4" s="1"/>
  <c r="AJ713" i="4"/>
  <c r="AK713" i="4" s="1"/>
  <c r="AK714" i="4" s="1"/>
  <c r="CA714" i="4"/>
  <c r="CB713" i="4"/>
  <c r="CC713" i="4" s="1"/>
  <c r="L717" i="4"/>
  <c r="M717" i="4" s="1"/>
  <c r="Y717" i="4"/>
  <c r="X722" i="4"/>
  <c r="CI717" i="4"/>
  <c r="R625" i="4"/>
  <c r="AL641" i="4"/>
  <c r="BF641" i="4"/>
  <c r="BZ641" i="4"/>
  <c r="BO657" i="4"/>
  <c r="BP657" i="4" s="1"/>
  <c r="BW657" i="4"/>
  <c r="CB666" i="4" s="1"/>
  <c r="CA657" i="4"/>
  <c r="BP658" i="4"/>
  <c r="BP114" i="4" s="1"/>
  <c r="BU659" i="4"/>
  <c r="C21" i="59" s="1"/>
  <c r="BG661" i="4"/>
  <c r="CS758" i="4"/>
  <c r="CT758" i="4" s="1"/>
  <c r="CL669" i="4"/>
  <c r="BZ674" i="4"/>
  <c r="BU676" i="4"/>
  <c r="DQ676" i="4" s="1"/>
  <c r="CE675" i="4"/>
  <c r="CJ675" i="4"/>
  <c r="CO675" i="4"/>
  <c r="CB678" i="4"/>
  <c r="CF678" i="4"/>
  <c r="CN678" i="4"/>
  <c r="BW679" i="4"/>
  <c r="CA679" i="4"/>
  <c r="DO682" i="4"/>
  <c r="CF686" i="4"/>
  <c r="AQ698" i="4"/>
  <c r="BJ698" i="4"/>
  <c r="BK698" i="4" s="1"/>
  <c r="BH701" i="4"/>
  <c r="CJ701" i="4"/>
  <c r="DT701" i="4" s="1"/>
  <c r="CE703" i="4"/>
  <c r="DS703" i="4" s="1"/>
  <c r="Z714" i="4"/>
  <c r="M709" i="4"/>
  <c r="DE709" i="4" s="1"/>
  <c r="M711" i="4"/>
  <c r="DE711" i="4" s="1"/>
  <c r="R710" i="4"/>
  <c r="W709" i="4"/>
  <c r="DG709" i="4" s="1"/>
  <c r="W711" i="4"/>
  <c r="DG711" i="4" s="1"/>
  <c r="AB710" i="4"/>
  <c r="AG709" i="4"/>
  <c r="DI709" i="4" s="1"/>
  <c r="AG711" i="4"/>
  <c r="DI711" i="4" s="1"/>
  <c r="AL710" i="4"/>
  <c r="BK708" i="4"/>
  <c r="BO709" i="4"/>
  <c r="BO662" i="4" s="1"/>
  <c r="BO121" i="4" s="1"/>
  <c r="DB221" i="9" s="1"/>
  <c r="BB714" i="4"/>
  <c r="BC711" i="4"/>
  <c r="BD711" i="4" s="1"/>
  <c r="BD659" i="4" s="1"/>
  <c r="BI668" i="4" s="1"/>
  <c r="BK712" i="4"/>
  <c r="DO712" i="4" s="1"/>
  <c r="BP711" i="4"/>
  <c r="DP711" i="4" s="1"/>
  <c r="BP713" i="4"/>
  <c r="DP713" i="4" s="1"/>
  <c r="CM712" i="4"/>
  <c r="CM658" i="4" s="1"/>
  <c r="W713" i="4"/>
  <c r="DG713" i="4" s="1"/>
  <c r="U713" i="4"/>
  <c r="V713" i="4" s="1"/>
  <c r="AO713" i="4"/>
  <c r="AP713" i="4" s="1"/>
  <c r="O714" i="4"/>
  <c r="AI714" i="4"/>
  <c r="T963" i="4"/>
  <c r="T960" i="4" s="1"/>
  <c r="T961" i="4"/>
  <c r="U718" i="4"/>
  <c r="W625" i="4"/>
  <c r="AQ641" i="4"/>
  <c r="BK641" i="4"/>
  <c r="CE641" i="4"/>
  <c r="AL647" i="4"/>
  <c r="DJ647" i="4" s="1"/>
  <c r="BF647" i="4"/>
  <c r="DN647" i="4" s="1"/>
  <c r="BZ647" i="4"/>
  <c r="DR647" i="4" s="1"/>
  <c r="CF657" i="4"/>
  <c r="CK666" i="4" s="1"/>
  <c r="BU658" i="4"/>
  <c r="C20" i="59" s="1"/>
  <c r="CE660" i="4"/>
  <c r="E22" i="59" s="1"/>
  <c r="E24" i="59" s="1"/>
  <c r="BH661" i="4"/>
  <c r="BL661" i="4"/>
  <c r="CB661" i="4"/>
  <c r="CW662" i="4"/>
  <c r="CM669" i="4"/>
  <c r="V675" i="4"/>
  <c r="AP675" i="4"/>
  <c r="BA682" i="4"/>
  <c r="DM682" i="4" s="1"/>
  <c r="BU682" i="4"/>
  <c r="DU685" i="4"/>
  <c r="CJ817" i="4"/>
  <c r="DT817" i="4" s="1"/>
  <c r="DT698" i="4"/>
  <c r="CO698" i="4"/>
  <c r="Y704" i="4"/>
  <c r="AI704" i="4"/>
  <c r="AL698" i="4"/>
  <c r="AP698" i="4"/>
  <c r="BN704" i="4"/>
  <c r="AM724" i="4"/>
  <c r="AM726" i="4" s="1"/>
  <c r="AV700" i="4"/>
  <c r="DL700" i="4" s="1"/>
  <c r="BA700" i="4"/>
  <c r="DM700" i="4" s="1"/>
  <c r="BF700" i="4"/>
  <c r="DN700" i="4" s="1"/>
  <c r="CO700" i="4"/>
  <c r="DU700" i="4" s="1"/>
  <c r="BE702" i="4"/>
  <c r="BE122" i="4" s="1"/>
  <c r="BF122" i="4" s="1"/>
  <c r="DN122" i="4" s="1"/>
  <c r="W703" i="4"/>
  <c r="DG703" i="4" s="1"/>
  <c r="BU703" i="4"/>
  <c r="DQ703" i="4" s="1"/>
  <c r="CL703" i="4"/>
  <c r="X724" i="4"/>
  <c r="X726" i="4" s="1"/>
  <c r="U714" i="4"/>
  <c r="AO714" i="4"/>
  <c r="AQ711" i="4"/>
  <c r="AV710" i="4"/>
  <c r="BA709" i="4"/>
  <c r="DM709" i="4" s="1"/>
  <c r="BF709" i="4"/>
  <c r="DN709" i="4" s="1"/>
  <c r="CE707" i="4"/>
  <c r="CO707" i="4"/>
  <c r="BH714" i="4"/>
  <c r="BI707" i="4"/>
  <c r="BJ707" i="4" s="1"/>
  <c r="CM713" i="4"/>
  <c r="Z713" i="4"/>
  <c r="AA713" i="4" s="1"/>
  <c r="AB713" i="4" s="1"/>
  <c r="DH713" i="4" s="1"/>
  <c r="AT713" i="4"/>
  <c r="AT714" i="4" s="1"/>
  <c r="P963" i="4"/>
  <c r="P960" i="4" s="1"/>
  <c r="P961" i="4"/>
  <c r="Q718" i="4"/>
  <c r="AR722" i="4"/>
  <c r="AR724" i="4" s="1"/>
  <c r="AR726" i="4" s="1"/>
  <c r="AS717" i="4"/>
  <c r="CB961" i="4"/>
  <c r="CC718" i="4"/>
  <c r="AV698" i="4"/>
  <c r="M698" i="4"/>
  <c r="AG698" i="4"/>
  <c r="AQ700" i="4"/>
  <c r="DK700" i="4" s="1"/>
  <c r="BK700" i="4"/>
  <c r="DO700" i="4" s="1"/>
  <c r="M701" i="4"/>
  <c r="DE701" i="4" s="1"/>
  <c r="M702" i="4"/>
  <c r="DE702" i="4" s="1"/>
  <c r="M703" i="4"/>
  <c r="DE703" i="4" s="1"/>
  <c r="R701" i="4"/>
  <c r="DF701" i="4" s="1"/>
  <c r="R702" i="4"/>
  <c r="DF702" i="4" s="1"/>
  <c r="R703" i="4"/>
  <c r="DF703" i="4" s="1"/>
  <c r="W701" i="4"/>
  <c r="DG701" i="4" s="1"/>
  <c r="BP701" i="4"/>
  <c r="DP701" i="4" s="1"/>
  <c r="AB702" i="4"/>
  <c r="DH702" i="4" s="1"/>
  <c r="AG703" i="4"/>
  <c r="DI703" i="4" s="1"/>
  <c r="AL703" i="4"/>
  <c r="DJ703" i="4" s="1"/>
  <c r="BK702" i="4"/>
  <c r="DO702" i="4" s="1"/>
  <c r="BK703" i="4"/>
  <c r="DO703" i="4" s="1"/>
  <c r="BP702" i="4"/>
  <c r="DP702" i="4" s="1"/>
  <c r="BP703" i="4"/>
  <c r="DP703" i="4" s="1"/>
  <c r="BZ698" i="4"/>
  <c r="D13" i="59" s="1"/>
  <c r="M80" i="59" s="1"/>
  <c r="BZ703" i="4"/>
  <c r="DR703" i="4" s="1"/>
  <c r="I704" i="4"/>
  <c r="AS704" i="4"/>
  <c r="AW704" i="4"/>
  <c r="BM704" i="4"/>
  <c r="R707" i="4"/>
  <c r="W707" i="4"/>
  <c r="AL707" i="4"/>
  <c r="AQ707" i="4"/>
  <c r="K719" i="4"/>
  <c r="P720" i="4"/>
  <c r="Q720" i="4" s="1"/>
  <c r="BG722" i="4"/>
  <c r="BG724" i="4" s="1"/>
  <c r="BG726" i="4" s="1"/>
  <c r="BH717" i="4"/>
  <c r="BH722" i="4" s="1"/>
  <c r="CH719" i="4"/>
  <c r="CH124" i="4" s="1"/>
  <c r="BP698" i="4"/>
  <c r="AB701" i="4"/>
  <c r="AV701" i="4"/>
  <c r="DL701" i="4" s="1"/>
  <c r="CO701" i="4"/>
  <c r="DU701" i="4" s="1"/>
  <c r="CI703" i="4"/>
  <c r="CI115" i="4" s="1"/>
  <c r="CJ115" i="4" s="1"/>
  <c r="DT115" i="4" s="1"/>
  <c r="AH704" i="4"/>
  <c r="AH724" i="4" s="1"/>
  <c r="AH726" i="4" s="1"/>
  <c r="BO708" i="4"/>
  <c r="BO660" i="4" s="1"/>
  <c r="BT669" i="4" s="1"/>
  <c r="BW714" i="4"/>
  <c r="CB714" i="4"/>
  <c r="CM711" i="4"/>
  <c r="CG713" i="4"/>
  <c r="M720" i="4"/>
  <c r="DE720" i="4" s="1"/>
  <c r="P717" i="4"/>
  <c r="S722" i="4"/>
  <c r="S724" i="4" s="1"/>
  <c r="S726" i="4" s="1"/>
  <c r="AC722" i="4"/>
  <c r="AC724" i="4" s="1"/>
  <c r="AC726" i="4" s="1"/>
  <c r="AD717" i="4"/>
  <c r="BH961" i="4"/>
  <c r="BJ718" i="4"/>
  <c r="BS717" i="4"/>
  <c r="CB717" i="4"/>
  <c r="CA722" i="4"/>
  <c r="CC719" i="4"/>
  <c r="CI720" i="4"/>
  <c r="CJ720" i="4" s="1"/>
  <c r="DT720" i="4" s="1"/>
  <c r="I942" i="4"/>
  <c r="J754" i="4"/>
  <c r="AH942" i="4"/>
  <c r="AI754" i="4"/>
  <c r="AZ698" i="4"/>
  <c r="BA698" i="4" s="1"/>
  <c r="W698" i="4"/>
  <c r="AE702" i="4"/>
  <c r="AJ702" i="4"/>
  <c r="AO702" i="4"/>
  <c r="AO704" i="4" s="1"/>
  <c r="AT702" i="4"/>
  <c r="AT704" i="4" s="1"/>
  <c r="AY702" i="4"/>
  <c r="BO714" i="4"/>
  <c r="R718" i="4"/>
  <c r="D2" i="72" s="1"/>
  <c r="T722" i="4"/>
  <c r="T724" i="4" s="1"/>
  <c r="T726" i="4" s="1"/>
  <c r="U717" i="4"/>
  <c r="AO722" i="4"/>
  <c r="AP717" i="4"/>
  <c r="AP722" i="4" s="1"/>
  <c r="AW722" i="4"/>
  <c r="AX717" i="4"/>
  <c r="CE720" i="4"/>
  <c r="DS720" i="4" s="1"/>
  <c r="CP722" i="4"/>
  <c r="CQ717" i="4"/>
  <c r="AA963" i="4"/>
  <c r="AA960" i="4" s="1"/>
  <c r="AA961" i="4"/>
  <c r="AF963" i="4"/>
  <c r="AF960" i="4" s="1"/>
  <c r="AF961" i="4"/>
  <c r="AK963" i="4"/>
  <c r="AK960" i="4" s="1"/>
  <c r="AK961" i="4"/>
  <c r="AP961" i="4"/>
  <c r="AP963" i="4"/>
  <c r="AP960" i="4" s="1"/>
  <c r="AV719" i="4"/>
  <c r="AY719" i="4"/>
  <c r="AY721" i="4"/>
  <c r="AZ721" i="4" s="1"/>
  <c r="BA721" i="4"/>
  <c r="DM721" i="4" s="1"/>
  <c r="BN720" i="4"/>
  <c r="BO720" i="4" s="1"/>
  <c r="R719" i="4"/>
  <c r="D3" i="72" s="1"/>
  <c r="BE720" i="4"/>
  <c r="BF720" i="4" s="1"/>
  <c r="DN720" i="4" s="1"/>
  <c r="BD720" i="4"/>
  <c r="BD722" i="4" s="1"/>
  <c r="BF718" i="4"/>
  <c r="L2" i="72" s="1"/>
  <c r="L5" i="72" s="1"/>
  <c r="M751" i="4"/>
  <c r="DE746" i="4"/>
  <c r="AB751" i="4"/>
  <c r="CP754" i="4"/>
  <c r="N754" i="4"/>
  <c r="DE754" i="4"/>
  <c r="AL755" i="4"/>
  <c r="DJ755" i="4" s="1"/>
  <c r="DJ753" i="4"/>
  <c r="AV755" i="4"/>
  <c r="DL755" i="4" s="1"/>
  <c r="DL753" i="4"/>
  <c r="CT759" i="4"/>
  <c r="DA762" i="4"/>
  <c r="DY762" i="4" s="1"/>
  <c r="DX762" i="4"/>
  <c r="X759" i="4"/>
  <c r="Y760" i="4"/>
  <c r="DM759" i="4"/>
  <c r="CA931" i="4"/>
  <c r="CN771" i="4"/>
  <c r="CO768" i="4"/>
  <c r="DV770" i="4"/>
  <c r="CU770" i="4"/>
  <c r="CV770" i="4" s="1"/>
  <c r="CW770" i="4" s="1"/>
  <c r="CX770" i="4" s="1"/>
  <c r="CY770" i="4" s="1"/>
  <c r="W771" i="4"/>
  <c r="BO771" i="4"/>
  <c r="CE771" i="4"/>
  <c r="N774" i="4"/>
  <c r="DJ774" i="4"/>
  <c r="DN774" i="4"/>
  <c r="BG774" i="4"/>
  <c r="CU775" i="4"/>
  <c r="CV775" i="4" s="1"/>
  <c r="CW775" i="4" s="1"/>
  <c r="CX775" i="4" s="1"/>
  <c r="CY775" i="4" s="1"/>
  <c r="DV775" i="4"/>
  <c r="DV779" i="4"/>
  <c r="CU779" i="4"/>
  <c r="CV779" i="4" s="1"/>
  <c r="CW779" i="4" s="1"/>
  <c r="CX779" i="4" s="1"/>
  <c r="CY779" i="4" s="1"/>
  <c r="BL960" i="4"/>
  <c r="BP960" i="4" s="1"/>
  <c r="DP960" i="4" s="1"/>
  <c r="DO778" i="4"/>
  <c r="DT784" i="4"/>
  <c r="W784" i="4"/>
  <c r="DG784" i="4" s="1"/>
  <c r="AL798" i="4"/>
  <c r="DJ795" i="4"/>
  <c r="DM871" i="4"/>
  <c r="BA797" i="4"/>
  <c r="DM797" i="4" s="1"/>
  <c r="DA859" i="4"/>
  <c r="CP870" i="4"/>
  <c r="CO871" i="4"/>
  <c r="AS961" i="4"/>
  <c r="AS963" i="4"/>
  <c r="AS960" i="4" s="1"/>
  <c r="AB719" i="4"/>
  <c r="F3" i="72" s="1"/>
  <c r="CQ961" i="4"/>
  <c r="DV748" i="4"/>
  <c r="CU748" i="4"/>
  <c r="CV748" i="4" s="1"/>
  <c r="CW748" i="4" s="1"/>
  <c r="CX748" i="4" s="1"/>
  <c r="CY748" i="4" s="1"/>
  <c r="K750" i="4"/>
  <c r="J748" i="4"/>
  <c r="N748" i="4"/>
  <c r="N750" i="4" s="1"/>
  <c r="O750" i="4"/>
  <c r="R941" i="4"/>
  <c r="Q943" i="4"/>
  <c r="AB755" i="4"/>
  <c r="DH755" i="4" s="1"/>
  <c r="DH753" i="4"/>
  <c r="S754" i="4"/>
  <c r="CK754" i="4"/>
  <c r="BJ943" i="4"/>
  <c r="BK941" i="4"/>
  <c r="R759" i="4"/>
  <c r="BH759" i="4"/>
  <c r="DS763" i="4"/>
  <c r="CF763" i="4"/>
  <c r="CG763" i="4" s="1"/>
  <c r="CH763" i="4" s="1"/>
  <c r="CI763" i="4" s="1"/>
  <c r="CJ763" i="4" s="1"/>
  <c r="DP768" i="4"/>
  <c r="BP771" i="4"/>
  <c r="DT768" i="4"/>
  <c r="CJ771" i="4"/>
  <c r="DH771" i="4"/>
  <c r="DL771" i="4"/>
  <c r="DQ771" i="4"/>
  <c r="I774" i="4"/>
  <c r="I786" i="4" s="1"/>
  <c r="DV782" i="4"/>
  <c r="CU782" i="4"/>
  <c r="CV782" i="4" s="1"/>
  <c r="CW782" i="4" s="1"/>
  <c r="CX782" i="4" s="1"/>
  <c r="CY782" i="4" s="1"/>
  <c r="DV781" i="4"/>
  <c r="BB960" i="4"/>
  <c r="BF960" i="4" s="1"/>
  <c r="DN960" i="4" s="1"/>
  <c r="BA784" i="4"/>
  <c r="BZ784" i="4"/>
  <c r="CE837" i="4"/>
  <c r="CD860" i="4"/>
  <c r="CD796" i="4" s="1"/>
  <c r="CD798" i="4" s="1"/>
  <c r="AY72" i="72" s="1"/>
  <c r="AY76" i="72" s="1"/>
  <c r="CV845" i="4"/>
  <c r="DA855" i="4"/>
  <c r="CV863" i="4"/>
  <c r="BE871" i="4"/>
  <c r="BE797" i="4" s="1"/>
  <c r="BF863" i="4"/>
  <c r="CH839" i="4"/>
  <c r="DA857" i="4"/>
  <c r="I722" i="4"/>
  <c r="J963" i="4"/>
  <c r="J961" i="4"/>
  <c r="M718" i="4"/>
  <c r="C2" i="72" s="1"/>
  <c r="W720" i="4"/>
  <c r="DG720" i="4" s="1"/>
  <c r="AL717" i="4"/>
  <c r="BB722" i="4"/>
  <c r="BF717" i="4"/>
  <c r="CJ717" i="4"/>
  <c r="CF722" i="4"/>
  <c r="CG961" i="4"/>
  <c r="CJ718" i="4"/>
  <c r="CN717" i="4"/>
  <c r="CO717" i="4" s="1"/>
  <c r="AD961" i="4"/>
  <c r="AG961" i="4" s="1"/>
  <c r="DI961" i="4" s="1"/>
  <c r="AD963" i="4"/>
  <c r="AD960" i="4" s="1"/>
  <c r="AI961" i="4"/>
  <c r="AI963" i="4"/>
  <c r="AI960" i="4" s="1"/>
  <c r="AN963" i="4"/>
  <c r="AN960" i="4" s="1"/>
  <c r="AN961" i="4"/>
  <c r="AQ720" i="4"/>
  <c r="DK720" i="4" s="1"/>
  <c r="AT718" i="4"/>
  <c r="AX961" i="4"/>
  <c r="AX963" i="4"/>
  <c r="AX960" i="4" s="1"/>
  <c r="AY718" i="4"/>
  <c r="AY720" i="4"/>
  <c r="AZ720" i="4" s="1"/>
  <c r="BM961" i="4"/>
  <c r="BN718" i="4"/>
  <c r="BO718" i="4" s="1"/>
  <c r="AE720" i="4"/>
  <c r="AF720" i="4" s="1"/>
  <c r="AG720" i="4"/>
  <c r="DI720" i="4" s="1"/>
  <c r="AL721" i="4"/>
  <c r="DJ721" i="4" s="1"/>
  <c r="AM722" i="4"/>
  <c r="AE739" i="4"/>
  <c r="AS739" i="4"/>
  <c r="AT730" i="4"/>
  <c r="AU734" i="4"/>
  <c r="AV734" i="4" s="1"/>
  <c r="DL734" i="4" s="1"/>
  <c r="AV736" i="4"/>
  <c r="DL736" i="4" s="1"/>
  <c r="CU749" i="4"/>
  <c r="CV749" i="4" s="1"/>
  <c r="CW749" i="4" s="1"/>
  <c r="CX749" i="4" s="1"/>
  <c r="CY749" i="4" s="1"/>
  <c r="DV749" i="4"/>
  <c r="DF748" i="4"/>
  <c r="S748" i="4"/>
  <c r="L751" i="4"/>
  <c r="R755" i="4"/>
  <c r="DF755" i="4" s="1"/>
  <c r="DF753" i="4"/>
  <c r="X754" i="4"/>
  <c r="DG754" i="4"/>
  <c r="DV757" i="4"/>
  <c r="CU757" i="4"/>
  <c r="CV757" i="4" s="1"/>
  <c r="CW757" i="4" s="1"/>
  <c r="CX757" i="4" s="1"/>
  <c r="CY757" i="4" s="1"/>
  <c r="DW762" i="4"/>
  <c r="DV763" i="4"/>
  <c r="BH760" i="4"/>
  <c r="AE760" i="4"/>
  <c r="AD759" i="4"/>
  <c r="CF931" i="4"/>
  <c r="DS759" i="4"/>
  <c r="DU759" i="4"/>
  <c r="BL763" i="4"/>
  <c r="BM763" i="4" s="1"/>
  <c r="BN763" i="4" s="1"/>
  <c r="BO763" i="4" s="1"/>
  <c r="BP763" i="4" s="1"/>
  <c r="AQ771" i="4"/>
  <c r="CM786" i="4"/>
  <c r="DV783" i="4"/>
  <c r="CU783" i="4"/>
  <c r="CV783" i="4" s="1"/>
  <c r="CW783" i="4" s="1"/>
  <c r="CX783" i="4" s="1"/>
  <c r="CY783" i="4" s="1"/>
  <c r="AL784" i="4"/>
  <c r="CP960" i="4"/>
  <c r="CO960" i="4"/>
  <c r="DU960" i="4" s="1"/>
  <c r="CO784" i="4"/>
  <c r="AQ784" i="4"/>
  <c r="AB798" i="4"/>
  <c r="DH795" i="4"/>
  <c r="DA869" i="4"/>
  <c r="CW864" i="4"/>
  <c r="CW915" i="4" s="1"/>
  <c r="CV915" i="4"/>
  <c r="CO860" i="4"/>
  <c r="DU837" i="4"/>
  <c r="CP837" i="4"/>
  <c r="CQ839" i="4"/>
  <c r="CQ842" i="4"/>
  <c r="CQ841" i="4"/>
  <c r="CQ840" i="4"/>
  <c r="J722" i="4"/>
  <c r="J724" i="4" s="1"/>
  <c r="J726" i="4" s="1"/>
  <c r="K963" i="4"/>
  <c r="K960" i="4" s="1"/>
  <c r="K961" i="4"/>
  <c r="N722" i="4"/>
  <c r="N724" i="4" s="1"/>
  <c r="N726" i="4" s="1"/>
  <c r="O963" i="4"/>
  <c r="O960" i="4" s="1"/>
  <c r="O961" i="4"/>
  <c r="W719" i="4"/>
  <c r="E3" i="72" s="1"/>
  <c r="BM722" i="4"/>
  <c r="CG722" i="4"/>
  <c r="Z961" i="4"/>
  <c r="Z963" i="4"/>
  <c r="Z960" i="4" s="1"/>
  <c r="AE963" i="4"/>
  <c r="AE960" i="4" s="1"/>
  <c r="AE961" i="4"/>
  <c r="AJ963" i="4"/>
  <c r="AJ960" i="4" s="1"/>
  <c r="AJ961" i="4"/>
  <c r="AO963" i="4"/>
  <c r="AO960" i="4" s="1"/>
  <c r="AO961" i="4"/>
  <c r="AV720" i="4"/>
  <c r="DL720" i="4" s="1"/>
  <c r="AE721" i="4"/>
  <c r="AF721" i="4" s="1"/>
  <c r="DV747" i="4"/>
  <c r="CU747" i="4"/>
  <c r="CV747" i="4" s="1"/>
  <c r="CW747" i="4" s="1"/>
  <c r="CX747" i="4" s="1"/>
  <c r="CY747" i="4" s="1"/>
  <c r="P750" i="4"/>
  <c r="W753" i="4"/>
  <c r="V755" i="4"/>
  <c r="V941" i="4" s="1"/>
  <c r="AF943" i="4"/>
  <c r="AG941" i="4"/>
  <c r="DH754" i="4"/>
  <c r="AC754" i="4"/>
  <c r="BA755" i="4"/>
  <c r="DM755" i="4" s="1"/>
  <c r="BK755" i="4"/>
  <c r="DO755" i="4" s="1"/>
  <c r="CE755" i="4"/>
  <c r="DS755" i="4" s="1"/>
  <c r="AA943" i="4"/>
  <c r="AB941" i="4"/>
  <c r="AU943" i="4"/>
  <c r="AV941" i="4"/>
  <c r="DV761" i="4"/>
  <c r="CU761" i="4"/>
  <c r="CV761" i="4" s="1"/>
  <c r="CW761" i="4" s="1"/>
  <c r="CX761" i="4" s="1"/>
  <c r="CY761" i="4" s="1"/>
  <c r="DW763" i="4"/>
  <c r="CZ763" i="4"/>
  <c r="DJ759" i="4"/>
  <c r="P762" i="4"/>
  <c r="M771" i="4"/>
  <c r="AG771" i="4"/>
  <c r="BA771" i="4"/>
  <c r="BK771" i="4"/>
  <c r="DS774" i="4"/>
  <c r="CN774" i="4"/>
  <c r="CO774" i="4" s="1"/>
  <c r="CR960" i="4"/>
  <c r="CS778" i="4"/>
  <c r="BK780" i="4"/>
  <c r="DO780" i="4" s="1"/>
  <c r="BJ784" i="4"/>
  <c r="BP780" i="4"/>
  <c r="DP780" i="4" s="1"/>
  <c r="BV960" i="4"/>
  <c r="BU784" i="4"/>
  <c r="CE960" i="4"/>
  <c r="DS960" i="4" s="1"/>
  <c r="CF960" i="4"/>
  <c r="DS778" i="4"/>
  <c r="DE798" i="4"/>
  <c r="M800" i="4"/>
  <c r="DE800" i="4" s="1"/>
  <c r="M773" i="4"/>
  <c r="DE773" i="4" s="1"/>
  <c r="CW833" i="4"/>
  <c r="AW860" i="4"/>
  <c r="AJ60" i="9" s="1"/>
  <c r="AJ62" i="9" s="1"/>
  <c r="AX837" i="4"/>
  <c r="DR967" i="4"/>
  <c r="CA967" i="4"/>
  <c r="CB967" i="4" s="1"/>
  <c r="CC967" i="4" s="1"/>
  <c r="CD967" i="4" s="1"/>
  <c r="CE967" i="4" s="1"/>
  <c r="BN719" i="4"/>
  <c r="BS718" i="4"/>
  <c r="BS719" i="4"/>
  <c r="BS720" i="4"/>
  <c r="BT720" i="4" s="1"/>
  <c r="BS721" i="4"/>
  <c r="BT721" i="4" s="1"/>
  <c r="BX718" i="4"/>
  <c r="BX719" i="4"/>
  <c r="BX720" i="4"/>
  <c r="BY720" i="4" s="1"/>
  <c r="BX721" i="4"/>
  <c r="BY721" i="4" s="1"/>
  <c r="BZ721" i="4" s="1"/>
  <c r="DR721" i="4" s="1"/>
  <c r="CM718" i="4"/>
  <c r="CM719" i="4"/>
  <c r="CM720" i="4"/>
  <c r="CN720" i="4" s="1"/>
  <c r="CM721" i="4"/>
  <c r="CN721" i="4" s="1"/>
  <c r="Y961" i="4"/>
  <c r="Y963" i="4"/>
  <c r="Y960" i="4" s="1"/>
  <c r="W751" i="4"/>
  <c r="AP943" i="4"/>
  <c r="AQ941" i="4"/>
  <c r="BU755" i="4"/>
  <c r="DQ755" i="4" s="1"/>
  <c r="AK760" i="4"/>
  <c r="AL771" i="4"/>
  <c r="CA913" i="4"/>
  <c r="CH960" i="4"/>
  <c r="CG960" i="4"/>
  <c r="X960" i="4"/>
  <c r="S960" i="4"/>
  <c r="AH960" i="4"/>
  <c r="AQ963" i="4"/>
  <c r="DK963" i="4" s="1"/>
  <c r="CE781" i="4"/>
  <c r="R784" i="4"/>
  <c r="DF784" i="4" s="1"/>
  <c r="BF784" i="4"/>
  <c r="CV790" i="4"/>
  <c r="CW790" i="4" s="1"/>
  <c r="CX790" i="4" s="1"/>
  <c r="CS834" i="4"/>
  <c r="CS795" i="4" s="1"/>
  <c r="CT795" i="4" s="1"/>
  <c r="CT832" i="4"/>
  <c r="BX882" i="4"/>
  <c r="CW848" i="4"/>
  <c r="R798" i="4"/>
  <c r="DF795" i="4"/>
  <c r="CV849" i="4"/>
  <c r="DL871" i="4"/>
  <c r="AV797" i="4"/>
  <c r="DL797" i="4" s="1"/>
  <c r="DG795" i="4"/>
  <c r="W798" i="4"/>
  <c r="DR795" i="4"/>
  <c r="BZ798" i="4"/>
  <c r="CQ844" i="4"/>
  <c r="CZ856" i="4"/>
  <c r="BC838" i="4"/>
  <c r="AQ721" i="4"/>
  <c r="DK721" i="4" s="1"/>
  <c r="AU732" i="4"/>
  <c r="AV732" i="4" s="1"/>
  <c r="DL732" i="4" s="1"/>
  <c r="R747" i="4"/>
  <c r="DF747" i="4" s="1"/>
  <c r="BK749" i="4"/>
  <c r="DO749" i="4" s="1"/>
  <c r="DT753" i="4"/>
  <c r="AZ943" i="4"/>
  <c r="BA941" i="4"/>
  <c r="BO943" i="4"/>
  <c r="BP941" i="4"/>
  <c r="DK759" i="4"/>
  <c r="DF760" i="4"/>
  <c r="CF933" i="4"/>
  <c r="AG759" i="4"/>
  <c r="CA933" i="4"/>
  <c r="BF768" i="4"/>
  <c r="BZ768" i="4"/>
  <c r="AF771" i="4"/>
  <c r="AF786" i="4" s="1"/>
  <c r="AF788" i="4" s="1"/>
  <c r="AZ771" i="4"/>
  <c r="DI774" i="4"/>
  <c r="DF778" i="4"/>
  <c r="DH780" i="4"/>
  <c r="N960" i="4"/>
  <c r="AC960" i="4"/>
  <c r="AM960" i="4"/>
  <c r="AQ960" i="4" s="1"/>
  <c r="DK960" i="4" s="1"/>
  <c r="AW960" i="4"/>
  <c r="BF781" i="4"/>
  <c r="AB784" i="4"/>
  <c r="DH784" i="4" s="1"/>
  <c r="AV784" i="4"/>
  <c r="BP784" i="4"/>
  <c r="CS893" i="4"/>
  <c r="CQ868" i="4"/>
  <c r="CR868" i="4" s="1"/>
  <c r="CR870" i="4" s="1"/>
  <c r="CR871" i="4" s="1"/>
  <c r="CA942" i="4"/>
  <c r="CB942" i="4" s="1"/>
  <c r="CC942" i="4" s="1"/>
  <c r="CD942" i="4" s="1"/>
  <c r="CE942" i="4" s="1"/>
  <c r="DR942" i="4"/>
  <c r="BE834" i="4"/>
  <c r="BF833" i="4"/>
  <c r="CR843" i="4"/>
  <c r="DW863" i="4"/>
  <c r="CZ863" i="4"/>
  <c r="DX879" i="4"/>
  <c r="DA879" i="4"/>
  <c r="DY879" i="4" s="1"/>
  <c r="AX839" i="4"/>
  <c r="CV851" i="4"/>
  <c r="CV853" i="4"/>
  <c r="DQ795" i="4"/>
  <c r="DS871" i="4"/>
  <c r="CE797" i="4"/>
  <c r="DS797" i="4" s="1"/>
  <c r="CQ838" i="4"/>
  <c r="CV847" i="4"/>
  <c r="CW850" i="4"/>
  <c r="CZ858" i="4"/>
  <c r="DI753" i="4"/>
  <c r="DM753" i="4"/>
  <c r="AK943" i="4"/>
  <c r="AL941" i="4"/>
  <c r="CS760" i="4"/>
  <c r="AC759" i="4"/>
  <c r="AJ759" i="4"/>
  <c r="W759" i="4"/>
  <c r="AB759" i="4"/>
  <c r="DR774" i="4"/>
  <c r="DG778" i="4"/>
  <c r="DK778" i="4"/>
  <c r="DE780" i="4"/>
  <c r="BZ960" i="4"/>
  <c r="DR960" i="4" s="1"/>
  <c r="CA960" i="4"/>
  <c r="CK960" i="4"/>
  <c r="CJ960" i="4"/>
  <c r="DT960" i="4" s="1"/>
  <c r="M784" i="4"/>
  <c r="DE784" i="4" s="1"/>
  <c r="AG784" i="4"/>
  <c r="CW852" i="4"/>
  <c r="DM795" i="4"/>
  <c r="CH840" i="4"/>
  <c r="DA867" i="4"/>
  <c r="AG798" i="4"/>
  <c r="DL860" i="4"/>
  <c r="AV796" i="4"/>
  <c r="CG838" i="4"/>
  <c r="CW846" i="4"/>
  <c r="DT863" i="4"/>
  <c r="CK863" i="4"/>
  <c r="CJ871" i="4"/>
  <c r="BL840" i="4"/>
  <c r="DO840" i="4"/>
  <c r="DS834" i="4"/>
  <c r="CE795" i="4"/>
  <c r="DU795" i="4"/>
  <c r="G38" i="69" l="1"/>
  <c r="BZ287" i="4"/>
  <c r="DR287" i="4" s="1"/>
  <c r="G51" i="69"/>
  <c r="G45" i="73"/>
  <c r="GM383" i="9"/>
  <c r="AD528" i="4"/>
  <c r="F38" i="81"/>
  <c r="AN530" i="4"/>
  <c r="DZ326" i="9"/>
  <c r="AL287" i="4"/>
  <c r="DJ287" i="4" s="1"/>
  <c r="AG257" i="4"/>
  <c r="DI257" i="4" s="1"/>
  <c r="E20" i="68"/>
  <c r="FK383" i="9"/>
  <c r="CV836" i="49"/>
  <c r="CV732" i="49"/>
  <c r="CS163" i="4"/>
  <c r="CS164" i="4" s="1"/>
  <c r="CT162" i="4"/>
  <c r="DV162" i="4" s="1"/>
  <c r="CX613" i="4"/>
  <c r="CS614" i="4"/>
  <c r="F51" i="35"/>
  <c r="DM790" i="4"/>
  <c r="CI189" i="4"/>
  <c r="CD189" i="4"/>
  <c r="ED314" i="9"/>
  <c r="DC211" i="9"/>
  <c r="DP114" i="4"/>
  <c r="AQ739" i="4"/>
  <c r="DK739" i="4" s="1"/>
  <c r="DK730" i="4"/>
  <c r="AP120" i="4"/>
  <c r="AP661" i="4"/>
  <c r="AP664" i="4" s="1"/>
  <c r="BE663" i="4"/>
  <c r="BE119" i="4"/>
  <c r="J20" i="55"/>
  <c r="CS116" i="4"/>
  <c r="CT116" i="4" s="1"/>
  <c r="DV116" i="4" s="1"/>
  <c r="CS769" i="4"/>
  <c r="CT769" i="4" s="1"/>
  <c r="DV769" i="4" s="1"/>
  <c r="CT701" i="4"/>
  <c r="DV701" i="4" s="1"/>
  <c r="BA441" i="4"/>
  <c r="AN53" i="9"/>
  <c r="D9" i="63"/>
  <c r="D9" i="64"/>
  <c r="D9" i="66"/>
  <c r="AP5" i="50"/>
  <c r="AP6" i="50" s="1"/>
  <c r="AP3" i="51"/>
  <c r="DS662" i="4"/>
  <c r="CE121" i="4"/>
  <c r="DS121" i="4" s="1"/>
  <c r="DK798" i="4"/>
  <c r="AQ773" i="4"/>
  <c r="DK773" i="4" s="1"/>
  <c r="AQ800" i="4"/>
  <c r="DK800" i="4" s="1"/>
  <c r="BW669" i="4"/>
  <c r="BW120" i="4"/>
  <c r="BK149" i="9"/>
  <c r="GC383" i="9"/>
  <c r="CM226" i="4"/>
  <c r="CR244" i="4" s="1"/>
  <c r="CM245" i="4"/>
  <c r="BS407" i="4"/>
  <c r="BT406" i="4"/>
  <c r="C36" i="55"/>
  <c r="G15" i="64"/>
  <c r="F15" i="64"/>
  <c r="K49" i="71"/>
  <c r="L49" i="71"/>
  <c r="C52" i="71"/>
  <c r="F49" i="71"/>
  <c r="AT5" i="50"/>
  <c r="AT3" i="51"/>
  <c r="DL719" i="4"/>
  <c r="J3" i="72"/>
  <c r="BX714" i="4"/>
  <c r="R720" i="4"/>
  <c r="DF720" i="4" s="1"/>
  <c r="BK707" i="4"/>
  <c r="BF702" i="4"/>
  <c r="DN702" i="4" s="1"/>
  <c r="BP659" i="4"/>
  <c r="BZ686" i="4"/>
  <c r="DR686" i="4" s="1"/>
  <c r="BA686" i="4"/>
  <c r="DM686" i="4" s="1"/>
  <c r="DV612" i="4"/>
  <c r="BE596" i="4"/>
  <c r="BE602" i="4" s="1"/>
  <c r="AL538" i="4"/>
  <c r="DJ538" i="4" s="1"/>
  <c r="W563" i="4"/>
  <c r="AV495" i="4"/>
  <c r="DL495" i="4" s="1"/>
  <c r="O583" i="4"/>
  <c r="AB438" i="4"/>
  <c r="DH438" i="4" s="1"/>
  <c r="R334" i="4"/>
  <c r="DF334" i="4" s="1"/>
  <c r="CE287" i="4"/>
  <c r="DS287" i="4" s="1"/>
  <c r="K36" i="55"/>
  <c r="BR527" i="4"/>
  <c r="S160" i="4"/>
  <c r="W355" i="4"/>
  <c r="DG355" i="4" s="1"/>
  <c r="W287" i="4"/>
  <c r="DG287" i="4" s="1"/>
  <c r="BK283" i="4"/>
  <c r="DO283" i="4" s="1"/>
  <c r="AY530" i="4"/>
  <c r="CE374" i="4"/>
  <c r="CE228" i="4" s="1"/>
  <c r="CJ359" i="4"/>
  <c r="DT359" i="4" s="1"/>
  <c r="AK448" i="4"/>
  <c r="AK449" i="4" s="1"/>
  <c r="AJ448" i="4"/>
  <c r="AJ449" i="4" s="1"/>
  <c r="CE383" i="4"/>
  <c r="DS383" i="4" s="1"/>
  <c r="CG263" i="4"/>
  <c r="CG266" i="4" s="1"/>
  <c r="BM266" i="4"/>
  <c r="AP189" i="4"/>
  <c r="S159" i="4"/>
  <c r="AT172" i="4"/>
  <c r="CT96" i="4"/>
  <c r="CT818" i="4" s="1"/>
  <c r="DV818" i="4" s="1"/>
  <c r="CD172" i="4"/>
  <c r="BB4" i="4"/>
  <c r="J895" i="4"/>
  <c r="J898" i="4"/>
  <c r="BZ160" i="4"/>
  <c r="DR160" i="4" s="1"/>
  <c r="AL160" i="4"/>
  <c r="DJ160" i="4" s="1"/>
  <c r="AC691" i="4"/>
  <c r="FR367" i="9"/>
  <c r="BZ31" i="4"/>
  <c r="DR31" i="4" s="1"/>
  <c r="AN21" i="4"/>
  <c r="AI258" i="4"/>
  <c r="BA404" i="4"/>
  <c r="DM404" i="4" s="1"/>
  <c r="DW92" i="4"/>
  <c r="CA264" i="4"/>
  <c r="DN708" i="4"/>
  <c r="BF660" i="4"/>
  <c r="DK710" i="4"/>
  <c r="AQ119" i="4"/>
  <c r="DK119" i="4" s="1"/>
  <c r="F13" i="59"/>
  <c r="O80" i="59" s="1"/>
  <c r="CJ113" i="4"/>
  <c r="DT113" i="4" s="1"/>
  <c r="DG710" i="4"/>
  <c r="W119" i="4"/>
  <c r="DG119" i="4" s="1"/>
  <c r="BT698" i="4"/>
  <c r="BT113" i="4" s="1"/>
  <c r="BS113" i="4"/>
  <c r="V26" i="9"/>
  <c r="V28" i="9" s="1"/>
  <c r="AD41" i="9"/>
  <c r="BU698" i="4"/>
  <c r="F2" i="72"/>
  <c r="F5" i="72" s="1"/>
  <c r="AB125" i="4"/>
  <c r="DH125" i="4" s="1"/>
  <c r="DH718" i="4"/>
  <c r="AU707" i="4"/>
  <c r="AT657" i="4"/>
  <c r="AT661" i="4" s="1"/>
  <c r="AT664" i="4" s="1"/>
  <c r="AT675" i="4"/>
  <c r="CJ662" i="4"/>
  <c r="CM663" i="4"/>
  <c r="CM119" i="4"/>
  <c r="BS668" i="4"/>
  <c r="AB720" i="4"/>
  <c r="DH720" i="4" s="1"/>
  <c r="CJ708" i="4"/>
  <c r="DT708" i="4" s="1"/>
  <c r="CI660" i="4"/>
  <c r="BK662" i="4"/>
  <c r="DK662" i="4"/>
  <c r="AQ121" i="4"/>
  <c r="DK121" i="4" s="1"/>
  <c r="AZ118" i="4"/>
  <c r="AX664" i="4"/>
  <c r="BK114" i="9"/>
  <c r="FY383" i="9"/>
  <c r="D52" i="66"/>
  <c r="F49" i="66"/>
  <c r="G49" i="66"/>
  <c r="DK176" i="4"/>
  <c r="AQ180" i="4"/>
  <c r="DX322" i="9"/>
  <c r="DR115" i="4"/>
  <c r="DE212" i="9"/>
  <c r="G43" i="30"/>
  <c r="D51" i="30"/>
  <c r="G51" i="30" s="1"/>
  <c r="F43" i="30"/>
  <c r="CI712" i="4"/>
  <c r="CE711" i="4"/>
  <c r="DS711" i="4" s="1"/>
  <c r="CD659" i="4"/>
  <c r="D36" i="55"/>
  <c r="D24" i="55"/>
  <c r="F46" i="56"/>
  <c r="BK710" i="4"/>
  <c r="BK714" i="4" s="1"/>
  <c r="DO714" i="4" s="1"/>
  <c r="BJ663" i="4"/>
  <c r="BK663" i="4" s="1"/>
  <c r="DO663" i="4" s="1"/>
  <c r="BJ119" i="4"/>
  <c r="BH417" i="4"/>
  <c r="GG383" i="9"/>
  <c r="G50" i="64"/>
  <c r="F50" i="64"/>
  <c r="DV326" i="9"/>
  <c r="DK91" i="4"/>
  <c r="AQ75" i="4"/>
  <c r="F51" i="48"/>
  <c r="AG438" i="4"/>
  <c r="DI438" i="4" s="1"/>
  <c r="F51" i="66"/>
  <c r="G51" i="66"/>
  <c r="G36" i="55"/>
  <c r="G16" i="55"/>
  <c r="G17" i="55" s="1"/>
  <c r="CG256" i="4"/>
  <c r="G15" i="66"/>
  <c r="F15" i="66"/>
  <c r="L52" i="81"/>
  <c r="F52" i="81"/>
  <c r="K52" i="81"/>
  <c r="D54" i="81"/>
  <c r="G51" i="81"/>
  <c r="G49" i="71"/>
  <c r="GD383" i="9"/>
  <c r="CS193" i="4"/>
  <c r="L15" i="73"/>
  <c r="R72" i="73"/>
  <c r="F15" i="73"/>
  <c r="C17" i="73"/>
  <c r="K15" i="73"/>
  <c r="DE243" i="9"/>
  <c r="BQ207" i="72"/>
  <c r="BR207" i="72"/>
  <c r="K50" i="69"/>
  <c r="L50" i="69"/>
  <c r="F50" i="69"/>
  <c r="AP4" i="51"/>
  <c r="GT383" i="9"/>
  <c r="G15" i="81"/>
  <c r="D17" i="81"/>
  <c r="G17" i="81" s="1"/>
  <c r="AD433" i="4"/>
  <c r="AH433" i="4"/>
  <c r="AM433" i="4"/>
  <c r="AO256" i="4"/>
  <c r="G41" i="64"/>
  <c r="F41" i="64"/>
  <c r="BO211" i="72"/>
  <c r="L49" i="67"/>
  <c r="K49" i="67"/>
  <c r="F49" i="67"/>
  <c r="C52" i="67"/>
  <c r="AK436" i="4"/>
  <c r="AK444" i="4" s="1"/>
  <c r="AV5" i="50"/>
  <c r="AV6" i="50" s="1"/>
  <c r="AV3" i="51"/>
  <c r="AV4" i="51" s="1"/>
  <c r="U189" i="4"/>
  <c r="DI710" i="4"/>
  <c r="AG119" i="4"/>
  <c r="DI119" i="4" s="1"/>
  <c r="CR115" i="4"/>
  <c r="BS714" i="4"/>
  <c r="BT707" i="4"/>
  <c r="BS675" i="4"/>
  <c r="DN662" i="4"/>
  <c r="BF121" i="4"/>
  <c r="DN121" i="4" s="1"/>
  <c r="D52" i="64"/>
  <c r="G49" i="64"/>
  <c r="F49" i="64"/>
  <c r="F38" i="71"/>
  <c r="L38" i="71"/>
  <c r="K38" i="71"/>
  <c r="GK383" i="9"/>
  <c r="F51" i="64"/>
  <c r="G51" i="64"/>
  <c r="G41" i="73"/>
  <c r="F41" i="73"/>
  <c r="F45" i="73" s="1"/>
  <c r="K51" i="71"/>
  <c r="L51" i="71"/>
  <c r="F51" i="71"/>
  <c r="D9" i="71"/>
  <c r="G52" i="71"/>
  <c r="BQ206" i="72"/>
  <c r="BP211" i="72"/>
  <c r="BR206" i="72"/>
  <c r="BQ208" i="72"/>
  <c r="BR208" i="72"/>
  <c r="R72" i="71"/>
  <c r="F15" i="71"/>
  <c r="L15" i="71"/>
  <c r="K15" i="71"/>
  <c r="AQ246" i="4"/>
  <c r="DK246" i="4" s="1"/>
  <c r="AQ256" i="4"/>
  <c r="DK256" i="4" s="1"/>
  <c r="K39" i="69"/>
  <c r="F39" i="69"/>
  <c r="L39" i="69"/>
  <c r="G39" i="69"/>
  <c r="F42" i="63"/>
  <c r="G42" i="63"/>
  <c r="G47" i="30"/>
  <c r="F47" i="30"/>
  <c r="BS10" i="4"/>
  <c r="D49" i="73"/>
  <c r="FZ383" i="9"/>
  <c r="AG960" i="4"/>
  <c r="DI960" i="4" s="1"/>
  <c r="L913" i="4"/>
  <c r="F23" i="68"/>
  <c r="AU72" i="72"/>
  <c r="BK784" i="4"/>
  <c r="K913" i="4"/>
  <c r="V765" i="4"/>
  <c r="V788" i="4" s="1"/>
  <c r="CN786" i="4"/>
  <c r="D5" i="72"/>
  <c r="AU713" i="4"/>
  <c r="CN713" i="4"/>
  <c r="CO713" i="4" s="1"/>
  <c r="DU713" i="4" s="1"/>
  <c r="BP709" i="4"/>
  <c r="DP709" i="4" s="1"/>
  <c r="R713" i="4"/>
  <c r="DF713" i="4" s="1"/>
  <c r="CE674" i="4"/>
  <c r="BN661" i="4"/>
  <c r="BU686" i="4"/>
  <c r="DQ686" i="4" s="1"/>
  <c r="BP660" i="4"/>
  <c r="CH674" i="4"/>
  <c r="AV607" i="4"/>
  <c r="DL607" i="4" s="1"/>
  <c r="BN596" i="4"/>
  <c r="BN602" i="4" s="1"/>
  <c r="BI595" i="4"/>
  <c r="BI596" i="4" s="1"/>
  <c r="BI602" i="4" s="1"/>
  <c r="AL555" i="4"/>
  <c r="DJ555" i="4" s="1"/>
  <c r="AV563" i="4"/>
  <c r="DL563" i="4" s="1"/>
  <c r="W559" i="4"/>
  <c r="DG559" i="4" s="1"/>
  <c r="AG555" i="4"/>
  <c r="DI555" i="4" s="1"/>
  <c r="AL537" i="4"/>
  <c r="DJ537" i="4" s="1"/>
  <c r="BA448" i="4"/>
  <c r="DM448" i="4" s="1"/>
  <c r="BF441" i="4"/>
  <c r="AS53" i="9"/>
  <c r="R287" i="4"/>
  <c r="DF287" i="4" s="1"/>
  <c r="AB283" i="4"/>
  <c r="DH283" i="4" s="1"/>
  <c r="BF257" i="4"/>
  <c r="DN257" i="4" s="1"/>
  <c r="I23" i="55"/>
  <c r="I24" i="55" s="1"/>
  <c r="BU160" i="4"/>
  <c r="DQ160" i="4" s="1"/>
  <c r="BK450" i="4"/>
  <c r="DO450" i="4" s="1"/>
  <c r="AB527" i="4"/>
  <c r="DK228" i="4"/>
  <c r="BJ164" i="4"/>
  <c r="AD164" i="4"/>
  <c r="AZ452" i="4"/>
  <c r="AZ453" i="4" s="1"/>
  <c r="CV378" i="4"/>
  <c r="AH448" i="4"/>
  <c r="AH449" i="4" s="1"/>
  <c r="BS409" i="4"/>
  <c r="CA257" i="4"/>
  <c r="Z433" i="4"/>
  <c r="AV246" i="4"/>
  <c r="DL246" i="4" s="1"/>
  <c r="BS189" i="4"/>
  <c r="BK159" i="4"/>
  <c r="DO159" i="4" s="1"/>
  <c r="CF266" i="4"/>
  <c r="AU251" i="4"/>
  <c r="AM189" i="4"/>
  <c r="AO265" i="4"/>
  <c r="BQ172" i="4"/>
  <c r="DI158" i="4"/>
  <c r="AA172" i="4"/>
  <c r="FF368" i="9"/>
  <c r="FF385" i="9" s="1"/>
  <c r="FH368" i="9"/>
  <c r="FH385" i="9" s="1"/>
  <c r="FG368" i="9"/>
  <c r="FG385" i="9" s="1"/>
  <c r="J894" i="4"/>
  <c r="BV160" i="4"/>
  <c r="AH160" i="4"/>
  <c r="EE316" i="9"/>
  <c r="DD213" i="9"/>
  <c r="I893" i="4"/>
  <c r="G11" i="43"/>
  <c r="D32" i="87"/>
  <c r="F32" i="87" s="1"/>
  <c r="BN306" i="8"/>
  <c r="D9" i="30"/>
  <c r="DO124" i="4"/>
  <c r="DK28" i="4"/>
  <c r="DR27" i="4"/>
  <c r="AN15" i="4"/>
  <c r="AI15" i="4"/>
  <c r="AL5" i="50"/>
  <c r="AL6" i="50" s="1"/>
  <c r="AL3" i="51"/>
  <c r="BD21" i="4"/>
  <c r="CG21" i="4"/>
  <c r="DQ115" i="4"/>
  <c r="BA284" i="4"/>
  <c r="DM284" i="4" s="1"/>
  <c r="DM775" i="4"/>
  <c r="AN61" i="9"/>
  <c r="AJ739" i="4"/>
  <c r="AK730" i="4"/>
  <c r="AK739" i="4" s="1"/>
  <c r="AL730" i="4"/>
  <c r="AV721" i="4"/>
  <c r="DL721" i="4" s="1"/>
  <c r="AP739" i="4"/>
  <c r="AF118" i="4"/>
  <c r="DV662" i="4"/>
  <c r="CT121" i="4"/>
  <c r="DV121" i="4" s="1"/>
  <c r="DR662" i="4"/>
  <c r="BZ121" i="4"/>
  <c r="BA675" i="4"/>
  <c r="BA657" i="4"/>
  <c r="DM657" i="4" s="1"/>
  <c r="CE114" i="4"/>
  <c r="DS114" i="4" s="1"/>
  <c r="BE140" i="4"/>
  <c r="BE146" i="4" s="1"/>
  <c r="BK709" i="4"/>
  <c r="DO709" i="4" s="1"/>
  <c r="AT659" i="4"/>
  <c r="BU114" i="4"/>
  <c r="DM662" i="4"/>
  <c r="BA121" i="4"/>
  <c r="DM121" i="4" s="1"/>
  <c r="BK594" i="4"/>
  <c r="DO594" i="4" s="1"/>
  <c r="BA710" i="4"/>
  <c r="AY663" i="4"/>
  <c r="AY119" i="4"/>
  <c r="Y678" i="4"/>
  <c r="AD678" i="4"/>
  <c r="Y118" i="4"/>
  <c r="Z446" i="4"/>
  <c r="Z447" i="4" s="1"/>
  <c r="GN383" i="9"/>
  <c r="FU383" i="9"/>
  <c r="N36" i="55"/>
  <c r="N24" i="55"/>
  <c r="F55" i="56"/>
  <c r="G55" i="56"/>
  <c r="I19" i="55"/>
  <c r="G38" i="63"/>
  <c r="F38" i="63"/>
  <c r="BY708" i="4"/>
  <c r="BX660" i="4"/>
  <c r="DR122" i="4"/>
  <c r="EF323" i="9"/>
  <c r="CT663" i="4"/>
  <c r="DV663" i="4" s="1"/>
  <c r="CR119" i="4"/>
  <c r="BZ114" i="4"/>
  <c r="BR668" i="4"/>
  <c r="AN724" i="4"/>
  <c r="AN726" i="4" s="1"/>
  <c r="J17" i="55"/>
  <c r="G50" i="66"/>
  <c r="F50" i="66"/>
  <c r="F38" i="67"/>
  <c r="CT71" i="4"/>
  <c r="DV71" i="4" s="1"/>
  <c r="J19" i="68"/>
  <c r="J20" i="68" s="1"/>
  <c r="F51" i="63"/>
  <c r="G51" i="63"/>
  <c r="F15" i="63"/>
  <c r="G15" i="63"/>
  <c r="C54" i="81"/>
  <c r="F51" i="81"/>
  <c r="K51" i="81"/>
  <c r="L51" i="81"/>
  <c r="G52" i="81"/>
  <c r="G51" i="71"/>
  <c r="U10" i="4"/>
  <c r="B25" i="53"/>
  <c r="B6" i="53"/>
  <c r="K30" i="81"/>
  <c r="F30" i="81"/>
  <c r="G19" i="56"/>
  <c r="F19" i="56"/>
  <c r="BR210" i="72"/>
  <c r="BQ210" i="72"/>
  <c r="K51" i="69"/>
  <c r="L51" i="69"/>
  <c r="F51" i="69"/>
  <c r="C52" i="69"/>
  <c r="L49" i="69"/>
  <c r="K49" i="69"/>
  <c r="F49" i="69"/>
  <c r="G50" i="69"/>
  <c r="G15" i="71"/>
  <c r="G42" i="66"/>
  <c r="F42" i="66"/>
  <c r="G41" i="66"/>
  <c r="F41" i="66"/>
  <c r="F15" i="81"/>
  <c r="F17" i="81" s="1"/>
  <c r="AU4" i="51"/>
  <c r="CQ722" i="4"/>
  <c r="CR717" i="4"/>
  <c r="AD691" i="4"/>
  <c r="FS367" i="9"/>
  <c r="DM708" i="4"/>
  <c r="BA660" i="4"/>
  <c r="CO710" i="4"/>
  <c r="CN119" i="4"/>
  <c r="CN663" i="4"/>
  <c r="BE675" i="4"/>
  <c r="BE657" i="4"/>
  <c r="BE666" i="4" s="1"/>
  <c r="K45" i="73"/>
  <c r="L45" i="73"/>
  <c r="G38" i="66"/>
  <c r="F38" i="66"/>
  <c r="H499" i="4"/>
  <c r="H496" i="4"/>
  <c r="H36" i="55"/>
  <c r="H16" i="55"/>
  <c r="H17" i="55" s="1"/>
  <c r="H24" i="55"/>
  <c r="EB320" i="9"/>
  <c r="EB326" i="9" s="1"/>
  <c r="DA218" i="9"/>
  <c r="AG963" i="4"/>
  <c r="DI963" i="4" s="1"/>
  <c r="CM714" i="4"/>
  <c r="AV713" i="4"/>
  <c r="DL713" i="4" s="1"/>
  <c r="AP714" i="4"/>
  <c r="EC316" i="9"/>
  <c r="DB213" i="9"/>
  <c r="V704" i="4"/>
  <c r="BU707" i="4"/>
  <c r="BU714" i="4" s="1"/>
  <c r="DQ714" i="4" s="1"/>
  <c r="CA677" i="4"/>
  <c r="AB575" i="4"/>
  <c r="CM673" i="4"/>
  <c r="CM114" i="4" s="1"/>
  <c r="Q583" i="4"/>
  <c r="AK540" i="4"/>
  <c r="AQ521" i="4"/>
  <c r="DK521" i="4" s="1"/>
  <c r="AL535" i="4"/>
  <c r="DJ535" i="4" s="1"/>
  <c r="W407" i="4"/>
  <c r="DG407" i="4" s="1"/>
  <c r="AV431" i="4"/>
  <c r="CM232" i="4"/>
  <c r="CM242" i="4" s="1"/>
  <c r="CD164" i="4"/>
  <c r="DJ438" i="4"/>
  <c r="Z189" i="4"/>
  <c r="CE188" i="4"/>
  <c r="CJ189" i="4" s="1"/>
  <c r="DT189" i="4" s="1"/>
  <c r="AO530" i="4"/>
  <c r="AG526" i="4"/>
  <c r="DI526" i="4" s="1"/>
  <c r="CX116" i="4"/>
  <c r="J893" i="4"/>
  <c r="J896" i="4"/>
  <c r="I896" i="4"/>
  <c r="AF5" i="50"/>
  <c r="AF6" i="50" s="1"/>
  <c r="AF3" i="51"/>
  <c r="GD367" i="9"/>
  <c r="DM3" i="4"/>
  <c r="BB355" i="4"/>
  <c r="CL265" i="4"/>
  <c r="DL775" i="4"/>
  <c r="AI61" i="9"/>
  <c r="AI62" i="9" s="1"/>
  <c r="DH698" i="4"/>
  <c r="AB113" i="4"/>
  <c r="DH113" i="4" s="1"/>
  <c r="DE710" i="4"/>
  <c r="M119" i="4"/>
  <c r="DE119" i="4" s="1"/>
  <c r="CD698" i="4"/>
  <c r="CD113" i="4" s="1"/>
  <c r="CC113" i="4"/>
  <c r="CK141" i="4"/>
  <c r="CJ141" i="4"/>
  <c r="DT141" i="4" s="1"/>
  <c r="CE698" i="4"/>
  <c r="BG686" i="4"/>
  <c r="G5" i="72"/>
  <c r="BF707" i="4"/>
  <c r="AG707" i="4"/>
  <c r="DU662" i="4"/>
  <c r="CO121" i="4"/>
  <c r="DU121" i="4" s="1"/>
  <c r="DQ662" i="4"/>
  <c r="BU121" i="4"/>
  <c r="CX378" i="4"/>
  <c r="BF710" i="4"/>
  <c r="BD663" i="4"/>
  <c r="BF663" i="4" s="1"/>
  <c r="DN663" i="4" s="1"/>
  <c r="BD119" i="4"/>
  <c r="AQ708" i="4"/>
  <c r="AO660" i="4"/>
  <c r="CH669" i="4"/>
  <c r="CH120" i="4"/>
  <c r="AU711" i="4"/>
  <c r="AU659" i="4" s="1"/>
  <c r="DL662" i="4"/>
  <c r="AV121" i="4"/>
  <c r="DL121" i="4" s="1"/>
  <c r="AZ710" i="4"/>
  <c r="AA707" i="4"/>
  <c r="Z675" i="4"/>
  <c r="GV383" i="9"/>
  <c r="I36" i="55"/>
  <c r="G49" i="63"/>
  <c r="D52" i="63"/>
  <c r="F49" i="63"/>
  <c r="F38" i="64"/>
  <c r="G38" i="64"/>
  <c r="R500" i="4"/>
  <c r="Q499" i="4"/>
  <c r="Q496" i="4"/>
  <c r="DN268" i="9"/>
  <c r="GX376" i="9"/>
  <c r="GX378" i="9"/>
  <c r="FX383" i="9"/>
  <c r="F54" i="56"/>
  <c r="G54" i="56"/>
  <c r="BS526" i="4"/>
  <c r="BS530" i="4" s="1"/>
  <c r="K39" i="71"/>
  <c r="L39" i="71"/>
  <c r="F39" i="71"/>
  <c r="G38" i="71"/>
  <c r="H5" i="72"/>
  <c r="CT710" i="4"/>
  <c r="CI666" i="4"/>
  <c r="AP701" i="4"/>
  <c r="AO116" i="4"/>
  <c r="AL347" i="4"/>
  <c r="DJ347" i="4" s="1"/>
  <c r="AL334" i="4"/>
  <c r="DJ334" i="4" s="1"/>
  <c r="GO383" i="9"/>
  <c r="FV383" i="9"/>
  <c r="G50" i="63"/>
  <c r="F50" i="63"/>
  <c r="G20" i="68"/>
  <c r="L36" i="55"/>
  <c r="L24" i="55"/>
  <c r="L50" i="71"/>
  <c r="K50" i="71"/>
  <c r="F50" i="71"/>
  <c r="G50" i="71"/>
  <c r="D12" i="48"/>
  <c r="G12" i="48" s="1"/>
  <c r="F9" i="48"/>
  <c r="G9" i="48"/>
  <c r="FW383" i="9"/>
  <c r="G49" i="67"/>
  <c r="D52" i="67"/>
  <c r="O36" i="55"/>
  <c r="CT188" i="4"/>
  <c r="CT172" i="4"/>
  <c r="DV172" i="4" s="1"/>
  <c r="CT11" i="4"/>
  <c r="BQ209" i="72"/>
  <c r="BR209" i="72"/>
  <c r="G49" i="69"/>
  <c r="D52" i="69"/>
  <c r="D12" i="56"/>
  <c r="G12" i="56" s="1"/>
  <c r="F9" i="56"/>
  <c r="G9" i="56"/>
  <c r="F38" i="69"/>
  <c r="L38" i="69"/>
  <c r="K38" i="69"/>
  <c r="G42" i="64"/>
  <c r="F42" i="64"/>
  <c r="G41" i="63"/>
  <c r="F41" i="63"/>
  <c r="G46" i="30"/>
  <c r="F46" i="30"/>
  <c r="L15" i="69"/>
  <c r="K15" i="69"/>
  <c r="F15" i="69"/>
  <c r="C52" i="73"/>
  <c r="L49" i="73"/>
  <c r="K49" i="73"/>
  <c r="D12" i="35"/>
  <c r="G12" i="35" s="1"/>
  <c r="F9" i="35"/>
  <c r="G9" i="35"/>
  <c r="GH383" i="9"/>
  <c r="FS383" i="9"/>
  <c r="AL4" i="51"/>
  <c r="AK4" i="51"/>
  <c r="AU6" i="50"/>
  <c r="JO889" i="72"/>
  <c r="JO892" i="72" s="1"/>
  <c r="CT718" i="4"/>
  <c r="DV718" i="4" s="1"/>
  <c r="CS125" i="4"/>
  <c r="CT614" i="4"/>
  <c r="CZ180" i="4"/>
  <c r="CZ26" i="4" s="1"/>
  <c r="CY181" i="4"/>
  <c r="DW181" i="4" s="1"/>
  <c r="CV193" i="4"/>
  <c r="CY790" i="4"/>
  <c r="CZ790" i="4" s="1"/>
  <c r="T43" i="53"/>
  <c r="F28" i="87"/>
  <c r="IT821" i="72"/>
  <c r="IV821" i="72"/>
  <c r="B53" i="45"/>
  <c r="DV57" i="4"/>
  <c r="CU57" i="4"/>
  <c r="CU56" i="4" s="1"/>
  <c r="CU58" i="4" s="1"/>
  <c r="CS444" i="51"/>
  <c r="CS480" i="51"/>
  <c r="CS506" i="51"/>
  <c r="CS507" i="51" s="1"/>
  <c r="CZ367" i="4"/>
  <c r="DX367" i="4" s="1"/>
  <c r="CV735" i="49"/>
  <c r="CV554" i="49"/>
  <c r="CV839" i="49" s="1"/>
  <c r="CK359" i="4"/>
  <c r="CJ360" i="4"/>
  <c r="DT360" i="4" s="1"/>
  <c r="Z164" i="4"/>
  <c r="AU530" i="4"/>
  <c r="BB283" i="4"/>
  <c r="BF283" i="4" s="1"/>
  <c r="DN283" i="4" s="1"/>
  <c r="W283" i="4"/>
  <c r="DG283" i="4" s="1"/>
  <c r="BY266" i="4"/>
  <c r="W159" i="4"/>
  <c r="DG159" i="4" s="1"/>
  <c r="R159" i="4"/>
  <c r="DF159" i="4" s="1"/>
  <c r="BY164" i="4"/>
  <c r="AW359" i="4"/>
  <c r="AV262" i="4"/>
  <c r="CR586" i="49"/>
  <c r="CQ727" i="49"/>
  <c r="CV731" i="49"/>
  <c r="CV550" i="49"/>
  <c r="CV835" i="49" s="1"/>
  <c r="CP904" i="49"/>
  <c r="CP905" i="49" s="1"/>
  <c r="CP898" i="49"/>
  <c r="CV544" i="49"/>
  <c r="CP827" i="49"/>
  <c r="CP1038" i="49" s="1"/>
  <c r="CU842" i="49"/>
  <c r="CQ684" i="49"/>
  <c r="CQ828" i="49" s="1"/>
  <c r="CR584" i="49"/>
  <c r="CQ725" i="49"/>
  <c r="DR261" i="4"/>
  <c r="CE264" i="4"/>
  <c r="DS264" i="4" s="1"/>
  <c r="CV787" i="49"/>
  <c r="CV535" i="49"/>
  <c r="CV821" i="49" s="1"/>
  <c r="CJ1044" i="49"/>
  <c r="CJ1043" i="49"/>
  <c r="CJ1046" i="49" s="1"/>
  <c r="CJ1045" i="49"/>
  <c r="CI1044" i="49"/>
  <c r="CI1043" i="49"/>
  <c r="CI1046" i="49" s="1"/>
  <c r="CI1045" i="49"/>
  <c r="CU965" i="49"/>
  <c r="CV659" i="49"/>
  <c r="R359" i="4"/>
  <c r="DF359" i="4" s="1"/>
  <c r="AG359" i="4"/>
  <c r="DI359" i="4" s="1"/>
  <c r="BI528" i="4"/>
  <c r="Y528" i="4"/>
  <c r="BC530" i="4"/>
  <c r="BP355" i="4"/>
  <c r="DP355" i="4" s="1"/>
  <c r="Y266" i="4"/>
  <c r="BX164" i="4"/>
  <c r="CH416" i="51"/>
  <c r="CH415" i="51"/>
  <c r="CQ587" i="49"/>
  <c r="CP688" i="49"/>
  <c r="CP833" i="49" s="1"/>
  <c r="CP1036" i="49" s="1"/>
  <c r="CP729" i="49"/>
  <c r="CP685" i="49"/>
  <c r="CP829" i="49" s="1"/>
  <c r="CP1037" i="49" s="1"/>
  <c r="CQ585" i="49"/>
  <c r="CQ601" i="49" s="1"/>
  <c r="CP726" i="49"/>
  <c r="CL846" i="49"/>
  <c r="CU967" i="49"/>
  <c r="CV661" i="49"/>
  <c r="CV967" i="49" s="1"/>
  <c r="CU693" i="49"/>
  <c r="CU838" i="49" s="1"/>
  <c r="CV542" i="49"/>
  <c r="CV543" i="49"/>
  <c r="CV541" i="49"/>
  <c r="CP601" i="49"/>
  <c r="CK848" i="49"/>
  <c r="CK1038" i="49"/>
  <c r="CV719" i="49"/>
  <c r="CV536" i="49"/>
  <c r="CV884" i="49"/>
  <c r="CV893" i="49" s="1"/>
  <c r="CV526" i="49"/>
  <c r="CT442" i="51" s="1"/>
  <c r="CV534" i="49"/>
  <c r="CV682" i="49"/>
  <c r="CV826" i="49" s="1"/>
  <c r="CV723" i="49"/>
  <c r="CK906" i="49"/>
  <c r="CK899" i="49"/>
  <c r="CK900" i="49"/>
  <c r="IX803" i="72"/>
  <c r="IX804" i="72" s="1"/>
  <c r="CP358" i="4"/>
  <c r="CU894" i="49"/>
  <c r="CU902" i="49"/>
  <c r="CU903" i="49" s="1"/>
  <c r="CS20" i="51"/>
  <c r="CS36" i="51" s="1"/>
  <c r="BA359" i="4"/>
  <c r="DM359" i="4" s="1"/>
  <c r="AG355" i="4"/>
  <c r="DI355" i="4" s="1"/>
  <c r="AQ287" i="4"/>
  <c r="DK287" i="4" s="1"/>
  <c r="DT358" i="4"/>
  <c r="BF355" i="4"/>
  <c r="DN355" i="4" s="1"/>
  <c r="AK528" i="4"/>
  <c r="AA530" i="4"/>
  <c r="BI266" i="4"/>
  <c r="AO266" i="4"/>
  <c r="BN29" i="51"/>
  <c r="CV803" i="49"/>
  <c r="CU563" i="49"/>
  <c r="CU565" i="49" s="1"/>
  <c r="CU566" i="49" s="1"/>
  <c r="CV672" i="49"/>
  <c r="CQ972" i="49"/>
  <c r="CQ810" i="49"/>
  <c r="CQ700" i="49"/>
  <c r="CQ846" i="49" s="1"/>
  <c r="CV739" i="49"/>
  <c r="CV558" i="49"/>
  <c r="CV843" i="49" s="1"/>
  <c r="CU805" i="49"/>
  <c r="CU695" i="49"/>
  <c r="CU840" i="49" s="1"/>
  <c r="CV693" i="49"/>
  <c r="CV838" i="49" s="1"/>
  <c r="BZ1046" i="49"/>
  <c r="CR583" i="49"/>
  <c r="CQ724" i="49"/>
  <c r="CJ997" i="49"/>
  <c r="CJ998" i="49" s="1"/>
  <c r="CJ907" i="49"/>
  <c r="CV738" i="49"/>
  <c r="CV557" i="49"/>
  <c r="CV842" i="49" s="1"/>
  <c r="CV457" i="49"/>
  <c r="DU158" i="4"/>
  <c r="CP158" i="4"/>
  <c r="R526" i="4"/>
  <c r="BQ407" i="51"/>
  <c r="BP23" i="51"/>
  <c r="BP363" i="51"/>
  <c r="BO365" i="51"/>
  <c r="BO398" i="51" s="1"/>
  <c r="BP40" i="51"/>
  <c r="BO400" i="51"/>
  <c r="BO29" i="51"/>
  <c r="BO37" i="51"/>
  <c r="BO25" i="51"/>
  <c r="BR408" i="51"/>
  <c r="BQ24" i="51"/>
  <c r="BQ364" i="51"/>
  <c r="BR451" i="51"/>
  <c r="BP450" i="51"/>
  <c r="BP452" i="51" s="1"/>
  <c r="BP38" i="51"/>
  <c r="BM33" i="51"/>
  <c r="DV8" i="4"/>
  <c r="CY389" i="72"/>
  <c r="BO39" i="51"/>
  <c r="BO31" i="51"/>
  <c r="BP409" i="51"/>
  <c r="BP410" i="51" s="1"/>
  <c r="BQ405" i="51"/>
  <c r="BP21" i="51"/>
  <c r="BP361" i="51"/>
  <c r="BQ448" i="51"/>
  <c r="BR406" i="51"/>
  <c r="BQ22" i="51"/>
  <c r="BQ362" i="51"/>
  <c r="BR449" i="51"/>
  <c r="BS449" i="51" s="1"/>
  <c r="BN28" i="51"/>
  <c r="BN30" i="51"/>
  <c r="BN32" i="51"/>
  <c r="BQ451" i="51"/>
  <c r="BO456" i="51"/>
  <c r="BV368" i="4"/>
  <c r="DN595" i="4"/>
  <c r="BF596" i="4"/>
  <c r="DN596" i="4" s="1"/>
  <c r="DI437" i="4"/>
  <c r="DH527" i="4"/>
  <c r="AC531" i="4"/>
  <c r="DU717" i="4"/>
  <c r="BP477" i="4"/>
  <c r="DP477" i="4" s="1"/>
  <c r="DP478" i="4"/>
  <c r="DN441" i="4"/>
  <c r="BF442" i="4"/>
  <c r="DN442" i="4" s="1"/>
  <c r="CM243" i="4"/>
  <c r="AL478" i="4"/>
  <c r="DS674" i="4"/>
  <c r="CE677" i="4"/>
  <c r="DS677" i="4" s="1"/>
  <c r="CE118" i="4"/>
  <c r="DS118" i="4" s="1"/>
  <c r="DM441" i="4"/>
  <c r="BA451" i="4"/>
  <c r="DM451" i="4" s="1"/>
  <c r="DM450" i="4"/>
  <c r="DO527" i="4"/>
  <c r="DL527" i="4"/>
  <c r="AV531" i="4"/>
  <c r="AW531" i="4"/>
  <c r="AW537" i="4" s="1"/>
  <c r="AI189" i="4"/>
  <c r="AN189" i="4"/>
  <c r="DT49" i="4"/>
  <c r="CK49" i="4"/>
  <c r="DL796" i="4"/>
  <c r="AV798" i="4"/>
  <c r="CI840" i="4"/>
  <c r="CJ840" i="4" s="1"/>
  <c r="DI784" i="4"/>
  <c r="AH141" i="4"/>
  <c r="DH759" i="4"/>
  <c r="AB685" i="4"/>
  <c r="DH685" i="4" s="1"/>
  <c r="CT760" i="4"/>
  <c r="DA856" i="4"/>
  <c r="BZ806" i="4"/>
  <c r="DR798" i="4"/>
  <c r="BZ773" i="4"/>
  <c r="DR773" i="4" s="1"/>
  <c r="DN784" i="4"/>
  <c r="AL760" i="4"/>
  <c r="DG751" i="4"/>
  <c r="BO719" i="4"/>
  <c r="BO124" i="4" s="1"/>
  <c r="BN124" i="4"/>
  <c r="AX860" i="4"/>
  <c r="AX796" i="4" s="1"/>
  <c r="AX798" i="4" s="1"/>
  <c r="AY837" i="4"/>
  <c r="DU774" i="4"/>
  <c r="CP774" i="4"/>
  <c r="DO771" i="4"/>
  <c r="DI771" i="4"/>
  <c r="DX763" i="4"/>
  <c r="DA763" i="4"/>
  <c r="DY763" i="4" s="1"/>
  <c r="AV943" i="4"/>
  <c r="DL943" i="4" s="1"/>
  <c r="DL941" i="4"/>
  <c r="W755" i="4"/>
  <c r="DG755" i="4" s="1"/>
  <c r="DG753" i="4"/>
  <c r="BP719" i="4"/>
  <c r="CR839" i="4"/>
  <c r="DU860" i="4"/>
  <c r="CO796" i="4"/>
  <c r="CZ783" i="4"/>
  <c r="DW783" i="4"/>
  <c r="AQ786" i="4"/>
  <c r="DK786" i="4" s="1"/>
  <c r="DK771" i="4"/>
  <c r="X942" i="4"/>
  <c r="Y754" i="4"/>
  <c r="BN961" i="4"/>
  <c r="BN125" i="4"/>
  <c r="DE717" i="4"/>
  <c r="DR784" i="4"/>
  <c r="CA141" i="4"/>
  <c r="DW782" i="4"/>
  <c r="CZ782" i="4"/>
  <c r="BI759" i="4"/>
  <c r="BH685" i="4"/>
  <c r="BH686" i="4" s="1"/>
  <c r="S942" i="4"/>
  <c r="T754" i="4"/>
  <c r="R943" i="4"/>
  <c r="DF943" i="4" s="1"/>
  <c r="DF941" i="4"/>
  <c r="DW748" i="4"/>
  <c r="CZ748" i="4"/>
  <c r="DU871" i="4"/>
  <c r="CO797" i="4"/>
  <c r="DU797" i="4" s="1"/>
  <c r="CS863" i="4"/>
  <c r="AL800" i="4"/>
  <c r="DJ798" i="4"/>
  <c r="AL773" i="4"/>
  <c r="DJ773" i="4" s="1"/>
  <c r="CZ775" i="4"/>
  <c r="DW775" i="4"/>
  <c r="CO771" i="4"/>
  <c r="DU768" i="4"/>
  <c r="CP691" i="4"/>
  <c r="AZ719" i="4"/>
  <c r="AZ124" i="4" s="1"/>
  <c r="AY124" i="4"/>
  <c r="N786" i="4"/>
  <c r="DF718" i="4"/>
  <c r="R125" i="4"/>
  <c r="DF125" i="4" s="1"/>
  <c r="BD714" i="4"/>
  <c r="AJ738" i="4"/>
  <c r="AK702" i="4"/>
  <c r="AJ122" i="4"/>
  <c r="J942" i="4"/>
  <c r="K754" i="4"/>
  <c r="CM722" i="4"/>
  <c r="BN722" i="4"/>
  <c r="BN724" i="4" s="1"/>
  <c r="BN726" i="4" s="1"/>
  <c r="AD722" i="4"/>
  <c r="AD724" i="4" s="1"/>
  <c r="AD726" i="4" s="1"/>
  <c r="AE717" i="4"/>
  <c r="P722" i="4"/>
  <c r="Q717" i="4"/>
  <c r="DH701" i="4"/>
  <c r="AB704" i="4"/>
  <c r="DG707" i="4"/>
  <c r="W714" i="4"/>
  <c r="DG714" i="4" s="1"/>
  <c r="W675" i="4"/>
  <c r="M704" i="4"/>
  <c r="DE698" i="4"/>
  <c r="M113" i="4"/>
  <c r="DE113" i="4" s="1"/>
  <c r="Q963" i="4"/>
  <c r="Q961" i="4"/>
  <c r="R961" i="4" s="1"/>
  <c r="DF961" i="4" s="1"/>
  <c r="Q125" i="4"/>
  <c r="BJ714" i="4"/>
  <c r="BJ675" i="4"/>
  <c r="BJ657" i="4"/>
  <c r="DU707" i="4"/>
  <c r="DK711" i="4"/>
  <c r="AQ659" i="4"/>
  <c r="DK659" i="4" s="1"/>
  <c r="CM703" i="4"/>
  <c r="CL115" i="4"/>
  <c r="AO724" i="4"/>
  <c r="AO726" i="4" s="1"/>
  <c r="V678" i="4"/>
  <c r="V118" i="4"/>
  <c r="CB664" i="4"/>
  <c r="BD661" i="4"/>
  <c r="CF666" i="4"/>
  <c r="CF661" i="4"/>
  <c r="CJ657" i="4"/>
  <c r="W626" i="4"/>
  <c r="DG626" i="4" s="1"/>
  <c r="DG625" i="4"/>
  <c r="BC714" i="4"/>
  <c r="BE711" i="4"/>
  <c r="BC659" i="4"/>
  <c r="DF710" i="4"/>
  <c r="R119" i="4"/>
  <c r="DF119" i="4" s="1"/>
  <c r="DM698" i="4"/>
  <c r="BA113" i="4"/>
  <c r="DM113" i="4" s="1"/>
  <c r="DS675" i="4"/>
  <c r="CE678" i="4"/>
  <c r="DS678" i="4" s="1"/>
  <c r="BU668" i="4"/>
  <c r="DQ668" i="4" s="1"/>
  <c r="DQ659" i="4"/>
  <c r="BW666" i="4"/>
  <c r="BW661" i="4"/>
  <c r="BF644" i="4"/>
  <c r="DN641" i="4"/>
  <c r="CH722" i="4"/>
  <c r="BP116" i="4"/>
  <c r="DO698" i="4"/>
  <c r="BK113" i="4"/>
  <c r="DP675" i="4"/>
  <c r="BM677" i="4"/>
  <c r="BM118" i="4"/>
  <c r="CU709" i="4"/>
  <c r="CY662" i="4"/>
  <c r="CU121" i="4"/>
  <c r="BV670" i="4"/>
  <c r="BV664" i="4"/>
  <c r="BB670" i="4"/>
  <c r="BB664" i="4"/>
  <c r="DT659" i="4"/>
  <c r="BZ657" i="4"/>
  <c r="AG644" i="4"/>
  <c r="AG645" i="4" s="1"/>
  <c r="DI645" i="4" s="1"/>
  <c r="DI641" i="4"/>
  <c r="AF713" i="4"/>
  <c r="AE714" i="4"/>
  <c r="AJ714" i="4"/>
  <c r="AY703" i="4"/>
  <c r="AX115" i="4"/>
  <c r="BD704" i="4"/>
  <c r="BD724" i="4" s="1"/>
  <c r="BD726" i="4" s="1"/>
  <c r="BD113" i="4"/>
  <c r="BF686" i="4"/>
  <c r="DN686" i="4" s="1"/>
  <c r="CJ673" i="4"/>
  <c r="CK673" i="4"/>
  <c r="CK114" i="4" s="1"/>
  <c r="CF674" i="4"/>
  <c r="CK670" i="4"/>
  <c r="CK664" i="4"/>
  <c r="DR658" i="4"/>
  <c r="BZ667" i="4"/>
  <c r="DR667" i="4" s="1"/>
  <c r="BA658" i="4"/>
  <c r="CX616" i="4"/>
  <c r="CX29" i="4" s="1"/>
  <c r="AB581" i="4"/>
  <c r="DH581" i="4" s="1"/>
  <c r="DH575" i="4"/>
  <c r="CI677" i="4"/>
  <c r="CI118" i="4"/>
  <c r="CH677" i="4"/>
  <c r="CH118" i="4"/>
  <c r="DN575" i="4"/>
  <c r="BF581" i="4"/>
  <c r="DN581" i="4" s="1"/>
  <c r="AQ563" i="4"/>
  <c r="DK563" i="4" s="1"/>
  <c r="DK558" i="4"/>
  <c r="CQ673" i="4"/>
  <c r="CQ114" i="4" s="1"/>
  <c r="CL674" i="4"/>
  <c r="CK649" i="4"/>
  <c r="DT649" i="4"/>
  <c r="DS616" i="4"/>
  <c r="CE619" i="4"/>
  <c r="T582" i="4"/>
  <c r="T583" i="4"/>
  <c r="S564" i="4"/>
  <c r="S565" i="4"/>
  <c r="AA499" i="4"/>
  <c r="AB498" i="4"/>
  <c r="AF498" i="4"/>
  <c r="S522" i="4"/>
  <c r="BA447" i="4"/>
  <c r="DM447" i="4" s="1"/>
  <c r="DM446" i="4"/>
  <c r="R513" i="4"/>
  <c r="DF513" i="4" s="1"/>
  <c r="DF505" i="4"/>
  <c r="AY459" i="4"/>
  <c r="AY458" i="4"/>
  <c r="AE459" i="4"/>
  <c r="AE458" i="4"/>
  <c r="BI442" i="4"/>
  <c r="BI457" i="4"/>
  <c r="BI469" i="4"/>
  <c r="BI472" i="4" s="1"/>
  <c r="BI463" i="4"/>
  <c r="AQ450" i="4"/>
  <c r="AQ449" i="4"/>
  <c r="DK449" i="4" s="1"/>
  <c r="AP448" i="4"/>
  <c r="AP449" i="4" s="1"/>
  <c r="AO438" i="4"/>
  <c r="AO436" i="4" s="1"/>
  <c r="AN448" i="4"/>
  <c r="AN449" i="4" s="1"/>
  <c r="AM448" i="4"/>
  <c r="AO448" i="4"/>
  <c r="AO449" i="4" s="1"/>
  <c r="DK438" i="4"/>
  <c r="DR367" i="4"/>
  <c r="BA600" i="4"/>
  <c r="DL600" i="4"/>
  <c r="BA555" i="4"/>
  <c r="DM555" i="4" s="1"/>
  <c r="BA521" i="4"/>
  <c r="DM521" i="4" s="1"/>
  <c r="AQ483" i="4"/>
  <c r="DK483" i="4" s="1"/>
  <c r="DK482" i="4"/>
  <c r="BJ522" i="4"/>
  <c r="BJ507" i="4"/>
  <c r="BJ511" i="4"/>
  <c r="BE458" i="4"/>
  <c r="BE459" i="4"/>
  <c r="AK458" i="4"/>
  <c r="AK459" i="4"/>
  <c r="N494" i="4"/>
  <c r="DJ354" i="4"/>
  <c r="AL356" i="4"/>
  <c r="DJ356" i="4" s="1"/>
  <c r="BA477" i="4"/>
  <c r="DM477" i="4" s="1"/>
  <c r="DM478" i="4"/>
  <c r="BA487" i="4"/>
  <c r="DM487" i="4" s="1"/>
  <c r="DM461" i="4"/>
  <c r="Z459" i="4"/>
  <c r="Z458" i="4"/>
  <c r="BL469" i="4"/>
  <c r="BL472" i="4" s="1"/>
  <c r="BL457" i="4"/>
  <c r="BL442" i="4"/>
  <c r="BL463" i="4"/>
  <c r="AZ458" i="4"/>
  <c r="AZ459" i="4"/>
  <c r="AV440" i="4"/>
  <c r="T434" i="4"/>
  <c r="Y434" i="4"/>
  <c r="AA444" i="4"/>
  <c r="AA433" i="4"/>
  <c r="DP431" i="4"/>
  <c r="DK282" i="4"/>
  <c r="AQ284" i="4"/>
  <c r="DK284" i="4" s="1"/>
  <c r="CX264" i="4"/>
  <c r="BJ264" i="4"/>
  <c r="BO264" i="4"/>
  <c r="BJ263" i="4"/>
  <c r="V264" i="4"/>
  <c r="V263" i="4"/>
  <c r="AA264" i="4"/>
  <c r="BP248" i="4"/>
  <c r="DP248" i="4" s="1"/>
  <c r="DP234" i="4"/>
  <c r="AB244" i="4"/>
  <c r="DH244" i="4" s="1"/>
  <c r="DH223" i="4"/>
  <c r="BZ183" i="4"/>
  <c r="BZ171" i="4"/>
  <c r="BZ193" i="4"/>
  <c r="DR167" i="4"/>
  <c r="BR531" i="4"/>
  <c r="BR528" i="4"/>
  <c r="BB528" i="4"/>
  <c r="Z531" i="4"/>
  <c r="Z528" i="4"/>
  <c r="N446" i="4"/>
  <c r="BA445" i="4"/>
  <c r="DM444" i="4"/>
  <c r="AB437" i="4"/>
  <c r="X434" i="4"/>
  <c r="AC434" i="4"/>
  <c r="AE444" i="4"/>
  <c r="AE433" i="4"/>
  <c r="AG436" i="4"/>
  <c r="CP359" i="4"/>
  <c r="CO360" i="4"/>
  <c r="DU360" i="4" s="1"/>
  <c r="DU358" i="4"/>
  <c r="CO262" i="4"/>
  <c r="AH359" i="4"/>
  <c r="AL359" i="4" s="1"/>
  <c r="DJ359" i="4" s="1"/>
  <c r="AG360" i="4"/>
  <c r="DI360" i="4" s="1"/>
  <c r="DI358" i="4"/>
  <c r="AG262" i="4"/>
  <c r="CI384" i="4"/>
  <c r="CI379" i="4"/>
  <c r="CP244" i="4"/>
  <c r="BU183" i="4"/>
  <c r="BU193" i="4"/>
  <c r="DQ193" i="4" s="1"/>
  <c r="BU171" i="4"/>
  <c r="BU172" i="4" s="1"/>
  <c r="DQ172" i="4" s="1"/>
  <c r="DQ167" i="4"/>
  <c r="BI538" i="4"/>
  <c r="BI539" i="4" s="1"/>
  <c r="BO486" i="4"/>
  <c r="BO483" i="4"/>
  <c r="BT453" i="4"/>
  <c r="BN494" i="4"/>
  <c r="BN495" i="4" s="1"/>
  <c r="BN465" i="4"/>
  <c r="Y494" i="4"/>
  <c r="Y446" i="4"/>
  <c r="Y447" i="4" s="1"/>
  <c r="AJ434" i="4"/>
  <c r="AO434" i="4"/>
  <c r="CW378" i="4"/>
  <c r="CT384" i="4"/>
  <c r="DV384" i="4" s="1"/>
  <c r="DU367" i="4"/>
  <c r="BV359" i="4"/>
  <c r="BZ359" i="4" s="1"/>
  <c r="DR359" i="4" s="1"/>
  <c r="BU360" i="4"/>
  <c r="DQ360" i="4" s="1"/>
  <c r="DQ358" i="4"/>
  <c r="BU262" i="4"/>
  <c r="CO334" i="4"/>
  <c r="DU334" i="4" s="1"/>
  <c r="DU330" i="4"/>
  <c r="CO226" i="4"/>
  <c r="DT325" i="4"/>
  <c r="AT523" i="4"/>
  <c r="BK477" i="4"/>
  <c r="DO477" i="4" s="1"/>
  <c r="DO478" i="4"/>
  <c r="BP487" i="4"/>
  <c r="EP341" i="9" s="1"/>
  <c r="EP350" i="9" s="1"/>
  <c r="DP461" i="4"/>
  <c r="BI446" i="4"/>
  <c r="BJ447" i="4"/>
  <c r="BJ446" i="4" s="1"/>
  <c r="AI433" i="4"/>
  <c r="AI444" i="4"/>
  <c r="BM417" i="4"/>
  <c r="BR431" i="4"/>
  <c r="BR436" i="4" s="1"/>
  <c r="BO410" i="4"/>
  <c r="BP410" i="4" s="1"/>
  <c r="DP410" i="4" s="1"/>
  <c r="BP409" i="4"/>
  <c r="DP409" i="4" s="1"/>
  <c r="DQ361" i="4"/>
  <c r="BV361" i="4"/>
  <c r="BA283" i="4"/>
  <c r="DM283" i="4" s="1"/>
  <c r="AG283" i="4"/>
  <c r="DI283" i="4" s="1"/>
  <c r="BS263" i="4"/>
  <c r="BS264" i="4"/>
  <c r="BS257" i="4"/>
  <c r="BR266" i="4"/>
  <c r="BL251" i="4"/>
  <c r="BP242" i="4"/>
  <c r="AY189" i="4"/>
  <c r="AR188" i="4"/>
  <c r="AV183" i="4"/>
  <c r="DL176" i="4"/>
  <c r="AV180" i="4"/>
  <c r="AV181" i="4" s="1"/>
  <c r="DL181" i="4" s="1"/>
  <c r="AV163" i="4"/>
  <c r="AN528" i="4"/>
  <c r="AQ528" i="4" s="1"/>
  <c r="DK528" i="4" s="1"/>
  <c r="AN531" i="4"/>
  <c r="AN537" i="4" s="1"/>
  <c r="AN538" i="4" s="1"/>
  <c r="BQ265" i="4"/>
  <c r="CP10" i="4"/>
  <c r="AQ242" i="4"/>
  <c r="BZ180" i="4"/>
  <c r="DR176" i="4"/>
  <c r="AL180" i="4"/>
  <c r="DJ176" i="4"/>
  <c r="CX11" i="4"/>
  <c r="CN243" i="4"/>
  <c r="CN258" i="4"/>
  <c r="CN10" i="4"/>
  <c r="CE242" i="4"/>
  <c r="S189" i="4"/>
  <c r="DO176" i="4"/>
  <c r="BK180" i="4"/>
  <c r="BT172" i="4"/>
  <c r="AK164" i="4"/>
  <c r="BO527" i="4"/>
  <c r="BQ159" i="4"/>
  <c r="BU159" i="4" s="1"/>
  <c r="DQ159" i="4" s="1"/>
  <c r="AT530" i="4"/>
  <c r="V257" i="4"/>
  <c r="BT164" i="4"/>
  <c r="DP115" i="4"/>
  <c r="AG75" i="4"/>
  <c r="DI91" i="4"/>
  <c r="J634" i="4"/>
  <c r="J33" i="4"/>
  <c r="J47" i="4" s="1"/>
  <c r="J22" i="4"/>
  <c r="CA901" i="4"/>
  <c r="CA899" i="4"/>
  <c r="CA915" i="4"/>
  <c r="CA902" i="4"/>
  <c r="CA905" i="4"/>
  <c r="CA903" i="4"/>
  <c r="CA914" i="4"/>
  <c r="CA896" i="4"/>
  <c r="CA900" i="4"/>
  <c r="CA898" i="4"/>
  <c r="CA897" i="4"/>
  <c r="CA895" i="4"/>
  <c r="CA894" i="4"/>
  <c r="CA904" i="4"/>
  <c r="CA906" i="4"/>
  <c r="R4" i="4"/>
  <c r="N894" i="4" s="1"/>
  <c r="CY818" i="4"/>
  <c r="DW818" i="4" s="1"/>
  <c r="DW95" i="4"/>
  <c r="CZ95" i="4"/>
  <c r="CZ701" i="4" s="1"/>
  <c r="BW258" i="4"/>
  <c r="BW20" i="4"/>
  <c r="BW15" i="4"/>
  <c r="BW14" i="4"/>
  <c r="BI251" i="4"/>
  <c r="BP165" i="4"/>
  <c r="DP165" i="4" s="1"/>
  <c r="BL531" i="4"/>
  <c r="BL537" i="4" s="1"/>
  <c r="BL528" i="4"/>
  <c r="AF528" i="4"/>
  <c r="AG528" i="4" s="1"/>
  <c r="DI528" i="4" s="1"/>
  <c r="AF531" i="4"/>
  <c r="U164" i="4"/>
  <c r="CV158" i="4"/>
  <c r="CU159" i="4"/>
  <c r="AP530" i="4"/>
  <c r="DP70" i="4"/>
  <c r="BP71" i="4"/>
  <c r="DP71" i="4" s="1"/>
  <c r="BU71" i="4"/>
  <c r="DQ71" i="4" s="1"/>
  <c r="DE39" i="4"/>
  <c r="CT915" i="4"/>
  <c r="DV915" i="4" s="1"/>
  <c r="I897" i="4"/>
  <c r="AE404" i="4"/>
  <c r="AF4" i="4"/>
  <c r="FU367" i="9" s="1"/>
  <c r="AE4" i="4"/>
  <c r="FT367" i="9" s="1"/>
  <c r="AF172" i="4"/>
  <c r="CY116" i="4"/>
  <c r="DW116" i="4" s="1"/>
  <c r="CZ42" i="4"/>
  <c r="C11" i="43" s="1"/>
  <c r="H11" i="43" s="1"/>
  <c r="DW42" i="4"/>
  <c r="L896" i="4"/>
  <c r="L915" i="4"/>
  <c r="AH251" i="4"/>
  <c r="AL242" i="4"/>
  <c r="CA181" i="4"/>
  <c r="CF181" i="4"/>
  <c r="DF31" i="4"/>
  <c r="CF258" i="4"/>
  <c r="CF20" i="4"/>
  <c r="CF15" i="4"/>
  <c r="CF14" i="4"/>
  <c r="CJ10" i="4"/>
  <c r="BL20" i="4"/>
  <c r="BL14" i="4"/>
  <c r="BL15" i="4"/>
  <c r="BP10" i="4"/>
  <c r="AK84" i="63" s="1"/>
  <c r="AM258" i="4"/>
  <c r="AQ10" i="4"/>
  <c r="AM20" i="4"/>
  <c r="AM15" i="4"/>
  <c r="AM14" i="4"/>
  <c r="AN139" i="4" s="1"/>
  <c r="CF893" i="4"/>
  <c r="K894" i="4"/>
  <c r="W181" i="4"/>
  <c r="DG181" i="4" s="1"/>
  <c r="CO78" i="4"/>
  <c r="CU78" i="4"/>
  <c r="CP78" i="4"/>
  <c r="CK78" i="4"/>
  <c r="CX78" i="4"/>
  <c r="CS78" i="4"/>
  <c r="CN78" i="4"/>
  <c r="CI78" i="4"/>
  <c r="DT78" i="4"/>
  <c r="CV78" i="4"/>
  <c r="CQ78" i="4"/>
  <c r="CL78" i="4"/>
  <c r="CR78" i="4"/>
  <c r="CM78" i="4"/>
  <c r="CW78" i="4"/>
  <c r="AR690" i="4"/>
  <c r="AR634" i="4"/>
  <c r="AR139" i="4"/>
  <c r="AR74" i="4"/>
  <c r="AR84" i="4" s="1"/>
  <c r="AR33" i="4"/>
  <c r="AR16" i="4"/>
  <c r="AR22" i="4"/>
  <c r="AV14" i="4"/>
  <c r="DK31" i="4"/>
  <c r="DG31" i="4"/>
  <c r="BE21" i="4"/>
  <c r="AZ634" i="4"/>
  <c r="AZ74" i="4"/>
  <c r="AZ84" i="4" s="1"/>
  <c r="H4" i="9" s="1"/>
  <c r="AZ33" i="4"/>
  <c r="AM51" i="9" s="1"/>
  <c r="AM57" i="9" s="1"/>
  <c r="AZ22" i="4"/>
  <c r="AZ16" i="4"/>
  <c r="AU634" i="4"/>
  <c r="AU139" i="4"/>
  <c r="AU74" i="4"/>
  <c r="AU84" i="4" s="1"/>
  <c r="C4" i="9" s="1"/>
  <c r="AU33" i="4"/>
  <c r="AH51" i="9" s="1"/>
  <c r="AH57" i="9" s="1"/>
  <c r="AU22" i="4"/>
  <c r="AU16" i="4"/>
  <c r="AI634" i="4"/>
  <c r="AI74" i="4"/>
  <c r="AI84" i="4" s="1"/>
  <c r="AI33" i="4"/>
  <c r="AI22" i="4"/>
  <c r="AI16" i="4"/>
  <c r="AD634" i="4"/>
  <c r="AD690" i="4"/>
  <c r="AD74" i="4"/>
  <c r="AD84" i="4" s="1"/>
  <c r="AD22" i="4"/>
  <c r="AD33" i="4"/>
  <c r="AD47" i="4" s="1"/>
  <c r="BM258" i="4"/>
  <c r="AF690" i="4"/>
  <c r="AF634" i="4"/>
  <c r="AF74" i="4"/>
  <c r="AF84" i="4" s="1"/>
  <c r="AF33" i="4"/>
  <c r="AF47" i="4" s="1"/>
  <c r="AF22" i="4"/>
  <c r="Y258" i="4"/>
  <c r="DA94" i="4"/>
  <c r="DY94" i="4" s="1"/>
  <c r="DX94" i="4"/>
  <c r="CM690" i="4"/>
  <c r="CM74" i="4"/>
  <c r="CM33" i="4"/>
  <c r="CM22" i="4"/>
  <c r="CM23" i="4" s="1"/>
  <c r="CM16" i="4"/>
  <c r="CH690" i="4"/>
  <c r="CH22" i="4"/>
  <c r="CH16" i="4"/>
  <c r="CH33" i="4"/>
  <c r="CH74" i="4"/>
  <c r="CH84" i="4" s="1"/>
  <c r="CC690" i="4"/>
  <c r="CC22" i="4"/>
  <c r="CC16" i="4"/>
  <c r="CC74" i="4"/>
  <c r="CC84" i="4" s="1"/>
  <c r="CC33" i="4"/>
  <c r="BI21" i="4"/>
  <c r="AY634" i="4"/>
  <c r="AY74" i="4"/>
  <c r="AY84" i="4" s="1"/>
  <c r="G4" i="9" s="1"/>
  <c r="AY33" i="4"/>
  <c r="AL51" i="9" s="1"/>
  <c r="AL57" i="9" s="1"/>
  <c r="AY22" i="4"/>
  <c r="AY23" i="4" s="1"/>
  <c r="AY16" i="4"/>
  <c r="O10" i="4"/>
  <c r="CG258" i="4"/>
  <c r="CB21" i="4"/>
  <c r="BH634" i="4"/>
  <c r="BH74" i="4"/>
  <c r="BH84" i="4" s="1"/>
  <c r="CU245" i="9" s="1"/>
  <c r="BH33" i="4"/>
  <c r="BH22" i="4"/>
  <c r="BH23" i="4" s="1"/>
  <c r="BH16" i="4"/>
  <c r="BC634" i="4"/>
  <c r="BC74" i="4"/>
  <c r="BC84" i="4" s="1"/>
  <c r="K4" i="9" s="1"/>
  <c r="BC33" i="4"/>
  <c r="AP51" i="9" s="1"/>
  <c r="AP57" i="9" s="1"/>
  <c r="BC22" i="4"/>
  <c r="BC16" i="4"/>
  <c r="AK21" i="4"/>
  <c r="AG31" i="4"/>
  <c r="AA21" i="4"/>
  <c r="AO258" i="4"/>
  <c r="AJ258" i="4"/>
  <c r="CL21" i="4"/>
  <c r="AP21" i="4"/>
  <c r="DU325" i="4"/>
  <c r="S433" i="4"/>
  <c r="S444" i="4"/>
  <c r="DM429" i="4"/>
  <c r="BA431" i="4"/>
  <c r="CH384" i="4"/>
  <c r="CH379" i="4"/>
  <c r="CZ346" i="4"/>
  <c r="DW343" i="4"/>
  <c r="CY347" i="4"/>
  <c r="CY287" i="4"/>
  <c r="DW287" i="4" s="1"/>
  <c r="AT459" i="4"/>
  <c r="AT458" i="4"/>
  <c r="BH452" i="4"/>
  <c r="BH453" i="4" s="1"/>
  <c r="BP347" i="4"/>
  <c r="DP347" i="4" s="1"/>
  <c r="AQ336" i="4"/>
  <c r="DK336" i="4" s="1"/>
  <c r="DS325" i="4"/>
  <c r="CT287" i="4"/>
  <c r="DV287" i="4" s="1"/>
  <c r="AE263" i="4"/>
  <c r="AJ266" i="4" s="1"/>
  <c r="AE264" i="4"/>
  <c r="AB251" i="4"/>
  <c r="DH251" i="4" s="1"/>
  <c r="DH242" i="4"/>
  <c r="AG251" i="4"/>
  <c r="DI251" i="4" s="1"/>
  <c r="T248" i="4"/>
  <c r="BL256" i="4"/>
  <c r="CR251" i="4"/>
  <c r="CR10" i="4"/>
  <c r="CH242" i="4"/>
  <c r="CM251" i="4" s="1"/>
  <c r="BR251" i="4"/>
  <c r="BU242" i="4"/>
  <c r="DT176" i="4"/>
  <c r="CJ180" i="4"/>
  <c r="CY172" i="4"/>
  <c r="DW172" i="4" s="1"/>
  <c r="CZ171" i="4"/>
  <c r="B9" i="43"/>
  <c r="CY11" i="4"/>
  <c r="DW11" i="4" s="1"/>
  <c r="CP351" i="72" s="1"/>
  <c r="BK193" i="4"/>
  <c r="DO193" i="4" s="1"/>
  <c r="BK171" i="4"/>
  <c r="DO167" i="4"/>
  <c r="BK183" i="4"/>
  <c r="CJ163" i="4"/>
  <c r="AJ164" i="4"/>
  <c r="AZ531" i="4"/>
  <c r="AZ537" i="4" s="1"/>
  <c r="AZ528" i="4"/>
  <c r="BA528" i="4" s="1"/>
  <c r="DM528" i="4" s="1"/>
  <c r="BK526" i="4"/>
  <c r="BK160" i="4"/>
  <c r="DO160" i="4" s="1"/>
  <c r="DO158" i="4"/>
  <c r="BL160" i="4"/>
  <c r="BL159" i="4"/>
  <c r="BP159" i="4" s="1"/>
  <c r="DP159" i="4" s="1"/>
  <c r="BT431" i="4"/>
  <c r="BT436" i="4" s="1"/>
  <c r="BO436" i="4"/>
  <c r="CD266" i="4"/>
  <c r="BX251" i="4"/>
  <c r="CC251" i="4"/>
  <c r="CL242" i="4"/>
  <c r="CQ244" i="4"/>
  <c r="AQ193" i="4"/>
  <c r="DK193" i="4" s="1"/>
  <c r="AQ171" i="4"/>
  <c r="DK167" i="4"/>
  <c r="AQ183" i="4"/>
  <c r="BD528" i="4"/>
  <c r="BD531" i="4"/>
  <c r="BD537" i="4" s="1"/>
  <c r="AU538" i="4"/>
  <c r="AU539" i="4" s="1"/>
  <c r="DM526" i="4"/>
  <c r="CL266" i="4"/>
  <c r="CK232" i="4"/>
  <c r="CK242" i="4" s="1"/>
  <c r="CF376" i="4"/>
  <c r="CF378" i="4" s="1"/>
  <c r="CJ230" i="4"/>
  <c r="CJ376" i="4" s="1"/>
  <c r="AX251" i="4"/>
  <c r="BA242" i="4"/>
  <c r="AU189" i="4"/>
  <c r="AE189" i="4"/>
  <c r="BF180" i="4"/>
  <c r="DN176" i="4"/>
  <c r="AJ528" i="4"/>
  <c r="AL528" i="4" s="1"/>
  <c r="DJ528" i="4" s="1"/>
  <c r="AJ531" i="4"/>
  <c r="AA531" i="4"/>
  <c r="Q164" i="4"/>
  <c r="AS251" i="4"/>
  <c r="AS164" i="4"/>
  <c r="Q528" i="4"/>
  <c r="DP122" i="4"/>
  <c r="DO115" i="4"/>
  <c r="CE181" i="4"/>
  <c r="DS181" i="4" s="1"/>
  <c r="CQ690" i="4"/>
  <c r="CQ74" i="4"/>
  <c r="CQ16" i="4"/>
  <c r="CQ33" i="4"/>
  <c r="CQ22" i="4"/>
  <c r="AB188" i="4"/>
  <c r="DH183" i="4"/>
  <c r="AF164" i="4"/>
  <c r="T258" i="4"/>
  <c r="AT266" i="4"/>
  <c r="AO251" i="4"/>
  <c r="AJ189" i="4"/>
  <c r="BI172" i="4"/>
  <c r="X189" i="4"/>
  <c r="BP163" i="4"/>
  <c r="CM164" i="4"/>
  <c r="BI164" i="4"/>
  <c r="BC531" i="4"/>
  <c r="BC537" i="4" s="1"/>
  <c r="BC528" i="4"/>
  <c r="AG163" i="4"/>
  <c r="BZ159" i="4"/>
  <c r="DR159" i="4" s="1"/>
  <c r="BR530" i="4"/>
  <c r="AQ526" i="4"/>
  <c r="AQ160" i="4"/>
  <c r="DK160" i="4" s="1"/>
  <c r="AR160" i="4"/>
  <c r="AR159" i="4"/>
  <c r="AV159" i="4" s="1"/>
  <c r="DL159" i="4" s="1"/>
  <c r="DK158" i="4"/>
  <c r="DQ116" i="4"/>
  <c r="I634" i="4"/>
  <c r="I22" i="4"/>
  <c r="I33" i="4"/>
  <c r="I47" i="4" s="1"/>
  <c r="CL932" i="4"/>
  <c r="I894" i="4"/>
  <c r="I915" i="4"/>
  <c r="Y404" i="4"/>
  <c r="Z3" i="4"/>
  <c r="Y4" i="4"/>
  <c r="FO367" i="9" s="1"/>
  <c r="BS504" i="4"/>
  <c r="BS444" i="4"/>
  <c r="BS494" i="4" s="1"/>
  <c r="BY251" i="4"/>
  <c r="CF172" i="4"/>
  <c r="CA172" i="4"/>
  <c r="CY701" i="4"/>
  <c r="DW701" i="4" s="1"/>
  <c r="CZ41" i="4"/>
  <c r="DW41" i="4"/>
  <c r="CO893" i="4"/>
  <c r="L898" i="4"/>
  <c r="BO251" i="4"/>
  <c r="BC251" i="4"/>
  <c r="DU183" i="4"/>
  <c r="CO193" i="4"/>
  <c r="DU193" i="4" s="1"/>
  <c r="CO189" i="4"/>
  <c r="DU189" i="4" s="1"/>
  <c r="CO163" i="4"/>
  <c r="BB691" i="4"/>
  <c r="K634" i="4"/>
  <c r="K22" i="4"/>
  <c r="K33" i="4"/>
  <c r="K47" i="4" s="1"/>
  <c r="CA258" i="4"/>
  <c r="CE10" i="4"/>
  <c r="CA20" i="4"/>
  <c r="CA15" i="4"/>
  <c r="CA14" i="4"/>
  <c r="CC139" i="4" s="1"/>
  <c r="BG258" i="4"/>
  <c r="BG20" i="4"/>
  <c r="BG15" i="4"/>
  <c r="BG14" i="4"/>
  <c r="BI139" i="4" s="1"/>
  <c r="BK10" i="4"/>
  <c r="AH258" i="4"/>
  <c r="AH20" i="4"/>
  <c r="AH15" i="4"/>
  <c r="AH14" i="4"/>
  <c r="AL10" i="4"/>
  <c r="K893" i="4"/>
  <c r="K896" i="4"/>
  <c r="M896" i="4" s="1"/>
  <c r="DE896" i="4" s="1"/>
  <c r="AM404" i="4"/>
  <c r="AN3" i="4"/>
  <c r="AM4" i="4"/>
  <c r="FZ367" i="9" s="1"/>
  <c r="BN451" i="4"/>
  <c r="BM450" i="4"/>
  <c r="BM452" i="4" s="1"/>
  <c r="BE251" i="4"/>
  <c r="DT77" i="4"/>
  <c r="CU77" i="4"/>
  <c r="CP77" i="4"/>
  <c r="CK77" i="4"/>
  <c r="CO77" i="4"/>
  <c r="CX77" i="4"/>
  <c r="CS77" i="4"/>
  <c r="CN77" i="4"/>
  <c r="CI77" i="4"/>
  <c r="CV77" i="4"/>
  <c r="CQ77" i="4"/>
  <c r="CL77" i="4"/>
  <c r="CW77" i="4"/>
  <c r="CR77" i="4"/>
  <c r="CM77" i="4"/>
  <c r="X690" i="4"/>
  <c r="X634" i="4"/>
  <c r="X33" i="4"/>
  <c r="X47" i="4" s="1"/>
  <c r="X22" i="4"/>
  <c r="AB14" i="4"/>
  <c r="CG931" i="4"/>
  <c r="CZ698" i="4"/>
  <c r="DX91" i="4"/>
  <c r="DA91" i="4"/>
  <c r="CZ75" i="4"/>
  <c r="CZ30" i="4"/>
  <c r="DX30" i="4" s="1"/>
  <c r="CJ31" i="4"/>
  <c r="BY258" i="4"/>
  <c r="BJ634" i="4"/>
  <c r="BJ74" i="4"/>
  <c r="BJ84" i="4" s="1"/>
  <c r="CW245" i="9" s="1"/>
  <c r="BJ22" i="4"/>
  <c r="BJ16" i="4"/>
  <c r="BJ33" i="4"/>
  <c r="BJ139" i="4"/>
  <c r="BE258" i="4"/>
  <c r="AN634" i="4"/>
  <c r="AN74" i="4"/>
  <c r="AN84" i="4" s="1"/>
  <c r="AN33" i="4"/>
  <c r="AN22" i="4"/>
  <c r="AN16" i="4"/>
  <c r="AW404" i="4"/>
  <c r="AW4" i="4"/>
  <c r="DA93" i="4"/>
  <c r="DY93" i="4" s="1"/>
  <c r="DX93" i="4"/>
  <c r="BM634" i="4"/>
  <c r="BM74" i="4"/>
  <c r="BM84" i="4" s="1"/>
  <c r="CZ245" i="9" s="1"/>
  <c r="BM22" i="4"/>
  <c r="BM16" i="4"/>
  <c r="BM33" i="4"/>
  <c r="AF258" i="4"/>
  <c r="AV31" i="4"/>
  <c r="BN634" i="4"/>
  <c r="BN139" i="4"/>
  <c r="BN22" i="4"/>
  <c r="BN16" i="4"/>
  <c r="BN74" i="4"/>
  <c r="BN84" i="4" s="1"/>
  <c r="DA245" i="9" s="1"/>
  <c r="BN33" i="4"/>
  <c r="V634" i="4"/>
  <c r="V22" i="4"/>
  <c r="V33" i="4"/>
  <c r="V47" i="4" s="1"/>
  <c r="AB163" i="4"/>
  <c r="AC164" i="4" s="1"/>
  <c r="CG690" i="4"/>
  <c r="CG74" i="4"/>
  <c r="CG84" i="4" s="1"/>
  <c r="CG22" i="4"/>
  <c r="CG16" i="4"/>
  <c r="CG33" i="4"/>
  <c r="CB258" i="4"/>
  <c r="AK258" i="4"/>
  <c r="AS21" i="4"/>
  <c r="AO634" i="4"/>
  <c r="AO22" i="4"/>
  <c r="AO16" i="4"/>
  <c r="AO74" i="4"/>
  <c r="AO84" i="4" s="1"/>
  <c r="AO33" i="4"/>
  <c r="AJ634" i="4"/>
  <c r="AJ139" i="4"/>
  <c r="AJ33" i="4"/>
  <c r="AJ16" i="4"/>
  <c r="AJ74" i="4"/>
  <c r="AJ84" i="4" s="1"/>
  <c r="AJ22" i="4"/>
  <c r="AE634" i="4"/>
  <c r="AE690" i="4"/>
  <c r="AE74" i="4"/>
  <c r="AE84" i="4" s="1"/>
  <c r="AE33" i="4"/>
  <c r="AE47" i="4" s="1"/>
  <c r="AE22" i="4"/>
  <c r="DT871" i="4"/>
  <c r="CJ797" i="4"/>
  <c r="DT797" i="4" s="1"/>
  <c r="CH838" i="4"/>
  <c r="AL943" i="4"/>
  <c r="DJ943" i="4" s="1"/>
  <c r="DJ941" i="4"/>
  <c r="CX850" i="4"/>
  <c r="CY850" i="4" s="1"/>
  <c r="CW851" i="4"/>
  <c r="DS942" i="4"/>
  <c r="CF942" i="4"/>
  <c r="CG942" i="4" s="1"/>
  <c r="CH942" i="4" s="1"/>
  <c r="CI942" i="4" s="1"/>
  <c r="CJ942" i="4" s="1"/>
  <c r="DL784" i="4"/>
  <c r="AW141" i="4"/>
  <c r="Q761" i="4"/>
  <c r="S763" i="4"/>
  <c r="S685" i="4"/>
  <c r="BY882" i="4"/>
  <c r="DS967" i="4"/>
  <c r="CF967" i="4"/>
  <c r="CG967" i="4" s="1"/>
  <c r="CH967" i="4" s="1"/>
  <c r="CI967" i="4" s="1"/>
  <c r="CJ967" i="4" s="1"/>
  <c r="CX833" i="4"/>
  <c r="CY833" i="4" s="1"/>
  <c r="CS960" i="4"/>
  <c r="CT778" i="4"/>
  <c r="P438" i="4"/>
  <c r="Q438" i="4"/>
  <c r="Q436" i="4" s="1"/>
  <c r="DI941" i="4"/>
  <c r="AG943" i="4"/>
  <c r="DI943" i="4" s="1"/>
  <c r="CO720" i="4"/>
  <c r="DU720" i="4" s="1"/>
  <c r="CR842" i="4"/>
  <c r="DO784" i="4"/>
  <c r="BL141" i="4"/>
  <c r="DJ784" i="4"/>
  <c r="AM141" i="4"/>
  <c r="DP763" i="4"/>
  <c r="BQ763" i="4"/>
  <c r="BR763" i="4" s="1"/>
  <c r="BI760" i="4"/>
  <c r="AT961" i="4"/>
  <c r="AT963" i="4"/>
  <c r="AU718" i="4"/>
  <c r="AV718" i="4" s="1"/>
  <c r="J2" i="72" s="1"/>
  <c r="J5" i="72" s="1"/>
  <c r="AT125" i="4"/>
  <c r="BF722" i="4"/>
  <c r="DN722" i="4" s="1"/>
  <c r="DN717" i="4"/>
  <c r="BF871" i="4"/>
  <c r="DN863" i="4"/>
  <c r="BG863" i="4"/>
  <c r="BN765" i="4"/>
  <c r="CZ779" i="4"/>
  <c r="DW779" i="4"/>
  <c r="DG771" i="4"/>
  <c r="DH751" i="4"/>
  <c r="AB765" i="4"/>
  <c r="AY738" i="4"/>
  <c r="AZ702" i="4"/>
  <c r="BA702" i="4" s="1"/>
  <c r="DM702" i="4" s="1"/>
  <c r="AY122" i="4"/>
  <c r="AI942" i="4"/>
  <c r="AJ754" i="4"/>
  <c r="BJ961" i="4"/>
  <c r="BJ125" i="4"/>
  <c r="BP817" i="4"/>
  <c r="DP817" i="4" s="1"/>
  <c r="DP698" i="4"/>
  <c r="BP704" i="4"/>
  <c r="BP113" i="4"/>
  <c r="L719" i="4"/>
  <c r="L124" i="4" s="1"/>
  <c r="K124" i="4"/>
  <c r="I724" i="4"/>
  <c r="I726" i="4" s="1"/>
  <c r="AS722" i="4"/>
  <c r="AS724" i="4" s="1"/>
  <c r="AS726" i="4" s="1"/>
  <c r="AT717" i="4"/>
  <c r="DO707" i="4"/>
  <c r="BK657" i="4"/>
  <c r="BP666" i="4" s="1"/>
  <c r="DP666" i="4" s="1"/>
  <c r="BK675" i="4"/>
  <c r="DJ698" i="4"/>
  <c r="AL113" i="4"/>
  <c r="DJ113" i="4" s="1"/>
  <c r="DS660" i="4"/>
  <c r="CE120" i="4"/>
  <c r="DS120" i="4" s="1"/>
  <c r="CE644" i="4"/>
  <c r="DS641" i="4"/>
  <c r="DO708" i="4"/>
  <c r="BK660" i="4"/>
  <c r="AL644" i="4"/>
  <c r="AL645" i="4" s="1"/>
  <c r="DJ645" i="4" s="1"/>
  <c r="DJ641" i="4"/>
  <c r="AY714" i="4"/>
  <c r="AY659" i="4"/>
  <c r="AY661" i="4" s="1"/>
  <c r="AY664" i="4" s="1"/>
  <c r="AU113" i="4"/>
  <c r="CL670" i="4"/>
  <c r="CL664" i="4"/>
  <c r="DU660" i="4"/>
  <c r="CO120" i="4"/>
  <c r="DU120" i="4" s="1"/>
  <c r="M644" i="4"/>
  <c r="R645" i="4" s="1"/>
  <c r="DF645" i="4" s="1"/>
  <c r="DE641" i="4"/>
  <c r="DQ707" i="4"/>
  <c r="CG670" i="4"/>
  <c r="CG664" i="4"/>
  <c r="DN658" i="4"/>
  <c r="BF667" i="4"/>
  <c r="DN667" i="4" s="1"/>
  <c r="CS673" i="4"/>
  <c r="CN674" i="4"/>
  <c r="DJ575" i="4"/>
  <c r="AL581" i="4"/>
  <c r="DJ581" i="4" s="1"/>
  <c r="CY613" i="4"/>
  <c r="BL553" i="4"/>
  <c r="BP553" i="4" s="1"/>
  <c r="DP553" i="4" s="1"/>
  <c r="BP555" i="4"/>
  <c r="DP555" i="4" s="1"/>
  <c r="AR553" i="4"/>
  <c r="AV553" i="4" s="1"/>
  <c r="DL553" i="4" s="1"/>
  <c r="AV555" i="4"/>
  <c r="DL555" i="4" s="1"/>
  <c r="DJ539" i="4"/>
  <c r="W499" i="4"/>
  <c r="DG499" i="4" s="1"/>
  <c r="DG498" i="4"/>
  <c r="BP581" i="4"/>
  <c r="DP581" i="4" s="1"/>
  <c r="DP575" i="4"/>
  <c r="DG503" i="4"/>
  <c r="BQ500" i="4"/>
  <c r="BR500" i="4" s="1"/>
  <c r="BS500" i="4" s="1"/>
  <c r="BT500" i="4" s="1"/>
  <c r="BU500" i="4" s="1"/>
  <c r="DQ500" i="4" s="1"/>
  <c r="BR498" i="4"/>
  <c r="BS498" i="4" s="1"/>
  <c r="BT498" i="4" s="1"/>
  <c r="BU498" i="4" s="1"/>
  <c r="DQ498" i="4" s="1"/>
  <c r="DV325" i="4"/>
  <c r="AU459" i="4"/>
  <c r="AU458" i="4"/>
  <c r="BZ334" i="4"/>
  <c r="DR334" i="4" s="1"/>
  <c r="CE334" i="4"/>
  <c r="DS334" i="4" s="1"/>
  <c r="BP595" i="4"/>
  <c r="DP595" i="4" s="1"/>
  <c r="BL596" i="4"/>
  <c r="BL602" i="4" s="1"/>
  <c r="BP602" i="4" s="1"/>
  <c r="DP602" i="4" s="1"/>
  <c r="BE522" i="4"/>
  <c r="BE511" i="4"/>
  <c r="BE507" i="4"/>
  <c r="BK521" i="4"/>
  <c r="DO521" i="4" s="1"/>
  <c r="CT613" i="4"/>
  <c r="BK595" i="4"/>
  <c r="BG596" i="4"/>
  <c r="BG602" i="4" s="1"/>
  <c r="BK602" i="4" s="1"/>
  <c r="DO602" i="4" s="1"/>
  <c r="BI522" i="4"/>
  <c r="BI511" i="4"/>
  <c r="BI507" i="4"/>
  <c r="V513" i="4"/>
  <c r="V504" i="4"/>
  <c r="AW458" i="4"/>
  <c r="AW459" i="4"/>
  <c r="AC458" i="4"/>
  <c r="AC459" i="4"/>
  <c r="BA449" i="4"/>
  <c r="DM449" i="4" s="1"/>
  <c r="DO441" i="4"/>
  <c r="BK442" i="4"/>
  <c r="DO442" i="4" s="1"/>
  <c r="DT367" i="4"/>
  <c r="AV487" i="4"/>
  <c r="DL487" i="4" s="1"/>
  <c r="DL461" i="4"/>
  <c r="BT446" i="4"/>
  <c r="AR458" i="4"/>
  <c r="AR459" i="4"/>
  <c r="DO438" i="4"/>
  <c r="AC494" i="4"/>
  <c r="AC446" i="4"/>
  <c r="DG282" i="4"/>
  <c r="W284" i="4"/>
  <c r="DG284" i="4" s="1"/>
  <c r="DV261" i="4"/>
  <c r="CT264" i="4"/>
  <c r="DV264" i="4" s="1"/>
  <c r="DN261" i="4"/>
  <c r="BF264" i="4"/>
  <c r="DN264" i="4" s="1"/>
  <c r="BF263" i="4"/>
  <c r="BF255" i="4"/>
  <c r="DN255" i="4" s="1"/>
  <c r="CJ244" i="4"/>
  <c r="DT244" i="4" s="1"/>
  <c r="CJ226" i="4"/>
  <c r="DT223" i="4"/>
  <c r="BK213" i="4"/>
  <c r="BP211" i="4"/>
  <c r="DO211" i="4"/>
  <c r="BF183" i="4"/>
  <c r="BH89" i="9" s="1"/>
  <c r="BF193" i="4"/>
  <c r="DN193" i="4" s="1"/>
  <c r="DN167" i="4"/>
  <c r="BF171" i="4"/>
  <c r="BN528" i="4"/>
  <c r="BN531" i="4"/>
  <c r="BN537" i="4" s="1"/>
  <c r="V531" i="4"/>
  <c r="V528" i="4"/>
  <c r="BP526" i="4"/>
  <c r="DP158" i="4"/>
  <c r="BP160" i="4"/>
  <c r="DP160" i="4" s="1"/>
  <c r="BQ160" i="4"/>
  <c r="V459" i="4"/>
  <c r="V458" i="4"/>
  <c r="BG453" i="4"/>
  <c r="AF444" i="4"/>
  <c r="AF433" i="4"/>
  <c r="AF458" i="4"/>
  <c r="AF459" i="4"/>
  <c r="BC466" i="4"/>
  <c r="BS437" i="4"/>
  <c r="BT434" i="4"/>
  <c r="AV417" i="4"/>
  <c r="DL417" i="4" s="1"/>
  <c r="DL431" i="4"/>
  <c r="DV373" i="4"/>
  <c r="BQ383" i="4"/>
  <c r="BU373" i="4"/>
  <c r="AB356" i="4"/>
  <c r="DH356" i="4" s="1"/>
  <c r="DH354" i="4"/>
  <c r="CO347" i="4"/>
  <c r="DU347" i="4" s="1"/>
  <c r="DU343" i="4"/>
  <c r="CO237" i="4"/>
  <c r="DW325" i="4"/>
  <c r="CY288" i="4"/>
  <c r="DW288" i="4" s="1"/>
  <c r="DW286" i="4"/>
  <c r="CZ287" i="4"/>
  <c r="DX287" i="4" s="1"/>
  <c r="CY261" i="4"/>
  <c r="BK289" i="4"/>
  <c r="DO289" i="4" s="1"/>
  <c r="BK288" i="4"/>
  <c r="DO288" i="4" s="1"/>
  <c r="DO286" i="4"/>
  <c r="BL287" i="4"/>
  <c r="BP287" i="4" s="1"/>
  <c r="DP287" i="4" s="1"/>
  <c r="BK261" i="4"/>
  <c r="J23" i="55" s="1"/>
  <c r="J24" i="55" s="1"/>
  <c r="W289" i="4"/>
  <c r="DG289" i="4" s="1"/>
  <c r="W288" i="4"/>
  <c r="DG288" i="4" s="1"/>
  <c r="DG286" i="4"/>
  <c r="X287" i="4"/>
  <c r="AB287" i="4" s="1"/>
  <c r="DH287" i="4" s="1"/>
  <c r="W261" i="4"/>
  <c r="B23" i="55" s="1"/>
  <c r="B24" i="55" s="1"/>
  <c r="BF284" i="4"/>
  <c r="DN284" i="4" s="1"/>
  <c r="DN282" i="4"/>
  <c r="CG242" i="4"/>
  <c r="BU180" i="4"/>
  <c r="DQ176" i="4"/>
  <c r="BA183" i="4"/>
  <c r="BA193" i="4"/>
  <c r="DM193" i="4" s="1"/>
  <c r="DM167" i="4"/>
  <c r="BA171" i="4"/>
  <c r="CK871" i="4"/>
  <c r="CK797" i="4" s="1"/>
  <c r="CL863" i="4"/>
  <c r="CX852" i="4"/>
  <c r="CY852" i="4" s="1"/>
  <c r="DA858" i="4"/>
  <c r="DN833" i="4"/>
  <c r="BG833" i="4"/>
  <c r="BF834" i="4"/>
  <c r="DP784" i="4"/>
  <c r="BQ141" i="4"/>
  <c r="BG781" i="4"/>
  <c r="BG784" i="4" s="1"/>
  <c r="DN781" i="4"/>
  <c r="AL963" i="4"/>
  <c r="DJ963" i="4" s="1"/>
  <c r="AB963" i="4"/>
  <c r="DH963" i="4" s="1"/>
  <c r="BZ771" i="4"/>
  <c r="DR768" i="4"/>
  <c r="CA691" i="4"/>
  <c r="DI759" i="4"/>
  <c r="AG685" i="4"/>
  <c r="CR844" i="4"/>
  <c r="DG798" i="4"/>
  <c r="W800" i="4"/>
  <c r="DG800" i="4" s="1"/>
  <c r="W773" i="4"/>
  <c r="DG773" i="4" s="1"/>
  <c r="DF798" i="4"/>
  <c r="R800" i="4"/>
  <c r="DF800" i="4" s="1"/>
  <c r="R773" i="4"/>
  <c r="DS781" i="4"/>
  <c r="CF781" i="4"/>
  <c r="AL960" i="4"/>
  <c r="DJ960" i="4" s="1"/>
  <c r="AB960" i="4"/>
  <c r="DH960" i="4" s="1"/>
  <c r="DJ771" i="4"/>
  <c r="AL786" i="4"/>
  <c r="DJ786" i="4" s="1"/>
  <c r="DK941" i="4"/>
  <c r="AQ943" i="4"/>
  <c r="DK943" i="4" s="1"/>
  <c r="CN719" i="4"/>
  <c r="CM124" i="4"/>
  <c r="BY719" i="4"/>
  <c r="BY124" i="4" s="1"/>
  <c r="BX124" i="4"/>
  <c r="BZ124" i="4" s="1"/>
  <c r="DR124" i="4" s="1"/>
  <c r="BT719" i="4"/>
  <c r="BS124" i="4"/>
  <c r="AW796" i="4"/>
  <c r="AW798" i="4" s="1"/>
  <c r="DW761" i="4"/>
  <c r="CZ761" i="4"/>
  <c r="AB943" i="4"/>
  <c r="DH943" i="4" s="1"/>
  <c r="DH941" i="4"/>
  <c r="BZ720" i="4"/>
  <c r="DR720" i="4" s="1"/>
  <c r="DG719" i="4"/>
  <c r="W124" i="4"/>
  <c r="DG124" i="4" s="1"/>
  <c r="CR841" i="4"/>
  <c r="CP860" i="4"/>
  <c r="CP796" i="4" s="1"/>
  <c r="CQ837" i="4"/>
  <c r="DH798" i="4"/>
  <c r="AB800" i="4"/>
  <c r="DH800" i="4" s="1"/>
  <c r="AB773" i="4"/>
  <c r="DU784" i="4"/>
  <c r="CP141" i="4"/>
  <c r="CO141" i="4"/>
  <c r="DU141" i="4" s="1"/>
  <c r="AD685" i="4"/>
  <c r="R751" i="4"/>
  <c r="CZ749" i="4"/>
  <c r="DW749" i="4"/>
  <c r="AT739" i="4"/>
  <c r="AU730" i="4"/>
  <c r="AY963" i="4"/>
  <c r="AY961" i="4"/>
  <c r="AZ718" i="4"/>
  <c r="T24" i="9" s="1"/>
  <c r="T26" i="9" s="1"/>
  <c r="T28" i="9" s="1"/>
  <c r="AY125" i="4"/>
  <c r="AL961" i="4"/>
  <c r="DJ961" i="4" s="1"/>
  <c r="CJ961" i="4"/>
  <c r="DT961" i="4" s="1"/>
  <c r="DT718" i="4"/>
  <c r="CJ125" i="4"/>
  <c r="DT125" i="4" s="1"/>
  <c r="DT717" i="4"/>
  <c r="M961" i="4"/>
  <c r="DE961" i="4" s="1"/>
  <c r="CI839" i="4"/>
  <c r="CJ839" i="4" s="1"/>
  <c r="CW845" i="4"/>
  <c r="CE860" i="4"/>
  <c r="DS837" i="4"/>
  <c r="CF837" i="4"/>
  <c r="J913" i="4"/>
  <c r="I913" i="4"/>
  <c r="M913" i="4" s="1"/>
  <c r="DE913" i="4" s="1"/>
  <c r="DP771" i="4"/>
  <c r="J750" i="4"/>
  <c r="I748" i="4"/>
  <c r="I750" i="4" s="1"/>
  <c r="DH719" i="4"/>
  <c r="AB124" i="4"/>
  <c r="DH124" i="4" s="1"/>
  <c r="BZ719" i="4"/>
  <c r="DW770" i="4"/>
  <c r="CZ770" i="4"/>
  <c r="Z760" i="4"/>
  <c r="Y759" i="4"/>
  <c r="N942" i="4"/>
  <c r="O754" i="4"/>
  <c r="DN718" i="4"/>
  <c r="BF125" i="4"/>
  <c r="DN125" i="4" s="1"/>
  <c r="DF719" i="4"/>
  <c r="R124" i="4"/>
  <c r="DF124" i="4" s="1"/>
  <c r="AX722" i="4"/>
  <c r="AY717" i="4"/>
  <c r="AY722" i="4" s="1"/>
  <c r="U722" i="4"/>
  <c r="U724" i="4" s="1"/>
  <c r="U726" i="4" s="1"/>
  <c r="V717" i="4"/>
  <c r="W717" i="4" s="1"/>
  <c r="AT738" i="4"/>
  <c r="AU702" i="4"/>
  <c r="AU704" i="4" s="1"/>
  <c r="AT122" i="4"/>
  <c r="DG698" i="4"/>
  <c r="W113" i="4"/>
  <c r="DG113" i="4" s="1"/>
  <c r="BK718" i="4"/>
  <c r="CH713" i="4"/>
  <c r="CH714" i="4" s="1"/>
  <c r="BO669" i="4"/>
  <c r="BO120" i="4"/>
  <c r="BH765" i="4"/>
  <c r="CI719" i="4"/>
  <c r="CI124" i="4" s="1"/>
  <c r="CJ124" i="4" s="1"/>
  <c r="DT124" i="4" s="1"/>
  <c r="BI717" i="4"/>
  <c r="BI722" i="4" s="1"/>
  <c r="AQ717" i="4"/>
  <c r="DJ707" i="4"/>
  <c r="AL675" i="4"/>
  <c r="BM724" i="4"/>
  <c r="BM726" i="4" s="1"/>
  <c r="CC961" i="4"/>
  <c r="CD718" i="4"/>
  <c r="CC125" i="4"/>
  <c r="BI714" i="4"/>
  <c r="BI675" i="4"/>
  <c r="BI657" i="4"/>
  <c r="CG714" i="4"/>
  <c r="BA701" i="4"/>
  <c r="DM701" i="4" s="1"/>
  <c r="AY704" i="4"/>
  <c r="AI724" i="4"/>
  <c r="AI726" i="4" s="1"/>
  <c r="CW709" i="4"/>
  <c r="CW121" i="4"/>
  <c r="BL664" i="4"/>
  <c r="BL670" i="4"/>
  <c r="BK644" i="4"/>
  <c r="BK645" i="4" s="1"/>
  <c r="DO645" i="4" s="1"/>
  <c r="DO641" i="4"/>
  <c r="AQ713" i="4"/>
  <c r="DK713" i="4" s="1"/>
  <c r="CN712" i="4"/>
  <c r="CN658" i="4" s="1"/>
  <c r="CO658" i="4" s="1"/>
  <c r="DJ710" i="4"/>
  <c r="AL119" i="4"/>
  <c r="DJ119" i="4" s="1"/>
  <c r="AJ704" i="4"/>
  <c r="BH704" i="4"/>
  <c r="BH724" i="4" s="1"/>
  <c r="BH726" i="4" s="1"/>
  <c r="BH116" i="4"/>
  <c r="BJ113" i="4"/>
  <c r="CO678" i="4"/>
  <c r="DU678" i="4" s="1"/>
  <c r="DU675" i="4"/>
  <c r="DV758" i="4"/>
  <c r="CU758" i="4"/>
  <c r="CV758" i="4" s="1"/>
  <c r="DP658" i="4"/>
  <c r="BP667" i="4"/>
  <c r="DP667" i="4" s="1"/>
  <c r="BO666" i="4"/>
  <c r="BO661" i="4"/>
  <c r="R626" i="4"/>
  <c r="DF626" i="4" s="1"/>
  <c r="DF625" i="4"/>
  <c r="AL713" i="4"/>
  <c r="DJ713" i="4" s="1"/>
  <c r="AZ713" i="4"/>
  <c r="BA713" i="4" s="1"/>
  <c r="DM713" i="4" s="1"/>
  <c r="AZ711" i="4"/>
  <c r="DL708" i="4"/>
  <c r="AV660" i="4"/>
  <c r="CJ703" i="4"/>
  <c r="DT703" i="4" s="1"/>
  <c r="BE701" i="4"/>
  <c r="BE116" i="4" s="1"/>
  <c r="BF116" i="4" s="1"/>
  <c r="DN116" i="4" s="1"/>
  <c r="BY118" i="4"/>
  <c r="CH670" i="4"/>
  <c r="CH664" i="4"/>
  <c r="BN664" i="4"/>
  <c r="DQ660" i="4"/>
  <c r="BU669" i="4"/>
  <c r="DQ669" i="4" s="1"/>
  <c r="BU120" i="4"/>
  <c r="DS658" i="4"/>
  <c r="CE667" i="4"/>
  <c r="DS667" i="4" s="1"/>
  <c r="BU644" i="4"/>
  <c r="DQ641" i="4"/>
  <c r="BE722" i="4"/>
  <c r="L713" i="4"/>
  <c r="L714" i="4" s="1"/>
  <c r="K714" i="4"/>
  <c r="BA712" i="4"/>
  <c r="DM712" i="4" s="1"/>
  <c r="P714" i="4"/>
  <c r="BF703" i="4"/>
  <c r="DN703" i="4" s="1"/>
  <c r="BE698" i="4"/>
  <c r="CC664" i="4"/>
  <c r="DU657" i="4"/>
  <c r="CO666" i="4"/>
  <c r="DU666" i="4" s="1"/>
  <c r="CX708" i="4"/>
  <c r="CX120" i="4"/>
  <c r="DQ633" i="4"/>
  <c r="BK555" i="4"/>
  <c r="DO555" i="4" s="1"/>
  <c r="BG553" i="4"/>
  <c r="BK553" i="4" s="1"/>
  <c r="DO553" i="4" s="1"/>
  <c r="AQ555" i="4"/>
  <c r="DK555" i="4" s="1"/>
  <c r="AM553" i="4"/>
  <c r="AQ553" i="4" s="1"/>
  <c r="DK553" i="4" s="1"/>
  <c r="CN932" i="4"/>
  <c r="CO682" i="4"/>
  <c r="DO575" i="4"/>
  <c r="BK581" i="4"/>
  <c r="DO581" i="4" s="1"/>
  <c r="BP662" i="4"/>
  <c r="BZ668" i="4"/>
  <c r="DR668" i="4" s="1"/>
  <c r="BM670" i="4"/>
  <c r="BM664" i="4"/>
  <c r="CJ619" i="4"/>
  <c r="R581" i="4"/>
  <c r="DF575" i="4"/>
  <c r="R576" i="4"/>
  <c r="DF576" i="4" s="1"/>
  <c r="R577" i="4"/>
  <c r="DF577" i="4" s="1"/>
  <c r="BF553" i="4"/>
  <c r="DN553" i="4" s="1"/>
  <c r="CU708" i="4"/>
  <c r="CY660" i="4"/>
  <c r="CU120" i="4"/>
  <c r="DP641" i="4"/>
  <c r="BP644" i="4"/>
  <c r="BP645" i="4" s="1"/>
  <c r="DP645" i="4" s="1"/>
  <c r="CY612" i="4"/>
  <c r="CU616" i="4"/>
  <c r="CU29" i="4" s="1"/>
  <c r="AW581" i="4"/>
  <c r="BA575" i="4"/>
  <c r="BA553" i="4"/>
  <c r="DM553" i="4" s="1"/>
  <c r="AQ499" i="4"/>
  <c r="DK499" i="4" s="1"/>
  <c r="DK498" i="4"/>
  <c r="M755" i="4"/>
  <c r="DE755" i="4" s="1"/>
  <c r="DE753" i="4"/>
  <c r="BM522" i="4"/>
  <c r="BM511" i="4"/>
  <c r="BN463" i="4"/>
  <c r="BN442" i="4"/>
  <c r="BN457" i="4"/>
  <c r="BN469" i="4"/>
  <c r="BN472" i="4" s="1"/>
  <c r="DS367" i="4"/>
  <c r="DR325" i="4"/>
  <c r="BP505" i="4"/>
  <c r="BO439" i="4"/>
  <c r="AM459" i="4"/>
  <c r="AM458" i="4"/>
  <c r="S459" i="4"/>
  <c r="S458" i="4"/>
  <c r="W410" i="4"/>
  <c r="DG410" i="4" s="1"/>
  <c r="BR383" i="4"/>
  <c r="BW383" i="4"/>
  <c r="W564" i="4"/>
  <c r="DG564" i="4" s="1"/>
  <c r="DG563" i="4"/>
  <c r="AH498" i="4"/>
  <c r="AQ472" i="4"/>
  <c r="DK472" i="4" s="1"/>
  <c r="BA465" i="4"/>
  <c r="DM465" i="4" s="1"/>
  <c r="AS458" i="4"/>
  <c r="AS459" i="4"/>
  <c r="Y458" i="4"/>
  <c r="Y459" i="4"/>
  <c r="BC463" i="4"/>
  <c r="BC464" i="4" s="1"/>
  <c r="BC457" i="4"/>
  <c r="BC469" i="4"/>
  <c r="BC472" i="4" s="1"/>
  <c r="BF472" i="4" s="1"/>
  <c r="DN472" i="4" s="1"/>
  <c r="BC442" i="4"/>
  <c r="BV383" i="4"/>
  <c r="DR374" i="4"/>
  <c r="BZ378" i="4"/>
  <c r="BZ228" i="4"/>
  <c r="BU470" i="4"/>
  <c r="DQ470" i="4" s="1"/>
  <c r="BJ449" i="4"/>
  <c r="BJ448" i="4" s="1"/>
  <c r="BJ466" i="4" s="1"/>
  <c r="BI448" i="4"/>
  <c r="BI466" i="4" s="1"/>
  <c r="AV472" i="4"/>
  <c r="DL472" i="4" s="1"/>
  <c r="T436" i="4"/>
  <c r="T458" i="4"/>
  <c r="T459" i="4"/>
  <c r="BG469" i="4"/>
  <c r="BG472" i="4" s="1"/>
  <c r="BG463" i="4"/>
  <c r="BG457" i="4"/>
  <c r="BG442" i="4"/>
  <c r="AU448" i="4"/>
  <c r="AT448" i="4"/>
  <c r="DL438" i="4"/>
  <c r="AV450" i="4"/>
  <c r="AV449" i="4"/>
  <c r="DL449" i="4" s="1"/>
  <c r="AR448" i="4"/>
  <c r="AS448" i="4"/>
  <c r="AV466" i="4"/>
  <c r="DL466" i="4" s="1"/>
  <c r="DJ437" i="4"/>
  <c r="AL434" i="4"/>
  <c r="DJ434" i="4" s="1"/>
  <c r="AK433" i="4"/>
  <c r="BQ436" i="4"/>
  <c r="BU431" i="4"/>
  <c r="DQ431" i="4" s="1"/>
  <c r="BK431" i="4"/>
  <c r="BP417" i="4" s="1"/>
  <c r="DO429" i="4"/>
  <c r="CO378" i="4"/>
  <c r="CK379" i="4"/>
  <c r="CO379" i="4" s="1"/>
  <c r="CJ382" i="4"/>
  <c r="DT382" i="4" s="1"/>
  <c r="DT372" i="4"/>
  <c r="AV355" i="4"/>
  <c r="DL355" i="4" s="1"/>
  <c r="AV356" i="4"/>
  <c r="DL356" i="4" s="1"/>
  <c r="DL354" i="4"/>
  <c r="BA356" i="4"/>
  <c r="DM356" i="4" s="1"/>
  <c r="AM355" i="4"/>
  <c r="AQ355" i="4" s="1"/>
  <c r="DK355" i="4" s="1"/>
  <c r="DS262" i="4"/>
  <c r="CJ265" i="4"/>
  <c r="DT265" i="4" s="1"/>
  <c r="CE265" i="4"/>
  <c r="DS265" i="4" s="1"/>
  <c r="CP264" i="4"/>
  <c r="CP255" i="4"/>
  <c r="CU264" i="4"/>
  <c r="BB264" i="4"/>
  <c r="BB263" i="4"/>
  <c r="BB258" i="4" s="1"/>
  <c r="BG264" i="4"/>
  <c r="BP244" i="4"/>
  <c r="DP244" i="4" s="1"/>
  <c r="DP223" i="4"/>
  <c r="AL183" i="4"/>
  <c r="AL193" i="4"/>
  <c r="DJ193" i="4" s="1"/>
  <c r="AL171" i="4"/>
  <c r="DJ167" i="4"/>
  <c r="CT165" i="4"/>
  <c r="DV165" i="4" s="1"/>
  <c r="BJ531" i="4"/>
  <c r="BJ537" i="4" s="1"/>
  <c r="BJ528" i="4"/>
  <c r="AX538" i="4"/>
  <c r="AX539" i="4" s="1"/>
  <c r="AP538" i="4"/>
  <c r="AP539" i="4" s="1"/>
  <c r="AV526" i="4"/>
  <c r="DL158" i="4"/>
  <c r="AW160" i="4"/>
  <c r="AV160" i="4"/>
  <c r="DL160" i="4" s="1"/>
  <c r="BA160" i="4"/>
  <c r="DM160" i="4" s="1"/>
  <c r="BE449" i="4"/>
  <c r="BE448" i="4" s="1"/>
  <c r="BE466" i="4" s="1"/>
  <c r="BD448" i="4"/>
  <c r="BD466" i="4" s="1"/>
  <c r="BH442" i="4"/>
  <c r="X436" i="4"/>
  <c r="X458" i="4"/>
  <c r="X459" i="4"/>
  <c r="DG406" i="4"/>
  <c r="X407" i="4"/>
  <c r="AB407" i="4" s="1"/>
  <c r="DH407" i="4" s="1"/>
  <c r="CO359" i="4"/>
  <c r="DU359" i="4" s="1"/>
  <c r="AG356" i="4"/>
  <c r="DI356" i="4" s="1"/>
  <c r="AV287" i="4"/>
  <c r="DL287" i="4" s="1"/>
  <c r="BQ287" i="4"/>
  <c r="BU287" i="4" s="1"/>
  <c r="DQ287" i="4" s="1"/>
  <c r="BP289" i="4"/>
  <c r="DP286" i="4"/>
  <c r="BP288" i="4"/>
  <c r="DP288" i="4" s="1"/>
  <c r="BP261" i="4"/>
  <c r="K23" i="55" s="1"/>
  <c r="K24" i="55" s="1"/>
  <c r="AC287" i="4"/>
  <c r="AG287" i="4" s="1"/>
  <c r="DI287" i="4" s="1"/>
  <c r="AB289" i="4"/>
  <c r="DH289" i="4" s="1"/>
  <c r="DH286" i="4"/>
  <c r="AB288" i="4"/>
  <c r="DH288" i="4" s="1"/>
  <c r="AB261" i="4"/>
  <c r="C23" i="55" s="1"/>
  <c r="C24" i="55" s="1"/>
  <c r="AL284" i="4"/>
  <c r="DJ284" i="4" s="1"/>
  <c r="DJ282" i="4"/>
  <c r="AM283" i="4"/>
  <c r="AQ283" i="4" s="1"/>
  <c r="DK283" i="4" s="1"/>
  <c r="BA180" i="4"/>
  <c r="DM176" i="4"/>
  <c r="AG183" i="4"/>
  <c r="AG193" i="4"/>
  <c r="DI193" i="4" s="1"/>
  <c r="AG171" i="4"/>
  <c r="AG172" i="4" s="1"/>
  <c r="DI172" i="4" s="1"/>
  <c r="DI167" i="4"/>
  <c r="BM538" i="4"/>
  <c r="BM539" i="4" s="1"/>
  <c r="BE538" i="4"/>
  <c r="BE539" i="4" s="1"/>
  <c r="AS538" i="4"/>
  <c r="AS539" i="4" s="1"/>
  <c r="R528" i="4"/>
  <c r="DF528" i="4" s="1"/>
  <c r="AX452" i="4"/>
  <c r="AY466" i="4"/>
  <c r="AY452" i="4"/>
  <c r="AY453" i="4" s="1"/>
  <c r="BK445" i="4"/>
  <c r="DO445" i="4" s="1"/>
  <c r="DO444" i="4"/>
  <c r="AJ436" i="4"/>
  <c r="AJ458" i="4"/>
  <c r="AJ459" i="4"/>
  <c r="BP383" i="4"/>
  <c r="DP383" i="4" s="1"/>
  <c r="BU359" i="4"/>
  <c r="DQ359" i="4" s="1"/>
  <c r="CE359" i="4"/>
  <c r="DS359" i="4" s="1"/>
  <c r="AB359" i="4"/>
  <c r="DH359" i="4" s="1"/>
  <c r="BU334" i="4"/>
  <c r="DQ334" i="4" s="1"/>
  <c r="BF289" i="4"/>
  <c r="DN289" i="4" s="1"/>
  <c r="AD459" i="4"/>
  <c r="AD458" i="4"/>
  <c r="BH465" i="4"/>
  <c r="BH494" i="4"/>
  <c r="BH495" i="4" s="1"/>
  <c r="BK495" i="4" s="1"/>
  <c r="DO495" i="4" s="1"/>
  <c r="BD458" i="4"/>
  <c r="BD459" i="4"/>
  <c r="BU411" i="4"/>
  <c r="DQ411" i="4" s="1"/>
  <c r="W411" i="4"/>
  <c r="DG411" i="4" s="1"/>
  <c r="CG384" i="4"/>
  <c r="CG379" i="4"/>
  <c r="S359" i="4"/>
  <c r="W359" i="4" s="1"/>
  <c r="DG359" i="4" s="1"/>
  <c r="DF358" i="4"/>
  <c r="R361" i="4"/>
  <c r="DF361" i="4" s="1"/>
  <c r="R262" i="4"/>
  <c r="AW355" i="4"/>
  <c r="BA355" i="4" s="1"/>
  <c r="DM355" i="4" s="1"/>
  <c r="CT347" i="4"/>
  <c r="DV347" i="4" s="1"/>
  <c r="CK287" i="4"/>
  <c r="CO287" i="4" s="1"/>
  <c r="DU287" i="4" s="1"/>
  <c r="CJ288" i="4"/>
  <c r="DT288" i="4" s="1"/>
  <c r="DT286" i="4"/>
  <c r="CJ261" i="4"/>
  <c r="O23" i="55" s="1"/>
  <c r="O24" i="55" s="1"/>
  <c r="BF287" i="4"/>
  <c r="DN287" i="4" s="1"/>
  <c r="AB284" i="4"/>
  <c r="DH284" i="4" s="1"/>
  <c r="AE257" i="4"/>
  <c r="BU248" i="4"/>
  <c r="DQ248" i="4" s="1"/>
  <c r="CU189" i="4"/>
  <c r="CU193" i="4"/>
  <c r="U494" i="4"/>
  <c r="U446" i="4"/>
  <c r="U447" i="4" s="1"/>
  <c r="AV334" i="4"/>
  <c r="DL334" i="4" s="1"/>
  <c r="BU288" i="4"/>
  <c r="DQ288" i="4" s="1"/>
  <c r="BX189" i="4"/>
  <c r="CJ165" i="4"/>
  <c r="DT165" i="4" s="1"/>
  <c r="AR531" i="4"/>
  <c r="AR537" i="4" s="1"/>
  <c r="AR528" i="4"/>
  <c r="AV528" i="4" s="1"/>
  <c r="DL528" i="4" s="1"/>
  <c r="BF526" i="4"/>
  <c r="DN431" i="4"/>
  <c r="BF417" i="4"/>
  <c r="DN417" i="4" s="1"/>
  <c r="AR283" i="4"/>
  <c r="AV283" i="4" s="1"/>
  <c r="DL283" i="4" s="1"/>
  <c r="AX266" i="4"/>
  <c r="BX264" i="4"/>
  <c r="BJ255" i="4"/>
  <c r="DV228" i="4"/>
  <c r="CT246" i="4"/>
  <c r="DV246" i="4" s="1"/>
  <c r="BU244" i="4"/>
  <c r="DQ244" i="4" s="1"/>
  <c r="AE255" i="4"/>
  <c r="CE209" i="4"/>
  <c r="DR209" i="4"/>
  <c r="CA189" i="4"/>
  <c r="CF189" i="4"/>
  <c r="BT189" i="4"/>
  <c r="CG172" i="4"/>
  <c r="CB172" i="4"/>
  <c r="AW159" i="4"/>
  <c r="BA159" i="4" s="1"/>
  <c r="DM159" i="4" s="1"/>
  <c r="BG337" i="4"/>
  <c r="AG288" i="4"/>
  <c r="DI288" i="4" s="1"/>
  <c r="BV266" i="4"/>
  <c r="BB255" i="4"/>
  <c r="CF232" i="4"/>
  <c r="CF242" i="4" s="1"/>
  <c r="BW251" i="4"/>
  <c r="AG244" i="4"/>
  <c r="DI244" i="4" s="1"/>
  <c r="AA189" i="4"/>
  <c r="CB189" i="4"/>
  <c r="BP193" i="4"/>
  <c r="DP193" i="4" s="1"/>
  <c r="BP171" i="4"/>
  <c r="BP172" i="4" s="1"/>
  <c r="DP172" i="4" s="1"/>
  <c r="DP167" i="4"/>
  <c r="W527" i="4"/>
  <c r="X531" i="4" s="1"/>
  <c r="AQ71" i="4"/>
  <c r="DK71" i="4" s="1"/>
  <c r="DK70" i="4"/>
  <c r="BJ257" i="4"/>
  <c r="AZ189" i="4"/>
  <c r="AQ159" i="4"/>
  <c r="DK159" i="4" s="1"/>
  <c r="DO122" i="4"/>
  <c r="BW49" i="4"/>
  <c r="BX49" i="4" s="1"/>
  <c r="BY49" i="4" s="1"/>
  <c r="CA49" i="4" s="1"/>
  <c r="AB20" i="4"/>
  <c r="DH10" i="4"/>
  <c r="BK446" i="4"/>
  <c r="BY172" i="4"/>
  <c r="CE172" i="4"/>
  <c r="DS172" i="4" s="1"/>
  <c r="CY698" i="4"/>
  <c r="CU113" i="4"/>
  <c r="AD266" i="4"/>
  <c r="DP176" i="4"/>
  <c r="BP180" i="4"/>
  <c r="BP181" i="4" s="1"/>
  <c r="DP181" i="4" s="1"/>
  <c r="X172" i="4"/>
  <c r="CI164" i="4"/>
  <c r="BU163" i="4"/>
  <c r="BM164" i="4"/>
  <c r="AG527" i="4"/>
  <c r="AG165" i="4"/>
  <c r="DI165" i="4" s="1"/>
  <c r="DI162" i="4"/>
  <c r="AH163" i="4"/>
  <c r="T528" i="4"/>
  <c r="T531" i="4"/>
  <c r="CE160" i="4"/>
  <c r="DS160" i="4" s="1"/>
  <c r="CF160" i="4"/>
  <c r="CF159" i="4"/>
  <c r="CJ159" i="4" s="1"/>
  <c r="DT159" i="4" s="1"/>
  <c r="DS158" i="4"/>
  <c r="AL159" i="4"/>
  <c r="DJ159" i="4" s="1"/>
  <c r="DW70" i="4"/>
  <c r="CZ70" i="4"/>
  <c r="L19" i="68" s="1"/>
  <c r="L20" i="68" s="1"/>
  <c r="CY71" i="4"/>
  <c r="DW71" i="4" s="1"/>
  <c r="AV71" i="4"/>
  <c r="DL71" i="4" s="1"/>
  <c r="CT893" i="4"/>
  <c r="AC932" i="4"/>
  <c r="AC894" i="4"/>
  <c r="AC915" i="4"/>
  <c r="AC897" i="4"/>
  <c r="AG4" i="4"/>
  <c r="CZ914" i="4" s="1"/>
  <c r="DX914" i="4" s="1"/>
  <c r="I898" i="4"/>
  <c r="R457" i="4"/>
  <c r="BD164" i="4"/>
  <c r="AR258" i="4"/>
  <c r="L893" i="4"/>
  <c r="M893" i="4" s="1"/>
  <c r="L895" i="4"/>
  <c r="AY251" i="4"/>
  <c r="DJ31" i="4"/>
  <c r="DE10" i="4"/>
  <c r="M20" i="4"/>
  <c r="BV258" i="4"/>
  <c r="BV20" i="4"/>
  <c r="BV15" i="4"/>
  <c r="BV14" i="4"/>
  <c r="BY139" i="4" s="1"/>
  <c r="BZ10" i="4"/>
  <c r="BO175" i="72" s="1"/>
  <c r="BB20" i="4"/>
  <c r="BB15" i="4"/>
  <c r="BB14" i="4"/>
  <c r="BD139" i="4" s="1"/>
  <c r="BD145" i="4" s="1"/>
  <c r="BF10" i="4"/>
  <c r="AC258" i="4"/>
  <c r="AC20" i="4"/>
  <c r="AC21" i="4" s="1"/>
  <c r="AC15" i="4"/>
  <c r="AC14" i="4"/>
  <c r="AG10" i="4"/>
  <c r="K897" i="4"/>
  <c r="K898" i="4"/>
  <c r="BL466" i="4"/>
  <c r="AN458" i="4"/>
  <c r="AN459" i="4"/>
  <c r="CG933" i="4"/>
  <c r="X691" i="4"/>
  <c r="CI690" i="4"/>
  <c r="CI74" i="4"/>
  <c r="CI33" i="4"/>
  <c r="CI22" i="4"/>
  <c r="CI16" i="4"/>
  <c r="CD690" i="4"/>
  <c r="CD74" i="4"/>
  <c r="CD84" i="4" s="1"/>
  <c r="CD22" i="4"/>
  <c r="CD16" i="4"/>
  <c r="CD33" i="4"/>
  <c r="BY690" i="4"/>
  <c r="BY74" i="4"/>
  <c r="BY84" i="4" s="1"/>
  <c r="BY22" i="4"/>
  <c r="BY33" i="4"/>
  <c r="BT258" i="4"/>
  <c r="BE634" i="4"/>
  <c r="BE74" i="4"/>
  <c r="BE84" i="4" s="1"/>
  <c r="M4" i="9" s="1"/>
  <c r="BE22" i="4"/>
  <c r="BE23" i="4" s="1"/>
  <c r="BE16" i="4"/>
  <c r="BE33" i="4"/>
  <c r="AR51" i="9" s="1"/>
  <c r="AR57" i="9" s="1"/>
  <c r="AZ258" i="4"/>
  <c r="CO31" i="4"/>
  <c r="AX634" i="4"/>
  <c r="AX74" i="4"/>
  <c r="AX84" i="4" s="1"/>
  <c r="F4" i="9" s="1"/>
  <c r="AX22" i="4"/>
  <c r="AX16" i="4"/>
  <c r="AX33" i="4"/>
  <c r="AK51" i="9" s="1"/>
  <c r="AK57" i="9" s="1"/>
  <c r="Y690" i="4"/>
  <c r="Y634" i="4"/>
  <c r="Y22" i="4"/>
  <c r="Y33" i="4"/>
  <c r="Y47" i="4" s="1"/>
  <c r="AB31" i="4"/>
  <c r="CC21" i="4"/>
  <c r="BI634" i="4"/>
  <c r="BI22" i="4"/>
  <c r="BI16" i="4"/>
  <c r="BI74" i="4"/>
  <c r="BI84" i="4" s="1"/>
  <c r="CV245" i="9" s="1"/>
  <c r="BI33" i="4"/>
  <c r="BI258" i="4"/>
  <c r="AT634" i="4"/>
  <c r="AT22" i="4"/>
  <c r="AT23" i="4" s="1"/>
  <c r="AT16" i="4"/>
  <c r="AT139" i="4"/>
  <c r="AT74" i="4"/>
  <c r="AT84" i="4" s="1"/>
  <c r="AT33" i="4"/>
  <c r="Z634" i="4"/>
  <c r="Z22" i="4"/>
  <c r="Z33" i="4"/>
  <c r="Z47" i="4" s="1"/>
  <c r="CB690" i="4"/>
  <c r="CB74" i="4"/>
  <c r="CB84" i="4" s="1"/>
  <c r="CB33" i="4"/>
  <c r="CB22" i="4"/>
  <c r="CB16" i="4"/>
  <c r="BC21" i="4"/>
  <c r="AK634" i="4"/>
  <c r="AK74" i="4"/>
  <c r="AK84" i="4" s="1"/>
  <c r="AK139" i="4"/>
  <c r="AK22" i="4"/>
  <c r="AK16" i="4"/>
  <c r="AK33" i="4"/>
  <c r="N691" i="4"/>
  <c r="AS258" i="4"/>
  <c r="AV15" i="4"/>
  <c r="DL15" i="4" s="1"/>
  <c r="DL10" i="4"/>
  <c r="AV20" i="4"/>
  <c r="CL690" i="4"/>
  <c r="CL74" i="4"/>
  <c r="CL22" i="4"/>
  <c r="CL16" i="4"/>
  <c r="CL139" i="4"/>
  <c r="CL33" i="4"/>
  <c r="AP634" i="4"/>
  <c r="AP74" i="4"/>
  <c r="AP84" i="4" s="1"/>
  <c r="AP22" i="4"/>
  <c r="AP23" i="4" s="1"/>
  <c r="AP16" i="4"/>
  <c r="AP33" i="4"/>
  <c r="DG759" i="4"/>
  <c r="W685" i="4"/>
  <c r="DG685" i="4" s="1"/>
  <c r="AC931" i="4"/>
  <c r="AC685" i="4"/>
  <c r="CR838" i="4"/>
  <c r="BP943" i="4"/>
  <c r="DP943" i="4" s="1"/>
  <c r="DP941" i="4"/>
  <c r="BQ941" i="4"/>
  <c r="BD838" i="4"/>
  <c r="DQ784" i="4"/>
  <c r="BV141" i="4"/>
  <c r="DE771" i="4"/>
  <c r="M786" i="4"/>
  <c r="DE786" i="4" s="1"/>
  <c r="DW747" i="4"/>
  <c r="CZ747" i="4"/>
  <c r="DW757" i="4"/>
  <c r="CZ757" i="4"/>
  <c r="BO961" i="4"/>
  <c r="BO125" i="4"/>
  <c r="DE718" i="4"/>
  <c r="M125" i="4"/>
  <c r="DE125" i="4" s="1"/>
  <c r="CD773" i="4"/>
  <c r="CD786" i="4" s="1"/>
  <c r="DT763" i="4"/>
  <c r="CK763" i="4"/>
  <c r="CL763" i="4" s="1"/>
  <c r="DO941" i="4"/>
  <c r="BK943" i="4"/>
  <c r="DO943" i="4" s="1"/>
  <c r="CQ870" i="4"/>
  <c r="CP871" i="4"/>
  <c r="CP797" i="4" s="1"/>
  <c r="BH774" i="4"/>
  <c r="DE751" i="4"/>
  <c r="AE738" i="4"/>
  <c r="AF702" i="4"/>
  <c r="AE122" i="4"/>
  <c r="CB722" i="4"/>
  <c r="CC717" i="4"/>
  <c r="DK707" i="4"/>
  <c r="AQ657" i="4"/>
  <c r="AQ675" i="4"/>
  <c r="R714" i="4"/>
  <c r="DF714" i="4" s="1"/>
  <c r="R675" i="4"/>
  <c r="DF707" i="4"/>
  <c r="DL698" i="4"/>
  <c r="AV113" i="4"/>
  <c r="DL113" i="4" s="1"/>
  <c r="BP661" i="4"/>
  <c r="DP657" i="4"/>
  <c r="U963" i="4"/>
  <c r="U961" i="4"/>
  <c r="V718" i="4"/>
  <c r="W718" i="4" s="1"/>
  <c r="E2" i="72" s="1"/>
  <c r="E5" i="72" s="1"/>
  <c r="U125" i="4"/>
  <c r="CR658" i="4"/>
  <c r="CM667" i="4"/>
  <c r="DH710" i="4"/>
  <c r="AB119" i="4"/>
  <c r="DH119" i="4" s="1"/>
  <c r="DK698" i="4"/>
  <c r="AQ113" i="4"/>
  <c r="DK113" i="4" s="1"/>
  <c r="BG670" i="4"/>
  <c r="BG664" i="4"/>
  <c r="K722" i="4"/>
  <c r="DT707" i="4"/>
  <c r="R704" i="4"/>
  <c r="DF698" i="4"/>
  <c r="R113" i="4"/>
  <c r="DF113" i="4" s="1"/>
  <c r="Q704" i="4"/>
  <c r="DR682" i="4"/>
  <c r="CC677" i="4"/>
  <c r="CC118" i="4"/>
  <c r="BR670" i="4"/>
  <c r="BR664" i="4"/>
  <c r="BP668" i="4"/>
  <c r="DP668" i="4" s="1"/>
  <c r="DP659" i="4"/>
  <c r="AE704" i="4"/>
  <c r="DP660" i="4"/>
  <c r="BP120" i="4"/>
  <c r="CR673" i="4"/>
  <c r="CM674" i="4"/>
  <c r="BN617" i="4"/>
  <c r="BN619" i="4"/>
  <c r="R563" i="4"/>
  <c r="W565" i="4" s="1"/>
  <c r="DG565" i="4" s="1"/>
  <c r="R559" i="4"/>
  <c r="DF559" i="4" s="1"/>
  <c r="DF558" i="4"/>
  <c r="DV660" i="4"/>
  <c r="CT669" i="4"/>
  <c r="DV669" i="4" s="1"/>
  <c r="CT120" i="4"/>
  <c r="DV120" i="4" s="1"/>
  <c r="P582" i="4"/>
  <c r="P583" i="4"/>
  <c r="BK499" i="4"/>
  <c r="DO499" i="4" s="1"/>
  <c r="DO498" i="4"/>
  <c r="DW367" i="4"/>
  <c r="AU499" i="4"/>
  <c r="AV498" i="4"/>
  <c r="AA459" i="4"/>
  <c r="AA458" i="4"/>
  <c r="DS795" i="4"/>
  <c r="BM840" i="4"/>
  <c r="CX846" i="4"/>
  <c r="CY846" i="4" s="1"/>
  <c r="DI798" i="4"/>
  <c r="AG800" i="4"/>
  <c r="DI800" i="4" s="1"/>
  <c r="AG773" i="4"/>
  <c r="DI773" i="4" s="1"/>
  <c r="AJ685" i="4"/>
  <c r="CW847" i="4"/>
  <c r="CW853" i="4"/>
  <c r="AY839" i="4"/>
  <c r="DA863" i="4"/>
  <c r="DX863" i="4"/>
  <c r="CS843" i="4"/>
  <c r="CT843" i="4" s="1"/>
  <c r="BE795" i="4"/>
  <c r="BF771" i="4"/>
  <c r="DN768" i="4"/>
  <c r="DM941" i="4"/>
  <c r="BA943" i="4"/>
  <c r="DM943" i="4" s="1"/>
  <c r="CW849" i="4"/>
  <c r="CX848" i="4"/>
  <c r="CY848" i="4" s="1"/>
  <c r="CT834" i="4"/>
  <c r="CU832" i="4"/>
  <c r="CU893" i="4" s="1"/>
  <c r="DV832" i="4"/>
  <c r="AB961" i="4"/>
  <c r="DH961" i="4" s="1"/>
  <c r="CM961" i="4"/>
  <c r="CN718" i="4"/>
  <c r="CN722" i="4" s="1"/>
  <c r="CM125" i="4"/>
  <c r="BX961" i="4"/>
  <c r="BY718" i="4"/>
  <c r="BX125" i="4"/>
  <c r="BS961" i="4"/>
  <c r="BT718" i="4"/>
  <c r="BS125" i="4"/>
  <c r="CE784" i="4"/>
  <c r="BJ141" i="4"/>
  <c r="DM771" i="4"/>
  <c r="AC942" i="4"/>
  <c r="AD754" i="4"/>
  <c r="V943" i="4"/>
  <c r="W941" i="4"/>
  <c r="AG721" i="4"/>
  <c r="DI721" i="4" s="1"/>
  <c r="BU720" i="4"/>
  <c r="DQ720" i="4" s="1"/>
  <c r="CR840" i="4"/>
  <c r="CX864" i="4"/>
  <c r="CY864" i="4" s="1"/>
  <c r="DK784" i="4"/>
  <c r="AR141" i="4"/>
  <c r="AF933" i="4"/>
  <c r="AE933" i="4"/>
  <c r="AE759" i="4"/>
  <c r="T748" i="4"/>
  <c r="S750" i="4"/>
  <c r="BP718" i="4"/>
  <c r="BA720" i="4"/>
  <c r="DM720" i="4" s="1"/>
  <c r="AQ961" i="4"/>
  <c r="DK961" i="4" s="1"/>
  <c r="DP717" i="4"/>
  <c r="AL722" i="4"/>
  <c r="DJ722" i="4" s="1"/>
  <c r="DJ717" i="4"/>
  <c r="J960" i="4"/>
  <c r="M960" i="4" s="1"/>
  <c r="DE960" i="4" s="1"/>
  <c r="M963" i="4"/>
  <c r="DE963" i="4" s="1"/>
  <c r="CW863" i="4"/>
  <c r="DM784" i="4"/>
  <c r="BB141" i="4"/>
  <c r="DT771" i="4"/>
  <c r="DF759" i="4"/>
  <c r="CL754" i="4"/>
  <c r="CK753" i="4"/>
  <c r="CK755" i="4" s="1"/>
  <c r="AK765" i="4"/>
  <c r="AK788" i="4" s="1"/>
  <c r="CO721" i="4"/>
  <c r="DU721" i="4" s="1"/>
  <c r="BU721" i="4"/>
  <c r="DQ721" i="4" s="1"/>
  <c r="DS771" i="4"/>
  <c r="X685" i="4"/>
  <c r="X686" i="4" s="1"/>
  <c r="CU759" i="4"/>
  <c r="DV759" i="4"/>
  <c r="CT685" i="4"/>
  <c r="CQ754" i="4"/>
  <c r="CR754" i="4" s="1"/>
  <c r="CR753" i="4" s="1"/>
  <c r="CP753" i="4"/>
  <c r="BP720" i="4"/>
  <c r="DP720" i="4" s="1"/>
  <c r="BA719" i="4"/>
  <c r="AO738" i="4"/>
  <c r="AP702" i="4"/>
  <c r="AQ702" i="4" s="1"/>
  <c r="AO122" i="4"/>
  <c r="AZ113" i="4"/>
  <c r="CD719" i="4"/>
  <c r="CC124" i="4"/>
  <c r="BS722" i="4"/>
  <c r="BT717" i="4"/>
  <c r="BK961" i="4"/>
  <c r="DO961" i="4" s="1"/>
  <c r="CM659" i="4"/>
  <c r="CM661" i="4" s="1"/>
  <c r="AX704" i="4"/>
  <c r="CJ719" i="4"/>
  <c r="DT719" i="4" s="1"/>
  <c r="AW724" i="4"/>
  <c r="AW726" i="4" s="1"/>
  <c r="BZ817" i="4"/>
  <c r="DR817" i="4" s="1"/>
  <c r="DR698" i="4"/>
  <c r="BZ113" i="4"/>
  <c r="AG702" i="4"/>
  <c r="DI702" i="4" s="1"/>
  <c r="DI698" i="4"/>
  <c r="AG113" i="4"/>
  <c r="DI113" i="4" s="1"/>
  <c r="CN711" i="4"/>
  <c r="CO711" i="4" s="1"/>
  <c r="DU711" i="4" s="1"/>
  <c r="DS707" i="4"/>
  <c r="DL710" i="4"/>
  <c r="AV119" i="4"/>
  <c r="DL119" i="4" s="1"/>
  <c r="AP704" i="4"/>
  <c r="AP113" i="4"/>
  <c r="DU698" i="4"/>
  <c r="CO113" i="4"/>
  <c r="DU113" i="4" s="1"/>
  <c r="DQ682" i="4"/>
  <c r="AP678" i="4"/>
  <c r="AP118" i="4"/>
  <c r="BH664" i="4"/>
  <c r="BU667" i="4"/>
  <c r="DQ667" i="4" s="1"/>
  <c r="DQ658" i="4"/>
  <c r="AQ644" i="4"/>
  <c r="DK641" i="4"/>
  <c r="CO712" i="4"/>
  <c r="DU712" i="4" s="1"/>
  <c r="BF711" i="4"/>
  <c r="BP708" i="4"/>
  <c r="BI701" i="4"/>
  <c r="CJ679" i="4"/>
  <c r="CJ678" i="4"/>
  <c r="DT678" i="4" s="1"/>
  <c r="DT675" i="4"/>
  <c r="DR674" i="4"/>
  <c r="BZ118" i="4"/>
  <c r="CA666" i="4"/>
  <c r="CA661" i="4"/>
  <c r="CE657" i="4"/>
  <c r="BZ644" i="4"/>
  <c r="BZ645" i="4" s="1"/>
  <c r="DR645" i="4" s="1"/>
  <c r="DR641" i="4"/>
  <c r="CI722" i="4"/>
  <c r="Y722" i="4"/>
  <c r="Y724" i="4" s="1"/>
  <c r="Y726" i="4" s="1"/>
  <c r="Z717" i="4"/>
  <c r="CD713" i="4"/>
  <c r="CC714" i="4"/>
  <c r="BA711" i="4"/>
  <c r="DR707" i="4"/>
  <c r="BQ677" i="4"/>
  <c r="BQ118" i="4"/>
  <c r="DW659" i="4"/>
  <c r="CY668" i="4"/>
  <c r="DW668" i="4" s="1"/>
  <c r="CW708" i="4"/>
  <c r="CW120" i="4"/>
  <c r="DO658" i="4"/>
  <c r="BK667" i="4"/>
  <c r="DO667" i="4" s="1"/>
  <c r="BA644" i="4"/>
  <c r="BA645" i="4" s="1"/>
  <c r="DM645" i="4" s="1"/>
  <c r="DM641" i="4"/>
  <c r="DX781" i="4"/>
  <c r="DA781" i="4"/>
  <c r="DY781" i="4" s="1"/>
  <c r="BZ713" i="4"/>
  <c r="DR713" i="4" s="1"/>
  <c r="W702" i="4"/>
  <c r="DG702" i="4" s="1"/>
  <c r="BO704" i="4"/>
  <c r="BC704" i="4"/>
  <c r="BP674" i="4"/>
  <c r="BD667" i="4"/>
  <c r="BQ670" i="4"/>
  <c r="BQ664" i="4"/>
  <c r="AI498" i="4"/>
  <c r="DK575" i="4"/>
  <c r="AQ581" i="4"/>
  <c r="DK581" i="4" s="1"/>
  <c r="CI682" i="4"/>
  <c r="DU639" i="4"/>
  <c r="W577" i="4"/>
  <c r="DG577" i="4" s="1"/>
  <c r="DG575" i="4"/>
  <c r="W576" i="4"/>
  <c r="DG576" i="4" s="1"/>
  <c r="W581" i="4"/>
  <c r="DP572" i="4"/>
  <c r="BU572" i="4"/>
  <c r="BK563" i="4"/>
  <c r="DO563" i="4" s="1"/>
  <c r="DO558" i="4"/>
  <c r="AL553" i="4"/>
  <c r="DJ553" i="4" s="1"/>
  <c r="CG677" i="4"/>
  <c r="CG118" i="4"/>
  <c r="BE667" i="4"/>
  <c r="CF645" i="4"/>
  <c r="CJ644" i="4"/>
  <c r="CJ645" i="4" s="1"/>
  <c r="DT645" i="4" s="1"/>
  <c r="DR616" i="4"/>
  <c r="BZ619" i="4"/>
  <c r="AL598" i="4"/>
  <c r="DJ598" i="4" s="1"/>
  <c r="DJ596" i="4"/>
  <c r="BF602" i="4"/>
  <c r="DN602" i="4" s="1"/>
  <c r="BU594" i="4"/>
  <c r="DP594" i="4"/>
  <c r="AC581" i="4"/>
  <c r="AG575" i="4"/>
  <c r="M581" i="4"/>
  <c r="DE575" i="4"/>
  <c r="M577" i="4"/>
  <c r="DE577" i="4" s="1"/>
  <c r="AG553" i="4"/>
  <c r="DI553" i="4" s="1"/>
  <c r="AJ498" i="4"/>
  <c r="L943" i="4"/>
  <c r="M941" i="4"/>
  <c r="DU616" i="4"/>
  <c r="CO619" i="4"/>
  <c r="AV581" i="4"/>
  <c r="DL581" i="4" s="1"/>
  <c r="DL575" i="4"/>
  <c r="BF555" i="4"/>
  <c r="DN555" i="4" s="1"/>
  <c r="BN522" i="4"/>
  <c r="BN511" i="4"/>
  <c r="AA511" i="4"/>
  <c r="BJ469" i="4"/>
  <c r="BJ472" i="4" s="1"/>
  <c r="BJ463" i="4"/>
  <c r="BJ442" i="4"/>
  <c r="BJ457" i="4"/>
  <c r="BO442" i="4"/>
  <c r="BP619" i="4"/>
  <c r="K762" i="4"/>
  <c r="J506" i="4"/>
  <c r="BK487" i="4"/>
  <c r="DO487" i="4" s="1"/>
  <c r="DO461" i="4"/>
  <c r="AI459" i="4"/>
  <c r="AI458" i="4"/>
  <c r="BM442" i="4"/>
  <c r="BM469" i="4"/>
  <c r="BM472" i="4" s="1"/>
  <c r="BM457" i="4"/>
  <c r="BM463" i="4"/>
  <c r="DM438" i="4"/>
  <c r="DV367" i="4"/>
  <c r="BF337" i="4"/>
  <c r="DN337" i="4" s="1"/>
  <c r="DN336" i="4"/>
  <c r="DE563" i="4"/>
  <c r="M564" i="4"/>
  <c r="DE564" i="4" s="1"/>
  <c r="AX522" i="4"/>
  <c r="AX507" i="4"/>
  <c r="AX511" i="4"/>
  <c r="BA495" i="4"/>
  <c r="DM495" i="4" s="1"/>
  <c r="AL603" i="4"/>
  <c r="DJ603" i="4" s="1"/>
  <c r="W505" i="4"/>
  <c r="AA496" i="4"/>
  <c r="AO458" i="4"/>
  <c r="AO459" i="4"/>
  <c r="U458" i="4"/>
  <c r="U459" i="4"/>
  <c r="AH494" i="4"/>
  <c r="DN438" i="4"/>
  <c r="DF374" i="4"/>
  <c r="R378" i="4"/>
  <c r="W384" i="4" s="1"/>
  <c r="DG384" i="4" s="1"/>
  <c r="R228" i="4"/>
  <c r="DN354" i="4"/>
  <c r="BF356" i="4"/>
  <c r="DN356" i="4" s="1"/>
  <c r="BF477" i="4"/>
  <c r="DN477" i="4" s="1"/>
  <c r="DN478" i="4"/>
  <c r="AP459" i="4"/>
  <c r="AP458" i="4"/>
  <c r="AH446" i="4"/>
  <c r="O494" i="4"/>
  <c r="O446" i="4"/>
  <c r="O447" i="4" s="1"/>
  <c r="BG466" i="4"/>
  <c r="AK494" i="4"/>
  <c r="AK446" i="4"/>
  <c r="AK447" i="4" s="1"/>
  <c r="BQ407" i="4"/>
  <c r="DP406" i="4"/>
  <c r="BB359" i="4"/>
  <c r="BF359" i="4" s="1"/>
  <c r="DN359" i="4" s="1"/>
  <c r="BA360" i="4"/>
  <c r="DM360" i="4" s="1"/>
  <c r="DM358" i="4"/>
  <c r="BF360" i="4"/>
  <c r="DN360" i="4" s="1"/>
  <c r="BA262" i="4"/>
  <c r="DL336" i="4"/>
  <c r="AV337" i="4"/>
  <c r="DL337" i="4" s="1"/>
  <c r="DO282" i="4"/>
  <c r="BK284" i="4"/>
  <c r="DO284" i="4" s="1"/>
  <c r="DG262" i="4"/>
  <c r="W265" i="4"/>
  <c r="DG265" i="4" s="1"/>
  <c r="W256" i="4"/>
  <c r="DG256" i="4" s="1"/>
  <c r="AB265" i="4"/>
  <c r="DH265" i="4" s="1"/>
  <c r="BN264" i="4"/>
  <c r="BN263" i="4"/>
  <c r="Z264" i="4"/>
  <c r="Z263" i="4"/>
  <c r="Z255" i="4"/>
  <c r="CT257" i="4"/>
  <c r="DV257" i="4" s="1"/>
  <c r="DV234" i="4"/>
  <c r="CT248" i="4"/>
  <c r="DV248" i="4" s="1"/>
  <c r="AV244" i="4"/>
  <c r="DL244" i="4" s="1"/>
  <c r="DL223" i="4"/>
  <c r="BO164" i="4"/>
  <c r="AI164" i="4"/>
  <c r="CA163" i="4"/>
  <c r="BZ165" i="4"/>
  <c r="DR165" i="4" s="1"/>
  <c r="DR162" i="4"/>
  <c r="BF527" i="4"/>
  <c r="BK531" i="4" s="1"/>
  <c r="BG163" i="4"/>
  <c r="BH164" i="4" s="1"/>
  <c r="DN162" i="4"/>
  <c r="BF165" i="4"/>
  <c r="DN165" i="4" s="1"/>
  <c r="AT538" i="4"/>
  <c r="AT539" i="4" s="1"/>
  <c r="AL527" i="4"/>
  <c r="AM163" i="4"/>
  <c r="AL165" i="4"/>
  <c r="DJ165" i="4" s="1"/>
  <c r="DJ162" i="4"/>
  <c r="DT158" i="4"/>
  <c r="CK160" i="4"/>
  <c r="CJ160" i="4"/>
  <c r="DT160" i="4" s="1"/>
  <c r="CO160" i="4"/>
  <c r="DU160" i="4" s="1"/>
  <c r="AB526" i="4"/>
  <c r="AC530" i="4" s="1"/>
  <c r="DH158" i="4"/>
  <c r="AB160" i="4"/>
  <c r="DH160" i="4" s="1"/>
  <c r="AC160" i="4"/>
  <c r="AV477" i="4"/>
  <c r="DL477" i="4" s="1"/>
  <c r="DL478" i="4"/>
  <c r="BH458" i="4"/>
  <c r="BH459" i="4"/>
  <c r="AF434" i="4"/>
  <c r="AK434" i="4"/>
  <c r="BP434" i="4"/>
  <c r="DP434" i="4" s="1"/>
  <c r="DP437" i="4"/>
  <c r="BK384" i="4"/>
  <c r="DO384" i="4" s="1"/>
  <c r="CJ373" i="4"/>
  <c r="BU382" i="4"/>
  <c r="DQ382" i="4" s="1"/>
  <c r="DQ372" i="4"/>
  <c r="BU374" i="4"/>
  <c r="AV359" i="4"/>
  <c r="DL359" i="4" s="1"/>
  <c r="AQ359" i="4"/>
  <c r="DK359" i="4" s="1"/>
  <c r="P346" i="4"/>
  <c r="U347" i="4" s="1"/>
  <c r="Q343" i="4"/>
  <c r="FI375" i="9" s="1"/>
  <c r="FK378" i="9" s="1"/>
  <c r="P234" i="4"/>
  <c r="P242" i="4"/>
  <c r="U251" i="4" s="1"/>
  <c r="CJ287" i="4"/>
  <c r="DT287" i="4" s="1"/>
  <c r="AV284" i="4"/>
  <c r="DL284" i="4" s="1"/>
  <c r="BZ265" i="4"/>
  <c r="DR265" i="4" s="1"/>
  <c r="DR262" i="4"/>
  <c r="BZ263" i="4"/>
  <c r="CI232" i="4"/>
  <c r="AG180" i="4"/>
  <c r="DI176" i="4"/>
  <c r="AQ477" i="4"/>
  <c r="DK477" i="4" s="1"/>
  <c r="DK478" i="4"/>
  <c r="AX459" i="4"/>
  <c r="AX458" i="4"/>
  <c r="AZ466" i="4"/>
  <c r="BM494" i="4"/>
  <c r="BM495" i="4" s="1"/>
  <c r="BP495" i="4" s="1"/>
  <c r="DP495" i="4" s="1"/>
  <c r="BM465" i="4"/>
  <c r="DS374" i="4"/>
  <c r="BY383" i="4"/>
  <c r="BU354" i="4"/>
  <c r="BT356" i="4"/>
  <c r="BT355" i="4"/>
  <c r="BU355" i="4" s="1"/>
  <c r="DQ355" i="4" s="1"/>
  <c r="BP356" i="4"/>
  <c r="DP356" i="4" s="1"/>
  <c r="DP354" i="4"/>
  <c r="BK355" i="4"/>
  <c r="DO355" i="4" s="1"/>
  <c r="BK287" i="4"/>
  <c r="DO287" i="4" s="1"/>
  <c r="AL283" i="4"/>
  <c r="DJ283" i="4" s="1"/>
  <c r="BU487" i="4"/>
  <c r="EQ341" i="9" s="1"/>
  <c r="EQ350" i="9" s="1"/>
  <c r="DQ461" i="4"/>
  <c r="BI494" i="4"/>
  <c r="BI495" i="4" s="1"/>
  <c r="BK465" i="4"/>
  <c r="DO465" i="4" s="1"/>
  <c r="AU434" i="4"/>
  <c r="AP434" i="4"/>
  <c r="AP436" i="4"/>
  <c r="AQ437" i="4"/>
  <c r="AX417" i="4"/>
  <c r="BS410" i="4"/>
  <c r="BZ382" i="4"/>
  <c r="DR382" i="4" s="1"/>
  <c r="CX237" i="4"/>
  <c r="CJ347" i="4"/>
  <c r="DT347" i="4" s="1"/>
  <c r="BK336" i="4"/>
  <c r="AW287" i="4"/>
  <c r="BA287" i="4" s="1"/>
  <c r="DM287" i="4" s="1"/>
  <c r="AV288" i="4"/>
  <c r="DL288" i="4" s="1"/>
  <c r="AV289" i="4"/>
  <c r="DL289" i="4" s="1"/>
  <c r="DL286" i="4"/>
  <c r="AV261" i="4"/>
  <c r="G23" i="55" s="1"/>
  <c r="G24" i="55" s="1"/>
  <c r="AQ289" i="4"/>
  <c r="DK289" i="4" s="1"/>
  <c r="W437" i="4"/>
  <c r="CH266" i="4"/>
  <c r="BN255" i="4"/>
  <c r="BP246" i="4"/>
  <c r="DP246" i="4" s="1"/>
  <c r="DP228" i="4"/>
  <c r="BP256" i="4"/>
  <c r="DP256" i="4" s="1"/>
  <c r="BH251" i="4"/>
  <c r="BM251" i="4"/>
  <c r="AR251" i="4"/>
  <c r="AV242" i="4"/>
  <c r="AW251" i="4"/>
  <c r="BV251" i="4"/>
  <c r="BZ242" i="4"/>
  <c r="BH189" i="4"/>
  <c r="AN172" i="4"/>
  <c r="AZ164" i="4"/>
  <c r="CO165" i="4"/>
  <c r="DU165" i="4" s="1"/>
  <c r="DU162" i="4"/>
  <c r="CP163" i="4"/>
  <c r="BA527" i="4"/>
  <c r="BB531" i="4" s="1"/>
  <c r="BB537" i="4" s="1"/>
  <c r="BA165" i="4"/>
  <c r="DM165" i="4" s="1"/>
  <c r="DM162" i="4"/>
  <c r="BB163" i="4"/>
  <c r="AV165" i="4"/>
  <c r="DL165" i="4" s="1"/>
  <c r="AG160" i="4"/>
  <c r="DI160" i="4" s="1"/>
  <c r="W526" i="4"/>
  <c r="W160" i="4"/>
  <c r="DG160" i="4" s="1"/>
  <c r="DG158" i="4"/>
  <c r="X160" i="4"/>
  <c r="X159" i="4"/>
  <c r="AB159" i="4" s="1"/>
  <c r="DH159" i="4" s="1"/>
  <c r="AH266" i="4"/>
  <c r="BX266" i="4"/>
  <c r="CJ193" i="4"/>
  <c r="DT193" i="4" s="1"/>
  <c r="CJ171" i="4"/>
  <c r="DT167" i="4"/>
  <c r="CJ183" i="4"/>
  <c r="AY538" i="4"/>
  <c r="AY539" i="4" s="1"/>
  <c r="AW530" i="4"/>
  <c r="BL283" i="4"/>
  <c r="BP283" i="4" s="1"/>
  <c r="DP283" i="4" s="1"/>
  <c r="AP266" i="4"/>
  <c r="BL263" i="4"/>
  <c r="BL266" i="4" s="1"/>
  <c r="AJ264" i="4"/>
  <c r="V255" i="4"/>
  <c r="BS251" i="4"/>
  <c r="BB251" i="4"/>
  <c r="BF242" i="4"/>
  <c r="BH88" i="9" s="1"/>
  <c r="BL188" i="4"/>
  <c r="BP183" i="4"/>
  <c r="BL172" i="4"/>
  <c r="W193" i="4"/>
  <c r="DG193" i="4" s="1"/>
  <c r="W171" i="4"/>
  <c r="W172" i="4" s="1"/>
  <c r="DG172" i="4" s="1"/>
  <c r="DG167" i="4"/>
  <c r="W183" i="4"/>
  <c r="BS527" i="4"/>
  <c r="BG538" i="4"/>
  <c r="AC159" i="4"/>
  <c r="AG159" i="4" s="1"/>
  <c r="DI159" i="4" s="1"/>
  <c r="CE263" i="4"/>
  <c r="BB257" i="4"/>
  <c r="AS172" i="4"/>
  <c r="BD189" i="4"/>
  <c r="CR164" i="4"/>
  <c r="R527" i="4"/>
  <c r="S163" i="4"/>
  <c r="DF162" i="4"/>
  <c r="R165" i="4"/>
  <c r="DF165" i="4" s="1"/>
  <c r="R163" i="4"/>
  <c r="DF163" i="4" s="1"/>
  <c r="AL75" i="4"/>
  <c r="DJ91" i="4"/>
  <c r="DF39" i="4"/>
  <c r="DS26" i="4"/>
  <c r="CE31" i="4"/>
  <c r="DS31" i="4" s="1"/>
  <c r="N634" i="4"/>
  <c r="N690" i="4"/>
  <c r="N22" i="4"/>
  <c r="N23" i="4" s="1"/>
  <c r="N33" i="4"/>
  <c r="N47" i="4" s="1"/>
  <c r="AD932" i="4"/>
  <c r="AD930" i="4"/>
  <c r="AD915" i="4"/>
  <c r="AD913" i="4"/>
  <c r="AD898" i="4"/>
  <c r="AD896" i="4"/>
  <c r="AD894" i="4"/>
  <c r="AD897" i="4"/>
  <c r="AD895" i="4"/>
  <c r="AD893" i="4"/>
  <c r="U404" i="4"/>
  <c r="V4" i="4"/>
  <c r="U4" i="4"/>
  <c r="FL367" i="9" s="1"/>
  <c r="AB172" i="4"/>
  <c r="DH172" i="4" s="1"/>
  <c r="T690" i="4"/>
  <c r="T634" i="4"/>
  <c r="T33" i="4"/>
  <c r="T47" i="4" s="1"/>
  <c r="T22" i="4"/>
  <c r="AV193" i="4"/>
  <c r="DL193" i="4" s="1"/>
  <c r="BU239" i="72" s="1"/>
  <c r="AV171" i="4"/>
  <c r="AV172" i="4" s="1"/>
  <c r="DL172" i="4" s="1"/>
  <c r="DL167" i="4"/>
  <c r="BU165" i="4"/>
  <c r="DQ165" i="4" s="1"/>
  <c r="DQ162" i="4"/>
  <c r="BV163" i="4"/>
  <c r="BH528" i="4"/>
  <c r="BH531" i="4"/>
  <c r="BH537" i="4" s="1"/>
  <c r="AB165" i="4"/>
  <c r="DH165" i="4" s="1"/>
  <c r="X528" i="4"/>
  <c r="AL526" i="4"/>
  <c r="AD530" i="4"/>
  <c r="I895" i="4"/>
  <c r="I917" i="4" s="1"/>
  <c r="BC404" i="4"/>
  <c r="BD3" i="4"/>
  <c r="BC4" i="4"/>
  <c r="GM367" i="9" s="1"/>
  <c r="AF189" i="4"/>
  <c r="AK478" i="4"/>
  <c r="AK482" i="4"/>
  <c r="AP483" i="4" s="1"/>
  <c r="DW27" i="4"/>
  <c r="X258" i="4"/>
  <c r="CO915" i="4"/>
  <c r="DU915" i="4" s="1"/>
  <c r="L894" i="4"/>
  <c r="L897" i="4"/>
  <c r="BQ251" i="4"/>
  <c r="BK242" i="4"/>
  <c r="AK172" i="4"/>
  <c r="BY189" i="4"/>
  <c r="BA163" i="4"/>
  <c r="L28" i="4"/>
  <c r="M12" i="4"/>
  <c r="DE12" i="4" s="1"/>
  <c r="CK258" i="4"/>
  <c r="CK20" i="4"/>
  <c r="CK21" i="4" s="1"/>
  <c r="CK15" i="4"/>
  <c r="CK14" i="4"/>
  <c r="CM139" i="4" s="1"/>
  <c r="CO10" i="4"/>
  <c r="BU10" i="4"/>
  <c r="AN110" i="48" s="1"/>
  <c r="BQ258" i="4"/>
  <c r="BQ20" i="4"/>
  <c r="BQ15" i="4"/>
  <c r="AW258" i="4"/>
  <c r="BA10" i="4"/>
  <c r="AW20" i="4"/>
  <c r="AW21" i="4" s="1"/>
  <c r="AW15" i="4"/>
  <c r="AW14" i="4"/>
  <c r="AZ139" i="4" s="1"/>
  <c r="S258" i="4"/>
  <c r="S20" i="4"/>
  <c r="S14" i="4"/>
  <c r="W10" i="4"/>
  <c r="K895" i="4"/>
  <c r="K915" i="4"/>
  <c r="CP257" i="4"/>
  <c r="DH176" i="4"/>
  <c r="AB180" i="4"/>
  <c r="AB181" i="4" s="1"/>
  <c r="DH181" i="4" s="1"/>
  <c r="CG164" i="4"/>
  <c r="DT81" i="4"/>
  <c r="CU81" i="4"/>
  <c r="CP81" i="4"/>
  <c r="CK81" i="4"/>
  <c r="CO81" i="4"/>
  <c r="CX81" i="4"/>
  <c r="CS81" i="4"/>
  <c r="CN81" i="4"/>
  <c r="CI81" i="4"/>
  <c r="CV81" i="4"/>
  <c r="CQ81" i="4"/>
  <c r="CL81" i="4"/>
  <c r="CW81" i="4"/>
  <c r="CR81" i="4"/>
  <c r="CM81" i="4"/>
  <c r="AR15" i="4"/>
  <c r="AN433" i="4"/>
  <c r="AQ436" i="4"/>
  <c r="AS433" i="4"/>
  <c r="AN446" i="4"/>
  <c r="AN444" i="4"/>
  <c r="BR258" i="4"/>
  <c r="BR20" i="4"/>
  <c r="BR21" i="4" s="1"/>
  <c r="BR15" i="4"/>
  <c r="AK189" i="4"/>
  <c r="DO31" i="4"/>
  <c r="CF691" i="4"/>
  <c r="BO634" i="4"/>
  <c r="BO139" i="4"/>
  <c r="BO74" i="4"/>
  <c r="BO84" i="4" s="1"/>
  <c r="BO33" i="4"/>
  <c r="BO22" i="4"/>
  <c r="BO23" i="4" s="1"/>
  <c r="BO16" i="4"/>
  <c r="BJ21" i="4"/>
  <c r="AN258" i="4"/>
  <c r="AS404" i="4"/>
  <c r="AS4" i="4"/>
  <c r="GE367" i="9" s="1"/>
  <c r="AT3" i="4"/>
  <c r="AX3" i="4"/>
  <c r="BP31" i="4"/>
  <c r="L14" i="4"/>
  <c r="M14" i="4" s="1"/>
  <c r="CC258" i="4"/>
  <c r="BX690" i="4"/>
  <c r="BX74" i="4"/>
  <c r="BX84" i="4" s="1"/>
  <c r="BX33" i="4"/>
  <c r="BX22" i="4"/>
  <c r="BD634" i="4"/>
  <c r="BD74" i="4"/>
  <c r="BD84" i="4" s="1"/>
  <c r="L4" i="9" s="1"/>
  <c r="BD33" i="4"/>
  <c r="AQ51" i="9" s="1"/>
  <c r="AQ57" i="9" s="1"/>
  <c r="BD16" i="4"/>
  <c r="BD22" i="4"/>
  <c r="BD258" i="4"/>
  <c r="CR771" i="4"/>
  <c r="CB15" i="4"/>
  <c r="BH258" i="4"/>
  <c r="U258" i="4"/>
  <c r="DA92" i="4"/>
  <c r="DY92" i="4" s="1"/>
  <c r="DX92" i="4"/>
  <c r="BA31" i="4"/>
  <c r="AS690" i="4"/>
  <c r="AS634" i="4"/>
  <c r="AS139" i="4"/>
  <c r="AS74" i="4"/>
  <c r="AS84" i="4" s="1"/>
  <c r="AS22" i="4"/>
  <c r="AS23" i="4" s="1"/>
  <c r="AS16" i="4"/>
  <c r="AS33" i="4"/>
  <c r="AA634" i="4"/>
  <c r="AA33" i="4"/>
  <c r="AA47" i="4" s="1"/>
  <c r="AA22" i="4"/>
  <c r="AA23" i="4" s="1"/>
  <c r="AE21" i="4"/>
  <c r="AI404" i="4"/>
  <c r="AJ3" i="4"/>
  <c r="AI4" i="4"/>
  <c r="FW367" i="9" s="1"/>
  <c r="CZ188" i="4" l="1"/>
  <c r="Q24" i="55"/>
  <c r="FJ378" i="9"/>
  <c r="FI378" i="9"/>
  <c r="CV805" i="49"/>
  <c r="CP743" i="49"/>
  <c r="CU162" i="4" s="1"/>
  <c r="CU165" i="4" s="1"/>
  <c r="BZ660" i="4"/>
  <c r="AM5" i="50"/>
  <c r="AM3" i="51"/>
  <c r="BN128" i="9"/>
  <c r="BN169" i="9"/>
  <c r="DF500" i="4"/>
  <c r="R499" i="4"/>
  <c r="DF499" i="4" s="1"/>
  <c r="AF4" i="51"/>
  <c r="EE314" i="9"/>
  <c r="DD211" i="9"/>
  <c r="DQ114" i="4"/>
  <c r="DR121" i="4"/>
  <c r="DE221" i="9"/>
  <c r="AU76" i="72"/>
  <c r="AU87" i="72" s="1"/>
  <c r="AU89" i="72"/>
  <c r="BS674" i="4"/>
  <c r="BX678" i="4"/>
  <c r="BS678" i="4"/>
  <c r="BS657" i="4"/>
  <c r="C9" i="67"/>
  <c r="K52" i="67"/>
  <c r="F52" i="67"/>
  <c r="L52" i="67"/>
  <c r="AP334" i="51"/>
  <c r="AP425" i="51"/>
  <c r="AP337" i="51"/>
  <c r="AP424" i="51"/>
  <c r="AP336" i="51"/>
  <c r="AP430" i="51"/>
  <c r="AP335" i="51"/>
  <c r="AP427" i="51"/>
  <c r="AP428" i="51"/>
  <c r="AP341" i="51"/>
  <c r="AP422" i="51"/>
  <c r="AP423" i="51"/>
  <c r="AP426" i="51"/>
  <c r="AP338" i="51"/>
  <c r="AP339" i="51"/>
  <c r="AP333" i="51"/>
  <c r="AP361" i="51"/>
  <c r="AP363" i="51"/>
  <c r="AP362" i="51"/>
  <c r="AP364" i="51"/>
  <c r="AP448" i="51"/>
  <c r="AP449" i="51"/>
  <c r="AP451" i="51"/>
  <c r="AP450" i="51"/>
  <c r="AQ5" i="50"/>
  <c r="AQ6" i="50" s="1"/>
  <c r="AQ3" i="51"/>
  <c r="AQ4" i="51" s="1"/>
  <c r="BK169" i="9"/>
  <c r="BK175" i="9" s="1"/>
  <c r="BK128" i="9"/>
  <c r="BK134" i="9" s="1"/>
  <c r="AH530" i="4"/>
  <c r="CE378" i="4"/>
  <c r="CE384" i="4" s="1"/>
  <c r="DS384" i="4" s="1"/>
  <c r="BA466" i="4"/>
  <c r="DM466" i="4" s="1"/>
  <c r="EF320" i="9"/>
  <c r="DE218" i="9"/>
  <c r="AP724" i="4"/>
  <c r="AP726" i="4" s="1"/>
  <c r="EF312" i="9"/>
  <c r="DE209" i="9"/>
  <c r="DC220" i="9"/>
  <c r="ED322" i="9"/>
  <c r="BE139" i="4"/>
  <c r="BE145" i="4" s="1"/>
  <c r="CD139" i="4"/>
  <c r="BO225" i="72"/>
  <c r="BO233" i="72" s="1"/>
  <c r="BO221" i="72"/>
  <c r="BO224" i="72"/>
  <c r="BO232" i="72" s="1"/>
  <c r="BO177" i="72"/>
  <c r="BO222" i="72"/>
  <c r="BO230" i="72" s="1"/>
  <c r="BO223" i="72"/>
  <c r="BO231" i="72" s="1"/>
  <c r="AC895" i="4"/>
  <c r="AL172" i="4"/>
  <c r="DJ172" i="4" s="1"/>
  <c r="DX312" i="9"/>
  <c r="CW209" i="9"/>
  <c r="DB220" i="9"/>
  <c r="EC322" i="9"/>
  <c r="EC326" i="9" s="1"/>
  <c r="AO139" i="4"/>
  <c r="GH367" i="9"/>
  <c r="CE679" i="4"/>
  <c r="BP175" i="72"/>
  <c r="BS465" i="4"/>
  <c r="BF181" i="4"/>
  <c r="DN181" i="4" s="1"/>
  <c r="DA180" i="4"/>
  <c r="DA26" i="4" s="1"/>
  <c r="DY26" i="4" s="1"/>
  <c r="AF23" i="4"/>
  <c r="AI23" i="4"/>
  <c r="R691" i="4"/>
  <c r="DF691" i="4" s="1"/>
  <c r="N896" i="4"/>
  <c r="BI452" i="4"/>
  <c r="BI453" i="4" s="1"/>
  <c r="EA320" i="9"/>
  <c r="EA326" i="9" s="1"/>
  <c r="CZ218" i="9"/>
  <c r="BA124" i="4"/>
  <c r="DM124" i="4" s="1"/>
  <c r="K52" i="73"/>
  <c r="C9" i="73"/>
  <c r="L52" i="73"/>
  <c r="DV183" i="4"/>
  <c r="CT193" i="4"/>
  <c r="DV193" i="4" s="1"/>
  <c r="D9" i="67"/>
  <c r="G52" i="67"/>
  <c r="AP116" i="4"/>
  <c r="AQ701" i="4"/>
  <c r="DK701" i="4" s="1"/>
  <c r="GX380" i="9"/>
  <c r="GX379" i="9"/>
  <c r="AZ119" i="4"/>
  <c r="AZ663" i="4"/>
  <c r="BA663" i="4" s="1"/>
  <c r="DM663" i="4" s="1"/>
  <c r="DQ121" i="4"/>
  <c r="DD221" i="9"/>
  <c r="AG675" i="4"/>
  <c r="DI707" i="4"/>
  <c r="E13" i="59"/>
  <c r="N80" i="59" s="1"/>
  <c r="CE113" i="4"/>
  <c r="DS113" i="4" s="1"/>
  <c r="CE817" i="4"/>
  <c r="DS817" i="4" s="1"/>
  <c r="DS698" i="4"/>
  <c r="H19" i="55"/>
  <c r="AU337" i="51"/>
  <c r="AU425" i="51"/>
  <c r="AU428" i="51"/>
  <c r="AU341" i="51"/>
  <c r="AU422" i="51"/>
  <c r="AU423" i="51"/>
  <c r="AU336" i="51"/>
  <c r="AU339" i="51"/>
  <c r="AU333" i="51"/>
  <c r="AU334" i="51"/>
  <c r="AU424" i="51"/>
  <c r="AU427" i="51"/>
  <c r="AU426" i="51"/>
  <c r="AU335" i="51"/>
  <c r="AU430" i="51"/>
  <c r="AU338" i="51"/>
  <c r="AU363" i="51"/>
  <c r="AU362" i="51"/>
  <c r="AU449" i="51"/>
  <c r="AU361" i="51"/>
  <c r="AU364" i="51"/>
  <c r="AU450" i="51"/>
  <c r="AU451" i="51"/>
  <c r="AU448" i="51"/>
  <c r="K54" i="81"/>
  <c r="F54" i="81"/>
  <c r="L54" i="81"/>
  <c r="C9" i="81"/>
  <c r="BZ708" i="4"/>
  <c r="DR708" i="4" s="1"/>
  <c r="BY660" i="4"/>
  <c r="BY714" i="4"/>
  <c r="DM675" i="4"/>
  <c r="BA118" i="4"/>
  <c r="DM118" i="4" s="1"/>
  <c r="D9" i="81"/>
  <c r="G54" i="81"/>
  <c r="F51" i="30"/>
  <c r="BK121" i="9"/>
  <c r="DO662" i="4"/>
  <c r="BK121" i="4"/>
  <c r="AT678" i="4"/>
  <c r="AT118" i="4"/>
  <c r="AY678" i="4"/>
  <c r="GL367" i="9"/>
  <c r="CN114" i="4"/>
  <c r="D11" i="63"/>
  <c r="F9" i="63"/>
  <c r="G9" i="63"/>
  <c r="DM719" i="4"/>
  <c r="K3" i="72"/>
  <c r="Z24" i="9"/>
  <c r="Z26" i="9" s="1"/>
  <c r="Z28" i="9" s="1"/>
  <c r="N2" i="72"/>
  <c r="DW347" i="4"/>
  <c r="D35" i="45"/>
  <c r="D16" i="45"/>
  <c r="DC213" i="9"/>
  <c r="ED316" i="9"/>
  <c r="DP719" i="4"/>
  <c r="N3" i="72"/>
  <c r="D9" i="69"/>
  <c r="G52" i="69"/>
  <c r="DN707" i="4"/>
  <c r="BF675" i="4"/>
  <c r="BF657" i="4"/>
  <c r="DU710" i="4"/>
  <c r="CO119" i="4"/>
  <c r="DU119" i="4" s="1"/>
  <c r="L52" i="69"/>
  <c r="C9" i="69"/>
  <c r="K52" i="69"/>
  <c r="F52" i="69"/>
  <c r="G49" i="73"/>
  <c r="D52" i="73"/>
  <c r="F52" i="73" s="1"/>
  <c r="DO710" i="4"/>
  <c r="BK119" i="4"/>
  <c r="CD668" i="4"/>
  <c r="CI668" i="4"/>
  <c r="CE659" i="4"/>
  <c r="CD661" i="4"/>
  <c r="CI669" i="4"/>
  <c r="CI120" i="4"/>
  <c r="CN669" i="4"/>
  <c r="CJ660" i="4"/>
  <c r="DN660" i="4"/>
  <c r="BF120" i="4"/>
  <c r="DN120" i="4" s="1"/>
  <c r="BF669" i="4"/>
  <c r="DN669" i="4" s="1"/>
  <c r="BF701" i="4"/>
  <c r="DN701" i="4" s="1"/>
  <c r="AQ645" i="4"/>
  <c r="DK645" i="4" s="1"/>
  <c r="AP139" i="4"/>
  <c r="CB139" i="4"/>
  <c r="CI84" i="4"/>
  <c r="CI85" i="4" s="1"/>
  <c r="AC893" i="4"/>
  <c r="AC896" i="4"/>
  <c r="CU769" i="4"/>
  <c r="CV769" i="4" s="1"/>
  <c r="CW769" i="4" s="1"/>
  <c r="CX769" i="4" s="1"/>
  <c r="CY769" i="4" s="1"/>
  <c r="DW769" i="4" s="1"/>
  <c r="CO645" i="4"/>
  <c r="DU645" i="4" s="1"/>
  <c r="EE322" i="9"/>
  <c r="DD220" i="9"/>
  <c r="CW758" i="4"/>
  <c r="CX758" i="4" s="1"/>
  <c r="CY758" i="4" s="1"/>
  <c r="AL540" i="4"/>
  <c r="DJ540" i="4" s="1"/>
  <c r="ED312" i="9"/>
  <c r="DC209" i="9"/>
  <c r="N897" i="4"/>
  <c r="DR193" i="4"/>
  <c r="M35" i="45"/>
  <c r="AK423" i="51"/>
  <c r="AK424" i="51"/>
  <c r="AK427" i="51"/>
  <c r="AK428" i="51"/>
  <c r="AK430" i="51"/>
  <c r="AK448" i="51"/>
  <c r="AK334" i="51"/>
  <c r="AK335" i="51"/>
  <c r="AK425" i="51"/>
  <c r="AK426" i="51"/>
  <c r="AK338" i="51"/>
  <c r="AK339" i="51"/>
  <c r="AK336" i="51"/>
  <c r="AK337" i="51"/>
  <c r="AK341" i="51"/>
  <c r="AK449" i="51"/>
  <c r="AK450" i="51"/>
  <c r="AK363" i="51"/>
  <c r="AK422" i="51"/>
  <c r="AK451" i="51"/>
  <c r="AK362" i="51"/>
  <c r="AK361" i="51"/>
  <c r="AK364" i="51"/>
  <c r="AK333" i="51"/>
  <c r="F49" i="73"/>
  <c r="DV11" i="4"/>
  <c r="CO351" i="72" s="1"/>
  <c r="CY391" i="72"/>
  <c r="DV710" i="4"/>
  <c r="CT119" i="4"/>
  <c r="DV119" i="4" s="1"/>
  <c r="Z678" i="4"/>
  <c r="Z118" i="4"/>
  <c r="AE678" i="4"/>
  <c r="AO120" i="4"/>
  <c r="AO661" i="4"/>
  <c r="AO664" i="4" s="1"/>
  <c r="AQ664" i="4" s="1"/>
  <c r="DK664" i="4" s="1"/>
  <c r="DN710" i="4"/>
  <c r="BF119" i="4"/>
  <c r="DN119" i="4" s="1"/>
  <c r="BE678" i="4"/>
  <c r="BE118" i="4"/>
  <c r="BE674" i="4"/>
  <c r="BF674" i="4" s="1"/>
  <c r="DN674" i="4" s="1"/>
  <c r="DM660" i="4"/>
  <c r="BA120" i="4"/>
  <c r="DM120" i="4" s="1"/>
  <c r="U14" i="4"/>
  <c r="U20" i="4"/>
  <c r="Z21" i="4" s="1"/>
  <c r="Q16" i="55"/>
  <c r="EF314" i="9"/>
  <c r="DE211" i="9"/>
  <c r="DR114" i="4"/>
  <c r="AL739" i="4"/>
  <c r="DJ739" i="4" s="1"/>
  <c r="DJ730" i="4"/>
  <c r="G9" i="30"/>
  <c r="D12" i="30"/>
  <c r="G12" i="30" s="1"/>
  <c r="F9" i="30"/>
  <c r="BS20" i="4"/>
  <c r="BX15" i="4"/>
  <c r="BS15" i="4"/>
  <c r="BR211" i="72"/>
  <c r="BQ211" i="72"/>
  <c r="D11" i="71"/>
  <c r="D19" i="71" s="1"/>
  <c r="F52" i="64"/>
  <c r="G52" i="64"/>
  <c r="BT714" i="4"/>
  <c r="BT675" i="4"/>
  <c r="AV423" i="51"/>
  <c r="AV424" i="51"/>
  <c r="AV427" i="51"/>
  <c r="AV428" i="51"/>
  <c r="AV422" i="51"/>
  <c r="AV334" i="51"/>
  <c r="AV335" i="51"/>
  <c r="AV338" i="51"/>
  <c r="AV339" i="51"/>
  <c r="AV333" i="51"/>
  <c r="AV425" i="51"/>
  <c r="AV426" i="51"/>
  <c r="AV430" i="51"/>
  <c r="AV336" i="51"/>
  <c r="AV337" i="51"/>
  <c r="AV341" i="51"/>
  <c r="AV361" i="51"/>
  <c r="AV362" i="51"/>
  <c r="AV363" i="51"/>
  <c r="AV448" i="51"/>
  <c r="AV450" i="51"/>
  <c r="AV449" i="51"/>
  <c r="AV364" i="51"/>
  <c r="AV451" i="51"/>
  <c r="AK60" i="9"/>
  <c r="AK62" i="9" s="1"/>
  <c r="CO663" i="4"/>
  <c r="DU663" i="4" s="1"/>
  <c r="AU657" i="4"/>
  <c r="AU661" i="4" s="1"/>
  <c r="AU664" i="4" s="1"/>
  <c r="AV664" i="4" s="1"/>
  <c r="DL664" i="4" s="1"/>
  <c r="AU675" i="4"/>
  <c r="AV707" i="4"/>
  <c r="BU817" i="4"/>
  <c r="DQ817" i="4" s="1"/>
  <c r="C13" i="59"/>
  <c r="L80" i="59" s="1"/>
  <c r="DQ698" i="4"/>
  <c r="BU113" i="4"/>
  <c r="FU368" i="9"/>
  <c r="CT189" i="4"/>
  <c r="DV189" i="4" s="1"/>
  <c r="C9" i="71"/>
  <c r="L52" i="71"/>
  <c r="K52" i="71"/>
  <c r="F52" i="71"/>
  <c r="G9" i="66"/>
  <c r="F9" i="66"/>
  <c r="D11" i="66"/>
  <c r="U92" i="56"/>
  <c r="DB245" i="9"/>
  <c r="I927" i="4"/>
  <c r="DV316" i="9"/>
  <c r="CU213" i="9"/>
  <c r="DR719" i="4"/>
  <c r="P3" i="72"/>
  <c r="AE23" i="4"/>
  <c r="BM128" i="9"/>
  <c r="BM169" i="9"/>
  <c r="N932" i="4"/>
  <c r="BO169" i="9"/>
  <c r="BO128" i="9"/>
  <c r="G52" i="63"/>
  <c r="F52" i="63"/>
  <c r="DM710" i="4"/>
  <c r="BA119" i="4"/>
  <c r="DM119" i="4" s="1"/>
  <c r="BU406" i="4"/>
  <c r="DQ406" i="4" s="1"/>
  <c r="BT407" i="4"/>
  <c r="BU407" i="4" s="1"/>
  <c r="DQ407" i="4" s="1"/>
  <c r="BQ21" i="4"/>
  <c r="AW5" i="50"/>
  <c r="AW6" i="50" s="1"/>
  <c r="AW3" i="51"/>
  <c r="V690" i="4"/>
  <c r="FM367" i="9"/>
  <c r="FM368" i="9" s="1"/>
  <c r="FL378" i="9"/>
  <c r="FI385" i="9"/>
  <c r="FI389" i="9" s="1"/>
  <c r="BF714" i="4"/>
  <c r="DN714" i="4" s="1"/>
  <c r="CR114" i="4"/>
  <c r="Y23" i="4"/>
  <c r="CD23" i="4"/>
  <c r="BT409" i="4"/>
  <c r="BT527" i="4" s="1"/>
  <c r="AJ724" i="4"/>
  <c r="AJ726" i="4" s="1"/>
  <c r="AY724" i="4"/>
  <c r="AY726" i="4" s="1"/>
  <c r="M719" i="4"/>
  <c r="Y24" i="9"/>
  <c r="Y26" i="9" s="1"/>
  <c r="Y28" i="9" s="1"/>
  <c r="M2" i="72"/>
  <c r="M5" i="72" s="1"/>
  <c r="AZ717" i="4"/>
  <c r="BA717" i="4" s="1"/>
  <c r="N913" i="4"/>
  <c r="BF172" i="4"/>
  <c r="DN172" i="4" s="1"/>
  <c r="BM23" i="4"/>
  <c r="AG5" i="50"/>
  <c r="AG6" i="50" s="1"/>
  <c r="AG3" i="51"/>
  <c r="AG4" i="51" s="1"/>
  <c r="CA21" i="4"/>
  <c r="E35" i="45"/>
  <c r="F35" i="45" s="1"/>
  <c r="G35" i="45" s="1"/>
  <c r="E16" i="45"/>
  <c r="F16" i="45" s="1"/>
  <c r="G16" i="45" s="1"/>
  <c r="CC85" i="4"/>
  <c r="AI690" i="4"/>
  <c r="AM21" i="4"/>
  <c r="N893" i="4"/>
  <c r="BL169" i="9"/>
  <c r="BL128" i="9"/>
  <c r="B31" i="53"/>
  <c r="B12" i="53"/>
  <c r="DY312" i="9"/>
  <c r="CX209" i="9"/>
  <c r="BP961" i="4"/>
  <c r="DP961" i="4" s="1"/>
  <c r="AL335" i="51"/>
  <c r="AL427" i="51"/>
  <c r="AL428" i="51"/>
  <c r="AL341" i="51"/>
  <c r="AL422" i="51"/>
  <c r="AL423" i="51"/>
  <c r="AL426" i="51"/>
  <c r="AL338" i="51"/>
  <c r="AL339" i="51"/>
  <c r="AL333" i="51"/>
  <c r="AL334" i="51"/>
  <c r="AL425" i="51"/>
  <c r="AL337" i="51"/>
  <c r="AL424" i="51"/>
  <c r="AL336" i="51"/>
  <c r="AL430" i="51"/>
  <c r="AL362" i="51"/>
  <c r="AL361" i="51"/>
  <c r="AL448" i="51"/>
  <c r="AL363" i="51"/>
  <c r="AL364" i="51"/>
  <c r="AL449" i="51"/>
  <c r="AL450" i="51"/>
  <c r="AL451" i="51"/>
  <c r="AQ116" i="4"/>
  <c r="DK116" i="4" s="1"/>
  <c r="AA675" i="4"/>
  <c r="AA714" i="4"/>
  <c r="AB707" i="4"/>
  <c r="DK708" i="4"/>
  <c r="AQ660" i="4"/>
  <c r="H521" i="4"/>
  <c r="H523" i="4" s="1"/>
  <c r="I492" i="4"/>
  <c r="M492" i="4"/>
  <c r="DE492" i="4" s="1"/>
  <c r="Q17" i="55"/>
  <c r="BX120" i="4"/>
  <c r="CC669" i="4"/>
  <c r="BX661" i="4"/>
  <c r="I12" i="55"/>
  <c r="I20" i="55"/>
  <c r="AV711" i="4"/>
  <c r="AU714" i="4"/>
  <c r="F3" i="9"/>
  <c r="G19" i="55"/>
  <c r="DX321" i="9"/>
  <c r="CW219" i="9"/>
  <c r="CJ712" i="4"/>
  <c r="DT712" i="4" s="1"/>
  <c r="CI658" i="4"/>
  <c r="G52" i="66"/>
  <c r="F52" i="66"/>
  <c r="DT662" i="4"/>
  <c r="CJ121" i="4"/>
  <c r="DT121" i="4" s="1"/>
  <c r="BK155" i="9"/>
  <c r="D11" i="64"/>
  <c r="F9" i="64"/>
  <c r="G9" i="64"/>
  <c r="K20" i="68"/>
  <c r="DW790" i="4"/>
  <c r="CT125" i="4"/>
  <c r="DV125" i="4" s="1"/>
  <c r="CT961" i="4"/>
  <c r="DV961" i="4" s="1"/>
  <c r="E29" i="45"/>
  <c r="E10" i="45"/>
  <c r="G9" i="43"/>
  <c r="D30" i="87"/>
  <c r="F30" i="87" s="1"/>
  <c r="CV57" i="4"/>
  <c r="CV56" i="4" s="1"/>
  <c r="CV58" i="4" s="1"/>
  <c r="CU718" i="4"/>
  <c r="F39" i="87"/>
  <c r="F27" i="87"/>
  <c r="CV902" i="49"/>
  <c r="CV903" i="49" s="1"/>
  <c r="CV894" i="49"/>
  <c r="CT20" i="51"/>
  <c r="CT36" i="51" s="1"/>
  <c r="CU163" i="4"/>
  <c r="CT444" i="51"/>
  <c r="DA364" i="4" s="1"/>
  <c r="DY364" i="4" s="1"/>
  <c r="CT480" i="51"/>
  <c r="DA367" i="4"/>
  <c r="DY367" i="4" s="1"/>
  <c r="CT506" i="51"/>
  <c r="CT507" i="51" s="1"/>
  <c r="CR585" i="49"/>
  <c r="CQ726" i="49"/>
  <c r="CP899" i="49"/>
  <c r="CP906" i="49"/>
  <c r="CU358" i="4"/>
  <c r="DL262" i="4"/>
  <c r="AV265" i="4"/>
  <c r="DL265" i="4" s="1"/>
  <c r="AV256" i="4"/>
  <c r="DL256" i="4" s="1"/>
  <c r="BK528" i="4"/>
  <c r="DO528" i="4" s="1"/>
  <c r="BS451" i="51"/>
  <c r="DF526" i="4"/>
  <c r="S530" i="4"/>
  <c r="CP360" i="4"/>
  <c r="CP262" i="4"/>
  <c r="CK997" i="49"/>
  <c r="CK908" i="49"/>
  <c r="CK907" i="49"/>
  <c r="CP1039" i="49"/>
  <c r="CP1042" i="49" s="1"/>
  <c r="CR684" i="49"/>
  <c r="CR828" i="49" s="1"/>
  <c r="CS584" i="49"/>
  <c r="CR725" i="49"/>
  <c r="CP703" i="49"/>
  <c r="CP705" i="49" s="1"/>
  <c r="CP706" i="49" s="1"/>
  <c r="IV808" i="72"/>
  <c r="IT808" i="72"/>
  <c r="CR587" i="49"/>
  <c r="CQ729" i="49"/>
  <c r="W528" i="4"/>
  <c r="DG528" i="4" s="1"/>
  <c r="CS583" i="49"/>
  <c r="CR724" i="49"/>
  <c r="CK1039" i="49"/>
  <c r="CK1045" i="49" s="1"/>
  <c r="CP1044" i="49"/>
  <c r="CV563" i="49"/>
  <c r="CV565" i="49" s="1"/>
  <c r="CV566" i="49" s="1"/>
  <c r="CS586" i="49"/>
  <c r="CR727" i="49"/>
  <c r="CP159" i="4"/>
  <c r="CP165" i="4"/>
  <c r="CP160" i="4"/>
  <c r="CQ158" i="4"/>
  <c r="CV160" i="4" s="1"/>
  <c r="CU160" i="4"/>
  <c r="CK854" i="49"/>
  <c r="CK850" i="49"/>
  <c r="CK851" i="49" s="1"/>
  <c r="CK849" i="49"/>
  <c r="CV695" i="49"/>
  <c r="CV840" i="49" s="1"/>
  <c r="CV816" i="49"/>
  <c r="CV965" i="49"/>
  <c r="CP848" i="49"/>
  <c r="BP39" i="51"/>
  <c r="BP31" i="51"/>
  <c r="BQ38" i="51"/>
  <c r="BP25" i="51"/>
  <c r="BP29" i="51" s="1"/>
  <c r="BP37" i="51"/>
  <c r="BO372" i="51"/>
  <c r="BV326" i="4"/>
  <c r="BO399" i="51"/>
  <c r="BO402" i="51" s="1"/>
  <c r="BO401" i="51"/>
  <c r="BR407" i="51"/>
  <c r="BQ23" i="51"/>
  <c r="BQ363" i="51"/>
  <c r="BP365" i="51"/>
  <c r="BP398" i="51" s="1"/>
  <c r="BP456" i="51"/>
  <c r="BW368" i="4"/>
  <c r="BW369" i="4" s="1"/>
  <c r="BW386" i="4" s="1"/>
  <c r="BO41" i="51"/>
  <c r="BO45" i="51" s="1"/>
  <c r="BN33" i="51"/>
  <c r="BS406" i="51"/>
  <c r="BR22" i="51"/>
  <c r="BR362" i="51"/>
  <c r="BQ409" i="51"/>
  <c r="BQ410" i="51" s="1"/>
  <c r="BR405" i="51"/>
  <c r="BR448" i="51" s="1"/>
  <c r="BQ21" i="51"/>
  <c r="BQ361" i="51"/>
  <c r="BQ40" i="51"/>
  <c r="BP400" i="51"/>
  <c r="BV369" i="4"/>
  <c r="BV386" i="4" s="1"/>
  <c r="BS408" i="51"/>
  <c r="BR24" i="51"/>
  <c r="BR364" i="51"/>
  <c r="BO28" i="51"/>
  <c r="BO32" i="51"/>
  <c r="BO30" i="51"/>
  <c r="BQ450" i="51"/>
  <c r="BQ452" i="51" s="1"/>
  <c r="DO531" i="4"/>
  <c r="AQ738" i="4"/>
  <c r="DK738" i="4" s="1"/>
  <c r="DK702" i="4"/>
  <c r="AQ704" i="4"/>
  <c r="DG718" i="4"/>
  <c r="W125" i="4"/>
  <c r="DG125" i="4" s="1"/>
  <c r="DE893" i="4"/>
  <c r="CK243" i="4"/>
  <c r="CP251" i="4" s="1"/>
  <c r="CK251" i="4"/>
  <c r="DM31" i="4"/>
  <c r="S21" i="4"/>
  <c r="X21" i="4"/>
  <c r="BK251" i="4"/>
  <c r="DO251" i="4" s="1"/>
  <c r="DO242" i="4"/>
  <c r="BD404" i="4"/>
  <c r="BD4" i="4"/>
  <c r="GN367" i="9" s="1"/>
  <c r="BE3" i="4"/>
  <c r="U930" i="4"/>
  <c r="U894" i="4"/>
  <c r="U896" i="4"/>
  <c r="U873" i="4"/>
  <c r="U912" i="4" s="1"/>
  <c r="W4" i="4"/>
  <c r="U932" i="4" s="1"/>
  <c r="U913" i="4"/>
  <c r="U931" i="4"/>
  <c r="U691" i="4"/>
  <c r="BF163" i="4"/>
  <c r="BB164" i="4"/>
  <c r="AQ434" i="4"/>
  <c r="DK434" i="4" s="1"/>
  <c r="DK437" i="4"/>
  <c r="AV434" i="4"/>
  <c r="DL434" i="4" s="1"/>
  <c r="DR263" i="4"/>
  <c r="P9" i="4"/>
  <c r="U248" i="4"/>
  <c r="BN266" i="4"/>
  <c r="BN258" i="4"/>
  <c r="DM262" i="4"/>
  <c r="BA265" i="4"/>
  <c r="DM265" i="4" s="1"/>
  <c r="BA263" i="4"/>
  <c r="BF265" i="4"/>
  <c r="DN265" i="4" s="1"/>
  <c r="BA256" i="4"/>
  <c r="DM256" i="4" s="1"/>
  <c r="AH447" i="4"/>
  <c r="BI116" i="4"/>
  <c r="BI704" i="4"/>
  <c r="BI724" i="4" s="1"/>
  <c r="BI726" i="4" s="1"/>
  <c r="BJ701" i="4"/>
  <c r="CS840" i="4"/>
  <c r="CT840" i="4" s="1"/>
  <c r="AD942" i="4"/>
  <c r="AE754" i="4"/>
  <c r="CX849" i="4"/>
  <c r="CY849" i="4" s="1"/>
  <c r="DN771" i="4"/>
  <c r="CW658" i="4"/>
  <c r="AP98" i="4"/>
  <c r="AP85" i="4"/>
  <c r="DI10" i="4"/>
  <c r="AG20" i="4"/>
  <c r="AG21" i="4" s="1"/>
  <c r="AG15" i="4"/>
  <c r="DI15" i="4" s="1"/>
  <c r="BK447" i="4"/>
  <c r="DO447" i="4" s="1"/>
  <c r="DO446" i="4"/>
  <c r="CJ263" i="4"/>
  <c r="CJ264" i="4"/>
  <c r="DT264" i="4" s="1"/>
  <c r="DT261" i="4"/>
  <c r="CJ257" i="4"/>
  <c r="DT257" i="4" s="1"/>
  <c r="CO264" i="4"/>
  <c r="DU264" i="4" s="1"/>
  <c r="AT449" i="4"/>
  <c r="T433" i="4"/>
  <c r="T444" i="4"/>
  <c r="W444" i="4" s="1"/>
  <c r="Y433" i="4"/>
  <c r="BN459" i="4"/>
  <c r="BN458" i="4"/>
  <c r="DL660" i="4"/>
  <c r="AV120" i="4"/>
  <c r="DL120" i="4" s="1"/>
  <c r="BI678" i="4"/>
  <c r="BI674" i="4"/>
  <c r="BN678" i="4"/>
  <c r="BI118" i="4"/>
  <c r="AU739" i="4"/>
  <c r="AV730" i="4"/>
  <c r="DH773" i="4"/>
  <c r="AB786" i="4"/>
  <c r="DH786" i="4" s="1"/>
  <c r="CF784" i="4"/>
  <c r="CG781" i="4"/>
  <c r="BH833" i="4"/>
  <c r="BG834" i="4"/>
  <c r="BG795" i="4" s="1"/>
  <c r="CZ852" i="4"/>
  <c r="CZ910" i="4" s="1"/>
  <c r="CG243" i="4"/>
  <c r="CG251" i="4"/>
  <c r="DP113" i="4"/>
  <c r="DW833" i="4"/>
  <c r="CZ833" i="4"/>
  <c r="Q763" i="4"/>
  <c r="R763" i="4" s="1"/>
  <c r="DF763" i="4" s="1"/>
  <c r="R761" i="4"/>
  <c r="CG23" i="4"/>
  <c r="AN35" i="4"/>
  <c r="AN47" i="4"/>
  <c r="AN34" i="4"/>
  <c r="DP163" i="4"/>
  <c r="CL251" i="4"/>
  <c r="CL243" i="4"/>
  <c r="CQ251" i="4" s="1"/>
  <c r="DO183" i="4"/>
  <c r="BK188" i="4"/>
  <c r="DQ242" i="4"/>
  <c r="BU251" i="4"/>
  <c r="DQ251" i="4" s="1"/>
  <c r="AG691" i="4"/>
  <c r="DI691" i="4" s="1"/>
  <c r="DI31" i="4"/>
  <c r="AZ85" i="4"/>
  <c r="AZ98" i="4"/>
  <c r="AB434" i="4"/>
  <c r="DH434" i="4" s="1"/>
  <c r="DH437" i="4"/>
  <c r="BT433" i="4"/>
  <c r="BS433" i="4"/>
  <c r="BQ433" i="4"/>
  <c r="BR433" i="4"/>
  <c r="DP417" i="4"/>
  <c r="BL458" i="4"/>
  <c r="BL459" i="4"/>
  <c r="CQ675" i="4"/>
  <c r="CV673" i="4"/>
  <c r="CV114" i="4" s="1"/>
  <c r="CJ676" i="4"/>
  <c r="DT676" i="4" s="1"/>
  <c r="DT673" i="4"/>
  <c r="CF664" i="4"/>
  <c r="CF670" i="4"/>
  <c r="DA782" i="4"/>
  <c r="DY782" i="4" s="1"/>
  <c r="DX782" i="4"/>
  <c r="AY860" i="4"/>
  <c r="AY796" i="4" s="1"/>
  <c r="AY798" i="4" s="1"/>
  <c r="AZ837" i="4"/>
  <c r="DR806" i="4"/>
  <c r="CK840" i="4"/>
  <c r="DT840" i="4"/>
  <c r="CL49" i="4"/>
  <c r="CM49" i="4" s="1"/>
  <c r="CN49" i="4" s="1"/>
  <c r="AW538" i="4"/>
  <c r="AW539" i="4" s="1"/>
  <c r="BA537" i="4"/>
  <c r="DM537" i="4" s="1"/>
  <c r="AL477" i="4"/>
  <c r="DJ477" i="4" s="1"/>
  <c r="DJ478" i="4"/>
  <c r="BD35" i="4"/>
  <c r="BD47" i="4"/>
  <c r="L634" i="4"/>
  <c r="L22" i="4"/>
  <c r="AS691" i="4"/>
  <c r="BO85" i="4"/>
  <c r="AN494" i="4"/>
  <c r="DU81" i="4"/>
  <c r="CT81" i="4"/>
  <c r="S634" i="4"/>
  <c r="S690" i="4"/>
  <c r="S33" i="4"/>
  <c r="S47" i="4" s="1"/>
  <c r="S22" i="4"/>
  <c r="S23" i="4" s="1"/>
  <c r="W14" i="4"/>
  <c r="L31" i="4"/>
  <c r="L33" i="4" s="1"/>
  <c r="L47" i="4" s="1"/>
  <c r="M28" i="4"/>
  <c r="BC691" i="4"/>
  <c r="AL530" i="4"/>
  <c r="DJ530" i="4" s="1"/>
  <c r="DJ526" i="4"/>
  <c r="AM530" i="4"/>
  <c r="BH538" i="4"/>
  <c r="BH539" i="4" s="1"/>
  <c r="T637" i="4"/>
  <c r="T639" i="4" s="1"/>
  <c r="T51" i="4"/>
  <c r="T50" i="4"/>
  <c r="W163" i="4"/>
  <c r="S164" i="4"/>
  <c r="BS528" i="4"/>
  <c r="BS531" i="4"/>
  <c r="DN242" i="4"/>
  <c r="BF251" i="4"/>
  <c r="DN251" i="4" s="1"/>
  <c r="DT183" i="4"/>
  <c r="CJ185" i="4"/>
  <c r="BA531" i="4"/>
  <c r="DM527" i="4"/>
  <c r="CX257" i="4"/>
  <c r="CX248" i="4"/>
  <c r="CX9" i="4"/>
  <c r="CY9" i="4" s="1"/>
  <c r="DW9" i="4" s="1"/>
  <c r="CY237" i="4"/>
  <c r="DQ354" i="4"/>
  <c r="BU356" i="4"/>
  <c r="DQ356" i="4" s="1"/>
  <c r="CI242" i="4"/>
  <c r="CN246" i="4"/>
  <c r="BK163" i="4"/>
  <c r="BG164" i="4"/>
  <c r="BM458" i="4"/>
  <c r="BM459" i="4"/>
  <c r="L438" i="4"/>
  <c r="L436" i="4" s="1"/>
  <c r="L444" i="4" s="1"/>
  <c r="DI575" i="4"/>
  <c r="AG581" i="4"/>
  <c r="DI581" i="4" s="1"/>
  <c r="BU595" i="4"/>
  <c r="DQ595" i="4" s="1"/>
  <c r="DQ594" i="4"/>
  <c r="DG581" i="4"/>
  <c r="W582" i="4"/>
  <c r="DG582" i="4" s="1"/>
  <c r="W583" i="4"/>
  <c r="DG583" i="4" s="1"/>
  <c r="CA670" i="4"/>
  <c r="CA664" i="4"/>
  <c r="CR668" i="4"/>
  <c r="CM668" i="4"/>
  <c r="BT722" i="4"/>
  <c r="BU717" i="4"/>
  <c r="CT686" i="4"/>
  <c r="DV686" i="4" s="1"/>
  <c r="DV685" i="4"/>
  <c r="CL753" i="4"/>
  <c r="CL755" i="4" s="1"/>
  <c r="CM754" i="4"/>
  <c r="CM755" i="4" s="1"/>
  <c r="CX863" i="4"/>
  <c r="U748" i="4"/>
  <c r="U750" i="4" s="1"/>
  <c r="T750" i="4"/>
  <c r="BY961" i="4"/>
  <c r="BY125" i="4"/>
  <c r="BZ718" i="4"/>
  <c r="P2" i="72" s="1"/>
  <c r="P5" i="72" s="1"/>
  <c r="CU834" i="4"/>
  <c r="CU795" i="4" s="1"/>
  <c r="CV893" i="4"/>
  <c r="AZ839" i="4"/>
  <c r="BA839" i="4" s="1"/>
  <c r="CX847" i="4"/>
  <c r="CY847" i="4" s="1"/>
  <c r="BN840" i="4"/>
  <c r="CR675" i="4"/>
  <c r="CW673" i="4"/>
  <c r="CW114" i="4" s="1"/>
  <c r="DF704" i="4"/>
  <c r="DF675" i="4"/>
  <c r="R118" i="4"/>
  <c r="DF118" i="4" s="1"/>
  <c r="AQ661" i="4"/>
  <c r="DK661" i="4" s="1"/>
  <c r="DK657" i="4"/>
  <c r="BO722" i="4"/>
  <c r="BO724" i="4" s="1"/>
  <c r="BO726" i="4" s="1"/>
  <c r="BO745" i="4" s="1"/>
  <c r="DX757" i="4"/>
  <c r="DA757" i="4"/>
  <c r="DY757" i="4" s="1"/>
  <c r="DX747" i="4"/>
  <c r="DA747" i="4"/>
  <c r="DY747" i="4" s="1"/>
  <c r="BE838" i="4"/>
  <c r="AC686" i="4"/>
  <c r="CL977" i="4"/>
  <c r="CL47" i="4"/>
  <c r="CL34" i="4"/>
  <c r="CL35" i="4"/>
  <c r="CL84" i="4"/>
  <c r="CL85" i="4" s="1"/>
  <c r="AT98" i="4"/>
  <c r="AT85" i="4"/>
  <c r="BI85" i="4"/>
  <c r="Y637" i="4"/>
  <c r="Y639" i="4" s="1"/>
  <c r="Y51" i="4"/>
  <c r="Y50" i="4"/>
  <c r="AX34" i="4"/>
  <c r="AX47" i="4"/>
  <c r="AX35" i="4"/>
  <c r="AX98" i="4"/>
  <c r="AX85" i="4"/>
  <c r="CD47" i="4"/>
  <c r="CD34" i="4"/>
  <c r="CD35" i="4"/>
  <c r="CD85" i="4"/>
  <c r="CI977" i="4"/>
  <c r="CI34" i="4"/>
  <c r="CI47" i="4"/>
  <c r="CI35" i="4"/>
  <c r="BB634" i="4"/>
  <c r="BB74" i="4"/>
  <c r="BB84" i="4" s="1"/>
  <c r="J4" i="9" s="1"/>
  <c r="J5" i="9" s="1"/>
  <c r="BB22" i="4"/>
  <c r="BB16" i="4"/>
  <c r="BF14" i="4"/>
  <c r="BB33" i="4"/>
  <c r="AO51" i="9" s="1"/>
  <c r="AO57" i="9" s="1"/>
  <c r="AO58" i="9" s="1"/>
  <c r="AO67" i="9" s="1"/>
  <c r="BB139" i="4"/>
  <c r="BZ258" i="4"/>
  <c r="DR258" i="4" s="1"/>
  <c r="BZ20" i="4"/>
  <c r="BZ15" i="4"/>
  <c r="DR15" i="4" s="1"/>
  <c r="DR10" i="4"/>
  <c r="BZ679" i="4"/>
  <c r="DF457" i="4"/>
  <c r="R458" i="4"/>
  <c r="DF458" i="4" s="1"/>
  <c r="AC930" i="4"/>
  <c r="AL163" i="4"/>
  <c r="AH164" i="4"/>
  <c r="BZ49" i="4"/>
  <c r="DR49" i="4" s="1"/>
  <c r="W531" i="4"/>
  <c r="DG531" i="4" s="1"/>
  <c r="DG527" i="4"/>
  <c r="T164" i="4"/>
  <c r="BA181" i="4"/>
  <c r="DM181" i="4" s="1"/>
  <c r="AB263" i="4"/>
  <c r="AB264" i="4"/>
  <c r="DH264" i="4" s="1"/>
  <c r="DH261" i="4"/>
  <c r="AB257" i="4"/>
  <c r="DH257" i="4" s="1"/>
  <c r="AG264" i="4"/>
  <c r="DI264" i="4" s="1"/>
  <c r="BQ289" i="4"/>
  <c r="BR289" i="4" s="1"/>
  <c r="BS289" i="4" s="1"/>
  <c r="BT289" i="4" s="1"/>
  <c r="BT282" i="4" s="1"/>
  <c r="DP289" i="4"/>
  <c r="BJ538" i="4"/>
  <c r="BJ539" i="4" s="1"/>
  <c r="BB266" i="4"/>
  <c r="BG266" i="4"/>
  <c r="DO431" i="4"/>
  <c r="BK417" i="4"/>
  <c r="AS449" i="4"/>
  <c r="BG459" i="4"/>
  <c r="BG458" i="4"/>
  <c r="DM575" i="4"/>
  <c r="BA581" i="4"/>
  <c r="DM581" i="4" s="1"/>
  <c r="CY708" i="4"/>
  <c r="DW708" i="4" s="1"/>
  <c r="BE704" i="4"/>
  <c r="BE113" i="4"/>
  <c r="BF698" i="4"/>
  <c r="K724" i="4"/>
  <c r="K726" i="4" s="1"/>
  <c r="BU645" i="4"/>
  <c r="DQ645" i="4" s="1"/>
  <c r="BO664" i="4"/>
  <c r="CS658" i="4"/>
  <c r="CT658" i="4" s="1"/>
  <c r="CN667" i="4"/>
  <c r="BI666" i="4"/>
  <c r="BI661" i="4"/>
  <c r="BN666" i="4"/>
  <c r="DJ675" i="4"/>
  <c r="AL678" i="4"/>
  <c r="DJ678" i="4" s="1"/>
  <c r="AL118" i="4"/>
  <c r="DJ118" i="4" s="1"/>
  <c r="AQ722" i="4"/>
  <c r="DK722" i="4" s="1"/>
  <c r="DK717" i="4"/>
  <c r="DO718" i="4"/>
  <c r="BK125" i="4"/>
  <c r="DO125" i="4" s="1"/>
  <c r="V722" i="4"/>
  <c r="V724" i="4" s="1"/>
  <c r="V726" i="4" s="1"/>
  <c r="DA770" i="4"/>
  <c r="DY770" i="4" s="1"/>
  <c r="DX770" i="4"/>
  <c r="DX749" i="4"/>
  <c r="DA749" i="4"/>
  <c r="DY749" i="4" s="1"/>
  <c r="CQ860" i="4"/>
  <c r="CQ796" i="4" s="1"/>
  <c r="CR837" i="4"/>
  <c r="CR860" i="4" s="1"/>
  <c r="CS841" i="4"/>
  <c r="CT841" i="4" s="1"/>
  <c r="AW800" i="4"/>
  <c r="AW773" i="4"/>
  <c r="AW786" i="4" s="1"/>
  <c r="DR771" i="4"/>
  <c r="BZ786" i="4"/>
  <c r="DR786" i="4" s="1"/>
  <c r="BK141" i="4"/>
  <c r="DO141" i="4" s="1"/>
  <c r="BH141" i="4"/>
  <c r="DN834" i="4"/>
  <c r="BF795" i="4"/>
  <c r="CL871" i="4"/>
  <c r="CL797" i="4" s="1"/>
  <c r="CL798" i="4" s="1"/>
  <c r="BU181" i="4"/>
  <c r="DQ181" i="4" s="1"/>
  <c r="W263" i="4"/>
  <c r="DG261" i="4"/>
  <c r="W264" i="4"/>
  <c r="DG264" i="4" s="1"/>
  <c r="W255" i="4"/>
  <c r="DG255" i="4" s="1"/>
  <c r="W257" i="4"/>
  <c r="DG257" i="4" s="1"/>
  <c r="BT440" i="4"/>
  <c r="BU440" i="4" s="1"/>
  <c r="DQ440" i="4" s="1"/>
  <c r="BT437" i="4"/>
  <c r="BU437" i="4" s="1"/>
  <c r="BF448" i="4"/>
  <c r="DP526" i="4"/>
  <c r="BP530" i="4"/>
  <c r="DP530" i="4" s="1"/>
  <c r="DN183" i="4"/>
  <c r="BF196" i="4"/>
  <c r="DN196" i="4" s="1"/>
  <c r="BF188" i="4"/>
  <c r="AC447" i="4"/>
  <c r="V522" i="4"/>
  <c r="V511" i="4"/>
  <c r="CS675" i="4"/>
  <c r="CX673" i="4"/>
  <c r="CE645" i="4"/>
  <c r="DS645" i="4" s="1"/>
  <c r="DO675" i="4"/>
  <c r="BK678" i="4"/>
  <c r="DO678" i="4" s="1"/>
  <c r="BK118" i="4"/>
  <c r="AT722" i="4"/>
  <c r="AT724" i="4" s="1"/>
  <c r="AT726" i="4" s="1"/>
  <c r="AU717" i="4"/>
  <c r="AJ942" i="4"/>
  <c r="DA779" i="4"/>
  <c r="DY779" i="4" s="1"/>
  <c r="DX779" i="4"/>
  <c r="P436" i="4"/>
  <c r="R438" i="4"/>
  <c r="DF438" i="4" s="1"/>
  <c r="AO23" i="4"/>
  <c r="U690" i="4"/>
  <c r="BN23" i="4"/>
  <c r="AW691" i="4"/>
  <c r="AN23" i="4"/>
  <c r="BJ34" i="4"/>
  <c r="BJ47" i="4"/>
  <c r="BJ35" i="4"/>
  <c r="CZ817" i="4"/>
  <c r="DX817" i="4" s="1"/>
  <c r="DX698" i="4"/>
  <c r="CZ113" i="4"/>
  <c r="DX113" i="4" s="1"/>
  <c r="AB634" i="4"/>
  <c r="DH634" i="4" s="1"/>
  <c r="AB33" i="4"/>
  <c r="AB22" i="4"/>
  <c r="DH14" i="4"/>
  <c r="AN404" i="4"/>
  <c r="AO3" i="4"/>
  <c r="AN4" i="4"/>
  <c r="GA367" i="9" s="1"/>
  <c r="K917" i="4"/>
  <c r="K927" i="4" s="1"/>
  <c r="AH634" i="4"/>
  <c r="AH690" i="4"/>
  <c r="AH74" i="4"/>
  <c r="AH84" i="4" s="1"/>
  <c r="AH139" i="4"/>
  <c r="AH22" i="4"/>
  <c r="AH16" i="4"/>
  <c r="AL14" i="4"/>
  <c r="AH33" i="4"/>
  <c r="BG21" i="4"/>
  <c r="K637" i="4"/>
  <c r="K639" i="4" s="1"/>
  <c r="K51" i="4"/>
  <c r="K50" i="4"/>
  <c r="CO164" i="4"/>
  <c r="DU164" i="4" s="1"/>
  <c r="DU163" i="4"/>
  <c r="I637" i="4"/>
  <c r="I51" i="4"/>
  <c r="I50" i="4"/>
  <c r="DK526" i="4"/>
  <c r="AQ530" i="4"/>
  <c r="DK530" i="4" s="1"/>
  <c r="AR530" i="4"/>
  <c r="CQ23" i="4"/>
  <c r="DM242" i="4"/>
  <c r="BA251" i="4"/>
  <c r="DM251" i="4" s="1"/>
  <c r="CR20" i="4"/>
  <c r="CR21" i="4" s="1"/>
  <c r="CR15" i="4"/>
  <c r="CR14" i="4"/>
  <c r="BM466" i="4"/>
  <c r="BC23" i="4"/>
  <c r="BC690" i="4"/>
  <c r="BH47" i="4"/>
  <c r="BH34" i="4"/>
  <c r="BH35" i="4"/>
  <c r="AY139" i="4"/>
  <c r="CC35" i="4"/>
  <c r="CC47" i="4"/>
  <c r="CC34" i="4"/>
  <c r="CH977" i="4"/>
  <c r="CH47" i="4"/>
  <c r="CH35" i="4"/>
  <c r="CH34" i="4"/>
  <c r="AD23" i="4"/>
  <c r="AI139" i="4"/>
  <c r="AU23" i="4"/>
  <c r="AZ34" i="4"/>
  <c r="AZ35" i="4"/>
  <c r="AZ47" i="4"/>
  <c r="AV634" i="4"/>
  <c r="DL634" i="4" s="1"/>
  <c r="AV139" i="4"/>
  <c r="AV74" i="4"/>
  <c r="AV33" i="4"/>
  <c r="AI51" i="9" s="1"/>
  <c r="AI57" i="9" s="1"/>
  <c r="AI58" i="9" s="1"/>
  <c r="AI64" i="9" s="1"/>
  <c r="DL14" i="4"/>
  <c r="AV22" i="4"/>
  <c r="AR98" i="4"/>
  <c r="CJ258" i="4"/>
  <c r="DT258" i="4" s="1"/>
  <c r="CJ20" i="4"/>
  <c r="CJ15" i="4"/>
  <c r="DT15" i="4" s="1"/>
  <c r="DT10" i="4"/>
  <c r="CZ76" i="4"/>
  <c r="DX76" i="4" s="1"/>
  <c r="DA42" i="4"/>
  <c r="DX42" i="4"/>
  <c r="AF932" i="4"/>
  <c r="AF930" i="4"/>
  <c r="AF915" i="4"/>
  <c r="AF913" i="4"/>
  <c r="AF897" i="4"/>
  <c r="AF895" i="4"/>
  <c r="AF898" i="4"/>
  <c r="AF896" i="4"/>
  <c r="AF894" i="4"/>
  <c r="AF893" i="4"/>
  <c r="AF691" i="4"/>
  <c r="CW158" i="4"/>
  <c r="CV159" i="4"/>
  <c r="BW21" i="4"/>
  <c r="N895" i="4"/>
  <c r="N930" i="4"/>
  <c r="BK181" i="4"/>
  <c r="DO181" i="4" s="1"/>
  <c r="CN20" i="4"/>
  <c r="CN21" i="4" s="1"/>
  <c r="CN15" i="4"/>
  <c r="CN14" i="4"/>
  <c r="CN679" i="4"/>
  <c r="AQ251" i="4"/>
  <c r="DK251" i="4" s="1"/>
  <c r="DK242" i="4"/>
  <c r="AR189" i="4"/>
  <c r="AW189" i="4"/>
  <c r="BS266" i="4"/>
  <c r="BS258" i="4"/>
  <c r="BJ465" i="4"/>
  <c r="BJ452" i="4"/>
  <c r="CU378" i="4"/>
  <c r="CU384" i="4" s="1"/>
  <c r="CY364" i="4"/>
  <c r="DW364" i="4" s="1"/>
  <c r="CW384" i="4"/>
  <c r="CW232" i="4"/>
  <c r="BS452" i="4"/>
  <c r="DI262" i="4"/>
  <c r="AG265" i="4"/>
  <c r="DI265" i="4" s="1"/>
  <c r="AL265" i="4"/>
  <c r="DJ265" i="4" s="1"/>
  <c r="AG263" i="4"/>
  <c r="AG258" i="4" s="1"/>
  <c r="DI258" i="4" s="1"/>
  <c r="AG256" i="4"/>
  <c r="DI256" i="4" s="1"/>
  <c r="DU262" i="4"/>
  <c r="CO265" i="4"/>
  <c r="DU265" i="4" s="1"/>
  <c r="CO263" i="4"/>
  <c r="AG441" i="4"/>
  <c r="DI436" i="4"/>
  <c r="N447" i="4"/>
  <c r="BF528" i="4"/>
  <c r="DN528" i="4" s="1"/>
  <c r="BC164" i="4"/>
  <c r="DR183" i="4"/>
  <c r="BZ188" i="4"/>
  <c r="AA494" i="4"/>
  <c r="AA446" i="4"/>
  <c r="AA447" i="4" s="1"/>
  <c r="DL440" i="4"/>
  <c r="AV441" i="4"/>
  <c r="BF600" i="4"/>
  <c r="DM600" i="4"/>
  <c r="AO446" i="4"/>
  <c r="AO444" i="4"/>
  <c r="AO494" i="4" s="1"/>
  <c r="AO495" i="4" s="1"/>
  <c r="AO433" i="4"/>
  <c r="AT433" i="4"/>
  <c r="AG498" i="4"/>
  <c r="AF496" i="4"/>
  <c r="AF499" i="4"/>
  <c r="CL677" i="4"/>
  <c r="CQ677" i="4"/>
  <c r="CL118" i="4"/>
  <c r="CO673" i="4"/>
  <c r="CO114" i="4" s="1"/>
  <c r="CP673" i="4"/>
  <c r="CP114" i="4" s="1"/>
  <c r="CK674" i="4"/>
  <c r="L722" i="4"/>
  <c r="L724" i="4" s="1"/>
  <c r="L726" i="4" s="1"/>
  <c r="BW670" i="4"/>
  <c r="BW664" i="4"/>
  <c r="BE659" i="4"/>
  <c r="BE714" i="4"/>
  <c r="CJ666" i="4"/>
  <c r="DT666" i="4" s="1"/>
  <c r="DT657" i="4"/>
  <c r="CB670" i="4"/>
  <c r="CM115" i="4"/>
  <c r="CN703" i="4"/>
  <c r="CN115" i="4" s="1"/>
  <c r="CO714" i="4"/>
  <c r="DU714" i="4" s="1"/>
  <c r="Q722" i="4"/>
  <c r="Q724" i="4" s="1"/>
  <c r="Q726" i="4" s="1"/>
  <c r="R717" i="4"/>
  <c r="K942" i="4"/>
  <c r="O913" i="4"/>
  <c r="T942" i="4"/>
  <c r="U754" i="4"/>
  <c r="DA783" i="4"/>
  <c r="DY783" i="4" s="1"/>
  <c r="DX783" i="4"/>
  <c r="AG786" i="4"/>
  <c r="DI786" i="4" s="1"/>
  <c r="CQ774" i="4"/>
  <c r="BP124" i="4"/>
  <c r="DP124" i="4" s="1"/>
  <c r="AM760" i="4"/>
  <c r="DJ760" i="4"/>
  <c r="DU658" i="4"/>
  <c r="BD85" i="4"/>
  <c r="BD98" i="4"/>
  <c r="DP31" i="4"/>
  <c r="BU20" i="4"/>
  <c r="BU15" i="4"/>
  <c r="DQ15" i="4" s="1"/>
  <c r="DQ10" i="4"/>
  <c r="AD651" i="4"/>
  <c r="AV263" i="4"/>
  <c r="AV264" i="4"/>
  <c r="DL264" i="4" s="1"/>
  <c r="DL261" i="4"/>
  <c r="AV257" i="4"/>
  <c r="DL257" i="4" s="1"/>
  <c r="BA264" i="4"/>
  <c r="DM264" i="4" s="1"/>
  <c r="DQ487" i="4"/>
  <c r="CJ383" i="4"/>
  <c r="DT383" i="4" s="1"/>
  <c r="DT373" i="4"/>
  <c r="CE163" i="4"/>
  <c r="CB164" i="4"/>
  <c r="BT961" i="4"/>
  <c r="BT125" i="4"/>
  <c r="BU718" i="4"/>
  <c r="AK35" i="4"/>
  <c r="AK47" i="4"/>
  <c r="AK34" i="4"/>
  <c r="BV74" i="4"/>
  <c r="BV84" i="4" s="1"/>
  <c r="BV22" i="4"/>
  <c r="BZ14" i="4"/>
  <c r="BV33" i="4"/>
  <c r="L917" i="4"/>
  <c r="L927" i="4" s="1"/>
  <c r="CF251" i="4"/>
  <c r="CJ242" i="4"/>
  <c r="BP263" i="4"/>
  <c r="BP264" i="4"/>
  <c r="DP264" i="4" s="1"/>
  <c r="DP261" i="4"/>
  <c r="BU264" i="4"/>
  <c r="DQ264" i="4" s="1"/>
  <c r="BP439" i="4"/>
  <c r="AU52" i="9" s="1"/>
  <c r="CS619" i="4"/>
  <c r="CS29" i="4"/>
  <c r="CT29" i="4" s="1"/>
  <c r="DV29" i="4" s="1"/>
  <c r="BP664" i="4"/>
  <c r="DP664" i="4" s="1"/>
  <c r="AU738" i="4"/>
  <c r="AU122" i="4"/>
  <c r="AV122" i="4" s="1"/>
  <c r="DL122" i="4" s="1"/>
  <c r="CF860" i="4"/>
  <c r="CF796" i="4" s="1"/>
  <c r="CF798" i="4" s="1"/>
  <c r="CG837" i="4"/>
  <c r="CP798" i="4"/>
  <c r="BK669" i="4"/>
  <c r="DO669" i="4" s="1"/>
  <c r="DO660" i="4"/>
  <c r="BK120" i="4"/>
  <c r="DN871" i="4"/>
  <c r="BF797" i="4"/>
  <c r="DN797" i="4" s="1"/>
  <c r="DT942" i="4"/>
  <c r="CK942" i="4"/>
  <c r="CL942" i="4" s="1"/>
  <c r="CM942" i="4" s="1"/>
  <c r="CN942" i="4" s="1"/>
  <c r="CO942" i="4" s="1"/>
  <c r="CI838" i="4"/>
  <c r="CJ838" i="4" s="1"/>
  <c r="AJ35" i="4"/>
  <c r="AJ34" i="4"/>
  <c r="AJ47" i="4"/>
  <c r="DL31" i="4"/>
  <c r="M634" i="4"/>
  <c r="DE634" i="4" s="1"/>
  <c r="M22" i="4"/>
  <c r="DE14" i="4"/>
  <c r="AQ172" i="4"/>
  <c r="DK172" i="4" s="1"/>
  <c r="BO504" i="4"/>
  <c r="BP436" i="4"/>
  <c r="BO444" i="4"/>
  <c r="BO465" i="4" s="1"/>
  <c r="BO446" i="4"/>
  <c r="BP446" i="4" s="1"/>
  <c r="S494" i="4"/>
  <c r="S446" i="4"/>
  <c r="BC47" i="4"/>
  <c r="BC35" i="4"/>
  <c r="CJ893" i="4"/>
  <c r="CF690" i="4"/>
  <c r="CF139" i="4"/>
  <c r="CF74" i="4"/>
  <c r="CF84" i="4" s="1"/>
  <c r="CF33" i="4"/>
  <c r="CF16" i="4"/>
  <c r="CF22" i="4"/>
  <c r="CJ14" i="4"/>
  <c r="DJ242" i="4"/>
  <c r="AL251" i="4"/>
  <c r="DJ251" i="4" s="1"/>
  <c r="BO531" i="4"/>
  <c r="BO537" i="4" s="1"/>
  <c r="BO528" i="4"/>
  <c r="BP528" i="4" s="1"/>
  <c r="DP528" i="4" s="1"/>
  <c r="AL181" i="4"/>
  <c r="DJ181" i="4" s="1"/>
  <c r="AQ181" i="4"/>
  <c r="DK181" i="4" s="1"/>
  <c r="BB538" i="4"/>
  <c r="BF537" i="4"/>
  <c r="DN537" i="4" s="1"/>
  <c r="V266" i="4"/>
  <c r="V258" i="4"/>
  <c r="AA266" i="4"/>
  <c r="BK448" i="4"/>
  <c r="DH498" i="4"/>
  <c r="AB499" i="4"/>
  <c r="DH499" i="4" s="1"/>
  <c r="DR657" i="4"/>
  <c r="DO113" i="4"/>
  <c r="BJ666" i="4"/>
  <c r="BJ661" i="4"/>
  <c r="DJ800" i="4"/>
  <c r="DU796" i="4"/>
  <c r="CO798" i="4"/>
  <c r="I23" i="68" s="1"/>
  <c r="AI691" i="4"/>
  <c r="AS35" i="4"/>
  <c r="AS34" i="4"/>
  <c r="AS47" i="4"/>
  <c r="BD23" i="4"/>
  <c r="AX404" i="4"/>
  <c r="AX4" i="4"/>
  <c r="GI367" i="9" s="1"/>
  <c r="DU10" i="4"/>
  <c r="CN350" i="72" s="1"/>
  <c r="CO20" i="4"/>
  <c r="CO15" i="4"/>
  <c r="DU15" i="4" s="1"/>
  <c r="BA164" i="4"/>
  <c r="DM164" i="4" s="1"/>
  <c r="DM163" i="4"/>
  <c r="AB528" i="4"/>
  <c r="DH528" i="4" s="1"/>
  <c r="BZ163" i="4"/>
  <c r="CA164" i="4" s="1"/>
  <c r="BV164" i="4"/>
  <c r="V933" i="4"/>
  <c r="V932" i="4"/>
  <c r="V930" i="4"/>
  <c r="V915" i="4"/>
  <c r="V913" i="4"/>
  <c r="V898" i="4"/>
  <c r="V896" i="4"/>
  <c r="V894" i="4"/>
  <c r="V897" i="4"/>
  <c r="V895" i="4"/>
  <c r="V893" i="4"/>
  <c r="V873" i="4"/>
  <c r="V912" i="4" s="1"/>
  <c r="V691" i="4"/>
  <c r="V931" i="4"/>
  <c r="CE266" i="4"/>
  <c r="DS266" i="4" s="1"/>
  <c r="DS263" i="4"/>
  <c r="BG539" i="4"/>
  <c r="DP183" i="4"/>
  <c r="BP188" i="4"/>
  <c r="BP189" i="4" s="1"/>
  <c r="DP189" i="4" s="1"/>
  <c r="CJ172" i="4"/>
  <c r="DT172" i="4" s="1"/>
  <c r="CO172" i="4"/>
  <c r="DU172" i="4" s="1"/>
  <c r="W530" i="4"/>
  <c r="DG530" i="4" s="1"/>
  <c r="DG526" i="4"/>
  <c r="X530" i="4"/>
  <c r="AV251" i="4"/>
  <c r="DL251" i="4" s="1"/>
  <c r="DL242" i="4"/>
  <c r="DO336" i="4"/>
  <c r="BK337" i="4"/>
  <c r="DO337" i="4" s="1"/>
  <c r="BP337" i="4"/>
  <c r="DP337" i="4" s="1"/>
  <c r="AP446" i="4"/>
  <c r="AP444" i="4"/>
  <c r="AP494" i="4" s="1"/>
  <c r="AP495" i="4" s="1"/>
  <c r="AU433" i="4"/>
  <c r="AP433" i="4"/>
  <c r="BI465" i="4"/>
  <c r="CE246" i="4"/>
  <c r="DS246" i="4" s="1"/>
  <c r="DS228" i="4"/>
  <c r="CE256" i="4"/>
  <c r="DS256" i="4" s="1"/>
  <c r="BK494" i="4"/>
  <c r="DO494" i="4" s="1"/>
  <c r="Q346" i="4"/>
  <c r="V347" i="4" s="1"/>
  <c r="Q234" i="4"/>
  <c r="Q242" i="4"/>
  <c r="V251" i="4" s="1"/>
  <c r="BU378" i="4"/>
  <c r="BU384" i="4" s="1"/>
  <c r="DQ384" i="4" s="1"/>
  <c r="DQ374" i="4"/>
  <c r="BU228" i="4"/>
  <c r="AQ163" i="4"/>
  <c r="AM164" i="4"/>
  <c r="AN164" i="4"/>
  <c r="AV255" i="4"/>
  <c r="DL255" i="4" s="1"/>
  <c r="W513" i="4"/>
  <c r="DG513" i="4" s="1"/>
  <c r="DG505" i="4"/>
  <c r="DQ572" i="4"/>
  <c r="BU575" i="4"/>
  <c r="CJ682" i="4"/>
  <c r="M713" i="4"/>
  <c r="BZ714" i="4"/>
  <c r="DR714" i="4" s="1"/>
  <c r="Z722" i="4"/>
  <c r="Z724" i="4" s="1"/>
  <c r="Z726" i="4" s="1"/>
  <c r="AA717" i="4"/>
  <c r="AA722" i="4" s="1"/>
  <c r="AA724" i="4" s="1"/>
  <c r="AA726" i="4" s="1"/>
  <c r="CM670" i="4"/>
  <c r="CM664" i="4"/>
  <c r="DP708" i="4"/>
  <c r="BP714" i="4"/>
  <c r="DP714" i="4" s="1"/>
  <c r="CN659" i="4"/>
  <c r="CO659" i="4" s="1"/>
  <c r="CN714" i="4"/>
  <c r="AG704" i="4"/>
  <c r="DG717" i="4"/>
  <c r="W722" i="4"/>
  <c r="DG722" i="4" s="1"/>
  <c r="CV759" i="4"/>
  <c r="CU685" i="4"/>
  <c r="CU686" i="4" s="1"/>
  <c r="DP718" i="4"/>
  <c r="BP125" i="4"/>
  <c r="DP125" i="4" s="1"/>
  <c r="CZ864" i="4"/>
  <c r="CZ915" i="4" s="1"/>
  <c r="DX915" i="4" s="1"/>
  <c r="DW864" i="4"/>
  <c r="DG941" i="4"/>
  <c r="W943" i="4"/>
  <c r="DG943" i="4" s="1"/>
  <c r="BU961" i="4"/>
  <c r="DQ961" i="4" s="1"/>
  <c r="DV843" i="4"/>
  <c r="CU843" i="4"/>
  <c r="DY863" i="4"/>
  <c r="CX853" i="4"/>
  <c r="CY853" i="4" s="1"/>
  <c r="CZ904" i="4"/>
  <c r="DX904" i="4" s="1"/>
  <c r="CZ846" i="4"/>
  <c r="DW846" i="4"/>
  <c r="DL498" i="4"/>
  <c r="AV499" i="4"/>
  <c r="DL499" i="4" s="1"/>
  <c r="BP669" i="4"/>
  <c r="DP669" i="4" s="1"/>
  <c r="BD668" i="4"/>
  <c r="DK675" i="4"/>
  <c r="AQ678" i="4"/>
  <c r="DK678" i="4" s="1"/>
  <c r="AQ118" i="4"/>
  <c r="DK118" i="4" s="1"/>
  <c r="BJ717" i="4"/>
  <c r="AF122" i="4"/>
  <c r="AG122" i="4" s="1"/>
  <c r="DI122" i="4" s="1"/>
  <c r="AF704" i="4"/>
  <c r="CQ871" i="4"/>
  <c r="CQ797" i="4" s="1"/>
  <c r="BQ943" i="4"/>
  <c r="BR941" i="4"/>
  <c r="CS838" i="4"/>
  <c r="CT838" i="4" s="1"/>
  <c r="AP34" i="4"/>
  <c r="AP47" i="4"/>
  <c r="AP35" i="4"/>
  <c r="CB47" i="4"/>
  <c r="CB34" i="4"/>
  <c r="BI23" i="4"/>
  <c r="AX23" i="4"/>
  <c r="BE85" i="4"/>
  <c r="BE98" i="4"/>
  <c r="BY47" i="4"/>
  <c r="BY34" i="4"/>
  <c r="CI139" i="4"/>
  <c r="AC690" i="4"/>
  <c r="AC634" i="4"/>
  <c r="AC74" i="4"/>
  <c r="AC84" i="4" s="1"/>
  <c r="AC22" i="4"/>
  <c r="AC23" i="4" s="1"/>
  <c r="AG14" i="4"/>
  <c r="AC33" i="4"/>
  <c r="AC47" i="4" s="1"/>
  <c r="BB21" i="4"/>
  <c r="DV893" i="4"/>
  <c r="BQ164" i="4"/>
  <c r="CY817" i="4"/>
  <c r="DW817" i="4" s="1"/>
  <c r="DW698" i="4"/>
  <c r="CY113" i="4"/>
  <c r="DW113" i="4" s="1"/>
  <c r="AG530" i="4"/>
  <c r="DI530" i="4" s="1"/>
  <c r="AV537" i="4"/>
  <c r="DL537" i="4" s="1"/>
  <c r="AR538" i="4"/>
  <c r="AV538" i="4" s="1"/>
  <c r="DL538" i="4" s="1"/>
  <c r="AJ433" i="4"/>
  <c r="AJ444" i="4"/>
  <c r="AL436" i="4"/>
  <c r="AQ433" i="4" s="1"/>
  <c r="DK433" i="4" s="1"/>
  <c r="DI183" i="4"/>
  <c r="AG188" i="4"/>
  <c r="AG189" i="4" s="1"/>
  <c r="DI189" i="4" s="1"/>
  <c r="X433" i="4"/>
  <c r="X444" i="4"/>
  <c r="AB436" i="4"/>
  <c r="AG433" i="4" s="1"/>
  <c r="DI433" i="4" s="1"/>
  <c r="AC433" i="4"/>
  <c r="DL526" i="4"/>
  <c r="AV530" i="4"/>
  <c r="DL530" i="4" s="1"/>
  <c r="BP255" i="4"/>
  <c r="DP255" i="4" s="1"/>
  <c r="CJ374" i="4"/>
  <c r="DU373" i="4"/>
  <c r="CO232" i="4"/>
  <c r="CO242" i="4" s="1"/>
  <c r="BQ446" i="4"/>
  <c r="BQ441" i="4"/>
  <c r="BQ504" i="4"/>
  <c r="BQ444" i="4"/>
  <c r="BU436" i="4"/>
  <c r="AU449" i="4"/>
  <c r="BK472" i="4"/>
  <c r="DO472" i="4" s="1"/>
  <c r="BC459" i="4"/>
  <c r="BC458" i="4"/>
  <c r="DP505" i="4"/>
  <c r="AV645" i="4"/>
  <c r="DL645" i="4" s="1"/>
  <c r="CY29" i="4"/>
  <c r="DW29" i="4" s="1"/>
  <c r="DP662" i="4"/>
  <c r="BP121" i="4"/>
  <c r="DC221" i="9" s="1"/>
  <c r="P724" i="4"/>
  <c r="P726" i="4" s="1"/>
  <c r="DQ120" i="4"/>
  <c r="CO679" i="4"/>
  <c r="AL714" i="4"/>
  <c r="DJ714" i="4" s="1"/>
  <c r="CI713" i="4"/>
  <c r="AV702" i="4"/>
  <c r="AZ722" i="4"/>
  <c r="Z759" i="4"/>
  <c r="AD686" i="4"/>
  <c r="BT124" i="4"/>
  <c r="BU124" i="4" s="1"/>
  <c r="DQ124" i="4" s="1"/>
  <c r="BU719" i="4"/>
  <c r="CN124" i="4"/>
  <c r="CO124" i="4" s="1"/>
  <c r="DU124" i="4" s="1"/>
  <c r="CO719" i="4"/>
  <c r="DU719" i="4" s="1"/>
  <c r="CE691" i="4"/>
  <c r="DS691" i="4" s="1"/>
  <c r="BA196" i="4"/>
  <c r="DM196" i="4" s="1"/>
  <c r="DM183" i="4"/>
  <c r="BA188" i="4"/>
  <c r="BK263" i="4"/>
  <c r="BK258" i="4" s="1"/>
  <c r="DO258" i="4" s="1"/>
  <c r="DO261" i="4"/>
  <c r="BK264" i="4"/>
  <c r="DO264" i="4" s="1"/>
  <c r="BK255" i="4"/>
  <c r="DO255" i="4" s="1"/>
  <c r="BK257" i="4"/>
  <c r="DO257" i="4" s="1"/>
  <c r="BU383" i="4"/>
  <c r="DQ383" i="4" s="1"/>
  <c r="DQ373" i="4"/>
  <c r="BZ383" i="4"/>
  <c r="DR383" i="4" s="1"/>
  <c r="DP211" i="4"/>
  <c r="BU211" i="4"/>
  <c r="BP213" i="4"/>
  <c r="BF266" i="4"/>
  <c r="DN266" i="4" s="1"/>
  <c r="DN263" i="4"/>
  <c r="DO595" i="4"/>
  <c r="BK596" i="4"/>
  <c r="DO596" i="4" s="1"/>
  <c r="DP704" i="4"/>
  <c r="AB788" i="4"/>
  <c r="DH788" i="4" s="1"/>
  <c r="DH765" i="4"/>
  <c r="W786" i="4"/>
  <c r="DG786" i="4" s="1"/>
  <c r="AU963" i="4"/>
  <c r="AU960" i="4" s="1"/>
  <c r="AU961" i="4"/>
  <c r="AV961" i="4" s="1"/>
  <c r="DL961" i="4" s="1"/>
  <c r="AU125" i="4"/>
  <c r="BJ760" i="4"/>
  <c r="CS842" i="4"/>
  <c r="CT842" i="4" s="1"/>
  <c r="CT960" i="4"/>
  <c r="DV960" i="4" s="1"/>
  <c r="DV778" i="4"/>
  <c r="CU778" i="4"/>
  <c r="AE637" i="4"/>
  <c r="AE639" i="4" s="1"/>
  <c r="AE51" i="4"/>
  <c r="AE50" i="4"/>
  <c r="AJ23" i="4"/>
  <c r="AO85" i="4"/>
  <c r="AO98" i="4"/>
  <c r="CG85" i="4"/>
  <c r="V637" i="4"/>
  <c r="V639" i="4" s="1"/>
  <c r="V51" i="4"/>
  <c r="V50" i="4"/>
  <c r="BN85" i="4"/>
  <c r="BM85" i="4"/>
  <c r="AN85" i="4"/>
  <c r="AN98" i="4"/>
  <c r="BJ23" i="4"/>
  <c r="DA698" i="4"/>
  <c r="DY91" i="4"/>
  <c r="DA75" i="4"/>
  <c r="DA30" i="4"/>
  <c r="DY30" i="4" s="1"/>
  <c r="X637" i="4"/>
  <c r="X51" i="4"/>
  <c r="X50" i="4"/>
  <c r="BO451" i="4"/>
  <c r="BO450" i="4" s="1"/>
  <c r="BP450" i="4" s="1"/>
  <c r="DP450" i="4" s="1"/>
  <c r="BN450" i="4"/>
  <c r="AH21" i="4"/>
  <c r="BG634" i="4"/>
  <c r="BG74" i="4"/>
  <c r="BG84" i="4" s="1"/>
  <c r="CT245" i="9" s="1"/>
  <c r="CX245" i="9" s="1"/>
  <c r="BG139" i="4"/>
  <c r="BG33" i="4"/>
  <c r="BG22" i="4"/>
  <c r="BG23" i="4" s="1"/>
  <c r="BG16" i="4"/>
  <c r="BK14" i="4"/>
  <c r="CE258" i="4"/>
  <c r="DS258" i="4" s="1"/>
  <c r="DS10" i="4"/>
  <c r="CE20" i="4"/>
  <c r="CE15" i="4"/>
  <c r="DS15" i="4" s="1"/>
  <c r="Y873" i="4"/>
  <c r="Y912" i="4" s="1"/>
  <c r="Y691" i="4"/>
  <c r="M894" i="4"/>
  <c r="DE894" i="4" s="1"/>
  <c r="BC538" i="4"/>
  <c r="BC539" i="4" s="1"/>
  <c r="J917" i="4"/>
  <c r="J927" i="4" s="1"/>
  <c r="BQ530" i="4"/>
  <c r="BA530" i="4"/>
  <c r="DM530" i="4" s="1"/>
  <c r="BT504" i="4"/>
  <c r="BT522" i="4" s="1"/>
  <c r="BT441" i="4"/>
  <c r="BT444" i="4"/>
  <c r="BT494" i="4" s="1"/>
  <c r="CY189" i="4"/>
  <c r="DW189" i="4" s="1"/>
  <c r="CY193" i="4"/>
  <c r="DW183" i="4"/>
  <c r="BQ266" i="4"/>
  <c r="BC98" i="4"/>
  <c r="BC85" i="4"/>
  <c r="BH139" i="4"/>
  <c r="AY47" i="4"/>
  <c r="AY35" i="4"/>
  <c r="AY34" i="4"/>
  <c r="CH139" i="4"/>
  <c r="CH23" i="4"/>
  <c r="CM977" i="4"/>
  <c r="CM47" i="4"/>
  <c r="CM35" i="4"/>
  <c r="CM34" i="4"/>
  <c r="AF637" i="4"/>
  <c r="AF639" i="4" s="1"/>
  <c r="AF51" i="4"/>
  <c r="AF50" i="4"/>
  <c r="AI47" i="4"/>
  <c r="AI34" i="4"/>
  <c r="AI35" i="4"/>
  <c r="AU98" i="4"/>
  <c r="AU85" i="4"/>
  <c r="CT78" i="4"/>
  <c r="DU78" i="4"/>
  <c r="AQ258" i="4"/>
  <c r="DK258" i="4" s="1"/>
  <c r="DK10" i="4"/>
  <c r="AQ20" i="4"/>
  <c r="AV21" i="4" s="1"/>
  <c r="AQ15" i="4"/>
  <c r="DK15" i="4" s="1"/>
  <c r="BP258" i="4"/>
  <c r="DP258" i="4" s="1"/>
  <c r="BP20" i="4"/>
  <c r="DP10" i="4"/>
  <c r="BP15" i="4"/>
  <c r="DP15" i="4" s="1"/>
  <c r="BL21" i="4"/>
  <c r="AR21" i="4"/>
  <c r="M897" i="4"/>
  <c r="DE897" i="4" s="1"/>
  <c r="BP537" i="4"/>
  <c r="DP537" i="4" s="1"/>
  <c r="BL538" i="4"/>
  <c r="BW690" i="4"/>
  <c r="BW74" i="4"/>
  <c r="BW84" i="4" s="1"/>
  <c r="CB85" i="4" s="1"/>
  <c r="BW33" i="4"/>
  <c r="CB35" i="4" s="1"/>
  <c r="BW22" i="4"/>
  <c r="CZ818" i="4"/>
  <c r="DX818" i="4" s="1"/>
  <c r="CZ769" i="4"/>
  <c r="DX95" i="4"/>
  <c r="DA95" i="4"/>
  <c r="DA701" i="4" s="1"/>
  <c r="N873" i="4"/>
  <c r="BW361" i="4"/>
  <c r="BV354" i="4"/>
  <c r="CO244" i="4"/>
  <c r="DU244" i="4" s="1"/>
  <c r="DU223" i="4"/>
  <c r="CO255" i="4"/>
  <c r="DU255" i="4" s="1"/>
  <c r="DQ262" i="4"/>
  <c r="BU265" i="4"/>
  <c r="DQ265" i="4" s="1"/>
  <c r="BU263" i="4"/>
  <c r="CX384" i="4"/>
  <c r="CX232" i="4"/>
  <c r="AE494" i="4"/>
  <c r="AE446" i="4"/>
  <c r="AE447" i="4" s="1"/>
  <c r="BP257" i="4"/>
  <c r="DP257" i="4" s="1"/>
  <c r="BP472" i="4"/>
  <c r="DP472" i="4" s="1"/>
  <c r="AM449" i="4"/>
  <c r="BI458" i="4"/>
  <c r="BI459" i="4"/>
  <c r="W522" i="4"/>
  <c r="DG522" i="4" s="1"/>
  <c r="CL649" i="4"/>
  <c r="CK647" i="4"/>
  <c r="DM658" i="4"/>
  <c r="AF714" i="4"/>
  <c r="AG713" i="4"/>
  <c r="DW662" i="4"/>
  <c r="CY121" i="4"/>
  <c r="DW121" i="4" s="1"/>
  <c r="CO115" i="4"/>
  <c r="DU115" i="4" s="1"/>
  <c r="BJ674" i="4"/>
  <c r="BJ678" i="4"/>
  <c r="BJ118" i="4"/>
  <c r="BO678" i="4"/>
  <c r="Q960" i="4"/>
  <c r="R960" i="4" s="1"/>
  <c r="DF960" i="4" s="1"/>
  <c r="R963" i="4"/>
  <c r="DF963" i="4" s="1"/>
  <c r="DH704" i="4"/>
  <c r="DU771" i="4"/>
  <c r="DX775" i="4"/>
  <c r="DA775" i="4"/>
  <c r="DY775" i="4" s="1"/>
  <c r="AX800" i="4"/>
  <c r="AX773" i="4"/>
  <c r="AX786" i="4" s="1"/>
  <c r="W765" i="4"/>
  <c r="BG141" i="4"/>
  <c r="DL531" i="4"/>
  <c r="R343" i="4"/>
  <c r="AB531" i="4"/>
  <c r="DH531" i="4" s="1"/>
  <c r="AS85" i="4"/>
  <c r="AS98" i="4"/>
  <c r="AD917" i="4"/>
  <c r="AD927" i="4" s="1"/>
  <c r="DF527" i="4"/>
  <c r="S531" i="4"/>
  <c r="DG183" i="4"/>
  <c r="W188" i="4"/>
  <c r="W189" i="4" s="1"/>
  <c r="DG189" i="4" s="1"/>
  <c r="CT163" i="4"/>
  <c r="CU164" i="4" s="1"/>
  <c r="CP164" i="4"/>
  <c r="BF531" i="4"/>
  <c r="BK532" i="4" s="1"/>
  <c r="DN527" i="4"/>
  <c r="DF228" i="4"/>
  <c r="W246" i="4"/>
  <c r="DG246" i="4" s="1"/>
  <c r="DP674" i="4"/>
  <c r="BP118" i="4"/>
  <c r="CE713" i="4"/>
  <c r="CD714" i="4"/>
  <c r="DR113" i="4"/>
  <c r="AE931" i="4"/>
  <c r="AE685" i="4"/>
  <c r="AF931" i="4"/>
  <c r="DV834" i="4"/>
  <c r="DP120" i="4"/>
  <c r="U960" i="4"/>
  <c r="AK801" i="4"/>
  <c r="AK85" i="4"/>
  <c r="AK98" i="4"/>
  <c r="BE35" i="4"/>
  <c r="BE47" i="4"/>
  <c r="M898" i="4"/>
  <c r="DE898" i="4" s="1"/>
  <c r="BU164" i="4"/>
  <c r="DQ164" i="4" s="1"/>
  <c r="DQ163" i="4"/>
  <c r="AR449" i="4"/>
  <c r="R583" i="4"/>
  <c r="DF583" i="4" s="1"/>
  <c r="DF581" i="4"/>
  <c r="R582" i="4"/>
  <c r="DF582" i="4" s="1"/>
  <c r="DW758" i="4"/>
  <c r="CD961" i="4"/>
  <c r="CD125" i="4"/>
  <c r="Y685" i="4"/>
  <c r="Y686" i="4" s="1"/>
  <c r="CX845" i="4"/>
  <c r="CY845" i="4" s="1"/>
  <c r="AZ963" i="4"/>
  <c r="AZ960" i="4" s="1"/>
  <c r="AZ961" i="4"/>
  <c r="BA961" i="4" s="1"/>
  <c r="DM961" i="4" s="1"/>
  <c r="AZ125" i="4"/>
  <c r="BA718" i="4"/>
  <c r="K2" i="72" s="1"/>
  <c r="K5" i="72" s="1"/>
  <c r="DF751" i="4"/>
  <c r="CS844" i="4"/>
  <c r="CT844" i="4" s="1"/>
  <c r="BK666" i="4"/>
  <c r="DO666" i="4" s="1"/>
  <c r="BK661" i="4"/>
  <c r="DO657" i="4"/>
  <c r="CA882" i="4"/>
  <c r="CZ850" i="4"/>
  <c r="CZ908" i="4" s="1"/>
  <c r="AO35" i="4"/>
  <c r="AO34" i="4"/>
  <c r="AO47" i="4"/>
  <c r="AB164" i="4"/>
  <c r="DH164" i="4" s="1"/>
  <c r="DH163" i="4"/>
  <c r="BN47" i="4"/>
  <c r="BN35" i="4"/>
  <c r="BN34" i="4"/>
  <c r="DO10" i="4"/>
  <c r="BK20" i="4"/>
  <c r="BK15" i="4"/>
  <c r="DO15" i="4" s="1"/>
  <c r="M915" i="4"/>
  <c r="DE915" i="4" s="1"/>
  <c r="CQ977" i="4"/>
  <c r="CQ47" i="4"/>
  <c r="CQ34" i="4"/>
  <c r="CQ35" i="4"/>
  <c r="BD538" i="4"/>
  <c r="BD539" i="4" s="1"/>
  <c r="AZ538" i="4"/>
  <c r="AZ539" i="4" s="1"/>
  <c r="CO181" i="4"/>
  <c r="DU181" i="4" s="1"/>
  <c r="CJ181" i="4"/>
  <c r="DT181" i="4" s="1"/>
  <c r="AE266" i="4"/>
  <c r="AE258" i="4"/>
  <c r="BH85" i="4"/>
  <c r="AU47" i="4"/>
  <c r="AU34" i="4"/>
  <c r="AU35" i="4"/>
  <c r="BL634" i="4"/>
  <c r="BL139" i="4"/>
  <c r="BL74" i="4"/>
  <c r="BL84" i="4" s="1"/>
  <c r="CY245" i="9" s="1"/>
  <c r="DA246" i="9" s="1"/>
  <c r="BL33" i="4"/>
  <c r="BL22" i="4"/>
  <c r="BL23" i="4" s="1"/>
  <c r="BL16" i="4"/>
  <c r="BP14" i="4"/>
  <c r="J637" i="4"/>
  <c r="J639" i="4" s="1"/>
  <c r="J51" i="4"/>
  <c r="J50" i="4"/>
  <c r="CP20" i="4"/>
  <c r="CP21" i="4" s="1"/>
  <c r="CP15" i="4"/>
  <c r="CP14" i="4"/>
  <c r="AI494" i="4"/>
  <c r="AI446" i="4"/>
  <c r="AI447" i="4" s="1"/>
  <c r="DP116" i="4"/>
  <c r="DE704" i="4"/>
  <c r="AG434" i="4"/>
  <c r="DI434" i="4" s="1"/>
  <c r="AJ404" i="4"/>
  <c r="AK4" i="4"/>
  <c r="FY367" i="9" s="1"/>
  <c r="AJ4" i="4"/>
  <c r="FX367" i="9" s="1"/>
  <c r="AA637" i="4"/>
  <c r="AA639" i="4" s="1"/>
  <c r="AA51" i="4"/>
  <c r="AA50" i="4"/>
  <c r="BX34" i="4"/>
  <c r="BX47" i="4"/>
  <c r="AT404" i="4"/>
  <c r="AT4" i="4"/>
  <c r="AY3" i="4"/>
  <c r="AU4" i="4"/>
  <c r="GG367" i="9" s="1"/>
  <c r="BO47" i="4"/>
  <c r="BO34" i="4"/>
  <c r="BO35" i="4"/>
  <c r="DK436" i="4"/>
  <c r="AV433" i="4"/>
  <c r="DL433" i="4" s="1"/>
  <c r="AQ441" i="4"/>
  <c r="W258" i="4"/>
  <c r="DG258" i="4" s="1"/>
  <c r="DG10" i="4"/>
  <c r="W20" i="4"/>
  <c r="AW690" i="4"/>
  <c r="AW634" i="4"/>
  <c r="AW74" i="4"/>
  <c r="AW84" i="4" s="1"/>
  <c r="E4" i="9" s="1"/>
  <c r="G5" i="9" s="1"/>
  <c r="AW139" i="4"/>
  <c r="AW22" i="4"/>
  <c r="AW23" i="4" s="1"/>
  <c r="AW16" i="4"/>
  <c r="BA14" i="4"/>
  <c r="AW33" i="4"/>
  <c r="AJ51" i="9" s="1"/>
  <c r="AJ57" i="9" s="1"/>
  <c r="AL58" i="9" s="1"/>
  <c r="BA20" i="4"/>
  <c r="BA21" i="4" s="1"/>
  <c r="BA15" i="4"/>
  <c r="DM15" i="4" s="1"/>
  <c r="BA258" i="4"/>
  <c r="DM258" i="4" s="1"/>
  <c r="DM10" i="4"/>
  <c r="CK690" i="4"/>
  <c r="CK74" i="4"/>
  <c r="CK84" i="4" s="1"/>
  <c r="CK85" i="4" s="1"/>
  <c r="CK139" i="4"/>
  <c r="CO14" i="4"/>
  <c r="GY640" i="72" s="1"/>
  <c r="CK22" i="4"/>
  <c r="CK23" i="4" s="1"/>
  <c r="CK16" i="4"/>
  <c r="CK33" i="4"/>
  <c r="M895" i="4"/>
  <c r="DE895" i="4" s="1"/>
  <c r="N637" i="4"/>
  <c r="N51" i="4"/>
  <c r="N50" i="4"/>
  <c r="BK537" i="4"/>
  <c r="DO537" i="4" s="1"/>
  <c r="BL189" i="4"/>
  <c r="BQ189" i="4"/>
  <c r="BW164" i="4"/>
  <c r="DR242" i="4"/>
  <c r="BZ251" i="4"/>
  <c r="DR251" i="4" s="1"/>
  <c r="W434" i="4"/>
  <c r="DG434" i="4" s="1"/>
  <c r="DG437" i="4"/>
  <c r="AG181" i="4"/>
  <c r="DI181" i="4" s="1"/>
  <c r="DH526" i="4"/>
  <c r="AB530" i="4"/>
  <c r="DH530" i="4" s="1"/>
  <c r="AL531" i="4"/>
  <c r="DJ531" i="4" s="1"/>
  <c r="DJ527" i="4"/>
  <c r="AQ531" i="4"/>
  <c r="AV532" i="4" s="1"/>
  <c r="AM531" i="4"/>
  <c r="AM537" i="4" s="1"/>
  <c r="Z266" i="4"/>
  <c r="Z258" i="4"/>
  <c r="J762" i="4"/>
  <c r="I506" i="4"/>
  <c r="I762" i="4" s="1"/>
  <c r="BJ459" i="4"/>
  <c r="BJ458" i="4"/>
  <c r="BO459" i="4"/>
  <c r="DE941" i="4"/>
  <c r="M943" i="4"/>
  <c r="DE943" i="4" s="1"/>
  <c r="DE581" i="4"/>
  <c r="M582" i="4"/>
  <c r="DE582" i="4" s="1"/>
  <c r="BP596" i="4"/>
  <c r="DP596" i="4" s="1"/>
  <c r="BC724" i="4"/>
  <c r="BC726" i="4" s="1"/>
  <c r="DM711" i="4"/>
  <c r="BA659" i="4"/>
  <c r="DM659" i="4" s="1"/>
  <c r="BA714" i="4"/>
  <c r="DM714" i="4" s="1"/>
  <c r="CE666" i="4"/>
  <c r="DS666" i="4" s="1"/>
  <c r="CE661" i="4"/>
  <c r="DS657" i="4"/>
  <c r="DR118" i="4"/>
  <c r="BF659" i="4"/>
  <c r="DN711" i="4"/>
  <c r="CE718" i="4"/>
  <c r="AX724" i="4"/>
  <c r="AX726" i="4" s="1"/>
  <c r="CD124" i="4"/>
  <c r="CE124" i="4" s="1"/>
  <c r="DS124" i="4" s="1"/>
  <c r="CE719" i="4"/>
  <c r="DS719" i="4" s="1"/>
  <c r="AP738" i="4"/>
  <c r="AP122" i="4"/>
  <c r="AQ122" i="4" s="1"/>
  <c r="DK122" i="4" s="1"/>
  <c r="CS754" i="4"/>
  <c r="CT754" i="4" s="1"/>
  <c r="CQ753" i="4"/>
  <c r="BP722" i="4"/>
  <c r="DP722" i="4" s="1"/>
  <c r="CX915" i="4"/>
  <c r="CY915" i="4" s="1"/>
  <c r="DW915" i="4" s="1"/>
  <c r="DS784" i="4"/>
  <c r="CE141" i="4"/>
  <c r="DS141" i="4" s="1"/>
  <c r="CF141" i="4"/>
  <c r="CN961" i="4"/>
  <c r="CN125" i="4"/>
  <c r="CO718" i="4"/>
  <c r="DW848" i="4"/>
  <c r="CZ848" i="4"/>
  <c r="DA914" i="4"/>
  <c r="DY914" i="4" s="1"/>
  <c r="AJ686" i="4"/>
  <c r="AK686" i="4"/>
  <c r="DF563" i="4"/>
  <c r="R564" i="4"/>
  <c r="DF564" i="4" s="1"/>
  <c r="R565" i="4"/>
  <c r="DF565" i="4" s="1"/>
  <c r="CR677" i="4"/>
  <c r="CM677" i="4"/>
  <c r="CM118" i="4"/>
  <c r="V963" i="4"/>
  <c r="V960" i="4" s="1"/>
  <c r="V961" i="4"/>
  <c r="W961" i="4" s="1"/>
  <c r="DG961" i="4" s="1"/>
  <c r="V125" i="4"/>
  <c r="DP661" i="4"/>
  <c r="BP670" i="4"/>
  <c r="DP670" i="4" s="1"/>
  <c r="AQ714" i="4"/>
  <c r="DK714" i="4" s="1"/>
  <c r="CC722" i="4"/>
  <c r="CD717" i="4"/>
  <c r="CD722" i="4" s="1"/>
  <c r="BI774" i="4"/>
  <c r="DL718" i="4"/>
  <c r="AV125" i="4"/>
  <c r="DL125" i="4" s="1"/>
  <c r="CZ702" i="4"/>
  <c r="DX790" i="4"/>
  <c r="DA790" i="4"/>
  <c r="DY790" i="4" s="1"/>
  <c r="CL23" i="4"/>
  <c r="AK23" i="4"/>
  <c r="Z637" i="4"/>
  <c r="Z639" i="4" s="1"/>
  <c r="Z51" i="4"/>
  <c r="Z50" i="4"/>
  <c r="AT34" i="4"/>
  <c r="AT47" i="4"/>
  <c r="AT35" i="4"/>
  <c r="BI35" i="4"/>
  <c r="BI47" i="4"/>
  <c r="BI34" i="4"/>
  <c r="DH31" i="4"/>
  <c r="AX139" i="4"/>
  <c r="CO691" i="4"/>
  <c r="DU691" i="4" s="1"/>
  <c r="DU31" i="4"/>
  <c r="CI23" i="4"/>
  <c r="BF258" i="4"/>
  <c r="DN258" i="4" s="1"/>
  <c r="BF20" i="4"/>
  <c r="BF21" i="4" s="1"/>
  <c r="BF15" i="4"/>
  <c r="DN15" i="4" s="1"/>
  <c r="DN10" i="4"/>
  <c r="BV21" i="4"/>
  <c r="DI4" i="4"/>
  <c r="AD933" i="4"/>
  <c r="AC933" i="4"/>
  <c r="AC913" i="4"/>
  <c r="AC898" i="4"/>
  <c r="DX70" i="4"/>
  <c r="DA70" i="4"/>
  <c r="AG531" i="4"/>
  <c r="DI531" i="4" s="1"/>
  <c r="DI527" i="4"/>
  <c r="AH531" i="4"/>
  <c r="CB49" i="4"/>
  <c r="CC49" i="4" s="1"/>
  <c r="CD49" i="4" s="1"/>
  <c r="DS209" i="4"/>
  <c r="BF530" i="4"/>
  <c r="DN530" i="4" s="1"/>
  <c r="DN526" i="4"/>
  <c r="DF262" i="4"/>
  <c r="R263" i="4"/>
  <c r="DF263" i="4" s="1"/>
  <c r="BU409" i="4"/>
  <c r="AX453" i="4"/>
  <c r="BA452" i="4"/>
  <c r="DJ183" i="4"/>
  <c r="AL196" i="4"/>
  <c r="DJ196" i="4" s="1"/>
  <c r="AL188" i="4"/>
  <c r="AL189" i="4" s="1"/>
  <c r="DJ189" i="4" s="1"/>
  <c r="AV451" i="4"/>
  <c r="DL451" i="4" s="1"/>
  <c r="AU450" i="4"/>
  <c r="AU514" i="4" s="1"/>
  <c r="DL450" i="4"/>
  <c r="AT450" i="4"/>
  <c r="AT452" i="4" s="1"/>
  <c r="AT453" i="4" s="1"/>
  <c r="AR450" i="4"/>
  <c r="AR452" i="4" s="1"/>
  <c r="AS450" i="4"/>
  <c r="AS514" i="4" s="1"/>
  <c r="BZ256" i="4"/>
  <c r="DR256" i="4" s="1"/>
  <c r="DR228" i="4"/>
  <c r="BZ246" i="4"/>
  <c r="DR246" i="4" s="1"/>
  <c r="DW612" i="4"/>
  <c r="CY617" i="4"/>
  <c r="DW617" i="4" s="1"/>
  <c r="CY616" i="4"/>
  <c r="CZ612" i="4"/>
  <c r="CY669" i="4"/>
  <c r="DW669" i="4" s="1"/>
  <c r="CZ660" i="4"/>
  <c r="CZ758" i="4" s="1"/>
  <c r="DW660" i="4"/>
  <c r="CY120" i="4"/>
  <c r="DW120" i="4" s="1"/>
  <c r="CP682" i="4"/>
  <c r="DU682" i="4"/>
  <c r="AZ659" i="4"/>
  <c r="AZ661" i="4" s="1"/>
  <c r="AZ664" i="4" s="1"/>
  <c r="BA664" i="4" s="1"/>
  <c r="DM664" i="4" s="1"/>
  <c r="AZ714" i="4"/>
  <c r="DE719" i="4"/>
  <c r="M124" i="4"/>
  <c r="DE124" i="4" s="1"/>
  <c r="BH140" i="4"/>
  <c r="BH146" i="4" s="1"/>
  <c r="W704" i="4"/>
  <c r="O942" i="4"/>
  <c r="P754" i="4"/>
  <c r="DS860" i="4"/>
  <c r="CE796" i="4"/>
  <c r="CK839" i="4"/>
  <c r="DT839" i="4"/>
  <c r="CJ722" i="4"/>
  <c r="DT722" i="4" s="1"/>
  <c r="AY960" i="4"/>
  <c r="BA960" i="4" s="1"/>
  <c r="DM960" i="4" s="1"/>
  <c r="BA963" i="4"/>
  <c r="DM963" i="4" s="1"/>
  <c r="AD931" i="4"/>
  <c r="DA761" i="4"/>
  <c r="DY761" i="4" s="1"/>
  <c r="DX761" i="4"/>
  <c r="DF773" i="4"/>
  <c r="R786" i="4"/>
  <c r="DF786" i="4" s="1"/>
  <c r="DI685" i="4"/>
  <c r="AH686" i="4"/>
  <c r="CS868" i="4"/>
  <c r="BA172" i="4"/>
  <c r="DM172" i="4" s="1"/>
  <c r="DW261" i="4"/>
  <c r="CY264" i="4"/>
  <c r="DW264" i="4" s="1"/>
  <c r="CZ264" i="4"/>
  <c r="DX264" i="4" s="1"/>
  <c r="CO257" i="4"/>
  <c r="DU257" i="4" s="1"/>
  <c r="DU234" i="4"/>
  <c r="CO248" i="4"/>
  <c r="DU248" i="4" s="1"/>
  <c r="AF494" i="4"/>
  <c r="AF446" i="4"/>
  <c r="AF447" i="4" s="1"/>
  <c r="BN538" i="4"/>
  <c r="BN539" i="4" s="1"/>
  <c r="DO213" i="4"/>
  <c r="BK214" i="4"/>
  <c r="DO214" i="4" s="1"/>
  <c r="CJ255" i="4"/>
  <c r="DT255" i="4" s="1"/>
  <c r="AG444" i="4"/>
  <c r="CT618" i="4"/>
  <c r="CT616" i="4"/>
  <c r="IK774" i="72" s="1"/>
  <c r="IK778" i="72" s="1"/>
  <c r="CY618" i="4"/>
  <c r="CZ613" i="4"/>
  <c r="DA613" i="4" s="1"/>
  <c r="DB614" i="4"/>
  <c r="CS677" i="4"/>
  <c r="CN677" i="4"/>
  <c r="CN118" i="4"/>
  <c r="AZ738" i="4"/>
  <c r="AZ122" i="4"/>
  <c r="BA122" i="4" s="1"/>
  <c r="DM122" i="4" s="1"/>
  <c r="BH863" i="4"/>
  <c r="BG871" i="4"/>
  <c r="BG797" i="4" s="1"/>
  <c r="AT960" i="4"/>
  <c r="AV963" i="4"/>
  <c r="DL963" i="4" s="1"/>
  <c r="Q444" i="4"/>
  <c r="V433" i="4"/>
  <c r="DT967" i="4"/>
  <c r="CK967" i="4"/>
  <c r="CL967" i="4" s="1"/>
  <c r="CM967" i="4" s="1"/>
  <c r="CN967" i="4" s="1"/>
  <c r="CO967" i="4" s="1"/>
  <c r="T686" i="4"/>
  <c r="CX851" i="4"/>
  <c r="CY851" i="4" s="1"/>
  <c r="AJ801" i="4"/>
  <c r="AJ803" i="4" s="1"/>
  <c r="AJ85" i="4"/>
  <c r="AJ98" i="4"/>
  <c r="CG977" i="4"/>
  <c r="CG47" i="4"/>
  <c r="CG35" i="4"/>
  <c r="CG34" i="4"/>
  <c r="CG139" i="4"/>
  <c r="BM47" i="4"/>
  <c r="BM35" i="4"/>
  <c r="BM34" i="4"/>
  <c r="BM139" i="4"/>
  <c r="BJ85" i="4"/>
  <c r="CJ691" i="4"/>
  <c r="DT691" i="4" s="1"/>
  <c r="DT31" i="4"/>
  <c r="DU77" i="4"/>
  <c r="CT77" i="4"/>
  <c r="AM691" i="4"/>
  <c r="AL258" i="4"/>
  <c r="DJ258" i="4" s="1"/>
  <c r="AL20" i="4"/>
  <c r="AL21" i="4" s="1"/>
  <c r="AL15" i="4"/>
  <c r="DJ15" i="4" s="1"/>
  <c r="DJ10" i="4"/>
  <c r="CA690" i="4"/>
  <c r="CA74" i="4"/>
  <c r="CA84" i="4" s="1"/>
  <c r="CA139" i="4"/>
  <c r="CA33" i="4"/>
  <c r="CA22" i="4"/>
  <c r="CA23" i="4" s="1"/>
  <c r="CA16" i="4"/>
  <c r="CE14" i="4"/>
  <c r="DU893" i="4"/>
  <c r="DA41" i="4"/>
  <c r="DX41" i="4"/>
  <c r="CZ80" i="4"/>
  <c r="DX80" i="4" s="1"/>
  <c r="Z404" i="4"/>
  <c r="Z4" i="4"/>
  <c r="FP367" i="9" s="1"/>
  <c r="AA4" i="4"/>
  <c r="FQ367" i="9" s="1"/>
  <c r="DI163" i="4"/>
  <c r="AG164" i="4"/>
  <c r="DI164" i="4" s="1"/>
  <c r="CQ84" i="4"/>
  <c r="CQ164" i="4"/>
  <c r="CF384" i="4"/>
  <c r="CF379" i="4"/>
  <c r="CJ379" i="4" s="1"/>
  <c r="DK183" i="4"/>
  <c r="AQ196" i="4"/>
  <c r="DK196" i="4" s="1"/>
  <c r="AQ188" i="4"/>
  <c r="AQ189" i="4" s="1"/>
  <c r="DK189" i="4" s="1"/>
  <c r="DO526" i="4"/>
  <c r="BK530" i="4"/>
  <c r="DO530" i="4" s="1"/>
  <c r="BL530" i="4"/>
  <c r="CJ164" i="4"/>
  <c r="DT164" i="4" s="1"/>
  <c r="DT163" i="4"/>
  <c r="CK164" i="4"/>
  <c r="BK172" i="4"/>
  <c r="DO172" i="4" s="1"/>
  <c r="DA171" i="4"/>
  <c r="C9" i="43"/>
  <c r="H9" i="43" s="1"/>
  <c r="CZ11" i="4"/>
  <c r="DX11" i="4" s="1"/>
  <c r="DX26" i="4"/>
  <c r="CH251" i="4"/>
  <c r="CH243" i="4"/>
  <c r="DA346" i="4"/>
  <c r="DX343" i="4"/>
  <c r="CZ237" i="4"/>
  <c r="BA417" i="4"/>
  <c r="DM417" i="4" s="1"/>
  <c r="DM431" i="4"/>
  <c r="W436" i="4"/>
  <c r="BC139" i="4"/>
  <c r="O20" i="4"/>
  <c r="O14" i="4"/>
  <c r="AY98" i="4"/>
  <c r="AY85" i="4"/>
  <c r="CC23" i="4"/>
  <c r="CH85" i="4"/>
  <c r="CM84" i="4"/>
  <c r="CM85" i="4" s="1"/>
  <c r="AD637" i="4"/>
  <c r="AD639" i="4" s="1"/>
  <c r="AD51" i="4"/>
  <c r="AD50" i="4"/>
  <c r="AI801" i="4"/>
  <c r="AI803" i="4" s="1"/>
  <c r="AI98" i="4"/>
  <c r="AI85" i="4"/>
  <c r="AZ23" i="4"/>
  <c r="AR34" i="4"/>
  <c r="AR47" i="4"/>
  <c r="AM634" i="4"/>
  <c r="AM690" i="4"/>
  <c r="AM74" i="4"/>
  <c r="AM84" i="4" s="1"/>
  <c r="AM139" i="4"/>
  <c r="AM33" i="4"/>
  <c r="AR35" i="4" s="1"/>
  <c r="AM22" i="4"/>
  <c r="AM23" i="4" s="1"/>
  <c r="AM16" i="4"/>
  <c r="AQ14" i="4"/>
  <c r="AV16" i="4" s="1"/>
  <c r="DL16" i="4" s="1"/>
  <c r="BL258" i="4"/>
  <c r="CF21" i="4"/>
  <c r="AE932" i="4"/>
  <c r="AG932" i="4" s="1"/>
  <c r="DI932" i="4" s="1"/>
  <c r="AE930" i="4"/>
  <c r="AE915" i="4"/>
  <c r="AE913" i="4"/>
  <c r="AE898" i="4"/>
  <c r="AE896" i="4"/>
  <c r="AG896" i="4" s="1"/>
  <c r="DI896" i="4" s="1"/>
  <c r="AE894" i="4"/>
  <c r="AG894" i="4" s="1"/>
  <c r="DI894" i="4" s="1"/>
  <c r="AE895" i="4"/>
  <c r="AG895" i="4" s="1"/>
  <c r="DI895" i="4" s="1"/>
  <c r="AE897" i="4"/>
  <c r="AG897" i="4" s="1"/>
  <c r="DI897" i="4" s="1"/>
  <c r="AE893" i="4"/>
  <c r="AG893" i="4" s="1"/>
  <c r="AE691" i="4"/>
  <c r="DF4" i="4"/>
  <c r="P930" i="4"/>
  <c r="P898" i="4"/>
  <c r="P873" i="4"/>
  <c r="P912" i="4" s="1"/>
  <c r="O932" i="4"/>
  <c r="O896" i="4"/>
  <c r="R896" i="4" s="1"/>
  <c r="DF896" i="4" s="1"/>
  <c r="O897" i="4"/>
  <c r="R897" i="4" s="1"/>
  <c r="DF897" i="4" s="1"/>
  <c r="Q930" i="4"/>
  <c r="Q896" i="4"/>
  <c r="Q893" i="4"/>
  <c r="P931" i="4"/>
  <c r="O931" i="4"/>
  <c r="P913" i="4"/>
  <c r="Q913" i="4"/>
  <c r="P915" i="4"/>
  <c r="P896" i="4"/>
  <c r="O930" i="4"/>
  <c r="O894" i="4"/>
  <c r="R894" i="4" s="1"/>
  <c r="DF894" i="4" s="1"/>
  <c r="O893" i="4"/>
  <c r="R893" i="4" s="1"/>
  <c r="Q915" i="4"/>
  <c r="Q894" i="4"/>
  <c r="N931" i="4"/>
  <c r="P933" i="4"/>
  <c r="P897" i="4"/>
  <c r="P894" i="4"/>
  <c r="O915" i="4"/>
  <c r="O873" i="4"/>
  <c r="O912" i="4" s="1"/>
  <c r="Q933" i="4"/>
  <c r="Q897" i="4"/>
  <c r="Q898" i="4"/>
  <c r="P932" i="4"/>
  <c r="P895" i="4"/>
  <c r="P893" i="4"/>
  <c r="O933" i="4"/>
  <c r="O898" i="4"/>
  <c r="O895" i="4"/>
  <c r="Q932" i="4"/>
  <c r="Q895" i="4"/>
  <c r="Q873" i="4"/>
  <c r="Q912" i="4" s="1"/>
  <c r="Q931" i="4"/>
  <c r="N933" i="4"/>
  <c r="N898" i="4"/>
  <c r="N915" i="4"/>
  <c r="CE251" i="4"/>
  <c r="DS251" i="4" s="1"/>
  <c r="DS242" i="4"/>
  <c r="CX189" i="4"/>
  <c r="CX193" i="4"/>
  <c r="BZ181" i="4"/>
  <c r="DR181" i="4" s="1"/>
  <c r="AV164" i="4"/>
  <c r="DL164" i="4" s="1"/>
  <c r="DL163" i="4"/>
  <c r="AW164" i="4"/>
  <c r="AV196" i="4"/>
  <c r="DL196" i="4" s="1"/>
  <c r="DL183" i="4"/>
  <c r="AV188" i="4"/>
  <c r="AV189" i="4" s="1"/>
  <c r="DL189" i="4" s="1"/>
  <c r="BP251" i="4"/>
  <c r="DP251" i="4" s="1"/>
  <c r="DP242" i="4"/>
  <c r="BR504" i="4"/>
  <c r="BR446" i="4"/>
  <c r="BR444" i="4"/>
  <c r="BR494" i="4" s="1"/>
  <c r="DP487" i="4"/>
  <c r="CV384" i="4"/>
  <c r="CV232" i="4"/>
  <c r="DQ183" i="4"/>
  <c r="BU188" i="4"/>
  <c r="DM445" i="4"/>
  <c r="BB445" i="4"/>
  <c r="BZ172" i="4"/>
  <c r="DR172" i="4" s="1"/>
  <c r="AB255" i="4"/>
  <c r="DH255" i="4" s="1"/>
  <c r="BJ266" i="4"/>
  <c r="BO266" i="4"/>
  <c r="BJ258" i="4"/>
  <c r="AQ451" i="4"/>
  <c r="DK451" i="4" s="1"/>
  <c r="AP450" i="4"/>
  <c r="AP451" i="4" s="1"/>
  <c r="DK450" i="4"/>
  <c r="AN450" i="4"/>
  <c r="AN451" i="4" s="1"/>
  <c r="AM450" i="4"/>
  <c r="AM452" i="4" s="1"/>
  <c r="AO450" i="4"/>
  <c r="W504" i="4"/>
  <c r="CF677" i="4"/>
  <c r="CJ674" i="4"/>
  <c r="CF118" i="4"/>
  <c r="AY115" i="4"/>
  <c r="AZ703" i="4"/>
  <c r="CY709" i="4"/>
  <c r="DW709" i="4" s="1"/>
  <c r="BP678" i="4"/>
  <c r="DP678" i="4" s="1"/>
  <c r="BF645" i="4"/>
  <c r="DN645" i="4" s="1"/>
  <c r="BC668" i="4"/>
  <c r="BC661" i="4"/>
  <c r="BH668" i="4"/>
  <c r="BD664" i="4"/>
  <c r="BD670" i="4"/>
  <c r="CO703" i="4"/>
  <c r="DU703" i="4" s="1"/>
  <c r="DG675" i="4"/>
  <c r="W678" i="4"/>
  <c r="DG678" i="4" s="1"/>
  <c r="W118" i="4"/>
  <c r="DG118" i="4" s="1"/>
  <c r="AE722" i="4"/>
  <c r="AE724" i="4" s="1"/>
  <c r="AE726" i="4" s="1"/>
  <c r="AF717" i="4"/>
  <c r="AF722" i="4" s="1"/>
  <c r="AK738" i="4"/>
  <c r="AK122" i="4"/>
  <c r="AL122" i="4" s="1"/>
  <c r="DJ122" i="4" s="1"/>
  <c r="AK704" i="4"/>
  <c r="AK724" i="4" s="1"/>
  <c r="AK726" i="4" s="1"/>
  <c r="AL702" i="4"/>
  <c r="DA748" i="4"/>
  <c r="DY748" i="4" s="1"/>
  <c r="DX748" i="4"/>
  <c r="BJ759" i="4"/>
  <c r="BI685" i="4"/>
  <c r="BI686" i="4" s="1"/>
  <c r="BI765" i="4"/>
  <c r="BI140" i="4" s="1"/>
  <c r="Y942" i="4"/>
  <c r="Z754" i="4"/>
  <c r="CS839" i="4"/>
  <c r="CT839" i="4" s="1"/>
  <c r="DV760" i="4"/>
  <c r="CU760" i="4"/>
  <c r="CV760" i="4" s="1"/>
  <c r="CW760" i="4" s="1"/>
  <c r="CX760" i="4" s="1"/>
  <c r="CY760" i="4" s="1"/>
  <c r="DL798" i="4"/>
  <c r="AV800" i="4"/>
  <c r="AV773" i="4"/>
  <c r="CE717" i="4"/>
  <c r="BP527" i="4"/>
  <c r="DA188" i="4" l="1"/>
  <c r="FY368" i="9"/>
  <c r="AV492" i="51"/>
  <c r="FQ368" i="9"/>
  <c r="FO368" i="9" s="1"/>
  <c r="FO385" i="9" s="1"/>
  <c r="CQ743" i="49"/>
  <c r="CV162" i="4" s="1"/>
  <c r="CV163" i="4" s="1"/>
  <c r="CV164" i="4" s="1"/>
  <c r="CP1043" i="49"/>
  <c r="H5" i="9"/>
  <c r="M5" i="9"/>
  <c r="DA252" i="9"/>
  <c r="DA235" i="9"/>
  <c r="FV368" i="9"/>
  <c r="FY385" i="9"/>
  <c r="BA722" i="4"/>
  <c r="DM722" i="4" s="1"/>
  <c r="DM717" i="4"/>
  <c r="FM385" i="9"/>
  <c r="FK368" i="9"/>
  <c r="FK385" i="9" s="1"/>
  <c r="FJ368" i="9"/>
  <c r="FJ385" i="9" s="1"/>
  <c r="FK389" i="9" s="1"/>
  <c r="FL368" i="9"/>
  <c r="FL385" i="9" s="1"/>
  <c r="CX220" i="9"/>
  <c r="DY322" i="9"/>
  <c r="G20" i="55"/>
  <c r="Q20" i="55" s="1"/>
  <c r="Q19" i="55"/>
  <c r="DL711" i="4"/>
  <c r="AV659" i="4"/>
  <c r="DL659" i="4" s="1"/>
  <c r="DH707" i="4"/>
  <c r="AB675" i="4"/>
  <c r="AB714" i="4"/>
  <c r="DH714" i="4" s="1"/>
  <c r="AL491" i="51"/>
  <c r="AL494" i="51"/>
  <c r="DQ113" i="4"/>
  <c r="EE312" i="9"/>
  <c r="DD209" i="9"/>
  <c r="AV675" i="4"/>
  <c r="DL707" i="4"/>
  <c r="AV657" i="4"/>
  <c r="AV714" i="4"/>
  <c r="DL714" i="4" s="1"/>
  <c r="AV365" i="51"/>
  <c r="AV398" i="51" s="1"/>
  <c r="AV442" i="51"/>
  <c r="AV460" i="51" s="1"/>
  <c r="AK365" i="51"/>
  <c r="AK490" i="51"/>
  <c r="AK452" i="51"/>
  <c r="F22" i="59"/>
  <c r="F24" i="59" s="1"/>
  <c r="CO669" i="4"/>
  <c r="DU669" i="4" s="1"/>
  <c r="DT660" i="4"/>
  <c r="CJ669" i="4"/>
  <c r="DT669" i="4" s="1"/>
  <c r="CJ120" i="4"/>
  <c r="DT120" i="4" s="1"/>
  <c r="CD664" i="4"/>
  <c r="DO119" i="4"/>
  <c r="CX219" i="9"/>
  <c r="DY321" i="9"/>
  <c r="AU491" i="51"/>
  <c r="AU492" i="51"/>
  <c r="AU494" i="51"/>
  <c r="H20" i="55"/>
  <c r="H12" i="55"/>
  <c r="BO226" i="72"/>
  <c r="BO229" i="72"/>
  <c r="BO234" i="72" s="1"/>
  <c r="AQ427" i="51"/>
  <c r="AQ423" i="51"/>
  <c r="AQ425" i="51"/>
  <c r="AQ337" i="51"/>
  <c r="AQ335" i="51"/>
  <c r="AQ428" i="51"/>
  <c r="AQ338" i="51"/>
  <c r="AQ334" i="51"/>
  <c r="AQ336" i="51"/>
  <c r="AQ339" i="51"/>
  <c r="AQ430" i="51"/>
  <c r="AQ422" i="51"/>
  <c r="AQ341" i="51"/>
  <c r="AQ426" i="51"/>
  <c r="AQ424" i="51"/>
  <c r="AQ333" i="51"/>
  <c r="AQ361" i="51"/>
  <c r="AQ450" i="51"/>
  <c r="AQ363" i="51"/>
  <c r="AQ451" i="51"/>
  <c r="AQ449" i="51"/>
  <c r="AQ364" i="51"/>
  <c r="AQ448" i="51"/>
  <c r="AQ362" i="51"/>
  <c r="AP365" i="51"/>
  <c r="AP399" i="51" s="1"/>
  <c r="AP489" i="51"/>
  <c r="AM4" i="51"/>
  <c r="AN4" i="51"/>
  <c r="D22" i="59"/>
  <c r="CE669" i="4"/>
  <c r="DS669" i="4" s="1"/>
  <c r="DR660" i="4"/>
  <c r="BZ120" i="4"/>
  <c r="BZ669" i="4"/>
  <c r="DR669" i="4" s="1"/>
  <c r="CI667" i="4"/>
  <c r="CJ658" i="4"/>
  <c r="CI661" i="4"/>
  <c r="CI114" i="4"/>
  <c r="AV960" i="4"/>
  <c r="DL960" i="4" s="1"/>
  <c r="AL686" i="4"/>
  <c r="DJ686" i="4" s="1"/>
  <c r="BT410" i="4"/>
  <c r="BU410" i="4" s="1"/>
  <c r="DQ410" i="4" s="1"/>
  <c r="AR5" i="50"/>
  <c r="AR3" i="51"/>
  <c r="AG494" i="4"/>
  <c r="DI494" i="4" s="1"/>
  <c r="AB717" i="4"/>
  <c r="CO21" i="4"/>
  <c r="BZ661" i="4"/>
  <c r="DR661" i="4" s="1"/>
  <c r="R913" i="4"/>
  <c r="DF913" i="4" s="1"/>
  <c r="Q765" i="4"/>
  <c r="Q788" i="4" s="1"/>
  <c r="DW316" i="9"/>
  <c r="CV213" i="9"/>
  <c r="U915" i="4"/>
  <c r="D19" i="64"/>
  <c r="G11" i="64"/>
  <c r="AL452" i="51"/>
  <c r="AL489" i="51"/>
  <c r="AL487" i="51"/>
  <c r="M722" i="4"/>
  <c r="DE722" i="4" s="1"/>
  <c r="C3" i="72"/>
  <c r="C5" i="72" s="1"/>
  <c r="AW4" i="51"/>
  <c r="L9" i="71"/>
  <c r="R68" i="71"/>
  <c r="K9" i="71"/>
  <c r="K11" i="71" s="1"/>
  <c r="F9" i="71"/>
  <c r="C11" i="71"/>
  <c r="AU118" i="4"/>
  <c r="AU678" i="4"/>
  <c r="AZ678" i="4"/>
  <c r="AV452" i="51"/>
  <c r="AV494" i="51"/>
  <c r="AV464" i="51"/>
  <c r="AV491" i="51"/>
  <c r="AV466" i="51"/>
  <c r="BT674" i="4"/>
  <c r="BT657" i="4"/>
  <c r="BT678" i="4"/>
  <c r="BY678" i="4"/>
  <c r="G9" i="71"/>
  <c r="AK442" i="51"/>
  <c r="AK464" i="51" s="1"/>
  <c r="AK489" i="51"/>
  <c r="E21" i="59"/>
  <c r="E23" i="59" s="1"/>
  <c r="E25" i="59" s="1"/>
  <c r="N83" i="59" s="1"/>
  <c r="CE668" i="4"/>
  <c r="DS668" i="4" s="1"/>
  <c r="CJ668" i="4"/>
  <c r="DT668" i="4" s="1"/>
  <c r="DS659" i="4"/>
  <c r="BK132" i="9"/>
  <c r="BY669" i="4"/>
  <c r="BY120" i="4"/>
  <c r="CD669" i="4"/>
  <c r="BY661" i="4"/>
  <c r="BY664" i="4" s="1"/>
  <c r="AU452" i="51"/>
  <c r="AU489" i="51"/>
  <c r="D11" i="67"/>
  <c r="G9" i="67"/>
  <c r="AL60" i="9"/>
  <c r="AL62" i="9" s="1"/>
  <c r="AL64" i="9" s="1"/>
  <c r="AP452" i="51"/>
  <c r="AP401" i="51"/>
  <c r="AP400" i="51"/>
  <c r="AP486" i="51"/>
  <c r="AP353" i="51"/>
  <c r="AP378" i="51" s="1"/>
  <c r="AP487" i="51"/>
  <c r="AM6" i="50"/>
  <c r="AN6" i="50"/>
  <c r="AA24" i="9"/>
  <c r="AA26" i="9" s="1"/>
  <c r="AA28" i="9" s="1"/>
  <c r="O2" i="72"/>
  <c r="R898" i="4"/>
  <c r="DF898" i="4" s="1"/>
  <c r="R931" i="4"/>
  <c r="DF931" i="4" s="1"/>
  <c r="CA85" i="4"/>
  <c r="AV4" i="4"/>
  <c r="GF367" i="9"/>
  <c r="GG368" i="9" s="1"/>
  <c r="ED320" i="9"/>
  <c r="DC218" i="9"/>
  <c r="CE21" i="4"/>
  <c r="DQ719" i="4"/>
  <c r="O3" i="72"/>
  <c r="BP169" i="9"/>
  <c r="BP128" i="9"/>
  <c r="AH5" i="50"/>
  <c r="AH3" i="51"/>
  <c r="DY320" i="9"/>
  <c r="DY326" i="9" s="1"/>
  <c r="CX218" i="9"/>
  <c r="DK660" i="4"/>
  <c r="AQ120" i="4"/>
  <c r="DK120" i="4" s="1"/>
  <c r="AA118" i="4"/>
  <c r="AF678" i="4"/>
  <c r="AA678" i="4"/>
  <c r="AL365" i="51"/>
  <c r="AL375" i="51"/>
  <c r="AL486" i="51"/>
  <c r="AL353" i="51"/>
  <c r="AL395" i="51" s="1"/>
  <c r="AM58" i="9"/>
  <c r="AV401" i="51"/>
  <c r="AV400" i="51"/>
  <c r="AV490" i="51"/>
  <c r="AV463" i="51"/>
  <c r="AV488" i="51"/>
  <c r="AV465" i="51"/>
  <c r="D21" i="71"/>
  <c r="AK492" i="51"/>
  <c r="AK488" i="51"/>
  <c r="D9" i="73"/>
  <c r="G52" i="73"/>
  <c r="F9" i="69"/>
  <c r="L9" i="69"/>
  <c r="K9" i="69"/>
  <c r="K11" i="69" s="1"/>
  <c r="C11" i="69"/>
  <c r="DN657" i="4"/>
  <c r="BF666" i="4"/>
  <c r="DN666" i="4" s="1"/>
  <c r="D11" i="69"/>
  <c r="G9" i="69"/>
  <c r="AR58" i="9"/>
  <c r="AR67" i="9" s="1"/>
  <c r="D19" i="63"/>
  <c r="G11" i="63"/>
  <c r="BK123" i="9"/>
  <c r="D11" i="81"/>
  <c r="G9" i="81"/>
  <c r="AU365" i="51"/>
  <c r="AU398" i="51" s="1"/>
  <c r="AU488" i="51"/>
  <c r="AU487" i="51"/>
  <c r="C11" i="73"/>
  <c r="L11" i="73" s="1"/>
  <c r="L9" i="73"/>
  <c r="R68" i="73"/>
  <c r="K9" i="73"/>
  <c r="K11" i="73" s="1"/>
  <c r="G3" i="9"/>
  <c r="G6" i="9" s="1"/>
  <c r="BP225" i="72"/>
  <c r="BP177" i="72"/>
  <c r="BR175" i="72"/>
  <c r="BP224" i="72"/>
  <c r="BP221" i="72"/>
  <c r="BP222" i="72"/>
  <c r="BQ175" i="72"/>
  <c r="BP223" i="72"/>
  <c r="AP492" i="51"/>
  <c r="AP381" i="51"/>
  <c r="AP442" i="51"/>
  <c r="AP463" i="51" s="1"/>
  <c r="AP488" i="51"/>
  <c r="AP377" i="51"/>
  <c r="L9" i="67"/>
  <c r="K9" i="67"/>
  <c r="K11" i="67" s="1"/>
  <c r="C11" i="67"/>
  <c r="F9" i="67"/>
  <c r="BU675" i="4"/>
  <c r="AQ58" i="9"/>
  <c r="AQ67" i="9" s="1"/>
  <c r="BU189" i="4"/>
  <c r="DQ189" i="4" s="1"/>
  <c r="R932" i="4"/>
  <c r="DF932" i="4" s="1"/>
  <c r="BR465" i="4"/>
  <c r="AG915" i="4"/>
  <c r="DI915" i="4" s="1"/>
  <c r="CQ85" i="4"/>
  <c r="AG931" i="4"/>
  <c r="DI931" i="4" s="1"/>
  <c r="DY70" i="4"/>
  <c r="M19" i="68"/>
  <c r="M20" i="68" s="1"/>
  <c r="AG933" i="4"/>
  <c r="DI933" i="4" s="1"/>
  <c r="CI405" i="8"/>
  <c r="AK110" i="48"/>
  <c r="CY246" i="9"/>
  <c r="DC245" i="9"/>
  <c r="DB246" i="9"/>
  <c r="R765" i="4"/>
  <c r="DX320" i="9"/>
  <c r="DX326" i="9" s="1"/>
  <c r="CW218" i="9"/>
  <c r="B26" i="53"/>
  <c r="B29" i="53" s="1"/>
  <c r="M29" i="53" s="1"/>
  <c r="B7" i="53"/>
  <c r="B10" i="53" s="1"/>
  <c r="P761" i="4"/>
  <c r="DW320" i="9"/>
  <c r="DW326" i="9" s="1"/>
  <c r="CV218" i="9"/>
  <c r="AX5" i="50"/>
  <c r="AX6" i="50" s="1"/>
  <c r="AY6" i="50" s="1"/>
  <c r="AX3" i="51"/>
  <c r="AX4" i="51" s="1"/>
  <c r="BK173" i="9"/>
  <c r="BK162" i="9"/>
  <c r="CC670" i="4"/>
  <c r="BX664" i="4"/>
  <c r="BZ664" i="4" s="1"/>
  <c r="DR664" i="4" s="1"/>
  <c r="AL490" i="51"/>
  <c r="AL379" i="51"/>
  <c r="AL381" i="51"/>
  <c r="AL492" i="51"/>
  <c r="AL442" i="51"/>
  <c r="AL480" i="51" s="1"/>
  <c r="AL377" i="51"/>
  <c r="AL488" i="51"/>
  <c r="CS114" i="4"/>
  <c r="AP58" i="9"/>
  <c r="AP67" i="9" s="1"/>
  <c r="D19" i="66"/>
  <c r="G11" i="66"/>
  <c r="FR368" i="9"/>
  <c r="FR385" i="9" s="1"/>
  <c r="FU385" i="9"/>
  <c r="AV399" i="51"/>
  <c r="AV489" i="51"/>
  <c r="AV486" i="51"/>
  <c r="AV353" i="51"/>
  <c r="AV380" i="51" s="1"/>
  <c r="AV487" i="51"/>
  <c r="AV462" i="51"/>
  <c r="BS21" i="4"/>
  <c r="BX21" i="4"/>
  <c r="U33" i="4"/>
  <c r="U47" i="4" s="1"/>
  <c r="U634" i="4"/>
  <c r="U22" i="4"/>
  <c r="Z23" i="4" s="1"/>
  <c r="AK486" i="51"/>
  <c r="AK353" i="51"/>
  <c r="AK378" i="51" s="1"/>
  <c r="AK494" i="51"/>
  <c r="AK491" i="51"/>
  <c r="AK380" i="51"/>
  <c r="AK487" i="51"/>
  <c r="K5" i="9"/>
  <c r="L5" i="9"/>
  <c r="DN675" i="4"/>
  <c r="BF678" i="4"/>
  <c r="DN678" i="4" s="1"/>
  <c r="BF118" i="4"/>
  <c r="DN118" i="4" s="1"/>
  <c r="N5" i="72"/>
  <c r="CX221" i="9"/>
  <c r="DO121" i="4"/>
  <c r="R70" i="81"/>
  <c r="K9" i="81"/>
  <c r="K11" i="81" s="1"/>
  <c r="C11" i="81"/>
  <c r="L9" i="81"/>
  <c r="F9" i="81"/>
  <c r="F11" i="81" s="1"/>
  <c r="AU400" i="51"/>
  <c r="AU353" i="51"/>
  <c r="AU383" i="51" s="1"/>
  <c r="AU486" i="51"/>
  <c r="AU442" i="51"/>
  <c r="AU462" i="51" s="1"/>
  <c r="AU490" i="51"/>
  <c r="AG118" i="4"/>
  <c r="DI118" i="4" s="1"/>
  <c r="DI675" i="4"/>
  <c r="CZ246" i="9"/>
  <c r="AP491" i="51"/>
  <c r="AP380" i="51"/>
  <c r="AP494" i="51"/>
  <c r="AP383" i="51"/>
  <c r="AP490" i="51"/>
  <c r="AP379" i="51"/>
  <c r="BX666" i="4"/>
  <c r="BS666" i="4"/>
  <c r="BS661" i="4"/>
  <c r="BS677" i="4"/>
  <c r="BS118" i="4"/>
  <c r="BX677" i="4"/>
  <c r="CW57" i="4"/>
  <c r="CW56" i="4" s="1"/>
  <c r="CW58" i="4" s="1"/>
  <c r="CV718" i="4"/>
  <c r="CV961" i="4" s="1"/>
  <c r="DA702" i="4"/>
  <c r="F10" i="45"/>
  <c r="G10" i="45" s="1"/>
  <c r="E12" i="45"/>
  <c r="F29" i="45"/>
  <c r="G29" i="45" s="1"/>
  <c r="E31" i="45"/>
  <c r="DW193" i="4"/>
  <c r="CU125" i="4"/>
  <c r="CU961" i="4"/>
  <c r="BK539" i="4"/>
  <c r="DO539" i="4" s="1"/>
  <c r="CS585" i="49"/>
  <c r="CR726" i="49"/>
  <c r="CT583" i="49"/>
  <c r="CS724" i="49"/>
  <c r="CS587" i="49"/>
  <c r="CS601" i="49" s="1"/>
  <c r="CR729" i="49"/>
  <c r="EV507" i="72"/>
  <c r="EU507" i="72" s="1"/>
  <c r="IV810" i="72"/>
  <c r="IV813" i="72" s="1"/>
  <c r="IV820" i="72" s="1"/>
  <c r="IV822" i="72" s="1"/>
  <c r="CP265" i="4"/>
  <c r="CP256" i="4"/>
  <c r="CP263" i="4"/>
  <c r="CP997" i="49"/>
  <c r="CP907" i="49"/>
  <c r="CP1045" i="49"/>
  <c r="CT584" i="49"/>
  <c r="CS684" i="49"/>
  <c r="CS828" i="49" s="1"/>
  <c r="CS725" i="49"/>
  <c r="CT725" i="49" s="1"/>
  <c r="BK538" i="4"/>
  <c r="DO538" i="4" s="1"/>
  <c r="CT586" i="49"/>
  <c r="CS727" i="49"/>
  <c r="CT727" i="49" s="1"/>
  <c r="CR601" i="49"/>
  <c r="CK1042" i="49"/>
  <c r="CK1043" i="49"/>
  <c r="CK1044" i="49"/>
  <c r="CP850" i="49"/>
  <c r="CP851" i="49" s="1"/>
  <c r="CP854" i="49"/>
  <c r="CQ159" i="4"/>
  <c r="CR160" i="4"/>
  <c r="CQ160" i="4"/>
  <c r="CQ165" i="4"/>
  <c r="CR159" i="4"/>
  <c r="EV506" i="72"/>
  <c r="EU506" i="72" s="1"/>
  <c r="IT810" i="72"/>
  <c r="IT813" i="72" s="1"/>
  <c r="IT820" i="72" s="1"/>
  <c r="IT822" i="72" s="1"/>
  <c r="CU360" i="4"/>
  <c r="CU262" i="4"/>
  <c r="BQ456" i="51"/>
  <c r="BX368" i="4"/>
  <c r="BS448" i="51"/>
  <c r="BT406" i="51"/>
  <c r="BS22" i="51"/>
  <c r="BS407" i="51"/>
  <c r="BR23" i="51"/>
  <c r="BR363" i="51"/>
  <c r="BS363" i="51" s="1"/>
  <c r="BO33" i="51"/>
  <c r="BQ365" i="51"/>
  <c r="BQ398" i="51" s="1"/>
  <c r="BO49" i="51"/>
  <c r="BO44" i="51"/>
  <c r="BO48" i="51"/>
  <c r="BO46" i="51"/>
  <c r="BS364" i="51"/>
  <c r="BO47" i="51"/>
  <c r="BP372" i="51"/>
  <c r="BW326" i="4"/>
  <c r="BW327" i="4" s="1"/>
  <c r="BP401" i="51"/>
  <c r="BP399" i="51"/>
  <c r="BR450" i="51"/>
  <c r="BS450" i="51" s="1"/>
  <c r="BT408" i="51"/>
  <c r="BT451" i="51" s="1"/>
  <c r="BS24" i="51"/>
  <c r="BS405" i="51"/>
  <c r="BR409" i="51"/>
  <c r="BR21" i="51"/>
  <c r="BR361" i="51"/>
  <c r="BP28" i="51"/>
  <c r="BP30" i="51"/>
  <c r="BP32" i="51"/>
  <c r="BR40" i="51"/>
  <c r="BQ37" i="51"/>
  <c r="BQ25" i="51"/>
  <c r="BQ29" i="51" s="1"/>
  <c r="BR38" i="51"/>
  <c r="BS362" i="51"/>
  <c r="BQ39" i="51"/>
  <c r="BV327" i="4"/>
  <c r="BP41" i="51"/>
  <c r="BP47" i="51" s="1"/>
  <c r="BI146" i="4"/>
  <c r="BI145" i="4"/>
  <c r="DU659" i="4"/>
  <c r="CO668" i="4"/>
  <c r="DU668" i="4" s="1"/>
  <c r="CT668" i="4"/>
  <c r="DV668" i="4" s="1"/>
  <c r="CO661" i="4"/>
  <c r="L637" i="4"/>
  <c r="L639" i="4" s="1"/>
  <c r="L51" i="4"/>
  <c r="L50" i="4"/>
  <c r="AM453" i="4"/>
  <c r="DF893" i="4"/>
  <c r="DX758" i="4"/>
  <c r="DI893" i="4"/>
  <c r="DL4" i="4"/>
  <c r="AR913" i="4"/>
  <c r="AR894" i="4"/>
  <c r="AR897" i="4"/>
  <c r="AR914" i="4"/>
  <c r="AR898" i="4"/>
  <c r="AR625" i="4"/>
  <c r="AR899" i="4"/>
  <c r="AR902" i="4"/>
  <c r="AR915" i="4"/>
  <c r="AR901" i="4"/>
  <c r="AR895" i="4"/>
  <c r="AR896" i="4"/>
  <c r="AS913" i="4"/>
  <c r="AS898" i="4"/>
  <c r="AS895" i="4"/>
  <c r="AV691" i="4"/>
  <c r="DL691" i="4" s="1"/>
  <c r="AS902" i="4"/>
  <c r="AS894" i="4"/>
  <c r="AV203" i="4"/>
  <c r="AS914" i="4"/>
  <c r="AS901" i="4"/>
  <c r="AS896" i="4"/>
  <c r="AS625" i="4"/>
  <c r="AV690" i="4"/>
  <c r="DL690" i="4" s="1"/>
  <c r="AS915" i="4"/>
  <c r="AS897" i="4"/>
  <c r="AS899" i="4"/>
  <c r="AV206" i="4"/>
  <c r="DX769" i="4"/>
  <c r="DQ437" i="4"/>
  <c r="BU434" i="4"/>
  <c r="DQ434" i="4" s="1"/>
  <c r="AR453" i="4"/>
  <c r="CT667" i="4"/>
  <c r="DV667" i="4" s="1"/>
  <c r="DV658" i="4"/>
  <c r="BO799" i="4"/>
  <c r="BO751" i="4"/>
  <c r="BO765" i="4" s="1"/>
  <c r="DS717" i="4"/>
  <c r="CE722" i="4"/>
  <c r="DS722" i="4" s="1"/>
  <c r="DV839" i="4"/>
  <c r="CU839" i="4"/>
  <c r="AZ115" i="4"/>
  <c r="BA115" i="4" s="1"/>
  <c r="DM115" i="4" s="1"/>
  <c r="AZ704" i="4"/>
  <c r="AZ724" i="4" s="1"/>
  <c r="AZ726" i="4" s="1"/>
  <c r="BA703" i="4"/>
  <c r="BR522" i="4"/>
  <c r="BR506" i="4"/>
  <c r="Q651" i="4"/>
  <c r="Q934" i="4"/>
  <c r="AM98" i="4"/>
  <c r="AM85" i="4"/>
  <c r="AD112" i="4"/>
  <c r="AD117" i="4" s="1"/>
  <c r="AD54" i="4"/>
  <c r="AD60" i="4"/>
  <c r="AD59" i="4"/>
  <c r="AD966" i="4" s="1"/>
  <c r="AD53" i="4"/>
  <c r="AD65" i="4" s="1"/>
  <c r="AD67" i="4" s="1"/>
  <c r="AD964" i="4"/>
  <c r="AY99" i="4"/>
  <c r="AY100" i="4"/>
  <c r="AY104" i="4"/>
  <c r="DG436" i="4"/>
  <c r="W441" i="4"/>
  <c r="AA897" i="4"/>
  <c r="AA691" i="4"/>
  <c r="AA690" i="4"/>
  <c r="CA47" i="4"/>
  <c r="CA34" i="4"/>
  <c r="CA35" i="4"/>
  <c r="AJ100" i="4"/>
  <c r="AJ104" i="4"/>
  <c r="AJ99" i="4"/>
  <c r="DI444" i="4"/>
  <c r="AG445" i="4"/>
  <c r="DI445" i="4" s="1"/>
  <c r="CT868" i="4"/>
  <c r="DS796" i="4"/>
  <c r="CE798" i="4"/>
  <c r="DW616" i="4"/>
  <c r="CY619" i="4"/>
  <c r="BT531" i="4"/>
  <c r="AT637" i="4"/>
  <c r="AT638" i="4" s="1"/>
  <c r="AT51" i="4"/>
  <c r="AT50" i="4"/>
  <c r="CO961" i="4"/>
  <c r="DU961" i="4" s="1"/>
  <c r="DU718" i="4"/>
  <c r="CO125" i="4"/>
  <c r="DU125" i="4" s="1"/>
  <c r="CO722" i="4"/>
  <c r="DU722" i="4" s="1"/>
  <c r="CU754" i="4"/>
  <c r="CV754" i="4" s="1"/>
  <c r="CW754" i="4" s="1"/>
  <c r="CX754" i="4" s="1"/>
  <c r="CY754" i="4" s="1"/>
  <c r="DV754" i="4"/>
  <c r="DN659" i="4"/>
  <c r="BF668" i="4"/>
  <c r="DN668" i="4" s="1"/>
  <c r="BK668" i="4"/>
  <c r="DO668" i="4" s="1"/>
  <c r="BF661" i="4"/>
  <c r="CE664" i="4"/>
  <c r="DS664" i="4" s="1"/>
  <c r="DS661" i="4"/>
  <c r="J438" i="4"/>
  <c r="J436" i="4" s="1"/>
  <c r="J444" i="4" s="1"/>
  <c r="I438" i="4"/>
  <c r="AK899" i="4"/>
  <c r="AK691" i="4"/>
  <c r="AK690" i="4"/>
  <c r="BL34" i="4"/>
  <c r="BL47" i="4"/>
  <c r="BL35" i="4"/>
  <c r="AO637" i="4"/>
  <c r="AO638" i="4" s="1"/>
  <c r="AO51" i="4"/>
  <c r="AO50" i="4"/>
  <c r="BK670" i="4"/>
  <c r="DO670" i="4" s="1"/>
  <c r="DO661" i="4"/>
  <c r="BE637" i="4"/>
  <c r="BE638" i="4" s="1"/>
  <c r="BE148" i="4" s="1"/>
  <c r="BE50" i="4"/>
  <c r="BE51" i="4"/>
  <c r="AF686" i="4"/>
  <c r="AE686" i="4"/>
  <c r="AG686" i="4" s="1"/>
  <c r="DI686" i="4" s="1"/>
  <c r="DF343" i="4"/>
  <c r="R346" i="4"/>
  <c r="R234" i="4"/>
  <c r="R242" i="4"/>
  <c r="BU266" i="4"/>
  <c r="DQ266" i="4" s="1"/>
  <c r="DQ263" i="4"/>
  <c r="BX361" i="4"/>
  <c r="BW354" i="4"/>
  <c r="N912" i="4"/>
  <c r="R912" i="4" s="1"/>
  <c r="DF912" i="4" s="1"/>
  <c r="R873" i="4"/>
  <c r="DF873" i="4" s="1"/>
  <c r="BP21" i="4"/>
  <c r="BK139" i="4"/>
  <c r="BK74" i="4"/>
  <c r="DO14" i="4"/>
  <c r="BK33" i="4"/>
  <c r="AT51" i="9" s="1"/>
  <c r="AT57" i="9" s="1"/>
  <c r="AT58" i="9" s="1"/>
  <c r="BK22" i="4"/>
  <c r="BK16" i="4"/>
  <c r="DO16" i="4" s="1"/>
  <c r="BK634" i="4"/>
  <c r="DO634" i="4" s="1"/>
  <c r="X112" i="4"/>
  <c r="X117" i="4" s="1"/>
  <c r="X60" i="4"/>
  <c r="X59" i="4"/>
  <c r="X966" i="4" s="1"/>
  <c r="X53" i="4"/>
  <c r="X964" i="4"/>
  <c r="CU960" i="4"/>
  <c r="CV778" i="4"/>
  <c r="CU842" i="4"/>
  <c r="DV842" i="4"/>
  <c r="BP724" i="4"/>
  <c r="AU452" i="4"/>
  <c r="AU453" i="4" s="1"/>
  <c r="BQ494" i="4"/>
  <c r="BU444" i="4"/>
  <c r="DQ444" i="4" s="1"/>
  <c r="BQ455" i="4"/>
  <c r="BQ27" i="4" s="1"/>
  <c r="BU446" i="4"/>
  <c r="CJ378" i="4"/>
  <c r="CJ384" i="4" s="1"/>
  <c r="DT384" i="4" s="1"/>
  <c r="DT374" i="4"/>
  <c r="CJ228" i="4"/>
  <c r="X494" i="4"/>
  <c r="AB494" i="4" s="1"/>
  <c r="DH494" i="4" s="1"/>
  <c r="AB444" i="4"/>
  <c r="X446" i="4"/>
  <c r="AL441" i="4"/>
  <c r="DJ436" i="4"/>
  <c r="AL433" i="4"/>
  <c r="DJ433" i="4" s="1"/>
  <c r="CB637" i="4"/>
  <c r="CB638" i="4" s="1"/>
  <c r="CB51" i="4"/>
  <c r="CB50" i="4"/>
  <c r="CZ853" i="4"/>
  <c r="CZ911" i="4" s="1"/>
  <c r="CV843" i="4"/>
  <c r="DA864" i="4"/>
  <c r="DA915" i="4" s="1"/>
  <c r="DY915" i="4" s="1"/>
  <c r="DX864" i="4"/>
  <c r="DI704" i="4"/>
  <c r="BU256" i="4"/>
  <c r="DQ256" i="4" s="1"/>
  <c r="BU246" i="4"/>
  <c r="DQ246" i="4" s="1"/>
  <c r="DQ228" i="4"/>
  <c r="AP452" i="4"/>
  <c r="AP453" i="4" s="1"/>
  <c r="BF538" i="4"/>
  <c r="DN538" i="4" s="1"/>
  <c r="DG444" i="4"/>
  <c r="W445" i="4"/>
  <c r="DG445" i="4" s="1"/>
  <c r="BO494" i="4"/>
  <c r="BP444" i="4"/>
  <c r="DT838" i="4"/>
  <c r="CK838" i="4"/>
  <c r="CP773" i="4"/>
  <c r="CP786" i="4" s="1"/>
  <c r="CJ243" i="4"/>
  <c r="CJ251" i="4"/>
  <c r="DT251" i="4" s="1"/>
  <c r="DT242" i="4"/>
  <c r="BZ74" i="4"/>
  <c r="BZ22" i="4"/>
  <c r="BZ139" i="4"/>
  <c r="DR14" i="4"/>
  <c r="BZ33" i="4"/>
  <c r="D6" i="59" s="1"/>
  <c r="D9" i="59" s="1"/>
  <c r="D10" i="59" s="1"/>
  <c r="D11" i="59" s="1"/>
  <c r="AK637" i="4"/>
  <c r="AK638" i="4" s="1"/>
  <c r="AK51" i="4"/>
  <c r="AK50" i="4"/>
  <c r="DQ718" i="4"/>
  <c r="BU125" i="4"/>
  <c r="DQ125" i="4" s="1"/>
  <c r="AN760" i="4"/>
  <c r="AM765" i="4"/>
  <c r="BE668" i="4"/>
  <c r="BJ668" i="4"/>
  <c r="BE661" i="4"/>
  <c r="CP677" i="4"/>
  <c r="CK677" i="4"/>
  <c r="CO674" i="4"/>
  <c r="CK118" i="4"/>
  <c r="AG496" i="4"/>
  <c r="AV442" i="4"/>
  <c r="DL442" i="4" s="1"/>
  <c r="DL441" i="4"/>
  <c r="BA442" i="4"/>
  <c r="DM442" i="4" s="1"/>
  <c r="CO266" i="4"/>
  <c r="DU266" i="4" s="1"/>
  <c r="DU263" i="4"/>
  <c r="CN690" i="4"/>
  <c r="CN139" i="4"/>
  <c r="CN74" i="4"/>
  <c r="CN84" i="4" s="1"/>
  <c r="CN85" i="4" s="1"/>
  <c r="CN33" i="4"/>
  <c r="CN22" i="4"/>
  <c r="CN23" i="4" s="1"/>
  <c r="CN16" i="4"/>
  <c r="R895" i="4"/>
  <c r="DF895" i="4" s="1"/>
  <c r="DA76" i="4"/>
  <c r="DY76" i="4" s="1"/>
  <c r="DY42" i="4"/>
  <c r="CJ21" i="4"/>
  <c r="AR801" i="4"/>
  <c r="AR100" i="4"/>
  <c r="AR104" i="4"/>
  <c r="AR136" i="4"/>
  <c r="AR99" i="4"/>
  <c r="AZ637" i="4"/>
  <c r="AZ638" i="4" s="1"/>
  <c r="AZ50" i="4"/>
  <c r="AZ51" i="4"/>
  <c r="CC637" i="4"/>
  <c r="CC638" i="4" s="1"/>
  <c r="CC51" i="4"/>
  <c r="CC50" i="4"/>
  <c r="I112" i="4"/>
  <c r="I117" i="4" s="1"/>
  <c r="I60" i="4"/>
  <c r="I59" i="4"/>
  <c r="I966" i="4" s="1"/>
  <c r="I53" i="4"/>
  <c r="I964" i="4"/>
  <c r="AN691" i="4"/>
  <c r="AN690" i="4"/>
  <c r="P504" i="4"/>
  <c r="P444" i="4"/>
  <c r="R436" i="4"/>
  <c r="DF436" i="4" s="1"/>
  <c r="U433" i="4"/>
  <c r="CX675" i="4"/>
  <c r="AG446" i="4"/>
  <c r="DN448" i="4"/>
  <c r="BF449" i="4"/>
  <c r="DN449" i="4" s="1"/>
  <c r="BF466" i="4"/>
  <c r="DN466" i="4" s="1"/>
  <c r="W266" i="4"/>
  <c r="DG266" i="4" s="1"/>
  <c r="DG263" i="4"/>
  <c r="CN661" i="4"/>
  <c r="BF704" i="4"/>
  <c r="DN698" i="4"/>
  <c r="BF113" i="4"/>
  <c r="DN113" i="4" s="1"/>
  <c r="DH263" i="4"/>
  <c r="AB266" i="4"/>
  <c r="DH266" i="4" s="1"/>
  <c r="AB258" i="4"/>
  <c r="DH258" i="4" s="1"/>
  <c r="BB23" i="4"/>
  <c r="CI637" i="4"/>
  <c r="CI638" i="4" s="1"/>
  <c r="CI50" i="4"/>
  <c r="CI51" i="4"/>
  <c r="AX637" i="4"/>
  <c r="AX638" i="4" s="1"/>
  <c r="AX51" i="4"/>
  <c r="AX50" i="4"/>
  <c r="Y112" i="4"/>
  <c r="Y117" i="4" s="1"/>
  <c r="Y60" i="4"/>
  <c r="Y59" i="4"/>
  <c r="Y966" i="4" s="1"/>
  <c r="Y54" i="4"/>
  <c r="Y53" i="4"/>
  <c r="Y65" i="4" s="1"/>
  <c r="Y67" i="4" s="1"/>
  <c r="Y964" i="4"/>
  <c r="DY702" i="4"/>
  <c r="DA122" i="4"/>
  <c r="DY122" i="4" s="1"/>
  <c r="BO840" i="4"/>
  <c r="BP840" i="4" s="1"/>
  <c r="W164" i="4"/>
  <c r="DG164" i="4" s="1"/>
  <c r="DG163" i="4"/>
  <c r="X164" i="4"/>
  <c r="CY81" i="4"/>
  <c r="DV81" i="4"/>
  <c r="BA539" i="4"/>
  <c r="DM539" i="4" s="1"/>
  <c r="AY800" i="4"/>
  <c r="AY773" i="4"/>
  <c r="AY786" i="4" s="1"/>
  <c r="BK189" i="4"/>
  <c r="DO189" i="4" s="1"/>
  <c r="DV840" i="4"/>
  <c r="CU840" i="4"/>
  <c r="BJ116" i="4"/>
  <c r="BJ704" i="4"/>
  <c r="BA266" i="4"/>
  <c r="DM266" i="4" s="1"/>
  <c r="DM263" i="4"/>
  <c r="BZ266" i="4"/>
  <c r="DR266" i="4" s="1"/>
  <c r="U651" i="4"/>
  <c r="M917" i="4"/>
  <c r="DE917" i="4" s="1"/>
  <c r="DL773" i="4"/>
  <c r="AV786" i="4"/>
  <c r="DL786" i="4" s="1"/>
  <c r="DW760" i="4"/>
  <c r="CZ760" i="4"/>
  <c r="W511" i="4"/>
  <c r="DG511" i="4" s="1"/>
  <c r="DG504" i="4"/>
  <c r="W506" i="4"/>
  <c r="R915" i="4"/>
  <c r="DF915" i="4" s="1"/>
  <c r="O917" i="4"/>
  <c r="O927" i="4" s="1"/>
  <c r="AI99" i="4"/>
  <c r="AI100" i="4"/>
  <c r="AI104" i="4"/>
  <c r="Z895" i="4"/>
  <c r="Z691" i="4"/>
  <c r="AB4" i="4"/>
  <c r="AA915" i="4" s="1"/>
  <c r="Z690" i="4"/>
  <c r="CE690" i="4"/>
  <c r="DS690" i="4" s="1"/>
  <c r="CE139" i="4"/>
  <c r="DS14" i="4"/>
  <c r="CE33" i="4"/>
  <c r="E6" i="59" s="1"/>
  <c r="E9" i="59" s="1"/>
  <c r="CE74" i="4"/>
  <c r="CE22" i="4"/>
  <c r="CE16" i="4"/>
  <c r="DS16" i="4" s="1"/>
  <c r="BM637" i="4"/>
  <c r="BM638" i="4" s="1"/>
  <c r="BM51" i="4"/>
  <c r="BM50" i="4"/>
  <c r="DV616" i="4"/>
  <c r="CT619" i="4"/>
  <c r="CZ708" i="4"/>
  <c r="DX708" i="4" s="1"/>
  <c r="DA660" i="4"/>
  <c r="DX660" i="4"/>
  <c r="CZ120" i="4"/>
  <c r="DX120" i="4" s="1"/>
  <c r="DQ409" i="4"/>
  <c r="BU527" i="4"/>
  <c r="BI637" i="4"/>
  <c r="BI638" i="4" s="1"/>
  <c r="BI51" i="4"/>
  <c r="BI50" i="4"/>
  <c r="DX848" i="4"/>
  <c r="DA848" i="4"/>
  <c r="DY848" i="4" s="1"/>
  <c r="K438" i="4"/>
  <c r="K436" i="4" s="1"/>
  <c r="K444" i="4" s="1"/>
  <c r="AM538" i="4"/>
  <c r="AQ538" i="4" s="1"/>
  <c r="DK538" i="4" s="1"/>
  <c r="AQ537" i="4"/>
  <c r="DK537" i="4" s="1"/>
  <c r="DK441" i="4"/>
  <c r="AQ442" i="4"/>
  <c r="DK442" i="4" s="1"/>
  <c r="AU913" i="4"/>
  <c r="AU914" i="4"/>
  <c r="AU915" i="4"/>
  <c r="AU902" i="4"/>
  <c r="AU903" i="4"/>
  <c r="AU901" i="4"/>
  <c r="AU899" i="4"/>
  <c r="AU896" i="4"/>
  <c r="AU900" i="4"/>
  <c r="AV900" i="4" s="1"/>
  <c r="DL900" i="4" s="1"/>
  <c r="AU898" i="4"/>
  <c r="AU895" i="4"/>
  <c r="AU893" i="4"/>
  <c r="AU897" i="4"/>
  <c r="AU625" i="4"/>
  <c r="AU691" i="4"/>
  <c r="AU690" i="4"/>
  <c r="BX637" i="4"/>
  <c r="BX638" i="4" s="1"/>
  <c r="BX51" i="4"/>
  <c r="BX50" i="4"/>
  <c r="AA112" i="4"/>
  <c r="AA117" i="4" s="1"/>
  <c r="AA60" i="4"/>
  <c r="AA59" i="4"/>
  <c r="AA966" i="4" s="1"/>
  <c r="AA54" i="4"/>
  <c r="AA53" i="4"/>
  <c r="AA65" i="4" s="1"/>
  <c r="AA67" i="4" s="1"/>
  <c r="AA964" i="4"/>
  <c r="CP690" i="4"/>
  <c r="CP74" i="4"/>
  <c r="CP84" i="4" s="1"/>
  <c r="CP85" i="4" s="1"/>
  <c r="CP22" i="4"/>
  <c r="CP23" i="4" s="1"/>
  <c r="CP139" i="4"/>
  <c r="CP16" i="4"/>
  <c r="CP33" i="4"/>
  <c r="CQ139" i="4"/>
  <c r="J112" i="4"/>
  <c r="J117" i="4" s="1"/>
  <c r="J60" i="4"/>
  <c r="J59" i="4"/>
  <c r="J966" i="4" s="1"/>
  <c r="J53" i="4"/>
  <c r="J65" i="4" s="1"/>
  <c r="J67" i="4" s="1"/>
  <c r="J964" i="4"/>
  <c r="BP634" i="4"/>
  <c r="DP634" i="4" s="1"/>
  <c r="BP139" i="4"/>
  <c r="BP74" i="4"/>
  <c r="BP33" i="4"/>
  <c r="BP16" i="4"/>
  <c r="DP16" i="4" s="1"/>
  <c r="BP22" i="4"/>
  <c r="DP14" i="4"/>
  <c r="BL85" i="4"/>
  <c r="AR23" i="4"/>
  <c r="AU637" i="4"/>
  <c r="AU638" i="4" s="1"/>
  <c r="AU50" i="4"/>
  <c r="AU51" i="4"/>
  <c r="BN637" i="4"/>
  <c r="BN638" i="4" s="1"/>
  <c r="BN51" i="4"/>
  <c r="BN50" i="4"/>
  <c r="R788" i="4"/>
  <c r="DF788" i="4" s="1"/>
  <c r="DF765" i="4"/>
  <c r="AL801" i="4"/>
  <c r="AK803" i="4"/>
  <c r="W963" i="4"/>
  <c r="DG963" i="4" s="1"/>
  <c r="DV795" i="4"/>
  <c r="CT164" i="4"/>
  <c r="DV164" i="4" s="1"/>
  <c r="DV163" i="4"/>
  <c r="AS801" i="4"/>
  <c r="AS104" i="4"/>
  <c r="AS100" i="4"/>
  <c r="AS99" i="4"/>
  <c r="AS136" i="4"/>
  <c r="W788" i="4"/>
  <c r="DG788" i="4" s="1"/>
  <c r="DG765" i="4"/>
  <c r="CX246" i="4"/>
  <c r="CX8" i="4"/>
  <c r="DA818" i="4"/>
  <c r="DY818" i="4" s="1"/>
  <c r="DY95" i="4"/>
  <c r="AI637" i="4"/>
  <c r="AI638" i="4" s="1"/>
  <c r="AI625" i="4" s="1"/>
  <c r="AI626" i="4" s="1"/>
  <c r="AI51" i="4"/>
  <c r="AI50" i="4"/>
  <c r="BG85" i="4"/>
  <c r="BN466" i="4"/>
  <c r="BN452" i="4"/>
  <c r="BP452" i="4" s="1"/>
  <c r="AB637" i="4"/>
  <c r="DH637" i="4" s="1"/>
  <c r="X639" i="4"/>
  <c r="AB639" i="4" s="1"/>
  <c r="DA817" i="4"/>
  <c r="DY817" i="4" s="1"/>
  <c r="DY698" i="4"/>
  <c r="DA113" i="4"/>
  <c r="DY113" i="4" s="1"/>
  <c r="BP214" i="4"/>
  <c r="DP214" i="4" s="1"/>
  <c r="DP213" i="4"/>
  <c r="BK266" i="4"/>
  <c r="DO266" i="4" s="1"/>
  <c r="DO263" i="4"/>
  <c r="BQ465" i="4"/>
  <c r="CO256" i="4"/>
  <c r="DU256" i="4" s="1"/>
  <c r="DU228" i="4"/>
  <c r="AJ494" i="4"/>
  <c r="AL494" i="4" s="1"/>
  <c r="DJ494" i="4" s="1"/>
  <c r="AJ446" i="4"/>
  <c r="AJ447" i="4" s="1"/>
  <c r="CU838" i="4"/>
  <c r="DV838" i="4"/>
  <c r="BJ722" i="4"/>
  <c r="BK717" i="4"/>
  <c r="CK932" i="4"/>
  <c r="CO932" i="4" s="1"/>
  <c r="DU932" i="4" s="1"/>
  <c r="DT682" i="4"/>
  <c r="V917" i="4"/>
  <c r="V927" i="4" s="1"/>
  <c r="V934" i="4"/>
  <c r="V651" i="4"/>
  <c r="DR163" i="4"/>
  <c r="BZ164" i="4"/>
  <c r="DR164" i="4" s="1"/>
  <c r="CO806" i="4"/>
  <c r="DU798" i="4"/>
  <c r="CO773" i="4"/>
  <c r="BJ670" i="4"/>
  <c r="BJ664" i="4"/>
  <c r="BB539" i="4"/>
  <c r="BF539" i="4" s="1"/>
  <c r="DN539" i="4" s="1"/>
  <c r="BO538" i="4"/>
  <c r="BP538" i="4" s="1"/>
  <c r="DP538" i="4" s="1"/>
  <c r="CF977" i="4"/>
  <c r="CF34" i="4"/>
  <c r="CF47" i="4"/>
  <c r="CF35" i="4"/>
  <c r="DT893" i="4"/>
  <c r="S447" i="4"/>
  <c r="BP465" i="4"/>
  <c r="DP465" i="4" s="1"/>
  <c r="BP433" i="4"/>
  <c r="DP433" i="4" s="1"/>
  <c r="DP436" i="4"/>
  <c r="AB189" i="4"/>
  <c r="DH189" i="4" s="1"/>
  <c r="AJ637" i="4"/>
  <c r="AJ638" i="4" s="1"/>
  <c r="AJ625" i="4" s="1"/>
  <c r="AJ626" i="4" s="1"/>
  <c r="AJ51" i="4"/>
  <c r="AJ50" i="4"/>
  <c r="CG860" i="4"/>
  <c r="CG796" i="4" s="1"/>
  <c r="CG798" i="4" s="1"/>
  <c r="B23" i="68" s="1"/>
  <c r="CH837" i="4"/>
  <c r="BP513" i="4"/>
  <c r="DP513" i="4" s="1"/>
  <c r="DP439" i="4"/>
  <c r="CE164" i="4"/>
  <c r="DS164" i="4" s="1"/>
  <c r="DS163" i="4"/>
  <c r="CF164" i="4"/>
  <c r="AD934" i="4"/>
  <c r="BU21" i="4"/>
  <c r="BD100" i="4"/>
  <c r="BD104" i="4"/>
  <c r="BD105" i="4" s="1"/>
  <c r="BD99" i="4"/>
  <c r="CT673" i="4"/>
  <c r="CT114" i="4" s="1"/>
  <c r="CP675" i="4"/>
  <c r="CU673" i="4"/>
  <c r="CU114" i="4" s="1"/>
  <c r="AG499" i="4"/>
  <c r="DI499" i="4" s="1"/>
  <c r="DI498" i="4"/>
  <c r="AO452" i="4"/>
  <c r="AO453" i="4" s="1"/>
  <c r="AG266" i="4"/>
  <c r="DI266" i="4" s="1"/>
  <c r="DI263" i="4"/>
  <c r="AL266" i="4"/>
  <c r="DJ266" i="4" s="1"/>
  <c r="AF917" i="4"/>
  <c r="AF927" i="4" s="1"/>
  <c r="AF934" i="4"/>
  <c r="AF651" i="4"/>
  <c r="AR85" i="4"/>
  <c r="AV47" i="4"/>
  <c r="DL33" i="4"/>
  <c r="AV34" i="4"/>
  <c r="CH637" i="4"/>
  <c r="CH638" i="4" s="1"/>
  <c r="CH51" i="4"/>
  <c r="CH50" i="4"/>
  <c r="BH637" i="4"/>
  <c r="BH638" i="4" s="1"/>
  <c r="BH51" i="4"/>
  <c r="BH50" i="4"/>
  <c r="I639" i="4"/>
  <c r="M639" i="4" s="1"/>
  <c r="M637" i="4"/>
  <c r="DE637" i="4" s="1"/>
  <c r="AH23" i="4"/>
  <c r="BJ637" i="4"/>
  <c r="BJ638" i="4" s="1"/>
  <c r="BJ50" i="4"/>
  <c r="BJ51" i="4"/>
  <c r="AU722" i="4"/>
  <c r="AU724" i="4" s="1"/>
  <c r="AU726" i="4" s="1"/>
  <c r="AV717" i="4"/>
  <c r="CS678" i="4"/>
  <c r="CS657" i="4"/>
  <c r="DN795" i="4"/>
  <c r="CR796" i="4"/>
  <c r="CS837" i="4"/>
  <c r="BO670" i="4"/>
  <c r="AS452" i="4"/>
  <c r="AS453" i="4" s="1"/>
  <c r="DJ163" i="4"/>
  <c r="AL164" i="4"/>
  <c r="DJ164" i="4" s="1"/>
  <c r="BB47" i="4"/>
  <c r="BB35" i="4"/>
  <c r="BB98" i="4"/>
  <c r="BC801" i="4" s="1"/>
  <c r="BB85" i="4"/>
  <c r="AT801" i="4"/>
  <c r="AT136" i="4"/>
  <c r="AT99" i="4"/>
  <c r="AT104" i="4"/>
  <c r="AT100" i="4"/>
  <c r="BB839" i="4"/>
  <c r="DM839" i="4"/>
  <c r="BK164" i="4"/>
  <c r="DO164" i="4" s="1"/>
  <c r="DO163" i="4"/>
  <c r="BL164" i="4"/>
  <c r="DE28" i="4"/>
  <c r="M31" i="4"/>
  <c r="S637" i="4"/>
  <c r="S51" i="4"/>
  <c r="S50" i="4"/>
  <c r="BD637" i="4"/>
  <c r="BD638" i="4" s="1"/>
  <c r="BD148" i="4" s="1"/>
  <c r="BD51" i="4"/>
  <c r="BD50" i="4"/>
  <c r="BA538" i="4"/>
  <c r="DM538" i="4" s="1"/>
  <c r="BT452" i="4"/>
  <c r="BT455" i="4" s="1"/>
  <c r="BT27" i="4" s="1"/>
  <c r="BT31" i="4" s="1"/>
  <c r="AN637" i="4"/>
  <c r="AN638" i="4" s="1"/>
  <c r="AN51" i="4"/>
  <c r="AN50" i="4"/>
  <c r="DF761" i="4"/>
  <c r="R685" i="4"/>
  <c r="DA833" i="4"/>
  <c r="DY833" i="4" s="1"/>
  <c r="DX833" i="4"/>
  <c r="DL730" i="4"/>
  <c r="AV739" i="4"/>
  <c r="DL739" i="4" s="1"/>
  <c r="BI677" i="4"/>
  <c r="BK674" i="4"/>
  <c r="BN677" i="4"/>
  <c r="T494" i="4"/>
  <c r="T446" i="4"/>
  <c r="T447" i="4" s="1"/>
  <c r="BK701" i="4"/>
  <c r="BF164" i="4"/>
  <c r="DN164" i="4" s="1"/>
  <c r="DN163" i="4"/>
  <c r="U893" i="4"/>
  <c r="U895" i="4"/>
  <c r="BD691" i="4"/>
  <c r="BD690" i="4"/>
  <c r="AQ446" i="4"/>
  <c r="AG717" i="4"/>
  <c r="BC670" i="4"/>
  <c r="BC664" i="4"/>
  <c r="BH670" i="4"/>
  <c r="BB444" i="4"/>
  <c r="BC445" i="4"/>
  <c r="CV246" i="4"/>
  <c r="CV8" i="4"/>
  <c r="Q917" i="4"/>
  <c r="Q927" i="4" s="1"/>
  <c r="P934" i="4"/>
  <c r="P651" i="4"/>
  <c r="AM47" i="4"/>
  <c r="AM35" i="4"/>
  <c r="AM34" i="4"/>
  <c r="O634" i="4"/>
  <c r="O690" i="4"/>
  <c r="O33" i="4"/>
  <c r="O47" i="4" s="1"/>
  <c r="O22" i="4"/>
  <c r="DY343" i="4"/>
  <c r="DA237" i="4"/>
  <c r="CZ193" i="4"/>
  <c r="D30" i="45" s="1"/>
  <c r="CZ189" i="4"/>
  <c r="DX189" i="4" s="1"/>
  <c r="DX183" i="4"/>
  <c r="DY41" i="4"/>
  <c r="DA80" i="4"/>
  <c r="DY80" i="4" s="1"/>
  <c r="CY77" i="4"/>
  <c r="DV77" i="4"/>
  <c r="CG637" i="4"/>
  <c r="CG638" i="4" s="1"/>
  <c r="CG51" i="4"/>
  <c r="CG50" i="4"/>
  <c r="Q494" i="4"/>
  <c r="Q446" i="4"/>
  <c r="Q447" i="4" s="1"/>
  <c r="BI863" i="4"/>
  <c r="BH871" i="4"/>
  <c r="BH797" i="4" s="1"/>
  <c r="P942" i="4"/>
  <c r="CP932" i="4"/>
  <c r="CQ682" i="4"/>
  <c r="BA453" i="4"/>
  <c r="DM453" i="4" s="1"/>
  <c r="DM452" i="4"/>
  <c r="BA455" i="4"/>
  <c r="AG898" i="4"/>
  <c r="DI898" i="4" s="1"/>
  <c r="BJ774" i="4"/>
  <c r="BK774" i="4" s="1"/>
  <c r="CE961" i="4"/>
  <c r="DS961" i="4" s="1"/>
  <c r="DS718" i="4"/>
  <c r="CE125" i="4"/>
  <c r="DS125" i="4" s="1"/>
  <c r="AQ532" i="4"/>
  <c r="DK531" i="4"/>
  <c r="N60" i="4"/>
  <c r="N59" i="4"/>
  <c r="N966" i="4" s="1"/>
  <c r="N54" i="4"/>
  <c r="N53" i="4"/>
  <c r="N112" i="4"/>
  <c r="N117" i="4" s="1"/>
  <c r="N964" i="4"/>
  <c r="CO690" i="4"/>
  <c r="DU690" i="4" s="1"/>
  <c r="CO74" i="4"/>
  <c r="CO139" i="4"/>
  <c r="CO16" i="4"/>
  <c r="DU16" i="4" s="1"/>
  <c r="DU14" i="4"/>
  <c r="CO22" i="4"/>
  <c r="CO33" i="4"/>
  <c r="AW35" i="4"/>
  <c r="AW47" i="4"/>
  <c r="AW34" i="4"/>
  <c r="AY404" i="4"/>
  <c r="AY4" i="4"/>
  <c r="AZ4" i="4"/>
  <c r="GK367" i="9" s="1"/>
  <c r="BK21" i="4"/>
  <c r="CB882" i="4"/>
  <c r="CA932" i="4"/>
  <c r="DV844" i="4"/>
  <c r="CU844" i="4"/>
  <c r="DM718" i="4"/>
  <c r="BA125" i="4"/>
  <c r="DM125" i="4" s="1"/>
  <c r="AB21" i="4"/>
  <c r="W960" i="4"/>
  <c r="DG960" i="4" s="1"/>
  <c r="DS713" i="4"/>
  <c r="CE714" i="4"/>
  <c r="DS714" i="4" s="1"/>
  <c r="BA661" i="4"/>
  <c r="DM661" i="4" s="1"/>
  <c r="AU801" i="4"/>
  <c r="AU136" i="4"/>
  <c r="AU99" i="4"/>
  <c r="AU100" i="4"/>
  <c r="AU104" i="4"/>
  <c r="AY637" i="4"/>
  <c r="AY638" i="4" s="1"/>
  <c r="AY51" i="4"/>
  <c r="AY50" i="4"/>
  <c r="BC99" i="4"/>
  <c r="BC100" i="4"/>
  <c r="BC104" i="4"/>
  <c r="BT469" i="4"/>
  <c r="BT473" i="4" s="1"/>
  <c r="BT482" i="4" s="1"/>
  <c r="BT442" i="4"/>
  <c r="BT13" i="4"/>
  <c r="BT14" i="4" s="1"/>
  <c r="V60" i="4"/>
  <c r="V59" i="4"/>
  <c r="V966" i="4" s="1"/>
  <c r="V112" i="4"/>
  <c r="V117" i="4" s="1"/>
  <c r="V53" i="4"/>
  <c r="V65" i="4" s="1"/>
  <c r="V67" i="4" s="1"/>
  <c r="V964" i="4"/>
  <c r="AO801" i="4"/>
  <c r="AO104" i="4"/>
  <c r="AO100" i="4"/>
  <c r="AO99" i="4"/>
  <c r="AO136" i="4"/>
  <c r="BK760" i="4"/>
  <c r="BZ211" i="4"/>
  <c r="DQ211" i="4"/>
  <c r="BU213" i="4"/>
  <c r="BA189" i="4"/>
  <c r="DM189" i="4" s="1"/>
  <c r="Z931" i="4"/>
  <c r="Z685" i="4"/>
  <c r="AA931" i="4"/>
  <c r="AV738" i="4"/>
  <c r="DL738" i="4" s="1"/>
  <c r="DL702" i="4"/>
  <c r="AV704" i="4"/>
  <c r="BU504" i="4"/>
  <c r="BQ522" i="4"/>
  <c r="AC637" i="4"/>
  <c r="AC51" i="4"/>
  <c r="AC50" i="4"/>
  <c r="BE104" i="4"/>
  <c r="BE100" i="4"/>
  <c r="BE99" i="4"/>
  <c r="CS870" i="4"/>
  <c r="CR797" i="4"/>
  <c r="DX846" i="4"/>
  <c r="DA846" i="4"/>
  <c r="DY846" i="4" s="1"/>
  <c r="CW759" i="4"/>
  <c r="CV685" i="4"/>
  <c r="CV686" i="4" s="1"/>
  <c r="CN668" i="4"/>
  <c r="CS668" i="4"/>
  <c r="Q9" i="4"/>
  <c r="Q10" i="4" s="1"/>
  <c r="V248" i="4"/>
  <c r="CJ690" i="4"/>
  <c r="DT690" i="4" s="1"/>
  <c r="CJ139" i="4"/>
  <c r="CJ74" i="4"/>
  <c r="CJ33" i="4"/>
  <c r="F6" i="59" s="1"/>
  <c r="F9" i="59" s="1"/>
  <c r="CJ16" i="4"/>
  <c r="DT16" i="4" s="1"/>
  <c r="DT14" i="4"/>
  <c r="CJ22" i="4"/>
  <c r="CF85" i="4"/>
  <c r="W494" i="4"/>
  <c r="DG494" i="4" s="1"/>
  <c r="CP942" i="4"/>
  <c r="CQ942" i="4" s="1"/>
  <c r="CR942" i="4" s="1"/>
  <c r="CS942" i="4" s="1"/>
  <c r="CT942" i="4" s="1"/>
  <c r="DU942" i="4"/>
  <c r="DO120" i="4"/>
  <c r="CF773" i="4"/>
  <c r="CF786" i="4" s="1"/>
  <c r="CF243" i="4"/>
  <c r="CB23" i="4"/>
  <c r="BU258" i="4"/>
  <c r="DQ258" i="4" s="1"/>
  <c r="CR774" i="4"/>
  <c r="R722" i="4"/>
  <c r="DF717" i="4"/>
  <c r="CO676" i="4"/>
  <c r="DU676" i="4" s="1"/>
  <c r="DU673" i="4"/>
  <c r="DU114" i="4"/>
  <c r="CW246" i="4"/>
  <c r="CW8" i="4"/>
  <c r="CY378" i="4"/>
  <c r="CZ364" i="4" s="1"/>
  <c r="CU232" i="4"/>
  <c r="CW159" i="4"/>
  <c r="CX158" i="4"/>
  <c r="CW160" i="4"/>
  <c r="AV84" i="4"/>
  <c r="D4" i="9" s="1"/>
  <c r="DL74" i="4"/>
  <c r="AH34" i="4"/>
  <c r="AH47" i="4"/>
  <c r="AH35" i="4"/>
  <c r="AO404" i="4"/>
  <c r="AP4" i="4"/>
  <c r="GC367" i="9" s="1"/>
  <c r="AO4" i="4"/>
  <c r="GB367" i="9" s="1"/>
  <c r="AB47" i="4"/>
  <c r="DH33" i="4"/>
  <c r="BF189" i="4"/>
  <c r="DN189" i="4" s="1"/>
  <c r="CL773" i="4"/>
  <c r="CL786" i="4" s="1"/>
  <c r="CQ798" i="4"/>
  <c r="BI670" i="4"/>
  <c r="BI664" i="4"/>
  <c r="BK664" i="4" s="1"/>
  <c r="DO664" i="4" s="1"/>
  <c r="BN670" i="4"/>
  <c r="BE724" i="4"/>
  <c r="BE726" i="4" s="1"/>
  <c r="BZ384" i="4"/>
  <c r="DR384" i="4" s="1"/>
  <c r="BT283" i="4"/>
  <c r="BU283" i="4" s="1"/>
  <c r="DQ283" i="4" s="1"/>
  <c r="BT284" i="4"/>
  <c r="BU282" i="4"/>
  <c r="BT526" i="4"/>
  <c r="BT530" i="4" s="1"/>
  <c r="AC934" i="4"/>
  <c r="AG930" i="4"/>
  <c r="AC651" i="4"/>
  <c r="BZ21" i="4"/>
  <c r="BF634" i="4"/>
  <c r="DN634" i="4" s="1"/>
  <c r="BF74" i="4"/>
  <c r="BF22" i="4"/>
  <c r="BF16" i="4"/>
  <c r="DN16" i="4" s="1"/>
  <c r="BF139" i="4"/>
  <c r="DN14" i="4"/>
  <c r="BF33" i="4"/>
  <c r="AS51" i="9" s="1"/>
  <c r="AS57" i="9" s="1"/>
  <c r="AS58" i="9" s="1"/>
  <c r="CD637" i="4"/>
  <c r="CD638" i="4" s="1"/>
  <c r="CD50" i="4"/>
  <c r="CD51" i="4"/>
  <c r="AX99" i="4"/>
  <c r="AX104" i="4"/>
  <c r="AX105" i="4" s="1"/>
  <c r="AX100" i="4"/>
  <c r="BF838" i="4"/>
  <c r="CW675" i="4"/>
  <c r="DW847" i="4"/>
  <c r="CZ847" i="4"/>
  <c r="CZ905" i="4" s="1"/>
  <c r="DX905" i="4" s="1"/>
  <c r="BZ961" i="4"/>
  <c r="DR961" i="4" s="1"/>
  <c r="DR718" i="4"/>
  <c r="BZ125" i="4"/>
  <c r="DR125" i="4" s="1"/>
  <c r="BU722" i="4"/>
  <c r="DQ722" i="4" s="1"/>
  <c r="DQ717" i="4"/>
  <c r="BU596" i="4"/>
  <c r="CY248" i="4"/>
  <c r="DW248" i="4" s="1"/>
  <c r="CY257" i="4"/>
  <c r="DW257" i="4" s="1"/>
  <c r="DW234" i="4"/>
  <c r="T112" i="4"/>
  <c r="T117" i="4" s="1"/>
  <c r="T60" i="4"/>
  <c r="T59" i="4"/>
  <c r="T966" i="4" s="1"/>
  <c r="T53" i="4"/>
  <c r="T65" i="4" s="1"/>
  <c r="T67" i="4" s="1"/>
  <c r="T964" i="4"/>
  <c r="AQ444" i="4"/>
  <c r="CV675" i="4"/>
  <c r="BP164" i="4"/>
  <c r="DP164" i="4" s="1"/>
  <c r="P763" i="4"/>
  <c r="O761" i="4" s="1"/>
  <c r="BI833" i="4"/>
  <c r="BH834" i="4"/>
  <c r="BH795" i="4" s="1"/>
  <c r="DT263" i="4"/>
  <c r="CJ266" i="4"/>
  <c r="DT266" i="4" s="1"/>
  <c r="CW712" i="4"/>
  <c r="AE942" i="4"/>
  <c r="P10" i="4"/>
  <c r="R9" i="4"/>
  <c r="DF9" i="4" s="1"/>
  <c r="DG4" i="4"/>
  <c r="S895" i="4"/>
  <c r="S893" i="4"/>
  <c r="T915" i="4"/>
  <c r="T898" i="4"/>
  <c r="T873" i="4"/>
  <c r="T912" i="4" s="1"/>
  <c r="S933" i="4"/>
  <c r="T913" i="4"/>
  <c r="S913" i="4"/>
  <c r="S894" i="4"/>
  <c r="S896" i="4"/>
  <c r="W896" i="4" s="1"/>
  <c r="DG896" i="4" s="1"/>
  <c r="T930" i="4"/>
  <c r="T896" i="4"/>
  <c r="T931" i="4"/>
  <c r="S931" i="4"/>
  <c r="W931" i="4" s="1"/>
  <c r="DG931" i="4" s="1"/>
  <c r="S932" i="4"/>
  <c r="W932" i="4" s="1"/>
  <c r="DG932" i="4" s="1"/>
  <c r="S915" i="4"/>
  <c r="S898" i="4"/>
  <c r="T933" i="4"/>
  <c r="T897" i="4"/>
  <c r="T894" i="4"/>
  <c r="S930" i="4"/>
  <c r="S897" i="4"/>
  <c r="S873" i="4"/>
  <c r="T932" i="4"/>
  <c r="T895" i="4"/>
  <c r="T893" i="4"/>
  <c r="X873" i="4"/>
  <c r="W691" i="4"/>
  <c r="DG691" i="4" s="1"/>
  <c r="U898" i="4"/>
  <c r="U897" i="4"/>
  <c r="U933" i="4"/>
  <c r="U934" i="4" s="1"/>
  <c r="AN452" i="4"/>
  <c r="AN453" i="4" s="1"/>
  <c r="AQ724" i="4"/>
  <c r="DK704" i="4"/>
  <c r="AL444" i="4"/>
  <c r="DP527" i="4"/>
  <c r="BP531" i="4"/>
  <c r="BQ531" i="4"/>
  <c r="DL800" i="4"/>
  <c r="Z942" i="4"/>
  <c r="BK759" i="4"/>
  <c r="BJ685" i="4"/>
  <c r="BJ686" i="4" s="1"/>
  <c r="BK686" i="4" s="1"/>
  <c r="DO686" i="4" s="1"/>
  <c r="BJ765" i="4"/>
  <c r="BJ140" i="4" s="1"/>
  <c r="AL738" i="4"/>
  <c r="DJ738" i="4" s="1"/>
  <c r="DJ702" i="4"/>
  <c r="AL704" i="4"/>
  <c r="DT674" i="4"/>
  <c r="CJ677" i="4"/>
  <c r="DT677" i="4" s="1"/>
  <c r="CJ118" i="4"/>
  <c r="DT118" i="4" s="1"/>
  <c r="R933" i="4"/>
  <c r="DF933" i="4" s="1"/>
  <c r="P917" i="4"/>
  <c r="P927" i="4" s="1"/>
  <c r="O934" i="4"/>
  <c r="O651" i="4"/>
  <c r="AE917" i="4"/>
  <c r="AE927" i="4" s="1"/>
  <c r="AE934" i="4"/>
  <c r="AE651" i="4"/>
  <c r="AQ634" i="4"/>
  <c r="DK634" i="4" s="1"/>
  <c r="AQ139" i="4"/>
  <c r="AQ74" i="4"/>
  <c r="DK14" i="4"/>
  <c r="AQ33" i="4"/>
  <c r="AQ22" i="4"/>
  <c r="AQ16" i="4"/>
  <c r="DK16" i="4" s="1"/>
  <c r="AR637" i="4"/>
  <c r="AR51" i="4"/>
  <c r="AR50" i="4"/>
  <c r="O21" i="4"/>
  <c r="T21" i="4"/>
  <c r="CZ248" i="4"/>
  <c r="DX248" i="4" s="1"/>
  <c r="DX234" i="4"/>
  <c r="CZ257" i="4"/>
  <c r="DX257" i="4" s="1"/>
  <c r="CZ9" i="4"/>
  <c r="DX9" i="4" s="1"/>
  <c r="DA11" i="4"/>
  <c r="DY11" i="4" s="1"/>
  <c r="CZ851" i="4"/>
  <c r="CZ909" i="4" s="1"/>
  <c r="CP967" i="4"/>
  <c r="CQ967" i="4" s="1"/>
  <c r="CR967" i="4" s="1"/>
  <c r="CS967" i="4" s="1"/>
  <c r="CT967" i="4" s="1"/>
  <c r="DU967" i="4"/>
  <c r="W724" i="4"/>
  <c r="DG704" i="4"/>
  <c r="CZ616" i="4"/>
  <c r="DA612" i="4"/>
  <c r="DX612" i="4"/>
  <c r="CE49" i="4"/>
  <c r="DS49" i="4" s="1"/>
  <c r="AG913" i="4"/>
  <c r="DI913" i="4" s="1"/>
  <c r="Z60" i="4"/>
  <c r="Z59" i="4"/>
  <c r="Z966" i="4" s="1"/>
  <c r="Z53" i="4"/>
  <c r="Z65" i="4" s="1"/>
  <c r="Z67" i="4" s="1"/>
  <c r="Z112" i="4"/>
  <c r="Z117" i="4" s="1"/>
  <c r="Z964" i="4"/>
  <c r="DX702" i="4"/>
  <c r="CZ122" i="4"/>
  <c r="DX122" i="4" s="1"/>
  <c r="CZ906" i="4"/>
  <c r="DX906" i="4" s="1"/>
  <c r="N639" i="4"/>
  <c r="CK977" i="4"/>
  <c r="CK35" i="4"/>
  <c r="CK47" i="4"/>
  <c r="CK34" i="4"/>
  <c r="BA634" i="4"/>
  <c r="DM634" i="4" s="1"/>
  <c r="BA74" i="4"/>
  <c r="BA139" i="4"/>
  <c r="BA22" i="4"/>
  <c r="BA23" i="4" s="1"/>
  <c r="BA16" i="4"/>
  <c r="DM16" i="4" s="1"/>
  <c r="DM14" i="4"/>
  <c r="BA33" i="4"/>
  <c r="AN51" i="9" s="1"/>
  <c r="AN57" i="9" s="1"/>
  <c r="AN58" i="9" s="1"/>
  <c r="AW85" i="4"/>
  <c r="AW98" i="4"/>
  <c r="AY801" i="4" s="1"/>
  <c r="AY802" i="4" s="1"/>
  <c r="BO637" i="4"/>
  <c r="BO638" i="4" s="1"/>
  <c r="BO50" i="4"/>
  <c r="BO51" i="4"/>
  <c r="AT915" i="4"/>
  <c r="AT913" i="4"/>
  <c r="AT914" i="4"/>
  <c r="AT901" i="4"/>
  <c r="AT902" i="4"/>
  <c r="AT903" i="4"/>
  <c r="AV903" i="4" s="1"/>
  <c r="DL903" i="4" s="1"/>
  <c r="AT899" i="4"/>
  <c r="AT898" i="4"/>
  <c r="AT897" i="4"/>
  <c r="AT896" i="4"/>
  <c r="AT895" i="4"/>
  <c r="AT894" i="4"/>
  <c r="AU894" i="4"/>
  <c r="AT893" i="4"/>
  <c r="AT625" i="4"/>
  <c r="AT691" i="4"/>
  <c r="AT690" i="4"/>
  <c r="AJ930" i="4"/>
  <c r="AJ691" i="4"/>
  <c r="AJ690" i="4"/>
  <c r="CQ637" i="4"/>
  <c r="CQ638" i="4" s="1"/>
  <c r="CQ50" i="4"/>
  <c r="DA850" i="4"/>
  <c r="DA908" i="4" s="1"/>
  <c r="DW845" i="4"/>
  <c r="CZ845" i="4"/>
  <c r="AK104" i="4"/>
  <c r="AK100" i="4"/>
  <c r="AK99" i="4"/>
  <c r="DP118" i="4"/>
  <c r="BF532" i="4"/>
  <c r="DN531" i="4"/>
  <c r="BJ677" i="4"/>
  <c r="BO677" i="4"/>
  <c r="DI713" i="4"/>
  <c r="AG714" i="4"/>
  <c r="DI714" i="4" s="1"/>
  <c r="CL647" i="4"/>
  <c r="CM649" i="4"/>
  <c r="DU242" i="4"/>
  <c r="CO243" i="4"/>
  <c r="CO258" i="4"/>
  <c r="DU258" i="4" s="1"/>
  <c r="CO251" i="4"/>
  <c r="DU251" i="4" s="1"/>
  <c r="BV355" i="4"/>
  <c r="BV356" i="4"/>
  <c r="DX701" i="4"/>
  <c r="CZ116" i="4"/>
  <c r="DX116" i="4" s="1"/>
  <c r="BW47" i="4"/>
  <c r="BW34" i="4"/>
  <c r="BL539" i="4"/>
  <c r="AQ21" i="4"/>
  <c r="DV78" i="4"/>
  <c r="CY78" i="4"/>
  <c r="AF112" i="4"/>
  <c r="AF117" i="4" s="1"/>
  <c r="AF60" i="4"/>
  <c r="AF59" i="4"/>
  <c r="AF966" i="4" s="1"/>
  <c r="AF54" i="4"/>
  <c r="AF53" i="4"/>
  <c r="AF65" i="4" s="1"/>
  <c r="AF67" i="4" s="1"/>
  <c r="AF68" i="4" s="1"/>
  <c r="AF964" i="4"/>
  <c r="CM637" i="4"/>
  <c r="CM638" i="4" s="1"/>
  <c r="CM51" i="4"/>
  <c r="CM50" i="4"/>
  <c r="BH145" i="4"/>
  <c r="AL4" i="4"/>
  <c r="AK894" i="4" s="1"/>
  <c r="BT465" i="4"/>
  <c r="BG47" i="4"/>
  <c r="BG34" i="4"/>
  <c r="BG35" i="4"/>
  <c r="AN801" i="4"/>
  <c r="AN100" i="4"/>
  <c r="AN104" i="4"/>
  <c r="AN105" i="4" s="1"/>
  <c r="AN136" i="4"/>
  <c r="AN99" i="4"/>
  <c r="AE112" i="4"/>
  <c r="AE117" i="4" s="1"/>
  <c r="AE60" i="4"/>
  <c r="AE59" i="4"/>
  <c r="AE966" i="4" s="1"/>
  <c r="AE54" i="4"/>
  <c r="AE53" i="4"/>
  <c r="AE65" i="4" s="1"/>
  <c r="AE67" i="4" s="1"/>
  <c r="AE68" i="4" s="1"/>
  <c r="AE964" i="4"/>
  <c r="Z933" i="4"/>
  <c r="CI714" i="4"/>
  <c r="CJ713" i="4"/>
  <c r="DP121" i="4"/>
  <c r="BU433" i="4"/>
  <c r="DQ433" i="4" s="1"/>
  <c r="DQ436" i="4"/>
  <c r="BQ469" i="4"/>
  <c r="BQ473" i="4" s="1"/>
  <c r="BQ482" i="4" s="1"/>
  <c r="BQ442" i="4"/>
  <c r="BQ13" i="4"/>
  <c r="AB433" i="4"/>
  <c r="DH433" i="4" s="1"/>
  <c r="DH436" i="4"/>
  <c r="AB441" i="4"/>
  <c r="AG442" i="4" s="1"/>
  <c r="DI442" i="4" s="1"/>
  <c r="AR539" i="4"/>
  <c r="AV539" i="4" s="1"/>
  <c r="DL539" i="4" s="1"/>
  <c r="AG690" i="4"/>
  <c r="DI690" i="4" s="1"/>
  <c r="AG634" i="4"/>
  <c r="DI634" i="4" s="1"/>
  <c r="AG74" i="4"/>
  <c r="AG139" i="4"/>
  <c r="DI14" i="4"/>
  <c r="AG22" i="4"/>
  <c r="AG23" i="4" s="1"/>
  <c r="AG16" i="4"/>
  <c r="DI16" i="4" s="1"/>
  <c r="AG33" i="4"/>
  <c r="BY637" i="4"/>
  <c r="BY638" i="4" s="1"/>
  <c r="BY51" i="4"/>
  <c r="BY50" i="4"/>
  <c r="AP637" i="4"/>
  <c r="AP638" i="4" s="1"/>
  <c r="AP51" i="4"/>
  <c r="AP50" i="4"/>
  <c r="BR943" i="4"/>
  <c r="BS941" i="4"/>
  <c r="AF724" i="4"/>
  <c r="AF726" i="4" s="1"/>
  <c r="AB722" i="4"/>
  <c r="DH717" i="4"/>
  <c r="DE713" i="4"/>
  <c r="M714" i="4"/>
  <c r="DQ575" i="4"/>
  <c r="BU581" i="4"/>
  <c r="DQ581" i="4" s="1"/>
  <c r="AQ164" i="4"/>
  <c r="DK164" i="4" s="1"/>
  <c r="DK163" i="4"/>
  <c r="AR164" i="4"/>
  <c r="AX691" i="4"/>
  <c r="AX690" i="4"/>
  <c r="AS637" i="4"/>
  <c r="AS638" i="4" s="1"/>
  <c r="AS51" i="4"/>
  <c r="AS50" i="4"/>
  <c r="BK449" i="4"/>
  <c r="DO449" i="4" s="1"/>
  <c r="DO448" i="4"/>
  <c r="BK466" i="4"/>
  <c r="DO466" i="4" s="1"/>
  <c r="CF23" i="4"/>
  <c r="BC637" i="4"/>
  <c r="BC638" i="4" s="1"/>
  <c r="BC51" i="4"/>
  <c r="BC50" i="4"/>
  <c r="DP446" i="4"/>
  <c r="BP447" i="4"/>
  <c r="DP447" i="4" s="1"/>
  <c r="BO522" i="4"/>
  <c r="BO506" i="4"/>
  <c r="DP263" i="4"/>
  <c r="BP266" i="4"/>
  <c r="DP266" i="4" s="1"/>
  <c r="BV47" i="4"/>
  <c r="BV34" i="4"/>
  <c r="DL263" i="4"/>
  <c r="AV266" i="4"/>
  <c r="DL266" i="4" s="1"/>
  <c r="AV258" i="4"/>
  <c r="DL258" i="4" s="1"/>
  <c r="U942" i="4"/>
  <c r="BK600" i="4"/>
  <c r="DN600" i="4"/>
  <c r="BZ189" i="4"/>
  <c r="DR189" i="4" s="1"/>
  <c r="CE189" i="4"/>
  <c r="DS189" i="4" s="1"/>
  <c r="DI441" i="4"/>
  <c r="BJ453" i="4"/>
  <c r="BK452" i="4"/>
  <c r="N934" i="4"/>
  <c r="R930" i="4"/>
  <c r="N651" i="4"/>
  <c r="AV23" i="4"/>
  <c r="DL139" i="4"/>
  <c r="CR690" i="4"/>
  <c r="CR139" i="4"/>
  <c r="CR74" i="4"/>
  <c r="CR84" i="4" s="1"/>
  <c r="CR85" i="4" s="1"/>
  <c r="CR33" i="4"/>
  <c r="CR22" i="4"/>
  <c r="CR23" i="4" s="1"/>
  <c r="CR16" i="4"/>
  <c r="K112" i="4"/>
  <c r="K117" i="4" s="1"/>
  <c r="K60" i="4"/>
  <c r="K59" i="4"/>
  <c r="K966" i="4" s="1"/>
  <c r="K53" i="4"/>
  <c r="K65" i="4" s="1"/>
  <c r="K67" i="4" s="1"/>
  <c r="K964" i="4"/>
  <c r="AL634" i="4"/>
  <c r="DJ634" i="4" s="1"/>
  <c r="AL690" i="4"/>
  <c r="DJ690" i="4" s="1"/>
  <c r="AL22" i="4"/>
  <c r="AL16" i="4"/>
  <c r="DJ16" i="4" s="1"/>
  <c r="DJ14" i="4"/>
  <c r="AL139" i="4"/>
  <c r="AL74" i="4"/>
  <c r="AL33" i="4"/>
  <c r="AH801" i="4"/>
  <c r="AH803" i="4" s="1"/>
  <c r="AH98" i="4"/>
  <c r="AK136" i="4" s="1"/>
  <c r="AH85" i="4"/>
  <c r="DO118" i="4"/>
  <c r="DV841" i="4"/>
  <c r="CU841" i="4"/>
  <c r="CS712" i="4"/>
  <c r="CX658" i="4"/>
  <c r="CX114" i="4" s="1"/>
  <c r="BO433" i="4"/>
  <c r="DO417" i="4"/>
  <c r="CL637" i="4"/>
  <c r="CL638" i="4" s="1"/>
  <c r="CL51" i="4"/>
  <c r="CL50" i="4"/>
  <c r="CR679" i="4"/>
  <c r="CR657" i="4"/>
  <c r="CR678" i="4"/>
  <c r="CW893" i="4"/>
  <c r="CV834" i="4"/>
  <c r="CV795" i="4" s="1"/>
  <c r="L494" i="4"/>
  <c r="L446" i="4"/>
  <c r="L447" i="4" s="1"/>
  <c r="CI251" i="4"/>
  <c r="CI243" i="4"/>
  <c r="CN251" i="4"/>
  <c r="DM531" i="4"/>
  <c r="BA532" i="4"/>
  <c r="W690" i="4"/>
  <c r="DG690" i="4" s="1"/>
  <c r="DG14" i="4"/>
  <c r="W33" i="4"/>
  <c r="W22" i="4"/>
  <c r="AB23" i="4" s="1"/>
  <c r="W634" i="4"/>
  <c r="DG634" i="4" s="1"/>
  <c r="AQ494" i="4"/>
  <c r="DK494" i="4" s="1"/>
  <c r="AN495" i="4"/>
  <c r="AQ495" i="4" s="1"/>
  <c r="DK495" i="4" s="1"/>
  <c r="CO49" i="4"/>
  <c r="BA837" i="4"/>
  <c r="AZ860" i="4"/>
  <c r="AZ796" i="4" s="1"/>
  <c r="AZ798" i="4" s="1"/>
  <c r="CQ679" i="4"/>
  <c r="CQ657" i="4"/>
  <c r="CQ678" i="4"/>
  <c r="AZ801" i="4"/>
  <c r="BA801" i="4" s="1"/>
  <c r="DM801" i="4" s="1"/>
  <c r="AZ100" i="4"/>
  <c r="AZ104" i="4"/>
  <c r="AZ136" i="4"/>
  <c r="AZ99" i="4"/>
  <c r="X23" i="4"/>
  <c r="DA852" i="4"/>
  <c r="DA910" i="4" s="1"/>
  <c r="AP801" i="4"/>
  <c r="AP136" i="4"/>
  <c r="AP99" i="4"/>
  <c r="AP104" i="4"/>
  <c r="AP105" i="4" s="1"/>
  <c r="AP100" i="4"/>
  <c r="CT712" i="4"/>
  <c r="DV712" i="4" s="1"/>
  <c r="CZ849" i="4"/>
  <c r="CZ907" i="4" s="1"/>
  <c r="BE404" i="4"/>
  <c r="BF3" i="4"/>
  <c r="BE4" i="4"/>
  <c r="GO367" i="9" s="1"/>
  <c r="GO368" i="9" s="1"/>
  <c r="AK375" i="51" l="1"/>
  <c r="FQ385" i="9"/>
  <c r="AV402" i="51"/>
  <c r="GC368" i="9"/>
  <c r="AP398" i="51"/>
  <c r="FP368" i="9"/>
  <c r="FP385" i="9" s="1"/>
  <c r="AK376" i="51"/>
  <c r="AK383" i="51"/>
  <c r="AV378" i="51"/>
  <c r="AU461" i="51"/>
  <c r="AV377" i="51"/>
  <c r="FN368" i="9"/>
  <c r="FN385" i="9" s="1"/>
  <c r="AU464" i="51"/>
  <c r="AV375" i="51"/>
  <c r="AQ452" i="51"/>
  <c r="AV376" i="51"/>
  <c r="AV383" i="51"/>
  <c r="AL378" i="51"/>
  <c r="AK379" i="51"/>
  <c r="CV165" i="4"/>
  <c r="CP1046" i="49"/>
  <c r="CR743" i="49"/>
  <c r="CV125" i="4"/>
  <c r="AX136" i="4"/>
  <c r="GL368" i="9"/>
  <c r="GL385" i="9" s="1"/>
  <c r="GM368" i="9"/>
  <c r="GM385" i="9" s="1"/>
  <c r="GN368" i="9"/>
  <c r="GN385" i="9" s="1"/>
  <c r="GO385" i="9"/>
  <c r="F9" i="73"/>
  <c r="D11" i="73"/>
  <c r="G11" i="73" s="1"/>
  <c r="G9" i="73"/>
  <c r="ED326" i="9"/>
  <c r="AP506" i="51"/>
  <c r="AP513" i="51" s="1"/>
  <c r="AR4" i="51"/>
  <c r="AS4" i="51"/>
  <c r="AQ491" i="51"/>
  <c r="AL468" i="51"/>
  <c r="FS368" i="9"/>
  <c r="FS385" i="9" s="1"/>
  <c r="FV385" i="9"/>
  <c r="AY5" i="50"/>
  <c r="AY3" i="51"/>
  <c r="BQ463" i="4"/>
  <c r="GB368" i="9"/>
  <c r="GB385" i="9" s="1"/>
  <c r="GA368" i="9"/>
  <c r="FZ368" i="9"/>
  <c r="GC385" i="9"/>
  <c r="JP889" i="72"/>
  <c r="JP892" i="72" s="1"/>
  <c r="DX364" i="4"/>
  <c r="BO539" i="4"/>
  <c r="BP23" i="4"/>
  <c r="E10" i="59"/>
  <c r="E11" i="59" s="1"/>
  <c r="Z898" i="4"/>
  <c r="BJ724" i="4"/>
  <c r="BJ726" i="4" s="1"/>
  <c r="M79" i="59"/>
  <c r="M81" i="59" s="1"/>
  <c r="D16" i="59"/>
  <c r="AK930" i="4"/>
  <c r="AA898" i="4"/>
  <c r="AU444" i="51"/>
  <c r="AU543" i="51" s="1"/>
  <c r="AU480" i="51"/>
  <c r="AU395" i="51"/>
  <c r="AU354" i="51"/>
  <c r="C19" i="81"/>
  <c r="L11" i="81"/>
  <c r="AK465" i="51"/>
  <c r="CY252" i="9"/>
  <c r="CY235" i="9"/>
  <c r="L11" i="67"/>
  <c r="C19" i="67"/>
  <c r="AP516" i="51"/>
  <c r="BR223" i="72"/>
  <c r="BQ223" i="72"/>
  <c r="BP231" i="72"/>
  <c r="BR224" i="72"/>
  <c r="BQ224" i="72"/>
  <c r="BP232" i="72"/>
  <c r="AU399" i="51"/>
  <c r="G11" i="81"/>
  <c r="D19" i="81"/>
  <c r="D37" i="63"/>
  <c r="G19" i="63"/>
  <c r="F19" i="63"/>
  <c r="AK466" i="51"/>
  <c r="AL461" i="51"/>
  <c r="AL462" i="51"/>
  <c r="AH6" i="50"/>
  <c r="AI6" i="50"/>
  <c r="GD368" i="9"/>
  <c r="GD385" i="9" s="1"/>
  <c r="GE368" i="9"/>
  <c r="GE385" i="9" s="1"/>
  <c r="GF368" i="9"/>
  <c r="GF385" i="9" s="1"/>
  <c r="GG385" i="9"/>
  <c r="AO6" i="50"/>
  <c r="AP375" i="51"/>
  <c r="D19" i="67"/>
  <c r="G11" i="67"/>
  <c r="AU378" i="51"/>
  <c r="AU468" i="51"/>
  <c r="FJ389" i="9"/>
  <c r="AK468" i="51"/>
  <c r="FL389" i="9"/>
  <c r="AL464" i="51"/>
  <c r="G19" i="64"/>
  <c r="F19" i="64"/>
  <c r="D37" i="64"/>
  <c r="AR6" i="50"/>
  <c r="AS6" i="50"/>
  <c r="D24" i="59"/>
  <c r="D23" i="59"/>
  <c r="AP402" i="51"/>
  <c r="AQ492" i="51"/>
  <c r="AU465" i="51"/>
  <c r="AV480" i="51"/>
  <c r="AV372" i="51"/>
  <c r="AV678" i="4"/>
  <c r="DL678" i="4" s="1"/>
  <c r="DL675" i="4"/>
  <c r="BA678" i="4"/>
  <c r="DM678" i="4" s="1"/>
  <c r="AV118" i="4"/>
  <c r="DL118" i="4" s="1"/>
  <c r="AL380" i="51"/>
  <c r="FK386" i="9"/>
  <c r="FN389" i="9"/>
  <c r="DA233" i="9"/>
  <c r="FO386" i="9"/>
  <c r="FR389" i="9"/>
  <c r="CO23" i="4"/>
  <c r="FR386" i="9"/>
  <c r="AP462" i="51"/>
  <c r="AP444" i="51"/>
  <c r="AP480" i="51"/>
  <c r="BR225" i="72"/>
  <c r="BQ225" i="72"/>
  <c r="BP233" i="72"/>
  <c r="G11" i="69"/>
  <c r="D19" i="69"/>
  <c r="AH4" i="51"/>
  <c r="AI4" i="51"/>
  <c r="FP386" i="9"/>
  <c r="FS389" i="9"/>
  <c r="BQ457" i="4"/>
  <c r="AJ893" i="4"/>
  <c r="M927" i="4"/>
  <c r="DE927" i="4" s="1"/>
  <c r="BA4" i="4"/>
  <c r="DM4" i="4" s="1"/>
  <c r="GJ367" i="9"/>
  <c r="GK368" i="9" s="1"/>
  <c r="W446" i="4"/>
  <c r="AM539" i="4"/>
  <c r="AQ539" i="4" s="1"/>
  <c r="DK539" i="4" s="1"/>
  <c r="Z932" i="4"/>
  <c r="DX316" i="9"/>
  <c r="CW213" i="9"/>
  <c r="AN893" i="4"/>
  <c r="CE670" i="4"/>
  <c r="DS670" i="4" s="1"/>
  <c r="AA932" i="4"/>
  <c r="AP468" i="51"/>
  <c r="CZ235" i="9"/>
  <c r="CZ252" i="9"/>
  <c r="AU379" i="51"/>
  <c r="AU460" i="51"/>
  <c r="AU375" i="51"/>
  <c r="AK395" i="51"/>
  <c r="AV381" i="51"/>
  <c r="AV395" i="51"/>
  <c r="F19" i="66"/>
  <c r="G19" i="66"/>
  <c r="D37" i="66"/>
  <c r="AP460" i="51"/>
  <c r="AU377" i="51"/>
  <c r="AU401" i="51"/>
  <c r="AU402" i="51" s="1"/>
  <c r="AK381" i="51"/>
  <c r="D27" i="71"/>
  <c r="AO676" i="51"/>
  <c r="AO674" i="51"/>
  <c r="AO13" i="51" s="1"/>
  <c r="O5" i="72"/>
  <c r="AP465" i="51"/>
  <c r="AU454" i="51"/>
  <c r="AP456" i="51"/>
  <c r="AK460" i="51"/>
  <c r="BU657" i="4"/>
  <c r="BY666" i="4"/>
  <c r="BT666" i="4"/>
  <c r="BT661" i="4"/>
  <c r="AV454" i="51"/>
  <c r="AV456" i="51"/>
  <c r="G11" i="71"/>
  <c r="L11" i="71"/>
  <c r="C19" i="71"/>
  <c r="AL376" i="51"/>
  <c r="CI670" i="4"/>
  <c r="CI664" i="4"/>
  <c r="EF322" i="9"/>
  <c r="EF326" i="9" s="1"/>
  <c r="DE220" i="9"/>
  <c r="DR120" i="4"/>
  <c r="AN423" i="51"/>
  <c r="AN424" i="51"/>
  <c r="AN427" i="51"/>
  <c r="AN428" i="51"/>
  <c r="AN422" i="51"/>
  <c r="AN334" i="51"/>
  <c r="AN335" i="51"/>
  <c r="AN338" i="51"/>
  <c r="AN339" i="51"/>
  <c r="AN333" i="51"/>
  <c r="AN425" i="51"/>
  <c r="AN426" i="51"/>
  <c r="AN430" i="51"/>
  <c r="AN336" i="51"/>
  <c r="AN337" i="51"/>
  <c r="AN341" i="51"/>
  <c r="AN363" i="51"/>
  <c r="AN450" i="51"/>
  <c r="AN361" i="51"/>
  <c r="AN362" i="51"/>
  <c r="AN449" i="51"/>
  <c r="AN451" i="51"/>
  <c r="AN364" i="51"/>
  <c r="AN448" i="51"/>
  <c r="AP466" i="51"/>
  <c r="AU366" i="51"/>
  <c r="AP372" i="51"/>
  <c r="AQ365" i="51"/>
  <c r="AV366" i="51" s="1"/>
  <c r="AQ494" i="51"/>
  <c r="AQ489" i="51"/>
  <c r="AQ488" i="51"/>
  <c r="AU381" i="51"/>
  <c r="CD670" i="4"/>
  <c r="AK462" i="51"/>
  <c r="FM386" i="9"/>
  <c r="FP389" i="9"/>
  <c r="FN386" i="9"/>
  <c r="FQ389" i="9"/>
  <c r="BK23" i="4"/>
  <c r="AM60" i="9"/>
  <c r="AM62" i="9" s="1"/>
  <c r="AM64" i="9" s="1"/>
  <c r="BR221" i="72"/>
  <c r="BQ221" i="72"/>
  <c r="BP226" i="72"/>
  <c r="BP229" i="72"/>
  <c r="AL465" i="51"/>
  <c r="AK480" i="51"/>
  <c r="AX335" i="51"/>
  <c r="AX428" i="51"/>
  <c r="AX341" i="51"/>
  <c r="AX422" i="51"/>
  <c r="AX423" i="51"/>
  <c r="AX426" i="51"/>
  <c r="AX427" i="51"/>
  <c r="AX339" i="51"/>
  <c r="AX333" i="51"/>
  <c r="AX334" i="51"/>
  <c r="AX425" i="51"/>
  <c r="AX337" i="51"/>
  <c r="AX338" i="51"/>
  <c r="AX424" i="51"/>
  <c r="AX336" i="51"/>
  <c r="AX430" i="51"/>
  <c r="AX363" i="51"/>
  <c r="AX364" i="51"/>
  <c r="AX361" i="51"/>
  <c r="AX362" i="51"/>
  <c r="AX448" i="51"/>
  <c r="AX451" i="51"/>
  <c r="AX449" i="51"/>
  <c r="AX450" i="51"/>
  <c r="AL466" i="51"/>
  <c r="FJ386" i="9"/>
  <c r="FM389" i="9"/>
  <c r="R934" i="4"/>
  <c r="DF934" i="4" s="1"/>
  <c r="AJ897" i="4"/>
  <c r="F10" i="59"/>
  <c r="F11" i="59" s="1"/>
  <c r="AL206" i="4"/>
  <c r="DJ206" i="4" s="1"/>
  <c r="AU51" i="9"/>
  <c r="B6" i="59"/>
  <c r="CE23" i="4"/>
  <c r="G23" i="68"/>
  <c r="AZ72" i="72"/>
  <c r="AZ76" i="72" s="1"/>
  <c r="BP402" i="51"/>
  <c r="BS664" i="4"/>
  <c r="BS670" i="4"/>
  <c r="BX670" i="4"/>
  <c r="AU514" i="51"/>
  <c r="AU506" i="51"/>
  <c r="AU515" i="51" s="1"/>
  <c r="AK506" i="51"/>
  <c r="AK511" i="51" s="1"/>
  <c r="U51" i="4"/>
  <c r="U50" i="4"/>
  <c r="U637" i="4"/>
  <c r="U639" i="4" s="1"/>
  <c r="AV506" i="51"/>
  <c r="AV511" i="51" s="1"/>
  <c r="FU386" i="9"/>
  <c r="AL460" i="51"/>
  <c r="BK164" i="9"/>
  <c r="H3" i="9"/>
  <c r="H6" i="9" s="1"/>
  <c r="DC246" i="9"/>
  <c r="DC252" i="9" s="1"/>
  <c r="DB235" i="9"/>
  <c r="DB252" i="9"/>
  <c r="BZ678" i="4"/>
  <c r="DR678" i="4" s="1"/>
  <c r="BU678" i="4"/>
  <c r="DQ678" i="4" s="1"/>
  <c r="DQ675" i="4"/>
  <c r="BU679" i="4"/>
  <c r="BR222" i="72"/>
  <c r="BQ222" i="72"/>
  <c r="BP230" i="72"/>
  <c r="BQ177" i="72"/>
  <c r="BR177" i="72"/>
  <c r="AU463" i="51"/>
  <c r="AU376" i="51"/>
  <c r="AU512" i="51"/>
  <c r="AU372" i="51"/>
  <c r="C19" i="69"/>
  <c r="L11" i="69"/>
  <c r="AK377" i="51"/>
  <c r="AK536" i="51" s="1"/>
  <c r="AK52" i="51" s="1"/>
  <c r="AV379" i="51"/>
  <c r="AV536" i="51" s="1"/>
  <c r="AV52" i="51" s="1"/>
  <c r="AL506" i="51"/>
  <c r="AP461" i="51"/>
  <c r="AP376" i="51"/>
  <c r="AP395" i="51"/>
  <c r="AU466" i="51"/>
  <c r="AU456" i="51"/>
  <c r="AK461" i="51"/>
  <c r="AK463" i="51"/>
  <c r="BT118" i="4"/>
  <c r="BY677" i="4"/>
  <c r="BU674" i="4"/>
  <c r="BT677" i="4"/>
  <c r="AW333" i="51"/>
  <c r="AW423" i="51"/>
  <c r="AW424" i="51"/>
  <c r="AW427" i="51"/>
  <c r="AW428" i="51"/>
  <c r="AW449" i="51"/>
  <c r="AW334" i="51"/>
  <c r="AW335" i="51"/>
  <c r="AW425" i="51"/>
  <c r="AW426" i="51"/>
  <c r="AW338" i="51"/>
  <c r="AW339" i="51"/>
  <c r="AW430" i="51"/>
  <c r="AW336" i="51"/>
  <c r="AW337" i="51"/>
  <c r="AW341" i="51"/>
  <c r="AW363" i="51"/>
  <c r="AW362" i="51"/>
  <c r="AW450" i="51"/>
  <c r="AW361" i="51"/>
  <c r="AW448" i="51"/>
  <c r="AY448" i="51" s="1"/>
  <c r="AW422" i="51"/>
  <c r="AW451" i="51"/>
  <c r="AW364" i="51"/>
  <c r="AY4" i="51"/>
  <c r="F20" i="59"/>
  <c r="F23" i="59" s="1"/>
  <c r="F25" i="59" s="1"/>
  <c r="O83" i="59" s="1"/>
  <c r="DT658" i="4"/>
  <c r="CJ667" i="4"/>
  <c r="DT667" i="4" s="1"/>
  <c r="CJ114" i="4"/>
  <c r="DT114" i="4" s="1"/>
  <c r="CO667" i="4"/>
  <c r="DU667" i="4" s="1"/>
  <c r="CJ661" i="4"/>
  <c r="AM335" i="51"/>
  <c r="AM339" i="51"/>
  <c r="AM426" i="51"/>
  <c r="AM338" i="51"/>
  <c r="AM334" i="51"/>
  <c r="AM336" i="51"/>
  <c r="AM430" i="51"/>
  <c r="AM422" i="51"/>
  <c r="AM337" i="51"/>
  <c r="AM341" i="51"/>
  <c r="AM333" i="51"/>
  <c r="AM424" i="51"/>
  <c r="AM428" i="51"/>
  <c r="AM427" i="51"/>
  <c r="AM423" i="51"/>
  <c r="AM425" i="51"/>
  <c r="AM451" i="51"/>
  <c r="AO451" i="51" s="1"/>
  <c r="AM362" i="51"/>
  <c r="AO362" i="51" s="1"/>
  <c r="AM364" i="51"/>
  <c r="AM363" i="51"/>
  <c r="AO363" i="51" s="1"/>
  <c r="AM449" i="51"/>
  <c r="AO449" i="51" s="1"/>
  <c r="AM450" i="51"/>
  <c r="AO450" i="51" s="1"/>
  <c r="AM361" i="51"/>
  <c r="AM448" i="51"/>
  <c r="AO4" i="51"/>
  <c r="AP464" i="51"/>
  <c r="AQ399" i="51"/>
  <c r="AQ353" i="51"/>
  <c r="AQ395" i="51" s="1"/>
  <c r="AQ486" i="51"/>
  <c r="AQ442" i="51"/>
  <c r="AV444" i="51" s="1"/>
  <c r="AV543" i="51" s="1"/>
  <c r="AQ487" i="51"/>
  <c r="AQ490" i="51"/>
  <c r="AU516" i="51"/>
  <c r="AU380" i="51"/>
  <c r="AV461" i="51"/>
  <c r="AV468" i="51"/>
  <c r="AV661" i="4"/>
  <c r="DL661" i="4" s="1"/>
  <c r="DL657" i="4"/>
  <c r="AL383" i="51"/>
  <c r="AL463" i="51"/>
  <c r="AG678" i="4"/>
  <c r="DI678" i="4" s="1"/>
  <c r="AB678" i="4"/>
  <c r="DH678" i="4" s="1"/>
  <c r="DH675" i="4"/>
  <c r="AB118" i="4"/>
  <c r="DH118" i="4" s="1"/>
  <c r="FO389" i="9"/>
  <c r="FL386" i="9"/>
  <c r="FY386" i="9"/>
  <c r="FQ386" i="9"/>
  <c r="CX57" i="4"/>
  <c r="H21" i="43" s="1"/>
  <c r="CW718" i="4"/>
  <c r="CW125" i="4" s="1"/>
  <c r="AD68" i="4"/>
  <c r="F38" i="45"/>
  <c r="F39" i="45" s="1"/>
  <c r="F19" i="45"/>
  <c r="F20" i="45" s="1"/>
  <c r="D38" i="45"/>
  <c r="D19" i="45"/>
  <c r="N36" i="45"/>
  <c r="F30" i="45"/>
  <c r="DX193" i="4"/>
  <c r="D11" i="45"/>
  <c r="CU584" i="49"/>
  <c r="CT684" i="49"/>
  <c r="CT828" i="49" s="1"/>
  <c r="CT585" i="49"/>
  <c r="CS726" i="49"/>
  <c r="CT726" i="49" s="1"/>
  <c r="BT528" i="4"/>
  <c r="BU528" i="4" s="1"/>
  <c r="DQ528" i="4" s="1"/>
  <c r="CU263" i="4"/>
  <c r="CU266" i="4" s="1"/>
  <c r="CU265" i="4"/>
  <c r="CU583" i="49"/>
  <c r="CP266" i="4"/>
  <c r="CP258" i="4"/>
  <c r="CT724" i="49"/>
  <c r="BQ31" i="51"/>
  <c r="CT159" i="4"/>
  <c r="DV159" i="4" s="1"/>
  <c r="CK1046" i="49"/>
  <c r="CU586" i="49"/>
  <c r="CT587" i="49"/>
  <c r="CS729" i="49"/>
  <c r="CT729" i="49" s="1"/>
  <c r="BV348" i="4"/>
  <c r="BV321" i="4"/>
  <c r="BV338" i="4"/>
  <c r="BR37" i="51"/>
  <c r="BR25" i="51"/>
  <c r="BS40" i="51"/>
  <c r="BT407" i="51"/>
  <c r="BT450" i="51" s="1"/>
  <c r="BS23" i="51"/>
  <c r="BX369" i="4"/>
  <c r="BX386" i="4" s="1"/>
  <c r="BQ28" i="51"/>
  <c r="BQ30" i="51"/>
  <c r="BQ32" i="51"/>
  <c r="BR365" i="51"/>
  <c r="BR400" i="51" s="1"/>
  <c r="BS361" i="51"/>
  <c r="BW322" i="4"/>
  <c r="BW338" i="4"/>
  <c r="BW321" i="4"/>
  <c r="BW348" i="4"/>
  <c r="BQ372" i="51"/>
  <c r="BX326" i="4"/>
  <c r="BQ399" i="51"/>
  <c r="BQ401" i="51"/>
  <c r="BR31" i="51"/>
  <c r="BR39" i="51"/>
  <c r="BU406" i="51"/>
  <c r="BU449" i="51" s="1"/>
  <c r="BT22" i="51"/>
  <c r="BT362" i="51"/>
  <c r="BP49" i="51"/>
  <c r="BP44" i="51"/>
  <c r="BP48" i="51"/>
  <c r="BP46" i="51"/>
  <c r="BV322" i="4"/>
  <c r="BQ41" i="51"/>
  <c r="BQ45" i="51" s="1"/>
  <c r="BR410" i="51"/>
  <c r="BS409" i="51"/>
  <c r="BS410" i="51" s="1"/>
  <c r="BU408" i="51"/>
  <c r="BT24" i="51"/>
  <c r="BT364" i="51"/>
  <c r="BT449" i="51"/>
  <c r="BR452" i="51"/>
  <c r="BP45" i="51"/>
  <c r="BP33" i="51"/>
  <c r="BT405" i="51"/>
  <c r="BS21" i="51"/>
  <c r="BQ400" i="51"/>
  <c r="BS38" i="51"/>
  <c r="DN790" i="4"/>
  <c r="BB488" i="4"/>
  <c r="BG488" i="4" s="1"/>
  <c r="AW898" i="4"/>
  <c r="AW914" i="4"/>
  <c r="BA203" i="4"/>
  <c r="AW625" i="4"/>
  <c r="AW488" i="4"/>
  <c r="AX893" i="4"/>
  <c r="AX901" i="4"/>
  <c r="AX898" i="4"/>
  <c r="AX913" i="4"/>
  <c r="BJ146" i="4"/>
  <c r="BJ145" i="4"/>
  <c r="O763" i="4"/>
  <c r="N761" i="4" s="1"/>
  <c r="CQ666" i="4"/>
  <c r="CQ661" i="4"/>
  <c r="AZ800" i="4"/>
  <c r="AZ803" i="4" s="1"/>
  <c r="AZ802" i="4"/>
  <c r="AZ773" i="4"/>
  <c r="AZ786" i="4" s="1"/>
  <c r="W47" i="4"/>
  <c r="DG33" i="4"/>
  <c r="CX712" i="4"/>
  <c r="DJ74" i="4"/>
  <c r="AL84" i="4"/>
  <c r="AL23" i="4"/>
  <c r="K128" i="4"/>
  <c r="K123" i="4"/>
  <c r="K126" i="4" s="1"/>
  <c r="K131" i="4" s="1"/>
  <c r="BV637" i="4"/>
  <c r="BV51" i="4"/>
  <c r="BV50" i="4"/>
  <c r="BS943" i="4"/>
  <c r="BT941" i="4"/>
  <c r="AG35" i="4"/>
  <c r="DI35" i="4" s="1"/>
  <c r="DI33" i="4"/>
  <c r="AG34" i="4"/>
  <c r="AG47" i="4"/>
  <c r="DI139" i="4"/>
  <c r="AG746" i="4"/>
  <c r="BU465" i="4"/>
  <c r="DQ465" i="4" s="1"/>
  <c r="DT713" i="4"/>
  <c r="CJ714" i="4"/>
  <c r="DT714" i="4" s="1"/>
  <c r="AE128" i="4"/>
  <c r="AE123" i="4"/>
  <c r="AE126" i="4" s="1"/>
  <c r="DJ4" i="4"/>
  <c r="AH913" i="4"/>
  <c r="AH931" i="4"/>
  <c r="AH933" i="4"/>
  <c r="AH932" i="4"/>
  <c r="AH898" i="4"/>
  <c r="AH894" i="4"/>
  <c r="AH930" i="4"/>
  <c r="AH897" i="4"/>
  <c r="AH893" i="4"/>
  <c r="AR893" i="4"/>
  <c r="AH896" i="4"/>
  <c r="AH895" i="4"/>
  <c r="AL691" i="4"/>
  <c r="DJ691" i="4" s="1"/>
  <c r="AH915" i="4"/>
  <c r="AI932" i="4"/>
  <c r="AI899" i="4"/>
  <c r="AL899" i="4" s="1"/>
  <c r="DJ899" i="4" s="1"/>
  <c r="AI895" i="4"/>
  <c r="AI931" i="4"/>
  <c r="AM893" i="4"/>
  <c r="AS893" i="4"/>
  <c r="AI930" i="4"/>
  <c r="AI898" i="4"/>
  <c r="AI894" i="4"/>
  <c r="AI915" i="4"/>
  <c r="AI897" i="4"/>
  <c r="AI893" i="4"/>
  <c r="AI933" i="4"/>
  <c r="AI913" i="4"/>
  <c r="AI896" i="4"/>
  <c r="CM697" i="4"/>
  <c r="CM704" i="4" s="1"/>
  <c r="CM724" i="4" s="1"/>
  <c r="CM112" i="4"/>
  <c r="CM117" i="4" s="1"/>
  <c r="CM88" i="4"/>
  <c r="CM59" i="4"/>
  <c r="CM966" i="4" s="1"/>
  <c r="CM54" i="4"/>
  <c r="CM53" i="4"/>
  <c r="CM964" i="4"/>
  <c r="DW78" i="4"/>
  <c r="CZ78" i="4"/>
  <c r="AJ933" i="4"/>
  <c r="AJ895" i="4"/>
  <c r="AJ899" i="4"/>
  <c r="AJ914" i="4"/>
  <c r="CK637" i="4"/>
  <c r="CK50" i="4"/>
  <c r="CK51" i="4"/>
  <c r="CZ619" i="4"/>
  <c r="DX616" i="4"/>
  <c r="CZ29" i="4"/>
  <c r="DX29" i="4" s="1"/>
  <c r="AV637" i="4"/>
  <c r="AR638" i="4"/>
  <c r="AQ47" i="4"/>
  <c r="DK33" i="4"/>
  <c r="AQ35" i="4"/>
  <c r="DK35" i="4" s="1"/>
  <c r="AQ34" i="4"/>
  <c r="DO759" i="4"/>
  <c r="BL759" i="4"/>
  <c r="BK685" i="4"/>
  <c r="DO685" i="4" s="1"/>
  <c r="W930" i="4"/>
  <c r="S934" i="4"/>
  <c r="S651" i="4"/>
  <c r="W898" i="4"/>
  <c r="DG898" i="4" s="1"/>
  <c r="W894" i="4"/>
  <c r="DG894" i="4" s="1"/>
  <c r="W895" i="4"/>
  <c r="DG895" i="4" s="1"/>
  <c r="CY658" i="4"/>
  <c r="DQ596" i="4"/>
  <c r="BU602" i="4"/>
  <c r="DQ602" i="4" s="1"/>
  <c r="CD697" i="4"/>
  <c r="CD704" i="4" s="1"/>
  <c r="CD724" i="4" s="1"/>
  <c r="CD112" i="4"/>
  <c r="CD117" i="4" s="1"/>
  <c r="CD59" i="4"/>
  <c r="CD966" i="4" s="1"/>
  <c r="CD54" i="4"/>
  <c r="CD88" i="4"/>
  <c r="CD98" i="4" s="1"/>
  <c r="CD53" i="4"/>
  <c r="CD964" i="4"/>
  <c r="DN74" i="4"/>
  <c r="BF84" i="4"/>
  <c r="DH47" i="4"/>
  <c r="AB51" i="4"/>
  <c r="AB50" i="4"/>
  <c r="DH50" i="4" s="1"/>
  <c r="CX159" i="4"/>
  <c r="CX160" i="4"/>
  <c r="CY158" i="4"/>
  <c r="DW373" i="4"/>
  <c r="CY384" i="4"/>
  <c r="DW384" i="4" s="1"/>
  <c r="CU942" i="4"/>
  <c r="CV942" i="4" s="1"/>
  <c r="CW942" i="4" s="1"/>
  <c r="CX942" i="4" s="1"/>
  <c r="CY942" i="4" s="1"/>
  <c r="DV942" i="4"/>
  <c r="CJ23" i="4"/>
  <c r="CJ84" i="4"/>
  <c r="DT74" i="4"/>
  <c r="Q20" i="4"/>
  <c r="Q14" i="4"/>
  <c r="CX759" i="4"/>
  <c r="CW685" i="4"/>
  <c r="CW686" i="4" s="1"/>
  <c r="DA904" i="4"/>
  <c r="DY904" i="4" s="1"/>
  <c r="BE136" i="4"/>
  <c r="BE151" i="4" s="1"/>
  <c r="BE105" i="4"/>
  <c r="AC639" i="4"/>
  <c r="AG639" i="4" s="1"/>
  <c r="AG637" i="4"/>
  <c r="DI637" i="4" s="1"/>
  <c r="CE211" i="4"/>
  <c r="DR211" i="4"/>
  <c r="BZ213" i="4"/>
  <c r="AO802" i="4"/>
  <c r="AO803" i="4"/>
  <c r="V123" i="4"/>
  <c r="V126" i="4" s="1"/>
  <c r="V128" i="4"/>
  <c r="BT463" i="4"/>
  <c r="BC105" i="4"/>
  <c r="BC136" i="4"/>
  <c r="CQ932" i="4"/>
  <c r="CR682" i="4"/>
  <c r="CR932" i="4" s="1"/>
  <c r="CG697" i="4"/>
  <c r="CG704" i="4" s="1"/>
  <c r="CG724" i="4" s="1"/>
  <c r="CG112" i="4"/>
  <c r="CG117" i="4" s="1"/>
  <c r="CG88" i="4"/>
  <c r="CG98" i="4" s="1"/>
  <c r="CG59" i="4"/>
  <c r="CG966" i="4" s="1"/>
  <c r="CG54" i="4"/>
  <c r="CG53" i="4"/>
  <c r="CG780" i="4"/>
  <c r="CG784" i="4" s="1"/>
  <c r="CZ77" i="4"/>
  <c r="DW77" i="4"/>
  <c r="BB494" i="4"/>
  <c r="BB465" i="4"/>
  <c r="BB452" i="4"/>
  <c r="AL446" i="4"/>
  <c r="DF685" i="4"/>
  <c r="S686" i="4"/>
  <c r="W686" i="4" s="1"/>
  <c r="DG686" i="4" s="1"/>
  <c r="DE31" i="4"/>
  <c r="M33" i="4"/>
  <c r="AT105" i="4"/>
  <c r="BB637" i="4"/>
  <c r="BF637" i="4" s="1"/>
  <c r="DN637" i="4" s="1"/>
  <c r="BB51" i="4"/>
  <c r="BB50" i="4"/>
  <c r="CS860" i="4"/>
  <c r="CS796" i="4" s="1"/>
  <c r="CT837" i="4"/>
  <c r="AV35" i="4"/>
  <c r="DL35" i="4" s="1"/>
  <c r="CT675" i="4"/>
  <c r="CP679" i="4"/>
  <c r="CP657" i="4"/>
  <c r="CP678" i="4"/>
  <c r="DO717" i="4"/>
  <c r="BK722" i="4"/>
  <c r="DO722" i="4" s="1"/>
  <c r="DH639" i="4"/>
  <c r="AB638" i="4"/>
  <c r="AS802" i="4"/>
  <c r="AS803" i="4"/>
  <c r="BP816" i="4"/>
  <c r="BP34" i="4"/>
  <c r="DP34" i="4" s="1"/>
  <c r="BP47" i="4"/>
  <c r="BP35" i="4"/>
  <c r="DP35" i="4" s="1"/>
  <c r="DP33" i="4"/>
  <c r="CP977" i="4"/>
  <c r="CP47" i="4"/>
  <c r="CP34" i="4"/>
  <c r="CP35" i="4"/>
  <c r="AA68" i="4"/>
  <c r="AA128" i="4"/>
  <c r="AA123" i="4"/>
  <c r="AA126" i="4" s="1"/>
  <c r="K494" i="4"/>
  <c r="K446" i="4"/>
  <c r="K447" i="4" s="1"/>
  <c r="DA906" i="4"/>
  <c r="DY906" i="4" s="1"/>
  <c r="BU531" i="4"/>
  <c r="DQ527" i="4"/>
  <c r="DA708" i="4"/>
  <c r="DY708" i="4" s="1"/>
  <c r="DY660" i="4"/>
  <c r="DA120" i="4"/>
  <c r="DY120" i="4" s="1"/>
  <c r="CE977" i="4"/>
  <c r="CE816" i="4"/>
  <c r="DS33" i="4"/>
  <c r="CE47" i="4"/>
  <c r="CE34" i="4"/>
  <c r="DS34" i="4" s="1"/>
  <c r="CE35" i="4"/>
  <c r="DS35" i="4" s="1"/>
  <c r="Z893" i="4"/>
  <c r="Z894" i="4"/>
  <c r="Z915" i="4"/>
  <c r="CV840" i="4"/>
  <c r="DP840" i="4"/>
  <c r="BQ840" i="4"/>
  <c r="BF724" i="4"/>
  <c r="DN704" i="4"/>
  <c r="P494" i="4"/>
  <c r="R494" i="4" s="1"/>
  <c r="DF494" i="4" s="1"/>
  <c r="P446" i="4"/>
  <c r="R444" i="4"/>
  <c r="I123" i="4"/>
  <c r="I126" i="4" s="1"/>
  <c r="I131" i="4" s="1"/>
  <c r="N132" i="4" s="1"/>
  <c r="I128" i="4"/>
  <c r="AM788" i="4"/>
  <c r="BO496" i="4"/>
  <c r="BP494" i="4"/>
  <c r="DP494" i="4" s="1"/>
  <c r="DY864" i="4"/>
  <c r="DA853" i="4"/>
  <c r="DA911" i="4" s="1"/>
  <c r="DJ441" i="4"/>
  <c r="AL442" i="4"/>
  <c r="DJ442" i="4" s="1"/>
  <c r="CJ246" i="4"/>
  <c r="DT246" i="4" s="1"/>
  <c r="CJ232" i="4"/>
  <c r="CO246" i="4" s="1"/>
  <c r="DU246" i="4" s="1"/>
  <c r="DT228" i="4"/>
  <c r="CJ256" i="4"/>
  <c r="DT256" i="4" s="1"/>
  <c r="DQ446" i="4"/>
  <c r="CV842" i="4"/>
  <c r="BY361" i="4"/>
  <c r="BX354" i="4"/>
  <c r="DF234" i="4"/>
  <c r="W248" i="4"/>
  <c r="DG248" i="4" s="1"/>
  <c r="AK933" i="4"/>
  <c r="AK897" i="4"/>
  <c r="AK896" i="4"/>
  <c r="AK915" i="4"/>
  <c r="BF670" i="4"/>
  <c r="DN670" i="4" s="1"/>
  <c r="DN661" i="4"/>
  <c r="CU868" i="4"/>
  <c r="CA637" i="4"/>
  <c r="CA50" i="4"/>
  <c r="CA51" i="4"/>
  <c r="AA893" i="4"/>
  <c r="AA894" i="4"/>
  <c r="W433" i="4"/>
  <c r="DG433" i="4" s="1"/>
  <c r="AM801" i="4"/>
  <c r="AM136" i="4"/>
  <c r="AM99" i="4"/>
  <c r="AM100" i="4"/>
  <c r="AM104" i="4"/>
  <c r="CV839" i="4"/>
  <c r="BO140" i="4"/>
  <c r="AV452" i="4"/>
  <c r="DL203" i="4"/>
  <c r="AV896" i="4"/>
  <c r="DL896" i="4" s="1"/>
  <c r="AV902" i="4"/>
  <c r="DL902" i="4" s="1"/>
  <c r="AV914" i="4"/>
  <c r="DL914" i="4" s="1"/>
  <c r="R917" i="4"/>
  <c r="DF917" i="4" s="1"/>
  <c r="CH697" i="4"/>
  <c r="CH704" i="4" s="1"/>
  <c r="CH724" i="4" s="1"/>
  <c r="CH112" i="4"/>
  <c r="CH117" i="4" s="1"/>
  <c r="CH88" i="4"/>
  <c r="CH98" i="4" s="1"/>
  <c r="CH53" i="4"/>
  <c r="CH59" i="4"/>
  <c r="CH966" i="4" s="1"/>
  <c r="CH54" i="4"/>
  <c r="BD136" i="4"/>
  <c r="BD151" i="4" s="1"/>
  <c r="BD801" i="4"/>
  <c r="CF637" i="4"/>
  <c r="CF51" i="4"/>
  <c r="CF50" i="4"/>
  <c r="DU773" i="4"/>
  <c r="CO786" i="4"/>
  <c r="DU786" i="4" s="1"/>
  <c r="DU806" i="4"/>
  <c r="BP453" i="4"/>
  <c r="DP453" i="4" s="1"/>
  <c r="DP452" i="4"/>
  <c r="DP139" i="4"/>
  <c r="J123" i="4"/>
  <c r="J126" i="4" s="1"/>
  <c r="J131" i="4" s="1"/>
  <c r="J128" i="4"/>
  <c r="BX697" i="4"/>
  <c r="BX704" i="4" s="1"/>
  <c r="BX112" i="4"/>
  <c r="BX117" i="4" s="1"/>
  <c r="BX88" i="4"/>
  <c r="BX98" i="4" s="1"/>
  <c r="BX59" i="4"/>
  <c r="BX966" i="4" s="1"/>
  <c r="BX53" i="4"/>
  <c r="BX964" i="4"/>
  <c r="BM88" i="4"/>
  <c r="BM98" i="4" s="1"/>
  <c r="BM112" i="4"/>
  <c r="BM59" i="4"/>
  <c r="BM966" i="4" s="1"/>
  <c r="BM54" i="4"/>
  <c r="BM53" i="4"/>
  <c r="BM964" i="4"/>
  <c r="DS139" i="4"/>
  <c r="CI697" i="4"/>
  <c r="CI704" i="4" s="1"/>
  <c r="CI724" i="4" s="1"/>
  <c r="CI112" i="4"/>
  <c r="CI117" i="4" s="1"/>
  <c r="CI88" i="4"/>
  <c r="CI98" i="4" s="1"/>
  <c r="CI59" i="4"/>
  <c r="CI966" i="4" s="1"/>
  <c r="CI54" i="4"/>
  <c r="CI53" i="4"/>
  <c r="CI964" i="4"/>
  <c r="CC697" i="4"/>
  <c r="CC704" i="4" s="1"/>
  <c r="CC724" i="4" s="1"/>
  <c r="CC88" i="4"/>
  <c r="CC98" i="4" s="1"/>
  <c r="CC112" i="4"/>
  <c r="CC117" i="4" s="1"/>
  <c r="CC59" i="4"/>
  <c r="CC966" i="4" s="1"/>
  <c r="CC54" i="4"/>
  <c r="CC53" i="4"/>
  <c r="CC964" i="4"/>
  <c r="AR105" i="4"/>
  <c r="DI496" i="4"/>
  <c r="AH492" i="4"/>
  <c r="AH496" i="4" s="1"/>
  <c r="CW843" i="4"/>
  <c r="DP724" i="4"/>
  <c r="BP726" i="4"/>
  <c r="X128" i="4"/>
  <c r="X123" i="4"/>
  <c r="X126" i="4" s="1"/>
  <c r="M438" i="4"/>
  <c r="DE438" i="4" s="1"/>
  <c r="I436" i="4"/>
  <c r="AV901" i="4"/>
  <c r="DL901" i="4" s="1"/>
  <c r="DA849" i="4"/>
  <c r="DA907" i="4" s="1"/>
  <c r="AQ801" i="4"/>
  <c r="AP802" i="4"/>
  <c r="AP803" i="4"/>
  <c r="BA860" i="4"/>
  <c r="AN60" i="9" s="1"/>
  <c r="AN62" i="9" s="1"/>
  <c r="AN64" i="9" s="1"/>
  <c r="DM837" i="4"/>
  <c r="BB837" i="4"/>
  <c r="AH136" i="4"/>
  <c r="AH99" i="4"/>
  <c r="AH104" i="4"/>
  <c r="AH100" i="4"/>
  <c r="DJ139" i="4"/>
  <c r="DF930" i="4"/>
  <c r="R651" i="4"/>
  <c r="DF651" i="4" s="1"/>
  <c r="DO600" i="4"/>
  <c r="BP600" i="4"/>
  <c r="DP600" i="4" s="1"/>
  <c r="BC112" i="4"/>
  <c r="BC117" i="4" s="1"/>
  <c r="BC60" i="4"/>
  <c r="BC59" i="4"/>
  <c r="BK311" i="8" s="1"/>
  <c r="BC54" i="4"/>
  <c r="BC53" i="4"/>
  <c r="BC964" i="4"/>
  <c r="AG84" i="4"/>
  <c r="DI74" i="4"/>
  <c r="BQ14" i="4"/>
  <c r="BQ483" i="4"/>
  <c r="BQ486" i="4"/>
  <c r="BQ489" i="4" s="1"/>
  <c r="BQ519" i="4" s="1"/>
  <c r="DX845" i="4"/>
  <c r="DA845" i="4"/>
  <c r="DY845" i="4" s="1"/>
  <c r="AJ931" i="4"/>
  <c r="AJ896" i="4"/>
  <c r="AJ913" i="4"/>
  <c r="AJ932" i="4"/>
  <c r="AJ934" i="4" s="1"/>
  <c r="BA35" i="4"/>
  <c r="DM35" i="4" s="1"/>
  <c r="BA34" i="4"/>
  <c r="DM33" i="4"/>
  <c r="BA47" i="4"/>
  <c r="DM139" i="4"/>
  <c r="AL445" i="4"/>
  <c r="DJ445" i="4" s="1"/>
  <c r="DJ444" i="4"/>
  <c r="W915" i="4"/>
  <c r="DG915" i="4" s="1"/>
  <c r="W913" i="4"/>
  <c r="DG913" i="4" s="1"/>
  <c r="CV657" i="4"/>
  <c r="CV678" i="4"/>
  <c r="AQ445" i="4"/>
  <c r="DK445" i="4" s="1"/>
  <c r="DK444" i="4"/>
  <c r="BG838" i="4"/>
  <c r="DN838" i="4"/>
  <c r="DN139" i="4"/>
  <c r="DQ282" i="4"/>
  <c r="BU284" i="4"/>
  <c r="DQ284" i="4" s="1"/>
  <c r="BU289" i="4"/>
  <c r="BU526" i="4"/>
  <c r="CQ773" i="4"/>
  <c r="CQ786" i="4" s="1"/>
  <c r="AO893" i="4"/>
  <c r="AO691" i="4"/>
  <c r="AO690" i="4"/>
  <c r="AQ4" i="4"/>
  <c r="AO931" i="4" s="1"/>
  <c r="CY159" i="4"/>
  <c r="DW159" i="4" s="1"/>
  <c r="DF722" i="4"/>
  <c r="R724" i="4"/>
  <c r="DT139" i="4"/>
  <c r="BE801" i="4"/>
  <c r="BF801" i="4" s="1"/>
  <c r="DN801" i="4" s="1"/>
  <c r="BL760" i="4"/>
  <c r="DO760" i="4"/>
  <c r="CO977" i="4"/>
  <c r="CO35" i="4"/>
  <c r="DU35" i="4" s="1"/>
  <c r="DU33" i="4"/>
  <c r="CO47" i="4"/>
  <c r="CO34" i="4"/>
  <c r="DU34" i="4" s="1"/>
  <c r="DU139" i="4"/>
  <c r="N123" i="4"/>
  <c r="N126" i="4" s="1"/>
  <c r="N128" i="4"/>
  <c r="DM455" i="4"/>
  <c r="BA469" i="4"/>
  <c r="BA463" i="4"/>
  <c r="DM463" i="4" s="1"/>
  <c r="BA457" i="4"/>
  <c r="O23" i="4"/>
  <c r="T23" i="4"/>
  <c r="AG722" i="4"/>
  <c r="DI722" i="4" s="1"/>
  <c r="DI717" i="4"/>
  <c r="DO701" i="4"/>
  <c r="BK704" i="4"/>
  <c r="N917" i="4"/>
  <c r="AL203" i="4"/>
  <c r="DJ203" i="4" s="1"/>
  <c r="CR798" i="4"/>
  <c r="AV722" i="4"/>
  <c r="DL722" i="4" s="1"/>
  <c r="DL717" i="4"/>
  <c r="M638" i="4"/>
  <c r="DE638" i="4" s="1"/>
  <c r="DE639" i="4"/>
  <c r="CT676" i="4"/>
  <c r="DV676" i="4" s="1"/>
  <c r="DV673" i="4"/>
  <c r="DV114" i="4"/>
  <c r="CI837" i="4"/>
  <c r="CH860" i="4"/>
  <c r="CH796" i="4" s="1"/>
  <c r="CH798" i="4" s="1"/>
  <c r="AU112" i="4"/>
  <c r="AU117" i="4" s="1"/>
  <c r="AU60" i="4"/>
  <c r="AU59" i="4"/>
  <c r="BE311" i="8" s="1"/>
  <c r="AU54" i="4"/>
  <c r="AU53" i="4"/>
  <c r="AU964" i="4"/>
  <c r="BP84" i="4"/>
  <c r="DP74" i="4"/>
  <c r="DH4" i="4"/>
  <c r="X933" i="4"/>
  <c r="X913" i="4"/>
  <c r="X894" i="4"/>
  <c r="Y933" i="4"/>
  <c r="AC873" i="4"/>
  <c r="AC912" i="4" s="1"/>
  <c r="X893" i="4"/>
  <c r="X932" i="4"/>
  <c r="X897" i="4"/>
  <c r="X896" i="4"/>
  <c r="X930" i="4"/>
  <c r="X898" i="4"/>
  <c r="X895" i="4"/>
  <c r="X931" i="4"/>
  <c r="X915" i="4"/>
  <c r="Y932" i="4"/>
  <c r="Y897" i="4"/>
  <c r="Y896" i="4"/>
  <c r="Y930" i="4"/>
  <c r="Y895" i="4"/>
  <c r="Y931" i="4"/>
  <c r="AB691" i="4"/>
  <c r="DH691" i="4" s="1"/>
  <c r="Y915" i="4"/>
  <c r="Y898" i="4"/>
  <c r="Y893" i="4"/>
  <c r="AB690" i="4"/>
  <c r="DH690" i="4" s="1"/>
  <c r="Y913" i="4"/>
  <c r="Y894" i="4"/>
  <c r="Z873" i="4"/>
  <c r="Z912" i="4" s="1"/>
  <c r="Z896" i="4"/>
  <c r="Z930" i="4"/>
  <c r="CZ933" i="4"/>
  <c r="DX933" i="4" s="1"/>
  <c r="DA760" i="4"/>
  <c r="DX760" i="4"/>
  <c r="Y68" i="4"/>
  <c r="Y123" i="4"/>
  <c r="Y126" i="4" s="1"/>
  <c r="Y128" i="4"/>
  <c r="CN664" i="4"/>
  <c r="CN670" i="4"/>
  <c r="CX657" i="4"/>
  <c r="CX678" i="4"/>
  <c r="P522" i="4"/>
  <c r="P506" i="4"/>
  <c r="Q503" i="4" s="1"/>
  <c r="Q504" i="4" s="1"/>
  <c r="R504" i="4" s="1"/>
  <c r="I65" i="4"/>
  <c r="I67" i="4" s="1"/>
  <c r="AZ112" i="4"/>
  <c r="AZ117" i="4" s="1"/>
  <c r="AZ60" i="4"/>
  <c r="AZ61" i="4" s="1"/>
  <c r="AZ59" i="4"/>
  <c r="BI311" i="8" s="1"/>
  <c r="AZ54" i="4"/>
  <c r="AZ53" i="4"/>
  <c r="AZ964" i="4"/>
  <c r="AR802" i="4"/>
  <c r="AR803" i="4"/>
  <c r="BE670" i="4"/>
  <c r="BE664" i="4"/>
  <c r="AN933" i="4"/>
  <c r="AO760" i="4"/>
  <c r="AN765" i="4"/>
  <c r="BZ816" i="4"/>
  <c r="BZ47" i="4"/>
  <c r="DR33" i="4"/>
  <c r="BZ34" i="4"/>
  <c r="DR34" i="4" s="1"/>
  <c r="AG724" i="4"/>
  <c r="X447" i="4"/>
  <c r="AB446" i="4"/>
  <c r="BQ31" i="4"/>
  <c r="AA933" i="4"/>
  <c r="AB964" i="4"/>
  <c r="DH964" i="4" s="1"/>
  <c r="DO74" i="4"/>
  <c r="BK84" i="4"/>
  <c r="R347" i="4"/>
  <c r="DF347" i="4" s="1"/>
  <c r="W347" i="4"/>
  <c r="DG347" i="4" s="1"/>
  <c r="BE112" i="4"/>
  <c r="BE117" i="4" s="1"/>
  <c r="BE60" i="4"/>
  <c r="BE59" i="4"/>
  <c r="BM311" i="8" s="1"/>
  <c r="BE54" i="4"/>
  <c r="BE53" i="4"/>
  <c r="BE964" i="4"/>
  <c r="AK893" i="4"/>
  <c r="AK895" i="4"/>
  <c r="AK914" i="4"/>
  <c r="CZ754" i="4"/>
  <c r="DW754" i="4"/>
  <c r="CE806" i="4"/>
  <c r="DS798" i="4"/>
  <c r="CE773" i="4"/>
  <c r="AJ136" i="4"/>
  <c r="AA873" i="4"/>
  <c r="AA912" i="4" s="1"/>
  <c r="AA896" i="4"/>
  <c r="AA930" i="4"/>
  <c r="DM703" i="4"/>
  <c r="BA704" i="4"/>
  <c r="AV746" i="4"/>
  <c r="AV895" i="4"/>
  <c r="DL895" i="4" s="1"/>
  <c r="AV899" i="4"/>
  <c r="DL899" i="4" s="1"/>
  <c r="AV897" i="4"/>
  <c r="DL897" i="4" s="1"/>
  <c r="DA758" i="4"/>
  <c r="DY758" i="4" s="1"/>
  <c r="DU661" i="4"/>
  <c r="CO670" i="4"/>
  <c r="DU670" i="4" s="1"/>
  <c r="CO664" i="4"/>
  <c r="DU664" i="4" s="1"/>
  <c r="BE901" i="4"/>
  <c r="BE691" i="4"/>
  <c r="BE914" i="4"/>
  <c r="BE690" i="4"/>
  <c r="BF4" i="4"/>
  <c r="CL896" i="4" s="1"/>
  <c r="DH722" i="4"/>
  <c r="AB724" i="4"/>
  <c r="BY697" i="4"/>
  <c r="BY704" i="4" s="1"/>
  <c r="BY112" i="4"/>
  <c r="BY117" i="4" s="1"/>
  <c r="BY88" i="4"/>
  <c r="BY98" i="4" s="1"/>
  <c r="BY59" i="4"/>
  <c r="BY966" i="4" s="1"/>
  <c r="BY53" i="4"/>
  <c r="BY964" i="4"/>
  <c r="AB442" i="4"/>
  <c r="DH442" i="4" s="1"/>
  <c r="DH441" i="4"/>
  <c r="BG637" i="4"/>
  <c r="BG51" i="4"/>
  <c r="BG50" i="4"/>
  <c r="BW637" i="4"/>
  <c r="BW638" i="4" s="1"/>
  <c r="BW51" i="4"/>
  <c r="BW50" i="4"/>
  <c r="AT917" i="4"/>
  <c r="AT927" i="4" s="1"/>
  <c r="W726" i="4"/>
  <c r="DG726" i="4" s="1"/>
  <c r="DG724" i="4"/>
  <c r="X912" i="4"/>
  <c r="AB912" i="4" s="1"/>
  <c r="DH912" i="4" s="1"/>
  <c r="AB873" i="4"/>
  <c r="DH873" i="4" s="1"/>
  <c r="CW678" i="4"/>
  <c r="CW657" i="4"/>
  <c r="DI930" i="4"/>
  <c r="AG651" i="4"/>
  <c r="DI651" i="4" s="1"/>
  <c r="CU246" i="4"/>
  <c r="CY232" i="4"/>
  <c r="CU256" i="4"/>
  <c r="CU8" i="4"/>
  <c r="CY8" i="4" s="1"/>
  <c r="CS774" i="4"/>
  <c r="CT774" i="4" s="1"/>
  <c r="DQ504" i="4"/>
  <c r="DQ213" i="4"/>
  <c r="BU214" i="4"/>
  <c r="DQ214" i="4" s="1"/>
  <c r="N65" i="4"/>
  <c r="N67" i="4" s="1"/>
  <c r="DA257" i="4"/>
  <c r="DY257" i="4" s="1"/>
  <c r="DY234" i="4"/>
  <c r="DA248" i="4"/>
  <c r="DY248" i="4" s="1"/>
  <c r="DA9" i="4"/>
  <c r="DY9" i="4" s="1"/>
  <c r="DK446" i="4"/>
  <c r="AQ447" i="4"/>
  <c r="DK447" i="4" s="1"/>
  <c r="DO674" i="4"/>
  <c r="BK677" i="4"/>
  <c r="DO677" i="4" s="1"/>
  <c r="BP677" i="4"/>
  <c r="DP677" i="4" s="1"/>
  <c r="S112" i="4"/>
  <c r="S117" i="4" s="1"/>
  <c r="S60" i="4"/>
  <c r="S59" i="4"/>
  <c r="S966" i="4" s="1"/>
  <c r="S54" i="4"/>
  <c r="S53" i="4"/>
  <c r="S964" i="4"/>
  <c r="BB801" i="4"/>
  <c r="BB136" i="4"/>
  <c r="BB99" i="4"/>
  <c r="BB104" i="4"/>
  <c r="BB100" i="4"/>
  <c r="CS707" i="4"/>
  <c r="CS714" i="4" s="1"/>
  <c r="CS666" i="4"/>
  <c r="CS661" i="4"/>
  <c r="CP49" i="4"/>
  <c r="DU49" i="4"/>
  <c r="CV841" i="4"/>
  <c r="AJ651" i="4"/>
  <c r="BA84" i="4"/>
  <c r="I4" i="9" s="1"/>
  <c r="I5" i="9" s="1"/>
  <c r="DM74" i="4"/>
  <c r="DV967" i="4"/>
  <c r="CU967" i="4"/>
  <c r="CV967" i="4" s="1"/>
  <c r="CW967" i="4" s="1"/>
  <c r="CX967" i="4" s="1"/>
  <c r="CY967" i="4" s="1"/>
  <c r="DK74" i="4"/>
  <c r="AQ84" i="4"/>
  <c r="S912" i="4"/>
  <c r="W912" i="4" s="1"/>
  <c r="DG912" i="4" s="1"/>
  <c r="W873" i="4"/>
  <c r="DG873" i="4" s="1"/>
  <c r="T651" i="4"/>
  <c r="T934" i="4"/>
  <c r="CY712" i="4"/>
  <c r="DW712" i="4" s="1"/>
  <c r="BI834" i="4"/>
  <c r="BI795" i="4" s="1"/>
  <c r="BJ833" i="4"/>
  <c r="DX847" i="4"/>
  <c r="DA847" i="4"/>
  <c r="DY847" i="4" s="1"/>
  <c r="CT870" i="4"/>
  <c r="CS871" i="4"/>
  <c r="CS797" i="4" s="1"/>
  <c r="BT486" i="4"/>
  <c r="BT489" i="4" s="1"/>
  <c r="BT519" i="4" s="1"/>
  <c r="BT483" i="4"/>
  <c r="AU105" i="4"/>
  <c r="AZ913" i="4"/>
  <c r="AZ900" i="4"/>
  <c r="AZ915" i="4"/>
  <c r="AZ488" i="4"/>
  <c r="BE488" i="4" s="1"/>
  <c r="AZ691" i="4"/>
  <c r="AZ690" i="4"/>
  <c r="AW637" i="4"/>
  <c r="AW51" i="4"/>
  <c r="AW50" i="4"/>
  <c r="CO84" i="4"/>
  <c r="DU74" i="4"/>
  <c r="BL774" i="4"/>
  <c r="DO774" i="4"/>
  <c r="BK140" i="4"/>
  <c r="O637" i="4"/>
  <c r="O51" i="4"/>
  <c r="O50" i="4"/>
  <c r="BF664" i="4"/>
  <c r="DN664" i="4" s="1"/>
  <c r="BU452" i="4"/>
  <c r="DQ452" i="4" s="1"/>
  <c r="AJ112" i="4"/>
  <c r="AJ117" i="4" s="1"/>
  <c r="AJ59" i="4"/>
  <c r="AJ966" i="4" s="1"/>
  <c r="AJ54" i="4"/>
  <c r="AJ53" i="4"/>
  <c r="AJ60" i="4"/>
  <c r="AJ61" i="4" s="1"/>
  <c r="AJ964" i="4"/>
  <c r="W455" i="4"/>
  <c r="DG455" i="4" s="1"/>
  <c r="DG446" i="4"/>
  <c r="W447" i="4"/>
  <c r="DG447" i="4" s="1"/>
  <c r="DY701" i="4"/>
  <c r="DA116" i="4"/>
  <c r="DY116" i="4" s="1"/>
  <c r="AU917" i="4"/>
  <c r="AU927" i="4" s="1"/>
  <c r="BI112" i="4"/>
  <c r="BI88" i="4"/>
  <c r="BI98" i="4" s="1"/>
  <c r="BI59" i="4"/>
  <c r="BP311" i="8" s="1"/>
  <c r="BI54" i="4"/>
  <c r="BI53" i="4"/>
  <c r="BI60" i="4"/>
  <c r="BI964" i="4"/>
  <c r="AY803" i="4"/>
  <c r="CZ81" i="4"/>
  <c r="DW81" i="4"/>
  <c r="CN977" i="4"/>
  <c r="CN34" i="4"/>
  <c r="CN35" i="4"/>
  <c r="CN47" i="4"/>
  <c r="CO677" i="4"/>
  <c r="DU677" i="4" s="1"/>
  <c r="DU674" i="4"/>
  <c r="CO118" i="4"/>
  <c r="DU118" i="4" s="1"/>
  <c r="CT677" i="4"/>
  <c r="DV677" i="4" s="1"/>
  <c r="DR74" i="4"/>
  <c r="BZ84" i="4"/>
  <c r="AB445" i="4"/>
  <c r="DH445" i="4" s="1"/>
  <c r="DH444" i="4"/>
  <c r="CV960" i="4"/>
  <c r="CW778" i="4"/>
  <c r="X65" i="4"/>
  <c r="X67" i="4" s="1"/>
  <c r="AB53" i="4"/>
  <c r="DO139" i="4"/>
  <c r="BK145" i="4"/>
  <c r="DO145" i="4" s="1"/>
  <c r="BL637" i="4"/>
  <c r="BL51" i="4"/>
  <c r="BL50" i="4"/>
  <c r="AK651" i="4"/>
  <c r="AD123" i="4"/>
  <c r="AD126" i="4" s="1"/>
  <c r="AD128" i="4"/>
  <c r="DA769" i="4"/>
  <c r="DY769" i="4" s="1"/>
  <c r="AV894" i="4"/>
  <c r="DL894" i="4" s="1"/>
  <c r="BF404" i="4"/>
  <c r="DN404" i="4" s="1"/>
  <c r="BG3" i="4"/>
  <c r="DN3" i="4"/>
  <c r="AZ105" i="4"/>
  <c r="CW834" i="4"/>
  <c r="CW795" i="4" s="1"/>
  <c r="CR666" i="4"/>
  <c r="CR661" i="4"/>
  <c r="CL697" i="4"/>
  <c r="CL704" i="4" s="1"/>
  <c r="CL724" i="4" s="1"/>
  <c r="CL112" i="4"/>
  <c r="CL117" i="4" s="1"/>
  <c r="CL54" i="4"/>
  <c r="CL88" i="4"/>
  <c r="CL98" i="4" s="1"/>
  <c r="CL59" i="4"/>
  <c r="CL966" i="4" s="1"/>
  <c r="CL53" i="4"/>
  <c r="CL964" i="4"/>
  <c r="AL34" i="4"/>
  <c r="AL47" i="4"/>
  <c r="DJ33" i="4"/>
  <c r="AL35" i="4"/>
  <c r="DJ35" i="4" s="1"/>
  <c r="AL746" i="4"/>
  <c r="CR977" i="4"/>
  <c r="CR47" i="4"/>
  <c r="CR34" i="4"/>
  <c r="CR35" i="4"/>
  <c r="BK453" i="4"/>
  <c r="DO453" i="4" s="1"/>
  <c r="DO452" i="4"/>
  <c r="BK455" i="4"/>
  <c r="AS112" i="4"/>
  <c r="AS117" i="4" s="1"/>
  <c r="AS59" i="4"/>
  <c r="BC311" i="8" s="1"/>
  <c r="AS54" i="4"/>
  <c r="AS53" i="4"/>
  <c r="AS60" i="4"/>
  <c r="AS964" i="4"/>
  <c r="DE714" i="4"/>
  <c r="M724" i="4"/>
  <c r="AP60" i="4"/>
  <c r="AP112" i="4"/>
  <c r="AP117" i="4" s="1"/>
  <c r="AP54" i="4"/>
  <c r="AP59" i="4"/>
  <c r="AP966" i="4" s="1"/>
  <c r="AP53" i="4"/>
  <c r="AP964" i="4"/>
  <c r="AN802" i="4"/>
  <c r="AN803" i="4"/>
  <c r="AF128" i="4"/>
  <c r="AF123" i="4"/>
  <c r="AF126" i="4" s="1"/>
  <c r="BP539" i="4"/>
  <c r="DP539" i="4" s="1"/>
  <c r="CN649" i="4"/>
  <c r="CM647" i="4"/>
  <c r="CZ903" i="4"/>
  <c r="DX903" i="4" s="1"/>
  <c r="AJ894" i="4"/>
  <c r="AJ898" i="4"/>
  <c r="AJ915" i="4"/>
  <c r="BO112" i="4"/>
  <c r="BO88" i="4"/>
  <c r="BO98" i="4" s="1"/>
  <c r="BO59" i="4"/>
  <c r="BO966" i="4" s="1"/>
  <c r="BO54" i="4"/>
  <c r="BO53" i="4"/>
  <c r="BO964" i="4"/>
  <c r="AW801" i="4"/>
  <c r="AW104" i="4"/>
  <c r="AW105" i="4" s="1"/>
  <c r="AW100" i="4"/>
  <c r="AW136" i="4"/>
  <c r="AW99" i="4"/>
  <c r="Z123" i="4"/>
  <c r="Z126" i="4" s="1"/>
  <c r="Z128" i="4"/>
  <c r="DA616" i="4"/>
  <c r="DY612" i="4"/>
  <c r="DA851" i="4"/>
  <c r="DA909" i="4" s="1"/>
  <c r="DY183" i="4"/>
  <c r="DA193" i="4"/>
  <c r="DY193" i="4" s="1"/>
  <c r="DA189" i="4"/>
  <c r="DY189" i="4" s="1"/>
  <c r="AR112" i="4"/>
  <c r="AR117" i="4" s="1"/>
  <c r="AR59" i="4"/>
  <c r="BB311" i="8" s="1"/>
  <c r="AR53" i="4"/>
  <c r="AR60" i="4"/>
  <c r="AR964" i="4"/>
  <c r="AQ23" i="4"/>
  <c r="DK139" i="4"/>
  <c r="AL724" i="4"/>
  <c r="DJ704" i="4"/>
  <c r="DP531" i="4"/>
  <c r="BP532" i="4"/>
  <c r="AQ726" i="4"/>
  <c r="DK726" i="4" s="1"/>
  <c r="DK724" i="4"/>
  <c r="T917" i="4"/>
  <c r="T927" i="4" s="1"/>
  <c r="W897" i="4"/>
  <c r="DG897" i="4" s="1"/>
  <c r="W933" i="4"/>
  <c r="DG933" i="4" s="1"/>
  <c r="W893" i="4"/>
  <c r="P20" i="4"/>
  <c r="P14" i="4"/>
  <c r="R10" i="4"/>
  <c r="N927" i="4"/>
  <c r="T128" i="4"/>
  <c r="T123" i="4"/>
  <c r="T126" i="4" s="1"/>
  <c r="AX801" i="4"/>
  <c r="BF47" i="4"/>
  <c r="DN33" i="4"/>
  <c r="BF34" i="4"/>
  <c r="DN34" i="4" s="1"/>
  <c r="BF35" i="4"/>
  <c r="DN35" i="4" s="1"/>
  <c r="BF23" i="4"/>
  <c r="AG934" i="4"/>
  <c r="DI934" i="4" s="1"/>
  <c r="AP932" i="4"/>
  <c r="AP913" i="4"/>
  <c r="AP899" i="4"/>
  <c r="AP895" i="4"/>
  <c r="AP893" i="4"/>
  <c r="AP691" i="4"/>
  <c r="AP690" i="4"/>
  <c r="AH637" i="4"/>
  <c r="AH51" i="4"/>
  <c r="AH50" i="4"/>
  <c r="AV85" i="4"/>
  <c r="DL85" i="4" s="1"/>
  <c r="DL84" i="4"/>
  <c r="AV98" i="4"/>
  <c r="CJ977" i="4"/>
  <c r="CJ816" i="4"/>
  <c r="CJ34" i="4"/>
  <c r="DT34" i="4" s="1"/>
  <c r="CJ47" i="4"/>
  <c r="CJ35" i="4"/>
  <c r="DT35" i="4" s="1"/>
  <c r="DT33" i="4"/>
  <c r="AC112" i="4"/>
  <c r="AC117" i="4" s="1"/>
  <c r="AC60" i="4"/>
  <c r="AC59" i="4"/>
  <c r="AC966" i="4" s="1"/>
  <c r="AC54" i="4"/>
  <c r="AC53" i="4"/>
  <c r="AC964" i="4"/>
  <c r="AG964" i="4" s="1"/>
  <c r="DI964" i="4" s="1"/>
  <c r="AV724" i="4"/>
  <c r="DL704" i="4"/>
  <c r="Z686" i="4"/>
  <c r="AA686" i="4"/>
  <c r="AO105" i="4"/>
  <c r="BT74" i="4"/>
  <c r="BT84" i="4" s="1"/>
  <c r="BT33" i="4"/>
  <c r="BT22" i="4"/>
  <c r="BT16" i="4"/>
  <c r="BY16" i="4"/>
  <c r="BT457" i="4"/>
  <c r="AY112" i="4"/>
  <c r="AY117" i="4" s="1"/>
  <c r="AY60" i="4"/>
  <c r="AY59" i="4"/>
  <c r="BH311" i="8" s="1"/>
  <c r="AY54" i="4"/>
  <c r="AY53" i="4"/>
  <c r="AY964" i="4"/>
  <c r="AV801" i="4"/>
  <c r="AU802" i="4"/>
  <c r="AU803" i="4"/>
  <c r="CV844" i="4"/>
  <c r="CB932" i="4"/>
  <c r="CC882" i="4"/>
  <c r="AY930" i="4"/>
  <c r="AY902" i="4"/>
  <c r="AY898" i="4"/>
  <c r="AY893" i="4"/>
  <c r="AY691" i="4"/>
  <c r="AY690" i="4"/>
  <c r="AY895" i="4"/>
  <c r="BI871" i="4"/>
  <c r="BI797" i="4" s="1"/>
  <c r="BJ863" i="4"/>
  <c r="AM637" i="4"/>
  <c r="AM51" i="4"/>
  <c r="AM50" i="4"/>
  <c r="BD445" i="4"/>
  <c r="BC444" i="4"/>
  <c r="U917" i="4"/>
  <c r="U927" i="4" s="1"/>
  <c r="AN112" i="4"/>
  <c r="AN117" i="4" s="1"/>
  <c r="AN59" i="4"/>
  <c r="AN966" i="4" s="1"/>
  <c r="AN54" i="4"/>
  <c r="AN53" i="4"/>
  <c r="AN60" i="4"/>
  <c r="AN964" i="4"/>
  <c r="BD112" i="4"/>
  <c r="BD117" i="4" s="1"/>
  <c r="BD59" i="4"/>
  <c r="BL311" i="8" s="1"/>
  <c r="BD54" i="4"/>
  <c r="BD53" i="4"/>
  <c r="BD60" i="4"/>
  <c r="BD964" i="4"/>
  <c r="W637" i="4"/>
  <c r="DG637" i="4" s="1"/>
  <c r="S639" i="4"/>
  <c r="W639" i="4" s="1"/>
  <c r="BC839" i="4"/>
  <c r="BC897" i="4" s="1"/>
  <c r="AT802" i="4"/>
  <c r="AT803" i="4"/>
  <c r="BJ60" i="4"/>
  <c r="BJ61" i="4" s="1"/>
  <c r="BJ59" i="4"/>
  <c r="BQ311" i="8" s="1"/>
  <c r="BJ112" i="4"/>
  <c r="BJ54" i="4"/>
  <c r="BJ88" i="4"/>
  <c r="BJ98" i="4" s="1"/>
  <c r="BJ53" i="4"/>
  <c r="BJ964" i="4"/>
  <c r="BH112" i="4"/>
  <c r="BH88" i="4"/>
  <c r="BH98" i="4" s="1"/>
  <c r="BH60" i="4"/>
  <c r="BH59" i="4"/>
  <c r="BO311" i="8" s="1"/>
  <c r="BH54" i="4"/>
  <c r="BH53" i="4"/>
  <c r="BH964" i="4"/>
  <c r="AV50" i="4"/>
  <c r="DL50" i="4" s="1"/>
  <c r="DL47" i="4"/>
  <c r="AV51" i="4"/>
  <c r="CY673" i="4"/>
  <c r="CY114" i="4" s="1"/>
  <c r="CU675" i="4"/>
  <c r="CG773" i="4"/>
  <c r="CV838" i="4"/>
  <c r="CV896" i="4" s="1"/>
  <c r="AI112" i="4"/>
  <c r="AI117" i="4" s="1"/>
  <c r="AI60" i="4"/>
  <c r="AI61" i="4" s="1"/>
  <c r="AI59" i="4"/>
  <c r="AI966" i="4" s="1"/>
  <c r="AI54" i="4"/>
  <c r="AI53" i="4"/>
  <c r="AI964" i="4"/>
  <c r="AS105" i="4"/>
  <c r="DJ801" i="4"/>
  <c r="AL802" i="4"/>
  <c r="DJ802" i="4" s="1"/>
  <c r="AL803" i="4"/>
  <c r="DJ803" i="4" s="1"/>
  <c r="BN112" i="4"/>
  <c r="BN88" i="4"/>
  <c r="BN98" i="4" s="1"/>
  <c r="BN54" i="4"/>
  <c r="BN53" i="4"/>
  <c r="BN59" i="4"/>
  <c r="BN966" i="4" s="1"/>
  <c r="BN964" i="4"/>
  <c r="DS74" i="4"/>
  <c r="CE84" i="4"/>
  <c r="Z897" i="4"/>
  <c r="Z913" i="4"/>
  <c r="AI136" i="4"/>
  <c r="DG506" i="4"/>
  <c r="AB503" i="4"/>
  <c r="X503" i="4"/>
  <c r="X504" i="4" s="1"/>
  <c r="BK116" i="4"/>
  <c r="AX60" i="4"/>
  <c r="AX61" i="4" s="1"/>
  <c r="AX112" i="4"/>
  <c r="AX117" i="4" s="1"/>
  <c r="AX59" i="4"/>
  <c r="BG311" i="8" s="1"/>
  <c r="AX54" i="4"/>
  <c r="AX53" i="4"/>
  <c r="AX964" i="4"/>
  <c r="AG447" i="4"/>
  <c r="DI447" i="4" s="1"/>
  <c r="AG455" i="4"/>
  <c r="DI446" i="4"/>
  <c r="AK112" i="4"/>
  <c r="AK117" i="4" s="1"/>
  <c r="AK60" i="4"/>
  <c r="AK61" i="4" s="1"/>
  <c r="AK59" i="4"/>
  <c r="AK966" i="4" s="1"/>
  <c r="AK54" i="4"/>
  <c r="AK53" i="4"/>
  <c r="AK964" i="4"/>
  <c r="DR139" i="4"/>
  <c r="BP445" i="4"/>
  <c r="DP445" i="4" s="1"/>
  <c r="DP444" i="4"/>
  <c r="CB697" i="4"/>
  <c r="CB704" i="4" s="1"/>
  <c r="CB724" i="4" s="1"/>
  <c r="CB112" i="4"/>
  <c r="CB117" i="4" s="1"/>
  <c r="CB88" i="4"/>
  <c r="CB98" i="4" s="1"/>
  <c r="CB59" i="4"/>
  <c r="CB966" i="4" s="1"/>
  <c r="CB54" i="4"/>
  <c r="CB53" i="4"/>
  <c r="CB964" i="4"/>
  <c r="BU494" i="4"/>
  <c r="DQ494" i="4" s="1"/>
  <c r="BQ496" i="4"/>
  <c r="X54" i="4"/>
  <c r="DO33" i="4"/>
  <c r="BK35" i="4"/>
  <c r="DO35" i="4" s="1"/>
  <c r="BK47" i="4"/>
  <c r="BK34" i="4"/>
  <c r="DO34" i="4" s="1"/>
  <c r="BW356" i="4"/>
  <c r="BW355" i="4"/>
  <c r="DF242" i="4"/>
  <c r="W251" i="4"/>
  <c r="DG251" i="4" s="1"/>
  <c r="AO112" i="4"/>
  <c r="AO117" i="4" s="1"/>
  <c r="AO60" i="4"/>
  <c r="AO59" i="4"/>
  <c r="AO966" i="4" s="1"/>
  <c r="AO54" i="4"/>
  <c r="AO53" i="4"/>
  <c r="AO964" i="4"/>
  <c r="AK931" i="4"/>
  <c r="AK934" i="4" s="1"/>
  <c r="AK898" i="4"/>
  <c r="AK913" i="4"/>
  <c r="AK932" i="4"/>
  <c r="J494" i="4"/>
  <c r="J446" i="4"/>
  <c r="J447" i="4" s="1"/>
  <c r="AT53" i="4"/>
  <c r="AT112" i="4"/>
  <c r="AT117" i="4" s="1"/>
  <c r="AT60" i="4"/>
  <c r="AT59" i="4"/>
  <c r="BD311" i="8" s="1"/>
  <c r="AT54" i="4"/>
  <c r="AT964" i="4"/>
  <c r="AA895" i="4"/>
  <c r="AA913" i="4"/>
  <c r="W463" i="4"/>
  <c r="DG463" i="4" s="1"/>
  <c r="W457" i="4"/>
  <c r="DG441" i="4"/>
  <c r="W442" i="4"/>
  <c r="DG442" i="4" s="1"/>
  <c r="AY105" i="4"/>
  <c r="AY136" i="4"/>
  <c r="BS503" i="4"/>
  <c r="DL206" i="4"/>
  <c r="AV915" i="4"/>
  <c r="DL915" i="4" s="1"/>
  <c r="AV898" i="4"/>
  <c r="DL898" i="4" s="1"/>
  <c r="AV913" i="4"/>
  <c r="DL913" i="4" s="1"/>
  <c r="AQ452" i="4"/>
  <c r="AQ455" i="4" s="1"/>
  <c r="L112" i="4"/>
  <c r="L117" i="4" s="1"/>
  <c r="L60" i="4"/>
  <c r="L59" i="4"/>
  <c r="L966" i="4" s="1"/>
  <c r="L53" i="4"/>
  <c r="L65" i="4" s="1"/>
  <c r="L67" i="4" s="1"/>
  <c r="L964" i="4"/>
  <c r="M964" i="4" s="1"/>
  <c r="DE964" i="4" s="1"/>
  <c r="AK541" i="51" l="1"/>
  <c r="AK54" i="51" s="1"/>
  <c r="AK518" i="51"/>
  <c r="AJ4" i="51"/>
  <c r="AV541" i="51"/>
  <c r="AV54" i="51" s="1"/>
  <c r="CZ378" i="4"/>
  <c r="JQ889" i="72" s="1"/>
  <c r="JQ892" i="72" s="1"/>
  <c r="AL897" i="4"/>
  <c r="DJ897" i="4" s="1"/>
  <c r="AK513" i="51"/>
  <c r="AQ398" i="51"/>
  <c r="AP536" i="51"/>
  <c r="AP52" i="51" s="1"/>
  <c r="AQ466" i="51"/>
  <c r="D25" i="59"/>
  <c r="M83" i="59" s="1"/>
  <c r="AL536" i="51"/>
  <c r="AL52" i="51" s="1"/>
  <c r="AY449" i="51"/>
  <c r="AQ463" i="51"/>
  <c r="AQ401" i="51"/>
  <c r="CW162" i="4"/>
  <c r="CS743" i="49"/>
  <c r="CX162" i="4" s="1"/>
  <c r="CY57" i="4"/>
  <c r="DW57" i="4" s="1"/>
  <c r="CX718" i="4"/>
  <c r="CY718" i="4" s="1"/>
  <c r="CY961" i="4" s="1"/>
  <c r="DW961" i="4" s="1"/>
  <c r="F16" i="59"/>
  <c r="F27" i="59" s="1"/>
  <c r="F33" i="59" s="1"/>
  <c r="O79" i="59"/>
  <c r="O81" i="59" s="1"/>
  <c r="O84" i="59" s="1"/>
  <c r="O88" i="59" s="1"/>
  <c r="BA144" i="63"/>
  <c r="AM118" i="56"/>
  <c r="AO78" i="51"/>
  <c r="AO75" i="51"/>
  <c r="AO84" i="51"/>
  <c r="AO63" i="51"/>
  <c r="AO87" i="51"/>
  <c r="AO66" i="51"/>
  <c r="AO81" i="51"/>
  <c r="AO72" i="51"/>
  <c r="AM487" i="51"/>
  <c r="AO334" i="51"/>
  <c r="AY78" i="51"/>
  <c r="AY72" i="51"/>
  <c r="AY75" i="51"/>
  <c r="AY87" i="51"/>
  <c r="AY81" i="51"/>
  <c r="AY66" i="51"/>
  <c r="AY63" i="51"/>
  <c r="AY84" i="51"/>
  <c r="AY363" i="51"/>
  <c r="AY425" i="51"/>
  <c r="AW353" i="51"/>
  <c r="AW375" i="51" s="1"/>
  <c r="AW486" i="51"/>
  <c r="AY333" i="51"/>
  <c r="AL530" i="51"/>
  <c r="AL107" i="51"/>
  <c r="AY361" i="51"/>
  <c r="AX365" i="51"/>
  <c r="AX494" i="51"/>
  <c r="AN490" i="51"/>
  <c r="AV515" i="51"/>
  <c r="DY316" i="9"/>
  <c r="CX213" i="9"/>
  <c r="AY932" i="4"/>
  <c r="AY625" i="4"/>
  <c r="AY894" i="4"/>
  <c r="AY903" i="4"/>
  <c r="AY913" i="4"/>
  <c r="Y92" i="56"/>
  <c r="AT128" i="63"/>
  <c r="AP894" i="4"/>
  <c r="AP898" i="4"/>
  <c r="AP914" i="4"/>
  <c r="AP931" i="4"/>
  <c r="AZ5" i="50"/>
  <c r="AZ6" i="50" s="1"/>
  <c r="AZ3" i="51"/>
  <c r="AZ897" i="4"/>
  <c r="AZ487" i="4"/>
  <c r="AZ489" i="4" s="1"/>
  <c r="AZ519" i="4" s="1"/>
  <c r="AZ523" i="4" s="1"/>
  <c r="AZ893" i="4"/>
  <c r="AZ898" i="4"/>
  <c r="AZ903" i="4"/>
  <c r="AZ931" i="4"/>
  <c r="BE931" i="4"/>
  <c r="BE903" i="4"/>
  <c r="AO902" i="4"/>
  <c r="R937" i="4"/>
  <c r="DF937" i="4" s="1"/>
  <c r="AX903" i="4"/>
  <c r="AX625" i="4"/>
  <c r="BC626" i="4" s="1"/>
  <c r="AX896" i="4"/>
  <c r="AX487" i="4"/>
  <c r="AW895" i="4"/>
  <c r="AW893" i="4"/>
  <c r="AW899" i="4"/>
  <c r="AW896" i="4"/>
  <c r="AW487" i="4"/>
  <c r="AW489" i="4" s="1"/>
  <c r="AW519" i="4" s="1"/>
  <c r="BB487" i="4"/>
  <c r="BB489" i="4" s="1"/>
  <c r="BB519" i="4" s="1"/>
  <c r="AQ376" i="51"/>
  <c r="AQ506" i="51"/>
  <c r="AQ512" i="51" s="1"/>
  <c r="AO427" i="51"/>
  <c r="AM494" i="51"/>
  <c r="AO341" i="51"/>
  <c r="AM489" i="51"/>
  <c r="AO336" i="51"/>
  <c r="AM492" i="51"/>
  <c r="AO339" i="51"/>
  <c r="AL511" i="51"/>
  <c r="AW442" i="51"/>
  <c r="AW468" i="51" s="1"/>
  <c r="AY422" i="51"/>
  <c r="AY362" i="51"/>
  <c r="AW489" i="51"/>
  <c r="AW378" i="51"/>
  <c r="AY336" i="51"/>
  <c r="AW464" i="51"/>
  <c r="AY426" i="51"/>
  <c r="AY423" i="51"/>
  <c r="AP541" i="51"/>
  <c r="AP54" i="51" s="1"/>
  <c r="AU107" i="51"/>
  <c r="AU507" i="51"/>
  <c r="AU530" i="51"/>
  <c r="AY450" i="51"/>
  <c r="AX399" i="51"/>
  <c r="AX490" i="51"/>
  <c r="AX492" i="51"/>
  <c r="AX460" i="51"/>
  <c r="AX442" i="51"/>
  <c r="AX463" i="51" s="1"/>
  <c r="AP518" i="51"/>
  <c r="AQ377" i="51"/>
  <c r="AQ383" i="51"/>
  <c r="AN452" i="51"/>
  <c r="AN494" i="51"/>
  <c r="AN491" i="51"/>
  <c r="D30" i="71"/>
  <c r="D28" i="71"/>
  <c r="AV354" i="51"/>
  <c r="GI368" i="9"/>
  <c r="GI385" i="9" s="1"/>
  <c r="GJ368" i="9"/>
  <c r="GJ385" i="9" s="1"/>
  <c r="GJ389" i="9" s="1"/>
  <c r="GH368" i="9"/>
  <c r="GH385" i="9" s="1"/>
  <c r="GK385" i="9"/>
  <c r="AP515" i="51"/>
  <c r="AQ461" i="51"/>
  <c r="AQ464" i="51"/>
  <c r="GF387" i="9"/>
  <c r="GF386" i="9"/>
  <c r="AJ6" i="50"/>
  <c r="D25" i="81"/>
  <c r="G19" i="81"/>
  <c r="AL516" i="51"/>
  <c r="M84" i="59"/>
  <c r="M88" i="59" s="1"/>
  <c r="GB387" i="9"/>
  <c r="GE389" i="9"/>
  <c r="AZ4" i="51"/>
  <c r="AV514" i="51"/>
  <c r="AL514" i="51"/>
  <c r="GO386" i="9"/>
  <c r="GO387" i="9"/>
  <c r="BL127" i="9"/>
  <c r="BL168" i="9"/>
  <c r="P4" i="9"/>
  <c r="P5" i="9" s="1"/>
  <c r="B49" i="59"/>
  <c r="K70" i="59"/>
  <c r="K74" i="59" s="1"/>
  <c r="CI407" i="8"/>
  <c r="AK112" i="48"/>
  <c r="AO898" i="4"/>
  <c r="AO915" i="4"/>
  <c r="BP127" i="9"/>
  <c r="BP168" i="9"/>
  <c r="F49" i="59"/>
  <c r="O70" i="59"/>
  <c r="O74" i="59" s="1"/>
  <c r="AL932" i="4"/>
  <c r="DJ932" i="4" s="1"/>
  <c r="AM490" i="51"/>
  <c r="AO337" i="51"/>
  <c r="AM488" i="51"/>
  <c r="AO335" i="51"/>
  <c r="AY430" i="51"/>
  <c r="AY428" i="51"/>
  <c r="DC235" i="9"/>
  <c r="DB233" i="9"/>
  <c r="U112" i="4"/>
  <c r="U117" i="4" s="1"/>
  <c r="U964" i="4"/>
  <c r="U53" i="4"/>
  <c r="U65" i="4" s="1"/>
  <c r="U67" i="4" s="1"/>
  <c r="Z68" i="4" s="1"/>
  <c r="U60" i="4"/>
  <c r="U59" i="4"/>
  <c r="U966" i="4" s="1"/>
  <c r="Z54" i="4"/>
  <c r="AX489" i="51"/>
  <c r="AX465" i="51"/>
  <c r="BP234" i="72"/>
  <c r="BQ229" i="72"/>
  <c r="BR229" i="72"/>
  <c r="AN488" i="51"/>
  <c r="AJ87" i="51"/>
  <c r="AJ88" i="51" s="1"/>
  <c r="AJ63" i="51"/>
  <c r="AJ64" i="51" s="1"/>
  <c r="AJ84" i="51"/>
  <c r="AJ85" i="51" s="1"/>
  <c r="AJ66" i="51"/>
  <c r="AJ67" i="51" s="1"/>
  <c r="AJ75" i="51"/>
  <c r="AJ76" i="51" s="1"/>
  <c r="AJ81" i="51"/>
  <c r="AJ82" i="51" s="1"/>
  <c r="AJ72" i="51"/>
  <c r="AJ73" i="51" s="1"/>
  <c r="AJ78" i="51"/>
  <c r="AJ79" i="51" s="1"/>
  <c r="AV518" i="51"/>
  <c r="GE387" i="9"/>
  <c r="GH389" i="9"/>
  <c r="GH390" i="9" s="1"/>
  <c r="AL512" i="51"/>
  <c r="AP510" i="51"/>
  <c r="AP530" i="51"/>
  <c r="AP107" i="51"/>
  <c r="AP507" i="51"/>
  <c r="GN387" i="9"/>
  <c r="BD61" i="4"/>
  <c r="AY897" i="4"/>
  <c r="AY487" i="4"/>
  <c r="AY489" i="4" s="1"/>
  <c r="AY519" i="4" s="1"/>
  <c r="AY523" i="4" s="1"/>
  <c r="AY896" i="4"/>
  <c r="AY899" i="4"/>
  <c r="AY915" i="4"/>
  <c r="AY931" i="4"/>
  <c r="AP625" i="4"/>
  <c r="AP896" i="4"/>
  <c r="AP901" i="4"/>
  <c r="AP915" i="4"/>
  <c r="AZ625" i="4"/>
  <c r="AZ899" i="4"/>
  <c r="AZ902" i="4"/>
  <c r="AZ914" i="4"/>
  <c r="BB105" i="4"/>
  <c r="W964" i="4"/>
  <c r="DG964" i="4" s="1"/>
  <c r="BE933" i="4"/>
  <c r="BE893" i="4"/>
  <c r="BE915" i="4"/>
  <c r="BK127" i="9"/>
  <c r="BK168" i="9"/>
  <c r="O4" i="9"/>
  <c r="O5" i="9" s="1"/>
  <c r="AO899" i="4"/>
  <c r="AO930" i="4"/>
  <c r="CV897" i="4"/>
  <c r="N4" i="9"/>
  <c r="BA71" i="9"/>
  <c r="AX488" i="4"/>
  <c r="BC488" i="4" s="1"/>
  <c r="BA690" i="4"/>
  <c r="DM690" i="4" s="1"/>
  <c r="AX902" i="4"/>
  <c r="BA902" i="4" s="1"/>
  <c r="DM902" i="4" s="1"/>
  <c r="AX897" i="4"/>
  <c r="AX899" i="4"/>
  <c r="AW901" i="4"/>
  <c r="AW894" i="4"/>
  <c r="AW913" i="4"/>
  <c r="BA913" i="4" s="1"/>
  <c r="DM913" i="4" s="1"/>
  <c r="BA691" i="4"/>
  <c r="DM691" i="4" s="1"/>
  <c r="AW903" i="4"/>
  <c r="AQ379" i="51"/>
  <c r="AQ460" i="51"/>
  <c r="AQ375" i="51"/>
  <c r="AM452" i="51"/>
  <c r="AO452" i="51" s="1"/>
  <c r="AO448" i="51"/>
  <c r="AO425" i="51"/>
  <c r="AO424" i="51"/>
  <c r="AM442" i="51"/>
  <c r="AM465" i="51" s="1"/>
  <c r="AO422" i="51"/>
  <c r="AM491" i="51"/>
  <c r="AO338" i="51"/>
  <c r="CJ664" i="4"/>
  <c r="DT664" i="4" s="1"/>
  <c r="DT661" i="4"/>
  <c r="CJ670" i="4"/>
  <c r="DT670" i="4" s="1"/>
  <c r="AY364" i="51"/>
  <c r="AW365" i="51"/>
  <c r="AW398" i="51" s="1"/>
  <c r="AW383" i="51"/>
  <c r="AW494" i="51"/>
  <c r="AY341" i="51"/>
  <c r="AW492" i="51"/>
  <c r="AW381" i="51"/>
  <c r="AY339" i="51"/>
  <c r="AW488" i="51"/>
  <c r="AW377" i="51"/>
  <c r="AY335" i="51"/>
  <c r="AY427" i="51"/>
  <c r="AL510" i="51"/>
  <c r="C21" i="69"/>
  <c r="L19" i="69"/>
  <c r="F19" i="69"/>
  <c r="K19" i="69"/>
  <c r="AP512" i="51"/>
  <c r="AL541" i="51"/>
  <c r="AL54" i="51" s="1"/>
  <c r="AV510" i="51"/>
  <c r="AK510" i="51"/>
  <c r="AQ468" i="51"/>
  <c r="AY451" i="51"/>
  <c r="AX401" i="51"/>
  <c r="AX462" i="51"/>
  <c r="AX487" i="51"/>
  <c r="AX464" i="51"/>
  <c r="AX466" i="51"/>
  <c r="BQ226" i="72"/>
  <c r="BR226" i="72"/>
  <c r="AQ378" i="51"/>
  <c r="AN489" i="51"/>
  <c r="AN375" i="51"/>
  <c r="AN353" i="51"/>
  <c r="AN395" i="51" s="1"/>
  <c r="AN486" i="51"/>
  <c r="AN487" i="51"/>
  <c r="AN376" i="51"/>
  <c r="BT670" i="4"/>
  <c r="BY670" i="4"/>
  <c r="BT664" i="4"/>
  <c r="BU664" i="4" s="1"/>
  <c r="DQ664" i="4" s="1"/>
  <c r="AU457" i="51"/>
  <c r="AP511" i="51"/>
  <c r="CZ233" i="9"/>
  <c r="AQ462" i="51"/>
  <c r="AU518" i="51"/>
  <c r="AQ381" i="51"/>
  <c r="AT6" i="50"/>
  <c r="AL513" i="51"/>
  <c r="GG389" i="9"/>
  <c r="GD387" i="9"/>
  <c r="BR231" i="72"/>
  <c r="BQ231" i="72"/>
  <c r="CY233" i="9"/>
  <c r="R75" i="81"/>
  <c r="K19" i="81"/>
  <c r="L19" i="81"/>
  <c r="C25" i="81"/>
  <c r="F19" i="81"/>
  <c r="FW368" i="9"/>
  <c r="FZ385" i="9"/>
  <c r="I3" i="9"/>
  <c r="I6" i="9" s="1"/>
  <c r="FV386" i="9"/>
  <c r="AS422" i="51"/>
  <c r="AS336" i="51"/>
  <c r="AS337" i="51"/>
  <c r="AS341" i="51"/>
  <c r="AS364" i="51"/>
  <c r="AS450" i="51"/>
  <c r="AS333" i="51"/>
  <c r="AS423" i="51"/>
  <c r="AS424" i="51"/>
  <c r="AS427" i="51"/>
  <c r="AS428" i="51"/>
  <c r="AS338" i="51"/>
  <c r="AS339" i="51"/>
  <c r="AS430" i="51"/>
  <c r="AS334" i="51"/>
  <c r="AS335" i="51"/>
  <c r="AS425" i="51"/>
  <c r="AS426" i="51"/>
  <c r="AS448" i="51"/>
  <c r="AS449" i="51"/>
  <c r="AS362" i="51"/>
  <c r="AS363" i="51"/>
  <c r="AS361" i="51"/>
  <c r="AS451" i="51"/>
  <c r="GM387" i="9"/>
  <c r="GM386" i="9"/>
  <c r="AO428" i="51"/>
  <c r="AV513" i="51"/>
  <c r="AV530" i="51"/>
  <c r="AV107" i="51"/>
  <c r="AV516" i="51"/>
  <c r="AN365" i="51"/>
  <c r="C19" i="59"/>
  <c r="C23" i="59" s="1"/>
  <c r="C25" i="59" s="1"/>
  <c r="L83" i="59" s="1"/>
  <c r="DQ657" i="4"/>
  <c r="BZ666" i="4"/>
  <c r="DR666" i="4" s="1"/>
  <c r="BU666" i="4"/>
  <c r="DQ666" i="4" s="1"/>
  <c r="BU661" i="4"/>
  <c r="F37" i="66"/>
  <c r="F45" i="66" s="1"/>
  <c r="D45" i="66"/>
  <c r="G45" i="66" s="1"/>
  <c r="G37" i="66"/>
  <c r="AY681" i="51"/>
  <c r="AT676" i="51"/>
  <c r="AY674" i="51"/>
  <c r="AT674" i="51"/>
  <c r="AT13" i="51" s="1"/>
  <c r="AY676" i="51"/>
  <c r="G19" i="69"/>
  <c r="D21" i="69"/>
  <c r="BR233" i="72"/>
  <c r="BQ233" i="72"/>
  <c r="GF389" i="9"/>
  <c r="GF390" i="9" s="1"/>
  <c r="GC387" i="9"/>
  <c r="GC386" i="9"/>
  <c r="AQ380" i="51"/>
  <c r="BO127" i="9"/>
  <c r="N70" i="59"/>
  <c r="N74" i="59" s="1"/>
  <c r="E49" i="59"/>
  <c r="BO168" i="9"/>
  <c r="AY488" i="4"/>
  <c r="BD488" i="4" s="1"/>
  <c r="AY900" i="4"/>
  <c r="AY901" i="4"/>
  <c r="AY914" i="4"/>
  <c r="AB686" i="4"/>
  <c r="DH686" i="4" s="1"/>
  <c r="AP897" i="4"/>
  <c r="AP902" i="4"/>
  <c r="AP930" i="4"/>
  <c r="DQ275" i="9"/>
  <c r="BN168" i="9"/>
  <c r="BN127" i="9"/>
  <c r="M70" i="59"/>
  <c r="M74" i="59" s="1"/>
  <c r="AA92" i="56"/>
  <c r="AV128" i="63"/>
  <c r="D49" i="59"/>
  <c r="DE245" i="9"/>
  <c r="DE246" i="9" s="1"/>
  <c r="AZ932" i="4"/>
  <c r="AZ896" i="4"/>
  <c r="AZ894" i="4"/>
  <c r="AZ901" i="4"/>
  <c r="AZ930" i="4"/>
  <c r="BE902" i="4"/>
  <c r="CR895" i="4"/>
  <c r="CR897" i="4"/>
  <c r="CR896" i="4"/>
  <c r="BE932" i="4"/>
  <c r="BE898" i="4"/>
  <c r="BE930" i="4"/>
  <c r="AO896" i="4"/>
  <c r="AO932" i="4"/>
  <c r="J3" i="9"/>
  <c r="J6" i="9" s="1"/>
  <c r="AM105" i="4"/>
  <c r="AL914" i="4"/>
  <c r="DJ914" i="4" s="1"/>
  <c r="AX894" i="4"/>
  <c r="AX895" i="4"/>
  <c r="AX915" i="4"/>
  <c r="AX900" i="4"/>
  <c r="AX914" i="4"/>
  <c r="BA914" i="4" s="1"/>
  <c r="DM914" i="4" s="1"/>
  <c r="AW915" i="4"/>
  <c r="AW902" i="4"/>
  <c r="AW897" i="4"/>
  <c r="BA206" i="4"/>
  <c r="DM206" i="4" s="1"/>
  <c r="AW900" i="4"/>
  <c r="AZ895" i="4"/>
  <c r="AU536" i="51"/>
  <c r="AU52" i="51" s="1"/>
  <c r="AQ444" i="51"/>
  <c r="AQ480" i="51"/>
  <c r="AM365" i="51"/>
  <c r="AO365" i="51" s="1"/>
  <c r="AO361" i="51"/>
  <c r="AO364" i="51"/>
  <c r="AO423" i="51"/>
  <c r="AM353" i="51"/>
  <c r="AM383" i="51" s="1"/>
  <c r="AM486" i="51"/>
  <c r="AO333" i="51"/>
  <c r="AO430" i="51"/>
  <c r="AO426" i="51"/>
  <c r="AW452" i="51"/>
  <c r="AW490" i="51"/>
  <c r="AW379" i="51"/>
  <c r="AY337" i="51"/>
  <c r="AW491" i="51"/>
  <c r="AW380" i="51"/>
  <c r="AY338" i="51"/>
  <c r="AW487" i="51"/>
  <c r="AW376" i="51"/>
  <c r="AY334" i="51"/>
  <c r="AY424" i="51"/>
  <c r="BU677" i="4"/>
  <c r="DQ677" i="4" s="1"/>
  <c r="DQ674" i="4"/>
  <c r="BZ677" i="4"/>
  <c r="DR677" i="4" s="1"/>
  <c r="BU118" i="4"/>
  <c r="BQ230" i="72"/>
  <c r="BR230" i="72"/>
  <c r="AK530" i="51"/>
  <c r="AK107" i="51"/>
  <c r="AK515" i="51"/>
  <c r="AU510" i="51"/>
  <c r="AX452" i="51"/>
  <c r="AX400" i="51"/>
  <c r="AX491" i="51"/>
  <c r="AX486" i="51"/>
  <c r="AX353" i="51"/>
  <c r="AX378" i="51" s="1"/>
  <c r="AX461" i="51"/>
  <c r="AX488" i="51"/>
  <c r="AX377" i="51"/>
  <c r="AK516" i="51"/>
  <c r="AL515" i="51"/>
  <c r="AQ465" i="51"/>
  <c r="AQ372" i="51"/>
  <c r="AN381" i="51"/>
  <c r="AN492" i="51"/>
  <c r="AN442" i="51"/>
  <c r="AN480" i="51" s="1"/>
  <c r="C21" i="71"/>
  <c r="F19" i="71"/>
  <c r="L19" i="71"/>
  <c r="K19" i="71"/>
  <c r="G19" i="71"/>
  <c r="AU513" i="51"/>
  <c r="AU541" i="51"/>
  <c r="AU54" i="51" s="1"/>
  <c r="AL518" i="51"/>
  <c r="AQ456" i="51"/>
  <c r="AV457" i="51" s="1"/>
  <c r="AK512" i="51"/>
  <c r="AU511" i="51"/>
  <c r="AP514" i="51"/>
  <c r="AK514" i="51"/>
  <c r="AQ516" i="51"/>
  <c r="D45" i="64"/>
  <c r="G45" i="64" s="1"/>
  <c r="G37" i="64"/>
  <c r="F37" i="64"/>
  <c r="F45" i="64" s="1"/>
  <c r="G19" i="67"/>
  <c r="D21" i="67"/>
  <c r="GG387" i="9"/>
  <c r="GG386" i="9"/>
  <c r="AV512" i="51"/>
  <c r="D45" i="63"/>
  <c r="G45" i="63" s="1"/>
  <c r="G37" i="63"/>
  <c r="F37" i="63"/>
  <c r="F45" i="63" s="1"/>
  <c r="BR232" i="72"/>
  <c r="BQ232" i="72"/>
  <c r="K19" i="67"/>
  <c r="C21" i="67"/>
  <c r="L19" i="67"/>
  <c r="F19" i="67"/>
  <c r="D27" i="59"/>
  <c r="D33" i="59" s="1"/>
  <c r="E16" i="59"/>
  <c r="E27" i="59" s="1"/>
  <c r="E33" i="59" s="1"/>
  <c r="N79" i="59"/>
  <c r="N81" i="59" s="1"/>
  <c r="N84" i="59" s="1"/>
  <c r="N88" i="59" s="1"/>
  <c r="FX368" i="9"/>
  <c r="FX385" i="9" s="1"/>
  <c r="GA385" i="9"/>
  <c r="FS386" i="9"/>
  <c r="AQ400" i="51"/>
  <c r="AQ402" i="51" s="1"/>
  <c r="AR333" i="51"/>
  <c r="AR448" i="51"/>
  <c r="AR425" i="51"/>
  <c r="AR426" i="51"/>
  <c r="AR430" i="51"/>
  <c r="AR364" i="51"/>
  <c r="AR361" i="51"/>
  <c r="AR336" i="51"/>
  <c r="AR337" i="51"/>
  <c r="AR341" i="51"/>
  <c r="AR450" i="51"/>
  <c r="AT450" i="51" s="1"/>
  <c r="AR449" i="51"/>
  <c r="AT449" i="51" s="1"/>
  <c r="AR423" i="51"/>
  <c r="AR424" i="51"/>
  <c r="AR427" i="51"/>
  <c r="AR428" i="51"/>
  <c r="AR363" i="51"/>
  <c r="AR362" i="51"/>
  <c r="AR451" i="51"/>
  <c r="AT451" i="51" s="1"/>
  <c r="AR422" i="51"/>
  <c r="AR334" i="51"/>
  <c r="AR335" i="51"/>
  <c r="AR338" i="51"/>
  <c r="AR339" i="51"/>
  <c r="AT4" i="51"/>
  <c r="GL387" i="9"/>
  <c r="GL386" i="9"/>
  <c r="GO389" i="9"/>
  <c r="CW961" i="4"/>
  <c r="CX56" i="4"/>
  <c r="CX58" i="4" s="1"/>
  <c r="CY58" i="4" s="1"/>
  <c r="DW8" i="4"/>
  <c r="JJ873" i="72"/>
  <c r="JJ875" i="72" s="1"/>
  <c r="AT61" i="4"/>
  <c r="EB311" i="9"/>
  <c r="EB317" i="9" s="1"/>
  <c r="EB328" i="9" s="1"/>
  <c r="EB331" i="9" s="1"/>
  <c r="DA208" i="9"/>
  <c r="BH61" i="4"/>
  <c r="EC311" i="9"/>
  <c r="EC317" i="9" s="1"/>
  <c r="EC328" i="9" s="1"/>
  <c r="EC331" i="9" s="1"/>
  <c r="DB208" i="9"/>
  <c r="N68" i="4"/>
  <c r="DX311" i="9"/>
  <c r="DX317" i="9" s="1"/>
  <c r="DX328" i="9" s="1"/>
  <c r="DX331" i="9" s="1"/>
  <c r="CW208" i="9"/>
  <c r="CW215" i="9" s="1"/>
  <c r="CG786" i="4"/>
  <c r="CV208" i="9"/>
  <c r="CV215" i="9" s="1"/>
  <c r="DW311" i="9"/>
  <c r="DW317" i="9" s="1"/>
  <c r="DW328" i="9" s="1"/>
  <c r="DW331" i="9" s="1"/>
  <c r="AU61" i="4"/>
  <c r="CZ208" i="9"/>
  <c r="EA311" i="9"/>
  <c r="EA317" i="9" s="1"/>
  <c r="EA328" i="9" s="1"/>
  <c r="EA331" i="9" s="1"/>
  <c r="DV311" i="9"/>
  <c r="DV317" i="9" s="1"/>
  <c r="DV328" i="9" s="1"/>
  <c r="DV331" i="9" s="1"/>
  <c r="CU208" i="9"/>
  <c r="CU215" i="9" s="1"/>
  <c r="N35" i="45"/>
  <c r="F11" i="45"/>
  <c r="G30" i="45"/>
  <c r="G31" i="45" s="1"/>
  <c r="H31" i="45" s="1"/>
  <c r="F31" i="45"/>
  <c r="BQ402" i="51"/>
  <c r="BQ33" i="51"/>
  <c r="CT743" i="49"/>
  <c r="CU585" i="49"/>
  <c r="CU601" i="49" s="1"/>
  <c r="CU587" i="49"/>
  <c r="CU727" i="49"/>
  <c r="CV586" i="49"/>
  <c r="CV583" i="49"/>
  <c r="CU724" i="49"/>
  <c r="CU684" i="49"/>
  <c r="CU828" i="49" s="1"/>
  <c r="CV584" i="49"/>
  <c r="CU725" i="49"/>
  <c r="CT601" i="49"/>
  <c r="BQ47" i="51"/>
  <c r="CW163" i="4"/>
  <c r="CW165" i="4"/>
  <c r="BT409" i="51"/>
  <c r="BT410" i="51" s="1"/>
  <c r="BU405" i="51"/>
  <c r="BU448" i="51" s="1"/>
  <c r="BT21" i="51"/>
  <c r="BT361" i="51"/>
  <c r="BV408" i="51"/>
  <c r="BU24" i="51"/>
  <c r="BV451" i="51"/>
  <c r="BU364" i="51"/>
  <c r="BT38" i="51"/>
  <c r="BR372" i="51"/>
  <c r="BY326" i="4"/>
  <c r="BZ326" i="4" s="1"/>
  <c r="BR399" i="51"/>
  <c r="BR401" i="51"/>
  <c r="BS39" i="51"/>
  <c r="BV406" i="51"/>
  <c r="BV449" i="51" s="1"/>
  <c r="BU22" i="51"/>
  <c r="BU362" i="51"/>
  <c r="BR398" i="51"/>
  <c r="BU407" i="51"/>
  <c r="BT23" i="51"/>
  <c r="BU450" i="51"/>
  <c r="BT363" i="51"/>
  <c r="BR28" i="51"/>
  <c r="BR30" i="51"/>
  <c r="BR32" i="51"/>
  <c r="BT448" i="51"/>
  <c r="BR456" i="51"/>
  <c r="BY368" i="4"/>
  <c r="BS452" i="51"/>
  <c r="BU451" i="51"/>
  <c r="BS365" i="51"/>
  <c r="BR29" i="51"/>
  <c r="BS29" i="51"/>
  <c r="BS37" i="51"/>
  <c r="BS25" i="51"/>
  <c r="BT40" i="51"/>
  <c r="BQ49" i="51"/>
  <c r="BQ44" i="51"/>
  <c r="BQ48" i="51"/>
  <c r="BQ46" i="51"/>
  <c r="BX327" i="4"/>
  <c r="BX322" i="4" s="1"/>
  <c r="BS398" i="51"/>
  <c r="BR41" i="51"/>
  <c r="BR45" i="51" s="1"/>
  <c r="R511" i="4"/>
  <c r="DF511" i="4" s="1"/>
  <c r="DF504" i="4"/>
  <c r="DK455" i="4"/>
  <c r="AQ457" i="4"/>
  <c r="AQ469" i="4"/>
  <c r="AQ463" i="4"/>
  <c r="DK463" i="4" s="1"/>
  <c r="N763" i="4"/>
  <c r="L761" i="4"/>
  <c r="CB128" i="4"/>
  <c r="CB123" i="4"/>
  <c r="CB126" i="4" s="1"/>
  <c r="AK123" i="4"/>
  <c r="AK126" i="4" s="1"/>
  <c r="AK128" i="4"/>
  <c r="AK129" i="4" s="1"/>
  <c r="AX65" i="4"/>
  <c r="AX67" i="4" s="1"/>
  <c r="BN65" i="4"/>
  <c r="BN67" i="4" s="1"/>
  <c r="BN60" i="4"/>
  <c r="BN61" i="4" s="1"/>
  <c r="BH117" i="4"/>
  <c r="CW844" i="4"/>
  <c r="AC65" i="4"/>
  <c r="AC67" i="4" s="1"/>
  <c r="AC68" i="4" s="1"/>
  <c r="AG53" i="4"/>
  <c r="Y129" i="4"/>
  <c r="P690" i="4"/>
  <c r="P634" i="4"/>
  <c r="P33" i="4"/>
  <c r="P47" i="4" s="1"/>
  <c r="P22" i="4"/>
  <c r="AR138" i="4"/>
  <c r="AR144" i="4" s="1"/>
  <c r="AR65" i="4"/>
  <c r="AR67" i="4" s="1"/>
  <c r="AV53" i="4"/>
  <c r="AE127" i="4"/>
  <c r="Z131" i="4"/>
  <c r="DE724" i="4"/>
  <c r="M726" i="4"/>
  <c r="DE726" i="4" s="1"/>
  <c r="CL978" i="4"/>
  <c r="CL101" i="4"/>
  <c r="CL99" i="4"/>
  <c r="CL107" i="4"/>
  <c r="CL100" i="4"/>
  <c r="CR664" i="4"/>
  <c r="CR670" i="4"/>
  <c r="AD131" i="4"/>
  <c r="AJ128" i="4"/>
  <c r="AJ123" i="4"/>
  <c r="AJ126" i="4" s="1"/>
  <c r="DS773" i="4"/>
  <c r="CE786" i="4"/>
  <c r="DS786" i="4" s="1"/>
  <c r="AN788" i="4"/>
  <c r="AN148" i="4"/>
  <c r="CX707" i="4"/>
  <c r="CX714" i="4" s="1"/>
  <c r="CX661" i="4"/>
  <c r="CX666" i="4"/>
  <c r="Z934" i="4"/>
  <c r="Z651" i="4"/>
  <c r="AB915" i="4"/>
  <c r="DH915" i="4" s="1"/>
  <c r="X917" i="4"/>
  <c r="X927" i="4" s="1"/>
  <c r="AB893" i="4"/>
  <c r="DM469" i="4"/>
  <c r="BA473" i="4"/>
  <c r="BA50" i="4"/>
  <c r="DM50" i="4" s="1"/>
  <c r="BA51" i="4"/>
  <c r="DM47" i="4"/>
  <c r="DK801" i="4"/>
  <c r="AQ802" i="4"/>
  <c r="DK802" i="4" s="1"/>
  <c r="AQ803" i="4"/>
  <c r="DK803" i="4" s="1"/>
  <c r="BX100" i="4"/>
  <c r="BX104" i="4"/>
  <c r="BX99" i="4"/>
  <c r="BO146" i="4"/>
  <c r="BO145" i="4"/>
  <c r="AA917" i="4"/>
  <c r="AA927" i="4" s="1"/>
  <c r="P447" i="4"/>
  <c r="R446" i="4"/>
  <c r="CT860" i="4"/>
  <c r="DV837" i="4"/>
  <c r="CU837" i="4"/>
  <c r="BA894" i="4"/>
  <c r="DM894" i="4" s="1"/>
  <c r="AT966" i="4"/>
  <c r="CB100" i="4"/>
  <c r="CB104" i="4"/>
  <c r="CB99" i="4"/>
  <c r="AX123" i="4"/>
  <c r="AX126" i="4" s="1"/>
  <c r="AX128" i="4"/>
  <c r="BN117" i="4"/>
  <c r="CW838" i="4"/>
  <c r="AV112" i="4"/>
  <c r="AV59" i="4"/>
  <c r="DL51" i="4"/>
  <c r="AV60" i="4"/>
  <c r="BH65" i="4"/>
  <c r="BH67" i="4" s="1"/>
  <c r="BH148" i="4"/>
  <c r="BH100" i="4"/>
  <c r="BH104" i="4"/>
  <c r="BH105" i="4" s="1"/>
  <c r="BH99" i="4"/>
  <c r="BJ99" i="4"/>
  <c r="BJ104" i="4"/>
  <c r="BJ105" i="4" s="1"/>
  <c r="BJ100" i="4"/>
  <c r="BJ148" i="4"/>
  <c r="BD966" i="4"/>
  <c r="AN65" i="4"/>
  <c r="AN67" i="4" s="1"/>
  <c r="BE445" i="4"/>
  <c r="BE444" i="4" s="1"/>
  <c r="BD444" i="4"/>
  <c r="BJ871" i="4"/>
  <c r="BJ797" i="4" s="1"/>
  <c r="BK863" i="4"/>
  <c r="BD626" i="4"/>
  <c r="AY626" i="4"/>
  <c r="AH639" i="4"/>
  <c r="AL639" i="4" s="1"/>
  <c r="AL637" i="4"/>
  <c r="DJ637" i="4" s="1"/>
  <c r="T131" i="4"/>
  <c r="Y127" i="4"/>
  <c r="R20" i="4"/>
  <c r="R14" i="4"/>
  <c r="DF10" i="4"/>
  <c r="S917" i="4"/>
  <c r="S927" i="4" s="1"/>
  <c r="AR128" i="4"/>
  <c r="AR123" i="4"/>
  <c r="AR126" i="4" s="1"/>
  <c r="AE129" i="4"/>
  <c r="BO148" i="4"/>
  <c r="BO100" i="4"/>
  <c r="BO101" i="4"/>
  <c r="BO99" i="4"/>
  <c r="BO104" i="4"/>
  <c r="BO105" i="4" s="1"/>
  <c r="CP649" i="4"/>
  <c r="CN647" i="4"/>
  <c r="CO647" i="4" s="1"/>
  <c r="DU647" i="4" s="1"/>
  <c r="AP65" i="4"/>
  <c r="AP67" i="4" s="1"/>
  <c r="AP61" i="4"/>
  <c r="AS61" i="4"/>
  <c r="AS123" i="4"/>
  <c r="AS126" i="4" s="1"/>
  <c r="AS128" i="4"/>
  <c r="AL50" i="4"/>
  <c r="DJ50" i="4" s="1"/>
  <c r="AL51" i="4"/>
  <c r="DJ47" i="4"/>
  <c r="CX834" i="4"/>
  <c r="CX795" i="4" s="1"/>
  <c r="CY832" i="4"/>
  <c r="CZ832" i="4" s="1"/>
  <c r="R927" i="4"/>
  <c r="DF927" i="4" s="1"/>
  <c r="BL88" i="4"/>
  <c r="BL112" i="4"/>
  <c r="BL59" i="4"/>
  <c r="BL966" i="4" s="1"/>
  <c r="BL54" i="4"/>
  <c r="BL53" i="4"/>
  <c r="BN138" i="4" s="1"/>
  <c r="BN144" i="4" s="1"/>
  <c r="BL964" i="4"/>
  <c r="BP964" i="4" s="1"/>
  <c r="DP964" i="4" s="1"/>
  <c r="AB65" i="4"/>
  <c r="AB67" i="4" s="1"/>
  <c r="DH53" i="4"/>
  <c r="DX81" i="4"/>
  <c r="DA81" i="4"/>
  <c r="DY81" i="4" s="1"/>
  <c r="BI65" i="4"/>
  <c r="BI67" i="4" s="1"/>
  <c r="BI117" i="4"/>
  <c r="CO85" i="4"/>
  <c r="DU85" i="4" s="1"/>
  <c r="DU84" i="4"/>
  <c r="AZ651" i="4"/>
  <c r="BA85" i="4"/>
  <c r="DM85" i="4" s="1"/>
  <c r="DM84" i="4"/>
  <c r="BA98" i="4"/>
  <c r="AJ917" i="4"/>
  <c r="AJ927" i="4" s="1"/>
  <c r="CS670" i="4"/>
  <c r="CS664" i="4"/>
  <c r="DV774" i="4"/>
  <c r="CU774" i="4"/>
  <c r="CY246" i="4"/>
  <c r="DW246" i="4" s="1"/>
  <c r="DW228" i="4"/>
  <c r="CW666" i="4"/>
  <c r="CW707" i="4"/>
  <c r="CW714" i="4" s="1"/>
  <c r="CW661" i="4"/>
  <c r="BY104" i="4"/>
  <c r="BY99" i="4"/>
  <c r="BY100" i="4"/>
  <c r="BE894" i="4"/>
  <c r="BE899" i="4"/>
  <c r="BE934" i="4"/>
  <c r="BE651" i="4"/>
  <c r="AA934" i="4"/>
  <c r="AA651" i="4"/>
  <c r="BE65" i="4"/>
  <c r="BE67" i="4" s="1"/>
  <c r="BE123" i="4"/>
  <c r="BE126" i="4" s="1"/>
  <c r="BE128" i="4"/>
  <c r="BK85" i="4"/>
  <c r="DO85" i="4" s="1"/>
  <c r="DO84" i="4"/>
  <c r="DI724" i="4"/>
  <c r="AG726" i="4"/>
  <c r="DI726" i="4" s="1"/>
  <c r="BZ823" i="4"/>
  <c r="DR823" i="4" s="1"/>
  <c r="DR816" i="4"/>
  <c r="AZ966" i="4"/>
  <c r="AB898" i="4"/>
  <c r="DH898" i="4" s="1"/>
  <c r="AB932" i="4"/>
  <c r="DH932" i="4" s="1"/>
  <c r="AB894" i="4"/>
  <c r="DH894" i="4" s="1"/>
  <c r="AU966" i="4"/>
  <c r="CJ837" i="4"/>
  <c r="CI860" i="4"/>
  <c r="CI796" i="4" s="1"/>
  <c r="CI798" i="4" s="1"/>
  <c r="CR773" i="4"/>
  <c r="BK724" i="4"/>
  <c r="DO704" i="4"/>
  <c r="N131" i="4"/>
  <c r="CO51" i="4"/>
  <c r="DU47" i="4"/>
  <c r="CO50" i="4"/>
  <c r="DU50" i="4" s="1"/>
  <c r="R726" i="4"/>
  <c r="DF726" i="4" s="1"/>
  <c r="DF724" i="4"/>
  <c r="AO894" i="4"/>
  <c r="AO897" i="4"/>
  <c r="AO913" i="4"/>
  <c r="BH838" i="4"/>
  <c r="CV707" i="4"/>
  <c r="CV714" i="4" s="1"/>
  <c r="CV666" i="4"/>
  <c r="CV661" i="4"/>
  <c r="BQ74" i="4"/>
  <c r="BQ84" i="4" s="1"/>
  <c r="BQ139" i="4"/>
  <c r="BQ22" i="4"/>
  <c r="BQ16" i="4"/>
  <c r="BQ33" i="4"/>
  <c r="BV16" i="4"/>
  <c r="BC61" i="4"/>
  <c r="BB860" i="4"/>
  <c r="BB796" i="4" s="1"/>
  <c r="BB798" i="4" s="1"/>
  <c r="BC837" i="4"/>
  <c r="CF638" i="4"/>
  <c r="CJ637" i="4"/>
  <c r="DL452" i="4"/>
  <c r="AV453" i="4"/>
  <c r="DL453" i="4" s="1"/>
  <c r="AV455" i="4"/>
  <c r="CA638" i="4"/>
  <c r="CE637" i="4"/>
  <c r="BX356" i="4"/>
  <c r="BX355" i="4"/>
  <c r="BP496" i="4"/>
  <c r="BO521" i="4"/>
  <c r="BP521" i="4" s="1"/>
  <c r="DP521" i="4" s="1"/>
  <c r="BO500" i="4"/>
  <c r="BP500" i="4" s="1"/>
  <c r="EP348" i="9" s="1"/>
  <c r="R445" i="4"/>
  <c r="DF445" i="4" s="1"/>
  <c r="DF444" i="4"/>
  <c r="BF726" i="4"/>
  <c r="DN726" i="4" s="1"/>
  <c r="DN724" i="4"/>
  <c r="CW840" i="4"/>
  <c r="Z917" i="4"/>
  <c r="Z927" i="4" s="1"/>
  <c r="BU537" i="4"/>
  <c r="DQ531" i="4"/>
  <c r="BU532" i="4"/>
  <c r="AU626" i="4"/>
  <c r="DP47" i="4"/>
  <c r="BP51" i="4"/>
  <c r="BP50" i="4"/>
  <c r="DP50" i="4" s="1"/>
  <c r="BB60" i="4"/>
  <c r="BB53" i="4"/>
  <c r="BE138" i="4" s="1"/>
  <c r="BE144" i="4" s="1"/>
  <c r="BB59" i="4"/>
  <c r="BJ311" i="8" s="1"/>
  <c r="BB54" i="4"/>
  <c r="BB112" i="4"/>
  <c r="BB117" i="4" s="1"/>
  <c r="BB964" i="4"/>
  <c r="BF964" i="4" s="1"/>
  <c r="DN964" i="4" s="1"/>
  <c r="M47" i="4"/>
  <c r="DE33" i="4"/>
  <c r="AL447" i="4"/>
  <c r="DJ447" i="4" s="1"/>
  <c r="AL455" i="4"/>
  <c r="DJ446" i="4"/>
  <c r="BB495" i="4"/>
  <c r="CG65" i="4"/>
  <c r="CG67" i="4" s="1"/>
  <c r="CG60" i="4"/>
  <c r="CG123" i="4"/>
  <c r="CG126" i="4" s="1"/>
  <c r="CG128" i="4"/>
  <c r="DS211" i="4"/>
  <c r="CE213" i="4"/>
  <c r="CJ85" i="4"/>
  <c r="DT85" i="4" s="1"/>
  <c r="DT84" i="4"/>
  <c r="BF98" i="4"/>
  <c r="BF85" i="4"/>
  <c r="DN85" i="4" s="1"/>
  <c r="DN84" i="4"/>
  <c r="CD101" i="4"/>
  <c r="CD99" i="4"/>
  <c r="CD107" i="4"/>
  <c r="CD104" i="4"/>
  <c r="CD100" i="4"/>
  <c r="DG930" i="4"/>
  <c r="W651" i="4"/>
  <c r="DG651" i="4" s="1"/>
  <c r="CO637" i="4"/>
  <c r="CK638" i="4"/>
  <c r="AI934" i="4"/>
  <c r="AI651" i="4"/>
  <c r="AH917" i="4"/>
  <c r="AH927" i="4" s="1"/>
  <c r="AL893" i="4"/>
  <c r="AL898" i="4"/>
  <c r="DJ898" i="4" s="1"/>
  <c r="AL913" i="4"/>
  <c r="DJ913" i="4" s="1"/>
  <c r="AL98" i="4"/>
  <c r="AL85" i="4"/>
  <c r="DJ85" i="4" s="1"/>
  <c r="DJ84" i="4"/>
  <c r="BH488" i="4"/>
  <c r="BC489" i="4"/>
  <c r="BC519" i="4" s="1"/>
  <c r="BC523" i="4" s="1"/>
  <c r="AW626" i="4"/>
  <c r="BB626" i="4"/>
  <c r="BA204" i="4"/>
  <c r="DM204" i="4" s="1"/>
  <c r="DM203" i="4"/>
  <c r="BA898" i="4"/>
  <c r="DM898" i="4" s="1"/>
  <c r="BL488" i="4"/>
  <c r="BL489" i="4" s="1"/>
  <c r="BL519" i="4" s="1"/>
  <c r="BG489" i="4"/>
  <c r="BG519" i="4" s="1"/>
  <c r="BS505" i="4"/>
  <c r="AY651" i="4"/>
  <c r="AY966" i="4"/>
  <c r="BT23" i="4"/>
  <c r="BY23" i="4"/>
  <c r="AC123" i="4"/>
  <c r="AC126" i="4" s="1"/>
  <c r="AC128" i="4"/>
  <c r="AC129" i="4" s="1"/>
  <c r="BO65" i="4"/>
  <c r="BO67" i="4" s="1"/>
  <c r="BO60" i="4"/>
  <c r="U100" i="56" s="1"/>
  <c r="BO138" i="4"/>
  <c r="BO144" i="4" s="1"/>
  <c r="BO150" i="4" s="1"/>
  <c r="BO117" i="4"/>
  <c r="AS138" i="4"/>
  <c r="AS144" i="4" s="1"/>
  <c r="AS65" i="4"/>
  <c r="AS67" i="4" s="1"/>
  <c r="AL751" i="4"/>
  <c r="DJ746" i="4"/>
  <c r="CN637" i="4"/>
  <c r="CN638" i="4" s="1"/>
  <c r="CN50" i="4"/>
  <c r="CN51" i="4"/>
  <c r="O112" i="4"/>
  <c r="O117" i="4" s="1"/>
  <c r="O60" i="4"/>
  <c r="O59" i="4"/>
  <c r="O966" i="4" s="1"/>
  <c r="O54" i="4"/>
  <c r="O53" i="4"/>
  <c r="O964" i="4"/>
  <c r="T54" i="4"/>
  <c r="DW967" i="4"/>
  <c r="CZ967" i="4"/>
  <c r="BG964" i="4"/>
  <c r="BK964" i="4" s="1"/>
  <c r="DO964" i="4" s="1"/>
  <c r="BG112" i="4"/>
  <c r="BG88" i="4"/>
  <c r="BG59" i="4"/>
  <c r="BN311" i="8" s="1"/>
  <c r="BG54" i="4"/>
  <c r="BG53" i="4"/>
  <c r="BI138" i="4" s="1"/>
  <c r="BI144" i="4" s="1"/>
  <c r="BG60" i="4"/>
  <c r="BG61" i="4" s="1"/>
  <c r="BY60" i="4"/>
  <c r="BY65" i="4"/>
  <c r="BY67" i="4" s="1"/>
  <c r="DL746" i="4"/>
  <c r="AV751" i="4"/>
  <c r="Y934" i="4"/>
  <c r="Y651" i="4"/>
  <c r="BC128" i="4"/>
  <c r="BC123" i="4"/>
  <c r="BC126" i="4" s="1"/>
  <c r="X131" i="4"/>
  <c r="AC132" i="4" s="1"/>
  <c r="AC127" i="4"/>
  <c r="CI978" i="4"/>
  <c r="CI107" i="4"/>
  <c r="CI100" i="4"/>
  <c r="CI101" i="4"/>
  <c r="CI99" i="4"/>
  <c r="CI104" i="4"/>
  <c r="BY354" i="4"/>
  <c r="BZ361" i="4"/>
  <c r="N129" i="4"/>
  <c r="BR840" i="4"/>
  <c r="AA131" i="4"/>
  <c r="AF127" i="4"/>
  <c r="CY160" i="4"/>
  <c r="DW160" i="4" s="1"/>
  <c r="CZ158" i="4"/>
  <c r="DW158" i="4"/>
  <c r="CM97" i="4"/>
  <c r="CO97" i="4" s="1"/>
  <c r="DU97" i="4" s="1"/>
  <c r="AL895" i="4"/>
  <c r="DJ895" i="4" s="1"/>
  <c r="BA903" i="4"/>
  <c r="DM903" i="4" s="1"/>
  <c r="L128" i="4"/>
  <c r="L123" i="4"/>
  <c r="L126" i="4" s="1"/>
  <c r="L131" i="4" s="1"/>
  <c r="W459" i="4"/>
  <c r="DG459" i="4" s="1"/>
  <c r="DG457" i="4"/>
  <c r="W458" i="4"/>
  <c r="DG458" i="4" s="1"/>
  <c r="AT123" i="4"/>
  <c r="AT126" i="4" s="1"/>
  <c r="AT128" i="4"/>
  <c r="AO61" i="4"/>
  <c r="BK51" i="4"/>
  <c r="DO47" i="4"/>
  <c r="BK50" i="4"/>
  <c r="DO50" i="4" s="1"/>
  <c r="BQ521" i="4"/>
  <c r="BR492" i="4"/>
  <c r="BR496" i="4" s="1"/>
  <c r="DI455" i="4"/>
  <c r="AG457" i="4"/>
  <c r="AG463" i="4"/>
  <c r="DI463" i="4" s="1"/>
  <c r="AG469" i="4"/>
  <c r="DO116" i="4"/>
  <c r="DH503" i="4"/>
  <c r="CY675" i="4"/>
  <c r="CU657" i="4"/>
  <c r="CU678" i="4"/>
  <c r="BH966" i="4"/>
  <c r="BJ117" i="4"/>
  <c r="W638" i="4"/>
  <c r="DG638" i="4" s="1"/>
  <c r="DG639" i="4"/>
  <c r="BD138" i="4"/>
  <c r="BD144" i="4" s="1"/>
  <c r="BD65" i="4"/>
  <c r="BD67" i="4" s="1"/>
  <c r="AM112" i="4"/>
  <c r="AM117" i="4" s="1"/>
  <c r="AM60" i="4"/>
  <c r="AR61" i="4" s="1"/>
  <c r="AM59" i="4"/>
  <c r="AM966" i="4" s="1"/>
  <c r="AM54" i="4"/>
  <c r="AM53" i="4"/>
  <c r="AP138" i="4" s="1"/>
  <c r="AP144" i="4" s="1"/>
  <c r="AM964" i="4"/>
  <c r="AQ964" i="4" s="1"/>
  <c r="DK964" i="4" s="1"/>
  <c r="AY61" i="4"/>
  <c r="BT34" i="4"/>
  <c r="BT35" i="4"/>
  <c r="BT47" i="4"/>
  <c r="BY35" i="4"/>
  <c r="AV100" i="4"/>
  <c r="DL100" i="4" s="1"/>
  <c r="BU237" i="72" s="1"/>
  <c r="AV104" i="4"/>
  <c r="AV136" i="4"/>
  <c r="AV99" i="4"/>
  <c r="DL99" i="4" s="1"/>
  <c r="DL98" i="4"/>
  <c r="BF51" i="4"/>
  <c r="DN47" i="4"/>
  <c r="BF50" i="4"/>
  <c r="DN50" i="4" s="1"/>
  <c r="P21" i="4"/>
  <c r="U21" i="4"/>
  <c r="AR54" i="4"/>
  <c r="CO649" i="4"/>
  <c r="DU649" i="4" s="1"/>
  <c r="AF131" i="4"/>
  <c r="AK127" i="4"/>
  <c r="DO455" i="4"/>
  <c r="BK457" i="4"/>
  <c r="BK469" i="4"/>
  <c r="BK463" i="4"/>
  <c r="DO463" i="4" s="1"/>
  <c r="CX893" i="4"/>
  <c r="BG404" i="4"/>
  <c r="BH3" i="4"/>
  <c r="BG4" i="4"/>
  <c r="CW960" i="4"/>
  <c r="CX778" i="4"/>
  <c r="BI966" i="4"/>
  <c r="AJ65" i="4"/>
  <c r="AJ67" i="4" s="1"/>
  <c r="AJ68" i="4" s="1"/>
  <c r="O639" i="4"/>
  <c r="AW112" i="4"/>
  <c r="AW117" i="4" s="1"/>
  <c r="AW60" i="4"/>
  <c r="AW61" i="4" s="1"/>
  <c r="AW59" i="4"/>
  <c r="BF311" i="8" s="1"/>
  <c r="AW54" i="4"/>
  <c r="AW53" i="4"/>
  <c r="AX138" i="4" s="1"/>
  <c r="AX144" i="4" s="1"/>
  <c r="AW964" i="4"/>
  <c r="BA964" i="4" s="1"/>
  <c r="DM964" i="4" s="1"/>
  <c r="BJ488" i="4"/>
  <c r="BE489" i="4"/>
  <c r="BE519" i="4" s="1"/>
  <c r="BE523" i="4" s="1"/>
  <c r="DA905" i="4"/>
  <c r="DY905" i="4" s="1"/>
  <c r="BJ834" i="4"/>
  <c r="BJ795" i="4" s="1"/>
  <c r="BK833" i="4"/>
  <c r="CW841" i="4"/>
  <c r="CQ49" i="4"/>
  <c r="AG937" i="4"/>
  <c r="DI937" i="4" s="1"/>
  <c r="BW697" i="4"/>
  <c r="BW704" i="4" s="1"/>
  <c r="BW112" i="4"/>
  <c r="BW117" i="4" s="1"/>
  <c r="BW88" i="4"/>
  <c r="BW98" i="4" s="1"/>
  <c r="CB101" i="4" s="1"/>
  <c r="BW59" i="4"/>
  <c r="BW966" i="4" s="1"/>
  <c r="BW53" i="4"/>
  <c r="BW964" i="4"/>
  <c r="BG638" i="4"/>
  <c r="BK637" i="4"/>
  <c r="DN4" i="4"/>
  <c r="CD897" i="4"/>
  <c r="CD896" i="4"/>
  <c r="CC897" i="4"/>
  <c r="CM896" i="4"/>
  <c r="BB913" i="4"/>
  <c r="CH897" i="4"/>
  <c r="CP897" i="4"/>
  <c r="CG897" i="4"/>
  <c r="CP895" i="4"/>
  <c r="CQ897" i="4"/>
  <c r="CP896" i="4"/>
  <c r="CB896" i="4"/>
  <c r="CC896" i="4"/>
  <c r="BB894" i="4"/>
  <c r="CB895" i="4"/>
  <c r="CB897" i="4"/>
  <c r="CN895" i="4"/>
  <c r="CM897" i="4"/>
  <c r="CN896" i="4"/>
  <c r="CN897" i="4"/>
  <c r="CC895" i="4"/>
  <c r="CM895" i="4"/>
  <c r="CD895" i="4"/>
  <c r="CG896" i="4"/>
  <c r="BB903" i="4"/>
  <c r="BB899" i="4"/>
  <c r="BF691" i="4"/>
  <c r="DN691" i="4" s="1"/>
  <c r="BB898" i="4"/>
  <c r="BB914" i="4"/>
  <c r="CQ895" i="4"/>
  <c r="BB915" i="4"/>
  <c r="BB900" i="4"/>
  <c r="BB893" i="4"/>
  <c r="CQ896" i="4"/>
  <c r="CF897" i="4"/>
  <c r="CF896" i="4"/>
  <c r="BB902" i="4"/>
  <c r="BB901" i="4"/>
  <c r="BC896" i="4"/>
  <c r="BC903" i="4"/>
  <c r="BC900" i="4"/>
  <c r="CG895" i="4"/>
  <c r="BC913" i="4"/>
  <c r="BC901" i="4"/>
  <c r="BC894" i="4"/>
  <c r="CI897" i="4"/>
  <c r="CK897" i="4"/>
  <c r="BC915" i="4"/>
  <c r="BC899" i="4"/>
  <c r="BC893" i="4"/>
  <c r="CH896" i="4"/>
  <c r="CF895" i="4"/>
  <c r="BC902" i="4"/>
  <c r="BC898" i="4"/>
  <c r="BC914" i="4"/>
  <c r="BF206" i="4"/>
  <c r="BD913" i="4"/>
  <c r="BD900" i="4"/>
  <c r="BD893" i="4"/>
  <c r="CS896" i="4"/>
  <c r="BB896" i="4"/>
  <c r="CL897" i="4"/>
  <c r="CU897" i="4"/>
  <c r="CH895" i="4"/>
  <c r="BD903" i="4"/>
  <c r="CS895" i="4"/>
  <c r="BD898" i="4"/>
  <c r="BD914" i="4"/>
  <c r="BD901" i="4"/>
  <c r="BD899" i="4"/>
  <c r="BF690" i="4"/>
  <c r="DN690" i="4" s="1"/>
  <c r="CK896" i="4"/>
  <c r="CS897" i="4"/>
  <c r="CI896" i="4"/>
  <c r="BF203" i="4"/>
  <c r="BD915" i="4"/>
  <c r="BD902" i="4"/>
  <c r="BD894" i="4"/>
  <c r="BD896" i="4"/>
  <c r="BE900" i="4"/>
  <c r="BE913" i="4"/>
  <c r="BA724" i="4"/>
  <c r="DM704" i="4"/>
  <c r="AK917" i="4"/>
  <c r="AK927" i="4" s="1"/>
  <c r="BE966" i="4"/>
  <c r="AB455" i="4"/>
  <c r="DH446" i="4"/>
  <c r="AB447" i="4"/>
  <c r="DH447" i="4" s="1"/>
  <c r="AO933" i="4"/>
  <c r="AP760" i="4"/>
  <c r="AO765" i="4"/>
  <c r="AO140" i="4" s="1"/>
  <c r="AZ65" i="4"/>
  <c r="AZ67" i="4" s="1"/>
  <c r="AZ128" i="4"/>
  <c r="AZ123" i="4"/>
  <c r="AZ126" i="4" s="1"/>
  <c r="AD129" i="4"/>
  <c r="DA933" i="4"/>
  <c r="DY933" i="4" s="1"/>
  <c r="DY760" i="4"/>
  <c r="AB931" i="4"/>
  <c r="DH931" i="4" s="1"/>
  <c r="AB896" i="4"/>
  <c r="DH896" i="4" s="1"/>
  <c r="AG912" i="4"/>
  <c r="AC917" i="4"/>
  <c r="AC927" i="4" s="1"/>
  <c r="AB933" i="4"/>
  <c r="DH933" i="4" s="1"/>
  <c r="BP85" i="4"/>
  <c r="DP85" i="4" s="1"/>
  <c r="DP84" i="4"/>
  <c r="AU65" i="4"/>
  <c r="AU67" i="4" s="1"/>
  <c r="AU68" i="4" s="1"/>
  <c r="AU138" i="4"/>
  <c r="AU144" i="4" s="1"/>
  <c r="AU128" i="4"/>
  <c r="AU123" i="4"/>
  <c r="AU126" i="4" s="1"/>
  <c r="CH773" i="4"/>
  <c r="CH786" i="4" s="1"/>
  <c r="AN902" i="4"/>
  <c r="DK4" i="4"/>
  <c r="BB931" i="4"/>
  <c r="AR931" i="4"/>
  <c r="AV931" i="4" s="1"/>
  <c r="DL931" i="4" s="1"/>
  <c r="AQ691" i="4"/>
  <c r="DK691" i="4" s="1"/>
  <c r="AR932" i="4"/>
  <c r="BB930" i="4"/>
  <c r="BB932" i="4"/>
  <c r="AR930" i="4"/>
  <c r="AS931" i="4"/>
  <c r="BC930" i="4"/>
  <c r="AW931" i="4"/>
  <c r="AM901" i="4"/>
  <c r="AM914" i="4"/>
  <c r="AS930" i="4"/>
  <c r="BC932" i="4"/>
  <c r="AW930" i="4"/>
  <c r="AM894" i="4"/>
  <c r="AM897" i="4"/>
  <c r="AM899" i="4"/>
  <c r="AM931" i="4"/>
  <c r="AW932" i="4"/>
  <c r="BY932" i="4"/>
  <c r="AM932" i="4"/>
  <c r="AQ932" i="4" s="1"/>
  <c r="DK932" i="4" s="1"/>
  <c r="AM898" i="4"/>
  <c r="AM896" i="4"/>
  <c r="AM625" i="4"/>
  <c r="AM913" i="4"/>
  <c r="AQ913" i="4" s="1"/>
  <c r="DK913" i="4" s="1"/>
  <c r="AS932" i="4"/>
  <c r="BC931" i="4"/>
  <c r="AM930" i="4"/>
  <c r="AM895" i="4"/>
  <c r="AM915" i="4"/>
  <c r="AN932" i="4"/>
  <c r="AN915" i="4"/>
  <c r="AN898" i="4"/>
  <c r="AN894" i="4"/>
  <c r="AU931" i="4"/>
  <c r="BD931" i="4"/>
  <c r="AX931" i="4"/>
  <c r="AX932" i="4"/>
  <c r="AN913" i="4"/>
  <c r="AX930" i="4"/>
  <c r="AT932" i="4"/>
  <c r="AN914" i="4"/>
  <c r="AN901" i="4"/>
  <c r="AN896" i="4"/>
  <c r="AN625" i="4"/>
  <c r="AU932" i="4"/>
  <c r="BD930" i="4"/>
  <c r="BD932" i="4"/>
  <c r="AT931" i="4"/>
  <c r="AQ206" i="4"/>
  <c r="AM933" i="4"/>
  <c r="AN931" i="4"/>
  <c r="AN897" i="4"/>
  <c r="AU930" i="4"/>
  <c r="AN930" i="4"/>
  <c r="AN899" i="4"/>
  <c r="AN895" i="4"/>
  <c r="BD933" i="4"/>
  <c r="AQ690" i="4"/>
  <c r="DK690" i="4" s="1"/>
  <c r="AT930" i="4"/>
  <c r="AQ203" i="4"/>
  <c r="AO625" i="4"/>
  <c r="AO895" i="4"/>
  <c r="AO901" i="4"/>
  <c r="AO914" i="4"/>
  <c r="BV289" i="4"/>
  <c r="DQ289" i="4"/>
  <c r="BQ523" i="4"/>
  <c r="DM860" i="4"/>
  <c r="BA796" i="4"/>
  <c r="CC123" i="4"/>
  <c r="CC126" i="4" s="1"/>
  <c r="CC128" i="4"/>
  <c r="CI65" i="4"/>
  <c r="CI67" i="4" s="1"/>
  <c r="CI60" i="4"/>
  <c r="CI128" i="4"/>
  <c r="CI123" i="4"/>
  <c r="CI126" i="4" s="1"/>
  <c r="CI131" i="4" s="1"/>
  <c r="BM117" i="4"/>
  <c r="BX60" i="4"/>
  <c r="BX65" i="4"/>
  <c r="BX67" i="4" s="1"/>
  <c r="BX128" i="4"/>
  <c r="BX123" i="4"/>
  <c r="BX126" i="4" s="1"/>
  <c r="CH978" i="4"/>
  <c r="CH101" i="4"/>
  <c r="CH99" i="4"/>
  <c r="CH107" i="4"/>
  <c r="CH104" i="4"/>
  <c r="CH100" i="4"/>
  <c r="AM802" i="4"/>
  <c r="AM803" i="4"/>
  <c r="CA697" i="4"/>
  <c r="CA704" i="4" s="1"/>
  <c r="CA724" i="4" s="1"/>
  <c r="CA112" i="4"/>
  <c r="CA117" i="4" s="1"/>
  <c r="CA88" i="4"/>
  <c r="CA98" i="4" s="1"/>
  <c r="CB801" i="4" s="1"/>
  <c r="CB802" i="4" s="1"/>
  <c r="CA59" i="4"/>
  <c r="CA966" i="4" s="1"/>
  <c r="CA54" i="4"/>
  <c r="CA53" i="4"/>
  <c r="CD138" i="4" s="1"/>
  <c r="CD144" i="4" s="1"/>
  <c r="CA964" i="4"/>
  <c r="CW842" i="4"/>
  <c r="DS816" i="4"/>
  <c r="CE823" i="4"/>
  <c r="DS823" i="4" s="1"/>
  <c r="AF129" i="4"/>
  <c r="CP637" i="4"/>
  <c r="CP51" i="4"/>
  <c r="CP50" i="4"/>
  <c r="BP823" i="4"/>
  <c r="DP823" i="4" s="1"/>
  <c r="DP816" i="4"/>
  <c r="AA625" i="4"/>
  <c r="DH638" i="4"/>
  <c r="CS798" i="4"/>
  <c r="DX77" i="4"/>
  <c r="DA77" i="4"/>
  <c r="DY77" i="4" s="1"/>
  <c r="CS682" i="4"/>
  <c r="AA129" i="4"/>
  <c r="BZ214" i="4"/>
  <c r="DR214" i="4" s="1"/>
  <c r="DR213" i="4"/>
  <c r="AG638" i="4"/>
  <c r="DI638" i="4" s="1"/>
  <c r="DI639" i="4"/>
  <c r="Q21" i="4"/>
  <c r="V21" i="4"/>
  <c r="CZ384" i="4"/>
  <c r="DX384" i="4" s="1"/>
  <c r="DA378" i="4"/>
  <c r="DX373" i="4"/>
  <c r="CZ232" i="4"/>
  <c r="AB112" i="4"/>
  <c r="AB60" i="4"/>
  <c r="DH60" i="4" s="1"/>
  <c r="AB59" i="4"/>
  <c r="DH51" i="4"/>
  <c r="CY667" i="4"/>
  <c r="DW667" i="4" s="1"/>
  <c r="DW658" i="4"/>
  <c r="CZ658" i="4"/>
  <c r="BM759" i="4"/>
  <c r="BL685" i="4"/>
  <c r="BL686" i="4" s="1"/>
  <c r="BL765" i="4"/>
  <c r="CK697" i="4"/>
  <c r="CK704" i="4" s="1"/>
  <c r="CK724" i="4" s="1"/>
  <c r="CK88" i="4"/>
  <c r="CK98" i="4" s="1"/>
  <c r="CL136" i="4" s="1"/>
  <c r="CK112" i="4"/>
  <c r="CK117" i="4" s="1"/>
  <c r="CK59" i="4"/>
  <c r="CK966" i="4" s="1"/>
  <c r="CK54" i="4"/>
  <c r="CK53" i="4"/>
  <c r="CM138" i="4" s="1"/>
  <c r="CM144" i="4" s="1"/>
  <c r="CK964" i="4"/>
  <c r="CM65" i="4"/>
  <c r="CM67" i="4" s="1"/>
  <c r="CM60" i="4"/>
  <c r="CM128" i="4"/>
  <c r="CM123" i="4"/>
  <c r="CM126" i="4" s="1"/>
  <c r="AQ893" i="4"/>
  <c r="AL896" i="4"/>
  <c r="DJ896" i="4" s="1"/>
  <c r="AH934" i="4"/>
  <c r="AL930" i="4"/>
  <c r="AH651" i="4"/>
  <c r="AL933" i="4"/>
  <c r="DJ933" i="4" s="1"/>
  <c r="AE131" i="4"/>
  <c r="AG50" i="4"/>
  <c r="DI50" i="4" s="1"/>
  <c r="AG51" i="4"/>
  <c r="DI47" i="4"/>
  <c r="BT943" i="4"/>
  <c r="BU941" i="4"/>
  <c r="BV638" i="4"/>
  <c r="BZ637" i="4"/>
  <c r="W50" i="4"/>
  <c r="DG50" i="4" s="1"/>
  <c r="W51" i="4"/>
  <c r="AB54" i="4" s="1"/>
  <c r="DH54" i="4" s="1"/>
  <c r="DG47" i="4"/>
  <c r="CQ670" i="4"/>
  <c r="CQ664" i="4"/>
  <c r="AX626" i="4"/>
  <c r="BA746" i="4"/>
  <c r="BA915" i="4"/>
  <c r="DM915" i="4" s="1"/>
  <c r="BA897" i="4"/>
  <c r="DM897" i="4" s="1"/>
  <c r="BA900" i="4"/>
  <c r="DM900" i="4" s="1"/>
  <c r="BE896" i="4"/>
  <c r="CB60" i="4"/>
  <c r="CB65" i="4"/>
  <c r="CB67" i="4" s="1"/>
  <c r="AK65" i="4"/>
  <c r="AK67" i="4" s="1"/>
  <c r="AK68" i="4" s="1"/>
  <c r="X511" i="4"/>
  <c r="AB504" i="4"/>
  <c r="AB506" i="4" s="1"/>
  <c r="X522" i="4"/>
  <c r="AB522" i="4" s="1"/>
  <c r="DH522" i="4" s="1"/>
  <c r="BD128" i="4"/>
  <c r="BD123" i="4"/>
  <c r="BD126" i="4" s="1"/>
  <c r="DL801" i="4"/>
  <c r="AV802" i="4"/>
  <c r="DL802" i="4" s="1"/>
  <c r="AV803" i="4"/>
  <c r="DL803" i="4" s="1"/>
  <c r="DT47" i="4"/>
  <c r="CJ50" i="4"/>
  <c r="DT50" i="4" s="1"/>
  <c r="CJ51" i="4"/>
  <c r="AP651" i="4"/>
  <c r="BL638" i="4"/>
  <c r="BP637" i="4"/>
  <c r="BM774" i="4"/>
  <c r="BY123" i="4"/>
  <c r="BY126" i="4" s="1"/>
  <c r="BY128" i="4"/>
  <c r="DS806" i="4"/>
  <c r="Q522" i="4"/>
  <c r="Q511" i="4"/>
  <c r="X934" i="4"/>
  <c r="AB930" i="4"/>
  <c r="X651" i="4"/>
  <c r="AB913" i="4"/>
  <c r="DH913" i="4" s="1"/>
  <c r="BU530" i="4"/>
  <c r="DQ530" i="4" s="1"/>
  <c r="DQ526" i="4"/>
  <c r="BC65" i="4"/>
  <c r="BC67" i="4" s="1"/>
  <c r="CX843" i="4"/>
  <c r="CY843" i="4" s="1"/>
  <c r="CH65" i="4"/>
  <c r="CH67" i="4" s="1"/>
  <c r="CH60" i="4"/>
  <c r="AN140" i="4"/>
  <c r="CP666" i="4"/>
  <c r="CP661" i="4"/>
  <c r="CT657" i="4"/>
  <c r="BB453" i="4"/>
  <c r="Q690" i="4"/>
  <c r="Q634" i="4"/>
  <c r="Q22" i="4"/>
  <c r="Q33" i="4"/>
  <c r="Q47" i="4" s="1"/>
  <c r="DL637" i="4"/>
  <c r="AV638" i="4"/>
  <c r="DL638" i="4" s="1"/>
  <c r="AS917" i="4"/>
  <c r="AS927" i="4" s="1"/>
  <c r="BV697" i="4"/>
  <c r="BV704" i="4" s="1"/>
  <c r="BV112" i="4"/>
  <c r="BV117" i="4" s="1"/>
  <c r="BV88" i="4"/>
  <c r="BV53" i="4"/>
  <c r="BV59" i="4"/>
  <c r="BV966" i="4" s="1"/>
  <c r="BV964" i="4"/>
  <c r="BZ964" i="4" s="1"/>
  <c r="DR964" i="4" s="1"/>
  <c r="AQ453" i="4"/>
  <c r="DK453" i="4" s="1"/>
  <c r="DK452" i="4"/>
  <c r="AT65" i="4"/>
  <c r="AT67" i="4" s="1"/>
  <c r="AT138" i="4"/>
  <c r="AT144" i="4" s="1"/>
  <c r="AO138" i="4"/>
  <c r="AO144" i="4" s="1"/>
  <c r="AO65" i="4"/>
  <c r="AO67" i="4" s="1"/>
  <c r="AO123" i="4"/>
  <c r="AO126" i="4" s="1"/>
  <c r="AO128" i="4"/>
  <c r="AX966" i="4"/>
  <c r="CE85" i="4"/>
  <c r="DS85" i="4" s="1"/>
  <c r="DS84" i="4"/>
  <c r="BN101" i="4"/>
  <c r="BN99" i="4"/>
  <c r="BN104" i="4"/>
  <c r="BN100" i="4"/>
  <c r="AI65" i="4"/>
  <c r="AI67" i="4" s="1"/>
  <c r="AI68" i="4" s="1"/>
  <c r="AI128" i="4"/>
  <c r="AI123" i="4"/>
  <c r="AI126" i="4" s="1"/>
  <c r="AI127" i="4" s="1"/>
  <c r="CY676" i="4"/>
  <c r="DW676" i="4" s="1"/>
  <c r="DW673" i="4"/>
  <c r="CZ673" i="4"/>
  <c r="CZ114" i="4" s="1"/>
  <c r="DW114" i="4"/>
  <c r="BJ65" i="4"/>
  <c r="BJ67" i="4" s="1"/>
  <c r="BJ68" i="4" s="1"/>
  <c r="BJ966" i="4"/>
  <c r="BD839" i="4"/>
  <c r="AN61" i="4"/>
  <c r="AN128" i="4"/>
  <c r="AN123" i="4"/>
  <c r="AN126" i="4" s="1"/>
  <c r="BC494" i="4"/>
  <c r="BC495" i="4" s="1"/>
  <c r="BC465" i="4"/>
  <c r="BC452" i="4"/>
  <c r="BC453" i="4" s="1"/>
  <c r="AQ637" i="4"/>
  <c r="AM638" i="4"/>
  <c r="BI488" i="4"/>
  <c r="BD489" i="4"/>
  <c r="BD519" i="4" s="1"/>
  <c r="BD523" i="4" s="1"/>
  <c r="CC932" i="4"/>
  <c r="CD882" i="4"/>
  <c r="AY65" i="4"/>
  <c r="AY67" i="4" s="1"/>
  <c r="AY128" i="4"/>
  <c r="AY123" i="4"/>
  <c r="AY126" i="4" s="1"/>
  <c r="BT85" i="4"/>
  <c r="BY85" i="4"/>
  <c r="DL724" i="4"/>
  <c r="AV726" i="4"/>
  <c r="DL726" i="4" s="1"/>
  <c r="CJ823" i="4"/>
  <c r="DT823" i="4" s="1"/>
  <c r="DT816" i="4"/>
  <c r="AH112" i="4"/>
  <c r="AH117" i="4" s="1"/>
  <c r="AH53" i="4"/>
  <c r="AJ138" i="4" s="1"/>
  <c r="AJ144" i="4" s="1"/>
  <c r="AH60" i="4"/>
  <c r="AH61" i="4" s="1"/>
  <c r="AH59" i="4"/>
  <c r="AH966" i="4" s="1"/>
  <c r="AH54" i="4"/>
  <c r="AH964" i="4"/>
  <c r="AL964" i="4" s="1"/>
  <c r="DJ964" i="4" s="1"/>
  <c r="AX802" i="4"/>
  <c r="AX803" i="4"/>
  <c r="DG893" i="4"/>
  <c r="W917" i="4"/>
  <c r="DG917" i="4" s="1"/>
  <c r="AL726" i="4"/>
  <c r="DJ726" i="4" s="1"/>
  <c r="DJ724" i="4"/>
  <c r="AV964" i="4"/>
  <c r="DL964" i="4" s="1"/>
  <c r="AR966" i="4"/>
  <c r="DA619" i="4"/>
  <c r="DY616" i="4"/>
  <c r="DA29" i="4"/>
  <c r="DY29" i="4" s="1"/>
  <c r="AW802" i="4"/>
  <c r="AW803" i="4"/>
  <c r="AP123" i="4"/>
  <c r="AP126" i="4" s="1"/>
  <c r="AP128" i="4"/>
  <c r="AS966" i="4"/>
  <c r="CR637" i="4"/>
  <c r="CR638" i="4" s="1"/>
  <c r="CR50" i="4"/>
  <c r="CL65" i="4"/>
  <c r="CL67" i="4" s="1"/>
  <c r="CL138" i="4"/>
  <c r="CL144" i="4" s="1"/>
  <c r="CL60" i="4"/>
  <c r="CL61" i="4" s="1"/>
  <c r="CL123" i="4"/>
  <c r="CL126" i="4" s="1"/>
  <c r="CL128" i="4"/>
  <c r="CT707" i="4"/>
  <c r="DR84" i="4"/>
  <c r="BI61" i="4"/>
  <c r="BI104" i="4"/>
  <c r="BI105" i="4" s="1"/>
  <c r="BI148" i="4"/>
  <c r="BI100" i="4"/>
  <c r="BI99" i="4"/>
  <c r="BK146" i="4"/>
  <c r="DO140" i="4"/>
  <c r="BA637" i="4"/>
  <c r="AW638" i="4"/>
  <c r="AZ626" i="4"/>
  <c r="BE626" i="4"/>
  <c r="CU870" i="4"/>
  <c r="CT871" i="4"/>
  <c r="AQ98" i="4"/>
  <c r="AQ85" i="4"/>
  <c r="DK85" i="4" s="1"/>
  <c r="DK84" i="4"/>
  <c r="S65" i="4"/>
  <c r="S67" i="4" s="1"/>
  <c r="S68" i="4" s="1"/>
  <c r="S128" i="4"/>
  <c r="S123" i="4"/>
  <c r="S126" i="4" s="1"/>
  <c r="DH724" i="4"/>
  <c r="AB726" i="4"/>
  <c r="DH726" i="4" s="1"/>
  <c r="DX754" i="4"/>
  <c r="DA754" i="4"/>
  <c r="DY754" i="4" s="1"/>
  <c r="BE61" i="4"/>
  <c r="BZ51" i="4"/>
  <c r="DQ282" i="9" s="1"/>
  <c r="DR47" i="4"/>
  <c r="BZ50" i="4"/>
  <c r="DR50" i="4" s="1"/>
  <c r="M53" i="4"/>
  <c r="R522" i="4"/>
  <c r="DF522" i="4" s="1"/>
  <c r="AD127" i="4"/>
  <c r="Y131" i="4"/>
  <c r="Y917" i="4"/>
  <c r="Y927" i="4" s="1"/>
  <c r="AB895" i="4"/>
  <c r="DH895" i="4" s="1"/>
  <c r="AB897" i="4"/>
  <c r="DH897" i="4" s="1"/>
  <c r="CI895" i="4"/>
  <c r="BA458" i="4"/>
  <c r="DM458" i="4" s="1"/>
  <c r="DM457" i="4"/>
  <c r="S129" i="4"/>
  <c r="BM760" i="4"/>
  <c r="AO934" i="4"/>
  <c r="AO651" i="4"/>
  <c r="DA903" i="4"/>
  <c r="DY903" i="4" s="1"/>
  <c r="DI84" i="4"/>
  <c r="AG98" i="4"/>
  <c r="BC966" i="4"/>
  <c r="I444" i="4"/>
  <c r="M436" i="4"/>
  <c r="BP745" i="4"/>
  <c r="K72" i="59" s="1"/>
  <c r="DP726" i="4"/>
  <c r="AH521" i="4"/>
  <c r="AI492" i="4"/>
  <c r="AI496" i="4" s="1"/>
  <c r="AH500" i="4"/>
  <c r="CC60" i="4"/>
  <c r="CC65" i="4"/>
  <c r="CC67" i="4" s="1"/>
  <c r="CC104" i="4"/>
  <c r="CC105" i="4" s="1"/>
  <c r="CC101" i="4"/>
  <c r="CC99" i="4"/>
  <c r="CC100" i="4"/>
  <c r="CC136" i="4"/>
  <c r="CC107" i="4"/>
  <c r="AX81" i="72" s="1"/>
  <c r="BM60" i="4"/>
  <c r="BM61" i="4" s="1"/>
  <c r="BM65" i="4"/>
  <c r="BM67" i="4" s="1"/>
  <c r="BM68" i="4" s="1"/>
  <c r="BM104" i="4"/>
  <c r="BM101" i="4"/>
  <c r="BM99" i="4"/>
  <c r="BM100" i="4"/>
  <c r="CF697" i="4"/>
  <c r="CF704" i="4" s="1"/>
  <c r="CF724" i="4" s="1"/>
  <c r="CF112" i="4"/>
  <c r="CF117" i="4" s="1"/>
  <c r="CF88" i="4"/>
  <c r="CF98" i="4" s="1"/>
  <c r="CH801" i="4" s="1"/>
  <c r="CH802" i="4" s="1"/>
  <c r="CF59" i="4"/>
  <c r="CF966" i="4" s="1"/>
  <c r="CF54" i="4"/>
  <c r="CF53" i="4"/>
  <c r="CH138" i="4" s="1"/>
  <c r="CH144" i="4" s="1"/>
  <c r="CF964" i="4"/>
  <c r="CH123" i="4"/>
  <c r="CH126" i="4" s="1"/>
  <c r="CH128" i="4"/>
  <c r="CW839" i="4"/>
  <c r="CV868" i="4"/>
  <c r="CE51" i="4"/>
  <c r="DS47" i="4"/>
  <c r="CE50" i="4"/>
  <c r="DS50" i="4" s="1"/>
  <c r="DV675" i="4"/>
  <c r="CT678" i="4"/>
  <c r="DV678" i="4" s="1"/>
  <c r="CG964" i="4"/>
  <c r="CH141" i="4"/>
  <c r="CH964" i="4"/>
  <c r="CG141" i="4"/>
  <c r="CG978" i="4"/>
  <c r="CG104" i="4"/>
  <c r="CG101" i="4"/>
  <c r="CG99" i="4"/>
  <c r="CG100" i="4"/>
  <c r="CG107" i="4"/>
  <c r="AA127" i="4"/>
  <c r="V131" i="4"/>
  <c r="CY759" i="4"/>
  <c r="CX685" i="4"/>
  <c r="CX686" i="4" s="1"/>
  <c r="CZ942" i="4"/>
  <c r="DW942" i="4"/>
  <c r="CD65" i="4"/>
  <c r="CD67" i="4" s="1"/>
  <c r="CD60" i="4"/>
  <c r="CD61" i="4" s="1"/>
  <c r="CD123" i="4"/>
  <c r="CD126" i="4" s="1"/>
  <c r="CD128" i="4"/>
  <c r="W934" i="4"/>
  <c r="DG934" i="4" s="1"/>
  <c r="AQ50" i="4"/>
  <c r="DK50" i="4" s="1"/>
  <c r="DK47" i="4"/>
  <c r="AQ51" i="4"/>
  <c r="DA78" i="4"/>
  <c r="DY78" i="4" s="1"/>
  <c r="DX78" i="4"/>
  <c r="AI917" i="4"/>
  <c r="AI927" i="4" s="1"/>
  <c r="AL915" i="4"/>
  <c r="DJ915" i="4" s="1"/>
  <c r="AR917" i="4"/>
  <c r="AR927" i="4" s="1"/>
  <c r="AV893" i="4"/>
  <c r="AL894" i="4"/>
  <c r="DJ894" i="4" s="1"/>
  <c r="AL931" i="4"/>
  <c r="DJ931" i="4" s="1"/>
  <c r="AJ129" i="4"/>
  <c r="AG751" i="4"/>
  <c r="DI746" i="4"/>
  <c r="CU896" i="4"/>
  <c r="BA895" i="4"/>
  <c r="DM895" i="4" s="1"/>
  <c r="BA893" i="4"/>
  <c r="BA899" i="4"/>
  <c r="DM899" i="4" s="1"/>
  <c r="BA896" i="4"/>
  <c r="DM896" i="4" s="1"/>
  <c r="BF519" i="4"/>
  <c r="DN519" i="4" s="1"/>
  <c r="CX125" i="4" l="1"/>
  <c r="CX961" i="4"/>
  <c r="AX468" i="51"/>
  <c r="AP108" i="51"/>
  <c r="GJ390" i="9"/>
  <c r="AQ746" i="4"/>
  <c r="AX380" i="51"/>
  <c r="AN378" i="51"/>
  <c r="AX375" i="51"/>
  <c r="GO390" i="9"/>
  <c r="AN460" i="51"/>
  <c r="AN468" i="51"/>
  <c r="AM468" i="51"/>
  <c r="AM375" i="51"/>
  <c r="AQ514" i="51"/>
  <c r="AX917" i="4"/>
  <c r="AX927" i="4" s="1"/>
  <c r="GG390" i="9"/>
  <c r="AX376" i="51"/>
  <c r="AM462" i="51"/>
  <c r="AN383" i="51"/>
  <c r="AX381" i="51"/>
  <c r="AQ510" i="51"/>
  <c r="CX163" i="4"/>
  <c r="AY917" i="4"/>
  <c r="AY927" i="4" s="1"/>
  <c r="AQ513" i="51"/>
  <c r="AM464" i="51"/>
  <c r="AM461" i="51"/>
  <c r="AM466" i="51"/>
  <c r="AQ515" i="51"/>
  <c r="AM460" i="51"/>
  <c r="AM463" i="51"/>
  <c r="GN386" i="9"/>
  <c r="AN466" i="51"/>
  <c r="AO73" i="51"/>
  <c r="AO64" i="51"/>
  <c r="AQ895" i="4"/>
  <c r="DK895" i="4" s="1"/>
  <c r="AN461" i="51"/>
  <c r="AZ917" i="4"/>
  <c r="AZ927" i="4" s="1"/>
  <c r="AP917" i="4"/>
  <c r="AP927" i="4" s="1"/>
  <c r="AV507" i="51"/>
  <c r="AQ511" i="51"/>
  <c r="AP215" i="51"/>
  <c r="AW917" i="4"/>
  <c r="AW927" i="4" s="1"/>
  <c r="CZ57" i="4"/>
  <c r="CZ56" i="4" s="1"/>
  <c r="CY56" i="4"/>
  <c r="DW56" i="4" s="1"/>
  <c r="DW58" i="4"/>
  <c r="CY125" i="4"/>
  <c r="DW125" i="4" s="1"/>
  <c r="DW718" i="4"/>
  <c r="CO897" i="4"/>
  <c r="DU897" i="4" s="1"/>
  <c r="AP60" i="9"/>
  <c r="AP62" i="9" s="1"/>
  <c r="AR487" i="51"/>
  <c r="AT334" i="51"/>
  <c r="AT430" i="51"/>
  <c r="GA387" i="9"/>
  <c r="GD389" i="9"/>
  <c r="GD390" i="9" s="1"/>
  <c r="AU165" i="51"/>
  <c r="AU215" i="51"/>
  <c r="AS365" i="51"/>
  <c r="DC233" i="9"/>
  <c r="AO488" i="51"/>
  <c r="AW400" i="51"/>
  <c r="BM105" i="4"/>
  <c r="BA207" i="4"/>
  <c r="DM207" i="4" s="1"/>
  <c r="AQ902" i="4"/>
  <c r="DK902" i="4" s="1"/>
  <c r="GP367" i="9"/>
  <c r="AR488" i="51"/>
  <c r="AT335" i="51"/>
  <c r="AT362" i="51"/>
  <c r="AT424" i="51"/>
  <c r="AR494" i="51"/>
  <c r="AT341" i="51"/>
  <c r="AT364" i="51"/>
  <c r="AR452" i="51"/>
  <c r="AT448" i="51"/>
  <c r="L21" i="67"/>
  <c r="C27" i="67"/>
  <c r="F21" i="67"/>
  <c r="K21" i="67"/>
  <c r="D27" i="67"/>
  <c r="G21" i="67"/>
  <c r="AX506" i="51"/>
  <c r="AX516" i="51" s="1"/>
  <c r="AX456" i="51"/>
  <c r="AW536" i="51"/>
  <c r="AW52" i="51" s="1"/>
  <c r="AY491" i="51"/>
  <c r="AW456" i="51"/>
  <c r="AW454" i="51"/>
  <c r="AY452" i="51"/>
  <c r="AO60" i="9"/>
  <c r="AO62" i="9" s="1"/>
  <c r="DE235" i="9"/>
  <c r="DE252" i="9"/>
  <c r="D27" i="69"/>
  <c r="G21" i="69"/>
  <c r="BH87" i="9"/>
  <c r="AY13" i="51"/>
  <c r="AS452" i="51"/>
  <c r="AS488" i="51"/>
  <c r="AS491" i="51"/>
  <c r="AS494" i="51"/>
  <c r="FZ387" i="9"/>
  <c r="FZ386" i="9"/>
  <c r="GC389" i="9"/>
  <c r="GC390" i="9" s="1"/>
  <c r="GB389" i="9"/>
  <c r="AV215" i="51"/>
  <c r="AY492" i="51"/>
  <c r="AM380" i="51"/>
  <c r="AQ541" i="51"/>
  <c r="AQ54" i="51" s="1"/>
  <c r="BA73" i="9"/>
  <c r="BA74" i="9"/>
  <c r="BA75" i="9"/>
  <c r="BA77" i="9"/>
  <c r="BA76" i="9"/>
  <c r="BA78" i="9"/>
  <c r="BA79" i="9"/>
  <c r="BA80" i="9"/>
  <c r="BA81" i="9"/>
  <c r="BA82" i="9"/>
  <c r="AW466" i="51"/>
  <c r="AM377" i="51"/>
  <c r="AO490" i="51"/>
  <c r="D28" i="81"/>
  <c r="G25" i="81"/>
  <c r="GI387" i="9"/>
  <c r="GI386" i="9"/>
  <c r="GL389" i="9"/>
  <c r="GL390" i="9" s="1"/>
  <c r="D32" i="71"/>
  <c r="D37" i="71"/>
  <c r="AN464" i="51"/>
  <c r="AX541" i="51"/>
  <c r="AX54" i="51" s="1"/>
  <c r="AX514" i="51"/>
  <c r="AU108" i="51"/>
  <c r="AY489" i="51"/>
  <c r="AW460" i="51"/>
  <c r="AM381" i="51"/>
  <c r="AO489" i="51"/>
  <c r="AQ536" i="51"/>
  <c r="AQ52" i="51" s="1"/>
  <c r="AN379" i="51"/>
  <c r="AW395" i="51"/>
  <c r="AY353" i="51"/>
  <c r="AY380" i="51" s="1"/>
  <c r="AO487" i="51"/>
  <c r="AO88" i="51"/>
  <c r="AO79" i="51"/>
  <c r="BA5" i="50"/>
  <c r="BA6" i="50" s="1"/>
  <c r="BA3" i="51"/>
  <c r="AT75" i="51"/>
  <c r="AT76" i="51" s="1"/>
  <c r="AT84" i="51"/>
  <c r="AT85" i="51" s="1"/>
  <c r="AT66" i="51"/>
  <c r="AT67" i="51" s="1"/>
  <c r="AT119" i="51"/>
  <c r="AT81" i="51"/>
  <c r="AT82" i="51" s="1"/>
  <c r="AT63" i="51"/>
  <c r="AT64" i="51" s="1"/>
  <c r="AT72" i="51"/>
  <c r="AT73" i="51" s="1"/>
  <c r="AT87" i="51"/>
  <c r="AT88" i="51" s="1"/>
  <c r="AT78" i="51"/>
  <c r="AT79" i="51" s="1"/>
  <c r="AT423" i="51"/>
  <c r="EE320" i="9"/>
  <c r="DD218" i="9"/>
  <c r="DQ118" i="4"/>
  <c r="AY487" i="51"/>
  <c r="AS487" i="51"/>
  <c r="AS486" i="51"/>
  <c r="AS353" i="51"/>
  <c r="AS395" i="51" s="1"/>
  <c r="AW372" i="51"/>
  <c r="AY365" i="51"/>
  <c r="AY400" i="51" s="1"/>
  <c r="GK386" i="9"/>
  <c r="GK387" i="9"/>
  <c r="GN389" i="9"/>
  <c r="GN390" i="9" s="1"/>
  <c r="AY399" i="51"/>
  <c r="AO492" i="51"/>
  <c r="CC801" i="4"/>
  <c r="CC802" i="4" s="1"/>
  <c r="AB934" i="4"/>
  <c r="DH934" i="4" s="1"/>
  <c r="BF896" i="4"/>
  <c r="DN896" i="4" s="1"/>
  <c r="AO917" i="4"/>
  <c r="AO927" i="4" s="1"/>
  <c r="AR492" i="51"/>
  <c r="AT339" i="51"/>
  <c r="AR442" i="51"/>
  <c r="AT422" i="51"/>
  <c r="AR466" i="51"/>
  <c r="AT428" i="51"/>
  <c r="AR489" i="51"/>
  <c r="AT336" i="51"/>
  <c r="AR464" i="51"/>
  <c r="AT426" i="51"/>
  <c r="GA389" i="9"/>
  <c r="AU109" i="51"/>
  <c r="AW462" i="51"/>
  <c r="AM506" i="51"/>
  <c r="AM511" i="51" s="1"/>
  <c r="AO486" i="51"/>
  <c r="N75" i="59"/>
  <c r="N87" i="59" s="1"/>
  <c r="N89" i="59" s="1"/>
  <c r="DQ661" i="4"/>
  <c r="BZ670" i="4"/>
  <c r="DR670" i="4" s="1"/>
  <c r="BU670" i="4"/>
  <c r="DQ670" i="4" s="1"/>
  <c r="AS489" i="51"/>
  <c r="AS378" i="51"/>
  <c r="AN506" i="51"/>
  <c r="C27" i="69"/>
  <c r="L21" i="69"/>
  <c r="K21" i="69"/>
  <c r="F21" i="69"/>
  <c r="AW465" i="51"/>
  <c r="AY381" i="51"/>
  <c r="AY494" i="51"/>
  <c r="AW401" i="51"/>
  <c r="AM541" i="51"/>
  <c r="AM54" i="51" s="1"/>
  <c r="BA901" i="4"/>
  <c r="DM901" i="4" s="1"/>
  <c r="BK167" i="9"/>
  <c r="BK171" i="9"/>
  <c r="BK165" i="9"/>
  <c r="AN377" i="51"/>
  <c r="BQ234" i="72"/>
  <c r="BS229" i="72" s="1"/>
  <c r="BR234" i="72"/>
  <c r="O75" i="59"/>
  <c r="O87" i="59" s="1"/>
  <c r="O89" i="59" s="1"/>
  <c r="GB386" i="9"/>
  <c r="GI389" i="9"/>
  <c r="GI390" i="9" s="1"/>
  <c r="GH387" i="9"/>
  <c r="GK389" i="9"/>
  <c r="GK390" i="9" s="1"/>
  <c r="GH386" i="9"/>
  <c r="AN380" i="51"/>
  <c r="AN518" i="51"/>
  <c r="AY378" i="51"/>
  <c r="AW399" i="51"/>
  <c r="AW402" i="51" s="1"/>
  <c r="AX398" i="51"/>
  <c r="AX402" i="51" s="1"/>
  <c r="AX372" i="51"/>
  <c r="AY375" i="51"/>
  <c r="AY85" i="51"/>
  <c r="AO82" i="51"/>
  <c r="AO85" i="51"/>
  <c r="AT363" i="51"/>
  <c r="AR490" i="51"/>
  <c r="AT337" i="51"/>
  <c r="AR486" i="51"/>
  <c r="AR353" i="51"/>
  <c r="AR376" i="51" s="1"/>
  <c r="AT333" i="51"/>
  <c r="AO464" i="51"/>
  <c r="AS490" i="51"/>
  <c r="FT368" i="9"/>
  <c r="FT385" i="9" s="1"/>
  <c r="FX386" i="9" s="1"/>
  <c r="FW385" i="9"/>
  <c r="AY488" i="51"/>
  <c r="AM515" i="51"/>
  <c r="AO491" i="51"/>
  <c r="GE386" i="9"/>
  <c r="AZ333" i="51"/>
  <c r="AZ425" i="51"/>
  <c r="AZ426" i="51"/>
  <c r="AZ430" i="51"/>
  <c r="AZ336" i="51"/>
  <c r="AZ337" i="51"/>
  <c r="AZ341" i="51"/>
  <c r="AZ423" i="51"/>
  <c r="AZ424" i="51"/>
  <c r="AZ427" i="51"/>
  <c r="AZ428" i="51"/>
  <c r="AZ422" i="51"/>
  <c r="AZ334" i="51"/>
  <c r="AZ335" i="51"/>
  <c r="AZ338" i="51"/>
  <c r="AZ339" i="51"/>
  <c r="AZ363" i="51"/>
  <c r="AZ361" i="51"/>
  <c r="AZ364" i="51"/>
  <c r="AZ362" i="51"/>
  <c r="AZ451" i="51"/>
  <c r="AZ450" i="51"/>
  <c r="AZ448" i="51"/>
  <c r="AZ449" i="51"/>
  <c r="AW480" i="51"/>
  <c r="AW444" i="51"/>
  <c r="AW543" i="51" s="1"/>
  <c r="AY442" i="51"/>
  <c r="AY466" i="51" s="1"/>
  <c r="AY82" i="51"/>
  <c r="BM138" i="4"/>
  <c r="BM144" i="4" s="1"/>
  <c r="W53" i="4"/>
  <c r="DG53" i="4" s="1"/>
  <c r="CO896" i="4"/>
  <c r="DU896" i="4" s="1"/>
  <c r="BF746" i="4"/>
  <c r="CT895" i="4"/>
  <c r="DV895" i="4" s="1"/>
  <c r="CI105" i="4"/>
  <c r="AM120" i="56"/>
  <c r="V92" i="56"/>
  <c r="BA146" i="63"/>
  <c r="AQ128" i="63"/>
  <c r="AR491" i="51"/>
  <c r="AR380" i="51"/>
  <c r="AT338" i="51"/>
  <c r="AR465" i="51"/>
  <c r="AT427" i="51"/>
  <c r="AR365" i="51"/>
  <c r="AR399" i="51" s="1"/>
  <c r="AT361" i="51"/>
  <c r="AR463" i="51"/>
  <c r="AT425" i="51"/>
  <c r="AV109" i="51"/>
  <c r="L21" i="71"/>
  <c r="C27" i="71"/>
  <c r="F21" i="71"/>
  <c r="K21" i="71"/>
  <c r="R73" i="71"/>
  <c r="G21" i="71"/>
  <c r="AX395" i="51"/>
  <c r="AX354" i="51"/>
  <c r="AY376" i="51"/>
  <c r="AY490" i="51"/>
  <c r="AM395" i="51"/>
  <c r="AO353" i="51"/>
  <c r="AO395" i="51" s="1"/>
  <c r="AN463" i="51"/>
  <c r="AS492" i="51"/>
  <c r="AS381" i="51"/>
  <c r="AS401" i="51"/>
  <c r="AS460" i="51"/>
  <c r="AS442" i="51"/>
  <c r="AS461" i="51" s="1"/>
  <c r="F25" i="81"/>
  <c r="F28" i="81" s="1"/>
  <c r="C28" i="81"/>
  <c r="L25" i="81"/>
  <c r="K25" i="81"/>
  <c r="GD386" i="9"/>
  <c r="AN462" i="51"/>
  <c r="AK165" i="51"/>
  <c r="AL165" i="51"/>
  <c r="AY377" i="51"/>
  <c r="AY401" i="51"/>
  <c r="AO380" i="51"/>
  <c r="AM480" i="51"/>
  <c r="AO442" i="51"/>
  <c r="AO466" i="51" s="1"/>
  <c r="BK126" i="9"/>
  <c r="BK130" i="9"/>
  <c r="BK124" i="9"/>
  <c r="AP109" i="51"/>
  <c r="AP165" i="51"/>
  <c r="U123" i="4"/>
  <c r="U126" i="4" s="1"/>
  <c r="U128" i="4"/>
  <c r="Z129" i="4" s="1"/>
  <c r="AO377" i="51"/>
  <c r="AM379" i="51"/>
  <c r="GE390" i="9"/>
  <c r="GM389" i="9"/>
  <c r="GM390" i="9" s="1"/>
  <c r="GJ387" i="9"/>
  <c r="GJ386" i="9"/>
  <c r="AN515" i="51"/>
  <c r="AX480" i="51"/>
  <c r="AX379" i="51"/>
  <c r="AW461" i="51"/>
  <c r="AO381" i="51"/>
  <c r="AM378" i="51"/>
  <c r="AM518" i="51"/>
  <c r="AO494" i="51"/>
  <c r="AQ518" i="51"/>
  <c r="AQ165" i="51" s="1"/>
  <c r="AQ530" i="51"/>
  <c r="AQ107" i="51"/>
  <c r="AQ108" i="51" s="1"/>
  <c r="AQ507" i="51"/>
  <c r="AX489" i="4"/>
  <c r="AX519" i="4" s="1"/>
  <c r="AN465" i="51"/>
  <c r="AX383" i="51"/>
  <c r="AY398" i="51"/>
  <c r="AW506" i="51"/>
  <c r="AW513" i="51" s="1"/>
  <c r="AY486" i="51"/>
  <c r="AW463" i="51"/>
  <c r="AY64" i="51"/>
  <c r="AY76" i="51"/>
  <c r="AM376" i="51"/>
  <c r="AO67" i="51"/>
  <c r="AO76" i="51"/>
  <c r="AV165" i="51"/>
  <c r="CL801" i="4"/>
  <c r="CL802" i="4" s="1"/>
  <c r="AE132" i="4"/>
  <c r="CG68" i="4"/>
  <c r="CB136" i="4"/>
  <c r="AI138" i="4"/>
  <c r="AI144" i="4" s="1"/>
  <c r="BY138" i="4"/>
  <c r="BY144" i="4" s="1"/>
  <c r="DZ311" i="9"/>
  <c r="DZ317" i="9" s="1"/>
  <c r="DZ328" i="9" s="1"/>
  <c r="DZ331" i="9" s="1"/>
  <c r="CY208" i="9"/>
  <c r="CD68" i="4"/>
  <c r="CG801" i="4"/>
  <c r="CG802" i="4" s="1"/>
  <c r="CC68" i="4"/>
  <c r="BN105" i="4"/>
  <c r="CG138" i="4"/>
  <c r="CG144" i="4" s="1"/>
  <c r="BH68" i="4"/>
  <c r="AA132" i="4"/>
  <c r="AX85" i="72"/>
  <c r="AX87" i="72" s="1"/>
  <c r="AX89" i="72"/>
  <c r="AD132" i="4"/>
  <c r="BJ138" i="4"/>
  <c r="BJ144" i="4" s="1"/>
  <c r="BJ150" i="4" s="1"/>
  <c r="CH61" i="4"/>
  <c r="CH136" i="4"/>
  <c r="CI138" i="4"/>
  <c r="CI144" i="4" s="1"/>
  <c r="CI136" i="4"/>
  <c r="AY81" i="72"/>
  <c r="CM68" i="4"/>
  <c r="DU311" i="9"/>
  <c r="DU317" i="9" s="1"/>
  <c r="DU328" i="9" s="1"/>
  <c r="DU331" i="9" s="1"/>
  <c r="CT208" i="9"/>
  <c r="CT215" i="9" s="1"/>
  <c r="AY68" i="4"/>
  <c r="CM98" i="4"/>
  <c r="CM801" i="4" s="1"/>
  <c r="CM802" i="4" s="1"/>
  <c r="CD136" i="4"/>
  <c r="AX68" i="4"/>
  <c r="G11" i="45"/>
  <c r="G12" i="45" s="1"/>
  <c r="H12" i="45" s="1"/>
  <c r="F12" i="45"/>
  <c r="CU729" i="49"/>
  <c r="CU743" i="49" s="1"/>
  <c r="CV587" i="49"/>
  <c r="CW164" i="4"/>
  <c r="CY163" i="4"/>
  <c r="CV724" i="49"/>
  <c r="CX164" i="4"/>
  <c r="CV727" i="49"/>
  <c r="CV585" i="49"/>
  <c r="CU726" i="49"/>
  <c r="CV684" i="49"/>
  <c r="CV828" i="49" s="1"/>
  <c r="CV725" i="49"/>
  <c r="CY162" i="4"/>
  <c r="CX165" i="4"/>
  <c r="BX321" i="4"/>
  <c r="BX338" i="4"/>
  <c r="BX348" i="4"/>
  <c r="BS28" i="51"/>
  <c r="BS30" i="51"/>
  <c r="BS32" i="51"/>
  <c r="BT39" i="51"/>
  <c r="BU40" i="51"/>
  <c r="BT37" i="51"/>
  <c r="BT25" i="51"/>
  <c r="BR49" i="51"/>
  <c r="BR44" i="51"/>
  <c r="BR46" i="51"/>
  <c r="BR48" i="51"/>
  <c r="BS41" i="51"/>
  <c r="BS45" i="51" s="1"/>
  <c r="BS372" i="51"/>
  <c r="BS401" i="51"/>
  <c r="BS399" i="51"/>
  <c r="BS400" i="51"/>
  <c r="BR33" i="51"/>
  <c r="BV407" i="51"/>
  <c r="BU23" i="51"/>
  <c r="BV450" i="51"/>
  <c r="BU363" i="51"/>
  <c r="BU38" i="51"/>
  <c r="BS31" i="51"/>
  <c r="BY327" i="4"/>
  <c r="BY322" i="4" s="1"/>
  <c r="BW408" i="51"/>
  <c r="BW451" i="51" s="1"/>
  <c r="BX451" i="51" s="1"/>
  <c r="BV24" i="51"/>
  <c r="BV364" i="51"/>
  <c r="BU409" i="51"/>
  <c r="BU410" i="51" s="1"/>
  <c r="BV405" i="51"/>
  <c r="BU21" i="51"/>
  <c r="BU361" i="51"/>
  <c r="DR326" i="4"/>
  <c r="BZ327" i="4"/>
  <c r="BR47" i="51"/>
  <c r="BS456" i="51"/>
  <c r="BT452" i="51"/>
  <c r="BR402" i="51"/>
  <c r="BR241" i="51"/>
  <c r="BR53" i="51" s="1"/>
  <c r="BY301" i="4" s="1"/>
  <c r="BW406" i="51"/>
  <c r="BV22" i="51"/>
  <c r="BV362" i="51"/>
  <c r="BW449" i="51"/>
  <c r="BX449" i="51" s="1"/>
  <c r="BU452" i="51"/>
  <c r="BY369" i="4"/>
  <c r="BY386" i="4" s="1"/>
  <c r="BZ368" i="4"/>
  <c r="BT365" i="51"/>
  <c r="BT400" i="51" s="1"/>
  <c r="AO146" i="4"/>
  <c r="AO145" i="4"/>
  <c r="AO151" i="4"/>
  <c r="DW759" i="4"/>
  <c r="CZ759" i="4"/>
  <c r="CY685" i="4"/>
  <c r="CE697" i="4"/>
  <c r="CE112" i="4"/>
  <c r="CE88" i="4"/>
  <c r="CE59" i="4"/>
  <c r="CE54" i="4"/>
  <c r="DS54" i="4" s="1"/>
  <c r="DS51" i="4"/>
  <c r="CE964" i="4"/>
  <c r="DS964" i="4" s="1"/>
  <c r="CW868" i="4"/>
  <c r="CX868" i="4" s="1"/>
  <c r="CY868" i="4" s="1"/>
  <c r="M441" i="4"/>
  <c r="DE436" i="4"/>
  <c r="AG104" i="4"/>
  <c r="DI98" i="4"/>
  <c r="AG100" i="4"/>
  <c r="DI100" i="4" s="1"/>
  <c r="AG136" i="4"/>
  <c r="AG99" i="4"/>
  <c r="DI99" i="4" s="1"/>
  <c r="BZ697" i="4"/>
  <c r="BZ112" i="4"/>
  <c r="DR51" i="4"/>
  <c r="BZ59" i="4"/>
  <c r="X129" i="4"/>
  <c r="AQ136" i="4"/>
  <c r="AQ99" i="4"/>
  <c r="DK99" i="4" s="1"/>
  <c r="AQ100" i="4"/>
  <c r="DK100" i="4" s="1"/>
  <c r="DK98" i="4"/>
  <c r="AQ104" i="4"/>
  <c r="AV105" i="4" s="1"/>
  <c r="DV707" i="4"/>
  <c r="BE839" i="4"/>
  <c r="BE897" i="4" s="1"/>
  <c r="AO150" i="4"/>
  <c r="CT666" i="4"/>
  <c r="DV666" i="4" s="1"/>
  <c r="CT661" i="4"/>
  <c r="DV657" i="4"/>
  <c r="BD131" i="4"/>
  <c r="BI132" i="4" s="1"/>
  <c r="BI127" i="4"/>
  <c r="CM131" i="4"/>
  <c r="BM123" i="4"/>
  <c r="BM126" i="4" s="1"/>
  <c r="BM128" i="4"/>
  <c r="AT651" i="4"/>
  <c r="DK746" i="4"/>
  <c r="AQ751" i="4"/>
  <c r="AZ131" i="4"/>
  <c r="BE127" i="4"/>
  <c r="CJ896" i="4"/>
  <c r="DT896" i="4" s="1"/>
  <c r="BF903" i="4"/>
  <c r="DN903" i="4" s="1"/>
  <c r="CR49" i="4"/>
  <c r="CQ51" i="4"/>
  <c r="BY355" i="4"/>
  <c r="BZ354" i="4"/>
  <c r="BY356" i="4"/>
  <c r="CN697" i="4"/>
  <c r="CN704" i="4" s="1"/>
  <c r="CN724" i="4" s="1"/>
  <c r="CN88" i="4"/>
  <c r="CN98" i="4" s="1"/>
  <c r="CN112" i="4"/>
  <c r="CN117" i="4" s="1"/>
  <c r="CN59" i="4"/>
  <c r="CN966" i="4" s="1"/>
  <c r="CN54" i="4"/>
  <c r="CN53" i="4"/>
  <c r="CO53" i="4" s="1"/>
  <c r="CN964" i="4"/>
  <c r="BS439" i="4"/>
  <c r="BU505" i="4"/>
  <c r="BS522" i="4"/>
  <c r="BU522" i="4" s="1"/>
  <c r="DQ522" i="4" s="1"/>
  <c r="BM488" i="4"/>
  <c r="BM489" i="4" s="1"/>
  <c r="BM519" i="4" s="1"/>
  <c r="BM523" i="4" s="1"/>
  <c r="BH489" i="4"/>
  <c r="BH519" i="4" s="1"/>
  <c r="BH523" i="4" s="1"/>
  <c r="DJ893" i="4"/>
  <c r="AL917" i="4"/>
  <c r="DJ917" i="4" s="1"/>
  <c r="W937" i="4"/>
  <c r="DG937" i="4" s="1"/>
  <c r="DN98" i="4"/>
  <c r="BF136" i="4"/>
  <c r="BF99" i="4"/>
  <c r="DN99" i="4" s="1"/>
  <c r="BF104" i="4"/>
  <c r="BF100" i="4"/>
  <c r="DN100" i="4" s="1"/>
  <c r="BB966" i="4"/>
  <c r="CX840" i="4"/>
  <c r="CY840" i="4" s="1"/>
  <c r="CU860" i="4"/>
  <c r="CU796" i="4" s="1"/>
  <c r="CV837" i="4"/>
  <c r="CV895" i="4" s="1"/>
  <c r="BA482" i="4"/>
  <c r="DM473" i="4"/>
  <c r="CG105" i="4"/>
  <c r="CL105" i="4"/>
  <c r="CM129" i="4"/>
  <c r="AH747" i="4"/>
  <c r="AH751" i="4" s="1"/>
  <c r="AH753" i="4"/>
  <c r="AH755" i="4" s="1"/>
  <c r="AH941" i="4" s="1"/>
  <c r="AH943" i="4" s="1"/>
  <c r="AH499" i="4"/>
  <c r="BP799" i="4"/>
  <c r="D24" i="68" s="1"/>
  <c r="DP745" i="4"/>
  <c r="BQ725" i="4"/>
  <c r="BU725" i="4"/>
  <c r="DQ725" i="4" s="1"/>
  <c r="S131" i="4"/>
  <c r="X132" i="4" s="1"/>
  <c r="X127" i="4"/>
  <c r="CV870" i="4"/>
  <c r="CU871" i="4"/>
  <c r="CU797" i="4" s="1"/>
  <c r="DM637" i="4"/>
  <c r="BA638" i="4"/>
  <c r="DM638" i="4" s="1"/>
  <c r="CS753" i="4"/>
  <c r="CL68" i="4"/>
  <c r="W927" i="4"/>
  <c r="DG927" i="4" s="1"/>
  <c r="AH123" i="4"/>
  <c r="AH126" i="4" s="1"/>
  <c r="AH128" i="4"/>
  <c r="AH129" i="4" s="1"/>
  <c r="AY138" i="4"/>
  <c r="AY144" i="4" s="1"/>
  <c r="BN488" i="4"/>
  <c r="BN489" i="4" s="1"/>
  <c r="BN519" i="4" s="1"/>
  <c r="BN523" i="4" s="1"/>
  <c r="BI489" i="4"/>
  <c r="BI519" i="4" s="1"/>
  <c r="BI523" i="4" s="1"/>
  <c r="DX673" i="4"/>
  <c r="DA673" i="4"/>
  <c r="CZ675" i="4"/>
  <c r="DX114" i="4"/>
  <c r="AN129" i="4"/>
  <c r="AO68" i="4"/>
  <c r="BV65" i="4"/>
  <c r="BV67" i="4" s="1"/>
  <c r="BV60" i="4"/>
  <c r="BZ53" i="4"/>
  <c r="Q23" i="4"/>
  <c r="V23" i="4"/>
  <c r="AN146" i="4"/>
  <c r="AN145" i="4"/>
  <c r="AN151" i="4"/>
  <c r="BC68" i="4"/>
  <c r="DH930" i="4"/>
  <c r="AB651" i="4"/>
  <c r="DH651" i="4" s="1"/>
  <c r="AB511" i="4"/>
  <c r="DH511" i="4" s="1"/>
  <c r="DH504" i="4"/>
  <c r="W112" i="4"/>
  <c r="W60" i="4"/>
  <c r="DG60" i="4" s="1"/>
  <c r="W59" i="4"/>
  <c r="DG51" i="4"/>
  <c r="DR637" i="4"/>
  <c r="BZ638" i="4"/>
  <c r="ER336" i="9" s="1"/>
  <c r="ER345" i="9" s="1"/>
  <c r="ER347" i="9" s="1"/>
  <c r="AL934" i="4"/>
  <c r="DJ934" i="4" s="1"/>
  <c r="DA384" i="4"/>
  <c r="DY384" i="4" s="1"/>
  <c r="DY373" i="4"/>
  <c r="DA232" i="4"/>
  <c r="CS932" i="4"/>
  <c r="CT932" i="4" s="1"/>
  <c r="DV932" i="4" s="1"/>
  <c r="CT682" i="4"/>
  <c r="CS773" i="4"/>
  <c r="CS717" i="4"/>
  <c r="CS722" i="4" s="1"/>
  <c r="CP638" i="4"/>
  <c r="CA801" i="4"/>
  <c r="CA802" i="4" s="1"/>
  <c r="CA136" i="4"/>
  <c r="CA100" i="4"/>
  <c r="CA99" i="4"/>
  <c r="CA104" i="4"/>
  <c r="CI61" i="4"/>
  <c r="CC131" i="4"/>
  <c r="CH127" i="4"/>
  <c r="DK203" i="4"/>
  <c r="AQ204" i="4"/>
  <c r="DK204" i="4" s="1"/>
  <c r="AV204" i="4"/>
  <c r="DL204" i="4" s="1"/>
  <c r="AN626" i="4"/>
  <c r="AS626" i="4"/>
  <c r="AN917" i="4"/>
  <c r="AN927" i="4" s="1"/>
  <c r="AQ915" i="4"/>
  <c r="DK915" i="4" s="1"/>
  <c r="AQ898" i="4"/>
  <c r="DK898" i="4" s="1"/>
  <c r="AQ931" i="4"/>
  <c r="DK931" i="4" s="1"/>
  <c r="BA930" i="4"/>
  <c r="AW651" i="4"/>
  <c r="AQ901" i="4"/>
  <c r="DK901" i="4" s="1"/>
  <c r="AV930" i="4"/>
  <c r="AR651" i="4"/>
  <c r="AZ138" i="4"/>
  <c r="AZ144" i="4" s="1"/>
  <c r="DM724" i="4"/>
  <c r="BA726" i="4"/>
  <c r="DM726" i="4" s="1"/>
  <c r="CJ895" i="4"/>
  <c r="DT895" i="4" s="1"/>
  <c r="BF902" i="4"/>
  <c r="DN902" i="4" s="1"/>
  <c r="BF899" i="4"/>
  <c r="DN899" i="4" s="1"/>
  <c r="BF894" i="4"/>
  <c r="DN894" i="4" s="1"/>
  <c r="DO637" i="4"/>
  <c r="BK638" i="4"/>
  <c r="DO638" i="4" s="1"/>
  <c r="DO833" i="4"/>
  <c r="BK834" i="4"/>
  <c r="BO488" i="4"/>
  <c r="BO489" i="4" s="1"/>
  <c r="BO519" i="4" s="1"/>
  <c r="BO523" i="4" s="1"/>
  <c r="BJ489" i="4"/>
  <c r="BJ519" i="4" s="1"/>
  <c r="BJ523" i="4" s="1"/>
  <c r="AW966" i="4"/>
  <c r="BG691" i="4"/>
  <c r="BG932" i="4"/>
  <c r="BG690" i="4"/>
  <c r="CY893" i="4"/>
  <c r="DL136" i="4"/>
  <c r="BD68" i="4"/>
  <c r="AG458" i="4"/>
  <c r="DI458" i="4" s="1"/>
  <c r="DI457" i="4"/>
  <c r="DA158" i="4"/>
  <c r="DX158" i="4"/>
  <c r="CZ159" i="4"/>
  <c r="DX159" i="4" s="1"/>
  <c r="CZ160" i="4"/>
  <c r="DX160" i="4" s="1"/>
  <c r="BS840" i="4"/>
  <c r="CA361" i="4"/>
  <c r="DR361" i="4"/>
  <c r="O65" i="4"/>
  <c r="O67" i="4" s="1"/>
  <c r="O128" i="4"/>
  <c r="O123" i="4"/>
  <c r="O126" i="4" s="1"/>
  <c r="X68" i="4"/>
  <c r="AS68" i="4"/>
  <c r="BO128" i="4"/>
  <c r="BO123" i="4"/>
  <c r="BO126" i="4" s="1"/>
  <c r="BS506" i="4"/>
  <c r="CD801" i="4"/>
  <c r="CD802" i="4" s="1"/>
  <c r="DS213" i="4"/>
  <c r="CE214" i="4"/>
  <c r="DS214" i="4" s="1"/>
  <c r="CG61" i="4"/>
  <c r="BU538" i="4"/>
  <c r="DQ538" i="4" s="1"/>
  <c r="DQ537" i="4"/>
  <c r="DS637" i="4"/>
  <c r="CE638" i="4"/>
  <c r="DS638" i="4" s="1"/>
  <c r="BC860" i="4"/>
  <c r="BC796" i="4" s="1"/>
  <c r="BC798" i="4" s="1"/>
  <c r="BD837" i="4"/>
  <c r="BQ35" i="4"/>
  <c r="BQ47" i="4"/>
  <c r="BQ34" i="4"/>
  <c r="BV35" i="4"/>
  <c r="BQ23" i="4"/>
  <c r="BV23" i="4"/>
  <c r="S127" i="4"/>
  <c r="CJ860" i="4"/>
  <c r="CK837" i="4"/>
  <c r="CK895" i="4" s="1"/>
  <c r="DT837" i="4"/>
  <c r="BE68" i="4"/>
  <c r="BI68" i="4"/>
  <c r="AI129" i="4"/>
  <c r="CP647" i="4"/>
  <c r="CU649" i="4"/>
  <c r="CQ649" i="4"/>
  <c r="R21" i="4"/>
  <c r="W21" i="4"/>
  <c r="Y132" i="4"/>
  <c r="BD494" i="4"/>
  <c r="BD495" i="4" s="1"/>
  <c r="BD465" i="4"/>
  <c r="BD452" i="4"/>
  <c r="BD453" i="4" s="1"/>
  <c r="DL60" i="4"/>
  <c r="DL112" i="4"/>
  <c r="AV117" i="4"/>
  <c r="BC127" i="4"/>
  <c r="AX131" i="4"/>
  <c r="CU895" i="4"/>
  <c r="AG138" i="4"/>
  <c r="DI53" i="4"/>
  <c r="AG65" i="4"/>
  <c r="AG67" i="4" s="1"/>
  <c r="AG68" i="4" s="1"/>
  <c r="BH128" i="4"/>
  <c r="BH129" i="4" s="1"/>
  <c r="BH123" i="4"/>
  <c r="BH126" i="4" s="1"/>
  <c r="BH127" i="4" s="1"/>
  <c r="CB131" i="4"/>
  <c r="CG127" i="4"/>
  <c r="AQ473" i="4"/>
  <c r="DK473" i="4" s="1"/>
  <c r="DK469" i="4"/>
  <c r="DM893" i="4"/>
  <c r="BA917" i="4"/>
  <c r="DM917" i="4" s="1"/>
  <c r="CI129" i="4"/>
  <c r="CZ718" i="4"/>
  <c r="DA57" i="4"/>
  <c r="DA56" i="4" s="1"/>
  <c r="DA58" i="4" s="1"/>
  <c r="DX57" i="4"/>
  <c r="DW843" i="4"/>
  <c r="CZ843" i="4"/>
  <c r="CZ901" i="4" s="1"/>
  <c r="DX901" i="4" s="1"/>
  <c r="CA65" i="4"/>
  <c r="CA67" i="4" s="1"/>
  <c r="CA60" i="4"/>
  <c r="CE53" i="4"/>
  <c r="CA138" i="4"/>
  <c r="CA144" i="4" s="1"/>
  <c r="BF932" i="4"/>
  <c r="DN932" i="4" s="1"/>
  <c r="BF914" i="4"/>
  <c r="DN914" i="4" s="1"/>
  <c r="BF60" i="4"/>
  <c r="BF112" i="4"/>
  <c r="BF59" i="4"/>
  <c r="BH95" i="9" s="1"/>
  <c r="BF54" i="4"/>
  <c r="DN54" i="4" s="1"/>
  <c r="DN51" i="4"/>
  <c r="BD150" i="4"/>
  <c r="BD149" i="4"/>
  <c r="DL751" i="4"/>
  <c r="BG966" i="4"/>
  <c r="AH127" i="4"/>
  <c r="AC131" i="4"/>
  <c r="AH132" i="4" s="1"/>
  <c r="BB802" i="4"/>
  <c r="BB800" i="4"/>
  <c r="BB803" i="4" s="1"/>
  <c r="BB773" i="4"/>
  <c r="BB786" i="4" s="1"/>
  <c r="BI150" i="4"/>
  <c r="BI149" i="4"/>
  <c r="AX129" i="4"/>
  <c r="CX838" i="4"/>
  <c r="CY838" i="4" s="1"/>
  <c r="R447" i="4"/>
  <c r="DF447" i="4" s="1"/>
  <c r="R455" i="4"/>
  <c r="DF446" i="4"/>
  <c r="AJ131" i="4"/>
  <c r="AO132" i="4" s="1"/>
  <c r="AO127" i="4"/>
  <c r="CG129" i="4"/>
  <c r="DK457" i="4"/>
  <c r="AQ458" i="4"/>
  <c r="DK458" i="4" s="1"/>
  <c r="DL893" i="4"/>
  <c r="AV917" i="4"/>
  <c r="DL917" i="4" s="1"/>
  <c r="AQ112" i="4"/>
  <c r="AQ60" i="4"/>
  <c r="AQ59" i="4"/>
  <c r="AQ54" i="4"/>
  <c r="DK54" i="4" s="1"/>
  <c r="DK51" i="4"/>
  <c r="CI127" i="4"/>
  <c r="CD131" i="4"/>
  <c r="CX839" i="4"/>
  <c r="CY839" i="4" s="1"/>
  <c r="CF978" i="4"/>
  <c r="CF801" i="4"/>
  <c r="CF802" i="4" s="1"/>
  <c r="CF100" i="4"/>
  <c r="CF104" i="4"/>
  <c r="CF136" i="4"/>
  <c r="CF107" i="4"/>
  <c r="CF99" i="4"/>
  <c r="CF101" i="4"/>
  <c r="CC61" i="4"/>
  <c r="I494" i="4"/>
  <c r="I446" i="4"/>
  <c r="M444" i="4"/>
  <c r="M65" i="4"/>
  <c r="M67" i="4" s="1"/>
  <c r="M68" i="4" s="1"/>
  <c r="DE53" i="4"/>
  <c r="DO146" i="4"/>
  <c r="AU129" i="4"/>
  <c r="BD129" i="4"/>
  <c r="AQ638" i="4"/>
  <c r="DK638" i="4" s="1"/>
  <c r="DK637" i="4"/>
  <c r="AN131" i="4"/>
  <c r="AS127" i="4"/>
  <c r="BD897" i="4"/>
  <c r="AT129" i="4"/>
  <c r="BV123" i="4"/>
  <c r="BV126" i="4" s="1"/>
  <c r="BV128" i="4"/>
  <c r="CP670" i="4"/>
  <c r="CP664" i="4"/>
  <c r="CD129" i="4"/>
  <c r="CB138" i="4"/>
  <c r="CB144" i="4" s="1"/>
  <c r="BA751" i="4"/>
  <c r="DM746" i="4"/>
  <c r="BB690" i="4"/>
  <c r="DQ941" i="4"/>
  <c r="BV941" i="4"/>
  <c r="BU943" i="4"/>
  <c r="DQ943" i="4" s="1"/>
  <c r="DK893" i="4"/>
  <c r="CK123" i="4"/>
  <c r="CK126" i="4" s="1"/>
  <c r="CK128" i="4"/>
  <c r="CZ712" i="4"/>
  <c r="DX712" i="4" s="1"/>
  <c r="DX658" i="4"/>
  <c r="DA658" i="4"/>
  <c r="CZ246" i="4"/>
  <c r="DX246" i="4" s="1"/>
  <c r="DX228" i="4"/>
  <c r="CZ8" i="4"/>
  <c r="AA626" i="4"/>
  <c r="AF626" i="4"/>
  <c r="AB625" i="4"/>
  <c r="CX842" i="4"/>
  <c r="CY842" i="4" s="1"/>
  <c r="BX131" i="4"/>
  <c r="CC127" i="4"/>
  <c r="CI68" i="4"/>
  <c r="AN934" i="4"/>
  <c r="AN651" i="4"/>
  <c r="BD934" i="4"/>
  <c r="BD651" i="4"/>
  <c r="AX651" i="4"/>
  <c r="AQ930" i="4"/>
  <c r="AM934" i="4"/>
  <c r="AM651" i="4"/>
  <c r="AM626" i="4"/>
  <c r="AR626" i="4"/>
  <c r="AQ897" i="4"/>
  <c r="DK897" i="4" s="1"/>
  <c r="AS651" i="4"/>
  <c r="BC651" i="4"/>
  <c r="BF930" i="4"/>
  <c r="BB651" i="4"/>
  <c r="BF931" i="4"/>
  <c r="DN931" i="4" s="1"/>
  <c r="AU131" i="4"/>
  <c r="AZ132" i="4" s="1"/>
  <c r="AZ127" i="4"/>
  <c r="DI912" i="4"/>
  <c r="AG917" i="4"/>
  <c r="DI917" i="4" s="1"/>
  <c r="BE129" i="4"/>
  <c r="AP933" i="4"/>
  <c r="AP934" i="4" s="1"/>
  <c r="AQ760" i="4"/>
  <c r="AP765" i="4"/>
  <c r="DH455" i="4"/>
  <c r="AB457" i="4"/>
  <c r="AB469" i="4"/>
  <c r="AB463" i="4"/>
  <c r="DH463" i="4" s="1"/>
  <c r="BF751" i="4"/>
  <c r="DN746" i="4"/>
  <c r="CJ897" i="4"/>
  <c r="DT897" i="4" s="1"/>
  <c r="BF900" i="4"/>
  <c r="DN900" i="4" s="1"/>
  <c r="BF898" i="4"/>
  <c r="DN898" i="4" s="1"/>
  <c r="CE897" i="4"/>
  <c r="DS897" i="4" s="1"/>
  <c r="CE896" i="4"/>
  <c r="DS896" i="4" s="1"/>
  <c r="BW100" i="4"/>
  <c r="BW99" i="4"/>
  <c r="BW104" i="4"/>
  <c r="CX841" i="4"/>
  <c r="CY841" i="4" s="1"/>
  <c r="AW138" i="4"/>
  <c r="AW144" i="4" s="1"/>
  <c r="AW65" i="4"/>
  <c r="AW67" i="4" s="1"/>
  <c r="AW68" i="4" s="1"/>
  <c r="BA53" i="4"/>
  <c r="AW123" i="4"/>
  <c r="AW126" i="4" s="1"/>
  <c r="AW128" i="4"/>
  <c r="BH404" i="4"/>
  <c r="BH4" i="4"/>
  <c r="GQ367" i="9" s="1"/>
  <c r="BI3" i="4"/>
  <c r="BK473" i="4"/>
  <c r="DO469" i="4"/>
  <c r="AM61" i="4"/>
  <c r="BJ123" i="4"/>
  <c r="BJ126" i="4" s="1"/>
  <c r="BJ127" i="4" s="1"/>
  <c r="BJ128" i="4"/>
  <c r="CU707" i="4"/>
  <c r="CU661" i="4"/>
  <c r="CY657" i="4"/>
  <c r="CU666" i="4"/>
  <c r="DH506" i="4"/>
  <c r="AG503" i="4"/>
  <c r="AC503" i="4"/>
  <c r="AC504" i="4" s="1"/>
  <c r="DI469" i="4"/>
  <c r="AG473" i="4"/>
  <c r="DI473" i="4" s="1"/>
  <c r="AY127" i="4"/>
  <c r="AT131" i="4"/>
  <c r="AY132" i="4" s="1"/>
  <c r="CI801" i="4"/>
  <c r="BC131" i="4"/>
  <c r="BG98" i="4"/>
  <c r="BK88" i="4"/>
  <c r="BO61" i="4"/>
  <c r="DJ98" i="4"/>
  <c r="AL136" i="4"/>
  <c r="AL99" i="4"/>
  <c r="DJ99" i="4" s="1"/>
  <c r="AL104" i="4"/>
  <c r="AL105" i="4" s="1"/>
  <c r="AL100" i="4"/>
  <c r="DJ100" i="4" s="1"/>
  <c r="DU637" i="4"/>
  <c r="CO638" i="4"/>
  <c r="DU638" i="4" s="1"/>
  <c r="CL129" i="4"/>
  <c r="DJ455" i="4"/>
  <c r="AL469" i="4"/>
  <c r="AL457" i="4"/>
  <c r="AL463" i="4"/>
  <c r="DJ463" i="4" s="1"/>
  <c r="BB65" i="4"/>
  <c r="BB67" i="4" s="1"/>
  <c r="BB138" i="4"/>
  <c r="BB144" i="4" s="1"/>
  <c r="BF53" i="4"/>
  <c r="BZ355" i="4"/>
  <c r="DR355" i="4" s="1"/>
  <c r="DL455" i="4"/>
  <c r="AV463" i="4"/>
  <c r="DL463" i="4" s="1"/>
  <c r="AV469" i="4"/>
  <c r="AV457" i="4"/>
  <c r="DT637" i="4"/>
  <c r="CJ638" i="4"/>
  <c r="DT638" i="4" s="1"/>
  <c r="CV664" i="4"/>
  <c r="CV670" i="4"/>
  <c r="BI838" i="4"/>
  <c r="CO697" i="4"/>
  <c r="CO88" i="4"/>
  <c r="CO112" i="4"/>
  <c r="CO59" i="4"/>
  <c r="CO54" i="4"/>
  <c r="DU54" i="4" s="1"/>
  <c r="DU51" i="4"/>
  <c r="CO964" i="4"/>
  <c r="DU964" i="4" s="1"/>
  <c r="BK726" i="4"/>
  <c r="DO726" i="4" s="1"/>
  <c r="DO724" i="4"/>
  <c r="BJ129" i="4"/>
  <c r="BA104" i="4"/>
  <c r="BA105" i="4" s="1"/>
  <c r="DM98" i="4"/>
  <c r="BA100" i="4"/>
  <c r="DM100" i="4" s="1"/>
  <c r="BA136" i="4"/>
  <c r="BA99" i="4"/>
  <c r="DM99" i="4" s="1"/>
  <c r="BL117" i="4"/>
  <c r="AX127" i="4"/>
  <c r="AS131" i="4"/>
  <c r="AX132" i="4" s="1"/>
  <c r="AP68" i="4"/>
  <c r="AR131" i="4"/>
  <c r="AW132" i="4" s="1"/>
  <c r="AW127" i="4"/>
  <c r="DO863" i="4"/>
  <c r="BL863" i="4"/>
  <c r="BK871" i="4"/>
  <c r="AN68" i="4"/>
  <c r="AV54" i="4"/>
  <c r="DL54" i="4" s="1"/>
  <c r="CW896" i="4"/>
  <c r="BO149" i="4"/>
  <c r="CX670" i="4"/>
  <c r="CX664" i="4"/>
  <c r="AO129" i="4"/>
  <c r="P23" i="4"/>
  <c r="U23" i="4"/>
  <c r="CX844" i="4"/>
  <c r="CY844" i="4" s="1"/>
  <c r="AP129" i="4"/>
  <c r="L763" i="4"/>
  <c r="M763" i="4" s="1"/>
  <c r="DE763" i="4" s="1"/>
  <c r="M761" i="4"/>
  <c r="AG765" i="4"/>
  <c r="AG148" i="4" s="1"/>
  <c r="DI148" i="4" s="1"/>
  <c r="DI751" i="4"/>
  <c r="CM127" i="4"/>
  <c r="CH131" i="4"/>
  <c r="AI521" i="4"/>
  <c r="AI523" i="4" s="1"/>
  <c r="AJ492" i="4"/>
  <c r="AJ496" i="4" s="1"/>
  <c r="AI500" i="4"/>
  <c r="CL131" i="4"/>
  <c r="AY131" i="4"/>
  <c r="BD132" i="4" s="1"/>
  <c r="BD127" i="4"/>
  <c r="CD932" i="4"/>
  <c r="CE932" i="4" s="1"/>
  <c r="DS932" i="4" s="1"/>
  <c r="CF882" i="4"/>
  <c r="BZ88" i="4"/>
  <c r="BV98" i="4"/>
  <c r="BY136" i="4" s="1"/>
  <c r="BN774" i="4"/>
  <c r="AG112" i="4"/>
  <c r="AG59" i="4"/>
  <c r="AG54" i="4"/>
  <c r="DI54" i="4" s="1"/>
  <c r="DI51" i="4"/>
  <c r="AG60" i="4"/>
  <c r="DH112" i="4"/>
  <c r="AB117" i="4"/>
  <c r="CA128" i="4"/>
  <c r="CA123" i="4"/>
  <c r="CA126" i="4" s="1"/>
  <c r="AQ899" i="4"/>
  <c r="DK899" i="4" s="1"/>
  <c r="BA931" i="4"/>
  <c r="DM931" i="4" s="1"/>
  <c r="AO788" i="4"/>
  <c r="AP140" i="4"/>
  <c r="AO148" i="4"/>
  <c r="BF893" i="4"/>
  <c r="BF913" i="4"/>
  <c r="DN913" i="4" s="1"/>
  <c r="CX960" i="4"/>
  <c r="CY778" i="4"/>
  <c r="AY129" i="4"/>
  <c r="CM100" i="4"/>
  <c r="M50" i="4"/>
  <c r="DE50" i="4" s="1"/>
  <c r="M51" i="4"/>
  <c r="DE47" i="4"/>
  <c r="DP496" i="4"/>
  <c r="BE150" i="4"/>
  <c r="BE149" i="4"/>
  <c r="CV774" i="4"/>
  <c r="BE494" i="4"/>
  <c r="BE495" i="4" s="1"/>
  <c r="BE465" i="4"/>
  <c r="BE452" i="4"/>
  <c r="BE453" i="4" s="1"/>
  <c r="BN123" i="4"/>
  <c r="BN126" i="4" s="1"/>
  <c r="BN128" i="4"/>
  <c r="DX942" i="4"/>
  <c r="DA942" i="4"/>
  <c r="DY942" i="4" s="1"/>
  <c r="CG136" i="4"/>
  <c r="BF444" i="4"/>
  <c r="CW897" i="4"/>
  <c r="CF138" i="4"/>
  <c r="CF144" i="4" s="1"/>
  <c r="CF60" i="4"/>
  <c r="CF65" i="4"/>
  <c r="CF67" i="4" s="1"/>
  <c r="CF68" i="4" s="1"/>
  <c r="CJ53" i="4"/>
  <c r="CF128" i="4"/>
  <c r="CF123" i="4"/>
  <c r="CF126" i="4" s="1"/>
  <c r="CC138" i="4"/>
  <c r="CC144" i="4" s="1"/>
  <c r="DV871" i="4"/>
  <c r="DV797" i="4"/>
  <c r="AU127" i="4"/>
  <c r="AP131" i="4"/>
  <c r="AU132" i="4" s="1"/>
  <c r="AH65" i="4"/>
  <c r="AH67" i="4" s="1"/>
  <c r="AH68" i="4" s="1"/>
  <c r="AH138" i="4"/>
  <c r="AH144" i="4" s="1"/>
  <c r="AL53" i="4"/>
  <c r="AS129" i="4"/>
  <c r="AI131" i="4"/>
  <c r="AN132" i="4" s="1"/>
  <c r="AN127" i="4"/>
  <c r="AT127" i="4"/>
  <c r="AO131" i="4"/>
  <c r="AT132" i="4" s="1"/>
  <c r="AT68" i="4"/>
  <c r="Q637" i="4"/>
  <c r="Q639" i="4" s="1"/>
  <c r="Q51" i="4"/>
  <c r="Q50" i="4"/>
  <c r="BF452" i="4"/>
  <c r="CH68" i="4"/>
  <c r="BC138" i="4"/>
  <c r="BC144" i="4" s="1"/>
  <c r="BY131" i="4"/>
  <c r="CD127" i="4"/>
  <c r="DP637" i="4"/>
  <c r="BP638" i="4"/>
  <c r="EP336" i="9" s="1"/>
  <c r="CJ697" i="4"/>
  <c r="CJ88" i="4"/>
  <c r="CJ112" i="4"/>
  <c r="CJ59" i="4"/>
  <c r="CJ54" i="4"/>
  <c r="DT54" i="4" s="1"/>
  <c r="DT51" i="4"/>
  <c r="CJ964" i="4"/>
  <c r="DT964" i="4" s="1"/>
  <c r="AK138" i="4"/>
  <c r="AK144" i="4" s="1"/>
  <c r="BJ149" i="4"/>
  <c r="AJ127" i="4"/>
  <c r="DJ930" i="4"/>
  <c r="AL937" i="4"/>
  <c r="DJ937" i="4" s="1"/>
  <c r="AL651" i="4"/>
  <c r="DJ651" i="4" s="1"/>
  <c r="AM917" i="4"/>
  <c r="AM927" i="4" s="1"/>
  <c r="CM61" i="4"/>
  <c r="CK138" i="4"/>
  <c r="CK144" i="4" s="1"/>
  <c r="CK60" i="4"/>
  <c r="CK61" i="4" s="1"/>
  <c r="CK65" i="4"/>
  <c r="CK67" i="4" s="1"/>
  <c r="CK978" i="4"/>
  <c r="CK801" i="4"/>
  <c r="CK101" i="4"/>
  <c r="CK99" i="4"/>
  <c r="CK100" i="4"/>
  <c r="CK107" i="4"/>
  <c r="CK136" i="4"/>
  <c r="BM685" i="4"/>
  <c r="BM765" i="4"/>
  <c r="AB966" i="4"/>
  <c r="DH966" i="4" s="1"/>
  <c r="DH59" i="4"/>
  <c r="CP697" i="4"/>
  <c r="CP704" i="4" s="1"/>
  <c r="CP724" i="4" s="1"/>
  <c r="CP112" i="4"/>
  <c r="CP117" i="4" s="1"/>
  <c r="CP88" i="4"/>
  <c r="CP98" i="4" s="1"/>
  <c r="CP59" i="4"/>
  <c r="CP966" i="4" s="1"/>
  <c r="CP53" i="4"/>
  <c r="CP54" i="4"/>
  <c r="CP964" i="4"/>
  <c r="CM105" i="4"/>
  <c r="CH105" i="4"/>
  <c r="CC129" i="4"/>
  <c r="CH129" i="4"/>
  <c r="DM796" i="4"/>
  <c r="BA798" i="4"/>
  <c r="BW289" i="4"/>
  <c r="BV282" i="4"/>
  <c r="AO626" i="4"/>
  <c r="AT626" i="4"/>
  <c r="AU651" i="4"/>
  <c r="DK206" i="4"/>
  <c r="AQ207" i="4"/>
  <c r="DK207" i="4" s="1"/>
  <c r="AV207" i="4"/>
  <c r="DL207" i="4" s="1"/>
  <c r="AQ896" i="4"/>
  <c r="DK896" i="4" s="1"/>
  <c r="BA932" i="4"/>
  <c r="DM932" i="4" s="1"/>
  <c r="AQ894" i="4"/>
  <c r="DK894" i="4" s="1"/>
  <c r="AQ914" i="4"/>
  <c r="DK914" i="4" s="1"/>
  <c r="AV932" i="4"/>
  <c r="DL932" i="4" s="1"/>
  <c r="AZ129" i="4"/>
  <c r="AZ68" i="4"/>
  <c r="BF204" i="4"/>
  <c r="DN204" i="4" s="1"/>
  <c r="DN203" i="4"/>
  <c r="BK203" i="4"/>
  <c r="BF207" i="4"/>
  <c r="DN207" i="4" s="1"/>
  <c r="DN206" i="4"/>
  <c r="BK206" i="4"/>
  <c r="BF901" i="4"/>
  <c r="DN901" i="4" s="1"/>
  <c r="BF915" i="4"/>
  <c r="DN915" i="4" s="1"/>
  <c r="CE895" i="4"/>
  <c r="DS895" i="4" s="1"/>
  <c r="CT896" i="4"/>
  <c r="DV896" i="4" s="1"/>
  <c r="CT897" i="4"/>
  <c r="DV897" i="4" s="1"/>
  <c r="BW65" i="4"/>
  <c r="BW67" i="4" s="1"/>
  <c r="BW60" i="4"/>
  <c r="BW128" i="4"/>
  <c r="BW123" i="4"/>
  <c r="BW126" i="4" s="1"/>
  <c r="DO457" i="4"/>
  <c r="BK458" i="4"/>
  <c r="DO458" i="4" s="1"/>
  <c r="BT637" i="4"/>
  <c r="BT638" i="4" s="1"/>
  <c r="BT51" i="4"/>
  <c r="BT50" i="4"/>
  <c r="AM65" i="4"/>
  <c r="AM67" i="4" s="1"/>
  <c r="AM68" i="4" s="1"/>
  <c r="AM138" i="4"/>
  <c r="AM144" i="4" s="1"/>
  <c r="AQ53" i="4"/>
  <c r="AM128" i="4"/>
  <c r="AM123" i="4"/>
  <c r="AM126" i="4" s="1"/>
  <c r="DW675" i="4"/>
  <c r="CY678" i="4"/>
  <c r="DW678" i="4" s="1"/>
  <c r="BS492" i="4"/>
  <c r="BS496" i="4" s="1"/>
  <c r="BR521" i="4"/>
  <c r="BK112" i="4"/>
  <c r="BK60" i="4"/>
  <c r="BK59" i="4"/>
  <c r="BK54" i="4"/>
  <c r="DO54" i="4" s="1"/>
  <c r="DO51" i="4"/>
  <c r="AF132" i="4"/>
  <c r="BG138" i="4"/>
  <c r="BG144" i="4" s="1"/>
  <c r="BK53" i="4"/>
  <c r="BG65" i="4"/>
  <c r="BG67" i="4" s="1"/>
  <c r="BG68" i="4" s="1"/>
  <c r="BG117" i="4"/>
  <c r="DX967" i="4"/>
  <c r="DA967" i="4"/>
  <c r="DY967" i="4" s="1"/>
  <c r="AL765" i="4"/>
  <c r="AM148" i="4" s="1"/>
  <c r="DJ751" i="4"/>
  <c r="BO68" i="4"/>
  <c r="BP519" i="4"/>
  <c r="DP519" i="4" s="1"/>
  <c r="CD105" i="4"/>
  <c r="CG131" i="4"/>
  <c r="CL127" i="4"/>
  <c r="BF495" i="4"/>
  <c r="DN495" i="4" s="1"/>
  <c r="BB123" i="4"/>
  <c r="BB126" i="4" s="1"/>
  <c r="BB128" i="4"/>
  <c r="BB61" i="4"/>
  <c r="BP112" i="4"/>
  <c r="BP59" i="4"/>
  <c r="AK116" i="48" s="1"/>
  <c r="BP54" i="4"/>
  <c r="DP54" i="4" s="1"/>
  <c r="DP51" i="4"/>
  <c r="DP500" i="4"/>
  <c r="BP499" i="4"/>
  <c r="DP499" i="4" s="1"/>
  <c r="BC895" i="4"/>
  <c r="BC917" i="4" s="1"/>
  <c r="BQ85" i="4"/>
  <c r="BV85" i="4"/>
  <c r="BH896" i="4"/>
  <c r="CR722" i="4"/>
  <c r="CT717" i="4"/>
  <c r="CI802" i="4"/>
  <c r="CI773" i="4"/>
  <c r="CI786" i="4" s="1"/>
  <c r="BE131" i="4"/>
  <c r="CW670" i="4"/>
  <c r="CW664" i="4"/>
  <c r="BI123" i="4"/>
  <c r="BI126" i="4" s="1"/>
  <c r="BI128" i="4"/>
  <c r="BL138" i="4"/>
  <c r="BL144" i="4" s="1"/>
  <c r="BL60" i="4"/>
  <c r="BL61" i="4" s="1"/>
  <c r="BL65" i="4"/>
  <c r="BL67" i="4" s="1"/>
  <c r="BP53" i="4"/>
  <c r="BL98" i="4"/>
  <c r="BP88" i="4"/>
  <c r="DW832" i="4"/>
  <c r="CY834" i="4"/>
  <c r="CZ893" i="4"/>
  <c r="AL59" i="4"/>
  <c r="AL54" i="4"/>
  <c r="DJ54" i="4" s="1"/>
  <c r="DJ51" i="4"/>
  <c r="AL60" i="4"/>
  <c r="AL112" i="4"/>
  <c r="AW129" i="4"/>
  <c r="R690" i="4"/>
  <c r="DF690" i="4" s="1"/>
  <c r="R22" i="4"/>
  <c r="DF14" i="4"/>
  <c r="R33" i="4"/>
  <c r="R634" i="4"/>
  <c r="DF634" i="4" s="1"/>
  <c r="AL638" i="4"/>
  <c r="DJ638" i="4" s="1"/>
  <c r="DJ639" i="4"/>
  <c r="AN138" i="4"/>
  <c r="AN144" i="4" s="1"/>
  <c r="BH138" i="4"/>
  <c r="BH144" i="4" s="1"/>
  <c r="AV966" i="4"/>
  <c r="DL966" i="4" s="1"/>
  <c r="DL59" i="4"/>
  <c r="BC129" i="4"/>
  <c r="CB105" i="4"/>
  <c r="DV860" i="4"/>
  <c r="BA112" i="4"/>
  <c r="BA60" i="4"/>
  <c r="BA59" i="4"/>
  <c r="BA54" i="4"/>
  <c r="DM54" i="4" s="1"/>
  <c r="DM51" i="4"/>
  <c r="DH893" i="4"/>
  <c r="AB917" i="4"/>
  <c r="DH917" i="4" s="1"/>
  <c r="AI132" i="4"/>
  <c r="AV138" i="4"/>
  <c r="AV65" i="4"/>
  <c r="AV67" i="4" s="1"/>
  <c r="DL53" i="4"/>
  <c r="P637" i="4"/>
  <c r="P51" i="4"/>
  <c r="P50" i="4"/>
  <c r="BN68" i="4"/>
  <c r="AP127" i="4"/>
  <c r="AK131" i="4"/>
  <c r="AW368" i="4"/>
  <c r="BB325" i="4"/>
  <c r="AW325" i="4"/>
  <c r="AX367" i="4"/>
  <c r="BE367" i="4"/>
  <c r="BD367" i="4"/>
  <c r="AW367" i="4"/>
  <c r="AY367" i="4"/>
  <c r="BD325" i="4"/>
  <c r="DX56" i="4" l="1"/>
  <c r="CZ58" i="4"/>
  <c r="AR375" i="51"/>
  <c r="AR379" i="51"/>
  <c r="AN536" i="51"/>
  <c r="AN52" i="51" s="1"/>
  <c r="AX536" i="51"/>
  <c r="AX52" i="51" s="1"/>
  <c r="AO463" i="51"/>
  <c r="AM510" i="51"/>
  <c r="AM536" i="51"/>
  <c r="AM52" i="51" s="1"/>
  <c r="AS462" i="51"/>
  <c r="AS379" i="51"/>
  <c r="AX518" i="51"/>
  <c r="AW510" i="51"/>
  <c r="AW512" i="51"/>
  <c r="AR401" i="51"/>
  <c r="AS372" i="51"/>
  <c r="AY463" i="51"/>
  <c r="AW366" i="51"/>
  <c r="AO383" i="51"/>
  <c r="AY460" i="51"/>
  <c r="AX444" i="51"/>
  <c r="AX543" i="51" s="1"/>
  <c r="AN541" i="51"/>
  <c r="AN54" i="51" s="1"/>
  <c r="AS463" i="51"/>
  <c r="AS468" i="51"/>
  <c r="BS233" i="72"/>
  <c r="AM516" i="51"/>
  <c r="AO465" i="51"/>
  <c r="AS377" i="51"/>
  <c r="L16" i="68"/>
  <c r="CV601" i="49"/>
  <c r="DY56" i="4"/>
  <c r="K16" i="68"/>
  <c r="K17" i="68" s="1"/>
  <c r="BB5" i="50"/>
  <c r="BB6" i="50" s="1"/>
  <c r="BB3" i="51"/>
  <c r="BB4" i="51" s="1"/>
  <c r="C37" i="81"/>
  <c r="K28" i="81"/>
  <c r="C31" i="81"/>
  <c r="L28" i="81"/>
  <c r="AZ452" i="51"/>
  <c r="AN511" i="51"/>
  <c r="AN107" i="51"/>
  <c r="AN530" i="51"/>
  <c r="AN150" i="4"/>
  <c r="W65" i="4"/>
  <c r="W67" i="4" s="1"/>
  <c r="DA114" i="4"/>
  <c r="BT398" i="51"/>
  <c r="AY402" i="51"/>
  <c r="AO468" i="51"/>
  <c r="AY462" i="51"/>
  <c r="AY480" i="51"/>
  <c r="AZ365" i="51"/>
  <c r="AZ399" i="51" s="1"/>
  <c r="AZ492" i="51"/>
  <c r="AZ442" i="51"/>
  <c r="AZ466" i="51" s="1"/>
  <c r="AO461" i="51"/>
  <c r="AR395" i="51"/>
  <c r="AT353" i="51"/>
  <c r="AT395" i="51" s="1"/>
  <c r="AT490" i="51"/>
  <c r="AO378" i="51"/>
  <c r="AN510" i="51"/>
  <c r="AS465" i="51"/>
  <c r="BS232" i="72"/>
  <c r="AR480" i="51"/>
  <c r="AR444" i="51"/>
  <c r="AT442" i="51"/>
  <c r="AT462" i="51" s="1"/>
  <c r="AO375" i="51"/>
  <c r="AY67" i="51"/>
  <c r="AW541" i="51"/>
  <c r="AW54" i="51" s="1"/>
  <c r="AS383" i="51"/>
  <c r="AQ109" i="51"/>
  <c r="D30" i="69"/>
  <c r="D28" i="69"/>
  <c r="G27" i="69"/>
  <c r="AY456" i="51"/>
  <c r="AW515" i="51"/>
  <c r="F27" i="67"/>
  <c r="F30" i="67" s="1"/>
  <c r="K27" i="67"/>
  <c r="C30" i="67"/>
  <c r="L27" i="67"/>
  <c r="C28" i="67"/>
  <c r="AR383" i="51"/>
  <c r="AN514" i="51"/>
  <c r="AS398" i="51"/>
  <c r="AT376" i="51"/>
  <c r="K3" i="9"/>
  <c r="AZ491" i="51"/>
  <c r="AZ494" i="51"/>
  <c r="AS506" i="51"/>
  <c r="EE326" i="9"/>
  <c r="EH320" i="9"/>
  <c r="BA4" i="51"/>
  <c r="D45" i="71"/>
  <c r="DE233" i="9"/>
  <c r="DE238" i="9"/>
  <c r="AX515" i="51"/>
  <c r="AX107" i="51"/>
  <c r="AX530" i="51"/>
  <c r="CM978" i="4"/>
  <c r="AB937" i="4"/>
  <c r="DH937" i="4" s="1"/>
  <c r="AH765" i="4"/>
  <c r="U131" i="4"/>
  <c r="Z132" i="4" s="1"/>
  <c r="Z127" i="4"/>
  <c r="AO460" i="51"/>
  <c r="AO480" i="51"/>
  <c r="AS399" i="51"/>
  <c r="AW514" i="51"/>
  <c r="AN516" i="51"/>
  <c r="AR398" i="51"/>
  <c r="AR372" i="51"/>
  <c r="AT365" i="51"/>
  <c r="AT372" i="51" s="1"/>
  <c r="AZ488" i="51"/>
  <c r="AZ490" i="51"/>
  <c r="AZ463" i="51"/>
  <c r="GA386" i="9"/>
  <c r="FW386" i="9"/>
  <c r="FZ389" i="9"/>
  <c r="FX389" i="9"/>
  <c r="FY389" i="9"/>
  <c r="AS466" i="51"/>
  <c r="AR506" i="51"/>
  <c r="AR510" i="51"/>
  <c r="AT486" i="51"/>
  <c r="AO376" i="51"/>
  <c r="AQ215" i="51"/>
  <c r="BS231" i="72"/>
  <c r="BS234" i="72"/>
  <c r="AX511" i="51"/>
  <c r="AS464" i="51"/>
  <c r="AS541" i="51" s="1"/>
  <c r="AS54" i="51" s="1"/>
  <c r="AR378" i="51"/>
  <c r="AT460" i="51"/>
  <c r="AR381" i="51"/>
  <c r="AO462" i="51"/>
  <c r="AO541" i="51" s="1"/>
  <c r="AO54" i="51" s="1"/>
  <c r="AY465" i="51"/>
  <c r="AS376" i="51"/>
  <c r="AW511" i="51"/>
  <c r="AT461" i="51"/>
  <c r="AY379" i="51"/>
  <c r="AY395" i="51"/>
  <c r="D34" i="71"/>
  <c r="AS512" i="51"/>
  <c r="AO64" i="9"/>
  <c r="AO68" i="9"/>
  <c r="BS230" i="72"/>
  <c r="AX510" i="51"/>
  <c r="AR462" i="51"/>
  <c r="AR377" i="51"/>
  <c r="AR536" i="51" s="1"/>
  <c r="AR52" i="51" s="1"/>
  <c r="AY79" i="51"/>
  <c r="AX513" i="51"/>
  <c r="AR511" i="51"/>
  <c r="AT487" i="51"/>
  <c r="AT398" i="51"/>
  <c r="K27" i="69"/>
  <c r="C28" i="69"/>
  <c r="C30" i="69"/>
  <c r="L27" i="69"/>
  <c r="F27" i="69"/>
  <c r="F30" i="69" s="1"/>
  <c r="AV108" i="51"/>
  <c r="AT381" i="51"/>
  <c r="AS518" i="51"/>
  <c r="G27" i="67"/>
  <c r="D28" i="67"/>
  <c r="D30" i="67"/>
  <c r="AP68" i="9"/>
  <c r="AP64" i="9"/>
  <c r="BK519" i="4"/>
  <c r="DO519" i="4" s="1"/>
  <c r="BA927" i="4"/>
  <c r="DM927" i="4" s="1"/>
  <c r="BD895" i="4"/>
  <c r="BD917" i="4" s="1"/>
  <c r="AW530" i="51"/>
  <c r="AW507" i="51"/>
  <c r="AW107" i="51"/>
  <c r="AY506" i="51"/>
  <c r="AY515" i="51" s="1"/>
  <c r="AX523" i="4"/>
  <c r="BA519" i="4"/>
  <c r="DM519" i="4" s="1"/>
  <c r="AN512" i="51"/>
  <c r="AS480" i="51"/>
  <c r="AS444" i="51"/>
  <c r="L27" i="71"/>
  <c r="P32" i="71"/>
  <c r="P33" i="71" s="1"/>
  <c r="P34" i="71" s="1"/>
  <c r="F27" i="71"/>
  <c r="F30" i="71" s="1"/>
  <c r="P30" i="71"/>
  <c r="K27" i="71"/>
  <c r="C28" i="71"/>
  <c r="C30" i="71"/>
  <c r="G27" i="71"/>
  <c r="AT463" i="51"/>
  <c r="AT465" i="51"/>
  <c r="AR515" i="51"/>
  <c r="AT491" i="51"/>
  <c r="AZ400" i="51"/>
  <c r="AZ487" i="51"/>
  <c r="AZ462" i="51"/>
  <c r="AZ489" i="51"/>
  <c r="AZ486" i="51"/>
  <c r="AZ353" i="51"/>
  <c r="FT386" i="9"/>
  <c r="FW389" i="9"/>
  <c r="FT389" i="9"/>
  <c r="FU389" i="9"/>
  <c r="FV389" i="9"/>
  <c r="AT379" i="51"/>
  <c r="AR400" i="51"/>
  <c r="AY88" i="51"/>
  <c r="AX366" i="51"/>
  <c r="AY461" i="51"/>
  <c r="AO379" i="51"/>
  <c r="AW518" i="51"/>
  <c r="AN513" i="51"/>
  <c r="AS513" i="51"/>
  <c r="AS400" i="51"/>
  <c r="AM513" i="51"/>
  <c r="AM530" i="51"/>
  <c r="AM107" i="51"/>
  <c r="AO506" i="51"/>
  <c r="AO511" i="51" s="1"/>
  <c r="AT464" i="51"/>
  <c r="AR513" i="51"/>
  <c r="AT489" i="51"/>
  <c r="AR460" i="51"/>
  <c r="AR516" i="51"/>
  <c r="AT492" i="51"/>
  <c r="AO516" i="51"/>
  <c r="AY468" i="51"/>
  <c r="AY372" i="51"/>
  <c r="AS375" i="51"/>
  <c r="AR461" i="51"/>
  <c r="AY73" i="51"/>
  <c r="AW354" i="51"/>
  <c r="AY464" i="51"/>
  <c r="G28" i="81"/>
  <c r="D37" i="81"/>
  <c r="D31" i="81"/>
  <c r="AM514" i="51"/>
  <c r="AW516" i="51"/>
  <c r="AS380" i="51"/>
  <c r="AS456" i="51"/>
  <c r="AX457" i="51" s="1"/>
  <c r="AX454" i="51"/>
  <c r="AX512" i="51"/>
  <c r="AR456" i="51"/>
  <c r="AW457" i="51" s="1"/>
  <c r="AT452" i="51"/>
  <c r="AT456" i="51" s="1"/>
  <c r="AT494" i="51"/>
  <c r="AT399" i="51"/>
  <c r="AR512" i="51"/>
  <c r="AT488" i="51"/>
  <c r="AM512" i="51"/>
  <c r="AY383" i="51"/>
  <c r="AR468" i="51"/>
  <c r="DX8" i="4"/>
  <c r="JK873" i="72"/>
  <c r="BB68" i="4"/>
  <c r="CA61" i="4"/>
  <c r="ED311" i="9"/>
  <c r="ED317" i="9" s="1"/>
  <c r="DC208" i="9"/>
  <c r="DY311" i="9"/>
  <c r="DY317" i="9" s="1"/>
  <c r="DY328" i="9" s="1"/>
  <c r="DY331" i="9" s="1"/>
  <c r="CX208" i="9"/>
  <c r="CM107" i="4"/>
  <c r="CA68" i="4"/>
  <c r="AY85" i="72"/>
  <c r="AY87" i="72" s="1"/>
  <c r="AY89" i="72"/>
  <c r="BL68" i="4"/>
  <c r="CM99" i="4"/>
  <c r="CM136" i="4"/>
  <c r="EF311" i="9"/>
  <c r="EF317" i="9" s="1"/>
  <c r="EF328" i="9" s="1"/>
  <c r="EF331" i="9" s="1"/>
  <c r="DE208" i="9"/>
  <c r="AP132" i="4"/>
  <c r="S132" i="4"/>
  <c r="CF61" i="4"/>
  <c r="CM101" i="4"/>
  <c r="CU798" i="4"/>
  <c r="DX58" i="4"/>
  <c r="BS47" i="51"/>
  <c r="DW162" i="4"/>
  <c r="CY165" i="4"/>
  <c r="DW165" i="4" s="1"/>
  <c r="DW163" i="4"/>
  <c r="CY164" i="4"/>
  <c r="DW164" i="4" s="1"/>
  <c r="CZ162" i="4"/>
  <c r="CV729" i="49"/>
  <c r="BU539" i="4"/>
  <c r="DQ539" i="4" s="1"/>
  <c r="BS402" i="51"/>
  <c r="CV726" i="49"/>
  <c r="DR368" i="4"/>
  <c r="BZ369" i="4"/>
  <c r="BX406" i="51"/>
  <c r="BW22" i="51"/>
  <c r="BW362" i="51"/>
  <c r="BZ321" i="4"/>
  <c r="DR321" i="4" s="1"/>
  <c r="BZ348" i="4"/>
  <c r="DR348" i="4" s="1"/>
  <c r="BZ338" i="4"/>
  <c r="DR338" i="4" s="1"/>
  <c r="DR327" i="4"/>
  <c r="BU37" i="51"/>
  <c r="BU25" i="51"/>
  <c r="BU29" i="51" s="1"/>
  <c r="BW405" i="51"/>
  <c r="BV409" i="51"/>
  <c r="BV410" i="51" s="1"/>
  <c r="BV21" i="51"/>
  <c r="BW448" i="51"/>
  <c r="BV361" i="51"/>
  <c r="BV40" i="51"/>
  <c r="BT28" i="51"/>
  <c r="BT30" i="51"/>
  <c r="BT32" i="51"/>
  <c r="BT372" i="51"/>
  <c r="BT366" i="51"/>
  <c r="CA326" i="4"/>
  <c r="BT401" i="51"/>
  <c r="BT399" i="51"/>
  <c r="BU454" i="51"/>
  <c r="BU456" i="51"/>
  <c r="BU457" i="51" s="1"/>
  <c r="CB368" i="4"/>
  <c r="CB369" i="4" s="1"/>
  <c r="CB386" i="4" s="1"/>
  <c r="BX362" i="51"/>
  <c r="BT456" i="51"/>
  <c r="BT457" i="51" s="1"/>
  <c r="BT454" i="51"/>
  <c r="CA368" i="4"/>
  <c r="BU365" i="51"/>
  <c r="BU400" i="51" s="1"/>
  <c r="BX408" i="51"/>
  <c r="BW24" i="51"/>
  <c r="BW364" i="51"/>
  <c r="BX364" i="51" s="1"/>
  <c r="BU39" i="51"/>
  <c r="BS49" i="51"/>
  <c r="BS44" i="51"/>
  <c r="BS46" i="51"/>
  <c r="BS48" i="51"/>
  <c r="BT41" i="51"/>
  <c r="BT45" i="51" s="1"/>
  <c r="BV38" i="51"/>
  <c r="BZ322" i="4"/>
  <c r="DR322" i="4" s="1"/>
  <c r="BV448" i="51"/>
  <c r="BY321" i="4"/>
  <c r="BY338" i="4"/>
  <c r="BY348" i="4"/>
  <c r="BW407" i="51"/>
  <c r="BW450" i="51" s="1"/>
  <c r="BX450" i="51" s="1"/>
  <c r="BV23" i="51"/>
  <c r="BV363" i="51"/>
  <c r="BT29" i="51"/>
  <c r="BT31" i="51"/>
  <c r="BS33" i="51"/>
  <c r="DX893" i="4"/>
  <c r="BE325" i="4"/>
  <c r="BG367" i="4"/>
  <c r="AY325" i="4"/>
  <c r="P639" i="4"/>
  <c r="R639" i="4" s="1"/>
  <c r="R637" i="4"/>
  <c r="DF637" i="4" s="1"/>
  <c r="BA117" i="4"/>
  <c r="DM112" i="4"/>
  <c r="BH150" i="4"/>
  <c r="BH149" i="4"/>
  <c r="AL61" i="4"/>
  <c r="DJ61" i="4" s="1"/>
  <c r="DJ60" i="4"/>
  <c r="BP98" i="4"/>
  <c r="D8" i="68" s="1"/>
  <c r="DP88" i="4"/>
  <c r="CL132" i="4"/>
  <c r="DO206" i="4"/>
  <c r="BP206" i="4"/>
  <c r="DO203" i="4"/>
  <c r="BP203" i="4"/>
  <c r="BX289" i="4"/>
  <c r="BW282" i="4"/>
  <c r="DT697" i="4"/>
  <c r="CJ704" i="4"/>
  <c r="CD132" i="4"/>
  <c r="AL65" i="4"/>
  <c r="AL67" i="4" s="1"/>
  <c r="AL68" i="4" s="1"/>
  <c r="AL138" i="4"/>
  <c r="DJ53" i="4"/>
  <c r="CK129" i="4"/>
  <c r="M112" i="4"/>
  <c r="M60" i="4"/>
  <c r="DE60" i="4" s="1"/>
  <c r="M59" i="4"/>
  <c r="DE51" i="4"/>
  <c r="CF129" i="4"/>
  <c r="AG61" i="4"/>
  <c r="DI61" i="4" s="1"/>
  <c r="DI60" i="4"/>
  <c r="AG117" i="4"/>
  <c r="DI112" i="4"/>
  <c r="DR88" i="4"/>
  <c r="BZ98" i="4"/>
  <c r="AJ521" i="4"/>
  <c r="AJ523" i="4" s="1"/>
  <c r="AK492" i="4"/>
  <c r="AJ500" i="4"/>
  <c r="L765" i="4"/>
  <c r="L788" i="4" s="1"/>
  <c r="BY801" i="4"/>
  <c r="BY802" i="4" s="1"/>
  <c r="CO966" i="4"/>
  <c r="DU966" i="4" s="1"/>
  <c r="DU59" i="4"/>
  <c r="BJ838" i="4"/>
  <c r="BK838" i="4" s="1"/>
  <c r="AV458" i="4"/>
  <c r="DL458" i="4" s="1"/>
  <c r="AV459" i="4"/>
  <c r="DL459" i="4" s="1"/>
  <c r="DL457" i="4"/>
  <c r="BA459" i="4"/>
  <c r="DM459" i="4" s="1"/>
  <c r="DO88" i="4"/>
  <c r="BK98" i="4"/>
  <c r="BO129" i="4"/>
  <c r="BH932" i="4"/>
  <c r="BH691" i="4"/>
  <c r="BH690" i="4"/>
  <c r="BB129" i="4"/>
  <c r="BC927" i="4"/>
  <c r="DH469" i="4"/>
  <c r="AB472" i="4"/>
  <c r="DH472" i="4" s="1"/>
  <c r="DK760" i="4"/>
  <c r="AR760" i="4"/>
  <c r="DK930" i="4"/>
  <c r="AQ651" i="4"/>
  <c r="DK651" i="4" s="1"/>
  <c r="CK131" i="4"/>
  <c r="CP127" i="4"/>
  <c r="AS132" i="4"/>
  <c r="I447" i="4"/>
  <c r="M446" i="4"/>
  <c r="CX897" i="4"/>
  <c r="CY897" i="4" s="1"/>
  <c r="DW897" i="4" s="1"/>
  <c r="AQ61" i="4"/>
  <c r="DK61" i="4" s="1"/>
  <c r="DK60" i="4"/>
  <c r="AV927" i="4"/>
  <c r="DL927" i="4" s="1"/>
  <c r="CX896" i="4"/>
  <c r="CY896" i="4" s="1"/>
  <c r="DW896" i="4" s="1"/>
  <c r="DN112" i="4"/>
  <c r="BF117" i="4"/>
  <c r="AD37" i="9" s="1"/>
  <c r="DA718" i="4"/>
  <c r="DY57" i="4"/>
  <c r="CG132" i="4"/>
  <c r="AV128" i="4"/>
  <c r="AV123" i="4"/>
  <c r="DL117" i="4"/>
  <c r="DT860" i="4"/>
  <c r="CJ796" i="4"/>
  <c r="CB361" i="4"/>
  <c r="CA354" i="4"/>
  <c r="DO834" i="4"/>
  <c r="BK795" i="4"/>
  <c r="BD927" i="4"/>
  <c r="CA101" i="4"/>
  <c r="AM129" i="4"/>
  <c r="CT670" i="4"/>
  <c r="DV670" i="4" s="1"/>
  <c r="CT664" i="4"/>
  <c r="DV664" i="4" s="1"/>
  <c r="DV661" i="4"/>
  <c r="AQ105" i="4"/>
  <c r="BZ966" i="4"/>
  <c r="DR966" i="4" s="1"/>
  <c r="DR59" i="4"/>
  <c r="DR112" i="4"/>
  <c r="BZ117" i="4"/>
  <c r="DS88" i="4"/>
  <c r="CE98" i="4"/>
  <c r="CZ931" i="4"/>
  <c r="DX931" i="4" s="1"/>
  <c r="DX759" i="4"/>
  <c r="DA759" i="4"/>
  <c r="CZ685" i="4"/>
  <c r="AX325" i="4"/>
  <c r="AZ325" i="4"/>
  <c r="BE326" i="4"/>
  <c r="BB367" i="4"/>
  <c r="AX368" i="4"/>
  <c r="AX369" i="4" s="1"/>
  <c r="AU367" i="4"/>
  <c r="AR367" i="4"/>
  <c r="AS367" i="4"/>
  <c r="BC325" i="4"/>
  <c r="DV796" i="4"/>
  <c r="CT798" i="4"/>
  <c r="R47" i="4"/>
  <c r="DF33" i="4"/>
  <c r="DX832" i="4"/>
  <c r="DA832" i="4"/>
  <c r="CZ834" i="4"/>
  <c r="BL801" i="4"/>
  <c r="BL100" i="4"/>
  <c r="BL104" i="4"/>
  <c r="BL136" i="4"/>
  <c r="BL101" i="4"/>
  <c r="BL99" i="4"/>
  <c r="BO801" i="4"/>
  <c r="BP801" i="4" s="1"/>
  <c r="DP801" i="4" s="1"/>
  <c r="BO136" i="4"/>
  <c r="BO151" i="4" s="1"/>
  <c r="BN136" i="4"/>
  <c r="BM136" i="4"/>
  <c r="BM801" i="4"/>
  <c r="BN801" i="4"/>
  <c r="BP966" i="4"/>
  <c r="DP966" i="4" s="1"/>
  <c r="DP59" i="4"/>
  <c r="BB131" i="4"/>
  <c r="BG128" i="4"/>
  <c r="BG123" i="4"/>
  <c r="BG126" i="4" s="1"/>
  <c r="BG127" i="4" s="1"/>
  <c r="BK966" i="4"/>
  <c r="DO966" i="4" s="1"/>
  <c r="DO59" i="4"/>
  <c r="BS521" i="4"/>
  <c r="BT492" i="4"/>
  <c r="BT496" i="4" s="1"/>
  <c r="AM131" i="4"/>
  <c r="AR132" i="4" s="1"/>
  <c r="AR127" i="4"/>
  <c r="CP978" i="4"/>
  <c r="CP801" i="4"/>
  <c r="CP802" i="4" s="1"/>
  <c r="CP101" i="4"/>
  <c r="CP99" i="4"/>
  <c r="CP136" i="4"/>
  <c r="CP104" i="4"/>
  <c r="CP100" i="4"/>
  <c r="CJ966" i="4"/>
  <c r="DT966" i="4" s="1"/>
  <c r="DT59" i="4"/>
  <c r="DP638" i="4"/>
  <c r="Q112" i="4"/>
  <c r="Q117" i="4" s="1"/>
  <c r="Q60" i="4"/>
  <c r="Q59" i="4"/>
  <c r="Q966" i="4" s="1"/>
  <c r="Q54" i="4"/>
  <c r="Q53" i="4"/>
  <c r="Q65" i="4" s="1"/>
  <c r="Q67" i="4" s="1"/>
  <c r="Q964" i="4"/>
  <c r="V54" i="4"/>
  <c r="CJ138" i="4"/>
  <c r="CJ60" i="4"/>
  <c r="H12" i="68" s="1"/>
  <c r="CJ65" i="4"/>
  <c r="CJ67" i="4" s="1"/>
  <c r="DT53" i="4"/>
  <c r="BN131" i="4"/>
  <c r="CY960" i="4"/>
  <c r="DW960" i="4" s="1"/>
  <c r="DW778" i="4"/>
  <c r="CZ778" i="4"/>
  <c r="DN893" i="4"/>
  <c r="AP146" i="4"/>
  <c r="AP149" i="4" s="1"/>
  <c r="AP145" i="4"/>
  <c r="AP150" i="4" s="1"/>
  <c r="AP151" i="4"/>
  <c r="AB128" i="4"/>
  <c r="DH117" i="4"/>
  <c r="AB123" i="4"/>
  <c r="BO774" i="4"/>
  <c r="BP774" i="4" s="1"/>
  <c r="CG882" i="4"/>
  <c r="CF932" i="4"/>
  <c r="DE761" i="4"/>
  <c r="M765" i="4"/>
  <c r="BL128" i="4"/>
  <c r="BL123" i="4"/>
  <c r="BL126" i="4" s="1"/>
  <c r="CO117" i="4"/>
  <c r="DU112" i="4"/>
  <c r="AV473" i="4"/>
  <c r="DL469" i="4"/>
  <c r="BG801" i="4"/>
  <c r="BG136" i="4"/>
  <c r="BG99" i="4"/>
  <c r="BG100" i="4"/>
  <c r="BG104" i="4"/>
  <c r="BG105" i="4" s="1"/>
  <c r="BJ801" i="4"/>
  <c r="BK801" i="4" s="1"/>
  <c r="DO801" i="4" s="1"/>
  <c r="BI136" i="4"/>
  <c r="BI151" i="4" s="1"/>
  <c r="BH136" i="4"/>
  <c r="BH151" i="4" s="1"/>
  <c r="BJ136" i="4"/>
  <c r="BJ151" i="4" s="1"/>
  <c r="BH801" i="4"/>
  <c r="BI801" i="4"/>
  <c r="AC522" i="4"/>
  <c r="AG522" i="4" s="1"/>
  <c r="DI522" i="4" s="1"/>
  <c r="AG504" i="4"/>
  <c r="CY661" i="4"/>
  <c r="CY666" i="4"/>
  <c r="DW666" i="4" s="1"/>
  <c r="DW657" i="4"/>
  <c r="BO127" i="4"/>
  <c r="BJ131" i="4"/>
  <c r="BK482" i="4"/>
  <c r="DO473" i="4"/>
  <c r="BB127" i="4"/>
  <c r="AW131" i="4"/>
  <c r="BB132" i="4" s="1"/>
  <c r="DW841" i="4"/>
  <c r="CZ841" i="4"/>
  <c r="AB458" i="4"/>
  <c r="DH458" i="4" s="1"/>
  <c r="AB459" i="4"/>
  <c r="DH459" i="4" s="1"/>
  <c r="DH457" i="4"/>
  <c r="AG927" i="4"/>
  <c r="DI927" i="4" s="1"/>
  <c r="DN930" i="4"/>
  <c r="BF651" i="4"/>
  <c r="DN651" i="4" s="1"/>
  <c r="AQ933" i="4"/>
  <c r="DK933" i="4" s="1"/>
  <c r="CZ900" i="4"/>
  <c r="DX900" i="4" s="1"/>
  <c r="CZ842" i="4"/>
  <c r="DW842" i="4"/>
  <c r="M494" i="4"/>
  <c r="I496" i="4"/>
  <c r="CI132" i="4"/>
  <c r="DK112" i="4"/>
  <c r="AQ117" i="4"/>
  <c r="DF455" i="4"/>
  <c r="R463" i="4"/>
  <c r="DF463" i="4" s="1"/>
  <c r="DN60" i="4"/>
  <c r="BF61" i="4"/>
  <c r="DN61" i="4" s="1"/>
  <c r="BH131" i="4"/>
  <c r="BH132" i="4" s="1"/>
  <c r="BM127" i="4"/>
  <c r="AG144" i="4"/>
  <c r="DI138" i="4"/>
  <c r="BQ637" i="4"/>
  <c r="BQ51" i="4"/>
  <c r="BQ50" i="4"/>
  <c r="BD860" i="4"/>
  <c r="BD796" i="4" s="1"/>
  <c r="BD798" i="4" s="1"/>
  <c r="BE895" i="4"/>
  <c r="BE837" i="4"/>
  <c r="O68" i="4"/>
  <c r="T68" i="4"/>
  <c r="BT840" i="4"/>
  <c r="BU840" i="4" s="1"/>
  <c r="DW893" i="4"/>
  <c r="DA246" i="4"/>
  <c r="DY246" i="4" s="1"/>
  <c r="DY228" i="4"/>
  <c r="DA8" i="4"/>
  <c r="DY8" i="4" s="1"/>
  <c r="DG112" i="4"/>
  <c r="W117" i="4"/>
  <c r="AM127" i="4"/>
  <c r="AH131" i="4"/>
  <c r="AM132" i="4" s="1"/>
  <c r="DM482" i="4"/>
  <c r="BA486" i="4"/>
  <c r="AB68" i="4"/>
  <c r="CZ840" i="4"/>
  <c r="CZ898" i="4" s="1"/>
  <c r="DX898" i="4" s="1"/>
  <c r="DW840" i="4"/>
  <c r="DN136" i="4"/>
  <c r="CN128" i="4"/>
  <c r="CN123" i="4"/>
  <c r="CN126" i="4" s="1"/>
  <c r="CQ697" i="4"/>
  <c r="CQ704" i="4" s="1"/>
  <c r="CQ724" i="4" s="1"/>
  <c r="CQ112" i="4"/>
  <c r="CQ117" i="4" s="1"/>
  <c r="CQ88" i="4"/>
  <c r="CQ98" i="4" s="1"/>
  <c r="CQ59" i="4"/>
  <c r="CQ966" i="4" s="1"/>
  <c r="CQ54" i="4"/>
  <c r="CQ53" i="4"/>
  <c r="CQ964" i="4"/>
  <c r="DK136" i="4"/>
  <c r="BZ704" i="4"/>
  <c r="DR697" i="4"/>
  <c r="DE441" i="4"/>
  <c r="R442" i="4"/>
  <c r="DF442" i="4" s="1"/>
  <c r="DS112" i="4"/>
  <c r="CE117" i="4"/>
  <c r="BC367" i="4"/>
  <c r="AZ367" i="4"/>
  <c r="BA367" i="4" s="1"/>
  <c r="AT367" i="4"/>
  <c r="BA966" i="4"/>
  <c r="DM966" i="4" s="1"/>
  <c r="DM59" i="4"/>
  <c r="DW834" i="4"/>
  <c r="CY795" i="4"/>
  <c r="BP138" i="4"/>
  <c r="BP60" i="4"/>
  <c r="BP65" i="4"/>
  <c r="BP67" i="4" s="1"/>
  <c r="DP53" i="4"/>
  <c r="BN129" i="4"/>
  <c r="CT722" i="4"/>
  <c r="DV722" i="4" s="1"/>
  <c r="DV717" i="4"/>
  <c r="BP117" i="4"/>
  <c r="D33" i="68" s="1"/>
  <c r="DP112" i="4"/>
  <c r="BK61" i="4"/>
  <c r="DO61" i="4" s="1"/>
  <c r="DO60" i="4"/>
  <c r="AR129" i="4"/>
  <c r="CB127" i="4"/>
  <c r="BW131" i="4"/>
  <c r="DM798" i="4"/>
  <c r="BA802" i="4"/>
  <c r="DM802" i="4" s="1"/>
  <c r="BA800" i="4"/>
  <c r="BA773" i="4"/>
  <c r="CP123" i="4"/>
  <c r="CP126" i="4" s="1"/>
  <c r="CP128" i="4"/>
  <c r="CP129" i="4" s="1"/>
  <c r="BN140" i="4"/>
  <c r="BN148" i="4"/>
  <c r="BM148" i="4"/>
  <c r="CO138" i="4"/>
  <c r="DU53" i="4"/>
  <c r="CO60" i="4"/>
  <c r="CJ117" i="4"/>
  <c r="DT112" i="4"/>
  <c r="CW774" i="4"/>
  <c r="CM132" i="4"/>
  <c r="AG788" i="4"/>
  <c r="DI788" i="4" s="1"/>
  <c r="DI765" i="4"/>
  <c r="AH140" i="4"/>
  <c r="K761" i="4"/>
  <c r="DO871" i="4"/>
  <c r="BK797" i="4"/>
  <c r="DO797" i="4" s="1"/>
  <c r="CO98" i="4"/>
  <c r="DU88" i="4"/>
  <c r="BF65" i="4"/>
  <c r="BF67" i="4" s="1"/>
  <c r="BF138" i="4"/>
  <c r="DN53" i="4"/>
  <c r="AL459" i="4"/>
  <c r="DJ459" i="4" s="1"/>
  <c r="DJ457" i="4"/>
  <c r="AL458" i="4"/>
  <c r="DJ458" i="4" s="1"/>
  <c r="DJ136" i="4"/>
  <c r="DI503" i="4"/>
  <c r="CU670" i="4"/>
  <c r="CU664" i="4"/>
  <c r="BA138" i="4"/>
  <c r="BA65" i="4"/>
  <c r="BA67" i="4" s="1"/>
  <c r="BA68" i="4" s="1"/>
  <c r="DM53" i="4"/>
  <c r="BF765" i="4"/>
  <c r="DN751" i="4"/>
  <c r="CA129" i="4"/>
  <c r="CF105" i="4"/>
  <c r="CK105" i="4"/>
  <c r="AQ459" i="4"/>
  <c r="DK459" i="4" s="1"/>
  <c r="CB61" i="4"/>
  <c r="CZ961" i="4"/>
  <c r="DX961" i="4" s="1"/>
  <c r="DX718" i="4"/>
  <c r="CZ125" i="4"/>
  <c r="DX125" i="4" s="1"/>
  <c r="BM129" i="4"/>
  <c r="AR68" i="4"/>
  <c r="BC132" i="4"/>
  <c r="CQ647" i="4"/>
  <c r="CV649" i="4"/>
  <c r="CV647" i="4" s="1"/>
  <c r="CR649" i="4"/>
  <c r="BC802" i="4"/>
  <c r="BC800" i="4"/>
  <c r="BC803" i="4" s="1"/>
  <c r="BC773" i="4"/>
  <c r="BC786" i="4" s="1"/>
  <c r="BC788" i="4" s="1"/>
  <c r="BF494" i="4"/>
  <c r="DN494" i="4" s="1"/>
  <c r="BO131" i="4"/>
  <c r="BT132" i="4" s="1"/>
  <c r="BT127" i="4"/>
  <c r="O131" i="4"/>
  <c r="T127" i="4"/>
  <c r="AJ132" i="4"/>
  <c r="CB68" i="4"/>
  <c r="BZ65" i="4"/>
  <c r="BZ67" i="4" s="1"/>
  <c r="BZ138" i="4"/>
  <c r="BZ60" i="4"/>
  <c r="DR53" i="4"/>
  <c r="CZ657" i="4"/>
  <c r="DX431" i="72" s="1"/>
  <c r="CZ678" i="4"/>
  <c r="DX678" i="4" s="1"/>
  <c r="DX675" i="4"/>
  <c r="CV860" i="4"/>
  <c r="CV796" i="4" s="1"/>
  <c r="CW837" i="4"/>
  <c r="AL927" i="4"/>
  <c r="DJ927" i="4" s="1"/>
  <c r="DQ505" i="4"/>
  <c r="BU506" i="4"/>
  <c r="DQ506" i="4" s="1"/>
  <c r="CN138" i="4"/>
  <c r="CN144" i="4" s="1"/>
  <c r="CN60" i="4"/>
  <c r="CN978" i="4"/>
  <c r="CN801" i="4"/>
  <c r="CN802" i="4" s="1"/>
  <c r="CN104" i="4"/>
  <c r="CN100" i="4"/>
  <c r="CN136" i="4"/>
  <c r="CN107" i="4"/>
  <c r="CN101" i="4"/>
  <c r="CN99" i="4"/>
  <c r="DR354" i="4"/>
  <c r="BZ356" i="4"/>
  <c r="DR356" i="4" s="1"/>
  <c r="CS49" i="4"/>
  <c r="CT49" i="4" s="1"/>
  <c r="CR51" i="4"/>
  <c r="BE132" i="4"/>
  <c r="BM140" i="4"/>
  <c r="CE704" i="4"/>
  <c r="DS697" i="4"/>
  <c r="AO149" i="4"/>
  <c r="AW369" i="4"/>
  <c r="P112" i="4"/>
  <c r="P117" i="4" s="1"/>
  <c r="P60" i="4"/>
  <c r="P59" i="4"/>
  <c r="P966" i="4" s="1"/>
  <c r="P54" i="4"/>
  <c r="P53" i="4"/>
  <c r="P964" i="4"/>
  <c r="R964" i="4" s="1"/>
  <c r="DF964" i="4" s="1"/>
  <c r="U54" i="4"/>
  <c r="AV144" i="4"/>
  <c r="DL138" i="4"/>
  <c r="AB927" i="4"/>
  <c r="DH927" i="4" s="1"/>
  <c r="BA61" i="4"/>
  <c r="DM61" i="4" s="1"/>
  <c r="DM60" i="4"/>
  <c r="R23" i="4"/>
  <c r="W23" i="4"/>
  <c r="AL117" i="4"/>
  <c r="DJ112" i="4"/>
  <c r="AL966" i="4"/>
  <c r="DJ966" i="4" s="1"/>
  <c r="DJ59" i="4"/>
  <c r="BN127" i="4"/>
  <c r="BI131" i="4"/>
  <c r="BN132" i="4" s="1"/>
  <c r="BJ132" i="4"/>
  <c r="AL788" i="4"/>
  <c r="DJ788" i="4" s="1"/>
  <c r="DJ765" i="4"/>
  <c r="AM140" i="4"/>
  <c r="BK65" i="4"/>
  <c r="BK67" i="4" s="1"/>
  <c r="BK68" i="4" s="1"/>
  <c r="BK138" i="4"/>
  <c r="DO53" i="4"/>
  <c r="DO112" i="4"/>
  <c r="BK117" i="4"/>
  <c r="CX215" i="9" s="1"/>
  <c r="AQ138" i="4"/>
  <c r="AQ65" i="4"/>
  <c r="AQ67" i="4" s="1"/>
  <c r="AQ68" i="4" s="1"/>
  <c r="DK53" i="4"/>
  <c r="BT697" i="4"/>
  <c r="BT704" i="4" s="1"/>
  <c r="BT724" i="4" s="1"/>
  <c r="BT112" i="4"/>
  <c r="BT117" i="4" s="1"/>
  <c r="BT88" i="4"/>
  <c r="BT98" i="4" s="1"/>
  <c r="BX801" i="4" s="1"/>
  <c r="BT59" i="4"/>
  <c r="BT966" i="4" s="1"/>
  <c r="BT54" i="4"/>
  <c r="BT53" i="4"/>
  <c r="BT964" i="4"/>
  <c r="BY54" i="4"/>
  <c r="CB129" i="4"/>
  <c r="BV284" i="4"/>
  <c r="BV283" i="4"/>
  <c r="CP138" i="4"/>
  <c r="CP144" i="4" s="1"/>
  <c r="CP60" i="4"/>
  <c r="BM686" i="4"/>
  <c r="BN686" i="4"/>
  <c r="CK68" i="4"/>
  <c r="CJ98" i="4"/>
  <c r="DT88" i="4"/>
  <c r="BF453" i="4"/>
  <c r="DN453" i="4" s="1"/>
  <c r="DN452" i="4"/>
  <c r="CF131" i="4"/>
  <c r="CK127" i="4"/>
  <c r="DN444" i="4"/>
  <c r="BF445" i="4"/>
  <c r="DN445" i="4" s="1"/>
  <c r="BF465" i="4"/>
  <c r="DN465" i="4" s="1"/>
  <c r="BF455" i="4"/>
  <c r="CF127" i="4"/>
  <c r="CA131" i="4"/>
  <c r="AG966" i="4"/>
  <c r="DI966" i="4" s="1"/>
  <c r="DI59" i="4"/>
  <c r="BV99" i="4"/>
  <c r="BV104" i="4"/>
  <c r="BV100" i="4"/>
  <c r="BX136" i="4"/>
  <c r="AI747" i="4"/>
  <c r="AI751" i="4" s="1"/>
  <c r="AI765" i="4" s="1"/>
  <c r="AI753" i="4"/>
  <c r="AI755" i="4" s="1"/>
  <c r="AI941" i="4" s="1"/>
  <c r="AI943" i="4" s="1"/>
  <c r="AI499" i="4"/>
  <c r="CZ844" i="4"/>
  <c r="CZ902" i="4" s="1"/>
  <c r="DX902" i="4" s="1"/>
  <c r="DW844" i="4"/>
  <c r="BM863" i="4"/>
  <c r="BL871" i="4"/>
  <c r="BL797" i="4" s="1"/>
  <c r="DM136" i="4"/>
  <c r="DU697" i="4"/>
  <c r="CO704" i="4"/>
  <c r="DJ469" i="4"/>
  <c r="AL473" i="4"/>
  <c r="DJ473" i="4" s="1"/>
  <c r="AL148" i="4"/>
  <c r="DJ148" i="4" s="1"/>
  <c r="CU714" i="4"/>
  <c r="CY707" i="4"/>
  <c r="AK132" i="4"/>
  <c r="BI404" i="4"/>
  <c r="BI4" i="4"/>
  <c r="GR367" i="9" s="1"/>
  <c r="BJ3" i="4"/>
  <c r="AP788" i="4"/>
  <c r="AP148" i="4"/>
  <c r="AQ140" i="4"/>
  <c r="AQ151" i="4" s="1"/>
  <c r="DK151" i="4" s="1"/>
  <c r="AQ934" i="4"/>
  <c r="DK934" i="4" s="1"/>
  <c r="CC132" i="4"/>
  <c r="DH625" i="4"/>
  <c r="AB626" i="4"/>
  <c r="DH626" i="4" s="1"/>
  <c r="AG625" i="4"/>
  <c r="DA712" i="4"/>
  <c r="DY712" i="4" s="1"/>
  <c r="DY658" i="4"/>
  <c r="AQ917" i="4"/>
  <c r="DK917" i="4" s="1"/>
  <c r="BV943" i="4"/>
  <c r="BW941" i="4"/>
  <c r="DM751" i="4"/>
  <c r="BI129" i="4"/>
  <c r="CA127" i="4"/>
  <c r="BV131" i="4"/>
  <c r="DE444" i="4"/>
  <c r="M445" i="4"/>
  <c r="DE445" i="4" s="1"/>
  <c r="DW839" i="4"/>
  <c r="CZ839" i="4"/>
  <c r="AQ966" i="4"/>
  <c r="DK966" i="4" s="1"/>
  <c r="DK59" i="4"/>
  <c r="CZ838" i="4"/>
  <c r="CZ896" i="4" s="1"/>
  <c r="DX896" i="4" s="1"/>
  <c r="DW838" i="4"/>
  <c r="BF966" i="4"/>
  <c r="DN966" i="4" s="1"/>
  <c r="DN59" i="4"/>
  <c r="CE65" i="4"/>
  <c r="CE67" i="4" s="1"/>
  <c r="CE68" i="4" s="1"/>
  <c r="CE138" i="4"/>
  <c r="CE60" i="4"/>
  <c r="G12" i="68" s="1"/>
  <c r="DS53" i="4"/>
  <c r="DA901" i="4"/>
  <c r="DY901" i="4" s="1"/>
  <c r="DA843" i="4"/>
  <c r="DY843" i="4" s="1"/>
  <c r="DX843" i="4"/>
  <c r="AV61" i="4"/>
  <c r="DL61" i="4" s="1"/>
  <c r="CU647" i="4"/>
  <c r="CL895" i="4"/>
  <c r="CO895" i="4" s="1"/>
  <c r="DU895" i="4" s="1"/>
  <c r="CK860" i="4"/>
  <c r="CK796" i="4" s="1"/>
  <c r="CK798" i="4" s="1"/>
  <c r="BT503" i="4"/>
  <c r="BT506" i="4" s="1"/>
  <c r="T129" i="4"/>
  <c r="O129" i="4"/>
  <c r="DY158" i="4"/>
  <c r="DA159" i="4"/>
  <c r="DY159" i="4" s="1"/>
  <c r="DA160" i="4"/>
  <c r="DY160" i="4" s="1"/>
  <c r="AG459" i="4"/>
  <c r="DI459" i="4" s="1"/>
  <c r="DL930" i="4"/>
  <c r="AV651" i="4"/>
  <c r="DL651" i="4" s="1"/>
  <c r="DM930" i="4"/>
  <c r="BA651" i="4"/>
  <c r="DM651" i="4" s="1"/>
  <c r="CH132" i="4"/>
  <c r="CU682" i="4"/>
  <c r="DV682" i="4"/>
  <c r="DR638" i="4"/>
  <c r="W966" i="4"/>
  <c r="DG966" i="4" s="1"/>
  <c r="DG59" i="4"/>
  <c r="AN149" i="4"/>
  <c r="DY673" i="4"/>
  <c r="DA675" i="4"/>
  <c r="DY114" i="4"/>
  <c r="CT753" i="4"/>
  <c r="CS755" i="4"/>
  <c r="CW870" i="4"/>
  <c r="CV871" i="4"/>
  <c r="CV797" i="4" s="1"/>
  <c r="BP811" i="4"/>
  <c r="DP811" i="4" s="1"/>
  <c r="DP799" i="4"/>
  <c r="AH788" i="4"/>
  <c r="AI140" i="4"/>
  <c r="AH148" i="4"/>
  <c r="CU773" i="4"/>
  <c r="CU717" i="4"/>
  <c r="BF105" i="4"/>
  <c r="BS450" i="4"/>
  <c r="BU450" i="4" s="1"/>
  <c r="DQ450" i="4" s="1"/>
  <c r="BU439" i="4"/>
  <c r="AV52" i="9" s="1"/>
  <c r="DK751" i="4"/>
  <c r="AQ765" i="4"/>
  <c r="AQ148" i="4" s="1"/>
  <c r="DK148" i="4" s="1"/>
  <c r="BR127" i="4"/>
  <c r="BM131" i="4"/>
  <c r="BR132" i="4" s="1"/>
  <c r="BP140" i="4"/>
  <c r="BF839" i="4"/>
  <c r="DI136" i="4"/>
  <c r="CZ868" i="4"/>
  <c r="CE966" i="4"/>
  <c r="DS966" i="4" s="1"/>
  <c r="DS59" i="4"/>
  <c r="CY686" i="4"/>
  <c r="DW686" i="4" s="1"/>
  <c r="DW685" i="4"/>
  <c r="BD317" i="4"/>
  <c r="BE368" i="4"/>
  <c r="BE369" i="4" s="1"/>
  <c r="BD368" i="4"/>
  <c r="BD369" i="4" s="1"/>
  <c r="BB300" i="4"/>
  <c r="BC300" i="4"/>
  <c r="AW326" i="4"/>
  <c r="AW327" i="4" s="1"/>
  <c r="BC317" i="4"/>
  <c r="AR368" i="4"/>
  <c r="BE317" i="4"/>
  <c r="BB368" i="4"/>
  <c r="BB317" i="4"/>
  <c r="AZ464" i="51" l="1"/>
  <c r="AT383" i="51"/>
  <c r="AT400" i="51"/>
  <c r="AZ465" i="51"/>
  <c r="AZ461" i="51"/>
  <c r="AZ398" i="51"/>
  <c r="AZ460" i="51"/>
  <c r="AY366" i="51"/>
  <c r="AT375" i="51"/>
  <c r="AY354" i="51"/>
  <c r="AT380" i="51"/>
  <c r="AT466" i="51"/>
  <c r="AM165" i="51"/>
  <c r="AR402" i="51"/>
  <c r="AY513" i="51"/>
  <c r="AT468" i="51"/>
  <c r="AW109" i="51"/>
  <c r="AS536" i="51"/>
  <c r="AS52" i="51" s="1"/>
  <c r="AY541" i="51"/>
  <c r="AY54" i="51" s="1"/>
  <c r="AY536" i="51"/>
  <c r="AY52" i="51" s="1"/>
  <c r="ED461" i="72"/>
  <c r="DW437" i="72"/>
  <c r="DX437" i="72" s="1"/>
  <c r="IZ829" i="72"/>
  <c r="L17" i="68"/>
  <c r="AZ379" i="51"/>
  <c r="AZ395" i="51"/>
  <c r="AZ354" i="51"/>
  <c r="AZ538" i="51" s="1"/>
  <c r="BG325" i="4"/>
  <c r="AZ378" i="51"/>
  <c r="AZ376" i="51"/>
  <c r="D37" i="67"/>
  <c r="D32" i="67"/>
  <c r="G30" i="67"/>
  <c r="AO512" i="51"/>
  <c r="AO514" i="51"/>
  <c r="AZ377" i="51"/>
  <c r="AS511" i="51"/>
  <c r="AS530" i="51"/>
  <c r="AS507" i="51"/>
  <c r="AS107" i="51"/>
  <c r="AS108" i="51" s="1"/>
  <c r="AS515" i="51"/>
  <c r="AO536" i="51"/>
  <c r="AO52" i="51" s="1"/>
  <c r="AO510" i="51"/>
  <c r="C34" i="81"/>
  <c r="L31" i="81"/>
  <c r="K31" i="81"/>
  <c r="F31" i="81"/>
  <c r="D34" i="81"/>
  <c r="G34" i="81" s="1"/>
  <c r="G31" i="81"/>
  <c r="L3" i="9"/>
  <c r="AX215" i="51"/>
  <c r="AX109" i="51"/>
  <c r="AT541" i="51"/>
  <c r="AT54" i="51" s="1"/>
  <c r="AX165" i="51"/>
  <c r="AO515" i="51"/>
  <c r="AW215" i="51"/>
  <c r="AY215" i="51" s="1"/>
  <c r="AS402" i="51"/>
  <c r="K30" i="67"/>
  <c r="L30" i="67"/>
  <c r="C37" i="67"/>
  <c r="C32" i="67"/>
  <c r="AT480" i="51"/>
  <c r="AT444" i="51"/>
  <c r="AZ381" i="51"/>
  <c r="AT377" i="51"/>
  <c r="BM151" i="4"/>
  <c r="BU398" i="51"/>
  <c r="BT402" i="51"/>
  <c r="D46" i="81"/>
  <c r="G37" i="81"/>
  <c r="AZ506" i="51"/>
  <c r="AZ513" i="51" s="1"/>
  <c r="C37" i="71"/>
  <c r="K30" i="71"/>
  <c r="C32" i="71"/>
  <c r="L30" i="71"/>
  <c r="G30" i="71"/>
  <c r="AY518" i="51"/>
  <c r="AY530" i="51"/>
  <c r="AY107" i="51"/>
  <c r="AQ60" i="9"/>
  <c r="AQ62" i="9" s="1"/>
  <c r="AR518" i="51"/>
  <c r="AR107" i="51"/>
  <c r="AR108" i="51" s="1"/>
  <c r="AR530" i="51"/>
  <c r="AR507" i="51"/>
  <c r="AT506" i="51"/>
  <c r="AT518" i="51" s="1"/>
  <c r="AZ512" i="51"/>
  <c r="AW165" i="51"/>
  <c r="AY165" i="51" s="1"/>
  <c r="AX507" i="51"/>
  <c r="BA337" i="51"/>
  <c r="BA338" i="51"/>
  <c r="BA426" i="51"/>
  <c r="BA425" i="51"/>
  <c r="BA430" i="51"/>
  <c r="BA451" i="51"/>
  <c r="BA363" i="51"/>
  <c r="BA336" i="51"/>
  <c r="BA361" i="51"/>
  <c r="BA450" i="51"/>
  <c r="BA428" i="51"/>
  <c r="BA364" i="51"/>
  <c r="BA339" i="51"/>
  <c r="BA424" i="51"/>
  <c r="BA448" i="51"/>
  <c r="BA423" i="51"/>
  <c r="BA422" i="51"/>
  <c r="BA449" i="51"/>
  <c r="BA334" i="51"/>
  <c r="BA341" i="51"/>
  <c r="BA333" i="51"/>
  <c r="BA427" i="51"/>
  <c r="BA362" i="51"/>
  <c r="BA335" i="51"/>
  <c r="AY511" i="51"/>
  <c r="AS514" i="51"/>
  <c r="AZ380" i="51"/>
  <c r="AY514" i="51"/>
  <c r="AT401" i="51"/>
  <c r="AT402" i="51" s="1"/>
  <c r="AY457" i="51"/>
  <c r="G30" i="69"/>
  <c r="D32" i="69"/>
  <c r="D37" i="69"/>
  <c r="AR514" i="51"/>
  <c r="AY512" i="51"/>
  <c r="AZ401" i="51"/>
  <c r="AZ402" i="51" s="1"/>
  <c r="AZ366" i="51"/>
  <c r="AZ372" i="51"/>
  <c r="AS516" i="51"/>
  <c r="AO518" i="51"/>
  <c r="AZ456" i="51"/>
  <c r="AZ457" i="51" s="1"/>
  <c r="AZ454" i="51"/>
  <c r="K37" i="81"/>
  <c r="F37" i="81"/>
  <c r="F46" i="81" s="1"/>
  <c r="C46" i="81"/>
  <c r="L37" i="81"/>
  <c r="BC5" i="50"/>
  <c r="BC6" i="50" s="1"/>
  <c r="BD6" i="50" s="1"/>
  <c r="BC3" i="51"/>
  <c r="BC4" i="51" s="1"/>
  <c r="BP686" i="4"/>
  <c r="DP686" i="4" s="1"/>
  <c r="AR541" i="51"/>
  <c r="AR54" i="51" s="1"/>
  <c r="AO107" i="51"/>
  <c r="AO530" i="51"/>
  <c r="AZ375" i="51"/>
  <c r="AW108" i="51"/>
  <c r="C32" i="69"/>
  <c r="L30" i="69"/>
  <c r="C37" i="69"/>
  <c r="K30" i="69"/>
  <c r="AY516" i="51"/>
  <c r="AO513" i="51"/>
  <c r="BB334" i="51"/>
  <c r="BB425" i="51"/>
  <c r="BB337" i="51"/>
  <c r="BB338" i="51"/>
  <c r="BB424" i="51"/>
  <c r="BB336" i="51"/>
  <c r="BB430" i="51"/>
  <c r="BB335" i="51"/>
  <c r="BB428" i="51"/>
  <c r="BB341" i="51"/>
  <c r="BB422" i="51"/>
  <c r="BB423" i="51"/>
  <c r="BB426" i="51"/>
  <c r="BB427" i="51"/>
  <c r="BB339" i="51"/>
  <c r="BB333" i="51"/>
  <c r="BB361" i="51"/>
  <c r="BB451" i="51"/>
  <c r="BB448" i="51"/>
  <c r="BB364" i="51"/>
  <c r="BB450" i="51"/>
  <c r="BB363" i="51"/>
  <c r="BB449" i="51"/>
  <c r="BB362" i="51"/>
  <c r="AS510" i="51"/>
  <c r="AZ383" i="51"/>
  <c r="K6" i="9"/>
  <c r="K9" i="9"/>
  <c r="AY454" i="51"/>
  <c r="AN165" i="51"/>
  <c r="AO165" i="51" s="1"/>
  <c r="AZ468" i="51"/>
  <c r="AZ541" i="51" s="1"/>
  <c r="AZ54" i="51" s="1"/>
  <c r="AZ480" i="51"/>
  <c r="AZ444" i="51"/>
  <c r="AZ543" i="51" s="1"/>
  <c r="AZ516" i="51"/>
  <c r="AY444" i="51"/>
  <c r="AY543" i="51" s="1"/>
  <c r="AT378" i="51"/>
  <c r="AY510" i="51"/>
  <c r="JK875" i="72"/>
  <c r="JL873" i="72"/>
  <c r="JL875" i="72" s="1"/>
  <c r="BF68" i="4"/>
  <c r="AA100" i="56"/>
  <c r="AV136" i="63"/>
  <c r="F12" i="68"/>
  <c r="G13" i="68" s="1"/>
  <c r="AV68" i="4"/>
  <c r="G33" i="68"/>
  <c r="AL63" i="72"/>
  <c r="AL67" i="72" s="1"/>
  <c r="I33" i="68"/>
  <c r="BZ254" i="72"/>
  <c r="BY254" i="72" s="1"/>
  <c r="AN63" i="72"/>
  <c r="AN67" i="72" s="1"/>
  <c r="H33" i="68"/>
  <c r="AM63" i="72"/>
  <c r="AM67" i="72" s="1"/>
  <c r="H13" i="68"/>
  <c r="DE215" i="9"/>
  <c r="F33" i="68"/>
  <c r="D30" i="68"/>
  <c r="H8" i="68"/>
  <c r="AB40" i="72"/>
  <c r="AB42" i="72" s="1"/>
  <c r="I12" i="68"/>
  <c r="BZ258" i="72"/>
  <c r="BY258" i="72" s="1"/>
  <c r="B54" i="59"/>
  <c r="G60" i="59" s="1"/>
  <c r="D12" i="68"/>
  <c r="I8" i="68"/>
  <c r="BZ250" i="72"/>
  <c r="AC40" i="72"/>
  <c r="AC42" i="72" s="1"/>
  <c r="G8" i="68"/>
  <c r="AA40" i="72"/>
  <c r="AA42" i="72" s="1"/>
  <c r="F8" i="68"/>
  <c r="Z40" i="72"/>
  <c r="ED328" i="9"/>
  <c r="J23" i="68"/>
  <c r="G16" i="43"/>
  <c r="EE461" i="72"/>
  <c r="EE462" i="72" s="1"/>
  <c r="ED462" i="72"/>
  <c r="EG481" i="72" s="1"/>
  <c r="DY58" i="4"/>
  <c r="M16" i="68"/>
  <c r="M17" i="68" s="1"/>
  <c r="CZ163" i="4"/>
  <c r="DX162" i="4"/>
  <c r="CZ165" i="4"/>
  <c r="DX165" i="4" s="1"/>
  <c r="BU31" i="51"/>
  <c r="CV743" i="49"/>
  <c r="BW40" i="51"/>
  <c r="CA369" i="4"/>
  <c r="CA386" i="4" s="1"/>
  <c r="BV37" i="51"/>
  <c r="BV25" i="51"/>
  <c r="BY406" i="51"/>
  <c r="BY449" i="51" s="1"/>
  <c r="BX22" i="51"/>
  <c r="BV31" i="51"/>
  <c r="BV39" i="51"/>
  <c r="BY408" i="51"/>
  <c r="BY451" i="51" s="1"/>
  <c r="BX24" i="51"/>
  <c r="CA318" i="4"/>
  <c r="BU41" i="51"/>
  <c r="BU47" i="51" s="1"/>
  <c r="DR369" i="4"/>
  <c r="BZ386" i="4"/>
  <c r="DR386" i="4" s="1"/>
  <c r="BX407" i="51"/>
  <c r="BW23" i="51"/>
  <c r="BW363" i="51"/>
  <c r="BX363" i="51" s="1"/>
  <c r="BV452" i="51"/>
  <c r="BX448" i="51"/>
  <c r="BT49" i="51"/>
  <c r="BT44" i="51"/>
  <c r="BT46" i="51"/>
  <c r="BT48" i="51"/>
  <c r="BU372" i="51"/>
  <c r="BU366" i="51"/>
  <c r="CB318" i="4" s="1"/>
  <c r="CB326" i="4"/>
  <c r="BU401" i="51"/>
  <c r="BU399" i="51"/>
  <c r="BT33" i="51"/>
  <c r="BV365" i="51"/>
  <c r="BV400" i="51" s="1"/>
  <c r="BX405" i="51"/>
  <c r="BW409" i="51"/>
  <c r="BW21" i="51"/>
  <c r="BW361" i="51"/>
  <c r="CA327" i="4"/>
  <c r="CA322" i="4" s="1"/>
  <c r="BW452" i="51"/>
  <c r="BT47" i="51"/>
  <c r="BU28" i="51"/>
  <c r="BU30" i="51"/>
  <c r="BU32" i="51"/>
  <c r="BW38" i="51"/>
  <c r="DM367" i="4"/>
  <c r="BB364" i="4"/>
  <c r="DA868" i="4"/>
  <c r="AL625" i="4"/>
  <c r="DI625" i="4"/>
  <c r="CY714" i="4"/>
  <c r="DW714" i="4" s="1"/>
  <c r="DW707" i="4"/>
  <c r="CF132" i="4"/>
  <c r="CW860" i="4"/>
  <c r="CW796" i="4" s="1"/>
  <c r="CX837" i="4"/>
  <c r="CX895" i="4" s="1"/>
  <c r="CJ128" i="4"/>
  <c r="DT117" i="4"/>
  <c r="CJ123" i="4"/>
  <c r="H34" i="68" s="1"/>
  <c r="DM800" i="4"/>
  <c r="BA803" i="4"/>
  <c r="DM803" i="4" s="1"/>
  <c r="DW795" i="4"/>
  <c r="BD802" i="4"/>
  <c r="BD800" i="4"/>
  <c r="BD803" i="4" s="1"/>
  <c r="BD773" i="4"/>
  <c r="BD786" i="4" s="1"/>
  <c r="BD788" i="4" s="1"/>
  <c r="CH882" i="4"/>
  <c r="CG932" i="4"/>
  <c r="BT521" i="4"/>
  <c r="BT523" i="4" s="1"/>
  <c r="BU496" i="4"/>
  <c r="CE978" i="4"/>
  <c r="CE801" i="4"/>
  <c r="CE136" i="4"/>
  <c r="CE107" i="4"/>
  <c r="AZ81" i="72" s="1"/>
  <c r="CE100" i="4"/>
  <c r="DS100" i="4" s="1"/>
  <c r="BV237" i="72" s="1"/>
  <c r="CE101" i="4"/>
  <c r="DS101" i="4" s="1"/>
  <c r="CE99" i="4"/>
  <c r="DS99" i="4" s="1"/>
  <c r="DS98" i="4"/>
  <c r="CE104" i="4"/>
  <c r="DA961" i="4"/>
  <c r="DY961" i="4" s="1"/>
  <c r="DY718" i="4"/>
  <c r="DA125" i="4"/>
  <c r="DY125" i="4" s="1"/>
  <c r="BW284" i="4"/>
  <c r="BW283" i="4"/>
  <c r="DF639" i="4"/>
  <c r="R638" i="4"/>
  <c r="DF638" i="4" s="1"/>
  <c r="BG364" i="4"/>
  <c r="AZ326" i="4"/>
  <c r="BC364" i="4"/>
  <c r="BD364" i="4"/>
  <c r="AQ788" i="4"/>
  <c r="DK788" i="4" s="1"/>
  <c r="DK765" i="4"/>
  <c r="AI146" i="4"/>
  <c r="AI149" i="4" s="1"/>
  <c r="AI145" i="4"/>
  <c r="AI150" i="4" s="1"/>
  <c r="AI151" i="4"/>
  <c r="CT755" i="4"/>
  <c r="DV755" i="4" s="1"/>
  <c r="DV753" i="4"/>
  <c r="CU753" i="4"/>
  <c r="CU932" i="4"/>
  <c r="CV682" i="4"/>
  <c r="DX838" i="4"/>
  <c r="DA838" i="4"/>
  <c r="DY838" i="4" s="1"/>
  <c r="DA839" i="4"/>
  <c r="DY839" i="4" s="1"/>
  <c r="DX839" i="4"/>
  <c r="CA132" i="4"/>
  <c r="BJ404" i="4"/>
  <c r="BJ4" i="4"/>
  <c r="GS367" i="9" s="1"/>
  <c r="GS368" i="9" s="1"/>
  <c r="BK3" i="4"/>
  <c r="CO724" i="4"/>
  <c r="DU704" i="4"/>
  <c r="DA844" i="4"/>
  <c r="DY844" i="4" s="1"/>
  <c r="DX844" i="4"/>
  <c r="AI788" i="4"/>
  <c r="AI148" i="4"/>
  <c r="CK132" i="4"/>
  <c r="CJ978" i="4"/>
  <c r="CJ801" i="4"/>
  <c r="DT801" i="4" s="1"/>
  <c r="CJ100" i="4"/>
  <c r="DT100" i="4" s="1"/>
  <c r="CJ104" i="4"/>
  <c r="CJ105" i="4" s="1"/>
  <c r="CJ136" i="4"/>
  <c r="CJ107" i="4"/>
  <c r="BA81" i="72" s="1"/>
  <c r="DT98" i="4"/>
  <c r="CJ99" i="4"/>
  <c r="DT99" i="4" s="1"/>
  <c r="CJ101" i="4"/>
  <c r="DT101" i="4" s="1"/>
  <c r="CJ218" i="4"/>
  <c r="P65" i="4"/>
  <c r="P67" i="4" s="1"/>
  <c r="R53" i="4"/>
  <c r="P128" i="4"/>
  <c r="P123" i="4"/>
  <c r="P126" i="4" s="1"/>
  <c r="T132" i="4"/>
  <c r="O132" i="4"/>
  <c r="DN765" i="4"/>
  <c r="BG140" i="4"/>
  <c r="BG151" i="4" s="1"/>
  <c r="CO978" i="4"/>
  <c r="CO101" i="4"/>
  <c r="DU101" i="4" s="1"/>
  <c r="CO99" i="4"/>
  <c r="DU99" i="4" s="1"/>
  <c r="DU98" i="4"/>
  <c r="CN353" i="72" s="1"/>
  <c r="CN354" i="72" s="1"/>
  <c r="CO100" i="4"/>
  <c r="DU100" i="4" s="1"/>
  <c r="CO107" i="4"/>
  <c r="CO136" i="4"/>
  <c r="CO144" i="4"/>
  <c r="DU138" i="4"/>
  <c r="BN146" i="4"/>
  <c r="BN149" i="4" s="1"/>
  <c r="BN145" i="4"/>
  <c r="BN150" i="4" s="1"/>
  <c r="DM773" i="4"/>
  <c r="BA786" i="4"/>
  <c r="DM786" i="4" s="1"/>
  <c r="BP144" i="4"/>
  <c r="DP138" i="4"/>
  <c r="BA325" i="4"/>
  <c r="W128" i="4"/>
  <c r="DG117" i="4"/>
  <c r="W123" i="4"/>
  <c r="DQ840" i="4"/>
  <c r="BV840" i="4"/>
  <c r="BE917" i="4"/>
  <c r="BE927" i="4" s="1"/>
  <c r="BQ638" i="4"/>
  <c r="BM132" i="4"/>
  <c r="AQ128" i="4"/>
  <c r="DK117" i="4"/>
  <c r="AQ123" i="4"/>
  <c r="AQ927" i="4"/>
  <c r="DK927" i="4" s="1"/>
  <c r="BO132" i="4"/>
  <c r="CY670" i="4"/>
  <c r="DW670" i="4" s="1"/>
  <c r="CY664" i="4"/>
  <c r="DW664" i="4" s="1"/>
  <c r="DW661" i="4"/>
  <c r="DL473" i="4"/>
  <c r="AV482" i="4"/>
  <c r="AB126" i="4"/>
  <c r="DH123" i="4"/>
  <c r="CJ68" i="4"/>
  <c r="CP105" i="4"/>
  <c r="BL105" i="4"/>
  <c r="DX834" i="4"/>
  <c r="CZ795" i="4"/>
  <c r="CC361" i="4"/>
  <c r="CB354" i="4"/>
  <c r="DL128" i="4"/>
  <c r="AQ937" i="4"/>
  <c r="DK937" i="4" s="1"/>
  <c r="AK521" i="4"/>
  <c r="AK523" i="4" s="1"/>
  <c r="AK495" i="4"/>
  <c r="AL495" i="4" s="1"/>
  <c r="DJ495" i="4" s="1"/>
  <c r="M966" i="4"/>
  <c r="DE966" i="4" s="1"/>
  <c r="DE59" i="4"/>
  <c r="BC326" i="4"/>
  <c r="BP146" i="4"/>
  <c r="DP140" i="4"/>
  <c r="BP145" i="4"/>
  <c r="DP145" i="4" s="1"/>
  <c r="BW943" i="4"/>
  <c r="BX941" i="4"/>
  <c r="BM871" i="4"/>
  <c r="BM797" i="4" s="1"/>
  <c r="BN863" i="4"/>
  <c r="BK144" i="4"/>
  <c r="DO138" i="4"/>
  <c r="AH146" i="4"/>
  <c r="AH145" i="4"/>
  <c r="AH150" i="4" s="1"/>
  <c r="AH151" i="4"/>
  <c r="CX774" i="4"/>
  <c r="CY774" i="4" s="1"/>
  <c r="CB132" i="4"/>
  <c r="CN131" i="4"/>
  <c r="DI504" i="4"/>
  <c r="AG511" i="4"/>
  <c r="DI511" i="4" s="1"/>
  <c r="DA834" i="4"/>
  <c r="DY832" i="4"/>
  <c r="DR117" i="4"/>
  <c r="BZ123" i="4"/>
  <c r="F34" i="68" s="1"/>
  <c r="BZ128" i="4"/>
  <c r="DO795" i="4"/>
  <c r="DI117" i="4"/>
  <c r="AG123" i="4"/>
  <c r="AG128" i="4"/>
  <c r="BP100" i="4"/>
  <c r="DP100" i="4" s="1"/>
  <c r="BP104" i="4"/>
  <c r="BP136" i="4"/>
  <c r="BP99" i="4"/>
  <c r="DP99" i="4" s="1"/>
  <c r="BP101" i="4"/>
  <c r="DP101" i="4" s="1"/>
  <c r="DP98" i="4"/>
  <c r="BE364" i="4"/>
  <c r="AW322" i="4"/>
  <c r="BD300" i="4"/>
  <c r="BG317" i="4"/>
  <c r="DN839" i="4"/>
  <c r="BG839" i="4"/>
  <c r="BB897" i="4"/>
  <c r="BF897" i="4" s="1"/>
  <c r="DN897" i="4" s="1"/>
  <c r="CU722" i="4"/>
  <c r="CX870" i="4"/>
  <c r="CW871" i="4"/>
  <c r="CW797" i="4" s="1"/>
  <c r="CK802" i="4"/>
  <c r="CK773" i="4"/>
  <c r="CK786" i="4" s="1"/>
  <c r="CE144" i="4"/>
  <c r="DS138" i="4"/>
  <c r="CZ897" i="4"/>
  <c r="DX897" i="4" s="1"/>
  <c r="BT100" i="4"/>
  <c r="BT104" i="4"/>
  <c r="BT101" i="4"/>
  <c r="BT99" i="4"/>
  <c r="BY101" i="4"/>
  <c r="BK128" i="4"/>
  <c r="DO117" i="4"/>
  <c r="BK123" i="4"/>
  <c r="DJ117" i="4"/>
  <c r="AL123" i="4"/>
  <c r="AL128" i="4"/>
  <c r="CE724" i="4"/>
  <c r="DS704" i="4"/>
  <c r="BM146" i="4"/>
  <c r="BM145" i="4"/>
  <c r="BM150" i="4" s="1"/>
  <c r="CR697" i="4"/>
  <c r="CR704" i="4" s="1"/>
  <c r="CR88" i="4"/>
  <c r="CR98" i="4" s="1"/>
  <c r="CR112" i="4"/>
  <c r="CR117" i="4" s="1"/>
  <c r="CR59" i="4"/>
  <c r="CR966" i="4" s="1"/>
  <c r="CR54" i="4"/>
  <c r="CR53" i="4"/>
  <c r="CV798" i="4"/>
  <c r="DR60" i="4"/>
  <c r="BF144" i="4"/>
  <c r="DN138" i="4"/>
  <c r="CO61" i="4"/>
  <c r="DU61" i="4" s="1"/>
  <c r="DU60" i="4"/>
  <c r="BP128" i="4"/>
  <c r="DP117" i="4"/>
  <c r="BP123" i="4"/>
  <c r="D34" i="68" s="1"/>
  <c r="BP68" i="4"/>
  <c r="CE128" i="4"/>
  <c r="DS117" i="4"/>
  <c r="CE123" i="4"/>
  <c r="G34" i="68" s="1"/>
  <c r="CQ978" i="4"/>
  <c r="CQ801" i="4"/>
  <c r="CQ802" i="4" s="1"/>
  <c r="CQ136" i="4"/>
  <c r="CQ104" i="4"/>
  <c r="CQ105" i="4" s="1"/>
  <c r="CQ100" i="4"/>
  <c r="CQ101" i="4"/>
  <c r="CQ99" i="4"/>
  <c r="CN129" i="4"/>
  <c r="DA840" i="4"/>
  <c r="DY840" i="4" s="1"/>
  <c r="DX840" i="4"/>
  <c r="BA489" i="4"/>
  <c r="DM489" i="4" s="1"/>
  <c r="DM486" i="4"/>
  <c r="DI144" i="4"/>
  <c r="DE494" i="4"/>
  <c r="DX842" i="4"/>
  <c r="DA842" i="4"/>
  <c r="DY842" i="4" s="1"/>
  <c r="DU117" i="4"/>
  <c r="CO123" i="4"/>
  <c r="I34" i="68" s="1"/>
  <c r="CO128" i="4"/>
  <c r="BQ774" i="4"/>
  <c r="DP774" i="4"/>
  <c r="AG129" i="4"/>
  <c r="DI129" i="4" s="1"/>
  <c r="DH128" i="4"/>
  <c r="CZ960" i="4"/>
  <c r="DX960" i="4" s="1"/>
  <c r="DA778" i="4"/>
  <c r="DX778" i="4"/>
  <c r="CJ144" i="4"/>
  <c r="DT138" i="4"/>
  <c r="BL129" i="4"/>
  <c r="BN151" i="4"/>
  <c r="CT806" i="4"/>
  <c r="DV798" i="4"/>
  <c r="CT773" i="4"/>
  <c r="DV773" i="4" s="1"/>
  <c r="BC327" i="4"/>
  <c r="BC321" i="4" s="1"/>
  <c r="BB369" i="4"/>
  <c r="BF367" i="4"/>
  <c r="AZ327" i="4"/>
  <c r="DA931" i="4"/>
  <c r="DY931" i="4" s="1"/>
  <c r="DY759" i="4"/>
  <c r="DA685" i="4"/>
  <c r="DN117" i="4"/>
  <c r="BF123" i="4"/>
  <c r="BF128" i="4"/>
  <c r="M447" i="4"/>
  <c r="DE447" i="4" s="1"/>
  <c r="M455" i="4"/>
  <c r="DE455" i="4" s="1"/>
  <c r="DE446" i="4"/>
  <c r="CP132" i="4"/>
  <c r="AR933" i="4"/>
  <c r="AS760" i="4"/>
  <c r="AR765" i="4"/>
  <c r="BL838" i="4"/>
  <c r="DO838" i="4"/>
  <c r="BZ801" i="4"/>
  <c r="BZ99" i="4"/>
  <c r="DR99" i="4" s="1"/>
  <c r="DR98" i="4"/>
  <c r="BZ136" i="4"/>
  <c r="BZ110" i="4"/>
  <c r="BZ104" i="4"/>
  <c r="BZ100" i="4"/>
  <c r="DR100" i="4" s="1"/>
  <c r="M117" i="4"/>
  <c r="DE112" i="4"/>
  <c r="BY289" i="4"/>
  <c r="BY282" i="4" s="1"/>
  <c r="BX282" i="4"/>
  <c r="BG129" i="4"/>
  <c r="BE327" i="4"/>
  <c r="BB326" i="4"/>
  <c r="CE61" i="4"/>
  <c r="DS61" i="4" s="1"/>
  <c r="DS60" i="4"/>
  <c r="BI932" i="4"/>
  <c r="BI691" i="4"/>
  <c r="BI690" i="4"/>
  <c r="BI896" i="4"/>
  <c r="DL144" i="4"/>
  <c r="AW338" i="4"/>
  <c r="AW348" i="4"/>
  <c r="I500" i="4"/>
  <c r="I521" i="4"/>
  <c r="J492" i="4"/>
  <c r="J496" i="4" s="1"/>
  <c r="I753" i="4"/>
  <c r="I755" i="4" s="1"/>
  <c r="I941" i="4" s="1"/>
  <c r="I943" i="4" s="1"/>
  <c r="DX841" i="4"/>
  <c r="DA841" i="4"/>
  <c r="DY841" i="4" s="1"/>
  <c r="M788" i="4"/>
  <c r="DE788" i="4" s="1"/>
  <c r="DE765" i="4"/>
  <c r="CJ61" i="4"/>
  <c r="DT61" i="4" s="1"/>
  <c r="DT60" i="4"/>
  <c r="BG131" i="4"/>
  <c r="BL127" i="4"/>
  <c r="R51" i="4"/>
  <c r="DF47" i="4"/>
  <c r="R50" i="4"/>
  <c r="DF50" i="4" s="1"/>
  <c r="CZ686" i="4"/>
  <c r="DX686" i="4" s="1"/>
  <c r="DX685" i="4"/>
  <c r="AZ368" i="4"/>
  <c r="AZ369" i="4" s="1"/>
  <c r="AX326" i="4"/>
  <c r="DQ439" i="4"/>
  <c r="DA678" i="4"/>
  <c r="DY678" i="4" s="1"/>
  <c r="DY675" i="4"/>
  <c r="DA657" i="4"/>
  <c r="BK4" i="4"/>
  <c r="AL521" i="4"/>
  <c r="DJ521" i="4" s="1"/>
  <c r="AQ146" i="4"/>
  <c r="DK140" i="4"/>
  <c r="AQ145" i="4"/>
  <c r="DK145" i="4" s="1"/>
  <c r="DN455" i="4"/>
  <c r="BF457" i="4"/>
  <c r="BF469" i="4"/>
  <c r="BF463" i="4"/>
  <c r="DN463" i="4" s="1"/>
  <c r="CP67" i="4"/>
  <c r="CP61" i="4"/>
  <c r="BT60" i="4"/>
  <c r="BT65" i="4"/>
  <c r="BT67" i="4" s="1"/>
  <c r="BT128" i="4"/>
  <c r="BT123" i="4"/>
  <c r="BT126" i="4" s="1"/>
  <c r="AQ144" i="4"/>
  <c r="DK138" i="4"/>
  <c r="AM146" i="4"/>
  <c r="AM149" i="4" s="1"/>
  <c r="AM145" i="4"/>
  <c r="AM150" i="4" s="1"/>
  <c r="AM151" i="4"/>
  <c r="DV49" i="4"/>
  <c r="CU49" i="4"/>
  <c r="CN105" i="4"/>
  <c r="CO104" i="4"/>
  <c r="GZ640" i="72" s="1"/>
  <c r="CN67" i="4"/>
  <c r="CN61" i="4"/>
  <c r="CW895" i="4"/>
  <c r="CZ707" i="4"/>
  <c r="CZ661" i="4"/>
  <c r="DX657" i="4"/>
  <c r="CZ666" i="4"/>
  <c r="DX666" i="4" s="1"/>
  <c r="BZ144" i="4"/>
  <c r="DR138" i="4"/>
  <c r="CA105" i="4"/>
  <c r="CW649" i="4"/>
  <c r="CS649" i="4"/>
  <c r="CR647" i="4"/>
  <c r="BA144" i="4"/>
  <c r="DM138" i="4"/>
  <c r="AG506" i="4"/>
  <c r="K763" i="4"/>
  <c r="J761" i="4" s="1"/>
  <c r="CP131" i="4"/>
  <c r="DP60" i="4"/>
  <c r="BP61" i="4"/>
  <c r="DP61" i="4" s="1"/>
  <c r="AW321" i="4"/>
  <c r="DR704" i="4"/>
  <c r="CQ60" i="4"/>
  <c r="CQ138" i="4"/>
  <c r="CQ144" i="4" s="1"/>
  <c r="CQ128" i="4"/>
  <c r="CQ123" i="4"/>
  <c r="CQ126" i="4" s="1"/>
  <c r="BE860" i="4"/>
  <c r="BE796" i="4" s="1"/>
  <c r="BE798" i="4" s="1"/>
  <c r="BF837" i="4"/>
  <c r="BQ697" i="4"/>
  <c r="BQ704" i="4" s="1"/>
  <c r="BQ724" i="4" s="1"/>
  <c r="BQ726" i="4" s="1"/>
  <c r="BQ745" i="4" s="1"/>
  <c r="BQ88" i="4"/>
  <c r="BQ112" i="4"/>
  <c r="BQ117" i="4" s="1"/>
  <c r="BQ59" i="4"/>
  <c r="BQ54" i="4"/>
  <c r="BQ53" i="4"/>
  <c r="BQ964" i="4"/>
  <c r="BV54" i="4"/>
  <c r="CZ899" i="4"/>
  <c r="DX899" i="4" s="1"/>
  <c r="BK486" i="4"/>
  <c r="DO482" i="4"/>
  <c r="BG148" i="4"/>
  <c r="BL131" i="4"/>
  <c r="BQ132" i="4" s="1"/>
  <c r="BQ127" i="4"/>
  <c r="Q68" i="4"/>
  <c r="V68" i="4"/>
  <c r="Q123" i="4"/>
  <c r="Q126" i="4" s="1"/>
  <c r="Q128" i="4"/>
  <c r="BG132" i="4"/>
  <c r="DA893" i="4"/>
  <c r="AR369" i="4"/>
  <c r="AV367" i="4"/>
  <c r="CA356" i="4"/>
  <c r="CA355" i="4"/>
  <c r="DT796" i="4"/>
  <c r="CJ798" i="4"/>
  <c r="AV126" i="4"/>
  <c r="DL123" i="4"/>
  <c r="BK136" i="4"/>
  <c r="BK99" i="4"/>
  <c r="DO99" i="4" s="1"/>
  <c r="BK100" i="4"/>
  <c r="DO100" i="4" s="1"/>
  <c r="DO98" i="4"/>
  <c r="BK104" i="4"/>
  <c r="BK105" i="4" s="1"/>
  <c r="AJ747" i="4"/>
  <c r="AJ751" i="4" s="1"/>
  <c r="AJ765" i="4" s="1"/>
  <c r="AJ753" i="4"/>
  <c r="AJ755" i="4" s="1"/>
  <c r="AJ941" i="4" s="1"/>
  <c r="AJ943" i="4" s="1"/>
  <c r="AJ499" i="4"/>
  <c r="AL144" i="4"/>
  <c r="DJ138" i="4"/>
  <c r="CJ724" i="4"/>
  <c r="DT704" i="4"/>
  <c r="BU203" i="4"/>
  <c r="DP203" i="4"/>
  <c r="BU206" i="4"/>
  <c r="DP206" i="4"/>
  <c r="DM117" i="4"/>
  <c r="BA123" i="4"/>
  <c r="BA128" i="4"/>
  <c r="BF325" i="4"/>
  <c r="BC368" i="4"/>
  <c r="BC369" i="4" s="1"/>
  <c r="BE300" i="4"/>
  <c r="BE318" i="4"/>
  <c r="BC318" i="4"/>
  <c r="BF317" i="4"/>
  <c r="DN317" i="4" s="1"/>
  <c r="AY326" i="4"/>
  <c r="AY327" i="4" s="1"/>
  <c r="BG368" i="4"/>
  <c r="AS368" i="4"/>
  <c r="AS369" i="4" s="1"/>
  <c r="BD326" i="4"/>
  <c r="BB318" i="4"/>
  <c r="AY109" i="51" l="1"/>
  <c r="AR109" i="51"/>
  <c r="AZ511" i="51"/>
  <c r="AT536" i="51"/>
  <c r="AT52" i="51" s="1"/>
  <c r="AZ510" i="51"/>
  <c r="GS385" i="9"/>
  <c r="GQ368" i="9"/>
  <c r="GQ385" i="9" s="1"/>
  <c r="GR368" i="9"/>
  <c r="GR385" i="9" s="1"/>
  <c r="GP368" i="9"/>
  <c r="GP385" i="9" s="1"/>
  <c r="CR894" i="4"/>
  <c r="CR904" i="4"/>
  <c r="CR900" i="4"/>
  <c r="CR903" i="4"/>
  <c r="CR902" i="4"/>
  <c r="CR899" i="4"/>
  <c r="CR914" i="4"/>
  <c r="CR898" i="4"/>
  <c r="CR901" i="4"/>
  <c r="CR913" i="4"/>
  <c r="BD674" i="51"/>
  <c r="BD13" i="51" s="1"/>
  <c r="BD676" i="51"/>
  <c r="BD681" i="51"/>
  <c r="BI894" i="4"/>
  <c r="BI900" i="4"/>
  <c r="BD5" i="50"/>
  <c r="BD3" i="51"/>
  <c r="BV398" i="51"/>
  <c r="BB486" i="51"/>
  <c r="BB353" i="51"/>
  <c r="BB380" i="51" s="1"/>
  <c r="BB488" i="51"/>
  <c r="BB491" i="51"/>
  <c r="K46" i="81"/>
  <c r="L46" i="81"/>
  <c r="BA488" i="51"/>
  <c r="BA494" i="51"/>
  <c r="BA489" i="51"/>
  <c r="AT511" i="51"/>
  <c r="AT530" i="51"/>
  <c r="AT507" i="51"/>
  <c r="AT107" i="51"/>
  <c r="AY108" i="51" s="1"/>
  <c r="AY507" i="51"/>
  <c r="K32" i="71"/>
  <c r="F32" i="71"/>
  <c r="C34" i="71"/>
  <c r="L32" i="71"/>
  <c r="G32" i="71"/>
  <c r="AR165" i="51"/>
  <c r="L9" i="9"/>
  <c r="L6" i="9"/>
  <c r="AZ515" i="51"/>
  <c r="AT510" i="51"/>
  <c r="AT512" i="51"/>
  <c r="H23" i="68"/>
  <c r="BA72" i="72"/>
  <c r="BA76" i="72" s="1"/>
  <c r="BI930" i="4"/>
  <c r="BU521" i="4"/>
  <c r="DQ521" i="4" s="1"/>
  <c r="BB452" i="51"/>
  <c r="BB492" i="51"/>
  <c r="BB442" i="51"/>
  <c r="BB461" i="51" s="1"/>
  <c r="BB490" i="51"/>
  <c r="L32" i="69"/>
  <c r="K32" i="69"/>
  <c r="C34" i="69"/>
  <c r="F32" i="69"/>
  <c r="AT108" i="51"/>
  <c r="BC424" i="51"/>
  <c r="BC334" i="51"/>
  <c r="BC425" i="51"/>
  <c r="BC427" i="51"/>
  <c r="BD427" i="51" s="1"/>
  <c r="BC430" i="51"/>
  <c r="BC426" i="51"/>
  <c r="BC335" i="51"/>
  <c r="BC336" i="51"/>
  <c r="BC338" i="51"/>
  <c r="BC341" i="51"/>
  <c r="BD341" i="51" s="1"/>
  <c r="BC337" i="51"/>
  <c r="BC428" i="51"/>
  <c r="BD428" i="51" s="1"/>
  <c r="BC422" i="51"/>
  <c r="BC339" i="51"/>
  <c r="BC423" i="51"/>
  <c r="BC333" i="51"/>
  <c r="BC364" i="51"/>
  <c r="BC361" i="51"/>
  <c r="BC362" i="51"/>
  <c r="BD362" i="51" s="1"/>
  <c r="BC363" i="51"/>
  <c r="BD363" i="51" s="1"/>
  <c r="BC449" i="51"/>
  <c r="BD449" i="51" s="1"/>
  <c r="BC448" i="51"/>
  <c r="BC451" i="51"/>
  <c r="BD451" i="51" s="1"/>
  <c r="BC450" i="51"/>
  <c r="BD450" i="51" s="1"/>
  <c r="BA487" i="51"/>
  <c r="BD334" i="51"/>
  <c r="BA452" i="51"/>
  <c r="BD448" i="51"/>
  <c r="BD426" i="51"/>
  <c r="AQ64" i="9"/>
  <c r="AQ68" i="9"/>
  <c r="L32" i="67"/>
  <c r="F32" i="67"/>
  <c r="C34" i="67"/>
  <c r="K32" i="67"/>
  <c r="AZ514" i="51"/>
  <c r="AR215" i="51"/>
  <c r="AT515" i="51"/>
  <c r="AT516" i="51"/>
  <c r="AR60" i="9"/>
  <c r="AR62" i="9" s="1"/>
  <c r="ER348" i="9"/>
  <c r="EQ348" i="9"/>
  <c r="BU402" i="51"/>
  <c r="BB494" i="51"/>
  <c r="BB489" i="51"/>
  <c r="F37" i="69"/>
  <c r="F45" i="69" s="1"/>
  <c r="D45" i="69"/>
  <c r="G37" i="69"/>
  <c r="BA491" i="51"/>
  <c r="BD424" i="51"/>
  <c r="BD338" i="51"/>
  <c r="C45" i="71"/>
  <c r="K37" i="71"/>
  <c r="L37" i="71"/>
  <c r="F37" i="71"/>
  <c r="F45" i="71" s="1"/>
  <c r="G37" i="71"/>
  <c r="G46" i="81"/>
  <c r="AT514" i="51"/>
  <c r="K37" i="67"/>
  <c r="L37" i="67"/>
  <c r="F37" i="67"/>
  <c r="F45" i="67" s="1"/>
  <c r="C45" i="67"/>
  <c r="AZ518" i="51"/>
  <c r="M3" i="9"/>
  <c r="AX108" i="51"/>
  <c r="G32" i="67"/>
  <c r="D34" i="67"/>
  <c r="AS215" i="51"/>
  <c r="AS109" i="51"/>
  <c r="AS165" i="51"/>
  <c r="BB365" i="51"/>
  <c r="BB401" i="51" s="1"/>
  <c r="BB466" i="51"/>
  <c r="BB487" i="51"/>
  <c r="C45" i="69"/>
  <c r="K37" i="69"/>
  <c r="L37" i="69"/>
  <c r="AZ536" i="51"/>
  <c r="AZ52" i="51" s="1"/>
  <c r="BG300" i="4" s="1"/>
  <c r="G32" i="69"/>
  <c r="D34" i="69"/>
  <c r="G34" i="69" s="1"/>
  <c r="BD4" i="51"/>
  <c r="BA486" i="51"/>
  <c r="BA353" i="51"/>
  <c r="BA381" i="51" s="1"/>
  <c r="BA442" i="51"/>
  <c r="BA466" i="51" s="1"/>
  <c r="BA460" i="51"/>
  <c r="BD422" i="51"/>
  <c r="BA492" i="51"/>
  <c r="BD339" i="51"/>
  <c r="BA365" i="51"/>
  <c r="BD361" i="51"/>
  <c r="BA468" i="51"/>
  <c r="BD430" i="51"/>
  <c r="BA490" i="51"/>
  <c r="BD337" i="51"/>
  <c r="AZ530" i="51"/>
  <c r="AZ107" i="51"/>
  <c r="AZ108" i="51" s="1"/>
  <c r="AZ507" i="51"/>
  <c r="L34" i="81"/>
  <c r="R62" i="81"/>
  <c r="K34" i="81"/>
  <c r="F34" i="81"/>
  <c r="G37" i="67"/>
  <c r="D45" i="67"/>
  <c r="AT513" i="51"/>
  <c r="AM68" i="72"/>
  <c r="H9" i="68"/>
  <c r="H30" i="68"/>
  <c r="AZ89" i="72"/>
  <c r="AZ85" i="72"/>
  <c r="AZ87" i="72" s="1"/>
  <c r="BA85" i="72"/>
  <c r="BA89" i="72"/>
  <c r="F30" i="68"/>
  <c r="I30" i="68"/>
  <c r="I10" i="68"/>
  <c r="I9" i="68"/>
  <c r="I14" i="68"/>
  <c r="I13" i="68"/>
  <c r="Z41" i="72"/>
  <c r="Z42" i="72" s="1"/>
  <c r="BA150" i="63"/>
  <c r="AM124" i="56"/>
  <c r="AT136" i="63"/>
  <c r="Y100" i="56"/>
  <c r="ED331" i="9"/>
  <c r="G30" i="68"/>
  <c r="G9" i="68"/>
  <c r="AN68" i="72"/>
  <c r="DX163" i="4"/>
  <c r="CZ164" i="4"/>
  <c r="DX164" i="4" s="1"/>
  <c r="DA162" i="4"/>
  <c r="BU33" i="51"/>
  <c r="CA321" i="4"/>
  <c r="CA348" i="4"/>
  <c r="CA338" i="4"/>
  <c r="CA328" i="4"/>
  <c r="BW37" i="51"/>
  <c r="BW25" i="51"/>
  <c r="BW29" i="51" s="1"/>
  <c r="BV372" i="51"/>
  <c r="BV366" i="51"/>
  <c r="CC318" i="4" s="1"/>
  <c r="CC326" i="4"/>
  <c r="BV401" i="51"/>
  <c r="BV399" i="51"/>
  <c r="BY407" i="51"/>
  <c r="BX23" i="51"/>
  <c r="BU45" i="51"/>
  <c r="BX40" i="51"/>
  <c r="BV28" i="51"/>
  <c r="BV32" i="51"/>
  <c r="BV30" i="51"/>
  <c r="BW410" i="51"/>
  <c r="BX409" i="51"/>
  <c r="BX410" i="51" s="1"/>
  <c r="CB327" i="4"/>
  <c r="CB322" i="4" s="1"/>
  <c r="BV454" i="51"/>
  <c r="BV456" i="51"/>
  <c r="BV457" i="51" s="1"/>
  <c r="CC368" i="4"/>
  <c r="BX452" i="51"/>
  <c r="BZ408" i="51"/>
  <c r="BY24" i="51"/>
  <c r="BZ451" i="51"/>
  <c r="BY364" i="51"/>
  <c r="BV29" i="51"/>
  <c r="BW456" i="51"/>
  <c r="BW457" i="51" s="1"/>
  <c r="BW454" i="51"/>
  <c r="CD368" i="4"/>
  <c r="CD369" i="4" s="1"/>
  <c r="CD386" i="4" s="1"/>
  <c r="BY405" i="51"/>
  <c r="BX21" i="51"/>
  <c r="BY448" i="51"/>
  <c r="BX38" i="51"/>
  <c r="BV41" i="51"/>
  <c r="BV47" i="51" s="1"/>
  <c r="BW365" i="51"/>
  <c r="BW400" i="51" s="1"/>
  <c r="BX361" i="51"/>
  <c r="BW39" i="51"/>
  <c r="BW31" i="51"/>
  <c r="BU49" i="51"/>
  <c r="BU44" i="51"/>
  <c r="BU48" i="51"/>
  <c r="BU46" i="51"/>
  <c r="BZ406" i="51"/>
  <c r="BZ449" i="51" s="1"/>
  <c r="BY22" i="51"/>
  <c r="BY362" i="51"/>
  <c r="DO790" i="4"/>
  <c r="J763" i="4"/>
  <c r="I761" i="4" s="1"/>
  <c r="I763" i="4" s="1"/>
  <c r="AY348" i="4"/>
  <c r="AY338" i="4"/>
  <c r="AY321" i="4"/>
  <c r="DM128" i="4"/>
  <c r="BF129" i="4"/>
  <c r="DN129" i="4" s="1"/>
  <c r="CQ61" i="4"/>
  <c r="CQ67" i="4"/>
  <c r="CQ68" i="4" s="1"/>
  <c r="BY129" i="4"/>
  <c r="BT129" i="4"/>
  <c r="BT61" i="4"/>
  <c r="BY61" i="4"/>
  <c r="BE338" i="4"/>
  <c r="BE328" i="4"/>
  <c r="BE348" i="4"/>
  <c r="AS933" i="4"/>
  <c r="AS934" i="4" s="1"/>
  <c r="AT760" i="4"/>
  <c r="AS765" i="4"/>
  <c r="AZ348" i="4"/>
  <c r="AZ338" i="4"/>
  <c r="BP126" i="4"/>
  <c r="D35" i="68" s="1"/>
  <c r="DP123" i="4"/>
  <c r="AY368" i="4"/>
  <c r="DP136" i="4"/>
  <c r="BP151" i="4"/>
  <c r="DP151" i="4" s="1"/>
  <c r="DU144" i="4"/>
  <c r="BG326" i="4"/>
  <c r="BA126" i="4"/>
  <c r="DM123" i="4"/>
  <c r="BZ206" i="4"/>
  <c r="BU200" i="4"/>
  <c r="DQ200" i="4" s="1"/>
  <c r="DQ206" i="4"/>
  <c r="BK151" i="4"/>
  <c r="DO151" i="4" s="1"/>
  <c r="DO136" i="4"/>
  <c r="DT798" i="4"/>
  <c r="CJ806" i="4"/>
  <c r="CJ802" i="4"/>
  <c r="DT802" i="4" s="1"/>
  <c r="CJ773" i="4"/>
  <c r="DL367" i="4"/>
  <c r="BK489" i="4"/>
  <c r="DO489" i="4" s="1"/>
  <c r="DO486" i="4"/>
  <c r="BQ123" i="4"/>
  <c r="BQ126" i="4" s="1"/>
  <c r="BQ128" i="4"/>
  <c r="CQ131" i="4"/>
  <c r="CV127" i="4"/>
  <c r="CQ127" i="4"/>
  <c r="CX649" i="4"/>
  <c r="CX647" i="4" s="1"/>
  <c r="CS647" i="4"/>
  <c r="CT647" i="4" s="1"/>
  <c r="DV647" i="4" s="1"/>
  <c r="CT649" i="4"/>
  <c r="DV649" i="4" s="1"/>
  <c r="DR144" i="4"/>
  <c r="CZ664" i="4"/>
  <c r="DX664" i="4" s="1"/>
  <c r="DX661" i="4"/>
  <c r="CZ670" i="4"/>
  <c r="DX670" i="4" s="1"/>
  <c r="CN68" i="4"/>
  <c r="CO67" i="4"/>
  <c r="CO68" i="4" s="1"/>
  <c r="DN469" i="4"/>
  <c r="BF473" i="4"/>
  <c r="BH91" i="9" s="1"/>
  <c r="DO4" i="4"/>
  <c r="CG915" i="4"/>
  <c r="CG904" i="4"/>
  <c r="CG894" i="4"/>
  <c r="CG898" i="4"/>
  <c r="CB913" i="4"/>
  <c r="CB899" i="4"/>
  <c r="CB894" i="4"/>
  <c r="CB898" i="4"/>
  <c r="CN894" i="4"/>
  <c r="CN902" i="4"/>
  <c r="CN900" i="4"/>
  <c r="CV904" i="4"/>
  <c r="CK894" i="4"/>
  <c r="CK902" i="4"/>
  <c r="CO902" i="4" s="1"/>
  <c r="DU902" i="4" s="1"/>
  <c r="CD904" i="4"/>
  <c r="CD903" i="4"/>
  <c r="CH913" i="4"/>
  <c r="CH900" i="4"/>
  <c r="CH899" i="4"/>
  <c r="CL901" i="4"/>
  <c r="CP894" i="4"/>
  <c r="CP904" i="4"/>
  <c r="CP901" i="4"/>
  <c r="CC913" i="4"/>
  <c r="CC900" i="4"/>
  <c r="CC901" i="4"/>
  <c r="CS904" i="4"/>
  <c r="CS903" i="4"/>
  <c r="CI901" i="4"/>
  <c r="CI899" i="4"/>
  <c r="CM904" i="4"/>
  <c r="CM900" i="4"/>
  <c r="CQ904" i="4"/>
  <c r="CU904" i="4"/>
  <c r="CQ914" i="4"/>
  <c r="CV903" i="4"/>
  <c r="CF913" i="4"/>
  <c r="CP899" i="4"/>
  <c r="CN913" i="4"/>
  <c r="CI913" i="4"/>
  <c r="CH898" i="4"/>
  <c r="CG913" i="4"/>
  <c r="CG900" i="4"/>
  <c r="CG901" i="4"/>
  <c r="CB902" i="4"/>
  <c r="CN914" i="4"/>
  <c r="CK900" i="4"/>
  <c r="CD915" i="4"/>
  <c r="CD902" i="4"/>
  <c r="CD898" i="4"/>
  <c r="CH902" i="4"/>
  <c r="CH914" i="4"/>
  <c r="CL904" i="4"/>
  <c r="CL894" i="4"/>
  <c r="CP914" i="4"/>
  <c r="CP902" i="4"/>
  <c r="CC894" i="4"/>
  <c r="CC899" i="4"/>
  <c r="CI902" i="4"/>
  <c r="CI914" i="4"/>
  <c r="CM903" i="4"/>
  <c r="CM899" i="4"/>
  <c r="CM898" i="4"/>
  <c r="CQ903" i="4"/>
  <c r="CU894" i="4"/>
  <c r="CP898" i="4"/>
  <c r="CM913" i="4"/>
  <c r="CL899" i="4"/>
  <c r="CQ901" i="4"/>
  <c r="CU903" i="4"/>
  <c r="CV914" i="4"/>
  <c r="CL913" i="4"/>
  <c r="CK913" i="4"/>
  <c r="CG903" i="4"/>
  <c r="CB914" i="4"/>
  <c r="CB903" i="4"/>
  <c r="CB900" i="4"/>
  <c r="CN904" i="4"/>
  <c r="CN901" i="4"/>
  <c r="CN899" i="4"/>
  <c r="CK904" i="4"/>
  <c r="CD913" i="4"/>
  <c r="CD900" i="4"/>
  <c r="CD901" i="4"/>
  <c r="CH901" i="4"/>
  <c r="CL903" i="4"/>
  <c r="CC904" i="4"/>
  <c r="CC914" i="4"/>
  <c r="CI904" i="4"/>
  <c r="CI903" i="4"/>
  <c r="CI900" i="4"/>
  <c r="CM902" i="4"/>
  <c r="CM894" i="4"/>
  <c r="CQ894" i="4"/>
  <c r="CG914" i="4"/>
  <c r="CG899" i="4"/>
  <c r="CG902" i="4"/>
  <c r="CB915" i="4"/>
  <c r="CB901" i="4"/>
  <c r="CB904" i="4"/>
  <c r="CN903" i="4"/>
  <c r="CN898" i="4"/>
  <c r="CK901" i="4"/>
  <c r="CK903" i="4"/>
  <c r="CK899" i="4"/>
  <c r="CD894" i="4"/>
  <c r="CD899" i="4"/>
  <c r="CD914" i="4"/>
  <c r="CH915" i="4"/>
  <c r="CH904" i="4"/>
  <c r="CH903" i="4"/>
  <c r="CH894" i="4"/>
  <c r="CL902" i="4"/>
  <c r="CL900" i="4"/>
  <c r="CP903" i="4"/>
  <c r="CT903" i="4" s="1"/>
  <c r="DV903" i="4" s="1"/>
  <c r="CC915" i="4"/>
  <c r="CC902" i="4"/>
  <c r="CC903" i="4"/>
  <c r="CC898" i="4"/>
  <c r="CS894" i="4"/>
  <c r="CI915" i="4"/>
  <c r="CI894" i="4"/>
  <c r="CM901" i="4"/>
  <c r="CU914" i="4"/>
  <c r="CP900" i="4"/>
  <c r="CQ898" i="4"/>
  <c r="CV894" i="4"/>
  <c r="CW904" i="4"/>
  <c r="CK914" i="4"/>
  <c r="CF899" i="4"/>
  <c r="CJ899" i="4" s="1"/>
  <c r="DT899" i="4" s="1"/>
  <c r="CF894" i="4"/>
  <c r="CF898" i="4"/>
  <c r="CQ900" i="4"/>
  <c r="CQ902" i="4"/>
  <c r="CS914" i="4"/>
  <c r="CF901" i="4"/>
  <c r="CJ901" i="4" s="1"/>
  <c r="DT901" i="4" s="1"/>
  <c r="CF904" i="4"/>
  <c r="CF915" i="4"/>
  <c r="CJ915" i="4" s="1"/>
  <c r="DT915" i="4" s="1"/>
  <c r="CF902" i="4"/>
  <c r="CJ902" i="4" s="1"/>
  <c r="DT902" i="4" s="1"/>
  <c r="CF914" i="4"/>
  <c r="CJ914" i="4" s="1"/>
  <c r="DT914" i="4" s="1"/>
  <c r="BK691" i="4"/>
  <c r="DO691" i="4" s="1"/>
  <c r="CF900" i="4"/>
  <c r="CF903" i="4"/>
  <c r="CQ899" i="4"/>
  <c r="CW894" i="4"/>
  <c r="CW914" i="4"/>
  <c r="CM914" i="4"/>
  <c r="CX894" i="4"/>
  <c r="CI898" i="4"/>
  <c r="CS902" i="4"/>
  <c r="CX904" i="4"/>
  <c r="CW903" i="4"/>
  <c r="CU901" i="4"/>
  <c r="CL914" i="4"/>
  <c r="CS900" i="4"/>
  <c r="CP913" i="4"/>
  <c r="CZ894" i="4"/>
  <c r="CS899" i="4"/>
  <c r="CX903" i="4"/>
  <c r="CS901" i="4"/>
  <c r="BK690" i="4"/>
  <c r="DO690" i="4" s="1"/>
  <c r="CK898" i="4"/>
  <c r="CS898" i="4"/>
  <c r="CU900" i="4"/>
  <c r="CX914" i="4"/>
  <c r="CU902" i="4"/>
  <c r="CU898" i="4"/>
  <c r="CL898" i="4"/>
  <c r="CQ913" i="4"/>
  <c r="CV900" i="4"/>
  <c r="CV899" i="4"/>
  <c r="CV901" i="4"/>
  <c r="CV898" i="4"/>
  <c r="CU899" i="4"/>
  <c r="DA894" i="4"/>
  <c r="DY894" i="4" s="1"/>
  <c r="CS913" i="4"/>
  <c r="CW901" i="4"/>
  <c r="CV902" i="4"/>
  <c r="BG896" i="4"/>
  <c r="BG900" i="4"/>
  <c r="BG898" i="4"/>
  <c r="BG931" i="4"/>
  <c r="BG894" i="4"/>
  <c r="CV913" i="4"/>
  <c r="CX898" i="4"/>
  <c r="BG893" i="4"/>
  <c r="BG902" i="4"/>
  <c r="BG914" i="4"/>
  <c r="CX901" i="4"/>
  <c r="CX900" i="4"/>
  <c r="CX899" i="4"/>
  <c r="BG899" i="4"/>
  <c r="BG901" i="4"/>
  <c r="BG913" i="4"/>
  <c r="CW898" i="4"/>
  <c r="CW899" i="4"/>
  <c r="CW902" i="4"/>
  <c r="BG930" i="4"/>
  <c r="BG915" i="4"/>
  <c r="BG903" i="4"/>
  <c r="BG933" i="4"/>
  <c r="BK276" i="4"/>
  <c r="DO276" i="4" s="1"/>
  <c r="CW900" i="4"/>
  <c r="CU913" i="4"/>
  <c r="CX902" i="4"/>
  <c r="BH903" i="4"/>
  <c r="BH899" i="4"/>
  <c r="BH931" i="4"/>
  <c r="BH914" i="4"/>
  <c r="BK200" i="4"/>
  <c r="DO200" i="4" s="1"/>
  <c r="BH901" i="4"/>
  <c r="BH915" i="4"/>
  <c r="BH898" i="4"/>
  <c r="BK199" i="4"/>
  <c r="BH930" i="4"/>
  <c r="BH900" i="4"/>
  <c r="BH893" i="4"/>
  <c r="BH933" i="4"/>
  <c r="BH894" i="4"/>
  <c r="BH902" i="4"/>
  <c r="BH913" i="4"/>
  <c r="R112" i="4"/>
  <c r="R54" i="4"/>
  <c r="DF54" i="4" s="1"/>
  <c r="DF51" i="4"/>
  <c r="R60" i="4"/>
  <c r="DF60" i="4" s="1"/>
  <c r="R59" i="4"/>
  <c r="W54" i="4"/>
  <c r="DG54" i="4" s="1"/>
  <c r="J500" i="4"/>
  <c r="J521" i="4"/>
  <c r="J523" i="4" s="1"/>
  <c r="K492" i="4"/>
  <c r="K496" i="4" s="1"/>
  <c r="J753" i="4"/>
  <c r="J755" i="4" s="1"/>
  <c r="J941" i="4" s="1"/>
  <c r="J943" i="4" s="1"/>
  <c r="BI913" i="4"/>
  <c r="BI915" i="4"/>
  <c r="BI903" i="4"/>
  <c r="BF326" i="4"/>
  <c r="BB327" i="4"/>
  <c r="BB322" i="4" s="1"/>
  <c r="DE117" i="4"/>
  <c r="M123" i="4"/>
  <c r="M128" i="4"/>
  <c r="BM838" i="4"/>
  <c r="AR934" i="4"/>
  <c r="DN123" i="4"/>
  <c r="BF126" i="4"/>
  <c r="AZ321" i="4"/>
  <c r="DT144" i="4"/>
  <c r="CJ129" i="4"/>
  <c r="DT129" i="4" s="1"/>
  <c r="DS128" i="4"/>
  <c r="CW913" i="4"/>
  <c r="CR786" i="4"/>
  <c r="CR128" i="4"/>
  <c r="CR123" i="4"/>
  <c r="CR126" i="4" s="1"/>
  <c r="BM149" i="4"/>
  <c r="DJ123" i="4"/>
  <c r="AL126" i="4"/>
  <c r="BP105" i="4"/>
  <c r="AG126" i="4"/>
  <c r="DI123" i="4"/>
  <c r="CN132" i="4"/>
  <c r="CZ774" i="4"/>
  <c r="DW774" i="4"/>
  <c r="AH149" i="4"/>
  <c r="BX943" i="4"/>
  <c r="BY941" i="4"/>
  <c r="DP146" i="4"/>
  <c r="BP149" i="4"/>
  <c r="DP149" i="4" s="1"/>
  <c r="BA129" i="4"/>
  <c r="DM129" i="4" s="1"/>
  <c r="DX795" i="4"/>
  <c r="DK123" i="4"/>
  <c r="AQ126" i="4"/>
  <c r="BW840" i="4"/>
  <c r="P68" i="4"/>
  <c r="U68" i="4"/>
  <c r="DU724" i="4"/>
  <c r="BJ930" i="4"/>
  <c r="BJ900" i="4"/>
  <c r="BJ902" i="4"/>
  <c r="BJ899" i="4"/>
  <c r="BJ903" i="4"/>
  <c r="BJ915" i="4"/>
  <c r="BJ893" i="4"/>
  <c r="BJ901" i="4"/>
  <c r="BJ898" i="4"/>
  <c r="BJ932" i="4"/>
  <c r="BJ691" i="4"/>
  <c r="BJ690" i="4"/>
  <c r="BJ933" i="4"/>
  <c r="BJ931" i="4"/>
  <c r="BJ913" i="4"/>
  <c r="BJ894" i="4"/>
  <c r="BJ914" i="4"/>
  <c r="BJ896" i="4"/>
  <c r="CU755" i="4"/>
  <c r="CV753" i="4"/>
  <c r="BF368" i="4"/>
  <c r="DN368" i="4" s="1"/>
  <c r="CO129" i="4"/>
  <c r="DU129" i="4" s="1"/>
  <c r="DT128" i="4"/>
  <c r="CW798" i="4"/>
  <c r="AQ626" i="4"/>
  <c r="DK626" i="4" s="1"/>
  <c r="AK625" i="4"/>
  <c r="DJ625" i="4"/>
  <c r="BD327" i="4"/>
  <c r="BD322" i="4" s="1"/>
  <c r="DL126" i="4"/>
  <c r="AV131" i="4"/>
  <c r="BA127" i="4"/>
  <c r="DM127" i="4" s="1"/>
  <c r="BQ966" i="4"/>
  <c r="BK932" i="4"/>
  <c r="DO932" i="4" s="1"/>
  <c r="BC348" i="4"/>
  <c r="BC338" i="4"/>
  <c r="CV773" i="4"/>
  <c r="CV717" i="4"/>
  <c r="DO123" i="4"/>
  <c r="BK126" i="4"/>
  <c r="DI128" i="4"/>
  <c r="AL129" i="4"/>
  <c r="DJ129" i="4" s="1"/>
  <c r="DY834" i="4"/>
  <c r="DA795" i="4"/>
  <c r="DO144" i="4"/>
  <c r="BK150" i="4"/>
  <c r="DO150" i="4" s="1"/>
  <c r="BK149" i="4"/>
  <c r="DO149" i="4" s="1"/>
  <c r="DG123" i="4"/>
  <c r="W126" i="4"/>
  <c r="R65" i="4"/>
  <c r="R67" i="4" s="1"/>
  <c r="DF53" i="4"/>
  <c r="AZ322" i="4"/>
  <c r="AY322" i="4"/>
  <c r="BF364" i="4"/>
  <c r="DN364" i="4" s="1"/>
  <c r="DT724" i="4"/>
  <c r="V129" i="4"/>
  <c r="Q129" i="4"/>
  <c r="BQ138" i="4"/>
  <c r="BQ144" i="4" s="1"/>
  <c r="BQ65" i="4"/>
  <c r="BQ67" i="4" s="1"/>
  <c r="BQ60" i="4"/>
  <c r="BQ98" i="4"/>
  <c r="BF860" i="4"/>
  <c r="AS60" i="9" s="1"/>
  <c r="AS62" i="9" s="1"/>
  <c r="AS64" i="9" s="1"/>
  <c r="BG837" i="4"/>
  <c r="DN837" i="4"/>
  <c r="BB895" i="4"/>
  <c r="CQ129" i="4"/>
  <c r="AH503" i="4"/>
  <c r="AH504" i="4" s="1"/>
  <c r="AL503" i="4"/>
  <c r="DI506" i="4"/>
  <c r="CW647" i="4"/>
  <c r="CY647" i="4" s="1"/>
  <c r="DW647" i="4" s="1"/>
  <c r="CY649" i="4"/>
  <c r="CZ714" i="4"/>
  <c r="DX714" i="4" s="1"/>
  <c r="DX707" i="4"/>
  <c r="CO801" i="4"/>
  <c r="CO105" i="4"/>
  <c r="DK144" i="4"/>
  <c r="AQ150" i="4"/>
  <c r="DK150" i="4" s="1"/>
  <c r="BF459" i="4"/>
  <c r="DN459" i="4" s="1"/>
  <c r="DN457" i="4"/>
  <c r="BF458" i="4"/>
  <c r="DN458" i="4" s="1"/>
  <c r="BK459" i="4"/>
  <c r="DO459" i="4" s="1"/>
  <c r="DA707" i="4"/>
  <c r="DY657" i="4"/>
  <c r="DA666" i="4"/>
  <c r="DY666" i="4" s="1"/>
  <c r="DA661" i="4"/>
  <c r="I523" i="4"/>
  <c r="BI931" i="4"/>
  <c r="BI893" i="4"/>
  <c r="BI902" i="4"/>
  <c r="BX283" i="4"/>
  <c r="BX284" i="4"/>
  <c r="DN367" i="4"/>
  <c r="BR774" i="4"/>
  <c r="DU128" i="4"/>
  <c r="DA898" i="4"/>
  <c r="DY898" i="4" s="1"/>
  <c r="DP128" i="4"/>
  <c r="CR138" i="4"/>
  <c r="CR144" i="4" s="1"/>
  <c r="CR60" i="4"/>
  <c r="CR978" i="4"/>
  <c r="CR801" i="4"/>
  <c r="CR802" i="4" s="1"/>
  <c r="CR104" i="4"/>
  <c r="CR100" i="4"/>
  <c r="CR136" i="4"/>
  <c r="CR101" i="4"/>
  <c r="CR99" i="4"/>
  <c r="BP129" i="4"/>
  <c r="DP129" i="4" s="1"/>
  <c r="DO128" i="4"/>
  <c r="DS144" i="4"/>
  <c r="CX913" i="4"/>
  <c r="BN871" i="4"/>
  <c r="BN797" i="4" s="1"/>
  <c r="BO863" i="4"/>
  <c r="BC322" i="4"/>
  <c r="CB356" i="4"/>
  <c r="CB355" i="4"/>
  <c r="AV486" i="4"/>
  <c r="AV483" i="4"/>
  <c r="DL483" i="4" s="1"/>
  <c r="DL482" i="4"/>
  <c r="BA483" i="4"/>
  <c r="DM483" i="4" s="1"/>
  <c r="AB129" i="4"/>
  <c r="DH129" i="4" s="1"/>
  <c r="DG128" i="4"/>
  <c r="DP144" i="4"/>
  <c r="BP150" i="4"/>
  <c r="DP150" i="4" s="1"/>
  <c r="P131" i="4"/>
  <c r="U127" i="4"/>
  <c r="DT136" i="4"/>
  <c r="DA896" i="4"/>
  <c r="DY896" i="4" s="1"/>
  <c r="DS136" i="4"/>
  <c r="DQ496" i="4"/>
  <c r="CI882" i="4"/>
  <c r="CI932" i="4" s="1"/>
  <c r="CH932" i="4"/>
  <c r="DJ144" i="4"/>
  <c r="CV49" i="4"/>
  <c r="CW49" i="4" s="1"/>
  <c r="CX49" i="4" s="1"/>
  <c r="BI651" i="4"/>
  <c r="DJ128" i="4"/>
  <c r="AQ129" i="4"/>
  <c r="DK129" i="4" s="1"/>
  <c r="BA326" i="4"/>
  <c r="DR123" i="4"/>
  <c r="BZ126" i="4"/>
  <c r="F35" i="68" s="1"/>
  <c r="BE322" i="4"/>
  <c r="DH126" i="4"/>
  <c r="AB131" i="4"/>
  <c r="AG127" i="4"/>
  <c r="DI127" i="4" s="1"/>
  <c r="DM325" i="4"/>
  <c r="BA327" i="4"/>
  <c r="BA321" i="4" s="1"/>
  <c r="DM321" i="4" s="1"/>
  <c r="BK404" i="4"/>
  <c r="DO404" i="4" s="1"/>
  <c r="BL3" i="4"/>
  <c r="DO3" i="4"/>
  <c r="CX860" i="4"/>
  <c r="CX796" i="4" s="1"/>
  <c r="CY837" i="4"/>
  <c r="BF327" i="4"/>
  <c r="BF321" i="4" s="1"/>
  <c r="DN321" i="4" s="1"/>
  <c r="DN325" i="4"/>
  <c r="BZ203" i="4"/>
  <c r="BU199" i="4"/>
  <c r="DQ203" i="4"/>
  <c r="AJ788" i="4"/>
  <c r="AK140" i="4"/>
  <c r="AK148" i="4"/>
  <c r="AJ148" i="4"/>
  <c r="AL140" i="4"/>
  <c r="DY893" i="4"/>
  <c r="V127" i="4"/>
  <c r="Q131" i="4"/>
  <c r="BQ799" i="4"/>
  <c r="BQ751" i="4"/>
  <c r="BQ765" i="4" s="1"/>
  <c r="BR725" i="4"/>
  <c r="BE802" i="4"/>
  <c r="BE800" i="4"/>
  <c r="BE803" i="4" s="1"/>
  <c r="BE773" i="4"/>
  <c r="BE786" i="4" s="1"/>
  <c r="BE788" i="4" s="1"/>
  <c r="BH367" i="4"/>
  <c r="DM144" i="4"/>
  <c r="CY895" i="4"/>
  <c r="DW895" i="4" s="1"/>
  <c r="BT131" i="4"/>
  <c r="BY127" i="4"/>
  <c r="BT68" i="4"/>
  <c r="BY68" i="4"/>
  <c r="CP68" i="4"/>
  <c r="AQ149" i="4"/>
  <c r="DK149" i="4" s="1"/>
  <c r="DK146" i="4"/>
  <c r="BG363" i="4"/>
  <c r="BL132" i="4"/>
  <c r="DA899" i="4"/>
  <c r="DY899" i="4" s="1"/>
  <c r="I747" i="4"/>
  <c r="I751" i="4" s="1"/>
  <c r="I499" i="4"/>
  <c r="BI914" i="4"/>
  <c r="BI933" i="4"/>
  <c r="BI934" i="4" s="1"/>
  <c r="BI898" i="4"/>
  <c r="BI899" i="4"/>
  <c r="BI901" i="4"/>
  <c r="BE321" i="4"/>
  <c r="BY284" i="4"/>
  <c r="BZ282" i="4"/>
  <c r="BY283" i="4"/>
  <c r="DR136" i="4"/>
  <c r="DR801" i="4"/>
  <c r="BZ802" i="4"/>
  <c r="DR802" i="4" s="1"/>
  <c r="AR788" i="4"/>
  <c r="AS140" i="4"/>
  <c r="AR148" i="4"/>
  <c r="DN128" i="4"/>
  <c r="BK129" i="4"/>
  <c r="DO129" i="4" s="1"/>
  <c r="DA686" i="4"/>
  <c r="DY686" i="4" s="1"/>
  <c r="DY685" i="4"/>
  <c r="AX327" i="4"/>
  <c r="AX322" i="4" s="1"/>
  <c r="DV806" i="4"/>
  <c r="DA960" i="4"/>
  <c r="DY960" i="4" s="1"/>
  <c r="DY778" i="4"/>
  <c r="CO126" i="4"/>
  <c r="I35" i="68" s="1"/>
  <c r="DU123" i="4"/>
  <c r="DA900" i="4"/>
  <c r="DY900" i="4" s="1"/>
  <c r="DS123" i="4"/>
  <c r="CE126" i="4"/>
  <c r="G35" i="68" s="1"/>
  <c r="DN144" i="4"/>
  <c r="DS724" i="4"/>
  <c r="BT105" i="4"/>
  <c r="BY105" i="4"/>
  <c r="CY870" i="4"/>
  <c r="CX871" i="4"/>
  <c r="CX797" i="4" s="1"/>
  <c r="BH839" i="4"/>
  <c r="BH897" i="4" s="1"/>
  <c r="BG897" i="4"/>
  <c r="CE129" i="4"/>
  <c r="DS129" i="4" s="1"/>
  <c r="DR128" i="4"/>
  <c r="BG369" i="4"/>
  <c r="BG386" i="4" s="1"/>
  <c r="CC354" i="4"/>
  <c r="CD361" i="4"/>
  <c r="AV129" i="4"/>
  <c r="DL129" i="4" s="1"/>
  <c r="DK128" i="4"/>
  <c r="DU136" i="4"/>
  <c r="BG146" i="4"/>
  <c r="BG149" i="4" s="1"/>
  <c r="BG145" i="4"/>
  <c r="BG150" i="4" s="1"/>
  <c r="U129" i="4"/>
  <c r="P129" i="4"/>
  <c r="AJ140" i="4"/>
  <c r="DA902" i="4"/>
  <c r="DY902" i="4" s="1"/>
  <c r="DA897" i="4"/>
  <c r="DY897" i="4" s="1"/>
  <c r="CV932" i="4"/>
  <c r="CW682" i="4"/>
  <c r="AR140" i="4"/>
  <c r="CE105" i="4"/>
  <c r="DS801" i="4"/>
  <c r="CE802" i="4"/>
  <c r="DS802" i="4" s="1"/>
  <c r="CJ126" i="4"/>
  <c r="H35" i="68" s="1"/>
  <c r="DT123" i="4"/>
  <c r="AT368" i="4"/>
  <c r="BF318" i="4"/>
  <c r="DN318" i="4" s="1"/>
  <c r="BH326" i="4"/>
  <c r="BG318" i="4"/>
  <c r="BD318" i="4"/>
  <c r="BF300" i="4"/>
  <c r="DN300" i="4" s="1"/>
  <c r="AU368" i="4"/>
  <c r="AU369" i="4" s="1"/>
  <c r="BA87" i="72" l="1"/>
  <c r="BV402" i="51"/>
  <c r="BB378" i="51"/>
  <c r="G34" i="67"/>
  <c r="BB400" i="51"/>
  <c r="AZ165" i="51"/>
  <c r="BA464" i="51"/>
  <c r="AT165" i="51"/>
  <c r="BB399" i="51"/>
  <c r="CY903" i="4"/>
  <c r="DW903" i="4" s="1"/>
  <c r="CY904" i="4"/>
  <c r="DW904" i="4" s="1"/>
  <c r="AR64" i="9"/>
  <c r="AR68" i="9"/>
  <c r="BA376" i="51"/>
  <c r="BC486" i="51"/>
  <c r="BC353" i="51"/>
  <c r="BC375" i="51" s="1"/>
  <c r="BC489" i="51"/>
  <c r="BD489" i="51" s="1"/>
  <c r="BC378" i="51"/>
  <c r="N3" i="9"/>
  <c r="BH325" i="4"/>
  <c r="BE5" i="50"/>
  <c r="BE6" i="50" s="1"/>
  <c r="BE3" i="51"/>
  <c r="CJ932" i="4"/>
  <c r="DT932" i="4" s="1"/>
  <c r="BK896" i="4"/>
  <c r="DO896" i="4" s="1"/>
  <c r="CJ903" i="4"/>
  <c r="DT903" i="4" s="1"/>
  <c r="BW398" i="51"/>
  <c r="BA401" i="51"/>
  <c r="BA372" i="51"/>
  <c r="BA366" i="51"/>
  <c r="BA375" i="51"/>
  <c r="BB462" i="51"/>
  <c r="K45" i="67"/>
  <c r="L45" i="67"/>
  <c r="BB465" i="51"/>
  <c r="AT215" i="51"/>
  <c r="BA399" i="51"/>
  <c r="BD364" i="51"/>
  <c r="BC442" i="51"/>
  <c r="BC466" i="51" s="1"/>
  <c r="BC491" i="51"/>
  <c r="BB468" i="51"/>
  <c r="BD336" i="51"/>
  <c r="BA377" i="51"/>
  <c r="GS389" i="9"/>
  <c r="GS390" i="9" s="1"/>
  <c r="GP387" i="9"/>
  <c r="GP386" i="9"/>
  <c r="GQ389" i="9"/>
  <c r="GQ390" i="9" s="1"/>
  <c r="GP389" i="9"/>
  <c r="GP390" i="9" s="1"/>
  <c r="GR389" i="9"/>
  <c r="GR390" i="9" s="1"/>
  <c r="CT899" i="4"/>
  <c r="DV899" i="4" s="1"/>
  <c r="L45" i="69"/>
  <c r="K45" i="69"/>
  <c r="BA380" i="51"/>
  <c r="BB444" i="51"/>
  <c r="BB543" i="51" s="1"/>
  <c r="BB480" i="51"/>
  <c r="BB454" i="51"/>
  <c r="BB456" i="51"/>
  <c r="BB457" i="51" s="1"/>
  <c r="BI368" i="4"/>
  <c r="BA383" i="51"/>
  <c r="BB354" i="51"/>
  <c r="BB538" i="51" s="1"/>
  <c r="BB395" i="51"/>
  <c r="GR386" i="9"/>
  <c r="GR387" i="9"/>
  <c r="BF369" i="4"/>
  <c r="DN369" i="4" s="1"/>
  <c r="CO904" i="4"/>
  <c r="DU904" i="4" s="1"/>
  <c r="CE900" i="4"/>
  <c r="DS900" i="4" s="1"/>
  <c r="CO913" i="4"/>
  <c r="DU913" i="4" s="1"/>
  <c r="BA379" i="51"/>
  <c r="BA444" i="51"/>
  <c r="BA543" i="51" s="1"/>
  <c r="BA480" i="51"/>
  <c r="BA506" i="51"/>
  <c r="BA512" i="51" s="1"/>
  <c r="BD486" i="51"/>
  <c r="BB376" i="51"/>
  <c r="BB464" i="51"/>
  <c r="M9" i="9"/>
  <c r="M10" i="9" s="1"/>
  <c r="M20" i="9" s="1"/>
  <c r="M6" i="9"/>
  <c r="K45" i="71"/>
  <c r="L45" i="71"/>
  <c r="G45" i="71"/>
  <c r="BA465" i="51"/>
  <c r="BB383" i="51"/>
  <c r="AT109" i="51"/>
  <c r="BA511" i="51"/>
  <c r="BC461" i="51"/>
  <c r="BC490" i="51"/>
  <c r="BC379" i="51"/>
  <c r="BC488" i="51"/>
  <c r="BC377" i="51"/>
  <c r="BB379" i="51"/>
  <c r="BB460" i="51"/>
  <c r="AZ215" i="51"/>
  <c r="R60" i="71"/>
  <c r="L34" i="71"/>
  <c r="K34" i="71"/>
  <c r="F34" i="71"/>
  <c r="G34" i="71"/>
  <c r="BD425" i="51"/>
  <c r="BD423" i="51"/>
  <c r="BB377" i="51"/>
  <c r="BB375" i="51"/>
  <c r="GQ386" i="9"/>
  <c r="GQ387" i="9"/>
  <c r="BA378" i="51"/>
  <c r="BA395" i="51"/>
  <c r="BA354" i="51"/>
  <c r="BA538" i="51" s="1"/>
  <c r="BD353" i="51"/>
  <c r="BD376" i="51" s="1"/>
  <c r="G45" i="69"/>
  <c r="BD488" i="51"/>
  <c r="CE904" i="4"/>
  <c r="DS904" i="4" s="1"/>
  <c r="G45" i="67"/>
  <c r="BD490" i="51"/>
  <c r="BA398" i="51"/>
  <c r="BD333" i="51"/>
  <c r="BD37" i="51"/>
  <c r="BD39" i="51"/>
  <c r="BD40" i="51"/>
  <c r="BD38" i="51"/>
  <c r="BD81" i="51"/>
  <c r="BD82" i="51" s="1"/>
  <c r="BD87" i="51"/>
  <c r="BD88" i="51" s="1"/>
  <c r="BD66" i="51"/>
  <c r="BD67" i="51" s="1"/>
  <c r="BD63" i="51"/>
  <c r="BD64" i="51" s="1"/>
  <c r="BD72" i="51"/>
  <c r="BD73" i="51" s="1"/>
  <c r="BD84" i="51"/>
  <c r="BD85" i="51" s="1"/>
  <c r="BD78" i="51"/>
  <c r="BD79" i="51" s="1"/>
  <c r="BD75" i="51"/>
  <c r="BD76" i="51" s="1"/>
  <c r="BB398" i="51"/>
  <c r="BB402" i="51" s="1"/>
  <c r="BB372" i="51"/>
  <c r="BB366" i="51"/>
  <c r="AZ109" i="51"/>
  <c r="BA462" i="51"/>
  <c r="BA515" i="51"/>
  <c r="BD491" i="51"/>
  <c r="BB463" i="51"/>
  <c r="F34" i="67"/>
  <c r="L34" i="67"/>
  <c r="K34" i="67"/>
  <c r="BA400" i="51"/>
  <c r="BA456" i="51"/>
  <c r="BA457" i="51" s="1"/>
  <c r="BA454" i="51"/>
  <c r="BH368" i="4"/>
  <c r="BC452" i="51"/>
  <c r="BC365" i="51"/>
  <c r="BD365" i="51" s="1"/>
  <c r="BC381" i="51"/>
  <c r="BC492" i="51"/>
  <c r="BD492" i="51" s="1"/>
  <c r="BC494" i="51"/>
  <c r="BD494" i="51" s="1"/>
  <c r="BC383" i="51"/>
  <c r="BC464" i="51"/>
  <c r="BC487" i="51"/>
  <c r="BC376" i="51"/>
  <c r="L34" i="69"/>
  <c r="K34" i="69"/>
  <c r="F34" i="69"/>
  <c r="BB381" i="51"/>
  <c r="BA463" i="51"/>
  <c r="BA461" i="51"/>
  <c r="BD335" i="51"/>
  <c r="BB506" i="51"/>
  <c r="BB510" i="51"/>
  <c r="GS386" i="9"/>
  <c r="GS387" i="9"/>
  <c r="V100" i="56"/>
  <c r="AQ136" i="63"/>
  <c r="CY49" i="4"/>
  <c r="CT904" i="4"/>
  <c r="DV904" i="4" s="1"/>
  <c r="CX798" i="4"/>
  <c r="BV45" i="51"/>
  <c r="DY162" i="4"/>
  <c r="DA165" i="4"/>
  <c r="DY165" i="4" s="1"/>
  <c r="DA163" i="4"/>
  <c r="BX456" i="51"/>
  <c r="BX457" i="51" s="1"/>
  <c r="BX454" i="51"/>
  <c r="BZ407" i="51"/>
  <c r="BY23" i="51"/>
  <c r="BY363" i="51"/>
  <c r="BC328" i="4"/>
  <c r="CC369" i="4"/>
  <c r="CC386" i="4" s="1"/>
  <c r="CE368" i="4"/>
  <c r="CB338" i="4"/>
  <c r="CB328" i="4"/>
  <c r="CB348" i="4"/>
  <c r="CB321" i="4"/>
  <c r="BY38" i="51"/>
  <c r="BW372" i="51"/>
  <c r="BW366" i="51"/>
  <c r="CD326" i="4"/>
  <c r="BW401" i="51"/>
  <c r="BW399" i="51"/>
  <c r="BX37" i="51"/>
  <c r="BX25" i="51"/>
  <c r="BY40" i="51"/>
  <c r="BV33" i="51"/>
  <c r="BY450" i="51"/>
  <c r="BW28" i="51"/>
  <c r="BW32" i="51"/>
  <c r="BW30" i="51"/>
  <c r="CA406" i="51"/>
  <c r="BZ22" i="51"/>
  <c r="BZ362" i="51"/>
  <c r="BV49" i="51"/>
  <c r="BV44" i="51"/>
  <c r="BV48" i="51"/>
  <c r="BV46" i="51"/>
  <c r="BY409" i="51"/>
  <c r="BY410" i="51" s="1"/>
  <c r="BZ405" i="51"/>
  <c r="BY21" i="51"/>
  <c r="BZ448" i="51"/>
  <c r="BY361" i="51"/>
  <c r="CA408" i="51"/>
  <c r="BZ24" i="51"/>
  <c r="CA451" i="51"/>
  <c r="BZ364" i="51"/>
  <c r="BX365" i="51"/>
  <c r="BX398" i="51" s="1"/>
  <c r="BX39" i="51"/>
  <c r="BX31" i="51"/>
  <c r="CC327" i="4"/>
  <c r="CC322" i="4" s="1"/>
  <c r="CE326" i="4"/>
  <c r="BW41" i="51"/>
  <c r="BW45" i="51" s="1"/>
  <c r="AR146" i="4"/>
  <c r="AR145" i="4"/>
  <c r="AR150" i="4" s="1"/>
  <c r="AR151" i="4"/>
  <c r="BU201" i="4"/>
  <c r="DQ199" i="4"/>
  <c r="BU216" i="4"/>
  <c r="DQ216" i="4" s="1"/>
  <c r="BL404" i="4"/>
  <c r="BM3" i="4"/>
  <c r="BL4" i="4"/>
  <c r="DU801" i="4"/>
  <c r="CO802" i="4"/>
  <c r="DU802" i="4" s="1"/>
  <c r="BQ801" i="4"/>
  <c r="BQ104" i="4"/>
  <c r="BQ101" i="4"/>
  <c r="BQ99" i="4"/>
  <c r="BQ100" i="4"/>
  <c r="BQ136" i="4"/>
  <c r="BV101" i="4"/>
  <c r="W131" i="4"/>
  <c r="DG126" i="4"/>
  <c r="AB127" i="4"/>
  <c r="DH127" i="4" s="1"/>
  <c r="BX840" i="4"/>
  <c r="BK933" i="4"/>
  <c r="DO933" i="4" s="1"/>
  <c r="CO901" i="4"/>
  <c r="DU901" i="4" s="1"/>
  <c r="CE899" i="4"/>
  <c r="DS899" i="4" s="1"/>
  <c r="DN473" i="4"/>
  <c r="BF482" i="4"/>
  <c r="AT369" i="4"/>
  <c r="AV368" i="4"/>
  <c r="CC355" i="4"/>
  <c r="CC356" i="4"/>
  <c r="BI839" i="4"/>
  <c r="DS126" i="4"/>
  <c r="CJ127" i="4"/>
  <c r="DT127" i="4" s="1"/>
  <c r="CE131" i="4"/>
  <c r="AX338" i="4"/>
  <c r="AX348" i="4"/>
  <c r="AX321" i="4"/>
  <c r="I765" i="4"/>
  <c r="I788" i="4" s="1"/>
  <c r="BY132" i="4"/>
  <c r="BH364" i="4"/>
  <c r="CZ895" i="4"/>
  <c r="DX895" i="4" s="1"/>
  <c r="CY860" i="4"/>
  <c r="DW837" i="4"/>
  <c r="CZ837" i="4"/>
  <c r="DH131" i="4"/>
  <c r="CE127" i="4"/>
  <c r="DS127" i="4" s="1"/>
  <c r="BZ131" i="4"/>
  <c r="DR126" i="4"/>
  <c r="BI937" i="4"/>
  <c r="U132" i="4"/>
  <c r="P132" i="4"/>
  <c r="DY661" i="4"/>
  <c r="DA670" i="4"/>
  <c r="DY670" i="4" s="1"/>
  <c r="DA664" i="4"/>
  <c r="DY664" i="4" s="1"/>
  <c r="BI367" i="4"/>
  <c r="BI369" i="4" s="1"/>
  <c r="BI386" i="4" s="1"/>
  <c r="CZ649" i="4"/>
  <c r="DW649" i="4"/>
  <c r="BQ68" i="4"/>
  <c r="BV68" i="4"/>
  <c r="R68" i="4"/>
  <c r="W68" i="4"/>
  <c r="BA132" i="4"/>
  <c r="DM132" i="4" s="1"/>
  <c r="DL131" i="4"/>
  <c r="CW773" i="4"/>
  <c r="CW717" i="4"/>
  <c r="CW722" i="4" s="1"/>
  <c r="BY943" i="4"/>
  <c r="BZ941" i="4"/>
  <c r="AL127" i="4"/>
  <c r="DJ127" i="4" s="1"/>
  <c r="DI126" i="4"/>
  <c r="AG131" i="4"/>
  <c r="AG132" i="4" s="1"/>
  <c r="DI132" i="4" s="1"/>
  <c r="CR964" i="4"/>
  <c r="CR141" i="4"/>
  <c r="BK127" i="4"/>
  <c r="DO127" i="4" s="1"/>
  <c r="BF131" i="4"/>
  <c r="DN126" i="4"/>
  <c r="BN838" i="4"/>
  <c r="M126" i="4"/>
  <c r="DE123" i="4"/>
  <c r="BB338" i="4"/>
  <c r="BB328" i="4"/>
  <c r="BB348" i="4"/>
  <c r="BB321" i="4"/>
  <c r="K521" i="4"/>
  <c r="K523" i="4" s="1"/>
  <c r="L492" i="4"/>
  <c r="K500" i="4"/>
  <c r="K753" i="4"/>
  <c r="K755" i="4" s="1"/>
  <c r="K941" i="4" s="1"/>
  <c r="K943" i="4" s="1"/>
  <c r="R966" i="4"/>
  <c r="DF966" i="4" s="1"/>
  <c r="DF59" i="4"/>
  <c r="R117" i="4"/>
  <c r="DF112" i="4"/>
  <c r="BK201" i="4"/>
  <c r="DO199" i="4"/>
  <c r="BK216" i="4"/>
  <c r="DO216" i="4" s="1"/>
  <c r="BG934" i="4"/>
  <c r="BG937" i="4" s="1"/>
  <c r="BK930" i="4"/>
  <c r="BG651" i="4"/>
  <c r="BK902" i="4"/>
  <c r="DO902" i="4" s="1"/>
  <c r="BK900" i="4"/>
  <c r="DO900" i="4" s="1"/>
  <c r="CY902" i="4"/>
  <c r="DW902" i="4" s="1"/>
  <c r="CO898" i="4"/>
  <c r="DU898" i="4" s="1"/>
  <c r="CJ894" i="4"/>
  <c r="CY914" i="4"/>
  <c r="DW914" i="4" s="1"/>
  <c r="CO903" i="4"/>
  <c r="DU903" i="4" s="1"/>
  <c r="CE915" i="4"/>
  <c r="DS915" i="4" s="1"/>
  <c r="CE914" i="4"/>
  <c r="DS914" i="4" s="1"/>
  <c r="CT914" i="4"/>
  <c r="DV914" i="4" s="1"/>
  <c r="CO900" i="4"/>
  <c r="DU900" i="4" s="1"/>
  <c r="CT901" i="4"/>
  <c r="DV901" i="4" s="1"/>
  <c r="CE894" i="4"/>
  <c r="DS894" i="4" s="1"/>
  <c r="CQ133" i="4"/>
  <c r="CV132" i="4"/>
  <c r="CQ132" i="4"/>
  <c r="DR206" i="4"/>
  <c r="CE206" i="4"/>
  <c r="BH327" i="4"/>
  <c r="BH321" i="4" s="1"/>
  <c r="BF328" i="4"/>
  <c r="DN328" i="4" s="1"/>
  <c r="DN327" i="4"/>
  <c r="BF338" i="4"/>
  <c r="DN338" i="4" s="1"/>
  <c r="BF348" i="4"/>
  <c r="DN348" i="4" s="1"/>
  <c r="CV722" i="4"/>
  <c r="BJ934" i="4"/>
  <c r="BJ937" i="4" s="1"/>
  <c r="BJ651" i="4"/>
  <c r="CR131" i="4"/>
  <c r="CW127" i="4"/>
  <c r="CR127" i="4"/>
  <c r="BK913" i="4"/>
  <c r="DO913" i="4" s="1"/>
  <c r="BK894" i="4"/>
  <c r="DO894" i="4" s="1"/>
  <c r="CT898" i="4"/>
  <c r="DV898" i="4" s="1"/>
  <c r="CW932" i="4"/>
  <c r="CX682" i="4"/>
  <c r="AJ146" i="4"/>
  <c r="AJ145" i="4"/>
  <c r="AJ150" i="4" s="1"/>
  <c r="AJ151" i="4"/>
  <c r="CO131" i="4"/>
  <c r="DU126" i="4"/>
  <c r="BH369" i="4"/>
  <c r="BH386" i="4" s="1"/>
  <c r="V132" i="4"/>
  <c r="Q132" i="4"/>
  <c r="AK146" i="4"/>
  <c r="AK145" i="4"/>
  <c r="AK150" i="4" s="1"/>
  <c r="AK151" i="4"/>
  <c r="DR203" i="4"/>
  <c r="CE203" i="4"/>
  <c r="BA322" i="4"/>
  <c r="DM322" i="4" s="1"/>
  <c r="DM326" i="4"/>
  <c r="AV489" i="4"/>
  <c r="DL489" i="4" s="1"/>
  <c r="DL486" i="4"/>
  <c r="BO871" i="4"/>
  <c r="BO797" i="4" s="1"/>
  <c r="BP863" i="4"/>
  <c r="CR67" i="4"/>
  <c r="CR61" i="4"/>
  <c r="AH522" i="4"/>
  <c r="AL504" i="4"/>
  <c r="BF895" i="4"/>
  <c r="BB917" i="4"/>
  <c r="BB927" i="4" s="1"/>
  <c r="BH837" i="4"/>
  <c r="BG860" i="4"/>
  <c r="BG796" i="4" s="1"/>
  <c r="BG798" i="4" s="1"/>
  <c r="BG895" i="4"/>
  <c r="DY795" i="4"/>
  <c r="AK626" i="4"/>
  <c r="AP626" i="4"/>
  <c r="DA913" i="4"/>
  <c r="DY913" i="4" s="1"/>
  <c r="DA774" i="4"/>
  <c r="DY774" i="4" s="1"/>
  <c r="DX774" i="4"/>
  <c r="AQ127" i="4"/>
  <c r="DK127" i="4" s="1"/>
  <c r="AL131" i="4"/>
  <c r="DJ126" i="4"/>
  <c r="CR129" i="4"/>
  <c r="BF322" i="4"/>
  <c r="DN322" i="4" s="1"/>
  <c r="DN326" i="4"/>
  <c r="J747" i="4"/>
  <c r="J751" i="4" s="1"/>
  <c r="J765" i="4" s="1"/>
  <c r="J788" i="4" s="1"/>
  <c r="J499" i="4"/>
  <c r="CY913" i="4"/>
  <c r="DW913" i="4" s="1"/>
  <c r="BK903" i="4"/>
  <c r="DO903" i="4" s="1"/>
  <c r="BK901" i="4"/>
  <c r="DO901" i="4" s="1"/>
  <c r="BK931" i="4"/>
  <c r="DO931" i="4" s="1"/>
  <c r="BK746" i="4"/>
  <c r="CY900" i="4"/>
  <c r="DW900" i="4" s="1"/>
  <c r="CT913" i="4"/>
  <c r="DV913" i="4" s="1"/>
  <c r="CY901" i="4"/>
  <c r="DW901" i="4" s="1"/>
  <c r="CJ900" i="4"/>
  <c r="DT900" i="4" s="1"/>
  <c r="CO914" i="4"/>
  <c r="DU914" i="4" s="1"/>
  <c r="CY894" i="4"/>
  <c r="CE902" i="4"/>
  <c r="DS902" i="4" s="1"/>
  <c r="CJ913" i="4"/>
  <c r="DT913" i="4" s="1"/>
  <c r="CT894" i="4"/>
  <c r="CO894" i="4"/>
  <c r="CE913" i="4"/>
  <c r="DS913" i="4" s="1"/>
  <c r="BQ130" i="4"/>
  <c r="BV129" i="4"/>
  <c r="BQ129" i="4"/>
  <c r="DT806" i="4"/>
  <c r="BF127" i="4"/>
  <c r="DN127" i="4" s="1"/>
  <c r="DM126" i="4"/>
  <c r="BA131" i="4"/>
  <c r="BG327" i="4"/>
  <c r="AS788" i="4"/>
  <c r="AS148" i="4"/>
  <c r="DT126" i="4"/>
  <c r="CJ131" i="4"/>
  <c r="CO127" i="4"/>
  <c r="DU127" i="4" s="1"/>
  <c r="CX773" i="4"/>
  <c r="CX717" i="4"/>
  <c r="CX722" i="4" s="1"/>
  <c r="CR105" i="4"/>
  <c r="AL506" i="4"/>
  <c r="DJ503" i="4"/>
  <c r="CW753" i="4"/>
  <c r="CV755" i="4"/>
  <c r="BG917" i="4"/>
  <c r="BG927" i="4" s="1"/>
  <c r="BK893" i="4"/>
  <c r="DX894" i="4"/>
  <c r="CE361" i="4"/>
  <c r="CD354" i="4"/>
  <c r="CZ870" i="4"/>
  <c r="CY871" i="4"/>
  <c r="AS146" i="4"/>
  <c r="AS145" i="4"/>
  <c r="AS150" i="4" s="1"/>
  <c r="AS151" i="4"/>
  <c r="BZ284" i="4"/>
  <c r="DR284" i="4" s="1"/>
  <c r="DR282" i="4"/>
  <c r="BZ289" i="4"/>
  <c r="BH317" i="4"/>
  <c r="DJ140" i="4"/>
  <c r="AL146" i="4"/>
  <c r="AL145" i="4"/>
  <c r="AL151" i="4"/>
  <c r="DJ151" i="4" s="1"/>
  <c r="BA348" i="4"/>
  <c r="DM348" i="4" s="1"/>
  <c r="DM327" i="4"/>
  <c r="BA338" i="4"/>
  <c r="DM338" i="4" s="1"/>
  <c r="CZ49" i="4"/>
  <c r="DW49" i="4"/>
  <c r="BZ283" i="4"/>
  <c r="DR283" i="4" s="1"/>
  <c r="DY707" i="4"/>
  <c r="DA714" i="4"/>
  <c r="DY714" i="4" s="1"/>
  <c r="DN860" i="4"/>
  <c r="BF796" i="4"/>
  <c r="BQ61" i="4"/>
  <c r="BV61" i="4"/>
  <c r="BK131" i="4"/>
  <c r="DO126" i="4"/>
  <c r="BP127" i="4"/>
  <c r="DP127" i="4" s="1"/>
  <c r="BI325" i="4"/>
  <c r="BD348" i="4"/>
  <c r="BD338" i="4"/>
  <c r="BD328" i="4"/>
  <c r="BD321" i="4"/>
  <c r="AQ131" i="4"/>
  <c r="DK126" i="4"/>
  <c r="AV127" i="4"/>
  <c r="DL127" i="4" s="1"/>
  <c r="CZ913" i="4"/>
  <c r="DX913" i="4" s="1"/>
  <c r="M130" i="4"/>
  <c r="DE130" i="4" s="1"/>
  <c r="DE128" i="4"/>
  <c r="BH934" i="4"/>
  <c r="BH937" i="4" s="1"/>
  <c r="BH651" i="4"/>
  <c r="BK915" i="4"/>
  <c r="DO915" i="4" s="1"/>
  <c r="BK899" i="4"/>
  <c r="DO899" i="4" s="1"/>
  <c r="BK914" i="4"/>
  <c r="DO914" i="4" s="1"/>
  <c r="BK898" i="4"/>
  <c r="DO898" i="4" s="1"/>
  <c r="CY899" i="4"/>
  <c r="DW899" i="4" s="1"/>
  <c r="CY898" i="4"/>
  <c r="DW898" i="4" s="1"/>
  <c r="CJ904" i="4"/>
  <c r="DT904" i="4" s="1"/>
  <c r="CJ898" i="4"/>
  <c r="DT898" i="4" s="1"/>
  <c r="CT900" i="4"/>
  <c r="DV900" i="4" s="1"/>
  <c r="CO899" i="4"/>
  <c r="DU899" i="4" s="1"/>
  <c r="CE901" i="4"/>
  <c r="DS901" i="4" s="1"/>
  <c r="CE903" i="4"/>
  <c r="DS903" i="4" s="1"/>
  <c r="CT902" i="4"/>
  <c r="DV902" i="4" s="1"/>
  <c r="CE898" i="4"/>
  <c r="DS898" i="4" s="1"/>
  <c r="BQ131" i="4"/>
  <c r="BV127" i="4"/>
  <c r="DT773" i="4"/>
  <c r="CJ786" i="4"/>
  <c r="DT786" i="4" s="1"/>
  <c r="BA368" i="4"/>
  <c r="AY369" i="4"/>
  <c r="DP126" i="4"/>
  <c r="BP131" i="4"/>
  <c r="BU127" i="4"/>
  <c r="DQ127" i="4" s="1"/>
  <c r="AT933" i="4"/>
  <c r="AU760" i="4"/>
  <c r="AT765" i="4"/>
  <c r="BH318" i="4"/>
  <c r="BT133" i="4"/>
  <c r="BA516" i="51" l="1"/>
  <c r="BC465" i="51"/>
  <c r="BC463" i="51"/>
  <c r="BA513" i="51"/>
  <c r="BA402" i="51"/>
  <c r="BA514" i="51"/>
  <c r="BC462" i="51"/>
  <c r="AR149" i="4"/>
  <c r="BC468" i="51"/>
  <c r="BD442" i="51"/>
  <c r="BD463" i="51" s="1"/>
  <c r="BA541" i="51"/>
  <c r="BH363" i="4" s="1"/>
  <c r="BA54" i="51"/>
  <c r="BD401" i="51"/>
  <c r="BD372" i="51"/>
  <c r="BD366" i="51"/>
  <c r="BD399" i="51"/>
  <c r="BD398" i="51"/>
  <c r="BD400" i="51"/>
  <c r="BC454" i="51"/>
  <c r="BC456" i="51"/>
  <c r="BC457" i="51" s="1"/>
  <c r="BD381" i="51"/>
  <c r="BD378" i="51"/>
  <c r="BD380" i="51"/>
  <c r="BE4" i="51"/>
  <c r="BC506" i="51"/>
  <c r="BC513" i="51" s="1"/>
  <c r="BB107" i="51"/>
  <c r="BB108" i="51" s="1"/>
  <c r="BB530" i="51"/>
  <c r="BB507" i="51"/>
  <c r="BB518" i="51"/>
  <c r="BA518" i="51"/>
  <c r="BA530" i="51"/>
  <c r="BA507" i="51"/>
  <c r="BA107" i="51"/>
  <c r="BA108" i="51" s="1"/>
  <c r="BB515" i="51"/>
  <c r="BB516" i="51"/>
  <c r="BA536" i="51"/>
  <c r="BA52" i="51" s="1"/>
  <c r="BH300" i="4" s="1"/>
  <c r="GT367" i="9"/>
  <c r="BB512" i="51"/>
  <c r="BC398" i="51"/>
  <c r="BD452" i="51"/>
  <c r="BB511" i="51"/>
  <c r="BC400" i="51"/>
  <c r="BA510" i="51"/>
  <c r="BC460" i="51"/>
  <c r="BC541" i="51" s="1"/>
  <c r="BC54" i="51" s="1"/>
  <c r="BC480" i="51"/>
  <c r="BC444" i="51"/>
  <c r="BC543" i="51" s="1"/>
  <c r="CT233" i="9"/>
  <c r="CT235" i="9" s="1"/>
  <c r="BD379" i="51"/>
  <c r="BD395" i="51"/>
  <c r="BD354" i="51"/>
  <c r="BD538" i="51" s="1"/>
  <c r="BF5" i="50"/>
  <c r="BF6" i="50" s="1"/>
  <c r="BF3" i="51"/>
  <c r="BF4" i="51" s="1"/>
  <c r="BD377" i="51"/>
  <c r="BB514" i="51"/>
  <c r="BC399" i="51"/>
  <c r="BC366" i="51"/>
  <c r="BC372" i="51"/>
  <c r="BD375" i="51"/>
  <c r="BB541" i="51"/>
  <c r="BB54" i="51" s="1"/>
  <c r="BD487" i="51"/>
  <c r="BB536" i="51"/>
  <c r="BB52" i="51" s="1"/>
  <c r="BI300" i="4" s="1"/>
  <c r="BD480" i="51"/>
  <c r="BC401" i="51"/>
  <c r="BD464" i="51"/>
  <c r="BB513" i="51"/>
  <c r="BC380" i="51"/>
  <c r="BC536" i="51" s="1"/>
  <c r="BC52" i="51" s="1"/>
  <c r="BJ300" i="4" s="1"/>
  <c r="BC395" i="51"/>
  <c r="BC354" i="51"/>
  <c r="BC538" i="51" s="1"/>
  <c r="BD383" i="51"/>
  <c r="BW33" i="51"/>
  <c r="DA164" i="4"/>
  <c r="DY164" i="4" s="1"/>
  <c r="DY163" i="4"/>
  <c r="BW402" i="51"/>
  <c r="BW49" i="51"/>
  <c r="BW44" i="51"/>
  <c r="BW48" i="51"/>
  <c r="BW46" i="51"/>
  <c r="BY365" i="51"/>
  <c r="BY400" i="51" s="1"/>
  <c r="BZ38" i="51"/>
  <c r="BW241" i="51"/>
  <c r="BW53" i="51" s="1"/>
  <c r="CD301" i="4" s="1"/>
  <c r="CA407" i="51"/>
  <c r="CA450" i="51" s="1"/>
  <c r="BZ23" i="51"/>
  <c r="BZ363" i="51"/>
  <c r="BW47" i="51"/>
  <c r="CB406" i="51"/>
  <c r="CA22" i="51"/>
  <c r="CA362" i="51"/>
  <c r="CB449" i="51"/>
  <c r="BX28" i="51"/>
  <c r="BX32" i="51"/>
  <c r="BX30" i="51"/>
  <c r="CE327" i="4"/>
  <c r="DS326" i="4"/>
  <c r="BZ40" i="51"/>
  <c r="BY37" i="51"/>
  <c r="BY25" i="51"/>
  <c r="BX41" i="51"/>
  <c r="BX45" i="51" s="1"/>
  <c r="CD327" i="4"/>
  <c r="BY452" i="51"/>
  <c r="BZ450" i="51"/>
  <c r="BZ452" i="51" s="1"/>
  <c r="CC348" i="4"/>
  <c r="CC321" i="4"/>
  <c r="CC338" i="4"/>
  <c r="CC328" i="4"/>
  <c r="BX372" i="51"/>
  <c r="BX401" i="51"/>
  <c r="BX399" i="51"/>
  <c r="BX400" i="51"/>
  <c r="CB408" i="51"/>
  <c r="CB451" i="51" s="1"/>
  <c r="CC451" i="51" s="1"/>
  <c r="CA24" i="51"/>
  <c r="CA364" i="51"/>
  <c r="CA405" i="51"/>
  <c r="BZ409" i="51"/>
  <c r="BZ410" i="51" s="1"/>
  <c r="BZ21" i="51"/>
  <c r="BZ361" i="51"/>
  <c r="CA448" i="51"/>
  <c r="CA449" i="51"/>
  <c r="BX29" i="51"/>
  <c r="CD318" i="4"/>
  <c r="BX366" i="51"/>
  <c r="CE318" i="4" s="1"/>
  <c r="DS318" i="4" s="1"/>
  <c r="DS368" i="4"/>
  <c r="CE369" i="4"/>
  <c r="BY31" i="51"/>
  <c r="BY39" i="51"/>
  <c r="DN796" i="4"/>
  <c r="BF798" i="4"/>
  <c r="BF132" i="4"/>
  <c r="DN132" i="4" s="1"/>
  <c r="DM131" i="4"/>
  <c r="AQ132" i="4"/>
  <c r="DK132" i="4" s="1"/>
  <c r="DJ131" i="4"/>
  <c r="CY717" i="4"/>
  <c r="BQ105" i="4"/>
  <c r="BV105" i="4"/>
  <c r="BI317" i="4"/>
  <c r="AS149" i="4"/>
  <c r="BH322" i="4"/>
  <c r="DS203" i="4"/>
  <c r="CE199" i="4"/>
  <c r="AK149" i="4"/>
  <c r="BZ133" i="4"/>
  <c r="DR133" i="4" s="1"/>
  <c r="CE132" i="4"/>
  <c r="DS132" i="4" s="1"/>
  <c r="DR131" i="4"/>
  <c r="CZ860" i="4"/>
  <c r="DX837" i="4"/>
  <c r="DA837" i="4"/>
  <c r="AB132" i="4"/>
  <c r="DH132" i="4" s="1"/>
  <c r="DG131" i="4"/>
  <c r="BL900" i="4"/>
  <c r="BL903" i="4"/>
  <c r="BL901" i="4"/>
  <c r="BL902" i="4"/>
  <c r="BL893" i="4"/>
  <c r="BL899" i="4"/>
  <c r="BL691" i="4"/>
  <c r="BL932" i="4"/>
  <c r="BL898" i="4"/>
  <c r="BL690" i="4"/>
  <c r="BL913" i="4"/>
  <c r="BL894" i="4"/>
  <c r="BL914" i="4"/>
  <c r="BL896" i="4"/>
  <c r="DO893" i="4"/>
  <c r="BG800" i="4"/>
  <c r="BG803" i="4" s="1"/>
  <c r="BG802" i="4"/>
  <c r="BG773" i="4"/>
  <c r="BG786" i="4" s="1"/>
  <c r="BG788" i="4" s="1"/>
  <c r="BK217" i="4"/>
  <c r="DO201" i="4"/>
  <c r="AV132" i="4"/>
  <c r="DL132" i="4" s="1"/>
  <c r="DK131" i="4"/>
  <c r="CD355" i="4"/>
  <c r="CE355" i="4" s="1"/>
  <c r="DS355" i="4" s="1"/>
  <c r="CD356" i="4"/>
  <c r="CE354" i="4"/>
  <c r="BG348" i="4"/>
  <c r="BG338" i="4"/>
  <c r="BG328" i="4"/>
  <c r="BG321" i="4"/>
  <c r="BH860" i="4"/>
  <c r="BH796" i="4" s="1"/>
  <c r="BH798" i="4" s="1"/>
  <c r="BI837" i="4"/>
  <c r="DN895" i="4"/>
  <c r="BF917" i="4"/>
  <c r="DN917" i="4" s="1"/>
  <c r="DT894" i="4"/>
  <c r="BK934" i="4"/>
  <c r="DO934" i="4" s="1"/>
  <c r="I130" i="4"/>
  <c r="T130" i="4"/>
  <c r="U130" i="4"/>
  <c r="V130" i="4"/>
  <c r="K130" i="4"/>
  <c r="N130" i="4"/>
  <c r="AE130" i="4"/>
  <c r="X130" i="4"/>
  <c r="AA130" i="4"/>
  <c r="Y130" i="4"/>
  <c r="AF130" i="4"/>
  <c r="Z130" i="4"/>
  <c r="AD130" i="4"/>
  <c r="J130" i="4"/>
  <c r="AI130" i="4"/>
  <c r="AY130" i="4"/>
  <c r="CG130" i="4"/>
  <c r="CI130" i="4"/>
  <c r="BC130" i="4"/>
  <c r="S130" i="4"/>
  <c r="CH130" i="4"/>
  <c r="AS130" i="4"/>
  <c r="AP130" i="4"/>
  <c r="AO130" i="4"/>
  <c r="BD130" i="4"/>
  <c r="CM130" i="4"/>
  <c r="CI133" i="4"/>
  <c r="AZ130" i="4"/>
  <c r="BE130" i="4"/>
  <c r="AN130" i="4"/>
  <c r="CL130" i="4"/>
  <c r="AC130" i="4"/>
  <c r="CB130" i="4"/>
  <c r="BY130" i="4"/>
  <c r="AK130" i="4"/>
  <c r="BX130" i="4"/>
  <c r="CC130" i="4"/>
  <c r="AU130" i="4"/>
  <c r="AR130" i="4"/>
  <c r="AX130" i="4"/>
  <c r="L130" i="4"/>
  <c r="CD130" i="4"/>
  <c r="AJ130" i="4"/>
  <c r="AT130" i="4"/>
  <c r="BB130" i="4"/>
  <c r="BN130" i="4"/>
  <c r="CD133" i="4"/>
  <c r="AM130" i="4"/>
  <c r="CL133" i="4"/>
  <c r="BM130" i="4"/>
  <c r="CC133" i="4"/>
  <c r="CG133" i="4"/>
  <c r="CA130" i="4"/>
  <c r="CH133" i="4"/>
  <c r="CM133" i="4"/>
  <c r="CK130" i="4"/>
  <c r="BY133" i="4"/>
  <c r="BJ130" i="4"/>
  <c r="AW130" i="4"/>
  <c r="CB133" i="4"/>
  <c r="AH130" i="4"/>
  <c r="BV130" i="4"/>
  <c r="O130" i="4"/>
  <c r="BX133" i="4"/>
  <c r="CF130" i="4"/>
  <c r="BI130" i="4"/>
  <c r="BH130" i="4"/>
  <c r="BW130" i="4"/>
  <c r="BO130" i="4"/>
  <c r="BL130" i="4"/>
  <c r="AV130" i="4"/>
  <c r="DL130" i="4" s="1"/>
  <c r="CK133" i="4"/>
  <c r="CA133" i="4"/>
  <c r="BW133" i="4"/>
  <c r="AB130" i="4"/>
  <c r="DH130" i="4" s="1"/>
  <c r="BV133" i="4"/>
  <c r="CP130" i="4"/>
  <c r="CF133" i="4"/>
  <c r="CN130" i="4"/>
  <c r="BG130" i="4"/>
  <c r="CJ130" i="4"/>
  <c r="DT130" i="4" s="1"/>
  <c r="BK130" i="4"/>
  <c r="DO130" i="4" s="1"/>
  <c r="BA130" i="4"/>
  <c r="DM130" i="4" s="1"/>
  <c r="AL130" i="4"/>
  <c r="DJ130" i="4" s="1"/>
  <c r="BF130" i="4"/>
  <c r="DN130" i="4" s="1"/>
  <c r="AQ130" i="4"/>
  <c r="DK130" i="4" s="1"/>
  <c r="BT130" i="4"/>
  <c r="CE130" i="4"/>
  <c r="DS130" i="4" s="1"/>
  <c r="CN133" i="4"/>
  <c r="AG130" i="4"/>
  <c r="DI130" i="4" s="1"/>
  <c r="CO130" i="4"/>
  <c r="DU130" i="4" s="1"/>
  <c r="BP130" i="4"/>
  <c r="DP130" i="4" s="1"/>
  <c r="BZ130" i="4"/>
  <c r="DR130" i="4" s="1"/>
  <c r="CQ130" i="4"/>
  <c r="W130" i="4"/>
  <c r="DG130" i="4" s="1"/>
  <c r="Q130" i="4"/>
  <c r="P130" i="4"/>
  <c r="CP133" i="4"/>
  <c r="AT788" i="4"/>
  <c r="AT148" i="4"/>
  <c r="DM368" i="4"/>
  <c r="BA369" i="4"/>
  <c r="DM369" i="4" s="1"/>
  <c r="DX49" i="4"/>
  <c r="DA49" i="4"/>
  <c r="DY49" i="4" s="1"/>
  <c r="DW871" i="4"/>
  <c r="CY797" i="4"/>
  <c r="DW797" i="4" s="1"/>
  <c r="CF361" i="4"/>
  <c r="DS361" i="4"/>
  <c r="BJ368" i="4"/>
  <c r="BK368" i="4" s="1"/>
  <c r="DO368" i="4" s="1"/>
  <c r="AQ503" i="4"/>
  <c r="AM503" i="4"/>
  <c r="AM504" i="4" s="1"/>
  <c r="DJ506" i="4"/>
  <c r="DV894" i="4"/>
  <c r="DO746" i="4"/>
  <c r="BK751" i="4"/>
  <c r="CR130" i="4"/>
  <c r="BH895" i="4"/>
  <c r="DJ504" i="4"/>
  <c r="AL511" i="4"/>
  <c r="DJ511" i="4" s="1"/>
  <c r="CR68" i="4"/>
  <c r="BJ326" i="4"/>
  <c r="BJ318" i="4"/>
  <c r="CO133" i="4"/>
  <c r="DU133" i="4" s="1"/>
  <c r="DU131" i="4"/>
  <c r="AJ149" i="4"/>
  <c r="DF117" i="4"/>
  <c r="R123" i="4"/>
  <c r="R128" i="4"/>
  <c r="K747" i="4"/>
  <c r="K751" i="4" s="1"/>
  <c r="K765" i="4" s="1"/>
  <c r="K788" i="4" s="1"/>
  <c r="K499" i="4"/>
  <c r="M131" i="4"/>
  <c r="DE126" i="4"/>
  <c r="BK132" i="4"/>
  <c r="DO132" i="4" s="1"/>
  <c r="DN131" i="4"/>
  <c r="BZ943" i="4"/>
  <c r="DR943" i="4" s="1"/>
  <c r="DR941" i="4"/>
  <c r="CA941" i="4"/>
  <c r="BJ367" i="4"/>
  <c r="BJ839" i="4"/>
  <c r="BK839" i="4" s="1"/>
  <c r="BF483" i="4"/>
  <c r="DN483" i="4" s="1"/>
  <c r="DN482" i="4"/>
  <c r="BF486" i="4"/>
  <c r="BK483" i="4"/>
  <c r="DO483" i="4" s="1"/>
  <c r="BM404" i="4"/>
  <c r="BM4" i="4"/>
  <c r="GU367" i="9" s="1"/>
  <c r="BN3" i="4"/>
  <c r="AT934" i="4"/>
  <c r="AL149" i="4"/>
  <c r="DJ149" i="4" s="1"/>
  <c r="DJ146" i="4"/>
  <c r="CA289" i="4"/>
  <c r="DR289" i="4"/>
  <c r="DW894" i="4"/>
  <c r="CR133" i="4"/>
  <c r="CW132" i="4"/>
  <c r="CR132" i="4"/>
  <c r="BH348" i="4"/>
  <c r="BH338" i="4"/>
  <c r="BH328" i="4"/>
  <c r="BI326" i="4"/>
  <c r="AU933" i="4"/>
  <c r="AU934" i="4" s="1"/>
  <c r="AV760" i="4"/>
  <c r="AU765" i="4"/>
  <c r="BU132" i="4"/>
  <c r="DQ132" i="4" s="1"/>
  <c r="DP131" i="4"/>
  <c r="BQ133" i="4"/>
  <c r="BV132" i="4"/>
  <c r="BI327" i="4"/>
  <c r="BI321" i="4" s="1"/>
  <c r="BP132" i="4"/>
  <c r="DP132" i="4" s="1"/>
  <c r="DO131" i="4"/>
  <c r="DJ145" i="4"/>
  <c r="AL150" i="4"/>
  <c r="DJ150" i="4" s="1"/>
  <c r="DA870" i="4"/>
  <c r="DA871" i="4" s="1"/>
  <c r="CZ871" i="4"/>
  <c r="CX753" i="4"/>
  <c r="CW755" i="4"/>
  <c r="CJ133" i="4"/>
  <c r="DT133" i="4" s="1"/>
  <c r="CO132" i="4"/>
  <c r="DU132" i="4" s="1"/>
  <c r="DT131" i="4"/>
  <c r="AT140" i="4"/>
  <c r="BG322" i="4"/>
  <c r="DU894" i="4"/>
  <c r="AL522" i="4"/>
  <c r="DJ522" i="4" s="1"/>
  <c r="AH523" i="4"/>
  <c r="AL523" i="4" s="1"/>
  <c r="DJ523" i="4" s="1"/>
  <c r="BQ863" i="4"/>
  <c r="DP863" i="4"/>
  <c r="BP871" i="4"/>
  <c r="BJ325" i="4"/>
  <c r="BK325" i="4" s="1"/>
  <c r="CX932" i="4"/>
  <c r="CY932" i="4" s="1"/>
  <c r="DW932" i="4" s="1"/>
  <c r="CY682" i="4"/>
  <c r="DS206" i="4"/>
  <c r="CE200" i="4"/>
  <c r="DS200" i="4" s="1"/>
  <c r="DO930" i="4"/>
  <c r="BK937" i="4"/>
  <c r="DO937" i="4" s="1"/>
  <c r="BK651" i="4"/>
  <c r="DO651" i="4" s="1"/>
  <c r="L495" i="4"/>
  <c r="M495" i="4" s="1"/>
  <c r="L521" i="4"/>
  <c r="L523" i="4" s="1"/>
  <c r="M523" i="4" s="1"/>
  <c r="DE523" i="4" s="1"/>
  <c r="BO838" i="4"/>
  <c r="BP838" i="4" s="1"/>
  <c r="AL132" i="4"/>
  <c r="DJ132" i="4" s="1"/>
  <c r="DI131" i="4"/>
  <c r="DA649" i="4"/>
  <c r="CZ647" i="4"/>
  <c r="DX647" i="4" s="1"/>
  <c r="DX649" i="4"/>
  <c r="BI364" i="4"/>
  <c r="DW860" i="4"/>
  <c r="CY796" i="4"/>
  <c r="CE133" i="4"/>
  <c r="DS133" i="4" s="1"/>
  <c r="CJ132" i="4"/>
  <c r="DT132" i="4" s="1"/>
  <c r="DS131" i="4"/>
  <c r="BI897" i="4"/>
  <c r="DL368" i="4"/>
  <c r="AV369" i="4"/>
  <c r="DL369" i="4" s="1"/>
  <c r="DQ201" i="4"/>
  <c r="BU217" i="4"/>
  <c r="BI318" i="4"/>
  <c r="BD444" i="51" l="1"/>
  <c r="BD543" i="51" s="1"/>
  <c r="BC515" i="51"/>
  <c r="BC510" i="51"/>
  <c r="BD468" i="51"/>
  <c r="BC516" i="51"/>
  <c r="BD465" i="51"/>
  <c r="BD460" i="51"/>
  <c r="BD506" i="51"/>
  <c r="BD461" i="51"/>
  <c r="CC449" i="51"/>
  <c r="BC512" i="51"/>
  <c r="BD515" i="51"/>
  <c r="BC518" i="51"/>
  <c r="BC511" i="51"/>
  <c r="BB215" i="51"/>
  <c r="BD466" i="51"/>
  <c r="BD462" i="51"/>
  <c r="BD510" i="51"/>
  <c r="BD511" i="51"/>
  <c r="BD402" i="51"/>
  <c r="BF37" i="51"/>
  <c r="BF335" i="51"/>
  <c r="BF428" i="51"/>
  <c r="BF341" i="51"/>
  <c r="BF422" i="51"/>
  <c r="BF423" i="51"/>
  <c r="BF426" i="51"/>
  <c r="BF427" i="51"/>
  <c r="BF339" i="51"/>
  <c r="BF333" i="51"/>
  <c r="BF334" i="51"/>
  <c r="BF425" i="51"/>
  <c r="BF337" i="51"/>
  <c r="BF338" i="51"/>
  <c r="BF424" i="51"/>
  <c r="BF336" i="51"/>
  <c r="BF430" i="51"/>
  <c r="BF362" i="51"/>
  <c r="BF38" i="51"/>
  <c r="BF364" i="51"/>
  <c r="BF40" i="51"/>
  <c r="BF361" i="51"/>
  <c r="BF363" i="51"/>
  <c r="BF448" i="51"/>
  <c r="BF449" i="51"/>
  <c r="BF451" i="51"/>
  <c r="BF450" i="51"/>
  <c r="BF39" i="51"/>
  <c r="BG5" i="50"/>
  <c r="BG6" i="50" s="1"/>
  <c r="BG3" i="51"/>
  <c r="BG4" i="51" s="1"/>
  <c r="BC402" i="51"/>
  <c r="BB109" i="51"/>
  <c r="BB165" i="51"/>
  <c r="BD541" i="51"/>
  <c r="BD54" i="51" s="1"/>
  <c r="BD512" i="51"/>
  <c r="BD530" i="51"/>
  <c r="BD507" i="51"/>
  <c r="BD107" i="51"/>
  <c r="BC507" i="51"/>
  <c r="BC530" i="51"/>
  <c r="BC107" i="51"/>
  <c r="BC108" i="51" s="1"/>
  <c r="BA165" i="51"/>
  <c r="BA109" i="51"/>
  <c r="BA215" i="51"/>
  <c r="BC514" i="51"/>
  <c r="BC109" i="51" s="1"/>
  <c r="BE37" i="51"/>
  <c r="BE336" i="51"/>
  <c r="BE341" i="51"/>
  <c r="BE423" i="51"/>
  <c r="BE424" i="51"/>
  <c r="BE428" i="51"/>
  <c r="BE451" i="51"/>
  <c r="BE448" i="51"/>
  <c r="BE334" i="51"/>
  <c r="BE335" i="51"/>
  <c r="BE427" i="51"/>
  <c r="BE339" i="51"/>
  <c r="BE364" i="51"/>
  <c r="BE430" i="51"/>
  <c r="BE337" i="51"/>
  <c r="BE338" i="51"/>
  <c r="BE39" i="51"/>
  <c r="BE449" i="51"/>
  <c r="BE38" i="51"/>
  <c r="BE333" i="51"/>
  <c r="BE40" i="51"/>
  <c r="BE363" i="51"/>
  <c r="BE362" i="51"/>
  <c r="BE426" i="51"/>
  <c r="BE450" i="51"/>
  <c r="BE425" i="51"/>
  <c r="BE361" i="51"/>
  <c r="BE422" i="51"/>
  <c r="BD518" i="51"/>
  <c r="BI895" i="4"/>
  <c r="BI917" i="4" s="1"/>
  <c r="BI927" i="4" s="1"/>
  <c r="BD536" i="51"/>
  <c r="BD52" i="51" s="1"/>
  <c r="CU233" i="9"/>
  <c r="CU235" i="9" s="1"/>
  <c r="BD454" i="51"/>
  <c r="BD456" i="51"/>
  <c r="BD457" i="51" s="1"/>
  <c r="BD516" i="51"/>
  <c r="BX402" i="51"/>
  <c r="BZ454" i="51"/>
  <c r="BZ456" i="51"/>
  <c r="BZ457" i="51" s="1"/>
  <c r="CG368" i="4"/>
  <c r="CG369" i="4" s="1"/>
  <c r="CG386" i="4" s="1"/>
  <c r="BZ365" i="51"/>
  <c r="BZ398" i="51" s="1"/>
  <c r="CD321" i="4"/>
  <c r="CD328" i="4"/>
  <c r="CD348" i="4"/>
  <c r="CD338" i="4"/>
  <c r="BY28" i="51"/>
  <c r="BY32" i="51"/>
  <c r="BY30" i="51"/>
  <c r="CE348" i="4"/>
  <c r="DS348" i="4" s="1"/>
  <c r="CE321" i="4"/>
  <c r="DS321" i="4" s="1"/>
  <c r="DS327" i="4"/>
  <c r="CE338" i="4"/>
  <c r="DS338" i="4" s="1"/>
  <c r="CE328" i="4"/>
  <c r="DS328" i="4" s="1"/>
  <c r="BX33" i="51"/>
  <c r="CA38" i="51"/>
  <c r="BZ39" i="51"/>
  <c r="BY372" i="51"/>
  <c r="BY366" i="51"/>
  <c r="CF326" i="4"/>
  <c r="BY399" i="51"/>
  <c r="BY401" i="51"/>
  <c r="DS369" i="4"/>
  <c r="CE386" i="4"/>
  <c r="DS386" i="4" s="1"/>
  <c r="BZ37" i="51"/>
  <c r="BZ25" i="51"/>
  <c r="BX49" i="51"/>
  <c r="BX44" i="51"/>
  <c r="BX46" i="51"/>
  <c r="BX48" i="51"/>
  <c r="BY29" i="51"/>
  <c r="BX47" i="51"/>
  <c r="CC406" i="51"/>
  <c r="CB22" i="51"/>
  <c r="CB362" i="51"/>
  <c r="CB407" i="51"/>
  <c r="CA23" i="51"/>
  <c r="CA363" i="51"/>
  <c r="BY398" i="51"/>
  <c r="CA40" i="51"/>
  <c r="BY454" i="51"/>
  <c r="BY456" i="51"/>
  <c r="BY457" i="51" s="1"/>
  <c r="CF368" i="4"/>
  <c r="BY41" i="51"/>
  <c r="CE322" i="4"/>
  <c r="DS322" i="4" s="1"/>
  <c r="CA452" i="51"/>
  <c r="CB405" i="51"/>
  <c r="CA409" i="51"/>
  <c r="CA410" i="51" s="1"/>
  <c r="CA21" i="51"/>
  <c r="CA361" i="51"/>
  <c r="CB448" i="51"/>
  <c r="CC448" i="51" s="1"/>
  <c r="CC408" i="51"/>
  <c r="CB24" i="51"/>
  <c r="CB364" i="51"/>
  <c r="CC364" i="51" s="1"/>
  <c r="CD322" i="4"/>
  <c r="BJ363" i="4"/>
  <c r="DW796" i="4"/>
  <c r="CY798" i="4"/>
  <c r="DP838" i="4"/>
  <c r="BQ838" i="4"/>
  <c r="BJ327" i="4"/>
  <c r="BJ321" i="4" s="1"/>
  <c r="AT146" i="4"/>
  <c r="AT145" i="4"/>
  <c r="AT150" i="4" s="1"/>
  <c r="AT151" i="4"/>
  <c r="DX871" i="4"/>
  <c r="CZ797" i="4"/>
  <c r="DX797" i="4" s="1"/>
  <c r="BI322" i="4"/>
  <c r="BK326" i="4"/>
  <c r="BK327" i="4" s="1"/>
  <c r="BK321" i="4" s="1"/>
  <c r="DO321" i="4" s="1"/>
  <c r="AV933" i="4"/>
  <c r="BM901" i="4"/>
  <c r="BM902" i="4"/>
  <c r="BM903" i="4"/>
  <c r="BM900" i="4"/>
  <c r="BM894" i="4"/>
  <c r="BM899" i="4"/>
  <c r="BM932" i="4"/>
  <c r="BM691" i="4"/>
  <c r="BM898" i="4"/>
  <c r="BM690" i="4"/>
  <c r="BM913" i="4"/>
  <c r="BM914" i="4"/>
  <c r="BM896" i="4"/>
  <c r="BF489" i="4"/>
  <c r="DN489" i="4" s="1"/>
  <c r="DN486" i="4"/>
  <c r="DO839" i="4"/>
  <c r="BL839" i="4"/>
  <c r="BJ364" i="4"/>
  <c r="CA943" i="4"/>
  <c r="CB941" i="4"/>
  <c r="DK503" i="4"/>
  <c r="BF927" i="4"/>
  <c r="DN927" i="4" s="1"/>
  <c r="BI860" i="4"/>
  <c r="BI796" i="4" s="1"/>
  <c r="BI798" i="4" s="1"/>
  <c r="BJ837" i="4"/>
  <c r="DA860" i="4"/>
  <c r="DY837" i="4"/>
  <c r="BF802" i="4"/>
  <c r="DN802" i="4" s="1"/>
  <c r="BF800" i="4"/>
  <c r="DN798" i="4"/>
  <c r="BF773" i="4"/>
  <c r="DA647" i="4"/>
  <c r="DY647" i="4" s="1"/>
  <c r="DY649" i="4"/>
  <c r="DO325" i="4"/>
  <c r="BQ871" i="4"/>
  <c r="BQ797" i="4" s="1"/>
  <c r="BR863" i="4"/>
  <c r="CX755" i="4"/>
  <c r="CY753" i="4"/>
  <c r="DY871" i="4"/>
  <c r="DA797" i="4"/>
  <c r="DY797" i="4" s="1"/>
  <c r="M521" i="4"/>
  <c r="DE521" i="4" s="1"/>
  <c r="AU788" i="4"/>
  <c r="AU148" i="4"/>
  <c r="CB289" i="4"/>
  <c r="CA282" i="4"/>
  <c r="AV934" i="4"/>
  <c r="DL934" i="4" s="1"/>
  <c r="R130" i="4"/>
  <c r="DF130" i="4" s="1"/>
  <c r="DF128" i="4"/>
  <c r="W129" i="4"/>
  <c r="DG129" i="4" s="1"/>
  <c r="R129" i="4"/>
  <c r="DF129" i="4" s="1"/>
  <c r="CG361" i="4"/>
  <c r="CF354" i="4"/>
  <c r="AV140" i="4"/>
  <c r="DO217" i="4"/>
  <c r="BK196" i="4"/>
  <c r="DO196" i="4" s="1"/>
  <c r="DW717" i="4"/>
  <c r="CY722" i="4"/>
  <c r="DW722" i="4" s="1"/>
  <c r="DQ217" i="4"/>
  <c r="BU196" i="4"/>
  <c r="DQ196" i="4" s="1"/>
  <c r="DW682" i="4"/>
  <c r="CZ682" i="4"/>
  <c r="BJ317" i="4"/>
  <c r="BI338" i="4"/>
  <c r="BI328" i="4"/>
  <c r="BI348" i="4"/>
  <c r="AW760" i="4"/>
  <c r="DL760" i="4"/>
  <c r="AV765" i="4"/>
  <c r="BI363" i="4"/>
  <c r="BJ369" i="4"/>
  <c r="BJ386" i="4" s="1"/>
  <c r="BK367" i="4"/>
  <c r="DE131" i="4"/>
  <c r="DF123" i="4"/>
  <c r="R126" i="4"/>
  <c r="BH917" i="4"/>
  <c r="BH927" i="4"/>
  <c r="DO751" i="4"/>
  <c r="BK765" i="4"/>
  <c r="BH802" i="4"/>
  <c r="BH800" i="4"/>
  <c r="BH803" i="4" s="1"/>
  <c r="BH773" i="4"/>
  <c r="BH786" i="4" s="1"/>
  <c r="BH788" i="4" s="1"/>
  <c r="DX860" i="4"/>
  <c r="CZ796" i="4"/>
  <c r="CE201" i="4"/>
  <c r="DS199" i="4"/>
  <c r="CE216" i="4"/>
  <c r="DS216" i="4" s="1"/>
  <c r="DE495" i="4"/>
  <c r="M496" i="4"/>
  <c r="DP871" i="4"/>
  <c r="BP797" i="4"/>
  <c r="DP797" i="4" s="1"/>
  <c r="BN404" i="4"/>
  <c r="BN4" i="4"/>
  <c r="GV367" i="9" s="1"/>
  <c r="BO3" i="4"/>
  <c r="BJ897" i="4"/>
  <c r="BK897" i="4" s="1"/>
  <c r="DO897" i="4" s="1"/>
  <c r="AM522" i="4"/>
  <c r="AQ504" i="4"/>
  <c r="AU140" i="4"/>
  <c r="CE356" i="4"/>
  <c r="DS356" i="4" s="1"/>
  <c r="DS354" i="4"/>
  <c r="DA895" i="4"/>
  <c r="BK318" i="4"/>
  <c r="DO318" i="4" s="1"/>
  <c r="BD513" i="51" l="1"/>
  <c r="BD514" i="51"/>
  <c r="BD109" i="51" s="1"/>
  <c r="BC165" i="51"/>
  <c r="BD165" i="51" s="1"/>
  <c r="BE494" i="51"/>
  <c r="BH5" i="50"/>
  <c r="BH6" i="50" s="1"/>
  <c r="BI6" i="50" s="1"/>
  <c r="BH3" i="51"/>
  <c r="BH4" i="51" s="1"/>
  <c r="BE490" i="51"/>
  <c r="BE492" i="51"/>
  <c r="BE452" i="51"/>
  <c r="BC215" i="51"/>
  <c r="BD215" i="51" s="1"/>
  <c r="BF452" i="51"/>
  <c r="BF489" i="51"/>
  <c r="BF494" i="51"/>
  <c r="BE442" i="51"/>
  <c r="BE468" i="51" s="1"/>
  <c r="BG334" i="51"/>
  <c r="BG338" i="51"/>
  <c r="BG422" i="51"/>
  <c r="BG424" i="51"/>
  <c r="BG425" i="51"/>
  <c r="BG430" i="51"/>
  <c r="BG428" i="51"/>
  <c r="BG333" i="51"/>
  <c r="BG335" i="51"/>
  <c r="BG336" i="51"/>
  <c r="BG341" i="51"/>
  <c r="BG339" i="51"/>
  <c r="BG426" i="51"/>
  <c r="BG423" i="51"/>
  <c r="BG427" i="51"/>
  <c r="BG337" i="51"/>
  <c r="BG40" i="51"/>
  <c r="BG361" i="51"/>
  <c r="BG364" i="51"/>
  <c r="BG451" i="51"/>
  <c r="BG448" i="51"/>
  <c r="BG450" i="51"/>
  <c r="BG362" i="51"/>
  <c r="BG37" i="51"/>
  <c r="BG449" i="51"/>
  <c r="BG363" i="51"/>
  <c r="BG38" i="51"/>
  <c r="BG39" i="51"/>
  <c r="BF365" i="51"/>
  <c r="BF401" i="51" s="1"/>
  <c r="BF487" i="51"/>
  <c r="AT149" i="4"/>
  <c r="BE365" i="51"/>
  <c r="BE401" i="51" s="1"/>
  <c r="BE353" i="51"/>
  <c r="BE486" i="51"/>
  <c r="BI4" i="51"/>
  <c r="BE488" i="51"/>
  <c r="BE489" i="51"/>
  <c r="AV214" i="8"/>
  <c r="AV213" i="8" s="1"/>
  <c r="AW213" i="8" s="1"/>
  <c r="AY215" i="8" s="1"/>
  <c r="CV233" i="9"/>
  <c r="CV235" i="9" s="1"/>
  <c r="BD108" i="51"/>
  <c r="BD36" i="51"/>
  <c r="BD41" i="51" s="1"/>
  <c r="BF398" i="51"/>
  <c r="BF491" i="51"/>
  <c r="BF353" i="51"/>
  <c r="BF486" i="51"/>
  <c r="BF488" i="51"/>
  <c r="BJ895" i="4"/>
  <c r="BK895" i="4" s="1"/>
  <c r="DO895" i="4" s="1"/>
  <c r="BE491" i="51"/>
  <c r="BE487" i="51"/>
  <c r="BF490" i="51"/>
  <c r="BF492" i="51"/>
  <c r="BF442" i="51"/>
  <c r="BF461" i="51" s="1"/>
  <c r="K23" i="68"/>
  <c r="H16" i="43"/>
  <c r="BY402" i="51"/>
  <c r="BZ400" i="51"/>
  <c r="CB40" i="51"/>
  <c r="CC40" i="51" s="1"/>
  <c r="CA37" i="51"/>
  <c r="CA25" i="51"/>
  <c r="CA29" i="51" s="1"/>
  <c r="BY49" i="51"/>
  <c r="BY44" i="51"/>
  <c r="BY48" i="51"/>
  <c r="BY46" i="51"/>
  <c r="CA39" i="51"/>
  <c r="CB38" i="51"/>
  <c r="CF327" i="4"/>
  <c r="BY33" i="51"/>
  <c r="CD408" i="51"/>
  <c r="CC24" i="51"/>
  <c r="BY47" i="51"/>
  <c r="BY45" i="51"/>
  <c r="CC407" i="51"/>
  <c r="CB23" i="51"/>
  <c r="CB363" i="51"/>
  <c r="CD406" i="51"/>
  <c r="CC22" i="51"/>
  <c r="BZ28" i="51"/>
  <c r="BZ30" i="51"/>
  <c r="BZ32" i="51"/>
  <c r="BZ31" i="51"/>
  <c r="CB409" i="51"/>
  <c r="CC405" i="51"/>
  <c r="CB21" i="51"/>
  <c r="CB361" i="51"/>
  <c r="CB450" i="51"/>
  <c r="CC450" i="51" s="1"/>
  <c r="BZ29" i="51"/>
  <c r="CF318" i="4"/>
  <c r="BZ372" i="51"/>
  <c r="BZ366" i="51"/>
  <c r="CG318" i="4" s="1"/>
  <c r="CG326" i="4"/>
  <c r="BZ399" i="51"/>
  <c r="BZ401" i="51"/>
  <c r="CA365" i="51"/>
  <c r="CA456" i="51"/>
  <c r="CA457" i="51" s="1"/>
  <c r="CA454" i="51"/>
  <c r="CH368" i="4"/>
  <c r="CH369" i="4" s="1"/>
  <c r="CH386" i="4" s="1"/>
  <c r="CF369" i="4"/>
  <c r="CF386" i="4" s="1"/>
  <c r="CC363" i="51"/>
  <c r="CC362" i="51"/>
  <c r="BZ41" i="51"/>
  <c r="CC38" i="51"/>
  <c r="BK363" i="4"/>
  <c r="DO363" i="4" s="1"/>
  <c r="AQ511" i="4"/>
  <c r="DK504" i="4"/>
  <c r="BO404" i="4"/>
  <c r="BP3" i="4"/>
  <c r="BO4" i="4"/>
  <c r="GW367" i="9" s="1"/>
  <c r="AV146" i="4"/>
  <c r="DL140" i="4"/>
  <c r="AV145" i="4"/>
  <c r="AV151" i="4"/>
  <c r="DL151" i="4" s="1"/>
  <c r="CA283" i="4"/>
  <c r="CA284" i="4"/>
  <c r="BL326" i="4"/>
  <c r="AU146" i="4"/>
  <c r="AU145" i="4"/>
  <c r="AU150" i="4" s="1"/>
  <c r="AU151" i="4"/>
  <c r="AQ522" i="4"/>
  <c r="DK522" i="4" s="1"/>
  <c r="AM523" i="4"/>
  <c r="AQ523" i="4" s="1"/>
  <c r="DK523" i="4" s="1"/>
  <c r="BN901" i="4"/>
  <c r="BN902" i="4"/>
  <c r="BN903" i="4"/>
  <c r="BN899" i="4"/>
  <c r="BN900" i="4"/>
  <c r="BN894" i="4"/>
  <c r="BN932" i="4"/>
  <c r="BN691" i="4"/>
  <c r="BN690" i="4"/>
  <c r="BN898" i="4"/>
  <c r="BN913" i="4"/>
  <c r="BN914" i="4"/>
  <c r="BN896" i="4"/>
  <c r="CF356" i="4"/>
  <c r="CF355" i="4"/>
  <c r="CC289" i="4"/>
  <c r="CB282" i="4"/>
  <c r="CY755" i="4"/>
  <c r="DW755" i="4" s="1"/>
  <c r="CZ753" i="4"/>
  <c r="DW753" i="4"/>
  <c r="DN773" i="4"/>
  <c r="BF786" i="4"/>
  <c r="BJ860" i="4"/>
  <c r="BJ796" i="4" s="1"/>
  <c r="BJ798" i="4" s="1"/>
  <c r="BK837" i="4"/>
  <c r="CB943" i="4"/>
  <c r="CC941" i="4"/>
  <c r="BM839" i="4"/>
  <c r="BM897" i="4" s="1"/>
  <c r="DL933" i="4"/>
  <c r="AV937" i="4"/>
  <c r="DL937" i="4" s="1"/>
  <c r="BK300" i="4"/>
  <c r="DO300" i="4" s="1"/>
  <c r="DY895" i="4"/>
  <c r="BK917" i="4"/>
  <c r="DO917" i="4" s="1"/>
  <c r="BK364" i="4"/>
  <c r="DO364" i="4" s="1"/>
  <c r="DO765" i="4"/>
  <c r="BL140" i="4"/>
  <c r="BL148" i="4"/>
  <c r="BK148" i="4"/>
  <c r="DO148" i="4" s="1"/>
  <c r="W127" i="4"/>
  <c r="DG127" i="4" s="1"/>
  <c r="R131" i="4"/>
  <c r="DF126" i="4"/>
  <c r="BK369" i="4"/>
  <c r="DO367" i="4"/>
  <c r="AW933" i="4"/>
  <c r="AX760" i="4"/>
  <c r="AW765" i="4"/>
  <c r="CZ932" i="4"/>
  <c r="DX932" i="4" s="1"/>
  <c r="DX682" i="4"/>
  <c r="DA682" i="4"/>
  <c r="CG354" i="4"/>
  <c r="CH361" i="4"/>
  <c r="BK317" i="4"/>
  <c r="DO317" i="4" s="1"/>
  <c r="DO327" i="4"/>
  <c r="BK328" i="4"/>
  <c r="DO328" i="4" s="1"/>
  <c r="BK348" i="4"/>
  <c r="DO348" i="4" s="1"/>
  <c r="BK338" i="4"/>
  <c r="DO338" i="4" s="1"/>
  <c r="BJ917" i="4"/>
  <c r="BJ927" i="4" s="1"/>
  <c r="AQ506" i="4"/>
  <c r="BK322" i="4"/>
  <c r="DO322" i="4" s="1"/>
  <c r="DO326" i="4"/>
  <c r="BJ338" i="4"/>
  <c r="BJ328" i="4"/>
  <c r="BJ348" i="4"/>
  <c r="DW798" i="4"/>
  <c r="CY806" i="4"/>
  <c r="CY773" i="4"/>
  <c r="DW773" i="4" s="1"/>
  <c r="DL765" i="4"/>
  <c r="AV788" i="4"/>
  <c r="DL788" i="4" s="1"/>
  <c r="AV148" i="4"/>
  <c r="DL148" i="4" s="1"/>
  <c r="BU238" i="72" s="1"/>
  <c r="R492" i="4"/>
  <c r="N492" i="4"/>
  <c r="N496" i="4" s="1"/>
  <c r="DE496" i="4"/>
  <c r="DS201" i="4"/>
  <c r="CE217" i="4"/>
  <c r="DS217" i="4" s="1"/>
  <c r="DX796" i="4"/>
  <c r="CZ798" i="4"/>
  <c r="L23" i="68" s="1"/>
  <c r="BL368" i="4"/>
  <c r="BR871" i="4"/>
  <c r="BR797" i="4" s="1"/>
  <c r="BS863" i="4"/>
  <c r="BL325" i="4"/>
  <c r="DN800" i="4"/>
  <c r="BF803" i="4"/>
  <c r="DN803" i="4" s="1"/>
  <c r="DY860" i="4"/>
  <c r="DA796" i="4"/>
  <c r="BI802" i="4"/>
  <c r="BI800" i="4"/>
  <c r="BI803" i="4" s="1"/>
  <c r="BI773" i="4"/>
  <c r="BI786" i="4" s="1"/>
  <c r="BI788" i="4" s="1"/>
  <c r="BJ322" i="4"/>
  <c r="BL897" i="4"/>
  <c r="BR838" i="4"/>
  <c r="BF400" i="51" l="1"/>
  <c r="BG452" i="51"/>
  <c r="BG454" i="51" s="1"/>
  <c r="BE462" i="51"/>
  <c r="BL367" i="4"/>
  <c r="BE465" i="51"/>
  <c r="BF466" i="51"/>
  <c r="BF464" i="51"/>
  <c r="BF395" i="51"/>
  <c r="BF354" i="51"/>
  <c r="BF538" i="51" s="1"/>
  <c r="BE354" i="51"/>
  <c r="BE538" i="51" s="1"/>
  <c r="BE395" i="51"/>
  <c r="BG365" i="51"/>
  <c r="BG400" i="51" s="1"/>
  <c r="BG489" i="51"/>
  <c r="BG491" i="51"/>
  <c r="BE444" i="51"/>
  <c r="BE543" i="51" s="1"/>
  <c r="BE480" i="51"/>
  <c r="BF378" i="51"/>
  <c r="BF460" i="51"/>
  <c r="BF379" i="51"/>
  <c r="BI681" i="51"/>
  <c r="BE463" i="51"/>
  <c r="BF462" i="51"/>
  <c r="BE464" i="51"/>
  <c r="BE466" i="51"/>
  <c r="BE375" i="51"/>
  <c r="BE400" i="51"/>
  <c r="BE372" i="51"/>
  <c r="BE366" i="51"/>
  <c r="BL318" i="4" s="1"/>
  <c r="BF376" i="51"/>
  <c r="BF372" i="51"/>
  <c r="BF366" i="51"/>
  <c r="BG488" i="51"/>
  <c r="BG487" i="51"/>
  <c r="BF383" i="51"/>
  <c r="BE454" i="51"/>
  <c r="BE456" i="51"/>
  <c r="BE457" i="51" s="1"/>
  <c r="BE379" i="51"/>
  <c r="BE383" i="51"/>
  <c r="BI674" i="51"/>
  <c r="BI13" i="51" s="1"/>
  <c r="BP276" i="4" s="1"/>
  <c r="DP276" i="4" s="1"/>
  <c r="BF465" i="51"/>
  <c r="BF480" i="51"/>
  <c r="BF444" i="51"/>
  <c r="BF543" i="51" s="1"/>
  <c r="BI673" i="51"/>
  <c r="BE376" i="51"/>
  <c r="BF375" i="51"/>
  <c r="BF380" i="51"/>
  <c r="BD44" i="51"/>
  <c r="BD49" i="51"/>
  <c r="BD47" i="51"/>
  <c r="BD48" i="51"/>
  <c r="BD45" i="51"/>
  <c r="BD46" i="51"/>
  <c r="BE378" i="51"/>
  <c r="BI87" i="51"/>
  <c r="BI88" i="51" s="1"/>
  <c r="BI39" i="51"/>
  <c r="BI40" i="51"/>
  <c r="BI38" i="51"/>
  <c r="BI37" i="51"/>
  <c r="BI78" i="51"/>
  <c r="BI79" i="51" s="1"/>
  <c r="BI66" i="51"/>
  <c r="BI67" i="51" s="1"/>
  <c r="BI81" i="51"/>
  <c r="BI82" i="51" s="1"/>
  <c r="BI84" i="51"/>
  <c r="BI85" i="51" s="1"/>
  <c r="BI75" i="51"/>
  <c r="BI76" i="51" s="1"/>
  <c r="BI72" i="51"/>
  <c r="BI73" i="51" s="1"/>
  <c r="BI63" i="51"/>
  <c r="BI64" i="51" s="1"/>
  <c r="BG490" i="51"/>
  <c r="BG492" i="51"/>
  <c r="BG486" i="51"/>
  <c r="BG353" i="51"/>
  <c r="BG380" i="51" s="1"/>
  <c r="BI676" i="51"/>
  <c r="BE460" i="51"/>
  <c r="BE461" i="51"/>
  <c r="BE381" i="51"/>
  <c r="GW368" i="9"/>
  <c r="BP4" i="4"/>
  <c r="BK927" i="4"/>
  <c r="DO927" i="4" s="1"/>
  <c r="BI5" i="50"/>
  <c r="BI3" i="51"/>
  <c r="BF381" i="51"/>
  <c r="BF468" i="51"/>
  <c r="BE380" i="51"/>
  <c r="BE399" i="51"/>
  <c r="BF377" i="51"/>
  <c r="BF506" i="51"/>
  <c r="BF515" i="51" s="1"/>
  <c r="BF399" i="51"/>
  <c r="BF402" i="51" s="1"/>
  <c r="BE377" i="51"/>
  <c r="BE506" i="51"/>
  <c r="BE511" i="51" s="1"/>
  <c r="BE398" i="51"/>
  <c r="CW233" i="9"/>
  <c r="CW235" i="9" s="1"/>
  <c r="BG399" i="51"/>
  <c r="BG401" i="51"/>
  <c r="BG494" i="51"/>
  <c r="BG442" i="51"/>
  <c r="BG461" i="51" s="1"/>
  <c r="BF463" i="51"/>
  <c r="BF456" i="51"/>
  <c r="BF457" i="51" s="1"/>
  <c r="BF454" i="51"/>
  <c r="BH38" i="51"/>
  <c r="BH423" i="51"/>
  <c r="BH424" i="51"/>
  <c r="BH427" i="51"/>
  <c r="BH428" i="51"/>
  <c r="BH40" i="51"/>
  <c r="BH422" i="51"/>
  <c r="BH334" i="51"/>
  <c r="BH335" i="51"/>
  <c r="BH338" i="51"/>
  <c r="BH339" i="51"/>
  <c r="BI339" i="51" s="1"/>
  <c r="BH37" i="51"/>
  <c r="BH333" i="51"/>
  <c r="BH425" i="51"/>
  <c r="BH426" i="51"/>
  <c r="BH430" i="51"/>
  <c r="BI430" i="51" s="1"/>
  <c r="BH39" i="51"/>
  <c r="BH336" i="51"/>
  <c r="BH337" i="51"/>
  <c r="BH341" i="51"/>
  <c r="BI341" i="51" s="1"/>
  <c r="BH448" i="51"/>
  <c r="BH451" i="51"/>
  <c r="BI451" i="51" s="1"/>
  <c r="BH362" i="51"/>
  <c r="BI362" i="51" s="1"/>
  <c r="BH361" i="51"/>
  <c r="BH363" i="51"/>
  <c r="BH364" i="51"/>
  <c r="BH449" i="51"/>
  <c r="BI449" i="51" s="1"/>
  <c r="BH450" i="51"/>
  <c r="BI450" i="51" s="1"/>
  <c r="CA31" i="51"/>
  <c r="BZ402" i="51"/>
  <c r="BZ33" i="51"/>
  <c r="CC409" i="51"/>
  <c r="CB410" i="51"/>
  <c r="CG410" i="51"/>
  <c r="CE406" i="51"/>
  <c r="CD22" i="51"/>
  <c r="CD362" i="51"/>
  <c r="CE449" i="51"/>
  <c r="CE408" i="51"/>
  <c r="CD24" i="51"/>
  <c r="CD364" i="51"/>
  <c r="CE451" i="51"/>
  <c r="CF321" i="4"/>
  <c r="CF338" i="4"/>
  <c r="CF328" i="4"/>
  <c r="CF348" i="4"/>
  <c r="BZ49" i="51"/>
  <c r="BZ44" i="51"/>
  <c r="BZ46" i="51"/>
  <c r="BZ48" i="51"/>
  <c r="CA372" i="51"/>
  <c r="CA366" i="51"/>
  <c r="CH318" i="4" s="1"/>
  <c r="CH326" i="4"/>
  <c r="CA399" i="51"/>
  <c r="CA401" i="51"/>
  <c r="CB365" i="51"/>
  <c r="CB398" i="51" s="1"/>
  <c r="CC361" i="51"/>
  <c r="CB452" i="51"/>
  <c r="BZ45" i="51"/>
  <c r="CA400" i="51"/>
  <c r="CA398" i="51"/>
  <c r="CG327" i="4"/>
  <c r="CB25" i="51"/>
  <c r="CB37" i="51"/>
  <c r="CD449" i="51"/>
  <c r="CB39" i="51"/>
  <c r="CC39" i="51" s="1"/>
  <c r="CB31" i="51"/>
  <c r="CD451" i="51"/>
  <c r="BZ47" i="51"/>
  <c r="CA28" i="51"/>
  <c r="CA30" i="51"/>
  <c r="CA32" i="51"/>
  <c r="CD405" i="51"/>
  <c r="CC21" i="51"/>
  <c r="CD448" i="51"/>
  <c r="CD407" i="51"/>
  <c r="CD450" i="51" s="1"/>
  <c r="CC23" i="51"/>
  <c r="CF322" i="4"/>
  <c r="CA41" i="51"/>
  <c r="CC37" i="51"/>
  <c r="DP790" i="4"/>
  <c r="DY796" i="4"/>
  <c r="DA798" i="4"/>
  <c r="M23" i="68" s="1"/>
  <c r="AW788" i="4"/>
  <c r="AW148" i="4"/>
  <c r="CD941" i="4"/>
  <c r="CC943" i="4"/>
  <c r="CB283" i="4"/>
  <c r="CB284" i="4"/>
  <c r="CI361" i="4"/>
  <c r="CH354" i="4"/>
  <c r="DA932" i="4"/>
  <c r="DY932" i="4" s="1"/>
  <c r="DY682" i="4"/>
  <c r="W132" i="4"/>
  <c r="DG132" i="4" s="1"/>
  <c r="DF131" i="4"/>
  <c r="R132" i="4"/>
  <c r="DF132" i="4" s="1"/>
  <c r="BL146" i="4"/>
  <c r="BL145" i="4"/>
  <c r="BL150" i="4" s="1"/>
  <c r="BL151" i="4"/>
  <c r="BL837" i="4"/>
  <c r="BL895" i="4" s="1"/>
  <c r="BK860" i="4"/>
  <c r="CX233" i="9" s="1"/>
  <c r="DO837" i="4"/>
  <c r="DL145" i="4"/>
  <c r="AV150" i="4"/>
  <c r="DL150" i="4" s="1"/>
  <c r="AR511" i="4"/>
  <c r="AU511" i="4"/>
  <c r="AS511" i="4"/>
  <c r="DK511" i="4"/>
  <c r="AT511" i="4"/>
  <c r="BL317" i="4"/>
  <c r="BM368" i="4"/>
  <c r="CG355" i="4"/>
  <c r="CG356" i="4"/>
  <c r="BJ802" i="4"/>
  <c r="BJ800" i="4"/>
  <c r="BJ803" i="4" s="1"/>
  <c r="BJ773" i="4"/>
  <c r="BJ786" i="4" s="1"/>
  <c r="BJ788" i="4" s="1"/>
  <c r="BM326" i="4"/>
  <c r="BM318" i="4"/>
  <c r="BL327" i="4"/>
  <c r="BL321" i="4" s="1"/>
  <c r="BT863" i="4"/>
  <c r="BS871" i="4"/>
  <c r="BS797" i="4" s="1"/>
  <c r="DP4" i="4"/>
  <c r="CB933" i="4"/>
  <c r="BY931" i="4"/>
  <c r="CD933" i="4"/>
  <c r="CL933" i="4"/>
  <c r="CQ933" i="4"/>
  <c r="CP931" i="4"/>
  <c r="CP933" i="4"/>
  <c r="CB931" i="4"/>
  <c r="CN933" i="4"/>
  <c r="CH933" i="4"/>
  <c r="CC933" i="4"/>
  <c r="CI933" i="4"/>
  <c r="CQ931" i="4"/>
  <c r="CK933" i="4"/>
  <c r="CK931" i="4"/>
  <c r="CN931" i="4"/>
  <c r="CH931" i="4"/>
  <c r="CC931" i="4"/>
  <c r="CI931" i="4"/>
  <c r="CM933" i="4"/>
  <c r="BY933" i="4"/>
  <c r="CD931" i="4"/>
  <c r="CL931" i="4"/>
  <c r="CM931" i="4"/>
  <c r="CS931" i="4"/>
  <c r="CS933" i="4"/>
  <c r="CU931" i="4"/>
  <c r="BP691" i="4"/>
  <c r="DP691" i="4" s="1"/>
  <c r="CV931" i="4"/>
  <c r="BP690" i="4"/>
  <c r="DP690" i="4" s="1"/>
  <c r="CW931" i="4"/>
  <c r="CX931" i="4"/>
  <c r="BP200" i="4"/>
  <c r="DP200" i="4" s="1"/>
  <c r="BP199" i="4"/>
  <c r="BL930" i="4"/>
  <c r="BL931" i="4"/>
  <c r="BL915" i="4"/>
  <c r="BL933" i="4"/>
  <c r="BM893" i="4"/>
  <c r="BM915" i="4"/>
  <c r="BM933" i="4"/>
  <c r="BM930" i="4"/>
  <c r="BM931" i="4"/>
  <c r="N500" i="4"/>
  <c r="O492" i="4"/>
  <c r="O496" i="4" s="1"/>
  <c r="N521" i="4"/>
  <c r="N753" i="4"/>
  <c r="N755" i="4" s="1"/>
  <c r="N941" i="4" s="1"/>
  <c r="N943" i="4" s="1"/>
  <c r="AX933" i="4"/>
  <c r="AX934" i="4" s="1"/>
  <c r="AY760" i="4"/>
  <c r="AX765" i="4"/>
  <c r="AX140" i="4" s="1"/>
  <c r="DO369" i="4"/>
  <c r="BK386" i="4"/>
  <c r="DO386" i="4" s="1"/>
  <c r="DN786" i="4"/>
  <c r="BF788" i="4"/>
  <c r="DN788" i="4" s="1"/>
  <c r="CD289" i="4"/>
  <c r="CD282" i="4" s="1"/>
  <c r="CC282" i="4"/>
  <c r="BL369" i="4"/>
  <c r="BL386" i="4" s="1"/>
  <c r="BN893" i="4"/>
  <c r="BN930" i="4"/>
  <c r="DL146" i="4"/>
  <c r="AV149" i="4"/>
  <c r="DL149" i="4" s="1"/>
  <c r="BP404" i="4"/>
  <c r="DP404" i="4" s="1"/>
  <c r="DP3" i="4"/>
  <c r="BQ3" i="4"/>
  <c r="BJ3" i="51" s="1"/>
  <c r="BS838" i="4"/>
  <c r="BM367" i="4"/>
  <c r="BM325" i="4"/>
  <c r="DX798" i="4"/>
  <c r="CZ806" i="4"/>
  <c r="CZ773" i="4"/>
  <c r="DX773" i="4" s="1"/>
  <c r="CZ717" i="4"/>
  <c r="DF492" i="4"/>
  <c r="AW140" i="4"/>
  <c r="DW806" i="4"/>
  <c r="AV503" i="4"/>
  <c r="AR503" i="4"/>
  <c r="AR504" i="4" s="1"/>
  <c r="DK506" i="4"/>
  <c r="AW934" i="4"/>
  <c r="BN897" i="4"/>
  <c r="BN839" i="4"/>
  <c r="DX753" i="4"/>
  <c r="DA753" i="4"/>
  <c r="CZ755" i="4"/>
  <c r="DX755" i="4" s="1"/>
  <c r="BN931" i="4"/>
  <c r="AU149" i="4"/>
  <c r="BL322" i="4"/>
  <c r="BO933" i="4"/>
  <c r="BO931" i="4"/>
  <c r="BO930" i="4"/>
  <c r="BO902" i="4"/>
  <c r="BP902" i="4" s="1"/>
  <c r="DP902" i="4" s="1"/>
  <c r="BO903" i="4"/>
  <c r="BP903" i="4" s="1"/>
  <c r="DP903" i="4" s="1"/>
  <c r="BO901" i="4"/>
  <c r="BP901" i="4" s="1"/>
  <c r="DP901" i="4" s="1"/>
  <c r="BO899" i="4"/>
  <c r="BP899" i="4" s="1"/>
  <c r="DP899" i="4" s="1"/>
  <c r="BO894" i="4"/>
  <c r="BP894" i="4" s="1"/>
  <c r="DP894" i="4" s="1"/>
  <c r="BO900" i="4"/>
  <c r="BP900" i="4" s="1"/>
  <c r="DP900" i="4" s="1"/>
  <c r="BO932" i="4"/>
  <c r="BP932" i="4" s="1"/>
  <c r="DP932" i="4" s="1"/>
  <c r="BO893" i="4"/>
  <c r="BO915" i="4"/>
  <c r="BO691" i="4"/>
  <c r="BO690" i="4"/>
  <c r="BO898" i="4"/>
  <c r="BP898" i="4" s="1"/>
  <c r="DP898" i="4" s="1"/>
  <c r="BO438" i="4"/>
  <c r="BO913" i="4"/>
  <c r="BP913" i="4" s="1"/>
  <c r="DP913" i="4" s="1"/>
  <c r="BO914" i="4"/>
  <c r="BP914" i="4" s="1"/>
  <c r="DP914" i="4" s="1"/>
  <c r="BO896" i="4"/>
  <c r="BP896" i="4" s="1"/>
  <c r="DP896" i="4" s="1"/>
  <c r="BE402" i="51" l="1"/>
  <c r="CB400" i="51"/>
  <c r="CC365" i="51"/>
  <c r="CC399" i="51" s="1"/>
  <c r="BG383" i="51"/>
  <c r="BG375" i="51"/>
  <c r="BL149" i="4"/>
  <c r="BE514" i="51"/>
  <c r="BG381" i="51"/>
  <c r="BL364" i="4"/>
  <c r="BF516" i="51"/>
  <c r="BF510" i="51"/>
  <c r="BE515" i="51"/>
  <c r="CX235" i="9"/>
  <c r="DA214" i="9"/>
  <c r="DA215" i="9" s="1"/>
  <c r="CY214" i="9"/>
  <c r="CZ214" i="9"/>
  <c r="CZ215" i="9" s="1"/>
  <c r="DB214" i="9"/>
  <c r="DB215" i="9" s="1"/>
  <c r="BH490" i="51"/>
  <c r="BG465" i="51"/>
  <c r="BF541" i="51"/>
  <c r="BF54" i="51" s="1"/>
  <c r="BG456" i="51"/>
  <c r="BG457" i="51" s="1"/>
  <c r="BI364" i="51"/>
  <c r="BH489" i="51"/>
  <c r="BI489" i="51" s="1"/>
  <c r="BI336" i="51"/>
  <c r="BI425" i="51"/>
  <c r="BH491" i="51"/>
  <c r="BI338" i="51"/>
  <c r="BG466" i="51"/>
  <c r="BF530" i="51"/>
  <c r="BF107" i="51"/>
  <c r="BF507" i="51"/>
  <c r="GW385" i="9"/>
  <c r="GV368" i="9"/>
  <c r="GV385" i="9" s="1"/>
  <c r="GU368" i="9"/>
  <c r="GU385" i="9" s="1"/>
  <c r="GT368" i="9"/>
  <c r="GT385" i="9" s="1"/>
  <c r="BF518" i="51"/>
  <c r="BF511" i="51"/>
  <c r="BF514" i="51"/>
  <c r="O3" i="9"/>
  <c r="O6" i="9" s="1"/>
  <c r="BG377" i="51"/>
  <c r="BE512" i="51"/>
  <c r="BI491" i="51"/>
  <c r="BE516" i="51"/>
  <c r="BF512" i="51"/>
  <c r="BI424" i="51"/>
  <c r="BI426" i="51"/>
  <c r="BH442" i="51"/>
  <c r="BH464" i="51" s="1"/>
  <c r="BG480" i="51"/>
  <c r="BG444" i="51"/>
  <c r="BG543" i="51" s="1"/>
  <c r="BG462" i="51"/>
  <c r="CJ931" i="4"/>
  <c r="DT931" i="4" s="1"/>
  <c r="BH452" i="51"/>
  <c r="BI448" i="51"/>
  <c r="BH353" i="51"/>
  <c r="BH377" i="51" s="1"/>
  <c r="BH486" i="51"/>
  <c r="BI333" i="51"/>
  <c r="BH488" i="51"/>
  <c r="BI488" i="51" s="1"/>
  <c r="BI335" i="51"/>
  <c r="BI428" i="51"/>
  <c r="BI423" i="51"/>
  <c r="BI422" i="51"/>
  <c r="BE510" i="51"/>
  <c r="BN933" i="4"/>
  <c r="GX367" i="9"/>
  <c r="GX368" i="9" s="1"/>
  <c r="GX385" i="9" s="1"/>
  <c r="CR933" i="4"/>
  <c r="CT933" i="4" s="1"/>
  <c r="DV933" i="4" s="1"/>
  <c r="CR931" i="4"/>
  <c r="BN915" i="4"/>
  <c r="BP915" i="4" s="1"/>
  <c r="DP915" i="4" s="1"/>
  <c r="BI337" i="51"/>
  <c r="BE541" i="51"/>
  <c r="BG395" i="51"/>
  <c r="BG354" i="51"/>
  <c r="BG538" i="51" s="1"/>
  <c r="BG379" i="51"/>
  <c r="AT60" i="9"/>
  <c r="AT62" i="9" s="1"/>
  <c r="AT64" i="9" s="1"/>
  <c r="BI363" i="51"/>
  <c r="BG376" i="51"/>
  <c r="BG468" i="51"/>
  <c r="BG398" i="51"/>
  <c r="BG402" i="51" s="1"/>
  <c r="BH492" i="51"/>
  <c r="BG463" i="51"/>
  <c r="CE931" i="4"/>
  <c r="DS931" i="4" s="1"/>
  <c r="BH365" i="51"/>
  <c r="BH401" i="51" s="1"/>
  <c r="BI361" i="51"/>
  <c r="BH494" i="51"/>
  <c r="BH487" i="51"/>
  <c r="BI487" i="51" s="1"/>
  <c r="BI334" i="51"/>
  <c r="BI427" i="51"/>
  <c r="BG460" i="51"/>
  <c r="BE513" i="51"/>
  <c r="BE507" i="51"/>
  <c r="BE530" i="51"/>
  <c r="BE107" i="51"/>
  <c r="BJ4" i="51"/>
  <c r="BE518" i="51"/>
  <c r="BG506" i="51"/>
  <c r="BG515" i="51" s="1"/>
  <c r="BE536" i="51"/>
  <c r="BE52" i="51" s="1"/>
  <c r="BL300" i="4" s="1"/>
  <c r="BF513" i="51"/>
  <c r="BG464" i="51"/>
  <c r="BF536" i="51"/>
  <c r="BF52" i="51" s="1"/>
  <c r="BM300" i="4" s="1"/>
  <c r="BG378" i="51"/>
  <c r="BG372" i="51"/>
  <c r="BG366" i="51"/>
  <c r="BM369" i="4"/>
  <c r="BM386" i="4" s="1"/>
  <c r="CC41" i="51"/>
  <c r="CC47" i="51" s="1"/>
  <c r="CB41" i="51"/>
  <c r="CB45" i="51" s="1"/>
  <c r="CG348" i="4"/>
  <c r="CG321" i="4"/>
  <c r="CG338" i="4"/>
  <c r="CG328" i="4"/>
  <c r="CB456" i="51"/>
  <c r="CB457" i="51" s="1"/>
  <c r="CB454" i="51"/>
  <c r="CI368" i="4"/>
  <c r="CC452" i="51"/>
  <c r="CC369" i="51"/>
  <c r="CH370" i="51" s="1"/>
  <c r="CO318" i="4" s="1"/>
  <c r="DU318" i="4" s="1"/>
  <c r="CC372" i="51"/>
  <c r="CC401" i="51"/>
  <c r="CA49" i="51"/>
  <c r="CA44" i="51"/>
  <c r="CA48" i="51"/>
  <c r="CA46" i="51"/>
  <c r="CD452" i="51"/>
  <c r="CA33" i="51"/>
  <c r="CB28" i="51"/>
  <c r="CB30" i="51"/>
  <c r="CB32" i="51"/>
  <c r="CG322" i="4"/>
  <c r="CC398" i="51"/>
  <c r="CA45" i="51"/>
  <c r="CC25" i="51"/>
  <c r="CB29" i="51"/>
  <c r="CA402" i="51"/>
  <c r="CA47" i="51"/>
  <c r="CC400" i="51"/>
  <c r="CD40" i="51"/>
  <c r="CD38" i="51"/>
  <c r="CC410" i="51"/>
  <c r="CH410" i="51"/>
  <c r="CE407" i="51"/>
  <c r="CD23" i="51"/>
  <c r="CD363" i="51"/>
  <c r="CE405" i="51"/>
  <c r="CD409" i="51"/>
  <c r="CD410" i="51" s="1"/>
  <c r="CD21" i="51"/>
  <c r="CD361" i="51"/>
  <c r="CB372" i="51"/>
  <c r="CB366" i="51"/>
  <c r="CI326" i="4"/>
  <c r="CJ326" i="4" s="1"/>
  <c r="CB401" i="51"/>
  <c r="CB399" i="51"/>
  <c r="CH327" i="4"/>
  <c r="CF408" i="51"/>
  <c r="CE24" i="51"/>
  <c r="CE364" i="51"/>
  <c r="CF451" i="51"/>
  <c r="CF406" i="51"/>
  <c r="CE22" i="51"/>
  <c r="CE362" i="51"/>
  <c r="CF449" i="51"/>
  <c r="CC283" i="4"/>
  <c r="CC284" i="4"/>
  <c r="O521" i="4"/>
  <c r="O523" i="4" s="1"/>
  <c r="O500" i="4"/>
  <c r="P492" i="4"/>
  <c r="P496" i="4" s="1"/>
  <c r="O753" i="4"/>
  <c r="O755" i="4" s="1"/>
  <c r="O941" i="4" s="1"/>
  <c r="O943" i="4" s="1"/>
  <c r="BM363" i="4"/>
  <c r="BO934" i="4"/>
  <c r="BO937" i="4" s="1"/>
  <c r="BO651" i="4"/>
  <c r="DL503" i="4"/>
  <c r="AW146" i="4"/>
  <c r="AW145" i="4"/>
  <c r="AW150" i="4" s="1"/>
  <c r="AW151" i="4"/>
  <c r="AX788" i="4"/>
  <c r="AY140" i="4"/>
  <c r="AX148" i="4"/>
  <c r="N523" i="4"/>
  <c r="BM934" i="4"/>
  <c r="BM937" i="4" s="1"/>
  <c r="BM651" i="4"/>
  <c r="BP933" i="4"/>
  <c r="DP933" i="4" s="1"/>
  <c r="DP199" i="4"/>
  <c r="BP201" i="4"/>
  <c r="BP216" i="4"/>
  <c r="DP216" i="4" s="1"/>
  <c r="CY931" i="4"/>
  <c r="DW931" i="4" s="1"/>
  <c r="CE933" i="4"/>
  <c r="DS933" i="4" s="1"/>
  <c r="BL348" i="4"/>
  <c r="BL338" i="4"/>
  <c r="BL328" i="4"/>
  <c r="CZ722" i="4"/>
  <c r="DX722" i="4" s="1"/>
  <c r="DX717" i="4"/>
  <c r="AY933" i="4"/>
  <c r="AZ760" i="4"/>
  <c r="AY765" i="4"/>
  <c r="BU863" i="4"/>
  <c r="BT871" i="4"/>
  <c r="BT797" i="4" s="1"/>
  <c r="DO860" i="4"/>
  <c r="BK796" i="4"/>
  <c r="BO448" i="4"/>
  <c r="BP448" i="4" s="1"/>
  <c r="BP438" i="4"/>
  <c r="AU53" i="9" s="1"/>
  <c r="AU57" i="9" s="1"/>
  <c r="AU58" i="9" s="1"/>
  <c r="BO897" i="4"/>
  <c r="BP897" i="4" s="1"/>
  <c r="DP897" i="4" s="1"/>
  <c r="BO839" i="4"/>
  <c r="BP839" i="4" s="1"/>
  <c r="BT838" i="4"/>
  <c r="BU838" i="4" s="1"/>
  <c r="BN934" i="4"/>
  <c r="BN937" i="4" s="1"/>
  <c r="BN651" i="4"/>
  <c r="CD284" i="4"/>
  <c r="CD283" i="4"/>
  <c r="CE282" i="4"/>
  <c r="BN325" i="4"/>
  <c r="N747" i="4"/>
  <c r="N751" i="4" s="1"/>
  <c r="N765" i="4" s="1"/>
  <c r="N788" i="4" s="1"/>
  <c r="N499" i="4"/>
  <c r="BP931" i="4"/>
  <c r="DP931" i="4" s="1"/>
  <c r="BP746" i="4"/>
  <c r="CO931" i="4"/>
  <c r="DU931" i="4" s="1"/>
  <c r="BL860" i="4"/>
  <c r="BL796" i="4" s="1"/>
  <c r="BL798" i="4" s="1"/>
  <c r="BM837" i="4"/>
  <c r="BN326" i="4"/>
  <c r="CH355" i="4"/>
  <c r="CH356" i="4"/>
  <c r="DX806" i="4"/>
  <c r="BM327" i="4"/>
  <c r="BQ404" i="4"/>
  <c r="BR3" i="4"/>
  <c r="BK3" i="51" s="1"/>
  <c r="BK4" i="51" s="1"/>
  <c r="BQ4" i="4"/>
  <c r="AX146" i="4"/>
  <c r="AX145" i="4"/>
  <c r="AX150" i="4" s="1"/>
  <c r="AX151" i="4"/>
  <c r="DY753" i="4"/>
  <c r="DA755" i="4"/>
  <c r="DY755" i="4" s="1"/>
  <c r="BN367" i="4"/>
  <c r="AV504" i="4"/>
  <c r="AV506" i="4" s="1"/>
  <c r="AR522" i="4"/>
  <c r="BM317" i="4"/>
  <c r="BM364" i="4"/>
  <c r="BO368" i="4"/>
  <c r="BN368" i="4"/>
  <c r="BP893" i="4"/>
  <c r="BL934" i="4"/>
  <c r="BP930" i="4"/>
  <c r="BL651" i="4"/>
  <c r="CO933" i="4"/>
  <c r="DU933" i="4" s="1"/>
  <c r="CJ933" i="4"/>
  <c r="DT933" i="4" s="1"/>
  <c r="CT931" i="4"/>
  <c r="DV931" i="4" s="1"/>
  <c r="BL917" i="4"/>
  <c r="BL927" i="4" s="1"/>
  <c r="CJ361" i="4"/>
  <c r="CI354" i="4"/>
  <c r="CD943" i="4"/>
  <c r="CE941" i="4"/>
  <c r="DA806" i="4"/>
  <c r="DY798" i="4"/>
  <c r="DA773" i="4"/>
  <c r="DY773" i="4" s="1"/>
  <c r="DA717" i="4"/>
  <c r="BH466" i="51" l="1"/>
  <c r="BH376" i="51"/>
  <c r="BH381" i="51"/>
  <c r="AW149" i="4"/>
  <c r="BH383" i="51"/>
  <c r="BG536" i="51"/>
  <c r="BG52" i="51" s="1"/>
  <c r="BN300" i="4" s="1"/>
  <c r="BH465" i="51"/>
  <c r="BH468" i="51"/>
  <c r="BG511" i="51"/>
  <c r="BG514" i="51"/>
  <c r="BF165" i="51"/>
  <c r="BG512" i="51"/>
  <c r="BF109" i="51"/>
  <c r="BG516" i="51"/>
  <c r="BF215" i="51"/>
  <c r="BK334" i="51"/>
  <c r="BK424" i="51"/>
  <c r="BK428" i="51"/>
  <c r="BK425" i="51"/>
  <c r="BK335" i="51"/>
  <c r="BK339" i="51"/>
  <c r="BK427" i="51"/>
  <c r="BK426" i="51"/>
  <c r="BK336" i="51"/>
  <c r="BK430" i="51"/>
  <c r="BK422" i="51"/>
  <c r="BK338" i="51"/>
  <c r="BK337" i="51"/>
  <c r="BK423" i="51"/>
  <c r="BK341" i="51"/>
  <c r="BK333" i="51"/>
  <c r="BK451" i="51"/>
  <c r="BK449" i="51"/>
  <c r="BK364" i="51"/>
  <c r="BK450" i="51"/>
  <c r="BK362" i="51"/>
  <c r="BK40" i="51"/>
  <c r="BK38" i="51"/>
  <c r="BK448" i="51"/>
  <c r="BK361" i="51"/>
  <c r="BK363" i="51"/>
  <c r="BK37" i="51"/>
  <c r="BK39" i="51"/>
  <c r="BG513" i="51"/>
  <c r="BG530" i="51"/>
  <c r="BG107" i="51"/>
  <c r="BG507" i="51"/>
  <c r="BG518" i="51"/>
  <c r="BH398" i="51"/>
  <c r="BI492" i="51"/>
  <c r="BH506" i="51"/>
  <c r="BI506" i="51" s="1"/>
  <c r="BI486" i="51"/>
  <c r="BH456" i="51"/>
  <c r="BH457" i="51" s="1"/>
  <c r="BH454" i="51"/>
  <c r="BI452" i="51"/>
  <c r="BH444" i="51"/>
  <c r="BH543" i="51" s="1"/>
  <c r="BH480" i="51"/>
  <c r="GW386" i="9"/>
  <c r="GW387" i="9"/>
  <c r="BI490" i="51"/>
  <c r="DC214" i="9"/>
  <c r="DC215" i="9" s="1"/>
  <c r="CY215" i="9"/>
  <c r="BP934" i="4"/>
  <c r="DP934" i="4" s="1"/>
  <c r="CE283" i="4"/>
  <c r="DS283" i="4" s="1"/>
  <c r="BG541" i="51"/>
  <c r="BG54" i="51" s="1"/>
  <c r="BH399" i="51"/>
  <c r="BH372" i="51"/>
  <c r="BH366" i="51"/>
  <c r="BO318" i="4" s="1"/>
  <c r="BI365" i="51"/>
  <c r="BE215" i="51"/>
  <c r="BE109" i="51"/>
  <c r="BE165" i="51"/>
  <c r="BH395" i="51"/>
  <c r="BH354" i="51"/>
  <c r="BH538" i="51" s="1"/>
  <c r="BI353" i="51"/>
  <c r="BI376" i="51" s="1"/>
  <c r="BH400" i="51"/>
  <c r="GT386" i="9"/>
  <c r="GW389" i="9"/>
  <c r="GW390" i="9" s="1"/>
  <c r="GT387" i="9"/>
  <c r="GT389" i="9"/>
  <c r="GT390" i="9" s="1"/>
  <c r="GU389" i="9"/>
  <c r="GU390" i="9" s="1"/>
  <c r="BH461" i="51"/>
  <c r="BH380" i="51"/>
  <c r="BH378" i="51"/>
  <c r="BH379" i="51"/>
  <c r="BJ334" i="51"/>
  <c r="BJ425" i="51"/>
  <c r="BJ337" i="51"/>
  <c r="BJ338" i="51"/>
  <c r="BJ424" i="51"/>
  <c r="BJ336" i="51"/>
  <c r="BJ430" i="51"/>
  <c r="BJ335" i="51"/>
  <c r="BJ428" i="51"/>
  <c r="BJ341" i="51"/>
  <c r="BJ422" i="51"/>
  <c r="BJ423" i="51"/>
  <c r="BJ426" i="51"/>
  <c r="BJ427" i="51"/>
  <c r="BJ339" i="51"/>
  <c r="BJ333" i="51"/>
  <c r="BJ362" i="51"/>
  <c r="BJ451" i="51"/>
  <c r="BJ449" i="51"/>
  <c r="BJ448" i="51"/>
  <c r="BJ450" i="51"/>
  <c r="BJ40" i="51"/>
  <c r="BJ364" i="51"/>
  <c r="BJ361" i="51"/>
  <c r="BJ38" i="51"/>
  <c r="BJ363" i="51"/>
  <c r="BJ37" i="51"/>
  <c r="BJ39" i="51"/>
  <c r="BI494" i="51"/>
  <c r="BE54" i="51"/>
  <c r="BL363" i="4"/>
  <c r="GU386" i="9"/>
  <c r="GX389" i="9"/>
  <c r="GX390" i="9" s="1"/>
  <c r="GU387" i="9"/>
  <c r="BF36" i="51"/>
  <c r="BF41" i="51" s="1"/>
  <c r="BF108" i="51"/>
  <c r="BM895" i="4"/>
  <c r="CB402" i="51"/>
  <c r="BG510" i="51"/>
  <c r="BE108" i="51"/>
  <c r="BE36" i="51"/>
  <c r="BI398" i="51"/>
  <c r="GX387" i="9"/>
  <c r="GX386" i="9"/>
  <c r="BI377" i="51"/>
  <c r="BH375" i="51"/>
  <c r="BH460" i="51"/>
  <c r="CY237" i="9"/>
  <c r="CY238" i="9" s="1"/>
  <c r="GV389" i="9"/>
  <c r="GV390" i="9" s="1"/>
  <c r="GV387" i="9"/>
  <c r="GV386" i="9"/>
  <c r="BI380" i="51"/>
  <c r="BH463" i="51"/>
  <c r="BI401" i="51"/>
  <c r="BI442" i="51"/>
  <c r="BI464" i="51" s="1"/>
  <c r="BH462" i="51"/>
  <c r="CB47" i="51"/>
  <c r="CC402" i="51"/>
  <c r="DT326" i="4"/>
  <c r="CJ327" i="4"/>
  <c r="CJ322" i="4" s="1"/>
  <c r="DT322" i="4" s="1"/>
  <c r="BP368" i="4"/>
  <c r="DP368" i="4" s="1"/>
  <c r="CG406" i="51"/>
  <c r="CF22" i="51"/>
  <c r="CF362" i="51"/>
  <c r="CF24" i="51"/>
  <c r="CF364" i="51"/>
  <c r="CD39" i="51"/>
  <c r="CD454" i="51"/>
  <c r="CD456" i="51"/>
  <c r="CD457" i="51" s="1"/>
  <c r="CK368" i="4"/>
  <c r="CH321" i="4"/>
  <c r="CH328" i="4"/>
  <c r="CH348" i="4"/>
  <c r="CH338" i="4"/>
  <c r="CI327" i="4"/>
  <c r="CI322" i="4" s="1"/>
  <c r="CD365" i="51"/>
  <c r="CF405" i="51"/>
  <c r="CF448" i="51" s="1"/>
  <c r="CE409" i="51"/>
  <c r="CE410" i="51" s="1"/>
  <c r="CE21" i="51"/>
  <c r="CE361" i="51"/>
  <c r="CF407" i="51"/>
  <c r="CF450" i="51" s="1"/>
  <c r="CE23" i="51"/>
  <c r="CE363" i="51"/>
  <c r="CC28" i="51"/>
  <c r="CC30" i="51"/>
  <c r="CC32" i="51"/>
  <c r="CC49" i="51"/>
  <c r="CC44" i="51"/>
  <c r="CC48" i="51"/>
  <c r="CC46" i="51"/>
  <c r="BN369" i="4"/>
  <c r="BN386" i="4" s="1"/>
  <c r="CH322" i="4"/>
  <c r="CI318" i="4"/>
  <c r="CC366" i="51"/>
  <c r="CJ318" i="4" s="1"/>
  <c r="DT318" i="4" s="1"/>
  <c r="CE448" i="51"/>
  <c r="CC29" i="51"/>
  <c r="CB33" i="51"/>
  <c r="CC454" i="51"/>
  <c r="CC456" i="51"/>
  <c r="CC457" i="51" s="1"/>
  <c r="CB49" i="51"/>
  <c r="CB44" i="51"/>
  <c r="CB46" i="51"/>
  <c r="CB48" i="51"/>
  <c r="CC45" i="51"/>
  <c r="CE38" i="51"/>
  <c r="CE40" i="51"/>
  <c r="CD37" i="51"/>
  <c r="CD25" i="51"/>
  <c r="CE450" i="51"/>
  <c r="CC31" i="51"/>
  <c r="CI369" i="4"/>
  <c r="CI386" i="4" s="1"/>
  <c r="CJ368" i="4"/>
  <c r="BM917" i="4"/>
  <c r="BM927" i="4" s="1"/>
  <c r="DL506" i="4"/>
  <c r="AW503" i="4"/>
  <c r="AW504" i="4" s="1"/>
  <c r="BA503" i="4"/>
  <c r="DA722" i="4"/>
  <c r="DY722" i="4" s="1"/>
  <c r="DY717" i="4"/>
  <c r="DS941" i="4"/>
  <c r="CE943" i="4"/>
  <c r="DS943" i="4" s="1"/>
  <c r="CF941" i="4"/>
  <c r="DT361" i="4"/>
  <c r="CK361" i="4"/>
  <c r="BP937" i="4"/>
  <c r="DP937" i="4" s="1"/>
  <c r="DP930" i="4"/>
  <c r="BP651" i="4"/>
  <c r="DP651" i="4" s="1"/>
  <c r="AV522" i="4"/>
  <c r="DL522" i="4" s="1"/>
  <c r="AR523" i="4"/>
  <c r="AV523" i="4" s="1"/>
  <c r="DL523" i="4" s="1"/>
  <c r="BQ899" i="4"/>
  <c r="BQ903" i="4"/>
  <c r="BQ902" i="4"/>
  <c r="BQ900" i="4"/>
  <c r="BQ894" i="4"/>
  <c r="BQ893" i="4"/>
  <c r="BQ901" i="4"/>
  <c r="BQ915" i="4"/>
  <c r="BQ933" i="4"/>
  <c r="BQ932" i="4"/>
  <c r="BQ931" i="4"/>
  <c r="BQ898" i="4"/>
  <c r="BQ691" i="4"/>
  <c r="BQ930" i="4"/>
  <c r="BQ913" i="4"/>
  <c r="BQ914" i="4"/>
  <c r="BQ896" i="4"/>
  <c r="BM338" i="4"/>
  <c r="BM328" i="4"/>
  <c r="BM348" i="4"/>
  <c r="DQ838" i="4"/>
  <c r="BV838" i="4"/>
  <c r="BP449" i="4"/>
  <c r="DP449" i="4" s="1"/>
  <c r="DP448" i="4"/>
  <c r="BP455" i="4"/>
  <c r="DP455" i="4" s="1"/>
  <c r="AZ933" i="4"/>
  <c r="AZ934" i="4" s="1"/>
  <c r="BA760" i="4"/>
  <c r="AZ765" i="4"/>
  <c r="BP217" i="4"/>
  <c r="DP201" i="4"/>
  <c r="BO367" i="4"/>
  <c r="BN364" i="4"/>
  <c r="BR404" i="4"/>
  <c r="BR4" i="4"/>
  <c r="BS3" i="4"/>
  <c r="BL3" i="51" s="1"/>
  <c r="BL4" i="51" s="1"/>
  <c r="BN318" i="4"/>
  <c r="BM860" i="4"/>
  <c r="BM796" i="4" s="1"/>
  <c r="BM798" i="4" s="1"/>
  <c r="BN895" i="4"/>
  <c r="BN837" i="4"/>
  <c r="AY934" i="4"/>
  <c r="AY146" i="4"/>
  <c r="AY149" i="4" s="1"/>
  <c r="AY145" i="4"/>
  <c r="AY150" i="4" s="1"/>
  <c r="AY151" i="4"/>
  <c r="P521" i="4"/>
  <c r="P500" i="4"/>
  <c r="Q492" i="4"/>
  <c r="P753" i="4"/>
  <c r="P755" i="4" s="1"/>
  <c r="P941" i="4" s="1"/>
  <c r="P943" i="4" s="1"/>
  <c r="BL937" i="4"/>
  <c r="AX149" i="4"/>
  <c r="BO326" i="4"/>
  <c r="BL802" i="4"/>
  <c r="BL800" i="4"/>
  <c r="BL803" i="4" s="1"/>
  <c r="BL773" i="4"/>
  <c r="BL786" i="4" s="1"/>
  <c r="BL788" i="4" s="1"/>
  <c r="BM322" i="4"/>
  <c r="BN317" i="4"/>
  <c r="DS282" i="4"/>
  <c r="CE284" i="4"/>
  <c r="DS284" i="4" s="1"/>
  <c r="CE289" i="4"/>
  <c r="DP438" i="4"/>
  <c r="BP466" i="4"/>
  <c r="DP466" i="4" s="1"/>
  <c r="BP441" i="4"/>
  <c r="DO796" i="4"/>
  <c r="BK798" i="4"/>
  <c r="BV863" i="4"/>
  <c r="BU871" i="4"/>
  <c r="DQ863" i="4"/>
  <c r="O747" i="4"/>
  <c r="O751" i="4" s="1"/>
  <c r="O765" i="4" s="1"/>
  <c r="O788" i="4" s="1"/>
  <c r="O499" i="4"/>
  <c r="DY806" i="4"/>
  <c r="AV511" i="4"/>
  <c r="DL511" i="4" s="1"/>
  <c r="DL504" i="4"/>
  <c r="AV507" i="4"/>
  <c r="DL507" i="4" s="1"/>
  <c r="CI356" i="4"/>
  <c r="CJ354" i="4"/>
  <c r="CI355" i="4"/>
  <c r="CJ355" i="4" s="1"/>
  <c r="DT355" i="4" s="1"/>
  <c r="DP893" i="4"/>
  <c r="BM321" i="4"/>
  <c r="DP746" i="4"/>
  <c r="BQ690" i="4"/>
  <c r="BP751" i="4"/>
  <c r="BN327" i="4"/>
  <c r="BN322" i="4" s="1"/>
  <c r="BO325" i="4"/>
  <c r="BP325" i="4" s="1"/>
  <c r="BQ839" i="4"/>
  <c r="BQ897" i="4" s="1"/>
  <c r="DP839" i="4"/>
  <c r="BO466" i="4"/>
  <c r="AY788" i="4"/>
  <c r="AZ140" i="4"/>
  <c r="AY148" i="4"/>
  <c r="BH518" i="51" l="1"/>
  <c r="BH536" i="51"/>
  <c r="BH52" i="51" s="1"/>
  <c r="BO300" i="4" s="1"/>
  <c r="BI379" i="51"/>
  <c r="BJ452" i="51"/>
  <c r="BH402" i="51"/>
  <c r="BK452" i="51"/>
  <c r="BI375" i="51"/>
  <c r="BH541" i="51"/>
  <c r="BH54" i="51" s="1"/>
  <c r="BH511" i="51"/>
  <c r="BH514" i="51"/>
  <c r="BH512" i="51"/>
  <c r="BH510" i="51"/>
  <c r="BI514" i="51"/>
  <c r="BI530" i="51"/>
  <c r="BI507" i="51"/>
  <c r="BI107" i="51"/>
  <c r="BI513" i="51"/>
  <c r="BI512" i="51"/>
  <c r="BI515" i="51"/>
  <c r="BI511" i="51"/>
  <c r="BJ492" i="51"/>
  <c r="BJ490" i="51"/>
  <c r="BL333" i="51"/>
  <c r="BL425" i="51"/>
  <c r="BL426" i="51"/>
  <c r="BL430" i="51"/>
  <c r="BL336" i="51"/>
  <c r="BL337" i="51"/>
  <c r="BL341" i="51"/>
  <c r="BL423" i="51"/>
  <c r="BL424" i="51"/>
  <c r="BL427" i="51"/>
  <c r="BL428" i="51"/>
  <c r="BL422" i="51"/>
  <c r="BL334" i="51"/>
  <c r="BL335" i="51"/>
  <c r="BL338" i="51"/>
  <c r="BL339" i="51"/>
  <c r="BL449" i="51"/>
  <c r="BL364" i="51"/>
  <c r="BL448" i="51"/>
  <c r="BL362" i="51"/>
  <c r="BL451" i="51"/>
  <c r="BL363" i="51"/>
  <c r="BL361" i="51"/>
  <c r="BL38" i="51"/>
  <c r="BL40" i="51"/>
  <c r="BL450" i="51"/>
  <c r="BL39" i="51"/>
  <c r="BL37" i="51"/>
  <c r="BI460" i="51"/>
  <c r="BI444" i="51"/>
  <c r="BI543" i="51" s="1"/>
  <c r="BI480" i="51"/>
  <c r="BI468" i="51"/>
  <c r="BI461" i="51"/>
  <c r="BG165" i="51"/>
  <c r="BG109" i="51"/>
  <c r="BG215" i="51"/>
  <c r="BI463" i="51"/>
  <c r="BI518" i="51"/>
  <c r="BJ365" i="51"/>
  <c r="BJ486" i="51"/>
  <c r="BJ353" i="51"/>
  <c r="BJ375" i="51" s="1"/>
  <c r="BJ488" i="51"/>
  <c r="BJ491" i="51"/>
  <c r="BI400" i="51"/>
  <c r="BI372" i="51"/>
  <c r="BI399" i="51"/>
  <c r="BI510" i="51"/>
  <c r="BH516" i="51"/>
  <c r="BK365" i="51"/>
  <c r="BK399" i="51" s="1"/>
  <c r="BK398" i="51"/>
  <c r="BK490" i="51"/>
  <c r="BK489" i="51"/>
  <c r="BK378" i="51"/>
  <c r="BK488" i="51"/>
  <c r="BK487" i="51"/>
  <c r="BE41" i="51"/>
  <c r="BE44" i="51" s="1"/>
  <c r="BJ442" i="51"/>
  <c r="BJ462" i="51" s="1"/>
  <c r="BI456" i="51"/>
  <c r="BI457" i="51" s="1"/>
  <c r="BI454" i="51"/>
  <c r="BK454" i="51"/>
  <c r="BP454" i="51"/>
  <c r="BK486" i="51"/>
  <c r="BK353" i="51"/>
  <c r="BK379" i="51" s="1"/>
  <c r="BA933" i="4"/>
  <c r="CZ237" i="9"/>
  <c r="CZ238" i="9" s="1"/>
  <c r="BF44" i="51"/>
  <c r="BF49" i="51"/>
  <c r="BF46" i="51"/>
  <c r="BF47" i="51"/>
  <c r="BF48" i="51"/>
  <c r="BF45" i="51"/>
  <c r="BI465" i="51"/>
  <c r="BJ400" i="51"/>
  <c r="BJ401" i="51"/>
  <c r="BJ494" i="51"/>
  <c r="BJ383" i="51"/>
  <c r="BJ489" i="51"/>
  <c r="BI366" i="51"/>
  <c r="BP318" i="4" s="1"/>
  <c r="DP318" i="4" s="1"/>
  <c r="BI378" i="51"/>
  <c r="BI462" i="51"/>
  <c r="BH513" i="51"/>
  <c r="BH107" i="51"/>
  <c r="BH530" i="51"/>
  <c r="BH507" i="51"/>
  <c r="BG108" i="51"/>
  <c r="BG36" i="51"/>
  <c r="BK401" i="51"/>
  <c r="BK494" i="51"/>
  <c r="BK442" i="51"/>
  <c r="BK465" i="51" s="1"/>
  <c r="BJ454" i="51"/>
  <c r="BO454" i="51"/>
  <c r="BK491" i="51"/>
  <c r="BK380" i="51"/>
  <c r="BA934" i="4"/>
  <c r="DM934" i="4" s="1"/>
  <c r="BN363" i="4"/>
  <c r="BJ399" i="51"/>
  <c r="BJ464" i="51"/>
  <c r="BJ487" i="51"/>
  <c r="BI354" i="51"/>
  <c r="BI538" i="51" s="1"/>
  <c r="BI395" i="51"/>
  <c r="BI383" i="51"/>
  <c r="BI381" i="51"/>
  <c r="BI466" i="51"/>
  <c r="BH515" i="51"/>
  <c r="BI516" i="51"/>
  <c r="BK400" i="51"/>
  <c r="BK492" i="51"/>
  <c r="CC33" i="51"/>
  <c r="BN321" i="4"/>
  <c r="DT368" i="4"/>
  <c r="CJ369" i="4"/>
  <c r="CE452" i="51"/>
  <c r="CF452" i="51"/>
  <c r="CF38" i="51"/>
  <c r="CD28" i="51"/>
  <c r="CD32" i="51"/>
  <c r="CD30" i="51"/>
  <c r="CE39" i="51"/>
  <c r="CE37" i="51"/>
  <c r="CE25" i="51"/>
  <c r="CE31" i="51" s="1"/>
  <c r="CD372" i="51"/>
  <c r="CD366" i="51"/>
  <c r="CK326" i="4"/>
  <c r="CD399" i="51"/>
  <c r="CD401" i="51"/>
  <c r="CK369" i="4"/>
  <c r="CK386" i="4" s="1"/>
  <c r="CF40" i="51"/>
  <c r="CH406" i="51"/>
  <c r="CG22" i="51"/>
  <c r="CG362" i="51"/>
  <c r="CH362" i="51" s="1"/>
  <c r="CD29" i="51"/>
  <c r="CG407" i="51"/>
  <c r="CG450" i="51" s="1"/>
  <c r="CH450" i="51" s="1"/>
  <c r="CF23" i="51"/>
  <c r="CF363" i="51"/>
  <c r="CD398" i="51"/>
  <c r="CD31" i="51"/>
  <c r="CG449" i="51"/>
  <c r="CH449" i="51" s="1"/>
  <c r="CJ321" i="4"/>
  <c r="DT321" i="4" s="1"/>
  <c r="CJ338" i="4"/>
  <c r="DT338" i="4" s="1"/>
  <c r="CJ348" i="4"/>
  <c r="DT348" i="4" s="1"/>
  <c r="CJ328" i="4"/>
  <c r="DT328" i="4" s="1"/>
  <c r="DT327" i="4"/>
  <c r="CD41" i="51"/>
  <c r="CD45" i="51" s="1"/>
  <c r="CD400" i="51"/>
  <c r="CE365" i="51"/>
  <c r="CE398" i="51" s="1"/>
  <c r="CF409" i="51"/>
  <c r="CF410" i="51" s="1"/>
  <c r="CG405" i="51"/>
  <c r="CG448" i="51" s="1"/>
  <c r="CF21" i="51"/>
  <c r="CF361" i="51"/>
  <c r="CI321" i="4"/>
  <c r="CI328" i="4"/>
  <c r="CI348" i="4"/>
  <c r="CI338" i="4"/>
  <c r="DP325" i="4"/>
  <c r="BO317" i="4"/>
  <c r="BV871" i="4"/>
  <c r="BV797" i="4" s="1"/>
  <c r="AW522" i="4"/>
  <c r="BA504" i="4"/>
  <c r="BA506" i="4" s="1"/>
  <c r="AW511" i="4"/>
  <c r="AW507" i="4"/>
  <c r="DQ871" i="4"/>
  <c r="BU797" i="4"/>
  <c r="DQ797" i="4" s="1"/>
  <c r="DS289" i="4"/>
  <c r="CF289" i="4"/>
  <c r="P523" i="4"/>
  <c r="DM933" i="4"/>
  <c r="BA937" i="4"/>
  <c r="DM937" i="4" s="1"/>
  <c r="BM802" i="4"/>
  <c r="BM800" i="4"/>
  <c r="BM803" i="4" s="1"/>
  <c r="BM773" i="4"/>
  <c r="BM786" i="4" s="1"/>
  <c r="BM788" i="4" s="1"/>
  <c r="BS404" i="4"/>
  <c r="BT3" i="4"/>
  <c r="BM3" i="51" s="1"/>
  <c r="BM4" i="51" s="1"/>
  <c r="BS4" i="4"/>
  <c r="BO364" i="4"/>
  <c r="DM503" i="4"/>
  <c r="BP457" i="4"/>
  <c r="BP442" i="4"/>
  <c r="DP442" i="4" s="1"/>
  <c r="BP469" i="4"/>
  <c r="BP463" i="4"/>
  <c r="DP463" i="4" s="1"/>
  <c r="DP441" i="4"/>
  <c r="BR933" i="4"/>
  <c r="BR931" i="4"/>
  <c r="BR915" i="4"/>
  <c r="BR902" i="4"/>
  <c r="BR894" i="4"/>
  <c r="BR903" i="4"/>
  <c r="BR899" i="4"/>
  <c r="BR901" i="4"/>
  <c r="BR900" i="4"/>
  <c r="BR932" i="4"/>
  <c r="BR893" i="4"/>
  <c r="BR438" i="4"/>
  <c r="BR898" i="4"/>
  <c r="BR913" i="4"/>
  <c r="BR930" i="4"/>
  <c r="BR914" i="4"/>
  <c r="BR896" i="4"/>
  <c r="BQ934" i="4"/>
  <c r="BQ651" i="4"/>
  <c r="CF943" i="4"/>
  <c r="CG941" i="4"/>
  <c r="BN338" i="4"/>
  <c r="BN328" i="4"/>
  <c r="BN348" i="4"/>
  <c r="Q495" i="4"/>
  <c r="R495" i="4" s="1"/>
  <c r="Q521" i="4"/>
  <c r="Q523" i="4" s="1"/>
  <c r="BN860" i="4"/>
  <c r="BN796" i="4" s="1"/>
  <c r="BN798" i="4" s="1"/>
  <c r="BO837" i="4"/>
  <c r="BO369" i="4"/>
  <c r="BO386" i="4" s="1"/>
  <c r="BP367" i="4"/>
  <c r="AZ788" i="4"/>
  <c r="AZ148" i="4"/>
  <c r="BW838" i="4"/>
  <c r="AZ146" i="4"/>
  <c r="AZ149" i="4" s="1"/>
  <c r="AZ145" i="4"/>
  <c r="AZ150" i="4" s="1"/>
  <c r="AZ151" i="4"/>
  <c r="BR839" i="4"/>
  <c r="BR897" i="4" s="1"/>
  <c r="BO327" i="4"/>
  <c r="DP751" i="4"/>
  <c r="BP765" i="4"/>
  <c r="BP326" i="4"/>
  <c r="CJ356" i="4"/>
  <c r="DT356" i="4" s="1"/>
  <c r="DT354" i="4"/>
  <c r="DO798" i="4"/>
  <c r="BK800" i="4"/>
  <c r="BK802" i="4"/>
  <c r="DO802" i="4" s="1"/>
  <c r="BK773" i="4"/>
  <c r="P747" i="4"/>
  <c r="P751" i="4" s="1"/>
  <c r="P765" i="4" s="1"/>
  <c r="P788" i="4" s="1"/>
  <c r="P499" i="4"/>
  <c r="BN917" i="4"/>
  <c r="BN927" i="4" s="1"/>
  <c r="DP217" i="4"/>
  <c r="BP196" i="4"/>
  <c r="DP196" i="4" s="1"/>
  <c r="BB760" i="4"/>
  <c r="DM760" i="4"/>
  <c r="BA765" i="4"/>
  <c r="CK354" i="4"/>
  <c r="CL361" i="4"/>
  <c r="BA140" i="4"/>
  <c r="CE400" i="51" l="1"/>
  <c r="BK381" i="51"/>
  <c r="BK383" i="51"/>
  <c r="BK376" i="51"/>
  <c r="BI536" i="51"/>
  <c r="BI52" i="51" s="1"/>
  <c r="BP300" i="4" s="1"/>
  <c r="DP300" i="4" s="1"/>
  <c r="BK402" i="51"/>
  <c r="BI402" i="51"/>
  <c r="BJ466" i="51"/>
  <c r="BK461" i="51"/>
  <c r="BK462" i="51"/>
  <c r="BK468" i="51"/>
  <c r="BH215" i="51"/>
  <c r="BI215" i="51" s="1"/>
  <c r="BK466" i="51"/>
  <c r="BK463" i="51"/>
  <c r="BH109" i="51"/>
  <c r="BP317" i="4"/>
  <c r="BH165" i="51"/>
  <c r="BI165" i="51" s="1"/>
  <c r="BK506" i="51"/>
  <c r="BK511" i="51" s="1"/>
  <c r="BJ465" i="51"/>
  <c r="BO444" i="51"/>
  <c r="BO543" i="51" s="1"/>
  <c r="BJ480" i="51"/>
  <c r="BJ444" i="51"/>
  <c r="BJ543" i="51" s="1"/>
  <c r="BI109" i="51"/>
  <c r="BJ377" i="51"/>
  <c r="BL365" i="51"/>
  <c r="BL398" i="51"/>
  <c r="BL452" i="51"/>
  <c r="BL491" i="51"/>
  <c r="BL494" i="51"/>
  <c r="BK464" i="51"/>
  <c r="BJ381" i="51"/>
  <c r="BH108" i="51"/>
  <c r="BH36" i="51"/>
  <c r="BL488" i="51"/>
  <c r="BM423" i="51"/>
  <c r="BM424" i="51"/>
  <c r="BM427" i="51"/>
  <c r="BN427" i="51" s="1"/>
  <c r="BM428" i="51"/>
  <c r="BM339" i="51"/>
  <c r="BM430" i="51"/>
  <c r="BM334" i="51"/>
  <c r="BM335" i="51"/>
  <c r="BM425" i="51"/>
  <c r="BN425" i="51" s="1"/>
  <c r="BM426" i="51"/>
  <c r="BM338" i="51"/>
  <c r="BM422" i="51"/>
  <c r="BM336" i="51"/>
  <c r="BM337" i="51"/>
  <c r="BN337" i="51" s="1"/>
  <c r="BM341" i="51"/>
  <c r="BM333" i="51"/>
  <c r="BM451" i="51"/>
  <c r="BN451" i="51" s="1"/>
  <c r="BM449" i="51"/>
  <c r="BN449" i="51" s="1"/>
  <c r="BM448" i="51"/>
  <c r="BM364" i="51"/>
  <c r="BM362" i="51"/>
  <c r="BM450" i="51"/>
  <c r="BN450" i="51" s="1"/>
  <c r="BM38" i="51"/>
  <c r="BM363" i="51"/>
  <c r="BM40" i="51"/>
  <c r="BM361" i="51"/>
  <c r="BM39" i="51"/>
  <c r="BM37" i="51"/>
  <c r="BJ376" i="51"/>
  <c r="BJ468" i="51"/>
  <c r="BJ378" i="51"/>
  <c r="BK375" i="51"/>
  <c r="BJ460" i="51"/>
  <c r="BK377" i="51"/>
  <c r="BK366" i="51"/>
  <c r="BK372" i="51"/>
  <c r="BP366" i="51"/>
  <c r="BJ380" i="51"/>
  <c r="BJ398" i="51"/>
  <c r="BJ402" i="51" s="1"/>
  <c r="BJ366" i="51"/>
  <c r="BJ372" i="51"/>
  <c r="BO366" i="51"/>
  <c r="BV318" i="4" s="1"/>
  <c r="BI541" i="51"/>
  <c r="BL487" i="51"/>
  <c r="BL376" i="51"/>
  <c r="BL489" i="51"/>
  <c r="BL486" i="51"/>
  <c r="BL353" i="51"/>
  <c r="BL383" i="51" s="1"/>
  <c r="BG41" i="51"/>
  <c r="BG44" i="51" s="1"/>
  <c r="BO354" i="51"/>
  <c r="BO538" i="51" s="1"/>
  <c r="BJ395" i="51"/>
  <c r="BJ354" i="51"/>
  <c r="BJ538" i="51" s="1"/>
  <c r="BL401" i="51"/>
  <c r="BL490" i="51"/>
  <c r="BJ379" i="51"/>
  <c r="BP364" i="4"/>
  <c r="DP364" i="4" s="1"/>
  <c r="BO895" i="4"/>
  <c r="BN4" i="51"/>
  <c r="BJ456" i="51"/>
  <c r="BK460" i="51"/>
  <c r="BP444" i="51"/>
  <c r="BP543" i="51" s="1"/>
  <c r="BK444" i="51"/>
  <c r="BK543" i="51" s="1"/>
  <c r="BK480" i="51"/>
  <c r="BJ463" i="51"/>
  <c r="BK354" i="51"/>
  <c r="BK538" i="51" s="1"/>
  <c r="BP354" i="51"/>
  <c r="BP538" i="51" s="1"/>
  <c r="BK395" i="51"/>
  <c r="BK456" i="51"/>
  <c r="BE49" i="51"/>
  <c r="BE45" i="51"/>
  <c r="BE46" i="51"/>
  <c r="BE48" i="51"/>
  <c r="BE47" i="51"/>
  <c r="BK514" i="51"/>
  <c r="BJ461" i="51"/>
  <c r="BJ506" i="51"/>
  <c r="BJ513" i="51" s="1"/>
  <c r="BL399" i="51"/>
  <c r="BL492" i="51"/>
  <c r="BL442" i="51"/>
  <c r="BL466" i="51" s="1"/>
  <c r="DA237" i="9"/>
  <c r="DA238" i="9" s="1"/>
  <c r="BI108" i="51"/>
  <c r="BI36" i="51"/>
  <c r="CH448" i="51"/>
  <c r="CF365" i="51"/>
  <c r="CE41" i="51"/>
  <c r="CE47" i="51" s="1"/>
  <c r="CE456" i="51"/>
  <c r="CE457" i="51" s="1"/>
  <c r="CE454" i="51"/>
  <c r="CL368" i="4"/>
  <c r="CK318" i="4"/>
  <c r="CE29" i="51"/>
  <c r="CF25" i="51"/>
  <c r="CF29" i="51" s="1"/>
  <c r="CF37" i="51"/>
  <c r="CE372" i="51"/>
  <c r="CE366" i="51"/>
  <c r="CL318" i="4" s="1"/>
  <c r="CL326" i="4"/>
  <c r="CE399" i="51"/>
  <c r="CE401" i="51"/>
  <c r="CD49" i="51"/>
  <c r="CD44" i="51"/>
  <c r="CD46" i="51"/>
  <c r="CD48" i="51"/>
  <c r="CF39" i="51"/>
  <c r="CF31" i="51"/>
  <c r="CG38" i="51"/>
  <c r="CD47" i="51"/>
  <c r="CD33" i="51"/>
  <c r="CF456" i="51"/>
  <c r="CF457" i="51" s="1"/>
  <c r="CF454" i="51"/>
  <c r="CM368" i="4"/>
  <c r="CM369" i="4" s="1"/>
  <c r="CM386" i="4" s="1"/>
  <c r="CG408" i="51"/>
  <c r="CH405" i="51"/>
  <c r="CG21" i="51"/>
  <c r="CG361" i="51"/>
  <c r="CD402" i="51"/>
  <c r="CD241" i="51"/>
  <c r="CD53" i="51" s="1"/>
  <c r="CK301" i="4" s="1"/>
  <c r="CH407" i="51"/>
  <c r="CG23" i="51"/>
  <c r="CG363" i="51"/>
  <c r="CH363" i="51" s="1"/>
  <c r="CH22" i="51"/>
  <c r="CK327" i="4"/>
  <c r="CK322" i="4" s="1"/>
  <c r="CE28" i="51"/>
  <c r="CE30" i="51"/>
  <c r="CE32" i="51"/>
  <c r="DT369" i="4"/>
  <c r="CJ386" i="4"/>
  <c r="DT386" i="4" s="1"/>
  <c r="BF503" i="4"/>
  <c r="BB503" i="4"/>
  <c r="BB504" i="4" s="1"/>
  <c r="DM506" i="4"/>
  <c r="CK355" i="4"/>
  <c r="CK356" i="4"/>
  <c r="BC933" i="4"/>
  <c r="BC934" i="4" s="1"/>
  <c r="BB933" i="4"/>
  <c r="BB765" i="4"/>
  <c r="BQ367" i="4"/>
  <c r="BO917" i="4"/>
  <c r="BO927" i="4" s="1"/>
  <c r="BR448" i="4"/>
  <c r="BR441" i="4"/>
  <c r="BR368" i="4"/>
  <c r="DO773" i="4"/>
  <c r="BK786" i="4"/>
  <c r="BO348" i="4"/>
  <c r="BO338" i="4"/>
  <c r="BO328" i="4"/>
  <c r="BX838" i="4"/>
  <c r="BQ325" i="4"/>
  <c r="BP458" i="4"/>
  <c r="DP458" i="4" s="1"/>
  <c r="BP459" i="4"/>
  <c r="DP459" i="4" s="1"/>
  <c r="DP457" i="4"/>
  <c r="BQ326" i="4"/>
  <c r="DM504" i="4"/>
  <c r="BA511" i="4"/>
  <c r="DM511" i="4" s="1"/>
  <c r="BA507" i="4"/>
  <c r="DM507" i="4" s="1"/>
  <c r="BA146" i="4"/>
  <c r="DM140" i="4"/>
  <c r="BA145" i="4"/>
  <c r="BA151" i="4"/>
  <c r="DM151" i="4" s="1"/>
  <c r="BA788" i="4"/>
  <c r="DM788" i="4" s="1"/>
  <c r="DM765" i="4"/>
  <c r="BB140" i="4"/>
  <c r="BA148" i="4"/>
  <c r="DM148" i="4" s="1"/>
  <c r="BF148" i="4"/>
  <c r="DN148" i="4" s="1"/>
  <c r="DP326" i="4"/>
  <c r="BO321" i="4"/>
  <c r="BP369" i="4"/>
  <c r="DP367" i="4"/>
  <c r="BP837" i="4"/>
  <c r="BO860" i="4"/>
  <c r="BO796" i="4" s="1"/>
  <c r="BO798" i="4" s="1"/>
  <c r="DF495" i="4"/>
  <c r="R496" i="4"/>
  <c r="BO363" i="4"/>
  <c r="BT404" i="4"/>
  <c r="BU3" i="4"/>
  <c r="BN3" i="51" s="1"/>
  <c r="BT4" i="4"/>
  <c r="R523" i="4"/>
  <c r="DF523" i="4" s="1"/>
  <c r="BA522" i="4"/>
  <c r="DM522" i="4" s="1"/>
  <c r="AW523" i="4"/>
  <c r="BA523" i="4" s="1"/>
  <c r="DM523" i="4" s="1"/>
  <c r="BR934" i="4"/>
  <c r="BR937" i="4" s="1"/>
  <c r="BS933" i="4"/>
  <c r="BS931" i="4"/>
  <c r="BS915" i="4"/>
  <c r="BS903" i="4"/>
  <c r="BS900" i="4"/>
  <c r="BS902" i="4"/>
  <c r="BS894" i="4"/>
  <c r="BS893" i="4"/>
  <c r="BS901" i="4"/>
  <c r="BS899" i="4"/>
  <c r="BS932" i="4"/>
  <c r="BS898" i="4"/>
  <c r="BS438" i="4"/>
  <c r="BS913" i="4"/>
  <c r="BS896" i="4"/>
  <c r="BS914" i="4"/>
  <c r="R521" i="4"/>
  <c r="DF521" i="4" s="1"/>
  <c r="CM361" i="4"/>
  <c r="CL354" i="4"/>
  <c r="DP317" i="4"/>
  <c r="BK803" i="4"/>
  <c r="DO803" i="4" s="1"/>
  <c r="DO800" i="4"/>
  <c r="DP765" i="4"/>
  <c r="BQ140" i="4"/>
  <c r="BP148" i="4"/>
  <c r="DP148" i="4" s="1"/>
  <c r="BQ148" i="4"/>
  <c r="BS839" i="4"/>
  <c r="BS897" i="4" s="1"/>
  <c r="BO322" i="4"/>
  <c r="BN802" i="4"/>
  <c r="BN800" i="4"/>
  <c r="BN803" i="4" s="1"/>
  <c r="BN773" i="4"/>
  <c r="BN786" i="4" s="1"/>
  <c r="BN788" i="4" s="1"/>
  <c r="CG943" i="4"/>
  <c r="CH941" i="4"/>
  <c r="BQ937" i="4"/>
  <c r="BP473" i="4"/>
  <c r="DP469" i="4"/>
  <c r="CG289" i="4"/>
  <c r="CF282" i="4"/>
  <c r="BQ368" i="4"/>
  <c r="BP327" i="4"/>
  <c r="BP895" i="4"/>
  <c r="BL381" i="51" l="1"/>
  <c r="BK536" i="51"/>
  <c r="BK52" i="51" s="1"/>
  <c r="BL377" i="51"/>
  <c r="BK518" i="51"/>
  <c r="BK541" i="51"/>
  <c r="BK54" i="51" s="1"/>
  <c r="BL460" i="51"/>
  <c r="BJ512" i="51"/>
  <c r="BJ530" i="51"/>
  <c r="BO507" i="51"/>
  <c r="BJ107" i="51"/>
  <c r="BJ507" i="51"/>
  <c r="BK457" i="51"/>
  <c r="BP457" i="51"/>
  <c r="BJ457" i="51"/>
  <c r="BO457" i="51"/>
  <c r="BJ514" i="51"/>
  <c r="BL506" i="51"/>
  <c r="BL510" i="51" s="1"/>
  <c r="BI54" i="51"/>
  <c r="BP363" i="4"/>
  <c r="DP363" i="4" s="1"/>
  <c r="BJ541" i="51"/>
  <c r="BJ54" i="51" s="1"/>
  <c r="BM486" i="51"/>
  <c r="BM353" i="51"/>
  <c r="BM380" i="51" s="1"/>
  <c r="BN333" i="51"/>
  <c r="BM442" i="51"/>
  <c r="BM460" i="51" s="1"/>
  <c r="BN422" i="51"/>
  <c r="BM488" i="51"/>
  <c r="BN335" i="51"/>
  <c r="BN428" i="51"/>
  <c r="BL463" i="51"/>
  <c r="BK510" i="51"/>
  <c r="DB237" i="9"/>
  <c r="DB238" i="9" s="1"/>
  <c r="BL465" i="51"/>
  <c r="BL511" i="51"/>
  <c r="BN448" i="51"/>
  <c r="BM452" i="51"/>
  <c r="BI41" i="51"/>
  <c r="BI44" i="51" s="1"/>
  <c r="BL468" i="51"/>
  <c r="BK512" i="51"/>
  <c r="BJ511" i="51"/>
  <c r="BJ516" i="51"/>
  <c r="BL354" i="51"/>
  <c r="BL538" i="51" s="1"/>
  <c r="BL395" i="51"/>
  <c r="BQ354" i="51"/>
  <c r="BQ538" i="51" s="1"/>
  <c r="BL378" i="51"/>
  <c r="BJ518" i="51"/>
  <c r="BK515" i="51"/>
  <c r="BM365" i="51"/>
  <c r="BN361" i="51"/>
  <c r="BM490" i="51"/>
  <c r="BN426" i="51"/>
  <c r="BN430" i="51"/>
  <c r="BN424" i="51"/>
  <c r="BN364" i="51"/>
  <c r="BL464" i="51"/>
  <c r="BL444" i="51"/>
  <c r="BL543" i="51" s="1"/>
  <c r="BL480" i="51"/>
  <c r="BQ444" i="51"/>
  <c r="BQ543" i="51" s="1"/>
  <c r="Z134" i="51"/>
  <c r="BN40" i="51"/>
  <c r="BN38" i="51"/>
  <c r="BN39" i="51"/>
  <c r="BN37" i="51"/>
  <c r="AY131" i="51"/>
  <c r="BD172" i="51"/>
  <c r="P128" i="51"/>
  <c r="F140" i="51"/>
  <c r="Z140" i="51"/>
  <c r="F181" i="51"/>
  <c r="BI131" i="51"/>
  <c r="P181" i="51"/>
  <c r="P140" i="51"/>
  <c r="Z131" i="51"/>
  <c r="AJ140" i="51"/>
  <c r="BX172" i="51"/>
  <c r="AE140" i="51"/>
  <c r="AE141" i="51" s="1"/>
  <c r="AE137" i="51"/>
  <c r="AJ131" i="51"/>
  <c r="AT140" i="51"/>
  <c r="K190" i="51"/>
  <c r="K178" i="51"/>
  <c r="U134" i="51"/>
  <c r="BN178" i="51"/>
  <c r="BI181" i="51"/>
  <c r="AJ190" i="51"/>
  <c r="BS193" i="51"/>
  <c r="AO134" i="51"/>
  <c r="F128" i="51"/>
  <c r="F131" i="51"/>
  <c r="P143" i="51"/>
  <c r="AE128" i="51"/>
  <c r="K137" i="51"/>
  <c r="AY181" i="51"/>
  <c r="AT178" i="51"/>
  <c r="BS187" i="51"/>
  <c r="AE178" i="51"/>
  <c r="F187" i="51"/>
  <c r="AO119" i="51"/>
  <c r="BS175" i="51"/>
  <c r="F178" i="51"/>
  <c r="U137" i="51"/>
  <c r="BI190" i="51"/>
  <c r="AY187" i="51"/>
  <c r="K181" i="51"/>
  <c r="P182" i="51" s="1"/>
  <c r="BN87" i="51"/>
  <c r="K134" i="51"/>
  <c r="BN122" i="51"/>
  <c r="K193" i="51"/>
  <c r="K143" i="51"/>
  <c r="P144" i="51" s="1"/>
  <c r="AO172" i="51"/>
  <c r="K187" i="51"/>
  <c r="AT169" i="51"/>
  <c r="AT184" i="51"/>
  <c r="U172" i="51"/>
  <c r="BI143" i="51"/>
  <c r="Z169" i="51"/>
  <c r="BN78" i="51"/>
  <c r="AY190" i="51"/>
  <c r="BX190" i="51"/>
  <c r="BX184" i="51"/>
  <c r="BI184" i="51"/>
  <c r="K128" i="51"/>
  <c r="AJ193" i="51"/>
  <c r="U140" i="51"/>
  <c r="U141" i="51" s="1"/>
  <c r="AT193" i="51"/>
  <c r="U193" i="51"/>
  <c r="BI187" i="51"/>
  <c r="BS172" i="51"/>
  <c r="AY128" i="51"/>
  <c r="BS178" i="51"/>
  <c r="BS179" i="51" s="1"/>
  <c r="F190" i="51"/>
  <c r="BD137" i="51"/>
  <c r="AT187" i="51"/>
  <c r="BN169" i="51"/>
  <c r="AT122" i="51"/>
  <c r="AE119" i="51"/>
  <c r="AY119" i="51"/>
  <c r="AY143" i="51"/>
  <c r="BI137" i="51"/>
  <c r="AO193" i="51"/>
  <c r="AO194" i="51" s="1"/>
  <c r="AO178" i="51"/>
  <c r="BN140" i="51"/>
  <c r="BD131" i="51"/>
  <c r="BN143" i="51"/>
  <c r="U169" i="51"/>
  <c r="BI193" i="51"/>
  <c r="AY178" i="51"/>
  <c r="AY179" i="51" s="1"/>
  <c r="AE169" i="51"/>
  <c r="BN134" i="51"/>
  <c r="Z172" i="51"/>
  <c r="BN137" i="51"/>
  <c r="U131" i="51"/>
  <c r="P172" i="51"/>
  <c r="AE134" i="51"/>
  <c r="AE135" i="51" s="1"/>
  <c r="AY169" i="51"/>
  <c r="P193" i="51"/>
  <c r="AT172" i="51"/>
  <c r="AT173" i="51" s="1"/>
  <c r="Z119" i="51"/>
  <c r="Z193" i="51"/>
  <c r="Z194" i="51" s="1"/>
  <c r="F172" i="51"/>
  <c r="BD122" i="51"/>
  <c r="BN119" i="51"/>
  <c r="AO140" i="51"/>
  <c r="AO141" i="51" s="1"/>
  <c r="AT143" i="51"/>
  <c r="AO131" i="51"/>
  <c r="AO132" i="51" s="1"/>
  <c r="K140" i="51"/>
  <c r="K169" i="51"/>
  <c r="BD143" i="51"/>
  <c r="BD144" i="51" s="1"/>
  <c r="F169" i="51"/>
  <c r="AJ169" i="51"/>
  <c r="AO128" i="51"/>
  <c r="P190" i="51"/>
  <c r="BI128" i="51"/>
  <c r="AY137" i="51"/>
  <c r="F143" i="51"/>
  <c r="AE172" i="51"/>
  <c r="AE173" i="51" s="1"/>
  <c r="U184" i="51"/>
  <c r="Z184" i="51"/>
  <c r="AO169" i="51"/>
  <c r="AO190" i="51"/>
  <c r="AO191" i="51" s="1"/>
  <c r="BN184" i="51"/>
  <c r="BN185" i="51" s="1"/>
  <c r="BS169" i="51"/>
  <c r="BI134" i="51"/>
  <c r="AT128" i="51"/>
  <c r="AT129" i="51" s="1"/>
  <c r="AE143" i="51"/>
  <c r="Z137" i="51"/>
  <c r="Z138" i="51" s="1"/>
  <c r="P119" i="51"/>
  <c r="AJ128" i="51"/>
  <c r="AJ129" i="51" s="1"/>
  <c r="U143" i="51"/>
  <c r="U144" i="51" s="1"/>
  <c r="F137" i="51"/>
  <c r="BX187" i="51"/>
  <c r="F184" i="51"/>
  <c r="AJ181" i="51"/>
  <c r="F193" i="51"/>
  <c r="AY184" i="51"/>
  <c r="AY185" i="51" s="1"/>
  <c r="U187" i="51"/>
  <c r="BN190" i="51"/>
  <c r="BN191" i="51" s="1"/>
  <c r="AO187" i="51"/>
  <c r="P134" i="51"/>
  <c r="BN66" i="51"/>
  <c r="AJ178" i="51"/>
  <c r="AJ137" i="51"/>
  <c r="AJ138" i="51" s="1"/>
  <c r="AJ143" i="51"/>
  <c r="AJ144" i="51" s="1"/>
  <c r="U128" i="51"/>
  <c r="U129" i="51" s="1"/>
  <c r="Z187" i="51"/>
  <c r="AJ122" i="51"/>
  <c r="AO137" i="51"/>
  <c r="AO138" i="51" s="1"/>
  <c r="BN193" i="51"/>
  <c r="BN194" i="51" s="1"/>
  <c r="AE184" i="51"/>
  <c r="AE185" i="51" s="1"/>
  <c r="Z181" i="51"/>
  <c r="BN75" i="51"/>
  <c r="AJ134" i="51"/>
  <c r="AJ135" i="51" s="1"/>
  <c r="Z122" i="51"/>
  <c r="BN131" i="51"/>
  <c r="BN81" i="51"/>
  <c r="BI122" i="51"/>
  <c r="BI123" i="51" s="1"/>
  <c r="AY140" i="51"/>
  <c r="AY141" i="51" s="1"/>
  <c r="BS190" i="51"/>
  <c r="BS191" i="51" s="1"/>
  <c r="F119" i="51"/>
  <c r="K119" i="51"/>
  <c r="BD178" i="51"/>
  <c r="BD179" i="51" s="1"/>
  <c r="F134" i="51"/>
  <c r="BI140" i="51"/>
  <c r="K131" i="51"/>
  <c r="AE122" i="51"/>
  <c r="AE123" i="51" s="1"/>
  <c r="AJ119" i="51"/>
  <c r="BN181" i="51"/>
  <c r="BI169" i="51"/>
  <c r="BX178" i="51"/>
  <c r="BI178" i="51"/>
  <c r="BD134" i="51"/>
  <c r="AY122" i="51"/>
  <c r="AY123" i="51" s="1"/>
  <c r="BI119" i="51"/>
  <c r="BX175" i="51"/>
  <c r="P178" i="51"/>
  <c r="P179" i="51" s="1"/>
  <c r="AY134" i="51"/>
  <c r="AY135" i="51" s="1"/>
  <c r="BD169" i="51"/>
  <c r="U181" i="51"/>
  <c r="U182" i="51" s="1"/>
  <c r="AY172" i="51"/>
  <c r="AY173" i="51" s="1"/>
  <c r="BD184" i="51"/>
  <c r="BD185" i="51" s="1"/>
  <c r="AT190" i="51"/>
  <c r="AJ184" i="51"/>
  <c r="AJ185" i="51" s="1"/>
  <c r="BX181" i="51"/>
  <c r="P122" i="51"/>
  <c r="U119" i="51"/>
  <c r="BD190" i="51"/>
  <c r="BD191" i="51" s="1"/>
  <c r="Z143" i="51"/>
  <c r="Z144" i="51" s="1"/>
  <c r="P184" i="51"/>
  <c r="P131" i="51"/>
  <c r="AE193" i="51"/>
  <c r="AE194" i="51" s="1"/>
  <c r="BD140" i="51"/>
  <c r="BD141" i="51" s="1"/>
  <c r="K172" i="51"/>
  <c r="U122" i="51"/>
  <c r="AE181" i="51"/>
  <c r="AE182" i="51" s="1"/>
  <c r="AE131" i="51"/>
  <c r="AE132" i="51" s="1"/>
  <c r="BN84" i="51"/>
  <c r="AY193" i="51"/>
  <c r="AY194" i="51" s="1"/>
  <c r="AO122" i="51"/>
  <c r="AO123" i="51" s="1"/>
  <c r="BD128" i="51"/>
  <c r="BD129" i="51" s="1"/>
  <c r="AO143" i="51"/>
  <c r="AO144" i="51" s="1"/>
  <c r="AT137" i="51"/>
  <c r="AT138" i="51" s="1"/>
  <c r="BX169" i="51"/>
  <c r="AE190" i="51"/>
  <c r="BD181" i="51"/>
  <c r="BD182" i="51" s="1"/>
  <c r="BD187" i="51"/>
  <c r="BN63" i="51"/>
  <c r="U190" i="51"/>
  <c r="AT181" i="51"/>
  <c r="AT182" i="51" s="1"/>
  <c r="AJ187" i="51"/>
  <c r="BX193" i="51"/>
  <c r="BN72" i="51"/>
  <c r="Z128" i="51"/>
  <c r="Z129" i="51" s="1"/>
  <c r="P137" i="51"/>
  <c r="F122" i="51"/>
  <c r="AE187" i="51"/>
  <c r="AE188" i="51" s="1"/>
  <c r="BN187" i="51"/>
  <c r="BN188" i="51" s="1"/>
  <c r="P187" i="51"/>
  <c r="P188" i="51" s="1"/>
  <c r="AT134" i="51"/>
  <c r="AT135" i="51" s="1"/>
  <c r="Z178" i="51"/>
  <c r="U178" i="51"/>
  <c r="U179" i="51" s="1"/>
  <c r="BD193" i="51"/>
  <c r="BD194" i="51" s="1"/>
  <c r="BN172" i="51"/>
  <c r="BS181" i="51"/>
  <c r="BS182" i="51" s="1"/>
  <c r="AJ172" i="51"/>
  <c r="AJ173" i="51" s="1"/>
  <c r="AO181" i="51"/>
  <c r="AO182" i="51" s="1"/>
  <c r="Z190" i="51"/>
  <c r="AT131" i="51"/>
  <c r="AT132" i="51" s="1"/>
  <c r="K184" i="51"/>
  <c r="AO184" i="51"/>
  <c r="AO185" i="51" s="1"/>
  <c r="BI172" i="51"/>
  <c r="BI173" i="51" s="1"/>
  <c r="P169" i="51"/>
  <c r="BD119" i="51"/>
  <c r="BS184" i="51"/>
  <c r="BS185" i="51" s="1"/>
  <c r="K122" i="51"/>
  <c r="BN128" i="51"/>
  <c r="BG47" i="51"/>
  <c r="BG49" i="51"/>
  <c r="BG46" i="51"/>
  <c r="BG45" i="51"/>
  <c r="BG48" i="51"/>
  <c r="BM494" i="51"/>
  <c r="BM383" i="51"/>
  <c r="BN341" i="51"/>
  <c r="BM491" i="51"/>
  <c r="BN338" i="51"/>
  <c r="BM487" i="51"/>
  <c r="BN487" i="51" s="1"/>
  <c r="BN334" i="51"/>
  <c r="BL454" i="51"/>
  <c r="BL456" i="51"/>
  <c r="BQ454" i="51"/>
  <c r="BN452" i="51"/>
  <c r="BK516" i="51"/>
  <c r="BK530" i="51"/>
  <c r="BK107" i="51"/>
  <c r="BK507" i="51"/>
  <c r="BP507" i="51"/>
  <c r="BL461" i="51"/>
  <c r="BL516" i="51"/>
  <c r="BJ510" i="51"/>
  <c r="BJ515" i="51"/>
  <c r="BL379" i="51"/>
  <c r="BK513" i="51"/>
  <c r="BL375" i="51"/>
  <c r="BL536" i="51" s="1"/>
  <c r="BL52" i="51" s="1"/>
  <c r="BL462" i="51"/>
  <c r="BJ536" i="51"/>
  <c r="BJ52" i="51" s="1"/>
  <c r="BM399" i="51"/>
  <c r="BN362" i="51"/>
  <c r="BM489" i="51"/>
  <c r="BN336" i="51"/>
  <c r="BM492" i="51"/>
  <c r="BN339" i="51"/>
  <c r="BN423" i="51"/>
  <c r="BH41" i="51"/>
  <c r="BH44" i="51" s="1"/>
  <c r="BL380" i="51"/>
  <c r="BL400" i="51"/>
  <c r="BL402" i="51" s="1"/>
  <c r="BL366" i="51"/>
  <c r="BL372" i="51"/>
  <c r="BQ366" i="51"/>
  <c r="BL108" i="9"/>
  <c r="BL149" i="9"/>
  <c r="BN363" i="51"/>
  <c r="CE241" i="51"/>
  <c r="CE53" i="51" s="1"/>
  <c r="CL301" i="4" s="1"/>
  <c r="CH21" i="51"/>
  <c r="CE402" i="51"/>
  <c r="CF372" i="51"/>
  <c r="CF366" i="51"/>
  <c r="CM318" i="4" s="1"/>
  <c r="CM326" i="4"/>
  <c r="CF399" i="51"/>
  <c r="CF401" i="51"/>
  <c r="CH408" i="51"/>
  <c r="CG24" i="51"/>
  <c r="CG364" i="51"/>
  <c r="CG365" i="51" s="1"/>
  <c r="CG451" i="51"/>
  <c r="CF41" i="51"/>
  <c r="CF45" i="51" s="1"/>
  <c r="CE49" i="51"/>
  <c r="CE44" i="51"/>
  <c r="CE48" i="51"/>
  <c r="CE46" i="51"/>
  <c r="CE33" i="51"/>
  <c r="CG39" i="51"/>
  <c r="CH361" i="51"/>
  <c r="CL327" i="4"/>
  <c r="CL322" i="4" s="1"/>
  <c r="CF28" i="51"/>
  <c r="CF30" i="51"/>
  <c r="CF32" i="51"/>
  <c r="CF400" i="51"/>
  <c r="CL369" i="4"/>
  <c r="CL386" i="4" s="1"/>
  <c r="CE45" i="51"/>
  <c r="CK321" i="4"/>
  <c r="CK348" i="4"/>
  <c r="CK338" i="4"/>
  <c r="CK328" i="4"/>
  <c r="CH38" i="51"/>
  <c r="CH23" i="51"/>
  <c r="CG37" i="51"/>
  <c r="CG25" i="51"/>
  <c r="CG31" i="51" s="1"/>
  <c r="CF398" i="51"/>
  <c r="DQ790" i="4"/>
  <c r="DM145" i="4"/>
  <c r="BA150" i="4"/>
  <c r="DM150" i="4" s="1"/>
  <c r="DP473" i="4"/>
  <c r="BP482" i="4"/>
  <c r="BT839" i="4"/>
  <c r="BU839" i="4" s="1"/>
  <c r="BS448" i="4"/>
  <c r="BS455" i="4" s="1"/>
  <c r="BS27" i="4" s="1"/>
  <c r="BS31" i="4" s="1"/>
  <c r="BS691" i="4" s="1"/>
  <c r="BS441" i="4"/>
  <c r="S492" i="4"/>
  <c r="S496" i="4" s="1"/>
  <c r="W492" i="4"/>
  <c r="DF496" i="4"/>
  <c r="BP860" i="4"/>
  <c r="DC237" i="9" s="1"/>
  <c r="DC238" i="9" s="1"/>
  <c r="BQ837" i="4"/>
  <c r="DP837" i="4"/>
  <c r="BV317" i="4"/>
  <c r="BQ327" i="4"/>
  <c r="BQ322" i="4" s="1"/>
  <c r="DO786" i="4"/>
  <c r="BK788" i="4"/>
  <c r="DO788" i="4" s="1"/>
  <c r="BR442" i="4"/>
  <c r="BR13" i="4"/>
  <c r="BV364" i="4"/>
  <c r="BR325" i="4"/>
  <c r="DP895" i="4"/>
  <c r="BP917" i="4"/>
  <c r="DP917" i="4" s="1"/>
  <c r="CF283" i="4"/>
  <c r="CF284" i="4"/>
  <c r="CL355" i="4"/>
  <c r="CL356" i="4"/>
  <c r="BB146" i="4"/>
  <c r="BB145" i="4"/>
  <c r="BB150" i="4" s="1"/>
  <c r="BB151" i="4"/>
  <c r="BQ318" i="4"/>
  <c r="BU448" i="4"/>
  <c r="BR455" i="4"/>
  <c r="BR27" i="4" s="1"/>
  <c r="BQ364" i="4"/>
  <c r="BQ369" i="4"/>
  <c r="BQ386" i="4" s="1"/>
  <c r="BB788" i="4"/>
  <c r="BC140" i="4"/>
  <c r="BF140" i="4"/>
  <c r="BC148" i="4"/>
  <c r="BB148" i="4"/>
  <c r="BR326" i="4"/>
  <c r="BR318" i="4"/>
  <c r="BW318" i="4"/>
  <c r="BB522" i="4"/>
  <c r="BF504" i="4"/>
  <c r="AD42" i="9" s="1"/>
  <c r="AD46" i="9" s="1"/>
  <c r="BB507" i="4"/>
  <c r="BB511" i="4"/>
  <c r="DP327" i="4"/>
  <c r="BP328" i="4"/>
  <c r="DP328" i="4" s="1"/>
  <c r="BP338" i="4"/>
  <c r="DP338" i="4" s="1"/>
  <c r="BP348" i="4"/>
  <c r="DP348" i="4" s="1"/>
  <c r="BP321" i="4"/>
  <c r="DP321" i="4" s="1"/>
  <c r="CH289" i="4"/>
  <c r="CG282" i="4"/>
  <c r="CH943" i="4"/>
  <c r="CI941" i="4"/>
  <c r="CN361" i="4"/>
  <c r="CM354" i="4"/>
  <c r="BU404" i="4"/>
  <c r="DQ404" i="4" s="1"/>
  <c r="DQ3" i="4"/>
  <c r="BV4" i="4"/>
  <c r="BZ4" i="4"/>
  <c r="DP369" i="4"/>
  <c r="BP386" i="4"/>
  <c r="DP386" i="4" s="1"/>
  <c r="BP322" i="4"/>
  <c r="DP322" i="4" s="1"/>
  <c r="BU438" i="4"/>
  <c r="AV53" i="9" s="1"/>
  <c r="BF933" i="4"/>
  <c r="BB934" i="4"/>
  <c r="BF934" i="4" s="1"/>
  <c r="DN934" i="4" s="1"/>
  <c r="BR300" i="4"/>
  <c r="DN503" i="4"/>
  <c r="BT933" i="4"/>
  <c r="BU933" i="4" s="1"/>
  <c r="DQ933" i="4" s="1"/>
  <c r="BT931" i="4"/>
  <c r="BU931" i="4" s="1"/>
  <c r="DQ931" i="4" s="1"/>
  <c r="BT915" i="4"/>
  <c r="BT905" i="4"/>
  <c r="BU905" i="4" s="1"/>
  <c r="DQ905" i="4" s="1"/>
  <c r="BT901" i="4"/>
  <c r="BU901" i="4" s="1"/>
  <c r="DQ901" i="4" s="1"/>
  <c r="BT900" i="4"/>
  <c r="BU900" i="4" s="1"/>
  <c r="DQ900" i="4" s="1"/>
  <c r="BT902" i="4"/>
  <c r="BU902" i="4" s="1"/>
  <c r="DQ902" i="4" s="1"/>
  <c r="BT894" i="4"/>
  <c r="BT903" i="4"/>
  <c r="BU903" i="4" s="1"/>
  <c r="DQ903" i="4" s="1"/>
  <c r="BT893" i="4"/>
  <c r="BT899" i="4"/>
  <c r="BU899" i="4" s="1"/>
  <c r="DQ899" i="4" s="1"/>
  <c r="BT932" i="4"/>
  <c r="BU932" i="4" s="1"/>
  <c r="DQ932" i="4" s="1"/>
  <c r="BT913" i="4"/>
  <c r="BU913" i="4" s="1"/>
  <c r="DQ913" i="4" s="1"/>
  <c r="BT691" i="4"/>
  <c r="BT690" i="4"/>
  <c r="BT898" i="4"/>
  <c r="BU898" i="4" s="1"/>
  <c r="DQ898" i="4" s="1"/>
  <c r="BT896" i="4"/>
  <c r="BU896" i="4" s="1"/>
  <c r="DQ896" i="4" s="1"/>
  <c r="BT914" i="4"/>
  <c r="BU914" i="4" s="1"/>
  <c r="DQ914" i="4" s="1"/>
  <c r="BQ146" i="4"/>
  <c r="BQ145" i="4"/>
  <c r="BQ150" i="4" s="1"/>
  <c r="BQ151" i="4"/>
  <c r="BR367" i="4"/>
  <c r="BR369" i="4" s="1"/>
  <c r="BR386" i="4" s="1"/>
  <c r="BU894" i="4"/>
  <c r="DQ894" i="4" s="1"/>
  <c r="BU915" i="4"/>
  <c r="DQ915" i="4" s="1"/>
  <c r="BQ300" i="4"/>
  <c r="BO802" i="4"/>
  <c r="BO800" i="4"/>
  <c r="BO803" i="4" s="1"/>
  <c r="BO773" i="4"/>
  <c r="BO786" i="4" s="1"/>
  <c r="BO788" i="4" s="1"/>
  <c r="DM146" i="4"/>
  <c r="BA149" i="4"/>
  <c r="DM149" i="4" s="1"/>
  <c r="BQ317" i="4"/>
  <c r="BR466" i="4"/>
  <c r="BD138" i="51" l="1"/>
  <c r="K163" i="51"/>
  <c r="U188" i="51"/>
  <c r="U132" i="51"/>
  <c r="BS173" i="51"/>
  <c r="AE179" i="51"/>
  <c r="P141" i="51"/>
  <c r="AY132" i="51"/>
  <c r="Z191" i="51"/>
  <c r="BI179" i="51"/>
  <c r="AJ123" i="51"/>
  <c r="Z185" i="51"/>
  <c r="BM463" i="51"/>
  <c r="BM466" i="51"/>
  <c r="BM461" i="51"/>
  <c r="BN442" i="51"/>
  <c r="BN462" i="51" s="1"/>
  <c r="BM464" i="51"/>
  <c r="BM465" i="51"/>
  <c r="BM462" i="51"/>
  <c r="BL515" i="51"/>
  <c r="BL512" i="51"/>
  <c r="BM468" i="51"/>
  <c r="BL518" i="51"/>
  <c r="BL514" i="51"/>
  <c r="BN85" i="51"/>
  <c r="BS85" i="51"/>
  <c r="P185" i="51"/>
  <c r="BN67" i="51"/>
  <c r="BS67" i="51"/>
  <c r="BS144" i="51"/>
  <c r="BN144" i="51"/>
  <c r="AE120" i="51"/>
  <c r="AE163" i="51"/>
  <c r="AT170" i="51"/>
  <c r="BI182" i="51"/>
  <c r="BR469" i="4"/>
  <c r="BR473" i="4" s="1"/>
  <c r="BR482" i="4" s="1"/>
  <c r="BR483" i="4" s="1"/>
  <c r="BL155" i="9"/>
  <c r="BL160" i="9"/>
  <c r="BH49" i="51"/>
  <c r="BH45" i="51"/>
  <c r="BH48" i="51"/>
  <c r="BH46" i="51"/>
  <c r="BH47" i="51"/>
  <c r="BM378" i="51"/>
  <c r="BN492" i="51"/>
  <c r="AU60" i="9"/>
  <c r="AU62" i="9" s="1"/>
  <c r="AU64" i="9" s="1"/>
  <c r="BN454" i="51"/>
  <c r="BS454" i="51"/>
  <c r="BN494" i="51"/>
  <c r="BN129" i="51"/>
  <c r="BS129" i="51"/>
  <c r="U170" i="51"/>
  <c r="P170" i="51"/>
  <c r="Z179" i="51"/>
  <c r="BN73" i="51"/>
  <c r="BS73" i="51"/>
  <c r="U191" i="51"/>
  <c r="AE191" i="51"/>
  <c r="BX182" i="51"/>
  <c r="CC182" i="51"/>
  <c r="BD135" i="51"/>
  <c r="BN182" i="51"/>
  <c r="BI141" i="51"/>
  <c r="BN82" i="51"/>
  <c r="BS82" i="51"/>
  <c r="BS76" i="51"/>
  <c r="BN76" i="51"/>
  <c r="BX188" i="51"/>
  <c r="CC188" i="51"/>
  <c r="P163" i="51"/>
  <c r="P120" i="51"/>
  <c r="BI135" i="51"/>
  <c r="AO170" i="51"/>
  <c r="AO129" i="51"/>
  <c r="K213" i="51"/>
  <c r="AY170" i="51"/>
  <c r="BN138" i="51"/>
  <c r="BS138" i="51"/>
  <c r="BD132" i="51"/>
  <c r="BI138" i="51"/>
  <c r="AT123" i="51"/>
  <c r="AT163" i="51"/>
  <c r="AT213" i="51" s="1"/>
  <c r="AJ194" i="51"/>
  <c r="BX191" i="51"/>
  <c r="CC191" i="51"/>
  <c r="BI144" i="51"/>
  <c r="BN163" i="51"/>
  <c r="BN123" i="51"/>
  <c r="BS123" i="51"/>
  <c r="AY188" i="51"/>
  <c r="BS176" i="51"/>
  <c r="BS69" i="51"/>
  <c r="BS188" i="51"/>
  <c r="AE129" i="51"/>
  <c r="AO135" i="51"/>
  <c r="BN179" i="51"/>
  <c r="AT141" i="51"/>
  <c r="BX173" i="51"/>
  <c r="CC173" i="51"/>
  <c r="Z135" i="51"/>
  <c r="BM372" i="51"/>
  <c r="BM366" i="51"/>
  <c r="BN366" i="51" s="1"/>
  <c r="BR366" i="51"/>
  <c r="BS366" i="51" s="1"/>
  <c r="BN365" i="51"/>
  <c r="BN400" i="51" s="1"/>
  <c r="BM456" i="51"/>
  <c r="BM454" i="51"/>
  <c r="BR454" i="51"/>
  <c r="BM506" i="51"/>
  <c r="BM510" i="51" s="1"/>
  <c r="BN486" i="51"/>
  <c r="BI120" i="51"/>
  <c r="BD120" i="51"/>
  <c r="BD163" i="51"/>
  <c r="AE170" i="51"/>
  <c r="AE213" i="51"/>
  <c r="BX185" i="51"/>
  <c r="CC185" i="51"/>
  <c r="Z141" i="51"/>
  <c r="BM375" i="51"/>
  <c r="BR354" i="51"/>
  <c r="BR538" i="51" s="1"/>
  <c r="BM354" i="51"/>
  <c r="BM538" i="51" s="1"/>
  <c r="BM395" i="51"/>
  <c r="BN353" i="51"/>
  <c r="BN376" i="51" s="1"/>
  <c r="BL541" i="51"/>
  <c r="BL54" i="51" s="1"/>
  <c r="BQ149" i="4"/>
  <c r="BL114" i="9"/>
  <c r="BL119" i="9"/>
  <c r="BM381" i="51"/>
  <c r="BJ215" i="51"/>
  <c r="BJ165" i="51"/>
  <c r="BJ109" i="51"/>
  <c r="P3" i="9"/>
  <c r="P6" i="9" s="1"/>
  <c r="BK36" i="51"/>
  <c r="BP108" i="51"/>
  <c r="BK108" i="51"/>
  <c r="BM376" i="51"/>
  <c r="BM515" i="51"/>
  <c r="BN491" i="51"/>
  <c r="BN173" i="51"/>
  <c r="BX194" i="51"/>
  <c r="CC194" i="51"/>
  <c r="BN64" i="51"/>
  <c r="BS64" i="51"/>
  <c r="BX170" i="51"/>
  <c r="CC170" i="51"/>
  <c r="BX213" i="51"/>
  <c r="BX69" i="51"/>
  <c r="BX176" i="51"/>
  <c r="CC176" i="51"/>
  <c r="AJ163" i="51"/>
  <c r="AJ164" i="51" s="1"/>
  <c r="AJ120" i="51"/>
  <c r="BS132" i="51"/>
  <c r="BN132" i="51"/>
  <c r="Z182" i="51"/>
  <c r="AO188" i="51"/>
  <c r="BS170" i="51"/>
  <c r="BS213" i="51"/>
  <c r="AY138" i="51"/>
  <c r="AJ170" i="51"/>
  <c r="BS120" i="51"/>
  <c r="BN120" i="51"/>
  <c r="Z120" i="51"/>
  <c r="Z163" i="51"/>
  <c r="Z213" i="51" s="1"/>
  <c r="BI194" i="51"/>
  <c r="BS141" i="51"/>
  <c r="BN141" i="51"/>
  <c r="AY144" i="51"/>
  <c r="BN170" i="51"/>
  <c r="U194" i="51"/>
  <c r="AY191" i="51"/>
  <c r="Z173" i="51"/>
  <c r="AO173" i="51"/>
  <c r="P135" i="51"/>
  <c r="BI191" i="51"/>
  <c r="AO120" i="51"/>
  <c r="AO163" i="51"/>
  <c r="AO164" i="51" s="1"/>
  <c r="AT120" i="51"/>
  <c r="AT179" i="51"/>
  <c r="BS194" i="51"/>
  <c r="U135" i="51"/>
  <c r="AJ132" i="51"/>
  <c r="AJ141" i="51"/>
  <c r="BI132" i="51"/>
  <c r="P129" i="51"/>
  <c r="BN401" i="51"/>
  <c r="BN490" i="51"/>
  <c r="BM398" i="51"/>
  <c r="BI49" i="51"/>
  <c r="BI47" i="51"/>
  <c r="BI48" i="51"/>
  <c r="BI46" i="51"/>
  <c r="BI45" i="51"/>
  <c r="BK165" i="51"/>
  <c r="BK215" i="51"/>
  <c r="BK109" i="51"/>
  <c r="BM377" i="51"/>
  <c r="BM444" i="51"/>
  <c r="BM543" i="51" s="1"/>
  <c r="BM480" i="51"/>
  <c r="BR444" i="51"/>
  <c r="BR543" i="51" s="1"/>
  <c r="BM401" i="51"/>
  <c r="BL513" i="51"/>
  <c r="BL530" i="51"/>
  <c r="BL107" i="51"/>
  <c r="BL507" i="51"/>
  <c r="BQ507" i="51"/>
  <c r="BJ36" i="51"/>
  <c r="BJ41" i="51" s="1"/>
  <c r="BO108" i="51"/>
  <c r="BJ108" i="51"/>
  <c r="BI170" i="51"/>
  <c r="AT144" i="51"/>
  <c r="Z170" i="51"/>
  <c r="BN398" i="51"/>
  <c r="BF506" i="4"/>
  <c r="DN506" i="4" s="1"/>
  <c r="CR911" i="4"/>
  <c r="CR910" i="4"/>
  <c r="CR926" i="4"/>
  <c r="CR907" i="4"/>
  <c r="CR924" i="4"/>
  <c r="CR925" i="4"/>
  <c r="CR906" i="4"/>
  <c r="CR920" i="4"/>
  <c r="CR923" i="4"/>
  <c r="CR921" i="4"/>
  <c r="CR919" i="4"/>
  <c r="CR908" i="4"/>
  <c r="CR905" i="4"/>
  <c r="CR922" i="4"/>
  <c r="CR909" i="4"/>
  <c r="BP927" i="4"/>
  <c r="DP927" i="4" s="1"/>
  <c r="BT897" i="4"/>
  <c r="BU897" i="4" s="1"/>
  <c r="DQ897" i="4" s="1"/>
  <c r="BN399" i="51"/>
  <c r="BL457" i="51"/>
  <c r="BQ457" i="51"/>
  <c r="BN383" i="51"/>
  <c r="P138" i="51"/>
  <c r="AJ188" i="51"/>
  <c r="BI188" i="51"/>
  <c r="BD188" i="51"/>
  <c r="P132" i="51"/>
  <c r="U120" i="51"/>
  <c r="U163" i="51"/>
  <c r="AT191" i="51"/>
  <c r="BD170" i="51"/>
  <c r="BI163" i="51"/>
  <c r="BI213" i="51" s="1"/>
  <c r="BX179" i="51"/>
  <c r="CC179" i="51"/>
  <c r="Z123" i="51"/>
  <c r="Z188" i="51"/>
  <c r="AJ179" i="51"/>
  <c r="AJ182" i="51"/>
  <c r="AE144" i="51"/>
  <c r="U185" i="51"/>
  <c r="BI129" i="51"/>
  <c r="BD123" i="51"/>
  <c r="BS135" i="51"/>
  <c r="BN135" i="51"/>
  <c r="U213" i="51"/>
  <c r="AO179" i="51"/>
  <c r="AY120" i="51"/>
  <c r="AY163" i="51"/>
  <c r="AY164" i="51" s="1"/>
  <c r="AT188" i="51"/>
  <c r="AY129" i="51"/>
  <c r="AT194" i="51"/>
  <c r="BI185" i="51"/>
  <c r="BN79" i="51"/>
  <c r="BS79" i="51"/>
  <c r="AT185" i="51"/>
  <c r="BN88" i="51"/>
  <c r="BS88" i="51"/>
  <c r="U138" i="51"/>
  <c r="AY182" i="51"/>
  <c r="AJ191" i="51"/>
  <c r="AE138" i="51"/>
  <c r="Z132" i="51"/>
  <c r="BD173" i="51"/>
  <c r="BM379" i="51"/>
  <c r="BN468" i="51"/>
  <c r="BN480" i="51"/>
  <c r="BN444" i="51"/>
  <c r="BN543" i="51" s="1"/>
  <c r="BS444" i="51"/>
  <c r="BS543" i="51" s="1"/>
  <c r="BN466" i="51"/>
  <c r="BN488" i="51"/>
  <c r="BN375" i="51"/>
  <c r="BM400" i="51"/>
  <c r="BN489" i="51"/>
  <c r="CF47" i="51"/>
  <c r="CF33" i="51"/>
  <c r="CG29" i="51"/>
  <c r="CH24" i="51"/>
  <c r="CM327" i="4"/>
  <c r="CG372" i="51"/>
  <c r="CG366" i="51"/>
  <c r="CH366" i="51" s="1"/>
  <c r="CN326" i="4"/>
  <c r="CG399" i="51"/>
  <c r="CH451" i="51"/>
  <c r="CG452" i="51"/>
  <c r="CG400" i="51"/>
  <c r="CH365" i="51"/>
  <c r="CG28" i="51"/>
  <c r="CG30" i="51"/>
  <c r="CH39" i="51"/>
  <c r="CL321" i="4"/>
  <c r="CL328" i="4"/>
  <c r="CL348" i="4"/>
  <c r="CL338" i="4"/>
  <c r="CG398" i="51"/>
  <c r="CG401" i="51"/>
  <c r="CH364" i="51"/>
  <c r="CH37" i="51"/>
  <c r="CH29" i="51"/>
  <c r="CH25" i="51"/>
  <c r="CH31" i="51" s="1"/>
  <c r="CF402" i="51"/>
  <c r="CF241" i="51"/>
  <c r="CF53" i="51" s="1"/>
  <c r="CM301" i="4" s="1"/>
  <c r="CF49" i="51"/>
  <c r="CF44" i="51"/>
  <c r="CF46" i="51"/>
  <c r="CF48" i="51"/>
  <c r="CG40" i="51"/>
  <c r="CG32" i="51"/>
  <c r="DR4" i="4"/>
  <c r="CW921" i="4"/>
  <c r="BX914" i="4"/>
  <c r="BX901" i="4"/>
  <c r="BX894" i="4"/>
  <c r="CN926" i="4"/>
  <c r="CO926" i="4" s="1"/>
  <c r="CN923" i="4"/>
  <c r="CO923" i="4" s="1"/>
  <c r="CN910" i="4"/>
  <c r="CN906" i="4"/>
  <c r="CV926" i="4"/>
  <c r="BY904" i="4"/>
  <c r="BY905" i="4"/>
  <c r="BY906" i="4"/>
  <c r="BZ906" i="4" s="1"/>
  <c r="DR906" i="4" s="1"/>
  <c r="CL909" i="4"/>
  <c r="CL905" i="4"/>
  <c r="CP921" i="4"/>
  <c r="CP920" i="4"/>
  <c r="CP911" i="4"/>
  <c r="CX926" i="4"/>
  <c r="CS909" i="4"/>
  <c r="CS921" i="4"/>
  <c r="CS919" i="4"/>
  <c r="BW913" i="4"/>
  <c r="BW905" i="4"/>
  <c r="BW900" i="4"/>
  <c r="CI909" i="4"/>
  <c r="CI906" i="4"/>
  <c r="CM908" i="4"/>
  <c r="CQ919" i="4"/>
  <c r="CQ908" i="4"/>
  <c r="CQ926" i="4"/>
  <c r="CU906" i="4"/>
  <c r="CU920" i="4"/>
  <c r="CQ925" i="4"/>
  <c r="CU909" i="4"/>
  <c r="CX922" i="4"/>
  <c r="CU905" i="4"/>
  <c r="CW923" i="4"/>
  <c r="CW924" i="4"/>
  <c r="BX915" i="4"/>
  <c r="BX904" i="4"/>
  <c r="BX899" i="4"/>
  <c r="CB905" i="4"/>
  <c r="CB906" i="4"/>
  <c r="CN924" i="4"/>
  <c r="CO924" i="4" s="1"/>
  <c r="CN921" i="4"/>
  <c r="CO921" i="4" s="1"/>
  <c r="CN909" i="4"/>
  <c r="CN905" i="4"/>
  <c r="CN925" i="4"/>
  <c r="CO925" i="4" s="1"/>
  <c r="CV921" i="4"/>
  <c r="CV922" i="4"/>
  <c r="BY914" i="4"/>
  <c r="BY902" i="4"/>
  <c r="BY903" i="4"/>
  <c r="BY893" i="4"/>
  <c r="CK909" i="4"/>
  <c r="CK907" i="4"/>
  <c r="CD905" i="4"/>
  <c r="CH909" i="4"/>
  <c r="CH905" i="4"/>
  <c r="CL908" i="4"/>
  <c r="CP910" i="4"/>
  <c r="CP909" i="4"/>
  <c r="CP906" i="4"/>
  <c r="CX921" i="4"/>
  <c r="CC906" i="4"/>
  <c r="CS911" i="4"/>
  <c r="CS924" i="4"/>
  <c r="CS908" i="4"/>
  <c r="CS905" i="4"/>
  <c r="BW915" i="4"/>
  <c r="BW901" i="4"/>
  <c r="BW904" i="4"/>
  <c r="CI908" i="4"/>
  <c r="CI907" i="4"/>
  <c r="CJ907" i="4" s="1"/>
  <c r="CM911" i="4"/>
  <c r="CM907" i="4"/>
  <c r="CQ924" i="4"/>
  <c r="CQ911" i="4"/>
  <c r="CQ907" i="4"/>
  <c r="CU919" i="4"/>
  <c r="CU907" i="4"/>
  <c r="CZ923" i="4"/>
  <c r="CZ919" i="4"/>
  <c r="CZ921" i="4"/>
  <c r="CZ926" i="4"/>
  <c r="BW932" i="4"/>
  <c r="CU911" i="4"/>
  <c r="CV908" i="4"/>
  <c r="CV920" i="4"/>
  <c r="CZ924" i="4"/>
  <c r="CZ920" i="4"/>
  <c r="CP925" i="4"/>
  <c r="CG906" i="4"/>
  <c r="CW926" i="4"/>
  <c r="CW922" i="4"/>
  <c r="BX933" i="4"/>
  <c r="BX913" i="4"/>
  <c r="BX900" i="4"/>
  <c r="BX903" i="4"/>
  <c r="CN922" i="4"/>
  <c r="CO922" i="4" s="1"/>
  <c r="CN919" i="4"/>
  <c r="CO919" i="4" s="1"/>
  <c r="CN908" i="4"/>
  <c r="CV924" i="4"/>
  <c r="CV910" i="4"/>
  <c r="BY915" i="4"/>
  <c r="BY900" i="4"/>
  <c r="BY901" i="4"/>
  <c r="CK908" i="4"/>
  <c r="CK906" i="4"/>
  <c r="CH908" i="4"/>
  <c r="CJ908" i="4" s="1"/>
  <c r="CH906" i="4"/>
  <c r="CL911" i="4"/>
  <c r="CL907" i="4"/>
  <c r="CP905" i="4"/>
  <c r="CP923" i="4"/>
  <c r="CP922" i="4"/>
  <c r="CP926" i="4"/>
  <c r="CP919" i="4"/>
  <c r="CX924" i="4"/>
  <c r="CX923" i="4"/>
  <c r="CC905" i="4"/>
  <c r="CS906" i="4"/>
  <c r="CS923" i="4"/>
  <c r="CS907" i="4"/>
  <c r="CS922" i="4"/>
  <c r="BW933" i="4"/>
  <c r="BW902" i="4"/>
  <c r="BW903" i="4"/>
  <c r="BW893" i="4"/>
  <c r="CM910" i="4"/>
  <c r="CM906" i="4"/>
  <c r="CQ923" i="4"/>
  <c r="CQ922" i="4"/>
  <c r="CQ910" i="4"/>
  <c r="CQ906" i="4"/>
  <c r="CU921" i="4"/>
  <c r="CU923" i="4"/>
  <c r="CU910" i="4"/>
  <c r="CU908" i="4"/>
  <c r="CG905" i="4"/>
  <c r="CW919" i="4"/>
  <c r="CW920" i="4"/>
  <c r="BX931" i="4"/>
  <c r="BX905" i="4"/>
  <c r="BX902" i="4"/>
  <c r="BX893" i="4"/>
  <c r="CN920" i="4"/>
  <c r="CO920" i="4" s="1"/>
  <c r="CN911" i="4"/>
  <c r="CN907" i="4"/>
  <c r="CV919" i="4"/>
  <c r="CV923" i="4"/>
  <c r="CV906" i="4"/>
  <c r="BY913" i="4"/>
  <c r="BY894" i="4"/>
  <c r="BY899" i="4"/>
  <c r="CK905" i="4"/>
  <c r="CD906" i="4"/>
  <c r="CL910" i="4"/>
  <c r="CL906" i="4"/>
  <c r="CP908" i="4"/>
  <c r="CP907" i="4"/>
  <c r="CT907" i="4" s="1"/>
  <c r="CP924" i="4"/>
  <c r="CT924" i="4" s="1"/>
  <c r="CX919" i="4"/>
  <c r="CX920" i="4"/>
  <c r="CS910" i="4"/>
  <c r="CS926" i="4"/>
  <c r="CS920" i="4"/>
  <c r="BW931" i="4"/>
  <c r="BW894" i="4"/>
  <c r="BW899" i="4"/>
  <c r="CI905" i="4"/>
  <c r="CM909" i="4"/>
  <c r="CM905" i="4"/>
  <c r="CQ921" i="4"/>
  <c r="CQ920" i="4"/>
  <c r="CQ909" i="4"/>
  <c r="CQ905" i="4"/>
  <c r="CU926" i="4"/>
  <c r="CU924" i="4"/>
  <c r="CU922" i="4"/>
  <c r="DA923" i="4"/>
  <c r="DA919" i="4"/>
  <c r="DA921" i="4"/>
  <c r="DA926" i="4"/>
  <c r="CW906" i="4"/>
  <c r="CV907" i="4"/>
  <c r="CV911" i="4"/>
  <c r="CV905" i="4"/>
  <c r="DA924" i="4"/>
  <c r="DA922" i="4"/>
  <c r="CW905" i="4"/>
  <c r="BX932" i="4"/>
  <c r="BZ691" i="4"/>
  <c r="DR691" i="4" s="1"/>
  <c r="CW910" i="4"/>
  <c r="CZ922" i="4"/>
  <c r="CW908" i="4"/>
  <c r="CA893" i="4"/>
  <c r="CF906" i="4"/>
  <c r="CJ906" i="4" s="1"/>
  <c r="DT906" i="4" s="1"/>
  <c r="CW909" i="4"/>
  <c r="CV909" i="4"/>
  <c r="CF905" i="4"/>
  <c r="CW907" i="4"/>
  <c r="CX906" i="4"/>
  <c r="CX910" i="4"/>
  <c r="CX908" i="4"/>
  <c r="CW911" i="4"/>
  <c r="CS925" i="4"/>
  <c r="DA920" i="4"/>
  <c r="CX907" i="4"/>
  <c r="CX909" i="4"/>
  <c r="BZ690" i="4"/>
  <c r="DR690" i="4" s="1"/>
  <c r="CX911" i="4"/>
  <c r="CX905" i="4"/>
  <c r="CU925" i="4"/>
  <c r="CV925" i="4"/>
  <c r="CW925" i="4"/>
  <c r="CX925" i="4"/>
  <c r="CZ925" i="4"/>
  <c r="DA925" i="4"/>
  <c r="BX898" i="4"/>
  <c r="BW898" i="4"/>
  <c r="BZ199" i="4"/>
  <c r="BZ200" i="4"/>
  <c r="DR200" i="4" s="1"/>
  <c r="BY898" i="4"/>
  <c r="BQ904" i="4"/>
  <c r="BR904" i="4"/>
  <c r="BW914" i="4"/>
  <c r="BS904" i="4"/>
  <c r="BW896" i="4"/>
  <c r="CO361" i="4"/>
  <c r="CN354" i="4"/>
  <c r="BW317" i="4"/>
  <c r="BR364" i="4"/>
  <c r="CM356" i="4"/>
  <c r="CM355" i="4"/>
  <c r="CI943" i="4"/>
  <c r="CJ941" i="4"/>
  <c r="BF522" i="4"/>
  <c r="DN522" i="4" s="1"/>
  <c r="BB523" i="4"/>
  <c r="BF523" i="4" s="1"/>
  <c r="DN523" i="4" s="1"/>
  <c r="DN140" i="4"/>
  <c r="BF146" i="4"/>
  <c r="BF145" i="4"/>
  <c r="BF151" i="4"/>
  <c r="DN151" i="4" s="1"/>
  <c r="BR31" i="4"/>
  <c r="BR691" i="4" s="1"/>
  <c r="BU27" i="4"/>
  <c r="DD242" i="9" s="1"/>
  <c r="BS325" i="4"/>
  <c r="BQ338" i="4"/>
  <c r="BQ328" i="4"/>
  <c r="BQ348" i="4"/>
  <c r="BV328" i="4"/>
  <c r="DP860" i="4"/>
  <c r="BP796" i="4"/>
  <c r="BV839" i="4"/>
  <c r="BV897" i="4" s="1"/>
  <c r="DQ839" i="4"/>
  <c r="BP486" i="4"/>
  <c r="BP483" i="4"/>
  <c r="DP483" i="4" s="1"/>
  <c r="DP482" i="4"/>
  <c r="DN933" i="4"/>
  <c r="BF937" i="4"/>
  <c r="DN937" i="4" s="1"/>
  <c r="BR363" i="4"/>
  <c r="BC146" i="4"/>
  <c r="BC145" i="4"/>
  <c r="BC150" i="4" s="1"/>
  <c r="BC151" i="4"/>
  <c r="BS463" i="4"/>
  <c r="BS457" i="4"/>
  <c r="BS469" i="4"/>
  <c r="BS473" i="4" s="1"/>
  <c r="BS482" i="4" s="1"/>
  <c r="BS442" i="4"/>
  <c r="BS13" i="4"/>
  <c r="BS14" i="4" s="1"/>
  <c r="BX896" i="4"/>
  <c r="BT904" i="4"/>
  <c r="BG503" i="4"/>
  <c r="BG504" i="4" s="1"/>
  <c r="BK503" i="4"/>
  <c r="BS326" i="4"/>
  <c r="BS318" i="4"/>
  <c r="BX318" i="4"/>
  <c r="BV901" i="4"/>
  <c r="BZ901" i="4" s="1"/>
  <c r="DR901" i="4" s="1"/>
  <c r="BV900" i="4"/>
  <c r="BV902" i="4"/>
  <c r="BV915" i="4"/>
  <c r="BZ915" i="4" s="1"/>
  <c r="DR915" i="4" s="1"/>
  <c r="BV893" i="4"/>
  <c r="BV905" i="4"/>
  <c r="BZ905" i="4" s="1"/>
  <c r="DR905" i="4" s="1"/>
  <c r="BV903" i="4"/>
  <c r="BZ903" i="4" s="1"/>
  <c r="DR903" i="4" s="1"/>
  <c r="BV894" i="4"/>
  <c r="BZ894" i="4" s="1"/>
  <c r="DR894" i="4" s="1"/>
  <c r="BV904" i="4"/>
  <c r="BV899" i="4"/>
  <c r="BV931" i="4"/>
  <c r="BV933" i="4"/>
  <c r="BV913" i="4"/>
  <c r="BV932" i="4"/>
  <c r="BV691" i="4"/>
  <c r="BV690" i="4"/>
  <c r="BV898" i="4"/>
  <c r="BV914" i="4"/>
  <c r="BV896" i="4"/>
  <c r="CG283" i="4"/>
  <c r="CG284" i="4"/>
  <c r="BB149" i="4"/>
  <c r="BR317" i="4"/>
  <c r="BR14" i="4"/>
  <c r="BR463" i="4"/>
  <c r="BQ321" i="4"/>
  <c r="BQ860" i="4"/>
  <c r="BQ796" i="4" s="1"/>
  <c r="BQ798" i="4" s="1"/>
  <c r="B45" i="59" s="1"/>
  <c r="BR837" i="4"/>
  <c r="BR895" i="4" s="1"/>
  <c r="DG492" i="4"/>
  <c r="DQ438" i="4"/>
  <c r="BU466" i="4"/>
  <c r="DQ466" i="4" s="1"/>
  <c r="BU441" i="4"/>
  <c r="DQ448" i="4"/>
  <c r="BU455" i="4"/>
  <c r="DQ455" i="4" s="1"/>
  <c r="BY896" i="4"/>
  <c r="BQ363" i="4"/>
  <c r="BW364" i="4"/>
  <c r="BU893" i="4"/>
  <c r="CI289" i="4"/>
  <c r="CI282" i="4" s="1"/>
  <c r="CH282" i="4"/>
  <c r="DN504" i="4"/>
  <c r="BF511" i="4"/>
  <c r="DN511" i="4" s="1"/>
  <c r="BF507" i="4"/>
  <c r="DN507" i="4" s="1"/>
  <c r="BS367" i="4"/>
  <c r="BR327" i="4"/>
  <c r="BR322" i="4" s="1"/>
  <c r="BR457" i="4"/>
  <c r="BS300" i="4"/>
  <c r="BS368" i="4"/>
  <c r="BQ895" i="4"/>
  <c r="S521" i="4"/>
  <c r="T492" i="4"/>
  <c r="T496" i="4" s="1"/>
  <c r="S500" i="4"/>
  <c r="S753" i="4"/>
  <c r="S755" i="4" s="1"/>
  <c r="S941" i="4" s="1"/>
  <c r="S943" i="4" s="1"/>
  <c r="BS466" i="4"/>
  <c r="BN378" i="51" l="1"/>
  <c r="BN380" i="51"/>
  <c r="BD164" i="51"/>
  <c r="AY213" i="51"/>
  <c r="AY214" i="51" s="1"/>
  <c r="AO213" i="51"/>
  <c r="P164" i="51"/>
  <c r="BM402" i="51"/>
  <c r="CS917" i="4"/>
  <c r="BN506" i="51"/>
  <c r="BN511" i="51" s="1"/>
  <c r="BM512" i="51"/>
  <c r="BM514" i="51"/>
  <c r="BN464" i="51"/>
  <c r="BN456" i="51"/>
  <c r="BN457" i="51" s="1"/>
  <c r="BM541" i="51"/>
  <c r="BM54" i="51" s="1"/>
  <c r="BN460" i="51"/>
  <c r="BL215" i="51"/>
  <c r="BN465" i="51"/>
  <c r="BN463" i="51"/>
  <c r="BN461" i="51"/>
  <c r="BL165" i="51"/>
  <c r="B50" i="59"/>
  <c r="C45" i="59"/>
  <c r="C47" i="59" s="1"/>
  <c r="BX70" i="51"/>
  <c r="CC70" i="51"/>
  <c r="AT214" i="51"/>
  <c r="BR486" i="4"/>
  <c r="BR489" i="4" s="1"/>
  <c r="BR519" i="4" s="1"/>
  <c r="U164" i="51"/>
  <c r="BJ44" i="51"/>
  <c r="BJ49" i="51"/>
  <c r="BJ45" i="51"/>
  <c r="BJ47" i="51"/>
  <c r="BJ48" i="51"/>
  <c r="BJ46" i="51"/>
  <c r="BX214" i="51"/>
  <c r="CC214" i="51"/>
  <c r="BL121" i="9"/>
  <c r="BL134" i="9"/>
  <c r="BS164" i="51"/>
  <c r="BN164" i="51"/>
  <c r="BL162" i="9"/>
  <c r="BL175" i="9"/>
  <c r="CY922" i="4"/>
  <c r="CT908" i="4"/>
  <c r="BN107" i="51"/>
  <c r="BD213" i="51"/>
  <c r="BN402" i="51"/>
  <c r="BN213" i="51"/>
  <c r="BN214" i="51" s="1"/>
  <c r="BK41" i="51"/>
  <c r="BK44" i="51" s="1"/>
  <c r="BN354" i="51"/>
  <c r="BN538" i="51" s="1"/>
  <c r="BN395" i="51"/>
  <c r="BS354" i="51"/>
  <c r="BS538" i="51" s="1"/>
  <c r="BN379" i="51"/>
  <c r="BM536" i="51"/>
  <c r="BM52" i="51" s="1"/>
  <c r="BM511" i="51"/>
  <c r="BR507" i="51"/>
  <c r="BM107" i="51"/>
  <c r="BM530" i="51"/>
  <c r="BM507" i="51"/>
  <c r="BM457" i="51"/>
  <c r="BR457" i="51"/>
  <c r="AT164" i="51"/>
  <c r="P213" i="51"/>
  <c r="BL173" i="9"/>
  <c r="BL171" i="9"/>
  <c r="AE164" i="51"/>
  <c r="BL109" i="51"/>
  <c r="CR917" i="4"/>
  <c r="BL36" i="51"/>
  <c r="BL108" i="51"/>
  <c r="BQ108" i="51"/>
  <c r="BS541" i="51"/>
  <c r="BS54" i="51" s="1"/>
  <c r="BS109" i="51"/>
  <c r="BS536" i="51"/>
  <c r="BS52" i="51" s="1"/>
  <c r="BI164" i="51"/>
  <c r="BU13" i="4"/>
  <c r="DD241" i="9" s="1"/>
  <c r="DD243" i="9" s="1"/>
  <c r="BZ898" i="4"/>
  <c r="DR898" i="4" s="1"/>
  <c r="BZ913" i="4"/>
  <c r="DR913" i="4" s="1"/>
  <c r="BZ904" i="4"/>
  <c r="DR904" i="4" s="1"/>
  <c r="CY924" i="4"/>
  <c r="CH401" i="51"/>
  <c r="Z164" i="51"/>
  <c r="AJ213" i="51"/>
  <c r="AO214" i="51" s="1"/>
  <c r="BM513" i="51"/>
  <c r="BL132" i="9"/>
  <c r="BL130" i="9"/>
  <c r="BN377" i="51"/>
  <c r="BN536" i="51" s="1"/>
  <c r="BN52" i="51" s="1"/>
  <c r="BN372" i="51"/>
  <c r="BM518" i="51"/>
  <c r="BS457" i="51"/>
  <c r="BM516" i="51"/>
  <c r="BN381" i="51"/>
  <c r="CT919" i="4"/>
  <c r="CT925" i="4"/>
  <c r="CY919" i="4"/>
  <c r="CT911" i="4"/>
  <c r="CH372" i="51"/>
  <c r="CH399" i="51"/>
  <c r="CH400" i="51"/>
  <c r="CG454" i="51"/>
  <c r="CG456" i="51"/>
  <c r="CG457" i="51" s="1"/>
  <c r="CN368" i="4"/>
  <c r="CH452" i="51"/>
  <c r="CN327" i="4"/>
  <c r="CN322" i="4" s="1"/>
  <c r="CM321" i="4"/>
  <c r="CM348" i="4"/>
  <c r="CM328" i="4"/>
  <c r="CM338" i="4"/>
  <c r="BR321" i="4"/>
  <c r="CM322" i="4"/>
  <c r="CH398" i="51"/>
  <c r="CH28" i="51"/>
  <c r="CH33" i="51" s="1"/>
  <c r="CH30" i="51"/>
  <c r="CG41" i="51"/>
  <c r="CG402" i="51"/>
  <c r="CG241" i="51"/>
  <c r="CG33" i="51"/>
  <c r="CO326" i="4"/>
  <c r="CH32" i="51"/>
  <c r="CH40" i="51"/>
  <c r="CH284" i="4"/>
  <c r="CH283" i="4"/>
  <c r="BS327" i="4"/>
  <c r="BS322" i="4" s="1"/>
  <c r="DN145" i="4"/>
  <c r="BF150" i="4"/>
  <c r="DN150" i="4" s="1"/>
  <c r="S523" i="4"/>
  <c r="BX364" i="4"/>
  <c r="DQ893" i="4"/>
  <c r="BR917" i="4"/>
  <c r="BR927" i="4" s="1"/>
  <c r="DQ13" i="4"/>
  <c r="BZ914" i="4"/>
  <c r="DR914" i="4" s="1"/>
  <c r="BZ932" i="4"/>
  <c r="DR932" i="4" s="1"/>
  <c r="BZ899" i="4"/>
  <c r="DR899" i="4" s="1"/>
  <c r="BZ900" i="4"/>
  <c r="DR900" i="4" s="1"/>
  <c r="BT368" i="4"/>
  <c r="BU368" i="4" s="1"/>
  <c r="DQ368" i="4" s="1"/>
  <c r="BS317" i="4"/>
  <c r="CJ905" i="4"/>
  <c r="CF917" i="4"/>
  <c r="CA917" i="4"/>
  <c r="CE893" i="4"/>
  <c r="CQ917" i="4"/>
  <c r="CM917" i="4"/>
  <c r="CM927" i="4" s="1"/>
  <c r="CY908" i="4"/>
  <c r="CT923" i="4"/>
  <c r="CY907" i="4"/>
  <c r="CS927" i="4"/>
  <c r="CT910" i="4"/>
  <c r="CD917" i="4"/>
  <c r="CD927" i="4"/>
  <c r="CE905" i="4"/>
  <c r="DS905" i="4" s="1"/>
  <c r="CB917" i="4"/>
  <c r="CB927" i="4" s="1"/>
  <c r="CY909" i="4"/>
  <c r="CL917" i="4"/>
  <c r="CL927" i="4" s="1"/>
  <c r="BR690" i="4"/>
  <c r="BR74" i="4"/>
  <c r="BR84" i="4" s="1"/>
  <c r="BR22" i="4"/>
  <c r="BR16" i="4"/>
  <c r="BR33" i="4"/>
  <c r="BR139" i="4"/>
  <c r="BW16" i="4"/>
  <c r="BU14" i="4"/>
  <c r="BW839" i="4"/>
  <c r="CO905" i="4"/>
  <c r="CK917" i="4"/>
  <c r="CW927" i="4"/>
  <c r="CW39" i="4" s="1"/>
  <c r="BR338" i="4"/>
  <c r="BR328" i="4"/>
  <c r="BR348" i="4"/>
  <c r="BW328" i="4"/>
  <c r="BS364" i="4"/>
  <c r="CI283" i="4"/>
  <c r="CI284" i="4"/>
  <c r="CJ282" i="4"/>
  <c r="BU469" i="4"/>
  <c r="BU442" i="4"/>
  <c r="DQ442" i="4" s="1"/>
  <c r="DQ441" i="4"/>
  <c r="BU457" i="4"/>
  <c r="DQ457" i="4" s="1"/>
  <c r="BU463" i="4"/>
  <c r="DQ463" i="4" s="1"/>
  <c r="BT367" i="4"/>
  <c r="BT369" i="4" s="1"/>
  <c r="BT386" i="4" s="1"/>
  <c r="BZ933" i="4"/>
  <c r="DR933" i="4" s="1"/>
  <c r="DO503" i="4"/>
  <c r="BR523" i="4"/>
  <c r="BC149" i="4"/>
  <c r="BX317" i="4"/>
  <c r="BF149" i="4"/>
  <c r="DN149" i="4" s="1"/>
  <c r="DN146" i="4"/>
  <c r="DU361" i="4"/>
  <c r="CP361" i="4"/>
  <c r="BZ201" i="4"/>
  <c r="DR199" i="4"/>
  <c r="BZ216" i="4"/>
  <c r="DR216" i="4" s="1"/>
  <c r="CY925" i="4"/>
  <c r="CI917" i="4"/>
  <c r="CI927" i="4" s="1"/>
  <c r="CY923" i="4"/>
  <c r="CC917" i="4"/>
  <c r="CC927" i="4" s="1"/>
  <c r="CT926" i="4"/>
  <c r="CO906" i="4"/>
  <c r="DU906" i="4" s="1"/>
  <c r="CY911" i="4"/>
  <c r="CT906" i="4"/>
  <c r="DV906" i="4" s="1"/>
  <c r="CH927" i="4"/>
  <c r="CH917" i="4"/>
  <c r="CO909" i="4"/>
  <c r="CY905" i="4"/>
  <c r="CY920" i="4"/>
  <c r="CT920" i="4"/>
  <c r="BQ917" i="4"/>
  <c r="BQ927" i="4" s="1"/>
  <c r="BQ802" i="4"/>
  <c r="BQ800" i="4"/>
  <c r="BQ803" i="4" s="1"/>
  <c r="BQ773" i="4"/>
  <c r="BQ786" i="4" s="1"/>
  <c r="BQ788" i="4" s="1"/>
  <c r="BZ893" i="4"/>
  <c r="BS486" i="4"/>
  <c r="BS489" i="4" s="1"/>
  <c r="BS519" i="4" s="1"/>
  <c r="BS523" i="4" s="1"/>
  <c r="BS483" i="4"/>
  <c r="BP489" i="4"/>
  <c r="EP340" i="9" s="1"/>
  <c r="EP343" i="9" s="1"/>
  <c r="DP486" i="4"/>
  <c r="DP796" i="4"/>
  <c r="BP798" i="4"/>
  <c r="D23" i="68" s="1"/>
  <c r="D25" i="68" s="1"/>
  <c r="D27" i="68" s="1"/>
  <c r="DQ27" i="4"/>
  <c r="BU31" i="4"/>
  <c r="CO354" i="4"/>
  <c r="CN356" i="4"/>
  <c r="CN355" i="4"/>
  <c r="CO355" i="4" s="1"/>
  <c r="DU355" i="4" s="1"/>
  <c r="CY910" i="4"/>
  <c r="CT905" i="4"/>
  <c r="CP917" i="4"/>
  <c r="CO907" i="4"/>
  <c r="S747" i="4"/>
  <c r="S751" i="4" s="1"/>
  <c r="S765" i="4" s="1"/>
  <c r="S788" i="4" s="1"/>
  <c r="S499" i="4"/>
  <c r="T521" i="4"/>
  <c r="T523" i="4" s="1"/>
  <c r="T500" i="4"/>
  <c r="U492" i="4"/>
  <c r="U496" i="4" s="1"/>
  <c r="T753" i="4"/>
  <c r="T755" i="4" s="1"/>
  <c r="T941" i="4" s="1"/>
  <c r="T943" i="4" s="1"/>
  <c r="BS369" i="4"/>
  <c r="BS386" i="4" s="1"/>
  <c r="BS363" i="4"/>
  <c r="BR860" i="4"/>
  <c r="BR796" i="4" s="1"/>
  <c r="BR798" i="4" s="1"/>
  <c r="BS837" i="4"/>
  <c r="BS895" i="4" s="1"/>
  <c r="BZ896" i="4"/>
  <c r="DR896" i="4" s="1"/>
  <c r="BZ931" i="4"/>
  <c r="DR931" i="4" s="1"/>
  <c r="BZ902" i="4"/>
  <c r="DR902" i="4" s="1"/>
  <c r="BG507" i="4"/>
  <c r="BK504" i="4"/>
  <c r="BK506" i="4" s="1"/>
  <c r="BG511" i="4"/>
  <c r="BG522" i="4"/>
  <c r="BS690" i="4"/>
  <c r="BS139" i="4"/>
  <c r="BS74" i="4"/>
  <c r="BS84" i="4" s="1"/>
  <c r="BS33" i="4"/>
  <c r="BS22" i="4"/>
  <c r="BS16" i="4"/>
  <c r="BX16" i="4"/>
  <c r="BV139" i="4"/>
  <c r="BT139" i="4"/>
  <c r="BW139" i="4"/>
  <c r="BT300" i="4"/>
  <c r="BT325" i="4"/>
  <c r="BU325" i="4" s="1"/>
  <c r="BT326" i="4"/>
  <c r="CJ943" i="4"/>
  <c r="DT943" i="4" s="1"/>
  <c r="CK941" i="4"/>
  <c r="DT941" i="4"/>
  <c r="BU904" i="4"/>
  <c r="DQ904" i="4" s="1"/>
  <c r="CX927" i="4"/>
  <c r="CX39" i="4" s="1"/>
  <c r="CY926" i="4"/>
  <c r="CO910" i="4"/>
  <c r="CG917" i="4"/>
  <c r="CG927" i="4" s="1"/>
  <c r="CY921" i="4"/>
  <c r="CT922" i="4"/>
  <c r="CO911" i="4"/>
  <c r="CO908" i="4"/>
  <c r="CT909" i="4"/>
  <c r="CJ909" i="4"/>
  <c r="CN917" i="4"/>
  <c r="CN927" i="4" s="1"/>
  <c r="CE906" i="4"/>
  <c r="DS906" i="4" s="1"/>
  <c r="CY906" i="4"/>
  <c r="DW906" i="4" s="1"/>
  <c r="CT921" i="4"/>
  <c r="BN507" i="51" l="1"/>
  <c r="BN516" i="51"/>
  <c r="CV927" i="4"/>
  <c r="CV39" i="4" s="1"/>
  <c r="CV89" i="4" s="1"/>
  <c r="CR927" i="4"/>
  <c r="BN510" i="51"/>
  <c r="CH402" i="51"/>
  <c r="BD214" i="51"/>
  <c r="BN512" i="51"/>
  <c r="BN514" i="51"/>
  <c r="BN518" i="51"/>
  <c r="BN530" i="51"/>
  <c r="BS507" i="51"/>
  <c r="BN515" i="51"/>
  <c r="BN513" i="51"/>
  <c r="BN541" i="51"/>
  <c r="BN54" i="51" s="1"/>
  <c r="BM165" i="51"/>
  <c r="BN165" i="51" s="1"/>
  <c r="W92" i="56"/>
  <c r="AR128" i="63"/>
  <c r="BM36" i="51"/>
  <c r="BR108" i="51"/>
  <c r="BM108" i="51"/>
  <c r="BM215" i="51"/>
  <c r="BN215" i="51" s="1"/>
  <c r="X92" i="56"/>
  <c r="AS128" i="63"/>
  <c r="BS108" i="51"/>
  <c r="BN36" i="51"/>
  <c r="BN108" i="51"/>
  <c r="D45" i="59"/>
  <c r="D47" i="59" s="1"/>
  <c r="AP118" i="56"/>
  <c r="BD144" i="63"/>
  <c r="CL405" i="8"/>
  <c r="CJ917" i="4"/>
  <c r="DT917" i="4" s="1"/>
  <c r="BL41" i="51"/>
  <c r="BL44" i="51" s="1"/>
  <c r="BK47" i="51"/>
  <c r="BK49" i="51"/>
  <c r="BK46" i="51"/>
  <c r="BK48" i="51"/>
  <c r="BK45" i="51"/>
  <c r="BM109" i="51"/>
  <c r="BL124" i="9"/>
  <c r="BL123" i="9"/>
  <c r="BL126" i="9"/>
  <c r="BS214" i="51"/>
  <c r="BL164" i="9"/>
  <c r="BL165" i="9"/>
  <c r="BL167" i="9"/>
  <c r="BI214" i="51"/>
  <c r="EP345" i="9"/>
  <c r="EP347" i="9" s="1"/>
  <c r="BU367" i="4"/>
  <c r="DQ367" i="4" s="1"/>
  <c r="CJ283" i="4"/>
  <c r="DT283" i="4" s="1"/>
  <c r="CG49" i="51"/>
  <c r="CG44" i="51"/>
  <c r="CG46" i="51"/>
  <c r="CG45" i="51"/>
  <c r="CG47" i="51"/>
  <c r="CN369" i="4"/>
  <c r="CN386" i="4" s="1"/>
  <c r="CO368" i="4"/>
  <c r="BS321" i="4"/>
  <c r="CN338" i="4"/>
  <c r="CN328" i="4"/>
  <c r="CN321" i="4"/>
  <c r="CN348" i="4"/>
  <c r="DU326" i="4"/>
  <c r="CO327" i="4"/>
  <c r="CO322" i="4" s="1"/>
  <c r="DU322" i="4" s="1"/>
  <c r="CH454" i="51"/>
  <c r="CH456" i="51"/>
  <c r="CH457" i="51" s="1"/>
  <c r="CH41" i="51"/>
  <c r="CG48" i="51"/>
  <c r="BS917" i="4"/>
  <c r="BS927" i="4" s="1"/>
  <c r="BZ217" i="4"/>
  <c r="DR217" i="4" s="1"/>
  <c r="DR201" i="4"/>
  <c r="CS89" i="4"/>
  <c r="CS137" i="4"/>
  <c r="CT39" i="4"/>
  <c r="CX89" i="4"/>
  <c r="CL941" i="4"/>
  <c r="CK943" i="4"/>
  <c r="BT318" i="4"/>
  <c r="BU318" i="4"/>
  <c r="DQ318" i="4" s="1"/>
  <c r="BT327" i="4"/>
  <c r="BZ300" i="4"/>
  <c r="DR300" i="4" s="1"/>
  <c r="BK522" i="4"/>
  <c r="DO522" i="4" s="1"/>
  <c r="BG523" i="4"/>
  <c r="BK523" i="4" s="1"/>
  <c r="DO523" i="4" s="1"/>
  <c r="BR773" i="4"/>
  <c r="BR786" i="4" s="1"/>
  <c r="DV905" i="4"/>
  <c r="BU691" i="4"/>
  <c r="DQ691" i="4" s="1"/>
  <c r="DQ31" i="4"/>
  <c r="BU519" i="4"/>
  <c r="DQ519" i="4" s="1"/>
  <c r="DT282" i="4"/>
  <c r="CJ284" i="4"/>
  <c r="DT284" i="4" s="1"/>
  <c r="CJ289" i="4"/>
  <c r="DU905" i="4"/>
  <c r="BU690" i="4"/>
  <c r="DQ690" i="4" s="1"/>
  <c r="BU74" i="4"/>
  <c r="BU139" i="4"/>
  <c r="BU22" i="4"/>
  <c r="BU16" i="4"/>
  <c r="DQ16" i="4" s="1"/>
  <c r="BU33" i="4"/>
  <c r="DQ14" i="4"/>
  <c r="BU634" i="4"/>
  <c r="DQ634" i="4" s="1"/>
  <c r="BX139" i="4"/>
  <c r="BZ16" i="4"/>
  <c r="DR16" i="4" s="1"/>
  <c r="CF927" i="4"/>
  <c r="BS348" i="4"/>
  <c r="BS338" i="4"/>
  <c r="BS328" i="4"/>
  <c r="BX328" i="4"/>
  <c r="BU317" i="4"/>
  <c r="BS23" i="4"/>
  <c r="BX23" i="4"/>
  <c r="BU523" i="4"/>
  <c r="DQ523" i="4" s="1"/>
  <c r="DO506" i="4"/>
  <c r="BP503" i="4"/>
  <c r="BL503" i="4"/>
  <c r="BL504" i="4" s="1"/>
  <c r="BY364" i="4"/>
  <c r="DS893" i="4"/>
  <c r="BT322" i="4"/>
  <c r="BY317" i="4"/>
  <c r="BS34" i="4"/>
  <c r="BS35" i="4"/>
  <c r="BS47" i="4"/>
  <c r="BX35" i="4"/>
  <c r="BK511" i="4"/>
  <c r="DO511" i="4" s="1"/>
  <c r="DO504" i="4"/>
  <c r="BK507" i="4"/>
  <c r="DO507" i="4" s="1"/>
  <c r="U500" i="4"/>
  <c r="U521" i="4"/>
  <c r="U523" i="4" s="1"/>
  <c r="V492" i="4"/>
  <c r="U753" i="4"/>
  <c r="U755" i="4" s="1"/>
  <c r="U941" i="4" s="1"/>
  <c r="U943" i="4" s="1"/>
  <c r="CT917" i="4"/>
  <c r="DV917" i="4" s="1"/>
  <c r="DR893" i="4"/>
  <c r="DW905" i="4"/>
  <c r="CQ361" i="4"/>
  <c r="CP354" i="4"/>
  <c r="CO917" i="4"/>
  <c r="DU917" i="4" s="1"/>
  <c r="BX839" i="4"/>
  <c r="BY897" i="4" s="1"/>
  <c r="BR85" i="4"/>
  <c r="BW85" i="4"/>
  <c r="CE917" i="4"/>
  <c r="DS917" i="4" s="1"/>
  <c r="DT905" i="4"/>
  <c r="CJ927" i="4"/>
  <c r="BZ317" i="4"/>
  <c r="DR317" i="4" s="1"/>
  <c r="BZ363" i="4"/>
  <c r="DR363" i="4" s="1"/>
  <c r="DU354" i="4"/>
  <c r="CO356" i="4"/>
  <c r="DU356" i="4" s="1"/>
  <c r="CW89" i="4"/>
  <c r="BT363" i="4"/>
  <c r="BR23" i="4"/>
  <c r="BW23" i="4"/>
  <c r="DQ325" i="4"/>
  <c r="BU300" i="4"/>
  <c r="DQ300" i="4" s="1"/>
  <c r="BZ318" i="4"/>
  <c r="DR318" i="4" s="1"/>
  <c r="BY318" i="4"/>
  <c r="BT317" i="4"/>
  <c r="BS85" i="4"/>
  <c r="BX85" i="4"/>
  <c r="BS860" i="4"/>
  <c r="BS796" i="4" s="1"/>
  <c r="BS798" i="4" s="1"/>
  <c r="BT837" i="4"/>
  <c r="BT895" i="4"/>
  <c r="BU895" i="4" s="1"/>
  <c r="T747" i="4"/>
  <c r="T751" i="4" s="1"/>
  <c r="T765" i="4" s="1"/>
  <c r="T788" i="4" s="1"/>
  <c r="T499" i="4"/>
  <c r="CP927" i="4"/>
  <c r="DP798" i="4"/>
  <c r="BP806" i="4"/>
  <c r="BP800" i="4"/>
  <c r="BP802" i="4"/>
  <c r="DP802" i="4" s="1"/>
  <c r="BP773" i="4"/>
  <c r="K73" i="59" s="1"/>
  <c r="DP489" i="4"/>
  <c r="BT364" i="4"/>
  <c r="DQ469" i="4"/>
  <c r="BU473" i="4"/>
  <c r="CK927" i="4"/>
  <c r="BW897" i="4"/>
  <c r="BR47" i="4"/>
  <c r="BR34" i="4"/>
  <c r="BR35" i="4"/>
  <c r="BW35" i="4"/>
  <c r="CQ927" i="4"/>
  <c r="CA927" i="4"/>
  <c r="BU326" i="4"/>
  <c r="BN109" i="51" l="1"/>
  <c r="CX137" i="4"/>
  <c r="M76" i="59"/>
  <c r="N76" i="59"/>
  <c r="O76" i="59"/>
  <c r="BM149" i="9"/>
  <c r="BM108" i="9"/>
  <c r="BM41" i="51"/>
  <c r="BM44" i="51" s="1"/>
  <c r="BL47" i="51"/>
  <c r="BL49" i="51"/>
  <c r="BL48" i="51"/>
  <c r="BL46" i="51"/>
  <c r="BL45" i="51"/>
  <c r="BN41" i="51"/>
  <c r="BN44" i="51" s="1"/>
  <c r="AV51" i="9"/>
  <c r="AV57" i="9" s="1"/>
  <c r="AV58" i="9" s="1"/>
  <c r="C6" i="59"/>
  <c r="C9" i="59" s="1"/>
  <c r="C10" i="59" s="1"/>
  <c r="C11" i="59" s="1"/>
  <c r="E45" i="59"/>
  <c r="E47" i="59" s="1"/>
  <c r="D50" i="59"/>
  <c r="BU369" i="4"/>
  <c r="BU386" i="4" s="1"/>
  <c r="DQ386" i="4" s="1"/>
  <c r="CH49" i="51"/>
  <c r="CH44" i="51"/>
  <c r="CH46" i="51"/>
  <c r="CH47" i="51"/>
  <c r="CH45" i="51"/>
  <c r="CO321" i="4"/>
  <c r="DU321" i="4" s="1"/>
  <c r="CO348" i="4"/>
  <c r="DU348" i="4" s="1"/>
  <c r="CO338" i="4"/>
  <c r="DU338" i="4" s="1"/>
  <c r="CO328" i="4"/>
  <c r="DU328" i="4" s="1"/>
  <c r="DU327" i="4"/>
  <c r="CH48" i="51"/>
  <c r="DU368" i="4"/>
  <c r="CO369" i="4"/>
  <c r="DQ895" i="4"/>
  <c r="DP773" i="4"/>
  <c r="BP786" i="4"/>
  <c r="DQ326" i="4"/>
  <c r="DP806" i="4"/>
  <c r="BP814" i="4"/>
  <c r="CP355" i="4"/>
  <c r="CP356" i="4"/>
  <c r="BS637" i="4"/>
  <c r="BS638" i="4" s="1"/>
  <c r="BS51" i="4"/>
  <c r="BS50" i="4"/>
  <c r="BU816" i="4"/>
  <c r="BU35" i="4"/>
  <c r="DQ35" i="4" s="1"/>
  <c r="BU47" i="4"/>
  <c r="BU34" i="4"/>
  <c r="DQ34" i="4" s="1"/>
  <c r="DQ33" i="4"/>
  <c r="BZ35" i="4"/>
  <c r="DR35" i="4" s="1"/>
  <c r="DQ139" i="4"/>
  <c r="BU84" i="4"/>
  <c r="DQ74" i="4"/>
  <c r="BZ364" i="4"/>
  <c r="DR364" i="4" s="1"/>
  <c r="BU837" i="4"/>
  <c r="BT860" i="4"/>
  <c r="BT796" i="4" s="1"/>
  <c r="BT798" i="4" s="1"/>
  <c r="DT927" i="4"/>
  <c r="CE927" i="4"/>
  <c r="DP503" i="4"/>
  <c r="BU23" i="4"/>
  <c r="BZ23" i="4"/>
  <c r="CT927" i="4"/>
  <c r="BT348" i="4"/>
  <c r="BT338" i="4"/>
  <c r="BT328" i="4"/>
  <c r="BY328" i="4"/>
  <c r="BT917" i="4"/>
  <c r="BU917" i="4" s="1"/>
  <c r="DQ917" i="4" s="1"/>
  <c r="CR361" i="4"/>
  <c r="V495" i="4"/>
  <c r="W495" i="4" s="1"/>
  <c r="V521" i="4"/>
  <c r="BL511" i="4"/>
  <c r="BL522" i="4"/>
  <c r="BP504" i="4"/>
  <c r="CK289" i="4"/>
  <c r="DT289" i="4"/>
  <c r="CT137" i="4"/>
  <c r="DV137" i="4" s="1"/>
  <c r="CT89" i="4"/>
  <c r="DV89" i="4" s="1"/>
  <c r="DV39" i="4"/>
  <c r="BR637" i="4"/>
  <c r="BR51" i="4"/>
  <c r="BR50" i="4"/>
  <c r="DQ473" i="4"/>
  <c r="BU482" i="4"/>
  <c r="BP803" i="4"/>
  <c r="DP803" i="4" s="1"/>
  <c r="DP800" i="4"/>
  <c r="BS773" i="4"/>
  <c r="BS786" i="4" s="1"/>
  <c r="BU327" i="4"/>
  <c r="BU322" i="4" s="1"/>
  <c r="DQ322" i="4" s="1"/>
  <c r="BX897" i="4"/>
  <c r="BZ897" i="4" s="1"/>
  <c r="DR897" i="4" s="1"/>
  <c r="CY917" i="4"/>
  <c r="CU927" i="4"/>
  <c r="CU39" i="4" s="1"/>
  <c r="U747" i="4"/>
  <c r="U751" i="4" s="1"/>
  <c r="U765" i="4" s="1"/>
  <c r="U788" i="4" s="1"/>
  <c r="U499" i="4"/>
  <c r="DQ317" i="4"/>
  <c r="CO927" i="4"/>
  <c r="BU364" i="4"/>
  <c r="DQ364" i="4" s="1"/>
  <c r="BT321" i="4"/>
  <c r="CL943" i="4"/>
  <c r="CM941" i="4"/>
  <c r="BM168" i="9" l="1"/>
  <c r="Q4" i="9"/>
  <c r="Q5" i="9" s="1"/>
  <c r="BM127" i="9"/>
  <c r="M43" i="53"/>
  <c r="Z92" i="56"/>
  <c r="AU128" i="63"/>
  <c r="CL407" i="8"/>
  <c r="AN112" i="48"/>
  <c r="C49" i="59"/>
  <c r="C50" i="59" s="1"/>
  <c r="AP120" i="56"/>
  <c r="BD146" i="63"/>
  <c r="L70" i="59"/>
  <c r="L74" i="59" s="1"/>
  <c r="DD245" i="9"/>
  <c r="DD246" i="9" s="1"/>
  <c r="F45" i="59"/>
  <c r="F47" i="59" s="1"/>
  <c r="F50" i="59" s="1"/>
  <c r="E50" i="59"/>
  <c r="BM49" i="51"/>
  <c r="BM47" i="51"/>
  <c r="BM46" i="51"/>
  <c r="BM45" i="51"/>
  <c r="BM48" i="51"/>
  <c r="L79" i="59"/>
  <c r="L81" i="59" s="1"/>
  <c r="L84" i="59" s="1"/>
  <c r="L88" i="59" s="1"/>
  <c r="C16" i="59"/>
  <c r="C27" i="59" s="1"/>
  <c r="C33" i="59" s="1"/>
  <c r="BM155" i="9"/>
  <c r="BN149" i="9"/>
  <c r="BM160" i="9"/>
  <c r="BN49" i="51"/>
  <c r="BN45" i="51"/>
  <c r="BN47" i="51"/>
  <c r="BN48" i="51"/>
  <c r="BN46" i="51"/>
  <c r="BN108" i="9"/>
  <c r="BM114" i="9"/>
  <c r="BM119" i="9"/>
  <c r="DQ369" i="4"/>
  <c r="DU369" i="4"/>
  <c r="CO386" i="4"/>
  <c r="DU386" i="4" s="1"/>
  <c r="DS927" i="4"/>
  <c r="DW917" i="4"/>
  <c r="CZ917" i="4"/>
  <c r="CY927" i="4"/>
  <c r="BR697" i="4"/>
  <c r="BR704" i="4" s="1"/>
  <c r="BR724" i="4" s="1"/>
  <c r="BR726" i="4" s="1"/>
  <c r="BR745" i="4" s="1"/>
  <c r="BR88" i="4"/>
  <c r="BR112" i="4"/>
  <c r="BR117" i="4" s="1"/>
  <c r="BR59" i="4"/>
  <c r="BR966" i="4" s="1"/>
  <c r="BR54" i="4"/>
  <c r="BR53" i="4"/>
  <c r="BR964" i="4"/>
  <c r="BW54" i="4"/>
  <c r="CL289" i="4"/>
  <c r="CK282" i="4"/>
  <c r="BP511" i="4"/>
  <c r="DP511" i="4" s="1"/>
  <c r="DP504" i="4"/>
  <c r="BP507" i="4"/>
  <c r="DP507" i="4" s="1"/>
  <c r="CM943" i="4"/>
  <c r="CN941" i="4"/>
  <c r="BR638" i="4"/>
  <c r="BU637" i="4"/>
  <c r="BP522" i="4"/>
  <c r="DP522" i="4" s="1"/>
  <c r="BL523" i="4"/>
  <c r="BP523" i="4" s="1"/>
  <c r="DP523" i="4" s="1"/>
  <c r="DV927" i="4"/>
  <c r="BP506" i="4"/>
  <c r="BT773" i="4"/>
  <c r="BT786" i="4" s="1"/>
  <c r="BU51" i="4"/>
  <c r="DQ47" i="4"/>
  <c r="BU50" i="4"/>
  <c r="DQ50" i="4" s="1"/>
  <c r="BU823" i="4"/>
  <c r="DQ823" i="4" s="1"/>
  <c r="DQ816" i="4"/>
  <c r="BP824" i="4"/>
  <c r="DP814" i="4"/>
  <c r="CS361" i="4"/>
  <c r="BU860" i="4"/>
  <c r="AV60" i="9" s="1"/>
  <c r="AV62" i="9" s="1"/>
  <c r="AV64" i="9" s="1"/>
  <c r="DQ837" i="4"/>
  <c r="BV837" i="4"/>
  <c r="BV895" i="4" s="1"/>
  <c r="DU927" i="4"/>
  <c r="CU137" i="4"/>
  <c r="CY39" i="4"/>
  <c r="CU89" i="4"/>
  <c r="CW137" i="4"/>
  <c r="CV137" i="4"/>
  <c r="V523" i="4"/>
  <c r="W523" i="4" s="1"/>
  <c r="DG523" i="4" s="1"/>
  <c r="W521" i="4"/>
  <c r="DG521" i="4" s="1"/>
  <c r="BT927" i="4"/>
  <c r="BU363" i="4"/>
  <c r="DQ363" i="4" s="1"/>
  <c r="BS697" i="4"/>
  <c r="BS704" i="4" s="1"/>
  <c r="BS724" i="4" s="1"/>
  <c r="BS112" i="4"/>
  <c r="BS117" i="4" s="1"/>
  <c r="BS88" i="4"/>
  <c r="BS98" i="4" s="1"/>
  <c r="BS59" i="4"/>
  <c r="BS966" i="4" s="1"/>
  <c r="BS54" i="4"/>
  <c r="BS53" i="4"/>
  <c r="BS964" i="4"/>
  <c r="BX54" i="4"/>
  <c r="DP786" i="4"/>
  <c r="BP788" i="4"/>
  <c r="DP788" i="4" s="1"/>
  <c r="BU927" i="4"/>
  <c r="DQ927" i="4" s="1"/>
  <c r="BU328" i="4"/>
  <c r="DQ328" i="4" s="1"/>
  <c r="DQ327" i="4"/>
  <c r="BU348" i="4"/>
  <c r="DQ348" i="4" s="1"/>
  <c r="BU338" i="4"/>
  <c r="DQ338" i="4" s="1"/>
  <c r="BZ328" i="4"/>
  <c r="DR328" i="4" s="1"/>
  <c r="BU321" i="4"/>
  <c r="DQ321" i="4" s="1"/>
  <c r="BU483" i="4"/>
  <c r="DQ483" i="4" s="1"/>
  <c r="DQ482" i="4"/>
  <c r="BU486" i="4"/>
  <c r="DG495" i="4"/>
  <c r="W496" i="4"/>
  <c r="BU85" i="4"/>
  <c r="DQ85" i="4" s="1"/>
  <c r="DQ84" i="4"/>
  <c r="BZ85" i="4"/>
  <c r="DR85" i="4" s="1"/>
  <c r="BM171" i="9" l="1"/>
  <c r="BN160" i="9"/>
  <c r="BN155" i="9"/>
  <c r="BO149" i="9"/>
  <c r="BO108" i="9"/>
  <c r="BN114" i="9"/>
  <c r="BN119" i="9"/>
  <c r="DD237" i="9"/>
  <c r="BM130" i="9"/>
  <c r="BM132" i="9"/>
  <c r="Q3" i="9"/>
  <c r="Q6" i="9" s="1"/>
  <c r="L75" i="59"/>
  <c r="L87" i="59" s="1"/>
  <c r="L89" i="59" s="1"/>
  <c r="L76" i="59"/>
  <c r="M75" i="59"/>
  <c r="M87" i="59" s="1"/>
  <c r="M89" i="59" s="1"/>
  <c r="M42" i="53"/>
  <c r="M44" i="53"/>
  <c r="ER349" i="9"/>
  <c r="ER351" i="9" s="1"/>
  <c r="EQ349" i="9"/>
  <c r="EP349" i="9"/>
  <c r="EP351" i="9" s="1"/>
  <c r="BM121" i="9"/>
  <c r="BM126" i="9" s="1"/>
  <c r="BM134" i="9"/>
  <c r="BM173" i="9"/>
  <c r="BM162" i="9"/>
  <c r="BM175" i="9"/>
  <c r="DD252" i="9"/>
  <c r="DD235" i="9"/>
  <c r="BD148" i="63"/>
  <c r="AP122" i="56"/>
  <c r="BV917" i="4"/>
  <c r="BV927" i="4" s="1"/>
  <c r="BS100" i="4"/>
  <c r="BS101" i="4"/>
  <c r="BS99" i="4"/>
  <c r="BS104" i="4"/>
  <c r="BX101" i="4"/>
  <c r="BW801" i="4"/>
  <c r="BW136" i="4"/>
  <c r="DQ860" i="4"/>
  <c r="BU796" i="4"/>
  <c r="DG496" i="4"/>
  <c r="AB492" i="4"/>
  <c r="X492" i="4"/>
  <c r="X496" i="4" s="1"/>
  <c r="CT361" i="4"/>
  <c r="DP506" i="4"/>
  <c r="CN943" i="4"/>
  <c r="CO941" i="4"/>
  <c r="BU964" i="4"/>
  <c r="DQ964" i="4" s="1"/>
  <c r="BR123" i="4"/>
  <c r="BR126" i="4" s="1"/>
  <c r="BR128" i="4"/>
  <c r="DA917" i="4"/>
  <c r="DX917" i="4"/>
  <c r="CZ927" i="4"/>
  <c r="CK283" i="4"/>
  <c r="CK284" i="4"/>
  <c r="BR65" i="4"/>
  <c r="BR67" i="4" s="1"/>
  <c r="BR138" i="4"/>
  <c r="BR144" i="4" s="1"/>
  <c r="BR60" i="4"/>
  <c r="BU53" i="4"/>
  <c r="BR98" i="4"/>
  <c r="BS801" i="4" s="1"/>
  <c r="BS802" i="4" s="1"/>
  <c r="BU88" i="4"/>
  <c r="BU489" i="4"/>
  <c r="EQ340" i="9" s="1"/>
  <c r="EQ343" i="9" s="1"/>
  <c r="DQ486" i="4"/>
  <c r="BS65" i="4"/>
  <c r="BS67" i="4" s="1"/>
  <c r="BS138" i="4"/>
  <c r="BS144" i="4" s="1"/>
  <c r="BS60" i="4"/>
  <c r="BW138" i="4"/>
  <c r="BW144" i="4" s="1"/>
  <c r="BT138" i="4"/>
  <c r="BT144" i="4" s="1"/>
  <c r="BV138" i="4"/>
  <c r="BV144" i="4" s="1"/>
  <c r="BS128" i="4"/>
  <c r="BS123" i="4"/>
  <c r="BS126" i="4" s="1"/>
  <c r="DP824" i="4"/>
  <c r="BP826" i="4"/>
  <c r="DP826" i="4" s="1"/>
  <c r="CM289" i="4"/>
  <c r="CL282" i="4"/>
  <c r="BS930" i="4"/>
  <c r="BR799" i="4"/>
  <c r="BR800" i="4" s="1"/>
  <c r="BR751" i="4"/>
  <c r="BR765" i="4" s="1"/>
  <c r="BS725" i="4"/>
  <c r="BS726" i="4" s="1"/>
  <c r="BS745" i="4" s="1"/>
  <c r="BR651" i="4"/>
  <c r="CY137" i="4"/>
  <c r="DW137" i="4" s="1"/>
  <c r="DW39" i="4"/>
  <c r="CY89" i="4"/>
  <c r="DW89" i="4" s="1"/>
  <c r="BW895" i="4"/>
  <c r="BV860" i="4"/>
  <c r="BV796" i="4" s="1"/>
  <c r="BV798" i="4" s="1"/>
  <c r="AQ72" i="72" s="1"/>
  <c r="BW837" i="4"/>
  <c r="BU697" i="4"/>
  <c r="BU112" i="4"/>
  <c r="BU59" i="4"/>
  <c r="BU54" i="4"/>
  <c r="DQ54" i="4" s="1"/>
  <c r="DQ51" i="4"/>
  <c r="BZ54" i="4"/>
  <c r="DR54" i="4" s="1"/>
  <c r="DQ637" i="4"/>
  <c r="BU638" i="4"/>
  <c r="EQ336" i="9" s="1"/>
  <c r="DW927" i="4"/>
  <c r="R101" i="59" l="1"/>
  <c r="DD238" i="9"/>
  <c r="DD233" i="9"/>
  <c r="BM165" i="9"/>
  <c r="BM164" i="9"/>
  <c r="BO114" i="9"/>
  <c r="BP108" i="9"/>
  <c r="BO119" i="9"/>
  <c r="BO155" i="9"/>
  <c r="BP149" i="9"/>
  <c r="BO160" i="9"/>
  <c r="BN134" i="9"/>
  <c r="BN121" i="9"/>
  <c r="BN171" i="9"/>
  <c r="BN173" i="9"/>
  <c r="AQ89" i="72"/>
  <c r="AQ76" i="72"/>
  <c r="AQ87" i="72" s="1"/>
  <c r="BM167" i="9"/>
  <c r="BM123" i="9"/>
  <c r="BM124" i="9"/>
  <c r="BN130" i="9"/>
  <c r="BN132" i="9"/>
  <c r="BN162" i="9"/>
  <c r="BN175" i="9"/>
  <c r="AN116" i="48"/>
  <c r="AP124" i="56"/>
  <c r="BD150" i="63"/>
  <c r="BV801" i="4"/>
  <c r="EE311" i="9"/>
  <c r="EE317" i="9" s="1"/>
  <c r="DD208" i="9"/>
  <c r="AS136" i="63"/>
  <c r="X100" i="56"/>
  <c r="EQ345" i="9"/>
  <c r="EQ347" i="9" s="1"/>
  <c r="EQ351" i="9" s="1"/>
  <c r="W100" i="56"/>
  <c r="AR136" i="63"/>
  <c r="BS136" i="4"/>
  <c r="BT930" i="4"/>
  <c r="BU930" i="4" s="1"/>
  <c r="BS799" i="4"/>
  <c r="BS800" i="4" s="1"/>
  <c r="BS803" i="4" s="1"/>
  <c r="BS751" i="4"/>
  <c r="BS765" i="4" s="1"/>
  <c r="BT725" i="4"/>
  <c r="BT726" i="4" s="1"/>
  <c r="BT745" i="4" s="1"/>
  <c r="BV802" i="4"/>
  <c r="BV773" i="4"/>
  <c r="BV786" i="4" s="1"/>
  <c r="BX127" i="4"/>
  <c r="BS131" i="4"/>
  <c r="BS127" i="4"/>
  <c r="BU117" i="4"/>
  <c r="DQ112" i="4"/>
  <c r="DQ638" i="4"/>
  <c r="BX837" i="4"/>
  <c r="BX895" i="4"/>
  <c r="BW860" i="4"/>
  <c r="BW796" i="4" s="1"/>
  <c r="BW798" i="4" s="1"/>
  <c r="AR72" i="72" s="1"/>
  <c r="BS934" i="4"/>
  <c r="BS937" i="4" s="1"/>
  <c r="BS651" i="4"/>
  <c r="BS68" i="4"/>
  <c r="BX68" i="4"/>
  <c r="DQ489" i="4"/>
  <c r="BU138" i="4"/>
  <c r="BU60" i="4"/>
  <c r="DQ53" i="4"/>
  <c r="BU65" i="4"/>
  <c r="BU67" i="4" s="1"/>
  <c r="BX138" i="4"/>
  <c r="BX144" i="4" s="1"/>
  <c r="DX927" i="4"/>
  <c r="CZ39" i="4"/>
  <c r="DW430" i="72" s="1"/>
  <c r="BW127" i="4"/>
  <c r="BR131" i="4"/>
  <c r="CU361" i="4"/>
  <c r="DV361" i="4"/>
  <c r="DH492" i="4"/>
  <c r="BS105" i="4"/>
  <c r="BX105" i="4"/>
  <c r="BU966" i="4"/>
  <c r="DQ966" i="4" s="1"/>
  <c r="DQ59" i="4"/>
  <c r="BW917" i="4"/>
  <c r="BW927" i="4" s="1"/>
  <c r="BR788" i="4"/>
  <c r="BR140" i="4"/>
  <c r="CM282" i="4"/>
  <c r="CN289" i="4"/>
  <c r="CN282" i="4" s="1"/>
  <c r="BS130" i="4"/>
  <c r="BX129" i="4"/>
  <c r="BS129" i="4"/>
  <c r="BS61" i="4"/>
  <c r="BX61" i="4"/>
  <c r="BU98" i="4"/>
  <c r="E8" i="68" s="1"/>
  <c r="DQ88" i="4"/>
  <c r="DY917" i="4"/>
  <c r="DA927" i="4"/>
  <c r="DU941" i="4"/>
  <c r="CO943" i="4"/>
  <c r="DU943" i="4" s="1"/>
  <c r="CP941" i="4"/>
  <c r="BT136" i="4"/>
  <c r="BV136" i="4"/>
  <c r="DQ697" i="4"/>
  <c r="BU704" i="4"/>
  <c r="CL284" i="4"/>
  <c r="CL283" i="4"/>
  <c r="BR61" i="4"/>
  <c r="BW61" i="4"/>
  <c r="BR801" i="4"/>
  <c r="BR802" i="4" s="1"/>
  <c r="BR101" i="4"/>
  <c r="BR99" i="4"/>
  <c r="BR136" i="4"/>
  <c r="BR104" i="4"/>
  <c r="BR148" i="4"/>
  <c r="BR100" i="4"/>
  <c r="BW101" i="4"/>
  <c r="BR68" i="4"/>
  <c r="BW68" i="4"/>
  <c r="BR130" i="4"/>
  <c r="BW129" i="4"/>
  <c r="BR129" i="4"/>
  <c r="X521" i="4"/>
  <c r="Y492" i="4"/>
  <c r="Y496" i="4" s="1"/>
  <c r="X500" i="4"/>
  <c r="DQ796" i="4"/>
  <c r="BU798" i="4"/>
  <c r="BT801" i="4"/>
  <c r="BN123" i="9" l="1"/>
  <c r="BN124" i="9"/>
  <c r="BN126" i="9"/>
  <c r="BO173" i="9"/>
  <c r="BO171" i="9"/>
  <c r="BN165" i="9"/>
  <c r="BN164" i="9"/>
  <c r="BN167" i="9"/>
  <c r="BO121" i="9"/>
  <c r="BO134" i="9"/>
  <c r="BV717" i="4"/>
  <c r="E23" i="68"/>
  <c r="AP72" i="72"/>
  <c r="BO175" i="9"/>
  <c r="BO162" i="9"/>
  <c r="BP114" i="9"/>
  <c r="BP119" i="9"/>
  <c r="DE214" i="9"/>
  <c r="DD214" i="9"/>
  <c r="AR89" i="72"/>
  <c r="AR76" i="72"/>
  <c r="AR87" i="72" s="1"/>
  <c r="BP155" i="9"/>
  <c r="BP160" i="9"/>
  <c r="BO130" i="9"/>
  <c r="BO132" i="9"/>
  <c r="DD215" i="9"/>
  <c r="E33" i="68"/>
  <c r="E30" i="68"/>
  <c r="E9" i="68"/>
  <c r="F9" i="68"/>
  <c r="H10" i="68"/>
  <c r="Z100" i="56"/>
  <c r="AU136" i="63"/>
  <c r="E12" i="68"/>
  <c r="EE328" i="9"/>
  <c r="EH317" i="9"/>
  <c r="EH321" i="9" s="1"/>
  <c r="DV275" i="4"/>
  <c r="BV722" i="4"/>
  <c r="BV724" i="4" s="1"/>
  <c r="BW717" i="4"/>
  <c r="X747" i="4"/>
  <c r="X751" i="4" s="1"/>
  <c r="X499" i="4"/>
  <c r="X753" i="4"/>
  <c r="X755" i="4" s="1"/>
  <c r="X941" i="4" s="1"/>
  <c r="X943" i="4" s="1"/>
  <c r="BU801" i="4"/>
  <c r="DQ801" i="4" s="1"/>
  <c r="BT802" i="4"/>
  <c r="Y521" i="4"/>
  <c r="Y523" i="4" s="1"/>
  <c r="Z492" i="4"/>
  <c r="Z496" i="4" s="1"/>
  <c r="Y500" i="4"/>
  <c r="CZ89" i="4"/>
  <c r="DX89" i="4" s="1"/>
  <c r="DX39" i="4"/>
  <c r="CZ137" i="4"/>
  <c r="DX137" i="4" s="1"/>
  <c r="BU68" i="4"/>
  <c r="BZ68" i="4"/>
  <c r="BX860" i="4"/>
  <c r="BX796" i="4" s="1"/>
  <c r="BX798" i="4" s="1"/>
  <c r="AS72" i="72" s="1"/>
  <c r="BY895" i="4"/>
  <c r="BT799" i="4"/>
  <c r="BT800" i="4" s="1"/>
  <c r="BU745" i="4"/>
  <c r="BT751" i="4"/>
  <c r="BT765" i="4" s="1"/>
  <c r="BR146" i="4"/>
  <c r="BR145" i="4"/>
  <c r="BR150" i="4" s="1"/>
  <c r="CV361" i="4"/>
  <c r="CU354" i="4"/>
  <c r="DQ930" i="4"/>
  <c r="DQ117" i="4"/>
  <c r="BU123" i="4"/>
  <c r="E34" i="68" s="1"/>
  <c r="BU128" i="4"/>
  <c r="BS133" i="4"/>
  <c r="BX132" i="4"/>
  <c r="BS132" i="4"/>
  <c r="BS788" i="4"/>
  <c r="BS148" i="4"/>
  <c r="BR105" i="4"/>
  <c r="BW105" i="4"/>
  <c r="BU724" i="4"/>
  <c r="DQ704" i="4"/>
  <c r="DY927" i="4"/>
  <c r="DA39" i="4"/>
  <c r="BU104" i="4"/>
  <c r="BU101" i="4"/>
  <c r="DQ101" i="4" s="1"/>
  <c r="BU99" i="4"/>
  <c r="DQ99" i="4" s="1"/>
  <c r="DQ98" i="4"/>
  <c r="BU100" i="4"/>
  <c r="DQ100" i="4" s="1"/>
  <c r="BU136" i="4"/>
  <c r="BZ101" i="4"/>
  <c r="DR101" i="4" s="1"/>
  <c r="CN283" i="4"/>
  <c r="CO282" i="4"/>
  <c r="CN284" i="4"/>
  <c r="BS140" i="4"/>
  <c r="BR133" i="4"/>
  <c r="BW132" i="4"/>
  <c r="BU61" i="4"/>
  <c r="DQ61" i="4" s="1"/>
  <c r="DQ60" i="4"/>
  <c r="BZ61" i="4"/>
  <c r="DR61" i="4" s="1"/>
  <c r="BW802" i="4"/>
  <c r="BW773" i="4"/>
  <c r="BW786" i="4" s="1"/>
  <c r="BU806" i="4"/>
  <c r="DQ798" i="4"/>
  <c r="BU802" i="4"/>
  <c r="DQ802" i="4" s="1"/>
  <c r="BU773" i="4"/>
  <c r="X523" i="4"/>
  <c r="BR151" i="4"/>
  <c r="CP943" i="4"/>
  <c r="CQ941" i="4"/>
  <c r="CM284" i="4"/>
  <c r="CM283" i="4"/>
  <c r="CO283" i="4" s="1"/>
  <c r="DU283" i="4" s="1"/>
  <c r="BU144" i="4"/>
  <c r="DQ138" i="4"/>
  <c r="BX917" i="4"/>
  <c r="BR803" i="4"/>
  <c r="BT934" i="4"/>
  <c r="BU934" i="4" s="1"/>
  <c r="BT651" i="4"/>
  <c r="BU651" i="4" s="1"/>
  <c r="DQ651" i="4" s="1"/>
  <c r="BP162" i="9" l="1"/>
  <c r="BP175" i="9"/>
  <c r="BP132" i="9"/>
  <c r="BP130" i="9"/>
  <c r="X765" i="4"/>
  <c r="X788" i="4" s="1"/>
  <c r="BP173" i="9"/>
  <c r="BP171" i="9"/>
  <c r="BO164" i="9"/>
  <c r="BO165" i="9"/>
  <c r="BO167" i="9"/>
  <c r="AS76" i="72"/>
  <c r="AS87" i="72" s="1"/>
  <c r="AS89" i="72"/>
  <c r="BP134" i="9"/>
  <c r="BP121" i="9"/>
  <c r="BO124" i="9"/>
  <c r="BO123" i="9"/>
  <c r="BO126" i="9"/>
  <c r="BT937" i="4"/>
  <c r="R44" i="53"/>
  <c r="R43" i="53"/>
  <c r="R42" i="53"/>
  <c r="EE331" i="9"/>
  <c r="EH328" i="9"/>
  <c r="E13" i="68"/>
  <c r="H14" i="68"/>
  <c r="F13" i="68"/>
  <c r="CS226" i="4"/>
  <c r="CS334" i="4"/>
  <c r="CT333" i="4"/>
  <c r="DV276" i="4"/>
  <c r="AD44" i="72" s="1"/>
  <c r="AD46" i="72" s="1"/>
  <c r="DQ934" i="4"/>
  <c r="BU937" i="4"/>
  <c r="DQ937" i="4" s="1"/>
  <c r="BS146" i="4"/>
  <c r="BS145" i="4"/>
  <c r="BS150" i="4" s="1"/>
  <c r="BS151" i="4"/>
  <c r="BU105" i="4"/>
  <c r="BZ105" i="4"/>
  <c r="DQ136" i="4"/>
  <c r="BX927" i="4"/>
  <c r="CR941" i="4"/>
  <c r="CQ943" i="4"/>
  <c r="CW361" i="4"/>
  <c r="BR149" i="4"/>
  <c r="BY917" i="4"/>
  <c r="BZ917" i="4" s="1"/>
  <c r="DR917" i="4" s="1"/>
  <c r="BZ895" i="4"/>
  <c r="BT788" i="4"/>
  <c r="BT148" i="4"/>
  <c r="BX802" i="4"/>
  <c r="BX773" i="4"/>
  <c r="BX786" i="4" s="1"/>
  <c r="DQ144" i="4"/>
  <c r="DQ773" i="4"/>
  <c r="BU786" i="4"/>
  <c r="DQ786" i="4" s="1"/>
  <c r="DQ806" i="4"/>
  <c r="DA89" i="4"/>
  <c r="DY89" i="4" s="1"/>
  <c r="DA137" i="4"/>
  <c r="DY137" i="4" s="1"/>
  <c r="DY39" i="4"/>
  <c r="BU130" i="4"/>
  <c r="DQ130" i="4" s="1"/>
  <c r="BZ129" i="4"/>
  <c r="DR129" i="4" s="1"/>
  <c r="DQ128" i="4"/>
  <c r="BU129" i="4"/>
  <c r="DQ129" i="4" s="1"/>
  <c r="BV930" i="4"/>
  <c r="BU799" i="4"/>
  <c r="DQ745" i="4"/>
  <c r="BU751" i="4"/>
  <c r="BZ725" i="4"/>
  <c r="DR725" i="4" s="1"/>
  <c r="BV725" i="4"/>
  <c r="BV726" i="4" s="1"/>
  <c r="BV745" i="4" s="1"/>
  <c r="Y747" i="4"/>
  <c r="Y751" i="4" s="1"/>
  <c r="Y499" i="4"/>
  <c r="Y753" i="4"/>
  <c r="Y755" i="4" s="1"/>
  <c r="Y941" i="4" s="1"/>
  <c r="Y943" i="4" s="1"/>
  <c r="DU282" i="4"/>
  <c r="CO284" i="4"/>
  <c r="DU284" i="4" s="1"/>
  <c r="CO289" i="4"/>
  <c r="DQ724" i="4"/>
  <c r="BU726" i="4"/>
  <c r="DQ726" i="4" s="1"/>
  <c r="BT140" i="4"/>
  <c r="BU126" i="4"/>
  <c r="E35" i="68" s="1"/>
  <c r="DQ123" i="4"/>
  <c r="CU356" i="4"/>
  <c r="BT803" i="4"/>
  <c r="Z521" i="4"/>
  <c r="AA492" i="4"/>
  <c r="Z500" i="4"/>
  <c r="BW722" i="4"/>
  <c r="BW724" i="4" s="1"/>
  <c r="BX717" i="4"/>
  <c r="BU140" i="4"/>
  <c r="BU151" i="4" s="1"/>
  <c r="DQ151" i="4" s="1"/>
  <c r="BP124" i="9" l="1"/>
  <c r="BP123" i="9"/>
  <c r="BR127" i="9"/>
  <c r="BP126" i="9"/>
  <c r="BS149" i="4"/>
  <c r="BP165" i="9"/>
  <c r="BP164" i="9"/>
  <c r="BP167" i="9"/>
  <c r="E24" i="68"/>
  <c r="E25" i="68" s="1"/>
  <c r="E27" i="68" s="1"/>
  <c r="AP77" i="72"/>
  <c r="EI334" i="9"/>
  <c r="EI335" i="9" s="1"/>
  <c r="EI328" i="9"/>
  <c r="EJ334" i="9"/>
  <c r="EJ335" i="9" s="1"/>
  <c r="CS7" i="4"/>
  <c r="CT7" i="4" s="1"/>
  <c r="CS244" i="4"/>
  <c r="CS255" i="4"/>
  <c r="CT226" i="4"/>
  <c r="CS242" i="4"/>
  <c r="CT334" i="4"/>
  <c r="DV334" i="4" s="1"/>
  <c r="DV330" i="4"/>
  <c r="Z523" i="4"/>
  <c r="BU131" i="4"/>
  <c r="BZ127" i="4"/>
  <c r="DR127" i="4" s="1"/>
  <c r="DQ126" i="4"/>
  <c r="BU146" i="4"/>
  <c r="DQ140" i="4"/>
  <c r="BU145" i="4"/>
  <c r="AA521" i="4"/>
  <c r="AA523" i="4" s="1"/>
  <c r="AA495" i="4"/>
  <c r="AB495" i="4" s="1"/>
  <c r="BU811" i="4"/>
  <c r="DQ799" i="4"/>
  <c r="BU800" i="4"/>
  <c r="DR895" i="4"/>
  <c r="BZ927" i="4"/>
  <c r="BX722" i="4"/>
  <c r="BX724" i="4" s="1"/>
  <c r="BY717" i="4"/>
  <c r="BY722" i="4" s="1"/>
  <c r="BY724" i="4" s="1"/>
  <c r="CP289" i="4"/>
  <c r="DU289" i="4"/>
  <c r="BV934" i="4"/>
  <c r="BV937" i="4" s="1"/>
  <c r="BV651" i="4"/>
  <c r="BW930" i="4"/>
  <c r="BV799" i="4"/>
  <c r="AQ77" i="72" s="1"/>
  <c r="AQ79" i="72" s="1"/>
  <c r="BV751" i="4"/>
  <c r="BV765" i="4" s="1"/>
  <c r="BW725" i="4"/>
  <c r="BW726" i="4" s="1"/>
  <c r="BW745" i="4" s="1"/>
  <c r="CX361" i="4"/>
  <c r="BT146" i="4"/>
  <c r="BT145" i="4"/>
  <c r="BT150" i="4" s="1"/>
  <c r="BT151" i="4"/>
  <c r="BU765" i="4"/>
  <c r="DQ751" i="4"/>
  <c r="BY927" i="4"/>
  <c r="CR943" i="4"/>
  <c r="CS941" i="4"/>
  <c r="Z747" i="4"/>
  <c r="Z751" i="4" s="1"/>
  <c r="Z499" i="4"/>
  <c r="Z753" i="4"/>
  <c r="Z755" i="4" s="1"/>
  <c r="Z941" i="4" s="1"/>
  <c r="Z943" i="4" s="1"/>
  <c r="Y765" i="4"/>
  <c r="Y788" i="4" s="1"/>
  <c r="Z765" i="4" l="1"/>
  <c r="Z788" i="4" s="1"/>
  <c r="EI329" i="9"/>
  <c r="EH332" i="9" s="1"/>
  <c r="EI331" i="9"/>
  <c r="EJ331" i="9" s="1"/>
  <c r="DV7" i="4"/>
  <c r="CY388" i="72"/>
  <c r="CS10" i="4"/>
  <c r="CS251" i="4"/>
  <c r="CT242" i="4"/>
  <c r="CT244" i="4"/>
  <c r="DV244" i="4" s="1"/>
  <c r="DV223" i="4"/>
  <c r="CT255" i="4"/>
  <c r="DV255" i="4" s="1"/>
  <c r="CT941" i="4"/>
  <c r="CS943" i="4"/>
  <c r="BT149" i="4"/>
  <c r="DH495" i="4"/>
  <c r="AB496" i="4"/>
  <c r="DQ146" i="4"/>
  <c r="BU149" i="4"/>
  <c r="DQ149" i="4" s="1"/>
  <c r="DQ131" i="4"/>
  <c r="BU133" i="4"/>
  <c r="DQ133" i="4" s="1"/>
  <c r="BZ132" i="4"/>
  <c r="DR132" i="4" s="1"/>
  <c r="BU788" i="4"/>
  <c r="DQ788" i="4" s="1"/>
  <c r="DQ765" i="4"/>
  <c r="BV140" i="4"/>
  <c r="BU148" i="4"/>
  <c r="DQ148" i="4" s="1"/>
  <c r="BV788" i="4"/>
  <c r="BV148" i="4"/>
  <c r="CQ289" i="4"/>
  <c r="CP282" i="4"/>
  <c r="DQ800" i="4"/>
  <c r="BU803" i="4"/>
  <c r="DQ803" i="4" s="1"/>
  <c r="DQ811" i="4"/>
  <c r="BU814" i="4"/>
  <c r="AB521" i="4"/>
  <c r="DH521" i="4" s="1"/>
  <c r="CY361" i="4"/>
  <c r="BV800" i="4"/>
  <c r="BV803" i="4" s="1"/>
  <c r="DQ145" i="4"/>
  <c r="BU150" i="4"/>
  <c r="DQ150" i="4" s="1"/>
  <c r="AB523" i="4"/>
  <c r="DH523" i="4" s="1"/>
  <c r="BX930" i="4"/>
  <c r="BW799" i="4"/>
  <c r="AR77" i="72" s="1"/>
  <c r="AR79" i="72" s="1"/>
  <c r="BW751" i="4"/>
  <c r="BW765" i="4" s="1"/>
  <c r="BW140" i="4" s="1"/>
  <c r="BX725" i="4"/>
  <c r="BX726" i="4" s="1"/>
  <c r="BX745" i="4" s="1"/>
  <c r="BW934" i="4"/>
  <c r="BW937" i="4" s="1"/>
  <c r="BW651" i="4"/>
  <c r="DR927" i="4"/>
  <c r="BZ717" i="4"/>
  <c r="CT10" i="4" l="1"/>
  <c r="CS15" i="4"/>
  <c r="CS679" i="4"/>
  <c r="CS20" i="4"/>
  <c r="CS21" i="4" s="1"/>
  <c r="DV242" i="4"/>
  <c r="CT251" i="4"/>
  <c r="DV251" i="4" s="1"/>
  <c r="CS14" i="4"/>
  <c r="CT644" i="4"/>
  <c r="CT645" i="4" s="1"/>
  <c r="DV645" i="4" s="1"/>
  <c r="CY393" i="72"/>
  <c r="CZ388" i="72" s="1"/>
  <c r="BY930" i="4"/>
  <c r="BX799" i="4"/>
  <c r="AS77" i="72" s="1"/>
  <c r="AS79" i="72" s="1"/>
  <c r="BX751" i="4"/>
  <c r="BX765" i="4" s="1"/>
  <c r="BX140" i="4" s="1"/>
  <c r="BY725" i="4"/>
  <c r="BY726" i="4" s="1"/>
  <c r="BY745" i="4" s="1"/>
  <c r="BX934" i="4"/>
  <c r="BX937" i="4" s="1"/>
  <c r="BX651" i="4"/>
  <c r="BZ930" i="4"/>
  <c r="BV146" i="4"/>
  <c r="BV145" i="4"/>
  <c r="BV150" i="4" s="1"/>
  <c r="BV151" i="4"/>
  <c r="DH496" i="4"/>
  <c r="AG492" i="4"/>
  <c r="DI492" i="4" s="1"/>
  <c r="AC492" i="4"/>
  <c r="AC496" i="4" s="1"/>
  <c r="DQ814" i="4"/>
  <c r="BU824" i="4"/>
  <c r="BW146" i="4"/>
  <c r="BW145" i="4"/>
  <c r="BW150" i="4" s="1"/>
  <c r="BW151" i="4"/>
  <c r="BW788" i="4"/>
  <c r="BW148" i="4"/>
  <c r="CR289" i="4"/>
  <c r="CQ282" i="4"/>
  <c r="CT943" i="4"/>
  <c r="DV943" i="4" s="1"/>
  <c r="DV941" i="4"/>
  <c r="CU941" i="4"/>
  <c r="CP284" i="4"/>
  <c r="CP283" i="4"/>
  <c r="BZ722" i="4"/>
  <c r="DR717" i="4"/>
  <c r="BW800" i="4"/>
  <c r="BW803" i="4" s="1"/>
  <c r="CZ361" i="4"/>
  <c r="DW361" i="4"/>
  <c r="BW149" i="4" l="1"/>
  <c r="BV149" i="4"/>
  <c r="CS139" i="4"/>
  <c r="CS690" i="4"/>
  <c r="CS746" i="4" s="1"/>
  <c r="CT746" i="4" s="1"/>
  <c r="CS22" i="4"/>
  <c r="CS23" i="4" s="1"/>
  <c r="CT14" i="4"/>
  <c r="CS16" i="4"/>
  <c r="CT20" i="4"/>
  <c r="CT21" i="4" s="1"/>
  <c r="CT15" i="4"/>
  <c r="DV15" i="4" s="1"/>
  <c r="DV10" i="4"/>
  <c r="CO350" i="72" s="1"/>
  <c r="CT679" i="4"/>
  <c r="CS28" i="4"/>
  <c r="CT12" i="4"/>
  <c r="DV12" i="4" s="1"/>
  <c r="CZ390" i="72"/>
  <c r="CZ391" i="72"/>
  <c r="CZ389" i="72"/>
  <c r="DR930" i="4"/>
  <c r="DX361" i="4"/>
  <c r="DA361" i="4"/>
  <c r="DR722" i="4"/>
  <c r="BZ724" i="4"/>
  <c r="BX146" i="4"/>
  <c r="BX151" i="4"/>
  <c r="BX145" i="4"/>
  <c r="BX150" i="4" s="1"/>
  <c r="BX788" i="4"/>
  <c r="BX148" i="4"/>
  <c r="DQ824" i="4"/>
  <c r="BU826" i="4"/>
  <c r="DQ826" i="4" s="1"/>
  <c r="BX800" i="4"/>
  <c r="BX803" i="4" s="1"/>
  <c r="CQ283" i="4"/>
  <c r="CQ284" i="4"/>
  <c r="BY934" i="4"/>
  <c r="BZ934" i="4" s="1"/>
  <c r="DR934" i="4" s="1"/>
  <c r="BY651" i="4"/>
  <c r="BZ651" i="4" s="1"/>
  <c r="DR651" i="4" s="1"/>
  <c r="CV941" i="4"/>
  <c r="CU943" i="4"/>
  <c r="CS289" i="4"/>
  <c r="CS282" i="4" s="1"/>
  <c r="CR282" i="4"/>
  <c r="AC521" i="4"/>
  <c r="AD492" i="4"/>
  <c r="AD496" i="4" s="1"/>
  <c r="AC500" i="4"/>
  <c r="BY799" i="4"/>
  <c r="AT77" i="72" s="1"/>
  <c r="AT79" i="72" s="1"/>
  <c r="BY751" i="4"/>
  <c r="BY765" i="4" s="1"/>
  <c r="BZ745" i="4"/>
  <c r="BX149" i="4" l="1"/>
  <c r="BY937" i="4"/>
  <c r="DV746" i="4"/>
  <c r="CS31" i="4"/>
  <c r="CT28" i="4"/>
  <c r="CT22" i="4"/>
  <c r="CT23" i="4" s="1"/>
  <c r="CT16" i="4"/>
  <c r="DV16" i="4" s="1"/>
  <c r="CT690" i="4"/>
  <c r="DV690" i="4" s="1"/>
  <c r="DV14" i="4"/>
  <c r="CT139" i="4"/>
  <c r="DV139" i="4" s="1"/>
  <c r="AD521" i="4"/>
  <c r="AD523" i="4" s="1"/>
  <c r="AE492" i="4"/>
  <c r="AE496" i="4" s="1"/>
  <c r="AD500" i="4"/>
  <c r="BZ726" i="4"/>
  <c r="DR726" i="4" s="1"/>
  <c r="DR724" i="4"/>
  <c r="BY788" i="4"/>
  <c r="BY148" i="4"/>
  <c r="AC523" i="4"/>
  <c r="CV943" i="4"/>
  <c r="CW941" i="4"/>
  <c r="BY140" i="4"/>
  <c r="BZ937" i="4"/>
  <c r="CA930" i="4"/>
  <c r="BZ799" i="4"/>
  <c r="BZ751" i="4"/>
  <c r="CE725" i="4"/>
  <c r="CA725" i="4"/>
  <c r="CA726" i="4" s="1"/>
  <c r="CA745" i="4" s="1"/>
  <c r="DR745" i="4"/>
  <c r="BY800" i="4"/>
  <c r="BY803" i="4" s="1"/>
  <c r="CR283" i="4"/>
  <c r="CR284" i="4"/>
  <c r="AC747" i="4"/>
  <c r="AC751" i="4" s="1"/>
  <c r="AC499" i="4"/>
  <c r="AC753" i="4"/>
  <c r="AC755" i="4" s="1"/>
  <c r="AC941" i="4" s="1"/>
  <c r="AC943" i="4" s="1"/>
  <c r="CS283" i="4"/>
  <c r="CS284" i="4"/>
  <c r="CT282" i="4"/>
  <c r="BZ140" i="4"/>
  <c r="DY361" i="4"/>
  <c r="F24" i="68" l="1"/>
  <c r="F25" i="68" s="1"/>
  <c r="F27" i="68" s="1"/>
  <c r="AU77" i="72"/>
  <c r="AU79" i="72" s="1"/>
  <c r="CT283" i="4"/>
  <c r="DV283" i="4" s="1"/>
  <c r="DV28" i="4"/>
  <c r="CT31" i="4"/>
  <c r="CS691" i="4"/>
  <c r="CS768" i="4" s="1"/>
  <c r="CS74" i="4"/>
  <c r="CS33" i="4"/>
  <c r="CT284" i="4"/>
  <c r="DV284" i="4" s="1"/>
  <c r="DV282" i="4"/>
  <c r="CT289" i="4"/>
  <c r="BZ765" i="4"/>
  <c r="DR751" i="4"/>
  <c r="BY146" i="4"/>
  <c r="BY145" i="4"/>
  <c r="BY150" i="4" s="1"/>
  <c r="BY151" i="4"/>
  <c r="AC765" i="4"/>
  <c r="DR799" i="4"/>
  <c r="BZ811" i="4"/>
  <c r="BZ800" i="4"/>
  <c r="CX941" i="4"/>
  <c r="CW943" i="4"/>
  <c r="AD747" i="4"/>
  <c r="AD751" i="4" s="1"/>
  <c r="AD499" i="4"/>
  <c r="AD753" i="4"/>
  <c r="AD755" i="4" s="1"/>
  <c r="AD941" i="4" s="1"/>
  <c r="AD943" i="4" s="1"/>
  <c r="CB930" i="4"/>
  <c r="CA799" i="4"/>
  <c r="AV77" i="72" s="1"/>
  <c r="AV79" i="72" s="1"/>
  <c r="CA751" i="4"/>
  <c r="CA765" i="4" s="1"/>
  <c r="CB725" i="4"/>
  <c r="CB726" i="4" s="1"/>
  <c r="CB745" i="4" s="1"/>
  <c r="CA934" i="4"/>
  <c r="CA937" i="4" s="1"/>
  <c r="CA651" i="4"/>
  <c r="AE521" i="4"/>
  <c r="AF492" i="4"/>
  <c r="AE500" i="4"/>
  <c r="BZ146" i="4"/>
  <c r="DR140" i="4"/>
  <c r="BZ145" i="4"/>
  <c r="BZ151" i="4"/>
  <c r="DR151" i="4" s="1"/>
  <c r="DS725" i="4"/>
  <c r="CE726" i="4"/>
  <c r="DS726" i="4" s="1"/>
  <c r="DR937" i="4"/>
  <c r="BZ939" i="4"/>
  <c r="DR939" i="4" s="1"/>
  <c r="CS771" i="4" l="1"/>
  <c r="CT768" i="4"/>
  <c r="DV31" i="4"/>
  <c r="CT691" i="4"/>
  <c r="DV691" i="4" s="1"/>
  <c r="CT74" i="4"/>
  <c r="DV74" i="4" s="1"/>
  <c r="CT33" i="4"/>
  <c r="CS34" i="4"/>
  <c r="CS977" i="4"/>
  <c r="CS35" i="4"/>
  <c r="AE523" i="4"/>
  <c r="DR145" i="4"/>
  <c r="BZ150" i="4"/>
  <c r="DR150" i="4" s="1"/>
  <c r="AF495" i="4"/>
  <c r="AG495" i="4" s="1"/>
  <c r="DI495" i="4" s="1"/>
  <c r="AF521" i="4"/>
  <c r="AF523" i="4" s="1"/>
  <c r="CA800" i="4"/>
  <c r="CA803" i="4" s="1"/>
  <c r="DR800" i="4"/>
  <c r="BZ803" i="4"/>
  <c r="DR803" i="4" s="1"/>
  <c r="BZ788" i="4"/>
  <c r="DR788" i="4" s="1"/>
  <c r="DR765" i="4"/>
  <c r="CA140" i="4"/>
  <c r="BZ148" i="4"/>
  <c r="DR148" i="4" s="1"/>
  <c r="CB934" i="4"/>
  <c r="CB937" i="4" s="1"/>
  <c r="CB651" i="4"/>
  <c r="DR811" i="4"/>
  <c r="BZ814" i="4"/>
  <c r="CU289" i="4"/>
  <c r="DV289" i="4"/>
  <c r="BZ149" i="4"/>
  <c r="DR149" i="4" s="1"/>
  <c r="DR146" i="4"/>
  <c r="CC930" i="4"/>
  <c r="CB799" i="4"/>
  <c r="AW77" i="72" s="1"/>
  <c r="AW79" i="72" s="1"/>
  <c r="CC725" i="4"/>
  <c r="CC726" i="4" s="1"/>
  <c r="CC745" i="4" s="1"/>
  <c r="CB751" i="4"/>
  <c r="CB765" i="4" s="1"/>
  <c r="BY149" i="4"/>
  <c r="CX943" i="4"/>
  <c r="CY941" i="4"/>
  <c r="AE747" i="4"/>
  <c r="AE751" i="4" s="1"/>
  <c r="AE499" i="4"/>
  <c r="AE753" i="4"/>
  <c r="AE755" i="4" s="1"/>
  <c r="AE941" i="4" s="1"/>
  <c r="AE943" i="4" s="1"/>
  <c r="CA788" i="4"/>
  <c r="CB140" i="4"/>
  <c r="CA148" i="4"/>
  <c r="AD765" i="4"/>
  <c r="AD788" i="4" s="1"/>
  <c r="AC788" i="4"/>
  <c r="CY394" i="72" l="1"/>
  <c r="CT816" i="4"/>
  <c r="DV33" i="4"/>
  <c r="CT35" i="4"/>
  <c r="DV35" i="4" s="1"/>
  <c r="CT977" i="4"/>
  <c r="CT34" i="4"/>
  <c r="DV34" i="4" s="1"/>
  <c r="CT771" i="4"/>
  <c r="DV771" i="4" s="1"/>
  <c r="DV768" i="4"/>
  <c r="CZ941" i="4"/>
  <c r="DW941" i="4"/>
  <c r="CY943" i="4"/>
  <c r="DW943" i="4" s="1"/>
  <c r="CD930" i="4"/>
  <c r="CC799" i="4"/>
  <c r="AX77" i="72" s="1"/>
  <c r="AX79" i="72" s="1"/>
  <c r="CC751" i="4"/>
  <c r="CC765" i="4" s="1"/>
  <c r="CD725" i="4"/>
  <c r="CD726" i="4" s="1"/>
  <c r="CD745" i="4" s="1"/>
  <c r="BZ824" i="4"/>
  <c r="DR814" i="4"/>
  <c r="CB146" i="4"/>
  <c r="CB145" i="4"/>
  <c r="CB150" i="4" s="1"/>
  <c r="CB151" i="4"/>
  <c r="CC934" i="4"/>
  <c r="CC937" i="4" s="1"/>
  <c r="CC651" i="4"/>
  <c r="AG521" i="4"/>
  <c r="DI521" i="4" s="1"/>
  <c r="CB800" i="4"/>
  <c r="CB803" i="4" s="1"/>
  <c r="AE765" i="4"/>
  <c r="AE788" i="4" s="1"/>
  <c r="CB788" i="4"/>
  <c r="CC140" i="4"/>
  <c r="CB148" i="4"/>
  <c r="CV289" i="4"/>
  <c r="CU282" i="4"/>
  <c r="CA146" i="4"/>
  <c r="CA145" i="4"/>
  <c r="CA150" i="4" s="1"/>
  <c r="CA151" i="4"/>
  <c r="AG523" i="4"/>
  <c r="DI523" i="4" s="1"/>
  <c r="CA149" i="4" l="1"/>
  <c r="CT823" i="4"/>
  <c r="DV823" i="4" s="1"/>
  <c r="DV816" i="4"/>
  <c r="CD934" i="4"/>
  <c r="CD937" i="4" s="1"/>
  <c r="CD651" i="4"/>
  <c r="CE651" i="4" s="1"/>
  <c r="DS651" i="4" s="1"/>
  <c r="CE930" i="4"/>
  <c r="CB149" i="4"/>
  <c r="CD799" i="4"/>
  <c r="AY77" i="72" s="1"/>
  <c r="AY79" i="72" s="1"/>
  <c r="CD751" i="4"/>
  <c r="CD765" i="4" s="1"/>
  <c r="CD140" i="4" s="1"/>
  <c r="CE745" i="4"/>
  <c r="CC146" i="4"/>
  <c r="CC145" i="4"/>
  <c r="CC150" i="4" s="1"/>
  <c r="CC151" i="4"/>
  <c r="AG140" i="4"/>
  <c r="CC788" i="4"/>
  <c r="CC148" i="4"/>
  <c r="CU284" i="4"/>
  <c r="CU283" i="4"/>
  <c r="CC800" i="4"/>
  <c r="CC803" i="4" s="1"/>
  <c r="CZ943" i="4"/>
  <c r="DX943" i="4" s="1"/>
  <c r="DX941" i="4"/>
  <c r="DA941" i="4"/>
  <c r="CW289" i="4"/>
  <c r="CV282" i="4"/>
  <c r="BZ826" i="4"/>
  <c r="DR826" i="4" s="1"/>
  <c r="DR824" i="4"/>
  <c r="CE934" i="4" l="1"/>
  <c r="DS934" i="4" s="1"/>
  <c r="CC149" i="4"/>
  <c r="DY941" i="4"/>
  <c r="DA943" i="4"/>
  <c r="DY943" i="4" s="1"/>
  <c r="CD146" i="4"/>
  <c r="CD145" i="4"/>
  <c r="CD150" i="4" s="1"/>
  <c r="CD151" i="4"/>
  <c r="CD800" i="4"/>
  <c r="CD803" i="4" s="1"/>
  <c r="CV283" i="4"/>
  <c r="CV284" i="4"/>
  <c r="AG146" i="4"/>
  <c r="DI140" i="4"/>
  <c r="AG145" i="4"/>
  <c r="AG151" i="4"/>
  <c r="DI151" i="4" s="1"/>
  <c r="CF930" i="4"/>
  <c r="CE799" i="4"/>
  <c r="CE751" i="4"/>
  <c r="CJ725" i="4"/>
  <c r="CF725" i="4"/>
  <c r="CF726" i="4" s="1"/>
  <c r="CF745" i="4" s="1"/>
  <c r="DS745" i="4"/>
  <c r="CX289" i="4"/>
  <c r="CX282" i="4" s="1"/>
  <c r="CW282" i="4"/>
  <c r="CD788" i="4"/>
  <c r="CD148" i="4"/>
  <c r="DS930" i="4"/>
  <c r="CE937" i="4"/>
  <c r="CD149" i="4" l="1"/>
  <c r="G24" i="68"/>
  <c r="G25" i="68" s="1"/>
  <c r="G27" i="68" s="1"/>
  <c r="AZ77" i="72"/>
  <c r="AZ79" i="72" s="1"/>
  <c r="CX284" i="4"/>
  <c r="CY282" i="4"/>
  <c r="CX283" i="4"/>
  <c r="DT725" i="4"/>
  <c r="CJ726" i="4"/>
  <c r="DT726" i="4" s="1"/>
  <c r="DS751" i="4"/>
  <c r="CE765" i="4"/>
  <c r="DI145" i="4"/>
  <c r="AG150" i="4"/>
  <c r="DI150" i="4" s="1"/>
  <c r="DS937" i="4"/>
  <c r="CE939" i="4"/>
  <c r="DS939" i="4" s="1"/>
  <c r="CE811" i="4"/>
  <c r="DS799" i="4"/>
  <c r="CE800" i="4"/>
  <c r="CW283" i="4"/>
  <c r="CY283" i="4" s="1"/>
  <c r="DW283" i="4" s="1"/>
  <c r="CW284" i="4"/>
  <c r="CG930" i="4"/>
  <c r="CF799" i="4"/>
  <c r="CF800" i="4" s="1"/>
  <c r="CF803" i="4" s="1"/>
  <c r="CG725" i="4"/>
  <c r="CG726" i="4" s="1"/>
  <c r="CG745" i="4" s="1"/>
  <c r="CF751" i="4"/>
  <c r="CF765" i="4" s="1"/>
  <c r="CF934" i="4"/>
  <c r="CF651" i="4"/>
  <c r="DI146" i="4"/>
  <c r="AG149" i="4"/>
  <c r="DI149" i="4" s="1"/>
  <c r="DW282" i="4" l="1"/>
  <c r="CY284" i="4"/>
  <c r="DW284" i="4" s="1"/>
  <c r="CY289" i="4"/>
  <c r="DS811" i="4"/>
  <c r="CE814" i="4"/>
  <c r="CF788" i="4"/>
  <c r="CF148" i="4"/>
  <c r="CE803" i="4"/>
  <c r="DS803" i="4" s="1"/>
  <c r="DS800" i="4"/>
  <c r="CF937" i="4"/>
  <c r="CG934" i="4"/>
  <c r="CG937" i="4" s="1"/>
  <c r="CG651" i="4"/>
  <c r="CE788" i="4"/>
  <c r="DS788" i="4" s="1"/>
  <c r="DS765" i="4"/>
  <c r="CF140" i="4"/>
  <c r="CE148" i="4"/>
  <c r="DS148" i="4" s="1"/>
  <c r="BV238" i="72" s="1"/>
  <c r="CE140" i="4"/>
  <c r="CH930" i="4"/>
  <c r="CG799" i="4"/>
  <c r="B24" i="68" s="1"/>
  <c r="B25" i="68" s="1"/>
  <c r="B37" i="68" s="1"/>
  <c r="CG751" i="4"/>
  <c r="CG765" i="4" s="1"/>
  <c r="CH725" i="4"/>
  <c r="CH726" i="4" s="1"/>
  <c r="CH745" i="4" s="1"/>
  <c r="H37" i="68" l="1"/>
  <c r="G37" i="68"/>
  <c r="DW289" i="4"/>
  <c r="CZ289" i="4"/>
  <c r="CG788" i="4"/>
  <c r="CG148" i="4"/>
  <c r="CE146" i="4"/>
  <c r="DS140" i="4"/>
  <c r="CE145" i="4"/>
  <c r="CE151" i="4"/>
  <c r="DS151" i="4" s="1"/>
  <c r="CG140" i="4"/>
  <c r="CG800" i="4"/>
  <c r="CG803" i="4" s="1"/>
  <c r="CH934" i="4"/>
  <c r="CH651" i="4"/>
  <c r="CJ651" i="4" s="1"/>
  <c r="DT651" i="4" s="1"/>
  <c r="CJ930" i="4"/>
  <c r="DS814" i="4"/>
  <c r="CE824" i="4"/>
  <c r="CF146" i="4"/>
  <c r="CF145" i="4"/>
  <c r="CF150" i="4" s="1"/>
  <c r="CF151" i="4"/>
  <c r="CI930" i="4"/>
  <c r="CH799" i="4"/>
  <c r="CH800" i="4" s="1"/>
  <c r="CH803" i="4" s="1"/>
  <c r="CH751" i="4"/>
  <c r="CH765" i="4" s="1"/>
  <c r="CI725" i="4"/>
  <c r="CI726" i="4" s="1"/>
  <c r="CI745" i="4" s="1"/>
  <c r="CI934" i="4" l="1"/>
  <c r="CJ934" i="4" s="1"/>
  <c r="CE826" i="4"/>
  <c r="DS826" i="4" s="1"/>
  <c r="DS824" i="4"/>
  <c r="CH937" i="4"/>
  <c r="CI799" i="4"/>
  <c r="CI800" i="4" s="1"/>
  <c r="CI803" i="4" s="1"/>
  <c r="CI751" i="4"/>
  <c r="CI765" i="4" s="1"/>
  <c r="CJ745" i="4"/>
  <c r="CG146" i="4"/>
  <c r="CG145" i="4"/>
  <c r="CG150" i="4" s="1"/>
  <c r="CG151" i="4"/>
  <c r="CE149" i="4"/>
  <c r="DS149" i="4" s="1"/>
  <c r="DS146" i="4"/>
  <c r="DX289" i="4"/>
  <c r="DA289" i="4"/>
  <c r="CZ282" i="4"/>
  <c r="CH788" i="4"/>
  <c r="CH148" i="4"/>
  <c r="DT930" i="4"/>
  <c r="CF149" i="4"/>
  <c r="DS145" i="4"/>
  <c r="CE150" i="4"/>
  <c r="DS150" i="4" s="1"/>
  <c r="CH140" i="4"/>
  <c r="CG149" i="4" l="1"/>
  <c r="DT934" i="4"/>
  <c r="CJ937" i="4"/>
  <c r="CH146" i="4"/>
  <c r="CH145" i="4"/>
  <c r="CH150" i="4" s="1"/>
  <c r="CH151" i="4"/>
  <c r="DY289" i="4"/>
  <c r="DA282" i="4"/>
  <c r="CI788" i="4"/>
  <c r="CI148" i="4"/>
  <c r="DX282" i="4"/>
  <c r="CZ283" i="4"/>
  <c r="DX283" i="4" s="1"/>
  <c r="CZ284" i="4"/>
  <c r="DX284" i="4" s="1"/>
  <c r="CK930" i="4"/>
  <c r="CJ799" i="4"/>
  <c r="DT745" i="4"/>
  <c r="CJ751" i="4"/>
  <c r="CO725" i="4"/>
  <c r="CK725" i="4"/>
  <c r="CK726" i="4" s="1"/>
  <c r="CK745" i="4" s="1"/>
  <c r="CI140" i="4"/>
  <c r="CI937" i="4"/>
  <c r="CH149" i="4" l="1"/>
  <c r="H24" i="68"/>
  <c r="H25" i="68" s="1"/>
  <c r="H27" i="68" s="1"/>
  <c r="BA77" i="72"/>
  <c r="BA79" i="72" s="1"/>
  <c r="CL930" i="4"/>
  <c r="CK799" i="4"/>
  <c r="CK800" i="4" s="1"/>
  <c r="BY247" i="72" s="1"/>
  <c r="BY249" i="72" s="1"/>
  <c r="BY250" i="72" s="1"/>
  <c r="CK751" i="4"/>
  <c r="CK765" i="4" s="1"/>
  <c r="CL725" i="4"/>
  <c r="CL726" i="4" s="1"/>
  <c r="CL745" i="4" s="1"/>
  <c r="DU725" i="4"/>
  <c r="CO726" i="4"/>
  <c r="DU726" i="4" s="1"/>
  <c r="CI146" i="4"/>
  <c r="CI145" i="4"/>
  <c r="CI150" i="4" s="1"/>
  <c r="CI151" i="4"/>
  <c r="DT799" i="4"/>
  <c r="CJ811" i="4"/>
  <c r="CJ800" i="4"/>
  <c r="DY282" i="4"/>
  <c r="DA283" i="4"/>
  <c r="DY283" i="4" s="1"/>
  <c r="DA284" i="4"/>
  <c r="DY284" i="4" s="1"/>
  <c r="CK934" i="4"/>
  <c r="DT937" i="4"/>
  <c r="CJ939" i="4"/>
  <c r="DT939" i="4" s="1"/>
  <c r="DT751" i="4"/>
  <c r="CJ765" i="4"/>
  <c r="CM930" i="4" l="1"/>
  <c r="CL799" i="4"/>
  <c r="CL800" i="4" s="1"/>
  <c r="CL803" i="4" s="1"/>
  <c r="CL751" i="4"/>
  <c r="CL765" i="4" s="1"/>
  <c r="CM725" i="4"/>
  <c r="CM726" i="4" s="1"/>
  <c r="CM745" i="4" s="1"/>
  <c r="DT811" i="4"/>
  <c r="CJ814" i="4"/>
  <c r="CI149" i="4"/>
  <c r="CK788" i="4"/>
  <c r="CK148" i="4"/>
  <c r="CJ788" i="4"/>
  <c r="DT788" i="4" s="1"/>
  <c r="DT765" i="4"/>
  <c r="CK140" i="4"/>
  <c r="CJ148" i="4"/>
  <c r="DT148" i="4" s="1"/>
  <c r="CJ140" i="4"/>
  <c r="CK937" i="4"/>
  <c r="CJ803" i="4"/>
  <c r="DT803" i="4" s="1"/>
  <c r="DT800" i="4"/>
  <c r="CK803" i="4"/>
  <c r="CL934" i="4"/>
  <c r="CL937" i="4" s="1"/>
  <c r="CN930" i="4" l="1"/>
  <c r="CO930" i="4" s="1"/>
  <c r="CM799" i="4"/>
  <c r="CM800" i="4" s="1"/>
  <c r="CM803" i="4" s="1"/>
  <c r="CM751" i="4"/>
  <c r="CM765" i="4" s="1"/>
  <c r="CN725" i="4"/>
  <c r="CN726" i="4" s="1"/>
  <c r="CN745" i="4" s="1"/>
  <c r="CJ146" i="4"/>
  <c r="DT140" i="4"/>
  <c r="CJ145" i="4"/>
  <c r="CJ151" i="4"/>
  <c r="DT151" i="4" s="1"/>
  <c r="CL788" i="4"/>
  <c r="CL148" i="4"/>
  <c r="CJ824" i="4"/>
  <c r="DT814" i="4"/>
  <c r="CK146" i="4"/>
  <c r="CK145" i="4"/>
  <c r="CK150" i="4" s="1"/>
  <c r="CK151" i="4"/>
  <c r="CL140" i="4"/>
  <c r="CM934" i="4"/>
  <c r="CM937" i="4"/>
  <c r="DU930" i="4" l="1"/>
  <c r="DT824" i="4"/>
  <c r="CJ826" i="4"/>
  <c r="DT826" i="4" s="1"/>
  <c r="CN799" i="4"/>
  <c r="CN800" i="4" s="1"/>
  <c r="CN803" i="4" s="1"/>
  <c r="CN751" i="4"/>
  <c r="CN765" i="4" s="1"/>
  <c r="CN140" i="4" s="1"/>
  <c r="CO745" i="4"/>
  <c r="DT145" i="4"/>
  <c r="CJ150" i="4"/>
  <c r="DT150" i="4" s="1"/>
  <c r="CM788" i="4"/>
  <c r="CM148" i="4"/>
  <c r="CK149" i="4"/>
  <c r="CM140" i="4"/>
  <c r="CL146" i="4"/>
  <c r="CL145" i="4"/>
  <c r="CL150" i="4" s="1"/>
  <c r="CL151" i="4"/>
  <c r="DT146" i="4"/>
  <c r="CJ149" i="4"/>
  <c r="DT149" i="4" s="1"/>
  <c r="CN934" i="4"/>
  <c r="CN937" i="4" s="1"/>
  <c r="CO934" i="4" l="1"/>
  <c r="DU934" i="4" s="1"/>
  <c r="CO937" i="4"/>
  <c r="CL149" i="4"/>
  <c r="CM146" i="4"/>
  <c r="CM145" i="4"/>
  <c r="CM150" i="4" s="1"/>
  <c r="CM151" i="4"/>
  <c r="CN146" i="4"/>
  <c r="CN145" i="4"/>
  <c r="CN150" i="4" s="1"/>
  <c r="CN151" i="4"/>
  <c r="CP930" i="4"/>
  <c r="CO799" i="4"/>
  <c r="I24" i="68" s="1"/>
  <c r="I25" i="68" s="1"/>
  <c r="I27" i="68" s="1"/>
  <c r="DU745" i="4"/>
  <c r="CO751" i="4"/>
  <c r="CT725" i="4"/>
  <c r="DV725" i="4" s="1"/>
  <c r="CP725" i="4"/>
  <c r="CP726" i="4" s="1"/>
  <c r="CP745" i="4" s="1"/>
  <c r="CN788" i="4"/>
  <c r="CN148" i="4"/>
  <c r="CO765" i="4" l="1"/>
  <c r="DU751" i="4"/>
  <c r="CM149" i="4"/>
  <c r="CP934" i="4"/>
  <c r="CP937" i="4" s="1"/>
  <c r="CQ930" i="4"/>
  <c r="CP799" i="4"/>
  <c r="CP800" i="4" s="1"/>
  <c r="CP803" i="4" s="1"/>
  <c r="CP751" i="4"/>
  <c r="CP765" i="4" s="1"/>
  <c r="CQ725" i="4"/>
  <c r="CQ726" i="4" s="1"/>
  <c r="CQ745" i="4" s="1"/>
  <c r="CR930" i="4" s="1"/>
  <c r="CO811" i="4"/>
  <c r="DU799" i="4"/>
  <c r="CO800" i="4"/>
  <c r="CN149" i="4"/>
  <c r="DU937" i="4"/>
  <c r="CO939" i="4"/>
  <c r="DU939" i="4" s="1"/>
  <c r="CR934" i="4" l="1"/>
  <c r="CR937" i="4" s="1"/>
  <c r="DU800" i="4"/>
  <c r="CO803" i="4"/>
  <c r="DU803" i="4" s="1"/>
  <c r="CO788" i="4"/>
  <c r="DU788" i="4" s="1"/>
  <c r="DU765" i="4"/>
  <c r="CP140" i="4"/>
  <c r="CO148" i="4"/>
  <c r="DU148" i="4" s="1"/>
  <c r="CO140" i="4"/>
  <c r="DU811" i="4"/>
  <c r="CO814" i="4"/>
  <c r="CQ934" i="4"/>
  <c r="CQ937" i="4" s="1"/>
  <c r="CP788" i="4"/>
  <c r="CP148" i="4"/>
  <c r="CQ799" i="4"/>
  <c r="CQ800" i="4" s="1"/>
  <c r="CQ803" i="4" s="1"/>
  <c r="CQ751" i="4"/>
  <c r="CQ765" i="4" s="1"/>
  <c r="CR725" i="4"/>
  <c r="CS764" i="4" l="1"/>
  <c r="CT764" i="4" s="1"/>
  <c r="CT713" i="4"/>
  <c r="CR714" i="4"/>
  <c r="CR724" i="4" s="1"/>
  <c r="CR726" i="4" s="1"/>
  <c r="CR745" i="4" s="1"/>
  <c r="CR751" i="4" s="1"/>
  <c r="CR765" i="4" s="1"/>
  <c r="CO146" i="4"/>
  <c r="DU140" i="4"/>
  <c r="CO145" i="4"/>
  <c r="CO151" i="4"/>
  <c r="DU151" i="4" s="1"/>
  <c r="CQ788" i="4"/>
  <c r="CQ148" i="4"/>
  <c r="CQ140" i="4"/>
  <c r="DU814" i="4"/>
  <c r="CO824" i="4"/>
  <c r="CP146" i="4"/>
  <c r="CP145" i="4"/>
  <c r="CP150" i="4" s="1"/>
  <c r="CP151" i="4"/>
  <c r="CQ146" i="4" l="1"/>
  <c r="CQ145" i="4"/>
  <c r="CQ150" i="4" s="1"/>
  <c r="CQ151" i="4"/>
  <c r="DU145" i="4"/>
  <c r="CO150" i="4"/>
  <c r="DU150" i="4" s="1"/>
  <c r="DU824" i="4"/>
  <c r="CO826" i="4"/>
  <c r="DU826" i="4" s="1"/>
  <c r="CU764" i="4"/>
  <c r="CV764" i="4" s="1"/>
  <c r="CW764" i="4" s="1"/>
  <c r="CX764" i="4" s="1"/>
  <c r="CY764" i="4" s="1"/>
  <c r="DV764" i="4"/>
  <c r="CS930" i="4"/>
  <c r="CS934" i="4" s="1"/>
  <c r="CT934" i="4" s="1"/>
  <c r="DV934" i="4" s="1"/>
  <c r="CR799" i="4"/>
  <c r="CR800" i="4" s="1"/>
  <c r="CR803" i="4" s="1"/>
  <c r="CS725" i="4"/>
  <c r="CP149" i="4"/>
  <c r="DV713" i="4"/>
  <c r="CT714" i="4"/>
  <c r="DV714" i="4" s="1"/>
  <c r="DU146" i="4"/>
  <c r="CO149" i="4"/>
  <c r="DU149" i="4" s="1"/>
  <c r="CQ149" i="4" l="1"/>
  <c r="CR788" i="4"/>
  <c r="CR148" i="4"/>
  <c r="CR140" i="4"/>
  <c r="DW764" i="4"/>
  <c r="CZ764" i="4"/>
  <c r="CS937" i="4"/>
  <c r="CT930" i="4"/>
  <c r="CR146" i="4" l="1"/>
  <c r="CR145" i="4"/>
  <c r="CR150" i="4" s="1"/>
  <c r="CR151" i="4"/>
  <c r="CS79" i="4"/>
  <c r="CT40" i="4"/>
  <c r="J29" i="68" s="1"/>
  <c r="CS47" i="4"/>
  <c r="DV930" i="4"/>
  <c r="CT937" i="4"/>
  <c r="DX764" i="4"/>
  <c r="DA764" i="4"/>
  <c r="DY764" i="4" s="1"/>
  <c r="CR149" i="4" l="1"/>
  <c r="CT79" i="4"/>
  <c r="CS84" i="4"/>
  <c r="CS85" i="4" s="1"/>
  <c r="DV40" i="4"/>
  <c r="CT47" i="4"/>
  <c r="DV937" i="4"/>
  <c r="CT939" i="4"/>
  <c r="DV939" i="4" s="1"/>
  <c r="CS637" i="4"/>
  <c r="CS638" i="4" s="1"/>
  <c r="DV47" i="4" l="1"/>
  <c r="CT637" i="4"/>
  <c r="DV637" i="4" s="1"/>
  <c r="DV79" i="4"/>
  <c r="CT84" i="4"/>
  <c r="CT639" i="4" l="1"/>
  <c r="CT85" i="4"/>
  <c r="DV85" i="4" s="1"/>
  <c r="DV84" i="4"/>
  <c r="CS90" i="4" l="1"/>
  <c r="CT48" i="4"/>
  <c r="CS50" i="4"/>
  <c r="CS51" i="4"/>
  <c r="CS88" i="4" s="1"/>
  <c r="CT638" i="4"/>
  <c r="DV639" i="4"/>
  <c r="DV638" i="4" l="1"/>
  <c r="CV382" i="72"/>
  <c r="CS697" i="4"/>
  <c r="CS98" i="4"/>
  <c r="CS112" i="4"/>
  <c r="CS59" i="4"/>
  <c r="CS966" i="4" s="1"/>
  <c r="CS54" i="4"/>
  <c r="CS53" i="4"/>
  <c r="CS780" i="4"/>
  <c r="CT90" i="4"/>
  <c r="DV90" i="4" s="1"/>
  <c r="CT50" i="4"/>
  <c r="DV50" i="4" s="1"/>
  <c r="DV48" i="4"/>
  <c r="CT51" i="4"/>
  <c r="CS703" i="4" l="1"/>
  <c r="CT697" i="4"/>
  <c r="CT112" i="4"/>
  <c r="CT88" i="4"/>
  <c r="CT59" i="4"/>
  <c r="CT54" i="4"/>
  <c r="DV54" i="4" s="1"/>
  <c r="DV51" i="4"/>
  <c r="CT780" i="4"/>
  <c r="CS784" i="4"/>
  <c r="CS786" i="4"/>
  <c r="CS138" i="4"/>
  <c r="CS144" i="4" s="1"/>
  <c r="CS60" i="4"/>
  <c r="CT53" i="4"/>
  <c r="CS978" i="4"/>
  <c r="CS801" i="4"/>
  <c r="CS802" i="4" s="1"/>
  <c r="CS101" i="4"/>
  <c r="CS99" i="4"/>
  <c r="CS104" i="4"/>
  <c r="CS100" i="4"/>
  <c r="CS136" i="4"/>
  <c r="CT703" i="4" l="1"/>
  <c r="DV703" i="4" s="1"/>
  <c r="CS115" i="4"/>
  <c r="CS750" i="4"/>
  <c r="CT750" i="4" s="1"/>
  <c r="CS704" i="4"/>
  <c r="CS724" i="4" s="1"/>
  <c r="CS726" i="4" s="1"/>
  <c r="CS745" i="4" s="1"/>
  <c r="CS964" i="4"/>
  <c r="CS141" i="4"/>
  <c r="DV697" i="4"/>
  <c r="CS67" i="4"/>
  <c r="CS61" i="4"/>
  <c r="DV780" i="4"/>
  <c r="CT784" i="4"/>
  <c r="CT786" i="4"/>
  <c r="DV786" i="4" s="1"/>
  <c r="CT966" i="4"/>
  <c r="DV966" i="4" s="1"/>
  <c r="DV59" i="4"/>
  <c r="CS105" i="4"/>
  <c r="CT104" i="4"/>
  <c r="DV88" i="4"/>
  <c r="CT98" i="4"/>
  <c r="J8" i="68" s="1"/>
  <c r="DV112" i="4"/>
  <c r="CT138" i="4"/>
  <c r="CT60" i="4"/>
  <c r="DV53" i="4"/>
  <c r="CT704" i="4" l="1"/>
  <c r="CT724" i="4" s="1"/>
  <c r="CS799" i="4"/>
  <c r="CS800" i="4" s="1"/>
  <c r="CS803" i="4" s="1"/>
  <c r="CS751" i="4"/>
  <c r="CS765" i="4" s="1"/>
  <c r="CT745" i="4"/>
  <c r="DV750" i="4"/>
  <c r="CU750" i="4"/>
  <c r="CV750" i="4" s="1"/>
  <c r="CW750" i="4" s="1"/>
  <c r="CX750" i="4" s="1"/>
  <c r="CY750" i="4" s="1"/>
  <c r="CT115" i="4"/>
  <c r="CS117" i="4"/>
  <c r="J30" i="68"/>
  <c r="J10" i="68"/>
  <c r="J9" i="68"/>
  <c r="BZ259" i="72"/>
  <c r="BY259" i="72" s="1"/>
  <c r="J12" i="68"/>
  <c r="BZ251" i="72"/>
  <c r="BY251" i="72" s="1"/>
  <c r="AD40" i="72"/>
  <c r="AD42" i="72" s="1"/>
  <c r="CT105" i="4"/>
  <c r="CT978" i="4"/>
  <c r="CT801" i="4"/>
  <c r="CT101" i="4"/>
  <c r="DV101" i="4" s="1"/>
  <c r="CT99" i="4"/>
  <c r="DV99" i="4" s="1"/>
  <c r="DV98" i="4"/>
  <c r="CO353" i="72" s="1"/>
  <c r="CO354" i="72" s="1"/>
  <c r="CT136" i="4"/>
  <c r="CT100" i="4"/>
  <c r="DV100" i="4" s="1"/>
  <c r="CT964" i="4"/>
  <c r="DV964" i="4" s="1"/>
  <c r="DV784" i="4"/>
  <c r="CT141" i="4"/>
  <c r="DV141" i="4" s="1"/>
  <c r="CS68" i="4"/>
  <c r="CT67" i="4"/>
  <c r="CT68" i="4" s="1"/>
  <c r="CT144" i="4"/>
  <c r="DV138" i="4"/>
  <c r="DV60" i="4"/>
  <c r="CT61" i="4"/>
  <c r="DV61" i="4" s="1"/>
  <c r="DV704" i="4" l="1"/>
  <c r="CS128" i="4"/>
  <c r="CS123" i="4"/>
  <c r="CS126" i="4" s="1"/>
  <c r="CT751" i="4"/>
  <c r="CT799" i="4"/>
  <c r="CY725" i="4"/>
  <c r="DW725" i="4" s="1"/>
  <c r="DV745" i="4"/>
  <c r="CU930" i="4"/>
  <c r="CU937" i="4" s="1"/>
  <c r="CU40" i="4" s="1"/>
  <c r="CU79" i="4" s="1"/>
  <c r="CU725" i="4"/>
  <c r="DV115" i="4"/>
  <c r="CT117" i="4"/>
  <c r="CS148" i="4"/>
  <c r="CS788" i="4"/>
  <c r="CS140" i="4"/>
  <c r="DW750" i="4"/>
  <c r="CZ750" i="4"/>
  <c r="J14" i="68"/>
  <c r="J13" i="68"/>
  <c r="DV144" i="4"/>
  <c r="DV136" i="4"/>
  <c r="DV801" i="4"/>
  <c r="CT802" i="4"/>
  <c r="DV802" i="4" s="1"/>
  <c r="CT726" i="4"/>
  <c r="DV726" i="4" s="1"/>
  <c r="DV724" i="4"/>
  <c r="G19" i="43" l="1"/>
  <c r="F36" i="87" s="1"/>
  <c r="CT800" i="4"/>
  <c r="DV799" i="4"/>
  <c r="CT811" i="4"/>
  <c r="J24" i="68"/>
  <c r="J25" i="68" s="1"/>
  <c r="J27" i="68" s="1"/>
  <c r="DX750" i="4"/>
  <c r="DA750" i="4"/>
  <c r="DY750" i="4" s="1"/>
  <c r="DV751" i="4"/>
  <c r="CT765" i="4"/>
  <c r="BZ255" i="72"/>
  <c r="BY255" i="72" s="1"/>
  <c r="J33" i="68"/>
  <c r="DV117" i="4"/>
  <c r="CT123" i="4"/>
  <c r="CT128" i="4"/>
  <c r="CS131" i="4"/>
  <c r="CS127" i="4"/>
  <c r="CS146" i="4"/>
  <c r="CS145" i="4"/>
  <c r="CS150" i="4" s="1"/>
  <c r="CS151" i="4"/>
  <c r="CS130" i="4"/>
  <c r="CS129" i="4"/>
  <c r="DV811" i="4" l="1"/>
  <c r="CT814" i="4"/>
  <c r="CS132" i="4"/>
  <c r="CS133" i="4"/>
  <c r="DV128" i="4"/>
  <c r="CT129" i="4"/>
  <c r="DV129" i="4" s="1"/>
  <c r="CT130" i="4"/>
  <c r="DV130" i="4" s="1"/>
  <c r="CT803" i="4"/>
  <c r="DV803" i="4" s="1"/>
  <c r="DV800" i="4"/>
  <c r="CS149" i="4"/>
  <c r="J34" i="68"/>
  <c r="CT126" i="4"/>
  <c r="DV123" i="4"/>
  <c r="CT788" i="4"/>
  <c r="DV788" i="4" s="1"/>
  <c r="DV765" i="4"/>
  <c r="CT148" i="4"/>
  <c r="DV148" i="4" s="1"/>
  <c r="CT140" i="4"/>
  <c r="J35" i="68" l="1"/>
  <c r="CT127" i="4"/>
  <c r="DV127" i="4" s="1"/>
  <c r="CT131" i="4"/>
  <c r="DV126" i="4"/>
  <c r="CT824" i="4"/>
  <c r="DV814" i="4"/>
  <c r="CT146" i="4"/>
  <c r="DV146" i="4" s="1"/>
  <c r="DV140" i="4"/>
  <c r="CT145" i="4"/>
  <c r="CT151" i="4"/>
  <c r="DV151" i="4" s="1"/>
  <c r="DV131" i="4" l="1"/>
  <c r="CT132" i="4"/>
  <c r="DV132" i="4" s="1"/>
  <c r="CT133" i="4"/>
  <c r="DV133" i="4" s="1"/>
  <c r="CT149" i="4"/>
  <c r="DV149" i="4" s="1"/>
  <c r="CT150" i="4"/>
  <c r="DV150" i="4" s="1"/>
  <c r="DV145" i="4"/>
  <c r="CT826" i="4"/>
  <c r="DV826" i="4" s="1"/>
  <c r="DV824" i="4"/>
  <c r="CY132" i="4" l="1"/>
  <c r="DW132" i="4" s="1"/>
  <c r="CY127" i="4"/>
  <c r="DW127" i="4" s="1"/>
  <c r="B6" i="33" l="1"/>
  <c r="C6" i="33"/>
  <c r="D6" i="33"/>
  <c r="C7" i="33"/>
  <c r="D7" i="33"/>
  <c r="E7" i="33"/>
  <c r="F7" i="33"/>
  <c r="C8" i="33"/>
  <c r="D8" i="33"/>
  <c r="E8" i="33"/>
  <c r="F8" i="33"/>
  <c r="B9" i="33"/>
  <c r="D9" i="33"/>
  <c r="C10" i="33"/>
  <c r="D10" i="33"/>
  <c r="E10" i="33"/>
  <c r="F10" i="33"/>
  <c r="C11" i="33"/>
  <c r="D11" i="33"/>
  <c r="E11" i="33"/>
  <c r="F11" i="33"/>
  <c r="B12" i="33"/>
  <c r="D12" i="33"/>
  <c r="K8" i="68"/>
  <c r="L8" i="68"/>
  <c r="M8" i="68"/>
  <c r="K9" i="68"/>
  <c r="L9" i="68"/>
  <c r="M9" i="68"/>
  <c r="K10" i="68"/>
  <c r="L10" i="68"/>
  <c r="M10" i="68"/>
  <c r="K12" i="68"/>
  <c r="L12" i="68"/>
  <c r="M12" i="68"/>
  <c r="K13" i="68"/>
  <c r="L13" i="68"/>
  <c r="M13" i="68"/>
  <c r="K14" i="68"/>
  <c r="L14" i="68"/>
  <c r="M14" i="68"/>
  <c r="K24" i="68"/>
  <c r="L24" i="68"/>
  <c r="M24" i="68"/>
  <c r="K25" i="68"/>
  <c r="L25" i="68"/>
  <c r="M25" i="68"/>
  <c r="K27" i="68"/>
  <c r="L27" i="68"/>
  <c r="M27" i="68"/>
  <c r="K29" i="68"/>
  <c r="L29" i="68"/>
  <c r="M29" i="68"/>
  <c r="K30" i="68"/>
  <c r="L30" i="68"/>
  <c r="M30" i="68"/>
  <c r="K33" i="68"/>
  <c r="L33" i="68"/>
  <c r="M33" i="68"/>
  <c r="K34" i="68"/>
  <c r="L34" i="68"/>
  <c r="M34" i="68"/>
  <c r="K35" i="68"/>
  <c r="L35" i="68"/>
  <c r="M35" i="68"/>
  <c r="B10" i="43"/>
  <c r="C10" i="43"/>
  <c r="G10" i="43"/>
  <c r="H10" i="43"/>
  <c r="B12" i="43"/>
  <c r="C12" i="43"/>
  <c r="E12" i="43"/>
  <c r="G12" i="43"/>
  <c r="H12" i="43"/>
  <c r="B13" i="43"/>
  <c r="C13" i="43"/>
  <c r="E13" i="43"/>
  <c r="G13" i="43"/>
  <c r="H13" i="43"/>
  <c r="B14" i="43"/>
  <c r="C14" i="43"/>
  <c r="E14" i="43"/>
  <c r="G14" i="43"/>
  <c r="H14" i="43"/>
  <c r="H19" i="43"/>
  <c r="G20" i="43"/>
  <c r="H20" i="43"/>
  <c r="G22" i="43"/>
  <c r="H22" i="43"/>
  <c r="G24" i="43"/>
  <c r="H24" i="43"/>
  <c r="G25" i="43"/>
  <c r="CU7" i="4"/>
  <c r="CV7" i="4"/>
  <c r="CW7" i="4"/>
  <c r="CX7" i="4"/>
  <c r="CY7" i="4"/>
  <c r="CZ7" i="4"/>
  <c r="DA7" i="4"/>
  <c r="DW7" i="4"/>
  <c r="DX7" i="4"/>
  <c r="DY7" i="4"/>
  <c r="CU10" i="4"/>
  <c r="CV10" i="4"/>
  <c r="CW10" i="4"/>
  <c r="CX10" i="4"/>
  <c r="CY10" i="4"/>
  <c r="CZ10" i="4"/>
  <c r="DA10" i="4"/>
  <c r="DW10" i="4"/>
  <c r="DX10" i="4"/>
  <c r="DY10" i="4"/>
  <c r="CU12" i="4"/>
  <c r="CV12" i="4"/>
  <c r="CW12" i="4"/>
  <c r="CX12" i="4"/>
  <c r="CY12" i="4"/>
  <c r="CZ12" i="4"/>
  <c r="DA12" i="4"/>
  <c r="DW12" i="4"/>
  <c r="DX12" i="4"/>
  <c r="DY12" i="4"/>
  <c r="CU14" i="4"/>
  <c r="CV14" i="4"/>
  <c r="CW14" i="4"/>
  <c r="CX14" i="4"/>
  <c r="CY14" i="4"/>
  <c r="CZ14" i="4"/>
  <c r="DA14" i="4"/>
  <c r="DW14" i="4"/>
  <c r="DX14" i="4"/>
  <c r="DY14" i="4"/>
  <c r="CU15" i="4"/>
  <c r="CV15" i="4"/>
  <c r="CW15" i="4"/>
  <c r="CX15" i="4"/>
  <c r="CY15" i="4"/>
  <c r="CZ15" i="4"/>
  <c r="DA15" i="4"/>
  <c r="DW15" i="4"/>
  <c r="DX15" i="4"/>
  <c r="DY15" i="4"/>
  <c r="CU16" i="4"/>
  <c r="CV16" i="4"/>
  <c r="CW16" i="4"/>
  <c r="CX16" i="4"/>
  <c r="CY16" i="4"/>
  <c r="CZ16" i="4"/>
  <c r="DA16" i="4"/>
  <c r="DW16" i="4"/>
  <c r="DX16" i="4"/>
  <c r="DY16" i="4"/>
  <c r="CU20" i="4"/>
  <c r="CV20" i="4"/>
  <c r="CW20" i="4"/>
  <c r="CX20" i="4"/>
  <c r="CY20" i="4"/>
  <c r="CZ20" i="4"/>
  <c r="DA20" i="4"/>
  <c r="CU21" i="4"/>
  <c r="CV21" i="4"/>
  <c r="CW21" i="4"/>
  <c r="CX21" i="4"/>
  <c r="CY21" i="4"/>
  <c r="CZ21" i="4"/>
  <c r="DA21" i="4"/>
  <c r="CU22" i="4"/>
  <c r="CV22" i="4"/>
  <c r="CW22" i="4"/>
  <c r="CX22" i="4"/>
  <c r="CY22" i="4"/>
  <c r="CZ22" i="4"/>
  <c r="DA22" i="4"/>
  <c r="CU23" i="4"/>
  <c r="CV23" i="4"/>
  <c r="CW23" i="4"/>
  <c r="CX23" i="4"/>
  <c r="CY23" i="4"/>
  <c r="CZ23" i="4"/>
  <c r="DA23" i="4"/>
  <c r="CU28" i="4"/>
  <c r="CV28" i="4"/>
  <c r="CW28" i="4"/>
  <c r="CX28" i="4"/>
  <c r="CY28" i="4"/>
  <c r="CZ28" i="4"/>
  <c r="DA28" i="4"/>
  <c r="DW28" i="4"/>
  <c r="DX28" i="4"/>
  <c r="DY28" i="4"/>
  <c r="CU31" i="4"/>
  <c r="CV31" i="4"/>
  <c r="CW31" i="4"/>
  <c r="CX31" i="4"/>
  <c r="CY31" i="4"/>
  <c r="CZ31" i="4"/>
  <c r="DA31" i="4"/>
  <c r="DW31" i="4"/>
  <c r="DX31" i="4"/>
  <c r="DY31" i="4"/>
  <c r="CU33" i="4"/>
  <c r="CV33" i="4"/>
  <c r="CW33" i="4"/>
  <c r="CX33" i="4"/>
  <c r="CY33" i="4"/>
  <c r="CZ33" i="4"/>
  <c r="DA33" i="4"/>
  <c r="DW33" i="4"/>
  <c r="DX33" i="4"/>
  <c r="DY33" i="4"/>
  <c r="CU34" i="4"/>
  <c r="CV34" i="4"/>
  <c r="CW34" i="4"/>
  <c r="CX34" i="4"/>
  <c r="CY34" i="4"/>
  <c r="CZ34" i="4"/>
  <c r="DA34" i="4"/>
  <c r="DW34" i="4"/>
  <c r="DX34" i="4"/>
  <c r="DY34" i="4"/>
  <c r="CU35" i="4"/>
  <c r="CV35" i="4"/>
  <c r="CW35" i="4"/>
  <c r="CX35" i="4"/>
  <c r="CY35" i="4"/>
  <c r="CZ35" i="4"/>
  <c r="DA35" i="4"/>
  <c r="DW35" i="4"/>
  <c r="DX35" i="4"/>
  <c r="DY35" i="4"/>
  <c r="CV40" i="4"/>
  <c r="CW40" i="4"/>
  <c r="CX40" i="4"/>
  <c r="CY40" i="4"/>
  <c r="CZ40" i="4"/>
  <c r="DA40" i="4"/>
  <c r="DW40" i="4"/>
  <c r="DX40" i="4"/>
  <c r="DY40" i="4"/>
  <c r="CU47" i="4"/>
  <c r="CV47" i="4"/>
  <c r="CW47" i="4"/>
  <c r="CX47" i="4"/>
  <c r="CY47" i="4"/>
  <c r="CZ47" i="4"/>
  <c r="DA47" i="4"/>
  <c r="DW47" i="4"/>
  <c r="DX47" i="4"/>
  <c r="DY47" i="4"/>
  <c r="CU48" i="4"/>
  <c r="CV48" i="4"/>
  <c r="CW48" i="4"/>
  <c r="CX48" i="4"/>
  <c r="CY48" i="4"/>
  <c r="CZ48" i="4"/>
  <c r="DA48" i="4"/>
  <c r="DW48" i="4"/>
  <c r="DX48" i="4"/>
  <c r="DY48" i="4"/>
  <c r="CU50" i="4"/>
  <c r="CV50" i="4"/>
  <c r="CW50" i="4"/>
  <c r="CX50" i="4"/>
  <c r="CY50" i="4"/>
  <c r="CZ50" i="4"/>
  <c r="DA50" i="4"/>
  <c r="DW50" i="4"/>
  <c r="DX50" i="4"/>
  <c r="DY50" i="4"/>
  <c r="CU51" i="4"/>
  <c r="CV51" i="4"/>
  <c r="CW51" i="4"/>
  <c r="CX51" i="4"/>
  <c r="CY51" i="4"/>
  <c r="CZ51" i="4"/>
  <c r="DA51" i="4"/>
  <c r="DW51" i="4"/>
  <c r="DX51" i="4"/>
  <c r="DY51" i="4"/>
  <c r="CU53" i="4"/>
  <c r="CV53" i="4"/>
  <c r="CW53" i="4"/>
  <c r="CX53" i="4"/>
  <c r="CY53" i="4"/>
  <c r="CZ53" i="4"/>
  <c r="DA53" i="4"/>
  <c r="DW53" i="4"/>
  <c r="DX53" i="4"/>
  <c r="DY53" i="4"/>
  <c r="CU54" i="4"/>
  <c r="CV54" i="4"/>
  <c r="CW54" i="4"/>
  <c r="CX54" i="4"/>
  <c r="CY54" i="4"/>
  <c r="CZ54" i="4"/>
  <c r="DA54" i="4"/>
  <c r="DW54" i="4"/>
  <c r="DX54" i="4"/>
  <c r="DY54" i="4"/>
  <c r="CU59" i="4"/>
  <c r="CV59" i="4"/>
  <c r="CW59" i="4"/>
  <c r="CX59" i="4"/>
  <c r="CY59" i="4"/>
  <c r="CZ59" i="4"/>
  <c r="DA59" i="4"/>
  <c r="DW59" i="4"/>
  <c r="DX59" i="4"/>
  <c r="DY59" i="4"/>
  <c r="CU60" i="4"/>
  <c r="CV60" i="4"/>
  <c r="CW60" i="4"/>
  <c r="CX60" i="4"/>
  <c r="CY60" i="4"/>
  <c r="CZ60" i="4"/>
  <c r="DA60" i="4"/>
  <c r="DW60" i="4"/>
  <c r="DX60" i="4"/>
  <c r="DY60" i="4"/>
  <c r="CU61" i="4"/>
  <c r="CV61" i="4"/>
  <c r="CW61" i="4"/>
  <c r="CX61" i="4"/>
  <c r="CY61" i="4"/>
  <c r="CZ61" i="4"/>
  <c r="DA61" i="4"/>
  <c r="DW61" i="4"/>
  <c r="DX61" i="4"/>
  <c r="DY61" i="4"/>
  <c r="CU67" i="4"/>
  <c r="CV67" i="4"/>
  <c r="CW67" i="4"/>
  <c r="CX67" i="4"/>
  <c r="CY67" i="4"/>
  <c r="CZ67" i="4"/>
  <c r="DA67" i="4"/>
  <c r="CU68" i="4"/>
  <c r="CV68" i="4"/>
  <c r="CW68" i="4"/>
  <c r="CX68" i="4"/>
  <c r="CY68" i="4"/>
  <c r="CZ68" i="4"/>
  <c r="DA68" i="4"/>
  <c r="CU74" i="4"/>
  <c r="CV74" i="4"/>
  <c r="CW74" i="4"/>
  <c r="CX74" i="4"/>
  <c r="CY74" i="4"/>
  <c r="CZ74" i="4"/>
  <c r="DA74" i="4"/>
  <c r="DW74" i="4"/>
  <c r="DX74" i="4"/>
  <c r="DY74" i="4"/>
  <c r="CV79" i="4"/>
  <c r="CW79" i="4"/>
  <c r="CX79" i="4"/>
  <c r="CY79" i="4"/>
  <c r="CZ79" i="4"/>
  <c r="DA79" i="4"/>
  <c r="DW79" i="4"/>
  <c r="DX79" i="4"/>
  <c r="DY79" i="4"/>
  <c r="CU84" i="4"/>
  <c r="CV84" i="4"/>
  <c r="CW84" i="4"/>
  <c r="CX84" i="4"/>
  <c r="CY84" i="4"/>
  <c r="CZ84" i="4"/>
  <c r="DA84" i="4"/>
  <c r="DW84" i="4"/>
  <c r="DX84" i="4"/>
  <c r="DY84" i="4"/>
  <c r="CU85" i="4"/>
  <c r="CV85" i="4"/>
  <c r="CW85" i="4"/>
  <c r="CX85" i="4"/>
  <c r="CY85" i="4"/>
  <c r="CZ85" i="4"/>
  <c r="DA85" i="4"/>
  <c r="DW85" i="4"/>
  <c r="DX85" i="4"/>
  <c r="DY85" i="4"/>
  <c r="CU88" i="4"/>
  <c r="CV88" i="4"/>
  <c r="CW88" i="4"/>
  <c r="CX88" i="4"/>
  <c r="CY88" i="4"/>
  <c r="CZ88" i="4"/>
  <c r="DA88" i="4"/>
  <c r="DW88" i="4"/>
  <c r="DX88" i="4"/>
  <c r="DY88" i="4"/>
  <c r="CU90" i="4"/>
  <c r="CV90" i="4"/>
  <c r="CW90" i="4"/>
  <c r="CX90" i="4"/>
  <c r="CY90" i="4"/>
  <c r="CZ90" i="4"/>
  <c r="DA90" i="4"/>
  <c r="DW90" i="4"/>
  <c r="DX90" i="4"/>
  <c r="DY90" i="4"/>
  <c r="CU98" i="4"/>
  <c r="CV98" i="4"/>
  <c r="CW98" i="4"/>
  <c r="CX98" i="4"/>
  <c r="CY98" i="4"/>
  <c r="CZ98" i="4"/>
  <c r="DA98" i="4"/>
  <c r="DW98" i="4"/>
  <c r="DX98" i="4"/>
  <c r="DY98" i="4"/>
  <c r="CU99" i="4"/>
  <c r="CV99" i="4"/>
  <c r="CW99" i="4"/>
  <c r="CX99" i="4"/>
  <c r="CY99" i="4"/>
  <c r="CZ99" i="4"/>
  <c r="DA99" i="4"/>
  <c r="DW99" i="4"/>
  <c r="DX99" i="4"/>
  <c r="DY99" i="4"/>
  <c r="CU100" i="4"/>
  <c r="CV100" i="4"/>
  <c r="CW100" i="4"/>
  <c r="CX100" i="4"/>
  <c r="CY100" i="4"/>
  <c r="CZ100" i="4"/>
  <c r="DA100" i="4"/>
  <c r="DW100" i="4"/>
  <c r="DX100" i="4"/>
  <c r="DY100" i="4"/>
  <c r="CU101" i="4"/>
  <c r="CV101" i="4"/>
  <c r="CW101" i="4"/>
  <c r="CX101" i="4"/>
  <c r="CY101" i="4"/>
  <c r="CZ101" i="4"/>
  <c r="DA101" i="4"/>
  <c r="DW101" i="4"/>
  <c r="DX101" i="4"/>
  <c r="DY101" i="4"/>
  <c r="CU104" i="4"/>
  <c r="CV104" i="4"/>
  <c r="CW104" i="4"/>
  <c r="CX104" i="4"/>
  <c r="CY104" i="4"/>
  <c r="CZ104" i="4"/>
  <c r="DA104" i="4"/>
  <c r="CU105" i="4"/>
  <c r="CV105" i="4"/>
  <c r="CW105" i="4"/>
  <c r="CX105" i="4"/>
  <c r="CY105" i="4"/>
  <c r="CZ105" i="4"/>
  <c r="DA105" i="4"/>
  <c r="CU112" i="4"/>
  <c r="CV112" i="4"/>
  <c r="CW112" i="4"/>
  <c r="CX112" i="4"/>
  <c r="CY112" i="4"/>
  <c r="CZ112" i="4"/>
  <c r="DA112" i="4"/>
  <c r="DW112" i="4"/>
  <c r="DX112" i="4"/>
  <c r="DY112" i="4"/>
  <c r="CU117" i="4"/>
  <c r="CV117" i="4"/>
  <c r="CW117" i="4"/>
  <c r="CX117" i="4"/>
  <c r="CY117" i="4"/>
  <c r="CZ117" i="4"/>
  <c r="DA117" i="4"/>
  <c r="DW117" i="4"/>
  <c r="DX117" i="4"/>
  <c r="DY117" i="4"/>
  <c r="CU123" i="4"/>
  <c r="CV123" i="4"/>
  <c r="CW123" i="4"/>
  <c r="CX123" i="4"/>
  <c r="CY123" i="4"/>
  <c r="CZ123" i="4"/>
  <c r="DA123" i="4"/>
  <c r="DW123" i="4"/>
  <c r="DX123" i="4"/>
  <c r="DY123" i="4"/>
  <c r="CU126" i="4"/>
  <c r="CV126" i="4"/>
  <c r="CW126" i="4"/>
  <c r="CX126" i="4"/>
  <c r="CY126" i="4"/>
  <c r="CZ126" i="4"/>
  <c r="DA126" i="4"/>
  <c r="DW126" i="4"/>
  <c r="DX126" i="4"/>
  <c r="DY126" i="4"/>
  <c r="CU127" i="4"/>
  <c r="CX127" i="4"/>
  <c r="CZ127" i="4"/>
  <c r="DA127" i="4"/>
  <c r="DX127" i="4"/>
  <c r="DY127" i="4"/>
  <c r="CU128" i="4"/>
  <c r="CV128" i="4"/>
  <c r="CW128" i="4"/>
  <c r="CX128" i="4"/>
  <c r="CY128" i="4"/>
  <c r="CZ128" i="4"/>
  <c r="DA128" i="4"/>
  <c r="DW128" i="4"/>
  <c r="DX128" i="4"/>
  <c r="DY128" i="4"/>
  <c r="CU129" i="4"/>
  <c r="CV129" i="4"/>
  <c r="CW129" i="4"/>
  <c r="CX129" i="4"/>
  <c r="CY129" i="4"/>
  <c r="CZ129" i="4"/>
  <c r="DA129" i="4"/>
  <c r="DW129" i="4"/>
  <c r="DX129" i="4"/>
  <c r="DY129" i="4"/>
  <c r="CU130" i="4"/>
  <c r="CV130" i="4"/>
  <c r="CW130" i="4"/>
  <c r="CX130" i="4"/>
  <c r="CY130" i="4"/>
  <c r="CZ130" i="4"/>
  <c r="DA130" i="4"/>
  <c r="DW130" i="4"/>
  <c r="DX130" i="4"/>
  <c r="DY130" i="4"/>
  <c r="CU131" i="4"/>
  <c r="CV131" i="4"/>
  <c r="CW131" i="4"/>
  <c r="CX131" i="4"/>
  <c r="CY131" i="4"/>
  <c r="CZ131" i="4"/>
  <c r="DA131" i="4"/>
  <c r="DW131" i="4"/>
  <c r="DX131" i="4"/>
  <c r="DY131" i="4"/>
  <c r="CU132" i="4"/>
  <c r="CX132" i="4"/>
  <c r="CZ132" i="4"/>
  <c r="DA132" i="4"/>
  <c r="DX132" i="4"/>
  <c r="DY132" i="4"/>
  <c r="CU133" i="4"/>
  <c r="CV133" i="4"/>
  <c r="CW133" i="4"/>
  <c r="CX133" i="4"/>
  <c r="CY133" i="4"/>
  <c r="CZ133" i="4"/>
  <c r="DA133" i="4"/>
  <c r="DW133" i="4"/>
  <c r="DX133" i="4"/>
  <c r="DY133" i="4"/>
  <c r="CU136" i="4"/>
  <c r="CV136" i="4"/>
  <c r="CW136" i="4"/>
  <c r="CX136" i="4"/>
  <c r="CY136" i="4"/>
  <c r="CZ136" i="4"/>
  <c r="DA136" i="4"/>
  <c r="DW136" i="4"/>
  <c r="DX136" i="4"/>
  <c r="DY136" i="4"/>
  <c r="CU138" i="4"/>
  <c r="CV138" i="4"/>
  <c r="CW138" i="4"/>
  <c r="CX138" i="4"/>
  <c r="CY138" i="4"/>
  <c r="CZ138" i="4"/>
  <c r="DA138" i="4"/>
  <c r="DW138" i="4"/>
  <c r="DX138" i="4"/>
  <c r="DY138" i="4"/>
  <c r="CU139" i="4"/>
  <c r="CV139" i="4"/>
  <c r="CW139" i="4"/>
  <c r="CX139" i="4"/>
  <c r="CY139" i="4"/>
  <c r="CZ139" i="4"/>
  <c r="DA139" i="4"/>
  <c r="DW139" i="4"/>
  <c r="DX139" i="4"/>
  <c r="DY139" i="4"/>
  <c r="CU140" i="4"/>
  <c r="CV140" i="4"/>
  <c r="CW140" i="4"/>
  <c r="CX140" i="4"/>
  <c r="CY140" i="4"/>
  <c r="CZ140" i="4"/>
  <c r="DA140" i="4"/>
  <c r="DW140" i="4"/>
  <c r="DX140" i="4"/>
  <c r="DY140" i="4"/>
  <c r="CU141" i="4"/>
  <c r="CV141" i="4"/>
  <c r="CW141" i="4"/>
  <c r="CX141" i="4"/>
  <c r="CY141" i="4"/>
  <c r="CZ141" i="4"/>
  <c r="DA141" i="4"/>
  <c r="DW141" i="4"/>
  <c r="DX141" i="4"/>
  <c r="DY141" i="4"/>
  <c r="CU144" i="4"/>
  <c r="CV144" i="4"/>
  <c r="CW144" i="4"/>
  <c r="CX144" i="4"/>
  <c r="CY144" i="4"/>
  <c r="CZ144" i="4"/>
  <c r="DA144" i="4"/>
  <c r="DW144" i="4"/>
  <c r="DX144" i="4"/>
  <c r="DY144" i="4"/>
  <c r="CU145" i="4"/>
  <c r="CV145" i="4"/>
  <c r="CW145" i="4"/>
  <c r="CX145" i="4"/>
  <c r="CY145" i="4"/>
  <c r="CZ145" i="4"/>
  <c r="DA145" i="4"/>
  <c r="DW145" i="4"/>
  <c r="DX145" i="4"/>
  <c r="DY145" i="4"/>
  <c r="CU146" i="4"/>
  <c r="CV146" i="4"/>
  <c r="CW146" i="4"/>
  <c r="CX146" i="4"/>
  <c r="CY146" i="4"/>
  <c r="CZ146" i="4"/>
  <c r="DA146" i="4"/>
  <c r="DW146" i="4"/>
  <c r="DX146" i="4"/>
  <c r="DY146" i="4"/>
  <c r="CU148" i="4"/>
  <c r="CV148" i="4"/>
  <c r="CW148" i="4"/>
  <c r="CX148" i="4"/>
  <c r="CY148" i="4"/>
  <c r="CZ148" i="4"/>
  <c r="DA148" i="4"/>
  <c r="DW148" i="4"/>
  <c r="DX148" i="4"/>
  <c r="DY148" i="4"/>
  <c r="CU149" i="4"/>
  <c r="CV149" i="4"/>
  <c r="CW149" i="4"/>
  <c r="CX149" i="4"/>
  <c r="CY149" i="4"/>
  <c r="CZ149" i="4"/>
  <c r="DA149" i="4"/>
  <c r="DW149" i="4"/>
  <c r="DX149" i="4"/>
  <c r="DY149" i="4"/>
  <c r="CU150" i="4"/>
  <c r="CV150" i="4"/>
  <c r="CW150" i="4"/>
  <c r="CX150" i="4"/>
  <c r="CY150" i="4"/>
  <c r="CZ150" i="4"/>
  <c r="DA150" i="4"/>
  <c r="DW150" i="4"/>
  <c r="DX150" i="4"/>
  <c r="DY150" i="4"/>
  <c r="CU151" i="4"/>
  <c r="CV151" i="4"/>
  <c r="CW151" i="4"/>
  <c r="CX151" i="4"/>
  <c r="CY151" i="4"/>
  <c r="CZ151" i="4"/>
  <c r="DA151" i="4"/>
  <c r="DW151" i="4"/>
  <c r="DX151" i="4"/>
  <c r="DY151" i="4"/>
  <c r="DW223" i="4"/>
  <c r="DX223" i="4"/>
  <c r="DY223" i="4"/>
  <c r="CU226" i="4"/>
  <c r="CV226" i="4"/>
  <c r="CW226" i="4"/>
  <c r="CX226" i="4"/>
  <c r="CY226" i="4"/>
  <c r="CZ226" i="4"/>
  <c r="DA226" i="4"/>
  <c r="CU242" i="4"/>
  <c r="CV242" i="4"/>
  <c r="CW242" i="4"/>
  <c r="CX242" i="4"/>
  <c r="CY242" i="4"/>
  <c r="CZ242" i="4"/>
  <c r="DA242" i="4"/>
  <c r="DW242" i="4"/>
  <c r="DX242" i="4"/>
  <c r="DY242" i="4"/>
  <c r="CU244" i="4"/>
  <c r="CV244" i="4"/>
  <c r="CW244" i="4"/>
  <c r="CX244" i="4"/>
  <c r="CY244" i="4"/>
  <c r="CZ244" i="4"/>
  <c r="DA244" i="4"/>
  <c r="DW244" i="4"/>
  <c r="DX244" i="4"/>
  <c r="DY244" i="4"/>
  <c r="CU251" i="4"/>
  <c r="CV251" i="4"/>
  <c r="CW251" i="4"/>
  <c r="CX251" i="4"/>
  <c r="CY251" i="4"/>
  <c r="CZ251" i="4"/>
  <c r="DA251" i="4"/>
  <c r="DW251" i="4"/>
  <c r="DX251" i="4"/>
  <c r="DY251" i="4"/>
  <c r="CU255" i="4"/>
  <c r="CV255" i="4"/>
  <c r="CW255" i="4"/>
  <c r="CX255" i="4"/>
  <c r="CY255" i="4"/>
  <c r="CZ255" i="4"/>
  <c r="DA255" i="4"/>
  <c r="DW255" i="4"/>
  <c r="DX255" i="4"/>
  <c r="DY255" i="4"/>
  <c r="CQ256" i="4"/>
  <c r="CR256" i="4"/>
  <c r="CS256" i="4"/>
  <c r="CT256" i="4"/>
  <c r="CV256" i="4"/>
  <c r="CW256" i="4"/>
  <c r="CX256" i="4"/>
  <c r="CY256" i="4"/>
  <c r="CZ256" i="4"/>
  <c r="DA256" i="4"/>
  <c r="DV256" i="4"/>
  <c r="DW256" i="4"/>
  <c r="DX256" i="4"/>
  <c r="DY256" i="4"/>
  <c r="CQ258" i="4"/>
  <c r="CR258" i="4"/>
  <c r="CS258" i="4"/>
  <c r="CT258" i="4"/>
  <c r="CU258" i="4"/>
  <c r="CV258" i="4"/>
  <c r="CW258" i="4"/>
  <c r="CX258" i="4"/>
  <c r="CY258" i="4"/>
  <c r="CZ258" i="4"/>
  <c r="DA258" i="4"/>
  <c r="DV258" i="4"/>
  <c r="DW258" i="4"/>
  <c r="DX258" i="4"/>
  <c r="DY258" i="4"/>
  <c r="CQ262" i="4"/>
  <c r="CR262" i="4"/>
  <c r="CS262" i="4"/>
  <c r="CT262" i="4"/>
  <c r="CV262" i="4"/>
  <c r="CW262" i="4"/>
  <c r="CX262" i="4"/>
  <c r="CY262" i="4"/>
  <c r="CZ262" i="4"/>
  <c r="DA262" i="4"/>
  <c r="DV262" i="4"/>
  <c r="DW262" i="4"/>
  <c r="DX262" i="4"/>
  <c r="DY262" i="4"/>
  <c r="CQ263" i="4"/>
  <c r="CR263" i="4"/>
  <c r="CS263" i="4"/>
  <c r="CT263" i="4"/>
  <c r="CV263" i="4"/>
  <c r="CW263" i="4"/>
  <c r="CX263" i="4"/>
  <c r="CY263" i="4"/>
  <c r="CZ263" i="4"/>
  <c r="DA263" i="4"/>
  <c r="DV263" i="4"/>
  <c r="DW263" i="4"/>
  <c r="DX263" i="4"/>
  <c r="DY263" i="4"/>
  <c r="CQ265" i="4"/>
  <c r="CR265" i="4"/>
  <c r="CS265" i="4"/>
  <c r="CT265" i="4"/>
  <c r="CV265" i="4"/>
  <c r="CW265" i="4"/>
  <c r="CX265" i="4"/>
  <c r="CY265" i="4"/>
  <c r="CZ265" i="4"/>
  <c r="DA265" i="4"/>
  <c r="DV265" i="4"/>
  <c r="DW265" i="4"/>
  <c r="DX265" i="4"/>
  <c r="DY265" i="4"/>
  <c r="CQ266" i="4"/>
  <c r="CR266" i="4"/>
  <c r="CS266" i="4"/>
  <c r="CT266" i="4"/>
  <c r="CV266" i="4"/>
  <c r="CW266" i="4"/>
  <c r="CX266" i="4"/>
  <c r="CY266" i="4"/>
  <c r="CZ266" i="4"/>
  <c r="DA266" i="4"/>
  <c r="DV266" i="4"/>
  <c r="DW266" i="4"/>
  <c r="DX266" i="4"/>
  <c r="DY266" i="4"/>
  <c r="CU275" i="4"/>
  <c r="CV275" i="4"/>
  <c r="CW275" i="4"/>
  <c r="CX275" i="4"/>
  <c r="CY275" i="4"/>
  <c r="CZ275" i="4"/>
  <c r="DA275" i="4"/>
  <c r="DW275" i="4"/>
  <c r="DX275" i="4"/>
  <c r="DY275" i="4"/>
  <c r="CU276" i="4"/>
  <c r="CV276" i="4"/>
  <c r="CW276" i="4"/>
  <c r="CX276" i="4"/>
  <c r="CY276" i="4"/>
  <c r="CZ276" i="4"/>
  <c r="DA276" i="4"/>
  <c r="DW276" i="4"/>
  <c r="DX276" i="4"/>
  <c r="DY276" i="4"/>
  <c r="CP318" i="4"/>
  <c r="CQ318" i="4"/>
  <c r="CR318" i="4"/>
  <c r="CS318" i="4"/>
  <c r="CT318" i="4"/>
  <c r="CU318" i="4"/>
  <c r="CV318" i="4"/>
  <c r="CW318" i="4"/>
  <c r="CX318" i="4"/>
  <c r="CY318" i="4"/>
  <c r="CZ318" i="4"/>
  <c r="DA318" i="4"/>
  <c r="DV318" i="4"/>
  <c r="DW318" i="4"/>
  <c r="DX318" i="4"/>
  <c r="DY318" i="4"/>
  <c r="CP321" i="4"/>
  <c r="CQ321" i="4"/>
  <c r="CR321" i="4"/>
  <c r="CS321" i="4"/>
  <c r="CT321" i="4"/>
  <c r="CU321" i="4"/>
  <c r="CV321" i="4"/>
  <c r="CW321" i="4"/>
  <c r="CX321" i="4"/>
  <c r="CY321" i="4"/>
  <c r="CZ321" i="4"/>
  <c r="DA321" i="4"/>
  <c r="DV321" i="4"/>
  <c r="DW321" i="4"/>
  <c r="DX321" i="4"/>
  <c r="DY321" i="4"/>
  <c r="CP322" i="4"/>
  <c r="CQ322" i="4"/>
  <c r="CR322" i="4"/>
  <c r="CS322" i="4"/>
  <c r="CT322" i="4"/>
  <c r="CU322" i="4"/>
  <c r="CV322" i="4"/>
  <c r="CW322" i="4"/>
  <c r="CX322" i="4"/>
  <c r="CY322" i="4"/>
  <c r="CZ322" i="4"/>
  <c r="DA322" i="4"/>
  <c r="DV322" i="4"/>
  <c r="DW322" i="4"/>
  <c r="DX322" i="4"/>
  <c r="DY322" i="4"/>
  <c r="CP326" i="4"/>
  <c r="CQ326" i="4"/>
  <c r="CR326" i="4"/>
  <c r="CS326" i="4"/>
  <c r="CT326" i="4"/>
  <c r="CU326" i="4"/>
  <c r="CV326" i="4"/>
  <c r="CW326" i="4"/>
  <c r="CX326" i="4"/>
  <c r="CY326" i="4"/>
  <c r="CZ326" i="4"/>
  <c r="DA326" i="4"/>
  <c r="DV326" i="4"/>
  <c r="DW326" i="4"/>
  <c r="DX326" i="4"/>
  <c r="DY326" i="4"/>
  <c r="CP327" i="4"/>
  <c r="CQ327" i="4"/>
  <c r="CR327" i="4"/>
  <c r="CS327" i="4"/>
  <c r="CT327" i="4"/>
  <c r="CU327" i="4"/>
  <c r="CV327" i="4"/>
  <c r="CW327" i="4"/>
  <c r="CX327" i="4"/>
  <c r="CY327" i="4"/>
  <c r="CZ327" i="4"/>
  <c r="DA327" i="4"/>
  <c r="DV327" i="4"/>
  <c r="DW327" i="4"/>
  <c r="DX327" i="4"/>
  <c r="DY327" i="4"/>
  <c r="CP328" i="4"/>
  <c r="CQ328" i="4"/>
  <c r="CR328" i="4"/>
  <c r="CS328" i="4"/>
  <c r="CT328" i="4"/>
  <c r="CU328" i="4"/>
  <c r="CV328" i="4"/>
  <c r="CW328" i="4"/>
  <c r="CX328" i="4"/>
  <c r="CY328" i="4"/>
  <c r="CZ328" i="4"/>
  <c r="DA328" i="4"/>
  <c r="DV328" i="4"/>
  <c r="DW328" i="4"/>
  <c r="DX328" i="4"/>
  <c r="DY328" i="4"/>
  <c r="DW330" i="4"/>
  <c r="DX330" i="4"/>
  <c r="DY330" i="4"/>
  <c r="CU333" i="4"/>
  <c r="CV333" i="4"/>
  <c r="CW333" i="4"/>
  <c r="CX333" i="4"/>
  <c r="CY333" i="4"/>
  <c r="CZ333" i="4"/>
  <c r="DA333" i="4"/>
  <c r="CU334" i="4"/>
  <c r="CV334" i="4"/>
  <c r="CW334" i="4"/>
  <c r="CX334" i="4"/>
  <c r="CY334" i="4"/>
  <c r="CZ334" i="4"/>
  <c r="DA334" i="4"/>
  <c r="DW334" i="4"/>
  <c r="DX334" i="4"/>
  <c r="DY334" i="4"/>
  <c r="CP338" i="4"/>
  <c r="CQ338" i="4"/>
  <c r="CR338" i="4"/>
  <c r="CS338" i="4"/>
  <c r="CT338" i="4"/>
  <c r="CU338" i="4"/>
  <c r="CV338" i="4"/>
  <c r="CW338" i="4"/>
  <c r="CX338" i="4"/>
  <c r="CY338" i="4"/>
  <c r="CZ338" i="4"/>
  <c r="DA338" i="4"/>
  <c r="DV338" i="4"/>
  <c r="DW338" i="4"/>
  <c r="DX338" i="4"/>
  <c r="DY338" i="4"/>
  <c r="CP348" i="4"/>
  <c r="CQ348" i="4"/>
  <c r="CR348" i="4"/>
  <c r="CS348" i="4"/>
  <c r="CT348" i="4"/>
  <c r="CU348" i="4"/>
  <c r="CV348" i="4"/>
  <c r="CW348" i="4"/>
  <c r="CX348" i="4"/>
  <c r="CY348" i="4"/>
  <c r="CZ348" i="4"/>
  <c r="DA348" i="4"/>
  <c r="DV348" i="4"/>
  <c r="DW348" i="4"/>
  <c r="DX348" i="4"/>
  <c r="DY348" i="4"/>
  <c r="CQ354" i="4"/>
  <c r="CR354" i="4"/>
  <c r="CS354" i="4"/>
  <c r="CT354" i="4"/>
  <c r="CV354" i="4"/>
  <c r="CW354" i="4"/>
  <c r="CX354" i="4"/>
  <c r="CY354" i="4"/>
  <c r="CZ354" i="4"/>
  <c r="DA354" i="4"/>
  <c r="DV354" i="4"/>
  <c r="DW354" i="4"/>
  <c r="DX354" i="4"/>
  <c r="DY354" i="4"/>
  <c r="CQ355" i="4"/>
  <c r="CR355" i="4"/>
  <c r="CS355" i="4"/>
  <c r="CT355" i="4"/>
  <c r="CU355" i="4"/>
  <c r="CV355" i="4"/>
  <c r="CW355" i="4"/>
  <c r="CX355" i="4"/>
  <c r="CY355" i="4"/>
  <c r="CZ355" i="4"/>
  <c r="DA355" i="4"/>
  <c r="DV355" i="4"/>
  <c r="DW355" i="4"/>
  <c r="DX355" i="4"/>
  <c r="DY355" i="4"/>
  <c r="CQ356" i="4"/>
  <c r="CR356" i="4"/>
  <c r="CS356" i="4"/>
  <c r="CT356" i="4"/>
  <c r="CV356" i="4"/>
  <c r="CW356" i="4"/>
  <c r="CX356" i="4"/>
  <c r="CY356" i="4"/>
  <c r="CZ356" i="4"/>
  <c r="DA356" i="4"/>
  <c r="DV356" i="4"/>
  <c r="DW356" i="4"/>
  <c r="DX356" i="4"/>
  <c r="DY356" i="4"/>
  <c r="CQ358" i="4"/>
  <c r="CR358" i="4"/>
  <c r="CS358" i="4"/>
  <c r="CT358" i="4"/>
  <c r="CV358" i="4"/>
  <c r="CW358" i="4"/>
  <c r="CX358" i="4"/>
  <c r="CY358" i="4"/>
  <c r="CZ358" i="4"/>
  <c r="DA358" i="4"/>
  <c r="DV358" i="4"/>
  <c r="DW358" i="4"/>
  <c r="DX358" i="4"/>
  <c r="DY358" i="4"/>
  <c r="CQ359" i="4"/>
  <c r="CR359" i="4"/>
  <c r="CS359" i="4"/>
  <c r="CT359" i="4"/>
  <c r="CU359" i="4"/>
  <c r="CV359" i="4"/>
  <c r="CW359" i="4"/>
  <c r="CX359" i="4"/>
  <c r="CY359" i="4"/>
  <c r="CZ359" i="4"/>
  <c r="DA359" i="4"/>
  <c r="DV359" i="4"/>
  <c r="DW359" i="4"/>
  <c r="DX359" i="4"/>
  <c r="DY359" i="4"/>
  <c r="CQ360" i="4"/>
  <c r="CR360" i="4"/>
  <c r="CS360" i="4"/>
  <c r="CT360" i="4"/>
  <c r="CV360" i="4"/>
  <c r="CW360" i="4"/>
  <c r="CX360" i="4"/>
  <c r="CY360" i="4"/>
  <c r="CZ360" i="4"/>
  <c r="DA360" i="4"/>
  <c r="DV360" i="4"/>
  <c r="DW360" i="4"/>
  <c r="DX360" i="4"/>
  <c r="DY360" i="4"/>
  <c r="CP368" i="4"/>
  <c r="CQ368" i="4"/>
  <c r="CR368" i="4"/>
  <c r="CS368" i="4"/>
  <c r="CT368" i="4"/>
  <c r="CU368" i="4"/>
  <c r="CV368" i="4"/>
  <c r="CW368" i="4"/>
  <c r="CX368" i="4"/>
  <c r="CY368" i="4"/>
  <c r="CZ368" i="4"/>
  <c r="DA368" i="4"/>
  <c r="DV368" i="4"/>
  <c r="DW368" i="4"/>
  <c r="DX368" i="4"/>
  <c r="DY368" i="4"/>
  <c r="CP369" i="4"/>
  <c r="CQ369" i="4"/>
  <c r="CR369" i="4"/>
  <c r="CS369" i="4"/>
  <c r="CT369" i="4"/>
  <c r="CU369" i="4"/>
  <c r="CV369" i="4"/>
  <c r="CW369" i="4"/>
  <c r="CX369" i="4"/>
  <c r="CY369" i="4"/>
  <c r="CZ369" i="4"/>
  <c r="DA369" i="4"/>
  <c r="DV369" i="4"/>
  <c r="DW369" i="4"/>
  <c r="DX369" i="4"/>
  <c r="DY369" i="4"/>
  <c r="CP386" i="4"/>
  <c r="CQ386" i="4"/>
  <c r="CR386" i="4"/>
  <c r="CS386" i="4"/>
  <c r="CT386" i="4"/>
  <c r="CU386" i="4"/>
  <c r="CV386" i="4"/>
  <c r="CW386" i="4"/>
  <c r="CX386" i="4"/>
  <c r="CY386" i="4"/>
  <c r="CZ386" i="4"/>
  <c r="DA386" i="4"/>
  <c r="DV386" i="4"/>
  <c r="DW386" i="4"/>
  <c r="DX386" i="4"/>
  <c r="DY386" i="4"/>
  <c r="CU637" i="4"/>
  <c r="CV637" i="4"/>
  <c r="CW637" i="4"/>
  <c r="CX637" i="4"/>
  <c r="CY637" i="4"/>
  <c r="CZ637" i="4"/>
  <c r="DA637" i="4"/>
  <c r="DW637" i="4"/>
  <c r="DX637" i="4"/>
  <c r="DY637" i="4"/>
  <c r="CY638" i="4"/>
  <c r="CZ638" i="4"/>
  <c r="DA638" i="4"/>
  <c r="DW638" i="4"/>
  <c r="DX638" i="4"/>
  <c r="DY638" i="4"/>
  <c r="CU639" i="4"/>
  <c r="CV639" i="4"/>
  <c r="CW639" i="4"/>
  <c r="CX639" i="4"/>
  <c r="CY639" i="4"/>
  <c r="CZ639" i="4"/>
  <c r="DA639" i="4"/>
  <c r="DW639" i="4"/>
  <c r="DX639" i="4"/>
  <c r="DY639" i="4"/>
  <c r="CU644" i="4"/>
  <c r="CV644" i="4"/>
  <c r="CW644" i="4"/>
  <c r="CX644" i="4"/>
  <c r="CY644" i="4"/>
  <c r="CZ644" i="4"/>
  <c r="DA644" i="4"/>
  <c r="CU645" i="4"/>
  <c r="CV645" i="4"/>
  <c r="CW645" i="4"/>
  <c r="CX645" i="4"/>
  <c r="CY645" i="4"/>
  <c r="CZ645" i="4"/>
  <c r="DA645" i="4"/>
  <c r="DW645" i="4"/>
  <c r="DX645" i="4"/>
  <c r="DY645" i="4"/>
  <c r="CU679" i="4"/>
  <c r="CV679" i="4"/>
  <c r="CW679" i="4"/>
  <c r="CX679" i="4"/>
  <c r="CY679" i="4"/>
  <c r="CZ679" i="4"/>
  <c r="DA679" i="4"/>
  <c r="CU690" i="4"/>
  <c r="CV690" i="4"/>
  <c r="CW690" i="4"/>
  <c r="CX690" i="4"/>
  <c r="CY690" i="4"/>
  <c r="CZ690" i="4"/>
  <c r="DA690" i="4"/>
  <c r="DW690" i="4"/>
  <c r="DX690" i="4"/>
  <c r="DY690" i="4"/>
  <c r="CU691" i="4"/>
  <c r="CV691" i="4"/>
  <c r="CW691" i="4"/>
  <c r="CX691" i="4"/>
  <c r="CY691" i="4"/>
  <c r="CZ691" i="4"/>
  <c r="DA691" i="4"/>
  <c r="DW691" i="4"/>
  <c r="DX691" i="4"/>
  <c r="DY691" i="4"/>
  <c r="CU697" i="4"/>
  <c r="CV697" i="4"/>
  <c r="CW697" i="4"/>
  <c r="CX697" i="4"/>
  <c r="CY697" i="4"/>
  <c r="CZ697" i="4"/>
  <c r="DA697" i="4"/>
  <c r="DW697" i="4"/>
  <c r="DX697" i="4"/>
  <c r="DY697" i="4"/>
  <c r="CU704" i="4"/>
  <c r="CV704" i="4"/>
  <c r="CW704" i="4"/>
  <c r="CX704" i="4"/>
  <c r="CY704" i="4"/>
  <c r="CZ704" i="4"/>
  <c r="DA704" i="4"/>
  <c r="DW704" i="4"/>
  <c r="DX704" i="4"/>
  <c r="DY704" i="4"/>
  <c r="CU724" i="4"/>
  <c r="CV724" i="4"/>
  <c r="CW724" i="4"/>
  <c r="CX724" i="4"/>
  <c r="CY724" i="4"/>
  <c r="CZ724" i="4"/>
  <c r="DA724" i="4"/>
  <c r="DW724" i="4"/>
  <c r="DX724" i="4"/>
  <c r="DY724" i="4"/>
  <c r="CV725" i="4"/>
  <c r="CW725" i="4"/>
  <c r="CX725" i="4"/>
  <c r="CZ725" i="4"/>
  <c r="DA725" i="4"/>
  <c r="DX725" i="4"/>
  <c r="DY725" i="4"/>
  <c r="CU726" i="4"/>
  <c r="CV726" i="4"/>
  <c r="CW726" i="4"/>
  <c r="CX726" i="4"/>
  <c r="CY726" i="4"/>
  <c r="CZ726" i="4"/>
  <c r="DA726" i="4"/>
  <c r="DW726" i="4"/>
  <c r="DX726" i="4"/>
  <c r="DY726" i="4"/>
  <c r="CU745" i="4"/>
  <c r="CV745" i="4"/>
  <c r="CW745" i="4"/>
  <c r="CX745" i="4"/>
  <c r="CY745" i="4"/>
  <c r="CZ745" i="4"/>
  <c r="DA745" i="4"/>
  <c r="DW745" i="4"/>
  <c r="DX745" i="4"/>
  <c r="DY745" i="4"/>
  <c r="CU746" i="4"/>
  <c r="CV746" i="4"/>
  <c r="CW746" i="4"/>
  <c r="CX746" i="4"/>
  <c r="CY746" i="4"/>
  <c r="CZ746" i="4"/>
  <c r="DA746" i="4"/>
  <c r="DW746" i="4"/>
  <c r="DX746" i="4"/>
  <c r="DY746" i="4"/>
  <c r="CU751" i="4"/>
  <c r="CV751" i="4"/>
  <c r="CW751" i="4"/>
  <c r="CX751" i="4"/>
  <c r="CY751" i="4"/>
  <c r="CZ751" i="4"/>
  <c r="DA751" i="4"/>
  <c r="DW751" i="4"/>
  <c r="DX751" i="4"/>
  <c r="DY751" i="4"/>
  <c r="CU765" i="4"/>
  <c r="CV765" i="4"/>
  <c r="CW765" i="4"/>
  <c r="CX765" i="4"/>
  <c r="CY765" i="4"/>
  <c r="CZ765" i="4"/>
  <c r="DA765" i="4"/>
  <c r="DW765" i="4"/>
  <c r="DX765" i="4"/>
  <c r="DY765" i="4"/>
  <c r="CU768" i="4"/>
  <c r="CV768" i="4"/>
  <c r="CW768" i="4"/>
  <c r="CX768" i="4"/>
  <c r="CY768" i="4"/>
  <c r="CZ768" i="4"/>
  <c r="DA768" i="4"/>
  <c r="DW768" i="4"/>
  <c r="DX768" i="4"/>
  <c r="DY768" i="4"/>
  <c r="CU771" i="4"/>
  <c r="CV771" i="4"/>
  <c r="CW771" i="4"/>
  <c r="CX771" i="4"/>
  <c r="CY771" i="4"/>
  <c r="CZ771" i="4"/>
  <c r="DA771" i="4"/>
  <c r="DW771" i="4"/>
  <c r="DX771" i="4"/>
  <c r="DY771" i="4"/>
  <c r="CU780" i="4"/>
  <c r="CV780" i="4"/>
  <c r="CW780" i="4"/>
  <c r="CX780" i="4"/>
  <c r="CY780" i="4"/>
  <c r="CZ780" i="4"/>
  <c r="DA780" i="4"/>
  <c r="DW780" i="4"/>
  <c r="DX780" i="4"/>
  <c r="DY780" i="4"/>
  <c r="CU784" i="4"/>
  <c r="CV784" i="4"/>
  <c r="CW784" i="4"/>
  <c r="CX784" i="4"/>
  <c r="CY784" i="4"/>
  <c r="CZ784" i="4"/>
  <c r="DA784" i="4"/>
  <c r="DW784" i="4"/>
  <c r="DX784" i="4"/>
  <c r="DY784" i="4"/>
  <c r="CU786" i="4"/>
  <c r="CV786" i="4"/>
  <c r="CW786" i="4"/>
  <c r="CX786" i="4"/>
  <c r="CY786" i="4"/>
  <c r="CZ786" i="4"/>
  <c r="DA786" i="4"/>
  <c r="DW786" i="4"/>
  <c r="DX786" i="4"/>
  <c r="DY786" i="4"/>
  <c r="CU788" i="4"/>
  <c r="CV788" i="4"/>
  <c r="CW788" i="4"/>
  <c r="CX788" i="4"/>
  <c r="CY788" i="4"/>
  <c r="CZ788" i="4"/>
  <c r="DA788" i="4"/>
  <c r="DW788" i="4"/>
  <c r="DX788" i="4"/>
  <c r="DY788" i="4"/>
  <c r="CU799" i="4"/>
  <c r="CV799" i="4"/>
  <c r="CW799" i="4"/>
  <c r="CX799" i="4"/>
  <c r="CY799" i="4"/>
  <c r="CZ799" i="4"/>
  <c r="DA799" i="4"/>
  <c r="DW799" i="4"/>
  <c r="DX799" i="4"/>
  <c r="DY799" i="4"/>
  <c r="CU800" i="4"/>
  <c r="CV800" i="4"/>
  <c r="CW800" i="4"/>
  <c r="CX800" i="4"/>
  <c r="CY800" i="4"/>
  <c r="CZ800" i="4"/>
  <c r="DA800" i="4"/>
  <c r="DW800" i="4"/>
  <c r="DX800" i="4"/>
  <c r="DY800" i="4"/>
  <c r="CU801" i="4"/>
  <c r="CV801" i="4"/>
  <c r="CW801" i="4"/>
  <c r="CX801" i="4"/>
  <c r="CY801" i="4"/>
  <c r="CZ801" i="4"/>
  <c r="DA801" i="4"/>
  <c r="DW801" i="4"/>
  <c r="DX801" i="4"/>
  <c r="DY801" i="4"/>
  <c r="CU802" i="4"/>
  <c r="CV802" i="4"/>
  <c r="CW802" i="4"/>
  <c r="CX802" i="4"/>
  <c r="CY802" i="4"/>
  <c r="CZ802" i="4"/>
  <c r="DA802" i="4"/>
  <c r="DW802" i="4"/>
  <c r="DX802" i="4"/>
  <c r="DY802" i="4"/>
  <c r="CU803" i="4"/>
  <c r="CV803" i="4"/>
  <c r="CW803" i="4"/>
  <c r="CX803" i="4"/>
  <c r="CY803" i="4"/>
  <c r="CZ803" i="4"/>
  <c r="DA803" i="4"/>
  <c r="DW803" i="4"/>
  <c r="DX803" i="4"/>
  <c r="DY803" i="4"/>
  <c r="CY811" i="4"/>
  <c r="CZ811" i="4"/>
  <c r="DA811" i="4"/>
  <c r="DW811" i="4"/>
  <c r="DX811" i="4"/>
  <c r="DY811" i="4"/>
  <c r="CY814" i="4"/>
  <c r="CZ814" i="4"/>
  <c r="DA814" i="4"/>
  <c r="DW814" i="4"/>
  <c r="DX814" i="4"/>
  <c r="DY814" i="4"/>
  <c r="CY816" i="4"/>
  <c r="CZ816" i="4"/>
  <c r="DA816" i="4"/>
  <c r="DW816" i="4"/>
  <c r="DX816" i="4"/>
  <c r="DY816" i="4"/>
  <c r="CY823" i="4"/>
  <c r="CZ823" i="4"/>
  <c r="DA823" i="4"/>
  <c r="DW823" i="4"/>
  <c r="DX823" i="4"/>
  <c r="DY823" i="4"/>
  <c r="CY824" i="4"/>
  <c r="CZ824" i="4"/>
  <c r="DA824" i="4"/>
  <c r="DW824" i="4"/>
  <c r="DX824" i="4"/>
  <c r="DY824" i="4"/>
  <c r="CY826" i="4"/>
  <c r="CZ826" i="4"/>
  <c r="DA826" i="4"/>
  <c r="DW826" i="4"/>
  <c r="DX826" i="4"/>
  <c r="DY826" i="4"/>
  <c r="CV930" i="4"/>
  <c r="CW930" i="4"/>
  <c r="CX930" i="4"/>
  <c r="CY930" i="4"/>
  <c r="CZ930" i="4"/>
  <c r="DA930" i="4"/>
  <c r="DW930" i="4"/>
  <c r="DX930" i="4"/>
  <c r="DY930" i="4"/>
  <c r="CV937" i="4"/>
  <c r="CW937" i="4"/>
  <c r="CX937" i="4"/>
  <c r="CY937" i="4"/>
  <c r="CZ937" i="4"/>
  <c r="DA937" i="4"/>
  <c r="DW937" i="4"/>
  <c r="DX937" i="4"/>
  <c r="DY937" i="4"/>
  <c r="CY939" i="4"/>
  <c r="CZ939" i="4"/>
  <c r="DA939" i="4"/>
  <c r="DW939" i="4"/>
  <c r="DX939" i="4"/>
  <c r="DY939" i="4"/>
  <c r="CU964" i="4"/>
  <c r="CV964" i="4"/>
  <c r="CW964" i="4"/>
  <c r="CX964" i="4"/>
  <c r="CY964" i="4"/>
  <c r="DW964" i="4"/>
  <c r="CU966" i="4"/>
  <c r="CV966" i="4"/>
  <c r="CW966" i="4"/>
  <c r="CX966" i="4"/>
  <c r="CY966" i="4"/>
  <c r="CZ966" i="4"/>
  <c r="DA966" i="4"/>
  <c r="DW966" i="4"/>
  <c r="DX966" i="4"/>
  <c r="DY966" i="4"/>
  <c r="CU977" i="4"/>
  <c r="CV977" i="4"/>
  <c r="CW977" i="4"/>
  <c r="CX977" i="4"/>
  <c r="CY977" i="4"/>
  <c r="CZ977" i="4"/>
  <c r="DA977" i="4"/>
  <c r="CU978" i="4"/>
  <c r="CV978" i="4"/>
  <c r="CW978" i="4"/>
  <c r="CX978" i="4"/>
  <c r="CY978" i="4"/>
  <c r="CZ978" i="4"/>
  <c r="DA978" i="4"/>
  <c r="AE40" i="72"/>
  <c r="AE42" i="72"/>
  <c r="BY252" i="72"/>
  <c r="BZ252" i="72"/>
  <c r="BY256" i="72"/>
  <c r="BZ256" i="72"/>
  <c r="BY260" i="72"/>
  <c r="BZ260" i="72"/>
  <c r="CP350" i="72"/>
  <c r="CP353" i="72"/>
  <c r="CP354" i="72"/>
  <c r="DT401" i="72"/>
  <c r="DU401" i="72"/>
  <c r="DW429" i="72"/>
  <c r="DX429" i="72"/>
  <c r="DW433" i="72"/>
  <c r="DW434" i="72"/>
  <c r="DX434" i="72"/>
  <c r="DW436" i="72"/>
  <c r="DX436" i="72"/>
  <c r="DW438" i="72"/>
  <c r="DX438" i="72"/>
  <c r="DX439" i="72"/>
  <c r="IZ826" i="72"/>
  <c r="IZ827" i="72"/>
  <c r="IZ828" i="72"/>
  <c r="IZ830" i="72"/>
  <c r="IZ831" i="72"/>
  <c r="IZ834" i="72"/>
  <c r="IZ835" i="72"/>
  <c r="IZ837" i="72"/>
  <c r="IZ838" i="72"/>
  <c r="IZ839" i="72"/>
  <c r="IZ845" i="72"/>
  <c r="JB847" i="72"/>
  <c r="JB848" i="72"/>
  <c r="JC848" i="72"/>
  <c r="JB849" i="72"/>
  <c r="JC849" i="72"/>
  <c r="JB850" i="72"/>
  <c r="JJ878" i="72"/>
  <c r="JK878" i="72"/>
  <c r="JL878" i="72"/>
  <c r="JJ880" i="72"/>
  <c r="JK880" i="72"/>
  <c r="JL880" i="72"/>
  <c r="JJ883" i="72"/>
  <c r="JK883" i="72"/>
  <c r="JJ885" i="72"/>
  <c r="JK885" i="72"/>
  <c r="D31" i="87"/>
  <c r="F31" i="87"/>
  <c r="D33" i="87"/>
  <c r="E33" i="87"/>
  <c r="F33" i="87"/>
  <c r="F34" i="87"/>
  <c r="F38" i="87"/>
  <c r="F41" i="87"/>
  <c r="D10" i="45"/>
  <c r="D14" i="45"/>
  <c r="E14" i="45"/>
  <c r="F14" i="45"/>
  <c r="G14" i="45"/>
  <c r="D15" i="45"/>
  <c r="E15" i="45"/>
  <c r="F15" i="45"/>
  <c r="G15" i="45"/>
  <c r="E17" i="45"/>
  <c r="F17" i="45"/>
  <c r="G17" i="45"/>
  <c r="H17" i="45"/>
  <c r="G19" i="45"/>
  <c r="G20" i="45"/>
  <c r="H20" i="45"/>
  <c r="D22" i="45"/>
  <c r="G22" i="45"/>
  <c r="H22" i="45"/>
  <c r="F24" i="45"/>
  <c r="G24" i="45"/>
  <c r="H24" i="45"/>
  <c r="E25" i="45"/>
  <c r="D29" i="45"/>
  <c r="J29" i="45"/>
  <c r="D33" i="45"/>
  <c r="E33" i="45"/>
  <c r="F33" i="45"/>
  <c r="G33" i="45"/>
  <c r="D34" i="45"/>
  <c r="E34" i="45"/>
  <c r="F34" i="45"/>
  <c r="G34" i="45"/>
  <c r="E36" i="45"/>
  <c r="F36" i="45"/>
  <c r="G36" i="45"/>
  <c r="H36" i="45"/>
  <c r="G38" i="45"/>
  <c r="G39" i="45"/>
  <c r="H39" i="45"/>
  <c r="D41" i="45"/>
  <c r="G41" i="45"/>
  <c r="H41" i="45"/>
  <c r="F43" i="45"/>
  <c r="G43" i="45"/>
  <c r="H43" i="45"/>
  <c r="E44" i="45"/>
  <c r="B52" i="45"/>
  <c r="B58" i="45"/>
  <c r="C58" i="45"/>
  <c r="D58" i="45"/>
  <c r="K58" i="45"/>
  <c r="B59" i="45"/>
  <c r="C59" i="45"/>
  <c r="K59" i="45"/>
  <c r="B60" i="45"/>
  <c r="C60" i="45"/>
  <c r="D60" i="45"/>
  <c r="K60" i="45"/>
  <c r="B65" i="45"/>
  <c r="B66" i="45"/>
  <c r="B67" i="45"/>
  <c r="B72" i="45"/>
  <c r="B73" i="45"/>
  <c r="B74" i="45"/>
  <c r="CN13" i="51"/>
  <c r="CO13" i="51"/>
  <c r="CP13" i="51"/>
  <c r="CQ13" i="51"/>
  <c r="CR13" i="51"/>
  <c r="CS13" i="51"/>
  <c r="CT13" i="51"/>
  <c r="CI21" i="51"/>
  <c r="CJ21" i="51"/>
  <c r="CK21" i="51"/>
  <c r="CL21" i="51"/>
  <c r="CM21" i="51"/>
  <c r="CN21" i="51"/>
  <c r="CO21" i="51"/>
  <c r="CP21" i="51"/>
  <c r="CQ21" i="51"/>
  <c r="CR21" i="51"/>
  <c r="CS21" i="51"/>
  <c r="CT21" i="51"/>
  <c r="CI22" i="51"/>
  <c r="CJ22" i="51"/>
  <c r="CK22" i="51"/>
  <c r="CL22" i="51"/>
  <c r="CM22" i="51"/>
  <c r="CN22" i="51"/>
  <c r="CO22" i="51"/>
  <c r="CP22" i="51"/>
  <c r="CQ22" i="51"/>
  <c r="CR22" i="51"/>
  <c r="CS22" i="51"/>
  <c r="CT22" i="51"/>
  <c r="CI23" i="51"/>
  <c r="CJ23" i="51"/>
  <c r="CK23" i="51"/>
  <c r="CL23" i="51"/>
  <c r="CM23" i="51"/>
  <c r="CN23" i="51"/>
  <c r="CO23" i="51"/>
  <c r="CP23" i="51"/>
  <c r="CQ23" i="51"/>
  <c r="CR23" i="51"/>
  <c r="CS23" i="51"/>
  <c r="CT23" i="51"/>
  <c r="CI24" i="51"/>
  <c r="CJ24" i="51"/>
  <c r="CK24" i="51"/>
  <c r="CL24" i="51"/>
  <c r="CM24" i="51"/>
  <c r="CN24" i="51"/>
  <c r="CO24" i="51"/>
  <c r="CP24" i="51"/>
  <c r="CQ24" i="51"/>
  <c r="CR24" i="51"/>
  <c r="CS24" i="51"/>
  <c r="CT24" i="51"/>
  <c r="CI25" i="51"/>
  <c r="CJ25" i="51"/>
  <c r="CK25" i="51"/>
  <c r="CL25" i="51"/>
  <c r="CM25" i="51"/>
  <c r="CN25" i="51"/>
  <c r="CO25" i="51"/>
  <c r="CP25" i="51"/>
  <c r="CQ25" i="51"/>
  <c r="CR25" i="51"/>
  <c r="CS25" i="51"/>
  <c r="CT25" i="51"/>
  <c r="CI28" i="51"/>
  <c r="CJ28" i="51"/>
  <c r="CK28" i="51"/>
  <c r="CL28" i="51"/>
  <c r="CM28" i="51"/>
  <c r="CN28" i="51"/>
  <c r="CO28" i="51"/>
  <c r="CP28" i="51"/>
  <c r="CQ28" i="51"/>
  <c r="CR28" i="51"/>
  <c r="CS28" i="51"/>
  <c r="CT28" i="51"/>
  <c r="CI29" i="51"/>
  <c r="CJ29" i="51"/>
  <c r="CK29" i="51"/>
  <c r="CL29" i="51"/>
  <c r="CM29" i="51"/>
  <c r="CN29" i="51"/>
  <c r="CO29" i="51"/>
  <c r="CP29" i="51"/>
  <c r="CQ29" i="51"/>
  <c r="CR29" i="51"/>
  <c r="CS29" i="51"/>
  <c r="CT29" i="51"/>
  <c r="CI30" i="51"/>
  <c r="CJ30" i="51"/>
  <c r="CK30" i="51"/>
  <c r="CL30" i="51"/>
  <c r="CM30" i="51"/>
  <c r="CN30" i="51"/>
  <c r="CO30" i="51"/>
  <c r="CP30" i="51"/>
  <c r="CQ30" i="51"/>
  <c r="CR30" i="51"/>
  <c r="CS30" i="51"/>
  <c r="CT30" i="51"/>
  <c r="CI31" i="51"/>
  <c r="CJ31" i="51"/>
  <c r="CK31" i="51"/>
  <c r="CL31" i="51"/>
  <c r="CM31" i="51"/>
  <c r="CN31" i="51"/>
  <c r="CO31" i="51"/>
  <c r="CP31" i="51"/>
  <c r="CQ31" i="51"/>
  <c r="CR31" i="51"/>
  <c r="CS31" i="51"/>
  <c r="CT31" i="51"/>
  <c r="CI32" i="51"/>
  <c r="CJ32" i="51"/>
  <c r="CK32" i="51"/>
  <c r="CL32" i="51"/>
  <c r="CM32" i="51"/>
  <c r="CN32" i="51"/>
  <c r="CO32" i="51"/>
  <c r="CP32" i="51"/>
  <c r="CQ32" i="51"/>
  <c r="CR32" i="51"/>
  <c r="CS32" i="51"/>
  <c r="CT32" i="51"/>
  <c r="CI33" i="51"/>
  <c r="CJ33" i="51"/>
  <c r="CK33" i="51"/>
  <c r="CL33" i="51"/>
  <c r="CM33" i="51"/>
  <c r="CN33" i="51"/>
  <c r="CO33" i="51"/>
  <c r="CP33" i="51"/>
  <c r="CQ33" i="51"/>
  <c r="CR33" i="51"/>
  <c r="CS33" i="51"/>
  <c r="CT33" i="51"/>
  <c r="CI37" i="51"/>
  <c r="CJ37" i="51"/>
  <c r="CK37" i="51"/>
  <c r="CL37" i="51"/>
  <c r="CM37" i="51"/>
  <c r="CN37" i="51"/>
  <c r="CO37" i="51"/>
  <c r="CP37" i="51"/>
  <c r="CQ37" i="51"/>
  <c r="CR37" i="51"/>
  <c r="CS37" i="51"/>
  <c r="CT37" i="51"/>
  <c r="CI38" i="51"/>
  <c r="CJ38" i="51"/>
  <c r="CK38" i="51"/>
  <c r="CL38" i="51"/>
  <c r="CM38" i="51"/>
  <c r="CN38" i="51"/>
  <c r="CO38" i="51"/>
  <c r="CP38" i="51"/>
  <c r="CQ38" i="51"/>
  <c r="CR38" i="51"/>
  <c r="CS38" i="51"/>
  <c r="CT38" i="51"/>
  <c r="CI39" i="51"/>
  <c r="CJ39" i="51"/>
  <c r="CK39" i="51"/>
  <c r="CL39" i="51"/>
  <c r="CM39" i="51"/>
  <c r="CN39" i="51"/>
  <c r="CO39" i="51"/>
  <c r="CP39" i="51"/>
  <c r="CQ39" i="51"/>
  <c r="CR39" i="51"/>
  <c r="CS39" i="51"/>
  <c r="CT39" i="51"/>
  <c r="CI40" i="51"/>
  <c r="CJ40" i="51"/>
  <c r="CK40" i="51"/>
  <c r="CL40" i="51"/>
  <c r="CM40" i="51"/>
  <c r="CN40" i="51"/>
  <c r="CO40" i="51"/>
  <c r="CP40" i="51"/>
  <c r="CQ40" i="51"/>
  <c r="CR40" i="51"/>
  <c r="CS40" i="51"/>
  <c r="CT40" i="51"/>
  <c r="CI41" i="51"/>
  <c r="CJ41" i="51"/>
  <c r="CK41" i="51"/>
  <c r="CL41" i="51"/>
  <c r="CM41" i="51"/>
  <c r="CN41" i="51"/>
  <c r="CO41" i="51"/>
  <c r="CP41" i="51"/>
  <c r="CQ41" i="51"/>
  <c r="CR41" i="51"/>
  <c r="CS41" i="51"/>
  <c r="CT41" i="51"/>
  <c r="CI44" i="51"/>
  <c r="CJ44" i="51"/>
  <c r="CK44" i="51"/>
  <c r="CL44" i="51"/>
  <c r="CM44" i="51"/>
  <c r="CN44" i="51"/>
  <c r="CO44" i="51"/>
  <c r="CP44" i="51"/>
  <c r="CQ44" i="51"/>
  <c r="CR44" i="51"/>
  <c r="CS44" i="51"/>
  <c r="CT44" i="51"/>
  <c r="CI45" i="51"/>
  <c r="CJ45" i="51"/>
  <c r="CK45" i="51"/>
  <c r="CL45" i="51"/>
  <c r="CM45" i="51"/>
  <c r="CN45" i="51"/>
  <c r="CO45" i="51"/>
  <c r="CP45" i="51"/>
  <c r="CQ45" i="51"/>
  <c r="CR45" i="51"/>
  <c r="CS45" i="51"/>
  <c r="CT45" i="51"/>
  <c r="CI46" i="51"/>
  <c r="CJ46" i="51"/>
  <c r="CK46" i="51"/>
  <c r="CL46" i="51"/>
  <c r="CM46" i="51"/>
  <c r="CN46" i="51"/>
  <c r="CO46" i="51"/>
  <c r="CP46" i="51"/>
  <c r="CQ46" i="51"/>
  <c r="CR46" i="51"/>
  <c r="CS46" i="51"/>
  <c r="CT46" i="51"/>
  <c r="CI47" i="51"/>
  <c r="CJ47" i="51"/>
  <c r="CK47" i="51"/>
  <c r="CL47" i="51"/>
  <c r="CM47" i="51"/>
  <c r="CN47" i="51"/>
  <c r="CO47" i="51"/>
  <c r="CP47" i="51"/>
  <c r="CQ47" i="51"/>
  <c r="CR47" i="51"/>
  <c r="CS47" i="51"/>
  <c r="CT47" i="51"/>
  <c r="CI48" i="51"/>
  <c r="CJ48" i="51"/>
  <c r="CK48" i="51"/>
  <c r="CL48" i="51"/>
  <c r="CM48" i="51"/>
  <c r="CN48" i="51"/>
  <c r="CO48" i="51"/>
  <c r="CP48" i="51"/>
  <c r="CQ48" i="51"/>
  <c r="CR48" i="51"/>
  <c r="CS48" i="51"/>
  <c r="CT48" i="51"/>
  <c r="CI49" i="51"/>
  <c r="CJ49" i="51"/>
  <c r="CK49" i="51"/>
  <c r="CL49" i="51"/>
  <c r="CM49" i="51"/>
  <c r="CN49" i="51"/>
  <c r="CO49" i="51"/>
  <c r="CP49" i="51"/>
  <c r="CQ49" i="51"/>
  <c r="CR49" i="51"/>
  <c r="CS49" i="51"/>
  <c r="CT49" i="51"/>
  <c r="CN240" i="51"/>
  <c r="CO240" i="51"/>
  <c r="CP240" i="51"/>
  <c r="CQ240" i="51"/>
  <c r="CR240" i="51"/>
  <c r="CS240" i="51"/>
  <c r="CT240" i="51"/>
  <c r="CI241" i="51"/>
  <c r="CJ241" i="51"/>
  <c r="CK241" i="51"/>
  <c r="CL241" i="51"/>
  <c r="CN241" i="51"/>
  <c r="CO241" i="51"/>
  <c r="CP241" i="51"/>
  <c r="CQ241" i="51"/>
  <c r="CR241" i="51"/>
  <c r="CS241" i="51"/>
  <c r="CT241" i="51"/>
  <c r="CI361" i="51"/>
  <c r="CJ361" i="51"/>
  <c r="CK361" i="51"/>
  <c r="CL361" i="51"/>
  <c r="CM361" i="51"/>
  <c r="CN361" i="51"/>
  <c r="CO361" i="51"/>
  <c r="CP361" i="51"/>
  <c r="CQ361" i="51"/>
  <c r="CR361" i="51"/>
  <c r="CS361" i="51"/>
  <c r="CT361" i="51"/>
  <c r="CI362" i="51"/>
  <c r="CJ362" i="51"/>
  <c r="CK362" i="51"/>
  <c r="CL362" i="51"/>
  <c r="CM362" i="51"/>
  <c r="CN362" i="51"/>
  <c r="CO362" i="51"/>
  <c r="CP362" i="51"/>
  <c r="CQ362" i="51"/>
  <c r="CR362" i="51"/>
  <c r="CS362" i="51"/>
  <c r="CT362" i="51"/>
  <c r="CI363" i="51"/>
  <c r="CJ363" i="51"/>
  <c r="CK363" i="51"/>
  <c r="CL363" i="51"/>
  <c r="CM363" i="51"/>
  <c r="CN363" i="51"/>
  <c r="CO363" i="51"/>
  <c r="CP363" i="51"/>
  <c r="CQ363" i="51"/>
  <c r="CR363" i="51"/>
  <c r="CS363" i="51"/>
  <c r="CT363" i="51"/>
  <c r="CI364" i="51"/>
  <c r="CJ364" i="51"/>
  <c r="CK364" i="51"/>
  <c r="CL364" i="51"/>
  <c r="CM364" i="51"/>
  <c r="CN364" i="51"/>
  <c r="CO364" i="51"/>
  <c r="CP364" i="51"/>
  <c r="CQ364" i="51"/>
  <c r="CR364" i="51"/>
  <c r="CS364" i="51"/>
  <c r="CT364" i="51"/>
  <c r="CI365" i="51"/>
  <c r="CJ365" i="51"/>
  <c r="CK365" i="51"/>
  <c r="CL365" i="51"/>
  <c r="CM365" i="51"/>
  <c r="CN365" i="51"/>
  <c r="CO365" i="51"/>
  <c r="CP365" i="51"/>
  <c r="CQ365" i="51"/>
  <c r="CR365" i="51"/>
  <c r="CS365" i="51"/>
  <c r="CT365" i="51"/>
  <c r="CI366" i="51"/>
  <c r="CJ366" i="51"/>
  <c r="CK366" i="51"/>
  <c r="CL366" i="51"/>
  <c r="CM366" i="51"/>
  <c r="CN366" i="51"/>
  <c r="CO366" i="51"/>
  <c r="CP366" i="51"/>
  <c r="CQ366" i="51"/>
  <c r="CR366" i="51"/>
  <c r="CS366" i="51"/>
  <c r="CT366" i="51"/>
  <c r="CI369" i="51"/>
  <c r="CJ369" i="51"/>
  <c r="CK369" i="51"/>
  <c r="CL369" i="51"/>
  <c r="CM369" i="51"/>
  <c r="CN369" i="51"/>
  <c r="CO369" i="51"/>
  <c r="CP369" i="51"/>
  <c r="CQ369" i="51"/>
  <c r="CR369" i="51"/>
  <c r="CS369" i="51"/>
  <c r="CT369" i="51"/>
  <c r="CI370" i="51"/>
  <c r="CJ370" i="51"/>
  <c r="CK370" i="51"/>
  <c r="CL370" i="51"/>
  <c r="CM370" i="51"/>
  <c r="CN370" i="51"/>
  <c r="CO370" i="51"/>
  <c r="CP370" i="51"/>
  <c r="CQ370" i="51"/>
  <c r="CR370" i="51"/>
  <c r="CS370" i="51"/>
  <c r="CT370" i="51"/>
  <c r="CI372" i="51"/>
  <c r="CJ372" i="51"/>
  <c r="CK372" i="51"/>
  <c r="CL372" i="51"/>
  <c r="CM372" i="51"/>
  <c r="CN372" i="51"/>
  <c r="CO372" i="51"/>
  <c r="CP372" i="51"/>
  <c r="CQ372" i="51"/>
  <c r="CR372" i="51"/>
  <c r="CS372" i="51"/>
  <c r="CT372" i="51"/>
  <c r="CI398" i="51"/>
  <c r="CJ398" i="51"/>
  <c r="CK398" i="51"/>
  <c r="CL398" i="51"/>
  <c r="CM398" i="51"/>
  <c r="CN398" i="51"/>
  <c r="CO398" i="51"/>
  <c r="CP398" i="51"/>
  <c r="CQ398" i="51"/>
  <c r="CR398" i="51"/>
  <c r="CS398" i="51"/>
  <c r="CT398" i="51"/>
  <c r="CI399" i="51"/>
  <c r="CJ399" i="51"/>
  <c r="CK399" i="51"/>
  <c r="CL399" i="51"/>
  <c r="CM399" i="51"/>
  <c r="CN399" i="51"/>
  <c r="CO399" i="51"/>
  <c r="CP399" i="51"/>
  <c r="CQ399" i="51"/>
  <c r="CR399" i="51"/>
  <c r="CS399" i="51"/>
  <c r="CT399" i="51"/>
  <c r="CI400" i="51"/>
  <c r="CJ400" i="51"/>
  <c r="CK400" i="51"/>
  <c r="CL400" i="51"/>
  <c r="CM400" i="51"/>
  <c r="CN400" i="51"/>
  <c r="CO400" i="51"/>
  <c r="CP400" i="51"/>
  <c r="CQ400" i="51"/>
  <c r="CR400" i="51"/>
  <c r="CS400" i="51"/>
  <c r="CT400" i="51"/>
  <c r="CI401" i="51"/>
  <c r="CJ401" i="51"/>
  <c r="CK401" i="51"/>
  <c r="CL401" i="51"/>
  <c r="CM401" i="51"/>
  <c r="CN401" i="51"/>
  <c r="CO401" i="51"/>
  <c r="CP401" i="51"/>
  <c r="CQ401" i="51"/>
  <c r="CR401" i="51"/>
  <c r="CS401" i="51"/>
  <c r="CT401" i="51"/>
  <c r="CI402" i="51"/>
  <c r="CJ402" i="51"/>
  <c r="CK402" i="51"/>
  <c r="CL402" i="51"/>
  <c r="CM402" i="51"/>
  <c r="CN402" i="51"/>
  <c r="CO402" i="51"/>
  <c r="CP402" i="51"/>
  <c r="CQ402" i="51"/>
  <c r="CR402" i="51"/>
  <c r="CS402" i="51"/>
  <c r="CT402" i="51"/>
  <c r="CI405" i="51"/>
  <c r="CJ405" i="51"/>
  <c r="CK405" i="51"/>
  <c r="CL405" i="51"/>
  <c r="CM405" i="51"/>
  <c r="CN405" i="51"/>
  <c r="CO405" i="51"/>
  <c r="CP405" i="51"/>
  <c r="CQ405" i="51"/>
  <c r="CR405" i="51"/>
  <c r="CS405" i="51"/>
  <c r="CT405" i="51"/>
  <c r="CI406" i="51"/>
  <c r="CJ406" i="51"/>
  <c r="CK406" i="51"/>
  <c r="CL406" i="51"/>
  <c r="CM406" i="51"/>
  <c r="CN406" i="51"/>
  <c r="CO406" i="51"/>
  <c r="CP406" i="51"/>
  <c r="CQ406" i="51"/>
  <c r="CR406" i="51"/>
  <c r="CS406" i="51"/>
  <c r="CT406" i="51"/>
  <c r="CI407" i="51"/>
  <c r="CJ407" i="51"/>
  <c r="CK407" i="51"/>
  <c r="CL407" i="51"/>
  <c r="CM407" i="51"/>
  <c r="CN407" i="51"/>
  <c r="CO407" i="51"/>
  <c r="CP407" i="51"/>
  <c r="CQ407" i="51"/>
  <c r="CR407" i="51"/>
  <c r="CS407" i="51"/>
  <c r="CT407" i="51"/>
  <c r="CI408" i="51"/>
  <c r="CJ408" i="51"/>
  <c r="CK408" i="51"/>
  <c r="CL408" i="51"/>
  <c r="CM408" i="51"/>
  <c r="CN408" i="51"/>
  <c r="CO408" i="51"/>
  <c r="CP408" i="51"/>
  <c r="CQ408" i="51"/>
  <c r="CR408" i="51"/>
  <c r="CS408" i="51"/>
  <c r="CT408" i="51"/>
  <c r="CI409" i="51"/>
  <c r="CJ409" i="51"/>
  <c r="CK409" i="51"/>
  <c r="CL409" i="51"/>
  <c r="CM409" i="51"/>
  <c r="CN409" i="51"/>
  <c r="CO409" i="51"/>
  <c r="CP409" i="51"/>
  <c r="CQ409" i="51"/>
  <c r="CR409" i="51"/>
  <c r="CS409" i="51"/>
  <c r="CT409" i="51"/>
  <c r="CI410" i="51"/>
  <c r="CJ410" i="51"/>
  <c r="CK410" i="51"/>
  <c r="CL410" i="51"/>
  <c r="CM410" i="51"/>
  <c r="CN410" i="51"/>
  <c r="CO410" i="51"/>
  <c r="CP410" i="51"/>
  <c r="CQ410" i="51"/>
  <c r="CR410" i="51"/>
  <c r="CS410" i="51"/>
  <c r="CT410" i="51"/>
  <c r="CI413" i="51"/>
  <c r="CJ413" i="51"/>
  <c r="CK413" i="51"/>
  <c r="CL413" i="51"/>
  <c r="CM413" i="51"/>
  <c r="CN413" i="51"/>
  <c r="CO413" i="51"/>
  <c r="CP413" i="51"/>
  <c r="CQ413" i="51"/>
  <c r="CR413" i="51"/>
  <c r="CS413" i="51"/>
  <c r="CT413" i="51"/>
  <c r="CI414" i="51"/>
  <c r="CJ414" i="51"/>
  <c r="CK414" i="51"/>
  <c r="CL414" i="51"/>
  <c r="CM414" i="51"/>
  <c r="CN414" i="51"/>
  <c r="CO414" i="51"/>
  <c r="CP414" i="51"/>
  <c r="CQ414" i="51"/>
  <c r="CR414" i="51"/>
  <c r="CS414" i="51"/>
  <c r="CT414" i="51"/>
  <c r="CI415" i="51"/>
  <c r="CJ415" i="51"/>
  <c r="CK415" i="51"/>
  <c r="CL415" i="51"/>
  <c r="CM415" i="51"/>
  <c r="CN415" i="51"/>
  <c r="CO415" i="51"/>
  <c r="CP415" i="51"/>
  <c r="CQ415" i="51"/>
  <c r="CR415" i="51"/>
  <c r="CS415" i="51"/>
  <c r="CT415" i="51"/>
  <c r="CI416" i="51"/>
  <c r="CJ416" i="51"/>
  <c r="CK416" i="51"/>
  <c r="CL416" i="51"/>
  <c r="CM416" i="51"/>
  <c r="CN416" i="51"/>
  <c r="CO416" i="51"/>
  <c r="CP416" i="51"/>
  <c r="CQ416" i="51"/>
  <c r="CR416" i="51"/>
  <c r="CS416" i="51"/>
  <c r="CT416" i="51"/>
  <c r="CI448" i="51"/>
  <c r="CJ448" i="51"/>
  <c r="CK448" i="51"/>
  <c r="CL448" i="51"/>
  <c r="CM448" i="51"/>
  <c r="CN448" i="51"/>
  <c r="CO448" i="51"/>
  <c r="CP448" i="51"/>
  <c r="CQ448" i="51"/>
  <c r="CR448" i="51"/>
  <c r="CS448" i="51"/>
  <c r="CT448" i="51"/>
  <c r="CI449" i="51"/>
  <c r="CJ449" i="51"/>
  <c r="CK449" i="51"/>
  <c r="CL449" i="51"/>
  <c r="CM449" i="51"/>
  <c r="CN449" i="51"/>
  <c r="CO449" i="51"/>
  <c r="CP449" i="51"/>
  <c r="CQ449" i="51"/>
  <c r="CR449" i="51"/>
  <c r="CS449" i="51"/>
  <c r="CT449" i="51"/>
  <c r="CI450" i="51"/>
  <c r="CJ450" i="51"/>
  <c r="CK450" i="51"/>
  <c r="CL450" i="51"/>
  <c r="CM450" i="51"/>
  <c r="CN450" i="51"/>
  <c r="CO450" i="51"/>
  <c r="CP450" i="51"/>
  <c r="CQ450" i="51"/>
  <c r="CR450" i="51"/>
  <c r="CS450" i="51"/>
  <c r="CT450" i="51"/>
  <c r="CI451" i="51"/>
  <c r="CJ451" i="51"/>
  <c r="CK451" i="51"/>
  <c r="CL451" i="51"/>
  <c r="CM451" i="51"/>
  <c r="CN451" i="51"/>
  <c r="CO451" i="51"/>
  <c r="CP451" i="51"/>
  <c r="CQ451" i="51"/>
  <c r="CR451" i="51"/>
  <c r="CS451" i="51"/>
  <c r="CT451" i="51"/>
  <c r="CI452" i="51"/>
  <c r="CJ452" i="51"/>
  <c r="CK452" i="51"/>
  <c r="CL452" i="51"/>
  <c r="CM452" i="51"/>
  <c r="CN452" i="51"/>
  <c r="CO452" i="51"/>
  <c r="CP452" i="51"/>
  <c r="CQ452" i="51"/>
  <c r="CR452" i="51"/>
  <c r="CS452" i="51"/>
  <c r="CT452" i="51"/>
  <c r="CI454" i="51"/>
  <c r="CJ454" i="51"/>
  <c r="CK454" i="51"/>
  <c r="CL454" i="51"/>
  <c r="CM454" i="51"/>
  <c r="CN454" i="51"/>
  <c r="CO454" i="51"/>
  <c r="CP454" i="51"/>
  <c r="CQ454" i="51"/>
  <c r="CR454" i="51"/>
  <c r="CS454" i="51"/>
  <c r="CT454" i="51"/>
  <c r="CI456" i="51"/>
  <c r="CJ456" i="51"/>
  <c r="CK456" i="51"/>
  <c r="CL456" i="51"/>
  <c r="CM456" i="51"/>
  <c r="CN456" i="51"/>
  <c r="CO456" i="51"/>
  <c r="CP456" i="51"/>
  <c r="CQ456" i="51"/>
  <c r="CR456" i="51"/>
  <c r="CS456" i="51"/>
  <c r="CT456" i="51"/>
  <c r="CI457" i="51"/>
  <c r="CJ457" i="51"/>
  <c r="CK457" i="51"/>
  <c r="CL457" i="51"/>
  <c r="CM457" i="51"/>
  <c r="CN457" i="51"/>
  <c r="CO457" i="51"/>
  <c r="CP457" i="51"/>
  <c r="CQ457" i="51"/>
  <c r="CR457" i="51"/>
  <c r="CS457" i="51"/>
  <c r="CT457" i="51"/>
  <c r="CL643" i="49"/>
  <c r="CM643" i="49"/>
  <c r="CN643" i="49"/>
  <c r="CO643" i="49"/>
  <c r="CQ643" i="49"/>
  <c r="CR643" i="49"/>
  <c r="CS643" i="49"/>
  <c r="CT643" i="49"/>
  <c r="CU643" i="49"/>
  <c r="CV643" i="49"/>
  <c r="CL645" i="49"/>
  <c r="CM645" i="49"/>
  <c r="CN645" i="49"/>
  <c r="CO645" i="49"/>
  <c r="CQ645" i="49"/>
  <c r="CR645" i="49"/>
  <c r="CS645" i="49"/>
  <c r="CT645" i="49"/>
  <c r="CU645" i="49"/>
  <c r="CV645" i="49"/>
  <c r="CL646" i="49"/>
  <c r="CM646" i="49"/>
  <c r="CN646" i="49"/>
  <c r="CO646" i="49"/>
  <c r="CQ646" i="49"/>
  <c r="CR646" i="49"/>
  <c r="CS646" i="49"/>
  <c r="CT646" i="49"/>
  <c r="CU646" i="49"/>
  <c r="CV646" i="49"/>
  <c r="CL650" i="49"/>
  <c r="CM650" i="49"/>
  <c r="CN650" i="49"/>
  <c r="CO650" i="49"/>
  <c r="CQ650" i="49"/>
  <c r="CR650" i="49"/>
  <c r="CS650" i="49"/>
  <c r="CT650" i="49"/>
  <c r="CU650" i="49"/>
  <c r="CV650" i="49"/>
  <c r="CL652" i="49"/>
  <c r="CM652" i="49"/>
  <c r="CN652" i="49"/>
  <c r="CO652" i="49"/>
  <c r="CQ652" i="49"/>
  <c r="CR652" i="49"/>
  <c r="CS652" i="49"/>
  <c r="CT652" i="49"/>
  <c r="CU652" i="49"/>
  <c r="CV652" i="49"/>
  <c r="CL653" i="49"/>
  <c r="CM653" i="49"/>
  <c r="CN653" i="49"/>
  <c r="CO653" i="49"/>
  <c r="CQ653" i="49"/>
  <c r="CR653" i="49"/>
  <c r="CS653" i="49"/>
  <c r="CT653" i="49"/>
  <c r="CU653" i="49"/>
  <c r="CV653" i="49"/>
  <c r="CL654" i="49"/>
  <c r="CM654" i="49"/>
  <c r="CN654" i="49"/>
  <c r="CO654" i="49"/>
  <c r="CQ654" i="49"/>
  <c r="CR654" i="49"/>
  <c r="CS654" i="49"/>
  <c r="CT654" i="49"/>
  <c r="CU654" i="49"/>
  <c r="CV654" i="49"/>
  <c r="CL668" i="49"/>
  <c r="CM668" i="49"/>
  <c r="CN668" i="49"/>
  <c r="CO668" i="49"/>
  <c r="CQ668" i="49"/>
  <c r="CR668" i="49"/>
  <c r="CS668" i="49"/>
  <c r="CT668" i="49"/>
  <c r="CU668" i="49"/>
  <c r="CV668" i="49"/>
  <c r="CL676" i="49"/>
  <c r="CM676" i="49"/>
  <c r="CN676" i="49"/>
  <c r="CO676" i="49"/>
  <c r="CQ676" i="49"/>
  <c r="CR676" i="49"/>
  <c r="CS676" i="49"/>
  <c r="CT676" i="49"/>
  <c r="CU676" i="49"/>
  <c r="CV676" i="49"/>
  <c r="CL678" i="49"/>
  <c r="CM678" i="49"/>
  <c r="CN678" i="49"/>
  <c r="CO678" i="49"/>
  <c r="CQ678" i="49"/>
  <c r="CR678" i="49"/>
  <c r="CS678" i="49"/>
  <c r="CT678" i="49"/>
  <c r="CU678" i="49"/>
  <c r="CV678" i="49"/>
  <c r="CL679" i="49"/>
  <c r="CM679" i="49"/>
  <c r="CN679" i="49"/>
  <c r="CO679" i="49"/>
  <c r="CQ679" i="49"/>
  <c r="CR679" i="49"/>
  <c r="CS679" i="49"/>
  <c r="CT679" i="49"/>
  <c r="CU679" i="49"/>
  <c r="CV679" i="49"/>
  <c r="CL683" i="49"/>
  <c r="CM683" i="49"/>
  <c r="CN683" i="49"/>
  <c r="CO683" i="49"/>
  <c r="CQ683" i="49"/>
  <c r="CR683" i="49"/>
  <c r="CS683" i="49"/>
  <c r="CT683" i="49"/>
  <c r="CU683" i="49"/>
  <c r="CV683" i="49"/>
  <c r="CL685" i="49"/>
  <c r="CM685" i="49"/>
  <c r="CN685" i="49"/>
  <c r="CO685" i="49"/>
  <c r="CQ685" i="49"/>
  <c r="CR685" i="49"/>
  <c r="CS685" i="49"/>
  <c r="CT685" i="49"/>
  <c r="CU685" i="49"/>
  <c r="CV685" i="49"/>
  <c r="CL686" i="49"/>
  <c r="CM686" i="49"/>
  <c r="CN686" i="49"/>
  <c r="CO686" i="49"/>
  <c r="CQ686" i="49"/>
  <c r="CR686" i="49"/>
  <c r="CS686" i="49"/>
  <c r="CT686" i="49"/>
  <c r="CU686" i="49"/>
  <c r="CV686" i="49"/>
  <c r="CL688" i="49"/>
  <c r="CM688" i="49"/>
  <c r="CN688" i="49"/>
  <c r="CO688" i="49"/>
  <c r="CQ688" i="49"/>
  <c r="CR688" i="49"/>
  <c r="CS688" i="49"/>
  <c r="CT688" i="49"/>
  <c r="CU688" i="49"/>
  <c r="CV688" i="49"/>
  <c r="CL703" i="49"/>
  <c r="CM703" i="49"/>
  <c r="CN703" i="49"/>
  <c r="CO703" i="49"/>
  <c r="CQ703" i="49"/>
  <c r="CR703" i="49"/>
  <c r="CS703" i="49"/>
  <c r="CT703" i="49"/>
  <c r="CU703" i="49"/>
  <c r="CV703" i="49"/>
  <c r="CL705" i="49"/>
  <c r="CM705" i="49"/>
  <c r="CN705" i="49"/>
  <c r="CO705" i="49"/>
  <c r="CQ705" i="49"/>
  <c r="CR705" i="49"/>
  <c r="CS705" i="49"/>
  <c r="CT705" i="49"/>
  <c r="CU705" i="49"/>
  <c r="CV705" i="49"/>
  <c r="CL706" i="49"/>
  <c r="CM706" i="49"/>
  <c r="CN706" i="49"/>
  <c r="CO706" i="49"/>
  <c r="CQ706" i="49"/>
  <c r="CR706" i="49"/>
  <c r="CS706" i="49"/>
  <c r="CT706" i="49"/>
  <c r="CU706" i="49"/>
  <c r="CV706" i="49"/>
  <c r="CL786" i="49"/>
  <c r="CM786" i="49"/>
  <c r="CN786" i="49"/>
  <c r="CO786" i="49"/>
  <c r="CQ786" i="49"/>
  <c r="CR786" i="49"/>
  <c r="CS786" i="49"/>
  <c r="CT786" i="49"/>
  <c r="CU786" i="49"/>
  <c r="CV786" i="49"/>
  <c r="CL788" i="49"/>
  <c r="CM788" i="49"/>
  <c r="CN788" i="49"/>
  <c r="CO788" i="49"/>
  <c r="CQ788" i="49"/>
  <c r="CR788" i="49"/>
  <c r="CS788" i="49"/>
  <c r="CT788" i="49"/>
  <c r="CU788" i="49"/>
  <c r="CV788" i="49"/>
  <c r="CL789" i="49"/>
  <c r="CM789" i="49"/>
  <c r="CN789" i="49"/>
  <c r="CO789" i="49"/>
  <c r="CQ789" i="49"/>
  <c r="CR789" i="49"/>
  <c r="CS789" i="49"/>
  <c r="CT789" i="49"/>
  <c r="CU789" i="49"/>
  <c r="CV789" i="49"/>
  <c r="CL793" i="49"/>
  <c r="CM793" i="49"/>
  <c r="CN793" i="49"/>
  <c r="CO793" i="49"/>
  <c r="CQ793" i="49"/>
  <c r="CR793" i="49"/>
  <c r="CS793" i="49"/>
  <c r="CT793" i="49"/>
  <c r="CU793" i="49"/>
  <c r="CV793" i="49"/>
  <c r="CL795" i="49"/>
  <c r="CM795" i="49"/>
  <c r="CN795" i="49"/>
  <c r="CO795" i="49"/>
  <c r="CQ795" i="49"/>
  <c r="CR795" i="49"/>
  <c r="CS795" i="49"/>
  <c r="CT795" i="49"/>
  <c r="CU795" i="49"/>
  <c r="CV795" i="49"/>
  <c r="CL796" i="49"/>
  <c r="CM796" i="49"/>
  <c r="CN796" i="49"/>
  <c r="CO796" i="49"/>
  <c r="CQ796" i="49"/>
  <c r="CR796" i="49"/>
  <c r="CS796" i="49"/>
  <c r="CT796" i="49"/>
  <c r="CU796" i="49"/>
  <c r="CV796" i="49"/>
  <c r="CL798" i="49"/>
  <c r="CM798" i="49"/>
  <c r="CN798" i="49"/>
  <c r="CO798" i="49"/>
  <c r="CQ798" i="49"/>
  <c r="CR798" i="49"/>
  <c r="CS798" i="49"/>
  <c r="CT798" i="49"/>
  <c r="CU798" i="49"/>
  <c r="CV798" i="49"/>
  <c r="CL812" i="49"/>
  <c r="CM812" i="49"/>
  <c r="CN812" i="49"/>
  <c r="CO812" i="49"/>
  <c r="CQ812" i="49"/>
  <c r="CR812" i="49"/>
  <c r="CS812" i="49"/>
  <c r="CT812" i="49"/>
  <c r="CU812" i="49"/>
  <c r="CV812" i="49"/>
  <c r="CL820" i="49"/>
  <c r="CM820" i="49"/>
  <c r="CN820" i="49"/>
  <c r="CO820" i="49"/>
  <c r="CQ820" i="49"/>
  <c r="CR820" i="49"/>
  <c r="CS820" i="49"/>
  <c r="CT820" i="49"/>
  <c r="CU820" i="49"/>
  <c r="CV820" i="49"/>
  <c r="CL822" i="49"/>
  <c r="CM822" i="49"/>
  <c r="CN822" i="49"/>
  <c r="CO822" i="49"/>
  <c r="CQ822" i="49"/>
  <c r="CR822" i="49"/>
  <c r="CS822" i="49"/>
  <c r="CT822" i="49"/>
  <c r="CU822" i="49"/>
  <c r="CV822" i="49"/>
  <c r="CL823" i="49"/>
  <c r="CM823" i="49"/>
  <c r="CN823" i="49"/>
  <c r="CO823" i="49"/>
  <c r="CQ823" i="49"/>
  <c r="CR823" i="49"/>
  <c r="CS823" i="49"/>
  <c r="CT823" i="49"/>
  <c r="CU823" i="49"/>
  <c r="CV823" i="49"/>
  <c r="CL827" i="49"/>
  <c r="CM827" i="49"/>
  <c r="CN827" i="49"/>
  <c r="CO827" i="49"/>
  <c r="CQ827" i="49"/>
  <c r="CR827" i="49"/>
  <c r="CS827" i="49"/>
  <c r="CT827" i="49"/>
  <c r="CU827" i="49"/>
  <c r="CV827" i="49"/>
  <c r="CL829" i="49"/>
  <c r="CM829" i="49"/>
  <c r="CN829" i="49"/>
  <c r="CO829" i="49"/>
  <c r="CQ829" i="49"/>
  <c r="CR829" i="49"/>
  <c r="CS829" i="49"/>
  <c r="CT829" i="49"/>
  <c r="CU829" i="49"/>
  <c r="CV829" i="49"/>
  <c r="CL830" i="49"/>
  <c r="CM830" i="49"/>
  <c r="CN830" i="49"/>
  <c r="CO830" i="49"/>
  <c r="CQ830" i="49"/>
  <c r="CR830" i="49"/>
  <c r="CS830" i="49"/>
  <c r="CT830" i="49"/>
  <c r="CU830" i="49"/>
  <c r="CV830" i="49"/>
  <c r="CL833" i="49"/>
  <c r="CM833" i="49"/>
  <c r="CN833" i="49"/>
  <c r="CO833" i="49"/>
  <c r="CQ833" i="49"/>
  <c r="CR833" i="49"/>
  <c r="CS833" i="49"/>
  <c r="CT833" i="49"/>
  <c r="CU833" i="49"/>
  <c r="CV833" i="49"/>
  <c r="CL848" i="49"/>
  <c r="CM848" i="49"/>
  <c r="CN848" i="49"/>
  <c r="CO848" i="49"/>
  <c r="CQ848" i="49"/>
  <c r="CR848" i="49"/>
  <c r="CS848" i="49"/>
  <c r="CT848" i="49"/>
  <c r="CU848" i="49"/>
  <c r="CV848" i="49"/>
  <c r="CL849" i="49"/>
  <c r="CM849" i="49"/>
  <c r="CN849" i="49"/>
  <c r="CP849" i="49"/>
  <c r="CQ849" i="49"/>
  <c r="CR849" i="49"/>
  <c r="CS849" i="49"/>
  <c r="CL850" i="49"/>
  <c r="CM850" i="49"/>
  <c r="CN850" i="49"/>
  <c r="CO850" i="49"/>
  <c r="CQ850" i="49"/>
  <c r="CR850" i="49"/>
  <c r="CS850" i="49"/>
  <c r="CT850" i="49"/>
  <c r="CU850" i="49"/>
  <c r="CV850" i="49"/>
  <c r="CL851" i="49"/>
  <c r="CM851" i="49"/>
  <c r="CN851" i="49"/>
  <c r="CO851" i="49"/>
  <c r="CQ851" i="49"/>
  <c r="CR851" i="49"/>
  <c r="CS851" i="49"/>
  <c r="CT851" i="49"/>
  <c r="CU851" i="49"/>
  <c r="CV851" i="49"/>
  <c r="CL854" i="49"/>
  <c r="CM854" i="49"/>
  <c r="CN854" i="49"/>
  <c r="CO854" i="49"/>
  <c r="CQ854" i="49"/>
  <c r="CR854" i="49"/>
  <c r="CS854" i="49"/>
  <c r="CT854" i="49"/>
  <c r="CU854" i="49"/>
  <c r="CV854" i="49"/>
  <c r="CL895" i="49"/>
  <c r="CM895" i="49"/>
  <c r="CN895" i="49"/>
  <c r="CO895" i="49"/>
  <c r="CQ895" i="49"/>
  <c r="CR895" i="49"/>
  <c r="CS895" i="49"/>
  <c r="CT895" i="49"/>
  <c r="CU895" i="49"/>
  <c r="CV895" i="49"/>
  <c r="CL896" i="49"/>
  <c r="CM896" i="49"/>
  <c r="CN896" i="49"/>
  <c r="CO896" i="49"/>
  <c r="CT896" i="49"/>
  <c r="CL897" i="49"/>
  <c r="CM897" i="49"/>
  <c r="CN897" i="49"/>
  <c r="CL898" i="49"/>
  <c r="CM898" i="49"/>
  <c r="CN898" i="49"/>
  <c r="CO898" i="49"/>
  <c r="CQ898" i="49"/>
  <c r="CR898" i="49"/>
  <c r="CS898" i="49"/>
  <c r="CT898" i="49"/>
  <c r="CU898" i="49"/>
  <c r="CV898" i="49"/>
  <c r="CL899" i="49"/>
  <c r="CM899" i="49"/>
  <c r="CN899" i="49"/>
  <c r="CO899" i="49"/>
  <c r="CQ899" i="49"/>
  <c r="CR899" i="49"/>
  <c r="CS899" i="49"/>
  <c r="CT899" i="49"/>
  <c r="CU899" i="49"/>
  <c r="CV899" i="49"/>
  <c r="CL900" i="49"/>
  <c r="CM900" i="49"/>
  <c r="CN900" i="49"/>
  <c r="CP900" i="49"/>
  <c r="CQ900" i="49"/>
  <c r="CR900" i="49"/>
  <c r="CS900" i="49"/>
  <c r="CL904" i="49"/>
  <c r="CM904" i="49"/>
  <c r="CN904" i="49"/>
  <c r="CO904" i="49"/>
  <c r="CQ904" i="49"/>
  <c r="CR904" i="49"/>
  <c r="CS904" i="49"/>
  <c r="CT904" i="49"/>
  <c r="CU904" i="49"/>
  <c r="CV904" i="49"/>
  <c r="CL905" i="49"/>
  <c r="CM905" i="49"/>
  <c r="CN905" i="49"/>
  <c r="CO905" i="49"/>
  <c r="CQ905" i="49"/>
  <c r="CR905" i="49"/>
  <c r="CS905" i="49"/>
  <c r="CT905" i="49"/>
  <c r="CU905" i="49"/>
  <c r="CV905" i="49"/>
  <c r="CL906" i="49"/>
  <c r="CM906" i="49"/>
  <c r="CN906" i="49"/>
  <c r="CO906" i="49"/>
  <c r="CQ906" i="49"/>
  <c r="CR906" i="49"/>
  <c r="CS906" i="49"/>
  <c r="CT906" i="49"/>
  <c r="CU906" i="49"/>
  <c r="CV906" i="49"/>
  <c r="CL907" i="49"/>
  <c r="CM907" i="49"/>
  <c r="CN907" i="49"/>
  <c r="CO907" i="49"/>
  <c r="CQ907" i="49"/>
  <c r="CR907" i="49"/>
  <c r="CS907" i="49"/>
  <c r="CT907" i="49"/>
  <c r="CU907" i="49"/>
  <c r="CV907" i="49"/>
  <c r="CL908" i="49"/>
  <c r="CM908" i="49"/>
  <c r="CL942" i="49"/>
  <c r="CM942" i="49"/>
  <c r="CN942" i="49"/>
  <c r="CO942" i="49"/>
  <c r="CQ942" i="49"/>
  <c r="CR942" i="49"/>
  <c r="CS942" i="49"/>
  <c r="CT942" i="49"/>
  <c r="CU942" i="49"/>
  <c r="CV942" i="49"/>
  <c r="CL947" i="49"/>
  <c r="CM947" i="49"/>
  <c r="CN947" i="49"/>
  <c r="CO947" i="49"/>
  <c r="CP947" i="49"/>
  <c r="CQ947" i="49"/>
  <c r="CR947" i="49"/>
  <c r="CS947" i="49"/>
  <c r="CT947" i="49"/>
  <c r="CU947" i="49"/>
  <c r="CV947" i="49"/>
  <c r="CL955" i="49"/>
  <c r="CM955" i="49"/>
  <c r="CN955" i="49"/>
  <c r="CO955" i="49"/>
  <c r="CP955" i="49"/>
  <c r="CQ955" i="49"/>
  <c r="CR955" i="49"/>
  <c r="CS955" i="49"/>
  <c r="CT955" i="49"/>
  <c r="CU955" i="49"/>
  <c r="CV955" i="49"/>
  <c r="CL959" i="49"/>
  <c r="CM959" i="49"/>
  <c r="CN959" i="49"/>
  <c r="CO959" i="49"/>
  <c r="CP959" i="49"/>
  <c r="CQ959" i="49"/>
  <c r="CR959" i="49"/>
  <c r="CS959" i="49"/>
  <c r="CT959" i="49"/>
  <c r="CU959" i="49"/>
  <c r="CV959" i="49"/>
  <c r="CL960" i="49"/>
  <c r="CM960" i="49"/>
  <c r="CN960" i="49"/>
  <c r="CO960" i="49"/>
  <c r="CP960" i="49"/>
  <c r="CQ960" i="49"/>
  <c r="CR960" i="49"/>
  <c r="CS960" i="49"/>
  <c r="CT960" i="49"/>
  <c r="CU960" i="49"/>
  <c r="CV960" i="49"/>
  <c r="CL973" i="49"/>
  <c r="CM973" i="49"/>
  <c r="CN973" i="49"/>
  <c r="CO973" i="49"/>
  <c r="CP973" i="49"/>
  <c r="CQ973" i="49"/>
  <c r="CR973" i="49"/>
  <c r="CS973" i="49"/>
  <c r="CT973" i="49"/>
  <c r="CU973" i="49"/>
  <c r="CV973" i="49"/>
  <c r="CL997" i="49"/>
  <c r="CM997" i="49"/>
  <c r="CN997" i="49"/>
  <c r="CO997" i="49"/>
  <c r="CQ997" i="49"/>
  <c r="CR997" i="49"/>
  <c r="CS997" i="49"/>
  <c r="CT997" i="49"/>
  <c r="CU997" i="49"/>
  <c r="CV997" i="49"/>
  <c r="CO998" i="49"/>
  <c r="CO1000" i="49"/>
  <c r="CT1000" i="49"/>
  <c r="CU1000" i="49"/>
  <c r="CL1035" i="49"/>
  <c r="CM1035" i="49"/>
  <c r="CN1035" i="49"/>
  <c r="CO1035" i="49"/>
  <c r="CQ1035" i="49"/>
  <c r="CR1035" i="49"/>
  <c r="CS1035" i="49"/>
  <c r="CT1035" i="49"/>
  <c r="CU1035" i="49"/>
  <c r="CV1035" i="49"/>
  <c r="CL1036" i="49"/>
  <c r="CM1036" i="49"/>
  <c r="CN1036" i="49"/>
  <c r="CO1036" i="49"/>
  <c r="CQ1036" i="49"/>
  <c r="CR1036" i="49"/>
  <c r="CS1036" i="49"/>
  <c r="CT1036" i="49"/>
  <c r="CU1036" i="49"/>
  <c r="CV1036" i="49"/>
  <c r="CL1037" i="49"/>
  <c r="CM1037" i="49"/>
  <c r="CN1037" i="49"/>
  <c r="CO1037" i="49"/>
  <c r="CQ1037" i="49"/>
  <c r="CR1037" i="49"/>
  <c r="CS1037" i="49"/>
  <c r="CT1037" i="49"/>
  <c r="CU1037" i="49"/>
  <c r="CV1037" i="49"/>
  <c r="CL1038" i="49"/>
  <c r="CM1038" i="49"/>
  <c r="CN1038" i="49"/>
  <c r="CO1038" i="49"/>
  <c r="CQ1038" i="49"/>
  <c r="CR1038" i="49"/>
  <c r="CS1038" i="49"/>
  <c r="CT1038" i="49"/>
  <c r="CU1038" i="49"/>
  <c r="CV1038" i="49"/>
  <c r="CL1039" i="49"/>
  <c r="CM1039" i="49"/>
  <c r="CN1039" i="49"/>
  <c r="CO1039" i="49"/>
  <c r="CQ1039" i="49"/>
  <c r="CR1039" i="49"/>
  <c r="CS1039" i="49"/>
  <c r="CT1039" i="49"/>
  <c r="CU1039" i="49"/>
  <c r="CV1039" i="49"/>
  <c r="CL1042" i="49"/>
  <c r="CM1042" i="49"/>
  <c r="CN1042" i="49"/>
  <c r="CO1042" i="49"/>
  <c r="CQ1042" i="49"/>
  <c r="CR1042" i="49"/>
  <c r="CS1042" i="49"/>
  <c r="CT1042" i="49"/>
  <c r="CU1042" i="49"/>
  <c r="CV1042" i="49"/>
  <c r="CL1043" i="49"/>
  <c r="CM1043" i="49"/>
  <c r="CN1043" i="49"/>
  <c r="CO1043" i="49"/>
  <c r="CQ1043" i="49"/>
  <c r="CR1043" i="49"/>
  <c r="CS1043" i="49"/>
  <c r="CT1043" i="49"/>
  <c r="CU1043" i="49"/>
  <c r="CV1043" i="49"/>
  <c r="CL1044" i="49"/>
  <c r="CM1044" i="49"/>
  <c r="CN1044" i="49"/>
  <c r="CO1044" i="49"/>
  <c r="CQ1044" i="49"/>
  <c r="CR1044" i="49"/>
  <c r="CS1044" i="49"/>
  <c r="CT1044" i="49"/>
  <c r="CU1044" i="49"/>
  <c r="CV1044" i="49"/>
  <c r="CL1045" i="49"/>
  <c r="CM1045" i="49"/>
  <c r="CN1045" i="49"/>
  <c r="CO1045" i="49"/>
  <c r="CQ1045" i="49"/>
  <c r="CR1045" i="49"/>
  <c r="CS1045" i="49"/>
  <c r="CT1045" i="49"/>
  <c r="CU1045" i="49"/>
  <c r="CV1045" i="49"/>
  <c r="CL1046" i="49"/>
  <c r="CM1046" i="49"/>
  <c r="CN1046" i="49"/>
  <c r="CO1046" i="49"/>
  <c r="CQ1046" i="49"/>
  <c r="CR1046" i="49"/>
  <c r="CS1046" i="49"/>
  <c r="CT1046" i="49"/>
  <c r="CU1046" i="49"/>
  <c r="CV1046" i="49"/>
  <c r="N42" i="53"/>
  <c r="O42" i="53"/>
  <c r="Q42" i="53"/>
  <c r="S42" i="53"/>
  <c r="N43" i="53"/>
  <c r="O43" i="53"/>
  <c r="Q43" i="53"/>
  <c r="S43" i="53"/>
  <c r="O44" i="53"/>
  <c r="Q44" i="53"/>
  <c r="S44" i="53"/>
</calcChain>
</file>

<file path=xl/comments1.xml><?xml version="1.0" encoding="utf-8"?>
<comments xmlns="http://schemas.openxmlformats.org/spreadsheetml/2006/main">
  <authors>
    <author>DJF 3/22/12</author>
    <author>Allen, Thomas (Research)</author>
    <author>Savino, Mark (Research)</author>
    <author>Charles Dan</author>
    <author>urbank</author>
    <author>Chaudhry, Baset A (Research)</author>
    <author>Zheng, Chaodan (Research)</author>
    <author>thallen</author>
    <author>melletc</author>
    <author>danfuss</author>
    <author>sunilt</author>
    <author>Singh, Rahul (Research)</author>
    <author>jills</author>
    <author>ancsan</author>
    <author>Celeste Mellet Brown</author>
    <author>toddscot</author>
    <author>Celeste Brown</author>
    <author>ryanmel</author>
    <author>DJF 2/15/12</author>
    <author>Ryan Meliker</author>
    <author>kirktash</author>
    <author>Chris Metli</author>
    <author>Kirk Tashjian</author>
    <author>makam</author>
    <author>Mendiratta, Divya (Research)</author>
    <author>DJF 2/14/12</author>
    <author>priyapa</author>
    <author>savinmar</author>
    <author>DJF 3/30/12</author>
    <author>DJF 3/21/12</author>
    <author>Shukla, Sindhuja (Research)</author>
    <author>stramark</author>
    <author>metlich</author>
    <author>pathaman</author>
    <author>DJF 3/27/12</author>
    <author>DJF 1/26/12</author>
    <author>DJF 2/16/12</author>
    <author>Todd Scott</author>
    <author>DJF 2/22/12</author>
    <author>DJF 3/4/12</author>
    <author>DJF 1/27/12</author>
  </authors>
  <commentList>
    <comment ref="BG2" authorId="0">
      <text>
        <r>
          <rPr>
            <b/>
            <sz val="8"/>
            <color indexed="81"/>
            <rFont val="Tahoma"/>
            <family val="2"/>
          </rPr>
          <t>DJF 3/22/12:</t>
        </r>
        <r>
          <rPr>
            <sz val="8"/>
            <color indexed="81"/>
            <rFont val="Tahoma"/>
            <family val="2"/>
          </rPr>
          <t xml:space="preserve">
"As Adjusted" financials used</t>
        </r>
      </text>
    </comment>
    <comment ref="BG5" authorId="0">
      <text>
        <r>
          <rPr>
            <b/>
            <sz val="8"/>
            <color indexed="81"/>
            <rFont val="Tahoma"/>
            <family val="2"/>
          </rPr>
          <t>DJF 3/22/12:</t>
        </r>
        <r>
          <rPr>
            <sz val="8"/>
            <color indexed="81"/>
            <rFont val="Tahoma"/>
            <family val="2"/>
          </rPr>
          <t xml:space="preserve">
Restated M&amp;F Fees in I/S for Timeshare Spinoff.  Restated G&amp;A can be found in the G&amp;A section.</t>
        </r>
      </text>
    </comment>
    <comment ref="BH5" authorId="0">
      <text>
        <r>
          <rPr>
            <b/>
            <sz val="8"/>
            <color indexed="81"/>
            <rFont val="Tahoma"/>
            <family val="2"/>
          </rPr>
          <t>DJF 3/22/12:</t>
        </r>
        <r>
          <rPr>
            <sz val="8"/>
            <color indexed="81"/>
            <rFont val="Tahoma"/>
            <family val="2"/>
          </rPr>
          <t xml:space="preserve">
Restated for Timeshare Spinoff</t>
        </r>
      </text>
    </comment>
    <comment ref="BI5" authorId="0">
      <text>
        <r>
          <rPr>
            <b/>
            <sz val="8"/>
            <color indexed="81"/>
            <rFont val="Tahoma"/>
            <family val="2"/>
          </rPr>
          <t>DJF 3/22/12:</t>
        </r>
        <r>
          <rPr>
            <sz val="8"/>
            <color indexed="81"/>
            <rFont val="Tahoma"/>
            <family val="2"/>
          </rPr>
          <t xml:space="preserve">
Restated for Timeshare Spinoff</t>
        </r>
      </text>
    </comment>
    <comment ref="BJ5" authorId="0">
      <text>
        <r>
          <rPr>
            <b/>
            <sz val="8"/>
            <color indexed="81"/>
            <rFont val="Tahoma"/>
            <family val="2"/>
          </rPr>
          <t>DJF 3/22/12:</t>
        </r>
        <r>
          <rPr>
            <sz val="8"/>
            <color indexed="81"/>
            <rFont val="Tahoma"/>
            <family val="2"/>
          </rPr>
          <t xml:space="preserve">
Restated for Timeshare Spinoff</t>
        </r>
      </text>
    </comment>
    <comment ref="BK5" authorId="0">
      <text>
        <r>
          <rPr>
            <b/>
            <sz val="8"/>
            <color indexed="81"/>
            <rFont val="Tahoma"/>
            <family val="2"/>
          </rPr>
          <t>DJF 3/22/12:</t>
        </r>
        <r>
          <rPr>
            <sz val="8"/>
            <color indexed="81"/>
            <rFont val="Tahoma"/>
            <family val="2"/>
          </rPr>
          <t xml:space="preserve">
Restated for Timeshare Spinoff</t>
        </r>
      </text>
    </comment>
    <comment ref="BL5" authorId="0">
      <text>
        <r>
          <rPr>
            <b/>
            <sz val="8"/>
            <color indexed="81"/>
            <rFont val="Tahoma"/>
            <family val="2"/>
          </rPr>
          <t>DJF 3/22/12:</t>
        </r>
        <r>
          <rPr>
            <sz val="8"/>
            <color indexed="81"/>
            <rFont val="Tahoma"/>
            <family val="2"/>
          </rPr>
          <t xml:space="preserve">
Restated for Timeshare Spinoff</t>
        </r>
      </text>
    </comment>
    <comment ref="BM5" authorId="0">
      <text>
        <r>
          <rPr>
            <b/>
            <sz val="8"/>
            <color indexed="81"/>
            <rFont val="Tahoma"/>
            <family val="2"/>
          </rPr>
          <t>DJF 3/22/12:</t>
        </r>
        <r>
          <rPr>
            <sz val="8"/>
            <color indexed="81"/>
            <rFont val="Tahoma"/>
            <family val="2"/>
          </rPr>
          <t xml:space="preserve">
Restated for Timeshare Spinoff</t>
        </r>
      </text>
    </comment>
    <comment ref="BN5" authorId="0">
      <text>
        <r>
          <rPr>
            <b/>
            <sz val="8"/>
            <color indexed="81"/>
            <rFont val="Tahoma"/>
            <family val="2"/>
          </rPr>
          <t>DJF 3/22/12:</t>
        </r>
        <r>
          <rPr>
            <sz val="8"/>
            <color indexed="81"/>
            <rFont val="Tahoma"/>
            <family val="2"/>
          </rPr>
          <t xml:space="preserve">
Restated for Timeshare Spinoff</t>
        </r>
      </text>
    </comment>
    <comment ref="BO5" authorId="0">
      <text>
        <r>
          <rPr>
            <b/>
            <sz val="8"/>
            <color indexed="81"/>
            <rFont val="Tahoma"/>
            <family val="2"/>
          </rPr>
          <t>DJF 3/22/12:</t>
        </r>
        <r>
          <rPr>
            <sz val="8"/>
            <color indexed="81"/>
            <rFont val="Tahoma"/>
            <family val="2"/>
          </rPr>
          <t xml:space="preserve">
Restated for Timeshare Spinoff</t>
        </r>
      </text>
    </comment>
    <comment ref="BP5" authorId="0">
      <text>
        <r>
          <rPr>
            <b/>
            <sz val="8"/>
            <color indexed="81"/>
            <rFont val="Tahoma"/>
            <family val="2"/>
          </rPr>
          <t>DJF 3/22/12:</t>
        </r>
        <r>
          <rPr>
            <sz val="8"/>
            <color indexed="81"/>
            <rFont val="Tahoma"/>
            <family val="2"/>
          </rPr>
          <t xml:space="preserve">
Restated for Timeshare Spinoff</t>
        </r>
      </text>
    </comment>
    <comment ref="CZ7" authorId="1">
      <text>
        <r>
          <rPr>
            <b/>
            <sz val="9"/>
            <color indexed="81"/>
            <rFont val="Tahoma"/>
            <family val="2"/>
          </rPr>
          <t>Allen, Thomas (Research):</t>
        </r>
        <r>
          <rPr>
            <sz val="9"/>
            <color indexed="81"/>
            <rFont val="Tahoma"/>
            <family val="2"/>
          </rPr>
          <t xml:space="preserve">
3/21/17: $1230-1305m, incl. $105-115m from new hotels 
Includes 50bps FX headwinds from 2017</t>
        </r>
      </text>
    </comment>
    <comment ref="CB10" authorId="2">
      <text>
        <r>
          <rPr>
            <b/>
            <sz val="9"/>
            <color indexed="81"/>
            <rFont val="Tahoma"/>
            <family val="2"/>
          </rPr>
          <t>Savino, Mark (Research):</t>
        </r>
        <r>
          <rPr>
            <sz val="9"/>
            <color indexed="81"/>
            <rFont val="Tahoma"/>
            <family val="2"/>
          </rPr>
          <t xml:space="preserve">
Guidance $440-450m</t>
        </r>
      </text>
    </comment>
    <comment ref="AS11" authorId="3">
      <text>
        <r>
          <rPr>
            <b/>
            <sz val="10"/>
            <color indexed="8"/>
            <rFont val="Tahoma"/>
            <family val="2"/>
          </rPr>
          <t>Charles Dan:</t>
        </r>
        <r>
          <rPr>
            <sz val="10"/>
            <color indexed="8"/>
            <rFont val="Tahoma"/>
            <family val="2"/>
          </rPr>
          <t xml:space="preserve">
$6mm early termination fees</t>
        </r>
      </text>
    </comment>
    <comment ref="AN13" authorId="4">
      <text>
        <r>
          <rPr>
            <b/>
            <sz val="8"/>
            <color indexed="8"/>
            <rFont val="Tahoma"/>
            <family val="2"/>
          </rPr>
          <t>urbank:</t>
        </r>
        <r>
          <rPr>
            <sz val="8"/>
            <color indexed="8"/>
            <rFont val="Tahoma"/>
            <family val="2"/>
          </rPr>
          <t xml:space="preserve">
now includes TS note sale gains in top line</t>
        </r>
      </text>
    </comment>
    <comment ref="AS13" authorId="3">
      <text>
        <r>
          <rPr>
            <b/>
            <sz val="10"/>
            <color indexed="8"/>
            <rFont val="Tahoma"/>
            <family val="2"/>
          </rPr>
          <t>Charles Dan:</t>
        </r>
        <r>
          <rPr>
            <sz val="10"/>
            <color indexed="8"/>
            <rFont val="Tahoma"/>
            <family val="2"/>
          </rPr>
          <t xml:space="preserve">
$45mm mortgage sale note gains</t>
        </r>
      </text>
    </comment>
    <comment ref="CT14" authorId="5">
      <text>
        <r>
          <rPr>
            <b/>
            <sz val="9"/>
            <color indexed="81"/>
            <rFont val="Tahoma"/>
            <family val="2"/>
          </rPr>
          <t>Chaudhry, Baset A (Research):</t>
        </r>
        <r>
          <rPr>
            <sz val="9"/>
            <color indexed="81"/>
            <rFont val="Tahoma"/>
            <family val="2"/>
          </rPr>
          <t xml:space="preserve">
Legacy MAR: $3,675-3,990m as per Investor Day 2014 (9/8/14) excluding cost reimbursements</t>
        </r>
      </text>
    </comment>
    <comment ref="CZ14" authorId="6">
      <text>
        <r>
          <rPr>
            <b/>
            <sz val="9"/>
            <color indexed="81"/>
            <rFont val="Tahoma"/>
            <family val="2"/>
          </rPr>
          <t>Zheng, Chaodan (Research):</t>
        </r>
        <r>
          <rPr>
            <sz val="9"/>
            <color indexed="81"/>
            <rFont val="Tahoma"/>
            <family val="2"/>
          </rPr>
          <t xml:space="preserve">
3/21/17 Investor Day: $5,120-5,405m less reimbursed costs, assuming 1-3% annual RevPAR growth in 2017 through 2019</t>
        </r>
      </text>
    </comment>
    <comment ref="BV16" authorId="7">
      <text>
        <r>
          <rPr>
            <b/>
            <sz val="8"/>
            <color indexed="81"/>
            <rFont val="Tahoma"/>
            <family val="2"/>
          </rPr>
          <t>thallen:</t>
        </r>
        <r>
          <rPr>
            <sz val="8"/>
            <color indexed="81"/>
            <rFont val="Tahoma"/>
            <family val="2"/>
          </rPr>
          <t xml:space="preserve">
11% more days</t>
        </r>
      </text>
    </comment>
    <comment ref="BW16" authorId="7">
      <text>
        <r>
          <rPr>
            <b/>
            <sz val="8"/>
            <color indexed="81"/>
            <rFont val="Tahoma"/>
            <family val="2"/>
          </rPr>
          <t>thallen:</t>
        </r>
        <r>
          <rPr>
            <sz val="8"/>
            <color indexed="81"/>
            <rFont val="Tahoma"/>
            <family val="2"/>
          </rPr>
          <t xml:space="preserve">
8% more days</t>
        </r>
      </text>
    </comment>
    <comment ref="BX16" authorId="7">
      <text>
        <r>
          <rPr>
            <b/>
            <sz val="8"/>
            <color indexed="81"/>
            <rFont val="Tahoma"/>
            <family val="2"/>
          </rPr>
          <t>thallen:</t>
        </r>
        <r>
          <rPr>
            <sz val="8"/>
            <color indexed="81"/>
            <rFont val="Tahoma"/>
            <family val="2"/>
          </rPr>
          <t xml:space="preserve">
9.5% more days</t>
        </r>
      </text>
    </comment>
    <comment ref="BY16" authorId="7">
      <text>
        <r>
          <rPr>
            <b/>
            <sz val="8"/>
            <color indexed="81"/>
            <rFont val="Tahoma"/>
            <family val="2"/>
          </rPr>
          <t>thallen:</t>
        </r>
        <r>
          <rPr>
            <sz val="8"/>
            <color indexed="81"/>
            <rFont val="Tahoma"/>
            <family val="2"/>
          </rPr>
          <t xml:space="preserve">
18% fewer days</t>
        </r>
      </text>
    </comment>
    <comment ref="CM17" authorId="2">
      <text>
        <r>
          <rPr>
            <b/>
            <sz val="9"/>
            <color indexed="81"/>
            <rFont val="Tahoma"/>
            <family val="2"/>
          </rPr>
          <t>Savino, Mark (Research):</t>
        </r>
        <r>
          <rPr>
            <sz val="9"/>
            <color indexed="81"/>
            <rFont val="Tahoma"/>
            <family val="2"/>
          </rPr>
          <t xml:space="preserve">
MSe</t>
        </r>
      </text>
    </comment>
    <comment ref="CM18" authorId="2">
      <text>
        <r>
          <rPr>
            <b/>
            <sz val="9"/>
            <color indexed="81"/>
            <rFont val="Tahoma"/>
            <family val="2"/>
          </rPr>
          <t>Savino, Mark (Research):</t>
        </r>
        <r>
          <rPr>
            <sz val="9"/>
            <color indexed="81"/>
            <rFont val="Tahoma"/>
            <family val="2"/>
          </rPr>
          <t xml:space="preserve">
MSe</t>
        </r>
      </text>
    </comment>
    <comment ref="Q26" authorId="8">
      <text>
        <r>
          <rPr>
            <b/>
            <sz val="10"/>
            <color indexed="8"/>
            <rFont val="Tahoma"/>
            <family val="2"/>
          </rPr>
          <t>melletc:</t>
        </r>
        <r>
          <rPr>
            <sz val="10"/>
            <color indexed="8"/>
            <rFont val="Tahoma"/>
            <family val="2"/>
          </rPr>
          <t xml:space="preserve">
Lodging costs of $604 minus $71mm of "other"</t>
        </r>
      </text>
    </comment>
    <comment ref="CB26" authorId="5">
      <text>
        <r>
          <rPr>
            <sz val="9"/>
            <color indexed="81"/>
            <rFont val="Tahoma"/>
            <family val="2"/>
          </rPr>
          <t xml:space="preserve">Owned, leased and other revenue, net of direct expenses, totaled $70 million, compared to $65 million in the year-ago quarter. Improved results reflected strong performance at several leased hotels, the addition of a property the company acquired in the fourth quarter of 2013, the impact of the Protea portfolio acquired at the beginning of the quarter and higher residential and credit card branding fees, partially offset by $13 million of lower termination fees. Results for the second quarter of 2013 included $4 million of expenses related to international lease terminations.
</t>
        </r>
      </text>
    </comment>
    <comment ref="BN27" authorId="9">
      <text>
        <r>
          <rPr>
            <b/>
            <sz val="8"/>
            <color indexed="81"/>
            <rFont val="Tahoma"/>
            <family val="2"/>
          </rPr>
          <t>danfuss:</t>
        </r>
        <r>
          <rPr>
            <sz val="8"/>
            <color indexed="81"/>
            <rFont val="Tahoma"/>
            <family val="2"/>
          </rPr>
          <t xml:space="preserve">
Includes 324 mm T/S writedown</t>
        </r>
      </text>
    </comment>
    <comment ref="AI29" authorId="10">
      <text>
        <r>
          <rPr>
            <sz val="8"/>
            <color indexed="81"/>
            <rFont val="Tahoma"/>
            <family val="2"/>
          </rPr>
          <t xml:space="preserve">$177m-$182m
</t>
        </r>
      </text>
    </comment>
    <comment ref="AJ29" authorId="10">
      <text>
        <r>
          <rPr>
            <sz val="8"/>
            <color indexed="81"/>
            <rFont val="Tahoma"/>
            <family val="2"/>
          </rPr>
          <t xml:space="preserve">$137m-$141m
</t>
        </r>
      </text>
    </comment>
    <comment ref="AK29" authorId="10">
      <text>
        <r>
          <rPr>
            <sz val="8"/>
            <color indexed="81"/>
            <rFont val="Tahoma"/>
            <family val="2"/>
          </rPr>
          <t xml:space="preserve">Approx. $185 million
</t>
        </r>
      </text>
    </comment>
    <comment ref="AL29" authorId="10">
      <text>
        <r>
          <rPr>
            <sz val="8"/>
            <color indexed="81"/>
            <rFont val="Tahoma"/>
            <family val="2"/>
          </rPr>
          <t>Approx. $648 million</t>
        </r>
      </text>
    </comment>
    <comment ref="AM29" authorId="10">
      <text>
        <r>
          <rPr>
            <sz val="8"/>
            <color indexed="81"/>
            <rFont val="Tahoma"/>
            <family val="2"/>
          </rPr>
          <t>$140m- $145m</t>
        </r>
      </text>
    </comment>
    <comment ref="AN29" authorId="10">
      <text>
        <r>
          <rPr>
            <sz val="8"/>
            <color indexed="81"/>
            <rFont val="Tahoma"/>
            <family val="2"/>
          </rPr>
          <t>$153m- $158m</t>
        </r>
      </text>
    </comment>
    <comment ref="AO29" authorId="10">
      <text>
        <r>
          <rPr>
            <sz val="8"/>
            <color indexed="81"/>
            <rFont val="Tahoma"/>
            <family val="2"/>
          </rPr>
          <t xml:space="preserve">Approx. $155 million
</t>
        </r>
      </text>
    </comment>
    <comment ref="AP29" authorId="10">
      <text>
        <r>
          <rPr>
            <sz val="8"/>
            <color indexed="81"/>
            <rFont val="Tahoma"/>
            <family val="2"/>
          </rPr>
          <t>$220m- $215m</t>
        </r>
      </text>
    </comment>
    <comment ref="AQ29" authorId="10">
      <text>
        <r>
          <rPr>
            <sz val="8"/>
            <color indexed="81"/>
            <rFont val="Tahoma"/>
            <family val="2"/>
          </rPr>
          <t>$680m- $700m</t>
        </r>
      </text>
    </comment>
    <comment ref="AR29" authorId="10">
      <text>
        <r>
          <rPr>
            <sz val="8"/>
            <color indexed="81"/>
            <rFont val="Tahoma"/>
            <family val="2"/>
          </rPr>
          <t>$140m- $150m</t>
        </r>
      </text>
    </comment>
    <comment ref="AS29" authorId="10">
      <text>
        <r>
          <rPr>
            <sz val="8"/>
            <color indexed="81"/>
            <rFont val="Tahoma"/>
            <family val="2"/>
          </rPr>
          <t>Approx. $170 million</t>
        </r>
      </text>
    </comment>
    <comment ref="AT29" authorId="10">
      <text>
        <r>
          <rPr>
            <sz val="8"/>
            <color indexed="81"/>
            <rFont val="Tahoma"/>
            <family val="2"/>
          </rPr>
          <t>$170m- $175m</t>
        </r>
      </text>
    </comment>
    <comment ref="AU29" authorId="10">
      <text>
        <r>
          <rPr>
            <sz val="8"/>
            <color indexed="81"/>
            <rFont val="Tahoma"/>
            <family val="2"/>
          </rPr>
          <t>$235m- $240m</t>
        </r>
      </text>
    </comment>
    <comment ref="AV29" authorId="10">
      <text>
        <r>
          <rPr>
            <sz val="8"/>
            <color indexed="81"/>
            <rFont val="Tahoma"/>
            <family val="2"/>
          </rPr>
          <t>$680m- $700m</t>
        </r>
      </text>
    </comment>
    <comment ref="AW29" authorId="10">
      <text>
        <r>
          <rPr>
            <sz val="8"/>
            <color indexed="81"/>
            <rFont val="Tahoma"/>
            <family val="2"/>
          </rPr>
          <t>$160m- $180m</t>
        </r>
      </text>
    </comment>
    <comment ref="AX29" authorId="10">
      <text>
        <r>
          <rPr>
            <sz val="8"/>
            <color indexed="81"/>
            <rFont val="Tahoma"/>
            <family val="2"/>
          </rPr>
          <t>Approx. $180 million</t>
        </r>
      </text>
    </comment>
    <comment ref="AY29" authorId="10">
      <text>
        <r>
          <rPr>
            <sz val="8"/>
            <color indexed="81"/>
            <rFont val="Tahoma"/>
            <family val="2"/>
          </rPr>
          <t>Approx. $175 million</t>
        </r>
      </text>
    </comment>
    <comment ref="AZ29" authorId="10">
      <text>
        <r>
          <rPr>
            <sz val="8"/>
            <color indexed="81"/>
            <rFont val="Tahoma"/>
            <family val="2"/>
          </rPr>
          <t>$245m-$255m</t>
        </r>
      </text>
    </comment>
    <comment ref="BB29" authorId="10">
      <text>
        <r>
          <rPr>
            <sz val="8"/>
            <color indexed="81"/>
            <rFont val="Tahoma"/>
            <family val="2"/>
          </rPr>
          <t>$145m-$150m</t>
        </r>
      </text>
    </comment>
    <comment ref="BC29" authorId="10">
      <text>
        <r>
          <rPr>
            <sz val="8"/>
            <color indexed="81"/>
            <rFont val="Tahoma"/>
            <family val="2"/>
          </rPr>
          <t>$135m-$140m</t>
        </r>
      </text>
    </comment>
    <comment ref="BD29" authorId="10">
      <text>
        <r>
          <rPr>
            <sz val="8"/>
            <color indexed="81"/>
            <rFont val="Tahoma"/>
            <family val="2"/>
          </rPr>
          <t>$135-$145m</t>
        </r>
      </text>
    </comment>
    <comment ref="BE29" authorId="10">
      <text>
        <r>
          <rPr>
            <sz val="8"/>
            <color indexed="81"/>
            <rFont val="Tahoma"/>
            <family val="2"/>
          </rPr>
          <t>$185-$190m</t>
        </r>
      </text>
    </comment>
    <comment ref="BF29" authorId="10">
      <text>
        <r>
          <rPr>
            <sz val="8"/>
            <color indexed="81"/>
            <rFont val="Tahoma"/>
            <family val="2"/>
          </rPr>
          <t>$580-$600m</t>
        </r>
      </text>
    </comment>
    <comment ref="CI29" authorId="5">
      <text>
        <r>
          <rPr>
            <b/>
            <sz val="9"/>
            <color indexed="81"/>
            <rFont val="Tahoma"/>
            <family val="2"/>
          </rPr>
          <t>Chaudhry, Baset A (Research):</t>
        </r>
        <r>
          <rPr>
            <sz val="9"/>
            <color indexed="81"/>
            <rFont val="Tahoma"/>
            <family val="2"/>
          </rPr>
          <t xml:space="preserve">
Guidance $175m </t>
        </r>
      </text>
    </comment>
    <comment ref="CK29" authorId="2">
      <text>
        <r>
          <rPr>
            <b/>
            <sz val="9"/>
            <color indexed="81"/>
            <rFont val="Tahoma"/>
            <family val="2"/>
          </rPr>
          <t>Savino, Mark (Research):</t>
        </r>
        <r>
          <rPr>
            <sz val="9"/>
            <color indexed="81"/>
            <rFont val="Tahoma"/>
            <family val="2"/>
          </rPr>
          <t xml:space="preserve">
Guidance $160m</t>
        </r>
      </text>
    </comment>
    <comment ref="CM29" authorId="2">
      <text>
        <r>
          <rPr>
            <b/>
            <sz val="9"/>
            <color indexed="81"/>
            <rFont val="Tahoma"/>
            <family val="2"/>
          </rPr>
          <t>Savino, Mark (Research):</t>
        </r>
        <r>
          <rPr>
            <sz val="9"/>
            <color indexed="81"/>
            <rFont val="Tahoma"/>
            <family val="2"/>
          </rPr>
          <t xml:space="preserve">
Guidance: $160m</t>
        </r>
      </text>
    </comment>
    <comment ref="CO29" authorId="2">
      <text>
        <r>
          <rPr>
            <b/>
            <sz val="9"/>
            <color indexed="81"/>
            <rFont val="Tahoma"/>
            <family val="2"/>
          </rPr>
          <t>Savino, Mark (Research):</t>
        </r>
        <r>
          <rPr>
            <sz val="9"/>
            <color indexed="81"/>
            <rFont val="Tahoma"/>
            <family val="2"/>
          </rPr>
          <t xml:space="preserve">
4Q15: $650-660m</t>
        </r>
      </text>
    </comment>
    <comment ref="BV30" authorId="1">
      <text>
        <r>
          <rPr>
            <b/>
            <sz val="9"/>
            <color indexed="81"/>
            <rFont val="Tahoma"/>
            <family val="2"/>
          </rPr>
          <t>Allen, Thomas (Research):</t>
        </r>
        <r>
          <rPr>
            <sz val="9"/>
            <color indexed="81"/>
            <rFont val="Tahoma"/>
            <family val="2"/>
          </rPr>
          <t xml:space="preserve">
Previously D&amp;A was split between owned &amp; leased and G&amp;A</t>
        </r>
      </text>
    </comment>
    <comment ref="CB30" authorId="5">
      <text>
        <r>
          <rPr>
            <sz val="9"/>
            <color indexed="81"/>
            <rFont val="Tahoma"/>
            <family val="2"/>
          </rPr>
          <t xml:space="preserve">Inlcudes $15 million impairment charge resulting from reallocation of costs between the Miami EDITION hotel and the Miami EDITION residences </t>
        </r>
      </text>
    </comment>
    <comment ref="CC30" authorId="5">
      <text>
        <r>
          <rPr>
            <sz val="9"/>
            <color indexed="81"/>
            <rFont val="Tahoma"/>
            <family val="2"/>
          </rPr>
          <t>Guidance $30 million</t>
        </r>
      </text>
    </comment>
    <comment ref="CE30" authorId="5">
      <text>
        <r>
          <rPr>
            <sz val="9"/>
            <color indexed="81"/>
            <rFont val="Tahoma"/>
            <family val="2"/>
          </rPr>
          <t>2Q14: 2014 Guidance of $145m</t>
        </r>
      </text>
    </comment>
    <comment ref="CG30" authorId="5">
      <text>
        <r>
          <rPr>
            <sz val="9"/>
            <color indexed="81"/>
            <rFont val="Tahoma"/>
            <family val="2"/>
          </rPr>
          <t>Guidance $30 million</t>
        </r>
      </text>
    </comment>
    <comment ref="CJ30" authorId="5">
      <text>
        <r>
          <rPr>
            <b/>
            <sz val="9"/>
            <color indexed="81"/>
            <rFont val="Tahoma"/>
            <family val="2"/>
          </rPr>
          <t>Guidance:</t>
        </r>
        <r>
          <rPr>
            <sz val="9"/>
            <color indexed="81"/>
            <rFont val="Tahoma"/>
            <family val="2"/>
          </rPr>
          <t xml:space="preserve">
Pro forma $348m
3Q15: $130m
2Q15: $140m
1Q15: $150m
4Q14: $135m</t>
        </r>
      </text>
    </comment>
    <comment ref="CL30" authorId="2">
      <text>
        <r>
          <rPr>
            <b/>
            <sz val="9"/>
            <color indexed="81"/>
            <rFont val="Tahoma"/>
            <family val="2"/>
          </rPr>
          <t>Savino, Mark (Research):</t>
        </r>
        <r>
          <rPr>
            <sz val="9"/>
            <color indexed="81"/>
            <rFont val="Tahoma"/>
            <family val="2"/>
          </rPr>
          <t xml:space="preserve">
Guidance: $30m</t>
        </r>
      </text>
    </comment>
    <comment ref="CM30" authorId="2">
      <text>
        <r>
          <rPr>
            <b/>
            <sz val="9"/>
            <color indexed="81"/>
            <rFont val="Tahoma"/>
            <family val="2"/>
          </rPr>
          <t>Savino, Mark (Research):</t>
        </r>
        <r>
          <rPr>
            <sz val="9"/>
            <color indexed="81"/>
            <rFont val="Tahoma"/>
            <family val="2"/>
          </rPr>
          <t xml:space="preserve">
2Q16: $35m</t>
        </r>
      </text>
    </comment>
    <comment ref="CN30" authorId="2">
      <text>
        <r>
          <rPr>
            <b/>
            <sz val="9"/>
            <color indexed="81"/>
            <rFont val="Tahoma"/>
            <family val="2"/>
          </rPr>
          <t>Savino, Mark (Research):</t>
        </r>
        <r>
          <rPr>
            <sz val="9"/>
            <color indexed="81"/>
            <rFont val="Tahoma"/>
            <family val="2"/>
          </rPr>
          <t xml:space="preserve">
3Q16: $70-75m
Guidance: $34m</t>
        </r>
      </text>
    </comment>
    <comment ref="CO30" authorId="2">
      <text>
        <r>
          <rPr>
            <b/>
            <sz val="9"/>
            <color indexed="81"/>
            <rFont val="Tahoma"/>
            <family val="2"/>
          </rPr>
          <t>Savino, Mark (Research):</t>
        </r>
        <r>
          <rPr>
            <sz val="9"/>
            <color indexed="81"/>
            <rFont val="Tahoma"/>
            <family val="2"/>
          </rPr>
          <t xml:space="preserve">
2Q16: $130m
1Q16: $130m
4Q15: $130m</t>
        </r>
      </text>
    </comment>
    <comment ref="CQ30" authorId="2">
      <text>
        <r>
          <rPr>
            <b/>
            <sz val="9"/>
            <color indexed="81"/>
            <rFont val="Tahoma"/>
            <family val="2"/>
          </rPr>
          <t>Savino, Mark (Research):</t>
        </r>
        <r>
          <rPr>
            <sz val="9"/>
            <color indexed="81"/>
            <rFont val="Tahoma"/>
            <family val="2"/>
          </rPr>
          <t xml:space="preserve">
Included $12m of purchase accounting revisions</t>
        </r>
      </text>
    </comment>
    <comment ref="CR30" authorId="2">
      <text>
        <r>
          <rPr>
            <b/>
            <sz val="9"/>
            <color indexed="81"/>
            <rFont val="Tahoma"/>
            <family val="2"/>
          </rPr>
          <t>Savino, Mark (Research):</t>
        </r>
        <r>
          <rPr>
            <sz val="9"/>
            <color indexed="81"/>
            <rFont val="Tahoma"/>
            <family val="2"/>
          </rPr>
          <t xml:space="preserve">
2Q17: $70m</t>
        </r>
      </text>
    </comment>
    <comment ref="CS30" authorId="2">
      <text>
        <r>
          <rPr>
            <b/>
            <sz val="9"/>
            <color indexed="81"/>
            <rFont val="Tahoma"/>
            <family val="2"/>
          </rPr>
          <t>Savino, Mark (Research):</t>
        </r>
        <r>
          <rPr>
            <sz val="9"/>
            <color indexed="81"/>
            <rFont val="Tahoma"/>
            <family val="2"/>
          </rPr>
          <t xml:space="preserve">
3Q17: $70m
2Q17: $73m</t>
        </r>
      </text>
    </comment>
    <comment ref="CT30" authorId="2">
      <text>
        <r>
          <rPr>
            <b/>
            <sz val="9"/>
            <color indexed="81"/>
            <rFont val="Tahoma"/>
            <family val="2"/>
          </rPr>
          <t>Savino, Mark (Research):</t>
        </r>
        <r>
          <rPr>
            <sz val="9"/>
            <color indexed="81"/>
            <rFont val="Tahoma"/>
            <family val="2"/>
          </rPr>
          <t xml:space="preserve">
3Q17: $288m
2Q17: $290m</t>
        </r>
      </text>
    </comment>
    <comment ref="CY30" authorId="2">
      <text>
        <r>
          <rPr>
            <b/>
            <sz val="9"/>
            <color indexed="81"/>
            <rFont val="Tahoma"/>
            <family val="2"/>
          </rPr>
          <t>Savino, Mark (Research):</t>
        </r>
        <r>
          <rPr>
            <sz val="9"/>
            <color indexed="81"/>
            <rFont val="Tahoma"/>
            <family val="2"/>
          </rPr>
          <t xml:space="preserve">
4Q17: $230m + $55m contract investment amortization</t>
        </r>
      </text>
    </comment>
    <comment ref="CZ30" authorId="1">
      <text>
        <r>
          <rPr>
            <b/>
            <sz val="9"/>
            <color indexed="81"/>
            <rFont val="Tahoma"/>
            <family val="2"/>
          </rPr>
          <t>Allen, Thomas (Research):</t>
        </r>
        <r>
          <rPr>
            <sz val="9"/>
            <color indexed="81"/>
            <rFont val="Tahoma"/>
            <family val="2"/>
          </rPr>
          <t xml:space="preserve">
3/21/17: $260m, assumes $62m lost from owned assumed sold in 2017-2019</t>
        </r>
      </text>
    </comment>
    <comment ref="CE33" authorId="1">
      <text>
        <r>
          <rPr>
            <b/>
            <sz val="9"/>
            <color indexed="81"/>
            <rFont val="Tahoma"/>
            <family val="2"/>
          </rPr>
          <t>Allen, Thomas (Research):</t>
        </r>
        <r>
          <rPr>
            <sz val="9"/>
            <color indexed="81"/>
            <rFont val="Tahoma"/>
            <family val="2"/>
          </rPr>
          <t xml:space="preserve">
Comparable MAR-HOT combined
$1941m, 39% margin</t>
        </r>
      </text>
    </comment>
    <comment ref="CG33" authorId="5">
      <text>
        <r>
          <rPr>
            <b/>
            <sz val="9"/>
            <color indexed="81"/>
            <rFont val="Tahoma"/>
            <family val="2"/>
          </rPr>
          <t xml:space="preserve">Guidance:
</t>
        </r>
        <r>
          <rPr>
            <sz val="9"/>
            <color indexed="81"/>
            <rFont val="Tahoma"/>
            <family val="2"/>
          </rPr>
          <t xml:space="preserve">$350-370m
</t>
        </r>
      </text>
    </comment>
    <comment ref="CH33" authorId="5">
      <text>
        <r>
          <rPr>
            <b/>
            <sz val="9"/>
            <color indexed="81"/>
            <rFont val="Tahoma"/>
            <family val="2"/>
          </rPr>
          <t xml:space="preserve">Guidance:
</t>
        </r>
        <r>
          <rPr>
            <sz val="9"/>
            <color indexed="81"/>
            <rFont val="Tahoma"/>
            <family val="2"/>
          </rPr>
          <t xml:space="preserve">$320-335m
</t>
        </r>
      </text>
    </comment>
    <comment ref="CI33" authorId="11">
      <text>
        <r>
          <rPr>
            <b/>
            <sz val="9"/>
            <color indexed="81"/>
            <rFont val="Tahoma"/>
            <family val="2"/>
          </rPr>
          <t xml:space="preserve">Guidance:
</t>
        </r>
        <r>
          <rPr>
            <sz val="8"/>
            <color indexed="81"/>
            <rFont val="Tahoma"/>
            <family val="2"/>
          </rPr>
          <t>3Q15:$320m-$335m</t>
        </r>
        <r>
          <rPr>
            <sz val="9"/>
            <color indexed="81"/>
            <rFont val="Tahoma"/>
            <family val="2"/>
          </rPr>
          <t xml:space="preserve">
</t>
        </r>
      </text>
    </comment>
    <comment ref="CJ33" authorId="5">
      <text>
        <r>
          <rPr>
            <b/>
            <sz val="9"/>
            <color indexed="81"/>
            <rFont val="Tahoma"/>
            <family val="2"/>
          </rPr>
          <t xml:space="preserve">Guidance:
</t>
        </r>
        <r>
          <rPr>
            <sz val="9"/>
            <color indexed="81"/>
            <rFont val="Tahoma"/>
            <family val="2"/>
          </rPr>
          <t>2Q15:$1,360-1,395m</t>
        </r>
        <r>
          <rPr>
            <b/>
            <sz val="9"/>
            <color indexed="81"/>
            <rFont val="Tahoma"/>
            <family val="2"/>
          </rPr>
          <t xml:space="preserve">
</t>
        </r>
        <r>
          <rPr>
            <sz val="9"/>
            <color indexed="81"/>
            <rFont val="Tahoma"/>
            <family val="2"/>
          </rPr>
          <t>1Q15:$1,350-1,400m
Comparable MAR-HOT combined $2221m, 44% margin</t>
        </r>
      </text>
    </comment>
    <comment ref="CK33" authorId="2">
      <text>
        <r>
          <rPr>
            <b/>
            <sz val="9"/>
            <color indexed="81"/>
            <rFont val="Tahoma"/>
            <family val="2"/>
          </rPr>
          <t>Savino, Mark (Research):</t>
        </r>
        <r>
          <rPr>
            <sz val="9"/>
            <color indexed="81"/>
            <rFont val="Tahoma"/>
            <family val="2"/>
          </rPr>
          <t xml:space="preserve">
Guidance $345-360m</t>
        </r>
      </text>
    </comment>
    <comment ref="CL33" authorId="2">
      <text>
        <r>
          <rPr>
            <b/>
            <sz val="9"/>
            <color indexed="81"/>
            <rFont val="Tahoma"/>
            <family val="2"/>
          </rPr>
          <t>Savino, Mark (Research):</t>
        </r>
        <r>
          <rPr>
            <sz val="9"/>
            <color indexed="81"/>
            <rFont val="Tahoma"/>
            <family val="2"/>
          </rPr>
          <t xml:space="preserve">
Guidance: $405-420m</t>
        </r>
      </text>
    </comment>
    <comment ref="CM33" authorId="2">
      <text>
        <r>
          <rPr>
            <b/>
            <sz val="9"/>
            <color indexed="81"/>
            <rFont val="Tahoma"/>
            <family val="2"/>
          </rPr>
          <t>Savino, Mark (Research):</t>
        </r>
        <r>
          <rPr>
            <sz val="9"/>
            <color indexed="81"/>
            <rFont val="Tahoma"/>
            <family val="2"/>
          </rPr>
          <t xml:space="preserve">
2Q16: $370-375m</t>
        </r>
      </text>
    </comment>
    <comment ref="CN33" authorId="2">
      <text>
        <r>
          <rPr>
            <b/>
            <sz val="9"/>
            <color indexed="81"/>
            <rFont val="Tahoma"/>
            <family val="2"/>
          </rPr>
          <t>Savino, Mark (Research):</t>
        </r>
        <r>
          <rPr>
            <sz val="9"/>
            <color indexed="81"/>
            <rFont val="Tahoma"/>
            <family val="2"/>
          </rPr>
          <t xml:space="preserve">
3Q16: $530-555m
2Q16: $361-371m</t>
        </r>
      </text>
    </comment>
    <comment ref="CO33" authorId="2">
      <text>
        <r>
          <rPr>
            <b/>
            <sz val="9"/>
            <color indexed="81"/>
            <rFont val="Tahoma"/>
            <family val="2"/>
          </rPr>
          <t>Savino, Mark (Research):</t>
        </r>
        <r>
          <rPr>
            <sz val="9"/>
            <color indexed="81"/>
            <rFont val="Tahoma"/>
            <family val="2"/>
          </rPr>
          <t xml:space="preserve">
2Q16: $1,509-1,524m
1Q16: $1,520-1,585m
4Q15: $1,505-1,570m</t>
        </r>
      </text>
    </comment>
    <comment ref="CP33" authorId="2">
      <text>
        <r>
          <rPr>
            <b/>
            <sz val="9"/>
            <color indexed="81"/>
            <rFont val="Tahoma"/>
            <family val="2"/>
          </rPr>
          <t>Savino, Mark (Research):</t>
        </r>
        <r>
          <rPr>
            <sz val="9"/>
            <color indexed="81"/>
            <rFont val="Tahoma"/>
            <family val="2"/>
          </rPr>
          <t xml:space="preserve">
4Q16: $500-525m</t>
        </r>
      </text>
    </comment>
    <comment ref="CQ33" authorId="2">
      <text>
        <r>
          <rPr>
            <b/>
            <sz val="9"/>
            <color indexed="81"/>
            <rFont val="Tahoma"/>
            <family val="2"/>
          </rPr>
          <t>Savino, Mark (Research):</t>
        </r>
        <r>
          <rPr>
            <sz val="9"/>
            <color indexed="81"/>
            <rFont val="Tahoma"/>
            <family val="2"/>
          </rPr>
          <t xml:space="preserve">
1Q17: $620-640m</t>
        </r>
      </text>
    </comment>
    <comment ref="CR33" authorId="2">
      <text>
        <r>
          <rPr>
            <b/>
            <sz val="9"/>
            <color indexed="81"/>
            <rFont val="Tahoma"/>
            <family val="2"/>
          </rPr>
          <t>Savino, Mark (Research):</t>
        </r>
        <r>
          <rPr>
            <sz val="9"/>
            <color indexed="81"/>
            <rFont val="Tahoma"/>
            <family val="2"/>
          </rPr>
          <t xml:space="preserve">
2Q17: $595-615m</t>
        </r>
      </text>
    </comment>
    <comment ref="CS33" authorId="2">
      <text>
        <r>
          <rPr>
            <b/>
            <sz val="9"/>
            <color indexed="81"/>
            <rFont val="Tahoma"/>
            <family val="2"/>
          </rPr>
          <t>Savino, Mark 
(Research):</t>
        </r>
        <r>
          <rPr>
            <sz val="9"/>
            <color indexed="81"/>
            <rFont val="Tahoma"/>
            <family val="2"/>
          </rPr>
          <t xml:space="preserve">
3Q17: $600-615m
2Q17: $594-644m</t>
        </r>
      </text>
    </comment>
    <comment ref="CT33" authorId="2">
      <text>
        <r>
          <rPr>
            <b/>
            <sz val="9"/>
            <color indexed="81"/>
            <rFont val="Tahoma"/>
            <family val="2"/>
          </rPr>
          <t>Savino, Mark (Research):</t>
        </r>
        <r>
          <rPr>
            <sz val="9"/>
            <color indexed="81"/>
            <rFont val="Tahoma"/>
            <family val="2"/>
          </rPr>
          <t xml:space="preserve">
3Q17: $2,485-2,500m
2Q17: $2,420-2,490m
1Q17: $2,405-2,495m
4Q16: $2,335-2,430m</t>
        </r>
      </text>
    </comment>
    <comment ref="CZ33" authorId="6">
      <text>
        <r>
          <rPr>
            <b/>
            <sz val="9"/>
            <color indexed="81"/>
            <rFont val="Tahoma"/>
            <family val="2"/>
          </rPr>
          <t>Zheng, Chaodan (Research):</t>
        </r>
        <r>
          <rPr>
            <sz val="9"/>
            <color indexed="81"/>
            <rFont val="Tahoma"/>
            <family val="2"/>
          </rPr>
          <t xml:space="preserve">
3/21/17 Investor Day: $2,800-3,030m assuming 1-3% annual RevPAR growth in 2017 through 2019
</t>
        </r>
      </text>
    </comment>
    <comment ref="CT34" authorId="12">
      <text>
        <r>
          <rPr>
            <sz val="8"/>
            <color indexed="81"/>
            <rFont val="Tahoma"/>
            <family val="2"/>
          </rPr>
          <t>Guidance:
Legacy MAR: 45-46% as per Investor Day (9/8/14)</t>
        </r>
        <r>
          <rPr>
            <b/>
            <sz val="8"/>
            <color indexed="81"/>
            <rFont val="Tahoma"/>
            <family val="2"/>
          </rPr>
          <t xml:space="preserve">
</t>
        </r>
      </text>
    </comment>
    <comment ref="CZ34" authorId="6">
      <text>
        <r>
          <rPr>
            <b/>
            <sz val="9"/>
            <color indexed="81"/>
            <rFont val="Tahoma"/>
            <family val="2"/>
          </rPr>
          <t>Zheng, Chaodan (Research):</t>
        </r>
        <r>
          <rPr>
            <sz val="9"/>
            <color indexed="81"/>
            <rFont val="Tahoma"/>
            <family val="2"/>
          </rPr>
          <t xml:space="preserve">
3/21/17 Investor Day: 55-56% assuming 1-3% annual RevPAR growth in 2017 through 2019</t>
        </r>
      </text>
    </comment>
    <comment ref="AL36" authorId="10">
      <text>
        <r>
          <rPr>
            <sz val="8"/>
            <color indexed="81"/>
            <rFont val="Tahoma"/>
            <family val="2"/>
          </rPr>
          <t>2Q05 - $710m-$720m</t>
        </r>
      </text>
    </comment>
    <comment ref="AQ36" authorId="10">
      <text>
        <r>
          <rPr>
            <sz val="8"/>
            <color indexed="81"/>
            <rFont val="Tahoma"/>
            <family val="2"/>
          </rPr>
          <t xml:space="preserve">1Q06 - $915m-$945m
2Q06 - $1,950m-$980m
</t>
        </r>
      </text>
    </comment>
    <comment ref="AV36" authorId="10">
      <text>
        <r>
          <rPr>
            <sz val="8"/>
            <color indexed="81"/>
            <rFont val="Tahoma"/>
            <family val="2"/>
          </rPr>
          <t xml:space="preserve">1Q07 - $1185m-$1235m
2Q07 - $1,215m-$1,255m
3Q07 - $1,197m-$1,297m
</t>
        </r>
      </text>
    </comment>
    <comment ref="BA36" authorId="10">
      <text>
        <r>
          <rPr>
            <sz val="8"/>
            <color indexed="81"/>
            <rFont val="Tahoma"/>
            <family val="2"/>
          </rPr>
          <t xml:space="preserve">1Q08 - $1185m-$1250m
2Q08 - $1,090m-$1,155m
</t>
        </r>
      </text>
    </comment>
    <comment ref="BK36" authorId="10">
      <text>
        <r>
          <rPr>
            <sz val="8"/>
            <color indexed="81"/>
            <rFont val="Tahoma"/>
            <family val="2"/>
          </rPr>
          <t>1Q10 - $745m-$800m
2Q10 - $800m-$840m
3Q10 - $803m-$823m</t>
        </r>
      </text>
    </comment>
    <comment ref="BO36" authorId="9">
      <text>
        <r>
          <rPr>
            <b/>
            <sz val="8"/>
            <color indexed="81"/>
            <rFont val="Tahoma"/>
            <family val="2"/>
          </rPr>
          <t xml:space="preserve">DJF 10/10/2011:
4Q Guidance: </t>
        </r>
        <r>
          <rPr>
            <sz val="8"/>
            <color indexed="81"/>
            <rFont val="Tahoma"/>
            <family val="2"/>
          </rPr>
          <t>$293 - 318 mn
Note: Guidance does not include one-time Timeshare spinoff costs.  We estimate $35 mn of such costs (add these back to get "adjusted" number)</t>
        </r>
      </text>
    </comment>
    <comment ref="BP36" authorId="10">
      <text>
        <r>
          <rPr>
            <sz val="8"/>
            <color indexed="81"/>
            <rFont val="Tahoma"/>
            <family val="2"/>
          </rPr>
          <t>1Q11 - $920m-$980m
2Q11 - $910m-$955m
3Q11 - $906m-$931m</t>
        </r>
      </text>
    </comment>
    <comment ref="BV36" authorId="7">
      <text>
        <r>
          <rPr>
            <b/>
            <sz val="8"/>
            <color indexed="81"/>
            <rFont val="Tahoma"/>
            <family val="2"/>
          </rPr>
          <t>thallen:</t>
        </r>
        <r>
          <rPr>
            <sz val="8"/>
            <color indexed="81"/>
            <rFont val="Tahoma"/>
            <family val="2"/>
          </rPr>
          <t xml:space="preserve">
$15-20mm of increase y/y due to change in fiscal calendar</t>
        </r>
      </text>
    </comment>
    <comment ref="BW36" authorId="12">
      <text>
        <r>
          <rPr>
            <b/>
            <sz val="8"/>
            <color indexed="81"/>
            <rFont val="Tahoma"/>
            <family val="2"/>
          </rPr>
          <t>jills:</t>
        </r>
        <r>
          <rPr>
            <sz val="8"/>
            <color indexed="81"/>
            <rFont val="Tahoma"/>
            <family val="2"/>
          </rPr>
          <t xml:space="preserve">
$20mm from fiscal calendar shift</t>
        </r>
      </text>
    </comment>
    <comment ref="BX36" authorId="12">
      <text>
        <r>
          <rPr>
            <b/>
            <sz val="8"/>
            <color indexed="81"/>
            <rFont val="Tahoma"/>
            <family val="2"/>
          </rPr>
          <t>jills:</t>
        </r>
        <r>
          <rPr>
            <sz val="8"/>
            <color indexed="81"/>
            <rFont val="Tahoma"/>
            <family val="2"/>
          </rPr>
          <t xml:space="preserve">
$26mm from fiscal calendar shift</t>
        </r>
      </text>
    </comment>
    <comment ref="BZ36" authorId="12">
      <text>
        <r>
          <rPr>
            <b/>
            <sz val="8"/>
            <color indexed="81"/>
            <rFont val="Tahoma"/>
            <family val="2"/>
          </rPr>
          <t>jills:</t>
        </r>
        <r>
          <rPr>
            <sz val="8"/>
            <color indexed="81"/>
            <rFont val="Tahoma"/>
            <family val="2"/>
          </rPr>
          <t xml:space="preserve">
per 4Q12 earnings guidance was $985-$1055mm
per 1Q13 earnings guidance was $990-$1060mm
per 2Q13 earnings guidance was $975-$1025 including $5mm benefit from the extra 4 days in fiscal 2013
per 3Q13 earnings guidance was $985-$1000m</t>
        </r>
      </text>
    </comment>
    <comment ref="CA36" authorId="13">
      <text>
        <r>
          <rPr>
            <sz val="8"/>
            <color indexed="81"/>
            <rFont val="Tahoma"/>
            <family val="2"/>
          </rPr>
          <t>Source :  8k of 4Q13</t>
        </r>
      </text>
    </comment>
    <comment ref="CE36" authorId="13">
      <text>
        <r>
          <rPr>
            <b/>
            <sz val="8"/>
            <color indexed="81"/>
            <rFont val="Tahoma"/>
            <family val="2"/>
          </rPr>
          <t>Guidance:</t>
        </r>
        <r>
          <rPr>
            <sz val="8"/>
            <color indexed="81"/>
            <rFont val="Tahoma"/>
            <family val="2"/>
          </rPr>
          <t xml:space="preserve">
Per 3Q14: $1,148-1,163m
Per 1Q14: $1,105-1,165m
Per 4Q13: $1,090-1,160m</t>
        </r>
      </text>
    </comment>
    <comment ref="CJ36" authorId="13">
      <text>
        <r>
          <rPr>
            <b/>
            <sz val="8"/>
            <color indexed="81"/>
            <rFont val="Tahoma"/>
            <family val="2"/>
          </rPr>
          <t xml:space="preserve">Guidance:
</t>
        </r>
        <r>
          <rPr>
            <sz val="8"/>
            <color indexed="81"/>
            <rFont val="Tahoma"/>
            <family val="2"/>
          </rPr>
          <t>Per 3Q15: $1,360-1,375m</t>
        </r>
        <r>
          <rPr>
            <b/>
            <sz val="8"/>
            <color indexed="81"/>
            <rFont val="Tahoma"/>
            <family val="2"/>
          </rPr>
          <t xml:space="preserve">
</t>
        </r>
        <r>
          <rPr>
            <sz val="8"/>
            <color indexed="81"/>
            <rFont val="Tahoma"/>
            <family val="2"/>
          </rPr>
          <t xml:space="preserve">Per 4Q14: $1,350-1,400m
Per 4Q14: $1,345-1,395m
</t>
        </r>
      </text>
    </comment>
    <comment ref="V38" authorId="14">
      <text>
        <r>
          <rPr>
            <b/>
            <sz val="8"/>
            <color indexed="8"/>
            <rFont val="Tahoma"/>
            <family val="2"/>
          </rPr>
          <t>Celeste Mellet Brown:</t>
        </r>
        <r>
          <rPr>
            <sz val="8"/>
            <color indexed="8"/>
            <rFont val="Tahoma"/>
            <family val="2"/>
          </rPr>
          <t xml:space="preserve">
Backing out $44mm gain in timeshare from sale of interval international</t>
        </r>
      </text>
    </comment>
    <comment ref="AD38" authorId="14">
      <text>
        <r>
          <rPr>
            <sz val="10"/>
            <color indexed="8"/>
            <rFont val="Tahoma"/>
            <family val="2"/>
          </rPr>
          <t>backed out $10mm syn fuel gain</t>
        </r>
      </text>
    </comment>
    <comment ref="AE38" authorId="15">
      <text>
        <r>
          <rPr>
            <sz val="10"/>
            <color indexed="8"/>
            <rFont val="Tahoma"/>
            <family val="2"/>
          </rPr>
          <t>Backed out $9MM syn fuel gain</t>
        </r>
      </text>
    </comment>
    <comment ref="AF38" authorId="15">
      <text>
        <r>
          <rPr>
            <sz val="10"/>
            <color indexed="8"/>
            <rFont val="Tahoma"/>
            <family val="2"/>
          </rPr>
          <t>Backed out $9MM syn fuel gain</t>
        </r>
      </text>
    </comment>
    <comment ref="AH38" authorId="15">
      <text>
        <r>
          <rPr>
            <sz val="10"/>
            <color indexed="8"/>
            <rFont val="Tahoma"/>
            <family val="2"/>
          </rPr>
          <t>Backed out -9MM syn fuel gain</t>
        </r>
      </text>
    </comment>
    <comment ref="AI38" authorId="15">
      <text>
        <r>
          <rPr>
            <sz val="10"/>
            <color indexed="8"/>
            <rFont val="Tahoma"/>
            <family val="2"/>
          </rPr>
          <t>Backed out 8MM syn fuel gain</t>
        </r>
      </text>
    </comment>
    <comment ref="AJ38" authorId="15">
      <text>
        <r>
          <rPr>
            <sz val="10"/>
            <color indexed="8"/>
            <rFont val="Tahoma"/>
            <family val="2"/>
          </rPr>
          <t xml:space="preserve">Backed out 21MM syn fuel gain. </t>
        </r>
      </text>
    </comment>
    <comment ref="AN38" authorId="16">
      <text>
        <r>
          <rPr>
            <b/>
            <sz val="8"/>
            <color indexed="8"/>
            <rFont val="Tahoma"/>
            <family val="2"/>
          </rPr>
          <t>Celeste Brown:</t>
        </r>
        <r>
          <rPr>
            <sz val="8"/>
            <color indexed="8"/>
            <rFont val="Tahoma"/>
            <family val="2"/>
          </rPr>
          <t xml:space="preserve">
48mm, but 45mm ex syn fuel; excl TS note sale gains- above the line</t>
        </r>
      </text>
    </comment>
    <comment ref="AO38" authorId="4">
      <text>
        <r>
          <rPr>
            <b/>
            <sz val="8"/>
            <color indexed="8"/>
            <rFont val="Tahoma"/>
            <family val="2"/>
          </rPr>
          <t>urbank:</t>
        </r>
        <r>
          <rPr>
            <sz val="8"/>
            <color indexed="8"/>
            <rFont val="Tahoma"/>
            <family val="2"/>
          </rPr>
          <t xml:space="preserve">
13mm, 10 less syn </t>
        </r>
      </text>
    </comment>
    <comment ref="BM38" authorId="17">
      <text>
        <r>
          <rPr>
            <b/>
            <sz val="8"/>
            <color indexed="8"/>
            <rFont val="Tahoma"/>
            <family val="2"/>
          </rPr>
          <t>ryanmel:</t>
        </r>
        <r>
          <rPr>
            <sz val="8"/>
            <color indexed="8"/>
            <rFont val="Tahoma"/>
            <family val="2"/>
          </rPr>
          <t xml:space="preserve">
$5mm in 1q and 10mm in 2011 per guidance</t>
        </r>
      </text>
    </comment>
    <comment ref="BN38" authorId="17">
      <text>
        <r>
          <rPr>
            <b/>
            <sz val="8"/>
            <color indexed="8"/>
            <rFont val="Tahoma"/>
            <family val="2"/>
          </rPr>
          <t>ryanmel:</t>
        </r>
        <r>
          <rPr>
            <sz val="8"/>
            <color indexed="8"/>
            <rFont val="Tahoma"/>
            <family val="2"/>
          </rPr>
          <t xml:space="preserve">
$5mm in 1q and 10mm in 2011 per guidance
</t>
        </r>
        <r>
          <rPr>
            <b/>
            <sz val="8"/>
            <color indexed="8"/>
            <rFont val="Tahoma"/>
            <family val="2"/>
          </rPr>
          <t>RM/DJF  10/10/11:</t>
        </r>
        <r>
          <rPr>
            <sz val="8"/>
            <color indexed="8"/>
            <rFont val="Tahoma"/>
            <family val="2"/>
          </rPr>
          <t xml:space="preserve">
Includes 18mm writedown likley due to stake in RLJ</t>
        </r>
      </text>
    </comment>
    <comment ref="BO38" authorId="17">
      <text>
        <r>
          <rPr>
            <b/>
            <sz val="8"/>
            <color indexed="8"/>
            <rFont val="Tahoma"/>
            <family val="2"/>
          </rPr>
          <t>ryanmel:</t>
        </r>
        <r>
          <rPr>
            <sz val="8"/>
            <color indexed="8"/>
            <rFont val="Tahoma"/>
            <family val="2"/>
          </rPr>
          <t xml:space="preserve">
$5mm in 1q and 10mm in 2011 per guidance
</t>
        </r>
        <r>
          <rPr>
            <b/>
            <sz val="8"/>
            <color indexed="8"/>
            <rFont val="Tahoma"/>
            <family val="2"/>
          </rPr>
          <t xml:space="preserve">DJF 10/10/11:
4Q Guidance: </t>
        </r>
        <r>
          <rPr>
            <sz val="8"/>
            <color indexed="8"/>
            <rFont val="Tahoma"/>
            <family val="2"/>
          </rPr>
          <t>Approximately $0 mn</t>
        </r>
      </text>
    </comment>
    <comment ref="BP38" authorId="9">
      <text>
        <r>
          <rPr>
            <b/>
            <sz val="8"/>
            <color indexed="81"/>
            <rFont val="Tahoma"/>
            <family val="2"/>
          </rPr>
          <t>DJF 10/10/11:
FY Guidance:</t>
        </r>
        <r>
          <rPr>
            <sz val="8"/>
            <color indexed="81"/>
            <rFont val="Tahoma"/>
            <family val="2"/>
          </rPr>
          <t xml:space="preserve"> Approx $7 mn
Note: Add back the $18 mn hit in 3Q</t>
        </r>
      </text>
    </comment>
    <comment ref="BQ38" authorId="18">
      <text>
        <r>
          <rPr>
            <b/>
            <sz val="8"/>
            <color indexed="81"/>
            <rFont val="Tahoma"/>
            <family val="2"/>
          </rPr>
          <t>DJF 2/15/12:</t>
        </r>
        <r>
          <rPr>
            <sz val="8"/>
            <color indexed="81"/>
            <rFont val="Tahoma"/>
            <family val="2"/>
          </rPr>
          <t xml:space="preserve">
Guidance: $2M</t>
        </r>
      </text>
    </comment>
    <comment ref="BS38" authorId="7">
      <text>
        <r>
          <rPr>
            <b/>
            <sz val="8"/>
            <color indexed="81"/>
            <rFont val="Tahoma"/>
            <family val="2"/>
          </rPr>
          <t>thallen:</t>
        </r>
        <r>
          <rPr>
            <sz val="8"/>
            <color indexed="81"/>
            <rFont val="Tahoma"/>
            <family val="2"/>
          </rPr>
          <t xml:space="preserve">
$41mm gain from Courtyard JV sale ($25mm after-tax)
Offset by $7mm impairment on an investment</t>
        </r>
      </text>
    </comment>
    <comment ref="BU38" authorId="18">
      <text>
        <r>
          <rPr>
            <b/>
            <sz val="8"/>
            <color indexed="81"/>
            <rFont val="Tahoma"/>
            <family val="2"/>
          </rPr>
          <t>DJF 2/15/12:</t>
        </r>
        <r>
          <rPr>
            <sz val="8"/>
            <color indexed="81"/>
            <rFont val="Tahoma"/>
            <family val="2"/>
          </rPr>
          <t xml:space="preserve">
Guidance: $10M</t>
        </r>
      </text>
    </comment>
    <comment ref="BV38" authorId="7">
      <text>
        <r>
          <rPr>
            <b/>
            <sz val="8"/>
            <color indexed="81"/>
            <rFont val="Tahoma"/>
            <family val="2"/>
          </rPr>
          <t>thallen:</t>
        </r>
        <r>
          <rPr>
            <sz val="8"/>
            <color indexed="81"/>
            <rFont val="Tahoma"/>
            <family val="2"/>
          </rPr>
          <t xml:space="preserve">
Guidance: $2mm</t>
        </r>
      </text>
    </comment>
    <comment ref="BX38" authorId="12">
      <text>
        <r>
          <rPr>
            <b/>
            <sz val="8"/>
            <color indexed="81"/>
            <rFont val="Tahoma"/>
            <family val="2"/>
          </rPr>
          <t>jills:</t>
        </r>
        <r>
          <rPr>
            <sz val="8"/>
            <color indexed="81"/>
            <rFont val="Tahoma"/>
            <family val="2"/>
          </rPr>
          <t xml:space="preserve">
guidance: $0mm</t>
        </r>
      </text>
    </comment>
    <comment ref="BY38" authorId="12">
      <text>
        <r>
          <rPr>
            <b/>
            <sz val="8"/>
            <color indexed="81"/>
            <rFont val="Tahoma"/>
            <family val="2"/>
          </rPr>
          <t>jills:</t>
        </r>
        <r>
          <rPr>
            <sz val="8"/>
            <color indexed="81"/>
            <rFont val="Tahoma"/>
            <family val="2"/>
          </rPr>
          <t xml:space="preserve">
guidance ~$1m</t>
        </r>
      </text>
    </comment>
    <comment ref="BZ38" authorId="7">
      <text>
        <r>
          <rPr>
            <b/>
            <sz val="8"/>
            <color indexed="81"/>
            <rFont val="Tahoma"/>
            <family val="2"/>
          </rPr>
          <t>thallen:</t>
        </r>
        <r>
          <rPr>
            <sz val="8"/>
            <color indexed="81"/>
            <rFont val="Tahoma"/>
            <family val="2"/>
          </rPr>
          <t xml:space="preserve">
Guidance: $15m
OLD:
$10mm
Guidance $15mm per 2Q13 earnings
Guidance $15m per 3Q13 earnings</t>
        </r>
      </text>
    </comment>
    <comment ref="CC38" authorId="5">
      <text>
        <r>
          <rPr>
            <sz val="9"/>
            <color indexed="81"/>
            <rFont val="Tahoma"/>
            <family val="2"/>
          </rPr>
          <t>Guidance: $0 million</t>
        </r>
      </text>
    </comment>
    <comment ref="CD38" authorId="5">
      <text>
        <r>
          <rPr>
            <sz val="9"/>
            <color indexed="81"/>
            <rFont val="Tahoma"/>
            <family val="2"/>
          </rPr>
          <t>Guidance: $3 million</t>
        </r>
      </text>
    </comment>
    <comment ref="CE38" authorId="13">
      <text>
        <r>
          <rPr>
            <b/>
            <sz val="8"/>
            <color indexed="81"/>
            <rFont val="Tahoma"/>
            <family val="2"/>
          </rPr>
          <t>Guidance:</t>
        </r>
        <r>
          <rPr>
            <sz val="8"/>
            <color indexed="81"/>
            <rFont val="Tahoma"/>
            <family val="2"/>
          </rPr>
          <t xml:space="preserve"> 
~$7mn 8k of 3Q14
~$5mn 8k of 2Q14
~$10mn 8k of 4Q13</t>
        </r>
      </text>
    </comment>
    <comment ref="CG38" authorId="5">
      <text>
        <r>
          <rPr>
            <sz val="9"/>
            <color indexed="81"/>
            <rFont val="Tahoma"/>
            <family val="2"/>
          </rPr>
          <t>Guidance: $0 million</t>
        </r>
      </text>
    </comment>
    <comment ref="CH38" authorId="5">
      <text>
        <r>
          <rPr>
            <sz val="9"/>
            <color indexed="81"/>
            <rFont val="Tahoma"/>
            <family val="2"/>
          </rPr>
          <t>Guidance: $0 million</t>
        </r>
      </text>
    </comment>
    <comment ref="CI38" authorId="5">
      <text>
        <r>
          <rPr>
            <b/>
            <sz val="9"/>
            <color indexed="81"/>
            <rFont val="Tahoma"/>
            <family val="2"/>
          </rPr>
          <t>3Q15:</t>
        </r>
        <r>
          <rPr>
            <sz val="9"/>
            <color indexed="81"/>
            <rFont val="Tahoma"/>
            <family val="2"/>
          </rPr>
          <t xml:space="preserve">
Guidance: $0 million</t>
        </r>
      </text>
    </comment>
    <comment ref="CJ38" authorId="13">
      <text>
        <r>
          <rPr>
            <b/>
            <sz val="8"/>
            <color indexed="81"/>
            <rFont val="Tahoma"/>
            <family val="2"/>
          </rPr>
          <t>Guidance:</t>
        </r>
        <r>
          <rPr>
            <sz val="8"/>
            <color indexed="81"/>
            <rFont val="Tahoma"/>
            <family val="2"/>
          </rPr>
          <t xml:space="preserve"> 
~$20mn 8k of 3Q15
~$20mn 8k of 2Q15
~$0mn 8k of 1Q15
~$0mn 8k of 4Q14
</t>
        </r>
      </text>
    </comment>
    <comment ref="CL38" authorId="2">
      <text>
        <r>
          <rPr>
            <b/>
            <sz val="9"/>
            <color indexed="81"/>
            <rFont val="Tahoma"/>
            <family val="2"/>
          </rPr>
          <t>Savino, Mark (Research):</t>
        </r>
        <r>
          <rPr>
            <sz val="9"/>
            <color indexed="81"/>
            <rFont val="Tahoma"/>
            <family val="2"/>
          </rPr>
          <t xml:space="preserve">
Guidance $0</t>
        </r>
      </text>
    </comment>
    <comment ref="CM38" authorId="2">
      <text>
        <r>
          <rPr>
            <b/>
            <sz val="9"/>
            <color indexed="81"/>
            <rFont val="Tahoma"/>
            <family val="2"/>
          </rPr>
          <t>Savino, Mark (Research):</t>
        </r>
        <r>
          <rPr>
            <sz val="9"/>
            <color indexed="81"/>
            <rFont val="Tahoma"/>
            <family val="2"/>
          </rPr>
          <t xml:space="preserve">
Guidance: $5m</t>
        </r>
      </text>
    </comment>
    <comment ref="CN38" authorId="2">
      <text>
        <r>
          <rPr>
            <b/>
            <sz val="9"/>
            <color indexed="81"/>
            <rFont val="Tahoma"/>
            <family val="2"/>
          </rPr>
          <t>Savino, Mark (Research):</t>
        </r>
        <r>
          <rPr>
            <sz val="9"/>
            <color indexed="81"/>
            <rFont val="Tahoma"/>
            <family val="2"/>
          </rPr>
          <t xml:space="preserve">
Per 3/25 8k: $91m of HOT's annual legacy fee revenue will be shifted to other income
2Q16: $0m MAR</t>
        </r>
      </text>
    </comment>
    <comment ref="CO38" authorId="2">
      <text>
        <r>
          <rPr>
            <b/>
            <sz val="9"/>
            <color indexed="81"/>
            <rFont val="Tahoma"/>
            <family val="2"/>
          </rPr>
          <t>Savino, Mark (Research):</t>
        </r>
        <r>
          <rPr>
            <sz val="9"/>
            <color indexed="81"/>
            <rFont val="Tahoma"/>
            <family val="2"/>
          </rPr>
          <t xml:space="preserve">
2Q16: $5m
1Q16: $5m
4Q15: $5m</t>
        </r>
      </text>
    </comment>
    <comment ref="CS38" authorId="6">
      <text>
        <r>
          <rPr>
            <b/>
            <sz val="9"/>
            <color indexed="81"/>
            <rFont val="Tahoma"/>
            <family val="2"/>
          </rPr>
          <t>Zheng, Chaodan (Research):</t>
        </r>
        <r>
          <rPr>
            <sz val="9"/>
            <color indexed="81"/>
            <rFont val="Tahoma"/>
            <family val="2"/>
          </rPr>
          <t xml:space="preserve">
3Q17: $0m</t>
        </r>
      </text>
    </comment>
    <comment ref="CT38" authorId="2">
      <text>
        <r>
          <rPr>
            <b/>
            <sz val="9"/>
            <color indexed="81"/>
            <rFont val="Tahoma"/>
            <family val="2"/>
          </rPr>
          <t>Savino, Mark (Research):</t>
        </r>
        <r>
          <rPr>
            <sz val="9"/>
            <color indexed="81"/>
            <rFont val="Tahoma"/>
            <family val="2"/>
          </rPr>
          <t xml:space="preserve">
3Q17: $31m
2Q17: $25m</t>
        </r>
      </text>
    </comment>
    <comment ref="CU38" authorId="2">
      <text>
        <r>
          <rPr>
            <b/>
            <sz val="9"/>
            <color indexed="81"/>
            <rFont val="Tahoma"/>
            <family val="2"/>
          </rPr>
          <t>Savino, Mark (Research):</t>
        </r>
        <r>
          <rPr>
            <sz val="9"/>
            <color indexed="81"/>
            <rFont val="Tahoma"/>
            <family val="2"/>
          </rPr>
          <t xml:space="preserve">
$45m gain associated with sale of Sheraton Buenos Aires</t>
        </r>
      </text>
    </comment>
    <comment ref="CY38" authorId="1">
      <text>
        <r>
          <rPr>
            <b/>
            <sz val="9"/>
            <color indexed="81"/>
            <rFont val="Tahoma"/>
            <family val="2"/>
          </rPr>
          <t>Allen, Thomas (Research):</t>
        </r>
        <r>
          <rPr>
            <sz val="9"/>
            <color indexed="81"/>
            <rFont val="Tahoma"/>
            <family val="2"/>
          </rPr>
          <t xml:space="preserve">
4Q17: $45m</t>
        </r>
      </text>
    </comment>
    <comment ref="CZ38" authorId="1">
      <text>
        <r>
          <rPr>
            <b/>
            <sz val="9"/>
            <color indexed="81"/>
            <rFont val="Tahoma"/>
            <family val="2"/>
          </rPr>
          <t>Allen, Thomas (Research):</t>
        </r>
        <r>
          <rPr>
            <sz val="9"/>
            <color indexed="81"/>
            <rFont val="Tahoma"/>
            <family val="2"/>
          </rPr>
          <t xml:space="preserve">
3/21/17 investor day: $5m</t>
        </r>
      </text>
    </comment>
    <comment ref="BU39" authorId="18">
      <text>
        <r>
          <rPr>
            <b/>
            <sz val="8"/>
            <color indexed="81"/>
            <rFont val="Tahoma"/>
            <family val="2"/>
          </rPr>
          <t>DJF 2/15/12:</t>
        </r>
        <r>
          <rPr>
            <sz val="8"/>
            <color indexed="81"/>
            <rFont val="Tahoma"/>
            <family val="2"/>
          </rPr>
          <t xml:space="preserve">
Guidance: $105M
(Net of Interest Income)</t>
        </r>
      </text>
    </comment>
    <comment ref="BV39" authorId="7">
      <text>
        <r>
          <rPr>
            <b/>
            <sz val="8"/>
            <color indexed="81"/>
            <rFont val="Tahoma"/>
            <family val="2"/>
          </rPr>
          <t>thallen:</t>
        </r>
        <r>
          <rPr>
            <sz val="8"/>
            <color indexed="81"/>
            <rFont val="Tahoma"/>
            <family val="2"/>
          </rPr>
          <t xml:space="preserve">
Guidance: (net) $30mm</t>
        </r>
      </text>
    </comment>
    <comment ref="BX39" authorId="7">
      <text>
        <r>
          <rPr>
            <b/>
            <sz val="8"/>
            <color indexed="81"/>
            <rFont val="Tahoma"/>
            <family val="2"/>
          </rPr>
          <t>thallen:</t>
        </r>
        <r>
          <rPr>
            <sz val="8"/>
            <color indexed="81"/>
            <rFont val="Tahoma"/>
            <family val="2"/>
          </rPr>
          <t xml:space="preserve">
Guidance (net): $25mm</t>
        </r>
      </text>
    </comment>
    <comment ref="BY39" authorId="12">
      <text>
        <r>
          <rPr>
            <b/>
            <sz val="8"/>
            <color indexed="81"/>
            <rFont val="Tahoma"/>
            <family val="2"/>
          </rPr>
          <t>jills:</t>
        </r>
        <r>
          <rPr>
            <sz val="8"/>
            <color indexed="81"/>
            <rFont val="Tahoma"/>
            <family val="2"/>
          </rPr>
          <t xml:space="preserve">
includes incremental interest expense from 3.375% $350mm series M notes, settled 9/27
Guidance per 3Q13 $25m net int exp</t>
        </r>
      </text>
    </comment>
    <comment ref="BZ39" authorId="7">
      <text>
        <r>
          <rPr>
            <b/>
            <sz val="8"/>
            <color indexed="81"/>
            <rFont val="Tahoma"/>
            <family val="2"/>
          </rPr>
          <t>thallen:</t>
        </r>
        <r>
          <rPr>
            <sz val="8"/>
            <color indexed="81"/>
            <rFont val="Tahoma"/>
            <family val="2"/>
          </rPr>
          <t xml:space="preserve">
Guidance: (net): $100mm
Old: $105mm
Guidance per 3Q13 $100 (net)</t>
        </r>
      </text>
    </comment>
    <comment ref="CC39" authorId="5">
      <text>
        <r>
          <rPr>
            <sz val="9"/>
            <color indexed="81"/>
            <rFont val="Tahoma"/>
            <family val="2"/>
          </rPr>
          <t>Guidance of approx. $25 (net interest expense)</t>
        </r>
      </text>
    </comment>
    <comment ref="CE39" authorId="13">
      <text>
        <r>
          <rPr>
            <b/>
            <sz val="8"/>
            <color indexed="81"/>
            <rFont val="Tahoma"/>
            <family val="2"/>
          </rPr>
          <t>Guidance:</t>
        </r>
        <r>
          <rPr>
            <sz val="8"/>
            <color indexed="81"/>
            <rFont val="Tahoma"/>
            <family val="2"/>
          </rPr>
          <t xml:space="preserve">
(3Q14): $92m, net interest expense
(2Q14): $95m, net interest expense
(1Q14): $100m, net interest expense
</t>
        </r>
      </text>
    </comment>
    <comment ref="CG39" authorId="5">
      <text>
        <r>
          <rPr>
            <sz val="9"/>
            <color indexed="81"/>
            <rFont val="Tahoma"/>
            <family val="2"/>
          </rPr>
          <t>Guidance of approx. $35 (net interest expense)</t>
        </r>
      </text>
    </comment>
    <comment ref="CH39" authorId="5">
      <text>
        <r>
          <rPr>
            <sz val="9"/>
            <color indexed="81"/>
            <rFont val="Tahoma"/>
            <family val="2"/>
          </rPr>
          <t>Guidance of approx. $35 (net interest expense)</t>
        </r>
      </text>
    </comment>
    <comment ref="CI39" authorId="11">
      <text>
        <r>
          <rPr>
            <b/>
            <sz val="9"/>
            <color indexed="81"/>
            <rFont val="Tahoma"/>
            <family val="2"/>
          </rPr>
          <t xml:space="preserve">Guidance:
</t>
        </r>
        <r>
          <rPr>
            <sz val="9"/>
            <color indexed="81"/>
            <rFont val="Tahoma"/>
            <family val="2"/>
          </rPr>
          <t xml:space="preserve">3Q15: $35m, net of interest income
</t>
        </r>
      </text>
    </comment>
    <comment ref="CJ39" authorId="13">
      <text>
        <r>
          <rPr>
            <b/>
            <sz val="8"/>
            <color indexed="81"/>
            <rFont val="Tahoma"/>
            <family val="2"/>
          </rPr>
          <t xml:space="preserve">Guidance:
</t>
        </r>
        <r>
          <rPr>
            <sz val="8"/>
            <color indexed="81"/>
            <rFont val="Tahoma"/>
            <family val="2"/>
          </rPr>
          <t xml:space="preserve">3Q15: $137m, net of interest income
2Q15: 165 ($135m, net of interest income)
1Q15: 175 ($140m, net of interest income)
4Q14: $170m ($135m, net of interest income)
</t>
        </r>
      </text>
    </comment>
    <comment ref="CK39" authorId="2">
      <text>
        <r>
          <rPr>
            <b/>
            <sz val="9"/>
            <color indexed="81"/>
            <rFont val="Tahoma"/>
            <family val="2"/>
          </rPr>
          <t>Savino, Mark (Research):</t>
        </r>
        <r>
          <rPr>
            <sz val="9"/>
            <color indexed="81"/>
            <rFont val="Tahoma"/>
            <family val="2"/>
          </rPr>
          <t xml:space="preserve">
Guidance: $35m, net of interest income</t>
        </r>
      </text>
    </comment>
    <comment ref="CL39" authorId="2">
      <text>
        <r>
          <rPr>
            <b/>
            <sz val="9"/>
            <color indexed="81"/>
            <rFont val="Tahoma"/>
            <family val="2"/>
          </rPr>
          <t>Savino, Mark (Research):</t>
        </r>
        <r>
          <rPr>
            <sz val="9"/>
            <color indexed="81"/>
            <rFont val="Tahoma"/>
            <family val="2"/>
          </rPr>
          <t xml:space="preserve">
Guidance: $40m net of interest income</t>
        </r>
      </text>
    </comment>
    <comment ref="CN39" authorId="1">
      <text>
        <r>
          <rPr>
            <b/>
            <sz val="9"/>
            <color indexed="81"/>
            <rFont val="Tahoma"/>
            <family val="2"/>
          </rPr>
          <t>Allen, Thomas (Research):</t>
        </r>
        <r>
          <rPr>
            <sz val="9"/>
            <color indexed="81"/>
            <rFont val="Tahoma"/>
            <family val="2"/>
          </rPr>
          <t xml:space="preserve">
Net $65m</t>
        </r>
      </text>
    </comment>
    <comment ref="CO39" authorId="2">
      <text>
        <r>
          <rPr>
            <b/>
            <sz val="9"/>
            <color indexed="81"/>
            <rFont val="Tahoma"/>
            <family val="2"/>
          </rPr>
          <t>Savino, Mark (Research):</t>
        </r>
        <r>
          <rPr>
            <sz val="9"/>
            <color indexed="81"/>
            <rFont val="Tahoma"/>
            <family val="2"/>
          </rPr>
          <t xml:space="preserve">
4Q15: $160m, net of interest income</t>
        </r>
      </text>
    </comment>
    <comment ref="CP39" authorId="2">
      <text>
        <r>
          <rPr>
            <b/>
            <sz val="9"/>
            <color indexed="81"/>
            <rFont val="Tahoma"/>
            <family val="2"/>
          </rPr>
          <t>Savino, Mark (Research):</t>
        </r>
        <r>
          <rPr>
            <sz val="9"/>
            <color indexed="81"/>
            <rFont val="Tahoma"/>
            <family val="2"/>
          </rPr>
          <t xml:space="preserve">
4Q16: Net, $65m</t>
        </r>
      </text>
    </comment>
    <comment ref="CQ39" authorId="2">
      <text>
        <r>
          <rPr>
            <b/>
            <sz val="9"/>
            <color indexed="81"/>
            <rFont val="Tahoma"/>
            <family val="2"/>
          </rPr>
          <t>Savino, Mark (Research):</t>
        </r>
        <r>
          <rPr>
            <sz val="9"/>
            <color indexed="81"/>
            <rFont val="Tahoma"/>
            <family val="2"/>
          </rPr>
          <t xml:space="preserve">
1Q17: Net, $65m</t>
        </r>
      </text>
    </comment>
    <comment ref="CR39" authorId="2">
      <text>
        <r>
          <rPr>
            <b/>
            <sz val="9"/>
            <color indexed="81"/>
            <rFont val="Tahoma"/>
            <family val="2"/>
          </rPr>
          <t>Savino, Mark (Research):</t>
        </r>
        <r>
          <rPr>
            <sz val="9"/>
            <color indexed="81"/>
            <rFont val="Tahoma"/>
            <family val="2"/>
          </rPr>
          <t xml:space="preserve">
2Q17: Net $60m</t>
        </r>
      </text>
    </comment>
    <comment ref="CS39" authorId="2">
      <text>
        <r>
          <rPr>
            <b/>
            <sz val="9"/>
            <color indexed="81"/>
            <rFont val="Tahoma"/>
            <family val="2"/>
          </rPr>
          <t>Savino, Mark (Research):</t>
        </r>
        <r>
          <rPr>
            <sz val="9"/>
            <color indexed="81"/>
            <rFont val="Tahoma"/>
            <family val="2"/>
          </rPr>
          <t xml:space="preserve">
3Q17: Net $65m
2Q17: Net $67m</t>
        </r>
      </text>
    </comment>
    <comment ref="CT39" authorId="2">
      <text>
        <r>
          <rPr>
            <b/>
            <sz val="9"/>
            <color indexed="81"/>
            <rFont val="Tahoma"/>
            <family val="2"/>
          </rPr>
          <t>Savino, Mark (Research):</t>
        </r>
        <r>
          <rPr>
            <sz val="9"/>
            <color indexed="81"/>
            <rFont val="Tahoma"/>
            <family val="2"/>
          </rPr>
          <t xml:space="preserve">
3Q17: Net, $257m
2Q17: Net, $255m
1Q17: Net, $255m
4Q16: Net, $260m</t>
        </r>
      </text>
    </comment>
    <comment ref="CY39" authorId="2">
      <text>
        <r>
          <rPr>
            <b/>
            <sz val="9"/>
            <color indexed="81"/>
            <rFont val="Tahoma"/>
            <family val="2"/>
          </rPr>
          <t>Savino, Mark (Research):</t>
        </r>
        <r>
          <rPr>
            <sz val="9"/>
            <color indexed="81"/>
            <rFont val="Tahoma"/>
            <family val="2"/>
          </rPr>
          <t xml:space="preserve">
4Q17: $305m, net of income</t>
        </r>
      </text>
    </comment>
    <comment ref="CZ39" authorId="6">
      <text>
        <r>
          <rPr>
            <b/>
            <sz val="9"/>
            <color indexed="81"/>
            <rFont val="Tahoma"/>
            <family val="2"/>
          </rPr>
          <t>Zheng, Chaodan (Research):</t>
        </r>
        <r>
          <rPr>
            <sz val="9"/>
            <color indexed="81"/>
            <rFont val="Tahoma"/>
            <family val="2"/>
          </rPr>
          <t xml:space="preserve">
3/21/17 Investor Day: $340-360m assuming 1-3% annual RevPAR growth in 2017 through 2019</t>
        </r>
      </text>
    </comment>
    <comment ref="V40" authorId="8">
      <text>
        <r>
          <rPr>
            <b/>
            <sz val="8"/>
            <color indexed="8"/>
            <rFont val="Tahoma"/>
            <family val="2"/>
          </rPr>
          <t>melletc:</t>
        </r>
        <r>
          <rPr>
            <sz val="8"/>
            <color indexed="8"/>
            <rFont val="Tahoma"/>
            <family val="2"/>
          </rPr>
          <t xml:space="preserve">
Includes amounts received that were previously deemed uncollectible</t>
        </r>
      </text>
    </comment>
    <comment ref="AD40" authorId="14">
      <text>
        <r>
          <rPr>
            <b/>
            <sz val="10"/>
            <color indexed="8"/>
            <rFont val="Tahoma"/>
            <family val="2"/>
          </rPr>
          <t>Celeste Mellet Brown:</t>
        </r>
        <r>
          <rPr>
            <sz val="10"/>
            <color indexed="8"/>
            <rFont val="Tahoma"/>
            <family val="2"/>
          </rPr>
          <t xml:space="preserve">
JV income from CY JV moved into interest income in the quarter</t>
        </r>
      </text>
    </comment>
    <comment ref="AE40" authorId="14">
      <text>
        <r>
          <rPr>
            <b/>
            <sz val="10"/>
            <color indexed="8"/>
            <rFont val="Tahoma"/>
            <family val="2"/>
          </rPr>
          <t>Celeste Mellet Brown:</t>
        </r>
        <r>
          <rPr>
            <sz val="10"/>
            <color indexed="8"/>
            <rFont val="Tahoma"/>
            <family val="2"/>
          </rPr>
          <t xml:space="preserve">
income from cendant JV in this quarter as well</t>
        </r>
      </text>
    </comment>
    <comment ref="CO40" authorId="2">
      <text>
        <r>
          <rPr>
            <b/>
            <sz val="9"/>
            <color indexed="81"/>
            <rFont val="Tahoma"/>
            <family val="2"/>
          </rPr>
          <t>Savino, Mark (Research):</t>
        </r>
        <r>
          <rPr>
            <sz val="9"/>
            <color indexed="81"/>
            <rFont val="Tahoma"/>
            <family val="2"/>
          </rPr>
          <t xml:space="preserve">
2Q16: $40m</t>
        </r>
      </text>
    </comment>
    <comment ref="CY40" authorId="1">
      <text>
        <r>
          <rPr>
            <b/>
            <sz val="9"/>
            <color indexed="81"/>
            <rFont val="Tahoma"/>
            <family val="2"/>
          </rPr>
          <t>Allen, Thomas (Research):</t>
        </r>
        <r>
          <rPr>
            <sz val="9"/>
            <color indexed="81"/>
            <rFont val="Tahoma"/>
            <family val="2"/>
          </rPr>
          <t xml:space="preserve">
Incl. in interest expense guidance</t>
        </r>
      </text>
    </comment>
    <comment ref="CZ40" authorId="6">
      <text>
        <r>
          <rPr>
            <b/>
            <sz val="9"/>
            <color indexed="81"/>
            <rFont val="Tahoma"/>
            <family val="2"/>
          </rPr>
          <t>Zheng, Chaodan (Research):</t>
        </r>
        <r>
          <rPr>
            <sz val="9"/>
            <color indexed="81"/>
            <rFont val="Tahoma"/>
            <family val="2"/>
          </rPr>
          <t xml:space="preserve">
3/21/17 Investor Day: $45m</t>
        </r>
      </text>
    </comment>
    <comment ref="AJ41" authorId="16">
      <text>
        <r>
          <rPr>
            <b/>
            <sz val="8"/>
            <color indexed="8"/>
            <rFont val="Tahoma"/>
            <family val="2"/>
          </rPr>
          <t>Celeste Brown:</t>
        </r>
        <r>
          <rPr>
            <sz val="8"/>
            <color indexed="8"/>
            <rFont val="Tahoma"/>
            <family val="2"/>
          </rPr>
          <t xml:space="preserve">
non-cash charge associated with impairment of a leveraged leased receivable from Delta</t>
        </r>
      </text>
    </comment>
    <comment ref="AN41" authorId="16">
      <text>
        <r>
          <rPr>
            <b/>
            <sz val="8"/>
            <color indexed="8"/>
            <rFont val="Tahoma"/>
            <family val="2"/>
          </rPr>
          <t>Celeste Brown:</t>
        </r>
        <r>
          <rPr>
            <sz val="8"/>
            <color indexed="8"/>
            <rFont val="Tahoma"/>
            <family val="2"/>
          </rPr>
          <t xml:space="preserve">
Adj for syn fuel</t>
        </r>
      </text>
    </comment>
    <comment ref="AO41" authorId="16">
      <text>
        <r>
          <rPr>
            <b/>
            <sz val="8"/>
            <color indexed="8"/>
            <rFont val="Tahoma"/>
            <family val="2"/>
          </rPr>
          <t>Celeste Brown:</t>
        </r>
        <r>
          <rPr>
            <sz val="8"/>
            <color indexed="8"/>
            <rFont val="Tahoma"/>
            <family val="2"/>
          </rPr>
          <t xml:space="preserve">
Adj for syn fuel</t>
        </r>
      </text>
    </comment>
    <comment ref="AP41" authorId="16">
      <text>
        <r>
          <rPr>
            <b/>
            <sz val="8"/>
            <color indexed="8"/>
            <rFont val="Tahoma"/>
            <family val="2"/>
          </rPr>
          <t>Celeste Brown:</t>
        </r>
        <r>
          <rPr>
            <sz val="8"/>
            <color indexed="8"/>
            <rFont val="Tahoma"/>
            <family val="2"/>
          </rPr>
          <t xml:space="preserve">
Adj for syn fuel</t>
        </r>
      </text>
    </comment>
    <comment ref="AR41" authorId="16">
      <text>
        <r>
          <rPr>
            <b/>
            <sz val="8"/>
            <color indexed="8"/>
            <rFont val="Tahoma"/>
            <family val="2"/>
          </rPr>
          <t>Celeste Brown:</t>
        </r>
        <r>
          <rPr>
            <sz val="8"/>
            <color indexed="8"/>
            <rFont val="Tahoma"/>
            <family val="2"/>
          </rPr>
          <t xml:space="preserve">
Adj for syn fuel</t>
        </r>
      </text>
    </comment>
    <comment ref="AS41" authorId="16">
      <text>
        <r>
          <rPr>
            <b/>
            <sz val="8"/>
            <color indexed="8"/>
            <rFont val="Tahoma"/>
            <family val="2"/>
          </rPr>
          <t>Celeste Brown:</t>
        </r>
        <r>
          <rPr>
            <sz val="8"/>
            <color indexed="8"/>
            <rFont val="Tahoma"/>
            <family val="2"/>
          </rPr>
          <t xml:space="preserve">
Adj for syn fuel</t>
        </r>
      </text>
    </comment>
    <comment ref="AJ42" authorId="16">
      <text>
        <r>
          <rPr>
            <b/>
            <sz val="8"/>
            <color indexed="8"/>
            <rFont val="Tahoma"/>
            <family val="2"/>
          </rPr>
          <t>Celeste Brown:</t>
        </r>
        <r>
          <rPr>
            <sz val="8"/>
            <color indexed="8"/>
            <rFont val="Tahoma"/>
            <family val="2"/>
          </rPr>
          <t xml:space="preserve">
Includes $15mm from share of gains on JVs sold</t>
        </r>
      </text>
    </comment>
    <comment ref="AW42" authorId="19">
      <text>
        <r>
          <rPr>
            <b/>
            <sz val="8"/>
            <color indexed="8"/>
            <rFont val="Tahoma"/>
            <family val="2"/>
          </rPr>
          <t>Ryan Meliker:</t>
        </r>
        <r>
          <rPr>
            <sz val="8"/>
            <color indexed="8"/>
            <rFont val="Tahoma"/>
            <family val="2"/>
          </rPr>
          <t xml:space="preserve">
GUIDANCE OF $20 IN Q108 AND 55 FOR 2008</t>
        </r>
      </text>
    </comment>
    <comment ref="AX42" authorId="19">
      <text>
        <r>
          <rPr>
            <b/>
            <sz val="8"/>
            <color indexed="8"/>
            <rFont val="Tahoma"/>
            <family val="2"/>
          </rPr>
          <t>Ryan Meliker:</t>
        </r>
        <r>
          <rPr>
            <sz val="8"/>
            <color indexed="8"/>
            <rFont val="Tahoma"/>
            <family val="2"/>
          </rPr>
          <t xml:space="preserve">
GUIDANCE OF $20 IN Q108 AND 55 FOR 2008</t>
        </r>
      </text>
    </comment>
    <comment ref="AY42" authorId="19">
      <text>
        <r>
          <rPr>
            <b/>
            <sz val="8"/>
            <color indexed="8"/>
            <rFont val="Tahoma"/>
            <family val="2"/>
          </rPr>
          <t>Ryan Meliker:</t>
        </r>
        <r>
          <rPr>
            <sz val="8"/>
            <color indexed="8"/>
            <rFont val="Tahoma"/>
            <family val="2"/>
          </rPr>
          <t xml:space="preserve">
GUIDANCE OF $0-5 in 3q</t>
        </r>
      </text>
    </comment>
    <comment ref="AZ42" authorId="19">
      <text>
        <r>
          <rPr>
            <b/>
            <sz val="8"/>
            <color indexed="8"/>
            <rFont val="Tahoma"/>
            <family val="2"/>
          </rPr>
          <t>Ryan Meliker:</t>
        </r>
        <r>
          <rPr>
            <sz val="8"/>
            <color indexed="8"/>
            <rFont val="Tahoma"/>
            <family val="2"/>
          </rPr>
          <t xml:space="preserve">
GUIDANCE OF $20 IN Q108 AND 55 FOR 2008</t>
        </r>
      </text>
    </comment>
    <comment ref="BH42" authorId="17">
      <text>
        <r>
          <rPr>
            <b/>
            <sz val="8"/>
            <color indexed="8"/>
            <rFont val="Tahoma"/>
            <family val="2"/>
          </rPr>
          <t>ryanmel:</t>
        </r>
        <r>
          <rPr>
            <sz val="8"/>
            <color indexed="8"/>
            <rFont val="Tahoma"/>
            <family val="2"/>
          </rPr>
          <t xml:space="preserve">
.2 is an adjustment for rounding error in EPS</t>
        </r>
      </text>
    </comment>
    <comment ref="BJ42" authorId="17">
      <text>
        <r>
          <rPr>
            <b/>
            <sz val="8"/>
            <color indexed="8"/>
            <rFont val="Tahoma"/>
            <family val="2"/>
          </rPr>
          <t>ryanmel:</t>
        </r>
        <r>
          <rPr>
            <sz val="8"/>
            <color indexed="8"/>
            <rFont val="Tahoma"/>
            <family val="2"/>
          </rPr>
          <t xml:space="preserve">
guidance of -10 in 4q10</t>
        </r>
      </text>
    </comment>
    <comment ref="BO42" authorId="9">
      <text>
        <r>
          <rPr>
            <b/>
            <sz val="8"/>
            <color indexed="81"/>
            <rFont val="Tahoma"/>
            <family val="2"/>
          </rPr>
          <t xml:space="preserve">10/10/11 DJF:
Guidance: </t>
        </r>
        <r>
          <rPr>
            <sz val="8"/>
            <color indexed="81"/>
            <rFont val="Tahoma"/>
            <family val="2"/>
          </rPr>
          <t xml:space="preserve">Approx ($5)
</t>
        </r>
      </text>
    </comment>
    <comment ref="BP42" authorId="9">
      <text>
        <r>
          <rPr>
            <b/>
            <sz val="8"/>
            <color indexed="81"/>
            <rFont val="Tahoma"/>
            <family val="2"/>
          </rPr>
          <t xml:space="preserve">10/10/11 DJF:
Guidance: </t>
        </r>
        <r>
          <rPr>
            <sz val="8"/>
            <color indexed="81"/>
            <rFont val="Tahoma"/>
            <family val="2"/>
          </rPr>
          <t xml:space="preserve">Approx ($11)
</t>
        </r>
      </text>
    </comment>
    <comment ref="BQ42" authorId="18">
      <text>
        <r>
          <rPr>
            <b/>
            <sz val="8"/>
            <color indexed="81"/>
            <rFont val="Tahoma"/>
            <family val="2"/>
          </rPr>
          <t>DJF 2/15/12:</t>
        </r>
        <r>
          <rPr>
            <sz val="8"/>
            <color indexed="81"/>
            <rFont val="Tahoma"/>
            <family val="2"/>
          </rPr>
          <t xml:space="preserve">
Guidance: ($5)M</t>
        </r>
      </text>
    </comment>
    <comment ref="BT42" authorId="7">
      <text>
        <r>
          <rPr>
            <b/>
            <sz val="8"/>
            <color indexed="81"/>
            <rFont val="Tahoma"/>
            <family val="2"/>
          </rPr>
          <t>thallen:</t>
        </r>
        <r>
          <rPr>
            <sz val="8"/>
            <color indexed="81"/>
            <rFont val="Tahoma"/>
            <family val="2"/>
          </rPr>
          <t xml:space="preserve">
Lower y/y b/c sale of Courtyard JV in 3Q12</t>
        </r>
      </text>
    </comment>
    <comment ref="BU42" authorId="18">
      <text>
        <r>
          <rPr>
            <b/>
            <sz val="8"/>
            <color indexed="81"/>
            <rFont val="Tahoma"/>
            <family val="2"/>
          </rPr>
          <t>DJF 2/15/12:</t>
        </r>
        <r>
          <rPr>
            <sz val="8"/>
            <color indexed="81"/>
            <rFont val="Tahoma"/>
            <family val="2"/>
          </rPr>
          <t xml:space="preserve">
FY12 Guidance: ($5)M</t>
        </r>
      </text>
    </comment>
    <comment ref="BV42" authorId="7">
      <text>
        <r>
          <rPr>
            <b/>
            <sz val="8"/>
            <color indexed="81"/>
            <rFont val="Tahoma"/>
            <family val="2"/>
          </rPr>
          <t>thallen:</t>
        </r>
        <r>
          <rPr>
            <sz val="8"/>
            <color indexed="81"/>
            <rFont val="Tahoma"/>
            <family val="2"/>
          </rPr>
          <t xml:space="preserve">
Guidance: $0</t>
        </r>
      </text>
    </comment>
    <comment ref="BW42" authorId="12">
      <text>
        <r>
          <rPr>
            <b/>
            <sz val="8"/>
            <color indexed="81"/>
            <rFont val="Tahoma"/>
            <family val="2"/>
          </rPr>
          <t>jills:</t>
        </r>
        <r>
          <rPr>
            <sz val="8"/>
            <color indexed="81"/>
            <rFont val="Tahoma"/>
            <family val="2"/>
          </rPr>
          <t xml:space="preserve">
guidance $3mm</t>
        </r>
      </text>
    </comment>
    <comment ref="BX42" authorId="12">
      <text>
        <r>
          <rPr>
            <b/>
            <sz val="8"/>
            <color indexed="81"/>
            <rFont val="Tahoma"/>
            <family val="2"/>
          </rPr>
          <t>jills:</t>
        </r>
        <r>
          <rPr>
            <sz val="8"/>
            <color indexed="81"/>
            <rFont val="Tahoma"/>
            <family val="2"/>
          </rPr>
          <t xml:space="preserve">
guidance: $0mm</t>
        </r>
      </text>
    </comment>
    <comment ref="BY42" authorId="12">
      <text>
        <r>
          <rPr>
            <b/>
            <sz val="8"/>
            <color indexed="81"/>
            <rFont val="Tahoma"/>
            <family val="2"/>
          </rPr>
          <t>jills:</t>
        </r>
        <r>
          <rPr>
            <sz val="8"/>
            <color indexed="81"/>
            <rFont val="Tahoma"/>
            <family val="2"/>
          </rPr>
          <t xml:space="preserve">
guidance $0</t>
        </r>
      </text>
    </comment>
    <comment ref="BZ42" authorId="7">
      <text>
        <r>
          <rPr>
            <b/>
            <sz val="8"/>
            <color indexed="81"/>
            <rFont val="Tahoma"/>
            <family val="2"/>
          </rPr>
          <t>thallen:</t>
        </r>
        <r>
          <rPr>
            <sz val="8"/>
            <color indexed="81"/>
            <rFont val="Tahoma"/>
            <family val="2"/>
          </rPr>
          <t xml:space="preserve">
Guidance: $0
Guidance: ($5mm) per 2Q12 earnings
Guidance: ($2m) per 3Q13 earnings</t>
        </r>
      </text>
    </comment>
    <comment ref="CB42" authorId="5">
      <text>
        <r>
          <rPr>
            <sz val="9"/>
            <color indexed="81"/>
            <rFont val="Tahoma"/>
            <family val="2"/>
          </rPr>
          <t>Largely due to $11 million litigation reserve</t>
        </r>
      </text>
    </comment>
    <comment ref="CC42" authorId="5">
      <text>
        <r>
          <rPr>
            <sz val="9"/>
            <color indexed="81"/>
            <rFont val="Tahoma"/>
            <family val="2"/>
          </rPr>
          <t>Guidance $0 million</t>
        </r>
      </text>
    </comment>
    <comment ref="CD42" authorId="5">
      <text>
        <r>
          <rPr>
            <sz val="9"/>
            <color indexed="81"/>
            <rFont val="Tahoma"/>
            <family val="2"/>
          </rPr>
          <t>Guidance ($2) million</t>
        </r>
      </text>
    </comment>
    <comment ref="CE42" authorId="5">
      <text>
        <r>
          <rPr>
            <sz val="9"/>
            <color indexed="81"/>
            <rFont val="Tahoma"/>
            <family val="2"/>
          </rPr>
          <t>Guidance: 
3Q14: $4 million
2Q14: -$10 million</t>
        </r>
      </text>
    </comment>
    <comment ref="CG42" authorId="5">
      <text>
        <r>
          <rPr>
            <sz val="9"/>
            <color indexed="81"/>
            <rFont val="Tahoma"/>
            <family val="2"/>
          </rPr>
          <t>Guidance $5million</t>
        </r>
      </text>
    </comment>
    <comment ref="CI42" authorId="11">
      <text>
        <r>
          <rPr>
            <b/>
            <sz val="9"/>
            <color indexed="81"/>
            <rFont val="Tahoma"/>
            <family val="2"/>
          </rPr>
          <t xml:space="preserve">Guidance:
</t>
        </r>
        <r>
          <rPr>
            <sz val="9"/>
            <color indexed="81"/>
            <rFont val="Tahoma"/>
            <family val="2"/>
          </rPr>
          <t>3Q15: $0m</t>
        </r>
      </text>
    </comment>
    <comment ref="CJ42" authorId="13">
      <text>
        <r>
          <rPr>
            <b/>
            <sz val="8"/>
            <color indexed="81"/>
            <rFont val="Tahoma"/>
            <family val="2"/>
          </rPr>
          <t>Guidance:</t>
        </r>
        <r>
          <rPr>
            <sz val="8"/>
            <color indexed="81"/>
            <rFont val="Tahoma"/>
            <family val="2"/>
          </rPr>
          <t xml:space="preserve"> 
3Q15: $13m
2Q15: $5m 
1Q15: $10m 
4Q14: $5m 
</t>
        </r>
      </text>
    </comment>
    <comment ref="CK42" authorId="2">
      <text>
        <r>
          <rPr>
            <b/>
            <sz val="9"/>
            <color indexed="81"/>
            <rFont val="Tahoma"/>
            <family val="2"/>
          </rPr>
          <t>Savino, Mark (Research):</t>
        </r>
        <r>
          <rPr>
            <sz val="9"/>
            <color indexed="81"/>
            <rFont val="Tahoma"/>
            <family val="2"/>
          </rPr>
          <t xml:space="preserve">
Guidance $0m</t>
        </r>
      </text>
    </comment>
    <comment ref="CL42" authorId="2">
      <text>
        <r>
          <rPr>
            <b/>
            <sz val="9"/>
            <color indexed="81"/>
            <rFont val="Tahoma"/>
            <family val="2"/>
          </rPr>
          <t>Savino, Mark (Research):</t>
        </r>
        <r>
          <rPr>
            <sz val="9"/>
            <color indexed="81"/>
            <rFont val="Tahoma"/>
            <family val="2"/>
          </rPr>
          <t xml:space="preserve">
Guidance $0</t>
        </r>
      </text>
    </comment>
    <comment ref="CM42" authorId="2">
      <text>
        <r>
          <rPr>
            <b/>
            <sz val="9"/>
            <color indexed="81"/>
            <rFont val="Tahoma"/>
            <family val="2"/>
          </rPr>
          <t>Savino, Mark (Research):</t>
        </r>
        <r>
          <rPr>
            <sz val="9"/>
            <color indexed="81"/>
            <rFont val="Tahoma"/>
            <family val="2"/>
          </rPr>
          <t xml:space="preserve">
Guidance: $5m</t>
        </r>
      </text>
    </comment>
    <comment ref="CN42" authorId="2">
      <text>
        <r>
          <rPr>
            <b/>
            <sz val="9"/>
            <color indexed="81"/>
            <rFont val="Tahoma"/>
            <family val="2"/>
          </rPr>
          <t>Savino, Mark (Research):</t>
        </r>
        <r>
          <rPr>
            <sz val="9"/>
            <color indexed="81"/>
            <rFont val="Tahoma"/>
            <family val="2"/>
          </rPr>
          <t xml:space="preserve">
3Q16: $5m
2Q16: $0m</t>
        </r>
      </text>
    </comment>
    <comment ref="CO42" authorId="2">
      <text>
        <r>
          <rPr>
            <b/>
            <sz val="9"/>
            <color indexed="81"/>
            <rFont val="Tahoma"/>
            <family val="2"/>
          </rPr>
          <t>Savino, Mark (Research):</t>
        </r>
        <r>
          <rPr>
            <sz val="9"/>
            <color indexed="81"/>
            <rFont val="Tahoma"/>
            <family val="2"/>
          </rPr>
          <t xml:space="preserve">
2Q16: $10m
1Q16: $10m
4Q15: $10m</t>
        </r>
      </text>
    </comment>
    <comment ref="CP42" authorId="2">
      <text>
        <r>
          <rPr>
            <b/>
            <sz val="9"/>
            <color indexed="81"/>
            <rFont val="Tahoma"/>
            <family val="2"/>
          </rPr>
          <t>Savino, Mark (Research):</t>
        </r>
        <r>
          <rPr>
            <sz val="9"/>
            <color indexed="81"/>
            <rFont val="Tahoma"/>
            <family val="2"/>
          </rPr>
          <t xml:space="preserve">
4Q16: $10m</t>
        </r>
      </text>
    </comment>
    <comment ref="CQ42" authorId="2">
      <text>
        <r>
          <rPr>
            <b/>
            <sz val="9"/>
            <color indexed="81"/>
            <rFont val="Tahoma"/>
            <family val="2"/>
          </rPr>
          <t>Savino, Mark (Research):</t>
        </r>
        <r>
          <rPr>
            <sz val="9"/>
            <color indexed="81"/>
            <rFont val="Tahoma"/>
            <family val="2"/>
          </rPr>
          <t xml:space="preserve">
1Q17: $10m</t>
        </r>
      </text>
    </comment>
    <comment ref="CR42" authorId="2">
      <text>
        <r>
          <rPr>
            <b/>
            <sz val="9"/>
            <color indexed="81"/>
            <rFont val="Tahoma"/>
            <family val="2"/>
          </rPr>
          <t>Savino, Mark (Research):</t>
        </r>
        <r>
          <rPr>
            <sz val="9"/>
            <color indexed="81"/>
            <rFont val="Tahoma"/>
            <family val="2"/>
          </rPr>
          <t xml:space="preserve">
2Q17: $5m</t>
        </r>
      </text>
    </comment>
    <comment ref="CS42" authorId="2">
      <text>
        <r>
          <rPr>
            <b/>
            <sz val="9"/>
            <color indexed="81"/>
            <rFont val="Tahoma"/>
            <family val="2"/>
          </rPr>
          <t>Savino, Mark (Research):</t>
        </r>
        <r>
          <rPr>
            <sz val="9"/>
            <color indexed="81"/>
            <rFont val="Tahoma"/>
            <family val="2"/>
          </rPr>
          <t xml:space="preserve">
3Q17: $5m
2Q17: $7m</t>
        </r>
      </text>
    </comment>
    <comment ref="CT42" authorId="2">
      <text>
        <r>
          <rPr>
            <b/>
            <sz val="9"/>
            <color indexed="81"/>
            <rFont val="Tahoma"/>
            <family val="2"/>
          </rPr>
          <t>Savino, Mark (Research):</t>
        </r>
        <r>
          <rPr>
            <sz val="9"/>
            <color indexed="81"/>
            <rFont val="Tahoma"/>
            <family val="2"/>
          </rPr>
          <t xml:space="preserve">
3Q17: $34m
2Q17: $35m
1Q17: $35-40m
4Q16: $35-40m</t>
        </r>
      </text>
    </comment>
    <comment ref="CY42" authorId="2">
      <text>
        <r>
          <rPr>
            <b/>
            <sz val="9"/>
            <color indexed="81"/>
            <rFont val="Tahoma"/>
            <family val="2"/>
          </rPr>
          <t>Savino, Mark (Research):</t>
        </r>
        <r>
          <rPr>
            <sz val="9"/>
            <color indexed="81"/>
            <rFont val="Tahoma"/>
            <family val="2"/>
          </rPr>
          <t xml:space="preserve">
4Q17: $40m</t>
        </r>
      </text>
    </comment>
    <comment ref="CZ42" authorId="6">
      <text>
        <r>
          <rPr>
            <b/>
            <sz val="9"/>
            <color indexed="81"/>
            <rFont val="Tahoma"/>
            <family val="2"/>
          </rPr>
          <t>Zheng, Chaodan (Research):</t>
        </r>
        <r>
          <rPr>
            <sz val="9"/>
            <color indexed="81"/>
            <rFont val="Tahoma"/>
            <family val="2"/>
          </rPr>
          <t xml:space="preserve">
3/21/17 Investor Day: $45m (but we assume lower RevPAR)</t>
        </r>
      </text>
    </comment>
    <comment ref="Q46" authorId="20">
      <text>
        <r>
          <rPr>
            <b/>
            <sz val="8"/>
            <color indexed="8"/>
            <rFont val="Tahoma"/>
            <family val="2"/>
          </rPr>
          <t>melletc:</t>
        </r>
        <r>
          <rPr>
            <u/>
            <sz val="8"/>
            <color indexed="8"/>
            <rFont val="Tahoma"/>
            <family val="2"/>
          </rPr>
          <t xml:space="preserve">
-$60mm</t>
        </r>
        <r>
          <rPr>
            <sz val="8"/>
            <color indexed="8"/>
            <rFont val="Tahoma"/>
            <family val="2"/>
          </rPr>
          <t xml:space="preserve">  Charges
-</t>
        </r>
        <r>
          <rPr>
            <u/>
            <sz val="8"/>
            <color indexed="8"/>
            <rFont val="Tahoma"/>
            <family val="2"/>
          </rPr>
          <t>$64mm</t>
        </r>
        <r>
          <rPr>
            <sz val="8"/>
            <color indexed="8"/>
            <rFont val="Tahoma"/>
            <family val="2"/>
          </rPr>
          <t xml:space="preserve"> reclass. Of         Village Oaks as "Held for Sale
-</t>
        </r>
        <r>
          <rPr>
            <u/>
            <sz val="8"/>
            <color indexed="8"/>
            <rFont val="Tahoma"/>
            <family val="2"/>
          </rPr>
          <t xml:space="preserve">$42mm </t>
        </r>
        <r>
          <rPr>
            <sz val="8"/>
            <color indexed="8"/>
            <rFont val="Tahoma"/>
            <family val="2"/>
          </rPr>
          <t xml:space="preserve">  Restruct. Related to down sizing
-</t>
        </r>
        <r>
          <rPr>
            <u/>
            <sz val="8"/>
            <color indexed="8"/>
            <rFont val="Tahoma"/>
            <family val="2"/>
          </rPr>
          <t>$43mm</t>
        </r>
        <r>
          <rPr>
            <sz val="8"/>
            <color indexed="8"/>
            <rFont val="Tahoma"/>
            <family val="2"/>
          </rPr>
          <t xml:space="preserve"> writeoffs relating to loan guarantees
-</t>
        </r>
        <r>
          <rPr>
            <u/>
            <sz val="8"/>
            <color indexed="8"/>
            <rFont val="Tahoma"/>
            <family val="2"/>
          </rPr>
          <t>$17mm</t>
        </r>
        <r>
          <rPr>
            <sz val="8"/>
            <color indexed="8"/>
            <rFont val="Tahoma"/>
            <family val="2"/>
          </rPr>
          <t xml:space="preserve"> Accts. Rec. deemed uncollectible
-</t>
        </r>
        <r>
          <rPr>
            <u/>
            <sz val="8"/>
            <color indexed="8"/>
            <rFont val="Tahoma"/>
            <family val="2"/>
          </rPr>
          <t>$32mm</t>
        </r>
        <r>
          <rPr>
            <sz val="8"/>
            <color indexed="8"/>
            <rFont val="Tahoma"/>
            <family val="2"/>
          </rPr>
          <t xml:space="preserve"> Impairment of technology investment and other investments
-</t>
        </r>
        <r>
          <rPr>
            <u/>
            <sz val="8"/>
            <color indexed="8"/>
            <rFont val="Tahoma"/>
            <family val="2"/>
          </rPr>
          <t>$13mm</t>
        </r>
        <r>
          <rPr>
            <sz val="8"/>
            <color indexed="8"/>
            <rFont val="Tahoma"/>
            <family val="2"/>
          </rPr>
          <t xml:space="preserve"> Write-downs on properties held for sale
-</t>
        </r>
        <r>
          <rPr>
            <b/>
            <u/>
            <sz val="8"/>
            <color indexed="8"/>
            <rFont val="Tahoma"/>
            <family val="2"/>
          </rPr>
          <t>$271 mm</t>
        </r>
        <r>
          <rPr>
            <b/>
            <sz val="8"/>
            <color indexed="8"/>
            <rFont val="Tahoma"/>
            <family val="2"/>
          </rPr>
          <t xml:space="preserve"> </t>
        </r>
        <r>
          <rPr>
            <sz val="8"/>
            <color indexed="8"/>
            <rFont val="Tahoma"/>
            <family val="2"/>
          </rPr>
          <t xml:space="preserve">TOTAL
+$45mm taxes on restruct. charges
+$54mm taxes on "other" charges
</t>
        </r>
        <r>
          <rPr>
            <b/>
            <sz val="8"/>
            <color indexed="8"/>
            <rFont val="Tahoma"/>
            <family val="2"/>
          </rPr>
          <t>= $172mm AFTER TAX</t>
        </r>
      </text>
    </comment>
    <comment ref="R46" authorId="21">
      <text>
        <r>
          <rPr>
            <b/>
            <sz val="8"/>
            <color indexed="8"/>
            <rFont val="Tahoma"/>
            <family val="2"/>
          </rPr>
          <t>Chris Metli:</t>
        </r>
        <r>
          <rPr>
            <sz val="8"/>
            <color indexed="8"/>
            <rFont val="Tahoma"/>
            <family val="2"/>
          </rPr>
          <t xml:space="preserve">
Includes $48 million provision for loan losses</t>
        </r>
      </text>
    </comment>
    <comment ref="T46" authorId="8">
      <text>
        <r>
          <rPr>
            <b/>
            <sz val="8"/>
            <color indexed="8"/>
            <rFont val="Tahoma"/>
            <family val="2"/>
          </rPr>
          <t>melletc:</t>
        </r>
        <r>
          <rPr>
            <sz val="8"/>
            <color indexed="8"/>
            <rFont val="Tahoma"/>
            <family val="2"/>
          </rPr>
          <t xml:space="preserve">
$7 mm nonrecurring charges relating to a lawsuit pertaining to a hotel that left the system a few years ago
$5mm reserve no longer deemed necessary that was related to the sale of a land parcel</t>
        </r>
      </text>
    </comment>
    <comment ref="U46" authorId="8">
      <text>
        <r>
          <rPr>
            <b/>
            <sz val="8"/>
            <color indexed="8"/>
            <rFont val="Tahoma"/>
            <family val="2"/>
          </rPr>
          <t>melletc:</t>
        </r>
        <r>
          <rPr>
            <sz val="8"/>
            <color indexed="8"/>
            <rFont val="Tahoma"/>
            <family val="2"/>
          </rPr>
          <t xml:space="preserve">
$11m profit from the sale of village oaks
$3mm FX loss
$30mm Distribution Charge- Closing facilities, etc.
Chris Metli:
should all be included now that SLS and Distribution moved to discontinued ops.</t>
        </r>
      </text>
    </comment>
    <comment ref="V46" authorId="20">
      <text>
        <r>
          <rPr>
            <b/>
            <sz val="8"/>
            <color indexed="8"/>
            <rFont val="Tahoma"/>
            <family val="2"/>
          </rPr>
          <t>kirktash:</t>
        </r>
        <r>
          <rPr>
            <sz val="8"/>
            <color indexed="8"/>
            <rFont val="Tahoma"/>
            <family val="2"/>
          </rPr>
          <t xml:space="preserve">
</t>
        </r>
        <r>
          <rPr>
            <sz val="9"/>
            <color indexed="8"/>
            <rFont val="Tahoma"/>
            <family val="2"/>
          </rPr>
          <t>$6mm income from SLS
$131 loss on disposal, net of tax
$7mm loss for distribution services
$21mm in exit costs, net of tax
$44mm gain on sale of interval (pre-tax)
$50mm Execustay goodwill charge (pre-tax)
$12mm provision for loan losses
Chris Metli:
All but $44 Inteval and $12 loan loss are taken care of now that discontinued ops taken out.</t>
        </r>
      </text>
    </comment>
    <comment ref="X46" authorId="22">
      <text>
        <r>
          <rPr>
            <b/>
            <sz val="8"/>
            <color indexed="8"/>
            <rFont val="Tahoma"/>
            <family val="2"/>
          </rPr>
          <t>Kirk Tashjian:</t>
        </r>
        <r>
          <rPr>
            <sz val="9"/>
            <color indexed="8"/>
            <rFont val="Tahoma"/>
            <family val="2"/>
          </rPr>
          <t xml:space="preserve">
Discontinued ops net of tax.
$5 million provision for loan losses</t>
        </r>
      </text>
    </comment>
    <comment ref="Y46" authorId="21">
      <text>
        <r>
          <rPr>
            <b/>
            <sz val="8"/>
            <color indexed="8"/>
            <rFont val="Tahoma"/>
            <family val="2"/>
          </rPr>
          <t>Chris Metli:</t>
        </r>
        <r>
          <rPr>
            <sz val="8"/>
            <color indexed="8"/>
            <rFont val="Tahoma"/>
            <family val="2"/>
          </rPr>
          <t xml:space="preserve">
$1 million provision for loan loss
$1 million loss from SLS</t>
        </r>
      </text>
    </comment>
    <comment ref="Z46" authorId="21">
      <text>
        <r>
          <rPr>
            <b/>
            <sz val="8"/>
            <color indexed="8"/>
            <rFont val="Tahoma"/>
            <family val="2"/>
          </rPr>
          <t>Chris Metli:</t>
        </r>
        <r>
          <rPr>
            <sz val="9"/>
            <color indexed="8"/>
            <rFont val="Tahoma"/>
            <family val="2"/>
          </rPr>
          <t xml:space="preserve">
$1 million provision for loan loss
$1 million loss from Distribution</t>
        </r>
      </text>
    </comment>
    <comment ref="AA46" authorId="21">
      <text>
        <r>
          <rPr>
            <b/>
            <sz val="9"/>
            <color indexed="8"/>
            <rFont val="Tahoma"/>
            <family val="2"/>
          </rPr>
          <t>Chris Metli:</t>
        </r>
        <r>
          <rPr>
            <sz val="9"/>
            <color indexed="8"/>
            <rFont val="Tahoma"/>
            <family val="2"/>
          </rPr>
          <t xml:space="preserve">
$3 million loss from SLS
$2 million gain from Distribution</t>
        </r>
      </text>
    </comment>
    <comment ref="AE46" authorId="15">
      <text>
        <r>
          <rPr>
            <b/>
            <sz val="10"/>
            <color indexed="8"/>
            <rFont val="Tahoma"/>
            <family val="2"/>
          </rPr>
          <t xml:space="preserve">$1MM of </t>
        </r>
        <r>
          <rPr>
            <sz val="10"/>
            <color indexed="8"/>
            <rFont val="Tahoma"/>
            <family val="2"/>
          </rPr>
          <t>Income from Distribution services</t>
        </r>
      </text>
    </comment>
    <comment ref="AF46" authorId="15">
      <text>
        <r>
          <rPr>
            <b/>
            <sz val="10"/>
            <color indexed="8"/>
            <rFont val="Tahoma"/>
            <family val="2"/>
          </rPr>
          <t xml:space="preserve">$1MM of </t>
        </r>
        <r>
          <rPr>
            <sz val="10"/>
            <color indexed="8"/>
            <rFont val="Tahoma"/>
            <family val="2"/>
          </rPr>
          <t>Income from Distribution services</t>
        </r>
      </text>
    </comment>
    <comment ref="AI46" authorId="16">
      <text>
        <r>
          <rPr>
            <b/>
            <sz val="8"/>
            <color indexed="8"/>
            <rFont val="Tahoma"/>
            <family val="2"/>
          </rPr>
          <t>Celeste Brown:
$123mm of non-recurrings</t>
        </r>
        <r>
          <rPr>
            <sz val="8"/>
            <color indexed="8"/>
            <rFont val="Tahoma"/>
            <family val="2"/>
          </rPr>
          <t xml:space="preserve">
Includes $94mm charge associated with CTF transaction, $29mm incentives paid to owners for new bedding program, NET of 42 mm tax benefit</t>
        </r>
      </text>
    </comment>
    <comment ref="AJ46" authorId="16">
      <text>
        <r>
          <rPr>
            <b/>
            <sz val="8"/>
            <color indexed="8"/>
            <rFont val="Tahoma"/>
            <family val="2"/>
          </rPr>
          <t>Celeste Brown:</t>
        </r>
        <r>
          <rPr>
            <sz val="9"/>
            <color indexed="8"/>
            <rFont val="Tahoma"/>
            <family val="2"/>
          </rPr>
          <t xml:space="preserve">
Leveraged lease charge adjusted for tax</t>
        </r>
      </text>
    </comment>
    <comment ref="AM46" authorId="4">
      <text>
        <r>
          <rPr>
            <b/>
            <sz val="8"/>
            <color indexed="8"/>
            <rFont val="Tahoma"/>
            <family val="2"/>
          </rPr>
          <t>urbank:</t>
        </r>
        <r>
          <rPr>
            <sz val="8"/>
            <color indexed="8"/>
            <rFont val="Tahoma"/>
            <family val="2"/>
          </rPr>
          <t xml:space="preserve">
adopting new TS rule</t>
        </r>
      </text>
    </comment>
    <comment ref="AS46" authorId="16">
      <text>
        <r>
          <rPr>
            <b/>
            <sz val="10"/>
            <color indexed="8"/>
            <rFont val="Tahoma"/>
            <family val="2"/>
          </rPr>
          <t>Celeste Brown:</t>
        </r>
        <r>
          <rPr>
            <sz val="10"/>
            <color indexed="8"/>
            <rFont val="Tahoma"/>
            <family val="2"/>
          </rPr>
          <t xml:space="preserve">
expenses associated with ESOP tax settlement</t>
        </r>
      </text>
    </comment>
    <comment ref="AU46" authorId="19">
      <text>
        <r>
          <rPr>
            <b/>
            <sz val="8"/>
            <color indexed="8"/>
            <rFont val="Tahoma"/>
            <family val="2"/>
          </rPr>
          <t>Ryan Meliker:</t>
        </r>
        <r>
          <rPr>
            <sz val="8"/>
            <color indexed="8"/>
            <rFont val="Tahoma"/>
            <family val="2"/>
          </rPr>
          <t xml:space="preserve">
syn fuel, net of tax</t>
        </r>
      </text>
    </comment>
    <comment ref="AZ46" authorId="17">
      <text>
        <r>
          <rPr>
            <b/>
            <sz val="8"/>
            <color indexed="8"/>
            <rFont val="Tahoma"/>
            <family val="2"/>
          </rPr>
          <t>ryanmel:</t>
        </r>
        <r>
          <rPr>
            <sz val="8"/>
            <color indexed="8"/>
            <rFont val="Tahoma"/>
            <family val="2"/>
          </rPr>
          <t xml:space="preserve">
$124 of restructuring and othercharges and $7mm in certain tax items</t>
        </r>
      </text>
    </comment>
    <comment ref="BB46" authorId="17">
      <text>
        <r>
          <rPr>
            <b/>
            <sz val="8"/>
            <color indexed="8"/>
            <rFont val="Tahoma"/>
            <family val="2"/>
          </rPr>
          <t>ryanmel:</t>
        </r>
        <r>
          <rPr>
            <sz val="8"/>
            <color indexed="8"/>
            <rFont val="Tahoma"/>
            <family val="2"/>
          </rPr>
          <t xml:space="preserve">
$84 in restructuring and other and 26 of certain tax items</t>
        </r>
      </text>
    </comment>
    <comment ref="BC46" authorId="17">
      <text>
        <r>
          <rPr>
            <b/>
            <sz val="8"/>
            <color indexed="8"/>
            <rFont val="Tahoma"/>
            <family val="2"/>
          </rPr>
          <t>ryanmel:</t>
        </r>
        <r>
          <rPr>
            <sz val="8"/>
            <color indexed="8"/>
            <rFont val="Tahoma"/>
            <family val="2"/>
          </rPr>
          <t xml:space="preserve">
$30 in restructuring and other and 17 of certain tax items- both after tax amounts</t>
        </r>
      </text>
    </comment>
    <comment ref="BD46" authorId="17">
      <text>
        <r>
          <rPr>
            <b/>
            <sz val="8"/>
            <color indexed="8"/>
            <rFont val="Tahoma"/>
            <family val="2"/>
          </rPr>
          <t>ryanmel:</t>
        </r>
        <r>
          <rPr>
            <sz val="8"/>
            <color indexed="8"/>
            <rFont val="Tahoma"/>
            <family val="2"/>
          </rPr>
          <t xml:space="preserve">
timehare impairment, restructuring and certain tax items</t>
        </r>
      </text>
    </comment>
    <comment ref="BE46" authorId="17">
      <text>
        <r>
          <rPr>
            <b/>
            <sz val="8"/>
            <color indexed="8"/>
            <rFont val="Tahoma"/>
            <family val="2"/>
          </rPr>
          <t>ryanmel:</t>
        </r>
        <r>
          <rPr>
            <sz val="8"/>
            <color indexed="8"/>
            <rFont val="Tahoma"/>
            <family val="2"/>
          </rPr>
          <t xml:space="preserve">
$12mm after-tax in restructuring charges</t>
        </r>
      </text>
    </comment>
    <comment ref="BN46" authorId="9">
      <text>
        <r>
          <rPr>
            <b/>
            <sz val="8"/>
            <color indexed="81"/>
            <rFont val="Tahoma"/>
            <family val="2"/>
          </rPr>
          <t>DJF:</t>
        </r>
        <r>
          <rPr>
            <sz val="8"/>
            <color indexed="81"/>
            <rFont val="Tahoma"/>
            <family val="2"/>
          </rPr>
          <t xml:space="preserve">
1)  324 mm Timeshare impairment
2)  18 mm equity in investment impairment due to decline in market price of investment
3)  10 mm write off of deferred acquisition cost and account receivable balance related to one property whose owner filed for bankruptcy
4)  69 mm tax benefit </t>
        </r>
      </text>
    </comment>
    <comment ref="CM46" authorId="1">
      <text>
        <r>
          <rPr>
            <b/>
            <sz val="9"/>
            <color indexed="81"/>
            <rFont val="Tahoma"/>
            <family val="2"/>
          </rPr>
          <t>Allen, Thomas (Research):</t>
        </r>
        <r>
          <rPr>
            <sz val="9"/>
            <color indexed="81"/>
            <rFont val="Tahoma"/>
            <family val="2"/>
          </rPr>
          <t xml:space="preserve">
Excludes $237m of merger-related costs</t>
        </r>
      </text>
    </comment>
    <comment ref="CN46" authorId="2">
      <text>
        <r>
          <rPr>
            <b/>
            <sz val="9"/>
            <color indexed="81"/>
            <rFont val="Tahoma"/>
            <family val="2"/>
          </rPr>
          <t>Savino, Mark (Research):</t>
        </r>
        <r>
          <rPr>
            <sz val="9"/>
            <color indexed="81"/>
            <rFont val="Tahoma"/>
            <family val="2"/>
          </rPr>
          <t xml:space="preserve">
Merger-related costs and charges</t>
        </r>
      </text>
    </comment>
    <comment ref="CP46" authorId="2">
      <text>
        <r>
          <rPr>
            <b/>
            <sz val="9"/>
            <color indexed="81"/>
            <rFont val="Tahoma"/>
            <family val="2"/>
          </rPr>
          <t>Savino, Mark (Research):</t>
        </r>
        <r>
          <rPr>
            <sz val="9"/>
            <color indexed="81"/>
            <rFont val="Tahoma"/>
            <family val="2"/>
          </rPr>
          <t xml:space="preserve">
Merger-related costs / charges</t>
        </r>
      </text>
    </comment>
    <comment ref="CQ46" authorId="2">
      <text>
        <r>
          <rPr>
            <b/>
            <sz val="9"/>
            <color indexed="81"/>
            <rFont val="Tahoma"/>
            <family val="2"/>
          </rPr>
          <t>Savino, Mark (Research):</t>
        </r>
        <r>
          <rPr>
            <sz val="9"/>
            <color indexed="81"/>
            <rFont val="Tahoma"/>
            <family val="2"/>
          </rPr>
          <t xml:space="preserve">
$21m merger costs</t>
        </r>
      </text>
    </comment>
    <comment ref="A48" authorId="21">
      <text>
        <r>
          <rPr>
            <b/>
            <sz val="8"/>
            <color indexed="8"/>
            <rFont val="Tahoma"/>
            <family val="2"/>
          </rPr>
          <t>Chris Metli:</t>
        </r>
        <r>
          <rPr>
            <sz val="8"/>
            <color indexed="8"/>
            <rFont val="Tahoma"/>
            <family val="2"/>
          </rPr>
          <t xml:space="preserve">
Startin in 2002 Extraordinary items pulled out from above do not need to be tax effected here (taken care of by tax section above) - but need to be tax effected in SynFuel income down below.</t>
        </r>
      </text>
    </comment>
    <comment ref="Q48" authorId="8">
      <text>
        <r>
          <rPr>
            <b/>
            <sz val="8"/>
            <color indexed="8"/>
            <rFont val="Tahoma"/>
            <family val="2"/>
          </rPr>
          <t>melletc:</t>
        </r>
        <r>
          <rPr>
            <sz val="8"/>
            <color indexed="8"/>
            <rFont val="Tahoma"/>
            <family val="2"/>
          </rPr>
          <t xml:space="preserve">
-$45mm taxes on restruct. charges
-$54mm taxes on "other" charges</t>
        </r>
      </text>
    </comment>
    <comment ref="AS48" authorId="4">
      <text>
        <r>
          <rPr>
            <b/>
            <sz val="8"/>
            <color indexed="8"/>
            <rFont val="Tahoma"/>
            <family val="2"/>
          </rPr>
          <t>urbank:</t>
        </r>
        <r>
          <rPr>
            <sz val="8"/>
            <color indexed="8"/>
            <rFont val="Tahoma"/>
            <family val="2"/>
          </rPr>
          <t xml:space="preserve">
</t>
        </r>
        <r>
          <rPr>
            <sz val="9"/>
            <color indexed="8"/>
            <rFont val="Tahoma"/>
            <family val="2"/>
          </rPr>
          <t xml:space="preserve">$220mm cash pymt to IRS for settlement, $54mm after tax $0.13/shs </t>
        </r>
      </text>
    </comment>
    <comment ref="AX48" authorId="19">
      <text>
        <r>
          <rPr>
            <b/>
            <sz val="8"/>
            <color indexed="8"/>
            <rFont val="Tahoma"/>
            <family val="2"/>
          </rPr>
          <t>Ryan Meliker:</t>
        </r>
        <r>
          <rPr>
            <sz val="8"/>
            <color indexed="8"/>
            <rFont val="Tahoma"/>
            <family val="2"/>
          </rPr>
          <t xml:space="preserve">
adjusted for the $36 mmadjustment to tax provison</t>
        </r>
      </text>
    </comment>
    <comment ref="AY48" authorId="19">
      <text>
        <r>
          <rPr>
            <b/>
            <sz val="8"/>
            <color indexed="8"/>
            <rFont val="Tahoma"/>
            <family val="2"/>
          </rPr>
          <t>Ryan Meliker:</t>
        </r>
        <r>
          <rPr>
            <sz val="8"/>
            <color indexed="8"/>
            <rFont val="Tahoma"/>
            <family val="2"/>
          </rPr>
          <t xml:space="preserve">
adjusted for the $29 mmadjustment to tax provison</t>
        </r>
      </text>
    </comment>
    <comment ref="BX48" authorId="12">
      <text>
        <r>
          <rPr>
            <b/>
            <sz val="8"/>
            <color indexed="81"/>
            <rFont val="Tahoma"/>
            <family val="2"/>
          </rPr>
          <t>jills:</t>
        </r>
        <r>
          <rPr>
            <sz val="8"/>
            <color indexed="81"/>
            <rFont val="Tahoma"/>
            <family val="2"/>
          </rPr>
          <t xml:space="preserve">
lower than anticipated tax rate as well as a $7m benefit largely related to true-ups of foreign tax provisions</t>
        </r>
      </text>
    </comment>
    <comment ref="CC48" authorId="5">
      <text>
        <r>
          <rPr>
            <b/>
            <sz val="9"/>
            <color indexed="81"/>
            <rFont val="Tahoma"/>
            <family val="2"/>
          </rPr>
          <t xml:space="preserve">3Q14:
</t>
        </r>
        <r>
          <rPr>
            <sz val="9"/>
            <color indexed="81"/>
            <rFont val="Tahoma"/>
            <family val="2"/>
          </rPr>
          <t xml:space="preserve">$6m higher due to non-recuring tax item
</t>
        </r>
      </text>
    </comment>
    <comment ref="CE48" authorId="1">
      <text>
        <r>
          <rPr>
            <b/>
            <sz val="9"/>
            <color indexed="81"/>
            <rFont val="Tahoma"/>
            <family val="2"/>
          </rPr>
          <t>Guidance:</t>
        </r>
        <r>
          <rPr>
            <sz val="9"/>
            <color indexed="81"/>
            <rFont val="Tahoma"/>
            <family val="2"/>
          </rPr>
          <t xml:space="preserve">
(3Q14): $331-335m
(2Q14): $313-328m
(1Q14): $307-325m</t>
        </r>
      </text>
    </comment>
    <comment ref="CJ48" authorId="1">
      <text>
        <r>
          <rPr>
            <b/>
            <sz val="9"/>
            <color indexed="81"/>
            <rFont val="Tahoma"/>
            <family val="2"/>
          </rPr>
          <t>Guidance:</t>
        </r>
        <r>
          <rPr>
            <sz val="9"/>
            <color indexed="81"/>
            <rFont val="Tahoma"/>
            <family val="2"/>
          </rPr>
          <t xml:space="preserve">
3Q15: $406-410m
2Q15: $401-413m
1Q15: $393-410m
4Q14: $392-408m
</t>
        </r>
      </text>
    </comment>
    <comment ref="CP48" authorId="2">
      <text>
        <r>
          <rPr>
            <b/>
            <sz val="9"/>
            <color indexed="81"/>
            <rFont val="Tahoma"/>
            <family val="2"/>
          </rPr>
          <t>Savino, Mark (Research):</t>
        </r>
        <r>
          <rPr>
            <sz val="9"/>
            <color indexed="81"/>
            <rFont val="Tahoma"/>
            <family val="2"/>
          </rPr>
          <t xml:space="preserve">
4Q16: $41m tax benefit from accounting change around stock comp</t>
        </r>
      </text>
    </comment>
    <comment ref="CQ48" authorId="2">
      <text>
        <r>
          <rPr>
            <b/>
            <sz val="9"/>
            <color indexed="81"/>
            <rFont val="Tahoma"/>
            <family val="2"/>
          </rPr>
          <t>Savino, Mark (Research):</t>
        </r>
        <r>
          <rPr>
            <sz val="9"/>
            <color indexed="81"/>
            <rFont val="Tahoma"/>
            <family val="2"/>
          </rPr>
          <t xml:space="preserve">
1Q17: $186-192m</t>
        </r>
      </text>
    </comment>
    <comment ref="CT48" authorId="12">
      <text>
        <r>
          <rPr>
            <sz val="8"/>
            <color indexed="81"/>
            <rFont val="Tahoma"/>
            <family val="2"/>
          </rPr>
          <t xml:space="preserve">Guidance:
Legacy Mar: $460-520 million per Investor Day (9/8/14), </t>
        </r>
        <r>
          <rPr>
            <b/>
            <sz val="8"/>
            <color indexed="81"/>
            <rFont val="Tahoma"/>
            <family val="2"/>
          </rPr>
          <t xml:space="preserve">
</t>
        </r>
      </text>
    </comment>
    <comment ref="CZ48" authorId="6">
      <text>
        <r>
          <rPr>
            <b/>
            <sz val="9"/>
            <color indexed="81"/>
            <rFont val="Tahoma"/>
            <family val="2"/>
          </rPr>
          <t>Zheng, Chaodan (Research):</t>
        </r>
        <r>
          <rPr>
            <sz val="9"/>
            <color indexed="81"/>
            <rFont val="Tahoma"/>
            <family val="2"/>
          </rPr>
          <t xml:space="preserve">
3/21/17 Investor Day: $780-850m assuming 1-3% annual RevPAR growth in 2017 through 2019</t>
        </r>
      </text>
    </comment>
    <comment ref="DD48" authorId="21">
      <text>
        <r>
          <rPr>
            <b/>
            <sz val="8"/>
            <color indexed="8"/>
            <rFont val="Tahoma"/>
            <family val="2"/>
          </rPr>
          <t>Chris Metli:</t>
        </r>
        <r>
          <rPr>
            <sz val="8"/>
            <color indexed="8"/>
            <rFont val="Tahoma"/>
            <family val="2"/>
          </rPr>
          <t xml:space="preserve">
Startin in 2002 Extraordinary items pulled out from above do not need to be tax effected here (taken care of by tax section above) - but need to be tax effected in SynFuel income down below.</t>
        </r>
      </text>
    </comment>
    <comment ref="AK49" authorId="4">
      <text>
        <r>
          <rPr>
            <b/>
            <sz val="8"/>
            <color indexed="8"/>
            <rFont val="Tahoma"/>
            <family val="2"/>
          </rPr>
          <t>urbank:</t>
        </r>
        <r>
          <rPr>
            <sz val="8"/>
            <color indexed="8"/>
            <rFont val="Tahoma"/>
            <family val="2"/>
          </rPr>
          <t xml:space="preserve">
difference in minority interest from syn-fuel/non synfuel</t>
        </r>
      </text>
    </comment>
    <comment ref="AW49" authorId="19">
      <text>
        <r>
          <rPr>
            <b/>
            <sz val="8"/>
            <color indexed="8"/>
            <rFont val="Tahoma"/>
            <family val="2"/>
          </rPr>
          <t>Ryan Meliker:</t>
        </r>
        <r>
          <rPr>
            <sz val="8"/>
            <color indexed="8"/>
            <rFont val="Tahoma"/>
            <family val="2"/>
          </rPr>
          <t xml:space="preserve">
Guidance of $3 in Q1 and $6 for full-year 2008</t>
        </r>
      </text>
    </comment>
    <comment ref="AX49" authorId="19">
      <text>
        <r>
          <rPr>
            <b/>
            <sz val="8"/>
            <color indexed="8"/>
            <rFont val="Tahoma"/>
            <family val="2"/>
          </rPr>
          <t>Ryan Meliker:</t>
        </r>
        <r>
          <rPr>
            <sz val="8"/>
            <color indexed="8"/>
            <rFont val="Tahoma"/>
            <family val="2"/>
          </rPr>
          <t xml:space="preserve">
</t>
        </r>
        <r>
          <rPr>
            <sz val="10"/>
            <color indexed="8"/>
            <rFont val="Tahoma"/>
            <family val="2"/>
          </rPr>
          <t>Guidance of $2 in Q2 and $8 for full-year 2008</t>
        </r>
      </text>
    </comment>
    <comment ref="AZ49" authorId="19">
      <text>
        <r>
          <rPr>
            <b/>
            <sz val="8"/>
            <color indexed="8"/>
            <rFont val="Tahoma"/>
            <family val="2"/>
          </rPr>
          <t>Ryan Meliker:</t>
        </r>
        <r>
          <rPr>
            <sz val="8"/>
            <color indexed="8"/>
            <rFont val="Tahoma"/>
            <family val="2"/>
          </rPr>
          <t xml:space="preserve">
guidance of $4 for 4q</t>
        </r>
      </text>
    </comment>
    <comment ref="CE50" authorId="5">
      <text>
        <r>
          <rPr>
            <sz val="9"/>
            <color indexed="81"/>
            <rFont val="Tahoma"/>
            <family val="2"/>
          </rPr>
          <t>2Q14: Guidance 32%</t>
        </r>
      </text>
    </comment>
    <comment ref="CJ50" authorId="5">
      <text>
        <r>
          <rPr>
            <b/>
            <sz val="9"/>
            <color indexed="81"/>
            <rFont val="Tahoma"/>
            <family val="2"/>
          </rPr>
          <t>Guidance:</t>
        </r>
        <r>
          <rPr>
            <sz val="9"/>
            <color indexed="81"/>
            <rFont val="Tahoma"/>
            <family val="2"/>
          </rPr>
          <t xml:space="preserve">
3Q15: 32.3%
2Q15: 32.1%
1Q15: 32.3%
4Q14: 32.3%</t>
        </r>
      </text>
    </comment>
    <comment ref="CY50" authorId="1">
      <text>
        <r>
          <rPr>
            <b/>
            <sz val="9"/>
            <color indexed="81"/>
            <rFont val="Tahoma"/>
            <family val="2"/>
          </rPr>
          <t>Allen, Thomas (Research):</t>
        </r>
        <r>
          <rPr>
            <sz val="9"/>
            <color indexed="81"/>
            <rFont val="Tahoma"/>
            <family val="2"/>
          </rPr>
          <t xml:space="preserve">
4Q16: Cash tax rate will be 36% in 2018 as will pay capital gains tax on Avendra sale in April, then pay 8% of transfer tax (all reflects in CFS)</t>
        </r>
      </text>
    </comment>
    <comment ref="BZ51" authorId="7">
      <text>
        <r>
          <rPr>
            <b/>
            <sz val="8"/>
            <color indexed="81"/>
            <rFont val="Tahoma"/>
            <family val="2"/>
          </rPr>
          <t>thallen:</t>
        </r>
        <r>
          <rPr>
            <sz val="8"/>
            <color indexed="81"/>
            <rFont val="Tahoma"/>
            <family val="2"/>
          </rPr>
          <t xml:space="preserve">
Guidance: $595-645mm</t>
        </r>
      </text>
    </comment>
    <comment ref="CE51" authorId="13">
      <text>
        <r>
          <rPr>
            <b/>
            <sz val="8"/>
            <color indexed="81"/>
            <rFont val="Tahoma"/>
            <family val="2"/>
          </rPr>
          <t xml:space="preserve">Guidance: </t>
        </r>
        <r>
          <rPr>
            <sz val="8"/>
            <color indexed="81"/>
            <rFont val="Tahoma"/>
            <family val="2"/>
          </rPr>
          <t xml:space="preserve">
(3Q14): $736-747m
(2Q14): $712-747m
(1Q14): $703-745m
(4Q13): $673-$721m
</t>
        </r>
      </text>
    </comment>
    <comment ref="CJ51" authorId="1">
      <text>
        <r>
          <rPr>
            <b/>
            <sz val="9"/>
            <color indexed="81"/>
            <rFont val="Tahoma"/>
            <family val="2"/>
          </rPr>
          <t>Guidance:</t>
        </r>
        <r>
          <rPr>
            <sz val="9"/>
            <color indexed="81"/>
            <rFont val="Tahoma"/>
            <family val="2"/>
          </rPr>
          <t xml:space="preserve">
3Q15: $850-861m
2Q15: $849-872m
1Q15: $827-860m
4Q14: $823-857m
</t>
        </r>
      </text>
    </comment>
    <comment ref="CO51" authorId="2">
      <text>
        <r>
          <rPr>
            <b/>
            <sz val="9"/>
            <color indexed="81"/>
            <rFont val="Tahoma"/>
            <family val="2"/>
          </rPr>
          <t>Savino, Mark (Research):</t>
        </r>
        <r>
          <rPr>
            <sz val="9"/>
            <color indexed="81"/>
            <rFont val="Tahoma"/>
            <family val="2"/>
          </rPr>
          <t xml:space="preserve">
4Q15: $921-965m</t>
        </r>
      </text>
    </comment>
    <comment ref="CQ51" authorId="2">
      <text>
        <r>
          <rPr>
            <b/>
            <sz val="9"/>
            <color indexed="81"/>
            <rFont val="Tahoma"/>
            <family val="2"/>
          </rPr>
          <t>Savino, Mark (Research):</t>
        </r>
        <r>
          <rPr>
            <sz val="9"/>
            <color indexed="81"/>
            <rFont val="Tahoma"/>
            <family val="2"/>
          </rPr>
          <t xml:space="preserve">
1Q17: $379-393m</t>
        </r>
      </text>
    </comment>
    <comment ref="CR51" authorId="2">
      <text>
        <r>
          <rPr>
            <b/>
            <sz val="9"/>
            <color indexed="81"/>
            <rFont val="Tahoma"/>
            <family val="2"/>
          </rPr>
          <t>Savino, Mark (Research):</t>
        </r>
        <r>
          <rPr>
            <sz val="9"/>
            <color indexed="81"/>
            <rFont val="Tahoma"/>
            <family val="2"/>
          </rPr>
          <t xml:space="preserve">
2Q17: $362-375m</t>
        </r>
      </text>
    </comment>
    <comment ref="CT51" authorId="2">
      <text>
        <r>
          <rPr>
            <b/>
            <sz val="9"/>
            <color indexed="81"/>
            <rFont val="Tahoma"/>
            <family val="2"/>
          </rPr>
          <t>Savino, Mark (Research):</t>
        </r>
        <r>
          <rPr>
            <sz val="9"/>
            <color indexed="81"/>
            <rFont val="Tahoma"/>
            <family val="2"/>
          </rPr>
          <t xml:space="preserve">
2Q17: $1,547-1,593
1Q17: $1,504-1,568m
4Q16: $1,461-1,529m</t>
        </r>
      </text>
    </comment>
    <comment ref="CZ51" authorId="6">
      <text>
        <r>
          <rPr>
            <b/>
            <sz val="9"/>
            <color indexed="81"/>
            <rFont val="Tahoma"/>
            <family val="2"/>
          </rPr>
          <t>Zheng, Chaodan (Research):</t>
        </r>
        <r>
          <rPr>
            <sz val="9"/>
            <color indexed="81"/>
            <rFont val="Tahoma"/>
            <family val="2"/>
          </rPr>
          <t xml:space="preserve">
3/21/17 Investor Day: $1,775-1,915m assuming 1-3% annual RevPAR growth in 2017 through 2019</t>
        </r>
      </text>
    </comment>
    <comment ref="CB52" authorId="5">
      <text>
        <r>
          <rPr>
            <b/>
            <sz val="9"/>
            <color indexed="81"/>
            <rFont val="Tahoma"/>
            <family val="2"/>
          </rPr>
          <t xml:space="preserve">Adjustments: </t>
        </r>
        <r>
          <rPr>
            <sz val="9"/>
            <color indexed="81"/>
            <rFont val="Tahoma"/>
            <family val="2"/>
          </rPr>
          <t xml:space="preserve">
2Q14 After-Tax Total Adjustments = $21m
EDITION impairment charge, net of tax $9m
Venezuela currency loss, net of tax $5m
Litigation reserve, net of tax $7m</t>
        </r>
      </text>
    </comment>
    <comment ref="CG52" authorId="5">
      <text>
        <r>
          <rPr>
            <b/>
            <sz val="9"/>
            <color indexed="81"/>
            <rFont val="Tahoma"/>
            <family val="2"/>
          </rPr>
          <t xml:space="preserve">Adjustments: </t>
        </r>
        <r>
          <rPr>
            <sz val="9"/>
            <color indexed="81"/>
            <rFont val="Tahoma"/>
            <family val="2"/>
          </rPr>
          <t xml:space="preserve">
2Q15 After-Tax Total Adjustments = $25 million after-tax gain triggered by a mandatory redemption feature of a preferred equity security; and (2) a $13 million after-tax loss on expected dispositions of real estate, which we recorded in the "Gains and other income, net” caption of IS</t>
        </r>
      </text>
    </comment>
    <comment ref="CK52" authorId="2">
      <text>
        <r>
          <rPr>
            <b/>
            <sz val="9"/>
            <color indexed="81"/>
            <rFont val="Tahoma"/>
            <family val="2"/>
          </rPr>
          <t>Savino, Mark (Research):</t>
        </r>
        <r>
          <rPr>
            <sz val="9"/>
            <color indexed="81"/>
            <rFont val="Tahoma"/>
            <family val="2"/>
          </rPr>
          <t xml:space="preserve">
HOT merger-related costs</t>
        </r>
      </text>
    </comment>
    <comment ref="CL52" authorId="2">
      <text>
        <r>
          <rPr>
            <b/>
            <sz val="9"/>
            <color indexed="81"/>
            <rFont val="Tahoma"/>
            <family val="2"/>
          </rPr>
          <t>Savino, Mark (Research):</t>
        </r>
        <r>
          <rPr>
            <sz val="9"/>
            <color indexed="81"/>
            <rFont val="Tahoma"/>
            <family val="2"/>
          </rPr>
          <t xml:space="preserve">
HOT merger-related costs</t>
        </r>
      </text>
    </comment>
    <comment ref="CM52" authorId="1">
      <text>
        <r>
          <rPr>
            <b/>
            <sz val="9"/>
            <color indexed="81"/>
            <rFont val="Tahoma"/>
            <family val="2"/>
          </rPr>
          <t>Allen, Thomas (Research):</t>
        </r>
        <r>
          <rPr>
            <sz val="9"/>
            <color indexed="81"/>
            <rFont val="Tahoma"/>
            <family val="2"/>
          </rPr>
          <t xml:space="preserve">
$237m of merger related costs and $14m of income from HOT for the qtr</t>
        </r>
      </text>
    </comment>
    <comment ref="CP52" authorId="2">
      <text>
        <r>
          <rPr>
            <b/>
            <sz val="9"/>
            <color indexed="81"/>
            <rFont val="Tahoma"/>
            <family val="2"/>
          </rPr>
          <t>Savino, Mark (Research):</t>
        </r>
        <r>
          <rPr>
            <sz val="9"/>
            <color indexed="81"/>
            <rFont val="Tahoma"/>
            <family val="2"/>
          </rPr>
          <t xml:space="preserve">
Merger-related adjustments</t>
        </r>
      </text>
    </comment>
    <comment ref="CQ52" authorId="2">
      <text>
        <r>
          <rPr>
            <b/>
            <sz val="9"/>
            <color indexed="81"/>
            <rFont val="Tahoma"/>
            <family val="2"/>
          </rPr>
          <t>Savino, Mark (Research):</t>
        </r>
        <r>
          <rPr>
            <sz val="9"/>
            <color indexed="81"/>
            <rFont val="Tahoma"/>
            <family val="2"/>
          </rPr>
          <t xml:space="preserve">
Merger-related adjustments</t>
        </r>
      </text>
    </comment>
    <comment ref="CR52" authorId="2">
      <text>
        <r>
          <rPr>
            <b/>
            <sz val="9"/>
            <color indexed="81"/>
            <rFont val="Tahoma"/>
            <family val="2"/>
          </rPr>
          <t>Savino, Mark (Research):</t>
        </r>
        <r>
          <rPr>
            <sz val="9"/>
            <color indexed="81"/>
            <rFont val="Tahoma"/>
            <family val="2"/>
          </rPr>
          <t xml:space="preserve">
Merger-related adjustments</t>
        </r>
      </text>
    </comment>
    <comment ref="A56" authorId="9">
      <text>
        <r>
          <rPr>
            <b/>
            <sz val="8"/>
            <color indexed="81"/>
            <rFont val="Tahoma"/>
            <family val="2"/>
          </rPr>
          <t>danfuss:</t>
        </r>
        <r>
          <rPr>
            <sz val="8"/>
            <color indexed="81"/>
            <rFont val="Tahoma"/>
            <family val="2"/>
          </rPr>
          <t xml:space="preserve">
Used in MAR's per share calculations</t>
        </r>
      </text>
    </comment>
    <comment ref="DD56" authorId="9">
      <text>
        <r>
          <rPr>
            <b/>
            <sz val="8"/>
            <color indexed="81"/>
            <rFont val="Tahoma"/>
            <family val="2"/>
          </rPr>
          <t>danfuss:</t>
        </r>
        <r>
          <rPr>
            <sz val="8"/>
            <color indexed="81"/>
            <rFont val="Tahoma"/>
            <family val="2"/>
          </rPr>
          <t xml:space="preserve">
Used in MAR's per share calculations</t>
        </r>
      </text>
    </comment>
    <comment ref="CT57" authorId="1">
      <text>
        <r>
          <rPr>
            <b/>
            <sz val="9"/>
            <color indexed="81"/>
            <rFont val="Tahoma"/>
            <family val="2"/>
          </rPr>
          <t>Allen, Thomas (Research):</t>
        </r>
        <r>
          <rPr>
            <sz val="9"/>
            <color indexed="81"/>
            <rFont val="Tahoma"/>
            <family val="2"/>
          </rPr>
          <t xml:space="preserve">
Assumes 2m dilution annually from ESO</t>
        </r>
      </text>
    </comment>
    <comment ref="CY57" authorId="1">
      <text>
        <r>
          <rPr>
            <b/>
            <sz val="9"/>
            <color indexed="81"/>
            <rFont val="Tahoma"/>
            <family val="2"/>
          </rPr>
          <t>Allen, Thomas (Research):</t>
        </r>
        <r>
          <rPr>
            <sz val="9"/>
            <color indexed="81"/>
            <rFont val="Tahoma"/>
            <family val="2"/>
          </rPr>
          <t xml:space="preserve">
Assumes 2m dilution annually from ESO</t>
        </r>
      </text>
    </comment>
    <comment ref="CZ57" authorId="1">
      <text>
        <r>
          <rPr>
            <b/>
            <sz val="9"/>
            <color indexed="81"/>
            <rFont val="Tahoma"/>
            <family val="2"/>
          </rPr>
          <t>Allen, Thomas (Research):</t>
        </r>
        <r>
          <rPr>
            <sz val="9"/>
            <color indexed="81"/>
            <rFont val="Tahoma"/>
            <family val="2"/>
          </rPr>
          <t xml:space="preserve">
Assumes 2m dilution annually from ESO</t>
        </r>
      </text>
    </comment>
    <comment ref="DA57" authorId="1">
      <text>
        <r>
          <rPr>
            <b/>
            <sz val="9"/>
            <color indexed="81"/>
            <rFont val="Tahoma"/>
            <family val="2"/>
          </rPr>
          <t>Allen, Thomas (Research):</t>
        </r>
        <r>
          <rPr>
            <sz val="9"/>
            <color indexed="81"/>
            <rFont val="Tahoma"/>
            <family val="2"/>
          </rPr>
          <t xml:space="preserve">
Assumes 2m dilution annually from ESO</t>
        </r>
      </text>
    </comment>
    <comment ref="A58" authorId="9">
      <text>
        <r>
          <rPr>
            <b/>
            <sz val="8"/>
            <color indexed="81"/>
            <rFont val="Tahoma"/>
            <family val="2"/>
          </rPr>
          <t>danfuss:</t>
        </r>
        <r>
          <rPr>
            <sz val="8"/>
            <color indexed="81"/>
            <rFont val="Tahoma"/>
            <family val="2"/>
          </rPr>
          <t xml:space="preserve">
Used in MAR's per share calculations</t>
        </r>
      </text>
    </comment>
    <comment ref="CZ58" authorId="1">
      <text>
        <r>
          <rPr>
            <b/>
            <sz val="9"/>
            <color indexed="81"/>
            <rFont val="Tahoma"/>
            <family val="2"/>
          </rPr>
          <t>Allen, Thomas (Research):</t>
        </r>
        <r>
          <rPr>
            <sz val="9"/>
            <color indexed="81"/>
            <rFont val="Tahoma"/>
            <family val="2"/>
          </rPr>
          <t xml:space="preserve">
3/21/17: 330-338m</t>
        </r>
      </text>
    </comment>
    <comment ref="DD58" authorId="9">
      <text>
        <r>
          <rPr>
            <b/>
            <sz val="8"/>
            <color indexed="81"/>
            <rFont val="Tahoma"/>
            <family val="2"/>
          </rPr>
          <t>danfuss:</t>
        </r>
        <r>
          <rPr>
            <sz val="8"/>
            <color indexed="81"/>
            <rFont val="Tahoma"/>
            <family val="2"/>
          </rPr>
          <t xml:space="preserve">
Used in MAR's per share calculations</t>
        </r>
      </text>
    </comment>
    <comment ref="BS59" authorId="10">
      <text>
        <r>
          <rPr>
            <sz val="8"/>
            <color indexed="81"/>
            <rFont val="Tahoma"/>
            <family val="2"/>
          </rPr>
          <t>Reported EPS is $.44
Includes $0.08 from Courtyard JV sale</t>
        </r>
      </text>
    </comment>
    <comment ref="CH60" authorId="5">
      <text>
        <r>
          <rPr>
            <b/>
            <sz val="9"/>
            <color indexed="81"/>
            <rFont val="Tahoma"/>
            <family val="2"/>
          </rPr>
          <t>Chaudhry, Baset A (Research):</t>
        </r>
        <r>
          <rPr>
            <sz val="9"/>
            <color indexed="81"/>
            <rFont val="Tahoma"/>
            <family val="2"/>
          </rPr>
          <t xml:space="preserve">
Reported $0.78</t>
        </r>
      </text>
    </comment>
    <comment ref="AL62" authorId="10">
      <text>
        <r>
          <rPr>
            <sz val="8"/>
            <color indexed="81"/>
            <rFont val="Tahoma"/>
            <family val="2"/>
          </rPr>
          <t>2Q05 - $2.68-$2.78</t>
        </r>
      </text>
    </comment>
    <comment ref="AQ62" authorId="10">
      <text>
        <r>
          <rPr>
            <sz val="8"/>
            <color indexed="81"/>
            <rFont val="Tahoma"/>
            <family val="2"/>
          </rPr>
          <t xml:space="preserve">1Q06 - $2.99-$3.08
2Q06 - $1.52-$1.57
</t>
        </r>
      </text>
    </comment>
    <comment ref="AV62" authorId="10">
      <text>
        <r>
          <rPr>
            <sz val="8"/>
            <color indexed="81"/>
            <rFont val="Tahoma"/>
            <family val="2"/>
          </rPr>
          <t>1Q07 - $1.84-$1.94
2Q07 - $1.88-$1.96
3Q07 - $1.88-$1.90</t>
        </r>
      </text>
    </comment>
    <comment ref="BA62" authorId="10">
      <text>
        <r>
          <rPr>
            <sz val="8"/>
            <color indexed="81"/>
            <rFont val="Tahoma"/>
            <family val="2"/>
          </rPr>
          <t xml:space="preserve">1Q08 - $1.98-$2.08
2Q08 - $1.77-$1.88
</t>
        </r>
      </text>
    </comment>
    <comment ref="BF62" authorId="10">
      <text>
        <r>
          <rPr>
            <sz val="8"/>
            <color indexed="81"/>
            <rFont val="Tahoma"/>
            <family val="2"/>
          </rPr>
          <t xml:space="preserve">2Q09 - $.76-$.86
</t>
        </r>
      </text>
    </comment>
    <comment ref="BK62" authorId="10">
      <text>
        <r>
          <rPr>
            <sz val="8"/>
            <color indexed="81"/>
            <rFont val="Tahoma"/>
            <family val="2"/>
          </rPr>
          <t>1Q10 - $.95-$1.05
2Q10 - $1.05-$1.13
3Q10 - $1.09-$1.12</t>
        </r>
      </text>
    </comment>
    <comment ref="BO62" authorId="23">
      <text>
        <r>
          <rPr>
            <sz val="8"/>
            <color indexed="81"/>
            <rFont val="Tahoma"/>
            <family val="2"/>
          </rPr>
          <t>As per 3Q11 transcript.</t>
        </r>
      </text>
    </comment>
    <comment ref="BP62" authorId="10">
      <text>
        <r>
          <rPr>
            <sz val="8"/>
            <color indexed="81"/>
            <rFont val="Tahoma"/>
            <family val="2"/>
          </rPr>
          <t>1Q11 - $1.35-$1.45
2Q11 - $1.35-$1.43
3Q11 - $1.37-$1.42</t>
        </r>
      </text>
    </comment>
    <comment ref="BT62" authorId="23">
      <text>
        <r>
          <rPr>
            <sz val="8"/>
            <color indexed="81"/>
            <rFont val="Tahoma"/>
            <family val="2"/>
          </rPr>
          <t>That puts fourth-quarter EPS guidance $0.04 lower than our guidance implied a quarter ago.
Source: 3Q12 Call transcript.</t>
        </r>
      </text>
    </comment>
    <comment ref="BZ62" authorId="12">
      <text>
        <r>
          <rPr>
            <b/>
            <sz val="8"/>
            <color indexed="81"/>
            <rFont val="Tahoma"/>
            <family val="2"/>
          </rPr>
          <t>jills:</t>
        </r>
        <r>
          <rPr>
            <sz val="8"/>
            <color indexed="81"/>
            <rFont val="Tahoma"/>
            <family val="2"/>
          </rPr>
          <t xml:space="preserve">
per 4Q12 guidance $1.90-$2.05
per 1Q13 guidance $1.93-$2.08
per 3Q13 guidance $1.98-$2.01</t>
        </r>
      </text>
    </comment>
    <comment ref="CA62" authorId="13">
      <text>
        <r>
          <rPr>
            <sz val="8"/>
            <color indexed="81"/>
            <rFont val="Tahoma"/>
            <family val="2"/>
          </rPr>
          <t>Source :  8k of 4Q13</t>
        </r>
      </text>
    </comment>
    <comment ref="CE62" authorId="13">
      <text>
        <r>
          <rPr>
            <b/>
            <sz val="8"/>
            <color indexed="81"/>
            <rFont val="Tahoma"/>
            <family val="2"/>
          </rPr>
          <t>Guidance:</t>
        </r>
        <r>
          <rPr>
            <sz val="8"/>
            <color indexed="81"/>
            <rFont val="Tahoma"/>
            <family val="2"/>
          </rPr>
          <t xml:space="preserve">
Per 3Q14: $2.48-2.52/share
Per 2Q14: $2.40-2.51/share
Per 1Q14: $2.39-2.53/share
Per 4Q13: $2.29-2.45/share</t>
        </r>
      </text>
    </comment>
    <comment ref="CJ62" authorId="13">
      <text>
        <r>
          <rPr>
            <b/>
            <sz val="8"/>
            <color indexed="81"/>
            <rFont val="Tahoma"/>
            <family val="2"/>
          </rPr>
          <t xml:space="preserve">Guidance:
</t>
        </r>
        <r>
          <rPr>
            <sz val="8"/>
            <color indexed="81"/>
            <rFont val="Tahoma"/>
            <family val="2"/>
          </rPr>
          <t xml:space="preserve">Per 3Q15: $3.12-3.16
Per 2Q15: $3.10-3.18/share (includes the $0.09 gain on the redemption of a preferred equity ownership interest, $0.04 of losses on the expected disposition of real estate  and full year Delta transition and transaction costs of approximately $0.02.  These items were not included in the company's April 29 forecast). 
Per 1Q15: $3.00-3.12/share
Per 4Q14: $3.00-3.12/share
</t>
        </r>
      </text>
    </comment>
    <comment ref="CO62" authorId="1">
      <text>
        <r>
          <rPr>
            <b/>
            <sz val="9"/>
            <color indexed="81"/>
            <rFont val="Tahoma"/>
            <family val="2"/>
          </rPr>
          <t>Allen, Thomas (Research):</t>
        </r>
        <r>
          <rPr>
            <sz val="9"/>
            <color indexed="81"/>
            <rFont val="Tahoma"/>
            <family val="2"/>
          </rPr>
          <t xml:space="preserve">
From 4Q15 so stale</t>
        </r>
      </text>
    </comment>
    <comment ref="CS62" authorId="6">
      <text>
        <r>
          <rPr>
            <b/>
            <sz val="9"/>
            <color indexed="81"/>
            <rFont val="Tahoma"/>
            <family val="2"/>
          </rPr>
          <t>Zheng, Chaodan (Research):</t>
        </r>
        <r>
          <rPr>
            <sz val="9"/>
            <color indexed="81"/>
            <rFont val="Tahoma"/>
            <family val="2"/>
          </rPr>
          <t xml:space="preserve">
3Q17: $0.98-1.00</t>
        </r>
      </text>
    </comment>
    <comment ref="CT62" authorId="2">
      <text>
        <r>
          <rPr>
            <b/>
            <sz val="9"/>
            <color indexed="81"/>
            <rFont val="Tahoma"/>
            <family val="2"/>
          </rPr>
          <t>Savino, Mark (Research):</t>
        </r>
        <r>
          <rPr>
            <sz val="9"/>
            <color indexed="81"/>
            <rFont val="Tahoma"/>
            <family val="2"/>
          </rPr>
          <t xml:space="preserve">
3Q17: $4.22-4.24
2Q17: $4.06-4.18
1Q17: $3.92-4.09
4Q16: $3.79-3.97</t>
        </r>
      </text>
    </comment>
    <comment ref="CY62" authorId="2">
      <text>
        <r>
          <rPr>
            <b/>
            <sz val="9"/>
            <color indexed="81"/>
            <rFont val="Tahoma"/>
            <family val="2"/>
          </rPr>
          <t>Savino, Mark (Research):</t>
        </r>
        <r>
          <rPr>
            <sz val="9"/>
            <color indexed="81"/>
            <rFont val="Tahoma"/>
            <family val="2"/>
          </rPr>
          <t xml:space="preserve">
4Q17: $5.11-5.34</t>
        </r>
      </text>
    </comment>
    <comment ref="CZ62" authorId="1">
      <text>
        <r>
          <rPr>
            <b/>
            <sz val="9"/>
            <color indexed="81"/>
            <rFont val="Tahoma"/>
            <family val="2"/>
          </rPr>
          <t>Allen, Thomas (Research):</t>
        </r>
        <r>
          <rPr>
            <sz val="9"/>
            <color indexed="81"/>
            <rFont val="Tahoma"/>
            <family val="2"/>
          </rPr>
          <t xml:space="preserve">
3/21/17: $5.25-5.80, assumes 1-3% RevPAR growth and $1.6B of asset sales on assets that generated $147m of EBITDA</t>
        </r>
      </text>
    </comment>
    <comment ref="CM64" authorId="2">
      <text>
        <r>
          <rPr>
            <b/>
            <sz val="9"/>
            <color indexed="81"/>
            <rFont val="Tahoma"/>
            <family val="2"/>
          </rPr>
          <t>Savino, Mark (Research):</t>
        </r>
        <r>
          <rPr>
            <sz val="9"/>
            <color indexed="81"/>
            <rFont val="Tahoma"/>
            <family val="2"/>
          </rPr>
          <t xml:space="preserve">
MSe</t>
        </r>
      </text>
    </comment>
    <comment ref="AX70" authorId="19">
      <text>
        <r>
          <rPr>
            <b/>
            <sz val="8"/>
            <color indexed="8"/>
            <rFont val="Tahoma"/>
            <family val="2"/>
          </rPr>
          <t>Ryan Meliker:</t>
        </r>
        <r>
          <rPr>
            <sz val="8"/>
            <color indexed="8"/>
            <rFont val="Tahoma"/>
            <family val="2"/>
          </rPr>
          <t xml:space="preserve">
PR dated 5/2/08</t>
        </r>
      </text>
    </comment>
    <comment ref="AY70" authorId="19">
      <text>
        <r>
          <rPr>
            <b/>
            <sz val="8"/>
            <color indexed="8"/>
            <rFont val="Tahoma"/>
            <family val="2"/>
          </rPr>
          <t>Ryan Meliker:</t>
        </r>
        <r>
          <rPr>
            <sz val="8"/>
            <color indexed="8"/>
            <rFont val="Tahoma"/>
            <family val="2"/>
          </rPr>
          <t xml:space="preserve">
PR dated 8/7/08</t>
        </r>
      </text>
    </comment>
    <comment ref="AZ70" authorId="17">
      <text>
        <r>
          <rPr>
            <b/>
            <sz val="8"/>
            <color indexed="8"/>
            <rFont val="Tahoma"/>
            <family val="2"/>
          </rPr>
          <t>ryanmel:</t>
        </r>
        <r>
          <rPr>
            <sz val="8"/>
            <color indexed="8"/>
            <rFont val="Tahoma"/>
            <family val="2"/>
          </rPr>
          <t xml:space="preserve">
PR dated 11/7/2008</t>
        </r>
      </text>
    </comment>
    <comment ref="BM70" authorId="9">
      <text>
        <r>
          <rPr>
            <b/>
            <sz val="8"/>
            <color indexed="81"/>
            <rFont val="Tahoma"/>
            <family val="2"/>
          </rPr>
          <t>danfuss:</t>
        </r>
        <r>
          <rPr>
            <sz val="8"/>
            <color indexed="81"/>
            <rFont val="Tahoma"/>
            <family val="2"/>
          </rPr>
          <t xml:space="preserve">
Hiked dividend from $.0875 to $.1 per share on May 6th</t>
        </r>
      </text>
    </comment>
    <comment ref="CG70" authorId="5">
      <text>
        <r>
          <rPr>
            <b/>
            <sz val="9"/>
            <color indexed="81"/>
            <rFont val="Tahoma"/>
            <family val="2"/>
          </rPr>
          <t xml:space="preserve">5/8/15:
</t>
        </r>
        <r>
          <rPr>
            <sz val="9"/>
            <color indexed="81"/>
            <rFont val="Tahoma"/>
            <family val="2"/>
          </rPr>
          <t xml:space="preserve">MAR BODs announced a 25% increase in the dividend paid to $0.25
</t>
        </r>
      </text>
    </comment>
    <comment ref="CL70" authorId="1">
      <text>
        <r>
          <rPr>
            <b/>
            <sz val="9"/>
            <color indexed="81"/>
            <rFont val="Tahoma"/>
            <family val="2"/>
          </rPr>
          <t>Allen, Thomas (Research):</t>
        </r>
        <r>
          <rPr>
            <sz val="9"/>
            <color indexed="81"/>
            <rFont val="Tahoma"/>
            <family val="2"/>
          </rPr>
          <t xml:space="preserve">
Announced May 6</t>
        </r>
      </text>
    </comment>
    <comment ref="CT70" authorId="1">
      <text>
        <r>
          <rPr>
            <b/>
            <sz val="9"/>
            <color indexed="81"/>
            <rFont val="Tahoma"/>
            <family val="2"/>
          </rPr>
          <t>Allen, Thomas (Research):</t>
        </r>
        <r>
          <rPr>
            <sz val="9"/>
            <color indexed="81"/>
            <rFont val="Tahoma"/>
            <family val="2"/>
          </rPr>
          <t xml:space="preserve">
30% payout ratio</t>
        </r>
      </text>
    </comment>
    <comment ref="CY70" authorId="1">
      <text>
        <r>
          <rPr>
            <b/>
            <sz val="9"/>
            <color indexed="81"/>
            <rFont val="Tahoma"/>
            <family val="2"/>
          </rPr>
          <t>Allen, Thomas (Research):</t>
        </r>
        <r>
          <rPr>
            <sz val="9"/>
            <color indexed="81"/>
            <rFont val="Tahoma"/>
            <family val="2"/>
          </rPr>
          <t xml:space="preserve">
Lower than 30% payout ratio in 2018-2019 as assume MAR wants to maintain div when EPS drops (in our estimate, 2020)</t>
        </r>
      </text>
    </comment>
    <comment ref="CZ70" authorId="1">
      <text>
        <r>
          <rPr>
            <b/>
            <sz val="9"/>
            <color indexed="81"/>
            <rFont val="Tahoma"/>
            <family val="2"/>
          </rPr>
          <t>Allen, Thomas (Research):</t>
        </r>
        <r>
          <rPr>
            <sz val="9"/>
            <color indexed="81"/>
            <rFont val="Tahoma"/>
            <family val="2"/>
          </rPr>
          <t xml:space="preserve">
Lower than 30% payout ratio in 2018-2019 as assume MAR wants to maintain div when EPS drops (in our estimate, 2020)</t>
        </r>
      </text>
    </comment>
    <comment ref="DA70" authorId="1">
      <text>
        <r>
          <rPr>
            <b/>
            <sz val="9"/>
            <color indexed="81"/>
            <rFont val="Tahoma"/>
            <family val="2"/>
          </rPr>
          <t>Allen, Thomas (Research):</t>
        </r>
        <r>
          <rPr>
            <sz val="9"/>
            <color indexed="81"/>
            <rFont val="Tahoma"/>
            <family val="2"/>
          </rPr>
          <t xml:space="preserve">
Lower than 30% payout ratio in 2018-2019 as assume MAR wants to maintain div when EPS drops (in our estimate, 2020)</t>
        </r>
      </text>
    </comment>
    <comment ref="BP77" authorId="9">
      <text>
        <r>
          <rPr>
            <b/>
            <sz val="8"/>
            <color indexed="81"/>
            <rFont val="Tahoma"/>
            <family val="2"/>
          </rPr>
          <t>danfuss:</t>
        </r>
        <r>
          <rPr>
            <sz val="8"/>
            <color indexed="81"/>
            <rFont val="Tahoma"/>
            <family val="2"/>
          </rPr>
          <t xml:space="preserve">
Guided to 20</t>
        </r>
      </text>
    </comment>
    <comment ref="BP78" authorId="9">
      <text>
        <r>
          <rPr>
            <b/>
            <sz val="8"/>
            <color indexed="81"/>
            <rFont val="Tahoma"/>
            <family val="2"/>
          </rPr>
          <t>danfuss:</t>
        </r>
        <r>
          <rPr>
            <sz val="8"/>
            <color indexed="81"/>
            <rFont val="Tahoma"/>
            <family val="2"/>
          </rPr>
          <t xml:space="preserve">
Guided to 30</t>
        </r>
      </text>
    </comment>
    <comment ref="A81" authorId="9">
      <text>
        <r>
          <rPr>
            <b/>
            <sz val="8"/>
            <color indexed="81"/>
            <rFont val="Tahoma"/>
            <family val="2"/>
          </rPr>
          <t>danfuss:</t>
        </r>
        <r>
          <rPr>
            <sz val="8"/>
            <color indexed="81"/>
            <rFont val="Tahoma"/>
            <family val="2"/>
          </rPr>
          <t xml:space="preserve">
Depreciation reimbursed by third party owners</t>
        </r>
      </text>
    </comment>
    <comment ref="AM81" authorId="10">
      <text>
        <r>
          <rPr>
            <sz val="8"/>
            <color indexed="81"/>
            <rFont val="Tahoma"/>
            <family val="2"/>
          </rPr>
          <t xml:space="preserve">Includes Synthetic Fuel depreciation - $2m
</t>
        </r>
      </text>
    </comment>
    <comment ref="AN81" authorId="10">
      <text>
        <r>
          <rPr>
            <sz val="8"/>
            <color indexed="81"/>
            <rFont val="Tahoma"/>
            <family val="2"/>
          </rPr>
          <t xml:space="preserve">Includes Synthetic Fuel depreciation - $2m
</t>
        </r>
      </text>
    </comment>
    <comment ref="AO81" authorId="10">
      <text>
        <r>
          <rPr>
            <sz val="8"/>
            <color indexed="81"/>
            <rFont val="Tahoma"/>
            <family val="2"/>
          </rPr>
          <t xml:space="preserve">Includes Synthetic Fuel depreciation - $2m
</t>
        </r>
      </text>
    </comment>
    <comment ref="AP81" authorId="10">
      <text>
        <r>
          <rPr>
            <sz val="8"/>
            <color indexed="81"/>
            <rFont val="Tahoma"/>
            <family val="2"/>
          </rPr>
          <t xml:space="preserve">Includes Synthetic Fuel depreciation - $2m
</t>
        </r>
      </text>
    </comment>
    <comment ref="AQ81" authorId="10">
      <text>
        <r>
          <rPr>
            <sz val="8"/>
            <color indexed="81"/>
            <rFont val="Tahoma"/>
            <family val="2"/>
          </rPr>
          <t xml:space="preserve">Includes Synthetic Fuel depreciation - $8m
</t>
        </r>
      </text>
    </comment>
    <comment ref="AR81" authorId="10">
      <text>
        <r>
          <rPr>
            <sz val="8"/>
            <color indexed="81"/>
            <rFont val="Tahoma"/>
            <family val="2"/>
          </rPr>
          <t xml:space="preserve">Includes Synthetic Fuel depreciation - $2m
</t>
        </r>
      </text>
    </comment>
    <comment ref="AS81" authorId="10">
      <text>
        <r>
          <rPr>
            <sz val="8"/>
            <color indexed="81"/>
            <rFont val="Tahoma"/>
            <family val="2"/>
          </rPr>
          <t xml:space="preserve">Includes Synthetic Fuel depreciation - $2m
</t>
        </r>
      </text>
    </comment>
    <comment ref="AT81" authorId="10">
      <text>
        <r>
          <rPr>
            <sz val="8"/>
            <color indexed="81"/>
            <rFont val="Tahoma"/>
            <family val="2"/>
          </rPr>
          <t xml:space="preserve">Includes Synthetic Fuel depreciation - $2m
</t>
        </r>
      </text>
    </comment>
    <comment ref="AU81" authorId="10">
      <text>
        <r>
          <rPr>
            <sz val="8"/>
            <color indexed="81"/>
            <rFont val="Tahoma"/>
            <family val="2"/>
          </rPr>
          <t xml:space="preserve">Includes Synthetic Fuel depreciation - $2m
</t>
        </r>
      </text>
    </comment>
    <comment ref="AV81" authorId="10">
      <text>
        <r>
          <rPr>
            <sz val="8"/>
            <color indexed="81"/>
            <rFont val="Tahoma"/>
            <family val="2"/>
          </rPr>
          <t xml:space="preserve">Includes Synthetic Fuel depreciation - $8m
</t>
        </r>
      </text>
    </comment>
    <comment ref="BP81" authorId="9">
      <text>
        <r>
          <rPr>
            <b/>
            <sz val="8"/>
            <color indexed="81"/>
            <rFont val="Tahoma"/>
            <family val="2"/>
          </rPr>
          <t>danfuss:</t>
        </r>
        <r>
          <rPr>
            <sz val="8"/>
            <color indexed="81"/>
            <rFont val="Tahoma"/>
            <family val="2"/>
          </rPr>
          <t xml:space="preserve">
Guided to (15)</t>
        </r>
      </text>
    </comment>
    <comment ref="DD81" authorId="9">
      <text>
        <r>
          <rPr>
            <b/>
            <sz val="8"/>
            <color indexed="81"/>
            <rFont val="Tahoma"/>
            <family val="2"/>
          </rPr>
          <t>danfuss:</t>
        </r>
        <r>
          <rPr>
            <sz val="8"/>
            <color indexed="81"/>
            <rFont val="Tahoma"/>
            <family val="2"/>
          </rPr>
          <t xml:space="preserve">
Depreciation reimbursed by third party owners</t>
        </r>
      </text>
    </comment>
    <comment ref="AC82" authorId="4">
      <text>
        <r>
          <rPr>
            <b/>
            <sz val="8"/>
            <color indexed="8"/>
            <rFont val="Tahoma"/>
            <family val="2"/>
          </rPr>
          <t>urbank:</t>
        </r>
        <r>
          <rPr>
            <sz val="9"/>
            <color indexed="8"/>
            <rFont val="Tahoma"/>
            <family val="2"/>
          </rPr>
          <t xml:space="preserve">
pre-tax loss (gain discontinued ops</t>
        </r>
      </text>
    </comment>
    <comment ref="AE82" authorId="4">
      <text>
        <r>
          <rPr>
            <b/>
            <sz val="8"/>
            <color indexed="8"/>
            <rFont val="Tahoma"/>
            <family val="2"/>
          </rPr>
          <t>urbank:</t>
        </r>
        <r>
          <rPr>
            <sz val="9"/>
            <color indexed="8"/>
            <rFont val="Tahoma"/>
            <family val="2"/>
          </rPr>
          <t xml:space="preserve">
pre-tax loss (gain discontinued ops</t>
        </r>
      </text>
    </comment>
    <comment ref="AF82" authorId="4">
      <text>
        <r>
          <rPr>
            <b/>
            <sz val="8"/>
            <color indexed="8"/>
            <rFont val="Tahoma"/>
            <family val="2"/>
          </rPr>
          <t>urbank:</t>
        </r>
        <r>
          <rPr>
            <sz val="9"/>
            <color indexed="8"/>
            <rFont val="Tahoma"/>
            <family val="2"/>
          </rPr>
          <t xml:space="preserve">
pre-tax loss (gain discontinued ops</t>
        </r>
      </text>
    </comment>
    <comment ref="AI82" authorId="4">
      <text>
        <r>
          <rPr>
            <b/>
            <sz val="8"/>
            <color indexed="8"/>
            <rFont val="Tahoma"/>
            <family val="2"/>
          </rPr>
          <t>urbank:</t>
        </r>
        <r>
          <rPr>
            <sz val="8"/>
            <color indexed="8"/>
            <rFont val="Tahoma"/>
            <family val="2"/>
          </rPr>
          <t xml:space="preserve">
</t>
        </r>
        <r>
          <rPr>
            <sz val="9"/>
            <color indexed="8"/>
            <rFont val="Tahoma"/>
            <family val="2"/>
          </rPr>
          <t xml:space="preserve">bedding incentive
</t>
        </r>
      </text>
    </comment>
    <comment ref="AK82" authorId="4">
      <text>
        <r>
          <rPr>
            <b/>
            <sz val="8"/>
            <color indexed="8"/>
            <rFont val="Tahoma"/>
            <family val="2"/>
          </rPr>
          <t>urbank:</t>
        </r>
        <r>
          <rPr>
            <sz val="8"/>
            <color indexed="8"/>
            <rFont val="Tahoma"/>
            <family val="2"/>
          </rPr>
          <t xml:space="preserve">
</t>
        </r>
        <r>
          <rPr>
            <sz val="9"/>
            <color indexed="8"/>
            <rFont val="Tahoma"/>
            <family val="2"/>
          </rPr>
          <t>syn-fuel tax adj, also in syn-fuel NI (458)</t>
        </r>
      </text>
    </comment>
    <comment ref="AW82" authorId="19">
      <text>
        <r>
          <rPr>
            <b/>
            <sz val="8"/>
            <color indexed="8"/>
            <rFont val="Tahoma"/>
            <family val="2"/>
          </rPr>
          <t>Ryan Meliker:</t>
        </r>
        <r>
          <rPr>
            <sz val="8"/>
            <color indexed="8"/>
            <rFont val="Tahoma"/>
            <family val="2"/>
          </rPr>
          <t xml:space="preserve">
Discontinued Ops, tax provision for minority interest</t>
        </r>
      </text>
    </comment>
    <comment ref="BD82" authorId="17">
      <text>
        <r>
          <rPr>
            <b/>
            <sz val="8"/>
            <color indexed="8"/>
            <rFont val="Tahoma"/>
            <family val="2"/>
          </rPr>
          <t>ryanmel:</t>
        </r>
        <r>
          <rPr>
            <sz val="8"/>
            <color indexed="8"/>
            <rFont val="Tahoma"/>
            <family val="2"/>
          </rPr>
          <t xml:space="preserve">
inc. timehare impairments and restructuring charges</t>
        </r>
      </text>
    </comment>
    <comment ref="AZ83" authorId="10">
      <text>
        <r>
          <rPr>
            <sz val="8"/>
            <color indexed="81"/>
            <rFont val="Tahoma"/>
            <family val="2"/>
          </rPr>
          <t xml:space="preserve">Total non-recurring charges
</t>
        </r>
      </text>
    </comment>
    <comment ref="BP84" authorId="9">
      <text>
        <r>
          <rPr>
            <b/>
            <sz val="8"/>
            <color indexed="81"/>
            <rFont val="Tahoma"/>
            <family val="2"/>
          </rPr>
          <t>DJF:</t>
        </r>
        <r>
          <rPr>
            <sz val="8"/>
            <color indexed="81"/>
            <rFont val="Tahoma"/>
            <family val="2"/>
          </rPr>
          <t xml:space="preserve">
Guidance (2Q11): $1,135 to $1,180 mn
</t>
        </r>
        <r>
          <rPr>
            <b/>
            <sz val="8"/>
            <color indexed="81"/>
            <rFont val="Tahoma"/>
            <family val="2"/>
          </rPr>
          <t>10/10/11
FY Guidance:</t>
        </r>
        <r>
          <rPr>
            <sz val="8"/>
            <color indexed="81"/>
            <rFont val="Tahoma"/>
            <family val="2"/>
          </rPr>
          <t xml:space="preserve"> $1,112 - $1,132 mn (does not include incremental G&amp;A expense)</t>
        </r>
      </text>
    </comment>
    <comment ref="BU84" authorId="18">
      <text>
        <r>
          <rPr>
            <b/>
            <sz val="8"/>
            <color indexed="81"/>
            <rFont val="Tahoma"/>
            <family val="2"/>
          </rPr>
          <t>DJF 2/15/12:</t>
        </r>
        <r>
          <rPr>
            <sz val="8"/>
            <color indexed="81"/>
            <rFont val="Tahoma"/>
            <family val="2"/>
          </rPr>
          <t xml:space="preserve">
Guidance: $1,090 - 1,150M</t>
        </r>
      </text>
    </comment>
    <comment ref="CY89" authorId="1">
      <text>
        <r>
          <rPr>
            <b/>
            <sz val="9"/>
            <color indexed="81"/>
            <rFont val="Tahoma"/>
            <family val="2"/>
          </rPr>
          <t>Allen, Thomas (Research):</t>
        </r>
        <r>
          <rPr>
            <sz val="9"/>
            <color indexed="81"/>
            <rFont val="Tahoma"/>
            <family val="2"/>
          </rPr>
          <t xml:space="preserve">
$330m</t>
        </r>
      </text>
    </comment>
    <comment ref="BP90" authorId="9">
      <text>
        <r>
          <rPr>
            <b/>
            <sz val="8"/>
            <color indexed="81"/>
            <rFont val="Tahoma"/>
            <family val="2"/>
          </rPr>
          <t>danfuss:</t>
        </r>
        <r>
          <rPr>
            <sz val="8"/>
            <color indexed="81"/>
            <rFont val="Tahoma"/>
            <family val="2"/>
          </rPr>
          <t xml:space="preserve">
Guided to 20</t>
        </r>
      </text>
    </comment>
    <comment ref="CT90" authorId="2">
      <text>
        <r>
          <rPr>
            <b/>
            <sz val="9"/>
            <color indexed="81"/>
            <rFont val="Tahoma"/>
            <family val="2"/>
          </rPr>
          <t>Savino, Mark (Research):</t>
        </r>
        <r>
          <rPr>
            <sz val="9"/>
            <color indexed="81"/>
            <rFont val="Tahoma"/>
            <family val="2"/>
          </rPr>
          <t xml:space="preserve">
4Q16: $649-681m</t>
        </r>
      </text>
    </comment>
    <comment ref="CY90" authorId="1">
      <text>
        <r>
          <rPr>
            <b/>
            <sz val="9"/>
            <color indexed="81"/>
            <rFont val="Tahoma"/>
            <family val="2"/>
          </rPr>
          <t>Allen, Thomas (Research):</t>
        </r>
        <r>
          <rPr>
            <sz val="9"/>
            <color indexed="81"/>
            <rFont val="Tahoma"/>
            <family val="2"/>
          </rPr>
          <t xml:space="preserve">
4Q17: $527-551m</t>
        </r>
      </text>
    </comment>
    <comment ref="BZ91" authorId="7">
      <text>
        <r>
          <rPr>
            <b/>
            <sz val="8"/>
            <color indexed="81"/>
            <rFont val="Tahoma"/>
            <family val="2"/>
          </rPr>
          <t>thallen:</t>
        </r>
        <r>
          <rPr>
            <sz val="8"/>
            <color indexed="81"/>
            <rFont val="Tahoma"/>
            <family val="2"/>
          </rPr>
          <t xml:space="preserve">
Guidance per 3Q13 $155m</t>
        </r>
      </text>
    </comment>
    <comment ref="CB91" authorId="2">
      <text>
        <r>
          <rPr>
            <b/>
            <sz val="9"/>
            <color indexed="81"/>
            <rFont val="Tahoma"/>
            <family val="2"/>
          </rPr>
          <t>Savino, Mark (Research):</t>
        </r>
        <r>
          <rPr>
            <sz val="9"/>
            <color indexed="81"/>
            <rFont val="Tahoma"/>
            <family val="2"/>
          </rPr>
          <t xml:space="preserve">
Guidance: $30m</t>
        </r>
      </text>
    </comment>
    <comment ref="CC91" authorId="5">
      <text>
        <r>
          <rPr>
            <sz val="9"/>
            <color indexed="81"/>
            <rFont val="Tahoma"/>
            <family val="2"/>
          </rPr>
          <t>Guidance $30m</t>
        </r>
      </text>
    </comment>
    <comment ref="CE91" authorId="13">
      <text>
        <r>
          <rPr>
            <b/>
            <sz val="8"/>
            <color indexed="81"/>
            <rFont val="Tahoma"/>
            <family val="2"/>
          </rPr>
          <t>Guidance :</t>
        </r>
        <r>
          <rPr>
            <sz val="8"/>
            <color indexed="81"/>
            <rFont val="Tahoma"/>
            <family val="2"/>
          </rPr>
          <t xml:space="preserve"> 
(3Q14): $120m 
(2Q14): $145m (incl. JV)
(1Q14): $130m
$120mn Source :  8k of 4Q13</t>
        </r>
      </text>
    </comment>
    <comment ref="CI91" authorId="11">
      <text>
        <r>
          <rPr>
            <b/>
            <sz val="9"/>
            <color indexed="81"/>
            <rFont val="Tahoma"/>
            <family val="2"/>
          </rPr>
          <t xml:space="preserve">Guidance:
</t>
        </r>
        <r>
          <rPr>
            <sz val="9"/>
            <color indexed="81"/>
            <rFont val="Tahoma"/>
            <family val="2"/>
          </rPr>
          <t xml:space="preserve">3Q15: $35m
</t>
        </r>
      </text>
    </comment>
    <comment ref="CJ91" authorId="13">
      <text>
        <r>
          <rPr>
            <b/>
            <sz val="8"/>
            <color indexed="81"/>
            <rFont val="Tahoma"/>
            <family val="2"/>
          </rPr>
          <t>Guidance :</t>
        </r>
        <r>
          <rPr>
            <sz val="8"/>
            <color indexed="81"/>
            <rFont val="Tahoma"/>
            <family val="2"/>
          </rPr>
          <t xml:space="preserve"> 
3Q15: $130m
2Q15: $128m 
1Q15: $138m 
4Q14: $135m 
</t>
        </r>
      </text>
    </comment>
    <comment ref="CK91" authorId="2">
      <text>
        <r>
          <rPr>
            <b/>
            <sz val="9"/>
            <color indexed="81"/>
            <rFont val="Tahoma"/>
            <family val="2"/>
          </rPr>
          <t>Savino, Mark (Research):</t>
        </r>
        <r>
          <rPr>
            <sz val="9"/>
            <color indexed="81"/>
            <rFont val="Tahoma"/>
            <family val="2"/>
          </rPr>
          <t xml:space="preserve">
Guidance $30m</t>
        </r>
      </text>
    </comment>
    <comment ref="CM91" authorId="2">
      <text>
        <r>
          <rPr>
            <b/>
            <sz val="9"/>
            <color indexed="81"/>
            <rFont val="Tahoma"/>
            <family val="2"/>
          </rPr>
          <t>Savino, Mark (Research):</t>
        </r>
        <r>
          <rPr>
            <sz val="9"/>
            <color indexed="81"/>
            <rFont val="Tahoma"/>
            <family val="2"/>
          </rPr>
          <t xml:space="preserve">
Guidance: $35m
Includes 8 days of HOT</t>
        </r>
      </text>
    </comment>
    <comment ref="CN91" authorId="2">
      <text>
        <r>
          <rPr>
            <b/>
            <sz val="9"/>
            <color indexed="81"/>
            <rFont val="Tahoma"/>
            <family val="2"/>
          </rPr>
          <t>Savino, Mark (Research):</t>
        </r>
        <r>
          <rPr>
            <sz val="9"/>
            <color indexed="81"/>
            <rFont val="Tahoma"/>
            <family val="2"/>
          </rPr>
          <t xml:space="preserve">
3Q16: $70-75m
Per 3/25 8k: $67m of HOT's legacy fee revenue gets shifted to D&amp;A 
2Q16: $34m MAR standalone</t>
        </r>
      </text>
    </comment>
    <comment ref="CO91" authorId="2">
      <text>
        <r>
          <rPr>
            <b/>
            <sz val="9"/>
            <color indexed="81"/>
            <rFont val="Tahoma"/>
            <family val="2"/>
          </rPr>
          <t>Savino, Mark (Research):</t>
        </r>
        <r>
          <rPr>
            <sz val="9"/>
            <color indexed="81"/>
            <rFont val="Tahoma"/>
            <family val="2"/>
          </rPr>
          <t xml:space="preserve">
1Q16: $130m
4Q15: $130m</t>
        </r>
      </text>
    </comment>
    <comment ref="CP91" authorId="2">
      <text>
        <r>
          <rPr>
            <b/>
            <sz val="9"/>
            <color indexed="81"/>
            <rFont val="Tahoma"/>
            <family val="2"/>
          </rPr>
          <t>Savino, Mark (Research):</t>
        </r>
        <r>
          <rPr>
            <sz val="9"/>
            <color indexed="81"/>
            <rFont val="Tahoma"/>
            <family val="2"/>
          </rPr>
          <t xml:space="preserve">
4Q16: $70m</t>
        </r>
      </text>
    </comment>
    <comment ref="CQ91" authorId="2">
      <text>
        <r>
          <rPr>
            <b/>
            <sz val="9"/>
            <color indexed="81"/>
            <rFont val="Tahoma"/>
            <family val="2"/>
          </rPr>
          <t>Savino, Mark (Research):</t>
        </r>
        <r>
          <rPr>
            <sz val="9"/>
            <color indexed="81"/>
            <rFont val="Tahoma"/>
            <family val="2"/>
          </rPr>
          <t xml:space="preserve">
1Q17: $65m</t>
        </r>
      </text>
    </comment>
    <comment ref="CT91" authorId="12">
      <text>
        <r>
          <rPr>
            <sz val="8"/>
            <color indexed="81"/>
            <rFont val="Tahoma"/>
            <family val="2"/>
          </rPr>
          <t>Guidance:
2Q17: $290m
1Q17: $270m
4Q16: $280m
3Q16: $270-280m
$160m as per Investor Day (9/8/14)</t>
        </r>
        <r>
          <rPr>
            <b/>
            <sz val="8"/>
            <color indexed="81"/>
            <rFont val="Tahoma"/>
            <family val="2"/>
          </rPr>
          <t xml:space="preserve">
</t>
        </r>
      </text>
    </comment>
    <comment ref="CY91" authorId="2">
      <text>
        <r>
          <rPr>
            <b/>
            <sz val="9"/>
            <color indexed="81"/>
            <rFont val="Tahoma"/>
            <family val="2"/>
          </rPr>
          <t>Savino, Mark (Research):</t>
        </r>
        <r>
          <rPr>
            <sz val="9"/>
            <color indexed="81"/>
            <rFont val="Tahoma"/>
            <family val="2"/>
          </rPr>
          <t xml:space="preserve">
4Q17: $230m + $55m contract investment amortization</t>
        </r>
      </text>
    </comment>
    <comment ref="CZ91" authorId="6">
      <text>
        <r>
          <rPr>
            <b/>
            <sz val="9"/>
            <color indexed="81"/>
            <rFont val="Tahoma"/>
            <family val="2"/>
          </rPr>
          <t>Zheng, Chaodan (Research):</t>
        </r>
        <r>
          <rPr>
            <sz val="9"/>
            <color indexed="81"/>
            <rFont val="Tahoma"/>
            <family val="2"/>
          </rPr>
          <t xml:space="preserve">
3/21/17 Investor Day: $260m assuming 1-3% annual RevPAR growth in 2017 through 2019 but assumes asset sales</t>
        </r>
      </text>
    </comment>
    <comment ref="A92" authorId="9">
      <text>
        <r>
          <rPr>
            <b/>
            <sz val="8"/>
            <color indexed="81"/>
            <rFont val="Tahoma"/>
            <family val="2"/>
          </rPr>
          <t>danfuss:</t>
        </r>
        <r>
          <rPr>
            <sz val="8"/>
            <color indexed="81"/>
            <rFont val="Tahoma"/>
            <family val="2"/>
          </rPr>
          <t xml:space="preserve">
Depreciation reimbursed by third party owners</t>
        </r>
      </text>
    </comment>
    <comment ref="BP92" authorId="9">
      <text>
        <r>
          <rPr>
            <b/>
            <sz val="8"/>
            <color indexed="81"/>
            <rFont val="Tahoma"/>
            <family val="2"/>
          </rPr>
          <t>danfuss:</t>
        </r>
        <r>
          <rPr>
            <sz val="8"/>
            <color indexed="81"/>
            <rFont val="Tahoma"/>
            <family val="2"/>
          </rPr>
          <t xml:space="preserve">
Guided to (15)</t>
        </r>
      </text>
    </comment>
    <comment ref="BZ92" authorId="7">
      <text>
        <r>
          <rPr>
            <b/>
            <sz val="8"/>
            <color indexed="81"/>
            <rFont val="Tahoma"/>
            <family val="2"/>
          </rPr>
          <t>thallen:</t>
        </r>
        <r>
          <rPr>
            <sz val="8"/>
            <color indexed="81"/>
            <rFont val="Tahoma"/>
            <family val="2"/>
          </rPr>
          <t xml:space="preserve">
Guidance from 4Q12 earnings $20mm
Guidance from 2Q13 is $20mm
Guidance from 3Q13 is $20m</t>
        </r>
      </text>
    </comment>
    <comment ref="CE92" authorId="1">
      <text>
        <r>
          <rPr>
            <b/>
            <sz val="9"/>
            <color indexed="81"/>
            <rFont val="Tahoma"/>
            <family val="2"/>
          </rPr>
          <t>Allen, Thomas (Research):</t>
        </r>
        <r>
          <rPr>
            <sz val="9"/>
            <color indexed="81"/>
            <rFont val="Tahoma"/>
            <family val="2"/>
          </rPr>
          <t xml:space="preserve">
Guidance:
(4Q13): $175m combined with above</t>
        </r>
      </text>
    </comment>
    <comment ref="CJ92" authorId="13">
      <text>
        <r>
          <rPr>
            <b/>
            <sz val="8"/>
            <color indexed="81"/>
            <rFont val="Tahoma"/>
            <family val="2"/>
          </rPr>
          <t>Guidance :</t>
        </r>
        <r>
          <rPr>
            <sz val="8"/>
            <color indexed="81"/>
            <rFont val="Tahoma"/>
            <family val="2"/>
          </rPr>
          <t xml:space="preserve"> 
(3Q15): $55m 
(2Q15): $60m 
(1Q15): $60m 
(4Q14): $60m 
</t>
        </r>
      </text>
    </comment>
    <comment ref="CM92" authorId="2">
      <text>
        <r>
          <rPr>
            <b/>
            <sz val="9"/>
            <color indexed="81"/>
            <rFont val="Tahoma"/>
            <family val="2"/>
          </rPr>
          <t>Savino, Mark (Research):</t>
        </r>
        <r>
          <rPr>
            <sz val="9"/>
            <color indexed="81"/>
            <rFont val="Tahoma"/>
            <family val="2"/>
          </rPr>
          <t xml:space="preserve">
Guidance: $16m
Includes 8 days of HOT</t>
        </r>
      </text>
    </comment>
    <comment ref="CN92" authorId="2">
      <text>
        <r>
          <rPr>
            <b/>
            <sz val="9"/>
            <color indexed="81"/>
            <rFont val="Tahoma"/>
            <family val="2"/>
          </rPr>
          <t>Savino, Mark (Research):</t>
        </r>
        <r>
          <rPr>
            <sz val="9"/>
            <color indexed="81"/>
            <rFont val="Tahoma"/>
            <family val="2"/>
          </rPr>
          <t xml:space="preserve">
2Q16: $16m</t>
        </r>
      </text>
    </comment>
    <comment ref="CO92" authorId="2">
      <text>
        <r>
          <rPr>
            <b/>
            <sz val="9"/>
            <color indexed="81"/>
            <rFont val="Tahoma"/>
            <family val="2"/>
          </rPr>
          <t>Savino, Mark (Research):</t>
        </r>
        <r>
          <rPr>
            <sz val="9"/>
            <color indexed="81"/>
            <rFont val="Tahoma"/>
            <family val="2"/>
          </rPr>
          <t xml:space="preserve">
2Q16: $60m
1Q16: $60m
4Q15: $60m</t>
        </r>
      </text>
    </comment>
    <comment ref="CQ92" authorId="2">
      <text>
        <r>
          <rPr>
            <b/>
            <sz val="9"/>
            <color indexed="81"/>
            <rFont val="Tahoma"/>
            <family val="2"/>
          </rPr>
          <t>Savino, Mark (Research):</t>
        </r>
        <r>
          <rPr>
            <sz val="9"/>
            <color indexed="81"/>
            <rFont val="Tahoma"/>
            <family val="2"/>
          </rPr>
          <t xml:space="preserve">
1Q17: $35m</t>
        </r>
      </text>
    </comment>
    <comment ref="CR92" authorId="2">
      <text>
        <r>
          <rPr>
            <b/>
            <sz val="9"/>
            <color indexed="81"/>
            <rFont val="Tahoma"/>
            <family val="2"/>
          </rPr>
          <t>Savino, Mark (Research):</t>
        </r>
        <r>
          <rPr>
            <sz val="9"/>
            <color indexed="81"/>
            <rFont val="Tahoma"/>
            <family val="2"/>
          </rPr>
          <t xml:space="preserve">
2Q17: $35m</t>
        </r>
      </text>
    </comment>
    <comment ref="CT92" authorId="12">
      <text>
        <r>
          <rPr>
            <sz val="8"/>
            <color indexed="81"/>
            <rFont val="Tahoma"/>
            <family val="2"/>
          </rPr>
          <t xml:space="preserve">Guidance:
2Q17: $140m
1Q17: $140m
4Q16: $145m
$60 million per Analyst Day (9/8/14) </t>
        </r>
        <r>
          <rPr>
            <b/>
            <sz val="8"/>
            <color indexed="81"/>
            <rFont val="Tahoma"/>
            <family val="2"/>
          </rPr>
          <t xml:space="preserve">
</t>
        </r>
      </text>
    </comment>
    <comment ref="CY92" authorId="1">
      <text>
        <r>
          <rPr>
            <b/>
            <sz val="9"/>
            <color indexed="81"/>
            <rFont val="Tahoma"/>
            <family val="2"/>
          </rPr>
          <t>Allen, Thomas (Research):</t>
        </r>
        <r>
          <rPr>
            <sz val="9"/>
            <color indexed="81"/>
            <rFont val="Tahoma"/>
            <family val="2"/>
          </rPr>
          <t xml:space="preserve">
4Q17: $145m</t>
        </r>
      </text>
    </comment>
    <comment ref="CZ92" authorId="6">
      <text>
        <r>
          <rPr>
            <b/>
            <sz val="9"/>
            <color indexed="81"/>
            <rFont val="Tahoma"/>
            <family val="2"/>
          </rPr>
          <t>Zheng, Chaodan (Research):</t>
        </r>
        <r>
          <rPr>
            <sz val="9"/>
            <color indexed="81"/>
            <rFont val="Tahoma"/>
            <family val="2"/>
          </rPr>
          <t xml:space="preserve">
3/21/17 Investor Day: $110m depreciation classified in reimbursed costs assuming 1-3% annual RevPAR growth in 2017 through 2019</t>
        </r>
      </text>
    </comment>
    <comment ref="DD92" authorId="9">
      <text>
        <r>
          <rPr>
            <b/>
            <sz val="8"/>
            <color indexed="81"/>
            <rFont val="Tahoma"/>
            <family val="2"/>
          </rPr>
          <t>danfuss:</t>
        </r>
        <r>
          <rPr>
            <sz val="8"/>
            <color indexed="81"/>
            <rFont val="Tahoma"/>
            <family val="2"/>
          </rPr>
          <t xml:space="preserve">
Depreciation reimbursed by third party owners</t>
        </r>
      </text>
    </comment>
    <comment ref="BP93" authorId="9">
      <text>
        <r>
          <rPr>
            <b/>
            <sz val="8"/>
            <color indexed="81"/>
            <rFont val="Tahoma"/>
            <family val="2"/>
          </rPr>
          <t>danfuss:</t>
        </r>
        <r>
          <rPr>
            <sz val="8"/>
            <color indexed="81"/>
            <rFont val="Tahoma"/>
            <family val="2"/>
          </rPr>
          <t xml:space="preserve">
Guided to 20</t>
        </r>
      </text>
    </comment>
    <comment ref="BZ93" authorId="7">
      <text>
        <r>
          <rPr>
            <b/>
            <sz val="8"/>
            <color indexed="81"/>
            <rFont val="Tahoma"/>
            <family val="2"/>
          </rPr>
          <t>thallen:</t>
        </r>
        <r>
          <rPr>
            <sz val="8"/>
            <color indexed="81"/>
            <rFont val="Tahoma"/>
            <family val="2"/>
          </rPr>
          <t xml:space="preserve">
Guidance from 4Q12 earnings $10mm
Guidance from 2Q13 earnings $5mm
Guidance from 3Q13 is $5m</t>
        </r>
      </text>
    </comment>
    <comment ref="CE93" authorId="1">
      <text>
        <r>
          <rPr>
            <b/>
            <sz val="9"/>
            <color indexed="81"/>
            <rFont val="Tahoma"/>
            <family val="2"/>
          </rPr>
          <t>Allen, Thomas (Research):</t>
        </r>
        <r>
          <rPr>
            <sz val="9"/>
            <color indexed="81"/>
            <rFont val="Tahoma"/>
            <family val="2"/>
          </rPr>
          <t xml:space="preserve">
Guidance: $5m</t>
        </r>
      </text>
    </comment>
    <comment ref="CJ93" authorId="13">
      <text>
        <r>
          <rPr>
            <b/>
            <sz val="8"/>
            <color indexed="81"/>
            <rFont val="Tahoma"/>
            <family val="2"/>
          </rPr>
          <t>Guidance :</t>
        </r>
        <r>
          <rPr>
            <sz val="8"/>
            <color indexed="81"/>
            <rFont val="Tahoma"/>
            <family val="2"/>
          </rPr>
          <t xml:space="preserve"> 
(3Q15): $5m 
(2Q15): $5m 
(1Q15): $5m 
(4Q14): $10m 
</t>
        </r>
      </text>
    </comment>
    <comment ref="CM93" authorId="2">
      <text>
        <r>
          <rPr>
            <b/>
            <sz val="9"/>
            <color indexed="81"/>
            <rFont val="Tahoma"/>
            <family val="2"/>
          </rPr>
          <t>Savino, Mark (Research):</t>
        </r>
        <r>
          <rPr>
            <sz val="9"/>
            <color indexed="81"/>
            <rFont val="Tahoma"/>
            <family val="2"/>
          </rPr>
          <t xml:space="preserve">
Guidance: $1m
Includes 8 days of HOT</t>
        </r>
      </text>
    </comment>
    <comment ref="CN93" authorId="2">
      <text>
        <r>
          <rPr>
            <b/>
            <sz val="9"/>
            <color indexed="81"/>
            <rFont val="Tahoma"/>
            <family val="2"/>
          </rPr>
          <t>Savino, Mark (Research):</t>
        </r>
        <r>
          <rPr>
            <sz val="9"/>
            <color indexed="81"/>
            <rFont val="Tahoma"/>
            <family val="2"/>
          </rPr>
          <t xml:space="preserve">
2Q16: $2m</t>
        </r>
      </text>
    </comment>
    <comment ref="CO93" authorId="2">
      <text>
        <r>
          <rPr>
            <b/>
            <sz val="9"/>
            <color indexed="81"/>
            <rFont val="Tahoma"/>
            <family val="2"/>
          </rPr>
          <t>Savino, Mark (Research):</t>
        </r>
        <r>
          <rPr>
            <sz val="9"/>
            <color indexed="81"/>
            <rFont val="Tahoma"/>
            <family val="2"/>
          </rPr>
          <t xml:space="preserve">
2Q16: $5m
1Q16: $5m
4Q15: $5m</t>
        </r>
      </text>
    </comment>
    <comment ref="CQ93" authorId="2">
      <text>
        <r>
          <rPr>
            <b/>
            <sz val="9"/>
            <color indexed="81"/>
            <rFont val="Tahoma"/>
            <family val="2"/>
          </rPr>
          <t>Savino, Mark (Research):</t>
        </r>
        <r>
          <rPr>
            <sz val="9"/>
            <color indexed="81"/>
            <rFont val="Tahoma"/>
            <family val="2"/>
          </rPr>
          <t xml:space="preserve">
1Q17: $5m</t>
        </r>
      </text>
    </comment>
    <comment ref="CR93" authorId="2">
      <text>
        <r>
          <rPr>
            <b/>
            <sz val="9"/>
            <color indexed="81"/>
            <rFont val="Tahoma"/>
            <family val="2"/>
          </rPr>
          <t>Savino, Mark (Research):</t>
        </r>
        <r>
          <rPr>
            <sz val="9"/>
            <color indexed="81"/>
            <rFont val="Tahoma"/>
            <family val="2"/>
          </rPr>
          <t xml:space="preserve">
2Q17: $5m</t>
        </r>
      </text>
    </comment>
    <comment ref="CT93" authorId="2">
      <text>
        <r>
          <rPr>
            <b/>
            <sz val="9"/>
            <color indexed="81"/>
            <rFont val="Tahoma"/>
            <family val="2"/>
          </rPr>
          <t>Savino, Mark (Research):</t>
        </r>
        <r>
          <rPr>
            <sz val="9"/>
            <color indexed="81"/>
            <rFont val="Tahoma"/>
            <family val="2"/>
          </rPr>
          <t xml:space="preserve">
2Q17: $15m
1Q17: $15m
4Q16: $10m</t>
        </r>
      </text>
    </comment>
    <comment ref="CY93" authorId="1">
      <text>
        <r>
          <rPr>
            <b/>
            <sz val="9"/>
            <color indexed="81"/>
            <rFont val="Tahoma"/>
            <family val="2"/>
          </rPr>
          <t>Allen, Thomas (Research):</t>
        </r>
        <r>
          <rPr>
            <sz val="9"/>
            <color indexed="81"/>
            <rFont val="Tahoma"/>
            <family val="2"/>
          </rPr>
          <t xml:space="preserve">
4Q17: $10m</t>
        </r>
      </text>
    </comment>
    <comment ref="CZ93" authorId="6">
      <text>
        <r>
          <rPr>
            <b/>
            <sz val="9"/>
            <color indexed="81"/>
            <rFont val="Tahoma"/>
            <family val="2"/>
          </rPr>
          <t>Zheng, Chaodan (Research):</t>
        </r>
        <r>
          <rPr>
            <sz val="9"/>
            <color indexed="81"/>
            <rFont val="Tahoma"/>
            <family val="2"/>
          </rPr>
          <t xml:space="preserve">
3/21/17 Investor Day: $15m assuming 1-3% annual RevPAR growth in 2017 through 2019</t>
        </r>
      </text>
    </comment>
    <comment ref="BP94" authorId="9">
      <text>
        <r>
          <rPr>
            <b/>
            <sz val="8"/>
            <color indexed="81"/>
            <rFont val="Tahoma"/>
            <family val="2"/>
          </rPr>
          <t>danfuss:</t>
        </r>
        <r>
          <rPr>
            <sz val="8"/>
            <color indexed="81"/>
            <rFont val="Tahoma"/>
            <family val="2"/>
          </rPr>
          <t xml:space="preserve">
Guided to 30</t>
        </r>
      </text>
    </comment>
    <comment ref="BZ94" authorId="7">
      <text>
        <r>
          <rPr>
            <b/>
            <sz val="8"/>
            <color indexed="81"/>
            <rFont val="Tahoma"/>
            <family val="2"/>
          </rPr>
          <t>thallen:</t>
        </r>
        <r>
          <rPr>
            <sz val="8"/>
            <color indexed="81"/>
            <rFont val="Tahoma"/>
            <family val="2"/>
          </rPr>
          <t xml:space="preserve">
Guidance from 4Q12 earnings $20mm
Guidance from 2Q13 earnings $15mm
Guidance from 3Q13 is $15m</t>
        </r>
      </text>
    </comment>
    <comment ref="CE94" authorId="1">
      <text>
        <r>
          <rPr>
            <b/>
            <sz val="9"/>
            <color indexed="81"/>
            <rFont val="Tahoma"/>
            <family val="2"/>
          </rPr>
          <t>3Q14:</t>
        </r>
        <r>
          <rPr>
            <sz val="9"/>
            <color indexed="81"/>
            <rFont val="Tahoma"/>
            <family val="2"/>
          </rPr>
          <t xml:space="preserve">
3Q14: $10m
2Q14: $15m</t>
        </r>
      </text>
    </comment>
    <comment ref="CJ94" authorId="13">
      <text>
        <r>
          <rPr>
            <b/>
            <sz val="8"/>
            <color indexed="81"/>
            <rFont val="Tahoma"/>
            <family val="2"/>
          </rPr>
          <t>Guidance :</t>
        </r>
        <r>
          <rPr>
            <sz val="8"/>
            <color indexed="81"/>
            <rFont val="Tahoma"/>
            <family val="2"/>
          </rPr>
          <t xml:space="preserve"> 
(3Q15): $10m 
(2Q15): $10m 
(1Q15): $10m 
(4Q14): $10m 
</t>
        </r>
      </text>
    </comment>
    <comment ref="CM94" authorId="2">
      <text>
        <r>
          <rPr>
            <b/>
            <sz val="9"/>
            <color indexed="81"/>
            <rFont val="Tahoma"/>
            <family val="2"/>
          </rPr>
          <t>Savino, Mark (Research):</t>
        </r>
        <r>
          <rPr>
            <sz val="9"/>
            <color indexed="81"/>
            <rFont val="Tahoma"/>
            <family val="2"/>
          </rPr>
          <t xml:space="preserve">
Guidance: $2m
Includes 8 days of HOT</t>
        </r>
      </text>
    </comment>
    <comment ref="CN94" authorId="2">
      <text>
        <r>
          <rPr>
            <b/>
            <sz val="9"/>
            <color indexed="81"/>
            <rFont val="Tahoma"/>
            <family val="2"/>
          </rPr>
          <t>Savino, Mark (Research):</t>
        </r>
        <r>
          <rPr>
            <sz val="9"/>
            <color indexed="81"/>
            <rFont val="Tahoma"/>
            <family val="2"/>
          </rPr>
          <t xml:space="preserve">
2Q16: $2m</t>
        </r>
      </text>
    </comment>
    <comment ref="CO94" authorId="2">
      <text>
        <r>
          <rPr>
            <b/>
            <sz val="9"/>
            <color indexed="81"/>
            <rFont val="Tahoma"/>
            <family val="2"/>
          </rPr>
          <t>Savino, Mark (Research):</t>
        </r>
        <r>
          <rPr>
            <sz val="9"/>
            <color indexed="81"/>
            <rFont val="Tahoma"/>
            <family val="2"/>
          </rPr>
          <t xml:space="preserve">
2Q16: $10m
1Q16: $10m
4Q15: $10m</t>
        </r>
      </text>
    </comment>
    <comment ref="CQ94" authorId="2">
      <text>
        <r>
          <rPr>
            <b/>
            <sz val="9"/>
            <color indexed="81"/>
            <rFont val="Tahoma"/>
            <family val="2"/>
          </rPr>
          <t>Savino, Mark (Research):</t>
        </r>
        <r>
          <rPr>
            <sz val="9"/>
            <color indexed="81"/>
            <rFont val="Tahoma"/>
            <family val="2"/>
          </rPr>
          <t xml:space="preserve">
1Q17: $10m</t>
        </r>
      </text>
    </comment>
    <comment ref="CR94" authorId="2">
      <text>
        <r>
          <rPr>
            <b/>
            <sz val="9"/>
            <color indexed="81"/>
            <rFont val="Tahoma"/>
            <family val="2"/>
          </rPr>
          <t>Savino, Mark (Research):</t>
        </r>
        <r>
          <rPr>
            <sz val="9"/>
            <color indexed="81"/>
            <rFont val="Tahoma"/>
            <family val="2"/>
          </rPr>
          <t xml:space="preserve">
2Q17: $10m</t>
        </r>
      </text>
    </comment>
    <comment ref="CT94" authorId="2">
      <text>
        <r>
          <rPr>
            <b/>
            <sz val="9"/>
            <color indexed="81"/>
            <rFont val="Tahoma"/>
            <family val="2"/>
          </rPr>
          <t>Savino, Mark (Research):</t>
        </r>
        <r>
          <rPr>
            <sz val="9"/>
            <color indexed="81"/>
            <rFont val="Tahoma"/>
            <family val="2"/>
          </rPr>
          <t xml:space="preserve">
2Q17: $40m
1Q17: $40m
4Q16: $40m</t>
        </r>
      </text>
    </comment>
    <comment ref="CY94" authorId="1">
      <text>
        <r>
          <rPr>
            <b/>
            <sz val="9"/>
            <color indexed="81"/>
            <rFont val="Tahoma"/>
            <family val="2"/>
          </rPr>
          <t>Allen, Thomas (Research):</t>
        </r>
        <r>
          <rPr>
            <sz val="9"/>
            <color indexed="81"/>
            <rFont val="Tahoma"/>
            <family val="2"/>
          </rPr>
          <t xml:space="preserve">
4Q17: $40m</t>
        </r>
      </text>
    </comment>
    <comment ref="CZ94" authorId="6">
      <text>
        <r>
          <rPr>
            <b/>
            <sz val="9"/>
            <color indexed="81"/>
            <rFont val="Tahoma"/>
            <family val="2"/>
          </rPr>
          <t>Zheng, Chaodan (Research):</t>
        </r>
        <r>
          <rPr>
            <sz val="9"/>
            <color indexed="81"/>
            <rFont val="Tahoma"/>
            <family val="2"/>
          </rPr>
          <t xml:space="preserve">
3/21/17 Investor Day: $40m assuming 1-3% annual RevPAR growth in 2017 through 2019</t>
        </r>
      </text>
    </comment>
    <comment ref="CE95" authorId="1">
      <text>
        <r>
          <rPr>
            <b/>
            <sz val="9"/>
            <color indexed="81"/>
            <rFont val="Tahoma"/>
            <family val="2"/>
          </rPr>
          <t xml:space="preserve">Guidance:
</t>
        </r>
        <r>
          <rPr>
            <sz val="9"/>
            <color indexed="81"/>
            <rFont val="Tahoma"/>
            <family val="2"/>
          </rPr>
          <t>3Q14: $110m
$110m, per 4Q13 and 1Q14 guidance</t>
        </r>
      </text>
    </comment>
    <comment ref="CJ95" authorId="13">
      <text>
        <r>
          <rPr>
            <b/>
            <sz val="8"/>
            <color indexed="81"/>
            <rFont val="Tahoma"/>
            <family val="2"/>
          </rPr>
          <t>Guidance :</t>
        </r>
        <r>
          <rPr>
            <sz val="8"/>
            <color indexed="81"/>
            <rFont val="Tahoma"/>
            <family val="2"/>
          </rPr>
          <t xml:space="preserve"> 
(3Q15): $110m 
(2Q15): $110m 
(1Q15): $110m 
(4Q14): $115m</t>
        </r>
      </text>
    </comment>
    <comment ref="CM95" authorId="2">
      <text>
        <r>
          <rPr>
            <b/>
            <sz val="9"/>
            <color indexed="81"/>
            <rFont val="Tahoma"/>
            <family val="2"/>
          </rPr>
          <t>Savino, Mark (Research):</t>
        </r>
        <r>
          <rPr>
            <sz val="9"/>
            <color indexed="81"/>
            <rFont val="Tahoma"/>
            <family val="2"/>
          </rPr>
          <t xml:space="preserve">
Guidance: $30m
Includes 8 days of HOT</t>
        </r>
      </text>
    </comment>
    <comment ref="CN95" authorId="2">
      <text>
        <r>
          <rPr>
            <b/>
            <sz val="9"/>
            <color indexed="81"/>
            <rFont val="Tahoma"/>
            <family val="2"/>
          </rPr>
          <t>Savino, Mark (Research):</t>
        </r>
        <r>
          <rPr>
            <sz val="9"/>
            <color indexed="81"/>
            <rFont val="Tahoma"/>
            <family val="2"/>
          </rPr>
          <t xml:space="preserve">
2Q16: $31m</t>
        </r>
      </text>
    </comment>
    <comment ref="CO95" authorId="2">
      <text>
        <r>
          <rPr>
            <b/>
            <sz val="9"/>
            <color indexed="81"/>
            <rFont val="Tahoma"/>
            <family val="2"/>
          </rPr>
          <t>Savino, Mark (Research):</t>
        </r>
        <r>
          <rPr>
            <sz val="9"/>
            <color indexed="81"/>
            <rFont val="Tahoma"/>
            <family val="2"/>
          </rPr>
          <t xml:space="preserve">
2Q16: $120m
1Q16: $120m
4Q15: $120m</t>
        </r>
      </text>
    </comment>
    <comment ref="CQ95" authorId="2">
      <text>
        <r>
          <rPr>
            <b/>
            <sz val="9"/>
            <color indexed="81"/>
            <rFont val="Tahoma"/>
            <family val="2"/>
          </rPr>
          <t>Savino, Mark (Research):</t>
        </r>
        <r>
          <rPr>
            <sz val="9"/>
            <color indexed="81"/>
            <rFont val="Tahoma"/>
            <family val="2"/>
          </rPr>
          <t xml:space="preserve">
1Q17: $40m</t>
        </r>
      </text>
    </comment>
    <comment ref="CR95" authorId="2">
      <text>
        <r>
          <rPr>
            <b/>
            <sz val="9"/>
            <color indexed="81"/>
            <rFont val="Tahoma"/>
            <family val="2"/>
          </rPr>
          <t>Savino, Mark (Research):</t>
        </r>
        <r>
          <rPr>
            <sz val="9"/>
            <color indexed="81"/>
            <rFont val="Tahoma"/>
            <family val="2"/>
          </rPr>
          <t xml:space="preserve">
2Q17: $40m</t>
        </r>
      </text>
    </comment>
    <comment ref="CT95" authorId="2">
      <text>
        <r>
          <rPr>
            <b/>
            <sz val="9"/>
            <color indexed="81"/>
            <rFont val="Tahoma"/>
            <family val="2"/>
          </rPr>
          <t>Savino, Mark (Research):</t>
        </r>
        <r>
          <rPr>
            <sz val="9"/>
            <color indexed="81"/>
            <rFont val="Tahoma"/>
            <family val="2"/>
          </rPr>
          <t xml:space="preserve">
2Q17: $155m
1Q17: $155m
4Q16: $190m</t>
        </r>
      </text>
    </comment>
    <comment ref="CY95" authorId="1">
      <text>
        <r>
          <rPr>
            <b/>
            <sz val="9"/>
            <color indexed="81"/>
            <rFont val="Tahoma"/>
            <family val="2"/>
          </rPr>
          <t>Allen, Thomas (Research):</t>
        </r>
        <r>
          <rPr>
            <sz val="9"/>
            <color indexed="81"/>
            <rFont val="Tahoma"/>
            <family val="2"/>
          </rPr>
          <t xml:space="preserve">
4Q17: $180m</t>
        </r>
      </text>
    </comment>
    <comment ref="CZ95" authorId="6">
      <text>
        <r>
          <rPr>
            <b/>
            <sz val="9"/>
            <color indexed="81"/>
            <rFont val="Tahoma"/>
            <family val="2"/>
          </rPr>
          <t>Zheng, Chaodan (Research):</t>
        </r>
        <r>
          <rPr>
            <sz val="9"/>
            <color indexed="81"/>
            <rFont val="Tahoma"/>
            <family val="2"/>
          </rPr>
          <t xml:space="preserve">
3/21/17 Investor Day: $185m assuming 1-3% annual RevPAR growth in 2017 through 2019</t>
        </r>
      </text>
    </comment>
    <comment ref="AC97" authorId="4">
      <text>
        <r>
          <rPr>
            <b/>
            <sz val="8"/>
            <color indexed="8"/>
            <rFont val="Tahoma"/>
            <family val="2"/>
          </rPr>
          <t>urbank:</t>
        </r>
        <r>
          <rPr>
            <sz val="9"/>
            <color indexed="8"/>
            <rFont val="Tahoma"/>
            <family val="2"/>
          </rPr>
          <t xml:space="preserve">
pre-tax loss (gain discontinued ops</t>
        </r>
      </text>
    </comment>
    <comment ref="AE97" authorId="4">
      <text>
        <r>
          <rPr>
            <b/>
            <sz val="8"/>
            <color indexed="8"/>
            <rFont val="Tahoma"/>
            <family val="2"/>
          </rPr>
          <t>urbank:</t>
        </r>
        <r>
          <rPr>
            <sz val="9"/>
            <color indexed="8"/>
            <rFont val="Tahoma"/>
            <family val="2"/>
          </rPr>
          <t xml:space="preserve">
pre-tax loss (gain discontinued ops</t>
        </r>
      </text>
    </comment>
    <comment ref="AF97" authorId="4">
      <text>
        <r>
          <rPr>
            <b/>
            <sz val="8"/>
            <color indexed="8"/>
            <rFont val="Tahoma"/>
            <family val="2"/>
          </rPr>
          <t>urbank:</t>
        </r>
        <r>
          <rPr>
            <sz val="9"/>
            <color indexed="8"/>
            <rFont val="Tahoma"/>
            <family val="2"/>
          </rPr>
          <t xml:space="preserve">
pre-tax loss (gain discontinued ops</t>
        </r>
      </text>
    </comment>
    <comment ref="AI97" authorId="4">
      <text>
        <r>
          <rPr>
            <b/>
            <sz val="8"/>
            <color indexed="8"/>
            <rFont val="Tahoma"/>
            <family val="2"/>
          </rPr>
          <t>urbank:</t>
        </r>
        <r>
          <rPr>
            <sz val="8"/>
            <color indexed="8"/>
            <rFont val="Tahoma"/>
            <family val="2"/>
          </rPr>
          <t xml:space="preserve">
</t>
        </r>
        <r>
          <rPr>
            <sz val="9"/>
            <color indexed="8"/>
            <rFont val="Tahoma"/>
            <family val="2"/>
          </rPr>
          <t xml:space="preserve">bedding incentive
</t>
        </r>
      </text>
    </comment>
    <comment ref="AK97" authorId="4">
      <text>
        <r>
          <rPr>
            <b/>
            <sz val="8"/>
            <color indexed="8"/>
            <rFont val="Tahoma"/>
            <family val="2"/>
          </rPr>
          <t>urbank:</t>
        </r>
        <r>
          <rPr>
            <sz val="8"/>
            <color indexed="8"/>
            <rFont val="Tahoma"/>
            <family val="2"/>
          </rPr>
          <t xml:space="preserve">
</t>
        </r>
        <r>
          <rPr>
            <sz val="9"/>
            <color indexed="8"/>
            <rFont val="Tahoma"/>
            <family val="2"/>
          </rPr>
          <t>syn-fuel tax adj, also in syn-fuel NI (458)</t>
        </r>
      </text>
    </comment>
    <comment ref="AW97" authorId="19">
      <text>
        <r>
          <rPr>
            <b/>
            <sz val="8"/>
            <color indexed="8"/>
            <rFont val="Tahoma"/>
            <family val="2"/>
          </rPr>
          <t>Ryan Meliker:</t>
        </r>
        <r>
          <rPr>
            <sz val="8"/>
            <color indexed="8"/>
            <rFont val="Tahoma"/>
            <family val="2"/>
          </rPr>
          <t xml:space="preserve">
Discontinued Ops, tax provision for minority interest</t>
        </r>
      </text>
    </comment>
    <comment ref="BD97" authorId="17">
      <text>
        <r>
          <rPr>
            <b/>
            <sz val="8"/>
            <color indexed="8"/>
            <rFont val="Tahoma"/>
            <family val="2"/>
          </rPr>
          <t>ryanmel:</t>
        </r>
        <r>
          <rPr>
            <sz val="8"/>
            <color indexed="8"/>
            <rFont val="Tahoma"/>
            <family val="2"/>
          </rPr>
          <t xml:space="preserve">
inc. timehare impairments and restructuring charges</t>
        </r>
      </text>
    </comment>
    <comment ref="CB97" authorId="5">
      <text>
        <r>
          <rPr>
            <sz val="9"/>
            <color indexed="81"/>
            <rFont val="Tahoma"/>
            <family val="2"/>
          </rPr>
          <t>Adjustment for EDITION impairment charge</t>
        </r>
      </text>
    </comment>
    <comment ref="CE97" authorId="1">
      <text>
        <r>
          <rPr>
            <b/>
            <sz val="9"/>
            <color indexed="81"/>
            <rFont val="Tahoma"/>
            <family val="2"/>
          </rPr>
          <t>3Q14:</t>
        </r>
        <r>
          <rPr>
            <sz val="9"/>
            <color indexed="81"/>
            <rFont val="Tahoma"/>
            <family val="2"/>
          </rPr>
          <t xml:space="preserve">
$25m, EDITION Impairment Charge</t>
        </r>
      </text>
    </comment>
    <comment ref="CG97" authorId="24">
      <text>
        <r>
          <rPr>
            <sz val="9"/>
            <color indexed="81"/>
            <rFont val="Tahoma"/>
            <family val="2"/>
          </rPr>
          <t>-Losses on expected disposition of real estate: $22m
-Gain on redemption of preferred equity ownership interest: $41m</t>
        </r>
      </text>
    </comment>
    <comment ref="CJ97" authorId="13">
      <text>
        <r>
          <rPr>
            <b/>
            <sz val="8"/>
            <color indexed="81"/>
            <rFont val="Tahoma"/>
            <family val="2"/>
          </rPr>
          <t>Guidance :</t>
        </r>
        <r>
          <rPr>
            <sz val="8"/>
            <color indexed="81"/>
            <rFont val="Tahoma"/>
            <family val="2"/>
          </rPr>
          <t xml:space="preserve"> 
3Q15: ($7m) 
2Q15: ($7m) 
1Q15: $12m 
</t>
        </r>
      </text>
    </comment>
    <comment ref="CK97" authorId="2">
      <text>
        <r>
          <rPr>
            <b/>
            <sz val="9"/>
            <color indexed="81"/>
            <rFont val="Tahoma"/>
            <family val="2"/>
          </rPr>
          <t>Savino, Mark (Research):</t>
        </r>
        <r>
          <rPr>
            <sz val="9"/>
            <color indexed="81"/>
            <rFont val="Tahoma"/>
            <family val="2"/>
          </rPr>
          <t xml:space="preserve">
HOT Transaction costs</t>
        </r>
      </text>
    </comment>
    <comment ref="CL97" authorId="2">
      <text>
        <r>
          <rPr>
            <b/>
            <sz val="9"/>
            <color indexed="81"/>
            <rFont val="Tahoma"/>
            <family val="2"/>
          </rPr>
          <t>Savino, Mark (Research):</t>
        </r>
        <r>
          <rPr>
            <sz val="9"/>
            <color indexed="81"/>
            <rFont val="Tahoma"/>
            <family val="2"/>
          </rPr>
          <t xml:space="preserve">
HOT Transaction costs</t>
        </r>
      </text>
    </comment>
    <comment ref="CM97" authorId="2">
      <text>
        <r>
          <rPr>
            <b/>
            <sz val="9"/>
            <color indexed="81"/>
            <rFont val="Tahoma"/>
            <family val="2"/>
          </rPr>
          <t>Savino, Mark (Research):</t>
        </r>
        <r>
          <rPr>
            <sz val="9"/>
            <color indexed="81"/>
            <rFont val="Tahoma"/>
            <family val="2"/>
          </rPr>
          <t xml:space="preserve">
Plug to reflect adjusted numbers excluding HOT</t>
        </r>
      </text>
    </comment>
    <comment ref="CY97" authorId="1">
      <text>
        <r>
          <rPr>
            <b/>
            <sz val="9"/>
            <color indexed="81"/>
            <rFont val="Tahoma"/>
            <family val="2"/>
          </rPr>
          <t>Allen, Thomas (Research):</t>
        </r>
        <r>
          <rPr>
            <sz val="9"/>
            <color indexed="81"/>
            <rFont val="Tahoma"/>
            <family val="2"/>
          </rPr>
          <t xml:space="preserve">
4Q17: $45m</t>
        </r>
      </text>
    </comment>
    <comment ref="BP98" authorId="9">
      <text>
        <r>
          <rPr>
            <b/>
            <sz val="8"/>
            <color indexed="81"/>
            <rFont val="Tahoma"/>
            <family val="2"/>
          </rPr>
          <t>DJF:</t>
        </r>
        <r>
          <rPr>
            <sz val="8"/>
            <color indexed="81"/>
            <rFont val="Tahoma"/>
            <family val="2"/>
          </rPr>
          <t xml:space="preserve">
Guidance (2Q11): $1,135 to $1,180 mn
</t>
        </r>
        <r>
          <rPr>
            <b/>
            <sz val="8"/>
            <color indexed="81"/>
            <rFont val="Tahoma"/>
            <family val="2"/>
          </rPr>
          <t>10/10/11
FY Guidance:</t>
        </r>
        <r>
          <rPr>
            <sz val="8"/>
            <color indexed="81"/>
            <rFont val="Tahoma"/>
            <family val="2"/>
          </rPr>
          <t xml:space="preserve"> $1,112 - $1,132 mn (does not include incremental G&amp;A expense)</t>
        </r>
      </text>
    </comment>
    <comment ref="BS98" authorId="7">
      <text>
        <r>
          <rPr>
            <b/>
            <sz val="8"/>
            <color indexed="81"/>
            <rFont val="Tahoma"/>
            <family val="2"/>
          </rPr>
          <t>thallen:</t>
        </r>
        <r>
          <rPr>
            <sz val="8"/>
            <color indexed="81"/>
            <rFont val="Tahoma"/>
            <family val="2"/>
          </rPr>
          <t xml:space="preserve">
Includes $41mm of gain from Courtyard JV sale</t>
        </r>
      </text>
    </comment>
    <comment ref="BU98" authorId="18">
      <text>
        <r>
          <rPr>
            <b/>
            <sz val="8"/>
            <color indexed="81"/>
            <rFont val="Tahoma"/>
            <family val="2"/>
          </rPr>
          <t>DJF 2/15/12:</t>
        </r>
        <r>
          <rPr>
            <sz val="8"/>
            <color indexed="81"/>
            <rFont val="Tahoma"/>
            <family val="2"/>
          </rPr>
          <t xml:space="preserve">
Guidance: $1,090 - 1,150M</t>
        </r>
      </text>
    </comment>
    <comment ref="CE98" authorId="1">
      <text>
        <r>
          <rPr>
            <b/>
            <sz val="9"/>
            <color indexed="81"/>
            <rFont val="Tahoma"/>
            <family val="2"/>
          </rPr>
          <t>Allen, Thomas (Research):</t>
        </r>
        <r>
          <rPr>
            <sz val="9"/>
            <color indexed="81"/>
            <rFont val="Tahoma"/>
            <family val="2"/>
          </rPr>
          <t xml:space="preserve">
+$18.6m from Protea ($186m purchase price ~10x expected 2014 EBITDA contribution)</t>
        </r>
      </text>
    </comment>
    <comment ref="CR98" authorId="6">
      <text>
        <r>
          <rPr>
            <b/>
            <sz val="9"/>
            <color indexed="81"/>
            <rFont val="Tahoma"/>
            <family val="2"/>
          </rPr>
          <t>Zheng, Chaodan (Research):</t>
        </r>
        <r>
          <rPr>
            <sz val="9"/>
            <color indexed="81"/>
            <rFont val="Tahoma"/>
            <family val="2"/>
          </rPr>
          <t xml:space="preserve">
3Q17: G&amp;A was $17m better than the midpoint of our guidance due to a $6m state tax credit, a favorable $4m of purchase accounting revisions</t>
        </r>
      </text>
    </comment>
    <comment ref="CT98" authorId="6">
      <text>
        <r>
          <rPr>
            <b/>
            <sz val="9"/>
            <color indexed="81"/>
            <rFont val="Tahoma"/>
            <family val="2"/>
          </rPr>
          <t>Zheng, Chaodan (Research):</t>
        </r>
        <r>
          <rPr>
            <sz val="9"/>
            <color indexed="81"/>
            <rFont val="Tahoma"/>
            <family val="2"/>
          </rPr>
          <t xml:space="preserve">
3Q17: FX is $14m impact to 2017 vs. $20m impact to 2016
merger-related costs should be $150m for full year 2017</t>
        </r>
      </text>
    </comment>
    <comment ref="CW98" authorId="6">
      <text>
        <r>
          <rPr>
            <b/>
            <sz val="9"/>
            <color indexed="81"/>
            <rFont val="Tahoma"/>
            <family val="2"/>
          </rPr>
          <t>Zheng, Chaodan (Research):</t>
        </r>
        <r>
          <rPr>
            <sz val="9"/>
            <color indexed="81"/>
            <rFont val="Tahoma"/>
            <family val="2"/>
          </rPr>
          <t xml:space="preserve">
3Q17: $43.5m of owned EBITDA lost in 2018 from asset sales that have happened 2017 YTD (3Q)</t>
        </r>
      </text>
    </comment>
    <comment ref="CY98" authorId="6">
      <text>
        <r>
          <rPr>
            <b/>
            <sz val="9"/>
            <color indexed="81"/>
            <rFont val="Tahoma"/>
            <family val="2"/>
          </rPr>
          <t>Zheng, Chaodan (Research):</t>
        </r>
        <r>
          <rPr>
            <sz val="9"/>
            <color indexed="81"/>
            <rFont val="Tahoma"/>
            <family val="2"/>
          </rPr>
          <t xml:space="preserve">
3Q17: asset sales in 2017 should be $45m impact to 2018 full year. 
Note our estimate includes $67m of CC fees</t>
        </r>
      </text>
    </comment>
    <comment ref="CZ98" authorId="1">
      <text>
        <r>
          <rPr>
            <b/>
            <sz val="9"/>
            <color indexed="81"/>
            <rFont val="Tahoma"/>
            <family val="2"/>
          </rPr>
          <t>Allen, Thomas (Research):</t>
        </r>
        <r>
          <rPr>
            <sz val="9"/>
            <color indexed="81"/>
            <rFont val="Tahoma"/>
            <family val="2"/>
          </rPr>
          <t xml:space="preserve">
4Q17: Comping $70m expenses in 2018 related to 1x employee "investment" up to $1k/each
3/21/17: MSe does not assume any asset sales given uncertainty around timing.</t>
        </r>
      </text>
    </comment>
    <comment ref="CM102" authorId="2">
      <text>
        <r>
          <rPr>
            <b/>
            <sz val="9"/>
            <color indexed="81"/>
            <rFont val="Tahoma"/>
            <family val="2"/>
          </rPr>
          <t>Savino, Mark (Research):</t>
        </r>
        <r>
          <rPr>
            <sz val="9"/>
            <color indexed="81"/>
            <rFont val="Tahoma"/>
            <family val="2"/>
          </rPr>
          <t xml:space="preserve">
MSe</t>
        </r>
      </text>
    </comment>
    <comment ref="CY105" authorId="1">
      <text>
        <r>
          <rPr>
            <b/>
            <sz val="9"/>
            <color indexed="81"/>
            <rFont val="Tahoma"/>
            <family val="2"/>
          </rPr>
          <t>Allen, Thomas (Research):</t>
        </r>
        <r>
          <rPr>
            <sz val="9"/>
            <color indexed="81"/>
            <rFont val="Tahoma"/>
            <family val="2"/>
          </rPr>
          <t xml:space="preserve">
4Q17: Adj EBITDA would be $60m higher adj for new revenue recognition rules</t>
        </r>
      </text>
    </comment>
    <comment ref="CZ105" authorId="1">
      <text>
        <r>
          <rPr>
            <b/>
            <sz val="9"/>
            <color indexed="81"/>
            <rFont val="Tahoma"/>
            <family val="2"/>
          </rPr>
          <t>Allen, Thomas (Research):</t>
        </r>
        <r>
          <rPr>
            <sz val="9"/>
            <color indexed="81"/>
            <rFont val="Tahoma"/>
            <family val="2"/>
          </rPr>
          <t xml:space="preserve">
Lapping $70m employee investment spend</t>
        </r>
      </text>
    </comment>
    <comment ref="A107" authorId="1">
      <text>
        <r>
          <rPr>
            <b/>
            <sz val="9"/>
            <color indexed="81"/>
            <rFont val="Tahoma"/>
            <family val="2"/>
          </rPr>
          <t>Allen, Thomas (Research):</t>
        </r>
        <r>
          <rPr>
            <sz val="9"/>
            <color indexed="81"/>
            <rFont val="Tahoma"/>
            <family val="2"/>
          </rPr>
          <t xml:space="preserve">
Changed 4Q13</t>
        </r>
      </text>
    </comment>
    <comment ref="BP108" authorId="9">
      <text>
        <r>
          <rPr>
            <b/>
            <sz val="8"/>
            <color indexed="81"/>
            <rFont val="Tahoma"/>
            <family val="2"/>
          </rPr>
          <t>DJF:</t>
        </r>
        <r>
          <rPr>
            <sz val="8"/>
            <color indexed="81"/>
            <rFont val="Tahoma"/>
            <family val="2"/>
          </rPr>
          <t xml:space="preserve">
Guidance (2Q11): $1,135 to $1,180 mn
</t>
        </r>
        <r>
          <rPr>
            <b/>
            <sz val="8"/>
            <color indexed="81"/>
            <rFont val="Tahoma"/>
            <family val="2"/>
          </rPr>
          <t>10/10/11
FY Guidance:</t>
        </r>
        <r>
          <rPr>
            <sz val="8"/>
            <color indexed="81"/>
            <rFont val="Tahoma"/>
            <family val="2"/>
          </rPr>
          <t xml:space="preserve"> $1,112 - $1,132 mn (does not include incremental G&amp;A expense)</t>
        </r>
      </text>
    </comment>
    <comment ref="BU108" authorId="18">
      <text>
        <r>
          <rPr>
            <b/>
            <sz val="8"/>
            <color indexed="81"/>
            <rFont val="Tahoma"/>
            <family val="2"/>
          </rPr>
          <t>DJF 2/15/12:</t>
        </r>
        <r>
          <rPr>
            <sz val="8"/>
            <color indexed="81"/>
            <rFont val="Tahoma"/>
            <family val="2"/>
          </rPr>
          <t xml:space="preserve">
Guidance: $1,090 - 1,150M</t>
        </r>
      </text>
    </comment>
    <comment ref="BY108" authorId="12">
      <text>
        <r>
          <rPr>
            <b/>
            <sz val="8"/>
            <color indexed="81"/>
            <rFont val="Tahoma"/>
            <family val="2"/>
          </rPr>
          <t>jills:</t>
        </r>
        <r>
          <rPr>
            <sz val="8"/>
            <color indexed="81"/>
            <rFont val="Tahoma"/>
            <family val="2"/>
          </rPr>
          <t xml:space="preserve">
implied</t>
        </r>
      </text>
    </comment>
    <comment ref="BZ108" authorId="7">
      <text>
        <r>
          <rPr>
            <b/>
            <sz val="8"/>
            <color indexed="81"/>
            <rFont val="Tahoma"/>
            <family val="2"/>
          </rPr>
          <t>thallen:</t>
        </r>
        <r>
          <rPr>
            <sz val="8"/>
            <color indexed="81"/>
            <rFont val="Tahoma"/>
            <family val="2"/>
          </rPr>
          <t xml:space="preserve">
4Q12 and 1Q13: $1185-1255
2Q13 $1160-$1210
per 3Q13 guidance $1173-1188m</t>
        </r>
      </text>
    </comment>
    <comment ref="CE108" authorId="13">
      <text>
        <r>
          <rPr>
            <b/>
            <sz val="8"/>
            <color indexed="81"/>
            <rFont val="Tahoma"/>
            <family val="2"/>
          </rPr>
          <t>Guidance:</t>
        </r>
        <r>
          <rPr>
            <sz val="8"/>
            <color indexed="81"/>
            <rFont val="Tahoma"/>
            <family val="2"/>
          </rPr>
          <t xml:space="preserve">
Per 3Q14: $1,507-$1,522mn
Per 2Q14: $1,465-$1,515mn
Per 1Q14: $1,440-$1,500mn
Per 4Q13: $1,425-$1,495mn</t>
        </r>
      </text>
    </comment>
    <comment ref="CJ108" authorId="13">
      <text>
        <r>
          <rPr>
            <b/>
            <sz val="8"/>
            <color indexed="81"/>
            <rFont val="Tahoma"/>
            <family val="2"/>
          </rPr>
          <t>Guidance :</t>
        </r>
        <r>
          <rPr>
            <sz val="8"/>
            <color indexed="81"/>
            <rFont val="Tahoma"/>
            <family val="2"/>
          </rPr>
          <t xml:space="preserve"> 
3Q15: $1,729-1,749m
2Q15: $1,721-1,756m 
1Q15: $1,730-1,780m 
4Q14: $1,715-1,765m 
</t>
        </r>
      </text>
    </comment>
    <comment ref="CN108" authorId="1">
      <text>
        <r>
          <rPr>
            <b/>
            <sz val="9"/>
            <color indexed="81"/>
            <rFont val="Tahoma"/>
            <family val="2"/>
          </rPr>
          <t>Allen, Thomas (Research):</t>
        </r>
        <r>
          <rPr>
            <sz val="9"/>
            <color indexed="81"/>
            <rFont val="Tahoma"/>
            <family val="2"/>
          </rPr>
          <t xml:space="preserve">
2Q16: MAR Standalone $461-471m
HOT standalone $285-295m
Assume you remove $17m reimburseable D&amp;A and $25m gain amortization from HOT, and $31m of ESO from MAR, would imply $677-697m. 
Assume $36m of ESO is added back, implies our comp 4Q16e EBITDA is ~$660m, which reflects the lower RevPAR expectation</t>
        </r>
      </text>
    </comment>
    <comment ref="CO108" authorId="2">
      <text>
        <r>
          <rPr>
            <b/>
            <sz val="9"/>
            <color indexed="81"/>
            <rFont val="Tahoma"/>
            <family val="2"/>
          </rPr>
          <t>Savino, Mark (Research):</t>
        </r>
        <r>
          <rPr>
            <sz val="9"/>
            <color indexed="81"/>
            <rFont val="Tahoma"/>
            <family val="2"/>
          </rPr>
          <t xml:space="preserve">
2Q16: $1,889-1,904m
1Q16: $1,900-1,965m
4Q15: $1,885-1,950m</t>
        </r>
      </text>
    </comment>
    <comment ref="CS108" authorId="6">
      <text>
        <r>
          <rPr>
            <b/>
            <sz val="9"/>
            <color indexed="81"/>
            <rFont val="Tahoma"/>
            <family val="2"/>
          </rPr>
          <t>Zheng, Chaodan (Research):</t>
        </r>
        <r>
          <rPr>
            <sz val="9"/>
            <color indexed="81"/>
            <rFont val="Tahoma"/>
            <family val="2"/>
          </rPr>
          <t xml:space="preserve">
3Q17:$762-777m
2Q17: $777-827m</t>
        </r>
      </text>
    </comment>
    <comment ref="CT108" authorId="2">
      <text>
        <r>
          <rPr>
            <b/>
            <sz val="9"/>
            <color indexed="81"/>
            <rFont val="Tahoma"/>
            <family val="2"/>
          </rPr>
          <t>Savino, Mark (Research):</t>
        </r>
        <r>
          <rPr>
            <sz val="9"/>
            <color indexed="81"/>
            <rFont val="Tahoma"/>
            <family val="2"/>
          </rPr>
          <t xml:space="preserve">
3Q17: $3,177-3,192m (incl. $7m of lost EBITDA from asset sales, but FX now a $14m drag vs. prior $23m)
2Q17: $3,131-3,201m
1Q17: $3,100-3,195m
4Q16: $3,075-3,175m</t>
        </r>
      </text>
    </comment>
    <comment ref="CY108" authorId="2">
      <text>
        <r>
          <rPr>
            <b/>
            <sz val="9"/>
            <color indexed="81"/>
            <rFont val="Tahoma"/>
            <family val="2"/>
          </rPr>
          <t>Savino, Mark (Research):</t>
        </r>
        <r>
          <rPr>
            <sz val="9"/>
            <color indexed="81"/>
            <rFont val="Tahoma"/>
            <family val="2"/>
          </rPr>
          <t xml:space="preserve">
4Q17: $3,315-3,420m, includes $50m impact from sold hotels to date, and $60m impact from ASU 2014-09</t>
        </r>
      </text>
    </comment>
    <comment ref="CZ108" authorId="6">
      <text>
        <r>
          <rPr>
            <b/>
            <sz val="9"/>
            <color indexed="81"/>
            <rFont val="Tahoma"/>
            <family val="2"/>
          </rPr>
          <t>Zheng, Chaodan (Research):</t>
        </r>
        <r>
          <rPr>
            <sz val="9"/>
            <color indexed="81"/>
            <rFont val="Tahoma"/>
            <family val="2"/>
          </rPr>
          <t xml:space="preserve">
3/21/17 Investor Day: $3,505-3,735m assuming 1-3% annual RevPAR growth in 2017 through 2019. Assumes assets sold generate $147m of EBITDA, which MS does not reflect sales</t>
        </r>
      </text>
    </comment>
    <comment ref="CO158" authorId="1">
      <text>
        <r>
          <rPr>
            <b/>
            <sz val="9"/>
            <color indexed="81"/>
            <rFont val="Tahoma"/>
            <family val="2"/>
          </rPr>
          <t>Allen, Thomas (Research):</t>
        </r>
        <r>
          <rPr>
            <sz val="9"/>
            <color indexed="81"/>
            <rFont val="Tahoma"/>
            <family val="2"/>
          </rPr>
          <t xml:space="preserve">
Guidance per Dec 2015 S-4
2016: $834m
2017: $837m
2018: $874m
Reflects 7, 6 and 5 owned hotels and 42, 42 and 42 leased hotels at year end 2016, 2017 and 2018 respectively. Does not include credit card branding fees, termination fees, property and brand revenue or other revenue. </t>
        </r>
      </text>
    </comment>
    <comment ref="CQ158" authorId="2">
      <text>
        <r>
          <rPr>
            <b/>
            <sz val="9"/>
            <color indexed="81"/>
            <rFont val="Tahoma"/>
            <family val="2"/>
          </rPr>
          <t>Savino, Mark (Research):</t>
        </r>
        <r>
          <rPr>
            <sz val="9"/>
            <color indexed="81"/>
            <rFont val="Tahoma"/>
            <family val="2"/>
          </rPr>
          <t xml:space="preserve">
6/2/17: sale of Charlotte Marriott City
4/3/17: Sale of Westin Maui
</t>
        </r>
      </text>
    </comment>
    <comment ref="CT158" authorId="1">
      <text>
        <r>
          <rPr>
            <b/>
            <sz val="9"/>
            <color indexed="81"/>
            <rFont val="Tahoma"/>
            <family val="2"/>
          </rPr>
          <t>Allen, Thomas (Research):</t>
        </r>
        <r>
          <rPr>
            <sz val="9"/>
            <color indexed="81"/>
            <rFont val="Tahoma"/>
            <family val="2"/>
          </rPr>
          <t xml:space="preserve">
Legacy MAR: 
Guidance per Dec 2015 S-4
2016: $834m
2017: $837m
2018: $874m
Reflects 7, 6 and 5 owned hotels and 42, 42 and 42 leased hotels at year end 2016, 2017 and 2018 respectively. Does not include credit card branding fees, termination fees, property and brand revenue or other revenue. </t>
        </r>
      </text>
    </comment>
    <comment ref="AU159" authorId="4">
      <text>
        <r>
          <rPr>
            <b/>
            <sz val="8"/>
            <color indexed="8"/>
            <rFont val="Tahoma"/>
            <family val="2"/>
          </rPr>
          <t>urbank:</t>
        </r>
        <r>
          <rPr>
            <sz val="8"/>
            <color indexed="8"/>
            <rFont val="Tahoma"/>
            <family val="2"/>
          </rPr>
          <t xml:space="preserve">
boston renaissance possibly closing 4Q or 1Q08</t>
        </r>
      </text>
    </comment>
    <comment ref="AW159" authorId="4">
      <text>
        <r>
          <rPr>
            <b/>
            <sz val="8"/>
            <color indexed="8"/>
            <rFont val="Tahoma"/>
            <family val="2"/>
          </rPr>
          <t>urbank:</t>
        </r>
        <r>
          <rPr>
            <sz val="8"/>
            <color indexed="8"/>
            <rFont val="Tahoma"/>
            <family val="2"/>
          </rPr>
          <t xml:space="preserve">
boston renaissance possibly closing 4Q or 1Q08</t>
        </r>
      </text>
    </comment>
    <comment ref="CB159" authorId="1">
      <text>
        <r>
          <rPr>
            <b/>
            <sz val="9"/>
            <color indexed="81"/>
            <rFont val="Tahoma"/>
            <family val="2"/>
          </rPr>
          <t>Allen, Thomas (Research):</t>
        </r>
        <r>
          <rPr>
            <sz val="9"/>
            <color indexed="81"/>
            <rFont val="Tahoma"/>
            <family val="2"/>
          </rPr>
          <t xml:space="preserve">
Protea hotels</t>
        </r>
      </text>
    </comment>
    <comment ref="CT171" authorId="2">
      <text>
        <r>
          <rPr>
            <b/>
            <sz val="9"/>
            <color indexed="81"/>
            <rFont val="Tahoma"/>
            <family val="2"/>
          </rPr>
          <t>Savino, Mark (Research):</t>
        </r>
        <r>
          <rPr>
            <sz val="9"/>
            <color indexed="81"/>
            <rFont val="Tahoma"/>
            <family val="2"/>
          </rPr>
          <t xml:space="preserve">
Includes ~$75m of lost revenue from sale of Westin  Maui on 4/3/17 (estimate $96m of revenue on a full year basis)</t>
        </r>
      </text>
    </comment>
    <comment ref="CY171" authorId="2">
      <text>
        <r>
          <rPr>
            <b/>
            <sz val="9"/>
            <color indexed="81"/>
            <rFont val="Tahoma"/>
            <family val="2"/>
          </rPr>
          <t>Savino, Mark (Research):</t>
        </r>
        <r>
          <rPr>
            <sz val="9"/>
            <color indexed="81"/>
            <rFont val="Tahoma"/>
            <family val="2"/>
          </rPr>
          <t xml:space="preserve">
4/3/17: Incremental $20m of lost revenue from Westin Maui in 1Q18</t>
        </r>
      </text>
    </comment>
    <comment ref="CN172" authorId="2">
      <text>
        <r>
          <rPr>
            <b/>
            <sz val="9"/>
            <color indexed="81"/>
            <rFont val="Tahoma"/>
            <family val="2"/>
          </rPr>
          <t>Savino, Mark (Research):</t>
        </r>
        <r>
          <rPr>
            <sz val="9"/>
            <color indexed="81"/>
            <rFont val="Tahoma"/>
            <family val="2"/>
          </rPr>
          <t xml:space="preserve">
3Q benefitted from Olympics in Brazil
Per 3/25 8k: ~$66m of HOT's fee revenue will be reclassified into Owned and Leased, implying a ~3% impact to y/y growth</t>
        </r>
      </text>
    </comment>
    <comment ref="CP172" authorId="2">
      <text>
        <r>
          <rPr>
            <b/>
            <sz val="9"/>
            <color indexed="81"/>
            <rFont val="Tahoma"/>
            <family val="2"/>
          </rPr>
          <t>Savino, Mark (Research):</t>
        </r>
        <r>
          <rPr>
            <sz val="9"/>
            <color indexed="81"/>
            <rFont val="Tahoma"/>
            <family val="2"/>
          </rPr>
          <t xml:space="preserve">
4Q16: $13m of lower termination fees; $4m EBITDA impact from sold hotels</t>
        </r>
      </text>
    </comment>
    <comment ref="CR172" authorId="2">
      <text>
        <r>
          <rPr>
            <b/>
            <sz val="9"/>
            <color indexed="81"/>
            <rFont val="Tahoma"/>
            <family val="2"/>
          </rPr>
          <t>Savino, Mark (Research):</t>
        </r>
        <r>
          <rPr>
            <sz val="9"/>
            <color indexed="81"/>
            <rFont val="Tahoma"/>
            <family val="2"/>
          </rPr>
          <t xml:space="preserve">
Lapping Olympics last year. Also sold Westi Maui, which is seasonally strongest in 3Q</t>
        </r>
      </text>
    </comment>
    <comment ref="CT172" authorId="6">
      <text>
        <r>
          <rPr>
            <b/>
            <sz val="9"/>
            <color indexed="81"/>
            <rFont val="Tahoma"/>
            <family val="2"/>
          </rPr>
          <t>Zheng, Chaodan (Research):</t>
        </r>
        <r>
          <rPr>
            <sz val="9"/>
            <color indexed="81"/>
            <rFont val="Tahoma"/>
            <family val="2"/>
          </rPr>
          <t xml:space="preserve">
4/3/17: Marriott sold Westin Maui for $317m, assuming 13x multiple, 2017e EBITDA should drop $19m or about $6m lower per quarter</t>
        </r>
      </text>
    </comment>
    <comment ref="CT181" authorId="6">
      <text>
        <r>
          <rPr>
            <b/>
            <sz val="9"/>
            <color indexed="81"/>
            <rFont val="Tahoma"/>
            <family val="2"/>
          </rPr>
          <t>Zheng, Chaodan (Research):</t>
        </r>
        <r>
          <rPr>
            <sz val="9"/>
            <color indexed="81"/>
            <rFont val="Tahoma"/>
            <family val="2"/>
          </rPr>
          <t xml:space="preserve">
4/3/17: Marriott sold Westin Maui for $317m, assuming 13x multiple, 2017e EBITDA should drop $19m or about $6m lower per quarter</t>
        </r>
      </text>
    </comment>
    <comment ref="BO183" authorId="9">
      <text>
        <r>
          <rPr>
            <b/>
            <sz val="8"/>
            <color indexed="81"/>
            <rFont val="Tahoma"/>
            <family val="2"/>
          </rPr>
          <t>danfuss:</t>
        </r>
        <r>
          <rPr>
            <sz val="8"/>
            <color indexed="81"/>
            <rFont val="Tahoma"/>
            <family val="2"/>
          </rPr>
          <t xml:space="preserve">
4Q Guidance: $50 mn</t>
        </r>
      </text>
    </comment>
    <comment ref="BP183" authorId="9">
      <text>
        <r>
          <rPr>
            <b/>
            <sz val="8"/>
            <color indexed="81"/>
            <rFont val="Tahoma"/>
            <family val="2"/>
          </rPr>
          <t>DJF:</t>
        </r>
        <r>
          <rPr>
            <sz val="8"/>
            <color indexed="81"/>
            <rFont val="Tahoma"/>
            <family val="2"/>
          </rPr>
          <t xml:space="preserve">
</t>
        </r>
        <r>
          <rPr>
            <b/>
            <sz val="8"/>
            <color indexed="81"/>
            <rFont val="Tahoma"/>
            <family val="2"/>
          </rPr>
          <t>2Q Guidance:</t>
        </r>
        <r>
          <rPr>
            <sz val="8"/>
            <color indexed="81"/>
            <rFont val="Tahoma"/>
            <family val="2"/>
          </rPr>
          <t xml:space="preserve"> $120 to $125 mm
</t>
        </r>
        <r>
          <rPr>
            <b/>
            <sz val="8"/>
            <color indexed="81"/>
            <rFont val="Tahoma"/>
            <family val="2"/>
          </rPr>
          <t>3Q Guidance:</t>
        </r>
        <r>
          <rPr>
            <sz val="8"/>
            <color indexed="81"/>
            <rFont val="Tahoma"/>
            <family val="2"/>
          </rPr>
          <t xml:space="preserve"> $134 mm</t>
        </r>
      </text>
    </comment>
    <comment ref="BQ183" authorId="25">
      <text>
        <r>
          <rPr>
            <b/>
            <sz val="8"/>
            <color indexed="81"/>
            <rFont val="Tahoma"/>
            <family val="2"/>
          </rPr>
          <t>DJF 2/15/12:</t>
        </r>
        <r>
          <rPr>
            <sz val="8"/>
            <color indexed="81"/>
            <rFont val="Tahoma"/>
            <family val="2"/>
          </rPr>
          <t xml:space="preserve">
Guidance: $20-25M</t>
        </r>
      </text>
    </comment>
    <comment ref="BR183" authorId="7">
      <text>
        <r>
          <rPr>
            <b/>
            <sz val="8"/>
            <color indexed="81"/>
            <rFont val="Tahoma"/>
            <family val="2"/>
          </rPr>
          <t>thallen:</t>
        </r>
        <r>
          <rPr>
            <sz val="8"/>
            <color indexed="81"/>
            <rFont val="Tahoma"/>
            <family val="2"/>
          </rPr>
          <t xml:space="preserve">
Included $2mm biz interuption paymnet related to 2011 tsunami in Japan</t>
        </r>
      </text>
    </comment>
    <comment ref="BS183" authorId="7">
      <text>
        <r>
          <rPr>
            <b/>
            <sz val="8"/>
            <color indexed="81"/>
            <rFont val="Tahoma"/>
            <family val="2"/>
          </rPr>
          <t>thallen:</t>
        </r>
        <r>
          <rPr>
            <sz val="8"/>
            <color indexed="81"/>
            <rFont val="Tahoma"/>
            <family val="2"/>
          </rPr>
          <t xml:space="preserve">
Declined $9mm y/y b/c of $7mm lower termination fees, $2mm lower residential branding fees</t>
        </r>
      </text>
    </comment>
    <comment ref="BT183" authorId="7">
      <text>
        <r>
          <rPr>
            <b/>
            <sz val="8"/>
            <color indexed="81"/>
            <rFont val="Tahoma"/>
            <family val="2"/>
          </rPr>
          <t>thallen:</t>
        </r>
        <r>
          <rPr>
            <sz val="8"/>
            <color indexed="81"/>
            <rFont val="Tahoma"/>
            <family val="2"/>
          </rPr>
          <t xml:space="preserve">
Guidance: $55mm</t>
        </r>
      </text>
    </comment>
    <comment ref="BU183" authorId="9">
      <text>
        <r>
          <rPr>
            <b/>
            <sz val="8"/>
            <color indexed="81"/>
            <rFont val="Tahoma"/>
            <family val="2"/>
          </rPr>
          <t>thallen</t>
        </r>
        <r>
          <rPr>
            <sz val="8"/>
            <color indexed="81"/>
            <rFont val="Tahoma"/>
            <family val="2"/>
          </rPr>
          <t xml:space="preserve">
Guidance: ~$164mm</t>
        </r>
        <r>
          <rPr>
            <b/>
            <sz val="8"/>
            <color indexed="81"/>
            <rFont val="Tahoma"/>
            <family val="2"/>
          </rPr>
          <t xml:space="preserve">
OLD: 
</t>
        </r>
        <r>
          <rPr>
            <sz val="8"/>
            <color indexed="81"/>
            <rFont val="Tahoma"/>
            <family val="2"/>
          </rPr>
          <t>DJF 2/15/12:</t>
        </r>
        <r>
          <rPr>
            <sz val="8"/>
            <color indexed="81"/>
            <rFont val="Tahoma"/>
            <family val="2"/>
          </rPr>
          <t xml:space="preserve">
Guidance: $130 - 140M
10/10/11:
FY Guidance: $130 - $150 mn
Reflects "stronger results from O&amp;L hotels and higher credit card branding fees somewhat offset by lower termination fees"</t>
        </r>
      </text>
    </comment>
    <comment ref="BV183" authorId="7">
      <text>
        <r>
          <rPr>
            <b/>
            <sz val="8"/>
            <color indexed="81"/>
            <rFont val="Tahoma"/>
            <family val="2"/>
          </rPr>
          <t>thallen:</t>
        </r>
        <r>
          <rPr>
            <sz val="8"/>
            <color indexed="81"/>
            <rFont val="Tahoma"/>
            <family val="2"/>
          </rPr>
          <t xml:space="preserve">
Guidance: $25-30mm</t>
        </r>
      </text>
    </comment>
    <comment ref="BW183" authorId="7">
      <text>
        <r>
          <rPr>
            <b/>
            <sz val="8"/>
            <color indexed="81"/>
            <rFont val="Tahoma"/>
            <family val="2"/>
          </rPr>
          <t>thallen:</t>
        </r>
        <r>
          <rPr>
            <sz val="8"/>
            <color indexed="81"/>
            <rFont val="Tahoma"/>
            <family val="2"/>
          </rPr>
          <t xml:space="preserve">
Higher than guidance b/c of greater termination fees
$4mm impact y/y from 3 int'l lease terminations
Also sold corp housing biz in 2Q12
Longer fiscal quarter increased results by ~$6mm</t>
        </r>
      </text>
    </comment>
    <comment ref="BX183" authorId="12">
      <text>
        <r>
          <rPr>
            <b/>
            <sz val="8"/>
            <color indexed="81"/>
            <rFont val="Tahoma"/>
            <family val="2"/>
          </rPr>
          <t>jills:</t>
        </r>
        <r>
          <rPr>
            <sz val="8"/>
            <color indexed="81"/>
            <rFont val="Tahoma"/>
            <family val="2"/>
          </rPr>
          <t xml:space="preserve">
Benefited from $8m of termination and branding fees ($6m of which were expected in 4Q)</t>
        </r>
      </text>
    </comment>
    <comment ref="BZ183" authorId="7">
      <text>
        <r>
          <rPr>
            <b/>
            <sz val="8"/>
            <color indexed="81"/>
            <rFont val="Tahoma"/>
            <family val="2"/>
          </rPr>
          <t>thallen:</t>
        </r>
        <r>
          <rPr>
            <sz val="8"/>
            <color indexed="81"/>
            <rFont val="Tahoma"/>
            <family val="2"/>
          </rPr>
          <t xml:space="preserve">
Guidance: $135-145mm (lower b/c tough comp w/ London Olympics, renovations at 2 int'l leased hotels in 2013, higher pre-opening expenses, and lower termination and residential branding fees
Per 1Q13 call, expect to be choppy given timing of residential branding fees, which are paid on closing of the residence, primarily Ritz Carlton branded residences</t>
        </r>
      </text>
    </comment>
    <comment ref="CJ183" authorId="1">
      <text>
        <r>
          <rPr>
            <b/>
            <sz val="9"/>
            <color indexed="81"/>
            <rFont val="Tahoma"/>
            <family val="2"/>
          </rPr>
          <t>Allen, Thomas (Research):</t>
        </r>
        <r>
          <rPr>
            <sz val="9"/>
            <color indexed="81"/>
            <rFont val="Tahoma"/>
            <family val="2"/>
          </rPr>
          <t xml:space="preserve">
Owned &amp; Leased hotels $75m
Credit Card branding fees $120m
Real estate branding fees $10m
Termination fees
$10m
Other examples: Protea charges for services such as reservations; lease public space at Camelback, have a learning center at Ritz Carlton</t>
        </r>
      </text>
    </comment>
    <comment ref="BO184" authorId="9">
      <text>
        <r>
          <rPr>
            <b/>
            <sz val="8"/>
            <color indexed="81"/>
            <rFont val="Tahoma"/>
            <family val="2"/>
          </rPr>
          <t>danfuss:</t>
        </r>
        <r>
          <rPr>
            <sz val="8"/>
            <color indexed="81"/>
            <rFont val="Tahoma"/>
            <family val="2"/>
          </rPr>
          <t xml:space="preserve">
4Q Guidance: $50 mn</t>
        </r>
      </text>
    </comment>
    <comment ref="BP184" authorId="9">
      <text>
        <r>
          <rPr>
            <b/>
            <sz val="8"/>
            <color indexed="81"/>
            <rFont val="Tahoma"/>
            <family val="2"/>
          </rPr>
          <t>DJF:</t>
        </r>
        <r>
          <rPr>
            <sz val="8"/>
            <color indexed="81"/>
            <rFont val="Tahoma"/>
            <family val="2"/>
          </rPr>
          <t xml:space="preserve">
</t>
        </r>
        <r>
          <rPr>
            <b/>
            <sz val="8"/>
            <color indexed="81"/>
            <rFont val="Tahoma"/>
            <family val="2"/>
          </rPr>
          <t>2Q Guidance:</t>
        </r>
        <r>
          <rPr>
            <sz val="8"/>
            <color indexed="81"/>
            <rFont val="Tahoma"/>
            <family val="2"/>
          </rPr>
          <t xml:space="preserve"> $120 to $125 mm
</t>
        </r>
        <r>
          <rPr>
            <b/>
            <sz val="8"/>
            <color indexed="81"/>
            <rFont val="Tahoma"/>
            <family val="2"/>
          </rPr>
          <t>3Q Guidance:</t>
        </r>
        <r>
          <rPr>
            <sz val="8"/>
            <color indexed="81"/>
            <rFont val="Tahoma"/>
            <family val="2"/>
          </rPr>
          <t xml:space="preserve"> $134 mm</t>
        </r>
      </text>
    </comment>
    <comment ref="BQ184" authorId="25">
      <text>
        <r>
          <rPr>
            <b/>
            <sz val="8"/>
            <color indexed="81"/>
            <rFont val="Tahoma"/>
            <family val="2"/>
          </rPr>
          <t>DJF 2/15/12:</t>
        </r>
        <r>
          <rPr>
            <sz val="8"/>
            <color indexed="81"/>
            <rFont val="Tahoma"/>
            <family val="2"/>
          </rPr>
          <t xml:space="preserve">
Guidance: $20-25M</t>
        </r>
      </text>
    </comment>
    <comment ref="BR184" authorId="7">
      <text>
        <r>
          <rPr>
            <b/>
            <sz val="8"/>
            <color indexed="81"/>
            <rFont val="Tahoma"/>
            <family val="2"/>
          </rPr>
          <t>thallen:</t>
        </r>
        <r>
          <rPr>
            <sz val="8"/>
            <color indexed="81"/>
            <rFont val="Tahoma"/>
            <family val="2"/>
          </rPr>
          <t xml:space="preserve">
Included $2mm biz interuption paymnet related to 2011 tsunami in Japan</t>
        </r>
      </text>
    </comment>
    <comment ref="BS184" authorId="7">
      <text>
        <r>
          <rPr>
            <b/>
            <sz val="8"/>
            <color indexed="81"/>
            <rFont val="Tahoma"/>
            <family val="2"/>
          </rPr>
          <t>thallen:</t>
        </r>
        <r>
          <rPr>
            <sz val="8"/>
            <color indexed="81"/>
            <rFont val="Tahoma"/>
            <family val="2"/>
          </rPr>
          <t xml:space="preserve">
Declined $9mm y/y b/c of $7mm lower termination fees, $2mm lower residential branding fees</t>
        </r>
      </text>
    </comment>
    <comment ref="BT184" authorId="7">
      <text>
        <r>
          <rPr>
            <b/>
            <sz val="8"/>
            <color indexed="81"/>
            <rFont val="Tahoma"/>
            <family val="2"/>
          </rPr>
          <t>thallen:</t>
        </r>
        <r>
          <rPr>
            <sz val="8"/>
            <color indexed="81"/>
            <rFont val="Tahoma"/>
            <family val="2"/>
          </rPr>
          <t xml:space="preserve">
Guidance: $55mm</t>
        </r>
      </text>
    </comment>
    <comment ref="BU184" authorId="9">
      <text>
        <r>
          <rPr>
            <b/>
            <sz val="8"/>
            <color indexed="81"/>
            <rFont val="Tahoma"/>
            <family val="2"/>
          </rPr>
          <t>thallen</t>
        </r>
        <r>
          <rPr>
            <sz val="8"/>
            <color indexed="81"/>
            <rFont val="Tahoma"/>
            <family val="2"/>
          </rPr>
          <t xml:space="preserve">
Guidance: ~$164mm</t>
        </r>
        <r>
          <rPr>
            <b/>
            <sz val="8"/>
            <color indexed="81"/>
            <rFont val="Tahoma"/>
            <family val="2"/>
          </rPr>
          <t xml:space="preserve">
OLD: 
</t>
        </r>
        <r>
          <rPr>
            <sz val="8"/>
            <color indexed="81"/>
            <rFont val="Tahoma"/>
            <family val="2"/>
          </rPr>
          <t>DJF 2/15/12:</t>
        </r>
        <r>
          <rPr>
            <sz val="8"/>
            <color indexed="81"/>
            <rFont val="Tahoma"/>
            <family val="2"/>
          </rPr>
          <t xml:space="preserve">
Guidance: $130 - 140M
10/10/11:
FY Guidance: $130 - $150 mn
Reflects "stronger results from O&amp;L hotels and higher credit card branding fees somewhat offset by lower termination fees"</t>
        </r>
      </text>
    </comment>
    <comment ref="BV184" authorId="7">
      <text>
        <r>
          <rPr>
            <b/>
            <sz val="8"/>
            <color indexed="81"/>
            <rFont val="Tahoma"/>
            <family val="2"/>
          </rPr>
          <t>thallen:</t>
        </r>
        <r>
          <rPr>
            <sz val="8"/>
            <color indexed="81"/>
            <rFont val="Tahoma"/>
            <family val="2"/>
          </rPr>
          <t xml:space="preserve">
Guidance: $25-30mm</t>
        </r>
      </text>
    </comment>
    <comment ref="BW184" authorId="7">
      <text>
        <r>
          <rPr>
            <b/>
            <sz val="8"/>
            <color indexed="81"/>
            <rFont val="Tahoma"/>
            <family val="2"/>
          </rPr>
          <t>thallen:</t>
        </r>
        <r>
          <rPr>
            <sz val="8"/>
            <color indexed="81"/>
            <rFont val="Tahoma"/>
            <family val="2"/>
          </rPr>
          <t xml:space="preserve">
Higher than guidance b/c of greater termination fees
$4mm impact y/y from 3 int'l lease terminations
Also sold corp housing biz in 2Q12
Longer fiscal quarter increased results by ~$6mm</t>
        </r>
      </text>
    </comment>
    <comment ref="BX184" authorId="12">
      <text>
        <r>
          <rPr>
            <b/>
            <sz val="8"/>
            <color indexed="81"/>
            <rFont val="Tahoma"/>
            <family val="2"/>
          </rPr>
          <t>jills:</t>
        </r>
        <r>
          <rPr>
            <sz val="8"/>
            <color indexed="81"/>
            <rFont val="Tahoma"/>
            <family val="2"/>
          </rPr>
          <t xml:space="preserve">
Benefited from $8m of termination and branding fees ($6m of which were expected in 4Q)</t>
        </r>
      </text>
    </comment>
    <comment ref="BZ184" authorId="7">
      <text>
        <r>
          <rPr>
            <b/>
            <sz val="8"/>
            <color indexed="81"/>
            <rFont val="Tahoma"/>
            <family val="2"/>
          </rPr>
          <t>thallen:</t>
        </r>
        <r>
          <rPr>
            <sz val="8"/>
            <color indexed="81"/>
            <rFont val="Tahoma"/>
            <family val="2"/>
          </rPr>
          <t xml:space="preserve">
Guidance: $135-145mm (lower b/c tough comp w/ London Olympics, renovations at 2 int'l leased hotels in 2013, higher pre-opening expenses, and lower termination and residential branding fees
Per 1Q13 call, expect to be choppy given timing of residential branding fees, which are paid on closing of the residence, primarily Ritz Carlton branded residences</t>
        </r>
      </text>
    </comment>
    <comment ref="CI188" authorId="1">
      <text>
        <r>
          <rPr>
            <b/>
            <sz val="9"/>
            <color indexed="81"/>
            <rFont val="Tahoma"/>
            <family val="2"/>
          </rPr>
          <t>Allen, Thomas (Research):</t>
        </r>
        <r>
          <rPr>
            <sz val="9"/>
            <color indexed="81"/>
            <rFont val="Tahoma"/>
            <family val="2"/>
          </rPr>
          <t xml:space="preserve">
$11m in termination fees</t>
        </r>
      </text>
    </comment>
    <comment ref="CN188" authorId="1">
      <text>
        <r>
          <rPr>
            <b/>
            <sz val="9"/>
            <color indexed="81"/>
            <rFont val="Tahoma"/>
            <family val="2"/>
          </rPr>
          <t>Allen, Thomas (Research):</t>
        </r>
        <r>
          <rPr>
            <sz val="9"/>
            <color indexed="81"/>
            <rFont val="Tahoma"/>
            <family val="2"/>
          </rPr>
          <t xml:space="preserve">
Decline b/c $3m lost EBITDA from asset sales, $11m lower expected termination fees
Assume additional $1m lost from St. Regis SF sale on Dec 1</t>
        </r>
      </text>
    </comment>
    <comment ref="CO188" authorId="5">
      <text>
        <r>
          <rPr>
            <sz val="9"/>
            <color indexed="81"/>
            <rFont val="Tahoma"/>
            <family val="2"/>
          </rPr>
          <t>~$25m of incremental EBITDA from renovations in 2015
~$25m of incremental EBITDA from higher branding fees</t>
        </r>
        <r>
          <rPr>
            <b/>
            <sz val="9"/>
            <color indexed="81"/>
            <rFont val="Tahoma"/>
            <family val="2"/>
          </rPr>
          <t xml:space="preserve">
</t>
        </r>
        <r>
          <rPr>
            <sz val="9"/>
            <color indexed="81"/>
            <rFont val="Tahoma"/>
            <family val="2"/>
          </rPr>
          <t xml:space="preserve">
EBITDA to decrease by $15m in 2016 due to FX headwinds, divided between owned and M&amp;F (80% reflected in M&amp;F and rest in Owned segment). 
Based on MS estimates USD to appreciate 5% in 2016 vs. a basket of currencies. Each 1% increase negatively impacts EBITDA by $3m . </t>
        </r>
      </text>
    </comment>
    <comment ref="CP188" authorId="2">
      <text>
        <r>
          <rPr>
            <b/>
            <sz val="9"/>
            <color indexed="81"/>
            <rFont val="Tahoma"/>
            <family val="2"/>
          </rPr>
          <t>Savino, Mark (Research):</t>
        </r>
        <r>
          <rPr>
            <sz val="9"/>
            <color indexed="81"/>
            <rFont val="Tahoma"/>
            <family val="2"/>
          </rPr>
          <t xml:space="preserve">
$4m impact from asset sales
$16m ahead of expectations, with $6m of higher termination fees</t>
        </r>
      </text>
    </comment>
    <comment ref="CQ188" authorId="2">
      <text>
        <r>
          <rPr>
            <b/>
            <sz val="9"/>
            <color indexed="81"/>
            <rFont val="Tahoma"/>
            <family val="2"/>
          </rPr>
          <t>Savino, Mark (Research):</t>
        </r>
        <r>
          <rPr>
            <sz val="9"/>
            <color indexed="81"/>
            <rFont val="Tahoma"/>
            <family val="2"/>
          </rPr>
          <t xml:space="preserve">
Included $3m of termination fees and $5m of business interruption proceeds
1Q17: $15m negative impact from asset sales, also expect lower results in Rio and NYC</t>
        </r>
      </text>
    </comment>
    <comment ref="CR188" authorId="2">
      <text>
        <r>
          <rPr>
            <b/>
            <sz val="9"/>
            <color indexed="81"/>
            <rFont val="Tahoma"/>
            <family val="2"/>
          </rPr>
          <t>Savino, Mark (Research):</t>
        </r>
        <r>
          <rPr>
            <sz val="9"/>
            <color indexed="81"/>
            <rFont val="Tahoma"/>
            <family val="2"/>
          </rPr>
          <t xml:space="preserve">
Includes $9m favorable purchase accounting adjustment and $4m of termination fees. Also better results in Canada</t>
        </r>
      </text>
    </comment>
    <comment ref="CT188" authorId="1">
      <text>
        <r>
          <rPr>
            <b/>
            <sz val="9"/>
            <color indexed="81"/>
            <rFont val="Tahoma"/>
            <family val="2"/>
          </rPr>
          <t>Allen, Thomas (Research):</t>
        </r>
        <r>
          <rPr>
            <sz val="9"/>
            <color indexed="81"/>
            <rFont val="Tahoma"/>
            <family val="2"/>
          </rPr>
          <t xml:space="preserve">
Assume $8m for sale of Charlotte Marriott on 6/2
1Q17: Guidance implies $23.5m of lost EBITDA from Westin Maui
4/3/17: Assume $19m of lost EBITDA from sale of Westin Maui on 4/3/17 (assume $24m impact on a full year basis)
4Q16: $38m headwind from sold assets and lower termination fees, and $20m headwind from lapping olympics and lower results at NY hotels
3Q16: 1% chg in RevPAR = $8m owned income
Assume $12m negative impact from St. Regis SF sale though not disclosed (implies 15x EBITDA, $175m sale price)</t>
        </r>
      </text>
    </comment>
    <comment ref="CW188" authorId="2">
      <text>
        <r>
          <rPr>
            <b/>
            <sz val="9"/>
            <color indexed="81"/>
            <rFont val="Tahoma"/>
            <family val="2"/>
          </rPr>
          <t>Savino, Mark (Research):</t>
        </r>
        <r>
          <rPr>
            <sz val="9"/>
            <color indexed="81"/>
            <rFont val="Tahoma"/>
            <family val="2"/>
          </rPr>
          <t xml:space="preserve">
Lapping $9m of favorable purchase acct adjustments in 3Q17</t>
        </r>
      </text>
    </comment>
    <comment ref="CY188" authorId="2">
      <text>
        <r>
          <rPr>
            <b/>
            <sz val="9"/>
            <color indexed="81"/>
            <rFont val="Tahoma"/>
            <family val="2"/>
          </rPr>
          <t>Savino, Mark (Research):</t>
        </r>
        <r>
          <rPr>
            <sz val="9"/>
            <color indexed="81"/>
            <rFont val="Tahoma"/>
            <family val="2"/>
          </rPr>
          <t xml:space="preserve">
4Q17: $55m lost from asset sales in 2017
3Q17: $45m of EBITDA in 2017 from assets sold through 11/8/17
BUT other fees are growing
4/3/17: Incremental $5m of lost EBITDA from Westin Maui in 1Q18
</t>
        </r>
      </text>
    </comment>
    <comment ref="BZ189" authorId="12">
      <text>
        <r>
          <rPr>
            <b/>
            <sz val="8"/>
            <color indexed="81"/>
            <rFont val="Tahoma"/>
            <family val="2"/>
          </rPr>
          <t>jills:</t>
        </r>
        <r>
          <rPr>
            <sz val="8"/>
            <color indexed="81"/>
            <rFont val="Tahoma"/>
            <family val="2"/>
          </rPr>
          <t xml:space="preserve">
per 1Q13 call, mgmt expects decline of 9-15%</t>
        </r>
      </text>
    </comment>
    <comment ref="CJ189" authorId="1">
      <text>
        <r>
          <rPr>
            <b/>
            <sz val="9"/>
            <color indexed="81"/>
            <rFont val="Tahoma"/>
            <family val="2"/>
          </rPr>
          <t>Allen, Thomas (Research):</t>
        </r>
        <r>
          <rPr>
            <sz val="9"/>
            <color indexed="81"/>
            <rFont val="Tahoma"/>
            <family val="2"/>
          </rPr>
          <t xml:space="preserve">
</t>
        </r>
      </text>
    </comment>
    <comment ref="CM189" authorId="1">
      <text>
        <r>
          <rPr>
            <b/>
            <sz val="9"/>
            <color indexed="81"/>
            <rFont val="Tahoma"/>
            <family val="2"/>
          </rPr>
          <t>Allen, Thomas (Research):</t>
        </r>
        <r>
          <rPr>
            <sz val="9"/>
            <color indexed="81"/>
            <rFont val="Tahoma"/>
            <family val="2"/>
          </rPr>
          <t xml:space="preserve">
Strong results in Tokyo / Charlotte having recently come off renovation, also helped by 2 new properties in Brazil b/c of the Olympics</t>
        </r>
      </text>
    </comment>
    <comment ref="CR189" authorId="1">
      <text>
        <r>
          <rPr>
            <b/>
            <sz val="9"/>
            <color indexed="81"/>
            <rFont val="Tahoma"/>
            <family val="2"/>
          </rPr>
          <t>Allen, Thomas (Research):</t>
        </r>
        <r>
          <rPr>
            <sz val="9"/>
            <color indexed="81"/>
            <rFont val="Tahoma"/>
            <family val="2"/>
          </rPr>
          <t xml:space="preserve">
Tough comp with the Olympics in 3Q16 and 2 new Brazil hotels at the time</t>
        </r>
      </text>
    </comment>
    <comment ref="CS189" authorId="1">
      <text>
        <r>
          <rPr>
            <b/>
            <sz val="9"/>
            <color indexed="81"/>
            <rFont val="Tahoma"/>
            <family val="2"/>
          </rPr>
          <t>Allen, Thomas (Research):</t>
        </r>
        <r>
          <rPr>
            <sz val="9"/>
            <color indexed="81"/>
            <rFont val="Tahoma"/>
            <family val="2"/>
          </rPr>
          <t xml:space="preserve">
$18m y/y impact from asset sales</t>
        </r>
      </text>
    </comment>
    <comment ref="CT189" authorId="1">
      <text>
        <r>
          <rPr>
            <b/>
            <sz val="9"/>
            <color indexed="81"/>
            <rFont val="Tahoma"/>
            <family val="2"/>
          </rPr>
          <t>Allen, Thomas (Research):</t>
        </r>
        <r>
          <rPr>
            <sz val="9"/>
            <color indexed="81"/>
            <rFont val="Tahoma"/>
            <family val="2"/>
          </rPr>
          <t xml:space="preserve">
4/3/17: Marriott sold Westin Maui for $317m, assuming 13x multiple, 2017e EBITDA should drop $24m or about $6m lower per quarter
Legacy MAR: Comping against high RC licensing fees in 2016, but going from $30m / yr to $20s
Charlotte coming off renovation should help (though will likely sell)
HOT had asset sales in 2016 but $6m of EBITDA from the 5 assets plus what was contributed to Interval, so likely minimal y/y headwind in 2017
Re-negotiated credit fees could be a boost</t>
        </r>
      </text>
    </comment>
    <comment ref="CU189" authorId="1">
      <text>
        <r>
          <rPr>
            <b/>
            <sz val="9"/>
            <color indexed="81"/>
            <rFont val="Tahoma"/>
            <family val="2"/>
          </rPr>
          <t>Allen, Thomas (Research):</t>
        </r>
        <r>
          <rPr>
            <sz val="9"/>
            <color indexed="81"/>
            <rFont val="Tahoma"/>
            <family val="2"/>
          </rPr>
          <t xml:space="preserve">
$20m negative impact from asset sales</t>
        </r>
      </text>
    </comment>
    <comment ref="CY193" authorId="1">
      <text>
        <r>
          <rPr>
            <b/>
            <sz val="9"/>
            <color indexed="81"/>
            <rFont val="Tahoma"/>
            <family val="2"/>
          </rPr>
          <t>Allen, Thomas (Research):</t>
        </r>
        <r>
          <rPr>
            <sz val="9"/>
            <color indexed="81"/>
            <rFont val="Tahoma"/>
            <family val="2"/>
          </rPr>
          <t xml:space="preserve">
50bps margin benefit in 2018, similar to 2017, from Starwood integration but sold hotels impacting, being left with mostly leased</t>
        </r>
      </text>
    </comment>
    <comment ref="AL195" authorId="26">
      <text>
        <r>
          <rPr>
            <sz val="8"/>
            <color indexed="81"/>
            <rFont val="Tahoma"/>
            <family val="2"/>
          </rPr>
          <t xml:space="preserve">Guidance:
$158-163m  (3Q05 Press release)
</t>
        </r>
      </text>
    </comment>
    <comment ref="AQ195" authorId="26">
      <text>
        <r>
          <rPr>
            <sz val="8"/>
            <color indexed="81"/>
            <rFont val="Tahoma"/>
            <family val="2"/>
          </rPr>
          <t>Guidance:
$176-181m  (3Q06 Press release)
~$170m      (2Q06 Press release)
~$160m      (1Q06 Press release)
~$150m      (4Q05 Press release)
$150-155m   (3Q05 Press release)</t>
        </r>
      </text>
    </comment>
    <comment ref="AV195" authorId="26">
      <text>
        <r>
          <rPr>
            <sz val="8"/>
            <color indexed="81"/>
            <rFont val="Tahoma"/>
            <family val="2"/>
          </rPr>
          <t>Guidance:
~$178m      (3Q07 Press release)
$180-190m  (2Q07 Press release)
$165-175m  (1Q07 Press release)
$165-175m  (4Q06 Press release)
$155-160m  (3Q06 Press release)</t>
        </r>
      </text>
    </comment>
    <comment ref="BA195" authorId="26">
      <text>
        <r>
          <rPr>
            <sz val="8"/>
            <color indexed="81"/>
            <rFont val="Tahoma"/>
            <family val="2"/>
          </rPr>
          <t>Guidance:
$142-147m  (3Q08 Press release)
$150-160m  (2Q08 Press release)
$170-180m  (1Q08 Press release)
$170-180m  (4Q07 Press release)
$175-185m  (3Q07 Press release)</t>
        </r>
      </text>
    </comment>
    <comment ref="BF195" authorId="26">
      <text>
        <r>
          <rPr>
            <sz val="8"/>
            <color indexed="81"/>
            <rFont val="Tahoma"/>
            <family val="2"/>
          </rPr>
          <t>Guidance:
ND          (3Q09 Press release)
$55-60m   (2Q09 Press release)
$55-65m   (1Q09 Press release)
$65-85m   (4Q08 Press release)</t>
        </r>
      </text>
    </comment>
    <comment ref="BK195" authorId="26">
      <text>
        <r>
          <rPr>
            <sz val="8"/>
            <color indexed="81"/>
            <rFont val="Tahoma"/>
            <family val="2"/>
          </rPr>
          <t>Guidance:
~$90m     (3Q10 Press release)
~$95m     (2Q10 Press release)
$75-80m   (1Q10 Press release)
$65-70m   (4Q09 Press release)</t>
        </r>
      </text>
    </comment>
    <comment ref="BP195" authorId="26">
      <text>
        <r>
          <rPr>
            <sz val="8"/>
            <color indexed="81"/>
            <rFont val="Tahoma"/>
            <family val="2"/>
          </rPr>
          <t>Guidance:
~$134m     (3Q11 Press release)
$120-125m  (2Q11 Press release)
$115-125m  (1Q11 Press release)
$115-125m  (4Q10 Press release)</t>
        </r>
      </text>
    </comment>
    <comment ref="BU195" authorId="26">
      <text>
        <r>
          <rPr>
            <sz val="8"/>
            <color indexed="81"/>
            <rFont val="Tahoma"/>
            <family val="2"/>
          </rPr>
          <t>Guidance:
~$164m    (3Q12 Press release)
$155-165m (2Q12 Press release)
$140-145m (1Q12 Press release)
$130-140m  (4Q11 Press release)</t>
        </r>
      </text>
    </comment>
    <comment ref="BZ195" authorId="12">
      <text>
        <r>
          <rPr>
            <b/>
            <sz val="8"/>
            <color indexed="81"/>
            <rFont val="Tahoma"/>
            <family val="2"/>
          </rPr>
          <t>jills:</t>
        </r>
        <r>
          <rPr>
            <sz val="8"/>
            <color indexed="81"/>
            <rFont val="Tahoma"/>
            <family val="2"/>
          </rPr>
          <t xml:space="preserve">
per 4Q12 guidance $135-$145mm
per 1Q13 guidance $140-$150mm
per 3Q13 guidance approx. $161m</t>
        </r>
      </text>
    </comment>
    <comment ref="CA195" authorId="13">
      <text>
        <r>
          <rPr>
            <sz val="8"/>
            <color indexed="81"/>
            <rFont val="Tahoma"/>
            <family val="2"/>
          </rPr>
          <t>Source :  8k of 4Q13</t>
        </r>
      </text>
    </comment>
    <comment ref="CE195" authorId="13">
      <text>
        <r>
          <rPr>
            <b/>
            <sz val="8"/>
            <color indexed="81"/>
            <rFont val="Tahoma"/>
            <family val="2"/>
          </rPr>
          <t>Guidance:</t>
        </r>
        <r>
          <rPr>
            <sz val="8"/>
            <color indexed="81"/>
            <rFont val="Tahoma"/>
            <family val="2"/>
          </rPr>
          <t xml:space="preserve">
Per 3Q14: $239m
Per 2Q14: $235m
Per 1Q14: $220.0m-230.0m
Per 4Q13: $210.0m-220.0m</t>
        </r>
      </text>
    </comment>
    <comment ref="CJ195" authorId="13">
      <text>
        <r>
          <rPr>
            <b/>
            <sz val="8"/>
            <color indexed="81"/>
            <rFont val="Tahoma"/>
            <family val="2"/>
          </rPr>
          <t xml:space="preserve">Guidance:
</t>
        </r>
        <r>
          <rPr>
            <sz val="8"/>
            <color indexed="81"/>
            <rFont val="Tahoma"/>
            <family val="2"/>
          </rPr>
          <t>Per 3Q15: $247-252m
Per 2Q15: $250-255m
Per 1Q15: $255m
Per 4Q14: $250m
Note some FX headwinds</t>
        </r>
      </text>
    </comment>
    <comment ref="CN195" authorId="2">
      <text>
        <r>
          <rPr>
            <b/>
            <sz val="9"/>
            <color indexed="81"/>
            <rFont val="Tahoma"/>
            <family val="2"/>
          </rPr>
          <t>Savino, Mark (Research):</t>
        </r>
        <r>
          <rPr>
            <sz val="9"/>
            <color indexed="81"/>
            <rFont val="Tahoma"/>
            <family val="2"/>
          </rPr>
          <t xml:space="preserve">
2Q16: $80-85m MAR standalone</t>
        </r>
      </text>
    </comment>
    <comment ref="CO195" authorId="2">
      <text>
        <r>
          <rPr>
            <b/>
            <sz val="9"/>
            <color indexed="81"/>
            <rFont val="Tahoma"/>
            <family val="2"/>
          </rPr>
          <t>Savino, Mark (Research):</t>
        </r>
        <r>
          <rPr>
            <sz val="9"/>
            <color indexed="81"/>
            <rFont val="Tahoma"/>
            <family val="2"/>
          </rPr>
          <t xml:space="preserve">
2Q16: Implied $303-308m
1Q16: $310-315m
4Q15: $300-305m</t>
        </r>
      </text>
    </comment>
    <comment ref="CQ195" authorId="2">
      <text>
        <r>
          <rPr>
            <b/>
            <sz val="9"/>
            <color indexed="81"/>
            <rFont val="Tahoma"/>
            <family val="2"/>
          </rPr>
          <t>Savino, Mark (Research):</t>
        </r>
        <r>
          <rPr>
            <sz val="9"/>
            <color indexed="81"/>
            <rFont val="Tahoma"/>
            <family val="2"/>
          </rPr>
          <t xml:space="preserve">
Includes $15m negative impact from sold legacy HOT properties</t>
        </r>
      </text>
    </comment>
    <comment ref="CR195" authorId="2">
      <text>
        <r>
          <rPr>
            <b/>
            <sz val="9"/>
            <color indexed="81"/>
            <rFont val="Tahoma"/>
            <family val="2"/>
          </rPr>
          <t>Savino, Mark (Research):</t>
        </r>
        <r>
          <rPr>
            <sz val="9"/>
            <color indexed="81"/>
            <rFont val="Tahoma"/>
            <family val="2"/>
          </rPr>
          <t xml:space="preserve">
Includes $15m negative impact from sold properties, and tough comp in Rio with Olympics last year</t>
        </r>
      </text>
    </comment>
    <comment ref="CS195" authorId="2">
      <text>
        <r>
          <rPr>
            <b/>
            <sz val="9"/>
            <color indexed="81"/>
            <rFont val="Tahoma"/>
            <family val="2"/>
          </rPr>
          <t>Savino, Mark (Research):</t>
        </r>
        <r>
          <rPr>
            <sz val="9"/>
            <color indexed="81"/>
            <rFont val="Tahoma"/>
            <family val="2"/>
          </rPr>
          <t xml:space="preserve">
3Q17: $90m
2Q17: $97m</t>
        </r>
      </text>
    </comment>
    <comment ref="CT195" authorId="2">
      <text>
        <r>
          <rPr>
            <b/>
            <sz val="9"/>
            <color indexed="81"/>
            <rFont val="Tahoma"/>
            <family val="2"/>
          </rPr>
          <t>Savino, Mark (Research):</t>
        </r>
        <r>
          <rPr>
            <sz val="9"/>
            <color indexed="81"/>
            <rFont val="Tahoma"/>
            <family val="2"/>
          </rPr>
          <t xml:space="preserve">
3Q17: $367m
2Q17: $355m
1Q17: $340-350m, includes $40m negative impact from asset sales, $25-30m lower results in Rio and NYC, and $15m lower termination fees
4/3/17: Prior to sale of Westin Maui, which we estimate will reduce 2Q-4Q EBITDA by ~$19m EBITDA</t>
        </r>
      </text>
    </comment>
    <comment ref="CY195" authorId="2">
      <text>
        <r>
          <rPr>
            <b/>
            <sz val="9"/>
            <color indexed="81"/>
            <rFont val="Tahoma"/>
            <family val="2"/>
          </rPr>
          <t>Savino, Mark (Research):</t>
        </r>
        <r>
          <rPr>
            <sz val="9"/>
            <color indexed="81"/>
            <rFont val="Tahoma"/>
            <family val="2"/>
          </rPr>
          <t xml:space="preserve">
4Q17: $285-295m, including $55m impact from sold hotels</t>
        </r>
      </text>
    </comment>
    <comment ref="CZ195" authorId="1">
      <text>
        <r>
          <rPr>
            <b/>
            <sz val="9"/>
            <color indexed="81"/>
            <rFont val="Tahoma"/>
            <family val="2"/>
          </rPr>
          <t>Allen, Thomas (Research):</t>
        </r>
        <r>
          <rPr>
            <sz val="9"/>
            <color indexed="81"/>
            <rFont val="Tahoma"/>
            <family val="2"/>
          </rPr>
          <t xml:space="preserve">
3/21/17: Investor day: $240-270m, assumes asset sales $147m lost EBITDA (which we don't reflect)
Note $55m of other revenue down from $77m in 2016
Clean 1-6% growth CAGR on 1-3% RevPAR
1% RevPAR = $5m on assets not held for sale</t>
        </r>
      </text>
    </comment>
    <comment ref="A206" authorId="15">
      <text>
        <r>
          <rPr>
            <b/>
            <sz val="11"/>
            <color indexed="8"/>
            <rFont val="Tahoma"/>
            <family val="2"/>
          </rPr>
          <t>toddscot:</t>
        </r>
        <r>
          <rPr>
            <sz val="11"/>
            <color indexed="8"/>
            <rFont val="Tahoma"/>
            <family val="2"/>
          </rPr>
          <t xml:space="preserve">
Becareful updating this for the quarter because the numbers are not comparable y/y</t>
        </r>
      </text>
    </comment>
    <comment ref="DD206" authorId="15">
      <text>
        <r>
          <rPr>
            <b/>
            <sz val="11"/>
            <color indexed="8"/>
            <rFont val="Tahoma"/>
            <family val="2"/>
          </rPr>
          <t>toddscot:</t>
        </r>
        <r>
          <rPr>
            <sz val="11"/>
            <color indexed="8"/>
            <rFont val="Tahoma"/>
            <family val="2"/>
          </rPr>
          <t xml:space="preserve">
Becareful updating this for the quarter because the numbers are not comparable y/y</t>
        </r>
      </text>
    </comment>
    <comment ref="CZ226" authorId="1">
      <text>
        <r>
          <rPr>
            <b/>
            <sz val="9"/>
            <color indexed="81"/>
            <rFont val="Tahoma"/>
            <family val="2"/>
          </rPr>
          <t>Allen, Thomas (Research):</t>
        </r>
        <r>
          <rPr>
            <sz val="9"/>
            <color indexed="81"/>
            <rFont val="Tahoma"/>
            <family val="2"/>
          </rPr>
          <t xml:space="preserve">
3/21/17: $1230-1305m, incl. $105-115m from new hotels 
Includes 50bps FX headwinds from 2017</t>
        </r>
      </text>
    </comment>
    <comment ref="A228" authorId="0">
      <text>
        <r>
          <rPr>
            <b/>
            <sz val="8"/>
            <color indexed="81"/>
            <rFont val="Tahoma"/>
            <family val="2"/>
          </rPr>
          <t>DJF 3/22/12:</t>
        </r>
        <r>
          <rPr>
            <sz val="8"/>
            <color indexed="81"/>
            <rFont val="Tahoma"/>
            <family val="2"/>
          </rPr>
          <t xml:space="preserve">
Include Timeshare royalties post spinoff</t>
        </r>
      </text>
    </comment>
    <comment ref="DD228" authorId="0">
      <text>
        <r>
          <rPr>
            <b/>
            <sz val="8"/>
            <color indexed="81"/>
            <rFont val="Tahoma"/>
            <family val="2"/>
          </rPr>
          <t>DJF 3/22/12:</t>
        </r>
        <r>
          <rPr>
            <sz val="8"/>
            <color indexed="81"/>
            <rFont val="Tahoma"/>
            <family val="2"/>
          </rPr>
          <t xml:space="preserve">
Include Timeshare royalties post spinoff</t>
        </r>
      </text>
    </comment>
    <comment ref="CZ232" authorId="1">
      <text>
        <r>
          <rPr>
            <b/>
            <sz val="9"/>
            <color indexed="81"/>
            <rFont val="Tahoma"/>
            <family val="2"/>
          </rPr>
          <t>Allen, Thomas (Research):</t>
        </r>
        <r>
          <rPr>
            <sz val="9"/>
            <color indexed="81"/>
            <rFont val="Tahoma"/>
            <family val="2"/>
          </rPr>
          <t xml:space="preserve">
3/21/17: $1820-1905m, incl. $215-235m from new hotels
$450m of application, relicensing, CC, timeshare and branding fees (vs. $350m in 2016)
</t>
        </r>
      </text>
    </comment>
    <comment ref="CZ237" authorId="1">
      <text>
        <r>
          <rPr>
            <b/>
            <sz val="9"/>
            <color indexed="81"/>
            <rFont val="Tahoma"/>
            <family val="2"/>
          </rPr>
          <t>Allen, Thomas (Research):</t>
        </r>
        <r>
          <rPr>
            <sz val="9"/>
            <color indexed="81"/>
            <rFont val="Tahoma"/>
            <family val="2"/>
          </rPr>
          <t xml:space="preserve">
3/21/17: 3-yr plan estimate $665-705m, incl. $60-65m from new hotels</t>
        </r>
      </text>
    </comment>
    <comment ref="CF240" authorId="2">
      <text>
        <r>
          <rPr>
            <b/>
            <sz val="9"/>
            <color indexed="81"/>
            <rFont val="Tahoma"/>
            <family val="2"/>
          </rPr>
          <t>Savino, Mark (Research):</t>
        </r>
        <r>
          <rPr>
            <sz val="9"/>
            <color indexed="81"/>
            <rFont val="Tahoma"/>
            <family val="2"/>
          </rPr>
          <t xml:space="preserve">
Reclassified post MAR acquisition</t>
        </r>
      </text>
    </comment>
    <comment ref="BO242" authorId="9">
      <text>
        <r>
          <rPr>
            <b/>
            <sz val="8"/>
            <color indexed="81"/>
            <rFont val="Tahoma"/>
            <family val="2"/>
          </rPr>
          <t>DJF:</t>
        </r>
        <r>
          <rPr>
            <sz val="8"/>
            <color indexed="81"/>
            <rFont val="Tahoma"/>
            <family val="2"/>
          </rPr>
          <t xml:space="preserve">
</t>
        </r>
        <r>
          <rPr>
            <b/>
            <sz val="8"/>
            <color indexed="81"/>
            <rFont val="Tahoma"/>
            <family val="2"/>
          </rPr>
          <t>10/10/11
4Q Guidance:</t>
        </r>
        <r>
          <rPr>
            <sz val="8"/>
            <color indexed="81"/>
            <rFont val="Tahoma"/>
            <family val="2"/>
          </rPr>
          <t xml:space="preserve"> 420 - 430 mm</t>
        </r>
      </text>
    </comment>
    <comment ref="BP242" authorId="9">
      <text>
        <r>
          <rPr>
            <b/>
            <sz val="8"/>
            <color indexed="81"/>
            <rFont val="Tahoma"/>
            <family val="2"/>
          </rPr>
          <t>danfuss:</t>
        </r>
        <r>
          <rPr>
            <sz val="8"/>
            <color indexed="81"/>
            <rFont val="Tahoma"/>
            <family val="2"/>
          </rPr>
          <t xml:space="preserve">
</t>
        </r>
        <r>
          <rPr>
            <b/>
            <sz val="8"/>
            <color indexed="81"/>
            <rFont val="Tahoma"/>
            <family val="2"/>
          </rPr>
          <t>10/10/11</t>
        </r>
        <r>
          <rPr>
            <sz val="8"/>
            <color indexed="81"/>
            <rFont val="Tahoma"/>
            <family val="2"/>
          </rPr>
          <t xml:space="preserve">
4Q Guidance: $1,307 - $1,317 mn</t>
        </r>
      </text>
    </comment>
    <comment ref="BU242" authorId="9">
      <text>
        <r>
          <rPr>
            <b/>
            <sz val="8"/>
            <color indexed="81"/>
            <rFont val="Tahoma"/>
            <family val="2"/>
          </rPr>
          <t xml:space="preserve">per 2Q13 call:
</t>
        </r>
        <r>
          <rPr>
            <sz val="8"/>
            <color indexed="81"/>
            <rFont val="Tahoma"/>
            <family val="2"/>
          </rPr>
          <t>76% fees were domestic; 24% int'l</t>
        </r>
        <r>
          <rPr>
            <b/>
            <sz val="8"/>
            <color indexed="81"/>
            <rFont val="Tahoma"/>
            <family val="2"/>
          </rPr>
          <t xml:space="preserve">
DJF 2/15/12:
</t>
        </r>
        <r>
          <rPr>
            <sz val="8"/>
            <color indexed="81"/>
            <rFont val="Tahoma"/>
            <family val="2"/>
          </rPr>
          <t>Guidance: Lowered from 1,420 - 1,490M to 1,410 - 1,450</t>
        </r>
        <r>
          <rPr>
            <sz val="8"/>
            <color indexed="81"/>
            <rFont val="Tahoma"/>
            <family val="2"/>
          </rPr>
          <t xml:space="preserve">
</t>
        </r>
        <r>
          <rPr>
            <b/>
            <sz val="8"/>
            <color indexed="81"/>
            <rFont val="Tahoma"/>
            <family val="2"/>
          </rPr>
          <t xml:space="preserve">10/10/2011 
</t>
        </r>
        <r>
          <rPr>
            <sz val="8"/>
            <color indexed="81"/>
            <rFont val="Tahoma"/>
            <family val="2"/>
          </rPr>
          <t>FY12 Fee Guidance: $1,420 to $1,490 mm Based on 3% to 7% WW RevPAR Growth.  This includes Royalty fees from VAC.  Note that base management fees will no longer include T/S base fees (58-60 mm in 2011).</t>
        </r>
      </text>
    </comment>
    <comment ref="BW242" authorId="12">
      <text>
        <r>
          <rPr>
            <b/>
            <sz val="8"/>
            <color indexed="81"/>
            <rFont val="Tahoma"/>
            <family val="2"/>
          </rPr>
          <t>jills:</t>
        </r>
        <r>
          <rPr>
            <sz val="8"/>
            <color indexed="81"/>
            <rFont val="Tahoma"/>
            <family val="2"/>
          </rPr>
          <t xml:space="preserve">
79% domestic; 21% int'l</t>
        </r>
      </text>
    </comment>
    <comment ref="BX242" authorId="12">
      <text>
        <r>
          <rPr>
            <b/>
            <sz val="8"/>
            <color indexed="81"/>
            <rFont val="Tahoma"/>
            <family val="2"/>
          </rPr>
          <t>jills:</t>
        </r>
        <r>
          <rPr>
            <sz val="8"/>
            <color indexed="81"/>
            <rFont val="Tahoma"/>
            <family val="2"/>
          </rPr>
          <t xml:space="preserve">
3Q group pace is flattish per 2Q call
per 3Q13 release, short term group business picked up in NA in 3Q and occ rates reached nearly 75% ww; room rates moved higher, in part due to an improving mix of business, contributing ~75% of RevPAR increase in the quarter
</t>
        </r>
      </text>
    </comment>
    <comment ref="BY242" authorId="12">
      <text>
        <r>
          <rPr>
            <b/>
            <sz val="8"/>
            <color indexed="81"/>
            <rFont val="Tahoma"/>
            <family val="2"/>
          </rPr>
          <t>jills:</t>
        </r>
        <r>
          <rPr>
            <sz val="8"/>
            <color indexed="81"/>
            <rFont val="Tahoma"/>
            <family val="2"/>
          </rPr>
          <t xml:space="preserve">
6% group revenue pace in 4Q per 2Q call
</t>
        </r>
      </text>
    </comment>
    <comment ref="CC242" authorId="5">
      <text>
        <r>
          <rPr>
            <b/>
            <sz val="9"/>
            <color indexed="81"/>
            <rFont val="Tahoma"/>
            <family val="2"/>
          </rPr>
          <t>3Q14:</t>
        </r>
        <r>
          <rPr>
            <sz val="9"/>
            <color indexed="81"/>
            <rFont val="Tahoma"/>
            <family val="2"/>
          </rPr>
          <t xml:space="preserve">
Base management and franchise fees totaled $381 million compared to $325 million in the year-ago quarter, an increase of 17 percent.  The year-over-year increase largely reflects higher RevPAR and new unit growth.  The company recognized $9 million of deferred base management fees related to an owner's sale of a Courtyard portfolio, $6 million of deferred base management fees related to the performance of a limited-service portfolio and $9 million of relicensing fees in the third quarter.  In the year-ago quarter, the company recognized $2 million of deferred base management fees related to the performance of a limited-service portfolio and $3 million of relicensing fees.
</t>
        </r>
      </text>
    </comment>
    <comment ref="CH242" authorId="5">
      <text>
        <r>
          <rPr>
            <b/>
            <sz val="9"/>
            <color indexed="81"/>
            <rFont val="Tahoma"/>
            <family val="2"/>
          </rPr>
          <t>Chaudhry, Baset A (Research):</t>
        </r>
        <r>
          <rPr>
            <sz val="9"/>
            <color indexed="81"/>
            <rFont val="Tahoma"/>
            <family val="2"/>
          </rPr>
          <t xml:space="preserve">
$4m impact from FX</t>
        </r>
      </text>
    </comment>
    <comment ref="CT242" authorId="1">
      <text>
        <r>
          <rPr>
            <b/>
            <sz val="9"/>
            <color indexed="81"/>
            <rFont val="Tahoma"/>
            <family val="2"/>
          </rPr>
          <t>Allen, Thomas (Research):</t>
        </r>
        <r>
          <rPr>
            <sz val="9"/>
            <color indexed="81"/>
            <rFont val="Tahoma"/>
            <family val="2"/>
          </rPr>
          <t xml:space="preserve">
3Q16: 1% chg in RevPAR = $35m fees</t>
        </r>
      </text>
    </comment>
    <comment ref="CZ242" authorId="1">
      <text>
        <r>
          <rPr>
            <b/>
            <sz val="9"/>
            <color indexed="81"/>
            <rFont val="Tahoma"/>
            <family val="2"/>
          </rPr>
          <t>Allen, Thomas (Research):</t>
        </r>
        <r>
          <rPr>
            <sz val="9"/>
            <color indexed="81"/>
            <rFont val="Tahoma"/>
            <family val="2"/>
          </rPr>
          <t xml:space="preserve">
3/21/17: 3-yr plan estimate $3715-3915m
Every 1% RevPAR = $35m of annual fees, guide assumes 1-3% RevPAR growth</t>
        </r>
      </text>
    </comment>
    <comment ref="BZ248" authorId="12">
      <text>
        <r>
          <rPr>
            <b/>
            <sz val="8"/>
            <color indexed="81"/>
            <rFont val="Tahoma"/>
            <family val="2"/>
          </rPr>
          <t>jills:</t>
        </r>
        <r>
          <rPr>
            <sz val="8"/>
            <color indexed="81"/>
            <rFont val="Tahoma"/>
            <family val="2"/>
          </rPr>
          <t xml:space="preserve">
per 1Q13 call, expect mid-teens incentive fee growth
per 3Q13 call, expect ~10% growth</t>
        </r>
      </text>
    </comment>
    <comment ref="CE248" authorId="5">
      <text>
        <r>
          <rPr>
            <b/>
            <sz val="9"/>
            <color indexed="81"/>
            <rFont val="Tahoma"/>
            <family val="2"/>
          </rPr>
          <t xml:space="preserve">3Q14:
</t>
        </r>
        <r>
          <rPr>
            <sz val="9"/>
            <color indexed="81"/>
            <rFont val="Tahoma"/>
            <family val="2"/>
          </rPr>
          <t xml:space="preserve">Mgmt expects IMF to grow at high teens number
</t>
        </r>
      </text>
    </comment>
    <comment ref="CJ248" authorId="5">
      <text>
        <r>
          <rPr>
            <b/>
            <sz val="9"/>
            <color indexed="81"/>
            <rFont val="Tahoma"/>
            <family val="2"/>
          </rPr>
          <t xml:space="preserve">Guidance:
</t>
        </r>
        <r>
          <rPr>
            <sz val="9"/>
            <color indexed="81"/>
            <rFont val="Tahoma"/>
            <family val="2"/>
          </rPr>
          <t>3Q15:  Mid to high single-digit rate</t>
        </r>
        <r>
          <rPr>
            <b/>
            <sz val="9"/>
            <color indexed="81"/>
            <rFont val="Tahoma"/>
            <family val="2"/>
          </rPr>
          <t xml:space="preserve">
</t>
        </r>
        <r>
          <rPr>
            <sz val="9"/>
            <color indexed="81"/>
            <rFont val="Tahoma"/>
            <family val="2"/>
          </rPr>
          <t>2Q15: Low-teens rate</t>
        </r>
        <r>
          <rPr>
            <b/>
            <sz val="9"/>
            <color indexed="81"/>
            <rFont val="Tahoma"/>
            <family val="2"/>
          </rPr>
          <t xml:space="preserve">
</t>
        </r>
        <r>
          <rPr>
            <sz val="9"/>
            <color indexed="81"/>
            <rFont val="Tahoma"/>
            <family val="2"/>
          </rPr>
          <t>1Q15: Mid-teens rate
4Q14: Low double digits</t>
        </r>
      </text>
    </comment>
    <comment ref="BZ251" authorId="12">
      <text>
        <r>
          <rPr>
            <b/>
            <sz val="8"/>
            <color indexed="81"/>
            <rFont val="Tahoma"/>
            <family val="2"/>
          </rPr>
          <t>jills:</t>
        </r>
        <r>
          <rPr>
            <sz val="8"/>
            <color indexed="81"/>
            <rFont val="Tahoma"/>
            <family val="2"/>
          </rPr>
          <t xml:space="preserve">
per 1Q13 call, fees could increase 8-12%
Per 2Q13, fee increase ~7-10%</t>
        </r>
      </text>
    </comment>
    <comment ref="CF251" authorId="5">
      <text>
        <r>
          <rPr>
            <b/>
            <sz val="9"/>
            <color indexed="81"/>
            <rFont val="Tahoma"/>
            <family val="2"/>
          </rPr>
          <t xml:space="preserve">Guidance:
</t>
        </r>
        <r>
          <rPr>
            <sz val="9"/>
            <color indexed="81"/>
            <rFont val="Tahoma"/>
            <family val="2"/>
          </rPr>
          <t>4Q14: Fee revenue to grow mid teens</t>
        </r>
      </text>
    </comment>
    <comment ref="CH251" authorId="5">
      <text>
        <r>
          <rPr>
            <b/>
            <sz val="9"/>
            <color indexed="81"/>
            <rFont val="Tahoma"/>
            <family val="2"/>
          </rPr>
          <t>2Q15:</t>
        </r>
        <r>
          <rPr>
            <sz val="9"/>
            <color indexed="81"/>
            <rFont val="Tahoma"/>
            <family val="2"/>
          </rPr>
          <t xml:space="preserve">
5-7%</t>
        </r>
      </text>
    </comment>
    <comment ref="CI251" authorId="5">
      <text>
        <r>
          <rPr>
            <b/>
            <sz val="9"/>
            <color indexed="81"/>
            <rFont val="Tahoma"/>
            <family val="2"/>
          </rPr>
          <t>3Q15:</t>
        </r>
        <r>
          <rPr>
            <sz val="9"/>
            <color indexed="81"/>
            <rFont val="Tahoma"/>
            <family val="2"/>
          </rPr>
          <t xml:space="preserve">
7-9%</t>
        </r>
      </text>
    </comment>
    <comment ref="CJ251" authorId="5">
      <text>
        <r>
          <rPr>
            <b/>
            <sz val="9"/>
            <color indexed="81"/>
            <rFont val="Tahoma"/>
            <family val="2"/>
          </rPr>
          <t xml:space="preserve">Guidance:
</t>
        </r>
        <r>
          <rPr>
            <sz val="9"/>
            <color indexed="81"/>
            <rFont val="Tahoma"/>
            <family val="2"/>
          </rPr>
          <t>2Q15: 10-11% (higher FX and more modest IMF in HK and South Korea)
1Q15: 10-12%
4Q14: 9-11%</t>
        </r>
      </text>
    </comment>
    <comment ref="CM251" authorId="1">
      <text>
        <r>
          <rPr>
            <b/>
            <sz val="9"/>
            <color indexed="81"/>
            <rFont val="Tahoma"/>
            <family val="2"/>
          </rPr>
          <t>Allen, Thomas (Research):</t>
        </r>
        <r>
          <rPr>
            <sz val="9"/>
            <color indexed="81"/>
            <rFont val="Tahoma"/>
            <family val="2"/>
          </rPr>
          <t xml:space="preserve">
$9m FX impact</t>
        </r>
      </text>
    </comment>
    <comment ref="CN251" authorId="1">
      <text>
        <r>
          <rPr>
            <b/>
            <sz val="9"/>
            <color indexed="81"/>
            <rFont val="Tahoma"/>
            <family val="2"/>
          </rPr>
          <t>Allen, Thomas (Research):</t>
        </r>
        <r>
          <rPr>
            <sz val="9"/>
            <color indexed="81"/>
            <rFont val="Tahoma"/>
            <family val="2"/>
          </rPr>
          <t xml:space="preserve">
Slower growth b/c of only modest growth in NA, lower MEA fees, modest decline in IMFs, negative FX, give backs on IMFs</t>
        </r>
      </text>
    </comment>
    <comment ref="AL252" authorId="10">
      <text>
        <r>
          <rPr>
            <sz val="8"/>
            <color indexed="81"/>
            <rFont val="Tahoma"/>
            <family val="2"/>
          </rPr>
          <t>2Q05 - $1.020m-$1.030m</t>
        </r>
      </text>
    </comment>
    <comment ref="AQ252" authorId="10">
      <text>
        <r>
          <rPr>
            <sz val="8"/>
            <color indexed="81"/>
            <rFont val="Tahoma"/>
            <family val="2"/>
          </rPr>
          <t xml:space="preserve">1Q06 - $1.170m-$1.190m
2Q06 - $1.190m-$1.210m
</t>
        </r>
      </text>
    </comment>
    <comment ref="AV252" authorId="10">
      <text>
        <r>
          <rPr>
            <sz val="8"/>
            <color indexed="81"/>
            <rFont val="Tahoma"/>
            <family val="2"/>
          </rPr>
          <t xml:space="preserve">1Q07 - $1.390m-$1.410m
2Q07 - $1.405m-$1.415m
3Q07 - $1.408m-$1.418m
</t>
        </r>
      </text>
    </comment>
    <comment ref="BA252" authorId="10">
      <text>
        <r>
          <rPr>
            <sz val="8"/>
            <color indexed="81"/>
            <rFont val="Tahoma"/>
            <family val="2"/>
          </rPr>
          <t xml:space="preserve">1Q08 - $1.490m-$1.520m
2Q08 - $1.450m-$1.475m
</t>
        </r>
      </text>
    </comment>
    <comment ref="BF252" authorId="10">
      <text>
        <r>
          <rPr>
            <sz val="8"/>
            <color indexed="81"/>
            <rFont val="Tahoma"/>
            <family val="2"/>
          </rPr>
          <t>1Q09 - $1.050m-$1.100m
2Q09 - $1.030m-$1.060m
3Q09 - $1.166m-$1.176m</t>
        </r>
      </text>
    </comment>
    <comment ref="BK252" authorId="10">
      <text>
        <r>
          <rPr>
            <sz val="8"/>
            <color indexed="81"/>
            <rFont val="Tahoma"/>
            <family val="2"/>
          </rPr>
          <t>1Q10 - $1.145m-$1.175m
2Q10 - $1.160m-$1.180m
3Q10 - $1.166m-$1.176m</t>
        </r>
      </text>
    </comment>
    <comment ref="BP252" authorId="10">
      <text>
        <r>
          <rPr>
            <sz val="8"/>
            <color indexed="81"/>
            <rFont val="Tahoma"/>
            <family val="2"/>
          </rPr>
          <t>1Q11 - $1.305m-$1.335m
2Q11 - $1.305m-$1.335m
3Q11 - $1.307m-$1.317m</t>
        </r>
      </text>
    </comment>
    <comment ref="BT252" authorId="7">
      <text>
        <r>
          <rPr>
            <b/>
            <sz val="8"/>
            <color indexed="81"/>
            <rFont val="Tahoma"/>
            <family val="2"/>
          </rPr>
          <t>thallen:</t>
        </r>
        <r>
          <rPr>
            <sz val="8"/>
            <color indexed="81"/>
            <rFont val="Tahoma"/>
            <family val="2"/>
          </rPr>
          <t xml:space="preserve">
Reflects RevPAR assumptions, Gaylord acquisition, and lower franchise relicensing fees</t>
        </r>
      </text>
    </comment>
    <comment ref="BU252" authorId="23">
      <text>
        <r>
          <rPr>
            <sz val="8"/>
            <color indexed="81"/>
            <rFont val="Tahoma"/>
            <family val="2"/>
          </rPr>
          <t>OLD
+9-12% per 1Q12 call</t>
        </r>
        <r>
          <rPr>
            <sz val="8"/>
            <color indexed="81"/>
            <rFont val="Tahoma"/>
            <family val="2"/>
          </rPr>
          <t xml:space="preserve">
DJF 2/15/12:
Guidance: Lowered from 1,420 - 1,490M to 1,410 - 1,450
10/10/2011 
FY12 Fee Guidance: $1,420 to $1,490 mm Based on 3% to 7% WW RevPAR Growth.  This includes Royalty fees from VAC.  Note that base management fees will no longer include T/S base fees (58-60 mm in 2011).</t>
        </r>
      </text>
    </comment>
    <comment ref="BZ252" authorId="12">
      <text>
        <r>
          <rPr>
            <b/>
            <sz val="8"/>
            <color indexed="81"/>
            <rFont val="Tahoma"/>
            <family val="2"/>
          </rPr>
          <t>jills:</t>
        </r>
        <r>
          <rPr>
            <sz val="8"/>
            <color indexed="81"/>
            <rFont val="Tahoma"/>
            <family val="2"/>
          </rPr>
          <t xml:space="preserve">
per 4Q12 $1525-$1575
per 1Q13 $1535-$1585
per 2Q13 $1525-$1555
per 3Q13 $1525-$1535</t>
        </r>
      </text>
    </comment>
    <comment ref="CA252" authorId="13">
      <text>
        <r>
          <rPr>
            <sz val="8"/>
            <color indexed="81"/>
            <rFont val="Tahoma"/>
            <family val="2"/>
          </rPr>
          <t>Source :  8k of 4Q13</t>
        </r>
      </text>
    </comment>
    <comment ref="CE252" authorId="13">
      <text>
        <r>
          <rPr>
            <b/>
            <sz val="8"/>
            <color indexed="81"/>
            <rFont val="Tahoma"/>
            <family val="2"/>
          </rPr>
          <t>Guidance:</t>
        </r>
        <r>
          <rPr>
            <sz val="8"/>
            <color indexed="81"/>
            <rFont val="Tahoma"/>
            <family val="2"/>
          </rPr>
          <t xml:space="preserve">
Per 3Q14: $1,714-1,724m
Per 2Q14: $1,685-1,725m
Per 1Q14: $1,665-1,705m
Per 4Q13: $1,650-1,700m</t>
        </r>
      </text>
    </comment>
    <comment ref="CI252" authorId="11">
      <text>
        <r>
          <rPr>
            <sz val="9"/>
            <color indexed="81"/>
            <rFont val="Tahoma"/>
            <family val="2"/>
          </rPr>
          <t xml:space="preserve">Source: 
3Q15 earnings release
</t>
        </r>
      </text>
    </comment>
    <comment ref="CJ252" authorId="13">
      <text>
        <r>
          <rPr>
            <b/>
            <sz val="8"/>
            <color indexed="81"/>
            <rFont val="Tahoma"/>
            <family val="2"/>
          </rPr>
          <t xml:space="preserve">Guidance:
</t>
        </r>
        <r>
          <rPr>
            <sz val="8"/>
            <color indexed="81"/>
            <rFont val="Tahoma"/>
            <family val="2"/>
          </rPr>
          <t xml:space="preserve">Per 3Q15: $1,876-1,886m
Per 2Q15: $1,890-1,910m
Per 1Q15: $1,890-1,930m
Per 4Q14: $1,875-1,915m
</t>
        </r>
      </text>
    </comment>
    <comment ref="CK252" authorId="2">
      <text>
        <r>
          <rPr>
            <b/>
            <sz val="9"/>
            <color indexed="81"/>
            <rFont val="Tahoma"/>
            <family val="2"/>
          </rPr>
          <t>Savino, Mark (Research):</t>
        </r>
        <r>
          <rPr>
            <sz val="9"/>
            <color indexed="81"/>
            <rFont val="Tahoma"/>
            <family val="2"/>
          </rPr>
          <t xml:space="preserve">
Includes $13m of lower relicensing fees y/y and $8m of unfavorable FX</t>
        </r>
      </text>
    </comment>
    <comment ref="CN252" authorId="2">
      <text>
        <r>
          <rPr>
            <b/>
            <sz val="9"/>
            <color indexed="81"/>
            <rFont val="Tahoma"/>
            <family val="2"/>
          </rPr>
          <t>Savino, Mark (Research):</t>
        </r>
        <r>
          <rPr>
            <sz val="9"/>
            <color indexed="81"/>
            <rFont val="Tahoma"/>
            <family val="2"/>
          </rPr>
          <t xml:space="preserve">
3Q16: $695-705m PF
2Q16: $485-490m MAR standalone</t>
        </r>
      </text>
    </comment>
    <comment ref="CO252" authorId="2">
      <text>
        <r>
          <rPr>
            <b/>
            <sz val="9"/>
            <color indexed="81"/>
            <rFont val="Tahoma"/>
            <family val="2"/>
          </rPr>
          <t>Savino, Mark (Research):</t>
        </r>
        <r>
          <rPr>
            <sz val="9"/>
            <color indexed="81"/>
            <rFont val="Tahoma"/>
            <family val="2"/>
          </rPr>
          <t xml:space="preserve">
2Q16: Implied $1,975-1,985
1Q16: $1,995-2,045m - includes $35m of negative FX
4Q15: $1,995-2,045m - includes $30m of negative FX</t>
        </r>
      </text>
    </comment>
    <comment ref="CQ252" authorId="2">
      <text>
        <r>
          <rPr>
            <b/>
            <sz val="9"/>
            <color indexed="81"/>
            <rFont val="Tahoma"/>
            <family val="2"/>
          </rPr>
          <t>Savino, Mark (Research):</t>
        </r>
        <r>
          <rPr>
            <sz val="9"/>
            <color indexed="81"/>
            <rFont val="Tahoma"/>
            <family val="2"/>
          </rPr>
          <t xml:space="preserve">
Includes $10m of unfavorable FX</t>
        </r>
      </text>
    </comment>
    <comment ref="CS252" authorId="6">
      <text>
        <r>
          <rPr>
            <b/>
            <sz val="9"/>
            <color indexed="81"/>
            <rFont val="Tahoma"/>
            <family val="2"/>
          </rPr>
          <t>Zheng, Chaodan (Research):</t>
        </r>
        <r>
          <rPr>
            <sz val="9"/>
            <color indexed="81"/>
            <rFont val="Tahoma"/>
            <family val="2"/>
          </rPr>
          <t xml:space="preserve">
3Q17: $825-835m
2Q17: $804-849m</t>
        </r>
      </text>
    </comment>
    <comment ref="CT252" authorId="2">
      <text>
        <r>
          <rPr>
            <b/>
            <sz val="9"/>
            <color indexed="81"/>
            <rFont val="Tahoma"/>
            <family val="2"/>
          </rPr>
          <t>Savino, Mark (Research):</t>
        </r>
        <r>
          <rPr>
            <sz val="9"/>
            <color indexed="81"/>
            <rFont val="Tahoma"/>
            <family val="2"/>
          </rPr>
          <t xml:space="preserve">
3Q17: $3,287-3,297m
2Q17: $3,245-3,305m
1Q17: $3,225-3,295m
4Q16: $3,175-3,245m</t>
        </r>
      </text>
    </comment>
    <comment ref="CY252" authorId="2">
      <text>
        <r>
          <rPr>
            <b/>
            <sz val="9"/>
            <color indexed="81"/>
            <rFont val="Tahoma"/>
            <family val="2"/>
          </rPr>
          <t>Savino, Mark (Research):</t>
        </r>
        <r>
          <rPr>
            <sz val="9"/>
            <color indexed="81"/>
            <rFont val="Tahoma"/>
            <family val="2"/>
          </rPr>
          <t xml:space="preserve">
4Q17: $3,535-3,620m, including $360-380m of CC branding fees
(note comp'ing $6m of deferred fees recognized in 2017)
</t>
        </r>
      </text>
    </comment>
    <comment ref="CT253" authorId="2">
      <text>
        <r>
          <rPr>
            <b/>
            <sz val="9"/>
            <color indexed="81"/>
            <rFont val="Tahoma"/>
            <family val="2"/>
          </rPr>
          <t>Savino, Mark (Research):</t>
        </r>
        <r>
          <rPr>
            <sz val="9"/>
            <color indexed="81"/>
            <rFont val="Tahoma"/>
            <family val="2"/>
          </rPr>
          <t xml:space="preserve">
Legacy MAR</t>
        </r>
      </text>
    </comment>
    <comment ref="CY253" authorId="2">
      <text>
        <r>
          <rPr>
            <b/>
            <sz val="9"/>
            <color indexed="81"/>
            <rFont val="Tahoma"/>
            <family val="2"/>
          </rPr>
          <t>Savino, Mark (Research):</t>
        </r>
        <r>
          <rPr>
            <sz val="9"/>
            <color indexed="81"/>
            <rFont val="Tahoma"/>
            <family val="2"/>
          </rPr>
          <t xml:space="preserve">
Legacy MAR</t>
        </r>
      </text>
    </comment>
    <comment ref="A256" authorId="0">
      <text>
        <r>
          <rPr>
            <b/>
            <sz val="8"/>
            <color indexed="81"/>
            <rFont val="Tahoma"/>
            <family val="2"/>
          </rPr>
          <t>DJF 3/22/12:</t>
        </r>
        <r>
          <rPr>
            <sz val="8"/>
            <color indexed="81"/>
            <rFont val="Tahoma"/>
            <family val="2"/>
          </rPr>
          <t xml:space="preserve">
Include Timeshare royalties post spinoff</t>
        </r>
      </text>
    </comment>
    <comment ref="DD256" authorId="0">
      <text>
        <r>
          <rPr>
            <b/>
            <sz val="8"/>
            <color indexed="81"/>
            <rFont val="Tahoma"/>
            <family val="2"/>
          </rPr>
          <t>DJF 3/22/12:</t>
        </r>
        <r>
          <rPr>
            <sz val="8"/>
            <color indexed="81"/>
            <rFont val="Tahoma"/>
            <family val="2"/>
          </rPr>
          <t xml:space="preserve">
Include Timeshare royalties post spinoff</t>
        </r>
      </text>
    </comment>
    <comment ref="CI269" authorId="1">
      <text>
        <r>
          <rPr>
            <b/>
            <sz val="9"/>
            <color indexed="81"/>
            <rFont val="Tahoma"/>
            <family val="2"/>
          </rPr>
          <t>Allen, Thomas (Research):</t>
        </r>
        <r>
          <rPr>
            <sz val="9"/>
            <color indexed="81"/>
            <rFont val="Tahoma"/>
            <family val="2"/>
          </rPr>
          <t xml:space="preserve">
Transient RevPAR +4%</t>
        </r>
      </text>
    </comment>
    <comment ref="CK269" authorId="1">
      <text>
        <r>
          <rPr>
            <b/>
            <sz val="9"/>
            <color indexed="81"/>
            <rFont val="Tahoma"/>
            <family val="2"/>
          </rPr>
          <t>Allen, Thomas (Research):</t>
        </r>
        <r>
          <rPr>
            <sz val="9"/>
            <color indexed="81"/>
            <rFont val="Tahoma"/>
            <family val="2"/>
          </rPr>
          <t xml:space="preserve">
Transient RevPAR +2%</t>
        </r>
      </text>
    </comment>
    <comment ref="CL269" authorId="1">
      <text>
        <r>
          <rPr>
            <b/>
            <sz val="9"/>
            <color indexed="81"/>
            <rFont val="Tahoma"/>
            <family val="2"/>
          </rPr>
          <t>Allen, Thomas (Research):</t>
        </r>
        <r>
          <rPr>
            <sz val="9"/>
            <color indexed="81"/>
            <rFont val="Tahoma"/>
            <family val="2"/>
          </rPr>
          <t xml:space="preserve">
Transient RevPAR -1%</t>
        </r>
      </text>
    </comment>
    <comment ref="CM269" authorId="1">
      <text>
        <r>
          <rPr>
            <b/>
            <sz val="9"/>
            <color indexed="81"/>
            <rFont val="Tahoma"/>
            <family val="2"/>
          </rPr>
          <t>Allen, Thomas (Research):</t>
        </r>
        <r>
          <rPr>
            <sz val="9"/>
            <color indexed="81"/>
            <rFont val="Tahoma"/>
            <family val="2"/>
          </rPr>
          <t xml:space="preserve">
Group RevPAR +7%
Transient 0%</t>
        </r>
      </text>
    </comment>
    <comment ref="CN269" authorId="1">
      <text>
        <r>
          <rPr>
            <b/>
            <sz val="9"/>
            <color indexed="81"/>
            <rFont val="Tahoma"/>
            <family val="2"/>
          </rPr>
          <t>Allen, Thomas (Research):</t>
        </r>
        <r>
          <rPr>
            <sz val="9"/>
            <color indexed="81"/>
            <rFont val="Tahoma"/>
            <family val="2"/>
          </rPr>
          <t xml:space="preserve">
3Q16 call: Group pace down 5%, transient should improve</t>
        </r>
      </text>
    </comment>
    <comment ref="CF276" authorId="5">
      <text>
        <r>
          <rPr>
            <b/>
            <sz val="9"/>
            <color indexed="81"/>
            <rFont val="Tahoma"/>
            <family val="2"/>
          </rPr>
          <t>Chaudhry, Baset A (Research):</t>
        </r>
        <r>
          <rPr>
            <sz val="9"/>
            <color indexed="81"/>
            <rFont val="Tahoma"/>
            <family val="2"/>
          </rPr>
          <t xml:space="preserve">
RevPAR in 1Q15 to be lighter than rest of the year due to renovation schedules </t>
        </r>
      </text>
    </comment>
    <comment ref="CK276" authorId="1">
      <text>
        <r>
          <rPr>
            <b/>
            <sz val="9"/>
            <color indexed="81"/>
            <rFont val="Tahoma"/>
            <family val="2"/>
          </rPr>
          <t>Allen, Thomas (Research):</t>
        </r>
        <r>
          <rPr>
            <sz val="9"/>
            <color indexed="81"/>
            <rFont val="Tahoma"/>
            <family val="2"/>
          </rPr>
          <t xml:space="preserve">
Jan +3%, Feb +3%, March +1%
Easter reduced qtr by 1%</t>
        </r>
      </text>
    </comment>
    <comment ref="CL276" authorId="1">
      <text>
        <r>
          <rPr>
            <b/>
            <sz val="9"/>
            <color indexed="81"/>
            <rFont val="Tahoma"/>
            <family val="2"/>
          </rPr>
          <t>Allen, Thomas (Research):</t>
        </r>
        <r>
          <rPr>
            <sz val="9"/>
            <color indexed="81"/>
            <rFont val="Tahoma"/>
            <family val="2"/>
          </rPr>
          <t xml:space="preserve">
Easter should help qtr by 1%
Group bookings strong in 2Q and 3Q</t>
        </r>
      </text>
    </comment>
    <comment ref="CZ276" authorId="1">
      <text>
        <r>
          <rPr>
            <b/>
            <sz val="9"/>
            <color indexed="81"/>
            <rFont val="Tahoma"/>
            <family val="2"/>
          </rPr>
          <t>Allen, Thomas (Research):</t>
        </r>
        <r>
          <rPr>
            <sz val="9"/>
            <color indexed="81"/>
            <rFont val="Tahoma"/>
            <family val="2"/>
          </rPr>
          <t xml:space="preserve">
3/21/17: 3-yr plan assumes 1-3% RevPAR growth</t>
        </r>
      </text>
    </comment>
    <comment ref="BU286" authorId="9">
      <text>
        <r>
          <rPr>
            <b/>
            <sz val="8"/>
            <color indexed="81"/>
            <rFont val="Tahoma"/>
            <family val="2"/>
          </rPr>
          <t>danfuss:</t>
        </r>
        <r>
          <rPr>
            <sz val="8"/>
            <color indexed="81"/>
            <rFont val="Tahoma"/>
            <family val="2"/>
          </rPr>
          <t xml:space="preserve">
MAR expects to open 30k rooms in 2012</t>
        </r>
      </text>
    </comment>
    <comment ref="BL304" authorId="6">
      <text>
        <r>
          <rPr>
            <b/>
            <sz val="9"/>
            <color indexed="81"/>
            <rFont val="Tahoma"/>
            <family val="2"/>
          </rPr>
          <t>Zheng, Chaodan (Research):</t>
        </r>
        <r>
          <rPr>
            <sz val="9"/>
            <color indexed="81"/>
            <rFont val="Tahoma"/>
            <family val="2"/>
          </rPr>
          <t xml:space="preserve">
per Laura's email (8/29/17): 1.4% (do not include HOT, M&amp;F, all brands)</t>
        </r>
      </text>
    </comment>
    <comment ref="BM304" authorId="6">
      <text>
        <r>
          <rPr>
            <b/>
            <sz val="9"/>
            <color indexed="81"/>
            <rFont val="Tahoma"/>
            <family val="2"/>
          </rPr>
          <t>Zheng, Chaodan (Research):</t>
        </r>
        <r>
          <rPr>
            <sz val="9"/>
            <color indexed="81"/>
            <rFont val="Tahoma"/>
            <family val="2"/>
          </rPr>
          <t xml:space="preserve">
2Q11: MAR properties typically have a longer lead booking time than the avg upper upscale segment property due to their larger size. Marriott is the dominant player in association business, which is often booked 2,3,4, even 5 yrs in advance </t>
        </r>
      </text>
    </comment>
    <comment ref="BN304" authorId="27">
      <text>
        <r>
          <rPr>
            <b/>
            <sz val="8"/>
            <color indexed="81"/>
            <rFont val="Tahoma"/>
            <family val="2"/>
          </rPr>
          <t>savinmar:</t>
        </r>
        <r>
          <rPr>
            <sz val="8"/>
            <color indexed="81"/>
            <rFont val="Tahoma"/>
            <family val="2"/>
          </rPr>
          <t xml:space="preserve">
Impacted by weak gov't demand in DC and slow return of association group biz</t>
        </r>
      </text>
    </comment>
    <comment ref="BO304" authorId="27">
      <text>
        <r>
          <rPr>
            <b/>
            <sz val="8"/>
            <color indexed="81"/>
            <rFont val="Tahoma"/>
            <family val="2"/>
          </rPr>
          <t>savinmar:</t>
        </r>
        <r>
          <rPr>
            <sz val="8"/>
            <color indexed="81"/>
            <rFont val="Tahoma"/>
            <family val="2"/>
          </rPr>
          <t xml:space="preserve">
Group revenue</t>
        </r>
      </text>
    </comment>
    <comment ref="BQ304" authorId="6">
      <text>
        <r>
          <rPr>
            <b/>
            <sz val="9"/>
            <color indexed="81"/>
            <rFont val="Tahoma"/>
            <family val="2"/>
          </rPr>
          <t>Zheng, Chaodan (Research):</t>
        </r>
        <r>
          <rPr>
            <sz val="9"/>
            <color indexed="81"/>
            <rFont val="Tahoma"/>
            <family val="2"/>
          </rPr>
          <t xml:space="preserve">
per Laura's email (8/29/17): 6.0% (do not include HOT, M&amp;F, all brands)
1Q12: special corporate rev at comparable Marriott hotels rose over 9%, with roughly half of the improvement coming from higher room rates
some last minute group bookings led to the outperofrmance. Stronger attendance than expected at meetings and fewer cancellations than expected</t>
        </r>
      </text>
    </comment>
    <comment ref="BR304" authorId="6">
      <text>
        <r>
          <rPr>
            <b/>
            <sz val="9"/>
            <color indexed="81"/>
            <rFont val="Tahoma"/>
            <family val="2"/>
          </rPr>
          <t>Zheng, Chaodan (Research):</t>
        </r>
        <r>
          <rPr>
            <sz val="9"/>
            <color indexed="81"/>
            <rFont val="Tahoma"/>
            <family val="2"/>
          </rPr>
          <t xml:space="preserve">
2Q12: group rev for company-operated Marriott hotels increased nearly 8%</t>
        </r>
      </text>
    </comment>
    <comment ref="BS304" authorId="27">
      <text>
        <r>
          <rPr>
            <b/>
            <sz val="8"/>
            <color indexed="81"/>
            <rFont val="Tahoma"/>
            <family val="2"/>
          </rPr>
          <t>savinmar:</t>
        </r>
        <r>
          <rPr>
            <sz val="8"/>
            <color indexed="81"/>
            <rFont val="Tahoma"/>
            <family val="2"/>
          </rPr>
          <t xml:space="preserve">
-average daily rate +3%
-meeting planners spent more on F&amp;B and added last minute upgrades. Planners are concerned about tight availability and are booking meetings earlier.</t>
        </r>
      </text>
    </comment>
    <comment ref="BV304" authorId="27">
      <text>
        <r>
          <rPr>
            <b/>
            <sz val="8"/>
            <color indexed="81"/>
            <rFont val="Tahoma"/>
            <family val="2"/>
          </rPr>
          <t>savinmar:</t>
        </r>
        <r>
          <rPr>
            <sz val="8"/>
            <color indexed="81"/>
            <rFont val="Tahoma"/>
            <family val="2"/>
          </rPr>
          <t xml:space="preserve">
Impacted significantly by Easter shift. If you include April, YTD RevPAR expected to be +6%</t>
        </r>
      </text>
    </comment>
    <comment ref="BW304" authorId="6">
      <text>
        <r>
          <rPr>
            <b/>
            <sz val="9"/>
            <color indexed="81"/>
            <rFont val="Tahoma"/>
            <family val="2"/>
          </rPr>
          <t>Zheng, Chaodan (Research):</t>
        </r>
        <r>
          <rPr>
            <sz val="9"/>
            <color indexed="81"/>
            <rFont val="Tahoma"/>
            <family val="2"/>
          </rPr>
          <t xml:space="preserve">
2Q13: we have already booked 95% of our expected US group business for 2013. 30% of 2013 group business booked in 2013.
In 2010, government grou prepresented 5% of the Marriott brand group business. In 2013, we anticipate only 2% of our group business will come from the govt</t>
        </r>
      </text>
    </comment>
    <comment ref="BY304" authorId="6">
      <text>
        <r>
          <rPr>
            <b/>
            <sz val="9"/>
            <color indexed="81"/>
            <rFont val="Tahoma"/>
            <family val="2"/>
          </rPr>
          <t>Zheng, Chaodan (Research):</t>
        </r>
        <r>
          <rPr>
            <sz val="9"/>
            <color indexed="81"/>
            <rFont val="Tahoma"/>
            <family val="2"/>
          </rPr>
          <t xml:space="preserve">
4Q13: Group RevPAR at the Marriott brand rose over 4% in 4Q compared to the year ago quarter, with group room rates up nearly 3%</t>
        </r>
      </text>
    </comment>
    <comment ref="CB304" authorId="1">
      <text>
        <r>
          <rPr>
            <b/>
            <sz val="9"/>
            <color indexed="81"/>
            <rFont val="Tahoma"/>
            <family val="2"/>
          </rPr>
          <t>Allen, Thomas (Research):</t>
        </r>
        <r>
          <rPr>
            <sz val="9"/>
            <color indexed="81"/>
            <rFont val="Tahoma"/>
            <family val="2"/>
          </rPr>
          <t xml:space="preserve">
2Q14: Would have been +5% ex. Easter shift
1Q14: our 2Q group booking pace in NA for the Marriott brand is modestly higher y/y despite the timing of Easter, and we see strength in corporate and leisure transient business</t>
        </r>
      </text>
    </comment>
    <comment ref="CC304" authorId="6">
      <text>
        <r>
          <rPr>
            <b/>
            <sz val="9"/>
            <color indexed="81"/>
            <rFont val="Tahoma"/>
            <family val="2"/>
          </rPr>
          <t>Zheng, Chaodan (Research):</t>
        </r>
        <r>
          <rPr>
            <sz val="9"/>
            <color indexed="81"/>
            <rFont val="Tahoma"/>
            <family val="2"/>
          </rPr>
          <t xml:space="preserve">
3Q14: group RevPAR increased more than 10%</t>
        </r>
      </text>
    </comment>
    <comment ref="CD304" authorId="6">
      <text>
        <r>
          <rPr>
            <b/>
            <sz val="9"/>
            <color indexed="81"/>
            <rFont val="Tahoma"/>
            <family val="2"/>
          </rPr>
          <t>Zheng, Chaodan (Research):</t>
        </r>
        <r>
          <rPr>
            <sz val="9"/>
            <color indexed="81"/>
            <rFont val="Tahoma"/>
            <family val="2"/>
          </rPr>
          <t xml:space="preserve">
4Q14: systemwide NA group RevPAR rose 6% in the quarter, 4% in our full-service hotels alone, reflecting less favorable holiday timing on the heels of a very strong 3Q</t>
        </r>
      </text>
    </comment>
    <comment ref="CF304" authorId="6">
      <text>
        <r>
          <rPr>
            <b/>
            <sz val="9"/>
            <color indexed="81"/>
            <rFont val="Tahoma"/>
            <family val="2"/>
          </rPr>
          <t>Zheng, Chaodan (Research):</t>
        </r>
        <r>
          <rPr>
            <sz val="9"/>
            <color indexed="81"/>
            <rFont val="Tahoma"/>
            <family val="2"/>
          </rPr>
          <t xml:space="preserve">
per Laura's email (8/29/17): 5.3% (do not include HOT, M&amp;F, all brands)
4Q14: 1Q15 group rev pace for our company-operated full-service hotels is up 6%</t>
        </r>
      </text>
    </comment>
    <comment ref="CG304" authorId="6">
      <text>
        <r>
          <rPr>
            <b/>
            <sz val="9"/>
            <color indexed="81"/>
            <rFont val="Tahoma"/>
            <family val="2"/>
          </rPr>
          <t>Zheng, Chaodan (Research):</t>
        </r>
        <r>
          <rPr>
            <sz val="9"/>
            <color indexed="81"/>
            <rFont val="Tahoma"/>
            <family val="2"/>
          </rPr>
          <t xml:space="preserve">
2Q15: Group RevPAR rose roughly 6% with room rates up about 5%</t>
        </r>
      </text>
    </comment>
    <comment ref="CH304" authorId="6">
      <text>
        <r>
          <rPr>
            <b/>
            <sz val="9"/>
            <color indexed="81"/>
            <rFont val="Tahoma"/>
            <family val="2"/>
          </rPr>
          <t>Zheng, Chaodan (Research):</t>
        </r>
        <r>
          <rPr>
            <sz val="9"/>
            <color indexed="81"/>
            <rFont val="Tahoma"/>
            <family val="2"/>
          </rPr>
          <t xml:space="preserve">
per Laura's email (8/29/17): 3.1% (do not include HOT, M&amp;F, all brands)
3Q15: we have known since the beginning of the year that 3Q would be a weak quarter with its challenging holiday pattern, particularly for group and business transient travel. Group nights down modestly
2Q15: last year, our 3Q NA full-service group RevPAR was very strong, benefitting from a favorable holiday pattern</t>
        </r>
      </text>
    </comment>
    <comment ref="CI304" authorId="6">
      <text>
        <r>
          <rPr>
            <b/>
            <sz val="9"/>
            <color indexed="81"/>
            <rFont val="Tahoma"/>
            <family val="2"/>
          </rPr>
          <t>Zheng, Chaodan (Research):</t>
        </r>
        <r>
          <rPr>
            <sz val="9"/>
            <color indexed="81"/>
            <rFont val="Tahoma"/>
            <family val="2"/>
          </rPr>
          <t xml:space="preserve">
4Q15: North America group rev in 4Q increased 6%, and attendance at meetings exceeded expectations
3Q15: our 4Q outlook for NA supports our 5-7% RevPAR guidance 
2Q15: Group RevPAR for our full-serbice hotels for 4Q is up 9%</t>
        </r>
      </text>
    </comment>
    <comment ref="CK304" authorId="6">
      <text>
        <r>
          <rPr>
            <b/>
            <sz val="9"/>
            <color indexed="81"/>
            <rFont val="Tahoma"/>
            <family val="2"/>
          </rPr>
          <t>Zheng, Chaodan (Research):</t>
        </r>
        <r>
          <rPr>
            <sz val="9"/>
            <color indexed="81"/>
            <rFont val="Tahoma"/>
            <family val="2"/>
          </rPr>
          <t xml:space="preserve">
1Q16: LSD, similar to our RevPAR as a whole
4Q15: Group rev booking pace for the 1Q of 2016 is up 2%, reflecting the shift in timing of Easter y/y</t>
        </r>
      </text>
    </comment>
    <comment ref="CL304" authorId="6">
      <text>
        <r>
          <rPr>
            <b/>
            <sz val="9"/>
            <color indexed="81"/>
            <rFont val="Tahoma"/>
            <family val="2"/>
          </rPr>
          <t>Zheng, Chaodan (Research):</t>
        </r>
        <r>
          <rPr>
            <sz val="9"/>
            <color indexed="81"/>
            <rFont val="Tahoma"/>
            <family val="2"/>
          </rPr>
          <t xml:space="preserve">
2Q16: Group RevPAR rose 7% and catering sales increased more than 5% in the quarter. Overall group cancellation rates remained normal and attendance at grou pmeetings met our expectations. Group continues to look solid for 2H16,w ith systemwide NA group revenue pace up 5%, although the timing of holidays will influence quarterly comparisons 
1Q16: good group for 2Q, around 7%, but down from the 9% they had expected for 2Q in 1Q16 </t>
        </r>
      </text>
    </comment>
    <comment ref="CM304" authorId="6">
      <text>
        <r>
          <rPr>
            <b/>
            <sz val="9"/>
            <color indexed="81"/>
            <rFont val="Tahoma"/>
            <family val="2"/>
          </rPr>
          <t>Zheng, Chaodan (Research):</t>
        </r>
        <r>
          <rPr>
            <sz val="9"/>
            <color indexed="81"/>
            <rFont val="Tahoma"/>
            <family val="2"/>
          </rPr>
          <t xml:space="preserve">
3Q16: benefitting from strong demand and a favorable holiday comparison
2Q16: group is meaningfullly stronger in 3Q than 4Q, &gt;10% in 3Q and flattish in 4Q
1Q16: good group for 3Q, still in the MDD</t>
        </r>
      </text>
    </comment>
    <comment ref="CN304" authorId="6">
      <text>
        <r>
          <rPr>
            <b/>
            <sz val="9"/>
            <color indexed="81"/>
            <rFont val="Tahoma"/>
            <family val="2"/>
          </rPr>
          <t>Zheng, Chaodan (Research):</t>
        </r>
        <r>
          <rPr>
            <sz val="9"/>
            <color indexed="81"/>
            <rFont val="Tahoma"/>
            <family val="2"/>
          </rPr>
          <t xml:space="preserve">
4Q16: Group RevPAR at North American hotels declined 1%. Much of it was due to the calendar comp as the shift in Jewish holidays pushed group business into 3Q
2Q16: group is meaningfullly stronger in 3Q than 4Q, &gt;10% in 3Q and flattish in 4Q
1Q16: okay group, but not quite as good as 2Q and 3Q</t>
        </r>
      </text>
    </comment>
    <comment ref="CP304" authorId="6">
      <text>
        <r>
          <rPr>
            <b/>
            <sz val="9"/>
            <color indexed="81"/>
            <rFont val="Tahoma"/>
            <family val="2"/>
          </rPr>
          <t>Zheng, Chaodan (Research):</t>
        </r>
        <r>
          <rPr>
            <sz val="9"/>
            <color indexed="81"/>
            <rFont val="Tahoma"/>
            <family val="2"/>
          </rPr>
          <t xml:space="preserve">
1Q17: benefitting from the events in Washington and the shift in the Easter Holiday to 2Q. Full year 2017 group revenue booking pace for all our North American full service hotels is up 1.6% over a strong 2016 group year. We've seen some weakness in new bookings from small group sin recent months, but with very strong occupancy rates at many hotels and 86% of our anticipated 2017 group business already on the books, space constraints have also made adding new groups more challenging</t>
        </r>
      </text>
    </comment>
    <comment ref="CQ304" authorId="6">
      <text>
        <r>
          <rPr>
            <b/>
            <sz val="9"/>
            <color indexed="81"/>
            <rFont val="Tahoma"/>
            <family val="2"/>
          </rPr>
          <t>Zheng, Chaodan (Research):</t>
        </r>
        <r>
          <rPr>
            <sz val="9"/>
            <color indexed="81"/>
            <rFont val="Tahoma"/>
            <family val="2"/>
          </rPr>
          <t xml:space="preserve">
2Q17: group RevPAR modestly exceeded our expectations due to strong attendance at group meetings while meeting planners continued to add last minute food, beverage, and ancillary spending
1Q17: In 2Q, we expect lower group business y/y due to the Easter shift</t>
        </r>
      </text>
    </comment>
    <comment ref="CS304" authorId="6">
      <text>
        <r>
          <rPr>
            <b/>
            <sz val="9"/>
            <color indexed="81"/>
            <rFont val="Tahoma"/>
            <family val="2"/>
          </rPr>
          <t>Zheng, Chaodan (Research):</t>
        </r>
        <r>
          <rPr>
            <sz val="9"/>
            <color indexed="81"/>
            <rFont val="Tahoma"/>
            <family val="2"/>
          </rPr>
          <t xml:space="preserve">
2Q17: Group business on books for October, a benefit of that holiday shift</t>
        </r>
      </text>
    </comment>
    <comment ref="BS305" authorId="27">
      <text>
        <r>
          <rPr>
            <b/>
            <sz val="8"/>
            <color indexed="81"/>
            <rFont val="Tahoma"/>
            <family val="2"/>
          </rPr>
          <t>savinmar:</t>
        </r>
        <r>
          <rPr>
            <sz val="8"/>
            <color indexed="81"/>
            <rFont val="Tahoma"/>
            <family val="2"/>
          </rPr>
          <t xml:space="preserve">
Largely from higher ADR, saw stronger demand from technology and professional service companies</t>
        </r>
      </text>
    </comment>
    <comment ref="BV305" authorId="27">
      <text>
        <r>
          <rPr>
            <b/>
            <sz val="8"/>
            <color indexed="81"/>
            <rFont val="Tahoma"/>
            <family val="2"/>
          </rPr>
          <t>savinmar:</t>
        </r>
        <r>
          <rPr>
            <sz val="8"/>
            <color indexed="81"/>
            <rFont val="Tahoma"/>
            <family val="2"/>
          </rPr>
          <t xml:space="preserve">
strong demand in Miami, Houston and San Fran</t>
        </r>
      </text>
    </comment>
    <comment ref="CC305" authorId="6">
      <text>
        <r>
          <rPr>
            <b/>
            <sz val="9"/>
            <color indexed="81"/>
            <rFont val="Tahoma"/>
            <family val="2"/>
          </rPr>
          <t>Zheng, Chaodan (Research):</t>
        </r>
        <r>
          <rPr>
            <sz val="9"/>
            <color indexed="81"/>
            <rFont val="Tahoma"/>
            <family val="2"/>
          </rPr>
          <t xml:space="preserve">
3Q14: transient RevPAR increased more than 8%
</t>
        </r>
      </text>
    </comment>
    <comment ref="CM305" authorId="6">
      <text>
        <r>
          <rPr>
            <b/>
            <sz val="9"/>
            <color indexed="81"/>
            <rFont val="Tahoma"/>
            <family val="2"/>
          </rPr>
          <t>Zheng, Chaodan (Research):</t>
        </r>
        <r>
          <rPr>
            <sz val="9"/>
            <color indexed="81"/>
            <rFont val="Tahoma"/>
            <family val="2"/>
          </rPr>
          <t xml:space="preserve">
3Q16: we expect current weak corporate transient demand to persist, although comparisons should get easier</t>
        </r>
      </text>
    </comment>
    <comment ref="CP305" authorId="6">
      <text>
        <r>
          <rPr>
            <b/>
            <sz val="9"/>
            <color indexed="81"/>
            <rFont val="Tahoma"/>
            <family val="2"/>
          </rPr>
          <t>Zheng, Chaodan (Research):</t>
        </r>
        <r>
          <rPr>
            <sz val="9"/>
            <color indexed="81"/>
            <rFont val="Tahoma"/>
            <family val="2"/>
          </rPr>
          <t xml:space="preserve">
1Q17: we have moved more of our transient business, including business transient, towards retail and to special coproate and away from discount, and so those things are driving a bit of a mix shift within the transient bucket</t>
        </r>
      </text>
    </comment>
    <comment ref="BL308" authorId="6">
      <text>
        <r>
          <rPr>
            <b/>
            <sz val="9"/>
            <color indexed="81"/>
            <rFont val="Tahoma"/>
            <family val="2"/>
          </rPr>
          <t>Zheng, Chaodan (Research):</t>
        </r>
        <r>
          <rPr>
            <sz val="9"/>
            <color indexed="81"/>
            <rFont val="Tahoma"/>
            <family val="2"/>
          </rPr>
          <t xml:space="preserve">
1Q12: booking pace for the Marriott brand for the remainder of 2012 is up over 11% compared to only 2% a year ago</t>
        </r>
      </text>
    </comment>
    <comment ref="BM308" authorId="6">
      <text>
        <r>
          <rPr>
            <b/>
            <sz val="9"/>
            <color indexed="81"/>
            <rFont val="Tahoma"/>
            <family val="2"/>
          </rPr>
          <t>Zheng, Chaodan (Research):</t>
        </r>
        <r>
          <rPr>
            <sz val="9"/>
            <color indexed="81"/>
            <rFont val="Tahoma"/>
            <family val="2"/>
          </rPr>
          <t xml:space="preserve">
2Q11: group bookings made in 2Q for later in 2011 increased 18% and LT group bookings are returning
Nearly 25% of the group business booked in our 2Q were for the years 2014 and beyond</t>
        </r>
      </text>
    </comment>
    <comment ref="BO308" authorId="6">
      <text>
        <r>
          <rPr>
            <b/>
            <sz val="9"/>
            <color indexed="81"/>
            <rFont val="Tahoma"/>
            <family val="2"/>
          </rPr>
          <t>Zheng, Chaodan (Research):</t>
        </r>
        <r>
          <rPr>
            <sz val="9"/>
            <color indexed="81"/>
            <rFont val="Tahoma"/>
            <family val="2"/>
          </rPr>
          <t xml:space="preserve">
4Q11: group revenues up 9% in 2011 vs. prior year, driven by better sales leads and cyclicality is also starting to move in our favor. 
Arne on 4Q11 call:
"big group business takes the longest to come back and yet the big group business is bigger in the big hotels, not surprisingly, than it is in the smaller hotels. And so the bigger hotels build slowest. But build being they are and so I think the cycle is helping us as well."</t>
        </r>
      </text>
    </comment>
    <comment ref="BQ308" authorId="6">
      <text>
        <r>
          <rPr>
            <b/>
            <sz val="9"/>
            <color indexed="81"/>
            <rFont val="Tahoma"/>
            <family val="2"/>
          </rPr>
          <t>Zheng, Chaodan (Research):</t>
        </r>
        <r>
          <rPr>
            <sz val="9"/>
            <color indexed="81"/>
            <rFont val="Tahoma"/>
            <family val="2"/>
          </rPr>
          <t xml:space="preserve">
1Q12: booking pace for the Marriott brand for the remainder of 2012 is up over 11% compared to only 2% a year ago
Underlying the 11%: 16-17% growth in group bookings for the smaller hotels and HSD for the largest convention hotels</t>
        </r>
      </text>
    </comment>
    <comment ref="BR308" authorId="6">
      <text>
        <r>
          <rPr>
            <b/>
            <sz val="9"/>
            <color indexed="81"/>
            <rFont val="Tahoma"/>
            <family val="2"/>
          </rPr>
          <t>Zheng, Chaodan (Research):</t>
        </r>
        <r>
          <rPr>
            <sz val="9"/>
            <color indexed="81"/>
            <rFont val="Tahoma"/>
            <family val="2"/>
          </rPr>
          <t xml:space="preserve">
2Q12: 2H12: +10%
YTD NA Marriott brand's special corporate rev has been strong, up over 8%; group rev rose 7% YTD and group bookings for the 2H are even stronger </t>
        </r>
      </text>
    </comment>
    <comment ref="BV308" authorId="6">
      <text>
        <r>
          <rPr>
            <b/>
            <sz val="9"/>
            <color indexed="81"/>
            <rFont val="Tahoma"/>
            <family val="2"/>
          </rPr>
          <t>Zheng, Chaodan (Research):</t>
        </r>
        <r>
          <rPr>
            <sz val="9"/>
            <color indexed="81"/>
            <rFont val="Tahoma"/>
            <family val="2"/>
          </rPr>
          <t xml:space="preserve">
1Q13: for all group customers, booking pace for the remainder of 2013 for the Marriott brand is up 4$</t>
        </r>
      </text>
    </comment>
    <comment ref="BY308" authorId="6">
      <text>
        <r>
          <rPr>
            <b/>
            <sz val="9"/>
            <color indexed="81"/>
            <rFont val="Tahoma"/>
            <family val="2"/>
          </rPr>
          <t>Zheng, Chaodan (Research):</t>
        </r>
        <r>
          <rPr>
            <sz val="9"/>
            <color indexed="81"/>
            <rFont val="Tahoma"/>
            <family val="2"/>
          </rPr>
          <t xml:space="preserve">
4Q13: during 2013, our grou p sales organization put nearly 7% more Marriott Hotel rev on the books than in 2012</t>
        </r>
      </text>
    </comment>
    <comment ref="CB308" authorId="6">
      <text>
        <r>
          <rPr>
            <b/>
            <sz val="9"/>
            <color indexed="81"/>
            <rFont val="Tahoma"/>
            <family val="2"/>
          </rPr>
          <t>Zheng, Chaodan (Research):</t>
        </r>
        <r>
          <rPr>
            <sz val="9"/>
            <color indexed="81"/>
            <rFont val="Tahoma"/>
            <family val="2"/>
          </rPr>
          <t xml:space="preserve">
2Q14: for full year 2014, group booking pace for the marriott brand in NA remains up about 5%</t>
        </r>
      </text>
    </comment>
    <comment ref="CF308" authorId="6">
      <text>
        <r>
          <rPr>
            <b/>
            <sz val="9"/>
            <color indexed="81"/>
            <rFont val="Tahoma"/>
            <family val="2"/>
          </rPr>
          <t>Zheng, Chaodan (Research):</t>
        </r>
        <r>
          <rPr>
            <sz val="9"/>
            <color indexed="81"/>
            <rFont val="Tahoma"/>
            <family val="2"/>
          </rPr>
          <t xml:space="preserve">
1Q15: 9.5% of revenue growth for the bookings in the quarter for the next 12 months</t>
        </r>
      </text>
    </comment>
    <comment ref="CK308" authorId="6">
      <text>
        <r>
          <rPr>
            <b/>
            <sz val="9"/>
            <color indexed="81"/>
            <rFont val="Tahoma"/>
            <family val="2"/>
          </rPr>
          <t>Zheng, Chaodan (Research):</t>
        </r>
        <r>
          <rPr>
            <sz val="9"/>
            <color indexed="81"/>
            <rFont val="Tahoma"/>
            <family val="2"/>
          </rPr>
          <t xml:space="preserve">
1Q16: group booking pace for our full-service hotels in NA is up 7% for the rest of the year</t>
        </r>
      </text>
    </comment>
    <comment ref="CP308" authorId="6">
      <text>
        <r>
          <rPr>
            <b/>
            <sz val="9"/>
            <color indexed="81"/>
            <rFont val="Tahoma"/>
            <family val="2"/>
          </rPr>
          <t>Zheng, Chaodan (Research):</t>
        </r>
        <r>
          <rPr>
            <sz val="9"/>
            <color indexed="81"/>
            <rFont val="Tahoma"/>
            <family val="2"/>
          </rPr>
          <t xml:space="preserve">
1Q17: full year 2017 group rev booking pace for all our North Amerian full sergice hotels is up 1.6% over a strong 2016 group year; we've seen some weakness in new bookings from small groups in recent months, but with very strong occupancy rates at many hotels and 86% of our anticipated 2017 group business already on the books, space constraints have also made adding new groups more challenging</t>
        </r>
      </text>
    </comment>
    <comment ref="CQ308" authorId="6">
      <text>
        <r>
          <rPr>
            <b/>
            <sz val="9"/>
            <color indexed="81"/>
            <rFont val="Tahoma"/>
            <family val="2"/>
          </rPr>
          <t>Zheng, Chaodan (Research):</t>
        </r>
        <r>
          <rPr>
            <sz val="9"/>
            <color indexed="81"/>
            <rFont val="Tahoma"/>
            <family val="2"/>
          </rPr>
          <t xml:space="preserve">
2Q17: in North America, a little lower than the midpoint of 1-2% guide on the Group side, and a little higher on the transient side
Arne Sorenson on the 2Q17 earnings call: 
When we start a year with mid- to high-single-digit Group rev on the books above the prior year that we'll give some of the back over the course of hte year becuase some of that is about booking earlier, and therefore having a bit less capacity in the year, for the year Group business. But I think to be fair, we're forecasting right now and believing right now that we're going toend up staid-and-paid Group business in the books in 2017 a bit less than what we would have anticiapted when the year began. And I think we're seeing 2018 a touch more modest than we would have expected a few quarters ago. </t>
        </r>
      </text>
    </comment>
    <comment ref="CT308" authorId="6">
      <text>
        <r>
          <rPr>
            <b/>
            <sz val="9"/>
            <color indexed="81"/>
            <rFont val="Tahoma"/>
            <family val="2"/>
          </rPr>
          <t>Zheng, Chaodan (Research):</t>
        </r>
        <r>
          <rPr>
            <sz val="9"/>
            <color indexed="81"/>
            <rFont val="Tahoma"/>
            <family val="2"/>
          </rPr>
          <t xml:space="preserve">
2Q17: in North America, a little lower than the midpoint of 1-2% guide on the Group side, and a little higher on the transient side
Arne Sorenson on the 2Q17 earnings call: 
When we start a year with mid- to high-single-digit Group rev on the books above the prior year that we'll give some of the back over the course of hte year becuase some of that is about booking earlier, and therefore having a bit less capacity in the year, for the year Group business. But I think to be fair, we're forecasting right now and believing right now that we're going toend up staid-and-paid Group business in the books in 2017 a bit less than what we would have anticiapted when the year began. And I think we're seeing 2018 a touch more modest than we would have expected a few quarters ago. </t>
        </r>
      </text>
    </comment>
    <comment ref="CY308" authorId="6">
      <text>
        <r>
          <rPr>
            <b/>
            <sz val="9"/>
            <color indexed="81"/>
            <rFont val="Tahoma"/>
            <family val="2"/>
          </rPr>
          <t>Zheng, Chaodan (Research):</t>
        </r>
        <r>
          <rPr>
            <sz val="9"/>
            <color indexed="81"/>
            <rFont val="Tahoma"/>
            <family val="2"/>
          </rPr>
          <t xml:space="preserve">
2Q17: group pace up modestly in 2018 for North America</t>
        </r>
      </text>
    </comment>
    <comment ref="BN309" authorId="6">
      <text>
        <r>
          <rPr>
            <b/>
            <sz val="9"/>
            <color indexed="81"/>
            <rFont val="Tahoma"/>
            <family val="2"/>
          </rPr>
          <t>Zheng, Chaodan (Research):</t>
        </r>
        <r>
          <rPr>
            <sz val="9"/>
            <color indexed="81"/>
            <rFont val="Tahoma"/>
            <family val="2"/>
          </rPr>
          <t xml:space="preserve">
3Q11: group rev on the books is up 7% for 2012, and US governemtn per diems are up 4-7% depending on the market
In August, group bookings for the NTM were up 14% from the same period last year</t>
        </r>
      </text>
    </comment>
    <comment ref="BO309" authorId="6">
      <text>
        <r>
          <rPr>
            <b/>
            <sz val="9"/>
            <color indexed="81"/>
            <rFont val="Tahoma"/>
            <family val="2"/>
          </rPr>
          <t>Zheng, Chaodan (Research):</t>
        </r>
        <r>
          <rPr>
            <sz val="9"/>
            <color indexed="81"/>
            <rFont val="Tahoma"/>
            <family val="2"/>
          </rPr>
          <t xml:space="preserve">
"when you look at group rev pace for 2012 vs. 2011 at the same time last year, rev was up 9%, but that 9% is overwhelmingly room nights; in other words, occupancy not rate. And remember that 9% is a reflection of the bookings that were done in 2011 for 2012, but also the bookings done in all prior years for 2012. If you look just at the bookings done in 2011 for 2012, we're up in the 3% to 5% range in rate. I think the stat we used in the prepared remakrs was business booked in the last 12 months for the next 12 months, which is not quite exactly teh same as booked for 2012, is plus three. But with each passing period we get greater and greater strength on rate. And over time, that's going to drive performance in group. </t>
        </r>
      </text>
    </comment>
    <comment ref="BS309" authorId="6">
      <text>
        <r>
          <rPr>
            <b/>
            <sz val="9"/>
            <color indexed="81"/>
            <rFont val="Tahoma"/>
            <family val="2"/>
          </rPr>
          <t>Zheng, Chaodan (Research):</t>
        </r>
        <r>
          <rPr>
            <sz val="9"/>
            <color indexed="81"/>
            <rFont val="Tahoma"/>
            <family val="2"/>
          </rPr>
          <t xml:space="preserve">
3Q12: our group booking pace for the North American company-operated Marriott brand for 2013 is up over 7%, with nearly 4% improvement </t>
        </r>
      </text>
    </comment>
    <comment ref="BT309" authorId="6">
      <text>
        <r>
          <rPr>
            <b/>
            <sz val="9"/>
            <color indexed="81"/>
            <rFont val="Tahoma"/>
            <family val="2"/>
          </rPr>
          <t>Zheng, Chaodan (Research):</t>
        </r>
        <r>
          <rPr>
            <sz val="9"/>
            <color indexed="81"/>
            <rFont val="Tahoma"/>
            <family val="2"/>
          </rPr>
          <t xml:space="preserve">
4Q12: 6% group revenue pace for 2013</t>
        </r>
      </text>
    </comment>
    <comment ref="BV309" authorId="6">
      <text>
        <r>
          <rPr>
            <b/>
            <sz val="9"/>
            <color indexed="81"/>
            <rFont val="Tahoma"/>
            <family val="2"/>
          </rPr>
          <t>Zheng, Chaodan (Research):</t>
        </r>
        <r>
          <rPr>
            <sz val="9"/>
            <color indexed="81"/>
            <rFont val="Tahoma"/>
            <family val="2"/>
          </rPr>
          <t xml:space="preserve">
1Q13: corporate group bookings made in 1Q for full year 2014 were up 22%</t>
        </r>
      </text>
    </comment>
    <comment ref="BW309" authorId="6">
      <text>
        <r>
          <rPr>
            <b/>
            <sz val="9"/>
            <color indexed="81"/>
            <rFont val="Tahoma"/>
            <family val="2"/>
          </rPr>
          <t>Zheng, Chaodan (Research):</t>
        </r>
        <r>
          <rPr>
            <sz val="9"/>
            <color indexed="81"/>
            <rFont val="Tahoma"/>
            <family val="2"/>
          </rPr>
          <t xml:space="preserve">
2Q13: for 2014, our rev on the books is only up about 2% from where we would have been for 2013 a year ago</t>
        </r>
      </text>
    </comment>
    <comment ref="BX309" authorId="6">
      <text>
        <r>
          <rPr>
            <b/>
            <sz val="9"/>
            <color indexed="81"/>
            <rFont val="Tahoma"/>
            <family val="2"/>
          </rPr>
          <t>Zheng, Chaodan (Research):</t>
        </r>
        <r>
          <rPr>
            <sz val="9"/>
            <color indexed="81"/>
            <rFont val="Tahoma"/>
            <family val="2"/>
          </rPr>
          <t xml:space="preserve">
3Q13: our 2014 group booking pace for the NA company-operated Marriott-branded hotels is currently up 4-5%, a meaningful improvement over the 2% reported last quarter</t>
        </r>
      </text>
    </comment>
    <comment ref="BY309" authorId="6">
      <text>
        <r>
          <rPr>
            <b/>
            <sz val="9"/>
            <color indexed="81"/>
            <rFont val="Tahoma"/>
            <family val="2"/>
          </rPr>
          <t>Zheng, Chaodan (Research):</t>
        </r>
        <r>
          <rPr>
            <sz val="9"/>
            <color indexed="81"/>
            <rFont val="Tahoma"/>
            <family val="2"/>
          </rPr>
          <t xml:space="preserve">
4Q13: booking pace for the Marriott brand for 2014 is up over 4%, about the same as we reported in September and corporate grou pace is up nearly 10%</t>
        </r>
      </text>
    </comment>
    <comment ref="CC309" authorId="6">
      <text>
        <r>
          <rPr>
            <b/>
            <sz val="9"/>
            <color indexed="81"/>
            <rFont val="Tahoma"/>
            <family val="2"/>
          </rPr>
          <t>Zheng, Chaodan (Research):</t>
        </r>
        <r>
          <rPr>
            <sz val="9"/>
            <color indexed="81"/>
            <rFont val="Tahoma"/>
            <family val="2"/>
          </rPr>
          <t xml:space="preserve">
3Q14: our group booking pace for 2015 for the Marriott brand is up nearly 4% and has been improving steadily month-by-month and quarter-by-quarter</t>
        </r>
      </text>
    </comment>
    <comment ref="CD309" authorId="6">
      <text>
        <r>
          <rPr>
            <b/>
            <sz val="9"/>
            <color indexed="81"/>
            <rFont val="Tahoma"/>
            <family val="2"/>
          </rPr>
          <t>Zheng, Chaodan (Research):</t>
        </r>
        <r>
          <rPr>
            <sz val="9"/>
            <color indexed="81"/>
            <rFont val="Tahoma"/>
            <family val="2"/>
          </rPr>
          <t xml:space="preserve">
4Q14: full year 2015 group pace is up 5%</t>
        </r>
      </text>
    </comment>
    <comment ref="CF309" authorId="6">
      <text>
        <r>
          <rPr>
            <b/>
            <sz val="9"/>
            <color indexed="81"/>
            <rFont val="Tahoma"/>
            <family val="2"/>
          </rPr>
          <t>Zheng, Chaodan (Research):</t>
        </r>
        <r>
          <rPr>
            <sz val="9"/>
            <color indexed="81"/>
            <rFont val="Tahoma"/>
            <family val="2"/>
          </rPr>
          <t xml:space="preserve">
1Q15: our full-service hotel group booking pace for the remainder of 2015 is up roughly 4%
in 2014, govt group made up about 1.5% of our full service group business</t>
        </r>
      </text>
    </comment>
    <comment ref="CG309" authorId="6">
      <text>
        <r>
          <rPr>
            <b/>
            <sz val="9"/>
            <color indexed="81"/>
            <rFont val="Tahoma"/>
            <family val="2"/>
          </rPr>
          <t>Zheng, Chaodan (Research):</t>
        </r>
        <r>
          <rPr>
            <sz val="9"/>
            <color indexed="81"/>
            <rFont val="Tahoma"/>
            <family val="2"/>
          </rPr>
          <t xml:space="preserve">
2Q15: already roughly 55% of our expected group business is on the books and grou prev pace is up about 7%, having improved 3 % in the last 12 months.</t>
        </r>
      </text>
    </comment>
    <comment ref="CH309" authorId="6">
      <text>
        <r>
          <rPr>
            <b/>
            <sz val="9"/>
            <color indexed="81"/>
            <rFont val="Tahoma"/>
            <family val="2"/>
          </rPr>
          <t>Zheng, Chaodan (Research):</t>
        </r>
        <r>
          <rPr>
            <sz val="9"/>
            <color indexed="81"/>
            <rFont val="Tahoma"/>
            <family val="2"/>
          </rPr>
          <t xml:space="preserve">
3Q15: our group rev for all of 2016 is up over 7% </t>
        </r>
      </text>
    </comment>
    <comment ref="CI309" authorId="6">
      <text>
        <r>
          <rPr>
            <b/>
            <sz val="9"/>
            <color indexed="81"/>
            <rFont val="Tahoma"/>
            <family val="2"/>
          </rPr>
          <t>Zheng, Chaodan (Research):</t>
        </r>
        <r>
          <rPr>
            <sz val="9"/>
            <color indexed="81"/>
            <rFont val="Tahoma"/>
            <family val="2"/>
          </rPr>
          <t xml:space="preserve">
4Q15: for the full year 2016, group revenue booking pace is up 7%
2017: +8%
2018: +9%</t>
        </r>
      </text>
    </comment>
    <comment ref="CK309" authorId="6">
      <text>
        <r>
          <rPr>
            <b/>
            <sz val="9"/>
            <color indexed="81"/>
            <rFont val="Tahoma"/>
            <family val="2"/>
          </rPr>
          <t>Zheng, Chaodan (Research):</t>
        </r>
        <r>
          <rPr>
            <sz val="9"/>
            <color indexed="81"/>
            <rFont val="Tahoma"/>
            <family val="2"/>
          </rPr>
          <t xml:space="preserve">
3Q16: we started 2016 w/ group business up almost 10% for 2017, and expect to tail down for the rest of the year due to less capacity so would expect HSD</t>
        </r>
      </text>
    </comment>
    <comment ref="CL309" authorId="6">
      <text>
        <r>
          <rPr>
            <b/>
            <sz val="9"/>
            <color indexed="81"/>
            <rFont val="Tahoma"/>
            <family val="2"/>
          </rPr>
          <t>Zheng, Chaodan (Research):</t>
        </r>
        <r>
          <rPr>
            <sz val="9"/>
            <color indexed="81"/>
            <rFont val="Tahoma"/>
            <family val="2"/>
          </rPr>
          <t xml:space="preserve">
2Q16: 3Q systemwide group rev pace in NA is up 9%, while 4Q pace is flat y/y</t>
        </r>
      </text>
    </comment>
    <comment ref="CM309" authorId="6">
      <text>
        <r>
          <rPr>
            <b/>
            <sz val="9"/>
            <color indexed="81"/>
            <rFont val="Tahoma"/>
            <family val="2"/>
          </rPr>
          <t>Zheng, Chaodan (Research):</t>
        </r>
        <r>
          <rPr>
            <sz val="9"/>
            <color indexed="81"/>
            <rFont val="Tahoma"/>
            <family val="2"/>
          </rPr>
          <t xml:space="preserve">
3Q16: for the 2017 full year, North America revenue group pace for company-operated full service hotels across the Marriott and Starwood portfolios is currently up about 2%. This is worse than expected as mgmt had expected MSD to HSD pace for 2017 group
2018 group bookings up very HSD</t>
        </r>
      </text>
    </comment>
    <comment ref="CN309" authorId="6">
      <text>
        <r>
          <rPr>
            <b/>
            <sz val="9"/>
            <color indexed="81"/>
            <rFont val="Tahoma"/>
            <family val="2"/>
          </rPr>
          <t>Zheng, Chaodan (Research):</t>
        </r>
        <r>
          <rPr>
            <sz val="9"/>
            <color indexed="81"/>
            <rFont val="Tahoma"/>
            <family val="2"/>
          </rPr>
          <t xml:space="preserve">
4Q16: for the full year 2017, North America group revenue pace for company-operated full-service hotels across the combined portfolio is currently up about 3%
Arne Sorenson on 4Q16 call:
"do we feel more optimistic about 2017 than we did a quarter ago? the short answer is yes. There's considerable data that shows broad expectations for stronger GDP growth in 2017. We have also completed our budget since our last quarterly call, giving us greater confidence in our range than we had before."
</t>
        </r>
      </text>
    </comment>
    <comment ref="CQ309" authorId="6">
      <text>
        <r>
          <rPr>
            <b/>
            <sz val="9"/>
            <color indexed="81"/>
            <rFont val="Tahoma"/>
            <family val="2"/>
          </rPr>
          <t>Zheng, Chaodan (Research):</t>
        </r>
        <r>
          <rPr>
            <sz val="9"/>
            <color indexed="81"/>
            <rFont val="Tahoma"/>
            <family val="2"/>
          </rPr>
          <t xml:space="preserve">
2Q17: 2018 Group RevPAR pacing up modestly
Arne on 2Q17 call:
"we're seeing 2018 a touch more modest than we would have expected a few quarters ago"</t>
        </r>
      </text>
    </comment>
    <comment ref="BO310" authorId="6">
      <text>
        <r>
          <rPr>
            <b/>
            <sz val="9"/>
            <color indexed="81"/>
            <rFont val="Tahoma"/>
            <family val="2"/>
          </rPr>
          <t>Zheng, Chaodan (Research):</t>
        </r>
        <r>
          <rPr>
            <sz val="9"/>
            <color indexed="81"/>
            <rFont val="Tahoma"/>
            <family val="2"/>
          </rPr>
          <t xml:space="preserve">
4Q11: % on the books at the beginning of 2012</t>
        </r>
      </text>
    </comment>
    <comment ref="BX310" authorId="6">
      <text>
        <r>
          <rPr>
            <b/>
            <sz val="9"/>
            <color indexed="81"/>
            <rFont val="Tahoma"/>
            <family val="2"/>
          </rPr>
          <t>Zheng, Chaodan (Research):</t>
        </r>
        <r>
          <rPr>
            <sz val="9"/>
            <color indexed="81"/>
            <rFont val="Tahoma"/>
            <family val="2"/>
          </rPr>
          <t xml:space="preserve">
3Q13: 60% of our 2014 group business is already on the books</t>
        </r>
      </text>
    </comment>
    <comment ref="CC310" authorId="6">
      <text>
        <r>
          <rPr>
            <b/>
            <sz val="9"/>
            <color indexed="81"/>
            <rFont val="Tahoma"/>
            <family val="2"/>
          </rPr>
          <t>Zheng, Chaodan (Research):</t>
        </r>
        <r>
          <rPr>
            <sz val="9"/>
            <color indexed="81"/>
            <rFont val="Tahoma"/>
            <family val="2"/>
          </rPr>
          <t xml:space="preserve">
3Q14: We're only at 60% of what we would expect the total group to be, so we still have plenty of runway
Arne on 3Q14 call:
"for 2015, 35-40% or so of the group business would have been on the books before the end of 2013, leaving about 60% to be booked in 2014 for 2015, and in the year for the year within 2015."</t>
        </r>
      </text>
    </comment>
    <comment ref="CG310" authorId="6">
      <text>
        <r>
          <rPr>
            <b/>
            <sz val="9"/>
            <color indexed="81"/>
            <rFont val="Tahoma"/>
            <family val="2"/>
          </rPr>
          <t>Zheng, Chaodan (Research):</t>
        </r>
        <r>
          <rPr>
            <sz val="9"/>
            <color indexed="81"/>
            <rFont val="Tahoma"/>
            <family val="2"/>
          </rPr>
          <t xml:space="preserve">
2Q15: already roughly 55% of our expected group business is on the books and grou prev pace is up about 7%, having improved 3 % in the last 12 months.</t>
        </r>
      </text>
    </comment>
    <comment ref="BZ313" authorId="6">
      <text>
        <r>
          <rPr>
            <b/>
            <sz val="9"/>
            <color indexed="81"/>
            <rFont val="Tahoma"/>
            <family val="2"/>
          </rPr>
          <t>Zheng, Chaodan (Research):</t>
        </r>
        <r>
          <rPr>
            <sz val="9"/>
            <color indexed="81"/>
            <rFont val="Tahoma"/>
            <family val="2"/>
          </rPr>
          <t xml:space="preserve">
2Q12 press release: targeting HSD increases in special corporate rates in 2013</t>
        </r>
      </text>
    </comment>
    <comment ref="CC313" authorId="6">
      <text>
        <r>
          <rPr>
            <b/>
            <sz val="9"/>
            <color indexed="81"/>
            <rFont val="Tahoma"/>
            <family val="2"/>
          </rPr>
          <t>Zheng, Chaodan (Research):</t>
        </r>
        <r>
          <rPr>
            <sz val="9"/>
            <color indexed="81"/>
            <rFont val="Tahoma"/>
            <family val="2"/>
          </rPr>
          <t xml:space="preserve">
3Q14: 2015 group pace is up MSD, we're probably at 4%
Arne on 3Q14 call:
"we've seen every  month that the rate ADR for the grou pbusiness on the books for 2015 has improved"</t>
        </r>
      </text>
    </comment>
    <comment ref="CD313" authorId="6">
      <text>
        <r>
          <rPr>
            <b/>
            <sz val="9"/>
            <color indexed="81"/>
            <rFont val="Tahoma"/>
            <family val="2"/>
          </rPr>
          <t>Zheng, Chaodan (Research):</t>
        </r>
        <r>
          <rPr>
            <sz val="9"/>
            <color indexed="81"/>
            <rFont val="Tahoma"/>
            <family val="2"/>
          </rPr>
          <t xml:space="preserve">
4Q14: in 2015, we expect special corporate room rates from continuing accounts will increase 5-6%
Once again this year, we are bidding on fewer accounts in order to increase available inventory for higher rated retail business</t>
        </r>
      </text>
    </comment>
    <comment ref="CH313" authorId="6">
      <text>
        <r>
          <rPr>
            <b/>
            <sz val="9"/>
            <color indexed="81"/>
            <rFont val="Tahoma"/>
            <family val="2"/>
          </rPr>
          <t>Zheng, Chaodan (Research):</t>
        </r>
        <r>
          <rPr>
            <sz val="9"/>
            <color indexed="81"/>
            <rFont val="Tahoma"/>
            <family val="2"/>
          </rPr>
          <t xml:space="preserve">
3Q15: special corporate rooms down modestly, driven by calendar and comp issues</t>
        </r>
      </text>
    </comment>
    <comment ref="CM313" authorId="6">
      <text>
        <r>
          <rPr>
            <b/>
            <sz val="9"/>
            <color indexed="81"/>
            <rFont val="Tahoma"/>
            <family val="2"/>
          </rPr>
          <t>Zheng, Chaodan (Research):</t>
        </r>
        <r>
          <rPr>
            <sz val="9"/>
            <color indexed="81"/>
            <rFont val="Tahoma"/>
            <family val="2"/>
          </rPr>
          <t xml:space="preserve">
3Q16: we are targeting a higher volume of special corporate rate business for the coming year and expect special corporate room rates for comparable customers to increase at a MSD in most markets </t>
        </r>
      </text>
    </comment>
    <comment ref="CP313" authorId="6">
      <text>
        <r>
          <rPr>
            <b/>
            <sz val="9"/>
            <color indexed="81"/>
            <rFont val="Tahoma"/>
            <family val="2"/>
          </rPr>
          <t>Zheng, Chaodan (Research):</t>
        </r>
        <r>
          <rPr>
            <sz val="9"/>
            <color indexed="81"/>
            <rFont val="Tahoma"/>
            <family val="2"/>
          </rPr>
          <t xml:space="preserve">
1Q17: Arne: "we feel a bit more encouraged by corporate travel this quarter than we did a quarter ago in the guidance that we provided."</t>
        </r>
      </text>
    </comment>
    <comment ref="AD317" authorId="14">
      <text>
        <r>
          <rPr>
            <sz val="10"/>
            <color indexed="8"/>
            <rFont val="Tahoma"/>
            <family val="2"/>
          </rPr>
          <t>Very easy comps due to SARs &amp; Iraq war in 2Q03</t>
        </r>
      </text>
    </comment>
    <comment ref="CN317" authorId="2">
      <text>
        <r>
          <rPr>
            <b/>
            <sz val="9"/>
            <color indexed="81"/>
            <rFont val="Tahoma"/>
            <family val="2"/>
          </rPr>
          <t>Savino, Mark (Research):</t>
        </r>
        <r>
          <rPr>
            <sz val="9"/>
            <color indexed="81"/>
            <rFont val="Tahoma"/>
            <family val="2"/>
          </rPr>
          <t xml:space="preserve">
Organic</t>
        </r>
      </text>
    </comment>
    <comment ref="CN318" authorId="2">
      <text>
        <r>
          <rPr>
            <b/>
            <sz val="9"/>
            <color indexed="81"/>
            <rFont val="Tahoma"/>
            <family val="2"/>
          </rPr>
          <t>Savino, Mark (Research):</t>
        </r>
        <r>
          <rPr>
            <sz val="9"/>
            <color indexed="81"/>
            <rFont val="Tahoma"/>
            <family val="2"/>
          </rPr>
          <t xml:space="preserve">
Organic</t>
        </r>
      </text>
    </comment>
    <comment ref="A320" authorId="28">
      <text>
        <r>
          <rPr>
            <b/>
            <sz val="8"/>
            <color indexed="81"/>
            <rFont val="Tahoma"/>
            <family val="2"/>
          </rPr>
          <t>DJF 3/30/12:</t>
        </r>
        <r>
          <rPr>
            <sz val="8"/>
            <color indexed="81"/>
            <rFont val="Tahoma"/>
            <family val="2"/>
          </rPr>
          <t xml:space="preserve">
Assume heavier weighting for US due to higher base % than Int'l.</t>
        </r>
      </text>
    </comment>
    <comment ref="DD320" authorId="28">
      <text>
        <r>
          <rPr>
            <b/>
            <sz val="8"/>
            <color indexed="81"/>
            <rFont val="Tahoma"/>
            <family val="2"/>
          </rPr>
          <t>DJF 3/30/12:</t>
        </r>
        <r>
          <rPr>
            <sz val="8"/>
            <color indexed="81"/>
            <rFont val="Tahoma"/>
            <family val="2"/>
          </rPr>
          <t xml:space="preserve">
Assume heavier weighting for US due to higher base % than Int'l.</t>
        </r>
      </text>
    </comment>
    <comment ref="A330" authorId="0">
      <text>
        <r>
          <rPr>
            <b/>
            <sz val="8"/>
            <color indexed="81"/>
            <rFont val="Tahoma"/>
            <family val="2"/>
          </rPr>
          <t>DJF 3/22/12:</t>
        </r>
        <r>
          <rPr>
            <sz val="8"/>
            <color indexed="81"/>
            <rFont val="Tahoma"/>
            <family val="2"/>
          </rPr>
          <t xml:space="preserve">
Restated during 4Q EPS</t>
        </r>
      </text>
    </comment>
    <comment ref="AU330" authorId="16">
      <text>
        <r>
          <rPr>
            <b/>
            <sz val="10"/>
            <color indexed="8"/>
            <rFont val="Tahoma"/>
            <family val="2"/>
          </rPr>
          <t>Celeste Brown:</t>
        </r>
        <r>
          <rPr>
            <sz val="10"/>
            <color indexed="8"/>
            <rFont val="Tahoma"/>
            <family val="2"/>
          </rPr>
          <t xml:space="preserve">
Included $4mm of biz int. proceeds</t>
        </r>
      </text>
    </comment>
    <comment ref="BG330" authorId="29">
      <text>
        <r>
          <rPr>
            <b/>
            <sz val="8"/>
            <color indexed="81"/>
            <rFont val="Tahoma"/>
            <family val="2"/>
          </rPr>
          <t>DJF 3/22/12:</t>
        </r>
        <r>
          <rPr>
            <sz val="8"/>
            <color indexed="81"/>
            <rFont val="Tahoma"/>
            <family val="2"/>
          </rPr>
          <t xml:space="preserve">
Restatements begin in 1Q10</t>
        </r>
      </text>
    </comment>
    <comment ref="BQ330" authorId="12">
      <text>
        <r>
          <rPr>
            <b/>
            <sz val="8"/>
            <color indexed="81"/>
            <rFont val="Tahoma"/>
            <family val="2"/>
          </rPr>
          <t>jills:</t>
        </r>
        <r>
          <rPr>
            <sz val="8"/>
            <color indexed="81"/>
            <rFont val="Tahoma"/>
            <family val="2"/>
          </rPr>
          <t xml:space="preserve">
reversal of $3mm of base fees which was a negative in the quarter</t>
        </r>
      </text>
    </comment>
    <comment ref="BS330" authorId="7">
      <text>
        <r>
          <rPr>
            <b/>
            <sz val="8"/>
            <color indexed="81"/>
            <rFont val="Tahoma"/>
            <family val="2"/>
          </rPr>
          <t>thallen:</t>
        </r>
        <r>
          <rPr>
            <sz val="8"/>
            <color indexed="81"/>
            <rFont val="Tahoma"/>
            <family val="2"/>
          </rPr>
          <t xml:space="preserve">
Includes $7mm of deferred fees related to sale of Courtyard JV which benefitted quarter</t>
        </r>
      </text>
    </comment>
    <comment ref="BW330" authorId="7">
      <text>
        <r>
          <rPr>
            <b/>
            <sz val="8"/>
            <color indexed="81"/>
            <rFont val="Tahoma"/>
            <family val="2"/>
          </rPr>
          <t>thallen:</t>
        </r>
        <r>
          <rPr>
            <sz val="8"/>
            <color indexed="81"/>
            <rFont val="Tahoma"/>
            <family val="2"/>
          </rPr>
          <t xml:space="preserve">
$5mm increase y/y from higher relicensing fees</t>
        </r>
      </text>
    </comment>
    <comment ref="BX330" authorId="12">
      <text>
        <r>
          <rPr>
            <b/>
            <sz val="8"/>
            <color indexed="81"/>
            <rFont val="Tahoma"/>
            <family val="2"/>
          </rPr>
          <t>jills:</t>
        </r>
        <r>
          <rPr>
            <sz val="8"/>
            <color indexed="81"/>
            <rFont val="Tahoma"/>
            <family val="2"/>
          </rPr>
          <t xml:space="preserve">
benefits from Gaylord which was not in fee base in 3Q12, but lapping a $7mm base fee gain from 3Q12</t>
        </r>
      </text>
    </comment>
    <comment ref="BY330" authorId="12">
      <text>
        <r>
          <rPr>
            <b/>
            <sz val="8"/>
            <color indexed="81"/>
            <rFont val="Tahoma"/>
            <family val="2"/>
          </rPr>
          <t>jills:</t>
        </r>
        <r>
          <rPr>
            <sz val="8"/>
            <color indexed="81"/>
            <rFont val="Tahoma"/>
            <family val="2"/>
          </rPr>
          <t xml:space="preserve">
first Q with comparable Y/Y lap for Gaylord</t>
        </r>
      </text>
    </comment>
    <comment ref="CB330" authorId="5">
      <text>
        <r>
          <rPr>
            <sz val="9"/>
            <color indexed="81"/>
            <rFont val="Tahoma"/>
            <family val="2"/>
          </rPr>
          <t>Due to higher RevPAR and new unit growth</t>
        </r>
      </text>
    </comment>
    <comment ref="CH330" authorId="5">
      <text>
        <r>
          <rPr>
            <b/>
            <sz val="9"/>
            <color indexed="81"/>
            <rFont val="Tahoma"/>
            <family val="2"/>
          </rPr>
          <t>Chaudhry, Baset A (Research):</t>
        </r>
        <r>
          <rPr>
            <sz val="9"/>
            <color indexed="81"/>
            <rFont val="Tahoma"/>
            <family val="2"/>
          </rPr>
          <t xml:space="preserve">
</t>
        </r>
        <r>
          <rPr>
            <b/>
            <u/>
            <sz val="9"/>
            <color indexed="81"/>
            <rFont val="Tahoma"/>
            <family val="2"/>
          </rPr>
          <t>2Q15:</t>
        </r>
        <r>
          <rPr>
            <sz val="9"/>
            <color indexed="81"/>
            <rFont val="Tahoma"/>
            <family val="2"/>
          </rPr>
          <t xml:space="preserve"> 3Q14 included $15 million of recognized deferred base fees and $9 million of franchise re-licensing fees
</t>
        </r>
        <r>
          <rPr>
            <b/>
            <u/>
            <sz val="9"/>
            <color indexed="81"/>
            <rFont val="Tahoma"/>
            <family val="2"/>
          </rPr>
          <t>FX headwinds:</t>
        </r>
        <r>
          <rPr>
            <sz val="9"/>
            <color indexed="81"/>
            <rFont val="Tahoma"/>
            <family val="2"/>
          </rPr>
          <t xml:space="preserve">
FX headwinds, divided between owned and M&amp;F (80% reflected in M&amp;F and rest in Owned segment). For M&amp;F portion divided equally between managed and franchised.
Based on MS estimates USD to appreciate 9% in 3Q and 6% in 4Q) vs. a basket of currencies. Each 1% increase negatively impacts EBITDA by $3m. </t>
        </r>
      </text>
    </comment>
    <comment ref="CI330" authorId="5">
      <text>
        <r>
          <rPr>
            <b/>
            <sz val="9"/>
            <color indexed="81"/>
            <rFont val="Tahoma"/>
            <family val="2"/>
          </rPr>
          <t>Chaudhry, Baset A (Research):</t>
        </r>
        <r>
          <rPr>
            <sz val="9"/>
            <color indexed="81"/>
            <rFont val="Tahoma"/>
            <family val="2"/>
          </rPr>
          <t xml:space="preserve">
FX headwinds, divided between owned and M&amp;F (80% reflected in M&amp;F and rest in Owned segment). For M&amp;F portion divided equally between managed and franchised.
Based on MS estimates USD to appreciate 9% in 3Q and 6% in 4Q) vs. a basket of currencies. Each 1% increase negatively impacts EBITDA by $3m. </t>
        </r>
      </text>
    </comment>
    <comment ref="CK330" authorId="2">
      <text>
        <r>
          <rPr>
            <b/>
            <sz val="9"/>
            <color indexed="81"/>
            <rFont val="Tahoma"/>
            <family val="2"/>
          </rPr>
          <t>Savino, Mark (Research):</t>
        </r>
        <r>
          <rPr>
            <sz val="9"/>
            <color indexed="81"/>
            <rFont val="Tahoma"/>
            <family val="2"/>
          </rPr>
          <t xml:space="preserve">
$13m less relicensing fees y/y
$4m FX</t>
        </r>
      </text>
    </comment>
    <comment ref="CL330" authorId="1">
      <text>
        <r>
          <rPr>
            <b/>
            <sz val="9"/>
            <color indexed="81"/>
            <rFont val="Tahoma"/>
            <family val="2"/>
          </rPr>
          <t>Allen, Thomas (Research):</t>
        </r>
        <r>
          <rPr>
            <sz val="9"/>
            <color indexed="81"/>
            <rFont val="Tahoma"/>
            <family val="2"/>
          </rPr>
          <t xml:space="preserve">
FX impact</t>
        </r>
      </text>
    </comment>
    <comment ref="CM330" authorId="1">
      <text>
        <r>
          <rPr>
            <b/>
            <sz val="9"/>
            <color indexed="81"/>
            <rFont val="Tahoma"/>
            <family val="2"/>
          </rPr>
          <t>Allen, Thomas (Research):</t>
        </r>
        <r>
          <rPr>
            <sz val="9"/>
            <color indexed="81"/>
            <rFont val="Tahoma"/>
            <family val="2"/>
          </rPr>
          <t xml:space="preserve">
$10m FX impact y/y</t>
        </r>
      </text>
    </comment>
    <comment ref="DD330" authorId="0">
      <text>
        <r>
          <rPr>
            <b/>
            <sz val="8"/>
            <color indexed="81"/>
            <rFont val="Tahoma"/>
            <family val="2"/>
          </rPr>
          <t>DJF 3/22/12:</t>
        </r>
        <r>
          <rPr>
            <sz val="8"/>
            <color indexed="81"/>
            <rFont val="Tahoma"/>
            <family val="2"/>
          </rPr>
          <t xml:space="preserve">
Restated during 4Q EPS</t>
        </r>
      </text>
    </comment>
    <comment ref="A331" authorId="0">
      <text>
        <r>
          <rPr>
            <b/>
            <sz val="8"/>
            <color indexed="81"/>
            <rFont val="Tahoma"/>
            <family val="2"/>
          </rPr>
          <t>DJF 3/22/12:</t>
        </r>
        <r>
          <rPr>
            <sz val="8"/>
            <color indexed="81"/>
            <rFont val="Tahoma"/>
            <family val="2"/>
          </rPr>
          <t xml:space="preserve">
Restated during 4Q EPS</t>
        </r>
      </text>
    </comment>
    <comment ref="CO333" authorId="2">
      <text>
        <r>
          <rPr>
            <b/>
            <sz val="9"/>
            <color indexed="81"/>
            <rFont val="Tahoma"/>
            <family val="2"/>
          </rPr>
          <t>Savino, Mark (Research):</t>
        </r>
        <r>
          <rPr>
            <sz val="9"/>
            <color indexed="81"/>
            <rFont val="Tahoma"/>
            <family val="2"/>
          </rPr>
          <t xml:space="preserve">
1Q15: $35m total FX impact on fee revenue - $9m in IMF, so assuming $15m in base and $11m in franchise
4Q15: $30m total FX impact on fee revenue - $9m in IMF, so assuming $12m in base and $9m in franchise</t>
        </r>
      </text>
    </comment>
    <comment ref="CP333" authorId="2">
      <text>
        <r>
          <rPr>
            <b/>
            <sz val="9"/>
            <color indexed="81"/>
            <rFont val="Tahoma"/>
            <family val="2"/>
          </rPr>
          <t>Savino, Mark (Research):</t>
        </r>
        <r>
          <rPr>
            <sz val="9"/>
            <color indexed="81"/>
            <rFont val="Tahoma"/>
            <family val="2"/>
          </rPr>
          <t xml:space="preserve">
4Q16: $6m headwind from FX and $7m from leap day, so $13m total. Assume $5m in base mgmt fees and $8m in franchise</t>
        </r>
      </text>
    </comment>
    <comment ref="CQ333" authorId="2">
      <text>
        <r>
          <rPr>
            <b/>
            <sz val="9"/>
            <color indexed="81"/>
            <rFont val="Tahoma"/>
            <family val="2"/>
          </rPr>
          <t>Savino, Mark (Research):</t>
        </r>
        <r>
          <rPr>
            <sz val="9"/>
            <color indexed="81"/>
            <rFont val="Tahoma"/>
            <family val="2"/>
          </rPr>
          <t xml:space="preserve">
1Q17: Fee revenue includes $10m of negative FX; we assume $4m in mgmt and $6m in franchise</t>
        </r>
      </text>
    </comment>
    <comment ref="CR333" authorId="2">
      <text>
        <r>
          <rPr>
            <b/>
            <sz val="9"/>
            <color indexed="81"/>
            <rFont val="Tahoma"/>
            <family val="2"/>
          </rPr>
          <t>Savino, Mark (Research):</t>
        </r>
        <r>
          <rPr>
            <sz val="9"/>
            <color indexed="81"/>
            <rFont val="Tahoma"/>
            <family val="2"/>
          </rPr>
          <t xml:space="preserve">
2Q17: $5m negative FX; assume $2m in mgmt and $3m in franchise</t>
        </r>
      </text>
    </comment>
    <comment ref="CS333" authorId="2">
      <text>
        <r>
          <rPr>
            <b/>
            <sz val="9"/>
            <color indexed="81"/>
            <rFont val="Tahoma"/>
            <family val="2"/>
          </rPr>
          <t>Savino, Mark (Research):</t>
        </r>
        <r>
          <rPr>
            <sz val="9"/>
            <color indexed="81"/>
            <rFont val="Tahoma"/>
            <family val="2"/>
          </rPr>
          <t xml:space="preserve">
2Q17: $5m negative FX; assume $2m in mgmt and $3m in franchise</t>
        </r>
      </text>
    </comment>
    <comment ref="CT333" authorId="2">
      <text>
        <r>
          <rPr>
            <b/>
            <sz val="9"/>
            <color indexed="81"/>
            <rFont val="Tahoma"/>
            <family val="2"/>
          </rPr>
          <t>Savino, Mark (Research):</t>
        </r>
        <r>
          <rPr>
            <sz val="9"/>
            <color indexed="81"/>
            <rFont val="Tahoma"/>
            <family val="2"/>
          </rPr>
          <t xml:space="preserve">
4Q16: $20-25m headwind from FX, assume $10m in base mgmt fees and $10-15m in franchise</t>
        </r>
      </text>
    </comment>
    <comment ref="CZ333" authorId="1">
      <text>
        <r>
          <rPr>
            <b/>
            <sz val="9"/>
            <color indexed="81"/>
            <rFont val="Tahoma"/>
            <family val="2"/>
          </rPr>
          <t>Allen, Thomas (Research):</t>
        </r>
        <r>
          <rPr>
            <sz val="9"/>
            <color indexed="81"/>
            <rFont val="Tahoma"/>
            <family val="2"/>
          </rPr>
          <t xml:space="preserve">
3/21/17: $1230-1305m, incl. $105-115m from new hotels 
Includes 50bps FX headwinds from 2017</t>
        </r>
      </text>
    </comment>
    <comment ref="BZ334" authorId="12">
      <text>
        <r>
          <rPr>
            <b/>
            <sz val="8"/>
            <color indexed="81"/>
            <rFont val="Tahoma"/>
            <family val="2"/>
          </rPr>
          <t>jills:</t>
        </r>
        <r>
          <rPr>
            <sz val="8"/>
            <color indexed="81"/>
            <rFont val="Tahoma"/>
            <family val="2"/>
          </rPr>
          <t xml:space="preserve">
per 1Q13 call, group booking pace +4%</t>
        </r>
      </text>
    </comment>
    <comment ref="CE334" authorId="12">
      <text>
        <r>
          <rPr>
            <b/>
            <sz val="8"/>
            <color indexed="81"/>
            <rFont val="Tahoma"/>
            <family val="2"/>
          </rPr>
          <t>jills:</t>
        </r>
        <r>
          <rPr>
            <sz val="8"/>
            <color indexed="81"/>
            <rFont val="Tahoma"/>
            <family val="2"/>
          </rPr>
          <t xml:space="preserve">
per 1Q13 call, group booking pace +5%
per 2Q13 call, group pace +2%
per 3Q13 call, group pace +4%, mostly volume with ADR up only about 1-ish%</t>
        </r>
      </text>
    </comment>
    <comment ref="A335" authorId="29">
      <text>
        <r>
          <rPr>
            <b/>
            <sz val="8"/>
            <color indexed="81"/>
            <rFont val="Tahoma"/>
            <family val="2"/>
          </rPr>
          <t>DJF:</t>
        </r>
        <r>
          <rPr>
            <sz val="8"/>
            <color indexed="81"/>
            <rFont val="Tahoma"/>
            <family val="2"/>
          </rPr>
          <t xml:space="preserve">
Timeshare management fees previously included with Base Fees.
Timeshare royalties broken out separately.</t>
        </r>
      </text>
    </comment>
    <comment ref="DD335" authorId="29">
      <text>
        <r>
          <rPr>
            <b/>
            <sz val="8"/>
            <color indexed="81"/>
            <rFont val="Tahoma"/>
            <family val="2"/>
          </rPr>
          <t>DJF:</t>
        </r>
        <r>
          <rPr>
            <sz val="8"/>
            <color indexed="81"/>
            <rFont val="Tahoma"/>
            <family val="2"/>
          </rPr>
          <t xml:space="preserve">
Timeshare management fees previously included with Base Fees.
Timeshare royalties broken out separately.</t>
        </r>
      </text>
    </comment>
    <comment ref="A336" authorId="29">
      <text>
        <r>
          <rPr>
            <b/>
            <sz val="8"/>
            <color indexed="81"/>
            <rFont val="Tahoma"/>
            <family val="2"/>
          </rPr>
          <t>DJF:</t>
        </r>
        <r>
          <rPr>
            <sz val="8"/>
            <color indexed="81"/>
            <rFont val="Tahoma"/>
            <family val="2"/>
          </rPr>
          <t xml:space="preserve">
Timeshare management fees previously included with Base Fees.
Timeshare royalties broken out separately.</t>
        </r>
      </text>
    </comment>
    <comment ref="DD336" authorId="29">
      <text>
        <r>
          <rPr>
            <b/>
            <sz val="8"/>
            <color indexed="81"/>
            <rFont val="Tahoma"/>
            <family val="2"/>
          </rPr>
          <t>DJF:</t>
        </r>
        <r>
          <rPr>
            <sz val="8"/>
            <color indexed="81"/>
            <rFont val="Tahoma"/>
            <family val="2"/>
          </rPr>
          <t xml:space="preserve">
Timeshare management fees previously included with Base Fees.
Timeshare royalties broken out separately.</t>
        </r>
      </text>
    </comment>
    <comment ref="AH343" authorId="16">
      <text>
        <r>
          <rPr>
            <b/>
            <sz val="8"/>
            <color indexed="8"/>
            <rFont val="Tahoma"/>
            <family val="2"/>
          </rPr>
          <t>Celeste Brown:</t>
        </r>
        <r>
          <rPr>
            <sz val="8"/>
            <color indexed="8"/>
            <rFont val="Tahoma"/>
            <family val="2"/>
          </rPr>
          <t xml:space="preserve">
inlcudes $8mm earned in prior periods</t>
        </r>
      </text>
    </comment>
    <comment ref="AJ343" authorId="16">
      <text>
        <r>
          <rPr>
            <b/>
            <sz val="8"/>
            <color indexed="8"/>
            <rFont val="Tahoma"/>
            <family val="2"/>
          </rPr>
          <t>Celeste Brown:</t>
        </r>
        <r>
          <rPr>
            <sz val="8"/>
            <color indexed="8"/>
            <rFont val="Tahoma"/>
            <family val="2"/>
          </rPr>
          <t xml:space="preserve">
inlcudes $6mm earned in prior periods</t>
        </r>
      </text>
    </comment>
    <comment ref="AU343" authorId="16">
      <text>
        <r>
          <rPr>
            <b/>
            <sz val="10"/>
            <color indexed="8"/>
            <rFont val="Tahoma"/>
            <family val="2"/>
          </rPr>
          <t>Celeste Brown:</t>
        </r>
        <r>
          <rPr>
            <sz val="10"/>
            <color indexed="8"/>
            <rFont val="Tahoma"/>
            <family val="2"/>
          </rPr>
          <t xml:space="preserve">
Included $9mm of biz int. proceeds</t>
        </r>
      </text>
    </comment>
    <comment ref="BT343" authorId="7">
      <text>
        <r>
          <rPr>
            <b/>
            <sz val="8"/>
            <color indexed="81"/>
            <rFont val="Tahoma"/>
            <family val="2"/>
          </rPr>
          <t>thallen:</t>
        </r>
        <r>
          <rPr>
            <sz val="8"/>
            <color indexed="81"/>
            <rFont val="Tahoma"/>
            <family val="2"/>
          </rPr>
          <t xml:space="preserve">
Includes $3mm of previously deferred fees</t>
        </r>
      </text>
    </comment>
    <comment ref="BU343" authorId="12">
      <text>
        <r>
          <rPr>
            <b/>
            <sz val="8"/>
            <color indexed="81"/>
            <rFont val="Tahoma"/>
            <family val="2"/>
          </rPr>
          <t>jills:</t>
        </r>
        <r>
          <rPr>
            <sz val="8"/>
            <color indexed="81"/>
            <rFont val="Tahoma"/>
            <family val="2"/>
          </rPr>
          <t xml:space="preserve">
35% domestic; 65% international</t>
        </r>
      </text>
    </comment>
    <comment ref="BV343" authorId="12">
      <text>
        <r>
          <rPr>
            <b/>
            <sz val="8"/>
            <color indexed="81"/>
            <rFont val="Tahoma"/>
            <family val="2"/>
          </rPr>
          <t>jills:</t>
        </r>
        <r>
          <rPr>
            <sz val="8"/>
            <color indexed="81"/>
            <rFont val="Tahoma"/>
            <family val="2"/>
          </rPr>
          <t xml:space="preserve">
$6mm associated with longer Q, while strong performance among full service hotels in the US, particularly NY and FL, also contributed to solid results</t>
        </r>
      </text>
    </comment>
    <comment ref="BW343" authorId="12">
      <text>
        <r>
          <rPr>
            <b/>
            <sz val="8"/>
            <color indexed="81"/>
            <rFont val="Tahoma"/>
            <family val="2"/>
          </rPr>
          <t>jills:</t>
        </r>
        <r>
          <rPr>
            <sz val="8"/>
            <color indexed="81"/>
            <rFont val="Tahoma"/>
            <family val="2"/>
          </rPr>
          <t xml:space="preserve">
48% domestic; 52% international</t>
        </r>
      </text>
    </comment>
    <comment ref="BX343" authorId="12">
      <text>
        <r>
          <rPr>
            <b/>
            <sz val="8"/>
            <color indexed="81"/>
            <rFont val="Tahoma"/>
            <family val="2"/>
          </rPr>
          <t>jills:</t>
        </r>
        <r>
          <rPr>
            <sz val="8"/>
            <color indexed="81"/>
            <rFont val="Tahoma"/>
            <family val="2"/>
          </rPr>
          <t xml:space="preserve">
included ~$12m increase related to the change in fiscal calendar
IMFs improved in NYC and Boston, were flat in many int'l markets, and declined in DC and Egypt</t>
        </r>
      </text>
    </comment>
    <comment ref="BY343" authorId="7">
      <text>
        <r>
          <rPr>
            <b/>
            <sz val="8"/>
            <color indexed="81"/>
            <rFont val="Tahoma"/>
            <family val="2"/>
          </rPr>
          <t>thallen:</t>
        </r>
        <r>
          <rPr>
            <sz val="8"/>
            <color indexed="81"/>
            <rFont val="Tahoma"/>
            <family val="2"/>
          </rPr>
          <t xml:space="preserve">
4Q12 included $3mm of previously deferred fees
Also calendar shift impact</t>
        </r>
      </text>
    </comment>
    <comment ref="CB343" authorId="5">
      <text>
        <r>
          <rPr>
            <sz val="9"/>
            <color indexed="81"/>
            <rFont val="Tahoma"/>
            <family val="2"/>
          </rPr>
          <t>Due to higher RevPAR and new unit growth as well as favorable timing of fee recognition</t>
        </r>
      </text>
    </comment>
    <comment ref="CK343" authorId="1">
      <text>
        <r>
          <rPr>
            <b/>
            <sz val="9"/>
            <color indexed="81"/>
            <rFont val="Tahoma"/>
            <family val="2"/>
          </rPr>
          <t>Allen, Thomas (Research):</t>
        </r>
        <r>
          <rPr>
            <sz val="9"/>
            <color indexed="81"/>
            <rFont val="Tahoma"/>
            <family val="2"/>
          </rPr>
          <t xml:space="preserve">
$3m FX headwind, $2m benefit from recognition of deferred IMF</t>
        </r>
      </text>
    </comment>
    <comment ref="CP346" authorId="2">
      <text>
        <r>
          <rPr>
            <b/>
            <sz val="9"/>
            <color indexed="81"/>
            <rFont val="Tahoma"/>
            <family val="2"/>
          </rPr>
          <t>Savino, Mark (Research):</t>
        </r>
        <r>
          <rPr>
            <sz val="9"/>
            <color indexed="81"/>
            <rFont val="Tahoma"/>
            <family val="2"/>
          </rPr>
          <t xml:space="preserve">
1Q17: $17m better than expected with $10m coming from NA full service and $7m from APAC; expect $5m of outperformance to be reversed in 2Q-4Q</t>
        </r>
      </text>
    </comment>
    <comment ref="CT346" authorId="30">
      <text>
        <r>
          <rPr>
            <sz val="9"/>
            <color indexed="81"/>
            <rFont val="Tahoma"/>
            <family val="2"/>
          </rPr>
          <t>Guidance: 
Legacy MAR: $445-510 million (as per Analyst meeting 9/8/14)</t>
        </r>
      </text>
    </comment>
    <comment ref="CZ346" authorId="1">
      <text>
        <r>
          <rPr>
            <b/>
            <sz val="9"/>
            <color indexed="81"/>
            <rFont val="Tahoma"/>
            <family val="2"/>
          </rPr>
          <t>Allen, Thomas (Research):</t>
        </r>
        <r>
          <rPr>
            <sz val="9"/>
            <color indexed="81"/>
            <rFont val="Tahoma"/>
            <family val="2"/>
          </rPr>
          <t xml:space="preserve">
3/21/17: 3-yr plan estimate $665-705m, incl. $60-65m from new hotels</t>
        </r>
      </text>
    </comment>
    <comment ref="BM347" authorId="9">
      <text>
        <r>
          <rPr>
            <b/>
            <sz val="8"/>
            <color indexed="81"/>
            <rFont val="Tahoma"/>
            <family val="2"/>
          </rPr>
          <t>DJF:</t>
        </r>
        <r>
          <rPr>
            <sz val="8"/>
            <color indexed="81"/>
            <rFont val="Tahoma"/>
            <family val="2"/>
          </rPr>
          <t xml:space="preserve">
Per CC, ex. Middle East, Japan, and Washington DC, incentive fees were up 22% YoY</t>
        </r>
      </text>
    </comment>
    <comment ref="BQ347" authorId="9">
      <text>
        <r>
          <rPr>
            <b/>
            <sz val="8"/>
            <color indexed="81"/>
            <rFont val="Tahoma"/>
            <family val="2"/>
          </rPr>
          <t>danfuss:</t>
        </r>
        <r>
          <rPr>
            <sz val="8"/>
            <color indexed="81"/>
            <rFont val="Tahoma"/>
            <family val="2"/>
          </rPr>
          <t xml:space="preserve">
Easier comps due to ME and Japan</t>
        </r>
      </text>
    </comment>
    <comment ref="BR347" authorId="9">
      <text>
        <r>
          <rPr>
            <b/>
            <sz val="8"/>
            <color indexed="81"/>
            <rFont val="Tahoma"/>
            <family val="2"/>
          </rPr>
          <t>danfuss:</t>
        </r>
        <r>
          <rPr>
            <sz val="8"/>
            <color indexed="81"/>
            <rFont val="Tahoma"/>
            <family val="2"/>
          </rPr>
          <t xml:space="preserve">
Easier comps due to ME and Japan</t>
        </r>
      </text>
    </comment>
    <comment ref="BT347" authorId="7">
      <text>
        <r>
          <rPr>
            <b/>
            <sz val="8"/>
            <color indexed="81"/>
            <rFont val="Tahoma"/>
            <family val="2"/>
          </rPr>
          <t>thallen:</t>
        </r>
        <r>
          <rPr>
            <sz val="8"/>
            <color indexed="81"/>
            <rFont val="Tahoma"/>
            <family val="2"/>
          </rPr>
          <t xml:space="preserve">
NA incentive fee +32%</t>
        </r>
      </text>
    </comment>
    <comment ref="BU347" authorId="9">
      <text>
        <r>
          <rPr>
            <b/>
            <sz val="8"/>
            <color indexed="81"/>
            <rFont val="Tahoma"/>
            <family val="2"/>
          </rPr>
          <t>DJF:</t>
        </r>
        <r>
          <rPr>
            <sz val="8"/>
            <color indexed="81"/>
            <rFont val="Tahoma"/>
            <family val="2"/>
          </rPr>
          <t xml:space="preserve">
2004-2007 Recovery averaged high 30% Incentive fee growth.
We use '04 -'07 as a guide.  Due to continued pressure in certain areas of MAR's portfolio (ME and DC), and an '01 - '03 decline that was equally as devastating to incentive fees as '08 to '09, we model slightly lower than '04 -'07 in '12 and '13.</t>
        </r>
      </text>
    </comment>
    <comment ref="BZ347" authorId="7">
      <text>
        <r>
          <rPr>
            <b/>
            <sz val="8"/>
            <color indexed="81"/>
            <rFont val="Tahoma"/>
            <family val="2"/>
          </rPr>
          <t>thallen:</t>
        </r>
        <r>
          <rPr>
            <sz val="8"/>
            <color indexed="81"/>
            <rFont val="Tahoma"/>
            <family val="2"/>
          </rPr>
          <t xml:space="preserve">
Guidance (from 4Q12 call): +10-18%
per 1Q13 call, expect mid-teens growth
per 2Q13 follow up call, still expecting mid teens growth
per 3Q13 call, strong performance at hotels in NY, Boston, San Antonio, and New Orleans should drive full year IMF growth of ~10%</t>
        </r>
      </text>
    </comment>
    <comment ref="CE347" authorId="1">
      <text>
        <r>
          <rPr>
            <sz val="9"/>
            <color indexed="81"/>
            <rFont val="Tahoma"/>
            <family val="2"/>
          </rPr>
          <t>2Q14: Management guided incentive fee to grow at high teens rate for 2014</t>
        </r>
        <r>
          <rPr>
            <b/>
            <sz val="9"/>
            <color indexed="81"/>
            <rFont val="Tahoma"/>
            <family val="2"/>
          </rPr>
          <t xml:space="preserve"> 
</t>
        </r>
        <r>
          <rPr>
            <sz val="9"/>
            <color indexed="81"/>
            <rFont val="Tahoma"/>
            <family val="2"/>
          </rPr>
          <t xml:space="preserve">
Mgmt guidance: Low double digits</t>
        </r>
      </text>
    </comment>
    <comment ref="CG347" authorId="5">
      <text>
        <r>
          <rPr>
            <b/>
            <sz val="9"/>
            <color indexed="81"/>
            <rFont val="Tahoma"/>
            <family val="2"/>
          </rPr>
          <t>2Q15:</t>
        </r>
        <r>
          <rPr>
            <sz val="9"/>
            <color indexed="81"/>
            <rFont val="Tahoma"/>
            <family val="2"/>
          </rPr>
          <t xml:space="preserve">
As expected, incentive fees were flat in the quarter, reflecting roughly $5 million of lower incentive fees from a few full-service hotels under renovation, a $2 million lower fee due to a shift in timing of fee recognition at one resort, and a $4 million negative impact from foreign exchange. Incentive fees were also constrained by weak results in South Korea and Hong Kong.</t>
        </r>
      </text>
    </comment>
    <comment ref="CH347" authorId="5">
      <text>
        <r>
          <rPr>
            <b/>
            <sz val="9"/>
            <color indexed="81"/>
            <rFont val="Tahoma"/>
            <family val="2"/>
          </rPr>
          <t>2Q15:</t>
        </r>
        <r>
          <rPr>
            <sz val="9"/>
            <color indexed="81"/>
            <rFont val="Tahoma"/>
            <family val="2"/>
          </rPr>
          <t xml:space="preserve">
Low teens</t>
        </r>
      </text>
    </comment>
    <comment ref="CJ347" authorId="5">
      <text>
        <r>
          <rPr>
            <b/>
            <sz val="9"/>
            <color indexed="81"/>
            <rFont val="Tahoma"/>
            <family val="2"/>
          </rPr>
          <t xml:space="preserve">Guidance:
</t>
        </r>
        <r>
          <rPr>
            <sz val="9"/>
            <color indexed="81"/>
            <rFont val="Tahoma"/>
            <family val="2"/>
          </rPr>
          <t>2Q15: low teen rates (FX and less IMFs from hotels in HK and South Korea)</t>
        </r>
        <r>
          <rPr>
            <b/>
            <sz val="9"/>
            <color indexed="81"/>
            <rFont val="Tahoma"/>
            <family val="2"/>
          </rPr>
          <t xml:space="preserve">
</t>
        </r>
        <r>
          <rPr>
            <sz val="9"/>
            <color indexed="81"/>
            <rFont val="Tahoma"/>
            <family val="2"/>
          </rPr>
          <t>1Q15: mid-teen rates (but we expect FX to be more of a headwind)</t>
        </r>
        <r>
          <rPr>
            <b/>
            <sz val="9"/>
            <color indexed="81"/>
            <rFont val="Tahoma"/>
            <family val="2"/>
          </rPr>
          <t xml:space="preserve">
</t>
        </r>
        <r>
          <rPr>
            <sz val="9"/>
            <color indexed="81"/>
            <rFont val="Tahoma"/>
            <family val="2"/>
          </rPr>
          <t>4Q14: low double digits
But MS reflects stronger FX headwinds</t>
        </r>
      </text>
    </comment>
    <comment ref="CO347" authorId="2">
      <text>
        <r>
          <rPr>
            <b/>
            <sz val="9"/>
            <color indexed="81"/>
            <rFont val="Tahoma"/>
            <family val="2"/>
          </rPr>
          <t>Savino, Mark (Research):</t>
        </r>
        <r>
          <rPr>
            <sz val="9"/>
            <color indexed="81"/>
            <rFont val="Tahoma"/>
            <family val="2"/>
          </rPr>
          <t xml:space="preserve">
1Q16: +10-15%, including $9m unfavorable FX
4Q15: +10-15%, including $9m unfavorable FX</t>
        </r>
      </text>
    </comment>
    <comment ref="CP347" authorId="2">
      <text>
        <r>
          <rPr>
            <b/>
            <sz val="9"/>
            <color indexed="81"/>
            <rFont val="Tahoma"/>
            <family val="2"/>
          </rPr>
          <t>Savino, Mark (Research):</t>
        </r>
        <r>
          <rPr>
            <sz val="9"/>
            <color indexed="81"/>
            <rFont val="Tahoma"/>
            <family val="2"/>
          </rPr>
          <t xml:space="preserve">
4Q16: Impact of deferred fees recognized in 1Q16 and renovations</t>
        </r>
      </text>
    </comment>
    <comment ref="CQ347" authorId="2">
      <text>
        <r>
          <rPr>
            <b/>
            <sz val="9"/>
            <color indexed="81"/>
            <rFont val="Tahoma"/>
            <family val="2"/>
          </rPr>
          <t>Savino, Mark (Research):</t>
        </r>
        <r>
          <rPr>
            <sz val="9"/>
            <color indexed="81"/>
            <rFont val="Tahoma"/>
            <family val="2"/>
          </rPr>
          <t xml:space="preserve">
1Q17: IMFs will be constrained by renovations and unfavorable FX, expect to be flattish</t>
        </r>
      </text>
    </comment>
    <comment ref="CR347" authorId="2">
      <text>
        <r>
          <rPr>
            <b/>
            <sz val="9"/>
            <color indexed="81"/>
            <rFont val="Tahoma"/>
            <family val="2"/>
          </rPr>
          <t>Savino, Mark (Research):</t>
        </r>
        <r>
          <rPr>
            <sz val="9"/>
            <color indexed="81"/>
            <rFont val="Tahoma"/>
            <family val="2"/>
          </rPr>
          <t xml:space="preserve">
2Q17 call: Flattish IMFs</t>
        </r>
      </text>
    </comment>
    <comment ref="CT347" authorId="1">
      <text>
        <r>
          <rPr>
            <b/>
            <sz val="9"/>
            <color indexed="81"/>
            <rFont val="Tahoma"/>
            <family val="2"/>
          </rPr>
          <t>Allen, Thomas (Research):</t>
        </r>
        <r>
          <rPr>
            <sz val="9"/>
            <color indexed="81"/>
            <rFont val="Tahoma"/>
            <family val="2"/>
          </rPr>
          <t xml:space="preserve">
2Q17: MSD growth
1Q17: Up mid-single digits
3/21/17: 80bps FX headwind on IMFs
4Q16: Roughly flat y/y due to renovations and $15m of unfavorable FX
2/3 of IMFs from outside the US, so should be more correlated to other fees, but risk that it's also more centered around major gateway markets like NYC, and the Middle East</t>
        </r>
      </text>
    </comment>
    <comment ref="CY347" authorId="1">
      <text>
        <r>
          <rPr>
            <b/>
            <sz val="9"/>
            <color indexed="81"/>
            <rFont val="Tahoma"/>
            <family val="2"/>
          </rPr>
          <t>Allen, Thomas (Research):</t>
        </r>
        <r>
          <rPr>
            <sz val="9"/>
            <color indexed="81"/>
            <rFont val="Tahoma"/>
            <family val="2"/>
          </rPr>
          <t xml:space="preserve">
4Q17: Up low-single digits
Assumes no FX headwinds and rebounding off renos in 2017</t>
        </r>
      </text>
    </comment>
    <comment ref="BV349" authorId="12">
      <text>
        <r>
          <rPr>
            <b/>
            <sz val="8"/>
            <color indexed="81"/>
            <rFont val="Tahoma"/>
            <family val="2"/>
          </rPr>
          <t>jills:</t>
        </r>
        <r>
          <rPr>
            <sz val="8"/>
            <color indexed="81"/>
            <rFont val="Tahoma"/>
            <family val="2"/>
          </rPr>
          <t xml:space="preserve">
approximately 1/3 of full-service managed hotels paid incentive fees vs. 25% in 1Q12</t>
        </r>
      </text>
    </comment>
    <comment ref="BX349" authorId="12">
      <text>
        <r>
          <rPr>
            <b/>
            <sz val="8"/>
            <color indexed="81"/>
            <rFont val="Tahoma"/>
            <family val="2"/>
          </rPr>
          <t>jills:</t>
        </r>
        <r>
          <rPr>
            <sz val="8"/>
            <color indexed="81"/>
            <rFont val="Tahoma"/>
            <family val="2"/>
          </rPr>
          <t xml:space="preserve">
16% of hotels domestically paid IMFs in 3Q13 vs. 12% in 3Q12; Courtyard portfolio is about 120 hotels with a pooled formula which is keeping total % down right now</t>
        </r>
      </text>
    </comment>
    <comment ref="CB349" authorId="1">
      <text>
        <r>
          <rPr>
            <b/>
            <sz val="9"/>
            <color indexed="81"/>
            <rFont val="Tahoma"/>
            <family val="2"/>
          </rPr>
          <t>Allen, Thomas (Research):</t>
        </r>
        <r>
          <rPr>
            <sz val="9"/>
            <color indexed="81"/>
            <rFont val="Tahoma"/>
            <family val="2"/>
          </rPr>
          <t xml:space="preserve">
2/3 of int'l hotels paying, same as last year but have more int'l hotels</t>
        </r>
      </text>
    </comment>
    <comment ref="CC349" authorId="5">
      <text>
        <r>
          <rPr>
            <b/>
            <sz val="9"/>
            <color indexed="81"/>
            <rFont val="Tahoma"/>
            <family val="2"/>
          </rPr>
          <t>3Q14:</t>
        </r>
        <r>
          <rPr>
            <sz val="9"/>
            <color indexed="81"/>
            <rFont val="Tahoma"/>
            <family val="2"/>
          </rPr>
          <t xml:space="preserve">
In the third quarter, 51 percent of worldwide company-managed hotels earned incentive management fees compared to 32 percent in the year-ago quarter.
</t>
        </r>
      </text>
    </comment>
    <comment ref="CK349" authorId="1">
      <text>
        <r>
          <rPr>
            <b/>
            <sz val="9"/>
            <color indexed="81"/>
            <rFont val="Tahoma"/>
            <family val="2"/>
          </rPr>
          <t>Allen, Thomas (Research):</t>
        </r>
        <r>
          <rPr>
            <sz val="9"/>
            <color indexed="81"/>
            <rFont val="Tahoma"/>
            <family val="2"/>
          </rPr>
          <t xml:space="preserve">
Big US SS portfolio kicked in vs. year ago</t>
        </r>
      </text>
    </comment>
    <comment ref="AD364" authorId="14">
      <text>
        <r>
          <rPr>
            <b/>
            <sz val="8"/>
            <color indexed="8"/>
            <rFont val="Tahoma"/>
            <family val="2"/>
          </rPr>
          <t>Celeste Mellet Brown:</t>
        </r>
        <r>
          <rPr>
            <sz val="8"/>
            <color indexed="8"/>
            <rFont val="Tahoma"/>
            <family val="2"/>
          </rPr>
          <t xml:space="preserve">
Very easy comps due to SARs &amp; Iraq war in 2Q03</t>
        </r>
      </text>
    </comment>
    <comment ref="BB364" authorId="0">
      <text>
        <r>
          <rPr>
            <b/>
            <sz val="8"/>
            <color indexed="81"/>
            <rFont val="Tahoma"/>
            <family val="2"/>
          </rPr>
          <t>DJF 3/22/12:</t>
        </r>
        <r>
          <rPr>
            <sz val="8"/>
            <color indexed="81"/>
            <rFont val="Tahoma"/>
            <family val="2"/>
          </rPr>
          <t xml:space="preserve">
Higher due to intorduction of Autograph Collection brand</t>
        </r>
      </text>
    </comment>
    <comment ref="BQ364" authorId="0">
      <text>
        <r>
          <rPr>
            <b/>
            <sz val="8"/>
            <color indexed="81"/>
            <rFont val="Tahoma"/>
            <family val="2"/>
          </rPr>
          <t>DJF 3/22/12:</t>
        </r>
        <r>
          <rPr>
            <sz val="8"/>
            <color indexed="81"/>
            <rFont val="Tahoma"/>
            <family val="2"/>
          </rPr>
          <t xml:space="preserve">
Higher due to intorduction of Autograph Collection brand</t>
        </r>
      </text>
    </comment>
    <comment ref="CN364" authorId="2">
      <text>
        <r>
          <rPr>
            <b/>
            <sz val="9"/>
            <color indexed="81"/>
            <rFont val="Tahoma"/>
            <family val="2"/>
          </rPr>
          <t>Savino, Mark (Research):</t>
        </r>
        <r>
          <rPr>
            <sz val="9"/>
            <color indexed="81"/>
            <rFont val="Tahoma"/>
            <family val="2"/>
          </rPr>
          <t xml:space="preserve">
Organic</t>
        </r>
      </text>
    </comment>
    <comment ref="CP364" authorId="2">
      <text>
        <r>
          <rPr>
            <b/>
            <sz val="9"/>
            <color indexed="81"/>
            <rFont val="Tahoma"/>
            <family val="2"/>
          </rPr>
          <t>Savino, Mark (Research):</t>
        </r>
        <r>
          <rPr>
            <sz val="9"/>
            <color indexed="81"/>
            <rFont val="Tahoma"/>
            <family val="2"/>
          </rPr>
          <t xml:space="preserve">
Organic</t>
        </r>
      </text>
    </comment>
    <comment ref="CQ364" authorId="2">
      <text>
        <r>
          <rPr>
            <b/>
            <sz val="9"/>
            <color indexed="81"/>
            <rFont val="Tahoma"/>
            <family val="2"/>
          </rPr>
          <t>Savino, Mark (Research):</t>
        </r>
        <r>
          <rPr>
            <sz val="9"/>
            <color indexed="81"/>
            <rFont val="Tahoma"/>
            <family val="2"/>
          </rPr>
          <t xml:space="preserve">
Organic</t>
        </r>
      </text>
    </comment>
    <comment ref="CR364" authorId="2">
      <text>
        <r>
          <rPr>
            <b/>
            <sz val="9"/>
            <color indexed="81"/>
            <rFont val="Tahoma"/>
            <family val="2"/>
          </rPr>
          <t>Savino, Mark (Research):</t>
        </r>
        <r>
          <rPr>
            <sz val="9"/>
            <color indexed="81"/>
            <rFont val="Tahoma"/>
            <family val="2"/>
          </rPr>
          <t xml:space="preserve">
Organic</t>
        </r>
      </text>
    </comment>
    <comment ref="CY364" authorId="1">
      <text>
        <r>
          <rPr>
            <b/>
            <sz val="9"/>
            <color indexed="81"/>
            <rFont val="Tahoma"/>
            <family val="2"/>
          </rPr>
          <t>Allen, Thomas (Research):</t>
        </r>
        <r>
          <rPr>
            <sz val="9"/>
            <color indexed="81"/>
            <rFont val="Tahoma"/>
            <family val="2"/>
          </rPr>
          <t xml:space="preserve">
4Q17: Per mgmt, $120-140m of incremental CC fees
Believe $190m all-in but won't get the benefit of the lift of MAR's share increasing of system benefit until integrate 2 programs, so 2019
3% drag from revenue recognition changes</t>
        </r>
      </text>
    </comment>
    <comment ref="CZ364" authorId="1">
      <text>
        <r>
          <rPr>
            <b/>
            <sz val="9"/>
            <color indexed="81"/>
            <rFont val="Tahoma"/>
            <family val="2"/>
          </rPr>
          <t>Allen, Thomas (Research):</t>
        </r>
        <r>
          <rPr>
            <sz val="9"/>
            <color indexed="81"/>
            <rFont val="Tahoma"/>
            <family val="2"/>
          </rPr>
          <t xml:space="preserve">
$50m lift from credit card program from increasing MAR's share of system benefit</t>
        </r>
      </text>
    </comment>
    <comment ref="A372" authorId="0">
      <text>
        <r>
          <rPr>
            <b/>
            <sz val="8"/>
            <color indexed="81"/>
            <rFont val="Tahoma"/>
            <family val="2"/>
          </rPr>
          <t>DJF 3/22/12:</t>
        </r>
        <r>
          <rPr>
            <sz val="8"/>
            <color indexed="81"/>
            <rFont val="Tahoma"/>
            <family val="2"/>
          </rPr>
          <t xml:space="preserve">
Assume equal to amount of timeshare restatement
In 10-Qs Certain guarantees and commitments relating to the timeshare business</t>
        </r>
      </text>
    </comment>
    <comment ref="BQ372" authorId="31">
      <text>
        <r>
          <rPr>
            <b/>
            <sz val="8"/>
            <color indexed="81"/>
            <rFont val="Tahoma"/>
            <family val="2"/>
          </rPr>
          <t>stramark:</t>
        </r>
        <r>
          <rPr>
            <sz val="8"/>
            <color indexed="81"/>
            <rFont val="Tahoma"/>
            <family val="2"/>
          </rPr>
          <t xml:space="preserve">
Plug, assume flat y/y</t>
        </r>
      </text>
    </comment>
    <comment ref="BY372" authorId="12">
      <text>
        <r>
          <rPr>
            <b/>
            <sz val="8"/>
            <color indexed="81"/>
            <rFont val="Tahoma"/>
            <family val="2"/>
          </rPr>
          <t>jills:</t>
        </r>
        <r>
          <rPr>
            <sz val="8"/>
            <color indexed="81"/>
            <rFont val="Tahoma"/>
            <family val="2"/>
          </rPr>
          <t xml:space="preserve">
calendar shift</t>
        </r>
      </text>
    </comment>
    <comment ref="BZ372" authorId="7">
      <text>
        <r>
          <rPr>
            <b/>
            <sz val="8"/>
            <color indexed="81"/>
            <rFont val="Tahoma"/>
            <family val="2"/>
          </rPr>
          <t>thallen:</t>
        </r>
        <r>
          <rPr>
            <sz val="8"/>
            <color indexed="81"/>
            <rFont val="Tahoma"/>
            <family val="2"/>
          </rPr>
          <t xml:space="preserve">
Unrelated to RevPAR but should increase modestly (per 4Q12 call)</t>
        </r>
      </text>
    </comment>
    <comment ref="CK372" authorId="1">
      <text>
        <r>
          <rPr>
            <b/>
            <sz val="9"/>
            <color indexed="81"/>
            <rFont val="Tahoma"/>
            <family val="2"/>
          </rPr>
          <t>Allen, Thomas (Research):</t>
        </r>
        <r>
          <rPr>
            <sz val="9"/>
            <color indexed="81"/>
            <rFont val="Tahoma"/>
            <family val="2"/>
          </rPr>
          <t xml:space="preserve">
$2m FX hit</t>
        </r>
      </text>
    </comment>
    <comment ref="DD372" authorId="0">
      <text>
        <r>
          <rPr>
            <b/>
            <sz val="8"/>
            <color indexed="81"/>
            <rFont val="Tahoma"/>
            <family val="2"/>
          </rPr>
          <t>DJF 3/22/12:</t>
        </r>
        <r>
          <rPr>
            <sz val="8"/>
            <color indexed="81"/>
            <rFont val="Tahoma"/>
            <family val="2"/>
          </rPr>
          <t xml:space="preserve">
Assume equal to amount of timeshare restatement</t>
        </r>
      </text>
    </comment>
    <comment ref="CH373" authorId="5">
      <text>
        <r>
          <rPr>
            <b/>
            <sz val="9"/>
            <color indexed="81"/>
            <rFont val="Tahoma"/>
            <family val="2"/>
          </rPr>
          <t>Chaudhry, Baset A (Research):</t>
        </r>
        <r>
          <rPr>
            <sz val="9"/>
            <color indexed="81"/>
            <rFont val="Tahoma"/>
            <family val="2"/>
          </rPr>
          <t xml:space="preserve">
</t>
        </r>
        <r>
          <rPr>
            <b/>
            <u/>
            <sz val="9"/>
            <color indexed="81"/>
            <rFont val="Tahoma"/>
            <family val="2"/>
          </rPr>
          <t>2Q15:</t>
        </r>
        <r>
          <rPr>
            <sz val="9"/>
            <color indexed="81"/>
            <rFont val="Tahoma"/>
            <family val="2"/>
          </rPr>
          <t xml:space="preserve"> 3Q14 included $15 million of recognized deferred base fees and $9 million of franchise re-licensing fees
</t>
        </r>
      </text>
    </comment>
    <comment ref="A374" authorId="0">
      <text>
        <r>
          <rPr>
            <b/>
            <sz val="8"/>
            <color indexed="81"/>
            <rFont val="Tahoma"/>
            <family val="2"/>
          </rPr>
          <t>DJF 3/22/12:</t>
        </r>
        <r>
          <rPr>
            <sz val="8"/>
            <color indexed="81"/>
            <rFont val="Tahoma"/>
            <family val="2"/>
          </rPr>
          <t xml:space="preserve">
Restated with TS spinoff.  Includes timeshare royalty fees.</t>
        </r>
      </text>
    </comment>
    <comment ref="BG374" authorId="29">
      <text>
        <r>
          <rPr>
            <b/>
            <sz val="8"/>
            <color indexed="81"/>
            <rFont val="Tahoma"/>
            <family val="2"/>
          </rPr>
          <t>DJF 3/22/12:</t>
        </r>
        <r>
          <rPr>
            <sz val="8"/>
            <color indexed="81"/>
            <rFont val="Tahoma"/>
            <family val="2"/>
          </rPr>
          <t xml:space="preserve">
Restatements begin in 1Q10</t>
        </r>
      </text>
    </comment>
    <comment ref="CB374" authorId="5">
      <text>
        <r>
          <rPr>
            <sz val="9"/>
            <color indexed="81"/>
            <rFont val="Tahoma"/>
            <family val="2"/>
          </rPr>
          <t>Due to higher RevPAR and new unit growth</t>
        </r>
      </text>
    </comment>
    <comment ref="DD374" authorId="0">
      <text>
        <r>
          <rPr>
            <b/>
            <sz val="8"/>
            <color indexed="81"/>
            <rFont val="Tahoma"/>
            <family val="2"/>
          </rPr>
          <t>DJF 3/22/12:</t>
        </r>
        <r>
          <rPr>
            <sz val="8"/>
            <color indexed="81"/>
            <rFont val="Tahoma"/>
            <family val="2"/>
          </rPr>
          <t xml:space="preserve">
Restated with TS spinoff.  Includes timeshare royalty fees.</t>
        </r>
      </text>
    </comment>
    <comment ref="CF375" authorId="2">
      <text>
        <r>
          <rPr>
            <b/>
            <sz val="9"/>
            <color indexed="81"/>
            <rFont val="Tahoma"/>
            <family val="2"/>
          </rPr>
          <t>Savino, Mark (Research):</t>
        </r>
        <r>
          <rPr>
            <sz val="9"/>
            <color indexed="81"/>
            <rFont val="Tahoma"/>
            <family val="2"/>
          </rPr>
          <t xml:space="preserve">
Restated</t>
        </r>
      </text>
    </comment>
    <comment ref="CP378" authorId="2">
      <text>
        <r>
          <rPr>
            <b/>
            <sz val="9"/>
            <color indexed="81"/>
            <rFont val="Tahoma"/>
            <family val="2"/>
          </rPr>
          <t>Savino, Mark (Research):</t>
        </r>
        <r>
          <rPr>
            <sz val="9"/>
            <color indexed="81"/>
            <rFont val="Tahoma"/>
            <family val="2"/>
          </rPr>
          <t xml:space="preserve">
4Q16: $6m headwind from FX and $7m from leap day, so $13m total. Assume $5m in base mgmt fees and $8m in franchise</t>
        </r>
      </text>
    </comment>
    <comment ref="CQ378" authorId="2">
      <text>
        <r>
          <rPr>
            <b/>
            <sz val="9"/>
            <color indexed="81"/>
            <rFont val="Tahoma"/>
            <family val="2"/>
          </rPr>
          <t>Savino, Mark (Research):</t>
        </r>
        <r>
          <rPr>
            <sz val="9"/>
            <color indexed="81"/>
            <rFont val="Tahoma"/>
            <family val="2"/>
          </rPr>
          <t xml:space="preserve">
4Q16: $6m headwind from FX and $7m from leap day, so $13m total. Assume $5m in base mgmt fees and $8m in franchise</t>
        </r>
      </text>
    </comment>
    <comment ref="CR378" authorId="2">
      <text>
        <r>
          <rPr>
            <b/>
            <sz val="9"/>
            <color indexed="81"/>
            <rFont val="Tahoma"/>
            <family val="2"/>
          </rPr>
          <t>Savino, Mark (Research):</t>
        </r>
        <r>
          <rPr>
            <sz val="9"/>
            <color indexed="81"/>
            <rFont val="Tahoma"/>
            <family val="2"/>
          </rPr>
          <t xml:space="preserve">
2Q17: $5m negative FX; assume $2m in mgmt and $3m in franchise</t>
        </r>
      </text>
    </comment>
    <comment ref="CS378" authorId="2">
      <text>
        <r>
          <rPr>
            <b/>
            <sz val="9"/>
            <color indexed="81"/>
            <rFont val="Tahoma"/>
            <family val="2"/>
          </rPr>
          <t>Savino, Mark (Research):</t>
        </r>
        <r>
          <rPr>
            <sz val="9"/>
            <color indexed="81"/>
            <rFont val="Tahoma"/>
            <family val="2"/>
          </rPr>
          <t xml:space="preserve">
2Q17: $5m negative FX; assume $2m in mgmt and $3m in franchise</t>
        </r>
      </text>
    </comment>
    <comment ref="CT378" authorId="2">
      <text>
        <r>
          <rPr>
            <b/>
            <sz val="9"/>
            <color indexed="81"/>
            <rFont val="Tahoma"/>
            <family val="2"/>
          </rPr>
          <t>Savino, Mark (Research):</t>
        </r>
        <r>
          <rPr>
            <sz val="9"/>
            <color indexed="81"/>
            <rFont val="Tahoma"/>
            <family val="2"/>
          </rPr>
          <t xml:space="preserve">
4Q16: $20-25m headwind from FX, assume $10m in base mgmt fees and $10-15m in franchise</t>
        </r>
      </text>
    </comment>
    <comment ref="CZ378" authorId="1">
      <text>
        <r>
          <rPr>
            <b/>
            <sz val="9"/>
            <color indexed="81"/>
            <rFont val="Tahoma"/>
            <family val="2"/>
          </rPr>
          <t>Allen, Thomas (Research):</t>
        </r>
        <r>
          <rPr>
            <sz val="9"/>
            <color indexed="81"/>
            <rFont val="Tahoma"/>
            <family val="2"/>
          </rPr>
          <t xml:space="preserve">
3/21/17: $1820-1905m, incl. $215-235m from new hotels
$450m of application, relicensing, CC, timeshare and branding fees (vs. $350m in 2016)
</t>
        </r>
      </text>
    </comment>
    <comment ref="CP379" authorId="2">
      <text>
        <r>
          <rPr>
            <b/>
            <sz val="9"/>
            <color indexed="81"/>
            <rFont val="Tahoma"/>
            <family val="2"/>
          </rPr>
          <t>Savino, Mark (Research):</t>
        </r>
        <r>
          <rPr>
            <sz val="9"/>
            <color indexed="81"/>
            <rFont val="Tahoma"/>
            <family val="2"/>
          </rPr>
          <t xml:space="preserve">
1Q17: Up 14% y/y
4Q16 press release: combined fee revenue should be flat y/y</t>
        </r>
      </text>
    </comment>
    <comment ref="CQ379" authorId="2">
      <text>
        <r>
          <rPr>
            <b/>
            <sz val="9"/>
            <color indexed="81"/>
            <rFont val="Tahoma"/>
            <family val="2"/>
          </rPr>
          <t>Savino, Mark (Research):</t>
        </r>
        <r>
          <rPr>
            <sz val="9"/>
            <color indexed="81"/>
            <rFont val="Tahoma"/>
            <family val="2"/>
          </rPr>
          <t xml:space="preserve">
4Q16: Full year fee revenue expected to increase from $350 to $400m, implies 14% growth for the full year, so ~20% growth 2Q-4Q</t>
        </r>
      </text>
    </comment>
    <comment ref="CR379" authorId="2">
      <text>
        <r>
          <rPr>
            <b/>
            <sz val="9"/>
            <color indexed="81"/>
            <rFont val="Tahoma"/>
            <family val="2"/>
          </rPr>
          <t>Savino, Mark (Research):</t>
        </r>
        <r>
          <rPr>
            <sz val="9"/>
            <color indexed="81"/>
            <rFont val="Tahoma"/>
            <family val="2"/>
          </rPr>
          <t xml:space="preserve">
4Q16: Full year fee revenue expected to increase from $350 to $400m, implies 14% growth for the full year, so ~20% growth 2Q-4Q</t>
        </r>
      </text>
    </comment>
    <comment ref="CS379" authorId="2">
      <text>
        <r>
          <rPr>
            <b/>
            <sz val="9"/>
            <color indexed="81"/>
            <rFont val="Tahoma"/>
            <family val="2"/>
          </rPr>
          <t>Savino, Mark (Research):</t>
        </r>
        <r>
          <rPr>
            <sz val="9"/>
            <color indexed="81"/>
            <rFont val="Tahoma"/>
            <family val="2"/>
          </rPr>
          <t xml:space="preserve">
4Q16: Full year fee revenue expected to increase from $350 to $400m, implies 14% growth for the full year, so ~20% growth 2Q-4Q</t>
        </r>
      </text>
    </comment>
    <comment ref="CO381" authorId="1">
      <text>
        <r>
          <rPr>
            <b/>
            <sz val="9"/>
            <color indexed="81"/>
            <rFont val="Tahoma"/>
            <family val="2"/>
          </rPr>
          <t>Allen, Thomas (Research):</t>
        </r>
        <r>
          <rPr>
            <sz val="9"/>
            <color indexed="81"/>
            <rFont val="Tahoma"/>
            <family val="2"/>
          </rPr>
          <t xml:space="preserve">
Incl. $350m of other fees</t>
        </r>
      </text>
    </comment>
    <comment ref="CP381" authorId="2">
      <text>
        <r>
          <rPr>
            <b/>
            <sz val="9"/>
            <color indexed="81"/>
            <rFont val="Tahoma"/>
            <family val="2"/>
          </rPr>
          <t>Savino, Mark (Research):</t>
        </r>
        <r>
          <rPr>
            <sz val="9"/>
            <color indexed="81"/>
            <rFont val="Tahoma"/>
            <family val="2"/>
          </rPr>
          <t xml:space="preserve">
4Q16: $6m headwind from FX and $7m from leap day, so $13m total. Assume $5m in base mgmt fees and $8m in franchise</t>
        </r>
      </text>
    </comment>
    <comment ref="CK384" authorId="1">
      <text>
        <r>
          <rPr>
            <b/>
            <sz val="9"/>
            <color indexed="81"/>
            <rFont val="Tahoma"/>
            <family val="2"/>
          </rPr>
          <t>Allen, Thomas (Research):</t>
        </r>
        <r>
          <rPr>
            <sz val="9"/>
            <color indexed="81"/>
            <rFont val="Tahoma"/>
            <family val="2"/>
          </rPr>
          <t xml:space="preserve">
$15m lower re-licensing y/y, $2m FX impact</t>
        </r>
      </text>
    </comment>
    <comment ref="AT406" authorId="4">
      <text>
        <r>
          <rPr>
            <b/>
            <sz val="8"/>
            <color indexed="8"/>
            <rFont val="Tahoma"/>
            <family val="2"/>
          </rPr>
          <t>urbank:</t>
        </r>
        <r>
          <rPr>
            <sz val="9"/>
            <color indexed="8"/>
            <rFont val="Tahoma"/>
            <family val="2"/>
          </rPr>
          <t xml:space="preserve">
MAR Kuaui</t>
        </r>
      </text>
    </comment>
    <comment ref="AH417" authorId="16">
      <text>
        <r>
          <rPr>
            <b/>
            <sz val="8"/>
            <color indexed="8"/>
            <rFont val="Tahoma"/>
            <family val="2"/>
          </rPr>
          <t>Celeste Brown:</t>
        </r>
        <r>
          <rPr>
            <sz val="8"/>
            <color indexed="8"/>
            <rFont val="Tahoma"/>
            <family val="2"/>
          </rPr>
          <t xml:space="preserve">
lmited avail inventory at Ritzes, plus strong contract sales at Ritzes last yer</t>
        </r>
      </text>
    </comment>
    <comment ref="AI417" authorId="16">
      <text>
        <r>
          <rPr>
            <b/>
            <sz val="8"/>
            <color indexed="8"/>
            <rFont val="Tahoma"/>
            <family val="2"/>
          </rPr>
          <t>Celeste Brown:</t>
        </r>
        <r>
          <rPr>
            <sz val="8"/>
            <color indexed="8"/>
            <rFont val="Tahoma"/>
            <family val="2"/>
          </rPr>
          <t xml:space="preserve">
lmited avail inventory at Ritzes, plus strong contract sales at Ritzes last yer</t>
        </r>
      </text>
    </comment>
    <comment ref="AJ417" authorId="16">
      <text>
        <r>
          <rPr>
            <b/>
            <sz val="8"/>
            <color indexed="8"/>
            <rFont val="Tahoma"/>
            <family val="2"/>
          </rPr>
          <t>Celeste Brown:</t>
        </r>
        <r>
          <rPr>
            <sz val="8"/>
            <color indexed="8"/>
            <rFont val="Tahoma"/>
            <family val="2"/>
          </rPr>
          <t xml:space="preserve">
lmited avail inventory at Ritzes, plus strong contract sales at Ritzes last yer</t>
        </r>
      </text>
    </comment>
    <comment ref="AM417" authorId="4">
      <text>
        <r>
          <rPr>
            <b/>
            <sz val="8"/>
            <color indexed="8"/>
            <rFont val="Tahoma"/>
            <family val="2"/>
          </rPr>
          <t>urbank:</t>
        </r>
        <r>
          <rPr>
            <sz val="8"/>
            <color indexed="8"/>
            <rFont val="Tahoma"/>
            <family val="2"/>
          </rPr>
          <t xml:space="preserve">
11% decrease in TS intercal, frqactiona nd whole ownership sales and services revenue net of direct costs</t>
        </r>
      </text>
    </comment>
    <comment ref="AS417" authorId="16">
      <text>
        <r>
          <rPr>
            <b/>
            <sz val="10"/>
            <color indexed="8"/>
            <rFont val="Tahoma"/>
            <family val="2"/>
          </rPr>
          <t>Celeste Brown:</t>
        </r>
        <r>
          <rPr>
            <sz val="10"/>
            <color indexed="8"/>
            <rFont val="Tahoma"/>
            <family val="2"/>
          </rPr>
          <t xml:space="preserve">
Increased 5% excluding launch of certain projects last year</t>
        </r>
      </text>
    </comment>
    <comment ref="AU417" authorId="4">
      <text>
        <r>
          <rPr>
            <b/>
            <sz val="8"/>
            <color indexed="8"/>
            <rFont val="Tahoma"/>
            <family val="2"/>
          </rPr>
          <t>urbank:</t>
        </r>
        <r>
          <rPr>
            <sz val="9"/>
            <color indexed="8"/>
            <rFont val="Tahoma"/>
            <family val="2"/>
          </rPr>
          <t xml:space="preserve">
per 3Q Call</t>
        </r>
      </text>
    </comment>
    <comment ref="AW417" authorId="4">
      <text>
        <r>
          <rPr>
            <b/>
            <sz val="8"/>
            <color indexed="8"/>
            <rFont val="Tahoma"/>
            <family val="2"/>
          </rPr>
          <t>urbank:</t>
        </r>
        <r>
          <rPr>
            <sz val="9"/>
            <color indexed="8"/>
            <rFont val="Tahoma"/>
            <family val="2"/>
          </rPr>
          <t xml:space="preserve">
per 3Q Call</t>
        </r>
      </text>
    </comment>
    <comment ref="N436" authorId="14">
      <text>
        <r>
          <rPr>
            <b/>
            <sz val="8"/>
            <color indexed="8"/>
            <rFont val="Tahoma"/>
            <family val="2"/>
          </rPr>
          <t>Celeste Mellet Brown:</t>
        </r>
        <r>
          <rPr>
            <sz val="8"/>
            <color indexed="8"/>
            <rFont val="Tahoma"/>
            <family val="2"/>
          </rPr>
          <t xml:space="preserve">
includes $14mm of timeshare note sales</t>
        </r>
      </text>
    </comment>
    <comment ref="O436" authorId="14">
      <text>
        <r>
          <rPr>
            <b/>
            <sz val="8"/>
            <color indexed="8"/>
            <rFont val="Tahoma"/>
            <family val="2"/>
          </rPr>
          <t>Celeste Mellet Brown:</t>
        </r>
        <r>
          <rPr>
            <sz val="8"/>
            <color indexed="8"/>
            <rFont val="Tahoma"/>
            <family val="2"/>
          </rPr>
          <t xml:space="preserve">
includes $13mm of timeshare note sales</t>
        </r>
      </text>
    </comment>
    <comment ref="P436" authorId="14">
      <text>
        <r>
          <rPr>
            <b/>
            <sz val="8"/>
            <color indexed="8"/>
            <rFont val="Tahoma"/>
            <family val="2"/>
          </rPr>
          <t>Celeste Mellet Brown:</t>
        </r>
        <r>
          <rPr>
            <sz val="8"/>
            <color indexed="8"/>
            <rFont val="Tahoma"/>
            <family val="2"/>
          </rPr>
          <t xml:space="preserve">
includes $13mm of timeshare note sales</t>
        </r>
      </text>
    </comment>
    <comment ref="Q436" authorId="14">
      <text>
        <r>
          <rPr>
            <b/>
            <sz val="8"/>
            <color indexed="8"/>
            <rFont val="Tahoma"/>
            <family val="2"/>
          </rPr>
          <t>Celeste Mellet Brown:</t>
        </r>
        <r>
          <rPr>
            <sz val="8"/>
            <color indexed="8"/>
            <rFont val="Tahoma"/>
            <family val="2"/>
          </rPr>
          <t xml:space="preserve">
includes $1mm of timeshare note sales</t>
        </r>
      </text>
    </comment>
    <comment ref="A438" authorId="16">
      <text>
        <r>
          <rPr>
            <b/>
            <sz val="10"/>
            <color indexed="8"/>
            <rFont val="Tahoma"/>
            <family val="2"/>
          </rPr>
          <t>Celeste Brown:</t>
        </r>
        <r>
          <rPr>
            <sz val="10"/>
            <color indexed="8"/>
            <rFont val="Tahoma"/>
            <family val="2"/>
          </rPr>
          <t xml:space="preserve">
Includes base interest income of 13-13.5% on notes plus MAR's residual ownership of notess</t>
        </r>
      </text>
    </comment>
    <comment ref="DD438" authorId="16">
      <text>
        <r>
          <rPr>
            <b/>
            <sz val="10"/>
            <color indexed="8"/>
            <rFont val="Tahoma"/>
            <family val="2"/>
          </rPr>
          <t>Celeste Brown:</t>
        </r>
        <r>
          <rPr>
            <sz val="10"/>
            <color indexed="8"/>
            <rFont val="Tahoma"/>
            <family val="2"/>
          </rPr>
          <t xml:space="preserve">
Includes base interest income of 13-13.5% on notes plus MAR's residual ownership of notess</t>
        </r>
      </text>
    </comment>
    <comment ref="AN439" authorId="4">
      <text>
        <r>
          <rPr>
            <b/>
            <sz val="8"/>
            <color indexed="8"/>
            <rFont val="Tahoma"/>
            <family val="2"/>
          </rPr>
          <t>urbank:</t>
        </r>
        <r>
          <rPr>
            <sz val="8"/>
            <color indexed="8"/>
            <rFont val="Tahoma"/>
            <family val="2"/>
          </rPr>
          <t xml:space="preserve">
begin reporting TS note sale gains above line in 2006</t>
        </r>
      </text>
    </comment>
    <comment ref="AO439" authorId="4">
      <text>
        <r>
          <rPr>
            <b/>
            <sz val="8"/>
            <color indexed="8"/>
            <rFont val="Tahoma"/>
            <family val="2"/>
          </rPr>
          <t>urbank:</t>
        </r>
        <r>
          <rPr>
            <sz val="8"/>
            <color indexed="8"/>
            <rFont val="Tahoma"/>
            <family val="2"/>
          </rPr>
          <t xml:space="preserve">
begin reporting TS note sale gains above line in 2006</t>
        </r>
      </text>
    </comment>
    <comment ref="AP439" authorId="4">
      <text>
        <r>
          <rPr>
            <b/>
            <sz val="8"/>
            <color indexed="8"/>
            <rFont val="Tahoma"/>
            <family val="2"/>
          </rPr>
          <t>urbank:</t>
        </r>
        <r>
          <rPr>
            <sz val="8"/>
            <color indexed="8"/>
            <rFont val="Tahoma"/>
            <family val="2"/>
          </rPr>
          <t xml:space="preserve">
begin reporting TS note sale gains above line in 2006</t>
        </r>
      </text>
    </comment>
    <comment ref="AU439" authorId="4">
      <text>
        <r>
          <rPr>
            <b/>
            <sz val="8"/>
            <color indexed="8"/>
            <rFont val="Tahoma"/>
            <family val="2"/>
          </rPr>
          <t>per 4Q call</t>
        </r>
      </text>
    </comment>
    <comment ref="AX439" authorId="19">
      <text>
        <r>
          <rPr>
            <b/>
            <sz val="8"/>
            <color indexed="8"/>
            <rFont val="Tahoma"/>
            <family val="2"/>
          </rPr>
          <t>Ryan Meliker:</t>
        </r>
        <r>
          <rPr>
            <sz val="8"/>
            <color indexed="8"/>
            <rFont val="Tahoma"/>
            <family val="2"/>
          </rPr>
          <t xml:space="preserve">
per 6/10/08 SEC Filiing</t>
        </r>
      </text>
    </comment>
    <comment ref="AZ440" authorId="17">
      <text>
        <r>
          <rPr>
            <b/>
            <sz val="8"/>
            <color indexed="8"/>
            <rFont val="Tahoma"/>
            <family val="2"/>
          </rPr>
          <t>ryanmel:</t>
        </r>
        <r>
          <rPr>
            <sz val="8"/>
            <color indexed="8"/>
            <rFont val="Tahoma"/>
            <family val="2"/>
          </rPr>
          <t xml:space="preserve">
adjusted for restructuring costs</t>
        </r>
      </text>
    </comment>
    <comment ref="BB440" authorId="17">
      <text>
        <r>
          <rPr>
            <b/>
            <sz val="8"/>
            <color indexed="8"/>
            <rFont val="Tahoma"/>
            <family val="2"/>
          </rPr>
          <t>ryanmel:</t>
        </r>
        <r>
          <rPr>
            <sz val="8"/>
            <color indexed="8"/>
            <rFont val="Tahoma"/>
            <family val="2"/>
          </rPr>
          <t xml:space="preserve">
adjusted for restructuring costs</t>
        </r>
      </text>
    </comment>
    <comment ref="BC440" authorId="17">
      <text>
        <r>
          <rPr>
            <b/>
            <sz val="8"/>
            <color indexed="8"/>
            <rFont val="Tahoma"/>
            <family val="2"/>
          </rPr>
          <t>ryanmel:</t>
        </r>
        <r>
          <rPr>
            <sz val="8"/>
            <color indexed="8"/>
            <rFont val="Tahoma"/>
            <family val="2"/>
          </rPr>
          <t xml:space="preserve">
adjusted for restructuring costs</t>
        </r>
      </text>
    </comment>
    <comment ref="AZ441" authorId="17">
      <text>
        <r>
          <rPr>
            <b/>
            <sz val="8"/>
            <color indexed="8"/>
            <rFont val="Tahoma"/>
            <family val="2"/>
          </rPr>
          <t>ryanmel:</t>
        </r>
        <r>
          <rPr>
            <sz val="8"/>
            <color indexed="8"/>
            <rFont val="Tahoma"/>
            <family val="2"/>
          </rPr>
          <t xml:space="preserve">
adjusted for restructuring costs</t>
        </r>
      </text>
    </comment>
    <comment ref="BB441" authorId="17">
      <text>
        <r>
          <rPr>
            <b/>
            <sz val="8"/>
            <color indexed="8"/>
            <rFont val="Tahoma"/>
            <family val="2"/>
          </rPr>
          <t>ryanmel:</t>
        </r>
        <r>
          <rPr>
            <sz val="8"/>
            <color indexed="8"/>
            <rFont val="Tahoma"/>
            <family val="2"/>
          </rPr>
          <t xml:space="preserve">
adjusted for restructuring costs</t>
        </r>
      </text>
    </comment>
    <comment ref="AB450" authorId="16">
      <text>
        <r>
          <rPr>
            <b/>
            <sz val="10"/>
            <color indexed="8"/>
            <rFont val="Tahoma"/>
            <family val="2"/>
          </rPr>
          <t>Celeste Brown:</t>
        </r>
        <r>
          <rPr>
            <sz val="10"/>
            <color indexed="8"/>
            <rFont val="Tahoma"/>
            <family val="2"/>
          </rPr>
          <t xml:space="preserve">
TS Segment Financing profit of $64mm per TS investor day</t>
        </r>
      </text>
    </comment>
    <comment ref="AG450" authorId="16">
      <text>
        <r>
          <rPr>
            <b/>
            <sz val="10"/>
            <color indexed="8"/>
            <rFont val="Tahoma"/>
            <family val="2"/>
          </rPr>
          <t>Celeste Brown:</t>
        </r>
        <r>
          <rPr>
            <sz val="10"/>
            <color indexed="8"/>
            <rFont val="Tahoma"/>
            <family val="2"/>
          </rPr>
          <t xml:space="preserve">
TS Segment Financing profit of $88mm per TS investor day</t>
        </r>
      </text>
    </comment>
    <comment ref="AL450" authorId="16">
      <text>
        <r>
          <rPr>
            <b/>
            <sz val="10"/>
            <color indexed="8"/>
            <rFont val="Tahoma"/>
            <family val="2"/>
          </rPr>
          <t>Celeste Brown:</t>
        </r>
        <r>
          <rPr>
            <sz val="10"/>
            <color indexed="8"/>
            <rFont val="Tahoma"/>
            <family val="2"/>
          </rPr>
          <t xml:space="preserve">
TS Segment Financing profit of $108mm per TS investor day</t>
        </r>
      </text>
    </comment>
    <comment ref="AQ450" authorId="16">
      <text>
        <r>
          <rPr>
            <b/>
            <sz val="10"/>
            <color indexed="8"/>
            <rFont val="Tahoma"/>
            <family val="2"/>
          </rPr>
          <t>Celeste Brown:</t>
        </r>
        <r>
          <rPr>
            <sz val="10"/>
            <color indexed="8"/>
            <rFont val="Tahoma"/>
            <family val="2"/>
          </rPr>
          <t xml:space="preserve">
TS Segment Financing profit of $129mm per TS investor day</t>
        </r>
      </text>
    </comment>
    <comment ref="AZ455" authorId="17">
      <text>
        <r>
          <rPr>
            <b/>
            <sz val="8"/>
            <color indexed="8"/>
            <rFont val="Tahoma"/>
            <family val="2"/>
          </rPr>
          <t>ryanmel:</t>
        </r>
        <r>
          <rPr>
            <sz val="8"/>
            <color indexed="8"/>
            <rFont val="Tahoma"/>
            <family val="2"/>
          </rPr>
          <t xml:space="preserve">
adjusted for $3mm in restructuring charges</t>
        </r>
      </text>
    </comment>
    <comment ref="A463" authorId="19">
      <text>
        <r>
          <rPr>
            <b/>
            <sz val="8"/>
            <color indexed="8"/>
            <rFont val="Tahoma"/>
            <family val="2"/>
          </rPr>
          <t>Ryan Meliker:</t>
        </r>
        <r>
          <rPr>
            <sz val="8"/>
            <color indexed="8"/>
            <rFont val="Tahoma"/>
            <family val="2"/>
          </rPr>
          <t xml:space="preserve">
ties to sales and serrvice net of direct expense guidance</t>
        </r>
      </text>
    </comment>
    <comment ref="AV463" authorId="9">
      <text>
        <r>
          <rPr>
            <b/>
            <sz val="8"/>
            <color indexed="81"/>
            <rFont val="Tahoma"/>
            <family val="2"/>
          </rPr>
          <t>danfuss:</t>
        </r>
        <r>
          <rPr>
            <sz val="8"/>
            <color indexed="81"/>
            <rFont val="Tahoma"/>
            <family val="2"/>
          </rPr>
          <t xml:space="preserve">
Guidance (2Q11): $205-215 mn</t>
        </r>
      </text>
    </comment>
    <comment ref="BA463" authorId="9">
      <text>
        <r>
          <rPr>
            <b/>
            <sz val="8"/>
            <color indexed="81"/>
            <rFont val="Tahoma"/>
            <family val="2"/>
          </rPr>
          <t>danfuss:</t>
        </r>
        <r>
          <rPr>
            <sz val="8"/>
            <color indexed="81"/>
            <rFont val="Tahoma"/>
            <family val="2"/>
          </rPr>
          <t xml:space="preserve">
Guidance (2Q11): $205-215 mn</t>
        </r>
      </text>
    </comment>
    <comment ref="BK463" authorId="9">
      <text>
        <r>
          <rPr>
            <b/>
            <sz val="8"/>
            <color indexed="81"/>
            <rFont val="Tahoma"/>
            <family val="2"/>
          </rPr>
          <t>danfuss:</t>
        </r>
        <r>
          <rPr>
            <sz val="8"/>
            <color indexed="81"/>
            <rFont val="Tahoma"/>
            <family val="2"/>
          </rPr>
          <t xml:space="preserve">
Guidance (2Q11): $205-215 mn</t>
        </r>
      </text>
    </comment>
    <comment ref="BP463" authorId="9">
      <text>
        <r>
          <rPr>
            <b/>
            <sz val="8"/>
            <color indexed="81"/>
            <rFont val="Tahoma"/>
            <family val="2"/>
          </rPr>
          <t>danfuss:</t>
        </r>
        <r>
          <rPr>
            <sz val="8"/>
            <color indexed="81"/>
            <rFont val="Tahoma"/>
            <family val="2"/>
          </rPr>
          <t xml:space="preserve">
Guidance (2Q11): $205-215 mn</t>
        </r>
      </text>
    </comment>
    <comment ref="DD463" authorId="19">
      <text>
        <r>
          <rPr>
            <b/>
            <sz val="8"/>
            <color indexed="8"/>
            <rFont val="Tahoma"/>
            <family val="2"/>
          </rPr>
          <t>Ryan Meliker:</t>
        </r>
        <r>
          <rPr>
            <sz val="8"/>
            <color indexed="8"/>
            <rFont val="Tahoma"/>
            <family val="2"/>
          </rPr>
          <t xml:space="preserve">
ties to sales and serrvice net of direct expense guidance</t>
        </r>
      </text>
    </comment>
    <comment ref="A470" authorId="4">
      <text>
        <r>
          <rPr>
            <b/>
            <sz val="10"/>
            <color indexed="8"/>
            <rFont val="Tahoma"/>
            <family val="2"/>
          </rPr>
          <t>urbank:</t>
        </r>
        <r>
          <rPr>
            <sz val="10"/>
            <color indexed="8"/>
            <rFont val="Tahoma"/>
            <family val="2"/>
          </rPr>
          <t xml:space="preserve">
MARgets 10% of the homeowners association fee for each TS unit, rest towards maintenance of TS</t>
        </r>
      </text>
    </comment>
    <comment ref="AV470" authorId="9">
      <text>
        <r>
          <rPr>
            <b/>
            <sz val="8"/>
            <color indexed="81"/>
            <rFont val="Tahoma"/>
            <family val="2"/>
          </rPr>
          <t>danfuss:</t>
        </r>
        <r>
          <rPr>
            <sz val="8"/>
            <color indexed="81"/>
            <rFont val="Tahoma"/>
            <family val="2"/>
          </rPr>
          <t xml:space="preserve">
</t>
        </r>
        <r>
          <rPr>
            <b/>
            <sz val="8"/>
            <color indexed="81"/>
            <rFont val="Tahoma"/>
            <family val="2"/>
          </rPr>
          <t xml:space="preserve">10/10/2011
</t>
        </r>
        <r>
          <rPr>
            <sz val="8"/>
            <color indexed="81"/>
            <rFont val="Tahoma"/>
            <family val="2"/>
          </rPr>
          <t>FY Guidance of $18 - $20 mm</t>
        </r>
      </text>
    </comment>
    <comment ref="BA470" authorId="9">
      <text>
        <r>
          <rPr>
            <b/>
            <sz val="8"/>
            <color indexed="81"/>
            <rFont val="Tahoma"/>
            <family val="2"/>
          </rPr>
          <t>danfuss:</t>
        </r>
        <r>
          <rPr>
            <sz val="8"/>
            <color indexed="81"/>
            <rFont val="Tahoma"/>
            <family val="2"/>
          </rPr>
          <t xml:space="preserve">
</t>
        </r>
        <r>
          <rPr>
            <b/>
            <sz val="8"/>
            <color indexed="81"/>
            <rFont val="Tahoma"/>
            <family val="2"/>
          </rPr>
          <t xml:space="preserve">10/10/2011
</t>
        </r>
        <r>
          <rPr>
            <sz val="8"/>
            <color indexed="81"/>
            <rFont val="Tahoma"/>
            <family val="2"/>
          </rPr>
          <t>FY Guidance of $18 - $20 mm</t>
        </r>
      </text>
    </comment>
    <comment ref="BK470" authorId="9">
      <text>
        <r>
          <rPr>
            <b/>
            <sz val="8"/>
            <color indexed="81"/>
            <rFont val="Tahoma"/>
            <family val="2"/>
          </rPr>
          <t>danfuss:</t>
        </r>
        <r>
          <rPr>
            <sz val="8"/>
            <color indexed="81"/>
            <rFont val="Tahoma"/>
            <family val="2"/>
          </rPr>
          <t xml:space="preserve">
</t>
        </r>
        <r>
          <rPr>
            <b/>
            <sz val="8"/>
            <color indexed="81"/>
            <rFont val="Tahoma"/>
            <family val="2"/>
          </rPr>
          <t xml:space="preserve">10/10/2011
</t>
        </r>
        <r>
          <rPr>
            <sz val="8"/>
            <color indexed="81"/>
            <rFont val="Tahoma"/>
            <family val="2"/>
          </rPr>
          <t>FY Guidance of $18 - $20 mm</t>
        </r>
      </text>
    </comment>
    <comment ref="BP470" authorId="9">
      <text>
        <r>
          <rPr>
            <b/>
            <sz val="8"/>
            <color indexed="81"/>
            <rFont val="Tahoma"/>
            <family val="2"/>
          </rPr>
          <t>danfuss:</t>
        </r>
        <r>
          <rPr>
            <sz val="8"/>
            <color indexed="81"/>
            <rFont val="Tahoma"/>
            <family val="2"/>
          </rPr>
          <t xml:space="preserve">
</t>
        </r>
        <r>
          <rPr>
            <b/>
            <sz val="8"/>
            <color indexed="81"/>
            <rFont val="Tahoma"/>
            <family val="2"/>
          </rPr>
          <t xml:space="preserve">10/10/2011
</t>
        </r>
        <r>
          <rPr>
            <sz val="8"/>
            <color indexed="81"/>
            <rFont val="Tahoma"/>
            <family val="2"/>
          </rPr>
          <t>FY Guidance of $18 - $20 mm</t>
        </r>
      </text>
    </comment>
    <comment ref="DD470" authorId="4">
      <text>
        <r>
          <rPr>
            <b/>
            <sz val="10"/>
            <color indexed="8"/>
            <rFont val="Tahoma"/>
            <family val="2"/>
          </rPr>
          <t>urbank:</t>
        </r>
        <r>
          <rPr>
            <sz val="10"/>
            <color indexed="8"/>
            <rFont val="Tahoma"/>
            <family val="2"/>
          </rPr>
          <t xml:space="preserve">
MARgets 10% of the homeowners association fee for each TS unit, rest towards maintenance of TS</t>
        </r>
      </text>
    </comment>
    <comment ref="AM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AN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AO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AP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AR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AS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AT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AU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AW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AX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AY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AZ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BB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BC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BD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BE471" authorId="4">
      <text>
        <r>
          <rPr>
            <b/>
            <sz val="8"/>
            <color indexed="8"/>
            <rFont val="Tahoma"/>
            <family val="2"/>
          </rPr>
          <t>urbank:</t>
        </r>
        <r>
          <rPr>
            <sz val="8"/>
            <color indexed="8"/>
            <rFont val="Tahoma"/>
            <family val="2"/>
          </rPr>
          <t xml:space="preserve">
</t>
        </r>
        <r>
          <rPr>
            <sz val="9"/>
            <color indexed="8"/>
            <rFont val="Tahoma"/>
            <family val="2"/>
          </rPr>
          <t>start including TS note gains in TS revenue instead of gains</t>
        </r>
      </text>
    </comment>
    <comment ref="AZ474" authorId="19">
      <text>
        <r>
          <rPr>
            <b/>
            <sz val="8"/>
            <color indexed="8"/>
            <rFont val="Tahoma"/>
            <family val="2"/>
          </rPr>
          <t>Ryan Meliker:</t>
        </r>
        <r>
          <rPr>
            <sz val="8"/>
            <color indexed="8"/>
            <rFont val="Tahoma"/>
            <family val="2"/>
          </rPr>
          <t xml:space="preserve">
guidance of 230-250 for the year for total segment- 4q high base on increasing properties coming on line</t>
        </r>
      </text>
    </comment>
    <comment ref="BB474" authorId="19">
      <text>
        <r>
          <rPr>
            <b/>
            <sz val="8"/>
            <color indexed="8"/>
            <rFont val="Tahoma"/>
            <family val="2"/>
          </rPr>
          <t>Ryan Meliker:</t>
        </r>
        <r>
          <rPr>
            <sz val="8"/>
            <color indexed="8"/>
            <rFont val="Tahoma"/>
            <family val="2"/>
          </rPr>
          <t xml:space="preserve">
guidance of 230-250 for the year for total segment- 4q high base on increasing properties coming on line</t>
        </r>
      </text>
    </comment>
    <comment ref="AZ476" authorId="17">
      <text>
        <r>
          <rPr>
            <b/>
            <sz val="8"/>
            <color indexed="8"/>
            <rFont val="Tahoma"/>
            <family val="2"/>
          </rPr>
          <t>ryanmel:</t>
        </r>
        <r>
          <rPr>
            <sz val="8"/>
            <color indexed="8"/>
            <rFont val="Tahoma"/>
            <family val="2"/>
          </rPr>
          <t xml:space="preserve">
4q guidance of 0</t>
        </r>
      </text>
    </comment>
    <comment ref="W482" authorId="16">
      <text>
        <r>
          <rPr>
            <b/>
            <sz val="10"/>
            <color indexed="8"/>
            <rFont val="Tahoma"/>
            <family val="2"/>
          </rPr>
          <t>Celeste Brown:</t>
        </r>
        <r>
          <rPr>
            <sz val="10"/>
            <color indexed="8"/>
            <rFont val="Tahoma"/>
            <family val="2"/>
          </rPr>
          <t xml:space="preserve">
</t>
        </r>
      </text>
    </comment>
    <comment ref="A493" authorId="8">
      <text>
        <r>
          <rPr>
            <b/>
            <sz val="8"/>
            <color indexed="8"/>
            <rFont val="Tahoma"/>
            <family val="2"/>
          </rPr>
          <t>melletc:</t>
        </r>
        <r>
          <rPr>
            <sz val="8"/>
            <color indexed="8"/>
            <rFont val="Tahoma"/>
            <family val="2"/>
          </rPr>
          <t xml:space="preserve">
</t>
        </r>
        <r>
          <rPr>
            <sz val="10"/>
            <color indexed="8"/>
            <rFont val="Tahoma"/>
            <family val="2"/>
          </rPr>
          <t>This number will not match what they break out in the 10K, but will include it ($75mm listed in 10K in 2001)</t>
        </r>
      </text>
    </comment>
    <comment ref="AG493" authorId="8">
      <text>
        <r>
          <rPr>
            <b/>
            <sz val="10"/>
            <color indexed="8"/>
            <rFont val="Tahoma"/>
            <family val="2"/>
          </rPr>
          <t>melletc:</t>
        </r>
        <r>
          <rPr>
            <sz val="10"/>
            <color indexed="8"/>
            <rFont val="Tahoma"/>
            <family val="2"/>
          </rPr>
          <t xml:space="preserve">
Includes amounts spent on timeshare JVs</t>
        </r>
      </text>
    </comment>
    <comment ref="BB493" authorId="19">
      <text>
        <r>
          <rPr>
            <b/>
            <sz val="8"/>
            <color indexed="8"/>
            <rFont val="Tahoma"/>
            <family val="2"/>
          </rPr>
          <t>Ryan Meliker:</t>
        </r>
        <r>
          <rPr>
            <sz val="8"/>
            <color indexed="8"/>
            <rFont val="Tahoma"/>
            <family val="2"/>
          </rPr>
          <t xml:space="preserve">
reduced based on assumption that following a big spend 2008, 2009 will be lower</t>
        </r>
      </text>
    </comment>
    <comment ref="BC493" authorId="19">
      <text>
        <r>
          <rPr>
            <b/>
            <sz val="8"/>
            <color indexed="8"/>
            <rFont val="Tahoma"/>
            <family val="2"/>
          </rPr>
          <t>Ryan Meliker:</t>
        </r>
        <r>
          <rPr>
            <sz val="8"/>
            <color indexed="8"/>
            <rFont val="Tahoma"/>
            <family val="2"/>
          </rPr>
          <t xml:space="preserve">
reduced based on assumption that following a big spend 2008, 2009 will be lower</t>
        </r>
      </text>
    </comment>
    <comment ref="BD493" authorId="19">
      <text>
        <r>
          <rPr>
            <b/>
            <sz val="8"/>
            <color indexed="8"/>
            <rFont val="Tahoma"/>
            <family val="2"/>
          </rPr>
          <t>Ryan Meliker:</t>
        </r>
        <r>
          <rPr>
            <sz val="8"/>
            <color indexed="8"/>
            <rFont val="Tahoma"/>
            <family val="2"/>
          </rPr>
          <t xml:space="preserve">
reduced based on assumption that following a big spend 2008, 2009 will be lower</t>
        </r>
      </text>
    </comment>
    <comment ref="BE493" authorId="19">
      <text>
        <r>
          <rPr>
            <b/>
            <sz val="8"/>
            <color indexed="8"/>
            <rFont val="Tahoma"/>
            <family val="2"/>
          </rPr>
          <t>Ryan Meliker:</t>
        </r>
        <r>
          <rPr>
            <sz val="8"/>
            <color indexed="8"/>
            <rFont val="Tahoma"/>
            <family val="2"/>
          </rPr>
          <t xml:space="preserve">
reduced based on assumption that following a big spend 2008, 2009 will be lower</t>
        </r>
      </text>
    </comment>
    <comment ref="DD493" authorId="8">
      <text>
        <r>
          <rPr>
            <b/>
            <sz val="8"/>
            <color indexed="8"/>
            <rFont val="Tahoma"/>
            <family val="2"/>
          </rPr>
          <t>melletc:</t>
        </r>
        <r>
          <rPr>
            <sz val="8"/>
            <color indexed="8"/>
            <rFont val="Tahoma"/>
            <family val="2"/>
          </rPr>
          <t xml:space="preserve">
</t>
        </r>
        <r>
          <rPr>
            <sz val="10"/>
            <color indexed="8"/>
            <rFont val="Tahoma"/>
            <family val="2"/>
          </rPr>
          <t>This number will not match what they break out in the 10K, but will include it ($75mm listed in 10K in 2001)</t>
        </r>
      </text>
    </comment>
    <comment ref="BE495" authorId="17">
      <text>
        <r>
          <rPr>
            <b/>
            <sz val="8"/>
            <color indexed="8"/>
            <rFont val="Tahoma"/>
            <family val="2"/>
          </rPr>
          <t>ryanmel:</t>
        </r>
        <r>
          <rPr>
            <sz val="8"/>
            <color indexed="8"/>
            <rFont val="Tahoma"/>
            <family val="2"/>
          </rPr>
          <t xml:space="preserve">
TS accounting change- increase invesntories by 30-50mm in 2010</t>
        </r>
      </text>
    </comment>
    <comment ref="BG495" authorId="17">
      <text>
        <r>
          <rPr>
            <b/>
            <sz val="8"/>
            <color indexed="8"/>
            <rFont val="Tahoma"/>
            <family val="2"/>
          </rPr>
          <t>ryanmel:</t>
        </r>
        <r>
          <rPr>
            <sz val="8"/>
            <color indexed="8"/>
            <rFont val="Tahoma"/>
            <family val="2"/>
          </rPr>
          <t xml:space="preserve">
TS accounting change- increase invesntories by 30-50mm in 2010</t>
        </r>
      </text>
    </comment>
    <comment ref="BN495" authorId="9">
      <text>
        <r>
          <rPr>
            <b/>
            <sz val="8"/>
            <color indexed="81"/>
            <rFont val="Tahoma"/>
            <family val="2"/>
          </rPr>
          <t>danfuss:</t>
        </r>
        <r>
          <rPr>
            <sz val="8"/>
            <color indexed="81"/>
            <rFont val="Tahoma"/>
            <family val="2"/>
          </rPr>
          <t xml:space="preserve">
T/S writedown</t>
        </r>
      </text>
    </comment>
    <comment ref="AZ496" authorId="17">
      <text>
        <r>
          <rPr>
            <b/>
            <sz val="8"/>
            <color indexed="8"/>
            <rFont val="Tahoma"/>
            <family val="2"/>
          </rPr>
          <t>ryanmel:</t>
        </r>
        <r>
          <rPr>
            <sz val="8"/>
            <color indexed="8"/>
            <rFont val="Tahoma"/>
            <family val="2"/>
          </rPr>
          <t xml:space="preserve">
get with 10Q</t>
        </r>
      </text>
    </comment>
    <comment ref="AZ509" authorId="16">
      <text>
        <r>
          <rPr>
            <b/>
            <sz val="10"/>
            <color indexed="8"/>
            <rFont val="Tahoma"/>
            <family val="2"/>
          </rPr>
          <t>Celeste Brown:</t>
        </r>
        <r>
          <rPr>
            <sz val="10"/>
            <color indexed="8"/>
            <rFont val="Tahoma"/>
            <family val="2"/>
          </rPr>
          <t xml:space="preserve">
Per 4Q call</t>
        </r>
      </text>
    </comment>
    <comment ref="AB513" authorId="8">
      <text>
        <r>
          <rPr>
            <b/>
            <sz val="10"/>
            <color indexed="8"/>
            <rFont val="Tahoma"/>
            <family val="2"/>
          </rPr>
          <t>melletc:</t>
        </r>
        <r>
          <rPr>
            <sz val="10"/>
            <color indexed="8"/>
            <rFont val="Tahoma"/>
            <family val="2"/>
          </rPr>
          <t xml:space="preserve">
Guidance says financing profit (interest and note sales gains) down $10-15mm in 2003</t>
        </r>
      </text>
    </comment>
    <comment ref="AL531" authorId="16">
      <text>
        <r>
          <rPr>
            <b/>
            <sz val="8"/>
            <color indexed="8"/>
            <rFont val="Tahoma"/>
            <family val="2"/>
          </rPr>
          <t>Celeste Brown:</t>
        </r>
        <r>
          <rPr>
            <sz val="8"/>
            <color indexed="8"/>
            <rFont val="Tahoma"/>
            <family val="2"/>
          </rPr>
          <t xml:space="preserve">
guidance for 25k room additions GROSS</t>
        </r>
      </text>
    </comment>
    <comment ref="U587" authorId="8">
      <text>
        <r>
          <rPr>
            <b/>
            <sz val="8"/>
            <color indexed="8"/>
            <rFont val="Tahoma"/>
            <family val="2"/>
          </rPr>
          <t>melletc:</t>
        </r>
        <r>
          <rPr>
            <sz val="8"/>
            <color indexed="8"/>
            <rFont val="Tahoma"/>
            <family val="2"/>
          </rPr>
          <t xml:space="preserve">
$11m profit from the sale of village oaks</t>
        </r>
      </text>
    </comment>
    <comment ref="U589" authorId="8">
      <text>
        <r>
          <rPr>
            <b/>
            <sz val="8"/>
            <color indexed="8"/>
            <rFont val="Tahoma"/>
            <family val="2"/>
          </rPr>
          <t>melletc:</t>
        </r>
        <r>
          <rPr>
            <sz val="8"/>
            <color indexed="8"/>
            <rFont val="Tahoma"/>
            <family val="2"/>
          </rPr>
          <t xml:space="preserve">
$30mm MDS Charge- Closing facilities, etc.</t>
        </r>
      </text>
    </comment>
    <comment ref="AR594" authorId="4">
      <text>
        <r>
          <rPr>
            <b/>
            <sz val="8"/>
            <color indexed="8"/>
            <rFont val="Tahoma"/>
            <family val="2"/>
          </rPr>
          <t>urbank:</t>
        </r>
        <r>
          <rPr>
            <sz val="8"/>
            <color indexed="8"/>
            <rFont val="Tahoma"/>
            <family val="2"/>
          </rPr>
          <t xml:space="preserve">
excluding Synfuel from guidance for 2007</t>
        </r>
      </text>
    </comment>
    <comment ref="AS594" authorId="4">
      <text>
        <r>
          <rPr>
            <b/>
            <sz val="8"/>
            <color indexed="8"/>
            <rFont val="Tahoma"/>
            <family val="2"/>
          </rPr>
          <t>urbank:</t>
        </r>
        <r>
          <rPr>
            <sz val="8"/>
            <color indexed="8"/>
            <rFont val="Tahoma"/>
            <family val="2"/>
          </rPr>
          <t xml:space="preserve">
excluding Synfuel from guidance for 2007</t>
        </r>
      </text>
    </comment>
    <comment ref="AT594" authorId="4">
      <text>
        <r>
          <rPr>
            <b/>
            <sz val="8"/>
            <color indexed="8"/>
            <rFont val="Tahoma"/>
            <family val="2"/>
          </rPr>
          <t>urbank:</t>
        </r>
        <r>
          <rPr>
            <sz val="8"/>
            <color indexed="8"/>
            <rFont val="Tahoma"/>
            <family val="2"/>
          </rPr>
          <t xml:space="preserve">
excluding Synfuel from guidance for 2007</t>
        </r>
      </text>
    </comment>
    <comment ref="AU594" authorId="4">
      <text>
        <r>
          <rPr>
            <b/>
            <sz val="8"/>
            <color indexed="8"/>
            <rFont val="Tahoma"/>
            <family val="2"/>
          </rPr>
          <t>urbank:</t>
        </r>
        <r>
          <rPr>
            <sz val="8"/>
            <color indexed="8"/>
            <rFont val="Tahoma"/>
            <family val="2"/>
          </rPr>
          <t xml:space="preserve">
excluding Synfuel from guidance for 2007</t>
        </r>
      </text>
    </comment>
    <comment ref="AS595" authorId="4">
      <text>
        <r>
          <rPr>
            <b/>
            <sz val="8"/>
            <color indexed="8"/>
            <rFont val="Tahoma"/>
            <family val="2"/>
          </rPr>
          <t>urbank:</t>
        </r>
        <r>
          <rPr>
            <sz val="8"/>
            <color indexed="8"/>
            <rFont val="Tahoma"/>
            <family val="2"/>
          </rPr>
          <t xml:space="preserve">
excluding Synfuel from guidance for 2007</t>
        </r>
      </text>
    </comment>
    <comment ref="AT595" authorId="4">
      <text>
        <r>
          <rPr>
            <b/>
            <sz val="8"/>
            <color indexed="8"/>
            <rFont val="Tahoma"/>
            <family val="2"/>
          </rPr>
          <t>urbank:</t>
        </r>
        <r>
          <rPr>
            <sz val="8"/>
            <color indexed="8"/>
            <rFont val="Tahoma"/>
            <family val="2"/>
          </rPr>
          <t xml:space="preserve">
excluding Synfuel from guidance for 2007</t>
        </r>
      </text>
    </comment>
    <comment ref="BM606" authorId="17">
      <text>
        <r>
          <rPr>
            <b/>
            <sz val="8"/>
            <color indexed="81"/>
            <rFont val="Tahoma"/>
            <family val="2"/>
          </rPr>
          <t>ryanmel:</t>
        </r>
        <r>
          <rPr>
            <sz val="8"/>
            <color indexed="81"/>
            <rFont val="Tahoma"/>
            <family val="2"/>
          </rPr>
          <t xml:space="preserve">
guidance of 0</t>
        </r>
      </text>
    </comment>
    <comment ref="BQ606" authorId="17">
      <text>
        <r>
          <rPr>
            <b/>
            <sz val="8"/>
            <color indexed="81"/>
            <rFont val="Tahoma"/>
            <family val="2"/>
          </rPr>
          <t>ryanmel:</t>
        </r>
        <r>
          <rPr>
            <sz val="8"/>
            <color indexed="81"/>
            <rFont val="Tahoma"/>
            <family val="2"/>
          </rPr>
          <t xml:space="preserve">
guidance of 0</t>
        </r>
      </text>
    </comment>
    <comment ref="AY607" authorId="19">
      <text>
        <r>
          <rPr>
            <b/>
            <sz val="8"/>
            <color indexed="8"/>
            <rFont val="Tahoma"/>
            <family val="2"/>
          </rPr>
          <t>Ryan Meliker:</t>
        </r>
        <r>
          <rPr>
            <sz val="8"/>
            <color indexed="8"/>
            <rFont val="Tahoma"/>
            <family val="2"/>
          </rPr>
          <t xml:space="preserve">
guidance of 0-5</t>
        </r>
      </text>
    </comment>
    <comment ref="AZ607" authorId="19">
      <text>
        <r>
          <rPr>
            <b/>
            <sz val="8"/>
            <color indexed="8"/>
            <rFont val="Tahoma"/>
            <family val="2"/>
          </rPr>
          <t>Ryan Meliker:</t>
        </r>
        <r>
          <rPr>
            <sz val="8"/>
            <color indexed="8"/>
            <rFont val="Tahoma"/>
            <family val="2"/>
          </rPr>
          <t xml:space="preserve">
guidance of 40 for 08</t>
        </r>
      </text>
    </comment>
    <comment ref="BB607" authorId="19">
      <text>
        <r>
          <rPr>
            <b/>
            <sz val="8"/>
            <color indexed="8"/>
            <rFont val="Tahoma"/>
            <family val="2"/>
          </rPr>
          <t>Ryan Meliker:</t>
        </r>
        <r>
          <rPr>
            <sz val="8"/>
            <color indexed="8"/>
            <rFont val="Tahoma"/>
            <family val="2"/>
          </rPr>
          <t xml:space="preserve">
guidance of 40 for 08</t>
        </r>
      </text>
    </comment>
    <comment ref="BJ607" authorId="17">
      <text>
        <r>
          <rPr>
            <b/>
            <sz val="8"/>
            <color indexed="8"/>
            <rFont val="Tahoma"/>
            <family val="2"/>
          </rPr>
          <t>ryanmel:</t>
        </r>
        <r>
          <rPr>
            <sz val="8"/>
            <color indexed="8"/>
            <rFont val="Tahoma"/>
            <family val="2"/>
          </rPr>
          <t xml:space="preserve">
guidance of 30 for year</t>
        </r>
      </text>
    </comment>
    <comment ref="BL607" authorId="17">
      <text>
        <r>
          <rPr>
            <b/>
            <sz val="8"/>
            <color indexed="8"/>
            <rFont val="Tahoma"/>
            <family val="2"/>
          </rPr>
          <t>ryanmel:</t>
        </r>
        <r>
          <rPr>
            <sz val="8"/>
            <color indexed="8"/>
            <rFont val="Tahoma"/>
            <family val="2"/>
          </rPr>
          <t xml:space="preserve">
guidance of 30 for year</t>
        </r>
      </text>
    </comment>
    <comment ref="A611" authorId="17">
      <text>
        <r>
          <rPr>
            <b/>
            <sz val="8"/>
            <color indexed="8"/>
            <rFont val="Tahoma"/>
            <family val="2"/>
          </rPr>
          <t>ryanmel:</t>
        </r>
        <r>
          <rPr>
            <sz val="8"/>
            <color indexed="8"/>
            <rFont val="Tahoma"/>
            <family val="2"/>
          </rPr>
          <t xml:space="preserve">
2013 guidance of 765</t>
        </r>
      </text>
    </comment>
    <comment ref="DD611" authorId="17">
      <text>
        <r>
          <rPr>
            <b/>
            <sz val="8"/>
            <color indexed="8"/>
            <rFont val="Tahoma"/>
            <family val="2"/>
          </rPr>
          <t>ryanmel:</t>
        </r>
        <r>
          <rPr>
            <sz val="8"/>
            <color indexed="8"/>
            <rFont val="Tahoma"/>
            <family val="2"/>
          </rPr>
          <t xml:space="preserve">
2013 guidance of 765</t>
        </r>
      </text>
    </comment>
    <comment ref="BG612" authorId="10">
      <text>
        <r>
          <rPr>
            <sz val="8"/>
            <color indexed="81"/>
            <rFont val="Tahoma"/>
            <family val="2"/>
          </rPr>
          <t>$130-140m</t>
        </r>
      </text>
    </comment>
    <comment ref="BH612" authorId="10">
      <text>
        <r>
          <rPr>
            <sz val="8"/>
            <color indexed="81"/>
            <rFont val="Tahoma"/>
            <family val="2"/>
          </rPr>
          <t>$150m</t>
        </r>
      </text>
    </comment>
    <comment ref="BI612" authorId="10">
      <text>
        <r>
          <rPr>
            <sz val="8"/>
            <color indexed="81"/>
            <rFont val="Tahoma"/>
            <family val="2"/>
          </rPr>
          <t>Approx $155 million</t>
        </r>
      </text>
    </comment>
    <comment ref="BJ612" authorId="10">
      <text>
        <r>
          <rPr>
            <sz val="8"/>
            <color indexed="81"/>
            <rFont val="Tahoma"/>
            <family val="2"/>
          </rPr>
          <t>$220m-$225m</t>
        </r>
      </text>
    </comment>
    <comment ref="BK612" authorId="10">
      <text>
        <r>
          <rPr>
            <sz val="8"/>
            <color indexed="81"/>
            <rFont val="Tahoma"/>
            <family val="2"/>
          </rPr>
          <t>$649m-$654m</t>
        </r>
      </text>
    </comment>
    <comment ref="BL612" authorId="10">
      <text>
        <r>
          <rPr>
            <sz val="8"/>
            <color indexed="81"/>
            <rFont val="Tahoma"/>
            <family val="2"/>
          </rPr>
          <t>$155m-$160m</t>
        </r>
      </text>
    </comment>
    <comment ref="BM612" authorId="10">
      <text>
        <r>
          <rPr>
            <sz val="8"/>
            <color indexed="81"/>
            <rFont val="Tahoma"/>
            <family val="2"/>
          </rPr>
          <t>$165m-$170m</t>
        </r>
      </text>
    </comment>
    <comment ref="BN612" authorId="10">
      <text>
        <r>
          <rPr>
            <sz val="8"/>
            <color indexed="81"/>
            <rFont val="Tahoma"/>
            <family val="2"/>
          </rPr>
          <t>$165m-$170m</t>
        </r>
      </text>
    </comment>
    <comment ref="BO612" authorId="10">
      <text>
        <r>
          <rPr>
            <sz val="8"/>
            <color indexed="81"/>
            <rFont val="Tahoma"/>
            <family val="2"/>
          </rPr>
          <t>$235m-$245m</t>
        </r>
      </text>
    </comment>
    <comment ref="BP612" authorId="10">
      <text>
        <r>
          <rPr>
            <sz val="8"/>
            <color indexed="81"/>
            <rFont val="Tahoma"/>
            <family val="2"/>
          </rPr>
          <t>$723m-$733m</t>
        </r>
      </text>
    </comment>
    <comment ref="BQ612" authorId="10">
      <text>
        <r>
          <rPr>
            <sz val="8"/>
            <color indexed="81"/>
            <rFont val="Tahoma"/>
            <family val="2"/>
          </rPr>
          <t>$150m-$155m</t>
        </r>
      </text>
    </comment>
    <comment ref="BR612" authorId="10">
      <text>
        <r>
          <rPr>
            <sz val="8"/>
            <color indexed="81"/>
            <rFont val="Tahoma"/>
            <family val="2"/>
          </rPr>
          <t xml:space="preserve">Approx $150 million
</t>
        </r>
      </text>
    </comment>
    <comment ref="BT612" authorId="7">
      <text>
        <r>
          <rPr>
            <b/>
            <sz val="8"/>
            <color indexed="81"/>
            <rFont val="Tahoma"/>
            <family val="2"/>
          </rPr>
          <t>thallen:</t>
        </r>
        <r>
          <rPr>
            <sz val="8"/>
            <color indexed="81"/>
            <rFont val="Tahoma"/>
            <family val="2"/>
          </rPr>
          <t xml:space="preserve">
Guidance: $200-210mm
</t>
        </r>
      </text>
    </comment>
    <comment ref="BU612" authorId="23">
      <text>
        <r>
          <rPr>
            <sz val="8"/>
            <color indexed="81"/>
            <rFont val="Tahoma"/>
            <family val="2"/>
          </rPr>
          <t>Guidance: $639-649mm
OLD:
Increase 3% to 4% in FY2012.
Source: 1Q12 Call transcript.</t>
        </r>
      </text>
    </comment>
    <comment ref="CC612" authorId="5">
      <text>
        <r>
          <rPr>
            <b/>
            <sz val="9"/>
            <color indexed="81"/>
            <rFont val="Tahoma"/>
            <family val="2"/>
          </rPr>
          <t xml:space="preserve">3Q14:
</t>
        </r>
        <r>
          <rPr>
            <sz val="9"/>
            <color indexed="81"/>
            <rFont val="Tahoma"/>
            <family val="2"/>
          </rPr>
          <t xml:space="preserve">GENERAL, ADMINISTRATIVE, and OTHER expenses for the 2014 third quarter totaled $172 million, a 17 percent increase compared to the year-ago quarter.  The increase in expenses for the quarter largely reflected $6 million of higher incentive compensation expenses and $4 million of net unfavorable foreign exchange rates mainly due to devaluation of the Venezuelan Bolivar.  For the first three quarters of 2014, general and administrative expenses are 2 percent higher year-over-year.
</t>
        </r>
      </text>
    </comment>
    <comment ref="CI612" authorId="1">
      <text>
        <r>
          <rPr>
            <b/>
            <sz val="9"/>
            <color indexed="81"/>
            <rFont val="Tahoma"/>
            <family val="2"/>
          </rPr>
          <t>Allen, Thomas (Research):</t>
        </r>
        <r>
          <rPr>
            <sz val="9"/>
            <color indexed="81"/>
            <rFont val="Tahoma"/>
            <family val="2"/>
          </rPr>
          <t xml:space="preserve">
Includes $5m of txn costs</t>
        </r>
      </text>
    </comment>
    <comment ref="CN612" authorId="1">
      <text>
        <r>
          <rPr>
            <b/>
            <sz val="9"/>
            <color indexed="81"/>
            <rFont val="Tahoma"/>
            <family val="2"/>
          </rPr>
          <t>Allen, Thomas (Research):</t>
        </r>
        <r>
          <rPr>
            <sz val="9"/>
            <color indexed="81"/>
            <rFont val="Tahoma"/>
            <family val="2"/>
          </rPr>
          <t xml:space="preserve">
Includes $8m favorable legal settlement</t>
        </r>
      </text>
    </comment>
    <comment ref="CO612" authorId="2">
      <text>
        <r>
          <rPr>
            <b/>
            <sz val="9"/>
            <color indexed="81"/>
            <rFont val="Tahoma"/>
            <family val="2"/>
          </rPr>
          <t>Savino, Mark (Research):</t>
        </r>
        <r>
          <rPr>
            <sz val="9"/>
            <color indexed="81"/>
            <rFont val="Tahoma"/>
            <family val="2"/>
          </rPr>
          <t xml:space="preserve">
2Q16: Implied $639m excluding HOT costs
1Q16: $645-655m
4Q15: $650-660m</t>
        </r>
      </text>
    </comment>
    <comment ref="CT614" authorId="2">
      <text>
        <r>
          <rPr>
            <b/>
            <sz val="9"/>
            <color indexed="81"/>
            <rFont val="Tahoma"/>
            <family val="2"/>
          </rPr>
          <t>Savino, Mark (Research):</t>
        </r>
        <r>
          <rPr>
            <sz val="9"/>
            <color indexed="81"/>
            <rFont val="Tahoma"/>
            <family val="2"/>
          </rPr>
          <t xml:space="preserve">
4Q17: 80% of $250m goal achieved, implied $200m
1Q17: &gt;$200m
4Q16: $175-185m</t>
        </r>
      </text>
    </comment>
    <comment ref="BM615" authorId="9">
      <text>
        <r>
          <rPr>
            <b/>
            <sz val="8"/>
            <color indexed="81"/>
            <rFont val="Tahoma"/>
            <family val="2"/>
          </rPr>
          <t>danfuss:</t>
        </r>
        <r>
          <rPr>
            <sz val="8"/>
            <color indexed="81"/>
            <rFont val="Tahoma"/>
            <family val="2"/>
          </rPr>
          <t xml:space="preserve">
T/S Spinoff costs</t>
        </r>
      </text>
    </comment>
    <comment ref="BN615" authorId="9">
      <text>
        <r>
          <rPr>
            <b/>
            <sz val="8"/>
            <color indexed="81"/>
            <rFont val="Tahoma"/>
            <family val="2"/>
          </rPr>
          <t>danfuss:</t>
        </r>
        <r>
          <rPr>
            <sz val="8"/>
            <color indexed="81"/>
            <rFont val="Tahoma"/>
            <family val="2"/>
          </rPr>
          <t xml:space="preserve">
$10 mn "other charges"
$8 mn T/S Spinoff costs</t>
        </r>
      </text>
    </comment>
    <comment ref="BO615" authorId="9">
      <text>
        <r>
          <rPr>
            <b/>
            <sz val="8"/>
            <color indexed="81"/>
            <rFont val="Tahoma"/>
            <family val="2"/>
          </rPr>
          <t xml:space="preserve">DJF 10/10/2011
</t>
        </r>
        <r>
          <rPr>
            <sz val="8"/>
            <color indexed="81"/>
            <rFont val="Tahoma"/>
            <family val="2"/>
          </rPr>
          <t>Estimated $40 - $45 mn T/S Spinoff costs remaining</t>
        </r>
      </text>
    </comment>
    <comment ref="BQ615" authorId="9">
      <text>
        <r>
          <rPr>
            <b/>
            <sz val="8"/>
            <color indexed="81"/>
            <rFont val="Tahoma"/>
            <family val="2"/>
          </rPr>
          <t>danfuss:</t>
        </r>
        <r>
          <rPr>
            <sz val="8"/>
            <color indexed="81"/>
            <rFont val="Tahoma"/>
            <family val="2"/>
          </rPr>
          <t xml:space="preserve">
Remaining T/s Spinoff costs</t>
        </r>
      </text>
    </comment>
    <comment ref="BT615" authorId="7">
      <text>
        <r>
          <rPr>
            <b/>
            <sz val="8"/>
            <color indexed="81"/>
            <rFont val="Tahoma"/>
            <family val="2"/>
          </rPr>
          <t>thallen:</t>
        </r>
        <r>
          <rPr>
            <sz val="8"/>
            <color indexed="81"/>
            <rFont val="Tahoma"/>
            <family val="2"/>
          </rPr>
          <t xml:space="preserve">
Includes $6mm reversal of guarantee reserves for two hotels</t>
        </r>
      </text>
    </comment>
    <comment ref="CL615" authorId="2">
      <text>
        <r>
          <rPr>
            <b/>
            <sz val="9"/>
            <color indexed="81"/>
            <rFont val="Tahoma"/>
            <family val="2"/>
          </rPr>
          <t>Savino, Mark (Research):</t>
        </r>
        <r>
          <rPr>
            <sz val="9"/>
            <color indexed="81"/>
            <rFont val="Tahoma"/>
            <family val="2"/>
          </rPr>
          <t xml:space="preserve">
HOT merger costs</t>
        </r>
      </text>
    </comment>
    <comment ref="CN615" authorId="2">
      <text>
        <r>
          <rPr>
            <b/>
            <sz val="9"/>
            <color indexed="81"/>
            <rFont val="Tahoma"/>
            <family val="2"/>
          </rPr>
          <t>Savino, Mark (Research):</t>
        </r>
        <r>
          <rPr>
            <sz val="9"/>
            <color indexed="81"/>
            <rFont val="Tahoma"/>
            <family val="2"/>
          </rPr>
          <t xml:space="preserve">
$8m favorable legal settlement and $4m of net FX gains</t>
        </r>
      </text>
    </comment>
    <comment ref="BZ616" authorId="7">
      <text>
        <r>
          <rPr>
            <b/>
            <sz val="8"/>
            <color indexed="81"/>
            <rFont val="Tahoma"/>
            <family val="2"/>
          </rPr>
          <t>thallen:</t>
        </r>
        <r>
          <rPr>
            <sz val="8"/>
            <color indexed="81"/>
            <rFont val="Tahoma"/>
            <family val="2"/>
          </rPr>
          <t xml:space="preserve">
Guidance: $665-675mm (4Q12 earnings)
Guidance: $675-$685mm (1Q13 earnings)</t>
        </r>
      </text>
    </comment>
    <comment ref="CB616" authorId="5">
      <text>
        <r>
          <rPr>
            <sz val="9"/>
            <color indexed="81"/>
            <rFont val="Tahoma"/>
            <family val="2"/>
          </rPr>
          <t>Actual expenses in the quarter was below guidance largely due to lower than expected spending, some of which was favorable timing, and lower bad debt expenses, partially offset by the foreign exchange impact discussed below.
$7 million foreign exchange loss associated with the Venezuelan Bolivar.</t>
        </r>
      </text>
    </comment>
    <comment ref="CC616" authorId="5">
      <text>
        <r>
          <rPr>
            <sz val="9"/>
            <color indexed="81"/>
            <rFont val="Tahoma"/>
            <family val="2"/>
          </rPr>
          <t>Reflecting Protea integration costs and incremental Protea admin as well as higher development costs</t>
        </r>
      </text>
    </comment>
    <comment ref="CK616" authorId="1">
      <text>
        <r>
          <rPr>
            <b/>
            <sz val="9"/>
            <color indexed="81"/>
            <rFont val="Tahoma"/>
            <family val="2"/>
          </rPr>
          <t>Allen, Thomas (Research):</t>
        </r>
        <r>
          <rPr>
            <sz val="9"/>
            <color indexed="81"/>
            <rFont val="Tahoma"/>
            <family val="2"/>
          </rPr>
          <t xml:space="preserve">
Adjusted $155m</t>
        </r>
      </text>
    </comment>
    <comment ref="CT616" authorId="1">
      <text>
        <r>
          <rPr>
            <b/>
            <sz val="9"/>
            <color indexed="81"/>
            <rFont val="Tahoma"/>
            <family val="2"/>
          </rPr>
          <t>Allen, Thomas (Research):</t>
        </r>
        <r>
          <rPr>
            <sz val="9"/>
            <color indexed="81"/>
            <rFont val="Tahoma"/>
            <family val="2"/>
          </rPr>
          <t xml:space="preserve">
In 2H16 there were a number of positions open at MAR/HOT. As a result, MAR believes that $1080 should be the baseline opex, 4% growth, - synergies</t>
        </r>
      </text>
    </comment>
    <comment ref="CY616" authorId="1">
      <text>
        <r>
          <rPr>
            <b/>
            <sz val="9"/>
            <color indexed="81"/>
            <rFont val="Tahoma"/>
            <family val="2"/>
          </rPr>
          <t>Allen, Thomas (Research):</t>
        </r>
        <r>
          <rPr>
            <sz val="9"/>
            <color indexed="81"/>
            <rFont val="Tahoma"/>
            <family val="2"/>
          </rPr>
          <t xml:space="preserve">
4Q17: $935-945m, but includes $70m for investment in workforce that will not re-occur in 2019
Take 2015 MAR + HOT - $5m 1x txn costs - $260m synergies + some inflation (which we see as minimal given RevPAR environment)</t>
        </r>
      </text>
    </comment>
    <comment ref="CZ616" authorId="1">
      <text>
        <r>
          <rPr>
            <b/>
            <sz val="9"/>
            <color indexed="81"/>
            <rFont val="Tahoma"/>
            <family val="2"/>
          </rPr>
          <t>Allen, Thomas (Research):</t>
        </r>
        <r>
          <rPr>
            <sz val="9"/>
            <color indexed="81"/>
            <rFont val="Tahoma"/>
            <family val="2"/>
          </rPr>
          <t xml:space="preserve">
4Q17: $70m of workforce investments in 2018 that will not re-occur in 2019
3/21/17: $895m, reflects $274m in annual cost savings in 2019 ($250m in 2016 dollars)</t>
        </r>
      </text>
    </comment>
    <comment ref="BQ617" authorId="0">
      <text>
        <r>
          <rPr>
            <b/>
            <sz val="8"/>
            <color indexed="81"/>
            <rFont val="Tahoma"/>
            <family val="2"/>
          </rPr>
          <t>DJF 3/22/12:</t>
        </r>
        <r>
          <rPr>
            <sz val="8"/>
            <color indexed="81"/>
            <rFont val="Tahoma"/>
            <family val="2"/>
          </rPr>
          <t xml:space="preserve">
Growth rate based off restated #'s</t>
        </r>
      </text>
    </comment>
    <comment ref="CE617" authorId="7">
      <text>
        <r>
          <rPr>
            <b/>
            <sz val="8"/>
            <color indexed="81"/>
            <rFont val="Tahoma"/>
            <family val="2"/>
          </rPr>
          <t>Guidance:</t>
        </r>
        <r>
          <rPr>
            <sz val="8"/>
            <color indexed="81"/>
            <rFont val="Tahoma"/>
            <family val="2"/>
          </rPr>
          <t xml:space="preserve">
3Q14: 1-2%
3Q13 call: expect to grow slower than 2013 b/c not investing in regional managers, etc. </t>
        </r>
      </text>
    </comment>
    <comment ref="CG617" authorId="1">
      <text>
        <r>
          <rPr>
            <b/>
            <sz val="9"/>
            <color indexed="81"/>
            <rFont val="Tahoma"/>
            <family val="2"/>
          </rPr>
          <t>Allen, Thomas (Research):</t>
        </r>
        <r>
          <rPr>
            <sz val="9"/>
            <color indexed="81"/>
            <rFont val="Tahoma"/>
            <family val="2"/>
          </rPr>
          <t xml:space="preserve">
Greater FX impact</t>
        </r>
      </text>
    </comment>
    <comment ref="CH617" authorId="5">
      <text>
        <r>
          <rPr>
            <b/>
            <sz val="9"/>
            <color indexed="81"/>
            <rFont val="Tahoma"/>
            <family val="2"/>
          </rPr>
          <t>Chaudhry, Baset A (Research):</t>
        </r>
        <r>
          <rPr>
            <sz val="9"/>
            <color indexed="81"/>
            <rFont val="Tahoma"/>
            <family val="2"/>
          </rPr>
          <t xml:space="preserve">
Last year reflected Protea integration costs</t>
        </r>
      </text>
    </comment>
    <comment ref="CK617" authorId="2">
      <text>
        <r>
          <rPr>
            <b/>
            <sz val="9"/>
            <color indexed="81"/>
            <rFont val="Tahoma"/>
            <family val="2"/>
          </rPr>
          <t>Savino, Mark (Research):</t>
        </r>
        <r>
          <rPr>
            <sz val="9"/>
            <color indexed="81"/>
            <rFont val="Tahoma"/>
            <family val="2"/>
          </rPr>
          <t xml:space="preserve">
1Q15 included $13m favorable litigation benefit</t>
        </r>
      </text>
    </comment>
    <comment ref="CR617" authorId="2">
      <text>
        <r>
          <rPr>
            <b/>
            <sz val="9"/>
            <color indexed="81"/>
            <rFont val="Tahoma"/>
            <family val="2"/>
          </rPr>
          <t>Savino, Mark (Research):</t>
        </r>
        <r>
          <rPr>
            <sz val="9"/>
            <color indexed="81"/>
            <rFont val="Tahoma"/>
            <family val="2"/>
          </rPr>
          <t xml:space="preserve">
Benefitted from timing of certain expenses shifting to 4Q</t>
        </r>
      </text>
    </comment>
    <comment ref="CS617" authorId="2">
      <text>
        <r>
          <rPr>
            <b/>
            <sz val="9"/>
            <color indexed="81"/>
            <rFont val="Tahoma"/>
            <family val="2"/>
          </rPr>
          <t>Savino, Mark (Research):</t>
        </r>
        <r>
          <rPr>
            <sz val="9"/>
            <color indexed="81"/>
            <rFont val="Tahoma"/>
            <family val="2"/>
          </rPr>
          <t xml:space="preserve">
Lapping $8m favorable legal settlement in 4Q16. Also unfavorable timing of expenses shifting from 3Q into 4Q</t>
        </r>
      </text>
    </comment>
    <comment ref="CW617" authorId="2">
      <text>
        <r>
          <rPr>
            <b/>
            <sz val="9"/>
            <color indexed="81"/>
            <rFont val="Tahoma"/>
            <family val="2"/>
          </rPr>
          <t xml:space="preserve">Savino, Mark (Research):
</t>
        </r>
        <r>
          <rPr>
            <sz val="9"/>
            <color indexed="81"/>
            <rFont val="Tahoma"/>
            <family val="2"/>
          </rPr>
          <t>3Q17 G&amp;A was artificially low as costs were shifted into 4Q</t>
        </r>
      </text>
    </comment>
    <comment ref="CX617" authorId="2">
      <text>
        <r>
          <rPr>
            <b/>
            <sz val="9"/>
            <color indexed="81"/>
            <rFont val="Tahoma"/>
            <family val="2"/>
          </rPr>
          <t>Savino, Mark (Research):</t>
        </r>
        <r>
          <rPr>
            <sz val="9"/>
            <color indexed="81"/>
            <rFont val="Tahoma"/>
            <family val="2"/>
          </rPr>
          <t xml:space="preserve">
4Q17 G&amp;A incl. $7m of litigation reserves and $5m higher than anticipated development expenses</t>
        </r>
      </text>
    </comment>
    <comment ref="BV620" authorId="7">
      <text>
        <r>
          <rPr>
            <b/>
            <sz val="8"/>
            <color indexed="81"/>
            <rFont val="Tahoma"/>
            <family val="2"/>
          </rPr>
          <t>thallen:</t>
        </r>
        <r>
          <rPr>
            <sz val="8"/>
            <color indexed="81"/>
            <rFont val="Tahoma"/>
            <family val="2"/>
          </rPr>
          <t xml:space="preserve">
Guidance: $170-175mm
$15mm of the increase was associated with longer fiscal qtr, $2mm of increase due to revised est for comp paid in 2013 but associated with 2012, $3mm from unfavorable FX, $3mm from amortization of key money, mostly due to Gaylord</t>
        </r>
      </text>
    </comment>
    <comment ref="BW620" authorId="7">
      <text>
        <r>
          <rPr>
            <b/>
            <sz val="8"/>
            <color indexed="81"/>
            <rFont val="Tahoma"/>
            <family val="2"/>
          </rPr>
          <t>thallen:</t>
        </r>
        <r>
          <rPr>
            <sz val="8"/>
            <color indexed="81"/>
            <rFont val="Tahoma"/>
            <family val="2"/>
          </rPr>
          <t xml:space="preserve">
Includes $5mm performance cure payment related to one int'l hotel (unexpected) and $5mm impairment of deferred contract acq costs</t>
        </r>
      </text>
    </comment>
    <comment ref="BX620" authorId="12">
      <text>
        <r>
          <rPr>
            <b/>
            <sz val="8"/>
            <color indexed="81"/>
            <rFont val="Tahoma"/>
            <family val="2"/>
          </rPr>
          <t>jills:</t>
        </r>
        <r>
          <rPr>
            <sz val="8"/>
            <color indexed="81"/>
            <rFont val="Tahoma"/>
            <family val="2"/>
          </rPr>
          <t xml:space="preserve">
expect longer fiscal quarter to increase G&amp;A by $12mm
remainder of increase due to brand and service intitiatives and routine cost increases including compensation</t>
        </r>
      </text>
    </comment>
    <comment ref="AL621" authorId="26">
      <text>
        <r>
          <rPr>
            <sz val="8"/>
            <color indexed="81"/>
            <rFont val="Tahoma"/>
            <family val="2"/>
          </rPr>
          <t>Guidance:
~$648m      (3Q05 Press release)
$720-730m  (2Q05 Press release)
$560-565m   (4Q04 Press release)</t>
        </r>
      </text>
    </comment>
    <comment ref="AQ621" authorId="26">
      <text>
        <r>
          <rPr>
            <sz val="8"/>
            <color indexed="81"/>
            <rFont val="Tahoma"/>
            <family val="2"/>
          </rPr>
          <t>Guidance:
$655-660m  (3Q06 Press release)
$650-660m  (2Q06 Press release)
$660-670m  (1Q06 Press release)
$650-660m  (4Q05 Press release)
$600-610m  (3Q05 Press release)</t>
        </r>
      </text>
    </comment>
    <comment ref="AV621" authorId="26">
      <text>
        <r>
          <rPr>
            <sz val="8"/>
            <color indexed="81"/>
            <rFont val="Tahoma"/>
            <family val="2"/>
          </rPr>
          <t>Guidance:
$718-723m  (3Q07 Press release)
$695-705m  (2Q07 Press release)
$690-700m  (1Q07 Press release)
$680-700m  (4Q06 Press release)
$665-675m  (3Q06 Press release)</t>
        </r>
      </text>
    </comment>
    <comment ref="BA621" authorId="26">
      <text>
        <r>
          <rPr>
            <sz val="8"/>
            <color indexed="81"/>
            <rFont val="Tahoma"/>
            <family val="2"/>
          </rPr>
          <t>Guidance:
$758-768m  (3Q08 Press release)
$765-775m  (2Q08 Press release)
$765-775m  (1Q08 Press release)
$775-785m  (4Q07 Press release)
$740-755m  (3Q07 Press release)</t>
        </r>
      </text>
    </comment>
    <comment ref="BF621" authorId="26">
      <text>
        <r>
          <rPr>
            <sz val="8"/>
            <color indexed="81"/>
            <rFont val="Tahoma"/>
            <family val="2"/>
          </rPr>
          <t>Guidance:
ND             (3Q09 Press release)
$585-605m  (2Q09 Press release)
$580-600m  (1Q09 Press release)
$640-665m  (4Q08 Press release)</t>
        </r>
      </text>
    </comment>
    <comment ref="BK621" authorId="26">
      <text>
        <r>
          <rPr>
            <sz val="8"/>
            <color indexed="81"/>
            <rFont val="Tahoma"/>
            <family val="2"/>
          </rPr>
          <t>Guidance:
$649-654m   (3Q10 Press release)
$650-660m   (2Q10 Press release)
$650-660m   (1Q10 Press release)
$635-645m   (4Q09 Press release)</t>
        </r>
      </text>
    </comment>
    <comment ref="BP621" authorId="26">
      <text>
        <r>
          <rPr>
            <sz val="8"/>
            <color indexed="81"/>
            <rFont val="Tahoma"/>
            <family val="2"/>
          </rPr>
          <t>Guidance:
$723-733m  (3Q11 Press release)
$710-720m  (2Q11 Press release)
$705-715m  (1Q11 Press release)
$690-700m  (4Q10 Press release)</t>
        </r>
      </text>
    </comment>
    <comment ref="BU621" authorId="26">
      <text>
        <r>
          <rPr>
            <sz val="8"/>
            <color indexed="81"/>
            <rFont val="Tahoma"/>
            <family val="2"/>
          </rPr>
          <t>Guidance:
$639-649m  (3Q12 Press release)
$660-670m  (2Q12 Press release)
$660-670m  (1Q12 Press release)
$660-670m  (4Q11 Press release)</t>
        </r>
      </text>
    </comment>
    <comment ref="BZ621" authorId="7">
      <text>
        <r>
          <rPr>
            <b/>
            <sz val="8"/>
            <color indexed="81"/>
            <rFont val="Tahoma"/>
            <family val="2"/>
          </rPr>
          <t>thallen:</t>
        </r>
        <r>
          <rPr>
            <sz val="8"/>
            <color indexed="81"/>
            <rFont val="Tahoma"/>
            <family val="2"/>
          </rPr>
          <t xml:space="preserve">
OLD:
1Q13: $675-685m
2Q13 $690-$700mm
3Q13: $696-$701m</t>
        </r>
      </text>
    </comment>
    <comment ref="CA621" authorId="13">
      <text>
        <r>
          <rPr>
            <sz val="8"/>
            <color indexed="81"/>
            <rFont val="Tahoma"/>
            <family val="2"/>
          </rPr>
          <t>Source : 8k of 4Q13</t>
        </r>
        <r>
          <rPr>
            <sz val="8"/>
            <color indexed="81"/>
            <rFont val="Tahoma"/>
            <family val="2"/>
          </rPr>
          <t xml:space="preserve">
</t>
        </r>
      </text>
    </comment>
    <comment ref="CE621" authorId="13">
      <text>
        <r>
          <rPr>
            <b/>
            <sz val="8"/>
            <color indexed="81"/>
            <rFont val="Tahoma"/>
            <family val="2"/>
          </rPr>
          <t>Guidance:</t>
        </r>
        <r>
          <rPr>
            <sz val="8"/>
            <color indexed="81"/>
            <rFont val="Tahoma"/>
            <family val="2"/>
          </rPr>
          <t xml:space="preserve">
Per 3Q14: $654-659m
Per 2Q14: $640.0-650.m
Per 1Q14: $640.0-650.m</t>
        </r>
        <r>
          <rPr>
            <sz val="8"/>
            <color indexed="81"/>
            <rFont val="Tahoma"/>
            <family val="2"/>
          </rPr>
          <t xml:space="preserve">
Per 4Q13: $640.0-650.m
Based on 2013 SG&amp;A of $649m, so ~ flat y/y</t>
        </r>
      </text>
    </comment>
    <comment ref="CJ621" authorId="5">
      <text>
        <r>
          <rPr>
            <b/>
            <sz val="9"/>
            <color indexed="81"/>
            <rFont val="Tahoma"/>
            <family val="2"/>
          </rPr>
          <t xml:space="preserve">Guidance:
</t>
        </r>
        <r>
          <rPr>
            <sz val="9"/>
            <color indexed="81"/>
            <rFont val="Tahoma"/>
            <family val="2"/>
          </rPr>
          <t xml:space="preserve">Per 3Q15: $621m
Per 2Q15: $630-640m
Per 1Q15: $635-645m
Per 4Q14: $635-645m
higher admin costs offset by lower admin costs
</t>
        </r>
      </text>
    </comment>
    <comment ref="CN621" authorId="2">
      <text>
        <r>
          <rPr>
            <b/>
            <sz val="9"/>
            <color indexed="81"/>
            <rFont val="Tahoma"/>
            <family val="2"/>
          </rPr>
          <t>Savino, Mark (Research):</t>
        </r>
        <r>
          <rPr>
            <sz val="9"/>
            <color indexed="81"/>
            <rFont val="Tahoma"/>
            <family val="2"/>
          </rPr>
          <t xml:space="preserve">
3Q16: $235-240m
2Q16: $170m MAR standalone</t>
        </r>
      </text>
    </comment>
    <comment ref="CO621" authorId="2">
      <text>
        <r>
          <rPr>
            <b/>
            <sz val="9"/>
            <color indexed="81"/>
            <rFont val="Tahoma"/>
            <family val="2"/>
          </rPr>
          <t>Savino, Mark (Research):</t>
        </r>
        <r>
          <rPr>
            <sz val="9"/>
            <color indexed="81"/>
            <rFont val="Tahoma"/>
            <family val="2"/>
          </rPr>
          <t xml:space="preserve">
2Q16: Implied $639m excluding HOT costs
1Q16: $645-655m
4Q15: $650-660m</t>
        </r>
      </text>
    </comment>
    <comment ref="CS621" authorId="6">
      <text>
        <r>
          <rPr>
            <b/>
            <sz val="9"/>
            <color indexed="81"/>
            <rFont val="Tahoma"/>
            <family val="2"/>
          </rPr>
          <t>Zheng, Chaodan (Research):</t>
        </r>
        <r>
          <rPr>
            <sz val="9"/>
            <color indexed="81"/>
            <rFont val="Tahoma"/>
            <family val="2"/>
          </rPr>
          <t xml:space="preserve">
3Q17: $240-245m
2Q17: $229-234m</t>
        </r>
      </text>
    </comment>
    <comment ref="CT621" authorId="2">
      <text>
        <r>
          <rPr>
            <b/>
            <sz val="9"/>
            <color indexed="81"/>
            <rFont val="Tahoma"/>
            <family val="2"/>
          </rPr>
          <t>Savino, Mark (Research):</t>
        </r>
        <r>
          <rPr>
            <sz val="9"/>
            <color indexed="81"/>
            <rFont val="Tahoma"/>
            <family val="2"/>
          </rPr>
          <t xml:space="preserve">
3Q17: $877-882m
2Q17: $880-890m
1Q17: $880-890m
4Q16: $895-905m</t>
        </r>
      </text>
    </comment>
    <comment ref="CY621" authorId="1">
      <text>
        <r>
          <rPr>
            <b/>
            <sz val="9"/>
            <color indexed="81"/>
            <rFont val="Tahoma"/>
            <family val="2"/>
          </rPr>
          <t>Allen, Thomas (Research):</t>
        </r>
        <r>
          <rPr>
            <sz val="9"/>
            <color indexed="81"/>
            <rFont val="Tahoma"/>
            <family val="2"/>
          </rPr>
          <t xml:space="preserve">
4Q17: $935-945m</t>
        </r>
      </text>
    </comment>
    <comment ref="A622" authorId="0">
      <text>
        <r>
          <rPr>
            <b/>
            <sz val="8"/>
            <color indexed="81"/>
            <rFont val="Tahoma"/>
            <family val="2"/>
          </rPr>
          <t>DJF 3/22/12:</t>
        </r>
        <r>
          <rPr>
            <sz val="8"/>
            <color indexed="81"/>
            <rFont val="Tahoma"/>
            <family val="2"/>
          </rPr>
          <t xml:space="preserve">
Restated</t>
        </r>
      </text>
    </comment>
    <comment ref="BO622" authorId="7">
      <text>
        <r>
          <rPr>
            <b/>
            <sz val="8"/>
            <color indexed="81"/>
            <rFont val="Tahoma"/>
            <family val="2"/>
          </rPr>
          <t>thallen:</t>
        </r>
        <r>
          <rPr>
            <sz val="8"/>
            <color indexed="81"/>
            <rFont val="Tahoma"/>
            <family val="2"/>
          </rPr>
          <t xml:space="preserve">
Included $6mm write-off of deferred contract acq costs
$5mm guarantee reserve
$2mm loan reserve</t>
        </r>
      </text>
    </comment>
    <comment ref="CM622" authorId="1">
      <text>
        <r>
          <rPr>
            <b/>
            <sz val="9"/>
            <color indexed="81"/>
            <rFont val="Tahoma"/>
            <family val="2"/>
          </rPr>
          <t>Allen, Thomas (Research):</t>
        </r>
        <r>
          <rPr>
            <sz val="9"/>
            <color indexed="81"/>
            <rFont val="Tahoma"/>
            <family val="2"/>
          </rPr>
          <t xml:space="preserve">
Had open positions</t>
        </r>
      </text>
    </comment>
    <comment ref="CN622" authorId="1">
      <text>
        <r>
          <rPr>
            <b/>
            <sz val="9"/>
            <color indexed="81"/>
            <rFont val="Tahoma"/>
            <family val="2"/>
          </rPr>
          <t>Allen, Thomas (Research):</t>
        </r>
        <r>
          <rPr>
            <sz val="9"/>
            <color indexed="81"/>
            <rFont val="Tahoma"/>
            <family val="2"/>
          </rPr>
          <t xml:space="preserve">
Had open positions</t>
        </r>
      </text>
    </comment>
    <comment ref="DD622" authorId="0">
      <text>
        <r>
          <rPr>
            <b/>
            <sz val="8"/>
            <color indexed="81"/>
            <rFont val="Tahoma"/>
            <family val="2"/>
          </rPr>
          <t>DJF 3/22/12:</t>
        </r>
        <r>
          <rPr>
            <sz val="8"/>
            <color indexed="81"/>
            <rFont val="Tahoma"/>
            <family val="2"/>
          </rPr>
          <t xml:space="preserve">
Restated</t>
        </r>
      </text>
    </comment>
    <comment ref="A625" authorId="8">
      <text>
        <r>
          <rPr>
            <b/>
            <sz val="8"/>
            <color indexed="8"/>
            <rFont val="Tahoma"/>
            <family val="2"/>
          </rPr>
          <t>melletc:</t>
        </r>
        <r>
          <rPr>
            <sz val="8"/>
            <color indexed="8"/>
            <rFont val="Tahoma"/>
            <family val="2"/>
          </rPr>
          <t xml:space="preserve">
Previously unexpensed stock option compensation
</t>
        </r>
        <r>
          <rPr>
            <b/>
            <sz val="8"/>
            <color indexed="8"/>
            <rFont val="Tahoma"/>
            <family val="2"/>
          </rPr>
          <t>DJF:</t>
        </r>
        <r>
          <rPr>
            <sz val="8"/>
            <color indexed="8"/>
            <rFont val="Tahoma"/>
            <family val="2"/>
          </rPr>
          <t xml:space="preserve">  "Share-based compensation expense" can be found in the 10-ks.  I assume the same amount per day over the year.</t>
        </r>
      </text>
    </comment>
    <comment ref="BC625" authorId="9">
      <text>
        <r>
          <rPr>
            <b/>
            <sz val="8"/>
            <color indexed="81"/>
            <rFont val="Tahoma"/>
            <family val="2"/>
          </rPr>
          <t>danfuss:</t>
        </r>
        <r>
          <rPr>
            <sz val="8"/>
            <color indexed="81"/>
            <rFont val="Tahoma"/>
            <family val="2"/>
          </rPr>
          <t xml:space="preserve">
Start Reporting share-based compensation in the Qs again</t>
        </r>
      </text>
    </comment>
    <comment ref="BF625" authorId="9">
      <text>
        <r>
          <rPr>
            <b/>
            <sz val="8"/>
            <color indexed="81"/>
            <rFont val="Tahoma"/>
            <family val="2"/>
          </rPr>
          <t>danfuss:</t>
        </r>
        <r>
          <rPr>
            <sz val="8"/>
            <color indexed="81"/>
            <rFont val="Tahoma"/>
            <family val="2"/>
          </rPr>
          <t xml:space="preserve">
85mm</t>
        </r>
      </text>
    </comment>
    <comment ref="DD625" authorId="8">
      <text>
        <r>
          <rPr>
            <b/>
            <sz val="8"/>
            <color indexed="8"/>
            <rFont val="Tahoma"/>
            <family val="2"/>
          </rPr>
          <t>melletc:</t>
        </r>
        <r>
          <rPr>
            <sz val="8"/>
            <color indexed="8"/>
            <rFont val="Tahoma"/>
            <family val="2"/>
          </rPr>
          <t xml:space="preserve">
Previously unexpensed stock option compensation
</t>
        </r>
        <r>
          <rPr>
            <b/>
            <sz val="8"/>
            <color indexed="8"/>
            <rFont val="Tahoma"/>
            <family val="2"/>
          </rPr>
          <t>DJF:</t>
        </r>
        <r>
          <rPr>
            <sz val="8"/>
            <color indexed="8"/>
            <rFont val="Tahoma"/>
            <family val="2"/>
          </rPr>
          <t xml:space="preserve">  "Share-based compensation expense" can be found in the 10-ks.  I assume the same amount per day over the year.</t>
        </r>
      </text>
    </comment>
    <comment ref="Y626" authorId="8">
      <text>
        <r>
          <rPr>
            <b/>
            <sz val="8"/>
            <color indexed="8"/>
            <rFont val="Tahoma"/>
            <family val="2"/>
          </rPr>
          <t>melletc:</t>
        </r>
        <r>
          <rPr>
            <sz val="8"/>
            <color indexed="8"/>
            <rFont val="Tahoma"/>
            <family val="2"/>
          </rPr>
          <t xml:space="preserve">
Reflects shift from ESOs to restricted stock</t>
        </r>
      </text>
    </comment>
    <comment ref="Z626" authorId="8">
      <text>
        <r>
          <rPr>
            <b/>
            <sz val="8"/>
            <color indexed="8"/>
            <rFont val="Tahoma"/>
            <family val="2"/>
          </rPr>
          <t>melletc:</t>
        </r>
        <r>
          <rPr>
            <sz val="8"/>
            <color indexed="8"/>
            <rFont val="Tahoma"/>
            <family val="2"/>
          </rPr>
          <t xml:space="preserve">
Reflects shift from ESOs to restricted stock</t>
        </r>
      </text>
    </comment>
    <comment ref="AA626" authorId="8">
      <text>
        <r>
          <rPr>
            <b/>
            <sz val="8"/>
            <color indexed="8"/>
            <rFont val="Tahoma"/>
            <family val="2"/>
          </rPr>
          <t>melletc:</t>
        </r>
        <r>
          <rPr>
            <sz val="8"/>
            <color indexed="8"/>
            <rFont val="Tahoma"/>
            <family val="2"/>
          </rPr>
          <t xml:space="preserve">
Reflects shift from ESOs to restricted stock</t>
        </r>
      </text>
    </comment>
    <comment ref="AC626" authorId="8">
      <text>
        <r>
          <rPr>
            <b/>
            <sz val="8"/>
            <color indexed="8"/>
            <rFont val="Tahoma"/>
            <family val="2"/>
          </rPr>
          <t>melletc:</t>
        </r>
        <r>
          <rPr>
            <sz val="8"/>
            <color indexed="8"/>
            <rFont val="Tahoma"/>
            <family val="2"/>
          </rPr>
          <t xml:space="preserve">
Reflects shift from ESOs to restricted stock</t>
        </r>
      </text>
    </comment>
    <comment ref="AD626" authorId="8">
      <text>
        <r>
          <rPr>
            <b/>
            <sz val="8"/>
            <color indexed="8"/>
            <rFont val="Tahoma"/>
            <family val="2"/>
          </rPr>
          <t>melletc:</t>
        </r>
        <r>
          <rPr>
            <sz val="8"/>
            <color indexed="8"/>
            <rFont val="Tahoma"/>
            <family val="2"/>
          </rPr>
          <t xml:space="preserve">
Reflects shift from ESOs to restricted stock</t>
        </r>
      </text>
    </comment>
    <comment ref="AE626" authorId="8">
      <text>
        <r>
          <rPr>
            <b/>
            <sz val="8"/>
            <color indexed="8"/>
            <rFont val="Tahoma"/>
            <family val="2"/>
          </rPr>
          <t>melletc:</t>
        </r>
        <r>
          <rPr>
            <sz val="8"/>
            <color indexed="8"/>
            <rFont val="Tahoma"/>
            <family val="2"/>
          </rPr>
          <t xml:space="preserve">
Reflects shift from ESOs to restricted stock</t>
        </r>
      </text>
    </comment>
    <comment ref="AF626" authorId="8">
      <text>
        <r>
          <rPr>
            <b/>
            <sz val="8"/>
            <color indexed="8"/>
            <rFont val="Tahoma"/>
            <family val="2"/>
          </rPr>
          <t>melletc:</t>
        </r>
        <r>
          <rPr>
            <sz val="8"/>
            <color indexed="8"/>
            <rFont val="Tahoma"/>
            <family val="2"/>
          </rPr>
          <t xml:space="preserve">
Reflects shift from ESOs to restricted stock</t>
        </r>
      </text>
    </comment>
    <comment ref="AH626" authorId="8">
      <text>
        <r>
          <rPr>
            <b/>
            <sz val="8"/>
            <color indexed="8"/>
            <rFont val="Tahoma"/>
            <family val="2"/>
          </rPr>
          <t>melletc:</t>
        </r>
        <r>
          <rPr>
            <sz val="8"/>
            <color indexed="8"/>
            <rFont val="Tahoma"/>
            <family val="2"/>
          </rPr>
          <t xml:space="preserve">
Reflects shift from ESOs to restricted stock</t>
        </r>
      </text>
    </comment>
    <comment ref="AI626" authorId="8">
      <text>
        <r>
          <rPr>
            <b/>
            <sz val="8"/>
            <color indexed="8"/>
            <rFont val="Tahoma"/>
            <family val="2"/>
          </rPr>
          <t>melletc:</t>
        </r>
        <r>
          <rPr>
            <sz val="8"/>
            <color indexed="8"/>
            <rFont val="Tahoma"/>
            <family val="2"/>
          </rPr>
          <t xml:space="preserve">
Reflects shift from ESOs to restricted stock</t>
        </r>
      </text>
    </comment>
    <comment ref="AJ626" authorId="8">
      <text>
        <r>
          <rPr>
            <b/>
            <sz val="8"/>
            <color indexed="8"/>
            <rFont val="Tahoma"/>
            <family val="2"/>
          </rPr>
          <t>melletc:</t>
        </r>
        <r>
          <rPr>
            <sz val="8"/>
            <color indexed="8"/>
            <rFont val="Tahoma"/>
            <family val="2"/>
          </rPr>
          <t xml:space="preserve">
Reflects shift from ESOs to restricted stock</t>
        </r>
      </text>
    </comment>
    <comment ref="AK626" authorId="8">
      <text>
        <r>
          <rPr>
            <b/>
            <sz val="8"/>
            <color indexed="8"/>
            <rFont val="Tahoma"/>
            <family val="2"/>
          </rPr>
          <t>melletc:</t>
        </r>
        <r>
          <rPr>
            <sz val="8"/>
            <color indexed="8"/>
            <rFont val="Tahoma"/>
            <family val="2"/>
          </rPr>
          <t xml:space="preserve">
Reflects shift from ESOs to restricted stock</t>
        </r>
      </text>
    </comment>
    <comment ref="A628" authorId="9">
      <text>
        <r>
          <rPr>
            <b/>
            <sz val="8"/>
            <color indexed="81"/>
            <rFont val="Tahoma"/>
            <family val="2"/>
          </rPr>
          <t>danfuss:</t>
        </r>
        <r>
          <rPr>
            <sz val="8"/>
            <color indexed="81"/>
            <rFont val="Tahoma"/>
            <family val="2"/>
          </rPr>
          <t xml:space="preserve">
D&amp;A broken out in 10-Ks. Allocated:
4 different lodging segments;
Timeshare; and 
"Other unallocated corporate"
We assume here that depreciation is equal on a per day basis</t>
        </r>
      </text>
    </comment>
    <comment ref="DD628" authorId="9">
      <text>
        <r>
          <rPr>
            <b/>
            <sz val="8"/>
            <color indexed="81"/>
            <rFont val="Tahoma"/>
            <family val="2"/>
          </rPr>
          <t>danfuss:</t>
        </r>
        <r>
          <rPr>
            <sz val="8"/>
            <color indexed="81"/>
            <rFont val="Tahoma"/>
            <family val="2"/>
          </rPr>
          <t xml:space="preserve">
D&amp;A broken out in 10-Ks. Allocated:
4 different lodging segments;
Timeshare; and 
"Other unallocated corporate"
We assume here that depreciation is equal on a per day basis</t>
        </r>
      </text>
    </comment>
    <comment ref="A633" authorId="32">
      <text>
        <r>
          <rPr>
            <b/>
            <sz val="8"/>
            <color indexed="8"/>
            <rFont val="Tahoma"/>
            <family val="2"/>
          </rPr>
          <t>metlich:</t>
        </r>
        <r>
          <rPr>
            <sz val="8"/>
            <color indexed="8"/>
            <rFont val="Tahoma"/>
            <family val="2"/>
          </rPr>
          <t xml:space="preserve">
</t>
        </r>
        <r>
          <rPr>
            <sz val="9"/>
            <color indexed="8"/>
            <rFont val="Tahoma"/>
            <family val="2"/>
          </rPr>
          <t>modified from what was reported by taking out depreciation of senior living and distribution depreciation - get to total by adding lines on CF statement - D&amp;A and D&amp;A from discontinued ops</t>
        </r>
      </text>
    </comment>
    <comment ref="AV633" authorId="9">
      <text>
        <r>
          <rPr>
            <b/>
            <sz val="8"/>
            <color indexed="81"/>
            <rFont val="Tahoma"/>
            <family val="2"/>
          </rPr>
          <t>danfuss:</t>
        </r>
        <r>
          <rPr>
            <sz val="8"/>
            <color indexed="81"/>
            <rFont val="Tahoma"/>
            <family val="2"/>
          </rPr>
          <t xml:space="preserve">
2Q: $175mm Guidance
</t>
        </r>
        <r>
          <rPr>
            <b/>
            <sz val="8"/>
            <color indexed="81"/>
            <rFont val="Tahoma"/>
            <family val="2"/>
          </rPr>
          <t xml:space="preserve">10/10/11
</t>
        </r>
        <r>
          <rPr>
            <sz val="8"/>
            <color indexed="81"/>
            <rFont val="Tahoma"/>
            <family val="2"/>
          </rPr>
          <t>170 mn guidance</t>
        </r>
      </text>
    </comment>
    <comment ref="BA633" authorId="9">
      <text>
        <r>
          <rPr>
            <b/>
            <sz val="8"/>
            <color indexed="81"/>
            <rFont val="Tahoma"/>
            <family val="2"/>
          </rPr>
          <t>danfuss:</t>
        </r>
        <r>
          <rPr>
            <sz val="8"/>
            <color indexed="81"/>
            <rFont val="Tahoma"/>
            <family val="2"/>
          </rPr>
          <t xml:space="preserve">
2Q: $175mm Guidance
</t>
        </r>
        <r>
          <rPr>
            <b/>
            <sz val="8"/>
            <color indexed="81"/>
            <rFont val="Tahoma"/>
            <family val="2"/>
          </rPr>
          <t xml:space="preserve">10/10/11
</t>
        </r>
        <r>
          <rPr>
            <sz val="8"/>
            <color indexed="81"/>
            <rFont val="Tahoma"/>
            <family val="2"/>
          </rPr>
          <t>170 mn guidance</t>
        </r>
      </text>
    </comment>
    <comment ref="BK633" authorId="9">
      <text>
        <r>
          <rPr>
            <b/>
            <sz val="8"/>
            <color indexed="81"/>
            <rFont val="Tahoma"/>
            <family val="2"/>
          </rPr>
          <t>danfuss:</t>
        </r>
        <r>
          <rPr>
            <sz val="8"/>
            <color indexed="81"/>
            <rFont val="Tahoma"/>
            <family val="2"/>
          </rPr>
          <t xml:space="preserve">
2Q: $175mm Guidance
</t>
        </r>
        <r>
          <rPr>
            <b/>
            <sz val="8"/>
            <color indexed="81"/>
            <rFont val="Tahoma"/>
            <family val="2"/>
          </rPr>
          <t xml:space="preserve">10/10/11
</t>
        </r>
        <r>
          <rPr>
            <sz val="8"/>
            <color indexed="81"/>
            <rFont val="Tahoma"/>
            <family val="2"/>
          </rPr>
          <t>170 mn guidance</t>
        </r>
      </text>
    </comment>
    <comment ref="BP633" authorId="9">
      <text>
        <r>
          <rPr>
            <b/>
            <sz val="8"/>
            <color indexed="81"/>
            <rFont val="Tahoma"/>
            <family val="2"/>
          </rPr>
          <t>danfuss:</t>
        </r>
        <r>
          <rPr>
            <sz val="8"/>
            <color indexed="81"/>
            <rFont val="Tahoma"/>
            <family val="2"/>
          </rPr>
          <t xml:space="preserve">
2Q: $175mm Guidance
</t>
        </r>
        <r>
          <rPr>
            <b/>
            <sz val="8"/>
            <color indexed="81"/>
            <rFont val="Tahoma"/>
            <family val="2"/>
          </rPr>
          <t xml:space="preserve">10/10/11
</t>
        </r>
        <r>
          <rPr>
            <sz val="8"/>
            <color indexed="81"/>
            <rFont val="Tahoma"/>
            <family val="2"/>
          </rPr>
          <t>170 mn guidance</t>
        </r>
      </text>
    </comment>
    <comment ref="BU633" authorId="9">
      <text>
        <r>
          <rPr>
            <b/>
            <sz val="8"/>
            <color indexed="81"/>
            <rFont val="Tahoma"/>
            <family val="2"/>
          </rPr>
          <t>danfuss:</t>
        </r>
        <r>
          <rPr>
            <sz val="8"/>
            <color indexed="81"/>
            <rFont val="Tahoma"/>
            <family val="2"/>
          </rPr>
          <t xml:space="preserve">
$160mm Guidance</t>
        </r>
      </text>
    </comment>
    <comment ref="DD633" authorId="32">
      <text>
        <r>
          <rPr>
            <b/>
            <sz val="8"/>
            <color indexed="8"/>
            <rFont val="Tahoma"/>
            <family val="2"/>
          </rPr>
          <t>metlich:</t>
        </r>
        <r>
          <rPr>
            <sz val="8"/>
            <color indexed="8"/>
            <rFont val="Tahoma"/>
            <family val="2"/>
          </rPr>
          <t xml:space="preserve">
</t>
        </r>
        <r>
          <rPr>
            <sz val="9"/>
            <color indexed="8"/>
            <rFont val="Tahoma"/>
            <family val="2"/>
          </rPr>
          <t>modified from what was reported by taking out depreciation of senior living and distribution depreciation - get to total by adding lines on CF statement - D&amp;A and D&amp;A from discontinued ops</t>
        </r>
      </text>
    </comment>
    <comment ref="AN638" authorId="10">
      <text>
        <r>
          <rPr>
            <sz val="8"/>
            <color indexed="81"/>
            <rFont val="Tahoma"/>
            <family val="2"/>
          </rPr>
          <t>34.5%</t>
        </r>
      </text>
    </comment>
    <comment ref="AO638" authorId="10">
      <text>
        <r>
          <rPr>
            <sz val="8"/>
            <color indexed="81"/>
            <rFont val="Tahoma"/>
            <family val="2"/>
          </rPr>
          <t>34.9%</t>
        </r>
      </text>
    </comment>
    <comment ref="AP638" authorId="10">
      <text>
        <r>
          <rPr>
            <sz val="8"/>
            <color indexed="81"/>
            <rFont val="Tahoma"/>
            <family val="2"/>
          </rPr>
          <t>35.2%</t>
        </r>
      </text>
    </comment>
    <comment ref="AQ638" authorId="10">
      <text>
        <r>
          <rPr>
            <sz val="8"/>
            <color indexed="81"/>
            <rFont val="Tahoma"/>
            <family val="2"/>
          </rPr>
          <t>35.2%</t>
        </r>
      </text>
    </comment>
    <comment ref="AR638" authorId="10">
      <text>
        <r>
          <rPr>
            <sz val="8"/>
            <color indexed="81"/>
            <rFont val="Tahoma"/>
            <family val="2"/>
          </rPr>
          <t>34.5%</t>
        </r>
      </text>
    </comment>
    <comment ref="AS638" authorId="10">
      <text>
        <r>
          <rPr>
            <sz val="8"/>
            <color indexed="81"/>
            <rFont val="Tahoma"/>
            <family val="2"/>
          </rPr>
          <t>34.5%</t>
        </r>
      </text>
    </comment>
    <comment ref="AT638" authorId="10">
      <text>
        <r>
          <rPr>
            <sz val="8"/>
            <color indexed="81"/>
            <rFont val="Tahoma"/>
            <family val="2"/>
          </rPr>
          <t>35%</t>
        </r>
      </text>
    </comment>
    <comment ref="AU638" authorId="10">
      <text>
        <r>
          <rPr>
            <sz val="8"/>
            <color indexed="81"/>
            <rFont val="Tahoma"/>
            <family val="2"/>
          </rPr>
          <t>36%</t>
        </r>
      </text>
    </comment>
    <comment ref="AV638" authorId="10">
      <text>
        <r>
          <rPr>
            <sz val="8"/>
            <color indexed="81"/>
            <rFont val="Tahoma"/>
            <family val="2"/>
          </rPr>
          <t>33%</t>
        </r>
      </text>
    </comment>
    <comment ref="AW638" authorId="10">
      <text>
        <r>
          <rPr>
            <sz val="8"/>
            <color indexed="81"/>
            <rFont val="Tahoma"/>
            <family val="2"/>
          </rPr>
          <t>35.5%</t>
        </r>
      </text>
    </comment>
    <comment ref="AX638" authorId="10">
      <text>
        <r>
          <rPr>
            <sz val="8"/>
            <color indexed="81"/>
            <rFont val="Tahoma"/>
            <family val="2"/>
          </rPr>
          <t>35%-36%</t>
        </r>
      </text>
    </comment>
    <comment ref="AY638" authorId="10">
      <text>
        <r>
          <rPr>
            <sz val="8"/>
            <color indexed="81"/>
            <rFont val="Tahoma"/>
            <family val="2"/>
          </rPr>
          <t>36%</t>
        </r>
      </text>
    </comment>
    <comment ref="BA638" authorId="10">
      <text>
        <r>
          <rPr>
            <sz val="8"/>
            <color indexed="81"/>
            <rFont val="Tahoma"/>
            <family val="2"/>
          </rPr>
          <t>33%</t>
        </r>
      </text>
    </comment>
    <comment ref="BD638" authorId="10">
      <text>
        <r>
          <rPr>
            <sz val="8"/>
            <color indexed="81"/>
            <rFont val="Tahoma"/>
            <family val="2"/>
          </rPr>
          <t>39%</t>
        </r>
      </text>
    </comment>
    <comment ref="BE638" authorId="10">
      <text>
        <r>
          <rPr>
            <sz val="8"/>
            <color indexed="81"/>
            <rFont val="Tahoma"/>
            <family val="2"/>
          </rPr>
          <t>38%</t>
        </r>
      </text>
    </comment>
    <comment ref="BG638" authorId="10">
      <text>
        <r>
          <rPr>
            <sz val="8"/>
            <color indexed="81"/>
            <rFont val="Tahoma"/>
            <family val="2"/>
          </rPr>
          <t>36.5%</t>
        </r>
      </text>
    </comment>
    <comment ref="BH638" authorId="10">
      <text>
        <r>
          <rPr>
            <sz val="8"/>
            <color indexed="81"/>
            <rFont val="Tahoma"/>
            <family val="2"/>
          </rPr>
          <t>36%</t>
        </r>
      </text>
    </comment>
    <comment ref="BI638" authorId="10">
      <text>
        <r>
          <rPr>
            <sz val="8"/>
            <color indexed="81"/>
            <rFont val="Tahoma"/>
            <family val="2"/>
          </rPr>
          <t>36%</t>
        </r>
      </text>
    </comment>
    <comment ref="BJ638" authorId="10">
      <text>
        <r>
          <rPr>
            <sz val="8"/>
            <color indexed="81"/>
            <rFont val="Tahoma"/>
            <family val="2"/>
          </rPr>
          <t>35.5%</t>
        </r>
      </text>
    </comment>
    <comment ref="BK638" authorId="10">
      <text>
        <r>
          <rPr>
            <sz val="8"/>
            <color indexed="81"/>
            <rFont val="Tahoma"/>
            <family val="2"/>
          </rPr>
          <t>33%</t>
        </r>
      </text>
    </comment>
    <comment ref="BP638" authorId="10">
      <text>
        <r>
          <rPr>
            <sz val="8"/>
            <color indexed="81"/>
            <rFont val="Tahoma"/>
            <family val="2"/>
          </rPr>
          <t>33%</t>
        </r>
      </text>
    </comment>
    <comment ref="BZ638" authorId="7">
      <text>
        <r>
          <rPr>
            <b/>
            <sz val="8"/>
            <color indexed="81"/>
            <rFont val="Tahoma"/>
            <family val="2"/>
          </rPr>
          <t>thallen:</t>
        </r>
        <r>
          <rPr>
            <sz val="8"/>
            <color indexed="81"/>
            <rFont val="Tahoma"/>
            <family val="2"/>
          </rPr>
          <t xml:space="preserve">
Guidance (from 4Q12 earnings): 33%
Guidance 32% per 2Q13 earnings
Guidance 31.1% per 3Q13 earnings</t>
        </r>
      </text>
    </comment>
    <comment ref="CE638" authorId="1">
      <text>
        <r>
          <rPr>
            <sz val="9"/>
            <color indexed="81"/>
            <rFont val="Tahoma"/>
            <family val="2"/>
          </rPr>
          <t>Guidance: 
(2Q14): 32%
(1Q14): 32%</t>
        </r>
      </text>
    </comment>
    <comment ref="CJ638" authorId="1">
      <text>
        <r>
          <rPr>
            <sz val="9"/>
            <color indexed="81"/>
            <rFont val="Tahoma"/>
            <family val="2"/>
          </rPr>
          <t xml:space="preserve">Guidance: 
(3Q15): 32.3%
(4Q14): 32.3%
</t>
        </r>
      </text>
    </comment>
    <comment ref="CN638" authorId="2">
      <text>
        <r>
          <rPr>
            <b/>
            <sz val="9"/>
            <color indexed="81"/>
            <rFont val="Tahoma"/>
            <family val="2"/>
          </rPr>
          <t>Savino, Mark (Research):</t>
        </r>
        <r>
          <rPr>
            <sz val="9"/>
            <color indexed="81"/>
            <rFont val="Tahoma"/>
            <family val="2"/>
          </rPr>
          <t xml:space="preserve">
Guidance 32.5%</t>
        </r>
      </text>
    </comment>
    <comment ref="CO638" authorId="2">
      <text>
        <r>
          <rPr>
            <b/>
            <sz val="9"/>
            <color indexed="81"/>
            <rFont val="Tahoma"/>
            <family val="2"/>
          </rPr>
          <t>Savino, Mark (Research):</t>
        </r>
        <r>
          <rPr>
            <sz val="9"/>
            <color indexed="81"/>
            <rFont val="Tahoma"/>
            <family val="2"/>
          </rPr>
          <t xml:space="preserve">
4Q15: 32.3%</t>
        </r>
      </text>
    </comment>
    <comment ref="CP638" authorId="2">
      <text>
        <r>
          <rPr>
            <b/>
            <sz val="9"/>
            <color indexed="81"/>
            <rFont val="Tahoma"/>
            <family val="2"/>
          </rPr>
          <t>Savino, Mark (Research):</t>
        </r>
        <r>
          <rPr>
            <sz val="9"/>
            <color indexed="81"/>
            <rFont val="Tahoma"/>
            <family val="2"/>
          </rPr>
          <t xml:space="preserve">
4Q16: 23.8%</t>
        </r>
      </text>
    </comment>
    <comment ref="CQ638" authorId="2">
      <text>
        <r>
          <rPr>
            <b/>
            <sz val="9"/>
            <color indexed="81"/>
            <rFont val="Tahoma"/>
            <family val="2"/>
          </rPr>
          <t>Savino, Mark (Research):</t>
        </r>
        <r>
          <rPr>
            <sz val="9"/>
            <color indexed="81"/>
            <rFont val="Tahoma"/>
            <family val="2"/>
          </rPr>
          <t xml:space="preserve">
1Q17: 32.9%</t>
        </r>
      </text>
    </comment>
    <comment ref="CR638" authorId="2">
      <text>
        <r>
          <rPr>
            <b/>
            <sz val="9"/>
            <color indexed="81"/>
            <rFont val="Tahoma"/>
            <family val="2"/>
          </rPr>
          <t>Savino, Mark (Research):</t>
        </r>
        <r>
          <rPr>
            <sz val="9"/>
            <color indexed="81"/>
            <rFont val="Tahoma"/>
            <family val="2"/>
          </rPr>
          <t xml:space="preserve">
2Q17: 33%</t>
        </r>
      </text>
    </comment>
    <comment ref="CS638" authorId="2">
      <text>
        <r>
          <rPr>
            <b/>
            <sz val="9"/>
            <color indexed="81"/>
            <rFont val="Tahoma"/>
            <family val="2"/>
          </rPr>
          <t>Savino, Mark (Research):</t>
        </r>
        <r>
          <rPr>
            <sz val="9"/>
            <color indexed="81"/>
            <rFont val="Tahoma"/>
            <family val="2"/>
          </rPr>
          <t xml:space="preserve">
3Q17: 33.2%
2Q17: 33%</t>
        </r>
      </text>
    </comment>
    <comment ref="CT638" authorId="1">
      <text>
        <r>
          <rPr>
            <b/>
            <sz val="9"/>
            <color indexed="81"/>
            <rFont val="Tahoma"/>
            <family val="2"/>
          </rPr>
          <t>Allen, Thomas (Research):</t>
        </r>
        <r>
          <rPr>
            <sz val="9"/>
            <color indexed="81"/>
            <rFont val="Tahoma"/>
            <family val="2"/>
          </rPr>
          <t xml:space="preserve">
3Q17: 30.2%
2Q17: 30.5%
1Q17: 31.2%
4Q16: 30.8%
3Q16: Don't yet have a view on tax rates going fwd, current rate fair</t>
        </r>
      </text>
    </comment>
    <comment ref="CY638" authorId="2">
      <text>
        <r>
          <rPr>
            <b/>
            <sz val="9"/>
            <color indexed="81"/>
            <rFont val="Tahoma"/>
            <family val="2"/>
          </rPr>
          <t>Savino, Mark (Research):</t>
        </r>
        <r>
          <rPr>
            <sz val="9"/>
            <color indexed="81"/>
            <rFont val="Tahoma"/>
            <family val="2"/>
          </rPr>
          <t xml:space="preserve">
4Q17: 22%</t>
        </r>
      </text>
    </comment>
    <comment ref="CZ638" authorId="1">
      <text>
        <r>
          <rPr>
            <b/>
            <sz val="9"/>
            <color indexed="81"/>
            <rFont val="Tahoma"/>
            <family val="2"/>
          </rPr>
          <t>Allen, Thomas (Research):</t>
        </r>
        <r>
          <rPr>
            <sz val="9"/>
            <color indexed="81"/>
            <rFont val="Tahoma"/>
            <family val="2"/>
          </rPr>
          <t xml:space="preserve">
3/21/17: 31% avg rate, 33% before windfall
Tax reform: US tax rates cut by 14%, MAR 70% US mix, so 10% lower, implies 23%</t>
        </r>
      </text>
    </comment>
    <comment ref="BN639" authorId="9">
      <text>
        <r>
          <rPr>
            <b/>
            <sz val="8"/>
            <color indexed="81"/>
            <rFont val="Tahoma"/>
            <family val="2"/>
          </rPr>
          <t>danfuss:</t>
        </r>
        <r>
          <rPr>
            <sz val="8"/>
            <color indexed="81"/>
            <rFont val="Tahoma"/>
            <family val="2"/>
          </rPr>
          <t xml:space="preserve">
49 ex timeshare writedown</t>
        </r>
      </text>
    </comment>
    <comment ref="CE639" authorId="1">
      <text>
        <r>
          <rPr>
            <b/>
            <sz val="9"/>
            <color indexed="81"/>
            <rFont val="Tahoma"/>
            <family val="2"/>
          </rPr>
          <t>Guidance:</t>
        </r>
        <r>
          <rPr>
            <sz val="9"/>
            <color indexed="81"/>
            <rFont val="Tahoma"/>
            <family val="2"/>
          </rPr>
          <t xml:space="preserve">
Guidance (1Q14):
$331-335m
Guidance (1Q14):
$307-325m</t>
        </r>
      </text>
    </comment>
    <comment ref="CJ639" authorId="1">
      <text>
        <r>
          <rPr>
            <b/>
            <sz val="9"/>
            <color indexed="81"/>
            <rFont val="Tahoma"/>
            <family val="2"/>
          </rPr>
          <t>Guidance:</t>
        </r>
        <r>
          <rPr>
            <sz val="9"/>
            <color indexed="81"/>
            <rFont val="Tahoma"/>
            <family val="2"/>
          </rPr>
          <t xml:space="preserve">
Guidance (4Q14):
$392-408m
</t>
        </r>
      </text>
    </comment>
    <comment ref="CT639" authorId="12">
      <text>
        <r>
          <rPr>
            <sz val="8"/>
            <color indexed="81"/>
            <rFont val="Tahoma"/>
            <family val="2"/>
          </rPr>
          <t>Guidance:
Legacy MAR: per Analyst Day (9/8/14), $460-520 million</t>
        </r>
        <r>
          <rPr>
            <b/>
            <sz val="8"/>
            <color indexed="81"/>
            <rFont val="Tahoma"/>
            <family val="2"/>
          </rPr>
          <t xml:space="preserve">
</t>
        </r>
      </text>
    </comment>
    <comment ref="CM642" authorId="2">
      <text>
        <r>
          <rPr>
            <b/>
            <sz val="9"/>
            <color indexed="81"/>
            <rFont val="Tahoma"/>
            <family val="2"/>
          </rPr>
          <t>Savino, Mark (Research):</t>
        </r>
        <r>
          <rPr>
            <sz val="9"/>
            <color indexed="81"/>
            <rFont val="Tahoma"/>
            <family val="2"/>
          </rPr>
          <t xml:space="preserve">
MSe</t>
        </r>
      </text>
    </comment>
    <comment ref="CJ644" authorId="1">
      <text>
        <r>
          <rPr>
            <b/>
            <sz val="9"/>
            <color indexed="81"/>
            <rFont val="Tahoma"/>
            <family val="2"/>
          </rPr>
          <t>Allen, Thomas (Research):</t>
        </r>
        <r>
          <rPr>
            <sz val="9"/>
            <color indexed="81"/>
            <rFont val="Tahoma"/>
            <family val="2"/>
          </rPr>
          <t xml:space="preserve">
Pro forma $14,920</t>
        </r>
      </text>
    </comment>
    <comment ref="Y645" authorId="8">
      <text>
        <r>
          <rPr>
            <b/>
            <sz val="8"/>
            <color indexed="8"/>
            <rFont val="Tahoma"/>
            <family val="2"/>
          </rPr>
          <t>melletc:</t>
        </r>
        <r>
          <rPr>
            <sz val="8"/>
            <color indexed="8"/>
            <rFont val="Tahoma"/>
            <family val="2"/>
          </rPr>
          <t xml:space="preserve">
Reflects shift from ESOs to restricted stock</t>
        </r>
      </text>
    </comment>
    <comment ref="Z645" authorId="8">
      <text>
        <r>
          <rPr>
            <b/>
            <sz val="8"/>
            <color indexed="8"/>
            <rFont val="Tahoma"/>
            <family val="2"/>
          </rPr>
          <t>melletc:</t>
        </r>
        <r>
          <rPr>
            <sz val="8"/>
            <color indexed="8"/>
            <rFont val="Tahoma"/>
            <family val="2"/>
          </rPr>
          <t xml:space="preserve">
Reflects shift from ESOs to restricted stock</t>
        </r>
      </text>
    </comment>
    <comment ref="AA645" authorId="8">
      <text>
        <r>
          <rPr>
            <b/>
            <sz val="8"/>
            <color indexed="8"/>
            <rFont val="Tahoma"/>
            <family val="2"/>
          </rPr>
          <t>melletc:</t>
        </r>
        <r>
          <rPr>
            <sz val="8"/>
            <color indexed="8"/>
            <rFont val="Tahoma"/>
            <family val="2"/>
          </rPr>
          <t xml:space="preserve">
Reflects shift from ESOs to restricted stock</t>
        </r>
      </text>
    </comment>
    <comment ref="AC645" authorId="8">
      <text>
        <r>
          <rPr>
            <b/>
            <sz val="8"/>
            <color indexed="8"/>
            <rFont val="Tahoma"/>
            <family val="2"/>
          </rPr>
          <t>melletc:</t>
        </r>
        <r>
          <rPr>
            <sz val="8"/>
            <color indexed="8"/>
            <rFont val="Tahoma"/>
            <family val="2"/>
          </rPr>
          <t xml:space="preserve">
Reflects shift from ESOs to restricted stock</t>
        </r>
      </text>
    </comment>
    <comment ref="AD645" authorId="8">
      <text>
        <r>
          <rPr>
            <b/>
            <sz val="8"/>
            <color indexed="8"/>
            <rFont val="Tahoma"/>
            <family val="2"/>
          </rPr>
          <t>melletc:</t>
        </r>
        <r>
          <rPr>
            <sz val="8"/>
            <color indexed="8"/>
            <rFont val="Tahoma"/>
            <family val="2"/>
          </rPr>
          <t xml:space="preserve">
Reflects shift from ESOs to restricted stock</t>
        </r>
      </text>
    </comment>
    <comment ref="AE645" authorId="8">
      <text>
        <r>
          <rPr>
            <b/>
            <sz val="8"/>
            <color indexed="8"/>
            <rFont val="Tahoma"/>
            <family val="2"/>
          </rPr>
          <t>melletc:</t>
        </r>
        <r>
          <rPr>
            <sz val="8"/>
            <color indexed="8"/>
            <rFont val="Tahoma"/>
            <family val="2"/>
          </rPr>
          <t xml:space="preserve">
Reflects shift from ESOs to restricted stock</t>
        </r>
      </text>
    </comment>
    <comment ref="AF645" authorId="8">
      <text>
        <r>
          <rPr>
            <b/>
            <sz val="8"/>
            <color indexed="8"/>
            <rFont val="Tahoma"/>
            <family val="2"/>
          </rPr>
          <t>melletc:</t>
        </r>
        <r>
          <rPr>
            <sz val="8"/>
            <color indexed="8"/>
            <rFont val="Tahoma"/>
            <family val="2"/>
          </rPr>
          <t xml:space="preserve">
Reflects shift from ESOs to restricted stock</t>
        </r>
      </text>
    </comment>
    <comment ref="AH645" authorId="8">
      <text>
        <r>
          <rPr>
            <b/>
            <sz val="8"/>
            <color indexed="8"/>
            <rFont val="Tahoma"/>
            <family val="2"/>
          </rPr>
          <t>melletc:</t>
        </r>
        <r>
          <rPr>
            <sz val="8"/>
            <color indexed="8"/>
            <rFont val="Tahoma"/>
            <family val="2"/>
          </rPr>
          <t xml:space="preserve">
Reflects shift from ESOs to restricted stock</t>
        </r>
      </text>
    </comment>
    <comment ref="AI645" authorId="8">
      <text>
        <r>
          <rPr>
            <b/>
            <sz val="8"/>
            <color indexed="8"/>
            <rFont val="Tahoma"/>
            <family val="2"/>
          </rPr>
          <t>melletc:</t>
        </r>
        <r>
          <rPr>
            <sz val="8"/>
            <color indexed="8"/>
            <rFont val="Tahoma"/>
            <family val="2"/>
          </rPr>
          <t xml:space="preserve">
Reflects shift from ESOs to restricted stock</t>
        </r>
      </text>
    </comment>
    <comment ref="AJ645" authorId="8">
      <text>
        <r>
          <rPr>
            <b/>
            <sz val="8"/>
            <color indexed="8"/>
            <rFont val="Tahoma"/>
            <family val="2"/>
          </rPr>
          <t>melletc:</t>
        </r>
        <r>
          <rPr>
            <sz val="8"/>
            <color indexed="8"/>
            <rFont val="Tahoma"/>
            <family val="2"/>
          </rPr>
          <t xml:space="preserve">
Reflects shift from ESOs to restricted stock</t>
        </r>
      </text>
    </comment>
    <comment ref="AK645" authorId="8">
      <text>
        <r>
          <rPr>
            <b/>
            <sz val="8"/>
            <color indexed="8"/>
            <rFont val="Tahoma"/>
            <family val="2"/>
          </rPr>
          <t>melletc:</t>
        </r>
        <r>
          <rPr>
            <sz val="8"/>
            <color indexed="8"/>
            <rFont val="Tahoma"/>
            <family val="2"/>
          </rPr>
          <t xml:space="preserve">
Reflects shift from ESOs to restricted stock</t>
        </r>
      </text>
    </comment>
    <comment ref="AD647" authorId="14">
      <text>
        <r>
          <rPr>
            <b/>
            <sz val="10"/>
            <color indexed="8"/>
            <rFont val="Tahoma"/>
            <family val="2"/>
          </rPr>
          <t>Celeste Mellet Brown:</t>
        </r>
        <r>
          <rPr>
            <sz val="10"/>
            <color indexed="8"/>
            <rFont val="Tahoma"/>
            <family val="2"/>
          </rPr>
          <t xml:space="preserve">
backed out $10mm syn fuel gain</t>
        </r>
      </text>
    </comment>
    <comment ref="AG647" authorId="14">
      <text>
        <r>
          <rPr>
            <b/>
            <sz val="8"/>
            <color indexed="8"/>
            <rFont val="Tahoma"/>
            <family val="2"/>
          </rPr>
          <t>Celeste Mellet Brown:</t>
        </r>
        <r>
          <rPr>
            <sz val="8"/>
            <color indexed="8"/>
            <rFont val="Tahoma"/>
            <family val="2"/>
          </rPr>
          <t xml:space="preserve">
Gudiance for gains of $75-85mm</t>
        </r>
      </text>
    </comment>
    <comment ref="BU647" authorId="12">
      <text>
        <r>
          <rPr>
            <b/>
            <sz val="8"/>
            <color indexed="81"/>
            <rFont val="Tahoma"/>
            <family val="2"/>
          </rPr>
          <t>jills:</t>
        </r>
        <r>
          <rPr>
            <sz val="8"/>
            <color indexed="81"/>
            <rFont val="Tahoma"/>
            <family val="2"/>
          </rPr>
          <t xml:space="preserve">
gain on sale of an equity interest in a North American limited-service joint venture</t>
        </r>
      </text>
    </comment>
    <comment ref="AD648" authorId="14">
      <text>
        <r>
          <rPr>
            <b/>
            <sz val="10"/>
            <color indexed="8"/>
            <rFont val="Tahoma"/>
            <family val="2"/>
          </rPr>
          <t>Celeste Mellet Brown:</t>
        </r>
        <r>
          <rPr>
            <sz val="10"/>
            <color indexed="8"/>
            <rFont val="Tahoma"/>
            <family val="2"/>
          </rPr>
          <t xml:space="preserve">
Includes $7mm charge to reflect increase in disciunt rate used to value interest only strips in light of increasing interest rate environment</t>
        </r>
      </text>
    </comment>
    <comment ref="AM648" authorId="4">
      <text>
        <r>
          <rPr>
            <b/>
            <sz val="8"/>
            <color indexed="8"/>
            <rFont val="Tahoma"/>
            <family val="2"/>
          </rPr>
          <t>urbank:</t>
        </r>
        <r>
          <rPr>
            <sz val="8"/>
            <color indexed="8"/>
            <rFont val="Tahoma"/>
            <family val="2"/>
          </rPr>
          <t xml:space="preserve">
2006 forward will include TS note sale gains above line in TS income</t>
        </r>
      </text>
    </comment>
    <comment ref="AN648" authorId="4">
      <text>
        <r>
          <rPr>
            <b/>
            <sz val="8"/>
            <color indexed="8"/>
            <rFont val="Tahoma"/>
            <family val="2"/>
          </rPr>
          <t>urbank:</t>
        </r>
        <r>
          <rPr>
            <sz val="8"/>
            <color indexed="8"/>
            <rFont val="Tahoma"/>
            <family val="2"/>
          </rPr>
          <t xml:space="preserve">
2006 forward will include TS note sale gains above line in TS income</t>
        </r>
      </text>
    </comment>
    <comment ref="AO648" authorId="4">
      <text>
        <r>
          <rPr>
            <b/>
            <sz val="8"/>
            <color indexed="8"/>
            <rFont val="Tahoma"/>
            <family val="2"/>
          </rPr>
          <t>urbank:</t>
        </r>
        <r>
          <rPr>
            <sz val="8"/>
            <color indexed="8"/>
            <rFont val="Tahoma"/>
            <family val="2"/>
          </rPr>
          <t xml:space="preserve">
2006 forward will include TS note sale gains above line in TS income</t>
        </r>
      </text>
    </comment>
    <comment ref="AP648" authorId="4">
      <text>
        <r>
          <rPr>
            <b/>
            <sz val="8"/>
            <color indexed="8"/>
            <rFont val="Tahoma"/>
            <family val="2"/>
          </rPr>
          <t>urbank:</t>
        </r>
        <r>
          <rPr>
            <sz val="8"/>
            <color indexed="8"/>
            <rFont val="Tahoma"/>
            <family val="2"/>
          </rPr>
          <t xml:space="preserve">
2006 forward will include TS note sale gains above line in TS income</t>
        </r>
      </text>
    </comment>
    <comment ref="AQ648" authorId="4">
      <text>
        <r>
          <rPr>
            <b/>
            <sz val="8"/>
            <color indexed="8"/>
            <rFont val="Tahoma"/>
            <family val="2"/>
          </rPr>
          <t>urbank:</t>
        </r>
        <r>
          <rPr>
            <sz val="8"/>
            <color indexed="8"/>
            <rFont val="Tahoma"/>
            <family val="2"/>
          </rPr>
          <t xml:space="preserve">
2006 forward will include TS note sale gains above line in TS income</t>
        </r>
      </text>
    </comment>
    <comment ref="AR648" authorId="4">
      <text>
        <r>
          <rPr>
            <b/>
            <sz val="8"/>
            <color indexed="8"/>
            <rFont val="Tahoma"/>
            <family val="2"/>
          </rPr>
          <t>urbank:</t>
        </r>
        <r>
          <rPr>
            <sz val="8"/>
            <color indexed="8"/>
            <rFont val="Tahoma"/>
            <family val="2"/>
          </rPr>
          <t xml:space="preserve">
2006 forward will include TS note sale gains above line in TS income</t>
        </r>
      </text>
    </comment>
    <comment ref="AS648" authorId="4">
      <text>
        <r>
          <rPr>
            <b/>
            <sz val="8"/>
            <color indexed="8"/>
            <rFont val="Tahoma"/>
            <family val="2"/>
          </rPr>
          <t>urbank:</t>
        </r>
        <r>
          <rPr>
            <sz val="8"/>
            <color indexed="8"/>
            <rFont val="Tahoma"/>
            <family val="2"/>
          </rPr>
          <t xml:space="preserve">
2006 forward will include TS note sale gains above line in TS income</t>
        </r>
      </text>
    </comment>
    <comment ref="AT648" authorId="4">
      <text>
        <r>
          <rPr>
            <b/>
            <sz val="8"/>
            <color indexed="8"/>
            <rFont val="Tahoma"/>
            <family val="2"/>
          </rPr>
          <t>urbank:</t>
        </r>
        <r>
          <rPr>
            <sz val="8"/>
            <color indexed="8"/>
            <rFont val="Tahoma"/>
            <family val="2"/>
          </rPr>
          <t xml:space="preserve">
2006 forward will include TS note sale gains above line in TS income</t>
        </r>
      </text>
    </comment>
    <comment ref="AU648" authorId="4">
      <text>
        <r>
          <rPr>
            <b/>
            <sz val="8"/>
            <color indexed="8"/>
            <rFont val="Tahoma"/>
            <family val="2"/>
          </rPr>
          <t>urbank:</t>
        </r>
        <r>
          <rPr>
            <sz val="8"/>
            <color indexed="8"/>
            <rFont val="Tahoma"/>
            <family val="2"/>
          </rPr>
          <t xml:space="preserve">
2006 forward will include TS note sale gains above line in TS income</t>
        </r>
      </text>
    </comment>
    <comment ref="AW648" authorId="4">
      <text>
        <r>
          <rPr>
            <b/>
            <sz val="8"/>
            <color indexed="8"/>
            <rFont val="Tahoma"/>
            <family val="2"/>
          </rPr>
          <t>urbank:</t>
        </r>
        <r>
          <rPr>
            <sz val="8"/>
            <color indexed="8"/>
            <rFont val="Tahoma"/>
            <family val="2"/>
          </rPr>
          <t xml:space="preserve">
2006 forward will include TS note sale gains above line in TS income</t>
        </r>
      </text>
    </comment>
    <comment ref="AX648" authorId="4">
      <text>
        <r>
          <rPr>
            <b/>
            <sz val="8"/>
            <color indexed="8"/>
            <rFont val="Tahoma"/>
            <family val="2"/>
          </rPr>
          <t>urbank:</t>
        </r>
        <r>
          <rPr>
            <sz val="8"/>
            <color indexed="8"/>
            <rFont val="Tahoma"/>
            <family val="2"/>
          </rPr>
          <t xml:space="preserve">
2006 forward will include TS note sale gains above line in TS income</t>
        </r>
      </text>
    </comment>
    <comment ref="AY648" authorId="4">
      <text>
        <r>
          <rPr>
            <b/>
            <sz val="8"/>
            <color indexed="8"/>
            <rFont val="Tahoma"/>
            <family val="2"/>
          </rPr>
          <t>urbank:</t>
        </r>
        <r>
          <rPr>
            <sz val="8"/>
            <color indexed="8"/>
            <rFont val="Tahoma"/>
            <family val="2"/>
          </rPr>
          <t xml:space="preserve">
2006 forward will include TS note sale gains above line in TS income</t>
        </r>
      </text>
    </comment>
    <comment ref="AZ648" authorId="4">
      <text>
        <r>
          <rPr>
            <b/>
            <sz val="8"/>
            <color indexed="8"/>
            <rFont val="Tahoma"/>
            <family val="2"/>
          </rPr>
          <t>urbank:</t>
        </r>
        <r>
          <rPr>
            <sz val="8"/>
            <color indexed="8"/>
            <rFont val="Tahoma"/>
            <family val="2"/>
          </rPr>
          <t xml:space="preserve">
2006 forward will include TS note sale gains above line in TS income</t>
        </r>
      </text>
    </comment>
    <comment ref="BB648" authorId="4">
      <text>
        <r>
          <rPr>
            <b/>
            <sz val="8"/>
            <color indexed="8"/>
            <rFont val="Tahoma"/>
            <family val="2"/>
          </rPr>
          <t>urbank:</t>
        </r>
        <r>
          <rPr>
            <sz val="8"/>
            <color indexed="8"/>
            <rFont val="Tahoma"/>
            <family val="2"/>
          </rPr>
          <t xml:space="preserve">
2006 forward will include TS note sale gains above line in TS income</t>
        </r>
      </text>
    </comment>
    <comment ref="BC648" authorId="4">
      <text>
        <r>
          <rPr>
            <b/>
            <sz val="8"/>
            <color indexed="8"/>
            <rFont val="Tahoma"/>
            <family val="2"/>
          </rPr>
          <t>urbank:</t>
        </r>
        <r>
          <rPr>
            <sz val="8"/>
            <color indexed="8"/>
            <rFont val="Tahoma"/>
            <family val="2"/>
          </rPr>
          <t xml:space="preserve">
2006 forward will include TS note sale gains above line in TS income</t>
        </r>
      </text>
    </comment>
    <comment ref="BD648" authorId="4">
      <text>
        <r>
          <rPr>
            <b/>
            <sz val="8"/>
            <color indexed="8"/>
            <rFont val="Tahoma"/>
            <family val="2"/>
          </rPr>
          <t>urbank:</t>
        </r>
        <r>
          <rPr>
            <sz val="8"/>
            <color indexed="8"/>
            <rFont val="Tahoma"/>
            <family val="2"/>
          </rPr>
          <t xml:space="preserve">
2006 forward will include TS note sale gains above line in TS income</t>
        </r>
      </text>
    </comment>
    <comment ref="BE648" authorId="4">
      <text>
        <r>
          <rPr>
            <b/>
            <sz val="8"/>
            <color indexed="8"/>
            <rFont val="Tahoma"/>
            <family val="2"/>
          </rPr>
          <t>urbank:</t>
        </r>
        <r>
          <rPr>
            <sz val="8"/>
            <color indexed="8"/>
            <rFont val="Tahoma"/>
            <family val="2"/>
          </rPr>
          <t xml:space="preserve">
2006 forward will include TS note sale gains above line in TS income</t>
        </r>
      </text>
    </comment>
    <comment ref="BG648" authorId="4">
      <text>
        <r>
          <rPr>
            <b/>
            <sz val="8"/>
            <color indexed="8"/>
            <rFont val="Tahoma"/>
            <family val="2"/>
          </rPr>
          <t>urbank:</t>
        </r>
        <r>
          <rPr>
            <sz val="8"/>
            <color indexed="8"/>
            <rFont val="Tahoma"/>
            <family val="2"/>
          </rPr>
          <t xml:space="preserve">
2006 forward will include TS note sale gains above line in TS income</t>
        </r>
      </text>
    </comment>
    <comment ref="BH648" authorId="4">
      <text>
        <r>
          <rPr>
            <b/>
            <sz val="8"/>
            <color indexed="8"/>
            <rFont val="Tahoma"/>
            <family val="2"/>
          </rPr>
          <t>urbank:</t>
        </r>
        <r>
          <rPr>
            <sz val="8"/>
            <color indexed="8"/>
            <rFont val="Tahoma"/>
            <family val="2"/>
          </rPr>
          <t xml:space="preserve">
2006 forward will include TS note sale gains above line in TS income</t>
        </r>
      </text>
    </comment>
    <comment ref="BI648" authorId="4">
      <text>
        <r>
          <rPr>
            <b/>
            <sz val="8"/>
            <color indexed="8"/>
            <rFont val="Tahoma"/>
            <family val="2"/>
          </rPr>
          <t>urbank:</t>
        </r>
        <r>
          <rPr>
            <sz val="8"/>
            <color indexed="8"/>
            <rFont val="Tahoma"/>
            <family val="2"/>
          </rPr>
          <t xml:space="preserve">
2006 forward will include TS note sale gains above line in TS income</t>
        </r>
      </text>
    </comment>
    <comment ref="BJ648" authorId="4">
      <text>
        <r>
          <rPr>
            <b/>
            <sz val="8"/>
            <color indexed="8"/>
            <rFont val="Tahoma"/>
            <family val="2"/>
          </rPr>
          <t>urbank:</t>
        </r>
        <r>
          <rPr>
            <sz val="8"/>
            <color indexed="8"/>
            <rFont val="Tahoma"/>
            <family val="2"/>
          </rPr>
          <t xml:space="preserve">
2006 forward will include TS note sale gains above line in TS income</t>
        </r>
      </text>
    </comment>
    <comment ref="AA649" authorId="21">
      <text>
        <r>
          <rPr>
            <b/>
            <sz val="8"/>
            <color indexed="8"/>
            <rFont val="Tahoma"/>
            <family val="2"/>
          </rPr>
          <t>Chris Metli:</t>
        </r>
        <r>
          <rPr>
            <sz val="8"/>
            <color indexed="8"/>
            <rFont val="Tahoma"/>
            <family val="2"/>
          </rPr>
          <t xml:space="preserve">
Includes $10 mm from sale of an international joint venture.</t>
        </r>
      </text>
    </comment>
    <comment ref="AE649" authorId="21">
      <text>
        <r>
          <rPr>
            <b/>
            <sz val="10"/>
            <color indexed="8"/>
            <rFont val="Tahoma"/>
            <family val="2"/>
          </rPr>
          <t>Chris Metli:</t>
        </r>
        <r>
          <rPr>
            <sz val="10"/>
            <color indexed="8"/>
            <rFont val="Tahoma"/>
            <family val="2"/>
          </rPr>
          <t xml:space="preserve">
Gain on selling remining Ramanda &amp; Days Inn JV to Cendant</t>
        </r>
      </text>
    </comment>
    <comment ref="AF649" authorId="21">
      <text>
        <r>
          <rPr>
            <b/>
            <sz val="10"/>
            <color indexed="8"/>
            <rFont val="Tahoma"/>
            <family val="2"/>
          </rPr>
          <t>Chris Metli:</t>
        </r>
        <r>
          <rPr>
            <sz val="10"/>
            <color indexed="8"/>
            <rFont val="Tahoma"/>
            <family val="2"/>
          </rPr>
          <t xml:space="preserve">
Gain on selling remining Ramanda &amp; Days Inn JV to Cendant</t>
        </r>
      </text>
    </comment>
    <comment ref="AU649" authorId="4">
      <text>
        <r>
          <rPr>
            <b/>
            <sz val="8"/>
            <color indexed="8"/>
            <rFont val="Tahoma"/>
            <family val="2"/>
          </rPr>
          <t>urbank:</t>
        </r>
        <r>
          <rPr>
            <sz val="9"/>
            <color indexed="8"/>
            <rFont val="Tahoma"/>
            <family val="2"/>
          </rPr>
          <t xml:space="preserve">
other gains</t>
        </r>
      </text>
    </comment>
    <comment ref="AW649" authorId="4">
      <text>
        <r>
          <rPr>
            <b/>
            <sz val="8"/>
            <color indexed="8"/>
            <rFont val="Tahoma"/>
            <family val="2"/>
          </rPr>
          <t>urbank:</t>
        </r>
        <r>
          <rPr>
            <sz val="9"/>
            <color indexed="8"/>
            <rFont val="Tahoma"/>
            <family val="2"/>
          </rPr>
          <t xml:space="preserve">
other gains</t>
        </r>
      </text>
    </comment>
    <comment ref="BZ658" authorId="1">
      <text>
        <r>
          <rPr>
            <b/>
            <sz val="9"/>
            <color indexed="81"/>
            <rFont val="Tahoma"/>
            <family val="2"/>
          </rPr>
          <t>Allen, Thomas (Research):</t>
        </r>
        <r>
          <rPr>
            <sz val="9"/>
            <color indexed="81"/>
            <rFont val="Tahoma"/>
            <family val="2"/>
          </rPr>
          <t xml:space="preserve">
Per mgmt, contract acq running $60-70m / year</t>
        </r>
      </text>
    </comment>
    <comment ref="CE658" authorId="1">
      <text>
        <r>
          <rPr>
            <b/>
            <sz val="9"/>
            <color indexed="81"/>
            <rFont val="Tahoma"/>
            <family val="2"/>
          </rPr>
          <t>Allen, Thomas (Research):</t>
        </r>
        <r>
          <rPr>
            <sz val="9"/>
            <color indexed="81"/>
            <rFont val="Tahoma"/>
            <family val="2"/>
          </rPr>
          <t xml:space="preserve">
Per mgmt, contract acq running $60-70m / year</t>
        </r>
      </text>
    </comment>
    <comment ref="CZ658" authorId="1">
      <text>
        <r>
          <rPr>
            <b/>
            <sz val="9"/>
            <color indexed="81"/>
            <rFont val="Tahoma"/>
            <family val="2"/>
          </rPr>
          <t>Allen, Thomas (Research):</t>
        </r>
        <r>
          <rPr>
            <sz val="9"/>
            <color indexed="81"/>
            <rFont val="Tahoma"/>
            <family val="2"/>
          </rPr>
          <t xml:space="preserve">
Contract acq's 45% of $1.5-1.7B cumulative btw 2017-2019</t>
        </r>
      </text>
    </comment>
    <comment ref="CZ659" authorId="1">
      <text>
        <r>
          <rPr>
            <b/>
            <sz val="9"/>
            <color indexed="81"/>
            <rFont val="Tahoma"/>
            <family val="2"/>
          </rPr>
          <t>Allen, Thomas (Research):</t>
        </r>
        <r>
          <rPr>
            <sz val="9"/>
            <color indexed="81"/>
            <rFont val="Tahoma"/>
            <family val="2"/>
          </rPr>
          <t xml:space="preserve">
3% of $1.5-1.7B cumulative btw 2017-2019</t>
        </r>
      </text>
    </comment>
    <comment ref="CZ660" authorId="1">
      <text>
        <r>
          <rPr>
            <b/>
            <sz val="9"/>
            <color indexed="81"/>
            <rFont val="Tahoma"/>
            <family val="2"/>
          </rPr>
          <t>Allen, Thomas (Research):</t>
        </r>
        <r>
          <rPr>
            <sz val="9"/>
            <color indexed="81"/>
            <rFont val="Tahoma"/>
            <family val="2"/>
          </rPr>
          <t xml:space="preserve">
19% of $1.5-1.7B cumulative btw 2017-2019</t>
        </r>
      </text>
    </comment>
    <comment ref="AV661" authorId="9">
      <text>
        <r>
          <rPr>
            <b/>
            <sz val="8"/>
            <color indexed="81"/>
            <rFont val="Tahoma"/>
            <family val="2"/>
          </rPr>
          <t>DJF:</t>
        </r>
        <r>
          <rPr>
            <sz val="8"/>
            <color indexed="81"/>
            <rFont val="Tahoma"/>
            <family val="2"/>
          </rPr>
          <t xml:space="preserve">
</t>
        </r>
        <r>
          <rPr>
            <b/>
            <sz val="8"/>
            <color indexed="81"/>
            <rFont val="Tahoma"/>
            <family val="2"/>
          </rPr>
          <t>2Q Earnings:</t>
        </r>
        <r>
          <rPr>
            <sz val="8"/>
            <color indexed="81"/>
            <rFont val="Tahoma"/>
            <family val="2"/>
          </rPr>
          <t xml:space="preserve">
"Investment Spending will total approx. 500mm - 700mm, including 50-100mm for maintenance capex.  Investment spending will also include other capex (including property acquisitions), new mezzanine financing and mortgage note, contract acquisition costs, and equity and other investments"
</t>
        </r>
        <r>
          <rPr>
            <b/>
            <sz val="8"/>
            <color indexed="81"/>
            <rFont val="Tahoma"/>
            <family val="2"/>
          </rPr>
          <t xml:space="preserve">DJF 10/10/11:
</t>
        </r>
        <r>
          <rPr>
            <sz val="8"/>
            <color indexed="81"/>
            <rFont val="Tahoma"/>
            <family val="2"/>
          </rPr>
          <t>Lessened to $500 - $600 mn
Question: How much "hotel acquisition" is baked into this number?</t>
        </r>
      </text>
    </comment>
    <comment ref="BA661" authorId="9">
      <text>
        <r>
          <rPr>
            <b/>
            <sz val="8"/>
            <color indexed="81"/>
            <rFont val="Tahoma"/>
            <family val="2"/>
          </rPr>
          <t>DJF:</t>
        </r>
        <r>
          <rPr>
            <sz val="8"/>
            <color indexed="81"/>
            <rFont val="Tahoma"/>
            <family val="2"/>
          </rPr>
          <t xml:space="preserve">
</t>
        </r>
        <r>
          <rPr>
            <b/>
            <sz val="8"/>
            <color indexed="81"/>
            <rFont val="Tahoma"/>
            <family val="2"/>
          </rPr>
          <t>2Q Earnings:</t>
        </r>
        <r>
          <rPr>
            <sz val="8"/>
            <color indexed="81"/>
            <rFont val="Tahoma"/>
            <family val="2"/>
          </rPr>
          <t xml:space="preserve">
"Investment Spending will total approx. 500mm - 700mm, including 50-100mm for maintenance capex.  Investment spending will also include other capex (including property acquisitions), new mezzanine financing and mortgage note, contract acquisition costs, and equity and other investments"
</t>
        </r>
        <r>
          <rPr>
            <b/>
            <sz val="8"/>
            <color indexed="81"/>
            <rFont val="Tahoma"/>
            <family val="2"/>
          </rPr>
          <t xml:space="preserve">DJF 10/10/11:
</t>
        </r>
        <r>
          <rPr>
            <sz val="8"/>
            <color indexed="81"/>
            <rFont val="Tahoma"/>
            <family val="2"/>
          </rPr>
          <t>Lessened to $500 - $600 mn
Question: How much "hotel acquisition" is baked into this number?</t>
        </r>
      </text>
    </comment>
    <comment ref="BK661" authorId="9">
      <text>
        <r>
          <rPr>
            <b/>
            <sz val="8"/>
            <color indexed="81"/>
            <rFont val="Tahoma"/>
            <family val="2"/>
          </rPr>
          <t>DJF:</t>
        </r>
        <r>
          <rPr>
            <sz val="8"/>
            <color indexed="81"/>
            <rFont val="Tahoma"/>
            <family val="2"/>
          </rPr>
          <t xml:space="preserve">
</t>
        </r>
        <r>
          <rPr>
            <b/>
            <sz val="8"/>
            <color indexed="81"/>
            <rFont val="Tahoma"/>
            <family val="2"/>
          </rPr>
          <t>2Q Earnings:</t>
        </r>
        <r>
          <rPr>
            <sz val="8"/>
            <color indexed="81"/>
            <rFont val="Tahoma"/>
            <family val="2"/>
          </rPr>
          <t xml:space="preserve">
"Investment Spending will total approx. 500mm - 700mm, including 50-100mm for maintenance capex.  Investment spending will also include other capex (including property acquisitions), new mezzanine financing and mortgage note, contract acquisition costs, and equity and other investments"
</t>
        </r>
        <r>
          <rPr>
            <b/>
            <sz val="8"/>
            <color indexed="81"/>
            <rFont val="Tahoma"/>
            <family val="2"/>
          </rPr>
          <t xml:space="preserve">DJF 10/10/11:
</t>
        </r>
        <r>
          <rPr>
            <sz val="8"/>
            <color indexed="81"/>
            <rFont val="Tahoma"/>
            <family val="2"/>
          </rPr>
          <t>Lessened to $500 - $600 mn
Question: How much "hotel acquisition" is baked into this number?</t>
        </r>
      </text>
    </comment>
    <comment ref="BP661" authorId="9">
      <text>
        <r>
          <rPr>
            <b/>
            <sz val="8"/>
            <color indexed="81"/>
            <rFont val="Tahoma"/>
            <family val="2"/>
          </rPr>
          <t>DJF:</t>
        </r>
        <r>
          <rPr>
            <sz val="8"/>
            <color indexed="81"/>
            <rFont val="Tahoma"/>
            <family val="2"/>
          </rPr>
          <t xml:space="preserve">
</t>
        </r>
        <r>
          <rPr>
            <b/>
            <sz val="8"/>
            <color indexed="81"/>
            <rFont val="Tahoma"/>
            <family val="2"/>
          </rPr>
          <t>2Q Earnings:</t>
        </r>
        <r>
          <rPr>
            <sz val="8"/>
            <color indexed="81"/>
            <rFont val="Tahoma"/>
            <family val="2"/>
          </rPr>
          <t xml:space="preserve">
"Investment Spending will total approx. 500mm - 700mm, including 50-100mm for maintenance capex.  Investment spending will also include other capex (including property acquisitions), new mezzanine financing and mortgage note, contract acquisition costs, and equity and other investments"
</t>
        </r>
        <r>
          <rPr>
            <b/>
            <sz val="8"/>
            <color indexed="81"/>
            <rFont val="Tahoma"/>
            <family val="2"/>
          </rPr>
          <t xml:space="preserve">DJF 10/10/11:
</t>
        </r>
        <r>
          <rPr>
            <sz val="8"/>
            <color indexed="81"/>
            <rFont val="Tahoma"/>
            <family val="2"/>
          </rPr>
          <t>Lessened to $500 - $600 mn
Question: How much "hotel acquisition" is baked into this number?</t>
        </r>
      </text>
    </comment>
    <comment ref="BU661" authorId="25">
      <text>
        <r>
          <rPr>
            <b/>
            <sz val="8"/>
            <color indexed="81"/>
            <rFont val="Tahoma"/>
            <family val="2"/>
          </rPr>
          <t>DJF 2/14/12:</t>
        </r>
        <r>
          <rPr>
            <sz val="8"/>
            <color indexed="81"/>
            <rFont val="Tahoma"/>
            <family val="2"/>
          </rPr>
          <t xml:space="preserve">
Guidance: $550 - 750M  (Note: MAR was under guidance range here in 2011)</t>
        </r>
      </text>
    </comment>
    <comment ref="BZ661" authorId="7">
      <text>
        <r>
          <rPr>
            <b/>
            <sz val="8"/>
            <color indexed="81"/>
            <rFont val="Tahoma"/>
            <family val="2"/>
          </rPr>
          <t>thallen:</t>
        </r>
        <r>
          <rPr>
            <sz val="8"/>
            <color indexed="81"/>
            <rFont val="Tahoma"/>
            <family val="2"/>
          </rPr>
          <t xml:space="preserve">
Guidance (from 4Q12 earnings, reit in 2Q12): $600-800mm, incl. key money, etc.
Per 3Q13 call, inv spend of $600-$700m including $100m for maintenance capex</t>
        </r>
      </text>
    </comment>
    <comment ref="CJ661" authorId="5">
      <text>
        <r>
          <rPr>
            <b/>
            <sz val="9"/>
            <color indexed="81"/>
            <rFont val="Tahoma"/>
            <family val="2"/>
          </rPr>
          <t xml:space="preserve">Guidance:
</t>
        </r>
        <r>
          <rPr>
            <sz val="9"/>
            <color indexed="81"/>
            <rFont val="Tahoma"/>
            <family val="2"/>
          </rPr>
          <t>3Q15: $700-800m in total spending</t>
        </r>
        <r>
          <rPr>
            <b/>
            <sz val="9"/>
            <color indexed="81"/>
            <rFont val="Tahoma"/>
            <family val="2"/>
          </rPr>
          <t xml:space="preserve">
</t>
        </r>
        <r>
          <rPr>
            <sz val="9"/>
            <color indexed="81"/>
            <rFont val="Tahoma"/>
            <family val="2"/>
          </rPr>
          <t>2Q15: $600-800m in total spending</t>
        </r>
        <r>
          <rPr>
            <b/>
            <sz val="9"/>
            <color indexed="81"/>
            <rFont val="Tahoma"/>
            <family val="2"/>
          </rPr>
          <t xml:space="preserve">
</t>
        </r>
        <r>
          <rPr>
            <sz val="9"/>
            <color indexed="81"/>
            <rFont val="Tahoma"/>
            <family val="2"/>
          </rPr>
          <t>1Q15: $600-800m in total spending
4Q14: $600-800m in total spending</t>
        </r>
      </text>
    </comment>
    <comment ref="CO661" authorId="5">
      <text>
        <r>
          <rPr>
            <b/>
            <sz val="9"/>
            <color indexed="81"/>
            <rFont val="Tahoma"/>
            <family val="2"/>
          </rPr>
          <t xml:space="preserve">3Q16: $425-475m
   </t>
        </r>
        <r>
          <rPr>
            <sz val="9"/>
            <color indexed="81"/>
            <rFont val="Tahoma"/>
            <family val="2"/>
          </rPr>
          <t>MAR cut legacy by $125m b/c deals taking longer, but HOT +75m</t>
        </r>
        <r>
          <rPr>
            <b/>
            <sz val="9"/>
            <color indexed="81"/>
            <rFont val="Tahoma"/>
            <family val="2"/>
          </rPr>
          <t xml:space="preserve">
2Q16: $450-550m
1Q16: $450-550m
4Q15: $450-550m
3Q15:
</t>
        </r>
        <r>
          <rPr>
            <sz val="9"/>
            <color indexed="81"/>
            <rFont val="Tahoma"/>
            <family val="2"/>
          </rPr>
          <t xml:space="preserve">Similar to previous years $500-700m
</t>
        </r>
      </text>
    </comment>
    <comment ref="CT661" authorId="5">
      <text>
        <r>
          <rPr>
            <b/>
            <sz val="9"/>
            <color indexed="81"/>
            <rFont val="Tahoma"/>
            <family val="2"/>
          </rPr>
          <t xml:space="preserve">Guidance:
3Q17: $550-650m
2Q17: $500-700m
1Q17: $500-700m
4Q16: $500-700m
Legacy MAR: </t>
        </r>
        <r>
          <rPr>
            <sz val="9"/>
            <color indexed="81"/>
            <rFont val="Tahoma"/>
            <family val="2"/>
          </rPr>
          <t xml:space="preserve">$2.5-2.7 billion in total capital spending. 
34% of that capital spending on contract acquisition 
</t>
        </r>
      </text>
    </comment>
    <comment ref="CY661" authorId="2">
      <text>
        <r>
          <rPr>
            <b/>
            <sz val="9"/>
            <color indexed="81"/>
            <rFont val="Tahoma"/>
            <family val="2"/>
          </rPr>
          <t>Savino, Mark (Research):</t>
        </r>
        <r>
          <rPr>
            <sz val="9"/>
            <color indexed="81"/>
            <rFont val="Tahoma"/>
            <family val="2"/>
          </rPr>
          <t xml:space="preserve">
4Q17: $600-700m</t>
        </r>
      </text>
    </comment>
    <comment ref="CZ661" authorId="1">
      <text>
        <r>
          <rPr>
            <b/>
            <sz val="9"/>
            <color indexed="81"/>
            <rFont val="Tahoma"/>
            <family val="2"/>
          </rPr>
          <t>Allen, Thomas (Research):</t>
        </r>
        <r>
          <rPr>
            <sz val="9"/>
            <color indexed="81"/>
            <rFont val="Tahoma"/>
            <family val="2"/>
          </rPr>
          <t xml:space="preserve">
3/21/17: $1.5-1.7B investment spending cumulative btw 2017-2019
Capex 33%</t>
        </r>
      </text>
    </comment>
    <comment ref="CS662" authorId="1">
      <text>
        <r>
          <rPr>
            <b/>
            <sz val="9"/>
            <color indexed="81"/>
            <rFont val="Tahoma"/>
            <family val="2"/>
          </rPr>
          <t>Allen, Thomas (Research):</t>
        </r>
        <r>
          <rPr>
            <sz val="9"/>
            <color indexed="81"/>
            <rFont val="Tahoma"/>
            <family val="2"/>
          </rPr>
          <t xml:space="preserve">
On 3Q17 call , said collected a loan early for $60m</t>
        </r>
      </text>
    </comment>
    <comment ref="CD663" authorId="7">
      <text>
        <r>
          <rPr>
            <b/>
            <sz val="8"/>
            <color indexed="81"/>
            <rFont val="Tahoma"/>
            <family val="2"/>
          </rPr>
          <t>thallen:</t>
        </r>
        <r>
          <rPr>
            <sz val="8"/>
            <color indexed="81"/>
            <rFont val="Tahoma"/>
            <family val="2"/>
          </rPr>
          <t xml:space="preserve">
Miami EDITION
Per Jan 7 announcement, sold the London EDITION (closed Jan 7) and signed binding agreement for Miami and NY sales to Abu Dhabi Investment Authority. Total price: $815m. Deals close after each opens, Miami to open in Nov '14, NY to open 1H15 (NY price: $372.3m). Per 3Q, had $230m in held-for-sale investment (175-room London EDITION), implies Miami $212m</t>
        </r>
      </text>
    </comment>
    <comment ref="CE663" authorId="1">
      <text>
        <r>
          <rPr>
            <b/>
            <sz val="9"/>
            <color indexed="81"/>
            <rFont val="Tahoma"/>
            <family val="2"/>
          </rPr>
          <t>Allen, Thomas (Research):</t>
        </r>
        <r>
          <rPr>
            <sz val="9"/>
            <color indexed="81"/>
            <rFont val="Tahoma"/>
            <family val="2"/>
          </rPr>
          <t xml:space="preserve">
Sale of London and Miami EDITIONs ($815m-$372m for NY) + $100m in condo proceeds</t>
        </r>
      </text>
    </comment>
    <comment ref="CF663" authorId="5">
      <text>
        <r>
          <rPr>
            <b/>
            <sz val="9"/>
            <color indexed="81"/>
            <rFont val="Tahoma"/>
            <family val="2"/>
          </rPr>
          <t xml:space="preserve">3/31/15:
</t>
        </r>
        <r>
          <rPr>
            <sz val="9"/>
            <color indexed="81"/>
            <rFont val="Tahoma"/>
            <family val="2"/>
          </rPr>
          <t>Completed the sale of the Courtyard by Marriott Paris Arcueil (170 room hotel).  MAR received ~$28 million  in net proceeds and retains a long term management agreement for the property.</t>
        </r>
        <r>
          <rPr>
            <b/>
            <sz val="9"/>
            <color indexed="81"/>
            <rFont val="Tahoma"/>
            <family val="2"/>
          </rPr>
          <t xml:space="preserve">
</t>
        </r>
        <r>
          <rPr>
            <sz val="9"/>
            <color indexed="81"/>
            <rFont val="Tahoma"/>
            <family val="2"/>
          </rPr>
          <t xml:space="preserve">
</t>
        </r>
      </text>
    </comment>
    <comment ref="CG663" authorId="33">
      <text>
        <r>
          <rPr>
            <b/>
            <sz val="8"/>
            <color indexed="81"/>
            <rFont val="Tahoma"/>
            <family val="2"/>
          </rPr>
          <t>thallen:</t>
        </r>
        <r>
          <rPr>
            <sz val="8"/>
            <color indexed="81"/>
            <rFont val="Tahoma"/>
            <family val="2"/>
          </rPr>
          <t xml:space="preserve">
NYC EDITION
Per Jan 7 announcement, sold the London EDITION (closed Jan 7) and signed binding agreement for Miami and NY sales. Total price: $815m. Deals close after each opens, Miami to open in 2H14, NY to open 1H15 (NY price: $372.3m). Per 3Q, had $230m in held-for-sale investment (175-room London EDITION), 
</t>
        </r>
      </text>
    </comment>
    <comment ref="CJ663" authorId="33">
      <text>
        <r>
          <rPr>
            <b/>
            <sz val="8"/>
            <color indexed="81"/>
            <rFont val="Tahoma"/>
            <family val="2"/>
          </rPr>
          <t>thallen:</t>
        </r>
        <r>
          <rPr>
            <sz val="8"/>
            <color indexed="81"/>
            <rFont val="Tahoma"/>
            <family val="2"/>
          </rPr>
          <t xml:space="preserve">
NYC EDITION
Per Jan 7 announcement, sold the London EDITION (closed Jan 7) and signed binding agreement for Miami and NY sales. Total price: $815m. Deals close after each opens, Miami to open in 2H14, NY to open 1H15 (NY price: $372.3m). Per 3Q, had $230m in held-for-sale investment (175-room London EDITION), 
</t>
        </r>
      </text>
    </comment>
    <comment ref="CP663" authorId="6">
      <text>
        <r>
          <rPr>
            <b/>
            <sz val="9"/>
            <color indexed="81"/>
            <rFont val="Tahoma"/>
            <family val="2"/>
          </rPr>
          <t>Zheng, Chaodan (Research):</t>
        </r>
        <r>
          <rPr>
            <sz val="9"/>
            <color indexed="81"/>
            <rFont val="Tahoma"/>
            <family val="2"/>
          </rPr>
          <t xml:space="preserve">
sold the 759-room Westin Maui for $317m, implying $418k/key. We had valued the property at $228m</t>
        </r>
      </text>
    </comment>
    <comment ref="AV673" authorId="9">
      <text>
        <r>
          <rPr>
            <b/>
            <sz val="8"/>
            <color indexed="81"/>
            <rFont val="Tahoma"/>
            <family val="2"/>
          </rPr>
          <t>danfuss:</t>
        </r>
        <r>
          <rPr>
            <sz val="8"/>
            <color indexed="81"/>
            <rFont val="Tahoma"/>
            <family val="2"/>
          </rPr>
          <t xml:space="preserve">
2Q11: $50 - $100 mm maintenance capex guidance</t>
        </r>
      </text>
    </comment>
    <comment ref="BA673" authorId="9">
      <text>
        <r>
          <rPr>
            <b/>
            <sz val="8"/>
            <color indexed="81"/>
            <rFont val="Tahoma"/>
            <family val="2"/>
          </rPr>
          <t>danfuss:</t>
        </r>
        <r>
          <rPr>
            <sz val="8"/>
            <color indexed="81"/>
            <rFont val="Tahoma"/>
            <family val="2"/>
          </rPr>
          <t xml:space="preserve">
2Q11: $50 - $100 mm maintenance capex guidance</t>
        </r>
      </text>
    </comment>
    <comment ref="BK673" authorId="9">
      <text>
        <r>
          <rPr>
            <b/>
            <sz val="8"/>
            <color indexed="81"/>
            <rFont val="Tahoma"/>
            <family val="2"/>
          </rPr>
          <t>danfuss:</t>
        </r>
        <r>
          <rPr>
            <sz val="8"/>
            <color indexed="81"/>
            <rFont val="Tahoma"/>
            <family val="2"/>
          </rPr>
          <t xml:space="preserve">
2Q11: $50 - $100 mm maintenance capex guidance</t>
        </r>
      </text>
    </comment>
    <comment ref="BP673" authorId="9">
      <text>
        <r>
          <rPr>
            <b/>
            <sz val="8"/>
            <color indexed="81"/>
            <rFont val="Tahoma"/>
            <family val="2"/>
          </rPr>
          <t>danfuss:</t>
        </r>
        <r>
          <rPr>
            <sz val="8"/>
            <color indexed="81"/>
            <rFont val="Tahoma"/>
            <family val="2"/>
          </rPr>
          <t xml:space="preserve">
2Q11: $50 - $100 mm maintenance capex guidance</t>
        </r>
      </text>
    </comment>
    <comment ref="BU673" authorId="25">
      <text>
        <r>
          <rPr>
            <b/>
            <sz val="8"/>
            <color indexed="81"/>
            <rFont val="Tahoma"/>
            <family val="2"/>
          </rPr>
          <t>DJF 2/14/12:</t>
        </r>
        <r>
          <rPr>
            <sz val="8"/>
            <color indexed="81"/>
            <rFont val="Tahoma"/>
            <family val="2"/>
          </rPr>
          <t xml:space="preserve">
Guidance: 50-100M</t>
        </r>
      </text>
    </comment>
    <comment ref="BZ673" authorId="7">
      <text>
        <r>
          <rPr>
            <b/>
            <sz val="8"/>
            <color indexed="81"/>
            <rFont val="Tahoma"/>
            <family val="2"/>
          </rPr>
          <t>thallen:</t>
        </r>
        <r>
          <rPr>
            <sz val="8"/>
            <color indexed="81"/>
            <rFont val="Tahoma"/>
            <family val="2"/>
          </rPr>
          <t xml:space="preserve">
Guidance: $100mm</t>
        </r>
      </text>
    </comment>
    <comment ref="CE673" authorId="33">
      <text>
        <r>
          <rPr>
            <b/>
            <sz val="8"/>
            <color indexed="81"/>
            <rFont val="Tahoma"/>
            <family val="2"/>
          </rPr>
          <t>Guidance:</t>
        </r>
        <r>
          <rPr>
            <sz val="8"/>
            <color indexed="81"/>
            <rFont val="Tahoma"/>
            <family val="2"/>
          </rPr>
          <t xml:space="preserve">
3Q 14: Maintenance spending guidance $100m
2Q 14: Maintenance spending guidance $150.m
</t>
        </r>
      </text>
    </comment>
    <comment ref="CJ673" authorId="5">
      <text>
        <r>
          <rPr>
            <b/>
            <sz val="9"/>
            <color indexed="81"/>
            <rFont val="Tahoma"/>
            <family val="2"/>
          </rPr>
          <t xml:space="preserve">Guidance:
</t>
        </r>
        <r>
          <rPr>
            <sz val="9"/>
            <color indexed="81"/>
            <rFont val="Tahoma"/>
            <family val="2"/>
          </rPr>
          <t>3Q 15: Maintenance spending guidance $140m
2Q 15: Maintenance spending guidance $140m
1Q 15: Maintenance spending guidance $140m
4Q 14: Maintenance spending guidance $125m</t>
        </r>
      </text>
    </comment>
    <comment ref="CO673" authorId="2">
      <text>
        <r>
          <rPr>
            <b/>
            <sz val="9"/>
            <color indexed="81"/>
            <rFont val="Tahoma"/>
            <family val="2"/>
          </rPr>
          <t>Savino, Mark (Research):</t>
        </r>
        <r>
          <rPr>
            <sz val="9"/>
            <color indexed="81"/>
            <rFont val="Tahoma"/>
            <family val="2"/>
          </rPr>
          <t xml:space="preserve">
2Q16: $100m
1Q16: $100m
4Q15: $100m</t>
        </r>
      </text>
    </comment>
    <comment ref="CT673" authorId="1">
      <text>
        <r>
          <rPr>
            <b/>
            <sz val="9"/>
            <color indexed="81"/>
            <rFont val="Tahoma"/>
            <family val="2"/>
          </rPr>
          <t>Allen, Thomas (Research):</t>
        </r>
        <r>
          <rPr>
            <sz val="9"/>
            <color indexed="81"/>
            <rFont val="Tahoma"/>
            <family val="2"/>
          </rPr>
          <t xml:space="preserve">
3Q17: $175m
2Q17: $175m
4Q16: $175m</t>
        </r>
      </text>
    </comment>
    <comment ref="CY673" authorId="2">
      <text>
        <r>
          <rPr>
            <b/>
            <sz val="9"/>
            <color indexed="81"/>
            <rFont val="Tahoma"/>
            <family val="2"/>
          </rPr>
          <t>Savino, Mark (Research):</t>
        </r>
        <r>
          <rPr>
            <sz val="9"/>
            <color indexed="81"/>
            <rFont val="Tahoma"/>
            <family val="2"/>
          </rPr>
          <t xml:space="preserve">
4Q17: $225m</t>
        </r>
      </text>
    </comment>
    <comment ref="BX674" authorId="1">
      <text>
        <r>
          <rPr>
            <b/>
            <sz val="9"/>
            <color indexed="81"/>
            <rFont val="Tahoma"/>
            <family val="2"/>
          </rPr>
          <t>Allen, Thomas (Research):</t>
        </r>
        <r>
          <rPr>
            <sz val="9"/>
            <color indexed="81"/>
            <rFont val="Tahoma"/>
            <family val="2"/>
          </rPr>
          <t xml:space="preserve">
Through 3Q13, $650m of $915m spent. Implies $265m remaining</t>
        </r>
      </text>
    </comment>
    <comment ref="BY674" authorId="1">
      <text>
        <r>
          <rPr>
            <b/>
            <sz val="9"/>
            <color indexed="81"/>
            <rFont val="Tahoma"/>
            <family val="2"/>
          </rPr>
          <t>Allen, Thomas (Research):</t>
        </r>
        <r>
          <rPr>
            <sz val="9"/>
            <color indexed="81"/>
            <rFont val="Tahoma"/>
            <family val="2"/>
          </rPr>
          <t xml:space="preserve">
Finished up London</t>
        </r>
      </text>
    </comment>
    <comment ref="BZ674" authorId="7">
      <text>
        <r>
          <rPr>
            <b/>
            <sz val="8"/>
            <color indexed="81"/>
            <rFont val="Tahoma"/>
            <family val="2"/>
          </rPr>
          <t>thallen:</t>
        </r>
        <r>
          <rPr>
            <sz val="8"/>
            <color indexed="81"/>
            <rFont val="Tahoma"/>
            <family val="2"/>
          </rPr>
          <t xml:space="preserve">
$200-225mm on EDITION</t>
        </r>
      </text>
    </comment>
    <comment ref="CE674" authorId="1">
      <text>
        <r>
          <rPr>
            <b/>
            <sz val="9"/>
            <color indexed="81"/>
            <rFont val="Tahoma"/>
            <family val="2"/>
          </rPr>
          <t>Allen, Thomas (Research):</t>
        </r>
        <r>
          <rPr>
            <sz val="9"/>
            <color indexed="81"/>
            <rFont val="Tahoma"/>
            <family val="2"/>
          </rPr>
          <t xml:space="preserve">
$265m remaining to spend on EDITION after 3Q13 (most in 4Q14, 1Q-3Q14) + assume some general spend ($10m/qtr). Don't include any cost for Protea</t>
        </r>
      </text>
    </comment>
    <comment ref="CG674" authorId="5">
      <text>
        <r>
          <rPr>
            <b/>
            <sz val="9"/>
            <color indexed="81"/>
            <rFont val="Tahoma"/>
            <family val="2"/>
          </rPr>
          <t>Chaudhry, Baset A (Research):</t>
        </r>
        <r>
          <rPr>
            <sz val="9"/>
            <color indexed="81"/>
            <rFont val="Tahoma"/>
            <family val="2"/>
          </rPr>
          <t xml:space="preserve">
Delta acquisition </t>
        </r>
      </text>
    </comment>
    <comment ref="CJ674" authorId="5">
      <text>
        <r>
          <rPr>
            <b/>
            <sz val="9"/>
            <color indexed="81"/>
            <rFont val="Tahoma"/>
            <family val="2"/>
          </rPr>
          <t xml:space="preserve">Guidance:
</t>
        </r>
        <r>
          <rPr>
            <sz val="9"/>
            <color indexed="81"/>
            <rFont val="Tahoma"/>
            <family val="2"/>
          </rPr>
          <t>3Q 15: Expected Delta transaction guidance $135m
2Q 15: Expected Delta transaction guidance $135m
1Q 15: Expected Delta transaction guidance $135m
4Q 14: Expected Delta transaction guidance $135m</t>
        </r>
      </text>
    </comment>
    <comment ref="CN674" authorId="1">
      <text>
        <r>
          <rPr>
            <b/>
            <sz val="9"/>
            <color indexed="81"/>
            <rFont val="Tahoma"/>
            <family val="2"/>
          </rPr>
          <t>Allen, Thomas (Research):</t>
        </r>
        <r>
          <rPr>
            <sz val="9"/>
            <color indexed="81"/>
            <rFont val="Tahoma"/>
            <family val="2"/>
          </rPr>
          <t xml:space="preserve">
$75m in 4Q for HOT hotels</t>
        </r>
      </text>
    </comment>
    <comment ref="A675" authorId="34">
      <text>
        <r>
          <rPr>
            <b/>
            <sz val="8"/>
            <color indexed="81"/>
            <rFont val="Tahoma"/>
            <family val="2"/>
          </rPr>
          <t>DJF 3/27/12:</t>
        </r>
        <r>
          <rPr>
            <sz val="8"/>
            <color indexed="81"/>
            <rFont val="Tahoma"/>
            <family val="2"/>
          </rPr>
          <t xml:space="preserve">
equals capex line in summary</t>
        </r>
      </text>
    </comment>
    <comment ref="BU675" authorId="35">
      <text>
        <r>
          <rPr>
            <b/>
            <sz val="8"/>
            <color indexed="81"/>
            <rFont val="Tahoma"/>
            <family val="2"/>
          </rPr>
          <t>DJF 1/26/12:</t>
        </r>
        <r>
          <rPr>
            <sz val="8"/>
            <color indexed="81"/>
            <rFont val="Tahoma"/>
            <family val="2"/>
          </rPr>
          <t xml:space="preserve">
300mm per guidance</t>
        </r>
      </text>
    </comment>
    <comment ref="BZ675" authorId="7">
      <text>
        <r>
          <rPr>
            <b/>
            <sz val="8"/>
            <color indexed="81"/>
            <rFont val="Tahoma"/>
            <family val="2"/>
          </rPr>
          <t>thallen:</t>
        </r>
        <r>
          <rPr>
            <sz val="8"/>
            <color indexed="81"/>
            <rFont val="Tahoma"/>
            <family val="2"/>
          </rPr>
          <t xml:space="preserve">
Guidance (from 4Q12 earnings): $600-800mm, incl. key money, etc.</t>
        </r>
      </text>
    </comment>
    <comment ref="CJ675" authorId="5">
      <text>
        <r>
          <rPr>
            <b/>
            <sz val="9"/>
            <color indexed="81"/>
            <rFont val="Tahoma"/>
            <family val="2"/>
          </rPr>
          <t xml:space="preserve">Guidance:
</t>
        </r>
        <r>
          <rPr>
            <sz val="9"/>
            <color indexed="81"/>
            <rFont val="Tahoma"/>
            <family val="2"/>
          </rPr>
          <t>2Q15: $600-800m in total spending
1Q15: $600-800m in total spending
4Q14: $600-800m in total spending</t>
        </r>
      </text>
    </comment>
    <comment ref="CO675" authorId="5">
      <text>
        <r>
          <rPr>
            <b/>
            <sz val="9"/>
            <color indexed="81"/>
            <rFont val="Tahoma"/>
            <family val="2"/>
          </rPr>
          <t xml:space="preserve">Guidance:
Investor Day:
</t>
        </r>
        <r>
          <rPr>
            <sz val="9"/>
            <color indexed="81"/>
            <rFont val="Tahoma"/>
            <family val="2"/>
          </rPr>
          <t xml:space="preserve">$2.5-2.7 billion in total capital spending. 
41% of that capital spending on CapEx
</t>
        </r>
        <r>
          <rPr>
            <b/>
            <sz val="9"/>
            <color indexed="81"/>
            <rFont val="Tahoma"/>
            <family val="2"/>
          </rPr>
          <t xml:space="preserve">Per Dec 2015 S-4:
</t>
        </r>
        <r>
          <rPr>
            <sz val="9"/>
            <color indexed="81"/>
            <rFont val="Tahoma"/>
            <family val="2"/>
          </rPr>
          <t>Maint + Investment Capex
2016: $261m
2017: $390m
2018: $398m</t>
        </r>
      </text>
    </comment>
    <comment ref="CT675" authorId="5">
      <text>
        <r>
          <rPr>
            <b/>
            <sz val="9"/>
            <color indexed="81"/>
            <rFont val="Tahoma"/>
            <family val="2"/>
          </rPr>
          <t xml:space="preserve">Guidance:
Legacy MAR: </t>
        </r>
        <r>
          <rPr>
            <sz val="9"/>
            <color indexed="81"/>
            <rFont val="Tahoma"/>
            <family val="2"/>
          </rPr>
          <t>$2.5-2.7 billion in total capital spending. 
41% of that capital spending on CapEx
Per Dec 2015 S-4:
Maint + Investment Capex
2016: $261m
2017: $390m
2018: $398m</t>
        </r>
      </text>
    </comment>
    <comment ref="CZ675" authorId="6">
      <text>
        <r>
          <rPr>
            <b/>
            <sz val="9"/>
            <color indexed="81"/>
            <rFont val="Tahoma"/>
            <family val="2"/>
          </rPr>
          <t>Zheng, Chaodan (Research):</t>
        </r>
        <r>
          <rPr>
            <sz val="9"/>
            <color indexed="81"/>
            <rFont val="Tahoma"/>
            <family val="2"/>
          </rPr>
          <t xml:space="preserve">
3/21/17 Investor Day: $500m 2017-2019, based on midpoint of 2017 through 2018 investment spending guidance of $1.5-1.7b </t>
        </r>
      </text>
    </comment>
    <comment ref="DD675" authorId="34">
      <text>
        <r>
          <rPr>
            <b/>
            <sz val="8"/>
            <color indexed="81"/>
            <rFont val="Tahoma"/>
            <family val="2"/>
          </rPr>
          <t>DJF 3/27/12:</t>
        </r>
        <r>
          <rPr>
            <sz val="8"/>
            <color indexed="81"/>
            <rFont val="Tahoma"/>
            <family val="2"/>
          </rPr>
          <t xml:space="preserve">
equals capex line in summary</t>
        </r>
      </text>
    </comment>
    <comment ref="CE676" authorId="1">
      <text>
        <r>
          <rPr>
            <b/>
            <sz val="9"/>
            <color indexed="81"/>
            <rFont val="Tahoma"/>
            <family val="2"/>
          </rPr>
          <t>Allen, Thomas (Research):</t>
        </r>
        <r>
          <rPr>
            <sz val="9"/>
            <color indexed="81"/>
            <rFont val="Tahoma"/>
            <family val="2"/>
          </rPr>
          <t xml:space="preserve">
Assume inline with pipeline growth</t>
        </r>
      </text>
    </comment>
    <comment ref="A681" authorId="9">
      <text>
        <r>
          <rPr>
            <b/>
            <sz val="8"/>
            <color indexed="81"/>
            <rFont val="Tahoma"/>
            <family val="2"/>
          </rPr>
          <t>DJF:</t>
        </r>
        <r>
          <rPr>
            <sz val="8"/>
            <color indexed="81"/>
            <rFont val="Tahoma"/>
            <family val="2"/>
          </rPr>
          <t xml:space="preserve">
Found in Notes Receivable footnote of 10-Qs
Roughly, but not exactly, equivalent to the change in loan advances and loan collections</t>
        </r>
      </text>
    </comment>
    <comment ref="DD681" authorId="9">
      <text>
        <r>
          <rPr>
            <b/>
            <sz val="8"/>
            <color indexed="81"/>
            <rFont val="Tahoma"/>
            <family val="2"/>
          </rPr>
          <t>DJF:</t>
        </r>
        <r>
          <rPr>
            <sz val="8"/>
            <color indexed="81"/>
            <rFont val="Tahoma"/>
            <family val="2"/>
          </rPr>
          <t xml:space="preserve">
Found in Notes Receivable footnote of 10-Qs
Roughly, but not exactly, equivalent to the change in loan advances and loan collections</t>
        </r>
      </text>
    </comment>
    <comment ref="A682" authorId="9">
      <text>
        <r>
          <rPr>
            <b/>
            <sz val="8"/>
            <color indexed="81"/>
            <rFont val="Tahoma"/>
            <family val="2"/>
          </rPr>
          <t>danfuss:</t>
        </r>
        <r>
          <rPr>
            <sz val="8"/>
            <color indexed="81"/>
            <rFont val="Tahoma"/>
            <family val="2"/>
          </rPr>
          <t xml:space="preserve">
Includes current loans, which are included in the "other" portion of current assets</t>
        </r>
      </text>
    </comment>
    <comment ref="DD682" authorId="9">
      <text>
        <r>
          <rPr>
            <b/>
            <sz val="8"/>
            <color indexed="81"/>
            <rFont val="Tahoma"/>
            <family val="2"/>
          </rPr>
          <t>danfuss:</t>
        </r>
        <r>
          <rPr>
            <sz val="8"/>
            <color indexed="81"/>
            <rFont val="Tahoma"/>
            <family val="2"/>
          </rPr>
          <t xml:space="preserve">
Includes current loans, which are included in the "other" portion of current assets</t>
        </r>
      </text>
    </comment>
    <comment ref="AN686" authorId="16">
      <text>
        <r>
          <rPr>
            <b/>
            <sz val="8"/>
            <color indexed="8"/>
            <rFont val="Tahoma"/>
            <family val="2"/>
          </rPr>
          <t>Celeste Brown:</t>
        </r>
        <r>
          <rPr>
            <sz val="8"/>
            <color indexed="8"/>
            <rFont val="Tahoma"/>
            <family val="2"/>
          </rPr>
          <t xml:space="preserve">
$201mm in proceeds from sales of JVs</t>
        </r>
      </text>
    </comment>
    <comment ref="A697" authorId="0">
      <text>
        <r>
          <rPr>
            <b/>
            <sz val="8"/>
            <color indexed="81"/>
            <rFont val="Tahoma"/>
            <family val="2"/>
          </rPr>
          <t>DJF 3/22/12:</t>
        </r>
        <r>
          <rPr>
            <sz val="8"/>
            <color indexed="81"/>
            <rFont val="Tahoma"/>
            <family val="2"/>
          </rPr>
          <t xml:space="preserve">
Harcoded pre-spinoff</t>
        </r>
      </text>
    </comment>
    <comment ref="AZ697" authorId="17">
      <text>
        <r>
          <rPr>
            <b/>
            <sz val="8"/>
            <color indexed="8"/>
            <rFont val="Tahoma"/>
            <family val="2"/>
          </rPr>
          <t>ryanmel:</t>
        </r>
        <r>
          <rPr>
            <sz val="8"/>
            <color indexed="8"/>
            <rFont val="Tahoma"/>
            <family val="2"/>
          </rPr>
          <t xml:space="preserve">
adjusted for restructuring charges</t>
        </r>
      </text>
    </comment>
    <comment ref="CZ697" authorId="6">
      <text>
        <r>
          <rPr>
            <b/>
            <sz val="9"/>
            <color indexed="81"/>
            <rFont val="Tahoma"/>
            <family val="2"/>
          </rPr>
          <t>Zheng, Chaodan (Research):</t>
        </r>
        <r>
          <rPr>
            <sz val="9"/>
            <color indexed="81"/>
            <rFont val="Tahoma"/>
            <family val="2"/>
          </rPr>
          <t xml:space="preserve">
3/21/17 Investor Day: $4,900m 2017-2019, based on midpoint of 2017 through 2018 investment spending guidance of $1.5-1.7b </t>
        </r>
      </text>
    </comment>
    <comment ref="DD697" authorId="0">
      <text>
        <r>
          <rPr>
            <b/>
            <sz val="8"/>
            <color indexed="81"/>
            <rFont val="Tahoma"/>
            <family val="2"/>
          </rPr>
          <t>DJF 3/22/12:</t>
        </r>
        <r>
          <rPr>
            <sz val="8"/>
            <color indexed="81"/>
            <rFont val="Tahoma"/>
            <family val="2"/>
          </rPr>
          <t xml:space="preserve">
Harcoded pre-spinoff</t>
        </r>
      </text>
    </comment>
    <comment ref="CZ698" authorId="6">
      <text>
        <r>
          <rPr>
            <b/>
            <sz val="9"/>
            <color indexed="81"/>
            <rFont val="Tahoma"/>
            <family val="2"/>
          </rPr>
          <t>Zheng, Chaodan (Research):</t>
        </r>
        <r>
          <rPr>
            <sz val="9"/>
            <color indexed="81"/>
            <rFont val="Tahoma"/>
            <family val="2"/>
          </rPr>
          <t xml:space="preserve">
3/21/17 Investor Day: $800m 2017-2019 cumulative, based on midpoint of 2017 through 2018 investment spending guidance of $1.5-1.7b </t>
        </r>
      </text>
    </comment>
    <comment ref="AW701" authorId="19">
      <text>
        <r>
          <rPr>
            <b/>
            <sz val="8"/>
            <color indexed="8"/>
            <rFont val="Tahoma"/>
            <family val="2"/>
          </rPr>
          <t>Ryan Meliker:</t>
        </r>
        <r>
          <rPr>
            <sz val="8"/>
            <color indexed="8"/>
            <rFont val="Tahoma"/>
            <family val="2"/>
          </rPr>
          <t xml:space="preserve">
Minorituy Interest was -2</t>
        </r>
      </text>
    </comment>
    <comment ref="AX701" authorId="19">
      <text>
        <r>
          <rPr>
            <b/>
            <sz val="8"/>
            <color indexed="8"/>
            <rFont val="Tahoma"/>
            <family val="2"/>
          </rPr>
          <t>Ryan Meliker:</t>
        </r>
        <r>
          <rPr>
            <sz val="8"/>
            <color indexed="8"/>
            <rFont val="Tahoma"/>
            <family val="2"/>
          </rPr>
          <t xml:space="preserve">
includes liability for guest loyalty program,  and minority interest and $36 mm tax adjustment</t>
        </r>
      </text>
    </comment>
    <comment ref="AY701" authorId="19">
      <text>
        <r>
          <rPr>
            <b/>
            <sz val="8"/>
            <color indexed="8"/>
            <rFont val="Tahoma"/>
            <family val="2"/>
          </rPr>
          <t>Ryan Meliker:</t>
        </r>
        <r>
          <rPr>
            <sz val="8"/>
            <color indexed="8"/>
            <rFont val="Tahoma"/>
            <family val="2"/>
          </rPr>
          <t xml:space="preserve">
includes liability for guest loyalty program,  and minority interest and $36 mm and $29mm tax adjustment</t>
        </r>
      </text>
    </comment>
    <comment ref="BC701" authorId="17">
      <text>
        <r>
          <rPr>
            <b/>
            <sz val="8"/>
            <color indexed="8"/>
            <rFont val="Tahoma"/>
            <family val="2"/>
          </rPr>
          <t>ryanmel:</t>
        </r>
        <r>
          <rPr>
            <sz val="8"/>
            <color indexed="8"/>
            <rFont val="Tahoma"/>
            <family val="2"/>
          </rPr>
          <t xml:space="preserve">
subtravcted 4 to tie to cf, adjusted for taxes</t>
        </r>
      </text>
    </comment>
    <comment ref="BL701" authorId="9">
      <text>
        <r>
          <rPr>
            <b/>
            <sz val="8"/>
            <color indexed="81"/>
            <rFont val="Tahoma"/>
            <family val="2"/>
          </rPr>
          <t>DJF:</t>
        </r>
        <r>
          <rPr>
            <sz val="8"/>
            <color indexed="81"/>
            <rFont val="Tahoma"/>
            <family val="2"/>
          </rPr>
          <t xml:space="preserve">
Includes Income Taxes (35), Liability for Guest program (33), and Asset Impairments and Write-Offs (2)</t>
        </r>
      </text>
    </comment>
    <comment ref="BN701" authorId="9">
      <text>
        <r>
          <rPr>
            <b/>
            <sz val="8"/>
            <color indexed="81"/>
            <rFont val="Tahoma"/>
            <family val="2"/>
          </rPr>
          <t>DJF:</t>
        </r>
        <r>
          <rPr>
            <sz val="8"/>
            <color indexed="81"/>
            <rFont val="Tahoma"/>
            <family val="2"/>
          </rPr>
          <t xml:space="preserve">
Includes One-time timeshare impairment charges (324 mm) and restructuring and impairments / write offs</t>
        </r>
      </text>
    </comment>
    <comment ref="BX701" authorId="12">
      <text>
        <r>
          <rPr>
            <b/>
            <sz val="8"/>
            <color indexed="81"/>
            <rFont val="Tahoma"/>
            <family val="2"/>
          </rPr>
          <t>jills:</t>
        </r>
        <r>
          <rPr>
            <sz val="8"/>
            <color indexed="81"/>
            <rFont val="Tahoma"/>
            <family val="2"/>
          </rPr>
          <t xml:space="preserve">
includes true-ups related to foreign tax provisions</t>
        </r>
      </text>
    </comment>
    <comment ref="BZ701" authorId="7">
      <text>
        <r>
          <rPr>
            <b/>
            <sz val="8"/>
            <color indexed="81"/>
            <rFont val="Tahoma"/>
            <family val="2"/>
          </rPr>
          <t>thallen:</t>
        </r>
        <r>
          <rPr>
            <sz val="8"/>
            <color indexed="81"/>
            <rFont val="Tahoma"/>
            <family val="2"/>
          </rPr>
          <t xml:space="preserve">
Per mgmt, cash taxes +$80-90mm, MAR rewards +$40-50mm</t>
        </r>
      </text>
    </comment>
    <comment ref="CN701" authorId="1">
      <text>
        <r>
          <rPr>
            <b/>
            <sz val="9"/>
            <color indexed="81"/>
            <rFont val="Tahoma"/>
            <family val="2"/>
          </rPr>
          <t>Allen, Thomas (Research):</t>
        </r>
        <r>
          <rPr>
            <sz val="9"/>
            <color indexed="81"/>
            <rFont val="Tahoma"/>
            <family val="2"/>
          </rPr>
          <t xml:space="preserve">
ESO</t>
        </r>
      </text>
    </comment>
    <comment ref="CP701" authorId="1">
      <text>
        <r>
          <rPr>
            <b/>
            <sz val="9"/>
            <color indexed="81"/>
            <rFont val="Tahoma"/>
            <family val="2"/>
          </rPr>
          <t>Allen, Thomas (Research):</t>
        </r>
        <r>
          <rPr>
            <sz val="9"/>
            <color indexed="81"/>
            <rFont val="Tahoma"/>
            <family val="2"/>
          </rPr>
          <t xml:space="preserve">
ESO</t>
        </r>
      </text>
    </comment>
    <comment ref="CQ701" authorId="1">
      <text>
        <r>
          <rPr>
            <b/>
            <sz val="9"/>
            <color indexed="81"/>
            <rFont val="Tahoma"/>
            <family val="2"/>
          </rPr>
          <t>Allen, Thomas (Research):</t>
        </r>
        <r>
          <rPr>
            <sz val="9"/>
            <color indexed="81"/>
            <rFont val="Tahoma"/>
            <family val="2"/>
          </rPr>
          <t xml:space="preserve">
ESO</t>
        </r>
      </text>
    </comment>
    <comment ref="CR701" authorId="1">
      <text>
        <r>
          <rPr>
            <b/>
            <sz val="9"/>
            <color indexed="81"/>
            <rFont val="Tahoma"/>
            <family val="2"/>
          </rPr>
          <t>Allen, Thomas (Research):</t>
        </r>
        <r>
          <rPr>
            <sz val="9"/>
            <color indexed="81"/>
            <rFont val="Tahoma"/>
            <family val="2"/>
          </rPr>
          <t xml:space="preserve">
ESO</t>
        </r>
      </text>
    </comment>
    <comment ref="CS701" authorId="1">
      <text>
        <r>
          <rPr>
            <b/>
            <sz val="9"/>
            <color indexed="81"/>
            <rFont val="Tahoma"/>
            <family val="2"/>
          </rPr>
          <t>Allen, Thomas (Research):</t>
        </r>
        <r>
          <rPr>
            <sz val="9"/>
            <color indexed="81"/>
            <rFont val="Tahoma"/>
            <family val="2"/>
          </rPr>
          <t xml:space="preserve">
ESO</t>
        </r>
      </text>
    </comment>
    <comment ref="CT701" authorId="1">
      <text>
        <r>
          <rPr>
            <b/>
            <sz val="9"/>
            <color indexed="81"/>
            <rFont val="Tahoma"/>
            <family val="2"/>
          </rPr>
          <t>Allen, Thomas (Research):</t>
        </r>
        <r>
          <rPr>
            <sz val="9"/>
            <color indexed="81"/>
            <rFont val="Tahoma"/>
            <family val="2"/>
          </rPr>
          <t xml:space="preserve">
ESO</t>
        </r>
      </text>
    </comment>
    <comment ref="CU701" authorId="1">
      <text>
        <r>
          <rPr>
            <b/>
            <sz val="9"/>
            <color indexed="81"/>
            <rFont val="Tahoma"/>
            <family val="2"/>
          </rPr>
          <t>Allen, Thomas (Research):</t>
        </r>
        <r>
          <rPr>
            <sz val="9"/>
            <color indexed="81"/>
            <rFont val="Tahoma"/>
            <family val="2"/>
          </rPr>
          <t xml:space="preserve">
$745m ($600m after offsets) transition tax from Dec 2017 tax reform to be paid over 2018-2025, pay 8% each in 2018-22, 15% in '23, 20% in '24, and 25% in '25</t>
        </r>
      </text>
    </comment>
    <comment ref="CV701" authorId="1">
      <text>
        <r>
          <rPr>
            <b/>
            <sz val="9"/>
            <color indexed="81"/>
            <rFont val="Tahoma"/>
            <family val="2"/>
          </rPr>
          <t>Allen, Thomas (Research):</t>
        </r>
        <r>
          <rPr>
            <sz val="9"/>
            <color indexed="81"/>
            <rFont val="Tahoma"/>
            <family val="2"/>
          </rPr>
          <t xml:space="preserve">
Avendra taxes paid in April</t>
        </r>
      </text>
    </comment>
    <comment ref="CW701" authorId="1">
      <text>
        <r>
          <rPr>
            <b/>
            <sz val="9"/>
            <color indexed="81"/>
            <rFont val="Tahoma"/>
            <family val="2"/>
          </rPr>
          <t>Allen, Thomas (Research):</t>
        </r>
        <r>
          <rPr>
            <sz val="9"/>
            <color indexed="81"/>
            <rFont val="Tahoma"/>
            <family val="2"/>
          </rPr>
          <t xml:space="preserve">
$745m ($600m after offsets) transition tax from Dec 2017 tax reform to be paid over 2018-2025, pay 8% each in 2018-22, 15% in '23, 20% in '24, and 25% in '25</t>
        </r>
      </text>
    </comment>
    <comment ref="CX701" authorId="1">
      <text>
        <r>
          <rPr>
            <b/>
            <sz val="9"/>
            <color indexed="81"/>
            <rFont val="Tahoma"/>
            <family val="2"/>
          </rPr>
          <t>Allen, Thomas (Research):</t>
        </r>
        <r>
          <rPr>
            <sz val="9"/>
            <color indexed="81"/>
            <rFont val="Tahoma"/>
            <family val="2"/>
          </rPr>
          <t xml:space="preserve">
$745m ($600m after offsets) transition tax from Dec 2017 tax reform to be paid over 2018-2025, pay 8% each in 2018-22, 15% in '23, 20% in '24, and 25% in '25</t>
        </r>
      </text>
    </comment>
    <comment ref="CY701" authorId="1">
      <text>
        <r>
          <rPr>
            <b/>
            <sz val="9"/>
            <color indexed="81"/>
            <rFont val="Tahoma"/>
            <family val="2"/>
          </rPr>
          <t>Allen, Thomas (Research):</t>
        </r>
        <r>
          <rPr>
            <sz val="9"/>
            <color indexed="81"/>
            <rFont val="Tahoma"/>
            <family val="2"/>
          </rPr>
          <t xml:space="preserve">
$745m ($600m after offsets) transition tax from Dec 2017 tax reform to be paid over 2018-2025, pay 8% each in 2018-22, 15% in '23, 20% in '24, and 25% in '25
Stock-based comp incl.</t>
        </r>
      </text>
    </comment>
    <comment ref="CZ701" authorId="1">
      <text>
        <r>
          <rPr>
            <b/>
            <sz val="9"/>
            <color indexed="81"/>
            <rFont val="Tahoma"/>
            <family val="2"/>
          </rPr>
          <t>Allen, Thomas (Research):</t>
        </r>
        <r>
          <rPr>
            <sz val="9"/>
            <color indexed="81"/>
            <rFont val="Tahoma"/>
            <family val="2"/>
          </rPr>
          <t xml:space="preserve">
$745m ($600m after offsets) transition tax from Dec 2017 tax reform to be paid over 2018-2025, pay 8% each in 2018-22, 15% in '23, 20% in '24, and 25% in '25
Stock-based comp incl.</t>
        </r>
      </text>
    </comment>
    <comment ref="DA701" authorId="1">
      <text>
        <r>
          <rPr>
            <b/>
            <sz val="9"/>
            <color indexed="81"/>
            <rFont val="Tahoma"/>
            <family val="2"/>
          </rPr>
          <t>Allen, Thomas (Research):</t>
        </r>
        <r>
          <rPr>
            <sz val="9"/>
            <color indexed="81"/>
            <rFont val="Tahoma"/>
            <family val="2"/>
          </rPr>
          <t xml:space="preserve">
$745m ($600m after offsets) transition tax from Dec 2017 tax reform to be paid over 2018-2025, pay 8% each in 2018-22, 15% in '23, 20% in '24, and 25% in '25
Stock-based comp incl.</t>
        </r>
      </text>
    </comment>
    <comment ref="BZ702" authorId="9">
      <text>
        <r>
          <rPr>
            <b/>
            <sz val="8"/>
            <color indexed="81"/>
            <rFont val="Tahoma"/>
            <family val="2"/>
          </rPr>
          <t>danfuss:</t>
        </r>
        <r>
          <rPr>
            <sz val="8"/>
            <color indexed="81"/>
            <rFont val="Tahoma"/>
            <family val="2"/>
          </rPr>
          <t xml:space="preserve">
Even if MAR were to liquidate all their T/S, does this make sense?</t>
        </r>
      </text>
    </comment>
    <comment ref="BE703" authorId="17">
      <text>
        <r>
          <rPr>
            <b/>
            <sz val="8"/>
            <color indexed="8"/>
            <rFont val="Tahoma"/>
            <family val="2"/>
          </rPr>
          <t>ryanmel:</t>
        </r>
        <r>
          <rPr>
            <sz val="8"/>
            <color indexed="8"/>
            <rFont val="Tahoma"/>
            <family val="2"/>
          </rPr>
          <t xml:space="preserve">
adjust with 10-K</t>
        </r>
      </text>
    </comment>
    <comment ref="BG703" authorId="17">
      <text>
        <r>
          <rPr>
            <b/>
            <sz val="8"/>
            <color indexed="8"/>
            <rFont val="Tahoma"/>
            <family val="2"/>
          </rPr>
          <t>ryanmel:</t>
        </r>
        <r>
          <rPr>
            <sz val="8"/>
            <color indexed="8"/>
            <rFont val="Tahoma"/>
            <family val="2"/>
          </rPr>
          <t xml:space="preserve">
set to $118- adjust with Q</t>
        </r>
      </text>
    </comment>
    <comment ref="BH703" authorId="17">
      <text>
        <r>
          <rPr>
            <b/>
            <sz val="8"/>
            <color indexed="8"/>
            <rFont val="Tahoma"/>
            <family val="2"/>
          </rPr>
          <t>ryanmel:</t>
        </r>
        <r>
          <rPr>
            <sz val="8"/>
            <color indexed="8"/>
            <rFont val="Tahoma"/>
            <family val="2"/>
          </rPr>
          <t xml:space="preserve">
set to $100, adjust with Q</t>
        </r>
      </text>
    </comment>
    <comment ref="BO703" authorId="36">
      <text>
        <r>
          <rPr>
            <b/>
            <sz val="8"/>
            <color indexed="81"/>
            <rFont val="Tahoma"/>
            <family val="2"/>
          </rPr>
          <t>DJF 2/16/12:</t>
        </r>
        <r>
          <rPr>
            <sz val="8"/>
            <color indexed="81"/>
            <rFont val="Tahoma"/>
            <family val="2"/>
          </rPr>
          <t xml:space="preserve">
$2M plug</t>
        </r>
      </text>
    </comment>
    <comment ref="CP703" authorId="2">
      <text>
        <r>
          <rPr>
            <b/>
            <sz val="9"/>
            <color indexed="81"/>
            <rFont val="Tahoma"/>
            <family val="2"/>
          </rPr>
          <t>Savino, Mark (Research):</t>
        </r>
        <r>
          <rPr>
            <sz val="9"/>
            <color indexed="81"/>
            <rFont val="Tahoma"/>
            <family val="2"/>
          </rPr>
          <t xml:space="preserve">
Positive working capital from guest loyalty program</t>
        </r>
      </text>
    </comment>
    <comment ref="CQ703" authorId="2">
      <text>
        <r>
          <rPr>
            <b/>
            <sz val="9"/>
            <color indexed="81"/>
            <rFont val="Tahoma"/>
            <family val="2"/>
          </rPr>
          <t>Savino, Mark (Research):</t>
        </r>
        <r>
          <rPr>
            <sz val="9"/>
            <color indexed="81"/>
            <rFont val="Tahoma"/>
            <family val="2"/>
          </rPr>
          <t xml:space="preserve">
Plug</t>
        </r>
      </text>
    </comment>
    <comment ref="CR703" authorId="2">
      <text>
        <r>
          <rPr>
            <b/>
            <sz val="9"/>
            <color indexed="81"/>
            <rFont val="Tahoma"/>
            <family val="2"/>
          </rPr>
          <t>Savino, Mark (Research):</t>
        </r>
        <r>
          <rPr>
            <sz val="9"/>
            <color indexed="81"/>
            <rFont val="Tahoma"/>
            <family val="2"/>
          </rPr>
          <t xml:space="preserve">
Positive working capital from guest loyalty program</t>
        </r>
      </text>
    </comment>
    <comment ref="CS703" authorId="2">
      <text>
        <r>
          <rPr>
            <b/>
            <sz val="9"/>
            <color indexed="81"/>
            <rFont val="Tahoma"/>
            <family val="2"/>
          </rPr>
          <t>Savino, Mark (Research):</t>
        </r>
        <r>
          <rPr>
            <sz val="9"/>
            <color indexed="81"/>
            <rFont val="Tahoma"/>
            <family val="2"/>
          </rPr>
          <t xml:space="preserve">
Plug</t>
        </r>
      </text>
    </comment>
    <comment ref="CY703" authorId="1">
      <text>
        <r>
          <rPr>
            <b/>
            <sz val="9"/>
            <color indexed="81"/>
            <rFont val="Tahoma"/>
            <family val="2"/>
          </rPr>
          <t>Allen, Thomas (Research):</t>
        </r>
        <r>
          <rPr>
            <sz val="9"/>
            <color indexed="81"/>
            <rFont val="Tahoma"/>
            <family val="2"/>
          </rPr>
          <t xml:space="preserve">
4Q17: $300-400m benefit from loyalty program funds</t>
        </r>
      </text>
    </comment>
    <comment ref="CZ703" authorId="1">
      <text>
        <r>
          <rPr>
            <b/>
            <sz val="9"/>
            <color indexed="81"/>
            <rFont val="Tahoma"/>
            <family val="2"/>
          </rPr>
          <t>Allen, Thomas (Research):</t>
        </r>
        <r>
          <rPr>
            <sz val="9"/>
            <color indexed="81"/>
            <rFont val="Tahoma"/>
            <family val="2"/>
          </rPr>
          <t xml:space="preserve">
3/21/17: $700m cumulative 2017-2019 benefit from guest loyalty program, $200m from other WC</t>
        </r>
      </text>
    </comment>
    <comment ref="CZ704" authorId="1">
      <text>
        <r>
          <rPr>
            <b/>
            <sz val="9"/>
            <color indexed="81"/>
            <rFont val="Tahoma"/>
            <family val="2"/>
          </rPr>
          <t>Allen, Thomas (Research):</t>
        </r>
        <r>
          <rPr>
            <sz val="9"/>
            <color indexed="81"/>
            <rFont val="Tahoma"/>
            <family val="2"/>
          </rPr>
          <t xml:space="preserve">
Not we don't include $200m of tax losses from asset sales as not modeling asset sales</t>
        </r>
      </text>
    </comment>
    <comment ref="AB707" authorId="10">
      <text>
        <r>
          <rPr>
            <sz val="8"/>
            <color indexed="81"/>
            <rFont val="Tahoma"/>
            <family val="2"/>
          </rPr>
          <t>$550m-$600m</t>
        </r>
      </text>
    </comment>
    <comment ref="AG707" authorId="10">
      <text>
        <r>
          <rPr>
            <sz val="8"/>
            <color indexed="81"/>
            <rFont val="Tahoma"/>
            <family val="2"/>
          </rPr>
          <t>$500m</t>
        </r>
      </text>
    </comment>
    <comment ref="AL707" authorId="10">
      <text>
        <r>
          <rPr>
            <sz val="8"/>
            <color indexed="81"/>
            <rFont val="Tahoma"/>
            <family val="2"/>
          </rPr>
          <t>$50 million for maintenance capital spending, $200 million for capital expenditures or property acquisitions, $80 million to $90 million for timeshare inventory, $250 million in new mezzanine financing and mortgage loans for hotels developed by our owners and franchisees and approximately $175 million in equity investments, including investments in timeshare joint ventures.</t>
        </r>
        <r>
          <rPr>
            <sz val="8"/>
            <color indexed="81"/>
            <rFont val="Tahoma"/>
            <family val="2"/>
          </rPr>
          <t xml:space="preserve">
</t>
        </r>
      </text>
    </comment>
    <comment ref="AQ707" authorId="10">
      <text>
        <r>
          <rPr>
            <sz val="8"/>
            <color indexed="81"/>
            <rFont val="Tahoma"/>
            <family val="2"/>
          </rPr>
          <t>$900m</t>
        </r>
      </text>
    </comment>
    <comment ref="AV707" authorId="23">
      <text>
        <r>
          <rPr>
            <sz val="8"/>
            <color indexed="81"/>
            <rFont val="Tahoma"/>
            <family val="2"/>
          </rPr>
          <t>We assume about $500 million to $700 million in investment spending in 2011 including $50 million to $100 million in maintenance spending.
Source: 2Q11 call transcript.</t>
        </r>
      </text>
    </comment>
    <comment ref="BA707" authorId="23">
      <text>
        <r>
          <rPr>
            <sz val="8"/>
            <color indexed="81"/>
            <rFont val="Tahoma"/>
            <family val="2"/>
          </rPr>
          <t>We assume about $500 million to $700 million in investment spending in 2011 including $50 million to $100 million in maintenance spending.
Source: 2Q11 call transcript.</t>
        </r>
      </text>
    </comment>
    <comment ref="BF707" authorId="10">
      <text>
        <r>
          <rPr>
            <sz val="8"/>
            <color indexed="81"/>
            <rFont val="Tahoma"/>
            <family val="2"/>
          </rPr>
          <t>$325m-$375m</t>
        </r>
      </text>
    </comment>
    <comment ref="BK707" authorId="23">
      <text>
        <r>
          <rPr>
            <sz val="8"/>
            <color indexed="81"/>
            <rFont val="Tahoma"/>
            <family val="2"/>
          </rPr>
          <t>We assume about $500 million to $700 million in investment spending in 2011 including $50 million to $100 million in maintenance spending.
Source: 2Q11 call transcript.</t>
        </r>
      </text>
    </comment>
    <comment ref="BP707" authorId="23">
      <text>
        <r>
          <rPr>
            <sz val="8"/>
            <color indexed="81"/>
            <rFont val="Tahoma"/>
            <family val="2"/>
          </rPr>
          <t>We assume about $500 million to $700 million in investment spending in 2011 including $50 million to $100 million in maintenance spending.
Source: 2Q11 call transcript.</t>
        </r>
      </text>
    </comment>
    <comment ref="BU707" authorId="23">
      <text>
        <r>
          <rPr>
            <sz val="8"/>
            <color indexed="81"/>
            <rFont val="Tahoma"/>
            <family val="2"/>
          </rPr>
          <t>$850m-$950m for FY2012. Includes $100m maintenance spending</t>
        </r>
      </text>
    </comment>
    <comment ref="CZ708" authorId="6">
      <text>
        <r>
          <rPr>
            <b/>
            <sz val="9"/>
            <color indexed="81"/>
            <rFont val="Tahoma"/>
            <family val="2"/>
          </rPr>
          <t>Zheng, Chaodan (Research):</t>
        </r>
        <r>
          <rPr>
            <sz val="9"/>
            <color indexed="81"/>
            <rFont val="Tahoma"/>
            <family val="2"/>
          </rPr>
          <t xml:space="preserve">
3/21/17 Investor Day: $300m 2017-2019, based on midpoint of 2017 through 2018 investment spending guidance of $1.5-1.7b </t>
        </r>
      </text>
    </comment>
    <comment ref="CZ709" authorId="6">
      <text>
        <r>
          <rPr>
            <b/>
            <sz val="9"/>
            <color indexed="81"/>
            <rFont val="Tahoma"/>
            <family val="2"/>
          </rPr>
          <t>Zheng, Chaodan (Research):</t>
        </r>
        <r>
          <rPr>
            <sz val="9"/>
            <color indexed="81"/>
            <rFont val="Tahoma"/>
            <family val="2"/>
          </rPr>
          <t xml:space="preserve">
3/21/17 Investor Day: -$100m 2017-2019, based on midpoint of 2017 through 2018 investment spending guidance of $1.5-1.7b </t>
        </r>
      </text>
    </comment>
    <comment ref="V710" authorId="20">
      <text>
        <r>
          <rPr>
            <b/>
            <sz val="8"/>
            <color indexed="8"/>
            <rFont val="Tahoma"/>
            <family val="2"/>
          </rPr>
          <t xml:space="preserve">melletc:
</t>
        </r>
        <r>
          <rPr>
            <sz val="8"/>
            <color indexed="8"/>
            <rFont val="Tahoma"/>
            <family val="2"/>
          </rPr>
          <t>$62mm sale of 24 Village Oaks Senior living communities.  Gain on sale recognized in 3Q02. $89 million sale of 12 Senior Living Communities to CNL Retirement.</t>
        </r>
        <r>
          <rPr>
            <sz val="8"/>
            <color indexed="8"/>
            <rFont val="Tahoma"/>
            <family val="2"/>
          </rPr>
          <t xml:space="preserve">
Less purchase of 14 unrelated MSLS communities for $13mm in cash plus $205mm in debt</t>
        </r>
      </text>
    </comment>
    <comment ref="CN710" authorId="1">
      <text>
        <r>
          <rPr>
            <b/>
            <sz val="9"/>
            <color indexed="81"/>
            <rFont val="Tahoma"/>
            <family val="2"/>
          </rPr>
          <t>Allen, Thomas (Research):</t>
        </r>
        <r>
          <rPr>
            <sz val="9"/>
            <color indexed="81"/>
            <rFont val="Tahoma"/>
            <family val="2"/>
          </rPr>
          <t xml:space="preserve">
Sold the St. Regis SF on Dec 1 for $175m, assume some tax leakage ($10m)</t>
        </r>
      </text>
    </comment>
    <comment ref="CP710" authorId="6">
      <text>
        <r>
          <rPr>
            <b/>
            <sz val="9"/>
            <color indexed="81"/>
            <rFont val="Tahoma"/>
            <family val="2"/>
          </rPr>
          <t>Zheng, Chaodan (Research):</t>
        </r>
        <r>
          <rPr>
            <sz val="9"/>
            <color indexed="81"/>
            <rFont val="Tahoma"/>
            <family val="2"/>
          </rPr>
          <t xml:space="preserve">
sold the 759-room Westin Maui for $317m, implying $418k/key. We had valued the property at $228m. Per 1Q17 call, received proceeds on 3/31</t>
        </r>
      </text>
    </comment>
    <comment ref="CQ710" authorId="6">
      <text>
        <r>
          <rPr>
            <b/>
            <sz val="9"/>
            <color indexed="81"/>
            <rFont val="Tahoma"/>
            <family val="2"/>
          </rPr>
          <t>Zheng, Chaodan (Research):</t>
        </r>
        <r>
          <rPr>
            <sz val="9"/>
            <color indexed="81"/>
            <rFont val="Tahoma"/>
            <family val="2"/>
          </rPr>
          <t xml:space="preserve">
6/2/17: sold the 446-room Charlotte Marriott City Center hotel for approximately $170m</t>
        </r>
      </text>
    </comment>
    <comment ref="CR710" authorId="1">
      <text>
        <r>
          <rPr>
            <b/>
            <sz val="9"/>
            <color indexed="81"/>
            <rFont val="Tahoma"/>
            <family val="2"/>
          </rPr>
          <t>Allen, Thomas (Research):</t>
        </r>
        <r>
          <rPr>
            <sz val="9"/>
            <color indexed="81"/>
            <rFont val="Tahoma"/>
            <family val="2"/>
          </rPr>
          <t xml:space="preserve">
Sheraton Toronto sale</t>
        </r>
      </text>
    </comment>
    <comment ref="CS710" authorId="6">
      <text>
        <r>
          <rPr>
            <b/>
            <sz val="9"/>
            <color indexed="81"/>
            <rFont val="Tahoma"/>
            <family val="2"/>
          </rPr>
          <t>Zheng, Chaodan (Research):</t>
        </r>
        <r>
          <rPr>
            <sz val="9"/>
            <color indexed="81"/>
            <rFont val="Tahoma"/>
            <family val="2"/>
          </rPr>
          <t xml:space="preserve">
10/16/17: sold its 55% stake in Avendra for $659m to Aramark. Marriott committed proceeds to the benefit of hotels in the MAR system, $259m tax leakage to be paid in April 2018
Less cash taxes</t>
        </r>
      </text>
    </comment>
    <comment ref="CU710" authorId="1">
      <text>
        <r>
          <rPr>
            <b/>
            <sz val="9"/>
            <color indexed="81"/>
            <rFont val="Tahoma"/>
            <family val="2"/>
          </rPr>
          <t>Allen, Thomas (Research):</t>
        </r>
        <r>
          <rPr>
            <sz val="9"/>
            <color indexed="81"/>
            <rFont val="Tahoma"/>
            <family val="2"/>
          </rPr>
          <t xml:space="preserve">
$100m Avendra spend
$105m Sheraton BA sale, includes $45m incl. in gain on sale)</t>
        </r>
      </text>
    </comment>
    <comment ref="CV710" authorId="1">
      <text>
        <r>
          <rPr>
            <b/>
            <sz val="9"/>
            <color indexed="81"/>
            <rFont val="Tahoma"/>
            <family val="2"/>
          </rPr>
          <t>Allen, Thomas (Research):</t>
        </r>
        <r>
          <rPr>
            <sz val="9"/>
            <color indexed="81"/>
            <rFont val="Tahoma"/>
            <family val="2"/>
          </rPr>
          <t xml:space="preserve">
Avendra spend
Offset by $259 tax liability for Avendra</t>
        </r>
      </text>
    </comment>
    <comment ref="CW710" authorId="1">
      <text>
        <r>
          <rPr>
            <b/>
            <sz val="9"/>
            <color indexed="81"/>
            <rFont val="Tahoma"/>
            <family val="2"/>
          </rPr>
          <t>Allen, Thomas (Research):</t>
        </r>
        <r>
          <rPr>
            <sz val="9"/>
            <color indexed="81"/>
            <rFont val="Tahoma"/>
            <family val="2"/>
          </rPr>
          <t xml:space="preserve">
Avendra spend</t>
        </r>
      </text>
    </comment>
    <comment ref="CX710" authorId="1">
      <text>
        <r>
          <rPr>
            <b/>
            <sz val="9"/>
            <color indexed="81"/>
            <rFont val="Tahoma"/>
            <family val="2"/>
          </rPr>
          <t>Allen, Thomas (Research):</t>
        </r>
        <r>
          <rPr>
            <sz val="9"/>
            <color indexed="81"/>
            <rFont val="Tahoma"/>
            <family val="2"/>
          </rPr>
          <t xml:space="preserve">
Avendra spend</t>
        </r>
      </text>
    </comment>
    <comment ref="CZ710" authorId="6">
      <text>
        <r>
          <rPr>
            <b/>
            <sz val="9"/>
            <color indexed="81"/>
            <rFont val="Tahoma"/>
            <family val="2"/>
          </rPr>
          <t>Zheng, Chaodan (Research):</t>
        </r>
        <r>
          <rPr>
            <sz val="9"/>
            <color indexed="81"/>
            <rFont val="Tahoma"/>
            <family val="2"/>
          </rPr>
          <t xml:space="preserve">
3/21/17 Investor Day: -$1,600m 2017-2019, based on midpoint of 2017 through 2018 investment spending guidance of $1.5-1.7b </t>
        </r>
      </text>
    </comment>
    <comment ref="CZ711" authorId="6">
      <text>
        <r>
          <rPr>
            <b/>
            <sz val="9"/>
            <color indexed="81"/>
            <rFont val="Tahoma"/>
            <family val="2"/>
          </rPr>
          <t>Zheng, Chaodan (Research):</t>
        </r>
        <r>
          <rPr>
            <sz val="9"/>
            <color indexed="81"/>
            <rFont val="Tahoma"/>
            <family val="2"/>
          </rPr>
          <t xml:space="preserve">
3/21/17 Investor Day: $100m 2017-2019, based on midpoint of 2017 through 2018 investment spending guidance of $1.5-1.7b </t>
        </r>
      </text>
    </comment>
    <comment ref="BE712" authorId="9">
      <text>
        <r>
          <rPr>
            <b/>
            <sz val="8"/>
            <color indexed="81"/>
            <rFont val="Tahoma"/>
            <family val="2"/>
          </rPr>
          <t>danfuss:</t>
        </r>
        <r>
          <rPr>
            <sz val="8"/>
            <color indexed="81"/>
            <rFont val="Tahoma"/>
            <family val="2"/>
          </rPr>
          <t xml:space="preserve">
</t>
        </r>
      </text>
    </comment>
    <comment ref="BT712" authorId="1">
      <text>
        <r>
          <rPr>
            <b/>
            <sz val="9"/>
            <color indexed="81"/>
            <rFont val="Tahoma"/>
            <family val="2"/>
          </rPr>
          <t>Allen, Thomas (Research):</t>
        </r>
        <r>
          <rPr>
            <sz val="9"/>
            <color indexed="81"/>
            <rFont val="Tahoma"/>
            <family val="2"/>
          </rPr>
          <t xml:space="preserve">
$200m Gaylord</t>
        </r>
      </text>
    </comment>
    <comment ref="BU712" authorId="12">
      <text>
        <r>
          <rPr>
            <b/>
            <sz val="8"/>
            <color indexed="81"/>
            <rFont val="Tahoma"/>
            <family val="2"/>
          </rPr>
          <t>jills:</t>
        </r>
        <r>
          <rPr>
            <sz val="8"/>
            <color indexed="81"/>
            <rFont val="Tahoma"/>
            <family val="2"/>
          </rPr>
          <t xml:space="preserve">
includes $192mm related to the Gaylord hotel management company acquisition; separately $18mm was related to the acquisition of the Gaylord brand name and was categorized as "other investing activities."</t>
        </r>
      </text>
    </comment>
    <comment ref="CZ712" authorId="6">
      <text>
        <r>
          <rPr>
            <b/>
            <sz val="9"/>
            <color indexed="81"/>
            <rFont val="Tahoma"/>
            <family val="2"/>
          </rPr>
          <t>Zheng, Chaodan (Research):</t>
        </r>
        <r>
          <rPr>
            <sz val="9"/>
            <color indexed="81"/>
            <rFont val="Tahoma"/>
            <family val="2"/>
          </rPr>
          <t xml:space="preserve">
3/21/17 Investor Day: $700m 2017-2019, based on midpoint of 2017 through 2018 investment spending guidance of $1.5-1.7b </t>
        </r>
      </text>
    </comment>
    <comment ref="AP713" authorId="9">
      <text>
        <r>
          <rPr>
            <b/>
            <sz val="8"/>
            <color indexed="81"/>
            <rFont val="Tahoma"/>
            <family val="2"/>
          </rPr>
          <t>danfuss:</t>
        </r>
        <r>
          <rPr>
            <sz val="8"/>
            <color indexed="81"/>
            <rFont val="Tahoma"/>
            <family val="2"/>
          </rPr>
          <t xml:space="preserve">
Includes purchase of available for sale securities</t>
        </r>
      </text>
    </comment>
    <comment ref="AU713" authorId="9">
      <text>
        <r>
          <rPr>
            <b/>
            <sz val="8"/>
            <color indexed="81"/>
            <rFont val="Tahoma"/>
            <family val="2"/>
          </rPr>
          <t>danfuss:</t>
        </r>
        <r>
          <rPr>
            <sz val="8"/>
            <color indexed="81"/>
            <rFont val="Tahoma"/>
            <family val="2"/>
          </rPr>
          <t xml:space="preserve">
Includes $43 mm sale of available-for-sale securities</t>
        </r>
      </text>
    </comment>
    <comment ref="AZ713" authorId="9">
      <text>
        <r>
          <rPr>
            <b/>
            <sz val="8"/>
            <color indexed="81"/>
            <rFont val="Tahoma"/>
            <family val="2"/>
          </rPr>
          <t>danfuss:</t>
        </r>
        <r>
          <rPr>
            <sz val="8"/>
            <color indexed="81"/>
            <rFont val="Tahoma"/>
            <family val="2"/>
          </rPr>
          <t xml:space="preserve">
Includes $20 mm sale of available-for-sale securities</t>
        </r>
      </text>
    </comment>
    <comment ref="BE713" authorId="9">
      <text>
        <r>
          <rPr>
            <b/>
            <sz val="8"/>
            <color indexed="81"/>
            <rFont val="Tahoma"/>
            <family val="2"/>
          </rPr>
          <t>DJF:</t>
        </r>
        <r>
          <rPr>
            <sz val="8"/>
            <color indexed="81"/>
            <rFont val="Tahoma"/>
            <family val="2"/>
          </rPr>
          <t xml:space="preserve">
Includes $16 mm sale of available-for-sale securities and $97 mm partial surrender of life insurance policy cash value</t>
        </r>
      </text>
    </comment>
    <comment ref="BU713" authorId="12">
      <text>
        <r>
          <rPr>
            <b/>
            <sz val="8"/>
            <color indexed="81"/>
            <rFont val="Tahoma"/>
            <family val="2"/>
          </rPr>
          <t>jills:</t>
        </r>
        <r>
          <rPr>
            <sz val="8"/>
            <color indexed="81"/>
            <rFont val="Tahoma"/>
            <family val="2"/>
          </rPr>
          <t xml:space="preserve">
includes $18mm related to the Gaylord brand name acquisition</t>
        </r>
      </text>
    </comment>
    <comment ref="BY713" authorId="13">
      <text>
        <r>
          <rPr>
            <sz val="8"/>
            <color indexed="81"/>
            <rFont val="Tahoma"/>
            <family val="2"/>
          </rPr>
          <t>$65mn Investment in debt security</t>
        </r>
      </text>
    </comment>
    <comment ref="CA713" authorId="33">
      <text>
        <r>
          <rPr>
            <sz val="8"/>
            <color indexed="81"/>
            <rFont val="Tahoma"/>
            <family val="2"/>
          </rPr>
          <t xml:space="preserve">Includes:
Protea escrow deposit: $192.0m
Other; $4.0m
</t>
        </r>
      </text>
    </comment>
    <comment ref="CB713" authorId="33">
      <text>
        <r>
          <rPr>
            <sz val="8"/>
            <color indexed="81"/>
            <rFont val="Tahoma"/>
            <family val="2"/>
          </rPr>
          <t xml:space="preserve">Includes:
Protea escrow deposit: $192.0m
Other; $4.0m
</t>
        </r>
      </text>
    </comment>
    <comment ref="CP713" authorId="2">
      <text>
        <r>
          <rPr>
            <b/>
            <sz val="9"/>
            <color indexed="81"/>
            <rFont val="Tahoma"/>
            <family val="2"/>
          </rPr>
          <t>Savino, Mark (Research):</t>
        </r>
        <r>
          <rPr>
            <sz val="9"/>
            <color indexed="81"/>
            <rFont val="Tahoma"/>
            <family val="2"/>
          </rPr>
          <t xml:space="preserve">
Plug</t>
        </r>
      </text>
    </comment>
    <comment ref="CZ713" authorId="6">
      <text>
        <r>
          <rPr>
            <b/>
            <sz val="9"/>
            <color indexed="81"/>
            <rFont val="Tahoma"/>
            <family val="2"/>
          </rPr>
          <t>Zheng, Chaodan (Research):</t>
        </r>
        <r>
          <rPr>
            <sz val="9"/>
            <color indexed="81"/>
            <rFont val="Tahoma"/>
            <family val="2"/>
          </rPr>
          <t xml:space="preserve">
3/21/17 Investor Day: -$100m 2017-2019, based on midpoint of 2017 through 2018 investment spending guidance of $1.5-1.7b </t>
        </r>
      </text>
    </comment>
    <comment ref="CZ714" authorId="6">
      <text>
        <r>
          <rPr>
            <b/>
            <sz val="9"/>
            <color indexed="81"/>
            <rFont val="Tahoma"/>
            <family val="2"/>
          </rPr>
          <t>Zheng, Chaodan (Research):</t>
        </r>
        <r>
          <rPr>
            <sz val="9"/>
            <color indexed="81"/>
            <rFont val="Tahoma"/>
            <family val="2"/>
          </rPr>
          <t xml:space="preserve">
3/21/17 Investor Day: -$200m 2017-2019, based on midpoint of 2017 through 2018 investment spending guidance of $1.5-1.7b </t>
        </r>
      </text>
    </comment>
    <comment ref="AZ717" authorId="17">
      <text>
        <r>
          <rPr>
            <b/>
            <sz val="8"/>
            <color indexed="8"/>
            <rFont val="Tahoma"/>
            <family val="2"/>
          </rPr>
          <t>ryanmel:</t>
        </r>
        <r>
          <rPr>
            <sz val="8"/>
            <color indexed="8"/>
            <rFont val="Tahoma"/>
            <family val="2"/>
          </rPr>
          <t xml:space="preserve">
purcahse of 109 mm in senior notes</t>
        </r>
      </text>
    </comment>
    <comment ref="BZ718" authorId="7">
      <text>
        <r>
          <rPr>
            <b/>
            <sz val="8"/>
            <color indexed="81"/>
            <rFont val="Tahoma"/>
            <family val="2"/>
          </rPr>
          <t>thallen:</t>
        </r>
        <r>
          <rPr>
            <sz val="8"/>
            <color indexed="81"/>
            <rFont val="Tahoma"/>
            <family val="2"/>
          </rPr>
          <t xml:space="preserve">
Per 4Q12 / 2Q13 earnings release, assuming current capex plans, $800-1B could be returned to shareholders through share repurchases and dividends (reiterated on 1Q13 call)
OFFSET by stock-based comp awards
per 3Q13 call, could return ~$1B to shareholders through buybacks and dividends</t>
        </r>
      </text>
    </comment>
    <comment ref="CJ718" authorId="5">
      <text>
        <r>
          <rPr>
            <b/>
            <sz val="9"/>
            <color indexed="81"/>
            <rFont val="Tahoma"/>
            <family val="2"/>
          </rPr>
          <t xml:space="preserve">Guidance:
</t>
        </r>
        <r>
          <rPr>
            <sz val="9"/>
            <color indexed="81"/>
            <rFont val="Tahoma"/>
            <family val="2"/>
          </rPr>
          <t xml:space="preserve">2Q15: Expect to return over $2 billion to shareholders in repurchases and
dividends in 2015. </t>
        </r>
        <r>
          <rPr>
            <b/>
            <sz val="9"/>
            <color indexed="81"/>
            <rFont val="Tahoma"/>
            <family val="2"/>
          </rPr>
          <t xml:space="preserve">
</t>
        </r>
        <r>
          <rPr>
            <sz val="9"/>
            <color indexed="81"/>
            <rFont val="Tahoma"/>
            <family val="2"/>
          </rPr>
          <t>As per 9/8/14 Analyst meeting, mgmt noted it could return $6.7-$7.6 billion to shareholders for the four years 2014-2017</t>
        </r>
      </text>
    </comment>
    <comment ref="CO718" authorId="2">
      <text>
        <r>
          <rPr>
            <b/>
            <sz val="9"/>
            <color indexed="81"/>
            <rFont val="Tahoma"/>
            <family val="2"/>
          </rPr>
          <t>Savino, Mark (Research):</t>
        </r>
        <r>
          <rPr>
            <sz val="9"/>
            <color indexed="81"/>
            <rFont val="Tahoma"/>
            <family val="2"/>
          </rPr>
          <t xml:space="preserve">
4Q15: based on level of investment spending, can return more than $2B through share repurchases and dividends</t>
        </r>
      </text>
    </comment>
    <comment ref="CT718" authorId="5">
      <text>
        <r>
          <rPr>
            <b/>
            <sz val="9"/>
            <color indexed="81"/>
            <rFont val="Tahoma"/>
            <family val="2"/>
          </rPr>
          <t xml:space="preserve">Guidance:
3Q17: </t>
        </r>
        <r>
          <rPr>
            <sz val="9"/>
            <color indexed="81"/>
            <rFont val="Tahoma"/>
            <family val="2"/>
          </rPr>
          <t>$3.5B capital returns</t>
        </r>
        <r>
          <rPr>
            <b/>
            <sz val="9"/>
            <color indexed="81"/>
            <rFont val="Tahoma"/>
            <family val="2"/>
          </rPr>
          <t xml:space="preserve">
2Q17: </t>
        </r>
        <r>
          <rPr>
            <sz val="9"/>
            <color indexed="81"/>
            <rFont val="Tahoma"/>
            <family val="2"/>
          </rPr>
          <t>$2.5B capital returns in 2017</t>
        </r>
        <r>
          <rPr>
            <b/>
            <sz val="9"/>
            <color indexed="81"/>
            <rFont val="Tahoma"/>
            <family val="2"/>
          </rPr>
          <t xml:space="preserve">
4Q16: </t>
        </r>
        <r>
          <rPr>
            <sz val="9"/>
            <color indexed="81"/>
            <rFont val="Tahoma"/>
            <family val="2"/>
          </rPr>
          <t xml:space="preserve">$1.5-2.0B capital returns in 2017
</t>
        </r>
        <r>
          <rPr>
            <b/>
            <sz val="9"/>
            <color indexed="81"/>
            <rFont val="Tahoma"/>
            <family val="2"/>
          </rPr>
          <t xml:space="preserve">
Legacy MAR: </t>
        </r>
        <r>
          <rPr>
            <sz val="9"/>
            <color indexed="81"/>
            <rFont val="Tahoma"/>
            <family val="2"/>
          </rPr>
          <t>As per 9/8/14 Analyst meeting, mgmt noted it could return $6.7-$7.6 billion to shareholders during four years 2014-2017</t>
        </r>
      </text>
    </comment>
    <comment ref="CZ718" authorId="1">
      <text>
        <r>
          <rPr>
            <b/>
            <sz val="9"/>
            <color indexed="81"/>
            <rFont val="Tahoma"/>
            <family val="2"/>
          </rPr>
          <t>Allen, Thomas (Research):</t>
        </r>
        <r>
          <rPr>
            <sz val="9"/>
            <color indexed="81"/>
            <rFont val="Tahoma"/>
            <family val="2"/>
          </rPr>
          <t xml:space="preserve">
3/21/17: $1.4-1.5B of dividends from 2017-2019</t>
        </r>
      </text>
    </comment>
    <comment ref="BV719" authorId="7">
      <text>
        <r>
          <rPr>
            <b/>
            <sz val="8"/>
            <color indexed="81"/>
            <rFont val="Tahoma"/>
            <family val="2"/>
          </rPr>
          <t>thallen:</t>
        </r>
        <r>
          <rPr>
            <sz val="8"/>
            <color indexed="81"/>
            <rFont val="Tahoma"/>
            <family val="2"/>
          </rPr>
          <t xml:space="preserve">
On 2/15/13, increased share repurchase authorization to 34.2mm shares</t>
        </r>
      </text>
    </comment>
    <comment ref="BW719" authorId="12">
      <text>
        <r>
          <rPr>
            <b/>
            <sz val="8"/>
            <color indexed="81"/>
            <rFont val="Tahoma"/>
            <family val="2"/>
          </rPr>
          <t>jills:</t>
        </r>
        <r>
          <rPr>
            <sz val="8"/>
            <color indexed="81"/>
            <rFont val="Tahoma"/>
            <family val="2"/>
          </rPr>
          <t xml:space="preserve">
per 1Q12 earnings, MAR repurchased $112mn QTD through Apr 30th; remaining authorization as of Apr 30th totaled 26.2mn shares</t>
        </r>
      </text>
    </comment>
    <comment ref="BX719" authorId="12">
      <text>
        <r>
          <rPr>
            <b/>
            <sz val="8"/>
            <color indexed="81"/>
            <rFont val="Tahoma"/>
            <family val="2"/>
          </rPr>
          <t>jills:</t>
        </r>
        <r>
          <rPr>
            <sz val="8"/>
            <color indexed="81"/>
            <rFont val="Tahoma"/>
            <family val="2"/>
          </rPr>
          <t xml:space="preserve">
21.4mm shares remain under authorization as of 7/30/13
repurchased 3.2m shares in 3Q for $129m
at 3Q end remaining authorization totaled 17.6m shrs</t>
        </r>
      </text>
    </comment>
    <comment ref="BY719" authorId="1">
      <text>
        <r>
          <rPr>
            <b/>
            <sz val="9"/>
            <color indexed="81"/>
            <rFont val="Tahoma"/>
            <family val="2"/>
          </rPr>
          <t>Allen, Thomas (Research):</t>
        </r>
        <r>
          <rPr>
            <sz val="9"/>
            <color indexed="81"/>
            <rFont val="Tahoma"/>
            <family val="2"/>
          </rPr>
          <t xml:space="preserve">
Repurchased $829m of stock (4.4m shares) in 2013</t>
        </r>
      </text>
    </comment>
    <comment ref="BZ719" authorId="7">
      <text>
        <r>
          <rPr>
            <b/>
            <sz val="8"/>
            <color indexed="81"/>
            <rFont val="Tahoma"/>
            <family val="2"/>
          </rPr>
          <t>thallen:</t>
        </r>
        <r>
          <rPr>
            <sz val="8"/>
            <color indexed="81"/>
            <rFont val="Tahoma"/>
            <family val="2"/>
          </rPr>
          <t xml:space="preserve">
Per 4Q12 / 2Q13 earnings release, assuming current capex plans, $800-1B could be returned to shareholders through share repurchases and dividends (reiterated on 1Q13 call and in 2Q13 release)
OFFSET by stock-based comp awards
per 3Q13, could return approx $1B to shareholders through buybacks and dividends</t>
        </r>
      </text>
    </comment>
    <comment ref="CC719" authorId="5">
      <text>
        <r>
          <rPr>
            <b/>
            <sz val="9"/>
            <color indexed="81"/>
            <rFont val="Tahoma"/>
            <family val="2"/>
          </rPr>
          <t>3Q14:</t>
        </r>
        <r>
          <rPr>
            <sz val="9"/>
            <color indexed="81"/>
            <rFont val="Tahoma"/>
            <family val="2"/>
          </rPr>
          <t xml:space="preserve">
The company repurchased 4.5 million shares of common stock in the third quarter at a cost of $300 million.  Year-to-date through October 28, Marriott repurchased 20.4 million shares of its stock for $1.2 billion at an average price of $59.36.  The remaining share authorization as of October 28, 2014, totaled 18.9 million shares
</t>
        </r>
      </text>
    </comment>
    <comment ref="CE719" authorId="7">
      <text>
        <r>
          <rPr>
            <b/>
            <sz val="8"/>
            <color indexed="81"/>
            <rFont val="Tahoma"/>
            <family val="2"/>
          </rPr>
          <t>Guidance:</t>
        </r>
        <r>
          <rPr>
            <sz val="8"/>
            <color indexed="81"/>
            <rFont val="Tahoma"/>
            <family val="2"/>
          </rPr>
          <t xml:space="preserve">
3Q14 earnings, mgmt noted it would return $1.6-$1.7 billion to shareholders
2Q14 earnings, mgmt noted it would return $1.35-$1.6 billion to shareholders
4Q13 earnings, mgmt noted it would return $1.25-1.5B to shareholders in 2014 Offset by ESO</t>
        </r>
      </text>
    </comment>
    <comment ref="CI719" authorId="1">
      <text>
        <r>
          <rPr>
            <b/>
            <sz val="9"/>
            <color indexed="81"/>
            <rFont val="Tahoma"/>
            <family val="2"/>
          </rPr>
          <t>Allen, Thomas (Research):</t>
        </r>
        <r>
          <rPr>
            <sz val="9"/>
            <color indexed="81"/>
            <rFont val="Tahoma"/>
            <family val="2"/>
          </rPr>
          <t xml:space="preserve">
4Q press release: repurchased 1.3m shares for $93m in 4Q
Per 2/11/16 pr, mgmt bought back $1.94B of stock in 2015</t>
        </r>
      </text>
    </comment>
    <comment ref="CJ719" authorId="7">
      <text>
        <r>
          <rPr>
            <b/>
            <sz val="8"/>
            <color indexed="81"/>
            <rFont val="Tahoma"/>
            <family val="2"/>
          </rPr>
          <t>Guidance:</t>
        </r>
        <r>
          <rPr>
            <sz val="8"/>
            <color indexed="81"/>
            <rFont val="Tahoma"/>
            <family val="2"/>
          </rPr>
          <t xml:space="preserve">
12/22: Buying back $2.2 billion, lower b/c were unable to buyback stock until S-4 came out (on 12/22)
3Q15: Expect to return $2.25 billion to shareholders in repurchases and
dividends in 2015.
2Q15: Expect to return over $2 billion to shareholders in repurchases and
dividends in 2015.
4Q14: Company expects to return at least as much as 2014 levels</t>
        </r>
      </text>
    </comment>
    <comment ref="CO719" authorId="2">
      <text>
        <r>
          <rPr>
            <b/>
            <sz val="9"/>
            <color indexed="81"/>
            <rFont val="Tahoma"/>
            <family val="2"/>
          </rPr>
          <t>Savino, Mark (Research):</t>
        </r>
        <r>
          <rPr>
            <sz val="9"/>
            <color indexed="81"/>
            <rFont val="Tahoma"/>
            <family val="2"/>
          </rPr>
          <t xml:space="preserve">
4Q15: based on level of investment spending, can return more than $2B through share repurchases and dividends</t>
        </r>
      </text>
    </comment>
    <comment ref="CP719" authorId="1">
      <text>
        <r>
          <rPr>
            <b/>
            <sz val="9"/>
            <color indexed="81"/>
            <rFont val="Tahoma"/>
            <family val="2"/>
          </rPr>
          <t>Allen, Thomas (Research):</t>
        </r>
        <r>
          <rPr>
            <sz val="9"/>
            <color indexed="81"/>
            <rFont val="Tahoma"/>
            <family val="2"/>
          </rPr>
          <t xml:space="preserve">
QTD as of 2/15/17, had bought back $253m at $84.24 avg
Through 3/21/17, bought back 6.2m shares for $532m</t>
        </r>
      </text>
    </comment>
    <comment ref="CQ719" authorId="2">
      <text>
        <r>
          <rPr>
            <b/>
            <sz val="9"/>
            <color indexed="81"/>
            <rFont val="Tahoma"/>
            <family val="2"/>
          </rPr>
          <t>Savino, Mark (Research):</t>
        </r>
        <r>
          <rPr>
            <sz val="9"/>
            <color indexed="81"/>
            <rFont val="Tahoma"/>
            <family val="2"/>
          </rPr>
          <t xml:space="preserve">
1Q17 press release: Repurchased $350m QTD through 5/8</t>
        </r>
      </text>
    </comment>
    <comment ref="CT719" authorId="5">
      <text>
        <r>
          <rPr>
            <b/>
            <sz val="9"/>
            <color indexed="81"/>
            <rFont val="Tahoma"/>
            <family val="2"/>
          </rPr>
          <t>Guidance:</t>
        </r>
        <r>
          <rPr>
            <sz val="9"/>
            <color indexed="81"/>
            <rFont val="Tahoma"/>
            <family val="2"/>
          </rPr>
          <t xml:space="preserve">
4Q16: $1.5-2.0B capital returns in 2017
</t>
        </r>
        <r>
          <rPr>
            <b/>
            <sz val="9"/>
            <color indexed="81"/>
            <rFont val="Tahoma"/>
            <family val="2"/>
          </rPr>
          <t xml:space="preserve">
Legacy MAR: </t>
        </r>
        <r>
          <rPr>
            <sz val="9"/>
            <color indexed="81"/>
            <rFont val="Tahoma"/>
            <family val="2"/>
          </rPr>
          <t xml:space="preserve">As per 9/8/14 Analyst meeting, mgmt noted it could return $6.7-$7.6 billion to shareholders for the four years 2014-2017
</t>
        </r>
      </text>
    </comment>
    <comment ref="CU719" authorId="2">
      <text>
        <r>
          <rPr>
            <b/>
            <sz val="9"/>
            <color indexed="81"/>
            <rFont val="Tahoma"/>
            <family val="2"/>
          </rPr>
          <t>Savino, Mark (Research):</t>
        </r>
        <r>
          <rPr>
            <sz val="9"/>
            <color indexed="81"/>
            <rFont val="Tahoma"/>
            <family val="2"/>
          </rPr>
          <t xml:space="preserve">
4Q17: Repurchased 2.3m shares for $315m QTD</t>
        </r>
      </text>
    </comment>
    <comment ref="CY719" authorId="1">
      <text>
        <r>
          <rPr>
            <b/>
            <sz val="9"/>
            <color indexed="81"/>
            <rFont val="Tahoma"/>
            <family val="2"/>
          </rPr>
          <t>Allen, Thomas (Research):</t>
        </r>
        <r>
          <rPr>
            <sz val="9"/>
            <color indexed="81"/>
            <rFont val="Tahoma"/>
            <family val="2"/>
          </rPr>
          <t xml:space="preserve">
4Q17: $2.5B of capital returns through dividends + buybacks
3Q17: 2018 capital returns not necessarily going to be as high as 2017 b/c expect $500m less cash repatriated (part of HOT deal) and $500m less asset sales but growing EBITDA</t>
        </r>
      </text>
    </comment>
    <comment ref="CZ719" authorId="1">
      <text>
        <r>
          <rPr>
            <b/>
            <sz val="9"/>
            <color indexed="81"/>
            <rFont val="Tahoma"/>
            <family val="2"/>
          </rPr>
          <t>Allen, Thomas (Research):</t>
        </r>
        <r>
          <rPr>
            <sz val="9"/>
            <color indexed="81"/>
            <rFont val="Tahoma"/>
            <family val="2"/>
          </rPr>
          <t xml:space="preserve">
3/21/17: $6.9-7.8B of buybacks from 2017-2019, but assumes 1-3% RevPAR growth</t>
        </r>
      </text>
    </comment>
    <comment ref="CZ720" authorId="6">
      <text>
        <r>
          <rPr>
            <b/>
            <sz val="9"/>
            <color indexed="81"/>
            <rFont val="Tahoma"/>
            <family val="2"/>
          </rPr>
          <t>Zheng, Chaodan (Research):</t>
        </r>
        <r>
          <rPr>
            <sz val="9"/>
            <color indexed="81"/>
            <rFont val="Tahoma"/>
            <family val="2"/>
          </rPr>
          <t xml:space="preserve">
3/21/17 Investor Day: -$300m 2017-2019, based on midpoint of 2017 through 2018 investment spending guidance of $1.5-1.7b </t>
        </r>
      </text>
    </comment>
    <comment ref="V721" authorId="37">
      <text>
        <r>
          <rPr>
            <b/>
            <sz val="8"/>
            <color indexed="8"/>
            <rFont val="Tahoma"/>
            <family val="2"/>
          </rPr>
          <t>Todd Scott:</t>
        </r>
        <r>
          <rPr>
            <sz val="8"/>
            <color indexed="8"/>
            <rFont val="Tahoma"/>
            <family val="2"/>
          </rPr>
          <t xml:space="preserve">
Restated 2001 cash balance in 2002 10K</t>
        </r>
      </text>
    </comment>
    <comment ref="AA721" authorId="32">
      <text>
        <r>
          <rPr>
            <b/>
            <sz val="10"/>
            <color indexed="8"/>
            <rFont val="Tahoma"/>
            <family val="2"/>
          </rPr>
          <t>metlich:</t>
        </r>
        <r>
          <rPr>
            <sz val="10"/>
            <color indexed="8"/>
            <rFont val="Tahoma"/>
            <family val="2"/>
          </rPr>
          <t xml:space="preserve">
cash received from minority interest in synthetic fuel operation</t>
        </r>
      </text>
    </comment>
    <comment ref="AK721" authorId="19">
      <text>
        <r>
          <rPr>
            <b/>
            <sz val="8"/>
            <color indexed="8"/>
            <rFont val="Tahoma"/>
            <family val="2"/>
          </rPr>
          <t>Ryan Meliker:</t>
        </r>
        <r>
          <rPr>
            <sz val="8"/>
            <color indexed="8"/>
            <rFont val="Tahoma"/>
            <family val="2"/>
          </rPr>
          <t xml:space="preserve">
adjustment made for 2006 beginning year cash of $-2</t>
        </r>
      </text>
    </comment>
    <comment ref="AZ721" authorId="17">
      <text>
        <r>
          <rPr>
            <b/>
            <sz val="8"/>
            <color indexed="8"/>
            <rFont val="Tahoma"/>
            <family val="2"/>
          </rPr>
          <t>ryanmel:</t>
        </r>
        <r>
          <rPr>
            <sz val="8"/>
            <color indexed="8"/>
            <rFont val="Tahoma"/>
            <family val="2"/>
          </rPr>
          <t xml:space="preserve">
134 mm in cash at 4Q, adjust with 10Q</t>
        </r>
      </text>
    </comment>
    <comment ref="BB721" authorId="17">
      <text>
        <r>
          <rPr>
            <b/>
            <sz val="8"/>
            <color indexed="8"/>
            <rFont val="Tahoma"/>
            <family val="2"/>
          </rPr>
          <t>ryanmel:</t>
        </r>
        <r>
          <rPr>
            <sz val="8"/>
            <color indexed="8"/>
            <rFont val="Tahoma"/>
            <family val="2"/>
          </rPr>
          <t xml:space="preserve">
set for $168mm in cash at quarter end- adjust with cash flow statement in 10-Q</t>
        </r>
      </text>
    </comment>
    <comment ref="BC721" authorId="17">
      <text>
        <r>
          <rPr>
            <b/>
            <sz val="8"/>
            <color indexed="8"/>
            <rFont val="Tahoma"/>
            <family val="2"/>
          </rPr>
          <t>ryanmel:</t>
        </r>
        <r>
          <rPr>
            <sz val="8"/>
            <color indexed="8"/>
            <rFont val="Tahoma"/>
            <family val="2"/>
          </rPr>
          <t xml:space="preserve">
set to $125mm</t>
        </r>
      </text>
    </comment>
    <comment ref="BE721" authorId="17">
      <text>
        <r>
          <rPr>
            <b/>
            <sz val="8"/>
            <color indexed="8"/>
            <rFont val="Tahoma"/>
            <family val="2"/>
          </rPr>
          <t>ryanmel:</t>
        </r>
        <r>
          <rPr>
            <sz val="8"/>
            <color indexed="8"/>
            <rFont val="Tahoma"/>
            <family val="2"/>
          </rPr>
          <t xml:space="preserve">
adjust with 10-K</t>
        </r>
      </text>
    </comment>
    <comment ref="BO721" authorId="0">
      <text>
        <r>
          <rPr>
            <b/>
            <sz val="8"/>
            <color indexed="81"/>
            <rFont val="Tahoma"/>
            <family val="2"/>
          </rPr>
          <t>DJF 3/22/12:</t>
        </r>
        <r>
          <rPr>
            <sz val="8"/>
            <color indexed="81"/>
            <rFont val="Tahoma"/>
            <family val="2"/>
          </rPr>
          <t xml:space="preserve">
Plugged post I/S restatement to get 4Q cash = $102mn</t>
        </r>
      </text>
    </comment>
    <comment ref="BO745" authorId="25">
      <text>
        <r>
          <rPr>
            <b/>
            <sz val="8"/>
            <color indexed="81"/>
            <rFont val="Tahoma"/>
            <family val="2"/>
          </rPr>
          <t>DJF 2/14/12:</t>
        </r>
        <r>
          <rPr>
            <sz val="8"/>
            <color indexed="81"/>
            <rFont val="Tahoma"/>
            <family val="2"/>
          </rPr>
          <t xml:space="preserve">
Per 4Q EPS: $102M</t>
        </r>
      </text>
    </comment>
    <comment ref="BN746" authorId="9">
      <text>
        <r>
          <rPr>
            <b/>
            <sz val="8"/>
            <color indexed="81"/>
            <rFont val="Tahoma"/>
            <family val="2"/>
          </rPr>
          <t>DJF:</t>
        </r>
        <r>
          <rPr>
            <sz val="8"/>
            <color indexed="81"/>
            <rFont val="Tahoma"/>
            <family val="2"/>
          </rPr>
          <t xml:space="preserve">
Loans to Timeshare owners -- Securitized: $864 mm
Loans to Timeshare owners -- Non-securitized: $314 mm</t>
        </r>
      </text>
    </comment>
    <comment ref="BN747" authorId="9">
      <text>
        <r>
          <rPr>
            <b/>
            <sz val="8"/>
            <color indexed="81"/>
            <rFont val="Tahoma"/>
            <family val="2"/>
          </rPr>
          <t>danfuss:</t>
        </r>
        <r>
          <rPr>
            <sz val="8"/>
            <color indexed="81"/>
            <rFont val="Tahoma"/>
            <family val="2"/>
          </rPr>
          <t xml:space="preserve">
1,011 T/S Inventory</t>
        </r>
      </text>
    </comment>
    <comment ref="Z749" authorId="22">
      <text>
        <r>
          <rPr>
            <b/>
            <sz val="8"/>
            <color indexed="8"/>
            <rFont val="Tahoma"/>
            <family val="2"/>
          </rPr>
          <t>Kirk Tashjian:</t>
        </r>
        <r>
          <rPr>
            <sz val="8"/>
            <color indexed="8"/>
            <rFont val="Tahoma"/>
            <family val="2"/>
          </rPr>
          <t xml:space="preserve">
Sale of final senior living properties</t>
        </r>
      </text>
    </comment>
    <comment ref="CI749" authorId="2">
      <text>
        <r>
          <rPr>
            <b/>
            <sz val="9"/>
            <color indexed="81"/>
            <rFont val="Tahoma"/>
            <family val="2"/>
          </rPr>
          <t>Savino, Mark (Research):</t>
        </r>
        <r>
          <rPr>
            <sz val="9"/>
            <color indexed="81"/>
            <rFont val="Tahoma"/>
            <family val="2"/>
          </rPr>
          <t xml:space="preserve">
Reclassified to non-current assets</t>
        </r>
      </text>
    </comment>
    <comment ref="BX750" authorId="12">
      <text>
        <r>
          <rPr>
            <b/>
            <sz val="8"/>
            <color indexed="81"/>
            <rFont val="Tahoma"/>
            <family val="2"/>
          </rPr>
          <t>jills:</t>
        </r>
        <r>
          <rPr>
            <sz val="8"/>
            <color indexed="81"/>
            <rFont val="Tahoma"/>
            <family val="2"/>
          </rPr>
          <t xml:space="preserve">
includes $232m in assets held for sale related to impending sale of London EDITION; at 3Q end had letter of intent from buyer</t>
        </r>
      </text>
    </comment>
    <comment ref="BY750" authorId="13">
      <text>
        <r>
          <rPr>
            <sz val="8"/>
            <color indexed="81"/>
            <rFont val="Tahoma"/>
            <family val="2"/>
          </rPr>
          <t>$350mn Assets held for sale</t>
        </r>
      </text>
    </comment>
    <comment ref="V753" authorId="8">
      <text>
        <r>
          <rPr>
            <b/>
            <sz val="8"/>
            <color indexed="8"/>
            <rFont val="Tahoma"/>
            <family val="2"/>
          </rPr>
          <t>melletc:</t>
        </r>
        <r>
          <rPr>
            <sz val="8"/>
            <color indexed="8"/>
            <rFont val="Tahoma"/>
            <family val="2"/>
          </rPr>
          <t xml:space="preserve">
purchase of 14 unrelated MSLS communities for $13mm in cash plus $205mm in debt</t>
        </r>
      </text>
    </comment>
    <comment ref="A762" authorId="9">
      <text>
        <r>
          <rPr>
            <b/>
            <sz val="8"/>
            <color indexed="81"/>
            <rFont val="Tahoma"/>
            <family val="2"/>
          </rPr>
          <t>DJF 2/16/2012:</t>
        </r>
        <r>
          <rPr>
            <sz val="8"/>
            <color indexed="81"/>
            <rFont val="Tahoma"/>
            <family val="2"/>
          </rPr>
          <t xml:space="preserve">
Formerly included timeshare LT notes receivables</t>
        </r>
      </text>
    </comment>
    <comment ref="DD762" authorId="9">
      <text>
        <r>
          <rPr>
            <b/>
            <sz val="8"/>
            <color indexed="81"/>
            <rFont val="Tahoma"/>
            <family val="2"/>
          </rPr>
          <t>DJF 2/16/2012:</t>
        </r>
        <r>
          <rPr>
            <sz val="8"/>
            <color indexed="81"/>
            <rFont val="Tahoma"/>
            <family val="2"/>
          </rPr>
          <t xml:space="preserve">
Formerly included timeshare LT notes receivables</t>
        </r>
      </text>
    </comment>
    <comment ref="BO773" authorId="25">
      <text>
        <r>
          <rPr>
            <b/>
            <sz val="8"/>
            <color indexed="81"/>
            <rFont val="Tahoma"/>
            <family val="2"/>
          </rPr>
          <t>DJF 2/14/12:</t>
        </r>
        <r>
          <rPr>
            <sz val="8"/>
            <color indexed="81"/>
            <rFont val="Tahoma"/>
            <family val="2"/>
          </rPr>
          <t xml:space="preserve">
Per 4Q EPS: $2,171M </t>
        </r>
      </text>
    </comment>
    <comment ref="U774" authorId="8">
      <text>
        <r>
          <rPr>
            <b/>
            <sz val="8"/>
            <color indexed="8"/>
            <rFont val="Tahoma"/>
            <family val="2"/>
          </rPr>
          <t>melletc:</t>
        </r>
        <r>
          <rPr>
            <sz val="8"/>
            <color indexed="8"/>
            <rFont val="Tahoma"/>
            <family val="2"/>
          </rPr>
          <t xml:space="preserve">
Per conversation with Laura Paugh, 12/30/02</t>
        </r>
      </text>
    </comment>
    <comment ref="Z775" authorId="22">
      <text>
        <r>
          <rPr>
            <b/>
            <sz val="8"/>
            <color indexed="8"/>
            <rFont val="Tahoma"/>
            <family val="2"/>
          </rPr>
          <t>Kirk Tashjian:</t>
        </r>
        <r>
          <rPr>
            <sz val="8"/>
            <color indexed="8"/>
            <rFont val="Tahoma"/>
            <family val="2"/>
          </rPr>
          <t xml:space="preserve">
Includes Minority Interest of $20MM
</t>
        </r>
      </text>
    </comment>
    <comment ref="BG780" authorId="0">
      <text>
        <r>
          <rPr>
            <b/>
            <sz val="8"/>
            <color indexed="81"/>
            <rFont val="Tahoma"/>
            <family val="2"/>
          </rPr>
          <t>DJF 3/22/12:</t>
        </r>
        <r>
          <rPr>
            <sz val="8"/>
            <color indexed="81"/>
            <rFont val="Tahoma"/>
            <family val="2"/>
          </rPr>
          <t xml:space="preserve">
Plugged for adjusted I/S</t>
        </r>
      </text>
    </comment>
    <comment ref="BH780" authorId="0">
      <text>
        <r>
          <rPr>
            <b/>
            <sz val="8"/>
            <color indexed="81"/>
            <rFont val="Tahoma"/>
            <family val="2"/>
          </rPr>
          <t>DJF 3/22/12:</t>
        </r>
        <r>
          <rPr>
            <sz val="8"/>
            <color indexed="81"/>
            <rFont val="Tahoma"/>
            <family val="2"/>
          </rPr>
          <t xml:space="preserve">
Plugged for adjusted I/S</t>
        </r>
      </text>
    </comment>
    <comment ref="BI780" authorId="0">
      <text>
        <r>
          <rPr>
            <b/>
            <sz val="8"/>
            <color indexed="81"/>
            <rFont val="Tahoma"/>
            <family val="2"/>
          </rPr>
          <t>DJF 3/22/12:</t>
        </r>
        <r>
          <rPr>
            <sz val="8"/>
            <color indexed="81"/>
            <rFont val="Tahoma"/>
            <family val="2"/>
          </rPr>
          <t xml:space="preserve">
Plugged for adjusted I/S</t>
        </r>
      </text>
    </comment>
    <comment ref="BJ780" authorId="0">
      <text>
        <r>
          <rPr>
            <b/>
            <sz val="8"/>
            <color indexed="81"/>
            <rFont val="Tahoma"/>
            <family val="2"/>
          </rPr>
          <t>DJF 3/22/12:</t>
        </r>
        <r>
          <rPr>
            <sz val="8"/>
            <color indexed="81"/>
            <rFont val="Tahoma"/>
            <family val="2"/>
          </rPr>
          <t xml:space="preserve">
Plugged for adjusted I/S</t>
        </r>
      </text>
    </comment>
    <comment ref="BL780" authorId="0">
      <text>
        <r>
          <rPr>
            <b/>
            <sz val="8"/>
            <color indexed="81"/>
            <rFont val="Tahoma"/>
            <family val="2"/>
          </rPr>
          <t>DJF 3/22/12:</t>
        </r>
        <r>
          <rPr>
            <sz val="8"/>
            <color indexed="81"/>
            <rFont val="Tahoma"/>
            <family val="2"/>
          </rPr>
          <t xml:space="preserve">
Plugged for adjusted I/S</t>
        </r>
      </text>
    </comment>
    <comment ref="BM780" authorId="0">
      <text>
        <r>
          <rPr>
            <b/>
            <sz val="8"/>
            <color indexed="81"/>
            <rFont val="Tahoma"/>
            <family val="2"/>
          </rPr>
          <t>DJF 3/22/12:</t>
        </r>
        <r>
          <rPr>
            <sz val="8"/>
            <color indexed="81"/>
            <rFont val="Tahoma"/>
            <family val="2"/>
          </rPr>
          <t xml:space="preserve">
Plugged for adjusted I/S</t>
        </r>
      </text>
    </comment>
    <comment ref="BN780" authorId="0">
      <text>
        <r>
          <rPr>
            <b/>
            <sz val="8"/>
            <color indexed="81"/>
            <rFont val="Tahoma"/>
            <family val="2"/>
          </rPr>
          <t>DJF 3/22/12:</t>
        </r>
        <r>
          <rPr>
            <sz val="8"/>
            <color indexed="81"/>
            <rFont val="Tahoma"/>
            <family val="2"/>
          </rPr>
          <t xml:space="preserve">
Plugged for adjusted I/S</t>
        </r>
      </text>
    </comment>
    <comment ref="CL790" authorId="30">
      <text>
        <r>
          <rPr>
            <sz val="9"/>
            <color indexed="81"/>
            <rFont val="Tahoma"/>
            <family val="2"/>
          </rPr>
          <t>Source: Yahoofinance
Closing as on June 30th 2016</t>
        </r>
      </text>
    </comment>
    <comment ref="CS795" authorId="2">
      <text>
        <r>
          <rPr>
            <b/>
            <sz val="9"/>
            <color indexed="81"/>
            <rFont val="Tahoma"/>
            <family val="2"/>
          </rPr>
          <t>Savino, Mark (Research):</t>
        </r>
        <r>
          <rPr>
            <sz val="9"/>
            <color indexed="81"/>
            <rFont val="Tahoma"/>
            <family val="2"/>
          </rPr>
          <t xml:space="preserve">
Plug</t>
        </r>
      </text>
    </comment>
    <comment ref="CZ798" authorId="1">
      <text>
        <r>
          <rPr>
            <b/>
            <sz val="9"/>
            <color indexed="81"/>
            <rFont val="Tahoma"/>
            <family val="2"/>
          </rPr>
          <t>Allen, Thomas (Research):</t>
        </r>
        <r>
          <rPr>
            <sz val="9"/>
            <color indexed="81"/>
            <rFont val="Tahoma"/>
            <family val="2"/>
          </rPr>
          <t xml:space="preserve">
3/21/17: Increase debt from YE16 to YE19 by $0.7-1.4B</t>
        </r>
      </text>
    </comment>
    <comment ref="CO801" authorId="2">
      <text>
        <r>
          <rPr>
            <b/>
            <sz val="9"/>
            <color indexed="81"/>
            <rFont val="Tahoma"/>
            <family val="2"/>
          </rPr>
          <t>Savino, Mark (Research):</t>
        </r>
        <r>
          <rPr>
            <sz val="9"/>
            <color indexed="81"/>
            <rFont val="Tahoma"/>
            <family val="2"/>
          </rPr>
          <t xml:space="preserve">
Pro Forma for HOT</t>
        </r>
      </text>
    </comment>
    <comment ref="CM803" authorId="1">
      <text>
        <r>
          <rPr>
            <b/>
            <sz val="9"/>
            <color indexed="81"/>
            <rFont val="Tahoma"/>
            <family val="2"/>
          </rPr>
          <t>Allen, Thomas (Research):</t>
        </r>
        <r>
          <rPr>
            <sz val="9"/>
            <color indexed="81"/>
            <rFont val="Tahoma"/>
            <family val="2"/>
          </rPr>
          <t xml:space="preserve">
Counting non-pro forma TTM</t>
        </r>
      </text>
    </comment>
    <comment ref="CN803" authorId="1">
      <text>
        <r>
          <rPr>
            <b/>
            <sz val="9"/>
            <color indexed="81"/>
            <rFont val="Tahoma"/>
            <family val="2"/>
          </rPr>
          <t>Allen, Thomas (Research):</t>
        </r>
        <r>
          <rPr>
            <sz val="9"/>
            <color indexed="81"/>
            <rFont val="Tahoma"/>
            <family val="2"/>
          </rPr>
          <t xml:space="preserve">
Counting non-pro forma TTM</t>
        </r>
      </text>
    </comment>
    <comment ref="CP803" authorId="1">
      <text>
        <r>
          <rPr>
            <b/>
            <sz val="9"/>
            <color indexed="81"/>
            <rFont val="Tahoma"/>
            <family val="2"/>
          </rPr>
          <t>Allen, Thomas (Research):</t>
        </r>
        <r>
          <rPr>
            <sz val="9"/>
            <color indexed="81"/>
            <rFont val="Tahoma"/>
            <family val="2"/>
          </rPr>
          <t xml:space="preserve">
Counting non-pro forma TTM</t>
        </r>
      </text>
    </comment>
    <comment ref="CQ803" authorId="1">
      <text>
        <r>
          <rPr>
            <b/>
            <sz val="9"/>
            <color indexed="81"/>
            <rFont val="Tahoma"/>
            <family val="2"/>
          </rPr>
          <t>Allen, Thomas (Research):</t>
        </r>
        <r>
          <rPr>
            <sz val="9"/>
            <color indexed="81"/>
            <rFont val="Tahoma"/>
            <family val="2"/>
          </rPr>
          <t xml:space="preserve">
Counting non-pro forma TTM</t>
        </r>
      </text>
    </comment>
    <comment ref="CU803" authorId="1">
      <text>
        <r>
          <rPr>
            <b/>
            <sz val="9"/>
            <color indexed="81"/>
            <rFont val="Tahoma"/>
            <family val="2"/>
          </rPr>
          <t>Allen, Thomas (Research):</t>
        </r>
        <r>
          <rPr>
            <sz val="9"/>
            <color indexed="81"/>
            <rFont val="Tahoma"/>
            <family val="2"/>
          </rPr>
          <t xml:space="preserve">
Counting non-pro forma TTM</t>
        </r>
      </text>
    </comment>
    <comment ref="CV803" authorId="1">
      <text>
        <r>
          <rPr>
            <b/>
            <sz val="9"/>
            <color indexed="81"/>
            <rFont val="Tahoma"/>
            <family val="2"/>
          </rPr>
          <t>Allen, Thomas (Research):</t>
        </r>
        <r>
          <rPr>
            <sz val="9"/>
            <color indexed="81"/>
            <rFont val="Tahoma"/>
            <family val="2"/>
          </rPr>
          <t xml:space="preserve">
Counting non-pro forma TTM</t>
        </r>
      </text>
    </comment>
    <comment ref="A807" authorId="7">
      <text>
        <r>
          <rPr>
            <b/>
            <sz val="8"/>
            <color indexed="81"/>
            <rFont val="Tahoma"/>
            <family val="2"/>
          </rPr>
          <t>thallen:</t>
        </r>
        <r>
          <rPr>
            <sz val="8"/>
            <color indexed="81"/>
            <rFont val="Tahoma"/>
            <family val="2"/>
          </rPr>
          <t xml:space="preserve">
5-year average value of minimum lease payments x 8</t>
        </r>
      </text>
    </comment>
    <comment ref="DD807" authorId="7">
      <text>
        <r>
          <rPr>
            <b/>
            <sz val="8"/>
            <color indexed="81"/>
            <rFont val="Tahoma"/>
            <family val="2"/>
          </rPr>
          <t>thallen:</t>
        </r>
        <r>
          <rPr>
            <sz val="8"/>
            <color indexed="81"/>
            <rFont val="Tahoma"/>
            <family val="2"/>
          </rPr>
          <t xml:space="preserve">
5-year average value of minimum lease payments x 8</t>
        </r>
      </text>
    </comment>
    <comment ref="A808" authorId="7">
      <text>
        <r>
          <rPr>
            <b/>
            <sz val="8"/>
            <color indexed="81"/>
            <rFont val="Tahoma"/>
            <family val="2"/>
          </rPr>
          <t>thallen:</t>
        </r>
        <r>
          <rPr>
            <sz val="8"/>
            <color indexed="81"/>
            <rFont val="Tahoma"/>
            <family val="2"/>
          </rPr>
          <t xml:space="preserve">
5-year average value of minimum lease payments x 8</t>
        </r>
      </text>
    </comment>
    <comment ref="BP816" authorId="7">
      <text>
        <r>
          <rPr>
            <b/>
            <sz val="8"/>
            <color indexed="81"/>
            <rFont val="Tahoma"/>
            <family val="2"/>
          </rPr>
          <t>thallen:</t>
        </r>
        <r>
          <rPr>
            <sz val="8"/>
            <color indexed="81"/>
            <rFont val="Tahoma"/>
            <family val="2"/>
          </rPr>
          <t xml:space="preserve">
Reported + impairment charge</t>
        </r>
      </text>
    </comment>
    <comment ref="BU818" authorId="7">
      <text>
        <r>
          <rPr>
            <b/>
            <sz val="8"/>
            <color indexed="81"/>
            <rFont val="Tahoma"/>
            <family val="2"/>
          </rPr>
          <t>thallen:</t>
        </r>
        <r>
          <rPr>
            <sz val="8"/>
            <color indexed="81"/>
            <rFont val="Tahoma"/>
            <family val="2"/>
          </rPr>
          <t xml:space="preserve">
P.83 of 10-K
We recorded share-based compensation expense for award grants of $77 million in 2012, $86 million in 2011, and $90 million in 2010. </t>
        </r>
      </text>
    </comment>
    <comment ref="A819" authorId="7">
      <text>
        <r>
          <rPr>
            <b/>
            <sz val="8"/>
            <color indexed="81"/>
            <rFont val="Tahoma"/>
            <family val="2"/>
          </rPr>
          <t>thallen:</t>
        </r>
        <r>
          <rPr>
            <sz val="8"/>
            <color indexed="81"/>
            <rFont val="Tahoma"/>
            <family val="2"/>
          </rPr>
          <t xml:space="preserve">
8% of capitalized leases</t>
        </r>
      </text>
    </comment>
    <comment ref="DD819" authorId="7">
      <text>
        <r>
          <rPr>
            <b/>
            <sz val="8"/>
            <color indexed="81"/>
            <rFont val="Tahoma"/>
            <family val="2"/>
          </rPr>
          <t>thallen:</t>
        </r>
        <r>
          <rPr>
            <sz val="8"/>
            <color indexed="81"/>
            <rFont val="Tahoma"/>
            <family val="2"/>
          </rPr>
          <t xml:space="preserve">
8% of capitalized leases</t>
        </r>
      </text>
    </comment>
    <comment ref="CO824" authorId="1">
      <text>
        <r>
          <rPr>
            <b/>
            <sz val="9"/>
            <color indexed="81"/>
            <rFont val="Tahoma"/>
            <family val="2"/>
          </rPr>
          <t>Allen, Thomas (Research):</t>
        </r>
        <r>
          <rPr>
            <sz val="9"/>
            <color indexed="81"/>
            <rFont val="Tahoma"/>
            <family val="2"/>
          </rPr>
          <t xml:space="preserve">
3/21/17 model assumes 3.15x in 2017-2019</t>
        </r>
      </text>
    </comment>
    <comment ref="CT824" authorId="1">
      <text>
        <r>
          <rPr>
            <b/>
            <sz val="9"/>
            <color indexed="81"/>
            <rFont val="Tahoma"/>
            <family val="2"/>
          </rPr>
          <t>Allen, Thomas (Research):</t>
        </r>
        <r>
          <rPr>
            <sz val="9"/>
            <color indexed="81"/>
            <rFont val="Tahoma"/>
            <family val="2"/>
          </rPr>
          <t xml:space="preserve">
3/21/17 model assumes 3.15x in 2017-2019</t>
        </r>
      </text>
    </comment>
    <comment ref="CY824" authorId="1">
      <text>
        <r>
          <rPr>
            <b/>
            <sz val="9"/>
            <color indexed="81"/>
            <rFont val="Tahoma"/>
            <family val="2"/>
          </rPr>
          <t>Allen, Thomas (Research):</t>
        </r>
        <r>
          <rPr>
            <sz val="9"/>
            <color indexed="81"/>
            <rFont val="Tahoma"/>
            <family val="2"/>
          </rPr>
          <t xml:space="preserve">
3/21/17 model assumes 3.15x in 2017-2019</t>
        </r>
      </text>
    </comment>
    <comment ref="BU825" authorId="7">
      <text>
        <r>
          <rPr>
            <b/>
            <sz val="8"/>
            <color indexed="81"/>
            <rFont val="Tahoma"/>
            <family val="2"/>
          </rPr>
          <t>thallen:</t>
        </r>
        <r>
          <rPr>
            <sz val="8"/>
            <color indexed="81"/>
            <rFont val="Tahoma"/>
            <family val="2"/>
          </rPr>
          <t xml:space="preserve">
Per 2012 analyst presentation</t>
        </r>
      </text>
    </comment>
    <comment ref="BZ825" authorId="7">
      <text>
        <r>
          <rPr>
            <b/>
            <sz val="8"/>
            <color indexed="81"/>
            <rFont val="Tahoma"/>
            <family val="2"/>
          </rPr>
          <t>thallen:</t>
        </r>
        <r>
          <rPr>
            <sz val="8"/>
            <color indexed="81"/>
            <rFont val="Tahoma"/>
            <family val="2"/>
          </rPr>
          <t xml:space="preserve">
Per 2012 analyst presentation
Reiterated 3-3.25x range on 3Q13 earnings call</t>
        </r>
      </text>
    </comment>
    <comment ref="CE825" authorId="7">
      <text>
        <r>
          <rPr>
            <b/>
            <sz val="8"/>
            <color indexed="81"/>
            <rFont val="Tahoma"/>
            <family val="2"/>
          </rPr>
          <t>thallen:</t>
        </r>
        <r>
          <rPr>
            <sz val="8"/>
            <color indexed="81"/>
            <rFont val="Tahoma"/>
            <family val="2"/>
          </rPr>
          <t xml:space="preserve">
Per 2012 analyst presentation
reiterated 3-3.25x range on 3Q13 earnings call</t>
        </r>
      </text>
    </comment>
    <comment ref="CJ825" authorId="7">
      <text>
        <r>
          <rPr>
            <b/>
            <sz val="8"/>
            <color indexed="81"/>
            <rFont val="Tahoma"/>
            <family val="2"/>
          </rPr>
          <t>thallen:</t>
        </r>
        <r>
          <rPr>
            <sz val="8"/>
            <color indexed="81"/>
            <rFont val="Tahoma"/>
            <family val="2"/>
          </rPr>
          <t xml:space="preserve">
Per 2012 analyst presentation
reiterated 3-3.25x range on 3Q13 earnings call</t>
        </r>
      </text>
    </comment>
    <comment ref="AY832" authorId="17">
      <text>
        <r>
          <rPr>
            <b/>
            <sz val="8"/>
            <color indexed="8"/>
            <rFont val="Tahoma"/>
            <family val="2"/>
          </rPr>
          <t>ryanmel:</t>
        </r>
        <r>
          <rPr>
            <sz val="8"/>
            <color indexed="8"/>
            <rFont val="Tahoma"/>
            <family val="2"/>
          </rPr>
          <t xml:space="preserve">
per CC</t>
        </r>
      </text>
    </comment>
    <comment ref="AZ832" authorId="17">
      <text>
        <r>
          <rPr>
            <b/>
            <sz val="8"/>
            <color indexed="8"/>
            <rFont val="Tahoma"/>
            <family val="2"/>
          </rPr>
          <t>ryanmel:</t>
        </r>
        <r>
          <rPr>
            <sz val="8"/>
            <color indexed="8"/>
            <rFont val="Tahoma"/>
            <family val="2"/>
          </rPr>
          <t xml:space="preserve">
at 4Q</t>
        </r>
      </text>
    </comment>
    <comment ref="BB832" authorId="17">
      <text>
        <r>
          <rPr>
            <b/>
            <sz val="8"/>
            <color indexed="8"/>
            <rFont val="Tahoma"/>
            <family val="2"/>
          </rPr>
          <t>ryanmel:</t>
        </r>
        <r>
          <rPr>
            <sz val="8"/>
            <color indexed="8"/>
            <rFont val="Tahoma"/>
            <family val="2"/>
          </rPr>
          <t xml:space="preserve">
set to $2977 in debt at quarter end, adjust with balance sheet in 10-Q</t>
        </r>
      </text>
    </comment>
    <comment ref="BC832" authorId="17">
      <text>
        <r>
          <rPr>
            <b/>
            <sz val="8"/>
            <color indexed="8"/>
            <rFont val="Tahoma"/>
            <family val="2"/>
          </rPr>
          <t>ryanmel:</t>
        </r>
        <r>
          <rPr>
            <sz val="8"/>
            <color indexed="8"/>
            <rFont val="Tahoma"/>
            <family val="2"/>
          </rPr>
          <t xml:space="preserve">
set to 2872- sdjust with Q</t>
        </r>
      </text>
    </comment>
    <comment ref="BJ832" authorId="17">
      <text>
        <r>
          <rPr>
            <b/>
            <sz val="8"/>
            <color indexed="8"/>
            <rFont val="Tahoma"/>
            <family val="2"/>
          </rPr>
          <t>ryanmel:</t>
        </r>
        <r>
          <rPr>
            <sz val="8"/>
            <color indexed="8"/>
            <rFont val="Tahoma"/>
            <family val="2"/>
          </rPr>
          <t xml:space="preserve">
guidance of near 0 at year end</t>
        </r>
      </text>
    </comment>
    <comment ref="CX832" authorId="1">
      <text>
        <r>
          <rPr>
            <b/>
            <sz val="9"/>
            <color indexed="81"/>
            <rFont val="Tahoma"/>
            <family val="2"/>
          </rPr>
          <t>Allen, Thomas (Research):</t>
        </r>
        <r>
          <rPr>
            <sz val="9"/>
            <color indexed="81"/>
            <rFont val="Tahoma"/>
            <family val="2"/>
          </rPr>
          <t xml:space="preserve">
4Q17: Modeling $700-800m additional leverage in 2018 to fund capital returns</t>
        </r>
      </text>
    </comment>
    <comment ref="AN833" authorId="4">
      <text>
        <r>
          <rPr>
            <b/>
            <sz val="8"/>
            <color indexed="8"/>
            <rFont val="Tahoma"/>
            <family val="2"/>
          </rPr>
          <t>urbank:</t>
        </r>
        <r>
          <rPr>
            <sz val="8"/>
            <color indexed="8"/>
            <rFont val="Tahoma"/>
            <family val="2"/>
          </rPr>
          <t xml:space="preserve">
MAR to repay $160mm with Series H bonds</t>
        </r>
      </text>
    </comment>
    <comment ref="AT833" authorId="4">
      <text>
        <r>
          <rPr>
            <b/>
            <sz val="8"/>
            <color indexed="8"/>
            <rFont val="Tahoma"/>
            <family val="2"/>
          </rPr>
          <t>urbank:</t>
        </r>
        <r>
          <rPr>
            <sz val="8"/>
            <color indexed="8"/>
            <rFont val="Tahoma"/>
            <family val="2"/>
          </rPr>
          <t xml:space="preserve">
</t>
        </r>
        <r>
          <rPr>
            <sz val="9"/>
            <color indexed="8"/>
            <rFont val="Tahoma"/>
            <family val="2"/>
          </rPr>
          <t>$300mm repaid from Series I</t>
        </r>
      </text>
    </comment>
    <comment ref="AZ833" authorId="17">
      <text>
        <r>
          <rPr>
            <b/>
            <sz val="8"/>
            <color indexed="8"/>
            <rFont val="Tahoma"/>
            <family val="2"/>
          </rPr>
          <t>ryanmel:</t>
        </r>
        <r>
          <rPr>
            <sz val="8"/>
            <color indexed="8"/>
            <rFont val="Tahoma"/>
            <family val="2"/>
          </rPr>
          <t xml:space="preserve">
use revolver to pay down</t>
        </r>
      </text>
    </comment>
    <comment ref="BM833" authorId="9">
      <text>
        <r>
          <rPr>
            <b/>
            <sz val="8"/>
            <color indexed="81"/>
            <rFont val="Tahoma"/>
            <family val="2"/>
          </rPr>
          <t>danfuss:</t>
        </r>
        <r>
          <rPr>
            <sz val="8"/>
            <color indexed="81"/>
            <rFont val="Tahoma"/>
            <family val="2"/>
          </rPr>
          <t xml:space="preserve">
average .3523% interest rate</t>
        </r>
      </text>
    </comment>
    <comment ref="BN833" authorId="9">
      <text>
        <r>
          <rPr>
            <b/>
            <sz val="8"/>
            <color indexed="81"/>
            <rFont val="Tahoma"/>
            <family val="2"/>
          </rPr>
          <t>DJF:</t>
        </r>
        <r>
          <rPr>
            <sz val="8"/>
            <color indexed="81"/>
            <rFont val="Tahoma"/>
            <family val="2"/>
          </rPr>
          <t xml:space="preserve">
0.4128% average interest rate</t>
        </r>
      </text>
    </comment>
    <comment ref="CN833" authorId="2">
      <text>
        <r>
          <rPr>
            <b/>
            <sz val="9"/>
            <color indexed="81"/>
            <rFont val="Tahoma"/>
            <family val="2"/>
          </rPr>
          <t>Savino, Mark (Research):</t>
        </r>
        <r>
          <rPr>
            <sz val="9"/>
            <color indexed="81"/>
            <rFont val="Tahoma"/>
            <family val="2"/>
          </rPr>
          <t xml:space="preserve">
Plug</t>
        </r>
      </text>
    </comment>
    <comment ref="CP833" authorId="2">
      <text>
        <r>
          <rPr>
            <b/>
            <sz val="9"/>
            <color indexed="81"/>
            <rFont val="Tahoma"/>
            <family val="2"/>
          </rPr>
          <t>Savino, Mark (Research):</t>
        </r>
        <r>
          <rPr>
            <sz val="9"/>
            <color indexed="81"/>
            <rFont val="Tahoma"/>
            <family val="2"/>
          </rPr>
          <t xml:space="preserve">
Plug</t>
        </r>
      </text>
    </comment>
    <comment ref="CQ833" authorId="2">
      <text>
        <r>
          <rPr>
            <b/>
            <sz val="9"/>
            <color indexed="81"/>
            <rFont val="Tahoma"/>
            <family val="2"/>
          </rPr>
          <t>Savino, Mark (Research):</t>
        </r>
        <r>
          <rPr>
            <sz val="9"/>
            <color indexed="81"/>
            <rFont val="Tahoma"/>
            <family val="2"/>
          </rPr>
          <t xml:space="preserve">
Plug</t>
        </r>
      </text>
    </comment>
    <comment ref="CS833" authorId="1">
      <text>
        <r>
          <rPr>
            <b/>
            <sz val="9"/>
            <color indexed="81"/>
            <rFont val="Tahoma"/>
            <family val="2"/>
          </rPr>
          <t>Allen, Thomas (Research):</t>
        </r>
        <r>
          <rPr>
            <sz val="9"/>
            <color indexed="81"/>
            <rFont val="Tahoma"/>
            <family val="2"/>
          </rPr>
          <t xml:space="preserve">
Plug</t>
        </r>
      </text>
    </comment>
    <comment ref="CZ834" authorId="1">
      <text>
        <r>
          <rPr>
            <b/>
            <sz val="9"/>
            <color indexed="81"/>
            <rFont val="Tahoma"/>
            <family val="2"/>
          </rPr>
          <t>Allen, Thomas (Research):</t>
        </r>
        <r>
          <rPr>
            <sz val="9"/>
            <color indexed="81"/>
            <rFont val="Tahoma"/>
            <family val="2"/>
          </rPr>
          <t xml:space="preserve">
3/21/17: Increase debt from YE16 to YE19 by $0.7-1.4B</t>
        </r>
      </text>
    </comment>
    <comment ref="AW838" authorId="4">
      <text>
        <r>
          <rPr>
            <b/>
            <sz val="8"/>
            <color indexed="8"/>
            <rFont val="Tahoma"/>
            <family val="2"/>
          </rPr>
          <t>urbank:</t>
        </r>
        <r>
          <rPr>
            <sz val="8"/>
            <color indexed="8"/>
            <rFont val="Tahoma"/>
            <family val="2"/>
          </rPr>
          <t xml:space="preserve">
mature Jan 2008</t>
        </r>
      </text>
    </comment>
    <comment ref="AZ840" authorId="17">
      <text>
        <r>
          <rPr>
            <b/>
            <sz val="8"/>
            <color indexed="8"/>
            <rFont val="Tahoma"/>
            <family val="2"/>
          </rPr>
          <t>ryanmel:</t>
        </r>
        <r>
          <rPr>
            <sz val="8"/>
            <color indexed="8"/>
            <rFont val="Tahoma"/>
            <family val="2"/>
          </rPr>
          <t xml:space="preserve">
paid down 109 mm in senior notes</t>
        </r>
      </text>
    </comment>
    <comment ref="AU842" authorId="19">
      <text>
        <r>
          <rPr>
            <b/>
            <sz val="8"/>
            <color indexed="8"/>
            <rFont val="Tahoma"/>
            <family val="2"/>
          </rPr>
          <t>Ryan Meliker:</t>
        </r>
        <r>
          <rPr>
            <sz val="8"/>
            <color indexed="8"/>
            <rFont val="Tahoma"/>
            <family val="2"/>
          </rPr>
          <t xml:space="preserve">
$400 million in notes issuerd on 10/16/2007.  The notes will be used primarily to lower the outstanding commercial paper debt.</t>
        </r>
      </text>
    </comment>
    <comment ref="AZ843" authorId="17">
      <text>
        <r>
          <rPr>
            <b/>
            <sz val="8"/>
            <color indexed="8"/>
            <rFont val="Tahoma"/>
            <family val="2"/>
          </rPr>
          <t>ryanmel:</t>
        </r>
        <r>
          <rPr>
            <sz val="8"/>
            <color indexed="8"/>
            <rFont val="Tahoma"/>
            <family val="2"/>
          </rPr>
          <t xml:space="preserve">
paid down 109 mm in senior notes</t>
        </r>
      </text>
    </comment>
    <comment ref="AZ844" authorId="17">
      <text>
        <r>
          <rPr>
            <b/>
            <sz val="8"/>
            <color indexed="8"/>
            <rFont val="Tahoma"/>
            <family val="2"/>
          </rPr>
          <t>ryanmel:</t>
        </r>
        <r>
          <rPr>
            <sz val="8"/>
            <color indexed="8"/>
            <rFont val="Tahoma"/>
            <family val="2"/>
          </rPr>
          <t xml:space="preserve">
paid down 109 mm in senior notes</t>
        </r>
      </text>
    </comment>
    <comment ref="AT845" authorId="4">
      <text>
        <r>
          <rPr>
            <b/>
            <sz val="8"/>
            <color indexed="8"/>
            <rFont val="Tahoma"/>
            <family val="2"/>
          </rPr>
          <t>urbank:</t>
        </r>
        <r>
          <rPr>
            <sz val="9"/>
            <color indexed="8"/>
            <rFont val="Tahoma"/>
            <family val="2"/>
          </rPr>
          <t xml:space="preserve">
issued 6/21/07</t>
        </r>
      </text>
    </comment>
    <comment ref="AZ845" authorId="17">
      <text>
        <r>
          <rPr>
            <b/>
            <sz val="8"/>
            <color indexed="8"/>
            <rFont val="Tahoma"/>
            <family val="2"/>
          </rPr>
          <t>ryanmel:</t>
        </r>
        <r>
          <rPr>
            <sz val="8"/>
            <color indexed="8"/>
            <rFont val="Tahoma"/>
            <family val="2"/>
          </rPr>
          <t xml:space="preserve">
paid down 109 mm in senior notes</t>
        </r>
      </text>
    </comment>
    <comment ref="A846" authorId="38">
      <text>
        <r>
          <rPr>
            <b/>
            <sz val="8"/>
            <color indexed="81"/>
            <rFont val="Tahoma"/>
            <family val="2"/>
          </rPr>
          <t>DJF 2/22/12:</t>
        </r>
        <r>
          <rPr>
            <sz val="8"/>
            <color indexed="81"/>
            <rFont val="Tahoma"/>
            <family val="2"/>
          </rPr>
          <t xml:space="preserve">
priced at 98.92% of par,  +175bps to comparable UST yield</t>
        </r>
      </text>
    </comment>
    <comment ref="BR846" authorId="39">
      <text>
        <r>
          <rPr>
            <b/>
            <sz val="8"/>
            <color indexed="81"/>
            <rFont val="Tahoma"/>
            <family val="2"/>
          </rPr>
          <t>DJF 3/9/12:</t>
        </r>
        <r>
          <rPr>
            <sz val="8"/>
            <color indexed="81"/>
            <rFont val="Tahoma"/>
            <family val="2"/>
          </rPr>
          <t xml:space="preserve">
$400mm issued originally, opened again on 3/9/12 for another $200mm @$99 (+172bp spread to UST, 3.15% yield)</t>
        </r>
      </text>
    </comment>
    <comment ref="DD846" authorId="38">
      <text>
        <r>
          <rPr>
            <b/>
            <sz val="8"/>
            <color indexed="81"/>
            <rFont val="Tahoma"/>
            <family val="2"/>
          </rPr>
          <t>DJF 2/22/12:</t>
        </r>
        <r>
          <rPr>
            <sz val="8"/>
            <color indexed="81"/>
            <rFont val="Tahoma"/>
            <family val="2"/>
          </rPr>
          <t xml:space="preserve">
priced at 98.92% of par,  +175bps to comparable UST yield</t>
        </r>
      </text>
    </comment>
    <comment ref="BY848" authorId="12">
      <text>
        <r>
          <rPr>
            <b/>
            <sz val="8"/>
            <color indexed="81"/>
            <rFont val="Tahoma"/>
            <family val="2"/>
          </rPr>
          <t>jills:</t>
        </r>
        <r>
          <rPr>
            <sz val="8"/>
            <color indexed="81"/>
            <rFont val="Tahoma"/>
            <family val="2"/>
          </rPr>
          <t xml:space="preserve">
settlement date Friday, 9/27/13</t>
        </r>
      </text>
    </comment>
    <comment ref="CM856" authorId="6">
      <text>
        <r>
          <rPr>
            <b/>
            <sz val="9"/>
            <color indexed="81"/>
            <rFont val="Tahoma"/>
            <family val="2"/>
          </rPr>
          <t>Zheng, Chaodan (Research):</t>
        </r>
        <r>
          <rPr>
            <sz val="9"/>
            <color indexed="81"/>
            <rFont val="Tahoma"/>
            <family val="2"/>
          </rPr>
          <t xml:space="preserve">
7.150% Senior Notes due 2019 (the 2019 Notes), and
3.125% Senior Notes due 2023 (the 2023 Notes)
As of September 23, 2016, there were approximately $209,755,000 aggregate principal amount of 2019 Notes outstanding and $350,000,000 aggregate principal amount of 2023 Notes outstanding.</t>
        </r>
      </text>
    </comment>
    <comment ref="CM857" authorId="6">
      <text>
        <r>
          <rPr>
            <b/>
            <sz val="9"/>
            <color indexed="81"/>
            <rFont val="Tahoma"/>
            <family val="2"/>
          </rPr>
          <t>Zheng, Chaodan (Research):</t>
        </r>
        <r>
          <rPr>
            <sz val="9"/>
            <color indexed="81"/>
            <rFont val="Tahoma"/>
            <family val="2"/>
          </rPr>
          <t xml:space="preserve">
7.150% Senior Notes due 2019 (the 2019 Notes), and
3.125% Senior Notes due 2023 (the 2023 Notes)
As of September 23, 2016, there were approximately $209,755,000 aggregate principal amount of 2019 Notes outstanding and $350,000,000 aggregate principal amount of 2023 Notes outstanding.</t>
        </r>
      </text>
    </comment>
    <comment ref="CM860" authorId="6">
      <text>
        <r>
          <rPr>
            <b/>
            <sz val="9"/>
            <color indexed="81"/>
            <rFont val="Tahoma"/>
            <family val="2"/>
          </rPr>
          <t>Zheng, Chaodan (Research):</t>
        </r>
        <r>
          <rPr>
            <sz val="9"/>
            <color indexed="81"/>
            <rFont val="Tahoma"/>
            <family val="2"/>
          </rPr>
          <t xml:space="preserve">
When the transaction closes, we expect to assume Starwood's outstanding debt, issue roughly $136 million Marriott shares and increase net debt by roughly $3.5 billion for the cash component of the deal.</t>
        </r>
      </text>
    </comment>
    <comment ref="BI864" authorId="17">
      <text>
        <r>
          <rPr>
            <b/>
            <sz val="8"/>
            <color indexed="8"/>
            <rFont val="Tahoma"/>
            <family val="2"/>
          </rPr>
          <t>ryanmel:</t>
        </r>
        <r>
          <rPr>
            <sz val="8"/>
            <color indexed="8"/>
            <rFont val="Tahoma"/>
            <family val="2"/>
          </rPr>
          <t xml:space="preserve">
adjust with 10Q</t>
        </r>
      </text>
    </comment>
    <comment ref="BJ864" authorId="9">
      <text>
        <r>
          <rPr>
            <b/>
            <sz val="8"/>
            <color indexed="81"/>
            <rFont val="Tahoma"/>
            <family val="2"/>
          </rPr>
          <t>danfuss:</t>
        </r>
        <r>
          <rPr>
            <sz val="8"/>
            <color indexed="81"/>
            <rFont val="Tahoma"/>
            <family val="2"/>
          </rPr>
          <t xml:space="preserve">
$1.016 bn related to Timeshare</t>
        </r>
      </text>
    </comment>
    <comment ref="BL864" authorId="9">
      <text>
        <r>
          <rPr>
            <b/>
            <sz val="8"/>
            <color indexed="81"/>
            <rFont val="Tahoma"/>
            <family val="2"/>
          </rPr>
          <t>danfuss:</t>
        </r>
        <r>
          <rPr>
            <sz val="8"/>
            <color indexed="81"/>
            <rFont val="Tahoma"/>
            <family val="2"/>
          </rPr>
          <t xml:space="preserve">
$944 Related to T/S</t>
        </r>
      </text>
    </comment>
    <comment ref="BN864" authorId="9">
      <text>
        <r>
          <rPr>
            <b/>
            <sz val="8"/>
            <color indexed="81"/>
            <rFont val="Tahoma"/>
            <family val="2"/>
          </rPr>
          <t>DJF:</t>
        </r>
        <r>
          <rPr>
            <sz val="8"/>
            <color indexed="81"/>
            <rFont val="Tahoma"/>
            <family val="2"/>
          </rPr>
          <t xml:space="preserve">
$830 mn of non-recourse debt associated with securitized notes receivable</t>
        </r>
      </text>
    </comment>
    <comment ref="BO864" authorId="36">
      <text>
        <r>
          <rPr>
            <b/>
            <sz val="8"/>
            <color indexed="81"/>
            <rFont val="Tahoma"/>
            <family val="2"/>
          </rPr>
          <t>DJF 2/16/12:</t>
        </r>
        <r>
          <rPr>
            <sz val="8"/>
            <color indexed="81"/>
            <rFont val="Tahoma"/>
            <family val="2"/>
          </rPr>
          <t xml:space="preserve">
No more TS securitized debt</t>
        </r>
      </text>
    </comment>
    <comment ref="CJ864" authorId="5">
      <text>
        <r>
          <rPr>
            <b/>
            <sz val="9"/>
            <color indexed="81"/>
            <rFont val="Tahoma"/>
            <family val="2"/>
          </rPr>
          <t>Chaudhry, Baset A (Research):</t>
        </r>
        <r>
          <rPr>
            <sz val="9"/>
            <color indexed="81"/>
            <rFont val="Tahoma"/>
            <family val="2"/>
          </rPr>
          <t xml:space="preserve">
Additional debt as per company guidance to get to $5.1-5.7bn by 2017 YE</t>
        </r>
      </text>
    </comment>
    <comment ref="CM864" authorId="24">
      <text>
        <r>
          <rPr>
            <sz val="9"/>
            <color indexed="81"/>
            <rFont val="Tahoma"/>
            <family val="2"/>
          </rPr>
          <t xml:space="preserve">Other: $105mn
</t>
        </r>
      </text>
    </comment>
    <comment ref="CO864" authorId="5">
      <text>
        <r>
          <rPr>
            <b/>
            <sz val="9"/>
            <color indexed="81"/>
            <rFont val="Tahoma"/>
            <family val="2"/>
          </rPr>
          <t>Chaudhry, Baset A (Research):</t>
        </r>
        <r>
          <rPr>
            <sz val="9"/>
            <color indexed="81"/>
            <rFont val="Tahoma"/>
            <family val="2"/>
          </rPr>
          <t xml:space="preserve">
Additional debt as per company guidance to get to $5.1-5.7bn by 2017 YE</t>
        </r>
      </text>
    </comment>
    <comment ref="CT864" authorId="5">
      <text>
        <r>
          <rPr>
            <b/>
            <sz val="9"/>
            <color indexed="81"/>
            <rFont val="Tahoma"/>
            <family val="2"/>
          </rPr>
          <t>Chaudhry, Baset A (Research):</t>
        </r>
        <r>
          <rPr>
            <sz val="9"/>
            <color indexed="81"/>
            <rFont val="Tahoma"/>
            <family val="2"/>
          </rPr>
          <t xml:space="preserve">
Additional debt as per company guidance to get to $5.1-5.7bn by 2017 YE</t>
        </r>
      </text>
    </comment>
    <comment ref="CM867" authorId="24">
      <text>
        <r>
          <rPr>
            <sz val="9"/>
            <color indexed="81"/>
            <rFont val="Tahoma"/>
            <family val="2"/>
          </rPr>
          <t xml:space="preserve">Capital lease obligations
</t>
        </r>
      </text>
    </comment>
    <comment ref="A879" authorId="4">
      <text>
        <r>
          <rPr>
            <b/>
            <sz val="8"/>
            <color indexed="8"/>
            <rFont val="Tahoma"/>
            <family val="2"/>
          </rPr>
          <t>urbank:</t>
        </r>
        <r>
          <rPr>
            <sz val="8"/>
            <color indexed="8"/>
            <rFont val="Tahoma"/>
            <family val="2"/>
          </rPr>
          <t xml:space="preserve">
</t>
        </r>
        <r>
          <rPr>
            <sz val="9"/>
            <color indexed="8"/>
            <rFont val="Tahoma"/>
            <family val="2"/>
          </rPr>
          <t>forecast from US Strategy; LBRA- 30 year treasury yield curve</t>
        </r>
      </text>
    </comment>
    <comment ref="DD879" authorId="4">
      <text>
        <r>
          <rPr>
            <b/>
            <sz val="8"/>
            <color indexed="8"/>
            <rFont val="Tahoma"/>
            <family val="2"/>
          </rPr>
          <t>urbank:</t>
        </r>
        <r>
          <rPr>
            <sz val="8"/>
            <color indexed="8"/>
            <rFont val="Tahoma"/>
            <family val="2"/>
          </rPr>
          <t xml:space="preserve">
</t>
        </r>
        <r>
          <rPr>
            <sz val="9"/>
            <color indexed="8"/>
            <rFont val="Tahoma"/>
            <family val="2"/>
          </rPr>
          <t>forecast from US Strategy; LBRA- 30 year treasury yield curve</t>
        </r>
      </text>
    </comment>
    <comment ref="A893" authorId="4">
      <text>
        <r>
          <rPr>
            <b/>
            <sz val="8"/>
            <color indexed="8"/>
            <rFont val="Tahoma"/>
            <family val="2"/>
          </rPr>
          <t>DJF:</t>
        </r>
        <r>
          <rPr>
            <sz val="8"/>
            <color indexed="8"/>
            <rFont val="Tahoma"/>
            <family val="2"/>
          </rPr>
          <t xml:space="preserve">
Credit Agreement amended and restated on 6/23/11.  Expiration extended to 6/23/16.  Key Stats:
$1.75 bn Facility Size (down from $2.4 bn)
See "Credit Facility" tab for details on interest rate / fees</t>
        </r>
      </text>
    </comment>
    <comment ref="D893" authorId="9">
      <text>
        <r>
          <rPr>
            <b/>
            <sz val="8"/>
            <color indexed="81"/>
            <rFont val="Tahoma"/>
            <family val="2"/>
          </rPr>
          <t>danfuss:</t>
        </r>
        <r>
          <rPr>
            <sz val="8"/>
            <color indexed="81"/>
            <rFont val="Tahoma"/>
            <family val="2"/>
          </rPr>
          <t xml:space="preserve">
Applies to total amount (used or unused)</t>
        </r>
      </text>
    </comment>
    <comment ref="BM893" authorId="9">
      <text>
        <r>
          <rPr>
            <b/>
            <sz val="8"/>
            <color indexed="81"/>
            <rFont val="Tahoma"/>
            <family val="2"/>
          </rPr>
          <t>DJF:</t>
        </r>
        <r>
          <rPr>
            <sz val="8"/>
            <color indexed="81"/>
            <rFont val="Tahoma"/>
            <family val="2"/>
          </rPr>
          <t xml:space="preserve">
Modeled for new Credit Agreement</t>
        </r>
      </text>
    </comment>
    <comment ref="BQ893" authorId="9">
      <text>
        <r>
          <rPr>
            <b/>
            <sz val="8"/>
            <color indexed="81"/>
            <rFont val="Tahoma"/>
            <family val="2"/>
          </rPr>
          <t>DJF:</t>
        </r>
        <r>
          <rPr>
            <sz val="8"/>
            <color indexed="81"/>
            <rFont val="Tahoma"/>
            <family val="2"/>
          </rPr>
          <t xml:space="preserve">
Modeled for new Credit Agreement</t>
        </r>
      </text>
    </comment>
    <comment ref="DD893" authorId="4">
      <text>
        <r>
          <rPr>
            <b/>
            <sz val="8"/>
            <color indexed="8"/>
            <rFont val="Tahoma"/>
            <family val="2"/>
          </rPr>
          <t>DJF:</t>
        </r>
        <r>
          <rPr>
            <sz val="8"/>
            <color indexed="8"/>
            <rFont val="Tahoma"/>
            <family val="2"/>
          </rPr>
          <t xml:space="preserve">
Credit Agreement amended and restated on 6/23/11.  Expiration extended to 6/23/16.  Key Stats:
$1.75 bn Facility Size (down from $2.4 bn)
See "Credit Facility" tab for details on interest rate / fees</t>
        </r>
      </text>
    </comment>
    <comment ref="AN902" authorId="4">
      <text>
        <r>
          <rPr>
            <b/>
            <sz val="8"/>
            <color indexed="8"/>
            <rFont val="Tahoma"/>
            <family val="2"/>
          </rPr>
          <t>urbank:</t>
        </r>
        <r>
          <rPr>
            <sz val="8"/>
            <color indexed="8"/>
            <rFont val="Tahoma"/>
            <family val="2"/>
          </rPr>
          <t xml:space="preserve">
issued 6/12</t>
        </r>
      </text>
    </comment>
    <comment ref="A917" authorId="0">
      <text>
        <r>
          <rPr>
            <b/>
            <sz val="8"/>
            <color indexed="81"/>
            <rFont val="Tahoma"/>
            <family val="2"/>
          </rPr>
          <t>DJF 3/22/12:</t>
        </r>
        <r>
          <rPr>
            <sz val="8"/>
            <color indexed="81"/>
            <rFont val="Tahoma"/>
            <family val="2"/>
          </rPr>
          <t xml:space="preserve">
Mostly relates to Timeshare securitized debt</t>
        </r>
      </text>
    </comment>
    <comment ref="AY917" authorId="19">
      <text>
        <r>
          <rPr>
            <b/>
            <sz val="8"/>
            <color indexed="8"/>
            <rFont val="Tahoma"/>
            <family val="2"/>
          </rPr>
          <t>Ryan Meliker:</t>
        </r>
        <r>
          <rPr>
            <sz val="8"/>
            <color indexed="8"/>
            <rFont val="Tahoma"/>
            <family val="2"/>
          </rPr>
          <t xml:space="preserve">
per guidance of 35 in net int expense</t>
        </r>
      </text>
    </comment>
    <comment ref="AZ917" authorId="19">
      <text>
        <r>
          <rPr>
            <b/>
            <sz val="8"/>
            <color indexed="8"/>
            <rFont val="Tahoma"/>
            <family val="2"/>
          </rPr>
          <t>Ryan Meliker:</t>
        </r>
        <r>
          <rPr>
            <sz val="8"/>
            <color indexed="8"/>
            <rFont val="Tahoma"/>
            <family val="2"/>
          </rPr>
          <t xml:space="preserve">
4q guidance of 50</t>
        </r>
      </text>
    </comment>
    <comment ref="BB917" authorId="19">
      <text>
        <r>
          <rPr>
            <b/>
            <sz val="8"/>
            <color indexed="8"/>
            <rFont val="Tahoma"/>
            <family val="2"/>
          </rPr>
          <t>Ryan Meliker:</t>
        </r>
        <r>
          <rPr>
            <sz val="8"/>
            <color indexed="8"/>
            <rFont val="Tahoma"/>
            <family val="2"/>
          </rPr>
          <t xml:space="preserve">
4q guidance of 50</t>
        </r>
      </text>
    </comment>
    <comment ref="BJ917" authorId="17">
      <text>
        <r>
          <rPr>
            <b/>
            <sz val="8"/>
            <color indexed="8"/>
            <rFont val="Tahoma"/>
            <family val="2"/>
          </rPr>
          <t>ryanmel:</t>
        </r>
        <r>
          <rPr>
            <sz val="8"/>
            <color indexed="8"/>
            <rFont val="Tahoma"/>
            <family val="2"/>
          </rPr>
          <t xml:space="preserve">
guidance of net $50mm in 4Q10</t>
        </r>
      </text>
    </comment>
    <comment ref="BL917" authorId="17">
      <text>
        <r>
          <rPr>
            <b/>
            <sz val="8"/>
            <color indexed="8"/>
            <rFont val="Tahoma"/>
            <family val="2"/>
          </rPr>
          <t>ryanmel:</t>
        </r>
        <r>
          <rPr>
            <sz val="8"/>
            <color indexed="8"/>
            <rFont val="Tahoma"/>
            <family val="2"/>
          </rPr>
          <t xml:space="preserve">
guidance of net $50mm in 4Q10</t>
        </r>
      </text>
    </comment>
    <comment ref="DD917" authorId="0">
      <text>
        <r>
          <rPr>
            <b/>
            <sz val="8"/>
            <color indexed="81"/>
            <rFont val="Tahoma"/>
            <family val="2"/>
          </rPr>
          <t>DJF 3/22/12:</t>
        </r>
        <r>
          <rPr>
            <sz val="8"/>
            <color indexed="81"/>
            <rFont val="Tahoma"/>
            <family val="2"/>
          </rPr>
          <t xml:space="preserve">
Mostly relates to Timeshare securitized debt</t>
        </r>
      </text>
    </comment>
    <comment ref="BY927" authorId="12">
      <text>
        <r>
          <rPr>
            <b/>
            <sz val="8"/>
            <color indexed="81"/>
            <rFont val="Tahoma"/>
            <family val="2"/>
          </rPr>
          <t>jills:</t>
        </r>
        <r>
          <rPr>
            <sz val="8"/>
            <color indexed="81"/>
            <rFont val="Tahoma"/>
            <family val="2"/>
          </rPr>
          <t xml:space="preserve">
guidance net interest exp of $25m</t>
        </r>
      </text>
    </comment>
    <comment ref="CE927" authorId="5">
      <text>
        <r>
          <rPr>
            <b/>
            <sz val="9"/>
            <color indexed="81"/>
            <rFont val="Tahoma"/>
            <family val="2"/>
          </rPr>
          <t xml:space="preserve">Guidance:
</t>
        </r>
        <r>
          <rPr>
            <sz val="9"/>
            <color indexed="81"/>
            <rFont val="Tahoma"/>
            <family val="2"/>
          </rPr>
          <t xml:space="preserve">3Q14: $92m net interest income
</t>
        </r>
      </text>
    </comment>
    <comment ref="CJ927" authorId="5">
      <text>
        <r>
          <rPr>
            <b/>
            <sz val="9"/>
            <color indexed="81"/>
            <rFont val="Tahoma"/>
            <family val="2"/>
          </rPr>
          <t xml:space="preserve">Guidance:
</t>
        </r>
        <r>
          <rPr>
            <sz val="9"/>
            <color indexed="81"/>
            <rFont val="Tahoma"/>
            <family val="2"/>
          </rPr>
          <t>2Q15: $165m interest expense</t>
        </r>
        <r>
          <rPr>
            <b/>
            <sz val="9"/>
            <color indexed="81"/>
            <rFont val="Tahoma"/>
            <family val="2"/>
          </rPr>
          <t xml:space="preserve">
</t>
        </r>
        <r>
          <rPr>
            <sz val="9"/>
            <color indexed="81"/>
            <rFont val="Tahoma"/>
            <family val="2"/>
          </rPr>
          <t>1Q15: $175m interest expense
4Q14: $170m interest expense</t>
        </r>
      </text>
    </comment>
    <comment ref="CL927" authorId="1">
      <text>
        <r>
          <rPr>
            <b/>
            <sz val="9"/>
            <color indexed="81"/>
            <rFont val="Tahoma"/>
            <family val="2"/>
          </rPr>
          <t>Allen, Thomas (Research):</t>
        </r>
        <r>
          <rPr>
            <sz val="9"/>
            <color indexed="81"/>
            <rFont val="Tahoma"/>
            <family val="2"/>
          </rPr>
          <t xml:space="preserve">
Net interest expense $40m</t>
        </r>
      </text>
    </comment>
    <comment ref="CM927" authorId="1">
      <text>
        <r>
          <rPr>
            <b/>
            <sz val="9"/>
            <color indexed="81"/>
            <rFont val="Tahoma"/>
            <family val="2"/>
          </rPr>
          <t>Allen, Thomas (Research):</t>
        </r>
        <r>
          <rPr>
            <sz val="9"/>
            <color indexed="81"/>
            <rFont val="Tahoma"/>
            <family val="2"/>
          </rPr>
          <t xml:space="preserve">
Adjusted I/S to exclude 7 days of HOT, so don't adjust</t>
        </r>
      </text>
    </comment>
    <comment ref="CP927" authorId="2">
      <text>
        <r>
          <rPr>
            <b/>
            <sz val="9"/>
            <color indexed="81"/>
            <rFont val="Tahoma"/>
            <family val="2"/>
          </rPr>
          <t>Savino, Mark (Research):</t>
        </r>
        <r>
          <rPr>
            <sz val="9"/>
            <color indexed="81"/>
            <rFont val="Tahoma"/>
            <family val="2"/>
          </rPr>
          <t xml:space="preserve">
4Q16: $65m</t>
        </r>
      </text>
    </comment>
    <comment ref="CQ927" authorId="2">
      <text>
        <r>
          <rPr>
            <b/>
            <sz val="9"/>
            <color indexed="81"/>
            <rFont val="Tahoma"/>
            <family val="2"/>
          </rPr>
          <t>Savino, Mark (Research):</t>
        </r>
        <r>
          <rPr>
            <sz val="9"/>
            <color indexed="81"/>
            <rFont val="Tahoma"/>
            <family val="2"/>
          </rPr>
          <t xml:space="preserve">
1Q17: Gross $75m, $65m net</t>
        </r>
      </text>
    </comment>
    <comment ref="CT927" authorId="2">
      <text>
        <r>
          <rPr>
            <b/>
            <sz val="9"/>
            <color indexed="81"/>
            <rFont val="Tahoma"/>
            <family val="2"/>
          </rPr>
          <t>Savino, Mark (Research):</t>
        </r>
        <r>
          <rPr>
            <sz val="9"/>
            <color indexed="81"/>
            <rFont val="Tahoma"/>
            <family val="2"/>
          </rPr>
          <t xml:space="preserve">
1Q17: Gross, $295m, $255m net
4Q16: $260m</t>
        </r>
      </text>
    </comment>
    <comment ref="BN930" authorId="40">
      <text>
        <r>
          <rPr>
            <b/>
            <sz val="8"/>
            <color indexed="81"/>
            <rFont val="Tahoma"/>
            <family val="2"/>
          </rPr>
          <t>DJF 1/30/12:</t>
        </r>
        <r>
          <rPr>
            <sz val="8"/>
            <color indexed="81"/>
            <rFont val="Tahoma"/>
            <family val="2"/>
          </rPr>
          <t xml:space="preserve">
Changed Modeling here</t>
        </r>
      </text>
    </comment>
    <comment ref="T934" authorId="8">
      <text>
        <r>
          <rPr>
            <b/>
            <sz val="8"/>
            <color indexed="8"/>
            <rFont val="Tahoma"/>
            <family val="2"/>
          </rPr>
          <t>melletc:</t>
        </r>
        <r>
          <rPr>
            <sz val="8"/>
            <color indexed="8"/>
            <rFont val="Tahoma"/>
            <family val="2"/>
          </rPr>
          <t xml:space="preserve">
Catch-up on old loans, etc.</t>
        </r>
      </text>
    </comment>
    <comment ref="U934" authorId="8">
      <text>
        <r>
          <rPr>
            <b/>
            <sz val="8"/>
            <color indexed="8"/>
            <rFont val="Tahoma"/>
            <family val="2"/>
          </rPr>
          <t>melletc:</t>
        </r>
        <r>
          <rPr>
            <sz val="8"/>
            <color indexed="8"/>
            <rFont val="Tahoma"/>
            <family val="2"/>
          </rPr>
          <t xml:space="preserve">
Catch-up on old loans, etc.</t>
        </r>
      </text>
    </comment>
    <comment ref="AE934" authorId="14">
      <text>
        <r>
          <rPr>
            <b/>
            <sz val="10"/>
            <color indexed="8"/>
            <rFont val="Tahoma"/>
            <family val="2"/>
          </rPr>
          <t>Celeste Mellet Brown:</t>
        </r>
        <r>
          <rPr>
            <sz val="10"/>
            <color indexed="8"/>
            <rFont val="Tahoma"/>
            <family val="2"/>
          </rPr>
          <t xml:space="preserve">
Income from Cendant JV</t>
        </r>
      </text>
    </comment>
    <comment ref="AX934" authorId="19">
      <text>
        <r>
          <rPr>
            <b/>
            <sz val="8"/>
            <color indexed="8"/>
            <rFont val="Tahoma"/>
            <family val="2"/>
          </rPr>
          <t>Ryan Meliker:</t>
        </r>
        <r>
          <rPr>
            <sz val="8"/>
            <color indexed="8"/>
            <rFont val="Tahoma"/>
            <family val="2"/>
          </rPr>
          <t xml:space="preserve">
Net Interest Expense is $155 in 2008 per guidance</t>
        </r>
      </text>
    </comment>
    <comment ref="AY934" authorId="19">
      <text>
        <r>
          <rPr>
            <b/>
            <sz val="8"/>
            <color indexed="8"/>
            <rFont val="Tahoma"/>
            <family val="2"/>
          </rPr>
          <t>Ryan Meliker:</t>
        </r>
        <r>
          <rPr>
            <sz val="8"/>
            <color indexed="8"/>
            <rFont val="Tahoma"/>
            <family val="2"/>
          </rPr>
          <t xml:space="preserve">
Net Interest Expense is $155 in 2008 per guidance</t>
        </r>
      </text>
    </comment>
    <comment ref="AZ934" authorId="19">
      <text>
        <r>
          <rPr>
            <b/>
            <sz val="8"/>
            <color indexed="8"/>
            <rFont val="Tahoma"/>
            <family val="2"/>
          </rPr>
          <t>Ryan Meliker:</t>
        </r>
        <r>
          <rPr>
            <sz val="8"/>
            <color indexed="8"/>
            <rFont val="Tahoma"/>
            <family val="2"/>
          </rPr>
          <t xml:space="preserve">
Net Interest Expense is $155 in 2008 per guidance</t>
        </r>
      </text>
    </comment>
    <comment ref="CM937" authorId="2">
      <text>
        <r>
          <rPr>
            <b/>
            <sz val="9"/>
            <color indexed="81"/>
            <rFont val="Tahoma"/>
            <family val="2"/>
          </rPr>
          <t>Savino, Mark (Research):</t>
        </r>
        <r>
          <rPr>
            <sz val="9"/>
            <color indexed="81"/>
            <rFont val="Tahoma"/>
            <family val="2"/>
          </rPr>
          <t xml:space="preserve">
Guidance: $12m</t>
        </r>
      </text>
    </comment>
    <comment ref="CN937" authorId="2">
      <text>
        <r>
          <rPr>
            <b/>
            <sz val="9"/>
            <color indexed="81"/>
            <rFont val="Tahoma"/>
            <family val="2"/>
          </rPr>
          <t>Savino, Mark (Research):</t>
        </r>
        <r>
          <rPr>
            <sz val="9"/>
            <color indexed="81"/>
            <rFont val="Tahoma"/>
            <family val="2"/>
          </rPr>
          <t xml:space="preserve">
Guidance: $15m</t>
        </r>
      </text>
    </comment>
    <comment ref="CO937" authorId="1">
      <text>
        <r>
          <rPr>
            <b/>
            <sz val="9"/>
            <color indexed="81"/>
            <rFont val="Tahoma"/>
            <family val="2"/>
          </rPr>
          <t>Allen, Thomas (Research):</t>
        </r>
        <r>
          <rPr>
            <sz val="9"/>
            <color indexed="81"/>
            <rFont val="Tahoma"/>
            <family val="2"/>
          </rPr>
          <t xml:space="preserve">
1Q16: $40m</t>
        </r>
      </text>
    </comment>
    <comment ref="CQ937" authorId="2">
      <text>
        <r>
          <rPr>
            <b/>
            <sz val="9"/>
            <color indexed="81"/>
            <rFont val="Tahoma"/>
            <family val="2"/>
          </rPr>
          <t>Savino, Mark (Research):</t>
        </r>
        <r>
          <rPr>
            <sz val="9"/>
            <color indexed="81"/>
            <rFont val="Tahoma"/>
            <family val="2"/>
          </rPr>
          <t xml:space="preserve">
1Q17: Implied $10m</t>
        </r>
      </text>
    </comment>
    <comment ref="CT937" authorId="2">
      <text>
        <r>
          <rPr>
            <b/>
            <sz val="9"/>
            <color indexed="81"/>
            <rFont val="Tahoma"/>
            <family val="2"/>
          </rPr>
          <t>Savino, Mark (Research):</t>
        </r>
        <r>
          <rPr>
            <sz val="9"/>
            <color indexed="81"/>
            <rFont val="Tahoma"/>
            <family val="2"/>
          </rPr>
          <t xml:space="preserve">
1Q17: Implied $40m</t>
        </r>
      </text>
    </comment>
    <comment ref="A960" authorId="8">
      <text>
        <r>
          <rPr>
            <b/>
            <sz val="10"/>
            <color indexed="8"/>
            <rFont val="Tahoma"/>
            <family val="2"/>
          </rPr>
          <t>melletc:</t>
        </r>
        <r>
          <rPr>
            <sz val="10"/>
            <color indexed="8"/>
            <rFont val="Tahoma"/>
            <family val="2"/>
          </rPr>
          <t xml:space="preserve">
Look at 10K in financial statements for chnages on stockholders equity</t>
        </r>
      </text>
    </comment>
    <comment ref="DD960" authorId="8">
      <text>
        <r>
          <rPr>
            <b/>
            <sz val="10"/>
            <color indexed="8"/>
            <rFont val="Tahoma"/>
            <family val="2"/>
          </rPr>
          <t>melletc:</t>
        </r>
        <r>
          <rPr>
            <sz val="10"/>
            <color indexed="8"/>
            <rFont val="Tahoma"/>
            <family val="2"/>
          </rPr>
          <t xml:space="preserve">
Look at 10K in financial statements for chnages on stockholders equity</t>
        </r>
      </text>
    </comment>
    <comment ref="A961" authorId="8">
      <text>
        <r>
          <rPr>
            <b/>
            <sz val="10"/>
            <color indexed="8"/>
            <rFont val="Tahoma"/>
            <family val="2"/>
          </rPr>
          <t>melletc:</t>
        </r>
        <r>
          <rPr>
            <sz val="10"/>
            <color indexed="8"/>
            <rFont val="Tahoma"/>
            <family val="2"/>
          </rPr>
          <t xml:space="preserve">
May be different than CF statement because of timing</t>
        </r>
      </text>
    </comment>
    <comment ref="DD961" authorId="8">
      <text>
        <r>
          <rPr>
            <b/>
            <sz val="10"/>
            <color indexed="8"/>
            <rFont val="Tahoma"/>
            <family val="2"/>
          </rPr>
          <t>melletc:</t>
        </r>
        <r>
          <rPr>
            <sz val="10"/>
            <color indexed="8"/>
            <rFont val="Tahoma"/>
            <family val="2"/>
          </rPr>
          <t xml:space="preserve">
May be different than CF statement because of timing</t>
        </r>
      </text>
    </comment>
    <comment ref="A963" authorId="21">
      <text>
        <r>
          <rPr>
            <b/>
            <sz val="10"/>
            <color indexed="8"/>
            <rFont val="Tahoma"/>
            <family val="2"/>
          </rPr>
          <t>Chris Metli:</t>
        </r>
        <r>
          <rPr>
            <sz val="10"/>
            <color indexed="8"/>
            <rFont val="Tahoma"/>
            <family val="2"/>
          </rPr>
          <t xml:space="preserve">
Difference in RE unexplained by net income and dividends - is equal to ESOP issuance and other from Statement of Shareholder's Equity.  Feeds into Net Issuance for Modelware.</t>
        </r>
      </text>
    </comment>
    <comment ref="DD963" authorId="21">
      <text>
        <r>
          <rPr>
            <b/>
            <sz val="10"/>
            <color indexed="8"/>
            <rFont val="Tahoma"/>
            <family val="2"/>
          </rPr>
          <t>Chris Metli:</t>
        </r>
        <r>
          <rPr>
            <sz val="10"/>
            <color indexed="8"/>
            <rFont val="Tahoma"/>
            <family val="2"/>
          </rPr>
          <t xml:space="preserve">
Difference in RE unexplained by net income and dividends - is equal to ESOP issuance and other from Statement of Shareholder's Equity.  Feeds into Net Issuance for Modelware.</t>
        </r>
      </text>
    </comment>
  </commentList>
</comments>
</file>

<file path=xl/comments2.xml><?xml version="1.0" encoding="utf-8"?>
<comments xmlns="http://schemas.openxmlformats.org/spreadsheetml/2006/main">
  <authors>
    <author>Allen, Thomas (Research)</author>
  </authors>
  <commentList>
    <comment ref="E9" authorId="0">
      <text>
        <r>
          <rPr>
            <b/>
            <sz val="9"/>
            <color indexed="81"/>
            <rFont val="Tahoma"/>
            <family val="2"/>
          </rPr>
          <t>Allen, Thomas (Research):</t>
        </r>
        <r>
          <rPr>
            <sz val="9"/>
            <color indexed="81"/>
            <rFont val="Tahoma"/>
            <family val="2"/>
          </rPr>
          <t xml:space="preserve">
Higher than for HLT or Lodging REITs as ~25% other revs, and then legacy Starwood trophy assets</t>
        </r>
      </text>
    </comment>
    <comment ref="B13" authorId="0">
      <text>
        <r>
          <rPr>
            <b/>
            <sz val="9"/>
            <color indexed="81"/>
            <rFont val="Tahoma"/>
            <family val="2"/>
          </rPr>
          <t>Allen, Thomas (Research):</t>
        </r>
        <r>
          <rPr>
            <sz val="9"/>
            <color indexed="81"/>
            <rFont val="Tahoma"/>
            <family val="2"/>
          </rPr>
          <t xml:space="preserve">
Back out stock-based comp and other adjustments started in 4Q14 to make comparable to others</t>
        </r>
      </text>
    </comment>
  </commentList>
</comments>
</file>

<file path=xl/comments3.xml><?xml version="1.0" encoding="utf-8"?>
<comments xmlns="http://schemas.openxmlformats.org/spreadsheetml/2006/main">
  <authors>
    <author>Allen, Thomas (Research)</author>
  </authors>
  <commentList>
    <comment ref="C16" authorId="0">
      <text>
        <r>
          <rPr>
            <b/>
            <sz val="9"/>
            <color indexed="81"/>
            <rFont val="Tahoma"/>
            <family val="2"/>
          </rPr>
          <t>Allen, Thomas (Research):</t>
        </r>
        <r>
          <rPr>
            <sz val="9"/>
            <color indexed="81"/>
            <rFont val="Tahoma"/>
            <family val="2"/>
          </rPr>
          <t xml:space="preserve">
To reflect $250m of higher credit card fees</t>
        </r>
      </text>
    </comment>
  </commentList>
</comments>
</file>

<file path=xl/comments4.xml><?xml version="1.0" encoding="utf-8"?>
<comments xmlns="http://schemas.openxmlformats.org/spreadsheetml/2006/main">
  <authors>
    <author>ancsan</author>
    <author>Allen, Thomas (Research)</author>
    <author>Chaudhry, Baset A (Research)</author>
    <author>Savino, Mark (Research)</author>
    <author>Zheng, Chaodan (Research)</author>
  </authors>
  <commentList>
    <comment ref="P2" authorId="0">
      <text>
        <r>
          <rPr>
            <sz val="8"/>
            <color indexed="81"/>
            <rFont val="Tahoma"/>
            <family val="2"/>
          </rPr>
          <t>Cash flow needs to be updated</t>
        </r>
      </text>
    </comment>
    <comment ref="P3" authorId="0">
      <text>
        <r>
          <rPr>
            <sz val="8"/>
            <color indexed="81"/>
            <rFont val="Tahoma"/>
            <family val="2"/>
          </rPr>
          <t>Cash flow needs to be updated</t>
        </r>
      </text>
    </comment>
    <comment ref="AO70" authorId="1">
      <text>
        <r>
          <rPr>
            <b/>
            <sz val="9"/>
            <color indexed="81"/>
            <rFont val="Tahoma"/>
            <family val="2"/>
          </rPr>
          <t>Allen, Thomas (Research):</t>
        </r>
        <r>
          <rPr>
            <sz val="9"/>
            <color indexed="81"/>
            <rFont val="Tahoma"/>
            <family val="2"/>
          </rPr>
          <t xml:space="preserve">
Rating agencies capitalize leases, add a portion of outstanding guarantees to debt, add imputed interest and depreciation from the capitalized leases to EBITDAR, and add share based comp to EBITDAR.   When we were in the timeshare business, they also made adjustments for the securitizations</t>
        </r>
      </text>
    </comment>
    <comment ref="BP191" authorId="2">
      <text>
        <r>
          <rPr>
            <b/>
            <sz val="9"/>
            <color indexed="81"/>
            <rFont val="Tahoma"/>
            <family val="2"/>
          </rPr>
          <t>Chaudhry, Baset A (Research):</t>
        </r>
        <r>
          <rPr>
            <sz val="9"/>
            <color indexed="81"/>
            <rFont val="Tahoma"/>
            <family val="2"/>
          </rPr>
          <t xml:space="preserve">
4Q14 Press Release</t>
        </r>
      </text>
    </comment>
    <comment ref="BO215" authorId="2">
      <text>
        <r>
          <rPr>
            <b/>
            <sz val="9"/>
            <color indexed="81"/>
            <rFont val="Tahoma"/>
            <family val="2"/>
          </rPr>
          <t>Chaudhry, Baset A (Research):</t>
        </r>
        <r>
          <rPr>
            <sz val="9"/>
            <color indexed="81"/>
            <rFont val="Tahoma"/>
            <family val="2"/>
          </rPr>
          <t xml:space="preserve">
4Q13 Transcript</t>
        </r>
      </text>
    </comment>
    <comment ref="BP215" authorId="2">
      <text>
        <r>
          <rPr>
            <b/>
            <sz val="9"/>
            <color indexed="81"/>
            <rFont val="Tahoma"/>
            <family val="2"/>
          </rPr>
          <t>Chaudhry, Baset A (Research):</t>
        </r>
        <r>
          <rPr>
            <sz val="9"/>
            <color indexed="81"/>
            <rFont val="Tahoma"/>
            <family val="2"/>
          </rPr>
          <t xml:space="preserve">
4Q14 Trascript</t>
        </r>
      </text>
    </comment>
    <comment ref="BY272" authorId="3">
      <text>
        <r>
          <rPr>
            <b/>
            <sz val="9"/>
            <color indexed="81"/>
            <rFont val="Tahoma"/>
            <family val="2"/>
          </rPr>
          <t>Savino, Mark (Research):</t>
        </r>
        <r>
          <rPr>
            <sz val="9"/>
            <color indexed="81"/>
            <rFont val="Tahoma"/>
            <family val="2"/>
          </rPr>
          <t xml:space="preserve">
Transaction will be based on 20-day VWAP</t>
        </r>
      </text>
    </comment>
    <comment ref="BY274" authorId="3">
      <text>
        <r>
          <rPr>
            <b/>
            <sz val="9"/>
            <color indexed="81"/>
            <rFont val="Tahoma"/>
            <family val="2"/>
          </rPr>
          <t>Savino, Mark (Research):</t>
        </r>
        <r>
          <rPr>
            <sz val="9"/>
            <color indexed="81"/>
            <rFont val="Tahoma"/>
            <family val="2"/>
          </rPr>
          <t xml:space="preserve">
3/21/16: exchange ratio reduced from 0.92 to 0.80</t>
        </r>
      </text>
    </comment>
    <comment ref="BY279" authorId="3">
      <text>
        <r>
          <rPr>
            <b/>
            <sz val="9"/>
            <color indexed="81"/>
            <rFont val="Tahoma"/>
            <family val="2"/>
          </rPr>
          <t>Savino, Mark (Research):</t>
        </r>
        <r>
          <rPr>
            <sz val="9"/>
            <color indexed="81"/>
            <rFont val="Tahoma"/>
            <family val="2"/>
          </rPr>
          <t xml:space="preserve">
3/21: $21/share cash for every HOT share</t>
        </r>
      </text>
    </comment>
    <comment ref="BY282" authorId="2">
      <text>
        <r>
          <rPr>
            <b/>
            <sz val="9"/>
            <color indexed="81"/>
            <rFont val="Tahoma"/>
            <family val="2"/>
          </rPr>
          <t>Chaudhry, Baset A (Research):</t>
        </r>
        <r>
          <rPr>
            <sz val="9"/>
            <color indexed="81"/>
            <rFont val="Tahoma"/>
            <family val="2"/>
          </rPr>
          <t xml:space="preserve">
$100-150m as per M&amp;A conference call</t>
        </r>
      </text>
    </comment>
    <comment ref="BY283" authorId="3">
      <text>
        <r>
          <rPr>
            <b/>
            <sz val="9"/>
            <color indexed="81"/>
            <rFont val="Tahoma"/>
            <family val="2"/>
          </rPr>
          <t>Savino, Mark (Research):</t>
        </r>
        <r>
          <rPr>
            <sz val="9"/>
            <color indexed="81"/>
            <rFont val="Tahoma"/>
            <family val="2"/>
          </rPr>
          <t xml:space="preserve">
Guidance: $140m</t>
        </r>
      </text>
    </comment>
    <comment ref="BY290" authorId="1">
      <text>
        <r>
          <rPr>
            <b/>
            <sz val="9"/>
            <color indexed="81"/>
            <rFont val="Tahoma"/>
            <family val="2"/>
          </rPr>
          <t>Allen, Thomas (Research):</t>
        </r>
        <r>
          <rPr>
            <sz val="9"/>
            <color indexed="81"/>
            <rFont val="Tahoma"/>
            <family val="2"/>
          </rPr>
          <t xml:space="preserve">
Per 3Q16 earnings</t>
        </r>
      </text>
    </comment>
    <comment ref="CR367" authorId="1">
      <text>
        <r>
          <rPr>
            <b/>
            <sz val="9"/>
            <color indexed="81"/>
            <rFont val="Tahoma"/>
            <family val="2"/>
          </rPr>
          <t>Allen, Thomas (Research):</t>
        </r>
        <r>
          <rPr>
            <sz val="9"/>
            <color indexed="81"/>
            <rFont val="Tahoma"/>
            <family val="2"/>
          </rPr>
          <t xml:space="preserve">
As of May 4, 2016</t>
        </r>
      </text>
    </comment>
    <comment ref="DG399" authorId="4">
      <text>
        <r>
          <rPr>
            <b/>
            <sz val="9"/>
            <color indexed="81"/>
            <rFont val="Tahoma"/>
            <family val="2"/>
          </rPr>
          <t>Zheng, Chaodan (Research):</t>
        </r>
        <r>
          <rPr>
            <sz val="9"/>
            <color indexed="81"/>
            <rFont val="Tahoma"/>
            <family val="2"/>
          </rPr>
          <t xml:space="preserve">
adjusted for Ramada sale</t>
        </r>
      </text>
    </comment>
    <comment ref="DS399" authorId="4">
      <text>
        <r>
          <rPr>
            <b/>
            <sz val="9"/>
            <color indexed="81"/>
            <rFont val="Tahoma"/>
            <family val="2"/>
          </rPr>
          <t>Zheng, Chaodan (Research):</t>
        </r>
        <r>
          <rPr>
            <sz val="9"/>
            <color indexed="81"/>
            <rFont val="Tahoma"/>
            <family val="2"/>
          </rPr>
          <t xml:space="preserve">
adjusted for Starwood acquisition</t>
        </r>
      </text>
    </comment>
    <comment ref="DT399" authorId="4">
      <text>
        <r>
          <rPr>
            <b/>
            <sz val="9"/>
            <color indexed="81"/>
            <rFont val="Tahoma"/>
            <family val="2"/>
          </rPr>
          <t>Zheng, Chaodan (Research):</t>
        </r>
        <r>
          <rPr>
            <sz val="9"/>
            <color indexed="81"/>
            <rFont val="Tahoma"/>
            <family val="2"/>
          </rPr>
          <t xml:space="preserve">
adjusted for Starwood acquisition</t>
        </r>
      </text>
    </comment>
    <comment ref="EA455" authorId="4">
      <text>
        <r>
          <rPr>
            <b/>
            <sz val="9"/>
            <color indexed="81"/>
            <rFont val="Tahoma"/>
            <family val="2"/>
          </rPr>
          <t>Zheng, Chaodan (Research):</t>
        </r>
        <r>
          <rPr>
            <sz val="9"/>
            <color indexed="81"/>
            <rFont val="Tahoma"/>
            <family val="2"/>
          </rPr>
          <t xml:space="preserve">
MAR receives this portion to its M&amp;F business, with the bulk of the $1.3bn going to the hotel owners. Therefore, if the M&amp;F vs. owned mix does not change significantly going forward, we should expect MAR to attain the same share of the credit card fees</t>
        </r>
      </text>
    </comment>
    <comment ref="ER498" authorId="4">
      <text>
        <r>
          <rPr>
            <b/>
            <sz val="9"/>
            <color indexed="81"/>
            <rFont val="Tahoma"/>
            <family val="2"/>
          </rPr>
          <t>Zheng, Chaodan (Research):</t>
        </r>
        <r>
          <rPr>
            <sz val="9"/>
            <color indexed="81"/>
            <rFont val="Tahoma"/>
            <family val="2"/>
          </rPr>
          <t xml:space="preserve">
When a credit card transaction takes place the issuing bank (cardholder's bank) pays the acquiring bank (merchant bank) for their cardholder's purchase less the interchange fee for the transaction. The acquiring bank then pays their merchant from the remaining balance minus a markup for processing the transaction. Merchants ultimately receive the gross amount of the sale minus a series of base costs and markups that include interchange, dues, assessments and the processor's markup.</t>
        </r>
      </text>
    </comment>
    <comment ref="EY513" authorId="4">
      <text>
        <r>
          <rPr>
            <b/>
            <sz val="9"/>
            <color indexed="81"/>
            <rFont val="Tahoma"/>
            <family val="2"/>
          </rPr>
          <t>Zheng, Chaodan (Research):</t>
        </r>
        <r>
          <rPr>
            <sz val="9"/>
            <color indexed="81"/>
            <rFont val="Tahoma"/>
            <family val="2"/>
          </rPr>
          <t xml:space="preserve">
Synchrony's retailer sharing arrangements (RSAs) tend to be 2.5% of purchase volume</t>
        </r>
      </text>
    </comment>
    <comment ref="FE531" authorId="4">
      <text>
        <r>
          <rPr>
            <b/>
            <sz val="9"/>
            <color indexed="81"/>
            <rFont val="Tahoma"/>
            <family val="2"/>
          </rPr>
          <t>Zheng, Chaodan (Research):</t>
        </r>
        <r>
          <rPr>
            <sz val="9"/>
            <color indexed="81"/>
            <rFont val="Tahoma"/>
            <family val="2"/>
          </rPr>
          <t xml:space="preserve">
MAR receives this portion to its M&amp;F business, with the bulk of the $1.3bn going to the hotel owners. Therefore, if the M&amp;F vs. owned mix does not change significantly going forward, we should expect MAR to attain the same share of the credit card fees</t>
        </r>
      </text>
    </comment>
    <comment ref="FE533" authorId="4">
      <text>
        <r>
          <rPr>
            <b/>
            <sz val="9"/>
            <color indexed="81"/>
            <rFont val="Tahoma"/>
            <family val="2"/>
          </rPr>
          <t>Zheng, Chaodan (Research):</t>
        </r>
        <r>
          <rPr>
            <sz val="9"/>
            <color indexed="81"/>
            <rFont val="Tahoma"/>
            <family val="2"/>
          </rPr>
          <t xml:space="preserve">
the CC fees to MAR already includes merchant fees (both MAR's portion as well as from other retailers). </t>
        </r>
      </text>
    </comment>
    <comment ref="FE536" authorId="4">
      <text>
        <r>
          <rPr>
            <b/>
            <sz val="9"/>
            <color indexed="81"/>
            <rFont val="Tahoma"/>
            <family val="2"/>
          </rPr>
          <t>Zheng, Chaodan (Research):</t>
        </r>
        <r>
          <rPr>
            <sz val="9"/>
            <color indexed="81"/>
            <rFont val="Tahoma"/>
            <family val="2"/>
          </rPr>
          <t xml:space="preserve">
MAR should get this portion in savings from lowered merchant fees on the portion spent at MAR hotels</t>
        </r>
      </text>
    </comment>
    <comment ref="FE537" authorId="4">
      <text>
        <r>
          <rPr>
            <b/>
            <sz val="9"/>
            <color indexed="81"/>
            <rFont val="Tahoma"/>
            <family val="2"/>
          </rPr>
          <t>Zheng, Chaodan (Research):</t>
        </r>
        <r>
          <rPr>
            <sz val="9"/>
            <color indexed="81"/>
            <rFont val="Tahoma"/>
            <family val="2"/>
          </rPr>
          <t xml:space="preserve">
MAR only gets a portion of the savings after owners take their savings. Given MAR's share of the $1.3bn in revenues was only $173mn, or 13.3%, we assume that they will take the same amount from expense savings given that their M&amp;F mix doesn't change significantly </t>
        </r>
      </text>
    </comment>
    <comment ref="FR556" authorId="4">
      <text>
        <r>
          <rPr>
            <b/>
            <sz val="9"/>
            <color indexed="81"/>
            <rFont val="Tahoma"/>
            <family val="2"/>
          </rPr>
          <t>Zheng, Chaodan (Research):</t>
        </r>
        <r>
          <rPr>
            <sz val="9"/>
            <color indexed="81"/>
            <rFont val="Tahoma"/>
            <family val="2"/>
          </rPr>
          <t xml:space="preserve">
Marriott's starting point</t>
        </r>
      </text>
    </comment>
    <comment ref="FR558" authorId="4">
      <text>
        <r>
          <rPr>
            <b/>
            <sz val="9"/>
            <color indexed="81"/>
            <rFont val="Tahoma"/>
            <family val="2"/>
          </rPr>
          <t>Zheng, Chaodan (Research):</t>
        </r>
        <r>
          <rPr>
            <sz val="9"/>
            <color indexed="81"/>
            <rFont val="Tahoma"/>
            <family val="2"/>
          </rPr>
          <t xml:space="preserve">
assuming that 2.5% is the worst case scenario given that Synchrony Financial says its RSAs are at 2.5% of total spend, but given that we believe this is not marked to market, MAR should be able to get at least 2.5% during its renegotiation</t>
        </r>
      </text>
    </comment>
    <comment ref="GW640" authorId="4">
      <text>
        <r>
          <rPr>
            <b/>
            <sz val="9"/>
            <color indexed="81"/>
            <rFont val="Tahoma"/>
            <family val="2"/>
          </rPr>
          <t>Zheng, Chaodan (Research):</t>
        </r>
        <r>
          <rPr>
            <sz val="9"/>
            <color indexed="81"/>
            <rFont val="Tahoma"/>
            <family val="2"/>
          </rPr>
          <t xml:space="preserve">
$173m to MAR M&amp;F, rest of $1.3bn to owners</t>
        </r>
      </text>
    </comment>
    <comment ref="GP641" authorId="4">
      <text>
        <r>
          <rPr>
            <b/>
            <sz val="9"/>
            <color indexed="81"/>
            <rFont val="Tahoma"/>
            <family val="2"/>
          </rPr>
          <t>Zheng, Chaodan (Research):</t>
        </r>
        <r>
          <rPr>
            <sz val="9"/>
            <color indexed="81"/>
            <rFont val="Tahoma"/>
            <family val="2"/>
          </rPr>
          <t xml:space="preserve">
3/4/17: 48.3m households and 88.1m total cardholders</t>
        </r>
      </text>
    </comment>
    <comment ref="GQ641" authorId="4">
      <text>
        <r>
          <rPr>
            <b/>
            <sz val="9"/>
            <color indexed="81"/>
            <rFont val="Tahoma"/>
            <family val="2"/>
          </rPr>
          <t>Zheng, Chaodan (Research):</t>
        </r>
        <r>
          <rPr>
            <sz val="9"/>
            <color indexed="81"/>
            <rFont val="Tahoma"/>
            <family val="2"/>
          </rPr>
          <t xml:space="preserve">
Costco 3/3/16: 11 million members</t>
        </r>
      </text>
    </comment>
    <comment ref="GS641" authorId="4">
      <text>
        <r>
          <rPr>
            <b/>
            <sz val="9"/>
            <color indexed="81"/>
            <rFont val="Tahoma"/>
            <family val="2"/>
          </rPr>
          <t>Zheng, Chaodan (Research):</t>
        </r>
        <r>
          <rPr>
            <sz val="9"/>
            <color indexed="81"/>
            <rFont val="Tahoma"/>
            <family val="2"/>
          </rPr>
          <t xml:space="preserve">
AXP /20/16: 70% of spending was out of store</t>
        </r>
      </text>
    </comment>
    <comment ref="HA641" authorId="4">
      <text>
        <r>
          <rPr>
            <b/>
            <sz val="9"/>
            <color indexed="81"/>
            <rFont val="Tahoma"/>
            <family val="2"/>
          </rPr>
          <t>Zheng, Chaodan (Research):</t>
        </r>
        <r>
          <rPr>
            <sz val="9"/>
            <color indexed="81"/>
            <rFont val="Tahoma"/>
            <family val="2"/>
          </rPr>
          <t xml:space="preserve">
3/2/17 earnings call</t>
        </r>
      </text>
    </comment>
    <comment ref="GW642" authorId="4">
      <text>
        <r>
          <rPr>
            <b/>
            <sz val="9"/>
            <color indexed="81"/>
            <rFont val="Tahoma"/>
            <family val="2"/>
          </rPr>
          <t>Zheng, Chaodan (Research):</t>
        </r>
        <r>
          <rPr>
            <sz val="9"/>
            <color indexed="81"/>
            <rFont val="Tahoma"/>
            <family val="2"/>
          </rPr>
          <t xml:space="preserve">
4/21/16: $124m net benefit from credit card</t>
        </r>
      </text>
    </comment>
    <comment ref="GR643" authorId="4">
      <text>
        <r>
          <rPr>
            <b/>
            <sz val="9"/>
            <color indexed="81"/>
            <rFont val="Tahoma"/>
            <family val="2"/>
          </rPr>
          <t>Zheng, Chaodan (Research):</t>
        </r>
        <r>
          <rPr>
            <sz val="9"/>
            <color indexed="81"/>
            <rFont val="Tahoma"/>
            <family val="2"/>
          </rPr>
          <t xml:space="preserve">
March 2017: AlphaWise survey
http://eqr-methode-mps-editorial.ms.com/eqr/article/webapp/0d312cc0-e304-11e6-8e7d-277b899fcca3?forceUpdate#</t>
        </r>
      </text>
    </comment>
    <comment ref="GR644" authorId="4">
      <text>
        <r>
          <rPr>
            <b/>
            <sz val="9"/>
            <color indexed="81"/>
            <rFont val="Tahoma"/>
            <family val="2"/>
          </rPr>
          <t>Zheng, Chaodan (Research):</t>
        </r>
        <r>
          <rPr>
            <sz val="9"/>
            <color indexed="81"/>
            <rFont val="Tahoma"/>
            <family val="2"/>
          </rPr>
          <t xml:space="preserve">
March 2017: AlphaWise survey
http://eqr-methode-mps-editorial.ms.com/eqr/article/webapp/0d312cc0-e304-11e6-8e7d-277b899fcca3?forceUpdate#</t>
        </r>
      </text>
    </comment>
    <comment ref="GR645" authorId="4">
      <text>
        <r>
          <rPr>
            <b/>
            <sz val="9"/>
            <color indexed="81"/>
            <rFont val="Tahoma"/>
            <family val="2"/>
          </rPr>
          <t>Zheng, Chaodan (Research):</t>
        </r>
        <r>
          <rPr>
            <sz val="9"/>
            <color indexed="81"/>
            <rFont val="Tahoma"/>
            <family val="2"/>
          </rPr>
          <t xml:space="preserve">
March 2017: AlphaWise survey
http://eqr-methode-mps-editorial.ms.com/eqr/article/webapp/0d312cc0-e304-11e6-8e7d-277b899fcca3?forceUpdate#</t>
        </r>
      </text>
    </comment>
    <comment ref="GR646" authorId="4">
      <text>
        <r>
          <rPr>
            <b/>
            <sz val="9"/>
            <color indexed="81"/>
            <rFont val="Tahoma"/>
            <family val="2"/>
          </rPr>
          <t>Zheng, Chaodan (Research):</t>
        </r>
        <r>
          <rPr>
            <sz val="9"/>
            <color indexed="81"/>
            <rFont val="Tahoma"/>
            <family val="2"/>
          </rPr>
          <t xml:space="preserve">
March 2017: AlphaWise survey
http://eqr-methode-mps-editorial.ms.com/eqr/article/webapp/0d312cc0-e304-11e6-8e7d-277b899fcca3?forceUpdate#</t>
        </r>
      </text>
    </comment>
    <comment ref="GR647" authorId="4">
      <text>
        <r>
          <rPr>
            <b/>
            <sz val="9"/>
            <color indexed="81"/>
            <rFont val="Tahoma"/>
            <family val="2"/>
          </rPr>
          <t>Zheng, Chaodan (Research):</t>
        </r>
        <r>
          <rPr>
            <sz val="9"/>
            <color indexed="81"/>
            <rFont val="Tahoma"/>
            <family val="2"/>
          </rPr>
          <t xml:space="preserve">
March 2017: AlphaWise survey
http://eqr-methode-mps-editorial.ms.com/eqr/article/webapp/0d312cc0-e304-11e6-8e7d-277b899fcca3?forceUpdate#</t>
        </r>
      </text>
    </comment>
    <comment ref="HE658" authorId="4">
      <text>
        <r>
          <rPr>
            <b/>
            <sz val="9"/>
            <color indexed="81"/>
            <rFont val="Tahoma"/>
            <family val="2"/>
          </rPr>
          <t>Zheng, Chaodan (Research):</t>
        </r>
        <r>
          <rPr>
            <sz val="9"/>
            <color indexed="81"/>
            <rFont val="Tahoma"/>
            <family val="2"/>
          </rPr>
          <t xml:space="preserve">
Marriott has said that loyalty members have been increasing by 1 million a month since Starwood acquisition</t>
        </r>
      </text>
    </comment>
    <comment ref="HE661" authorId="4">
      <text>
        <r>
          <rPr>
            <b/>
            <sz val="9"/>
            <color indexed="81"/>
            <rFont val="Tahoma"/>
            <family val="2"/>
          </rPr>
          <t>Zheng, Chaodan (Research):</t>
        </r>
        <r>
          <rPr>
            <sz val="9"/>
            <color indexed="81"/>
            <rFont val="Tahoma"/>
            <family val="2"/>
          </rPr>
          <t xml:space="preserve">
it is more likely for newer loyalty members to sign up for a card than older, hence applied greater penetration rate to only the newer members while assuming no change in cardholder penetration in the 100m existing loyalty members</t>
        </r>
      </text>
    </comment>
  </commentList>
</comments>
</file>

<file path=xl/comments5.xml><?xml version="1.0" encoding="utf-8"?>
<comments xmlns="http://schemas.openxmlformats.org/spreadsheetml/2006/main">
  <authors>
    <author>Allen, Thomas (Research)</author>
  </authors>
  <commentList>
    <comment ref="E6" authorId="0">
      <text>
        <r>
          <rPr>
            <b/>
            <sz val="9"/>
            <color indexed="81"/>
            <rFont val="Tahoma"/>
            <family val="2"/>
          </rPr>
          <t>Allen, Thomas (Research):</t>
        </r>
        <r>
          <rPr>
            <sz val="9"/>
            <color indexed="81"/>
            <rFont val="Tahoma"/>
            <family val="2"/>
          </rPr>
          <t xml:space="preserve">
Per May 2014 convo w/ mgmt, &lt;20 years left on lease</t>
        </r>
      </text>
    </comment>
    <comment ref="E7" authorId="0">
      <text>
        <r>
          <rPr>
            <b/>
            <sz val="9"/>
            <color indexed="81"/>
            <rFont val="Tahoma"/>
            <family val="2"/>
          </rPr>
          <t>Allen, Thomas (Research):</t>
        </r>
        <r>
          <rPr>
            <sz val="9"/>
            <color indexed="81"/>
            <rFont val="Tahoma"/>
            <family val="2"/>
          </rPr>
          <t xml:space="preserve">
Historically an oversupplied market but nothing built in past 5 years
Hyatt Midtown sold in July 2014 for $255k / key</t>
        </r>
      </text>
    </comment>
    <comment ref="E9" authorId="0">
      <text>
        <r>
          <rPr>
            <b/>
            <sz val="9"/>
            <color indexed="81"/>
            <rFont val="Tahoma"/>
            <family val="2"/>
          </rPr>
          <t>Allen, Thomas (Research):</t>
        </r>
        <r>
          <rPr>
            <sz val="9"/>
            <color indexed="81"/>
            <rFont val="Tahoma"/>
            <family val="2"/>
          </rPr>
          <t xml:space="preserve">
Per May 2014 convo w/ mgmt, not a lot of value left on lease</t>
        </r>
      </text>
    </comment>
    <comment ref="E13" authorId="0">
      <text>
        <r>
          <rPr>
            <b/>
            <sz val="9"/>
            <color indexed="81"/>
            <rFont val="Tahoma"/>
            <family val="2"/>
          </rPr>
          <t>Allen, Thomas (Research):</t>
        </r>
        <r>
          <rPr>
            <sz val="9"/>
            <color indexed="81"/>
            <rFont val="Tahoma"/>
            <family val="2"/>
          </rPr>
          <t xml:space="preserve">
Per May 2014 convo w/ mgmt, relatively new property, long lease. </t>
        </r>
      </text>
    </comment>
    <comment ref="E14" authorId="0">
      <text>
        <r>
          <rPr>
            <b/>
            <sz val="9"/>
            <color indexed="81"/>
            <rFont val="Tahoma"/>
            <family val="2"/>
          </rPr>
          <t>Allen, Thomas (Research):</t>
        </r>
        <r>
          <rPr>
            <sz val="9"/>
            <color indexed="81"/>
            <rFont val="Tahoma"/>
            <family val="2"/>
          </rPr>
          <t xml:space="preserve">
Per May 2014 convo w/ mgmt, relatively new property, long lease</t>
        </r>
      </text>
    </comment>
    <comment ref="F25" authorId="0">
      <text>
        <r>
          <rPr>
            <b/>
            <sz val="9"/>
            <color indexed="81"/>
            <rFont val="Tahoma"/>
            <family val="2"/>
          </rPr>
          <t>Allen, Thomas (Research):</t>
        </r>
        <r>
          <rPr>
            <sz val="9"/>
            <color indexed="81"/>
            <rFont val="Tahoma"/>
            <family val="2"/>
          </rPr>
          <t xml:space="preserve">
Mgmt guided to &gt;$1.5B
SINCE:
Sold St. Regis SF for $175m</t>
        </r>
      </text>
    </comment>
    <comment ref="F26" authorId="0">
      <text>
        <r>
          <rPr>
            <b/>
            <sz val="9"/>
            <color indexed="81"/>
            <rFont val="Tahoma"/>
            <family val="2"/>
          </rPr>
          <t>Allen, Thomas (Research):</t>
        </r>
        <r>
          <rPr>
            <sz val="9"/>
            <color indexed="81"/>
            <rFont val="Tahoma"/>
            <family val="2"/>
          </rPr>
          <t xml:space="preserve">
MAR mgmt noted on 3Q16 call that HOT owned hotels generated $180-190m of EBITDA</t>
        </r>
      </text>
    </comment>
    <comment ref="D30" authorId="0">
      <text>
        <r>
          <rPr>
            <b/>
            <sz val="9"/>
            <color indexed="81"/>
            <rFont val="Tahoma"/>
            <family val="2"/>
          </rPr>
          <t>Allen, Thomas (Research):</t>
        </r>
        <r>
          <rPr>
            <sz val="9"/>
            <color indexed="81"/>
            <rFont val="Tahoma"/>
            <family val="2"/>
          </rPr>
          <t xml:space="preserve">
Per 3Q16 earnings call, above HOT owned assets generate $180m of EBITDA</t>
        </r>
      </text>
    </comment>
    <comment ref="E47" authorId="0">
      <text>
        <r>
          <rPr>
            <b/>
            <sz val="9"/>
            <color indexed="81"/>
            <rFont val="Tahoma"/>
            <family val="2"/>
          </rPr>
          <t>Allen, Thomas (Research):</t>
        </r>
        <r>
          <rPr>
            <sz val="9"/>
            <color indexed="81"/>
            <rFont val="Tahoma"/>
            <family val="2"/>
          </rPr>
          <t xml:space="preserve">
Park Hyatt sold in Dec 2014 for $260k / key but need reno's</t>
        </r>
      </text>
    </comment>
  </commentList>
</comments>
</file>

<file path=xl/comments6.xml><?xml version="1.0" encoding="utf-8"?>
<comments xmlns="http://schemas.openxmlformats.org/spreadsheetml/2006/main">
  <authors>
    <author>stramark</author>
    <author>jills</author>
    <author>Zheng, Chaodan (Research)</author>
    <author>Chaudhry, Baset A (Research)</author>
    <author>Allen, Thomas (Research)</author>
    <author>Savino, Mark (Research)</author>
    <author>khushbup</author>
    <author>sinrahul</author>
    <author>Mendiratta, Divya (Research)</author>
    <author>Singh, Rahul (Research)</author>
    <author>Shukla, Sindhuja (Research)</author>
    <author>thallen</author>
    <author>makam</author>
    <author>pathaman</author>
    <author>DJF 3/22/12</author>
    <author>DJF 3/30/12</author>
    <author>priyapa</author>
    <author>sunilt</author>
    <author>danfuss</author>
    <author>Celeste Brown</author>
    <author>Ryan Meliker</author>
    <author>urbank</author>
    <author>ryanmel</author>
  </authors>
  <commentList>
    <comment ref="A5" authorId="0">
      <text>
        <r>
          <rPr>
            <b/>
            <sz val="8"/>
            <color indexed="81"/>
            <rFont val="Tahoma"/>
            <family val="2"/>
          </rPr>
          <t>stramark:</t>
        </r>
        <r>
          <rPr>
            <sz val="8"/>
            <color indexed="81"/>
            <rFont val="Tahoma"/>
            <family val="2"/>
          </rPr>
          <t xml:space="preserve">
Comparable systemwide</t>
        </r>
      </text>
    </comment>
    <comment ref="A7" authorId="1">
      <text>
        <r>
          <rPr>
            <b/>
            <sz val="8"/>
            <color indexed="81"/>
            <rFont val="Tahoma"/>
            <family val="2"/>
          </rPr>
          <t>jills:</t>
        </r>
        <r>
          <rPr>
            <sz val="8"/>
            <color indexed="81"/>
            <rFont val="Tahoma"/>
            <family val="2"/>
          </rPr>
          <t xml:space="preserve">
constant currency</t>
        </r>
      </text>
    </comment>
    <comment ref="BN8" authorId="2">
      <text>
        <r>
          <rPr>
            <b/>
            <sz val="9"/>
            <color indexed="81"/>
            <rFont val="Tahoma"/>
            <family val="2"/>
          </rPr>
          <t>Zheng, Chaodan (Research):</t>
        </r>
        <r>
          <rPr>
            <sz val="9"/>
            <color indexed="81"/>
            <rFont val="Tahoma"/>
            <family val="2"/>
          </rPr>
          <t xml:space="preserve">
2Q12 press release: 6-8%</t>
        </r>
      </text>
    </comment>
    <comment ref="BS8" authorId="2">
      <text>
        <r>
          <rPr>
            <b/>
            <sz val="9"/>
            <color indexed="81"/>
            <rFont val="Tahoma"/>
            <family val="2"/>
          </rPr>
          <t>Zheng, Chaodan (Research):</t>
        </r>
        <r>
          <rPr>
            <sz val="9"/>
            <color indexed="81"/>
            <rFont val="Tahoma"/>
            <family val="2"/>
          </rPr>
          <t xml:space="preserve">
3Q13: 4.5-6% in North America
4Q12: 4-7%</t>
        </r>
      </text>
    </comment>
    <comment ref="BX8" authorId="1">
      <text>
        <r>
          <rPr>
            <sz val="8"/>
            <color indexed="81"/>
            <rFont val="Tahoma"/>
            <family val="2"/>
          </rPr>
          <t>per 3Q/4Q13 earnings, guidance +4-6%; below MSe US growth of 6.3% b/c of higher group exposure
per 1Q14, 4.5-6.5%
per 2Q14, 5-7%</t>
        </r>
      </text>
    </comment>
    <comment ref="BZ8" authorId="3">
      <text>
        <r>
          <rPr>
            <b/>
            <sz val="9"/>
            <color indexed="81"/>
            <rFont val="Tahoma"/>
            <family val="2"/>
          </rPr>
          <t>Chaudhry, Baset A (Research):</t>
        </r>
        <r>
          <rPr>
            <sz val="9"/>
            <color indexed="81"/>
            <rFont val="Tahoma"/>
            <family val="2"/>
          </rPr>
          <t xml:space="preserve">
Civil unrest in Baltimore and bad flooding in Texas</t>
        </r>
      </text>
    </comment>
    <comment ref="CA8" authorId="3">
      <text>
        <r>
          <rPr>
            <b/>
            <sz val="9"/>
            <color indexed="81"/>
            <rFont val="Tahoma"/>
            <family val="2"/>
          </rPr>
          <t>Chaudhry, Baset A (Research):</t>
        </r>
        <r>
          <rPr>
            <sz val="9"/>
            <color indexed="81"/>
            <rFont val="Tahoma"/>
            <family val="2"/>
          </rPr>
          <t xml:space="preserve">
Implied chainscale RevPAR of 5.1% (0.5% historical error)</t>
        </r>
      </text>
    </comment>
    <comment ref="CB8" authorId="3">
      <text>
        <r>
          <rPr>
            <b/>
            <sz val="9"/>
            <color indexed="81"/>
            <rFont val="Tahoma"/>
            <family val="2"/>
          </rPr>
          <t>Chaudhry, Baset A (Research):</t>
        </r>
        <r>
          <rPr>
            <sz val="9"/>
            <color indexed="81"/>
            <rFont val="Tahoma"/>
            <family val="2"/>
          </rPr>
          <t xml:space="preserve">
Mse of 6.5% in 4Q (historical error of 0.5%)
Per 3Q15, mgmt guided to 5-7% range for 4Q but expects to be at the low end of the range</t>
        </r>
      </text>
    </comment>
    <comment ref="CC8" authorId="4">
      <text>
        <r>
          <rPr>
            <b/>
            <sz val="9"/>
            <color indexed="81"/>
            <rFont val="Tahoma"/>
            <family val="2"/>
          </rPr>
          <t>Allen, Thomas (Research):</t>
        </r>
        <r>
          <rPr>
            <sz val="9"/>
            <color indexed="81"/>
            <rFont val="Tahoma"/>
            <family val="2"/>
          </rPr>
          <t xml:space="preserve">
2Q15: 5.5-6.5%
MSe estimate of 6.8% in 2015</t>
        </r>
      </text>
    </comment>
    <comment ref="CE8" authorId="2">
      <text>
        <r>
          <rPr>
            <b/>
            <sz val="9"/>
            <color indexed="81"/>
            <rFont val="Tahoma"/>
            <family val="2"/>
          </rPr>
          <t>Zheng, Chaodan (Research):</t>
        </r>
        <r>
          <rPr>
            <sz val="9"/>
            <color indexed="81"/>
            <rFont val="Tahoma"/>
            <family val="2"/>
          </rPr>
          <t xml:space="preserve">
guidance: 3-5%</t>
        </r>
      </text>
    </comment>
    <comment ref="CF8" authorId="5">
      <text>
        <r>
          <rPr>
            <b/>
            <sz val="9"/>
            <color indexed="81"/>
            <rFont val="Tahoma"/>
            <family val="2"/>
          </rPr>
          <t>Savino, Mark (Research):</t>
        </r>
        <r>
          <rPr>
            <sz val="9"/>
            <color indexed="81"/>
            <rFont val="Tahoma"/>
            <family val="2"/>
          </rPr>
          <t xml:space="preserve">
Guidance: 3-4%</t>
        </r>
      </text>
    </comment>
    <comment ref="CG8" authorId="5">
      <text>
        <r>
          <rPr>
            <b/>
            <sz val="9"/>
            <color indexed="81"/>
            <rFont val="Tahoma"/>
            <family val="2"/>
          </rPr>
          <t>Savino, Mark (Research):</t>
        </r>
        <r>
          <rPr>
            <sz val="9"/>
            <color indexed="81"/>
            <rFont val="Tahoma"/>
            <family val="2"/>
          </rPr>
          <t xml:space="preserve">
3Q16: 0-1%
2Q16: Guidance: 1-3%</t>
        </r>
      </text>
    </comment>
    <comment ref="CH8" authorId="4">
      <text>
        <r>
          <rPr>
            <b/>
            <sz val="9"/>
            <color indexed="81"/>
            <rFont val="Tahoma"/>
            <family val="2"/>
          </rPr>
          <t>Allen, Thomas (Research):</t>
        </r>
        <r>
          <rPr>
            <sz val="9"/>
            <color indexed="81"/>
            <rFont val="Tahoma"/>
            <family val="2"/>
          </rPr>
          <t xml:space="preserve">
MSe estimate of 3.1% in 2016; guidance ~3%</t>
        </r>
      </text>
    </comment>
    <comment ref="CI8" authorId="5">
      <text>
        <r>
          <rPr>
            <b/>
            <sz val="9"/>
            <color indexed="81"/>
            <rFont val="Tahoma"/>
            <family val="2"/>
          </rPr>
          <t>Savino, Mark (Research):</t>
        </r>
        <r>
          <rPr>
            <sz val="9"/>
            <color indexed="81"/>
            <rFont val="Tahoma"/>
            <family val="2"/>
          </rPr>
          <t xml:space="preserve">
1Q17: DC RevPAR +15% driven by Inauguration / Women's March
Hawaii +7%
Canada +10%
Group +7.7%
Easter a ~100bps benefit
4Q16: 1-3%
Benefit of Easter shifting back into March vs. April last year, and includes benefit from Inauguration in DC</t>
        </r>
      </text>
    </comment>
    <comment ref="CJ8" authorId="5">
      <text>
        <r>
          <rPr>
            <b/>
            <sz val="9"/>
            <color indexed="81"/>
            <rFont val="Tahoma"/>
            <family val="2"/>
          </rPr>
          <t>Savino, Mark (Research):</t>
        </r>
        <r>
          <rPr>
            <sz val="9"/>
            <color indexed="81"/>
            <rFont val="Tahoma"/>
            <family val="2"/>
          </rPr>
          <t xml:space="preserve">
1Q17: 0-2%, YTD through April +2%, implying April was down 1%
Headwind from Easter shifting back into April vs. March last year</t>
        </r>
      </text>
    </comment>
    <comment ref="CK8" authorId="5">
      <text>
        <r>
          <rPr>
            <b/>
            <sz val="9"/>
            <color indexed="81"/>
            <rFont val="Tahoma"/>
            <family val="2"/>
          </rPr>
          <t>Savino, Mark (Research):</t>
        </r>
        <r>
          <rPr>
            <sz val="9"/>
            <color indexed="81"/>
            <rFont val="Tahoma"/>
            <family val="2"/>
          </rPr>
          <t xml:space="preserve">
Headwind from Jewish holidays (100bps) shifting back into September vs. October last year, hurricanes benefitted qtr by 25bps</t>
        </r>
      </text>
    </comment>
    <comment ref="CL8" authorId="5">
      <text>
        <r>
          <rPr>
            <b/>
            <sz val="9"/>
            <color indexed="81"/>
            <rFont val="Tahoma"/>
            <family val="2"/>
          </rPr>
          <t>Savino, Mark (Research):</t>
        </r>
        <r>
          <rPr>
            <sz val="9"/>
            <color indexed="81"/>
            <rFont val="Tahoma"/>
            <family val="2"/>
          </rPr>
          <t xml:space="preserve">
3Q17: 2-3%, benefitting from holiday shift and continued hurricane-related demand in TX and FL. Group pace up +5% for 4Q
2Q17: 1-3%
Benefit of Jewish holidays shifting back into October vs. September last year</t>
        </r>
      </text>
    </comment>
    <comment ref="CM8" authorId="4">
      <text>
        <r>
          <rPr>
            <b/>
            <sz val="9"/>
            <color indexed="81"/>
            <rFont val="Tahoma"/>
            <family val="2"/>
          </rPr>
          <t>Allen, Thomas (Research):</t>
        </r>
        <r>
          <rPr>
            <sz val="9"/>
            <color indexed="81"/>
            <rFont val="Tahoma"/>
            <family val="2"/>
          </rPr>
          <t xml:space="preserve">
3Q17: 1-2%
2Q17: 1-2%
1Q17: 1-3%
4Q16: 0-2%, group pace +1.6%
3Q16: 0-2%, group pace +2%
MSe +2.9% in 2017
</t>
        </r>
      </text>
    </comment>
    <comment ref="CN8" authorId="2">
      <text>
        <r>
          <rPr>
            <b/>
            <sz val="9"/>
            <color indexed="81"/>
            <rFont val="Tahoma"/>
            <family val="2"/>
          </rPr>
          <t>Zheng, Chaodan (Research):</t>
        </r>
        <r>
          <rPr>
            <sz val="9"/>
            <color indexed="81"/>
            <rFont val="Tahoma"/>
            <family val="2"/>
          </rPr>
          <t xml:space="preserve">
4Q17: 0-2%
Tough comps to the 2017 inauguration, women's march in D.C., earlier Easter and passover in 2018</t>
        </r>
      </text>
    </comment>
    <comment ref="CR8" authorId="5">
      <text>
        <r>
          <rPr>
            <b/>
            <sz val="9"/>
            <color indexed="81"/>
            <rFont val="Tahoma"/>
            <family val="2"/>
          </rPr>
          <t>Savino, Mark (Research):</t>
        </r>
        <r>
          <rPr>
            <sz val="9"/>
            <color indexed="81"/>
            <rFont val="Tahoma"/>
            <family val="2"/>
          </rPr>
          <t xml:space="preserve">
4Q17: 1-2%, group bookings up 2% (non-comp double)
3Q17: 0-2% (similar to 2017, corp negot rates up LSD, gov't per diems +3-4%, group up nearly 2%)
MSe 2.8% US RevPAR in 2018</t>
        </r>
      </text>
    </comment>
    <comment ref="CS8" authorId="2">
      <text>
        <r>
          <rPr>
            <b/>
            <sz val="9"/>
            <color indexed="81"/>
            <rFont val="Tahoma"/>
            <family val="2"/>
          </rPr>
          <t>Zheng, Chaodan (Research):</t>
        </r>
        <r>
          <rPr>
            <sz val="9"/>
            <color indexed="81"/>
            <rFont val="Tahoma"/>
            <family val="2"/>
          </rPr>
          <t xml:space="preserve">
MS US RevPAR 1.7% in 2019</t>
        </r>
      </text>
    </comment>
    <comment ref="CJ9" authorId="5">
      <text>
        <r>
          <rPr>
            <b/>
            <sz val="9"/>
            <color indexed="81"/>
            <rFont val="Tahoma"/>
            <family val="2"/>
          </rPr>
          <t>Savino, Mark (Research):</t>
        </r>
        <r>
          <rPr>
            <sz val="9"/>
            <color indexed="81"/>
            <rFont val="Tahoma"/>
            <family val="2"/>
          </rPr>
          <t xml:space="preserve">
1Q17: Up LSD</t>
        </r>
      </text>
    </comment>
    <comment ref="CK9" authorId="5">
      <text>
        <r>
          <rPr>
            <b/>
            <sz val="9"/>
            <color indexed="81"/>
            <rFont val="Tahoma"/>
            <family val="2"/>
          </rPr>
          <t>Savino, Mark (Research):</t>
        </r>
        <r>
          <rPr>
            <sz val="9"/>
            <color indexed="81"/>
            <rFont val="Tahoma"/>
            <family val="2"/>
          </rPr>
          <t xml:space="preserve">
2Q17: up LSD</t>
        </r>
      </text>
    </comment>
    <comment ref="CL9" authorId="5">
      <text>
        <r>
          <rPr>
            <b/>
            <sz val="9"/>
            <color indexed="81"/>
            <rFont val="Tahoma"/>
            <family val="2"/>
          </rPr>
          <t>Savino, Mark (Research):</t>
        </r>
        <r>
          <rPr>
            <sz val="9"/>
            <color indexed="81"/>
            <rFont val="Tahoma"/>
            <family val="2"/>
          </rPr>
          <t xml:space="preserve">
2Q17: Up LSD</t>
        </r>
      </text>
    </comment>
    <comment ref="CM9" authorId="5">
      <text>
        <r>
          <rPr>
            <b/>
            <sz val="9"/>
            <color indexed="81"/>
            <rFont val="Tahoma"/>
            <family val="2"/>
          </rPr>
          <t>Savino, Mark (Research):</t>
        </r>
        <r>
          <rPr>
            <sz val="9"/>
            <color indexed="81"/>
            <rFont val="Tahoma"/>
            <family val="2"/>
          </rPr>
          <t xml:space="preserve">
1Q17: Up LSD</t>
        </r>
      </text>
    </comment>
    <comment ref="CN9" authorId="4">
      <text>
        <r>
          <rPr>
            <b/>
            <sz val="9"/>
            <color indexed="81"/>
            <rFont val="Tahoma"/>
            <family val="2"/>
          </rPr>
          <t>Allen, Thomas (Research):</t>
        </r>
        <r>
          <rPr>
            <sz val="9"/>
            <color indexed="81"/>
            <rFont val="Tahoma"/>
            <family val="2"/>
          </rPr>
          <t xml:space="preserve">
MSD</t>
        </r>
      </text>
    </comment>
    <comment ref="CR9" authorId="2">
      <text>
        <r>
          <rPr>
            <b/>
            <sz val="9"/>
            <color indexed="81"/>
            <rFont val="Tahoma"/>
            <family val="2"/>
          </rPr>
          <t>Zheng, Chaodan (Research):</t>
        </r>
        <r>
          <rPr>
            <sz val="9"/>
            <color indexed="81"/>
            <rFont val="Tahoma"/>
            <family val="2"/>
          </rPr>
          <t xml:space="preserve">
4Q17: LSD
3Q17: LSD</t>
        </r>
      </text>
    </comment>
    <comment ref="CJ10" authorId="5">
      <text>
        <r>
          <rPr>
            <b/>
            <sz val="9"/>
            <color indexed="81"/>
            <rFont val="Tahoma"/>
            <family val="2"/>
          </rPr>
          <t>Savino, Mark (Research):</t>
        </r>
        <r>
          <rPr>
            <sz val="9"/>
            <color indexed="81"/>
            <rFont val="Tahoma"/>
            <family val="2"/>
          </rPr>
          <t xml:space="preserve">
1Q17: +MSD</t>
        </r>
      </text>
    </comment>
    <comment ref="CK10" authorId="5">
      <text>
        <r>
          <rPr>
            <b/>
            <sz val="9"/>
            <color indexed="81"/>
            <rFont val="Tahoma"/>
            <family val="2"/>
          </rPr>
          <t>Savino, Mark (Research):</t>
        </r>
        <r>
          <rPr>
            <sz val="9"/>
            <color indexed="81"/>
            <rFont val="Tahoma"/>
            <family val="2"/>
          </rPr>
          <t xml:space="preserve">
2Q17: Up MSD with potential upside</t>
        </r>
      </text>
    </comment>
    <comment ref="CL10" authorId="5">
      <text>
        <r>
          <rPr>
            <b/>
            <sz val="9"/>
            <color indexed="81"/>
            <rFont val="Tahoma"/>
            <family val="2"/>
          </rPr>
          <t>Savino, Mark (Research):</t>
        </r>
        <r>
          <rPr>
            <sz val="9"/>
            <color indexed="81"/>
            <rFont val="Tahoma"/>
            <family val="2"/>
          </rPr>
          <t xml:space="preserve">
2Q17: Up MSD with potential upside</t>
        </r>
      </text>
    </comment>
    <comment ref="CM10" authorId="5">
      <text>
        <r>
          <rPr>
            <b/>
            <sz val="9"/>
            <color indexed="81"/>
            <rFont val="Tahoma"/>
            <family val="2"/>
          </rPr>
          <t>Savino, Mark (Research):</t>
        </r>
        <r>
          <rPr>
            <sz val="9"/>
            <color indexed="81"/>
            <rFont val="Tahoma"/>
            <family val="2"/>
          </rPr>
          <t xml:space="preserve">
1Q17: +MSD</t>
        </r>
      </text>
    </comment>
    <comment ref="CN10" authorId="4">
      <text>
        <r>
          <rPr>
            <b/>
            <sz val="9"/>
            <color indexed="81"/>
            <rFont val="Tahoma"/>
            <family val="2"/>
          </rPr>
          <t>Allen, Thomas (Research):</t>
        </r>
        <r>
          <rPr>
            <sz val="9"/>
            <color indexed="81"/>
            <rFont val="Tahoma"/>
            <family val="2"/>
          </rPr>
          <t xml:space="preserve">
MSD</t>
        </r>
      </text>
    </comment>
    <comment ref="CR10" authorId="2">
      <text>
        <r>
          <rPr>
            <b/>
            <sz val="9"/>
            <color indexed="81"/>
            <rFont val="Tahoma"/>
            <family val="2"/>
          </rPr>
          <t>Zheng, Chaodan (Research):</t>
        </r>
        <r>
          <rPr>
            <sz val="9"/>
            <color indexed="81"/>
            <rFont val="Tahoma"/>
            <family val="2"/>
          </rPr>
          <t xml:space="preserve">
4Q17: MSD
3Q17: LSD</t>
        </r>
      </text>
    </comment>
    <comment ref="CJ11" authorId="5">
      <text>
        <r>
          <rPr>
            <b/>
            <sz val="9"/>
            <color indexed="81"/>
            <rFont val="Tahoma"/>
            <family val="2"/>
          </rPr>
          <t>Savino, Mark (Research):</t>
        </r>
        <r>
          <rPr>
            <sz val="9"/>
            <color indexed="81"/>
            <rFont val="Tahoma"/>
            <family val="2"/>
          </rPr>
          <t xml:space="preserve">
1Q17: Expect 2Q to be modestly lower</t>
        </r>
      </text>
    </comment>
    <comment ref="CK11" authorId="5">
      <text>
        <r>
          <rPr>
            <b/>
            <sz val="9"/>
            <color indexed="81"/>
            <rFont val="Tahoma"/>
            <family val="2"/>
          </rPr>
          <t>Savino, Mark (Research):</t>
        </r>
        <r>
          <rPr>
            <sz val="9"/>
            <color indexed="81"/>
            <rFont val="Tahoma"/>
            <family val="2"/>
          </rPr>
          <t xml:space="preserve">
2Q17: LSD decline, Ramadan negative impact on 3Q</t>
        </r>
      </text>
    </comment>
    <comment ref="CL11" authorId="5">
      <text>
        <r>
          <rPr>
            <b/>
            <sz val="9"/>
            <color indexed="81"/>
            <rFont val="Tahoma"/>
            <family val="2"/>
          </rPr>
          <t>Savino, Mark (Research):</t>
        </r>
        <r>
          <rPr>
            <sz val="9"/>
            <color indexed="81"/>
            <rFont val="Tahoma"/>
            <family val="2"/>
          </rPr>
          <t xml:space="preserve">
2Q17: LSD decline</t>
        </r>
      </text>
    </comment>
    <comment ref="CM11" authorId="5">
      <text>
        <r>
          <rPr>
            <b/>
            <sz val="9"/>
            <color indexed="81"/>
            <rFont val="Tahoma"/>
            <family val="2"/>
          </rPr>
          <t>Savino, Mark (Research):</t>
        </r>
        <r>
          <rPr>
            <sz val="9"/>
            <color indexed="81"/>
            <rFont val="Tahoma"/>
            <family val="2"/>
          </rPr>
          <t xml:space="preserve">
1Q17: Flattish</t>
        </r>
      </text>
    </comment>
    <comment ref="CN11" authorId="4">
      <text>
        <r>
          <rPr>
            <b/>
            <sz val="9"/>
            <color indexed="81"/>
            <rFont val="Tahoma"/>
            <family val="2"/>
          </rPr>
          <t>Allen, Thomas (Research):</t>
        </r>
        <r>
          <rPr>
            <sz val="9"/>
            <color indexed="81"/>
            <rFont val="Tahoma"/>
            <family val="2"/>
          </rPr>
          <t xml:space="preserve">
Flat</t>
        </r>
      </text>
    </comment>
    <comment ref="CR11" authorId="2">
      <text>
        <r>
          <rPr>
            <b/>
            <sz val="9"/>
            <color indexed="81"/>
            <rFont val="Tahoma"/>
            <family val="2"/>
          </rPr>
          <t>Zheng, Chaodan (Research):</t>
        </r>
        <r>
          <rPr>
            <sz val="9"/>
            <color indexed="81"/>
            <rFont val="Tahoma"/>
            <family val="2"/>
          </rPr>
          <t xml:space="preserve">
4Q17: Flat
3Q17: slightly positive</t>
        </r>
      </text>
    </comment>
    <comment ref="CJ12" authorId="5">
      <text>
        <r>
          <rPr>
            <b/>
            <sz val="9"/>
            <color indexed="81"/>
            <rFont val="Tahoma"/>
            <family val="2"/>
          </rPr>
          <t>Savino, Mark (Research):</t>
        </r>
        <r>
          <rPr>
            <sz val="9"/>
            <color indexed="81"/>
            <rFont val="Tahoma"/>
            <family val="2"/>
          </rPr>
          <t xml:space="preserve">
1Q17: +MSD</t>
        </r>
      </text>
    </comment>
    <comment ref="CK12" authorId="5">
      <text>
        <r>
          <rPr>
            <b/>
            <sz val="9"/>
            <color indexed="81"/>
            <rFont val="Tahoma"/>
            <family val="2"/>
          </rPr>
          <t>Savino, Mark (Research):</t>
        </r>
        <r>
          <rPr>
            <sz val="9"/>
            <color indexed="81"/>
            <rFont val="Tahoma"/>
            <family val="2"/>
          </rPr>
          <t xml:space="preserve">
2Q17: Up MSD with upside potential</t>
        </r>
      </text>
    </comment>
    <comment ref="CL12" authorId="4">
      <text>
        <r>
          <rPr>
            <b/>
            <sz val="9"/>
            <color indexed="81"/>
            <rFont val="Tahoma"/>
            <family val="2"/>
          </rPr>
          <t>Allen, Thomas (Research):</t>
        </r>
        <r>
          <rPr>
            <sz val="9"/>
            <color indexed="81"/>
            <rFont val="Tahoma"/>
            <family val="2"/>
          </rPr>
          <t xml:space="preserve">
2Q17: Up MSD with upside potential
Comping Thai king death</t>
        </r>
      </text>
    </comment>
    <comment ref="CM12" authorId="5">
      <text>
        <r>
          <rPr>
            <b/>
            <sz val="9"/>
            <color indexed="81"/>
            <rFont val="Tahoma"/>
            <family val="2"/>
          </rPr>
          <t>Savino, Mark (Research):</t>
        </r>
        <r>
          <rPr>
            <sz val="9"/>
            <color indexed="81"/>
            <rFont val="Tahoma"/>
            <family val="2"/>
          </rPr>
          <t xml:space="preserve">
1Q17: +MSD</t>
        </r>
      </text>
    </comment>
    <comment ref="CN12" authorId="4">
      <text>
        <r>
          <rPr>
            <b/>
            <sz val="9"/>
            <color indexed="81"/>
            <rFont val="Tahoma"/>
            <family val="2"/>
          </rPr>
          <t>Allen, Thomas (Research):</t>
        </r>
        <r>
          <rPr>
            <sz val="9"/>
            <color indexed="81"/>
            <rFont val="Tahoma"/>
            <family val="2"/>
          </rPr>
          <t xml:space="preserve">
MSD</t>
        </r>
      </text>
    </comment>
    <comment ref="CR12" authorId="2">
      <text>
        <r>
          <rPr>
            <b/>
            <sz val="9"/>
            <color indexed="81"/>
            <rFont val="Tahoma"/>
            <family val="2"/>
          </rPr>
          <t>Zheng, Chaodan (Research):</t>
        </r>
        <r>
          <rPr>
            <sz val="9"/>
            <color indexed="81"/>
            <rFont val="Tahoma"/>
            <family val="2"/>
          </rPr>
          <t xml:space="preserve">
4Q17: MSD
3Q17: strong  MSD</t>
        </r>
      </text>
    </comment>
    <comment ref="AO13" authorId="6">
      <text>
        <r>
          <rPr>
            <sz val="8"/>
            <color indexed="81"/>
            <rFont val="Tahoma"/>
            <family val="2"/>
          </rPr>
          <t>Reported- 6.5%</t>
        </r>
      </text>
    </comment>
    <comment ref="AY13" authorId="6">
      <text>
        <r>
          <rPr>
            <sz val="8"/>
            <color indexed="81"/>
            <rFont val="Tahoma"/>
            <family val="2"/>
          </rPr>
          <t>Reported- -17.3%</t>
        </r>
      </text>
    </comment>
    <comment ref="BD13" authorId="6">
      <text>
        <r>
          <rPr>
            <sz val="8"/>
            <color indexed="81"/>
            <rFont val="Tahoma"/>
            <family val="2"/>
          </rPr>
          <t>Reported- 5.8%</t>
        </r>
      </text>
    </comment>
    <comment ref="BN13" authorId="2">
      <text>
        <r>
          <rPr>
            <b/>
            <sz val="9"/>
            <color indexed="81"/>
            <rFont val="Tahoma"/>
            <family val="2"/>
          </rPr>
          <t>Zheng, Chaodan (Research):</t>
        </r>
        <r>
          <rPr>
            <sz val="9"/>
            <color indexed="81"/>
            <rFont val="Tahoma"/>
            <family val="2"/>
          </rPr>
          <t xml:space="preserve">
2Q12: 6-8% worldwide</t>
        </r>
      </text>
    </comment>
    <comment ref="BS13" authorId="2">
      <text>
        <r>
          <rPr>
            <b/>
            <sz val="9"/>
            <color indexed="81"/>
            <rFont val="Tahoma"/>
            <family val="2"/>
          </rPr>
          <t>Zheng, Chaodan (Research):</t>
        </r>
        <r>
          <rPr>
            <sz val="9"/>
            <color indexed="81"/>
            <rFont val="Tahoma"/>
            <family val="2"/>
          </rPr>
          <t xml:space="preserve">
3Q13: 4-6% worldwide
4Q12: 4-7% worldwide</t>
        </r>
      </text>
    </comment>
    <comment ref="BX13" authorId="1">
      <text>
        <r>
          <rPr>
            <sz val="8"/>
            <color indexed="81"/>
            <rFont val="Tahoma"/>
            <family val="2"/>
          </rPr>
          <t>per 3Q13, guidance +4-6%
per 4Q13, guidance +4-6% (+3-5% int'l)
per 1Q14, 4.5-6.5%
per 2Q14, 5-7%</t>
        </r>
      </text>
    </comment>
    <comment ref="CC13" authorId="2">
      <text>
        <r>
          <rPr>
            <b/>
            <sz val="9"/>
            <color indexed="81"/>
            <rFont val="Tahoma"/>
            <family val="2"/>
          </rPr>
          <t>Zheng, Chaodan (Research):</t>
        </r>
        <r>
          <rPr>
            <sz val="9"/>
            <color indexed="81"/>
            <rFont val="Tahoma"/>
            <family val="2"/>
          </rPr>
          <t xml:space="preserve">
2Q15: 5.5-6.5%</t>
        </r>
      </text>
    </comment>
    <comment ref="CE13" authorId="2">
      <text>
        <r>
          <rPr>
            <b/>
            <sz val="9"/>
            <color indexed="81"/>
            <rFont val="Tahoma"/>
            <family val="2"/>
          </rPr>
          <t>Zheng, Chaodan (Research):</t>
        </r>
        <r>
          <rPr>
            <sz val="9"/>
            <color indexed="81"/>
            <rFont val="Tahoma"/>
            <family val="2"/>
          </rPr>
          <t xml:space="preserve">
guidance: 3-5%</t>
        </r>
      </text>
    </comment>
    <comment ref="CF13" authorId="5">
      <text>
        <r>
          <rPr>
            <b/>
            <sz val="9"/>
            <color indexed="81"/>
            <rFont val="Tahoma"/>
            <family val="2"/>
          </rPr>
          <t>Savino, Mark (Research):</t>
        </r>
        <r>
          <rPr>
            <sz val="9"/>
            <color indexed="81"/>
            <rFont val="Tahoma"/>
            <family val="2"/>
          </rPr>
          <t xml:space="preserve">
Guidance: 3-4%</t>
        </r>
      </text>
    </comment>
    <comment ref="CG13" authorId="5">
      <text>
        <r>
          <rPr>
            <b/>
            <sz val="9"/>
            <color indexed="81"/>
            <rFont val="Tahoma"/>
            <family val="2"/>
          </rPr>
          <t>Savino, Mark (Research):</t>
        </r>
        <r>
          <rPr>
            <sz val="9"/>
            <color indexed="81"/>
            <rFont val="Tahoma"/>
            <family val="2"/>
          </rPr>
          <t xml:space="preserve">
3Q16: 0-1%
2Q16: Guidance: 2-3%</t>
        </r>
      </text>
    </comment>
    <comment ref="CH13" authorId="5">
      <text>
        <r>
          <rPr>
            <b/>
            <sz val="9"/>
            <color indexed="81"/>
            <rFont val="Tahoma"/>
            <family val="2"/>
          </rPr>
          <t>Savino, Mark (Research):</t>
        </r>
        <r>
          <rPr>
            <sz val="9"/>
            <color indexed="81"/>
            <rFont val="Tahoma"/>
            <family val="2"/>
          </rPr>
          <t xml:space="preserve">
3Q16: N/A
2Q16: Approx 3%</t>
        </r>
      </text>
    </comment>
    <comment ref="CI13" authorId="5">
      <text>
        <r>
          <rPr>
            <b/>
            <sz val="9"/>
            <color indexed="81"/>
            <rFont val="Tahoma"/>
            <family val="2"/>
          </rPr>
          <t>Savino, Mark (Research):</t>
        </r>
        <r>
          <rPr>
            <sz val="9"/>
            <color indexed="81"/>
            <rFont val="Tahoma"/>
            <family val="2"/>
          </rPr>
          <t xml:space="preserve">
4Q16: 1-3%</t>
        </r>
      </text>
    </comment>
    <comment ref="CJ13" authorId="5">
      <text>
        <r>
          <rPr>
            <b/>
            <sz val="9"/>
            <color indexed="81"/>
            <rFont val="Tahoma"/>
            <family val="2"/>
          </rPr>
          <t>Savino, Mark (Research):</t>
        </r>
        <r>
          <rPr>
            <sz val="9"/>
            <color indexed="81"/>
            <rFont val="Tahoma"/>
            <family val="2"/>
          </rPr>
          <t xml:space="preserve">
1Q17: 1-3%</t>
        </r>
      </text>
    </comment>
    <comment ref="CK13" authorId="5">
      <text>
        <r>
          <rPr>
            <b/>
            <sz val="9"/>
            <color indexed="81"/>
            <rFont val="Tahoma"/>
            <family val="2"/>
          </rPr>
          <t>Savino, Mark (Research):</t>
        </r>
        <r>
          <rPr>
            <sz val="9"/>
            <color indexed="81"/>
            <rFont val="Tahoma"/>
            <family val="2"/>
          </rPr>
          <t xml:space="preserve">
2Q17: 1-2%</t>
        </r>
      </text>
    </comment>
    <comment ref="CL13" authorId="5">
      <text>
        <r>
          <rPr>
            <b/>
            <sz val="9"/>
            <color indexed="81"/>
            <rFont val="Tahoma"/>
            <family val="2"/>
          </rPr>
          <t>Savino, Mark (Research):</t>
        </r>
        <r>
          <rPr>
            <sz val="9"/>
            <color indexed="81"/>
            <rFont val="Tahoma"/>
            <family val="2"/>
          </rPr>
          <t xml:space="preserve">
3Q17: 2-3%
2Q17: 1-3%</t>
        </r>
      </text>
    </comment>
    <comment ref="CM13" authorId="4">
      <text>
        <r>
          <rPr>
            <b/>
            <sz val="9"/>
            <color indexed="81"/>
            <rFont val="Tahoma"/>
            <family val="2"/>
          </rPr>
          <t>Allen, Thomas (Research):</t>
        </r>
        <r>
          <rPr>
            <sz val="9"/>
            <color indexed="81"/>
            <rFont val="Tahoma"/>
            <family val="2"/>
          </rPr>
          <t xml:space="preserve">
3Q17: 2-3%
2Q17: 1-3%
1Q17: 1-3%
4Q16: 0.5-2.5%
3Q16: 0-2%</t>
        </r>
      </text>
    </comment>
    <comment ref="CN13" authorId="5">
      <text>
        <r>
          <rPr>
            <b/>
            <sz val="9"/>
            <color indexed="81"/>
            <rFont val="Tahoma"/>
            <family val="2"/>
          </rPr>
          <t>Savino, Mark (Research):</t>
        </r>
        <r>
          <rPr>
            <sz val="9"/>
            <color indexed="81"/>
            <rFont val="Tahoma"/>
            <family val="2"/>
          </rPr>
          <t xml:space="preserve">
4Q17: 1-3%</t>
        </r>
      </text>
    </comment>
    <comment ref="CR13" authorId="5">
      <text>
        <r>
          <rPr>
            <b/>
            <sz val="9"/>
            <color indexed="81"/>
            <rFont val="Tahoma"/>
            <family val="2"/>
          </rPr>
          <t>Savino, Mark (Research):</t>
        </r>
        <r>
          <rPr>
            <sz val="9"/>
            <color indexed="81"/>
            <rFont val="Tahoma"/>
            <family val="2"/>
          </rPr>
          <t xml:space="preserve">
4Q17: 1-3%
3Q17: 1-3%</t>
        </r>
      </text>
    </comment>
    <comment ref="V16" authorId="7">
      <text>
        <r>
          <rPr>
            <b/>
            <sz val="8"/>
            <color indexed="81"/>
            <rFont val="Tahoma"/>
            <family val="2"/>
          </rPr>
          <t>1Q04 Earnings Release:</t>
        </r>
        <r>
          <rPr>
            <sz val="8"/>
            <color indexed="81"/>
            <rFont val="Tahoma"/>
            <family val="2"/>
          </rPr>
          <t xml:space="preserve">
International comparable systemwide RevPar in the 2004 first calendar quarter (January 1 - March 31) was $85.22, an increase of 11.0% over last year in constant dollars, or 18.8% using actual foreign exchange rates.</t>
        </r>
      </text>
    </comment>
    <comment ref="W16" authorId="7">
      <text>
        <r>
          <rPr>
            <b/>
            <sz val="8"/>
            <color indexed="81"/>
            <rFont val="Tahoma"/>
            <family val="2"/>
          </rPr>
          <t>2Q04 Earnings Release:</t>
        </r>
        <r>
          <rPr>
            <sz val="8"/>
            <color indexed="81"/>
            <rFont val="Tahoma"/>
            <family val="2"/>
          </rPr>
          <t xml:space="preserve">
International REVPAR at comparable systemwide properties increased 24.6 percent (33.1 percent using actual exchange rates)</t>
        </r>
      </text>
    </comment>
    <comment ref="X16" authorId="7">
      <text>
        <r>
          <rPr>
            <b/>
            <sz val="8"/>
            <color indexed="81"/>
            <rFont val="Tahoma"/>
            <family val="2"/>
          </rPr>
          <t>3Q04 Earnings Release:</t>
        </r>
        <r>
          <rPr>
            <sz val="8"/>
            <color indexed="81"/>
            <rFont val="Tahoma"/>
            <family val="2"/>
          </rPr>
          <t xml:space="preserve">
International constant dollar REVPAR at comparable systemwide properties increased 16 percent (20 percent using actual exchange rates)</t>
        </r>
      </text>
    </comment>
    <comment ref="AB16" authorId="7">
      <text>
        <r>
          <rPr>
            <b/>
            <sz val="8"/>
            <color indexed="81"/>
            <rFont val="Tahoma"/>
            <family val="2"/>
          </rPr>
          <t>2Q05 Earnings Release:</t>
        </r>
        <r>
          <rPr>
            <sz val="8"/>
            <color indexed="81"/>
            <rFont val="Tahoma"/>
            <family val="2"/>
          </rPr>
          <t xml:space="preserve">
International systemwide REVPAR increased 17.3 percent (13.4 percent using constant dollars), including a 13.6 percent increase in rate and a 2.4 percentage point increase in occupancy. </t>
        </r>
      </text>
    </comment>
    <comment ref="AC16" authorId="7">
      <text>
        <r>
          <rPr>
            <b/>
            <sz val="8"/>
            <color indexed="81"/>
            <rFont val="Tahoma"/>
            <family val="2"/>
          </rPr>
          <t>3Q05 Earnings Release:</t>
        </r>
        <r>
          <rPr>
            <sz val="8"/>
            <color indexed="81"/>
            <rFont val="Tahoma"/>
            <family val="2"/>
          </rPr>
          <t xml:space="preserve">
International systemwide comparable REVPAR increased 13.7 percent (11.3 percent using constant dollars), including an 11.8 percent increase in rate and a 1.3 percentage point increase in occupancy.</t>
        </r>
      </text>
    </comment>
    <comment ref="AD16" authorId="7">
      <text>
        <r>
          <rPr>
            <b/>
            <sz val="8"/>
            <color indexed="81"/>
            <rFont val="Tahoma"/>
            <family val="2"/>
          </rPr>
          <t>4Q05 Earnings Release:</t>
        </r>
        <r>
          <rPr>
            <sz val="8"/>
            <color indexed="81"/>
            <rFont val="Tahoma"/>
            <family val="2"/>
          </rPr>
          <t xml:space="preserve">
In the fourth quarter, international systemwide comparable REVPAR increased 11.9 percent (11.0 percent using constant dollars) including a 9.9 percent increase in average daily rates and a 1.3 percentage point improvement in occupancy to nearly 75 percent.</t>
        </r>
      </text>
    </comment>
    <comment ref="BB16" authorId="7">
      <text>
        <r>
          <rPr>
            <b/>
            <sz val="8"/>
            <color indexed="81"/>
            <rFont val="Tahoma"/>
            <family val="2"/>
          </rPr>
          <t>3Q10 Earnings Release:</t>
        </r>
        <r>
          <rPr>
            <sz val="8"/>
            <color indexed="81"/>
            <rFont val="Tahoma"/>
            <family val="2"/>
          </rPr>
          <t xml:space="preserve">
International comparable systemwide REVPAR rose 12.0 percent (an 8.5 percent increase using actual dollars), including a 1.6 percent increase in average daily rate (a 1.6 percent decrease
using actual dollars) in the third quarter of 2010.</t>
        </r>
      </text>
    </comment>
    <comment ref="BC16" authorId="7">
      <text>
        <r>
          <rPr>
            <b/>
            <sz val="8"/>
            <color indexed="81"/>
            <rFont val="Tahoma"/>
            <family val="2"/>
          </rPr>
          <t>4Q10 Earnings Release:</t>
        </r>
        <r>
          <rPr>
            <sz val="8"/>
            <color indexed="81"/>
            <rFont val="Tahoma"/>
            <family val="2"/>
          </rPr>
          <t xml:space="preserve">
International comparable systemwide REVPAR rose 10.1 percent (a 7.9 percent increase using actual dollars), including a 3.9 percent increase in average daily rate (a 1.8 percent increase using actual dollars) in the fourth quarter of 2010.</t>
        </r>
      </text>
    </comment>
    <comment ref="BE16" authorId="7">
      <text>
        <r>
          <rPr>
            <b/>
            <sz val="8"/>
            <color indexed="81"/>
            <rFont val="Tahoma"/>
            <family val="2"/>
          </rPr>
          <t>1Q11 Earnings Release:</t>
        </r>
        <r>
          <rPr>
            <sz val="8"/>
            <color indexed="81"/>
            <rFont val="Tahoma"/>
            <family val="2"/>
          </rPr>
          <t xml:space="preserve">
International comparable systemwide REVPAR rose 11.2 percent (an 11.4 percent increase using actual dollars), including a 5.9 percent increase in average daily rate (a 6.0 percent increase using actual dollars) in the first quarter of 2011</t>
        </r>
      </text>
    </comment>
    <comment ref="BF16" authorId="7">
      <text>
        <r>
          <rPr>
            <b/>
            <sz val="8"/>
            <color indexed="81"/>
            <rFont val="Tahoma"/>
            <family val="2"/>
          </rPr>
          <t>2Q11 Earnings Release:</t>
        </r>
        <r>
          <rPr>
            <sz val="8"/>
            <color indexed="81"/>
            <rFont val="Tahoma"/>
            <family val="2"/>
          </rPr>
          <t xml:space="preserve">
International comparable systemwide REVPAR rose 7.3 percent (an 11.9 percent increase using actual dollars), including a 5.8 percent increase in average daily rate (a 10.4 percent increase
using actual dollars) in the second quarter of 2011.</t>
        </r>
        <r>
          <rPr>
            <sz val="8"/>
            <color indexed="81"/>
            <rFont val="Tahoma"/>
            <family val="2"/>
          </rPr>
          <t xml:space="preserve">
</t>
        </r>
      </text>
    </comment>
    <comment ref="BG16" authorId="7">
      <text>
        <r>
          <rPr>
            <b/>
            <sz val="8"/>
            <color indexed="81"/>
            <rFont val="Tahoma"/>
            <family val="2"/>
          </rPr>
          <t>3Q11 Earnings Release:</t>
        </r>
        <r>
          <rPr>
            <sz val="8"/>
            <color indexed="81"/>
            <rFont val="Tahoma"/>
            <family val="2"/>
          </rPr>
          <t xml:space="preserve">
International comparable systemwide REVPAR rose 6.9 percent (a 15.8 percent increase using actual dollars), including a 4.9 percent increase in average daily rate (a 13.6 percent increase
using actual dollars) in the third quarter of 2011.</t>
        </r>
        <r>
          <rPr>
            <sz val="8"/>
            <color indexed="81"/>
            <rFont val="Tahoma"/>
            <family val="2"/>
          </rPr>
          <t xml:space="preserve">
</t>
        </r>
      </text>
    </comment>
    <comment ref="BH16" authorId="7">
      <text>
        <r>
          <rPr>
            <b/>
            <sz val="8"/>
            <color indexed="81"/>
            <rFont val="Tahoma"/>
            <family val="2"/>
          </rPr>
          <t>4Q11 Earnings Release:</t>
        </r>
        <r>
          <rPr>
            <sz val="8"/>
            <color indexed="81"/>
            <rFont val="Tahoma"/>
            <family val="2"/>
          </rPr>
          <t xml:space="preserve">
International comparable systemwide REVPAR rose 4.1 percent (a 5.9 percent increase using actual dollars), including a 4.5 percent increase in average daily rate (a 6.3 percent increase using actual dollars) in the fourth quarter of 2011.</t>
        </r>
        <r>
          <rPr>
            <sz val="8"/>
            <color indexed="81"/>
            <rFont val="Tahoma"/>
            <family val="2"/>
          </rPr>
          <t xml:space="preserve">
</t>
        </r>
      </text>
    </comment>
    <comment ref="BJ16" authorId="7">
      <text>
        <r>
          <rPr>
            <b/>
            <sz val="8"/>
            <color indexed="81"/>
            <rFont val="Tahoma"/>
            <family val="2"/>
          </rPr>
          <t>1Q12 Earnings Release:</t>
        </r>
        <r>
          <rPr>
            <sz val="8"/>
            <color indexed="81"/>
            <rFont val="Tahoma"/>
            <family val="2"/>
          </rPr>
          <t xml:space="preserve">
International comparable systemwide REVPAR rose 5.9 percent (a 5.3 percent increase using actual dollars), including a 2.7 percent increase in average daily rate (a 2.1 percent increase using actual dollars) in the first quarter of 2012.</t>
        </r>
      </text>
    </comment>
    <comment ref="BK16" authorId="7">
      <text>
        <r>
          <rPr>
            <b/>
            <sz val="8"/>
            <color indexed="81"/>
            <rFont val="Tahoma"/>
            <family val="2"/>
          </rPr>
          <t>2Q12 Earnings Release:</t>
        </r>
        <r>
          <rPr>
            <sz val="8"/>
            <color indexed="81"/>
            <rFont val="Tahoma"/>
            <family val="2"/>
          </rPr>
          <t xml:space="preserve">
International comparable systemwide REVPAR rose 7.2 percent (a 4.9 percent increase using actual dollars), including a 3.0 percent increase in average daily rate (a 0.8 percent increase using actual dollars) in the second quarter of 2012.</t>
        </r>
      </text>
    </comment>
    <comment ref="BL16" authorId="7">
      <text>
        <r>
          <rPr>
            <b/>
            <sz val="8"/>
            <color indexed="81"/>
            <rFont val="Tahoma"/>
            <family val="2"/>
          </rPr>
          <t>3Q12 Earnings Release:</t>
        </r>
        <r>
          <rPr>
            <sz val="8"/>
            <color indexed="81"/>
            <rFont val="Tahoma"/>
            <family val="2"/>
          </rPr>
          <t xml:space="preserve">
International comparable systemwide REVPAR rose 5.0 percent (a 1.5 percent decline using
actual dollars), including a 3.8 percent increase in average daily rate (a 2.6 percent decline using
actual dollars) in the third quarter of 2012.</t>
        </r>
      </text>
    </comment>
    <comment ref="BM16" authorId="7">
      <text>
        <r>
          <rPr>
            <b/>
            <sz val="8"/>
            <color indexed="81"/>
            <rFont val="Tahoma"/>
            <family val="2"/>
          </rPr>
          <t>4Q12 Earnings Release:</t>
        </r>
        <r>
          <rPr>
            <sz val="8"/>
            <color indexed="81"/>
            <rFont val="Tahoma"/>
            <family val="2"/>
          </rPr>
          <t xml:space="preserve">
International comparable systemwide REVPAR rose 3.2 percent (a 0.7 percent increase using actual dollars), including a 0.5 percent increase in average daily rate (a 1.9 percent decline using actual dollars) in the fourth quarter of 2012.</t>
        </r>
        <r>
          <rPr>
            <sz val="8"/>
            <color indexed="81"/>
            <rFont val="Tahoma"/>
            <family val="2"/>
          </rPr>
          <t xml:space="preserve">
</t>
        </r>
      </text>
    </comment>
    <comment ref="BO16" authorId="7">
      <text>
        <r>
          <rPr>
            <b/>
            <sz val="8"/>
            <color indexed="81"/>
            <rFont val="Tahoma"/>
            <family val="2"/>
          </rPr>
          <t>1Q13 Earnings Release:</t>
        </r>
        <r>
          <rPr>
            <sz val="8"/>
            <color indexed="81"/>
            <rFont val="Tahoma"/>
            <family val="2"/>
          </rPr>
          <t xml:space="preserve">
International comparable systemwide REVPAR rose 4.1 percent (a 3.7 percent increase using
actual dollars), including a 1.5 percent increase in average daily rate (a 1.1 percent increase using
actual dollars) in the first quarter of 2013.</t>
        </r>
      </text>
    </comment>
    <comment ref="BP16" authorId="7">
      <text>
        <r>
          <rPr>
            <b/>
            <sz val="8"/>
            <color indexed="81"/>
            <rFont val="Tahoma"/>
            <family val="2"/>
          </rPr>
          <t>2Q13 Earnings Release:</t>
        </r>
        <r>
          <rPr>
            <sz val="8"/>
            <color indexed="81"/>
            <rFont val="Tahoma"/>
            <family val="2"/>
          </rPr>
          <t xml:space="preserve">
International comparable systemwide REVPAR rose 2.8% (a 1.7% increase using actual dollars)</t>
        </r>
      </text>
    </comment>
    <comment ref="BQ16" authorId="7">
      <text>
        <r>
          <rPr>
            <b/>
            <sz val="8"/>
            <color indexed="81"/>
            <rFont val="Tahoma"/>
            <family val="2"/>
          </rPr>
          <t>3Q13 Earnings Release:</t>
        </r>
        <r>
          <rPr>
            <sz val="8"/>
            <color indexed="81"/>
            <rFont val="Tahoma"/>
            <family val="2"/>
          </rPr>
          <t xml:space="preserve">
International comparable systemwide REVPAR rose 3.4% (a 2.9% increase using actual dollars)</t>
        </r>
      </text>
    </comment>
    <comment ref="BR16" authorId="7">
      <text>
        <r>
          <rPr>
            <b/>
            <sz val="8"/>
            <color indexed="81"/>
            <rFont val="Tahoma"/>
            <family val="2"/>
          </rPr>
          <t>4Q13 Earnings Release:</t>
        </r>
        <r>
          <rPr>
            <sz val="8"/>
            <color indexed="81"/>
            <rFont val="Tahoma"/>
            <family val="2"/>
          </rPr>
          <t xml:space="preserve">
International comparable systemwide REVPAR rose 3.2% (a 2.3% increase using actual dollars) in the fourth quarter</t>
        </r>
        <r>
          <rPr>
            <sz val="8"/>
            <color indexed="81"/>
            <rFont val="Tahoma"/>
            <family val="2"/>
          </rPr>
          <t xml:space="preserve">
</t>
        </r>
      </text>
    </comment>
    <comment ref="BT16" authorId="7">
      <text>
        <r>
          <rPr>
            <b/>
            <sz val="8"/>
            <color indexed="81"/>
            <rFont val="Tahoma"/>
            <family val="2"/>
          </rPr>
          <t>1Q14 Earnings Release:</t>
        </r>
        <r>
          <rPr>
            <sz val="8"/>
            <color indexed="81"/>
            <rFont val="Tahoma"/>
            <family val="2"/>
          </rPr>
          <t xml:space="preserve">
International comparable systemwide RevPAR rose 5.7% (a 4.4% increase using actual dollars) in the first quarter.</t>
        </r>
        <r>
          <rPr>
            <sz val="8"/>
            <color indexed="81"/>
            <rFont val="Tahoma"/>
            <family val="2"/>
          </rPr>
          <t xml:space="preserve">
</t>
        </r>
      </text>
    </comment>
    <comment ref="BU16" authorId="7">
      <text>
        <r>
          <rPr>
            <b/>
            <sz val="8"/>
            <color indexed="81"/>
            <rFont val="Tahoma"/>
            <family val="2"/>
          </rPr>
          <t>2Q14 Earnings Release:</t>
        </r>
        <r>
          <rPr>
            <sz val="8"/>
            <color indexed="81"/>
            <rFont val="Tahoma"/>
            <family val="2"/>
          </rPr>
          <t xml:space="preserve">
International comparable systemwide RevPAR rose 4.6% (a 5.1% increase using actual dollars) in the second quarter</t>
        </r>
      </text>
    </comment>
    <comment ref="BV16" authorId="3">
      <text>
        <r>
          <rPr>
            <b/>
            <sz val="9"/>
            <color indexed="81"/>
            <rFont val="Tahoma"/>
            <family val="2"/>
          </rPr>
          <t>3Q14 Earnings Press Release:</t>
        </r>
        <r>
          <rPr>
            <sz val="9"/>
            <color indexed="81"/>
            <rFont val="Tahoma"/>
            <family val="2"/>
          </rPr>
          <t xml:space="preserve"> 
International comparable systemwide RevPAR rose 5.6% (a 6.4% increase using actual dollars) in the third quarter.</t>
        </r>
      </text>
    </comment>
    <comment ref="BZ16" authorId="8">
      <text>
        <r>
          <rPr>
            <sz val="9"/>
            <color indexed="81"/>
            <rFont val="Tahoma"/>
            <family val="2"/>
          </rPr>
          <t xml:space="preserve">International comparable systemwide RevPAR rose 4.5 percent (a 5.3 percent decline using actual dollars) in the second quarter. International RevPAR growth was constrained during the quarter by the earlier start of Ramadan.
</t>
        </r>
      </text>
    </comment>
    <comment ref="CA16" authorId="9">
      <text>
        <r>
          <rPr>
            <sz val="9"/>
            <color indexed="81"/>
            <rFont val="Tahoma"/>
            <family val="2"/>
          </rPr>
          <t xml:space="preserve">International comparable systemwide RevPAR rose 6.2% (a 4.0% decline using actual dollars) in the third quarter. International RevPAR growth was helped during the quarter by the earlier start of Ramadan and very strong demand in Europe.
</t>
        </r>
      </text>
    </comment>
    <comment ref="CD16" authorId="10">
      <text>
        <r>
          <rPr>
            <sz val="9"/>
            <color indexed="81"/>
            <rFont val="Tahoma"/>
            <family val="2"/>
          </rPr>
          <t>International comparable systemwide RevPAR rose 3.5 percent (a 2.5 percent decline using actual dollars) in the first quarter of 2016.</t>
        </r>
      </text>
    </comment>
    <comment ref="CE16" authorId="10">
      <text>
        <r>
          <rPr>
            <sz val="9"/>
            <color indexed="81"/>
            <rFont val="Tahoma"/>
            <family val="2"/>
          </rPr>
          <t>International comparable systemwide RevPAR rose 1.9 percent (a 0.8 percent decline using actual dollars) in the second quarter of 2016.</t>
        </r>
      </text>
    </comment>
    <comment ref="CL16" authorId="2">
      <text>
        <r>
          <rPr>
            <b/>
            <sz val="9"/>
            <color indexed="81"/>
            <rFont val="Tahoma"/>
            <family val="2"/>
          </rPr>
          <t>Zheng, Chaodan (Research):</t>
        </r>
        <r>
          <rPr>
            <sz val="9"/>
            <color indexed="81"/>
            <rFont val="Tahoma"/>
            <family val="2"/>
          </rPr>
          <t xml:space="preserve">
3Q17: +3-5% outside of NA</t>
        </r>
      </text>
    </comment>
    <comment ref="W17" authorId="7">
      <text>
        <r>
          <rPr>
            <b/>
            <sz val="8"/>
            <color indexed="81"/>
            <rFont val="Tahoma"/>
            <family val="2"/>
          </rPr>
          <t>2Q04 Earnings Release:</t>
        </r>
        <r>
          <rPr>
            <sz val="8"/>
            <color indexed="81"/>
            <rFont val="Tahoma"/>
            <family val="2"/>
          </rPr>
          <t xml:space="preserve">
Systemwide REVPAR for the second quarter ended June 18, 2004, increased 13 percent (14 percent using actual exchange rates).</t>
        </r>
      </text>
    </comment>
    <comment ref="X17" authorId="7">
      <text>
        <r>
          <rPr>
            <b/>
            <sz val="8"/>
            <color indexed="81"/>
            <rFont val="Tahoma"/>
            <family val="2"/>
          </rPr>
          <t>3Q04 Earnings Release:</t>
        </r>
        <r>
          <rPr>
            <sz val="8"/>
            <color indexed="81"/>
            <rFont val="Tahoma"/>
            <family val="2"/>
          </rPr>
          <t xml:space="preserve">
Worldwide systemwide comparable revenue per available room (REVPAR) increases 9.3 percent in constant dollars </t>
        </r>
      </text>
    </comment>
    <comment ref="Y17" authorId="7">
      <text>
        <r>
          <rPr>
            <b/>
            <sz val="8"/>
            <color indexed="81"/>
            <rFont val="Tahoma"/>
            <family val="2"/>
          </rPr>
          <t>4Q04 Earnings Release:</t>
        </r>
        <r>
          <rPr>
            <sz val="8"/>
            <color indexed="81"/>
            <rFont val="Tahoma"/>
            <family val="2"/>
          </rPr>
          <t xml:space="preserve">
REVPAR for the company’s 2,116 comparable worldwide systemwide properties increased by 9.6 percent (10.7 percent using actual exchange rates).</t>
        </r>
      </text>
    </comment>
    <comment ref="AA17" authorId="7">
      <text>
        <r>
          <rPr>
            <b/>
            <sz val="8"/>
            <color indexed="81"/>
            <rFont val="Tahoma"/>
            <family val="2"/>
          </rPr>
          <t>1Q05 Earnings Release:</t>
        </r>
        <r>
          <rPr>
            <sz val="8"/>
            <color indexed="81"/>
            <rFont val="Tahoma"/>
            <family val="2"/>
          </rPr>
          <t xml:space="preserve">
REVPAR for the company’s 2,314 comparable worldwide systemwide properties increased by 8.8 percent (9.3 percent using actual exchange rates)</t>
        </r>
      </text>
    </comment>
    <comment ref="AB17" authorId="7">
      <text>
        <r>
          <rPr>
            <b/>
            <sz val="8"/>
            <color indexed="81"/>
            <rFont val="Tahoma"/>
            <family val="2"/>
          </rPr>
          <t>2Q05 Earnings Release:</t>
        </r>
        <r>
          <rPr>
            <sz val="8"/>
            <color indexed="81"/>
            <rFont val="Tahoma"/>
            <family val="2"/>
          </rPr>
          <t xml:space="preserve">
Worldwide, systemwide revenue per available room (REVPAR) increased 11.1 percent (10.4 percent using constant dollars) </t>
        </r>
      </text>
    </comment>
    <comment ref="AC17" authorId="7">
      <text>
        <r>
          <rPr>
            <b/>
            <sz val="8"/>
            <color indexed="81"/>
            <rFont val="Tahoma"/>
            <family val="2"/>
          </rPr>
          <t>3Q05 Earnings Release:</t>
        </r>
        <r>
          <rPr>
            <sz val="8"/>
            <color indexed="81"/>
            <rFont val="Tahoma"/>
            <family val="2"/>
          </rPr>
          <t xml:space="preserve">
Worldwide systemwide, comparable revenue per available room (REVPAR) increased 9.2 percent (8.8 percent using constant dollars)</t>
        </r>
      </text>
    </comment>
    <comment ref="AD17" authorId="7">
      <text>
        <r>
          <rPr>
            <b/>
            <sz val="8"/>
            <color indexed="81"/>
            <rFont val="Tahoma"/>
            <family val="2"/>
          </rPr>
          <t xml:space="preserve">4Q05 Earnings Release:
</t>
        </r>
        <r>
          <rPr>
            <sz val="8"/>
            <color indexed="81"/>
            <rFont val="Tahoma"/>
            <family val="2"/>
          </rPr>
          <t>REVPAR for the company’s comparable worldwide systemwide properties increased 11.2 percent (11.0 percent using constant dollars)</t>
        </r>
      </text>
    </comment>
    <comment ref="AF17" authorId="7">
      <text>
        <r>
          <rPr>
            <b/>
            <sz val="8"/>
            <color indexed="81"/>
            <rFont val="Tahoma"/>
            <family val="2"/>
          </rPr>
          <t>1Q06 Earnings Release:</t>
        </r>
        <r>
          <rPr>
            <sz val="8"/>
            <color indexed="81"/>
            <rFont val="Tahoma"/>
            <family val="2"/>
          </rPr>
          <t xml:space="preserve">
REVPAR for the company’s comparable worldwide systemwide properties increased 10.3 percent (10.8 percent using constant dollars).</t>
        </r>
      </text>
    </comment>
    <comment ref="AG17" authorId="7">
      <text>
        <r>
          <rPr>
            <b/>
            <sz val="8"/>
            <color indexed="81"/>
            <rFont val="Tahoma"/>
            <family val="2"/>
          </rPr>
          <t>2Q06 Earnings Release:</t>
        </r>
        <r>
          <rPr>
            <sz val="8"/>
            <color indexed="81"/>
            <rFont val="Tahoma"/>
            <family val="2"/>
          </rPr>
          <t xml:space="preserve">
REVPAR for the company’s comparable worldwide systemwide properties increased 10.4 percent (10.7 percent using constant dollars).</t>
        </r>
      </text>
    </comment>
    <comment ref="AH17" authorId="7">
      <text>
        <r>
          <rPr>
            <b/>
            <sz val="8"/>
            <color indexed="81"/>
            <rFont val="Tahoma"/>
            <family val="2"/>
          </rPr>
          <t>3Q06 Earnings Release:</t>
        </r>
        <r>
          <rPr>
            <sz val="8"/>
            <color indexed="81"/>
            <rFont val="Tahoma"/>
            <family val="2"/>
          </rPr>
          <t xml:space="preserve">
REVPAR for the company’s comparable worldwide systemwide properties increased 9.4 percent (9.0 percent using constant dollars).</t>
        </r>
      </text>
    </comment>
    <comment ref="AI17" authorId="7">
      <text>
        <r>
          <rPr>
            <b/>
            <sz val="8"/>
            <color indexed="81"/>
            <rFont val="Tahoma"/>
            <family val="2"/>
          </rPr>
          <t>4Q06 Earnings Release:</t>
        </r>
        <r>
          <rPr>
            <sz val="8"/>
            <color indexed="81"/>
            <rFont val="Tahoma"/>
            <family val="2"/>
          </rPr>
          <t xml:space="preserve">
REVPAR for the company’s comparable worldwide systemwide properties increased 8.4 percent (7.8 percent using constant dollars).</t>
        </r>
      </text>
    </comment>
    <comment ref="AK17" authorId="7">
      <text>
        <r>
          <rPr>
            <b/>
            <sz val="8"/>
            <color indexed="81"/>
            <rFont val="Tahoma"/>
            <family val="2"/>
          </rPr>
          <t>1Q07 Earnings Release:</t>
        </r>
        <r>
          <rPr>
            <sz val="8"/>
            <color indexed="81"/>
            <rFont val="Tahoma"/>
            <family val="2"/>
          </rPr>
          <t xml:space="preserve">
REVPAR for the company’s comparable worldwide systemwide properties increased 6.6 percent (6.0 percent using constant dollars).</t>
        </r>
      </text>
    </comment>
    <comment ref="AL17" authorId="7">
      <text>
        <r>
          <rPr>
            <b/>
            <sz val="8"/>
            <color indexed="81"/>
            <rFont val="Tahoma"/>
            <family val="2"/>
          </rPr>
          <t>2Q07 Earnings Release:</t>
        </r>
        <r>
          <rPr>
            <sz val="8"/>
            <color indexed="81"/>
            <rFont val="Tahoma"/>
            <family val="2"/>
          </rPr>
          <t xml:space="preserve">
REVPAR for the company’s worldwide systemwide comparable properties increased 7.5 percent (6.4 percent using constant dollars).</t>
        </r>
      </text>
    </comment>
    <comment ref="AM17" authorId="7">
      <text>
        <r>
          <rPr>
            <b/>
            <sz val="8"/>
            <color indexed="81"/>
            <rFont val="Tahoma"/>
            <family val="2"/>
          </rPr>
          <t>3Q07 Earnings Release:</t>
        </r>
        <r>
          <rPr>
            <sz val="8"/>
            <color indexed="81"/>
            <rFont val="Tahoma"/>
            <family val="2"/>
          </rPr>
          <t xml:space="preserve">
REVPAR for the company’s comparable worldwide systemwide properties increased 7.7 percent (6.6 percent using constant dollars)</t>
        </r>
      </text>
    </comment>
    <comment ref="AN17" authorId="7">
      <text>
        <r>
          <rPr>
            <b/>
            <sz val="8"/>
            <color indexed="81"/>
            <rFont val="Tahoma"/>
            <family val="2"/>
          </rPr>
          <t xml:space="preserve">4Q07 Earnings Release:
</t>
        </r>
        <r>
          <rPr>
            <sz val="8"/>
            <color indexed="81"/>
            <rFont val="Tahoma"/>
            <family val="2"/>
          </rPr>
          <t>REVPAR for the company's comparable worldwide systemwide properties increased 8.1 percent (6.6 percent using constant dollars).</t>
        </r>
      </text>
    </comment>
    <comment ref="AP17" authorId="7">
      <text>
        <r>
          <rPr>
            <b/>
            <sz val="8"/>
            <color indexed="81"/>
            <rFont val="Tahoma"/>
            <family val="2"/>
          </rPr>
          <t>1Q08 Earnings Release:</t>
        </r>
        <r>
          <rPr>
            <sz val="8"/>
            <color indexed="81"/>
            <rFont val="Tahoma"/>
            <family val="2"/>
          </rPr>
          <t xml:space="preserve">
REVPAR for the company’s comparable worldwide systemwide properties increased 4.4 percent (3.5 percent using constant dollars).</t>
        </r>
      </text>
    </comment>
    <comment ref="AQ17" authorId="7">
      <text>
        <r>
          <rPr>
            <b/>
            <sz val="8"/>
            <color indexed="81"/>
            <rFont val="Tahoma"/>
            <family val="2"/>
          </rPr>
          <t>2Q08 Earnings Release:</t>
        </r>
        <r>
          <rPr>
            <sz val="8"/>
            <color indexed="81"/>
            <rFont val="Tahoma"/>
            <family val="2"/>
          </rPr>
          <t xml:space="preserve">
REVPAR at comparable worldwide systemwide properties rose 4.2 percent (2.6 percent using constant dollars) </t>
        </r>
      </text>
    </comment>
    <comment ref="AR17" authorId="7">
      <text>
        <r>
          <rPr>
            <b/>
            <sz val="8"/>
            <color indexed="81"/>
            <rFont val="Tahoma"/>
            <family val="2"/>
          </rPr>
          <t>3Q09 Earnings Release:</t>
        </r>
        <r>
          <rPr>
            <sz val="8"/>
            <color indexed="81"/>
            <rFont val="Tahoma"/>
            <family val="2"/>
          </rPr>
          <t xml:space="preserve">
REVPAR at comparable worldwide systemwide properties rose 2.2 percent (0.7 percent using constant dollars)</t>
        </r>
      </text>
    </comment>
    <comment ref="AS17" authorId="7">
      <text>
        <r>
          <rPr>
            <b/>
            <sz val="8"/>
            <color indexed="81"/>
            <rFont val="Tahoma"/>
            <family val="2"/>
          </rPr>
          <t>4Q08 Earnings Release:</t>
        </r>
        <r>
          <rPr>
            <sz val="8"/>
            <color indexed="81"/>
            <rFont val="Tahoma"/>
            <family val="2"/>
          </rPr>
          <t xml:space="preserve">
REVPAR for the company's worldwide systemwide properties declined 7.5 percent (6.8 percent using constant dollars).</t>
        </r>
      </text>
    </comment>
    <comment ref="AU17" authorId="7">
      <text>
        <r>
          <rPr>
            <b/>
            <sz val="8"/>
            <color indexed="81"/>
            <rFont val="Tahoma"/>
            <family val="2"/>
          </rPr>
          <t>1Q09 Earnings Release:</t>
        </r>
        <r>
          <rPr>
            <sz val="8"/>
            <color indexed="81"/>
            <rFont val="Tahoma"/>
            <family val="2"/>
          </rPr>
          <t xml:space="preserve">
REVPAR for the company's worldwide comparable systemwide properties declined 17.3 percent (16.2 percent using constant dollars).</t>
        </r>
      </text>
    </comment>
    <comment ref="AV17" authorId="7">
      <text>
        <r>
          <rPr>
            <b/>
            <sz val="8"/>
            <color indexed="81"/>
            <rFont val="Tahoma"/>
            <family val="2"/>
          </rPr>
          <t>2Q09 Earnings Release:</t>
        </r>
        <r>
          <rPr>
            <sz val="8"/>
            <color indexed="81"/>
            <rFont val="Tahoma"/>
            <family val="2"/>
          </rPr>
          <t xml:space="preserve">
REVPAR for the company's worldwide comparable systemwide properties declined 23.6 percent (21.4 percent using constant dollars).</t>
        </r>
      </text>
    </comment>
    <comment ref="AW17" authorId="7">
      <text>
        <r>
          <rPr>
            <b/>
            <sz val="8"/>
            <color indexed="81"/>
            <rFont val="Tahoma"/>
            <family val="2"/>
          </rPr>
          <t>3Q09 Earnings Release:</t>
        </r>
        <r>
          <rPr>
            <sz val="8"/>
            <color indexed="81"/>
            <rFont val="Tahoma"/>
            <family val="2"/>
          </rPr>
          <t xml:space="preserve">
REVPAR for the company's worldwide comparable systemwide properties declined 21.4 percent (19.9 percent using constant dollars)</t>
        </r>
      </text>
    </comment>
    <comment ref="AX17" authorId="7">
      <text>
        <r>
          <rPr>
            <b/>
            <sz val="8"/>
            <color indexed="81"/>
            <rFont val="Tahoma"/>
            <family val="2"/>
          </rPr>
          <t>4Q09 Earnings Release:</t>
        </r>
        <r>
          <rPr>
            <sz val="8"/>
            <color indexed="81"/>
            <rFont val="Tahoma"/>
            <family val="2"/>
          </rPr>
          <t xml:space="preserve">
In the 2009 fourth quarter REVPAR for the company’s worldwide comparable systemwide properties declined
12.3 percent (12.5 percent using constant dollars)</t>
        </r>
      </text>
    </comment>
    <comment ref="AZ17" authorId="7">
      <text>
        <r>
          <rPr>
            <b/>
            <sz val="8"/>
            <color indexed="81"/>
            <rFont val="Tahoma"/>
            <family val="2"/>
          </rPr>
          <t>1Q10 Earnings Release:</t>
        </r>
        <r>
          <rPr>
            <sz val="8"/>
            <color indexed="81"/>
            <rFont val="Tahoma"/>
            <family val="2"/>
          </rPr>
          <t xml:space="preserve">
In the 2010 first quarter and REVPAR for the company’s
worldwide comparable systemwide properties declined 0.7 percent (a 1.3 percent decline using
constant dollars).</t>
        </r>
      </text>
    </comment>
    <comment ref="BA17" authorId="7">
      <text>
        <r>
          <rPr>
            <b/>
            <sz val="8"/>
            <color indexed="81"/>
            <rFont val="Tahoma"/>
            <family val="2"/>
          </rPr>
          <t>2Q10 Earnings Release:</t>
        </r>
        <r>
          <rPr>
            <sz val="8"/>
            <color indexed="81"/>
            <rFont val="Tahoma"/>
            <family val="2"/>
          </rPr>
          <t xml:space="preserve">
For the 2010 second quarter, REVPAR for worldwide comparable systemwide properties increased 8.5 percent (a 7.0 percent increase using constant dollars).</t>
        </r>
      </text>
    </comment>
    <comment ref="BB17" authorId="7">
      <text>
        <r>
          <rPr>
            <b/>
            <sz val="8"/>
            <color indexed="81"/>
            <rFont val="Tahoma"/>
            <family val="2"/>
          </rPr>
          <t>3Q10 Earnings Release:</t>
        </r>
        <r>
          <rPr>
            <sz val="8"/>
            <color indexed="81"/>
            <rFont val="Tahoma"/>
            <family val="2"/>
          </rPr>
          <t xml:space="preserve">
For the 2010 third quarter, REVPAR for worldwide comparable systemwide properties increased
8.2 percent (a 7.5 percent increase using actual dollars).</t>
        </r>
      </text>
    </comment>
    <comment ref="BC17" authorId="7">
      <text>
        <r>
          <rPr>
            <b/>
            <sz val="8"/>
            <color indexed="81"/>
            <rFont val="Tahoma"/>
            <family val="2"/>
          </rPr>
          <t>4Q10 Earnings Release:</t>
        </r>
        <r>
          <rPr>
            <sz val="8"/>
            <color indexed="81"/>
            <rFont val="Tahoma"/>
            <family val="2"/>
          </rPr>
          <t xml:space="preserve">
For the 2010 fourth quarter, REVPAR for worldwide comparable systemwide properties
increased 8.1 percent (a 7.6 percent increase using actual dollars).</t>
        </r>
      </text>
    </comment>
    <comment ref="BE17" authorId="7">
      <text>
        <r>
          <rPr>
            <b/>
            <sz val="8"/>
            <color indexed="81"/>
            <rFont val="Tahoma"/>
            <family val="2"/>
          </rPr>
          <t>1Q11 Earnings Release:</t>
        </r>
        <r>
          <rPr>
            <sz val="8"/>
            <color indexed="81"/>
            <rFont val="Tahoma"/>
            <family val="2"/>
          </rPr>
          <t xml:space="preserve">
For the 2011 first quarter, REVPAR for worldwide comparable systemwide properties increased 6.5 percent (a 6.6 percent increase using actual dollars).</t>
        </r>
      </text>
    </comment>
    <comment ref="BF17" authorId="7">
      <text>
        <r>
          <rPr>
            <b/>
            <sz val="8"/>
            <color indexed="81"/>
            <rFont val="Tahoma"/>
            <family val="2"/>
          </rPr>
          <t>2Q11 Earnings Release:</t>
        </r>
        <r>
          <rPr>
            <sz val="8"/>
            <color indexed="81"/>
            <rFont val="Tahoma"/>
            <family val="2"/>
          </rPr>
          <t xml:space="preserve">
For the 2011 second quarter, REVPAR for worldwide comparable systemwide properties
increased 6.8 percent (a 7.7 percent increase using actual dollars).</t>
        </r>
      </text>
    </comment>
    <comment ref="BG17" authorId="7">
      <text>
        <r>
          <rPr>
            <b/>
            <sz val="8"/>
            <color indexed="81"/>
            <rFont val="Tahoma"/>
            <family val="2"/>
          </rPr>
          <t xml:space="preserve">3Q11 Earnings Release:
</t>
        </r>
        <r>
          <rPr>
            <sz val="8"/>
            <color indexed="81"/>
            <rFont val="Tahoma"/>
            <family val="2"/>
          </rPr>
          <t>For the 2011 third quarter, REVPAR for worldwide comparable systemwide properties increased
6.9 percent (an 8.7 percent increase using actual dollars).</t>
        </r>
        <r>
          <rPr>
            <b/>
            <sz val="8"/>
            <color indexed="81"/>
            <rFont val="Tahoma"/>
            <family val="2"/>
          </rPr>
          <t xml:space="preserve">
</t>
        </r>
      </text>
    </comment>
    <comment ref="BH17" authorId="7">
      <text>
        <r>
          <rPr>
            <b/>
            <sz val="8"/>
            <color indexed="81"/>
            <rFont val="Tahoma"/>
            <family val="2"/>
          </rPr>
          <t>4Q11 Earnings Release:</t>
        </r>
        <r>
          <rPr>
            <sz val="8"/>
            <color indexed="81"/>
            <rFont val="Tahoma"/>
            <family val="2"/>
          </rPr>
          <t xml:space="preserve">
For the 2011 fourth quarter, REVPAR for worldwide comparable systemwide properties increased 5.9 percent (a 6.3 percent increase using actual dollars).</t>
        </r>
        <r>
          <rPr>
            <sz val="8"/>
            <color indexed="81"/>
            <rFont val="Tahoma"/>
            <family val="2"/>
          </rPr>
          <t xml:space="preserve">
</t>
        </r>
      </text>
    </comment>
    <comment ref="BJ17" authorId="7">
      <text>
        <r>
          <rPr>
            <b/>
            <sz val="8"/>
            <color indexed="81"/>
            <rFont val="Tahoma"/>
            <family val="2"/>
          </rPr>
          <t>1Q12 Earnings Release:</t>
        </r>
        <r>
          <rPr>
            <sz val="8"/>
            <color indexed="81"/>
            <rFont val="Tahoma"/>
            <family val="2"/>
          </rPr>
          <t xml:space="preserve">
For the 2012 first quarter, REVPAR for worldwide comparable systemwide properties increased 6.8 percent (a 6.7 percent increase using actual dollars).</t>
        </r>
      </text>
    </comment>
    <comment ref="BK17" authorId="7">
      <text>
        <r>
          <rPr>
            <b/>
            <sz val="8"/>
            <color indexed="81"/>
            <rFont val="Tahoma"/>
            <family val="2"/>
          </rPr>
          <t>2Q12 Earnings Release:</t>
        </r>
        <r>
          <rPr>
            <sz val="8"/>
            <color indexed="81"/>
            <rFont val="Tahoma"/>
            <family val="2"/>
          </rPr>
          <t xml:space="preserve">
For the 2012 second quarter, REVPAR for worldwide comparable systemwide properties increased 6.7 percent (a 6.2 percent increase using actual dollars).</t>
        </r>
      </text>
    </comment>
    <comment ref="BL17" authorId="7">
      <text>
        <r>
          <rPr>
            <b/>
            <sz val="8"/>
            <color indexed="81"/>
            <rFont val="Tahoma"/>
            <family val="2"/>
          </rPr>
          <t>3Q12 Earnings Release:</t>
        </r>
        <r>
          <rPr>
            <sz val="8"/>
            <color indexed="81"/>
            <rFont val="Tahoma"/>
            <family val="2"/>
          </rPr>
          <t xml:space="preserve">
For the 2012 third quarter, REVPAR for worldwide comparable systemwide properties increased 6.0% (a 4.6% increase using actual dollars)</t>
        </r>
      </text>
    </comment>
    <comment ref="BM17" authorId="7">
      <text>
        <r>
          <rPr>
            <b/>
            <sz val="8"/>
            <color indexed="81"/>
            <rFont val="Tahoma"/>
            <family val="2"/>
          </rPr>
          <t>4Q12 Earnings Release:</t>
        </r>
        <r>
          <rPr>
            <sz val="8"/>
            <color indexed="81"/>
            <rFont val="Tahoma"/>
            <family val="2"/>
          </rPr>
          <t xml:space="preserve">
For the 2012 fourth quarter, REVPAR for worldwide comparable systemwide properties increased 5.2% (a 4.7% increase using actual dollars)</t>
        </r>
      </text>
    </comment>
    <comment ref="BO17" authorId="7">
      <text>
        <r>
          <rPr>
            <b/>
            <sz val="8"/>
            <color indexed="81"/>
            <rFont val="Tahoma"/>
            <family val="2"/>
          </rPr>
          <t>1Q13 Earnings Release:</t>
        </r>
        <r>
          <rPr>
            <sz val="8"/>
            <color indexed="81"/>
            <rFont val="Tahoma"/>
            <family val="2"/>
          </rPr>
          <t xml:space="preserve">
For the 2013 first quarter, REVPAR for worldwide comparable systemwide properties increased 4.6% (a 4.5% increase using actual dollars)</t>
        </r>
      </text>
    </comment>
    <comment ref="BP17" authorId="7">
      <text>
        <r>
          <rPr>
            <b/>
            <sz val="8"/>
            <color indexed="81"/>
            <rFont val="Tahoma"/>
            <family val="2"/>
          </rPr>
          <t>2Q13 Earnings Release:</t>
        </r>
        <r>
          <rPr>
            <sz val="8"/>
            <color indexed="81"/>
            <rFont val="Tahoma"/>
            <family val="2"/>
          </rPr>
          <t xml:space="preserve">
For the 2013 second quarter, REVPAR for worldwide comparable systemwide properties increased 4.7% (a 4.5% increase using actual dollars)</t>
        </r>
      </text>
    </comment>
    <comment ref="BQ17" authorId="7">
      <text>
        <r>
          <rPr>
            <b/>
            <sz val="8"/>
            <color indexed="81"/>
            <rFont val="Tahoma"/>
            <family val="2"/>
          </rPr>
          <t>3Q13 Earnings Release:</t>
        </r>
        <r>
          <rPr>
            <sz val="8"/>
            <color indexed="81"/>
            <rFont val="Tahoma"/>
            <family val="2"/>
          </rPr>
          <t xml:space="preserve">
For the 2013 third quarter, REVPAR for worldwide comparable systemwide properties increased 4.8% (a 4.7% increase using actual dollars)</t>
        </r>
      </text>
    </comment>
    <comment ref="BR17" authorId="7">
      <text>
        <r>
          <rPr>
            <b/>
            <sz val="8"/>
            <color indexed="81"/>
            <rFont val="Tahoma"/>
            <family val="2"/>
          </rPr>
          <t>4Q13 Earnings Release:</t>
        </r>
        <r>
          <rPr>
            <sz val="8"/>
            <color indexed="81"/>
            <rFont val="Tahoma"/>
            <family val="2"/>
          </rPr>
          <t xml:space="preserve">
For the 2013 fourth quarter, REVPAR for worldwide comparable systemwide properties increased 4.3% (a 4.1% increase using actual dollars)</t>
        </r>
      </text>
    </comment>
    <comment ref="BT17" authorId="7">
      <text>
        <r>
          <rPr>
            <b/>
            <sz val="8"/>
            <color indexed="81"/>
            <rFont val="Tahoma"/>
            <family val="2"/>
          </rPr>
          <t>1Q14 Earnings Release:</t>
        </r>
        <r>
          <rPr>
            <sz val="8"/>
            <color indexed="81"/>
            <rFont val="Tahoma"/>
            <family val="2"/>
          </rPr>
          <t xml:space="preserve">
RevPAR for worldwide comparable systemwide properties increased 6.2% (a 5.9% increase using actual dollars)</t>
        </r>
        <r>
          <rPr>
            <sz val="8"/>
            <color indexed="81"/>
            <rFont val="Tahoma"/>
            <family val="2"/>
          </rPr>
          <t xml:space="preserve">
</t>
        </r>
      </text>
    </comment>
    <comment ref="BU17" authorId="7">
      <text>
        <r>
          <rPr>
            <b/>
            <sz val="8"/>
            <color indexed="81"/>
            <rFont val="Tahoma"/>
            <family val="2"/>
          </rPr>
          <t>2Q14 Earnings Release:</t>
        </r>
        <r>
          <rPr>
            <sz val="8"/>
            <color indexed="81"/>
            <rFont val="Tahoma"/>
            <family val="2"/>
          </rPr>
          <t xml:space="preserve">
RevPAR for worldwide comparable systemwide properties increased 5.8% (a 5.9% increase using actual dollars).</t>
        </r>
        <r>
          <rPr>
            <sz val="8"/>
            <color indexed="81"/>
            <rFont val="Tahoma"/>
            <family val="2"/>
          </rPr>
          <t xml:space="preserve">
</t>
        </r>
      </text>
    </comment>
    <comment ref="BV17" authorId="3">
      <text>
        <r>
          <rPr>
            <b/>
            <sz val="9"/>
            <color indexed="81"/>
            <rFont val="Tahoma"/>
            <family val="2"/>
          </rPr>
          <t>3Q14 Earnings Press Release:</t>
        </r>
        <r>
          <rPr>
            <sz val="9"/>
            <color indexed="81"/>
            <rFont val="Tahoma"/>
            <family val="2"/>
          </rPr>
          <t xml:space="preserve"> 
For the 2014 third quarter, RevPAR for worldwide comparable systemwide properties increased 8.1% (an 8.2% increase using actual dollars).</t>
        </r>
      </text>
    </comment>
    <comment ref="BZ17" authorId="7">
      <text>
        <r>
          <rPr>
            <b/>
            <sz val="8"/>
            <color indexed="81"/>
            <rFont val="Tahoma"/>
            <family val="2"/>
          </rPr>
          <t>2Q15 Earnings Release:</t>
        </r>
        <r>
          <rPr>
            <sz val="8"/>
            <color indexed="81"/>
            <rFont val="Tahoma"/>
            <family val="2"/>
          </rPr>
          <t xml:space="preserve">
RevPAR for worldwide comparable systemwide properties increased 5.3% (a 3.1% increase using actual dollars).</t>
        </r>
        <r>
          <rPr>
            <sz val="8"/>
            <color indexed="81"/>
            <rFont val="Tahoma"/>
            <family val="2"/>
          </rPr>
          <t xml:space="preserve">
</t>
        </r>
      </text>
    </comment>
    <comment ref="CA17" authorId="9">
      <text>
        <r>
          <rPr>
            <b/>
            <sz val="9"/>
            <color indexed="81"/>
            <rFont val="Tahoma"/>
            <family val="2"/>
          </rPr>
          <t>3Q15 earnings release:</t>
        </r>
        <r>
          <rPr>
            <sz val="9"/>
            <color indexed="81"/>
            <rFont val="Tahoma"/>
            <family val="2"/>
          </rPr>
          <t xml:space="preserve">
RevPAR for worldwide comparable systemwide properties increased 4.5 % (a 2.2% increase using actual dollars)</t>
        </r>
      </text>
    </comment>
    <comment ref="CD17" authorId="10">
      <text>
        <r>
          <rPr>
            <sz val="9"/>
            <color indexed="81"/>
            <rFont val="Tahoma"/>
            <family val="2"/>
          </rPr>
          <t>For the 2016 first quarter, RevPAR for worldwide comparable systemwide properties increased 2.6 percent (a 1.2 percent increase using actual dollars).</t>
        </r>
      </text>
    </comment>
    <comment ref="CE17" authorId="10">
      <text>
        <r>
          <rPr>
            <sz val="9"/>
            <color indexed="81"/>
            <rFont val="Tahoma"/>
            <family val="2"/>
          </rPr>
          <t>For the 2016 second quarter, RevPAR for worldwide comparable systemwide properties increased 2.9 percent (a 2.3 percent increase using actual dollars).</t>
        </r>
      </text>
    </comment>
    <comment ref="BY59" authorId="3">
      <text>
        <r>
          <rPr>
            <b/>
            <sz val="9"/>
            <color indexed="81"/>
            <rFont val="Tahoma"/>
            <family val="2"/>
          </rPr>
          <t>Chaudhry, Baset A (Research):</t>
        </r>
        <r>
          <rPr>
            <sz val="9"/>
            <color indexed="81"/>
            <rFont val="Tahoma"/>
            <family val="2"/>
          </rPr>
          <t xml:space="preserve">
Toronto RevPAR of $93 in 2014</t>
        </r>
      </text>
    </comment>
    <comment ref="BR64" authorId="1">
      <text>
        <r>
          <rPr>
            <b/>
            <sz val="8"/>
            <color indexed="81"/>
            <rFont val="Tahoma"/>
            <family val="2"/>
          </rPr>
          <t>jills:</t>
        </r>
        <r>
          <rPr>
            <sz val="8"/>
            <color indexed="81"/>
            <rFont val="Tahoma"/>
            <family val="2"/>
          </rPr>
          <t xml:space="preserve">
should benefit from +6% group pace in 4Q</t>
        </r>
      </text>
    </comment>
    <comment ref="BO74" authorId="1">
      <text>
        <r>
          <rPr>
            <b/>
            <sz val="8"/>
            <color indexed="81"/>
            <rFont val="Tahoma"/>
            <family val="2"/>
          </rPr>
          <t>jills:</t>
        </r>
        <r>
          <rPr>
            <sz val="8"/>
            <color indexed="81"/>
            <rFont val="Tahoma"/>
            <family val="2"/>
          </rPr>
          <t xml:space="preserve">
favorable mix of transient room nights and price increases</t>
        </r>
      </text>
    </comment>
    <comment ref="BR109" authorId="11">
      <text>
        <r>
          <rPr>
            <b/>
            <sz val="8"/>
            <color indexed="81"/>
            <rFont val="Tahoma"/>
            <family val="2"/>
          </rPr>
          <t>thallen:</t>
        </r>
        <r>
          <rPr>
            <sz val="8"/>
            <color indexed="81"/>
            <rFont val="Tahoma"/>
            <family val="2"/>
          </rPr>
          <t xml:space="preserve">
Two NY-hotels closed for a month b/c of Sandy in 4Q12</t>
        </r>
      </text>
    </comment>
    <comment ref="BX109" authorId="4">
      <text>
        <r>
          <rPr>
            <b/>
            <sz val="9"/>
            <color indexed="81"/>
            <rFont val="Tahoma"/>
            <family val="2"/>
          </rPr>
          <t>Allen, Thomas (Research):</t>
        </r>
        <r>
          <rPr>
            <sz val="9"/>
            <color indexed="81"/>
            <rFont val="Tahoma"/>
            <family val="2"/>
          </rPr>
          <t xml:space="preserve">
MS 2014 market forecast +7.3%, MAR lags b/c of group exposure and SS</t>
        </r>
      </text>
    </comment>
    <comment ref="CC109" authorId="4">
      <text>
        <r>
          <rPr>
            <b/>
            <sz val="9"/>
            <color indexed="81"/>
            <rFont val="Tahoma"/>
            <family val="2"/>
          </rPr>
          <t>Allen, Thomas (Research):</t>
        </r>
        <r>
          <rPr>
            <sz val="9"/>
            <color indexed="81"/>
            <rFont val="Tahoma"/>
            <family val="2"/>
          </rPr>
          <t xml:space="preserve">
MS 2015 US market forecast +6.8%</t>
        </r>
      </text>
    </comment>
    <comment ref="CE109" authorId="4">
      <text>
        <r>
          <rPr>
            <b/>
            <sz val="9"/>
            <color indexed="81"/>
            <rFont val="Tahoma"/>
            <family val="2"/>
          </rPr>
          <t>Allen, Thomas (Research):</t>
        </r>
        <r>
          <rPr>
            <sz val="9"/>
            <color indexed="81"/>
            <rFont val="Tahoma"/>
            <family val="2"/>
          </rPr>
          <t xml:space="preserve">
Per 1Q, group pace up 7% for rest of the year, esp. strong in 2Q and 3Q</t>
        </r>
      </text>
    </comment>
    <comment ref="CF109" authorId="4">
      <text>
        <r>
          <rPr>
            <b/>
            <sz val="9"/>
            <color indexed="81"/>
            <rFont val="Tahoma"/>
            <family val="2"/>
          </rPr>
          <t>Allen, Thomas (Research):</t>
        </r>
        <r>
          <rPr>
            <sz val="9"/>
            <color indexed="81"/>
            <rFont val="Tahoma"/>
            <family val="2"/>
          </rPr>
          <t xml:space="preserve">
Timing shift with Labor Day and Jewish holidays impacted 3Q15
Per 1Q, group pace up 7% for rest of the year, esp. strong in 2Q and 3Q</t>
        </r>
      </text>
    </comment>
    <comment ref="BM110" authorId="11">
      <text>
        <r>
          <rPr>
            <b/>
            <sz val="8"/>
            <color indexed="81"/>
            <rFont val="Tahoma"/>
            <family val="2"/>
          </rPr>
          <t>thallen:</t>
        </r>
        <r>
          <rPr>
            <sz val="8"/>
            <color indexed="81"/>
            <rFont val="Tahoma"/>
            <family val="2"/>
          </rPr>
          <t xml:space="preserve">
Two NY-hotels closed for a month b/c of Sandy in 4Q12</t>
        </r>
      </text>
    </comment>
    <comment ref="BO110" authorId="1">
      <text>
        <r>
          <rPr>
            <b/>
            <sz val="8"/>
            <color indexed="81"/>
            <rFont val="Tahoma"/>
            <family val="2"/>
          </rPr>
          <t>jills:</t>
        </r>
        <r>
          <rPr>
            <sz val="8"/>
            <color indexed="81"/>
            <rFont val="Tahoma"/>
            <family val="2"/>
          </rPr>
          <t xml:space="preserve">
shrinking govt business impacted 1Q RevPAR by 60-70 bps</t>
        </r>
      </text>
    </comment>
    <comment ref="BQ110" authorId="1">
      <text>
        <r>
          <rPr>
            <b/>
            <sz val="8"/>
            <color indexed="81"/>
            <rFont val="Tahoma"/>
            <family val="2"/>
          </rPr>
          <t>jills:</t>
        </r>
        <r>
          <rPr>
            <sz val="8"/>
            <color indexed="81"/>
            <rFont val="Tahoma"/>
            <family val="2"/>
          </rPr>
          <t xml:space="preserve">
per 3Q13 release, short term group business picked up in NA in 3Q and occ rates reached nearly 75% ww; room rates moved higher, in part due to an improving mix of business, contributing ~75% of RevPAR increase in the quarter</t>
        </r>
      </text>
    </comment>
    <comment ref="BS110" authorId="1">
      <text>
        <r>
          <rPr>
            <b/>
            <sz val="8"/>
            <color indexed="81"/>
            <rFont val="Tahoma"/>
            <family val="2"/>
          </rPr>
          <t>jills:</t>
        </r>
        <r>
          <rPr>
            <sz val="8"/>
            <color indexed="81"/>
            <rFont val="Tahoma"/>
            <family val="2"/>
          </rPr>
          <t xml:space="preserve">
expect continued negative impact from decline in govt group and govt transient volumes</t>
        </r>
      </text>
    </comment>
    <comment ref="BA111" authorId="12">
      <text>
        <r>
          <rPr>
            <sz val="8"/>
            <color indexed="81"/>
            <rFont val="Tahoma"/>
            <family val="2"/>
          </rPr>
          <t xml:space="preserve">As per 1Q10 transcript.
</t>
        </r>
      </text>
    </comment>
    <comment ref="BC111" authorId="12">
      <text>
        <r>
          <rPr>
            <sz val="8"/>
            <color indexed="81"/>
            <rFont val="Tahoma"/>
            <family val="2"/>
          </rPr>
          <t>As per 3Q10 transcript.
(global)</t>
        </r>
      </text>
    </comment>
    <comment ref="BD111" authorId="12">
      <text>
        <r>
          <rPr>
            <sz val="8"/>
            <color indexed="81"/>
            <rFont val="Tahoma"/>
            <family val="2"/>
          </rPr>
          <t xml:space="preserve">As per 1Q10 transcript.
</t>
        </r>
      </text>
    </comment>
    <comment ref="BF111" authorId="12">
      <text>
        <r>
          <rPr>
            <sz val="8"/>
            <color indexed="81"/>
            <rFont val="Tahoma"/>
            <family val="2"/>
          </rPr>
          <t>As per 1Q11 transcript.</t>
        </r>
      </text>
    </comment>
    <comment ref="BG111" authorId="12">
      <text>
        <r>
          <rPr>
            <sz val="8"/>
            <color indexed="81"/>
            <rFont val="Tahoma"/>
            <family val="2"/>
          </rPr>
          <t>As per 2Q11 transcript.</t>
        </r>
      </text>
    </comment>
    <comment ref="BH111" authorId="12">
      <text>
        <r>
          <rPr>
            <sz val="8"/>
            <color indexed="81"/>
            <rFont val="Tahoma"/>
            <family val="2"/>
          </rPr>
          <t>As per 3Q11 transcript.</t>
        </r>
      </text>
    </comment>
    <comment ref="BI111" authorId="12">
      <text>
        <r>
          <rPr>
            <sz val="8"/>
            <color indexed="81"/>
            <rFont val="Tahoma"/>
            <family val="2"/>
          </rPr>
          <t>As per 2Q11 transcript.</t>
        </r>
      </text>
    </comment>
    <comment ref="BJ111" authorId="11">
      <text>
        <r>
          <rPr>
            <sz val="8"/>
            <color indexed="81"/>
            <rFont val="Tahoma"/>
            <family val="2"/>
          </rPr>
          <t xml:space="preserve">Per 4Q11 call
(World-wide).
</t>
        </r>
      </text>
    </comment>
    <comment ref="BM111" authorId="11">
      <text>
        <r>
          <rPr>
            <b/>
            <sz val="8"/>
            <color indexed="81"/>
            <rFont val="Tahoma"/>
            <family val="2"/>
          </rPr>
          <t>thallen:</t>
        </r>
        <r>
          <rPr>
            <sz val="8"/>
            <color indexed="81"/>
            <rFont val="Tahoma"/>
            <family val="2"/>
          </rPr>
          <t xml:space="preserve">
Per 3Q12 call</t>
        </r>
      </text>
    </comment>
    <comment ref="BN111" authorId="12">
      <text>
        <r>
          <rPr>
            <sz val="8"/>
            <color indexed="81"/>
            <rFont val="Tahoma"/>
            <family val="2"/>
          </rPr>
          <t>Per 2Q call
3Q11: 3-7%</t>
        </r>
      </text>
    </comment>
    <comment ref="BO111" authorId="11">
      <text>
        <r>
          <rPr>
            <b/>
            <sz val="8"/>
            <color indexed="81"/>
            <rFont val="Tahoma"/>
            <family val="2"/>
          </rPr>
          <t>thallen:</t>
        </r>
        <r>
          <rPr>
            <sz val="8"/>
            <color indexed="81"/>
            <rFont val="Tahoma"/>
            <family val="2"/>
          </rPr>
          <t xml:space="preserve">
January +8% (~80bps from inauguration)</t>
        </r>
      </text>
    </comment>
    <comment ref="BP111" authorId="1">
      <text>
        <r>
          <rPr>
            <b/>
            <sz val="8"/>
            <color indexed="81"/>
            <rFont val="Tahoma"/>
            <family val="2"/>
          </rPr>
          <t>jills:</t>
        </r>
        <r>
          <rPr>
            <sz val="8"/>
            <color indexed="81"/>
            <rFont val="Tahoma"/>
            <family val="2"/>
          </rPr>
          <t xml:space="preserve">
mgmt expects benefit from Easter shift, strong seasonal occupancy, and further ADR improvement</t>
        </r>
      </text>
    </comment>
    <comment ref="BR111" authorId="1">
      <text>
        <r>
          <rPr>
            <b/>
            <sz val="8"/>
            <color indexed="81"/>
            <rFont val="Tahoma"/>
            <family val="2"/>
          </rPr>
          <t>jills:</t>
        </r>
        <r>
          <rPr>
            <sz val="8"/>
            <color indexed="81"/>
            <rFont val="Tahoma"/>
            <family val="2"/>
          </rPr>
          <t xml:space="preserve">
reflects ~1% RevPAR hit due to the US govt shutdown in October
Holiday shift is favorable with Hanukkah and Christmas falling the same low travel week
4Q group pace is up nearly 7% due to strong short term bookings, per 3Q13 call</t>
        </r>
      </text>
    </comment>
    <comment ref="BS111" authorId="11">
      <text>
        <r>
          <rPr>
            <b/>
            <sz val="8"/>
            <color indexed="81"/>
            <rFont val="Tahoma"/>
            <family val="2"/>
          </rPr>
          <t>thallen:</t>
        </r>
        <r>
          <rPr>
            <sz val="8"/>
            <color indexed="81"/>
            <rFont val="Tahoma"/>
            <family val="2"/>
          </rPr>
          <t xml:space="preserve">
OLD:
3Q12 call 5-7%
4Q12 release 4-7% 
1Q13 release +4.5-7%
2Q13 release +4.5%-6%
no updated guide in 3Q13 release</t>
        </r>
      </text>
    </comment>
    <comment ref="BV111" authorId="3">
      <text>
        <r>
          <rPr>
            <sz val="9"/>
            <color indexed="81"/>
            <rFont val="Tahoma"/>
            <family val="2"/>
          </rPr>
          <t>8K 2Q14</t>
        </r>
      </text>
    </comment>
    <comment ref="BW111" authorId="3">
      <text>
        <r>
          <rPr>
            <sz val="9"/>
            <color indexed="81"/>
            <rFont val="Tahoma"/>
            <family val="2"/>
          </rPr>
          <t>8K 3Q14</t>
        </r>
      </text>
    </comment>
    <comment ref="BX111" authorId="1">
      <text>
        <r>
          <rPr>
            <sz val="8"/>
            <color indexed="81"/>
            <rFont val="Tahoma"/>
            <family val="2"/>
          </rPr>
          <t>Guidance:
(2Q14): +5-7%
(1Q14): +4.5-6.5%
(4Q13): +4-6%
guidance per 3Q13: +4-6%</t>
        </r>
      </text>
    </comment>
    <comment ref="CA111" authorId="3">
      <text>
        <r>
          <rPr>
            <b/>
            <sz val="9"/>
            <color indexed="81"/>
            <rFont val="Tahoma"/>
            <family val="2"/>
          </rPr>
          <t>Chaudhry, Baset A (Research):</t>
        </r>
        <r>
          <rPr>
            <sz val="9"/>
            <color indexed="81"/>
            <rFont val="Tahoma"/>
            <family val="2"/>
          </rPr>
          <t xml:space="preserve">
Per 2Q15</t>
        </r>
      </text>
    </comment>
    <comment ref="CB111" authorId="9">
      <text>
        <r>
          <rPr>
            <sz val="9"/>
            <color indexed="81"/>
            <rFont val="Tahoma"/>
            <family val="2"/>
          </rPr>
          <t xml:space="preserve">Per 3Q15
</t>
        </r>
      </text>
    </comment>
    <comment ref="CC111" authorId="1">
      <text>
        <r>
          <rPr>
            <b/>
            <sz val="8"/>
            <color indexed="81"/>
            <rFont val="Tahoma"/>
            <family val="2"/>
          </rPr>
          <t xml:space="preserve">Guidance:
</t>
        </r>
        <r>
          <rPr>
            <sz val="8"/>
            <color indexed="81"/>
            <rFont val="Tahoma"/>
            <family val="2"/>
          </rPr>
          <t>2Q15: +5.5-6.5%</t>
        </r>
        <r>
          <rPr>
            <b/>
            <sz val="8"/>
            <color indexed="81"/>
            <rFont val="Tahoma"/>
            <family val="2"/>
          </rPr>
          <t xml:space="preserve">
</t>
        </r>
        <r>
          <rPr>
            <sz val="8"/>
            <color indexed="81"/>
            <rFont val="Tahoma"/>
            <family val="2"/>
          </rPr>
          <t xml:space="preserve">1Q15: +5-7%
4Q14: +5-7%
3Q14: +5-7%
</t>
        </r>
      </text>
    </comment>
    <comment ref="CD111" authorId="5">
      <text>
        <r>
          <rPr>
            <b/>
            <sz val="9"/>
            <color indexed="81"/>
            <rFont val="Tahoma"/>
            <family val="2"/>
          </rPr>
          <t>Savino, Mark (Research):</t>
        </r>
        <r>
          <rPr>
            <sz val="9"/>
            <color indexed="81"/>
            <rFont val="Tahoma"/>
            <family val="2"/>
          </rPr>
          <t xml:space="preserve">
3/21/16: Reiterated 2-4%, through Feb tracking up 3.5% (3.4% in NA, 3.9% outside NA)</t>
        </r>
      </text>
    </comment>
    <comment ref="CG111" authorId="5">
      <text>
        <r>
          <rPr>
            <b/>
            <sz val="9"/>
            <color indexed="81"/>
            <rFont val="Tahoma"/>
            <family val="2"/>
          </rPr>
          <t>Savino, Mark (Research):</t>
        </r>
        <r>
          <rPr>
            <sz val="9"/>
            <color indexed="81"/>
            <rFont val="Tahoma"/>
            <family val="2"/>
          </rPr>
          <t xml:space="preserve">
3Q16: 0-1%
2Q16: 1-3%</t>
        </r>
      </text>
    </comment>
    <comment ref="CH111" authorId="9">
      <text>
        <r>
          <rPr>
            <b/>
            <sz val="9"/>
            <color indexed="81"/>
            <rFont val="Tahoma"/>
            <family val="2"/>
          </rPr>
          <t xml:space="preserve">Gudiance:
</t>
        </r>
        <r>
          <rPr>
            <sz val="9"/>
            <color indexed="81"/>
            <rFont val="Tahoma"/>
            <family val="2"/>
          </rPr>
          <t>2Q16: Approx: 3%</t>
        </r>
        <r>
          <rPr>
            <b/>
            <sz val="9"/>
            <color indexed="81"/>
            <rFont val="Tahoma"/>
            <family val="2"/>
          </rPr>
          <t xml:space="preserve">
</t>
        </r>
        <r>
          <rPr>
            <sz val="9"/>
            <color indexed="81"/>
            <rFont val="Tahoma"/>
            <family val="2"/>
          </rPr>
          <t>3/21/16: Reiterated 3-5%, but likely toward the upper end 
1Q16: 3-5%</t>
        </r>
        <r>
          <rPr>
            <b/>
            <sz val="9"/>
            <color indexed="81"/>
            <rFont val="Tahoma"/>
            <family val="2"/>
          </rPr>
          <t xml:space="preserve">
</t>
        </r>
        <r>
          <rPr>
            <sz val="9"/>
            <color indexed="81"/>
            <rFont val="Tahoma"/>
            <family val="2"/>
          </rPr>
          <t>4Q15: 3-5%</t>
        </r>
        <r>
          <rPr>
            <b/>
            <sz val="9"/>
            <color indexed="81"/>
            <rFont val="Tahoma"/>
            <family val="2"/>
          </rPr>
          <t xml:space="preserve">
</t>
        </r>
        <r>
          <rPr>
            <sz val="9"/>
            <color indexed="81"/>
            <rFont val="Tahoma"/>
            <family val="2"/>
          </rPr>
          <t xml:space="preserve">3Q15: 4-6%
</t>
        </r>
      </text>
    </comment>
    <comment ref="CJ114" authorId="5">
      <text>
        <r>
          <rPr>
            <b/>
            <sz val="9"/>
            <color indexed="81"/>
            <rFont val="Tahoma"/>
            <family val="2"/>
          </rPr>
          <t>Savino, Mark (Research):</t>
        </r>
        <r>
          <rPr>
            <sz val="9"/>
            <color indexed="81"/>
            <rFont val="Tahoma"/>
            <family val="2"/>
          </rPr>
          <t xml:space="preserve">
Headwind from Easter shifting back into April vs. March last year</t>
        </r>
      </text>
    </comment>
    <comment ref="CK114" authorId="5">
      <text>
        <r>
          <rPr>
            <b/>
            <sz val="9"/>
            <color indexed="81"/>
            <rFont val="Tahoma"/>
            <family val="2"/>
          </rPr>
          <t>Savino, Mark (Research):</t>
        </r>
        <r>
          <rPr>
            <sz val="9"/>
            <color indexed="81"/>
            <rFont val="Tahoma"/>
            <family val="2"/>
          </rPr>
          <t xml:space="preserve">
Headwind from Jewish holidays (100bps) shifting back into September vs. October last year, hurricanes benefitted qtr by 25bps</t>
        </r>
      </text>
    </comment>
    <comment ref="CL114" authorId="5">
      <text>
        <r>
          <rPr>
            <b/>
            <sz val="9"/>
            <color indexed="81"/>
            <rFont val="Tahoma"/>
            <family val="2"/>
          </rPr>
          <t>Savino, Mark (Research):</t>
        </r>
        <r>
          <rPr>
            <sz val="9"/>
            <color indexed="81"/>
            <rFont val="Tahoma"/>
            <family val="2"/>
          </rPr>
          <t xml:space="preserve">
Benefit of Jewish holidays shifting back into October vs. September last year</t>
        </r>
      </text>
    </comment>
    <comment ref="CP114" authorId="4">
      <text>
        <r>
          <rPr>
            <b/>
            <sz val="9"/>
            <color indexed="81"/>
            <rFont val="Tahoma"/>
            <family val="2"/>
          </rPr>
          <t>Allen, Thomas (Research):</t>
        </r>
        <r>
          <rPr>
            <sz val="9"/>
            <color indexed="81"/>
            <rFont val="Tahoma"/>
            <family val="2"/>
          </rPr>
          <t xml:space="preserve">
3Q17 benefitted by 25bps from hurricanes</t>
        </r>
      </text>
    </comment>
    <comment ref="CQ114" authorId="4">
      <text>
        <r>
          <rPr>
            <b/>
            <sz val="9"/>
            <color indexed="81"/>
            <rFont val="Tahoma"/>
            <family val="2"/>
          </rPr>
          <t>Allen, Thomas (Research):</t>
        </r>
        <r>
          <rPr>
            <sz val="9"/>
            <color indexed="81"/>
            <rFont val="Tahoma"/>
            <family val="2"/>
          </rPr>
          <t xml:space="preserve">
4Q17 benefitted 1.5% from hurricane displacement and holiday shift (but holiday shift is even this year)</t>
        </r>
      </text>
    </comment>
    <comment ref="CR114" authorId="2">
      <text>
        <r>
          <rPr>
            <b/>
            <sz val="9"/>
            <color indexed="81"/>
            <rFont val="Tahoma"/>
            <family val="2"/>
          </rPr>
          <t>Zheng, Chaodan (Research):</t>
        </r>
        <r>
          <rPr>
            <sz val="9"/>
            <color indexed="81"/>
            <rFont val="Tahoma"/>
            <family val="2"/>
          </rPr>
          <t xml:space="preserve">
MS US RevPAR +2.8%
MAR should underperform b/c non-comp but outperform peers b/c of RevPAR Index gains</t>
        </r>
      </text>
    </comment>
    <comment ref="CS114" authorId="2">
      <text>
        <r>
          <rPr>
            <b/>
            <sz val="9"/>
            <color indexed="81"/>
            <rFont val="Tahoma"/>
            <family val="2"/>
          </rPr>
          <t>Zheng, Chaodan (Research):</t>
        </r>
        <r>
          <rPr>
            <sz val="9"/>
            <color indexed="81"/>
            <rFont val="Tahoma"/>
            <family val="2"/>
          </rPr>
          <t xml:space="preserve">
MS US RevPAR 1.7%</t>
        </r>
      </text>
    </comment>
    <comment ref="CI115" authorId="5">
      <text>
        <r>
          <rPr>
            <b/>
            <sz val="9"/>
            <color indexed="81"/>
            <rFont val="Tahoma"/>
            <family val="2"/>
          </rPr>
          <t>Savino, Mark (Research):</t>
        </r>
        <r>
          <rPr>
            <sz val="9"/>
            <color indexed="81"/>
            <rFont val="Tahoma"/>
            <family val="2"/>
          </rPr>
          <t xml:space="preserve">
4Q16: 1-3%
Benefit of Easter shifting back into March vs. April last year, and includes benefit from Inauguration in DC</t>
        </r>
      </text>
    </comment>
    <comment ref="CL115" authorId="5">
      <text>
        <r>
          <rPr>
            <b/>
            <sz val="9"/>
            <color indexed="81"/>
            <rFont val="Tahoma"/>
            <family val="2"/>
          </rPr>
          <t>Savino, Mark (Research):</t>
        </r>
        <r>
          <rPr>
            <sz val="9"/>
            <color indexed="81"/>
            <rFont val="Tahoma"/>
            <family val="2"/>
          </rPr>
          <t xml:space="preserve">
3Q17: 2-3%
2Q17: 1-3%</t>
        </r>
      </text>
    </comment>
    <comment ref="CM115" authorId="4">
      <text>
        <r>
          <rPr>
            <b/>
            <sz val="9"/>
            <color indexed="81"/>
            <rFont val="Tahoma"/>
            <family val="2"/>
          </rPr>
          <t>Allen, Thomas (Research):</t>
        </r>
        <r>
          <rPr>
            <sz val="9"/>
            <color indexed="81"/>
            <rFont val="Tahoma"/>
            <family val="2"/>
          </rPr>
          <t xml:space="preserve">
3Q17: 1-2%
2Q17: 1-2%
1Q17: 1-3%
4Q16: 0-2%, group pace +3%
3Q16: 0-2%, group pace +2%
MSe +1.7% in 2017
</t>
        </r>
      </text>
    </comment>
    <comment ref="CR115" authorId="4">
      <text>
        <r>
          <rPr>
            <b/>
            <sz val="9"/>
            <color indexed="81"/>
            <rFont val="Tahoma"/>
            <family val="2"/>
          </rPr>
          <t>Allen, Thomas (Research):</t>
        </r>
        <r>
          <rPr>
            <sz val="9"/>
            <color indexed="81"/>
            <rFont val="Tahoma"/>
            <family val="2"/>
          </rPr>
          <t xml:space="preserve">
4Q17: 1-2%
3Q17: 0-2%
</t>
        </r>
      </text>
    </comment>
    <comment ref="BH119" authorId="0">
      <text>
        <r>
          <rPr>
            <b/>
            <sz val="8"/>
            <color indexed="81"/>
            <rFont val="Tahoma"/>
            <family val="2"/>
          </rPr>
          <t>stramark:</t>
        </r>
        <r>
          <rPr>
            <sz val="8"/>
            <color indexed="81"/>
            <rFont val="Tahoma"/>
            <family val="2"/>
          </rPr>
          <t xml:space="preserve">
Comparable systemwide</t>
        </r>
      </text>
    </comment>
    <comment ref="BJ119" authorId="0">
      <text>
        <r>
          <rPr>
            <b/>
            <sz val="8"/>
            <color indexed="81"/>
            <rFont val="Tahoma"/>
            <family val="2"/>
          </rPr>
          <t>stramark:</t>
        </r>
        <r>
          <rPr>
            <sz val="8"/>
            <color indexed="81"/>
            <rFont val="Tahoma"/>
            <family val="2"/>
          </rPr>
          <t xml:space="preserve">
Comparable systemwide</t>
        </r>
      </text>
    </comment>
    <comment ref="BK119" authorId="0">
      <text>
        <r>
          <rPr>
            <b/>
            <sz val="8"/>
            <color indexed="81"/>
            <rFont val="Tahoma"/>
            <family val="2"/>
          </rPr>
          <t>stramark:</t>
        </r>
        <r>
          <rPr>
            <sz val="8"/>
            <color indexed="81"/>
            <rFont val="Tahoma"/>
            <family val="2"/>
          </rPr>
          <t xml:space="preserve">
Comparable systemwide</t>
        </r>
      </text>
    </comment>
    <comment ref="BL119" authorId="0">
      <text>
        <r>
          <rPr>
            <b/>
            <sz val="8"/>
            <color indexed="81"/>
            <rFont val="Tahoma"/>
            <family val="2"/>
          </rPr>
          <t>stramark:</t>
        </r>
        <r>
          <rPr>
            <sz val="8"/>
            <color indexed="81"/>
            <rFont val="Tahoma"/>
            <family val="2"/>
          </rPr>
          <t xml:space="preserve">
Comparable systemwide</t>
        </r>
      </text>
    </comment>
    <comment ref="BW120" authorId="4">
      <text>
        <r>
          <rPr>
            <b/>
            <sz val="9"/>
            <color indexed="81"/>
            <rFont val="Tahoma"/>
            <family val="2"/>
          </rPr>
          <t>Allen, Thomas (Research):</t>
        </r>
        <r>
          <rPr>
            <sz val="9"/>
            <color indexed="81"/>
            <rFont val="Tahoma"/>
            <family val="2"/>
          </rPr>
          <t xml:space="preserve">
Underperform given timing of holidays and group impact</t>
        </r>
      </text>
    </comment>
    <comment ref="BW123" authorId="4">
      <text>
        <r>
          <rPr>
            <b/>
            <sz val="9"/>
            <color indexed="81"/>
            <rFont val="Tahoma"/>
            <family val="2"/>
          </rPr>
          <t>Allen, Thomas (Research):</t>
        </r>
        <r>
          <rPr>
            <sz val="9"/>
            <color indexed="81"/>
            <rFont val="Tahoma"/>
            <family val="2"/>
          </rPr>
          <t xml:space="preserve">
Underperform given timing of holidays and group impact</t>
        </r>
      </text>
    </comment>
    <comment ref="BX138" authorId="1">
      <text>
        <r>
          <rPr>
            <b/>
            <sz val="8"/>
            <color indexed="81"/>
            <rFont val="Tahoma"/>
            <family val="2"/>
          </rPr>
          <t>jills:</t>
        </r>
        <r>
          <rPr>
            <sz val="8"/>
            <color indexed="81"/>
            <rFont val="Tahoma"/>
            <family val="2"/>
          </rPr>
          <t xml:space="preserve">
expect upper midscale to underperform industry</t>
        </r>
      </text>
    </comment>
    <comment ref="BX141" authorId="1">
      <text>
        <r>
          <rPr>
            <b/>
            <sz val="8"/>
            <color indexed="81"/>
            <rFont val="Tahoma"/>
            <family val="2"/>
          </rPr>
          <t>jills:</t>
        </r>
        <r>
          <rPr>
            <sz val="8"/>
            <color indexed="81"/>
            <rFont val="Tahoma"/>
            <family val="2"/>
          </rPr>
          <t xml:space="preserve">
expect upper midscale to underperform industry</t>
        </r>
      </text>
    </comment>
    <comment ref="BH169" authorId="0">
      <text>
        <r>
          <rPr>
            <b/>
            <sz val="8"/>
            <color indexed="81"/>
            <rFont val="Tahoma"/>
            <family val="2"/>
          </rPr>
          <t>stramark:</t>
        </r>
        <r>
          <rPr>
            <sz val="8"/>
            <color indexed="81"/>
            <rFont val="Tahoma"/>
            <family val="2"/>
          </rPr>
          <t xml:space="preserve">
Comparable systemwide</t>
        </r>
      </text>
    </comment>
    <comment ref="BJ169" authorId="0">
      <text>
        <r>
          <rPr>
            <b/>
            <sz val="8"/>
            <color indexed="81"/>
            <rFont val="Tahoma"/>
            <family val="2"/>
          </rPr>
          <t>stramark:</t>
        </r>
        <r>
          <rPr>
            <sz val="8"/>
            <color indexed="81"/>
            <rFont val="Tahoma"/>
            <family val="2"/>
          </rPr>
          <t xml:space="preserve">
Comparable systemwide</t>
        </r>
      </text>
    </comment>
    <comment ref="BK169" authorId="0">
      <text>
        <r>
          <rPr>
            <b/>
            <sz val="8"/>
            <color indexed="81"/>
            <rFont val="Tahoma"/>
            <family val="2"/>
          </rPr>
          <t>stramark:</t>
        </r>
        <r>
          <rPr>
            <sz val="8"/>
            <color indexed="81"/>
            <rFont val="Tahoma"/>
            <family val="2"/>
          </rPr>
          <t xml:space="preserve">
Comparable systemwide</t>
        </r>
      </text>
    </comment>
    <comment ref="BL169" authorId="0">
      <text>
        <r>
          <rPr>
            <b/>
            <sz val="8"/>
            <color indexed="81"/>
            <rFont val="Tahoma"/>
            <family val="2"/>
          </rPr>
          <t>stramark:</t>
        </r>
        <r>
          <rPr>
            <sz val="8"/>
            <color indexed="81"/>
            <rFont val="Tahoma"/>
            <family val="2"/>
          </rPr>
          <t xml:space="preserve">
Comparable systemwide</t>
        </r>
      </text>
    </comment>
    <comment ref="CC170" authorId="4">
      <text>
        <r>
          <rPr>
            <b/>
            <sz val="9"/>
            <color indexed="81"/>
            <rFont val="Tahoma"/>
            <family val="2"/>
          </rPr>
          <t>Allen, Thomas (Research):</t>
        </r>
        <r>
          <rPr>
            <sz val="9"/>
            <color indexed="81"/>
            <rFont val="Tahoma"/>
            <family val="2"/>
          </rPr>
          <t xml:space="preserve">
Catch-up from "group" biz</t>
        </r>
      </text>
    </comment>
    <comment ref="BX191" authorId="1">
      <text>
        <r>
          <rPr>
            <b/>
            <sz val="8"/>
            <color indexed="81"/>
            <rFont val="Tahoma"/>
            <family val="2"/>
          </rPr>
          <t>jills:</t>
        </r>
        <r>
          <rPr>
            <sz val="8"/>
            <color indexed="81"/>
            <rFont val="Tahoma"/>
            <family val="2"/>
          </rPr>
          <t xml:space="preserve">
expect upper midscale to underperform industry</t>
        </r>
      </text>
    </comment>
    <comment ref="BX194" authorId="1">
      <text>
        <r>
          <rPr>
            <b/>
            <sz val="8"/>
            <color indexed="81"/>
            <rFont val="Tahoma"/>
            <family val="2"/>
          </rPr>
          <t>jills:</t>
        </r>
        <r>
          <rPr>
            <sz val="8"/>
            <color indexed="81"/>
            <rFont val="Tahoma"/>
            <family val="2"/>
          </rPr>
          <t xml:space="preserve">
expect upper midscale to underperform industry</t>
        </r>
      </text>
    </comment>
    <comment ref="BX215" authorId="1">
      <text>
        <r>
          <rPr>
            <b/>
            <sz val="8"/>
            <color indexed="81"/>
            <rFont val="Tahoma"/>
            <family val="2"/>
          </rPr>
          <t>jills:</t>
        </r>
        <r>
          <rPr>
            <sz val="8"/>
            <color indexed="81"/>
            <rFont val="Tahoma"/>
            <family val="2"/>
          </rPr>
          <t xml:space="preserve">
per 3Q13 call, 2014 RevPAR to be largely ADR driven</t>
        </r>
      </text>
    </comment>
    <comment ref="BM223" authorId="11">
      <text>
        <r>
          <rPr>
            <b/>
            <sz val="8"/>
            <color indexed="81"/>
            <rFont val="Tahoma"/>
            <family val="2"/>
          </rPr>
          <t>thallen:</t>
        </r>
        <r>
          <rPr>
            <sz val="8"/>
            <color indexed="81"/>
            <rFont val="Tahoma"/>
            <family val="2"/>
          </rPr>
          <t xml:space="preserve">
Guidance: 4Q seasonally slow, modest leisure demand. Slow group bookings this year too</t>
        </r>
      </text>
    </comment>
    <comment ref="BN223" authorId="1">
      <text>
        <r>
          <rPr>
            <b/>
            <sz val="8"/>
            <color indexed="81"/>
            <rFont val="Tahoma"/>
            <family val="2"/>
          </rPr>
          <t>jills:</t>
        </r>
        <r>
          <rPr>
            <sz val="8"/>
            <color indexed="81"/>
            <rFont val="Tahoma"/>
            <family val="2"/>
          </rPr>
          <t xml:space="preserve">
represented 5% of total fees in 2012</t>
        </r>
      </text>
    </comment>
    <comment ref="BO223" authorId="11">
      <text>
        <r>
          <rPr>
            <b/>
            <sz val="8"/>
            <color indexed="81"/>
            <rFont val="Tahoma"/>
            <family val="2"/>
          </rPr>
          <t>thallen:</t>
        </r>
        <r>
          <rPr>
            <sz val="8"/>
            <color indexed="81"/>
            <rFont val="Tahoma"/>
            <family val="2"/>
          </rPr>
          <t xml:space="preserve">
Guidance: Mid-single digit growth</t>
        </r>
      </text>
    </comment>
    <comment ref="BP223" authorId="1">
      <text>
        <r>
          <rPr>
            <b/>
            <sz val="8"/>
            <color indexed="81"/>
            <rFont val="Tahoma"/>
            <family val="2"/>
          </rPr>
          <t>jills:</t>
        </r>
        <r>
          <rPr>
            <sz val="8"/>
            <color indexed="81"/>
            <rFont val="Tahoma"/>
            <family val="2"/>
          </rPr>
          <t xml:space="preserve">
per 1Q13 call, low single digit rate</t>
        </r>
      </text>
    </comment>
    <comment ref="BQ223" authorId="1">
      <text>
        <r>
          <rPr>
            <b/>
            <sz val="8"/>
            <color indexed="81"/>
            <rFont val="Tahoma"/>
            <family val="2"/>
          </rPr>
          <t>jills:</t>
        </r>
        <r>
          <rPr>
            <sz val="8"/>
            <color indexed="81"/>
            <rFont val="Tahoma"/>
            <family val="2"/>
          </rPr>
          <t xml:space="preserve">
3Q results driven by favorable leisure demand</t>
        </r>
      </text>
    </comment>
    <comment ref="BR223" authorId="1">
      <text>
        <r>
          <rPr>
            <b/>
            <sz val="8"/>
            <color indexed="81"/>
            <rFont val="Tahoma"/>
            <family val="2"/>
          </rPr>
          <t>jills:</t>
        </r>
        <r>
          <rPr>
            <sz val="8"/>
            <color indexed="81"/>
            <rFont val="Tahoma"/>
            <family val="2"/>
          </rPr>
          <t xml:space="preserve">
continued strong leisure demand should drive mid single digit rate</t>
        </r>
      </text>
    </comment>
    <comment ref="BS223" authorId="11">
      <text>
        <r>
          <rPr>
            <b/>
            <sz val="8"/>
            <color indexed="81"/>
            <rFont val="Tahoma"/>
            <family val="2"/>
          </rPr>
          <t>thallen:</t>
        </r>
        <r>
          <rPr>
            <sz val="8"/>
            <color indexed="81"/>
            <rFont val="Tahoma"/>
            <family val="2"/>
          </rPr>
          <t xml:space="preserve">
Guidance (from 4Q12 call): Mid- to high-single digit growth. More bullish than October, demand strengthen in Mexico and Carribean
OLD:
(from 3Q12 call): up mid-single digits, benefiting from newly renovated hotel in Sao Paolo </t>
        </r>
      </text>
    </comment>
    <comment ref="BT223" authorId="5">
      <text>
        <r>
          <rPr>
            <b/>
            <sz val="9"/>
            <color indexed="81"/>
            <rFont val="Tahoma"/>
            <family val="2"/>
          </rPr>
          <t>Savino, Mark (Research):</t>
        </r>
        <r>
          <rPr>
            <sz val="9"/>
            <color indexed="81"/>
            <rFont val="Tahoma"/>
            <family val="2"/>
          </rPr>
          <t xml:space="preserve">
Strong demand combined with cold winter in the US</t>
        </r>
      </text>
    </comment>
    <comment ref="BW223" authorId="3">
      <text>
        <r>
          <rPr>
            <b/>
            <sz val="9"/>
            <color indexed="81"/>
            <rFont val="Tahoma"/>
            <family val="2"/>
          </rPr>
          <t>3Q14:</t>
        </r>
        <r>
          <rPr>
            <sz val="9"/>
            <color indexed="81"/>
            <rFont val="Tahoma"/>
            <family val="2"/>
          </rPr>
          <t xml:space="preserve">
Low single digit (Mexico strong but Central America to suffer from oversupply and Brazil weak)</t>
        </r>
      </text>
    </comment>
    <comment ref="BX223" authorId="1">
      <text>
        <r>
          <rPr>
            <sz val="8"/>
            <color indexed="81"/>
            <rFont val="Tahoma"/>
            <family val="2"/>
          </rPr>
          <t>2Q14 guidance: High single-digit excluding Venezuela
4Q13 guidance: High single-digit
mid single digit rate per 3Q13 call; groups returning to Cancun, strong leisure at Caribbean resorts and World Cup in Brazil; represented 5% of total fees in 2012</t>
        </r>
      </text>
    </comment>
    <comment ref="CA223" authorId="4">
      <text>
        <r>
          <rPr>
            <b/>
            <sz val="9"/>
            <color indexed="81"/>
            <rFont val="Tahoma"/>
            <family val="2"/>
          </rPr>
          <t>Allen, Thomas (Research):</t>
        </r>
        <r>
          <rPr>
            <sz val="9"/>
            <color indexed="81"/>
            <rFont val="Tahoma"/>
            <family val="2"/>
          </rPr>
          <t xml:space="preserve">
Tough comp w/ World Cup</t>
        </r>
      </text>
    </comment>
    <comment ref="CC223" authorId="3">
      <text>
        <r>
          <rPr>
            <b/>
            <sz val="9"/>
            <color indexed="81"/>
            <rFont val="Tahoma"/>
            <family val="2"/>
          </rPr>
          <t xml:space="preserve">Guidance
</t>
        </r>
        <r>
          <rPr>
            <sz val="9"/>
            <color indexed="81"/>
            <rFont val="Tahoma"/>
            <family val="2"/>
          </rPr>
          <t>2Q15: mid-single digits</t>
        </r>
        <r>
          <rPr>
            <b/>
            <sz val="9"/>
            <color indexed="81"/>
            <rFont val="Tahoma"/>
            <family val="2"/>
          </rPr>
          <t xml:space="preserve">
</t>
        </r>
        <r>
          <rPr>
            <sz val="9"/>
            <color indexed="81"/>
            <rFont val="Tahoma"/>
            <family val="2"/>
          </rPr>
          <t>1Q15: mid-single digits
4Q14: mid-single digits</t>
        </r>
      </text>
    </comment>
    <comment ref="CE223" authorId="4">
      <text>
        <r>
          <rPr>
            <b/>
            <sz val="9"/>
            <color indexed="81"/>
            <rFont val="Tahoma"/>
            <family val="2"/>
          </rPr>
          <t>Allen, Thomas (Research):</t>
        </r>
        <r>
          <rPr>
            <sz val="9"/>
            <color indexed="81"/>
            <rFont val="Tahoma"/>
            <family val="2"/>
          </rPr>
          <t xml:space="preserve">
Zika having a more negative impact vs. 1Q</t>
        </r>
      </text>
    </comment>
    <comment ref="CF223" authorId="4">
      <text>
        <r>
          <rPr>
            <b/>
            <sz val="9"/>
            <color indexed="81"/>
            <rFont val="Tahoma"/>
            <family val="2"/>
          </rPr>
          <t>Allen, Thomas (Research):</t>
        </r>
        <r>
          <rPr>
            <sz val="9"/>
            <color indexed="81"/>
            <rFont val="Tahoma"/>
            <family val="2"/>
          </rPr>
          <t xml:space="preserve">
WC in Brazil should help</t>
        </r>
      </text>
    </comment>
    <comment ref="CG223" authorId="4">
      <text>
        <r>
          <rPr>
            <b/>
            <sz val="9"/>
            <color indexed="81"/>
            <rFont val="Tahoma"/>
            <family val="2"/>
          </rPr>
          <t>Allen, Thomas (Research):</t>
        </r>
        <r>
          <rPr>
            <sz val="9"/>
            <color indexed="81"/>
            <rFont val="Tahoma"/>
            <family val="2"/>
          </rPr>
          <t xml:space="preserve">
3Q16: Mgmt guided to flattish growth, still negatively impacted by Zika</t>
        </r>
      </text>
    </comment>
    <comment ref="CH223" authorId="3">
      <text>
        <r>
          <rPr>
            <b/>
            <sz val="9"/>
            <color indexed="81"/>
            <rFont val="Tahoma"/>
            <family val="2"/>
          </rPr>
          <t xml:space="preserve">3Q15:
</t>
        </r>
        <r>
          <rPr>
            <sz val="9"/>
            <color indexed="81"/>
            <rFont val="Tahoma"/>
            <family val="2"/>
          </rPr>
          <t xml:space="preserve">Mid single digit
</t>
        </r>
      </text>
    </comment>
    <comment ref="CK223" authorId="5">
      <text>
        <r>
          <rPr>
            <b/>
            <sz val="9"/>
            <color indexed="81"/>
            <rFont val="Tahoma"/>
            <family val="2"/>
          </rPr>
          <t>Savino, Mark (Research):</t>
        </r>
        <r>
          <rPr>
            <sz val="9"/>
            <color indexed="81"/>
            <rFont val="Tahoma"/>
            <family val="2"/>
          </rPr>
          <t xml:space="preserve">
3Q17: excluding 18 hotels from the Caribbean in comp set (8 hotels taking only a few guests, 10 properties closed). RevPAR for revised comp set is +2% due to solid RevPAR growth in Central America and better demand in Argentina
Caribbean and LatAm region experienced 2 major earthquakes, 3 tropical storms and 4 hurricanes. The Virgin Islands and PR were particularly hard hit
2Q17: Up LSD
Lapping Olympics</t>
        </r>
      </text>
    </comment>
    <comment ref="CL223" authorId="5">
      <text>
        <r>
          <rPr>
            <b/>
            <sz val="9"/>
            <color indexed="81"/>
            <rFont val="Tahoma"/>
            <family val="2"/>
          </rPr>
          <t>Savino, Mark (Research):</t>
        </r>
        <r>
          <rPr>
            <sz val="9"/>
            <color indexed="81"/>
            <rFont val="Tahoma"/>
            <family val="2"/>
          </rPr>
          <t xml:space="preserve">
2Q17: Up LSD</t>
        </r>
      </text>
    </comment>
    <comment ref="CM223" authorId="4">
      <text>
        <r>
          <rPr>
            <b/>
            <sz val="9"/>
            <color indexed="81"/>
            <rFont val="Tahoma"/>
            <family val="2"/>
          </rPr>
          <t>Allen, Thomas (Research):</t>
        </r>
        <r>
          <rPr>
            <sz val="9"/>
            <color indexed="81"/>
            <rFont val="Tahoma"/>
            <family val="2"/>
          </rPr>
          <t xml:space="preserve">
4Q16: LSD
3Q16: 0-2%
4% of 2015 fees</t>
        </r>
      </text>
    </comment>
    <comment ref="CN223" authorId="4">
      <text>
        <r>
          <rPr>
            <b/>
            <sz val="9"/>
            <color indexed="81"/>
            <rFont val="Tahoma"/>
            <family val="2"/>
          </rPr>
          <t>Allen, Thomas (Research):</t>
        </r>
        <r>
          <rPr>
            <sz val="9"/>
            <color indexed="81"/>
            <rFont val="Tahoma"/>
            <family val="2"/>
          </rPr>
          <t xml:space="preserve">
4Q17: MSD</t>
        </r>
      </text>
    </comment>
    <comment ref="CR223" authorId="2">
      <text>
        <r>
          <rPr>
            <b/>
            <sz val="9"/>
            <color indexed="81"/>
            <rFont val="Tahoma"/>
            <family val="2"/>
          </rPr>
          <t>Zheng, Chaodan (Research):</t>
        </r>
        <r>
          <rPr>
            <sz val="9"/>
            <color indexed="81"/>
            <rFont val="Tahoma"/>
            <family val="2"/>
          </rPr>
          <t xml:space="preserve">
4Q17: LSD
3Q17: LSD</t>
        </r>
      </text>
    </comment>
    <comment ref="R224" authorId="6">
      <text>
        <r>
          <rPr>
            <sz val="8"/>
            <color indexed="81"/>
            <rFont val="Tahoma"/>
            <family val="2"/>
          </rPr>
          <t xml:space="preserve">12 Weeks Ended June 20, 2003 </t>
        </r>
      </text>
    </comment>
    <comment ref="S224" authorId="6">
      <text>
        <r>
          <rPr>
            <sz val="8"/>
            <color indexed="81"/>
            <rFont val="Tahoma"/>
            <family val="2"/>
          </rPr>
          <t xml:space="preserve">12 Weeks Ended Sept. 12, 2003 </t>
        </r>
      </text>
    </comment>
    <comment ref="T224" authorId="6">
      <text>
        <r>
          <rPr>
            <sz val="8"/>
            <color indexed="81"/>
            <rFont val="Tahoma"/>
            <family val="2"/>
          </rPr>
          <t xml:space="preserve">Four Months Ended December 31, 2003 </t>
        </r>
      </text>
    </comment>
    <comment ref="U224" authorId="6">
      <text>
        <r>
          <rPr>
            <sz val="8"/>
            <color indexed="81"/>
            <rFont val="Tahoma"/>
            <family val="2"/>
          </rPr>
          <t xml:space="preserve">Twelve Months Ended December 31, 2003 </t>
        </r>
      </text>
    </comment>
    <comment ref="V224" authorId="6">
      <text>
        <r>
          <rPr>
            <sz val="8"/>
            <color indexed="81"/>
            <rFont val="Tahoma"/>
            <family val="2"/>
          </rPr>
          <t xml:space="preserve">Two Months Ended February 29, 2004 </t>
        </r>
      </text>
    </comment>
    <comment ref="W224" authorId="6">
      <text>
        <r>
          <rPr>
            <sz val="8"/>
            <color indexed="81"/>
            <rFont val="Tahoma"/>
            <family val="2"/>
          </rPr>
          <t xml:space="preserve">Three Months Ended May 31, 2004 </t>
        </r>
      </text>
    </comment>
    <comment ref="X224" authorId="6">
      <text>
        <r>
          <rPr>
            <sz val="8"/>
            <color indexed="81"/>
            <rFont val="Tahoma"/>
            <family val="2"/>
          </rPr>
          <t xml:space="preserve">Three Months Ended August 31, 2004 </t>
        </r>
      </text>
    </comment>
    <comment ref="Y224" authorId="6">
      <text>
        <r>
          <rPr>
            <sz val="8"/>
            <color indexed="81"/>
            <rFont val="Tahoma"/>
            <family val="2"/>
          </rPr>
          <t xml:space="preserve">Four Months Ended December 31, 2004 </t>
        </r>
      </text>
    </comment>
    <comment ref="AA224" authorId="6">
      <text>
        <r>
          <rPr>
            <sz val="8"/>
            <color indexed="81"/>
            <rFont val="Tahoma"/>
            <family val="2"/>
          </rPr>
          <t xml:space="preserve">Two Months Ended February 28, 2005 </t>
        </r>
      </text>
    </comment>
    <comment ref="AB224" authorId="6">
      <text>
        <r>
          <rPr>
            <sz val="8"/>
            <color indexed="81"/>
            <rFont val="Tahoma"/>
            <family val="2"/>
          </rPr>
          <t xml:space="preserve">Three Months Ended May 31, 2005 </t>
        </r>
      </text>
    </comment>
    <comment ref="AC224" authorId="6">
      <text>
        <r>
          <rPr>
            <sz val="8"/>
            <color indexed="81"/>
            <rFont val="Tahoma"/>
            <family val="2"/>
          </rPr>
          <t xml:space="preserve">Three Months Ended August 31, 2005 </t>
        </r>
      </text>
    </comment>
    <comment ref="AD224" authorId="6">
      <text>
        <r>
          <rPr>
            <sz val="8"/>
            <color indexed="81"/>
            <rFont val="Tahoma"/>
            <family val="2"/>
          </rPr>
          <t xml:space="preserve">Four Months Ended December 31, 2005 </t>
        </r>
      </text>
    </comment>
    <comment ref="AF224" authorId="6">
      <text>
        <r>
          <rPr>
            <sz val="8"/>
            <color indexed="81"/>
            <rFont val="Tahoma"/>
            <family val="2"/>
          </rPr>
          <t xml:space="preserve">Two Months Ended February 28, 2006 </t>
        </r>
      </text>
    </comment>
    <comment ref="AG224" authorId="6">
      <text>
        <r>
          <rPr>
            <sz val="8"/>
            <color indexed="81"/>
            <rFont val="Tahoma"/>
            <family val="2"/>
          </rPr>
          <t xml:space="preserve">Three Months Ended May 31, 2006 </t>
        </r>
        <r>
          <rPr>
            <sz val="8"/>
            <color indexed="81"/>
            <rFont val="Tahoma"/>
            <family val="2"/>
          </rPr>
          <t xml:space="preserve">
</t>
        </r>
      </text>
    </comment>
    <comment ref="AH224" authorId="6">
      <text>
        <r>
          <rPr>
            <sz val="8"/>
            <color indexed="81"/>
            <rFont val="Tahoma"/>
            <family val="2"/>
          </rPr>
          <t xml:space="preserve">Three Months Ended August 31, 2006 </t>
        </r>
      </text>
    </comment>
    <comment ref="AI224" authorId="6">
      <text>
        <r>
          <rPr>
            <sz val="8"/>
            <color indexed="81"/>
            <rFont val="Tahoma"/>
            <family val="2"/>
          </rPr>
          <t xml:space="preserve">For Four months ended Dec 31, 2006
</t>
        </r>
      </text>
    </comment>
    <comment ref="AJ224" authorId="6">
      <text>
        <r>
          <rPr>
            <sz val="8"/>
            <color indexed="81"/>
            <rFont val="Tahoma"/>
            <family val="2"/>
          </rPr>
          <t>For Twelve months ended Dec 31, 2006</t>
        </r>
      </text>
    </comment>
    <comment ref="AK224" authorId="6">
      <text>
        <r>
          <rPr>
            <sz val="8"/>
            <color indexed="81"/>
            <rFont val="Tahoma"/>
            <family val="2"/>
          </rPr>
          <t xml:space="preserve">Two Months Ended February 28, 2007 </t>
        </r>
      </text>
    </comment>
    <comment ref="AL224" authorId="6">
      <text>
        <r>
          <rPr>
            <sz val="8"/>
            <color indexed="81"/>
            <rFont val="Tahoma"/>
            <family val="2"/>
          </rPr>
          <t xml:space="preserve">Three Months Ended May 31, 2007 </t>
        </r>
      </text>
    </comment>
    <comment ref="AM224" authorId="6">
      <text>
        <r>
          <rPr>
            <sz val="8"/>
            <color indexed="81"/>
            <rFont val="Tahoma"/>
            <family val="2"/>
          </rPr>
          <t xml:space="preserve">Three Months Ended August 31, 2007 </t>
        </r>
      </text>
    </comment>
    <comment ref="AN224" authorId="6">
      <text>
        <r>
          <rPr>
            <sz val="8"/>
            <color indexed="81"/>
            <rFont val="Tahoma"/>
            <family val="2"/>
          </rPr>
          <t xml:space="preserve">Four Months Ended December 31, 2007 </t>
        </r>
        <r>
          <rPr>
            <sz val="8"/>
            <color indexed="81"/>
            <rFont val="Tahoma"/>
            <family val="2"/>
          </rPr>
          <t xml:space="preserve">
</t>
        </r>
      </text>
    </comment>
    <comment ref="BO224" authorId="1">
      <text>
        <r>
          <rPr>
            <b/>
            <sz val="8"/>
            <color indexed="81"/>
            <rFont val="Tahoma"/>
            <family val="2"/>
          </rPr>
          <t>jills:</t>
        </r>
        <r>
          <rPr>
            <sz val="8"/>
            <color indexed="81"/>
            <rFont val="Tahoma"/>
            <family val="2"/>
          </rPr>
          <t xml:space="preserve">
led by Mexico where RevPAR grew ~16%</t>
        </r>
      </text>
    </comment>
    <comment ref="BU224" authorId="3">
      <text>
        <r>
          <rPr>
            <sz val="9"/>
            <color indexed="81"/>
            <rFont val="Tahoma"/>
            <family val="2"/>
          </rPr>
          <t>Strong resort demand and World Cup benefit in Brazil</t>
        </r>
      </text>
    </comment>
    <comment ref="CK224" authorId="5">
      <text>
        <r>
          <rPr>
            <b/>
            <sz val="9"/>
            <color indexed="81"/>
            <rFont val="Tahoma"/>
            <family val="2"/>
          </rPr>
          <t>Savino, Mark (Research):</t>
        </r>
        <r>
          <rPr>
            <sz val="9"/>
            <color indexed="81"/>
            <rFont val="Tahoma"/>
            <family val="2"/>
          </rPr>
          <t xml:space="preserve">
3Q17: excluding 18 hotels from the Caribbean in comp set (8 hotels taking only a few guests, 10 properties closed). RevPAR for revised comp set is +2% due to solid RevPAR growth in Central America and better demand in Argentina
Caribbean and LatAm region experienced 2 major earthquakes, 3 tropical storms and 4 hurricanes. The Virgin Islands and PR were particularly hard hit
</t>
        </r>
      </text>
    </comment>
    <comment ref="BM226" authorId="11">
      <text>
        <r>
          <rPr>
            <b/>
            <sz val="8"/>
            <color indexed="81"/>
            <rFont val="Tahoma"/>
            <family val="2"/>
          </rPr>
          <t>thallen:</t>
        </r>
        <r>
          <rPr>
            <sz val="8"/>
            <color indexed="81"/>
            <rFont val="Tahoma"/>
            <family val="2"/>
          </rPr>
          <t xml:space="preserve">
Guidance: Up low single-digits b/c weak economy and no Olympics</t>
        </r>
      </text>
    </comment>
    <comment ref="BN226" authorId="1">
      <text>
        <r>
          <rPr>
            <b/>
            <sz val="8"/>
            <color indexed="81"/>
            <rFont val="Tahoma"/>
            <family val="2"/>
          </rPr>
          <t>jills:</t>
        </r>
        <r>
          <rPr>
            <sz val="8"/>
            <color indexed="81"/>
            <rFont val="Tahoma"/>
            <family val="2"/>
          </rPr>
          <t xml:space="preserve">
contributed 8% of fees for full year 2012</t>
        </r>
      </text>
    </comment>
    <comment ref="BO226" authorId="11">
      <text>
        <r>
          <rPr>
            <b/>
            <sz val="8"/>
            <color indexed="81"/>
            <rFont val="Tahoma"/>
            <family val="2"/>
          </rPr>
          <t>thallen:</t>
        </r>
        <r>
          <rPr>
            <sz val="8"/>
            <color indexed="81"/>
            <rFont val="Tahoma"/>
            <family val="2"/>
          </rPr>
          <t xml:space="preserve">
Guidance: Flat</t>
        </r>
      </text>
    </comment>
    <comment ref="BP226" authorId="1">
      <text>
        <r>
          <rPr>
            <b/>
            <sz val="8"/>
            <color indexed="81"/>
            <rFont val="Tahoma"/>
            <family val="2"/>
          </rPr>
          <t>jills:</t>
        </r>
        <r>
          <rPr>
            <sz val="8"/>
            <color indexed="81"/>
            <rFont val="Tahoma"/>
            <family val="2"/>
          </rPr>
          <t xml:space="preserve">
per 1Q13 call, flattish growth in Europe given weakened economy, tough London Olympics comp, leased hotel renovations</t>
        </r>
      </text>
    </comment>
    <comment ref="BQ226" authorId="1">
      <text>
        <r>
          <rPr>
            <b/>
            <sz val="8"/>
            <color indexed="81"/>
            <rFont val="Tahoma"/>
            <family val="2"/>
          </rPr>
          <t>jills:</t>
        </r>
        <r>
          <rPr>
            <sz val="8"/>
            <color indexed="81"/>
            <rFont val="Tahoma"/>
            <family val="2"/>
          </rPr>
          <t xml:space="preserve">
lapping Olympics and Diamond Jubilee and renovation disruptions which could be a drag
otherwise, mgmt expects European demand to be "steady as she goes" for the remainder of 2013
strong performance in Eastern Europe offset declines in London; excl London and the impact of last year's Olympics, European RevPAR increaesd 4%</t>
        </r>
      </text>
    </comment>
    <comment ref="BR226" authorId="1">
      <text>
        <r>
          <rPr>
            <b/>
            <sz val="8"/>
            <color indexed="81"/>
            <rFont val="Tahoma"/>
            <family val="2"/>
          </rPr>
          <t>jills:</t>
        </r>
        <r>
          <rPr>
            <sz val="8"/>
            <color indexed="81"/>
            <rFont val="Tahoma"/>
            <family val="2"/>
          </rPr>
          <t xml:space="preserve">
renovation disruptions expected to impact results
RevPAR should improve as comps get easier in UK</t>
        </r>
      </text>
    </comment>
    <comment ref="BS226" authorId="11">
      <text>
        <r>
          <rPr>
            <b/>
            <sz val="8"/>
            <color indexed="81"/>
            <rFont val="Tahoma"/>
            <family val="2"/>
          </rPr>
          <t>thallen:</t>
        </r>
        <r>
          <rPr>
            <sz val="8"/>
            <color indexed="81"/>
            <rFont val="Tahoma"/>
            <family val="2"/>
          </rPr>
          <t xml:space="preserve">
Guidance (from 3Q12 call, reiterated on 4Q12 call): Flat. tough comps b/c of Euro, Olympics, record-breaking 2012 fair schedule in Germany but also supply growth in most markets
per 1Q13, weakend economy and renovation disruption will negatively impact results in Europe
Per 2Q13 follow up, Europe depressed this year due to tough comps in London, renovations, not as many fairs in Germany</t>
        </r>
      </text>
    </comment>
    <comment ref="BT226" authorId="5">
      <text>
        <r>
          <rPr>
            <b/>
            <sz val="9"/>
            <color indexed="81"/>
            <rFont val="Tahoma"/>
            <family val="2"/>
          </rPr>
          <t>Savino, Mark (Research):</t>
        </r>
        <r>
          <rPr>
            <sz val="9"/>
            <color indexed="81"/>
            <rFont val="Tahoma"/>
            <family val="2"/>
          </rPr>
          <t xml:space="preserve">
UK up more than 5%
Germany +4%
France -4%</t>
        </r>
      </text>
    </comment>
    <comment ref="BU226" authorId="5">
      <text>
        <r>
          <rPr>
            <b/>
            <sz val="9"/>
            <color indexed="81"/>
            <rFont val="Tahoma"/>
            <family val="2"/>
          </rPr>
          <t>Savino, Mark (Research):</t>
        </r>
        <r>
          <rPr>
            <sz val="9"/>
            <color indexed="81"/>
            <rFont val="Tahoma"/>
            <family val="2"/>
          </rPr>
          <t xml:space="preserve">
UK up more than 5%
Germany +4%
France -4%</t>
        </r>
      </text>
    </comment>
    <comment ref="BW226" authorId="3">
      <text>
        <r>
          <rPr>
            <b/>
            <sz val="9"/>
            <color indexed="81"/>
            <rFont val="Tahoma"/>
            <family val="2"/>
          </rPr>
          <t xml:space="preserve">3Q14:
</t>
        </r>
        <r>
          <rPr>
            <sz val="9"/>
            <color indexed="81"/>
            <rFont val="Tahoma"/>
            <family val="2"/>
          </rPr>
          <t>Low single digit</t>
        </r>
        <r>
          <rPr>
            <b/>
            <sz val="9"/>
            <color indexed="81"/>
            <rFont val="Tahoma"/>
            <family val="2"/>
          </rPr>
          <t xml:space="preserve"> </t>
        </r>
        <r>
          <rPr>
            <sz val="9"/>
            <color indexed="81"/>
            <rFont val="Tahoma"/>
            <family val="2"/>
          </rPr>
          <t xml:space="preserve">
</t>
        </r>
      </text>
    </comment>
    <comment ref="BX226" authorId="1">
      <text>
        <r>
          <rPr>
            <sz val="8"/>
            <color indexed="81"/>
            <rFont val="Tahoma"/>
            <family val="2"/>
          </rPr>
          <t>Per 2Q14: Low single digit rate reflecting tough economy in France and significant political tensions in Russia
Per 3Q/4Q13 calls, expect low single digit RevPAR growth (constant currency); Europe contributed ~8% of fees in 2012
MS Europe RevPAR forecast: 4%</t>
        </r>
      </text>
    </comment>
    <comment ref="CA226" authorId="3">
      <text>
        <r>
          <rPr>
            <b/>
            <sz val="9"/>
            <color indexed="81"/>
            <rFont val="Tahoma"/>
            <family val="2"/>
          </rPr>
          <t>Chaudhry, Baset A (Research):</t>
        </r>
        <r>
          <rPr>
            <sz val="9"/>
            <color indexed="81"/>
            <rFont val="Tahoma"/>
            <family val="2"/>
          </rPr>
          <t xml:space="preserve">
Rugby world cup in London should be a tailwind</t>
        </r>
      </text>
    </comment>
    <comment ref="CC226" authorId="3">
      <text>
        <r>
          <rPr>
            <b/>
            <sz val="9"/>
            <color indexed="81"/>
            <rFont val="Tahoma"/>
            <family val="2"/>
          </rPr>
          <t xml:space="preserve">Guidance:
</t>
        </r>
        <r>
          <rPr>
            <sz val="9"/>
            <color indexed="81"/>
            <rFont val="Tahoma"/>
            <family val="2"/>
          </rPr>
          <t xml:space="preserve">2Q15: mid-single digit </t>
        </r>
        <r>
          <rPr>
            <b/>
            <sz val="9"/>
            <color indexed="81"/>
            <rFont val="Tahoma"/>
            <family val="2"/>
          </rPr>
          <t xml:space="preserve">
</t>
        </r>
        <r>
          <rPr>
            <sz val="9"/>
            <color indexed="81"/>
            <rFont val="Tahoma"/>
            <family val="2"/>
          </rPr>
          <t xml:space="preserve">1Q15: mid-single digit </t>
        </r>
        <r>
          <rPr>
            <b/>
            <sz val="9"/>
            <color indexed="81"/>
            <rFont val="Tahoma"/>
            <family val="2"/>
          </rPr>
          <t xml:space="preserve">
</t>
        </r>
        <r>
          <rPr>
            <sz val="9"/>
            <color indexed="81"/>
            <rFont val="Tahoma"/>
            <family val="2"/>
          </rPr>
          <t>4Q14: low single digit (London to be strrong due to Rugby World Cup later in the year)
MS European team forecasting 3-5% RevPAR growth for European hotels</t>
        </r>
      </text>
    </comment>
    <comment ref="CE226" authorId="4">
      <text>
        <r>
          <rPr>
            <b/>
            <sz val="9"/>
            <color indexed="81"/>
            <rFont val="Tahoma"/>
            <family val="2"/>
          </rPr>
          <t>Allen, Thomas (Research):</t>
        </r>
        <r>
          <rPr>
            <sz val="9"/>
            <color indexed="81"/>
            <rFont val="Tahoma"/>
            <family val="2"/>
          </rPr>
          <t xml:space="preserve">
Brussels terrorists attacks late in 1Q, more impact in 2Q, but only really hurting Paris and Brussels</t>
        </r>
      </text>
    </comment>
    <comment ref="CF226" authorId="3">
      <text>
        <r>
          <rPr>
            <b/>
            <sz val="9"/>
            <color indexed="81"/>
            <rFont val="Tahoma"/>
            <family val="2"/>
          </rPr>
          <t>Chaudhry, Baset A (Research):</t>
        </r>
        <r>
          <rPr>
            <sz val="9"/>
            <color indexed="81"/>
            <rFont val="Tahoma"/>
            <family val="2"/>
          </rPr>
          <t xml:space="preserve">
Tough comp with Rugby World Cup in 3Q15 but offset by Euros, but negative impact from terrorist attacks</t>
        </r>
      </text>
    </comment>
    <comment ref="CG226" authorId="4">
      <text>
        <r>
          <rPr>
            <b/>
            <sz val="9"/>
            <color indexed="81"/>
            <rFont val="Tahoma"/>
            <family val="2"/>
          </rPr>
          <t>Allen, Thomas (Research):</t>
        </r>
        <r>
          <rPr>
            <sz val="9"/>
            <color indexed="81"/>
            <rFont val="Tahoma"/>
            <family val="2"/>
          </rPr>
          <t xml:space="preserve">
3Q16: Mgmt guided to flattish, lingering terrorist attack impact, weak group in London, Paris, Amsterdam</t>
        </r>
      </text>
    </comment>
    <comment ref="CH226" authorId="3">
      <text>
        <r>
          <rPr>
            <b/>
            <sz val="9"/>
            <color indexed="81"/>
            <rFont val="Tahoma"/>
            <family val="2"/>
          </rPr>
          <t xml:space="preserve">3Q15:
</t>
        </r>
        <r>
          <rPr>
            <sz val="9"/>
            <color indexed="81"/>
            <rFont val="Tahoma"/>
            <family val="2"/>
          </rPr>
          <t xml:space="preserve">Low mid single digit
</t>
        </r>
      </text>
    </comment>
    <comment ref="CK226" authorId="5">
      <text>
        <r>
          <rPr>
            <b/>
            <sz val="9"/>
            <color indexed="81"/>
            <rFont val="Tahoma"/>
            <family val="2"/>
          </rPr>
          <t>Savino, Mark (Research):</t>
        </r>
        <r>
          <rPr>
            <sz val="9"/>
            <color indexed="81"/>
            <rFont val="Tahoma"/>
            <family val="2"/>
          </rPr>
          <t xml:space="preserve">
2Q17: Up MSD with potential upside</t>
        </r>
      </text>
    </comment>
    <comment ref="CL226" authorId="5">
      <text>
        <r>
          <rPr>
            <b/>
            <sz val="9"/>
            <color indexed="81"/>
            <rFont val="Tahoma"/>
            <family val="2"/>
          </rPr>
          <t>Savino, Mark (Research):</t>
        </r>
        <r>
          <rPr>
            <sz val="9"/>
            <color indexed="81"/>
            <rFont val="Tahoma"/>
            <family val="2"/>
          </rPr>
          <t xml:space="preserve">
2Q17: Up MSD with potential upside</t>
        </r>
      </text>
    </comment>
    <comment ref="CM226" authorId="4">
      <text>
        <r>
          <rPr>
            <b/>
            <sz val="9"/>
            <color indexed="81"/>
            <rFont val="Tahoma"/>
            <family val="2"/>
          </rPr>
          <t>Allen, Thomas (Research):</t>
        </r>
        <r>
          <rPr>
            <sz val="9"/>
            <color indexed="81"/>
            <rFont val="Tahoma"/>
            <family val="2"/>
          </rPr>
          <t xml:space="preserve">
4Q16: LSD
3Q16: Up LSD, strength in S. Europe, easy Paris / Belgium comps
8% of 2015 fees</t>
        </r>
      </text>
    </comment>
    <comment ref="CN226" authorId="4">
      <text>
        <r>
          <rPr>
            <b/>
            <sz val="9"/>
            <color indexed="81"/>
            <rFont val="Tahoma"/>
            <family val="2"/>
          </rPr>
          <t>Allen, Thomas (Research):</t>
        </r>
        <r>
          <rPr>
            <sz val="9"/>
            <color indexed="81"/>
            <rFont val="Tahoma"/>
            <family val="2"/>
          </rPr>
          <t xml:space="preserve">
4Q17: MSD</t>
        </r>
      </text>
    </comment>
    <comment ref="CR226" authorId="2">
      <text>
        <r>
          <rPr>
            <b/>
            <sz val="9"/>
            <color indexed="81"/>
            <rFont val="Tahoma"/>
            <family val="2"/>
          </rPr>
          <t>Zheng, Chaodan (Research):</t>
        </r>
        <r>
          <rPr>
            <sz val="9"/>
            <color indexed="81"/>
            <rFont val="Tahoma"/>
            <family val="2"/>
          </rPr>
          <t xml:space="preserve">
4Q17: MSD
3Q17: LSD</t>
        </r>
      </text>
    </comment>
    <comment ref="BL227" authorId="11">
      <text>
        <r>
          <rPr>
            <b/>
            <sz val="8"/>
            <color indexed="81"/>
            <rFont val="Tahoma"/>
            <family val="2"/>
          </rPr>
          <t>thallen:</t>
        </r>
        <r>
          <rPr>
            <sz val="8"/>
            <color indexed="81"/>
            <rFont val="Tahoma"/>
            <family val="2"/>
          </rPr>
          <t xml:space="preserve">
Benefit from Olympics and Euro Cup</t>
        </r>
      </text>
    </comment>
    <comment ref="BR227" authorId="4">
      <text>
        <r>
          <rPr>
            <b/>
            <sz val="9"/>
            <color indexed="81"/>
            <rFont val="Tahoma"/>
            <family val="2"/>
          </rPr>
          <t>Allen, Thomas (Research):</t>
        </r>
        <r>
          <rPr>
            <sz val="9"/>
            <color indexed="81"/>
            <rFont val="Tahoma"/>
            <family val="2"/>
          </rPr>
          <t xml:space="preserve">
+6% in UK, +9% in Germany</t>
        </r>
      </text>
    </comment>
    <comment ref="BU227" authorId="3">
      <text>
        <r>
          <rPr>
            <sz val="9"/>
            <color indexed="81"/>
            <rFont val="Tahoma"/>
            <family val="2"/>
          </rPr>
          <t>Strong results in Germany, Austria, Italy, and Spain were offset by a weak economy in France and cancellations
in St. Petersburg and Moscow. Growth was also constrained by the impact of property renovations and the lower Middle East travel to Europe, due
to the timing of Ramadan.</t>
        </r>
      </text>
    </comment>
    <comment ref="CK227" authorId="2">
      <text>
        <r>
          <rPr>
            <b/>
            <sz val="9"/>
            <color indexed="81"/>
            <rFont val="Tahoma"/>
            <family val="2"/>
          </rPr>
          <t>Zheng, Chaodan (Research):</t>
        </r>
        <r>
          <rPr>
            <sz val="9"/>
            <color indexed="81"/>
            <rFont val="Tahoma"/>
            <family val="2"/>
          </rPr>
          <t xml:space="preserve">
3Q17: driven by strong leisure demand in Spain and Italy and great fare business in Germany. Room nights sold to US travelers visiting Europe increased 11%</t>
        </r>
      </text>
    </comment>
    <comment ref="V230" authorId="6">
      <text>
        <r>
          <rPr>
            <sz val="8"/>
            <color indexed="81"/>
            <rFont val="Tahoma"/>
            <family val="2"/>
          </rPr>
          <t xml:space="preserve">Two Months Ended February 29, 2004 </t>
        </r>
      </text>
    </comment>
    <comment ref="W230" authorId="6">
      <text>
        <r>
          <rPr>
            <sz val="8"/>
            <color indexed="81"/>
            <rFont val="Tahoma"/>
            <family val="2"/>
          </rPr>
          <t xml:space="preserve">Three Months Ended May 31, 2004 </t>
        </r>
      </text>
    </comment>
    <comment ref="X230" authorId="6">
      <text>
        <r>
          <rPr>
            <sz val="8"/>
            <color indexed="81"/>
            <rFont val="Tahoma"/>
            <family val="2"/>
          </rPr>
          <t xml:space="preserve">Three Months Ended August 31, 2004 </t>
        </r>
      </text>
    </comment>
    <comment ref="Y230" authorId="6">
      <text>
        <r>
          <rPr>
            <sz val="8"/>
            <color indexed="81"/>
            <rFont val="Tahoma"/>
            <family val="2"/>
          </rPr>
          <t xml:space="preserve">Four Months Ended December 31, 2004 </t>
        </r>
      </text>
    </comment>
    <comment ref="AA230" authorId="6">
      <text>
        <r>
          <rPr>
            <sz val="8"/>
            <color indexed="81"/>
            <rFont val="Tahoma"/>
            <family val="2"/>
          </rPr>
          <t xml:space="preserve">Two Months Ended February 28, 2005 </t>
        </r>
      </text>
    </comment>
    <comment ref="AB230" authorId="6">
      <text>
        <r>
          <rPr>
            <sz val="8"/>
            <color indexed="81"/>
            <rFont val="Tahoma"/>
            <family val="2"/>
          </rPr>
          <t xml:space="preserve">Three Months Ended May 31, 2005 </t>
        </r>
      </text>
    </comment>
    <comment ref="AC230" authorId="6">
      <text>
        <r>
          <rPr>
            <sz val="8"/>
            <color indexed="81"/>
            <rFont val="Tahoma"/>
            <family val="2"/>
          </rPr>
          <t xml:space="preserve">Three Months Ended August 31, 2005 </t>
        </r>
      </text>
    </comment>
    <comment ref="AD230" authorId="6">
      <text>
        <r>
          <rPr>
            <sz val="8"/>
            <color indexed="81"/>
            <rFont val="Tahoma"/>
            <family val="2"/>
          </rPr>
          <t xml:space="preserve">Four Months Ended December 31, 2005 </t>
        </r>
      </text>
    </comment>
    <comment ref="AF230" authorId="6">
      <text>
        <r>
          <rPr>
            <sz val="8"/>
            <color indexed="81"/>
            <rFont val="Tahoma"/>
            <family val="2"/>
          </rPr>
          <t xml:space="preserve">Two Months Ended February 28, 2006 </t>
        </r>
      </text>
    </comment>
    <comment ref="AG230" authorId="6">
      <text>
        <r>
          <rPr>
            <sz val="8"/>
            <color indexed="81"/>
            <rFont val="Tahoma"/>
            <family val="2"/>
          </rPr>
          <t xml:space="preserve">Three Months Ended May 31, 2006 </t>
        </r>
        <r>
          <rPr>
            <sz val="8"/>
            <color indexed="81"/>
            <rFont val="Tahoma"/>
            <family val="2"/>
          </rPr>
          <t xml:space="preserve">
</t>
        </r>
      </text>
    </comment>
    <comment ref="AH230" authorId="6">
      <text>
        <r>
          <rPr>
            <sz val="8"/>
            <color indexed="81"/>
            <rFont val="Tahoma"/>
            <family val="2"/>
          </rPr>
          <t xml:space="preserve">Three Months Ended August 31, 2006 </t>
        </r>
      </text>
    </comment>
    <comment ref="AI230" authorId="6">
      <text>
        <r>
          <rPr>
            <sz val="8"/>
            <color indexed="81"/>
            <rFont val="Tahoma"/>
            <family val="2"/>
          </rPr>
          <t xml:space="preserve">For Four months ended Dec 31, 2006
</t>
        </r>
      </text>
    </comment>
    <comment ref="AJ230" authorId="6">
      <text>
        <r>
          <rPr>
            <sz val="8"/>
            <color indexed="81"/>
            <rFont val="Tahoma"/>
            <family val="2"/>
          </rPr>
          <t>For Twelve months ended Dec 31, 2006</t>
        </r>
      </text>
    </comment>
    <comment ref="AK230" authorId="6">
      <text>
        <r>
          <rPr>
            <sz val="8"/>
            <color indexed="81"/>
            <rFont val="Tahoma"/>
            <family val="2"/>
          </rPr>
          <t xml:space="preserve">Two Months Ended February 28, 2007 </t>
        </r>
      </text>
    </comment>
    <comment ref="AL230" authorId="6">
      <text>
        <r>
          <rPr>
            <sz val="8"/>
            <color indexed="81"/>
            <rFont val="Tahoma"/>
            <family val="2"/>
          </rPr>
          <t xml:space="preserve">Three Months Ended May 31, 2007 </t>
        </r>
      </text>
    </comment>
    <comment ref="AM230" authorId="6">
      <text>
        <r>
          <rPr>
            <sz val="8"/>
            <color indexed="81"/>
            <rFont val="Tahoma"/>
            <family val="2"/>
          </rPr>
          <t xml:space="preserve">Three Months Ended August 31, 2007 </t>
        </r>
      </text>
    </comment>
    <comment ref="AN230" authorId="6">
      <text>
        <r>
          <rPr>
            <sz val="8"/>
            <color indexed="81"/>
            <rFont val="Tahoma"/>
            <family val="2"/>
          </rPr>
          <t xml:space="preserve">Four Months Ended December 31, 2007 </t>
        </r>
        <r>
          <rPr>
            <sz val="8"/>
            <color indexed="81"/>
            <rFont val="Tahoma"/>
            <family val="2"/>
          </rPr>
          <t xml:space="preserve">
</t>
        </r>
      </text>
    </comment>
    <comment ref="V233" authorId="6">
      <text>
        <r>
          <rPr>
            <sz val="8"/>
            <color indexed="81"/>
            <rFont val="Tahoma"/>
            <family val="2"/>
          </rPr>
          <t xml:space="preserve">Two Months Ended February 29, 2004 </t>
        </r>
      </text>
    </comment>
    <comment ref="W233" authorId="6">
      <text>
        <r>
          <rPr>
            <sz val="8"/>
            <color indexed="81"/>
            <rFont val="Tahoma"/>
            <family val="2"/>
          </rPr>
          <t xml:space="preserve">Three Months Ended May 31, 2004 </t>
        </r>
      </text>
    </comment>
    <comment ref="X233" authorId="6">
      <text>
        <r>
          <rPr>
            <sz val="8"/>
            <color indexed="81"/>
            <rFont val="Tahoma"/>
            <family val="2"/>
          </rPr>
          <t xml:space="preserve">Three Months Ended August 31, 2004 </t>
        </r>
      </text>
    </comment>
    <comment ref="Y233" authorId="6">
      <text>
        <r>
          <rPr>
            <sz val="8"/>
            <color indexed="81"/>
            <rFont val="Tahoma"/>
            <family val="2"/>
          </rPr>
          <t xml:space="preserve">Four Months Ended December 31, 2004 </t>
        </r>
      </text>
    </comment>
    <comment ref="AA233" authorId="6">
      <text>
        <r>
          <rPr>
            <sz val="8"/>
            <color indexed="81"/>
            <rFont val="Tahoma"/>
            <family val="2"/>
          </rPr>
          <t xml:space="preserve">Two Months Ended February 28, 2005 </t>
        </r>
      </text>
    </comment>
    <comment ref="AB233" authorId="6">
      <text>
        <r>
          <rPr>
            <sz val="8"/>
            <color indexed="81"/>
            <rFont val="Tahoma"/>
            <family val="2"/>
          </rPr>
          <t xml:space="preserve">Three Months Ended May 31, 2005 </t>
        </r>
      </text>
    </comment>
    <comment ref="AC233" authorId="6">
      <text>
        <r>
          <rPr>
            <sz val="8"/>
            <color indexed="81"/>
            <rFont val="Tahoma"/>
            <family val="2"/>
          </rPr>
          <t xml:space="preserve">Three Months Ended August 31, 2005 </t>
        </r>
      </text>
    </comment>
    <comment ref="AD233" authorId="6">
      <text>
        <r>
          <rPr>
            <sz val="8"/>
            <color indexed="81"/>
            <rFont val="Tahoma"/>
            <family val="2"/>
          </rPr>
          <t xml:space="preserve">Four Months Ended December 31, 2005 </t>
        </r>
      </text>
    </comment>
    <comment ref="AF233" authorId="6">
      <text>
        <r>
          <rPr>
            <sz val="8"/>
            <color indexed="81"/>
            <rFont val="Tahoma"/>
            <family val="2"/>
          </rPr>
          <t xml:space="preserve">Two Months Ended February 28, 2006 </t>
        </r>
      </text>
    </comment>
    <comment ref="AG233" authorId="6">
      <text>
        <r>
          <rPr>
            <sz val="8"/>
            <color indexed="81"/>
            <rFont val="Tahoma"/>
            <family val="2"/>
          </rPr>
          <t xml:space="preserve">Three Months Ended May 31, 2006 </t>
        </r>
        <r>
          <rPr>
            <sz val="8"/>
            <color indexed="81"/>
            <rFont val="Tahoma"/>
            <family val="2"/>
          </rPr>
          <t xml:space="preserve">
</t>
        </r>
      </text>
    </comment>
    <comment ref="AH233" authorId="6">
      <text>
        <r>
          <rPr>
            <sz val="8"/>
            <color indexed="81"/>
            <rFont val="Tahoma"/>
            <family val="2"/>
          </rPr>
          <t xml:space="preserve">Three Months Ended August 31, 2006 </t>
        </r>
      </text>
    </comment>
    <comment ref="AI233" authorId="6">
      <text>
        <r>
          <rPr>
            <sz val="8"/>
            <color indexed="81"/>
            <rFont val="Tahoma"/>
            <family val="2"/>
          </rPr>
          <t xml:space="preserve">For Four months ended Dec 31, 2006
</t>
        </r>
      </text>
    </comment>
    <comment ref="AJ233" authorId="6">
      <text>
        <r>
          <rPr>
            <sz val="8"/>
            <color indexed="81"/>
            <rFont val="Tahoma"/>
            <family val="2"/>
          </rPr>
          <t>For Twelve months ended Dec 31, 2006</t>
        </r>
      </text>
    </comment>
    <comment ref="AK233" authorId="6">
      <text>
        <r>
          <rPr>
            <sz val="8"/>
            <color indexed="81"/>
            <rFont val="Tahoma"/>
            <family val="2"/>
          </rPr>
          <t xml:space="preserve">Two Months Ended February 28, 2007 </t>
        </r>
      </text>
    </comment>
    <comment ref="AL233" authorId="6">
      <text>
        <r>
          <rPr>
            <sz val="8"/>
            <color indexed="81"/>
            <rFont val="Tahoma"/>
            <family val="2"/>
          </rPr>
          <t xml:space="preserve">Three Months Ended May 31, 2007 </t>
        </r>
      </text>
    </comment>
    <comment ref="AM233" authorId="6">
      <text>
        <r>
          <rPr>
            <sz val="8"/>
            <color indexed="81"/>
            <rFont val="Tahoma"/>
            <family val="2"/>
          </rPr>
          <t xml:space="preserve">Three Months Ended August 31, 2007 </t>
        </r>
      </text>
    </comment>
    <comment ref="AN233" authorId="6">
      <text>
        <r>
          <rPr>
            <sz val="8"/>
            <color indexed="81"/>
            <rFont val="Tahoma"/>
            <family val="2"/>
          </rPr>
          <t xml:space="preserve">Four Months Ended December 31, 2007 </t>
        </r>
        <r>
          <rPr>
            <sz val="8"/>
            <color indexed="81"/>
            <rFont val="Tahoma"/>
            <family val="2"/>
          </rPr>
          <t xml:space="preserve">
</t>
        </r>
      </text>
    </comment>
    <comment ref="BM235" authorId="11">
      <text>
        <r>
          <rPr>
            <b/>
            <sz val="8"/>
            <color indexed="81"/>
            <rFont val="Tahoma"/>
            <family val="2"/>
          </rPr>
          <t>thallen:</t>
        </r>
        <r>
          <rPr>
            <sz val="8"/>
            <color indexed="81"/>
            <rFont val="Tahoma"/>
            <family val="2"/>
          </rPr>
          <t xml:space="preserve">
Guidance: Mid-to-high single digit growth (but more unpredictable) but tougher 4Q comp</t>
        </r>
      </text>
    </comment>
    <comment ref="BN235" authorId="1">
      <text>
        <r>
          <rPr>
            <b/>
            <sz val="8"/>
            <color indexed="81"/>
            <rFont val="Tahoma"/>
            <family val="2"/>
          </rPr>
          <t>jills:</t>
        </r>
        <r>
          <rPr>
            <sz val="8"/>
            <color indexed="81"/>
            <rFont val="Tahoma"/>
            <family val="2"/>
          </rPr>
          <t xml:space="preserve">
contributed 3% of total fee for full year 2012</t>
        </r>
      </text>
    </comment>
    <comment ref="BO235" authorId="11">
      <text>
        <r>
          <rPr>
            <b/>
            <sz val="8"/>
            <color indexed="81"/>
            <rFont val="Tahoma"/>
            <family val="2"/>
          </rPr>
          <t>thallen:</t>
        </r>
        <r>
          <rPr>
            <sz val="8"/>
            <color indexed="81"/>
            <rFont val="Tahoma"/>
            <family val="2"/>
          </rPr>
          <t xml:space="preserve">
Guidance: Double-digit increase, easy comp</t>
        </r>
      </text>
    </comment>
    <comment ref="BP235" authorId="1">
      <text>
        <r>
          <rPr>
            <b/>
            <sz val="8"/>
            <color indexed="81"/>
            <rFont val="Tahoma"/>
            <family val="2"/>
          </rPr>
          <t>jills:</t>
        </r>
        <r>
          <rPr>
            <sz val="8"/>
            <color indexed="81"/>
            <rFont val="Tahoma"/>
            <family val="2"/>
          </rPr>
          <t xml:space="preserve">
per 1Q13 call, high single digit rate</t>
        </r>
      </text>
    </comment>
    <comment ref="BQ235" authorId="1">
      <text>
        <r>
          <rPr>
            <b/>
            <sz val="8"/>
            <color indexed="81"/>
            <rFont val="Tahoma"/>
            <family val="2"/>
          </rPr>
          <t>jills:</t>
        </r>
        <r>
          <rPr>
            <sz val="8"/>
            <color indexed="81"/>
            <rFont val="Tahoma"/>
            <family val="2"/>
          </rPr>
          <t xml:space="preserve">
tough comp and issues in Egypt will weigh on results; occ levels in Egypt at time of 2Q call where running below even where 2Q was
per 3Q13 call, unrest in Egypt reduced RevPAR in Middle East by 3%</t>
        </r>
      </text>
    </comment>
    <comment ref="BR235" authorId="1">
      <text>
        <r>
          <rPr>
            <b/>
            <sz val="8"/>
            <color indexed="81"/>
            <rFont val="Tahoma"/>
            <family val="2"/>
          </rPr>
          <t>jills:</t>
        </r>
        <r>
          <rPr>
            <sz val="8"/>
            <color indexed="81"/>
            <rFont val="Tahoma"/>
            <family val="2"/>
          </rPr>
          <t xml:space="preserve">
issues in Egypt to weigh on results</t>
        </r>
      </text>
    </comment>
    <comment ref="BS235" authorId="11">
      <text>
        <r>
          <rPr>
            <b/>
            <sz val="8"/>
            <color indexed="81"/>
            <rFont val="Tahoma"/>
            <family val="2"/>
          </rPr>
          <t>thallen:</t>
        </r>
        <r>
          <rPr>
            <sz val="8"/>
            <color indexed="81"/>
            <rFont val="Tahoma"/>
            <family val="2"/>
          </rPr>
          <t xml:space="preserve">
Guidance (from 3Q12 call, reiterated on 4Q call): up mid-single digits, Red Sea resorts coming back (but still low occ), Dubai remains strong, infrastructure improvements in Saudi Arabia</t>
        </r>
      </text>
    </comment>
    <comment ref="BT235" authorId="5">
      <text>
        <r>
          <rPr>
            <b/>
            <sz val="9"/>
            <color indexed="81"/>
            <rFont val="Tahoma"/>
            <family val="2"/>
          </rPr>
          <t>Savino, Mark (Research):</t>
        </r>
        <r>
          <rPr>
            <sz val="9"/>
            <color indexed="81"/>
            <rFont val="Tahoma"/>
            <family val="2"/>
          </rPr>
          <t xml:space="preserve">
Difficult conditions in Egypt</t>
        </r>
      </text>
    </comment>
    <comment ref="BU235" authorId="5">
      <text>
        <r>
          <rPr>
            <b/>
            <sz val="9"/>
            <color indexed="81"/>
            <rFont val="Tahoma"/>
            <family val="2"/>
          </rPr>
          <t>Savino, Mark (Research):</t>
        </r>
        <r>
          <rPr>
            <sz val="9"/>
            <color indexed="81"/>
            <rFont val="Tahoma"/>
            <family val="2"/>
          </rPr>
          <t xml:space="preserve">
Difficult conditions in Egypt</t>
        </r>
      </text>
    </comment>
    <comment ref="BW235" authorId="3">
      <text>
        <r>
          <rPr>
            <b/>
            <sz val="9"/>
            <color indexed="81"/>
            <rFont val="Tahoma"/>
            <family val="2"/>
          </rPr>
          <t xml:space="preserve">3Q14 Call:
</t>
        </r>
        <r>
          <rPr>
            <sz val="9"/>
            <color indexed="81"/>
            <rFont val="Tahoma"/>
            <family val="2"/>
          </rPr>
          <t xml:space="preserve">Mid to high teens in 4Q (political stability in Egypt) 
</t>
        </r>
      </text>
    </comment>
    <comment ref="BX235" authorId="11">
      <text>
        <r>
          <rPr>
            <sz val="8"/>
            <color indexed="81"/>
            <rFont val="Tahoma"/>
            <family val="2"/>
          </rPr>
          <t>2Q14: For the full year, comp hotels in the Middle East and Africa region to increase RevPAR at a mid-single digit rate reflecting easier comps for Egypt later in the year. 
4Q13 guidance: Mid single-digit
Opening first properties in sub-Saharan Africa no later than 2014
expect turmoil in Egypt, Syria, etc to weigh on results, particulary in 1H, with mitigating impacts and easy comps in latter half of year
per 3Q13 call: unrest in Egypt remains a challenge but elsewhere in the region demand is strong; UAE benefits as a safe haven destination while Saudi Arabia hotels should benefit from lodging demand that comes from massive infastructure development; modeling mid single digit rate on easy comps but see meaningful risk in any forecast for the region
3% of fees</t>
        </r>
      </text>
    </comment>
    <comment ref="BZ235" authorId="3">
      <text>
        <r>
          <rPr>
            <b/>
            <sz val="9"/>
            <color indexed="81"/>
            <rFont val="Tahoma"/>
            <family val="2"/>
          </rPr>
          <t>1Q15:</t>
        </r>
        <r>
          <rPr>
            <sz val="9"/>
            <color indexed="81"/>
            <rFont val="Tahoma"/>
            <family val="2"/>
          </rPr>
          <t xml:space="preserve">
The shift in the
timing of Ramadan could result in very modest RevPAR growth in the second quarter and outsized gains in the third quarter.</t>
        </r>
      </text>
    </comment>
    <comment ref="CA235" authorId="3">
      <text>
        <r>
          <rPr>
            <b/>
            <sz val="9"/>
            <color indexed="81"/>
            <rFont val="Tahoma"/>
            <family val="2"/>
          </rPr>
          <t>1Q15:</t>
        </r>
        <r>
          <rPr>
            <sz val="9"/>
            <color indexed="81"/>
            <rFont val="Tahoma"/>
            <family val="2"/>
          </rPr>
          <t xml:space="preserve">
The shift in the
timing of Ramadan could result in very modest RevPAR growth in the second quarter and outsized gains in the third quarter.</t>
        </r>
      </text>
    </comment>
    <comment ref="CC235" authorId="3">
      <text>
        <r>
          <rPr>
            <b/>
            <sz val="9"/>
            <color indexed="81"/>
            <rFont val="Tahoma"/>
            <family val="2"/>
          </rPr>
          <t xml:space="preserve">Guidance:
</t>
        </r>
        <r>
          <rPr>
            <sz val="9"/>
            <color indexed="81"/>
            <rFont val="Tahoma"/>
            <family val="2"/>
          </rPr>
          <t xml:space="preserve">2Q15:Mid single digits </t>
        </r>
        <r>
          <rPr>
            <b/>
            <sz val="9"/>
            <color indexed="81"/>
            <rFont val="Tahoma"/>
            <family val="2"/>
          </rPr>
          <t xml:space="preserve">
</t>
        </r>
        <r>
          <rPr>
            <sz val="9"/>
            <color indexed="81"/>
            <rFont val="Tahoma"/>
            <family val="2"/>
          </rPr>
          <t xml:space="preserve">1Q15:Mid to high single digits </t>
        </r>
        <r>
          <rPr>
            <b/>
            <sz val="9"/>
            <color indexed="81"/>
            <rFont val="Tahoma"/>
            <family val="2"/>
          </rPr>
          <t xml:space="preserve">
</t>
        </r>
        <r>
          <rPr>
            <sz val="9"/>
            <color indexed="81"/>
            <rFont val="Tahoma"/>
            <family val="2"/>
          </rPr>
          <t xml:space="preserve">4Q14:High single digits </t>
        </r>
        <r>
          <rPr>
            <b/>
            <sz val="9"/>
            <color indexed="81"/>
            <rFont val="Tahoma"/>
            <family val="2"/>
          </rPr>
          <t xml:space="preserve">
</t>
        </r>
        <r>
          <rPr>
            <sz val="9"/>
            <color indexed="81"/>
            <rFont val="Tahoma"/>
            <family val="2"/>
          </rPr>
          <t>3Q14:Mid to high single high digits (easy comps in Egypt)</t>
        </r>
      </text>
    </comment>
    <comment ref="CE235" authorId="3">
      <text>
        <r>
          <rPr>
            <b/>
            <sz val="9"/>
            <color indexed="81"/>
            <rFont val="Tahoma"/>
            <family val="2"/>
          </rPr>
          <t>Chaudhry, Baset A (Research):</t>
        </r>
        <r>
          <rPr>
            <sz val="9"/>
            <color indexed="81"/>
            <rFont val="Tahoma"/>
            <family val="2"/>
          </rPr>
          <t xml:space="preserve">
Tough comp given timing of Ramadan last year</t>
        </r>
      </text>
    </comment>
    <comment ref="CG235" authorId="4">
      <text>
        <r>
          <rPr>
            <b/>
            <sz val="9"/>
            <color indexed="81"/>
            <rFont val="Tahoma"/>
            <family val="2"/>
          </rPr>
          <t>Allen, Thomas (Research):</t>
        </r>
        <r>
          <rPr>
            <sz val="9"/>
            <color indexed="81"/>
            <rFont val="Tahoma"/>
            <family val="2"/>
          </rPr>
          <t xml:space="preserve">
3Q16: Mgmt guided to LSD decline</t>
        </r>
      </text>
    </comment>
    <comment ref="CH235" authorId="3">
      <text>
        <r>
          <rPr>
            <b/>
            <sz val="9"/>
            <color indexed="81"/>
            <rFont val="Tahoma"/>
            <family val="2"/>
          </rPr>
          <t xml:space="preserve">3Q15:
</t>
        </r>
        <r>
          <rPr>
            <sz val="9"/>
            <color indexed="81"/>
            <rFont val="Tahoma"/>
            <family val="2"/>
          </rPr>
          <t>Mid single digit
Better than HLT b/c Protea doing v. well, more Africa vs. ME focused</t>
        </r>
      </text>
    </comment>
    <comment ref="CK235" authorId="5">
      <text>
        <r>
          <rPr>
            <b/>
            <sz val="9"/>
            <color indexed="81"/>
            <rFont val="Tahoma"/>
            <family val="2"/>
          </rPr>
          <t>Savino, Mark (Research):</t>
        </r>
        <r>
          <rPr>
            <sz val="9"/>
            <color indexed="81"/>
            <rFont val="Tahoma"/>
            <family val="2"/>
          </rPr>
          <t xml:space="preserve">
2Q17: LSD decline</t>
        </r>
      </text>
    </comment>
    <comment ref="CL235" authorId="5">
      <text>
        <r>
          <rPr>
            <b/>
            <sz val="9"/>
            <color indexed="81"/>
            <rFont val="Tahoma"/>
            <family val="2"/>
          </rPr>
          <t>Savino, Mark (Research):</t>
        </r>
        <r>
          <rPr>
            <sz val="9"/>
            <color indexed="81"/>
            <rFont val="Tahoma"/>
            <family val="2"/>
          </rPr>
          <t xml:space="preserve">
2Q17: LSD decline</t>
        </r>
      </text>
    </comment>
    <comment ref="CM235" authorId="4">
      <text>
        <r>
          <rPr>
            <b/>
            <sz val="9"/>
            <color indexed="81"/>
            <rFont val="Tahoma"/>
            <family val="2"/>
          </rPr>
          <t>Allen, Thomas (Research):</t>
        </r>
        <r>
          <rPr>
            <sz val="9"/>
            <color indexed="81"/>
            <rFont val="Tahoma"/>
            <family val="2"/>
          </rPr>
          <t xml:space="preserve">
4Q16: flat
3Q16: 0%
5% of 2015 fees</t>
        </r>
      </text>
    </comment>
    <comment ref="CN235" authorId="4">
      <text>
        <r>
          <rPr>
            <b/>
            <sz val="9"/>
            <color indexed="81"/>
            <rFont val="Tahoma"/>
            <family val="2"/>
          </rPr>
          <t>Allen, Thomas (Research):</t>
        </r>
        <r>
          <rPr>
            <sz val="9"/>
            <color indexed="81"/>
            <rFont val="Tahoma"/>
            <family val="2"/>
          </rPr>
          <t xml:space="preserve">
4Q17: Flat</t>
        </r>
      </text>
    </comment>
    <comment ref="CR235" authorId="2">
      <text>
        <r>
          <rPr>
            <b/>
            <sz val="9"/>
            <color indexed="81"/>
            <rFont val="Tahoma"/>
            <family val="2"/>
          </rPr>
          <t>Zheng, Chaodan (Research):</t>
        </r>
        <r>
          <rPr>
            <sz val="9"/>
            <color indexed="81"/>
            <rFont val="Tahoma"/>
            <family val="2"/>
          </rPr>
          <t xml:space="preserve">
4Q17: Flat
3Q17: slightly positive</t>
        </r>
      </text>
    </comment>
    <comment ref="V236" authorId="6">
      <text>
        <r>
          <rPr>
            <sz val="8"/>
            <color indexed="81"/>
            <rFont val="Tahoma"/>
            <family val="2"/>
          </rPr>
          <t xml:space="preserve">Two Months Ended February 29, 2004 </t>
        </r>
      </text>
    </comment>
    <comment ref="W236" authorId="6">
      <text>
        <r>
          <rPr>
            <sz val="8"/>
            <color indexed="81"/>
            <rFont val="Tahoma"/>
            <family val="2"/>
          </rPr>
          <t xml:space="preserve">Three Months Ended May 31, 2004 </t>
        </r>
      </text>
    </comment>
    <comment ref="X236" authorId="6">
      <text>
        <r>
          <rPr>
            <sz val="8"/>
            <color indexed="81"/>
            <rFont val="Tahoma"/>
            <family val="2"/>
          </rPr>
          <t xml:space="preserve">Three Months Ended August 31, 2004 </t>
        </r>
      </text>
    </comment>
    <comment ref="Y236" authorId="6">
      <text>
        <r>
          <rPr>
            <sz val="8"/>
            <color indexed="81"/>
            <rFont val="Tahoma"/>
            <family val="2"/>
          </rPr>
          <t xml:space="preserve">Four Months Ended December 31, 2004 </t>
        </r>
      </text>
    </comment>
    <comment ref="AA236" authorId="6">
      <text>
        <r>
          <rPr>
            <sz val="8"/>
            <color indexed="81"/>
            <rFont val="Tahoma"/>
            <family val="2"/>
          </rPr>
          <t xml:space="preserve">Two Months Ended February 28, 2005 </t>
        </r>
      </text>
    </comment>
    <comment ref="AB236" authorId="6">
      <text>
        <r>
          <rPr>
            <sz val="8"/>
            <color indexed="81"/>
            <rFont val="Tahoma"/>
            <family val="2"/>
          </rPr>
          <t xml:space="preserve">Three Months Ended May 31, 2005 </t>
        </r>
      </text>
    </comment>
    <comment ref="AC236" authorId="6">
      <text>
        <r>
          <rPr>
            <sz val="8"/>
            <color indexed="81"/>
            <rFont val="Tahoma"/>
            <family val="2"/>
          </rPr>
          <t xml:space="preserve">Three Months Ended August 31, 2005 </t>
        </r>
      </text>
    </comment>
    <comment ref="AD236" authorId="6">
      <text>
        <r>
          <rPr>
            <sz val="8"/>
            <color indexed="81"/>
            <rFont val="Tahoma"/>
            <family val="2"/>
          </rPr>
          <t xml:space="preserve">Four Months Ended December 31, 2005 </t>
        </r>
      </text>
    </comment>
    <comment ref="AF236" authorId="6">
      <text>
        <r>
          <rPr>
            <sz val="8"/>
            <color indexed="81"/>
            <rFont val="Tahoma"/>
            <family val="2"/>
          </rPr>
          <t xml:space="preserve">Two Months Ended February 28, 2006 </t>
        </r>
      </text>
    </comment>
    <comment ref="AG236" authorId="6">
      <text>
        <r>
          <rPr>
            <sz val="8"/>
            <color indexed="81"/>
            <rFont val="Tahoma"/>
            <family val="2"/>
          </rPr>
          <t xml:space="preserve">Three Months Ended May 31, 2006 </t>
        </r>
        <r>
          <rPr>
            <sz val="8"/>
            <color indexed="81"/>
            <rFont val="Tahoma"/>
            <family val="2"/>
          </rPr>
          <t xml:space="preserve">
</t>
        </r>
      </text>
    </comment>
    <comment ref="AH236" authorId="6">
      <text>
        <r>
          <rPr>
            <sz val="8"/>
            <color indexed="81"/>
            <rFont val="Tahoma"/>
            <family val="2"/>
          </rPr>
          <t xml:space="preserve">Three Months Ended August 31, 2006 </t>
        </r>
      </text>
    </comment>
    <comment ref="AI236" authorId="6">
      <text>
        <r>
          <rPr>
            <sz val="8"/>
            <color indexed="81"/>
            <rFont val="Tahoma"/>
            <family val="2"/>
          </rPr>
          <t xml:space="preserve">For Four months ended Dec 31, 2006
</t>
        </r>
      </text>
    </comment>
    <comment ref="AJ236" authorId="6">
      <text>
        <r>
          <rPr>
            <sz val="8"/>
            <color indexed="81"/>
            <rFont val="Tahoma"/>
            <family val="2"/>
          </rPr>
          <t>For Twelve months ended Dec 31, 2006</t>
        </r>
      </text>
    </comment>
    <comment ref="AK236" authorId="6">
      <text>
        <r>
          <rPr>
            <sz val="8"/>
            <color indexed="81"/>
            <rFont val="Tahoma"/>
            <family val="2"/>
          </rPr>
          <t xml:space="preserve">Two Months Ended February 28, 2007 </t>
        </r>
      </text>
    </comment>
    <comment ref="AL236" authorId="6">
      <text>
        <r>
          <rPr>
            <sz val="8"/>
            <color indexed="81"/>
            <rFont val="Tahoma"/>
            <family val="2"/>
          </rPr>
          <t xml:space="preserve">Three Months Ended May 31, 2007 </t>
        </r>
      </text>
    </comment>
    <comment ref="AM236" authorId="6">
      <text>
        <r>
          <rPr>
            <sz val="8"/>
            <color indexed="81"/>
            <rFont val="Tahoma"/>
            <family val="2"/>
          </rPr>
          <t xml:space="preserve">Three Months Ended August 31, 2007 </t>
        </r>
      </text>
    </comment>
    <comment ref="AN236" authorId="6">
      <text>
        <r>
          <rPr>
            <sz val="8"/>
            <color indexed="81"/>
            <rFont val="Tahoma"/>
            <family val="2"/>
          </rPr>
          <t xml:space="preserve">Four Months Ended December 31, 2007 </t>
        </r>
        <r>
          <rPr>
            <sz val="8"/>
            <color indexed="81"/>
            <rFont val="Tahoma"/>
            <family val="2"/>
          </rPr>
          <t xml:space="preserve">
</t>
        </r>
      </text>
    </comment>
    <comment ref="BL236" authorId="11">
      <text>
        <r>
          <rPr>
            <b/>
            <sz val="8"/>
            <color indexed="81"/>
            <rFont val="Tahoma"/>
            <family val="2"/>
          </rPr>
          <t>thallen:</t>
        </r>
        <r>
          <rPr>
            <sz val="8"/>
            <color indexed="81"/>
            <rFont val="Tahoma"/>
            <family val="2"/>
          </rPr>
          <t xml:space="preserve">
Easy comp and pick-up in Occupancy at Red Sea resorts</t>
        </r>
      </text>
    </comment>
    <comment ref="BU236" authorId="3">
      <text>
        <r>
          <rPr>
            <sz val="9"/>
            <color indexed="81"/>
            <rFont val="Tahoma"/>
            <family val="2"/>
          </rPr>
          <t>Strong results in Bahrain, the UAE, and Saudi
Arabia offset lower results in Egyp</t>
        </r>
      </text>
    </comment>
    <comment ref="BM238" authorId="11">
      <text>
        <r>
          <rPr>
            <b/>
            <sz val="8"/>
            <color indexed="81"/>
            <rFont val="Tahoma"/>
            <family val="2"/>
          </rPr>
          <t>thallen:</t>
        </r>
        <r>
          <rPr>
            <sz val="8"/>
            <color indexed="81"/>
            <rFont val="Tahoma"/>
            <family val="2"/>
          </rPr>
          <t xml:space="preserve">
Guidance: Mid-to-high single digits, incl. impact from recent China-Japan and Korea-Japan tension</t>
        </r>
      </text>
    </comment>
    <comment ref="BN238" authorId="1">
      <text>
        <r>
          <rPr>
            <b/>
            <sz val="8"/>
            <color indexed="81"/>
            <rFont val="Tahoma"/>
            <family val="2"/>
          </rPr>
          <t>jills:</t>
        </r>
        <r>
          <rPr>
            <sz val="8"/>
            <color indexed="81"/>
            <rFont val="Tahoma"/>
            <family val="2"/>
          </rPr>
          <t xml:space="preserve">
contributed ~9% of total 2012 fees with half coming from China</t>
        </r>
      </text>
    </comment>
    <comment ref="BO238" authorId="11">
      <text>
        <r>
          <rPr>
            <b/>
            <sz val="8"/>
            <color indexed="81"/>
            <rFont val="Tahoma"/>
            <family val="2"/>
          </rPr>
          <t>thallen:</t>
        </r>
        <r>
          <rPr>
            <sz val="8"/>
            <color indexed="81"/>
            <rFont val="Tahoma"/>
            <family val="2"/>
          </rPr>
          <t xml:space="preserve">
Guidance: Mid-single digit growth</t>
        </r>
      </text>
    </comment>
    <comment ref="BP238" authorId="1">
      <text>
        <r>
          <rPr>
            <b/>
            <sz val="8"/>
            <color indexed="81"/>
            <rFont val="Tahoma"/>
            <family val="2"/>
          </rPr>
          <t>jills:</t>
        </r>
        <r>
          <rPr>
            <sz val="8"/>
            <color indexed="81"/>
            <rFont val="Tahoma"/>
            <family val="2"/>
          </rPr>
          <t xml:space="preserve">
per 1Q13 call, low single digit rate given weak trends in Seoul and Beijing</t>
        </r>
      </text>
    </comment>
    <comment ref="BQ238" authorId="1">
      <text>
        <r>
          <rPr>
            <b/>
            <sz val="8"/>
            <color indexed="81"/>
            <rFont val="Tahoma"/>
            <family val="2"/>
          </rPr>
          <t>jills:</t>
        </r>
        <r>
          <rPr>
            <sz val="8"/>
            <color indexed="81"/>
            <rFont val="Tahoma"/>
            <family val="2"/>
          </rPr>
          <t xml:space="preserve">
mgmt cautious on demand trends in 2H
</t>
        </r>
      </text>
    </comment>
    <comment ref="BR238" authorId="1">
      <text>
        <r>
          <rPr>
            <b/>
            <sz val="8"/>
            <color indexed="81"/>
            <rFont val="Tahoma"/>
            <family val="2"/>
          </rPr>
          <t>jills:</t>
        </r>
        <r>
          <rPr>
            <sz val="8"/>
            <color indexed="81"/>
            <rFont val="Tahoma"/>
            <family val="2"/>
          </rPr>
          <t xml:space="preserve">
per 3Q call, expect low single digit RevPAR despite China govt austerity and new supply</t>
        </r>
      </text>
    </comment>
    <comment ref="BS238" authorId="11">
      <text>
        <r>
          <rPr>
            <b/>
            <sz val="8"/>
            <color indexed="81"/>
            <rFont val="Tahoma"/>
            <family val="2"/>
          </rPr>
          <t>thallen:</t>
        </r>
        <r>
          <rPr>
            <sz val="8"/>
            <color indexed="81"/>
            <rFont val="Tahoma"/>
            <family val="2"/>
          </rPr>
          <t xml:space="preserve">
Guidance (from 4Q12 call): Mid-single digit growth in 1Q, strengthening a few points as the year progresses
OLD:
(from 3Q12 call): up mid- to high-single digits,  negatively impacted by significant supply growth and slower inbound traffic from Europe but some large cities still doing very well</t>
        </r>
      </text>
    </comment>
    <comment ref="BT238" authorId="5">
      <text>
        <r>
          <rPr>
            <b/>
            <sz val="9"/>
            <color indexed="81"/>
            <rFont val="Tahoma"/>
            <family val="2"/>
          </rPr>
          <t>Savino, Mark (Research):</t>
        </r>
        <r>
          <rPr>
            <sz val="9"/>
            <color indexed="81"/>
            <rFont val="Tahoma"/>
            <family val="2"/>
          </rPr>
          <t xml:space="preserve">
Greater China up nearly 7%</t>
        </r>
      </text>
    </comment>
    <comment ref="BU238" authorId="5">
      <text>
        <r>
          <rPr>
            <b/>
            <sz val="9"/>
            <color indexed="81"/>
            <rFont val="Tahoma"/>
            <family val="2"/>
          </rPr>
          <t>Savino, Mark (Research):</t>
        </r>
        <r>
          <rPr>
            <sz val="9"/>
            <color indexed="81"/>
            <rFont val="Tahoma"/>
            <family val="2"/>
          </rPr>
          <t xml:space="preserve">
Greater China up nearly 7%</t>
        </r>
      </text>
    </comment>
    <comment ref="BW238" authorId="3">
      <text>
        <r>
          <rPr>
            <b/>
            <sz val="9"/>
            <color indexed="81"/>
            <rFont val="Tahoma"/>
            <family val="2"/>
          </rPr>
          <t>Chaudhry, Baset A (Research):</t>
        </r>
        <r>
          <rPr>
            <sz val="9"/>
            <color indexed="81"/>
            <rFont val="Tahoma"/>
            <family val="2"/>
          </rPr>
          <t xml:space="preserve">
Low single digit growth (India's holiday season provdies a tough comparison)</t>
        </r>
      </text>
    </comment>
    <comment ref="BX238" authorId="1">
      <text>
        <r>
          <rPr>
            <sz val="8"/>
            <color indexed="81"/>
            <rFont val="Tahoma"/>
            <family val="2"/>
          </rPr>
          <t>2Q14 guidance: Mid single-digit
4Q13 guidance: Mid single-digit
per 3Q13 call, expect mid single digit growth, constained by recent supply growth, add'l strict guidelines on govt meetings / banquets (taking effect Jan 2014); somewhat offset by easier comps; region contributed ~9% of fee revenue in 2012 with half coming from China</t>
        </r>
      </text>
    </comment>
    <comment ref="CB238" authorId="3">
      <text>
        <r>
          <rPr>
            <b/>
            <sz val="9"/>
            <color indexed="81"/>
            <rFont val="Tahoma"/>
            <family val="2"/>
          </rPr>
          <t>3Q15:</t>
        </r>
        <r>
          <rPr>
            <sz val="9"/>
            <color indexed="81"/>
            <rFont val="Tahoma"/>
            <family val="2"/>
          </rPr>
          <t xml:space="preserve">
More moderate growth in APAC and MEA</t>
        </r>
      </text>
    </comment>
    <comment ref="CC238" authorId="3">
      <text>
        <r>
          <rPr>
            <b/>
            <sz val="9"/>
            <color indexed="81"/>
            <rFont val="Tahoma"/>
            <family val="2"/>
          </rPr>
          <t xml:space="preserve">Guidance
</t>
        </r>
        <r>
          <rPr>
            <sz val="9"/>
            <color indexed="81"/>
            <rFont val="Tahoma"/>
            <family val="2"/>
          </rPr>
          <t>2Q15: mid-single digits</t>
        </r>
        <r>
          <rPr>
            <b/>
            <sz val="9"/>
            <color indexed="81"/>
            <rFont val="Tahoma"/>
            <family val="2"/>
          </rPr>
          <t xml:space="preserve">
</t>
        </r>
        <r>
          <rPr>
            <sz val="9"/>
            <color indexed="81"/>
            <rFont val="Tahoma"/>
            <family val="2"/>
          </rPr>
          <t>1Q15: mid-single digits</t>
        </r>
        <r>
          <rPr>
            <b/>
            <sz val="9"/>
            <color indexed="81"/>
            <rFont val="Tahoma"/>
            <family val="2"/>
          </rPr>
          <t xml:space="preserve">
</t>
        </r>
        <r>
          <rPr>
            <sz val="9"/>
            <color indexed="81"/>
            <rFont val="Tahoma"/>
            <family val="2"/>
          </rPr>
          <t>4Q14: mid-single digits
tailwind from softer comp due to Hong Kong protests 
MS Asia wary of China trends</t>
        </r>
      </text>
    </comment>
    <comment ref="CG238" authorId="4">
      <text>
        <r>
          <rPr>
            <b/>
            <sz val="9"/>
            <color indexed="81"/>
            <rFont val="Tahoma"/>
            <family val="2"/>
          </rPr>
          <t>Allen, Thomas (Research):</t>
        </r>
        <r>
          <rPr>
            <sz val="9"/>
            <color indexed="81"/>
            <rFont val="Tahoma"/>
            <family val="2"/>
          </rPr>
          <t xml:space="preserve">
3Q16: Mgmt guided to flattish, death of Thai king having negative impact on market</t>
        </r>
      </text>
    </comment>
    <comment ref="CH238" authorId="3">
      <text>
        <r>
          <rPr>
            <b/>
            <sz val="9"/>
            <color indexed="81"/>
            <rFont val="Tahoma"/>
            <family val="2"/>
          </rPr>
          <t xml:space="preserve">3Q15:
</t>
        </r>
        <r>
          <rPr>
            <sz val="9"/>
            <color indexed="81"/>
            <rFont val="Tahoma"/>
            <family val="2"/>
          </rPr>
          <t xml:space="preserve">Mid single digit
</t>
        </r>
      </text>
    </comment>
    <comment ref="CK238" authorId="5">
      <text>
        <r>
          <rPr>
            <b/>
            <sz val="9"/>
            <color indexed="81"/>
            <rFont val="Tahoma"/>
            <family val="2"/>
          </rPr>
          <t>Savino, Mark (Research):</t>
        </r>
        <r>
          <rPr>
            <sz val="9"/>
            <color indexed="81"/>
            <rFont val="Tahoma"/>
            <family val="2"/>
          </rPr>
          <t xml:space="preserve">
3Q17: Greater China RevPAR increased appr. 11%, India RevPAR +7%. Nights sold to Mainland China travelers increased appr. 20% 
2Q17: Up MSD with upside potential</t>
        </r>
      </text>
    </comment>
    <comment ref="CL238" authorId="4">
      <text>
        <r>
          <rPr>
            <b/>
            <sz val="9"/>
            <color indexed="81"/>
            <rFont val="Tahoma"/>
            <family val="2"/>
          </rPr>
          <t>Allen, Thomas (Research):</t>
        </r>
        <r>
          <rPr>
            <sz val="9"/>
            <color indexed="81"/>
            <rFont val="Tahoma"/>
            <family val="2"/>
          </rPr>
          <t xml:space="preserve">
2Q17: Up MSD with upside potential
Comping Thai king death</t>
        </r>
      </text>
    </comment>
    <comment ref="CM238" authorId="4">
      <text>
        <r>
          <rPr>
            <b/>
            <sz val="9"/>
            <color indexed="81"/>
            <rFont val="Tahoma"/>
            <family val="2"/>
          </rPr>
          <t>Allen, Thomas (Research):</t>
        </r>
        <r>
          <rPr>
            <sz val="9"/>
            <color indexed="81"/>
            <rFont val="Tahoma"/>
            <family val="2"/>
          </rPr>
          <t xml:space="preserve">
4Q16: LSD-MSD
3Q16: Up LSD-MSD
13% of 2015 fees, half China</t>
        </r>
      </text>
    </comment>
    <comment ref="CN238" authorId="4">
      <text>
        <r>
          <rPr>
            <b/>
            <sz val="9"/>
            <color indexed="81"/>
            <rFont val="Tahoma"/>
            <family val="2"/>
          </rPr>
          <t>Allen, Thomas (Research):</t>
        </r>
        <r>
          <rPr>
            <sz val="9"/>
            <color indexed="81"/>
            <rFont val="Tahoma"/>
            <family val="2"/>
          </rPr>
          <t xml:space="preserve">
4Q17: MSD</t>
        </r>
      </text>
    </comment>
    <comment ref="CR238" authorId="2">
      <text>
        <r>
          <rPr>
            <b/>
            <sz val="9"/>
            <color indexed="81"/>
            <rFont val="Tahoma"/>
            <family val="2"/>
          </rPr>
          <t>Zheng, Chaodan (Research):</t>
        </r>
        <r>
          <rPr>
            <sz val="9"/>
            <color indexed="81"/>
            <rFont val="Tahoma"/>
            <family val="2"/>
          </rPr>
          <t xml:space="preserve">
4Q17: MSD
3Q17: strong  MSD</t>
        </r>
      </text>
    </comment>
    <comment ref="V239" authorId="6">
      <text>
        <r>
          <rPr>
            <sz val="8"/>
            <color indexed="81"/>
            <rFont val="Tahoma"/>
            <family val="2"/>
          </rPr>
          <t xml:space="preserve">Two Months Ended February 29, 2004 </t>
        </r>
      </text>
    </comment>
    <comment ref="W239" authorId="6">
      <text>
        <r>
          <rPr>
            <sz val="8"/>
            <color indexed="81"/>
            <rFont val="Tahoma"/>
            <family val="2"/>
          </rPr>
          <t xml:space="preserve">Three Months Ended May 31, 2004 </t>
        </r>
      </text>
    </comment>
    <comment ref="X239" authorId="6">
      <text>
        <r>
          <rPr>
            <sz val="8"/>
            <color indexed="81"/>
            <rFont val="Tahoma"/>
            <family val="2"/>
          </rPr>
          <t xml:space="preserve">Three Months Ended August 31, 2004 </t>
        </r>
      </text>
    </comment>
    <comment ref="Y239" authorId="6">
      <text>
        <r>
          <rPr>
            <sz val="8"/>
            <color indexed="81"/>
            <rFont val="Tahoma"/>
            <family val="2"/>
          </rPr>
          <t xml:space="preserve">Four Months Ended December 31, 2004 </t>
        </r>
      </text>
    </comment>
    <comment ref="AA239" authorId="6">
      <text>
        <r>
          <rPr>
            <sz val="8"/>
            <color indexed="81"/>
            <rFont val="Tahoma"/>
            <family val="2"/>
          </rPr>
          <t xml:space="preserve">Two Months Ended February 28, 2005 </t>
        </r>
      </text>
    </comment>
    <comment ref="AB239" authorId="6">
      <text>
        <r>
          <rPr>
            <sz val="8"/>
            <color indexed="81"/>
            <rFont val="Tahoma"/>
            <family val="2"/>
          </rPr>
          <t xml:space="preserve">Three Months Ended May 31, 2005 </t>
        </r>
      </text>
    </comment>
    <comment ref="AC239" authorId="6">
      <text>
        <r>
          <rPr>
            <sz val="8"/>
            <color indexed="81"/>
            <rFont val="Tahoma"/>
            <family val="2"/>
          </rPr>
          <t xml:space="preserve">Three Months Ended August 31, 2005 </t>
        </r>
      </text>
    </comment>
    <comment ref="AD239" authorId="6">
      <text>
        <r>
          <rPr>
            <sz val="8"/>
            <color indexed="81"/>
            <rFont val="Tahoma"/>
            <family val="2"/>
          </rPr>
          <t xml:space="preserve">Four Months Ended December 31, 2005 </t>
        </r>
      </text>
    </comment>
    <comment ref="AF239" authorId="6">
      <text>
        <r>
          <rPr>
            <sz val="8"/>
            <color indexed="81"/>
            <rFont val="Tahoma"/>
            <family val="2"/>
          </rPr>
          <t xml:space="preserve">Two Months Ended February 28, 2006 </t>
        </r>
      </text>
    </comment>
    <comment ref="AG239" authorId="6">
      <text>
        <r>
          <rPr>
            <sz val="8"/>
            <color indexed="81"/>
            <rFont val="Tahoma"/>
            <family val="2"/>
          </rPr>
          <t xml:space="preserve">Three Months Ended May 31, 2006 </t>
        </r>
        <r>
          <rPr>
            <sz val="8"/>
            <color indexed="81"/>
            <rFont val="Tahoma"/>
            <family val="2"/>
          </rPr>
          <t xml:space="preserve">
</t>
        </r>
      </text>
    </comment>
    <comment ref="AH239" authorId="6">
      <text>
        <r>
          <rPr>
            <sz val="8"/>
            <color indexed="81"/>
            <rFont val="Tahoma"/>
            <family val="2"/>
          </rPr>
          <t xml:space="preserve">Three Months Ended August 31, 2006 </t>
        </r>
      </text>
    </comment>
    <comment ref="AI239" authorId="6">
      <text>
        <r>
          <rPr>
            <sz val="8"/>
            <color indexed="81"/>
            <rFont val="Tahoma"/>
            <family val="2"/>
          </rPr>
          <t xml:space="preserve">For Four months ended Dec 31, 2006
</t>
        </r>
      </text>
    </comment>
    <comment ref="AJ239" authorId="6">
      <text>
        <r>
          <rPr>
            <sz val="8"/>
            <color indexed="81"/>
            <rFont val="Tahoma"/>
            <family val="2"/>
          </rPr>
          <t>For Twelve months ended Dec 31, 2006</t>
        </r>
      </text>
    </comment>
    <comment ref="AK239" authorId="6">
      <text>
        <r>
          <rPr>
            <sz val="8"/>
            <color indexed="81"/>
            <rFont val="Tahoma"/>
            <family val="2"/>
          </rPr>
          <t xml:space="preserve">Two Months Ended February 28, 2007 </t>
        </r>
      </text>
    </comment>
    <comment ref="AL239" authorId="6">
      <text>
        <r>
          <rPr>
            <sz val="8"/>
            <color indexed="81"/>
            <rFont val="Tahoma"/>
            <family val="2"/>
          </rPr>
          <t xml:space="preserve">Three Months Ended May 31, 2007 </t>
        </r>
      </text>
    </comment>
    <comment ref="AM239" authorId="6">
      <text>
        <r>
          <rPr>
            <sz val="8"/>
            <color indexed="81"/>
            <rFont val="Tahoma"/>
            <family val="2"/>
          </rPr>
          <t xml:space="preserve">Three Months Ended August 31, 2007 </t>
        </r>
      </text>
    </comment>
    <comment ref="AN239" authorId="6">
      <text>
        <r>
          <rPr>
            <sz val="8"/>
            <color indexed="81"/>
            <rFont val="Tahoma"/>
            <family val="2"/>
          </rPr>
          <t xml:space="preserve">Four Months Ended December 31, 2007 </t>
        </r>
        <r>
          <rPr>
            <sz val="8"/>
            <color indexed="81"/>
            <rFont val="Tahoma"/>
            <family val="2"/>
          </rPr>
          <t xml:space="preserve">
</t>
        </r>
      </text>
    </comment>
    <comment ref="BL239" authorId="11">
      <text>
        <r>
          <rPr>
            <b/>
            <sz val="8"/>
            <color indexed="81"/>
            <rFont val="Tahoma"/>
            <family val="2"/>
          </rPr>
          <t>thallen:</t>
        </r>
        <r>
          <rPr>
            <sz val="8"/>
            <color indexed="81"/>
            <rFont val="Tahoma"/>
            <family val="2"/>
          </rPr>
          <t xml:space="preserve">
Strength in HK, Thailand, Indonesia, and Tokyo</t>
        </r>
      </text>
    </comment>
    <comment ref="BO239" authorId="1">
      <text>
        <r>
          <rPr>
            <b/>
            <sz val="8"/>
            <color indexed="81"/>
            <rFont val="Tahoma"/>
            <family val="2"/>
          </rPr>
          <t>jills:</t>
        </r>
        <r>
          <rPr>
            <sz val="8"/>
            <color indexed="81"/>
            <rFont val="Tahoma"/>
            <family val="2"/>
          </rPr>
          <t xml:space="preserve">
very strong growth in Indonesia and Thailand</t>
        </r>
      </text>
    </comment>
    <comment ref="BQ239" authorId="1">
      <text>
        <r>
          <rPr>
            <b/>
            <sz val="8"/>
            <color indexed="81"/>
            <rFont val="Tahoma"/>
            <family val="2"/>
          </rPr>
          <t>jills:</t>
        </r>
        <r>
          <rPr>
            <sz val="8"/>
            <color indexed="81"/>
            <rFont val="Tahoma"/>
            <family val="2"/>
          </rPr>
          <t xml:space="preserve">
per 3Q13 call, strong results in Indonesia, Thailand and Japan drove RevPAR up 5%; excluding greater China, performance was even stronger w cc RevPAR up 8%</t>
        </r>
      </text>
    </comment>
    <comment ref="A240" authorId="0">
      <text>
        <r>
          <rPr>
            <b/>
            <sz val="8"/>
            <color indexed="81"/>
            <rFont val="Tahoma"/>
            <family val="2"/>
          </rPr>
          <t>stramark:</t>
        </r>
        <r>
          <rPr>
            <sz val="8"/>
            <color indexed="81"/>
            <rFont val="Tahoma"/>
            <family val="2"/>
          </rPr>
          <t xml:space="preserve">
All</t>
        </r>
      </text>
    </comment>
    <comment ref="CN240" authorId="4">
      <text>
        <r>
          <rPr>
            <b/>
            <sz val="9"/>
            <color indexed="81"/>
            <rFont val="Tahoma"/>
            <family val="2"/>
          </rPr>
          <t>Allen, Thomas (Research):</t>
        </r>
        <r>
          <rPr>
            <sz val="9"/>
            <color indexed="81"/>
            <rFont val="Tahoma"/>
            <family val="2"/>
          </rPr>
          <t xml:space="preserve">
3-5% guidance</t>
        </r>
      </text>
    </comment>
    <comment ref="BX241" authorId="4">
      <text>
        <r>
          <rPr>
            <sz val="9"/>
            <color indexed="81"/>
            <rFont val="Tahoma"/>
            <family val="2"/>
          </rPr>
          <t>2Q14: guidance +4-6%
4Q13 guidance: +3-5%</t>
        </r>
      </text>
    </comment>
    <comment ref="CC241" authorId="3">
      <text>
        <r>
          <rPr>
            <b/>
            <sz val="9"/>
            <color indexed="81"/>
            <rFont val="Tahoma"/>
            <family val="2"/>
          </rPr>
          <t xml:space="preserve">Guidance
</t>
        </r>
        <r>
          <rPr>
            <sz val="9"/>
            <color indexed="81"/>
            <rFont val="Tahoma"/>
            <family val="2"/>
          </rPr>
          <t>4Q14: 5%</t>
        </r>
      </text>
    </comment>
    <comment ref="CN241" authorId="4">
      <text>
        <r>
          <rPr>
            <b/>
            <sz val="9"/>
            <color indexed="81"/>
            <rFont val="Tahoma"/>
            <family val="2"/>
          </rPr>
          <t>Allen, Thomas (Research):</t>
        </r>
        <r>
          <rPr>
            <sz val="9"/>
            <color indexed="81"/>
            <rFont val="Tahoma"/>
            <family val="2"/>
          </rPr>
          <t xml:space="preserve">
4Q17: 3-5%</t>
        </r>
      </text>
    </comment>
    <comment ref="CR241" authorId="4">
      <text>
        <r>
          <rPr>
            <b/>
            <sz val="9"/>
            <color indexed="81"/>
            <rFont val="Tahoma"/>
            <family val="2"/>
          </rPr>
          <t>Allen, Thomas (Research):</t>
        </r>
        <r>
          <rPr>
            <sz val="9"/>
            <color indexed="81"/>
            <rFont val="Tahoma"/>
            <family val="2"/>
          </rPr>
          <t xml:space="preserve">
4Q17: 3-5%</t>
        </r>
      </text>
    </comment>
    <comment ref="BM242" authorId="11">
      <text>
        <r>
          <rPr>
            <b/>
            <sz val="8"/>
            <color indexed="81"/>
            <rFont val="Tahoma"/>
            <family val="2"/>
          </rPr>
          <t>thallen:</t>
        </r>
        <r>
          <rPr>
            <sz val="8"/>
            <color indexed="81"/>
            <rFont val="Tahoma"/>
            <family val="2"/>
          </rPr>
          <t xml:space="preserve">
+0.7% actual dollars</t>
        </r>
      </text>
    </comment>
    <comment ref="BP242" authorId="1">
      <text>
        <r>
          <rPr>
            <b/>
            <sz val="8"/>
            <color indexed="81"/>
            <rFont val="Tahoma"/>
            <family val="2"/>
          </rPr>
          <t>jills:</t>
        </r>
        <r>
          <rPr>
            <sz val="8"/>
            <color indexed="81"/>
            <rFont val="Tahoma"/>
            <family val="2"/>
          </rPr>
          <t xml:space="preserve">
per 1Q13 call, lower end of range given trends in Europe and Asia</t>
        </r>
      </text>
    </comment>
    <comment ref="BU242" authorId="3">
      <text>
        <r>
          <rPr>
            <sz val="9"/>
            <color indexed="81"/>
            <rFont val="Tahoma"/>
            <family val="2"/>
          </rPr>
          <t>Excluding Venezuela</t>
        </r>
      </text>
    </comment>
    <comment ref="A243" authorId="0">
      <text>
        <r>
          <rPr>
            <b/>
            <sz val="8"/>
            <color indexed="81"/>
            <rFont val="Tahoma"/>
            <family val="2"/>
          </rPr>
          <t>stramark:</t>
        </r>
        <r>
          <rPr>
            <sz val="8"/>
            <color indexed="81"/>
            <rFont val="Tahoma"/>
            <family val="2"/>
          </rPr>
          <t xml:space="preserve">
Marriott, Renaissance, and Courtyard</t>
        </r>
      </text>
    </comment>
    <comment ref="A246" authorId="0">
      <text>
        <r>
          <rPr>
            <b/>
            <sz val="8"/>
            <color indexed="81"/>
            <rFont val="Tahoma"/>
            <family val="2"/>
          </rPr>
          <t>stramark:</t>
        </r>
        <r>
          <rPr>
            <sz val="8"/>
            <color indexed="81"/>
            <rFont val="Tahoma"/>
            <family val="2"/>
          </rPr>
          <t xml:space="preserve">
Ritz and Bulgari</t>
        </r>
      </text>
    </comment>
    <comment ref="A263" authorId="0">
      <text>
        <r>
          <rPr>
            <b/>
            <sz val="8"/>
            <color indexed="81"/>
            <rFont val="Tahoma"/>
            <family val="2"/>
          </rPr>
          <t>stramark:</t>
        </r>
        <r>
          <rPr>
            <sz val="8"/>
            <color indexed="81"/>
            <rFont val="Tahoma"/>
            <family val="2"/>
          </rPr>
          <t xml:space="preserve">
All</t>
        </r>
      </text>
    </comment>
    <comment ref="BA269" authorId="12">
      <text>
        <r>
          <rPr>
            <sz val="8"/>
            <color indexed="81"/>
            <rFont val="Tahoma"/>
            <family val="2"/>
          </rPr>
          <t xml:space="preserve">As per 1Q10 transcript.
</t>
        </r>
      </text>
    </comment>
    <comment ref="BD269" authorId="12">
      <text>
        <r>
          <rPr>
            <sz val="8"/>
            <color indexed="81"/>
            <rFont val="Tahoma"/>
            <family val="2"/>
          </rPr>
          <t xml:space="preserve">As per 1Q10 transcript.
</t>
        </r>
      </text>
    </comment>
    <comment ref="BF269" authorId="12">
      <text>
        <r>
          <rPr>
            <sz val="8"/>
            <color indexed="81"/>
            <rFont val="Tahoma"/>
            <family val="2"/>
          </rPr>
          <t xml:space="preserve">As per 1Q11 transcript.
Excluding the Middle East and Japan.
</t>
        </r>
      </text>
    </comment>
    <comment ref="BG269" authorId="12">
      <text>
        <r>
          <rPr>
            <sz val="8"/>
            <color indexed="81"/>
            <rFont val="Tahoma"/>
            <family val="2"/>
          </rPr>
          <t>Excluding the Middle East and Japan.
Source: 2Q11 Call transcript.</t>
        </r>
      </text>
    </comment>
    <comment ref="BH269" authorId="12">
      <text>
        <r>
          <rPr>
            <sz val="8"/>
            <color indexed="81"/>
            <rFont val="Tahoma"/>
            <family val="2"/>
          </rPr>
          <t>Likely to slow down from the third-quarter pace or 5% to 7% excluding the Middle East and Japan.
Source: 3Q11 Call transcript.</t>
        </r>
      </text>
    </comment>
    <comment ref="BI269" authorId="12">
      <text>
        <r>
          <rPr>
            <sz val="8"/>
            <color indexed="81"/>
            <rFont val="Tahoma"/>
            <family val="2"/>
          </rPr>
          <t>Excluding the Middle East and Japan.
Source: 2Q11 Call transcript.</t>
        </r>
      </text>
    </comment>
    <comment ref="BJ269" authorId="12">
      <text>
        <r>
          <rPr>
            <sz val="8"/>
            <color indexed="81"/>
            <rFont val="Tahoma"/>
            <family val="2"/>
          </rPr>
          <t>Likely to slow down from the third-quarter pace.
Source: 3Q11 Call transcript.</t>
        </r>
      </text>
    </comment>
    <comment ref="BM269" authorId="12">
      <text>
        <r>
          <rPr>
            <sz val="8"/>
            <color indexed="81"/>
            <rFont val="Tahoma"/>
            <family val="2"/>
          </rPr>
          <t xml:space="preserve">Europe: grow in LSD.
Carribean and Latin America: LSD growth
Middle East: HSD growth
Asia pacific: HSD growth
Source: 3Q12 Call transcript.
</t>
        </r>
      </text>
    </comment>
    <comment ref="BN269" authorId="12">
      <text>
        <r>
          <rPr>
            <sz val="8"/>
            <color indexed="81"/>
            <rFont val="Tahoma"/>
            <family val="2"/>
          </rPr>
          <t>5-7% per 2Q call</t>
        </r>
      </text>
    </comment>
    <comment ref="BP269" authorId="1">
      <text>
        <r>
          <rPr>
            <b/>
            <sz val="8"/>
            <color indexed="81"/>
            <rFont val="Tahoma"/>
            <family val="2"/>
          </rPr>
          <t>jills:</t>
        </r>
        <r>
          <rPr>
            <sz val="8"/>
            <color indexed="81"/>
            <rFont val="Tahoma"/>
            <family val="2"/>
          </rPr>
          <t xml:space="preserve">
probably at lower end of range given trends in Europe and Asia</t>
        </r>
      </text>
    </comment>
    <comment ref="BS269" authorId="1">
      <text>
        <r>
          <rPr>
            <b/>
            <sz val="8"/>
            <color indexed="81"/>
            <rFont val="Tahoma"/>
            <family val="2"/>
          </rPr>
          <t>jills:</t>
        </r>
        <r>
          <rPr>
            <sz val="8"/>
            <color indexed="81"/>
            <rFont val="Tahoma"/>
            <family val="2"/>
          </rPr>
          <t xml:space="preserve">
per 4Q12 earnings 3-5%
per 1Q13 earnings 3-5%
per 2Q13 earnings 2-4%
no updated guide in 3Q13</t>
        </r>
      </text>
    </comment>
    <comment ref="BV269" authorId="3">
      <text>
        <r>
          <rPr>
            <sz val="9"/>
            <color indexed="81"/>
            <rFont val="Tahoma"/>
            <family val="2"/>
          </rPr>
          <t>8K 2Q14</t>
        </r>
      </text>
    </comment>
    <comment ref="BX269" authorId="13">
      <text>
        <r>
          <rPr>
            <sz val="8"/>
            <color indexed="81"/>
            <rFont val="Tahoma"/>
            <family val="2"/>
          </rPr>
          <t xml:space="preserve">Per 2Q14 earnings: 4-6%
Per 1Q14 earnings: 4-6%
</t>
        </r>
      </text>
    </comment>
    <comment ref="BZ269" authorId="3">
      <text>
        <r>
          <rPr>
            <b/>
            <sz val="9"/>
            <color indexed="81"/>
            <rFont val="Tahoma"/>
            <family val="2"/>
          </rPr>
          <t>Chaudhry, Baset A (Research):</t>
        </r>
        <r>
          <rPr>
            <sz val="9"/>
            <color indexed="81"/>
            <rFont val="Tahoma"/>
            <family val="2"/>
          </rPr>
          <t xml:space="preserve">
Shift of the month of Ramadan</t>
        </r>
      </text>
    </comment>
    <comment ref="CA269" authorId="3">
      <text>
        <r>
          <rPr>
            <b/>
            <sz val="9"/>
            <color indexed="81"/>
            <rFont val="Tahoma"/>
            <family val="2"/>
          </rPr>
          <t>Chaudhry, Baset A (Research):</t>
        </r>
        <r>
          <rPr>
            <sz val="9"/>
            <color indexed="81"/>
            <rFont val="Tahoma"/>
            <family val="2"/>
          </rPr>
          <t xml:space="preserve">
Per 2Q15</t>
        </r>
      </text>
    </comment>
    <comment ref="CB269" authorId="9">
      <text>
        <r>
          <rPr>
            <sz val="9"/>
            <color indexed="81"/>
            <rFont val="Tahoma"/>
            <family val="2"/>
          </rPr>
          <t xml:space="preserve">Per 3Q15
</t>
        </r>
      </text>
    </comment>
    <comment ref="CC269" authorId="13">
      <text>
        <r>
          <rPr>
            <b/>
            <sz val="8"/>
            <color indexed="81"/>
            <rFont val="Tahoma"/>
            <family val="2"/>
          </rPr>
          <t xml:space="preserve">Guidance:
</t>
        </r>
        <r>
          <rPr>
            <sz val="8"/>
            <color indexed="81"/>
            <rFont val="Tahoma"/>
            <family val="2"/>
          </rPr>
          <t>2Q15: +4.5-5.5%</t>
        </r>
        <r>
          <rPr>
            <b/>
            <sz val="8"/>
            <color indexed="81"/>
            <rFont val="Tahoma"/>
            <family val="2"/>
          </rPr>
          <t xml:space="preserve">
</t>
        </r>
        <r>
          <rPr>
            <sz val="8"/>
            <color indexed="81"/>
            <rFont val="Tahoma"/>
            <family val="2"/>
          </rPr>
          <t>1Q15: +4-6%
4Q14: +3-5%
3Q14: +4-6%</t>
        </r>
        <r>
          <rPr>
            <sz val="8"/>
            <color indexed="81"/>
            <rFont val="Tahoma"/>
            <family val="2"/>
          </rPr>
          <t xml:space="preserve">
</t>
        </r>
      </text>
    </comment>
    <comment ref="CG269" authorId="5">
      <text>
        <r>
          <rPr>
            <b/>
            <sz val="9"/>
            <color indexed="81"/>
            <rFont val="Tahoma"/>
            <family val="2"/>
          </rPr>
          <t>Savino, Mark (Research):</t>
        </r>
        <r>
          <rPr>
            <sz val="9"/>
            <color indexed="81"/>
            <rFont val="Tahoma"/>
            <family val="2"/>
          </rPr>
          <t xml:space="preserve">
3Q16: 0%</t>
        </r>
      </text>
    </comment>
    <comment ref="CH269" authorId="9">
      <text>
        <r>
          <rPr>
            <b/>
            <sz val="9"/>
            <color indexed="81"/>
            <rFont val="Tahoma"/>
            <family val="2"/>
          </rPr>
          <t xml:space="preserve">Gudiance:
</t>
        </r>
        <r>
          <rPr>
            <sz val="9"/>
            <color indexed="81"/>
            <rFont val="Tahoma"/>
            <family val="2"/>
          </rPr>
          <t>2Q16: Approx. 3%</t>
        </r>
        <r>
          <rPr>
            <b/>
            <sz val="9"/>
            <color indexed="81"/>
            <rFont val="Tahoma"/>
            <family val="2"/>
          </rPr>
          <t xml:space="preserve">
</t>
        </r>
        <r>
          <rPr>
            <sz val="9"/>
            <color indexed="81"/>
            <rFont val="Tahoma"/>
            <family val="2"/>
          </rPr>
          <t>1Q16: 3-5%</t>
        </r>
        <r>
          <rPr>
            <b/>
            <sz val="9"/>
            <color indexed="81"/>
            <rFont val="Tahoma"/>
            <family val="2"/>
          </rPr>
          <t xml:space="preserve">
</t>
        </r>
        <r>
          <rPr>
            <sz val="9"/>
            <color indexed="81"/>
            <rFont val="Tahoma"/>
            <family val="2"/>
          </rPr>
          <t>4Q15: 3-5%</t>
        </r>
        <r>
          <rPr>
            <b/>
            <sz val="9"/>
            <color indexed="81"/>
            <rFont val="Tahoma"/>
            <family val="2"/>
          </rPr>
          <t xml:space="preserve">
</t>
        </r>
        <r>
          <rPr>
            <sz val="9"/>
            <color indexed="81"/>
            <rFont val="Tahoma"/>
            <family val="2"/>
          </rPr>
          <t xml:space="preserve">3Q15: 4-6%
</t>
        </r>
      </text>
    </comment>
    <comment ref="CL269" authorId="5">
      <text>
        <r>
          <rPr>
            <b/>
            <sz val="9"/>
            <color indexed="81"/>
            <rFont val="Tahoma"/>
            <family val="2"/>
          </rPr>
          <t>Savino, Mark (Research):</t>
        </r>
        <r>
          <rPr>
            <sz val="9"/>
            <color indexed="81"/>
            <rFont val="Tahoma"/>
            <family val="2"/>
          </rPr>
          <t xml:space="preserve">
3Q17: 3-5%
2Q17: 2-4%</t>
        </r>
      </text>
    </comment>
    <comment ref="CM269" authorId="4">
      <text>
        <r>
          <rPr>
            <b/>
            <sz val="9"/>
            <color indexed="81"/>
            <rFont val="Tahoma"/>
            <family val="2"/>
          </rPr>
          <t>Allen, Thomas (Research):</t>
        </r>
        <r>
          <rPr>
            <sz val="9"/>
            <color indexed="81"/>
            <rFont val="Tahoma"/>
            <family val="2"/>
          </rPr>
          <t xml:space="preserve">
3Q17: ~5%
2Q17: 3-5%
1Q17: 2-4%
4Q16: 1-3%
3Q16: 0-2%</t>
        </r>
      </text>
    </comment>
    <comment ref="CR269" authorId="4">
      <text>
        <r>
          <rPr>
            <b/>
            <sz val="9"/>
            <color indexed="81"/>
            <rFont val="Tahoma"/>
            <family val="2"/>
          </rPr>
          <t>Allen, Thomas (Research):</t>
        </r>
        <r>
          <rPr>
            <sz val="9"/>
            <color indexed="81"/>
            <rFont val="Tahoma"/>
            <family val="2"/>
          </rPr>
          <t xml:space="preserve">
4Q17: 3-5%
3Q17: 3-5%
</t>
        </r>
      </text>
    </comment>
    <comment ref="AP362" authorId="0">
      <text>
        <r>
          <rPr>
            <b/>
            <sz val="8"/>
            <color indexed="81"/>
            <rFont val="Tahoma"/>
            <family val="2"/>
          </rPr>
          <t>stramark:</t>
        </r>
        <r>
          <rPr>
            <sz val="8"/>
            <color indexed="81"/>
            <rFont val="Tahoma"/>
            <family val="2"/>
          </rPr>
          <t xml:space="preserve">
Assumes 25% UK</t>
        </r>
      </text>
    </comment>
    <comment ref="AQ362" authorId="0">
      <text>
        <r>
          <rPr>
            <b/>
            <sz val="8"/>
            <color indexed="81"/>
            <rFont val="Tahoma"/>
            <family val="2"/>
          </rPr>
          <t>stramark:</t>
        </r>
        <r>
          <rPr>
            <sz val="8"/>
            <color indexed="81"/>
            <rFont val="Tahoma"/>
            <family val="2"/>
          </rPr>
          <t xml:space="preserve">
Assumes 25% UK</t>
        </r>
      </text>
    </comment>
    <comment ref="AR362" authorId="0">
      <text>
        <r>
          <rPr>
            <b/>
            <sz val="8"/>
            <color indexed="81"/>
            <rFont val="Tahoma"/>
            <family val="2"/>
          </rPr>
          <t>stramark:</t>
        </r>
        <r>
          <rPr>
            <sz val="8"/>
            <color indexed="81"/>
            <rFont val="Tahoma"/>
            <family val="2"/>
          </rPr>
          <t xml:space="preserve">
Assumes 25% UK</t>
        </r>
      </text>
    </comment>
    <comment ref="AS362" authorId="0">
      <text>
        <r>
          <rPr>
            <b/>
            <sz val="8"/>
            <color indexed="81"/>
            <rFont val="Tahoma"/>
            <family val="2"/>
          </rPr>
          <t>stramark:</t>
        </r>
        <r>
          <rPr>
            <sz val="8"/>
            <color indexed="81"/>
            <rFont val="Tahoma"/>
            <family val="2"/>
          </rPr>
          <t xml:space="preserve">
Assumes 25% UK</t>
        </r>
      </text>
    </comment>
    <comment ref="AU362" authorId="0">
      <text>
        <r>
          <rPr>
            <b/>
            <sz val="8"/>
            <color indexed="81"/>
            <rFont val="Tahoma"/>
            <family val="2"/>
          </rPr>
          <t>stramark:</t>
        </r>
        <r>
          <rPr>
            <sz val="8"/>
            <color indexed="81"/>
            <rFont val="Tahoma"/>
            <family val="2"/>
          </rPr>
          <t xml:space="preserve">
Assumes 25% UK</t>
        </r>
      </text>
    </comment>
    <comment ref="AV362" authorId="0">
      <text>
        <r>
          <rPr>
            <b/>
            <sz val="8"/>
            <color indexed="81"/>
            <rFont val="Tahoma"/>
            <family val="2"/>
          </rPr>
          <t>stramark:</t>
        </r>
        <r>
          <rPr>
            <sz val="8"/>
            <color indexed="81"/>
            <rFont val="Tahoma"/>
            <family val="2"/>
          </rPr>
          <t xml:space="preserve">
Assumes 25% UK</t>
        </r>
      </text>
    </comment>
    <comment ref="AW362" authorId="0">
      <text>
        <r>
          <rPr>
            <b/>
            <sz val="8"/>
            <color indexed="81"/>
            <rFont val="Tahoma"/>
            <family val="2"/>
          </rPr>
          <t>stramark:</t>
        </r>
        <r>
          <rPr>
            <sz val="8"/>
            <color indexed="81"/>
            <rFont val="Tahoma"/>
            <family val="2"/>
          </rPr>
          <t xml:space="preserve">
Assumes 25% UK</t>
        </r>
      </text>
    </comment>
    <comment ref="AX362" authorId="0">
      <text>
        <r>
          <rPr>
            <b/>
            <sz val="8"/>
            <color indexed="81"/>
            <rFont val="Tahoma"/>
            <family val="2"/>
          </rPr>
          <t>stramark:</t>
        </r>
        <r>
          <rPr>
            <sz val="8"/>
            <color indexed="81"/>
            <rFont val="Tahoma"/>
            <family val="2"/>
          </rPr>
          <t xml:space="preserve">
Assumes 25% UK</t>
        </r>
      </text>
    </comment>
    <comment ref="AZ362" authorId="0">
      <text>
        <r>
          <rPr>
            <b/>
            <sz val="8"/>
            <color indexed="81"/>
            <rFont val="Tahoma"/>
            <family val="2"/>
          </rPr>
          <t>stramark:</t>
        </r>
        <r>
          <rPr>
            <sz val="8"/>
            <color indexed="81"/>
            <rFont val="Tahoma"/>
            <family val="2"/>
          </rPr>
          <t xml:space="preserve">
Assumes 25% UK</t>
        </r>
      </text>
    </comment>
    <comment ref="BA362" authorId="0">
      <text>
        <r>
          <rPr>
            <b/>
            <sz val="8"/>
            <color indexed="81"/>
            <rFont val="Tahoma"/>
            <family val="2"/>
          </rPr>
          <t>stramark:</t>
        </r>
        <r>
          <rPr>
            <sz val="8"/>
            <color indexed="81"/>
            <rFont val="Tahoma"/>
            <family val="2"/>
          </rPr>
          <t xml:space="preserve">
Assumes 25% UK</t>
        </r>
      </text>
    </comment>
    <comment ref="BB362" authorId="0">
      <text>
        <r>
          <rPr>
            <b/>
            <sz val="8"/>
            <color indexed="81"/>
            <rFont val="Tahoma"/>
            <family val="2"/>
          </rPr>
          <t>stramark:</t>
        </r>
        <r>
          <rPr>
            <sz val="8"/>
            <color indexed="81"/>
            <rFont val="Tahoma"/>
            <family val="2"/>
          </rPr>
          <t xml:space="preserve">
Assumes 25% UK</t>
        </r>
      </text>
    </comment>
    <comment ref="BC362" authorId="0">
      <text>
        <r>
          <rPr>
            <b/>
            <sz val="8"/>
            <color indexed="81"/>
            <rFont val="Tahoma"/>
            <family val="2"/>
          </rPr>
          <t>stramark:</t>
        </r>
        <r>
          <rPr>
            <sz val="8"/>
            <color indexed="81"/>
            <rFont val="Tahoma"/>
            <family val="2"/>
          </rPr>
          <t xml:space="preserve">
Assumes 25% UK</t>
        </r>
      </text>
    </comment>
    <comment ref="CG405" authorId="5">
      <text>
        <r>
          <rPr>
            <b/>
            <sz val="9"/>
            <color indexed="81"/>
            <rFont val="Tahoma"/>
            <family val="2"/>
          </rPr>
          <t>Savino, Mark (Research):</t>
        </r>
        <r>
          <rPr>
            <sz val="9"/>
            <color indexed="81"/>
            <rFont val="Tahoma"/>
            <family val="2"/>
          </rPr>
          <t xml:space="preserve">
Includes 21,705 Legacy HOT rooms</t>
        </r>
      </text>
    </comment>
    <comment ref="BH406" authorId="14">
      <text>
        <r>
          <rPr>
            <b/>
            <sz val="8"/>
            <color indexed="81"/>
            <rFont val="Tahoma"/>
            <family val="2"/>
          </rPr>
          <t>DJF 3/23/12:</t>
        </r>
        <r>
          <rPr>
            <sz val="8"/>
            <color indexed="81"/>
            <rFont val="Tahoma"/>
            <family val="2"/>
          </rPr>
          <t xml:space="preserve">
Excludes AC Hotels and Autograph hotels owned in JV</t>
        </r>
      </text>
    </comment>
    <comment ref="BM406" authorId="14">
      <text>
        <r>
          <rPr>
            <b/>
            <sz val="8"/>
            <color indexed="81"/>
            <rFont val="Tahoma"/>
            <family val="2"/>
          </rPr>
          <t>DJF 3/23/12:</t>
        </r>
        <r>
          <rPr>
            <sz val="8"/>
            <color indexed="81"/>
            <rFont val="Tahoma"/>
            <family val="2"/>
          </rPr>
          <t xml:space="preserve">
Excludes AC Hotels and Autograph hotels owned in JV</t>
        </r>
      </text>
    </comment>
    <comment ref="CG406" authorId="5">
      <text>
        <r>
          <rPr>
            <b/>
            <sz val="9"/>
            <color indexed="81"/>
            <rFont val="Tahoma"/>
            <family val="2"/>
          </rPr>
          <t>Savino, Mark (Research):</t>
        </r>
        <r>
          <rPr>
            <sz val="9"/>
            <color indexed="81"/>
            <rFont val="Tahoma"/>
            <family val="2"/>
          </rPr>
          <t xml:space="preserve">
Includes 42,112 Legacy HOT rooms</t>
        </r>
      </text>
    </comment>
    <comment ref="CG407" authorId="5">
      <text>
        <r>
          <rPr>
            <b/>
            <sz val="9"/>
            <color indexed="81"/>
            <rFont val="Tahoma"/>
            <family val="2"/>
          </rPr>
          <t>Savino, Mark (Research):</t>
        </r>
        <r>
          <rPr>
            <sz val="9"/>
            <color indexed="81"/>
            <rFont val="Tahoma"/>
            <family val="2"/>
          </rPr>
          <t xml:space="preserve">
Includes 25,203 Legacy HOT rooms</t>
        </r>
      </text>
    </comment>
    <comment ref="BH409" authorId="14">
      <text>
        <r>
          <rPr>
            <b/>
            <sz val="8"/>
            <color indexed="81"/>
            <rFont val="Tahoma"/>
            <family val="2"/>
          </rPr>
          <t>DJF 3/23/12:</t>
        </r>
        <r>
          <rPr>
            <sz val="8"/>
            <color indexed="81"/>
            <rFont val="Tahoma"/>
            <family val="2"/>
          </rPr>
          <t xml:space="preserve">
per 10-K</t>
        </r>
      </text>
    </comment>
    <comment ref="BM409" authorId="11">
      <text>
        <r>
          <rPr>
            <b/>
            <sz val="8"/>
            <color indexed="81"/>
            <rFont val="Tahoma"/>
            <family val="2"/>
          </rPr>
          <t>thallen:</t>
        </r>
        <r>
          <rPr>
            <sz val="8"/>
            <color indexed="81"/>
            <rFont val="Tahoma"/>
            <family val="2"/>
          </rPr>
          <t xml:space="preserve">
Per 10-K</t>
        </r>
      </text>
    </comment>
    <comment ref="A536" authorId="15">
      <text>
        <r>
          <rPr>
            <b/>
            <sz val="8"/>
            <color indexed="81"/>
            <rFont val="Tahoma"/>
            <family val="2"/>
          </rPr>
          <t>DJF 4/8/12:</t>
        </r>
        <r>
          <rPr>
            <sz val="8"/>
            <color indexed="81"/>
            <rFont val="Tahoma"/>
            <family val="2"/>
          </rPr>
          <t xml:space="preserve">
Company Operated RevPAR</t>
        </r>
      </text>
    </comment>
    <comment ref="A541" authorId="15">
      <text>
        <r>
          <rPr>
            <b/>
            <sz val="8"/>
            <color indexed="81"/>
            <rFont val="Tahoma"/>
            <family val="2"/>
          </rPr>
          <t>DJF 4/8/12:</t>
        </r>
        <r>
          <rPr>
            <sz val="8"/>
            <color indexed="81"/>
            <rFont val="Tahoma"/>
            <family val="2"/>
          </rPr>
          <t xml:space="preserve">
Company Operated RevPAR</t>
        </r>
      </text>
    </comment>
    <comment ref="AH578" authorId="16">
      <text>
        <r>
          <rPr>
            <sz val="8"/>
            <color indexed="81"/>
            <rFont val="Tahoma"/>
            <family val="2"/>
          </rPr>
          <t xml:space="preserve">Prior 3Q06: Subtotal includes: The Ritz-Carlton 
</t>
        </r>
      </text>
    </comment>
    <comment ref="BD584" authorId="16">
      <text>
        <r>
          <rPr>
            <sz val="8"/>
            <color indexed="81"/>
            <rFont val="Tahoma"/>
            <family val="2"/>
          </rPr>
          <t>The first seven Autograph hotels saw their REVPAR index grow by over 20 percentage points in the second half of 2010
Transcript 4Q10</t>
        </r>
      </text>
    </comment>
    <comment ref="BE584" authorId="16">
      <text>
        <r>
          <rPr>
            <sz val="8"/>
            <color indexed="81"/>
            <rFont val="Tahoma"/>
            <family val="2"/>
          </rPr>
          <t>Transcript 1Q11</t>
        </r>
        <r>
          <rPr>
            <sz val="8"/>
            <color indexed="81"/>
            <rFont val="Tahoma"/>
            <family val="2"/>
          </rPr>
          <t xml:space="preserve">
</t>
        </r>
      </text>
    </comment>
    <comment ref="BF584" authorId="16">
      <text>
        <r>
          <rPr>
            <sz val="8"/>
            <color indexed="81"/>
            <rFont val="Tahoma"/>
            <family val="2"/>
          </rPr>
          <t>Transcript 2Q11</t>
        </r>
        <r>
          <rPr>
            <sz val="8"/>
            <color indexed="81"/>
            <rFont val="Tahoma"/>
            <family val="2"/>
          </rPr>
          <t xml:space="preserve">
</t>
        </r>
      </text>
    </comment>
    <comment ref="BG584" authorId="16">
      <text>
        <r>
          <rPr>
            <sz val="8"/>
            <color indexed="81"/>
            <rFont val="Tahoma"/>
            <family val="2"/>
          </rPr>
          <t>REVPAR for our first 14 converted autograph hotels rose 12% for the 3 months ended in August
Transcript 3Q11</t>
        </r>
      </text>
    </comment>
    <comment ref="BI584" authorId="16">
      <text>
        <r>
          <rPr>
            <sz val="8"/>
            <color indexed="81"/>
            <rFont val="Tahoma"/>
            <family val="2"/>
          </rPr>
          <t>Transcript 4Q11</t>
        </r>
        <r>
          <rPr>
            <sz val="8"/>
            <color indexed="81"/>
            <rFont val="Tahoma"/>
            <family val="2"/>
          </rPr>
          <t xml:space="preserve">
</t>
        </r>
      </text>
    </comment>
    <comment ref="BU588" authorId="3">
      <text>
        <r>
          <rPr>
            <sz val="9"/>
            <color indexed="81"/>
            <rFont val="Tahoma"/>
            <family val="2"/>
          </rPr>
          <t>Roughly 1 point negative impact of the shifting Easter holiday</t>
        </r>
      </text>
    </comment>
    <comment ref="CK588" authorId="5">
      <text>
        <r>
          <rPr>
            <b/>
            <sz val="9"/>
            <color indexed="81"/>
            <rFont val="Tahoma"/>
            <family val="2"/>
          </rPr>
          <t>Savino, Mark (Research):</t>
        </r>
        <r>
          <rPr>
            <sz val="9"/>
            <color indexed="81"/>
            <rFont val="Tahoma"/>
            <family val="2"/>
          </rPr>
          <t xml:space="preserve">
Headwind from Jewish holidays (100bps) shifting back into September vs. October last year, hurricanes benefitted qtr by 25bps</t>
        </r>
      </text>
    </comment>
    <comment ref="BP589" authorId="1">
      <text>
        <r>
          <rPr>
            <b/>
            <sz val="8"/>
            <color indexed="81"/>
            <rFont val="Tahoma"/>
            <family val="2"/>
          </rPr>
          <t>jills:</t>
        </r>
        <r>
          <rPr>
            <sz val="8"/>
            <color indexed="81"/>
            <rFont val="Tahoma"/>
            <family val="2"/>
          </rPr>
          <t xml:space="preserve">
company-operated hotels in Chicago, Houston, San Francisco, and CA desert all reported-double digit RevPAR growth in 2Q</t>
        </r>
      </text>
    </comment>
    <comment ref="AQ664" authorId="17">
      <text>
        <r>
          <rPr>
            <sz val="8"/>
            <color indexed="81"/>
            <rFont val="Tahoma"/>
            <family val="2"/>
          </rPr>
          <t>Worldwide company-operated comparable house profit margins were flat</t>
        </r>
        <r>
          <rPr>
            <sz val="8"/>
            <color indexed="81"/>
            <rFont val="Tahoma"/>
            <family val="2"/>
          </rPr>
          <t xml:space="preserve">
</t>
        </r>
      </text>
    </comment>
    <comment ref="BL664" authorId="11">
      <text>
        <r>
          <rPr>
            <b/>
            <sz val="8"/>
            <color indexed="81"/>
            <rFont val="Tahoma"/>
            <family val="2"/>
          </rPr>
          <t>thallen:</t>
        </r>
        <r>
          <rPr>
            <sz val="8"/>
            <color indexed="81"/>
            <rFont val="Tahoma"/>
            <family val="2"/>
          </rPr>
          <t xml:space="preserve">
Lower energy costs, continued efficiency improvements</t>
        </r>
      </text>
    </comment>
    <comment ref="BS664" authorId="1">
      <text>
        <r>
          <rPr>
            <b/>
            <sz val="8"/>
            <color indexed="81"/>
            <rFont val="Tahoma"/>
            <family val="2"/>
          </rPr>
          <t>jills:</t>
        </r>
        <r>
          <rPr>
            <sz val="8"/>
            <color indexed="81"/>
            <rFont val="Tahoma"/>
            <family val="2"/>
          </rPr>
          <t xml:space="preserve">
per 3Q13 call, mgmt expect ~100 bps of margin improvement for full year '13</t>
        </r>
      </text>
    </comment>
    <comment ref="V665" authorId="17">
      <text>
        <r>
          <rPr>
            <sz val="8"/>
            <color indexed="81"/>
            <rFont val="Tahoma"/>
            <family val="2"/>
          </rPr>
          <t>North American company-operated hotel house profit margins declined slightly during the first quarter because of higher utility and associate benefit costs.</t>
        </r>
        <r>
          <rPr>
            <sz val="8"/>
            <color indexed="81"/>
            <rFont val="Tahoma"/>
            <family val="2"/>
          </rPr>
          <t xml:space="preserve">
</t>
        </r>
      </text>
    </comment>
    <comment ref="BA665" authorId="17">
      <text>
        <r>
          <rPr>
            <sz val="8"/>
            <color indexed="81"/>
            <rFont val="Tahoma"/>
            <family val="2"/>
          </rPr>
          <t>90 basis points across-the-board for both domestic as well as international</t>
        </r>
      </text>
    </comment>
    <comment ref="BE665" authorId="18">
      <text>
        <r>
          <rPr>
            <b/>
            <sz val="8"/>
            <color indexed="81"/>
            <rFont val="Tahoma"/>
            <family val="2"/>
          </rPr>
          <t>danfuss:</t>
        </r>
        <r>
          <rPr>
            <sz val="8"/>
            <color indexed="81"/>
            <rFont val="Tahoma"/>
            <family val="2"/>
          </rPr>
          <t xml:space="preserve">
1Q: For 2011 Expect House Margins to Increase 100-150 bps</t>
        </r>
      </text>
    </comment>
    <comment ref="BF665" authorId="18">
      <text>
        <r>
          <rPr>
            <b/>
            <sz val="8"/>
            <color indexed="81"/>
            <rFont val="Tahoma"/>
            <family val="2"/>
          </rPr>
          <t>danfuss:</t>
        </r>
        <r>
          <rPr>
            <sz val="8"/>
            <color indexed="81"/>
            <rFont val="Tahoma"/>
            <family val="2"/>
          </rPr>
          <t xml:space="preserve">
Expects 100-125 bp for FY; high end brought down 25 bps</t>
        </r>
      </text>
    </comment>
    <comment ref="BA666" authorId="17">
      <text>
        <r>
          <rPr>
            <sz val="8"/>
            <color indexed="81"/>
            <rFont val="Tahoma"/>
            <family val="2"/>
          </rPr>
          <t>90 basis points across-the-board for both domestic as well as international</t>
        </r>
      </text>
    </comment>
    <comment ref="BE666" authorId="18">
      <text>
        <r>
          <rPr>
            <b/>
            <sz val="8"/>
            <color indexed="81"/>
            <rFont val="Tahoma"/>
            <family val="2"/>
          </rPr>
          <t>danfuss:</t>
        </r>
        <r>
          <rPr>
            <sz val="8"/>
            <color indexed="81"/>
            <rFont val="Tahoma"/>
            <family val="2"/>
          </rPr>
          <t xml:space="preserve">
Expect FY margins to be up 100 bps</t>
        </r>
      </text>
    </comment>
    <comment ref="BF666" authorId="18">
      <text>
        <r>
          <rPr>
            <b/>
            <sz val="8"/>
            <color indexed="81"/>
            <rFont val="Tahoma"/>
            <family val="2"/>
          </rPr>
          <t>danfuss:</t>
        </r>
        <r>
          <rPr>
            <sz val="8"/>
            <color indexed="81"/>
            <rFont val="Tahoma"/>
            <family val="2"/>
          </rPr>
          <t xml:space="preserve">
ex ME and Japan, house margins increased 160bp
2Q: for 2011, Expects 150 bps ex ME and Japan; +50 bps from 1Q but unclear what was included (re: ME + Japan) in 1Q's FY guidance</t>
        </r>
      </text>
    </comment>
    <comment ref="AB669" authorId="19">
      <text>
        <r>
          <rPr>
            <b/>
            <sz val="8"/>
            <color indexed="8"/>
            <rFont val="Tahoma"/>
            <family val="2"/>
          </rPr>
          <t>Celeste Brown:</t>
        </r>
        <r>
          <rPr>
            <sz val="8"/>
            <color indexed="8"/>
            <rFont val="Tahoma"/>
            <family val="2"/>
          </rPr>
          <t xml:space="preserve">
Including 120 hotels in CY JV</t>
        </r>
      </text>
    </comment>
    <comment ref="AP669" authorId="20">
      <text>
        <r>
          <rPr>
            <b/>
            <sz val="8"/>
            <color indexed="8"/>
            <rFont val="Tahoma"/>
            <family val="2"/>
          </rPr>
          <t>Ryan Meliker:</t>
        </r>
        <r>
          <rPr>
            <sz val="8"/>
            <color indexed="8"/>
            <rFont val="Tahoma"/>
            <family val="2"/>
          </rPr>
          <t xml:space="preserve">
Page 28 of 10Q</t>
        </r>
      </text>
    </comment>
    <comment ref="AQ669" authorId="20">
      <text>
        <r>
          <rPr>
            <b/>
            <sz val="8"/>
            <color indexed="8"/>
            <rFont val="Tahoma"/>
            <family val="2"/>
          </rPr>
          <t>Ryan Meliker:</t>
        </r>
        <r>
          <rPr>
            <sz val="8"/>
            <color indexed="8"/>
            <rFont val="Tahoma"/>
            <family val="2"/>
          </rPr>
          <t xml:space="preserve">
per 2Q CC</t>
        </r>
      </text>
    </comment>
    <comment ref="AP670" authorId="20">
      <text>
        <r>
          <rPr>
            <b/>
            <sz val="8"/>
            <color indexed="8"/>
            <rFont val="Tahoma"/>
            <family val="2"/>
          </rPr>
          <t>Ryan Meliker:</t>
        </r>
        <r>
          <rPr>
            <sz val="8"/>
            <color indexed="8"/>
            <rFont val="Tahoma"/>
            <family val="2"/>
          </rPr>
          <t xml:space="preserve">
from conference call</t>
        </r>
      </text>
    </comment>
    <comment ref="AB673" authorId="19">
      <text>
        <r>
          <rPr>
            <b/>
            <sz val="8"/>
            <color indexed="8"/>
            <rFont val="Tahoma"/>
            <family val="2"/>
          </rPr>
          <t>Celeste Brown:</t>
        </r>
        <r>
          <rPr>
            <sz val="8"/>
            <color indexed="8"/>
            <rFont val="Tahoma"/>
            <family val="2"/>
          </rPr>
          <t xml:space="preserve">
8.9% increase in rate</t>
        </r>
      </text>
    </comment>
    <comment ref="AC673" authorId="19">
      <text>
        <r>
          <rPr>
            <b/>
            <sz val="8"/>
            <color indexed="8"/>
            <rFont val="Tahoma"/>
            <family val="2"/>
          </rPr>
          <t>Celeste Brown:</t>
        </r>
        <r>
          <rPr>
            <sz val="8"/>
            <color indexed="8"/>
            <rFont val="Tahoma"/>
            <family val="2"/>
          </rPr>
          <t xml:space="preserve">
8% increase in rate</t>
        </r>
      </text>
    </comment>
    <comment ref="AD673" authorId="21">
      <text>
        <r>
          <rPr>
            <b/>
            <sz val="8"/>
            <color indexed="8"/>
            <rFont val="Tahoma"/>
            <family val="2"/>
          </rPr>
          <t>urbank:</t>
        </r>
        <r>
          <rPr>
            <sz val="9"/>
            <color indexed="8"/>
            <rFont val="Tahoma"/>
            <family val="2"/>
          </rPr>
          <t xml:space="preserve">
using constant dollars</t>
        </r>
      </text>
    </comment>
    <comment ref="AK673" authorId="21">
      <text>
        <r>
          <rPr>
            <b/>
            <sz val="8"/>
            <color indexed="8"/>
            <rFont val="Tahoma"/>
            <family val="2"/>
          </rPr>
          <t>urbank:</t>
        </r>
        <r>
          <rPr>
            <sz val="8"/>
            <color indexed="8"/>
            <rFont val="Tahoma"/>
            <family val="2"/>
          </rPr>
          <t xml:space="preserve">
only </t>
        </r>
        <r>
          <rPr>
            <sz val="9"/>
            <color indexed="8"/>
            <rFont val="Tahoma"/>
            <family val="2"/>
          </rPr>
          <t>calendar quarter number available</t>
        </r>
      </text>
    </comment>
    <comment ref="Q674" authorId="6">
      <text>
        <r>
          <rPr>
            <sz val="8"/>
            <color indexed="81"/>
            <rFont val="Tahoma"/>
            <family val="2"/>
          </rPr>
          <t>Excludes North America</t>
        </r>
      </text>
    </comment>
    <comment ref="R674" authorId="6">
      <text>
        <r>
          <rPr>
            <sz val="8"/>
            <color indexed="81"/>
            <rFont val="Tahoma"/>
            <family val="2"/>
          </rPr>
          <t>Excludes North America</t>
        </r>
      </text>
    </comment>
    <comment ref="S674" authorId="6">
      <text>
        <r>
          <rPr>
            <sz val="8"/>
            <color indexed="81"/>
            <rFont val="Tahoma"/>
            <family val="2"/>
          </rPr>
          <t>Excludes North America</t>
        </r>
      </text>
    </comment>
    <comment ref="T674" authorId="6">
      <text>
        <r>
          <rPr>
            <sz val="8"/>
            <color indexed="81"/>
            <rFont val="Tahoma"/>
            <family val="2"/>
          </rPr>
          <t>Excludes North America</t>
        </r>
      </text>
    </comment>
    <comment ref="U674" authorId="6">
      <text>
        <r>
          <rPr>
            <sz val="8"/>
            <color indexed="81"/>
            <rFont val="Tahoma"/>
            <family val="2"/>
          </rPr>
          <t>Excludes North America</t>
        </r>
      </text>
    </comment>
    <comment ref="V674" authorId="6">
      <text>
        <r>
          <rPr>
            <sz val="8"/>
            <color indexed="81"/>
            <rFont val="Tahoma"/>
            <family val="2"/>
          </rPr>
          <t xml:space="preserve">Worldwide, systemwide comparable full-service revenue per available room (REVPAR) increased 7.8 percent for the calendar first quarter (January 1 to March 31, 2004) without the benefit of changes in foreign exchange rates
Source: 8-K, 1Q04, Pg. 1 
</t>
        </r>
      </text>
    </comment>
    <comment ref="W674" authorId="6">
      <text>
        <r>
          <rPr>
            <sz val="8"/>
            <color indexed="81"/>
            <rFont val="Tahoma"/>
            <family val="2"/>
          </rPr>
          <t>Increased 13 percent (14 percent using actual exchange rates).
Source: 8-K, 2Q04, Pg.1</t>
        </r>
      </text>
    </comment>
    <comment ref="Z674" authorId="6">
      <text>
        <r>
          <rPr>
            <sz val="8"/>
            <color indexed="81"/>
            <rFont val="Tahoma"/>
            <family val="2"/>
          </rPr>
          <t>10.5 percent (11.5 percent using actual exchange rates) 
Source: 8-K, 4Q04, Pg. 1</t>
        </r>
      </text>
    </comment>
    <comment ref="AA674" authorId="6">
      <text>
        <r>
          <rPr>
            <sz val="8"/>
            <color indexed="81"/>
            <rFont val="Tahoma"/>
            <family val="2"/>
          </rPr>
          <t>9.2 percent (9.9 percent using actual exchange rates)
Source: 8-K, 1Q05, Pg. 1</t>
        </r>
      </text>
    </comment>
    <comment ref="AB674" authorId="6">
      <text>
        <r>
          <rPr>
            <sz val="8"/>
            <color indexed="81"/>
            <rFont val="Tahoma"/>
            <family val="2"/>
          </rPr>
          <t>Increased 11.1 percent (10.4 percent using constant dollars)</t>
        </r>
      </text>
    </comment>
    <comment ref="AC674" authorId="6">
      <text>
        <r>
          <rPr>
            <sz val="8"/>
            <color indexed="81"/>
            <rFont val="Tahoma"/>
            <family val="2"/>
          </rPr>
          <t xml:space="preserve">Increased 9.2 percent (8.8 percent using constant dollars) </t>
        </r>
      </text>
    </comment>
    <comment ref="AD674" authorId="6">
      <text>
        <r>
          <rPr>
            <sz val="8"/>
            <color indexed="81"/>
            <rFont val="Tahoma"/>
            <family val="2"/>
          </rPr>
          <t>Increased 11.2 percent (11.0 percent using constant dollars).
Source: 8-K, 4Q5, Pg. 4</t>
        </r>
      </text>
    </comment>
    <comment ref="AE674" authorId="6">
      <text>
        <r>
          <rPr>
            <sz val="8"/>
            <color indexed="81"/>
            <rFont val="Tahoma"/>
            <family val="2"/>
          </rPr>
          <t>Rose 10.4 percent (9.9 percent using constant dollars) 
Source: 8-K, 4Q05, Pg. 1</t>
        </r>
      </text>
    </comment>
    <comment ref="AF674" authorId="6">
      <text>
        <r>
          <rPr>
            <sz val="8"/>
            <color indexed="81"/>
            <rFont val="Tahoma"/>
            <family val="2"/>
          </rPr>
          <t>REVPAR rose 10.3 percent (10.8 percent using constant dollars)</t>
        </r>
        <r>
          <rPr>
            <sz val="8"/>
            <color indexed="81"/>
            <rFont val="Tahoma"/>
            <family val="2"/>
          </rPr>
          <t xml:space="preserve">
Source: 8-K, 1Q06, Pg. 1</t>
        </r>
      </text>
    </comment>
    <comment ref="AG674" authorId="6">
      <text>
        <r>
          <rPr>
            <sz val="8"/>
            <color indexed="81"/>
            <rFont val="Tahoma"/>
            <family val="2"/>
          </rPr>
          <t xml:space="preserve">Worldwide systemwide comparable revenue per available room (REVPAR) rose 10.4 percent (10.7 percent using constant dollars).
Source: 8-K, 2Q06, Pg. 1 </t>
        </r>
      </text>
    </comment>
    <comment ref="AH674" authorId="21">
      <text>
        <r>
          <rPr>
            <sz val="8"/>
            <color indexed="8"/>
            <rFont val="Tahoma"/>
            <family val="2"/>
          </rPr>
          <t>Worldwide systemwide comparable revenue per available room (REVPAR) rose 9.4 percent (9.0 percent using constant dollars) 
Source: 8-K, 3Q06, Pg.1</t>
        </r>
      </text>
    </comment>
    <comment ref="AI674" authorId="6">
      <text>
        <r>
          <rPr>
            <sz val="8"/>
            <color indexed="81"/>
            <rFont val="Tahoma"/>
            <family val="2"/>
          </rPr>
          <t>REVPAR increased 8.4 percent (7.8 percent using constant dollars). Calendar quarter REVPAR increased 8.9 percent (8.3 percent using constant dollars).
Source: 8-K, 4Q06, Pg. 3</t>
        </r>
        <r>
          <rPr>
            <sz val="8"/>
            <color indexed="81"/>
            <rFont val="Tahoma"/>
            <family val="2"/>
          </rPr>
          <t xml:space="preserve">
</t>
        </r>
      </text>
    </comment>
    <comment ref="AJ674" authorId="6">
      <text>
        <r>
          <rPr>
            <sz val="8"/>
            <color indexed="81"/>
            <rFont val="Tahoma"/>
            <family val="2"/>
          </rPr>
          <t xml:space="preserve">Worldwide systemwide comparable revenue per available room (REVPAR) rose 9.5 percent (9.4 percent using constant dollars); </t>
        </r>
        <r>
          <rPr>
            <sz val="8"/>
            <color indexed="81"/>
            <rFont val="Tahoma"/>
            <family val="2"/>
          </rPr>
          <t xml:space="preserve">
Source: 8-K, 4Q06, Pg. 1</t>
        </r>
      </text>
    </comment>
    <comment ref="AK674" authorId="21">
      <text>
        <r>
          <rPr>
            <sz val="9"/>
            <color indexed="8"/>
            <rFont val="Tahoma"/>
            <family val="2"/>
          </rPr>
          <t>REVPAR rose 6.6 percent for the fiscal quarter ended March 23; For the calendar quarter ended March 31, REVPAR increased 7.6 percent</t>
        </r>
        <r>
          <rPr>
            <b/>
            <sz val="9"/>
            <color indexed="8"/>
            <rFont val="Tahoma"/>
            <family val="2"/>
          </rPr>
          <t xml:space="preserve">
</t>
        </r>
        <r>
          <rPr>
            <sz val="9"/>
            <color indexed="8"/>
            <rFont val="Tahoma"/>
            <family val="2"/>
          </rPr>
          <t xml:space="preserve"> 
Source: 8-K, 1Q07, Pg. 1</t>
        </r>
      </text>
    </comment>
    <comment ref="AL674" authorId="6">
      <text>
        <r>
          <rPr>
            <sz val="8"/>
            <color indexed="81"/>
            <rFont val="Tahoma"/>
            <family val="2"/>
          </rPr>
          <t>Worldwide systemwide comparable revenue per available room (REVPAR) rose 7.5 percent (6.4 percent using constant dollars) for the second quarter ended June 15</t>
        </r>
        <r>
          <rPr>
            <sz val="8"/>
            <color indexed="81"/>
            <rFont val="Tahoma"/>
            <family val="2"/>
          </rPr>
          <t xml:space="preserve">
Source: 8-K, 2Q07, Pg. 3</t>
        </r>
      </text>
    </comment>
    <comment ref="AM674" authorId="21">
      <text>
        <r>
          <rPr>
            <sz val="9"/>
            <color indexed="8"/>
            <rFont val="Tahoma"/>
            <family val="2"/>
          </rPr>
          <t>REVPAR increased 7.7 percent (6.6 percent using constant dollars).
Source: 8-K, 3Q07, Pg. 3</t>
        </r>
      </text>
    </comment>
    <comment ref="AN674" authorId="21">
      <text>
        <r>
          <rPr>
            <sz val="9"/>
            <color indexed="8"/>
            <rFont val="Tahoma"/>
            <family val="2"/>
          </rPr>
          <t>REVPAR increased 8.1 percent (6.6 percent using constant dollars). 
Source: 8-K, 4Q07, Pg. 3</t>
        </r>
      </text>
    </comment>
    <comment ref="AP674" authorId="21">
      <text>
        <r>
          <rPr>
            <sz val="9"/>
            <color indexed="8"/>
            <rFont val="Tahoma"/>
            <family val="2"/>
          </rPr>
          <t>REVPAR rose 4.4 percent (3.5 percent using constant dollars).
Source: 8-K, 1Q08, Pg. 2</t>
        </r>
      </text>
    </comment>
    <comment ref="AQ674" authorId="21">
      <text>
        <r>
          <rPr>
            <sz val="9"/>
            <color indexed="8"/>
            <rFont val="Tahoma"/>
            <family val="2"/>
          </rPr>
          <t>REVPAR rose 4.2 percent (2.6 percent using constant dollars).
Source: 8-K, 2Q08, Pg. 2</t>
        </r>
      </text>
    </comment>
    <comment ref="AR674" authorId="21">
      <text>
        <r>
          <rPr>
            <sz val="9"/>
            <color indexed="8"/>
            <rFont val="Tahoma"/>
            <family val="2"/>
          </rPr>
          <t xml:space="preserve">REVPAR rose 2.2 percent (0.7 percent using constant dollars).
Source: 8-K, 3Q08, Pg.3 </t>
        </r>
      </text>
    </comment>
    <comment ref="AS674" authorId="21">
      <text>
        <r>
          <rPr>
            <sz val="9"/>
            <color indexed="8"/>
            <rFont val="Tahoma"/>
            <family val="2"/>
          </rPr>
          <t>REVPAR declined 7.5 percent (6.8 percent using constant dollars). 
Source: 8-K, 4Q08, Pg.3</t>
        </r>
      </text>
    </comment>
    <comment ref="AU674" authorId="22">
      <text>
        <r>
          <rPr>
            <sz val="8"/>
            <color indexed="8"/>
            <rFont val="Tahoma"/>
            <family val="2"/>
          </rPr>
          <t>REVPAR declined 17.3 percent (16.2 percent using constant dollars). 
Source: 8-K, 1Q09, Pg.2</t>
        </r>
      </text>
    </comment>
    <comment ref="AV674" authorId="22">
      <text>
        <r>
          <rPr>
            <sz val="8"/>
            <color indexed="8"/>
            <rFont val="Tahoma"/>
            <family val="2"/>
          </rPr>
          <t>REVPAR declined 23.6 percent (21.4 percent using constant dollars). 
Source: 8-K, 2Q09, Pg. 3</t>
        </r>
      </text>
    </comment>
    <comment ref="AW674" authorId="22">
      <text>
        <r>
          <rPr>
            <sz val="8"/>
            <color indexed="8"/>
            <rFont val="Tahoma"/>
            <family val="2"/>
          </rPr>
          <t>REVPAR declined 21.4 percent (19.9 percent using constant dollars). 
Source: 8-K, 3Q09, Pg. 2</t>
        </r>
      </text>
    </comment>
    <comment ref="AX674" authorId="22">
      <text>
        <r>
          <rPr>
            <sz val="8"/>
            <color indexed="8"/>
            <rFont val="Tahoma"/>
            <family val="2"/>
          </rPr>
          <t>REVPAR declined 12.3 percent (12.5 percent using constant dollars). 
Source: 8-K, 4Q09, Pg. 2</t>
        </r>
      </text>
    </comment>
    <comment ref="AZ674" authorId="6">
      <text>
        <r>
          <rPr>
            <sz val="8"/>
            <color indexed="81"/>
            <rFont val="Tahoma"/>
            <family val="2"/>
          </rPr>
          <t>REVPAR declined 0.7 percent (a 1.3 percent decline using constant dollars). 
Source: 8-K, 1Q10, Pg.2</t>
        </r>
      </text>
    </comment>
    <comment ref="BA674" authorId="6">
      <text>
        <r>
          <rPr>
            <sz val="8"/>
            <color indexed="81"/>
            <rFont val="Tahoma"/>
            <family val="2"/>
          </rPr>
          <t>RevPar increased 8.5 percent (a 7.0 percent increase using constant dollars). 
Source: 8-K, 2Q10, Pg. 3</t>
        </r>
        <r>
          <rPr>
            <sz val="8"/>
            <color indexed="81"/>
            <rFont val="Tahoma"/>
            <family val="2"/>
          </rPr>
          <t xml:space="preserve">
</t>
        </r>
      </text>
    </comment>
    <comment ref="BB674" authorId="22">
      <text>
        <r>
          <rPr>
            <b/>
            <sz val="8"/>
            <color indexed="8"/>
            <rFont val="Tahoma"/>
            <family val="2"/>
          </rPr>
          <t>ryanmel:</t>
        </r>
        <r>
          <rPr>
            <sz val="8"/>
            <color indexed="8"/>
            <rFont val="Tahoma"/>
            <family val="2"/>
          </rPr>
          <t xml:space="preserve">
7.5% in CC</t>
        </r>
      </text>
    </comment>
    <comment ref="BC674" authorId="22">
      <text>
        <r>
          <rPr>
            <b/>
            <sz val="8"/>
            <color indexed="8"/>
            <rFont val="Tahoma"/>
            <family val="2"/>
          </rPr>
          <t>ryanmel:</t>
        </r>
        <r>
          <rPr>
            <sz val="8"/>
            <color indexed="8"/>
            <rFont val="Tahoma"/>
            <family val="2"/>
          </rPr>
          <t xml:space="preserve">
up 7.6% in CC</t>
        </r>
      </text>
    </comment>
    <comment ref="BD674" authorId="22">
      <text>
        <r>
          <rPr>
            <b/>
            <sz val="8"/>
            <color indexed="8"/>
            <rFont val="Tahoma"/>
            <family val="2"/>
          </rPr>
          <t>ryanmel:</t>
        </r>
        <r>
          <rPr>
            <sz val="8"/>
            <color indexed="8"/>
            <rFont val="Tahoma"/>
            <family val="2"/>
          </rPr>
          <t xml:space="preserve">
guidance is -2-+2%</t>
        </r>
      </text>
    </comment>
    <comment ref="BE674" authorId="6">
      <text>
        <r>
          <rPr>
            <sz val="8"/>
            <color indexed="81"/>
            <rFont val="Tahoma"/>
            <family val="2"/>
          </rPr>
          <t>REVPAR increased 6.5 percent (a 6.6 percent increase using actual dollars). 
Source: 8-K, 1Q11, Pg. 2</t>
        </r>
      </text>
    </comment>
    <comment ref="BI674" authorId="22">
      <text>
        <r>
          <rPr>
            <b/>
            <sz val="8"/>
            <color indexed="8"/>
            <rFont val="Tahoma"/>
            <family val="2"/>
          </rPr>
          <t>ryanmel:</t>
        </r>
        <r>
          <rPr>
            <sz val="8"/>
            <color indexed="8"/>
            <rFont val="Tahoma"/>
            <family val="2"/>
          </rPr>
          <t xml:space="preserve">
guidance is -2-+2%</t>
        </r>
      </text>
    </comment>
    <comment ref="BJ674" authorId="6">
      <text>
        <r>
          <rPr>
            <sz val="8"/>
            <color indexed="81"/>
            <rFont val="Tahoma"/>
            <family val="2"/>
          </rPr>
          <t>REVPAR increased 6.8 percent (a 6.7 percent increase using actual dollars)
Source: 8-K, 1Q12, Pg. 3</t>
        </r>
      </text>
    </comment>
    <comment ref="BM674" authorId="11">
      <text>
        <r>
          <rPr>
            <b/>
            <sz val="8"/>
            <color indexed="81"/>
            <rFont val="Tahoma"/>
            <family val="2"/>
          </rPr>
          <t>thallen:</t>
        </r>
        <r>
          <rPr>
            <sz val="8"/>
            <color indexed="81"/>
            <rFont val="Tahoma"/>
            <family val="2"/>
          </rPr>
          <t xml:space="preserve">
+4.7% actual dollars</t>
        </r>
      </text>
    </comment>
    <comment ref="BS675" authorId="1">
      <text>
        <r>
          <rPr>
            <b/>
            <sz val="8"/>
            <color indexed="81"/>
            <rFont val="Tahoma"/>
            <family val="2"/>
          </rPr>
          <t>jills:</t>
        </r>
        <r>
          <rPr>
            <sz val="8"/>
            <color indexed="81"/>
            <rFont val="Tahoma"/>
            <family val="2"/>
          </rPr>
          <t xml:space="preserve">
per 4Q12 earnings, 4-7%
per 1Q13 earnings, 4-7%
per 2Q13 earnings, 4-6%
no updated guidance in 3Q13</t>
        </r>
      </text>
    </comment>
    <comment ref="BV675" authorId="3">
      <text>
        <r>
          <rPr>
            <sz val="9"/>
            <color indexed="81"/>
            <rFont val="Tahoma"/>
            <family val="2"/>
          </rPr>
          <t>8K 2Q14</t>
        </r>
      </text>
    </comment>
    <comment ref="BX675" authorId="1">
      <text>
        <r>
          <rPr>
            <b/>
            <sz val="8"/>
            <color indexed="81"/>
            <rFont val="Tahoma"/>
            <family val="2"/>
          </rPr>
          <t>Guidance:</t>
        </r>
        <r>
          <rPr>
            <sz val="8"/>
            <color indexed="81"/>
            <rFont val="Tahoma"/>
            <family val="2"/>
          </rPr>
          <t xml:space="preserve">
per 3Q14 earnings, 5-7%
per 2Q14 earnings, 5-7%</t>
        </r>
        <r>
          <rPr>
            <b/>
            <sz val="8"/>
            <color indexed="81"/>
            <rFont val="Tahoma"/>
            <family val="2"/>
          </rPr>
          <t xml:space="preserve">
</t>
        </r>
        <r>
          <rPr>
            <sz val="8"/>
            <color indexed="81"/>
            <rFont val="Tahoma"/>
            <family val="2"/>
          </rPr>
          <t xml:space="preserve">per 1Q14 earnings, 4.5-6.5%
per 4Q13 earnings, 4-6%
per 3Q13 earnings, 4-6%
</t>
        </r>
      </text>
    </comment>
    <comment ref="CA675" authorId="3">
      <text>
        <r>
          <rPr>
            <b/>
            <sz val="9"/>
            <color indexed="81"/>
            <rFont val="Tahoma"/>
            <family val="2"/>
          </rPr>
          <t>Chaudhry, Baset A (Research):</t>
        </r>
        <r>
          <rPr>
            <sz val="9"/>
            <color indexed="81"/>
            <rFont val="Tahoma"/>
            <family val="2"/>
          </rPr>
          <t xml:space="preserve">
Per 2Q15</t>
        </r>
      </text>
    </comment>
    <comment ref="CB675" authorId="9">
      <text>
        <r>
          <rPr>
            <sz val="9"/>
            <color indexed="81"/>
            <rFont val="Tahoma"/>
            <family val="2"/>
          </rPr>
          <t xml:space="preserve">Per 3Q15
</t>
        </r>
      </text>
    </comment>
    <comment ref="CC675" authorId="1">
      <text>
        <r>
          <rPr>
            <b/>
            <sz val="8"/>
            <color indexed="81"/>
            <rFont val="Tahoma"/>
            <family val="2"/>
          </rPr>
          <t xml:space="preserve">Guidance:
</t>
        </r>
        <r>
          <rPr>
            <sz val="8"/>
            <color indexed="81"/>
            <rFont val="Tahoma"/>
            <family val="2"/>
          </rPr>
          <t xml:space="preserve">2Q15: +5.5-6.5%
1Q15: +5-7%
4Q14: +5-7%
3Q14: +5-7%
per Analyst Day (9/8/14), 4-6%
</t>
        </r>
      </text>
    </comment>
    <comment ref="CH675" authorId="1">
      <text>
        <r>
          <rPr>
            <sz val="8"/>
            <color indexed="81"/>
            <rFont val="Tahoma"/>
            <family val="2"/>
          </rPr>
          <t>Guidance:
2Q16: Approx. 3%
1Q16: 3-5%
4Q15: 3-5%
Per 3Q15: 4-6%
per Analyst Day (9/8/14), 4-6%</t>
        </r>
        <r>
          <rPr>
            <b/>
            <sz val="8"/>
            <color indexed="81"/>
            <rFont val="Tahoma"/>
            <family val="2"/>
          </rPr>
          <t xml:space="preserve">
</t>
        </r>
      </text>
    </comment>
    <comment ref="CM675" authorId="1">
      <text>
        <r>
          <rPr>
            <sz val="8"/>
            <color indexed="81"/>
            <rFont val="Tahoma"/>
            <family val="2"/>
          </rPr>
          <t>Guidance:
1Q17: 1-3%
4Q16: 0.5-2.5%
3Q16: 0-2%
per Analyst Day (9/8/14), 4-6%</t>
        </r>
        <r>
          <rPr>
            <b/>
            <sz val="8"/>
            <color indexed="81"/>
            <rFont val="Tahoma"/>
            <family val="2"/>
          </rPr>
          <t xml:space="preserve">
</t>
        </r>
      </text>
    </comment>
    <comment ref="AA676" authorId="19">
      <text>
        <r>
          <rPr>
            <b/>
            <sz val="8"/>
            <color indexed="8"/>
            <rFont val="Tahoma"/>
            <family val="2"/>
          </rPr>
          <t>Celeste Brown:</t>
        </r>
        <r>
          <rPr>
            <sz val="8"/>
            <color indexed="8"/>
            <rFont val="Tahoma"/>
            <family val="2"/>
          </rPr>
          <t xml:space="preserve">
6.7% increase in rate</t>
        </r>
      </text>
    </comment>
    <comment ref="AB676" authorId="19">
      <text>
        <r>
          <rPr>
            <b/>
            <sz val="8"/>
            <color indexed="8"/>
            <rFont val="Tahoma"/>
            <family val="2"/>
          </rPr>
          <t>Celeste Brown:</t>
        </r>
        <r>
          <rPr>
            <sz val="8"/>
            <color indexed="8"/>
            <rFont val="Tahoma"/>
            <family val="2"/>
          </rPr>
          <t xml:space="preserve">
8.5% increase in rate</t>
        </r>
      </text>
    </comment>
    <comment ref="AC676" authorId="19">
      <text>
        <r>
          <rPr>
            <b/>
            <sz val="8"/>
            <color indexed="8"/>
            <rFont val="Tahoma"/>
            <family val="2"/>
          </rPr>
          <t>Celeste Brown:</t>
        </r>
        <r>
          <rPr>
            <sz val="8"/>
            <color indexed="8"/>
            <rFont val="Tahoma"/>
            <family val="2"/>
          </rPr>
          <t xml:space="preserve">
7.9% increase in rate</t>
        </r>
      </text>
    </comment>
    <comment ref="AD676" authorId="21">
      <text>
        <r>
          <rPr>
            <b/>
            <sz val="8"/>
            <color indexed="8"/>
            <rFont val="Tahoma"/>
            <family val="2"/>
          </rPr>
          <t>urbank:</t>
        </r>
        <r>
          <rPr>
            <sz val="9"/>
            <color indexed="8"/>
            <rFont val="Tahoma"/>
            <family val="2"/>
          </rPr>
          <t xml:space="preserve">
7.8% increase in rate, 2% increase in occ. To 70.7%</t>
        </r>
      </text>
    </comment>
    <comment ref="AK676" authorId="21">
      <text>
        <r>
          <rPr>
            <b/>
            <sz val="8"/>
            <color indexed="8"/>
            <rFont val="Tahoma"/>
            <family val="2"/>
          </rPr>
          <t>urbank:</t>
        </r>
        <r>
          <rPr>
            <sz val="9"/>
            <color indexed="8"/>
            <rFont val="Tahoma"/>
            <family val="2"/>
          </rPr>
          <t xml:space="preserve">
5.6% calendar quarter</t>
        </r>
      </text>
    </comment>
    <comment ref="AN676" authorId="21">
      <text>
        <r>
          <rPr>
            <b/>
            <sz val="8"/>
            <color indexed="8"/>
            <rFont val="Tahoma"/>
            <family val="2"/>
          </rPr>
          <t>urbank:</t>
        </r>
        <r>
          <rPr>
            <sz val="9"/>
            <color indexed="8"/>
            <rFont val="Tahoma"/>
            <family val="2"/>
          </rPr>
          <t xml:space="preserve">
guidance of 6-8%</t>
        </r>
      </text>
    </comment>
    <comment ref="AP676" authorId="21">
      <text>
        <r>
          <rPr>
            <b/>
            <sz val="8"/>
            <color indexed="8"/>
            <rFont val="Tahoma"/>
            <family val="2"/>
          </rPr>
          <t>ryanmel:</t>
        </r>
        <r>
          <rPr>
            <sz val="9"/>
            <color indexed="8"/>
            <rFont val="Tahoma"/>
            <family val="2"/>
          </rPr>
          <t xml:space="preserve">
08 guidance of 3-5%</t>
        </r>
      </text>
    </comment>
    <comment ref="AQ676" authorId="21">
      <text>
        <r>
          <rPr>
            <b/>
            <sz val="8"/>
            <color indexed="8"/>
            <rFont val="Tahoma"/>
            <family val="2"/>
          </rPr>
          <t>ryanmel:</t>
        </r>
        <r>
          <rPr>
            <sz val="9"/>
            <color indexed="8"/>
            <rFont val="Tahoma"/>
            <family val="2"/>
          </rPr>
          <t xml:space="preserve">
08 guidance of 3-5%</t>
        </r>
      </text>
    </comment>
    <comment ref="AR676" authorId="21">
      <text>
        <r>
          <rPr>
            <b/>
            <sz val="8"/>
            <color indexed="8"/>
            <rFont val="Tahoma"/>
            <family val="2"/>
          </rPr>
          <t>ryanmel:</t>
        </r>
        <r>
          <rPr>
            <sz val="9"/>
            <color indexed="8"/>
            <rFont val="Tahoma"/>
            <family val="2"/>
          </rPr>
          <t xml:space="preserve">
guidance of -2-0%</t>
        </r>
      </text>
    </comment>
    <comment ref="AS676" authorId="21">
      <text>
        <r>
          <rPr>
            <b/>
            <sz val="8"/>
            <color indexed="8"/>
            <rFont val="Tahoma"/>
            <family val="2"/>
          </rPr>
          <t>ryanmel:</t>
        </r>
        <r>
          <rPr>
            <sz val="9"/>
            <color indexed="8"/>
            <rFont val="Tahoma"/>
            <family val="2"/>
          </rPr>
          <t xml:space="preserve">
08 guidance of 3-5%</t>
        </r>
      </text>
    </comment>
    <comment ref="AW676" authorId="22">
      <text>
        <r>
          <rPr>
            <b/>
            <sz val="8"/>
            <color indexed="8"/>
            <rFont val="Tahoma"/>
            <family val="2"/>
          </rPr>
          <t>ryanmel:</t>
        </r>
        <r>
          <rPr>
            <sz val="8"/>
            <color indexed="8"/>
            <rFont val="Tahoma"/>
            <family val="2"/>
          </rPr>
          <t xml:space="preserve">
guidance of -20-23%</t>
        </r>
      </text>
    </comment>
    <comment ref="AZ676" authorId="22">
      <text>
        <r>
          <rPr>
            <b/>
            <sz val="8"/>
            <color indexed="8"/>
            <rFont val="Tahoma"/>
            <family val="2"/>
          </rPr>
          <t>ryanmel:</t>
        </r>
        <r>
          <rPr>
            <sz val="8"/>
            <color indexed="8"/>
            <rFont val="Tahoma"/>
            <family val="2"/>
          </rPr>
          <t xml:space="preserve">
guidance down 7-8%
</t>
        </r>
      </text>
    </comment>
    <comment ref="BD676" authorId="22">
      <text>
        <r>
          <rPr>
            <b/>
            <sz val="8"/>
            <color indexed="8"/>
            <rFont val="Tahoma"/>
            <family val="2"/>
          </rPr>
          <t>ryanmel:</t>
        </r>
        <r>
          <rPr>
            <sz val="8"/>
            <color indexed="8"/>
            <rFont val="Tahoma"/>
            <family val="2"/>
          </rPr>
          <t xml:space="preserve">
guidance of flat to -3%</t>
        </r>
      </text>
    </comment>
    <comment ref="BI676" authorId="22">
      <text>
        <r>
          <rPr>
            <b/>
            <sz val="8"/>
            <color indexed="8"/>
            <rFont val="Tahoma"/>
            <family val="2"/>
          </rPr>
          <t>ryanmel:</t>
        </r>
        <r>
          <rPr>
            <sz val="8"/>
            <color indexed="8"/>
            <rFont val="Tahoma"/>
            <family val="2"/>
          </rPr>
          <t xml:space="preserve">
guidance of flat to -3%</t>
        </r>
      </text>
    </comment>
    <comment ref="AA678" authorId="19">
      <text>
        <r>
          <rPr>
            <b/>
            <sz val="8"/>
            <color indexed="8"/>
            <rFont val="Tahoma"/>
            <family val="2"/>
          </rPr>
          <t>Celeste Brown:</t>
        </r>
        <r>
          <rPr>
            <sz val="8"/>
            <color indexed="8"/>
            <rFont val="Tahoma"/>
            <family val="2"/>
          </rPr>
          <t xml:space="preserve">
6.3% increase in rate</t>
        </r>
      </text>
    </comment>
    <comment ref="AB678" authorId="19">
      <text>
        <r>
          <rPr>
            <b/>
            <sz val="8"/>
            <color indexed="8"/>
            <rFont val="Tahoma"/>
            <family val="2"/>
          </rPr>
          <t>Celeste Brown:</t>
        </r>
        <r>
          <rPr>
            <sz val="8"/>
            <color indexed="8"/>
            <rFont val="Tahoma"/>
            <family val="2"/>
          </rPr>
          <t xml:space="preserve">
8.2% increase in rate</t>
        </r>
      </text>
    </comment>
    <comment ref="AC678" authorId="19">
      <text>
        <r>
          <rPr>
            <b/>
            <sz val="8"/>
            <color indexed="8"/>
            <rFont val="Tahoma"/>
            <family val="2"/>
          </rPr>
          <t>Celeste Brown:</t>
        </r>
        <r>
          <rPr>
            <sz val="8"/>
            <color indexed="8"/>
            <rFont val="Tahoma"/>
            <family val="2"/>
          </rPr>
          <t xml:space="preserve">
7.3% increase in rate</t>
        </r>
      </text>
    </comment>
    <comment ref="AK678" authorId="21">
      <text>
        <r>
          <rPr>
            <b/>
            <sz val="8"/>
            <color indexed="8"/>
            <rFont val="Tahoma"/>
            <family val="2"/>
          </rPr>
          <t>urbank:</t>
        </r>
        <r>
          <rPr>
            <sz val="8"/>
            <color indexed="8"/>
            <rFont val="Tahoma"/>
            <family val="2"/>
          </rPr>
          <t xml:space="preserve">
</t>
        </r>
        <r>
          <rPr>
            <sz val="9"/>
            <color indexed="8"/>
            <rFont val="Tahoma"/>
            <family val="2"/>
          </rPr>
          <t>6.7% calendar quarter</t>
        </r>
      </text>
    </comment>
    <comment ref="AA679" authorId="19">
      <text>
        <r>
          <rPr>
            <b/>
            <sz val="8"/>
            <color indexed="8"/>
            <rFont val="Tahoma"/>
            <family val="2"/>
          </rPr>
          <t>Celeste Brown:</t>
        </r>
        <r>
          <rPr>
            <sz val="8"/>
            <color indexed="8"/>
            <rFont val="Tahoma"/>
            <family val="2"/>
          </rPr>
          <t xml:space="preserve">
7.3% increase in rate</t>
        </r>
      </text>
    </comment>
    <comment ref="AB679" authorId="19">
      <text>
        <r>
          <rPr>
            <b/>
            <sz val="8"/>
            <color indexed="8"/>
            <rFont val="Tahoma"/>
            <family val="2"/>
          </rPr>
          <t>Celeste Brown:</t>
        </r>
        <r>
          <rPr>
            <sz val="8"/>
            <color indexed="8"/>
            <rFont val="Tahoma"/>
            <family val="2"/>
          </rPr>
          <t xml:space="preserve">
8.8% increase in rate</t>
        </r>
      </text>
    </comment>
    <comment ref="AC679" authorId="19">
      <text>
        <r>
          <rPr>
            <b/>
            <sz val="8"/>
            <color indexed="8"/>
            <rFont val="Tahoma"/>
            <family val="2"/>
          </rPr>
          <t>Celeste Brown:</t>
        </r>
        <r>
          <rPr>
            <sz val="8"/>
            <color indexed="8"/>
            <rFont val="Tahoma"/>
            <family val="2"/>
          </rPr>
          <t xml:space="preserve">
8.5% increase in rate</t>
        </r>
      </text>
    </comment>
    <comment ref="AG681" authorId="19">
      <text>
        <r>
          <rPr>
            <b/>
            <sz val="8"/>
            <color indexed="8"/>
            <rFont val="Tahoma"/>
            <family val="2"/>
          </rPr>
          <t>Celeste Brown:</t>
        </r>
        <r>
          <rPr>
            <sz val="8"/>
            <color indexed="8"/>
            <rFont val="Tahoma"/>
            <family val="2"/>
          </rPr>
          <t xml:space="preserve">
11.1% constant dollars
7.1% increase in ADR
1.7% in occuo to 75.5%</t>
        </r>
      </text>
    </comment>
    <comment ref="AH681" authorId="21">
      <text>
        <r>
          <rPr>
            <b/>
            <sz val="8"/>
            <color indexed="8"/>
            <rFont val="Tahoma"/>
            <family val="2"/>
          </rPr>
          <t>urbank:</t>
        </r>
        <r>
          <rPr>
            <sz val="8"/>
            <color indexed="8"/>
            <rFont val="Tahoma"/>
            <family val="2"/>
          </rPr>
          <t xml:space="preserve">
11.3% in constant dollars</t>
        </r>
      </text>
    </comment>
    <comment ref="AL681" authorId="19">
      <text>
        <r>
          <rPr>
            <b/>
            <sz val="10"/>
            <color indexed="8"/>
            <rFont val="Tahoma"/>
            <family val="2"/>
          </rPr>
          <t>Celeste Brown:</t>
        </r>
        <r>
          <rPr>
            <sz val="10"/>
            <color indexed="8"/>
            <rFont val="Tahoma"/>
            <family val="2"/>
          </rPr>
          <t xml:space="preserve">
9.6% using constant dollars</t>
        </r>
      </text>
    </comment>
    <comment ref="AM681" authorId="21">
      <text>
        <r>
          <rPr>
            <b/>
            <sz val="8"/>
            <color indexed="8"/>
            <rFont val="Tahoma"/>
            <family val="2"/>
          </rPr>
          <t>urbank:</t>
        </r>
        <r>
          <rPr>
            <sz val="9"/>
            <color indexed="8"/>
            <rFont val="Tahoma"/>
            <family val="2"/>
          </rPr>
          <t xml:space="preserve">
7.5% in constant dollars</t>
        </r>
      </text>
    </comment>
    <comment ref="AU681" authorId="22">
      <text>
        <r>
          <rPr>
            <b/>
            <sz val="8"/>
            <color indexed="8"/>
            <rFont val="Tahoma"/>
            <family val="2"/>
          </rPr>
          <t>ryanmel:</t>
        </r>
        <r>
          <rPr>
            <sz val="8"/>
            <color indexed="8"/>
            <rFont val="Tahoma"/>
            <family val="2"/>
          </rPr>
          <t xml:space="preserve">
17.0% in constant dollars</t>
        </r>
      </text>
    </comment>
    <comment ref="AV681" authorId="22">
      <text>
        <r>
          <rPr>
            <b/>
            <sz val="8"/>
            <color indexed="8"/>
            <rFont val="Tahoma"/>
            <family val="2"/>
          </rPr>
          <t>ryanmel:</t>
        </r>
        <r>
          <rPr>
            <sz val="8"/>
            <color indexed="8"/>
            <rFont val="Tahoma"/>
            <family val="2"/>
          </rPr>
          <t xml:space="preserve">
-22.1% in constant dollars</t>
        </r>
      </text>
    </comment>
    <comment ref="AW681" authorId="22">
      <text>
        <r>
          <rPr>
            <b/>
            <sz val="8"/>
            <color indexed="8"/>
            <rFont val="Tahoma"/>
            <family val="2"/>
          </rPr>
          <t>ryanmel:</t>
        </r>
        <r>
          <rPr>
            <sz val="8"/>
            <color indexed="8"/>
            <rFont val="Tahoma"/>
            <family val="2"/>
          </rPr>
          <t xml:space="preserve">
-19.9% in constant diollars</t>
        </r>
      </text>
    </comment>
    <comment ref="AX681" authorId="22">
      <text>
        <r>
          <rPr>
            <b/>
            <sz val="8"/>
            <color indexed="8"/>
            <rFont val="Tahoma"/>
            <family val="2"/>
          </rPr>
          <t>ryanmel:</t>
        </r>
        <r>
          <rPr>
            <sz val="8"/>
            <color indexed="8"/>
            <rFont val="Tahoma"/>
            <family val="2"/>
          </rPr>
          <t xml:space="preserve">
down 11.7% in constant dollars</t>
        </r>
      </text>
    </comment>
    <comment ref="AZ681" authorId="22">
      <text>
        <r>
          <rPr>
            <b/>
            <sz val="8"/>
            <color indexed="8"/>
            <rFont val="Tahoma"/>
            <family val="2"/>
          </rPr>
          <t>ryanmel:</t>
        </r>
        <r>
          <rPr>
            <sz val="8"/>
            <color indexed="8"/>
            <rFont val="Tahoma"/>
            <family val="2"/>
          </rPr>
          <t xml:space="preserve">
down 1.5% in constant dollars</t>
        </r>
      </text>
    </comment>
    <comment ref="BA681" authorId="22">
      <text>
        <r>
          <rPr>
            <b/>
            <sz val="8"/>
            <color indexed="8"/>
            <rFont val="Tahoma"/>
            <family val="2"/>
          </rPr>
          <t>ryanmel:</t>
        </r>
        <r>
          <rPr>
            <sz val="8"/>
            <color indexed="8"/>
            <rFont val="Tahoma"/>
            <family val="2"/>
          </rPr>
          <t xml:space="preserve">
9.8% in constant currency</t>
        </r>
      </text>
    </comment>
    <comment ref="BB681" authorId="22">
      <text>
        <r>
          <rPr>
            <b/>
            <sz val="8"/>
            <color indexed="8"/>
            <rFont val="Tahoma"/>
            <family val="2"/>
          </rPr>
          <t>ryanmel:</t>
        </r>
        <r>
          <rPr>
            <sz val="8"/>
            <color indexed="8"/>
            <rFont val="Tahoma"/>
            <family val="2"/>
          </rPr>
          <t xml:space="preserve">
8.5% in CC</t>
        </r>
      </text>
    </comment>
    <comment ref="BD681" authorId="22">
      <text>
        <r>
          <rPr>
            <b/>
            <sz val="8"/>
            <color indexed="8"/>
            <rFont val="Tahoma"/>
            <family val="2"/>
          </rPr>
          <t>ryanmel:</t>
        </r>
        <r>
          <rPr>
            <sz val="8"/>
            <color indexed="8"/>
            <rFont val="Tahoma"/>
            <family val="2"/>
          </rPr>
          <t xml:space="preserve">
guidance of flat to +5%</t>
        </r>
      </text>
    </comment>
    <comment ref="BE681" authorId="22">
      <text>
        <r>
          <rPr>
            <b/>
            <sz val="8"/>
            <color indexed="81"/>
            <rFont val="Tahoma"/>
            <family val="2"/>
          </rPr>
          <t>ryanmel:</t>
        </r>
        <r>
          <rPr>
            <sz val="8"/>
            <color indexed="81"/>
            <rFont val="Tahoma"/>
            <family val="2"/>
          </rPr>
          <t xml:space="preserve">
11.2% in CC</t>
        </r>
      </text>
    </comment>
    <comment ref="BI681" authorId="22">
      <text>
        <r>
          <rPr>
            <b/>
            <sz val="8"/>
            <color indexed="8"/>
            <rFont val="Tahoma"/>
            <family val="2"/>
          </rPr>
          <t>ryanmel:</t>
        </r>
        <r>
          <rPr>
            <sz val="8"/>
            <color indexed="8"/>
            <rFont val="Tahoma"/>
            <family val="2"/>
          </rPr>
          <t xml:space="preserve">
guidance of flat to +5%</t>
        </r>
      </text>
    </comment>
  </commentList>
</comments>
</file>

<file path=xl/comments7.xml><?xml version="1.0" encoding="utf-8"?>
<comments xmlns="http://schemas.openxmlformats.org/spreadsheetml/2006/main">
  <authors>
    <author>Zheng, Chaodan (Research)</author>
    <author>Mendiratta, Divya (Research)</author>
    <author>Singh, Rahul (Research)</author>
    <author>Chaudhry, Baset A (Research)</author>
    <author>jills</author>
    <author>stramark</author>
    <author>Savino, Mark (Research)</author>
    <author>sunilt</author>
    <author>Allen, Thomas (Research)</author>
    <author>danfuss</author>
    <author>mendirat</author>
    <author>thallen</author>
    <author xml:space="preserve"> </author>
    <author>urbank</author>
  </authors>
  <commentList>
    <comment ref="CL10" authorId="0">
      <text>
        <r>
          <rPr>
            <b/>
            <sz val="9"/>
            <color indexed="81"/>
            <rFont val="Tahoma"/>
            <family val="2"/>
          </rPr>
          <t>Zheng, Chaodan (Research):</t>
        </r>
        <r>
          <rPr>
            <sz val="9"/>
            <color indexed="81"/>
            <rFont val="Tahoma"/>
            <family val="2"/>
          </rPr>
          <t xml:space="preserve">
6/2/17: sold the 446-room Charlotte Marriott City Center hotel for $170m</t>
        </r>
      </text>
    </comment>
    <comment ref="CB90" authorId="1">
      <text>
        <r>
          <rPr>
            <sz val="9"/>
            <color indexed="81"/>
            <rFont val="Tahoma"/>
            <family val="2"/>
          </rPr>
          <t>Delta hotels</t>
        </r>
      </text>
    </comment>
    <comment ref="CC90" authorId="2">
      <text>
        <r>
          <rPr>
            <sz val="9"/>
            <color indexed="81"/>
            <rFont val="Tahoma"/>
            <family val="2"/>
          </rPr>
          <t xml:space="preserve">Delta Hotels
</t>
        </r>
      </text>
    </comment>
    <comment ref="CF138" authorId="1">
      <text>
        <r>
          <rPr>
            <sz val="9"/>
            <color indexed="81"/>
            <rFont val="Tahoma"/>
            <family val="2"/>
          </rPr>
          <t xml:space="preserve">Residences:
The Ritz-Carlton: 32
EDITION: 1
</t>
        </r>
      </text>
    </comment>
    <comment ref="CG138" authorId="0">
      <text>
        <r>
          <rPr>
            <b/>
            <sz val="9"/>
            <color indexed="81"/>
            <rFont val="Tahoma"/>
            <family val="2"/>
          </rPr>
          <t>Zheng, Chaodan (Research):</t>
        </r>
        <r>
          <rPr>
            <sz val="9"/>
            <color indexed="81"/>
            <rFont val="Tahoma"/>
            <family val="2"/>
          </rPr>
          <t xml:space="preserve">
MAR had 34 properties in the "other" category prior to Starwood acq</t>
        </r>
      </text>
    </comment>
    <comment ref="CK138" authorId="0">
      <text>
        <r>
          <rPr>
            <b/>
            <sz val="9"/>
            <color indexed="81"/>
            <rFont val="Tahoma"/>
            <family val="2"/>
          </rPr>
          <t>Zheng, Chaodan (Research):</t>
        </r>
        <r>
          <rPr>
            <sz val="9"/>
            <color indexed="81"/>
            <rFont val="Tahoma"/>
            <family val="2"/>
          </rPr>
          <t xml:space="preserve">
JV: 17</t>
        </r>
      </text>
    </comment>
    <comment ref="CL138" authorId="0">
      <text>
        <r>
          <rPr>
            <b/>
            <sz val="9"/>
            <color indexed="81"/>
            <rFont val="Tahoma"/>
            <family val="2"/>
          </rPr>
          <t>Zheng, Chaodan (Research):</t>
        </r>
        <r>
          <rPr>
            <sz val="9"/>
            <color indexed="81"/>
            <rFont val="Tahoma"/>
            <family val="2"/>
          </rPr>
          <t xml:space="preserve">
JV: 19</t>
        </r>
      </text>
    </comment>
    <comment ref="CB139" authorId="3">
      <text>
        <r>
          <rPr>
            <sz val="9"/>
            <color indexed="81"/>
            <rFont val="Tahoma"/>
            <family val="2"/>
          </rPr>
          <t>Excludes unconsolidated JV's</t>
        </r>
      </text>
    </comment>
    <comment ref="CC139" authorId="3">
      <text>
        <r>
          <rPr>
            <sz val="9"/>
            <color indexed="81"/>
            <rFont val="Tahoma"/>
            <family val="2"/>
          </rPr>
          <t>Excludes unconsolidated JV's :5</t>
        </r>
      </text>
    </comment>
    <comment ref="CD139" authorId="3">
      <text>
        <r>
          <rPr>
            <sz val="9"/>
            <color indexed="81"/>
            <rFont val="Tahoma"/>
            <family val="2"/>
          </rPr>
          <t>Excludes unconsolidated JV's :5</t>
        </r>
      </text>
    </comment>
    <comment ref="CF139" authorId="1">
      <text>
        <r>
          <rPr>
            <sz val="9"/>
            <color indexed="81"/>
            <rFont val="Tahoma"/>
            <family val="2"/>
          </rPr>
          <t>Excludes unconsolidated JV's :7</t>
        </r>
      </text>
    </comment>
    <comment ref="CG139" authorId="1">
      <text>
        <r>
          <rPr>
            <sz val="9"/>
            <color indexed="81"/>
            <rFont val="Tahoma"/>
            <family val="2"/>
          </rPr>
          <t>Excludes unconsolidated JV's :7</t>
        </r>
      </text>
    </comment>
    <comment ref="CF275" authorId="1">
      <text>
        <r>
          <rPr>
            <sz val="9"/>
            <color indexed="81"/>
            <rFont val="Tahoma"/>
            <family val="2"/>
          </rPr>
          <t xml:space="preserve">Residences:
The Ritz-Carlton: 32
Bulgari : 1
</t>
        </r>
      </text>
    </comment>
    <comment ref="CG275" authorId="0">
      <text>
        <r>
          <rPr>
            <b/>
            <sz val="9"/>
            <color indexed="81"/>
            <rFont val="Tahoma"/>
            <family val="2"/>
          </rPr>
          <t>Zheng, Chaodan (Research):</t>
        </r>
        <r>
          <rPr>
            <sz val="9"/>
            <color indexed="81"/>
            <rFont val="Tahoma"/>
            <family val="2"/>
          </rPr>
          <t xml:space="preserve">
MAR had 9 "other" properties</t>
        </r>
      </text>
    </comment>
    <comment ref="CA276" authorId="3">
      <text>
        <r>
          <rPr>
            <b/>
            <sz val="9"/>
            <color indexed="81"/>
            <rFont val="Tahoma"/>
            <family val="2"/>
          </rPr>
          <t>Chaudhry, Baset A (Research):</t>
        </r>
        <r>
          <rPr>
            <sz val="9"/>
            <color indexed="81"/>
            <rFont val="Tahoma"/>
            <family val="2"/>
          </rPr>
          <t xml:space="preserve">
Excludes unconsolidated JV's</t>
        </r>
      </text>
    </comment>
    <comment ref="CB276" authorId="3">
      <text>
        <r>
          <rPr>
            <sz val="9"/>
            <color indexed="81"/>
            <rFont val="Tahoma"/>
            <family val="2"/>
          </rPr>
          <t>Excludes unconsolidated JV's</t>
        </r>
      </text>
    </comment>
    <comment ref="CC276" authorId="3">
      <text>
        <r>
          <rPr>
            <sz val="9"/>
            <color indexed="81"/>
            <rFont val="Tahoma"/>
            <family val="2"/>
          </rPr>
          <t>Excludes unconsolidated JV's</t>
        </r>
      </text>
    </comment>
    <comment ref="CD276" authorId="3">
      <text>
        <r>
          <rPr>
            <sz val="9"/>
            <color indexed="81"/>
            <rFont val="Tahoma"/>
            <family val="2"/>
          </rPr>
          <t>Excludes unconsolidated JV's</t>
        </r>
      </text>
    </comment>
    <comment ref="CF276" authorId="1">
      <text>
        <r>
          <rPr>
            <sz val="9"/>
            <color indexed="81"/>
            <rFont val="Tahoma"/>
            <family val="2"/>
          </rPr>
          <t xml:space="preserve">Excludes unconsolidated JV's: 85
</t>
        </r>
      </text>
    </comment>
    <comment ref="CG276" authorId="1">
      <text>
        <r>
          <rPr>
            <sz val="9"/>
            <color indexed="81"/>
            <rFont val="Tahoma"/>
            <family val="2"/>
          </rPr>
          <t xml:space="preserve">Excludes unconsolidated JV's: 85
</t>
        </r>
      </text>
    </comment>
    <comment ref="BW418" authorId="3">
      <text>
        <r>
          <rPr>
            <sz val="9"/>
            <color indexed="81"/>
            <rFont val="Tahoma"/>
            <family val="2"/>
          </rPr>
          <t>Excludes Ritz Carlton Residences (40) and Unconsolidated JVs (78)</t>
        </r>
      </text>
    </comment>
    <comment ref="BX418" authorId="3">
      <text>
        <r>
          <rPr>
            <sz val="9"/>
            <color indexed="81"/>
            <rFont val="Tahoma"/>
            <family val="2"/>
          </rPr>
          <t>Excludes Ritz Carlton Residences (40) and Unconsolidated JVs (80)</t>
        </r>
      </text>
    </comment>
    <comment ref="BY418" authorId="3">
      <text>
        <r>
          <rPr>
            <sz val="9"/>
            <color indexed="81"/>
            <rFont val="Tahoma"/>
            <family val="2"/>
          </rPr>
          <t>Excludes Ritz Carlton Residences (42) and Unconsolidated JVs (82)</t>
        </r>
      </text>
    </comment>
    <comment ref="CA418" authorId="3">
      <text>
        <r>
          <rPr>
            <sz val="9"/>
            <color indexed="81"/>
            <rFont val="Tahoma"/>
            <family val="2"/>
          </rPr>
          <t>Excludes Ritz Carlton Residences (42) and Unconsolidated JVs (84)</t>
        </r>
      </text>
    </comment>
    <comment ref="CB418" authorId="3">
      <text>
        <r>
          <rPr>
            <sz val="9"/>
            <color indexed="81"/>
            <rFont val="Tahoma"/>
            <family val="2"/>
          </rPr>
          <t>Excludes Ritz Carlton Residences (42) and Unconsolidated JVs (87)</t>
        </r>
      </text>
    </comment>
    <comment ref="CC418" authorId="3">
      <text>
        <r>
          <rPr>
            <sz val="9"/>
            <color indexed="81"/>
            <rFont val="Tahoma"/>
            <family val="2"/>
          </rPr>
          <t>Excludes Ritz Carlton Residences (42) and Unconsolidated JVs (87)</t>
        </r>
      </text>
    </comment>
    <comment ref="CF418" authorId="1">
      <text>
        <r>
          <rPr>
            <sz val="9"/>
            <color indexed="81"/>
            <rFont val="Tahoma"/>
            <family val="2"/>
          </rPr>
          <t xml:space="preserve">Excludes Residences (42) and Unconsolidated JVs (92)
</t>
        </r>
      </text>
    </comment>
    <comment ref="BZ433" authorId="4">
      <text>
        <r>
          <rPr>
            <b/>
            <sz val="8"/>
            <color indexed="81"/>
            <rFont val="Tahoma"/>
            <family val="2"/>
          </rPr>
          <t>jills:</t>
        </r>
        <r>
          <rPr>
            <sz val="8"/>
            <color indexed="81"/>
            <rFont val="Tahoma"/>
            <family val="2"/>
          </rPr>
          <t xml:space="preserve">
expect to open Miami Edition early 2014 and NY Edition late 2014</t>
        </r>
      </text>
    </comment>
    <comment ref="I461" authorId="5">
      <text>
        <r>
          <rPr>
            <b/>
            <sz val="8"/>
            <color indexed="81"/>
            <rFont val="Tahoma"/>
            <family val="2"/>
          </rPr>
          <t>stramark:</t>
        </r>
        <r>
          <rPr>
            <sz val="8"/>
            <color indexed="81"/>
            <rFont val="Tahoma"/>
            <family val="2"/>
          </rPr>
          <t xml:space="preserve">
UUS</t>
        </r>
      </text>
    </comment>
    <comment ref="CL461" authorId="6">
      <text>
        <r>
          <rPr>
            <b/>
            <sz val="9"/>
            <color indexed="81"/>
            <rFont val="Tahoma"/>
            <family val="2"/>
          </rPr>
          <t>Savino, Mark (Research):</t>
        </r>
        <r>
          <rPr>
            <sz val="9"/>
            <color indexed="81"/>
            <rFont val="Tahoma"/>
            <family val="2"/>
          </rPr>
          <t xml:space="preserve">
6/2/17: Sale of 446-room Westin Maui</t>
        </r>
      </text>
    </comment>
    <comment ref="I462" authorId="5">
      <text>
        <r>
          <rPr>
            <b/>
            <sz val="8"/>
            <color indexed="81"/>
            <rFont val="Tahoma"/>
            <family val="2"/>
          </rPr>
          <t>stramark:</t>
        </r>
        <r>
          <rPr>
            <sz val="8"/>
            <color indexed="81"/>
            <rFont val="Tahoma"/>
            <family val="2"/>
          </rPr>
          <t xml:space="preserve">
</t>
        </r>
      </text>
    </comment>
    <comment ref="BO474" authorId="7">
      <text>
        <r>
          <rPr>
            <sz val="8"/>
            <color indexed="81"/>
            <rFont val="Tahoma"/>
            <family val="2"/>
          </rPr>
          <t xml:space="preserve">Gaylord Opryland in Nashville, Tennessee
Gaylord Palms in Kissimmee, Florida
Gaylord Texan in Grapevine, Texas
Gaylord National in National Harbor,Washington, D.C      </t>
        </r>
        <r>
          <rPr>
            <sz val="8"/>
            <color indexed="81"/>
            <rFont val="Tahoma"/>
            <family val="2"/>
          </rPr>
          <t xml:space="preserve">
Radisson Hotel Opryland, which will be renamed The Inn at Opryland, a Gaylord Hotel.       </t>
        </r>
      </text>
    </comment>
    <comment ref="CB480" authorId="8">
      <text>
        <r>
          <rPr>
            <b/>
            <sz val="9"/>
            <color indexed="81"/>
            <rFont val="Tahoma"/>
            <family val="2"/>
          </rPr>
          <t>Allen, Thomas (Research):</t>
        </r>
        <r>
          <rPr>
            <sz val="9"/>
            <color indexed="81"/>
            <rFont val="Tahoma"/>
            <family val="2"/>
          </rPr>
          <t xml:space="preserve">
Incl. for fee calculations, deal didn't close until 9/23/16</t>
        </r>
      </text>
    </comment>
    <comment ref="CL481" authorId="6">
      <text>
        <r>
          <rPr>
            <b/>
            <sz val="9"/>
            <color indexed="81"/>
            <rFont val="Tahoma"/>
            <family val="2"/>
          </rPr>
          <t>Savino, Mark (Research):</t>
        </r>
        <r>
          <rPr>
            <sz val="9"/>
            <color indexed="81"/>
            <rFont val="Tahoma"/>
            <family val="2"/>
          </rPr>
          <t xml:space="preserve">
4/3/17: Sold Westin Maui but retaining management contract</t>
        </r>
      </text>
    </comment>
    <comment ref="BI496" authorId="9">
      <text>
        <r>
          <rPr>
            <b/>
            <sz val="8"/>
            <color indexed="81"/>
            <rFont val="Tahoma"/>
            <family val="2"/>
          </rPr>
          <t>danfuss:</t>
        </r>
        <r>
          <rPr>
            <sz val="8"/>
            <color indexed="81"/>
            <rFont val="Tahoma"/>
            <family val="2"/>
          </rPr>
          <t xml:space="preserve">
Includes JW Marriott</t>
        </r>
      </text>
    </comment>
    <comment ref="CB514" authorId="8">
      <text>
        <r>
          <rPr>
            <b/>
            <sz val="9"/>
            <color indexed="81"/>
            <rFont val="Tahoma"/>
            <family val="2"/>
          </rPr>
          <t>Allen, Thomas (Research):</t>
        </r>
        <r>
          <rPr>
            <sz val="9"/>
            <color indexed="81"/>
            <rFont val="Tahoma"/>
            <family val="2"/>
          </rPr>
          <t xml:space="preserve">
Incl. for fee calculations, deal didn't close until 9/23/16</t>
        </r>
      </text>
    </comment>
    <comment ref="BW563" authorId="3">
      <text>
        <r>
          <rPr>
            <sz val="9"/>
            <color indexed="81"/>
            <rFont val="Tahoma"/>
            <family val="2"/>
          </rPr>
          <t>Excludes Ritz Carlton Residences (3,598) and Timehare (10,731)</t>
        </r>
      </text>
    </comment>
    <comment ref="BX563" authorId="3">
      <text>
        <r>
          <rPr>
            <sz val="9"/>
            <color indexed="81"/>
            <rFont val="Tahoma"/>
            <family val="2"/>
          </rPr>
          <t>Excludes Ritz Carlton Residences (3,598) and Timehare (10,801) rooms</t>
        </r>
      </text>
    </comment>
    <comment ref="BY563" authorId="3">
      <text>
        <r>
          <rPr>
            <sz val="9"/>
            <color indexed="81"/>
            <rFont val="Tahoma"/>
            <family val="2"/>
          </rPr>
          <t>Excludes Ritz Carlton Residences (3,623), Timehare (10,605), Unconsolidated Joint Ventures (220) rooms</t>
        </r>
      </text>
    </comment>
    <comment ref="CA563" authorId="3">
      <text>
        <r>
          <rPr>
            <sz val="9"/>
            <color indexed="81"/>
            <rFont val="Tahoma"/>
            <family val="2"/>
          </rPr>
          <t>Excludes Ritz Carlton Residences (3,837), Timehare (10,609), Unconsolidated Joint Ventures (343) rooms</t>
        </r>
      </text>
    </comment>
    <comment ref="CB563" authorId="3">
      <text>
        <r>
          <rPr>
            <sz val="9"/>
            <color indexed="81"/>
            <rFont val="Tahoma"/>
            <family val="2"/>
          </rPr>
          <t>Excludes Ritz Carlton Residences (3,837), Timehare (10,609), Unconsolidated Joint Ventures (911) rooms</t>
        </r>
      </text>
    </comment>
    <comment ref="CC563" authorId="3">
      <text>
        <r>
          <rPr>
            <sz val="9"/>
            <color indexed="81"/>
            <rFont val="Tahoma"/>
            <family val="2"/>
          </rPr>
          <t>Excludes Ritz Carlton Residences (3,837), Timehare (10,609), Unconsolidated Joint Ventures (911) rooms</t>
        </r>
      </text>
    </comment>
    <comment ref="CD563" authorId="3">
      <text>
        <r>
          <rPr>
            <sz val="9"/>
            <color indexed="81"/>
            <rFont val="Tahoma"/>
            <family val="2"/>
          </rPr>
          <t>Excludes Ritz Carlton Residences (3,837), Timehare (10,540), Unconsolidated Joint Ventures (911) rooms</t>
        </r>
      </text>
    </comment>
    <comment ref="CF563" authorId="3">
      <text>
        <r>
          <rPr>
            <sz val="9"/>
            <color indexed="81"/>
            <rFont val="Tahoma"/>
            <family val="2"/>
          </rPr>
          <t xml:space="preserve">Excludes :
Ritz Carlton Residences (3,812)
EDITION Residences (25)
Timehare (10,611)
Unconsolidated Joint Ventures (1193) </t>
        </r>
      </text>
    </comment>
    <comment ref="BW581" authorId="10">
      <text>
        <r>
          <rPr>
            <sz val="8"/>
            <color indexed="81"/>
            <rFont val="Tahoma"/>
            <family val="2"/>
          </rPr>
          <t>Marriott Protea deal would add ~4,700 managed rooms, ~4,100 franchised rooms, ~1,400 leased rooms to portfolio; would not contribute to 2014 earnings given transaction costs; would be looking out to 2015 and beyond for contribution 
Source: Jan 22,2014 Press Release Marriott Signs Definitive Agreements To Acquire Protea Hospitality Holdings</t>
        </r>
      </text>
    </comment>
    <comment ref="BW614" authorId="10">
      <text>
        <r>
          <rPr>
            <sz val="8"/>
            <color indexed="81"/>
            <rFont val="Tahoma"/>
            <family val="2"/>
          </rPr>
          <t>Marriott Protea deal would add ~4,700 managed rooms, ~4,100 franchised rooms, ~1,400 leased rooms to portfolio; would not contribute to 2014 earnings given transaction costs; would be looking out to 2015 and beyond for contribution 
Source: Jan 22,2014 Press Release Marriott Signs Definitive Agreements To Acquire Protea Hospitality Holdings</t>
        </r>
      </text>
    </comment>
    <comment ref="CB623" authorId="8">
      <text>
        <r>
          <rPr>
            <b/>
            <sz val="9"/>
            <color indexed="81"/>
            <rFont val="Tahoma"/>
            <family val="2"/>
          </rPr>
          <t>Allen, Thomas (Research):</t>
        </r>
        <r>
          <rPr>
            <sz val="9"/>
            <color indexed="81"/>
            <rFont val="Tahoma"/>
            <family val="2"/>
          </rPr>
          <t xml:space="preserve">
Incl. for fee calculations, deal didn't close until 9/23/16</t>
        </r>
      </text>
    </comment>
    <comment ref="BI639" authorId="9">
      <text>
        <r>
          <rPr>
            <b/>
            <sz val="8"/>
            <color indexed="81"/>
            <rFont val="Tahoma"/>
            <family val="2"/>
          </rPr>
          <t>danfuss:</t>
        </r>
        <r>
          <rPr>
            <sz val="8"/>
            <color indexed="81"/>
            <rFont val="Tahoma"/>
            <family val="2"/>
          </rPr>
          <t xml:space="preserve">
Includes JW Marriott</t>
        </r>
      </text>
    </comment>
    <comment ref="BW648" authorId="10">
      <text>
        <r>
          <rPr>
            <sz val="8"/>
            <color indexed="81"/>
            <rFont val="Tahoma"/>
            <family val="2"/>
          </rPr>
          <t>Marriott Protea deal would add ~4,700 managed rooms, ~4,100 franchised rooms, ~1,400 leased rooms to portfolio; would not contribute to 2014 earnings given transaction costs; would be looking out to 2015 and beyond for contribution 
Source: Jan 22,2014 Press Release Marriott Signs Definitive Agreements To Acquire Protea Hospitality Holdings</t>
        </r>
      </text>
    </comment>
    <comment ref="CB656" authorId="8">
      <text>
        <r>
          <rPr>
            <b/>
            <sz val="9"/>
            <color indexed="81"/>
            <rFont val="Tahoma"/>
            <family val="2"/>
          </rPr>
          <t>Allen, Thomas (Research):</t>
        </r>
        <r>
          <rPr>
            <sz val="9"/>
            <color indexed="81"/>
            <rFont val="Tahoma"/>
            <family val="2"/>
          </rPr>
          <t xml:space="preserve">
Incl. for fee calculations, deal didn't close until 9/23/16</t>
        </r>
      </text>
    </comment>
    <comment ref="BW703" authorId="3">
      <text>
        <r>
          <rPr>
            <sz val="9"/>
            <color indexed="81"/>
            <rFont val="Tahoma"/>
            <family val="2"/>
          </rPr>
          <t>Excludes Ritz Carlton Residences (630) and Timehare (2,323) and Unconsolidated JVs (8,658)</t>
        </r>
      </text>
    </comment>
    <comment ref="BX703" authorId="3">
      <text>
        <r>
          <rPr>
            <sz val="9"/>
            <color indexed="81"/>
            <rFont val="Tahoma"/>
            <family val="2"/>
          </rPr>
          <t>Excludes Ritz Carlton Residences (630) and Timehare (2,323) and Unconsolidated JVs (8,847)</t>
        </r>
      </text>
    </comment>
    <comment ref="BY703" authorId="3">
      <text>
        <r>
          <rPr>
            <sz val="9"/>
            <color indexed="81"/>
            <rFont val="Tahoma"/>
            <family val="2"/>
          </rPr>
          <t>Excludes Ritz Carlton Residences (635) and Timehare (2,261) and Unconsolidated JVs (9,659)</t>
        </r>
      </text>
    </comment>
    <comment ref="CA703" authorId="3">
      <text>
        <r>
          <rPr>
            <sz val="9"/>
            <color indexed="81"/>
            <rFont val="Tahoma"/>
            <family val="2"/>
          </rPr>
          <t>Excludes Ritz Carlton Residences (421) and Timehare (2,267) and Unconsolidated JVs (9,781)</t>
        </r>
      </text>
    </comment>
    <comment ref="CB703" authorId="3">
      <text>
        <r>
          <rPr>
            <sz val="9"/>
            <color indexed="81"/>
            <rFont val="Tahoma"/>
            <family val="2"/>
          </rPr>
          <t>Excludes Ritz Carlton Residences (421) and Timehare (2,267) and Unconsolidated JVs (9,796)</t>
        </r>
      </text>
    </comment>
    <comment ref="CC703" authorId="3">
      <text>
        <r>
          <rPr>
            <sz val="9"/>
            <color indexed="81"/>
            <rFont val="Tahoma"/>
            <family val="2"/>
          </rPr>
          <t>Excludes Ritz Carlton Residences (421) and Timehare (2,267) and Unconsolidated JVs (9,796)</t>
        </r>
      </text>
    </comment>
    <comment ref="CD703" authorId="3">
      <text>
        <r>
          <rPr>
            <sz val="9"/>
            <color indexed="81"/>
            <rFont val="Tahoma"/>
            <family val="2"/>
          </rPr>
          <t>Excludes Ritz Carlton Residences (421) and Timehare (2,267) and Unconsolidated JVs (9,899)</t>
        </r>
      </text>
    </comment>
    <comment ref="CF703" authorId="3">
      <text>
        <r>
          <rPr>
            <sz val="9"/>
            <color indexed="81"/>
            <rFont val="Tahoma"/>
            <family val="2"/>
          </rPr>
          <t>Excludes :
Ritz Carlton Residences (416)
Bulgari Residences (5)
Timehare (2278)
AC Hotels by Marriott Unconsolidated Joint Ventures (9852) 
Autograph Collection Hotels Unconsolidated Joint Ventures (348)</t>
        </r>
      </text>
    </comment>
    <comment ref="CH743" authorId="8">
      <text>
        <r>
          <rPr>
            <b/>
            <sz val="9"/>
            <color indexed="81"/>
            <rFont val="Tahoma"/>
            <family val="2"/>
          </rPr>
          <t>Allen, Thomas (Research):</t>
        </r>
        <r>
          <rPr>
            <sz val="9"/>
            <color indexed="81"/>
            <rFont val="Tahoma"/>
            <family val="2"/>
          </rPr>
          <t xml:space="preserve">
Starwood acquisition closed 9/23/16, so would be in end of qtr numbers </t>
        </r>
      </text>
    </comment>
    <comment ref="CH778" authorId="8">
      <text>
        <r>
          <rPr>
            <b/>
            <sz val="9"/>
            <color indexed="81"/>
            <rFont val="Tahoma"/>
            <family val="2"/>
          </rPr>
          <t>Allen, Thomas (Research):</t>
        </r>
        <r>
          <rPr>
            <sz val="9"/>
            <color indexed="81"/>
            <rFont val="Tahoma"/>
            <family val="2"/>
          </rPr>
          <t xml:space="preserve">
Starwood acquisition closed 9/23/16, so would be in end of qtr numbers </t>
        </r>
      </text>
    </comment>
    <comment ref="CH848" authorId="8">
      <text>
        <r>
          <rPr>
            <b/>
            <sz val="9"/>
            <color indexed="81"/>
            <rFont val="Tahoma"/>
            <family val="2"/>
          </rPr>
          <t>Allen, Thomas (Research):</t>
        </r>
        <r>
          <rPr>
            <sz val="9"/>
            <color indexed="81"/>
            <rFont val="Tahoma"/>
            <family val="2"/>
          </rPr>
          <t xml:space="preserve">
Starwood acquisition closed 9/23/16, so would be in end of qtr numbers </t>
        </r>
      </text>
    </comment>
    <comment ref="CH852" authorId="8">
      <text>
        <r>
          <rPr>
            <b/>
            <sz val="9"/>
            <color indexed="81"/>
            <rFont val="Tahoma"/>
            <family val="2"/>
          </rPr>
          <t>Allen, Thomas (Research):</t>
        </r>
        <r>
          <rPr>
            <sz val="9"/>
            <color indexed="81"/>
            <rFont val="Tahoma"/>
            <family val="2"/>
          </rPr>
          <t xml:space="preserve">
Excludes all serviced apts and residences</t>
        </r>
      </text>
    </comment>
    <comment ref="CJ854" authorId="8">
      <text>
        <r>
          <rPr>
            <b/>
            <sz val="9"/>
            <color indexed="81"/>
            <rFont val="Tahoma"/>
            <family val="2"/>
          </rPr>
          <t>Allen, Thomas (Research):</t>
        </r>
        <r>
          <rPr>
            <sz val="9"/>
            <color indexed="81"/>
            <rFont val="Tahoma"/>
            <family val="2"/>
          </rPr>
          <t xml:space="preserve">
3Q16: 5% net unit growth guidance</t>
        </r>
      </text>
    </comment>
    <comment ref="CO854" authorId="8">
      <text>
        <r>
          <rPr>
            <b/>
            <sz val="9"/>
            <color indexed="81"/>
            <rFont val="Tahoma"/>
            <family val="2"/>
          </rPr>
          <t>Allen, Thomas (Research):</t>
        </r>
        <r>
          <rPr>
            <sz val="9"/>
            <color indexed="81"/>
            <rFont val="Tahoma"/>
            <family val="2"/>
          </rPr>
          <t xml:space="preserve">
3Q16: 6% net unit growth guidance</t>
        </r>
      </text>
    </comment>
    <comment ref="CT854" authorId="8">
      <text>
        <r>
          <rPr>
            <b/>
            <sz val="9"/>
            <color indexed="81"/>
            <rFont val="Tahoma"/>
            <family val="2"/>
          </rPr>
          <t>Allen, Thomas (Research):</t>
        </r>
        <r>
          <rPr>
            <sz val="9"/>
            <color indexed="81"/>
            <rFont val="Tahoma"/>
            <family val="2"/>
          </rPr>
          <t xml:space="preserve">
3Q16: 2018 unit growth should peak</t>
        </r>
      </text>
    </comment>
    <comment ref="CU854" authorId="8">
      <text>
        <r>
          <rPr>
            <b/>
            <sz val="9"/>
            <color indexed="81"/>
            <rFont val="Tahoma"/>
            <family val="2"/>
          </rPr>
          <t>Allen, Thomas (Research):</t>
        </r>
        <r>
          <rPr>
            <sz val="9"/>
            <color indexed="81"/>
            <rFont val="Tahoma"/>
            <family val="2"/>
          </rPr>
          <t xml:space="preserve">
3/21/17: 6.5% net 3-yr CAGR, incl. 1% annual deletion. Gross adds would be 285-300k </t>
        </r>
      </text>
    </comment>
    <comment ref="CE859" authorId="3">
      <text>
        <r>
          <rPr>
            <b/>
            <sz val="9"/>
            <color indexed="81"/>
            <rFont val="Tahoma"/>
            <family val="2"/>
          </rPr>
          <t>Chaudhry, Baset A (Research):</t>
        </r>
        <r>
          <rPr>
            <sz val="9"/>
            <color indexed="81"/>
            <rFont val="Tahoma"/>
            <family val="2"/>
          </rPr>
          <t xml:space="preserve">
Addition of Delta hotels</t>
        </r>
      </text>
    </comment>
    <comment ref="BW876" authorId="10">
      <text>
        <r>
          <rPr>
            <sz val="8"/>
            <color indexed="81"/>
            <rFont val="Tahoma"/>
            <family val="2"/>
          </rPr>
          <t>Marriott Protea deal would add ~4,700 managed rooms in 2Q14, additional approximate increase because of acquisition ~5.6%. However, for subsequent years the percentage increase will remain same
Source: Jan 22,2014 Press Release Marriott Signs Definitive Agreements To Acquire Protea Hospitality Holdings</t>
        </r>
      </text>
    </comment>
    <comment ref="BW897" authorId="10">
      <text>
        <r>
          <rPr>
            <sz val="8"/>
            <color indexed="81"/>
            <rFont val="Tahoma"/>
            <family val="2"/>
          </rPr>
          <t>Marriott Protea deal would add ~4,100 franchised rooms in 2Q14, additional approximate increase because of acquisition ~11.5%. However, for subsequent years the percentage increase will remain same 
Source: Jan 22,2014 Press Release Marriott Signs Definitive Agreements To Acquire Protea Hospitality Holdings</t>
        </r>
      </text>
    </comment>
    <comment ref="BU904" authorId="11">
      <text>
        <r>
          <rPr>
            <b/>
            <sz val="8"/>
            <color indexed="81"/>
            <rFont val="Tahoma"/>
            <family val="2"/>
          </rPr>
          <t>thallen:</t>
        </r>
        <r>
          <rPr>
            <sz val="8"/>
            <color indexed="81"/>
            <rFont val="Tahoma"/>
            <family val="2"/>
          </rPr>
          <t xml:space="preserve">
Guidance (from 4Q12 call): +18k, mostly managed</t>
        </r>
      </text>
    </comment>
    <comment ref="BU906" authorId="11">
      <text>
        <r>
          <rPr>
            <b/>
            <sz val="8"/>
            <color indexed="81"/>
            <rFont val="Tahoma"/>
            <family val="2"/>
          </rPr>
          <t>thallen:</t>
        </r>
        <r>
          <rPr>
            <sz val="8"/>
            <color indexed="81"/>
            <rFont val="Tahoma"/>
            <family val="2"/>
          </rPr>
          <t xml:space="preserve">
Guidance (from 4Q12 earnings): +30-35k (offset by typically lose ~1.5% of rooms / year, so ~10k rooms)
30k rooms to open in 2013 per 2Q13 earnings
per 3Q13, expect 20k net rooms to open (30k gross openings and 10k exits)</t>
        </r>
      </text>
    </comment>
    <comment ref="BS907" authorId="4">
      <text>
        <r>
          <rPr>
            <b/>
            <sz val="8"/>
            <color indexed="81"/>
            <rFont val="Tahoma"/>
            <family val="2"/>
          </rPr>
          <t>jills:</t>
        </r>
        <r>
          <rPr>
            <sz val="8"/>
            <color indexed="81"/>
            <rFont val="Tahoma"/>
            <family val="2"/>
          </rPr>
          <t xml:space="preserve">
40% of room openings in 3Q were conversions from other brands</t>
        </r>
      </text>
    </comment>
    <comment ref="BU907" authorId="4">
      <text>
        <r>
          <rPr>
            <b/>
            <sz val="8"/>
            <color indexed="81"/>
            <rFont val="Tahoma"/>
            <family val="2"/>
          </rPr>
          <t>jills:</t>
        </r>
        <r>
          <rPr>
            <sz val="8"/>
            <color indexed="81"/>
            <rFont val="Tahoma"/>
            <family val="2"/>
          </rPr>
          <t xml:space="preserve">
Excludes potential 116 hotels (10,184 rooms) related to Protea letter of intent; if deal closes, would add ~4,700 managed rooms, ~4,100 franchised rooms, ~1,400 leased rooms to portfolio; would not contribute to 2014 earnings given transaction costs; would be looking out to 2015 and beyond for contribution</t>
        </r>
      </text>
    </comment>
    <comment ref="BZ907" authorId="4">
      <text>
        <r>
          <rPr>
            <b/>
            <sz val="8"/>
            <color indexed="81"/>
            <rFont val="Tahoma"/>
            <family val="2"/>
          </rPr>
          <t>Guidance:</t>
        </r>
        <r>
          <rPr>
            <sz val="8"/>
            <color indexed="81"/>
            <rFont val="Tahoma"/>
            <family val="2"/>
          </rPr>
          <t xml:space="preserve">
Per 3Q14, 7% gross additions, 6% net of deletions
Per 2Q14, 7% growth gross, 6% growth net
Per 4Q13 release, 6% growth gross, 5% net
per 3Q13 release, expect unit growth to accelerate to +5% on a gross basis (3.5-4.0% net) in 2014
Also noted that room openings should accelerate in 2014
Excludes potential 116 hotels (10,184 rooms) related to Protea letter of intent; if deal closes, would add ~4,700 managed rooms, ~4,100 franchised rooms, ~1,400 leased rooms to portfolio; would not contribute to 2014 earnings given transaction costs; would be looking out to 2015 and beyond for contribution</t>
        </r>
      </text>
    </comment>
    <comment ref="BZ910" authorId="4">
      <text>
        <r>
          <rPr>
            <b/>
            <sz val="8"/>
            <color indexed="81"/>
            <rFont val="Tahoma"/>
            <family val="2"/>
          </rPr>
          <t>Guidance:</t>
        </r>
        <r>
          <rPr>
            <sz val="8"/>
            <color indexed="81"/>
            <rFont val="Tahoma"/>
            <family val="2"/>
          </rPr>
          <t xml:space="preserve">
Per 3Q14, 7% gross additions, 6% net of deletions
Per 2Q14, 7% growth gross, 6% growth net
Per 4Q13 release, 6% growth gross, 5% net
per 3Q13 release, expect unit growth to accelerate to +5% on a gross basis (3.5-4.0% net) in 2014
Also noted that room openings should accelerate in 2014
Excludes potential 116 hotels (10,184 rooms) related to Protea letter of intent; if deal closes, would add ~4,700 managed rooms, ~4,100 franchised rooms, ~1,400 leased rooms to portfolio; would not contribute to 2014 earnings given transaction costs; would be looking out to 2015 and beyond for contribution</t>
        </r>
      </text>
    </comment>
    <comment ref="CE910" authorId="3">
      <text>
        <r>
          <rPr>
            <b/>
            <sz val="9"/>
            <color indexed="81"/>
            <rFont val="Tahoma"/>
            <family val="2"/>
          </rPr>
          <t xml:space="preserve">Guidance:
</t>
        </r>
        <r>
          <rPr>
            <sz val="9"/>
            <color indexed="81"/>
            <rFont val="Tahoma"/>
            <family val="2"/>
          </rPr>
          <t>3Q15:  7 to 8% gross, 6 to 7 percent, net (including Delta)</t>
        </r>
        <r>
          <rPr>
            <b/>
            <sz val="9"/>
            <color indexed="81"/>
            <rFont val="Tahoma"/>
            <family val="2"/>
          </rPr>
          <t xml:space="preserve">
</t>
        </r>
        <r>
          <rPr>
            <sz val="9"/>
            <color indexed="81"/>
            <rFont val="Tahoma"/>
            <family val="2"/>
          </rPr>
          <t>2Q15: 8% gross and 7% net (including Delta)</t>
        </r>
        <r>
          <rPr>
            <b/>
            <sz val="9"/>
            <color indexed="81"/>
            <rFont val="Tahoma"/>
            <family val="2"/>
          </rPr>
          <t xml:space="preserve">
</t>
        </r>
        <r>
          <rPr>
            <sz val="9"/>
            <color indexed="81"/>
            <rFont val="Tahoma"/>
            <family val="2"/>
          </rPr>
          <t>1Q15: 8% gross and 7% net</t>
        </r>
        <r>
          <rPr>
            <b/>
            <sz val="9"/>
            <color indexed="81"/>
            <rFont val="Tahoma"/>
            <family val="2"/>
          </rPr>
          <t xml:space="preserve">
</t>
        </r>
        <r>
          <rPr>
            <sz val="9"/>
            <color indexed="81"/>
            <rFont val="Tahoma"/>
            <family val="2"/>
          </rPr>
          <t>4Q14: 7% gross and 6% net</t>
        </r>
        <r>
          <rPr>
            <b/>
            <sz val="9"/>
            <color indexed="81"/>
            <rFont val="Tahoma"/>
            <family val="2"/>
          </rPr>
          <t xml:space="preserve">
</t>
        </r>
        <r>
          <rPr>
            <sz val="9"/>
            <color indexed="81"/>
            <rFont val="Tahoma"/>
            <family val="2"/>
          </rPr>
          <t xml:space="preserve">3Q14: 6-7% gross romm additons in 2015 (historic attrition = 1% so translates to 5-6%, net)
</t>
        </r>
      </text>
    </comment>
    <comment ref="CJ910" authorId="3">
      <text>
        <r>
          <rPr>
            <b/>
            <sz val="9"/>
            <color indexed="81"/>
            <rFont val="Tahoma"/>
            <family val="2"/>
          </rPr>
          <t>Guidance:</t>
        </r>
        <r>
          <rPr>
            <sz val="9"/>
            <color indexed="81"/>
            <rFont val="Tahoma"/>
            <family val="2"/>
          </rPr>
          <t xml:space="preserve">
3Q16: 6% gross, 5% net
"In US, 14% of rooms, 36% of pipeline"
2Q16: 7.5% gross, 6.5% net
1Q16:  8% gross, 7%, net
4Q15:  8% gross, 7%, net</t>
        </r>
        <r>
          <rPr>
            <b/>
            <sz val="9"/>
            <color indexed="81"/>
            <rFont val="Tahoma"/>
            <family val="2"/>
          </rPr>
          <t xml:space="preserve">
</t>
        </r>
        <r>
          <rPr>
            <sz val="9"/>
            <color indexed="81"/>
            <rFont val="Tahoma"/>
            <family val="2"/>
          </rPr>
          <t>3Q15:  8% gross, 7%, net</t>
        </r>
      </text>
    </comment>
    <comment ref="CO910" authorId="8">
      <text>
        <r>
          <rPr>
            <b/>
            <sz val="9"/>
            <color indexed="81"/>
            <rFont val="Tahoma"/>
            <family val="2"/>
          </rPr>
          <t>Allen, Thomas (Research):</t>
        </r>
        <r>
          <rPr>
            <sz val="9"/>
            <color indexed="81"/>
            <rFont val="Tahoma"/>
            <family val="2"/>
          </rPr>
          <t xml:space="preserve">
3Q17: 5.5-6.0%
1Q17: 6%
4Q16: 6%
3Q16: 6%</t>
        </r>
      </text>
    </comment>
    <comment ref="CT910" authorId="8">
      <text>
        <r>
          <rPr>
            <b/>
            <sz val="9"/>
            <color indexed="81"/>
            <rFont val="Tahoma"/>
            <family val="2"/>
          </rPr>
          <t>Allen, Thomas (Research):</t>
        </r>
        <r>
          <rPr>
            <sz val="9"/>
            <color indexed="81"/>
            <rFont val="Tahoma"/>
            <family val="2"/>
          </rPr>
          <t xml:space="preserve">
4Q17: 5.5-6.0%
3Q17: 5.5-6.0%</t>
        </r>
      </text>
    </comment>
    <comment ref="BY993" authorId="12">
      <text>
        <r>
          <rPr>
            <sz val="9"/>
            <color indexed="81"/>
            <rFont val="Tahoma"/>
            <family val="2"/>
          </rPr>
          <t xml:space="preserve">Includes:
Bulgari: 5 Rooms
</t>
        </r>
      </text>
    </comment>
    <comment ref="CA993" authorId="12">
      <text>
        <r>
          <rPr>
            <sz val="9"/>
            <color indexed="81"/>
            <rFont val="Tahoma"/>
            <family val="2"/>
          </rPr>
          <t xml:space="preserve">Includes:
Bulgari: 5 Rooms
</t>
        </r>
      </text>
    </comment>
    <comment ref="CF993" authorId="12">
      <text>
        <r>
          <rPr>
            <sz val="9"/>
            <color indexed="81"/>
            <rFont val="Tahoma"/>
            <family val="2"/>
          </rPr>
          <t xml:space="preserve">Includes:
Bulgari: 5 Rooms
</t>
        </r>
      </text>
    </comment>
    <comment ref="CG993" authorId="12">
      <text>
        <r>
          <rPr>
            <sz val="9"/>
            <color indexed="81"/>
            <rFont val="Tahoma"/>
            <family val="2"/>
          </rPr>
          <t xml:space="preserve">Includes:
Bulgari: 5 Rooms
</t>
        </r>
      </text>
    </comment>
    <comment ref="BY994" authorId="12">
      <text>
        <r>
          <rPr>
            <sz val="9"/>
            <color indexed="81"/>
            <rFont val="Tahoma"/>
            <family val="2"/>
          </rPr>
          <t xml:space="preserve">Edition: 25 Rooms
</t>
        </r>
      </text>
    </comment>
    <comment ref="CA994" authorId="12">
      <text>
        <r>
          <rPr>
            <sz val="9"/>
            <color indexed="81"/>
            <rFont val="Tahoma"/>
            <family val="2"/>
          </rPr>
          <t xml:space="preserve">Edition: 25 Rooms
</t>
        </r>
      </text>
    </comment>
    <comment ref="CF994" authorId="12">
      <text>
        <r>
          <rPr>
            <sz val="9"/>
            <color indexed="81"/>
            <rFont val="Tahoma"/>
            <family val="2"/>
          </rPr>
          <t xml:space="preserve">Edition: 25 Rooms
</t>
        </r>
      </text>
    </comment>
    <comment ref="CO999" authorId="3">
      <text>
        <r>
          <rPr>
            <b/>
            <sz val="9"/>
            <color indexed="81"/>
            <rFont val="Tahoma"/>
            <family val="2"/>
          </rPr>
          <t xml:space="preserve">Guidance: </t>
        </r>
        <r>
          <rPr>
            <sz val="9"/>
            <color indexed="81"/>
            <rFont val="Tahoma"/>
            <family val="2"/>
          </rPr>
          <t xml:space="preserve">
831-871k rooms in 2017 as per Analyst Day (9/8/14)</t>
        </r>
      </text>
    </comment>
    <comment ref="CO1000" authorId="0">
      <text>
        <r>
          <rPr>
            <b/>
            <sz val="9"/>
            <color indexed="81"/>
            <rFont val="Tahoma"/>
            <family val="2"/>
          </rPr>
          <t>Zheng, Chaodan (Research):</t>
        </r>
        <r>
          <rPr>
            <sz val="9"/>
            <color indexed="81"/>
            <rFont val="Tahoma"/>
            <family val="2"/>
          </rPr>
          <t xml:space="preserve">
3Q17: gross room additoins of nearly 7%, with room deletions of 1-1.5% for full year 2017. Deletions higher than historical average of 1% due to higher Sheraton room removals (6000 to exit the system in 2017 and another 4000 to exit in 2018)</t>
        </r>
      </text>
    </comment>
    <comment ref="BZ1002" authorId="3">
      <text>
        <r>
          <rPr>
            <b/>
            <sz val="9"/>
            <color indexed="81"/>
            <rFont val="Tahoma"/>
            <family val="2"/>
          </rPr>
          <t xml:space="preserve">Guidance: </t>
        </r>
        <r>
          <rPr>
            <sz val="9"/>
            <color indexed="81"/>
            <rFont val="Tahoma"/>
            <family val="2"/>
          </rPr>
          <t xml:space="preserve">
ACTUAL
New brands = 40% of openings
45-50k room in 2014 as per Analyst Day (9/8/14)
</t>
        </r>
      </text>
    </comment>
    <comment ref="CE1002" authorId="3">
      <text>
        <r>
          <rPr>
            <b/>
            <sz val="9"/>
            <color indexed="81"/>
            <rFont val="Tahoma"/>
            <family val="2"/>
          </rPr>
          <t xml:space="preserve">Guidance: </t>
        </r>
        <r>
          <rPr>
            <sz val="9"/>
            <color indexed="81"/>
            <rFont val="Tahoma"/>
            <family val="2"/>
          </rPr>
          <t xml:space="preserve">
40-50k room in 2015 as per Analyst Day (9/8/14)</t>
        </r>
      </text>
    </comment>
    <comment ref="CJ1002" authorId="3">
      <text>
        <r>
          <rPr>
            <b/>
            <sz val="9"/>
            <color indexed="81"/>
            <rFont val="Tahoma"/>
            <family val="2"/>
          </rPr>
          <t xml:space="preserve">Guidance: </t>
        </r>
        <r>
          <rPr>
            <sz val="9"/>
            <color indexed="81"/>
            <rFont val="Tahoma"/>
            <family val="2"/>
          </rPr>
          <t xml:space="preserve">
55-65k room in 2016 as per Analyst Day (9/8/14)</t>
        </r>
      </text>
    </comment>
    <comment ref="CO1002" authorId="3">
      <text>
        <r>
          <rPr>
            <b/>
            <sz val="9"/>
            <color indexed="81"/>
            <rFont val="Tahoma"/>
            <family val="2"/>
          </rPr>
          <t xml:space="preserve">Guidance: </t>
        </r>
        <r>
          <rPr>
            <sz val="9"/>
            <color indexed="81"/>
            <rFont val="Tahoma"/>
            <family val="2"/>
          </rPr>
          <t xml:space="preserve">
60-70k room in 2017 as per Analyst Day (9/8/14)</t>
        </r>
      </text>
    </comment>
    <comment ref="CU1002" authorId="8">
      <text>
        <r>
          <rPr>
            <b/>
            <sz val="9"/>
            <color indexed="81"/>
            <rFont val="Tahoma"/>
            <family val="2"/>
          </rPr>
          <t>Allen, Thomas (Research):</t>
        </r>
        <r>
          <rPr>
            <sz val="9"/>
            <color indexed="81"/>
            <rFont val="Tahoma"/>
            <family val="2"/>
          </rPr>
          <t xml:space="preserve">
3/21/17: 285-300k over 3 years</t>
        </r>
      </text>
    </comment>
    <comment ref="BZ1003" authorId="3">
      <text>
        <r>
          <rPr>
            <b/>
            <sz val="9"/>
            <color indexed="81"/>
            <rFont val="Tahoma"/>
            <family val="2"/>
          </rPr>
          <t xml:space="preserve">Guidance: </t>
        </r>
        <r>
          <rPr>
            <sz val="9"/>
            <color indexed="81"/>
            <rFont val="Tahoma"/>
            <family val="2"/>
          </rPr>
          <t xml:space="preserve">
40-45k room deletions over four years (2014-17) as per Analyst Day (9/8/14)</t>
        </r>
      </text>
    </comment>
    <comment ref="CE1003" authorId="3">
      <text>
        <r>
          <rPr>
            <b/>
            <sz val="9"/>
            <color indexed="81"/>
            <rFont val="Tahoma"/>
            <family val="2"/>
          </rPr>
          <t xml:space="preserve">Guidance: </t>
        </r>
        <r>
          <rPr>
            <sz val="9"/>
            <color indexed="81"/>
            <rFont val="Tahoma"/>
            <family val="2"/>
          </rPr>
          <t xml:space="preserve">
40-45k room deletions over four years (2014-17) as per Analyst Day (9/8/14)</t>
        </r>
      </text>
    </comment>
    <comment ref="CJ1003" authorId="3">
      <text>
        <r>
          <rPr>
            <b/>
            <sz val="9"/>
            <color indexed="81"/>
            <rFont val="Tahoma"/>
            <family val="2"/>
          </rPr>
          <t xml:space="preserve">Guidance: </t>
        </r>
        <r>
          <rPr>
            <sz val="9"/>
            <color indexed="81"/>
            <rFont val="Tahoma"/>
            <family val="2"/>
          </rPr>
          <t xml:space="preserve">
40-45k room deletions over four years (2014-17) as per Analyst Day (9/8/14)</t>
        </r>
      </text>
    </comment>
    <comment ref="CO1003" authorId="3">
      <text>
        <r>
          <rPr>
            <b/>
            <sz val="9"/>
            <color indexed="81"/>
            <rFont val="Tahoma"/>
            <family val="2"/>
          </rPr>
          <t xml:space="preserve">Guidance: </t>
        </r>
        <r>
          <rPr>
            <sz val="9"/>
            <color indexed="81"/>
            <rFont val="Tahoma"/>
            <family val="2"/>
          </rPr>
          <t xml:space="preserve">
40-45k room deletions over four years (2014-17) as per Analyst Day (9/8/14)</t>
        </r>
      </text>
    </comment>
    <comment ref="CU1003" authorId="8">
      <text>
        <r>
          <rPr>
            <b/>
            <sz val="9"/>
            <color indexed="81"/>
            <rFont val="Tahoma"/>
            <family val="2"/>
          </rPr>
          <t>Allen, Thomas (Research):</t>
        </r>
        <r>
          <rPr>
            <sz val="9"/>
            <color indexed="81"/>
            <rFont val="Tahoma"/>
            <family val="2"/>
          </rPr>
          <t xml:space="preserve">
3/21/17: 40k over 3 years</t>
        </r>
      </text>
    </comment>
    <comment ref="AI1008" authorId="13">
      <text>
        <r>
          <rPr>
            <b/>
            <sz val="8"/>
            <color indexed="8"/>
            <rFont val="Tahoma"/>
            <family val="2"/>
          </rPr>
          <t>urbank:</t>
        </r>
        <r>
          <rPr>
            <sz val="8"/>
            <color indexed="8"/>
            <rFont val="Tahoma"/>
            <family val="2"/>
          </rPr>
          <t xml:space="preserve">
expect 25K to open in 2006</t>
        </r>
      </text>
    </comment>
    <comment ref="BM1008" authorId="4">
      <text>
        <r>
          <rPr>
            <b/>
            <sz val="8"/>
            <color indexed="81"/>
            <rFont val="Tahoma"/>
            <family val="2"/>
          </rPr>
          <t>jills:</t>
        </r>
        <r>
          <rPr>
            <sz val="8"/>
            <color indexed="81"/>
            <rFont val="Tahoma"/>
            <family val="2"/>
          </rPr>
          <t xml:space="preserve">
55% NA
25% APAC
9% MEA
6% Europe
5% Caribbean/LatAm</t>
        </r>
      </text>
    </comment>
    <comment ref="BN1008" authorId="11">
      <text>
        <r>
          <rPr>
            <b/>
            <sz val="8"/>
            <color indexed="81"/>
            <rFont val="Tahoma"/>
            <family val="2"/>
          </rPr>
          <t>thallen:</t>
        </r>
        <r>
          <rPr>
            <sz val="8"/>
            <color indexed="81"/>
            <rFont val="Tahoma"/>
            <family val="2"/>
          </rPr>
          <t xml:space="preserve">
Doesn't include 8,100 Gaylord rooms joining system in 4Q</t>
        </r>
      </text>
    </comment>
    <comment ref="BO1008" authorId="11">
      <text>
        <r>
          <rPr>
            <b/>
            <sz val="8"/>
            <color indexed="81"/>
            <rFont val="Tahoma"/>
            <family val="2"/>
          </rPr>
          <t>thallen:</t>
        </r>
        <r>
          <rPr>
            <sz val="8"/>
            <color indexed="81"/>
            <rFont val="Tahoma"/>
            <family val="2"/>
          </rPr>
          <t xml:space="preserve">
Almost 59k outside US</t>
        </r>
      </text>
    </comment>
    <comment ref="BR1008" authorId="4">
      <text>
        <r>
          <rPr>
            <b/>
            <sz val="8"/>
            <color indexed="81"/>
            <rFont val="Tahoma"/>
            <family val="2"/>
          </rPr>
          <t>jills:</t>
        </r>
        <r>
          <rPr>
            <sz val="8"/>
            <color indexed="81"/>
            <rFont val="Tahoma"/>
            <family val="2"/>
          </rPr>
          <t xml:space="preserve">
nearly 3/4 of increase came from international markets, particularly Asia</t>
        </r>
      </text>
    </comment>
    <comment ref="BS1008" authorId="4">
      <text>
        <r>
          <rPr>
            <b/>
            <sz val="8"/>
            <color indexed="81"/>
            <rFont val="Tahoma"/>
            <family val="2"/>
          </rPr>
          <t>jills:</t>
        </r>
        <r>
          <rPr>
            <sz val="8"/>
            <color indexed="81"/>
            <rFont val="Tahoma"/>
            <family val="2"/>
          </rPr>
          <t xml:space="preserve">
over 850 hotels with over 144k rooms vs. 830 hotels and 141k rooms at the end of 2Q
In 3Q, MAR changed its methodology to measure pipeline to be more consistent w STR. It now includes all worldwide rooms with signed contracts including those rooms pending conversion to one of the company's brands
MAR also has 31k rooms approved for development that are not yet subject to signed agreements and therefore not included in the development pipeline as of the end of 3Q13
Regarding domestic pipeline (~50% of total), ~70% is outside of the top 25 markets
Excludes potential 116 hotels (10,184 rooms) related to Protea letter of intent; if deal closes, would add ~4,700 managed rooms, ~4,100 franchised rooms, ~1,400 leased rooms to portfolio; would not contribute to 2014 earnings given transaction costs; would be looking out to 2015 and beyond for contribution</t>
        </r>
      </text>
    </comment>
    <comment ref="BT1008" authorId="10">
      <text>
        <r>
          <rPr>
            <sz val="8"/>
            <color indexed="81"/>
            <rFont val="Tahoma"/>
            <family val="2"/>
          </rPr>
          <t xml:space="preserve">Change in calc methodology
In 2013, Marriott increased its total development pipeline by over 30 percent.  At year-end 2013, Marriott had more than 195,000 rooms under development across five continents, compared to 176,000 rooms at the end of the third quarter and 143,000 rooms just a year ago.  
At year-end 2013, the company's global pipeline included 
72,000 Hotel rooms under construction
83,000 Rooms signed but not yet under construction 11,000 Rooms awaiting conversion to one of Marriott's brands 
29,000 Rooms for projects that have been approved for development but not yet signed
</t>
        </r>
      </text>
    </comment>
    <comment ref="BV1008" authorId="8">
      <text>
        <r>
          <rPr>
            <b/>
            <sz val="9"/>
            <color indexed="81"/>
            <rFont val="Tahoma"/>
            <family val="2"/>
          </rPr>
          <t>Allen, Thomas (Research):</t>
        </r>
        <r>
          <rPr>
            <sz val="9"/>
            <color indexed="81"/>
            <rFont val="Tahoma"/>
            <family val="2"/>
          </rPr>
          <t xml:space="preserve">
Incl. 30k rooms approved but not yet subject to signed contracts</t>
        </r>
      </text>
    </comment>
    <comment ref="BW1008" authorId="8">
      <text>
        <r>
          <rPr>
            <sz val="9"/>
            <color indexed="81"/>
            <rFont val="Tahoma"/>
            <family val="2"/>
          </rPr>
          <t>Incl. 30k rooms approved but not yet subject to signed contracts</t>
        </r>
      </text>
    </comment>
    <comment ref="BX1008" authorId="8">
      <text>
        <r>
          <rPr>
            <b/>
            <sz val="9"/>
            <color indexed="81"/>
            <rFont val="Tahoma"/>
            <family val="2"/>
          </rPr>
          <t>3Q14:</t>
        </r>
        <r>
          <rPr>
            <sz val="9"/>
            <color indexed="81"/>
            <rFont val="Tahoma"/>
            <family val="2"/>
          </rPr>
          <t xml:space="preserve">
40% under construction
Incl. 37k rooms approved but not yet subject to signed contracts</t>
        </r>
      </text>
    </comment>
    <comment ref="BY1008" authorId="3">
      <text>
        <r>
          <rPr>
            <b/>
            <sz val="9"/>
            <color indexed="81"/>
            <rFont val="Tahoma"/>
            <family val="2"/>
          </rPr>
          <t>Chaudhry, Baset A (Research):</t>
        </r>
        <r>
          <rPr>
            <sz val="9"/>
            <color indexed="81"/>
            <rFont val="Tahoma"/>
            <family val="2"/>
          </rPr>
          <t xml:space="preserve">
30k rooms approved but not yet signed. Also, excludes 10k rooms from Delta acquisition</t>
        </r>
      </text>
    </comment>
    <comment ref="CE1008" authorId="8">
      <text>
        <r>
          <rPr>
            <b/>
            <sz val="9"/>
            <color indexed="81"/>
            <rFont val="Tahoma"/>
            <family val="2"/>
          </rPr>
          <t>Allen, Thomas (Research):</t>
        </r>
        <r>
          <rPr>
            <sz val="9"/>
            <color indexed="81"/>
            <rFont val="Tahoma"/>
            <family val="2"/>
          </rPr>
          <t xml:space="preserve">
Per 1/20/15 pr, expect rooms open / under development to reach 1m by YE15</t>
        </r>
      </text>
    </comment>
    <comment ref="CH1008" authorId="6">
      <text>
        <r>
          <rPr>
            <b/>
            <sz val="9"/>
            <color indexed="81"/>
            <rFont val="Tahoma"/>
            <family val="2"/>
          </rPr>
          <t>Savino, Mark (Research):</t>
        </r>
        <r>
          <rPr>
            <sz val="9"/>
            <color indexed="81"/>
            <rFont val="Tahoma"/>
            <family val="2"/>
          </rPr>
          <t xml:space="preserve">
Includes $130k legacy HOT rooms</t>
        </r>
      </text>
    </comment>
    <comment ref="CJ1008" authorId="8">
      <text>
        <r>
          <rPr>
            <b/>
            <sz val="9"/>
            <color indexed="81"/>
            <rFont val="Tahoma"/>
            <family val="2"/>
          </rPr>
          <t>Allen, Thomas (Research):</t>
        </r>
        <r>
          <rPr>
            <sz val="9"/>
            <color indexed="81"/>
            <rFont val="Tahoma"/>
            <family val="2"/>
          </rPr>
          <t xml:space="preserve">
2,493 properties:
22 St. Regis hotels
31 Ritz-Carltons
150 Alofts
236 Residence Inn
73 ELEMENTs
(436 int'l SS properties)
55% franchised
51% signed, 7% conversions, 35% under construction, 7% approved but not signed
70% legacy MAR</t>
        </r>
      </text>
    </comment>
    <comment ref="CK1008" authorId="0">
      <text>
        <r>
          <rPr>
            <b/>
            <sz val="9"/>
            <color indexed="81"/>
            <rFont val="Tahoma"/>
            <family val="2"/>
          </rPr>
          <t>Zheng, Chaodan (Research):</t>
        </r>
        <r>
          <rPr>
            <sz val="9"/>
            <color indexed="81"/>
            <rFont val="Tahoma"/>
            <family val="2"/>
          </rPr>
          <t xml:space="preserve">
1Q17: at quarter end, Marriott's worldwide development pipeline increased to more than 430k rooms, including roughly 36k rooms approved, but not yet subject to signed contracts</t>
        </r>
      </text>
    </comment>
    <comment ref="CM1008" authorId="0">
      <text>
        <r>
          <rPr>
            <b/>
            <sz val="9"/>
            <color indexed="81"/>
            <rFont val="Tahoma"/>
            <family val="2"/>
          </rPr>
          <t>Zheng, Chaodan (Research):</t>
        </r>
        <r>
          <rPr>
            <sz val="9"/>
            <color indexed="81"/>
            <rFont val="Tahoma"/>
            <family val="2"/>
          </rPr>
          <t xml:space="preserve">
3Q17: Turning to development, in the third quarter our worldwide development pipeline reached a record 450,000 rooms, which is 36% of our current system size, and worldwide room openings totaled 23,000 rooms, a new single quarter record. Our brands continue to be preferred by developers and lenders alike. Based on STR industry pipeline data, our brands continue to represent a leading 35% of hotels under construction in the U.S. and one in four hotels under construction worldwide.</t>
        </r>
      </text>
    </comment>
    <comment ref="BQ1009" authorId="4">
      <text>
        <r>
          <rPr>
            <b/>
            <sz val="8"/>
            <color indexed="81"/>
            <rFont val="Tahoma"/>
            <family val="2"/>
          </rPr>
          <t>jills:</t>
        </r>
        <r>
          <rPr>
            <sz val="8"/>
            <color indexed="81"/>
            <rFont val="Tahoma"/>
            <family val="2"/>
          </rPr>
          <t xml:space="preserve">
includes pipeline of 31 Ritz-Carlton hotels
45 hotels in India including introducing the Fairfield brand to the market</t>
        </r>
      </text>
    </comment>
    <comment ref="BR1009" authorId="4">
      <text>
        <r>
          <rPr>
            <b/>
            <sz val="8"/>
            <color indexed="81"/>
            <rFont val="Tahoma"/>
            <family val="2"/>
          </rPr>
          <t>jills:</t>
        </r>
        <r>
          <rPr>
            <sz val="8"/>
            <color indexed="81"/>
            <rFont val="Tahoma"/>
            <family val="2"/>
          </rPr>
          <t xml:space="preserve">
one in four hotels under construction in the US will fly one of MAR's flags</t>
        </r>
      </text>
    </comment>
    <comment ref="BS1009" authorId="4">
      <text>
        <r>
          <rPr>
            <b/>
            <sz val="8"/>
            <color indexed="81"/>
            <rFont val="Tahoma"/>
            <family val="2"/>
          </rPr>
          <t>jills:</t>
        </r>
        <r>
          <rPr>
            <sz val="8"/>
            <color indexed="81"/>
            <rFont val="Tahoma"/>
            <family val="2"/>
          </rPr>
          <t xml:space="preserve">
over 850 hotels with over 144k rooms vs. 830 hotels and 141k rooms at the end of 2Q
In 3Q, MAR changed its methodology to measure pipeline to be more consistent w STR. It now includes all worldwide rooms with signed contracts including those rooms pending conversion to one of the company's brands</t>
        </r>
      </text>
    </comment>
    <comment ref="BT1010" authorId="4">
      <text>
        <r>
          <rPr>
            <b/>
            <sz val="8"/>
            <color indexed="81"/>
            <rFont val="Tahoma"/>
            <family val="2"/>
          </rPr>
          <t>jills:</t>
        </r>
        <r>
          <rPr>
            <sz val="8"/>
            <color indexed="81"/>
            <rFont val="Tahoma"/>
            <family val="2"/>
          </rPr>
          <t xml:space="preserve">
At least 6 new Ritz hotels are scheduled to open in 4Q13 including 2 properties in China</t>
        </r>
      </text>
    </comment>
    <comment ref="BU1010" authorId="4">
      <text>
        <r>
          <rPr>
            <b/>
            <sz val="8"/>
            <color indexed="81"/>
            <rFont val="Tahoma"/>
            <family val="2"/>
          </rPr>
          <t>jills:</t>
        </r>
        <r>
          <rPr>
            <sz val="8"/>
            <color indexed="81"/>
            <rFont val="Tahoma"/>
            <family val="2"/>
          </rPr>
          <t xml:space="preserve">
MAR announced a major expansion for its Ritz Carlton brand (9/12/13) that will bring the total number of properties to 100 hotels around the world by 2016.  
Interest from owners / developers for the Ritz brand has been strong across the globe, especially in Asia and the Middle East</t>
        </r>
      </text>
    </comment>
    <comment ref="BZ1010" authorId="4">
      <text>
        <r>
          <rPr>
            <b/>
            <sz val="8"/>
            <color indexed="81"/>
            <rFont val="Tahoma"/>
            <family val="2"/>
          </rPr>
          <t>jills:</t>
        </r>
        <r>
          <rPr>
            <sz val="8"/>
            <color indexed="81"/>
            <rFont val="Tahoma"/>
            <family val="2"/>
          </rPr>
          <t xml:space="preserve">
The 2014 Ritz expansion schedule includes a record number of new openings including Kyoto, Japan; Nanjing, China; Rabat, Morocco; Cairo, Egypt; Manesar, India and Bali, Indonesia. </t>
        </r>
      </text>
    </comment>
    <comment ref="CE1010" authorId="4">
      <text>
        <r>
          <rPr>
            <b/>
            <sz val="8"/>
            <color indexed="81"/>
            <rFont val="Tahoma"/>
            <family val="2"/>
          </rPr>
          <t>jills:</t>
        </r>
        <r>
          <rPr>
            <sz val="8"/>
            <color indexed="81"/>
            <rFont val="Tahoma"/>
            <family val="2"/>
          </rPr>
          <t xml:space="preserve">
By 2015, MAR anticipates that it will open Ritz Carlton hotels and resorts in Cabo San Lucas; Oman, Muscat; Bali, Indonesia; Ho Chi Minh, Vietnam; Tunis, Tunisia and Haikou, China.
</t>
        </r>
      </text>
    </comment>
    <comment ref="BS1011" authorId="4">
      <text>
        <r>
          <rPr>
            <b/>
            <sz val="8"/>
            <color indexed="81"/>
            <rFont val="Tahoma"/>
            <family val="2"/>
          </rPr>
          <t>jills:</t>
        </r>
        <r>
          <rPr>
            <sz val="8"/>
            <color indexed="81"/>
            <rFont val="Tahoma"/>
            <family val="2"/>
          </rPr>
          <t xml:space="preserve">
expect 1 new hotel to open in Asia every 8 days through 2016
</t>
        </r>
      </text>
    </comment>
    <comment ref="BZ1011" authorId="8">
      <text>
        <r>
          <rPr>
            <b/>
            <sz val="9"/>
            <color indexed="81"/>
            <rFont val="Tahoma"/>
            <family val="2"/>
          </rPr>
          <t>Allen, Thomas (Research):</t>
        </r>
        <r>
          <rPr>
            <sz val="9"/>
            <color indexed="81"/>
            <rFont val="Tahoma"/>
            <family val="2"/>
          </rPr>
          <t xml:space="preserve">
Marriott's growth is significant on a regional basis.  In North America, the company is entering new secondary and tertiary markets as well as adding to its strength in the largest cities.   In Asia, the company expects to more than double its distribution as hotel projects in the current pipeline open, more than doubling Marriott's presence in the Asia-Pacific region. The company also expects its robust growth will continue in the Middle East and Africa, where Marriott's portfolio could expand by more than 75 percent, and the Caribbean and Latin America, where its system size could increase by nearly 50 percent.  In Europe, the company's aggressive growth plans will leverage a broad portfolio of brands, including Moxy, a new stylish budget alternative for travelers with a millennial mindset. </t>
        </r>
      </text>
    </comment>
    <comment ref="BQ1024" authorId="4">
      <text>
        <r>
          <rPr>
            <b/>
            <sz val="8"/>
            <color indexed="81"/>
            <rFont val="Tahoma"/>
            <family val="2"/>
          </rPr>
          <t>jills:</t>
        </r>
        <r>
          <rPr>
            <sz val="8"/>
            <color indexed="81"/>
            <rFont val="Tahoma"/>
            <family val="2"/>
          </rPr>
          <t xml:space="preserve">
per 1Q13 earnings, MAR expects to add 30-35k rooms worldwide in 2013 and expects 10k to leave the system</t>
        </r>
      </text>
    </comment>
    <comment ref="BN1025" authorId="11">
      <text>
        <r>
          <rPr>
            <b/>
            <sz val="8"/>
            <color indexed="81"/>
            <rFont val="Tahoma"/>
            <family val="2"/>
          </rPr>
          <t>thallen:</t>
        </r>
        <r>
          <rPr>
            <sz val="8"/>
            <color indexed="81"/>
            <rFont val="Tahoma"/>
            <family val="2"/>
          </rPr>
          <t xml:space="preserve">
Calc</t>
        </r>
      </text>
    </comment>
    <comment ref="BO1028" authorId="11">
      <text>
        <r>
          <rPr>
            <b/>
            <sz val="8"/>
            <color indexed="81"/>
            <rFont val="Tahoma"/>
            <family val="2"/>
          </rPr>
          <t>thallen:</t>
        </r>
        <r>
          <rPr>
            <sz val="8"/>
            <color indexed="81"/>
            <rFont val="Tahoma"/>
            <family val="2"/>
          </rPr>
          <t xml:space="preserve">
Incl. 8098 Gaylord rooms and 2800 rooms in int'l markets</t>
        </r>
      </text>
    </comment>
    <comment ref="BP1028" authorId="11">
      <text>
        <r>
          <rPr>
            <b/>
            <sz val="8"/>
            <color indexed="81"/>
            <rFont val="Tahoma"/>
            <family val="2"/>
          </rPr>
          <t>thallen:</t>
        </r>
        <r>
          <rPr>
            <sz val="8"/>
            <color indexed="81"/>
            <rFont val="Tahoma"/>
            <family val="2"/>
          </rPr>
          <t xml:space="preserve">
20% conversions from other brands
30% from Gaylord acq.
30% in int'l markets</t>
        </r>
      </text>
    </comment>
    <comment ref="BS1028" authorId="4">
      <text>
        <r>
          <rPr>
            <b/>
            <sz val="8"/>
            <color indexed="81"/>
            <rFont val="Tahoma"/>
            <family val="2"/>
          </rPr>
          <t>jills:</t>
        </r>
        <r>
          <rPr>
            <sz val="8"/>
            <color indexed="81"/>
            <rFont val="Tahoma"/>
            <family val="2"/>
          </rPr>
          <t xml:space="preserve">
includes London Edition, The Prince Sajura Tower Tokyo (Autograph Collection) and the Courtyard Aberdeen
40% of room openings in 3Q were conversions from other brands</t>
        </r>
      </text>
    </comment>
    <comment ref="BU1028" authorId="11">
      <text>
        <r>
          <rPr>
            <b/>
            <sz val="8"/>
            <color indexed="81"/>
            <rFont val="Tahoma"/>
            <family val="2"/>
          </rPr>
          <t>thallen:</t>
        </r>
        <r>
          <rPr>
            <sz val="8"/>
            <color indexed="81"/>
            <rFont val="Tahoma"/>
            <family val="2"/>
          </rPr>
          <t xml:space="preserve">
Guidance: +30-35k rooms</t>
        </r>
      </text>
    </comment>
    <comment ref="BU1030" authorId="11">
      <text>
        <r>
          <rPr>
            <b/>
            <sz val="8"/>
            <color indexed="81"/>
            <rFont val="Tahoma"/>
            <family val="2"/>
          </rPr>
          <t>thallen:</t>
        </r>
        <r>
          <rPr>
            <sz val="8"/>
            <color indexed="81"/>
            <rFont val="Tahoma"/>
            <family val="2"/>
          </rPr>
          <t xml:space="preserve">
Guidance: 10k rooms will leave the system (per 4Q12 earnings, 2Q13 earnings)</t>
        </r>
      </text>
    </comment>
    <comment ref="BN1032" authorId="11">
      <text>
        <r>
          <rPr>
            <b/>
            <sz val="8"/>
            <color indexed="81"/>
            <rFont val="Tahoma"/>
            <family val="2"/>
          </rPr>
          <t>thallen:</t>
        </r>
        <r>
          <rPr>
            <sz val="8"/>
            <color indexed="81"/>
            <rFont val="Tahoma"/>
            <family val="2"/>
          </rPr>
          <t xml:space="preserve">
Most to open in 2014-2016. 50% int'l (2/3 in Asia)</t>
        </r>
      </text>
    </comment>
    <comment ref="BQ1032" authorId="11">
      <text>
        <r>
          <rPr>
            <b/>
            <sz val="8"/>
            <color indexed="81"/>
            <rFont val="Tahoma"/>
            <family val="2"/>
          </rPr>
          <t>thallen:</t>
        </r>
        <r>
          <rPr>
            <sz val="8"/>
            <color indexed="81"/>
            <rFont val="Tahoma"/>
            <family val="2"/>
          </rPr>
          <t xml:space="preserve">
As of 2/19/13, already signed 9k rooms (nearly 90% in Asia)</t>
        </r>
      </text>
    </comment>
    <comment ref="BU1032" authorId="10">
      <text>
        <r>
          <rPr>
            <sz val="8"/>
            <color indexed="81"/>
            <rFont val="Tahoma"/>
            <family val="2"/>
          </rPr>
          <t xml:space="preserve">Marriott reported that it signed more than one hotel project per day in 2013, totaling a record 387 hotels and 67,000 rooms.  The company opened nearly 26,000 new rooms in 2013 and, given its strong pipeline, expects new hotel openings to accelerate in 2014 and 2015.
In 2013, Marriott signed agreements to add 78 new hotels and more than 22,000 rooms in the Asia Pacific region.
</t>
        </r>
      </text>
    </comment>
    <comment ref="BZ1032" authorId="8">
      <text>
        <r>
          <rPr>
            <b/>
            <sz val="9"/>
            <color indexed="81"/>
            <rFont val="Tahoma"/>
            <family val="2"/>
          </rPr>
          <t>Allen, Thomas (Research):</t>
        </r>
        <r>
          <rPr>
            <sz val="9"/>
            <color indexed="81"/>
            <rFont val="Tahoma"/>
            <family val="2"/>
          </rPr>
          <t xml:space="preserve">
&gt;650 hotels, &gt;100k rooms</t>
        </r>
      </text>
    </comment>
  </commentList>
</comments>
</file>

<file path=xl/comments8.xml><?xml version="1.0" encoding="utf-8"?>
<comments xmlns="http://schemas.openxmlformats.org/spreadsheetml/2006/main">
  <authors>
    <author>savinmar</author>
  </authors>
  <commentList>
    <comment ref="H4" authorId="0">
      <text>
        <r>
          <rPr>
            <b/>
            <sz val="8"/>
            <color indexed="81"/>
            <rFont val="Tahoma"/>
            <family val="2"/>
          </rPr>
          <t>savinmar:</t>
        </r>
        <r>
          <rPr>
            <sz val="8"/>
            <color indexed="81"/>
            <rFont val="Tahoma"/>
            <family val="2"/>
          </rPr>
          <t xml:space="preserve">
-average daily rate +3%
-meeting planners spent more on F&amp;B and added last minute upgrades. Planners are concerned about tight availability and are booking meetings earlier.</t>
        </r>
      </text>
    </comment>
    <comment ref="I4" authorId="0">
      <text>
        <r>
          <rPr>
            <b/>
            <sz val="8"/>
            <color indexed="81"/>
            <rFont val="Tahoma"/>
            <family val="2"/>
          </rPr>
          <t>savinmar:</t>
        </r>
        <r>
          <rPr>
            <sz val="8"/>
            <color indexed="81"/>
            <rFont val="Tahoma"/>
            <family val="2"/>
          </rPr>
          <t xml:space="preserve">
room rates up more than 3%</t>
        </r>
      </text>
    </comment>
    <comment ref="J4" authorId="0">
      <text>
        <r>
          <rPr>
            <b/>
            <sz val="8"/>
            <color indexed="81"/>
            <rFont val="Tahoma"/>
            <family val="2"/>
          </rPr>
          <t>savinmar:</t>
        </r>
        <r>
          <rPr>
            <sz val="8"/>
            <color indexed="81"/>
            <rFont val="Tahoma"/>
            <family val="2"/>
          </rPr>
          <t xml:space="preserve">
Impacted significantly by Easter shift. If you include April, YTD RevPAR expected to be +6%</t>
        </r>
      </text>
    </comment>
    <comment ref="H10" authorId="0">
      <text>
        <r>
          <rPr>
            <b/>
            <sz val="8"/>
            <color indexed="81"/>
            <rFont val="Tahoma"/>
            <family val="2"/>
          </rPr>
          <t>savinmar:</t>
        </r>
        <r>
          <rPr>
            <sz val="8"/>
            <color indexed="81"/>
            <rFont val="Tahoma"/>
            <family val="2"/>
          </rPr>
          <t xml:space="preserve">
Largely from higher ADR, saw stronger demand from technology and professional service companies</t>
        </r>
      </text>
    </comment>
    <comment ref="J10" authorId="0">
      <text>
        <r>
          <rPr>
            <b/>
            <sz val="8"/>
            <color indexed="81"/>
            <rFont val="Tahoma"/>
            <family val="2"/>
          </rPr>
          <t>savinmar:</t>
        </r>
        <r>
          <rPr>
            <sz val="8"/>
            <color indexed="81"/>
            <rFont val="Tahoma"/>
            <family val="2"/>
          </rPr>
          <t xml:space="preserve">
strong demand in Miami, Houston and San Fran</t>
        </r>
      </text>
    </comment>
  </commentList>
</comments>
</file>

<file path=xl/comments9.xml><?xml version="1.0" encoding="utf-8"?>
<comments xmlns="http://schemas.openxmlformats.org/spreadsheetml/2006/main">
  <authors>
    <author>jills</author>
  </authors>
  <commentList>
    <comment ref="B19" authorId="0">
      <text>
        <r>
          <rPr>
            <sz val="8"/>
            <color indexed="81"/>
            <rFont val="Tahoma"/>
            <family val="2"/>
          </rPr>
          <t>based on most recent quarterly dividend annualized</t>
        </r>
      </text>
    </comment>
  </commentList>
</comments>
</file>

<file path=xl/comments10.xml><?xml version="1.0" encoding="utf-8"?>
<comments xmlns="http://schemas.openxmlformats.org/spreadsheetml/2006/main">
  <authors>
    <author>danfuss</author>
    <author>jills</author>
  </authors>
  <commentList>
    <comment ref="A41" authorId="0">
      <text>
        <r>
          <rPr>
            <b/>
            <sz val="8"/>
            <color indexed="81"/>
            <rFont val="Tahoma"/>
            <family val="2"/>
          </rPr>
          <t>danfuss:</t>
        </r>
        <r>
          <rPr>
            <sz val="8"/>
            <color indexed="81"/>
            <rFont val="Tahoma"/>
            <family val="2"/>
          </rPr>
          <t xml:space="preserve">
Depreciation reimbursed by third party owners</t>
        </r>
      </text>
    </comment>
    <comment ref="P64" authorId="1">
      <text>
        <r>
          <rPr>
            <b/>
            <sz val="8"/>
            <color indexed="81"/>
            <rFont val="Tahoma"/>
            <family val="2"/>
          </rPr>
          <t>jills:</t>
        </r>
        <r>
          <rPr>
            <sz val="8"/>
            <color indexed="81"/>
            <rFont val="Tahoma"/>
            <family val="2"/>
          </rPr>
          <t xml:space="preserve">
constant dollars</t>
        </r>
      </text>
    </comment>
  </commentList>
</comments>
</file>

<file path=xl/comments11.xml><?xml version="1.0" encoding="utf-8"?>
<comments xmlns="http://schemas.openxmlformats.org/spreadsheetml/2006/main">
  <authors>
    <author>danfuss</author>
    <author>jills</author>
  </authors>
  <commentList>
    <comment ref="A20" authorId="0">
      <text>
        <r>
          <rPr>
            <b/>
            <sz val="8"/>
            <color indexed="81"/>
            <rFont val="Tahoma"/>
            <family val="2"/>
          </rPr>
          <t>DJF:</t>
        </r>
        <r>
          <rPr>
            <sz val="8"/>
            <color indexed="81"/>
            <rFont val="Tahoma"/>
            <family val="2"/>
          </rPr>
          <t xml:space="preserve">
From Adjusted EBITDA</t>
        </r>
      </text>
    </comment>
    <comment ref="A41" authorId="0">
      <text>
        <r>
          <rPr>
            <b/>
            <sz val="8"/>
            <color indexed="81"/>
            <rFont val="Tahoma"/>
            <family val="2"/>
          </rPr>
          <t>danfuss:</t>
        </r>
        <r>
          <rPr>
            <sz val="8"/>
            <color indexed="81"/>
            <rFont val="Tahoma"/>
            <family val="2"/>
          </rPr>
          <t xml:space="preserve">
Depreciation reimbursed by third party owners</t>
        </r>
      </text>
    </comment>
    <comment ref="P62" authorId="1">
      <text>
        <r>
          <rPr>
            <b/>
            <sz val="8"/>
            <color indexed="81"/>
            <rFont val="Tahoma"/>
            <family val="2"/>
          </rPr>
          <t>jills:</t>
        </r>
        <r>
          <rPr>
            <sz val="8"/>
            <color indexed="81"/>
            <rFont val="Tahoma"/>
            <family val="2"/>
          </rPr>
          <t xml:space="preserve">
constant dollars</t>
        </r>
      </text>
    </comment>
  </commentList>
</comments>
</file>

<file path=xl/comments12.xml><?xml version="1.0" encoding="utf-8"?>
<comments xmlns="http://schemas.openxmlformats.org/spreadsheetml/2006/main">
  <authors>
    <author>danfuss</author>
    <author>jills</author>
  </authors>
  <commentList>
    <comment ref="A20" authorId="0">
      <text>
        <r>
          <rPr>
            <b/>
            <sz val="8"/>
            <color indexed="81"/>
            <rFont val="Tahoma"/>
            <family val="2"/>
          </rPr>
          <t>DJF:</t>
        </r>
        <r>
          <rPr>
            <sz val="8"/>
            <color indexed="81"/>
            <rFont val="Tahoma"/>
            <family val="2"/>
          </rPr>
          <t xml:space="preserve">
From Adjusted EBITDA</t>
        </r>
      </text>
    </comment>
    <comment ref="A41" authorId="0">
      <text>
        <r>
          <rPr>
            <b/>
            <sz val="8"/>
            <color indexed="81"/>
            <rFont val="Tahoma"/>
            <family val="2"/>
          </rPr>
          <t>danfuss:</t>
        </r>
        <r>
          <rPr>
            <sz val="8"/>
            <color indexed="81"/>
            <rFont val="Tahoma"/>
            <family val="2"/>
          </rPr>
          <t xml:space="preserve">
Depreciation reimbursed by third party owners</t>
        </r>
      </text>
    </comment>
    <comment ref="P62" authorId="1">
      <text>
        <r>
          <rPr>
            <b/>
            <sz val="8"/>
            <color indexed="81"/>
            <rFont val="Tahoma"/>
            <family val="2"/>
          </rPr>
          <t>jills:</t>
        </r>
        <r>
          <rPr>
            <sz val="8"/>
            <color indexed="81"/>
            <rFont val="Tahoma"/>
            <family val="2"/>
          </rPr>
          <t xml:space="preserve">
constant dollars</t>
        </r>
      </text>
    </comment>
  </commentList>
</comments>
</file>

<file path=xl/comments13.xml><?xml version="1.0" encoding="utf-8"?>
<comments xmlns="http://schemas.openxmlformats.org/spreadsheetml/2006/main">
  <authors>
    <author>danfuss</author>
    <author>stramark</author>
  </authors>
  <commentList>
    <comment ref="A20" authorId="0">
      <text>
        <r>
          <rPr>
            <b/>
            <sz val="8"/>
            <color indexed="81"/>
            <rFont val="Tahoma"/>
            <family val="2"/>
          </rPr>
          <t>DJF:</t>
        </r>
        <r>
          <rPr>
            <sz val="8"/>
            <color indexed="81"/>
            <rFont val="Tahoma"/>
            <family val="2"/>
          </rPr>
          <t xml:space="preserve">
From Adjusted EBITDA</t>
        </r>
      </text>
    </comment>
    <comment ref="A41" authorId="0">
      <text>
        <r>
          <rPr>
            <b/>
            <sz val="8"/>
            <color indexed="81"/>
            <rFont val="Tahoma"/>
            <family val="2"/>
          </rPr>
          <t>danfuss:</t>
        </r>
        <r>
          <rPr>
            <sz val="8"/>
            <color indexed="81"/>
            <rFont val="Tahoma"/>
            <family val="2"/>
          </rPr>
          <t xml:space="preserve">
Depreciation reimbursed by third party owners</t>
        </r>
      </text>
    </comment>
    <comment ref="R63" authorId="1">
      <text>
        <r>
          <rPr>
            <b/>
            <sz val="8"/>
            <color indexed="81"/>
            <rFont val="Tahoma"/>
            <family val="2"/>
          </rPr>
          <t>stramark:</t>
        </r>
        <r>
          <rPr>
            <sz val="8"/>
            <color indexed="81"/>
            <rFont val="Tahoma"/>
            <family val="2"/>
          </rPr>
          <t xml:space="preserve">
Comparable systemwide; Use actuals, not constant dollars</t>
        </r>
      </text>
    </comment>
  </commentList>
</comments>
</file>

<file path=xl/comments14.xml><?xml version="1.0" encoding="utf-8"?>
<comments xmlns="http://schemas.openxmlformats.org/spreadsheetml/2006/main">
  <authors>
    <author>danfuss</author>
    <author>stramark</author>
  </authors>
  <commentList>
    <comment ref="A20" authorId="0">
      <text>
        <r>
          <rPr>
            <b/>
            <sz val="8"/>
            <color indexed="81"/>
            <rFont val="Tahoma"/>
            <family val="2"/>
          </rPr>
          <t>DJF:</t>
        </r>
        <r>
          <rPr>
            <sz val="8"/>
            <color indexed="81"/>
            <rFont val="Tahoma"/>
            <family val="2"/>
          </rPr>
          <t xml:space="preserve">
From Adjusted EBITDA</t>
        </r>
      </text>
    </comment>
    <comment ref="A41" authorId="0">
      <text>
        <r>
          <rPr>
            <b/>
            <sz val="8"/>
            <color indexed="81"/>
            <rFont val="Tahoma"/>
            <family val="2"/>
          </rPr>
          <t>danfuss:</t>
        </r>
        <r>
          <rPr>
            <sz val="8"/>
            <color indexed="81"/>
            <rFont val="Tahoma"/>
            <family val="2"/>
          </rPr>
          <t xml:space="preserve">
Depreciation reimbursed by third party owners</t>
        </r>
      </text>
    </comment>
    <comment ref="R63" authorId="1">
      <text>
        <r>
          <rPr>
            <b/>
            <sz val="8"/>
            <color indexed="81"/>
            <rFont val="Tahoma"/>
            <family val="2"/>
          </rPr>
          <t>stramark:</t>
        </r>
        <r>
          <rPr>
            <sz val="8"/>
            <color indexed="81"/>
            <rFont val="Tahoma"/>
            <family val="2"/>
          </rPr>
          <t xml:space="preserve">
Comparable systemwide; Use actuals, not constant dollars</t>
        </r>
      </text>
    </comment>
    <comment ref="AC89" authorId="1">
      <text>
        <r>
          <rPr>
            <b/>
            <sz val="8"/>
            <color indexed="81"/>
            <rFont val="Tahoma"/>
            <family val="2"/>
          </rPr>
          <t>stramark:</t>
        </r>
        <r>
          <rPr>
            <sz val="8"/>
            <color indexed="81"/>
            <rFont val="Tahoma"/>
            <family val="2"/>
          </rPr>
          <t xml:space="preserve">
Assumes 33% tax rate</t>
        </r>
      </text>
    </comment>
    <comment ref="AI89" authorId="1">
      <text>
        <r>
          <rPr>
            <b/>
            <sz val="8"/>
            <color indexed="81"/>
            <rFont val="Tahoma"/>
            <family val="2"/>
          </rPr>
          <t>stramark:</t>
        </r>
        <r>
          <rPr>
            <sz val="8"/>
            <color indexed="81"/>
            <rFont val="Tahoma"/>
            <family val="2"/>
          </rPr>
          <t xml:space="preserve">
Includes $0.08 gain from Courtyard deal now</t>
        </r>
      </text>
    </comment>
  </commentList>
</comments>
</file>

<file path=xl/comments15.xml><?xml version="1.0" encoding="utf-8"?>
<comments xmlns="http://schemas.openxmlformats.org/spreadsheetml/2006/main">
  <authors>
    <author>danfuss</author>
    <author>stramark</author>
  </authors>
  <commentList>
    <comment ref="A20" authorId="0">
      <text>
        <r>
          <rPr>
            <b/>
            <sz val="8"/>
            <color indexed="81"/>
            <rFont val="Tahoma"/>
            <family val="2"/>
          </rPr>
          <t>DJF:</t>
        </r>
        <r>
          <rPr>
            <sz val="8"/>
            <color indexed="81"/>
            <rFont val="Tahoma"/>
            <family val="2"/>
          </rPr>
          <t xml:space="preserve">
From Adjusted EBITDA</t>
        </r>
      </text>
    </comment>
    <comment ref="R63" authorId="1">
      <text>
        <r>
          <rPr>
            <b/>
            <sz val="8"/>
            <color indexed="81"/>
            <rFont val="Tahoma"/>
            <family val="2"/>
          </rPr>
          <t>stramark:</t>
        </r>
        <r>
          <rPr>
            <sz val="8"/>
            <color indexed="81"/>
            <rFont val="Tahoma"/>
            <family val="2"/>
          </rPr>
          <t xml:space="preserve">
Comparable systemwide; Use actuals, not constant dollars</t>
        </r>
      </text>
    </comment>
    <comment ref="AC89" authorId="1">
      <text>
        <r>
          <rPr>
            <b/>
            <sz val="8"/>
            <color indexed="81"/>
            <rFont val="Tahoma"/>
            <family val="2"/>
          </rPr>
          <t>stramark:</t>
        </r>
        <r>
          <rPr>
            <sz val="8"/>
            <color indexed="81"/>
            <rFont val="Tahoma"/>
            <family val="2"/>
          </rPr>
          <t xml:space="preserve">
Assumes 33% tax rate</t>
        </r>
      </text>
    </comment>
    <comment ref="AI89" authorId="1">
      <text>
        <r>
          <rPr>
            <b/>
            <sz val="8"/>
            <color indexed="81"/>
            <rFont val="Tahoma"/>
            <family val="2"/>
          </rPr>
          <t>stramark:</t>
        </r>
        <r>
          <rPr>
            <sz val="8"/>
            <color indexed="81"/>
            <rFont val="Tahoma"/>
            <family val="2"/>
          </rPr>
          <t xml:space="preserve">
Includes $0.08 gain from Courtyard deal now</t>
        </r>
      </text>
    </comment>
    <comment ref="AV114" authorId="1">
      <text>
        <r>
          <rPr>
            <b/>
            <sz val="8"/>
            <color indexed="81"/>
            <rFont val="Tahoma"/>
            <family val="2"/>
          </rPr>
          <t>stramark:</t>
        </r>
        <r>
          <rPr>
            <sz val="8"/>
            <color indexed="81"/>
            <rFont val="Tahoma"/>
            <family val="2"/>
          </rPr>
          <t xml:space="preserve">
As of 10/3/12</t>
        </r>
      </text>
    </comment>
  </commentList>
</comments>
</file>

<file path=xl/comments16.xml><?xml version="1.0" encoding="utf-8"?>
<comments xmlns="http://schemas.openxmlformats.org/spreadsheetml/2006/main">
  <authors>
    <author>danfuss</author>
  </authors>
  <commentList>
    <comment ref="A8" authorId="0">
      <text>
        <r>
          <rPr>
            <b/>
            <sz val="8"/>
            <color indexed="81"/>
            <rFont val="Tahoma"/>
            <family val="2"/>
          </rPr>
          <t>danfuss:</t>
        </r>
        <r>
          <rPr>
            <sz val="8"/>
            <color indexed="81"/>
            <rFont val="Tahoma"/>
            <family val="2"/>
          </rPr>
          <t xml:space="preserve">
US &amp; Canada</t>
        </r>
      </text>
    </comment>
    <comment ref="A19" authorId="0">
      <text>
        <r>
          <rPr>
            <b/>
            <sz val="8"/>
            <color indexed="81"/>
            <rFont val="Tahoma"/>
            <family val="2"/>
          </rPr>
          <t>danfuss:</t>
        </r>
        <r>
          <rPr>
            <sz val="8"/>
            <color indexed="81"/>
            <rFont val="Tahoma"/>
            <family val="2"/>
          </rPr>
          <t xml:space="preserve">
US &amp; Canada</t>
        </r>
      </text>
    </comment>
  </commentList>
</comments>
</file>

<file path=xl/comments17.xml><?xml version="1.0" encoding="utf-8"?>
<comments xmlns="http://schemas.openxmlformats.org/spreadsheetml/2006/main">
  <authors>
    <author>DJF 2/9/12</author>
  </authors>
  <commentList>
    <comment ref="B31" authorId="0">
      <text>
        <r>
          <rPr>
            <b/>
            <sz val="8"/>
            <color indexed="81"/>
            <rFont val="Tahoma"/>
            <family val="2"/>
          </rPr>
          <t>DJF 2/13/12:</t>
        </r>
        <r>
          <rPr>
            <sz val="8"/>
            <color indexed="81"/>
            <rFont val="Tahoma"/>
            <family val="2"/>
          </rPr>
          <t xml:space="preserve">
From strmonthly</t>
        </r>
      </text>
    </comment>
    <comment ref="C31" authorId="0">
      <text>
        <r>
          <rPr>
            <b/>
            <sz val="8"/>
            <color indexed="81"/>
            <rFont val="Tahoma"/>
            <family val="2"/>
          </rPr>
          <t>DJF 2/13/12:</t>
        </r>
        <r>
          <rPr>
            <sz val="8"/>
            <color indexed="81"/>
            <rFont val="Tahoma"/>
            <family val="2"/>
          </rPr>
          <t xml:space="preserve">
From strmonthly</t>
        </r>
      </text>
    </comment>
    <comment ref="D31" authorId="0">
      <text>
        <r>
          <rPr>
            <b/>
            <sz val="8"/>
            <color indexed="81"/>
            <rFont val="Tahoma"/>
            <family val="2"/>
          </rPr>
          <t>DJF 2/13/12:</t>
        </r>
        <r>
          <rPr>
            <sz val="8"/>
            <color indexed="81"/>
            <rFont val="Tahoma"/>
            <family val="2"/>
          </rPr>
          <t xml:space="preserve">
From strmonthly</t>
        </r>
      </text>
    </comment>
    <comment ref="E31" authorId="0">
      <text>
        <r>
          <rPr>
            <b/>
            <sz val="8"/>
            <color indexed="81"/>
            <rFont val="Tahoma"/>
            <family val="2"/>
          </rPr>
          <t>DJF 2/13/12:</t>
        </r>
        <r>
          <rPr>
            <sz val="8"/>
            <color indexed="81"/>
            <rFont val="Tahoma"/>
            <family val="2"/>
          </rPr>
          <t xml:space="preserve">
From strmonthly</t>
        </r>
      </text>
    </comment>
    <comment ref="A32" authorId="0">
      <text>
        <r>
          <rPr>
            <b/>
            <sz val="8"/>
            <color indexed="81"/>
            <rFont val="Tahoma"/>
            <family val="2"/>
          </rPr>
          <t>DJF 2/13/12:</t>
        </r>
        <r>
          <rPr>
            <sz val="8"/>
            <color indexed="81"/>
            <rFont val="Tahoma"/>
            <family val="2"/>
          </rPr>
          <t xml:space="preserve">
HST</t>
        </r>
      </text>
    </comment>
  </commentList>
</comments>
</file>

<file path=xl/comments18.xml><?xml version="1.0" encoding="utf-8"?>
<comments xmlns="http://schemas.openxmlformats.org/spreadsheetml/2006/main">
  <authors>
    <author>danfuss</author>
    <author>stramark</author>
  </authors>
  <commentList>
    <comment ref="A20" authorId="0">
      <text>
        <r>
          <rPr>
            <b/>
            <sz val="8"/>
            <color indexed="81"/>
            <rFont val="Tahoma"/>
            <family val="2"/>
          </rPr>
          <t>DJF:</t>
        </r>
        <r>
          <rPr>
            <sz val="8"/>
            <color indexed="81"/>
            <rFont val="Tahoma"/>
            <family val="2"/>
          </rPr>
          <t xml:space="preserve">
From Adjusted EBITDA</t>
        </r>
      </text>
    </comment>
    <comment ref="R63" authorId="1">
      <text>
        <r>
          <rPr>
            <b/>
            <sz val="8"/>
            <color indexed="81"/>
            <rFont val="Tahoma"/>
            <family val="2"/>
          </rPr>
          <t>stramark:</t>
        </r>
        <r>
          <rPr>
            <sz val="8"/>
            <color indexed="81"/>
            <rFont val="Tahoma"/>
            <family val="2"/>
          </rPr>
          <t xml:space="preserve">
Comparable systemwide; Use actuals, not constant dollars</t>
        </r>
      </text>
    </comment>
    <comment ref="AC89" authorId="1">
      <text>
        <r>
          <rPr>
            <b/>
            <sz val="8"/>
            <color indexed="81"/>
            <rFont val="Tahoma"/>
            <family val="2"/>
          </rPr>
          <t>stramark:</t>
        </r>
        <r>
          <rPr>
            <sz val="8"/>
            <color indexed="81"/>
            <rFont val="Tahoma"/>
            <family val="2"/>
          </rPr>
          <t xml:space="preserve">
Assumes 33% tax rate</t>
        </r>
      </text>
    </comment>
    <comment ref="AR114" authorId="1">
      <text>
        <r>
          <rPr>
            <b/>
            <sz val="8"/>
            <color indexed="81"/>
            <rFont val="Tahoma"/>
            <family val="2"/>
          </rPr>
          <t>stramark:</t>
        </r>
        <r>
          <rPr>
            <sz val="8"/>
            <color indexed="81"/>
            <rFont val="Tahoma"/>
            <family val="2"/>
          </rPr>
          <t xml:space="preserve">
As of 7/11/12</t>
        </r>
      </text>
    </comment>
  </commentList>
</comments>
</file>

<file path=xl/comments19.xml><?xml version="1.0" encoding="utf-8"?>
<comments xmlns="http://schemas.openxmlformats.org/spreadsheetml/2006/main">
  <authors>
    <author>danfuss</author>
    <author>stramark</author>
  </authors>
  <commentList>
    <comment ref="A20" authorId="0">
      <text>
        <r>
          <rPr>
            <b/>
            <sz val="8"/>
            <color indexed="81"/>
            <rFont val="Tahoma"/>
            <family val="2"/>
          </rPr>
          <t>DJF:</t>
        </r>
        <r>
          <rPr>
            <sz val="8"/>
            <color indexed="81"/>
            <rFont val="Tahoma"/>
            <family val="2"/>
          </rPr>
          <t xml:space="preserve">
From Adjusted EBITDA</t>
        </r>
      </text>
    </comment>
    <comment ref="R63" authorId="1">
      <text>
        <r>
          <rPr>
            <b/>
            <sz val="8"/>
            <color indexed="81"/>
            <rFont val="Tahoma"/>
            <family val="2"/>
          </rPr>
          <t>stramark:</t>
        </r>
        <r>
          <rPr>
            <sz val="8"/>
            <color indexed="81"/>
            <rFont val="Tahoma"/>
            <family val="2"/>
          </rPr>
          <t xml:space="preserve">
Comparable systemwide; Use actuals, not constant dollars</t>
        </r>
      </text>
    </comment>
    <comment ref="AC89" authorId="1">
      <text>
        <r>
          <rPr>
            <b/>
            <sz val="8"/>
            <color indexed="81"/>
            <rFont val="Tahoma"/>
            <family val="2"/>
          </rPr>
          <t>stramark:</t>
        </r>
        <r>
          <rPr>
            <sz val="8"/>
            <color indexed="81"/>
            <rFont val="Tahoma"/>
            <family val="2"/>
          </rPr>
          <t xml:space="preserve">
Assumes 33% tax rate</t>
        </r>
      </text>
    </comment>
  </commentList>
</comments>
</file>

<file path=xl/comments20.xml><?xml version="1.0" encoding="utf-8"?>
<comments xmlns="http://schemas.openxmlformats.org/spreadsheetml/2006/main">
  <authors>
    <author>DJF 3/22/12</author>
    <author>metlich</author>
  </authors>
  <commentList>
    <comment ref="A2" authorId="0">
      <text>
        <r>
          <rPr>
            <b/>
            <sz val="8"/>
            <color indexed="81"/>
            <rFont val="Tahoma"/>
            <family val="2"/>
          </rPr>
          <t>DJF 3/22/12:</t>
        </r>
        <r>
          <rPr>
            <sz val="8"/>
            <color indexed="81"/>
            <rFont val="Tahoma"/>
            <family val="2"/>
          </rPr>
          <t xml:space="preserve">
per 10-Ks</t>
        </r>
      </text>
    </comment>
    <comment ref="A7" authorId="1">
      <text>
        <r>
          <rPr>
            <b/>
            <sz val="8"/>
            <color indexed="8"/>
            <rFont val="Tahoma"/>
            <family val="2"/>
          </rPr>
          <t>metlich:</t>
        </r>
        <r>
          <rPr>
            <sz val="8"/>
            <color indexed="8"/>
            <rFont val="Tahoma"/>
            <family val="2"/>
          </rPr>
          <t xml:space="preserve">
</t>
        </r>
        <r>
          <rPr>
            <sz val="9"/>
            <color indexed="8"/>
            <rFont val="Tahoma"/>
            <family val="2"/>
          </rPr>
          <t>modified from what was reported by taking out depreciation of senior living and distribution depreciation - get to total by adding lines on CF statement - D&amp;A and D&amp;A from discontinued ops</t>
        </r>
      </text>
    </comment>
  </commentList>
</comments>
</file>

<file path=xl/comments21.xml><?xml version="1.0" encoding="utf-8"?>
<comments xmlns="http://schemas.openxmlformats.org/spreadsheetml/2006/main">
  <authors>
    <author>DJF 3/15/12</author>
    <author>DJF 3/21/12</author>
    <author>DJF 2/2/12</author>
  </authors>
  <commentList>
    <comment ref="B4" authorId="0">
      <text>
        <r>
          <rPr>
            <b/>
            <sz val="8"/>
            <color indexed="81"/>
            <rFont val="Tahoma"/>
            <family val="2"/>
          </rPr>
          <t>DJF 3/21/12:</t>
        </r>
        <r>
          <rPr>
            <sz val="8"/>
            <color indexed="81"/>
            <rFont val="Tahoma"/>
            <family val="2"/>
          </rPr>
          <t xml:space="preserve">
Through 3/17, 1 more week in MAR Q</t>
        </r>
      </text>
    </comment>
    <comment ref="B7" authorId="1">
      <text>
        <r>
          <rPr>
            <b/>
            <sz val="8"/>
            <color indexed="81"/>
            <rFont val="Tahoma"/>
            <family val="2"/>
          </rPr>
          <t>DJF 3/21/12:</t>
        </r>
        <r>
          <rPr>
            <sz val="8"/>
            <color indexed="81"/>
            <rFont val="Tahoma"/>
            <family val="2"/>
          </rPr>
          <t xml:space="preserve">
Through 11 of 12 weeks in MAR's 1Q</t>
        </r>
      </text>
    </comment>
    <comment ref="A18" authorId="2">
      <text>
        <r>
          <rPr>
            <b/>
            <sz val="8"/>
            <color indexed="81"/>
            <rFont val="Tahoma"/>
            <family val="2"/>
          </rPr>
          <t>DJF 2/2/12:</t>
        </r>
        <r>
          <rPr>
            <sz val="8"/>
            <color indexed="81"/>
            <rFont val="Tahoma"/>
            <family val="2"/>
          </rPr>
          <t xml:space="preserve">
Uses Prior Quarter's rooms</t>
        </r>
      </text>
    </comment>
    <comment ref="A20" authorId="2">
      <text>
        <r>
          <rPr>
            <b/>
            <sz val="8"/>
            <color indexed="81"/>
            <rFont val="Tahoma"/>
            <family val="2"/>
          </rPr>
          <t>DJF 2/2/12:</t>
        </r>
        <r>
          <rPr>
            <sz val="8"/>
            <color indexed="81"/>
            <rFont val="Tahoma"/>
            <family val="2"/>
          </rPr>
          <t xml:space="preserve">
Assume don't enter comp set until '12</t>
        </r>
      </text>
    </comment>
    <comment ref="B53" authorId="1">
      <text>
        <r>
          <rPr>
            <b/>
            <sz val="8"/>
            <color indexed="81"/>
            <rFont val="Tahoma"/>
            <family val="2"/>
          </rPr>
          <t>DJF 3/21/12:</t>
        </r>
        <r>
          <rPr>
            <sz val="8"/>
            <color indexed="81"/>
            <rFont val="Tahoma"/>
            <family val="2"/>
          </rPr>
          <t xml:space="preserve">
estimate</t>
        </r>
      </text>
    </comment>
    <comment ref="B54" authorId="1">
      <text>
        <r>
          <rPr>
            <b/>
            <sz val="8"/>
            <color indexed="81"/>
            <rFont val="Tahoma"/>
            <family val="2"/>
          </rPr>
          <t>DJF 3/21/12:</t>
        </r>
        <r>
          <rPr>
            <sz val="8"/>
            <color indexed="81"/>
            <rFont val="Tahoma"/>
            <family val="2"/>
          </rPr>
          <t xml:space="preserve">
estimate</t>
        </r>
      </text>
    </comment>
    <comment ref="B56" authorId="1">
      <text>
        <r>
          <rPr>
            <b/>
            <sz val="8"/>
            <color indexed="81"/>
            <rFont val="Tahoma"/>
            <family val="2"/>
          </rPr>
          <t>DJF 3/21/12:</t>
        </r>
        <r>
          <rPr>
            <sz val="8"/>
            <color indexed="81"/>
            <rFont val="Tahoma"/>
            <family val="2"/>
          </rPr>
          <t xml:space="preserve">
5-6% 1Q guidance</t>
        </r>
      </text>
    </comment>
  </commentList>
</comments>
</file>

<file path=xl/comments22.xml><?xml version="1.0" encoding="utf-8"?>
<comments xmlns="http://schemas.openxmlformats.org/spreadsheetml/2006/main">
  <authors>
    <author>DJF 1/12/12</author>
  </authors>
  <commentList>
    <comment ref="A20" authorId="0">
      <text>
        <r>
          <rPr>
            <b/>
            <sz val="8"/>
            <color indexed="81"/>
            <rFont val="Tahoma"/>
            <family val="2"/>
          </rPr>
          <t>DJF 1/12/12:</t>
        </r>
        <r>
          <rPr>
            <sz val="8"/>
            <color indexed="81"/>
            <rFont val="Tahoma"/>
            <family val="2"/>
          </rPr>
          <t xml:space="preserve">
Included in "Other" from 2005-2007</t>
        </r>
      </text>
    </comment>
  </commentList>
</comments>
</file>

<file path=xl/comments23.xml><?xml version="1.0" encoding="utf-8"?>
<comments xmlns="http://schemas.openxmlformats.org/spreadsheetml/2006/main">
  <authors>
    <author>danfuss</author>
  </authors>
  <commentList>
    <comment ref="A22" authorId="0">
      <text>
        <r>
          <rPr>
            <b/>
            <sz val="8"/>
            <color indexed="81"/>
            <rFont val="Tahoma"/>
            <family val="2"/>
          </rPr>
          <t>DJF:</t>
        </r>
        <r>
          <rPr>
            <sz val="8"/>
            <color indexed="81"/>
            <rFont val="Tahoma"/>
            <family val="2"/>
          </rPr>
          <t xml:space="preserve">
From Adjusted EBITDA</t>
        </r>
      </text>
    </comment>
  </commentList>
</comments>
</file>

<file path=xl/comments24.xml><?xml version="1.0" encoding="utf-8"?>
<comments xmlns="http://schemas.openxmlformats.org/spreadsheetml/2006/main">
  <authors>
    <author>danfuss</author>
  </authors>
  <commentList>
    <comment ref="A23" authorId="0">
      <text>
        <r>
          <rPr>
            <b/>
            <sz val="8"/>
            <color indexed="81"/>
            <rFont val="Tahoma"/>
            <family val="2"/>
          </rPr>
          <t>DJF:</t>
        </r>
        <r>
          <rPr>
            <sz val="8"/>
            <color indexed="81"/>
            <rFont val="Tahoma"/>
            <family val="2"/>
          </rPr>
          <t xml:space="preserve">
From Adjusted EBITDA</t>
        </r>
      </text>
    </comment>
    <comment ref="N60" authorId="0">
      <text>
        <r>
          <rPr>
            <b/>
            <sz val="8"/>
            <color indexed="81"/>
            <rFont val="Tahoma"/>
            <family val="2"/>
          </rPr>
          <t>DJF:</t>
        </r>
        <r>
          <rPr>
            <sz val="8"/>
            <color indexed="81"/>
            <rFont val="Tahoma"/>
            <family val="2"/>
          </rPr>
          <t xml:space="preserve">
Net of Interest Income</t>
        </r>
      </text>
    </comment>
  </commentList>
</comments>
</file>

<file path=xl/comments25.xml><?xml version="1.0" encoding="utf-8"?>
<comments xmlns="http://schemas.openxmlformats.org/spreadsheetml/2006/main">
  <authors>
    <author>danfuss</author>
  </authors>
  <commentList>
    <comment ref="BA281" authorId="0">
      <text>
        <r>
          <rPr>
            <b/>
            <sz val="8"/>
            <color indexed="81"/>
            <rFont val="Tahoma"/>
            <family val="2"/>
          </rPr>
          <t>danfuss:</t>
        </r>
        <r>
          <rPr>
            <sz val="8"/>
            <color indexed="81"/>
            <rFont val="Tahoma"/>
            <family val="2"/>
          </rPr>
          <t xml:space="preserve">
Guidance Issued Quarter before. For example, guidance issued at FY06 release for 1Q07</t>
        </r>
      </text>
    </comment>
    <comment ref="BA289" authorId="0">
      <text>
        <r>
          <rPr>
            <b/>
            <sz val="8"/>
            <color indexed="81"/>
            <rFont val="Tahoma"/>
            <family val="2"/>
          </rPr>
          <t>danfuss:</t>
        </r>
        <r>
          <rPr>
            <sz val="8"/>
            <color indexed="81"/>
            <rFont val="Tahoma"/>
            <family val="2"/>
          </rPr>
          <t xml:space="preserve">
Guidance Issued Quarter before. For example, guidance issued at FY06 release for 1Q07</t>
        </r>
      </text>
    </comment>
  </commentList>
</comments>
</file>

<file path=xl/comments26.xml><?xml version="1.0" encoding="utf-8"?>
<comments xmlns="http://schemas.openxmlformats.org/spreadsheetml/2006/main">
  <authors>
    <author>DJF 2/16/12</author>
  </authors>
  <commentList>
    <comment ref="J81" authorId="0">
      <text>
        <r>
          <rPr>
            <b/>
            <sz val="8"/>
            <color indexed="81"/>
            <rFont val="Tahoma"/>
            <family val="2"/>
          </rPr>
          <t>DJF 2/17/12:</t>
        </r>
        <r>
          <rPr>
            <sz val="8"/>
            <color indexed="81"/>
            <rFont val="Tahoma"/>
            <family val="2"/>
          </rPr>
          <t xml:space="preserve">
Stock Comp add back not included in calculation (due to creation of new shares)</t>
        </r>
      </text>
    </comment>
  </commentList>
</comments>
</file>

<file path=xl/comments27.xml><?xml version="1.0" encoding="utf-8"?>
<comments xmlns="http://schemas.openxmlformats.org/spreadsheetml/2006/main">
  <authors>
    <author>danfuss</author>
  </authors>
  <commentList>
    <comment ref="B12" authorId="0">
      <text>
        <r>
          <rPr>
            <b/>
            <sz val="8"/>
            <color indexed="81"/>
            <rFont val="Tahoma"/>
            <family val="2"/>
          </rPr>
          <t>DJF:</t>
        </r>
        <r>
          <rPr>
            <sz val="8"/>
            <color indexed="81"/>
            <rFont val="Tahoma"/>
            <family val="2"/>
          </rPr>
          <t xml:space="preserve">
Nearly all US</t>
        </r>
      </text>
    </comment>
    <comment ref="B13" authorId="0">
      <text>
        <r>
          <rPr>
            <b/>
            <sz val="8"/>
            <color indexed="81"/>
            <rFont val="Tahoma"/>
            <family val="2"/>
          </rPr>
          <t>DJF:</t>
        </r>
        <r>
          <rPr>
            <sz val="8"/>
            <color indexed="81"/>
            <rFont val="Tahoma"/>
            <family val="2"/>
          </rPr>
          <t xml:space="preserve">
Nearly all US</t>
        </r>
      </text>
    </comment>
  </commentList>
</comments>
</file>

<file path=xl/comments28.xml><?xml version="1.0" encoding="utf-8"?>
<comments xmlns="http://schemas.openxmlformats.org/spreadsheetml/2006/main">
  <authors>
    <author>danfuss</author>
  </authors>
  <commentList>
    <comment ref="D5" authorId="0">
      <text>
        <r>
          <rPr>
            <b/>
            <sz val="8"/>
            <color indexed="81"/>
            <rFont val="Tahoma"/>
            <family val="2"/>
          </rPr>
          <t>DJF:</t>
        </r>
        <r>
          <rPr>
            <sz val="8"/>
            <color indexed="81"/>
            <rFont val="Tahoma"/>
            <family val="2"/>
          </rPr>
          <t xml:space="preserve">
LTM
</t>
        </r>
      </text>
    </comment>
    <comment ref="I32" authorId="0">
      <text>
        <r>
          <rPr>
            <b/>
            <sz val="8"/>
            <color indexed="81"/>
            <rFont val="Tahoma"/>
            <family val="2"/>
          </rPr>
          <t>danfuss:</t>
        </r>
        <r>
          <rPr>
            <sz val="8"/>
            <color indexed="81"/>
            <rFont val="Tahoma"/>
            <family val="2"/>
          </rPr>
          <t xml:space="preserve">
Uses Ritz Carlton
</t>
        </r>
      </text>
    </comment>
  </commentList>
</comments>
</file>

<file path=xl/comments29.xml><?xml version="1.0" encoding="utf-8"?>
<comments xmlns="http://schemas.openxmlformats.org/spreadsheetml/2006/main">
  <authors>
    <author>danfuss</author>
  </authors>
  <commentList>
    <comment ref="A13" authorId="0">
      <text>
        <r>
          <rPr>
            <b/>
            <sz val="8"/>
            <color indexed="81"/>
            <rFont val="Tahoma"/>
            <family val="2"/>
          </rPr>
          <t>danfuss:</t>
        </r>
        <r>
          <rPr>
            <sz val="8"/>
            <color indexed="81"/>
            <rFont val="Tahoma"/>
            <family val="2"/>
          </rPr>
          <t xml:space="preserve">
Composite Company operated RevPAR - ALL
From MAR Earnings Release</t>
        </r>
      </text>
    </comment>
  </commentList>
</comments>
</file>

<file path=xl/comments30.xml><?xml version="1.0" encoding="utf-8"?>
<comments xmlns="http://schemas.openxmlformats.org/spreadsheetml/2006/main">
  <authors>
    <author>ryanmel</author>
    <author>danfuss</author>
  </authors>
  <commentList>
    <comment ref="H4" authorId="0">
      <text>
        <r>
          <rPr>
            <b/>
            <sz val="8"/>
            <color indexed="8"/>
            <rFont val="Tahoma"/>
            <family val="2"/>
          </rPr>
          <t>ryanmel:</t>
        </r>
        <r>
          <rPr>
            <sz val="8"/>
            <color indexed="8"/>
            <rFont val="Tahoma"/>
            <family val="2"/>
          </rPr>
          <t xml:space="preserve">
add back non-cash charges</t>
        </r>
      </text>
    </comment>
    <comment ref="T23" authorId="0">
      <text>
        <r>
          <rPr>
            <b/>
            <sz val="8"/>
            <color indexed="8"/>
            <rFont val="Tahoma"/>
            <family val="2"/>
          </rPr>
          <t>ryanmel:</t>
        </r>
        <r>
          <rPr>
            <sz val="8"/>
            <color indexed="8"/>
            <rFont val="Tahoma"/>
            <family val="2"/>
          </rPr>
          <t xml:space="preserve">
</t>
        </r>
        <r>
          <rPr>
            <sz val="10"/>
            <color indexed="8"/>
            <rFont val="Tahoma"/>
            <family val="2"/>
          </rPr>
          <t>assumes 10_K debt less $91 mm in Series E notes, any mortgage debt paid down</t>
        </r>
      </text>
    </comment>
    <comment ref="X23" authorId="0">
      <text>
        <r>
          <rPr>
            <b/>
            <sz val="8"/>
            <color indexed="8"/>
            <rFont val="Tahoma"/>
            <family val="2"/>
          </rPr>
          <t>ryanmel:</t>
        </r>
        <r>
          <rPr>
            <sz val="8"/>
            <color indexed="8"/>
            <rFont val="Tahoma"/>
            <family val="2"/>
          </rPr>
          <t xml:space="preserve">
per Betsy</t>
        </r>
      </text>
    </comment>
    <comment ref="Y23" authorId="0">
      <text>
        <r>
          <rPr>
            <b/>
            <sz val="8"/>
            <color indexed="8"/>
            <rFont val="Tahoma"/>
            <family val="2"/>
          </rPr>
          <t>ryanmel:</t>
        </r>
        <r>
          <rPr>
            <sz val="8"/>
            <color indexed="8"/>
            <rFont val="Tahoma"/>
            <family val="2"/>
          </rPr>
          <t xml:space="preserve">
per Betsy</t>
        </r>
      </text>
    </comment>
    <comment ref="AD44" authorId="0">
      <text>
        <r>
          <rPr>
            <b/>
            <sz val="10"/>
            <color indexed="8"/>
            <rFont val="Tahoma"/>
            <family val="2"/>
          </rPr>
          <t>ryanmel:</t>
        </r>
        <r>
          <rPr>
            <sz val="10"/>
            <color indexed="8"/>
            <rFont val="Tahoma"/>
            <family val="2"/>
          </rPr>
          <t xml:space="preserve">
includes  dispositions and change in other inventory</t>
        </r>
      </text>
    </comment>
    <comment ref="CR208" authorId="1">
      <text>
        <r>
          <rPr>
            <b/>
            <sz val="8"/>
            <color indexed="81"/>
            <rFont val="Tahoma"/>
            <family val="2"/>
          </rPr>
          <t>danfuss:</t>
        </r>
        <r>
          <rPr>
            <sz val="8"/>
            <color indexed="81"/>
            <rFont val="Tahoma"/>
            <family val="2"/>
          </rPr>
          <t xml:space="preserve">
Adjusted for Timeshare</t>
        </r>
      </text>
    </comment>
    <comment ref="CR214" authorId="1">
      <text>
        <r>
          <rPr>
            <b/>
            <sz val="8"/>
            <color indexed="81"/>
            <rFont val="Tahoma"/>
            <family val="2"/>
          </rPr>
          <t>danfuss:</t>
        </r>
        <r>
          <rPr>
            <sz val="8"/>
            <color indexed="81"/>
            <rFont val="Tahoma"/>
            <family val="2"/>
          </rPr>
          <t xml:space="preserve">
(1) Assume Outstanding Debt Remains constant (maturing debt in '12 and '13 refinanced at exact same amounts and rates and no new issuance costs)
(2) Assume Combination of Revolver Draw and Bond Issuance for Incremental New Debt -- Aggregate </t>
        </r>
        <r>
          <rPr>
            <sz val="8"/>
            <color indexed="12"/>
            <rFont val="Tahoma"/>
            <family val="2"/>
          </rPr>
          <t>5</t>
        </r>
        <r>
          <rPr>
            <sz val="8"/>
            <color indexed="81"/>
            <rFont val="Tahoma"/>
            <family val="2"/>
          </rPr>
          <t>% Interest Expense</t>
        </r>
      </text>
    </comment>
    <comment ref="CR234" authorId="1">
      <text>
        <r>
          <rPr>
            <b/>
            <sz val="8"/>
            <color indexed="81"/>
            <rFont val="Tahoma"/>
            <family val="2"/>
          </rPr>
          <t xml:space="preserve">danfuss:
</t>
        </r>
        <r>
          <rPr>
            <sz val="8"/>
            <color indexed="81"/>
            <rFont val="Tahoma"/>
            <family val="2"/>
          </rPr>
          <t>A</t>
        </r>
        <r>
          <rPr>
            <sz val="8"/>
            <color indexed="81"/>
            <rFont val="Tahoma"/>
            <family val="2"/>
          </rPr>
          <t>ssume MAR wants $150 of Cash on hand</t>
        </r>
      </text>
    </comment>
    <comment ref="DQ267" authorId="1">
      <text>
        <r>
          <rPr>
            <b/>
            <sz val="8"/>
            <color indexed="81"/>
            <rFont val="Tahoma"/>
            <family val="2"/>
          </rPr>
          <t>danfuss:</t>
        </r>
        <r>
          <rPr>
            <sz val="8"/>
            <color indexed="81"/>
            <rFont val="Tahoma"/>
            <family val="2"/>
          </rPr>
          <t xml:space="preserve">
3 Yr Plan calls for 80k to 90k gross room additions</t>
        </r>
      </text>
    </comment>
    <comment ref="GZ448" authorId="1">
      <text>
        <r>
          <rPr>
            <b/>
            <sz val="8"/>
            <color indexed="81"/>
            <rFont val="Tahoma"/>
            <family val="2"/>
          </rPr>
          <t>danfuss:</t>
        </r>
        <r>
          <rPr>
            <sz val="8"/>
            <color indexed="81"/>
            <rFont val="Tahoma"/>
            <family val="2"/>
          </rPr>
          <t xml:space="preserve">
All over the place and not worth forecasting.</t>
        </r>
      </text>
    </comment>
  </commentList>
</comments>
</file>

<file path=xl/comments31.xml><?xml version="1.0" encoding="utf-8"?>
<comments xmlns="http://schemas.openxmlformats.org/spreadsheetml/2006/main">
  <authors>
    <author>danfuss</author>
  </authors>
  <commentList>
    <comment ref="B20" authorId="0">
      <text>
        <r>
          <rPr>
            <b/>
            <sz val="8"/>
            <color indexed="81"/>
            <rFont val="Tahoma"/>
            <family val="2"/>
          </rPr>
          <t>DJF:</t>
        </r>
        <r>
          <rPr>
            <sz val="8"/>
            <color indexed="81"/>
            <rFont val="Tahoma"/>
            <family val="2"/>
          </rPr>
          <t xml:space="preserve">
SECTION 3.09 Use of Proceeds. The proceeds of the Loans shall be available (and each Borrower agrees that it shall use such proceeds) for general corporate purposes (including, without limitation, capital expenditures, commercial paper backup and to finance acquisitions and share repurchases) of the Company and its Subsidiaries; provided that neither any Lender nor the Administrative Agent shall have any responsibility for the use of any of the proceeds of Loans; provided further that the proceeds of a Swing Loan shall not be used to repay another Swing Loan. 
</t>
        </r>
      </text>
    </comment>
    <comment ref="A24" authorId="0">
      <text>
        <r>
          <rPr>
            <b/>
            <sz val="8"/>
            <color indexed="81"/>
            <rFont val="Tahoma"/>
            <family val="2"/>
          </rPr>
          <t>danfuss:</t>
        </r>
        <r>
          <rPr>
            <sz val="8"/>
            <color indexed="81"/>
            <rFont val="Tahoma"/>
            <family val="2"/>
          </rPr>
          <t xml:space="preserve">
Defined as Adjusted Total Debt / Consolidated EBITDA
Adjusted total debt includes all guarantees of debt in excess of $400MM  (Q: does this relate to timeshare debt?)</t>
        </r>
      </text>
    </comment>
  </commentList>
</comments>
</file>

<file path=xl/sharedStrings.xml><?xml version="1.0" encoding="utf-8"?>
<sst xmlns="http://schemas.openxmlformats.org/spreadsheetml/2006/main" count="14396" uniqueCount="3374">
  <si>
    <t>Total Joint Ventures</t>
  </si>
  <si>
    <t>Total Company and JV</t>
  </si>
  <si>
    <t>Sales Year-over-Year Change</t>
  </si>
  <si>
    <t>Operating Fee Year-over-Year Change</t>
  </si>
  <si>
    <t>Timeshare Development Revenue (Financially Reportable Sales)</t>
  </si>
  <si>
    <t>Avg</t>
  </si>
  <si>
    <t>Residual</t>
  </si>
  <si>
    <t>Services Revenue (spa, golf, operating revenues)</t>
  </si>
  <si>
    <t>Owned</t>
  </si>
  <si>
    <t>Managed</t>
  </si>
  <si>
    <t xml:space="preserve">Total </t>
  </si>
  <si>
    <t>Old</t>
  </si>
  <si>
    <t>New</t>
  </si>
  <si>
    <t>MS</t>
  </si>
  <si>
    <t>Timeshare Segment Results</t>
  </si>
  <si>
    <t>Equity and Cost Method Investments</t>
  </si>
  <si>
    <t>Mezz Investments</t>
  </si>
  <si>
    <t>Capital Spending Summary</t>
  </si>
  <si>
    <t>Liabilities</t>
  </si>
  <si>
    <t>(10)-(20)%</t>
  </si>
  <si>
    <t>Int'l System-wide RevPAR Growth</t>
  </si>
  <si>
    <t>(10)-(19)%</t>
  </si>
  <si>
    <t>$20-25 mm</t>
  </si>
  <si>
    <t>$21 mm</t>
  </si>
  <si>
    <t>$280-290 mm</t>
  </si>
  <si>
    <t>$300-330 mm</t>
  </si>
  <si>
    <t>$140-150 mm</t>
  </si>
  <si>
    <t>$256 mm</t>
  </si>
  <si>
    <t>Timeshare Revenue, net of direct exp.</t>
  </si>
  <si>
    <t>$35-40 mm</t>
  </si>
  <si>
    <t>$178-$188 mm</t>
  </si>
  <si>
    <t>$155-160 mm</t>
  </si>
  <si>
    <t>$0.20-0.25</t>
  </si>
  <si>
    <t>Net Interest Expense</t>
  </si>
  <si>
    <t>$35 mm</t>
  </si>
  <si>
    <t>$0.24-0.28</t>
  </si>
  <si>
    <t>2009 Guidance</t>
  </si>
  <si>
    <t>2009 Guidance at:</t>
  </si>
  <si>
    <t>4Q12E</t>
  </si>
  <si>
    <t>1Q12E</t>
  </si>
  <si>
    <t>Potential Buybacks</t>
  </si>
  <si>
    <t>Current debt</t>
  </si>
  <si>
    <t>Incremental debt</t>
  </si>
  <si>
    <t>EBITDA in $US Millions</t>
  </si>
  <si>
    <t>Planning</t>
  </si>
  <si>
    <t>Base Fees per room</t>
  </si>
  <si>
    <t>4Q13</t>
  </si>
  <si>
    <t xml:space="preserve">Protea Hospitality </t>
  </si>
  <si>
    <t>Protea Hospitality Managed &amp; Franchised (Domestic)</t>
  </si>
  <si>
    <t>Protea Hospitality Managed &amp; Franchised (International)</t>
  </si>
  <si>
    <t>Subtotal North American Full-Service</t>
  </si>
  <si>
    <t>Subtotal North American Full-Service &amp; Luxury</t>
  </si>
  <si>
    <t>Subtotal North American Limited-Service</t>
  </si>
  <si>
    <t>$696-701</t>
  </si>
  <si>
    <t>MAR.O</t>
  </si>
  <si>
    <t>Marriott International Inc.</t>
  </si>
  <si>
    <t>MAR.O,mscalc:targetPrice,,,,USD</t>
  </si>
  <si>
    <t>MAR.O,mscalc:closePriceCurrencyCalc</t>
  </si>
  <si>
    <t>MAR.O,mscalc:sedolCodeCalc</t>
  </si>
  <si>
    <t>$T$2</t>
  </si>
  <si>
    <t>$61-66 mm</t>
  </si>
  <si>
    <t>$800 mm</t>
  </si>
  <si>
    <t>Managed Operations</t>
  </si>
  <si>
    <t>Implied MAR RevPAR</t>
  </si>
  <si>
    <t>MAR Actual RevPAR</t>
  </si>
  <si>
    <t>Underperformance</t>
  </si>
  <si>
    <t>Marriott Guidance</t>
  </si>
  <si>
    <t>+5-7%</t>
  </si>
  <si>
    <t>+6-8%</t>
  </si>
  <si>
    <t>+7-9%</t>
  </si>
  <si>
    <t>Interest Expense</t>
  </si>
  <si>
    <t>2.  What is the current breakdown between US &amp; Int'l Incentive Fees?  What was breakdown at the peak?  Is it safe to assume nearly all growth coming from US?</t>
  </si>
  <si>
    <t>International - Franchised</t>
  </si>
  <si>
    <t>Target</t>
  </si>
  <si>
    <t>Sensitivity Analysis</t>
  </si>
  <si>
    <t>Metric</t>
  </si>
  <si>
    <t>Subtotal</t>
  </si>
  <si>
    <t>BEAR CASE</t>
  </si>
  <si>
    <t>Existing Fee Revenues</t>
  </si>
  <si>
    <t>MAR EBITDA</t>
  </si>
  <si>
    <t>Value</t>
  </si>
  <si>
    <t>Adjusted EBITDA</t>
  </si>
  <si>
    <t>Occupancy</t>
  </si>
  <si>
    <t>Days in the Quarter</t>
  </si>
  <si>
    <t>Net interest coverage</t>
  </si>
  <si>
    <t>Income statement</t>
  </si>
  <si>
    <t>Operating CF</t>
  </si>
  <si>
    <t>FCF (excl div / buybacks)</t>
  </si>
  <si>
    <t>Net FCF (after div / buybacks)</t>
  </si>
  <si>
    <t>Net interest expense</t>
  </si>
  <si>
    <t>Tax rate</t>
  </si>
  <si>
    <t>(US$ millions except per-share data)</t>
  </si>
  <si>
    <t>Full-Year Guidance Change</t>
  </si>
  <si>
    <t>New Estimates</t>
  </si>
  <si>
    <t xml:space="preserve">Worldwide </t>
  </si>
  <si>
    <t>Fee revenue</t>
  </si>
  <si>
    <t>Gains &amp; other</t>
  </si>
  <si>
    <t>Gross new rooms</t>
  </si>
  <si>
    <t>Recent</t>
  </si>
  <si>
    <t>For 2Q11:</t>
  </si>
  <si>
    <t>$180-190</t>
  </si>
  <si>
    <t>$230-245</t>
  </si>
  <si>
    <t>$160-180</t>
  </si>
  <si>
    <t>$906-931</t>
  </si>
  <si>
    <t>$293-318</t>
  </si>
  <si>
    <t>$180-200</t>
  </si>
  <si>
    <t>$225-250</t>
  </si>
  <si>
    <t>$175-200</t>
  </si>
  <si>
    <t>$803-823</t>
  </si>
  <si>
    <t>$910-970</t>
  </si>
  <si>
    <t>$290-310</t>
  </si>
  <si>
    <t>$921-941</t>
  </si>
  <si>
    <t>$1129-1149</t>
  </si>
  <si>
    <t>$1170-1230</t>
  </si>
  <si>
    <t>$1.68-1.72</t>
  </si>
  <si>
    <t>$1.37-1.42</t>
  </si>
  <si>
    <t>$0.45-0.50</t>
  </si>
  <si>
    <t>$0.25-.29</t>
  </si>
  <si>
    <t>$0.34-.38</t>
  </si>
  <si>
    <t>$0.24-.28</t>
  </si>
  <si>
    <t>Cash From Financing Activities</t>
  </si>
  <si>
    <t>Hotel Revenue</t>
  </si>
  <si>
    <t>Timeshare Revenue</t>
  </si>
  <si>
    <t>Taxes</t>
  </si>
  <si>
    <t>Market Cap</t>
  </si>
  <si>
    <t>Revenue</t>
  </si>
  <si>
    <t>Incentive</t>
  </si>
  <si>
    <t>M&amp;F Fees</t>
  </si>
  <si>
    <t>% Room Adds from Other Full Service Brands in Current Period- M&amp;F</t>
  </si>
  <si>
    <t>Pipeline of Rooms</t>
  </si>
  <si>
    <t>Pipeline of Hotels</t>
  </si>
  <si>
    <t>Year</t>
  </si>
  <si>
    <t xml:space="preserve">  Ramada Managed (International)</t>
  </si>
  <si>
    <t xml:space="preserve">  Courtyard Managed &amp; Franchised (Domestic)</t>
  </si>
  <si>
    <t xml:space="preserve">  Courtyard Managed &amp; Franchised (International)</t>
  </si>
  <si>
    <t xml:space="preserve">  Fairfield Inn Managed &amp; Franchised (Domestic)</t>
  </si>
  <si>
    <t>Guidance Comparison: 1Q12</t>
  </si>
  <si>
    <t>RevPAR growth</t>
  </si>
  <si>
    <t>Owned rev (net of exp)</t>
  </si>
  <si>
    <t>Total fee rev</t>
  </si>
  <si>
    <t>G&amp;A expenses</t>
  </si>
  <si>
    <t>Operating income</t>
  </si>
  <si>
    <t>1Q13</t>
  </si>
  <si>
    <t>Guidance Comparison: 1Q13</t>
  </si>
  <si>
    <t>$0.37-$0.42</t>
  </si>
  <si>
    <t>170-175</t>
  </si>
  <si>
    <t>205-230</t>
  </si>
  <si>
    <t>Net Leverage Multiple</t>
  </si>
  <si>
    <t>Investments</t>
  </si>
  <si>
    <t>Net FCF</t>
  </si>
  <si>
    <t>Fee Revenues from New Rooms</t>
  </si>
  <si>
    <t>Rating</t>
  </si>
  <si>
    <t>7% Series E Notes due 2008</t>
  </si>
  <si>
    <t>8.125% Series E Notes due 2004</t>
  </si>
  <si>
    <t>Timeshare Activity</t>
  </si>
  <si>
    <t>Net Debt Financing</t>
  </si>
  <si>
    <t>Share Repurchases</t>
  </si>
  <si>
    <t>Shares Outstanding</t>
  </si>
  <si>
    <t>Free Cash Flow per Share</t>
  </si>
  <si>
    <t>Note: $-figures in millions, excl. EPS</t>
  </si>
  <si>
    <t>* Includes timeshare note sale gains</t>
  </si>
  <si>
    <t>1Q11 Guidance</t>
  </si>
  <si>
    <t>Implied 4Q Guidance</t>
  </si>
  <si>
    <t xml:space="preserve">    Departure % Additions</t>
  </si>
  <si>
    <t>Senior Living Services</t>
  </si>
  <si>
    <t>Management &amp; Franchise Fees</t>
  </si>
  <si>
    <t xml:space="preserve">   Base Fees</t>
  </si>
  <si>
    <t xml:space="preserve">   Incentive Management Fees</t>
  </si>
  <si>
    <t>$175-225</t>
  </si>
  <si>
    <t>$45 mm</t>
  </si>
  <si>
    <t>$30 mm</t>
  </si>
  <si>
    <t>$25 mm</t>
  </si>
  <si>
    <t>$40-$50 mm</t>
  </si>
  <si>
    <t>$0 mm</t>
  </si>
  <si>
    <t>$640-665 mm</t>
  </si>
  <si>
    <t>$580-600 mm</t>
  </si>
  <si>
    <t>$585-605 mm</t>
  </si>
  <si>
    <t>$587-592 mm</t>
  </si>
  <si>
    <t>0 mm</t>
  </si>
  <si>
    <t>1 mm</t>
  </si>
  <si>
    <t>$700-800 mm</t>
  </si>
  <si>
    <t>30,000-35,000</t>
  </si>
  <si>
    <t>Over 30,000</t>
  </si>
  <si>
    <t>$1.48-1.60</t>
  </si>
  <si>
    <t>$0.86-1.04</t>
  </si>
  <si>
    <t>$0.88-1.02</t>
  </si>
  <si>
    <t>$0.76-0.86</t>
  </si>
  <si>
    <t xml:space="preserve">   Additional Lease Expense</t>
  </si>
  <si>
    <t>Other Operating Costs</t>
  </si>
  <si>
    <t>Total Costs</t>
  </si>
  <si>
    <t xml:space="preserve">  Year-over-Year Operating Cost Growth</t>
  </si>
  <si>
    <t>Distribution Services</t>
  </si>
  <si>
    <t>Add Back (D&amp;A)</t>
  </si>
  <si>
    <t>The "MAR" Sheet contains all Driver, Income Statement, Cash Flow Statement, and Balance Sheet historical data and forecasts</t>
  </si>
  <si>
    <t>5% RevPAR</t>
  </si>
  <si>
    <t>7% RevPAR</t>
  </si>
  <si>
    <t>9% RevPAR</t>
  </si>
  <si>
    <t>Taken From Company Reported Adjusted EBITDA Line</t>
  </si>
  <si>
    <t>TimeShare Adjustment to EBITDA</t>
  </si>
  <si>
    <t>Timeshare Earnings</t>
  </si>
  <si>
    <t>Adjusted for TS</t>
  </si>
  <si>
    <t>Not Adjusted for TS</t>
  </si>
  <si>
    <t>Marriott BIC Pipeline EBITDA</t>
  </si>
  <si>
    <t>Leverage (Avg. Assets/Avg. Equity)</t>
  </si>
  <si>
    <t>TTM ROE</t>
  </si>
  <si>
    <t>TTM Return on Assets</t>
  </si>
  <si>
    <t>TTM Unleveraged ROA</t>
  </si>
  <si>
    <t>TTM Net Income</t>
  </si>
  <si>
    <t>Net Margin (Net Income/Net Revenue)</t>
  </si>
  <si>
    <t>Chile</t>
  </si>
  <si>
    <t>Colombia</t>
  </si>
  <si>
    <t>Costa Rica</t>
  </si>
  <si>
    <t>Curaçao</t>
  </si>
  <si>
    <t>Dominican Republic</t>
  </si>
  <si>
    <t>Ecuador</t>
  </si>
  <si>
    <t>El Salvador</t>
  </si>
  <si>
    <t>Honduras</t>
  </si>
  <si>
    <t>Jamaica</t>
  </si>
  <si>
    <t>Mexico</t>
  </si>
  <si>
    <t>Panama</t>
  </si>
  <si>
    <t>EBITDA Reconciliation</t>
  </si>
  <si>
    <t>Morgan Stanley EBITDA</t>
  </si>
  <si>
    <t>Guidance Comparison: 2Q13</t>
  </si>
  <si>
    <t>275-295</t>
  </si>
  <si>
    <t>165-170</t>
  </si>
  <si>
    <t>$405-415</t>
  </si>
  <si>
    <t>$40-45</t>
  </si>
  <si>
    <t>New Quarterly Guidance: 3Q13</t>
  </si>
  <si>
    <t>Other Gains/Provisions for loan losses</t>
  </si>
  <si>
    <t>Depreciation adjustment</t>
  </si>
  <si>
    <t xml:space="preserve">Other  </t>
  </si>
  <si>
    <t>Diff.</t>
  </si>
  <si>
    <t>Company Reported Adjusted EBITDA</t>
  </si>
  <si>
    <t>+ Depreciation</t>
  </si>
  <si>
    <t>- Maintenance Capex</t>
  </si>
  <si>
    <t>Working Capital</t>
  </si>
  <si>
    <t xml:space="preserve">Deferred Taxes </t>
  </si>
  <si>
    <t>Assumes modest reduction in interest expense on exisiting debt</t>
  </si>
  <si>
    <t>35% tax rate</t>
  </si>
  <si>
    <t>EPS Summary:</t>
  </si>
  <si>
    <t>(US $ millions, except per share data)</t>
  </si>
  <si>
    <t>Variance</t>
  </si>
  <si>
    <t>50-100 bps</t>
  </si>
  <si>
    <t>Modest growth</t>
  </si>
  <si>
    <t>NA: (100) bps</t>
  </si>
  <si>
    <t>Total Management &amp; Franchise Fees</t>
  </si>
  <si>
    <t>Owned &amp; Leated Hotels</t>
  </si>
  <si>
    <t xml:space="preserve">  Operating Income</t>
  </si>
  <si>
    <t>Adjusted EPS*</t>
  </si>
  <si>
    <t>2010 Guidance</t>
  </si>
  <si>
    <t>2010 Guidance at:</t>
  </si>
  <si>
    <t>WW: Flat-(5)%</t>
  </si>
  <si>
    <t>WW: (2)-2%; NA: Flat-(3)%</t>
  </si>
  <si>
    <t>WW: 3-6%; NA: 3-6%</t>
  </si>
  <si>
    <t>WW: 4-6%; NA: 4-6%</t>
  </si>
  <si>
    <t>$1,050-1,110 mm</t>
  </si>
  <si>
    <t>$1,080-1,120 mm</t>
  </si>
  <si>
    <t>$1,145-1,175 mm</t>
  </si>
  <si>
    <t>$1,160-1,180 mm</t>
  </si>
  <si>
    <t>$1,166-1,176 mm</t>
  </si>
  <si>
    <t>$65-70 mm</t>
  </si>
  <si>
    <t>$75-80 mm</t>
  </si>
  <si>
    <t>$95 mm</t>
  </si>
  <si>
    <t>$90 mm</t>
  </si>
  <si>
    <t>Timeshare Net Sales/ Services</t>
  </si>
  <si>
    <t>Flat</t>
  </si>
  <si>
    <t>Cayman Islands</t>
  </si>
  <si>
    <t>3.375% Series M Notes due Oct '20</t>
  </si>
  <si>
    <t>MAR M&amp;F Fee Revenue</t>
  </si>
  <si>
    <t>BIC Rev as a % of MAR Fee Rev</t>
  </si>
  <si>
    <t xml:space="preserve">  MHRS</t>
  </si>
  <si>
    <t xml:space="preserve">  Renaissance</t>
  </si>
  <si>
    <t xml:space="preserve">  Courtyard</t>
  </si>
  <si>
    <t xml:space="preserve">  Fairfield Inn</t>
  </si>
  <si>
    <t>Assumes Debt / EBITDA stays in low 2's</t>
  </si>
  <si>
    <t>Buyback Summary:</t>
  </si>
  <si>
    <t>Assumes Nearly all cash available for repurchases is spent on repurchases</t>
  </si>
  <si>
    <t>2011 - 2015 CAGR</t>
  </si>
  <si>
    <t>MAR can grow EPS at a roughly 20% clip over the next four years</t>
  </si>
  <si>
    <t>PE Multiple</t>
  </si>
  <si>
    <t>Figures in $ Millions, except per share data</t>
  </si>
  <si>
    <t>Less: Dividends</t>
  </si>
  <si>
    <t>Hotel Dispositions</t>
  </si>
  <si>
    <t>Mezzanine Investments</t>
  </si>
  <si>
    <t>Mezzanine Repayments</t>
  </si>
  <si>
    <t>x</t>
  </si>
  <si>
    <t>As of 2/13/2012</t>
  </si>
  <si>
    <t>1Q12</t>
  </si>
  <si>
    <t>2Q12</t>
  </si>
  <si>
    <t>3Q12</t>
  </si>
  <si>
    <t>4Q12</t>
  </si>
  <si>
    <t>Middle East and Africa</t>
  </si>
  <si>
    <t>Bahrain</t>
  </si>
  <si>
    <t>Egypt</t>
  </si>
  <si>
    <t>Jordan</t>
  </si>
  <si>
    <t>Kuwait</t>
  </si>
  <si>
    <t>Oman</t>
  </si>
  <si>
    <t>Pakistan</t>
  </si>
  <si>
    <t>Qatar</t>
  </si>
  <si>
    <t>Saudi Arabia</t>
  </si>
  <si>
    <t>+2-4%</t>
  </si>
  <si>
    <t>$1406-1416</t>
  </si>
  <si>
    <t>$1166-1176</t>
  </si>
  <si>
    <t>$1307-1317</t>
  </si>
  <si>
    <t>Company-operated</t>
  </si>
  <si>
    <t>Comparable Systemwide</t>
  </si>
  <si>
    <t>+4-7%</t>
  </si>
  <si>
    <t>Other (Synthetic Fuel)</t>
  </si>
  <si>
    <t>RevPAR Summary</t>
  </si>
  <si>
    <t>2010 Rooms</t>
  </si>
  <si>
    <t>Source: MAR 10-K</t>
  </si>
  <si>
    <t>MHRS Managed &amp; Franchised (Domestic)</t>
  </si>
  <si>
    <t>MHRS Managed &amp; Franchised (International)</t>
  </si>
  <si>
    <t>Ritz-Carlton Managed &amp; Franchised (Domestic)</t>
  </si>
  <si>
    <t>Ritz-Carlton Managed &amp; Franchised (International)</t>
  </si>
  <si>
    <t>Renaissance Managed &amp; Franchised (Domestic)</t>
  </si>
  <si>
    <t>Renaissance Managed &amp; Franchised (International)</t>
  </si>
  <si>
    <t>Autograph Collection (Domestic)</t>
  </si>
  <si>
    <t>Edition (Domestic)</t>
  </si>
  <si>
    <t>Ramada Managed &amp; Franchised (International)</t>
  </si>
  <si>
    <t>Courtyard Managed &amp; Franchised (Domestic)</t>
  </si>
  <si>
    <t>Courtyard Managed &amp; Franchised (International)</t>
  </si>
  <si>
    <t xml:space="preserve">  Renaissance Managed &amp; Franchised (Domestic)</t>
  </si>
  <si>
    <t xml:space="preserve">  Renaissance Managed &amp; Franchised (International)</t>
  </si>
  <si>
    <t xml:space="preserve">  Autograph Collection (Domestic)</t>
  </si>
  <si>
    <t xml:space="preserve">  Edition (Domestic)</t>
  </si>
  <si>
    <t>Timeshare Note Gains</t>
  </si>
  <si>
    <t>$90mm</t>
  </si>
  <si>
    <t>$70mm</t>
  </si>
  <si>
    <t>$1,250-1,500</t>
  </si>
  <si>
    <t>No Guidance</t>
  </si>
  <si>
    <t>$1 bn</t>
  </si>
  <si>
    <t>$500-600 mm</t>
  </si>
  <si>
    <t>$750-850</t>
  </si>
  <si>
    <t>$525-575</t>
  </si>
  <si>
    <t>$400-450</t>
  </si>
  <si>
    <t>$400-415</t>
  </si>
  <si>
    <t>Gross New Room Openings</t>
  </si>
  <si>
    <t>Diluted EPS (including ESO)</t>
  </si>
  <si>
    <t>$2.10-2.25</t>
  </si>
  <si>
    <t>$2.00-2.10</t>
  </si>
  <si>
    <t>$1.98-2.08</t>
  </si>
  <si>
    <t>$1.77-1.88</t>
  </si>
  <si>
    <t>Green is typically a plug or a link referencing another cell in the same time period, usually historically</t>
  </si>
  <si>
    <t>Formulas in a row transition from green to black or black to green when the formula is different between historical and forecast periods</t>
  </si>
  <si>
    <t>WW: 0-2% &amp; NA: (1)-1%</t>
  </si>
  <si>
    <t>Marriott</t>
  </si>
  <si>
    <t>ex debt</t>
  </si>
  <si>
    <t>ex timeshare</t>
  </si>
  <si>
    <t>Diluted shares outstanding</t>
  </si>
  <si>
    <t>Free Cash Flow before dividends</t>
  </si>
  <si>
    <t>(US $ millions, expcet per-share data)</t>
  </si>
  <si>
    <t>Room openings</t>
  </si>
  <si>
    <t>Property exits</t>
  </si>
  <si>
    <t>Room exits</t>
  </si>
  <si>
    <t>% of WW Managed Hotel Earned Inc. Fees</t>
  </si>
  <si>
    <t>3.25% Series L Notes due Oct '22</t>
  </si>
  <si>
    <t>Cost of Equity</t>
  </si>
  <si>
    <t>Guidance (Total Fee Revenue)</t>
  </si>
  <si>
    <t>% change, y-o-y (MAR reported)</t>
  </si>
  <si>
    <t>New deals signed (rooms)</t>
  </si>
  <si>
    <t>Managed (Int'l)</t>
  </si>
  <si>
    <t>Managed (Domestic)</t>
  </si>
  <si>
    <t>Franchised (Domestic)</t>
  </si>
  <si>
    <t>Weighted Calculations</t>
  </si>
  <si>
    <t>Note: US Weights</t>
  </si>
  <si>
    <t>LTM RevPAR</t>
  </si>
  <si>
    <t>Managed NA RevPAR</t>
  </si>
  <si>
    <r>
      <t xml:space="preserve">The Ritz-Carlton-Residential </t>
    </r>
    <r>
      <rPr>
        <vertAlign val="superscript"/>
        <sz val="10"/>
        <rFont val="Arial"/>
        <family val="2"/>
      </rPr>
      <t>(1)</t>
    </r>
  </si>
  <si>
    <r>
      <t xml:space="preserve">Marriott Vacation Club </t>
    </r>
    <r>
      <rPr>
        <vertAlign val="superscript"/>
        <sz val="10"/>
        <rFont val="Arial"/>
        <family val="2"/>
      </rPr>
      <t>(2)</t>
    </r>
  </si>
  <si>
    <r>
      <t xml:space="preserve">The Ritz-Carlton Destination Club </t>
    </r>
    <r>
      <rPr>
        <vertAlign val="superscript"/>
        <sz val="10"/>
        <rFont val="Arial"/>
        <family val="2"/>
      </rPr>
      <t>(2)</t>
    </r>
  </si>
  <si>
    <t>Depreciation from Unconsol. JVs</t>
  </si>
  <si>
    <t>2210614</t>
  </si>
  <si>
    <t>RevPAR Growth</t>
  </si>
  <si>
    <t>WW &amp; NA: 5-7%</t>
  </si>
  <si>
    <t>WW &amp; NA: 3-5%</t>
  </si>
  <si>
    <t>This Number should be used for US Franchised RevPAR forecast</t>
  </si>
  <si>
    <t>Operating FCF</t>
  </si>
  <si>
    <t>Residence Inns Managed &amp; Franchised (International)</t>
  </si>
  <si>
    <t>TownePlace Suites Managed &amp; Franchised (Domestic)</t>
  </si>
  <si>
    <t>TownePlace Suites Managed &amp; Franchised (International)</t>
  </si>
  <si>
    <t>Marriott Executive Managed &amp; Franchised (International)</t>
  </si>
  <si>
    <t>Worldwide RevPAR</t>
  </si>
  <si>
    <t>Edition</t>
  </si>
  <si>
    <t>Marriott Executive</t>
  </si>
  <si>
    <t>Est. System Revs. Growth</t>
  </si>
  <si>
    <t>Fees - The Info We Need</t>
  </si>
  <si>
    <t>Key Questions</t>
  </si>
  <si>
    <t>1.  US properties earn ~3% as base fees, is this the same for Int'l?</t>
  </si>
  <si>
    <t>3.  US franchises earn ~5% as franchise fees, is this the same for Int'l?</t>
  </si>
  <si>
    <t xml:space="preserve">  TownePlace Suites Managed &amp; Franchised (Domestic)</t>
  </si>
  <si>
    <t xml:space="preserve">  TownePlace Suites Managed &amp; Franchised (International)</t>
  </si>
  <si>
    <t>1Q14</t>
  </si>
  <si>
    <t>$440-$450</t>
  </si>
  <si>
    <t>$300-320</t>
  </si>
  <si>
    <t>$0.63-0.68</t>
  </si>
  <si>
    <t>$60-$65</t>
  </si>
  <si>
    <t>2011 FY Guidance as of:</t>
  </si>
  <si>
    <t>$45-50m</t>
  </si>
  <si>
    <t>~$180m</t>
  </si>
  <si>
    <t>$160-170m</t>
  </si>
  <si>
    <t>~$65m</t>
  </si>
  <si>
    <t>~$178m</t>
  </si>
  <si>
    <t>$235-240m</t>
  </si>
  <si>
    <t>$718-723m</t>
  </si>
  <si>
    <t>$30-35m</t>
  </si>
  <si>
    <t>~$45m</t>
  </si>
  <si>
    <t>~$170m</t>
  </si>
  <si>
    <t>$140-150m</t>
  </si>
  <si>
    <t>$176-181m</t>
  </si>
  <si>
    <t>$215-220m</t>
  </si>
  <si>
    <t>$655-660m</t>
  </si>
  <si>
    <t>~$35m</t>
  </si>
  <si>
    <t>$153-158m</t>
  </si>
  <si>
    <t>$140-145m</t>
  </si>
  <si>
    <t>$158-163m</t>
  </si>
  <si>
    <t>~$185m</t>
  </si>
  <si>
    <t>~$648m</t>
  </si>
  <si>
    <t>$137-141m</t>
  </si>
  <si>
    <t>$177-182m</t>
  </si>
  <si>
    <t>Reimbursed costs</t>
  </si>
  <si>
    <t>Diluted Adjusted EPS (including ESO)</t>
  </si>
  <si>
    <t>2008 Guidance</t>
  </si>
  <si>
    <t>2008 Guidance at:</t>
  </si>
  <si>
    <t>Results</t>
  </si>
  <si>
    <t>Current Investor Expectations</t>
  </si>
  <si>
    <t>Impact on the Stock</t>
  </si>
  <si>
    <t>Moderate Slowing in RevPAR growth, EBITDA of $385 mm</t>
  </si>
  <si>
    <t>3-5%</t>
  </si>
  <si>
    <t>Neutral</t>
  </si>
  <si>
    <t>(+) Low Single Digits</t>
  </si>
  <si>
    <t>Mid-High Single Digits</t>
  </si>
  <si>
    <t>Positive / met with skepticism</t>
  </si>
  <si>
    <t>Not seeing any slowing, but EBITDA closer to $380</t>
  </si>
  <si>
    <t>North America (# of Hotels Earning Fees)</t>
  </si>
  <si>
    <t>% of Incentive Fees Derived from Outside US</t>
  </si>
  <si>
    <t>Implied Int'l IMF</t>
  </si>
  <si>
    <t>per room</t>
  </si>
  <si>
    <t>Implied US IMF</t>
  </si>
  <si>
    <t>IMF Total</t>
  </si>
  <si>
    <t>per Room</t>
  </si>
  <si>
    <t>Domestic Rooms</t>
  </si>
  <si>
    <t>Int'l Rooms</t>
  </si>
  <si>
    <t>Key Metrics</t>
  </si>
  <si>
    <t>RevPAR, % of Peak</t>
  </si>
  <si>
    <t>Comparable Hotel Margin</t>
  </si>
  <si>
    <t>Managed Rooms (000s)</t>
  </si>
  <si>
    <t>US System RevPAR</t>
  </si>
  <si>
    <t>(US$ million, except per-share data)</t>
  </si>
  <si>
    <t>Long-Term Debt</t>
  </si>
  <si>
    <t>Variable Interest Rate Assumptions</t>
  </si>
  <si>
    <t>Interest Expense Summary</t>
  </si>
  <si>
    <t>Residence Inns</t>
  </si>
  <si>
    <t>United States (U.S.) Locations</t>
  </si>
  <si>
    <t>Marriott Hotels &amp; Resorts</t>
  </si>
  <si>
    <t>Marriott Conference Centers</t>
  </si>
  <si>
    <t>JW Marriott</t>
  </si>
  <si>
    <t>Renaissance Hotels</t>
  </si>
  <si>
    <t>Improvement in House Profit Margins</t>
  </si>
  <si>
    <t>MAR North America</t>
  </si>
  <si>
    <t>IHG Americas</t>
  </si>
  <si>
    <t>MAR Outperformance</t>
  </si>
  <si>
    <t>$1,450-1,1475</t>
  </si>
  <si>
    <t>Timeshare Revenue, net of direct exp.*</t>
  </si>
  <si>
    <t>$340-360</t>
  </si>
  <si>
    <t>$315-330</t>
  </si>
  <si>
    <t>$300-315</t>
  </si>
  <si>
    <t>$265-285</t>
  </si>
  <si>
    <t>Total Managed and Franchised</t>
  </si>
  <si>
    <t>Total Hotels</t>
  </si>
  <si>
    <t>Total Franchised Rooms</t>
  </si>
  <si>
    <t>Total Managed Rooms</t>
  </si>
  <si>
    <t>Hotels &amp; Room Counts</t>
  </si>
  <si>
    <t>Unconsolidated JVs &amp; Other</t>
  </si>
  <si>
    <t>Write-offs relating to loan guarantees</t>
  </si>
  <si>
    <t>Loan Impairments</t>
  </si>
  <si>
    <t>Accts rec. deemed uncollectible</t>
  </si>
  <si>
    <t>Impairment of technology investment and other investments</t>
  </si>
  <si>
    <t>Write-downs on properties held for sale</t>
  </si>
  <si>
    <t>Model Ware Lines</t>
  </si>
  <si>
    <t>Net Issuances</t>
  </si>
  <si>
    <t>Owned and Leased Property Margins</t>
  </si>
  <si>
    <t>Property Margins</t>
  </si>
  <si>
    <t>YoY Change</t>
  </si>
  <si>
    <t>Full-Service</t>
  </si>
  <si>
    <t>Select Service</t>
  </si>
  <si>
    <t>Incentive Fees</t>
  </si>
  <si>
    <t>RevPAR</t>
  </si>
  <si>
    <t>Timeshare EBITDA</t>
  </si>
  <si>
    <t>Senior, mezzanine, and other loans</t>
  </si>
  <si>
    <t>Loan Collections</t>
  </si>
  <si>
    <t>1Q13E</t>
  </si>
  <si>
    <t>2Q13E</t>
  </si>
  <si>
    <t>3Q13E</t>
  </si>
  <si>
    <t>2Q14E</t>
  </si>
  <si>
    <t>3Q14E</t>
  </si>
  <si>
    <t>4Q14E</t>
  </si>
  <si>
    <t>BBB</t>
  </si>
  <si>
    <t>Price Target</t>
  </si>
  <si>
    <t>1Q00</t>
  </si>
  <si>
    <t>2Q00</t>
  </si>
  <si>
    <t>3Q00</t>
  </si>
  <si>
    <t>4Q00</t>
  </si>
  <si>
    <t>1Q01</t>
  </si>
  <si>
    <t>2Q01</t>
  </si>
  <si>
    <t>3Q01</t>
  </si>
  <si>
    <t>Current Stock Price</t>
  </si>
  <si>
    <t>Count</t>
  </si>
  <si>
    <t xml:space="preserve">  Ritz-Carlton Managed &amp; Franchised (International)</t>
  </si>
  <si>
    <t>Domestic Hotels</t>
  </si>
  <si>
    <t>Ritz Carlton</t>
  </si>
  <si>
    <t>Bulgari</t>
  </si>
  <si>
    <t>Autograph</t>
  </si>
  <si>
    <t>International Hotels</t>
  </si>
  <si>
    <t>Franchised (Int'l)</t>
  </si>
  <si>
    <t>SpringHill Suites (Upper Mid)</t>
  </si>
  <si>
    <t>Occ. (North America)</t>
  </si>
  <si>
    <t>ADR (North America)</t>
  </si>
  <si>
    <t>RevPAR (Comp. Systemwide)</t>
  </si>
  <si>
    <t>$1,490-1,520</t>
  </si>
  <si>
    <t>$1,490-1,1520</t>
  </si>
  <si>
    <t>Balance Sheet</t>
  </si>
  <si>
    <t>Assets</t>
  </si>
  <si>
    <t>42</t>
  </si>
  <si>
    <t>System Size (000s)</t>
  </si>
  <si>
    <t>NA Company Operated</t>
  </si>
  <si>
    <t>OtherRev PAR</t>
  </si>
  <si>
    <t>Total NA Revs</t>
  </si>
  <si>
    <t>Total NA Profit</t>
  </si>
  <si>
    <t>(5-7)%</t>
  </si>
  <si>
    <t>+7%</t>
  </si>
  <si>
    <t>Worldwide System RevPAR, Comparable Hotels</t>
  </si>
  <si>
    <t>Fill-in post next 10-K (Mid February)</t>
  </si>
  <si>
    <t>% of Managed Properties Earning Incentive Fees</t>
  </si>
  <si>
    <t># of hotels</t>
  </si>
  <si>
    <t>Funds from Operations</t>
  </si>
  <si>
    <t>Incremental Debt Calculation:</t>
  </si>
  <si>
    <t>Debt / EBITDA</t>
  </si>
  <si>
    <t>Debt (Assumes Stays Constant)</t>
  </si>
  <si>
    <t>Incremental Debt</t>
  </si>
  <si>
    <t>Total Debt</t>
  </si>
  <si>
    <t>Debt Funding</t>
  </si>
  <si>
    <t>Cash Available for Repurchases</t>
  </si>
  <si>
    <t>Less: Incremental Interest</t>
  </si>
  <si>
    <t>Less: interest expense on new debt</t>
  </si>
  <si>
    <t>Less: Interest expense on existing debt</t>
  </si>
  <si>
    <t>EBT</t>
  </si>
  <si>
    <t>Net share buybacks</t>
  </si>
  <si>
    <t>Assumes 2% interest expense on incremental debt, net of tax</t>
  </si>
  <si>
    <t>Rev. Weights (US)</t>
  </si>
  <si>
    <t>Total System Room Revs (US)</t>
  </si>
  <si>
    <t>Total US System Summary</t>
  </si>
  <si>
    <t>M&amp;F US RevPAR Summary</t>
  </si>
  <si>
    <t>System rev growth</t>
  </si>
  <si>
    <t>US Managed RevPAR (calc)</t>
  </si>
  <si>
    <t>Int'l Managed RevPAR (calc)</t>
  </si>
  <si>
    <t>RevPAR (International)</t>
  </si>
  <si>
    <t>Occ. (International)</t>
  </si>
  <si>
    <t>ADR (International)</t>
  </si>
  <si>
    <t>% change, y-o-y (weight %)</t>
  </si>
  <si>
    <t>% change, y-o-y (MAR report)</t>
  </si>
  <si>
    <t>Managed Revenue Calcs.</t>
  </si>
  <si>
    <t>% change, y-o-y (calc)</t>
  </si>
  <si>
    <t>Managed Room Revs (US)</t>
  </si>
  <si>
    <t>Managed Room Revs (Int'l)</t>
  </si>
  <si>
    <t>Rev Weights (US)</t>
  </si>
  <si>
    <t>Guidance Comparison: 3Q13</t>
  </si>
  <si>
    <t>$0.42-$0.46</t>
  </si>
  <si>
    <t>165-175</t>
  </si>
  <si>
    <t>215-235</t>
  </si>
  <si>
    <t>New Quarterly Guidance: 4Q13</t>
  </si>
  <si>
    <t>Pipeline % Full-Service</t>
  </si>
  <si>
    <t>Pipeline % International</t>
  </si>
  <si>
    <t>Low</t>
  </si>
  <si>
    <t>High</t>
  </si>
  <si>
    <t>%</t>
  </si>
  <si>
    <t>Timeshare</t>
  </si>
  <si>
    <t>Contract Sales</t>
  </si>
  <si>
    <t>Development Profits</t>
  </si>
  <si>
    <t>Fractional</t>
  </si>
  <si>
    <t>Residential</t>
  </si>
  <si>
    <t>Financing Profit</t>
  </si>
  <si>
    <t>G&amp;A</t>
  </si>
  <si>
    <t>Segment Results</t>
  </si>
  <si>
    <t>Inventory</t>
  </si>
  <si>
    <t>Note Activities</t>
  </si>
  <si>
    <t>Under Construction</t>
  </si>
  <si>
    <t>United Arab Emirates</t>
  </si>
  <si>
    <t>Asia</t>
  </si>
  <si>
    <t>China</t>
  </si>
  <si>
    <t>Guam</t>
  </si>
  <si>
    <t>India</t>
  </si>
  <si>
    <t>Indonesia</t>
  </si>
  <si>
    <t>Japan</t>
  </si>
  <si>
    <t>Malaysia</t>
  </si>
  <si>
    <t xml:space="preserve">  % growth, y-o-y - Maintenance</t>
  </si>
  <si>
    <t xml:space="preserve">  % growth, y-o-y - Investment</t>
  </si>
  <si>
    <t xml:space="preserve">Plus/less: Other  </t>
  </si>
  <si>
    <t>Plus: Other gains / losses</t>
  </si>
  <si>
    <t>Group Trends are Slowing, revenue growth is still positive, but rate growth increasing LSD</t>
  </si>
  <si>
    <t>Trends still strong with solid rate growth</t>
  </si>
  <si>
    <t>Issue</t>
  </si>
  <si>
    <t>What we Expect         MAR to Say</t>
  </si>
  <si>
    <t>US Franchised RevPAR (calc)</t>
  </si>
  <si>
    <t>Comp. System-wide RevPAR</t>
  </si>
  <si>
    <t>System-wide Rooms</t>
  </si>
  <si>
    <t>Room Weights</t>
  </si>
  <si>
    <t>3Q14</t>
  </si>
  <si>
    <t>Moxy</t>
  </si>
  <si>
    <t xml:space="preserve">Moxy </t>
  </si>
  <si>
    <t>Comp. System-wide RevPAR (Acutal USD)</t>
  </si>
  <si>
    <t xml:space="preserve">International </t>
  </si>
  <si>
    <t xml:space="preserve">Systemwide </t>
  </si>
  <si>
    <t xml:space="preserve"> + Stock based Comp</t>
  </si>
  <si>
    <t>ESOP Plan Issuance from Retained Earnings</t>
  </si>
  <si>
    <t>Change in OCI</t>
  </si>
  <si>
    <t>% of MAR EBITDA</t>
  </si>
  <si>
    <t>MAR EBITDA ex BIC</t>
  </si>
  <si>
    <t>Change in NA House Profit Margin Trends</t>
  </si>
  <si>
    <t>Number of Rooms (Left)</t>
  </si>
  <si>
    <t>YoY Change in RevPAR</t>
  </si>
  <si>
    <t>MAR -- New Estimates</t>
  </si>
  <si>
    <t>Incremental Interest Expense on New Debt</t>
  </si>
  <si>
    <t>LTM EBITDA</t>
  </si>
  <si>
    <t>$$ Available for Shareholders</t>
  </si>
  <si>
    <t>Cash Available for Shareholders</t>
  </si>
  <si>
    <t>Always 3x LTM EBITDA</t>
  </si>
  <si>
    <t>Gains and Other Income</t>
  </si>
  <si>
    <t>$2 mm</t>
  </si>
  <si>
    <r>
      <t>6-8%</t>
    </r>
    <r>
      <rPr>
        <vertAlign val="superscript"/>
        <sz val="10"/>
        <color indexed="12"/>
        <rFont val="Arial"/>
        <family val="2"/>
      </rPr>
      <t>1</t>
    </r>
  </si>
  <si>
    <t>$165-175 mm</t>
  </si>
  <si>
    <t>Owned / Fee</t>
  </si>
  <si>
    <t>6% (a)</t>
  </si>
  <si>
    <t>8% (a)</t>
  </si>
  <si>
    <t>5% (b)</t>
  </si>
  <si>
    <t>7% (b)</t>
  </si>
  <si>
    <t>Marriott Investor Day 2013 #'s</t>
  </si>
  <si>
    <t>(4) Group Booking Trends</t>
  </si>
  <si>
    <t>(3) Corporate Rate Negotiations</t>
  </si>
  <si>
    <t>1Q11A</t>
  </si>
  <si>
    <t>Cash From Operating Activity</t>
  </si>
  <si>
    <t>Cash From Investing Activities</t>
  </si>
  <si>
    <t>PreTax Income</t>
  </si>
  <si>
    <t>Tax Expense</t>
  </si>
  <si>
    <t>1Q11</t>
  </si>
  <si>
    <t>Shareholders' Equity</t>
  </si>
  <si>
    <t>Implied Franchise RevPAR</t>
  </si>
  <si>
    <t>Owned / Leased (Domestic)</t>
  </si>
  <si>
    <t>Owned / Leased (Int'l)</t>
  </si>
  <si>
    <t>Owned / Leased</t>
  </si>
  <si>
    <t>Ramada</t>
  </si>
  <si>
    <t>Managed (domestic)</t>
  </si>
  <si>
    <t>% change, y-o-y</t>
  </si>
  <si>
    <t>% change, q-o-q</t>
  </si>
  <si>
    <t>Total Managed (domestic)</t>
  </si>
  <si>
    <t>Total Managed (international)</t>
  </si>
  <si>
    <t>AC Hotels by Marriott</t>
  </si>
  <si>
    <t>Total International Hotels</t>
  </si>
  <si>
    <t>Total Domestic Hotels</t>
  </si>
  <si>
    <t xml:space="preserve">Marriott International </t>
  </si>
  <si>
    <t>Total Domestic Rooms</t>
  </si>
  <si>
    <t>Franchised (domestic)</t>
  </si>
  <si>
    <t>Total Franchised (domestic)</t>
  </si>
  <si>
    <t>Total Franchised (international)</t>
  </si>
  <si>
    <t>Total Managed and Franchised Rooms</t>
  </si>
  <si>
    <t>Total International Rooms</t>
  </si>
  <si>
    <t>(US$ millions, except ADR and RevPAR data)</t>
  </si>
  <si>
    <t>TownePlace Suites (Upper Mid)</t>
  </si>
  <si>
    <t>Rooms expected to open in 2009</t>
  </si>
  <si>
    <t>Rooms expected to open in 2008</t>
  </si>
  <si>
    <t>Rooms expected to open in 2007</t>
  </si>
  <si>
    <t>Rooms expected to open in 2006</t>
  </si>
  <si>
    <t>Rooms expected to open in 2005</t>
  </si>
  <si>
    <t>ND</t>
  </si>
  <si>
    <t>Rooms expected to open in 2004</t>
  </si>
  <si>
    <t>Rooms expected to open in 2003</t>
  </si>
  <si>
    <t>Rooms expected to open in 2002</t>
  </si>
  <si>
    <t xml:space="preserve">Gaylord Hotels </t>
  </si>
  <si>
    <t>Total Rooms Summary</t>
  </si>
  <si>
    <t>Base management fees</t>
  </si>
  <si>
    <t>Franchise fees</t>
  </si>
  <si>
    <t>Owned, leased, and other</t>
  </si>
  <si>
    <t>Operating expenses</t>
  </si>
  <si>
    <t>Timeshare - direct</t>
  </si>
  <si>
    <t>Total OpEx</t>
  </si>
  <si>
    <t>Plus: Depreciation and amortization</t>
  </si>
  <si>
    <t>Gains (losses) and other income</t>
  </si>
  <si>
    <t>Equity in unconsolidated affiliates</t>
  </si>
  <si>
    <t>Tax rate %</t>
  </si>
  <si>
    <t>Reported EPS</t>
  </si>
  <si>
    <t>Recurring EPS</t>
  </si>
  <si>
    <t>% growth (y-o-y)</t>
  </si>
  <si>
    <t>Pre-tax income</t>
  </si>
  <si>
    <t>Restructuring charges</t>
  </si>
  <si>
    <t>Certain tax items</t>
  </si>
  <si>
    <t>Extraordinary items and other</t>
  </si>
  <si>
    <t>Reported net income</t>
  </si>
  <si>
    <t>Plus: Interest expense from unconsol. JVs</t>
  </si>
  <si>
    <t>Plus: Depreciation from unconsol. JVs</t>
  </si>
  <si>
    <t>Plus: Other gains / loan provisions</t>
  </si>
  <si>
    <t>Less: Earnings from Unconsol for EBITDA</t>
  </si>
  <si>
    <t>= Reported Net income</t>
  </si>
  <si>
    <t xml:space="preserve"> - Maintenance capex</t>
  </si>
  <si>
    <t xml:space="preserve"> ± Change in deferred taxes</t>
  </si>
  <si>
    <t xml:space="preserve"> ± Working capital</t>
  </si>
  <si>
    <t>Net FCF (ex. share repurchases / divs)</t>
  </si>
  <si>
    <t xml:space="preserve">   Fixed Lease Expense</t>
  </si>
  <si>
    <t>Cash Flows From Operations</t>
  </si>
  <si>
    <t>For 3Q11:</t>
  </si>
  <si>
    <t>Item</t>
  </si>
  <si>
    <t>2Q11 Guidance vs. Actuals</t>
  </si>
  <si>
    <t>Timeshare Revenue,</t>
  </si>
  <si>
    <t>Equity in earnings</t>
  </si>
  <si>
    <t>Tax expense</t>
  </si>
  <si>
    <t xml:space="preserve">Extraordinary items </t>
  </si>
  <si>
    <t>Diluted shares out.</t>
  </si>
  <si>
    <t>Less: Earnings from Unconsol. JV</t>
  </si>
  <si>
    <t>Plus: Interest exp. from Unconsol. JV</t>
  </si>
  <si>
    <t>Plus: Depreciation from Unconsol. JV</t>
  </si>
  <si>
    <t>Plus: Interest income</t>
  </si>
  <si>
    <t>Less: Depreciation adjustment</t>
  </si>
  <si>
    <t>2016E</t>
  </si>
  <si>
    <t>2017E</t>
  </si>
  <si>
    <t>2018E</t>
  </si>
  <si>
    <t>2019E</t>
  </si>
  <si>
    <t>2020E</t>
  </si>
  <si>
    <t>2016e</t>
  </si>
  <si>
    <t>2017e</t>
  </si>
  <si>
    <t>2018e</t>
  </si>
  <si>
    <t>2019e</t>
  </si>
  <si>
    <t>2020e</t>
  </si>
  <si>
    <t>2012 FY Guidance as of:</t>
  </si>
  <si>
    <t>Total revenue</t>
  </si>
  <si>
    <t>Owned and leased</t>
  </si>
  <si>
    <t xml:space="preserve">Owned and leased </t>
  </si>
  <si>
    <t xml:space="preserve">Timeshare </t>
  </si>
  <si>
    <t>G&amp;A and other</t>
  </si>
  <si>
    <t>General &amp; adminstrative</t>
  </si>
  <si>
    <t>Free Cash Flow Calc.</t>
  </si>
  <si>
    <t>% growth, fees (y-o-y)</t>
  </si>
  <si>
    <t>% growth, total (y-o-y)</t>
  </si>
  <si>
    <t>MAR-Reported Adjusted EBITDA</t>
  </si>
  <si>
    <t>Y/Y Change</t>
  </si>
  <si>
    <t>MAR RevPAR Details</t>
  </si>
  <si>
    <t>Composite - ALL</t>
  </si>
  <si>
    <t>To Do</t>
  </si>
  <si>
    <t>Do Implied Own Revenues and Other Revenues for Owned Hotels</t>
  </si>
  <si>
    <t xml:space="preserve">UST 10 yr. Yield </t>
  </si>
  <si>
    <t>Revolver Margin</t>
  </si>
  <si>
    <t>Revolver</t>
  </si>
  <si>
    <t>6.875% Series B Notes due 2005</t>
  </si>
  <si>
    <t>7.875% Series C Notes due 2009</t>
  </si>
  <si>
    <t>Mortgage Debt due 2025</t>
  </si>
  <si>
    <t>Endowment Deposits</t>
  </si>
  <si>
    <t>Total Interest Expense</t>
  </si>
  <si>
    <t>Total Current Assets</t>
  </si>
  <si>
    <t>Intangibles</t>
  </si>
  <si>
    <t>Loans to timeshare owners (Includes VIEs)</t>
  </si>
  <si>
    <t>Total Current Liabilities</t>
  </si>
  <si>
    <t>Minority Interest</t>
  </si>
  <si>
    <t>The Ritz-Carlton Destination Club and Residences</t>
  </si>
  <si>
    <t>Grand Residences by Marriott and Residences</t>
  </si>
  <si>
    <t>Autograph Collection (International)</t>
  </si>
  <si>
    <t>The Ritz-Carlton Destination Club and Residences (Int'l)</t>
  </si>
  <si>
    <t>Grand Residences by Marriott and Residences (Int'l)</t>
  </si>
  <si>
    <t>Ritz Carlton Residences (US)</t>
  </si>
  <si>
    <t>Ritz Carlton Residences (Int'l)</t>
  </si>
  <si>
    <t>VAC (International)</t>
  </si>
  <si>
    <t>VAC (USA)</t>
  </si>
  <si>
    <t>1. Company RevPAR Stats</t>
  </si>
  <si>
    <t>2. Weighted RevPAR</t>
  </si>
  <si>
    <t>US Weighted RevPAR</t>
  </si>
  <si>
    <t>International RevPAR</t>
  </si>
  <si>
    <t>Managed Weights</t>
  </si>
  <si>
    <t>Implied Managed RevPAR</t>
  </si>
  <si>
    <t>Group</t>
  </si>
  <si>
    <t>Transient</t>
  </si>
  <si>
    <t>NA Marriott-brand Trends</t>
  </si>
  <si>
    <t>Gross Contribution</t>
  </si>
  <si>
    <t xml:space="preserve">  Sequential Revenue Growth</t>
  </si>
  <si>
    <t>Marriott Equity in Unconsolidated from Syn Fuel</t>
  </si>
  <si>
    <t>Syn Fuel Minority Interest</t>
  </si>
  <si>
    <t xml:space="preserve">  % Partnership</t>
  </si>
  <si>
    <t>Equity Income Total</t>
  </si>
  <si>
    <t xml:space="preserve">  Timeshare</t>
  </si>
  <si>
    <t xml:space="preserve">  Other</t>
  </si>
  <si>
    <t>General, Administrative and Other Costs</t>
  </si>
  <si>
    <t>TTM Incentive Fees / Room SHOW THIS GOING BACK TO 2000</t>
  </si>
  <si>
    <t>Capital and Financing Requirements</t>
  </si>
  <si>
    <t>Liquidity Position</t>
  </si>
  <si>
    <t>Liquidity</t>
  </si>
  <si>
    <t>Cash</t>
  </si>
  <si>
    <t>Revolver Capacity</t>
  </si>
  <si>
    <t>4Q08 Liquidity at quarter-end</t>
  </si>
  <si>
    <t>2009E Operating Cash Flow</t>
  </si>
  <si>
    <t>Timeshare Notes Issued</t>
  </si>
  <si>
    <t>Accumulated Depreciation</t>
  </si>
  <si>
    <t>Total Operating Expenses</t>
  </si>
  <si>
    <t>Depreciation</t>
  </si>
  <si>
    <t>Operating Income (Timeshare, Net - Ties to Income Statement)</t>
  </si>
  <si>
    <t xml:space="preserve">Timeshare Segment Results </t>
  </si>
  <si>
    <t xml:space="preserve">  Gross Margin</t>
  </si>
  <si>
    <t xml:space="preserve">      Net of Dir. Exp.</t>
  </si>
  <si>
    <t>Owned &amp; Leased Hotels &amp; Other</t>
  </si>
  <si>
    <t>Latin American &amp; Carribean</t>
  </si>
  <si>
    <t>International Est. (Constant Currency)</t>
  </si>
  <si>
    <t>Managed &amp; Franchised Summary</t>
  </si>
  <si>
    <t>MAR's Actual Fiscal Q's</t>
  </si>
  <si>
    <t>Asia Pacific</t>
  </si>
  <si>
    <t>Timeshare, Net</t>
  </si>
  <si>
    <t>Cash Flow</t>
  </si>
  <si>
    <t>Share Repurchases (excluded)</t>
  </si>
  <si>
    <t>Est. Capital Expenditures Breakdown</t>
  </si>
  <si>
    <t>Dispositions</t>
  </si>
  <si>
    <t>Timeshare Base Fees</t>
  </si>
  <si>
    <t>Rooms Subtotal</t>
  </si>
  <si>
    <t>Depreciation Summary</t>
  </si>
  <si>
    <t>Adjusted G&amp;A</t>
  </si>
  <si>
    <t xml:space="preserve">Net Free Cash Flow </t>
  </si>
  <si>
    <t>Marriott (Upper Upscale)</t>
  </si>
  <si>
    <t>Renaissance (Upper Upscale)</t>
  </si>
  <si>
    <t xml:space="preserve">Ritz-Carlton (Luxury) </t>
  </si>
  <si>
    <t>Courtyard (Upscale)</t>
  </si>
  <si>
    <t>Fairfield Inn (Upscale)</t>
  </si>
  <si>
    <t>8.125% Series D Notes due 2005</t>
  </si>
  <si>
    <t>Convertible LYONs due 2021</t>
  </si>
  <si>
    <t>Other Debt</t>
  </si>
  <si>
    <t>4.0-7.0%</t>
  </si>
  <si>
    <t>$0.55-$0.59</t>
  </si>
  <si>
    <t>$1.93-$2.08</t>
  </si>
  <si>
    <t>1,185-1,255</t>
  </si>
  <si>
    <t>4Q06</t>
  </si>
  <si>
    <t>2006</t>
  </si>
  <si>
    <t>1Q07</t>
  </si>
  <si>
    <t>2Q07</t>
  </si>
  <si>
    <t>3Q07</t>
  </si>
  <si>
    <t>4Q07</t>
  </si>
  <si>
    <t>2007</t>
  </si>
  <si>
    <t>1Q08</t>
  </si>
  <si>
    <t>2Q08</t>
  </si>
  <si>
    <t>3Q08</t>
  </si>
  <si>
    <t>4Q08</t>
  </si>
  <si>
    <t>2008</t>
  </si>
  <si>
    <t>1Q09</t>
  </si>
  <si>
    <t>2Q09</t>
  </si>
  <si>
    <t>3Q09</t>
  </si>
  <si>
    <t>4Q09</t>
  </si>
  <si>
    <t>2009</t>
  </si>
  <si>
    <t>1Q10</t>
  </si>
  <si>
    <t>2Q10</t>
  </si>
  <si>
    <t>3Q10</t>
  </si>
  <si>
    <t>4Q10</t>
  </si>
  <si>
    <t>2010</t>
  </si>
  <si>
    <t>1Q11E</t>
  </si>
  <si>
    <t>2Q11E</t>
  </si>
  <si>
    <t>3Q11E</t>
  </si>
  <si>
    <t>4Q11E</t>
  </si>
  <si>
    <t>Fees</t>
  </si>
  <si>
    <t>Cash From Financing Activity</t>
  </si>
  <si>
    <t>Cash &amp; Equivalents - Ending</t>
  </si>
  <si>
    <t>Timeshare CF</t>
  </si>
  <si>
    <t>Development, Less Cost of Sales</t>
  </si>
  <si>
    <t>New mortgages, net of collections</t>
  </si>
  <si>
    <t>Loan repurchases</t>
  </si>
  <si>
    <t>Note sale gains</t>
  </si>
  <si>
    <t>Note sale proceeds</t>
  </si>
  <si>
    <t>Cash Flow Statement</t>
  </si>
  <si>
    <t xml:space="preserve">  Base Fees Revenue (Homeowners Assoc. fee)</t>
  </si>
  <si>
    <t xml:space="preserve">  Gains from Note Sales</t>
  </si>
  <si>
    <t xml:space="preserve">  Allocated G&amp;A</t>
  </si>
  <si>
    <t xml:space="preserve">  Total Timeshare Segment Results </t>
  </si>
  <si>
    <t xml:space="preserve">  % of G&amp;A (not allocated to M&amp;F)</t>
  </si>
  <si>
    <t>The Free Cash Flow calculations, which drive our valuation, are located just under the Income Statement and above the Cash Flow</t>
  </si>
  <si>
    <t>Capital Spending</t>
  </si>
  <si>
    <t>What percentage of US hotels are earning incentive fees now?  Where do you expect that number to be a year from now?</t>
  </si>
  <si>
    <t>Key Questions:</t>
  </si>
  <si>
    <t>What % of base fees are US vs. Int'l?  Do US companies earn a higher rate than intl</t>
  </si>
  <si>
    <t>Dividends per Share</t>
  </si>
  <si>
    <t>Other Expense Drivers</t>
  </si>
  <si>
    <t>Capital expenditures</t>
  </si>
  <si>
    <t>Equity and cost method investments</t>
  </si>
  <si>
    <t>Total Spending</t>
  </si>
  <si>
    <t>Total CapEx</t>
  </si>
  <si>
    <t>Depreciation &amp; amortization</t>
  </si>
  <si>
    <t>Working capital &amp; other</t>
  </si>
  <si>
    <t>Days of sales in A/R</t>
  </si>
  <si>
    <t>Days of expense in A/P</t>
  </si>
  <si>
    <t>Net profit (Loss)</t>
  </si>
  <si>
    <t>Depreciation &amp; amortization, disc. ops</t>
  </si>
  <si>
    <t>Income taxes and other</t>
  </si>
  <si>
    <t>Non-cash interest expense</t>
  </si>
  <si>
    <t>Changes in working capital &amp; other</t>
  </si>
  <si>
    <t>Loan collection and sales</t>
  </si>
  <si>
    <t>Proceeds (Payments) on LT debt</t>
  </si>
  <si>
    <t>Cash dividends</t>
  </si>
  <si>
    <t>Cash &amp; equivalents - beginning</t>
  </si>
  <si>
    <t>Net increase in cash &amp; equivalents</t>
  </si>
  <si>
    <t>Cash and equivalents</t>
  </si>
  <si>
    <t>Accounts receivable</t>
  </si>
  <si>
    <t>Accumulated depreciation</t>
  </si>
  <si>
    <t>Investments in affiliates, debt-Like</t>
  </si>
  <si>
    <t>Courtyard mezzanine loan</t>
  </si>
  <si>
    <t>Other loans</t>
  </si>
  <si>
    <t>Other LT receivables</t>
  </si>
  <si>
    <t>Accounts payable and accrued expenses</t>
  </si>
  <si>
    <t>Income taxes payable</t>
  </si>
  <si>
    <t>Long-term debt</t>
  </si>
  <si>
    <t>Endowment deposits</t>
  </si>
  <si>
    <t>Other LT liabilities</t>
  </si>
  <si>
    <t>Common stock</t>
  </si>
  <si>
    <t>Additional paid-in capital</t>
  </si>
  <si>
    <t>Retained earnings</t>
  </si>
  <si>
    <t>Deferred compensation</t>
  </si>
  <si>
    <t>Treasury stock, at cost</t>
  </si>
  <si>
    <t>Accumulated other comp. income</t>
  </si>
  <si>
    <t>Revolver &amp; commercial paper</t>
  </si>
  <si>
    <t>Senior notes</t>
  </si>
  <si>
    <t>Less: cash and equivalents</t>
  </si>
  <si>
    <t>Commercial paper</t>
  </si>
  <si>
    <t>Mortgage debt due 2025</t>
  </si>
  <si>
    <t>Interest earned on cash</t>
  </si>
  <si>
    <t>Interest earned on mezz loans</t>
  </si>
  <si>
    <t>Income counted as interest on mezz. equity</t>
  </si>
  <si>
    <t>Residence Inns (Upscale)</t>
  </si>
  <si>
    <t>SpringHill Suites (Upper Midscale)</t>
  </si>
  <si>
    <t>TownePlace Suites (Upper Midscale)</t>
  </si>
  <si>
    <t>Contract acquisition costs</t>
  </si>
  <si>
    <t>Loan advances</t>
  </si>
  <si>
    <t>Loan collections</t>
  </si>
  <si>
    <t>Timeshare activity</t>
  </si>
  <si>
    <t>DRIVERS</t>
  </si>
  <si>
    <t>Y/y Change</t>
  </si>
  <si>
    <t>Q/q Change</t>
  </si>
  <si>
    <t>WW System-wide RevPAR (calc)</t>
  </si>
  <si>
    <t>Room growth</t>
  </si>
  <si>
    <t>% change</t>
  </si>
  <si>
    <t>Basic shares, ending</t>
  </si>
  <si>
    <t>$1.05b-$1.1b</t>
  </si>
  <si>
    <t>$0.20-$0.23</t>
  </si>
  <si>
    <t>$0.09-$0.14</t>
  </si>
  <si>
    <t>$0.88-$1.02</t>
  </si>
  <si>
    <t>$0.25-$0.29</t>
  </si>
  <si>
    <t>$0.52-$0.56</t>
  </si>
  <si>
    <t>$165m-$175m</t>
  </si>
  <si>
    <t>$0.44-$0.50</t>
  </si>
  <si>
    <t>$285m-$320m</t>
  </si>
  <si>
    <t>$996m-1.031b</t>
  </si>
  <si>
    <t>$1.62-$1.68</t>
  </si>
  <si>
    <t>-22-25%</t>
  </si>
  <si>
    <t>-20-23%</t>
  </si>
  <si>
    <t>-13-16%</t>
  </si>
  <si>
    <t>-17-20%</t>
  </si>
  <si>
    <t>-7-8%</t>
  </si>
  <si>
    <t>3-6%</t>
  </si>
  <si>
    <t>-22-24%</t>
  </si>
  <si>
    <t>-16-18%</t>
  </si>
  <si>
    <t>8-10%</t>
  </si>
  <si>
    <t>4-7%</t>
  </si>
  <si>
    <t>N/A</t>
  </si>
  <si>
    <t>$1.03b-$1.06b</t>
  </si>
  <si>
    <t>$235-$245m</t>
  </si>
  <si>
    <t>$275-$285m</t>
  </si>
  <si>
    <t>$300-$310m</t>
  </si>
  <si>
    <t>$200m-$225m</t>
  </si>
  <si>
    <t>Net additions, seq.</t>
  </si>
  <si>
    <t>Franchised hotels</t>
  </si>
  <si>
    <t>Franchised rooms, avg.</t>
  </si>
  <si>
    <t>Franchised rooms, ending</t>
  </si>
  <si>
    <t>RevPAR growth, weighted</t>
  </si>
  <si>
    <t xml:space="preserve">  Timeshare % growth, y-o-y</t>
  </si>
  <si>
    <t xml:space="preserve">  Lodging % growth, y-o-y</t>
  </si>
  <si>
    <t xml:space="preserve">  Total % growth, y-o-y</t>
  </si>
  <si>
    <t>Lodging franchise fees</t>
  </si>
  <si>
    <t>Managed rooms, end of period</t>
  </si>
  <si>
    <t>Managed rooms, average</t>
  </si>
  <si>
    <t>U.S.</t>
  </si>
  <si>
    <t>% of Franchised revs.</t>
  </si>
  <si>
    <t>Franchised Revenues (calc)</t>
  </si>
  <si>
    <t>Managed Revenues (calc)</t>
  </si>
  <si>
    <t>% of Managed hotel revs.</t>
  </si>
  <si>
    <t>ESO expense (disclosed in 10-Q)</t>
  </si>
  <si>
    <t>Synthetic fuel</t>
  </si>
  <si>
    <t>Pre-tax income excluding synthetic fuel</t>
  </si>
  <si>
    <t>Statutory tax rate</t>
  </si>
  <si>
    <t>Taxes before tax credits, excl ESO</t>
  </si>
  <si>
    <t>Gains &amp; other income</t>
  </si>
  <si>
    <t>Timeshare note sale gains &amp; other</t>
  </si>
  <si>
    <t>Cost reimbursements</t>
  </si>
  <si>
    <t>Hotel sales gains &amp; other</t>
  </si>
  <si>
    <t>Cons</t>
  </si>
  <si>
    <t>MSe</t>
  </si>
  <si>
    <t>MSe vs. Cons</t>
  </si>
  <si>
    <t>Operating FCF per share</t>
  </si>
  <si>
    <t>$115m-$125m</t>
  </si>
  <si>
    <t>$145m-$155m</t>
  </si>
  <si>
    <t>$0.59-$0.61</t>
  </si>
  <si>
    <t>$600m-$615m</t>
  </si>
  <si>
    <t>$2.32-$2.4</t>
  </si>
  <si>
    <t>$0.38-$0.42</t>
  </si>
  <si>
    <t>$0.60-$0.62</t>
  </si>
  <si>
    <t>$1.86-$1.88</t>
  </si>
  <si>
    <t>$225-$235m</t>
  </si>
  <si>
    <t>-1-(-3)</t>
  </si>
  <si>
    <t>$0.45-$0.49</t>
  </si>
  <si>
    <t>$1.380b-$1.400b</t>
  </si>
  <si>
    <t>$1.165b-1.225b</t>
  </si>
  <si>
    <t>$1.82-$1.92</t>
  </si>
  <si>
    <t xml:space="preserve">  Ritz-Carlton</t>
  </si>
  <si>
    <t xml:space="preserve"> - Share repurchases</t>
  </si>
  <si>
    <t xml:space="preserve"> - Dividends</t>
  </si>
  <si>
    <t>Net additions</t>
  </si>
  <si>
    <t xml:space="preserve">  % growth, seq.</t>
  </si>
  <si>
    <t>Rooms per hotel</t>
  </si>
  <si>
    <t>Rooms, end of period</t>
  </si>
  <si>
    <t>Rooms, avg.</t>
  </si>
  <si>
    <t>Owned revs</t>
  </si>
  <si>
    <t xml:space="preserve">  % growth, y-o-y</t>
  </si>
  <si>
    <t>Base % growth, y-o-y</t>
  </si>
  <si>
    <t>Franchise % growth, y-o-y</t>
  </si>
  <si>
    <t>Incentive % growth, y-o-y</t>
  </si>
  <si>
    <t>Total % growth, y-o-y</t>
  </si>
  <si>
    <t>Managed % growth, y-o-y</t>
  </si>
  <si>
    <t>Franchised % growth, y-o-y</t>
  </si>
  <si>
    <t>Rooms Summary</t>
  </si>
  <si>
    <t>Fees per Room</t>
  </si>
  <si>
    <t>Base (managed)</t>
  </si>
  <si>
    <t xml:space="preserve">Franchise </t>
  </si>
  <si>
    <t>Incentive (managed)</t>
  </si>
  <si>
    <t>Managed hotels</t>
  </si>
  <si>
    <t>US rooms</t>
  </si>
  <si>
    <t>Int'l rooms</t>
  </si>
  <si>
    <t xml:space="preserve">  % US</t>
  </si>
  <si>
    <t xml:space="preserve">  % Int'l</t>
  </si>
  <si>
    <t xml:space="preserve">  US % growth, y-o-y</t>
  </si>
  <si>
    <t xml:space="preserve">  Int'l % growth, y-o-y</t>
  </si>
  <si>
    <t>Int'l</t>
  </si>
  <si>
    <t>One-time Items / timeshare spinoff costs</t>
  </si>
  <si>
    <t xml:space="preserve">Marriott International (MAR) Comp Sheet Output </t>
  </si>
  <si>
    <t>Net debt</t>
  </si>
  <si>
    <t>MAR Underperformance</t>
  </si>
  <si>
    <t>International Rooms</t>
  </si>
  <si>
    <t>North American RevPAR</t>
  </si>
  <si>
    <t>System Revenue Growth</t>
  </si>
  <si>
    <t>Base Weights</t>
  </si>
  <si>
    <t>Total Marriott</t>
  </si>
  <si>
    <t>EBITDA from I/S</t>
  </si>
  <si>
    <t>Plus: Non-recurring items</t>
  </si>
  <si>
    <t>Recurring net income</t>
  </si>
  <si>
    <t>Net FCF per share</t>
  </si>
  <si>
    <t xml:space="preserve"> - Investment capex</t>
  </si>
  <si>
    <t xml:space="preserve"> - Hotel dispositions</t>
  </si>
  <si>
    <t xml:space="preserve"> - Loan advances</t>
  </si>
  <si>
    <t xml:space="preserve"> - Loan collections</t>
  </si>
  <si>
    <t xml:space="preserve"> - Timeshare activity</t>
  </si>
  <si>
    <t>Owned &amp; Leased Segment Results</t>
  </si>
  <si>
    <t>Incremental</t>
  </si>
  <si>
    <t>Royalty</t>
  </si>
  <si>
    <t>$0.30-$0.35</t>
  </si>
  <si>
    <t>$380-$385m</t>
  </si>
  <si>
    <t>$315m-$300m</t>
  </si>
  <si>
    <t>$0.48-$0.52</t>
  </si>
  <si>
    <t>$310-$315m</t>
  </si>
  <si>
    <t>$182m-$207m</t>
  </si>
  <si>
    <t>$0.32-$0.36</t>
  </si>
  <si>
    <t>$445-$455m</t>
  </si>
  <si>
    <t>$380m-$400m</t>
  </si>
  <si>
    <t>$0.61-$0.63</t>
  </si>
  <si>
    <t>$295-$300m</t>
  </si>
  <si>
    <t>Other Interest Expense</t>
  </si>
  <si>
    <t>Senior Notes</t>
  </si>
  <si>
    <t>LT Debt Subtotal</t>
  </si>
  <si>
    <t>Bank Debt and Commercial Paper</t>
  </si>
  <si>
    <t>LT Debt Summary</t>
  </si>
  <si>
    <t>4.625% Series F Notes due Jun '12</t>
  </si>
  <si>
    <t>5.625% Series J Notes due Feb '13</t>
  </si>
  <si>
    <t>5.81% Series G Notes due Nov '15</t>
  </si>
  <si>
    <t>6.2% Series H Notes due Jun '16</t>
  </si>
  <si>
    <t>6.375% Series I Notes due Jun '17</t>
  </si>
  <si>
    <t>Interest on Mezz Loans</t>
  </si>
  <si>
    <t>Net Debt / EBITDA</t>
  </si>
  <si>
    <t>Interest Line Items</t>
  </si>
  <si>
    <t>Capitalization &amp; Interest Summary:</t>
  </si>
  <si>
    <t>Marriott International</t>
  </si>
  <si>
    <t>MAR</t>
  </si>
  <si>
    <t>Bull Case</t>
  </si>
  <si>
    <t>Base Case</t>
  </si>
  <si>
    <t>Bear Case</t>
  </si>
  <si>
    <t xml:space="preserve">  % of Sales</t>
  </si>
  <si>
    <t>Investment Capex</t>
  </si>
  <si>
    <t>$310m-$335m</t>
  </si>
  <si>
    <t>$1.059b-1.084b</t>
  </si>
  <si>
    <t>$0.46-$0.51</t>
  </si>
  <si>
    <t>$1.59-$1.64</t>
  </si>
  <si>
    <t>$195m-$200m</t>
  </si>
  <si>
    <t>$0.28-$0.30</t>
  </si>
  <si>
    <t>$290-$295m</t>
  </si>
  <si>
    <t>$217m-$227m</t>
  </si>
  <si>
    <t>$0.76-$0.81</t>
  </si>
  <si>
    <t>$250-$260m</t>
  </si>
  <si>
    <t>$215m-$235m</t>
  </si>
  <si>
    <t>$0.67-$0.73</t>
  </si>
  <si>
    <t>Approx. $320 million</t>
  </si>
  <si>
    <t>Approx. $1,020 million</t>
  </si>
  <si>
    <t>$250m-$260m</t>
  </si>
  <si>
    <t>$793m-803m</t>
  </si>
  <si>
    <t>$0.95-$0.98</t>
  </si>
  <si>
    <t>$3.09-$3.12</t>
  </si>
  <si>
    <t>$215-$220m</t>
  </si>
  <si>
    <t>$170m-$175m</t>
  </si>
  <si>
    <t>$0.61-$0.65</t>
  </si>
  <si>
    <t>$0.74-$0.76</t>
  </si>
  <si>
    <t>$440-$450m</t>
  </si>
  <si>
    <t>$1.435b-$1.445b</t>
  </si>
  <si>
    <t>$370m-380m</t>
  </si>
  <si>
    <t>$0.33-$.36</t>
  </si>
  <si>
    <t>$245m-255m</t>
  </si>
  <si>
    <t>$0.18-$.22</t>
  </si>
  <si>
    <t>$0.15-$0.21</t>
  </si>
  <si>
    <t>(20%-25%)</t>
  </si>
  <si>
    <t>-1-3%</t>
  </si>
  <si>
    <t>-3-5%</t>
  </si>
  <si>
    <t>-0-2%</t>
  </si>
  <si>
    <t>-0-(2)%</t>
  </si>
  <si>
    <t>1-(1)%</t>
  </si>
  <si>
    <t>20-25000</t>
  </si>
  <si>
    <t>25-30000</t>
  </si>
  <si>
    <t>30-35000</t>
  </si>
  <si>
    <t>2-4%</t>
  </si>
  <si>
    <t>6-7%</t>
  </si>
  <si>
    <t>7-8%</t>
  </si>
  <si>
    <t>7.5-8.5%</t>
  </si>
  <si>
    <t>-2-2%</t>
  </si>
  <si>
    <t>0-3%</t>
  </si>
  <si>
    <t>$0.52-$0.54</t>
  </si>
  <si>
    <t>$270-$280m</t>
  </si>
  <si>
    <t>$0.72-$0.75</t>
  </si>
  <si>
    <t>New Quarterly Guidance: 4Q12</t>
  </si>
  <si>
    <t>Poland</t>
  </si>
  <si>
    <t>Portugal</t>
  </si>
  <si>
    <t>Romania</t>
  </si>
  <si>
    <t>Russia</t>
  </si>
  <si>
    <t>Cons.</t>
  </si>
  <si>
    <t>Change</t>
  </si>
  <si>
    <t>Worldwide</t>
  </si>
  <si>
    <t>Figures in $US Millions</t>
  </si>
  <si>
    <t>Figures in $US Millions, except per share data</t>
  </si>
  <si>
    <t>7-9%</t>
  </si>
  <si>
    <t>9-11%</t>
  </si>
  <si>
    <t>1Q11 Guidance vs. Actuals</t>
  </si>
  <si>
    <t>MAR Actuals</t>
  </si>
  <si>
    <t>Expenses &amp; Other</t>
  </si>
  <si>
    <r>
      <t>Actual</t>
    </r>
    <r>
      <rPr>
        <b/>
        <u/>
        <vertAlign val="superscript"/>
        <sz val="12"/>
        <rFont val="Arial"/>
        <family val="2"/>
      </rPr>
      <t>1</t>
    </r>
  </si>
  <si>
    <t>Owned Revs, Net of Dir. Exp.</t>
  </si>
  <si>
    <t>EV</t>
  </si>
  <si>
    <t>Impact</t>
  </si>
  <si>
    <t>BULL CASE</t>
  </si>
  <si>
    <t>Margins</t>
  </si>
  <si>
    <t>System Growth</t>
  </si>
  <si>
    <t>SG&amp;A</t>
  </si>
  <si>
    <t>Multiple Expansion</t>
  </si>
  <si>
    <t>Multiple Contraction</t>
  </si>
  <si>
    <t>Assumed Multiple</t>
  </si>
  <si>
    <t>Price Targets</t>
  </si>
  <si>
    <t>Implied EV</t>
  </si>
  <si>
    <t>Timeshare Revenue, Net of Dir. Exp.</t>
  </si>
  <si>
    <t>Incentive Fees / Rooms</t>
  </si>
  <si>
    <t>% of Peak</t>
  </si>
  <si>
    <t>Days in Year</t>
  </si>
  <si>
    <t>Days in Qtr</t>
  </si>
  <si>
    <t>Incentive Fees / Rooms TTM</t>
  </si>
  <si>
    <t>Incentive Fees TTM</t>
  </si>
  <si>
    <t>Timeshare Notes Sold</t>
  </si>
  <si>
    <t>2009E Liquidity at year-end</t>
  </si>
  <si>
    <t>Debt Capacity</t>
  </si>
  <si>
    <t>EBITDAR calc</t>
  </si>
  <si>
    <t>D&amp;A</t>
  </si>
  <si>
    <t>Multiple</t>
  </si>
  <si>
    <t>Managed &amp; Franchised</t>
  </si>
  <si>
    <t>DPS</t>
  </si>
  <si>
    <t>Do not add/delete rows</t>
  </si>
  <si>
    <t>2011A</t>
  </si>
  <si>
    <t>2012A</t>
  </si>
  <si>
    <t>2015e</t>
  </si>
  <si>
    <t xml:space="preserve">    Y/y % chg</t>
  </si>
  <si>
    <t>Other Inventories (Hotels)</t>
  </si>
  <si>
    <t>Dividends</t>
  </si>
  <si>
    <t>$245-$255m</t>
  </si>
  <si>
    <t>$210-$220m</t>
  </si>
  <si>
    <t>$310-$320m</t>
  </si>
  <si>
    <t>Group RevPAR</t>
  </si>
  <si>
    <t>H</t>
  </si>
  <si>
    <t xml:space="preserve">                </t>
  </si>
  <si>
    <t>Transient RevPAR</t>
  </si>
  <si>
    <t>Avg Stock Price</t>
  </si>
  <si>
    <t>Capital Expenditures</t>
  </si>
  <si>
    <t>Mezzanine Investment Level</t>
  </si>
  <si>
    <t xml:space="preserve">  Net Increase</t>
  </si>
  <si>
    <t>Company-Reported Adj. EBITDA</t>
  </si>
  <si>
    <r>
      <t>Management &amp; franchise fees</t>
    </r>
    <r>
      <rPr>
        <vertAlign val="superscript"/>
        <sz val="10"/>
        <rFont val="Arial"/>
        <family val="2"/>
      </rPr>
      <t>1</t>
    </r>
  </si>
  <si>
    <t>Timeshare royalties</t>
  </si>
  <si>
    <t>(US $ millions, except per-share data)</t>
  </si>
  <si>
    <t>STR RevPAR:</t>
  </si>
  <si>
    <t>N. America Rooms:</t>
  </si>
  <si>
    <t>$1,090-1,155</t>
  </si>
  <si>
    <t>Tax Rate</t>
  </si>
  <si>
    <t>35-36%</t>
  </si>
  <si>
    <t>35-40%</t>
  </si>
  <si>
    <t>~100%</t>
  </si>
  <si>
    <t>Franchised Rooms</t>
  </si>
  <si>
    <t>Franchise Fees</t>
  </si>
  <si>
    <t xml:space="preserve">Issuance of / purchase of treasury stock </t>
  </si>
  <si>
    <t>$185m-$205m</t>
  </si>
  <si>
    <t>$0.27-$0.31</t>
  </si>
  <si>
    <t>$355-$365m</t>
  </si>
  <si>
    <t>$335m-$350m</t>
  </si>
  <si>
    <t>$0.51-$0.55</t>
  </si>
  <si>
    <t>$295-$355m</t>
  </si>
  <si>
    <t>$225m-$255m</t>
  </si>
  <si>
    <t>$0.35-$0.39</t>
  </si>
  <si>
    <t>$370-$380m</t>
  </si>
  <si>
    <t>$1.204b-$1.214b</t>
  </si>
  <si>
    <t>$1,185-1,250</t>
  </si>
  <si>
    <t>Owned Segment</t>
  </si>
  <si>
    <t>Timeshare Segment</t>
  </si>
  <si>
    <t>4-5%</t>
  </si>
  <si>
    <t>$20-25M</t>
  </si>
  <si>
    <t>$295-305M</t>
  </si>
  <si>
    <t>Fee / Owned:</t>
  </si>
  <si>
    <t>$150-160M</t>
  </si>
  <si>
    <t>$160-180M</t>
  </si>
  <si>
    <t>$25M</t>
  </si>
  <si>
    <t>$(5)M</t>
  </si>
  <si>
    <t>$2M</t>
  </si>
  <si>
    <t>Other:</t>
  </si>
  <si>
    <t>RevPAR:</t>
  </si>
  <si>
    <t>$0.26-0.30</t>
  </si>
  <si>
    <t>MS (ex TS) Adjusted EBITDA</t>
  </si>
  <si>
    <t>$50M</t>
  </si>
  <si>
    <t>$420-430M</t>
  </si>
  <si>
    <t>$56M</t>
  </si>
  <si>
    <t>$416M</t>
  </si>
  <si>
    <r>
      <t>Less: Timeshare segment</t>
    </r>
    <r>
      <rPr>
        <vertAlign val="superscript"/>
        <sz val="10"/>
        <rFont val="Arial"/>
        <family val="2"/>
      </rPr>
      <t>1</t>
    </r>
  </si>
  <si>
    <r>
      <t>Plus: One-time costs</t>
    </r>
    <r>
      <rPr>
        <vertAlign val="superscript"/>
        <sz val="10"/>
        <rFont val="Arial"/>
        <family val="2"/>
      </rPr>
      <t>2</t>
    </r>
  </si>
  <si>
    <t>TTM Incentive Fees / Room, % of Peak</t>
  </si>
  <si>
    <t>Incentive Fee Analysis</t>
  </si>
  <si>
    <r>
      <t xml:space="preserve">% of Peak </t>
    </r>
    <r>
      <rPr>
        <b/>
        <sz val="10"/>
        <rFont val="Arial"/>
        <family val="2"/>
      </rPr>
      <t>(Peak in Bold)</t>
    </r>
  </si>
  <si>
    <t>TTM Incentive Fees</t>
  </si>
  <si>
    <t>Days in the Annual</t>
  </si>
  <si>
    <t>Annual-end</t>
  </si>
  <si>
    <t>($US MM, except per-share data)</t>
  </si>
  <si>
    <t>Please Enter
POSITIVE
Nos. Only</t>
  </si>
  <si>
    <t>Total Assets</t>
  </si>
  <si>
    <t>Implied</t>
  </si>
  <si>
    <t>EPS</t>
  </si>
  <si>
    <t>Upper Upscale / Luxury</t>
  </si>
  <si>
    <t>Upper Midscale</t>
  </si>
  <si>
    <t>Total M&amp;F Rooms</t>
  </si>
  <si>
    <t>% of Total</t>
  </si>
  <si>
    <t>$0.82-0.85</t>
  </si>
  <si>
    <t>Actuals vs. Estimates</t>
  </si>
  <si>
    <t>$-figures in millions, excl. EPS</t>
  </si>
  <si>
    <t>4Q10A</t>
  </si>
  <si>
    <t>4Q10E</t>
  </si>
  <si>
    <t>Pipeline</t>
  </si>
  <si>
    <t>Spain</t>
  </si>
  <si>
    <t>Sweden</t>
  </si>
  <si>
    <t>Switzerland</t>
  </si>
  <si>
    <t>Turkey</t>
  </si>
  <si>
    <t>Total Continental Europe</t>
  </si>
  <si>
    <t>Total-All Countries and Territories</t>
  </si>
  <si>
    <t>Room Counts</t>
  </si>
  <si>
    <t>Figures from 2010 10-K</t>
  </si>
  <si>
    <r>
      <t>Total Americas</t>
    </r>
    <r>
      <rPr>
        <sz val="10"/>
        <rFont val="Arial"/>
        <family val="2"/>
      </rPr>
      <t xml:space="preserve"> </t>
    </r>
  </si>
  <si>
    <r>
      <t>Total United Kingdom and Ireland</t>
    </r>
    <r>
      <rPr>
        <sz val="10"/>
        <rFont val="Arial"/>
        <family val="2"/>
      </rPr>
      <t xml:space="preserve"> </t>
    </r>
  </si>
  <si>
    <r>
      <t>Total Middle East and Africa</t>
    </r>
    <r>
      <rPr>
        <sz val="10"/>
        <rFont val="Arial"/>
        <family val="2"/>
      </rPr>
      <t xml:space="preserve"> </t>
    </r>
  </si>
  <si>
    <r>
      <t>Total Asia</t>
    </r>
    <r>
      <rPr>
        <sz val="10"/>
        <rFont val="Arial"/>
        <family val="2"/>
      </rPr>
      <t xml:space="preserve"> </t>
    </r>
  </si>
  <si>
    <t>International Breakdown</t>
  </si>
  <si>
    <t>Total GIPSIs Exposure</t>
  </si>
  <si>
    <t>Chainscale</t>
  </si>
  <si>
    <t>Buybacks / Share Issuance</t>
  </si>
  <si>
    <t>Total Capital Returns</t>
  </si>
  <si>
    <t>Georgia</t>
  </si>
  <si>
    <t>Germany</t>
  </si>
  <si>
    <t>Greece</t>
  </si>
  <si>
    <t>Hungary</t>
  </si>
  <si>
    <t>Israel</t>
  </si>
  <si>
    <t>Italy</t>
  </si>
  <si>
    <t>Kazakhstan</t>
  </si>
  <si>
    <t>Netherlands</t>
  </si>
  <si>
    <t>Mezzanine Investments, Net</t>
  </si>
  <si>
    <t>MAR Free Cash Flow Exhibit</t>
  </si>
  <si>
    <t>Cash Used in Investing Activities</t>
  </si>
  <si>
    <t>% of M&amp;F Fees</t>
  </si>
  <si>
    <t>Gains and Other</t>
  </si>
  <si>
    <t>Equity in Earnings</t>
  </si>
  <si>
    <t>Average Diluted Shares</t>
  </si>
  <si>
    <t>Net Income</t>
  </si>
  <si>
    <t>Extraordinary Items and Other</t>
  </si>
  <si>
    <t>Recurring Net Income</t>
  </si>
  <si>
    <t>Interest earned on CY JV loan</t>
  </si>
  <si>
    <t>CHANGE TO MATCH MAR RECONCILIATION</t>
  </si>
  <si>
    <t>(US$ millions, except per-share data)</t>
  </si>
  <si>
    <t>% yield</t>
  </si>
  <si>
    <t>Basic shares, avg</t>
  </si>
  <si>
    <t>Diluted shares, avg</t>
  </si>
  <si>
    <t>ROIC</t>
  </si>
  <si>
    <t>China Only</t>
  </si>
  <si>
    <t>China EBITDA / MAR EBITDA</t>
  </si>
  <si>
    <t>TS</t>
  </si>
  <si>
    <t>North America</t>
  </si>
  <si>
    <t>Guidance Midpoint</t>
  </si>
  <si>
    <t>$ RevPAR:</t>
  </si>
  <si>
    <t>Room-Weighted RevPAR:</t>
  </si>
  <si>
    <t>Difference vs. Actuals</t>
  </si>
  <si>
    <t>MAR North America Performance</t>
  </si>
  <si>
    <t>Source: STR, Company data</t>
  </si>
  <si>
    <t>North America Rooms by Chainscale</t>
  </si>
  <si>
    <t>% Weight</t>
  </si>
  <si>
    <t xml:space="preserve">  Unconsolidated Equity Earnings/Losses</t>
  </si>
  <si>
    <t>$15-20</t>
  </si>
  <si>
    <t>$1,300-1,375</t>
  </si>
  <si>
    <t>$1,190-1,255</t>
  </si>
  <si>
    <t>2011E</t>
  </si>
  <si>
    <t>2012E</t>
  </si>
  <si>
    <t>2013E</t>
  </si>
  <si>
    <t>2014E</t>
  </si>
  <si>
    <t>2015E</t>
  </si>
  <si>
    <t>Total Rooms</t>
  </si>
  <si>
    <t xml:space="preserve">______ </t>
  </si>
  <si>
    <t xml:space="preserve">  Operating Cash Flow Margin</t>
  </si>
  <si>
    <t>Properties</t>
  </si>
  <si>
    <t>Number of Rooms</t>
  </si>
  <si>
    <t>Cost of one-week interval ($000)</t>
  </si>
  <si>
    <t>One-week intervals sold</t>
  </si>
  <si>
    <t>TS Contract Sales (incl JVs)</t>
  </si>
  <si>
    <t>Total BIC Revs</t>
  </si>
  <si>
    <t>Base Management Fees</t>
  </si>
  <si>
    <t>Incentive Management Fees</t>
  </si>
  <si>
    <t xml:space="preserve">   % Change</t>
  </si>
  <si>
    <t>Dividend Payment</t>
  </si>
  <si>
    <t xml:space="preserve">  Year-over-Year Growth</t>
  </si>
  <si>
    <t xml:space="preserve">  vs. 10/10 Analyst Day</t>
  </si>
  <si>
    <t>Depreciation and Amortization</t>
  </si>
  <si>
    <t>Operating Income</t>
  </si>
  <si>
    <t>From 10/10 Analyst Day</t>
  </si>
  <si>
    <t>Revised at 12/8/2009</t>
  </si>
  <si>
    <t>Int'l: Flat &amp; NA: (3)%</t>
  </si>
  <si>
    <t>Int'l: (8)-(13)% &amp; NA: (12)-(17)%</t>
  </si>
  <si>
    <t>Int'l: (13)-(16)% &amp; NA: (17)-(20)%</t>
  </si>
  <si>
    <t>Int'l: (17)-(20)% &amp; NA: (17)-(20)%</t>
  </si>
  <si>
    <t>Int'l: (16)-(18)% &amp; NA: (13)-(16)%</t>
  </si>
  <si>
    <t>Int'l: (14)-(16)% &amp; NA: (13)-(16)%</t>
  </si>
  <si>
    <t>Int'l: (125)-(175) bps &amp; NA: (200)-(250) bps</t>
  </si>
  <si>
    <t>$1,365-1,385 mm</t>
  </si>
  <si>
    <t>$1,075-1,175 mm</t>
  </si>
  <si>
    <t>$295-305</t>
  </si>
  <si>
    <t>$420-430</t>
  </si>
  <si>
    <t>$285-295</t>
  </si>
  <si>
    <t>$320-330</t>
  </si>
  <si>
    <t>$280-290</t>
  </si>
  <si>
    <t>The valuation is located on row 34, "NPV Value per Share"</t>
  </si>
  <si>
    <t>All other tabs contain exhibits, charts, and worksheets - some of which may be out of date</t>
  </si>
  <si>
    <t>Color Coding</t>
  </si>
  <si>
    <t>China Fee Rev / MAR Fee Rev</t>
  </si>
  <si>
    <t>New China Fee Rev / MAR Fee Rev</t>
  </si>
  <si>
    <t>Owned &amp; Leased Net</t>
  </si>
  <si>
    <t>165 - 170</t>
  </si>
  <si>
    <t xml:space="preserve">  Y/Y Change</t>
  </si>
  <si>
    <t>Owned and Leased Costs</t>
  </si>
  <si>
    <t>Timeshare Costs</t>
  </si>
  <si>
    <t>Provision for Loan Losses</t>
  </si>
  <si>
    <t>Timeshare Operations:</t>
  </si>
  <si>
    <t>Loan Advances</t>
  </si>
  <si>
    <t>_____</t>
  </si>
  <si>
    <t>Total Capital Requirements</t>
  </si>
  <si>
    <t>Financing Requirements</t>
  </si>
  <si>
    <t>Series C Notes maturing 9/15/2009</t>
  </si>
  <si>
    <t>Series F Notes manturing 6/15/2012</t>
  </si>
  <si>
    <t>Commercial Paper</t>
  </si>
  <si>
    <t>Mortgage and Other Debt</t>
  </si>
  <si>
    <t>Property</t>
  </si>
  <si>
    <t>Income Statement</t>
  </si>
  <si>
    <t>Net Income per Share</t>
  </si>
  <si>
    <t>Upper Upscale</t>
  </si>
  <si>
    <t>Ritz-Carlton</t>
  </si>
  <si>
    <t>Renaissance</t>
  </si>
  <si>
    <t>Courtyard</t>
  </si>
  <si>
    <t>Upscale</t>
  </si>
  <si>
    <t>Residence Inn</t>
  </si>
  <si>
    <t>Fairfield Inn</t>
  </si>
  <si>
    <t>SpringHill Suites</t>
  </si>
  <si>
    <t>TownePlace Suites</t>
  </si>
  <si>
    <t>285 - 295</t>
  </si>
  <si>
    <t>40 - 45</t>
  </si>
  <si>
    <t>vs. Guidance</t>
  </si>
  <si>
    <t>Revenues</t>
  </si>
  <si>
    <t>Owned &amp; Leased Hotels</t>
  </si>
  <si>
    <t>4.5-5.5%</t>
  </si>
  <si>
    <t>1-2%</t>
  </si>
  <si>
    <t>3.5-4.5%</t>
  </si>
  <si>
    <t>$1525-1535</t>
  </si>
  <si>
    <t>$235-250</t>
  </si>
  <si>
    <t>$985-1000</t>
  </si>
  <si>
    <t>Operating Cash Flow</t>
  </si>
  <si>
    <t xml:space="preserve"> + Depreciation</t>
  </si>
  <si>
    <t>Investing Cash Flow</t>
  </si>
  <si>
    <t>Financially reportable sales (in excess of) lower than closed sales</t>
  </si>
  <si>
    <t>Collection on retained interests in notes sold and servicing fees</t>
  </si>
  <si>
    <t>Other cash inflows</t>
  </si>
  <si>
    <t>Net cash (outflows) inflows from timeshare activity</t>
  </si>
  <si>
    <t>Check</t>
  </si>
  <si>
    <t>The "Links" Sheet contains our valuation, using the NPV of the FCF, which pulls in from the main sheet</t>
  </si>
  <si>
    <t>$0.47-0.50</t>
  </si>
  <si>
    <t>$1.98-2.01</t>
  </si>
  <si>
    <t>$1173-1188</t>
  </si>
  <si>
    <t>$287-302</t>
  </si>
  <si>
    <t>Franchised</t>
  </si>
  <si>
    <t>Luxury</t>
  </si>
  <si>
    <t>  </t>
  </si>
  <si>
    <t>Company-Operated</t>
  </si>
  <si>
    <t>Brand</t>
  </si>
  <si>
    <t>Incentive Fees per room</t>
  </si>
  <si>
    <t>Total Fees</t>
  </si>
  <si>
    <t>Room Openings</t>
  </si>
  <si>
    <t>BIC as % of 2015 MAR EBITDA</t>
  </si>
  <si>
    <t>New BIC % of 2015 MAR Fee Rev</t>
  </si>
  <si>
    <t>IMF Y/Y Growth</t>
  </si>
  <si>
    <t>Operating Revs.</t>
  </si>
  <si>
    <t>PPE (Must Update each Q)</t>
  </si>
  <si>
    <t>Credit Faciltiy Interest = LIBOR + Applicable Margin + mandatory costs</t>
  </si>
  <si>
    <t>Facility Fee = Applicable Percentage</t>
  </si>
  <si>
    <t>Shall not exceed 4.0: 1.0</t>
  </si>
  <si>
    <t>Level</t>
  </si>
  <si>
    <t>Eurocurrency Rate</t>
  </si>
  <si>
    <t>BBB+ / Baa1</t>
  </si>
  <si>
    <t>BBB / Baa2</t>
  </si>
  <si>
    <t>A- / A3</t>
  </si>
  <si>
    <t>A / A2 or higher</t>
  </si>
  <si>
    <t>BBB- / Baa3</t>
  </si>
  <si>
    <t>Lower than Level 5</t>
  </si>
  <si>
    <t>Facility Fee</t>
  </si>
  <si>
    <t>Applicable Percentage</t>
  </si>
  <si>
    <t>Applicable Margin</t>
  </si>
  <si>
    <t>Other Cash Flow</t>
  </si>
  <si>
    <t>Common Dividends</t>
  </si>
  <si>
    <t>2H11</t>
  </si>
  <si>
    <t>Comments</t>
  </si>
  <si>
    <t>Numbers going up on the heels of buybacks</t>
  </si>
  <si>
    <t>Buy</t>
  </si>
  <si>
    <t>No update</t>
  </si>
  <si>
    <t>No buybacks modeled</t>
  </si>
  <si>
    <t>FactSet Consensus - 7/12/2011</t>
  </si>
  <si>
    <t>Use of Proceeds</t>
  </si>
  <si>
    <t>Covenants</t>
  </si>
  <si>
    <t>Existing Credit Ratings</t>
  </si>
  <si>
    <t>Moody's</t>
  </si>
  <si>
    <t>S&amp;P</t>
  </si>
  <si>
    <t>Baa2</t>
  </si>
  <si>
    <t>1.  Leverage Ratio</t>
  </si>
  <si>
    <t>Yes, up to $500 MM</t>
  </si>
  <si>
    <t>Bank</t>
  </si>
  <si>
    <t>JPMorgan</t>
  </si>
  <si>
    <t>Nomura</t>
  </si>
  <si>
    <t>Goldman Sachs</t>
  </si>
  <si>
    <t>Bank of America</t>
  </si>
  <si>
    <t>RevPAR -- US</t>
  </si>
  <si>
    <t>RevPAR -- Int'l</t>
  </si>
  <si>
    <t>Buybacks</t>
  </si>
  <si>
    <t>Plus: Excess cash</t>
  </si>
  <si>
    <t>Current share price</t>
  </si>
  <si>
    <t>% upside</t>
  </si>
  <si>
    <t xml:space="preserve">Owned &amp; leased </t>
  </si>
  <si>
    <t>Management &amp; Franchise fees</t>
  </si>
  <si>
    <t xml:space="preserve">$150-155 </t>
  </si>
  <si>
    <t>$0.39-0.43</t>
  </si>
  <si>
    <t xml:space="preserve">35-40 </t>
  </si>
  <si>
    <t>230-245</t>
  </si>
  <si>
    <t xml:space="preserve">$345-355 </t>
  </si>
  <si>
    <t>Fairfield Inn Managed &amp; Franchised (Domestic)</t>
  </si>
  <si>
    <t>SpringHill Suites Managed &amp; Franchised (Domestic)</t>
  </si>
  <si>
    <t>SpringHill Suites Managed &amp; Franchised (International)</t>
  </si>
  <si>
    <t>Residence Inns Managed &amp; Franchised (Domestic)</t>
  </si>
  <si>
    <t>Franchised Operations</t>
  </si>
  <si>
    <t>Est. Lodging Base Fees</t>
  </si>
  <si>
    <t>General &amp; Administrative</t>
  </si>
  <si>
    <t>Restated G&amp;A</t>
  </si>
  <si>
    <t>Corporate</t>
  </si>
  <si>
    <t>Historical D&amp;A by Segment</t>
  </si>
  <si>
    <t>Owned &amp; Leased Hotels / M&amp;F</t>
  </si>
  <si>
    <t>$1,540-1,1570</t>
  </si>
  <si>
    <t>Marriott Hotels &amp; Resorts</t>
  </si>
  <si>
    <t>Quarter Before Guidance vs. actual results</t>
  </si>
  <si>
    <t>Fee Revenue</t>
  </si>
  <si>
    <t>Difference</t>
  </si>
  <si>
    <t>WW RevPAR</t>
  </si>
  <si>
    <t>NA RevPAR</t>
  </si>
  <si>
    <t>Mid</t>
  </si>
  <si>
    <t>Int'l RevPAR</t>
  </si>
  <si>
    <t>Note Sale Gain</t>
  </si>
  <si>
    <t>Retained Interests</t>
  </si>
  <si>
    <t>JV Income</t>
  </si>
  <si>
    <t>Operating Leases</t>
  </si>
  <si>
    <t>Adjusted EBITDAR</t>
  </si>
  <si>
    <t>TTM Adjusted EBITDAR</t>
  </si>
  <si>
    <t>Long-Term debt</t>
  </si>
  <si>
    <t>Other Liabilities</t>
  </si>
  <si>
    <t>Adjusted Debt</t>
  </si>
  <si>
    <t>Target Ratio</t>
  </si>
  <si>
    <t>3-3.25x</t>
  </si>
  <si>
    <t>Equity Valuation</t>
  </si>
  <si>
    <t>Shares</t>
  </si>
  <si>
    <t>Bull</t>
  </si>
  <si>
    <t>Base</t>
  </si>
  <si>
    <t>Bear</t>
  </si>
  <si>
    <t>Maintenance (estimated)</t>
  </si>
  <si>
    <t>Investment (estimated)</t>
  </si>
  <si>
    <t>Balance</t>
  </si>
  <si>
    <t xml:space="preserve">    3-year CAGR</t>
  </si>
  <si>
    <t>MAR Buybacks at 2x Leverage</t>
  </si>
  <si>
    <t>Debt at 2X Gross Leverage</t>
  </si>
  <si>
    <t>Add back: D&amp;A</t>
  </si>
  <si>
    <t>Funds From Operations:</t>
  </si>
  <si>
    <t>Subtotal, Funds from Ops.</t>
  </si>
  <si>
    <t>Less: Capital Spending, Net</t>
  </si>
  <si>
    <t>Incremental Debt Financing</t>
  </si>
  <si>
    <t>Cash Available for Share Repurchases:</t>
  </si>
  <si>
    <t>Diluted Shares</t>
  </si>
  <si>
    <t>Stock Price (2/16)</t>
  </si>
  <si>
    <t>% of Market Cap</t>
  </si>
  <si>
    <t>Share Buyback Summary, 2012 - 2015E</t>
  </si>
  <si>
    <t>Note: Assumes Gross Leverage of 2x</t>
  </si>
  <si>
    <t>Source:  Morgan Stanley Estimates</t>
  </si>
  <si>
    <t>Incremental Debt Financing:</t>
  </si>
  <si>
    <t>Annual Debt Increase</t>
  </si>
  <si>
    <t>Cumulative Incremental Debt</t>
  </si>
  <si>
    <t>$1,050-1,100 mm</t>
  </si>
  <si>
    <t>$1,030-1,060 mm</t>
  </si>
  <si>
    <t>$1,053-1,063 mm</t>
  </si>
  <si>
    <t>$65-85 mm</t>
  </si>
  <si>
    <t>$55-65 mm</t>
  </si>
  <si>
    <t>$55-60 mm</t>
  </si>
  <si>
    <t>MAR FCF / Capital Availability</t>
  </si>
  <si>
    <t>2Q11</t>
  </si>
  <si>
    <t>3Q11</t>
  </si>
  <si>
    <t>4Q11</t>
  </si>
  <si>
    <t>Drivers are located at the top</t>
  </si>
  <si>
    <t>Sensitivity</t>
  </si>
  <si>
    <t>EV / EBITDA</t>
  </si>
  <si>
    <t>Equity</t>
  </si>
  <si>
    <t>PT</t>
  </si>
  <si>
    <t>MAR.N,mscalc:targetPrice</t>
  </si>
  <si>
    <t>32</t>
  </si>
  <si>
    <t>,mscalc:closePriceCurrencyCalc</t>
  </si>
  <si>
    <t>,mscalc:sedolCodeCalc</t>
  </si>
  <si>
    <t>,mscalc:targetPrice,,,,USD</t>
  </si>
  <si>
    <t>Interest Income</t>
  </si>
  <si>
    <t>Cumulative Cash Available for Share Repurchases, 2012-2014E</t>
  </si>
  <si>
    <t>Figures in $ Millions, except per-share data</t>
  </si>
  <si>
    <t>Valuation</t>
  </si>
  <si>
    <t>Income Statement, Cash Flow, and Balance Sheet follow going down, with the model typically saved on the Income Statement</t>
  </si>
  <si>
    <t>Full Service</t>
  </si>
  <si>
    <t>Limited Service</t>
  </si>
  <si>
    <t>Guidance Comparison: 4Q12</t>
  </si>
  <si>
    <t>New Quarterly Guidance: 1Q13</t>
  </si>
  <si>
    <t>Blue is hardcode, black and green are formulas, red could be either, pink is a link to another sheet or file</t>
  </si>
  <si>
    <t>Blue is typically used for known values, red when unknown (either formula or hardcode)</t>
  </si>
  <si>
    <t>$730-740 mm</t>
  </si>
  <si>
    <t>Commerical Paper Rate</t>
  </si>
  <si>
    <t>Guidance Comparison: 3Q12</t>
  </si>
  <si>
    <t>$0.39-0.41</t>
  </si>
  <si>
    <t>180-190</t>
  </si>
  <si>
    <t>4-6%</t>
  </si>
  <si>
    <t>$445-455</t>
  </si>
  <si>
    <t>200-210</t>
  </si>
  <si>
    <t>290-310</t>
  </si>
  <si>
    <t>$5 mn benefit</t>
  </si>
  <si>
    <t>$0.52-0.56</t>
  </si>
  <si>
    <t>Adjusted Diluted EPS</t>
  </si>
  <si>
    <t>Hotel Expenses</t>
  </si>
  <si>
    <t>Hotel Revenue net of Direct Expenses</t>
  </si>
  <si>
    <t>Hotel Revenue Per Room Per Day</t>
  </si>
  <si>
    <t>Hotel Room Cost Per Day</t>
  </si>
  <si>
    <t>Other Revenues</t>
  </si>
  <si>
    <t>Other Expenses</t>
  </si>
  <si>
    <t>Owned revenue (net)</t>
  </si>
  <si>
    <t>New Quarterly Guidance: 2Q12</t>
  </si>
  <si>
    <t xml:space="preserve">$295-305 </t>
  </si>
  <si>
    <t>Total fee revenue</t>
  </si>
  <si>
    <t xml:space="preserve">Diluted EPS </t>
  </si>
  <si>
    <t xml:space="preserve">20-25 </t>
  </si>
  <si>
    <t xml:space="preserve">160-180 </t>
  </si>
  <si>
    <t>Current</t>
  </si>
  <si>
    <t>Consenus</t>
  </si>
  <si>
    <t>Consensus Summary</t>
  </si>
  <si>
    <t>Management &amp; franchise fees</t>
  </si>
  <si>
    <t>Diluted EPS</t>
  </si>
  <si>
    <t>Less: Unallocated SG&amp;A</t>
  </si>
  <si>
    <t>Less: JV net debt</t>
  </si>
  <si>
    <t>Total Debt / EBITDA</t>
  </si>
  <si>
    <t>Actual Credit Metrics</t>
  </si>
  <si>
    <t>Capitalized Leases</t>
  </si>
  <si>
    <t>Target leverage</t>
  </si>
  <si>
    <t>3.0x-3.25x</t>
  </si>
  <si>
    <t>Guarantees</t>
  </si>
  <si>
    <t>Excess Cash &gt;$100mm</t>
  </si>
  <si>
    <t>Net Debt for Credit Agreements</t>
  </si>
  <si>
    <t>Stock-based Comp</t>
  </si>
  <si>
    <t>Inputed Interest on Operating Leases</t>
  </si>
  <si>
    <t>Financing liabilities related to timeshare</t>
  </si>
  <si>
    <t>One-time transaction costs</t>
  </si>
  <si>
    <t>Adj. EBITDA for Leverage Calc</t>
  </si>
  <si>
    <t>Leverage</t>
  </si>
  <si>
    <t>Capital that can be freed up if 3.25x leverage</t>
  </si>
  <si>
    <t>Other Revenues net of Direct Expenses</t>
  </si>
  <si>
    <t>Total Revenue</t>
  </si>
  <si>
    <t>Total Revenue Net of Direct Expenses</t>
  </si>
  <si>
    <t>Managed Rooms</t>
  </si>
  <si>
    <t>Hotels</t>
  </si>
  <si>
    <t xml:space="preserve">  Net Additions</t>
  </si>
  <si>
    <t>Rooms</t>
  </si>
  <si>
    <t xml:space="preserve">  Rooms per Hotel</t>
  </si>
  <si>
    <t xml:space="preserve">   Sequential Growth</t>
  </si>
  <si>
    <t>Old-MAR Reported Adjusted EBITDA</t>
  </si>
  <si>
    <t>Plus: Share-based comp (incl. reimbursed by 3rd parties)</t>
  </si>
  <si>
    <t>$380-395</t>
  </si>
  <si>
    <t>$235-255</t>
  </si>
  <si>
    <t>$0.47-0.52</t>
  </si>
  <si>
    <t>Weights:</t>
  </si>
  <si>
    <t>Plus: Interest expense</t>
  </si>
  <si>
    <t>Plus:Tax provision (benefit)</t>
  </si>
  <si>
    <t>Assumed Multiples</t>
  </si>
  <si>
    <t>M&amp;F</t>
  </si>
  <si>
    <t>Timeshare EBITDA (MAR Calc)</t>
  </si>
  <si>
    <t>Capitalized Interest</t>
  </si>
  <si>
    <t xml:space="preserve">Timeshare Inventory </t>
  </si>
  <si>
    <t>DCF / Cash Flow Questions</t>
  </si>
  <si>
    <t>1) Contract Acquisition Costs - what exactly are these?</t>
  </si>
  <si>
    <t>Marriott's Investings Activities</t>
  </si>
  <si>
    <t>% Growth</t>
  </si>
  <si>
    <t>Quarterly Comparisons</t>
  </si>
  <si>
    <t>% International</t>
  </si>
  <si>
    <t>Total System Rooms</t>
  </si>
  <si>
    <t>Pipeline as % of System</t>
  </si>
  <si>
    <t>Total Company</t>
  </si>
  <si>
    <t>Carribean &amp; Latin America</t>
  </si>
  <si>
    <t>Middle East &amp; Africa</t>
  </si>
  <si>
    <t>Region</t>
  </si>
  <si>
    <t>Regional Composite</t>
  </si>
  <si>
    <t>International Luxury</t>
  </si>
  <si>
    <t>ADR</t>
  </si>
  <si>
    <t>United Kingdom</t>
  </si>
  <si>
    <t>Total M&amp;F</t>
  </si>
  <si>
    <t xml:space="preserve">  Autograph Collection</t>
  </si>
  <si>
    <t xml:space="preserve">  Edition</t>
  </si>
  <si>
    <t>Red can also be a known value, but with a calculation in the cell or some kind of adjustement</t>
  </si>
  <si>
    <t>Total Inventories</t>
  </si>
  <si>
    <t>Timeshare Notes</t>
  </si>
  <si>
    <t>Timeshare Notes - Beginning</t>
  </si>
  <si>
    <t xml:space="preserve">  New Notes Issued</t>
  </si>
  <si>
    <t xml:space="preserve">  Notes Sold (Securitized)</t>
  </si>
  <si>
    <t>Timeshare Notes - Ending</t>
  </si>
  <si>
    <t>% Securitized</t>
  </si>
  <si>
    <t>% of Sales Financed (Financing Propensity)</t>
  </si>
  <si>
    <t>New Notes as  a % of Unit Sales</t>
  </si>
  <si>
    <t>Return on Note Sales</t>
  </si>
  <si>
    <t>NM</t>
  </si>
  <si>
    <t>N.M.</t>
  </si>
  <si>
    <t>Cost of Note Sale</t>
  </si>
  <si>
    <t>MAR Residual Interest On Note Sales</t>
  </si>
  <si>
    <t>Timeshare Segment Net Cash Flow from Ops</t>
  </si>
  <si>
    <t>Capital Expenditure/ Equity Investments</t>
  </si>
  <si>
    <t>Free Cash Flow</t>
  </si>
  <si>
    <t>Room Summary (Including Time Share</t>
  </si>
  <si>
    <t>Total hotels</t>
  </si>
  <si>
    <t xml:space="preserve">Total rooms </t>
  </si>
  <si>
    <t>Average Rooms per hotel ex TS</t>
  </si>
  <si>
    <t>Total hotel additions</t>
  </si>
  <si>
    <t>Total rooms additions</t>
  </si>
  <si>
    <t>Check:</t>
  </si>
  <si>
    <t>Hotels - Net</t>
  </si>
  <si>
    <t xml:space="preserve">  Additions</t>
  </si>
  <si>
    <t xml:space="preserve">  Departures</t>
  </si>
  <si>
    <t>Rooms - Net</t>
  </si>
  <si>
    <t>3.25% Series L Notes due Sep '22</t>
  </si>
  <si>
    <t>$170-180mm</t>
  </si>
  <si>
    <t>$185-195mm</t>
  </si>
  <si>
    <t>$205-215mm</t>
  </si>
  <si>
    <t>$201-206mm</t>
  </si>
  <si>
    <t>$145-155 mm</t>
  </si>
  <si>
    <t>$95-105 mm</t>
  </si>
  <si>
    <t>$115-125 mm</t>
  </si>
  <si>
    <t>$635-645 mm</t>
  </si>
  <si>
    <t>$650-660 mm</t>
  </si>
  <si>
    <t>$649-654 mm</t>
  </si>
  <si>
    <t>25,000- 30,000</t>
  </si>
  <si>
    <t>$910-970 mm</t>
  </si>
  <si>
    <t>$985-1,040 mm</t>
  </si>
  <si>
    <t>$1045-1,085 mm</t>
  </si>
  <si>
    <t>$1050-1,065 mm</t>
  </si>
  <si>
    <t>$0.82-0.94</t>
  </si>
  <si>
    <t>$0.95-1.05</t>
  </si>
  <si>
    <t>$1.05-1.13</t>
  </si>
  <si>
    <t>$1.09-1.12</t>
  </si>
  <si>
    <t>Debt</t>
  </si>
  <si>
    <t>EBITDA*</t>
  </si>
  <si>
    <t>TTM EBITDA</t>
  </si>
  <si>
    <t>Ratio</t>
  </si>
  <si>
    <t>Covenant</t>
  </si>
  <si>
    <t>Capital and Financing Requirements through 2012</t>
  </si>
  <si>
    <t>Capital Requirements</t>
  </si>
  <si>
    <t xml:space="preserve">  MHRS Managed &amp; Franchised (Domestic)</t>
  </si>
  <si>
    <t>Peru</t>
  </si>
  <si>
    <t>Puerto Rico</t>
  </si>
  <si>
    <t>Saint Kitts and Nevis</t>
  </si>
  <si>
    <t>Suriname</t>
  </si>
  <si>
    <t>Trinidad and Tobago</t>
  </si>
  <si>
    <t>United States</t>
  </si>
  <si>
    <t>U.S. Virgin Islands</t>
  </si>
  <si>
    <t>Venezuela</t>
  </si>
  <si>
    <t>United Kingdom and Ireland</t>
  </si>
  <si>
    <t>Ireland</t>
  </si>
  <si>
    <t>United Kingdom (England, Scotland, and Wales)</t>
  </si>
  <si>
    <t>New Quarterly Guidance: 2Q13</t>
  </si>
  <si>
    <t>2013 FY Guidance as of:</t>
  </si>
  <si>
    <t>2Q13</t>
  </si>
  <si>
    <t>3Q13</t>
  </si>
  <si>
    <t>Operating Costs</t>
  </si>
  <si>
    <t>Senior Living Services Revenue</t>
  </si>
  <si>
    <t>Distribution Services Revenue</t>
  </si>
  <si>
    <t>Senior Living Services Costs</t>
  </si>
  <si>
    <t>Distribution Services Costs</t>
  </si>
  <si>
    <t>Maintenance Capex</t>
  </si>
  <si>
    <t>3Q11 v. 2Q11</t>
  </si>
  <si>
    <t>3Q11 Guidance vs. Actuals</t>
  </si>
  <si>
    <t>For 4Q11:</t>
  </si>
  <si>
    <t>Total</t>
  </si>
  <si>
    <t>Earnings from Unconsol for EBITDA</t>
  </si>
  <si>
    <t>Interest Expense from Unconsol. JVs</t>
  </si>
  <si>
    <t xml:space="preserve">  Marriott Executive Managed &amp; Franchised (International)</t>
  </si>
  <si>
    <t>ROE Metrics</t>
  </si>
  <si>
    <t>TTM Interest Expense</t>
  </si>
  <si>
    <t>TTM Net Revenue</t>
  </si>
  <si>
    <t>Average Assets</t>
  </si>
  <si>
    <t>Average Equity</t>
  </si>
  <si>
    <t>Adjusted Return on Equity</t>
  </si>
  <si>
    <t>Asset Turnover (Net Revenue/Avg. Assets)</t>
  </si>
  <si>
    <t>Unrecorded goodwill from poolings, etc.</t>
  </si>
  <si>
    <t>Managed RevPAR</t>
  </si>
  <si>
    <t>Franchised RevPAR</t>
  </si>
  <si>
    <t>% US</t>
  </si>
  <si>
    <t>% Int'l</t>
  </si>
  <si>
    <t>Room Distribution</t>
  </si>
  <si>
    <t>Weighted</t>
  </si>
  <si>
    <t>Room %</t>
  </si>
  <si>
    <t>Ritz-Carlton &amp; Edition</t>
  </si>
  <si>
    <t>MS Estimates</t>
  </si>
  <si>
    <t>$</t>
  </si>
  <si>
    <t>USD</t>
  </si>
  <si>
    <t>+3%</t>
  </si>
  <si>
    <t>$205-230</t>
  </si>
  <si>
    <t>$355-370</t>
  </si>
  <si>
    <t>$0.37-0.42</t>
  </si>
  <si>
    <t>Autograph Collection (Upper Upscale)</t>
  </si>
  <si>
    <t xml:space="preserve">  Residence Inns Managed &amp; Franchised (International)</t>
  </si>
  <si>
    <t>Total US</t>
  </si>
  <si>
    <t>Total Non-US</t>
  </si>
  <si>
    <t>Country</t>
  </si>
  <si>
    <t>Americas</t>
  </si>
  <si>
    <t>Argentina</t>
  </si>
  <si>
    <t>Aruba</t>
  </si>
  <si>
    <t>Bahamas</t>
  </si>
  <si>
    <t>Brazil</t>
  </si>
  <si>
    <t>Canada</t>
  </si>
  <si>
    <t>Quarter-end</t>
  </si>
  <si>
    <t>Rooms expected to open in 2012</t>
  </si>
  <si>
    <t>Rooms expected to open in 2013</t>
  </si>
  <si>
    <t>Rooms expected to open in 2014</t>
  </si>
  <si>
    <t>30-35,000</t>
  </si>
  <si>
    <t>27-47,000</t>
  </si>
  <si>
    <t>Inventories</t>
  </si>
  <si>
    <t/>
  </si>
  <si>
    <t>Meet or Beat</t>
  </si>
  <si>
    <t>Guidance</t>
  </si>
  <si>
    <t>Rooms expected to open in 2011</t>
  </si>
  <si>
    <t>Rooms expected to open in 2010</t>
  </si>
  <si>
    <t>Property openings</t>
  </si>
  <si>
    <t xml:space="preserve">  SpringHill Suites</t>
  </si>
  <si>
    <t xml:space="preserve">  Residence Inns</t>
  </si>
  <si>
    <t xml:space="preserve">  TownePlace Suites</t>
  </si>
  <si>
    <t>Timeshare Equity Investments</t>
  </si>
  <si>
    <t>Minority Interest (pre-tax)</t>
  </si>
  <si>
    <t>Total Timeshare Segment including equity investments (Reflects Real Impact to MAR)</t>
  </si>
  <si>
    <t>MAR Share Repurchase Trajectory and Impact on EPS / Balance Sheet</t>
  </si>
  <si>
    <t>Share Buybacks</t>
  </si>
  <si>
    <t>Assumed Price</t>
  </si>
  <si>
    <t>Spending on Buybacks</t>
  </si>
  <si>
    <t>New shares</t>
  </si>
  <si>
    <t xml:space="preserve">Share Count </t>
  </si>
  <si>
    <t>Plus: Depreciation and Amortization</t>
  </si>
  <si>
    <t>Plus: Stock-based comp</t>
  </si>
  <si>
    <t>Net Cash Flow from Operations</t>
  </si>
  <si>
    <t>Cash Flow from Operations:</t>
  </si>
  <si>
    <t>Capital Spending:</t>
  </si>
  <si>
    <t>Total Expenditures</t>
  </si>
  <si>
    <t>Add back: Loan Collections</t>
  </si>
  <si>
    <t>This Number should be used for US Managed RevPAR forecast</t>
  </si>
  <si>
    <t>North America - Managed</t>
  </si>
  <si>
    <t>International - Manged</t>
  </si>
  <si>
    <t>Grow at Int'l RevPAR</t>
  </si>
  <si>
    <t>?</t>
  </si>
  <si>
    <t>North America - Franchised</t>
  </si>
  <si>
    <t>Operating Income (EBIT)</t>
  </si>
  <si>
    <t>vs. MS</t>
  </si>
  <si>
    <t>Differnce is that we forecast a 34M decline in share count…</t>
  </si>
  <si>
    <t>For 1Q12:</t>
  </si>
  <si>
    <t>Est</t>
  </si>
  <si>
    <t>0.25-0.29</t>
  </si>
  <si>
    <t>$40 mm</t>
  </si>
  <si>
    <t>$40-45 mm</t>
  </si>
  <si>
    <t>$180-200 mm</t>
  </si>
  <si>
    <t>$285-295 mm</t>
  </si>
  <si>
    <t>($5) mm</t>
  </si>
  <si>
    <t>Total Domestic</t>
  </si>
  <si>
    <t>Total International</t>
  </si>
  <si>
    <t>Model Organization</t>
  </si>
  <si>
    <t>Marriott Int'l (MAR)</t>
  </si>
  <si>
    <t>Estimated ROIC, ex. T/S</t>
  </si>
  <si>
    <t>NOPAT (ex T/S) Summary</t>
  </si>
  <si>
    <t>Less: T/S Segment</t>
  </si>
  <si>
    <t>Less: Taxes</t>
  </si>
  <si>
    <t>NOPAT, ex T/S</t>
  </si>
  <si>
    <t>Incremental Invested Capital</t>
  </si>
  <si>
    <t>Est. Incremental Invested Capital</t>
  </si>
  <si>
    <t>EOP Equity</t>
  </si>
  <si>
    <t>Balance Sheet Capital</t>
  </si>
  <si>
    <t>Shareholder's Equity</t>
  </si>
  <si>
    <t>Est. ROIC</t>
  </si>
  <si>
    <t>Est. ROE</t>
  </si>
  <si>
    <t>PP&amp;E (BS)</t>
  </si>
  <si>
    <t>Contract Acquisition Costs and Other</t>
  </si>
  <si>
    <t>Less: Accumulated Amortization</t>
  </si>
  <si>
    <t>Lodging senior loans</t>
  </si>
  <si>
    <t>Lodging mezzanine and other loans</t>
  </si>
  <si>
    <t>Net M&amp;F</t>
  </si>
  <si>
    <t>Managed and Franchised Invested Capital:</t>
  </si>
  <si>
    <t>Estimated Annual M&amp;F Investment:</t>
  </si>
  <si>
    <t>Equity and Costs Method Invesments</t>
  </si>
  <si>
    <t>New Quarterly Guidance: 3Q12</t>
  </si>
  <si>
    <t>Consensus for 2Q</t>
  </si>
  <si>
    <t>,</t>
  </si>
  <si>
    <t>Guidance Comparison: 2Q12</t>
  </si>
  <si>
    <t>$345-355</t>
  </si>
  <si>
    <t>35-40</t>
  </si>
  <si>
    <t>$315-325</t>
  </si>
  <si>
    <t xml:space="preserve">20 </t>
  </si>
  <si>
    <t xml:space="preserve">180-190 </t>
  </si>
  <si>
    <t>$0.32-0.34</t>
  </si>
  <si>
    <r>
      <t>Adjusted Diluted EPS</t>
    </r>
    <r>
      <rPr>
        <b/>
        <vertAlign val="superscript"/>
        <sz val="10"/>
        <rFont val="Arial"/>
        <family val="2"/>
      </rPr>
      <t>1</t>
    </r>
  </si>
  <si>
    <t>(1) Excludes ~$0.07 benefit from Courtyard JV gain</t>
  </si>
  <si>
    <t>Adjusted EPS</t>
  </si>
  <si>
    <t>+3-5%</t>
  </si>
  <si>
    <t>+4-6%</t>
  </si>
  <si>
    <t>Enterprise Value</t>
  </si>
  <si>
    <t>EBITDA</t>
  </si>
  <si>
    <t>EV/EBITDA</t>
  </si>
  <si>
    <t>2) Investment Capex = actual hotel construction &amp; development</t>
  </si>
  <si>
    <t>Marriott's Capital Spending Excludes Note Collections</t>
  </si>
  <si>
    <t>Capital Spending Includes:</t>
  </si>
  <si>
    <t>Property Acquisitions</t>
  </si>
  <si>
    <t>Mezz Financing</t>
  </si>
  <si>
    <t>Mortgage Notes</t>
  </si>
  <si>
    <t>Property Acquisition Costs</t>
  </si>
  <si>
    <t>Equity and Other Investments</t>
  </si>
  <si>
    <t>(No Timeshare Activity - included in Cash Flows from Ops)</t>
  </si>
  <si>
    <t>Less: Debt</t>
  </si>
  <si>
    <t>Enterprise</t>
  </si>
  <si>
    <t>Segment</t>
  </si>
  <si>
    <t>Equals: Equity Value</t>
  </si>
  <si>
    <t>EBITDA Valuation</t>
  </si>
  <si>
    <t>Owned and Leased Hotels</t>
  </si>
  <si>
    <t>MAR vs. Upper Upscale</t>
  </si>
  <si>
    <t>MAR Full Service</t>
  </si>
  <si>
    <t>STR Upper Upscale</t>
  </si>
  <si>
    <t>NA Systemwide RevPAR</t>
  </si>
  <si>
    <t>$135-145m</t>
  </si>
  <si>
    <t>$35-40m</t>
  </si>
  <si>
    <t>~$25m</t>
  </si>
  <si>
    <t>~$40m</t>
  </si>
  <si>
    <t>~$10m</t>
  </si>
  <si>
    <t>~$5m</t>
  </si>
  <si>
    <t>$170-175m</t>
  </si>
  <si>
    <t>~$155m</t>
  </si>
  <si>
    <t>~$150m</t>
  </si>
  <si>
    <t>$220-225m</t>
  </si>
  <si>
    <t>$130-140m</t>
  </si>
  <si>
    <t>$185-190m</t>
  </si>
  <si>
    <t>$15-20m</t>
  </si>
  <si>
    <t>$0-5m</t>
  </si>
  <si>
    <t>$55-60m</t>
  </si>
  <si>
    <t>$585-605m</t>
  </si>
  <si>
    <t>$10-15m</t>
  </si>
  <si>
    <t>$135-140m</t>
  </si>
  <si>
    <t>$5-10m</t>
  </si>
  <si>
    <t>$145-150m</t>
  </si>
  <si>
    <t>$50-55m</t>
  </si>
  <si>
    <t>$142-147m</t>
  </si>
  <si>
    <t>$245-255</t>
  </si>
  <si>
    <t>$758-768m</t>
  </si>
  <si>
    <t>~$175m</t>
  </si>
  <si>
    <t>$40-$45</t>
  </si>
  <si>
    <t>$0.55-0.59</t>
  </si>
  <si>
    <t>$275-295</t>
  </si>
  <si>
    <t>$405-$415</t>
  </si>
  <si>
    <t>Expenses</t>
  </si>
  <si>
    <t>Net Debt</t>
  </si>
  <si>
    <r>
      <t xml:space="preserve">The Ritz-Carlton Residences </t>
    </r>
    <r>
      <rPr>
        <vertAlign val="superscript"/>
        <sz val="10"/>
        <rFont val="Arial"/>
        <family val="2"/>
      </rPr>
      <t>(1), (2)</t>
    </r>
  </si>
  <si>
    <r>
      <t xml:space="preserve">Grand Residences by Marriott-Fractional </t>
    </r>
    <r>
      <rPr>
        <vertAlign val="superscript"/>
        <sz val="10"/>
        <rFont val="Arial"/>
        <family val="2"/>
      </rPr>
      <t>(2)</t>
    </r>
  </si>
  <si>
    <r>
      <t xml:space="preserve">Grand Residences by Marriott-Residential </t>
    </r>
    <r>
      <rPr>
        <vertAlign val="superscript"/>
        <sz val="10"/>
        <rFont val="Arial"/>
        <family val="2"/>
      </rPr>
      <t>(1), (2)</t>
    </r>
  </si>
  <si>
    <t>Contract Acquisition Costs</t>
  </si>
  <si>
    <t>Timeshare Revenues, Net of Dir. Exp.</t>
  </si>
  <si>
    <t>Owned Revenue Net of Dir. Exp.</t>
  </si>
  <si>
    <t>Interest Earned on Cash</t>
  </si>
  <si>
    <t>$50 mm</t>
  </si>
  <si>
    <t>$420-430 mm</t>
  </si>
  <si>
    <t>$200-210 mm</t>
  </si>
  <si>
    <t>$68-73 mm</t>
  </si>
  <si>
    <t>$235-245 mm</t>
  </si>
  <si>
    <t>$293-318 mm</t>
  </si>
  <si>
    <t>0.45-0.50</t>
  </si>
  <si>
    <t>US</t>
  </si>
  <si>
    <t>Europe</t>
  </si>
  <si>
    <t>Other</t>
  </si>
  <si>
    <t>(US$MM, except per-share data)</t>
  </si>
  <si>
    <t xml:space="preserve">  SpringHill Suites Managed &amp; Franchised (Domestic)</t>
  </si>
  <si>
    <t xml:space="preserve">  SpringHill Suites Managed &amp; Franchised (International)</t>
  </si>
  <si>
    <t xml:space="preserve">  Residence Inns Managed &amp; Franchised (Domestic)</t>
  </si>
  <si>
    <t>Weight</t>
  </si>
  <si>
    <t>RevPAR midpoint</t>
  </si>
  <si>
    <t>Actual</t>
  </si>
  <si>
    <t>NA RevPAR Growth</t>
  </si>
  <si>
    <t>6-8%</t>
  </si>
  <si>
    <t>Worldwide RevPAR Growth</t>
  </si>
  <si>
    <t>Owned Revenue Net of Direct Expenses</t>
  </si>
  <si>
    <t>Total Fee Revenue</t>
  </si>
  <si>
    <t>Timeshare Contract Sales</t>
  </si>
  <si>
    <t>Timeshare Revenue, net of direct expenses</t>
  </si>
  <si>
    <t>G&amp;A Expenses</t>
  </si>
  <si>
    <t>Net Int. Expense</t>
  </si>
  <si>
    <t>$50mm</t>
  </si>
  <si>
    <t>Middle East / Africa</t>
  </si>
  <si>
    <t>Other Americas</t>
  </si>
  <si>
    <t>4Q01</t>
  </si>
  <si>
    <t>1Q02</t>
  </si>
  <si>
    <t>2Q02</t>
  </si>
  <si>
    <t>3Q02</t>
  </si>
  <si>
    <t>4Q02</t>
  </si>
  <si>
    <t>1Q03</t>
  </si>
  <si>
    <t>2Q03</t>
  </si>
  <si>
    <t>3Q03</t>
  </si>
  <si>
    <t>4Q03</t>
  </si>
  <si>
    <t>1Q04</t>
  </si>
  <si>
    <t>2Q04</t>
  </si>
  <si>
    <t>3Q04</t>
  </si>
  <si>
    <t>4Q04</t>
  </si>
  <si>
    <t>2004</t>
  </si>
  <si>
    <t>1Q05</t>
  </si>
  <si>
    <t>2Q05</t>
  </si>
  <si>
    <t>3Q05</t>
  </si>
  <si>
    <t>4Q05</t>
  </si>
  <si>
    <t>2005</t>
  </si>
  <si>
    <t>1Q06</t>
  </si>
  <si>
    <t>2Q06</t>
  </si>
  <si>
    <t>3Q06</t>
  </si>
  <si>
    <t>Net Financing</t>
  </si>
  <si>
    <t xml:space="preserve">Tax rate </t>
  </si>
  <si>
    <t>Timeshare Cash Flow</t>
  </si>
  <si>
    <t>3.0% Series K Notes due Mar '19</t>
  </si>
  <si>
    <t>EPS for modelware, withoutout synfuel post 06</t>
  </si>
  <si>
    <t>MAR.N,mscalc:targetPrice,,,,USD</t>
  </si>
  <si>
    <t>NA</t>
  </si>
  <si>
    <t>MAR.N,mscalc:closePriceCurrencyCalc</t>
  </si>
  <si>
    <t>MAR.N,mscalc:sedolCodeCalc</t>
  </si>
  <si>
    <t>MS vs. Consensus</t>
  </si>
  <si>
    <t>Income</t>
  </si>
  <si>
    <t>Consensus</t>
  </si>
  <si>
    <t>As of 9/28/2011</t>
  </si>
  <si>
    <t>$0.25 - 0.29</t>
  </si>
  <si>
    <t>Op.</t>
  </si>
  <si>
    <t>Adj.</t>
  </si>
  <si>
    <t>$180 - 200</t>
  </si>
  <si>
    <t>Figures in $US Millions except per share data</t>
  </si>
  <si>
    <t>Ryan's Table</t>
  </si>
  <si>
    <t>0-2%</t>
  </si>
  <si>
    <t>$215-235</t>
  </si>
  <si>
    <t>$370-380</t>
  </si>
  <si>
    <t>$0.42-0.46</t>
  </si>
  <si>
    <t>+4.5-6%</t>
  </si>
  <si>
    <t>$165-175</t>
  </si>
  <si>
    <t>Current EV</t>
  </si>
  <si>
    <t>D&amp;A adjustment</t>
  </si>
  <si>
    <t>Reported</t>
  </si>
  <si>
    <t>Adjusted (as of 1Q)</t>
  </si>
  <si>
    <t>Total Difference (D&amp;A)</t>
  </si>
  <si>
    <t>O+L</t>
  </si>
  <si>
    <t xml:space="preserve">  % of revenue</t>
  </si>
  <si>
    <t>Operating Income from I/S</t>
  </si>
  <si>
    <t>Plus: D&amp;A</t>
  </si>
  <si>
    <t>$230-250</t>
  </si>
  <si>
    <t>$150-165</t>
  </si>
  <si>
    <t>$190-205</t>
  </si>
  <si>
    <t>Prior reported Operating Income</t>
  </si>
  <si>
    <t>Previously Reported</t>
  </si>
  <si>
    <t>Currency</t>
  </si>
  <si>
    <t>Total Shareholders' Equity</t>
  </si>
  <si>
    <t>Total Liabilities and Equity</t>
  </si>
  <si>
    <t>Convertible Debt due 2021</t>
  </si>
  <si>
    <t xml:space="preserve">  Accrued Interest</t>
  </si>
  <si>
    <t xml:space="preserve">  Cash Interest</t>
  </si>
  <si>
    <t>LIBOR</t>
  </si>
  <si>
    <t>Total Interest Income</t>
  </si>
  <si>
    <t>Asset Utilization</t>
  </si>
  <si>
    <t>Net PP&amp;E</t>
  </si>
  <si>
    <t>Gross PP&amp;E</t>
  </si>
  <si>
    <t>Charges</t>
  </si>
  <si>
    <t>Reclassification of Village Oaks as "Held for Sale"</t>
  </si>
  <si>
    <t>Restructuring related to downsizing (severance, etc)</t>
  </si>
  <si>
    <t>Systemwide</t>
  </si>
  <si>
    <t>Owned, Leased, &amp; Other</t>
  </si>
  <si>
    <t>Inventories Beginning of Period</t>
  </si>
  <si>
    <t xml:space="preserve">  Timeshare CapEx</t>
  </si>
  <si>
    <t xml:space="preserve">  Cost of Timeshare Units Sold</t>
  </si>
  <si>
    <t xml:space="preserve">  Other Adjustments</t>
  </si>
  <si>
    <t>Inventories End of Period</t>
  </si>
  <si>
    <t xml:space="preserve"> </t>
  </si>
  <si>
    <t xml:space="preserve">  % of total inventories</t>
  </si>
  <si>
    <t>Leverage Ratio</t>
  </si>
  <si>
    <t>International</t>
  </si>
  <si>
    <t xml:space="preserve">  MHRS Managed &amp; Franchised (International)</t>
  </si>
  <si>
    <t xml:space="preserve">  Ritz-Carlton Managed &amp; Franchised (Domestic)</t>
  </si>
  <si>
    <t>Synthetic Fuel</t>
  </si>
  <si>
    <t>Costs</t>
  </si>
  <si>
    <t>Margin</t>
  </si>
  <si>
    <t>Share of JV EBITDA</t>
  </si>
  <si>
    <t>Incentive Fees Analysis</t>
  </si>
  <si>
    <t>Source: MAR 10-K text</t>
  </si>
  <si>
    <t>Renaissance ClubSport</t>
  </si>
  <si>
    <t>Autograph Collection</t>
  </si>
  <si>
    <t>The Ritz-Carlton</t>
  </si>
  <si>
    <t>EDITION</t>
  </si>
  <si>
    <t>Fairfield Inn &amp; Suites</t>
  </si>
  <si>
    <t>Non-U.S. Locations</t>
  </si>
  <si>
    <t>The Ritz-Carlton Serviced Apartments</t>
  </si>
  <si>
    <t>Bulgari Hotels &amp; Resorts</t>
  </si>
  <si>
    <t>Marriott Executive Apartments</t>
  </si>
  <si>
    <t>Total Int'l Rooms</t>
  </si>
  <si>
    <t>Managed %</t>
  </si>
  <si>
    <t>Franchised %</t>
  </si>
  <si>
    <t>Total Managed Hotel Rev.</t>
  </si>
  <si>
    <t>Rev. Weights (Int'l)</t>
  </si>
  <si>
    <t>Managed (int'l)</t>
  </si>
  <si>
    <t>Franchised (int'l)</t>
  </si>
  <si>
    <t>Franchise Room Revs (US)</t>
  </si>
  <si>
    <t>Franchised Room Revs (Int'l)</t>
  </si>
  <si>
    <t>Total Franchised Hotel Revs.</t>
  </si>
  <si>
    <t>Franchised Rev. Calcs</t>
  </si>
  <si>
    <t xml:space="preserve">Ritz-Carlton </t>
  </si>
  <si>
    <t>=</t>
  </si>
  <si>
    <t>-</t>
  </si>
  <si>
    <t>X-Axis Labels</t>
  </si>
  <si>
    <t>Cases</t>
  </si>
  <si>
    <t>Positive
Increments</t>
  </si>
  <si>
    <t>Invisible</t>
  </si>
  <si>
    <t>Labels</t>
  </si>
  <si>
    <t>Bear
Case</t>
  </si>
  <si>
    <t>Base
Case</t>
  </si>
  <si>
    <t>Bull
Case</t>
  </si>
  <si>
    <t>Coupon</t>
  </si>
  <si>
    <t>Interest</t>
  </si>
  <si>
    <t>Interest Income On Notes Receivable</t>
  </si>
  <si>
    <t>Timeshare Note Sale Gains</t>
  </si>
  <si>
    <t xml:space="preserve">  Year-over-Year Change</t>
  </si>
  <si>
    <t>Cost of Timeshare Units</t>
  </si>
  <si>
    <t xml:space="preserve">   % of Sales</t>
  </si>
  <si>
    <t>Cost of Sales and Marketing</t>
  </si>
  <si>
    <t>Interest on Timeshare Operating Income</t>
  </si>
  <si>
    <t xml:space="preserve">  % of Interest Income</t>
  </si>
  <si>
    <t>Cost of TS Note Sale Securitization</t>
  </si>
  <si>
    <t xml:space="preserve">  % of Gain</t>
  </si>
  <si>
    <t>Other Expenses (Excl Note Share Gains)</t>
  </si>
  <si>
    <t xml:space="preserve">   % of Other Revenues</t>
  </si>
  <si>
    <t>Credit Rating as of Oct. 2010: Baa2 - Moody's and BBB S&amp;P</t>
  </si>
  <si>
    <t>Amendend and Extend on 6/23/11</t>
  </si>
  <si>
    <t>Expiration:</t>
  </si>
  <si>
    <t>Facility Size</t>
  </si>
  <si>
    <t>MAR Credit Facility</t>
  </si>
  <si>
    <t>Net Capital Spending</t>
  </si>
  <si>
    <t>Total Managed and Franchised Rooms (international)</t>
  </si>
  <si>
    <t>Prepaid expenses</t>
  </si>
  <si>
    <t>Current deferred taxes, net</t>
  </si>
  <si>
    <t>MAR Reported RevPAR / Hotel</t>
  </si>
  <si>
    <t>Statistics</t>
  </si>
  <si>
    <t>Implied Share Price @ 4% FCF Yield</t>
  </si>
  <si>
    <t>($mm)</t>
  </si>
  <si>
    <t xml:space="preserve">Purchase of treasury stock </t>
  </si>
  <si>
    <t xml:space="preserve">Issuance of common stock </t>
  </si>
  <si>
    <t>2Q14A</t>
  </si>
  <si>
    <t>2Q13A</t>
  </si>
  <si>
    <t>Pre Tax Income</t>
  </si>
  <si>
    <t>Plus: Share Based Compensation</t>
  </si>
  <si>
    <t xml:space="preserve">Extraordinary Items </t>
  </si>
  <si>
    <t>Average Diluted Shares Out.</t>
  </si>
  <si>
    <t>Plus: Interest Expense</t>
  </si>
  <si>
    <t>Less: Depreciation Adjustment</t>
  </si>
  <si>
    <t>Plus: Interest Expense from Unconsol. JVs</t>
  </si>
  <si>
    <t>Plus: Depreciation from Unconsol. JVs</t>
  </si>
  <si>
    <t>Reported Net Income</t>
  </si>
  <si>
    <t>Actuals</t>
  </si>
  <si>
    <t>MAKE SURE ESTIMATES FROM PUBLISHED MODEL ARE USED</t>
  </si>
  <si>
    <t>Company Reported Adj. EBITDA</t>
  </si>
  <si>
    <t>Owned and Leased</t>
  </si>
  <si>
    <t>G&amp;A and Other</t>
  </si>
  <si>
    <t xml:space="preserve">Owned and Leased </t>
  </si>
  <si>
    <t>Plus: Tax Provision (Benefit)</t>
  </si>
  <si>
    <t>2Q14</t>
  </si>
  <si>
    <t>Protea</t>
  </si>
  <si>
    <t xml:space="preserve">Protea </t>
  </si>
  <si>
    <t>5.5-7.5%</t>
  </si>
  <si>
    <t>$0.59-0.63</t>
  </si>
  <si>
    <t>$160-165</t>
  </si>
  <si>
    <t>$425-$435</t>
  </si>
  <si>
    <t>MAR leverage</t>
  </si>
  <si>
    <t>Future lease obligations</t>
  </si>
  <si>
    <t>After</t>
  </si>
  <si>
    <t>Discount rate</t>
  </si>
  <si>
    <t>NPV</t>
  </si>
  <si>
    <t>Future lease obligations - 2013 10K</t>
  </si>
  <si>
    <t>Future lease obligations - 2012 10K</t>
  </si>
  <si>
    <t>Rent</t>
  </si>
  <si>
    <t>Total Net Debt</t>
  </si>
  <si>
    <t xml:space="preserve">              </t>
  </si>
  <si>
    <t>Capitalized Leases (Moodys calc)</t>
  </si>
  <si>
    <t>Total Debt / EBITDA (Moodys)</t>
  </si>
  <si>
    <t>Share-based Comp</t>
  </si>
  <si>
    <t>Capitalized Leases (S&amp;P calc)</t>
  </si>
  <si>
    <t>Guarantees (S&amp;P calc)</t>
  </si>
  <si>
    <t>Total Guarantees where we are the primary obligor</t>
  </si>
  <si>
    <t>YE13</t>
  </si>
  <si>
    <t>Debt guarantees - 2013 10K</t>
  </si>
  <si>
    <t>S&amp;P value</t>
  </si>
  <si>
    <t>LTM EBITDA (Old reporting)</t>
  </si>
  <si>
    <t>Total Debt / Adj EBITDAR (S&amp;P)</t>
  </si>
  <si>
    <t>Adj EBITDAR</t>
  </si>
  <si>
    <t>Should be 0.5x higher than a normal calc, per Moodys</t>
  </si>
  <si>
    <t>$2075-2270</t>
  </si>
  <si>
    <t>$4.00-$4.60</t>
  </si>
  <si>
    <t xml:space="preserve">Net Additions </t>
  </si>
  <si>
    <t>831-871k</t>
  </si>
  <si>
    <t xml:space="preserve">Average room deletions per year (as per guidance AD 9/8/14) </t>
  </si>
  <si>
    <t>Gross room additions (as per guidance Analyst Day 9/8/14)</t>
  </si>
  <si>
    <t>Net Room Additions (as per guidance) Calculated</t>
  </si>
  <si>
    <t xml:space="preserve">Total Net # of Rooms Guidance from Analyst Day (9/8/14):  </t>
  </si>
  <si>
    <t>3.125% Series N Notes due Oct '21</t>
  </si>
  <si>
    <t>Assumptions</t>
  </si>
  <si>
    <t>Franchise</t>
  </si>
  <si>
    <t>Gains &amp; Other</t>
  </si>
  <si>
    <t>Equity in Earnings (losses)</t>
  </si>
  <si>
    <t>Owned &amp; Leased, Net</t>
  </si>
  <si>
    <t>4Q Guidance</t>
  </si>
  <si>
    <t>$25-30</t>
  </si>
  <si>
    <t>~$164</t>
  </si>
  <si>
    <t>~$55</t>
  </si>
  <si>
    <t>~$20</t>
  </si>
  <si>
    <t>$35-40</t>
  </si>
  <si>
    <t>$20-25</t>
  </si>
  <si>
    <t>~$134</t>
  </si>
  <si>
    <t>~$50</t>
  </si>
  <si>
    <t>~$25</t>
  </si>
  <si>
    <t>~$90</t>
  </si>
  <si>
    <t>$170-175</t>
  </si>
  <si>
    <t>$639-649</t>
  </si>
  <si>
    <t>$200-210</t>
  </si>
  <si>
    <t>~$155</t>
  </si>
  <si>
    <t>~$150</t>
  </si>
  <si>
    <t>$150-155</t>
  </si>
  <si>
    <t>$723-733</t>
  </si>
  <si>
    <t>$235-245</t>
  </si>
  <si>
    <t>$165-170</t>
  </si>
  <si>
    <t>$155-160</t>
  </si>
  <si>
    <t>$649-654</t>
  </si>
  <si>
    <t>Margin ex. Cost Reimbursement</t>
  </si>
  <si>
    <t>Gaylord</t>
  </si>
  <si>
    <t>Total Managed and Franchised Rooms (domestic)</t>
  </si>
  <si>
    <t>Philippines</t>
  </si>
  <si>
    <t>Singapore</t>
  </si>
  <si>
    <t xml:space="preserve">Renaissance </t>
  </si>
  <si>
    <t>MS Calcs</t>
  </si>
  <si>
    <t>Comparable System-wide</t>
  </si>
  <si>
    <t>Growth rates</t>
  </si>
  <si>
    <t>WW House Profit Margin Chg. (bps)</t>
  </si>
  <si>
    <t>NA House Profit Margin Chg (bps)</t>
  </si>
  <si>
    <t>Int'l House Profit Margin Chg. (bps)</t>
  </si>
  <si>
    <t>Incentive fees</t>
  </si>
  <si>
    <t>Profit margins</t>
  </si>
  <si>
    <t>% of hotels booking fees</t>
  </si>
  <si>
    <t>% of incentive fees from int'l</t>
  </si>
  <si>
    <t>Comparable RevPAR</t>
  </si>
  <si>
    <t>NA company-operated</t>
  </si>
  <si>
    <t>WW company-operated</t>
  </si>
  <si>
    <t>WW system-wide</t>
  </si>
  <si>
    <t xml:space="preserve">NA system-wide </t>
  </si>
  <si>
    <t>NA full-service</t>
  </si>
  <si>
    <t>NA select-service</t>
  </si>
  <si>
    <t>Int'l system-wide</t>
  </si>
  <si>
    <t>Int'l company-operated</t>
  </si>
  <si>
    <t>Figures in $ Millions</t>
  </si>
  <si>
    <t>Option for Increase in Commitments?</t>
  </si>
  <si>
    <t>Guide</t>
  </si>
  <si>
    <t>YoY Growth</t>
  </si>
  <si>
    <t>1Q11 Actual vs. Guidance</t>
  </si>
  <si>
    <t>5-6%</t>
  </si>
  <si>
    <t>5-7%</t>
  </si>
  <si>
    <t>$25-30 mm</t>
  </si>
  <si>
    <t>$320-330 mm</t>
  </si>
  <si>
    <t>$150-160 mm</t>
  </si>
  <si>
    <t>$50-55 mm</t>
  </si>
  <si>
    <t>$165-170 mm</t>
  </si>
  <si>
    <t>$0.34-0.38</t>
  </si>
  <si>
    <t>$20 mm</t>
  </si>
  <si>
    <t>$279 mm</t>
  </si>
  <si>
    <t>$145 mm</t>
  </si>
  <si>
    <t>$51 mm</t>
  </si>
  <si>
    <t>$159 mm</t>
  </si>
  <si>
    <t>$41mm</t>
  </si>
  <si>
    <t>Diluted Adjusted EPS</t>
  </si>
  <si>
    <t xml:space="preserve"> + Stock-based Compensation</t>
  </si>
  <si>
    <t>Interest on Debt in excess of $2,829MM, 5% Interest Rate</t>
  </si>
  <si>
    <t>Valuation Impact</t>
  </si>
  <si>
    <t>$$ Available for S/H</t>
  </si>
  <si>
    <t>Per Share Impact</t>
  </si>
  <si>
    <t>Share Price</t>
  </si>
  <si>
    <t>Percent of Float</t>
  </si>
  <si>
    <t>Other Equity in Unconsolidated</t>
  </si>
  <si>
    <t>% Timeshare (majority is timeshare beginning in 2005/06)</t>
  </si>
  <si>
    <t>Joint Ventures</t>
  </si>
  <si>
    <t>Fee Summary</t>
  </si>
  <si>
    <t>Year-over-Year Growth</t>
  </si>
  <si>
    <t>Marriott International (MAR) Earnings Model</t>
  </si>
  <si>
    <t>Less: D&amp;A</t>
  </si>
  <si>
    <t>Depreciation and amortization</t>
  </si>
  <si>
    <t>Interest expense</t>
  </si>
  <si>
    <t>Interest income</t>
  </si>
  <si>
    <t>Gains and other</t>
  </si>
  <si>
    <t>(1) 4Q Guidance</t>
  </si>
  <si>
    <t>(2) 2012 RevPAR Guidance</t>
  </si>
  <si>
    <t>1Q</t>
  </si>
  <si>
    <t>2Q</t>
  </si>
  <si>
    <t>Prior MSe</t>
  </si>
  <si>
    <t>New MSe</t>
  </si>
  <si>
    <t>Cons - old</t>
  </si>
  <si>
    <t>Cons - new</t>
  </si>
  <si>
    <t>4.0-6.0%</t>
  </si>
  <si>
    <t>3.0-6.0%</t>
  </si>
  <si>
    <t>South Korea</t>
  </si>
  <si>
    <t>Thailand</t>
  </si>
  <si>
    <t>Vietnam</t>
  </si>
  <si>
    <t>Australia</t>
  </si>
  <si>
    <t>Continental Europe</t>
  </si>
  <si>
    <t>Armenia</t>
  </si>
  <si>
    <t>Austria</t>
  </si>
  <si>
    <t>Belgium</t>
  </si>
  <si>
    <t>Czech Republic</t>
  </si>
  <si>
    <t>Denmark</t>
  </si>
  <si>
    <t>France</t>
  </si>
  <si>
    <t>Guidance, net</t>
  </si>
  <si>
    <t>$1,714-$1,724</t>
  </si>
  <si>
    <t>$654-$659</t>
  </si>
  <si>
    <t>$2.48-$2.52</t>
  </si>
  <si>
    <t>$239</t>
  </si>
  <si>
    <t>$175-180</t>
  </si>
  <si>
    <t>$280-295</t>
  </si>
  <si>
    <t>$1,148-$1,163</t>
  </si>
  <si>
    <t>$0.62-0.66</t>
  </si>
  <si>
    <t>Proceeds (Payments) on LT debt (Cred Fac)</t>
  </si>
  <si>
    <t>$1507-1522</t>
  </si>
  <si>
    <t>2013A</t>
  </si>
  <si>
    <t>Delta Hotels and Resorts</t>
  </si>
  <si>
    <t>Assumed Canada RevPAR</t>
  </si>
  <si>
    <t>RevPAR Canada</t>
  </si>
  <si>
    <t>Share Bought in Nov / Dec 2014</t>
  </si>
  <si>
    <t>Total Share Repurchases in 2014</t>
  </si>
  <si>
    <t>4Q</t>
  </si>
  <si>
    <t>3Q</t>
  </si>
  <si>
    <t>Shares Purchased YTD as of Oct 28, 2014</t>
  </si>
  <si>
    <t>MAR Dividends and Share Repurchases PR 2/12/15</t>
  </si>
  <si>
    <t>Total Shares Bought in 2014</t>
  </si>
  <si>
    <t>Shares Authorization Remaining as of Oct 28, 2014</t>
  </si>
  <si>
    <t>Shares Authorization Remaining as of Dec 31, 2014</t>
  </si>
  <si>
    <t>Additional Share Authorization per Feb 12, 2015 PR</t>
  </si>
  <si>
    <t>Shares Authorization Remaining as of Feb 12, 2015</t>
  </si>
  <si>
    <t>4Q14</t>
  </si>
  <si>
    <t>$0.68-0.72</t>
  </si>
  <si>
    <t>2014A</t>
  </si>
  <si>
    <t>1Q15</t>
  </si>
  <si>
    <t>$350-370</t>
  </si>
  <si>
    <t>$0.78-0.83</t>
  </si>
  <si>
    <t>$490-$500</t>
  </si>
  <si>
    <t>$55-$60</t>
  </si>
  <si>
    <t>WW System-wide RevPAR</t>
  </si>
  <si>
    <t>2Q15</t>
  </si>
  <si>
    <t>5.5-6.5%</t>
  </si>
  <si>
    <t>+4.5-5.5%</t>
  </si>
  <si>
    <t>$470-$480</t>
  </si>
  <si>
    <t>$50-$55</t>
  </si>
  <si>
    <t>$0.72-0.76</t>
  </si>
  <si>
    <t>2014 Revenue Growth</t>
  </si>
  <si>
    <t>Growth</t>
  </si>
  <si>
    <t>Owned Room Mix</t>
  </si>
  <si>
    <t>M+F Fee Mix</t>
  </si>
  <si>
    <t>LatAM / Caribbean</t>
  </si>
  <si>
    <t>Owned &amp; Leased Rooms</t>
  </si>
  <si>
    <t>Owned Revenue</t>
  </si>
  <si>
    <t>M+F Fee Revenue</t>
  </si>
  <si>
    <t>Company Operated RevPAR</t>
  </si>
  <si>
    <t>Owned Revenue Weighted</t>
  </si>
  <si>
    <t>% of Revenue Growth</t>
  </si>
  <si>
    <t>Adj EBITDA Margins</t>
  </si>
  <si>
    <t>Owned Margins</t>
  </si>
  <si>
    <t>Cycle Comparison</t>
  </si>
  <si>
    <t>3Q15</t>
  </si>
  <si>
    <t>$460-$470</t>
  </si>
  <si>
    <t>$1,876-$1,886</t>
  </si>
  <si>
    <t>$3.12-$3.16</t>
  </si>
  <si>
    <t>$0.74-0.78</t>
  </si>
  <si>
    <t>$1,360-$1,375</t>
  </si>
  <si>
    <t>$320-335</t>
  </si>
  <si>
    <t>$70-$75</t>
  </si>
  <si>
    <t>$247-252</t>
  </si>
  <si>
    <t>$175</t>
  </si>
  <si>
    <t>$621</t>
  </si>
  <si>
    <t>$1729-1749</t>
  </si>
  <si>
    <t>2.9% Series O Notes due Mar '21</t>
  </si>
  <si>
    <t>3.8% Series P Notes due Oct '25</t>
  </si>
  <si>
    <t>Revenue Synergies</t>
  </si>
  <si>
    <t>Pro Forma Shares</t>
  </si>
  <si>
    <t xml:space="preserve">Current Market Value </t>
  </si>
  <si>
    <t>Current Enterprise Value</t>
  </si>
  <si>
    <t>MAR Current Valuation</t>
  </si>
  <si>
    <t>HOT Current Valuation</t>
  </si>
  <si>
    <t>Transaction Details</t>
  </si>
  <si>
    <t>Total Transaction Cost</t>
  </si>
  <si>
    <t>Plus: Transaction Costs</t>
  </si>
  <si>
    <t>Plus: Transition Costs</t>
  </si>
  <si>
    <t>Total Enterprise Value</t>
  </si>
  <si>
    <t>HOT Market Value</t>
  </si>
  <si>
    <t>EV / 2016 EBITDA (excl. share based comp)</t>
  </si>
  <si>
    <t>EV / 2017 EBITDA (excl. share based comp)</t>
  </si>
  <si>
    <t>HOT Share Purchase Price</t>
  </si>
  <si>
    <t>MAR Cash Contribution for HOT</t>
  </si>
  <si>
    <t xml:space="preserve">MAR Share Price </t>
  </si>
  <si>
    <t>Shares Issued to Fund Deal</t>
  </si>
  <si>
    <t>Existing Shares</t>
  </si>
  <si>
    <t>EV / 2018 EBITDA (excl. share based comp)</t>
  </si>
  <si>
    <t>2016 Operating Free Cash Flow Yield</t>
  </si>
  <si>
    <t>2017 Operating Free Cash Flow Yield</t>
  </si>
  <si>
    <t>2018 Operating Free Cash Flow Yield</t>
  </si>
  <si>
    <t>2016 P / EPS</t>
  </si>
  <si>
    <t>2017 P / EPS</t>
  </si>
  <si>
    <t>2018 P / EPS</t>
  </si>
  <si>
    <t>Synergy Calculation</t>
  </si>
  <si>
    <t>HOT Estimated G&amp;A</t>
  </si>
  <si>
    <t xml:space="preserve">Estimated % that MAR Can Cut </t>
  </si>
  <si>
    <t>Cost Synergies</t>
  </si>
  <si>
    <t xml:space="preserve">RevPAR Index Gains </t>
  </si>
  <si>
    <t xml:space="preserve">Estimated Flow Through </t>
  </si>
  <si>
    <t>Total Synergies</t>
  </si>
  <si>
    <t>EV / 2016 EBITDA (excl. $90m amortization)</t>
  </si>
  <si>
    <t>EV / 2017 EBITDA (excl. $90m amortization)</t>
  </si>
  <si>
    <t>HOT Est. Operating Revenue (excluding Vistana)</t>
  </si>
  <si>
    <t xml:space="preserve">             </t>
  </si>
  <si>
    <t xml:space="preserve">            </t>
  </si>
  <si>
    <t>EBITDA ($mm)</t>
  </si>
  <si>
    <t>S-4</t>
  </si>
  <si>
    <t>Adj EBITDA</t>
  </si>
  <si>
    <t>Vistana</t>
  </si>
  <si>
    <t>Amortization of Def. Gains</t>
  </si>
  <si>
    <t>Comparable EBITDA</t>
  </si>
  <si>
    <t>S-4 Forecasts</t>
  </si>
  <si>
    <t>HOT</t>
  </si>
  <si>
    <t>Hotels Sold in 2015</t>
  </si>
  <si>
    <t>Combined (Pre-Synergies)</t>
  </si>
  <si>
    <t>Source: Consensus Metrix</t>
  </si>
  <si>
    <t>MAR 12/22/15 S-4 Forecasts</t>
  </si>
  <si>
    <t>Multiple
Contraction</t>
  </si>
  <si>
    <t>Multiple
Expansion</t>
  </si>
  <si>
    <t>Guidance, net (from Dec 2015 S-4)</t>
  </si>
  <si>
    <t>Guidance (per Dec 2015 S-4)</t>
  </si>
  <si>
    <t>$475-485</t>
  </si>
  <si>
    <t>$60-65</t>
  </si>
  <si>
    <t>$0.81-0.85</t>
  </si>
  <si>
    <t>$3.69-3.86</t>
  </si>
  <si>
    <t>RevPAR Grows
at 4.8% CAGR</t>
  </si>
  <si>
    <t>RevPAR Declines
at 6% CAGR</t>
  </si>
  <si>
    <t>MAR Stock Price</t>
  </si>
  <si>
    <t>_______</t>
  </si>
  <si>
    <t>4Q15</t>
  </si>
  <si>
    <t>IILG</t>
  </si>
  <si>
    <t>Vistana Share Value</t>
  </si>
  <si>
    <t>IILG Share Price</t>
  </si>
  <si>
    <t>IILG Shares</t>
  </si>
  <si>
    <t>Total IILG Value</t>
  </si>
  <si>
    <t>IILG's Share of Future Vistana Entity</t>
  </si>
  <si>
    <t>Total Implied Vistana Value</t>
  </si>
  <si>
    <t>HOT's Share of Future Vistana Entity</t>
  </si>
  <si>
    <t>HOT Value per share</t>
  </si>
  <si>
    <t>Pro Forma Share Count</t>
  </si>
  <si>
    <t>HOT Share of Share Count</t>
  </si>
  <si>
    <t>Implied # of Shares of IILG Receiving</t>
  </si>
  <si>
    <t>Revenue Estimate</t>
  </si>
  <si>
    <t>Geographic Exposure</t>
  </si>
  <si>
    <t>Comp. System-wide RevPAR (Actual USD)</t>
  </si>
  <si>
    <t>$0.96-1.00</t>
  </si>
  <si>
    <t>$495-510</t>
  </si>
  <si>
    <t>$520-530</t>
  </si>
  <si>
    <t>Shares Outstanding as of 1Q16</t>
  </si>
  <si>
    <t>Net Debt (as of 1Q16)</t>
  </si>
  <si>
    <t>HOT Issued Shares</t>
  </si>
  <si>
    <t>Plus: IILG Cash Contribution</t>
  </si>
  <si>
    <t>HOT Shares Outstanding as of 1Q16</t>
  </si>
  <si>
    <t>1Q16</t>
  </si>
  <si>
    <t>Shares Outstanding as of 2Q16</t>
  </si>
  <si>
    <t>Current Stock Price (as of 7/26/16)</t>
  </si>
  <si>
    <t>Net Debt (as of 2Q16)</t>
  </si>
  <si>
    <t>Manual Calculation</t>
  </si>
  <si>
    <t xml:space="preserve">$63.24 </t>
  </si>
  <si>
    <t xml:space="preserve">$79.66 </t>
  </si>
  <si>
    <t xml:space="preserve">$79.03 </t>
  </si>
  <si>
    <t xml:space="preserve">$72.32 </t>
  </si>
  <si>
    <t xml:space="preserve">$72.27 </t>
  </si>
  <si>
    <t xml:space="preserve">$75.78 </t>
  </si>
  <si>
    <t xml:space="preserve">$65.43 </t>
  </si>
  <si>
    <t>2.3% Series Q Notes due 2022</t>
  </si>
  <si>
    <t>3.125% Series R Notes due 2026</t>
  </si>
  <si>
    <t>+3-4%</t>
  </si>
  <si>
    <t>3-4%</t>
  </si>
  <si>
    <t>$495-500</t>
  </si>
  <si>
    <t>$476-481</t>
  </si>
  <si>
    <t>Accretion Calculation</t>
  </si>
  <si>
    <t>9/8/14 Analyst Day</t>
  </si>
  <si>
    <t>239-246m</t>
  </si>
  <si>
    <t>12/22/15 S-4</t>
  </si>
  <si>
    <t>Midpoint</t>
  </si>
  <si>
    <t>2Q16</t>
  </si>
  <si>
    <t>Pro-forma PT</t>
  </si>
  <si>
    <t>OLD MAR-Reported Adjusted EBITDA</t>
  </si>
  <si>
    <t>Sheraton</t>
  </si>
  <si>
    <t xml:space="preserve">Westin </t>
  </si>
  <si>
    <t>Four Points</t>
  </si>
  <si>
    <t>W</t>
  </si>
  <si>
    <t>Luxury Collection</t>
  </si>
  <si>
    <t>St. Regis</t>
  </si>
  <si>
    <t>Le Meridien</t>
  </si>
  <si>
    <t>Aloft</t>
  </si>
  <si>
    <t>element</t>
  </si>
  <si>
    <t>Tribute</t>
  </si>
  <si>
    <t>aloft</t>
  </si>
  <si>
    <t xml:space="preserve">          </t>
  </si>
  <si>
    <t xml:space="preserve">               </t>
  </si>
  <si>
    <t xml:space="preserve">                 </t>
  </si>
  <si>
    <t xml:space="preserve">         </t>
  </si>
  <si>
    <t>% change, y/y</t>
  </si>
  <si>
    <t>Westin</t>
  </si>
  <si>
    <t>St.Regis / Luxury Collection</t>
  </si>
  <si>
    <t>RevPAR Growth (MAR/HOT)</t>
  </si>
  <si>
    <t>MAR Owned revs</t>
  </si>
  <si>
    <t>MAR Expenses</t>
  </si>
  <si>
    <t>HOT Owned revs</t>
  </si>
  <si>
    <t>HOT Expenses</t>
  </si>
  <si>
    <t>Total Owned Expenses</t>
  </si>
  <si>
    <t>Total Owned revs</t>
  </si>
  <si>
    <t>Vacation Ownership</t>
  </si>
  <si>
    <t>MAR G&amp;A</t>
  </si>
  <si>
    <t>HOT G&amp;A</t>
  </si>
  <si>
    <t xml:space="preserve">  % MAR growth, y-o-y</t>
  </si>
  <si>
    <t xml:space="preserve">  % HOT growth, y-o-y</t>
  </si>
  <si>
    <t>MAR Cost reimbursements</t>
  </si>
  <si>
    <t>HOT Cost reimbursements</t>
  </si>
  <si>
    <t>Total Cost reimbursements</t>
  </si>
  <si>
    <t>Senior Notes @ 7.15% due Dec. '19</t>
  </si>
  <si>
    <t>Senior Notes @ 3.125% due '23</t>
  </si>
  <si>
    <t>Senior Notes @ 3.75% due '25</t>
  </si>
  <si>
    <t>Senior Notes @ 4.50% due '34</t>
  </si>
  <si>
    <t>Senior Notes @ 6.75% due May '18</t>
  </si>
  <si>
    <t>Interest Earned on Mezzanine Loans Excl. Le Meridien</t>
  </si>
  <si>
    <t>Mortgages and Other</t>
  </si>
  <si>
    <t>Less: MAR cash and equivalents</t>
  </si>
  <si>
    <t>MAR Cash and equivalents</t>
  </si>
  <si>
    <t>HOT Other Debt</t>
  </si>
  <si>
    <t>HOT Net Debt as of 2Q16</t>
  </si>
  <si>
    <t>PF for HOT acquisition beginning in 4Q16</t>
  </si>
  <si>
    <t>MAR Legacy</t>
  </si>
  <si>
    <t>HOT Legacy</t>
  </si>
  <si>
    <t>Combined</t>
  </si>
  <si>
    <t>% organic growth, total (y-o-y)</t>
  </si>
  <si>
    <t>Total Revenue (Pro Forma for HOT in 4Q16)</t>
  </si>
  <si>
    <t>Legacy HOT Total Revenue</t>
  </si>
  <si>
    <t>EBITDA (Legacy MAR)</t>
  </si>
  <si>
    <t>EBITDA (Legacy HOT)</t>
  </si>
  <si>
    <t>EBITDA(Pro Forma)</t>
  </si>
  <si>
    <t>Legacy MAR Base Management Fees</t>
  </si>
  <si>
    <t>Legacy HOT Base Management Fees</t>
  </si>
  <si>
    <t>Base Management Fees (Pro Forma)</t>
  </si>
  <si>
    <t>Legacy MAR Incentive Management Fees</t>
  </si>
  <si>
    <t>Legacy HOT Incentive Management Fees</t>
  </si>
  <si>
    <t>Incentive Management Fees (Pro Forma)</t>
  </si>
  <si>
    <t xml:space="preserve">  % growth (legacy MAR), y-o-y</t>
  </si>
  <si>
    <t>Legacy MAR Franchise fees</t>
  </si>
  <si>
    <t>Franchise Fees (Pro Forma)</t>
  </si>
  <si>
    <t>Historical Pro Forma RevPAR</t>
  </si>
  <si>
    <t>3Q16</t>
  </si>
  <si>
    <t>Latam / Caribbean</t>
  </si>
  <si>
    <t>MAR Rooms</t>
  </si>
  <si>
    <t>MAR RevPAR</t>
  </si>
  <si>
    <t>HOT Rooms</t>
  </si>
  <si>
    <t>HOT RevPAR</t>
  </si>
  <si>
    <t>Pro Forma Rooms</t>
  </si>
  <si>
    <t>Wtd Avg. RevPAR</t>
  </si>
  <si>
    <t>Middle East</t>
  </si>
  <si>
    <t>HOT Rooms (ex. China)</t>
  </si>
  <si>
    <t>HOT RevPAR (ex. China)</t>
  </si>
  <si>
    <t>HOT Rooms (China)</t>
  </si>
  <si>
    <t>HOT RevPAR (China)</t>
  </si>
  <si>
    <t>% organic, y-o-y</t>
  </si>
  <si>
    <t>Pro Forma Managed Room Revs</t>
  </si>
  <si>
    <t>Subtotal - US</t>
  </si>
  <si>
    <t>Legacy HOT Managed Room Revs - NA</t>
  </si>
  <si>
    <t>Pro Forma Managed Room Revs - US</t>
  </si>
  <si>
    <t>Legacy HOT Managed Room Revs - Int'l</t>
  </si>
  <si>
    <t>Plus: Legacy HOT share-based comp</t>
  </si>
  <si>
    <t>% organic change, y-o-y</t>
  </si>
  <si>
    <t>Legacy HOT M&amp;F Revenue</t>
  </si>
  <si>
    <t>% organic growth, M&amp;F (y-o-y)</t>
  </si>
  <si>
    <t>% change, organic</t>
  </si>
  <si>
    <t>Legacy HOT Adjusted EBITDA</t>
  </si>
  <si>
    <t>% organic growth (y-o-y)</t>
  </si>
  <si>
    <t>Historical Pro Forma EBITDA</t>
  </si>
  <si>
    <t>Legacy HOT Net Income</t>
  </si>
  <si>
    <t>Historical Pro Forma Net Income</t>
  </si>
  <si>
    <t>Historical Pro Forma EPS</t>
  </si>
  <si>
    <t>Historical Pro Forma M&amp;F Revenue</t>
  </si>
  <si>
    <t>Historical Pro Forma Total Revenue</t>
  </si>
  <si>
    <t>Historical HOT Other M&amp;F Fees</t>
  </si>
  <si>
    <t>Total Fee Revenue (Pro Forma)</t>
  </si>
  <si>
    <t>MAR Base % growth, y-o-y</t>
  </si>
  <si>
    <t>MAR Franchise % growth, y-o-y</t>
  </si>
  <si>
    <t>MAR Incentive % growth, y-o-y</t>
  </si>
  <si>
    <t>HOT Base % growth, y-o-y</t>
  </si>
  <si>
    <t>HOT Incentive % growth, y-o-y</t>
  </si>
  <si>
    <t>HOT Franchise % growth, y-o-y</t>
  </si>
  <si>
    <t>HOT Other M&amp;F % growth, y-o-y</t>
  </si>
  <si>
    <t>Adjusted G&amp;A (Pro Forma)</t>
  </si>
  <si>
    <t>Future lease obligations - 2014 10K</t>
  </si>
  <si>
    <t>Debt guarantees - 2014 10K</t>
  </si>
  <si>
    <t>Debt guarantees - 2015 10K</t>
  </si>
  <si>
    <t>YE15</t>
  </si>
  <si>
    <t>YE14</t>
  </si>
  <si>
    <t>Capitalized Leases - Legacy MAR</t>
  </si>
  <si>
    <t>Capitalized Leases - Legacy HOT</t>
  </si>
  <si>
    <t>MAR Future lease obligations - 2015 10K</t>
  </si>
  <si>
    <t>HOT Future lease obligations - 2015 10K</t>
  </si>
  <si>
    <t>$150-155m</t>
  </si>
  <si>
    <t>$695-705</t>
  </si>
  <si>
    <t>+0-1%</t>
  </si>
  <si>
    <t>Base Fees - Pro Forma</t>
  </si>
  <si>
    <t>Base Fees - Legacy HOT</t>
  </si>
  <si>
    <t>Franchise Fees - Legacy MAR</t>
  </si>
  <si>
    <t>Franchise Fees - Legacy HOT</t>
  </si>
  <si>
    <t>Franchise Fees - Pro Forma</t>
  </si>
  <si>
    <t>Adjustments</t>
  </si>
  <si>
    <t>Incentive Fees - Legacy MAR</t>
  </si>
  <si>
    <t>Incentive Fees - Legacy HOT</t>
  </si>
  <si>
    <t>Incentive Fees - Pro Forma</t>
  </si>
  <si>
    <t>$0.80-0.85</t>
  </si>
  <si>
    <t>Legacy HOT Franchise Fees (incl. Adjustments)</t>
  </si>
  <si>
    <t>0-1%</t>
  </si>
  <si>
    <t>Base Fees - Legacy MAR</t>
  </si>
  <si>
    <t>Legacy Starwood</t>
  </si>
  <si>
    <t>Value per share</t>
  </si>
  <si>
    <t>Equity Value</t>
  </si>
  <si>
    <t>Less: Net Debt (incl JV debt)</t>
  </si>
  <si>
    <t>Managed / Franchised</t>
  </si>
  <si>
    <t>Current diluted shares</t>
  </si>
  <si>
    <t>Real estate value per share</t>
  </si>
  <si>
    <t>Leased</t>
  </si>
  <si>
    <t>Ex Leased</t>
  </si>
  <si>
    <t>Total owned real estate value</t>
  </si>
  <si>
    <t>Milan</t>
  </si>
  <si>
    <t xml:space="preserve">Sheraton Diana Majestic Hotel, Milan </t>
  </si>
  <si>
    <t>Fiji</t>
  </si>
  <si>
    <t>Nadi</t>
  </si>
  <si>
    <t xml:space="preserve">Sheraton Fiji Resort </t>
  </si>
  <si>
    <t>Lima</t>
  </si>
  <si>
    <t xml:space="preserve">Sheraton Lima Hotel &amp; Convention Center </t>
  </si>
  <si>
    <t>Toronto</t>
  </si>
  <si>
    <t xml:space="preserve">Sheraton Gateway Hotel in Toronto International Airport </t>
  </si>
  <si>
    <t>Rio de Janeiro</t>
  </si>
  <si>
    <t xml:space="preserve">Sheraton Rio Hotel &amp; Resort </t>
  </si>
  <si>
    <t>Buenos Aires</t>
  </si>
  <si>
    <t xml:space="preserve">Sheraton Buenos Aires Hotel &amp; Convention Center </t>
  </si>
  <si>
    <t>Mexico City</t>
  </si>
  <si>
    <t xml:space="preserve">Sheraton Maria Isabel Hotel &amp; Towers </t>
  </si>
  <si>
    <t>Montreal</t>
  </si>
  <si>
    <t xml:space="preserve">Le Centre Sheraton Montreal Hotel </t>
  </si>
  <si>
    <t xml:space="preserve">Sheraton Centre Toronto Hotel </t>
  </si>
  <si>
    <t xml:space="preserve">The Westin Denarau Island Resort </t>
  </si>
  <si>
    <t>England</t>
  </si>
  <si>
    <t>London</t>
  </si>
  <si>
    <t xml:space="preserve">W London – Leicester Square </t>
  </si>
  <si>
    <t>1/30/14: MAR sold lease in Renaissance Barcelona for $498k/key</t>
  </si>
  <si>
    <t>Barcelona</t>
  </si>
  <si>
    <t xml:space="preserve">W Barcelona </t>
  </si>
  <si>
    <t>Lux Collection</t>
  </si>
  <si>
    <t>San Sebastian</t>
  </si>
  <si>
    <t xml:space="preserve">Hotel Maria Cristina, San Sebastian </t>
  </si>
  <si>
    <t>Seville</t>
  </si>
  <si>
    <t xml:space="preserve">Hotel Alfonso XIII, Seville </t>
  </si>
  <si>
    <t xml:space="preserve">Park Tower, Buenos Aires </t>
  </si>
  <si>
    <t>Osaka</t>
  </si>
  <si>
    <t xml:space="preserve">St. Regis Osaka </t>
  </si>
  <si>
    <t>12/2013 Renaissance Chicago Dtown $251k/key; 5/2012 Wyndham Chicago (upper up) $212k/key, 2006 Westin $286k/key and House of Blues $312k/key</t>
  </si>
  <si>
    <t>IL</t>
  </si>
  <si>
    <t>Chicago</t>
  </si>
  <si>
    <t xml:space="preserve">The Tremont Chicago Hotel at Magnificent Mile </t>
  </si>
  <si>
    <t>4/2013 Hyatt Regency Waikki Beach sold for $366k/key; 3/2014 Ritz Carlton Kapalua $432k/key</t>
  </si>
  <si>
    <t>HI</t>
  </si>
  <si>
    <t>Maui</t>
  </si>
  <si>
    <t xml:space="preserve">The Westin Maui Resort &amp; Spa, Ka’anapali </t>
  </si>
  <si>
    <t>1/2013 Atlanta Marriott Marquis sold for $176k/key; Westin was recently renovated</t>
  </si>
  <si>
    <t>GA</t>
  </si>
  <si>
    <t>Atlanta</t>
  </si>
  <si>
    <t>The Westin Peachtree Plaza</t>
  </si>
  <si>
    <t>4/2013 Hyatt Union Sq $567k/key</t>
  </si>
  <si>
    <t>NY</t>
  </si>
  <si>
    <t>New York</t>
  </si>
  <si>
    <t xml:space="preserve">W New York – Times Square </t>
  </si>
  <si>
    <t>9/2012 Essex House $698k/key, 2/2012 Cassa House  $787k/key, Knickerbocker $697k/key</t>
  </si>
  <si>
    <t xml:space="preserve">The St. Regis New York </t>
  </si>
  <si>
    <t>Value (mm)</t>
  </si>
  <si>
    <t>Price/Key</t>
  </si>
  <si>
    <t>Notes:</t>
  </si>
  <si>
    <t>State / Country</t>
  </si>
  <si>
    <t>City</t>
  </si>
  <si>
    <t>HOT NAV (as of Dec 2014)</t>
  </si>
  <si>
    <t>2018e EBITDA</t>
  </si>
  <si>
    <t>Remaining Owned &amp; Leased</t>
  </si>
  <si>
    <t>% Pro Forma Change</t>
  </si>
  <si>
    <t>Pro Forma</t>
  </si>
  <si>
    <t>EDITION Residences</t>
  </si>
  <si>
    <t>Bulgari Residences</t>
  </si>
  <si>
    <t>Ritz Carlton Serviced Apartments</t>
  </si>
  <si>
    <t>Legacy Starwood (ex Vacation Ownership &amp; Other)</t>
  </si>
  <si>
    <t>Implied EBITDA multiple</t>
  </si>
  <si>
    <t>MAR EBITDA Mix</t>
  </si>
  <si>
    <t>Base Mgmt Fees</t>
  </si>
  <si>
    <t>Incentive Mgmt Fees</t>
  </si>
  <si>
    <t>Owned, Leased &amp; Other</t>
  </si>
  <si>
    <t>M&amp;F Rooms</t>
  </si>
  <si>
    <t>MAR Growth (%)</t>
  </si>
  <si>
    <t>CHH Growth (%)</t>
  </si>
  <si>
    <t>EBITDA for consensus</t>
  </si>
  <si>
    <t>Delta</t>
  </si>
  <si>
    <t>Toggle</t>
  </si>
  <si>
    <t>W Hotels (Luxury)</t>
  </si>
  <si>
    <t>JW Marriott (Luxury)</t>
  </si>
  <si>
    <t>North American Luxury</t>
  </si>
  <si>
    <t>Sheraton (Upper Upscale)</t>
  </si>
  <si>
    <t>Westin (Upper Upscale)</t>
  </si>
  <si>
    <t>North American Upper Upscale</t>
  </si>
  <si>
    <t>Franchise Fees (Pro Forma and adjusted for reclassification)</t>
  </si>
  <si>
    <t>Implied Branding Fee Reclassification</t>
  </si>
  <si>
    <t>Total Owned Revs (PF and Adjusted for Fee Reclassification</t>
  </si>
  <si>
    <t>EBITDA (PF and Adjusted for Fee Reclassification)</t>
  </si>
  <si>
    <t>$740-750</t>
  </si>
  <si>
    <t>Total Fee Revenue (Pro Forma including fee reclassification)</t>
  </si>
  <si>
    <t>$60-70</t>
  </si>
  <si>
    <t>$225-230m</t>
  </si>
  <si>
    <t>$0.87-0.91</t>
  </si>
  <si>
    <t>Legacy MAR RevPAR</t>
  </si>
  <si>
    <t>Pro Forma RevPAR</t>
  </si>
  <si>
    <t>Pro Forma ADR</t>
  </si>
  <si>
    <t>Legacy ADR</t>
  </si>
  <si>
    <t>Pro Forma Occupancy</t>
  </si>
  <si>
    <t>Legacy Occupancy</t>
  </si>
  <si>
    <t>Legacy RevPAR (North America)</t>
  </si>
  <si>
    <t>Pro Forma RevPAR (North America)</t>
  </si>
  <si>
    <t>1-3%</t>
  </si>
  <si>
    <t>+1-2%</t>
  </si>
  <si>
    <t>Pro Forma Franchise Revs (US)</t>
  </si>
  <si>
    <t>4Q16</t>
  </si>
  <si>
    <t>$3,505-3,735m</t>
  </si>
  <si>
    <t>Other / Ritz-Carlton &amp; Edition Residences</t>
  </si>
  <si>
    <t>Unconsolidated JVs</t>
  </si>
  <si>
    <t>Other / Ritz-Carlton Residences, Serviced Apts, and Bulgari Residences</t>
  </si>
  <si>
    <t>JW Marriott Managed &amp; Franchised (Domestic)</t>
  </si>
  <si>
    <t>JW Marriott Managed &amp; Franchised (International)</t>
  </si>
  <si>
    <t>Fairfield Inn Managed &amp; Franchised (International)</t>
  </si>
  <si>
    <t>$240-270m</t>
  </si>
  <si>
    <t xml:space="preserve">Total Debt prior 2016 / Net Debt (Excess Cash) from 2016 </t>
  </si>
  <si>
    <t>Excess Cash &gt;$100mm prior 2016 / &gt;$265m post 2016</t>
  </si>
  <si>
    <t>Purchase Price Accounting Debt Step-Up</t>
  </si>
  <si>
    <t>Inputed Interest and Depreciation on Operating Leases</t>
  </si>
  <si>
    <t>$5.25-5.80</t>
  </si>
  <si>
    <t>2019e EPS impact of tax reform</t>
  </si>
  <si>
    <t>Pre-tax / interest Income</t>
  </si>
  <si>
    <t>Taxes due</t>
  </si>
  <si>
    <t>Diluted shares</t>
  </si>
  <si>
    <t>Tax Reform</t>
  </si>
  <si>
    <t>Capex deduction</t>
  </si>
  <si>
    <t>Total Credit Card Spend</t>
  </si>
  <si>
    <t>Total CC Spend @ MAR</t>
  </si>
  <si>
    <t>MAR Share of Tot Spend</t>
  </si>
  <si>
    <t>% CC Spend @ MAR</t>
  </si>
  <si>
    <t>MAR % Share of Tot Spend</t>
  </si>
  <si>
    <t>$mn</t>
  </si>
  <si>
    <t xml:space="preserve">           </t>
  </si>
  <si>
    <t>Increment</t>
  </si>
  <si>
    <t>Merchant Fee (MAR's Credit Card Expense)</t>
  </si>
  <si>
    <t>% Fee</t>
  </si>
  <si>
    <t>% Share</t>
  </si>
  <si>
    <t>Exp. Save</t>
  </si>
  <si>
    <t>Tot Fee</t>
  </si>
  <si>
    <t>MAR Fee</t>
  </si>
  <si>
    <t>Rev. Gain</t>
  </si>
  <si>
    <t>Total CC Spend</t>
  </si>
  <si>
    <t>Expense Save</t>
  </si>
  <si>
    <t>CC Fees to MAR before Exp. Save</t>
  </si>
  <si>
    <t>Tot CC Fees to MAR After Exp. Save</t>
  </si>
  <si>
    <t xml:space="preserve">Incremental Fees </t>
  </si>
  <si>
    <t>CC Fees to MAR excl. Merchant Fees</t>
  </si>
  <si>
    <t>Expense Save to MAR P&amp;L</t>
  </si>
  <si>
    <t>% Share to MAR P&amp;L of Tot Spend</t>
  </si>
  <si>
    <t>Scenario: 1.5% merchant fee and 2.7% RSA</t>
  </si>
  <si>
    <t>Incremental Fees to MAR</t>
  </si>
  <si>
    <t>Revenue Share %</t>
  </si>
  <si>
    <t>RSA %</t>
  </si>
  <si>
    <t>Savings on Merchant Fee %</t>
  </si>
  <si>
    <t>Merchant Fee % Savings</t>
  </si>
  <si>
    <t>Costco</t>
  </si>
  <si>
    <t>Members</t>
  </si>
  <si>
    <t>In-Store</t>
  </si>
  <si>
    <t>Spend/Member ($)</t>
  </si>
  <si>
    <t xml:space="preserve">Similar to what we reported in our first quarter results, the Citi Visa co-brand credit card program, which went live last June 20, positively impact our margins by 16 basis points, our SG&amp;A expenses by 24 basis points as compared to a year earlier, and our overall bottom line in Q2 benefiting earnings by $0.16 a share. </t>
  </si>
  <si>
    <t>CC/Sale (%)</t>
  </si>
  <si>
    <t>Southwest</t>
  </si>
  <si>
    <t>Fee/EBITDA (%)</t>
  </si>
  <si>
    <t>Loyalty</t>
  </si>
  <si>
    <t>Cardholders</t>
  </si>
  <si>
    <t>Penetration (%)</t>
  </si>
  <si>
    <t>Nordstrom</t>
  </si>
  <si>
    <t>Banana Republic</t>
  </si>
  <si>
    <t>Bloomingdale's</t>
  </si>
  <si>
    <t>Saks Fifth Avenue</t>
  </si>
  <si>
    <t>Neiman Marcus</t>
  </si>
  <si>
    <t>Fees/Purchase (%)</t>
  </si>
  <si>
    <t>Fees Earned ($mn)</t>
  </si>
  <si>
    <t>Purchase Amt ($mn)</t>
  </si>
  <si>
    <t>2017 Increase in Loyalty Members</t>
  </si>
  <si>
    <t>CC Penetration Rate (%)</t>
  </si>
  <si>
    <t>New Penetration Rate (%)</t>
  </si>
  <si>
    <t>2017 Cardholders</t>
  </si>
  <si>
    <t>2017 Incremental Cardholders</t>
  </si>
  <si>
    <t>Total CC Spend ($m)</t>
  </si>
  <si>
    <t>Avg Spend/Cardholder ($)</t>
  </si>
  <si>
    <t>Loyalty Members (m)</t>
  </si>
  <si>
    <t>CC Holders (m)</t>
  </si>
  <si>
    <t>2017 Incremental Total CC Spend ($m)</t>
  </si>
  <si>
    <t>Fees to MAR P&amp;L/Total Fees</t>
  </si>
  <si>
    <t>Total Fees/Total Spend (%)</t>
  </si>
  <si>
    <t>Incremental Total Fees Earned</t>
  </si>
  <si>
    <t>Incremental Fees to MAR P&amp;L ($m)</t>
  </si>
  <si>
    <t>Fees as % 
of Tot Spend</t>
  </si>
  <si>
    <t>Incremental
Branding Fees ($mn)</t>
  </si>
  <si>
    <t>Incremental 
Branding Fees ($mn)</t>
  </si>
  <si>
    <t>CC Penetration 
Rate on New Members(%)</t>
  </si>
  <si>
    <t>Save</t>
  </si>
  <si>
    <t>Hotel Owner</t>
  </si>
  <si>
    <t>$795-815m</t>
  </si>
  <si>
    <t>$820-835</t>
  </si>
  <si>
    <t>$90</t>
  </si>
  <si>
    <t>$0.99-1.03</t>
  </si>
  <si>
    <t>2017 EBITDA Guidance</t>
  </si>
  <si>
    <t>Original Guidance</t>
  </si>
  <si>
    <t>Updated Guidance</t>
  </si>
  <si>
    <t>Implied Guidance Raise</t>
  </si>
  <si>
    <t xml:space="preserve">1Q Beat vs. MSe </t>
  </si>
  <si>
    <t>Less: Lost EBITDA from Maui in 2Q-4Q</t>
  </si>
  <si>
    <t>Plus: Lower SG&amp;A</t>
  </si>
  <si>
    <t>Less: Lower stock comp add back</t>
  </si>
  <si>
    <t>Increased RevPAR 2Q-4Q</t>
  </si>
  <si>
    <t>Total estimate change</t>
  </si>
  <si>
    <t>Actual change</t>
  </si>
  <si>
    <t>1Q17</t>
  </si>
  <si>
    <t>Application, Relicensing, Credit Card, 
Timeshare &amp; Branding Fees  ($mn)</t>
  </si>
  <si>
    <t>3-yr Compounded
 Growth Rate</t>
  </si>
  <si>
    <t>'16-'19e 
CAGR</t>
  </si>
  <si>
    <t>Starwood-Amex Total Card Spend Spend ($mn)</t>
  </si>
  <si>
    <t>Implied contribution to Starwood ($mn)</t>
  </si>
  <si>
    <t>Implied Contribution Rate (%)</t>
  </si>
  <si>
    <t>Marriott-Chase Total Card Spend Spend ($mn)</t>
  </si>
  <si>
    <t>Implied contribution to Marriott ($mn)</t>
  </si>
  <si>
    <t>Branding Fee attributable to Marriott holdco ($mn)</t>
  </si>
  <si>
    <t>Branding Fee attributable to Starwood holdco ($mn)</t>
  </si>
  <si>
    <t>Starwood</t>
  </si>
  <si>
    <t>Contribution Rate</t>
  </si>
  <si>
    <t>% of Branding Fees to Holdco</t>
  </si>
  <si>
    <t>Branding Fee to Marriott holdco ($mn)</t>
  </si>
  <si>
    <t>Amex contribution to program ($mn)</t>
  </si>
  <si>
    <t>Chase contribution to program ($mn)</t>
  </si>
  <si>
    <t>Incremental Branding Fees ($mn)</t>
  </si>
  <si>
    <t>Total Branding Fees ($mn)</t>
  </si>
  <si>
    <t>Scenarios</t>
  </si>
  <si>
    <t>Combined Marriott-Starwood Programs</t>
  </si>
  <si>
    <t xml:space="preserve">Delta </t>
  </si>
  <si>
    <t>&gt;100</t>
  </si>
  <si>
    <t>Contributions from co-brand partner ($B)</t>
  </si>
  <si>
    <t>Co-brand cardholders as % of loyalty members</t>
  </si>
  <si>
    <t>Branding fees ($m)</t>
  </si>
  <si>
    <t xml:space="preserve">Contributions as % of total co-brand card spend </t>
  </si>
  <si>
    <t>Branding fees as % of total contributions</t>
  </si>
  <si>
    <t>2016 co-brand total card spend ($B)</t>
  </si>
  <si>
    <t>2016 co-brand in-store card spend ($B)</t>
  </si>
  <si>
    <t># of loyalty members (m)</t>
  </si>
  <si>
    <t>Contributions from Co-brand Partners</t>
  </si>
  <si>
    <t>Incremental branding fees ($m)</t>
  </si>
  <si>
    <t>Base case value per share</t>
  </si>
  <si>
    <t>Incremental IMFs ($m)</t>
  </si>
  <si>
    <t>MAR Potential Upside from Credit Card Renegotiations</t>
  </si>
  <si>
    <t>Bull case value per share</t>
  </si>
  <si>
    <t>Total fees</t>
  </si>
  <si>
    <t xml:space="preserve">                       </t>
  </si>
  <si>
    <t>Multiple for fees</t>
  </si>
  <si>
    <t>Current Contributions to System</t>
  </si>
  <si>
    <t>Contribution % of Spend</t>
  </si>
  <si>
    <t>MAR Branding Fees</t>
  </si>
  <si>
    <t>Branding Fees % Contribution</t>
  </si>
  <si>
    <t>Key Assumptions for Branding Fees</t>
  </si>
  <si>
    <t>Key Assumptions for IMFs</t>
  </si>
  <si>
    <t>Total System Spend</t>
  </si>
  <si>
    <t>Current Co-Brand Card Spend</t>
  </si>
  <si>
    <t>Estimated Single CC Mix</t>
  </si>
  <si>
    <t>Est. Transaction Fee %</t>
  </si>
  <si>
    <t>Base Case (Contribution rate 3.0%; Txn Fee 1.5%)</t>
  </si>
  <si>
    <t>Current Single CC Spend</t>
  </si>
  <si>
    <t>Est. Transaction Fees</t>
  </si>
  <si>
    <t>Incentive Mgmt Fee Rate</t>
  </si>
  <si>
    <t>Bull Case (Contribution rate 3.5%; Txn Fee 1.0%)</t>
  </si>
  <si>
    <t>Owned hotel expense savings ($m)</t>
  </si>
  <si>
    <t>Franchise Rooms</t>
  </si>
  <si>
    <t>Managed Mix</t>
  </si>
  <si>
    <t>Owned Mix</t>
  </si>
  <si>
    <t>Base case value from fees</t>
  </si>
  <si>
    <t>Owned multiple</t>
  </si>
  <si>
    <t>Base case value from owned hotels</t>
  </si>
  <si>
    <t>Total incremental value</t>
  </si>
  <si>
    <t>Bull case value from fees</t>
  </si>
  <si>
    <t>Bull case value from owned hotels</t>
  </si>
  <si>
    <t>Current co-brand card contribution ($m)</t>
  </si>
  <si>
    <t>Current co-brand card branding fees ($m)</t>
  </si>
  <si>
    <t>Branding Fees</t>
  </si>
  <si>
    <t xml:space="preserve">Total Contribution </t>
  </si>
  <si>
    <t>Incremental CC branding fees</t>
  </si>
  <si>
    <r>
      <t>&gt;92</t>
    </r>
    <r>
      <rPr>
        <vertAlign val="superscript"/>
        <sz val="10"/>
        <color indexed="12"/>
        <rFont val="Arial"/>
        <family val="2"/>
      </rPr>
      <t>1</t>
    </r>
  </si>
  <si>
    <t>Co-brand card: Base case at 3% contribution rate</t>
  </si>
  <si>
    <t>Co-brand card: Bull case at 3.5% contribution rate</t>
  </si>
  <si>
    <t>Incremental contribution ($m)</t>
  </si>
  <si>
    <t>$810-825</t>
  </si>
  <si>
    <t>$0.96-0.99</t>
  </si>
  <si>
    <t>$770-790m</t>
  </si>
  <si>
    <t>Group Pace</t>
  </si>
  <si>
    <t>Current Year</t>
  </si>
  <si>
    <t>Next Year</t>
  </si>
  <si>
    <t>% on Books</t>
  </si>
  <si>
    <t>Special Corporate Business</t>
  </si>
  <si>
    <t>Next Year Rate Growth</t>
  </si>
  <si>
    <t>LSD</t>
  </si>
  <si>
    <t>MSD</t>
  </si>
  <si>
    <t>&lt;1.5%</t>
  </si>
  <si>
    <t>up modestly</t>
  </si>
  <si>
    <t>down modestly</t>
  </si>
  <si>
    <t>HSD</t>
  </si>
  <si>
    <t>1Q18E</t>
  </si>
  <si>
    <t>2Q18E</t>
  </si>
  <si>
    <t>3Q18E</t>
  </si>
  <si>
    <t>4Q18E</t>
  </si>
  <si>
    <t>YE17</t>
  </si>
  <si>
    <t>YE18</t>
  </si>
  <si>
    <t>2Q17</t>
  </si>
  <si>
    <t>3Q17</t>
  </si>
  <si>
    <t>Other / Ritz Carlton Residences</t>
  </si>
  <si>
    <t>$4.22-4.24</t>
  </si>
  <si>
    <t>$0.98-1.00</t>
  </si>
  <si>
    <t>$877-882m</t>
  </si>
  <si>
    <t>$240-245m</t>
  </si>
  <si>
    <t>$825-835</t>
  </si>
  <si>
    <t>$3,287-3,297m</t>
  </si>
  <si>
    <t>$762-777m</t>
  </si>
  <si>
    <t>$3,177-3,192m</t>
  </si>
  <si>
    <t>2-3%</t>
  </si>
  <si>
    <t>5%</t>
  </si>
  <si>
    <t>5.5-6%</t>
  </si>
  <si>
    <t>Less: Avendra Proceeds To Be Reinvested into System</t>
  </si>
  <si>
    <t>Sold in 2017</t>
  </si>
  <si>
    <t>Charlotte Marriott City Center</t>
  </si>
  <si>
    <t>Charlotte</t>
  </si>
  <si>
    <t>NC</t>
  </si>
  <si>
    <t>sold on 6/1/2017</t>
  </si>
  <si>
    <t>sold on 10/17/2017</t>
  </si>
  <si>
    <t>Fees to rest of MAR's System</t>
  </si>
  <si>
    <t>Base to Bull Forecasts</t>
  </si>
  <si>
    <t>Avg Shares</t>
  </si>
  <si>
    <t>Net Debt/EBITDA</t>
  </si>
  <si>
    <t>Pre-Tax Income</t>
  </si>
  <si>
    <t>Bull Case Credit Card Fees</t>
  </si>
  <si>
    <t>Current Taxes</t>
  </si>
  <si>
    <t>Rate</t>
  </si>
  <si>
    <t>New Rate</t>
  </si>
  <si>
    <t>Pro Forma Taxes</t>
  </si>
  <si>
    <t>Savings</t>
  </si>
  <si>
    <t>Base Incremental CC Fees</t>
  </si>
  <si>
    <t>Bull Incremental CC Fees</t>
  </si>
  <si>
    <t>Additional EBITDA</t>
  </si>
  <si>
    <t>EPS benefit, assumes uses FCF to buyback stock at $150</t>
  </si>
  <si>
    <t>EPS benefit, assumes levers additional EBITDA 3x and uses FCF to buyback stock at $150</t>
  </si>
  <si>
    <t>Base Case EPS</t>
  </si>
  <si>
    <t>Bull Case EPS</t>
  </si>
  <si>
    <t>($m)</t>
  </si>
  <si>
    <t xml:space="preserve">Base </t>
  </si>
  <si>
    <t xml:space="preserve">Bull </t>
  </si>
  <si>
    <t>Equity value per share, 2019E</t>
  </si>
  <si>
    <t>% Upside</t>
  </si>
  <si>
    <t>Fees as a % of Total Spend</t>
  </si>
  <si>
    <t>Sensitivity Analysis: Incremental Credit Card Fees to MAR</t>
  </si>
  <si>
    <t>Sensitivity Analysis: Incremental EPS to MAR from Increased Credit Card Fees</t>
  </si>
  <si>
    <t>Franchise Fee growth</t>
  </si>
  <si>
    <t xml:space="preserve">MSe </t>
  </si>
  <si>
    <t>% of Fees to MAR</t>
  </si>
  <si>
    <t>4Q17A</t>
  </si>
  <si>
    <t>2017A</t>
  </si>
  <si>
    <t>6+1+2+1</t>
  </si>
  <si>
    <t>$3,535-3,620m</t>
  </si>
  <si>
    <t>$3,315-3,420m</t>
  </si>
  <si>
    <t>Impact from ASU 2014-09</t>
  </si>
  <si>
    <t>Impact of ASU 2014-09</t>
  </si>
  <si>
    <t>$5.11-5.34</t>
  </si>
  <si>
    <t>*Excluding rev recognition</t>
  </si>
  <si>
    <t>Implied Base Mgmt + Franchise ex CC / Other</t>
  </si>
  <si>
    <t>Growth (mgmt guide to LSD)</t>
  </si>
  <si>
    <t>IMFs</t>
  </si>
  <si>
    <t>Other Non-Property Fees</t>
  </si>
  <si>
    <t>% Chg</t>
  </si>
  <si>
    <t>Total ex CC Fees</t>
  </si>
  <si>
    <t>Credit Card Fees</t>
  </si>
  <si>
    <t>Fees*</t>
  </si>
  <si>
    <t>Consensus (Consensus Metrix)</t>
  </si>
  <si>
    <t>MAR's Comparable '18 EBITDA Guidance</t>
  </si>
  <si>
    <t xml:space="preserve">                  </t>
  </si>
  <si>
    <t>+ Impact of Incremental Asset Sales</t>
  </si>
  <si>
    <t>+ Workforce Investment</t>
  </si>
  <si>
    <t>+ Chg in Revenue Recognition</t>
  </si>
  <si>
    <t>MAR's EBITDA Guidance</t>
  </si>
  <si>
    <t>Guidance vs. Consensus</t>
  </si>
  <si>
    <t>$935-945m</t>
  </si>
  <si>
    <t>148</t>
  </si>
  <si>
    <t xml:space="preserve">$122.77 </t>
  </si>
  <si>
    <t>Research</t>
  </si>
  <si>
    <t>1Q17A</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</si>
  <si>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</si>
  <si>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</si>
  <si>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</si>
  <si>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</si>
  <si>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</si>
  <si>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</si>
  <si>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Thomas Allen, Mark Savino</t>
  </si>
  <si>
    <t>Date: 15 Feb 2018</t>
  </si>
  <si>
    <t>Ticker: MAR.O</t>
  </si>
  <si>
    <t>Stock Rating: Overweight</t>
  </si>
  <si>
    <t>Industry: Gaming &amp; Lodging</t>
  </si>
  <si>
    <t>Industry View: In-Line</t>
  </si>
  <si>
    <t>Price as of 15 Feb 2018: 141.29</t>
  </si>
  <si>
    <t>Target Price: 148</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</si>
  <si>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</si>
  <si>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</si>
  <si>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</si>
  <si>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</si>
  <si>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Marriott International Inc..</t>
  </si>
  <si>
    <t>STOCK RATINGS</t>
  </si>
  <si>
    <t>Global Stock Ratings Distribution</t>
  </si>
  <si>
    <t>(as of January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</si>
  <si>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</si>
  <si>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</si>
  <si>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</si>
  <si>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</si>
  <si>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</si>
  <si>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</si>
  <si>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</si>
  <si>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</si>
  <si>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</si>
  <si>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</si>
  <si>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</si>
  <si>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</si>
  <si>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</si>
  <si>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</si>
  <si>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</si>
  <si>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</si>
  <si>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</si>
  <si>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</si>
  <si>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</si>
  <si>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</si>
  <si>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</si>
  <si>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</si>
  <si>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</si>
  <si>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</si>
  <si>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</si>
  <si>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</si>
  <si>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</si>
  <si>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</si>
  <si>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</si>
  <si>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</si>
  <si>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</si>
  <si>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</si>
  <si>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</si>
  <si>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</si>
  <si>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</si>
  <si>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</si>
  <si>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</si>
  <si>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</si>
  <si>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</si>
  <si>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</si>
  <si>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</si>
  <si>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</si>
  <si>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</si>
  <si>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</si>
  <si>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</si>
  <si>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</si>
  <si>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</si>
  <si>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</si>
  <si>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</si>
  <si>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</si>
  <si>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</si>
  <si>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</si>
  <si>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</si>
  <si>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</si>
  <si>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</si>
  <si>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</si>
  <si>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</si>
  <si>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</si>
  <si>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</si>
  <si>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</si>
  <si>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</si>
  <si>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</si>
  <si>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</si>
  <si>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</si>
  <si>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</si>
  <si>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</si>
  <si>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</si>
  <si>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</si>
  <si>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</si>
  <si>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</si>
  <si>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</si>
  <si>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</si>
  <si>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</si>
  <si>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</si>
  <si>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</si>
  <si>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</si>
  <si>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</si>
  <si>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</si>
  <si>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</si>
  <si>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</si>
  <si>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</si>
  <si>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</si>
  <si>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</si>
  <si>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</si>
  <si>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</si>
  <si>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</si>
  <si>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</si>
  <si>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</si>
  <si>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</si>
  <si>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</si>
  <si>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</si>
  <si>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</si>
  <si>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</si>
  <si>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</si>
  <si>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</si>
  <si>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</si>
  <si>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</si>
  <si>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</si>
  <si>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</si>
  <si>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</si>
  <si>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</si>
  <si>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</si>
  <si>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</si>
  <si>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</si>
  <si>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</si>
  <si>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</si>
  <si>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</si>
  <si>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</si>
  <si>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</si>
  <si>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</si>
  <si>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</si>
  <si>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</si>
  <si>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</si>
  <si>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</si>
  <si>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</si>
  <si>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</si>
  <si>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</si>
  <si>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</si>
  <si>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</si>
  <si>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</si>
  <si>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</si>
  <si>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</si>
  <si>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</si>
  <si>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</si>
  <si>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</si>
  <si>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</si>
  <si>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</si>
  <si>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</si>
  <si>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</si>
  <si>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</si>
  <si>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</si>
  <si>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</si>
  <si>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</si>
  <si>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</si>
  <si>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</si>
  <si>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</si>
  <si>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</si>
  <si>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</si>
  <si>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</si>
  <si>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</si>
  <si>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</si>
  <si>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</si>
  <si>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</si>
  <si>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</si>
  <si>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</si>
  <si>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</si>
  <si>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</si>
  <si>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</si>
  <si>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</si>
  <si>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</si>
  <si>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</si>
  <si>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</si>
  <si>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</si>
  <si>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</si>
  <si>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</si>
  <si>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</si>
  <si>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</si>
  <si>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</si>
  <si>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</si>
  <si>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</si>
  <si>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</si>
  <si>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</si>
  <si>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</si>
  <si>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</si>
  <si>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</si>
  <si>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</si>
  <si>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</si>
  <si>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</si>
  <si>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</si>
  <si>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</si>
  <si>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</si>
  <si>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</si>
  <si>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Marriott International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</si>
  <si>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</si>
  <si>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</si>
  <si>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</si>
  <si>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</si>
  <si>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</si>
  <si>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</si>
  <si>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</si>
  <si>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</si>
  <si>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</si>
  <si>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</si>
  <si>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</si>
  <si>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</si>
  <si>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</si>
  <si>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</si>
  <si>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</si>
  <si>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</si>
  <si>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</si>
  <si>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</si>
  <si>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</si>
  <si>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</si>
  <si>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</si>
  <si>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</si>
  <si>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</si>
  <si>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</si>
  <si>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</si>
  <si>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</si>
  <si>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</si>
  <si>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</si>
  <si>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</si>
  <si>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</si>
  <si>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</si>
  <si>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</si>
  <si>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</si>
  <si>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</si>
  <si>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</si>
  <si>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</si>
  <si>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</si>
  <si>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</si>
  <si>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</si>
  <si>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</si>
  <si>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</si>
  <si>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</si>
  <si>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</si>
  <si>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</si>
  <si>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</si>
  <si>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</si>
  <si>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</si>
  <si>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</si>
  <si>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</si>
  <si>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</si>
  <si>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</si>
  <si>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</si>
  <si>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</si>
  <si>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</si>
  <si>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</si>
  <si>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</si>
  <si>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</si>
  <si>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</si>
  <si>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</si>
  <si>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</si>
  <si>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</si>
  <si>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</si>
  <si>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</si>
  <si>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</si>
  <si>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</si>
  <si>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</si>
  <si>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</si>
  <si>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</si>
  <si>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Marriott International Inc..</t>
  </si>
  <si>
    <t>Within the last 12 months, Morgan Stanley has provided or is providing investment banking services to,</t>
  </si>
  <si>
    <t>or has an investment banking client relationship with, the following company: Marriott International</t>
  </si>
  <si>
    <t>Inc..</t>
  </si>
  <si>
    <t>Within the last 12 months, Morgan Stanley has received compensation for products and services other than</t>
  </si>
  <si>
    <t>investment banking services from Marriott International Inc..</t>
  </si>
  <si>
    <t>In the next 3 months, Morgan Stanley expects to receive or intends to seek compensation for investment</t>
  </si>
  <si>
    <t>banking services from Marriott International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</si>
  <si>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</si>
  <si>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</si>
  <si>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</si>
  <si>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</si>
  <si>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</si>
  <si>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Thomas Allen.</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</si>
  <si>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</si>
  <si>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</si>
  <si>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</si>
  <si>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</si>
  <si>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</si>
  <si>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</si>
  <si>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</si>
  <si>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</si>
  <si>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</si>
  <si>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</si>
  <si>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</si>
  <si>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</si>
  <si>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</si>
  <si>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</si>
  <si>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</si>
  <si>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</si>
  <si>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</si>
  <si>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</si>
  <si>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</si>
  <si>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</si>
  <si>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</si>
  <si>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</si>
  <si>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</si>
  <si>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</si>
  <si>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</si>
  <si>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</si>
  <si>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</si>
  <si>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</si>
  <si>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</si>
  <si>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</si>
  <si>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</si>
  <si>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</si>
  <si>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</si>
  <si>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</si>
  <si>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</si>
  <si>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</si>
  <si>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</si>
  <si>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</si>
  <si>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</si>
  <si>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</si>
  <si>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</si>
  <si>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</si>
  <si>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</si>
  <si>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</si>
  <si>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</si>
  <si>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</si>
  <si>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</si>
  <si>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</si>
  <si>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</si>
  <si>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</si>
  <si>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</si>
  <si>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</si>
  <si>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</si>
  <si>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</si>
  <si>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</si>
  <si>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</si>
  <si>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</si>
  <si>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</si>
  <si>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</si>
  <si>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</si>
  <si>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</si>
  <si>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</si>
  <si>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</si>
  <si>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</si>
  <si>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</si>
  <si>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</si>
  <si>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</si>
  <si>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</si>
  <si>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Quarterly Update</t>
  </si>
  <si>
    <t>NorthAmerica</t>
  </si>
  <si>
    <t>savinmar</t>
  </si>
  <si>
    <t>MSA12371, MSA55HHP</t>
  </si>
  <si>
    <t>L:\GAMING\Lodging\Models\Old\MAR WIP_021518.xlsm</t>
  </si>
  <si>
    <t>[BRO MSA]</t>
  </si>
  <si>
    <t>[PRODUCT MODEL]</t>
  </si>
  <si>
    <t>[EMAIL_ALERT YES]</t>
  </si>
  <si>
    <t>[DISCIPLINE Company]</t>
  </si>
  <si>
    <t>[SUPPRESSED NO]</t>
  </si>
  <si>
    <t>[DOCDAT 2018-02-15]</t>
  </si>
  <si>
    <t>[DOCTIME 17:57]</t>
  </si>
  <si>
    <t>[PSYM MAR.O(S&amp;P) (None)]</t>
  </si>
  <si>
    <t>[COU 1]</t>
  </si>
  <si>
    <t>[ANA MSA55HHP]</t>
  </si>
  <si>
    <t>[HL MAR.O Model]</t>
  </si>
  <si>
    <t>[IND GAMCAS HOTMOT]</t>
  </si>
  <si>
    <t>[PANA MSA12371]</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</si>
  <si>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</si>
  <si>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</si>
  <si>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</si>
  <si>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</si>
  <si>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</si>
  <si>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</si>
  <si>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</si>
  <si>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Sheet Name</t>
  </si>
  <si>
    <t>Visible Status</t>
  </si>
  <si>
    <t>ImportantDisclosures</t>
  </si>
  <si>
    <t>SheetVisibilityStatus</t>
  </si>
  <si>
    <t>CircularReferenceAlert</t>
  </si>
  <si>
    <t>MW-Cache</t>
  </si>
  <si>
    <t>EBITDA Val</t>
  </si>
  <si>
    <t>PT Impact</t>
  </si>
  <si>
    <t>New Exhibits</t>
  </si>
  <si>
    <t>Price per key</t>
  </si>
  <si>
    <t>MAR-HOT Historical PF RevPAR</t>
  </si>
  <si>
    <t>MAR vs. H</t>
  </si>
  <si>
    <t>CompSheetOutput</t>
  </si>
  <si>
    <t>Chart1</t>
  </si>
  <si>
    <t>Bear_to_Bull_Data</t>
  </si>
  <si>
    <t>WWRooms_10K</t>
  </si>
  <si>
    <t>STR_QTR</t>
  </si>
  <si>
    <t>Share Repo Analysis</t>
  </si>
  <si>
    <t>Sensitvity2</t>
  </si>
  <si>
    <t>Weighted RevPAR</t>
  </si>
  <si>
    <t>Weighted RevPAR2</t>
  </si>
  <si>
    <t>Fuss Notes</t>
  </si>
  <si>
    <t>2Q Estimates</t>
  </si>
  <si>
    <t>Exhibits (3)</t>
  </si>
  <si>
    <t>Exhibits (4)</t>
  </si>
  <si>
    <t>Credit Facility</t>
  </si>
  <si>
    <t>Model Instructions</t>
  </si>
  <si>
    <t>IndexInformation</t>
  </si>
  <si>
    <t>ModPubIndex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</si>
</sst>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42">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5" formatCode="&quot;$&quot;#,##0.00"/>
    <numFmt numFmtId="166" formatCode="0.0%"/>
    <numFmt numFmtId="167" formatCode="0.0"/>
    <numFmt numFmtId="168" formatCode="0_);\(0\)"/>
    <numFmt numFmtId="169" formatCode="#,##0.0_);\(#,##0.0\)"/>
    <numFmt numFmtId="170" formatCode="&quot;$&quot;#,##0.0_);\(&quot;$&quot;#,##0.0\)"/>
    <numFmt numFmtId="171" formatCode="0_)"/>
    <numFmt numFmtId="172" formatCode="_(* #,##0.0_);_(* \(#,##0.0\);_(* &quot;-&quot;_);_(@_)"/>
    <numFmt numFmtId="173" formatCode="0.0\x"/>
    <numFmt numFmtId="174" formatCode="0.000%"/>
    <numFmt numFmtId="177" formatCode="0.0\x\ "/>
    <numFmt numFmtId="178" formatCode="m/d/yy;@"/>
    <numFmt numFmtId="179" formatCode="_(* #,##0.0_);_(* \(#,##0.0\);_(* &quot;-&quot;??_);_(@_)"/>
    <numFmt numFmtId="180" formatCode="_(* #,##0_);_(* \(#,##0\);_(* &quot;-&quot;??_);_(@_)"/>
    <numFmt numFmtId="181" formatCode="_(* #,##0.0_);_(* \(#,##0.0\);_(* &quot;-&quot;?_);_(@_)"/>
    <numFmt numFmtId="182" formatCode="_(&quot;$&quot;* #,##0_);_(&quot;$&quot;* \(#,##0\);_(&quot;$&quot;* &quot;-&quot;??_);_(@_)"/>
    <numFmt numFmtId="183" formatCode="_(* #,##0_);_(* \(#,##0\);_(* &quot;-&quot;?_);_(@_)"/>
    <numFmt numFmtId="185" formatCode="0.00_);\(0.00\)"/>
    <numFmt numFmtId="186" formatCode="_(&quot;$&quot;* #,##0.0_);_(&quot;$&quot;* \(#,##0.0\);_(&quot;$&quot;* &quot;-&quot;??_);_(@_)"/>
    <numFmt numFmtId="187" formatCode="_(&quot;$&quot;* #,##0.0000_);_(&quot;$&quot;* \(#,##0.0000\);_(&quot;$&quot;* &quot;-&quot;??_);_(@_)"/>
    <numFmt numFmtId="188" formatCode="#,##0.000_);\(#,##0.000\)"/>
    <numFmt numFmtId="189" formatCode="_(&quot;$&quot;* #,##0.00_);_(&quot;$&quot;* \(#,##0.00\);_(&quot;$&quot;* &quot;-&quot;_);_(@_)"/>
    <numFmt numFmtId="190" formatCode="_(* #,##0.00_);_(* \(#,##0.00\);_(* &quot;-&quot;_);_(@_)"/>
    <numFmt numFmtId="191" formatCode="#,##0.0000_);\(#,##0.0000\)"/>
    <numFmt numFmtId="192" formatCode="0.0&quot;x&quot;"/>
    <numFmt numFmtId="193" formatCode="0.00&quot;x&quot;"/>
    <numFmt numFmtId="194" formatCode="#,##0.000"/>
    <numFmt numFmtId="195" formatCode="#,##0.0000"/>
    <numFmt numFmtId="196" formatCode="mm/dd/yy;@"/>
    <numFmt numFmtId="197" formatCode="#,##0.0;\-#,##0.0"/>
    <numFmt numFmtId="198" formatCode="&quot;$&quot;#,##0.000_);\(&quot;$&quot;#,##0.000\)"/>
    <numFmt numFmtId="199" formatCode="#,##0.00000;\-#,##0.00000"/>
    <numFmt numFmtId="200" formatCode="&quot;$&quot;#,##0.0000_);\(&quot;$&quot;#,##0.0000\)"/>
    <numFmt numFmtId="201" formatCode="&quot;$&quot;#,##0"/>
    <numFmt numFmtId="207" formatCode="mm/dd/yy\ hh:mm"/>
  </numFmts>
  <fonts count="216" x14ac:knownFonts="1">
    <font>
      <sz val="8"/>
      <name val="Arial"/>
      <family val="2"/>
    </font>
    <font>
      <sz val="10"/>
      <name val="Arial"/>
      <family val="2"/>
    </font>
    <font>
      <sz val="10"/>
      <name val="Arial"/>
      <family val="2"/>
    </font>
    <font>
      <sz val="8"/>
      <name val="Arial"/>
      <family val="2"/>
    </font>
    <font>
      <u/>
      <sz val="8"/>
      <color indexed="12"/>
      <name val="Arial"/>
      <family val="2"/>
    </font>
    <font>
      <b/>
      <sz val="8"/>
      <color indexed="8"/>
      <name val="Tahoma"/>
      <family val="2"/>
    </font>
    <font>
      <sz val="8"/>
      <color indexed="8"/>
      <name val="Tahoma"/>
      <family val="2"/>
    </font>
    <font>
      <sz val="9"/>
      <color indexed="8"/>
      <name val="Tahoma"/>
      <family val="2"/>
    </font>
    <font>
      <b/>
      <sz val="10"/>
      <color indexed="8"/>
      <name val="Tahoma"/>
      <family val="2"/>
    </font>
    <font>
      <sz val="10"/>
      <color indexed="8"/>
      <name val="Tahoma"/>
      <family val="2"/>
    </font>
    <font>
      <b/>
      <sz val="11"/>
      <color indexed="8"/>
      <name val="Tahoma"/>
      <family val="2"/>
    </font>
    <font>
      <sz val="11"/>
      <color indexed="8"/>
      <name val="Tahoma"/>
      <family val="2"/>
    </font>
    <font>
      <b/>
      <sz val="9"/>
      <color indexed="8"/>
      <name val="Tahoma"/>
      <family val="2"/>
    </font>
    <font>
      <u/>
      <sz val="8"/>
      <color indexed="8"/>
      <name val="Tahoma"/>
      <family val="2"/>
    </font>
    <font>
      <b/>
      <u/>
      <sz val="8"/>
      <color indexed="8"/>
      <name val="Tahoma"/>
      <family val="2"/>
    </font>
    <font>
      <i/>
      <sz val="8"/>
      <name val="Arial"/>
      <family val="2"/>
    </font>
    <font>
      <sz val="10"/>
      <name val="Arial"/>
      <family val="2"/>
    </font>
    <font>
      <sz val="12"/>
      <name val="Times New Roman"/>
      <family val="1"/>
    </font>
    <font>
      <sz val="8"/>
      <name val="Arial"/>
      <family val="2"/>
    </font>
    <font>
      <sz val="10"/>
      <color indexed="8"/>
      <name val="Arial"/>
      <family val="2"/>
    </font>
    <font>
      <b/>
      <sz val="10"/>
      <color indexed="8"/>
      <name val="Arial"/>
      <family val="2"/>
    </font>
    <font>
      <b/>
      <sz val="10"/>
      <name val="Arial"/>
      <family val="2"/>
    </font>
    <font>
      <b/>
      <sz val="8"/>
      <name val="Arial"/>
      <family val="2"/>
    </font>
    <font>
      <sz val="8"/>
      <color indexed="12"/>
      <name val="Arial"/>
      <family val="2"/>
    </font>
    <font>
      <i/>
      <sz val="8"/>
      <color indexed="12"/>
      <name val="Arial"/>
      <family val="2"/>
    </font>
    <font>
      <b/>
      <u/>
      <sz val="10"/>
      <name val="Arial"/>
      <family val="2"/>
    </font>
    <font>
      <sz val="10"/>
      <color indexed="12"/>
      <name val="Arial"/>
      <family val="2"/>
    </font>
    <font>
      <i/>
      <sz val="10"/>
      <name val="Arial"/>
      <family val="2"/>
    </font>
    <font>
      <u/>
      <sz val="10"/>
      <color indexed="12"/>
      <name val="Arial"/>
      <family val="2"/>
    </font>
    <font>
      <u/>
      <sz val="10"/>
      <name val="Arial"/>
      <family val="2"/>
    </font>
    <font>
      <i/>
      <u/>
      <sz val="10"/>
      <name val="Arial"/>
      <family val="2"/>
    </font>
    <font>
      <sz val="10"/>
      <color indexed="10"/>
      <name val="Arial"/>
      <family val="2"/>
    </font>
    <font>
      <sz val="10"/>
      <color indexed="17"/>
      <name val="Arial"/>
      <family val="2"/>
    </font>
    <font>
      <u/>
      <sz val="10"/>
      <color indexed="10"/>
      <name val="Arial"/>
      <family val="2"/>
    </font>
    <font>
      <sz val="10"/>
      <color indexed="21"/>
      <name val="Arial"/>
      <family val="2"/>
    </font>
    <font>
      <u/>
      <sz val="10"/>
      <color indexed="8"/>
      <name val="Arial"/>
      <family val="2"/>
    </font>
    <font>
      <b/>
      <sz val="10"/>
      <color indexed="12"/>
      <name val="Arial"/>
      <family val="2"/>
    </font>
    <font>
      <sz val="12"/>
      <name val="Arial"/>
      <family val="2"/>
    </font>
    <font>
      <b/>
      <sz val="12"/>
      <name val="Arial"/>
      <family val="2"/>
    </font>
    <font>
      <b/>
      <u/>
      <sz val="12"/>
      <name val="Arial"/>
      <family val="2"/>
    </font>
    <font>
      <sz val="12"/>
      <color indexed="10"/>
      <name val="Arial"/>
      <family val="2"/>
    </font>
    <font>
      <sz val="8"/>
      <color indexed="10"/>
      <name val="Arial"/>
      <family val="2"/>
    </font>
    <font>
      <b/>
      <sz val="10"/>
      <color indexed="10"/>
      <name val="Arial"/>
      <family val="2"/>
    </font>
    <font>
      <u/>
      <sz val="10"/>
      <color indexed="17"/>
      <name val="Arial"/>
      <family val="2"/>
    </font>
    <font>
      <b/>
      <sz val="10"/>
      <color indexed="17"/>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b/>
      <i/>
      <sz val="8"/>
      <name val="Arial"/>
      <family val="2"/>
    </font>
    <font>
      <b/>
      <u/>
      <sz val="8"/>
      <color indexed="12"/>
      <name val="Arial"/>
      <family val="2"/>
    </font>
    <font>
      <b/>
      <sz val="8"/>
      <color indexed="17"/>
      <name val="Arial"/>
      <family val="2"/>
    </font>
    <font>
      <b/>
      <sz val="8"/>
      <color indexed="10"/>
      <name val="Arial"/>
      <family val="2"/>
    </font>
    <font>
      <sz val="8"/>
      <color indexed="81"/>
      <name val="Tahoma"/>
      <family val="2"/>
    </font>
    <font>
      <b/>
      <sz val="8"/>
      <color indexed="81"/>
      <name val="Tahoma"/>
      <family val="2"/>
    </font>
    <font>
      <sz val="8"/>
      <color indexed="12"/>
      <name val="Tahoma"/>
      <family val="2"/>
    </font>
    <font>
      <sz val="8"/>
      <name val="Times New Roman"/>
      <family val="1"/>
    </font>
    <font>
      <i/>
      <sz val="12"/>
      <name val="Arial"/>
      <family val="2"/>
    </font>
    <font>
      <b/>
      <u/>
      <vertAlign val="superscript"/>
      <sz val="12"/>
      <name val="Arial"/>
      <family val="2"/>
    </font>
    <font>
      <sz val="12"/>
      <color indexed="12"/>
      <name val="Arial"/>
      <family val="2"/>
    </font>
    <font>
      <b/>
      <u/>
      <sz val="8"/>
      <name val="Arial"/>
      <family val="2"/>
    </font>
    <font>
      <vertAlign val="superscript"/>
      <sz val="10"/>
      <color indexed="12"/>
      <name val="Arial"/>
      <family val="2"/>
    </font>
    <font>
      <b/>
      <i/>
      <sz val="10"/>
      <name val="Arial"/>
      <family val="2"/>
    </font>
    <font>
      <i/>
      <sz val="10"/>
      <color indexed="12"/>
      <name val="Arial"/>
      <family val="2"/>
    </font>
    <font>
      <sz val="8"/>
      <color indexed="57"/>
      <name val="Arial"/>
      <family val="2"/>
    </font>
    <font>
      <sz val="8"/>
      <name val="Arial"/>
      <family val="2"/>
    </font>
    <font>
      <sz val="8"/>
      <name val="Arial"/>
      <family val="2"/>
    </font>
    <font>
      <u/>
      <sz val="8"/>
      <name val="Arial"/>
      <family val="2"/>
    </font>
    <font>
      <vertAlign val="superscript"/>
      <sz val="10"/>
      <name val="Arial"/>
      <family val="2"/>
    </font>
    <font>
      <i/>
      <sz val="10"/>
      <color indexed="8"/>
      <name val="Arial"/>
      <family val="2"/>
    </font>
    <font>
      <i/>
      <sz val="10"/>
      <color indexed="10"/>
      <name val="Arial"/>
      <family val="2"/>
    </font>
    <font>
      <i/>
      <sz val="10"/>
      <color indexed="17"/>
      <name val="Arial"/>
      <family val="2"/>
    </font>
    <font>
      <i/>
      <sz val="8"/>
      <color indexed="10"/>
      <name val="Arial"/>
      <family val="2"/>
    </font>
    <font>
      <i/>
      <u/>
      <sz val="10"/>
      <color indexed="10"/>
      <name val="Arial"/>
      <family val="2"/>
    </font>
    <font>
      <i/>
      <u/>
      <sz val="10"/>
      <color indexed="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b/>
      <i/>
      <sz val="10"/>
      <color indexed="12"/>
      <name val="Arial"/>
      <family val="2"/>
    </font>
    <font>
      <b/>
      <vertAlign val="superscript"/>
      <sz val="10"/>
      <name val="Arial"/>
      <family val="2"/>
    </font>
    <font>
      <sz val="9"/>
      <name val="Arial"/>
      <family val="2"/>
    </font>
    <font>
      <b/>
      <sz val="10"/>
      <color indexed="21"/>
      <name val="Arial"/>
      <family val="2"/>
    </font>
    <font>
      <b/>
      <i/>
      <sz val="10"/>
      <color indexed="21"/>
      <name val="Arial"/>
      <family val="2"/>
    </font>
    <font>
      <i/>
      <sz val="10"/>
      <color indexed="21"/>
      <name val="Arial"/>
      <family val="2"/>
    </font>
    <font>
      <i/>
      <sz val="10"/>
      <color indexed="57"/>
      <name val="Arial"/>
      <family val="2"/>
    </font>
    <font>
      <b/>
      <sz val="10"/>
      <color indexed="57"/>
      <name val="Arial"/>
      <family val="2"/>
    </font>
    <font>
      <b/>
      <i/>
      <sz val="10"/>
      <color indexed="57"/>
      <name val="Arial"/>
      <family val="2"/>
    </font>
    <font>
      <sz val="10"/>
      <color indexed="16"/>
      <name val="Arial"/>
      <family val="2"/>
    </font>
    <font>
      <i/>
      <sz val="10"/>
      <color indexed="16"/>
      <name val="Arial"/>
      <family val="2"/>
    </font>
    <font>
      <u/>
      <sz val="10"/>
      <color indexed="16"/>
      <name val="Arial"/>
      <family val="2"/>
    </font>
    <font>
      <u val="singleAccounting"/>
      <sz val="10"/>
      <color indexed="12"/>
      <name val="Arial"/>
      <family val="2"/>
    </font>
    <font>
      <b/>
      <u/>
      <sz val="10"/>
      <color indexed="10"/>
      <name val="Arial"/>
      <family val="2"/>
    </font>
    <font>
      <i/>
      <u/>
      <sz val="10"/>
      <color indexed="17"/>
      <name val="Arial"/>
      <family val="2"/>
    </font>
    <font>
      <sz val="10"/>
      <color indexed="12"/>
      <name val="Arial"/>
      <family val="2"/>
    </font>
    <font>
      <sz val="11"/>
      <name val="Arial"/>
      <family val="2"/>
    </font>
    <font>
      <sz val="9"/>
      <color indexed="81"/>
      <name val="Tahoma"/>
      <family val="2"/>
    </font>
    <font>
      <b/>
      <sz val="9"/>
      <color indexed="81"/>
      <name val="Tahoma"/>
      <family val="2"/>
    </font>
    <font>
      <sz val="10"/>
      <color indexed="17"/>
      <name val="Arial"/>
      <family val="2"/>
    </font>
    <font>
      <sz val="8"/>
      <color indexed="17"/>
      <name val="Arial"/>
      <family val="2"/>
    </font>
    <font>
      <i/>
      <sz val="10"/>
      <color indexed="30"/>
      <name val="Arial"/>
      <family val="2"/>
    </font>
    <font>
      <sz val="10"/>
      <name val="MS Sans Serif"/>
      <family val="2"/>
    </font>
    <font>
      <b/>
      <sz val="10"/>
      <color indexed="8"/>
      <name val="Times New Roman"/>
      <family val="1"/>
    </font>
    <font>
      <sz val="10"/>
      <color indexed="8"/>
      <name val="Times New Roman"/>
      <family val="1"/>
    </font>
    <font>
      <sz val="10"/>
      <color indexed="10"/>
      <name val="Arial"/>
      <family val="2"/>
    </font>
    <font>
      <sz val="10"/>
      <name val="MS Sans Serif"/>
      <family val="2"/>
    </font>
    <font>
      <b/>
      <sz val="10"/>
      <color indexed="8"/>
      <name val="Times New Roman"/>
      <family val="1"/>
    </font>
    <font>
      <sz val="10"/>
      <color indexed="8"/>
      <name val="Times New Roman"/>
      <family val="1"/>
    </font>
    <font>
      <sz val="10"/>
      <color indexed="29"/>
      <name val="Arial"/>
      <family val="2"/>
    </font>
    <font>
      <sz val="8"/>
      <color indexed="30"/>
      <name val="Arial"/>
      <family val="2"/>
    </font>
    <font>
      <sz val="10"/>
      <color indexed="30"/>
      <name val="Arial"/>
      <family val="2"/>
    </font>
    <font>
      <b/>
      <sz val="10"/>
      <color indexed="30"/>
      <name val="Arial"/>
      <family val="2"/>
    </font>
    <font>
      <sz val="8"/>
      <color indexed="10"/>
      <name val="Arial"/>
      <family val="2"/>
    </font>
    <font>
      <sz val="8"/>
      <color indexed="10"/>
      <name val="Arial"/>
      <family val="2"/>
    </font>
    <font>
      <sz val="8"/>
      <color indexed="30"/>
      <name val="Arial"/>
      <family val="2"/>
    </font>
    <font>
      <b/>
      <u/>
      <sz val="9"/>
      <color indexed="81"/>
      <name val="Tahoma"/>
      <family val="2"/>
    </font>
    <font>
      <u val="singleAccounting"/>
      <sz val="10"/>
      <name val="Arial"/>
      <family val="2"/>
    </font>
    <font>
      <sz val="10"/>
      <color indexed="2"/>
      <name val="Segoe UI"/>
      <family val="2"/>
    </font>
    <font>
      <b/>
      <sz val="10"/>
      <color indexed="0"/>
      <name val="Segoe UI"/>
      <family val="2"/>
    </font>
    <font>
      <sz val="10"/>
      <name val="Segoe UI"/>
      <family val="2"/>
    </font>
    <font>
      <b/>
      <i/>
      <sz val="10"/>
      <color indexed="4"/>
      <name val="Segoe UI"/>
      <family val="2"/>
    </font>
    <font>
      <sz val="10"/>
      <color indexed="4"/>
      <name val="Segoe UI"/>
      <family val="2"/>
    </font>
    <font>
      <sz val="8"/>
      <color indexed="17"/>
      <name val="Arial"/>
      <family val="2"/>
    </font>
    <font>
      <b/>
      <sz val="10"/>
      <color indexed="10"/>
      <name val="Arial"/>
      <family val="2"/>
    </font>
    <font>
      <sz val="10"/>
      <color indexed="10"/>
      <name val="Arial"/>
      <family val="2"/>
    </font>
    <font>
      <sz val="8"/>
      <color indexed="30"/>
      <name val="Arial"/>
      <family val="2"/>
    </font>
    <font>
      <sz val="10"/>
      <color indexed="8"/>
      <name val="Arial"/>
      <family val="2"/>
    </font>
    <font>
      <b/>
      <sz val="10"/>
      <color indexed="8"/>
      <name val="Arial"/>
      <family val="2"/>
    </font>
    <font>
      <sz val="10"/>
      <color indexed="49"/>
      <name val="Arial"/>
      <family val="2"/>
    </font>
    <font>
      <sz val="10"/>
      <color indexed="60"/>
      <name val="Arial"/>
      <family val="2"/>
    </font>
    <font>
      <sz val="10"/>
      <color indexed="30"/>
      <name val="Arial"/>
      <family val="2"/>
    </font>
    <font>
      <b/>
      <sz val="10"/>
      <color indexed="30"/>
      <name val="Arial"/>
      <family val="2"/>
    </font>
    <font>
      <sz val="10"/>
      <color indexed="12"/>
      <name val="Arial"/>
      <family val="2"/>
    </font>
    <font>
      <i/>
      <sz val="10"/>
      <color indexed="17"/>
      <name val="Arial"/>
      <family val="2"/>
    </font>
    <font>
      <i/>
      <sz val="10"/>
      <color indexed="12"/>
      <name val="Arial"/>
      <family val="2"/>
    </font>
    <font>
      <sz val="10"/>
      <color indexed="17"/>
      <name val="Arial"/>
      <family val="2"/>
    </font>
    <font>
      <b/>
      <sz val="10"/>
      <color indexed="17"/>
      <name val="Arial"/>
      <family val="2"/>
    </font>
    <font>
      <i/>
      <u/>
      <sz val="10"/>
      <color indexed="17"/>
      <name val="Arial"/>
      <family val="2"/>
    </font>
    <font>
      <u/>
      <sz val="10"/>
      <color indexed="12"/>
      <name val="Arial"/>
      <family val="2"/>
    </font>
    <font>
      <i/>
      <sz val="10"/>
      <color indexed="22"/>
      <name val="Arial"/>
      <family val="2"/>
    </font>
    <font>
      <i/>
      <sz val="10"/>
      <color indexed="10"/>
      <name val="Arial"/>
      <family val="2"/>
    </font>
    <font>
      <sz val="10"/>
      <color indexed="29"/>
      <name val="Arial"/>
      <family val="2"/>
    </font>
    <font>
      <sz val="10"/>
      <color indexed="16"/>
      <name val="Arial"/>
      <family val="2"/>
    </font>
    <font>
      <u val="singleAccounting"/>
      <sz val="10"/>
      <color indexed="17"/>
      <name val="Arial"/>
      <family val="2"/>
    </font>
    <font>
      <u/>
      <sz val="10"/>
      <color indexed="17"/>
      <name val="Arial"/>
      <family val="2"/>
    </font>
    <font>
      <sz val="10"/>
      <color indexed="17"/>
      <name val="Arial"/>
      <family val="2"/>
    </font>
    <font>
      <i/>
      <sz val="10"/>
      <color indexed="29"/>
      <name val="Arial"/>
      <family val="2"/>
    </font>
    <font>
      <b/>
      <u/>
      <sz val="10"/>
      <color indexed="8"/>
      <name val="Arial"/>
      <family val="2"/>
    </font>
    <font>
      <b/>
      <sz val="10"/>
      <color indexed="12"/>
      <name val="Arial"/>
      <family val="2"/>
    </font>
    <font>
      <i/>
      <sz val="10"/>
      <color indexed="22"/>
      <name val="Arial"/>
      <family val="2"/>
    </font>
    <font>
      <b/>
      <sz val="10"/>
      <color indexed="22"/>
      <name val="Arial"/>
      <family val="2"/>
    </font>
    <font>
      <sz val="10"/>
      <color indexed="26"/>
      <name val="Arial"/>
      <family val="2"/>
    </font>
    <font>
      <u/>
      <sz val="10"/>
      <color indexed="16"/>
      <name val="Arial"/>
      <family val="2"/>
    </font>
    <font>
      <b/>
      <i/>
      <sz val="10"/>
      <color indexed="12"/>
      <name val="Arial"/>
      <family val="2"/>
    </font>
    <font>
      <sz val="10"/>
      <color indexed="22"/>
      <name val="Arial"/>
      <family val="2"/>
    </font>
    <font>
      <sz val="10"/>
      <color indexed="16"/>
      <name val="Arial"/>
      <family val="2"/>
    </font>
    <font>
      <sz val="8"/>
      <color indexed="12"/>
      <name val="Arial"/>
      <family val="2"/>
    </font>
    <font>
      <sz val="10"/>
      <color indexed="9"/>
      <name val="Arial"/>
      <family val="2"/>
    </font>
    <font>
      <u val="singleAccounting"/>
      <sz val="10"/>
      <color indexed="12"/>
      <name val="Arial"/>
      <family val="2"/>
    </font>
    <font>
      <sz val="10"/>
      <color indexed="12"/>
      <name val="Arial"/>
      <family val="2"/>
    </font>
    <font>
      <sz val="10"/>
      <color indexed="12"/>
      <name val="Arial"/>
      <family val="2"/>
    </font>
    <font>
      <b/>
      <sz val="10"/>
      <color indexed="12"/>
      <name val="Arial"/>
      <family val="2"/>
    </font>
    <font>
      <sz val="10"/>
      <color indexed="12"/>
      <name val="Arial"/>
      <family val="2"/>
    </font>
    <font>
      <sz val="10"/>
      <color indexed="17"/>
      <name val="Arial"/>
      <family val="2"/>
    </font>
    <font>
      <b/>
      <sz val="10"/>
      <color indexed="17"/>
      <name val="Arial"/>
      <family val="2"/>
    </font>
    <font>
      <i/>
      <sz val="10"/>
      <color indexed="12"/>
      <name val="Arial"/>
      <family val="2"/>
    </font>
    <font>
      <sz val="8"/>
      <color indexed="12"/>
      <name val="Arial"/>
      <family val="2"/>
    </font>
    <font>
      <sz val="10"/>
      <color indexed="12"/>
      <name val="Arial"/>
      <family val="2"/>
    </font>
    <font>
      <sz val="10"/>
      <color indexed="12"/>
      <name val="Arial"/>
      <family val="2"/>
    </font>
    <font>
      <sz val="11"/>
      <color theme="1"/>
      <name val="Calibri"/>
      <family val="2"/>
      <scheme val="minor"/>
    </font>
    <font>
      <sz val="10"/>
      <color rgb="FF0000FF"/>
      <name val="Arial"/>
      <family val="2"/>
    </font>
    <font>
      <b/>
      <sz val="10"/>
      <color rgb="FF0000FF"/>
      <name val="Arial"/>
      <family val="2"/>
    </font>
    <font>
      <b/>
      <i/>
      <sz val="10"/>
      <color rgb="FFFF0000"/>
      <name val="Arial"/>
      <family val="2"/>
    </font>
    <font>
      <i/>
      <sz val="10"/>
      <color rgb="FFFF0000"/>
      <name val="Arial"/>
      <family val="2"/>
    </font>
    <font>
      <i/>
      <sz val="10"/>
      <color rgb="FF0000FF"/>
      <name val="Arial"/>
      <family val="2"/>
    </font>
    <font>
      <sz val="10"/>
      <color theme="1"/>
      <name val="Arial"/>
      <family val="2"/>
    </font>
    <font>
      <b/>
      <i/>
      <u/>
      <sz val="10"/>
      <name val="Arial"/>
      <family val="2"/>
    </font>
    <font>
      <sz val="10"/>
      <color rgb="FFC00000"/>
      <name val="Arial"/>
      <family val="2"/>
    </font>
    <font>
      <sz val="10"/>
      <color rgb="FFFFFFFF"/>
      <name val="Arial"/>
      <family val="2"/>
    </font>
    <font>
      <b/>
      <sz val="10"/>
      <color rgb="FFFFFFFF"/>
      <name val="Arial"/>
      <family val="2"/>
    </font>
    <font>
      <b/>
      <sz val="8"/>
      <color rgb="FFFFFFFF"/>
      <name val="Arial"/>
      <family val="2"/>
    </font>
    <font>
      <sz val="10"/>
      <color rgb="FF008000"/>
      <name val="Arial"/>
      <family val="2"/>
    </font>
    <font>
      <u/>
      <sz val="10"/>
      <color rgb="FF008000"/>
      <name val="Arial"/>
      <family val="2"/>
    </font>
    <font>
      <sz val="10"/>
      <color rgb="FF800000"/>
      <name val="Arial"/>
      <family val="2"/>
    </font>
    <font>
      <sz val="11"/>
      <name val="Calibri"/>
      <family val="2"/>
      <scheme val="minor"/>
    </font>
    <font>
      <sz val="11"/>
      <color rgb="FF0000FF"/>
      <name val="Calibri"/>
      <family val="2"/>
      <scheme val="minor"/>
    </font>
    <font>
      <u/>
      <sz val="11"/>
      <color theme="1"/>
      <name val="Calibri"/>
      <family val="2"/>
      <scheme val="minor"/>
    </font>
    <font>
      <sz val="10"/>
      <name val="Calibri"/>
      <family val="2"/>
      <scheme val="minor"/>
    </font>
    <font>
      <b/>
      <sz val="10"/>
      <name val="Calibri"/>
      <family val="2"/>
      <scheme val="minor"/>
    </font>
    <font>
      <sz val="8"/>
      <name val="Calibri"/>
      <family val="2"/>
      <scheme val="minor"/>
    </font>
    <font>
      <b/>
      <sz val="11"/>
      <name val="Calibri"/>
      <family val="2"/>
      <scheme val="minor"/>
    </font>
    <font>
      <sz val="10"/>
      <color rgb="FFFF0000"/>
      <name val="Arial"/>
      <family val="2"/>
    </font>
    <font>
      <sz val="8"/>
      <color rgb="FF0000FF"/>
      <name val="Arial"/>
      <family val="2"/>
    </font>
    <font>
      <u/>
      <sz val="10"/>
      <color rgb="FF4AAC6B"/>
      <name val="Arial"/>
      <family val="2"/>
    </font>
    <font>
      <u/>
      <sz val="10"/>
      <color rgb="FF0000FF"/>
      <name val="Arial"/>
      <family val="2"/>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name val="Arial"/>
      <family val="2"/>
    </font>
  </fonts>
  <fills count="31">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8"/>
      </patternFill>
    </fill>
    <fill>
      <patternFill patternType="solid">
        <fgColor indexed="42"/>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22"/>
        <bgColor indexed="64"/>
      </patternFill>
    </fill>
    <fill>
      <patternFill patternType="solid">
        <fgColor indexed="42"/>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45"/>
        <bgColor indexed="64"/>
      </patternFill>
    </fill>
    <fill>
      <patternFill patternType="solid">
        <fgColor indexed="9"/>
        <bgColor indexed="64"/>
      </patternFill>
    </fill>
    <fill>
      <patternFill patternType="solid">
        <fgColor indexed="4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tint="-0.249977111117893"/>
        <bgColor indexed="64"/>
      </patternFill>
    </fill>
    <fill>
      <patternFill patternType="solid">
        <fgColor indexed="65"/>
        <bgColor indexed="64"/>
      </patternFill>
    </fill>
  </fills>
  <borders count="1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8"/>
      </left>
      <right/>
      <top/>
      <bottom style="thin">
        <color indexed="8"/>
      </bottom>
      <diagonal/>
    </border>
    <border>
      <left/>
      <right style="thin">
        <color indexed="8"/>
      </right>
      <top/>
      <bottom style="thin">
        <color indexed="8"/>
      </bottom>
      <diagonal/>
    </border>
    <border>
      <left style="thin">
        <color indexed="64"/>
      </left>
      <right style="thin">
        <color indexed="64"/>
      </right>
      <top/>
      <bottom/>
      <diagonal/>
    </border>
    <border>
      <left/>
      <right/>
      <top style="thin">
        <color indexed="8"/>
      </top>
      <bottom style="thin">
        <color indexed="64"/>
      </bottom>
      <diagonal/>
    </border>
    <border>
      <left style="thin">
        <color indexed="64"/>
      </left>
      <right/>
      <top style="thin">
        <color indexed="8"/>
      </top>
      <bottom style="thin">
        <color indexed="64"/>
      </bottom>
      <diagonal/>
    </border>
    <border>
      <left/>
      <right/>
      <top style="thin">
        <color indexed="64"/>
      </top>
      <bottom style="thin">
        <color indexed="8"/>
      </bottom>
      <diagonal/>
    </border>
    <border>
      <left style="thin">
        <color indexed="64"/>
      </left>
      <right/>
      <top/>
      <bottom style="thin">
        <color indexed="8"/>
      </bottom>
      <diagonal/>
    </border>
    <border>
      <left/>
      <right style="thin">
        <color indexed="8"/>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8"/>
      </left>
      <right/>
      <top/>
      <bottom/>
      <diagonal/>
    </border>
    <border>
      <left/>
      <right/>
      <top style="medium">
        <color indexed="64"/>
      </top>
      <bottom style="medium">
        <color indexed="64"/>
      </bottom>
      <diagonal/>
    </border>
    <border>
      <left style="thin">
        <color indexed="8"/>
      </left>
      <right style="thin">
        <color indexed="8"/>
      </right>
      <top style="thin">
        <color indexed="8"/>
      </top>
      <bottom style="thin">
        <color indexed="64"/>
      </bottom>
      <diagonal/>
    </border>
    <border>
      <left style="thin">
        <color indexed="8"/>
      </left>
      <right/>
      <top style="thin">
        <color indexed="8"/>
      </top>
      <bottom style="thin">
        <color indexed="64"/>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style="thin">
        <color indexed="8"/>
      </left>
      <right style="thin">
        <color indexed="8"/>
      </right>
      <top style="thin">
        <color indexed="64"/>
      </top>
      <bottom/>
      <diagonal/>
    </border>
    <border>
      <left style="hair">
        <color indexed="8"/>
      </left>
      <right style="thin">
        <color indexed="8"/>
      </right>
      <top style="thin">
        <color indexed="8"/>
      </top>
      <bottom style="thin">
        <color indexed="64"/>
      </bottom>
      <diagonal/>
    </border>
    <border>
      <left style="hair">
        <color indexed="8"/>
      </left>
      <right style="thin">
        <color indexed="8"/>
      </right>
      <top style="thin">
        <color indexed="64"/>
      </top>
      <bottom/>
      <diagonal/>
    </border>
    <border>
      <left style="hair">
        <color indexed="8"/>
      </left>
      <right style="thin">
        <color indexed="8"/>
      </right>
      <top/>
      <bottom/>
      <diagonal/>
    </border>
    <border>
      <left style="hair">
        <color indexed="8"/>
      </left>
      <right style="thin">
        <color indexed="8"/>
      </right>
      <top/>
      <bottom style="thin">
        <color indexed="8"/>
      </bottom>
      <diagonal/>
    </border>
    <border>
      <left style="thin">
        <color indexed="8"/>
      </left>
      <right style="hair">
        <color indexed="8"/>
      </right>
      <top style="thin">
        <color indexed="8"/>
      </top>
      <bottom style="thin">
        <color indexed="64"/>
      </bottom>
      <diagonal/>
    </border>
    <border>
      <left style="thin">
        <color indexed="8"/>
      </left>
      <right style="hair">
        <color indexed="8"/>
      </right>
      <top style="thin">
        <color indexed="64"/>
      </top>
      <bottom/>
      <diagonal/>
    </border>
    <border>
      <left style="thin">
        <color indexed="8"/>
      </left>
      <right style="hair">
        <color indexed="8"/>
      </right>
      <top/>
      <bottom/>
      <diagonal/>
    </border>
    <border>
      <left style="thin">
        <color indexed="8"/>
      </left>
      <right style="hair">
        <color indexed="8"/>
      </right>
      <top/>
      <bottom style="thin">
        <color indexed="8"/>
      </bottom>
      <diagonal/>
    </border>
    <border>
      <left/>
      <right style="thin">
        <color indexed="8"/>
      </right>
      <top style="thin">
        <color indexed="8"/>
      </top>
      <bottom style="thin">
        <color indexed="64"/>
      </bottom>
      <diagonal/>
    </border>
    <border>
      <left style="thin">
        <color indexed="8"/>
      </left>
      <right/>
      <top style="thin">
        <color indexed="64"/>
      </top>
      <bottom/>
      <diagonal/>
    </border>
    <border>
      <left/>
      <right style="thin">
        <color indexed="8"/>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8"/>
      </bottom>
      <diagonal/>
    </border>
    <border>
      <left style="thin">
        <color indexed="8"/>
      </left>
      <right/>
      <top style="thin">
        <color indexed="64"/>
      </top>
      <bottom style="thin">
        <color indexed="8"/>
      </bottom>
      <diagonal/>
    </border>
    <border>
      <left/>
      <right style="thin">
        <color indexed="8"/>
      </right>
      <top style="thin">
        <color indexed="64"/>
      </top>
      <bottom style="thin">
        <color indexed="8"/>
      </bottom>
      <diagonal/>
    </border>
    <border>
      <left/>
      <right style="thin">
        <color indexed="64"/>
      </right>
      <top style="thin">
        <color indexed="8"/>
      </top>
      <bottom style="thin">
        <color indexed="64"/>
      </bottom>
      <diagonal/>
    </border>
    <border>
      <left style="thin">
        <color indexed="8"/>
      </left>
      <right style="thin">
        <color indexed="64"/>
      </right>
      <top/>
      <bottom/>
      <diagonal/>
    </border>
    <border>
      <left style="thin">
        <color indexed="8"/>
      </left>
      <right style="thin">
        <color indexed="64"/>
      </right>
      <top/>
      <bottom style="thin">
        <color indexed="8"/>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right/>
      <top style="thin">
        <color indexed="13"/>
      </top>
      <bottom style="thin">
        <color indexed="13"/>
      </bottom>
      <diagonal/>
    </border>
    <border>
      <left/>
      <right/>
      <top style="thin">
        <color indexed="13"/>
      </top>
      <bottom style="thin">
        <color indexed="64"/>
      </bottom>
      <diagonal/>
    </border>
    <border>
      <left style="medium">
        <color indexed="64"/>
      </left>
      <right style="medium">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0"/>
      </left>
      <right/>
      <top style="medium">
        <color indexed="60"/>
      </top>
      <bottom/>
      <diagonal/>
    </border>
    <border>
      <left/>
      <right style="medium">
        <color indexed="60"/>
      </right>
      <top style="medium">
        <color indexed="60"/>
      </top>
      <bottom/>
      <diagonal/>
    </border>
    <border>
      <left style="medium">
        <color indexed="60"/>
      </left>
      <right/>
      <top/>
      <bottom style="medium">
        <color indexed="60"/>
      </bottom>
      <diagonal/>
    </border>
    <border>
      <left/>
      <right style="medium">
        <color indexed="60"/>
      </right>
      <top/>
      <bottom style="medium">
        <color indexed="60"/>
      </bottom>
      <diagonal/>
    </border>
    <border>
      <left/>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hair">
        <color indexed="64"/>
      </top>
      <bottom/>
      <diagonal/>
    </border>
    <border>
      <left style="hair">
        <color indexed="64"/>
      </left>
      <right/>
      <top/>
      <bottom/>
      <diagonal/>
    </border>
    <border>
      <left style="medium">
        <color indexed="60"/>
      </left>
      <right style="medium">
        <color indexed="60"/>
      </right>
      <top style="medium">
        <color indexed="60"/>
      </top>
      <bottom style="medium">
        <color indexed="60"/>
      </bottom>
      <diagonal/>
    </border>
    <border>
      <left style="hair">
        <color indexed="64"/>
      </left>
      <right/>
      <top style="thin">
        <color indexed="64"/>
      </top>
      <bottom/>
      <diagonal/>
    </border>
    <border>
      <left style="hair">
        <color indexed="64"/>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8"/>
      </right>
      <top style="medium">
        <color indexed="64"/>
      </top>
      <bottom style="thin">
        <color indexed="64"/>
      </bottom>
      <diagonal/>
    </border>
    <border>
      <left/>
      <right style="thin">
        <color auto="1"/>
      </right>
      <top/>
      <bottom/>
      <diagonal/>
    </border>
    <border>
      <left style="dotted">
        <color indexed="64"/>
      </left>
      <right/>
      <top style="thin">
        <color indexed="64"/>
      </top>
      <bottom style="thin">
        <color indexed="64"/>
      </bottom>
      <diagonal/>
    </border>
    <border>
      <left style="dotted">
        <color indexed="64"/>
      </left>
      <right/>
      <top/>
      <bottom/>
      <diagonal/>
    </border>
    <border>
      <left style="dotted">
        <color indexed="64"/>
      </left>
      <right/>
      <top/>
      <bottom style="thin">
        <color indexed="64"/>
      </bottom>
      <diagonal/>
    </border>
    <border>
      <left/>
      <right style="thin">
        <color auto="1"/>
      </right>
      <top/>
      <bottom/>
      <diagonal/>
    </border>
    <border>
      <left/>
      <right style="dotted">
        <color indexed="64"/>
      </right>
      <top style="thin">
        <color indexed="64"/>
      </top>
      <bottom/>
      <diagonal/>
    </border>
    <border>
      <left/>
      <right style="dotted">
        <color indexed="64"/>
      </right>
      <top/>
      <bottom style="thin">
        <color indexed="64"/>
      </bottom>
      <diagonal/>
    </border>
    <border>
      <left/>
      <right style="dotted">
        <color indexed="64"/>
      </right>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dotted">
        <color indexed="64"/>
      </left>
      <right style="thin">
        <color indexed="64"/>
      </right>
      <top style="thin">
        <color indexed="64"/>
      </top>
      <bottom/>
      <diagonal/>
    </border>
    <border>
      <left style="dotted">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57">
    <xf numFmtId="37" fontId="0" fillId="0" borderId="0" applyNumberFormat="0" applyFont="0" applyFill="0" applyBorder="0" applyAlignment="0" applyProtection="0"/>
    <xf numFmtId="0" fontId="1" fillId="0" borderId="0"/>
    <xf numFmtId="0" fontId="2" fillId="0" borderId="0"/>
    <xf numFmtId="0" fontId="3" fillId="0" borderId="0" applyNumberFormat="0" applyFont="0" applyFill="0" applyBorder="0" applyAlignment="0" applyProtection="0"/>
    <xf numFmtId="0" fontId="1" fillId="0" borderId="0"/>
    <xf numFmtId="0" fontId="2" fillId="0" borderId="0"/>
    <xf numFmtId="0" fontId="1" fillId="0" borderId="0"/>
    <xf numFmtId="0" fontId="2" fillId="0" borderId="0"/>
    <xf numFmtId="0" fontId="45" fillId="0" borderId="0"/>
    <xf numFmtId="0" fontId="119" fillId="0" borderId="0"/>
    <xf numFmtId="0" fontId="45" fillId="0" borderId="0"/>
    <xf numFmtId="0" fontId="115" fillId="0" borderId="0"/>
    <xf numFmtId="0" fontId="45" fillId="0" borderId="0"/>
    <xf numFmtId="0" fontId="45" fillId="0" borderId="0"/>
    <xf numFmtId="0" fontId="119" fillId="0" borderId="0"/>
    <xf numFmtId="0" fontId="45" fillId="0" borderId="0"/>
    <xf numFmtId="0" fontId="115" fillId="0" borderId="0"/>
    <xf numFmtId="0" fontId="45" fillId="0" borderId="0"/>
    <xf numFmtId="0" fontId="76" fillId="2" borderId="0" applyNumberFormat="0" applyBorder="0" applyAlignment="0" applyProtection="0"/>
    <xf numFmtId="0" fontId="76" fillId="2" borderId="0" applyNumberFormat="0" applyBorder="0" applyAlignment="0" applyProtection="0"/>
    <xf numFmtId="0" fontId="76" fillId="3" borderId="0" applyNumberFormat="0" applyBorder="0" applyAlignment="0" applyProtection="0"/>
    <xf numFmtId="0" fontId="76" fillId="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2" borderId="0" applyNumberFormat="0" applyBorder="0" applyAlignment="0" applyProtection="0"/>
    <xf numFmtId="0" fontId="76" fillId="2" borderId="0" applyNumberFormat="0" applyBorder="0" applyAlignment="0" applyProtection="0"/>
    <xf numFmtId="0" fontId="76" fillId="5" borderId="0" applyNumberFormat="0" applyBorder="0" applyAlignment="0" applyProtection="0"/>
    <xf numFmtId="0" fontId="76" fillId="5"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6" borderId="0" applyNumberFormat="0" applyBorder="0" applyAlignment="0" applyProtection="0"/>
    <xf numFmtId="0" fontId="76" fillId="6" borderId="0" applyNumberFormat="0" applyBorder="0" applyAlignment="0" applyProtection="0"/>
    <xf numFmtId="0" fontId="76" fillId="3" borderId="0" applyNumberFormat="0" applyBorder="0" applyAlignment="0" applyProtection="0"/>
    <xf numFmtId="0" fontId="76" fillId="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6" borderId="0" applyNumberFormat="0" applyBorder="0" applyAlignment="0" applyProtection="0"/>
    <xf numFmtId="0" fontId="76" fillId="6" borderId="0" applyNumberFormat="0" applyBorder="0" applyAlignment="0" applyProtection="0"/>
    <xf numFmtId="0" fontId="76" fillId="7" borderId="0" applyNumberFormat="0" applyBorder="0" applyAlignment="0" applyProtection="0"/>
    <xf numFmtId="0" fontId="76" fillId="7"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7" fillId="8" borderId="0" applyNumberFormat="0" applyBorder="0" applyAlignment="0" applyProtection="0"/>
    <xf numFmtId="0" fontId="77" fillId="8" borderId="0" applyNumberFormat="0" applyBorder="0" applyAlignment="0" applyProtection="0"/>
    <xf numFmtId="0" fontId="77" fillId="3" borderId="0" applyNumberFormat="0" applyBorder="0" applyAlignment="0" applyProtection="0"/>
    <xf numFmtId="0" fontId="77" fillId="3" borderId="0" applyNumberFormat="0" applyBorder="0" applyAlignment="0" applyProtection="0"/>
    <xf numFmtId="0" fontId="77" fillId="9" borderId="0" applyNumberFormat="0" applyBorder="0" applyAlignment="0" applyProtection="0"/>
    <xf numFmtId="0" fontId="77" fillId="9" borderId="0" applyNumberFormat="0" applyBorder="0" applyAlignment="0" applyProtection="0"/>
    <xf numFmtId="0" fontId="77" fillId="6" borderId="0" applyNumberFormat="0" applyBorder="0" applyAlignment="0" applyProtection="0"/>
    <xf numFmtId="0" fontId="77" fillId="6" borderId="0" applyNumberFormat="0" applyBorder="0" applyAlignment="0" applyProtection="0"/>
    <xf numFmtId="0" fontId="77" fillId="8" borderId="0" applyNumberFormat="0" applyBorder="0" applyAlignment="0" applyProtection="0"/>
    <xf numFmtId="0" fontId="77" fillId="8" borderId="0" applyNumberFormat="0" applyBorder="0" applyAlignment="0" applyProtection="0"/>
    <xf numFmtId="0" fontId="77" fillId="4" borderId="0" applyNumberFormat="0" applyBorder="0" applyAlignment="0" applyProtection="0"/>
    <xf numFmtId="0" fontId="77" fillId="4" borderId="0" applyNumberFormat="0" applyBorder="0" applyAlignment="0" applyProtection="0"/>
    <xf numFmtId="0" fontId="77" fillId="8" borderId="0" applyNumberFormat="0" applyBorder="0" applyAlignment="0" applyProtection="0"/>
    <xf numFmtId="0" fontId="77" fillId="8" borderId="0" applyNumberFormat="0" applyBorder="0" applyAlignment="0" applyProtection="0"/>
    <xf numFmtId="0" fontId="77" fillId="3" borderId="0" applyNumberFormat="0" applyBorder="0" applyAlignment="0" applyProtection="0"/>
    <xf numFmtId="0" fontId="77" fillId="3" borderId="0" applyNumberFormat="0" applyBorder="0" applyAlignment="0" applyProtection="0"/>
    <xf numFmtId="0" fontId="77" fillId="9" borderId="0" applyNumberFormat="0" applyBorder="0" applyAlignment="0" applyProtection="0"/>
    <xf numFmtId="0" fontId="77" fillId="9" borderId="0" applyNumberFormat="0" applyBorder="0" applyAlignment="0" applyProtection="0"/>
    <xf numFmtId="0" fontId="77" fillId="10" borderId="0" applyNumberFormat="0" applyBorder="0" applyAlignment="0" applyProtection="0"/>
    <xf numFmtId="0" fontId="77" fillId="10" borderId="0" applyNumberFormat="0" applyBorder="0" applyAlignment="0" applyProtection="0"/>
    <xf numFmtId="0" fontId="77" fillId="8" borderId="0" applyNumberFormat="0" applyBorder="0" applyAlignment="0" applyProtection="0"/>
    <xf numFmtId="0" fontId="77" fillId="8" borderId="0" applyNumberFormat="0" applyBorder="0" applyAlignment="0" applyProtection="0"/>
    <xf numFmtId="0" fontId="77" fillId="3" borderId="0" applyNumberFormat="0" applyBorder="0" applyAlignment="0" applyProtection="0"/>
    <xf numFmtId="0" fontId="77" fillId="3"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46" fillId="0" borderId="0"/>
    <xf numFmtId="0" fontId="120" fillId="0" borderId="0"/>
    <xf numFmtId="0" fontId="46" fillId="0" borderId="0"/>
    <xf numFmtId="0" fontId="116" fillId="0" borderId="0"/>
    <xf numFmtId="0" fontId="46" fillId="0" borderId="0"/>
    <xf numFmtId="0" fontId="79" fillId="12" borderId="1" applyNumberFormat="0" applyAlignment="0" applyProtection="0"/>
    <xf numFmtId="0" fontId="79" fillId="12" borderId="1" applyNumberFormat="0" applyAlignment="0" applyProtection="0"/>
    <xf numFmtId="0" fontId="80" fillId="13" borderId="2" applyNumberFormat="0" applyAlignment="0" applyProtection="0"/>
    <xf numFmtId="0" fontId="80" fillId="13" borderId="2"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5" fontId="1" fillId="0" borderId="0" applyFont="0" applyFill="0" applyBorder="0" applyAlignment="0" applyProtection="0"/>
    <xf numFmtId="44" fontId="1" fillId="0" borderId="0" applyFon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131" fillId="0" borderId="0"/>
    <xf numFmtId="0" fontId="132" fillId="14" borderId="0"/>
    <xf numFmtId="0" fontId="82" fillId="15" borderId="0" applyNumberFormat="0" applyBorder="0" applyAlignment="0" applyProtection="0"/>
    <xf numFmtId="0" fontId="82" fillId="15" borderId="0" applyNumberFormat="0" applyBorder="0" applyAlignment="0" applyProtection="0"/>
    <xf numFmtId="0" fontId="83" fillId="0" borderId="3" applyNumberFormat="0" applyFill="0" applyAlignment="0" applyProtection="0"/>
    <xf numFmtId="0" fontId="83" fillId="0" borderId="3" applyNumberFormat="0" applyFill="0" applyAlignment="0" applyProtection="0"/>
    <xf numFmtId="0" fontId="84" fillId="0" borderId="4" applyNumberFormat="0" applyFill="0" applyAlignment="0" applyProtection="0"/>
    <xf numFmtId="0" fontId="84" fillId="0" borderId="4" applyNumberFormat="0" applyFill="0" applyAlignment="0" applyProtection="0"/>
    <xf numFmtId="0" fontId="85" fillId="0" borderId="5" applyNumberFormat="0" applyFill="0" applyAlignment="0" applyProtection="0"/>
    <xf numFmtId="0" fontId="85" fillId="0" borderId="5" applyNumberFormat="0" applyFill="0" applyAlignment="0" applyProtection="0"/>
    <xf numFmtId="0" fontId="85" fillId="0" borderId="0" applyNumberFormat="0" applyFill="0" applyBorder="0" applyAlignment="0" applyProtection="0"/>
    <xf numFmtId="0" fontId="85" fillId="0" borderId="0" applyNumberFormat="0" applyFill="0" applyBorder="0" applyAlignment="0" applyProtection="0"/>
    <xf numFmtId="0" fontId="133" fillId="0" borderId="0">
      <alignment wrapText="1"/>
    </xf>
    <xf numFmtId="0" fontId="86" fillId="4" borderId="1" applyNumberFormat="0" applyAlignment="0" applyProtection="0"/>
    <xf numFmtId="0" fontId="86" fillId="4" borderId="1" applyNumberFormat="0" applyAlignment="0" applyProtection="0"/>
    <xf numFmtId="0" fontId="87" fillId="0" borderId="6" applyNumberFormat="0" applyFill="0" applyAlignment="0" applyProtection="0"/>
    <xf numFmtId="0" fontId="87" fillId="0" borderId="6" applyNumberFormat="0" applyFill="0" applyAlignment="0" applyProtection="0"/>
    <xf numFmtId="0" fontId="132" fillId="0" borderId="0"/>
    <xf numFmtId="0" fontId="134" fillId="0" borderId="0"/>
    <xf numFmtId="0" fontId="135" fillId="0" borderId="0"/>
    <xf numFmtId="0" fontId="88" fillId="4" borderId="0" applyNumberFormat="0" applyBorder="0" applyAlignment="0" applyProtection="0"/>
    <xf numFmtId="0" fontId="88" fillId="4" borderId="0" applyNumberFormat="0" applyBorder="0" applyAlignment="0" applyProtection="0"/>
    <xf numFmtId="0" fontId="2" fillId="0" borderId="0"/>
    <xf numFmtId="0" fontId="1" fillId="0" borderId="0"/>
    <xf numFmtId="0" fontId="2" fillId="0" borderId="0"/>
    <xf numFmtId="37" fontId="3" fillId="0" borderId="0" applyAlignment="0"/>
    <xf numFmtId="0" fontId="183" fillId="0" borderId="0"/>
    <xf numFmtId="37" fontId="17" fillId="0" borderId="0" applyNumberFormat="0" applyFont="0" applyFill="0" applyBorder="0" applyAlignment="0" applyProtection="0"/>
    <xf numFmtId="0" fontId="1" fillId="0" borderId="0"/>
    <xf numFmtId="37" fontId="17" fillId="0" borderId="0" applyAlignment="0"/>
    <xf numFmtId="0" fontId="18" fillId="0" borderId="0"/>
    <xf numFmtId="37" fontId="17" fillId="0" borderId="0" applyAlignment="0"/>
    <xf numFmtId="0" fontId="1" fillId="4" borderId="7" applyNumberFormat="0" applyFont="0" applyAlignment="0" applyProtection="0"/>
    <xf numFmtId="0" fontId="2" fillId="4" borderId="7" applyNumberFormat="0" applyFont="0" applyAlignment="0" applyProtection="0"/>
    <xf numFmtId="0" fontId="89" fillId="12" borderId="8" applyNumberFormat="0" applyAlignment="0" applyProtection="0"/>
    <xf numFmtId="0" fontId="89" fillId="12" borderId="8" applyNumberFormat="0" applyAlignment="0" applyProtection="0"/>
    <xf numFmtId="0" fontId="47" fillId="0" borderId="0">
      <alignment vertical="center"/>
    </xf>
    <xf numFmtId="0" fontId="135" fillId="0" borderId="0"/>
    <xf numFmtId="9" fontId="2" fillId="0" borderId="0" applyFont="0" applyFill="0" applyBorder="0" applyAlignment="0" applyProtection="0"/>
    <xf numFmtId="9" fontId="2" fillId="0" borderId="0" applyFont="0" applyFill="0" applyBorder="0" applyAlignment="0" applyProtection="0"/>
    <xf numFmtId="166" fontId="17"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6" fillId="16" borderId="0" applyNumberFormat="0" applyFont="0" applyBorder="0" applyAlignment="0" applyProtection="0"/>
    <xf numFmtId="0" fontId="2" fillId="16" borderId="0" applyNumberFormat="0" applyFont="0" applyBorder="0" applyAlignment="0" applyProtection="0"/>
    <xf numFmtId="0" fontId="2" fillId="16" borderId="0" applyNumberFormat="0" applyFont="0" applyBorder="0" applyAlignment="0" applyProtection="0"/>
    <xf numFmtId="0" fontId="48" fillId="0" borderId="0"/>
    <xf numFmtId="0" fontId="121" fillId="0" borderId="0"/>
    <xf numFmtId="0" fontId="48" fillId="0" borderId="0"/>
    <xf numFmtId="0" fontId="117" fillId="0" borderId="0"/>
    <xf numFmtId="0" fontId="48" fillId="0" borderId="0"/>
    <xf numFmtId="0" fontId="48" fillId="0" borderId="9">
      <alignment horizontal="centerContinuous"/>
    </xf>
    <xf numFmtId="0" fontId="121" fillId="0" borderId="9">
      <alignment horizontal="centerContinuous"/>
    </xf>
    <xf numFmtId="0" fontId="48" fillId="0" borderId="9">
      <alignment horizontal="centerContinuous"/>
    </xf>
    <xf numFmtId="0" fontId="117" fillId="0" borderId="9">
      <alignment horizontal="centerContinuous"/>
    </xf>
    <xf numFmtId="0" fontId="48" fillId="0" borderId="9">
      <alignment horizontal="centerContinuous"/>
    </xf>
    <xf numFmtId="0" fontId="49" fillId="0" borderId="9"/>
    <xf numFmtId="0" fontId="1" fillId="0" borderId="0">
      <alignment vertical="top"/>
    </xf>
    <xf numFmtId="0" fontId="2" fillId="0" borderId="0">
      <alignment vertical="top"/>
    </xf>
    <xf numFmtId="0" fontId="1" fillId="0" borderId="0">
      <alignment vertical="top"/>
    </xf>
    <xf numFmtId="0" fontId="2" fillId="0" borderId="0">
      <alignment vertical="top"/>
    </xf>
    <xf numFmtId="0" fontId="90" fillId="0" borderId="0" applyNumberFormat="0" applyFill="0" applyBorder="0" applyAlignment="0" applyProtection="0"/>
    <xf numFmtId="0" fontId="90" fillId="0" borderId="0" applyNumberFormat="0" applyFill="0" applyBorder="0" applyAlignment="0" applyProtection="0"/>
    <xf numFmtId="0" fontId="91" fillId="0" borderId="10" applyNumberFormat="0" applyFill="0" applyAlignment="0" applyProtection="0"/>
    <xf numFmtId="0" fontId="91" fillId="0" borderId="10" applyNumberFormat="0" applyFill="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1" fillId="16" borderId="0" applyNumberFormat="0" applyFont="0" applyBorder="0" applyAlignment="0" applyProtection="0"/>
    <xf numFmtId="0" fontId="209" fillId="0" borderId="0"/>
  </cellStyleXfs>
  <cellXfs count="3977">
    <xf numFmtId="37" fontId="0" fillId="0" borderId="0" xfId="0"/>
    <xf numFmtId="37" fontId="21" fillId="0" borderId="11" xfId="0" applyNumberFormat="1" applyFont="1" applyFill="1" applyBorder="1" applyAlignment="1">
      <alignment horizontal="center"/>
    </xf>
    <xf numFmtId="37" fontId="16" fillId="0" borderId="0" xfId="0" applyNumberFormat="1" applyFont="1"/>
    <xf numFmtId="37" fontId="21" fillId="0" borderId="0" xfId="0" applyNumberFormat="1" applyFont="1"/>
    <xf numFmtId="166" fontId="22" fillId="0" borderId="0" xfId="0" applyNumberFormat="1" applyFont="1"/>
    <xf numFmtId="37" fontId="0" fillId="0" borderId="0" xfId="0" applyAlignment="1">
      <alignment horizontal="center"/>
    </xf>
    <xf numFmtId="37" fontId="0" fillId="17" borderId="0" xfId="0" applyFill="1"/>
    <xf numFmtId="37" fontId="0" fillId="18" borderId="0" xfId="0" applyFill="1" applyAlignment="1">
      <alignment horizontal="right"/>
    </xf>
    <xf numFmtId="37" fontId="0" fillId="0" borderId="0" xfId="0" applyAlignment="1">
      <alignment horizontal="right"/>
    </xf>
    <xf numFmtId="37" fontId="0" fillId="0" borderId="11" xfId="0" applyBorder="1"/>
    <xf numFmtId="37" fontId="16" fillId="0" borderId="0" xfId="0" applyNumberFormat="1" applyFont="1" applyAlignment="1">
      <alignment horizontal="right"/>
    </xf>
    <xf numFmtId="166" fontId="16" fillId="0" borderId="0" xfId="0" applyNumberFormat="1" applyFont="1"/>
    <xf numFmtId="37" fontId="16" fillId="0" borderId="0" xfId="0" applyNumberFormat="1" applyFont="1" applyAlignment="1">
      <alignment horizontal="left"/>
    </xf>
    <xf numFmtId="166" fontId="26" fillId="0" borderId="0" xfId="0" applyNumberFormat="1" applyFont="1" applyAlignment="1">
      <alignment horizontal="center"/>
    </xf>
    <xf numFmtId="37" fontId="21" fillId="0" borderId="0" xfId="0" applyNumberFormat="1" applyFont="1" applyAlignment="1">
      <alignment horizontal="left"/>
    </xf>
    <xf numFmtId="37" fontId="16" fillId="0" borderId="11" xfId="0" applyNumberFormat="1" applyFont="1" applyBorder="1"/>
    <xf numFmtId="37" fontId="16" fillId="0" borderId="19" xfId="0" applyNumberFormat="1" applyFont="1" applyBorder="1"/>
    <xf numFmtId="170" fontId="16" fillId="0" borderId="0" xfId="0" applyNumberFormat="1" applyFont="1"/>
    <xf numFmtId="37" fontId="16" fillId="0" borderId="20" xfId="0" applyNumberFormat="1" applyFont="1" applyBorder="1"/>
    <xf numFmtId="37" fontId="26" fillId="0" borderId="21" xfId="0" applyNumberFormat="1" applyFont="1" applyBorder="1" applyAlignment="1">
      <alignment horizontal="center"/>
    </xf>
    <xf numFmtId="37" fontId="21" fillId="0" borderId="20" xfId="0" applyNumberFormat="1" applyFont="1" applyBorder="1"/>
    <xf numFmtId="5" fontId="16" fillId="0" borderId="0" xfId="0" applyNumberFormat="1" applyFont="1"/>
    <xf numFmtId="37" fontId="26" fillId="0" borderId="22" xfId="0" applyNumberFormat="1" applyFont="1" applyBorder="1" applyAlignment="1">
      <alignment horizontal="center"/>
    </xf>
    <xf numFmtId="37" fontId="26" fillId="0" borderId="0" xfId="0" applyNumberFormat="1" applyFont="1" applyAlignment="1">
      <alignment horizontal="center"/>
    </xf>
    <xf numFmtId="37" fontId="26" fillId="0" borderId="11" xfId="0" applyNumberFormat="1" applyFont="1" applyBorder="1" applyAlignment="1">
      <alignment horizontal="center"/>
    </xf>
    <xf numFmtId="37" fontId="16" fillId="0" borderId="23" xfId="0" applyNumberFormat="1" applyFont="1" applyBorder="1" applyAlignment="1">
      <alignment horizontal="center"/>
    </xf>
    <xf numFmtId="37" fontId="16" fillId="0" borderId="24" xfId="0" applyNumberFormat="1" applyFont="1" applyBorder="1" applyAlignment="1">
      <alignment horizontal="center"/>
    </xf>
    <xf numFmtId="37" fontId="16" fillId="0" borderId="20" xfId="0" applyNumberFormat="1" applyFont="1" applyBorder="1" applyAlignment="1">
      <alignment horizontal="left"/>
    </xf>
    <xf numFmtId="37" fontId="16" fillId="0" borderId="21" xfId="0" applyNumberFormat="1" applyFont="1" applyBorder="1"/>
    <xf numFmtId="37" fontId="16" fillId="0" borderId="25" xfId="0" applyNumberFormat="1" applyFont="1" applyBorder="1" applyAlignment="1">
      <alignment horizontal="left"/>
    </xf>
    <xf numFmtId="9" fontId="26" fillId="0" borderId="26" xfId="0" applyNumberFormat="1" applyFont="1" applyBorder="1" applyAlignment="1">
      <alignment horizontal="center"/>
    </xf>
    <xf numFmtId="9" fontId="26" fillId="0" borderId="0" xfId="0" applyNumberFormat="1" applyFont="1" applyAlignment="1">
      <alignment horizontal="center"/>
    </xf>
    <xf numFmtId="166" fontId="26" fillId="0" borderId="26" xfId="0" applyNumberFormat="1" applyFont="1" applyBorder="1" applyAlignment="1">
      <alignment horizontal="center"/>
    </xf>
    <xf numFmtId="166" fontId="26" fillId="0" borderId="21" xfId="0" applyNumberFormat="1" applyFont="1" applyBorder="1" applyAlignment="1">
      <alignment horizontal="center"/>
    </xf>
    <xf numFmtId="7" fontId="26" fillId="0" borderId="0" xfId="0" applyNumberFormat="1" applyFont="1" applyAlignment="1">
      <alignment horizontal="right"/>
    </xf>
    <xf numFmtId="7" fontId="16" fillId="0" borderId="0" xfId="0" applyNumberFormat="1" applyFont="1" applyAlignment="1">
      <alignment horizontal="right"/>
    </xf>
    <xf numFmtId="169" fontId="26" fillId="0" borderId="0" xfId="0" applyNumberFormat="1" applyFont="1"/>
    <xf numFmtId="5" fontId="26" fillId="0" borderId="21" xfId="0" applyNumberFormat="1" applyFont="1" applyBorder="1" applyAlignment="1">
      <alignment horizontal="center"/>
    </xf>
    <xf numFmtId="10" fontId="16" fillId="0" borderId="0" xfId="0" applyNumberFormat="1" applyFont="1"/>
    <xf numFmtId="37" fontId="16" fillId="0" borderId="9" xfId="0" applyNumberFormat="1" applyFont="1" applyBorder="1"/>
    <xf numFmtId="37" fontId="16" fillId="0" borderId="27" xfId="0" applyNumberFormat="1" applyFont="1" applyBorder="1"/>
    <xf numFmtId="5" fontId="16" fillId="0" borderId="9" xfId="0" applyNumberFormat="1" applyFont="1" applyBorder="1"/>
    <xf numFmtId="5" fontId="16" fillId="0" borderId="28" xfId="0" applyNumberFormat="1" applyFont="1" applyBorder="1"/>
    <xf numFmtId="37" fontId="0" fillId="0" borderId="0" xfId="0" applyAlignment="1">
      <alignment horizontal="left"/>
    </xf>
    <xf numFmtId="37" fontId="0" fillId="0" borderId="20" xfId="0" applyBorder="1"/>
    <xf numFmtId="37" fontId="0" fillId="0" borderId="11" xfId="0" applyBorder="1" applyAlignment="1">
      <alignment horizontal="center"/>
    </xf>
    <xf numFmtId="37" fontId="0" fillId="0" borderId="21" xfId="0" applyBorder="1" applyAlignment="1">
      <alignment horizontal="center"/>
    </xf>
    <xf numFmtId="5" fontId="26" fillId="0" borderId="0" xfId="0" applyNumberFormat="1" applyFont="1" applyAlignment="1">
      <alignment horizontal="right"/>
    </xf>
    <xf numFmtId="5" fontId="16" fillId="0" borderId="0" xfId="0" applyNumberFormat="1" applyFont="1" applyAlignment="1">
      <alignment horizontal="left"/>
    </xf>
    <xf numFmtId="37" fontId="26" fillId="0" borderId="0" xfId="0" applyNumberFormat="1" applyFont="1" applyAlignment="1">
      <alignment horizontal="right"/>
    </xf>
    <xf numFmtId="166" fontId="26" fillId="0" borderId="29" xfId="0" applyNumberFormat="1" applyFont="1" applyBorder="1" applyAlignment="1">
      <alignment horizontal="center"/>
    </xf>
    <xf numFmtId="166" fontId="16" fillId="0" borderId="0" xfId="0" applyNumberFormat="1" applyFont="1" applyAlignment="1">
      <alignment horizontal="right"/>
    </xf>
    <xf numFmtId="5" fontId="16" fillId="19" borderId="0" xfId="0" applyNumberFormat="1" applyFont="1" applyFill="1"/>
    <xf numFmtId="172" fontId="16" fillId="0" borderId="0" xfId="0" applyNumberFormat="1" applyFont="1"/>
    <xf numFmtId="172" fontId="29" fillId="0" borderId="0" xfId="0" applyNumberFormat="1" applyFont="1"/>
    <xf numFmtId="170" fontId="21" fillId="0" borderId="0" xfId="0" applyNumberFormat="1" applyFont="1"/>
    <xf numFmtId="5" fontId="21" fillId="0" borderId="0" xfId="0" applyNumberFormat="1" applyFont="1"/>
    <xf numFmtId="37" fontId="21" fillId="0" borderId="20" xfId="0" applyNumberFormat="1" applyFont="1" applyBorder="1" applyAlignment="1">
      <alignment horizontal="left"/>
    </xf>
    <xf numFmtId="5" fontId="21" fillId="0" borderId="0" xfId="0" applyNumberFormat="1" applyFont="1" applyAlignment="1">
      <alignment horizontal="left"/>
    </xf>
    <xf numFmtId="37" fontId="19" fillId="0" borderId="0" xfId="0" applyNumberFormat="1" applyFont="1" applyAlignment="1">
      <alignment horizontal="left"/>
    </xf>
    <xf numFmtId="37" fontId="16" fillId="0" borderId="30" xfId="0" applyNumberFormat="1" applyFont="1" applyBorder="1"/>
    <xf numFmtId="37" fontId="16" fillId="0" borderId="31" xfId="0" applyNumberFormat="1" applyFont="1" applyBorder="1"/>
    <xf numFmtId="37" fontId="16" fillId="0" borderId="19" xfId="0" applyNumberFormat="1" applyFont="1" applyBorder="1" applyAlignment="1">
      <alignment horizontal="left"/>
    </xf>
    <xf numFmtId="5" fontId="16" fillId="0" borderId="0" xfId="0" applyNumberFormat="1" applyFont="1" applyAlignment="1">
      <alignment horizontal="right"/>
    </xf>
    <xf numFmtId="170" fontId="16" fillId="0" borderId="21" xfId="0" applyNumberFormat="1" applyFont="1" applyBorder="1"/>
    <xf numFmtId="170" fontId="16" fillId="0" borderId="29" xfId="0" applyNumberFormat="1" applyFont="1" applyBorder="1"/>
    <xf numFmtId="170" fontId="16" fillId="0" borderId="20" xfId="0" applyNumberFormat="1" applyFont="1" applyBorder="1"/>
    <xf numFmtId="5" fontId="16" fillId="0" borderId="32" xfId="0" applyNumberFormat="1" applyFont="1" applyBorder="1"/>
    <xf numFmtId="5" fontId="16" fillId="0" borderId="33" xfId="0" applyNumberFormat="1" applyFont="1" applyBorder="1"/>
    <xf numFmtId="37" fontId="31" fillId="0" borderId="0" xfId="0" applyNumberFormat="1" applyFont="1" applyAlignment="1">
      <alignment horizontal="right"/>
    </xf>
    <xf numFmtId="37" fontId="16" fillId="0" borderId="0" xfId="0" applyFont="1"/>
    <xf numFmtId="172" fontId="16" fillId="0" borderId="29" xfId="0" applyNumberFormat="1" applyFont="1" applyBorder="1"/>
    <xf numFmtId="172" fontId="29" fillId="0" borderId="29" xfId="0" applyNumberFormat="1" applyFont="1" applyBorder="1"/>
    <xf numFmtId="170" fontId="21" fillId="0" borderId="29" xfId="0" applyNumberFormat="1" applyFont="1" applyBorder="1"/>
    <xf numFmtId="5" fontId="16" fillId="0" borderId="34" xfId="0" applyNumberFormat="1" applyFont="1" applyBorder="1"/>
    <xf numFmtId="37" fontId="16" fillId="0" borderId="34" xfId="0" applyNumberFormat="1" applyFont="1" applyBorder="1"/>
    <xf numFmtId="38" fontId="16" fillId="0" borderId="0" xfId="0" applyNumberFormat="1" applyFont="1"/>
    <xf numFmtId="37" fontId="0" fillId="0" borderId="35" xfId="0" applyBorder="1"/>
    <xf numFmtId="37" fontId="0" fillId="0" borderId="36" xfId="0" applyBorder="1"/>
    <xf numFmtId="37" fontId="0" fillId="0" borderId="9" xfId="0" applyBorder="1"/>
    <xf numFmtId="37" fontId="37" fillId="0" borderId="0" xfId="0" applyNumberFormat="1" applyFont="1"/>
    <xf numFmtId="49" fontId="37" fillId="0" borderId="0" xfId="0" applyNumberFormat="1" applyFont="1"/>
    <xf numFmtId="37" fontId="0" fillId="0" borderId="37" xfId="0" applyBorder="1"/>
    <xf numFmtId="37" fontId="0" fillId="0" borderId="34" xfId="0" applyBorder="1"/>
    <xf numFmtId="37" fontId="38" fillId="0" borderId="0" xfId="0" applyNumberFormat="1" applyFont="1"/>
    <xf numFmtId="37" fontId="26" fillId="0" borderId="0" xfId="0" applyFont="1"/>
    <xf numFmtId="37" fontId="0" fillId="0" borderId="38" xfId="0" applyBorder="1"/>
    <xf numFmtId="37" fontId="16" fillId="17" borderId="11" xfId="0" applyNumberFormat="1" applyFont="1" applyFill="1" applyBorder="1"/>
    <xf numFmtId="37" fontId="16" fillId="0" borderId="39" xfId="0" applyNumberFormat="1" applyFont="1" applyBorder="1" applyAlignment="1">
      <alignment horizontal="center"/>
    </xf>
    <xf numFmtId="37" fontId="16" fillId="0" borderId="40" xfId="0" applyNumberFormat="1" applyFont="1" applyBorder="1"/>
    <xf numFmtId="9" fontId="26" fillId="0" borderId="36" xfId="0" applyNumberFormat="1" applyFont="1" applyBorder="1" applyAlignment="1">
      <alignment horizontal="center"/>
    </xf>
    <xf numFmtId="9" fontId="26" fillId="0" borderId="41" xfId="0" applyNumberFormat="1" applyFont="1" applyBorder="1" applyAlignment="1">
      <alignment horizontal="center"/>
    </xf>
    <xf numFmtId="37" fontId="26" fillId="0" borderId="41" xfId="0" applyNumberFormat="1" applyFont="1" applyBorder="1" applyAlignment="1">
      <alignment horizontal="center"/>
    </xf>
    <xf numFmtId="10" fontId="26" fillId="0" borderId="41" xfId="0" applyNumberFormat="1" applyFont="1" applyBorder="1" applyAlignment="1">
      <alignment horizontal="center"/>
    </xf>
    <xf numFmtId="6" fontId="26" fillId="0" borderId="41" xfId="0" applyNumberFormat="1" applyFont="1" applyBorder="1" applyAlignment="1">
      <alignment horizontal="center"/>
    </xf>
    <xf numFmtId="166" fontId="26" fillId="0" borderId="41" xfId="0" applyNumberFormat="1" applyFont="1" applyBorder="1" applyAlignment="1">
      <alignment horizontal="center"/>
    </xf>
    <xf numFmtId="37" fontId="26" fillId="0" borderId="42" xfId="0" applyNumberFormat="1" applyFont="1" applyBorder="1" applyAlignment="1">
      <alignment horizontal="center"/>
    </xf>
    <xf numFmtId="9" fontId="26" fillId="0" borderId="43" xfId="0" applyNumberFormat="1" applyFont="1" applyBorder="1" applyAlignment="1">
      <alignment horizontal="center"/>
    </xf>
    <xf numFmtId="9" fontId="31" fillId="0" borderId="43" xfId="0" applyNumberFormat="1" applyFont="1" applyBorder="1" applyAlignment="1">
      <alignment horizontal="center"/>
    </xf>
    <xf numFmtId="37" fontId="31" fillId="0" borderId="41" xfId="0" applyNumberFormat="1" applyFont="1" applyBorder="1" applyAlignment="1">
      <alignment horizontal="center"/>
    </xf>
    <xf numFmtId="6" fontId="31" fillId="0" borderId="41" xfId="0" applyNumberFormat="1" applyFont="1" applyBorder="1" applyAlignment="1">
      <alignment horizontal="center"/>
    </xf>
    <xf numFmtId="166" fontId="31" fillId="0" borderId="41" xfId="0" applyNumberFormat="1" applyFont="1" applyBorder="1" applyAlignment="1">
      <alignment horizontal="center"/>
    </xf>
    <xf numFmtId="37" fontId="16" fillId="0" borderId="44" xfId="0" applyNumberFormat="1" applyFont="1" applyBorder="1" applyAlignment="1">
      <alignment horizontal="center"/>
    </xf>
    <xf numFmtId="9" fontId="26" fillId="0" borderId="45" xfId="0" applyNumberFormat="1" applyFont="1" applyBorder="1" applyAlignment="1">
      <alignment horizontal="center"/>
    </xf>
    <xf numFmtId="37" fontId="26" fillId="0" borderId="46" xfId="0" applyNumberFormat="1" applyFont="1" applyBorder="1" applyAlignment="1">
      <alignment horizontal="center"/>
    </xf>
    <xf numFmtId="6" fontId="26" fillId="0" borderId="46" xfId="0" applyNumberFormat="1" applyFont="1" applyBorder="1" applyAlignment="1">
      <alignment horizontal="center"/>
    </xf>
    <xf numFmtId="166" fontId="26" fillId="0" borderId="46" xfId="0" applyNumberFormat="1" applyFont="1" applyBorder="1" applyAlignment="1">
      <alignment horizontal="center"/>
    </xf>
    <xf numFmtId="37" fontId="26" fillId="0" borderId="47" xfId="0" applyNumberFormat="1" applyFont="1" applyBorder="1" applyAlignment="1">
      <alignment horizontal="center"/>
    </xf>
    <xf numFmtId="37" fontId="31" fillId="0" borderId="42" xfId="0" applyNumberFormat="1" applyFont="1" applyBorder="1" applyAlignment="1">
      <alignment horizontal="center"/>
    </xf>
    <xf numFmtId="37" fontId="26" fillId="0" borderId="9" xfId="0" applyNumberFormat="1" applyFont="1" applyBorder="1" applyAlignment="1">
      <alignment horizontal="left"/>
    </xf>
    <xf numFmtId="37" fontId="16" fillId="0" borderId="48" xfId="0" applyNumberFormat="1" applyFont="1" applyBorder="1" applyAlignment="1">
      <alignment horizontal="left"/>
    </xf>
    <xf numFmtId="37" fontId="16" fillId="0" borderId="49" xfId="0" applyNumberFormat="1" applyFont="1" applyBorder="1"/>
    <xf numFmtId="37" fontId="16" fillId="0" borderId="50" xfId="0" applyNumberFormat="1" applyFont="1" applyBorder="1"/>
    <xf numFmtId="37" fontId="16" fillId="0" borderId="50" xfId="0" applyNumberFormat="1" applyFont="1" applyBorder="1" applyAlignment="1">
      <alignment horizontal="left"/>
    </xf>
    <xf numFmtId="37" fontId="16" fillId="0" borderId="51" xfId="0" applyNumberFormat="1" applyFont="1" applyBorder="1" applyAlignment="1">
      <alignment horizontal="left"/>
    </xf>
    <xf numFmtId="9" fontId="31" fillId="0" borderId="26" xfId="0" applyNumberFormat="1" applyFont="1" applyBorder="1" applyAlignment="1">
      <alignment horizontal="center"/>
    </xf>
    <xf numFmtId="9" fontId="31" fillId="0" borderId="21" xfId="0" applyNumberFormat="1" applyFont="1" applyBorder="1" applyAlignment="1">
      <alignment horizontal="center"/>
    </xf>
    <xf numFmtId="37" fontId="31" fillId="0" borderId="21" xfId="0" applyNumberFormat="1" applyFont="1" applyBorder="1" applyAlignment="1">
      <alignment horizontal="center"/>
    </xf>
    <xf numFmtId="10" fontId="31" fillId="0" borderId="21" xfId="0" applyNumberFormat="1" applyFont="1" applyBorder="1" applyAlignment="1">
      <alignment horizontal="center"/>
    </xf>
    <xf numFmtId="6" fontId="31" fillId="0" borderId="21" xfId="0" applyNumberFormat="1" applyFont="1" applyBorder="1" applyAlignment="1">
      <alignment horizontal="center"/>
    </xf>
    <xf numFmtId="37" fontId="31" fillId="0" borderId="22" xfId="0" applyNumberFormat="1" applyFont="1" applyBorder="1" applyAlignment="1">
      <alignment horizontal="center"/>
    </xf>
    <xf numFmtId="37" fontId="16" fillId="0" borderId="41" xfId="0" applyNumberFormat="1" applyFont="1" applyBorder="1"/>
    <xf numFmtId="37" fontId="16" fillId="0" borderId="41" xfId="0" applyNumberFormat="1" applyFont="1" applyBorder="1" applyAlignment="1">
      <alignment horizontal="left"/>
    </xf>
    <xf numFmtId="37" fontId="16" fillId="0" borderId="42" xfId="0" applyNumberFormat="1" applyFont="1" applyBorder="1" applyAlignment="1">
      <alignment horizontal="left"/>
    </xf>
    <xf numFmtId="37" fontId="16" fillId="0" borderId="52" xfId="0" applyNumberFormat="1" applyFont="1" applyBorder="1" applyAlignment="1">
      <alignment horizontal="center"/>
    </xf>
    <xf numFmtId="37" fontId="16" fillId="0" borderId="30" xfId="0" applyNumberFormat="1" applyFont="1" applyBorder="1" applyAlignment="1">
      <alignment horizontal="center"/>
    </xf>
    <xf numFmtId="37" fontId="26" fillId="0" borderId="34" xfId="0" applyNumberFormat="1" applyFont="1" applyBorder="1" applyAlignment="1">
      <alignment horizontal="center"/>
    </xf>
    <xf numFmtId="166" fontId="26" fillId="0" borderId="34" xfId="0" applyNumberFormat="1" applyFont="1" applyBorder="1" applyAlignment="1">
      <alignment horizontal="center"/>
    </xf>
    <xf numFmtId="37" fontId="16" fillId="0" borderId="53" xfId="0" applyNumberFormat="1" applyFont="1" applyBorder="1"/>
    <xf numFmtId="37" fontId="16" fillId="0" borderId="37" xfId="0" applyNumberFormat="1" applyFont="1" applyBorder="1"/>
    <xf numFmtId="37" fontId="16" fillId="0" borderId="37" xfId="0" applyNumberFormat="1" applyFont="1" applyBorder="1" applyAlignment="1">
      <alignment horizontal="left"/>
    </xf>
    <xf numFmtId="166" fontId="31" fillId="0" borderId="34" xfId="0" applyNumberFormat="1" applyFont="1" applyBorder="1" applyAlignment="1">
      <alignment horizontal="center"/>
    </xf>
    <xf numFmtId="37" fontId="16" fillId="0" borderId="27" xfId="0" applyNumberFormat="1" applyFont="1" applyBorder="1" applyAlignment="1">
      <alignment horizontal="left"/>
    </xf>
    <xf numFmtId="37" fontId="26" fillId="0" borderId="9" xfId="0" applyNumberFormat="1" applyFont="1" applyBorder="1" applyAlignment="1">
      <alignment horizontal="center"/>
    </xf>
    <xf numFmtId="37" fontId="26" fillId="0" borderId="28" xfId="0" applyNumberFormat="1" applyFont="1" applyBorder="1" applyAlignment="1">
      <alignment horizontal="center"/>
    </xf>
    <xf numFmtId="37" fontId="21" fillId="17" borderId="9" xfId="0" applyNumberFormat="1" applyFont="1" applyFill="1" applyBorder="1"/>
    <xf numFmtId="37" fontId="16" fillId="0" borderId="52" xfId="0" applyNumberFormat="1" applyFont="1" applyBorder="1" applyAlignment="1">
      <alignment horizontal="right"/>
    </xf>
    <xf numFmtId="5" fontId="16" fillId="0" borderId="26" xfId="0" applyNumberFormat="1" applyFont="1" applyBorder="1"/>
    <xf numFmtId="5" fontId="16" fillId="0" borderId="54" xfId="0" applyNumberFormat="1" applyFont="1" applyBorder="1"/>
    <xf numFmtId="5" fontId="16" fillId="0" borderId="54" xfId="0" applyNumberFormat="1" applyFont="1" applyBorder="1" applyAlignment="1">
      <alignment horizontal="right"/>
    </xf>
    <xf numFmtId="37" fontId="16" fillId="0" borderId="34" xfId="0" applyNumberFormat="1" applyFont="1" applyBorder="1" applyAlignment="1">
      <alignment horizontal="right"/>
    </xf>
    <xf numFmtId="5" fontId="16" fillId="0" borderId="34" xfId="0" applyNumberFormat="1" applyFont="1" applyBorder="1" applyAlignment="1">
      <alignment horizontal="right"/>
    </xf>
    <xf numFmtId="166" fontId="16" fillId="0" borderId="34" xfId="0" applyNumberFormat="1" applyFont="1" applyBorder="1" applyAlignment="1">
      <alignment horizontal="right"/>
    </xf>
    <xf numFmtId="37" fontId="16" fillId="0" borderId="55" xfId="0" applyNumberFormat="1" applyFont="1" applyBorder="1" applyAlignment="1">
      <alignment horizontal="center"/>
    </xf>
    <xf numFmtId="37" fontId="26" fillId="0" borderId="29" xfId="0" applyNumberFormat="1" applyFont="1" applyBorder="1" applyAlignment="1">
      <alignment horizontal="center"/>
    </xf>
    <xf numFmtId="166" fontId="31" fillId="0" borderId="29" xfId="0" applyNumberFormat="1" applyFont="1" applyBorder="1" applyAlignment="1">
      <alignment horizontal="center"/>
    </xf>
    <xf numFmtId="37" fontId="26" fillId="0" borderId="35" xfId="0" applyNumberFormat="1" applyFont="1" applyBorder="1" applyAlignment="1">
      <alignment horizontal="center"/>
    </xf>
    <xf numFmtId="37" fontId="26" fillId="17" borderId="11" xfId="0" applyNumberFormat="1" applyFont="1" applyFill="1" applyBorder="1" applyAlignment="1">
      <alignment horizontal="left"/>
    </xf>
    <xf numFmtId="37" fontId="16" fillId="0" borderId="56" xfId="0" applyNumberFormat="1" applyFont="1" applyBorder="1" applyAlignment="1">
      <alignment horizontal="left"/>
    </xf>
    <xf numFmtId="39" fontId="16" fillId="0" borderId="0" xfId="0" applyNumberFormat="1" applyFont="1"/>
    <xf numFmtId="2" fontId="16" fillId="0" borderId="0" xfId="0" applyNumberFormat="1" applyFont="1"/>
    <xf numFmtId="37" fontId="16" fillId="0" borderId="30" xfId="0" applyNumberFormat="1" applyFont="1" applyBorder="1" applyAlignment="1">
      <alignment horizontal="right"/>
    </xf>
    <xf numFmtId="37" fontId="16" fillId="0" borderId="53" xfId="0" applyNumberFormat="1" applyFont="1" applyBorder="1" applyAlignment="1">
      <alignment horizontal="left"/>
    </xf>
    <xf numFmtId="7" fontId="16" fillId="0" borderId="34" xfId="0" applyNumberFormat="1" applyFont="1" applyBorder="1" applyAlignment="1">
      <alignment horizontal="right"/>
    </xf>
    <xf numFmtId="37" fontId="0" fillId="0" borderId="41" xfId="0" applyBorder="1" applyAlignment="1">
      <alignment horizontal="center"/>
    </xf>
    <xf numFmtId="37" fontId="0" fillId="0" borderId="34" xfId="0" applyBorder="1" applyAlignment="1">
      <alignment horizontal="center"/>
    </xf>
    <xf numFmtId="37" fontId="0" fillId="0" borderId="28" xfId="0" applyBorder="1"/>
    <xf numFmtId="37" fontId="0" fillId="0" borderId="28" xfId="0" applyBorder="1" applyAlignment="1">
      <alignment horizontal="center"/>
    </xf>
    <xf numFmtId="37" fontId="0" fillId="0" borderId="27" xfId="0" applyBorder="1"/>
    <xf numFmtId="37" fontId="0" fillId="0" borderId="29" xfId="0" applyBorder="1" applyAlignment="1">
      <alignment horizontal="center"/>
    </xf>
    <xf numFmtId="37" fontId="16" fillId="19" borderId="20" xfId="0" applyNumberFormat="1" applyFont="1" applyFill="1" applyBorder="1"/>
    <xf numFmtId="37" fontId="21" fillId="19" borderId="37" xfId="0" applyNumberFormat="1" applyFont="1" applyFill="1" applyBorder="1"/>
    <xf numFmtId="37" fontId="16" fillId="19" borderId="33" xfId="0" applyNumberFormat="1" applyFont="1" applyFill="1" applyBorder="1"/>
    <xf numFmtId="177" fontId="16" fillId="19" borderId="0" xfId="0" applyNumberFormat="1" applyFont="1" applyFill="1"/>
    <xf numFmtId="177" fontId="16" fillId="19" borderId="9" xfId="0" applyNumberFormat="1" applyFont="1" applyFill="1" applyBorder="1" applyAlignment="1">
      <alignment horizontal="right"/>
    </xf>
    <xf numFmtId="177" fontId="16" fillId="19" borderId="57" xfId="0" applyNumberFormat="1" applyFont="1" applyFill="1" applyBorder="1" applyAlignment="1">
      <alignment horizontal="right"/>
    </xf>
    <xf numFmtId="177" fontId="21" fillId="19" borderId="0" xfId="0" applyNumberFormat="1" applyFont="1" applyFill="1"/>
    <xf numFmtId="177" fontId="16" fillId="19" borderId="21" xfId="0" applyNumberFormat="1" applyFont="1" applyFill="1" applyBorder="1"/>
    <xf numFmtId="177" fontId="21" fillId="19" borderId="34" xfId="0" applyNumberFormat="1" applyFont="1" applyFill="1" applyBorder="1"/>
    <xf numFmtId="177" fontId="16" fillId="0" borderId="9" xfId="0" applyNumberFormat="1" applyFont="1" applyBorder="1"/>
    <xf numFmtId="177" fontId="16" fillId="0" borderId="28" xfId="0" applyNumberFormat="1" applyFont="1" applyBorder="1"/>
    <xf numFmtId="37" fontId="16" fillId="0" borderId="58" xfId="0" applyNumberFormat="1" applyFont="1" applyBorder="1"/>
    <xf numFmtId="5" fontId="16" fillId="0" borderId="59" xfId="0" applyNumberFormat="1" applyFont="1" applyBorder="1"/>
    <xf numFmtId="37" fontId="21" fillId="0" borderId="34" xfId="0" applyNumberFormat="1" applyFont="1" applyBorder="1" applyAlignment="1">
      <alignment horizontal="right"/>
    </xf>
    <xf numFmtId="37" fontId="16" fillId="0" borderId="60" xfId="0" applyNumberFormat="1" applyFont="1" applyBorder="1" applyAlignment="1">
      <alignment horizontal="right"/>
    </xf>
    <xf numFmtId="177" fontId="16" fillId="0" borderId="61" xfId="0" applyNumberFormat="1" applyFont="1" applyBorder="1"/>
    <xf numFmtId="177" fontId="16" fillId="0" borderId="62" xfId="0" applyNumberFormat="1" applyFont="1" applyBorder="1"/>
    <xf numFmtId="166" fontId="16" fillId="0" borderId="54" xfId="0" applyNumberFormat="1" applyFont="1" applyBorder="1" applyAlignment="1">
      <alignment horizontal="center"/>
    </xf>
    <xf numFmtId="5" fontId="16" fillId="0" borderId="34" xfId="0" applyNumberFormat="1" applyFont="1" applyBorder="1" applyAlignment="1">
      <alignment horizontal="center"/>
    </xf>
    <xf numFmtId="7" fontId="16" fillId="0" borderId="28" xfId="0" applyNumberFormat="1" applyFont="1" applyBorder="1" applyAlignment="1">
      <alignment horizontal="center"/>
    </xf>
    <xf numFmtId="37" fontId="37" fillId="0" borderId="0" xfId="0" applyNumberFormat="1" applyFont="1" applyAlignment="1">
      <alignment horizontal="left"/>
    </xf>
    <xf numFmtId="37" fontId="16" fillId="0" borderId="0" xfId="0" applyFont="1" applyAlignment="1">
      <alignment horizontal="center"/>
    </xf>
    <xf numFmtId="179" fontId="16" fillId="0" borderId="0" xfId="0" applyNumberFormat="1" applyFont="1"/>
    <xf numFmtId="169" fontId="26" fillId="0" borderId="22" xfId="0" applyNumberFormat="1" applyFont="1" applyBorder="1"/>
    <xf numFmtId="41" fontId="16" fillId="0" borderId="0" xfId="0" applyNumberFormat="1" applyFont="1" applyAlignment="1">
      <alignment horizontal="left"/>
    </xf>
    <xf numFmtId="41" fontId="29" fillId="0" borderId="0" xfId="0" applyNumberFormat="1" applyFont="1" applyAlignment="1">
      <alignment horizontal="left"/>
    </xf>
    <xf numFmtId="41" fontId="16" fillId="0" borderId="0" xfId="0" applyNumberFormat="1" applyFont="1"/>
    <xf numFmtId="41" fontId="29" fillId="0" borderId="0" xfId="0" applyNumberFormat="1" applyFont="1"/>
    <xf numFmtId="41" fontId="16" fillId="0" borderId="20" xfId="0" applyNumberFormat="1" applyFont="1" applyBorder="1"/>
    <xf numFmtId="37" fontId="16" fillId="0" borderId="0" xfId="0" applyFont="1" applyAlignment="1">
      <alignment horizontal="right"/>
    </xf>
    <xf numFmtId="37" fontId="16" fillId="19" borderId="0" xfId="0" applyFont="1" applyFill="1"/>
    <xf numFmtId="37" fontId="16" fillId="0" borderId="0" xfId="0" applyFont="1" applyAlignment="1">
      <alignment horizontal="left"/>
    </xf>
    <xf numFmtId="37" fontId="16" fillId="0" borderId="21" xfId="0" applyFont="1" applyBorder="1"/>
    <xf numFmtId="37" fontId="16" fillId="0" borderId="20" xfId="0" applyFont="1" applyBorder="1"/>
    <xf numFmtId="37" fontId="16" fillId="0" borderId="29" xfId="0" applyFont="1" applyBorder="1"/>
    <xf numFmtId="37" fontId="16" fillId="0" borderId="11" xfId="0" applyFont="1" applyBorder="1"/>
    <xf numFmtId="37" fontId="16" fillId="0" borderId="35" xfId="0" applyFont="1" applyBorder="1"/>
    <xf numFmtId="37" fontId="16" fillId="0" borderId="36" xfId="0" applyFont="1" applyBorder="1"/>
    <xf numFmtId="37" fontId="16" fillId="0" borderId="0" xfId="0" applyFont="1" applyAlignment="1">
      <alignment horizontal="centerContinuous"/>
    </xf>
    <xf numFmtId="37" fontId="21" fillId="0" borderId="0" xfId="0" applyFont="1"/>
    <xf numFmtId="37" fontId="16" fillId="0" borderId="11" xfId="0" applyFont="1" applyBorder="1" applyAlignment="1">
      <alignment horizontal="centerContinuous"/>
    </xf>
    <xf numFmtId="37" fontId="21" fillId="18" borderId="0" xfId="0" applyFont="1" applyFill="1"/>
    <xf numFmtId="37" fontId="21" fillId="19" borderId="0" xfId="0" applyFont="1" applyFill="1"/>
    <xf numFmtId="170" fontId="21" fillId="0" borderId="21" xfId="0" applyNumberFormat="1" applyFont="1" applyBorder="1"/>
    <xf numFmtId="37" fontId="21" fillId="0" borderId="21" xfId="0" applyFont="1" applyBorder="1"/>
    <xf numFmtId="181" fontId="16" fillId="0" borderId="0" xfId="0" applyNumberFormat="1" applyFont="1"/>
    <xf numFmtId="181" fontId="16" fillId="0" borderId="21" xfId="0" applyNumberFormat="1" applyFont="1" applyBorder="1"/>
    <xf numFmtId="37" fontId="16" fillId="0" borderId="0" xfId="0" applyFont="1" applyFill="1"/>
    <xf numFmtId="37" fontId="16" fillId="0" borderId="21" xfId="0" applyFont="1" applyFill="1" applyBorder="1"/>
    <xf numFmtId="37" fontId="29" fillId="0" borderId="21" xfId="0" applyNumberFormat="1" applyFont="1" applyBorder="1"/>
    <xf numFmtId="181" fontId="29" fillId="0" borderId="0" xfId="0" applyNumberFormat="1" applyFont="1"/>
    <xf numFmtId="181" fontId="28" fillId="0" borderId="21" xfId="0" applyNumberFormat="1" applyFont="1" applyBorder="1"/>
    <xf numFmtId="37" fontId="16" fillId="0" borderId="0" xfId="0" applyFont="1" applyBorder="1"/>
    <xf numFmtId="37" fontId="16" fillId="0" borderId="0" xfId="0" applyNumberFormat="1" applyFont="1" applyBorder="1"/>
    <xf numFmtId="41" fontId="31" fillId="0" borderId="0" xfId="0" applyNumberFormat="1" applyFont="1" applyBorder="1"/>
    <xf numFmtId="41" fontId="16" fillId="0" borderId="0" xfId="0" applyNumberFormat="1" applyFont="1" applyBorder="1"/>
    <xf numFmtId="41" fontId="29" fillId="0" borderId="0" xfId="0" applyNumberFormat="1" applyFont="1" applyBorder="1"/>
    <xf numFmtId="37" fontId="21" fillId="0" borderId="0" xfId="0" applyFont="1" applyBorder="1"/>
    <xf numFmtId="170" fontId="16" fillId="0" borderId="0" xfId="0" applyNumberFormat="1" applyFont="1" applyBorder="1"/>
    <xf numFmtId="41" fontId="16" fillId="0" borderId="0" xfId="0" applyNumberFormat="1" applyFont="1" applyBorder="1" applyAlignment="1">
      <alignment horizontal="center"/>
    </xf>
    <xf numFmtId="41" fontId="16" fillId="0" borderId="0" xfId="0" applyNumberFormat="1" applyFont="1" applyBorder="1" applyAlignment="1">
      <alignment horizontal="right"/>
    </xf>
    <xf numFmtId="41" fontId="29" fillId="0" borderId="0" xfId="0" applyNumberFormat="1" applyFont="1" applyBorder="1" applyAlignment="1">
      <alignment horizontal="right"/>
    </xf>
    <xf numFmtId="41" fontId="28" fillId="0" borderId="0" xfId="0" applyNumberFormat="1" applyFont="1" applyBorder="1"/>
    <xf numFmtId="41" fontId="26" fillId="0" borderId="0" xfId="0" applyNumberFormat="1" applyFont="1" applyBorder="1"/>
    <xf numFmtId="41" fontId="26" fillId="0" borderId="0" xfId="0" applyNumberFormat="1" applyFont="1" applyBorder="1" applyAlignment="1">
      <alignment horizontal="right"/>
    </xf>
    <xf numFmtId="170" fontId="21" fillId="0" borderId="0" xfId="0" applyNumberFormat="1" applyFont="1" applyBorder="1"/>
    <xf numFmtId="41" fontId="19" fillId="0" borderId="0" xfId="0" applyNumberFormat="1" applyFont="1" applyBorder="1"/>
    <xf numFmtId="41" fontId="33" fillId="0" borderId="0" xfId="0" applyNumberFormat="1" applyFont="1" applyBorder="1"/>
    <xf numFmtId="41" fontId="35" fillId="0" borderId="0" xfId="0" applyNumberFormat="1" applyFont="1" applyBorder="1"/>
    <xf numFmtId="41" fontId="32" fillId="0" borderId="0" xfId="0" applyNumberFormat="1" applyFont="1" applyBorder="1" applyAlignment="1">
      <alignment horizontal="right"/>
    </xf>
    <xf numFmtId="37" fontId="21" fillId="0" borderId="0" xfId="0" applyNumberFormat="1" applyFont="1" applyBorder="1"/>
    <xf numFmtId="9" fontId="26" fillId="0" borderId="0" xfId="0" applyNumberFormat="1" applyFont="1" applyBorder="1" applyAlignment="1">
      <alignment horizontal="center"/>
    </xf>
    <xf numFmtId="37" fontId="21" fillId="0" borderId="29" xfId="0" applyFont="1" applyBorder="1"/>
    <xf numFmtId="181" fontId="16" fillId="0" borderId="0" xfId="0" applyNumberFormat="1" applyFont="1" applyBorder="1"/>
    <xf numFmtId="37" fontId="16" fillId="0" borderId="0" xfId="0" applyFont="1" applyFill="1" applyBorder="1"/>
    <xf numFmtId="37" fontId="16" fillId="0" borderId="29" xfId="0" applyNumberFormat="1" applyFont="1" applyFill="1" applyBorder="1"/>
    <xf numFmtId="37" fontId="16" fillId="0" borderId="29" xfId="0" applyFont="1" applyFill="1" applyBorder="1"/>
    <xf numFmtId="181" fontId="16" fillId="0" borderId="29" xfId="0" applyNumberFormat="1" applyFont="1" applyBorder="1"/>
    <xf numFmtId="181" fontId="29" fillId="0" borderId="0" xfId="0" applyNumberFormat="1" applyFont="1" applyBorder="1"/>
    <xf numFmtId="181" fontId="29" fillId="0" borderId="29" xfId="0" applyNumberFormat="1" applyFont="1" applyBorder="1"/>
    <xf numFmtId="181" fontId="28" fillId="0" borderId="0" xfId="0" applyNumberFormat="1" applyFont="1" applyBorder="1"/>
    <xf numFmtId="181" fontId="28" fillId="0" borderId="29" xfId="0" applyNumberFormat="1" applyFont="1" applyBorder="1"/>
    <xf numFmtId="181" fontId="29" fillId="0" borderId="21" xfId="0" applyNumberFormat="1" applyFont="1" applyBorder="1"/>
    <xf numFmtId="166" fontId="16" fillId="0" borderId="0" xfId="0" applyNumberFormat="1" applyFont="1" applyFill="1" applyBorder="1"/>
    <xf numFmtId="37" fontId="21" fillId="20" borderId="23" xfId="0" applyFont="1" applyFill="1" applyBorder="1"/>
    <xf numFmtId="41" fontId="16" fillId="0" borderId="29" xfId="0" applyNumberFormat="1" applyFont="1" applyFill="1" applyBorder="1" applyAlignment="1">
      <alignment horizontal="right"/>
    </xf>
    <xf numFmtId="41" fontId="29" fillId="0" borderId="29" xfId="0" applyNumberFormat="1" applyFont="1" applyFill="1" applyBorder="1"/>
    <xf numFmtId="37" fontId="27" fillId="0" borderId="0" xfId="0" applyFont="1"/>
    <xf numFmtId="37" fontId="25" fillId="0" borderId="0" xfId="0" applyFont="1"/>
    <xf numFmtId="180" fontId="16" fillId="0" borderId="0" xfId="77" applyNumberFormat="1" applyFont="1"/>
    <xf numFmtId="180" fontId="29" fillId="0" borderId="0" xfId="77" applyNumberFormat="1" applyFont="1"/>
    <xf numFmtId="180" fontId="21" fillId="0" borderId="0" xfId="77" applyNumberFormat="1" applyFont="1"/>
    <xf numFmtId="168" fontId="21" fillId="0" borderId="0" xfId="0" applyNumberFormat="1" applyFont="1" applyAlignment="1">
      <alignment horizontal="right"/>
    </xf>
    <xf numFmtId="183" fontId="29" fillId="0" borderId="0" xfId="0" applyNumberFormat="1" applyFont="1"/>
    <xf numFmtId="37" fontId="21" fillId="18" borderId="56" xfId="0" applyFont="1" applyFill="1" applyBorder="1"/>
    <xf numFmtId="168" fontId="21" fillId="18" borderId="23" xfId="0" applyNumberFormat="1" applyFont="1" applyFill="1" applyBorder="1"/>
    <xf numFmtId="168" fontId="21" fillId="18" borderId="24" xfId="0" applyNumberFormat="1" applyFont="1" applyFill="1" applyBorder="1"/>
    <xf numFmtId="37" fontId="21" fillId="0" borderId="0" xfId="0" applyFont="1" applyFill="1" applyBorder="1"/>
    <xf numFmtId="168" fontId="21" fillId="0" borderId="0" xfId="0" applyNumberFormat="1" applyFont="1" applyFill="1" applyBorder="1"/>
    <xf numFmtId="166" fontId="16" fillId="0" borderId="0" xfId="126" applyNumberFormat="1" applyFont="1"/>
    <xf numFmtId="168" fontId="16" fillId="0" borderId="0" xfId="0" applyNumberFormat="1" applyFont="1" applyFill="1" applyBorder="1"/>
    <xf numFmtId="182" fontId="16" fillId="0" borderId="0" xfId="79" applyNumberFormat="1" applyFont="1"/>
    <xf numFmtId="182" fontId="21" fillId="0" borderId="0" xfId="79" applyNumberFormat="1" applyFont="1"/>
    <xf numFmtId="37" fontId="16" fillId="0" borderId="9" xfId="0" applyFont="1" applyBorder="1"/>
    <xf numFmtId="37" fontId="16" fillId="0" borderId="34" xfId="0" applyFont="1" applyBorder="1"/>
    <xf numFmtId="37" fontId="16" fillId="0" borderId="37" xfId="0" applyFont="1" applyBorder="1"/>
    <xf numFmtId="37" fontId="16" fillId="19" borderId="9" xfId="0" applyFont="1" applyFill="1" applyBorder="1"/>
    <xf numFmtId="0" fontId="16" fillId="0" borderId="0" xfId="0" applyNumberFormat="1" applyFont="1" applyAlignment="1">
      <alignment horizontal="centerContinuous"/>
    </xf>
    <xf numFmtId="9" fontId="16" fillId="0" borderId="0" xfId="126" applyFont="1" applyAlignment="1">
      <alignment horizontal="center"/>
    </xf>
    <xf numFmtId="0" fontId="21" fillId="0" borderId="0" xfId="0" applyNumberFormat="1" applyFont="1" applyAlignment="1">
      <alignment horizontal="centerContinuous"/>
    </xf>
    <xf numFmtId="168" fontId="21" fillId="0" borderId="0" xfId="0" applyNumberFormat="1" applyFont="1" applyFill="1" applyBorder="1" applyAlignment="1">
      <alignment horizontal="centerContinuous"/>
    </xf>
    <xf numFmtId="166" fontId="21" fillId="0" borderId="0" xfId="126" applyNumberFormat="1" applyFont="1"/>
    <xf numFmtId="37" fontId="16" fillId="0" borderId="0" xfId="0" applyNumberFormat="1" applyFont="1" applyFill="1"/>
    <xf numFmtId="37" fontId="19" fillId="0" borderId="21" xfId="0" applyNumberFormat="1" applyFont="1" applyFill="1" applyBorder="1"/>
    <xf numFmtId="37" fontId="16" fillId="0" borderId="0" xfId="0" applyNumberFormat="1" applyFont="1" applyFill="1" applyAlignment="1">
      <alignment horizontal="left"/>
    </xf>
    <xf numFmtId="37" fontId="16" fillId="0" borderId="0" xfId="0" applyNumberFormat="1" applyFont="1" applyFill="1" applyBorder="1"/>
    <xf numFmtId="37" fontId="21" fillId="0" borderId="0" xfId="0" applyNumberFormat="1" applyFont="1" applyFill="1" applyAlignment="1">
      <alignment horizontal="left"/>
    </xf>
    <xf numFmtId="179" fontId="16" fillId="0" borderId="0" xfId="0" applyNumberFormat="1" applyFont="1" applyBorder="1" applyAlignment="1">
      <alignment horizontal="left"/>
    </xf>
    <xf numFmtId="37" fontId="20" fillId="0" borderId="0" xfId="0" applyNumberFormat="1" applyFont="1" applyBorder="1"/>
    <xf numFmtId="0" fontId="21" fillId="18" borderId="56" xfId="0" applyNumberFormat="1" applyFont="1" applyFill="1" applyBorder="1" applyAlignment="1">
      <alignment horizontal="right"/>
    </xf>
    <xf numFmtId="0" fontId="21" fillId="18" borderId="23" xfId="0" applyNumberFormat="1" applyFont="1" applyFill="1" applyBorder="1" applyAlignment="1">
      <alignment horizontal="right"/>
    </xf>
    <xf numFmtId="0" fontId="21" fillId="18" borderId="24" xfId="0" applyNumberFormat="1" applyFont="1" applyFill="1" applyBorder="1" applyAlignment="1">
      <alignment horizontal="right"/>
    </xf>
    <xf numFmtId="0" fontId="21" fillId="18" borderId="55" xfId="0" applyNumberFormat="1" applyFont="1" applyFill="1" applyBorder="1" applyAlignment="1">
      <alignment horizontal="right"/>
    </xf>
    <xf numFmtId="181" fontId="16" fillId="0" borderId="20" xfId="0" applyNumberFormat="1" applyFont="1" applyBorder="1"/>
    <xf numFmtId="181" fontId="16" fillId="0" borderId="35" xfId="0" applyNumberFormat="1" applyFont="1" applyBorder="1"/>
    <xf numFmtId="170" fontId="21" fillId="0" borderId="20" xfId="0" applyNumberFormat="1" applyFont="1" applyBorder="1"/>
    <xf numFmtId="169" fontId="26" fillId="0" borderId="35" xfId="0" applyNumberFormat="1" applyFont="1" applyBorder="1"/>
    <xf numFmtId="41" fontId="27" fillId="0" borderId="0" xfId="0" applyNumberFormat="1" applyFont="1" applyAlignment="1">
      <alignment horizontal="left"/>
    </xf>
    <xf numFmtId="37" fontId="16" fillId="0" borderId="63" xfId="0" applyFont="1" applyBorder="1"/>
    <xf numFmtId="37" fontId="16" fillId="0" borderId="0" xfId="0" quotePrefix="1" applyFont="1"/>
    <xf numFmtId="37" fontId="20" fillId="20" borderId="56" xfId="0" applyNumberFormat="1" applyFont="1" applyFill="1" applyBorder="1" applyAlignment="1">
      <alignment horizontal="left"/>
    </xf>
    <xf numFmtId="37" fontId="20" fillId="20" borderId="23" xfId="0" applyNumberFormat="1" applyFont="1" applyFill="1" applyBorder="1" applyAlignment="1">
      <alignment horizontal="left"/>
    </xf>
    <xf numFmtId="181" fontId="21" fillId="20" borderId="55" xfId="0" applyNumberFormat="1" applyFont="1" applyFill="1" applyBorder="1"/>
    <xf numFmtId="181" fontId="21" fillId="20" borderId="23" xfId="0" applyNumberFormat="1" applyFont="1" applyFill="1" applyBorder="1"/>
    <xf numFmtId="181" fontId="28" fillId="0" borderId="20" xfId="0" applyNumberFormat="1" applyFont="1" applyBorder="1"/>
    <xf numFmtId="181" fontId="21" fillId="20" borderId="24" xfId="0" applyNumberFormat="1" applyFont="1" applyFill="1" applyBorder="1"/>
    <xf numFmtId="186" fontId="21" fillId="20" borderId="63" xfId="79" applyNumberFormat="1" applyFont="1" applyFill="1" applyBorder="1"/>
    <xf numFmtId="170" fontId="16" fillId="0" borderId="0" xfId="79" applyNumberFormat="1" applyFont="1"/>
    <xf numFmtId="179" fontId="29" fillId="0" borderId="0" xfId="0" applyNumberFormat="1" applyFont="1"/>
    <xf numFmtId="170" fontId="21" fillId="0" borderId="0" xfId="79" applyNumberFormat="1" applyFont="1"/>
    <xf numFmtId="44" fontId="16" fillId="0" borderId="0" xfId="79" applyFont="1"/>
    <xf numFmtId="37" fontId="16" fillId="0" borderId="0" xfId="0" applyFont="1" applyAlignment="1">
      <alignment horizontal="left" indent="1"/>
    </xf>
    <xf numFmtId="0" fontId="21" fillId="18" borderId="56" xfId="0" applyNumberFormat="1" applyFont="1" applyFill="1" applyBorder="1"/>
    <xf numFmtId="0" fontId="21" fillId="18" borderId="24" xfId="0" applyNumberFormat="1" applyFont="1" applyFill="1" applyBorder="1"/>
    <xf numFmtId="37" fontId="21" fillId="0" borderId="0" xfId="0" applyFont="1" applyAlignment="1">
      <alignment horizontal="left" indent="1"/>
    </xf>
    <xf numFmtId="37" fontId="25" fillId="0" borderId="0" xfId="0" applyFont="1" applyAlignment="1">
      <alignment horizontal="left"/>
    </xf>
    <xf numFmtId="37" fontId="27" fillId="0" borderId="0" xfId="0" applyFont="1" applyAlignment="1">
      <alignment horizontal="left" indent="2"/>
    </xf>
    <xf numFmtId="0" fontId="21" fillId="18" borderId="23" xfId="0" applyNumberFormat="1" applyFont="1" applyFill="1" applyBorder="1"/>
    <xf numFmtId="5" fontId="16" fillId="0" borderId="0" xfId="0" applyNumberFormat="1" applyFont="1" applyAlignment="1">
      <alignment horizontal="left" indent="1"/>
    </xf>
    <xf numFmtId="41" fontId="21" fillId="0" borderId="0" xfId="0" applyNumberFormat="1" applyFont="1" applyAlignment="1">
      <alignment horizontal="left"/>
    </xf>
    <xf numFmtId="37" fontId="21" fillId="0" borderId="0" xfId="0" applyFont="1" applyFill="1"/>
    <xf numFmtId="9" fontId="16" fillId="0" borderId="0" xfId="126" applyFont="1"/>
    <xf numFmtId="37" fontId="21" fillId="18" borderId="56" xfId="0" applyFont="1" applyFill="1" applyBorder="1" applyAlignment="1" applyProtection="1">
      <alignment horizontal="left"/>
    </xf>
    <xf numFmtId="37" fontId="21" fillId="0" borderId="0" xfId="0" applyFont="1" applyFill="1" applyBorder="1" applyAlignment="1" applyProtection="1">
      <alignment horizontal="left"/>
    </xf>
    <xf numFmtId="41" fontId="16" fillId="0" borderId="0" xfId="0" applyNumberFormat="1" applyFont="1" applyFill="1" applyBorder="1" applyAlignment="1" applyProtection="1">
      <alignment horizontal="left"/>
    </xf>
    <xf numFmtId="41" fontId="16" fillId="0" borderId="0" xfId="0" quotePrefix="1" applyNumberFormat="1" applyFont="1" applyFill="1" applyBorder="1" applyAlignment="1" applyProtection="1">
      <alignment horizontal="left"/>
    </xf>
    <xf numFmtId="179" fontId="16" fillId="0" borderId="29" xfId="0" applyNumberFormat="1" applyFont="1" applyBorder="1"/>
    <xf numFmtId="179" fontId="16" fillId="0" borderId="29" xfId="0" applyNumberFormat="1" applyFont="1" applyFill="1" applyBorder="1"/>
    <xf numFmtId="5" fontId="21" fillId="0" borderId="0" xfId="0" applyNumberFormat="1" applyFont="1" applyFill="1" applyBorder="1" applyAlignment="1" applyProtection="1">
      <alignment horizontal="left"/>
    </xf>
    <xf numFmtId="172" fontId="21" fillId="0" borderId="0" xfId="0" applyNumberFormat="1" applyFont="1" applyFill="1" applyBorder="1" applyAlignment="1" applyProtection="1">
      <alignment horizontal="left"/>
    </xf>
    <xf numFmtId="172" fontId="16" fillId="0" borderId="0" xfId="77" applyNumberFormat="1" applyFont="1" applyFill="1" applyAlignment="1" applyProtection="1">
      <alignment horizontal="left"/>
    </xf>
    <xf numFmtId="179" fontId="16" fillId="0" borderId="35" xfId="0" applyNumberFormat="1" applyFont="1" applyBorder="1"/>
    <xf numFmtId="172" fontId="21" fillId="0" borderId="0" xfId="0" applyNumberFormat="1" applyFont="1"/>
    <xf numFmtId="172" fontId="21" fillId="0" borderId="29" xfId="0" applyNumberFormat="1" applyFont="1" applyBorder="1"/>
    <xf numFmtId="181" fontId="16" fillId="0" borderId="29" xfId="0" applyNumberFormat="1" applyFont="1" applyFill="1" applyBorder="1"/>
    <xf numFmtId="181" fontId="16" fillId="0" borderId="0" xfId="0" applyNumberFormat="1" applyFont="1" applyFill="1"/>
    <xf numFmtId="0" fontId="16" fillId="0" borderId="0" xfId="0" quotePrefix="1" applyNumberFormat="1" applyFont="1" applyAlignment="1">
      <alignment horizontal="left"/>
    </xf>
    <xf numFmtId="9" fontId="0" fillId="0" borderId="0" xfId="126" applyFont="1"/>
    <xf numFmtId="37" fontId="29" fillId="0" borderId="0" xfId="0" applyNumberFormat="1" applyFont="1" applyBorder="1"/>
    <xf numFmtId="1" fontId="16" fillId="0" borderId="0" xfId="0" applyNumberFormat="1" applyFont="1" applyBorder="1"/>
    <xf numFmtId="1" fontId="16" fillId="0" borderId="21" xfId="0" applyNumberFormat="1" applyFont="1" applyBorder="1"/>
    <xf numFmtId="0" fontId="21" fillId="18" borderId="56" xfId="0" applyNumberFormat="1" applyFont="1" applyFill="1" applyBorder="1" applyAlignment="1">
      <alignment horizontal="left"/>
    </xf>
    <xf numFmtId="7" fontId="21" fillId="20" borderId="56" xfId="0" applyNumberFormat="1" applyFont="1" applyFill="1" applyBorder="1"/>
    <xf numFmtId="5" fontId="21" fillId="20" borderId="23" xfId="0" applyNumberFormat="1" applyFont="1" applyFill="1" applyBorder="1"/>
    <xf numFmtId="5" fontId="21" fillId="20" borderId="24" xfId="0" applyNumberFormat="1" applyFont="1" applyFill="1" applyBorder="1"/>
    <xf numFmtId="37" fontId="21" fillId="0" borderId="11" xfId="0" applyFont="1" applyBorder="1" applyAlignment="1">
      <alignment horizontal="right"/>
    </xf>
    <xf numFmtId="37" fontId="16" fillId="0" borderId="0" xfId="0" quotePrefix="1" applyFont="1" applyAlignment="1">
      <alignment horizontal="right"/>
    </xf>
    <xf numFmtId="37" fontId="21" fillId="0" borderId="55" xfId="0" applyFont="1" applyBorder="1" applyAlignment="1">
      <alignment horizontal="right"/>
    </xf>
    <xf numFmtId="37" fontId="16" fillId="0" borderId="29" xfId="0" quotePrefix="1" applyFont="1" applyBorder="1" applyAlignment="1">
      <alignment horizontal="right"/>
    </xf>
    <xf numFmtId="170" fontId="21" fillId="18" borderId="23" xfId="0" applyNumberFormat="1" applyFont="1" applyFill="1" applyBorder="1"/>
    <xf numFmtId="170" fontId="21" fillId="18" borderId="55" xfId="0" applyNumberFormat="1" applyFont="1" applyFill="1" applyBorder="1"/>
    <xf numFmtId="37" fontId="20" fillId="18" borderId="56" xfId="0" applyFont="1" applyFill="1" applyBorder="1" applyProtection="1"/>
    <xf numFmtId="7" fontId="21" fillId="18" borderId="23" xfId="0" applyNumberFormat="1" applyFont="1" applyFill="1" applyBorder="1"/>
    <xf numFmtId="7" fontId="21" fillId="18" borderId="55" xfId="0" applyNumberFormat="1" applyFont="1" applyFill="1" applyBorder="1"/>
    <xf numFmtId="37" fontId="21" fillId="0" borderId="0" xfId="119" applyFont="1"/>
    <xf numFmtId="37" fontId="16" fillId="0" borderId="0" xfId="119" applyFont="1"/>
    <xf numFmtId="37" fontId="16" fillId="0" borderId="0" xfId="119" applyFont="1" applyBorder="1"/>
    <xf numFmtId="37" fontId="21" fillId="0" borderId="0" xfId="119" applyFont="1" applyBorder="1" applyAlignment="1">
      <alignment horizontal="right"/>
    </xf>
    <xf numFmtId="37" fontId="16" fillId="0" borderId="29" xfId="119" applyFont="1" applyBorder="1"/>
    <xf numFmtId="170" fontId="16" fillId="0" borderId="0" xfId="119" applyNumberFormat="1" applyFont="1" applyBorder="1"/>
    <xf numFmtId="170" fontId="26" fillId="0" borderId="0" xfId="119" applyNumberFormat="1" applyFont="1" applyBorder="1"/>
    <xf numFmtId="169" fontId="16" fillId="0" borderId="29" xfId="119" applyNumberFormat="1" applyFont="1" applyBorder="1"/>
    <xf numFmtId="169" fontId="16" fillId="0" borderId="0" xfId="119" applyNumberFormat="1" applyFont="1" applyBorder="1"/>
    <xf numFmtId="169" fontId="26" fillId="0" borderId="0" xfId="119" applyNumberFormat="1" applyFont="1" applyBorder="1"/>
    <xf numFmtId="9" fontId="16" fillId="0" borderId="0" xfId="130" applyNumberFormat="1" applyFont="1" applyBorder="1"/>
    <xf numFmtId="37" fontId="21" fillId="18" borderId="56" xfId="119" applyFont="1" applyFill="1" applyBorder="1"/>
    <xf numFmtId="37" fontId="16" fillId="18" borderId="23" xfId="119" applyFont="1" applyFill="1" applyBorder="1"/>
    <xf numFmtId="170" fontId="21" fillId="18" borderId="23" xfId="119" applyNumberFormat="1" applyFont="1" applyFill="1" applyBorder="1"/>
    <xf numFmtId="9" fontId="21" fillId="18" borderId="23" xfId="130" applyNumberFormat="1" applyFont="1" applyFill="1" applyBorder="1"/>
    <xf numFmtId="170" fontId="16" fillId="18" borderId="23" xfId="119" applyNumberFormat="1" applyFont="1" applyFill="1" applyBorder="1"/>
    <xf numFmtId="9" fontId="21" fillId="18" borderId="24" xfId="130" applyNumberFormat="1" applyFont="1" applyFill="1" applyBorder="1" applyAlignment="1">
      <alignment horizontal="right"/>
    </xf>
    <xf numFmtId="9" fontId="16" fillId="0" borderId="0" xfId="119" applyNumberFormat="1" applyFont="1" applyBorder="1"/>
    <xf numFmtId="37" fontId="21" fillId="0" borderId="0" xfId="119" applyFont="1" applyBorder="1"/>
    <xf numFmtId="39" fontId="16" fillId="0" borderId="0" xfId="119" applyNumberFormat="1" applyFont="1"/>
    <xf numFmtId="5" fontId="21" fillId="0" borderId="0" xfId="119" applyNumberFormat="1" applyFont="1" applyBorder="1"/>
    <xf numFmtId="37" fontId="21" fillId="0" borderId="0" xfId="119" applyNumberFormat="1" applyFont="1" applyFill="1" applyBorder="1"/>
    <xf numFmtId="37" fontId="21" fillId="0" borderId="29" xfId="119" applyNumberFormat="1" applyFont="1" applyFill="1" applyBorder="1"/>
    <xf numFmtId="37" fontId="21" fillId="18" borderId="64" xfId="0" applyNumberFormat="1" applyFont="1" applyFill="1" applyBorder="1" applyAlignment="1">
      <alignment horizontal="left"/>
    </xf>
    <xf numFmtId="37" fontId="21" fillId="18" borderId="38" xfId="0" applyNumberFormat="1" applyFont="1" applyFill="1" applyBorder="1" applyAlignment="1">
      <alignment horizontal="center"/>
    </xf>
    <xf numFmtId="37" fontId="16" fillId="0" borderId="0" xfId="0" applyNumberFormat="1" applyFont="1" applyBorder="1" applyAlignment="1">
      <alignment horizontal="left"/>
    </xf>
    <xf numFmtId="37" fontId="0" fillId="0" borderId="0" xfId="0" applyBorder="1" applyAlignment="1">
      <alignment horizontal="center"/>
    </xf>
    <xf numFmtId="37" fontId="26" fillId="0" borderId="0" xfId="0" applyNumberFormat="1" applyFont="1" applyBorder="1" applyAlignment="1">
      <alignment horizontal="center"/>
    </xf>
    <xf numFmtId="166" fontId="31" fillId="0" borderId="0" xfId="0" applyNumberFormat="1" applyFont="1" applyBorder="1" applyAlignment="1">
      <alignment horizontal="center"/>
    </xf>
    <xf numFmtId="166" fontId="26" fillId="0" borderId="0" xfId="0" applyNumberFormat="1" applyFont="1" applyBorder="1" applyAlignment="1">
      <alignment horizontal="center"/>
    </xf>
    <xf numFmtId="37" fontId="0" fillId="0" borderId="0" xfId="0" applyBorder="1"/>
    <xf numFmtId="37" fontId="26" fillId="0" borderId="0" xfId="0" applyNumberFormat="1" applyFont="1" applyBorder="1" applyAlignment="1">
      <alignment horizontal="left"/>
    </xf>
    <xf numFmtId="9" fontId="26" fillId="0" borderId="34" xfId="0" applyNumberFormat="1" applyFont="1" applyBorder="1" applyAlignment="1">
      <alignment horizontal="center"/>
    </xf>
    <xf numFmtId="37" fontId="21" fillId="18" borderId="65" xfId="0" applyNumberFormat="1" applyFont="1" applyFill="1" applyBorder="1" applyAlignment="1">
      <alignment horizontal="center"/>
    </xf>
    <xf numFmtId="37" fontId="21" fillId="18" borderId="66" xfId="0" applyNumberFormat="1" applyFont="1" applyFill="1" applyBorder="1" applyAlignment="1">
      <alignment horizontal="center"/>
    </xf>
    <xf numFmtId="37" fontId="21" fillId="18" borderId="67" xfId="0" applyNumberFormat="1" applyFont="1" applyFill="1" applyBorder="1" applyAlignment="1">
      <alignment horizontal="center"/>
    </xf>
    <xf numFmtId="37" fontId="21" fillId="18" borderId="63" xfId="0" applyNumberFormat="1" applyFont="1" applyFill="1" applyBorder="1" applyAlignment="1">
      <alignment horizontal="center"/>
    </xf>
    <xf numFmtId="37" fontId="16" fillId="18" borderId="64" xfId="0" applyFont="1" applyFill="1" applyBorder="1"/>
    <xf numFmtId="0" fontId="21" fillId="18" borderId="38" xfId="0" applyNumberFormat="1" applyFont="1" applyFill="1" applyBorder="1"/>
    <xf numFmtId="0" fontId="21" fillId="18" borderId="68" xfId="0" applyNumberFormat="1" applyFont="1" applyFill="1" applyBorder="1"/>
    <xf numFmtId="166" fontId="26" fillId="0" borderId="0" xfId="126" applyNumberFormat="1" applyFont="1"/>
    <xf numFmtId="9" fontId="26" fillId="0" borderId="0" xfId="126" applyFont="1"/>
    <xf numFmtId="0" fontId="21" fillId="0" borderId="0" xfId="0" applyNumberFormat="1" applyFont="1" applyFill="1" applyBorder="1"/>
    <xf numFmtId="0" fontId="21" fillId="0" borderId="0" xfId="0" applyNumberFormat="1" applyFont="1" applyFill="1"/>
    <xf numFmtId="37" fontId="3" fillId="0" borderId="0" xfId="0" applyFont="1" applyBorder="1" applyAlignment="1">
      <alignment horizontal="center"/>
    </xf>
    <xf numFmtId="37" fontId="3" fillId="0" borderId="0" xfId="0" applyFont="1" applyBorder="1"/>
    <xf numFmtId="37" fontId="21" fillId="0" borderId="0" xfId="0" applyNumberFormat="1" applyFont="1" applyFill="1" applyBorder="1" applyAlignment="1">
      <alignment horizontal="center"/>
    </xf>
    <xf numFmtId="37" fontId="26" fillId="0" borderId="0" xfId="0" applyNumberFormat="1" applyFont="1" applyBorder="1" applyAlignment="1">
      <alignment horizontal="centerContinuous"/>
    </xf>
    <xf numFmtId="37" fontId="16" fillId="0" borderId="0" xfId="0" applyNumberFormat="1" applyFont="1" applyBorder="1" applyAlignment="1">
      <alignment horizontal="left" indent="1"/>
    </xf>
    <xf numFmtId="9" fontId="26" fillId="0" borderId="0" xfId="126" applyFont="1" applyBorder="1" applyAlignment="1">
      <alignment horizontal="center"/>
    </xf>
    <xf numFmtId="37" fontId="21" fillId="0" borderId="0" xfId="0" applyNumberFormat="1" applyFont="1" applyFill="1" applyBorder="1" applyAlignment="1">
      <alignment horizontal="left"/>
    </xf>
    <xf numFmtId="37" fontId="21" fillId="0" borderId="0" xfId="0" applyNumberFormat="1" applyFont="1" applyFill="1" applyBorder="1" applyAlignment="1">
      <alignment horizontal="centerContinuous"/>
    </xf>
    <xf numFmtId="166" fontId="26" fillId="0" borderId="0" xfId="0" applyNumberFormat="1" applyFont="1" applyBorder="1" applyAlignment="1">
      <alignment horizontal="centerContinuous"/>
    </xf>
    <xf numFmtId="9" fontId="26" fillId="0" borderId="0" xfId="0" applyNumberFormat="1" applyFont="1" applyBorder="1" applyAlignment="1">
      <alignment horizontal="centerContinuous"/>
    </xf>
    <xf numFmtId="5" fontId="26" fillId="0" borderId="0" xfId="0" applyNumberFormat="1" applyFont="1" applyBorder="1" applyAlignment="1">
      <alignment horizontal="center"/>
    </xf>
    <xf numFmtId="37" fontId="26" fillId="0" borderId="0" xfId="0" applyNumberFormat="1" applyFont="1" applyBorder="1" applyAlignment="1"/>
    <xf numFmtId="37" fontId="3" fillId="0" borderId="0" xfId="0" applyFont="1" applyBorder="1" applyAlignment="1"/>
    <xf numFmtId="9" fontId="26" fillId="0" borderId="0" xfId="0" applyNumberFormat="1" applyFont="1" applyBorder="1" applyAlignment="1"/>
    <xf numFmtId="37" fontId="26" fillId="0" borderId="0" xfId="0" applyFont="1" applyBorder="1" applyAlignment="1">
      <alignment horizontal="center"/>
    </xf>
    <xf numFmtId="7" fontId="26" fillId="0" borderId="0" xfId="0" applyNumberFormat="1" applyFont="1" applyBorder="1" applyAlignment="1">
      <alignment horizontal="center"/>
    </xf>
    <xf numFmtId="37" fontId="21" fillId="18" borderId="11" xfId="0" applyNumberFormat="1" applyFont="1" applyFill="1" applyBorder="1" applyAlignment="1">
      <alignment horizontal="center"/>
    </xf>
    <xf numFmtId="9" fontId="26" fillId="0" borderId="0" xfId="0" applyNumberFormat="1" applyFont="1" applyFill="1" applyBorder="1" applyAlignment="1">
      <alignment horizontal="center"/>
    </xf>
    <xf numFmtId="9" fontId="26" fillId="0" borderId="0" xfId="126" applyFont="1" applyFill="1" applyBorder="1" applyAlignment="1">
      <alignment horizontal="center"/>
    </xf>
    <xf numFmtId="37" fontId="3" fillId="0" borderId="0" xfId="0" applyFont="1" applyFill="1" applyBorder="1" applyAlignment="1">
      <alignment horizontal="center"/>
    </xf>
    <xf numFmtId="5" fontId="26" fillId="0" borderId="0" xfId="0" applyNumberFormat="1" applyFont="1" applyFill="1" applyBorder="1" applyAlignment="1">
      <alignment horizontal="center"/>
    </xf>
    <xf numFmtId="37" fontId="26" fillId="0" borderId="0" xfId="0" applyNumberFormat="1" applyFont="1" applyFill="1" applyBorder="1" applyAlignment="1">
      <alignment horizontal="center"/>
    </xf>
    <xf numFmtId="166" fontId="26" fillId="0" borderId="0" xfId="0" applyNumberFormat="1" applyFont="1" applyFill="1" applyBorder="1" applyAlignment="1">
      <alignment horizontal="center"/>
    </xf>
    <xf numFmtId="37" fontId="27" fillId="0" borderId="0" xfId="0" applyNumberFormat="1" applyFont="1" applyFill="1" applyBorder="1" applyAlignment="1">
      <alignment horizontal="left"/>
    </xf>
    <xf numFmtId="37" fontId="21" fillId="18" borderId="69" xfId="0" applyNumberFormat="1" applyFont="1" applyFill="1" applyBorder="1" applyAlignment="1">
      <alignment horizontal="center"/>
    </xf>
    <xf numFmtId="37" fontId="16" fillId="0" borderId="41" xfId="0" applyNumberFormat="1" applyFont="1" applyBorder="1" applyAlignment="1">
      <alignment horizontal="left" indent="1"/>
    </xf>
    <xf numFmtId="37" fontId="21" fillId="18" borderId="68" xfId="0" applyFont="1" applyFill="1" applyBorder="1"/>
    <xf numFmtId="37" fontId="25" fillId="0" borderId="0" xfId="119" applyFont="1" applyBorder="1"/>
    <xf numFmtId="10" fontId="16" fillId="0" borderId="0" xfId="130" applyNumberFormat="1" applyFont="1" applyBorder="1"/>
    <xf numFmtId="10" fontId="26" fillId="0" borderId="0" xfId="130" applyNumberFormat="1" applyFont="1" applyBorder="1"/>
    <xf numFmtId="37" fontId="16" fillId="0" borderId="0" xfId="119" applyFont="1" applyFill="1" applyBorder="1"/>
    <xf numFmtId="172" fontId="16" fillId="0" borderId="0" xfId="119" applyNumberFormat="1" applyFont="1" applyFill="1" applyBorder="1"/>
    <xf numFmtId="166" fontId="26" fillId="0" borderId="0" xfId="130" applyFont="1" applyFill="1" applyBorder="1"/>
    <xf numFmtId="37" fontId="21" fillId="0" borderId="0" xfId="119" applyFont="1" applyFill="1" applyBorder="1"/>
    <xf numFmtId="166" fontId="16" fillId="0" borderId="0" xfId="130" applyFont="1" applyFill="1" applyBorder="1"/>
    <xf numFmtId="169" fontId="16" fillId="0" borderId="0" xfId="119" applyNumberFormat="1" applyFont="1" applyFill="1" applyBorder="1"/>
    <xf numFmtId="169" fontId="21" fillId="0" borderId="0" xfId="119" applyNumberFormat="1" applyFont="1" applyFill="1" applyBorder="1"/>
    <xf numFmtId="166" fontId="27" fillId="0" borderId="0" xfId="130" applyFont="1" applyFill="1" applyBorder="1"/>
    <xf numFmtId="37" fontId="25" fillId="0" borderId="0" xfId="119" applyFont="1" applyFill="1" applyBorder="1"/>
    <xf numFmtId="37" fontId="58" fillId="0" borderId="0" xfId="0" applyFont="1"/>
    <xf numFmtId="37" fontId="37" fillId="0" borderId="0" xfId="0" applyFont="1"/>
    <xf numFmtId="37" fontId="39" fillId="0" borderId="0" xfId="0" applyNumberFormat="1" applyFont="1" applyFill="1" applyBorder="1"/>
    <xf numFmtId="37" fontId="37" fillId="0" borderId="0" xfId="0" applyFont="1" applyBorder="1"/>
    <xf numFmtId="37" fontId="39" fillId="0" borderId="0" xfId="0" applyFont="1" applyFill="1" applyBorder="1" applyAlignment="1"/>
    <xf numFmtId="37" fontId="38" fillId="0" borderId="0" xfId="0" applyFont="1" applyFill="1" applyBorder="1" applyAlignment="1">
      <alignment horizontal="centerContinuous"/>
    </xf>
    <xf numFmtId="37" fontId="39" fillId="0" borderId="0" xfId="0" applyFont="1" applyFill="1" applyBorder="1" applyAlignment="1">
      <alignment horizontal="centerContinuous"/>
    </xf>
    <xf numFmtId="37" fontId="37" fillId="0" borderId="0" xfId="0" applyFont="1" applyAlignment="1"/>
    <xf numFmtId="37" fontId="38" fillId="0" borderId="0" xfId="0" applyNumberFormat="1" applyFont="1" applyFill="1" applyBorder="1" applyAlignment="1">
      <alignment horizontal="left"/>
    </xf>
    <xf numFmtId="37" fontId="39" fillId="0" borderId="0" xfId="0" applyFont="1" applyFill="1" applyBorder="1" applyAlignment="1">
      <alignment horizontal="left"/>
    </xf>
    <xf numFmtId="37" fontId="39" fillId="0" borderId="0" xfId="0" applyFont="1" applyFill="1" applyBorder="1" applyAlignment="1">
      <alignment horizontal="center"/>
    </xf>
    <xf numFmtId="37" fontId="39" fillId="0" borderId="0" xfId="0" applyFont="1"/>
    <xf numFmtId="37" fontId="37" fillId="0" borderId="0" xfId="0" applyNumberFormat="1" applyFont="1" applyBorder="1"/>
    <xf numFmtId="9" fontId="60" fillId="0" borderId="0" xfId="0" applyNumberFormat="1" applyFont="1" applyBorder="1" applyAlignment="1">
      <alignment horizontal="center"/>
    </xf>
    <xf numFmtId="9" fontId="37" fillId="0" borderId="0" xfId="126" applyFont="1"/>
    <xf numFmtId="37" fontId="37" fillId="0" borderId="0" xfId="0" applyNumberFormat="1" applyFont="1" applyBorder="1" applyAlignment="1">
      <alignment horizontal="left" indent="1"/>
    </xf>
    <xf numFmtId="37" fontId="38" fillId="0" borderId="0" xfId="0" applyNumberFormat="1" applyFont="1" applyBorder="1" applyAlignment="1">
      <alignment horizontal="left"/>
    </xf>
    <xf numFmtId="37" fontId="37" fillId="0" borderId="0" xfId="0" applyNumberFormat="1" applyFont="1" applyBorder="1" applyAlignment="1">
      <alignment horizontal="left"/>
    </xf>
    <xf numFmtId="37" fontId="60" fillId="0" borderId="0" xfId="0" applyNumberFormat="1" applyFont="1" applyBorder="1" applyAlignment="1">
      <alignment horizontal="center"/>
    </xf>
    <xf numFmtId="10" fontId="60" fillId="0" borderId="0" xfId="0" applyNumberFormat="1" applyFont="1" applyBorder="1" applyAlignment="1">
      <alignment horizontal="center"/>
    </xf>
    <xf numFmtId="6" fontId="60" fillId="0" borderId="0" xfId="0" applyNumberFormat="1" applyFont="1" applyBorder="1" applyAlignment="1">
      <alignment horizontal="center"/>
    </xf>
    <xf numFmtId="37" fontId="60" fillId="0" borderId="0" xfId="0" applyNumberFormat="1" applyFont="1" applyBorder="1" applyAlignment="1">
      <alignment horizontal="centerContinuous"/>
    </xf>
    <xf numFmtId="166" fontId="40" fillId="0" borderId="0" xfId="0" applyNumberFormat="1" applyFont="1" applyBorder="1" applyAlignment="1">
      <alignment horizontal="center"/>
    </xf>
    <xf numFmtId="9" fontId="60" fillId="0" borderId="0" xfId="126" applyFont="1" applyBorder="1" applyAlignment="1">
      <alignment horizontal="centerContinuous"/>
    </xf>
    <xf numFmtId="9" fontId="60" fillId="0" borderId="0" xfId="126" applyFont="1" applyBorder="1" applyAlignment="1">
      <alignment horizontal="center"/>
    </xf>
    <xf numFmtId="37" fontId="40" fillId="0" borderId="0" xfId="0" applyNumberFormat="1" applyFont="1" applyBorder="1" applyAlignment="1">
      <alignment horizontal="center"/>
    </xf>
    <xf numFmtId="44" fontId="60" fillId="0" borderId="0" xfId="79" applyFont="1" applyBorder="1" applyAlignment="1">
      <alignment horizontal="center"/>
    </xf>
    <xf numFmtId="44" fontId="37" fillId="0" borderId="0" xfId="79" applyFont="1" applyBorder="1" applyAlignment="1">
      <alignment horizontal="center"/>
    </xf>
    <xf numFmtId="37" fontId="21" fillId="0" borderId="0" xfId="119" applyFont="1" applyFill="1" applyBorder="1" applyAlignment="1">
      <alignment horizontal="centerContinuous"/>
    </xf>
    <xf numFmtId="37" fontId="21" fillId="0" borderId="0" xfId="119" applyFont="1" applyFill="1" applyBorder="1" applyAlignment="1">
      <alignment horizontal="right"/>
    </xf>
    <xf numFmtId="9" fontId="21" fillId="0" borderId="0" xfId="130" applyNumberFormat="1" applyFont="1" applyFill="1" applyBorder="1"/>
    <xf numFmtId="5" fontId="16" fillId="0" borderId="0" xfId="119" applyNumberFormat="1" applyFont="1" applyFill="1" applyBorder="1"/>
    <xf numFmtId="166" fontId="16" fillId="0" borderId="0" xfId="130" applyNumberFormat="1" applyFont="1" applyFill="1" applyBorder="1"/>
    <xf numFmtId="37" fontId="16" fillId="0" borderId="0" xfId="119" applyNumberFormat="1" applyFont="1" applyFill="1" applyBorder="1"/>
    <xf numFmtId="37" fontId="16" fillId="0" borderId="0" xfId="119" applyFont="1" applyFill="1" applyBorder="1" applyAlignment="1">
      <alignment horizontal="centerContinuous"/>
    </xf>
    <xf numFmtId="9" fontId="16" fillId="0" borderId="0" xfId="119" applyNumberFormat="1" applyFont="1" applyFill="1" applyBorder="1"/>
    <xf numFmtId="37" fontId="26" fillId="0" borderId="0" xfId="119" applyFont="1" applyFill="1" applyBorder="1"/>
    <xf numFmtId="170" fontId="21" fillId="0" borderId="0" xfId="119" applyNumberFormat="1" applyFont="1" applyFill="1" applyBorder="1"/>
    <xf numFmtId="9" fontId="21" fillId="0" borderId="0" xfId="130" applyNumberFormat="1" applyFont="1" applyFill="1" applyBorder="1" applyAlignment="1">
      <alignment horizontal="right"/>
    </xf>
    <xf numFmtId="37" fontId="27" fillId="0" borderId="0" xfId="119" applyFont="1" applyFill="1" applyBorder="1" applyAlignment="1">
      <alignment horizontal="left" indent="1"/>
    </xf>
    <xf numFmtId="9" fontId="16" fillId="0" borderId="0" xfId="130" applyNumberFormat="1" applyFont="1" applyFill="1" applyBorder="1"/>
    <xf numFmtId="5" fontId="26" fillId="0" borderId="0" xfId="119" applyNumberFormat="1" applyFont="1" applyFill="1" applyBorder="1"/>
    <xf numFmtId="9" fontId="16" fillId="0" borderId="0" xfId="130" applyNumberFormat="1" applyFont="1" applyFill="1" applyBorder="1" applyAlignment="1">
      <alignment horizontal="right"/>
    </xf>
    <xf numFmtId="166" fontId="26" fillId="0" borderId="0" xfId="119" applyNumberFormat="1" applyFont="1" applyFill="1" applyBorder="1"/>
    <xf numFmtId="37" fontId="26" fillId="0" borderId="0" xfId="119" applyNumberFormat="1" applyFont="1" applyFill="1" applyBorder="1"/>
    <xf numFmtId="169" fontId="26" fillId="0" borderId="0" xfId="119" applyNumberFormat="1" applyFont="1" applyFill="1" applyBorder="1"/>
    <xf numFmtId="170" fontId="26" fillId="0" borderId="0" xfId="119" applyNumberFormat="1" applyFont="1" applyFill="1" applyBorder="1"/>
    <xf numFmtId="166" fontId="26" fillId="0" borderId="0" xfId="130" applyNumberFormat="1" applyFont="1" applyFill="1" applyBorder="1"/>
    <xf numFmtId="37" fontId="27" fillId="0" borderId="0" xfId="119" applyFont="1"/>
    <xf numFmtId="37" fontId="21" fillId="18" borderId="11" xfId="0" applyFont="1" applyFill="1" applyBorder="1" applyAlignment="1">
      <alignment horizontal="right"/>
    </xf>
    <xf numFmtId="170" fontId="16" fillId="0" borderId="0" xfId="119" applyNumberFormat="1" applyFont="1" applyFill="1" applyBorder="1"/>
    <xf numFmtId="9" fontId="16" fillId="0" borderId="0" xfId="119" applyNumberFormat="1" applyFont="1" applyFill="1" applyBorder="1" applyAlignment="1">
      <alignment horizontal="right"/>
    </xf>
    <xf numFmtId="7" fontId="21" fillId="0" borderId="0" xfId="119" applyNumberFormat="1" applyFont="1" applyFill="1" applyBorder="1"/>
    <xf numFmtId="166" fontId="21" fillId="0" borderId="0" xfId="130" applyNumberFormat="1" applyFont="1" applyFill="1" applyBorder="1"/>
    <xf numFmtId="169" fontId="36" fillId="0" borderId="0" xfId="119" applyNumberFormat="1" applyFont="1" applyFill="1" applyBorder="1"/>
    <xf numFmtId="9" fontId="21" fillId="0" borderId="0" xfId="130" applyNumberFormat="1" applyFont="1" applyBorder="1"/>
    <xf numFmtId="7" fontId="21" fillId="18" borderId="55" xfId="119" applyNumberFormat="1" applyFont="1" applyFill="1" applyBorder="1"/>
    <xf numFmtId="7" fontId="21" fillId="18" borderId="23" xfId="119" applyNumberFormat="1" applyFont="1" applyFill="1" applyBorder="1"/>
    <xf numFmtId="169" fontId="21" fillId="0" borderId="0" xfId="119" applyNumberFormat="1" applyFont="1" applyBorder="1"/>
    <xf numFmtId="169" fontId="36" fillId="0" borderId="0" xfId="119" applyNumberFormat="1" applyFont="1" applyBorder="1"/>
    <xf numFmtId="10" fontId="36" fillId="0" borderId="0" xfId="130" applyNumberFormat="1" applyFont="1" applyBorder="1"/>
    <xf numFmtId="5" fontId="21" fillId="18" borderId="23" xfId="119" applyNumberFormat="1" applyFont="1" applyFill="1" applyBorder="1"/>
    <xf numFmtId="169" fontId="21" fillId="18" borderId="23" xfId="119" applyNumberFormat="1" applyFont="1" applyFill="1" applyBorder="1"/>
    <xf numFmtId="37" fontId="0" fillId="0" borderId="0" xfId="0" applyBorder="1" applyAlignment="1">
      <alignment horizontal="centerContinuous"/>
    </xf>
    <xf numFmtId="10" fontId="26" fillId="0" borderId="0" xfId="0" applyNumberFormat="1" applyFont="1" applyBorder="1" applyAlignment="1">
      <alignment horizontal="center"/>
    </xf>
    <xf numFmtId="37" fontId="21" fillId="17" borderId="20" xfId="0" applyNumberFormat="1" applyFont="1" applyFill="1" applyBorder="1"/>
    <xf numFmtId="6" fontId="26" fillId="0" borderId="0" xfId="0" applyNumberFormat="1" applyFont="1" applyBorder="1" applyAlignment="1">
      <alignment horizontal="center"/>
    </xf>
    <xf numFmtId="9" fontId="26" fillId="0" borderId="70" xfId="0" applyNumberFormat="1" applyFont="1" applyBorder="1" applyAlignment="1">
      <alignment horizontal="center"/>
    </xf>
    <xf numFmtId="10" fontId="26" fillId="0" borderId="21" xfId="0" applyNumberFormat="1" applyFont="1" applyBorder="1" applyAlignment="1">
      <alignment horizontal="center"/>
    </xf>
    <xf numFmtId="7" fontId="26" fillId="0" borderId="22" xfId="0" applyNumberFormat="1" applyFont="1" applyBorder="1" applyAlignment="1">
      <alignment horizontal="center"/>
    </xf>
    <xf numFmtId="37" fontId="0" fillId="18" borderId="12" xfId="0" applyFill="1" applyBorder="1"/>
    <xf numFmtId="37" fontId="0" fillId="18" borderId="17" xfId="0" applyFill="1" applyBorder="1" applyAlignment="1">
      <alignment horizontal="left"/>
    </xf>
    <xf numFmtId="37" fontId="16" fillId="18" borderId="0" xfId="0" applyNumberFormat="1" applyFont="1" applyFill="1" applyBorder="1" applyAlignment="1">
      <alignment horizontal="center"/>
    </xf>
    <xf numFmtId="37" fontId="16" fillId="18" borderId="14" xfId="0" applyNumberFormat="1" applyFont="1" applyFill="1" applyBorder="1" applyAlignment="1">
      <alignment horizontal="center"/>
    </xf>
    <xf numFmtId="37" fontId="16" fillId="0" borderId="20" xfId="119" applyFont="1" applyBorder="1"/>
    <xf numFmtId="37" fontId="21" fillId="0" borderId="20" xfId="119" applyFont="1" applyBorder="1"/>
    <xf numFmtId="37" fontId="16" fillId="0" borderId="21" xfId="119" applyFont="1" applyBorder="1"/>
    <xf numFmtId="0" fontId="16" fillId="0" borderId="20" xfId="0" applyNumberFormat="1" applyFont="1" applyBorder="1" applyAlignment="1"/>
    <xf numFmtId="9" fontId="16" fillId="0" borderId="21" xfId="130" applyNumberFormat="1" applyFont="1" applyBorder="1" applyAlignment="1">
      <alignment horizontal="right"/>
    </xf>
    <xf numFmtId="9" fontId="16" fillId="0" borderId="21" xfId="119" applyNumberFormat="1" applyFont="1" applyBorder="1" applyAlignment="1">
      <alignment horizontal="right"/>
    </xf>
    <xf numFmtId="0" fontId="16" fillId="0" borderId="20" xfId="0" applyNumberFormat="1" applyFont="1" applyBorder="1" applyAlignment="1">
      <alignment horizontal="left"/>
    </xf>
    <xf numFmtId="0" fontId="21" fillId="0" borderId="20" xfId="0" applyNumberFormat="1" applyFont="1" applyBorder="1" applyAlignment="1">
      <alignment horizontal="left"/>
    </xf>
    <xf numFmtId="9" fontId="21" fillId="0" borderId="21" xfId="130" applyNumberFormat="1" applyFont="1" applyBorder="1" applyAlignment="1">
      <alignment horizontal="right"/>
    </xf>
    <xf numFmtId="169" fontId="26" fillId="0" borderId="29" xfId="119" applyNumberFormat="1" applyFont="1" applyBorder="1"/>
    <xf numFmtId="37" fontId="16" fillId="18" borderId="0" xfId="119" applyFont="1" applyFill="1" applyBorder="1"/>
    <xf numFmtId="37" fontId="21" fillId="18" borderId="0" xfId="119" applyFont="1" applyFill="1" applyBorder="1" applyAlignment="1">
      <alignment horizontal="centerContinuous"/>
    </xf>
    <xf numFmtId="37" fontId="16" fillId="18" borderId="12" xfId="119" applyFont="1" applyFill="1" applyBorder="1"/>
    <xf numFmtId="37" fontId="16" fillId="18" borderId="13" xfId="119" applyFont="1" applyFill="1" applyBorder="1"/>
    <xf numFmtId="37" fontId="16" fillId="18" borderId="17" xfId="119" applyFont="1" applyFill="1" applyBorder="1"/>
    <xf numFmtId="37" fontId="21" fillId="18" borderId="14" xfId="119" applyFont="1" applyFill="1" applyBorder="1" applyAlignment="1">
      <alignment horizontal="centerContinuous"/>
    </xf>
    <xf numFmtId="37" fontId="16" fillId="18" borderId="18" xfId="119" applyFont="1" applyFill="1" applyBorder="1"/>
    <xf numFmtId="37" fontId="16" fillId="18" borderId="15" xfId="119" applyFont="1" applyFill="1" applyBorder="1"/>
    <xf numFmtId="37" fontId="21" fillId="18" borderId="15" xfId="119" applyFont="1" applyFill="1" applyBorder="1" applyAlignment="1">
      <alignment horizontal="right"/>
    </xf>
    <xf numFmtId="37" fontId="21" fillId="18" borderId="16" xfId="119" applyFont="1" applyFill="1" applyBorder="1" applyAlignment="1">
      <alignment horizontal="right"/>
    </xf>
    <xf numFmtId="37" fontId="21" fillId="18" borderId="71" xfId="119" applyFont="1" applyFill="1" applyBorder="1" applyAlignment="1">
      <alignment horizontal="right"/>
    </xf>
    <xf numFmtId="170" fontId="21" fillId="0" borderId="29" xfId="119" applyNumberFormat="1" applyFont="1" applyFill="1" applyBorder="1"/>
    <xf numFmtId="37" fontId="26" fillId="0" borderId="29" xfId="119" applyNumberFormat="1" applyFont="1" applyBorder="1"/>
    <xf numFmtId="37" fontId="21" fillId="18" borderId="55" xfId="119" applyNumberFormat="1" applyFont="1" applyFill="1" applyBorder="1"/>
    <xf numFmtId="37" fontId="16" fillId="0" borderId="29" xfId="119" applyNumberFormat="1" applyFont="1" applyBorder="1"/>
    <xf numFmtId="37" fontId="21" fillId="0" borderId="29" xfId="119" applyNumberFormat="1" applyFont="1" applyBorder="1"/>
    <xf numFmtId="37" fontId="26" fillId="0" borderId="29" xfId="0" applyNumberFormat="1" applyFont="1" applyFill="1" applyBorder="1"/>
    <xf numFmtId="37" fontId="16" fillId="0" borderId="0" xfId="119" applyNumberFormat="1" applyFont="1" applyBorder="1"/>
    <xf numFmtId="37" fontId="21" fillId="18" borderId="23" xfId="119" applyNumberFormat="1" applyFont="1" applyFill="1" applyBorder="1"/>
    <xf numFmtId="37" fontId="21" fillId="0" borderId="0" xfId="119" applyNumberFormat="1" applyFont="1" applyBorder="1"/>
    <xf numFmtId="37" fontId="21" fillId="0" borderId="20" xfId="119" applyNumberFormat="1" applyFont="1" applyBorder="1"/>
    <xf numFmtId="5" fontId="16" fillId="0" borderId="0" xfId="119" applyNumberFormat="1" applyFont="1" applyBorder="1"/>
    <xf numFmtId="37" fontId="26" fillId="0" borderId="29" xfId="119" applyNumberFormat="1" applyFont="1" applyFill="1" applyBorder="1"/>
    <xf numFmtId="37" fontId="36" fillId="0" borderId="0" xfId="119" applyNumberFormat="1" applyFont="1" applyFill="1" applyBorder="1"/>
    <xf numFmtId="37" fontId="16" fillId="0" borderId="29" xfId="119" applyNumberFormat="1" applyFont="1" applyFill="1" applyBorder="1"/>
    <xf numFmtId="37" fontId="19" fillId="0" borderId="29" xfId="119" applyNumberFormat="1" applyFont="1" applyFill="1" applyBorder="1"/>
    <xf numFmtId="37" fontId="0" fillId="0" borderId="0" xfId="0" applyFill="1"/>
    <xf numFmtId="166" fontId="16" fillId="0" borderId="29" xfId="126" applyNumberFormat="1" applyFont="1" applyBorder="1"/>
    <xf numFmtId="10" fontId="16" fillId="0" borderId="0" xfId="126" applyNumberFormat="1" applyFont="1"/>
    <xf numFmtId="166" fontId="16" fillId="16" borderId="0" xfId="126" applyNumberFormat="1" applyFont="1" applyFill="1"/>
    <xf numFmtId="10" fontId="16" fillId="16" borderId="0" xfId="126" applyNumberFormat="1" applyFont="1" applyFill="1"/>
    <xf numFmtId="37" fontId="22" fillId="0" borderId="0" xfId="0" applyFont="1"/>
    <xf numFmtId="37" fontId="61" fillId="0" borderId="0" xfId="0" applyFont="1"/>
    <xf numFmtId="166" fontId="0" fillId="0" borderId="0" xfId="126" applyNumberFormat="1" applyFont="1"/>
    <xf numFmtId="166" fontId="0" fillId="0" borderId="0" xfId="126" applyNumberFormat="1" applyFont="1" applyFill="1"/>
    <xf numFmtId="37" fontId="3" fillId="0" borderId="0" xfId="0" applyFont="1"/>
    <xf numFmtId="166" fontId="3" fillId="0" borderId="0" xfId="126" applyNumberFormat="1" applyFont="1"/>
    <xf numFmtId="37" fontId="22" fillId="0" borderId="0" xfId="0" applyFont="1" applyAlignment="1">
      <alignment horizontal="right"/>
    </xf>
    <xf numFmtId="37" fontId="15" fillId="0" borderId="0" xfId="0" applyFont="1"/>
    <xf numFmtId="168" fontId="16" fillId="0" borderId="0" xfId="0" applyNumberFormat="1" applyFont="1"/>
    <xf numFmtId="37" fontId="25" fillId="0" borderId="0" xfId="0" applyFont="1" applyAlignment="1">
      <alignment horizontal="center"/>
    </xf>
    <xf numFmtId="37" fontId="3" fillId="0" borderId="11" xfId="0" applyFont="1" applyBorder="1"/>
    <xf numFmtId="37" fontId="22" fillId="0" borderId="11" xfId="0" applyFont="1" applyBorder="1" applyAlignment="1">
      <alignment horizontal="right"/>
    </xf>
    <xf numFmtId="168" fontId="21" fillId="0" borderId="11" xfId="0" applyNumberFormat="1" applyFont="1" applyBorder="1" applyAlignment="1">
      <alignment horizontal="centerContinuous"/>
    </xf>
    <xf numFmtId="168" fontId="16" fillId="0" borderId="11" xfId="0" applyNumberFormat="1" applyFont="1" applyBorder="1" applyAlignment="1">
      <alignment horizontal="centerContinuous"/>
    </xf>
    <xf numFmtId="5" fontId="16" fillId="0" borderId="0" xfId="79" applyNumberFormat="1" applyFont="1"/>
    <xf numFmtId="7" fontId="16" fillId="0" borderId="0" xfId="79" applyNumberFormat="1" applyFont="1"/>
    <xf numFmtId="37" fontId="25" fillId="0" borderId="36" xfId="0" applyFont="1" applyBorder="1" applyAlignment="1">
      <alignment horizontal="center"/>
    </xf>
    <xf numFmtId="5" fontId="16" fillId="0" borderId="29" xfId="79" applyNumberFormat="1" applyFont="1" applyBorder="1"/>
    <xf numFmtId="7" fontId="16" fillId="0" borderId="29" xfId="79" applyNumberFormat="1" applyFont="1" applyBorder="1"/>
    <xf numFmtId="37" fontId="21" fillId="18" borderId="72" xfId="0" applyNumberFormat="1" applyFont="1" applyFill="1" applyBorder="1" applyAlignment="1">
      <alignment horizontal="center"/>
    </xf>
    <xf numFmtId="37" fontId="21" fillId="0" borderId="73" xfId="0" applyNumberFormat="1" applyFont="1" applyFill="1" applyBorder="1" applyAlignment="1">
      <alignment horizontal="center"/>
    </xf>
    <xf numFmtId="37" fontId="25" fillId="0" borderId="0" xfId="0" applyNumberFormat="1" applyFont="1" applyFill="1" applyBorder="1" applyAlignment="1">
      <alignment horizontal="left"/>
    </xf>
    <xf numFmtId="37" fontId="25" fillId="0" borderId="0" xfId="0" applyFont="1" applyFill="1" applyBorder="1" applyAlignment="1">
      <alignment horizontal="center"/>
    </xf>
    <xf numFmtId="37" fontId="21" fillId="0" borderId="0" xfId="0" applyNumberFormat="1" applyFont="1" applyFill="1" applyBorder="1"/>
    <xf numFmtId="0" fontId="18" fillId="0" borderId="0" xfId="118" applyBorder="1"/>
    <xf numFmtId="0" fontId="18" fillId="0" borderId="0" xfId="118" applyBorder="1" applyAlignment="1">
      <alignment horizontal="right"/>
    </xf>
    <xf numFmtId="0" fontId="50" fillId="0" borderId="0" xfId="118" applyFont="1" applyFill="1" applyBorder="1" applyAlignment="1">
      <alignment horizontal="center"/>
    </xf>
    <xf numFmtId="0" fontId="51" fillId="0" borderId="0" xfId="118" applyFont="1" applyFill="1" applyBorder="1" applyAlignment="1">
      <alignment horizontal="center"/>
    </xf>
    <xf numFmtId="0" fontId="51" fillId="0" borderId="0" xfId="118" applyFont="1" applyBorder="1" applyAlignment="1">
      <alignment horizontal="center"/>
    </xf>
    <xf numFmtId="0" fontId="22" fillId="19" borderId="56" xfId="118" applyFont="1" applyFill="1" applyBorder="1"/>
    <xf numFmtId="0" fontId="22" fillId="19" borderId="23" xfId="118" applyFont="1" applyFill="1" applyBorder="1" applyAlignment="1">
      <alignment horizontal="right"/>
    </xf>
    <xf numFmtId="0" fontId="22" fillId="19" borderId="23" xfId="118" applyFont="1" applyFill="1" applyBorder="1" applyAlignment="1">
      <alignment horizontal="right" wrapText="1"/>
    </xf>
    <xf numFmtId="0" fontId="22" fillId="19" borderId="24" xfId="118" applyFont="1" applyFill="1" applyBorder="1" applyAlignment="1">
      <alignment horizontal="right" wrapText="1"/>
    </xf>
    <xf numFmtId="0" fontId="22" fillId="19" borderId="29" xfId="118" applyFont="1" applyFill="1" applyBorder="1" applyAlignment="1">
      <alignment wrapText="1"/>
    </xf>
    <xf numFmtId="2" fontId="52" fillId="0" borderId="55" xfId="85" applyNumberFormat="1" applyFont="1" applyBorder="1" applyAlignment="1">
      <alignment horizontal="right"/>
    </xf>
    <xf numFmtId="2" fontId="22" fillId="19" borderId="29" xfId="85" applyNumberFormat="1" applyFont="1" applyFill="1" applyBorder="1" applyAlignment="1">
      <alignment horizontal="right"/>
    </xf>
    <xf numFmtId="2" fontId="52" fillId="0" borderId="24" xfId="85" applyNumberFormat="1" applyFont="1" applyFill="1" applyBorder="1" applyAlignment="1">
      <alignment horizontal="right"/>
    </xf>
    <xf numFmtId="2" fontId="18" fillId="19" borderId="19" xfId="85" applyNumberFormat="1" applyFont="1" applyFill="1" applyBorder="1" applyAlignment="1">
      <alignment horizontal="right"/>
    </xf>
    <xf numFmtId="2" fontId="22" fillId="19" borderId="26" xfId="85" applyNumberFormat="1" applyFont="1" applyFill="1" applyBorder="1" applyAlignment="1">
      <alignment horizontal="right"/>
    </xf>
    <xf numFmtId="2" fontId="52" fillId="17" borderId="55" xfId="85" applyNumberFormat="1" applyFont="1" applyFill="1" applyBorder="1" applyAlignment="1">
      <alignment wrapText="1"/>
    </xf>
    <xf numFmtId="2" fontId="18" fillId="17" borderId="74" xfId="85" applyNumberFormat="1" applyFont="1" applyFill="1" applyBorder="1" applyAlignment="1">
      <alignment horizontal="right"/>
    </xf>
    <xf numFmtId="185" fontId="52" fillId="17" borderId="55" xfId="85" applyNumberFormat="1" applyFont="1" applyFill="1" applyBorder="1" applyAlignment="1">
      <alignment horizontal="right"/>
    </xf>
    <xf numFmtId="2" fontId="41" fillId="17" borderId="0" xfId="85" applyNumberFormat="1" applyFont="1" applyFill="1" applyBorder="1" applyAlignment="1">
      <alignment horizontal="right"/>
    </xf>
    <xf numFmtId="2" fontId="41" fillId="17" borderId="21" xfId="85" applyNumberFormat="1" applyFont="1" applyFill="1" applyBorder="1" applyAlignment="1">
      <alignment horizontal="right"/>
    </xf>
    <xf numFmtId="2" fontId="18" fillId="17" borderId="0" xfId="85" applyNumberFormat="1" applyFont="1" applyFill="1" applyBorder="1" applyAlignment="1">
      <alignment horizontal="right"/>
    </xf>
    <xf numFmtId="2" fontId="22" fillId="19" borderId="21" xfId="85" applyNumberFormat="1" applyFont="1" applyFill="1" applyBorder="1" applyAlignment="1">
      <alignment wrapText="1"/>
    </xf>
    <xf numFmtId="2" fontId="41" fillId="19" borderId="0" xfId="85" applyNumberFormat="1" applyFont="1" applyFill="1" applyBorder="1" applyAlignment="1">
      <alignment horizontal="right"/>
    </xf>
    <xf numFmtId="2" fontId="52" fillId="19" borderId="0" xfId="85" applyNumberFormat="1" applyFont="1" applyFill="1" applyBorder="1" applyAlignment="1">
      <alignment horizontal="right"/>
    </xf>
    <xf numFmtId="2" fontId="53" fillId="19" borderId="0" xfId="85" applyNumberFormat="1" applyFont="1" applyFill="1" applyBorder="1" applyAlignment="1">
      <alignment horizontal="right"/>
    </xf>
    <xf numFmtId="2" fontId="41" fillId="19" borderId="21" xfId="85" applyNumberFormat="1" applyFont="1" applyFill="1" applyBorder="1" applyAlignment="1">
      <alignment horizontal="right"/>
    </xf>
    <xf numFmtId="2" fontId="18" fillId="19" borderId="0" xfId="85" applyNumberFormat="1" applyFont="1" applyFill="1" applyBorder="1" applyAlignment="1">
      <alignment horizontal="right"/>
    </xf>
    <xf numFmtId="185" fontId="52" fillId="0" borderId="55" xfId="118" applyNumberFormat="1" applyFont="1" applyBorder="1" applyAlignment="1">
      <alignment horizontal="right"/>
    </xf>
    <xf numFmtId="0" fontId="22" fillId="19" borderId="35" xfId="118" applyFont="1" applyFill="1" applyBorder="1" applyAlignment="1">
      <alignment wrapText="1"/>
    </xf>
    <xf numFmtId="2" fontId="41" fillId="19" borderId="75" xfId="85" applyNumberFormat="1" applyFont="1" applyFill="1" applyBorder="1" applyAlignment="1">
      <alignment horizontal="right"/>
    </xf>
    <xf numFmtId="2" fontId="41" fillId="19" borderId="11" xfId="85" applyNumberFormat="1" applyFont="1" applyFill="1" applyBorder="1" applyAlignment="1">
      <alignment horizontal="right"/>
    </xf>
    <xf numFmtId="2" fontId="18" fillId="19" borderId="11" xfId="85" applyNumberFormat="1" applyFont="1" applyFill="1" applyBorder="1" applyAlignment="1">
      <alignment horizontal="right"/>
    </xf>
    <xf numFmtId="2" fontId="18" fillId="19" borderId="22" xfId="85" applyNumberFormat="1" applyFont="1" applyFill="1" applyBorder="1" applyAlignment="1">
      <alignment horizontal="right"/>
    </xf>
    <xf numFmtId="41" fontId="32" fillId="0" borderId="0" xfId="0" applyNumberFormat="1" applyFont="1" applyBorder="1"/>
    <xf numFmtId="14" fontId="23" fillId="0" borderId="0" xfId="0" applyNumberFormat="1" applyFont="1"/>
    <xf numFmtId="182" fontId="23" fillId="0" borderId="0" xfId="79" applyNumberFormat="1" applyFont="1"/>
    <xf numFmtId="182" fontId="23" fillId="0" borderId="0" xfId="79" applyNumberFormat="1" applyFont="1" applyAlignment="1">
      <alignment horizontal="right"/>
    </xf>
    <xf numFmtId="174" fontId="0" fillId="0" borderId="0" xfId="126" applyNumberFormat="1" applyFont="1"/>
    <xf numFmtId="37" fontId="3" fillId="0" borderId="0" xfId="0" applyFont="1" applyAlignment="1">
      <alignment horizontal="left" indent="1"/>
    </xf>
    <xf numFmtId="37" fontId="0" fillId="0" borderId="64" xfId="0" applyBorder="1" applyAlignment="1">
      <alignment horizontal="left"/>
    </xf>
    <xf numFmtId="174" fontId="0" fillId="0" borderId="68" xfId="126" applyNumberFormat="1" applyFont="1" applyBorder="1"/>
    <xf numFmtId="9" fontId="21" fillId="0" borderId="21" xfId="130" applyNumberFormat="1" applyFont="1" applyFill="1" applyBorder="1" applyAlignment="1">
      <alignment horizontal="right"/>
    </xf>
    <xf numFmtId="9" fontId="16" fillId="0" borderId="26" xfId="130" applyNumberFormat="1" applyFont="1" applyBorder="1" applyAlignment="1">
      <alignment horizontal="right"/>
    </xf>
    <xf numFmtId="37" fontId="21" fillId="0" borderId="11" xfId="0" applyFont="1" applyBorder="1"/>
    <xf numFmtId="166" fontId="16" fillId="0" borderId="0" xfId="79" applyNumberFormat="1" applyFont="1"/>
    <xf numFmtId="0" fontId="21" fillId="0" borderId="11" xfId="0" applyNumberFormat="1" applyFont="1" applyBorder="1" applyAlignment="1">
      <alignment horizontal="right"/>
    </xf>
    <xf numFmtId="0" fontId="25" fillId="0" borderId="0" xfId="0" applyNumberFormat="1" applyFont="1" applyAlignment="1">
      <alignment horizontal="right"/>
    </xf>
    <xf numFmtId="0" fontId="25" fillId="0" borderId="0" xfId="0" applyNumberFormat="1" applyFont="1" applyAlignment="1">
      <alignment horizontal="centerContinuous"/>
    </xf>
    <xf numFmtId="169" fontId="21" fillId="18" borderId="55" xfId="119" applyNumberFormat="1" applyFont="1" applyFill="1" applyBorder="1"/>
    <xf numFmtId="169" fontId="21" fillId="0" borderId="29" xfId="119" applyNumberFormat="1" applyFont="1" applyBorder="1"/>
    <xf numFmtId="169" fontId="16" fillId="0" borderId="29" xfId="119" applyNumberFormat="1" applyFont="1" applyFill="1" applyBorder="1"/>
    <xf numFmtId="169" fontId="21" fillId="0" borderId="29" xfId="119" applyNumberFormat="1" applyFont="1" applyFill="1" applyBorder="1"/>
    <xf numFmtId="169" fontId="21" fillId="0" borderId="20" xfId="119" applyNumberFormat="1" applyFont="1" applyBorder="1"/>
    <xf numFmtId="37" fontId="16" fillId="0" borderId="0" xfId="119" applyFont="1" applyFill="1"/>
    <xf numFmtId="39" fontId="21" fillId="18" borderId="55" xfId="119" applyNumberFormat="1" applyFont="1" applyFill="1" applyBorder="1"/>
    <xf numFmtId="37" fontId="21" fillId="0" borderId="0" xfId="0" applyNumberFormat="1" applyFont="1" applyFill="1" applyBorder="1" applyAlignment="1"/>
    <xf numFmtId="37" fontId="39" fillId="0" borderId="0" xfId="0" applyFont="1" applyAlignment="1">
      <alignment horizontal="right"/>
    </xf>
    <xf numFmtId="37" fontId="39" fillId="0" borderId="0" xfId="0" applyNumberFormat="1" applyFont="1" applyBorder="1" applyAlignment="1">
      <alignment horizontal="left"/>
    </xf>
    <xf numFmtId="37" fontId="39" fillId="0" borderId="0" xfId="0" applyNumberFormat="1" applyFont="1" applyFill="1" applyBorder="1" applyAlignment="1">
      <alignment horizontal="left"/>
    </xf>
    <xf numFmtId="37" fontId="3" fillId="0" borderId="0" xfId="0" applyFont="1" applyFill="1" applyBorder="1" applyAlignment="1"/>
    <xf numFmtId="9" fontId="26" fillId="0" borderId="0" xfId="0" applyNumberFormat="1" applyFont="1" applyFill="1" applyBorder="1" applyAlignment="1">
      <alignment horizontal="centerContinuous"/>
    </xf>
    <xf numFmtId="37" fontId="26" fillId="0" borderId="0" xfId="0" applyFont="1" applyFill="1" applyBorder="1" applyAlignment="1">
      <alignment horizontal="center"/>
    </xf>
    <xf numFmtId="166" fontId="26" fillId="0" borderId="0" xfId="0" applyNumberFormat="1" applyFont="1" applyFill="1" applyBorder="1" applyAlignment="1">
      <alignment horizontal="centerContinuous"/>
    </xf>
    <xf numFmtId="7" fontId="26" fillId="0" borderId="0" xfId="0" applyNumberFormat="1" applyFont="1" applyFill="1" applyBorder="1" applyAlignment="1">
      <alignment horizontal="center"/>
    </xf>
    <xf numFmtId="37" fontId="16" fillId="0" borderId="21" xfId="0" applyNumberFormat="1" applyFont="1" applyFill="1" applyBorder="1"/>
    <xf numFmtId="37" fontId="19" fillId="0" borderId="29" xfId="0" applyNumberFormat="1" applyFont="1" applyFill="1" applyBorder="1"/>
    <xf numFmtId="187" fontId="16" fillId="0" borderId="0" xfId="79" applyNumberFormat="1" applyFont="1" applyBorder="1"/>
    <xf numFmtId="44" fontId="0" fillId="16" borderId="29" xfId="79" applyFont="1" applyFill="1" applyBorder="1"/>
    <xf numFmtId="44" fontId="0" fillId="16" borderId="29" xfId="79" applyNumberFormat="1" applyFont="1" applyFill="1" applyBorder="1"/>
    <xf numFmtId="37" fontId="0" fillId="16" borderId="29" xfId="0" applyFill="1" applyBorder="1"/>
    <xf numFmtId="37" fontId="21" fillId="0" borderId="0" xfId="0" applyNumberFormat="1" applyFont="1" applyBorder="1" applyAlignment="1">
      <alignment horizontal="left"/>
    </xf>
    <xf numFmtId="10" fontId="26" fillId="0" borderId="0" xfId="0" applyNumberFormat="1" applyFont="1" applyFill="1" applyBorder="1" applyAlignment="1">
      <alignment horizontal="center"/>
    </xf>
    <xf numFmtId="6" fontId="26" fillId="0" borderId="0" xfId="0" applyNumberFormat="1" applyFont="1" applyFill="1" applyBorder="1" applyAlignment="1">
      <alignment horizontal="center"/>
    </xf>
    <xf numFmtId="166" fontId="60" fillId="0" borderId="0" xfId="0" applyNumberFormat="1" applyFont="1" applyBorder="1" applyAlignment="1">
      <alignment horizontal="center"/>
    </xf>
    <xf numFmtId="169" fontId="19" fillId="0" borderId="29" xfId="119" applyNumberFormat="1" applyFont="1" applyFill="1" applyBorder="1"/>
    <xf numFmtId="37" fontId="60" fillId="0" borderId="0" xfId="0" applyFont="1" applyAlignment="1">
      <alignment horizontal="center"/>
    </xf>
    <xf numFmtId="37" fontId="37" fillId="0" borderId="0" xfId="0" applyFont="1" applyAlignment="1">
      <alignment horizontal="center"/>
    </xf>
    <xf numFmtId="169" fontId="26" fillId="0" borderId="29" xfId="0" applyNumberFormat="1" applyFont="1" applyFill="1" applyBorder="1"/>
    <xf numFmtId="169" fontId="26" fillId="0" borderId="29" xfId="119" applyNumberFormat="1" applyFont="1" applyFill="1" applyBorder="1"/>
    <xf numFmtId="39" fontId="21" fillId="18" borderId="23" xfId="119" applyNumberFormat="1" applyFont="1" applyFill="1" applyBorder="1"/>
    <xf numFmtId="180" fontId="16" fillId="0" borderId="0" xfId="0" applyNumberFormat="1" applyFont="1" applyFill="1" applyBorder="1"/>
    <xf numFmtId="37" fontId="21" fillId="0" borderId="20" xfId="0" applyFont="1" applyFill="1" applyBorder="1" applyProtection="1"/>
    <xf numFmtId="37" fontId="21" fillId="19" borderId="23" xfId="0" applyFont="1" applyFill="1" applyBorder="1"/>
    <xf numFmtId="0" fontId="21" fillId="19" borderId="55" xfId="0" applyNumberFormat="1" applyFont="1" applyFill="1" applyBorder="1" applyAlignment="1">
      <alignment horizontal="right"/>
    </xf>
    <xf numFmtId="37" fontId="50" fillId="0" borderId="0" xfId="0" applyFont="1"/>
    <xf numFmtId="37" fontId="16" fillId="0" borderId="0" xfId="0" applyFont="1" applyFill="1" applyBorder="1" applyAlignment="1">
      <alignment horizontal="left"/>
    </xf>
    <xf numFmtId="37" fontId="21" fillId="0" borderId="0" xfId="0" applyFont="1" applyFill="1" applyBorder="1" applyAlignment="1">
      <alignment horizontal="right"/>
    </xf>
    <xf numFmtId="0" fontId="21" fillId="0" borderId="0" xfId="0" applyNumberFormat="1" applyFont="1" applyFill="1" applyBorder="1" applyAlignment="1">
      <alignment horizontal="right"/>
    </xf>
    <xf numFmtId="166" fontId="22" fillId="0" borderId="0" xfId="126" applyNumberFormat="1" applyFont="1"/>
    <xf numFmtId="166" fontId="0" fillId="0" borderId="11" xfId="126" applyNumberFormat="1" applyFont="1" applyBorder="1"/>
    <xf numFmtId="166" fontId="23" fillId="17" borderId="11" xfId="126" applyNumberFormat="1" applyFont="1" applyFill="1" applyBorder="1"/>
    <xf numFmtId="43" fontId="0" fillId="0" borderId="0" xfId="77" applyFont="1"/>
    <xf numFmtId="43" fontId="0" fillId="0" borderId="0" xfId="77" applyNumberFormat="1" applyFont="1"/>
    <xf numFmtId="166" fontId="0" fillId="0" borderId="0" xfId="126" applyNumberFormat="1" applyFont="1" applyAlignment="1">
      <alignment horizontal="right"/>
    </xf>
    <xf numFmtId="166" fontId="65" fillId="0" borderId="0" xfId="126" applyNumberFormat="1" applyFont="1"/>
    <xf numFmtId="41" fontId="16" fillId="0" borderId="29" xfId="0" applyNumberFormat="1" applyFont="1" applyFill="1" applyBorder="1"/>
    <xf numFmtId="37" fontId="66" fillId="0" borderId="0" xfId="0" applyFont="1"/>
    <xf numFmtId="37" fontId="22" fillId="0" borderId="0" xfId="0" applyFont="1" applyAlignment="1">
      <alignment horizontal="centerContinuous"/>
    </xf>
    <xf numFmtId="37" fontId="66" fillId="0" borderId="0" xfId="0" applyFont="1" applyAlignment="1">
      <alignment horizontal="centerContinuous"/>
    </xf>
    <xf numFmtId="9" fontId="66" fillId="0" borderId="0" xfId="126" applyFont="1"/>
    <xf numFmtId="9" fontId="66" fillId="0" borderId="29" xfId="126" applyFont="1" applyBorder="1"/>
    <xf numFmtId="169" fontId="22" fillId="0" borderId="0" xfId="0" applyNumberFormat="1" applyFont="1"/>
    <xf numFmtId="37" fontId="0" fillId="0" borderId="0" xfId="0" applyAlignment="1">
      <alignment horizontal="left" indent="1"/>
    </xf>
    <xf numFmtId="37" fontId="21" fillId="0" borderId="0" xfId="117" applyFont="1"/>
    <xf numFmtId="37" fontId="16" fillId="0" borderId="0" xfId="117" applyFont="1"/>
    <xf numFmtId="37" fontId="16" fillId="0" borderId="0" xfId="117" applyFont="1" applyBorder="1"/>
    <xf numFmtId="37" fontId="21" fillId="0" borderId="0" xfId="117" applyFont="1" applyFill="1" applyBorder="1"/>
    <xf numFmtId="37" fontId="21" fillId="0" borderId="0" xfId="117" applyFont="1" applyBorder="1"/>
    <xf numFmtId="172" fontId="16" fillId="0" borderId="0" xfId="117" applyNumberFormat="1" applyFont="1" applyFill="1" applyBorder="1"/>
    <xf numFmtId="166" fontId="16" fillId="0" borderId="0" xfId="129" applyFont="1"/>
    <xf numFmtId="37" fontId="16" fillId="0" borderId="0" xfId="117" applyFont="1" applyAlignment="1">
      <alignment horizontal="right"/>
    </xf>
    <xf numFmtId="37" fontId="21" fillId="0" borderId="0" xfId="117" applyFont="1" applyAlignment="1">
      <alignment horizontal="right"/>
    </xf>
    <xf numFmtId="37" fontId="21" fillId="0" borderId="11" xfId="117" applyFont="1" applyBorder="1"/>
    <xf numFmtId="37" fontId="21" fillId="0" borderId="11" xfId="117" applyFont="1" applyBorder="1" applyAlignment="1">
      <alignment horizontal="right"/>
    </xf>
    <xf numFmtId="37" fontId="16" fillId="0" borderId="11" xfId="117" applyFont="1" applyBorder="1"/>
    <xf numFmtId="37" fontId="16" fillId="0" borderId="11" xfId="117" applyFont="1" applyBorder="1" applyAlignment="1">
      <alignment horizontal="right"/>
    </xf>
    <xf numFmtId="37" fontId="16" fillId="0" borderId="0" xfId="117" applyFont="1" applyFill="1" applyBorder="1" applyAlignment="1">
      <alignment horizontal="center"/>
    </xf>
    <xf numFmtId="173" fontId="26" fillId="0" borderId="0" xfId="117" applyNumberFormat="1" applyFont="1" applyFill="1" applyBorder="1" applyAlignment="1">
      <alignment horizontal="center"/>
    </xf>
    <xf numFmtId="37" fontId="16" fillId="0" borderId="0" xfId="117" quotePrefix="1" applyFont="1" applyFill="1" applyBorder="1" applyAlignment="1">
      <alignment horizontal="center"/>
    </xf>
    <xf numFmtId="37" fontId="16" fillId="0" borderId="11" xfId="117" applyFont="1" applyFill="1" applyBorder="1" applyAlignment="1">
      <alignment horizontal="center"/>
    </xf>
    <xf numFmtId="37" fontId="16" fillId="0" borderId="11" xfId="117" quotePrefix="1" applyFont="1" applyFill="1" applyBorder="1" applyAlignment="1">
      <alignment horizontal="center"/>
    </xf>
    <xf numFmtId="37" fontId="21" fillId="18" borderId="56" xfId="117" applyFont="1" applyFill="1" applyBorder="1"/>
    <xf numFmtId="172" fontId="16" fillId="18" borderId="23" xfId="117" applyNumberFormat="1" applyFont="1" applyFill="1" applyBorder="1" applyAlignment="1">
      <alignment horizontal="right"/>
    </xf>
    <xf numFmtId="172" fontId="16" fillId="18" borderId="23" xfId="117" applyNumberFormat="1" applyFont="1" applyFill="1" applyBorder="1"/>
    <xf numFmtId="172" fontId="16" fillId="0" borderId="0" xfId="117" applyNumberFormat="1" applyFont="1" applyFill="1" applyBorder="1" applyAlignment="1">
      <alignment horizontal="right"/>
    </xf>
    <xf numFmtId="37" fontId="16" fillId="0" borderId="0" xfId="117" applyFont="1" applyFill="1"/>
    <xf numFmtId="37" fontId="23" fillId="0" borderId="0" xfId="0" applyFont="1"/>
    <xf numFmtId="37" fontId="68" fillId="0" borderId="0" xfId="0" applyFont="1"/>
    <xf numFmtId="37" fontId="21" fillId="0" borderId="20" xfId="117" applyFont="1" applyFill="1" applyBorder="1" applyProtection="1"/>
    <xf numFmtId="37" fontId="21" fillId="0" borderId="0" xfId="117" applyFont="1" applyFill="1" applyProtection="1"/>
    <xf numFmtId="168" fontId="21" fillId="0" borderId="0" xfId="117" applyNumberFormat="1" applyFont="1" applyBorder="1" applyAlignment="1">
      <alignment horizontal="left"/>
    </xf>
    <xf numFmtId="37" fontId="16" fillId="0" borderId="0" xfId="117" applyFont="1" applyFill="1" applyBorder="1"/>
    <xf numFmtId="37" fontId="21" fillId="19" borderId="0" xfId="117" applyFont="1" applyFill="1"/>
    <xf numFmtId="37" fontId="16" fillId="19" borderId="0" xfId="117" applyFont="1" applyFill="1"/>
    <xf numFmtId="166" fontId="26" fillId="0" borderId="0" xfId="129" applyFont="1"/>
    <xf numFmtId="173" fontId="26" fillId="0" borderId="0" xfId="117" applyNumberFormat="1" applyFont="1" applyFill="1" applyBorder="1"/>
    <xf numFmtId="7" fontId="21" fillId="0" borderId="0" xfId="84" applyNumberFormat="1" applyFont="1"/>
    <xf numFmtId="173" fontId="26" fillId="0" borderId="0" xfId="117" applyNumberFormat="1" applyFont="1"/>
    <xf numFmtId="37" fontId="21" fillId="0" borderId="64" xfId="117" applyFont="1" applyBorder="1"/>
    <xf numFmtId="37" fontId="16" fillId="0" borderId="38" xfId="117" applyFont="1" applyBorder="1"/>
    <xf numFmtId="37" fontId="21" fillId="0" borderId="38" xfId="117" applyFont="1" applyBorder="1"/>
    <xf numFmtId="7" fontId="21" fillId="0" borderId="68" xfId="84" applyNumberFormat="1" applyFont="1" applyBorder="1"/>
    <xf numFmtId="37" fontId="25" fillId="0" borderId="0" xfId="117" applyFont="1"/>
    <xf numFmtId="37" fontId="16" fillId="0" borderId="36" xfId="0" applyFont="1" applyFill="1" applyBorder="1"/>
    <xf numFmtId="166" fontId="16" fillId="0" borderId="0" xfId="129" applyFont="1" applyFill="1"/>
    <xf numFmtId="37" fontId="16" fillId="0" borderId="0" xfId="0" applyFont="1" applyFill="1" applyBorder="1" applyAlignment="1">
      <alignment wrapText="1"/>
    </xf>
    <xf numFmtId="37" fontId="21" fillId="0" borderId="0" xfId="0" applyFont="1" applyFill="1" applyBorder="1" applyAlignment="1"/>
    <xf numFmtId="37" fontId="16" fillId="0" borderId="0" xfId="0" applyFont="1" applyFill="1" applyBorder="1" applyAlignment="1"/>
    <xf numFmtId="37" fontId="16" fillId="0" borderId="0" xfId="0" applyFont="1" applyFill="1" applyBorder="1" applyAlignment="1">
      <alignment horizontal="left" vertical="top" wrapText="1" indent="3"/>
    </xf>
    <xf numFmtId="37" fontId="16" fillId="0" borderId="0" xfId="0" applyFont="1" applyFill="1" applyBorder="1" applyAlignment="1">
      <alignment horizontal="right" wrapText="1"/>
    </xf>
    <xf numFmtId="37" fontId="21" fillId="0" borderId="0" xfId="0" applyFont="1" applyFill="1" applyBorder="1" applyAlignment="1">
      <alignment wrapText="1"/>
    </xf>
    <xf numFmtId="37" fontId="21" fillId="0" borderId="0" xfId="0" applyFont="1" applyFill="1" applyBorder="1" applyAlignment="1">
      <alignment horizontal="centerContinuous"/>
    </xf>
    <xf numFmtId="37" fontId="21" fillId="0" borderId="0" xfId="0" applyFont="1" applyFill="1" applyBorder="1" applyAlignment="1">
      <alignment vertical="top" wrapText="1"/>
    </xf>
    <xf numFmtId="37" fontId="16" fillId="0" borderId="0" xfId="0" applyFont="1" applyFill="1" applyBorder="1" applyAlignment="1">
      <alignment horizontal="left" vertical="top" wrapText="1" indent="1"/>
    </xf>
    <xf numFmtId="37" fontId="21" fillId="0" borderId="0" xfId="0" applyFont="1" applyFill="1" applyBorder="1" applyAlignment="1">
      <alignment horizontal="left" vertical="top" wrapText="1"/>
    </xf>
    <xf numFmtId="37" fontId="21" fillId="0" borderId="0" xfId="0" applyFont="1" applyFill="1" applyBorder="1" applyAlignment="1">
      <alignment horizontal="right" wrapText="1"/>
    </xf>
    <xf numFmtId="43" fontId="16" fillId="0" borderId="0" xfId="0" applyNumberFormat="1" applyFont="1" applyFill="1" applyBorder="1" applyAlignment="1">
      <alignment wrapText="1"/>
    </xf>
    <xf numFmtId="43" fontId="16" fillId="0" borderId="0" xfId="0" applyNumberFormat="1" applyFont="1" applyFill="1" applyBorder="1"/>
    <xf numFmtId="180" fontId="16" fillId="0" borderId="0" xfId="0" applyNumberFormat="1" applyFont="1" applyFill="1" applyBorder="1" applyAlignment="1">
      <alignment horizontal="right" wrapText="1"/>
    </xf>
    <xf numFmtId="180" fontId="16" fillId="0" borderId="0" xfId="0" applyNumberFormat="1" applyFont="1" applyFill="1" applyBorder="1" applyAlignment="1">
      <alignment wrapText="1"/>
    </xf>
    <xf numFmtId="180" fontId="29" fillId="0" borderId="0" xfId="0" applyNumberFormat="1" applyFont="1" applyFill="1" applyBorder="1" applyAlignment="1">
      <alignment horizontal="right" wrapText="1"/>
    </xf>
    <xf numFmtId="180" fontId="29" fillId="0" borderId="0" xfId="0" applyNumberFormat="1" applyFont="1" applyFill="1" applyBorder="1" applyAlignment="1">
      <alignment wrapText="1"/>
    </xf>
    <xf numFmtId="180" fontId="29" fillId="0" borderId="0" xfId="0" applyNumberFormat="1" applyFont="1" applyFill="1" applyBorder="1"/>
    <xf numFmtId="180" fontId="21" fillId="0" borderId="0" xfId="0" applyNumberFormat="1" applyFont="1" applyFill="1" applyBorder="1" applyAlignment="1">
      <alignment horizontal="right" wrapText="1"/>
    </xf>
    <xf numFmtId="180" fontId="21" fillId="0" borderId="0" xfId="0" applyNumberFormat="1" applyFont="1" applyFill="1" applyBorder="1"/>
    <xf numFmtId="180" fontId="21" fillId="0" borderId="0" xfId="0" applyNumberFormat="1" applyFont="1" applyFill="1" applyBorder="1" applyAlignment="1">
      <alignment wrapText="1"/>
    </xf>
    <xf numFmtId="37" fontId="27" fillId="0" borderId="0" xfId="0" applyFont="1" applyFill="1" applyBorder="1"/>
    <xf numFmtId="166" fontId="16" fillId="0" borderId="0" xfId="126" applyNumberFormat="1" applyFont="1" applyFill="1" applyBorder="1"/>
    <xf numFmtId="37" fontId="21" fillId="19" borderId="56" xfId="0" applyFont="1" applyFill="1" applyBorder="1"/>
    <xf numFmtId="166" fontId="21" fillId="19" borderId="24" xfId="126" applyNumberFormat="1" applyFont="1" applyFill="1" applyBorder="1"/>
    <xf numFmtId="37" fontId="21" fillId="0" borderId="0" xfId="0" applyFont="1" applyFill="1" applyBorder="1" applyProtection="1"/>
    <xf numFmtId="37" fontId="16" fillId="0" borderId="0" xfId="0" applyFont="1" applyFill="1" applyBorder="1" applyAlignment="1">
      <alignment vertical="top"/>
    </xf>
    <xf numFmtId="9" fontId="0" fillId="0" borderId="11" xfId="126" applyFont="1" applyBorder="1"/>
    <xf numFmtId="37" fontId="22" fillId="0" borderId="0" xfId="0" applyFont="1" applyAlignment="1">
      <alignment horizontal="left"/>
    </xf>
    <xf numFmtId="37" fontId="61" fillId="0" borderId="0" xfId="0" applyFont="1" applyAlignment="1">
      <alignment horizontal="left"/>
    </xf>
    <xf numFmtId="37" fontId="61" fillId="0" borderId="0" xfId="0" applyFont="1" applyAlignment="1">
      <alignment horizontal="right"/>
    </xf>
    <xf numFmtId="37" fontId="0" fillId="16" borderId="0" xfId="0" applyFill="1"/>
    <xf numFmtId="37" fontId="25" fillId="0" borderId="0" xfId="0" applyFont="1" applyFill="1" applyBorder="1"/>
    <xf numFmtId="37" fontId="25" fillId="0" borderId="0" xfId="0" applyFont="1" applyFill="1" applyBorder="1" applyAlignment="1"/>
    <xf numFmtId="0" fontId="25" fillId="0" borderId="0" xfId="0" applyNumberFormat="1" applyFont="1" applyFill="1" applyBorder="1" applyAlignment="1"/>
    <xf numFmtId="166" fontId="16" fillId="0" borderId="0" xfId="126" applyNumberFormat="1" applyFont="1" applyFill="1" applyBorder="1" applyAlignment="1"/>
    <xf numFmtId="180" fontId="26" fillId="0" borderId="0" xfId="0" applyNumberFormat="1" applyFont="1" applyFill="1" applyBorder="1" applyAlignment="1"/>
    <xf numFmtId="180" fontId="28" fillId="0" borderId="0" xfId="0" applyNumberFormat="1" applyFont="1" applyFill="1" applyBorder="1" applyAlignment="1"/>
    <xf numFmtId="166" fontId="21" fillId="0" borderId="0" xfId="126" applyNumberFormat="1" applyFont="1" applyFill="1" applyBorder="1" applyAlignment="1"/>
    <xf numFmtId="183" fontId="16" fillId="0" borderId="0" xfId="0" applyNumberFormat="1" applyFont="1" applyFill="1"/>
    <xf numFmtId="183" fontId="16" fillId="0" borderId="21" xfId="0" applyNumberFormat="1" applyFont="1" applyFill="1" applyBorder="1"/>
    <xf numFmtId="183" fontId="16" fillId="0" borderId="29" xfId="0" applyNumberFormat="1" applyFont="1" applyFill="1" applyBorder="1"/>
    <xf numFmtId="183" fontId="26" fillId="0" borderId="0" xfId="0" applyNumberFormat="1" applyFont="1" applyFill="1"/>
    <xf numFmtId="183" fontId="26" fillId="0" borderId="21" xfId="0" applyNumberFormat="1" applyFont="1" applyFill="1" applyBorder="1"/>
    <xf numFmtId="183" fontId="26" fillId="0" borderId="20" xfId="0" applyNumberFormat="1" applyFont="1" applyFill="1" applyBorder="1"/>
    <xf numFmtId="183" fontId="26" fillId="0" borderId="0" xfId="0" applyNumberFormat="1" applyFont="1" applyFill="1" applyBorder="1"/>
    <xf numFmtId="183" fontId="21" fillId="0" borderId="0" xfId="0" applyNumberFormat="1" applyFont="1" applyFill="1"/>
    <xf numFmtId="183" fontId="16" fillId="0" borderId="0" xfId="0" applyNumberFormat="1" applyFont="1" applyFill="1" applyBorder="1"/>
    <xf numFmtId="183" fontId="29" fillId="0" borderId="0" xfId="0" applyNumberFormat="1" applyFont="1" applyFill="1"/>
    <xf numFmtId="183" fontId="29" fillId="0" borderId="21" xfId="0" applyNumberFormat="1" applyFont="1" applyFill="1" applyBorder="1"/>
    <xf numFmtId="183" fontId="29" fillId="0" borderId="29" xfId="0" applyNumberFormat="1" applyFont="1" applyFill="1" applyBorder="1"/>
    <xf numFmtId="183" fontId="28" fillId="0" borderId="0" xfId="0" applyNumberFormat="1" applyFont="1" applyFill="1"/>
    <xf numFmtId="183" fontId="21" fillId="0" borderId="29" xfId="0" applyNumberFormat="1" applyFont="1" applyFill="1" applyBorder="1"/>
    <xf numFmtId="0" fontId="21" fillId="0" borderId="0" xfId="0" applyNumberFormat="1" applyFont="1" applyFill="1" applyAlignment="1"/>
    <xf numFmtId="41" fontId="16" fillId="0" borderId="0" xfId="0" applyNumberFormat="1" applyFont="1" applyFill="1" applyBorder="1" applyAlignment="1">
      <alignment horizontal="right"/>
    </xf>
    <xf numFmtId="41" fontId="32" fillId="0" borderId="0" xfId="0" applyNumberFormat="1" applyFont="1" applyFill="1" applyBorder="1" applyAlignment="1">
      <alignment horizontal="right"/>
    </xf>
    <xf numFmtId="41" fontId="28" fillId="0" borderId="0" xfId="0" applyNumberFormat="1" applyFont="1" applyFill="1" applyBorder="1"/>
    <xf numFmtId="9" fontId="27" fillId="0" borderId="0" xfId="126" applyFont="1" applyBorder="1" applyAlignment="1">
      <alignment horizontal="right"/>
    </xf>
    <xf numFmtId="171" fontId="36" fillId="0" borderId="0" xfId="0" applyNumberFormat="1" applyFont="1" applyFill="1" applyBorder="1" applyAlignment="1">
      <alignment horizontal="right"/>
    </xf>
    <xf numFmtId="171" fontId="21" fillId="0" borderId="0" xfId="0" applyNumberFormat="1" applyFont="1" applyFill="1" applyBorder="1" applyAlignment="1">
      <alignment horizontal="right"/>
    </xf>
    <xf numFmtId="9" fontId="16" fillId="0" borderId="0" xfId="126" applyFont="1" applyBorder="1" applyAlignment="1">
      <alignment horizontal="right"/>
    </xf>
    <xf numFmtId="14" fontId="15" fillId="0" borderId="0" xfId="0" applyNumberFormat="1" applyFont="1" applyAlignment="1">
      <alignment horizontal="left"/>
    </xf>
    <xf numFmtId="14" fontId="61" fillId="0" borderId="0" xfId="0" applyNumberFormat="1" applyFont="1" applyAlignment="1">
      <alignment horizontal="left"/>
    </xf>
    <xf numFmtId="183" fontId="29" fillId="0" borderId="0" xfId="0" applyNumberFormat="1" applyFont="1" applyFill="1" applyBorder="1"/>
    <xf numFmtId="183" fontId="28" fillId="0" borderId="0" xfId="0" applyNumberFormat="1" applyFont="1" applyFill="1" applyBorder="1"/>
    <xf numFmtId="183" fontId="16" fillId="0" borderId="0" xfId="0" applyNumberFormat="1" applyFont="1" applyFill="1" applyBorder="1" applyAlignment="1">
      <alignment horizontal="right"/>
    </xf>
    <xf numFmtId="37" fontId="19" fillId="0" borderId="0" xfId="0" applyNumberFormat="1" applyFont="1" applyFill="1" applyBorder="1"/>
    <xf numFmtId="37" fontId="22" fillId="0" borderId="0" xfId="0" applyNumberFormat="1" applyFont="1" applyFill="1" applyAlignment="1">
      <alignment horizontal="left"/>
    </xf>
    <xf numFmtId="37" fontId="66" fillId="0" borderId="0" xfId="0" applyNumberFormat="1" applyFont="1" applyFill="1" applyAlignment="1">
      <alignment horizontal="left" indent="1"/>
    </xf>
    <xf numFmtId="37" fontId="22" fillId="0" borderId="0" xfId="0" applyFont="1" applyFill="1"/>
    <xf numFmtId="37" fontId="66" fillId="0" borderId="0" xfId="0" applyFont="1" applyFill="1"/>
    <xf numFmtId="37" fontId="22" fillId="0" borderId="0" xfId="0" applyNumberFormat="1" applyFont="1" applyFill="1" applyAlignment="1">
      <alignment horizontal="left" indent="1"/>
    </xf>
    <xf numFmtId="37" fontId="41" fillId="0" borderId="0" xfId="0" applyFont="1"/>
    <xf numFmtId="37" fontId="3" fillId="0" borderId="0" xfId="0" applyNumberFormat="1" applyFont="1" applyFill="1" applyAlignment="1">
      <alignment horizontal="left"/>
    </xf>
    <xf numFmtId="37" fontId="22" fillId="19" borderId="0" xfId="0" applyFont="1" applyFill="1"/>
    <xf numFmtId="37" fontId="22" fillId="0" borderId="0" xfId="0" applyFont="1" applyAlignment="1">
      <alignment horizontal="center"/>
    </xf>
    <xf numFmtId="169" fontId="66" fillId="0" borderId="0" xfId="0" applyNumberFormat="1" applyFont="1"/>
    <xf numFmtId="9" fontId="66" fillId="0" borderId="20" xfId="126" applyFont="1" applyBorder="1"/>
    <xf numFmtId="9" fontId="66" fillId="0" borderId="25" xfId="126" applyFont="1" applyBorder="1"/>
    <xf numFmtId="9" fontId="66" fillId="0" borderId="35" xfId="126" applyFont="1" applyBorder="1"/>
    <xf numFmtId="37" fontId="22" fillId="0" borderId="19" xfId="0" applyFont="1" applyBorder="1" applyAlignment="1">
      <alignment horizontal="right"/>
    </xf>
    <xf numFmtId="37" fontId="22" fillId="0" borderId="36" xfId="0" applyFont="1" applyBorder="1" applyAlignment="1">
      <alignment horizontal="right"/>
    </xf>
    <xf numFmtId="9" fontId="66" fillId="0" borderId="20" xfId="126" applyFont="1" applyBorder="1" applyAlignment="1">
      <alignment horizontal="right"/>
    </xf>
    <xf numFmtId="9" fontId="66" fillId="0" borderId="29" xfId="126" applyFont="1" applyBorder="1" applyAlignment="1">
      <alignment horizontal="right"/>
    </xf>
    <xf numFmtId="37" fontId="73" fillId="0" borderId="0" xfId="0" applyFont="1"/>
    <xf numFmtId="37" fontId="66" fillId="0" borderId="0" xfId="0" applyFont="1" applyAlignment="1">
      <alignment horizontal="left" indent="1"/>
    </xf>
    <xf numFmtId="37" fontId="66" fillId="0" borderId="0" xfId="0" applyFont="1" applyAlignment="1">
      <alignment horizontal="left"/>
    </xf>
    <xf numFmtId="37" fontId="66" fillId="0" borderId="0" xfId="0" applyFont="1" applyFill="1" applyBorder="1"/>
    <xf numFmtId="37" fontId="61" fillId="0" borderId="0" xfId="0" applyFont="1" applyFill="1" applyBorder="1"/>
    <xf numFmtId="37" fontId="66" fillId="21" borderId="0" xfId="0" applyFont="1" applyFill="1"/>
    <xf numFmtId="169" fontId="16" fillId="0" borderId="0" xfId="119" applyNumberFormat="1" applyFont="1" applyFill="1" applyBorder="1" applyAlignment="1">
      <alignment horizontal="right"/>
    </xf>
    <xf numFmtId="169" fontId="26" fillId="0" borderId="0" xfId="119" applyNumberFormat="1" applyFont="1" applyFill="1" applyBorder="1" applyAlignment="1">
      <alignment horizontal="center"/>
    </xf>
    <xf numFmtId="180" fontId="26" fillId="0" borderId="0" xfId="77" applyNumberFormat="1" applyFont="1" applyFill="1" applyBorder="1" applyAlignment="1">
      <alignment horizontal="center"/>
    </xf>
    <xf numFmtId="37" fontId="26" fillId="0" borderId="0" xfId="119" applyFont="1" applyFill="1" applyBorder="1" applyAlignment="1">
      <alignment horizontal="center"/>
    </xf>
    <xf numFmtId="172" fontId="26" fillId="0" borderId="0" xfId="119" applyNumberFormat="1" applyFont="1" applyFill="1" applyBorder="1"/>
    <xf numFmtId="37" fontId="16" fillId="0" borderId="0" xfId="119" applyFont="1" applyBorder="1" applyAlignment="1">
      <alignment horizontal="right"/>
    </xf>
    <xf numFmtId="43" fontId="16" fillId="0" borderId="0" xfId="77" applyFont="1" applyFill="1" applyBorder="1"/>
    <xf numFmtId="37" fontId="16" fillId="0" borderId="0" xfId="119" applyFont="1" applyFill="1" applyBorder="1" applyAlignment="1">
      <alignment horizontal="right"/>
    </xf>
    <xf numFmtId="37" fontId="25" fillId="0" borderId="0" xfId="119" applyFont="1" applyFill="1" applyBorder="1" applyAlignment="1">
      <alignment horizontal="right"/>
    </xf>
    <xf numFmtId="37" fontId="27" fillId="0" borderId="0" xfId="119" applyFont="1" applyFill="1" applyBorder="1"/>
    <xf numFmtId="44" fontId="26" fillId="0" borderId="0" xfId="79" applyFont="1" applyFill="1" applyBorder="1"/>
    <xf numFmtId="37" fontId="26" fillId="0" borderId="0" xfId="119" applyFont="1" applyFill="1" applyBorder="1" applyAlignment="1">
      <alignment horizontal="right"/>
    </xf>
    <xf numFmtId="182" fontId="26" fillId="0" borderId="0" xfId="79" applyNumberFormat="1" applyFont="1" applyFill="1" applyBorder="1"/>
    <xf numFmtId="37" fontId="16" fillId="16" borderId="0" xfId="119" applyFont="1" applyFill="1" applyBorder="1"/>
    <xf numFmtId="37" fontId="21" fillId="0" borderId="11" xfId="119" applyFont="1" applyFill="1" applyBorder="1" applyAlignment="1">
      <alignment horizontal="centerContinuous"/>
    </xf>
    <xf numFmtId="37" fontId="16" fillId="0" borderId="11" xfId="119" applyFont="1" applyFill="1" applyBorder="1" applyAlignment="1">
      <alignment horizontal="centerContinuous"/>
    </xf>
    <xf numFmtId="37" fontId="21" fillId="0" borderId="0" xfId="119" applyFont="1" applyFill="1" applyBorder="1" applyAlignment="1">
      <alignment horizontal="center"/>
    </xf>
    <xf numFmtId="37" fontId="21" fillId="0" borderId="11" xfId="119" applyFont="1" applyFill="1" applyBorder="1" applyAlignment="1">
      <alignment horizontal="center" wrapText="1"/>
    </xf>
    <xf numFmtId="37" fontId="21" fillId="0" borderId="55" xfId="119" applyFont="1" applyFill="1" applyBorder="1" applyAlignment="1">
      <alignment wrapText="1"/>
    </xf>
    <xf numFmtId="37" fontId="16" fillId="0" borderId="11" xfId="119" applyFont="1" applyFill="1" applyBorder="1"/>
    <xf numFmtId="37" fontId="16" fillId="0" borderId="29" xfId="119" applyFont="1" applyFill="1" applyBorder="1" applyAlignment="1">
      <alignment vertical="top"/>
    </xf>
    <xf numFmtId="37" fontId="16" fillId="0" borderId="36" xfId="119" applyFont="1" applyFill="1" applyBorder="1"/>
    <xf numFmtId="37" fontId="21" fillId="0" borderId="29" xfId="119" applyFont="1" applyFill="1" applyBorder="1" applyAlignment="1">
      <alignment vertical="top"/>
    </xf>
    <xf numFmtId="37" fontId="21" fillId="0" borderId="29" xfId="119" applyFont="1" applyFill="1" applyBorder="1" applyAlignment="1">
      <alignment vertical="top" wrapText="1"/>
    </xf>
    <xf numFmtId="37" fontId="21" fillId="0" borderId="35" xfId="119" applyFont="1" applyFill="1" applyBorder="1" applyAlignment="1">
      <alignment vertical="top" wrapText="1"/>
    </xf>
    <xf numFmtId="37" fontId="16" fillId="0" borderId="0" xfId="119" applyFont="1" applyFill="1" applyBorder="1" applyAlignment="1">
      <alignment horizontal="center" vertical="top" wrapText="1"/>
    </xf>
    <xf numFmtId="37" fontId="16" fillId="0" borderId="0" xfId="119" applyFont="1" applyFill="1" applyBorder="1" applyAlignment="1">
      <alignment horizontal="center" vertical="top"/>
    </xf>
    <xf numFmtId="49" fontId="16" fillId="0" borderId="0" xfId="119" applyNumberFormat="1" applyFont="1" applyFill="1" applyBorder="1" applyAlignment="1">
      <alignment horizontal="center" vertical="top" wrapText="1"/>
    </xf>
    <xf numFmtId="166" fontId="23" fillId="0" borderId="11" xfId="126" applyNumberFormat="1" applyFont="1" applyBorder="1"/>
    <xf numFmtId="9" fontId="60" fillId="0" borderId="0" xfId="0" applyNumberFormat="1" applyFont="1" applyFill="1" applyBorder="1" applyAlignment="1">
      <alignment horizontal="center"/>
    </xf>
    <xf numFmtId="37" fontId="60" fillId="0" borderId="0" xfId="0" applyNumberFormat="1" applyFont="1" applyFill="1" applyBorder="1" applyAlignment="1">
      <alignment horizontal="center"/>
    </xf>
    <xf numFmtId="37" fontId="60" fillId="0" borderId="0" xfId="0" applyNumberFormat="1" applyFont="1" applyFill="1" applyBorder="1" applyAlignment="1">
      <alignment horizontal="centerContinuous"/>
    </xf>
    <xf numFmtId="9" fontId="60" fillId="0" borderId="0" xfId="126" applyFont="1" applyFill="1" applyBorder="1" applyAlignment="1">
      <alignment horizontal="centerContinuous"/>
    </xf>
    <xf numFmtId="9" fontId="60" fillId="0" borderId="0" xfId="126" applyFont="1" applyFill="1" applyBorder="1" applyAlignment="1">
      <alignment horizontal="center"/>
    </xf>
    <xf numFmtId="44" fontId="60" fillId="0" borderId="0" xfId="79" applyFont="1" applyFill="1" applyBorder="1" applyAlignment="1">
      <alignment horizontal="center"/>
    </xf>
    <xf numFmtId="188" fontId="0" fillId="0" borderId="0" xfId="0" applyNumberFormat="1"/>
    <xf numFmtId="166" fontId="26" fillId="0" borderId="73" xfId="0" quotePrefix="1" applyNumberFormat="1" applyFont="1" applyFill="1" applyBorder="1" applyAlignment="1">
      <alignment horizontal="center"/>
    </xf>
    <xf numFmtId="9" fontId="26" fillId="0" borderId="73" xfId="0" quotePrefix="1" applyNumberFormat="1" applyFont="1" applyFill="1" applyBorder="1" applyAlignment="1">
      <alignment horizontal="center"/>
    </xf>
    <xf numFmtId="5" fontId="26" fillId="0" borderId="73" xfId="0" quotePrefix="1" applyNumberFormat="1" applyFont="1" applyFill="1" applyBorder="1" applyAlignment="1">
      <alignment horizontal="center"/>
    </xf>
    <xf numFmtId="7" fontId="26" fillId="0" borderId="76" xfId="0" quotePrefix="1" applyNumberFormat="1" applyFont="1" applyFill="1" applyBorder="1" applyAlignment="1">
      <alignment horizontal="center"/>
    </xf>
    <xf numFmtId="9" fontId="37" fillId="0" borderId="0" xfId="126" applyFont="1" applyAlignment="1">
      <alignment horizontal="center"/>
    </xf>
    <xf numFmtId="41" fontId="21" fillId="0" borderId="0" xfId="0" applyNumberFormat="1" applyFont="1" applyBorder="1"/>
    <xf numFmtId="41" fontId="21" fillId="0" borderId="29" xfId="0" applyNumberFormat="1" applyFont="1" applyFill="1" applyBorder="1"/>
    <xf numFmtId="41" fontId="26" fillId="0" borderId="0" xfId="0" applyNumberFormat="1" applyFont="1" applyFill="1" applyBorder="1" applyAlignment="1">
      <alignment horizontal="right"/>
    </xf>
    <xf numFmtId="41" fontId="26" fillId="0" borderId="0" xfId="0" applyNumberFormat="1" applyFont="1" applyFill="1" applyBorder="1"/>
    <xf numFmtId="41" fontId="16" fillId="0" borderId="0" xfId="0" applyNumberFormat="1" applyFont="1" applyFill="1" applyBorder="1" applyAlignment="1">
      <alignment horizontal="left"/>
    </xf>
    <xf numFmtId="41" fontId="16" fillId="0" borderId="0" xfId="0" applyNumberFormat="1" applyFont="1" applyFill="1" applyBorder="1"/>
    <xf numFmtId="41" fontId="26" fillId="0" borderId="29" xfId="0" applyNumberFormat="1" applyFont="1" applyFill="1" applyBorder="1"/>
    <xf numFmtId="41" fontId="29" fillId="0" borderId="29" xfId="0" applyNumberFormat="1" applyFont="1" applyFill="1" applyBorder="1" applyAlignment="1">
      <alignment horizontal="right"/>
    </xf>
    <xf numFmtId="41" fontId="29" fillId="0" borderId="0" xfId="0" applyNumberFormat="1" applyFont="1" applyFill="1" applyBorder="1"/>
    <xf numFmtId="41" fontId="21" fillId="0" borderId="29" xfId="0" applyNumberFormat="1" applyFont="1" applyFill="1" applyBorder="1" applyAlignment="1">
      <alignment horizontal="right"/>
    </xf>
    <xf numFmtId="41" fontId="21" fillId="0" borderId="0" xfId="0" applyNumberFormat="1" applyFont="1" applyFill="1" applyBorder="1"/>
    <xf numFmtId="41" fontId="19" fillId="0" borderId="0" xfId="0" applyNumberFormat="1" applyFont="1" applyFill="1" applyBorder="1"/>
    <xf numFmtId="41" fontId="21" fillId="0" borderId="0" xfId="0" applyNumberFormat="1" applyFont="1" applyFill="1" applyBorder="1" applyAlignment="1">
      <alignment horizontal="right"/>
    </xf>
    <xf numFmtId="0" fontId="16" fillId="0" borderId="0" xfId="0" applyNumberFormat="1" applyFont="1" applyFill="1" applyBorder="1"/>
    <xf numFmtId="37" fontId="21" fillId="0" borderId="11" xfId="0" applyFont="1" applyBorder="1" applyAlignment="1">
      <alignment horizontal="centerContinuous"/>
    </xf>
    <xf numFmtId="44" fontId="16" fillId="0" borderId="29" xfId="79" applyFont="1" applyBorder="1"/>
    <xf numFmtId="182" fontId="16" fillId="0" borderId="29" xfId="79" applyNumberFormat="1" applyFont="1" applyBorder="1"/>
    <xf numFmtId="37" fontId="21" fillId="0" borderId="0" xfId="0" applyFont="1" applyAlignment="1">
      <alignment wrapText="1"/>
    </xf>
    <xf numFmtId="182" fontId="26" fillId="0" borderId="0" xfId="79" applyNumberFormat="1" applyFont="1"/>
    <xf numFmtId="37" fontId="21" fillId="0" borderId="0" xfId="0" applyFont="1" applyAlignment="1">
      <alignment horizontal="center"/>
    </xf>
    <xf numFmtId="37" fontId="21" fillId="19" borderId="24" xfId="0" applyFont="1" applyFill="1" applyBorder="1"/>
    <xf numFmtId="0" fontId="21" fillId="0" borderId="0" xfId="0" applyNumberFormat="1" applyFont="1" applyFill="1" applyBorder="1" applyAlignment="1" applyProtection="1"/>
    <xf numFmtId="0" fontId="21" fillId="0" borderId="0" xfId="0" applyNumberFormat="1" applyFont="1" applyFill="1" applyBorder="1" applyAlignment="1"/>
    <xf numFmtId="0" fontId="16" fillId="0" borderId="0" xfId="0" applyNumberFormat="1" applyFont="1" applyBorder="1" applyAlignment="1"/>
    <xf numFmtId="0" fontId="25" fillId="0" borderId="0" xfId="0" applyNumberFormat="1" applyFont="1" applyBorder="1" applyAlignment="1"/>
    <xf numFmtId="0" fontId="21" fillId="0" borderId="0" xfId="0" applyNumberFormat="1" applyFont="1" applyBorder="1" applyAlignment="1"/>
    <xf numFmtId="0" fontId="16" fillId="0" borderId="0" xfId="0" applyNumberFormat="1" applyFont="1" applyBorder="1" applyAlignment="1">
      <alignment horizontal="left" indent="1"/>
    </xf>
    <xf numFmtId="0" fontId="16" fillId="0" borderId="0" xfId="77" applyNumberFormat="1" applyFont="1" applyBorder="1" applyAlignment="1"/>
    <xf numFmtId="0" fontId="27" fillId="0" borderId="0" xfId="0" applyNumberFormat="1" applyFont="1" applyBorder="1" applyAlignment="1"/>
    <xf numFmtId="9" fontId="16" fillId="0" borderId="0" xfId="126" applyFont="1" applyBorder="1"/>
    <xf numFmtId="9" fontId="27" fillId="0" borderId="0" xfId="126" applyFont="1" applyBorder="1"/>
    <xf numFmtId="0" fontId="21" fillId="19" borderId="56" xfId="0" applyNumberFormat="1" applyFont="1" applyFill="1" applyBorder="1" applyAlignment="1"/>
    <xf numFmtId="166" fontId="27" fillId="0" borderId="0" xfId="126" applyNumberFormat="1" applyFont="1" applyBorder="1"/>
    <xf numFmtId="166" fontId="30" fillId="0" borderId="0" xfId="126" applyNumberFormat="1" applyFont="1" applyBorder="1"/>
    <xf numFmtId="0" fontId="16" fillId="0" borderId="0" xfId="0" applyNumberFormat="1" applyFont="1" applyFill="1" applyBorder="1" applyAlignment="1" applyProtection="1"/>
    <xf numFmtId="41" fontId="29" fillId="0" borderId="0" xfId="0" applyNumberFormat="1" applyFont="1" applyFill="1" applyBorder="1" applyAlignment="1">
      <alignment horizontal="right"/>
    </xf>
    <xf numFmtId="0" fontId="29" fillId="0" borderId="0" xfId="0" applyNumberFormat="1" applyFont="1" applyBorder="1" applyAlignment="1"/>
    <xf numFmtId="0" fontId="36" fillId="0" borderId="0" xfId="0" applyNumberFormat="1" applyFont="1" applyBorder="1" applyAlignment="1"/>
    <xf numFmtId="0" fontId="21" fillId="18" borderId="0" xfId="0" applyNumberFormat="1" applyFont="1" applyFill="1" applyBorder="1" applyAlignment="1"/>
    <xf numFmtId="41" fontId="33" fillId="0" borderId="0" xfId="0" applyNumberFormat="1" applyFont="1" applyFill="1" applyBorder="1" applyAlignment="1">
      <alignment horizontal="right"/>
    </xf>
    <xf numFmtId="41" fontId="21" fillId="0" borderId="0" xfId="0" applyNumberFormat="1" applyFont="1" applyBorder="1" applyAlignment="1">
      <alignment horizontal="right"/>
    </xf>
    <xf numFmtId="0" fontId="74" fillId="0" borderId="0" xfId="0" applyNumberFormat="1" applyFont="1" applyBorder="1" applyAlignment="1"/>
    <xf numFmtId="9" fontId="16" fillId="0" borderId="0" xfId="126" applyFont="1" applyFill="1" applyBorder="1"/>
    <xf numFmtId="166" fontId="27" fillId="0" borderId="0" xfId="126" applyNumberFormat="1" applyFont="1" applyFill="1" applyBorder="1"/>
    <xf numFmtId="166" fontId="64" fillId="0" borderId="0" xfId="126" applyNumberFormat="1" applyFont="1" applyFill="1" applyBorder="1"/>
    <xf numFmtId="0" fontId="16" fillId="18" borderId="0" xfId="0" applyNumberFormat="1" applyFont="1" applyFill="1" applyBorder="1" applyAlignment="1"/>
    <xf numFmtId="0" fontId="21" fillId="20" borderId="0" xfId="79" applyNumberFormat="1" applyFont="1" applyFill="1" applyBorder="1" applyAlignment="1"/>
    <xf numFmtId="41" fontId="31" fillId="0" borderId="0" xfId="0" applyNumberFormat="1" applyFont="1" applyFill="1" applyBorder="1"/>
    <xf numFmtId="0" fontId="21" fillId="20" borderId="0" xfId="0" applyNumberFormat="1" applyFont="1" applyFill="1" applyBorder="1" applyAlignment="1"/>
    <xf numFmtId="41" fontId="43" fillId="0" borderId="0" xfId="0" applyNumberFormat="1" applyFont="1" applyFill="1" applyBorder="1"/>
    <xf numFmtId="0" fontId="25" fillId="21" borderId="0" xfId="0" applyNumberFormat="1" applyFont="1" applyFill="1" applyBorder="1" applyAlignment="1"/>
    <xf numFmtId="0" fontId="16" fillId="21" borderId="0" xfId="0" applyNumberFormat="1" applyFont="1" applyFill="1" applyBorder="1" applyAlignment="1"/>
    <xf numFmtId="0" fontId="21" fillId="21" borderId="0" xfId="0" applyNumberFormat="1" applyFont="1" applyFill="1" applyBorder="1" applyAlignment="1"/>
    <xf numFmtId="0" fontId="16" fillId="0" borderId="0" xfId="0" applyNumberFormat="1" applyFont="1" applyFill="1" applyBorder="1" applyAlignment="1"/>
    <xf numFmtId="0" fontId="16" fillId="0" borderId="0" xfId="0" applyNumberFormat="1" applyFont="1" applyBorder="1" applyAlignment="1">
      <alignment horizontal="left"/>
    </xf>
    <xf numFmtId="0" fontId="21" fillId="0" borderId="0" xfId="0" applyNumberFormat="1" applyFont="1" applyBorder="1" applyAlignment="1">
      <alignment horizontal="left"/>
    </xf>
    <xf numFmtId="9" fontId="29" fillId="0" borderId="0" xfId="126" applyFont="1" applyBorder="1" applyAlignment="1">
      <alignment horizontal="right"/>
    </xf>
    <xf numFmtId="9" fontId="27" fillId="0" borderId="0" xfId="126" applyFont="1" applyFill="1" applyBorder="1"/>
    <xf numFmtId="0" fontId="16" fillId="0" borderId="0" xfId="0" applyNumberFormat="1" applyFont="1" applyFill="1" applyBorder="1" applyAlignment="1">
      <alignment horizontal="left"/>
    </xf>
    <xf numFmtId="173" fontId="16" fillId="0" borderId="0" xfId="0" applyNumberFormat="1" applyFont="1" applyBorder="1"/>
    <xf numFmtId="0" fontId="21" fillId="0" borderId="0" xfId="0" applyNumberFormat="1" applyFont="1" applyFill="1" applyBorder="1" applyAlignment="1">
      <alignment horizontal="left"/>
    </xf>
    <xf numFmtId="0" fontId="20" fillId="18" borderId="19" xfId="0" applyNumberFormat="1" applyFont="1" applyFill="1" applyBorder="1" applyAlignment="1"/>
    <xf numFmtId="0" fontId="20" fillId="18" borderId="25" xfId="0" applyNumberFormat="1" applyFont="1" applyFill="1" applyBorder="1" applyAlignment="1"/>
    <xf numFmtId="171" fontId="36" fillId="0" borderId="0" xfId="0" applyNumberFormat="1" applyFont="1" applyFill="1" applyAlignment="1">
      <alignment horizontal="right"/>
    </xf>
    <xf numFmtId="171" fontId="21" fillId="0" borderId="36" xfId="0" applyNumberFormat="1" applyFont="1" applyFill="1" applyBorder="1" applyAlignment="1">
      <alignment horizontal="right"/>
    </xf>
    <xf numFmtId="171" fontId="36" fillId="0" borderId="21" xfId="0" applyNumberFormat="1" applyFont="1" applyFill="1" applyBorder="1" applyAlignment="1">
      <alignment horizontal="right"/>
    </xf>
    <xf numFmtId="171" fontId="21" fillId="0" borderId="0" xfId="0" applyNumberFormat="1" applyFont="1" applyFill="1" applyAlignment="1">
      <alignment horizontal="right"/>
    </xf>
    <xf numFmtId="171" fontId="21" fillId="0" borderId="21" xfId="0" applyNumberFormat="1" applyFont="1" applyFill="1" applyBorder="1" applyAlignment="1">
      <alignment horizontal="right"/>
    </xf>
    <xf numFmtId="14" fontId="26" fillId="0" borderId="0" xfId="0" applyNumberFormat="1" applyFont="1" applyFill="1"/>
    <xf numFmtId="14" fontId="26" fillId="0" borderId="0" xfId="0" applyNumberFormat="1" applyFont="1" applyFill="1" applyBorder="1"/>
    <xf numFmtId="14" fontId="16" fillId="0" borderId="29" xfId="0" applyNumberFormat="1" applyFont="1" applyFill="1" applyBorder="1"/>
    <xf numFmtId="14" fontId="26" fillId="0" borderId="21" xfId="0" applyNumberFormat="1" applyFont="1" applyFill="1" applyBorder="1"/>
    <xf numFmtId="14" fontId="16" fillId="0" borderId="0" xfId="0" applyNumberFormat="1" applyFont="1" applyFill="1"/>
    <xf numFmtId="14" fontId="16" fillId="0" borderId="21" xfId="0" applyNumberFormat="1" applyFont="1" applyFill="1" applyBorder="1"/>
    <xf numFmtId="14" fontId="16" fillId="0" borderId="0" xfId="0" applyNumberFormat="1" applyFont="1" applyFill="1" applyBorder="1"/>
    <xf numFmtId="37" fontId="19" fillId="0" borderId="0" xfId="0" applyNumberFormat="1" applyFont="1" applyFill="1"/>
    <xf numFmtId="9" fontId="26" fillId="0" borderId="29" xfId="126" applyFont="1" applyBorder="1"/>
    <xf numFmtId="166" fontId="16" fillId="21" borderId="0" xfId="126" applyNumberFormat="1" applyFont="1" applyFill="1"/>
    <xf numFmtId="9" fontId="16" fillId="0" borderId="29" xfId="126" applyFont="1" applyBorder="1"/>
    <xf numFmtId="37" fontId="36" fillId="0" borderId="0" xfId="0" applyFont="1"/>
    <xf numFmtId="0" fontId="25" fillId="0" borderId="0" xfId="0" applyNumberFormat="1" applyFont="1"/>
    <xf numFmtId="0" fontId="16" fillId="0" borderId="0" xfId="0" applyNumberFormat="1" applyFont="1" applyBorder="1"/>
    <xf numFmtId="0" fontId="16" fillId="0" borderId="0" xfId="0" applyNumberFormat="1" applyFont="1" applyFill="1" applyBorder="1" applyAlignment="1">
      <alignment horizontal="right"/>
    </xf>
    <xf numFmtId="0" fontId="29" fillId="0" borderId="0" xfId="0" applyNumberFormat="1" applyFont="1" applyBorder="1"/>
    <xf numFmtId="0" fontId="21" fillId="0" borderId="0" xfId="0" applyNumberFormat="1" applyFont="1" applyBorder="1"/>
    <xf numFmtId="0" fontId="29" fillId="0" borderId="0" xfId="0" applyNumberFormat="1" applyFont="1" applyFill="1" applyBorder="1"/>
    <xf numFmtId="0" fontId="29" fillId="0" borderId="0" xfId="0" applyNumberFormat="1" applyFont="1" applyFill="1" applyBorder="1" applyAlignment="1">
      <alignment horizontal="right"/>
    </xf>
    <xf numFmtId="0" fontId="27" fillId="0" borderId="0" xfId="0" applyNumberFormat="1" applyFont="1" applyFill="1" applyBorder="1"/>
    <xf numFmtId="0" fontId="27" fillId="0" borderId="0" xfId="0" applyNumberFormat="1" applyFont="1" applyBorder="1"/>
    <xf numFmtId="41" fontId="70" fillId="0" borderId="0" xfId="0" applyNumberFormat="1" applyFont="1" applyBorder="1"/>
    <xf numFmtId="41" fontId="27" fillId="0" borderId="0" xfId="0" applyNumberFormat="1" applyFont="1" applyFill="1" applyBorder="1"/>
    <xf numFmtId="41" fontId="21" fillId="0" borderId="0" xfId="126" applyNumberFormat="1" applyFont="1" applyBorder="1"/>
    <xf numFmtId="41" fontId="16" fillId="0" borderId="0" xfId="126" applyNumberFormat="1" applyFont="1" applyBorder="1" applyAlignment="1">
      <alignment horizontal="right"/>
    </xf>
    <xf numFmtId="41" fontId="16" fillId="0" borderId="0" xfId="0" applyNumberFormat="1" applyFont="1" applyBorder="1" applyAlignment="1">
      <alignment horizontal="centerContinuous"/>
    </xf>
    <xf numFmtId="41" fontId="21" fillId="18" borderId="0" xfId="0" applyNumberFormat="1" applyFont="1" applyFill="1" applyBorder="1" applyAlignment="1">
      <alignment horizontal="right"/>
    </xf>
    <xf numFmtId="41" fontId="20" fillId="0" borderId="0" xfId="0" applyNumberFormat="1" applyFont="1" applyBorder="1"/>
    <xf numFmtId="41" fontId="21" fillId="18" borderId="23" xfId="0" applyNumberFormat="1" applyFont="1" applyFill="1" applyBorder="1"/>
    <xf numFmtId="41" fontId="20" fillId="18" borderId="0" xfId="0" applyNumberFormat="1" applyFont="1" applyFill="1" applyBorder="1" applyAlignment="1">
      <alignment horizontal="right"/>
    </xf>
    <xf numFmtId="41" fontId="27" fillId="0" borderId="0" xfId="0" applyNumberFormat="1" applyFont="1" applyBorder="1"/>
    <xf numFmtId="41" fontId="16" fillId="0" borderId="0" xfId="126" applyNumberFormat="1" applyFont="1" applyBorder="1"/>
    <xf numFmtId="41" fontId="29" fillId="0" borderId="0" xfId="77" applyNumberFormat="1" applyFont="1" applyBorder="1"/>
    <xf numFmtId="41" fontId="26" fillId="0" borderId="0" xfId="77" applyNumberFormat="1" applyFont="1" applyBorder="1"/>
    <xf numFmtId="41" fontId="16" fillId="0" borderId="0" xfId="77" applyNumberFormat="1" applyFont="1" applyBorder="1"/>
    <xf numFmtId="41" fontId="27" fillId="0" borderId="0" xfId="126" applyNumberFormat="1" applyFont="1" applyBorder="1"/>
    <xf numFmtId="41" fontId="32" fillId="0" borderId="0" xfId="0" applyNumberFormat="1" applyFont="1" applyFill="1" applyBorder="1"/>
    <xf numFmtId="41" fontId="26" fillId="0" borderId="0" xfId="126" applyNumberFormat="1" applyFont="1" applyBorder="1"/>
    <xf numFmtId="41" fontId="64" fillId="0" borderId="0" xfId="0" applyNumberFormat="1" applyFont="1" applyBorder="1"/>
    <xf numFmtId="41" fontId="42" fillId="0" borderId="0" xfId="0" applyNumberFormat="1" applyFont="1" applyBorder="1"/>
    <xf numFmtId="41" fontId="64" fillId="0" borderId="0" xfId="126" applyNumberFormat="1" applyFont="1" applyFill="1" applyBorder="1"/>
    <xf numFmtId="41" fontId="29" fillId="0" borderId="0" xfId="77" applyNumberFormat="1" applyFont="1" applyBorder="1" applyAlignment="1">
      <alignment horizontal="right"/>
    </xf>
    <xf numFmtId="41" fontId="33" fillId="0" borderId="0" xfId="0" applyNumberFormat="1" applyFont="1" applyFill="1" applyBorder="1"/>
    <xf numFmtId="41" fontId="31" fillId="0" borderId="0" xfId="0" applyNumberFormat="1" applyFont="1" applyFill="1" applyBorder="1" applyAlignment="1">
      <alignment horizontal="right"/>
    </xf>
    <xf numFmtId="41" fontId="26" fillId="0" borderId="0" xfId="0" applyNumberFormat="1" applyFont="1" applyBorder="1" applyAlignment="1">
      <alignment horizontal="center"/>
    </xf>
    <xf numFmtId="41" fontId="16" fillId="0" borderId="0" xfId="77" applyNumberFormat="1" applyFont="1" applyBorder="1" applyAlignment="1">
      <alignment horizontal="right"/>
    </xf>
    <xf numFmtId="41" fontId="26" fillId="0" borderId="0" xfId="77" applyNumberFormat="1" applyFont="1" applyFill="1" applyBorder="1" applyAlignment="1">
      <alignment horizontal="right"/>
    </xf>
    <xf numFmtId="41" fontId="21" fillId="0" borderId="0" xfId="77" applyNumberFormat="1" applyFont="1" applyBorder="1" applyAlignment="1">
      <alignment horizontal="right"/>
    </xf>
    <xf numFmtId="41" fontId="26" fillId="0" borderId="0" xfId="77" applyNumberFormat="1" applyFont="1" applyBorder="1" applyAlignment="1">
      <alignment horizontal="right"/>
    </xf>
    <xf numFmtId="41" fontId="27" fillId="0" borderId="0" xfId="126" applyNumberFormat="1" applyFont="1" applyBorder="1" applyAlignment="1">
      <alignment horizontal="right"/>
    </xf>
    <xf numFmtId="41" fontId="16" fillId="0" borderId="0" xfId="77" applyNumberFormat="1" applyFont="1" applyFill="1" applyBorder="1" applyAlignment="1">
      <alignment horizontal="right"/>
    </xf>
    <xf numFmtId="189" fontId="16" fillId="0" borderId="0" xfId="0" applyNumberFormat="1" applyFont="1" applyBorder="1"/>
    <xf numFmtId="9" fontId="16" fillId="0" borderId="0" xfId="126" applyFont="1" applyFill="1" applyBorder="1" applyAlignment="1">
      <alignment horizontal="right"/>
    </xf>
    <xf numFmtId="0" fontId="21" fillId="19" borderId="23" xfId="0" applyNumberFormat="1" applyFont="1" applyFill="1" applyBorder="1" applyAlignment="1">
      <alignment horizontal="right"/>
    </xf>
    <xf numFmtId="0" fontId="21" fillId="19" borderId="24" xfId="0" applyNumberFormat="1" applyFont="1" applyFill="1" applyBorder="1" applyAlignment="1">
      <alignment horizontal="right"/>
    </xf>
    <xf numFmtId="41" fontId="16" fillId="0" borderId="29" xfId="0" applyNumberFormat="1" applyFont="1" applyBorder="1" applyAlignment="1">
      <alignment horizontal="right"/>
    </xf>
    <xf numFmtId="41" fontId="29" fillId="0" borderId="29" xfId="0" applyNumberFormat="1" applyFont="1" applyBorder="1" applyAlignment="1">
      <alignment horizontal="right"/>
    </xf>
    <xf numFmtId="41" fontId="21" fillId="0" borderId="29" xfId="0" applyNumberFormat="1" applyFont="1" applyBorder="1" applyAlignment="1">
      <alignment horizontal="right"/>
    </xf>
    <xf numFmtId="41" fontId="16" fillId="0" borderId="29" xfId="0" applyNumberFormat="1" applyFont="1" applyBorder="1"/>
    <xf numFmtId="41" fontId="19" fillId="0" borderId="29" xfId="0" applyNumberFormat="1" applyFont="1" applyBorder="1"/>
    <xf numFmtId="41" fontId="29" fillId="0" borderId="29" xfId="0" applyNumberFormat="1" applyFont="1" applyBorder="1"/>
    <xf numFmtId="41" fontId="21" fillId="0" borderId="29" xfId="0" applyNumberFormat="1" applyFont="1" applyBorder="1"/>
    <xf numFmtId="41" fontId="21" fillId="0" borderId="20" xfId="0" applyNumberFormat="1" applyFont="1" applyBorder="1" applyAlignment="1">
      <alignment horizontal="right"/>
    </xf>
    <xf numFmtId="41" fontId="16" fillId="0" borderId="20" xfId="0" applyNumberFormat="1" applyFont="1" applyFill="1" applyBorder="1"/>
    <xf numFmtId="41" fontId="70" fillId="0" borderId="29" xfId="0" applyNumberFormat="1" applyFont="1" applyBorder="1"/>
    <xf numFmtId="41" fontId="31" fillId="0" borderId="29" xfId="0" applyNumberFormat="1" applyFont="1" applyBorder="1"/>
    <xf numFmtId="41" fontId="26" fillId="0" borderId="29" xfId="0" applyNumberFormat="1" applyFont="1" applyBorder="1"/>
    <xf numFmtId="41" fontId="33" fillId="0" borderId="29" xfId="0" applyNumberFormat="1" applyFont="1" applyBorder="1"/>
    <xf numFmtId="41" fontId="28" fillId="0" borderId="29" xfId="0" applyNumberFormat="1" applyFont="1" applyBorder="1" applyAlignment="1">
      <alignment horizontal="right"/>
    </xf>
    <xf numFmtId="41" fontId="20" fillId="0" borderId="29" xfId="0" applyNumberFormat="1" applyFont="1" applyFill="1" applyBorder="1" applyAlignment="1">
      <alignment horizontal="right"/>
    </xf>
    <xf numFmtId="41" fontId="29" fillId="0" borderId="29" xfId="77" applyNumberFormat="1" applyFont="1" applyBorder="1"/>
    <xf numFmtId="41" fontId="16" fillId="0" borderId="29" xfId="77" applyNumberFormat="1" applyFont="1" applyBorder="1"/>
    <xf numFmtId="41" fontId="32" fillId="0" borderId="29" xfId="0" applyNumberFormat="1" applyFont="1" applyBorder="1"/>
    <xf numFmtId="41" fontId="42" fillId="0" borderId="29" xfId="0" applyNumberFormat="1" applyFont="1" applyBorder="1"/>
    <xf numFmtId="41" fontId="31" fillId="0" borderId="29" xfId="0" applyNumberFormat="1" applyFont="1" applyFill="1" applyBorder="1" applyAlignment="1">
      <alignment horizontal="right"/>
    </xf>
    <xf numFmtId="41" fontId="26" fillId="0" borderId="29" xfId="0" applyNumberFormat="1" applyFont="1" applyBorder="1" applyAlignment="1">
      <alignment horizontal="right"/>
    </xf>
    <xf numFmtId="41" fontId="16" fillId="0" borderId="35" xfId="0" applyNumberFormat="1" applyFont="1" applyFill="1" applyBorder="1"/>
    <xf numFmtId="41" fontId="16" fillId="0" borderId="29" xfId="77" applyNumberFormat="1" applyFont="1" applyBorder="1" applyAlignment="1">
      <alignment horizontal="right"/>
    </xf>
    <xf numFmtId="41" fontId="26" fillId="0" borderId="29" xfId="77" applyNumberFormat="1" applyFont="1" applyFill="1" applyBorder="1" applyAlignment="1">
      <alignment horizontal="right"/>
    </xf>
    <xf numFmtId="41" fontId="29" fillId="0" borderId="29" xfId="77" applyNumberFormat="1" applyFont="1" applyBorder="1" applyAlignment="1">
      <alignment horizontal="right"/>
    </xf>
    <xf numFmtId="41" fontId="21" fillId="0" borderId="29" xfId="77" applyNumberFormat="1" applyFont="1" applyBorder="1" applyAlignment="1">
      <alignment horizontal="right"/>
    </xf>
    <xf numFmtId="41" fontId="27" fillId="0" borderId="29" xfId="126" applyNumberFormat="1" applyFont="1" applyBorder="1" applyAlignment="1">
      <alignment horizontal="right"/>
    </xf>
    <xf numFmtId="41" fontId="16" fillId="0" borderId="29" xfId="77" applyNumberFormat="1" applyFont="1" applyFill="1" applyBorder="1" applyAlignment="1">
      <alignment horizontal="right"/>
    </xf>
    <xf numFmtId="41" fontId="19" fillId="0" borderId="29" xfId="0" applyNumberFormat="1" applyFont="1" applyFill="1" applyBorder="1"/>
    <xf numFmtId="41" fontId="19" fillId="0" borderId="35" xfId="0" applyNumberFormat="1" applyFont="1" applyFill="1" applyBorder="1"/>
    <xf numFmtId="41" fontId="21" fillId="0" borderId="35" xfId="0" applyNumberFormat="1" applyFont="1" applyFill="1" applyBorder="1" applyAlignment="1">
      <alignment horizontal="right"/>
    </xf>
    <xf numFmtId="9" fontId="70" fillId="0" borderId="0" xfId="126" applyFont="1" applyBorder="1"/>
    <xf numFmtId="9" fontId="64" fillId="0" borderId="0" xfId="126" applyFont="1" applyFill="1" applyBorder="1"/>
    <xf numFmtId="9" fontId="64" fillId="0" borderId="29" xfId="126" applyFont="1" applyBorder="1"/>
    <xf numFmtId="9" fontId="70" fillId="0" borderId="29" xfId="126" applyFont="1" applyBorder="1"/>
    <xf numFmtId="9" fontId="27" fillId="0" borderId="35" xfId="126" applyFont="1" applyBorder="1"/>
    <xf numFmtId="9" fontId="27" fillId="0" borderId="29" xfId="126" applyFont="1" applyBorder="1"/>
    <xf numFmtId="9" fontId="29" fillId="0" borderId="0" xfId="126" applyFont="1" applyBorder="1"/>
    <xf numFmtId="9" fontId="27" fillId="0" borderId="29" xfId="126" applyFont="1" applyFill="1" applyBorder="1"/>
    <xf numFmtId="9" fontId="72" fillId="0" borderId="0" xfId="126" applyFont="1" applyBorder="1"/>
    <xf numFmtId="9" fontId="63" fillId="0" borderId="0" xfId="126" applyFont="1" applyBorder="1" applyAlignment="1">
      <alignment horizontal="right"/>
    </xf>
    <xf numFmtId="9" fontId="27" fillId="0" borderId="29" xfId="126" applyFont="1" applyBorder="1" applyAlignment="1">
      <alignment horizontal="right"/>
    </xf>
    <xf numFmtId="9" fontId="64" fillId="0" borderId="29" xfId="126" applyFont="1" applyBorder="1" applyAlignment="1">
      <alignment horizontal="right"/>
    </xf>
    <xf numFmtId="9" fontId="30" fillId="0" borderId="0" xfId="126" applyFont="1" applyBorder="1" applyAlignment="1">
      <alignment horizontal="right"/>
    </xf>
    <xf numFmtId="9" fontId="30" fillId="0" borderId="29" xfId="126" applyFont="1" applyBorder="1" applyAlignment="1">
      <alignment horizontal="right"/>
    </xf>
    <xf numFmtId="9" fontId="63" fillId="0" borderId="29" xfId="126" applyFont="1" applyBorder="1" applyAlignment="1">
      <alignment horizontal="right"/>
    </xf>
    <xf numFmtId="9" fontId="64" fillId="0" borderId="29" xfId="126" applyFont="1" applyFill="1" applyBorder="1"/>
    <xf numFmtId="9" fontId="75" fillId="0" borderId="29" xfId="126" applyFont="1" applyBorder="1" applyAlignment="1">
      <alignment horizontal="right"/>
    </xf>
    <xf numFmtId="173" fontId="16" fillId="0" borderId="11" xfId="117" applyNumberFormat="1" applyFont="1" applyFill="1" applyBorder="1" applyAlignment="1">
      <alignment horizontal="center"/>
    </xf>
    <xf numFmtId="39" fontId="26" fillId="0" borderId="0" xfId="117" applyNumberFormat="1" applyFont="1" applyFill="1" applyBorder="1"/>
    <xf numFmtId="37" fontId="21" fillId="0" borderId="0" xfId="117" applyFont="1" applyFill="1" applyBorder="1" applyAlignment="1">
      <alignment horizontal="center"/>
    </xf>
    <xf numFmtId="173" fontId="21" fillId="0" borderId="0" xfId="117" applyNumberFormat="1" applyFont="1" applyFill="1" applyBorder="1" applyAlignment="1">
      <alignment horizontal="center"/>
    </xf>
    <xf numFmtId="41" fontId="21" fillId="0" borderId="0" xfId="0" applyNumberFormat="1" applyFont="1"/>
    <xf numFmtId="41" fontId="16" fillId="0" borderId="0" xfId="0" applyNumberFormat="1" applyFont="1" applyAlignment="1">
      <alignment wrapText="1"/>
    </xf>
    <xf numFmtId="41" fontId="26" fillId="0" borderId="0" xfId="126" applyNumberFormat="1" applyFont="1"/>
    <xf numFmtId="41" fontId="64" fillId="0" borderId="0" xfId="0" applyNumberFormat="1" applyFont="1" applyAlignment="1">
      <alignment horizontal="left" wrapText="1" indent="1"/>
    </xf>
    <xf numFmtId="41" fontId="26" fillId="0" borderId="0" xfId="77" applyNumberFormat="1" applyFont="1"/>
    <xf numFmtId="41" fontId="16" fillId="0" borderId="0" xfId="0" applyNumberFormat="1" applyFont="1" applyAlignment="1">
      <alignment horizontal="left" wrapText="1" indent="1"/>
    </xf>
    <xf numFmtId="41" fontId="75" fillId="0" borderId="0" xfId="0" applyNumberFormat="1" applyFont="1" applyAlignment="1">
      <alignment horizontal="left" wrapText="1" indent="1"/>
    </xf>
    <xf numFmtId="41" fontId="28" fillId="0" borderId="0" xfId="126" applyNumberFormat="1" applyFont="1"/>
    <xf numFmtId="41" fontId="28" fillId="0" borderId="0" xfId="77" applyNumberFormat="1" applyFont="1"/>
    <xf numFmtId="41" fontId="16" fillId="0" borderId="0" xfId="77" applyNumberFormat="1" applyFont="1"/>
    <xf numFmtId="41" fontId="16" fillId="0" borderId="0" xfId="126" applyNumberFormat="1" applyFont="1"/>
    <xf numFmtId="41" fontId="27" fillId="0" borderId="0" xfId="77" applyNumberFormat="1" applyFont="1"/>
    <xf numFmtId="0" fontId="21" fillId="0" borderId="0" xfId="0" applyNumberFormat="1" applyFont="1"/>
    <xf numFmtId="0" fontId="27" fillId="0" borderId="0" xfId="0" applyNumberFormat="1" applyFont="1"/>
    <xf numFmtId="0" fontId="16" fillId="0" borderId="0" xfId="0" applyNumberFormat="1" applyFont="1"/>
    <xf numFmtId="0" fontId="16" fillId="0" borderId="11" xfId="0" applyNumberFormat="1" applyFont="1" applyBorder="1"/>
    <xf numFmtId="0" fontId="16" fillId="0" borderId="0" xfId="0" applyNumberFormat="1" applyFont="1" applyAlignment="1">
      <alignment wrapText="1"/>
    </xf>
    <xf numFmtId="0" fontId="27" fillId="0" borderId="0" xfId="0" applyNumberFormat="1" applyFont="1" applyAlignment="1">
      <alignment horizontal="left" wrapText="1" indent="1"/>
    </xf>
    <xf numFmtId="0" fontId="16" fillId="0" borderId="0" xfId="0" applyNumberFormat="1" applyFont="1" applyAlignment="1">
      <alignment horizontal="left" wrapText="1"/>
    </xf>
    <xf numFmtId="0" fontId="16" fillId="0" borderId="0" xfId="0" applyNumberFormat="1" applyFont="1" applyAlignment="1">
      <alignment horizontal="left" wrapText="1" indent="1"/>
    </xf>
    <xf numFmtId="0" fontId="27" fillId="0" borderId="0" xfId="0" applyNumberFormat="1" applyFont="1" applyAlignment="1">
      <alignment horizontal="left" wrapText="1" indent="2"/>
    </xf>
    <xf numFmtId="0" fontId="27" fillId="0" borderId="0" xfId="0" applyNumberFormat="1" applyFont="1" applyAlignment="1">
      <alignment horizontal="left" indent="1"/>
    </xf>
    <xf numFmtId="0" fontId="16" fillId="0" borderId="0" xfId="0" applyNumberFormat="1" applyFont="1" applyAlignment="1"/>
    <xf numFmtId="41" fontId="26" fillId="0" borderId="0" xfId="0" applyNumberFormat="1" applyFont="1"/>
    <xf numFmtId="41" fontId="64" fillId="0" borderId="0" xfId="77" applyNumberFormat="1" applyFont="1"/>
    <xf numFmtId="166" fontId="27" fillId="0" borderId="29" xfId="126" applyNumberFormat="1" applyFont="1" applyBorder="1"/>
    <xf numFmtId="166" fontId="72" fillId="0" borderId="0" xfId="126" applyNumberFormat="1" applyFont="1" applyFill="1" applyBorder="1"/>
    <xf numFmtId="166" fontId="27" fillId="0" borderId="29" xfId="126" applyNumberFormat="1" applyFont="1" applyFill="1" applyBorder="1"/>
    <xf numFmtId="166" fontId="71" fillId="0" borderId="0" xfId="126" applyNumberFormat="1" applyFont="1" applyFill="1" applyBorder="1"/>
    <xf numFmtId="166" fontId="64" fillId="0" borderId="29" xfId="126" applyNumberFormat="1" applyFont="1" applyFill="1" applyBorder="1"/>
    <xf numFmtId="166" fontId="64" fillId="0" borderId="20" xfId="126" applyNumberFormat="1" applyFont="1" applyFill="1" applyBorder="1"/>
    <xf numFmtId="41" fontId="28" fillId="0" borderId="29" xfId="0" applyNumberFormat="1" applyFont="1" applyFill="1" applyBorder="1"/>
    <xf numFmtId="166" fontId="30" fillId="0" borderId="29" xfId="126" applyNumberFormat="1" applyFont="1" applyBorder="1"/>
    <xf numFmtId="9" fontId="72" fillId="0" borderId="29" xfId="126" applyFont="1" applyBorder="1"/>
    <xf numFmtId="37" fontId="21" fillId="0" borderId="0" xfId="0" applyFont="1" applyBorder="1" applyAlignment="1">
      <alignment horizontal="right"/>
    </xf>
    <xf numFmtId="171" fontId="21" fillId="19" borderId="56" xfId="0" applyNumberFormat="1" applyFont="1" applyFill="1" applyBorder="1" applyAlignment="1">
      <alignment horizontal="right"/>
    </xf>
    <xf numFmtId="171" fontId="21" fillId="19" borderId="23" xfId="0" applyNumberFormat="1" applyFont="1" applyFill="1" applyBorder="1" applyAlignment="1">
      <alignment horizontal="right"/>
    </xf>
    <xf numFmtId="171" fontId="21" fillId="19" borderId="55" xfId="0" applyNumberFormat="1" applyFont="1" applyFill="1" applyBorder="1" applyAlignment="1">
      <alignment horizontal="right"/>
    </xf>
    <xf numFmtId="0" fontId="27" fillId="18" borderId="56" xfId="0" applyNumberFormat="1" applyFont="1" applyFill="1" applyBorder="1"/>
    <xf numFmtId="166" fontId="27" fillId="18" borderId="23" xfId="126" applyNumberFormat="1" applyFont="1" applyFill="1" applyBorder="1"/>
    <xf numFmtId="166" fontId="27" fillId="18" borderId="24" xfId="126" applyNumberFormat="1" applyFont="1" applyFill="1" applyBorder="1"/>
    <xf numFmtId="179" fontId="16" fillId="0" borderId="0" xfId="77" applyNumberFormat="1" applyFont="1"/>
    <xf numFmtId="179" fontId="29" fillId="0" borderId="0" xfId="77" applyNumberFormat="1" applyFont="1"/>
    <xf numFmtId="179" fontId="21" fillId="0" borderId="0" xfId="77" applyNumberFormat="1" applyFont="1"/>
    <xf numFmtId="180" fontId="26" fillId="0" borderId="0" xfId="77" applyNumberFormat="1" applyFont="1"/>
    <xf numFmtId="37" fontId="0" fillId="0" borderId="0" xfId="0" applyFont="1"/>
    <xf numFmtId="0" fontId="22" fillId="0" borderId="11" xfId="0" applyNumberFormat="1" applyFont="1" applyBorder="1" applyAlignment="1">
      <alignment horizontal="right"/>
    </xf>
    <xf numFmtId="37" fontId="61" fillId="0" borderId="0" xfId="0" applyFont="1" applyBorder="1"/>
    <xf numFmtId="0" fontId="22" fillId="0" borderId="0" xfId="0" applyNumberFormat="1" applyFont="1" applyBorder="1" applyAlignment="1">
      <alignment horizontal="right"/>
    </xf>
    <xf numFmtId="183" fontId="0" fillId="0" borderId="0" xfId="0" applyNumberFormat="1"/>
    <xf numFmtId="37" fontId="0" fillId="0" borderId="0" xfId="0" applyAlignment="1">
      <alignment horizontal="left" indent="2"/>
    </xf>
    <xf numFmtId="183" fontId="0" fillId="0" borderId="0" xfId="0" applyNumberFormat="1" applyAlignment="1">
      <alignment horizontal="left" indent="1"/>
    </xf>
    <xf numFmtId="183" fontId="68" fillId="0" borderId="0" xfId="0" applyNumberFormat="1" applyFont="1"/>
    <xf numFmtId="183" fontId="22" fillId="0" borderId="0" xfId="0" applyNumberFormat="1" applyFont="1"/>
    <xf numFmtId="183" fontId="22" fillId="0" borderId="0" xfId="0" applyNumberFormat="1" applyFont="1" applyAlignment="1">
      <alignment horizontal="left"/>
    </xf>
    <xf numFmtId="183" fontId="23" fillId="0" borderId="0" xfId="0" applyNumberFormat="1" applyFont="1"/>
    <xf numFmtId="37" fontId="22" fillId="18" borderId="56" xfId="0" applyFont="1" applyFill="1" applyBorder="1"/>
    <xf numFmtId="183" fontId="22" fillId="18" borderId="23" xfId="0" applyNumberFormat="1" applyFont="1" applyFill="1" applyBorder="1"/>
    <xf numFmtId="183" fontId="22" fillId="18" borderId="24" xfId="0" applyNumberFormat="1" applyFont="1" applyFill="1" applyBorder="1"/>
    <xf numFmtId="37" fontId="0" fillId="0" borderId="0" xfId="0" applyFill="1" applyBorder="1" applyAlignment="1">
      <alignment horizontal="left"/>
    </xf>
    <xf numFmtId="183" fontId="23" fillId="16" borderId="0" xfId="0" applyNumberFormat="1" applyFont="1" applyFill="1" applyBorder="1" applyAlignment="1">
      <alignment horizontal="right"/>
    </xf>
    <xf numFmtId="37" fontId="22" fillId="18" borderId="19" xfId="0" applyFont="1" applyFill="1" applyBorder="1"/>
    <xf numFmtId="37" fontId="22" fillId="18" borderId="70" xfId="0" applyFont="1" applyFill="1" applyBorder="1"/>
    <xf numFmtId="9" fontId="3" fillId="18" borderId="70" xfId="126" applyFont="1" applyFill="1" applyBorder="1"/>
    <xf numFmtId="37" fontId="0" fillId="18" borderId="26" xfId="0" applyFill="1" applyBorder="1"/>
    <xf numFmtId="37" fontId="22" fillId="18" borderId="20" xfId="0" applyFont="1" applyFill="1" applyBorder="1"/>
    <xf numFmtId="37" fontId="22" fillId="18" borderId="0" xfId="0" applyFont="1" applyFill="1" applyBorder="1"/>
    <xf numFmtId="37" fontId="0" fillId="18" borderId="0" xfId="0" applyFill="1" applyBorder="1"/>
    <xf numFmtId="37" fontId="0" fillId="18" borderId="21" xfId="0" applyFill="1" applyBorder="1"/>
    <xf numFmtId="37" fontId="22" fillId="18" borderId="25" xfId="0" applyFont="1" applyFill="1" applyBorder="1"/>
    <xf numFmtId="37" fontId="22" fillId="18" borderId="11" xfId="0" applyFont="1" applyFill="1" applyBorder="1"/>
    <xf numFmtId="9" fontId="3" fillId="18" borderId="11" xfId="126" applyFont="1" applyFill="1" applyBorder="1"/>
    <xf numFmtId="9" fontId="3" fillId="18" borderId="22" xfId="126" applyFont="1" applyFill="1" applyBorder="1"/>
    <xf numFmtId="37" fontId="4" fillId="0" borderId="0" xfId="0" applyFont="1"/>
    <xf numFmtId="0" fontId="16" fillId="0" borderId="0" xfId="119" applyNumberFormat="1" applyFont="1" applyFill="1" applyBorder="1" applyAlignment="1"/>
    <xf numFmtId="0" fontId="21" fillId="0" borderId="0" xfId="119" applyNumberFormat="1" applyFont="1" applyFill="1" applyBorder="1" applyAlignment="1">
      <alignment horizontal="right"/>
    </xf>
    <xf numFmtId="0" fontId="21" fillId="0" borderId="11" xfId="119" applyNumberFormat="1" applyFont="1" applyFill="1" applyBorder="1" applyAlignment="1">
      <alignment horizontal="right"/>
    </xf>
    <xf numFmtId="179" fontId="16" fillId="0" borderId="0" xfId="77" applyNumberFormat="1" applyFont="1" applyFill="1" applyBorder="1"/>
    <xf numFmtId="44" fontId="16" fillId="0" borderId="0" xfId="79" applyFont="1" applyFill="1" applyBorder="1"/>
    <xf numFmtId="0" fontId="21" fillId="0" borderId="11" xfId="119" applyNumberFormat="1" applyFont="1" applyFill="1" applyBorder="1" applyAlignment="1"/>
    <xf numFmtId="37" fontId="27" fillId="0" borderId="56" xfId="119" applyFont="1" applyFill="1" applyBorder="1" applyAlignment="1">
      <alignment horizontal="left" indent="1"/>
    </xf>
    <xf numFmtId="44" fontId="27" fillId="0" borderId="23" xfId="79" applyFont="1" applyFill="1" applyBorder="1"/>
    <xf numFmtId="44" fontId="27" fillId="0" borderId="24" xfId="79" applyFont="1" applyFill="1" applyBorder="1"/>
    <xf numFmtId="37" fontId="27" fillId="0" borderId="23" xfId="119" applyFont="1" applyFill="1" applyBorder="1"/>
    <xf numFmtId="37" fontId="27" fillId="0" borderId="24" xfId="119" applyFont="1" applyFill="1" applyBorder="1"/>
    <xf numFmtId="37" fontId="16" fillId="0" borderId="35" xfId="119" applyFont="1" applyBorder="1"/>
    <xf numFmtId="37" fontId="21" fillId="0" borderId="11" xfId="0" applyFont="1" applyFill="1" applyBorder="1" applyAlignment="1">
      <alignment horizontal="center"/>
    </xf>
    <xf numFmtId="37" fontId="21" fillId="0" borderId="11" xfId="119" applyFont="1" applyBorder="1" applyAlignment="1">
      <alignment horizontal="center"/>
    </xf>
    <xf numFmtId="37" fontId="21" fillId="0" borderId="55" xfId="119" applyFont="1" applyBorder="1" applyAlignment="1">
      <alignment horizontal="center"/>
    </xf>
    <xf numFmtId="166" fontId="26" fillId="0" borderId="0" xfId="0" quotePrefix="1" applyNumberFormat="1" applyFont="1" applyFill="1" applyBorder="1" applyAlignment="1">
      <alignment horizontal="center"/>
    </xf>
    <xf numFmtId="9" fontId="26" fillId="0" borderId="0" xfId="0" quotePrefix="1" applyNumberFormat="1" applyFont="1" applyFill="1" applyBorder="1" applyAlignment="1">
      <alignment horizontal="center"/>
    </xf>
    <xf numFmtId="5" fontId="26" fillId="0" borderId="0" xfId="0" quotePrefix="1" applyNumberFormat="1" applyFont="1" applyFill="1" applyBorder="1" applyAlignment="1">
      <alignment horizontal="center"/>
    </xf>
    <xf numFmtId="44" fontId="21" fillId="0" borderId="0" xfId="79" applyFont="1"/>
    <xf numFmtId="37" fontId="21" fillId="0" borderId="56" xfId="0" applyFont="1" applyBorder="1"/>
    <xf numFmtId="173" fontId="16" fillId="0" borderId="0" xfId="0" applyNumberFormat="1" applyFont="1"/>
    <xf numFmtId="9" fontId="27" fillId="0" borderId="0" xfId="126" applyFont="1"/>
    <xf numFmtId="37" fontId="27" fillId="0" borderId="0" xfId="0" applyFont="1" applyAlignment="1">
      <alignment horizontal="left" indent="1"/>
    </xf>
    <xf numFmtId="41" fontId="28" fillId="0" borderId="0" xfId="0" applyNumberFormat="1" applyFont="1"/>
    <xf numFmtId="44" fontId="21" fillId="0" borderId="23" xfId="79" applyFont="1" applyBorder="1"/>
    <xf numFmtId="44" fontId="21" fillId="0" borderId="24" xfId="79" applyFont="1" applyBorder="1"/>
    <xf numFmtId="41" fontId="21" fillId="18" borderId="24" xfId="0" applyNumberFormat="1" applyFont="1" applyFill="1" applyBorder="1"/>
    <xf numFmtId="37" fontId="21" fillId="18" borderId="23" xfId="0" applyFont="1" applyFill="1" applyBorder="1"/>
    <xf numFmtId="37" fontId="21" fillId="18" borderId="24" xfId="0" applyFont="1" applyFill="1" applyBorder="1"/>
    <xf numFmtId="166" fontId="21" fillId="0" borderId="63" xfId="126" applyNumberFormat="1" applyFont="1" applyBorder="1"/>
    <xf numFmtId="180" fontId="36" fillId="0" borderId="0" xfId="77" applyNumberFormat="1" applyFont="1"/>
    <xf numFmtId="37" fontId="16" fillId="16" borderId="0" xfId="0" applyFont="1" applyFill="1"/>
    <xf numFmtId="41" fontId="21" fillId="16" borderId="0" xfId="0" applyNumberFormat="1" applyFont="1" applyFill="1"/>
    <xf numFmtId="41" fontId="26" fillId="16" borderId="0" xfId="0" applyNumberFormat="1" applyFont="1" applyFill="1"/>
    <xf numFmtId="37" fontId="21" fillId="18" borderId="11" xfId="0" applyNumberFormat="1" applyFont="1" applyFill="1" applyBorder="1" applyAlignment="1">
      <alignment horizontal="centerContinuous"/>
    </xf>
    <xf numFmtId="37" fontId="21" fillId="0" borderId="11" xfId="119" applyFont="1" applyFill="1" applyBorder="1" applyAlignment="1">
      <alignment horizontal="right"/>
    </xf>
    <xf numFmtId="37" fontId="21" fillId="0" borderId="35" xfId="119" applyFont="1" applyFill="1" applyBorder="1" applyAlignment="1">
      <alignment horizontal="right"/>
    </xf>
    <xf numFmtId="170" fontId="16" fillId="0" borderId="29" xfId="119" applyNumberFormat="1" applyFont="1" applyBorder="1"/>
    <xf numFmtId="170" fontId="21" fillId="18" borderId="55" xfId="119" applyNumberFormat="1" applyFont="1" applyFill="1" applyBorder="1"/>
    <xf numFmtId="37" fontId="21" fillId="18" borderId="23" xfId="119" applyFont="1" applyFill="1" applyBorder="1"/>
    <xf numFmtId="0" fontId="29" fillId="0" borderId="20" xfId="0" applyNumberFormat="1" applyFont="1" applyBorder="1" applyAlignment="1">
      <alignment horizontal="left"/>
    </xf>
    <xf numFmtId="37" fontId="29" fillId="0" borderId="0" xfId="119" applyFont="1" applyBorder="1"/>
    <xf numFmtId="169" fontId="29" fillId="0" borderId="29" xfId="119" applyNumberFormat="1" applyFont="1" applyBorder="1"/>
    <xf numFmtId="169" fontId="29" fillId="0" borderId="0" xfId="119" applyNumberFormat="1" applyFont="1" applyBorder="1"/>
    <xf numFmtId="9" fontId="29" fillId="0" borderId="0" xfId="130" applyNumberFormat="1" applyFont="1" applyBorder="1"/>
    <xf numFmtId="9" fontId="29" fillId="0" borderId="21" xfId="130" applyNumberFormat="1" applyFont="1" applyBorder="1" applyAlignment="1">
      <alignment horizontal="right"/>
    </xf>
    <xf numFmtId="37" fontId="29" fillId="0" borderId="20" xfId="119" applyFont="1" applyBorder="1"/>
    <xf numFmtId="169" fontId="28" fillId="0" borderId="0" xfId="119" applyNumberFormat="1" applyFont="1" applyBorder="1"/>
    <xf numFmtId="170" fontId="36" fillId="0" borderId="0" xfId="119" applyNumberFormat="1" applyFont="1" applyFill="1" applyBorder="1"/>
    <xf numFmtId="170" fontId="21" fillId="0" borderId="0" xfId="119" applyNumberFormat="1" applyFont="1" applyBorder="1"/>
    <xf numFmtId="37" fontId="25" fillId="0" borderId="20" xfId="0" applyNumberFormat="1" applyFont="1" applyBorder="1" applyAlignment="1">
      <alignment horizontal="left"/>
    </xf>
    <xf numFmtId="0" fontId="16" fillId="0" borderId="20" xfId="0" applyNumberFormat="1" applyFont="1" applyBorder="1"/>
    <xf numFmtId="37" fontId="21" fillId="0" borderId="11" xfId="119" applyFont="1" applyBorder="1" applyAlignment="1">
      <alignment horizontal="right"/>
    </xf>
    <xf numFmtId="169" fontId="26" fillId="0" borderId="0" xfId="119" applyNumberFormat="1" applyFont="1"/>
    <xf numFmtId="39" fontId="26" fillId="0" borderId="0" xfId="119" applyNumberFormat="1" applyFont="1"/>
    <xf numFmtId="37" fontId="29" fillId="0" borderId="0" xfId="119" applyFont="1" applyFill="1" applyBorder="1"/>
    <xf numFmtId="37" fontId="16" fillId="0" borderId="70" xfId="119" applyFont="1" applyFill="1" applyBorder="1"/>
    <xf numFmtId="9" fontId="16" fillId="0" borderId="70" xfId="119" applyNumberFormat="1" applyFont="1" applyFill="1" applyBorder="1"/>
    <xf numFmtId="9" fontId="16" fillId="0" borderId="26" xfId="119" applyNumberFormat="1" applyFont="1" applyFill="1" applyBorder="1" applyAlignment="1">
      <alignment horizontal="right"/>
    </xf>
    <xf numFmtId="37" fontId="16" fillId="0" borderId="20" xfId="119" applyFont="1" applyFill="1" applyBorder="1"/>
    <xf numFmtId="9" fontId="16" fillId="0" borderId="21" xfId="130" applyNumberFormat="1" applyFont="1" applyBorder="1"/>
    <xf numFmtId="37" fontId="21" fillId="0" borderId="25" xfId="119" applyFont="1" applyFill="1" applyBorder="1"/>
    <xf numFmtId="9" fontId="21" fillId="0" borderId="11" xfId="130" applyNumberFormat="1" applyFont="1" applyBorder="1"/>
    <xf numFmtId="9" fontId="21" fillId="0" borderId="22" xfId="130" applyNumberFormat="1" applyFont="1" applyBorder="1"/>
    <xf numFmtId="172" fontId="29" fillId="0" borderId="0" xfId="0" applyNumberFormat="1" applyFont="1" applyBorder="1" applyAlignment="1">
      <alignment horizontal="right"/>
    </xf>
    <xf numFmtId="172" fontId="29" fillId="0" borderId="29" xfId="0" applyNumberFormat="1" applyFont="1" applyBorder="1" applyAlignment="1">
      <alignment horizontal="right"/>
    </xf>
    <xf numFmtId="5" fontId="21" fillId="0" borderId="11" xfId="119" applyNumberFormat="1" applyFont="1" applyFill="1" applyBorder="1"/>
    <xf numFmtId="5" fontId="16" fillId="0" borderId="11" xfId="119" applyNumberFormat="1" applyFont="1" applyFill="1" applyBorder="1"/>
    <xf numFmtId="5" fontId="21" fillId="0" borderId="11" xfId="119" applyNumberFormat="1" applyFont="1" applyBorder="1"/>
    <xf numFmtId="9" fontId="29" fillId="0" borderId="21" xfId="126" applyFont="1" applyBorder="1" applyAlignment="1">
      <alignment horizontal="right"/>
    </xf>
    <xf numFmtId="37" fontId="16" fillId="0" borderId="29" xfId="119" applyFont="1" applyFill="1" applyBorder="1"/>
    <xf numFmtId="5" fontId="16" fillId="0" borderId="29" xfId="119" applyNumberFormat="1" applyFont="1" applyFill="1" applyBorder="1"/>
    <xf numFmtId="5" fontId="21" fillId="0" borderId="35" xfId="119" applyNumberFormat="1" applyFont="1" applyFill="1" applyBorder="1"/>
    <xf numFmtId="37" fontId="25" fillId="0" borderId="19" xfId="119" applyFont="1" applyFill="1" applyBorder="1"/>
    <xf numFmtId="5" fontId="21" fillId="0" borderId="0" xfId="119" applyNumberFormat="1" applyFont="1" applyFill="1" applyBorder="1"/>
    <xf numFmtId="169" fontId="16" fillId="0" borderId="0" xfId="119" applyNumberFormat="1" applyFont="1"/>
    <xf numFmtId="170" fontId="26" fillId="0" borderId="29" xfId="119" applyNumberFormat="1" applyFont="1" applyBorder="1"/>
    <xf numFmtId="169" fontId="28" fillId="0" borderId="29" xfId="119" applyNumberFormat="1" applyFont="1" applyBorder="1"/>
    <xf numFmtId="172" fontId="28" fillId="0" borderId="29" xfId="0" applyNumberFormat="1" applyFont="1" applyBorder="1" applyAlignment="1">
      <alignment horizontal="right"/>
    </xf>
    <xf numFmtId="37" fontId="16" fillId="0" borderId="0" xfId="0" applyNumberFormat="1" applyFont="1" applyFill="1" applyBorder="1" applyAlignment="1">
      <alignment horizontal="left"/>
    </xf>
    <xf numFmtId="37" fontId="27" fillId="0" borderId="19" xfId="119" applyFont="1" applyBorder="1"/>
    <xf numFmtId="37" fontId="16" fillId="0" borderId="70" xfId="119" applyFont="1" applyBorder="1"/>
    <xf numFmtId="37" fontId="16" fillId="0" borderId="26" xfId="119" applyFont="1" applyBorder="1"/>
    <xf numFmtId="37" fontId="21" fillId="0" borderId="22" xfId="119" applyFont="1" applyFill="1" applyBorder="1" applyAlignment="1">
      <alignment horizontal="centerContinuous"/>
    </xf>
    <xf numFmtId="37" fontId="21" fillId="0" borderId="21" xfId="119" applyFont="1" applyFill="1" applyBorder="1" applyAlignment="1">
      <alignment horizontal="centerContinuous"/>
    </xf>
    <xf numFmtId="37" fontId="21" fillId="0" borderId="22" xfId="119" applyFont="1" applyFill="1" applyBorder="1" applyAlignment="1">
      <alignment horizontal="right"/>
    </xf>
    <xf numFmtId="37" fontId="16" fillId="0" borderId="19" xfId="119" applyFont="1" applyFill="1" applyBorder="1"/>
    <xf numFmtId="170" fontId="21" fillId="0" borderId="70" xfId="119" applyNumberFormat="1" applyFont="1" applyFill="1" applyBorder="1"/>
    <xf numFmtId="9" fontId="21" fillId="0" borderId="70" xfId="130" applyNumberFormat="1" applyFont="1" applyFill="1" applyBorder="1"/>
    <xf numFmtId="170" fontId="16" fillId="0" borderId="70" xfId="119" applyNumberFormat="1" applyFont="1" applyFill="1" applyBorder="1"/>
    <xf numFmtId="9" fontId="21" fillId="0" borderId="26" xfId="130" applyNumberFormat="1" applyFont="1" applyFill="1" applyBorder="1" applyAlignment="1">
      <alignment horizontal="right"/>
    </xf>
    <xf numFmtId="169" fontId="26" fillId="0" borderId="0" xfId="119" applyNumberFormat="1" applyFont="1" applyFill="1"/>
    <xf numFmtId="37" fontId="16" fillId="0" borderId="25" xfId="119" applyFont="1" applyFill="1" applyBorder="1"/>
    <xf numFmtId="170" fontId="21" fillId="0" borderId="11" xfId="119" applyNumberFormat="1" applyFont="1" applyFill="1" applyBorder="1"/>
    <xf numFmtId="9" fontId="21" fillId="0" borderId="11" xfId="130" applyNumberFormat="1" applyFont="1" applyFill="1" applyBorder="1"/>
    <xf numFmtId="170" fontId="16" fillId="0" borderId="11" xfId="119" applyNumberFormat="1" applyFont="1" applyFill="1" applyBorder="1"/>
    <xf numFmtId="9" fontId="21" fillId="0" borderId="22" xfId="130" applyNumberFormat="1" applyFont="1" applyFill="1" applyBorder="1" applyAlignment="1">
      <alignment horizontal="right"/>
    </xf>
    <xf numFmtId="166" fontId="27" fillId="0" borderId="0" xfId="126" applyNumberFormat="1" applyFont="1" applyBorder="1" applyAlignment="1"/>
    <xf numFmtId="166" fontId="27" fillId="0" borderId="0" xfId="126" applyNumberFormat="1" applyFont="1" applyBorder="1" applyAlignment="1">
      <alignment horizontal="right"/>
    </xf>
    <xf numFmtId="166" fontId="70" fillId="0" borderId="0" xfId="126" applyNumberFormat="1" applyFont="1" applyBorder="1"/>
    <xf numFmtId="166" fontId="70" fillId="0" borderId="29" xfId="126" applyNumberFormat="1" applyFont="1" applyBorder="1"/>
    <xf numFmtId="166" fontId="70" fillId="0" borderId="0" xfId="126" applyNumberFormat="1" applyFont="1" applyFill="1" applyBorder="1"/>
    <xf numFmtId="166" fontId="16" fillId="0" borderId="0" xfId="0" applyNumberFormat="1" applyFont="1" applyBorder="1"/>
    <xf numFmtId="166" fontId="27" fillId="0" borderId="0" xfId="0" applyNumberFormat="1" applyFont="1" applyFill="1" applyBorder="1"/>
    <xf numFmtId="166" fontId="27" fillId="0" borderId="0" xfId="0" applyNumberFormat="1" applyFont="1" applyBorder="1"/>
    <xf numFmtId="0" fontId="21" fillId="0" borderId="11" xfId="0" applyNumberFormat="1" applyFont="1" applyBorder="1"/>
    <xf numFmtId="0" fontId="42" fillId="0" borderId="0" xfId="0" applyNumberFormat="1" applyFont="1" applyFill="1" applyBorder="1" applyAlignment="1"/>
    <xf numFmtId="9" fontId="26" fillId="0" borderId="0" xfId="126" applyFont="1" applyAlignment="1">
      <alignment horizontal="center"/>
    </xf>
    <xf numFmtId="37" fontId="21" fillId="0" borderId="0" xfId="0" applyFont="1" applyFill="1" applyBorder="1" applyAlignment="1">
      <alignment horizontal="center"/>
    </xf>
    <xf numFmtId="38" fontId="16" fillId="0" borderId="0" xfId="0" applyNumberFormat="1" applyFont="1" applyFill="1" applyBorder="1"/>
    <xf numFmtId="37" fontId="0" fillId="0" borderId="0" xfId="0" applyFill="1" applyBorder="1"/>
    <xf numFmtId="37" fontId="21" fillId="0" borderId="11" xfId="0" applyFont="1" applyFill="1" applyBorder="1"/>
    <xf numFmtId="37" fontId="16" fillId="0" borderId="11" xfId="0" applyFont="1" applyFill="1" applyBorder="1"/>
    <xf numFmtId="173" fontId="26" fillId="0" borderId="0" xfId="0" applyNumberFormat="1" applyFont="1" applyFill="1" applyBorder="1"/>
    <xf numFmtId="37" fontId="21" fillId="0" borderId="11" xfId="0" applyFont="1" applyBorder="1" applyAlignment="1">
      <alignment horizontal="center"/>
    </xf>
    <xf numFmtId="49" fontId="0" fillId="0" borderId="0" xfId="0" applyNumberFormat="1"/>
    <xf numFmtId="37" fontId="29" fillId="0" borderId="0" xfId="0" applyFont="1"/>
    <xf numFmtId="41" fontId="27" fillId="0" borderId="0" xfId="0" applyNumberFormat="1" applyFont="1"/>
    <xf numFmtId="166" fontId="27" fillId="0" borderId="0" xfId="126" applyNumberFormat="1" applyFont="1"/>
    <xf numFmtId="37" fontId="16" fillId="18" borderId="56" xfId="0" applyFont="1" applyFill="1" applyBorder="1" applyAlignment="1">
      <alignment wrapText="1"/>
    </xf>
    <xf numFmtId="37" fontId="16" fillId="18" borderId="24" xfId="0" applyFont="1" applyFill="1" applyBorder="1"/>
    <xf numFmtId="0" fontId="21" fillId="0" borderId="0" xfId="0" applyNumberFormat="1" applyFont="1" applyBorder="1" applyAlignment="1">
      <alignment horizontal="right"/>
    </xf>
    <xf numFmtId="37" fontId="21" fillId="0" borderId="0" xfId="0" applyFont="1" applyBorder="1" applyAlignment="1">
      <alignment horizontal="left"/>
    </xf>
    <xf numFmtId="166" fontId="26" fillId="0" borderId="0" xfId="126" applyNumberFormat="1" applyFont="1" applyFill="1" applyBorder="1"/>
    <xf numFmtId="166" fontId="21" fillId="0" borderId="0" xfId="126" applyNumberFormat="1" applyFont="1" applyFill="1" applyBorder="1"/>
    <xf numFmtId="37" fontId="16" fillId="19" borderId="23" xfId="0" applyFont="1" applyFill="1" applyBorder="1" applyAlignment="1">
      <alignment horizontal="left"/>
    </xf>
    <xf numFmtId="37" fontId="16" fillId="19" borderId="55" xfId="0" applyFont="1" applyFill="1" applyBorder="1"/>
    <xf numFmtId="166" fontId="93" fillId="18" borderId="23" xfId="126" applyNumberFormat="1" applyFont="1" applyFill="1" applyBorder="1"/>
    <xf numFmtId="166" fontId="21" fillId="0" borderId="0" xfId="126" applyNumberFormat="1" applyFont="1" applyFill="1"/>
    <xf numFmtId="0" fontId="63" fillId="18" borderId="56" xfId="0" applyNumberFormat="1" applyFont="1" applyFill="1" applyBorder="1"/>
    <xf numFmtId="166" fontId="63" fillId="18" borderId="23" xfId="126" applyNumberFormat="1" applyFont="1" applyFill="1" applyBorder="1"/>
    <xf numFmtId="166" fontId="63" fillId="18" borderId="24" xfId="126" applyNumberFormat="1" applyFont="1" applyFill="1" applyBorder="1"/>
    <xf numFmtId="9" fontId="27" fillId="0" borderId="0" xfId="126" applyFont="1" applyFill="1" applyBorder="1" applyAlignment="1">
      <alignment horizontal="right"/>
    </xf>
    <xf numFmtId="0" fontId="29" fillId="0" borderId="0" xfId="0" applyNumberFormat="1" applyFont="1" applyBorder="1" applyAlignment="1">
      <alignment horizontal="left"/>
    </xf>
    <xf numFmtId="41" fontId="16" fillId="0" borderId="36" xfId="0" applyNumberFormat="1" applyFont="1" applyBorder="1"/>
    <xf numFmtId="43" fontId="16" fillId="0" borderId="0" xfId="77" applyFont="1" applyBorder="1"/>
    <xf numFmtId="43" fontId="26" fillId="0" borderId="29" xfId="77" applyFont="1" applyBorder="1"/>
    <xf numFmtId="181" fontId="21" fillId="0" borderId="0" xfId="0" applyNumberFormat="1" applyFont="1"/>
    <xf numFmtId="181" fontId="26" fillId="0" borderId="0" xfId="0" applyNumberFormat="1" applyFont="1"/>
    <xf numFmtId="181" fontId="28" fillId="0" borderId="0" xfId="0" applyNumberFormat="1" applyFont="1"/>
    <xf numFmtId="183" fontId="26" fillId="0" borderId="0" xfId="0" applyNumberFormat="1" applyFont="1" applyBorder="1"/>
    <xf numFmtId="41" fontId="35" fillId="0" borderId="29" xfId="0" applyNumberFormat="1" applyFont="1" applyBorder="1" applyAlignment="1">
      <alignment horizontal="right"/>
    </xf>
    <xf numFmtId="41" fontId="16" fillId="0" borderId="20" xfId="0" applyNumberFormat="1" applyFont="1" applyBorder="1" applyAlignment="1">
      <alignment horizontal="right"/>
    </xf>
    <xf numFmtId="41" fontId="21" fillId="0" borderId="20" xfId="0" applyNumberFormat="1" applyFont="1" applyBorder="1"/>
    <xf numFmtId="173" fontId="16" fillId="0" borderId="35" xfId="0" applyNumberFormat="1" applyFont="1" applyBorder="1"/>
    <xf numFmtId="0" fontId="16" fillId="0" borderId="0" xfId="0" applyNumberFormat="1" applyFont="1" applyFill="1"/>
    <xf numFmtId="37" fontId="27" fillId="0" borderId="0" xfId="0" applyFont="1" applyFill="1" applyBorder="1" applyAlignment="1"/>
    <xf numFmtId="37" fontId="21" fillId="0" borderId="11" xfId="0" applyFont="1" applyFill="1" applyBorder="1" applyAlignment="1"/>
    <xf numFmtId="37" fontId="16" fillId="0" borderId="11" xfId="0" applyFont="1" applyFill="1" applyBorder="1" applyAlignment="1"/>
    <xf numFmtId="183" fontId="16" fillId="0" borderId="0" xfId="0" applyNumberFormat="1" applyFont="1" applyFill="1" applyBorder="1" applyAlignment="1">
      <alignment horizontal="left"/>
    </xf>
    <xf numFmtId="183" fontId="16" fillId="0" borderId="29" xfId="0" applyNumberFormat="1" applyFont="1" applyFill="1" applyBorder="1" applyAlignment="1">
      <alignment horizontal="right"/>
    </xf>
    <xf numFmtId="183" fontId="16" fillId="0" borderId="0" xfId="0" applyNumberFormat="1" applyFont="1"/>
    <xf numFmtId="183" fontId="16" fillId="0" borderId="29" xfId="0" applyNumberFormat="1" applyFont="1" applyBorder="1"/>
    <xf numFmtId="183" fontId="29" fillId="0" borderId="0" xfId="0" applyNumberFormat="1" applyFont="1" applyFill="1" applyBorder="1" applyAlignment="1">
      <alignment horizontal="left"/>
    </xf>
    <xf numFmtId="183" fontId="29" fillId="0" borderId="29" xfId="0" applyNumberFormat="1" applyFont="1" applyFill="1" applyBorder="1" applyAlignment="1">
      <alignment horizontal="right"/>
    </xf>
    <xf numFmtId="183" fontId="21" fillId="0" borderId="0" xfId="0" applyNumberFormat="1" applyFont="1" applyFill="1" applyBorder="1" applyAlignment="1">
      <alignment horizontal="left"/>
    </xf>
    <xf numFmtId="183" fontId="21" fillId="0" borderId="29" xfId="0" applyNumberFormat="1" applyFont="1" applyFill="1" applyBorder="1" applyAlignment="1">
      <alignment horizontal="right"/>
    </xf>
    <xf numFmtId="183" fontId="21" fillId="0" borderId="0" xfId="0" applyNumberFormat="1" applyFont="1" applyFill="1" applyBorder="1"/>
    <xf numFmtId="183" fontId="21" fillId="0" borderId="21" xfId="0" applyNumberFormat="1" applyFont="1" applyFill="1" applyBorder="1"/>
    <xf numFmtId="183" fontId="36" fillId="0" borderId="0" xfId="0" applyNumberFormat="1" applyFont="1" applyFill="1" applyBorder="1" applyAlignment="1">
      <alignment horizontal="right"/>
    </xf>
    <xf numFmtId="183" fontId="16" fillId="19" borderId="23" xfId="0" applyNumberFormat="1" applyFont="1" applyFill="1" applyBorder="1" applyAlignment="1">
      <alignment horizontal="left"/>
    </xf>
    <xf numFmtId="183" fontId="16" fillId="19" borderId="55" xfId="0" applyNumberFormat="1" applyFont="1" applyFill="1" applyBorder="1" applyAlignment="1">
      <alignment horizontal="right"/>
    </xf>
    <xf numFmtId="183" fontId="19" fillId="0" borderId="0" xfId="0" applyNumberFormat="1" applyFont="1" applyFill="1"/>
    <xf numFmtId="183" fontId="19" fillId="0" borderId="0" xfId="0" applyNumberFormat="1" applyFont="1" applyFill="1" applyBorder="1"/>
    <xf numFmtId="183" fontId="19" fillId="0" borderId="21" xfId="0" applyNumberFormat="1" applyFont="1" applyFill="1" applyBorder="1"/>
    <xf numFmtId="183" fontId="35" fillId="0" borderId="0" xfId="0" applyNumberFormat="1" applyFont="1" applyFill="1"/>
    <xf numFmtId="183" fontId="35" fillId="0" borderId="0" xfId="0" applyNumberFormat="1" applyFont="1" applyFill="1" applyBorder="1"/>
    <xf numFmtId="183" fontId="35" fillId="0" borderId="21" xfId="0" applyNumberFormat="1" applyFont="1" applyFill="1" applyBorder="1"/>
    <xf numFmtId="183" fontId="21" fillId="0" borderId="0" xfId="0" applyNumberFormat="1" applyFont="1" applyFill="1" applyBorder="1" applyAlignment="1">
      <alignment horizontal="right"/>
    </xf>
    <xf numFmtId="183" fontId="36" fillId="0" borderId="0" xfId="0" applyNumberFormat="1" applyFont="1" applyFill="1" applyBorder="1"/>
    <xf numFmtId="183" fontId="16" fillId="0" borderId="0" xfId="0" applyNumberFormat="1" applyFont="1" applyBorder="1"/>
    <xf numFmtId="183" fontId="19" fillId="0" borderId="29" xfId="0" applyNumberFormat="1" applyFont="1" applyFill="1" applyBorder="1"/>
    <xf numFmtId="0" fontId="21" fillId="0" borderId="0" xfId="0" applyNumberFormat="1" applyFont="1" applyFill="1" applyAlignment="1">
      <alignment horizontal="left"/>
    </xf>
    <xf numFmtId="0" fontId="16" fillId="0" borderId="0" xfId="0" applyNumberFormat="1" applyFont="1" applyFill="1" applyAlignment="1">
      <alignment horizontal="left"/>
    </xf>
    <xf numFmtId="0" fontId="21" fillId="19" borderId="56" xfId="0" applyNumberFormat="1" applyFont="1" applyFill="1" applyBorder="1" applyAlignment="1">
      <alignment horizontal="left"/>
    </xf>
    <xf numFmtId="0" fontId="16" fillId="0" borderId="0" xfId="0" applyNumberFormat="1" applyFont="1" applyFill="1" applyAlignment="1"/>
    <xf numFmtId="0" fontId="29" fillId="0" borderId="0" xfId="0" applyNumberFormat="1" applyFont="1" applyFill="1" applyAlignment="1"/>
    <xf numFmtId="9" fontId="27" fillId="0" borderId="21" xfId="126" applyFont="1" applyFill="1" applyBorder="1"/>
    <xf numFmtId="183" fontId="21" fillId="18" borderId="23" xfId="0" applyNumberFormat="1" applyFont="1" applyFill="1" applyBorder="1"/>
    <xf numFmtId="183" fontId="21" fillId="18" borderId="55" xfId="0" applyNumberFormat="1" applyFont="1" applyFill="1" applyBorder="1"/>
    <xf numFmtId="0" fontId="21" fillId="18" borderId="56" xfId="0" applyNumberFormat="1" applyFont="1" applyFill="1" applyBorder="1" applyAlignment="1"/>
    <xf numFmtId="183" fontId="26" fillId="18" borderId="23" xfId="0" applyNumberFormat="1" applyFont="1" applyFill="1" applyBorder="1"/>
    <xf numFmtId="183" fontId="16" fillId="18" borderId="23" xfId="0" applyNumberFormat="1" applyFont="1" applyFill="1" applyBorder="1"/>
    <xf numFmtId="183" fontId="36" fillId="18" borderId="55" xfId="0" applyNumberFormat="1" applyFont="1" applyFill="1" applyBorder="1" applyAlignment="1">
      <alignment horizontal="right"/>
    </xf>
    <xf numFmtId="183" fontId="21" fillId="18" borderId="23" xfId="0" applyNumberFormat="1" applyFont="1" applyFill="1" applyBorder="1" applyAlignment="1">
      <alignment horizontal="right"/>
    </xf>
    <xf numFmtId="183" fontId="36" fillId="18" borderId="23" xfId="0" applyNumberFormat="1" applyFont="1" applyFill="1" applyBorder="1"/>
    <xf numFmtId="183" fontId="36" fillId="18" borderId="55" xfId="0" applyNumberFormat="1" applyFont="1" applyFill="1" applyBorder="1"/>
    <xf numFmtId="166" fontId="27" fillId="0" borderId="0" xfId="126" applyNumberFormat="1" applyFont="1" applyFill="1" applyBorder="1" applyAlignment="1">
      <alignment horizontal="right"/>
    </xf>
    <xf numFmtId="166" fontId="27" fillId="0" borderId="29" xfId="0" applyNumberFormat="1" applyFont="1" applyBorder="1"/>
    <xf numFmtId="166" fontId="70" fillId="0" borderId="29" xfId="126" applyNumberFormat="1" applyFont="1" applyFill="1" applyBorder="1"/>
    <xf numFmtId="166" fontId="72" fillId="0" borderId="29" xfId="126" applyNumberFormat="1" applyFont="1" applyBorder="1"/>
    <xf numFmtId="166" fontId="16" fillId="0" borderId="0" xfId="126" applyNumberFormat="1" applyFont="1" applyBorder="1"/>
    <xf numFmtId="9" fontId="64" fillId="0" borderId="0" xfId="126" applyNumberFormat="1" applyFont="1" applyFill="1" applyBorder="1"/>
    <xf numFmtId="9" fontId="27" fillId="0" borderId="29" xfId="126" applyNumberFormat="1" applyFont="1" applyBorder="1"/>
    <xf numFmtId="7" fontId="21" fillId="18" borderId="70" xfId="0" applyNumberFormat="1" applyFont="1" applyFill="1" applyBorder="1" applyAlignment="1">
      <alignment horizontal="right"/>
    </xf>
    <xf numFmtId="7" fontId="21" fillId="18" borderId="36" xfId="0" applyNumberFormat="1" applyFont="1" applyFill="1" applyBorder="1" applyAlignment="1">
      <alignment horizontal="right"/>
    </xf>
    <xf numFmtId="7" fontId="21" fillId="18" borderId="11" xfId="0" applyNumberFormat="1" applyFont="1" applyFill="1" applyBorder="1" applyAlignment="1">
      <alignment horizontal="right"/>
    </xf>
    <xf numFmtId="7" fontId="21" fillId="18" borderId="35" xfId="0" applyNumberFormat="1" applyFont="1" applyFill="1" applyBorder="1" applyAlignment="1">
      <alignment horizontal="right"/>
    </xf>
    <xf numFmtId="9" fontId="16" fillId="0" borderId="0" xfId="130" applyNumberFormat="1" applyFont="1" applyBorder="1" applyAlignment="1">
      <alignment horizontal="right"/>
    </xf>
    <xf numFmtId="9" fontId="16" fillId="0" borderId="0" xfId="119" applyNumberFormat="1" applyFont="1" applyBorder="1" applyAlignment="1">
      <alignment horizontal="right"/>
    </xf>
    <xf numFmtId="9" fontId="29" fillId="0" borderId="0" xfId="130" applyNumberFormat="1" applyFont="1" applyBorder="1" applyAlignment="1">
      <alignment horizontal="right"/>
    </xf>
    <xf numFmtId="9" fontId="21" fillId="0" borderId="0" xfId="130" applyNumberFormat="1" applyFont="1" applyBorder="1" applyAlignment="1">
      <alignment horizontal="right"/>
    </xf>
    <xf numFmtId="37" fontId="25" fillId="0" borderId="0" xfId="0" applyNumberFormat="1" applyFont="1" applyFill="1" applyBorder="1"/>
    <xf numFmtId="37" fontId="21" fillId="0" borderId="11" xfId="0" applyNumberFormat="1" applyFont="1" applyFill="1" applyBorder="1"/>
    <xf numFmtId="37" fontId="25" fillId="0" borderId="0" xfId="0" applyNumberFormat="1" applyFont="1" applyBorder="1" applyAlignment="1">
      <alignment horizontal="left"/>
    </xf>
    <xf numFmtId="37" fontId="21" fillId="0" borderId="11" xfId="0" applyFont="1" applyFill="1" applyBorder="1" applyAlignment="1">
      <alignment horizontal="right"/>
    </xf>
    <xf numFmtId="37" fontId="21" fillId="0" borderId="55" xfId="119" applyFont="1" applyBorder="1" applyAlignment="1">
      <alignment horizontal="right"/>
    </xf>
    <xf numFmtId="37" fontId="16" fillId="0" borderId="29" xfId="119" applyFont="1" applyBorder="1" applyAlignment="1">
      <alignment horizontal="right"/>
    </xf>
    <xf numFmtId="37" fontId="25" fillId="0" borderId="0" xfId="0" applyFont="1" applyFill="1" applyBorder="1" applyAlignment="1">
      <alignment horizontal="right"/>
    </xf>
    <xf numFmtId="37" fontId="16" fillId="0" borderId="0" xfId="119" applyFont="1" applyAlignment="1">
      <alignment horizontal="right"/>
    </xf>
    <xf numFmtId="9" fontId="26" fillId="0" borderId="0" xfId="0" applyNumberFormat="1" applyFont="1" applyFill="1" applyBorder="1" applyAlignment="1">
      <alignment horizontal="right"/>
    </xf>
    <xf numFmtId="166" fontId="26" fillId="0" borderId="0" xfId="0" applyNumberFormat="1" applyFont="1" applyFill="1" applyBorder="1" applyAlignment="1">
      <alignment horizontal="right"/>
    </xf>
    <xf numFmtId="37" fontId="26" fillId="0" borderId="0" xfId="0" applyNumberFormat="1" applyFont="1" applyFill="1" applyBorder="1" applyAlignment="1">
      <alignment horizontal="right"/>
    </xf>
    <xf numFmtId="10" fontId="26" fillId="0" borderId="0" xfId="0" applyNumberFormat="1" applyFont="1" applyFill="1" applyBorder="1" applyAlignment="1">
      <alignment horizontal="right"/>
    </xf>
    <xf numFmtId="6" fontId="26" fillId="0" borderId="0" xfId="0" applyNumberFormat="1" applyFont="1" applyFill="1" applyBorder="1" applyAlignment="1">
      <alignment horizontal="right"/>
    </xf>
    <xf numFmtId="37" fontId="16" fillId="0" borderId="35" xfId="119" applyFont="1" applyBorder="1" applyAlignment="1">
      <alignment horizontal="right"/>
    </xf>
    <xf numFmtId="39" fontId="16" fillId="0" borderId="0" xfId="119" applyNumberFormat="1" applyFont="1" applyAlignment="1">
      <alignment horizontal="right"/>
    </xf>
    <xf numFmtId="7" fontId="16" fillId="0" borderId="0" xfId="119" applyNumberFormat="1" applyFont="1" applyAlignment="1">
      <alignment horizontal="right"/>
    </xf>
    <xf numFmtId="37" fontId="21" fillId="0" borderId="11" xfId="0" applyNumberFormat="1" applyFont="1" applyFill="1" applyBorder="1" applyAlignment="1">
      <alignment horizontal="centerContinuous"/>
    </xf>
    <xf numFmtId="37" fontId="0" fillId="0" borderId="11" xfId="0" applyBorder="1" applyAlignment="1">
      <alignment horizontal="centerContinuous"/>
    </xf>
    <xf numFmtId="7" fontId="16" fillId="0" borderId="0" xfId="0" applyNumberFormat="1" applyFont="1"/>
    <xf numFmtId="37" fontId="25" fillId="0" borderId="0" xfId="0" applyNumberFormat="1" applyFont="1" applyFill="1" applyBorder="1" applyAlignment="1">
      <alignment horizontal="center"/>
    </xf>
    <xf numFmtId="9" fontId="26" fillId="0" borderId="0" xfId="0" quotePrefix="1" applyNumberFormat="1" applyFont="1" applyBorder="1" applyAlignment="1">
      <alignment horizontal="center"/>
    </xf>
    <xf numFmtId="37" fontId="25" fillId="0" borderId="0" xfId="0" applyNumberFormat="1" applyFont="1" applyBorder="1"/>
    <xf numFmtId="9" fontId="26" fillId="0" borderId="0" xfId="0" quotePrefix="1" applyNumberFormat="1" applyFont="1" applyBorder="1" applyAlignment="1">
      <alignment horizontal="right"/>
    </xf>
    <xf numFmtId="37" fontId="26" fillId="0" borderId="0" xfId="0" applyNumberFormat="1" applyFont="1" applyBorder="1" applyAlignment="1">
      <alignment horizontal="right"/>
    </xf>
    <xf numFmtId="37" fontId="21" fillId="0" borderId="0" xfId="0" applyNumberFormat="1" applyFont="1" applyFill="1" applyBorder="1" applyAlignment="1">
      <alignment horizontal="right"/>
    </xf>
    <xf numFmtId="37" fontId="25" fillId="0" borderId="0" xfId="0" applyNumberFormat="1" applyFont="1" applyFill="1" applyBorder="1" applyAlignment="1">
      <alignment horizontal="right"/>
    </xf>
    <xf numFmtId="37" fontId="0" fillId="0" borderId="0" xfId="0" applyFill="1" applyAlignment="1">
      <alignment horizontal="right"/>
    </xf>
    <xf numFmtId="9" fontId="26" fillId="0" borderId="0" xfId="0" applyNumberFormat="1" applyFont="1" applyBorder="1" applyAlignment="1">
      <alignment horizontal="right"/>
    </xf>
    <xf numFmtId="9" fontId="26" fillId="0" borderId="0" xfId="126" applyFont="1" applyBorder="1" applyAlignment="1">
      <alignment horizontal="right"/>
    </xf>
    <xf numFmtId="37" fontId="3" fillId="0" borderId="0" xfId="0" applyFont="1" applyBorder="1" applyAlignment="1">
      <alignment horizontal="right"/>
    </xf>
    <xf numFmtId="0" fontId="26" fillId="0" borderId="0" xfId="0" applyNumberFormat="1" applyFont="1" applyBorder="1" applyAlignment="1">
      <alignment horizontal="right"/>
    </xf>
    <xf numFmtId="37" fontId="21" fillId="0" borderId="56" xfId="0" applyNumberFormat="1" applyFont="1" applyFill="1" applyBorder="1" applyAlignment="1">
      <alignment horizontal="centerContinuous"/>
    </xf>
    <xf numFmtId="37" fontId="21" fillId="0" borderId="23" xfId="0" applyNumberFormat="1" applyFont="1" applyFill="1" applyBorder="1" applyAlignment="1">
      <alignment horizontal="centerContinuous"/>
    </xf>
    <xf numFmtId="37" fontId="21" fillId="0" borderId="24" xfId="0" applyNumberFormat="1" applyFont="1" applyFill="1" applyBorder="1" applyAlignment="1">
      <alignment horizontal="centerContinuous"/>
    </xf>
    <xf numFmtId="37" fontId="25" fillId="0" borderId="20" xfId="0" applyNumberFormat="1" applyFont="1" applyFill="1" applyBorder="1" applyAlignment="1">
      <alignment horizontal="center"/>
    </xf>
    <xf numFmtId="37" fontId="25" fillId="0" borderId="21" xfId="0" applyNumberFormat="1" applyFont="1" applyFill="1" applyBorder="1" applyAlignment="1">
      <alignment horizontal="center"/>
    </xf>
    <xf numFmtId="37" fontId="26" fillId="0" borderId="20" xfId="0" applyNumberFormat="1" applyFont="1" applyBorder="1" applyAlignment="1">
      <alignment horizontal="right"/>
    </xf>
    <xf numFmtId="37" fontId="26" fillId="0" borderId="21" xfId="0" applyNumberFormat="1" applyFont="1" applyBorder="1" applyAlignment="1">
      <alignment horizontal="right"/>
    </xf>
    <xf numFmtId="37" fontId="25" fillId="0" borderId="20" xfId="0" applyNumberFormat="1" applyFont="1" applyFill="1" applyBorder="1" applyAlignment="1">
      <alignment horizontal="right"/>
    </xf>
    <xf numFmtId="37" fontId="25" fillId="0" borderId="21" xfId="0" applyNumberFormat="1" applyFont="1" applyFill="1" applyBorder="1" applyAlignment="1">
      <alignment horizontal="right"/>
    </xf>
    <xf numFmtId="37" fontId="21" fillId="0" borderId="20" xfId="0" applyNumberFormat="1" applyFont="1" applyFill="1" applyBorder="1" applyAlignment="1">
      <alignment horizontal="right"/>
    </xf>
    <xf numFmtId="37" fontId="21" fillId="0" borderId="21" xfId="0" applyNumberFormat="1" applyFont="1" applyFill="1" applyBorder="1" applyAlignment="1">
      <alignment horizontal="right"/>
    </xf>
    <xf numFmtId="9" fontId="26" fillId="0" borderId="20" xfId="126" applyFont="1" applyBorder="1" applyAlignment="1">
      <alignment horizontal="right"/>
    </xf>
    <xf numFmtId="9" fontId="26" fillId="0" borderId="21" xfId="126" applyFont="1" applyBorder="1" applyAlignment="1">
      <alignment horizontal="right"/>
    </xf>
    <xf numFmtId="0" fontId="26" fillId="0" borderId="20" xfId="0" applyNumberFormat="1" applyFont="1" applyBorder="1" applyAlignment="1">
      <alignment horizontal="right"/>
    </xf>
    <xf numFmtId="0" fontId="26" fillId="0" borderId="21" xfId="0" applyNumberFormat="1" applyFont="1" applyBorder="1" applyAlignment="1">
      <alignment horizontal="right"/>
    </xf>
    <xf numFmtId="37" fontId="16" fillId="0" borderId="25" xfId="0" applyFont="1" applyBorder="1"/>
    <xf numFmtId="37" fontId="16" fillId="0" borderId="22" xfId="0" applyFont="1" applyBorder="1"/>
    <xf numFmtId="37" fontId="21" fillId="18" borderId="56" xfId="0" applyNumberFormat="1" applyFont="1" applyFill="1" applyBorder="1" applyAlignment="1">
      <alignment horizontal="left"/>
    </xf>
    <xf numFmtId="7" fontId="36" fillId="18" borderId="23" xfId="79" applyNumberFormat="1" applyFont="1" applyFill="1" applyBorder="1" applyAlignment="1">
      <alignment horizontal="right"/>
    </xf>
    <xf numFmtId="9" fontId="26" fillId="18" borderId="23" xfId="0" quotePrefix="1" applyNumberFormat="1" applyFont="1" applyFill="1" applyBorder="1" applyAlignment="1">
      <alignment horizontal="right"/>
    </xf>
    <xf numFmtId="37" fontId="22" fillId="18" borderId="23" xfId="0" applyFont="1" applyFill="1" applyBorder="1" applyAlignment="1">
      <alignment horizontal="right"/>
    </xf>
    <xf numFmtId="44" fontId="36" fillId="18" borderId="23" xfId="79" applyFont="1" applyFill="1" applyBorder="1" applyAlignment="1">
      <alignment horizontal="right"/>
    </xf>
    <xf numFmtId="44" fontId="36" fillId="18" borderId="56" xfId="79" applyFont="1" applyFill="1" applyBorder="1" applyAlignment="1">
      <alignment horizontal="right"/>
    </xf>
    <xf numFmtId="44" fontId="36" fillId="18" borderId="24" xfId="79" applyFont="1" applyFill="1" applyBorder="1" applyAlignment="1">
      <alignment horizontal="right"/>
    </xf>
    <xf numFmtId="37" fontId="21" fillId="18" borderId="56" xfId="0" applyNumberFormat="1" applyFont="1" applyFill="1" applyBorder="1"/>
    <xf numFmtId="37" fontId="36" fillId="18" borderId="23" xfId="0" applyNumberFormat="1" applyFont="1" applyFill="1" applyBorder="1" applyAlignment="1">
      <alignment horizontal="right"/>
    </xf>
    <xf numFmtId="37" fontId="36" fillId="18" borderId="56" xfId="0" applyNumberFormat="1" applyFont="1" applyFill="1" applyBorder="1" applyAlignment="1">
      <alignment horizontal="right"/>
    </xf>
    <xf numFmtId="37" fontId="36" fillId="18" borderId="24" xfId="0" applyNumberFormat="1" applyFont="1" applyFill="1" applyBorder="1" applyAlignment="1">
      <alignment horizontal="right"/>
    </xf>
    <xf numFmtId="5" fontId="36" fillId="18" borderId="23" xfId="0" applyNumberFormat="1" applyFont="1" applyFill="1" applyBorder="1" applyAlignment="1">
      <alignment horizontal="right"/>
    </xf>
    <xf numFmtId="5" fontId="36" fillId="18" borderId="56" xfId="0" applyNumberFormat="1" applyFont="1" applyFill="1" applyBorder="1" applyAlignment="1">
      <alignment horizontal="right"/>
    </xf>
    <xf numFmtId="5" fontId="36" fillId="18" borderId="24" xfId="0" applyNumberFormat="1" applyFont="1" applyFill="1" applyBorder="1" applyAlignment="1">
      <alignment horizontal="right"/>
    </xf>
    <xf numFmtId="5" fontId="26" fillId="0" borderId="0" xfId="0" applyNumberFormat="1" applyFont="1" applyBorder="1" applyAlignment="1">
      <alignment horizontal="right"/>
    </xf>
    <xf numFmtId="37" fontId="66" fillId="0" borderId="0" xfId="0" applyFont="1" applyAlignment="1">
      <alignment horizontal="right"/>
    </xf>
    <xf numFmtId="37" fontId="21" fillId="18" borderId="24" xfId="0" quotePrefix="1" applyNumberFormat="1" applyFont="1" applyFill="1" applyBorder="1" applyAlignment="1">
      <alignment horizontal="right"/>
    </xf>
    <xf numFmtId="37" fontId="16" fillId="0" borderId="0" xfId="0" quotePrefix="1" applyNumberFormat="1" applyFont="1" applyFill="1" applyBorder="1" applyAlignment="1">
      <alignment horizontal="right"/>
    </xf>
    <xf numFmtId="37" fontId="21" fillId="0" borderId="0" xfId="0" applyFont="1" applyAlignment="1">
      <alignment horizontal="right"/>
    </xf>
    <xf numFmtId="37" fontId="21" fillId="18" borderId="0" xfId="0" applyNumberFormat="1" applyFont="1" applyFill="1" applyBorder="1" applyAlignment="1">
      <alignment horizontal="left"/>
    </xf>
    <xf numFmtId="37" fontId="36" fillId="18" borderId="0" xfId="0" applyNumberFormat="1" applyFont="1" applyFill="1" applyBorder="1" applyAlignment="1">
      <alignment horizontal="right"/>
    </xf>
    <xf numFmtId="7" fontId="26" fillId="18" borderId="0" xfId="0" applyNumberFormat="1" applyFont="1" applyFill="1"/>
    <xf numFmtId="9" fontId="36" fillId="0" borderId="0" xfId="0" applyNumberFormat="1" applyFont="1" applyFill="1" applyBorder="1" applyAlignment="1">
      <alignment horizontal="right"/>
    </xf>
    <xf numFmtId="5" fontId="36" fillId="0" borderId="0" xfId="119" applyNumberFormat="1" applyFont="1" applyFill="1" applyBorder="1"/>
    <xf numFmtId="0" fontId="21" fillId="0" borderId="55" xfId="119" applyNumberFormat="1" applyFont="1" applyFill="1" applyBorder="1" applyAlignment="1"/>
    <xf numFmtId="0" fontId="16" fillId="0" borderId="29" xfId="119" applyNumberFormat="1" applyFont="1" applyFill="1" applyBorder="1" applyAlignment="1"/>
    <xf numFmtId="5" fontId="36" fillId="0" borderId="29" xfId="119" applyNumberFormat="1" applyFont="1" applyFill="1" applyBorder="1"/>
    <xf numFmtId="37" fontId="26" fillId="0" borderId="29" xfId="119" applyFont="1" applyFill="1" applyBorder="1"/>
    <xf numFmtId="7" fontId="26" fillId="0" borderId="0" xfId="79" applyNumberFormat="1" applyFont="1" applyFill="1" applyBorder="1"/>
    <xf numFmtId="7" fontId="26" fillId="0" borderId="29" xfId="79" applyNumberFormat="1" applyFont="1" applyFill="1" applyBorder="1"/>
    <xf numFmtId="37" fontId="16" fillId="0" borderId="56" xfId="119" applyFont="1" applyFill="1" applyBorder="1" applyAlignment="1">
      <alignment horizontal="left" indent="1"/>
    </xf>
    <xf numFmtId="37" fontId="16" fillId="0" borderId="23" xfId="119" applyFont="1" applyFill="1" applyBorder="1"/>
    <xf numFmtId="37" fontId="16" fillId="0" borderId="55" xfId="119" applyFont="1" applyFill="1" applyBorder="1"/>
    <xf numFmtId="7" fontId="16" fillId="0" borderId="23" xfId="79" applyNumberFormat="1" applyFont="1" applyFill="1" applyBorder="1"/>
    <xf numFmtId="7" fontId="16" fillId="0" borderId="55" xfId="79" applyNumberFormat="1" applyFont="1" applyFill="1" applyBorder="1"/>
    <xf numFmtId="37" fontId="21" fillId="0" borderId="23" xfId="119" applyFont="1" applyFill="1" applyBorder="1" applyAlignment="1">
      <alignment horizontal="centerContinuous"/>
    </xf>
    <xf numFmtId="41" fontId="16" fillId="0" borderId="29" xfId="119" applyNumberFormat="1" applyFont="1" applyFill="1" applyBorder="1"/>
    <xf numFmtId="5" fontId="16" fillId="0" borderId="0" xfId="0" applyNumberFormat="1" applyFont="1" applyBorder="1" applyAlignment="1">
      <alignment horizontal="right"/>
    </xf>
    <xf numFmtId="5" fontId="16" fillId="0" borderId="29" xfId="0" applyNumberFormat="1" applyFont="1" applyBorder="1" applyAlignment="1">
      <alignment horizontal="right"/>
    </xf>
    <xf numFmtId="5" fontId="16" fillId="0" borderId="0" xfId="0" applyNumberFormat="1" applyFont="1" applyFill="1" applyBorder="1" applyAlignment="1">
      <alignment horizontal="right"/>
    </xf>
    <xf numFmtId="5" fontId="21" fillId="0" borderId="0" xfId="0" applyNumberFormat="1" applyFont="1" applyBorder="1" applyAlignment="1">
      <alignment horizontal="right"/>
    </xf>
    <xf numFmtId="5" fontId="21" fillId="0" borderId="29" xfId="0" applyNumberFormat="1" applyFont="1" applyBorder="1" applyAlignment="1">
      <alignment horizontal="right"/>
    </xf>
    <xf numFmtId="37" fontId="27" fillId="0" borderId="0" xfId="119" applyFont="1" applyBorder="1" applyAlignment="1">
      <alignment horizontal="left" indent="1"/>
    </xf>
    <xf numFmtId="9" fontId="27" fillId="0" borderId="20" xfId="126" applyFont="1" applyBorder="1"/>
    <xf numFmtId="9" fontId="16" fillId="0" borderId="22" xfId="130" applyNumberFormat="1" applyFont="1" applyBorder="1" applyAlignment="1">
      <alignment horizontal="right"/>
    </xf>
    <xf numFmtId="37" fontId="27" fillId="0" borderId="0" xfId="117" applyFont="1" applyFill="1" applyBorder="1" applyAlignment="1">
      <alignment horizontal="left" indent="1"/>
    </xf>
    <xf numFmtId="5" fontId="21" fillId="0" borderId="0" xfId="117" applyNumberFormat="1" applyFont="1" applyBorder="1" applyAlignment="1">
      <alignment horizontal="right"/>
    </xf>
    <xf numFmtId="6" fontId="16" fillId="0" borderId="0" xfId="0" applyNumberFormat="1" applyFont="1" applyFill="1" applyBorder="1" applyAlignment="1">
      <alignment horizontal="right"/>
    </xf>
    <xf numFmtId="37" fontId="16" fillId="0" borderId="0" xfId="0" applyNumberFormat="1" applyFont="1" applyFill="1" applyBorder="1" applyAlignment="1">
      <alignment horizontal="right"/>
    </xf>
    <xf numFmtId="166" fontId="26" fillId="17" borderId="0" xfId="0" applyNumberFormat="1" applyFont="1" applyFill="1" applyBorder="1" applyAlignment="1">
      <alignment horizontal="right"/>
    </xf>
    <xf numFmtId="9" fontId="26" fillId="0" borderId="20" xfId="0" applyNumberFormat="1" applyFont="1" applyBorder="1" applyAlignment="1">
      <alignment horizontal="center"/>
    </xf>
    <xf numFmtId="9" fontId="26" fillId="0" borderId="21" xfId="0" applyNumberFormat="1" applyFont="1" applyBorder="1" applyAlignment="1">
      <alignment horizontal="center"/>
    </xf>
    <xf numFmtId="9" fontId="36" fillId="0" borderId="0" xfId="0" applyNumberFormat="1" applyFont="1" applyFill="1" applyBorder="1" applyAlignment="1">
      <alignment horizontal="center"/>
    </xf>
    <xf numFmtId="9" fontId="36" fillId="0" borderId="0" xfId="0" quotePrefix="1" applyNumberFormat="1" applyFont="1" applyFill="1" applyBorder="1" applyAlignment="1">
      <alignment horizontal="center"/>
    </xf>
    <xf numFmtId="5" fontId="26" fillId="0" borderId="29" xfId="119" applyNumberFormat="1" applyFont="1" applyFill="1" applyBorder="1"/>
    <xf numFmtId="9" fontId="16" fillId="0" borderId="0" xfId="126" quotePrefix="1" applyFont="1" applyFill="1" applyBorder="1" applyAlignment="1">
      <alignment horizontal="right"/>
    </xf>
    <xf numFmtId="9" fontId="21" fillId="0" borderId="0" xfId="126" quotePrefix="1" applyFont="1" applyFill="1" applyBorder="1" applyAlignment="1">
      <alignment horizontal="right"/>
    </xf>
    <xf numFmtId="9" fontId="36" fillId="0" borderId="20" xfId="0" applyNumberFormat="1" applyFont="1" applyBorder="1" applyAlignment="1">
      <alignment horizontal="center"/>
    </xf>
    <xf numFmtId="9" fontId="36" fillId="0" borderId="0" xfId="0" quotePrefix="1" applyNumberFormat="1" applyFont="1" applyBorder="1" applyAlignment="1">
      <alignment horizontal="center"/>
    </xf>
    <xf numFmtId="9" fontId="36" fillId="0" borderId="21" xfId="0" applyNumberFormat="1" applyFont="1" applyBorder="1" applyAlignment="1">
      <alignment horizontal="center"/>
    </xf>
    <xf numFmtId="38" fontId="26" fillId="0" borderId="0" xfId="0" applyNumberFormat="1" applyFont="1" applyFill="1" applyBorder="1" applyAlignment="1">
      <alignment horizontal="right"/>
    </xf>
    <xf numFmtId="41" fontId="28" fillId="0" borderId="0" xfId="119" applyNumberFormat="1" applyFont="1" applyBorder="1"/>
    <xf numFmtId="41" fontId="29" fillId="0" borderId="0" xfId="119" applyNumberFormat="1" applyFont="1" applyBorder="1"/>
    <xf numFmtId="41" fontId="16" fillId="0" borderId="0" xfId="119" applyNumberFormat="1" applyFont="1" applyBorder="1"/>
    <xf numFmtId="9" fontId="29" fillId="0" borderId="21" xfId="130" applyNumberFormat="1" applyFont="1" applyBorder="1"/>
    <xf numFmtId="39" fontId="16" fillId="0" borderId="0" xfId="119" applyNumberFormat="1" applyFont="1" applyBorder="1"/>
    <xf numFmtId="5" fontId="16" fillId="0" borderId="0" xfId="119" applyNumberFormat="1" applyFont="1" applyAlignment="1">
      <alignment horizontal="right"/>
    </xf>
    <xf numFmtId="166" fontId="16" fillId="0" borderId="29" xfId="126" applyNumberFormat="1" applyFont="1" applyBorder="1" applyAlignment="1">
      <alignment horizontal="right"/>
    </xf>
    <xf numFmtId="5" fontId="16" fillId="0" borderId="29" xfId="119" applyNumberFormat="1" applyFont="1" applyBorder="1" applyAlignment="1">
      <alignment horizontal="right"/>
    </xf>
    <xf numFmtId="7" fontId="16" fillId="0" borderId="29" xfId="119" applyNumberFormat="1" applyFont="1" applyBorder="1" applyAlignment="1">
      <alignment horizontal="right"/>
    </xf>
    <xf numFmtId="5" fontId="21" fillId="18" borderId="24" xfId="0" quotePrefix="1" applyNumberFormat="1" applyFont="1" applyFill="1" applyBorder="1" applyAlignment="1">
      <alignment horizontal="right"/>
    </xf>
    <xf numFmtId="7" fontId="21" fillId="18" borderId="24" xfId="0" quotePrefix="1" applyNumberFormat="1" applyFont="1" applyFill="1" applyBorder="1" applyAlignment="1">
      <alignment horizontal="right"/>
    </xf>
    <xf numFmtId="169" fontId="28" fillId="0" borderId="29" xfId="119" applyNumberFormat="1" applyFont="1" applyFill="1" applyBorder="1"/>
    <xf numFmtId="37" fontId="3" fillId="0" borderId="0" xfId="0" applyFont="1" applyAlignment="1">
      <alignment horizontal="right"/>
    </xf>
    <xf numFmtId="9" fontId="36" fillId="0" borderId="0" xfId="0" applyNumberFormat="1" applyFont="1" applyBorder="1" applyAlignment="1">
      <alignment horizontal="center"/>
    </xf>
    <xf numFmtId="7" fontId="36" fillId="18" borderId="56" xfId="79" applyNumberFormat="1" applyFont="1" applyFill="1" applyBorder="1" applyAlignment="1">
      <alignment horizontal="right"/>
    </xf>
    <xf numFmtId="7" fontId="36" fillId="18" borderId="24" xfId="79" applyNumberFormat="1" applyFont="1" applyFill="1" applyBorder="1" applyAlignment="1">
      <alignment horizontal="right"/>
    </xf>
    <xf numFmtId="9" fontId="36" fillId="0" borderId="20" xfId="0" applyNumberFormat="1" applyFont="1" applyFill="1" applyBorder="1" applyAlignment="1">
      <alignment horizontal="center"/>
    </xf>
    <xf numFmtId="9" fontId="36" fillId="0" borderId="21" xfId="0" applyNumberFormat="1" applyFont="1" applyFill="1" applyBorder="1" applyAlignment="1">
      <alignment horizontal="center"/>
    </xf>
    <xf numFmtId="39" fontId="21" fillId="0" borderId="0" xfId="0" applyNumberFormat="1" applyFont="1" applyFill="1" applyBorder="1" applyAlignment="1">
      <alignment horizontal="center"/>
    </xf>
    <xf numFmtId="5" fontId="16" fillId="0" borderId="0" xfId="119" applyNumberFormat="1" applyFont="1" applyBorder="1" applyAlignment="1">
      <alignment horizontal="right"/>
    </xf>
    <xf numFmtId="39" fontId="16" fillId="0" borderId="0" xfId="119" applyNumberFormat="1" applyFont="1" applyFill="1" applyBorder="1"/>
    <xf numFmtId="10" fontId="26" fillId="0" borderId="0" xfId="0" quotePrefix="1" applyNumberFormat="1" applyFont="1" applyFill="1" applyBorder="1" applyAlignment="1">
      <alignment horizontal="right"/>
    </xf>
    <xf numFmtId="37" fontId="95" fillId="0" borderId="0" xfId="119" applyFont="1" applyFill="1" applyBorder="1"/>
    <xf numFmtId="37" fontId="16" fillId="19" borderId="56" xfId="0" applyFont="1" applyFill="1" applyBorder="1" applyAlignment="1">
      <alignment horizontal="left"/>
    </xf>
    <xf numFmtId="37" fontId="21" fillId="0" borderId="29" xfId="0" applyFont="1" applyFill="1" applyBorder="1"/>
    <xf numFmtId="41" fontId="26" fillId="0" borderId="20" xfId="0" applyNumberFormat="1" applyFont="1" applyFill="1" applyBorder="1"/>
    <xf numFmtId="41" fontId="28" fillId="0" borderId="20" xfId="0" applyNumberFormat="1" applyFont="1" applyFill="1" applyBorder="1"/>
    <xf numFmtId="37" fontId="21" fillId="0" borderId="20" xfId="0" applyFont="1" applyFill="1" applyBorder="1"/>
    <xf numFmtId="41" fontId="29" fillId="0" borderId="20" xfId="0" applyNumberFormat="1" applyFont="1" applyFill="1" applyBorder="1"/>
    <xf numFmtId="41" fontId="16" fillId="0" borderId="21" xfId="0" applyNumberFormat="1" applyFont="1" applyFill="1" applyBorder="1"/>
    <xf numFmtId="0" fontId="27" fillId="0" borderId="0" xfId="0" applyNumberFormat="1" applyFont="1" applyFill="1" applyAlignment="1">
      <alignment horizontal="left" indent="1"/>
    </xf>
    <xf numFmtId="41" fontId="21" fillId="0" borderId="20" xfId="0" applyNumberFormat="1" applyFont="1" applyFill="1" applyBorder="1"/>
    <xf numFmtId="0" fontId="16" fillId="0" borderId="20" xfId="0" applyNumberFormat="1" applyFont="1" applyFill="1" applyBorder="1" applyAlignment="1">
      <alignment horizontal="left"/>
    </xf>
    <xf numFmtId="0" fontId="21" fillId="0" borderId="20" xfId="0" applyNumberFormat="1" applyFont="1" applyFill="1" applyBorder="1" applyAlignment="1">
      <alignment horizontal="left"/>
    </xf>
    <xf numFmtId="0" fontId="16" fillId="0" borderId="20" xfId="0" applyNumberFormat="1" applyFont="1" applyFill="1" applyBorder="1" applyAlignment="1"/>
    <xf numFmtId="0" fontId="21" fillId="0" borderId="20" xfId="0" applyNumberFormat="1" applyFont="1" applyFill="1" applyBorder="1" applyAlignment="1"/>
    <xf numFmtId="0" fontId="26" fillId="0" borderId="20" xfId="0" applyNumberFormat="1" applyFont="1" applyFill="1" applyBorder="1" applyAlignment="1">
      <alignment horizontal="left"/>
    </xf>
    <xf numFmtId="37" fontId="16" fillId="18" borderId="23" xfId="0" applyFont="1" applyFill="1" applyBorder="1" applyAlignment="1">
      <alignment horizontal="left"/>
    </xf>
    <xf numFmtId="37" fontId="16" fillId="18" borderId="55" xfId="0" applyFont="1" applyFill="1" applyBorder="1"/>
    <xf numFmtId="37" fontId="16" fillId="18" borderId="23" xfId="0" applyFont="1" applyFill="1" applyBorder="1"/>
    <xf numFmtId="41" fontId="21" fillId="18" borderId="55" xfId="0" applyNumberFormat="1" applyFont="1" applyFill="1" applyBorder="1"/>
    <xf numFmtId="37" fontId="29" fillId="0" borderId="0" xfId="0" applyFont="1" applyFill="1" applyBorder="1" applyAlignment="1">
      <alignment horizontal="left"/>
    </xf>
    <xf numFmtId="37" fontId="29" fillId="0" borderId="29" xfId="0" applyFont="1" applyFill="1" applyBorder="1"/>
    <xf numFmtId="37" fontId="29" fillId="0" borderId="0" xfId="0" applyFont="1" applyFill="1" applyBorder="1"/>
    <xf numFmtId="0" fontId="29" fillId="0" borderId="20" xfId="0" applyNumberFormat="1" applyFont="1" applyFill="1" applyBorder="1" applyAlignment="1"/>
    <xf numFmtId="0" fontId="29" fillId="0" borderId="20" xfId="0" applyNumberFormat="1" applyFont="1" applyBorder="1"/>
    <xf numFmtId="37" fontId="21" fillId="18" borderId="55" xfId="0" applyFont="1" applyFill="1" applyBorder="1"/>
    <xf numFmtId="37" fontId="16" fillId="0" borderId="23" xfId="0" applyFont="1" applyBorder="1"/>
    <xf numFmtId="171" fontId="21" fillId="19" borderId="70" xfId="0" applyNumberFormat="1" applyFont="1" applyFill="1" applyBorder="1" applyAlignment="1">
      <alignment horizontal="right"/>
    </xf>
    <xf numFmtId="171" fontId="21" fillId="19" borderId="36" xfId="0" applyNumberFormat="1" applyFont="1" applyFill="1" applyBorder="1" applyAlignment="1">
      <alignment horizontal="right"/>
    </xf>
    <xf numFmtId="183" fontId="26" fillId="0" borderId="0" xfId="126" applyNumberFormat="1" applyFont="1" applyFill="1" applyBorder="1"/>
    <xf numFmtId="171" fontId="21" fillId="19" borderId="24" xfId="0" applyNumberFormat="1" applyFont="1" applyFill="1" applyBorder="1" applyAlignment="1">
      <alignment horizontal="right"/>
    </xf>
    <xf numFmtId="37" fontId="16" fillId="0" borderId="55" xfId="0" applyFont="1" applyBorder="1"/>
    <xf numFmtId="183" fontId="26" fillId="18" borderId="23" xfId="0" applyNumberFormat="1" applyFont="1" applyFill="1" applyBorder="1" applyAlignment="1">
      <alignment horizontal="right"/>
    </xf>
    <xf numFmtId="183" fontId="36" fillId="18" borderId="23" xfId="0" applyNumberFormat="1" applyFont="1" applyFill="1" applyBorder="1" applyAlignment="1">
      <alignment horizontal="right"/>
    </xf>
    <xf numFmtId="0" fontId="21" fillId="0" borderId="0" xfId="0" applyNumberFormat="1" applyFont="1" applyAlignment="1"/>
    <xf numFmtId="166" fontId="16" fillId="0" borderId="29" xfId="126" applyNumberFormat="1" applyFont="1" applyFill="1" applyBorder="1"/>
    <xf numFmtId="37" fontId="19" fillId="0" borderId="11" xfId="0" applyNumberFormat="1" applyFont="1" applyFill="1" applyBorder="1"/>
    <xf numFmtId="37" fontId="16" fillId="0" borderId="11" xfId="0" applyNumberFormat="1" applyFont="1" applyFill="1" applyBorder="1"/>
    <xf numFmtId="37" fontId="19" fillId="0" borderId="35" xfId="0" applyNumberFormat="1" applyFont="1" applyFill="1" applyBorder="1"/>
    <xf numFmtId="37" fontId="19" fillId="18" borderId="23" xfId="0" applyNumberFormat="1" applyFont="1" applyFill="1" applyBorder="1"/>
    <xf numFmtId="37" fontId="16" fillId="18" borderId="23" xfId="0" applyNumberFormat="1" applyFont="1" applyFill="1" applyBorder="1"/>
    <xf numFmtId="166" fontId="21" fillId="18" borderId="23" xfId="126" applyNumberFormat="1" applyFont="1" applyFill="1" applyBorder="1"/>
    <xf numFmtId="166" fontId="21" fillId="18" borderId="55" xfId="126" applyNumberFormat="1" applyFont="1" applyFill="1" applyBorder="1"/>
    <xf numFmtId="5" fontId="16" fillId="0" borderId="0" xfId="0" applyNumberFormat="1" applyFont="1" applyFill="1" applyBorder="1"/>
    <xf numFmtId="5" fontId="16" fillId="0" borderId="0" xfId="0" applyNumberFormat="1" applyFont="1" applyFill="1"/>
    <xf numFmtId="5" fontId="16" fillId="0" borderId="29" xfId="0" applyNumberFormat="1" applyFont="1" applyFill="1" applyBorder="1"/>
    <xf numFmtId="5" fontId="16" fillId="0" borderId="21" xfId="0" applyNumberFormat="1" applyFont="1" applyFill="1" applyBorder="1"/>
    <xf numFmtId="37" fontId="96" fillId="0" borderId="29" xfId="0" applyFont="1" applyFill="1" applyBorder="1"/>
    <xf numFmtId="166" fontId="97" fillId="0" borderId="0" xfId="126" applyNumberFormat="1" applyFont="1" applyFill="1" applyBorder="1"/>
    <xf numFmtId="5" fontId="96" fillId="0" borderId="29" xfId="0" applyNumberFormat="1" applyFont="1" applyFill="1" applyBorder="1"/>
    <xf numFmtId="166" fontId="97" fillId="0" borderId="29" xfId="126" applyNumberFormat="1" applyFont="1" applyFill="1" applyBorder="1"/>
    <xf numFmtId="37" fontId="96" fillId="0" borderId="0" xfId="0" applyNumberFormat="1" applyFont="1" applyFill="1" applyBorder="1"/>
    <xf numFmtId="37" fontId="96" fillId="18" borderId="23" xfId="0" applyNumberFormat="1" applyFont="1" applyFill="1" applyBorder="1"/>
    <xf numFmtId="37" fontId="96" fillId="18" borderId="55" xfId="0" applyFont="1" applyFill="1" applyBorder="1"/>
    <xf numFmtId="166" fontId="97" fillId="18" borderId="23" xfId="126" applyNumberFormat="1" applyFont="1" applyFill="1" applyBorder="1"/>
    <xf numFmtId="5" fontId="96" fillId="18" borderId="55" xfId="0" applyNumberFormat="1" applyFont="1" applyFill="1" applyBorder="1"/>
    <xf numFmtId="9" fontId="26" fillId="0" borderId="0" xfId="0" applyNumberFormat="1" applyFont="1" applyFill="1"/>
    <xf numFmtId="9" fontId="16" fillId="0" borderId="29" xfId="0" applyNumberFormat="1" applyFont="1" applyFill="1" applyBorder="1"/>
    <xf numFmtId="9" fontId="19" fillId="0" borderId="29" xfId="126" applyFont="1" applyFill="1" applyBorder="1"/>
    <xf numFmtId="9" fontId="16" fillId="0" borderId="0" xfId="0" applyNumberFormat="1" applyFont="1" applyFill="1"/>
    <xf numFmtId="166" fontId="64" fillId="0" borderId="11" xfId="126" applyNumberFormat="1" applyFont="1" applyFill="1" applyBorder="1"/>
    <xf numFmtId="166" fontId="64" fillId="0" borderId="35" xfId="126" applyNumberFormat="1" applyFont="1" applyFill="1" applyBorder="1"/>
    <xf numFmtId="5" fontId="26" fillId="0" borderId="0" xfId="0" applyNumberFormat="1" applyFont="1" applyFill="1" applyBorder="1"/>
    <xf numFmtId="5" fontId="26" fillId="0" borderId="0" xfId="0" applyNumberFormat="1" applyFont="1" applyFill="1"/>
    <xf numFmtId="5" fontId="19" fillId="0" borderId="29" xfId="79" applyNumberFormat="1" applyFont="1" applyFill="1" applyBorder="1"/>
    <xf numFmtId="5" fontId="26" fillId="0" borderId="0" xfId="79" applyNumberFormat="1" applyFont="1" applyFill="1"/>
    <xf numFmtId="5" fontId="16" fillId="0" borderId="0" xfId="79" applyNumberFormat="1" applyFont="1" applyFill="1"/>
    <xf numFmtId="5" fontId="16" fillId="0" borderId="29" xfId="79" applyNumberFormat="1" applyFont="1" applyFill="1" applyBorder="1"/>
    <xf numFmtId="37" fontId="26" fillId="0" borderId="0" xfId="0" applyNumberFormat="1" applyFont="1" applyFill="1"/>
    <xf numFmtId="37" fontId="26" fillId="0" borderId="0" xfId="0" applyNumberFormat="1" applyFont="1" applyFill="1" applyBorder="1"/>
    <xf numFmtId="180" fontId="19" fillId="0" borderId="29" xfId="77" applyNumberFormat="1" applyFont="1" applyFill="1" applyBorder="1"/>
    <xf numFmtId="37" fontId="26" fillId="0" borderId="0" xfId="0" applyFont="1" applyFill="1"/>
    <xf numFmtId="5" fontId="21" fillId="0" borderId="0" xfId="0" applyNumberFormat="1" applyFont="1" applyFill="1" applyBorder="1"/>
    <xf numFmtId="5" fontId="21" fillId="0" borderId="29" xfId="0" applyNumberFormat="1" applyFont="1" applyFill="1" applyBorder="1"/>
    <xf numFmtId="37" fontId="16" fillId="0" borderId="35" xfId="0" applyNumberFormat="1" applyFont="1" applyFill="1" applyBorder="1"/>
    <xf numFmtId="166" fontId="21" fillId="0" borderId="29" xfId="126" applyNumberFormat="1" applyFont="1" applyFill="1" applyBorder="1"/>
    <xf numFmtId="0" fontId="20" fillId="0" borderId="0" xfId="0" applyNumberFormat="1" applyFont="1" applyFill="1" applyBorder="1" applyAlignment="1">
      <alignment horizontal="right"/>
    </xf>
    <xf numFmtId="0" fontId="20" fillId="0" borderId="29" xfId="0" applyNumberFormat="1" applyFont="1" applyFill="1" applyBorder="1" applyAlignment="1">
      <alignment horizontal="right"/>
    </xf>
    <xf numFmtId="0" fontId="20" fillId="0" borderId="36" xfId="0" applyNumberFormat="1" applyFont="1" applyFill="1" applyBorder="1" applyAlignment="1">
      <alignment horizontal="right"/>
    </xf>
    <xf numFmtId="0" fontId="20" fillId="0" borderId="26" xfId="0" applyNumberFormat="1" applyFont="1" applyFill="1" applyBorder="1" applyAlignment="1">
      <alignment horizontal="right"/>
    </xf>
    <xf numFmtId="0" fontId="20" fillId="0" borderId="21" xfId="0" applyNumberFormat="1" applyFont="1" applyFill="1" applyBorder="1" applyAlignment="1">
      <alignment horizontal="right"/>
    </xf>
    <xf numFmtId="180" fontId="19" fillId="0" borderId="29" xfId="0" applyNumberFormat="1" applyFont="1" applyFill="1" applyBorder="1"/>
    <xf numFmtId="180" fontId="16" fillId="0" borderId="29" xfId="0" applyNumberFormat="1" applyFont="1" applyFill="1" applyBorder="1"/>
    <xf numFmtId="37" fontId="35" fillId="0" borderId="0" xfId="0" applyNumberFormat="1" applyFont="1" applyFill="1" applyBorder="1"/>
    <xf numFmtId="37" fontId="29" fillId="0" borderId="29" xfId="0" applyNumberFormat="1" applyFont="1" applyFill="1" applyBorder="1"/>
    <xf numFmtId="37" fontId="35" fillId="0" borderId="29" xfId="0" applyNumberFormat="1" applyFont="1" applyFill="1" applyBorder="1"/>
    <xf numFmtId="37" fontId="29" fillId="0" borderId="0" xfId="0" applyNumberFormat="1" applyFont="1" applyFill="1" applyBorder="1"/>
    <xf numFmtId="180" fontId="35" fillId="0" borderId="29" xfId="0" applyNumberFormat="1" applyFont="1" applyFill="1" applyBorder="1"/>
    <xf numFmtId="180" fontId="29" fillId="0" borderId="29" xfId="0" applyNumberFormat="1" applyFont="1" applyFill="1" applyBorder="1"/>
    <xf numFmtId="9" fontId="16" fillId="0" borderId="29" xfId="126" applyFont="1" applyFill="1" applyBorder="1"/>
    <xf numFmtId="0" fontId="20" fillId="19" borderId="23" xfId="0" applyNumberFormat="1" applyFont="1" applyFill="1" applyBorder="1" applyAlignment="1">
      <alignment horizontal="right"/>
    </xf>
    <xf numFmtId="0" fontId="20" fillId="19" borderId="55" xfId="0" applyNumberFormat="1" applyFont="1" applyFill="1" applyBorder="1" applyAlignment="1">
      <alignment horizontal="right"/>
    </xf>
    <xf numFmtId="166" fontId="16" fillId="0" borderId="0" xfId="0" applyNumberFormat="1" applyFont="1" applyFill="1"/>
    <xf numFmtId="183" fontId="35" fillId="0" borderId="29" xfId="0" applyNumberFormat="1" applyFont="1" applyFill="1" applyBorder="1"/>
    <xf numFmtId="183" fontId="20" fillId="0" borderId="29" xfId="0" applyNumberFormat="1" applyFont="1" applyFill="1" applyBorder="1"/>
    <xf numFmtId="9" fontId="29" fillId="0" borderId="0" xfId="126" applyFont="1" applyFill="1" applyBorder="1"/>
    <xf numFmtId="9" fontId="29" fillId="0" borderId="29" xfId="126" applyFont="1" applyFill="1" applyBorder="1"/>
    <xf numFmtId="9" fontId="21" fillId="0" borderId="0" xfId="126" applyFont="1" applyFill="1" applyBorder="1"/>
    <xf numFmtId="37" fontId="20" fillId="0" borderId="29" xfId="0" applyNumberFormat="1" applyFont="1" applyFill="1" applyBorder="1"/>
    <xf numFmtId="9" fontId="21" fillId="0" borderId="29" xfId="126" applyFont="1" applyFill="1" applyBorder="1"/>
    <xf numFmtId="37" fontId="16" fillId="18" borderId="55" xfId="0" applyNumberFormat="1" applyFont="1" applyFill="1" applyBorder="1"/>
    <xf numFmtId="171" fontId="21" fillId="0" borderId="29" xfId="0" applyNumberFormat="1" applyFont="1" applyFill="1" applyBorder="1" applyAlignment="1">
      <alignment horizontal="right"/>
    </xf>
    <xf numFmtId="180" fontId="16" fillId="0" borderId="29" xfId="0" applyNumberFormat="1" applyFont="1" applyBorder="1"/>
    <xf numFmtId="180" fontId="29" fillId="0" borderId="29" xfId="0" applyNumberFormat="1" applyFont="1" applyBorder="1"/>
    <xf numFmtId="180" fontId="21" fillId="0" borderId="29" xfId="0" applyNumberFormat="1" applyFont="1" applyBorder="1"/>
    <xf numFmtId="37" fontId="27" fillId="0" borderId="29" xfId="0" applyFont="1" applyBorder="1"/>
    <xf numFmtId="37" fontId="63" fillId="0" borderId="29" xfId="0" applyFont="1" applyBorder="1"/>
    <xf numFmtId="180" fontId="16" fillId="0" borderId="29" xfId="77" applyNumberFormat="1" applyFont="1" applyFill="1" applyBorder="1"/>
    <xf numFmtId="180" fontId="16" fillId="0" borderId="0" xfId="77" applyNumberFormat="1" applyFont="1" applyFill="1" applyBorder="1"/>
    <xf numFmtId="166" fontId="26" fillId="0" borderId="0" xfId="0" applyNumberFormat="1" applyFont="1" applyBorder="1"/>
    <xf numFmtId="166" fontId="16" fillId="0" borderId="29" xfId="0" applyNumberFormat="1" applyFont="1" applyFill="1" applyBorder="1" applyAlignment="1">
      <alignment horizontal="right"/>
    </xf>
    <xf numFmtId="166" fontId="26" fillId="0" borderId="0" xfId="0" applyNumberFormat="1" applyFont="1" applyFill="1" applyBorder="1"/>
    <xf numFmtId="37" fontId="26" fillId="0" borderId="0" xfId="0" applyNumberFormat="1" applyFont="1" applyBorder="1"/>
    <xf numFmtId="37" fontId="16" fillId="0" borderId="0" xfId="0" applyFont="1" applyBorder="1" applyAlignment="1">
      <alignment horizontal="right"/>
    </xf>
    <xf numFmtId="37" fontId="26" fillId="0" borderId="0" xfId="0" applyFont="1" applyFill="1" applyBorder="1"/>
    <xf numFmtId="9" fontId="26" fillId="0" borderId="0" xfId="0" applyNumberFormat="1" applyFont="1" applyBorder="1"/>
    <xf numFmtId="9" fontId="26" fillId="0" borderId="0" xfId="126" applyFont="1" applyFill="1" applyBorder="1"/>
    <xf numFmtId="5" fontId="100" fillId="0" borderId="0" xfId="0" applyNumberFormat="1" applyFont="1" applyFill="1" applyBorder="1"/>
    <xf numFmtId="37" fontId="100" fillId="0" borderId="29" xfId="0" applyFont="1" applyFill="1" applyBorder="1"/>
    <xf numFmtId="166" fontId="101" fillId="0" borderId="0" xfId="126" applyNumberFormat="1" applyFont="1" applyFill="1" applyBorder="1"/>
    <xf numFmtId="5" fontId="100" fillId="0" borderId="29" xfId="0" applyNumberFormat="1" applyFont="1" applyFill="1" applyBorder="1"/>
    <xf numFmtId="166" fontId="101" fillId="0" borderId="29" xfId="126" applyNumberFormat="1" applyFont="1" applyFill="1" applyBorder="1"/>
    <xf numFmtId="166" fontId="99" fillId="0" borderId="29" xfId="126" applyNumberFormat="1" applyFont="1" applyFill="1" applyBorder="1"/>
    <xf numFmtId="166" fontId="99" fillId="0" borderId="0" xfId="126" applyNumberFormat="1" applyFont="1" applyFill="1" applyBorder="1"/>
    <xf numFmtId="5" fontId="16" fillId="0" borderId="29" xfId="77" applyNumberFormat="1" applyFont="1" applyFill="1" applyBorder="1"/>
    <xf numFmtId="5" fontId="16" fillId="0" borderId="0" xfId="77" applyNumberFormat="1" applyFont="1" applyFill="1" applyBorder="1"/>
    <xf numFmtId="166" fontId="64" fillId="0" borderId="21" xfId="126" applyNumberFormat="1" applyFont="1" applyFill="1" applyBorder="1"/>
    <xf numFmtId="5" fontId="21" fillId="18" borderId="23" xfId="77" applyNumberFormat="1" applyFont="1" applyFill="1" applyBorder="1"/>
    <xf numFmtId="5" fontId="21" fillId="18" borderId="55" xfId="77" applyNumberFormat="1" applyFont="1" applyFill="1" applyBorder="1"/>
    <xf numFmtId="9" fontId="21" fillId="18" borderId="23" xfId="126" applyFont="1" applyFill="1" applyBorder="1"/>
    <xf numFmtId="9" fontId="21" fillId="18" borderId="55" xfId="126" applyFont="1" applyFill="1" applyBorder="1"/>
    <xf numFmtId="9" fontId="36" fillId="18" borderId="23" xfId="126" applyFont="1" applyFill="1" applyBorder="1"/>
    <xf numFmtId="9" fontId="26" fillId="18" borderId="23" xfId="126" applyFont="1" applyFill="1" applyBorder="1"/>
    <xf numFmtId="5" fontId="16" fillId="0" borderId="29" xfId="77" applyNumberFormat="1" applyFont="1" applyFill="1" applyBorder="1" applyAlignment="1"/>
    <xf numFmtId="37" fontId="26" fillId="18" borderId="23" xfId="0" applyNumberFormat="1" applyFont="1" applyFill="1" applyBorder="1"/>
    <xf numFmtId="37" fontId="26" fillId="18" borderId="24" xfId="0" applyNumberFormat="1" applyFont="1" applyFill="1" applyBorder="1"/>
    <xf numFmtId="5" fontId="36" fillId="18" borderId="23" xfId="0" applyNumberFormat="1" applyFont="1" applyFill="1" applyBorder="1"/>
    <xf numFmtId="0" fontId="21" fillId="0" borderId="20" xfId="0" applyNumberFormat="1" applyFont="1" applyBorder="1" applyAlignment="1"/>
    <xf numFmtId="0" fontId="16" fillId="0" borderId="20" xfId="0" applyNumberFormat="1" applyFont="1" applyFill="1" applyBorder="1" applyAlignment="1">
      <alignment horizontal="left" indent="1"/>
    </xf>
    <xf numFmtId="9" fontId="26" fillId="0" borderId="0" xfId="126" applyNumberFormat="1" applyFont="1" applyFill="1" applyBorder="1"/>
    <xf numFmtId="5" fontId="26" fillId="0" borderId="0" xfId="77" applyNumberFormat="1" applyFont="1" applyFill="1" applyBorder="1" applyAlignment="1"/>
    <xf numFmtId="180" fontId="26" fillId="0" borderId="0" xfId="77" applyNumberFormat="1" applyFont="1" applyFill="1" applyBorder="1"/>
    <xf numFmtId="5" fontId="19" fillId="0" borderId="29" xfId="0" applyNumberFormat="1" applyFont="1" applyFill="1" applyBorder="1"/>
    <xf numFmtId="5" fontId="21" fillId="18" borderId="23" xfId="126" applyNumberFormat="1" applyFont="1" applyFill="1" applyBorder="1"/>
    <xf numFmtId="5" fontId="21" fillId="18" borderId="55" xfId="126" applyNumberFormat="1" applyFont="1" applyFill="1" applyBorder="1"/>
    <xf numFmtId="3" fontId="16" fillId="0" borderId="0" xfId="0" applyNumberFormat="1" applyFont="1" applyFill="1"/>
    <xf numFmtId="37" fontId="19" fillId="0" borderId="29" xfId="79" applyNumberFormat="1" applyFont="1" applyFill="1" applyBorder="1"/>
    <xf numFmtId="5" fontId="20" fillId="0" borderId="29" xfId="0" applyNumberFormat="1" applyFont="1" applyFill="1" applyBorder="1"/>
    <xf numFmtId="0" fontId="27" fillId="0" borderId="20" xfId="0" applyNumberFormat="1" applyFont="1" applyBorder="1" applyAlignment="1">
      <alignment horizontal="left" indent="1"/>
    </xf>
    <xf numFmtId="180" fontId="21" fillId="0" borderId="21" xfId="0" applyNumberFormat="1" applyFont="1" applyBorder="1"/>
    <xf numFmtId="5" fontId="20" fillId="0" borderId="0" xfId="0" applyNumberFormat="1" applyFont="1" applyFill="1" applyBorder="1" applyAlignment="1">
      <alignment horizontal="right"/>
    </xf>
    <xf numFmtId="5" fontId="20" fillId="0" borderId="29" xfId="0" applyNumberFormat="1" applyFont="1" applyFill="1" applyBorder="1" applyAlignment="1">
      <alignment horizontal="right"/>
    </xf>
    <xf numFmtId="0" fontId="20" fillId="18" borderId="23" xfId="0" applyNumberFormat="1" applyFont="1" applyFill="1" applyBorder="1" applyAlignment="1">
      <alignment horizontal="right"/>
    </xf>
    <xf numFmtId="0" fontId="20" fillId="18" borderId="55" xfId="0" applyNumberFormat="1" applyFont="1" applyFill="1" applyBorder="1" applyAlignment="1">
      <alignment horizontal="right"/>
    </xf>
    <xf numFmtId="5" fontId="20" fillId="18" borderId="23" xfId="0" applyNumberFormat="1" applyFont="1" applyFill="1" applyBorder="1" applyAlignment="1">
      <alignment horizontal="right"/>
    </xf>
    <xf numFmtId="5" fontId="20" fillId="18" borderId="55" xfId="0" applyNumberFormat="1" applyFont="1" applyFill="1" applyBorder="1" applyAlignment="1">
      <alignment horizontal="right"/>
    </xf>
    <xf numFmtId="9" fontId="29" fillId="0" borderId="21" xfId="126" applyFont="1" applyFill="1" applyBorder="1"/>
    <xf numFmtId="0" fontId="29" fillId="0" borderId="20" xfId="0" applyNumberFormat="1" applyFont="1" applyFill="1" applyBorder="1" applyAlignment="1">
      <alignment horizontal="left"/>
    </xf>
    <xf numFmtId="9" fontId="21" fillId="0" borderId="21" xfId="126" applyFont="1" applyFill="1" applyBorder="1"/>
    <xf numFmtId="37" fontId="27" fillId="0" borderId="0" xfId="0" applyFont="1" applyBorder="1"/>
    <xf numFmtId="9" fontId="16" fillId="0" borderId="21" xfId="126" applyFont="1" applyBorder="1"/>
    <xf numFmtId="9" fontId="29" fillId="0" borderId="21" xfId="126" applyFont="1" applyBorder="1"/>
    <xf numFmtId="37" fontId="63" fillId="0" borderId="0" xfId="0" applyFont="1" applyBorder="1"/>
    <xf numFmtId="9" fontId="21" fillId="0" borderId="0" xfId="126" applyNumberFormat="1" applyFont="1" applyBorder="1"/>
    <xf numFmtId="9" fontId="21" fillId="0" borderId="21" xfId="126" applyNumberFormat="1" applyFont="1" applyBorder="1"/>
    <xf numFmtId="180" fontId="16" fillId="0" borderId="0" xfId="0" applyNumberFormat="1" applyFont="1" applyBorder="1"/>
    <xf numFmtId="180" fontId="26" fillId="0" borderId="0" xfId="0" applyNumberFormat="1" applyFont="1" applyBorder="1"/>
    <xf numFmtId="180" fontId="26" fillId="0" borderId="0" xfId="0" applyNumberFormat="1" applyFont="1" applyFill="1" applyBorder="1"/>
    <xf numFmtId="180" fontId="29" fillId="0" borderId="0" xfId="0" applyNumberFormat="1" applyFont="1" applyBorder="1"/>
    <xf numFmtId="180" fontId="28" fillId="0" borderId="0" xfId="0" applyNumberFormat="1" applyFont="1" applyBorder="1"/>
    <xf numFmtId="180" fontId="28" fillId="0" borderId="0" xfId="0" applyNumberFormat="1" applyFont="1" applyFill="1" applyBorder="1"/>
    <xf numFmtId="180" fontId="21" fillId="0" borderId="0" xfId="0" applyNumberFormat="1" applyFont="1" applyBorder="1"/>
    <xf numFmtId="0" fontId="27" fillId="0" borderId="20" xfId="0" applyNumberFormat="1" applyFont="1" applyFill="1" applyBorder="1" applyAlignment="1">
      <alignment horizontal="left" indent="1"/>
    </xf>
    <xf numFmtId="0" fontId="27" fillId="0" borderId="25" xfId="0" applyNumberFormat="1" applyFont="1" applyFill="1" applyBorder="1" applyAlignment="1">
      <alignment horizontal="left" indent="1"/>
    </xf>
    <xf numFmtId="180" fontId="21" fillId="0" borderId="11" xfId="0" applyNumberFormat="1" applyFont="1" applyBorder="1"/>
    <xf numFmtId="180" fontId="21" fillId="0" borderId="35" xfId="0" applyNumberFormat="1" applyFont="1" applyBorder="1"/>
    <xf numFmtId="9" fontId="16" fillId="0" borderId="11" xfId="126" applyFont="1" applyBorder="1"/>
    <xf numFmtId="9" fontId="16" fillId="0" borderId="35" xfId="126" applyFont="1" applyBorder="1"/>
    <xf numFmtId="9" fontId="21" fillId="0" borderId="29" xfId="126" applyNumberFormat="1" applyFont="1" applyBorder="1"/>
    <xf numFmtId="9" fontId="29" fillId="0" borderId="29" xfId="126" applyFont="1" applyBorder="1"/>
    <xf numFmtId="166" fontId="27" fillId="0" borderId="21" xfId="126" applyNumberFormat="1" applyFont="1" applyBorder="1"/>
    <xf numFmtId="180" fontId="16" fillId="0" borderId="21" xfId="0" applyNumberFormat="1" applyFont="1" applyBorder="1"/>
    <xf numFmtId="180" fontId="29" fillId="0" borderId="21" xfId="0" applyNumberFormat="1" applyFont="1" applyBorder="1"/>
    <xf numFmtId="0" fontId="21" fillId="0" borderId="25" xfId="0" applyNumberFormat="1" applyFont="1" applyFill="1" applyBorder="1" applyAlignment="1"/>
    <xf numFmtId="9" fontId="21" fillId="0" borderId="11" xfId="126" applyFont="1" applyFill="1" applyBorder="1"/>
    <xf numFmtId="39" fontId="16" fillId="0" borderId="0" xfId="0" applyNumberFormat="1" applyFont="1" applyFill="1" applyBorder="1"/>
    <xf numFmtId="37" fontId="21" fillId="0" borderId="29" xfId="0" applyNumberFormat="1" applyFont="1" applyFill="1" applyBorder="1"/>
    <xf numFmtId="9" fontId="21" fillId="0" borderId="35" xfId="126" applyFont="1" applyFill="1" applyBorder="1"/>
    <xf numFmtId="9" fontId="16" fillId="0" borderId="21" xfId="0" applyNumberFormat="1" applyFont="1" applyFill="1" applyBorder="1"/>
    <xf numFmtId="166" fontId="16" fillId="0" borderId="0" xfId="0" applyNumberFormat="1" applyFont="1" applyFill="1" applyBorder="1" applyAlignment="1">
      <alignment horizontal="right"/>
    </xf>
    <xf numFmtId="37" fontId="21" fillId="18" borderId="23" xfId="0" applyNumberFormat="1" applyFont="1" applyFill="1" applyBorder="1"/>
    <xf numFmtId="0" fontId="29" fillId="0" borderId="0" xfId="0" applyNumberFormat="1" applyFont="1" applyFill="1" applyBorder="1" applyAlignment="1">
      <alignment horizontal="left"/>
    </xf>
    <xf numFmtId="37" fontId="20" fillId="18" borderId="23" xfId="0" applyNumberFormat="1" applyFont="1" applyFill="1" applyBorder="1"/>
    <xf numFmtId="37" fontId="0" fillId="0" borderId="29" xfId="0" applyBorder="1"/>
    <xf numFmtId="0" fontId="16" fillId="0" borderId="21" xfId="0" applyNumberFormat="1" applyFont="1" applyFill="1" applyBorder="1" applyAlignment="1">
      <alignment horizontal="right"/>
    </xf>
    <xf numFmtId="166" fontId="16" fillId="0" borderId="21" xfId="0" applyNumberFormat="1" applyFont="1" applyFill="1" applyBorder="1" applyAlignment="1">
      <alignment horizontal="right"/>
    </xf>
    <xf numFmtId="0" fontId="16" fillId="0" borderId="25" xfId="0" applyNumberFormat="1" applyFont="1" applyFill="1" applyBorder="1" applyAlignment="1"/>
    <xf numFmtId="166" fontId="16" fillId="0" borderId="11" xfId="0" applyNumberFormat="1" applyFont="1" applyFill="1" applyBorder="1" applyAlignment="1">
      <alignment horizontal="right"/>
    </xf>
    <xf numFmtId="166" fontId="16" fillId="0" borderId="22" xfId="0" applyNumberFormat="1" applyFont="1" applyFill="1" applyBorder="1" applyAlignment="1">
      <alignment horizontal="right"/>
    </xf>
    <xf numFmtId="0" fontId="16" fillId="0" borderId="29" xfId="0" applyNumberFormat="1" applyFont="1" applyFill="1" applyBorder="1" applyAlignment="1">
      <alignment horizontal="right"/>
    </xf>
    <xf numFmtId="166" fontId="16" fillId="0" borderId="35" xfId="0" applyNumberFormat="1" applyFont="1" applyFill="1" applyBorder="1" applyAlignment="1">
      <alignment horizontal="right"/>
    </xf>
    <xf numFmtId="0" fontId="20" fillId="19" borderId="24" xfId="0" applyNumberFormat="1" applyFont="1" applyFill="1" applyBorder="1" applyAlignment="1">
      <alignment horizontal="right"/>
    </xf>
    <xf numFmtId="166" fontId="36" fillId="0" borderId="0" xfId="126" applyNumberFormat="1" applyFont="1" applyFill="1" applyBorder="1"/>
    <xf numFmtId="37" fontId="26" fillId="0" borderId="0" xfId="0" applyFont="1" applyBorder="1"/>
    <xf numFmtId="9" fontId="26" fillId="0" borderId="0" xfId="126" applyFont="1" applyBorder="1"/>
    <xf numFmtId="166" fontId="36" fillId="18" borderId="23" xfId="126" applyNumberFormat="1" applyFont="1" applyFill="1" applyBorder="1"/>
    <xf numFmtId="0" fontId="27" fillId="0" borderId="20" xfId="0" applyNumberFormat="1" applyFont="1" applyFill="1" applyBorder="1" applyAlignment="1"/>
    <xf numFmtId="0" fontId="25" fillId="0" borderId="20" xfId="0" applyNumberFormat="1" applyFont="1" applyFill="1" applyBorder="1" applyAlignment="1"/>
    <xf numFmtId="0" fontId="21" fillId="0" borderId="20" xfId="0" applyNumberFormat="1" applyFont="1" applyBorder="1"/>
    <xf numFmtId="0" fontId="16" fillId="0" borderId="25" xfId="0" applyNumberFormat="1" applyFont="1" applyBorder="1"/>
    <xf numFmtId="0" fontId="21" fillId="0" borderId="0" xfId="0" applyNumberFormat="1" applyFont="1" applyAlignment="1">
      <alignment horizontal="left" indent="1"/>
    </xf>
    <xf numFmtId="37" fontId="21" fillId="18" borderId="55" xfId="0" applyNumberFormat="1" applyFont="1" applyFill="1" applyBorder="1"/>
    <xf numFmtId="166" fontId="16" fillId="0" borderId="35" xfId="126" applyNumberFormat="1" applyFont="1" applyFill="1" applyBorder="1"/>
    <xf numFmtId="37" fontId="20" fillId="18" borderId="55" xfId="0" applyNumberFormat="1" applyFont="1" applyFill="1" applyBorder="1"/>
    <xf numFmtId="37" fontId="19" fillId="18" borderId="55" xfId="0" applyNumberFormat="1" applyFont="1" applyFill="1" applyBorder="1"/>
    <xf numFmtId="166" fontId="16" fillId="0" borderId="11" xfId="126" applyNumberFormat="1" applyFont="1" applyFill="1" applyBorder="1"/>
    <xf numFmtId="166" fontId="64" fillId="0" borderId="0" xfId="126" applyNumberFormat="1" applyFont="1" applyFill="1"/>
    <xf numFmtId="166" fontId="27" fillId="0" borderId="21" xfId="126" applyNumberFormat="1" applyFont="1" applyFill="1" applyBorder="1"/>
    <xf numFmtId="166" fontId="27" fillId="0" borderId="36" xfId="126" applyNumberFormat="1" applyFont="1" applyFill="1" applyBorder="1"/>
    <xf numFmtId="0" fontId="29" fillId="0" borderId="29" xfId="0" applyNumberFormat="1" applyFont="1" applyFill="1" applyBorder="1" applyAlignment="1">
      <alignment horizontal="right"/>
    </xf>
    <xf numFmtId="166" fontId="29" fillId="0" borderId="0" xfId="0" applyNumberFormat="1" applyFont="1" applyFill="1" applyBorder="1" applyAlignment="1">
      <alignment horizontal="right"/>
    </xf>
    <xf numFmtId="166" fontId="29" fillId="0" borderId="29" xfId="0" applyNumberFormat="1" applyFont="1" applyFill="1" applyBorder="1" applyAlignment="1">
      <alignment horizontal="right"/>
    </xf>
    <xf numFmtId="166" fontId="29" fillId="0" borderId="21" xfId="0" applyNumberFormat="1" applyFont="1" applyFill="1" applyBorder="1" applyAlignment="1">
      <alignment horizontal="right"/>
    </xf>
    <xf numFmtId="41" fontId="21" fillId="0" borderId="21" xfId="0" applyNumberFormat="1" applyFont="1" applyFill="1" applyBorder="1"/>
    <xf numFmtId="41" fontId="29" fillId="0" borderId="21" xfId="0" applyNumberFormat="1" applyFont="1" applyFill="1" applyBorder="1"/>
    <xf numFmtId="41" fontId="21" fillId="18" borderId="56" xfId="0" applyNumberFormat="1" applyFont="1" applyFill="1" applyBorder="1"/>
    <xf numFmtId="37" fontId="27" fillId="0" borderId="36" xfId="0" applyFont="1" applyBorder="1"/>
    <xf numFmtId="37" fontId="29" fillId="0" borderId="0" xfId="0" applyFont="1" applyBorder="1"/>
    <xf numFmtId="169" fontId="27" fillId="0" borderId="25" xfId="0" applyNumberFormat="1" applyFont="1" applyBorder="1" applyAlignment="1">
      <alignment horizontal="left" indent="1"/>
    </xf>
    <xf numFmtId="37" fontId="27" fillId="0" borderId="11" xfId="0" applyFont="1" applyBorder="1"/>
    <xf numFmtId="37" fontId="16" fillId="0" borderId="22" xfId="0" applyFont="1" applyFill="1" applyBorder="1"/>
    <xf numFmtId="169" fontId="27" fillId="0" borderId="20" xfId="0" applyNumberFormat="1" applyFont="1" applyBorder="1" applyAlignment="1">
      <alignment horizontal="left" indent="1"/>
    </xf>
    <xf numFmtId="9" fontId="27" fillId="0" borderId="11" xfId="126" applyFont="1" applyBorder="1"/>
    <xf numFmtId="169" fontId="27" fillId="0" borderId="0" xfId="0" applyNumberFormat="1" applyFont="1" applyBorder="1" applyAlignment="1">
      <alignment horizontal="left" indent="1"/>
    </xf>
    <xf numFmtId="37" fontId="16" fillId="0" borderId="0" xfId="0" applyNumberFormat="1" applyFont="1" applyBorder="1" applyAlignment="1">
      <alignment horizontal="right"/>
    </xf>
    <xf numFmtId="37" fontId="16" fillId="0" borderId="29" xfId="0" applyNumberFormat="1" applyFont="1" applyBorder="1" applyAlignment="1">
      <alignment horizontal="right"/>
    </xf>
    <xf numFmtId="5" fontId="21" fillId="0" borderId="0" xfId="0" applyNumberFormat="1" applyFont="1" applyFill="1" applyBorder="1" applyAlignment="1">
      <alignment horizontal="right"/>
    </xf>
    <xf numFmtId="41" fontId="35" fillId="0" borderId="29" xfId="0" applyNumberFormat="1" applyFont="1" applyBorder="1"/>
    <xf numFmtId="0" fontId="29" fillId="0" borderId="20" xfId="0" applyNumberFormat="1" applyFont="1" applyBorder="1" applyAlignment="1"/>
    <xf numFmtId="0" fontId="26" fillId="0" borderId="20" xfId="0" applyNumberFormat="1" applyFont="1" applyBorder="1" applyAlignment="1"/>
    <xf numFmtId="37" fontId="27" fillId="0" borderId="56" xfId="0" applyFont="1" applyBorder="1" applyAlignment="1">
      <alignment horizontal="left" indent="1"/>
    </xf>
    <xf numFmtId="9" fontId="27" fillId="0" borderId="55" xfId="126" applyFont="1" applyBorder="1" applyAlignment="1">
      <alignment horizontal="right"/>
    </xf>
    <xf numFmtId="9" fontId="27" fillId="0" borderId="23" xfId="126" applyFont="1" applyBorder="1" applyAlignment="1">
      <alignment horizontal="right"/>
    </xf>
    <xf numFmtId="165" fontId="64" fillId="0" borderId="23" xfId="0" applyNumberFormat="1" applyFont="1" applyBorder="1" applyAlignment="1">
      <alignment horizontal="right"/>
    </xf>
    <xf numFmtId="5" fontId="21" fillId="18" borderId="23" xfId="0" applyNumberFormat="1" applyFont="1" applyFill="1" applyBorder="1" applyAlignment="1">
      <alignment horizontal="right"/>
    </xf>
    <xf numFmtId="5" fontId="21" fillId="18" borderId="55" xfId="0" applyNumberFormat="1" applyFont="1" applyFill="1" applyBorder="1" applyAlignment="1">
      <alignment horizontal="right"/>
    </xf>
    <xf numFmtId="0" fontId="16" fillId="0" borderId="20" xfId="0" quotePrefix="1" applyNumberFormat="1" applyFont="1" applyBorder="1" applyAlignment="1">
      <alignment horizontal="left"/>
    </xf>
    <xf numFmtId="0" fontId="29" fillId="0" borderId="20" xfId="0" quotePrefix="1" applyNumberFormat="1" applyFont="1" applyBorder="1" applyAlignment="1">
      <alignment horizontal="left"/>
    </xf>
    <xf numFmtId="9" fontId="16" fillId="0" borderId="35" xfId="0" applyNumberFormat="1" applyFont="1" applyFill="1" applyBorder="1"/>
    <xf numFmtId="0" fontId="25" fillId="0" borderId="20" xfId="0" applyNumberFormat="1" applyFont="1" applyBorder="1" applyAlignment="1"/>
    <xf numFmtId="0" fontId="16" fillId="0" borderId="20" xfId="126" applyNumberFormat="1" applyFont="1" applyBorder="1" applyAlignment="1">
      <alignment horizontal="left"/>
    </xf>
    <xf numFmtId="0" fontId="29" fillId="0" borderId="20" xfId="126" applyNumberFormat="1" applyFont="1" applyBorder="1" applyAlignment="1">
      <alignment horizontal="left"/>
    </xf>
    <xf numFmtId="166" fontId="27" fillId="0" borderId="20" xfId="126" applyNumberFormat="1" applyFont="1" applyBorder="1" applyAlignment="1"/>
    <xf numFmtId="0" fontId="31" fillId="0" borderId="20" xfId="0" applyNumberFormat="1" applyFont="1" applyBorder="1" applyAlignment="1"/>
    <xf numFmtId="0" fontId="27" fillId="0" borderId="20" xfId="126" applyNumberFormat="1" applyFont="1" applyBorder="1" applyAlignment="1"/>
    <xf numFmtId="0" fontId="27" fillId="0" borderId="25" xfId="126" applyNumberFormat="1" applyFont="1" applyBorder="1" applyAlignment="1"/>
    <xf numFmtId="9" fontId="70" fillId="0" borderId="11" xfId="126" applyFont="1" applyBorder="1"/>
    <xf numFmtId="0" fontId="16" fillId="0" borderId="20" xfId="77" applyNumberFormat="1" applyFont="1" applyFill="1" applyBorder="1" applyAlignment="1" applyProtection="1"/>
    <xf numFmtId="0" fontId="16" fillId="0" borderId="20" xfId="77" applyNumberFormat="1" applyFont="1" applyFill="1" applyBorder="1" applyAlignment="1" applyProtection="1">
      <alignment horizontal="left"/>
    </xf>
    <xf numFmtId="166" fontId="16" fillId="0" borderId="20" xfId="126" applyNumberFormat="1" applyFont="1" applyFill="1" applyBorder="1" applyAlignment="1">
      <alignment horizontal="left"/>
    </xf>
    <xf numFmtId="166" fontId="21" fillId="0" borderId="20" xfId="126" applyNumberFormat="1" applyFont="1" applyBorder="1" applyAlignment="1"/>
    <xf numFmtId="166" fontId="16" fillId="0" borderId="20" xfId="126" applyNumberFormat="1" applyFont="1" applyBorder="1" applyAlignment="1">
      <alignment horizontal="left"/>
    </xf>
    <xf numFmtId="166" fontId="21" fillId="0" borderId="20" xfId="126" applyNumberFormat="1" applyFont="1" applyBorder="1" applyAlignment="1">
      <alignment horizontal="left"/>
    </xf>
    <xf numFmtId="0" fontId="27" fillId="0" borderId="20" xfId="126" applyNumberFormat="1" applyFont="1" applyBorder="1" applyAlignment="1">
      <alignment horizontal="left" indent="1"/>
    </xf>
    <xf numFmtId="9" fontId="27" fillId="0" borderId="11" xfId="126" applyFont="1" applyFill="1" applyBorder="1"/>
    <xf numFmtId="0" fontId="63" fillId="0" borderId="20" xfId="126" applyNumberFormat="1" applyFont="1" applyBorder="1" applyAlignment="1">
      <alignment horizontal="left"/>
    </xf>
    <xf numFmtId="41" fontId="19" fillId="0" borderId="11" xfId="0" applyNumberFormat="1" applyFont="1" applyFill="1" applyBorder="1"/>
    <xf numFmtId="0" fontId="16" fillId="0" borderId="29" xfId="0" applyNumberFormat="1" applyFont="1" applyBorder="1"/>
    <xf numFmtId="7" fontId="16" fillId="0" borderId="0" xfId="0" applyNumberFormat="1" applyFont="1" applyBorder="1" applyAlignment="1">
      <alignment horizontal="right"/>
    </xf>
    <xf numFmtId="7" fontId="16" fillId="0" borderId="21" xfId="0" applyNumberFormat="1" applyFont="1" applyBorder="1" applyAlignment="1">
      <alignment horizontal="right"/>
    </xf>
    <xf numFmtId="9" fontId="27" fillId="0" borderId="21" xfId="126" applyFont="1" applyBorder="1" applyAlignment="1">
      <alignment horizontal="right"/>
    </xf>
    <xf numFmtId="7" fontId="16" fillId="0" borderId="29" xfId="0" applyNumberFormat="1" applyFont="1" applyBorder="1" applyAlignment="1">
      <alignment horizontal="right"/>
    </xf>
    <xf numFmtId="0" fontId="19" fillId="0" borderId="20" xfId="0" applyNumberFormat="1" applyFont="1" applyBorder="1" applyAlignment="1">
      <alignment horizontal="left"/>
    </xf>
    <xf numFmtId="9" fontId="27" fillId="0" borderId="0" xfId="126" applyNumberFormat="1" applyFont="1" applyBorder="1"/>
    <xf numFmtId="0" fontId="27" fillId="0" borderId="20" xfId="0" applyNumberFormat="1" applyFont="1" applyBorder="1" applyAlignment="1"/>
    <xf numFmtId="41" fontId="64" fillId="0" borderId="0" xfId="0" applyNumberFormat="1" applyFont="1" applyFill="1" applyBorder="1"/>
    <xf numFmtId="9" fontId="70" fillId="0" borderId="0" xfId="126" applyNumberFormat="1" applyFont="1" applyBorder="1"/>
    <xf numFmtId="9" fontId="70" fillId="0" borderId="29" xfId="126" applyNumberFormat="1" applyFont="1" applyBorder="1"/>
    <xf numFmtId="41" fontId="27" fillId="0" borderId="29" xfId="0" applyNumberFormat="1" applyFont="1" applyBorder="1"/>
    <xf numFmtId="166" fontId="27" fillId="0" borderId="20" xfId="126" applyNumberFormat="1" applyFont="1" applyBorder="1" applyAlignment="1">
      <alignment horizontal="left" indent="1"/>
    </xf>
    <xf numFmtId="5" fontId="16" fillId="0" borderId="0" xfId="0" applyNumberFormat="1" applyFont="1" applyBorder="1"/>
    <xf numFmtId="5" fontId="16" fillId="0" borderId="29" xfId="0" applyNumberFormat="1" applyFont="1" applyBorder="1"/>
    <xf numFmtId="5" fontId="19" fillId="0" borderId="29" xfId="0" applyNumberFormat="1" applyFont="1" applyBorder="1"/>
    <xf numFmtId="5" fontId="21" fillId="0" borderId="29" xfId="0" applyNumberFormat="1" applyFont="1" applyFill="1" applyBorder="1" applyAlignment="1">
      <alignment horizontal="right"/>
    </xf>
    <xf numFmtId="37" fontId="16" fillId="0" borderId="29" xfId="0" applyNumberFormat="1" applyFont="1" applyFill="1" applyBorder="1" applyAlignment="1">
      <alignment horizontal="right"/>
    </xf>
    <xf numFmtId="0" fontId="21" fillId="0" borderId="20" xfId="126" applyNumberFormat="1" applyFont="1" applyBorder="1" applyAlignment="1">
      <alignment horizontal="left"/>
    </xf>
    <xf numFmtId="0" fontId="16" fillId="0" borderId="20" xfId="126" applyNumberFormat="1" applyFont="1" applyBorder="1" applyAlignment="1"/>
    <xf numFmtId="5" fontId="16" fillId="0" borderId="29" xfId="126" applyNumberFormat="1" applyFont="1" applyBorder="1"/>
    <xf numFmtId="166" fontId="16" fillId="0" borderId="20" xfId="126" applyNumberFormat="1" applyFont="1" applyBorder="1" applyAlignment="1"/>
    <xf numFmtId="166" fontId="29" fillId="0" borderId="20" xfId="126" applyNumberFormat="1" applyFont="1" applyBorder="1" applyAlignment="1"/>
    <xf numFmtId="5" fontId="16" fillId="0" borderId="0" xfId="126" applyNumberFormat="1" applyFont="1" applyBorder="1"/>
    <xf numFmtId="5" fontId="21" fillId="0" borderId="0" xfId="126" applyNumberFormat="1" applyFont="1" applyBorder="1"/>
    <xf numFmtId="5" fontId="21" fillId="0" borderId="29" xfId="126" applyNumberFormat="1" applyFont="1" applyBorder="1"/>
    <xf numFmtId="166" fontId="27" fillId="0" borderId="11" xfId="126" applyNumberFormat="1" applyFont="1" applyBorder="1"/>
    <xf numFmtId="166" fontId="27" fillId="0" borderId="0" xfId="126" applyNumberFormat="1" applyFont="1" applyBorder="1" applyAlignment="1">
      <alignment horizontal="left" indent="1"/>
    </xf>
    <xf numFmtId="0" fontId="16" fillId="0" borderId="20" xfId="77" applyNumberFormat="1" applyFont="1" applyFill="1" applyBorder="1" applyAlignment="1">
      <alignment horizontal="left"/>
    </xf>
    <xf numFmtId="0" fontId="16" fillId="0" borderId="20" xfId="126" applyNumberFormat="1" applyFont="1" applyFill="1" applyBorder="1" applyAlignment="1"/>
    <xf numFmtId="0" fontId="27" fillId="0" borderId="25" xfId="126" applyNumberFormat="1" applyFont="1" applyFill="1" applyBorder="1" applyAlignment="1"/>
    <xf numFmtId="5" fontId="16" fillId="0" borderId="0" xfId="77" applyNumberFormat="1" applyFont="1" applyBorder="1" applyAlignment="1">
      <alignment horizontal="right"/>
    </xf>
    <xf numFmtId="5" fontId="16" fillId="0" borderId="29" xfId="77" applyNumberFormat="1" applyFont="1" applyBorder="1" applyAlignment="1">
      <alignment horizontal="right"/>
    </xf>
    <xf numFmtId="0" fontId="27" fillId="22" borderId="0" xfId="0" applyNumberFormat="1" applyFont="1" applyFill="1" applyBorder="1" applyAlignment="1"/>
    <xf numFmtId="190" fontId="27" fillId="22" borderId="0" xfId="0" applyNumberFormat="1" applyFont="1" applyFill="1" applyBorder="1"/>
    <xf numFmtId="0" fontId="71" fillId="0" borderId="20" xfId="0" applyNumberFormat="1" applyFont="1" applyBorder="1" applyAlignment="1"/>
    <xf numFmtId="0" fontId="21" fillId="0" borderId="25" xfId="0" applyNumberFormat="1" applyFont="1" applyBorder="1" applyAlignment="1"/>
    <xf numFmtId="5" fontId="21" fillId="0" borderId="35" xfId="0" applyNumberFormat="1" applyFont="1" applyBorder="1"/>
    <xf numFmtId="5" fontId="21" fillId="0" borderId="11" xfId="0" applyNumberFormat="1" applyFont="1" applyBorder="1"/>
    <xf numFmtId="5" fontId="21" fillId="0" borderId="29" xfId="0" applyNumberFormat="1" applyFont="1" applyBorder="1"/>
    <xf numFmtId="5" fontId="21" fillId="0" borderId="0" xfId="0" applyNumberFormat="1" applyFont="1" applyBorder="1"/>
    <xf numFmtId="0" fontId="16" fillId="0" borderId="25" xfId="0" applyNumberFormat="1" applyFont="1" applyBorder="1" applyAlignment="1">
      <alignment horizontal="left"/>
    </xf>
    <xf numFmtId="173" fontId="16" fillId="0" borderId="11" xfId="0" applyNumberFormat="1" applyFont="1" applyBorder="1"/>
    <xf numFmtId="0" fontId="36" fillId="0" borderId="20" xfId="126" applyNumberFormat="1" applyFont="1" applyFill="1" applyBorder="1" applyAlignment="1">
      <alignment horizontal="left"/>
    </xf>
    <xf numFmtId="0" fontId="28" fillId="0" borderId="20" xfId="0" applyNumberFormat="1" applyFont="1" applyFill="1" applyBorder="1" applyAlignment="1">
      <alignment horizontal="left"/>
    </xf>
    <xf numFmtId="41" fontId="21" fillId="0" borderId="11" xfId="0" applyNumberFormat="1" applyFont="1" applyFill="1" applyBorder="1" applyAlignment="1">
      <alignment horizontal="right"/>
    </xf>
    <xf numFmtId="0" fontId="16" fillId="0" borderId="20" xfId="126" applyNumberFormat="1" applyFont="1" applyFill="1" applyBorder="1" applyAlignment="1">
      <alignment horizontal="left"/>
    </xf>
    <xf numFmtId="37" fontId="27" fillId="0" borderId="20" xfId="0" applyFont="1" applyBorder="1" applyAlignment="1">
      <alignment horizontal="left" indent="1"/>
    </xf>
    <xf numFmtId="37" fontId="27" fillId="0" borderId="20" xfId="0" applyFont="1" applyFill="1" applyBorder="1" applyAlignment="1">
      <alignment horizontal="left" indent="1"/>
    </xf>
    <xf numFmtId="37" fontId="21" fillId="0" borderId="0" xfId="0" applyFont="1" applyFill="1" applyBorder="1" applyAlignment="1">
      <alignment horizontal="left"/>
    </xf>
    <xf numFmtId="37" fontId="21" fillId="18" borderId="23" xfId="0" applyFont="1" applyFill="1" applyBorder="1" applyAlignment="1">
      <alignment horizontal="left"/>
    </xf>
    <xf numFmtId="5" fontId="16" fillId="0" borderId="29" xfId="0" applyNumberFormat="1" applyFont="1" applyFill="1" applyBorder="1" applyAlignment="1">
      <alignment horizontal="right"/>
    </xf>
    <xf numFmtId="169" fontId="27" fillId="0" borderId="11" xfId="0" applyNumberFormat="1" applyFont="1" applyBorder="1" applyAlignment="1">
      <alignment horizontal="left" indent="1"/>
    </xf>
    <xf numFmtId="166" fontId="27" fillId="0" borderId="11" xfId="0" applyNumberFormat="1" applyFont="1" applyFill="1" applyBorder="1"/>
    <xf numFmtId="166" fontId="27" fillId="0" borderId="35" xfId="0" applyNumberFormat="1" applyFont="1" applyFill="1" applyBorder="1"/>
    <xf numFmtId="5" fontId="26" fillId="17" borderId="0" xfId="0" applyNumberFormat="1" applyFont="1" applyFill="1" applyBorder="1" applyAlignment="1">
      <alignment horizontal="center"/>
    </xf>
    <xf numFmtId="37" fontId="29" fillId="0" borderId="29" xfId="0" applyFont="1" applyBorder="1"/>
    <xf numFmtId="180" fontId="21" fillId="0" borderId="29" xfId="0" applyNumberFormat="1" applyFont="1" applyFill="1" applyBorder="1"/>
    <xf numFmtId="180" fontId="21" fillId="0" borderId="21" xfId="0" applyNumberFormat="1" applyFont="1" applyFill="1" applyBorder="1"/>
    <xf numFmtId="9" fontId="27" fillId="0" borderId="29" xfId="126" applyNumberFormat="1" applyFont="1" applyFill="1" applyBorder="1"/>
    <xf numFmtId="166" fontId="26" fillId="0" borderId="29" xfId="126" applyNumberFormat="1" applyFont="1" applyBorder="1"/>
    <xf numFmtId="166" fontId="21" fillId="18" borderId="55" xfId="0" applyNumberFormat="1" applyFont="1" applyFill="1" applyBorder="1"/>
    <xf numFmtId="173" fontId="26" fillId="0" borderId="0" xfId="117" applyNumberFormat="1" applyFont="1" applyFill="1" applyBorder="1" applyAlignment="1">
      <alignment horizontal="right"/>
    </xf>
    <xf numFmtId="173" fontId="26" fillId="0" borderId="0" xfId="117" applyNumberFormat="1" applyFont="1" applyFill="1"/>
    <xf numFmtId="0" fontId="25" fillId="0" borderId="20" xfId="0" applyNumberFormat="1" applyFont="1" applyBorder="1"/>
    <xf numFmtId="0" fontId="16" fillId="0" borderId="20" xfId="0" quotePrefix="1" applyNumberFormat="1" applyFont="1" applyFill="1" applyBorder="1" applyAlignment="1">
      <alignment horizontal="left"/>
    </xf>
    <xf numFmtId="0" fontId="29" fillId="0" borderId="20" xfId="0" quotePrefix="1" applyNumberFormat="1" applyFont="1" applyFill="1" applyBorder="1" applyAlignment="1">
      <alignment horizontal="left"/>
    </xf>
    <xf numFmtId="37" fontId="16" fillId="0" borderId="0" xfId="0" applyFont="1" applyFill="1" applyAlignment="1">
      <alignment horizontal="right"/>
    </xf>
    <xf numFmtId="37" fontId="16" fillId="0" borderId="0" xfId="0" applyNumberFormat="1" applyFont="1" applyFill="1" applyBorder="1" applyAlignment="1">
      <alignment horizontal="left" indent="1"/>
    </xf>
    <xf numFmtId="37" fontId="26" fillId="0" borderId="20" xfId="0" applyNumberFormat="1" applyFont="1" applyFill="1" applyBorder="1" applyAlignment="1">
      <alignment horizontal="right"/>
    </xf>
    <xf numFmtId="37" fontId="26" fillId="0" borderId="21" xfId="0" applyNumberFormat="1" applyFont="1" applyFill="1" applyBorder="1" applyAlignment="1">
      <alignment horizontal="right"/>
    </xf>
    <xf numFmtId="9" fontId="26" fillId="0" borderId="20" xfId="0" applyNumberFormat="1" applyFont="1" applyFill="1" applyBorder="1" applyAlignment="1">
      <alignment horizontal="center"/>
    </xf>
    <xf numFmtId="9" fontId="26" fillId="0" borderId="21" xfId="0" applyNumberFormat="1" applyFont="1" applyFill="1" applyBorder="1" applyAlignment="1">
      <alignment horizontal="center"/>
    </xf>
    <xf numFmtId="9" fontId="26" fillId="0" borderId="20" xfId="126" applyFont="1" applyFill="1" applyBorder="1" applyAlignment="1">
      <alignment horizontal="right"/>
    </xf>
    <xf numFmtId="9" fontId="26" fillId="0" borderId="21" xfId="126" applyFont="1" applyFill="1" applyBorder="1" applyAlignment="1">
      <alignment horizontal="right"/>
    </xf>
    <xf numFmtId="0" fontId="26" fillId="0" borderId="21" xfId="0" applyNumberFormat="1" applyFont="1" applyFill="1" applyBorder="1" applyAlignment="1">
      <alignment horizontal="right"/>
    </xf>
    <xf numFmtId="37" fontId="16" fillId="0" borderId="25" xfId="0" applyFont="1" applyFill="1" applyBorder="1"/>
    <xf numFmtId="37" fontId="16" fillId="0" borderId="0" xfId="119" quotePrefix="1" applyFont="1"/>
    <xf numFmtId="0" fontId="21" fillId="19" borderId="56" xfId="0" applyNumberFormat="1" applyFont="1" applyFill="1" applyBorder="1" applyAlignment="1">
      <alignment horizontal="right"/>
    </xf>
    <xf numFmtId="41" fontId="20" fillId="0" borderId="20" xfId="0" applyNumberFormat="1" applyFont="1" applyFill="1" applyBorder="1" applyAlignment="1">
      <alignment horizontal="right"/>
    </xf>
    <xf numFmtId="41" fontId="19" fillId="0" borderId="20" xfId="0" applyNumberFormat="1" applyFont="1" applyBorder="1"/>
    <xf numFmtId="166" fontId="27" fillId="0" borderId="20" xfId="126" applyNumberFormat="1" applyFont="1" applyFill="1" applyBorder="1"/>
    <xf numFmtId="5" fontId="16" fillId="0" borderId="20" xfId="0" applyNumberFormat="1" applyFont="1" applyBorder="1"/>
    <xf numFmtId="41" fontId="16" fillId="0" borderId="19" xfId="0" applyNumberFormat="1" applyFont="1" applyBorder="1"/>
    <xf numFmtId="43" fontId="16" fillId="0" borderId="20" xfId="77" applyFont="1" applyBorder="1"/>
    <xf numFmtId="41" fontId="21" fillId="0" borderId="20" xfId="0" applyNumberFormat="1" applyFont="1" applyFill="1" applyBorder="1" applyAlignment="1">
      <alignment horizontal="right"/>
    </xf>
    <xf numFmtId="173" fontId="16" fillId="0" borderId="25" xfId="0" applyNumberFormat="1" applyFont="1" applyBorder="1"/>
    <xf numFmtId="41" fontId="21" fillId="0" borderId="25" xfId="0" applyNumberFormat="1" applyFont="1" applyFill="1" applyBorder="1" applyAlignment="1">
      <alignment horizontal="right"/>
    </xf>
    <xf numFmtId="41" fontId="70" fillId="0" borderId="21" xfId="0" applyNumberFormat="1" applyFont="1" applyBorder="1"/>
    <xf numFmtId="5" fontId="16" fillId="0" borderId="21" xfId="0" applyNumberFormat="1" applyFont="1" applyBorder="1" applyAlignment="1">
      <alignment horizontal="right"/>
    </xf>
    <xf numFmtId="37" fontId="16" fillId="0" borderId="21" xfId="0" applyNumberFormat="1" applyFont="1" applyBorder="1" applyAlignment="1">
      <alignment horizontal="right"/>
    </xf>
    <xf numFmtId="41" fontId="29" fillId="0" borderId="21" xfId="0" applyNumberFormat="1" applyFont="1" applyBorder="1" applyAlignment="1">
      <alignment horizontal="right"/>
    </xf>
    <xf numFmtId="41" fontId="29" fillId="0" borderId="21" xfId="0" applyNumberFormat="1" applyFont="1" applyBorder="1"/>
    <xf numFmtId="41" fontId="21" fillId="0" borderId="21" xfId="0" applyNumberFormat="1" applyFont="1" applyBorder="1" applyAlignment="1">
      <alignment horizontal="right"/>
    </xf>
    <xf numFmtId="41" fontId="35" fillId="0" borderId="0" xfId="0" applyNumberFormat="1" applyFont="1" applyBorder="1" applyAlignment="1">
      <alignment horizontal="right"/>
    </xf>
    <xf numFmtId="9" fontId="27" fillId="0" borderId="21" xfId="126" applyFont="1" applyBorder="1"/>
    <xf numFmtId="5" fontId="21" fillId="18" borderId="24" xfId="0" applyNumberFormat="1" applyFont="1" applyFill="1" applyBorder="1" applyAlignment="1">
      <alignment horizontal="right"/>
    </xf>
    <xf numFmtId="0" fontId="16" fillId="0" borderId="21" xfId="0" applyNumberFormat="1" applyFont="1" applyBorder="1"/>
    <xf numFmtId="41" fontId="16" fillId="0" borderId="21" xfId="0" applyNumberFormat="1" applyFont="1" applyBorder="1"/>
    <xf numFmtId="7" fontId="21" fillId="18" borderId="26" xfId="0" applyNumberFormat="1" applyFont="1" applyFill="1" applyBorder="1" applyAlignment="1">
      <alignment horizontal="right"/>
    </xf>
    <xf numFmtId="7" fontId="21" fillId="18" borderId="22" xfId="0" applyNumberFormat="1" applyFont="1" applyFill="1" applyBorder="1" applyAlignment="1">
      <alignment horizontal="right"/>
    </xf>
    <xf numFmtId="9" fontId="27" fillId="0" borderId="24" xfId="126" applyFont="1" applyBorder="1" applyAlignment="1">
      <alignment horizontal="right"/>
    </xf>
    <xf numFmtId="41" fontId="16" fillId="0" borderId="21" xfId="0" applyNumberFormat="1" applyFont="1" applyBorder="1" applyAlignment="1">
      <alignment horizontal="right"/>
    </xf>
    <xf numFmtId="41" fontId="16" fillId="0" borderId="21" xfId="0" applyNumberFormat="1" applyFont="1" applyFill="1" applyBorder="1" applyAlignment="1">
      <alignment horizontal="right"/>
    </xf>
    <xf numFmtId="41" fontId="29" fillId="0" borderId="21" xfId="0" applyNumberFormat="1" applyFont="1" applyFill="1" applyBorder="1" applyAlignment="1">
      <alignment horizontal="right"/>
    </xf>
    <xf numFmtId="41" fontId="20" fillId="0" borderId="21" xfId="0" applyNumberFormat="1" applyFont="1" applyFill="1" applyBorder="1" applyAlignment="1">
      <alignment horizontal="right"/>
    </xf>
    <xf numFmtId="41" fontId="19" fillId="0" borderId="21" xfId="0" applyNumberFormat="1" applyFont="1" applyBorder="1"/>
    <xf numFmtId="9" fontId="27" fillId="0" borderId="21" xfId="126" applyNumberFormat="1" applyFont="1" applyBorder="1"/>
    <xf numFmtId="9" fontId="70" fillId="0" borderId="21" xfId="126" applyNumberFormat="1" applyFont="1" applyBorder="1"/>
    <xf numFmtId="41" fontId="27" fillId="0" borderId="21" xfId="0" applyNumberFormat="1" applyFont="1" applyBorder="1"/>
    <xf numFmtId="9" fontId="70" fillId="0" borderId="21" xfId="126" applyFont="1" applyBorder="1"/>
    <xf numFmtId="5" fontId="16" fillId="0" borderId="21" xfId="0" applyNumberFormat="1" applyFont="1" applyBorder="1"/>
    <xf numFmtId="41" fontId="21" fillId="0" borderId="21" xfId="0" applyNumberFormat="1" applyFont="1" applyBorder="1"/>
    <xf numFmtId="41" fontId="16" fillId="0" borderId="26" xfId="0" applyNumberFormat="1" applyFont="1" applyBorder="1"/>
    <xf numFmtId="166" fontId="27" fillId="0" borderId="21" xfId="0" applyNumberFormat="1" applyFont="1" applyBorder="1"/>
    <xf numFmtId="166" fontId="70" fillId="0" borderId="21" xfId="126" applyNumberFormat="1" applyFont="1" applyFill="1" applyBorder="1"/>
    <xf numFmtId="5" fontId="16" fillId="0" borderId="21" xfId="126" applyNumberFormat="1" applyFont="1" applyBorder="1"/>
    <xf numFmtId="41" fontId="19" fillId="0" borderId="21" xfId="0" applyNumberFormat="1" applyFont="1" applyFill="1" applyBorder="1"/>
    <xf numFmtId="166" fontId="70" fillId="0" borderId="21" xfId="126" applyNumberFormat="1" applyFont="1" applyBorder="1"/>
    <xf numFmtId="9" fontId="72" fillId="0" borderId="21" xfId="126" applyFont="1" applyBorder="1"/>
    <xf numFmtId="5" fontId="21" fillId="0" borderId="21" xfId="126" applyNumberFormat="1" applyFont="1" applyBorder="1"/>
    <xf numFmtId="37" fontId="0" fillId="0" borderId="21" xfId="0" applyBorder="1"/>
    <xf numFmtId="43" fontId="16" fillId="0" borderId="21" xfId="77" applyFont="1" applyBorder="1"/>
    <xf numFmtId="41" fontId="31" fillId="0" borderId="21" xfId="0" applyNumberFormat="1" applyFont="1" applyBorder="1"/>
    <xf numFmtId="41" fontId="32" fillId="0" borderId="21" xfId="0" applyNumberFormat="1" applyFont="1" applyBorder="1"/>
    <xf numFmtId="41" fontId="33" fillId="0" borderId="21" xfId="0" applyNumberFormat="1" applyFont="1" applyBorder="1"/>
    <xf numFmtId="41" fontId="42" fillId="0" borderId="21" xfId="0" applyNumberFormat="1" applyFont="1" applyBorder="1"/>
    <xf numFmtId="41" fontId="31" fillId="0" borderId="21" xfId="0" applyNumberFormat="1" applyFont="1" applyFill="1" applyBorder="1" applyAlignment="1">
      <alignment horizontal="right"/>
    </xf>
    <xf numFmtId="41" fontId="26" fillId="0" borderId="21" xfId="0" applyNumberFormat="1" applyFont="1" applyBorder="1" applyAlignment="1">
      <alignment horizontal="right"/>
    </xf>
    <xf numFmtId="9" fontId="16" fillId="0" borderId="22" xfId="0" applyNumberFormat="1" applyFont="1" applyFill="1" applyBorder="1"/>
    <xf numFmtId="5" fontId="16" fillId="0" borderId="21" xfId="77" applyNumberFormat="1" applyFont="1" applyBorder="1" applyAlignment="1">
      <alignment horizontal="right"/>
    </xf>
    <xf numFmtId="41" fontId="21" fillId="0" borderId="21" xfId="77" applyNumberFormat="1" applyFont="1" applyBorder="1" applyAlignment="1">
      <alignment horizontal="right"/>
    </xf>
    <xf numFmtId="9" fontId="63" fillId="0" borderId="21" xfId="126" applyFont="1" applyBorder="1" applyAlignment="1">
      <alignment horizontal="right"/>
    </xf>
    <xf numFmtId="41" fontId="19" fillId="0" borderId="22" xfId="0" applyNumberFormat="1" applyFont="1" applyFill="1" applyBorder="1"/>
    <xf numFmtId="41" fontId="21" fillId="0" borderId="21" xfId="0" applyNumberFormat="1" applyFont="1" applyFill="1" applyBorder="1" applyAlignment="1">
      <alignment horizontal="right"/>
    </xf>
    <xf numFmtId="41" fontId="26" fillId="0" borderId="21" xfId="0" applyNumberFormat="1" applyFont="1" applyBorder="1"/>
    <xf numFmtId="5" fontId="21" fillId="0" borderId="21" xfId="0" applyNumberFormat="1" applyFont="1" applyBorder="1"/>
    <xf numFmtId="5" fontId="21" fillId="0" borderId="22" xfId="0" applyNumberFormat="1" applyFont="1" applyBorder="1"/>
    <xf numFmtId="173" fontId="16" fillId="0" borderId="22" xfId="0" applyNumberFormat="1" applyFont="1" applyBorder="1"/>
    <xf numFmtId="41" fontId="21" fillId="0" borderId="22" xfId="0" applyNumberFormat="1" applyFont="1" applyFill="1" applyBorder="1" applyAlignment="1">
      <alignment horizontal="right"/>
    </xf>
    <xf numFmtId="41" fontId="20" fillId="0" borderId="0" xfId="0" applyNumberFormat="1" applyFont="1" applyFill="1" applyBorder="1" applyAlignment="1">
      <alignment horizontal="right"/>
    </xf>
    <xf numFmtId="9" fontId="16" fillId="0" borderId="0" xfId="0" applyNumberFormat="1" applyFont="1" applyFill="1" applyBorder="1"/>
    <xf numFmtId="41" fontId="16" fillId="0" borderId="70" xfId="0" applyNumberFormat="1" applyFont="1" applyBorder="1"/>
    <xf numFmtId="9" fontId="16" fillId="0" borderId="11" xfId="0" applyNumberFormat="1" applyFont="1" applyFill="1" applyBorder="1"/>
    <xf numFmtId="171" fontId="21" fillId="19" borderId="19" xfId="0" applyNumberFormat="1" applyFont="1" applyFill="1" applyBorder="1" applyAlignment="1">
      <alignment horizontal="right"/>
    </xf>
    <xf numFmtId="14" fontId="16" fillId="0" borderId="20" xfId="0" applyNumberFormat="1" applyFont="1" applyFill="1" applyBorder="1"/>
    <xf numFmtId="37" fontId="19" fillId="0" borderId="25" xfId="0" applyNumberFormat="1" applyFont="1" applyFill="1" applyBorder="1"/>
    <xf numFmtId="166" fontId="21" fillId="0" borderId="20" xfId="126" applyNumberFormat="1" applyFont="1" applyFill="1" applyBorder="1"/>
    <xf numFmtId="0" fontId="20" fillId="0" borderId="20" xfId="0" applyNumberFormat="1" applyFont="1" applyFill="1" applyBorder="1" applyAlignment="1">
      <alignment horizontal="right"/>
    </xf>
    <xf numFmtId="9" fontId="26" fillId="0" borderId="20" xfId="126" applyFont="1" applyBorder="1"/>
    <xf numFmtId="171" fontId="21" fillId="19" borderId="26" xfId="0" applyNumberFormat="1" applyFont="1" applyFill="1" applyBorder="1" applyAlignment="1">
      <alignment horizontal="right"/>
    </xf>
    <xf numFmtId="37" fontId="19" fillId="0" borderId="22" xfId="0" applyNumberFormat="1" applyFont="1" applyFill="1" applyBorder="1"/>
    <xf numFmtId="166" fontId="21" fillId="0" borderId="21" xfId="126" applyNumberFormat="1" applyFont="1" applyFill="1" applyBorder="1"/>
    <xf numFmtId="9" fontId="26" fillId="0" borderId="21" xfId="126" applyFont="1" applyBorder="1"/>
    <xf numFmtId="5" fontId="29" fillId="0" borderId="0" xfId="0" applyNumberFormat="1" applyFont="1" applyBorder="1"/>
    <xf numFmtId="41" fontId="21" fillId="0" borderId="0" xfId="79" applyNumberFormat="1" applyFont="1" applyFill="1" applyBorder="1"/>
    <xf numFmtId="41" fontId="20" fillId="0" borderId="0" xfId="0" applyNumberFormat="1" applyFont="1" applyFill="1" applyBorder="1"/>
    <xf numFmtId="41" fontId="16" fillId="0" borderId="0" xfId="0" applyNumberFormat="1" applyFont="1" applyFill="1" applyBorder="1" applyAlignment="1">
      <alignment horizontal="center"/>
    </xf>
    <xf numFmtId="9" fontId="64" fillId="0" borderId="29" xfId="126" applyFont="1" applyFill="1" applyBorder="1" applyAlignment="1">
      <alignment horizontal="right"/>
    </xf>
    <xf numFmtId="9" fontId="27" fillId="0" borderId="29" xfId="126" applyFont="1" applyFill="1" applyBorder="1" applyAlignment="1">
      <alignment horizontal="right"/>
    </xf>
    <xf numFmtId="41" fontId="27" fillId="0" borderId="29" xfId="126" applyNumberFormat="1" applyFont="1" applyFill="1" applyBorder="1" applyAlignment="1">
      <alignment horizontal="right"/>
    </xf>
    <xf numFmtId="41" fontId="27" fillId="0" borderId="0" xfId="126" applyNumberFormat="1" applyFont="1" applyFill="1" applyBorder="1" applyAlignment="1">
      <alignment horizontal="right"/>
    </xf>
    <xf numFmtId="41" fontId="27" fillId="0" borderId="21" xfId="126" applyNumberFormat="1" applyFont="1" applyFill="1" applyBorder="1" applyAlignment="1">
      <alignment horizontal="right"/>
    </xf>
    <xf numFmtId="178" fontId="16" fillId="0" borderId="29" xfId="0" applyNumberFormat="1" applyFont="1" applyFill="1" applyBorder="1"/>
    <xf numFmtId="178" fontId="26" fillId="0" borderId="0" xfId="0" applyNumberFormat="1" applyFont="1" applyFill="1" applyBorder="1"/>
    <xf numFmtId="178" fontId="26" fillId="0" borderId="29" xfId="0" applyNumberFormat="1" applyFont="1" applyFill="1" applyBorder="1"/>
    <xf numFmtId="9" fontId="70" fillId="0" borderId="11" xfId="126" applyNumberFormat="1" applyFont="1" applyBorder="1"/>
    <xf numFmtId="9" fontId="70" fillId="0" borderId="35" xfId="126" applyNumberFormat="1" applyFont="1" applyBorder="1"/>
    <xf numFmtId="9" fontId="70" fillId="0" borderId="22" xfId="126" applyNumberFormat="1" applyFont="1" applyBorder="1"/>
    <xf numFmtId="9" fontId="16" fillId="0" borderId="0" xfId="0" applyNumberFormat="1" applyFont="1" applyBorder="1"/>
    <xf numFmtId="166" fontId="16" fillId="0" borderId="0" xfId="0" applyNumberFormat="1" applyFont="1" applyBorder="1" applyAlignment="1"/>
    <xf numFmtId="166" fontId="26" fillId="0" borderId="0" xfId="145" applyNumberFormat="1" applyFont="1" applyFill="1" applyBorder="1" applyAlignment="1"/>
    <xf numFmtId="166" fontId="102" fillId="0" borderId="0" xfId="145" applyNumberFormat="1" applyFont="1" applyFill="1" applyBorder="1" applyAlignment="1"/>
    <xf numFmtId="7" fontId="16" fillId="0" borderId="0" xfId="145" applyNumberFormat="1" applyFont="1" applyFill="1" applyBorder="1" applyAlignment="1"/>
    <xf numFmtId="166" fontId="16" fillId="0" borderId="0" xfId="145" applyNumberFormat="1" applyFont="1" applyFill="1" applyBorder="1" applyAlignment="1"/>
    <xf numFmtId="169" fontId="27" fillId="0" borderId="0" xfId="126" applyNumberFormat="1" applyFont="1" applyBorder="1"/>
    <xf numFmtId="169" fontId="27" fillId="0" borderId="29" xfId="126" applyNumberFormat="1" applyFont="1" applyBorder="1"/>
    <xf numFmtId="169" fontId="16" fillId="0" borderId="0" xfId="0" applyNumberFormat="1" applyFont="1" applyBorder="1"/>
    <xf numFmtId="0" fontId="21" fillId="0" borderId="29" xfId="0" applyNumberFormat="1" applyFont="1" applyFill="1" applyBorder="1" applyAlignment="1">
      <alignment horizontal="right"/>
    </xf>
    <xf numFmtId="166" fontId="64" fillId="0" borderId="0" xfId="0" applyNumberFormat="1" applyFont="1" applyBorder="1"/>
    <xf numFmtId="166" fontId="64" fillId="0" borderId="29" xfId="126" applyNumberFormat="1" applyFont="1" applyBorder="1"/>
    <xf numFmtId="166" fontId="44" fillId="18" borderId="23" xfId="126" applyNumberFormat="1" applyFont="1" applyFill="1" applyBorder="1"/>
    <xf numFmtId="166" fontId="44" fillId="18" borderId="55" xfId="126" applyNumberFormat="1" applyFont="1" applyFill="1" applyBorder="1"/>
    <xf numFmtId="166" fontId="16" fillId="0" borderId="0" xfId="0" applyNumberFormat="1" applyFont="1" applyBorder="1" applyAlignment="1">
      <alignment horizontal="right"/>
    </xf>
    <xf numFmtId="166" fontId="19" fillId="0" borderId="0" xfId="0" applyNumberFormat="1" applyFont="1" applyBorder="1"/>
    <xf numFmtId="166" fontId="72" fillId="0" borderId="0" xfId="126" applyNumberFormat="1" applyFont="1" applyFill="1"/>
    <xf numFmtId="37" fontId="31" fillId="0" borderId="0" xfId="0" applyFont="1" applyBorder="1"/>
    <xf numFmtId="166" fontId="72" fillId="0" borderId="11" xfId="126" applyNumberFormat="1" applyFont="1" applyFill="1" applyBorder="1"/>
    <xf numFmtId="37" fontId="34" fillId="0" borderId="0" xfId="0" applyNumberFormat="1" applyFont="1" applyFill="1" applyBorder="1"/>
    <xf numFmtId="37" fontId="34" fillId="0" borderId="29" xfId="0" applyFont="1" applyFill="1" applyBorder="1"/>
    <xf numFmtId="166" fontId="98" fillId="0" borderId="0" xfId="126" applyNumberFormat="1" applyFont="1" applyFill="1" applyBorder="1"/>
    <xf numFmtId="5" fontId="34" fillId="0" borderId="29" xfId="0" applyNumberFormat="1" applyFont="1" applyFill="1" applyBorder="1"/>
    <xf numFmtId="166" fontId="26" fillId="0" borderId="0" xfId="126" applyNumberFormat="1" applyFont="1" applyFill="1" applyBorder="1" applyAlignment="1">
      <alignment horizontal="right"/>
    </xf>
    <xf numFmtId="37" fontId="26" fillId="0" borderId="0" xfId="0" applyFont="1" applyBorder="1" applyAlignment="1">
      <alignment horizontal="right"/>
    </xf>
    <xf numFmtId="166" fontId="64" fillId="0" borderId="25" xfId="126" applyNumberFormat="1" applyFont="1" applyFill="1" applyBorder="1" applyAlignment="1">
      <alignment horizontal="right"/>
    </xf>
    <xf numFmtId="166" fontId="64" fillId="0" borderId="11" xfId="126" applyNumberFormat="1" applyFont="1" applyFill="1" applyBorder="1" applyAlignment="1">
      <alignment horizontal="right"/>
    </xf>
    <xf numFmtId="37" fontId="16" fillId="0" borderId="29" xfId="0" applyFont="1" applyBorder="1" applyAlignment="1">
      <alignment horizontal="right"/>
    </xf>
    <xf numFmtId="37" fontId="16" fillId="0" borderId="21" xfId="0" applyFont="1" applyBorder="1" applyAlignment="1">
      <alignment horizontal="right"/>
    </xf>
    <xf numFmtId="0" fontId="19" fillId="0" borderId="20" xfId="0" applyNumberFormat="1" applyFont="1" applyFill="1" applyBorder="1" applyAlignment="1"/>
    <xf numFmtId="169" fontId="16" fillId="0" borderId="20" xfId="126" applyNumberFormat="1" applyFont="1" applyFill="1" applyBorder="1" applyAlignment="1">
      <alignment horizontal="left"/>
    </xf>
    <xf numFmtId="166" fontId="64" fillId="0" borderId="29" xfId="126" applyNumberFormat="1" applyFont="1" applyFill="1" applyBorder="1" applyAlignment="1">
      <alignment horizontal="right"/>
    </xf>
    <xf numFmtId="9" fontId="27" fillId="0" borderId="0" xfId="126" applyNumberFormat="1" applyFont="1" applyFill="1" applyBorder="1" applyAlignment="1">
      <alignment horizontal="left" indent="1"/>
    </xf>
    <xf numFmtId="5" fontId="19" fillId="0" borderId="29" xfId="119" applyNumberFormat="1" applyFont="1" applyFill="1" applyBorder="1"/>
    <xf numFmtId="37" fontId="19" fillId="0" borderId="29" xfId="119" applyFont="1" applyFill="1" applyBorder="1"/>
    <xf numFmtId="169" fontId="35" fillId="0" borderId="29" xfId="119" applyNumberFormat="1" applyFont="1" applyFill="1" applyBorder="1"/>
    <xf numFmtId="170" fontId="19" fillId="0" borderId="29" xfId="119" applyNumberFormat="1" applyFont="1" applyBorder="1"/>
    <xf numFmtId="169" fontId="19" fillId="0" borderId="29" xfId="119" applyNumberFormat="1" applyFont="1" applyBorder="1"/>
    <xf numFmtId="169" fontId="20" fillId="18" borderId="55" xfId="119" applyNumberFormat="1" applyFont="1" applyFill="1" applyBorder="1"/>
    <xf numFmtId="169" fontId="20" fillId="0" borderId="29" xfId="119" applyNumberFormat="1" applyFont="1" applyBorder="1"/>
    <xf numFmtId="172" fontId="35" fillId="0" borderId="29" xfId="0" applyNumberFormat="1" applyFont="1" applyBorder="1" applyAlignment="1">
      <alignment horizontal="right"/>
    </xf>
    <xf numFmtId="7" fontId="20" fillId="18" borderId="55" xfId="119" applyNumberFormat="1" applyFont="1" applyFill="1" applyBorder="1"/>
    <xf numFmtId="169" fontId="20" fillId="0" borderId="29" xfId="119" applyNumberFormat="1" applyFont="1" applyFill="1" applyBorder="1"/>
    <xf numFmtId="170" fontId="20" fillId="0" borderId="29" xfId="119" applyNumberFormat="1" applyFont="1" applyFill="1" applyBorder="1"/>
    <xf numFmtId="170" fontId="20" fillId="18" borderId="55" xfId="119" applyNumberFormat="1" applyFont="1" applyFill="1" applyBorder="1"/>
    <xf numFmtId="37" fontId="19" fillId="0" borderId="36" xfId="119" applyFont="1" applyFill="1" applyBorder="1"/>
    <xf numFmtId="5" fontId="20" fillId="0" borderId="35" xfId="119" applyNumberFormat="1" applyFont="1" applyFill="1" applyBorder="1"/>
    <xf numFmtId="169" fontId="36" fillId="18" borderId="55" xfId="119" applyNumberFormat="1" applyFont="1" applyFill="1" applyBorder="1"/>
    <xf numFmtId="169" fontId="36" fillId="0" borderId="29" xfId="119" applyNumberFormat="1" applyFont="1" applyBorder="1"/>
    <xf numFmtId="7" fontId="36" fillId="18" borderId="55" xfId="119" applyNumberFormat="1" applyFont="1" applyFill="1" applyBorder="1"/>
    <xf numFmtId="169" fontId="36" fillId="0" borderId="29" xfId="119" applyNumberFormat="1" applyFont="1" applyFill="1" applyBorder="1"/>
    <xf numFmtId="170" fontId="36" fillId="0" borderId="29" xfId="119" applyNumberFormat="1" applyFont="1" applyFill="1" applyBorder="1"/>
    <xf numFmtId="170" fontId="36" fillId="18" borderId="55" xfId="119" applyNumberFormat="1" applyFont="1" applyFill="1" applyBorder="1"/>
    <xf numFmtId="37" fontId="26" fillId="0" borderId="36" xfId="119" applyFont="1" applyFill="1" applyBorder="1"/>
    <xf numFmtId="41" fontId="26" fillId="0" borderId="29" xfId="119" applyNumberFormat="1" applyFont="1" applyFill="1" applyBorder="1"/>
    <xf numFmtId="5" fontId="36" fillId="0" borderId="35" xfId="119" applyNumberFormat="1" applyFont="1" applyFill="1" applyBorder="1"/>
    <xf numFmtId="7" fontId="16" fillId="0" borderId="29" xfId="119" applyNumberFormat="1" applyFont="1" applyFill="1" applyBorder="1" applyAlignment="1">
      <alignment horizontal="right"/>
    </xf>
    <xf numFmtId="37" fontId="15" fillId="0" borderId="0" xfId="0" applyFont="1" applyFill="1"/>
    <xf numFmtId="41" fontId="64" fillId="0" borderId="55" xfId="0" applyNumberFormat="1" applyFont="1" applyFill="1" applyBorder="1"/>
    <xf numFmtId="41" fontId="27" fillId="0" borderId="55" xfId="0" applyNumberFormat="1" applyFont="1" applyFill="1" applyBorder="1"/>
    <xf numFmtId="41" fontId="27" fillId="0" borderId="29" xfId="0" applyNumberFormat="1" applyFont="1" applyFill="1" applyBorder="1"/>
    <xf numFmtId="37" fontId="26" fillId="0" borderId="0" xfId="0" applyFont="1" applyFill="1" applyBorder="1" applyAlignment="1">
      <alignment horizontal="right"/>
    </xf>
    <xf numFmtId="37" fontId="26" fillId="0" borderId="29" xfId="0" applyFont="1" applyFill="1" applyBorder="1" applyAlignment="1">
      <alignment horizontal="right"/>
    </xf>
    <xf numFmtId="37" fontId="26" fillId="0" borderId="29" xfId="0" applyFont="1" applyFill="1" applyBorder="1"/>
    <xf numFmtId="37" fontId="64" fillId="0" borderId="0" xfId="0" applyFont="1" applyFill="1" applyBorder="1" applyAlignment="1">
      <alignment horizontal="right"/>
    </xf>
    <xf numFmtId="166" fontId="64" fillId="0" borderId="0" xfId="126" applyNumberFormat="1" applyFont="1" applyFill="1" applyBorder="1" applyAlignment="1">
      <alignment horizontal="right"/>
    </xf>
    <xf numFmtId="37" fontId="16" fillId="0" borderId="35" xfId="0" applyFont="1" applyFill="1" applyBorder="1"/>
    <xf numFmtId="5" fontId="26" fillId="0" borderId="29" xfId="0" applyNumberFormat="1" applyFont="1" applyFill="1" applyBorder="1" applyAlignment="1">
      <alignment horizontal="right"/>
    </xf>
    <xf numFmtId="37" fontId="32" fillId="0" borderId="29" xfId="0" applyFont="1" applyFill="1" applyBorder="1"/>
    <xf numFmtId="0" fontId="64" fillId="0" borderId="55" xfId="0" applyNumberFormat="1" applyFont="1" applyFill="1" applyBorder="1"/>
    <xf numFmtId="0" fontId="27" fillId="0" borderId="55" xfId="0" applyNumberFormat="1" applyFont="1" applyFill="1" applyBorder="1"/>
    <xf numFmtId="0" fontId="15" fillId="0" borderId="0" xfId="0" applyNumberFormat="1" applyFont="1"/>
    <xf numFmtId="0" fontId="63" fillId="0" borderId="20" xfId="0" applyNumberFormat="1" applyFont="1" applyFill="1" applyBorder="1" applyAlignment="1"/>
    <xf numFmtId="9" fontId="72" fillId="0" borderId="0" xfId="126" applyFont="1" applyFill="1" applyBorder="1"/>
    <xf numFmtId="9" fontId="103" fillId="0" borderId="29" xfId="126" applyFont="1" applyFill="1" applyBorder="1"/>
    <xf numFmtId="5" fontId="64" fillId="0" borderId="0" xfId="0" applyNumberFormat="1" applyFont="1" applyFill="1" applyBorder="1" applyAlignment="1">
      <alignment horizontal="right"/>
    </xf>
    <xf numFmtId="37" fontId="64" fillId="0" borderId="29" xfId="0" applyFont="1" applyFill="1" applyBorder="1" applyAlignment="1">
      <alignment horizontal="right"/>
    </xf>
    <xf numFmtId="5" fontId="64" fillId="0" borderId="29" xfId="0" applyNumberFormat="1" applyFont="1" applyFill="1" applyBorder="1" applyAlignment="1">
      <alignment horizontal="right"/>
    </xf>
    <xf numFmtId="37" fontId="64" fillId="0" borderId="0" xfId="0" applyFont="1" applyAlignment="1">
      <alignment horizontal="right"/>
    </xf>
    <xf numFmtId="37" fontId="64" fillId="0" borderId="0" xfId="0" applyFont="1" applyBorder="1" applyAlignment="1">
      <alignment horizontal="right"/>
    </xf>
    <xf numFmtId="37" fontId="24" fillId="0" borderId="0" xfId="0" applyFont="1" applyAlignment="1">
      <alignment horizontal="right"/>
    </xf>
    <xf numFmtId="5" fontId="64" fillId="0" borderId="29" xfId="0" quotePrefix="1" applyNumberFormat="1" applyFont="1" applyFill="1" applyBorder="1" applyAlignment="1">
      <alignment horizontal="right"/>
    </xf>
    <xf numFmtId="37" fontId="64" fillId="0" borderId="0" xfId="0" applyFont="1" applyFill="1" applyAlignment="1">
      <alignment horizontal="right"/>
    </xf>
    <xf numFmtId="37" fontId="24" fillId="0" borderId="0" xfId="0" applyFont="1" applyFill="1" applyAlignment="1">
      <alignment horizontal="right"/>
    </xf>
    <xf numFmtId="166" fontId="32" fillId="0" borderId="0" xfId="126" applyNumberFormat="1" applyFont="1" applyFill="1" applyBorder="1"/>
    <xf numFmtId="166" fontId="32" fillId="0" borderId="29" xfId="126" applyNumberFormat="1" applyFont="1" applyFill="1" applyBorder="1"/>
    <xf numFmtId="166" fontId="16" fillId="0" borderId="20" xfId="0" applyNumberFormat="1" applyFont="1" applyFill="1" applyBorder="1" applyAlignment="1">
      <alignment horizontal="left"/>
    </xf>
    <xf numFmtId="166" fontId="16" fillId="0" borderId="29" xfId="0" applyNumberFormat="1" applyFont="1" applyBorder="1"/>
    <xf numFmtId="166" fontId="0" fillId="0" borderId="0" xfId="0" applyNumberFormat="1"/>
    <xf numFmtId="166" fontId="21" fillId="18" borderId="56" xfId="0" applyNumberFormat="1" applyFont="1" applyFill="1" applyBorder="1" applyAlignment="1">
      <alignment horizontal="left"/>
    </xf>
    <xf numFmtId="166" fontId="21" fillId="18" borderId="23" xfId="0" applyNumberFormat="1" applyFont="1" applyFill="1" applyBorder="1"/>
    <xf numFmtId="166" fontId="21" fillId="0" borderId="0" xfId="0" applyNumberFormat="1" applyFont="1" applyBorder="1"/>
    <xf numFmtId="166" fontId="21" fillId="0" borderId="0" xfId="0" applyNumberFormat="1" applyFont="1"/>
    <xf numFmtId="166" fontId="26" fillId="0" borderId="29" xfId="0" applyNumberFormat="1" applyFont="1" applyBorder="1"/>
    <xf numFmtId="166" fontId="72" fillId="0" borderId="29" xfId="126" applyNumberFormat="1" applyFont="1" applyFill="1" applyBorder="1"/>
    <xf numFmtId="166" fontId="36" fillId="18" borderId="55" xfId="0" applyNumberFormat="1" applyFont="1" applyFill="1" applyBorder="1"/>
    <xf numFmtId="0" fontId="27" fillId="0" borderId="20" xfId="0" applyNumberFormat="1" applyFont="1" applyFill="1" applyBorder="1" applyAlignment="1">
      <alignment horizontal="left" indent="2"/>
    </xf>
    <xf numFmtId="0" fontId="27" fillId="0" borderId="20" xfId="0" applyNumberFormat="1" applyFont="1" applyBorder="1" applyAlignment="1">
      <alignment horizontal="left" indent="2"/>
    </xf>
    <xf numFmtId="165" fontId="27" fillId="0" borderId="55" xfId="0" applyNumberFormat="1" applyFont="1" applyFill="1" applyBorder="1" applyAlignment="1">
      <alignment horizontal="right"/>
    </xf>
    <xf numFmtId="166" fontId="72" fillId="0" borderId="25" xfId="126" applyNumberFormat="1" applyFont="1" applyFill="1" applyBorder="1"/>
    <xf numFmtId="166" fontId="32" fillId="0" borderId="35" xfId="126" applyNumberFormat="1" applyFont="1" applyFill="1" applyBorder="1"/>
    <xf numFmtId="166" fontId="72" fillId="0" borderId="35" xfId="126" applyNumberFormat="1" applyFont="1" applyFill="1" applyBorder="1"/>
    <xf numFmtId="166" fontId="16" fillId="0" borderId="20" xfId="0" applyNumberFormat="1" applyFont="1" applyFill="1" applyBorder="1" applyAlignment="1"/>
    <xf numFmtId="37" fontId="26" fillId="0" borderId="29" xfId="0" applyFont="1" applyBorder="1"/>
    <xf numFmtId="41" fontId="102" fillId="0" borderId="29" xfId="0" applyNumberFormat="1" applyFont="1" applyFill="1" applyBorder="1"/>
    <xf numFmtId="0" fontId="27" fillId="0" borderId="56" xfId="0" applyNumberFormat="1" applyFont="1" applyFill="1" applyBorder="1"/>
    <xf numFmtId="41" fontId="27" fillId="0" borderId="23" xfId="0" applyNumberFormat="1" applyFont="1" applyFill="1" applyBorder="1"/>
    <xf numFmtId="41" fontId="64" fillId="0" borderId="23" xfId="0" applyNumberFormat="1" applyFont="1" applyFill="1" applyBorder="1"/>
    <xf numFmtId="5" fontId="32" fillId="0" borderId="0" xfId="0" applyNumberFormat="1" applyFont="1" applyBorder="1"/>
    <xf numFmtId="166" fontId="64" fillId="0" borderId="29" xfId="126" quotePrefix="1" applyNumberFormat="1" applyFont="1" applyFill="1" applyBorder="1" applyAlignment="1">
      <alignment horizontal="right"/>
    </xf>
    <xf numFmtId="5" fontId="21" fillId="18" borderId="56" xfId="0" applyNumberFormat="1" applyFont="1" applyFill="1" applyBorder="1" applyAlignment="1"/>
    <xf numFmtId="5" fontId="21" fillId="0" borderId="20" xfId="0" applyNumberFormat="1" applyFont="1" applyBorder="1" applyAlignment="1"/>
    <xf numFmtId="9" fontId="64" fillId="0" borderId="11" xfId="126" applyNumberFormat="1" applyFont="1" applyBorder="1"/>
    <xf numFmtId="9" fontId="64" fillId="0" borderId="35" xfId="126" applyNumberFormat="1" applyFont="1" applyBorder="1"/>
    <xf numFmtId="37" fontId="26" fillId="0" borderId="29" xfId="0" applyFont="1" applyBorder="1" applyAlignment="1">
      <alignment horizontal="right"/>
    </xf>
    <xf numFmtId="37" fontId="64" fillId="0" borderId="20" xfId="0" quotePrefix="1" applyFont="1" applyBorder="1" applyAlignment="1">
      <alignment horizontal="right"/>
    </xf>
    <xf numFmtId="166" fontId="64" fillId="0" borderId="0" xfId="126" quotePrefix="1" applyNumberFormat="1" applyFont="1" applyFill="1" applyBorder="1" applyAlignment="1">
      <alignment horizontal="right"/>
    </xf>
    <xf numFmtId="37" fontId="26" fillId="0" borderId="35" xfId="0" applyFont="1" applyFill="1" applyBorder="1"/>
    <xf numFmtId="0" fontId="16" fillId="0" borderId="20" xfId="0" applyNumberFormat="1" applyFont="1" applyFill="1" applyBorder="1"/>
    <xf numFmtId="0" fontId="16" fillId="0" borderId="25" xfId="0" applyNumberFormat="1" applyFont="1" applyFill="1" applyBorder="1"/>
    <xf numFmtId="37" fontId="26" fillId="0" borderId="11" xfId="0" applyFont="1" applyFill="1" applyBorder="1"/>
    <xf numFmtId="5" fontId="20" fillId="0" borderId="29" xfId="0" applyNumberFormat="1" applyFont="1" applyBorder="1"/>
    <xf numFmtId="169" fontId="64" fillId="0" borderId="0" xfId="126" applyNumberFormat="1" applyFont="1" applyBorder="1" applyAlignment="1">
      <alignment horizontal="right"/>
    </xf>
    <xf numFmtId="9" fontId="64" fillId="0" borderId="0" xfId="126" applyFont="1" applyFill="1" applyBorder="1" applyAlignment="1">
      <alignment horizontal="right"/>
    </xf>
    <xf numFmtId="9" fontId="64" fillId="0" borderId="21" xfId="126" applyFont="1" applyFill="1" applyBorder="1" applyAlignment="1">
      <alignment horizontal="right"/>
    </xf>
    <xf numFmtId="5" fontId="16" fillId="0" borderId="20" xfId="0" applyNumberFormat="1" applyFont="1" applyBorder="1" applyAlignment="1"/>
    <xf numFmtId="5" fontId="16" fillId="0" borderId="29" xfId="77" applyNumberFormat="1" applyFont="1" applyFill="1" applyBorder="1" applyAlignment="1">
      <alignment horizontal="right"/>
    </xf>
    <xf numFmtId="5" fontId="16" fillId="0" borderId="0" xfId="77" applyNumberFormat="1" applyFont="1" applyFill="1" applyBorder="1" applyAlignment="1">
      <alignment horizontal="right"/>
    </xf>
    <xf numFmtId="5" fontId="16" fillId="0" borderId="20" xfId="0" applyNumberFormat="1" applyFont="1" applyBorder="1" applyAlignment="1">
      <alignment horizontal="left"/>
    </xf>
    <xf numFmtId="41" fontId="43" fillId="0" borderId="0" xfId="77" applyNumberFormat="1" applyFont="1" applyBorder="1" applyAlignment="1">
      <alignment horizontal="right"/>
    </xf>
    <xf numFmtId="166" fontId="64" fillId="0" borderId="35" xfId="126" applyNumberFormat="1" applyFont="1" applyFill="1" applyBorder="1" applyAlignment="1">
      <alignment horizontal="right"/>
    </xf>
    <xf numFmtId="5" fontId="32" fillId="0" borderId="0" xfId="77" applyNumberFormat="1" applyFont="1" applyFill="1" applyBorder="1"/>
    <xf numFmtId="180" fontId="32" fillId="0" borderId="0" xfId="77" applyNumberFormat="1" applyFont="1" applyFill="1" applyBorder="1"/>
    <xf numFmtId="5" fontId="44" fillId="18" borderId="23" xfId="77" applyNumberFormat="1" applyFont="1" applyFill="1" applyBorder="1"/>
    <xf numFmtId="9" fontId="26" fillId="0" borderId="29" xfId="0" applyNumberFormat="1" applyFont="1" applyFill="1" applyBorder="1"/>
    <xf numFmtId="9" fontId="36" fillId="18" borderId="55" xfId="126" applyFont="1" applyFill="1" applyBorder="1"/>
    <xf numFmtId="5" fontId="26" fillId="0" borderId="29" xfId="77" applyNumberFormat="1" applyFont="1" applyFill="1" applyBorder="1" applyAlignment="1"/>
    <xf numFmtId="180" fontId="26" fillId="0" borderId="29" xfId="77" applyNumberFormat="1" applyFont="1" applyFill="1" applyBorder="1"/>
    <xf numFmtId="5" fontId="36" fillId="18" borderId="55" xfId="77" applyNumberFormat="1" applyFont="1" applyFill="1" applyBorder="1"/>
    <xf numFmtId="9" fontId="26" fillId="0" borderId="29" xfId="126" applyFont="1" applyFill="1" applyBorder="1"/>
    <xf numFmtId="37" fontId="16" fillId="0" borderId="20" xfId="0" applyNumberFormat="1" applyFont="1" applyFill="1" applyBorder="1" applyAlignment="1">
      <alignment horizontal="left"/>
    </xf>
    <xf numFmtId="37" fontId="19" fillId="0" borderId="29" xfId="126" applyNumberFormat="1" applyFont="1" applyFill="1" applyBorder="1"/>
    <xf numFmtId="166" fontId="26" fillId="0" borderId="29" xfId="0" applyNumberFormat="1" applyFont="1" applyFill="1" applyBorder="1" applyAlignment="1">
      <alignment horizontal="right"/>
    </xf>
    <xf numFmtId="166" fontId="26" fillId="0" borderId="29" xfId="0" applyNumberFormat="1" applyFont="1" applyBorder="1" applyAlignment="1">
      <alignment horizontal="right"/>
    </xf>
    <xf numFmtId="166" fontId="26" fillId="18" borderId="23" xfId="0" applyNumberFormat="1" applyFont="1" applyFill="1" applyBorder="1" applyAlignment="1">
      <alignment horizontal="right"/>
    </xf>
    <xf numFmtId="166" fontId="26" fillId="18" borderId="55" xfId="0" applyNumberFormat="1" applyFont="1" applyFill="1" applyBorder="1" applyAlignment="1">
      <alignment horizontal="right"/>
    </xf>
    <xf numFmtId="166" fontId="26" fillId="18" borderId="23" xfId="126" applyNumberFormat="1" applyFont="1" applyFill="1" applyBorder="1" applyAlignment="1">
      <alignment horizontal="right"/>
    </xf>
    <xf numFmtId="5" fontId="26" fillId="0" borderId="0" xfId="0" applyNumberFormat="1" applyFont="1" applyFill="1" applyBorder="1" applyAlignment="1">
      <alignment horizontal="right"/>
    </xf>
    <xf numFmtId="0" fontId="64" fillId="0" borderId="20" xfId="126" applyNumberFormat="1" applyFont="1" applyFill="1" applyBorder="1" applyAlignment="1">
      <alignment horizontal="left" indent="1"/>
    </xf>
    <xf numFmtId="0" fontId="26" fillId="0" borderId="0" xfId="0" applyNumberFormat="1" applyFont="1" applyFill="1" applyBorder="1" applyAlignment="1">
      <alignment horizontal="right"/>
    </xf>
    <xf numFmtId="9" fontId="26" fillId="0" borderId="0" xfId="126" applyFont="1" applyFill="1" applyBorder="1" applyAlignment="1">
      <alignment horizontal="right"/>
    </xf>
    <xf numFmtId="166" fontId="26" fillId="0" borderId="29" xfId="0" applyNumberFormat="1" applyFont="1" applyFill="1" applyBorder="1"/>
    <xf numFmtId="166" fontId="16" fillId="0" borderId="21" xfId="0" applyNumberFormat="1" applyFont="1" applyFill="1" applyBorder="1"/>
    <xf numFmtId="166" fontId="16" fillId="0" borderId="29" xfId="0" applyNumberFormat="1" applyFont="1" applyFill="1" applyBorder="1"/>
    <xf numFmtId="166" fontId="0" fillId="0" borderId="0" xfId="0" applyNumberFormat="1" applyFill="1"/>
    <xf numFmtId="166" fontId="21" fillId="0" borderId="20" xfId="0" applyNumberFormat="1" applyFont="1" applyFill="1" applyBorder="1" applyAlignment="1">
      <alignment horizontal="left"/>
    </xf>
    <xf numFmtId="166" fontId="36" fillId="0" borderId="0" xfId="0" applyNumberFormat="1" applyFont="1" applyFill="1" applyBorder="1"/>
    <xf numFmtId="166" fontId="36" fillId="0" borderId="29" xfId="0" applyNumberFormat="1" applyFont="1" applyFill="1" applyBorder="1"/>
    <xf numFmtId="166" fontId="36" fillId="0" borderId="29" xfId="0" applyNumberFormat="1" applyFont="1" applyFill="1" applyBorder="1" applyAlignment="1">
      <alignment horizontal="right"/>
    </xf>
    <xf numFmtId="166" fontId="21" fillId="0" borderId="0" xfId="0" applyNumberFormat="1" applyFont="1" applyFill="1" applyBorder="1"/>
    <xf numFmtId="166" fontId="21" fillId="0" borderId="29" xfId="0" applyNumberFormat="1" applyFont="1" applyFill="1" applyBorder="1"/>
    <xf numFmtId="166" fontId="21" fillId="0" borderId="0" xfId="0" applyNumberFormat="1" applyFont="1" applyFill="1"/>
    <xf numFmtId="166" fontId="22" fillId="0" borderId="0" xfId="0" applyNumberFormat="1" applyFont="1" applyFill="1"/>
    <xf numFmtId="166" fontId="21" fillId="0" borderId="56" xfId="0" applyNumberFormat="1" applyFont="1" applyFill="1" applyBorder="1" applyAlignment="1">
      <alignment horizontal="left"/>
    </xf>
    <xf numFmtId="166" fontId="26" fillId="0" borderId="23" xfId="0" applyNumberFormat="1" applyFont="1" applyFill="1" applyBorder="1" applyAlignment="1">
      <alignment horizontal="right"/>
    </xf>
    <xf numFmtId="166" fontId="26" fillId="0" borderId="55" xfId="0" applyNumberFormat="1" applyFont="1" applyFill="1" applyBorder="1" applyAlignment="1">
      <alignment horizontal="right"/>
    </xf>
    <xf numFmtId="166" fontId="26" fillId="0" borderId="23" xfId="126" applyNumberFormat="1" applyFont="1" applyFill="1" applyBorder="1" applyAlignment="1">
      <alignment horizontal="right"/>
    </xf>
    <xf numFmtId="166" fontId="36" fillId="0" borderId="23" xfId="126" applyNumberFormat="1" applyFont="1" applyFill="1" applyBorder="1"/>
    <xf numFmtId="166" fontId="36" fillId="0" borderId="55" xfId="0" applyNumberFormat="1" applyFont="1" applyFill="1" applyBorder="1"/>
    <xf numFmtId="166" fontId="21" fillId="0" borderId="23" xfId="0" applyNumberFormat="1" applyFont="1" applyFill="1" applyBorder="1"/>
    <xf numFmtId="166" fontId="21" fillId="0" borderId="55" xfId="0" applyNumberFormat="1" applyFont="1" applyFill="1" applyBorder="1"/>
    <xf numFmtId="7" fontId="16" fillId="0" borderId="0" xfId="0" applyNumberFormat="1" applyFont="1" applyFill="1" applyBorder="1" applyAlignment="1"/>
    <xf numFmtId="7" fontId="16" fillId="0" borderId="0" xfId="0" applyNumberFormat="1" applyFont="1" applyFill="1" applyBorder="1"/>
    <xf numFmtId="7" fontId="21" fillId="0" borderId="0" xfId="0" applyNumberFormat="1" applyFont="1" applyFill="1" applyBorder="1"/>
    <xf numFmtId="7" fontId="0" fillId="0" borderId="0" xfId="0" applyNumberFormat="1"/>
    <xf numFmtId="41" fontId="26" fillId="0" borderId="21" xfId="0" applyNumberFormat="1" applyFont="1" applyFill="1" applyBorder="1"/>
    <xf numFmtId="183" fontId="44" fillId="18" borderId="23" xfId="0" applyNumberFormat="1" applyFont="1" applyFill="1" applyBorder="1"/>
    <xf numFmtId="183" fontId="44" fillId="18" borderId="55" xfId="0" applyNumberFormat="1" applyFont="1" applyFill="1" applyBorder="1"/>
    <xf numFmtId="183" fontId="32" fillId="0" borderId="0" xfId="0" applyNumberFormat="1" applyFont="1" applyFill="1" applyBorder="1"/>
    <xf numFmtId="183" fontId="32" fillId="0" borderId="29" xfId="0" applyNumberFormat="1" applyFont="1" applyFill="1" applyBorder="1"/>
    <xf numFmtId="166" fontId="27" fillId="0" borderId="20" xfId="0" applyNumberFormat="1" applyFont="1" applyFill="1" applyBorder="1" applyAlignment="1">
      <alignment horizontal="left" indent="1"/>
    </xf>
    <xf numFmtId="166" fontId="16" fillId="0" borderId="70" xfId="0" applyNumberFormat="1" applyFont="1" applyFill="1" applyBorder="1" applyAlignment="1">
      <alignment horizontal="right"/>
    </xf>
    <xf numFmtId="166" fontId="16" fillId="0" borderId="36" xfId="0" applyNumberFormat="1" applyFont="1" applyFill="1" applyBorder="1" applyAlignment="1">
      <alignment horizontal="right"/>
    </xf>
    <xf numFmtId="166" fontId="16" fillId="0" borderId="26" xfId="0" applyNumberFormat="1" applyFont="1" applyFill="1" applyBorder="1" applyAlignment="1">
      <alignment horizontal="right"/>
    </xf>
    <xf numFmtId="166" fontId="16" fillId="0" borderId="0" xfId="0" applyNumberFormat="1" applyFont="1" applyFill="1" applyBorder="1" applyAlignment="1">
      <alignment horizontal="left"/>
    </xf>
    <xf numFmtId="0" fontId="27" fillId="0" borderId="0" xfId="0" applyNumberFormat="1" applyFont="1" applyBorder="1" applyAlignment="1">
      <alignment horizontal="left" indent="1"/>
    </xf>
    <xf numFmtId="173" fontId="26" fillId="0" borderId="11" xfId="117" applyNumberFormat="1" applyFont="1" applyFill="1" applyBorder="1" applyAlignment="1">
      <alignment horizontal="center"/>
    </xf>
    <xf numFmtId="41" fontId="28" fillId="0" borderId="0" xfId="77" applyNumberFormat="1" applyFont="1" applyFill="1" applyBorder="1" applyAlignment="1">
      <alignment horizontal="right"/>
    </xf>
    <xf numFmtId="41" fontId="29" fillId="0" borderId="29" xfId="77" applyNumberFormat="1" applyFont="1" applyFill="1" applyBorder="1" applyAlignment="1">
      <alignment horizontal="right"/>
    </xf>
    <xf numFmtId="41" fontId="28" fillId="0" borderId="29" xfId="77" applyNumberFormat="1" applyFont="1" applyFill="1" applyBorder="1" applyAlignment="1">
      <alignment horizontal="right"/>
    </xf>
    <xf numFmtId="41" fontId="104" fillId="0" borderId="29" xfId="0" applyNumberFormat="1" applyFont="1" applyFill="1" applyBorder="1"/>
    <xf numFmtId="0" fontId="36" fillId="19" borderId="23" xfId="0" applyNumberFormat="1" applyFont="1" applyFill="1" applyBorder="1" applyAlignment="1">
      <alignment horizontal="right"/>
    </xf>
    <xf numFmtId="0" fontId="27" fillId="0" borderId="20" xfId="0" applyNumberFormat="1" applyFont="1" applyFill="1" applyBorder="1"/>
    <xf numFmtId="0" fontId="16" fillId="22" borderId="20" xfId="0" applyNumberFormat="1" applyFont="1" applyFill="1" applyBorder="1" applyAlignment="1"/>
    <xf numFmtId="0" fontId="16" fillId="23" borderId="20" xfId="0" applyNumberFormat="1" applyFont="1" applyFill="1" applyBorder="1" applyAlignment="1">
      <alignment horizontal="left"/>
    </xf>
    <xf numFmtId="0" fontId="16" fillId="17" borderId="20" xfId="0" applyNumberFormat="1" applyFont="1" applyFill="1" applyBorder="1" applyAlignment="1">
      <alignment horizontal="left"/>
    </xf>
    <xf numFmtId="0" fontId="64" fillId="0" borderId="23" xfId="0" applyNumberFormat="1" applyFont="1" applyFill="1" applyBorder="1" applyAlignment="1">
      <alignment horizontal="right"/>
    </xf>
    <xf numFmtId="0" fontId="64" fillId="0" borderId="23" xfId="0" applyNumberFormat="1" applyFont="1" applyFill="1" applyBorder="1"/>
    <xf numFmtId="41" fontId="64" fillId="0" borderId="29" xfId="0" applyNumberFormat="1" applyFont="1" applyFill="1" applyBorder="1" applyAlignment="1">
      <alignment horizontal="center"/>
    </xf>
    <xf numFmtId="41" fontId="105" fillId="0" borderId="0" xfId="0" applyNumberFormat="1" applyFont="1" applyFill="1" applyBorder="1"/>
    <xf numFmtId="37" fontId="28" fillId="0" borderId="0" xfId="0" applyFont="1" applyBorder="1"/>
    <xf numFmtId="43" fontId="16" fillId="0" borderId="29" xfId="0" applyNumberFormat="1" applyFont="1" applyBorder="1"/>
    <xf numFmtId="41" fontId="16" fillId="0" borderId="0" xfId="0" applyNumberFormat="1" applyFont="1" applyFill="1" applyAlignment="1">
      <alignment horizontal="left"/>
    </xf>
    <xf numFmtId="41" fontId="16" fillId="0" borderId="0" xfId="0" applyNumberFormat="1" applyFont="1" applyFill="1"/>
    <xf numFmtId="37" fontId="19" fillId="0" borderId="21" xfId="126" applyNumberFormat="1" applyFont="1" applyFill="1" applyBorder="1"/>
    <xf numFmtId="37" fontId="19" fillId="0" borderId="0" xfId="126" applyNumberFormat="1" applyFont="1" applyFill="1" applyBorder="1"/>
    <xf numFmtId="171" fontId="21" fillId="19" borderId="0" xfId="0" applyNumberFormat="1" applyFont="1" applyFill="1" applyBorder="1" applyAlignment="1">
      <alignment horizontal="right"/>
    </xf>
    <xf numFmtId="37" fontId="42" fillId="0" borderId="0" xfId="0" applyFont="1"/>
    <xf numFmtId="168" fontId="21" fillId="0" borderId="11" xfId="0" applyNumberFormat="1" applyFont="1" applyBorder="1" applyAlignment="1">
      <alignment horizontal="right"/>
    </xf>
    <xf numFmtId="37" fontId="36" fillId="0" borderId="11" xfId="0" applyFont="1" applyBorder="1" applyAlignment="1">
      <alignment horizontal="right"/>
    </xf>
    <xf numFmtId="5" fontId="35" fillId="0" borderId="29" xfId="119" applyNumberFormat="1" applyFont="1" applyFill="1" applyBorder="1"/>
    <xf numFmtId="37" fontId="31" fillId="0" borderId="0" xfId="0" applyNumberFormat="1" applyFont="1" applyFill="1" applyBorder="1" applyAlignment="1">
      <alignment horizontal="right"/>
    </xf>
    <xf numFmtId="37" fontId="41" fillId="0" borderId="0" xfId="0" applyFont="1" applyAlignment="1">
      <alignment horizontal="right"/>
    </xf>
    <xf numFmtId="37" fontId="106" fillId="0" borderId="0" xfId="0" applyFont="1" applyFill="1" applyBorder="1" applyAlignment="1">
      <alignment horizontal="right"/>
    </xf>
    <xf numFmtId="9" fontId="31" fillId="0" borderId="0" xfId="0" applyNumberFormat="1" applyFont="1" applyFill="1" applyBorder="1" applyAlignment="1">
      <alignment horizontal="right"/>
    </xf>
    <xf numFmtId="37" fontId="21" fillId="0" borderId="29" xfId="0" applyNumberFormat="1" applyFont="1" applyFill="1" applyBorder="1" applyAlignment="1">
      <alignment horizontal="center"/>
    </xf>
    <xf numFmtId="37" fontId="21" fillId="0" borderId="35" xfId="0" applyNumberFormat="1" applyFont="1" applyFill="1" applyBorder="1" applyAlignment="1">
      <alignment horizontal="center"/>
    </xf>
    <xf numFmtId="37" fontId="21" fillId="0" borderId="29" xfId="0" applyNumberFormat="1" applyFont="1" applyFill="1" applyBorder="1" applyAlignment="1">
      <alignment horizontal="right"/>
    </xf>
    <xf numFmtId="37" fontId="16" fillId="0" borderId="11" xfId="0" applyNumberFormat="1" applyFont="1" applyBorder="1" applyAlignment="1">
      <alignment horizontal="left"/>
    </xf>
    <xf numFmtId="9" fontId="26" fillId="0" borderId="11" xfId="126" applyFont="1" applyBorder="1" applyAlignment="1">
      <alignment horizontal="right"/>
    </xf>
    <xf numFmtId="9" fontId="0" fillId="0" borderId="11" xfId="126" applyFont="1" applyBorder="1" applyAlignment="1">
      <alignment horizontal="right"/>
    </xf>
    <xf numFmtId="37" fontId="26" fillId="0" borderId="11" xfId="0" applyNumberFormat="1" applyFont="1" applyBorder="1" applyAlignment="1">
      <alignment horizontal="right"/>
    </xf>
    <xf numFmtId="9" fontId="0" fillId="0" borderId="0" xfId="126" applyFont="1" applyBorder="1" applyAlignment="1">
      <alignment horizontal="right"/>
    </xf>
    <xf numFmtId="37" fontId="26" fillId="0" borderId="29" xfId="0" applyNumberFormat="1" applyFont="1" applyBorder="1" applyAlignment="1">
      <alignment horizontal="right"/>
    </xf>
    <xf numFmtId="37" fontId="36" fillId="18" borderId="55" xfId="0" applyNumberFormat="1" applyFont="1" applyFill="1" applyBorder="1" applyAlignment="1">
      <alignment horizontal="right"/>
    </xf>
    <xf numFmtId="7" fontId="36" fillId="18" borderId="55" xfId="79" applyNumberFormat="1" applyFont="1" applyFill="1" applyBorder="1" applyAlignment="1">
      <alignment horizontal="right"/>
    </xf>
    <xf numFmtId="37" fontId="25" fillId="0" borderId="29" xfId="0" applyNumberFormat="1" applyFont="1" applyFill="1" applyBorder="1" applyAlignment="1">
      <alignment horizontal="right"/>
    </xf>
    <xf numFmtId="9" fontId="26" fillId="0" borderId="29" xfId="0" applyNumberFormat="1" applyFont="1" applyBorder="1" applyAlignment="1">
      <alignment horizontal="center"/>
    </xf>
    <xf numFmtId="9" fontId="36" fillId="0" borderId="29" xfId="0" applyNumberFormat="1" applyFont="1" applyFill="1" applyBorder="1" applyAlignment="1">
      <alignment horizontal="center"/>
    </xf>
    <xf numFmtId="9" fontId="26" fillId="0" borderId="29" xfId="126" applyFont="1" applyBorder="1" applyAlignment="1">
      <alignment horizontal="right"/>
    </xf>
    <xf numFmtId="0" fontId="26" fillId="0" borderId="29" xfId="0" applyNumberFormat="1" applyFont="1" applyBorder="1" applyAlignment="1">
      <alignment horizontal="right"/>
    </xf>
    <xf numFmtId="5" fontId="36" fillId="18" borderId="35" xfId="0" applyNumberFormat="1" applyFont="1" applyFill="1" applyBorder="1" applyAlignment="1">
      <alignment horizontal="right"/>
    </xf>
    <xf numFmtId="166" fontId="0" fillId="0" borderId="29" xfId="126" applyNumberFormat="1" applyFont="1" applyBorder="1"/>
    <xf numFmtId="166" fontId="26" fillId="0" borderId="20" xfId="0" applyNumberFormat="1" applyFont="1" applyBorder="1"/>
    <xf numFmtId="7" fontId="16" fillId="0" borderId="0" xfId="117" applyNumberFormat="1" applyFont="1"/>
    <xf numFmtId="41" fontId="32" fillId="0" borderId="0" xfId="77" applyNumberFormat="1" applyFont="1" applyBorder="1" applyAlignment="1">
      <alignment horizontal="right"/>
    </xf>
    <xf numFmtId="7" fontId="26" fillId="0" borderId="0" xfId="79" applyNumberFormat="1" applyFont="1"/>
    <xf numFmtId="9" fontId="16" fillId="0" borderId="21" xfId="126" applyFont="1" applyBorder="1" applyAlignment="1">
      <alignment horizontal="right"/>
    </xf>
    <xf numFmtId="168" fontId="16" fillId="0" borderId="0" xfId="126" applyNumberFormat="1" applyFont="1"/>
    <xf numFmtId="37" fontId="16" fillId="0" borderId="0" xfId="126" applyNumberFormat="1" applyFont="1" applyBorder="1" applyAlignment="1">
      <alignment horizontal="right"/>
    </xf>
    <xf numFmtId="166" fontId="16" fillId="0" borderId="21" xfId="126" applyNumberFormat="1" applyFont="1" applyBorder="1" applyAlignment="1">
      <alignment horizontal="right"/>
    </xf>
    <xf numFmtId="7" fontId="29" fillId="0" borderId="0" xfId="79" applyNumberFormat="1" applyFont="1" applyBorder="1" applyAlignment="1">
      <alignment horizontal="right"/>
    </xf>
    <xf numFmtId="7" fontId="29" fillId="0" borderId="21" xfId="79" applyNumberFormat="1" applyFont="1" applyBorder="1" applyAlignment="1">
      <alignment horizontal="right"/>
    </xf>
    <xf numFmtId="7" fontId="29" fillId="0" borderId="20" xfId="79" applyNumberFormat="1" applyFont="1" applyBorder="1" applyAlignment="1">
      <alignment horizontal="right"/>
    </xf>
    <xf numFmtId="168" fontId="16" fillId="0" borderId="11" xfId="0" applyNumberFormat="1" applyFont="1" applyBorder="1"/>
    <xf numFmtId="168" fontId="16" fillId="0" borderId="11" xfId="0" applyNumberFormat="1" applyFont="1" applyBorder="1" applyAlignment="1">
      <alignment horizontal="right"/>
    </xf>
    <xf numFmtId="166" fontId="16" fillId="0" borderId="22" xfId="0" applyNumberFormat="1" applyFont="1" applyBorder="1" applyAlignment="1">
      <alignment horizontal="right"/>
    </xf>
    <xf numFmtId="188" fontId="16" fillId="0" borderId="0" xfId="119" applyNumberFormat="1" applyFont="1" applyBorder="1"/>
    <xf numFmtId="165" fontId="64" fillId="0" borderId="23" xfId="0" applyNumberFormat="1" applyFont="1" applyFill="1" applyBorder="1" applyAlignment="1">
      <alignment horizontal="right"/>
    </xf>
    <xf numFmtId="9" fontId="3" fillId="0" borderId="0" xfId="126" applyFont="1" applyBorder="1" applyAlignment="1">
      <alignment horizontal="right"/>
    </xf>
    <xf numFmtId="41" fontId="35" fillId="0" borderId="29" xfId="119" applyNumberFormat="1" applyFont="1" applyFill="1" applyBorder="1"/>
    <xf numFmtId="37" fontId="21" fillId="0" borderId="11" xfId="0" applyNumberFormat="1" applyFont="1" applyFill="1" applyBorder="1" applyAlignment="1"/>
    <xf numFmtId="7" fontId="16" fillId="18" borderId="0" xfId="0" applyNumberFormat="1" applyFont="1" applyFill="1"/>
    <xf numFmtId="9" fontId="16" fillId="18" borderId="23" xfId="0" quotePrefix="1" applyNumberFormat="1" applyFont="1" applyFill="1" applyBorder="1" applyAlignment="1">
      <alignment horizontal="right"/>
    </xf>
    <xf numFmtId="37" fontId="21" fillId="18" borderId="23" xfId="0" applyNumberFormat="1" applyFont="1" applyFill="1" applyBorder="1" applyAlignment="1">
      <alignment horizontal="right"/>
    </xf>
    <xf numFmtId="9" fontId="16" fillId="0" borderId="0" xfId="0" quotePrefix="1" applyNumberFormat="1" applyFont="1" applyBorder="1" applyAlignment="1">
      <alignment horizontal="right"/>
    </xf>
    <xf numFmtId="7" fontId="21" fillId="18" borderId="23" xfId="79" applyNumberFormat="1" applyFont="1" applyFill="1" applyBorder="1" applyAlignment="1">
      <alignment horizontal="right"/>
    </xf>
    <xf numFmtId="44" fontId="21" fillId="18" borderId="23" xfId="79" applyFont="1" applyFill="1" applyBorder="1" applyAlignment="1">
      <alignment horizontal="right"/>
    </xf>
    <xf numFmtId="37" fontId="66" fillId="0" borderId="0" xfId="0" applyFont="1" applyFill="1" applyAlignment="1">
      <alignment horizontal="right"/>
    </xf>
    <xf numFmtId="9" fontId="16" fillId="0" borderId="0" xfId="0" applyNumberFormat="1" applyFont="1" applyBorder="1" applyAlignment="1">
      <alignment horizontal="center"/>
    </xf>
    <xf numFmtId="9" fontId="16" fillId="0" borderId="0" xfId="0" quotePrefix="1" applyNumberFormat="1" applyFont="1" applyBorder="1" applyAlignment="1">
      <alignment horizontal="center"/>
    </xf>
    <xf numFmtId="9" fontId="21" fillId="0" borderId="0" xfId="0" applyNumberFormat="1" applyFont="1" applyFill="1" applyBorder="1" applyAlignment="1">
      <alignment horizontal="center"/>
    </xf>
    <xf numFmtId="9" fontId="21" fillId="0" borderId="0" xfId="0" quotePrefix="1" applyNumberFormat="1" applyFont="1" applyFill="1" applyBorder="1" applyAlignment="1">
      <alignment horizontal="center"/>
    </xf>
    <xf numFmtId="166" fontId="21" fillId="0" borderId="0" xfId="0" applyNumberFormat="1" applyFont="1" applyFill="1" applyBorder="1" applyAlignment="1">
      <alignment horizontal="center"/>
    </xf>
    <xf numFmtId="9" fontId="21" fillId="0" borderId="0" xfId="0" applyNumberFormat="1" applyFont="1" applyBorder="1" applyAlignment="1">
      <alignment horizontal="center"/>
    </xf>
    <xf numFmtId="9" fontId="21" fillId="0" borderId="0" xfId="0" quotePrefix="1" applyNumberFormat="1" applyFont="1" applyBorder="1" applyAlignment="1">
      <alignment horizontal="center"/>
    </xf>
    <xf numFmtId="9" fontId="16" fillId="0" borderId="0" xfId="0" applyNumberFormat="1" applyFont="1" applyBorder="1" applyAlignment="1">
      <alignment horizontal="right"/>
    </xf>
    <xf numFmtId="37" fontId="66" fillId="0" borderId="0" xfId="0" applyFont="1" applyBorder="1" applyAlignment="1">
      <alignment horizontal="right"/>
    </xf>
    <xf numFmtId="0" fontId="16" fillId="0" borderId="0" xfId="0" applyNumberFormat="1" applyFont="1" applyBorder="1" applyAlignment="1">
      <alignment horizontal="right"/>
    </xf>
    <xf numFmtId="9" fontId="16" fillId="0" borderId="11" xfId="126" applyFont="1" applyBorder="1" applyAlignment="1">
      <alignment horizontal="right"/>
    </xf>
    <xf numFmtId="9" fontId="66" fillId="0" borderId="11" xfId="126" applyFont="1" applyBorder="1" applyAlignment="1">
      <alignment horizontal="right"/>
    </xf>
    <xf numFmtId="37" fontId="16" fillId="0" borderId="11" xfId="0" applyNumberFormat="1" applyFont="1" applyBorder="1" applyAlignment="1">
      <alignment horizontal="right"/>
    </xf>
    <xf numFmtId="37" fontId="16" fillId="0" borderId="11" xfId="0" applyNumberFormat="1" applyFont="1" applyFill="1" applyBorder="1" applyAlignment="1"/>
    <xf numFmtId="166" fontId="72" fillId="0" borderId="0" xfId="126" applyNumberFormat="1" applyFont="1" applyBorder="1"/>
    <xf numFmtId="166" fontId="107" fillId="0" borderId="0" xfId="126" applyNumberFormat="1" applyFont="1" applyBorder="1"/>
    <xf numFmtId="166" fontId="107" fillId="0" borderId="29" xfId="126" applyNumberFormat="1" applyFont="1" applyBorder="1"/>
    <xf numFmtId="166" fontId="72" fillId="0" borderId="11" xfId="0" applyNumberFormat="1" applyFont="1" applyFill="1" applyBorder="1"/>
    <xf numFmtId="166" fontId="21" fillId="0" borderId="0" xfId="0" applyNumberFormat="1" applyFont="1" applyBorder="1" applyAlignment="1">
      <alignment horizontal="center"/>
    </xf>
    <xf numFmtId="39" fontId="0" fillId="0" borderId="0" xfId="0" applyNumberFormat="1" applyBorder="1"/>
    <xf numFmtId="5" fontId="19" fillId="0" borderId="29" xfId="119" applyNumberFormat="1" applyFont="1" applyBorder="1"/>
    <xf numFmtId="5" fontId="26" fillId="0" borderId="0" xfId="119" applyNumberFormat="1" applyFont="1" applyBorder="1"/>
    <xf numFmtId="5" fontId="20" fillId="18" borderId="55" xfId="119" applyNumberFormat="1" applyFont="1" applyFill="1" applyBorder="1"/>
    <xf numFmtId="5" fontId="29" fillId="0" borderId="0" xfId="119" applyNumberFormat="1" applyFont="1" applyBorder="1"/>
    <xf numFmtId="5" fontId="20" fillId="0" borderId="29" xfId="119" applyNumberFormat="1" applyFont="1" applyBorder="1"/>
    <xf numFmtId="5" fontId="35" fillId="0" borderId="29" xfId="0" applyNumberFormat="1" applyFont="1" applyBorder="1" applyAlignment="1">
      <alignment horizontal="right"/>
    </xf>
    <xf numFmtId="5" fontId="29" fillId="0" borderId="0" xfId="0" applyNumberFormat="1" applyFont="1" applyBorder="1" applyAlignment="1">
      <alignment horizontal="right"/>
    </xf>
    <xf numFmtId="5" fontId="28" fillId="0" borderId="0" xfId="119" applyNumberFormat="1" applyFont="1" applyBorder="1"/>
    <xf numFmtId="5" fontId="36" fillId="0" borderId="0" xfId="119" applyNumberFormat="1" applyFont="1" applyBorder="1"/>
    <xf numFmtId="5" fontId="20" fillId="0" borderId="29" xfId="119" applyNumberFormat="1" applyFont="1" applyFill="1" applyBorder="1"/>
    <xf numFmtId="5" fontId="16" fillId="0" borderId="29" xfId="119" applyNumberFormat="1" applyFont="1" applyBorder="1"/>
    <xf numFmtId="5" fontId="21" fillId="18" borderId="55" xfId="119" applyNumberFormat="1" applyFont="1" applyFill="1" applyBorder="1"/>
    <xf numFmtId="5" fontId="29" fillId="0" borderId="29" xfId="119" applyNumberFormat="1" applyFont="1" applyBorder="1"/>
    <xf numFmtId="5" fontId="21" fillId="0" borderId="29" xfId="119" applyNumberFormat="1" applyFont="1" applyBorder="1"/>
    <xf numFmtId="5" fontId="29" fillId="0" borderId="29" xfId="0" applyNumberFormat="1" applyFont="1" applyBorder="1" applyAlignment="1">
      <alignment horizontal="right"/>
    </xf>
    <xf numFmtId="5" fontId="21" fillId="0" borderId="29" xfId="119" applyNumberFormat="1" applyFont="1" applyFill="1" applyBorder="1"/>
    <xf numFmtId="37" fontId="19" fillId="0" borderId="29" xfId="119" applyNumberFormat="1" applyFont="1" applyBorder="1"/>
    <xf numFmtId="37" fontId="26" fillId="0" borderId="0" xfId="119" applyNumberFormat="1" applyFont="1" applyBorder="1"/>
    <xf numFmtId="188" fontId="21" fillId="0" borderId="0" xfId="119" applyNumberFormat="1" applyFont="1" applyBorder="1"/>
    <xf numFmtId="9" fontId="21" fillId="0" borderId="0" xfId="126" applyFont="1" applyBorder="1"/>
    <xf numFmtId="191" fontId="16" fillId="0" borderId="0" xfId="119" applyNumberFormat="1" applyFont="1"/>
    <xf numFmtId="5" fontId="44" fillId="0" borderId="0" xfId="0" applyNumberFormat="1" applyFont="1" applyFill="1" applyBorder="1"/>
    <xf numFmtId="169" fontId="64" fillId="0" borderId="0" xfId="126" applyNumberFormat="1" applyFont="1" applyFill="1" applyBorder="1" applyAlignment="1">
      <alignment horizontal="right"/>
    </xf>
    <xf numFmtId="169" fontId="64" fillId="0" borderId="29" xfId="126" applyNumberFormat="1" applyFont="1" applyBorder="1" applyAlignment="1">
      <alignment horizontal="right"/>
    </xf>
    <xf numFmtId="6" fontId="64" fillId="0" borderId="0" xfId="126" applyNumberFormat="1" applyFont="1" applyFill="1" applyBorder="1" applyAlignment="1">
      <alignment horizontal="right"/>
    </xf>
    <xf numFmtId="5" fontId="27" fillId="0" borderId="0" xfId="0" applyNumberFormat="1" applyFont="1" applyFill="1" applyBorder="1"/>
    <xf numFmtId="9" fontId="26" fillId="0" borderId="0" xfId="0" applyNumberFormat="1" applyFont="1" applyFill="1" applyBorder="1"/>
    <xf numFmtId="9" fontId="21" fillId="18" borderId="24" xfId="126" applyFont="1" applyFill="1" applyBorder="1"/>
    <xf numFmtId="166" fontId="21" fillId="0" borderId="0" xfId="126" applyNumberFormat="1" applyFont="1" applyBorder="1"/>
    <xf numFmtId="9" fontId="27" fillId="0" borderId="25" xfId="126" applyFont="1" applyBorder="1"/>
    <xf numFmtId="9" fontId="27" fillId="0" borderId="22" xfId="126" applyFont="1" applyBorder="1"/>
    <xf numFmtId="37" fontId="27" fillId="0" borderId="35" xfId="0" applyFont="1" applyBorder="1"/>
    <xf numFmtId="37" fontId="21" fillId="0" borderId="35" xfId="0" applyFont="1" applyFill="1" applyBorder="1"/>
    <xf numFmtId="7" fontId="23" fillId="0" borderId="0" xfId="0" applyNumberFormat="1" applyFont="1" applyAlignment="1">
      <alignment horizontal="right"/>
    </xf>
    <xf numFmtId="5" fontId="23" fillId="0" borderId="0" xfId="0" applyNumberFormat="1" applyFont="1"/>
    <xf numFmtId="39" fontId="23" fillId="0" borderId="0" xfId="0" applyNumberFormat="1" applyFont="1" applyAlignment="1">
      <alignment horizontal="right"/>
    </xf>
    <xf numFmtId="5" fontId="16" fillId="0" borderId="0" xfId="0" applyNumberFormat="1" applyFont="1" applyBorder="1" applyAlignment="1">
      <alignment horizontal="left"/>
    </xf>
    <xf numFmtId="192" fontId="16" fillId="0" borderId="0" xfId="0" applyNumberFormat="1" applyFont="1" applyBorder="1"/>
    <xf numFmtId="192" fontId="16" fillId="0" borderId="29" xfId="0" applyNumberFormat="1" applyFont="1" applyBorder="1"/>
    <xf numFmtId="192" fontId="16" fillId="0" borderId="20" xfId="0" applyNumberFormat="1" applyFont="1" applyBorder="1"/>
    <xf numFmtId="192" fontId="16" fillId="0" borderId="21" xfId="0" applyNumberFormat="1" applyFont="1" applyBorder="1"/>
    <xf numFmtId="7" fontId="32" fillId="0" borderId="0" xfId="145" applyNumberFormat="1" applyFont="1" applyFill="1" applyBorder="1" applyAlignment="1">
      <alignment horizontal="right"/>
    </xf>
    <xf numFmtId="5" fontId="21" fillId="0" borderId="20" xfId="0" applyNumberFormat="1" applyFont="1" applyBorder="1" applyAlignment="1">
      <alignment horizontal="left"/>
    </xf>
    <xf numFmtId="173" fontId="16" fillId="0" borderId="29" xfId="0" applyNumberFormat="1" applyFont="1" applyBorder="1"/>
    <xf numFmtId="173" fontId="16" fillId="0" borderId="21" xfId="0" applyNumberFormat="1" applyFont="1" applyBorder="1"/>
    <xf numFmtId="5" fontId="25" fillId="0" borderId="20" xfId="0" applyNumberFormat="1" applyFont="1" applyBorder="1" applyAlignment="1">
      <alignment horizontal="left"/>
    </xf>
    <xf numFmtId="192" fontId="26" fillId="0" borderId="29" xfId="0" applyNumberFormat="1" applyFont="1" applyBorder="1" applyAlignment="1">
      <alignment horizontal="right"/>
    </xf>
    <xf numFmtId="37" fontId="16" fillId="0" borderId="29" xfId="0" applyNumberFormat="1" applyFont="1" applyBorder="1"/>
    <xf numFmtId="37" fontId="26" fillId="0" borderId="29" xfId="0" applyNumberFormat="1" applyFont="1" applyBorder="1"/>
    <xf numFmtId="192" fontId="16" fillId="0" borderId="20" xfId="0" applyNumberFormat="1" applyFont="1" applyBorder="1" applyAlignment="1">
      <alignment horizontal="left" indent="1"/>
    </xf>
    <xf numFmtId="0" fontId="16" fillId="0" borderId="20" xfId="0" applyNumberFormat="1" applyFont="1" applyBorder="1" applyAlignment="1">
      <alignment horizontal="left" indent="1"/>
    </xf>
    <xf numFmtId="5" fontId="16" fillId="0" borderId="20" xfId="0" applyNumberFormat="1" applyFont="1" applyBorder="1" applyAlignment="1">
      <alignment horizontal="left" indent="1"/>
    </xf>
    <xf numFmtId="193" fontId="16" fillId="0" borderId="20" xfId="0" applyNumberFormat="1" applyFont="1" applyBorder="1" applyAlignment="1">
      <alignment horizontal="left" indent="1"/>
    </xf>
    <xf numFmtId="193" fontId="16" fillId="0" borderId="0" xfId="0" applyNumberFormat="1" applyFont="1" applyBorder="1"/>
    <xf numFmtId="193" fontId="16" fillId="0" borderId="29" xfId="0" applyNumberFormat="1" applyFont="1" applyBorder="1"/>
    <xf numFmtId="193" fontId="16" fillId="0" borderId="20" xfId="0" applyNumberFormat="1" applyFont="1" applyBorder="1"/>
    <xf numFmtId="193" fontId="16" fillId="0" borderId="21" xfId="0" applyNumberFormat="1" applyFont="1" applyBorder="1"/>
    <xf numFmtId="37" fontId="102" fillId="0" borderId="29" xfId="0" applyNumberFormat="1" applyFont="1" applyBorder="1"/>
    <xf numFmtId="37" fontId="27" fillId="0" borderId="0" xfId="0" applyFont="1" applyBorder="1" applyAlignment="1">
      <alignment horizontal="left" indent="1"/>
    </xf>
    <xf numFmtId="0" fontId="25" fillId="0" borderId="20" xfId="0" quotePrefix="1" applyNumberFormat="1" applyFont="1" applyBorder="1" applyAlignment="1">
      <alignment horizontal="left"/>
    </xf>
    <xf numFmtId="5" fontId="16" fillId="0" borderId="20" xfId="0" applyNumberFormat="1" applyFont="1" applyFill="1" applyBorder="1" applyAlignment="1"/>
    <xf numFmtId="166" fontId="16" fillId="0" borderId="20" xfId="0" quotePrefix="1" applyNumberFormat="1" applyFont="1" applyBorder="1" applyAlignment="1">
      <alignment horizontal="left"/>
    </xf>
    <xf numFmtId="166" fontId="16" fillId="0" borderId="29" xfId="0" applyNumberFormat="1" applyFont="1" applyBorder="1" applyAlignment="1">
      <alignment horizontal="right"/>
    </xf>
    <xf numFmtId="166" fontId="16" fillId="0" borderId="21" xfId="0" applyNumberFormat="1" applyFont="1" applyBorder="1" applyAlignment="1">
      <alignment horizontal="right"/>
    </xf>
    <xf numFmtId="5" fontId="16" fillId="0" borderId="20" xfId="0" quotePrefix="1" applyNumberFormat="1" applyFont="1" applyFill="1" applyBorder="1" applyAlignment="1">
      <alignment horizontal="left"/>
    </xf>
    <xf numFmtId="166" fontId="16" fillId="0" borderId="20" xfId="0" applyNumberFormat="1" applyFont="1" applyBorder="1" applyAlignment="1"/>
    <xf numFmtId="166" fontId="16" fillId="0" borderId="25" xfId="0" applyNumberFormat="1" applyFont="1" applyFill="1" applyBorder="1" applyAlignment="1"/>
    <xf numFmtId="5" fontId="26" fillId="0" borderId="0" xfId="0" applyNumberFormat="1" applyFont="1" applyBorder="1"/>
    <xf numFmtId="5" fontId="21" fillId="0" borderId="20" xfId="0" applyNumberFormat="1" applyFont="1" applyFill="1" applyBorder="1" applyAlignment="1"/>
    <xf numFmtId="5" fontId="21" fillId="0" borderId="21" xfId="0" applyNumberFormat="1" applyFont="1" applyBorder="1" applyAlignment="1">
      <alignment horizontal="right"/>
    </xf>
    <xf numFmtId="5" fontId="21" fillId="0" borderId="25" xfId="0" applyNumberFormat="1" applyFont="1" applyBorder="1" applyAlignment="1">
      <alignment horizontal="left"/>
    </xf>
    <xf numFmtId="5" fontId="21" fillId="0" borderId="0" xfId="0" applyNumberFormat="1" applyFont="1" applyBorder="1" applyAlignment="1"/>
    <xf numFmtId="1" fontId="3" fillId="0" borderId="0" xfId="0" applyNumberFormat="1" applyFont="1"/>
    <xf numFmtId="5" fontId="3" fillId="0" borderId="0" xfId="0" applyNumberFormat="1" applyFont="1"/>
    <xf numFmtId="5" fontId="66" fillId="0" borderId="0" xfId="0" applyNumberFormat="1" applyFont="1"/>
    <xf numFmtId="7" fontId="66" fillId="0" borderId="0" xfId="0" applyNumberFormat="1" applyFont="1"/>
    <xf numFmtId="166" fontId="66" fillId="0" borderId="20" xfId="126" applyNumberFormat="1" applyFont="1" applyBorder="1"/>
    <xf numFmtId="166" fontId="66" fillId="0" borderId="0" xfId="126" applyNumberFormat="1" applyFont="1" applyBorder="1"/>
    <xf numFmtId="166" fontId="66" fillId="0" borderId="25" xfId="126" applyNumberFormat="1" applyFont="1" applyBorder="1" applyAlignment="1">
      <alignment horizontal="left" indent="1"/>
    </xf>
    <xf numFmtId="166" fontId="66" fillId="0" borderId="11" xfId="126" applyNumberFormat="1" applyFont="1" applyBorder="1"/>
    <xf numFmtId="166" fontId="66" fillId="0" borderId="22" xfId="126" applyNumberFormat="1" applyFont="1" applyBorder="1" applyAlignment="1">
      <alignment horizontal="right"/>
    </xf>
    <xf numFmtId="37" fontId="22" fillId="0" borderId="56" xfId="0" applyFont="1" applyBorder="1"/>
    <xf numFmtId="37" fontId="22" fillId="0" borderId="23" xfId="0" applyFont="1" applyBorder="1" applyAlignment="1">
      <alignment horizontal="right"/>
    </xf>
    <xf numFmtId="37" fontId="22" fillId="0" borderId="24" xfId="0" applyFont="1" applyBorder="1" applyAlignment="1">
      <alignment horizontal="right"/>
    </xf>
    <xf numFmtId="166" fontId="23" fillId="0" borderId="0" xfId="126" applyNumberFormat="1" applyFont="1" applyBorder="1"/>
    <xf numFmtId="166" fontId="23" fillId="0" borderId="21" xfId="126" applyNumberFormat="1" applyFont="1" applyBorder="1"/>
    <xf numFmtId="166" fontId="66" fillId="18" borderId="21" xfId="126" applyNumberFormat="1" applyFont="1" applyFill="1" applyBorder="1" applyAlignment="1">
      <alignment horizontal="right"/>
    </xf>
    <xf numFmtId="37" fontId="3" fillId="0" borderId="0" xfId="0" applyFont="1" applyFill="1" applyAlignment="1">
      <alignment horizontal="right"/>
    </xf>
    <xf numFmtId="9" fontId="3" fillId="0" borderId="11" xfId="126" applyFont="1" applyBorder="1" applyAlignment="1">
      <alignment horizontal="right"/>
    </xf>
    <xf numFmtId="41" fontId="19" fillId="0" borderId="29" xfId="119" applyNumberFormat="1" applyFont="1" applyBorder="1"/>
    <xf numFmtId="41" fontId="19" fillId="0" borderId="29" xfId="119" applyNumberFormat="1" applyFont="1" applyFill="1" applyBorder="1"/>
    <xf numFmtId="41" fontId="16" fillId="0" borderId="0" xfId="119" applyNumberFormat="1" applyFont="1" applyFill="1" applyBorder="1"/>
    <xf numFmtId="37" fontId="31" fillId="0" borderId="0" xfId="0" applyFont="1"/>
    <xf numFmtId="0" fontId="1" fillId="0" borderId="0" xfId="116"/>
    <xf numFmtId="0" fontId="21" fillId="0" borderId="0" xfId="116" applyFont="1"/>
    <xf numFmtId="0" fontId="1" fillId="0" borderId="11" xfId="116" applyBorder="1"/>
    <xf numFmtId="0" fontId="21" fillId="0" borderId="11" xfId="116" applyFont="1" applyBorder="1" applyAlignment="1">
      <alignment horizontal="right"/>
    </xf>
    <xf numFmtId="0" fontId="25" fillId="0" borderId="0" xfId="116" applyFont="1"/>
    <xf numFmtId="166" fontId="108" fillId="0" borderId="0" xfId="126" applyNumberFormat="1" applyFont="1" applyBorder="1" applyAlignment="1">
      <alignment horizontal="right"/>
    </xf>
    <xf numFmtId="166" fontId="108" fillId="0" borderId="0" xfId="126" applyNumberFormat="1" applyFont="1" applyBorder="1"/>
    <xf numFmtId="172" fontId="29" fillId="0" borderId="0" xfId="77" applyNumberFormat="1" applyFont="1" applyFill="1" applyBorder="1" applyAlignment="1" applyProtection="1"/>
    <xf numFmtId="166" fontId="21" fillId="0" borderId="0" xfId="116" applyNumberFormat="1" applyFont="1"/>
    <xf numFmtId="169" fontId="16" fillId="0" borderId="0" xfId="0" applyNumberFormat="1" applyFont="1"/>
    <xf numFmtId="166" fontId="36" fillId="0" borderId="23" xfId="0" applyNumberFormat="1" applyFont="1" applyFill="1" applyBorder="1"/>
    <xf numFmtId="166" fontId="26" fillId="0" borderId="0" xfId="126" applyNumberFormat="1" applyFont="1" applyBorder="1"/>
    <xf numFmtId="37" fontId="64" fillId="0" borderId="21" xfId="0" applyFont="1" applyBorder="1" applyAlignment="1">
      <alignment horizontal="right"/>
    </xf>
    <xf numFmtId="6" fontId="64" fillId="0" borderId="29" xfId="126" applyNumberFormat="1" applyFont="1" applyFill="1" applyBorder="1" applyAlignment="1">
      <alignment horizontal="right"/>
    </xf>
    <xf numFmtId="41" fontId="102" fillId="0" borderId="29" xfId="0" applyNumberFormat="1" applyFont="1" applyBorder="1" applyAlignment="1">
      <alignment horizontal="right"/>
    </xf>
    <xf numFmtId="166" fontId="36" fillId="0" borderId="0" xfId="0" applyNumberFormat="1" applyFont="1" applyFill="1" applyBorder="1" applyAlignment="1">
      <alignment horizontal="right"/>
    </xf>
    <xf numFmtId="166" fontId="36" fillId="0" borderId="0" xfId="126" applyNumberFormat="1" applyFont="1" applyFill="1" applyBorder="1" applyAlignment="1">
      <alignment horizontal="right"/>
    </xf>
    <xf numFmtId="166" fontId="36" fillId="0" borderId="29" xfId="0" applyNumberFormat="1" applyFont="1" applyBorder="1" applyAlignment="1">
      <alignment horizontal="right"/>
    </xf>
    <xf numFmtId="166" fontId="36" fillId="0" borderId="29" xfId="0" applyNumberFormat="1" applyFont="1" applyBorder="1"/>
    <xf numFmtId="166" fontId="21" fillId="0" borderId="29" xfId="0" applyNumberFormat="1" applyFont="1" applyBorder="1"/>
    <xf numFmtId="0" fontId="27" fillId="0" borderId="0" xfId="126" applyNumberFormat="1" applyFont="1" applyBorder="1" applyAlignment="1">
      <alignment horizontal="right"/>
    </xf>
    <xf numFmtId="37" fontId="109" fillId="0" borderId="0" xfId="0" applyFont="1"/>
    <xf numFmtId="41" fontId="16" fillId="0" borderId="36" xfId="0" applyNumberFormat="1" applyFont="1" applyBorder="1" applyAlignment="1">
      <alignment horizontal="right"/>
    </xf>
    <xf numFmtId="37" fontId="16" fillId="0" borderId="20" xfId="0" applyNumberFormat="1" applyFont="1" applyBorder="1" applyAlignment="1"/>
    <xf numFmtId="37" fontId="32" fillId="0" borderId="0" xfId="0" applyNumberFormat="1" applyFont="1" applyBorder="1"/>
    <xf numFmtId="37" fontId="21" fillId="0" borderId="11" xfId="117" applyFont="1" applyBorder="1" applyAlignment="1">
      <alignment horizontal="center"/>
    </xf>
    <xf numFmtId="10" fontId="27" fillId="0" borderId="25" xfId="126" applyNumberFormat="1" applyFont="1" applyBorder="1" applyAlignment="1">
      <alignment horizontal="left" indent="1"/>
    </xf>
    <xf numFmtId="10" fontId="27" fillId="0" borderId="11" xfId="126" applyNumberFormat="1" applyFont="1" applyBorder="1"/>
    <xf numFmtId="10" fontId="27" fillId="0" borderId="35" xfId="126" applyNumberFormat="1" applyFont="1" applyBorder="1"/>
    <xf numFmtId="10" fontId="27" fillId="0" borderId="22" xfId="126" applyNumberFormat="1" applyFont="1" applyBorder="1"/>
    <xf numFmtId="10" fontId="16" fillId="0" borderId="0" xfId="0" applyNumberFormat="1" applyFont="1" applyBorder="1"/>
    <xf numFmtId="41" fontId="29" fillId="17" borderId="29" xfId="77" applyNumberFormat="1" applyFont="1" applyFill="1" applyBorder="1" applyAlignment="1">
      <alignment horizontal="right"/>
    </xf>
    <xf numFmtId="166" fontId="27" fillId="0" borderId="21" xfId="126" quotePrefix="1" applyNumberFormat="1" applyFont="1" applyFill="1" applyBorder="1" applyAlignment="1" applyProtection="1"/>
    <xf numFmtId="166" fontId="27" fillId="0" borderId="20" xfId="77" quotePrefix="1" applyNumberFormat="1" applyFont="1" applyFill="1" applyBorder="1" applyAlignment="1" applyProtection="1">
      <alignment horizontal="left"/>
    </xf>
    <xf numFmtId="37" fontId="2" fillId="0" borderId="0" xfId="117" applyFont="1" applyAlignment="1">
      <alignment horizontal="right"/>
    </xf>
    <xf numFmtId="37" fontId="16" fillId="0" borderId="0" xfId="117" applyNumberFormat="1" applyFont="1" applyFill="1" applyBorder="1" applyAlignment="1">
      <alignment horizontal="right"/>
    </xf>
    <xf numFmtId="37" fontId="16" fillId="0" borderId="11" xfId="117" applyNumberFormat="1" applyFont="1" applyBorder="1" applyAlignment="1">
      <alignment horizontal="right"/>
    </xf>
    <xf numFmtId="37" fontId="21" fillId="0" borderId="0" xfId="117" applyNumberFormat="1" applyFont="1" applyBorder="1" applyAlignment="1">
      <alignment horizontal="right"/>
    </xf>
    <xf numFmtId="37" fontId="16" fillId="0" borderId="11" xfId="117" applyNumberFormat="1" applyFont="1" applyFill="1" applyBorder="1" applyAlignment="1">
      <alignment horizontal="right"/>
    </xf>
    <xf numFmtId="178" fontId="66" fillId="0" borderId="0" xfId="0" applyNumberFormat="1" applyFont="1"/>
    <xf numFmtId="5" fontId="66" fillId="0" borderId="0" xfId="0" applyNumberFormat="1" applyFont="1" applyBorder="1"/>
    <xf numFmtId="5" fontId="66" fillId="0" borderId="21" xfId="0" applyNumberFormat="1" applyFont="1" applyBorder="1"/>
    <xf numFmtId="9" fontId="66" fillId="0" borderId="0" xfId="126" applyFont="1" applyBorder="1"/>
    <xf numFmtId="37" fontId="66" fillId="0" borderId="25" xfId="0" applyFont="1" applyBorder="1"/>
    <xf numFmtId="37" fontId="66" fillId="0" borderId="11" xfId="0" applyFont="1" applyBorder="1"/>
    <xf numFmtId="37" fontId="66" fillId="0" borderId="22" xfId="0" applyFont="1" applyBorder="1"/>
    <xf numFmtId="9" fontId="2" fillId="0" borderId="0" xfId="126" applyFont="1" applyBorder="1"/>
    <xf numFmtId="9" fontId="0" fillId="0" borderId="0" xfId="126" applyFont="1" applyBorder="1"/>
    <xf numFmtId="9" fontId="27" fillId="0" borderId="21" xfId="126" applyFont="1" applyFill="1" applyBorder="1" applyAlignment="1">
      <alignment horizontal="right"/>
    </xf>
    <xf numFmtId="5" fontId="26" fillId="0" borderId="21" xfId="0" applyNumberFormat="1" applyFont="1" applyFill="1" applyBorder="1" applyAlignment="1">
      <alignment horizontal="right"/>
    </xf>
    <xf numFmtId="5" fontId="16" fillId="0" borderId="21" xfId="0" applyNumberFormat="1" applyFont="1" applyFill="1" applyBorder="1" applyAlignment="1">
      <alignment horizontal="right"/>
    </xf>
    <xf numFmtId="178" fontId="16" fillId="18" borderId="0" xfId="0" applyNumberFormat="1" applyFont="1" applyFill="1" applyBorder="1" applyAlignment="1"/>
    <xf numFmtId="178" fontId="16" fillId="0" borderId="0" xfId="0" applyNumberFormat="1" applyFont="1" applyFill="1" applyBorder="1" applyAlignment="1"/>
    <xf numFmtId="41" fontId="2" fillId="0" borderId="29" xfId="0" applyNumberFormat="1" applyFont="1" applyBorder="1" applyAlignment="1">
      <alignment horizontal="right"/>
    </xf>
    <xf numFmtId="0" fontId="2" fillId="0" borderId="20" xfId="0" applyNumberFormat="1" applyFont="1" applyBorder="1" applyAlignment="1"/>
    <xf numFmtId="5" fontId="2" fillId="0" borderId="29" xfId="0" applyNumberFormat="1" applyFont="1" applyBorder="1" applyAlignment="1">
      <alignment horizontal="right"/>
    </xf>
    <xf numFmtId="37" fontId="2" fillId="0" borderId="29" xfId="0" applyNumberFormat="1" applyFont="1" applyBorder="1" applyAlignment="1">
      <alignment horizontal="right"/>
    </xf>
    <xf numFmtId="0" fontId="2" fillId="0" borderId="20" xfId="0" applyNumberFormat="1" applyFont="1" applyFill="1" applyBorder="1" applyAlignment="1"/>
    <xf numFmtId="41" fontId="2" fillId="0" borderId="29" xfId="0" applyNumberFormat="1" applyFont="1" applyFill="1" applyBorder="1" applyAlignment="1">
      <alignment horizontal="right"/>
    </xf>
    <xf numFmtId="41" fontId="2" fillId="0" borderId="29" xfId="0" applyNumberFormat="1" applyFont="1" applyBorder="1"/>
    <xf numFmtId="5" fontId="2" fillId="0" borderId="20" xfId="0" applyNumberFormat="1" applyFont="1" applyBorder="1" applyAlignment="1"/>
    <xf numFmtId="5" fontId="2" fillId="0" borderId="29" xfId="0" applyNumberFormat="1" applyFont="1" applyBorder="1"/>
    <xf numFmtId="41" fontId="2" fillId="0" borderId="29" xfId="0" applyNumberFormat="1" applyFont="1" applyFill="1" applyBorder="1"/>
    <xf numFmtId="37" fontId="66" fillId="0" borderId="29" xfId="0" applyFont="1" applyBorder="1"/>
    <xf numFmtId="0" fontId="2" fillId="0" borderId="20" xfId="0" applyNumberFormat="1" applyFont="1" applyBorder="1" applyAlignment="1">
      <alignment horizontal="left"/>
    </xf>
    <xf numFmtId="0" fontId="2" fillId="0" borderId="29" xfId="0" applyNumberFormat="1" applyFont="1" applyBorder="1"/>
    <xf numFmtId="0" fontId="21" fillId="18" borderId="19" xfId="0" applyNumberFormat="1" applyFont="1" applyFill="1" applyBorder="1" applyAlignment="1"/>
    <xf numFmtId="0" fontId="21" fillId="18" borderId="25" xfId="0" applyNumberFormat="1" applyFont="1" applyFill="1" applyBorder="1" applyAlignment="1"/>
    <xf numFmtId="41" fontId="2" fillId="0" borderId="21" xfId="0" applyNumberFormat="1" applyFont="1" applyBorder="1" applyAlignment="1">
      <alignment horizontal="right"/>
    </xf>
    <xf numFmtId="0" fontId="27" fillId="0" borderId="56" xfId="0" applyNumberFormat="1" applyFont="1" applyBorder="1" applyAlignment="1"/>
    <xf numFmtId="165" fontId="27" fillId="0" borderId="24" xfId="0" applyNumberFormat="1" applyFont="1" applyFill="1" applyBorder="1" applyAlignment="1">
      <alignment horizontal="right"/>
    </xf>
    <xf numFmtId="0" fontId="2" fillId="22" borderId="20" xfId="0" applyNumberFormat="1" applyFont="1" applyFill="1" applyBorder="1" applyAlignment="1"/>
    <xf numFmtId="9" fontId="2" fillId="0" borderId="21" xfId="126" applyFont="1" applyBorder="1"/>
    <xf numFmtId="0" fontId="2" fillId="23" borderId="20" xfId="0" applyNumberFormat="1" applyFont="1" applyFill="1" applyBorder="1" applyAlignment="1">
      <alignment horizontal="left"/>
    </xf>
    <xf numFmtId="0" fontId="2" fillId="17" borderId="20" xfId="0" applyNumberFormat="1" applyFont="1" applyFill="1" applyBorder="1" applyAlignment="1">
      <alignment horizontal="left"/>
    </xf>
    <xf numFmtId="37" fontId="66" fillId="0" borderId="20" xfId="0" applyFont="1" applyBorder="1"/>
    <xf numFmtId="37" fontId="66" fillId="0" borderId="21" xfId="0" applyFont="1" applyBorder="1"/>
    <xf numFmtId="0" fontId="2" fillId="0" borderId="20" xfId="0" applyNumberFormat="1" applyFont="1" applyFill="1" applyBorder="1" applyAlignment="1">
      <alignment horizontal="left"/>
    </xf>
    <xf numFmtId="166" fontId="2" fillId="0" borderId="36" xfId="0" applyNumberFormat="1" applyFont="1" applyFill="1" applyBorder="1" applyAlignment="1">
      <alignment horizontal="right"/>
    </xf>
    <xf numFmtId="166" fontId="2" fillId="0" borderId="29" xfId="0" applyNumberFormat="1" applyFont="1" applyFill="1" applyBorder="1" applyAlignment="1">
      <alignment horizontal="right"/>
    </xf>
    <xf numFmtId="0" fontId="2" fillId="0" borderId="20" xfId="0" quotePrefix="1" applyNumberFormat="1" applyFont="1" applyBorder="1" applyAlignment="1">
      <alignment horizontal="left"/>
    </xf>
    <xf numFmtId="0" fontId="2" fillId="0" borderId="20" xfId="0" quotePrefix="1" applyNumberFormat="1" applyFont="1" applyFill="1" applyBorder="1" applyAlignment="1">
      <alignment horizontal="left"/>
    </xf>
    <xf numFmtId="7" fontId="2" fillId="0" borderId="21" xfId="0" applyNumberFormat="1" applyFont="1" applyBorder="1" applyAlignment="1">
      <alignment horizontal="right"/>
    </xf>
    <xf numFmtId="5" fontId="2" fillId="0" borderId="20" xfId="0" applyNumberFormat="1" applyFont="1" applyBorder="1" applyAlignment="1">
      <alignment horizontal="left"/>
    </xf>
    <xf numFmtId="5" fontId="2" fillId="0" borderId="20" xfId="0" quotePrefix="1" applyNumberFormat="1" applyFont="1" applyFill="1" applyBorder="1" applyAlignment="1">
      <alignment horizontal="left"/>
    </xf>
    <xf numFmtId="5" fontId="2" fillId="0" borderId="29" xfId="0" applyNumberFormat="1" applyFont="1" applyFill="1" applyBorder="1" applyAlignment="1">
      <alignment horizontal="right"/>
    </xf>
    <xf numFmtId="5" fontId="2" fillId="0" borderId="20" xfId="0" applyNumberFormat="1" applyFont="1" applyFill="1" applyBorder="1" applyAlignment="1"/>
    <xf numFmtId="166" fontId="2" fillId="0" borderId="20" xfId="0" quotePrefix="1" applyNumberFormat="1" applyFont="1" applyBorder="1" applyAlignment="1">
      <alignment horizontal="left"/>
    </xf>
    <xf numFmtId="166" fontId="2" fillId="0" borderId="29" xfId="0" applyNumberFormat="1" applyFont="1" applyBorder="1" applyAlignment="1">
      <alignment horizontal="right"/>
    </xf>
    <xf numFmtId="166" fontId="2" fillId="0" borderId="20" xfId="0" applyNumberFormat="1" applyFont="1" applyBorder="1" applyAlignment="1"/>
    <xf numFmtId="166" fontId="2" fillId="0" borderId="25" xfId="0" applyNumberFormat="1" applyFont="1" applyFill="1" applyBorder="1" applyAlignment="1"/>
    <xf numFmtId="166" fontId="2" fillId="0" borderId="22" xfId="0" applyNumberFormat="1" applyFont="1" applyFill="1" applyBorder="1" applyAlignment="1">
      <alignment horizontal="right"/>
    </xf>
    <xf numFmtId="0" fontId="2" fillId="0" borderId="0" xfId="0" applyNumberFormat="1" applyFont="1" applyBorder="1" applyAlignment="1"/>
    <xf numFmtId="41" fontId="2" fillId="0" borderId="0" xfId="0" applyNumberFormat="1" applyFont="1" applyBorder="1" applyAlignment="1">
      <alignment horizontal="right"/>
    </xf>
    <xf numFmtId="0" fontId="27" fillId="0" borderId="20" xfId="126" applyNumberFormat="1" applyFont="1" applyFill="1" applyBorder="1" applyAlignment="1">
      <alignment horizontal="left" indent="1"/>
    </xf>
    <xf numFmtId="0" fontId="30" fillId="0" borderId="0" xfId="0" applyNumberFormat="1" applyFont="1" applyBorder="1" applyAlignment="1"/>
    <xf numFmtId="41" fontId="2" fillId="0" borderId="0" xfId="0" applyNumberFormat="1" applyFont="1" applyBorder="1"/>
    <xf numFmtId="166" fontId="2" fillId="0" borderId="0" xfId="0" applyNumberFormat="1" applyFont="1" applyBorder="1" applyAlignment="1"/>
    <xf numFmtId="166" fontId="2" fillId="0" borderId="0" xfId="0" applyNumberFormat="1" applyFont="1" applyBorder="1"/>
    <xf numFmtId="169" fontId="2" fillId="0" borderId="20" xfId="126" applyNumberFormat="1" applyFont="1" applyFill="1" applyBorder="1" applyAlignment="1">
      <alignment horizontal="left"/>
    </xf>
    <xf numFmtId="37" fontId="2" fillId="0" borderId="29" xfId="0" applyNumberFormat="1" applyFont="1" applyFill="1" applyBorder="1" applyAlignment="1">
      <alignment horizontal="right"/>
    </xf>
    <xf numFmtId="41" fontId="2" fillId="0" borderId="29" xfId="77" applyNumberFormat="1" applyFont="1" applyBorder="1"/>
    <xf numFmtId="0" fontId="2" fillId="0" borderId="20" xfId="126" applyNumberFormat="1" applyFont="1" applyBorder="1" applyAlignment="1">
      <alignment horizontal="left"/>
    </xf>
    <xf numFmtId="41" fontId="2" fillId="0" borderId="36" xfId="0" applyNumberFormat="1" applyFont="1" applyBorder="1"/>
    <xf numFmtId="0" fontId="2" fillId="0" borderId="20" xfId="77" applyNumberFormat="1" applyFont="1" applyFill="1" applyBorder="1" applyAlignment="1" applyProtection="1"/>
    <xf numFmtId="0" fontId="2" fillId="0" borderId="20" xfId="77" applyNumberFormat="1" applyFont="1" applyFill="1" applyBorder="1" applyAlignment="1" applyProtection="1">
      <alignment horizontal="left"/>
    </xf>
    <xf numFmtId="166" fontId="2" fillId="0" borderId="20" xfId="126" applyNumberFormat="1" applyFont="1" applyFill="1" applyBorder="1" applyAlignment="1">
      <alignment horizontal="left"/>
    </xf>
    <xf numFmtId="166" fontId="2" fillId="0" borderId="20" xfId="126" applyNumberFormat="1" applyFont="1" applyBorder="1" applyAlignment="1"/>
    <xf numFmtId="166" fontId="2" fillId="0" borderId="20" xfId="126" applyNumberFormat="1" applyFont="1" applyBorder="1" applyAlignment="1">
      <alignment horizontal="left"/>
    </xf>
    <xf numFmtId="9" fontId="27" fillId="0" borderId="35" xfId="126" applyNumberFormat="1" applyFont="1" applyBorder="1"/>
    <xf numFmtId="5" fontId="2" fillId="0" borderId="29" xfId="126" applyNumberFormat="1" applyFont="1" applyBorder="1"/>
    <xf numFmtId="0" fontId="2" fillId="0" borderId="20" xfId="126" applyNumberFormat="1" applyFont="1" applyBorder="1" applyAlignment="1"/>
    <xf numFmtId="5" fontId="2" fillId="0" borderId="29" xfId="0" applyNumberFormat="1" applyFont="1" applyFill="1" applyBorder="1"/>
    <xf numFmtId="37" fontId="2" fillId="0" borderId="20" xfId="0" applyNumberFormat="1" applyFont="1" applyBorder="1" applyAlignment="1"/>
    <xf numFmtId="37" fontId="2" fillId="0" borderId="29" xfId="0" applyNumberFormat="1" applyFont="1" applyFill="1" applyBorder="1"/>
    <xf numFmtId="0" fontId="2" fillId="0" borderId="0" xfId="77" applyNumberFormat="1" applyFont="1" applyBorder="1" applyAlignment="1"/>
    <xf numFmtId="0" fontId="2" fillId="18" borderId="0" xfId="0" applyNumberFormat="1" applyFont="1" applyFill="1" applyBorder="1" applyAlignment="1"/>
    <xf numFmtId="178" fontId="2" fillId="18" borderId="0" xfId="0" applyNumberFormat="1" applyFont="1" applyFill="1" applyBorder="1" applyAlignment="1"/>
    <xf numFmtId="41" fontId="2" fillId="0" borderId="0" xfId="0" applyNumberFormat="1" applyFont="1" applyFill="1" applyBorder="1"/>
    <xf numFmtId="41" fontId="2" fillId="0" borderId="0" xfId="0" applyNumberFormat="1" applyFont="1" applyFill="1" applyBorder="1" applyAlignment="1">
      <alignment horizontal="right"/>
    </xf>
    <xf numFmtId="0" fontId="2" fillId="21" borderId="0" xfId="0" applyNumberFormat="1" applyFont="1" applyFill="1" applyBorder="1" applyAlignment="1"/>
    <xf numFmtId="0" fontId="2" fillId="0" borderId="20" xfId="77" applyNumberFormat="1" applyFont="1" applyFill="1" applyBorder="1" applyAlignment="1">
      <alignment horizontal="left"/>
    </xf>
    <xf numFmtId="43" fontId="2" fillId="0" borderId="29" xfId="77" applyFont="1" applyBorder="1"/>
    <xf numFmtId="0" fontId="2" fillId="0" borderId="20" xfId="126" applyNumberFormat="1" applyFont="1" applyFill="1" applyBorder="1" applyAlignment="1"/>
    <xf numFmtId="41" fontId="2" fillId="0" borderId="35" xfId="0" applyNumberFormat="1" applyFont="1" applyFill="1" applyBorder="1"/>
    <xf numFmtId="5" fontId="2" fillId="0" borderId="29" xfId="77" applyNumberFormat="1" applyFont="1" applyBorder="1" applyAlignment="1">
      <alignment horizontal="right"/>
    </xf>
    <xf numFmtId="41" fontId="2" fillId="0" borderId="29" xfId="77" applyNumberFormat="1" applyFont="1" applyBorder="1" applyAlignment="1">
      <alignment horizontal="right"/>
    </xf>
    <xf numFmtId="41" fontId="2" fillId="0" borderId="29" xfId="77" applyNumberFormat="1" applyFont="1" applyFill="1" applyBorder="1" applyAlignment="1">
      <alignment horizontal="right"/>
    </xf>
    <xf numFmtId="0" fontId="2" fillId="0" borderId="25" xfId="0" applyNumberFormat="1" applyFont="1" applyFill="1" applyBorder="1" applyAlignment="1"/>
    <xf numFmtId="0" fontId="2" fillId="0" borderId="0" xfId="0" applyNumberFormat="1" applyFont="1" applyFill="1" applyBorder="1" applyAlignment="1"/>
    <xf numFmtId="37" fontId="2" fillId="0" borderId="20" xfId="0" applyNumberFormat="1" applyFont="1" applyFill="1" applyBorder="1" applyAlignment="1">
      <alignment horizontal="left"/>
    </xf>
    <xf numFmtId="7" fontId="2" fillId="0" borderId="0" xfId="145" applyNumberFormat="1" applyFont="1" applyFill="1" applyBorder="1" applyAlignment="1"/>
    <xf numFmtId="166" fontId="2" fillId="0" borderId="0" xfId="145" applyNumberFormat="1" applyFont="1" applyFill="1" applyBorder="1" applyAlignment="1"/>
    <xf numFmtId="192" fontId="2" fillId="0" borderId="20" xfId="0" applyNumberFormat="1" applyFont="1" applyBorder="1" applyAlignment="1">
      <alignment horizontal="left" indent="1"/>
    </xf>
    <xf numFmtId="192" fontId="2" fillId="0" borderId="29" xfId="0" applyNumberFormat="1" applyFont="1" applyBorder="1"/>
    <xf numFmtId="0" fontId="2" fillId="0" borderId="20" xfId="0" applyNumberFormat="1" applyFont="1" applyBorder="1" applyAlignment="1">
      <alignment horizontal="left" indent="1"/>
    </xf>
    <xf numFmtId="173" fontId="2" fillId="0" borderId="29" xfId="0" applyNumberFormat="1" applyFont="1" applyBorder="1"/>
    <xf numFmtId="37" fontId="2" fillId="0" borderId="20" xfId="0" applyNumberFormat="1" applyFont="1" applyBorder="1" applyAlignment="1">
      <alignment horizontal="left"/>
    </xf>
    <xf numFmtId="37" fontId="2" fillId="0" borderId="29" xfId="0" applyNumberFormat="1" applyFont="1" applyBorder="1"/>
    <xf numFmtId="193" fontId="2" fillId="0" borderId="20" xfId="0" applyNumberFormat="1" applyFont="1" applyBorder="1" applyAlignment="1">
      <alignment horizontal="left" indent="1"/>
    </xf>
    <xf numFmtId="193" fontId="2" fillId="0" borderId="29" xfId="0" applyNumberFormat="1" applyFont="1" applyBorder="1"/>
    <xf numFmtId="192" fontId="2" fillId="0" borderId="29" xfId="0" applyNumberFormat="1" applyFont="1" applyBorder="1" applyAlignment="1">
      <alignment horizontal="right"/>
    </xf>
    <xf numFmtId="5" fontId="2" fillId="0" borderId="20" xfId="0" applyNumberFormat="1" applyFont="1" applyBorder="1" applyAlignment="1">
      <alignment horizontal="left" indent="1"/>
    </xf>
    <xf numFmtId="0" fontId="2" fillId="0" borderId="25" xfId="0" applyNumberFormat="1" applyFont="1" applyBorder="1" applyAlignment="1">
      <alignment horizontal="left"/>
    </xf>
    <xf numFmtId="173" fontId="2" fillId="0" borderId="35" xfId="0" applyNumberFormat="1" applyFont="1" applyBorder="1"/>
    <xf numFmtId="5" fontId="2" fillId="0" borderId="0" xfId="0" applyNumberFormat="1" applyFont="1" applyBorder="1" applyAlignment="1">
      <alignment horizontal="left"/>
    </xf>
    <xf numFmtId="0" fontId="2" fillId="0" borderId="0" xfId="0" applyNumberFormat="1" applyFont="1" applyBorder="1" applyAlignment="1">
      <alignment horizontal="left" indent="1"/>
    </xf>
    <xf numFmtId="0" fontId="2" fillId="0" borderId="0" xfId="0" applyNumberFormat="1" applyFont="1" applyFill="1" applyBorder="1" applyAlignment="1">
      <alignment horizontal="left"/>
    </xf>
    <xf numFmtId="0" fontId="2" fillId="0" borderId="0" xfId="0" applyNumberFormat="1" applyFont="1" applyBorder="1" applyAlignment="1">
      <alignment horizontal="left"/>
    </xf>
    <xf numFmtId="0" fontId="2" fillId="0" borderId="20" xfId="126" applyNumberFormat="1" applyFont="1" applyFill="1" applyBorder="1" applyAlignment="1">
      <alignment horizontal="left"/>
    </xf>
    <xf numFmtId="0" fontId="21" fillId="0" borderId="20" xfId="126" applyNumberFormat="1" applyFont="1" applyFill="1" applyBorder="1" applyAlignment="1">
      <alignment horizontal="left"/>
    </xf>
    <xf numFmtId="7" fontId="2" fillId="0" borderId="0" xfId="0" applyNumberFormat="1" applyFont="1" applyFill="1" applyBorder="1" applyAlignment="1"/>
    <xf numFmtId="0" fontId="2" fillId="0" borderId="0" xfId="0" applyNumberFormat="1" applyFont="1" applyFill="1" applyBorder="1"/>
    <xf numFmtId="9" fontId="2" fillId="0" borderId="0" xfId="126" applyFont="1" applyFill="1" applyBorder="1"/>
    <xf numFmtId="0" fontId="16" fillId="0" borderId="11" xfId="0" applyNumberFormat="1" applyFont="1" applyBorder="1" applyAlignment="1"/>
    <xf numFmtId="41" fontId="19" fillId="0" borderId="11" xfId="0" applyNumberFormat="1" applyFont="1" applyBorder="1"/>
    <xf numFmtId="166" fontId="29" fillId="0" borderId="20" xfId="0" quotePrefix="1" applyNumberFormat="1" applyFont="1" applyFill="1" applyBorder="1" applyAlignment="1">
      <alignment horizontal="left"/>
    </xf>
    <xf numFmtId="9" fontId="114" fillId="0" borderId="55" xfId="126" applyFont="1" applyBorder="1" applyAlignment="1">
      <alignment horizontal="right"/>
    </xf>
    <xf numFmtId="166" fontId="27" fillId="0" borderId="20" xfId="0" applyNumberFormat="1" applyFont="1" applyBorder="1" applyAlignment="1">
      <alignment horizontal="left" indent="1"/>
    </xf>
    <xf numFmtId="166" fontId="27" fillId="0" borderId="29" xfId="126" applyNumberFormat="1" applyFont="1" applyBorder="1" applyAlignment="1">
      <alignment horizontal="right"/>
    </xf>
    <xf numFmtId="166" fontId="27" fillId="0" borderId="21" xfId="126" applyNumberFormat="1" applyFont="1" applyBorder="1" applyAlignment="1">
      <alignment horizontal="right"/>
    </xf>
    <xf numFmtId="166" fontId="27" fillId="0" borderId="25" xfId="0" applyNumberFormat="1" applyFont="1" applyBorder="1" applyAlignment="1">
      <alignment horizontal="left" indent="1"/>
    </xf>
    <xf numFmtId="166" fontId="27" fillId="0" borderId="11" xfId="126" applyNumberFormat="1" applyFont="1" applyBorder="1" applyAlignment="1">
      <alignment horizontal="right"/>
    </xf>
    <xf numFmtId="166" fontId="27" fillId="0" borderId="35" xfId="126" applyNumberFormat="1" applyFont="1" applyBorder="1" applyAlignment="1">
      <alignment horizontal="right"/>
    </xf>
    <xf numFmtId="166" fontId="27" fillId="0" borderId="22" xfId="126" applyNumberFormat="1" applyFont="1" applyBorder="1" applyAlignment="1">
      <alignment horizontal="right"/>
    </xf>
    <xf numFmtId="183" fontId="21" fillId="18" borderId="56" xfId="0" applyNumberFormat="1" applyFont="1" applyFill="1" applyBorder="1"/>
    <xf numFmtId="183" fontId="21" fillId="0" borderId="20" xfId="0" applyNumberFormat="1" applyFont="1" applyFill="1" applyBorder="1"/>
    <xf numFmtId="37" fontId="0" fillId="0" borderId="20" xfId="0" applyFill="1" applyBorder="1"/>
    <xf numFmtId="41" fontId="2" fillId="0" borderId="20" xfId="0" applyNumberFormat="1" applyFont="1" applyFill="1" applyBorder="1"/>
    <xf numFmtId="37" fontId="2" fillId="0" borderId="0" xfId="0" applyFont="1" applyFill="1" applyBorder="1" applyAlignment="1">
      <alignment horizontal="left"/>
    </xf>
    <xf numFmtId="37" fontId="2" fillId="0" borderId="29" xfId="0" applyFont="1" applyFill="1" applyBorder="1"/>
    <xf numFmtId="37" fontId="2" fillId="0" borderId="0" xfId="0" applyFont="1" applyFill="1" applyBorder="1"/>
    <xf numFmtId="37" fontId="2" fillId="0" borderId="29" xfId="0" applyFont="1" applyBorder="1"/>
    <xf numFmtId="183" fontId="2" fillId="0" borderId="0" xfId="0" applyNumberFormat="1" applyFont="1" applyFill="1" applyBorder="1"/>
    <xf numFmtId="183" fontId="2" fillId="0" borderId="0" xfId="0" applyNumberFormat="1" applyFont="1" applyFill="1"/>
    <xf numFmtId="183" fontId="2" fillId="0" borderId="29" xfId="0" applyNumberFormat="1" applyFont="1" applyFill="1" applyBorder="1"/>
    <xf numFmtId="183" fontId="118" fillId="0" borderId="0" xfId="0" applyNumberFormat="1" applyFont="1" applyFill="1" applyBorder="1"/>
    <xf numFmtId="5" fontId="102" fillId="0" borderId="29" xfId="0" applyNumberFormat="1" applyFont="1" applyBorder="1" applyAlignment="1">
      <alignment horizontal="right"/>
    </xf>
    <xf numFmtId="0" fontId="20" fillId="18" borderId="0" xfId="0" applyNumberFormat="1" applyFont="1" applyFill="1" applyBorder="1" applyAlignment="1">
      <alignment horizontal="right"/>
    </xf>
    <xf numFmtId="0" fontId="20" fillId="0" borderId="11" xfId="0" applyNumberFormat="1" applyFont="1" applyFill="1" applyBorder="1" applyAlignment="1">
      <alignment horizontal="right"/>
    </xf>
    <xf numFmtId="166" fontId="26" fillId="0" borderId="21" xfId="0" applyNumberFormat="1" applyFont="1" applyBorder="1"/>
    <xf numFmtId="166" fontId="26" fillId="0" borderId="21" xfId="126" applyNumberFormat="1" applyFont="1" applyBorder="1"/>
    <xf numFmtId="6" fontId="64" fillId="0" borderId="20" xfId="126" applyNumberFormat="1" applyFont="1" applyFill="1" applyBorder="1" applyAlignment="1">
      <alignment horizontal="right"/>
    </xf>
    <xf numFmtId="37" fontId="66" fillId="24" borderId="0" xfId="0" applyFont="1" applyFill="1"/>
    <xf numFmtId="5" fontId="66" fillId="24" borderId="0" xfId="0" applyNumberFormat="1" applyFont="1" applyFill="1"/>
    <xf numFmtId="5" fontId="32" fillId="0" borderId="21" xfId="77" applyNumberFormat="1" applyFont="1" applyBorder="1" applyAlignment="1">
      <alignment horizontal="right"/>
    </xf>
    <xf numFmtId="41" fontId="102" fillId="0" borderId="29" xfId="0" applyNumberFormat="1" applyFont="1" applyFill="1" applyBorder="1" applyAlignment="1">
      <alignment horizontal="right"/>
    </xf>
    <xf numFmtId="180" fontId="26" fillId="0" borderId="0" xfId="77" applyNumberFormat="1" applyFont="1" applyFill="1" applyBorder="1" applyAlignment="1">
      <alignment horizontal="right"/>
    </xf>
    <xf numFmtId="166" fontId="99" fillId="0" borderId="0" xfId="126" applyNumberFormat="1" applyFont="1" applyFill="1" applyBorder="1" applyAlignment="1">
      <alignment horizontal="right"/>
    </xf>
    <xf numFmtId="169" fontId="64" fillId="0" borderId="0" xfId="126" quotePrefix="1" applyNumberFormat="1" applyFont="1" applyBorder="1" applyAlignment="1">
      <alignment horizontal="right"/>
    </xf>
    <xf numFmtId="169" fontId="64" fillId="0" borderId="29" xfId="126" quotePrefix="1" applyNumberFormat="1" applyFont="1" applyBorder="1" applyAlignment="1">
      <alignment horizontal="left"/>
    </xf>
    <xf numFmtId="41" fontId="64" fillId="0" borderId="0" xfId="0" quotePrefix="1" applyNumberFormat="1" applyFont="1" applyFill="1" applyBorder="1" applyAlignment="1">
      <alignment horizontal="left"/>
    </xf>
    <xf numFmtId="0" fontId="64" fillId="0" borderId="23" xfId="0" quotePrefix="1" applyNumberFormat="1" applyFont="1" applyFill="1" applyBorder="1" applyAlignment="1">
      <alignment horizontal="left"/>
    </xf>
    <xf numFmtId="0" fontId="64" fillId="0" borderId="55" xfId="0" quotePrefix="1" applyNumberFormat="1" applyFont="1" applyFill="1" applyBorder="1" applyAlignment="1">
      <alignment horizontal="left"/>
    </xf>
    <xf numFmtId="41" fontId="64" fillId="0" borderId="55" xfId="0" quotePrefix="1" applyNumberFormat="1" applyFont="1" applyFill="1" applyBorder="1" applyAlignment="1">
      <alignment horizontal="left"/>
    </xf>
    <xf numFmtId="9" fontId="64" fillId="0" borderId="0" xfId="126" quotePrefix="1" applyFont="1" applyFill="1" applyBorder="1" applyAlignment="1">
      <alignment horizontal="right"/>
    </xf>
    <xf numFmtId="9" fontId="64" fillId="0" borderId="29" xfId="126" quotePrefix="1" applyFont="1" applyFill="1" applyBorder="1" applyAlignment="1">
      <alignment horizontal="right"/>
    </xf>
    <xf numFmtId="0" fontId="36" fillId="19" borderId="23" xfId="0" quotePrefix="1" applyNumberFormat="1" applyFont="1" applyFill="1" applyBorder="1" applyAlignment="1">
      <alignment horizontal="right"/>
    </xf>
    <xf numFmtId="41" fontId="43" fillId="0" borderId="0" xfId="0" applyNumberFormat="1" applyFont="1" applyFill="1" applyBorder="1" applyAlignment="1">
      <alignment horizontal="right"/>
    </xf>
    <xf numFmtId="5" fontId="122" fillId="0" borderId="0" xfId="0" applyNumberFormat="1" applyFont="1" applyBorder="1" applyAlignment="1">
      <alignment horizontal="right"/>
    </xf>
    <xf numFmtId="5" fontId="122" fillId="0" borderId="21" xfId="0" applyNumberFormat="1" applyFont="1" applyBorder="1" applyAlignment="1">
      <alignment horizontal="right"/>
    </xf>
    <xf numFmtId="5" fontId="122" fillId="0" borderId="29" xfId="0" applyNumberFormat="1" applyFont="1" applyBorder="1" applyAlignment="1">
      <alignment horizontal="right"/>
    </xf>
    <xf numFmtId="172" fontId="2" fillId="0" borderId="0" xfId="117" applyNumberFormat="1" applyFont="1" applyFill="1" applyBorder="1"/>
    <xf numFmtId="37" fontId="2" fillId="0" borderId="0" xfId="0" applyFont="1"/>
    <xf numFmtId="37" fontId="22" fillId="0" borderId="0" xfId="0" applyFont="1" applyBorder="1" applyAlignment="1">
      <alignment horizontal="right"/>
    </xf>
    <xf numFmtId="37" fontId="123" fillId="0" borderId="0" xfId="0" applyFont="1"/>
    <xf numFmtId="37" fontId="0" fillId="0" borderId="0" xfId="0" applyFont="1" applyAlignment="1">
      <alignment horizontal="left" indent="1"/>
    </xf>
    <xf numFmtId="9" fontId="27" fillId="0" borderId="20" xfId="126" applyFont="1" applyBorder="1" applyAlignment="1"/>
    <xf numFmtId="7" fontId="112" fillId="0" borderId="0" xfId="0" applyNumberFormat="1" applyFont="1" applyAlignment="1">
      <alignment horizontal="right"/>
    </xf>
    <xf numFmtId="41" fontId="122" fillId="0" borderId="29" xfId="0" applyNumberFormat="1" applyFont="1" applyFill="1" applyBorder="1"/>
    <xf numFmtId="5" fontId="125" fillId="0" borderId="0" xfId="0" applyNumberFormat="1" applyFont="1" applyBorder="1"/>
    <xf numFmtId="5" fontId="125" fillId="0" borderId="29" xfId="0" applyNumberFormat="1" applyFont="1" applyBorder="1"/>
    <xf numFmtId="5" fontId="2" fillId="0" borderId="0" xfId="0" applyNumberFormat="1" applyFont="1" applyFill="1" applyBorder="1"/>
    <xf numFmtId="5" fontId="32" fillId="0" borderId="0" xfId="0" applyNumberFormat="1" applyFont="1" applyFill="1" applyBorder="1"/>
    <xf numFmtId="5" fontId="124" fillId="0" borderId="0" xfId="0" applyNumberFormat="1" applyFont="1" applyFill="1" applyBorder="1"/>
    <xf numFmtId="5" fontId="124" fillId="0" borderId="29" xfId="0" applyNumberFormat="1" applyFont="1" applyFill="1" applyBorder="1"/>
    <xf numFmtId="41" fontId="35" fillId="0" borderId="0" xfId="0" applyNumberFormat="1" applyFont="1" applyFill="1" applyBorder="1"/>
    <xf numFmtId="41" fontId="35" fillId="0" borderId="29" xfId="0" applyNumberFormat="1" applyFont="1" applyFill="1" applyBorder="1"/>
    <xf numFmtId="37" fontId="16" fillId="0" borderId="19" xfId="0" applyFont="1" applyBorder="1"/>
    <xf numFmtId="37" fontId="16" fillId="0" borderId="70" xfId="117" applyFont="1" applyBorder="1" applyAlignment="1">
      <alignment horizontal="right"/>
    </xf>
    <xf numFmtId="37" fontId="16" fillId="0" borderId="70" xfId="117" applyFont="1" applyBorder="1"/>
    <xf numFmtId="37" fontId="16" fillId="0" borderId="20" xfId="117" applyFont="1" applyBorder="1"/>
    <xf numFmtId="37" fontId="21" fillId="0" borderId="0" xfId="117" applyFont="1" applyBorder="1" applyAlignment="1">
      <alignment horizontal="right"/>
    </xf>
    <xf numFmtId="37" fontId="21" fillId="0" borderId="0" xfId="117" applyFont="1" applyBorder="1" applyAlignment="1">
      <alignment horizontal="center"/>
    </xf>
    <xf numFmtId="37" fontId="16" fillId="0" borderId="0" xfId="117" applyFont="1" applyBorder="1" applyAlignment="1">
      <alignment horizontal="right"/>
    </xf>
    <xf numFmtId="37" fontId="21" fillId="0" borderId="21" xfId="117" applyFont="1" applyBorder="1" applyAlignment="1">
      <alignment horizontal="right"/>
    </xf>
    <xf numFmtId="37" fontId="21" fillId="0" borderId="25" xfId="117" applyFont="1" applyBorder="1"/>
    <xf numFmtId="37" fontId="21" fillId="0" borderId="22" xfId="117" applyFont="1" applyBorder="1" applyAlignment="1">
      <alignment horizontal="right"/>
    </xf>
    <xf numFmtId="5" fontId="16" fillId="0" borderId="0" xfId="117" applyNumberFormat="1" applyFont="1" applyBorder="1" applyAlignment="1">
      <alignment horizontal="right"/>
    </xf>
    <xf numFmtId="5" fontId="16" fillId="0" borderId="21" xfId="117" applyNumberFormat="1" applyFont="1" applyBorder="1"/>
    <xf numFmtId="37" fontId="16" fillId="0" borderId="21" xfId="117" applyNumberFormat="1" applyFont="1" applyBorder="1"/>
    <xf numFmtId="37" fontId="16" fillId="0" borderId="25" xfId="117" applyFont="1" applyBorder="1"/>
    <xf numFmtId="37" fontId="16" fillId="0" borderId="22" xfId="117" applyNumberFormat="1" applyFont="1" applyBorder="1"/>
    <xf numFmtId="37" fontId="21" fillId="0" borderId="20" xfId="117" applyFont="1" applyBorder="1"/>
    <xf numFmtId="37" fontId="21" fillId="0" borderId="21" xfId="117" applyNumberFormat="1" applyFont="1" applyBorder="1"/>
    <xf numFmtId="37" fontId="16" fillId="0" borderId="25" xfId="117" applyFont="1" applyFill="1" applyBorder="1"/>
    <xf numFmtId="37" fontId="16" fillId="0" borderId="22" xfId="117" applyNumberFormat="1" applyFont="1" applyFill="1" applyBorder="1"/>
    <xf numFmtId="5" fontId="21" fillId="0" borderId="21" xfId="117" applyNumberFormat="1" applyFont="1" applyBorder="1"/>
    <xf numFmtId="37" fontId="16" fillId="0" borderId="21" xfId="117" applyFont="1" applyBorder="1"/>
    <xf numFmtId="5" fontId="16" fillId="0" borderId="21" xfId="117" applyNumberFormat="1" applyFont="1" applyFill="1" applyBorder="1"/>
    <xf numFmtId="37" fontId="26" fillId="0" borderId="21" xfId="117" applyFont="1" applyFill="1" applyBorder="1"/>
    <xf numFmtId="5" fontId="21" fillId="0" borderId="21" xfId="117" applyNumberFormat="1" applyFont="1" applyFill="1" applyBorder="1"/>
    <xf numFmtId="37" fontId="16" fillId="0" borderId="21" xfId="117" applyFont="1" applyFill="1" applyBorder="1"/>
    <xf numFmtId="0" fontId="0" fillId="0" borderId="0" xfId="0" applyNumberFormat="1" applyFont="1"/>
    <xf numFmtId="0" fontId="66" fillId="0" borderId="0" xfId="126" applyNumberFormat="1" applyFont="1"/>
    <xf numFmtId="0" fontId="66" fillId="0" borderId="0" xfId="0" applyNumberFormat="1" applyFont="1"/>
    <xf numFmtId="0" fontId="0" fillId="0" borderId="56" xfId="0" applyNumberFormat="1" applyFont="1" applyBorder="1"/>
    <xf numFmtId="0" fontId="66" fillId="0" borderId="23" xfId="0" applyNumberFormat="1" applyFont="1" applyBorder="1"/>
    <xf numFmtId="0" fontId="66" fillId="0" borderId="24" xfId="0" applyNumberFormat="1" applyFont="1" applyBorder="1"/>
    <xf numFmtId="5" fontId="0" fillId="0" borderId="20" xfId="0" applyNumberFormat="1" applyFont="1" applyBorder="1"/>
    <xf numFmtId="37" fontId="66" fillId="0" borderId="0" xfId="0" applyFont="1" applyBorder="1"/>
    <xf numFmtId="37" fontId="0" fillId="0" borderId="20" xfId="0" applyFont="1" applyBorder="1"/>
    <xf numFmtId="9" fontId="66" fillId="0" borderId="11" xfId="126" applyFont="1" applyBorder="1"/>
    <xf numFmtId="9" fontId="66" fillId="0" borderId="22" xfId="126" applyFont="1" applyBorder="1"/>
    <xf numFmtId="9" fontId="0" fillId="0" borderId="25" xfId="126" applyFont="1" applyBorder="1" applyAlignment="1">
      <alignment horizontal="left" indent="1"/>
    </xf>
    <xf numFmtId="37" fontId="21" fillId="25" borderId="56" xfId="119" applyFont="1" applyFill="1" applyBorder="1"/>
    <xf numFmtId="37" fontId="16" fillId="25" borderId="23" xfId="119" applyFont="1" applyFill="1" applyBorder="1"/>
    <xf numFmtId="5" fontId="21" fillId="25" borderId="23" xfId="119" applyNumberFormat="1" applyFont="1" applyFill="1" applyBorder="1"/>
    <xf numFmtId="37" fontId="2" fillId="18" borderId="19" xfId="119" applyFont="1" applyFill="1" applyBorder="1"/>
    <xf numFmtId="37" fontId="2" fillId="18" borderId="70" xfId="119" applyFont="1" applyFill="1" applyBorder="1"/>
    <xf numFmtId="37" fontId="2" fillId="18" borderId="0" xfId="119" applyFont="1" applyFill="1" applyBorder="1"/>
    <xf numFmtId="37" fontId="21" fillId="18" borderId="77" xfId="119" applyFont="1" applyFill="1" applyBorder="1" applyAlignment="1">
      <alignment horizontal="right"/>
    </xf>
    <xf numFmtId="0" fontId="2" fillId="18" borderId="12" xfId="119" applyNumberFormat="1" applyFont="1" applyFill="1" applyBorder="1"/>
    <xf numFmtId="37" fontId="2" fillId="18" borderId="13" xfId="119" applyFont="1" applyFill="1" applyBorder="1"/>
    <xf numFmtId="0" fontId="2" fillId="18" borderId="17" xfId="119" applyNumberFormat="1" applyFont="1" applyFill="1" applyBorder="1"/>
    <xf numFmtId="0" fontId="2" fillId="18" borderId="18" xfId="119" applyNumberFormat="1" applyFont="1" applyFill="1" applyBorder="1"/>
    <xf numFmtId="37" fontId="2" fillId="18" borderId="15" xfId="119" applyFont="1" applyFill="1" applyBorder="1"/>
    <xf numFmtId="37" fontId="16" fillId="25" borderId="0" xfId="119" applyFont="1" applyFill="1" applyBorder="1"/>
    <xf numFmtId="169" fontId="26" fillId="25" borderId="0" xfId="119" applyNumberFormat="1" applyFont="1" applyFill="1"/>
    <xf numFmtId="37" fontId="16" fillId="25" borderId="0" xfId="119" applyFont="1" applyFill="1"/>
    <xf numFmtId="37" fontId="0" fillId="25" borderId="0" xfId="0" applyFill="1"/>
    <xf numFmtId="37" fontId="16" fillId="0" borderId="78" xfId="119" applyFont="1" applyBorder="1"/>
    <xf numFmtId="9" fontId="21" fillId="18" borderId="24" xfId="130" applyNumberFormat="1" applyFont="1" applyFill="1" applyBorder="1"/>
    <xf numFmtId="9" fontId="16" fillId="0" borderId="21" xfId="119" applyNumberFormat="1" applyFont="1" applyBorder="1"/>
    <xf numFmtId="9" fontId="21" fillId="0" borderId="21" xfId="130" applyNumberFormat="1" applyFont="1" applyBorder="1"/>
    <xf numFmtId="9" fontId="21" fillId="0" borderId="21" xfId="126" applyFont="1" applyBorder="1"/>
    <xf numFmtId="9" fontId="21" fillId="0" borderId="21" xfId="130" applyNumberFormat="1" applyFont="1" applyFill="1" applyBorder="1"/>
    <xf numFmtId="9" fontId="2" fillId="0" borderId="21" xfId="130" applyNumberFormat="1" applyFont="1" applyBorder="1"/>
    <xf numFmtId="9" fontId="16" fillId="0" borderId="26" xfId="119" applyNumberFormat="1" applyFont="1" applyFill="1" applyBorder="1"/>
    <xf numFmtId="37" fontId="16" fillId="0" borderId="79" xfId="119" applyFont="1" applyBorder="1"/>
    <xf numFmtId="41" fontId="19" fillId="0" borderId="20" xfId="119" applyNumberFormat="1" applyFont="1" applyBorder="1"/>
    <xf numFmtId="37" fontId="26" fillId="0" borderId="19" xfId="119" applyFont="1" applyFill="1" applyBorder="1"/>
    <xf numFmtId="5" fontId="19" fillId="0" borderId="20" xfId="119" applyNumberFormat="1" applyFont="1" applyBorder="1"/>
    <xf numFmtId="5" fontId="20" fillId="18" borderId="56" xfId="119" applyNumberFormat="1" applyFont="1" applyFill="1" applyBorder="1"/>
    <xf numFmtId="5" fontId="20" fillId="0" borderId="20" xfId="119" applyNumberFormat="1" applyFont="1" applyBorder="1"/>
    <xf numFmtId="9" fontId="70" fillId="0" borderId="20" xfId="126" applyFont="1" applyBorder="1"/>
    <xf numFmtId="37" fontId="19" fillId="0" borderId="20" xfId="119" applyNumberFormat="1" applyFont="1" applyBorder="1"/>
    <xf numFmtId="7" fontId="20" fillId="18" borderId="56" xfId="119" applyNumberFormat="1" applyFont="1" applyFill="1" applyBorder="1"/>
    <xf numFmtId="169" fontId="19" fillId="0" borderId="20" xfId="119" applyNumberFormat="1" applyFont="1" applyBorder="1"/>
    <xf numFmtId="169" fontId="20" fillId="0" borderId="20" xfId="119" applyNumberFormat="1" applyFont="1" applyFill="1" applyBorder="1"/>
    <xf numFmtId="5" fontId="19" fillId="0" borderId="20" xfId="119" applyNumberFormat="1" applyFont="1" applyFill="1" applyBorder="1"/>
    <xf numFmtId="41" fontId="19" fillId="0" borderId="20" xfId="119" applyNumberFormat="1" applyFont="1" applyFill="1" applyBorder="1"/>
    <xf numFmtId="37" fontId="19" fillId="0" borderId="19" xfId="119" applyFont="1" applyFill="1" applyBorder="1"/>
    <xf numFmtId="37" fontId="19" fillId="0" borderId="20" xfId="119" applyNumberFormat="1" applyFont="1" applyFill="1" applyBorder="1"/>
    <xf numFmtId="5" fontId="20" fillId="25" borderId="56" xfId="119" applyNumberFormat="1" applyFont="1" applyFill="1" applyBorder="1"/>
    <xf numFmtId="5" fontId="19" fillId="0" borderId="0" xfId="119" applyNumberFormat="1" applyFont="1" applyBorder="1"/>
    <xf numFmtId="41" fontId="19" fillId="0" borderId="0" xfId="119" applyNumberFormat="1" applyFont="1" applyBorder="1"/>
    <xf numFmtId="5" fontId="20" fillId="18" borderId="23" xfId="119" applyNumberFormat="1" applyFont="1" applyFill="1" applyBorder="1"/>
    <xf numFmtId="5" fontId="20" fillId="25" borderId="23" xfId="119" applyNumberFormat="1" applyFont="1" applyFill="1" applyBorder="1"/>
    <xf numFmtId="5" fontId="20" fillId="0" borderId="0" xfId="119" applyNumberFormat="1" applyFont="1" applyBorder="1"/>
    <xf numFmtId="37" fontId="19" fillId="0" borderId="0" xfId="119" applyNumberFormat="1" applyFont="1" applyBorder="1"/>
    <xf numFmtId="7" fontId="20" fillId="18" borderId="23" xfId="119" applyNumberFormat="1" applyFont="1" applyFill="1" applyBorder="1"/>
    <xf numFmtId="169" fontId="19" fillId="0" borderId="0" xfId="119" applyNumberFormat="1" applyFont="1" applyBorder="1"/>
    <xf numFmtId="169" fontId="20" fillId="0" borderId="0" xfId="119" applyNumberFormat="1" applyFont="1" applyFill="1" applyBorder="1"/>
    <xf numFmtId="5" fontId="19" fillId="0" borderId="0" xfId="119" applyNumberFormat="1" applyFont="1" applyFill="1" applyBorder="1"/>
    <xf numFmtId="41" fontId="19" fillId="0" borderId="0" xfId="119" applyNumberFormat="1" applyFont="1" applyFill="1" applyBorder="1"/>
    <xf numFmtId="37" fontId="19" fillId="0" borderId="70" xfId="119" applyFont="1" applyFill="1" applyBorder="1"/>
    <xf numFmtId="37" fontId="19" fillId="0" borderId="0" xfId="119" applyNumberFormat="1" applyFont="1" applyFill="1" applyBorder="1"/>
    <xf numFmtId="37" fontId="42" fillId="0" borderId="0" xfId="119" applyFont="1" applyBorder="1"/>
    <xf numFmtId="5" fontId="26" fillId="0" borderId="20" xfId="119" applyNumberFormat="1" applyFont="1" applyBorder="1"/>
    <xf numFmtId="37" fontId="26" fillId="0" borderId="20" xfId="119" applyFont="1" applyBorder="1"/>
    <xf numFmtId="5" fontId="21" fillId="0" borderId="23" xfId="119" applyNumberFormat="1" applyFont="1" applyBorder="1"/>
    <xf numFmtId="9" fontId="21" fillId="0" borderId="24" xfId="130" applyNumberFormat="1" applyFont="1" applyBorder="1"/>
    <xf numFmtId="37" fontId="21" fillId="0" borderId="56" xfId="119" applyFont="1" applyFill="1" applyBorder="1"/>
    <xf numFmtId="5" fontId="20" fillId="0" borderId="56" xfId="119" applyNumberFormat="1" applyFont="1" applyFill="1" applyBorder="1"/>
    <xf numFmtId="5" fontId="20" fillId="0" borderId="23" xfId="119" applyNumberFormat="1" applyFont="1" applyFill="1" applyBorder="1"/>
    <xf numFmtId="5" fontId="16" fillId="0" borderId="23" xfId="119" applyNumberFormat="1" applyFont="1" applyFill="1" applyBorder="1"/>
    <xf numFmtId="5" fontId="21" fillId="0" borderId="56" xfId="119" applyNumberFormat="1" applyFont="1" applyFill="1" applyBorder="1"/>
    <xf numFmtId="9" fontId="21" fillId="0" borderId="24" xfId="130" applyNumberFormat="1" applyFont="1" applyBorder="1" applyAlignment="1">
      <alignment horizontal="right"/>
    </xf>
    <xf numFmtId="37" fontId="21" fillId="18" borderId="23" xfId="119" applyFont="1" applyFill="1" applyBorder="1" applyAlignment="1">
      <alignment horizontal="centerContinuous"/>
    </xf>
    <xf numFmtId="37" fontId="21" fillId="18" borderId="80" xfId="119" applyFont="1" applyFill="1" applyBorder="1" applyAlignment="1">
      <alignment horizontal="centerContinuous"/>
    </xf>
    <xf numFmtId="37" fontId="2" fillId="18" borderId="81" xfId="119" applyFont="1" applyFill="1" applyBorder="1"/>
    <xf numFmtId="37" fontId="21" fillId="18" borderId="18" xfId="119" applyFont="1" applyFill="1" applyBorder="1" applyAlignment="1">
      <alignment horizontal="right"/>
    </xf>
    <xf numFmtId="37" fontId="21" fillId="0" borderId="79" xfId="119" applyFont="1" applyBorder="1"/>
    <xf numFmtId="37" fontId="27" fillId="0" borderId="20" xfId="119" applyFont="1" applyBorder="1" applyAlignment="1">
      <alignment horizontal="left" indent="1"/>
    </xf>
    <xf numFmtId="37" fontId="2" fillId="0" borderId="20" xfId="119" applyFont="1" applyBorder="1"/>
    <xf numFmtId="0" fontId="16" fillId="0" borderId="25" xfId="0" applyNumberFormat="1" applyFont="1" applyFill="1" applyBorder="1" applyAlignment="1">
      <alignment horizontal="left"/>
    </xf>
    <xf numFmtId="37" fontId="0" fillId="0" borderId="26" xfId="0" applyBorder="1"/>
    <xf numFmtId="37" fontId="0" fillId="0" borderId="19" xfId="0" applyBorder="1"/>
    <xf numFmtId="5" fontId="20" fillId="0" borderId="23" xfId="119" applyNumberFormat="1" applyFont="1" applyBorder="1"/>
    <xf numFmtId="0" fontId="66" fillId="0" borderId="0" xfId="0" applyNumberFormat="1" applyFont="1" applyAlignment="1">
      <alignment horizontal="right"/>
    </xf>
    <xf numFmtId="37" fontId="126" fillId="0" borderId="0" xfId="0" applyFont="1"/>
    <xf numFmtId="37" fontId="127" fillId="0" borderId="0" xfId="0" applyFont="1"/>
    <xf numFmtId="192" fontId="66" fillId="0" borderId="0" xfId="0" applyNumberFormat="1" applyFont="1"/>
    <xf numFmtId="37" fontId="68" fillId="0" borderId="0" xfId="0" applyFont="1" applyAlignment="1">
      <alignment horizontal="right"/>
    </xf>
    <xf numFmtId="192" fontId="66" fillId="17" borderId="0" xfId="0" applyNumberFormat="1" applyFont="1" applyFill="1"/>
    <xf numFmtId="192" fontId="0" fillId="17" borderId="0" xfId="0" applyNumberFormat="1" applyFont="1" applyFill="1"/>
    <xf numFmtId="37" fontId="126" fillId="0" borderId="29" xfId="0" applyFont="1" applyBorder="1"/>
    <xf numFmtId="37" fontId="68" fillId="0" borderId="29" xfId="0" applyFont="1" applyBorder="1" applyAlignment="1">
      <alignment horizontal="right"/>
    </xf>
    <xf numFmtId="192" fontId="66" fillId="0" borderId="29" xfId="0" applyNumberFormat="1" applyFont="1" applyBorder="1"/>
    <xf numFmtId="37" fontId="66" fillId="0" borderId="35" xfId="0" applyFont="1" applyBorder="1"/>
    <xf numFmtId="0" fontId="66" fillId="0" borderId="26" xfId="0" applyNumberFormat="1" applyFont="1" applyBorder="1" applyAlignment="1">
      <alignment horizontal="right"/>
    </xf>
    <xf numFmtId="37" fontId="126" fillId="0" borderId="0" xfId="0" applyFont="1" applyBorder="1"/>
    <xf numFmtId="37" fontId="127" fillId="0" borderId="0" xfId="0" applyFont="1" applyBorder="1"/>
    <xf numFmtId="37" fontId="127" fillId="0" borderId="21" xfId="0" applyFont="1" applyBorder="1"/>
    <xf numFmtId="37" fontId="68" fillId="0" borderId="0" xfId="0" applyFont="1" applyBorder="1" applyAlignment="1">
      <alignment horizontal="right"/>
    </xf>
    <xf numFmtId="37" fontId="68" fillId="0" borderId="21" xfId="0" applyFont="1" applyBorder="1" applyAlignment="1">
      <alignment horizontal="right"/>
    </xf>
    <xf numFmtId="37" fontId="126" fillId="0" borderId="21" xfId="0" applyFont="1" applyBorder="1"/>
    <xf numFmtId="192" fontId="0" fillId="0" borderId="20" xfId="0" applyNumberFormat="1" applyFont="1" applyBorder="1"/>
    <xf numFmtId="192" fontId="66" fillId="0" borderId="0" xfId="0" applyNumberFormat="1" applyFont="1" applyBorder="1"/>
    <xf numFmtId="192" fontId="66" fillId="0" borderId="21" xfId="0" applyNumberFormat="1" applyFont="1" applyBorder="1"/>
    <xf numFmtId="37" fontId="127" fillId="0" borderId="29" xfId="0" applyFont="1" applyBorder="1"/>
    <xf numFmtId="37" fontId="0" fillId="0" borderId="29" xfId="0" applyFont="1" applyBorder="1"/>
    <xf numFmtId="37" fontId="0" fillId="0" borderId="0" xfId="0" applyFont="1" applyBorder="1"/>
    <xf numFmtId="37" fontId="0" fillId="0" borderId="21" xfId="0" applyFont="1" applyBorder="1"/>
    <xf numFmtId="37" fontId="128" fillId="0" borderId="29" xfId="0" applyFont="1" applyBorder="1"/>
    <xf numFmtId="0" fontId="0" fillId="0" borderId="55" xfId="0" applyNumberFormat="1" applyFont="1" applyBorder="1" applyAlignment="1">
      <alignment horizontal="right"/>
    </xf>
    <xf numFmtId="0" fontId="66" fillId="0" borderId="23" xfId="0" applyNumberFormat="1" applyFont="1" applyBorder="1" applyAlignment="1">
      <alignment horizontal="right"/>
    </xf>
    <xf numFmtId="0" fontId="66" fillId="0" borderId="55" xfId="0" applyNumberFormat="1" applyFont="1" applyBorder="1" applyAlignment="1">
      <alignment horizontal="right"/>
    </xf>
    <xf numFmtId="0" fontId="66" fillId="0" borderId="24" xfId="0" applyNumberFormat="1" applyFont="1" applyBorder="1" applyAlignment="1">
      <alignment horizontal="right"/>
    </xf>
    <xf numFmtId="37" fontId="0" fillId="0" borderId="19" xfId="0" applyFont="1" applyBorder="1"/>
    <xf numFmtId="0" fontId="66" fillId="0" borderId="70" xfId="0" applyNumberFormat="1" applyFont="1" applyBorder="1"/>
    <xf numFmtId="37" fontId="128" fillId="0" borderId="0" xfId="0" applyFont="1" applyBorder="1"/>
    <xf numFmtId="37" fontId="128" fillId="0" borderId="21" xfId="0" applyFont="1" applyBorder="1"/>
    <xf numFmtId="9" fontId="128" fillId="0" borderId="0" xfId="126" applyFont="1" applyBorder="1"/>
    <xf numFmtId="37" fontId="22" fillId="0" borderId="20" xfId="0" applyFont="1" applyBorder="1"/>
    <xf numFmtId="0" fontId="66" fillId="0" borderId="0" xfId="0" applyNumberFormat="1" applyFont="1" applyBorder="1"/>
    <xf numFmtId="0" fontId="66" fillId="0" borderId="21" xfId="0" applyNumberFormat="1" applyFont="1" applyBorder="1" applyAlignment="1">
      <alignment horizontal="right"/>
    </xf>
    <xf numFmtId="37" fontId="0" fillId="0" borderId="25" xfId="0" applyFont="1" applyBorder="1"/>
    <xf numFmtId="37" fontId="0" fillId="0" borderId="11" xfId="0" applyFont="1" applyBorder="1"/>
    <xf numFmtId="37" fontId="66" fillId="0" borderId="19" xfId="0" applyFont="1" applyBorder="1"/>
    <xf numFmtId="37" fontId="0" fillId="0" borderId="26" xfId="0" applyFont="1" applyBorder="1" applyAlignment="1">
      <alignment horizontal="right"/>
    </xf>
    <xf numFmtId="37" fontId="0" fillId="0" borderId="25" xfId="0" applyFont="1" applyBorder="1" applyAlignment="1">
      <alignment horizontal="left" indent="1"/>
    </xf>
    <xf numFmtId="41" fontId="27" fillId="0" borderId="11" xfId="126" applyNumberFormat="1" applyFont="1" applyBorder="1"/>
    <xf numFmtId="183" fontId="26" fillId="25" borderId="0" xfId="0" applyNumberFormat="1" applyFont="1" applyFill="1" applyBorder="1"/>
    <xf numFmtId="166" fontId="27" fillId="0" borderId="22" xfId="126" applyNumberFormat="1" applyFont="1" applyFill="1" applyBorder="1"/>
    <xf numFmtId="166" fontId="16" fillId="0" borderId="20" xfId="0" applyNumberFormat="1" applyFont="1" applyBorder="1"/>
    <xf numFmtId="166" fontId="36" fillId="0" borderId="11" xfId="0" applyNumberFormat="1" applyFont="1" applyFill="1" applyBorder="1"/>
    <xf numFmtId="166" fontId="36" fillId="0" borderId="11" xfId="0" applyNumberFormat="1" applyFont="1" applyFill="1" applyBorder="1" applyAlignment="1">
      <alignment horizontal="right"/>
    </xf>
    <xf numFmtId="166" fontId="21" fillId="0" borderId="11" xfId="0" applyNumberFormat="1" applyFont="1" applyFill="1" applyBorder="1"/>
    <xf numFmtId="166" fontId="36" fillId="0" borderId="35" xfId="0" applyNumberFormat="1" applyFont="1" applyFill="1" applyBorder="1"/>
    <xf numFmtId="166" fontId="21" fillId="0" borderId="35" xfId="0" applyNumberFormat="1" applyFont="1" applyFill="1" applyBorder="1"/>
    <xf numFmtId="166" fontId="16" fillId="0" borderId="35" xfId="0" applyNumberFormat="1" applyFont="1" applyBorder="1"/>
    <xf numFmtId="166" fontId="0" fillId="0" borderId="20" xfId="126" applyNumberFormat="1" applyFont="1" applyFill="1" applyBorder="1"/>
    <xf numFmtId="166" fontId="0" fillId="0" borderId="20" xfId="0" applyNumberFormat="1" applyFill="1" applyBorder="1"/>
    <xf numFmtId="166" fontId="16" fillId="0" borderId="35" xfId="0" applyNumberFormat="1" applyFont="1" applyFill="1" applyBorder="1"/>
    <xf numFmtId="166" fontId="27" fillId="0" borderId="35" xfId="126" applyNumberFormat="1" applyFont="1" applyFill="1" applyBorder="1"/>
    <xf numFmtId="166" fontId="0" fillId="0" borderId="11" xfId="0" applyNumberFormat="1" applyBorder="1"/>
    <xf numFmtId="166" fontId="0" fillId="0" borderId="35" xfId="0" applyNumberFormat="1" applyBorder="1"/>
    <xf numFmtId="166" fontId="27" fillId="0" borderId="35" xfId="126" applyNumberFormat="1" applyFont="1" applyBorder="1"/>
    <xf numFmtId="37" fontId="102" fillId="0" borderId="29" xfId="0" applyNumberFormat="1" applyFont="1" applyFill="1" applyBorder="1"/>
    <xf numFmtId="192" fontId="66" fillId="0" borderId="0" xfId="0" applyNumberFormat="1" applyFont="1" applyFill="1" applyBorder="1"/>
    <xf numFmtId="192" fontId="66" fillId="0" borderId="29" xfId="0" applyNumberFormat="1" applyFont="1" applyFill="1" applyBorder="1"/>
    <xf numFmtId="192" fontId="66" fillId="0" borderId="21" xfId="0" applyNumberFormat="1" applyFont="1" applyFill="1" applyBorder="1"/>
    <xf numFmtId="1" fontId="3" fillId="0" borderId="0" xfId="0" applyNumberFormat="1" applyFont="1" applyBorder="1"/>
    <xf numFmtId="7" fontId="66" fillId="0" borderId="0" xfId="0" applyNumberFormat="1" applyFont="1" applyBorder="1"/>
    <xf numFmtId="0" fontId="2" fillId="0" borderId="0" xfId="0" applyNumberFormat="1" applyFont="1"/>
    <xf numFmtId="43" fontId="16" fillId="0" borderId="29" xfId="0" applyNumberFormat="1" applyFont="1" applyBorder="1" applyAlignment="1">
      <alignment horizontal="right"/>
    </xf>
    <xf numFmtId="9" fontId="16" fillId="0" borderId="35" xfId="126" applyFont="1" applyFill="1" applyBorder="1"/>
    <xf numFmtId="9" fontId="16" fillId="0" borderId="29" xfId="0" applyNumberFormat="1" applyFont="1" applyBorder="1"/>
    <xf numFmtId="37" fontId="2" fillId="0" borderId="0" xfId="0" applyFont="1" applyBorder="1"/>
    <xf numFmtId="0" fontId="2" fillId="0" borderId="0" xfId="0" applyNumberFormat="1" applyFont="1" applyFill="1" applyAlignment="1">
      <alignment horizontal="left"/>
    </xf>
    <xf numFmtId="0" fontId="2" fillId="0" borderId="0" xfId="0" applyNumberFormat="1" applyFont="1" applyFill="1" applyAlignment="1"/>
    <xf numFmtId="166" fontId="44" fillId="21" borderId="23" xfId="126" applyNumberFormat="1" applyFont="1" applyFill="1" applyBorder="1"/>
    <xf numFmtId="166" fontId="64" fillId="0" borderId="21" xfId="126" applyNumberFormat="1" applyFont="1" applyFill="1" applyBorder="1" applyAlignment="1">
      <alignment horizontal="right"/>
    </xf>
    <xf numFmtId="37" fontId="16" fillId="0" borderId="70" xfId="0" applyFont="1" applyBorder="1"/>
    <xf numFmtId="37" fontId="16" fillId="0" borderId="26" xfId="0" applyFont="1" applyBorder="1"/>
    <xf numFmtId="37" fontId="16" fillId="0" borderId="20" xfId="0" applyFont="1" applyFill="1" applyBorder="1"/>
    <xf numFmtId="166" fontId="101" fillId="0" borderId="20" xfId="126" applyNumberFormat="1" applyFont="1" applyFill="1" applyBorder="1"/>
    <xf numFmtId="166" fontId="101" fillId="0" borderId="21" xfId="126" applyNumberFormat="1" applyFont="1" applyFill="1" applyBorder="1"/>
    <xf numFmtId="166" fontId="64" fillId="0" borderId="20" xfId="126" applyNumberFormat="1" applyFont="1" applyFill="1" applyBorder="1" applyAlignment="1">
      <alignment horizontal="right"/>
    </xf>
    <xf numFmtId="166" fontId="26" fillId="0" borderId="29" xfId="126" applyNumberFormat="1" applyFont="1" applyFill="1" applyBorder="1"/>
    <xf numFmtId="166" fontId="44" fillId="21" borderId="55" xfId="126" applyNumberFormat="1" applyFont="1" applyFill="1" applyBorder="1"/>
    <xf numFmtId="37" fontId="2" fillId="0" borderId="0" xfId="0" applyFont="1" applyFill="1"/>
    <xf numFmtId="0" fontId="2" fillId="0" borderId="0" xfId="0" applyNumberFormat="1" applyFont="1" applyFill="1"/>
    <xf numFmtId="10" fontId="26" fillId="22" borderId="20" xfId="126" applyNumberFormat="1" applyFont="1" applyFill="1" applyBorder="1"/>
    <xf numFmtId="10" fontId="26" fillId="22" borderId="0" xfId="126" applyNumberFormat="1" applyFont="1" applyFill="1" applyBorder="1"/>
    <xf numFmtId="10" fontId="26" fillId="22" borderId="21" xfId="126" applyNumberFormat="1" applyFont="1" applyFill="1" applyBorder="1"/>
    <xf numFmtId="10" fontId="26" fillId="22" borderId="29" xfId="126" applyNumberFormat="1" applyFont="1" applyFill="1" applyBorder="1"/>
    <xf numFmtId="10" fontId="26" fillId="22" borderId="25" xfId="126" applyNumberFormat="1" applyFont="1" applyFill="1" applyBorder="1"/>
    <xf numFmtId="10" fontId="26" fillId="22" borderId="11" xfId="126" applyNumberFormat="1" applyFont="1" applyFill="1" applyBorder="1"/>
    <xf numFmtId="10" fontId="26" fillId="22" borderId="22" xfId="126" applyNumberFormat="1" applyFont="1" applyFill="1" applyBorder="1"/>
    <xf numFmtId="10" fontId="26" fillId="22" borderId="35" xfId="126" applyNumberFormat="1" applyFont="1" applyFill="1" applyBorder="1"/>
    <xf numFmtId="166" fontId="26" fillId="22" borderId="0" xfId="0" applyNumberFormat="1" applyFont="1" applyFill="1" applyBorder="1"/>
    <xf numFmtId="166" fontId="26" fillId="22" borderId="29" xfId="0" applyNumberFormat="1" applyFont="1" applyFill="1" applyBorder="1"/>
    <xf numFmtId="41" fontId="64" fillId="0" borderId="0" xfId="0" quotePrefix="1" applyNumberFormat="1" applyFont="1" applyFill="1" applyBorder="1" applyAlignment="1">
      <alignment horizontal="right"/>
    </xf>
    <xf numFmtId="166" fontId="26" fillId="0" borderId="29" xfId="126" applyNumberFormat="1" applyFont="1" applyFill="1" applyBorder="1" applyAlignment="1">
      <alignment horizontal="right"/>
    </xf>
    <xf numFmtId="166" fontId="36" fillId="0" borderId="29" xfId="126" applyNumberFormat="1" applyFont="1" applyFill="1" applyBorder="1" applyAlignment="1">
      <alignment horizontal="right"/>
    </xf>
    <xf numFmtId="5" fontId="122" fillId="0" borderId="0" xfId="0" applyNumberFormat="1" applyFont="1" applyFill="1" applyBorder="1" applyAlignment="1">
      <alignment horizontal="right"/>
    </xf>
    <xf numFmtId="10" fontId="16" fillId="0" borderId="0" xfId="129" applyNumberFormat="1" applyFont="1" applyFill="1"/>
    <xf numFmtId="180" fontId="2" fillId="0" borderId="0" xfId="0" applyNumberFormat="1" applyFont="1" applyFill="1" applyBorder="1"/>
    <xf numFmtId="169" fontId="128" fillId="0" borderId="21" xfId="0" applyNumberFormat="1" applyFont="1" applyBorder="1"/>
    <xf numFmtId="169" fontId="0" fillId="0" borderId="21" xfId="0" applyNumberFormat="1" applyFont="1" applyBorder="1"/>
    <xf numFmtId="169" fontId="0" fillId="0" borderId="21" xfId="0" applyNumberFormat="1" applyBorder="1"/>
    <xf numFmtId="37" fontId="0" fillId="0" borderId="25" xfId="0" applyBorder="1"/>
    <xf numFmtId="169" fontId="0" fillId="0" borderId="22" xfId="0" applyNumberFormat="1" applyBorder="1"/>
    <xf numFmtId="168" fontId="136" fillId="0" borderId="21" xfId="0" applyNumberFormat="1" applyFont="1" applyBorder="1"/>
    <xf numFmtId="5" fontId="136" fillId="0" borderId="21" xfId="0" applyNumberFormat="1" applyFont="1" applyBorder="1"/>
    <xf numFmtId="37" fontId="66" fillId="0" borderId="24" xfId="0" applyFont="1" applyBorder="1"/>
    <xf numFmtId="9" fontId="26" fillId="0" borderId="29" xfId="0" applyNumberFormat="1" applyFont="1" applyFill="1" applyBorder="1" applyAlignment="1">
      <alignment horizontal="right"/>
    </xf>
    <xf numFmtId="166" fontId="27" fillId="0" borderId="29" xfId="126" applyNumberFormat="1" applyFont="1" applyFill="1" applyBorder="1" applyAlignment="1">
      <alignment horizontal="right"/>
    </xf>
    <xf numFmtId="180" fontId="26" fillId="0" borderId="29" xfId="77" applyNumberFormat="1" applyFont="1" applyFill="1" applyBorder="1" applyAlignment="1">
      <alignment horizontal="right"/>
    </xf>
    <xf numFmtId="166" fontId="70" fillId="0" borderId="29" xfId="126" applyNumberFormat="1" applyFont="1" applyFill="1" applyBorder="1" applyAlignment="1">
      <alignment horizontal="right"/>
    </xf>
    <xf numFmtId="9" fontId="27" fillId="0" borderId="11" xfId="126" applyNumberFormat="1" applyFont="1" applyFill="1" applyBorder="1" applyAlignment="1">
      <alignment horizontal="left" indent="1"/>
    </xf>
    <xf numFmtId="37" fontId="26" fillId="0" borderId="22" xfId="0" applyFont="1" applyFill="1" applyBorder="1"/>
    <xf numFmtId="5" fontId="137" fillId="0" borderId="0" xfId="0" applyNumberFormat="1" applyFont="1" applyBorder="1"/>
    <xf numFmtId="9" fontId="16" fillId="0" borderId="29" xfId="0" applyNumberFormat="1" applyFont="1" applyBorder="1" applyAlignment="1">
      <alignment horizontal="right"/>
    </xf>
    <xf numFmtId="5" fontId="137" fillId="0" borderId="11" xfId="0" applyNumberFormat="1" applyFont="1" applyBorder="1"/>
    <xf numFmtId="4" fontId="16" fillId="0" borderId="0" xfId="0" applyNumberFormat="1" applyFont="1" applyBorder="1"/>
    <xf numFmtId="0" fontId="16" fillId="0" borderId="20" xfId="77" applyNumberFormat="1" applyFont="1" applyFill="1" applyBorder="1" applyAlignment="1"/>
    <xf numFmtId="41" fontId="16" fillId="0" borderId="21" xfId="77" applyNumberFormat="1" applyFont="1" applyFill="1" applyBorder="1" applyAlignment="1">
      <alignment horizontal="right"/>
    </xf>
    <xf numFmtId="0" fontId="2" fillId="0" borderId="20" xfId="77" applyNumberFormat="1" applyFont="1" applyFill="1" applyBorder="1" applyAlignment="1"/>
    <xf numFmtId="4" fontId="70" fillId="0" borderId="0" xfId="0" applyNumberFormat="1" applyFont="1" applyBorder="1"/>
    <xf numFmtId="4" fontId="63" fillId="0" borderId="0" xfId="0" applyNumberFormat="1" applyFont="1" applyBorder="1"/>
    <xf numFmtId="0" fontId="1" fillId="0" borderId="0" xfId="111"/>
    <xf numFmtId="183" fontId="2" fillId="0" borderId="0" xfId="0" applyNumberFormat="1" applyFont="1" applyBorder="1"/>
    <xf numFmtId="41" fontId="26" fillId="0" borderId="20" xfId="0" applyNumberFormat="1" applyFont="1" applyBorder="1"/>
    <xf numFmtId="41" fontId="28" fillId="0" borderId="20" xfId="0" applyNumberFormat="1" applyFont="1" applyBorder="1"/>
    <xf numFmtId="5" fontId="21" fillId="0" borderId="20" xfId="0" applyNumberFormat="1" applyFont="1" applyBorder="1"/>
    <xf numFmtId="5" fontId="26" fillId="0" borderId="20" xfId="0" applyNumberFormat="1" applyFont="1" applyBorder="1"/>
    <xf numFmtId="5" fontId="21" fillId="0" borderId="25" xfId="0" applyNumberFormat="1" applyFont="1" applyBorder="1"/>
    <xf numFmtId="41" fontId="29" fillId="0" borderId="20" xfId="0" applyNumberFormat="1" applyFont="1" applyBorder="1"/>
    <xf numFmtId="169" fontId="64" fillId="0" borderId="29" xfId="126" quotePrefix="1" applyNumberFormat="1" applyFont="1" applyFill="1" applyBorder="1" applyAlignment="1">
      <alignment horizontal="left"/>
    </xf>
    <xf numFmtId="5" fontId="70" fillId="0" borderId="0" xfId="0" applyNumberFormat="1" applyFont="1" applyBorder="1"/>
    <xf numFmtId="41" fontId="72" fillId="0" borderId="0" xfId="0" applyNumberFormat="1" applyFont="1" applyBorder="1"/>
    <xf numFmtId="41" fontId="72" fillId="0" borderId="29" xfId="0" applyNumberFormat="1" applyFont="1" applyBorder="1"/>
    <xf numFmtId="7" fontId="19" fillId="0" borderId="29" xfId="79" applyNumberFormat="1" applyFont="1" applyFill="1" applyBorder="1"/>
    <xf numFmtId="9" fontId="21" fillId="0" borderId="29" xfId="126" applyNumberFormat="1" applyFont="1" applyFill="1" applyBorder="1"/>
    <xf numFmtId="9" fontId="19" fillId="0" borderId="29" xfId="126" applyNumberFormat="1" applyFont="1" applyFill="1" applyBorder="1"/>
    <xf numFmtId="166" fontId="64" fillId="0" borderId="0" xfId="127" applyNumberFormat="1" applyFont="1" applyFill="1" applyBorder="1"/>
    <xf numFmtId="5" fontId="26" fillId="0" borderId="29" xfId="0" applyNumberFormat="1" applyFont="1" applyFill="1" applyBorder="1"/>
    <xf numFmtId="166" fontId="0" fillId="0" borderId="0" xfId="0" applyNumberFormat="1" applyBorder="1"/>
    <xf numFmtId="41" fontId="0" fillId="0" borderId="0" xfId="0" applyNumberFormat="1" applyBorder="1"/>
    <xf numFmtId="166" fontId="0" fillId="0" borderId="0" xfId="0" applyNumberFormat="1" applyFill="1" applyBorder="1"/>
    <xf numFmtId="166" fontId="0" fillId="0" borderId="0" xfId="126" applyNumberFormat="1" applyFont="1" applyFill="1" applyBorder="1"/>
    <xf numFmtId="41" fontId="2" fillId="0" borderId="0" xfId="77" applyNumberFormat="1" applyFont="1" applyBorder="1" applyAlignment="1">
      <alignment horizontal="right"/>
    </xf>
    <xf numFmtId="9" fontId="75" fillId="0" borderId="0" xfId="126" applyFont="1" applyBorder="1" applyAlignment="1">
      <alignment horizontal="right"/>
    </xf>
    <xf numFmtId="195" fontId="0" fillId="0" borderId="0" xfId="126" applyNumberFormat="1" applyFont="1"/>
    <xf numFmtId="195" fontId="0" fillId="0" borderId="0" xfId="0" applyNumberFormat="1"/>
    <xf numFmtId="5" fontId="138" fillId="0" borderId="0" xfId="0" applyNumberFormat="1" applyFont="1" applyFill="1" applyBorder="1"/>
    <xf numFmtId="37" fontId="26" fillId="0" borderId="29" xfId="0" quotePrefix="1" applyFont="1" applyBorder="1" applyAlignment="1">
      <alignment horizontal="right"/>
    </xf>
    <xf numFmtId="166" fontId="26" fillId="0" borderId="0" xfId="126" quotePrefix="1" applyNumberFormat="1" applyFont="1" applyFill="1" applyBorder="1" applyAlignment="1">
      <alignment horizontal="right"/>
    </xf>
    <xf numFmtId="37" fontId="26" fillId="0" borderId="21" xfId="0" applyFont="1" applyBorder="1" applyAlignment="1">
      <alignment horizontal="right"/>
    </xf>
    <xf numFmtId="37" fontId="26" fillId="0" borderId="29" xfId="0" quotePrefix="1" applyFont="1" applyFill="1" applyBorder="1" applyAlignment="1">
      <alignment horizontal="right"/>
    </xf>
    <xf numFmtId="37" fontId="2" fillId="0" borderId="21" xfId="0" applyFont="1" applyBorder="1"/>
    <xf numFmtId="178" fontId="2" fillId="0" borderId="0" xfId="117" applyNumberFormat="1" applyFont="1"/>
    <xf numFmtId="9" fontId="139" fillId="0" borderId="0" xfId="126" applyFont="1"/>
    <xf numFmtId="9" fontId="139" fillId="0" borderId="0" xfId="126" applyFont="1" applyAlignment="1">
      <alignment horizontal="right"/>
    </xf>
    <xf numFmtId="0" fontId="22" fillId="0" borderId="11" xfId="0" applyNumberFormat="1" applyFont="1" applyBorder="1"/>
    <xf numFmtId="0" fontId="22" fillId="0" borderId="11" xfId="0" applyNumberFormat="1" applyFont="1" applyBorder="1" applyAlignment="1">
      <alignment horizontal="centerContinuous"/>
    </xf>
    <xf numFmtId="37" fontId="22" fillId="0" borderId="11" xfId="0" applyFont="1" applyBorder="1" applyAlignment="1">
      <alignment horizontal="centerContinuous"/>
    </xf>
    <xf numFmtId="37" fontId="22" fillId="0" borderId="19" xfId="0" applyFont="1" applyBorder="1"/>
    <xf numFmtId="37" fontId="66" fillId="0" borderId="70" xfId="0" applyFont="1" applyBorder="1"/>
    <xf numFmtId="37" fontId="66" fillId="0" borderId="26" xfId="0" applyFont="1" applyBorder="1"/>
    <xf numFmtId="9" fontId="66" fillId="0" borderId="21" xfId="126" applyFont="1" applyBorder="1"/>
    <xf numFmtId="6" fontId="66" fillId="0" borderId="0" xfId="0" applyNumberFormat="1" applyFont="1" applyBorder="1"/>
    <xf numFmtId="6" fontId="3" fillId="0" borderId="0" xfId="126" applyNumberFormat="1" applyFont="1"/>
    <xf numFmtId="6" fontId="139" fillId="0" borderId="0" xfId="126" applyNumberFormat="1" applyFont="1"/>
    <xf numFmtId="38" fontId="139" fillId="0" borderId="0" xfId="126" applyNumberFormat="1" applyFont="1"/>
    <xf numFmtId="37" fontId="22" fillId="0" borderId="56" xfId="0" applyFont="1" applyFill="1" applyBorder="1"/>
    <xf numFmtId="6" fontId="22" fillId="0" borderId="23" xfId="0" applyNumberFormat="1" applyFont="1" applyBorder="1"/>
    <xf numFmtId="9" fontId="22" fillId="0" borderId="24" xfId="126" applyFont="1" applyBorder="1"/>
    <xf numFmtId="6" fontId="22" fillId="0" borderId="0" xfId="0" applyNumberFormat="1" applyFont="1" applyBorder="1"/>
    <xf numFmtId="6" fontId="0" fillId="0" borderId="0" xfId="0" applyNumberFormat="1" applyFont="1" applyBorder="1"/>
    <xf numFmtId="9" fontId="3" fillId="0" borderId="21" xfId="126" applyFont="1" applyBorder="1"/>
    <xf numFmtId="9" fontId="3" fillId="0" borderId="22" xfId="126" applyFont="1" applyBorder="1"/>
    <xf numFmtId="6" fontId="0" fillId="0" borderId="0" xfId="0" applyNumberFormat="1" applyFont="1"/>
    <xf numFmtId="37" fontId="22" fillId="0" borderId="0" xfId="0" applyFont="1" applyFill="1" applyBorder="1"/>
    <xf numFmtId="9" fontId="22" fillId="0" borderId="0" xfId="126" applyFont="1"/>
    <xf numFmtId="37" fontId="21" fillId="17" borderId="26" xfId="0" applyFont="1" applyFill="1" applyBorder="1" applyAlignment="1">
      <alignment horizontal="right"/>
    </xf>
    <xf numFmtId="9" fontId="21" fillId="17" borderId="21" xfId="127" applyFont="1" applyFill="1" applyBorder="1"/>
    <xf numFmtId="9" fontId="21" fillId="17" borderId="22" xfId="127" applyFont="1" applyFill="1" applyBorder="1"/>
    <xf numFmtId="9" fontId="21" fillId="17" borderId="35" xfId="127" applyFont="1" applyFill="1" applyBorder="1"/>
    <xf numFmtId="166" fontId="66" fillId="0" borderId="0" xfId="126" applyNumberFormat="1" applyFont="1"/>
    <xf numFmtId="37" fontId="0" fillId="0" borderId="0" xfId="0" applyFont="1" applyFill="1" applyBorder="1"/>
    <xf numFmtId="166" fontId="66" fillId="0" borderId="0" xfId="0" applyNumberFormat="1" applyFont="1" applyBorder="1"/>
    <xf numFmtId="166" fontId="66" fillId="0" borderId="0" xfId="0" applyNumberFormat="1" applyFont="1"/>
    <xf numFmtId="166" fontId="0" fillId="0" borderId="20" xfId="0" applyNumberFormat="1" applyFont="1" applyBorder="1"/>
    <xf numFmtId="9" fontId="66" fillId="0" borderId="0" xfId="0" applyNumberFormat="1" applyFont="1" applyBorder="1"/>
    <xf numFmtId="9" fontId="66" fillId="0" borderId="21" xfId="0" applyNumberFormat="1" applyFont="1" applyBorder="1"/>
    <xf numFmtId="166" fontId="0" fillId="0" borderId="25" xfId="0" applyNumberFormat="1" applyFont="1" applyBorder="1"/>
    <xf numFmtId="9" fontId="66" fillId="0" borderId="11" xfId="0" applyNumberFormat="1" applyFont="1" applyBorder="1"/>
    <xf numFmtId="9" fontId="66" fillId="0" borderId="22" xfId="0" applyNumberFormat="1" applyFont="1" applyBorder="1"/>
    <xf numFmtId="7" fontId="137" fillId="18" borderId="11" xfId="0" applyNumberFormat="1" applyFont="1" applyFill="1" applyBorder="1" applyAlignment="1">
      <alignment horizontal="right"/>
    </xf>
    <xf numFmtId="37" fontId="140" fillId="0" borderId="0" xfId="0" applyFont="1"/>
    <xf numFmtId="1" fontId="2" fillId="0" borderId="0" xfId="0" applyNumberFormat="1" applyFont="1"/>
    <xf numFmtId="5" fontId="2" fillId="0" borderId="0" xfId="0" applyNumberFormat="1" applyFont="1"/>
    <xf numFmtId="7" fontId="2" fillId="0" borderId="0" xfId="0" applyNumberFormat="1" applyFont="1"/>
    <xf numFmtId="9" fontId="2" fillId="0" borderId="0" xfId="126" applyFont="1"/>
    <xf numFmtId="192" fontId="2" fillId="0" borderId="0" xfId="0" applyNumberFormat="1" applyFont="1"/>
    <xf numFmtId="166" fontId="2" fillId="0" borderId="0" xfId="0" applyNumberFormat="1" applyFont="1"/>
    <xf numFmtId="6" fontId="21" fillId="0" borderId="0" xfId="0" applyNumberFormat="1" applyFont="1"/>
    <xf numFmtId="168" fontId="21" fillId="0" borderId="0" xfId="0" applyNumberFormat="1" applyFont="1"/>
    <xf numFmtId="5" fontId="2" fillId="0" borderId="0" xfId="0" applyNumberFormat="1" applyFont="1" applyBorder="1"/>
    <xf numFmtId="37" fontId="2" fillId="0" borderId="20" xfId="0" applyFont="1" applyBorder="1"/>
    <xf numFmtId="6" fontId="2" fillId="0" borderId="0" xfId="0" applyNumberFormat="1" applyFont="1" applyBorder="1"/>
    <xf numFmtId="6" fontId="2" fillId="0" borderId="21" xfId="0" applyNumberFormat="1" applyFont="1" applyBorder="1"/>
    <xf numFmtId="37" fontId="21" fillId="0" borderId="20" xfId="0" applyFont="1" applyBorder="1"/>
    <xf numFmtId="6" fontId="21" fillId="0" borderId="0" xfId="0" applyNumberFormat="1" applyFont="1" applyBorder="1"/>
    <xf numFmtId="6" fontId="21" fillId="0" borderId="21" xfId="0" applyNumberFormat="1" applyFont="1" applyBorder="1"/>
    <xf numFmtId="37" fontId="140" fillId="0" borderId="20" xfId="0" applyFont="1" applyBorder="1"/>
    <xf numFmtId="37" fontId="141" fillId="0" borderId="20" xfId="0" applyFont="1" applyBorder="1"/>
    <xf numFmtId="6" fontId="142" fillId="0" borderId="0" xfId="0" applyNumberFormat="1" applyFont="1" applyBorder="1"/>
    <xf numFmtId="6" fontId="142" fillId="0" borderId="21" xfId="0" applyNumberFormat="1" applyFont="1" applyBorder="1"/>
    <xf numFmtId="5" fontId="2" fillId="0" borderId="21" xfId="0" applyNumberFormat="1" applyFont="1" applyBorder="1"/>
    <xf numFmtId="37" fontId="140" fillId="0" borderId="20" xfId="0" applyFont="1" applyBorder="1" applyAlignment="1">
      <alignment horizontal="left" indent="1"/>
    </xf>
    <xf numFmtId="166" fontId="2" fillId="0" borderId="21" xfId="0" applyNumberFormat="1" applyFont="1" applyBorder="1"/>
    <xf numFmtId="8" fontId="2" fillId="0" borderId="0" xfId="0" applyNumberFormat="1" applyFont="1" applyBorder="1"/>
    <xf numFmtId="8" fontId="2" fillId="0" borderId="21" xfId="0" applyNumberFormat="1" applyFont="1" applyBorder="1"/>
    <xf numFmtId="37" fontId="141" fillId="19" borderId="56" xfId="0" applyFont="1" applyFill="1" applyBorder="1"/>
    <xf numFmtId="37" fontId="141" fillId="19" borderId="24" xfId="0" applyFont="1" applyFill="1" applyBorder="1"/>
    <xf numFmtId="168" fontId="141" fillId="0" borderId="24" xfId="0" applyNumberFormat="1" applyFont="1" applyBorder="1"/>
    <xf numFmtId="37" fontId="2" fillId="0" borderId="20" xfId="0" applyFont="1" applyBorder="1" applyAlignment="1">
      <alignment horizontal="left" indent="1"/>
    </xf>
    <xf numFmtId="37" fontId="141" fillId="0" borderId="25" xfId="0" applyFont="1" applyBorder="1"/>
    <xf numFmtId="37" fontId="21" fillId="0" borderId="22" xfId="0" applyFont="1" applyBorder="1"/>
    <xf numFmtId="168" fontId="141" fillId="0" borderId="23" xfId="0" applyNumberFormat="1" applyFont="1" applyBorder="1"/>
    <xf numFmtId="168" fontId="21" fillId="0" borderId="0" xfId="0" applyNumberFormat="1" applyFont="1" applyBorder="1"/>
    <xf numFmtId="168" fontId="21" fillId="0" borderId="21" xfId="0" applyNumberFormat="1" applyFont="1" applyBorder="1"/>
    <xf numFmtId="5" fontId="2" fillId="0" borderId="0" xfId="0" applyNumberFormat="1" applyFont="1" applyBorder="1" applyAlignment="1">
      <alignment horizontal="right"/>
    </xf>
    <xf numFmtId="37" fontId="141" fillId="19" borderId="23" xfId="0" applyFont="1" applyFill="1" applyBorder="1"/>
    <xf numFmtId="8" fontId="142" fillId="0" borderId="0" xfId="0" applyNumberFormat="1" applyFont="1" applyBorder="1"/>
    <xf numFmtId="9" fontId="2" fillId="0" borderId="0" xfId="0" applyNumberFormat="1" applyFont="1" applyBorder="1"/>
    <xf numFmtId="9" fontId="142" fillId="0" borderId="0" xfId="0" applyNumberFormat="1" applyFont="1" applyBorder="1"/>
    <xf numFmtId="9" fontId="21" fillId="0" borderId="29" xfId="0" applyNumberFormat="1" applyFont="1" applyBorder="1" applyAlignment="1">
      <alignment horizontal="right"/>
    </xf>
    <xf numFmtId="166" fontId="0" fillId="0" borderId="0" xfId="0" applyNumberFormat="1" applyFont="1" applyBorder="1"/>
    <xf numFmtId="37" fontId="143" fillId="0" borderId="21" xfId="0" applyFont="1" applyBorder="1"/>
    <xf numFmtId="37" fontId="143" fillId="0" borderId="70" xfId="0" applyFont="1" applyBorder="1"/>
    <xf numFmtId="37" fontId="143" fillId="0" borderId="26" xfId="0" applyFont="1" applyBorder="1"/>
    <xf numFmtId="37" fontId="143" fillId="0" borderId="0" xfId="0" applyFont="1" applyBorder="1"/>
    <xf numFmtId="192" fontId="2" fillId="0" borderId="0" xfId="0" applyNumberFormat="1" applyFont="1" applyBorder="1"/>
    <xf numFmtId="37" fontId="2" fillId="0" borderId="20" xfId="0" applyFont="1" applyFill="1" applyBorder="1" applyAlignment="1">
      <alignment horizontal="left" indent="1"/>
    </xf>
    <xf numFmtId="192" fontId="2" fillId="0" borderId="0" xfId="0" applyNumberFormat="1" applyFont="1" applyFill="1" applyBorder="1"/>
    <xf numFmtId="37" fontId="2" fillId="0" borderId="25" xfId="0" applyFont="1" applyFill="1" applyBorder="1" applyAlignment="1">
      <alignment horizontal="left" indent="1"/>
    </xf>
    <xf numFmtId="192" fontId="2" fillId="0" borderId="11" xfId="0" applyNumberFormat="1" applyFont="1" applyFill="1" applyBorder="1"/>
    <xf numFmtId="37" fontId="2" fillId="0" borderId="23" xfId="0" applyFont="1" applyBorder="1"/>
    <xf numFmtId="168" fontId="21" fillId="0" borderId="24" xfId="0" applyNumberFormat="1" applyFont="1" applyBorder="1"/>
    <xf numFmtId="37" fontId="2" fillId="0" borderId="25" xfId="0" applyFont="1" applyBorder="1"/>
    <xf numFmtId="37" fontId="2" fillId="0" borderId="24" xfId="0" applyFont="1" applyBorder="1" applyAlignment="1">
      <alignment horizontal="right"/>
    </xf>
    <xf numFmtId="192" fontId="2" fillId="0" borderId="19" xfId="0" applyNumberFormat="1" applyFont="1" applyBorder="1"/>
    <xf numFmtId="5" fontId="2" fillId="0" borderId="26" xfId="0" applyNumberFormat="1" applyFont="1" applyBorder="1"/>
    <xf numFmtId="192" fontId="2" fillId="0" borderId="20" xfId="0" applyNumberFormat="1" applyFont="1" applyBorder="1"/>
    <xf numFmtId="9" fontId="142" fillId="0" borderId="21" xfId="0" applyNumberFormat="1" applyFont="1" applyBorder="1"/>
    <xf numFmtId="192" fontId="21" fillId="0" borderId="20" xfId="0" applyNumberFormat="1" applyFont="1" applyBorder="1"/>
    <xf numFmtId="192" fontId="21" fillId="0" borderId="56" xfId="0" applyNumberFormat="1" applyFont="1" applyBorder="1"/>
    <xf numFmtId="5" fontId="21" fillId="0" borderId="24" xfId="0" applyNumberFormat="1" applyFont="1" applyBorder="1"/>
    <xf numFmtId="39" fontId="2" fillId="0" borderId="21" xfId="0" applyNumberFormat="1" applyFont="1" applyBorder="1"/>
    <xf numFmtId="37" fontId="2" fillId="0" borderId="21" xfId="0" applyNumberFormat="1" applyFont="1" applyBorder="1"/>
    <xf numFmtId="37" fontId="0" fillId="0" borderId="0" xfId="0" applyFont="1" applyFill="1"/>
    <xf numFmtId="5" fontId="2" fillId="0" borderId="0" xfId="0" applyNumberFormat="1" applyFont="1" applyFill="1" applyBorder="1" applyAlignment="1">
      <alignment horizontal="right"/>
    </xf>
    <xf numFmtId="37" fontId="29" fillId="0" borderId="0" xfId="0" applyFont="1" applyBorder="1" applyAlignment="1">
      <alignment horizontal="right"/>
    </xf>
    <xf numFmtId="9" fontId="29" fillId="0" borderId="21" xfId="0" applyNumberFormat="1" applyFont="1" applyBorder="1" applyAlignment="1">
      <alignment horizontal="right"/>
    </xf>
    <xf numFmtId="8" fontId="142" fillId="0" borderId="21" xfId="0" applyNumberFormat="1" applyFont="1" applyBorder="1"/>
    <xf numFmtId="37" fontId="29" fillId="0" borderId="21" xfId="0" applyFont="1" applyBorder="1" applyAlignment="1">
      <alignment horizontal="right"/>
    </xf>
    <xf numFmtId="9" fontId="22" fillId="0" borderId="20" xfId="126" applyFont="1" applyBorder="1" applyAlignment="1">
      <alignment horizontal="left"/>
    </xf>
    <xf numFmtId="166" fontId="0" fillId="0" borderId="20" xfId="0" applyNumberFormat="1" applyFont="1" applyFill="1" applyBorder="1"/>
    <xf numFmtId="166" fontId="66" fillId="0" borderId="21" xfId="0" applyNumberFormat="1" applyFont="1" applyBorder="1"/>
    <xf numFmtId="166" fontId="0" fillId="0" borderId="0" xfId="0" applyNumberFormat="1" applyFont="1" applyBorder="1" applyAlignment="1">
      <alignment horizontal="right"/>
    </xf>
    <xf numFmtId="166" fontId="113" fillId="0" borderId="0" xfId="0" applyNumberFormat="1" applyFont="1" applyBorder="1" applyAlignment="1">
      <alignment horizontal="right"/>
    </xf>
    <xf numFmtId="166" fontId="0" fillId="0" borderId="20" xfId="126" applyNumberFormat="1" applyFont="1" applyBorder="1" applyAlignment="1">
      <alignment horizontal="left" indent="1"/>
    </xf>
    <xf numFmtId="166" fontId="66" fillId="0" borderId="21" xfId="126" applyNumberFormat="1" applyFont="1" applyBorder="1"/>
    <xf numFmtId="166" fontId="2" fillId="0" borderId="0" xfId="126" applyNumberFormat="1" applyFont="1"/>
    <xf numFmtId="166" fontId="139" fillId="0" borderId="0" xfId="0" applyNumberFormat="1" applyFont="1" applyBorder="1" applyAlignment="1">
      <alignment horizontal="right"/>
    </xf>
    <xf numFmtId="166" fontId="139" fillId="0" borderId="21" xfId="0" applyNumberFormat="1" applyFont="1" applyBorder="1" applyAlignment="1">
      <alignment horizontal="right"/>
    </xf>
    <xf numFmtId="9" fontId="29" fillId="0" borderId="0" xfId="0" applyNumberFormat="1" applyFont="1" applyBorder="1" applyAlignment="1">
      <alignment horizontal="right"/>
    </xf>
    <xf numFmtId="5" fontId="0" fillId="0" borderId="0" xfId="0" applyNumberFormat="1" applyFont="1"/>
    <xf numFmtId="5" fontId="0" fillId="0" borderId="0" xfId="0" applyNumberFormat="1" applyFont="1" applyBorder="1"/>
    <xf numFmtId="37" fontId="2" fillId="0" borderId="19" xfId="0" applyFont="1" applyBorder="1"/>
    <xf numFmtId="0" fontId="2" fillId="0" borderId="70" xfId="0" applyNumberFormat="1" applyFont="1" applyBorder="1"/>
    <xf numFmtId="0" fontId="2" fillId="0" borderId="26" xfId="0" applyNumberFormat="1" applyFont="1" applyBorder="1"/>
    <xf numFmtId="5" fontId="2" fillId="0" borderId="20" xfId="0" applyNumberFormat="1" applyFont="1" applyBorder="1"/>
    <xf numFmtId="5" fontId="144" fillId="0" borderId="0" xfId="0" applyNumberFormat="1" applyFont="1" applyBorder="1"/>
    <xf numFmtId="5" fontId="144" fillId="0" borderId="21" xfId="0" applyNumberFormat="1" applyFont="1" applyBorder="1"/>
    <xf numFmtId="37" fontId="144" fillId="0" borderId="0" xfId="0" applyFont="1" applyBorder="1"/>
    <xf numFmtId="37" fontId="144" fillId="0" borderId="21" xfId="0" applyFont="1" applyBorder="1"/>
    <xf numFmtId="0" fontId="2" fillId="0" borderId="0" xfId="0" applyNumberFormat="1" applyFont="1" applyBorder="1"/>
    <xf numFmtId="0" fontId="2" fillId="0" borderId="21" xfId="0" applyNumberFormat="1" applyFont="1" applyBorder="1"/>
    <xf numFmtId="9" fontId="2" fillId="0" borderId="11" xfId="126" applyFont="1" applyBorder="1"/>
    <xf numFmtId="14" fontId="2" fillId="0" borderId="0" xfId="0" applyNumberFormat="1" applyFont="1"/>
    <xf numFmtId="5" fontId="2" fillId="0" borderId="0" xfId="126" applyNumberFormat="1" applyFont="1" applyBorder="1"/>
    <xf numFmtId="5" fontId="2" fillId="0" borderId="0" xfId="126" applyNumberFormat="1" applyFont="1" applyBorder="1" applyAlignment="1">
      <alignment horizontal="right"/>
    </xf>
    <xf numFmtId="5" fontId="2" fillId="0" borderId="21" xfId="126" applyNumberFormat="1" applyFont="1" applyBorder="1" applyAlignment="1">
      <alignment horizontal="right"/>
    </xf>
    <xf numFmtId="5" fontId="144" fillId="0" borderId="0" xfId="0" applyNumberFormat="1" applyFont="1" applyBorder="1" applyAlignment="1">
      <alignment horizontal="right"/>
    </xf>
    <xf numFmtId="5" fontId="144" fillId="0" borderId="21" xfId="0" applyNumberFormat="1" applyFont="1" applyBorder="1" applyAlignment="1">
      <alignment horizontal="right"/>
    </xf>
    <xf numFmtId="5" fontId="144" fillId="0" borderId="11" xfId="0" applyNumberFormat="1" applyFont="1" applyBorder="1" applyAlignment="1">
      <alignment horizontal="right"/>
    </xf>
    <xf numFmtId="5" fontId="144" fillId="0" borderId="22" xfId="0" applyNumberFormat="1" applyFont="1" applyBorder="1" applyAlignment="1">
      <alignment horizontal="right"/>
    </xf>
    <xf numFmtId="37" fontId="25" fillId="0" borderId="20" xfId="0" applyFont="1" applyBorder="1"/>
    <xf numFmtId="0" fontId="22" fillId="0" borderId="0" xfId="0" applyNumberFormat="1" applyFont="1"/>
    <xf numFmtId="0" fontId="22" fillId="0" borderId="0" xfId="0" applyNumberFormat="1" applyFont="1" applyBorder="1"/>
    <xf numFmtId="0" fontId="21" fillId="0" borderId="23" xfId="0" applyNumberFormat="1" applyFont="1" applyBorder="1" applyAlignment="1">
      <alignment horizontal="right"/>
    </xf>
    <xf numFmtId="0" fontId="21" fillId="0" borderId="24" xfId="0" applyNumberFormat="1" applyFont="1" applyBorder="1" applyAlignment="1">
      <alignment horizontal="right"/>
    </xf>
    <xf numFmtId="9" fontId="2" fillId="0" borderId="20" xfId="126" applyFont="1" applyBorder="1" applyAlignment="1">
      <alignment horizontal="left" indent="1"/>
    </xf>
    <xf numFmtId="9" fontId="2" fillId="0" borderId="25" xfId="126" applyFont="1" applyBorder="1" applyAlignment="1">
      <alignment horizontal="left" indent="1"/>
    </xf>
    <xf numFmtId="5" fontId="22" fillId="0" borderId="0" xfId="0" applyNumberFormat="1" applyFont="1"/>
    <xf numFmtId="5" fontId="22" fillId="0" borderId="0" xfId="0" applyNumberFormat="1" applyFont="1" applyBorder="1"/>
    <xf numFmtId="5" fontId="21" fillId="19" borderId="20" xfId="0" applyNumberFormat="1" applyFont="1" applyFill="1" applyBorder="1"/>
    <xf numFmtId="5" fontId="145" fillId="19" borderId="0" xfId="0" applyNumberFormat="1" applyFont="1" applyFill="1" applyBorder="1" applyAlignment="1">
      <alignment horizontal="right"/>
    </xf>
    <xf numFmtId="5" fontId="21" fillId="19" borderId="0" xfId="0" applyNumberFormat="1" applyFont="1" applyFill="1" applyBorder="1"/>
    <xf numFmtId="5" fontId="145" fillId="19" borderId="21" xfId="0" applyNumberFormat="1" applyFont="1" applyFill="1" applyBorder="1" applyAlignment="1">
      <alignment horizontal="right"/>
    </xf>
    <xf numFmtId="166" fontId="2" fillId="0" borderId="20" xfId="0" applyNumberFormat="1" applyFont="1" applyBorder="1"/>
    <xf numFmtId="166" fontId="2" fillId="0" borderId="0" xfId="126" applyNumberFormat="1" applyFont="1" applyBorder="1"/>
    <xf numFmtId="166" fontId="2" fillId="0" borderId="21" xfId="126" applyNumberFormat="1" applyFont="1" applyBorder="1"/>
    <xf numFmtId="37" fontId="2" fillId="17" borderId="20" xfId="0" applyFont="1" applyFill="1" applyBorder="1"/>
    <xf numFmtId="37" fontId="144" fillId="17" borderId="0" xfId="0" applyFont="1" applyFill="1" applyBorder="1"/>
    <xf numFmtId="37" fontId="144" fillId="17" borderId="21" xfId="0" applyFont="1" applyFill="1" applyBorder="1"/>
    <xf numFmtId="166" fontId="2" fillId="0" borderId="25" xfId="0" applyNumberFormat="1" applyFont="1" applyBorder="1"/>
    <xf numFmtId="166" fontId="2" fillId="0" borderId="11" xfId="126" applyNumberFormat="1" applyFont="1" applyBorder="1"/>
    <xf numFmtId="166" fontId="2" fillId="0" borderId="22" xfId="126" applyNumberFormat="1" applyFont="1" applyBorder="1"/>
    <xf numFmtId="37" fontId="2" fillId="0" borderId="0" xfId="117" applyFont="1"/>
    <xf numFmtId="166" fontId="26" fillId="0" borderId="0" xfId="129" applyFont="1" applyFill="1"/>
    <xf numFmtId="41" fontId="146" fillId="0" borderId="0" xfId="0" applyNumberFormat="1" applyFont="1" applyBorder="1"/>
    <xf numFmtId="166" fontId="147" fillId="0" borderId="29" xfId="126" applyNumberFormat="1" applyFont="1" applyFill="1" applyBorder="1"/>
    <xf numFmtId="166" fontId="147" fillId="0" borderId="0" xfId="126" applyNumberFormat="1" applyFont="1" applyFill="1" applyBorder="1"/>
    <xf numFmtId="166" fontId="147" fillId="0" borderId="0" xfId="126" applyNumberFormat="1" applyFont="1" applyFill="1"/>
    <xf numFmtId="166" fontId="148" fillId="0" borderId="0" xfId="126" applyNumberFormat="1" applyFont="1" applyFill="1" applyBorder="1"/>
    <xf numFmtId="166" fontId="147" fillId="0" borderId="11" xfId="126" applyNumberFormat="1" applyFont="1" applyFill="1" applyBorder="1"/>
    <xf numFmtId="166" fontId="147" fillId="0" borderId="35" xfId="126" applyNumberFormat="1" applyFont="1" applyFill="1" applyBorder="1"/>
    <xf numFmtId="166" fontId="147" fillId="0" borderId="29" xfId="126" applyNumberFormat="1" applyFont="1" applyBorder="1"/>
    <xf numFmtId="166" fontId="99" fillId="0" borderId="29" xfId="126" applyNumberFormat="1" applyFont="1" applyFill="1" applyBorder="1" applyAlignment="1">
      <alignment horizontal="right"/>
    </xf>
    <xf numFmtId="166" fontId="149" fillId="0" borderId="0" xfId="126" applyNumberFormat="1" applyFont="1" applyFill="1" applyBorder="1"/>
    <xf numFmtId="166" fontId="149" fillId="0" borderId="29" xfId="126" applyNumberFormat="1" applyFont="1" applyFill="1" applyBorder="1"/>
    <xf numFmtId="166" fontId="150" fillId="18" borderId="23" xfId="126" applyNumberFormat="1" applyFont="1" applyFill="1" applyBorder="1"/>
    <xf numFmtId="166" fontId="150" fillId="18" borderId="55" xfId="126" applyNumberFormat="1" applyFont="1" applyFill="1" applyBorder="1"/>
    <xf numFmtId="183" fontId="146" fillId="0" borderId="0" xfId="0" applyNumberFormat="1" applyFont="1" applyBorder="1"/>
    <xf numFmtId="41" fontId="147" fillId="0" borderId="29" xfId="0" applyNumberFormat="1" applyFont="1" applyBorder="1"/>
    <xf numFmtId="166" fontId="151" fillId="0" borderId="29" xfId="126" applyNumberFormat="1" applyFont="1" applyBorder="1"/>
    <xf numFmtId="166" fontId="147" fillId="0" borderId="35" xfId="0" applyNumberFormat="1" applyFont="1" applyFill="1" applyBorder="1"/>
    <xf numFmtId="7" fontId="2" fillId="0" borderId="0" xfId="0" applyNumberFormat="1" applyFont="1" applyFill="1" applyBorder="1"/>
    <xf numFmtId="37" fontId="0" fillId="0" borderId="29" xfId="0" applyFill="1" applyBorder="1"/>
    <xf numFmtId="169" fontId="0" fillId="0" borderId="29" xfId="0" applyNumberFormat="1" applyFill="1" applyBorder="1"/>
    <xf numFmtId="4" fontId="2" fillId="0" borderId="0" xfId="0" applyNumberFormat="1" applyFont="1" applyBorder="1"/>
    <xf numFmtId="166" fontId="146" fillId="0" borderId="0" xfId="145" applyNumberFormat="1" applyFont="1" applyFill="1" applyBorder="1" applyAlignment="1"/>
    <xf numFmtId="37" fontId="149" fillId="0" borderId="0" xfId="0" applyFont="1" applyBorder="1"/>
    <xf numFmtId="6" fontId="149" fillId="0" borderId="21" xfId="0" applyNumberFormat="1" applyFont="1" applyBorder="1"/>
    <xf numFmtId="37" fontId="149" fillId="0" borderId="22" xfId="0" applyFont="1" applyBorder="1"/>
    <xf numFmtId="37" fontId="146" fillId="0" borderId="21" xfId="0" applyNumberFormat="1" applyFont="1" applyBorder="1"/>
    <xf numFmtId="185" fontId="21" fillId="0" borderId="0" xfId="0" applyNumberFormat="1" applyFont="1" applyBorder="1"/>
    <xf numFmtId="37" fontId="2" fillId="0" borderId="0" xfId="0" applyFont="1" applyBorder="1" applyAlignment="1">
      <alignment horizontal="right"/>
    </xf>
    <xf numFmtId="166" fontId="148" fillId="0" borderId="29" xfId="126" applyNumberFormat="1" applyFont="1" applyFill="1" applyBorder="1"/>
    <xf numFmtId="5" fontId="102" fillId="0" borderId="0" xfId="0" applyNumberFormat="1" applyFont="1" applyFill="1" applyBorder="1"/>
    <xf numFmtId="178" fontId="2" fillId="0" borderId="0" xfId="0" applyNumberFormat="1" applyFont="1"/>
    <xf numFmtId="7" fontId="2" fillId="0" borderId="21" xfId="0" applyNumberFormat="1" applyFont="1" applyBorder="1"/>
    <xf numFmtId="9" fontId="35" fillId="0" borderId="29" xfId="126" applyFont="1" applyFill="1" applyBorder="1"/>
    <xf numFmtId="9" fontId="20" fillId="0" borderId="29" xfId="126" applyFont="1" applyFill="1" applyBorder="1"/>
    <xf numFmtId="166" fontId="2" fillId="0" borderId="29" xfId="126" applyNumberFormat="1" applyFont="1" applyFill="1" applyBorder="1"/>
    <xf numFmtId="41" fontId="146" fillId="0" borderId="0" xfId="0" applyNumberFormat="1" applyFont="1" applyBorder="1" applyAlignment="1">
      <alignment horizontal="right"/>
    </xf>
    <xf numFmtId="41" fontId="152" fillId="0" borderId="0" xfId="0" applyNumberFormat="1" applyFont="1" applyFill="1" applyBorder="1"/>
    <xf numFmtId="5" fontId="146" fillId="0" borderId="20" xfId="0" applyNumberFormat="1" applyFont="1" applyFill="1" applyBorder="1"/>
    <xf numFmtId="41" fontId="152" fillId="0" borderId="0" xfId="0" applyNumberFormat="1" applyFont="1" applyBorder="1" applyAlignment="1">
      <alignment horizontal="right"/>
    </xf>
    <xf numFmtId="166" fontId="70" fillId="0" borderId="20" xfId="126" applyNumberFormat="1" applyFont="1" applyBorder="1"/>
    <xf numFmtId="9" fontId="21" fillId="18" borderId="56" xfId="126" applyFont="1" applyFill="1" applyBorder="1"/>
    <xf numFmtId="6" fontId="64" fillId="0" borderId="0" xfId="126" quotePrefix="1" applyNumberFormat="1" applyFont="1" applyFill="1" applyBorder="1" applyAlignment="1">
      <alignment horizontal="right"/>
    </xf>
    <xf numFmtId="41" fontId="146" fillId="0" borderId="29" xfId="0" applyNumberFormat="1" applyFont="1" applyFill="1" applyBorder="1"/>
    <xf numFmtId="41" fontId="152" fillId="0" borderId="29" xfId="0" applyNumberFormat="1" applyFont="1" applyBorder="1"/>
    <xf numFmtId="43" fontId="27" fillId="0" borderId="0" xfId="0" applyNumberFormat="1" applyFont="1" applyBorder="1"/>
    <xf numFmtId="8" fontId="142" fillId="0" borderId="0" xfId="0" applyNumberFormat="1" applyFont="1" applyBorder="1" applyAlignment="1">
      <alignment horizontal="right"/>
    </xf>
    <xf numFmtId="8" fontId="2" fillId="0" borderId="21" xfId="0" applyNumberFormat="1" applyFont="1" applyBorder="1" applyAlignment="1">
      <alignment horizontal="right"/>
    </xf>
    <xf numFmtId="169" fontId="144" fillId="0" borderId="21" xfId="0" applyNumberFormat="1" applyFont="1" applyBorder="1"/>
    <xf numFmtId="37" fontId="2" fillId="0" borderId="26" xfId="0" applyFont="1" applyBorder="1"/>
    <xf numFmtId="37" fontId="21" fillId="0" borderId="25" xfId="0" applyFont="1" applyBorder="1"/>
    <xf numFmtId="37" fontId="21" fillId="0" borderId="22" xfId="0" applyFont="1" applyBorder="1" applyAlignment="1">
      <alignment horizontal="right"/>
    </xf>
    <xf numFmtId="7" fontId="144" fillId="0" borderId="21" xfId="0" applyNumberFormat="1" applyFont="1" applyBorder="1"/>
    <xf numFmtId="7" fontId="21" fillId="0" borderId="22" xfId="0" applyNumberFormat="1" applyFont="1" applyBorder="1"/>
    <xf numFmtId="169" fontId="2" fillId="0" borderId="21" xfId="0" applyNumberFormat="1" applyFont="1" applyBorder="1"/>
    <xf numFmtId="166" fontId="19" fillId="0" borderId="29" xfId="126" applyNumberFormat="1" applyFont="1" applyFill="1" applyBorder="1"/>
    <xf numFmtId="5" fontId="146" fillId="0" borderId="0" xfId="0" applyNumberFormat="1" applyFont="1" applyFill="1" applyBorder="1"/>
    <xf numFmtId="5" fontId="150" fillId="18" borderId="23" xfId="77" applyNumberFormat="1" applyFont="1" applyFill="1" applyBorder="1"/>
    <xf numFmtId="183" fontId="149" fillId="0" borderId="0" xfId="0" applyNumberFormat="1" applyFont="1" applyFill="1" applyBorder="1"/>
    <xf numFmtId="7" fontId="146" fillId="0" borderId="0" xfId="145" applyNumberFormat="1" applyFont="1" applyFill="1" applyBorder="1" applyAlignment="1">
      <alignment horizontal="right"/>
    </xf>
    <xf numFmtId="174" fontId="16" fillId="0" borderId="0" xfId="126" applyNumberFormat="1" applyFont="1" applyFill="1" applyBorder="1"/>
    <xf numFmtId="37" fontId="138" fillId="0" borderId="29" xfId="0" quotePrefix="1" applyFont="1" applyFill="1" applyBorder="1" applyAlignment="1">
      <alignment horizontal="right"/>
    </xf>
    <xf numFmtId="5" fontId="16" fillId="0" borderId="0" xfId="77" applyNumberFormat="1" applyFont="1" applyBorder="1"/>
    <xf numFmtId="37" fontId="2" fillId="0" borderId="0" xfId="0" quotePrefix="1" applyFont="1"/>
    <xf numFmtId="1" fontId="2" fillId="0" borderId="0" xfId="0" applyNumberFormat="1" applyFont="1" applyAlignment="1">
      <alignment horizontal="right"/>
    </xf>
    <xf numFmtId="5" fontId="2" fillId="0" borderId="0" xfId="0" applyNumberFormat="1" applyFont="1" applyAlignment="1">
      <alignment horizontal="right"/>
    </xf>
    <xf numFmtId="37" fontId="2" fillId="0" borderId="0" xfId="0" applyFont="1" applyAlignment="1">
      <alignment horizontal="right"/>
    </xf>
    <xf numFmtId="7" fontId="2" fillId="0" borderId="0" xfId="0" applyNumberFormat="1" applyFont="1" applyAlignment="1">
      <alignment horizontal="right"/>
    </xf>
    <xf numFmtId="9" fontId="2" fillId="0" borderId="0" xfId="126" applyFont="1" applyAlignment="1">
      <alignment horizontal="right"/>
    </xf>
    <xf numFmtId="166" fontId="2" fillId="0" borderId="0" xfId="0" applyNumberFormat="1" applyFont="1" applyAlignment="1">
      <alignment horizontal="right"/>
    </xf>
    <xf numFmtId="166" fontId="2" fillId="0" borderId="0" xfId="126" applyNumberFormat="1" applyFont="1" applyAlignment="1">
      <alignment horizontal="right"/>
    </xf>
    <xf numFmtId="0" fontId="2" fillId="0" borderId="0" xfId="0" applyNumberFormat="1" applyFont="1" applyAlignment="1">
      <alignment horizontal="right"/>
    </xf>
    <xf numFmtId="192" fontId="2" fillId="0" borderId="0" xfId="0" applyNumberFormat="1" applyFont="1" applyAlignment="1">
      <alignment horizontal="right"/>
    </xf>
    <xf numFmtId="0" fontId="21" fillId="0" borderId="0" xfId="0" applyNumberFormat="1" applyFont="1" applyAlignment="1">
      <alignment horizontal="right"/>
    </xf>
    <xf numFmtId="5" fontId="21" fillId="0" borderId="0" xfId="0" applyNumberFormat="1" applyFont="1" applyAlignment="1">
      <alignment horizontal="right"/>
    </xf>
    <xf numFmtId="7" fontId="2" fillId="19" borderId="63" xfId="0" applyNumberFormat="1" applyFont="1" applyFill="1" applyBorder="1" applyAlignment="1">
      <alignment horizontal="right"/>
    </xf>
    <xf numFmtId="37" fontId="2" fillId="0" borderId="0" xfId="0" quotePrefix="1" applyFont="1" applyBorder="1" applyAlignment="1">
      <alignment horizontal="right"/>
    </xf>
    <xf numFmtId="5" fontId="2" fillId="0" borderId="21" xfId="0" quotePrefix="1" applyNumberFormat="1" applyFont="1" applyBorder="1" applyAlignment="1">
      <alignment horizontal="right"/>
    </xf>
    <xf numFmtId="37" fontId="2" fillId="0" borderId="21" xfId="0" applyFont="1" applyBorder="1" applyAlignment="1">
      <alignment horizontal="right"/>
    </xf>
    <xf numFmtId="7" fontId="2" fillId="0" borderId="0" xfId="0" quotePrefix="1" applyNumberFormat="1" applyFont="1" applyBorder="1" applyAlignment="1">
      <alignment horizontal="right"/>
    </xf>
    <xf numFmtId="37" fontId="2" fillId="0" borderId="11" xfId="0" quotePrefix="1" applyFont="1" applyBorder="1" applyAlignment="1">
      <alignment horizontal="right"/>
    </xf>
    <xf numFmtId="169" fontId="2" fillId="0" borderId="11" xfId="0" quotePrefix="1" applyNumberFormat="1" applyFont="1" applyBorder="1" applyAlignment="1">
      <alignment horizontal="right"/>
    </xf>
    <xf numFmtId="37" fontId="2" fillId="0" borderId="22" xfId="0" quotePrefix="1" applyFont="1" applyBorder="1" applyAlignment="1">
      <alignment horizontal="right"/>
    </xf>
    <xf numFmtId="37" fontId="2" fillId="0" borderId="56" xfId="0" applyFont="1" applyBorder="1"/>
    <xf numFmtId="37" fontId="2" fillId="0" borderId="23" xfId="0" applyFont="1" applyBorder="1" applyAlignment="1">
      <alignment horizontal="right" wrapText="1"/>
    </xf>
    <xf numFmtId="37" fontId="2" fillId="0" borderId="24" xfId="0" applyFont="1" applyBorder="1" applyAlignment="1">
      <alignment horizontal="right" wrapText="1"/>
    </xf>
    <xf numFmtId="0" fontId="153" fillId="0" borderId="55" xfId="0" quotePrefix="1" applyNumberFormat="1" applyFont="1" applyFill="1" applyBorder="1" applyAlignment="1">
      <alignment horizontal="left"/>
    </xf>
    <xf numFmtId="37" fontId="21" fillId="0" borderId="21" xfId="0" applyNumberFormat="1" applyFont="1" applyFill="1" applyBorder="1"/>
    <xf numFmtId="5" fontId="20" fillId="18" borderId="24" xfId="0" applyNumberFormat="1" applyFont="1" applyFill="1" applyBorder="1" applyAlignment="1">
      <alignment horizontal="right"/>
    </xf>
    <xf numFmtId="9" fontId="16" fillId="0" borderId="21" xfId="126" applyFont="1" applyFill="1" applyBorder="1"/>
    <xf numFmtId="180" fontId="2" fillId="0" borderId="21" xfId="0" applyNumberFormat="1" applyFont="1" applyFill="1" applyBorder="1"/>
    <xf numFmtId="43" fontId="16" fillId="0" borderId="29" xfId="0" applyNumberFormat="1" applyFont="1" applyFill="1" applyBorder="1"/>
    <xf numFmtId="37" fontId="27" fillId="0" borderId="29" xfId="0" applyFont="1" applyFill="1" applyBorder="1"/>
    <xf numFmtId="197" fontId="0" fillId="0" borderId="0" xfId="0" applyNumberFormat="1" applyFill="1"/>
    <xf numFmtId="198" fontId="16" fillId="0" borderId="0" xfId="0" applyNumberFormat="1" applyFont="1" applyBorder="1"/>
    <xf numFmtId="199" fontId="16" fillId="0" borderId="0" xfId="0" applyNumberFormat="1" applyFont="1" applyBorder="1"/>
    <xf numFmtId="200" fontId="16" fillId="0" borderId="0" xfId="0" applyNumberFormat="1" applyFont="1" applyBorder="1"/>
    <xf numFmtId="165" fontId="154" fillId="0" borderId="23" xfId="0" applyNumberFormat="1" applyFont="1" applyFill="1" applyBorder="1" applyAlignment="1">
      <alignment horizontal="right"/>
    </xf>
    <xf numFmtId="169" fontId="64" fillId="0" borderId="0" xfId="126" quotePrefix="1" applyNumberFormat="1" applyFont="1" applyFill="1" applyBorder="1" applyAlignment="1">
      <alignment horizontal="right"/>
    </xf>
    <xf numFmtId="0" fontId="27" fillId="0" borderId="0" xfId="126" applyNumberFormat="1" applyFont="1" applyFill="1" applyBorder="1" applyAlignment="1">
      <alignment horizontal="right"/>
    </xf>
    <xf numFmtId="41" fontId="146" fillId="0" borderId="21" xfId="0" applyNumberFormat="1" applyFont="1" applyFill="1" applyBorder="1"/>
    <xf numFmtId="41" fontId="155" fillId="0" borderId="0" xfId="0" applyNumberFormat="1" applyFont="1" applyFill="1" applyBorder="1" applyAlignment="1">
      <alignment horizontal="right"/>
    </xf>
    <xf numFmtId="166" fontId="148" fillId="0" borderId="21" xfId="126" applyNumberFormat="1" applyFont="1" applyFill="1" applyBorder="1"/>
    <xf numFmtId="41" fontId="146" fillId="0" borderId="0" xfId="0" applyNumberFormat="1" applyFont="1" applyFill="1" applyBorder="1" applyAlignment="1">
      <alignment horizontal="right"/>
    </xf>
    <xf numFmtId="41" fontId="146" fillId="0" borderId="0" xfId="0" applyNumberFormat="1" applyFont="1" applyFill="1" applyBorder="1"/>
    <xf numFmtId="41" fontId="148" fillId="0" borderId="23" xfId="0" quotePrefix="1" applyNumberFormat="1" applyFont="1" applyFill="1" applyBorder="1"/>
    <xf numFmtId="166" fontId="154" fillId="0" borderId="29" xfId="126" applyNumberFormat="1" applyFont="1" applyFill="1" applyBorder="1"/>
    <xf numFmtId="166" fontId="0" fillId="0" borderId="0" xfId="126" applyNumberFormat="1" applyFont="1" applyBorder="1"/>
    <xf numFmtId="37" fontId="149" fillId="0" borderId="0" xfId="0" applyFont="1" applyFill="1"/>
    <xf numFmtId="5" fontId="21" fillId="17" borderId="56" xfId="0" applyNumberFormat="1" applyFont="1" applyFill="1" applyBorder="1" applyAlignment="1"/>
    <xf numFmtId="168" fontId="22" fillId="18" borderId="23" xfId="0" applyNumberFormat="1" applyFont="1" applyFill="1" applyBorder="1" applyAlignment="1">
      <alignment horizontal="right"/>
    </xf>
    <xf numFmtId="37" fontId="22" fillId="18" borderId="24" xfId="0" applyFont="1" applyFill="1" applyBorder="1" applyAlignment="1">
      <alignment horizontal="right"/>
    </xf>
    <xf numFmtId="168" fontId="22" fillId="18" borderId="0" xfId="0" applyNumberFormat="1" applyFont="1" applyFill="1" applyBorder="1" applyAlignment="1">
      <alignment horizontal="right"/>
    </xf>
    <xf numFmtId="37" fontId="22" fillId="18" borderId="0" xfId="0" applyFont="1" applyFill="1" applyBorder="1" applyAlignment="1">
      <alignment horizontal="right"/>
    </xf>
    <xf numFmtId="37" fontId="22" fillId="18" borderId="21" xfId="0" applyFont="1" applyFill="1" applyBorder="1" applyAlignment="1">
      <alignment horizontal="right"/>
    </xf>
    <xf numFmtId="5" fontId="0" fillId="18" borderId="20" xfId="0" applyNumberFormat="1" applyFont="1" applyFill="1" applyBorder="1"/>
    <xf numFmtId="5" fontId="66" fillId="18" borderId="0" xfId="0" applyNumberFormat="1" applyFont="1" applyFill="1" applyBorder="1"/>
    <xf numFmtId="5" fontId="66" fillId="18" borderId="21" xfId="0" applyNumberFormat="1" applyFont="1" applyFill="1" applyBorder="1"/>
    <xf numFmtId="5" fontId="0" fillId="18" borderId="0" xfId="0" applyNumberFormat="1" applyFont="1" applyFill="1" applyBorder="1" applyAlignment="1">
      <alignment horizontal="right"/>
    </xf>
    <xf numFmtId="5" fontId="113" fillId="18" borderId="0" xfId="0" applyNumberFormat="1" applyFont="1" applyFill="1" applyBorder="1" applyAlignment="1">
      <alignment horizontal="right"/>
    </xf>
    <xf numFmtId="5" fontId="113" fillId="18" borderId="21" xfId="0" applyNumberFormat="1" applyFont="1" applyFill="1" applyBorder="1" applyAlignment="1">
      <alignment horizontal="right"/>
    </xf>
    <xf numFmtId="9" fontId="3" fillId="18" borderId="25" xfId="126" applyFont="1" applyFill="1" applyBorder="1" applyAlignment="1">
      <alignment horizontal="left" indent="1"/>
    </xf>
    <xf numFmtId="9" fontId="66" fillId="18" borderId="11" xfId="126" applyFont="1" applyFill="1" applyBorder="1"/>
    <xf numFmtId="9" fontId="66" fillId="18" borderId="22" xfId="126" applyFont="1" applyFill="1" applyBorder="1"/>
    <xf numFmtId="167" fontId="16" fillId="0" borderId="0" xfId="130" applyNumberFormat="1" applyFont="1" applyBorder="1"/>
    <xf numFmtId="41" fontId="29" fillId="17" borderId="29" xfId="0" applyNumberFormat="1" applyFont="1" applyFill="1" applyBorder="1"/>
    <xf numFmtId="183" fontId="2" fillId="0" borderId="0" xfId="0" applyNumberFormat="1" applyFont="1" applyFill="1" applyBorder="1" applyAlignment="1">
      <alignment horizontal="left"/>
    </xf>
    <xf numFmtId="183" fontId="2" fillId="0" borderId="29" xfId="0" applyNumberFormat="1" applyFont="1" applyFill="1" applyBorder="1" applyAlignment="1">
      <alignment horizontal="right"/>
    </xf>
    <xf numFmtId="0" fontId="2" fillId="0" borderId="20" xfId="0" applyNumberFormat="1" applyFont="1" applyBorder="1"/>
    <xf numFmtId="41" fontId="149" fillId="0" borderId="0" xfId="0" applyNumberFormat="1" applyFont="1" applyFill="1" applyBorder="1"/>
    <xf numFmtId="41" fontId="130" fillId="0" borderId="29" xfId="0" applyNumberFormat="1" applyFont="1" applyFill="1" applyBorder="1"/>
    <xf numFmtId="41" fontId="157" fillId="0" borderId="0" xfId="0" applyNumberFormat="1" applyFont="1" applyFill="1" applyBorder="1"/>
    <xf numFmtId="41" fontId="130" fillId="0" borderId="0" xfId="0" applyNumberFormat="1" applyFont="1" applyFill="1" applyBorder="1"/>
    <xf numFmtId="41" fontId="2" fillId="0" borderId="21" xfId="0" applyNumberFormat="1" applyFont="1" applyFill="1" applyBorder="1"/>
    <xf numFmtId="37" fontId="2" fillId="0" borderId="0" xfId="0" applyFont="1" applyAlignment="1">
      <alignment vertical="center"/>
    </xf>
    <xf numFmtId="37" fontId="29" fillId="0" borderId="0" xfId="0" applyFont="1" applyAlignment="1">
      <alignment vertical="center"/>
    </xf>
    <xf numFmtId="41" fontId="149" fillId="0" borderId="0" xfId="0" applyNumberFormat="1" applyFont="1" applyFill="1" applyBorder="1" applyAlignment="1">
      <alignment vertical="center"/>
    </xf>
    <xf numFmtId="41" fontId="29" fillId="0" borderId="29" xfId="0" applyNumberFormat="1" applyFont="1" applyFill="1" applyBorder="1" applyAlignment="1">
      <alignment vertical="center"/>
    </xf>
    <xf numFmtId="41" fontId="157" fillId="0" borderId="29" xfId="0" applyNumberFormat="1" applyFont="1" applyFill="1" applyBorder="1"/>
    <xf numFmtId="37" fontId="21" fillId="0" borderId="21" xfId="0" applyFont="1" applyFill="1" applyBorder="1"/>
    <xf numFmtId="41" fontId="130" fillId="0" borderId="21" xfId="0" applyNumberFormat="1" applyFont="1" applyFill="1" applyBorder="1"/>
    <xf numFmtId="183" fontId="149" fillId="0" borderId="29" xfId="0" applyNumberFormat="1" applyFont="1" applyFill="1" applyBorder="1"/>
    <xf numFmtId="41" fontId="149" fillId="0" borderId="21" xfId="0" applyNumberFormat="1" applyFont="1" applyFill="1" applyBorder="1"/>
    <xf numFmtId="37" fontId="29" fillId="17" borderId="0" xfId="0" applyFont="1" applyFill="1"/>
    <xf numFmtId="41" fontId="28" fillId="17" borderId="29" xfId="0" applyNumberFormat="1" applyFont="1" applyFill="1" applyBorder="1"/>
    <xf numFmtId="41" fontId="28" fillId="17" borderId="20" xfId="0" applyNumberFormat="1" applyFont="1" applyFill="1" applyBorder="1"/>
    <xf numFmtId="41" fontId="28" fillId="17" borderId="0" xfId="0" applyNumberFormat="1" applyFont="1" applyFill="1" applyBorder="1"/>
    <xf numFmtId="37" fontId="29" fillId="0" borderId="0" xfId="0" applyFont="1" applyFill="1"/>
    <xf numFmtId="37" fontId="68" fillId="0" borderId="0" xfId="0" applyFont="1" applyBorder="1"/>
    <xf numFmtId="41" fontId="2" fillId="0" borderId="0" xfId="0" applyNumberFormat="1" applyFont="1" applyFill="1" applyBorder="1" applyAlignment="1">
      <alignment horizontal="left"/>
    </xf>
    <xf numFmtId="41" fontId="2" fillId="0" borderId="0" xfId="0" applyNumberFormat="1" applyFont="1" applyFill="1"/>
    <xf numFmtId="41" fontId="0" fillId="0" borderId="0" xfId="0" applyNumberFormat="1" applyFont="1" applyBorder="1"/>
    <xf numFmtId="41" fontId="2" fillId="0" borderId="0" xfId="0" applyNumberFormat="1" applyFont="1"/>
    <xf numFmtId="169" fontId="27" fillId="0" borderId="0" xfId="0" applyNumberFormat="1" applyFont="1" applyFill="1" applyBorder="1" applyAlignment="1">
      <alignment horizontal="left" indent="1"/>
    </xf>
    <xf numFmtId="166" fontId="2" fillId="0" borderId="0" xfId="0" applyNumberFormat="1" applyFont="1" applyFill="1"/>
    <xf numFmtId="37" fontId="16" fillId="0" borderId="26" xfId="0" applyFont="1" applyBorder="1" applyAlignment="1"/>
    <xf numFmtId="166" fontId="99" fillId="0" borderId="21" xfId="126" applyNumberFormat="1" applyFont="1" applyFill="1" applyBorder="1"/>
    <xf numFmtId="37" fontId="149" fillId="0" borderId="29" xfId="0" applyFont="1" applyFill="1" applyBorder="1"/>
    <xf numFmtId="37" fontId="2" fillId="0" borderId="0" xfId="0" applyNumberFormat="1" applyFont="1" applyFill="1" applyBorder="1"/>
    <xf numFmtId="180" fontId="2" fillId="0" borderId="29" xfId="0" applyNumberFormat="1" applyFont="1" applyFill="1" applyBorder="1"/>
    <xf numFmtId="37" fontId="2" fillId="0" borderId="20" xfId="0" applyFont="1" applyFill="1" applyBorder="1"/>
    <xf numFmtId="180" fontId="149" fillId="0" borderId="0" xfId="0" applyNumberFormat="1" applyFont="1" applyFill="1" applyBorder="1"/>
    <xf numFmtId="180" fontId="149" fillId="0" borderId="29" xfId="0" applyNumberFormat="1" applyFont="1" applyFill="1" applyBorder="1"/>
    <xf numFmtId="9" fontId="2" fillId="0" borderId="29" xfId="126" applyFont="1" applyFill="1" applyBorder="1"/>
    <xf numFmtId="9" fontId="2" fillId="0" borderId="21" xfId="126" applyFont="1" applyFill="1" applyBorder="1"/>
    <xf numFmtId="183" fontId="2" fillId="0" borderId="21" xfId="0" applyNumberFormat="1" applyFont="1" applyFill="1" applyBorder="1"/>
    <xf numFmtId="9" fontId="149" fillId="0" borderId="0" xfId="126" applyFont="1" applyFill="1" applyBorder="1"/>
    <xf numFmtId="9" fontId="149" fillId="0" borderId="29" xfId="126" applyFont="1" applyFill="1" applyBorder="1"/>
    <xf numFmtId="180" fontId="146" fillId="0" borderId="0" xfId="0" applyNumberFormat="1" applyFont="1" applyFill="1" applyBorder="1"/>
    <xf numFmtId="43" fontId="2" fillId="0" borderId="29" xfId="0" applyNumberFormat="1" applyFont="1" applyFill="1" applyBorder="1"/>
    <xf numFmtId="7" fontId="32" fillId="0" borderId="0" xfId="77" applyNumberFormat="1" applyFont="1" applyFill="1" applyBorder="1"/>
    <xf numFmtId="183" fontId="149" fillId="0" borderId="0" xfId="0" applyNumberFormat="1" applyFont="1" applyFill="1"/>
    <xf numFmtId="0" fontId="21" fillId="0" borderId="56" xfId="0" applyNumberFormat="1" applyFont="1" applyFill="1" applyBorder="1" applyAlignment="1">
      <alignment horizontal="left"/>
    </xf>
    <xf numFmtId="183" fontId="21" fillId="0" borderId="23" xfId="0" applyNumberFormat="1" applyFont="1" applyFill="1" applyBorder="1" applyAlignment="1">
      <alignment horizontal="left"/>
    </xf>
    <xf numFmtId="183" fontId="21" fillId="0" borderId="55" xfId="0" applyNumberFormat="1" applyFont="1" applyFill="1" applyBorder="1" applyAlignment="1">
      <alignment horizontal="right"/>
    </xf>
    <xf numFmtId="183" fontId="21" fillId="0" borderId="23" xfId="0" applyNumberFormat="1" applyFont="1" applyFill="1" applyBorder="1" applyAlignment="1">
      <alignment horizontal="right"/>
    </xf>
    <xf numFmtId="183" fontId="21" fillId="0" borderId="55" xfId="0" applyNumberFormat="1" applyFont="1" applyFill="1" applyBorder="1"/>
    <xf numFmtId="183" fontId="21" fillId="0" borderId="24" xfId="0" applyNumberFormat="1" applyFont="1" applyFill="1" applyBorder="1" applyAlignment="1">
      <alignment horizontal="right"/>
    </xf>
    <xf numFmtId="183" fontId="21" fillId="0" borderId="23" xfId="0" applyNumberFormat="1" applyFont="1" applyFill="1" applyBorder="1"/>
    <xf numFmtId="183" fontId="21" fillId="0" borderId="24" xfId="0" applyNumberFormat="1" applyFont="1" applyFill="1" applyBorder="1"/>
    <xf numFmtId="183" fontId="16" fillId="0" borderId="23" xfId="0" applyNumberFormat="1" applyFont="1" applyFill="1" applyBorder="1"/>
    <xf numFmtId="183" fontId="16" fillId="0" borderId="36" xfId="0" applyNumberFormat="1" applyFont="1" applyFill="1" applyBorder="1" applyAlignment="1">
      <alignment horizontal="right"/>
    </xf>
    <xf numFmtId="171" fontId="21" fillId="0" borderId="56" xfId="0" applyNumberFormat="1" applyFont="1" applyFill="1" applyBorder="1" applyAlignment="1">
      <alignment horizontal="right"/>
    </xf>
    <xf numFmtId="171" fontId="21" fillId="0" borderId="23" xfId="0" applyNumberFormat="1" applyFont="1" applyFill="1" applyBorder="1" applyAlignment="1">
      <alignment horizontal="right"/>
    </xf>
    <xf numFmtId="171" fontId="21" fillId="0" borderId="55" xfId="0" applyNumberFormat="1" applyFont="1" applyFill="1" applyBorder="1" applyAlignment="1">
      <alignment horizontal="right"/>
    </xf>
    <xf numFmtId="183" fontId="64" fillId="0" borderId="0" xfId="0" applyNumberFormat="1" applyFont="1" applyFill="1" applyBorder="1" applyAlignment="1">
      <alignment horizontal="center"/>
    </xf>
    <xf numFmtId="41" fontId="149" fillId="0" borderId="29" xfId="0" applyNumberFormat="1" applyFont="1" applyBorder="1"/>
    <xf numFmtId="41" fontId="149" fillId="0" borderId="0" xfId="0" applyNumberFormat="1" applyFont="1" applyBorder="1"/>
    <xf numFmtId="41" fontId="137" fillId="0" borderId="0" xfId="0" applyNumberFormat="1" applyFont="1" applyFill="1" applyBorder="1"/>
    <xf numFmtId="41" fontId="137" fillId="18" borderId="23" xfId="0" applyNumberFormat="1" applyFont="1" applyFill="1" applyBorder="1"/>
    <xf numFmtId="183" fontId="137" fillId="18" borderId="23" xfId="0" applyNumberFormat="1" applyFont="1" applyFill="1" applyBorder="1"/>
    <xf numFmtId="183" fontId="138" fillId="0" borderId="0" xfId="0" applyNumberFormat="1" applyFont="1" applyFill="1" applyBorder="1"/>
    <xf numFmtId="5" fontId="137" fillId="0" borderId="0" xfId="0" applyNumberFormat="1" applyFont="1" applyFill="1" applyBorder="1"/>
    <xf numFmtId="183" fontId="137" fillId="0" borderId="0" xfId="0" applyNumberFormat="1" applyFont="1" applyFill="1" applyBorder="1"/>
    <xf numFmtId="5" fontId="21" fillId="0" borderId="0" xfId="77" applyNumberFormat="1" applyFont="1" applyBorder="1" applyAlignment="1">
      <alignment horizontal="right"/>
    </xf>
    <xf numFmtId="41" fontId="156" fillId="0" borderId="0" xfId="0" applyNumberFormat="1" applyFont="1" applyFill="1" applyBorder="1"/>
    <xf numFmtId="41" fontId="156" fillId="0" borderId="29" xfId="0" applyNumberFormat="1" applyFont="1" applyFill="1" applyBorder="1"/>
    <xf numFmtId="41" fontId="156" fillId="0" borderId="0" xfId="0" applyNumberFormat="1" applyFont="1" applyFill="1" applyBorder="1" applyAlignment="1">
      <alignment vertical="center"/>
    </xf>
    <xf numFmtId="41" fontId="156" fillId="0" borderId="29" xfId="0" applyNumberFormat="1" applyFont="1" applyFill="1" applyBorder="1" applyAlignment="1">
      <alignment vertical="center"/>
    </xf>
    <xf numFmtId="41" fontId="156" fillId="0" borderId="21" xfId="0" applyNumberFormat="1" applyFont="1" applyFill="1" applyBorder="1"/>
    <xf numFmtId="180" fontId="137" fillId="0" borderId="0" xfId="0" applyNumberFormat="1" applyFont="1" applyFill="1" applyBorder="1"/>
    <xf numFmtId="180" fontId="158" fillId="0" borderId="0" xfId="0" applyNumberFormat="1" applyFont="1" applyFill="1" applyBorder="1"/>
    <xf numFmtId="180" fontId="138" fillId="0" borderId="0" xfId="0" applyNumberFormat="1" applyFont="1" applyFill="1" applyBorder="1"/>
    <xf numFmtId="37" fontId="2" fillId="0" borderId="0" xfId="0" applyNumberFormat="1" applyFont="1" applyFill="1"/>
    <xf numFmtId="37" fontId="2" fillId="0" borderId="29" xfId="79" applyNumberFormat="1" applyFont="1" applyFill="1" applyBorder="1"/>
    <xf numFmtId="7" fontId="20" fillId="0" borderId="29" xfId="0" applyNumberFormat="1" applyFont="1" applyFill="1" applyBorder="1" applyAlignment="1">
      <alignment horizontal="right"/>
    </xf>
    <xf numFmtId="41" fontId="138" fillId="0" borderId="0" xfId="0" applyNumberFormat="1" applyFont="1" applyFill="1" applyBorder="1"/>
    <xf numFmtId="37" fontId="27" fillId="0" borderId="26" xfId="0" applyFont="1" applyBorder="1"/>
    <xf numFmtId="41" fontId="27" fillId="0" borderId="21" xfId="0" applyNumberFormat="1" applyFont="1" applyFill="1" applyBorder="1"/>
    <xf numFmtId="37" fontId="159" fillId="0" borderId="20" xfId="0" applyNumberFormat="1" applyFont="1" applyFill="1" applyBorder="1"/>
    <xf numFmtId="37" fontId="159" fillId="0" borderId="0" xfId="0" applyNumberFormat="1" applyFont="1" applyFill="1" applyBorder="1"/>
    <xf numFmtId="37" fontId="159" fillId="0" borderId="29" xfId="0" applyNumberFormat="1" applyFont="1" applyFill="1" applyBorder="1"/>
    <xf numFmtId="3" fontId="2" fillId="0" borderId="0" xfId="0" applyNumberFormat="1" applyFont="1" applyFill="1" applyBorder="1" applyAlignment="1">
      <alignment horizontal="right"/>
    </xf>
    <xf numFmtId="3" fontId="2" fillId="0" borderId="29" xfId="0" applyNumberFormat="1" applyFont="1" applyFill="1" applyBorder="1"/>
    <xf numFmtId="3" fontId="2" fillId="0" borderId="29" xfId="0" applyNumberFormat="1" applyFont="1" applyFill="1" applyBorder="1" applyAlignment="1">
      <alignment horizontal="right"/>
    </xf>
    <xf numFmtId="41" fontId="149" fillId="0" borderId="29" xfId="0" applyNumberFormat="1" applyFont="1" applyFill="1" applyBorder="1"/>
    <xf numFmtId="5" fontId="137" fillId="18" borderId="23" xfId="126" applyNumberFormat="1" applyFont="1" applyFill="1" applyBorder="1"/>
    <xf numFmtId="41" fontId="138" fillId="0" borderId="29" xfId="0" applyNumberFormat="1" applyFont="1" applyFill="1" applyBorder="1" applyAlignment="1">
      <alignment horizontal="right"/>
    </xf>
    <xf numFmtId="43" fontId="2" fillId="0" borderId="0" xfId="0" applyNumberFormat="1" applyFont="1" applyFill="1" applyBorder="1" applyAlignment="1">
      <alignment horizontal="right"/>
    </xf>
    <xf numFmtId="41" fontId="2" fillId="0" borderId="21" xfId="0" applyNumberFormat="1" applyFont="1" applyBorder="1"/>
    <xf numFmtId="41" fontId="137" fillId="0" borderId="0" xfId="0" applyNumberFormat="1" applyFont="1" applyBorder="1"/>
    <xf numFmtId="41" fontId="137" fillId="0" borderId="21" xfId="0" applyNumberFormat="1" applyFont="1" applyFill="1" applyBorder="1"/>
    <xf numFmtId="0" fontId="2" fillId="0" borderId="20" xfId="79" applyNumberFormat="1" applyFont="1" applyFill="1" applyBorder="1" applyAlignment="1">
      <alignment horizontal="left"/>
    </xf>
    <xf numFmtId="0" fontId="2" fillId="0" borderId="0" xfId="79" applyNumberFormat="1" applyFont="1" applyAlignment="1">
      <alignment horizontal="left"/>
    </xf>
    <xf numFmtId="0" fontId="2" fillId="0" borderId="0" xfId="79" applyNumberFormat="1" applyFont="1" applyBorder="1" applyAlignment="1">
      <alignment horizontal="left"/>
    </xf>
    <xf numFmtId="41" fontId="2" fillId="0" borderId="20" xfId="0" applyNumberFormat="1" applyFont="1" applyBorder="1"/>
    <xf numFmtId="0" fontId="2" fillId="0" borderId="20" xfId="79" applyNumberFormat="1" applyFont="1" applyBorder="1" applyAlignment="1">
      <alignment horizontal="left" indent="1"/>
    </xf>
    <xf numFmtId="196" fontId="146" fillId="0" borderId="0" xfId="0" applyNumberFormat="1" applyFont="1"/>
    <xf numFmtId="41" fontId="138" fillId="0" borderId="21" xfId="0" applyNumberFormat="1" applyFont="1" applyBorder="1"/>
    <xf numFmtId="41" fontId="16" fillId="0" borderId="11" xfId="0" applyNumberFormat="1" applyFont="1" applyBorder="1"/>
    <xf numFmtId="41" fontId="16" fillId="0" borderId="35" xfId="0" applyNumberFormat="1" applyFont="1" applyBorder="1"/>
    <xf numFmtId="41" fontId="16" fillId="0" borderId="25" xfId="0" applyNumberFormat="1" applyFont="1" applyBorder="1"/>
    <xf numFmtId="10" fontId="26" fillId="0" borderId="0" xfId="126" applyNumberFormat="1" applyFont="1"/>
    <xf numFmtId="0" fontId="2" fillId="0" borderId="20" xfId="79" applyNumberFormat="1" applyFont="1" applyBorder="1" applyAlignment="1">
      <alignment horizontal="left"/>
    </xf>
    <xf numFmtId="183" fontId="16" fillId="0" borderId="55" xfId="0" applyNumberFormat="1" applyFont="1" applyFill="1" applyBorder="1" applyAlignment="1">
      <alignment horizontal="right"/>
    </xf>
    <xf numFmtId="171" fontId="21" fillId="0" borderId="24" xfId="0" applyNumberFormat="1" applyFont="1" applyFill="1" applyBorder="1" applyAlignment="1">
      <alignment horizontal="right"/>
    </xf>
    <xf numFmtId="183" fontId="16" fillId="0" borderId="36" xfId="0" applyNumberFormat="1" applyFont="1" applyFill="1" applyBorder="1"/>
    <xf numFmtId="183" fontId="16" fillId="0" borderId="0" xfId="0" applyNumberFormat="1" applyFont="1" applyFill="1" applyAlignment="1">
      <alignment horizontal="right"/>
    </xf>
    <xf numFmtId="183" fontId="28" fillId="0" borderId="20" xfId="0" applyNumberFormat="1" applyFont="1" applyFill="1" applyBorder="1"/>
    <xf numFmtId="0" fontId="29" fillId="0" borderId="0" xfId="0" applyNumberFormat="1" applyFont="1" applyFill="1" applyAlignment="1">
      <alignment horizontal="left"/>
    </xf>
    <xf numFmtId="183" fontId="146" fillId="0" borderId="0" xfId="0" applyNumberFormat="1" applyFont="1" applyFill="1"/>
    <xf numFmtId="183" fontId="105" fillId="0" borderId="21" xfId="0" applyNumberFormat="1" applyFont="1" applyFill="1" applyBorder="1"/>
    <xf numFmtId="41" fontId="137" fillId="26" borderId="0" xfId="0" applyNumberFormat="1" applyFont="1" applyFill="1" applyBorder="1"/>
    <xf numFmtId="41" fontId="16" fillId="26" borderId="0" xfId="0" applyNumberFormat="1" applyFont="1" applyFill="1" applyBorder="1"/>
    <xf numFmtId="5" fontId="16" fillId="26" borderId="0" xfId="0" applyNumberFormat="1" applyFont="1" applyFill="1" applyBorder="1"/>
    <xf numFmtId="43" fontId="16" fillId="26" borderId="0" xfId="0" applyNumberFormat="1" applyFont="1" applyFill="1" applyBorder="1"/>
    <xf numFmtId="9" fontId="16" fillId="0" borderId="25" xfId="126" applyFont="1" applyBorder="1"/>
    <xf numFmtId="41" fontId="138" fillId="0" borderId="0" xfId="0" applyNumberFormat="1" applyFont="1" applyFill="1" applyBorder="1" applyAlignment="1">
      <alignment horizontal="right"/>
    </xf>
    <xf numFmtId="5" fontId="148" fillId="0" borderId="0" xfId="0" applyNumberFormat="1" applyFont="1" applyBorder="1" applyAlignment="1">
      <alignment horizontal="right"/>
    </xf>
    <xf numFmtId="5" fontId="148" fillId="0" borderId="29" xfId="0" applyNumberFormat="1" applyFont="1" applyBorder="1" applyAlignment="1">
      <alignment horizontal="right"/>
    </xf>
    <xf numFmtId="5" fontId="154" fillId="0" borderId="0" xfId="0" applyNumberFormat="1" applyFont="1" applyBorder="1" applyAlignment="1">
      <alignment horizontal="right"/>
    </xf>
    <xf numFmtId="5" fontId="146" fillId="0" borderId="0" xfId="0" applyNumberFormat="1" applyFont="1" applyBorder="1"/>
    <xf numFmtId="5" fontId="146" fillId="0" borderId="29" xfId="0" applyNumberFormat="1" applyFont="1" applyBorder="1"/>
    <xf numFmtId="4" fontId="149" fillId="0" borderId="0" xfId="0" applyNumberFormat="1" applyFont="1" applyFill="1" applyBorder="1"/>
    <xf numFmtId="5" fontId="19" fillId="0" borderId="0" xfId="0" applyNumberFormat="1" applyFont="1" applyBorder="1"/>
    <xf numFmtId="5" fontId="19" fillId="0" borderId="21" xfId="0" applyNumberFormat="1" applyFont="1" applyBorder="1"/>
    <xf numFmtId="5" fontId="19" fillId="0" borderId="0" xfId="0" applyNumberFormat="1" applyFont="1" applyFill="1" applyBorder="1"/>
    <xf numFmtId="5" fontId="19" fillId="0" borderId="21" xfId="0" applyNumberFormat="1" applyFont="1" applyFill="1" applyBorder="1"/>
    <xf numFmtId="37" fontId="19" fillId="0" borderId="0" xfId="0" applyNumberFormat="1" applyFont="1" applyBorder="1"/>
    <xf numFmtId="37" fontId="19" fillId="0" borderId="29" xfId="0" applyNumberFormat="1" applyFont="1" applyBorder="1"/>
    <xf numFmtId="37" fontId="19" fillId="0" borderId="21" xfId="0" applyNumberFormat="1" applyFont="1" applyBorder="1"/>
    <xf numFmtId="0" fontId="21" fillId="18" borderId="20" xfId="0" applyNumberFormat="1" applyFont="1" applyFill="1" applyBorder="1" applyAlignment="1"/>
    <xf numFmtId="5" fontId="21" fillId="18" borderId="29" xfId="0" applyNumberFormat="1" applyFont="1" applyFill="1" applyBorder="1"/>
    <xf numFmtId="0" fontId="2" fillId="18" borderId="19" xfId="0" applyNumberFormat="1" applyFont="1" applyFill="1" applyBorder="1" applyAlignment="1"/>
    <xf numFmtId="5" fontId="2" fillId="18" borderId="36" xfId="0" applyNumberFormat="1" applyFont="1" applyFill="1" applyBorder="1"/>
    <xf numFmtId="0" fontId="2" fillId="18" borderId="56" xfId="0" applyNumberFormat="1" applyFont="1" applyFill="1" applyBorder="1" applyAlignment="1"/>
    <xf numFmtId="5" fontId="2" fillId="18" borderId="55" xfId="0" applyNumberFormat="1" applyFont="1" applyFill="1" applyBorder="1"/>
    <xf numFmtId="198" fontId="2" fillId="0" borderId="0" xfId="0" applyNumberFormat="1" applyFont="1" applyBorder="1"/>
    <xf numFmtId="200" fontId="2" fillId="0" borderId="0" xfId="0" applyNumberFormat="1" applyFont="1" applyBorder="1"/>
    <xf numFmtId="168" fontId="21" fillId="18" borderId="29" xfId="0" applyNumberFormat="1" applyFont="1" applyFill="1" applyBorder="1"/>
    <xf numFmtId="168" fontId="0" fillId="0" borderId="0" xfId="0" applyNumberFormat="1"/>
    <xf numFmtId="168" fontId="21" fillId="18" borderId="20" xfId="0" applyNumberFormat="1" applyFont="1" applyFill="1" applyBorder="1" applyAlignment="1"/>
    <xf numFmtId="168" fontId="16" fillId="0" borderId="0" xfId="0" applyNumberFormat="1" applyFont="1" applyBorder="1"/>
    <xf numFmtId="5" fontId="26" fillId="18" borderId="70" xfId="0" applyNumberFormat="1" applyFont="1" applyFill="1" applyBorder="1"/>
    <xf numFmtId="5" fontId="19" fillId="18" borderId="36" xfId="0" applyNumberFormat="1" applyFont="1" applyFill="1" applyBorder="1"/>
    <xf numFmtId="0" fontId="2" fillId="18" borderId="20" xfId="0" applyNumberFormat="1" applyFont="1" applyFill="1" applyBorder="1" applyAlignment="1"/>
    <xf numFmtId="41" fontId="32" fillId="18" borderId="0" xfId="0" applyNumberFormat="1" applyFont="1" applyFill="1" applyBorder="1"/>
    <xf numFmtId="41" fontId="2" fillId="18" borderId="0" xfId="0" applyNumberFormat="1" applyFont="1" applyFill="1" applyBorder="1" applyAlignment="1">
      <alignment horizontal="right"/>
    </xf>
    <xf numFmtId="5" fontId="2" fillId="18" borderId="0" xfId="0" applyNumberFormat="1" applyFont="1" applyFill="1" applyBorder="1" applyAlignment="1">
      <alignment horizontal="right"/>
    </xf>
    <xf numFmtId="5" fontId="2" fillId="18" borderId="29" xfId="0" applyNumberFormat="1" applyFont="1" applyFill="1" applyBorder="1" applyAlignment="1">
      <alignment horizontal="right"/>
    </xf>
    <xf numFmtId="3" fontId="2" fillId="18" borderId="0" xfId="0" applyNumberFormat="1" applyFont="1" applyFill="1" applyBorder="1" applyAlignment="1">
      <alignment horizontal="right"/>
    </xf>
    <xf numFmtId="3" fontId="2" fillId="18" borderId="29" xfId="0" applyNumberFormat="1" applyFont="1" applyFill="1" applyBorder="1" applyAlignment="1">
      <alignment horizontal="right"/>
    </xf>
    <xf numFmtId="5" fontId="36" fillId="18" borderId="11" xfId="0" applyNumberFormat="1" applyFont="1" applyFill="1" applyBorder="1"/>
    <xf numFmtId="5" fontId="21" fillId="18" borderId="11" xfId="0" applyNumberFormat="1" applyFont="1" applyFill="1" applyBorder="1"/>
    <xf numFmtId="5" fontId="21" fillId="18" borderId="35" xfId="0" applyNumberFormat="1" applyFont="1" applyFill="1" applyBorder="1"/>
    <xf numFmtId="5" fontId="146" fillId="18" borderId="70" xfId="0" applyNumberFormat="1" applyFont="1" applyFill="1" applyBorder="1"/>
    <xf numFmtId="0" fontId="2" fillId="18" borderId="70" xfId="0" applyNumberFormat="1" applyFont="1" applyFill="1" applyBorder="1"/>
    <xf numFmtId="0" fontId="2" fillId="18" borderId="36" xfId="0" applyNumberFormat="1" applyFont="1" applyFill="1" applyBorder="1"/>
    <xf numFmtId="168" fontId="2" fillId="18" borderId="20" xfId="0" applyNumberFormat="1" applyFont="1" applyFill="1" applyBorder="1" applyAlignment="1"/>
    <xf numFmtId="168" fontId="36" fillId="18" borderId="0" xfId="0" applyNumberFormat="1" applyFont="1" applyFill="1" applyBorder="1"/>
    <xf numFmtId="168" fontId="26" fillId="18" borderId="0" xfId="0" applyNumberFormat="1" applyFont="1" applyFill="1" applyBorder="1"/>
    <xf numFmtId="168" fontId="19" fillId="18" borderId="29" xfId="0" applyNumberFormat="1" applyFont="1" applyFill="1" applyBorder="1"/>
    <xf numFmtId="168" fontId="2" fillId="18" borderId="29" xfId="0" applyNumberFormat="1" applyFont="1" applyFill="1" applyBorder="1"/>
    <xf numFmtId="168" fontId="146" fillId="18" borderId="0" xfId="0" applyNumberFormat="1" applyFont="1" applyFill="1" applyBorder="1"/>
    <xf numFmtId="168" fontId="137" fillId="18" borderId="0" xfId="0" applyNumberFormat="1" applyFont="1" applyFill="1" applyBorder="1"/>
    <xf numFmtId="168" fontId="20" fillId="18" borderId="29" xfId="0" applyNumberFormat="1" applyFont="1" applyFill="1" applyBorder="1"/>
    <xf numFmtId="5" fontId="36" fillId="18" borderId="0" xfId="0" applyNumberFormat="1" applyFont="1" applyFill="1" applyBorder="1"/>
    <xf numFmtId="5" fontId="20" fillId="18" borderId="29" xfId="0" applyNumberFormat="1" applyFont="1" applyFill="1" applyBorder="1"/>
    <xf numFmtId="5" fontId="20" fillId="18" borderId="35" xfId="0" applyNumberFormat="1" applyFont="1" applyFill="1" applyBorder="1"/>
    <xf numFmtId="37" fontId="16" fillId="0" borderId="35" xfId="0" applyNumberFormat="1" applyFont="1" applyBorder="1"/>
    <xf numFmtId="5" fontId="140" fillId="18" borderId="70" xfId="0" applyNumberFormat="1" applyFont="1" applyFill="1" applyBorder="1"/>
    <xf numFmtId="37" fontId="26" fillId="18" borderId="0" xfId="0" applyNumberFormat="1" applyFont="1" applyFill="1" applyBorder="1"/>
    <xf numFmtId="37" fontId="19" fillId="18" borderId="29" xfId="0" applyNumberFormat="1" applyFont="1" applyFill="1" applyBorder="1"/>
    <xf numFmtId="37" fontId="2" fillId="18" borderId="29" xfId="0" applyNumberFormat="1" applyFont="1" applyFill="1" applyBorder="1"/>
    <xf numFmtId="5" fontId="141" fillId="18" borderId="0" xfId="0" applyNumberFormat="1" applyFont="1" applyFill="1" applyBorder="1"/>
    <xf numFmtId="37" fontId="146" fillId="0" borderId="0" xfId="0" applyFont="1" applyBorder="1"/>
    <xf numFmtId="5" fontId="146" fillId="0" borderId="29" xfId="0" applyNumberFormat="1" applyFont="1" applyFill="1" applyBorder="1"/>
    <xf numFmtId="7" fontId="20" fillId="0" borderId="0" xfId="0" applyNumberFormat="1" applyFont="1" applyFill="1" applyBorder="1" applyAlignment="1">
      <alignment horizontal="right"/>
    </xf>
    <xf numFmtId="166" fontId="70" fillId="0" borderId="0" xfId="126" applyNumberFormat="1" applyFont="1" applyFill="1" applyBorder="1" applyAlignment="1">
      <alignment horizontal="right"/>
    </xf>
    <xf numFmtId="166" fontId="154" fillId="0" borderId="21" xfId="126" applyNumberFormat="1" applyFont="1" applyFill="1" applyBorder="1"/>
    <xf numFmtId="43" fontId="21" fillId="0" borderId="0" xfId="0" applyNumberFormat="1" applyFont="1" applyFill="1" applyBorder="1"/>
    <xf numFmtId="43" fontId="20" fillId="0" borderId="21" xfId="0" applyNumberFormat="1" applyFont="1" applyFill="1" applyBorder="1" applyAlignment="1">
      <alignment horizontal="right"/>
    </xf>
    <xf numFmtId="9" fontId="2" fillId="0" borderId="29" xfId="126" applyFont="1" applyBorder="1"/>
    <xf numFmtId="9" fontId="2" fillId="0" borderId="35" xfId="126" applyFont="1" applyBorder="1"/>
    <xf numFmtId="166" fontId="27" fillId="0" borderId="19" xfId="0" applyNumberFormat="1" applyFont="1" applyBorder="1" applyAlignment="1">
      <alignment horizontal="left" indent="1"/>
    </xf>
    <xf numFmtId="166" fontId="36" fillId="0" borderId="70" xfId="0" applyNumberFormat="1" applyFont="1" applyFill="1" applyBorder="1"/>
    <xf numFmtId="166" fontId="36" fillId="0" borderId="70" xfId="0" applyNumberFormat="1" applyFont="1" applyFill="1" applyBorder="1" applyAlignment="1">
      <alignment horizontal="right"/>
    </xf>
    <xf numFmtId="166" fontId="21" fillId="0" borderId="70" xfId="0" applyNumberFormat="1" applyFont="1" applyFill="1" applyBorder="1"/>
    <xf numFmtId="166" fontId="36" fillId="0" borderId="36" xfId="0" applyNumberFormat="1" applyFont="1" applyFill="1" applyBorder="1"/>
    <xf numFmtId="166" fontId="27" fillId="0" borderId="70" xfId="126" applyNumberFormat="1" applyFont="1" applyFill="1" applyBorder="1"/>
    <xf numFmtId="166" fontId="27" fillId="0" borderId="11" xfId="126" applyNumberFormat="1" applyFont="1" applyFill="1" applyBorder="1"/>
    <xf numFmtId="9" fontId="16" fillId="0" borderId="20" xfId="126" applyFont="1" applyFill="1" applyBorder="1"/>
    <xf numFmtId="9" fontId="16" fillId="0" borderId="0" xfId="126" applyFont="1" applyFill="1"/>
    <xf numFmtId="9" fontId="16" fillId="0" borderId="25" xfId="126" applyFont="1" applyFill="1" applyBorder="1"/>
    <xf numFmtId="9" fontId="16" fillId="0" borderId="11" xfId="126" applyFont="1" applyFill="1" applyBorder="1"/>
    <xf numFmtId="7" fontId="146" fillId="0" borderId="0" xfId="145" applyNumberFormat="1" applyFont="1" applyFill="1" applyBorder="1" applyAlignment="1"/>
    <xf numFmtId="166" fontId="154" fillId="0" borderId="21" xfId="126" applyNumberFormat="1" applyFont="1" applyBorder="1"/>
    <xf numFmtId="166" fontId="154" fillId="0" borderId="0" xfId="126" applyNumberFormat="1" applyFont="1" applyBorder="1"/>
    <xf numFmtId="41" fontId="64" fillId="0" borderId="0" xfId="0" applyNumberFormat="1" applyFont="1" applyFill="1" applyBorder="1" applyAlignment="1">
      <alignment horizontal="right"/>
    </xf>
    <xf numFmtId="41" fontId="27" fillId="0" borderId="29" xfId="0" applyNumberFormat="1" applyFont="1" applyBorder="1" applyAlignment="1">
      <alignment horizontal="right"/>
    </xf>
    <xf numFmtId="41" fontId="160" fillId="0" borderId="0" xfId="0" applyNumberFormat="1" applyFont="1" applyFill="1" applyBorder="1" applyAlignment="1">
      <alignment horizontal="right"/>
    </xf>
    <xf numFmtId="41" fontId="103" fillId="0" borderId="29" xfId="0" applyNumberFormat="1" applyFont="1" applyFill="1" applyBorder="1" applyAlignment="1">
      <alignment horizontal="right"/>
    </xf>
    <xf numFmtId="5" fontId="27" fillId="0" borderId="29" xfId="0" applyNumberFormat="1" applyFont="1" applyBorder="1" applyAlignment="1">
      <alignment horizontal="right"/>
    </xf>
    <xf numFmtId="5" fontId="27" fillId="0" borderId="29" xfId="0" applyNumberFormat="1" applyFont="1" applyFill="1" applyBorder="1" applyAlignment="1">
      <alignment horizontal="right"/>
    </xf>
    <xf numFmtId="5" fontId="148" fillId="0" borderId="0" xfId="0" applyNumberFormat="1" applyFont="1" applyFill="1" applyBorder="1" applyAlignment="1">
      <alignment horizontal="right"/>
    </xf>
    <xf numFmtId="5" fontId="154" fillId="0" borderId="0" xfId="0" applyNumberFormat="1" applyFont="1" applyFill="1" applyBorder="1" applyAlignment="1">
      <alignment horizontal="right"/>
    </xf>
    <xf numFmtId="9" fontId="16" fillId="0" borderId="36" xfId="126" applyFont="1" applyBorder="1" applyAlignment="1">
      <alignment horizontal="right"/>
    </xf>
    <xf numFmtId="9" fontId="16" fillId="0" borderId="35" xfId="126" applyFont="1" applyBorder="1" applyAlignment="1">
      <alignment horizontal="right"/>
    </xf>
    <xf numFmtId="37" fontId="27" fillId="26" borderId="20" xfId="0" applyFont="1" applyFill="1" applyBorder="1" applyAlignment="1">
      <alignment horizontal="left" indent="1"/>
    </xf>
    <xf numFmtId="9" fontId="27" fillId="26" borderId="0" xfId="126" applyFont="1" applyFill="1" applyBorder="1" applyAlignment="1">
      <alignment horizontal="right"/>
    </xf>
    <xf numFmtId="9" fontId="27" fillId="26" borderId="29" xfId="126" applyFont="1" applyFill="1" applyBorder="1" applyAlignment="1">
      <alignment horizontal="right"/>
    </xf>
    <xf numFmtId="9" fontId="27" fillId="26" borderId="20" xfId="126" applyFont="1" applyFill="1" applyBorder="1" applyAlignment="1">
      <alignment horizontal="right"/>
    </xf>
    <xf numFmtId="37" fontId="27" fillId="26" borderId="25" xfId="0" applyFont="1" applyFill="1" applyBorder="1" applyAlignment="1">
      <alignment horizontal="left" indent="1"/>
    </xf>
    <xf numFmtId="9" fontId="27" fillId="26" borderId="11" xfId="126" applyFont="1" applyFill="1" applyBorder="1" applyAlignment="1">
      <alignment horizontal="right"/>
    </xf>
    <xf numFmtId="9" fontId="27" fillId="26" borderId="35" xfId="126" applyFont="1" applyFill="1" applyBorder="1" applyAlignment="1">
      <alignment horizontal="right"/>
    </xf>
    <xf numFmtId="9" fontId="27" fillId="26" borderId="25" xfId="126" applyFont="1" applyFill="1" applyBorder="1" applyAlignment="1">
      <alignment horizontal="right"/>
    </xf>
    <xf numFmtId="9" fontId="27" fillId="26" borderId="22" xfId="126" applyFont="1" applyFill="1" applyBorder="1" applyAlignment="1">
      <alignment horizontal="right"/>
    </xf>
    <xf numFmtId="0" fontId="21" fillId="26" borderId="19" xfId="0" applyNumberFormat="1" applyFont="1" applyFill="1" applyBorder="1" applyAlignment="1"/>
    <xf numFmtId="41" fontId="21" fillId="26" borderId="70" xfId="0" applyNumberFormat="1" applyFont="1" applyFill="1" applyBorder="1" applyAlignment="1">
      <alignment horizontal="right"/>
    </xf>
    <xf numFmtId="7" fontId="21" fillId="26" borderId="70" xfId="0" applyNumberFormat="1" applyFont="1" applyFill="1" applyBorder="1" applyAlignment="1">
      <alignment horizontal="right"/>
    </xf>
    <xf numFmtId="7" fontId="21" fillId="26" borderId="36" xfId="0" applyNumberFormat="1" applyFont="1" applyFill="1" applyBorder="1" applyAlignment="1">
      <alignment horizontal="right"/>
    </xf>
    <xf numFmtId="7" fontId="137" fillId="26" borderId="70" xfId="0" applyNumberFormat="1" applyFont="1" applyFill="1" applyBorder="1" applyAlignment="1">
      <alignment horizontal="right"/>
    </xf>
    <xf numFmtId="41" fontId="16" fillId="26" borderId="11" xfId="0" applyNumberFormat="1" applyFont="1" applyFill="1" applyBorder="1" applyAlignment="1">
      <alignment horizontal="right"/>
    </xf>
    <xf numFmtId="37" fontId="63" fillId="26" borderId="19" xfId="0" applyFont="1" applyFill="1" applyBorder="1" applyAlignment="1">
      <alignment horizontal="left" indent="1"/>
    </xf>
    <xf numFmtId="41" fontId="93" fillId="26" borderId="70" xfId="0" applyNumberFormat="1" applyFont="1" applyFill="1" applyBorder="1" applyAlignment="1">
      <alignment horizontal="right"/>
    </xf>
    <xf numFmtId="5" fontId="93" fillId="26" borderId="70" xfId="0" applyNumberFormat="1" applyFont="1" applyFill="1" applyBorder="1" applyAlignment="1">
      <alignment horizontal="right"/>
    </xf>
    <xf numFmtId="5" fontId="63" fillId="26" borderId="70" xfId="0" applyNumberFormat="1" applyFont="1" applyFill="1" applyBorder="1" applyAlignment="1">
      <alignment horizontal="right"/>
    </xf>
    <xf numFmtId="5" fontId="63" fillId="26" borderId="36" xfId="0" applyNumberFormat="1" applyFont="1" applyFill="1" applyBorder="1" applyAlignment="1">
      <alignment horizontal="right"/>
    </xf>
    <xf numFmtId="41" fontId="63" fillId="0" borderId="29" xfId="0" applyNumberFormat="1" applyFont="1" applyBorder="1" applyAlignment="1">
      <alignment horizontal="right"/>
    </xf>
    <xf numFmtId="0" fontId="63" fillId="0" borderId="0" xfId="0" applyNumberFormat="1" applyFont="1" applyBorder="1"/>
    <xf numFmtId="0" fontId="63" fillId="0" borderId="0" xfId="0" applyNumberFormat="1" applyFont="1" applyFill="1" applyBorder="1"/>
    <xf numFmtId="37" fontId="63" fillId="0" borderId="0" xfId="0" applyFont="1" applyFill="1" applyBorder="1"/>
    <xf numFmtId="5" fontId="138" fillId="0" borderId="29" xfId="0" applyNumberFormat="1" applyFont="1" applyBorder="1"/>
    <xf numFmtId="5" fontId="137" fillId="0" borderId="0" xfId="0" applyNumberFormat="1" applyFont="1" applyFill="1" applyBorder="1" applyAlignment="1">
      <alignment horizontal="right"/>
    </xf>
    <xf numFmtId="5" fontId="21" fillId="26" borderId="70" xfId="0" applyNumberFormat="1" applyFont="1" applyFill="1" applyBorder="1" applyAlignment="1">
      <alignment horizontal="right"/>
    </xf>
    <xf numFmtId="5" fontId="21" fillId="26" borderId="36" xfId="0" applyNumberFormat="1" applyFont="1" applyFill="1" applyBorder="1" applyAlignment="1">
      <alignment horizontal="right"/>
    </xf>
    <xf numFmtId="5" fontId="137" fillId="26" borderId="70" xfId="0" applyNumberFormat="1" applyFont="1" applyFill="1" applyBorder="1" applyAlignment="1">
      <alignment horizontal="right"/>
    </xf>
    <xf numFmtId="5" fontId="21" fillId="26" borderId="19" xfId="0" applyNumberFormat="1" applyFont="1" applyFill="1" applyBorder="1" applyAlignment="1">
      <alignment horizontal="right"/>
    </xf>
    <xf numFmtId="37" fontId="63" fillId="0" borderId="20" xfId="0" applyFont="1" applyBorder="1" applyAlignment="1">
      <alignment horizontal="left" indent="1"/>
    </xf>
    <xf numFmtId="0" fontId="21" fillId="26" borderId="20" xfId="0" applyNumberFormat="1" applyFont="1" applyFill="1" applyBorder="1" applyAlignment="1"/>
    <xf numFmtId="41" fontId="21" fillId="26" borderId="0" xfId="0" applyNumberFormat="1" applyFont="1" applyFill="1" applyBorder="1" applyAlignment="1">
      <alignment horizontal="right"/>
    </xf>
    <xf numFmtId="5" fontId="21" fillId="26" borderId="0" xfId="0" applyNumberFormat="1" applyFont="1" applyFill="1" applyBorder="1" applyAlignment="1">
      <alignment horizontal="right"/>
    </xf>
    <xf numFmtId="5" fontId="21" fillId="26" borderId="29" xfId="0" applyNumberFormat="1" applyFont="1" applyFill="1" applyBorder="1" applyAlignment="1">
      <alignment horizontal="right"/>
    </xf>
    <xf numFmtId="5" fontId="137" fillId="26" borderId="0" xfId="0" applyNumberFormat="1" applyFont="1" applyFill="1" applyBorder="1" applyAlignment="1">
      <alignment horizontal="right"/>
    </xf>
    <xf numFmtId="5" fontId="21" fillId="26" borderId="20" xfId="0" applyNumberFormat="1" applyFont="1" applyFill="1" applyBorder="1" applyAlignment="1">
      <alignment horizontal="right"/>
    </xf>
    <xf numFmtId="5" fontId="138" fillId="0" borderId="0" xfId="0" applyNumberFormat="1" applyFont="1" applyBorder="1"/>
    <xf numFmtId="41" fontId="138" fillId="0" borderId="0" xfId="0" applyNumberFormat="1" applyFont="1" applyBorder="1"/>
    <xf numFmtId="9" fontId="148" fillId="0" borderId="29" xfId="126" applyFont="1" applyBorder="1" applyAlignment="1">
      <alignment horizontal="right"/>
    </xf>
    <xf numFmtId="7" fontId="149" fillId="0" borderId="0" xfId="145" applyNumberFormat="1" applyFont="1" applyFill="1" applyBorder="1" applyAlignment="1">
      <alignment horizontal="right"/>
    </xf>
    <xf numFmtId="41" fontId="156" fillId="0" borderId="29" xfId="0" applyNumberFormat="1" applyFont="1" applyFill="1" applyBorder="1" applyAlignment="1">
      <alignment horizontal="right"/>
    </xf>
    <xf numFmtId="41" fontId="2" fillId="0" borderId="21" xfId="0" applyNumberFormat="1" applyFont="1" applyFill="1" applyBorder="1" applyAlignment="1">
      <alignment horizontal="right"/>
    </xf>
    <xf numFmtId="41" fontId="152" fillId="0" borderId="29" xfId="0" applyNumberFormat="1" applyFont="1" applyFill="1" applyBorder="1"/>
    <xf numFmtId="41" fontId="146" fillId="0" borderId="29" xfId="0" applyNumberFormat="1" applyFont="1" applyFill="1" applyBorder="1" applyAlignment="1">
      <alignment horizontal="right"/>
    </xf>
    <xf numFmtId="9" fontId="147" fillId="0" borderId="0" xfId="126" applyFont="1" applyFill="1" applyBorder="1"/>
    <xf numFmtId="9" fontId="147" fillId="0" borderId="29" xfId="126" applyFont="1" applyFill="1" applyBorder="1"/>
    <xf numFmtId="37" fontId="0" fillId="0" borderId="0" xfId="0" applyFont="1" applyBorder="1" applyAlignment="1">
      <alignment horizontal="left" indent="1"/>
    </xf>
    <xf numFmtId="37" fontId="149" fillId="0" borderId="29" xfId="0" applyNumberFormat="1" applyFont="1" applyFill="1" applyBorder="1"/>
    <xf numFmtId="37" fontId="16" fillId="0" borderId="20" xfId="0" applyNumberFormat="1" applyFont="1" applyFill="1" applyBorder="1"/>
    <xf numFmtId="37" fontId="146" fillId="0" borderId="0" xfId="0" applyFont="1" applyFill="1" applyBorder="1"/>
    <xf numFmtId="5" fontId="149" fillId="0" borderId="29" xfId="0" applyNumberFormat="1" applyFont="1" applyBorder="1"/>
    <xf numFmtId="194" fontId="149" fillId="0" borderId="29" xfId="126" applyNumberFormat="1" applyFont="1" applyBorder="1"/>
    <xf numFmtId="41" fontId="156" fillId="0" borderId="29" xfId="0" applyNumberFormat="1" applyFont="1" applyBorder="1"/>
    <xf numFmtId="166" fontId="147" fillId="0" borderId="0" xfId="126" applyNumberFormat="1" applyFont="1" applyBorder="1"/>
    <xf numFmtId="166" fontId="151" fillId="0" borderId="0" xfId="126" applyNumberFormat="1" applyFont="1" applyBorder="1"/>
    <xf numFmtId="37" fontId="2" fillId="18" borderId="0" xfId="0" applyNumberFormat="1" applyFont="1" applyFill="1" applyBorder="1"/>
    <xf numFmtId="9" fontId="20" fillId="0" borderId="0" xfId="126" applyFont="1" applyFill="1" applyBorder="1" applyAlignment="1">
      <alignment horizontal="right"/>
    </xf>
    <xf numFmtId="41" fontId="146" fillId="0" borderId="0" xfId="0" applyNumberFormat="1" applyFont="1" applyFill="1" applyBorder="1" applyAlignment="1">
      <alignment vertical="center"/>
    </xf>
    <xf numFmtId="37" fontId="141" fillId="0" borderId="0" xfId="0" applyFont="1"/>
    <xf numFmtId="37" fontId="141" fillId="0" borderId="0" xfId="0" applyFont="1" applyAlignment="1">
      <alignment horizontal="right"/>
    </xf>
    <xf numFmtId="37" fontId="161" fillId="0" borderId="0" xfId="0" applyFont="1"/>
    <xf numFmtId="37" fontId="146" fillId="0" borderId="0" xfId="0" applyNumberFormat="1" applyFont="1"/>
    <xf numFmtId="7" fontId="146" fillId="0" borderId="0" xfId="0" applyNumberFormat="1" applyFont="1"/>
    <xf numFmtId="37" fontId="146" fillId="0" borderId="0" xfId="0" applyFont="1"/>
    <xf numFmtId="37" fontId="2" fillId="0" borderId="0" xfId="0" applyNumberFormat="1" applyFont="1"/>
    <xf numFmtId="7" fontId="21" fillId="0" borderId="0" xfId="0" applyNumberFormat="1" applyFont="1"/>
    <xf numFmtId="37" fontId="149" fillId="0" borderId="0" xfId="0" applyNumberFormat="1" applyFont="1"/>
    <xf numFmtId="7" fontId="149" fillId="0" borderId="0" xfId="0" applyNumberFormat="1" applyFont="1"/>
    <xf numFmtId="9" fontId="70" fillId="0" borderId="21" xfId="126" applyNumberFormat="1" applyFont="1" applyFill="1" applyBorder="1"/>
    <xf numFmtId="180" fontId="146" fillId="0" borderId="0" xfId="0" applyNumberFormat="1" applyFont="1" applyFill="1" applyBorder="1" applyAlignment="1">
      <alignment horizontal="right"/>
    </xf>
    <xf numFmtId="37" fontId="149" fillId="0" borderId="0" xfId="0" applyNumberFormat="1" applyFont="1" applyBorder="1" applyAlignment="1">
      <alignment horizontal="right"/>
    </xf>
    <xf numFmtId="37" fontId="2" fillId="0" borderId="0" xfId="0" applyNumberFormat="1" applyFont="1" applyBorder="1"/>
    <xf numFmtId="37" fontId="0" fillId="0" borderId="0" xfId="0" applyNumberFormat="1" applyFont="1"/>
    <xf numFmtId="5" fontId="162" fillId="0" borderId="0" xfId="0" applyNumberFormat="1" applyFont="1" applyFill="1" applyBorder="1"/>
    <xf numFmtId="169" fontId="163" fillId="0" borderId="29" xfId="126" quotePrefix="1" applyNumberFormat="1" applyFont="1" applyBorder="1" applyAlignment="1">
      <alignment horizontal="right"/>
    </xf>
    <xf numFmtId="5" fontId="164" fillId="0" borderId="0" xfId="0" applyNumberFormat="1" applyFont="1" applyFill="1" applyBorder="1" applyAlignment="1">
      <alignment horizontal="right"/>
    </xf>
    <xf numFmtId="166" fontId="72" fillId="0" borderId="0" xfId="0" applyNumberFormat="1" applyFont="1" applyFill="1" applyBorder="1"/>
    <xf numFmtId="166" fontId="147" fillId="0" borderId="0" xfId="0" applyNumberFormat="1" applyFont="1" applyFill="1" applyBorder="1"/>
    <xf numFmtId="166" fontId="147" fillId="0" borderId="29" xfId="0" applyNumberFormat="1" applyFont="1" applyFill="1" applyBorder="1"/>
    <xf numFmtId="166" fontId="72" fillId="0" borderId="29" xfId="0" applyNumberFormat="1" applyFont="1" applyFill="1" applyBorder="1"/>
    <xf numFmtId="166" fontId="27" fillId="0" borderId="29" xfId="0" applyNumberFormat="1" applyFont="1" applyFill="1" applyBorder="1"/>
    <xf numFmtId="166" fontId="148" fillId="0" borderId="11" xfId="0" applyNumberFormat="1" applyFont="1" applyFill="1" applyBorder="1"/>
    <xf numFmtId="166" fontId="148" fillId="0" borderId="35" xfId="0" applyNumberFormat="1" applyFont="1" applyFill="1" applyBorder="1"/>
    <xf numFmtId="37" fontId="17" fillId="0" borderId="0" xfId="115"/>
    <xf numFmtId="37" fontId="2" fillId="0" borderId="0" xfId="115" applyFont="1"/>
    <xf numFmtId="37" fontId="27" fillId="0" borderId="0" xfId="115" applyFont="1"/>
    <xf numFmtId="7" fontId="2" fillId="0" borderId="0" xfId="115" applyNumberFormat="1" applyFont="1"/>
    <xf numFmtId="5" fontId="2" fillId="0" borderId="0" xfId="115" applyNumberFormat="1" applyFont="1"/>
    <xf numFmtId="5" fontId="2" fillId="0" borderId="23" xfId="115" applyNumberFormat="1" applyFont="1" applyBorder="1"/>
    <xf numFmtId="37" fontId="2" fillId="0" borderId="23" xfId="115" applyFont="1" applyBorder="1"/>
    <xf numFmtId="173" fontId="2" fillId="0" borderId="0" xfId="115" applyNumberFormat="1" applyFont="1"/>
    <xf numFmtId="37" fontId="2" fillId="0" borderId="11" xfId="115" applyFont="1" applyBorder="1"/>
    <xf numFmtId="173" fontId="2" fillId="0" borderId="11" xfId="115" applyNumberFormat="1" applyFont="1" applyBorder="1"/>
    <xf numFmtId="37" fontId="21" fillId="0" borderId="0" xfId="115" applyFont="1" applyAlignment="1">
      <alignment horizontal="right"/>
    </xf>
    <xf numFmtId="5" fontId="2" fillId="0" borderId="70" xfId="115" applyNumberFormat="1" applyFont="1" applyBorder="1"/>
    <xf numFmtId="37" fontId="2" fillId="0" borderId="70" xfId="115" applyFont="1" applyBorder="1"/>
    <xf numFmtId="37" fontId="26" fillId="0" borderId="0" xfId="115" applyFont="1"/>
    <xf numFmtId="37" fontId="21" fillId="0" borderId="11" xfId="115" applyFont="1" applyBorder="1" applyAlignment="1">
      <alignment horizontal="right"/>
    </xf>
    <xf numFmtId="37" fontId="21" fillId="0" borderId="11" xfId="115" applyFont="1" applyBorder="1" applyAlignment="1">
      <alignment horizontal="left"/>
    </xf>
    <xf numFmtId="37" fontId="21" fillId="0" borderId="11" xfId="115" applyFont="1" applyBorder="1"/>
    <xf numFmtId="37" fontId="21" fillId="0" borderId="0" xfId="115" applyFont="1" applyAlignment="1">
      <alignment horizontal="centerContinuous"/>
    </xf>
    <xf numFmtId="37" fontId="21" fillId="0" borderId="0" xfId="115" applyFont="1"/>
    <xf numFmtId="41" fontId="162" fillId="18" borderId="23" xfId="0" applyNumberFormat="1" applyFont="1" applyFill="1" applyBorder="1"/>
    <xf numFmtId="41" fontId="162" fillId="18" borderId="55" xfId="0" applyNumberFormat="1" applyFont="1" applyFill="1" applyBorder="1"/>
    <xf numFmtId="41" fontId="165" fillId="0" borderId="0" xfId="0" applyNumberFormat="1" applyFont="1" applyFill="1" applyBorder="1"/>
    <xf numFmtId="41" fontId="165" fillId="0" borderId="29" xfId="0" applyNumberFormat="1" applyFont="1" applyFill="1" applyBorder="1"/>
    <xf numFmtId="37" fontId="165" fillId="0" borderId="0" xfId="0" applyFont="1" applyBorder="1"/>
    <xf numFmtId="183" fontId="165" fillId="0" borderId="29" xfId="0" applyNumberFormat="1" applyFont="1" applyFill="1" applyBorder="1"/>
    <xf numFmtId="3" fontId="21" fillId="18" borderId="56" xfId="0" applyNumberFormat="1" applyFont="1" applyFill="1" applyBorder="1" applyAlignment="1">
      <alignment horizontal="left"/>
    </xf>
    <xf numFmtId="3" fontId="2" fillId="18" borderId="11" xfId="0" applyNumberFormat="1" applyFont="1" applyFill="1" applyBorder="1" applyAlignment="1">
      <alignment horizontal="left"/>
    </xf>
    <xf numFmtId="3" fontId="2" fillId="18" borderId="11" xfId="0" applyNumberFormat="1" applyFont="1" applyFill="1" applyBorder="1"/>
    <xf numFmtId="3" fontId="21" fillId="18" borderId="11" xfId="0" applyNumberFormat="1" applyFont="1" applyFill="1" applyBorder="1"/>
    <xf numFmtId="3" fontId="21" fillId="18" borderId="35" xfId="0" applyNumberFormat="1" applyFont="1" applyFill="1" applyBorder="1"/>
    <xf numFmtId="3" fontId="0" fillId="0" borderId="0" xfId="0" applyNumberFormat="1" applyFont="1" applyBorder="1"/>
    <xf numFmtId="3" fontId="2" fillId="0" borderId="0" xfId="0" applyNumberFormat="1" applyFont="1" applyBorder="1"/>
    <xf numFmtId="183" fontId="137" fillId="0" borderId="23" xfId="0" applyNumberFormat="1" applyFont="1" applyFill="1" applyBorder="1" applyAlignment="1">
      <alignment horizontal="right"/>
    </xf>
    <xf numFmtId="9" fontId="64" fillId="0" borderId="21" xfId="126" applyNumberFormat="1" applyFont="1" applyFill="1" applyBorder="1"/>
    <xf numFmtId="9" fontId="27" fillId="0" borderId="0" xfId="126" applyNumberFormat="1" applyFont="1" applyFill="1" applyBorder="1"/>
    <xf numFmtId="37" fontId="146" fillId="0" borderId="21" xfId="0" applyFont="1" applyBorder="1"/>
    <xf numFmtId="192" fontId="2" fillId="0" borderId="0" xfId="115" applyNumberFormat="1" applyFont="1"/>
    <xf numFmtId="173" fontId="16" fillId="0" borderId="0" xfId="117" applyNumberFormat="1" applyFont="1"/>
    <xf numFmtId="5" fontId="21" fillId="18" borderId="23" xfId="0" applyNumberFormat="1" applyFont="1" applyFill="1" applyBorder="1" applyAlignment="1"/>
    <xf numFmtId="166" fontId="27" fillId="0" borderId="0" xfId="0" applyNumberFormat="1" applyFont="1" applyFill="1" applyBorder="1" applyAlignment="1">
      <alignment horizontal="left" indent="1"/>
    </xf>
    <xf numFmtId="37" fontId="27" fillId="0" borderId="0" xfId="0" applyFont="1" applyFill="1" applyBorder="1" applyAlignment="1">
      <alignment horizontal="left" indent="1"/>
    </xf>
    <xf numFmtId="0" fontId="27" fillId="0" borderId="0" xfId="0" applyNumberFormat="1" applyFont="1" applyBorder="1" applyAlignment="1">
      <alignment horizontal="left"/>
    </xf>
    <xf numFmtId="0" fontId="63" fillId="0" borderId="0" xfId="0" applyNumberFormat="1" applyFont="1" applyBorder="1" applyAlignment="1">
      <alignment horizontal="left"/>
    </xf>
    <xf numFmtId="0" fontId="27" fillId="0" borderId="23" xfId="0" applyNumberFormat="1" applyFont="1" applyFill="1" applyBorder="1"/>
    <xf numFmtId="167" fontId="2" fillId="0" borderId="0" xfId="0" applyNumberFormat="1" applyFont="1" applyFill="1" applyBorder="1" applyAlignment="1">
      <alignment horizontal="right"/>
    </xf>
    <xf numFmtId="37" fontId="15" fillId="0" borderId="0" xfId="0" applyFont="1" applyBorder="1"/>
    <xf numFmtId="37" fontId="22" fillId="0" borderId="0" xfId="0" applyFont="1" applyBorder="1"/>
    <xf numFmtId="37" fontId="50" fillId="0" borderId="0" xfId="0" applyFont="1" applyBorder="1"/>
    <xf numFmtId="191" fontId="21" fillId="0" borderId="0" xfId="0" applyNumberFormat="1" applyFont="1" applyFill="1" applyBorder="1"/>
    <xf numFmtId="166" fontId="2" fillId="0" borderId="0" xfId="0" applyNumberFormat="1" applyFont="1" applyFill="1" applyBorder="1" applyAlignment="1">
      <alignment horizontal="right"/>
    </xf>
    <xf numFmtId="5" fontId="2" fillId="0" borderId="21" xfId="0" applyNumberFormat="1" applyFont="1" applyBorder="1" applyAlignment="1">
      <alignment horizontal="right"/>
    </xf>
    <xf numFmtId="5" fontId="21" fillId="26" borderId="26" xfId="0" applyNumberFormat="1" applyFont="1" applyFill="1" applyBorder="1" applyAlignment="1">
      <alignment horizontal="right"/>
    </xf>
    <xf numFmtId="9" fontId="27" fillId="26" borderId="21" xfId="126" applyFont="1" applyFill="1" applyBorder="1" applyAlignment="1">
      <alignment horizontal="right"/>
    </xf>
    <xf numFmtId="5" fontId="21" fillId="26" borderId="21" xfId="0" applyNumberFormat="1" applyFont="1" applyFill="1" applyBorder="1" applyAlignment="1">
      <alignment horizontal="right"/>
    </xf>
    <xf numFmtId="41" fontId="35" fillId="0" borderId="21" xfId="0" applyNumberFormat="1" applyFont="1" applyFill="1" applyBorder="1"/>
    <xf numFmtId="41" fontId="35" fillId="0" borderId="21" xfId="0" applyNumberFormat="1" applyFont="1" applyBorder="1" applyAlignment="1">
      <alignment horizontal="right"/>
    </xf>
    <xf numFmtId="9" fontId="16" fillId="0" borderId="26" xfId="126" applyFont="1" applyBorder="1" applyAlignment="1">
      <alignment horizontal="right"/>
    </xf>
    <xf numFmtId="41" fontId="156" fillId="0" borderId="21" xfId="0" applyNumberFormat="1" applyFont="1" applyFill="1" applyBorder="1" applyAlignment="1">
      <alignment horizontal="right"/>
    </xf>
    <xf numFmtId="7" fontId="21" fillId="26" borderId="26" xfId="0" applyNumberFormat="1" applyFont="1" applyFill="1" applyBorder="1" applyAlignment="1">
      <alignment horizontal="right"/>
    </xf>
    <xf numFmtId="9" fontId="114" fillId="0" borderId="24" xfId="126" applyFont="1" applyBorder="1" applyAlignment="1">
      <alignment horizontal="right"/>
    </xf>
    <xf numFmtId="41" fontId="102" fillId="0" borderId="21" xfId="0" applyNumberFormat="1" applyFont="1" applyFill="1" applyBorder="1"/>
    <xf numFmtId="41" fontId="102" fillId="0" borderId="21" xfId="0" applyNumberFormat="1" applyFont="1" applyBorder="1" applyAlignment="1">
      <alignment horizontal="right"/>
    </xf>
    <xf numFmtId="41" fontId="102" fillId="0" borderId="21" xfId="0" applyNumberFormat="1" applyFont="1" applyFill="1" applyBorder="1" applyAlignment="1">
      <alignment horizontal="right"/>
    </xf>
    <xf numFmtId="41" fontId="103" fillId="0" borderId="21" xfId="0" applyNumberFormat="1" applyFont="1" applyFill="1" applyBorder="1" applyAlignment="1">
      <alignment horizontal="right"/>
    </xf>
    <xf numFmtId="5" fontId="63" fillId="26" borderId="26" xfId="0" applyNumberFormat="1" applyFont="1" applyFill="1" applyBorder="1" applyAlignment="1">
      <alignment horizontal="right"/>
    </xf>
    <xf numFmtId="5" fontId="102" fillId="0" borderId="21" xfId="0" applyNumberFormat="1" applyFont="1" applyBorder="1" applyAlignment="1">
      <alignment horizontal="right"/>
    </xf>
    <xf numFmtId="41" fontId="27" fillId="0" borderId="24" xfId="0" applyNumberFormat="1" applyFont="1" applyFill="1" applyBorder="1"/>
    <xf numFmtId="41" fontId="166" fillId="0" borderId="29" xfId="0" applyNumberFormat="1" applyFont="1" applyFill="1" applyBorder="1"/>
    <xf numFmtId="41" fontId="27" fillId="0" borderId="29" xfId="126" applyNumberFormat="1" applyFont="1" applyBorder="1"/>
    <xf numFmtId="168" fontId="2" fillId="0" borderId="0" xfId="0" applyNumberFormat="1" applyFont="1"/>
    <xf numFmtId="168" fontId="2" fillId="0" borderId="0" xfId="0" applyNumberFormat="1" applyFont="1" applyAlignment="1">
      <alignment horizontal="right"/>
    </xf>
    <xf numFmtId="168" fontId="2" fillId="0" borderId="0" xfId="0" applyNumberFormat="1" applyFont="1" applyFill="1"/>
    <xf numFmtId="166" fontId="149" fillId="0" borderId="0" xfId="0" applyNumberFormat="1" applyFont="1"/>
    <xf numFmtId="166" fontId="27" fillId="0" borderId="0" xfId="0" applyNumberFormat="1" applyFont="1"/>
    <xf numFmtId="0" fontId="162" fillId="19" borderId="23" xfId="0" applyNumberFormat="1" applyFont="1" applyFill="1" applyBorder="1" applyAlignment="1">
      <alignment horizontal="right"/>
    </xf>
    <xf numFmtId="41" fontId="152" fillId="0" borderId="0" xfId="0" applyNumberFormat="1" applyFont="1" applyBorder="1"/>
    <xf numFmtId="41" fontId="149" fillId="0" borderId="0" xfId="77" applyNumberFormat="1" applyFont="1" applyBorder="1" applyAlignment="1">
      <alignment horizontal="right"/>
    </xf>
    <xf numFmtId="41" fontId="158" fillId="0" borderId="0" xfId="77" applyNumberFormat="1" applyFont="1" applyBorder="1" applyAlignment="1">
      <alignment horizontal="right"/>
    </xf>
    <xf numFmtId="41" fontId="149" fillId="0" borderId="0" xfId="126" applyNumberFormat="1" applyFont="1" applyBorder="1" applyAlignment="1">
      <alignment horizontal="right"/>
    </xf>
    <xf numFmtId="5" fontId="21" fillId="18" borderId="24" xfId="117" applyNumberFormat="1" applyFont="1" applyFill="1" applyBorder="1"/>
    <xf numFmtId="5" fontId="146" fillId="0" borderId="0" xfId="126" applyNumberFormat="1" applyFont="1" applyFill="1" applyBorder="1"/>
    <xf numFmtId="5" fontId="162" fillId="18" borderId="11" xfId="0" applyNumberFormat="1" applyFont="1" applyFill="1" applyBorder="1"/>
    <xf numFmtId="41" fontId="146" fillId="0" borderId="21" xfId="0" applyNumberFormat="1" applyFont="1" applyBorder="1" applyAlignment="1">
      <alignment horizontal="right"/>
    </xf>
    <xf numFmtId="5" fontId="167" fillId="26" borderId="70" xfId="0" applyNumberFormat="1" applyFont="1" applyFill="1" applyBorder="1" applyAlignment="1">
      <alignment horizontal="right"/>
    </xf>
    <xf numFmtId="9" fontId="154" fillId="0" borderId="0" xfId="126" applyFont="1" applyFill="1" applyBorder="1" applyAlignment="1">
      <alignment horizontal="right"/>
    </xf>
    <xf numFmtId="5" fontId="146" fillId="0" borderId="0" xfId="126" applyNumberFormat="1" applyFont="1" applyBorder="1"/>
    <xf numFmtId="5" fontId="2" fillId="0" borderId="29" xfId="126" applyNumberFormat="1" applyFont="1" applyFill="1" applyBorder="1"/>
    <xf numFmtId="9" fontId="138" fillId="0" borderId="0" xfId="0" applyNumberFormat="1" applyFont="1" applyFill="1"/>
    <xf numFmtId="166" fontId="154" fillId="0" borderId="0" xfId="126" applyNumberFormat="1" applyFont="1" applyFill="1" applyBorder="1"/>
    <xf numFmtId="37" fontId="138" fillId="0" borderId="0" xfId="0" applyFont="1" applyFill="1"/>
    <xf numFmtId="166" fontId="2" fillId="0" borderId="20" xfId="0" applyNumberFormat="1" applyFont="1" applyFill="1" applyBorder="1" applyAlignment="1">
      <alignment horizontal="left"/>
    </xf>
    <xf numFmtId="166" fontId="26" fillId="0" borderId="0" xfId="0" applyNumberFormat="1" applyFont="1" applyBorder="1" applyAlignment="1">
      <alignment horizontal="right"/>
    </xf>
    <xf numFmtId="37" fontId="2" fillId="0" borderId="0" xfId="0" applyFont="1" applyFill="1" applyAlignment="1">
      <alignment vertical="center"/>
    </xf>
    <xf numFmtId="41" fontId="2" fillId="0" borderId="29" xfId="0" applyNumberFormat="1" applyFont="1" applyFill="1" applyBorder="1" applyAlignment="1">
      <alignment vertical="center"/>
    </xf>
    <xf numFmtId="5" fontId="21" fillId="18" borderId="0" xfId="0" applyNumberFormat="1" applyFont="1" applyFill="1" applyBorder="1"/>
    <xf numFmtId="5" fontId="162" fillId="18" borderId="0" xfId="0" applyNumberFormat="1" applyFont="1" applyFill="1" applyBorder="1"/>
    <xf numFmtId="37" fontId="150" fillId="18" borderId="0" xfId="0" applyNumberFormat="1" applyFont="1" applyFill="1" applyBorder="1"/>
    <xf numFmtId="37" fontId="21" fillId="18" borderId="29" xfId="0" applyNumberFormat="1" applyFont="1" applyFill="1" applyBorder="1"/>
    <xf numFmtId="7" fontId="16" fillId="0" borderId="0" xfId="0" applyNumberFormat="1" applyFont="1" applyBorder="1"/>
    <xf numFmtId="9" fontId="154" fillId="0" borderId="0" xfId="126" applyFont="1" applyBorder="1"/>
    <xf numFmtId="9" fontId="154" fillId="0" borderId="29" xfId="126" applyFont="1" applyFill="1" applyBorder="1"/>
    <xf numFmtId="9" fontId="154" fillId="0" borderId="29" xfId="126" applyFont="1" applyBorder="1"/>
    <xf numFmtId="4" fontId="0" fillId="0" borderId="0" xfId="0" applyNumberFormat="1" applyFont="1"/>
    <xf numFmtId="0" fontId="148" fillId="0" borderId="55" xfId="0" quotePrefix="1" applyNumberFormat="1" applyFont="1" applyFill="1" applyBorder="1" applyAlignment="1">
      <alignment horizontal="right"/>
    </xf>
    <xf numFmtId="0" fontId="64" fillId="0" borderId="23" xfId="0" quotePrefix="1" applyNumberFormat="1" applyFont="1" applyFill="1" applyBorder="1" applyAlignment="1">
      <alignment horizontal="right"/>
    </xf>
    <xf numFmtId="41" fontId="143" fillId="0" borderId="0" xfId="0" applyNumberFormat="1" applyFont="1" applyFill="1" applyBorder="1"/>
    <xf numFmtId="5" fontId="162" fillId="18" borderId="23" xfId="126" applyNumberFormat="1" applyFont="1" applyFill="1" applyBorder="1"/>
    <xf numFmtId="5" fontId="162" fillId="18" borderId="55" xfId="126" applyNumberFormat="1" applyFont="1" applyFill="1" applyBorder="1"/>
    <xf numFmtId="166" fontId="148" fillId="0" borderId="0" xfId="126" quotePrefix="1" applyNumberFormat="1" applyFont="1" applyFill="1" applyBorder="1" applyAlignment="1">
      <alignment horizontal="right"/>
    </xf>
    <xf numFmtId="166" fontId="148" fillId="0" borderId="0" xfId="126" applyNumberFormat="1" applyFont="1" applyBorder="1"/>
    <xf numFmtId="5" fontId="162" fillId="18" borderId="23" xfId="77" applyNumberFormat="1" applyFont="1" applyFill="1" applyBorder="1"/>
    <xf numFmtId="166" fontId="148" fillId="0" borderId="29" xfId="126" applyNumberFormat="1" applyFont="1" applyBorder="1"/>
    <xf numFmtId="5" fontId="162" fillId="18" borderId="55" xfId="77" applyNumberFormat="1" applyFont="1" applyFill="1" applyBorder="1"/>
    <xf numFmtId="5" fontId="21" fillId="0" borderId="23" xfId="77" applyNumberFormat="1" applyFont="1" applyFill="1" applyBorder="1"/>
    <xf numFmtId="5" fontId="21" fillId="0" borderId="55" xfId="77" applyNumberFormat="1" applyFont="1" applyFill="1" applyBorder="1"/>
    <xf numFmtId="166" fontId="64" fillId="0" borderId="20" xfId="126" quotePrefix="1" applyNumberFormat="1" applyFont="1" applyFill="1" applyBorder="1" applyAlignment="1">
      <alignment horizontal="right"/>
    </xf>
    <xf numFmtId="165" fontId="148" fillId="0" borderId="23" xfId="0" applyNumberFormat="1" applyFont="1" applyFill="1" applyBorder="1" applyAlignment="1">
      <alignment horizontal="right"/>
    </xf>
    <xf numFmtId="5" fontId="20" fillId="18" borderId="11" xfId="0" applyNumberFormat="1" applyFont="1" applyFill="1" applyBorder="1"/>
    <xf numFmtId="37" fontId="20" fillId="18" borderId="29" xfId="0" applyNumberFormat="1" applyFont="1" applyFill="1" applyBorder="1"/>
    <xf numFmtId="5" fontId="146" fillId="0" borderId="0" xfId="77" applyNumberFormat="1" applyFont="1" applyBorder="1"/>
    <xf numFmtId="5" fontId="146" fillId="0" borderId="21" xfId="77" applyNumberFormat="1" applyFont="1" applyBorder="1"/>
    <xf numFmtId="5" fontId="2" fillId="0" borderId="29" xfId="77" applyNumberFormat="1" applyFont="1" applyBorder="1"/>
    <xf numFmtId="6" fontId="64" fillId="0" borderId="29" xfId="126" quotePrefix="1" applyNumberFormat="1" applyFont="1" applyFill="1" applyBorder="1" applyAlignment="1">
      <alignment horizontal="right"/>
    </xf>
    <xf numFmtId="41" fontId="153" fillId="0" borderId="55" xfId="0" quotePrefix="1" applyNumberFormat="1" applyFont="1" applyFill="1" applyBorder="1" applyAlignment="1">
      <alignment horizontal="left"/>
    </xf>
    <xf numFmtId="9" fontId="154" fillId="0" borderId="29" xfId="126" applyFont="1" applyFill="1" applyBorder="1" applyAlignment="1">
      <alignment horizontal="right"/>
    </xf>
    <xf numFmtId="41" fontId="152" fillId="0" borderId="21" xfId="0" applyNumberFormat="1" applyFont="1" applyBorder="1"/>
    <xf numFmtId="0" fontId="162" fillId="19" borderId="55" xfId="0" applyNumberFormat="1" applyFont="1" applyFill="1" applyBorder="1" applyAlignment="1">
      <alignment horizontal="right"/>
    </xf>
    <xf numFmtId="41" fontId="148" fillId="0" borderId="24" xfId="0" applyNumberFormat="1" applyFont="1" applyFill="1" applyBorder="1"/>
    <xf numFmtId="183" fontId="163" fillId="0" borderId="0" xfId="0" applyNumberFormat="1" applyFont="1" applyFill="1" applyBorder="1" applyAlignment="1">
      <alignment horizontal="center"/>
    </xf>
    <xf numFmtId="37" fontId="168" fillId="0" borderId="0" xfId="0" applyFont="1" applyFill="1"/>
    <xf numFmtId="183" fontId="163" fillId="0" borderId="0" xfId="0" applyNumberFormat="1" applyFont="1" applyFill="1"/>
    <xf numFmtId="41" fontId="169" fillId="0" borderId="0" xfId="0" applyNumberFormat="1" applyFont="1" applyFill="1" applyBorder="1"/>
    <xf numFmtId="41" fontId="169" fillId="0" borderId="29" xfId="0" applyNumberFormat="1" applyFont="1" applyFill="1" applyBorder="1"/>
    <xf numFmtId="4" fontId="16" fillId="0" borderId="0" xfId="0" applyNumberFormat="1" applyFont="1"/>
    <xf numFmtId="0" fontId="2" fillId="17" borderId="0" xfId="0" applyNumberFormat="1" applyFont="1" applyFill="1" applyAlignment="1">
      <alignment horizontal="left"/>
    </xf>
    <xf numFmtId="9" fontId="154" fillId="0" borderId="21" xfId="126" applyFont="1" applyBorder="1"/>
    <xf numFmtId="37" fontId="170" fillId="0" borderId="0" xfId="0" applyFont="1"/>
    <xf numFmtId="37" fontId="146" fillId="0" borderId="29" xfId="0" applyNumberFormat="1" applyFont="1" applyFill="1" applyBorder="1"/>
    <xf numFmtId="37" fontId="146" fillId="0" borderId="29" xfId="0" applyNumberFormat="1" applyFont="1" applyBorder="1"/>
    <xf numFmtId="41" fontId="146" fillId="0" borderId="29" xfId="0" applyNumberFormat="1" applyFont="1" applyBorder="1"/>
    <xf numFmtId="41" fontId="138" fillId="0" borderId="29" xfId="0" applyNumberFormat="1" applyFont="1" applyFill="1" applyBorder="1"/>
    <xf numFmtId="37" fontId="138" fillId="0" borderId="29" xfId="0" applyNumberFormat="1" applyFont="1" applyFill="1" applyBorder="1"/>
    <xf numFmtId="5" fontId="149" fillId="0" borderId="0" xfId="0" applyNumberFormat="1" applyFont="1" applyBorder="1"/>
    <xf numFmtId="41" fontId="156" fillId="0" borderId="0" xfId="0" applyNumberFormat="1" applyFont="1" applyBorder="1"/>
    <xf numFmtId="12" fontId="16" fillId="0" borderId="0" xfId="0" applyNumberFormat="1" applyFont="1" applyBorder="1"/>
    <xf numFmtId="3" fontId="16" fillId="0" borderId="0" xfId="0" applyNumberFormat="1" applyFont="1" applyBorder="1"/>
    <xf numFmtId="5" fontId="20" fillId="0" borderId="0" xfId="0" applyNumberFormat="1" applyFont="1" applyFill="1" applyBorder="1"/>
    <xf numFmtId="166" fontId="27" fillId="0" borderId="20" xfId="126" applyNumberFormat="1" applyFont="1" applyFill="1" applyBorder="1" applyAlignment="1"/>
    <xf numFmtId="41" fontId="28" fillId="0" borderId="21" xfId="0" applyNumberFormat="1" applyFont="1" applyFill="1" applyBorder="1"/>
    <xf numFmtId="41" fontId="2" fillId="0" borderId="55" xfId="0" applyNumberFormat="1" applyFont="1" applyFill="1" applyBorder="1"/>
    <xf numFmtId="41" fontId="26" fillId="0" borderId="24" xfId="0" applyNumberFormat="1" applyFont="1" applyFill="1" applyBorder="1"/>
    <xf numFmtId="41" fontId="26" fillId="0" borderId="55" xfId="0" applyNumberFormat="1" applyFont="1" applyFill="1" applyBorder="1"/>
    <xf numFmtId="41" fontId="146" fillId="0" borderId="0" xfId="126" applyNumberFormat="1" applyFont="1" applyFill="1" applyBorder="1" applyAlignment="1">
      <alignment horizontal="right"/>
    </xf>
    <xf numFmtId="43" fontId="21" fillId="0" borderId="0" xfId="0" applyNumberFormat="1" applyFont="1" applyBorder="1" applyAlignment="1">
      <alignment horizontal="right"/>
    </xf>
    <xf numFmtId="10" fontId="16" fillId="0" borderId="29" xfId="0" applyNumberFormat="1" applyFont="1" applyBorder="1" applyAlignment="1">
      <alignment horizontal="right"/>
    </xf>
    <xf numFmtId="181" fontId="16" fillId="0" borderId="0" xfId="0" applyNumberFormat="1" applyFont="1" applyBorder="1" applyAlignment="1">
      <alignment horizontal="right"/>
    </xf>
    <xf numFmtId="43" fontId="16" fillId="0" borderId="0" xfId="0" applyNumberFormat="1" applyFont="1" applyBorder="1"/>
    <xf numFmtId="188" fontId="16" fillId="0" borderId="0" xfId="0" applyNumberFormat="1" applyFont="1" applyBorder="1" applyAlignment="1">
      <alignment horizontal="right"/>
    </xf>
    <xf numFmtId="166" fontId="2" fillId="0" borderId="0" xfId="0" applyNumberFormat="1" applyFont="1" applyAlignment="1">
      <alignment horizontal="center"/>
    </xf>
    <xf numFmtId="3" fontId="2" fillId="0" borderId="0" xfId="0" applyNumberFormat="1" applyFont="1"/>
    <xf numFmtId="37" fontId="2" fillId="18" borderId="0" xfId="0" applyFont="1" applyFill="1"/>
    <xf numFmtId="9" fontId="2" fillId="0" borderId="0" xfId="0" applyNumberFormat="1" applyFont="1"/>
    <xf numFmtId="37" fontId="21" fillId="0" borderId="19" xfId="0" applyFont="1" applyFill="1" applyBorder="1"/>
    <xf numFmtId="37" fontId="21" fillId="0" borderId="70" xfId="0" applyFont="1" applyFill="1" applyBorder="1"/>
    <xf numFmtId="37" fontId="2" fillId="0" borderId="70" xfId="0" applyFont="1" applyFill="1" applyBorder="1"/>
    <xf numFmtId="37" fontId="2" fillId="0" borderId="26" xfId="0" applyFont="1" applyFill="1" applyBorder="1"/>
    <xf numFmtId="37" fontId="2" fillId="0" borderId="21" xfId="0" applyFont="1" applyFill="1" applyBorder="1"/>
    <xf numFmtId="37" fontId="21" fillId="0" borderId="11" xfId="0" applyFont="1" applyFill="1" applyBorder="1" applyAlignment="1">
      <alignment horizontal="centerContinuous"/>
    </xf>
    <xf numFmtId="37" fontId="2" fillId="0" borderId="11" xfId="0" applyFont="1" applyFill="1" applyBorder="1" applyAlignment="1">
      <alignment horizontal="centerContinuous"/>
    </xf>
    <xf numFmtId="37" fontId="2" fillId="0" borderId="22" xfId="0" applyFont="1" applyFill="1" applyBorder="1" applyAlignment="1">
      <alignment horizontal="centerContinuous"/>
    </xf>
    <xf numFmtId="37" fontId="171" fillId="0" borderId="19" xfId="0" applyFont="1" applyFill="1" applyBorder="1"/>
    <xf numFmtId="166" fontId="2" fillId="0" borderId="0" xfId="126" applyNumberFormat="1" applyFont="1" applyFill="1" applyBorder="1"/>
    <xf numFmtId="166" fontId="2" fillId="0" borderId="21" xfId="126" applyNumberFormat="1" applyFont="1" applyFill="1" applyBorder="1"/>
    <xf numFmtId="5" fontId="2" fillId="0" borderId="19" xfId="0" applyNumberFormat="1" applyFont="1" applyFill="1" applyBorder="1"/>
    <xf numFmtId="5" fontId="2" fillId="0" borderId="70" xfId="0" applyNumberFormat="1" applyFont="1" applyFill="1" applyBorder="1"/>
    <xf numFmtId="5" fontId="2" fillId="0" borderId="26" xfId="0" applyNumberFormat="1" applyFont="1" applyFill="1" applyBorder="1"/>
    <xf numFmtId="5" fontId="2" fillId="0" borderId="20" xfId="0" applyNumberFormat="1" applyFont="1" applyFill="1" applyBorder="1"/>
    <xf numFmtId="5" fontId="2" fillId="0" borderId="21" xfId="0" applyNumberFormat="1" applyFont="1" applyFill="1" applyBorder="1"/>
    <xf numFmtId="166" fontId="2" fillId="0" borderId="11" xfId="126" applyNumberFormat="1" applyFont="1" applyFill="1" applyBorder="1"/>
    <xf numFmtId="5" fontId="2" fillId="0" borderId="25" xfId="0" applyNumberFormat="1" applyFont="1" applyFill="1" applyBorder="1"/>
    <xf numFmtId="5" fontId="2" fillId="0" borderId="11" xfId="0" applyNumberFormat="1" applyFont="1" applyFill="1" applyBorder="1"/>
    <xf numFmtId="5" fontId="2" fillId="0" borderId="22" xfId="0" applyNumberFormat="1" applyFont="1" applyFill="1" applyBorder="1"/>
    <xf numFmtId="37" fontId="2" fillId="0" borderId="0" xfId="0" applyFont="1" applyAlignment="1">
      <alignment horizontal="center"/>
    </xf>
    <xf numFmtId="37" fontId="146" fillId="0" borderId="0" xfId="0" applyFont="1" applyAlignment="1">
      <alignment horizontal="center"/>
    </xf>
    <xf numFmtId="37" fontId="29" fillId="0" borderId="0" xfId="0" applyFont="1" applyAlignment="1">
      <alignment horizontal="centerContinuous"/>
    </xf>
    <xf numFmtId="5" fontId="2" fillId="0" borderId="0" xfId="0" applyNumberFormat="1" applyFont="1" applyAlignment="1">
      <alignment horizontal="center"/>
    </xf>
    <xf numFmtId="169" fontId="146" fillId="0" borderId="0" xfId="0" applyNumberFormat="1" applyFont="1" applyAlignment="1">
      <alignment horizontal="center"/>
    </xf>
    <xf numFmtId="166" fontId="146" fillId="0" borderId="0" xfId="0" applyNumberFormat="1" applyFont="1"/>
    <xf numFmtId="166" fontId="146" fillId="0" borderId="0" xfId="0" applyNumberFormat="1" applyFont="1" applyAlignment="1">
      <alignment horizontal="center"/>
    </xf>
    <xf numFmtId="39" fontId="2" fillId="0" borderId="0" xfId="0" applyNumberFormat="1" applyFont="1"/>
    <xf numFmtId="169" fontId="2" fillId="0" borderId="0" xfId="0" applyNumberFormat="1" applyFont="1"/>
    <xf numFmtId="169" fontId="146" fillId="0" borderId="0" xfId="0" applyNumberFormat="1" applyFont="1"/>
    <xf numFmtId="188" fontId="2" fillId="0" borderId="0" xfId="0" applyNumberFormat="1" applyFont="1"/>
    <xf numFmtId="1" fontId="2" fillId="0" borderId="29" xfId="0" applyNumberFormat="1" applyFont="1" applyBorder="1" applyAlignment="1">
      <alignment horizontal="right"/>
    </xf>
    <xf numFmtId="37" fontId="22" fillId="0" borderId="0" xfId="0" applyFont="1" applyFill="1" applyBorder="1" applyAlignment="1">
      <alignment horizontal="center" vertical="center" wrapText="1"/>
    </xf>
    <xf numFmtId="37" fontId="2" fillId="0" borderId="0" xfId="0" applyFont="1" applyAlignment="1">
      <alignment horizontal="right" wrapText="1"/>
    </xf>
    <xf numFmtId="166" fontId="146" fillId="0" borderId="0" xfId="0" applyNumberFormat="1" applyFont="1" applyAlignment="1">
      <alignment horizontal="right"/>
    </xf>
    <xf numFmtId="41" fontId="148" fillId="0" borderId="23" xfId="0" quotePrefix="1" applyNumberFormat="1" applyFont="1" applyFill="1" applyBorder="1" applyAlignment="1"/>
    <xf numFmtId="41" fontId="149" fillId="0" borderId="0" xfId="0" applyNumberFormat="1" applyFont="1" applyFill="1" applyBorder="1" applyAlignment="1">
      <alignment horizontal="right"/>
    </xf>
    <xf numFmtId="183" fontId="26" fillId="0" borderId="0" xfId="0" applyNumberFormat="1" applyFont="1" applyBorder="1" applyAlignment="1">
      <alignment horizontal="right"/>
    </xf>
    <xf numFmtId="183" fontId="146" fillId="0" borderId="0" xfId="0" applyNumberFormat="1" applyFont="1" applyBorder="1" applyAlignment="1">
      <alignment horizontal="right"/>
    </xf>
    <xf numFmtId="41" fontId="130" fillId="0" borderId="0" xfId="0" applyNumberFormat="1" applyFont="1" applyFill="1" applyBorder="1" applyAlignment="1">
      <alignment horizontal="right"/>
    </xf>
    <xf numFmtId="37" fontId="146" fillId="0" borderId="0" xfId="0" applyFont="1" applyBorder="1" applyAlignment="1">
      <alignment horizontal="right"/>
    </xf>
    <xf numFmtId="41" fontId="130" fillId="0" borderId="20" xfId="0" applyNumberFormat="1" applyFont="1" applyFill="1" applyBorder="1" applyAlignment="1">
      <alignment horizontal="right"/>
    </xf>
    <xf numFmtId="41" fontId="21" fillId="18" borderId="23" xfId="0" applyNumberFormat="1" applyFont="1" applyFill="1" applyBorder="1" applyAlignment="1">
      <alignment horizontal="right"/>
    </xf>
    <xf numFmtId="37" fontId="27" fillId="0" borderId="0" xfId="0" applyFont="1" applyBorder="1" applyAlignment="1">
      <alignment horizontal="right"/>
    </xf>
    <xf numFmtId="37" fontId="27" fillId="0" borderId="11" xfId="0" applyFont="1" applyBorder="1" applyAlignment="1">
      <alignment horizontal="right"/>
    </xf>
    <xf numFmtId="183" fontId="26" fillId="0" borderId="0" xfId="0" applyNumberFormat="1" applyFont="1" applyFill="1" applyBorder="1" applyAlignment="1">
      <alignment horizontal="right"/>
    </xf>
    <xf numFmtId="37" fontId="2" fillId="0" borderId="20" xfId="0" applyFont="1" applyBorder="1" applyAlignment="1">
      <alignment horizontal="right"/>
    </xf>
    <xf numFmtId="41" fontId="2" fillId="0" borderId="20" xfId="0" applyNumberFormat="1" applyFont="1" applyFill="1" applyBorder="1" applyAlignment="1">
      <alignment horizontal="right"/>
    </xf>
    <xf numFmtId="41" fontId="29" fillId="0" borderId="20" xfId="0" applyNumberFormat="1" applyFont="1" applyFill="1" applyBorder="1" applyAlignment="1">
      <alignment horizontal="right"/>
    </xf>
    <xf numFmtId="41" fontId="21" fillId="18" borderId="56" xfId="0" applyNumberFormat="1" applyFont="1" applyFill="1" applyBorder="1" applyAlignment="1">
      <alignment horizontal="right"/>
    </xf>
    <xf numFmtId="37" fontId="27" fillId="0" borderId="20" xfId="0" applyFont="1" applyBorder="1" applyAlignment="1">
      <alignment horizontal="right"/>
    </xf>
    <xf numFmtId="37" fontId="27" fillId="0" borderId="25" xfId="0" applyFont="1" applyBorder="1" applyAlignment="1">
      <alignment horizontal="right"/>
    </xf>
    <xf numFmtId="37" fontId="2" fillId="0" borderId="0" xfId="0" applyFont="1" applyFill="1" applyBorder="1" applyAlignment="1">
      <alignment horizontal="right"/>
    </xf>
    <xf numFmtId="41" fontId="152" fillId="0" borderId="0" xfId="0" applyNumberFormat="1" applyFont="1" applyFill="1" applyBorder="1" applyAlignment="1">
      <alignment horizontal="right"/>
    </xf>
    <xf numFmtId="41" fontId="157" fillId="0" borderId="0" xfId="0" applyNumberFormat="1" applyFont="1" applyFill="1" applyBorder="1" applyAlignment="1">
      <alignment horizontal="right"/>
    </xf>
    <xf numFmtId="183" fontId="146" fillId="0" borderId="0" xfId="0" applyNumberFormat="1" applyFont="1" applyFill="1" applyBorder="1" applyAlignment="1">
      <alignment horizontal="right"/>
    </xf>
    <xf numFmtId="183" fontId="2" fillId="0" borderId="0" xfId="0" applyNumberFormat="1" applyFont="1" applyFill="1" applyBorder="1" applyAlignment="1">
      <alignment horizontal="right"/>
    </xf>
    <xf numFmtId="9" fontId="27" fillId="0" borderId="11" xfId="126" applyFont="1" applyBorder="1" applyAlignment="1">
      <alignment horizontal="right"/>
    </xf>
    <xf numFmtId="41" fontId="172" fillId="0" borderId="0" xfId="0" applyNumberFormat="1" applyFont="1" applyFill="1" applyBorder="1" applyAlignment="1">
      <alignment horizontal="right"/>
    </xf>
    <xf numFmtId="37" fontId="152" fillId="0" borderId="0" xfId="0" applyFont="1" applyBorder="1" applyAlignment="1">
      <alignment horizontal="right"/>
    </xf>
    <xf numFmtId="183" fontId="21" fillId="0" borderId="0" xfId="0" applyNumberFormat="1" applyFont="1" applyFill="1" applyAlignment="1">
      <alignment horizontal="right"/>
    </xf>
    <xf numFmtId="3" fontId="21" fillId="18" borderId="11" xfId="0" applyNumberFormat="1" applyFont="1" applyFill="1" applyBorder="1" applyAlignment="1">
      <alignment horizontal="right"/>
    </xf>
    <xf numFmtId="183" fontId="32" fillId="0" borderId="0" xfId="0" applyNumberFormat="1" applyFont="1" applyFill="1" applyBorder="1" applyAlignment="1">
      <alignment horizontal="right"/>
    </xf>
    <xf numFmtId="183" fontId="149" fillId="0" borderId="0" xfId="0" applyNumberFormat="1" applyFont="1" applyFill="1" applyBorder="1" applyAlignment="1">
      <alignment horizontal="right"/>
    </xf>
    <xf numFmtId="166" fontId="2" fillId="0" borderId="0" xfId="0" applyNumberFormat="1" applyFont="1" applyBorder="1" applyAlignment="1">
      <alignment horizontal="right"/>
    </xf>
    <xf numFmtId="183" fontId="44" fillId="18" borderId="23" xfId="0" applyNumberFormat="1" applyFont="1" applyFill="1" applyBorder="1" applyAlignment="1">
      <alignment horizontal="right"/>
    </xf>
    <xf numFmtId="183" fontId="138" fillId="0" borderId="20" xfId="0" applyNumberFormat="1" applyFont="1" applyFill="1" applyBorder="1" applyAlignment="1">
      <alignment horizontal="right"/>
    </xf>
    <xf numFmtId="166" fontId="27" fillId="0" borderId="20" xfId="126" applyNumberFormat="1" applyFont="1" applyFill="1" applyBorder="1" applyAlignment="1">
      <alignment horizontal="right"/>
    </xf>
    <xf numFmtId="183" fontId="149" fillId="0" borderId="20" xfId="0" applyNumberFormat="1" applyFont="1" applyFill="1" applyBorder="1" applyAlignment="1">
      <alignment horizontal="right"/>
    </xf>
    <xf numFmtId="9" fontId="27" fillId="0" borderId="20" xfId="126" applyFont="1" applyFill="1" applyBorder="1" applyAlignment="1">
      <alignment horizontal="right"/>
    </xf>
    <xf numFmtId="183" fontId="2" fillId="0" borderId="20" xfId="0" applyNumberFormat="1" applyFont="1" applyFill="1" applyBorder="1" applyAlignment="1">
      <alignment horizontal="right"/>
    </xf>
    <xf numFmtId="183" fontId="21" fillId="18" borderId="56" xfId="0" applyNumberFormat="1" applyFont="1" applyFill="1" applyBorder="1" applyAlignment="1">
      <alignment horizontal="right"/>
    </xf>
    <xf numFmtId="183" fontId="44" fillId="18" borderId="56" xfId="0" applyNumberFormat="1" applyFont="1" applyFill="1" applyBorder="1" applyAlignment="1">
      <alignment horizontal="right"/>
    </xf>
    <xf numFmtId="166" fontId="27" fillId="0" borderId="25" xfId="126" applyNumberFormat="1" applyFont="1" applyBorder="1" applyAlignment="1">
      <alignment horizontal="right"/>
    </xf>
    <xf numFmtId="166" fontId="27" fillId="0" borderId="70" xfId="126" applyNumberFormat="1" applyFont="1" applyFill="1" applyBorder="1" applyAlignment="1">
      <alignment horizontal="right"/>
    </xf>
    <xf numFmtId="166" fontId="27" fillId="0" borderId="11" xfId="126" applyNumberFormat="1" applyFont="1" applyFill="1" applyBorder="1" applyAlignment="1">
      <alignment horizontal="right"/>
    </xf>
    <xf numFmtId="183" fontId="2" fillId="0" borderId="0" xfId="0" applyNumberFormat="1" applyFont="1" applyAlignment="1">
      <alignment horizontal="right"/>
    </xf>
    <xf numFmtId="183" fontId="2" fillId="0" borderId="0" xfId="0" applyNumberFormat="1" applyFont="1" applyFill="1" applyAlignment="1">
      <alignment horizontal="right"/>
    </xf>
    <xf numFmtId="183" fontId="149" fillId="0" borderId="0" xfId="0" applyNumberFormat="1" applyFont="1" applyFill="1" applyAlignment="1">
      <alignment horizontal="right"/>
    </xf>
    <xf numFmtId="37" fontId="2" fillId="0" borderId="0" xfId="0" applyFont="1" applyFill="1" applyAlignment="1">
      <alignment horizontal="right"/>
    </xf>
    <xf numFmtId="183" fontId="146" fillId="0" borderId="0" xfId="0" applyNumberFormat="1" applyFont="1" applyFill="1" applyAlignment="1">
      <alignment horizontal="right"/>
    </xf>
    <xf numFmtId="183" fontId="152" fillId="0" borderId="0" xfId="0" applyNumberFormat="1" applyFont="1" applyFill="1" applyBorder="1" applyAlignment="1">
      <alignment horizontal="right"/>
    </xf>
    <xf numFmtId="7" fontId="21" fillId="0" borderId="0" xfId="0" applyNumberFormat="1" applyFont="1" applyFill="1" applyBorder="1" applyAlignment="1">
      <alignment horizontal="right"/>
    </xf>
    <xf numFmtId="7" fontId="2" fillId="0" borderId="0" xfId="0" applyNumberFormat="1" applyFont="1" applyFill="1" applyBorder="1" applyAlignment="1">
      <alignment horizontal="right"/>
    </xf>
    <xf numFmtId="41" fontId="35" fillId="0" borderId="0" xfId="0" applyNumberFormat="1" applyFont="1" applyFill="1" applyBorder="1" applyAlignment="1">
      <alignment horizontal="right"/>
    </xf>
    <xf numFmtId="0" fontId="21" fillId="0" borderId="19" xfId="0" applyNumberFormat="1" applyFont="1" applyFill="1" applyBorder="1" applyAlignment="1" applyProtection="1"/>
    <xf numFmtId="9" fontId="16" fillId="0" borderId="70" xfId="126" applyFont="1" applyBorder="1"/>
    <xf numFmtId="0" fontId="16" fillId="0" borderId="20" xfId="0" applyNumberFormat="1" applyFont="1" applyFill="1" applyBorder="1" applyAlignment="1" applyProtection="1"/>
    <xf numFmtId="41" fontId="16" fillId="26" borderId="21" xfId="0" applyNumberFormat="1" applyFont="1" applyFill="1" applyBorder="1"/>
    <xf numFmtId="41" fontId="102" fillId="0" borderId="0" xfId="0" applyNumberFormat="1" applyFont="1" applyFill="1" applyBorder="1" applyAlignment="1">
      <alignment horizontal="right"/>
    </xf>
    <xf numFmtId="4" fontId="0" fillId="0" borderId="0" xfId="126" applyNumberFormat="1" applyFont="1" applyBorder="1"/>
    <xf numFmtId="7" fontId="16" fillId="0" borderId="29" xfId="0" applyNumberFormat="1" applyFont="1" applyBorder="1"/>
    <xf numFmtId="10" fontId="2" fillId="0" borderId="0" xfId="0" applyNumberFormat="1" applyFont="1"/>
    <xf numFmtId="0" fontId="21" fillId="0" borderId="0" xfId="0" quotePrefix="1" applyNumberFormat="1" applyFont="1" applyAlignment="1">
      <alignment horizontal="right" wrapText="1"/>
    </xf>
    <xf numFmtId="0" fontId="21" fillId="0" borderId="0" xfId="0" applyNumberFormat="1" applyFont="1" applyAlignment="1">
      <alignment horizontal="right" wrapText="1"/>
    </xf>
    <xf numFmtId="37" fontId="29" fillId="0" borderId="0" xfId="0" applyFont="1" applyAlignment="1">
      <alignment horizontal="right"/>
    </xf>
    <xf numFmtId="37" fontId="173" fillId="0" borderId="0" xfId="0" applyFont="1"/>
    <xf numFmtId="37" fontId="27" fillId="0" borderId="82" xfId="0" applyFont="1" applyBorder="1"/>
    <xf numFmtId="166" fontId="173" fillId="0" borderId="83" xfId="0" applyNumberFormat="1" applyFont="1" applyBorder="1"/>
    <xf numFmtId="37" fontId="27" fillId="0" borderId="84" xfId="0" applyFont="1" applyBorder="1"/>
    <xf numFmtId="166" fontId="173" fillId="0" borderId="85" xfId="0" applyNumberFormat="1" applyFont="1" applyBorder="1"/>
    <xf numFmtId="166" fontId="173" fillId="0" borderId="0" xfId="0" applyNumberFormat="1" applyFont="1" applyBorder="1"/>
    <xf numFmtId="37" fontId="2" fillId="18" borderId="56" xfId="0" applyFont="1" applyFill="1" applyBorder="1"/>
    <xf numFmtId="37" fontId="21" fillId="18" borderId="23" xfId="0" applyFont="1" applyFill="1" applyBorder="1" applyAlignment="1">
      <alignment horizontal="center"/>
    </xf>
    <xf numFmtId="37" fontId="21" fillId="18" borderId="24" xfId="0" applyFont="1" applyFill="1" applyBorder="1" applyAlignment="1">
      <alignment horizontal="center"/>
    </xf>
    <xf numFmtId="37" fontId="2" fillId="0" borderId="86" xfId="0" applyFont="1" applyBorder="1"/>
    <xf numFmtId="37" fontId="2" fillId="0" borderId="0" xfId="0" applyFont="1" applyBorder="1" applyAlignment="1">
      <alignment horizontal="center"/>
    </xf>
    <xf numFmtId="166" fontId="2" fillId="0" borderId="0" xfId="0" applyNumberFormat="1" applyFont="1" applyBorder="1" applyAlignment="1">
      <alignment horizontal="center"/>
    </xf>
    <xf numFmtId="37" fontId="2" fillId="0" borderId="87" xfId="0" applyFont="1" applyBorder="1"/>
    <xf numFmtId="37" fontId="2" fillId="0" borderId="88" xfId="0" applyFont="1" applyBorder="1"/>
    <xf numFmtId="166" fontId="2" fillId="0" borderId="11" xfId="0" applyNumberFormat="1" applyFont="1" applyBorder="1" applyAlignment="1">
      <alignment horizontal="center"/>
    </xf>
    <xf numFmtId="166" fontId="2" fillId="0" borderId="89" xfId="0" applyNumberFormat="1" applyFont="1" applyBorder="1" applyAlignment="1">
      <alignment horizontal="center"/>
    </xf>
    <xf numFmtId="37" fontId="21" fillId="0" borderId="21" xfId="0" applyFont="1" applyFill="1" applyBorder="1" applyAlignment="1">
      <alignment horizontal="center"/>
    </xf>
    <xf numFmtId="5" fontId="21" fillId="18" borderId="24" xfId="0" applyNumberFormat="1" applyFont="1" applyFill="1" applyBorder="1"/>
    <xf numFmtId="37" fontId="2" fillId="18" borderId="24" xfId="0" applyFont="1" applyFill="1" applyBorder="1"/>
    <xf numFmtId="37" fontId="25" fillId="0" borderId="19" xfId="0" applyFont="1" applyBorder="1"/>
    <xf numFmtId="37" fontId="2" fillId="0" borderId="70" xfId="0" applyFont="1" applyBorder="1"/>
    <xf numFmtId="37" fontId="25" fillId="0" borderId="70" xfId="0" applyFont="1" applyBorder="1"/>
    <xf numFmtId="37" fontId="2" fillId="0" borderId="11" xfId="0" applyFont="1" applyBorder="1"/>
    <xf numFmtId="37" fontId="21" fillId="19" borderId="19" xfId="0" applyFont="1" applyFill="1" applyBorder="1"/>
    <xf numFmtId="37" fontId="2" fillId="19" borderId="26" xfId="0" applyFont="1" applyFill="1" applyBorder="1"/>
    <xf numFmtId="37" fontId="29" fillId="0" borderId="21" xfId="0" applyFont="1" applyFill="1" applyBorder="1" applyAlignment="1">
      <alignment horizontal="right"/>
    </xf>
    <xf numFmtId="166" fontId="2" fillId="0" borderId="21" xfId="0" applyNumberFormat="1" applyFont="1" applyFill="1" applyBorder="1"/>
    <xf numFmtId="37" fontId="2" fillId="0" borderId="22" xfId="0" applyFont="1" applyBorder="1"/>
    <xf numFmtId="37" fontId="174" fillId="0" borderId="0" xfId="0" applyFont="1" applyBorder="1" applyAlignment="1">
      <alignment horizontal="center"/>
    </xf>
    <xf numFmtId="37" fontId="174" fillId="0" borderId="21" xfId="0" applyFont="1" applyBorder="1" applyAlignment="1">
      <alignment horizontal="center"/>
    </xf>
    <xf numFmtId="5" fontId="174" fillId="0" borderId="0" xfId="0" applyNumberFormat="1" applyFont="1" applyBorder="1" applyAlignment="1">
      <alignment horizontal="center"/>
    </xf>
    <xf numFmtId="5" fontId="174" fillId="0" borderId="21" xfId="0" applyNumberFormat="1" applyFont="1" applyBorder="1" applyAlignment="1">
      <alignment horizontal="center"/>
    </xf>
    <xf numFmtId="170" fontId="174" fillId="0" borderId="0" xfId="0" applyNumberFormat="1" applyFont="1" applyBorder="1" applyAlignment="1">
      <alignment horizontal="center"/>
    </xf>
    <xf numFmtId="170" fontId="174" fillId="0" borderId="21" xfId="0" applyNumberFormat="1" applyFont="1" applyBorder="1" applyAlignment="1">
      <alignment horizontal="center"/>
    </xf>
    <xf numFmtId="166" fontId="174" fillId="0" borderId="0" xfId="0" applyNumberFormat="1" applyFont="1" applyBorder="1" applyAlignment="1">
      <alignment horizontal="center"/>
    </xf>
    <xf numFmtId="37" fontId="174" fillId="0" borderId="22" xfId="0" applyFont="1" applyBorder="1" applyAlignment="1">
      <alignment horizontal="center"/>
    </xf>
    <xf numFmtId="37" fontId="26" fillId="0" borderId="21" xfId="0" applyFont="1" applyFill="1" applyBorder="1"/>
    <xf numFmtId="37" fontId="2" fillId="0" borderId="90" xfId="0" applyFont="1" applyFill="1" applyBorder="1"/>
    <xf numFmtId="10" fontId="146" fillId="0" borderId="91" xfId="0" applyNumberFormat="1" applyFont="1" applyFill="1" applyBorder="1"/>
    <xf numFmtId="166" fontId="146" fillId="0" borderId="0" xfId="0" applyNumberFormat="1" applyFont="1" applyFill="1" applyBorder="1"/>
    <xf numFmtId="166" fontId="2" fillId="0" borderId="90" xfId="0" applyNumberFormat="1" applyFont="1" applyFill="1" applyBorder="1"/>
    <xf numFmtId="10" fontId="162" fillId="0" borderId="91" xfId="0" applyNumberFormat="1" applyFont="1" applyFill="1" applyBorder="1" applyAlignment="1">
      <alignment horizontal="center"/>
    </xf>
    <xf numFmtId="3" fontId="21" fillId="0" borderId="0" xfId="0" applyNumberFormat="1" applyFont="1" applyFill="1" applyBorder="1"/>
    <xf numFmtId="10" fontId="21" fillId="0" borderId="91" xfId="0" applyNumberFormat="1" applyFont="1" applyFill="1" applyBorder="1" applyAlignment="1">
      <alignment horizontal="center"/>
    </xf>
    <xf numFmtId="166" fontId="21" fillId="19" borderId="19" xfId="0" applyNumberFormat="1" applyFont="1" applyFill="1" applyBorder="1" applyAlignment="1"/>
    <xf numFmtId="37" fontId="2" fillId="19" borderId="70" xfId="0" applyFont="1" applyFill="1" applyBorder="1"/>
    <xf numFmtId="37" fontId="2" fillId="19" borderId="92" xfId="0" applyFont="1" applyFill="1" applyBorder="1"/>
    <xf numFmtId="37" fontId="21" fillId="19" borderId="70" xfId="0" applyFont="1" applyFill="1" applyBorder="1"/>
    <xf numFmtId="166" fontId="21" fillId="0" borderId="20" xfId="0" applyNumberFormat="1" applyFont="1" applyFill="1" applyBorder="1" applyAlignment="1"/>
    <xf numFmtId="166" fontId="21" fillId="0" borderId="20" xfId="0" applyNumberFormat="1" applyFont="1" applyFill="1" applyBorder="1"/>
    <xf numFmtId="166" fontId="2" fillId="0" borderId="0" xfId="0" applyNumberFormat="1" applyFont="1" applyFill="1" applyBorder="1" applyAlignment="1">
      <alignment horizontal="center"/>
    </xf>
    <xf numFmtId="3" fontId="2" fillId="0" borderId="0" xfId="0" applyNumberFormat="1" applyFont="1" applyFill="1" applyBorder="1"/>
    <xf numFmtId="166" fontId="2" fillId="0" borderId="0" xfId="0" applyNumberFormat="1" applyFont="1" applyFill="1" applyBorder="1"/>
    <xf numFmtId="37" fontId="162" fillId="0" borderId="20" xfId="0" applyFont="1" applyFill="1" applyBorder="1"/>
    <xf numFmtId="10" fontId="2" fillId="0" borderId="0" xfId="0" applyNumberFormat="1" applyFont="1" applyFill="1" applyBorder="1" applyAlignment="1">
      <alignment horizontal="center"/>
    </xf>
    <xf numFmtId="10" fontId="173" fillId="0" borderId="0" xfId="0" applyNumberFormat="1" applyFont="1" applyFill="1" applyBorder="1" applyAlignment="1">
      <alignment horizontal="center"/>
    </xf>
    <xf numFmtId="37" fontId="162" fillId="0" borderId="0" xfId="0" applyFont="1" applyFill="1" applyBorder="1"/>
    <xf numFmtId="3" fontId="2" fillId="0" borderId="11" xfId="0" applyNumberFormat="1" applyFont="1" applyBorder="1"/>
    <xf numFmtId="37" fontId="2" fillId="0" borderId="93" xfId="0" applyFont="1" applyBorder="1"/>
    <xf numFmtId="166" fontId="16" fillId="0" borderId="0" xfId="117" applyNumberFormat="1" applyFont="1"/>
    <xf numFmtId="169" fontId="16" fillId="0" borderId="0" xfId="117" applyNumberFormat="1" applyFont="1"/>
    <xf numFmtId="37" fontId="175" fillId="0" borderId="0" xfId="0" applyNumberFormat="1" applyFont="1" applyFill="1" applyBorder="1"/>
    <xf numFmtId="1" fontId="27" fillId="0" borderId="29" xfId="126" applyNumberFormat="1" applyFont="1" applyFill="1" applyBorder="1" applyAlignment="1">
      <alignment horizontal="right"/>
    </xf>
    <xf numFmtId="1" fontId="27" fillId="0" borderId="21" xfId="126" applyNumberFormat="1" applyFont="1" applyFill="1" applyBorder="1" applyAlignment="1">
      <alignment horizontal="right"/>
    </xf>
    <xf numFmtId="5" fontId="175" fillId="18" borderId="11" xfId="0" applyNumberFormat="1" applyFont="1" applyFill="1" applyBorder="1"/>
    <xf numFmtId="41" fontId="176" fillId="0" borderId="11" xfId="0" applyNumberFormat="1" applyFont="1" applyBorder="1" applyAlignment="1">
      <alignment horizontal="right"/>
    </xf>
    <xf numFmtId="41" fontId="176" fillId="0" borderId="0" xfId="0" applyNumberFormat="1" applyFont="1" applyFill="1" applyBorder="1" applyAlignment="1">
      <alignment horizontal="right"/>
    </xf>
    <xf numFmtId="41" fontId="29" fillId="0" borderId="0" xfId="77" applyNumberFormat="1" applyFont="1" applyFill="1" applyBorder="1" applyAlignment="1">
      <alignment horizontal="right"/>
    </xf>
    <xf numFmtId="41" fontId="158" fillId="0" borderId="0" xfId="77" applyNumberFormat="1" applyFont="1" applyFill="1" applyBorder="1" applyAlignment="1">
      <alignment horizontal="right"/>
    </xf>
    <xf numFmtId="166" fontId="177" fillId="0" borderId="0" xfId="126" applyNumberFormat="1" applyFont="1" applyFill="1" applyBorder="1"/>
    <xf numFmtId="166" fontId="178" fillId="18" borderId="23" xfId="126" applyNumberFormat="1" applyFont="1" applyFill="1" applyBorder="1"/>
    <xf numFmtId="37" fontId="146" fillId="0" borderId="0" xfId="0" applyFont="1" applyFill="1" applyBorder="1" applyAlignment="1">
      <alignment horizontal="right"/>
    </xf>
    <xf numFmtId="166" fontId="179" fillId="0" borderId="0" xfId="126" quotePrefix="1" applyNumberFormat="1" applyFont="1" applyFill="1" applyBorder="1" applyAlignment="1">
      <alignment horizontal="right"/>
    </xf>
    <xf numFmtId="201" fontId="64" fillId="0" borderId="0" xfId="126" quotePrefix="1" applyNumberFormat="1" applyFont="1" applyFill="1" applyBorder="1" applyAlignment="1">
      <alignment horizontal="right"/>
    </xf>
    <xf numFmtId="201" fontId="64" fillId="0" borderId="21" xfId="126" quotePrefix="1" applyNumberFormat="1" applyFont="1" applyFill="1" applyBorder="1" applyAlignment="1">
      <alignment horizontal="right"/>
    </xf>
    <xf numFmtId="166" fontId="179" fillId="0" borderId="0" xfId="126" applyNumberFormat="1" applyFont="1" applyFill="1" applyBorder="1"/>
    <xf numFmtId="0" fontId="64" fillId="0" borderId="55" xfId="0" quotePrefix="1" applyNumberFormat="1" applyFont="1" applyFill="1" applyBorder="1" applyAlignment="1">
      <alignment horizontal="right"/>
    </xf>
    <xf numFmtId="7" fontId="176" fillId="0" borderId="0" xfId="145" applyNumberFormat="1" applyFont="1" applyFill="1" applyBorder="1" applyAlignment="1">
      <alignment horizontal="right"/>
    </xf>
    <xf numFmtId="41" fontId="64" fillId="0" borderId="23" xfId="0" quotePrefix="1" applyNumberFormat="1" applyFont="1" applyFill="1" applyBorder="1" applyAlignment="1"/>
    <xf numFmtId="5" fontId="178" fillId="18" borderId="0" xfId="0" applyNumberFormat="1" applyFont="1" applyFill="1" applyBorder="1"/>
    <xf numFmtId="37" fontId="175" fillId="18" borderId="0" xfId="0" applyNumberFormat="1" applyFont="1" applyFill="1" applyBorder="1"/>
    <xf numFmtId="166" fontId="176" fillId="0" borderId="21" xfId="126" applyNumberFormat="1" applyFont="1" applyBorder="1"/>
    <xf numFmtId="166" fontId="2" fillId="0" borderId="20" xfId="126" applyNumberFormat="1" applyFont="1" applyBorder="1" applyAlignment="1">
      <alignment horizontal="left" indent="1"/>
    </xf>
    <xf numFmtId="166" fontId="176" fillId="0" borderId="21" xfId="126" applyNumberFormat="1" applyFont="1" applyBorder="1" applyAlignment="1">
      <alignment horizontal="right"/>
    </xf>
    <xf numFmtId="166" fontId="176" fillId="0" borderId="0" xfId="126" applyNumberFormat="1" applyFont="1" applyBorder="1"/>
    <xf numFmtId="166" fontId="26" fillId="0" borderId="0" xfId="126" applyNumberFormat="1" applyFont="1" applyBorder="1" applyAlignment="1">
      <alignment horizontal="right"/>
    </xf>
    <xf numFmtId="37" fontId="180" fillId="0" borderId="0" xfId="0" applyFont="1" applyAlignment="1">
      <alignment horizontal="right"/>
    </xf>
    <xf numFmtId="166" fontId="27" fillId="0" borderId="29" xfId="126" quotePrefix="1" applyNumberFormat="1" applyFont="1" applyFill="1" applyBorder="1" applyAlignment="1" applyProtection="1"/>
    <xf numFmtId="41" fontId="16" fillId="0" borderId="22" xfId="0" applyNumberFormat="1" applyFont="1" applyBorder="1"/>
    <xf numFmtId="9" fontId="21" fillId="0" borderId="22" xfId="126" applyFont="1" applyFill="1" applyBorder="1"/>
    <xf numFmtId="0" fontId="20" fillId="0" borderId="70" xfId="0" applyNumberFormat="1" applyFont="1" applyFill="1" applyBorder="1" applyAlignment="1">
      <alignment horizontal="right"/>
    </xf>
    <xf numFmtId="41" fontId="2" fillId="0" borderId="11" xfId="0" applyNumberFormat="1" applyFont="1" applyFill="1" applyBorder="1"/>
    <xf numFmtId="41" fontId="2" fillId="0" borderId="22" xfId="0" applyNumberFormat="1" applyFont="1" applyFill="1" applyBorder="1"/>
    <xf numFmtId="183" fontId="149" fillId="0" borderId="21" xfId="0" applyNumberFormat="1" applyFont="1" applyFill="1" applyBorder="1"/>
    <xf numFmtId="5" fontId="2" fillId="0" borderId="0" xfId="77" applyNumberFormat="1" applyFont="1" applyFill="1" applyBorder="1"/>
    <xf numFmtId="165" fontId="27" fillId="0" borderId="23" xfId="0" applyNumberFormat="1" applyFont="1" applyBorder="1" applyAlignment="1">
      <alignment horizontal="right"/>
    </xf>
    <xf numFmtId="165" fontId="27" fillId="0" borderId="23" xfId="0" applyNumberFormat="1" applyFont="1" applyFill="1" applyBorder="1" applyAlignment="1">
      <alignment horizontal="right"/>
    </xf>
    <xf numFmtId="41" fontId="181" fillId="0" borderId="0" xfId="0" applyNumberFormat="1" applyFont="1" applyBorder="1"/>
    <xf numFmtId="37" fontId="182" fillId="0" borderId="0" xfId="0" applyFont="1"/>
    <xf numFmtId="41" fontId="184" fillId="0" borderId="0" xfId="0" applyNumberFormat="1" applyFont="1" applyBorder="1"/>
    <xf numFmtId="5" fontId="184" fillId="0" borderId="0" xfId="0" applyNumberFormat="1" applyFont="1" applyFill="1" applyBorder="1"/>
    <xf numFmtId="5" fontId="185" fillId="18" borderId="11" xfId="0" applyNumberFormat="1" applyFont="1" applyFill="1" applyBorder="1"/>
    <xf numFmtId="37" fontId="185" fillId="18" borderId="0" xfId="0" applyNumberFormat="1" applyFont="1" applyFill="1" applyBorder="1"/>
    <xf numFmtId="3" fontId="184" fillId="18" borderId="0" xfId="0" applyNumberFormat="1" applyFont="1" applyFill="1" applyBorder="1" applyAlignment="1">
      <alignment horizontal="right"/>
    </xf>
    <xf numFmtId="7" fontId="184" fillId="0" borderId="0" xfId="145" applyNumberFormat="1" applyFont="1" applyFill="1" applyBorder="1" applyAlignment="1">
      <alignment horizontal="right"/>
    </xf>
    <xf numFmtId="41" fontId="184" fillId="0" borderId="0" xfId="0" applyNumberFormat="1" applyFont="1" applyFill="1" applyBorder="1" applyAlignment="1">
      <alignment horizontal="right"/>
    </xf>
    <xf numFmtId="41" fontId="184" fillId="0" borderId="11" xfId="0" applyNumberFormat="1" applyFont="1" applyBorder="1" applyAlignment="1">
      <alignment horizontal="right"/>
    </xf>
    <xf numFmtId="5" fontId="185" fillId="0" borderId="0" xfId="0" applyNumberFormat="1" applyFont="1" applyFill="1" applyBorder="1"/>
    <xf numFmtId="37" fontId="21" fillId="0" borderId="26" xfId="117" applyFont="1" applyBorder="1" applyAlignment="1">
      <alignment horizontal="right"/>
    </xf>
    <xf numFmtId="5" fontId="16" fillId="0" borderId="22" xfId="117" applyNumberFormat="1" applyFont="1" applyFill="1" applyBorder="1"/>
    <xf numFmtId="5" fontId="64" fillId="0" borderId="0" xfId="126" quotePrefix="1" applyNumberFormat="1" applyFont="1" applyFill="1" applyBorder="1" applyAlignment="1">
      <alignment horizontal="right"/>
    </xf>
    <xf numFmtId="166" fontId="188" fillId="0" borderId="20" xfId="126" applyNumberFormat="1" applyFont="1" applyFill="1" applyBorder="1" applyAlignment="1">
      <alignment horizontal="right"/>
    </xf>
    <xf numFmtId="166" fontId="188" fillId="0" borderId="0" xfId="126" applyNumberFormat="1" applyFont="1" applyFill="1" applyBorder="1"/>
    <xf numFmtId="166" fontId="188" fillId="0" borderId="21" xfId="126" applyNumberFormat="1" applyFont="1" applyFill="1" applyBorder="1"/>
    <xf numFmtId="166" fontId="188" fillId="0" borderId="0" xfId="126" applyNumberFormat="1" applyFont="1" applyFill="1" applyBorder="1" applyAlignment="1">
      <alignment horizontal="right"/>
    </xf>
    <xf numFmtId="41" fontId="184" fillId="0" borderId="0" xfId="0" applyNumberFormat="1" applyFont="1" applyFill="1" applyBorder="1"/>
    <xf numFmtId="5" fontId="184" fillId="0" borderId="20" xfId="0" applyNumberFormat="1" applyFont="1" applyFill="1" applyBorder="1"/>
    <xf numFmtId="5" fontId="184" fillId="0" borderId="21" xfId="0" applyNumberFormat="1" applyFont="1" applyFill="1" applyBorder="1"/>
    <xf numFmtId="9" fontId="188" fillId="0" borderId="0" xfId="126" applyFont="1" applyFill="1" applyBorder="1"/>
    <xf numFmtId="5" fontId="186" fillId="0" borderId="0" xfId="126" applyNumberFormat="1" applyFont="1" applyFill="1" applyBorder="1" applyAlignment="1">
      <alignment horizontal="right"/>
    </xf>
    <xf numFmtId="201" fontId="186" fillId="0" borderId="29" xfId="126" applyNumberFormat="1" applyFont="1" applyFill="1" applyBorder="1" applyAlignment="1">
      <alignment horizontal="right"/>
    </xf>
    <xf numFmtId="9" fontId="186" fillId="0" borderId="0" xfId="126" applyFont="1" applyFill="1" applyBorder="1" applyAlignment="1">
      <alignment horizontal="right"/>
    </xf>
    <xf numFmtId="5" fontId="122" fillId="0" borderId="29" xfId="0" applyNumberFormat="1" applyFont="1" applyFill="1" applyBorder="1" applyAlignment="1">
      <alignment horizontal="right"/>
    </xf>
    <xf numFmtId="5" fontId="102" fillId="0" borderId="29" xfId="0" applyNumberFormat="1" applyFont="1" applyFill="1" applyBorder="1" applyAlignment="1">
      <alignment horizontal="right"/>
    </xf>
    <xf numFmtId="41" fontId="187" fillId="0" borderId="23" xfId="0" applyNumberFormat="1" applyFont="1" applyFill="1" applyBorder="1"/>
    <xf numFmtId="5" fontId="187" fillId="0" borderId="23" xfId="0" applyNumberFormat="1" applyFont="1" applyFill="1" applyBorder="1"/>
    <xf numFmtId="37" fontId="187" fillId="0" borderId="0" xfId="0" applyFont="1" applyFill="1" applyBorder="1"/>
    <xf numFmtId="37" fontId="1" fillId="0" borderId="20" xfId="117" applyFont="1" applyBorder="1"/>
    <xf numFmtId="7" fontId="1" fillId="0" borderId="0" xfId="0" applyNumberFormat="1" applyFont="1" applyAlignment="1">
      <alignment horizontal="right"/>
    </xf>
    <xf numFmtId="5" fontId="186" fillId="0" borderId="29" xfId="126" applyNumberFormat="1" applyFont="1" applyFill="1" applyBorder="1" applyAlignment="1">
      <alignment horizontal="right"/>
    </xf>
    <xf numFmtId="5" fontId="186" fillId="0" borderId="21" xfId="0" applyNumberFormat="1" applyFont="1" applyFill="1" applyBorder="1" applyAlignment="1">
      <alignment horizontal="right"/>
    </xf>
    <xf numFmtId="37" fontId="2" fillId="0" borderId="0" xfId="115" applyFont="1" applyFill="1"/>
    <xf numFmtId="37" fontId="26" fillId="0" borderId="0" xfId="115" applyFont="1" applyFill="1"/>
    <xf numFmtId="37" fontId="17" fillId="0" borderId="0" xfId="115" applyFill="1"/>
    <xf numFmtId="37" fontId="2" fillId="0" borderId="0" xfId="115" applyFont="1" applyBorder="1"/>
    <xf numFmtId="5" fontId="2" fillId="0" borderId="0" xfId="115" applyNumberFormat="1" applyFont="1" applyBorder="1"/>
    <xf numFmtId="37" fontId="1" fillId="0" borderId="0" xfId="115" applyFont="1"/>
    <xf numFmtId="37" fontId="189" fillId="0" borderId="0" xfId="0" applyFont="1" applyBorder="1"/>
    <xf numFmtId="37" fontId="189" fillId="0" borderId="0" xfId="0" applyNumberFormat="1" applyFont="1" applyBorder="1"/>
    <xf numFmtId="14" fontId="2" fillId="0" borderId="0" xfId="115" applyNumberFormat="1" applyFont="1"/>
    <xf numFmtId="14" fontId="1" fillId="0" borderId="0" xfId="115" applyNumberFormat="1" applyFont="1"/>
    <xf numFmtId="37" fontId="1" fillId="0" borderId="20" xfId="0" applyFont="1" applyFill="1" applyBorder="1"/>
    <xf numFmtId="37" fontId="27" fillId="0" borderId="0" xfId="0" applyFont="1" applyFill="1" applyBorder="1" applyAlignment="1">
      <alignment horizontal="right"/>
    </xf>
    <xf numFmtId="37" fontId="2" fillId="0" borderId="99" xfId="0" applyFont="1" applyBorder="1"/>
    <xf numFmtId="37" fontId="29" fillId="0" borderId="0" xfId="0" applyFont="1" applyFill="1" applyBorder="1" applyAlignment="1">
      <alignment horizontal="right"/>
    </xf>
    <xf numFmtId="9" fontId="1" fillId="0" borderId="0" xfId="126" applyFont="1" applyBorder="1"/>
    <xf numFmtId="166" fontId="1" fillId="0" borderId="0" xfId="0" applyNumberFormat="1" applyFont="1" applyFill="1" applyBorder="1"/>
    <xf numFmtId="37" fontId="29" fillId="0" borderId="99" xfId="0" applyFont="1" applyFill="1" applyBorder="1" applyAlignment="1">
      <alignment horizontal="right"/>
    </xf>
    <xf numFmtId="166" fontId="1" fillId="0" borderId="0" xfId="126" applyNumberFormat="1" applyFont="1" applyBorder="1"/>
    <xf numFmtId="166" fontId="1" fillId="0" borderId="0" xfId="126" applyNumberFormat="1" applyFont="1" applyBorder="1" applyAlignment="1">
      <alignment horizontal="right"/>
    </xf>
    <xf numFmtId="166" fontId="184" fillId="0" borderId="99" xfId="126" applyNumberFormat="1" applyFont="1" applyBorder="1"/>
    <xf numFmtId="37" fontId="1" fillId="0" borderId="0" xfId="0" applyFont="1" applyFill="1" applyBorder="1"/>
    <xf numFmtId="9" fontId="1" fillId="0" borderId="0" xfId="126" applyFont="1" applyBorder="1" applyAlignment="1">
      <alignment horizontal="right"/>
    </xf>
    <xf numFmtId="9" fontId="184" fillId="0" borderId="99" xfId="126" applyFont="1" applyBorder="1"/>
    <xf numFmtId="37" fontId="1" fillId="0" borderId="56" xfId="0" applyFont="1" applyBorder="1"/>
    <xf numFmtId="37" fontId="1" fillId="0" borderId="23" xfId="0" applyFont="1" applyBorder="1" applyAlignment="1">
      <alignment horizontal="right"/>
    </xf>
    <xf numFmtId="37" fontId="2" fillId="0" borderId="24" xfId="0" applyFont="1" applyBorder="1" applyAlignment="1">
      <alignment horizontal="centerContinuous"/>
    </xf>
    <xf numFmtId="0" fontId="1" fillId="0" borderId="23" xfId="0" applyNumberFormat="1" applyFont="1" applyBorder="1"/>
    <xf numFmtId="37" fontId="1" fillId="0" borderId="99" xfId="0" applyFont="1" applyBorder="1" applyAlignment="1">
      <alignment horizontal="right"/>
    </xf>
    <xf numFmtId="37" fontId="1" fillId="0" borderId="100" xfId="0" applyFont="1" applyBorder="1" applyAlignment="1">
      <alignment horizontal="centerContinuous"/>
    </xf>
    <xf numFmtId="37" fontId="1" fillId="0" borderId="101" xfId="0" applyFont="1" applyBorder="1" applyAlignment="1">
      <alignment horizontal="right"/>
    </xf>
    <xf numFmtId="37" fontId="2" fillId="0" borderId="101" xfId="0" applyFont="1" applyBorder="1"/>
    <xf numFmtId="37" fontId="29" fillId="0" borderId="101" xfId="0" applyFont="1" applyFill="1" applyBorder="1" applyAlignment="1">
      <alignment horizontal="right"/>
    </xf>
    <xf numFmtId="166" fontId="184" fillId="0" borderId="101" xfId="126" applyNumberFormat="1" applyFont="1" applyBorder="1"/>
    <xf numFmtId="9" fontId="184" fillId="0" borderId="101" xfId="126" applyFont="1" applyBorder="1"/>
    <xf numFmtId="9" fontId="2" fillId="0" borderId="0" xfId="126" applyFont="1" applyBorder="1" applyAlignment="1">
      <alignment horizontal="right"/>
    </xf>
    <xf numFmtId="44" fontId="64" fillId="0" borderId="29" xfId="79" applyFont="1" applyFill="1" applyBorder="1"/>
    <xf numFmtId="37" fontId="1" fillId="0" borderId="0" xfId="0" applyFont="1"/>
    <xf numFmtId="44" fontId="27" fillId="0" borderId="29" xfId="126" applyNumberFormat="1" applyFont="1" applyBorder="1"/>
    <xf numFmtId="7" fontId="16" fillId="0" borderId="0" xfId="145" applyNumberFormat="1" applyFont="1" applyFill="1" applyBorder="1" applyAlignment="1">
      <alignment horizontal="right"/>
    </xf>
    <xf numFmtId="7" fontId="16" fillId="0" borderId="36" xfId="126" applyNumberFormat="1" applyFont="1" applyBorder="1" applyAlignment="1">
      <alignment horizontal="right"/>
    </xf>
    <xf numFmtId="41" fontId="184" fillId="0" borderId="0" xfId="126" applyNumberFormat="1" applyFont="1" applyFill="1" applyBorder="1" applyAlignment="1">
      <alignment horizontal="right"/>
    </xf>
    <xf numFmtId="37" fontId="190" fillId="0" borderId="56" xfId="0" applyFont="1" applyBorder="1"/>
    <xf numFmtId="0" fontId="21" fillId="0" borderId="24" xfId="0" applyNumberFormat="1" applyFont="1" applyBorder="1"/>
    <xf numFmtId="37" fontId="1" fillId="0" borderId="20" xfId="0" applyFont="1" applyBorder="1"/>
    <xf numFmtId="5" fontId="2" fillId="0" borderId="99" xfId="0" applyNumberFormat="1" applyFont="1" applyBorder="1"/>
    <xf numFmtId="7" fontId="2" fillId="0" borderId="99" xfId="0" applyNumberFormat="1" applyFont="1" applyBorder="1"/>
    <xf numFmtId="192" fontId="2" fillId="0" borderId="99" xfId="0" applyNumberFormat="1" applyFont="1" applyBorder="1"/>
    <xf numFmtId="37" fontId="190" fillId="0" borderId="20" xfId="0" applyFont="1" applyBorder="1"/>
    <xf numFmtId="37" fontId="1" fillId="0" borderId="20" xfId="0" applyFont="1" applyBorder="1" applyAlignment="1">
      <alignment horizontal="left" indent="1"/>
    </xf>
    <xf numFmtId="9" fontId="2" fillId="0" borderId="99" xfId="126" applyFont="1" applyBorder="1"/>
    <xf numFmtId="5" fontId="1" fillId="0" borderId="20" xfId="0" applyNumberFormat="1" applyFont="1" applyFill="1" applyBorder="1"/>
    <xf numFmtId="5" fontId="2" fillId="0" borderId="101" xfId="0" applyNumberFormat="1" applyFont="1" applyBorder="1"/>
    <xf numFmtId="5" fontId="184" fillId="0" borderId="0" xfId="0" applyNumberFormat="1" applyFont="1" applyBorder="1" applyAlignment="1">
      <alignment horizontal="right"/>
    </xf>
    <xf numFmtId="5" fontId="21" fillId="0" borderId="20" xfId="0" applyNumberFormat="1" applyFont="1" applyFill="1" applyBorder="1"/>
    <xf numFmtId="5" fontId="21" fillId="0" borderId="101" xfId="0" applyNumberFormat="1" applyFont="1" applyBorder="1"/>
    <xf numFmtId="5" fontId="21" fillId="0" borderId="99" xfId="0" applyNumberFormat="1" applyFont="1" applyBorder="1"/>
    <xf numFmtId="5" fontId="1" fillId="0" borderId="0" xfId="0" applyNumberFormat="1" applyFont="1"/>
    <xf numFmtId="5" fontId="1" fillId="0" borderId="0" xfId="0" applyNumberFormat="1" applyFont="1" applyAlignment="1">
      <alignment horizontal="right"/>
    </xf>
    <xf numFmtId="5" fontId="1" fillId="0" borderId="25" xfId="0" applyNumberFormat="1" applyFont="1" applyFill="1" applyBorder="1"/>
    <xf numFmtId="5" fontId="1" fillId="0" borderId="11" xfId="0" applyNumberFormat="1" applyFont="1" applyFill="1" applyBorder="1"/>
    <xf numFmtId="5" fontId="1" fillId="0" borderId="102" xfId="0" applyNumberFormat="1" applyFont="1" applyFill="1" applyBorder="1"/>
    <xf numFmtId="5" fontId="1" fillId="0" borderId="22" xfId="0" applyNumberFormat="1" applyFont="1" applyFill="1" applyBorder="1"/>
    <xf numFmtId="9" fontId="184" fillId="0" borderId="103" xfId="126" applyFont="1" applyBorder="1"/>
    <xf numFmtId="5" fontId="184" fillId="0" borderId="101" xfId="0" applyNumberFormat="1" applyFont="1" applyBorder="1"/>
    <xf numFmtId="37" fontId="1" fillId="27" borderId="20" xfId="0" applyFont="1" applyFill="1" applyBorder="1" applyAlignment="1">
      <alignment wrapText="1"/>
    </xf>
    <xf numFmtId="7" fontId="2" fillId="27" borderId="99" xfId="0" applyNumberFormat="1" applyFont="1" applyFill="1" applyBorder="1"/>
    <xf numFmtId="37" fontId="1" fillId="0" borderId="70" xfId="0" applyFont="1" applyBorder="1" applyAlignment="1">
      <alignment horizontal="centerContinuous"/>
    </xf>
    <xf numFmtId="37" fontId="1" fillId="0" borderId="26" xfId="0" applyFont="1" applyBorder="1" applyAlignment="1">
      <alignment horizontal="right"/>
    </xf>
    <xf numFmtId="0" fontId="1" fillId="0" borderId="25" xfId="0" applyNumberFormat="1" applyFont="1" applyBorder="1"/>
    <xf numFmtId="0" fontId="2" fillId="0" borderId="11" xfId="0" applyNumberFormat="1" applyFont="1" applyBorder="1"/>
    <xf numFmtId="0" fontId="2" fillId="0" borderId="22" xfId="0" applyNumberFormat="1" applyFont="1" applyBorder="1"/>
    <xf numFmtId="37" fontId="2" fillId="0" borderId="103" xfId="0" applyFont="1" applyBorder="1"/>
    <xf numFmtId="5" fontId="1" fillId="0" borderId="20" xfId="0" applyNumberFormat="1" applyFont="1" applyBorder="1"/>
    <xf numFmtId="5" fontId="2" fillId="0" borderId="103" xfId="0" applyNumberFormat="1" applyFont="1" applyBorder="1"/>
    <xf numFmtId="37" fontId="184" fillId="0" borderId="0" xfId="0" applyFont="1" applyBorder="1"/>
    <xf numFmtId="37" fontId="191" fillId="0" borderId="103" xfId="0" applyFont="1" applyBorder="1"/>
    <xf numFmtId="9" fontId="2" fillId="0" borderId="103" xfId="126" applyFont="1" applyBorder="1"/>
    <xf numFmtId="7" fontId="1" fillId="0" borderId="20" xfId="0" applyNumberFormat="1" applyFont="1" applyBorder="1"/>
    <xf numFmtId="7" fontId="2" fillId="0" borderId="0" xfId="0" applyNumberFormat="1" applyFont="1" applyBorder="1"/>
    <xf numFmtId="7" fontId="2" fillId="0" borderId="103" xfId="0" applyNumberFormat="1" applyFont="1" applyBorder="1"/>
    <xf numFmtId="7" fontId="184" fillId="0" borderId="0" xfId="0" applyNumberFormat="1" applyFont="1" applyBorder="1"/>
    <xf numFmtId="7" fontId="191" fillId="0" borderId="103" xfId="0" applyNumberFormat="1" applyFont="1" applyBorder="1"/>
    <xf numFmtId="0" fontId="1" fillId="0" borderId="20" xfId="0" applyNumberFormat="1" applyFont="1" applyBorder="1"/>
    <xf numFmtId="0" fontId="2" fillId="0" borderId="103" xfId="0" applyNumberFormat="1" applyFont="1" applyBorder="1"/>
    <xf numFmtId="37" fontId="2" fillId="0" borderId="103" xfId="0" applyNumberFormat="1" applyFont="1" applyBorder="1"/>
    <xf numFmtId="37" fontId="2" fillId="0" borderId="104" xfId="0" applyFont="1" applyBorder="1" applyAlignment="1">
      <alignment horizontal="centerContinuous"/>
    </xf>
    <xf numFmtId="0" fontId="2" fillId="0" borderId="105" xfId="0" applyNumberFormat="1" applyFont="1" applyBorder="1"/>
    <xf numFmtId="0" fontId="2" fillId="0" borderId="106" xfId="0" applyNumberFormat="1" applyFont="1" applyBorder="1"/>
    <xf numFmtId="37" fontId="2" fillId="0" borderId="106" xfId="0" applyNumberFormat="1" applyFont="1" applyBorder="1"/>
    <xf numFmtId="37" fontId="184" fillId="0" borderId="106" xfId="0" applyFont="1" applyBorder="1"/>
    <xf numFmtId="9" fontId="2" fillId="0" borderId="106" xfId="126" applyFont="1" applyBorder="1"/>
    <xf numFmtId="37" fontId="2" fillId="0" borderId="106" xfId="0" applyFont="1" applyBorder="1"/>
    <xf numFmtId="5" fontId="2" fillId="0" borderId="106" xfId="0" applyNumberFormat="1" applyFont="1" applyBorder="1"/>
    <xf numFmtId="7" fontId="2" fillId="0" borderId="106" xfId="0" applyNumberFormat="1" applyFont="1" applyBorder="1"/>
    <xf numFmtId="7" fontId="184" fillId="0" borderId="106" xfId="0" applyNumberFormat="1" applyFont="1" applyBorder="1"/>
    <xf numFmtId="37" fontId="2" fillId="0" borderId="105" xfId="0" applyFont="1" applyBorder="1"/>
    <xf numFmtId="5" fontId="1" fillId="0" borderId="107" xfId="0" applyNumberFormat="1" applyFont="1" applyBorder="1"/>
    <xf numFmtId="5" fontId="1" fillId="0" borderId="108" xfId="0" applyNumberFormat="1" applyFont="1" applyBorder="1"/>
    <xf numFmtId="37" fontId="1" fillId="0" borderId="109" xfId="0" applyNumberFormat="1" applyFont="1" applyFill="1" applyBorder="1"/>
    <xf numFmtId="37" fontId="1" fillId="0" borderId="0" xfId="0" applyNumberFormat="1" applyFont="1" applyFill="1" applyBorder="1"/>
    <xf numFmtId="37" fontId="1" fillId="0" borderId="0" xfId="0" applyNumberFormat="1" applyFont="1" applyBorder="1"/>
    <xf numFmtId="37" fontId="192" fillId="0" borderId="0" xfId="0" applyFont="1"/>
    <xf numFmtId="37" fontId="193" fillId="28" borderId="0" xfId="0" applyFont="1" applyFill="1" applyAlignment="1">
      <alignment horizontal="centerContinuous"/>
    </xf>
    <xf numFmtId="166" fontId="21" fillId="29" borderId="0" xfId="0" applyNumberFormat="1" applyFont="1" applyFill="1"/>
    <xf numFmtId="37" fontId="2" fillId="29" borderId="0" xfId="0" applyFont="1" applyFill="1"/>
    <xf numFmtId="5" fontId="1" fillId="0" borderId="0" xfId="0" applyNumberFormat="1" applyFont="1" applyFill="1" applyBorder="1"/>
    <xf numFmtId="37" fontId="1" fillId="0" borderId="0" xfId="0" applyFont="1" applyFill="1"/>
    <xf numFmtId="9" fontId="184" fillId="0" borderId="0" xfId="126" applyFont="1" applyFill="1" applyBorder="1"/>
    <xf numFmtId="41" fontId="1" fillId="0" borderId="0" xfId="0" applyNumberFormat="1" applyFont="1" applyFill="1" applyBorder="1"/>
    <xf numFmtId="41" fontId="195" fillId="0" borderId="0" xfId="0" applyNumberFormat="1" applyFont="1" applyFill="1" applyBorder="1"/>
    <xf numFmtId="7" fontId="1" fillId="0" borderId="0" xfId="0" applyNumberFormat="1" applyFont="1" applyFill="1" applyBorder="1"/>
    <xf numFmtId="4" fontId="21" fillId="0" borderId="0" xfId="0" applyNumberFormat="1" applyFont="1" applyFill="1"/>
    <xf numFmtId="39" fontId="192" fillId="0" borderId="0" xfId="0" applyNumberFormat="1" applyFont="1"/>
    <xf numFmtId="7" fontId="1" fillId="0" borderId="107" xfId="0" applyNumberFormat="1" applyFont="1" applyBorder="1"/>
    <xf numFmtId="7" fontId="1" fillId="0" borderId="108" xfId="0" applyNumberFormat="1" applyFont="1" applyBorder="1"/>
    <xf numFmtId="7" fontId="1" fillId="0" borderId="109" xfId="0" applyNumberFormat="1" applyFont="1" applyFill="1" applyBorder="1"/>
    <xf numFmtId="7" fontId="1" fillId="0" borderId="0" xfId="0" applyNumberFormat="1" applyFont="1" applyBorder="1"/>
    <xf numFmtId="37" fontId="184" fillId="0" borderId="0" xfId="0" applyFont="1"/>
    <xf numFmtId="168" fontId="1" fillId="0" borderId="0" xfId="0" applyNumberFormat="1" applyFont="1" applyAlignment="1">
      <alignment horizontal="right"/>
    </xf>
    <xf numFmtId="41" fontId="1" fillId="0" borderId="0" xfId="0" applyNumberFormat="1" applyFont="1" applyBorder="1"/>
    <xf numFmtId="41" fontId="102" fillId="0" borderId="0" xfId="0" applyNumberFormat="1" applyFont="1" applyFill="1" applyBorder="1"/>
    <xf numFmtId="166" fontId="188" fillId="0" borderId="29" xfId="126" applyNumberFormat="1" applyFont="1" applyBorder="1"/>
    <xf numFmtId="37" fontId="0" fillId="0" borderId="0" xfId="0"/>
    <xf numFmtId="5" fontId="1" fillId="0" borderId="29" xfId="0" applyNumberFormat="1" applyFont="1" applyFill="1" applyBorder="1"/>
    <xf numFmtId="5" fontId="196" fillId="0" borderId="0" xfId="0" applyNumberFormat="1" applyFont="1" applyFill="1" applyBorder="1"/>
    <xf numFmtId="41" fontId="130" fillId="0" borderId="29" xfId="0" applyNumberFormat="1" applyFont="1" applyFill="1" applyBorder="1" applyAlignment="1">
      <alignment horizontal="right"/>
    </xf>
    <xf numFmtId="41" fontId="21" fillId="18" borderId="55" xfId="0" applyNumberFormat="1" applyFont="1" applyFill="1" applyBorder="1" applyAlignment="1">
      <alignment horizontal="right"/>
    </xf>
    <xf numFmtId="41" fontId="2" fillId="0" borderId="0" xfId="77" applyNumberFormat="1" applyFont="1" applyFill="1" applyBorder="1" applyAlignment="1">
      <alignment horizontal="right"/>
    </xf>
    <xf numFmtId="41" fontId="21" fillId="0" borderId="0" xfId="77" applyNumberFormat="1" applyFont="1" applyFill="1" applyBorder="1" applyAlignment="1">
      <alignment horizontal="right"/>
    </xf>
    <xf numFmtId="0" fontId="2" fillId="0" borderId="109" xfId="0" applyNumberFormat="1" applyFont="1" applyFill="1" applyBorder="1" applyAlignment="1">
      <alignment horizontal="left"/>
    </xf>
    <xf numFmtId="0" fontId="1" fillId="0" borderId="109" xfId="0" applyNumberFormat="1" applyFont="1" applyFill="1" applyBorder="1" applyAlignment="1">
      <alignment horizontal="left"/>
    </xf>
    <xf numFmtId="41" fontId="184" fillId="0" borderId="29" xfId="0" applyNumberFormat="1" applyFont="1" applyFill="1" applyBorder="1"/>
    <xf numFmtId="41" fontId="197" fillId="0" borderId="29" xfId="0" applyNumberFormat="1" applyFont="1" applyFill="1" applyBorder="1"/>
    <xf numFmtId="0" fontId="2" fillId="0" borderId="109" xfId="0" applyNumberFormat="1" applyFont="1" applyFill="1" applyBorder="1" applyAlignment="1"/>
    <xf numFmtId="0" fontId="1" fillId="0" borderId="109" xfId="0" applyNumberFormat="1" applyFont="1" applyFill="1" applyBorder="1" applyAlignment="1"/>
    <xf numFmtId="5" fontId="197" fillId="0" borderId="29" xfId="0" applyNumberFormat="1" applyFont="1" applyFill="1" applyBorder="1" applyAlignment="1">
      <alignment horizontal="right"/>
    </xf>
    <xf numFmtId="5" fontId="184" fillId="0" borderId="29" xfId="0" applyNumberFormat="1" applyFont="1" applyFill="1" applyBorder="1" applyAlignment="1">
      <alignment horizontal="right"/>
    </xf>
    <xf numFmtId="37" fontId="198" fillId="0" borderId="104" xfId="0" applyNumberFormat="1" applyFont="1" applyBorder="1"/>
    <xf numFmtId="9" fontId="198" fillId="0" borderId="22" xfId="126" applyNumberFormat="1" applyFont="1" applyBorder="1"/>
    <xf numFmtId="9" fontId="199" fillId="0" borderId="105" xfId="0" applyNumberFormat="1" applyFont="1" applyBorder="1"/>
    <xf numFmtId="9" fontId="199" fillId="0" borderId="11" xfId="0" applyNumberFormat="1" applyFont="1" applyBorder="1"/>
    <xf numFmtId="37" fontId="199" fillId="0" borderId="106" xfId="0" applyNumberFormat="1" applyFont="1" applyBorder="1"/>
    <xf numFmtId="9" fontId="199" fillId="0" borderId="106" xfId="126" applyNumberFormat="1" applyFont="1" applyBorder="1"/>
    <xf numFmtId="9" fontId="199" fillId="0" borderId="0" xfId="126" applyNumberFormat="1" applyFont="1" applyBorder="1"/>
    <xf numFmtId="37" fontId="199" fillId="0" borderId="0" xfId="0" applyNumberFormat="1" applyFont="1" applyBorder="1"/>
    <xf numFmtId="5" fontId="199" fillId="0" borderId="108" xfId="0" applyNumberFormat="1" applyFont="1" applyBorder="1"/>
    <xf numFmtId="5" fontId="199" fillId="0" borderId="104" xfId="0" applyNumberFormat="1" applyFont="1" applyBorder="1"/>
    <xf numFmtId="37" fontId="199" fillId="0" borderId="111" xfId="0" applyNumberFormat="1" applyFont="1" applyBorder="1"/>
    <xf numFmtId="37" fontId="200" fillId="0" borderId="111" xfId="0" applyNumberFormat="1" applyFont="1" applyBorder="1" applyAlignment="1">
      <alignment horizontal="right"/>
    </xf>
    <xf numFmtId="37" fontId="200" fillId="0" borderId="0" xfId="0" applyNumberFormat="1" applyFont="1" applyBorder="1" applyAlignment="1">
      <alignment horizontal="right"/>
    </xf>
    <xf numFmtId="5" fontId="199" fillId="0" borderId="111" xfId="0" applyNumberFormat="1" applyFont="1" applyBorder="1"/>
    <xf numFmtId="5" fontId="199" fillId="0" borderId="0" xfId="0" applyNumberFormat="1" applyFont="1" applyBorder="1"/>
    <xf numFmtId="1" fontId="201" fillId="0" borderId="0" xfId="0" applyNumberFormat="1" applyFont="1"/>
    <xf numFmtId="5" fontId="201" fillId="0" borderId="0" xfId="0" applyNumberFormat="1" applyFont="1"/>
    <xf numFmtId="37" fontId="201" fillId="0" borderId="0" xfId="0" applyFont="1"/>
    <xf numFmtId="7" fontId="201" fillId="0" borderId="0" xfId="0" applyNumberFormat="1" applyFont="1"/>
    <xf numFmtId="37" fontId="202" fillId="0" borderId="0" xfId="0" applyFont="1"/>
    <xf numFmtId="9" fontId="201" fillId="0" borderId="0" xfId="126" applyFont="1"/>
    <xf numFmtId="166" fontId="201" fillId="0" borderId="0" xfId="0" applyNumberFormat="1" applyFont="1"/>
    <xf numFmtId="166" fontId="201" fillId="0" borderId="0" xfId="126" applyNumberFormat="1" applyFont="1"/>
    <xf numFmtId="0" fontId="201" fillId="0" borderId="0" xfId="0" applyNumberFormat="1" applyFont="1"/>
    <xf numFmtId="192" fontId="201" fillId="0" borderId="0" xfId="0" applyNumberFormat="1" applyFont="1"/>
    <xf numFmtId="37" fontId="201" fillId="0" borderId="0" xfId="0" applyFont="1" applyBorder="1"/>
    <xf numFmtId="0" fontId="202" fillId="0" borderId="0" xfId="0" applyNumberFormat="1" applyFont="1"/>
    <xf numFmtId="5" fontId="202" fillId="0" borderId="0" xfId="0" applyNumberFormat="1" applyFont="1"/>
    <xf numFmtId="37" fontId="201" fillId="0" borderId="0" xfId="0" applyFont="1" applyFill="1"/>
    <xf numFmtId="37" fontId="203" fillId="0" borderId="104" xfId="0" applyFont="1" applyBorder="1"/>
    <xf numFmtId="37" fontId="203" fillId="0" borderId="108" xfId="0" applyFont="1" applyBorder="1" applyAlignment="1">
      <alignment horizontal="centerContinuous"/>
    </xf>
    <xf numFmtId="37" fontId="203" fillId="0" borderId="26" xfId="0" applyFont="1" applyBorder="1" applyAlignment="1">
      <alignment horizontal="centerContinuous"/>
    </xf>
    <xf numFmtId="5" fontId="203" fillId="0" borderId="106" xfId="0" applyNumberFormat="1" applyFont="1" applyBorder="1"/>
    <xf numFmtId="37" fontId="203" fillId="0" borderId="106" xfId="0" quotePrefix="1" applyNumberFormat="1" applyFont="1" applyBorder="1"/>
    <xf numFmtId="37" fontId="203" fillId="0" borderId="106" xfId="0" applyNumberFormat="1" applyFont="1" applyBorder="1"/>
    <xf numFmtId="37" fontId="203" fillId="0" borderId="0" xfId="0" applyNumberFormat="1" applyFont="1" applyBorder="1"/>
    <xf numFmtId="37" fontId="203" fillId="0" borderId="103" xfId="0" applyNumberFormat="1" applyFont="1" applyBorder="1"/>
    <xf numFmtId="37" fontId="203" fillId="0" borderId="0" xfId="0" applyFont="1"/>
    <xf numFmtId="39" fontId="203" fillId="0" borderId="0" xfId="0" applyNumberFormat="1" applyFont="1"/>
    <xf numFmtId="37" fontId="198" fillId="0" borderId="0" xfId="0" applyNumberFormat="1" applyFont="1" applyBorder="1"/>
    <xf numFmtId="37" fontId="198" fillId="0" borderId="111" xfId="0" applyNumberFormat="1" applyFont="1" applyBorder="1"/>
    <xf numFmtId="37" fontId="109" fillId="0" borderId="0" xfId="0" applyFont="1" applyBorder="1"/>
    <xf numFmtId="37" fontId="109" fillId="0" borderId="0" xfId="0" applyFont="1" applyAlignment="1">
      <alignment horizontal="right"/>
    </xf>
    <xf numFmtId="9" fontId="198" fillId="0" borderId="109" xfId="126" applyFont="1" applyBorder="1" applyAlignment="1">
      <alignment horizontal="left" indent="1"/>
    </xf>
    <xf numFmtId="9" fontId="198" fillId="0" borderId="106" xfId="126" applyFont="1" applyBorder="1"/>
    <xf numFmtId="9" fontId="198" fillId="0" borderId="0" xfId="126" applyFont="1" applyBorder="1"/>
    <xf numFmtId="9" fontId="198" fillId="0" borderId="111" xfId="126" applyFont="1" applyBorder="1"/>
    <xf numFmtId="37" fontId="198" fillId="0" borderId="106" xfId="0" applyNumberFormat="1" applyFont="1" applyBorder="1"/>
    <xf numFmtId="37" fontId="198" fillId="0" borderId="106" xfId="0" applyFont="1" applyBorder="1"/>
    <xf numFmtId="9" fontId="198" fillId="0" borderId="103" xfId="126" applyFont="1" applyBorder="1"/>
    <xf numFmtId="37" fontId="198" fillId="0" borderId="0" xfId="0" applyFont="1" applyBorder="1"/>
    <xf numFmtId="37" fontId="198" fillId="0" borderId="103" xfId="0" applyFont="1" applyBorder="1"/>
    <xf numFmtId="9" fontId="198" fillId="0" borderId="106" xfId="0" applyNumberFormat="1" applyFont="1" applyBorder="1"/>
    <xf numFmtId="9" fontId="198" fillId="0" borderId="103" xfId="126" applyNumberFormat="1" applyFont="1" applyBorder="1"/>
    <xf numFmtId="9" fontId="198" fillId="0" borderId="105" xfId="0" applyNumberFormat="1" applyFont="1" applyBorder="1"/>
    <xf numFmtId="37" fontId="198" fillId="0" borderId="108" xfId="0" applyNumberFormat="1" applyFont="1" applyBorder="1"/>
    <xf numFmtId="37" fontId="198" fillId="0" borderId="110" xfId="0" applyNumberFormat="1" applyFont="1" applyBorder="1"/>
    <xf numFmtId="166" fontId="198" fillId="0" borderId="105" xfId="0" applyNumberFormat="1" applyFont="1" applyBorder="1"/>
    <xf numFmtId="9" fontId="198" fillId="0" borderId="11" xfId="126" applyNumberFormat="1" applyFont="1" applyBorder="1"/>
    <xf numFmtId="9" fontId="198" fillId="0" borderId="105" xfId="126" applyNumberFormat="1" applyFont="1" applyBorder="1"/>
    <xf numFmtId="37" fontId="198" fillId="0" borderId="11" xfId="0" applyNumberFormat="1" applyFont="1" applyBorder="1" applyAlignment="1">
      <alignment horizontal="right"/>
    </xf>
    <xf numFmtId="37" fontId="198" fillId="0" borderId="22" xfId="0" applyNumberFormat="1" applyFont="1" applyBorder="1" applyAlignment="1">
      <alignment horizontal="right"/>
    </xf>
    <xf numFmtId="5" fontId="198" fillId="0" borderId="110" xfId="0" applyNumberFormat="1" applyFont="1" applyBorder="1"/>
    <xf numFmtId="0" fontId="198" fillId="0" borderId="105" xfId="0" applyNumberFormat="1" applyFont="1" applyBorder="1"/>
    <xf numFmtId="37" fontId="198" fillId="0" borderId="105" xfId="0" applyFont="1" applyBorder="1"/>
    <xf numFmtId="37" fontId="198" fillId="0" borderId="11" xfId="0" applyFont="1" applyBorder="1" applyAlignment="1">
      <alignment horizontal="right"/>
    </xf>
    <xf numFmtId="37" fontId="198" fillId="0" borderId="22" xfId="0" applyFont="1" applyBorder="1" applyAlignment="1">
      <alignment horizontal="right"/>
    </xf>
    <xf numFmtId="37" fontId="198" fillId="0" borderId="108" xfId="0" applyFont="1" applyBorder="1" applyAlignment="1">
      <alignment horizontal="centerContinuous"/>
    </xf>
    <xf numFmtId="1" fontId="198" fillId="0" borderId="0" xfId="0" applyNumberFormat="1" applyFont="1"/>
    <xf numFmtId="5" fontId="198" fillId="0" borderId="0" xfId="0" applyNumberFormat="1" applyFont="1"/>
    <xf numFmtId="37" fontId="198" fillId="0" borderId="0" xfId="0" applyFont="1"/>
    <xf numFmtId="7" fontId="198" fillId="0" borderId="0" xfId="0" applyNumberFormat="1" applyFont="1"/>
    <xf numFmtId="37" fontId="204" fillId="0" borderId="0" xfId="0" applyFont="1"/>
    <xf numFmtId="9" fontId="198" fillId="0" borderId="0" xfId="126" applyFont="1"/>
    <xf numFmtId="166" fontId="198" fillId="0" borderId="0" xfId="0" applyNumberFormat="1" applyFont="1"/>
    <xf numFmtId="166" fontId="198" fillId="0" borderId="0" xfId="126" applyNumberFormat="1" applyFont="1"/>
    <xf numFmtId="0" fontId="198" fillId="0" borderId="0" xfId="0" applyNumberFormat="1" applyFont="1"/>
    <xf numFmtId="192" fontId="198" fillId="0" borderId="0" xfId="0" applyNumberFormat="1" applyFont="1"/>
    <xf numFmtId="0" fontId="204" fillId="0" borderId="0" xfId="0" applyNumberFormat="1" applyFont="1"/>
    <xf numFmtId="5" fontId="204" fillId="0" borderId="0" xfId="0" applyNumberFormat="1" applyFont="1"/>
    <xf numFmtId="37" fontId="198" fillId="0" borderId="0" xfId="0" applyFont="1" applyFill="1"/>
    <xf numFmtId="37" fontId="198" fillId="0" borderId="107" xfId="0" applyFont="1" applyBorder="1"/>
    <xf numFmtId="37" fontId="198" fillId="0" borderId="25" xfId="0" applyFont="1" applyBorder="1"/>
    <xf numFmtId="5" fontId="198" fillId="0" borderId="109" xfId="0" applyNumberFormat="1" applyFont="1" applyBorder="1"/>
    <xf numFmtId="37" fontId="198" fillId="0" borderId="109" xfId="0" quotePrefix="1" applyNumberFormat="1" applyFont="1" applyBorder="1"/>
    <xf numFmtId="37" fontId="198" fillId="0" borderId="109" xfId="0" applyNumberFormat="1" applyFont="1" applyBorder="1"/>
    <xf numFmtId="37" fontId="198" fillId="0" borderId="25" xfId="0" applyNumberFormat="1" applyFont="1" applyBorder="1"/>
    <xf numFmtId="5" fontId="198" fillId="0" borderId="107" xfId="0" applyNumberFormat="1" applyFont="1" applyBorder="1"/>
    <xf numFmtId="37" fontId="198" fillId="0" borderId="109" xfId="0" applyNumberFormat="1" applyFont="1" applyBorder="1" applyAlignment="1">
      <alignment horizontal="left" indent="1"/>
    </xf>
    <xf numFmtId="37" fontId="198" fillId="0" borderId="109" xfId="0" applyNumberFormat="1" applyFont="1" applyFill="1" applyBorder="1"/>
    <xf numFmtId="37" fontId="198" fillId="0" borderId="109" xfId="0" applyFont="1" applyBorder="1"/>
    <xf numFmtId="9" fontId="198" fillId="0" borderId="109" xfId="0" applyNumberFormat="1" applyFont="1" applyBorder="1" applyAlignment="1">
      <alignment horizontal="left" indent="1"/>
    </xf>
    <xf numFmtId="9" fontId="198" fillId="0" borderId="25" xfId="0" applyNumberFormat="1" applyFont="1" applyBorder="1" applyAlignment="1">
      <alignment horizontal="left" indent="1"/>
    </xf>
    <xf numFmtId="37" fontId="198" fillId="0" borderId="107" xfId="0" applyNumberFormat="1" applyFont="1" applyFill="1" applyBorder="1"/>
    <xf numFmtId="166" fontId="198" fillId="0" borderId="25" xfId="0" applyNumberFormat="1" applyFont="1" applyBorder="1" applyAlignment="1">
      <alignment horizontal="left" indent="1"/>
    </xf>
    <xf numFmtId="37" fontId="206" fillId="0" borderId="0" xfId="0" applyFont="1"/>
    <xf numFmtId="41" fontId="184" fillId="0" borderId="21" xfId="0" applyNumberFormat="1" applyFont="1" applyFill="1" applyBorder="1"/>
    <xf numFmtId="166" fontId="184" fillId="0" borderId="0" xfId="127" applyNumberFormat="1" applyFont="1" applyFill="1" applyBorder="1" applyProtection="1"/>
    <xf numFmtId="166" fontId="184" fillId="0" borderId="29" xfId="0" applyNumberFormat="1" applyFont="1" applyFill="1" applyBorder="1" applyProtection="1"/>
    <xf numFmtId="41" fontId="205" fillId="0" borderId="0" xfId="0" applyNumberFormat="1" applyFont="1" applyBorder="1" applyAlignment="1">
      <alignment horizontal="right"/>
    </xf>
    <xf numFmtId="9" fontId="184" fillId="0" borderId="0" xfId="0" applyNumberFormat="1" applyFont="1" applyFill="1"/>
    <xf numFmtId="5" fontId="207" fillId="0" borderId="0" xfId="0" applyNumberFormat="1" applyFont="1" applyFill="1" applyBorder="1"/>
    <xf numFmtId="41" fontId="208" fillId="0" borderId="0" xfId="0" applyNumberFormat="1" applyFont="1" applyFill="1" applyBorder="1"/>
    <xf numFmtId="9" fontId="187" fillId="26" borderId="35" xfId="126" applyFont="1" applyFill="1" applyBorder="1" applyAlignment="1">
      <alignment horizontal="right"/>
    </xf>
    <xf numFmtId="37" fontId="21" fillId="0" borderId="29" xfId="0" applyFont="1" applyFill="1" applyBorder="1" applyAlignment="1">
      <alignment horizontal="center" vertical="center" wrapText="1"/>
    </xf>
    <xf numFmtId="37" fontId="22" fillId="0" borderId="29" xfId="0" applyFont="1" applyFill="1" applyBorder="1" applyAlignment="1">
      <alignment horizontal="center" vertical="center" wrapText="1"/>
    </xf>
    <xf numFmtId="37" fontId="22" fillId="0" borderId="35" xfId="0" applyFont="1" applyFill="1" applyBorder="1" applyAlignment="1">
      <alignment horizontal="center" vertical="center" wrapText="1"/>
    </xf>
    <xf numFmtId="37" fontId="193" fillId="28" borderId="0" xfId="0" applyFont="1" applyFill="1" applyAlignment="1">
      <alignment horizontal="center" vertical="center" wrapText="1"/>
    </xf>
    <xf numFmtId="37" fontId="194" fillId="28" borderId="0" xfId="0" applyFont="1" applyFill="1" applyAlignment="1">
      <alignment horizontal="center" vertical="center" wrapText="1"/>
    </xf>
    <xf numFmtId="168" fontId="16" fillId="0" borderId="20" xfId="0" applyNumberFormat="1" applyFont="1" applyBorder="1" applyAlignment="1">
      <alignment horizontal="center"/>
    </xf>
    <xf numFmtId="168" fontId="16" fillId="0" borderId="0" xfId="0" applyNumberFormat="1" applyFont="1" applyBorder="1" applyAlignment="1">
      <alignment horizontal="center"/>
    </xf>
    <xf numFmtId="168" fontId="16" fillId="0" borderId="21" xfId="0" applyNumberFormat="1" applyFont="1" applyBorder="1" applyAlignment="1">
      <alignment horizontal="center"/>
    </xf>
    <xf numFmtId="37" fontId="21" fillId="18" borderId="94" xfId="119" applyFont="1" applyFill="1" applyBorder="1" applyAlignment="1">
      <alignment horizontal="center"/>
    </xf>
    <xf numFmtId="37" fontId="21" fillId="18" borderId="95" xfId="119" applyFont="1" applyFill="1" applyBorder="1" applyAlignment="1">
      <alignment horizontal="center"/>
    </xf>
    <xf numFmtId="37" fontId="21" fillId="18" borderId="96" xfId="119" applyFont="1" applyFill="1" applyBorder="1" applyAlignment="1">
      <alignment horizontal="center"/>
    </xf>
    <xf numFmtId="37" fontId="21" fillId="18" borderId="97" xfId="119" applyFont="1" applyFill="1" applyBorder="1" applyAlignment="1">
      <alignment horizontal="center"/>
    </xf>
    <xf numFmtId="37" fontId="21" fillId="18" borderId="98" xfId="119" applyFont="1" applyFill="1" applyBorder="1" applyAlignment="1">
      <alignment horizontal="center"/>
    </xf>
    <xf numFmtId="37" fontId="21" fillId="0" borderId="11" xfId="0" applyNumberFormat="1" applyFont="1" applyFill="1" applyBorder="1" applyAlignment="1">
      <alignment horizontal="center"/>
    </xf>
    <xf numFmtId="37" fontId="16" fillId="0" borderId="0" xfId="0" applyFont="1" applyBorder="1" applyAlignment="1">
      <alignment horizontal="center"/>
    </xf>
    <xf numFmtId="37" fontId="16" fillId="0" borderId="21" xfId="0" applyFont="1" applyBorder="1" applyAlignment="1">
      <alignment horizontal="center"/>
    </xf>
    <xf numFmtId="37" fontId="16" fillId="0" borderId="20" xfId="0" applyFont="1" applyBorder="1" applyAlignment="1">
      <alignment horizontal="center"/>
    </xf>
    <xf numFmtId="37" fontId="0" fillId="0" borderId="0" xfId="0"/>
    <xf numFmtId="0" fontId="1" fillId="30" borderId="0" xfId="156" applyFont="1" applyFill="1" applyAlignment="1">
      <alignment vertical="top"/>
    </xf>
    <xf numFmtId="0" fontId="1" fillId="30" borderId="0" xfId="111" applyFill="1" applyAlignment="1">
      <alignment vertical="top"/>
    </xf>
    <xf numFmtId="0" fontId="1" fillId="30" borderId="0" xfId="111" applyFill="1"/>
    <xf numFmtId="0" fontId="109" fillId="30" borderId="0" xfId="156" applyFont="1" applyFill="1" applyAlignment="1">
      <alignment horizontal="left" vertical="top"/>
    </xf>
    <xf numFmtId="0" fontId="1" fillId="30" borderId="0" xfId="111" applyFont="1" applyFill="1" applyAlignment="1">
      <alignment vertical="top"/>
    </xf>
    <xf numFmtId="0" fontId="27" fillId="30" borderId="0" xfId="156" applyFont="1" applyFill="1" applyAlignment="1">
      <alignment vertical="top"/>
    </xf>
    <xf numFmtId="37" fontId="0" fillId="30" borderId="0" xfId="0" applyFill="1" applyAlignment="1">
      <alignment vertical="top"/>
    </xf>
    <xf numFmtId="37" fontId="210" fillId="30" borderId="0" xfId="0" applyFont="1" applyFill="1" applyAlignment="1">
      <alignment vertical="top"/>
    </xf>
    <xf numFmtId="37" fontId="211" fillId="30" borderId="0" xfId="0" applyFont="1" applyFill="1" applyAlignment="1">
      <alignment vertical="top"/>
    </xf>
    <xf numFmtId="37" fontId="211" fillId="30" borderId="0" xfId="0" applyFont="1" applyFill="1" applyAlignment="1">
      <alignment vertical="top"/>
    </xf>
    <xf numFmtId="37" fontId="210" fillId="30" borderId="0" xfId="0" applyFont="1" applyFill="1" applyAlignment="1">
      <alignment vertical="top"/>
    </xf>
    <xf numFmtId="37" fontId="0" fillId="30" borderId="0" xfId="0" applyFill="1" applyAlignment="1">
      <alignment vertical="top"/>
    </xf>
    <xf numFmtId="37" fontId="0" fillId="30" borderId="116" xfId="0" applyFill="1" applyBorder="1" applyAlignment="1">
      <alignment vertical="top"/>
    </xf>
    <xf numFmtId="37" fontId="210" fillId="30" borderId="112" xfId="0" applyFont="1" applyFill="1" applyBorder="1" applyAlignment="1">
      <alignment vertical="top"/>
    </xf>
    <xf numFmtId="37" fontId="210" fillId="30" borderId="113" xfId="0" applyFont="1" applyFill="1" applyBorder="1" applyAlignment="1">
      <alignment vertical="top"/>
    </xf>
    <xf numFmtId="37" fontId="210" fillId="30" borderId="114" xfId="0" applyFont="1" applyFill="1" applyBorder="1" applyAlignment="1">
      <alignment vertical="top"/>
    </xf>
    <xf numFmtId="37" fontId="210" fillId="30" borderId="115" xfId="0" applyFont="1" applyFill="1" applyBorder="1" applyAlignment="1">
      <alignment vertical="top"/>
    </xf>
    <xf numFmtId="37" fontId="0" fillId="30" borderId="117" xfId="0" applyFill="1" applyBorder="1" applyAlignment="1">
      <alignment vertical="top"/>
    </xf>
    <xf numFmtId="2" fontId="1" fillId="0" borderId="0" xfId="111" applyNumberFormat="1" applyAlignment="1">
      <alignment horizontal="left"/>
    </xf>
    <xf numFmtId="0" fontId="1" fillId="0" borderId="0" xfId="111" applyNumberFormat="1" applyAlignment="1">
      <alignment horizontal="left"/>
    </xf>
    <xf numFmtId="1" fontId="1" fillId="0" borderId="0" xfId="111" applyNumberFormat="1" applyAlignment="1">
      <alignment horizontal="left"/>
    </xf>
    <xf numFmtId="0" fontId="1" fillId="0" borderId="0" xfId="111" applyFont="1"/>
    <xf numFmtId="207" fontId="1" fillId="0" borderId="0" xfId="111" applyNumberFormat="1" applyAlignment="1">
      <alignment horizontal="left"/>
    </xf>
    <xf numFmtId="49" fontId="1" fillId="0" borderId="0" xfId="111" applyNumberFormat="1"/>
    <xf numFmtId="0" fontId="212" fillId="0" borderId="0" xfId="111" applyFont="1" applyAlignment="1">
      <alignment wrapText="1"/>
    </xf>
    <xf numFmtId="0" fontId="212" fillId="0" borderId="0" xfId="111" applyFont="1" applyAlignment="1">
      <alignment horizontal="left" wrapText="1" indent="3"/>
    </xf>
    <xf numFmtId="0" fontId="212" fillId="0" borderId="0" xfId="111" applyFont="1" applyAlignment="1">
      <alignment horizontal="left" wrapText="1" indent="1"/>
    </xf>
    <xf numFmtId="0" fontId="214" fillId="0" borderId="0" xfId="111" applyFont="1" applyAlignment="1">
      <alignment wrapText="1"/>
    </xf>
  </cellXfs>
  <cellStyles count="157">
    <cellStyle name="%" xfId="1"/>
    <cellStyle name="% 2" xfId="2"/>
    <cellStyle name="****************************************** 2" xfId="3"/>
    <cellStyle name="_SUMMARY " xfId="4"/>
    <cellStyle name="_SUMMARY  2" xfId="5"/>
    <cellStyle name="=C:\WINNT35\SYSTEM32\COMMAND.COM" xfId="6"/>
    <cellStyle name="=C:\WINNT35\SYSTEM32\COMMAND.COM 2" xfId="7"/>
    <cellStyle name="0_Capex &amp; Depreciation " xfId="8"/>
    <cellStyle name="0_Capex &amp; Depreciation _RRST1" xfId="9"/>
    <cellStyle name="0_Capex &amp; Depreciation _RRST1 2" xfId="10"/>
    <cellStyle name="0_Capex &amp; Depreciation _RRST19" xfId="11"/>
    <cellStyle name="0_Capex &amp; Depreciation _RRST19 2" xfId="12"/>
    <cellStyle name="0_Valuing BP " xfId="13"/>
    <cellStyle name="0_Valuing BP _RRST1" xfId="14"/>
    <cellStyle name="0_Valuing BP _RRST1 2" xfId="15"/>
    <cellStyle name="0_Valuing BP _RRST19" xfId="16"/>
    <cellStyle name="0_Valuing BP _RRST19 2" xfId="17"/>
    <cellStyle name="20% - Accent1" xfId="18" builtinId="30" customBuiltin="1"/>
    <cellStyle name="20% - Accent1 2" xfId="19"/>
    <cellStyle name="20% - Accent2" xfId="20" builtinId="34" customBuiltin="1"/>
    <cellStyle name="20% - Accent2 2" xfId="21"/>
    <cellStyle name="20% - Accent3" xfId="22" builtinId="38" customBuiltin="1"/>
    <cellStyle name="20% - Accent3 2" xfId="23"/>
    <cellStyle name="20% - Accent4" xfId="24" builtinId="42" customBuiltin="1"/>
    <cellStyle name="20% - Accent4 2" xfId="25"/>
    <cellStyle name="20% - Accent5" xfId="26" builtinId="46" customBuiltin="1"/>
    <cellStyle name="20% - Accent5 2" xfId="27"/>
    <cellStyle name="20% - Accent6" xfId="28" builtinId="50" customBuiltin="1"/>
    <cellStyle name="20% - Accent6 2" xfId="29"/>
    <cellStyle name="40% - Accent1" xfId="30" builtinId="31" customBuiltin="1"/>
    <cellStyle name="40% - Accent1 2" xfId="31"/>
    <cellStyle name="40% - Accent2" xfId="32" builtinId="35" customBuiltin="1"/>
    <cellStyle name="40% - Accent2 2" xfId="33"/>
    <cellStyle name="40% - Accent3" xfId="34" builtinId="39" customBuiltin="1"/>
    <cellStyle name="40% - Accent3 2" xfId="35"/>
    <cellStyle name="40% - Accent4" xfId="36" builtinId="43" customBuiltin="1"/>
    <cellStyle name="40% - Accent4 2" xfId="37"/>
    <cellStyle name="40% - Accent5" xfId="38" builtinId="47" customBuiltin="1"/>
    <cellStyle name="40% - Accent5 2" xfId="39"/>
    <cellStyle name="40% - Accent6" xfId="40" builtinId="51" customBuiltin="1"/>
    <cellStyle name="40% - Accent6 2" xfId="41"/>
    <cellStyle name="60% - Accent1" xfId="42" builtinId="32" customBuiltin="1"/>
    <cellStyle name="60% - Accent1 2" xfId="43"/>
    <cellStyle name="60% - Accent2" xfId="44" builtinId="36" customBuiltin="1"/>
    <cellStyle name="60% - Accent2 2" xfId="45"/>
    <cellStyle name="60% - Accent3" xfId="46" builtinId="40" customBuiltin="1"/>
    <cellStyle name="60% - Accent3 2" xfId="47"/>
    <cellStyle name="60% - Accent4" xfId="48" builtinId="44" customBuiltin="1"/>
    <cellStyle name="60% - Accent4 2" xfId="49"/>
    <cellStyle name="60% - Accent5" xfId="50" builtinId="48" customBuiltin="1"/>
    <cellStyle name="60% - Accent5 2" xfId="51"/>
    <cellStyle name="60% - Accent6" xfId="52" builtinId="52" customBuiltin="1"/>
    <cellStyle name="60% - Accent6 2" xfId="53"/>
    <cellStyle name="Accent1" xfId="54" builtinId="29" customBuiltin="1"/>
    <cellStyle name="Accent1 2" xfId="55"/>
    <cellStyle name="Accent2" xfId="56" builtinId="33" customBuiltin="1"/>
    <cellStyle name="Accent2 2" xfId="57"/>
    <cellStyle name="Accent3" xfId="58" builtinId="37" customBuiltin="1"/>
    <cellStyle name="Accent3 2" xfId="59"/>
    <cellStyle name="Accent4" xfId="60" builtinId="41" customBuiltin="1"/>
    <cellStyle name="Accent4 2" xfId="61"/>
    <cellStyle name="Accent5" xfId="62" builtinId="45" customBuiltin="1"/>
    <cellStyle name="Accent5 2" xfId="63"/>
    <cellStyle name="Accent6" xfId="64" builtinId="49" customBuiltin="1"/>
    <cellStyle name="Accent6 2" xfId="65"/>
    <cellStyle name="Bad" xfId="66" builtinId="27" customBuiltin="1"/>
    <cellStyle name="Bad 2" xfId="67"/>
    <cellStyle name="c_HardInc " xfId="68"/>
    <cellStyle name="c_HardInc _RRST1" xfId="69"/>
    <cellStyle name="c_HardInc _RRST1 2" xfId="70"/>
    <cellStyle name="c_HardInc _RRST19" xfId="71"/>
    <cellStyle name="c_HardInc _RRST19 2" xfId="72"/>
    <cellStyle name="Calculation" xfId="73" builtinId="22" customBuiltin="1"/>
    <cellStyle name="Calculation 2" xfId="74"/>
    <cellStyle name="Check Cell" xfId="75" builtinId="23" customBuiltin="1"/>
    <cellStyle name="Check Cell 2" xfId="76"/>
    <cellStyle name="Comma" xfId="77" builtinId="3"/>
    <cellStyle name="Comma 2" xfId="78"/>
    <cellStyle name="Currency" xfId="79" builtinId="4"/>
    <cellStyle name="Currency 2" xfId="80"/>
    <cellStyle name="Currency 2 2" xfId="81"/>
    <cellStyle name="Currency 3" xfId="82"/>
    <cellStyle name="Currency 4" xfId="83"/>
    <cellStyle name="Currency_HOT WIP" xfId="84"/>
    <cellStyle name="Currency_MAR Bear to Bull" xfId="85"/>
    <cellStyle name="Explanatory Text" xfId="86" builtinId="53" customBuiltin="1"/>
    <cellStyle name="Explanatory Text 2" xfId="87"/>
    <cellStyle name="Fail" xfId="88"/>
    <cellStyle name="FiscalPeriod" xfId="89"/>
    <cellStyle name="Good" xfId="90" builtinId="26" customBuiltin="1"/>
    <cellStyle name="Good 2" xfId="91"/>
    <cellStyle name="Heading 1" xfId="92" builtinId="16" customBuiltin="1"/>
    <cellStyle name="Heading 1 2" xfId="93"/>
    <cellStyle name="Heading 2" xfId="94" builtinId="17" customBuiltin="1"/>
    <cellStyle name="Heading 2 2" xfId="95"/>
    <cellStyle name="Heading 3" xfId="96" builtinId="18" customBuiltin="1"/>
    <cellStyle name="Heading 3 2" xfId="97"/>
    <cellStyle name="Heading 4" xfId="98" builtinId="19" customBuiltin="1"/>
    <cellStyle name="Heading 4 2" xfId="99"/>
    <cellStyle name="Hidden" xfId="100"/>
    <cellStyle name="Input" xfId="101" builtinId="20" customBuiltin="1"/>
    <cellStyle name="Input 2" xfId="102"/>
    <cellStyle name="Linked Cell" xfId="103" builtinId="24" customBuiltin="1"/>
    <cellStyle name="Linked Cell 2" xfId="104"/>
    <cellStyle name="MetricLabel" xfId="105"/>
    <cellStyle name="MetricLabelBlue" xfId="106"/>
    <cellStyle name="MetricValue" xfId="107"/>
    <cellStyle name="Neutral" xfId="108" builtinId="28" customBuiltin="1"/>
    <cellStyle name="Neutral 2" xfId="109"/>
    <cellStyle name="Normal" xfId="0" builtinId="0" customBuiltin="1"/>
    <cellStyle name="Normal 2" xfId="110"/>
    <cellStyle name="Normal 3" xfId="111"/>
    <cellStyle name="Normal 3 2" xfId="112"/>
    <cellStyle name="Normal 4" xfId="113"/>
    <cellStyle name="Normal 5" xfId="114"/>
    <cellStyle name="Normal 6" xfId="115"/>
    <cellStyle name="Normal_Book3" xfId="116"/>
    <cellStyle name="Normal_DisclaimerSheet Samples" xfId="156"/>
    <cellStyle name="Normal_HOT WIP" xfId="117"/>
    <cellStyle name="Normal_Waterfall1" xfId="118"/>
    <cellStyle name="Normal_WYNN WIP" xfId="119"/>
    <cellStyle name="Note" xfId="120" builtinId="10" customBuiltin="1"/>
    <cellStyle name="Note 2" xfId="121"/>
    <cellStyle name="Output" xfId="122" builtinId="21" customBuiltin="1"/>
    <cellStyle name="Output 2" xfId="123"/>
    <cellStyle name="p " xfId="124"/>
    <cellStyle name="Pass" xfId="125"/>
    <cellStyle name="Percent" xfId="126" builtinId="5"/>
    <cellStyle name="Percent 2" xfId="127"/>
    <cellStyle name="Percent 3" xfId="128"/>
    <cellStyle name="Percent_HOT WIP" xfId="129"/>
    <cellStyle name="Percent_WYNN WIP" xfId="130"/>
    <cellStyle name="RRSInstruction" xfId="131"/>
    <cellStyle name="RRSInstruction 2" xfId="132"/>
    <cellStyle name="RRSInstruction 3" xfId="133"/>
    <cellStyle name="RRSInstruction 4" xfId="155"/>
    <cellStyle name="s_HardInc " xfId="134"/>
    <cellStyle name="s_HardInc _RRST1" xfId="135"/>
    <cellStyle name="s_HardInc _RRST1 2" xfId="136"/>
    <cellStyle name="s_HardInc _RRST19" xfId="137"/>
    <cellStyle name="s_HardInc _RRST19 2" xfId="138"/>
    <cellStyle name="s_Valuation " xfId="139"/>
    <cellStyle name="s_Valuation _RRST1" xfId="140"/>
    <cellStyle name="s_Valuation _RRST1 2" xfId="141"/>
    <cellStyle name="s_Valuation _RRST19" xfId="142"/>
    <cellStyle name="s_Valuation _RRST19 2" xfId="143"/>
    <cellStyle name="ssp " xfId="144"/>
    <cellStyle name="Style 1" xfId="145"/>
    <cellStyle name="Style 1 2" xfId="146"/>
    <cellStyle name="Style 2" xfId="147"/>
    <cellStyle name="Style 2 2" xfId="148"/>
    <cellStyle name="Title" xfId="149" builtinId="15" customBuiltin="1"/>
    <cellStyle name="Title 2" xfId="150"/>
    <cellStyle name="Total" xfId="151" builtinId="25" customBuiltin="1"/>
    <cellStyle name="Total 2" xfId="152"/>
    <cellStyle name="Warning Text" xfId="153" builtinId="11" customBuiltin="1"/>
    <cellStyle name="Warning Text 2" xfId="154"/>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32C464"/>
      <rgbColor rgb="00CCFFFF"/>
      <rgbColor rgb="00660066"/>
      <rgbColor rgb="00F37B53"/>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3399FF"/>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AAC6B"/>
      <color rgb="FF800000"/>
      <color rgb="FF008000"/>
      <color rgb="FFFFFFFF"/>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 xml:space="preserve">$1,524 </v>
        <stp/>
        <stp>7ff42755-fb94-4dbb-b703-9ed5629e98a6</stp>
        <tr r="AA41" s="72"/>
      </tp>
      <tp t="s">
        <v>N/A</v>
        <stp/>
        <stp>873d6878-7344-4c6f-a6cc-25e6ca066b5e</stp>
        <tr r="AA45" s="72"/>
      </tp>
      <tp t="s">
        <v xml:space="preserve">$3,436 </v>
        <stp/>
        <stp>b8b365ed-9446-422c-a5fb-2299106638de</stp>
        <tr r="AE41" s="72"/>
      </tp>
      <tp t="s">
        <v xml:space="preserve">$77.05 </v>
        <stp/>
        <stp>ab062b80-721b-4547-aaee-d90bac4df269</stp>
        <tr r="BY263" s="72"/>
      </tp>
      <tp t="s">
        <v xml:space="preserve">$2,987 </v>
        <stp/>
        <stp>95a6a216-e261-465b-94c2-558991821b31</stp>
        <tr r="AC41" s="72"/>
      </tp>
      <tp t="s">
        <v xml:space="preserve">$68.44 </v>
        <stp/>
        <stp>84294651-aed4-4a0f-b4c7-09200c51cde0</stp>
        <tr r="BY244" s="72"/>
      </tp>
      <tp t="s">
        <v xml:space="preserve">$1,718 </v>
        <stp/>
        <stp>0ed90ae5-b384-4c04-97d2-4d24908f0030</stp>
        <tr r="AB41" s="72"/>
      </tp>
      <tp t="s">
        <v xml:space="preserve">$3,166 </v>
        <stp/>
        <stp>e59f8466-144a-42d0-9a21-c79083fe7c90</stp>
        <tr r="AD41" s="72"/>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chartsheets/sheet1.xml" Type="http://schemas.openxmlformats.org/officeDocument/2006/relationships/chartsheet"/>
<Relationship Id="rId18" Target="worksheets/sheet17.xml" Type="http://schemas.openxmlformats.org/officeDocument/2006/relationships/worksheet"/>
<Relationship Id="rId19" Target="worksheets/sheet18.xml" Type="http://schemas.openxmlformats.org/officeDocument/2006/relationships/worksheet"/>
<Relationship Id="rId2" Target="worksheets/sheet2.xml" Type="http://schemas.openxmlformats.org/officeDocument/2006/relationships/worksheet"/>
<Relationship Id="rId20" Target="worksheets/sheet19.xml" Type="http://schemas.openxmlformats.org/officeDocument/2006/relationships/worksheet"/>
<Relationship Id="rId21" Target="worksheets/sheet20.xml" Type="http://schemas.openxmlformats.org/officeDocument/2006/relationships/worksheet"/>
<Relationship Id="rId22" Target="worksheets/sheet21.xml" Type="http://schemas.openxmlformats.org/officeDocument/2006/relationships/worksheet"/>
<Relationship Id="rId23" Target="worksheets/sheet22.xml" Type="http://schemas.openxmlformats.org/officeDocument/2006/relationships/worksheet"/>
<Relationship Id="rId24" Target="worksheets/sheet23.xml" Type="http://schemas.openxmlformats.org/officeDocument/2006/relationships/worksheet"/>
<Relationship Id="rId25" Target="worksheets/sheet24.xml" Type="http://schemas.openxmlformats.org/officeDocument/2006/relationships/worksheet"/>
<Relationship Id="rId26" Target="worksheets/sheet25.xml" Type="http://schemas.openxmlformats.org/officeDocument/2006/relationships/worksheet"/>
<Relationship Id="rId27" Target="worksheets/sheet26.xml" Type="http://schemas.openxmlformats.org/officeDocument/2006/relationships/worksheet"/>
<Relationship Id="rId28" Target="worksheets/sheet27.xml" Type="http://schemas.openxmlformats.org/officeDocument/2006/relationships/worksheet"/>
<Relationship Id="rId29" Target="worksheets/sheet28.xml" Type="http://schemas.openxmlformats.org/officeDocument/2006/relationships/worksheet"/>
<Relationship Id="rId3" Target="worksheets/sheet3.xml" Type="http://schemas.openxmlformats.org/officeDocument/2006/relationships/worksheet"/>
<Relationship Id="rId30" Target="worksheets/sheet29.xml" Type="http://schemas.openxmlformats.org/officeDocument/2006/relationships/worksheet"/>
<Relationship Id="rId31" Target="worksheets/sheet30.xml" Type="http://schemas.openxmlformats.org/officeDocument/2006/relationships/worksheet"/>
<Relationship Id="rId32" Target="worksheets/sheet31.xml" Type="http://schemas.openxmlformats.org/officeDocument/2006/relationships/worksheet"/>
<Relationship Id="rId33" Target="worksheets/sheet32.xml" Type="http://schemas.openxmlformats.org/officeDocument/2006/relationships/worksheet"/>
<Relationship Id="rId34" Target="worksheets/sheet33.xml" Type="http://schemas.openxmlformats.org/officeDocument/2006/relationships/worksheet"/>
<Relationship Id="rId35" Target="worksheets/sheet34.xml" Type="http://schemas.openxmlformats.org/officeDocument/2006/relationships/worksheet"/>
<Relationship Id="rId36" Target="worksheets/sheet35.xml" Type="http://schemas.openxmlformats.org/officeDocument/2006/relationships/worksheet"/>
<Relationship Id="rId37" Target="worksheets/sheet36.xml" Type="http://schemas.openxmlformats.org/officeDocument/2006/relationships/worksheet"/>
<Relationship Id="rId38" Target="worksheets/sheet37.xml" Type="http://schemas.openxmlformats.org/officeDocument/2006/relationships/worksheet"/>
<Relationship Id="rId39" Target="worksheets/sheet38.xml" Type="http://schemas.openxmlformats.org/officeDocument/2006/relationships/worksheet"/>
<Relationship Id="rId4" Target="worksheets/sheet4.xml" Type="http://schemas.openxmlformats.org/officeDocument/2006/relationships/worksheet"/>
<Relationship Id="rId40" Target="worksheets/sheet39.xml" Type="http://schemas.openxmlformats.org/officeDocument/2006/relationships/worksheet"/>
<Relationship Id="rId41" Target="worksheets/sheet40.xml" Type="http://schemas.openxmlformats.org/officeDocument/2006/relationships/worksheet"/>
<Relationship Id="rId42" Target="worksheets/sheet41.xml" Type="http://schemas.openxmlformats.org/officeDocument/2006/relationships/worksheet"/>
<Relationship Id="rId43" Target="worksheets/sheet42.xml" Type="http://schemas.openxmlformats.org/officeDocument/2006/relationships/worksheet"/>
<Relationship Id="rId44" Target="worksheets/sheet43.xml" Type="http://schemas.openxmlformats.org/officeDocument/2006/relationships/worksheet"/>
<Relationship Id="rId45" Target="worksheets/sheet44.xml" Type="http://schemas.openxmlformats.org/officeDocument/2006/relationships/worksheet"/>
<Relationship Id="rId46" Target="worksheets/sheet45.xml" Type="http://schemas.openxmlformats.org/officeDocument/2006/relationships/worksheet"/>
<Relationship Id="rId47" Target="worksheets/sheet46.xml" Type="http://schemas.openxmlformats.org/officeDocument/2006/relationships/worksheet"/>
<Relationship Id="rId48" Target="worksheets/sheet47.xml" Type="http://schemas.openxmlformats.org/officeDocument/2006/relationships/worksheet"/>
<Relationship Id="rId49" Target="theme/theme1.xml" Type="http://schemas.openxmlformats.org/officeDocument/2006/relationships/theme"/>
<Relationship Id="rId5" Target="worksheets/sheet5.xml" Type="http://schemas.openxmlformats.org/officeDocument/2006/relationships/worksheet"/>
<Relationship Id="rId50" Target="styles.xml" Type="http://schemas.openxmlformats.org/officeDocument/2006/relationships/styles"/>
<Relationship Id="rId51" Target="sharedStrings.xml" Type="http://schemas.openxmlformats.org/officeDocument/2006/relationships/sharedStrings"/>
<Relationship Id="rId52" Target="calcChain.xml" Type="http://schemas.openxmlformats.org/officeDocument/2006/relationships/calcChain"/>
<Relationship Id="rId53" Target="../customXml/item1.xml" Type="http://schemas.openxmlformats.org/officeDocument/2006/relationships/customXml"/>
<Relationship Id="rId54" Target="../customXml/item2.xml" Type="http://schemas.openxmlformats.org/officeDocument/2006/relationships/customXml"/>
<Relationship Id="rId55" Target="volatileDependencies.xml" Type="http://schemas.openxmlformats.org/officeDocument/2006/relationships/volatileDependencies"/>
<Relationship Id="rId56" Target="vbaProject.bin" Type="http://schemas.microsoft.com/office/2006/relationships/vbaProjec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_rels/chart3.xml.rels><?xml version="1.0" encoding="UTF-8" standalone="yes"?>
<Relationships xmlns="http://schemas.openxmlformats.org/package/2006/relationships">
<Relationship Id="rId1" Target="../drawings/drawing4.xml" Type="http://schemas.openxmlformats.org/officeDocument/2006/relationships/chartUserShapes"/>
</Relationships>

</file>

<file path=xl/charts/_rels/chart7.xml.rels><?xml version="1.0" encoding="UTF-8" standalone="yes"?>
<Relationships xmlns="http://schemas.openxmlformats.org/package/2006/relationships">
<Relationship Id="rId1" Target="../drawings/drawing5.xml" Type="http://schemas.openxmlformats.org/officeDocument/2006/relationships/chartUserShapes"/>
</Relationships>

</file>

<file path=xl/charts/_rels/chart8.xml.rels><?xml version="1.0" encoding="UTF-8" standalone="yes"?>
<Relationships xmlns="http://schemas.openxmlformats.org/package/2006/relationships">
<Relationship Id="rId1" Target="../drawings/drawing6.xml" Type="http://schemas.openxmlformats.org/officeDocument/2006/relationships/chartUserShapes"/>
</Relationships>

</file>

<file path=xl/charts/_rels/chart14.xml.rels><?xml version="1.0" encoding="UTF-8" standalone="yes"?>
<Relationships xmlns="http://schemas.openxmlformats.org/package/2006/relationships">
<Relationship Id="rId1" Target="../drawings/drawing11.xml" Type="http://schemas.openxmlformats.org/officeDocument/2006/relationships/chartUserShapes"/>
</Relationships>

</file>

<file path=xl/charts/_rels/chart16.xml.rels><?xml version="1.0" encoding="UTF-8" standalone="yes"?>
<Relationships xmlns="http://schemas.openxmlformats.org/package/2006/relationships">
<Relationship Id="rId1" Target="../drawings/drawing14.xml" Type="http://schemas.openxmlformats.org/officeDocument/2006/relationships/chartUserShapes"/>
</Relationships>

</file>

<file path=xl/charts/_rels/chart18.xml.rels><?xml version="1.0" encoding="UTF-8" standalone="yes"?>
<Relationships xmlns="http://schemas.openxmlformats.org/package/2006/relationships">
<Relationship Id="rId1" Target="../drawings/drawing15.xml" Type="http://schemas.openxmlformats.org/officeDocument/2006/relationships/chartUserShapes"/>
</Relationships>

</file>

<file path=xl/charts/_rels/chart21.xml.rels><?xml version="1.0" encoding="UTF-8" standalone="yes"?>
<Relationships xmlns="http://schemas.openxmlformats.org/package/2006/relationships">
<Relationship Id="rId1" Target="../drawings/drawing17.xml" Type="http://schemas.openxmlformats.org/officeDocument/2006/relationships/chartUserShapes"/>
</Relationships>

</file>

<file path=xl/charts/_rels/chart23.xml.rels><?xml version="1.0" encoding="UTF-8" standalone="yes"?>
<Relationships xmlns="http://schemas.openxmlformats.org/package/2006/relationships">
<Relationship Id="rId1" Target="../drawings/drawing18.xml" Type="http://schemas.openxmlformats.org/officeDocument/2006/relationships/chartUserShapes"/>
</Relationships>

</file>

<file path=xl/charts/_rels/chart26.xml.rels><?xml version="1.0" encoding="UTF-8" standalone="yes"?>
<Relationships xmlns="http://schemas.openxmlformats.org/package/2006/relationships">
<Relationship Id="rId1" Target="../drawings/drawing20.xml" Type="http://schemas.openxmlformats.org/officeDocument/2006/relationships/chartUserShapes"/>
</Relationships>

</file>

<file path=xl/charts/_rels/chart35.xml.rels><?xml version="1.0" encoding="UTF-8" standalone="yes"?>
<Relationships xmlns="http://schemas.openxmlformats.org/package/2006/relationships">
<Relationship Id="rId1" Target="../drawings/drawing22.xml" Type="http://schemas.openxmlformats.org/officeDocument/2006/relationships/chartUserShapes"/>
</Relationships>

</file>

<file path=xl/charts/_rels/chart36.xml.rels><?xml version="1.0" encoding="UTF-8" standalone="yes"?>
<Relationships xmlns="http://schemas.openxmlformats.org/package/2006/relationships">
<Relationship Id="rId1" Target="../drawings/drawing23.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MAR</a:t>
            </a:r>
          </a:p>
        </c:rich>
      </c:tx>
      <c:layout>
        <c:manualLayout>
          <c:xMode val="edge"/>
          <c:yMode val="edge"/>
          <c:x val="0.46688240706583728"/>
          <c:y val="3.3519659052519427E-2"/>
        </c:manualLayout>
      </c:layout>
      <c:overlay val="0"/>
      <c:spPr>
        <a:noFill/>
        <a:ln w="25400">
          <a:noFill/>
        </a:ln>
      </c:spPr>
    </c:title>
    <c:autoTitleDeleted val="0"/>
    <c:plotArea>
      <c:layout>
        <c:manualLayout>
          <c:layoutTarget val="inner"/>
          <c:xMode val="edge"/>
          <c:yMode val="edge"/>
          <c:x val="0.15831999564569527"/>
          <c:y val="0.1368716950611239"/>
          <c:w val="0.68497630769157958"/>
          <c:h val="0.65921877621275993"/>
        </c:manualLayout>
      </c:layout>
      <c:barChart>
        <c:barDir val="col"/>
        <c:grouping val="clustered"/>
        <c:varyColors val="0"/>
        <c:ser>
          <c:idx val="2"/>
          <c:order val="3"/>
          <c:tx>
            <c:strRef>
              <c:f>'New Exhibits'!$A$5</c:f>
              <c:strCache>
                <c:ptCount val="1"/>
                <c:pt idx="0">
                  <c:v>Total Capital Returns</c:v>
                </c:pt>
              </c:strCache>
            </c:strRef>
          </c:tx>
          <c:spPr>
            <a:solidFill>
              <a:srgbClr val="FFCC00"/>
            </a:solidFill>
            <a:ln w="12700">
              <a:solidFill>
                <a:srgbClr val="000000"/>
              </a:solidFill>
              <a:prstDash val="solid"/>
            </a:ln>
          </c:spPr>
          <c:invertIfNegative val="0"/>
          <c:cat>
            <c:numRef>
              <c:f>'New Exhibits'!$B$1:$P$1</c:f>
              <c:numCache>
                <c:formatCode>0</c:formatCode>
                <c:ptCount val="15"/>
                <c:pt idx="0">
                  <c:v>1999</c:v>
                </c:pt>
                <c:pt idx="1">
                  <c:v>2000</c:v>
                </c:pt>
                <c:pt idx="2">
                  <c:v>2001</c:v>
                </c:pt>
                <c:pt idx="3">
                  <c:v>2002</c:v>
                </c:pt>
                <c:pt idx="4">
                  <c:v>2003</c:v>
                </c:pt>
                <c:pt idx="5">
                  <c:v>2004</c:v>
                </c:pt>
                <c:pt idx="6">
                  <c:v>2005</c:v>
                </c:pt>
                <c:pt idx="7">
                  <c:v>2006</c:v>
                </c:pt>
                <c:pt idx="8">
                  <c:v>2007</c:v>
                </c:pt>
                <c:pt idx="9">
                  <c:v>2008</c:v>
                </c:pt>
                <c:pt idx="10">
                  <c:v>2009</c:v>
                </c:pt>
                <c:pt idx="11">
                  <c:v>2010</c:v>
                </c:pt>
                <c:pt idx="12">
                  <c:v>2011</c:v>
                </c:pt>
                <c:pt idx="13">
                  <c:v>2012</c:v>
                </c:pt>
                <c:pt idx="14">
                  <c:v>2013</c:v>
                </c:pt>
              </c:numCache>
            </c:numRef>
          </c:cat>
          <c:val>
            <c:numRef>
              <c:f>'New Exhibits'!$B$5:$P$5</c:f>
              <c:numCache>
                <c:formatCode>"$"#,##0_);\("$"#,##0\)</c:formatCode>
                <c:ptCount val="15"/>
                <c:pt idx="0">
                  <c:v>363</c:v>
                </c:pt>
                <c:pt idx="1">
                  <c:v>395</c:v>
                </c:pt>
                <c:pt idx="2">
                  <c:v>296</c:v>
                </c:pt>
                <c:pt idx="3">
                  <c:v>317</c:v>
                </c:pt>
                <c:pt idx="4">
                  <c:v>441</c:v>
                </c:pt>
                <c:pt idx="5">
                  <c:v>737</c:v>
                </c:pt>
                <c:pt idx="6">
                  <c:v>1728</c:v>
                </c:pt>
                <c:pt idx="7">
                  <c:v>1639</c:v>
                </c:pt>
                <c:pt idx="8">
                  <c:v>1862</c:v>
                </c:pt>
                <c:pt idx="9">
                  <c:v>549</c:v>
                </c:pt>
                <c:pt idx="10">
                  <c:v>63</c:v>
                </c:pt>
                <c:pt idx="11">
                  <c:v>100</c:v>
                </c:pt>
                <c:pt idx="12">
                  <c:v>1559</c:v>
                </c:pt>
                <c:pt idx="13">
                  <c:v>1336</c:v>
                </c:pt>
                <c:pt idx="14">
                  <c:v>1030</c:v>
                </c:pt>
              </c:numCache>
            </c:numRef>
          </c:val>
        </c:ser>
        <c:dLbls>
          <c:showLegendKey val="0"/>
          <c:showVal val="0"/>
          <c:showCatName val="0"/>
          <c:showSerName val="0"/>
          <c:showPercent val="0"/>
          <c:showBubbleSize val="0"/>
        </c:dLbls>
        <c:gapWidth val="60"/>
        <c:axId val="23533440"/>
        <c:axId val="23534976"/>
      </c:barChart>
      <c:lineChart>
        <c:grouping val="standard"/>
        <c:varyColors val="0"/>
        <c:ser>
          <c:idx val="1"/>
          <c:order val="0"/>
          <c:tx>
            <c:strRef>
              <c:f>'New Exhibits'!$A$2</c:f>
              <c:strCache>
                <c:ptCount val="1"/>
                <c:pt idx="0">
                  <c:v>Dividends</c:v>
                </c:pt>
              </c:strCache>
            </c:strRef>
          </c:tx>
          <c:cat>
            <c:numRef>
              <c:f>'New Exhibits'!$B$1:$P$1</c:f>
              <c:numCache>
                <c:formatCode>0</c:formatCode>
                <c:ptCount val="15"/>
                <c:pt idx="0">
                  <c:v>1999</c:v>
                </c:pt>
                <c:pt idx="1">
                  <c:v>2000</c:v>
                </c:pt>
                <c:pt idx="2">
                  <c:v>2001</c:v>
                </c:pt>
                <c:pt idx="3">
                  <c:v>2002</c:v>
                </c:pt>
                <c:pt idx="4">
                  <c:v>2003</c:v>
                </c:pt>
                <c:pt idx="5">
                  <c:v>2004</c:v>
                </c:pt>
                <c:pt idx="6">
                  <c:v>2005</c:v>
                </c:pt>
                <c:pt idx="7">
                  <c:v>2006</c:v>
                </c:pt>
                <c:pt idx="8">
                  <c:v>2007</c:v>
                </c:pt>
                <c:pt idx="9">
                  <c:v>2008</c:v>
                </c:pt>
                <c:pt idx="10">
                  <c:v>2009</c:v>
                </c:pt>
                <c:pt idx="11">
                  <c:v>2010</c:v>
                </c:pt>
                <c:pt idx="12">
                  <c:v>2011</c:v>
                </c:pt>
                <c:pt idx="13">
                  <c:v>2012</c:v>
                </c:pt>
                <c:pt idx="14">
                  <c:v>2013</c:v>
                </c:pt>
              </c:numCache>
            </c:numRef>
          </c:cat>
          <c:val>
            <c:numRef>
              <c:f>'New Exhibits'!$B$2:$P$2</c:f>
              <c:numCache>
                <c:formatCode>"$"#,##0_);\("$"#,##0\)</c:formatCode>
                <c:ptCount val="15"/>
                <c:pt idx="0">
                  <c:v>52</c:v>
                </c:pt>
                <c:pt idx="1">
                  <c:v>55</c:v>
                </c:pt>
                <c:pt idx="2">
                  <c:v>61</c:v>
                </c:pt>
                <c:pt idx="3">
                  <c:v>65</c:v>
                </c:pt>
                <c:pt idx="4">
                  <c:v>68</c:v>
                </c:pt>
                <c:pt idx="5">
                  <c:v>73</c:v>
                </c:pt>
                <c:pt idx="6">
                  <c:v>84</c:v>
                </c:pt>
                <c:pt idx="7">
                  <c:v>93</c:v>
                </c:pt>
                <c:pt idx="8">
                  <c:v>105</c:v>
                </c:pt>
                <c:pt idx="9">
                  <c:v>115</c:v>
                </c:pt>
                <c:pt idx="10">
                  <c:v>63</c:v>
                </c:pt>
                <c:pt idx="11">
                  <c:v>43</c:v>
                </c:pt>
                <c:pt idx="12">
                  <c:v>134</c:v>
                </c:pt>
                <c:pt idx="13">
                  <c:v>191</c:v>
                </c:pt>
                <c:pt idx="14">
                  <c:v>196</c:v>
                </c:pt>
              </c:numCache>
            </c:numRef>
          </c:val>
          <c:smooth val="0"/>
        </c:ser>
        <c:ser>
          <c:idx val="0"/>
          <c:order val="1"/>
          <c:tx>
            <c:strRef>
              <c:f>'New Exhibits'!$A$3</c:f>
              <c:strCache>
                <c:ptCount val="1"/>
                <c:pt idx="0">
                  <c:v>Buybacks / Share Issuance</c:v>
                </c:pt>
              </c:strCache>
            </c:strRef>
          </c:tx>
          <c:cat>
            <c:numRef>
              <c:f>'New Exhibits'!$B$1:$P$1</c:f>
              <c:numCache>
                <c:formatCode>0</c:formatCode>
                <c:ptCount val="15"/>
                <c:pt idx="0">
                  <c:v>1999</c:v>
                </c:pt>
                <c:pt idx="1">
                  <c:v>2000</c:v>
                </c:pt>
                <c:pt idx="2">
                  <c:v>2001</c:v>
                </c:pt>
                <c:pt idx="3">
                  <c:v>2002</c:v>
                </c:pt>
                <c:pt idx="4">
                  <c:v>2003</c:v>
                </c:pt>
                <c:pt idx="5">
                  <c:v>2004</c:v>
                </c:pt>
                <c:pt idx="6">
                  <c:v>2005</c:v>
                </c:pt>
                <c:pt idx="7">
                  <c:v>2006</c:v>
                </c:pt>
                <c:pt idx="8">
                  <c:v>2007</c:v>
                </c:pt>
                <c:pt idx="9">
                  <c:v>2008</c:v>
                </c:pt>
                <c:pt idx="10">
                  <c:v>2009</c:v>
                </c:pt>
                <c:pt idx="11">
                  <c:v>2010</c:v>
                </c:pt>
                <c:pt idx="12">
                  <c:v>2011</c:v>
                </c:pt>
                <c:pt idx="13">
                  <c:v>2012</c:v>
                </c:pt>
                <c:pt idx="14">
                  <c:v>2013</c:v>
                </c:pt>
              </c:numCache>
            </c:numRef>
          </c:cat>
          <c:val>
            <c:numRef>
              <c:f>'New Exhibits'!$B$3:$P$3</c:f>
              <c:numCache>
                <c:formatCode>#,##0_);\(#,##0\)</c:formatCode>
                <c:ptCount val="15"/>
                <c:pt idx="0">
                  <c:v>311</c:v>
                </c:pt>
                <c:pt idx="1">
                  <c:v>340</c:v>
                </c:pt>
                <c:pt idx="2">
                  <c:v>235</c:v>
                </c:pt>
                <c:pt idx="3">
                  <c:v>252</c:v>
                </c:pt>
                <c:pt idx="4">
                  <c:v>373</c:v>
                </c:pt>
                <c:pt idx="5">
                  <c:v>664</c:v>
                </c:pt>
                <c:pt idx="6">
                  <c:v>1644</c:v>
                </c:pt>
                <c:pt idx="7">
                  <c:v>1546</c:v>
                </c:pt>
                <c:pt idx="8">
                  <c:v>1757</c:v>
                </c:pt>
                <c:pt idx="9">
                  <c:v>434</c:v>
                </c:pt>
                <c:pt idx="10">
                  <c:v>0</c:v>
                </c:pt>
                <c:pt idx="11">
                  <c:v>57</c:v>
                </c:pt>
                <c:pt idx="12">
                  <c:v>1425</c:v>
                </c:pt>
                <c:pt idx="13">
                  <c:v>1145</c:v>
                </c:pt>
                <c:pt idx="14">
                  <c:v>834</c:v>
                </c:pt>
              </c:numCache>
            </c:numRef>
          </c:val>
          <c:smooth val="0"/>
        </c:ser>
        <c:ser>
          <c:idx val="4"/>
          <c:order val="2"/>
          <c:tx>
            <c:strRef>
              <c:f>'New Exhibits'!$A$4</c:f>
              <c:strCache>
                <c:ptCount val="1"/>
              </c:strCache>
            </c:strRef>
          </c:tx>
          <c:cat>
            <c:numRef>
              <c:f>'New Exhibits'!$B$1:$P$1</c:f>
              <c:numCache>
                <c:formatCode>0</c:formatCode>
                <c:ptCount val="15"/>
                <c:pt idx="0">
                  <c:v>1999</c:v>
                </c:pt>
                <c:pt idx="1">
                  <c:v>2000</c:v>
                </c:pt>
                <c:pt idx="2">
                  <c:v>2001</c:v>
                </c:pt>
                <c:pt idx="3">
                  <c:v>2002</c:v>
                </c:pt>
                <c:pt idx="4">
                  <c:v>2003</c:v>
                </c:pt>
                <c:pt idx="5">
                  <c:v>2004</c:v>
                </c:pt>
                <c:pt idx="6">
                  <c:v>2005</c:v>
                </c:pt>
                <c:pt idx="7">
                  <c:v>2006</c:v>
                </c:pt>
                <c:pt idx="8">
                  <c:v>2007</c:v>
                </c:pt>
                <c:pt idx="9">
                  <c:v>2008</c:v>
                </c:pt>
                <c:pt idx="10">
                  <c:v>2009</c:v>
                </c:pt>
                <c:pt idx="11">
                  <c:v>2010</c:v>
                </c:pt>
                <c:pt idx="12">
                  <c:v>2011</c:v>
                </c:pt>
                <c:pt idx="13">
                  <c:v>2012</c:v>
                </c:pt>
                <c:pt idx="14">
                  <c:v>2013</c:v>
                </c:pt>
              </c:numCache>
            </c:numRef>
          </c:cat>
          <c:val>
            <c:numRef>
              <c:f>'New Exhibits'!$B$4:$P$4</c:f>
              <c:numCache>
                <c:formatCode>#,##0_);\(#,##0\)</c:formatCode>
                <c:ptCount val="15"/>
              </c:numCache>
            </c:numRef>
          </c:val>
          <c:smooth val="0"/>
        </c:ser>
        <c:ser>
          <c:idx val="3"/>
          <c:order val="4"/>
          <c:tx>
            <c:strRef>
              <c:f>'New Exhibits'!$A$6</c:f>
              <c:strCache>
                <c:ptCount val="1"/>
                <c:pt idx="0">
                  <c:v>Avg Stock Price</c:v>
                </c:pt>
              </c:strCache>
            </c:strRef>
          </c:tx>
          <c:spPr>
            <a:ln w="25400">
              <a:solidFill>
                <a:srgbClr val="000080"/>
              </a:solidFill>
              <a:prstDash val="solid"/>
            </a:ln>
          </c:spPr>
          <c:marker>
            <c:symbol val="none"/>
          </c:marker>
          <c:cat>
            <c:numRef>
              <c:f>'New Exhibits'!$B$1:$P$1</c:f>
              <c:numCache>
                <c:formatCode>0</c:formatCode>
                <c:ptCount val="15"/>
                <c:pt idx="0">
                  <c:v>1999</c:v>
                </c:pt>
                <c:pt idx="1">
                  <c:v>2000</c:v>
                </c:pt>
                <c:pt idx="2">
                  <c:v>2001</c:v>
                </c:pt>
                <c:pt idx="3">
                  <c:v>2002</c:v>
                </c:pt>
                <c:pt idx="4">
                  <c:v>2003</c:v>
                </c:pt>
                <c:pt idx="5">
                  <c:v>2004</c:v>
                </c:pt>
                <c:pt idx="6">
                  <c:v>2005</c:v>
                </c:pt>
                <c:pt idx="7">
                  <c:v>2006</c:v>
                </c:pt>
                <c:pt idx="8">
                  <c:v>2007</c:v>
                </c:pt>
                <c:pt idx="9">
                  <c:v>2008</c:v>
                </c:pt>
                <c:pt idx="10">
                  <c:v>2009</c:v>
                </c:pt>
                <c:pt idx="11">
                  <c:v>2010</c:v>
                </c:pt>
                <c:pt idx="12">
                  <c:v>2011</c:v>
                </c:pt>
                <c:pt idx="13">
                  <c:v>2012</c:v>
                </c:pt>
                <c:pt idx="14">
                  <c:v>2013</c:v>
                </c:pt>
              </c:numCache>
            </c:numRef>
          </c:cat>
          <c:val>
            <c:numRef>
              <c:f>'New Exhibits'!$B$6:$P$6</c:f>
              <c:numCache>
                <c:formatCode>"$"#,##0.00_);\("$"#,##0.00\)</c:formatCode>
                <c:ptCount val="15"/>
                <c:pt idx="0">
                  <c:v>16.47</c:v>
                </c:pt>
                <c:pt idx="1">
                  <c:v>16.72</c:v>
                </c:pt>
                <c:pt idx="2">
                  <c:v>19.579999999999998</c:v>
                </c:pt>
                <c:pt idx="3">
                  <c:v>17.18</c:v>
                </c:pt>
                <c:pt idx="4">
                  <c:v>17.989999999999998</c:v>
                </c:pt>
                <c:pt idx="5">
                  <c:v>23.09</c:v>
                </c:pt>
                <c:pt idx="6">
                  <c:v>30.32</c:v>
                </c:pt>
                <c:pt idx="7">
                  <c:v>35.299999999999997</c:v>
                </c:pt>
                <c:pt idx="8">
                  <c:v>40.98</c:v>
                </c:pt>
                <c:pt idx="9">
                  <c:v>26.05</c:v>
                </c:pt>
                <c:pt idx="10">
                  <c:v>20.7</c:v>
                </c:pt>
                <c:pt idx="11">
                  <c:v>31.71</c:v>
                </c:pt>
                <c:pt idx="12">
                  <c:v>32</c:v>
                </c:pt>
                <c:pt idx="13">
                  <c:v>37.06</c:v>
                </c:pt>
              </c:numCache>
            </c:numRef>
          </c:val>
          <c:smooth val="0"/>
        </c:ser>
        <c:dLbls>
          <c:showLegendKey val="0"/>
          <c:showVal val="0"/>
          <c:showCatName val="0"/>
          <c:showSerName val="0"/>
          <c:showPercent val="0"/>
          <c:showBubbleSize val="0"/>
        </c:dLbls>
        <c:marker val="1"/>
        <c:smooth val="0"/>
        <c:axId val="23111552"/>
        <c:axId val="23113088"/>
      </c:lineChart>
      <c:catAx>
        <c:axId val="23111552"/>
        <c:scaling>
          <c:orientation val="minMax"/>
        </c:scaling>
        <c:delete val="0"/>
        <c:axPos val="b"/>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113088"/>
        <c:crosses val="autoZero"/>
        <c:auto val="0"/>
        <c:lblAlgn val="ctr"/>
        <c:lblOffset val="100"/>
        <c:tickLblSkip val="1"/>
        <c:tickMarkSkip val="1"/>
        <c:noMultiLvlLbl val="0"/>
      </c:catAx>
      <c:valAx>
        <c:axId val="23113088"/>
        <c:scaling>
          <c:orientation val="minMax"/>
        </c:scaling>
        <c:delete val="0"/>
        <c:axPos val="l"/>
        <c:title>
          <c:tx>
            <c:rich>
              <a:bodyPr/>
              <a:lstStyle/>
              <a:p>
                <a:pPr>
                  <a:defRPr sz="1000" b="1" i="0" u="none" strike="noStrike" baseline="0">
                    <a:solidFill>
                      <a:srgbClr val="000000"/>
                    </a:solidFill>
                    <a:latin typeface="Arial"/>
                    <a:ea typeface="Arial"/>
                    <a:cs typeface="Arial"/>
                  </a:defRPr>
                </a:pPr>
                <a:r>
                  <a:rPr lang="en-US"/>
                  <a:t>Avg Stock Price</a:t>
                </a:r>
              </a:p>
            </c:rich>
          </c:tx>
          <c:layout>
            <c:manualLayout>
              <c:xMode val="edge"/>
              <c:yMode val="edge"/>
              <c:x val="3.2310177705977383E-2"/>
              <c:y val="0.32122943790442038"/>
            </c:manualLayout>
          </c:layout>
          <c:overlay val="0"/>
          <c:spPr>
            <a:noFill/>
            <a:ln w="25400">
              <a:noFill/>
            </a:ln>
          </c:spPr>
        </c:title>
        <c:numFmt formatCode="&quot;$&quot;#,##0_);\(&quot;$&quot;#,##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111552"/>
        <c:crosses val="autoZero"/>
        <c:crossBetween val="between"/>
      </c:valAx>
      <c:catAx>
        <c:axId val="23533440"/>
        <c:scaling>
          <c:orientation val="minMax"/>
        </c:scaling>
        <c:delete val="1"/>
        <c:axPos val="b"/>
        <c:numFmt formatCode="0" sourceLinked="1"/>
        <c:majorTickMark val="out"/>
        <c:minorTickMark val="none"/>
        <c:tickLblPos val="nextTo"/>
        <c:crossAx val="23534976"/>
        <c:crosses val="autoZero"/>
        <c:auto val="0"/>
        <c:lblAlgn val="ctr"/>
        <c:lblOffset val="100"/>
        <c:noMultiLvlLbl val="0"/>
      </c:catAx>
      <c:valAx>
        <c:axId val="23534976"/>
        <c:scaling>
          <c:orientation val="minMax"/>
        </c:scaling>
        <c:delete val="0"/>
        <c:axPos val="r"/>
        <c:title>
          <c:tx>
            <c:rich>
              <a:bodyPr/>
              <a:lstStyle/>
              <a:p>
                <a:pPr>
                  <a:defRPr sz="1000" b="1" i="0" u="none" strike="noStrike" baseline="0">
                    <a:solidFill>
                      <a:srgbClr val="000000"/>
                    </a:solidFill>
                    <a:latin typeface="Arial"/>
                    <a:ea typeface="Arial"/>
                    <a:cs typeface="Arial"/>
                  </a:defRPr>
                </a:pPr>
                <a:r>
                  <a:rPr lang="en-US"/>
                  <a:t>Cap Returns</a:t>
                </a:r>
              </a:p>
            </c:rich>
          </c:tx>
          <c:layout>
            <c:manualLayout>
              <c:xMode val="edge"/>
              <c:yMode val="edge"/>
              <c:x val="0.93214930524637563"/>
              <c:y val="0.35474909695693979"/>
            </c:manualLayout>
          </c:layout>
          <c:overlay val="0"/>
          <c:spPr>
            <a:noFill/>
            <a:ln w="25400">
              <a:noFill/>
            </a:ln>
          </c:spPr>
        </c:title>
        <c:numFmt formatCode="&quot;$&quot;#,##0_);\(&quot;$&quot;#,##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533440"/>
        <c:crosses val="max"/>
        <c:crossBetween val="between"/>
      </c:valAx>
      <c:spPr>
        <a:noFill/>
        <a:ln w="12700">
          <a:solidFill>
            <a:srgbClr val="808080"/>
          </a:solidFill>
          <a:prstDash val="solid"/>
        </a:ln>
      </c:spPr>
    </c:plotArea>
    <c:legend>
      <c:legendPos val="r"/>
      <c:layout>
        <c:manualLayout>
          <c:xMode val="edge"/>
          <c:yMode val="edge"/>
          <c:x val="0.26494345718901452"/>
          <c:y val="0.91340791559470913"/>
          <c:w val="0.47011308562197091"/>
          <c:h val="6.7039058236532334E-2"/>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'New Exhibits'!$DC$401</c:f>
              <c:strCache>
                <c:ptCount val="1"/>
                <c:pt idx="0">
                  <c:v>MAR Growth (%)</c:v>
                </c:pt>
              </c:strCache>
            </c:strRef>
          </c:tx>
          <c:spPr>
            <a:ln>
              <a:solidFill>
                <a:srgbClr val="137CB1"/>
              </a:solidFill>
              <a:prstDash val="solid"/>
            </a:ln>
          </c:spPr>
          <c:marker>
            <c:symbol val="none"/>
          </c:marker>
          <c:dPt>
            <c:idx val="13"/>
            <c:bubble3D val="0"/>
          </c:dPt>
          <c:dPt>
            <c:idx val="14"/>
            <c:bubble3D val="0"/>
          </c:dPt>
          <c:dPt>
            <c:idx val="15"/>
            <c:bubble3D val="0"/>
          </c:dPt>
          <c:cat>
            <c:strRef>
              <c:f>'New Exhibits'!$DF$399:$DV$399</c:f>
              <c:strCache>
                <c:ptCount val="16"/>
                <c:pt idx="0">
                  <c:v>2003 </c:v>
                </c:pt>
                <c:pt idx="1">
                  <c:v>2004 </c:v>
                </c:pt>
                <c:pt idx="2">
                  <c:v>2005 </c:v>
                </c:pt>
                <c:pt idx="3">
                  <c:v>2006 </c:v>
                </c:pt>
                <c:pt idx="4">
                  <c:v>2007 </c:v>
                </c:pt>
                <c:pt idx="5">
                  <c:v>2008 </c:v>
                </c:pt>
                <c:pt idx="6">
                  <c:v>2009 </c:v>
                </c:pt>
                <c:pt idx="7">
                  <c:v>2010 </c:v>
                </c:pt>
                <c:pt idx="8">
                  <c:v>2011 </c:v>
                </c:pt>
                <c:pt idx="9">
                  <c:v>2012 </c:v>
                </c:pt>
                <c:pt idx="10">
                  <c:v>2013 </c:v>
                </c:pt>
                <c:pt idx="11">
                  <c:v>2014 </c:v>
                </c:pt>
                <c:pt idx="12">
                  <c:v>2015 </c:v>
                </c:pt>
                <c:pt idx="13">
                  <c:v>2016E</c:v>
                </c:pt>
                <c:pt idx="14">
                  <c:v>2017E</c:v>
                </c:pt>
                <c:pt idx="15">
                  <c:v>2018E</c:v>
                </c:pt>
              </c:strCache>
            </c:strRef>
          </c:cat>
          <c:val>
            <c:numRef>
              <c:f>'New Exhibits'!$DF$401:$DU$401</c:f>
              <c:numCache>
                <c:formatCode>0.0%</c:formatCode>
                <c:ptCount val="16"/>
                <c:pt idx="0">
                  <c:v>5.3254591380680782E-2</c:v>
                </c:pt>
                <c:pt idx="1">
                  <c:v>4.0234582304218058E-2</c:v>
                </c:pt>
                <c:pt idx="2">
                  <c:v>2.3129960456270471E-2</c:v>
                </c:pt>
                <c:pt idx="3">
                  <c:v>3.2302111955968327E-2</c:v>
                </c:pt>
                <c:pt idx="4">
                  <c:v>4.1669469088774669E-2</c:v>
                </c:pt>
                <c:pt idx="5">
                  <c:v>4.4559492224491848E-2</c:v>
                </c:pt>
                <c:pt idx="6">
                  <c:v>6.3143185743238961E-2</c:v>
                </c:pt>
                <c:pt idx="7">
                  <c:v>3.7325397832184581E-2</c:v>
                </c:pt>
                <c:pt idx="8">
                  <c:v>2.5905248479433984E-2</c:v>
                </c:pt>
                <c:pt idx="9">
                  <c:v>1.7675116264053825E-2</c:v>
                </c:pt>
                <c:pt idx="10">
                  <c:v>2.1929788885111101E-2</c:v>
                </c:pt>
                <c:pt idx="11">
                  <c:v>5.1129552715909243E-2</c:v>
                </c:pt>
                <c:pt idx="12">
                  <c:v>4.8519810324904267E-2</c:v>
                </c:pt>
                <c:pt idx="13">
                  <c:v>8.9009239077244784E-2</c:v>
                </c:pt>
                <c:pt idx="14">
                  <c:v>5.6326032837114681E-2</c:v>
                </c:pt>
                <c:pt idx="15">
                  <c:v>5.5650458865867725E-2</c:v>
                </c:pt>
              </c:numCache>
            </c:numRef>
          </c:val>
          <c:smooth val="0"/>
        </c:ser>
        <c:ser>
          <c:idx val="1"/>
          <c:order val="1"/>
          <c:tx>
            <c:strRef>
              <c:f>'New Exhibits'!$DC$402</c:f>
              <c:strCache>
                <c:ptCount val="1"/>
                <c:pt idx="0">
                  <c:v>CHH Growth (%)</c:v>
                </c:pt>
              </c:strCache>
            </c:strRef>
          </c:tx>
          <c:spPr>
            <a:ln>
              <a:solidFill>
                <a:srgbClr val="EACC80"/>
              </a:solidFill>
              <a:prstDash val="solid"/>
            </a:ln>
          </c:spPr>
          <c:marker>
            <c:symbol val="none"/>
          </c:marker>
          <c:cat>
            <c:strRef>
              <c:f>'New Exhibits'!$DF$399:$DV$399</c:f>
              <c:strCache>
                <c:ptCount val="16"/>
                <c:pt idx="0">
                  <c:v>2003 </c:v>
                </c:pt>
                <c:pt idx="1">
                  <c:v>2004 </c:v>
                </c:pt>
                <c:pt idx="2">
                  <c:v>2005 </c:v>
                </c:pt>
                <c:pt idx="3">
                  <c:v>2006 </c:v>
                </c:pt>
                <c:pt idx="4">
                  <c:v>2007 </c:v>
                </c:pt>
                <c:pt idx="5">
                  <c:v>2008 </c:v>
                </c:pt>
                <c:pt idx="6">
                  <c:v>2009 </c:v>
                </c:pt>
                <c:pt idx="7">
                  <c:v>2010 </c:v>
                </c:pt>
                <c:pt idx="8">
                  <c:v>2011 </c:v>
                </c:pt>
                <c:pt idx="9">
                  <c:v>2012 </c:v>
                </c:pt>
                <c:pt idx="10">
                  <c:v>2013 </c:v>
                </c:pt>
                <c:pt idx="11">
                  <c:v>2014 </c:v>
                </c:pt>
                <c:pt idx="12">
                  <c:v>2015 </c:v>
                </c:pt>
                <c:pt idx="13">
                  <c:v>2016E</c:v>
                </c:pt>
                <c:pt idx="14">
                  <c:v>2017E</c:v>
                </c:pt>
                <c:pt idx="15">
                  <c:v>2018E</c:v>
                </c:pt>
              </c:strCache>
            </c:strRef>
          </c:cat>
          <c:val>
            <c:numRef>
              <c:f>'New Exhibits'!$DF$402:$DU$402</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dLbls>
          <c:showLegendKey val="0"/>
          <c:showVal val="0"/>
          <c:showCatName val="0"/>
          <c:showSerName val="0"/>
          <c:showPercent val="0"/>
          <c:showBubbleSize val="0"/>
        </c:dLbls>
        <c:marker val="1"/>
        <c:smooth val="0"/>
        <c:axId val="23562112"/>
        <c:axId val="23563648"/>
      </c:lineChart>
      <c:catAx>
        <c:axId val="23562112"/>
        <c:scaling>
          <c:orientation val="minMax"/>
        </c:scaling>
        <c:delete val="0"/>
        <c:axPos val="b"/>
        <c:numFmt formatCode="General" sourceLinked="1"/>
        <c:majorTickMark val="out"/>
        <c:minorTickMark val="none"/>
        <c:tickLblPos val="low"/>
        <c:spPr>
          <a:ln>
            <a:solidFill>
              <a:srgbClr val="808080"/>
            </a:solidFill>
            <a:prstDash val="solid"/>
          </a:ln>
        </c:spPr>
        <c:txPr>
          <a:bodyPr rot="-5400000" vert="horz"/>
          <a:lstStyle/>
          <a:p>
            <a:pPr>
              <a:defRPr sz="1000" b="0" i="0" u="none" strike="noStrike" baseline="0">
                <a:solidFill>
                  <a:srgbClr val="808080"/>
                </a:solidFill>
                <a:latin typeface="Calibri"/>
                <a:ea typeface="Calibri"/>
                <a:cs typeface="Calibri"/>
              </a:defRPr>
            </a:pPr>
            <a:endParaRPr lang="en-US"/>
          </a:p>
        </c:txPr>
        <c:crossAx val="23563648"/>
        <c:crosses val="autoZero"/>
        <c:auto val="1"/>
        <c:lblAlgn val="ctr"/>
        <c:lblOffset val="100"/>
        <c:tickLblSkip val="1"/>
        <c:tickMarkSkip val="1"/>
        <c:noMultiLvlLbl val="0"/>
      </c:catAx>
      <c:valAx>
        <c:axId val="23563648"/>
        <c:scaling>
          <c:orientation val="minMax"/>
        </c:scaling>
        <c:delete val="0"/>
        <c:axPos val="l"/>
        <c:majorGridlines>
          <c:spPr>
            <a:ln>
              <a:solidFill>
                <a:srgbClr val="C0C0C0"/>
              </a:solidFill>
              <a:prstDash val="solid"/>
            </a:ln>
          </c:spPr>
        </c:majorGridlines>
        <c:title>
          <c:tx>
            <c:rich>
              <a:bodyPr/>
              <a:lstStyle/>
              <a:p>
                <a:pPr>
                  <a:defRPr sz="1000" b="1" i="0" u="none" strike="noStrike" baseline="0">
                    <a:solidFill>
                      <a:srgbClr val="333333"/>
                    </a:solidFill>
                    <a:latin typeface="Calibri"/>
                    <a:ea typeface="Calibri"/>
                    <a:cs typeface="Calibri"/>
                  </a:defRPr>
                </a:pPr>
                <a:r>
                  <a:rPr lang="en-US"/>
                  <a:t>y/y Rooms Growth Rate (%)</a:t>
                </a:r>
              </a:p>
            </c:rich>
          </c:tx>
          <c:overlay val="0"/>
        </c:title>
        <c:numFmt formatCode="0.0%" sourceLinked="1"/>
        <c:majorTickMark val="out"/>
        <c:minorTickMark val="none"/>
        <c:tickLblPos val="nextTo"/>
        <c:spPr>
          <a:ln w="25400">
            <a:noFill/>
          </a:ln>
        </c:spPr>
        <c:txPr>
          <a:bodyPr rot="0" vert="horz"/>
          <a:lstStyle/>
          <a:p>
            <a:pPr>
              <a:defRPr sz="1000" b="0" i="0" u="none" strike="noStrike" baseline="0">
                <a:solidFill>
                  <a:srgbClr val="808080"/>
                </a:solidFill>
                <a:latin typeface="Calibri"/>
                <a:ea typeface="Calibri"/>
                <a:cs typeface="Calibri"/>
              </a:defRPr>
            </a:pPr>
            <a:endParaRPr lang="en-US"/>
          </a:p>
        </c:txPr>
        <c:crossAx val="23562112"/>
        <c:crosses val="autoZero"/>
        <c:crossBetween val="between"/>
      </c:valAx>
      <c:spPr>
        <a:noFill/>
        <a:ln w="25400">
          <a:noFill/>
        </a:ln>
      </c:spPr>
    </c:plotArea>
    <c:legend>
      <c:legendPos val="r"/>
      <c:layout>
        <c:manualLayout>
          <c:xMode val="edge"/>
          <c:yMode val="edge"/>
          <c:x val="0.16371701462628374"/>
          <c:y val="0.55980133796406761"/>
          <c:w val="0.27287744633580552"/>
          <c:h val="0.16743427273611"/>
        </c:manualLayout>
      </c:layout>
      <c:overlay val="1"/>
      <c:txPr>
        <a:bodyPr/>
        <a:lstStyle/>
        <a:p>
          <a:pPr>
            <a:defRPr sz="16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rgbClr val="FFFFFF"/>
    </a:solidFill>
    <a:ln w="25400">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'New Exhibits'!$FS$555</c:f>
              <c:strCache>
                <c:ptCount val="1"/>
                <c:pt idx="0">
                  <c:v>Incremental
Branding Fees ($mn)</c:v>
                </c:pt>
              </c:strCache>
            </c:strRef>
          </c:tx>
          <c:spPr>
            <a:solidFill>
              <a:srgbClr val="137CB1"/>
            </a:solidFill>
            <a:ln w="25400">
              <a:noFill/>
            </a:ln>
          </c:spPr>
          <c:invertIfNegative val="0"/>
          <c:dPt>
            <c:idx val="0"/>
            <c:invertIfNegative val="0"/>
            <c:bubble3D val="0"/>
            <c:spPr>
              <a:solidFill>
                <a:srgbClr val="137CB1"/>
              </a:solidFill>
              <a:ln w="25400">
                <a:noFill/>
              </a:ln>
            </c:spPr>
          </c:dPt>
          <c:dPt>
            <c:idx val="2"/>
            <c:invertIfNegative val="0"/>
            <c:bubble3D val="0"/>
          </c:dPt>
          <c:dPt>
            <c:idx val="4"/>
            <c:invertIfNegative val="0"/>
            <c:bubble3D val="0"/>
          </c:dPt>
          <c:dPt>
            <c:idx val="6"/>
            <c:invertIfNegative val="0"/>
            <c:bubble3D val="0"/>
          </c:dPt>
          <c:dLbls>
            <c:dLbl>
              <c:idx val="0"/>
              <c:tx>
                <c:rich>
                  <a:bodyPr/>
                  <a:lstStyle/>
                  <a:p>
                    <a:r>
                      <a:rPr lang="en-US"/>
                      <a:t>$67m</a:t>
                    </a:r>
                  </a:p>
                </c:rich>
              </c:tx>
              <c:showLegendKey val="0"/>
              <c:showVal val="0"/>
              <c:showCatName val="0"/>
              <c:showSerName val="0"/>
              <c:showPercent val="0"/>
              <c:showBubbleSize val="0"/>
            </c:dLbl>
            <c:dLbl>
              <c:idx val="1"/>
              <c:tx>
                <c:rich>
                  <a:bodyPr/>
                  <a:lstStyle/>
                  <a:p>
                    <a:r>
                      <a:rPr lang="en-US"/>
                      <a:t>$106m</a:t>
                    </a:r>
                  </a:p>
                </c:rich>
              </c:tx>
              <c:showLegendKey val="0"/>
              <c:showVal val="0"/>
              <c:showCatName val="0"/>
              <c:showSerName val="0"/>
              <c:showPercent val="0"/>
              <c:showBubbleSize val="0"/>
            </c:dLbl>
            <c:dLbl>
              <c:idx val="2"/>
              <c:tx>
                <c:rich>
                  <a:bodyPr/>
                  <a:lstStyle/>
                  <a:p>
                    <a:r>
                      <a:t>$67m</a:t>
                    </a:r>
                  </a:p>
                </c:rich>
              </c:tx>
              <c:showLegendKey val="0"/>
              <c:showVal val="0"/>
              <c:showCatName val="0"/>
              <c:showSerName val="0"/>
              <c:showPercent val="0"/>
              <c:showBubbleSize val="0"/>
            </c:dLbl>
            <c:numFmt formatCode="\$#,##0" sourceLinked="0"/>
            <c:txPr>
              <a:bodyPr/>
              <a:lstStyle/>
              <a:p>
                <a:pPr>
                  <a:defRPr sz="1200" b="1"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dLbls>
          <c:cat>
            <c:numRef>
              <c:f>'New Exhibits'!$FR$558:$FR$560</c:f>
              <c:numCache>
                <c:formatCode>0.0%</c:formatCode>
                <c:ptCount val="2"/>
                <c:pt idx="0">
                  <c:v>0.03</c:v>
                </c:pt>
                <c:pt idx="1">
                  <c:v>3.5000000000000003E-2</c:v>
                </c:pt>
              </c:numCache>
            </c:numRef>
          </c:cat>
          <c:val>
            <c:numRef>
              <c:f>'New Exhibits'!$FS$558:$FS$560</c:f>
              <c:numCache>
                <c:formatCode>#,##0_);\(#,##0\)</c:formatCode>
                <c:ptCount val="2"/>
                <c:pt idx="0">
                  <c:v>66.538461538461533</c:v>
                </c:pt>
                <c:pt idx="1">
                  <c:v>106.46153846153845</c:v>
                </c:pt>
              </c:numCache>
            </c:numRef>
          </c:val>
        </c:ser>
        <c:dLbls>
          <c:showLegendKey val="0"/>
          <c:showVal val="0"/>
          <c:showCatName val="0"/>
          <c:showSerName val="0"/>
          <c:showPercent val="0"/>
          <c:showBubbleSize val="0"/>
        </c:dLbls>
        <c:gapWidth val="32"/>
        <c:axId val="25015424"/>
        <c:axId val="25039232"/>
      </c:barChart>
      <c:catAx>
        <c:axId val="25015424"/>
        <c:scaling>
          <c:orientation val="minMax"/>
        </c:scaling>
        <c:delete val="0"/>
        <c:axPos val="b"/>
        <c:title>
          <c:tx>
            <c:rich>
              <a:bodyPr/>
              <a:lstStyle/>
              <a:p>
                <a:pPr>
                  <a:defRPr sz="1050" b="1" i="0" u="none" strike="noStrike" baseline="0">
                    <a:solidFill>
                      <a:srgbClr val="333333"/>
                    </a:solidFill>
                    <a:latin typeface="Calibri"/>
                    <a:ea typeface="Calibri"/>
                    <a:cs typeface="Calibri"/>
                  </a:defRPr>
                </a:pPr>
                <a:r>
                  <a:rPr lang="en-US"/>
                  <a:t>Total Contributions as % of Total Credit Card Spend</a:t>
                </a:r>
              </a:p>
            </c:rich>
          </c:tx>
          <c:overlay val="0"/>
        </c:title>
        <c:numFmt formatCode="0.0%" sourceLinked="1"/>
        <c:majorTickMark val="out"/>
        <c:minorTickMark val="none"/>
        <c:tickLblPos val="low"/>
        <c:spPr>
          <a:ln>
            <a:solidFill>
              <a:srgbClr val="808080"/>
            </a:solidFill>
            <a:prstDash val="solid"/>
          </a:ln>
        </c:spPr>
        <c:txPr>
          <a:bodyPr rot="0" vert="horz"/>
          <a:lstStyle/>
          <a:p>
            <a:pPr>
              <a:defRPr sz="1050" b="0" i="0" u="none" strike="noStrike" baseline="0">
                <a:solidFill>
                  <a:srgbClr val="808080"/>
                </a:solidFill>
                <a:latin typeface="Calibri"/>
                <a:ea typeface="Calibri"/>
                <a:cs typeface="Calibri"/>
              </a:defRPr>
            </a:pPr>
            <a:endParaRPr lang="en-US"/>
          </a:p>
        </c:txPr>
        <c:crossAx val="25039232"/>
        <c:crosses val="autoZero"/>
        <c:auto val="1"/>
        <c:lblAlgn val="ctr"/>
        <c:lblOffset val="100"/>
        <c:tickLblSkip val="1"/>
        <c:tickMarkSkip val="1"/>
        <c:noMultiLvlLbl val="0"/>
      </c:catAx>
      <c:valAx>
        <c:axId val="25039232"/>
        <c:scaling>
          <c:orientation val="minMax"/>
          <c:max val="150"/>
          <c:min val="0"/>
        </c:scaling>
        <c:delete val="0"/>
        <c:axPos val="l"/>
        <c:majorGridlines>
          <c:spPr>
            <a:ln>
              <a:solidFill>
                <a:srgbClr val="C0C0C0"/>
              </a:solidFill>
              <a:prstDash val="solid"/>
            </a:ln>
          </c:spPr>
        </c:majorGridlines>
        <c:title>
          <c:tx>
            <c:rich>
              <a:bodyPr/>
              <a:lstStyle/>
              <a:p>
                <a:pPr>
                  <a:defRPr sz="1050" b="1" i="0" u="none" strike="noStrike" baseline="0">
                    <a:solidFill>
                      <a:srgbClr val="333333"/>
                    </a:solidFill>
                    <a:latin typeface="Calibri"/>
                    <a:ea typeface="Calibri"/>
                    <a:cs typeface="Calibri"/>
                  </a:defRPr>
                </a:pPr>
                <a:r>
                  <a:rPr lang="en-US"/>
                  <a:t>Incremental Branding Fees ($m)</a:t>
                </a:r>
              </a:p>
            </c:rich>
          </c:tx>
          <c:overlay val="0"/>
        </c:title>
        <c:numFmt formatCode="#,##0" sourceLinked="0"/>
        <c:majorTickMark val="out"/>
        <c:minorTickMark val="none"/>
        <c:tickLblPos val="nextTo"/>
        <c:spPr>
          <a:ln w="9525">
            <a:noFill/>
          </a:ln>
        </c:spPr>
        <c:txPr>
          <a:bodyPr rot="0" vert="horz"/>
          <a:lstStyle/>
          <a:p>
            <a:pPr>
              <a:defRPr sz="1050" b="0" i="0" u="none" strike="noStrike" baseline="0">
                <a:solidFill>
                  <a:srgbClr val="808080"/>
                </a:solidFill>
                <a:latin typeface="Calibri"/>
                <a:ea typeface="Calibri"/>
                <a:cs typeface="Calibri"/>
              </a:defRPr>
            </a:pPr>
            <a:endParaRPr lang="en-US"/>
          </a:p>
        </c:txPr>
        <c:crossAx val="25015424"/>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'New Exhibits'!$HK$673</c:f>
              <c:strCache>
                <c:ptCount val="1"/>
                <c:pt idx="0">
                  <c:v>Incremental 
Branding Fees ($mn)</c:v>
                </c:pt>
              </c:strCache>
            </c:strRef>
          </c:tx>
          <c:spPr>
            <a:solidFill>
              <a:srgbClr val="137CB1"/>
            </a:solidFill>
            <a:ln w="25400">
              <a:noFill/>
            </a:ln>
          </c:spPr>
          <c:invertIfNegative val="0"/>
          <c:dLbls>
            <c:numFmt formatCode="\$#,##0" sourceLinked="0"/>
            <c:txPr>
              <a:bodyPr/>
              <a:lstStyle/>
              <a:p>
                <a:pPr>
                  <a:defRPr sz="1000" b="0"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dLbls>
          <c:cat>
            <c:numRef>
              <c:f>'New Exhibits'!$HJ$674:$HJ$681</c:f>
              <c:numCache>
                <c:formatCode>0.0%</c:formatCode>
                <c:ptCount val="8"/>
                <c:pt idx="0">
                  <c:v>2.4E-2</c:v>
                </c:pt>
                <c:pt idx="1">
                  <c:v>2.6499999999999999E-2</c:v>
                </c:pt>
                <c:pt idx="2">
                  <c:v>2.8999999999999998E-2</c:v>
                </c:pt>
                <c:pt idx="3">
                  <c:v>3.15E-2</c:v>
                </c:pt>
                <c:pt idx="4">
                  <c:v>3.4000000000000002E-2</c:v>
                </c:pt>
                <c:pt idx="5">
                  <c:v>3.6500000000000005E-2</c:v>
                </c:pt>
                <c:pt idx="6">
                  <c:v>3.9000000000000007E-2</c:v>
                </c:pt>
                <c:pt idx="7">
                  <c:v>4.1500000000000009E-2</c:v>
                </c:pt>
              </c:numCache>
            </c:numRef>
          </c:cat>
          <c:val>
            <c:numRef>
              <c:f>'New Exhibits'!$HK$674:$HK$681</c:f>
              <c:numCache>
                <c:formatCode>#,##0_);\(#,##0\)</c:formatCode>
                <c:ptCount val="8"/>
                <c:pt idx="0">
                  <c:v>28.744615384615386</c:v>
                </c:pt>
                <c:pt idx="1">
                  <c:v>31.738846153846151</c:v>
                </c:pt>
                <c:pt idx="2">
                  <c:v>34.733076923076922</c:v>
                </c:pt>
                <c:pt idx="3">
                  <c:v>37.72730769230769</c:v>
                </c:pt>
                <c:pt idx="4">
                  <c:v>40.721538461538458</c:v>
                </c:pt>
                <c:pt idx="5">
                  <c:v>43.715769230769233</c:v>
                </c:pt>
                <c:pt idx="6">
                  <c:v>46.71</c:v>
                </c:pt>
                <c:pt idx="7">
                  <c:v>49.704230769230783</c:v>
                </c:pt>
              </c:numCache>
            </c:numRef>
          </c:val>
        </c:ser>
        <c:dLbls>
          <c:showLegendKey val="0"/>
          <c:showVal val="0"/>
          <c:showCatName val="0"/>
          <c:showSerName val="0"/>
          <c:showPercent val="0"/>
          <c:showBubbleSize val="0"/>
        </c:dLbls>
        <c:gapWidth val="25"/>
        <c:axId val="25868160"/>
        <c:axId val="25997696"/>
      </c:barChart>
      <c:catAx>
        <c:axId val="25868160"/>
        <c:scaling>
          <c:orientation val="minMax"/>
        </c:scaling>
        <c:delete val="0"/>
        <c:axPos val="b"/>
        <c:title>
          <c:tx>
            <c:rich>
              <a:bodyPr/>
              <a:lstStyle/>
              <a:p>
                <a:pPr>
                  <a:defRPr sz="1000" b="1" i="0" u="none" strike="noStrike" baseline="0">
                    <a:solidFill>
                      <a:srgbClr val="333333"/>
                    </a:solidFill>
                    <a:latin typeface="Calibri"/>
                    <a:ea typeface="Calibri"/>
                    <a:cs typeface="Calibri"/>
                  </a:defRPr>
                </a:pPr>
                <a:r>
                  <a:rPr lang="en-US"/>
                  <a:t>New Loyalty Member Credit Card Penetration Rate (%)</a:t>
                </a:r>
              </a:p>
            </c:rich>
          </c:tx>
          <c:overlay val="0"/>
        </c:title>
        <c:numFmt formatCode="0.0%" sourceLinked="1"/>
        <c:majorTickMark val="out"/>
        <c:minorTickMark val="none"/>
        <c:tickLblPos val="low"/>
        <c:spPr>
          <a:ln>
            <a:solidFill>
              <a:srgbClr val="808080"/>
            </a:solidFill>
            <a:prstDash val="solid"/>
          </a:ln>
        </c:spPr>
        <c:txPr>
          <a:bodyPr rot="0" vert="horz"/>
          <a:lstStyle/>
          <a:p>
            <a:pPr>
              <a:defRPr sz="1000" b="0" i="0" u="none" strike="noStrike" baseline="0">
                <a:solidFill>
                  <a:srgbClr val="808080"/>
                </a:solidFill>
                <a:latin typeface="Calibri"/>
                <a:ea typeface="Calibri"/>
                <a:cs typeface="Calibri"/>
              </a:defRPr>
            </a:pPr>
            <a:endParaRPr lang="en-US"/>
          </a:p>
        </c:txPr>
        <c:crossAx val="25997696"/>
        <c:crosses val="autoZero"/>
        <c:auto val="1"/>
        <c:lblAlgn val="ctr"/>
        <c:lblOffset val="100"/>
        <c:tickLblSkip val="1"/>
        <c:tickMarkSkip val="1"/>
        <c:noMultiLvlLbl val="0"/>
      </c:catAx>
      <c:valAx>
        <c:axId val="25997696"/>
        <c:scaling>
          <c:orientation val="minMax"/>
        </c:scaling>
        <c:delete val="0"/>
        <c:axPos val="l"/>
        <c:majorGridlines>
          <c:spPr>
            <a:ln>
              <a:solidFill>
                <a:srgbClr val="C0C0C0"/>
              </a:solidFill>
              <a:prstDash val="solid"/>
            </a:ln>
          </c:spPr>
        </c:majorGridlines>
        <c:title>
          <c:tx>
            <c:rich>
              <a:bodyPr/>
              <a:lstStyle/>
              <a:p>
                <a:pPr>
                  <a:defRPr sz="1000" b="1" i="0" u="none" strike="noStrike" baseline="0">
                    <a:solidFill>
                      <a:srgbClr val="333333"/>
                    </a:solidFill>
                    <a:latin typeface="Calibri"/>
                    <a:ea typeface="Calibri"/>
                    <a:cs typeface="Calibri"/>
                  </a:defRPr>
                </a:pPr>
                <a:r>
                  <a:rPr lang="en-US"/>
                  <a:t>Incremental Branding Fees from Higher Membership Base Penetration ($m)</a:t>
                </a:r>
              </a:p>
            </c:rich>
          </c:tx>
          <c:overlay val="0"/>
        </c:title>
        <c:numFmt formatCode="#,##0_);\(#,##0\)" sourceLinked="1"/>
        <c:majorTickMark val="out"/>
        <c:minorTickMark val="none"/>
        <c:tickLblPos val="nextTo"/>
        <c:spPr>
          <a:ln w="9525">
            <a:noFill/>
          </a:ln>
        </c:spPr>
        <c:txPr>
          <a:bodyPr rot="0" vert="horz"/>
          <a:lstStyle/>
          <a:p>
            <a:pPr>
              <a:defRPr sz="1000" b="0" i="0" u="none" strike="noStrike" baseline="0">
                <a:solidFill>
                  <a:srgbClr val="808080"/>
                </a:solidFill>
                <a:latin typeface="Calibri"/>
                <a:ea typeface="Calibri"/>
                <a:cs typeface="Calibri"/>
              </a:defRPr>
            </a:pPr>
            <a:endParaRPr lang="en-US"/>
          </a:p>
        </c:txPr>
        <c:crossAx val="25868160"/>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orientation="landscape" verticalDpi="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1"/>
          <c:order val="0"/>
          <c:tx>
            <c:v>Incentive Mgmt Fees (IMFs)</c:v>
          </c:tx>
          <c:spPr>
            <a:solidFill>
              <a:srgbClr val="E6BE64"/>
            </a:solidFill>
          </c:spPr>
          <c:invertIfNegative val="0"/>
          <c:dLbls>
            <c:dLbl>
              <c:idx val="0"/>
              <c:tx>
                <c:rich>
                  <a:bodyPr/>
                  <a:lstStyle/>
                  <a:p>
                    <a:r>
                      <a:rPr lang="en-US"/>
                      <a:t>$3m</a:t>
                    </a:r>
                  </a:p>
                </c:rich>
              </c:tx>
              <c:showLegendKey val="0"/>
              <c:showVal val="0"/>
              <c:showCatName val="0"/>
              <c:showSerName val="0"/>
              <c:showPercent val="0"/>
              <c:showBubbleSize val="0"/>
            </c:dLbl>
            <c:dLbl>
              <c:idx val="1"/>
              <c:tx>
                <c:rich>
                  <a:bodyPr/>
                  <a:lstStyle/>
                  <a:p>
                    <a:r>
                      <a:rPr lang="en-US"/>
                      <a:t>$6m</a:t>
                    </a:r>
                  </a:p>
                </c:rich>
              </c:tx>
              <c:showLegendKey val="0"/>
              <c:showVal val="0"/>
              <c:showCatName val="0"/>
              <c:showSerName val="0"/>
              <c:showPercent val="0"/>
              <c:showBubbleSize val="0"/>
            </c:dLbl>
            <c:numFmt formatCode="\$#,##0" sourceLinked="0"/>
            <c:txPr>
              <a:bodyPr/>
              <a:lstStyle/>
              <a:p>
                <a:pPr>
                  <a:defRPr sz="1050" b="1"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dLbls>
          <c:cat>
            <c:numRef>
              <c:f>'New Exhibits'!$ES$506:$ES$507</c:f>
              <c:numCache>
                <c:formatCode>0.00%</c:formatCode>
                <c:ptCount val="2"/>
                <c:pt idx="0">
                  <c:v>1.4999999999999999E-2</c:v>
                </c:pt>
                <c:pt idx="1">
                  <c:v>0.01</c:v>
                </c:pt>
              </c:numCache>
            </c:numRef>
          </c:cat>
          <c:val>
            <c:numRef>
              <c:f>'New Exhibits'!$EV$506:$EV$507</c:f>
              <c:numCache>
                <c:formatCode>#,##0_);\(#,##0\)</c:formatCode>
                <c:ptCount val="2"/>
                <c:pt idx="0">
                  <c:v>2.7927281429378441</c:v>
                </c:pt>
                <c:pt idx="1">
                  <c:v>5.5854562858756882</c:v>
                </c:pt>
              </c:numCache>
            </c:numRef>
          </c:val>
        </c:ser>
        <c:ser>
          <c:idx val="0"/>
          <c:order val="1"/>
          <c:spPr>
            <a:solidFill>
              <a:srgbClr val="137CB1"/>
            </a:solidFill>
            <a:ln w="25400">
              <a:noFill/>
            </a:ln>
          </c:spPr>
          <c:invertIfNegative val="0"/>
          <c:dPt>
            <c:idx val="0"/>
            <c:invertIfNegative val="0"/>
            <c:bubble3D val="0"/>
          </c:dPt>
          <c:dPt>
            <c:idx val="1"/>
            <c:invertIfNegative val="0"/>
            <c:bubble3D val="0"/>
          </c:dPt>
          <c:dPt>
            <c:idx val="5"/>
            <c:invertIfNegative val="0"/>
            <c:bubble3D val="0"/>
          </c:dPt>
          <c:dPt>
            <c:idx val="6"/>
            <c:invertIfNegative val="0"/>
            <c:bubble3D val="0"/>
          </c:dPt>
          <c:dLbls>
            <c:dLbl>
              <c:idx val="0"/>
              <c:layout>
                <c:manualLayout>
                  <c:x val="-1.3988073666523902E-2"/>
                  <c:y val="-0.19145611849023922"/>
                </c:manualLayout>
              </c:layout>
              <c:tx>
                <c:rich>
                  <a:bodyPr/>
                  <a:lstStyle/>
                  <a:p>
                    <a:r>
                      <a:rPr lang="en-US"/>
                      <a:t>$105m</a:t>
                    </a:r>
                  </a:p>
                </c:rich>
              </c:tx>
              <c:dLblPos val="ctr"/>
              <c:showLegendKey val="0"/>
              <c:showVal val="0"/>
              <c:showCatName val="0"/>
              <c:showSerName val="0"/>
              <c:showPercent val="0"/>
              <c:showBubbleSize val="0"/>
            </c:dLbl>
            <c:dLbl>
              <c:idx val="1"/>
              <c:layout>
                <c:manualLayout>
                  <c:x val="-1.0190062261658421E-16"/>
                  <c:y val="-0.34315325637761901"/>
                </c:manualLayout>
              </c:layout>
              <c:tx>
                <c:rich>
                  <a:bodyPr/>
                  <a:lstStyle/>
                  <a:p>
                    <a:r>
                      <a:rPr lang="en-US"/>
                      <a:t>$210m</a:t>
                    </a:r>
                  </a:p>
                </c:rich>
              </c:tx>
              <c:dLblPos val="ctr"/>
              <c:showLegendKey val="0"/>
              <c:showVal val="0"/>
              <c:showCatName val="0"/>
              <c:showSerName val="0"/>
              <c:showPercent val="0"/>
              <c:showBubbleSize val="0"/>
            </c:dLbl>
            <c:dLbl>
              <c:idx val="2"/>
              <c:tx>
                <c:rich>
                  <a:bodyPr/>
                  <a:lstStyle/>
                  <a:p>
                    <a:r>
                      <a:t>$42m</a:t>
                    </a:r>
                  </a:p>
                </c:rich>
              </c:tx>
              <c:showLegendKey val="0"/>
              <c:showVal val="0"/>
              <c:showCatName val="0"/>
              <c:showSerName val="0"/>
              <c:showPercent val="0"/>
              <c:showBubbleSize val="0"/>
            </c:dLbl>
            <c:dLbl>
              <c:idx val="3"/>
              <c:tx>
                <c:rich>
                  <a:bodyPr/>
                  <a:lstStyle/>
                  <a:p>
                    <a:r>
                      <a:t>$52m</a:t>
                    </a:r>
                  </a:p>
                </c:rich>
              </c:tx>
              <c:showLegendKey val="0"/>
              <c:showVal val="0"/>
              <c:showCatName val="0"/>
              <c:showSerName val="0"/>
              <c:showPercent val="0"/>
              <c:showBubbleSize val="0"/>
            </c:dLbl>
            <c:dLbl>
              <c:idx val="4"/>
              <c:tx>
                <c:rich>
                  <a:bodyPr/>
                  <a:lstStyle/>
                  <a:p>
                    <a:r>
                      <a:t>$56m</a:t>
                    </a:r>
                  </a:p>
                </c:rich>
              </c:tx>
              <c:showLegendKey val="0"/>
              <c:showVal val="0"/>
              <c:showCatName val="0"/>
              <c:showSerName val="0"/>
              <c:showPercent val="0"/>
              <c:showBubbleSize val="0"/>
            </c:dLbl>
            <c:dLbl>
              <c:idx val="5"/>
              <c:tx>
                <c:rich>
                  <a:bodyPr/>
                  <a:lstStyle/>
                  <a:p>
                    <a:r>
                      <a:t>$46m</a:t>
                    </a:r>
                  </a:p>
                </c:rich>
              </c:tx>
              <c:showLegendKey val="0"/>
              <c:showVal val="0"/>
              <c:showCatName val="0"/>
              <c:showSerName val="0"/>
              <c:showPercent val="0"/>
              <c:showBubbleSize val="0"/>
            </c:dLbl>
            <c:dLbl>
              <c:idx val="6"/>
              <c:tx>
                <c:rich>
                  <a:bodyPr/>
                  <a:lstStyle/>
                  <a:p>
                    <a:r>
                      <a:t>$54m</a:t>
                    </a:r>
                  </a:p>
                </c:rich>
              </c:tx>
              <c:showLegendKey val="0"/>
              <c:showVal val="0"/>
              <c:showCatName val="0"/>
              <c:showSerName val="0"/>
              <c:showPercent val="0"/>
              <c:showBubbleSize val="0"/>
            </c:dLbl>
            <c:dLbl>
              <c:idx val="7"/>
              <c:tx>
                <c:rich>
                  <a:bodyPr/>
                  <a:lstStyle/>
                  <a:p>
                    <a:r>
                      <a:t>$64m</a:t>
                    </a:r>
                  </a:p>
                </c:rich>
              </c:tx>
              <c:showLegendKey val="0"/>
              <c:showVal val="0"/>
              <c:showCatName val="0"/>
              <c:showSerName val="0"/>
              <c:showPercent val="0"/>
              <c:showBubbleSize val="0"/>
            </c:dLbl>
            <c:numFmt formatCode="\$#,##0" sourceLinked="0"/>
            <c:txPr>
              <a:bodyPr/>
              <a:lstStyle/>
              <a:p>
                <a:pPr>
                  <a:defRPr sz="1050" b="1"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dLbls>
          <c:cat>
            <c:numRef>
              <c:f>'New Exhibits'!$ES$506:$ES$507</c:f>
              <c:numCache>
                <c:formatCode>0.00%</c:formatCode>
                <c:ptCount val="2"/>
                <c:pt idx="0">
                  <c:v>1.4999999999999999E-2</c:v>
                </c:pt>
                <c:pt idx="1">
                  <c:v>0.01</c:v>
                </c:pt>
              </c:numCache>
            </c:numRef>
          </c:cat>
          <c:val>
            <c:numRef>
              <c:f>'New Exhibits'!$EU$506:$EU$507</c:f>
              <c:numCache>
                <c:formatCode>#,##0_);\(#,##0\)</c:formatCode>
                <c:ptCount val="2"/>
                <c:pt idx="0">
                  <c:v>102.20727185706215</c:v>
                </c:pt>
                <c:pt idx="1">
                  <c:v>204.41454371412431</c:v>
                </c:pt>
              </c:numCache>
            </c:numRef>
          </c:val>
        </c:ser>
        <c:dLbls>
          <c:showLegendKey val="0"/>
          <c:showVal val="0"/>
          <c:showCatName val="0"/>
          <c:showSerName val="0"/>
          <c:showPercent val="0"/>
          <c:showBubbleSize val="0"/>
        </c:dLbls>
        <c:gapWidth val="10"/>
        <c:overlap val="100"/>
        <c:axId val="26157056"/>
        <c:axId val="26165248"/>
      </c:barChart>
      <c:catAx>
        <c:axId val="26157056"/>
        <c:scaling>
          <c:orientation val="minMax"/>
        </c:scaling>
        <c:delete val="0"/>
        <c:axPos val="b"/>
        <c:title>
          <c:tx>
            <c:rich>
              <a:bodyPr/>
              <a:lstStyle/>
              <a:p>
                <a:pPr>
                  <a:defRPr sz="1100" b="1" i="0" u="none" strike="noStrike" baseline="0">
                    <a:solidFill>
                      <a:srgbClr val="333333"/>
                    </a:solidFill>
                    <a:latin typeface="Calibri"/>
                    <a:ea typeface="Calibri"/>
                    <a:cs typeface="Calibri"/>
                  </a:defRPr>
                </a:pPr>
                <a:r>
                  <a:rPr lang="en-US"/>
                  <a:t>Credit Card Transaction Fees (%)</a:t>
                </a:r>
              </a:p>
            </c:rich>
          </c:tx>
          <c:overlay val="0"/>
        </c:title>
        <c:numFmt formatCode="0.00%" sourceLinked="1"/>
        <c:majorTickMark val="out"/>
        <c:minorTickMark val="none"/>
        <c:tickLblPos val="low"/>
        <c:spPr>
          <a:ln>
            <a:solidFill>
              <a:srgbClr val="808080"/>
            </a:solidFill>
            <a:prstDash val="solid"/>
          </a:ln>
        </c:spPr>
        <c:txPr>
          <a:bodyPr rot="0" vert="horz"/>
          <a:lstStyle/>
          <a:p>
            <a:pPr>
              <a:defRPr sz="1050" b="0" i="0" u="none" strike="noStrike" baseline="0">
                <a:solidFill>
                  <a:srgbClr val="808080"/>
                </a:solidFill>
                <a:latin typeface="Calibri"/>
                <a:ea typeface="Calibri"/>
                <a:cs typeface="Calibri"/>
              </a:defRPr>
            </a:pPr>
            <a:endParaRPr lang="en-US"/>
          </a:p>
        </c:txPr>
        <c:crossAx val="26165248"/>
        <c:crosses val="autoZero"/>
        <c:auto val="1"/>
        <c:lblAlgn val="ctr"/>
        <c:lblOffset val="100"/>
        <c:tickLblSkip val="1"/>
        <c:tickMarkSkip val="1"/>
        <c:noMultiLvlLbl val="0"/>
      </c:catAx>
      <c:valAx>
        <c:axId val="26165248"/>
        <c:scaling>
          <c:orientation val="minMax"/>
        </c:scaling>
        <c:delete val="0"/>
        <c:axPos val="l"/>
        <c:majorGridlines>
          <c:spPr>
            <a:ln>
              <a:solidFill>
                <a:srgbClr val="C0C0C0"/>
              </a:solidFill>
              <a:prstDash val="solid"/>
            </a:ln>
          </c:spPr>
        </c:majorGridlines>
        <c:title>
          <c:tx>
            <c:rich>
              <a:bodyPr/>
              <a:lstStyle/>
              <a:p>
                <a:pPr>
                  <a:defRPr sz="1100" b="1" i="0" u="none" strike="noStrike" baseline="0">
                    <a:solidFill>
                      <a:srgbClr val="333333"/>
                    </a:solidFill>
                    <a:latin typeface="Calibri"/>
                    <a:ea typeface="Calibri"/>
                    <a:cs typeface="Calibri"/>
                  </a:defRPr>
                </a:pPr>
                <a:r>
                  <a:rPr lang="en-US"/>
                  <a:t>Incremental Expense Save ($m)</a:t>
                </a:r>
              </a:p>
            </c:rich>
          </c:tx>
          <c:overlay val="0"/>
        </c:title>
        <c:numFmt formatCode="#,##0_);\(#,##0\)" sourceLinked="1"/>
        <c:majorTickMark val="out"/>
        <c:minorTickMark val="none"/>
        <c:tickLblPos val="nextTo"/>
        <c:spPr>
          <a:ln w="9525">
            <a:noFill/>
          </a:ln>
        </c:spPr>
        <c:txPr>
          <a:bodyPr rot="0" vert="horz"/>
          <a:lstStyle/>
          <a:p>
            <a:pPr>
              <a:defRPr sz="1100" b="0" i="0" u="none" strike="noStrike" baseline="0">
                <a:solidFill>
                  <a:srgbClr val="808080"/>
                </a:solidFill>
                <a:latin typeface="Calibri"/>
                <a:ea typeface="Calibri"/>
                <a:cs typeface="Calibri"/>
              </a:defRPr>
            </a:pPr>
            <a:endParaRPr lang="en-US"/>
          </a:p>
        </c:txPr>
        <c:crossAx val="26157056"/>
        <c:crosses val="autoZero"/>
        <c:crossBetween val="between"/>
      </c:valAx>
      <c:spPr>
        <a:noFill/>
        <a:ln w="25400">
          <a:noFill/>
        </a:ln>
      </c:spPr>
    </c:plotArea>
    <c:legend>
      <c:legendPos val="r"/>
      <c:legendEntry>
        <c:idx val="0"/>
        <c:delete val="1"/>
      </c:legendEntry>
      <c:layout>
        <c:manualLayout>
          <c:xMode val="edge"/>
          <c:yMode val="edge"/>
          <c:x val="0.15711549654619533"/>
          <c:y val="4.9806551958782926E-2"/>
          <c:w val="0.35552114563085474"/>
          <c:h val="0.13988529211626324"/>
        </c:manualLayout>
      </c:layout>
      <c:overlay val="1"/>
      <c:txPr>
        <a:bodyPr/>
        <a:lstStyle/>
        <a:p>
          <a:pPr>
            <a:defRPr sz="42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'New Exhibits'!$HS$710</c:f>
              <c:strCache>
                <c:ptCount val="1"/>
                <c:pt idx="0">
                  <c:v>Application, Relicensing, Credit Card, 
Timeshare &amp; Branding Fees  ($mn)</c:v>
                </c:pt>
              </c:strCache>
            </c:strRef>
          </c:tx>
          <c:spPr>
            <a:solidFill>
              <a:srgbClr val="137CB1"/>
            </a:solidFill>
            <a:ln w="25400">
              <a:noFill/>
            </a:ln>
          </c:spPr>
          <c:invertIfNegative val="0"/>
          <c:dLbls>
            <c:dLbl>
              <c:idx val="0"/>
              <c:tx>
                <c:rich>
                  <a:bodyPr/>
                  <a:lstStyle/>
                  <a:p>
                    <a:r>
                      <a:rPr lang="en-US"/>
                      <a:t>$330m </a:t>
                    </a:r>
                  </a:p>
                </c:rich>
              </c:tx>
              <c:dLblPos val="inEnd"/>
              <c:showLegendKey val="0"/>
              <c:showVal val="0"/>
              <c:showCatName val="0"/>
              <c:showSerName val="0"/>
              <c:showPercent val="0"/>
              <c:showBubbleSize val="0"/>
            </c:dLbl>
            <c:dLbl>
              <c:idx val="1"/>
              <c:tx>
                <c:rich>
                  <a:bodyPr/>
                  <a:lstStyle/>
                  <a:p>
                    <a:r>
                      <a:rPr lang="en-US"/>
                      <a:t>$350m </a:t>
                    </a:r>
                  </a:p>
                </c:rich>
              </c:tx>
              <c:dLblPos val="inEnd"/>
              <c:showLegendKey val="0"/>
              <c:showVal val="0"/>
              <c:showCatName val="0"/>
              <c:showSerName val="0"/>
              <c:showPercent val="0"/>
              <c:showBubbleSize val="0"/>
            </c:dLbl>
            <c:dLbl>
              <c:idx val="2"/>
              <c:tx>
                <c:rich>
                  <a:bodyPr/>
                  <a:lstStyle/>
                  <a:p>
                    <a:r>
                      <a:rPr lang="en-US"/>
                      <a:t>$450m </a:t>
                    </a:r>
                  </a:p>
                </c:rich>
              </c:tx>
              <c:dLblPos val="inEnd"/>
              <c:showLegendKey val="0"/>
              <c:showVal val="0"/>
              <c:showCatName val="0"/>
              <c:showSerName val="0"/>
              <c:showPercent val="0"/>
              <c:showBubbleSize val="0"/>
            </c:dLbl>
            <c:txPr>
              <a:bodyPr/>
              <a:lstStyle/>
              <a:p>
                <a:pPr>
                  <a:defRPr sz="1100" b="1" i="0" u="none" strike="noStrike" baseline="0">
                    <a:solidFill>
                      <a:srgbClr val="FFFFFF"/>
                    </a:solidFill>
                    <a:latin typeface="Calibri"/>
                    <a:ea typeface="Calibri"/>
                    <a:cs typeface="Calibri"/>
                  </a:defRPr>
                </a:pPr>
                <a:endParaRPr lang="en-US"/>
              </a:p>
            </c:txPr>
            <c:dLblPos val="inEnd"/>
            <c:showLegendKey val="0"/>
            <c:showVal val="1"/>
            <c:showCatName val="0"/>
            <c:showSerName val="0"/>
            <c:showPercent val="0"/>
            <c:showBubbleSize val="0"/>
            <c:showLeaderLines val="0"/>
          </c:dLbls>
          <c:cat>
            <c:strRef>
              <c:f>'New Exhibits'!$HT$709:$HV$709</c:f>
              <c:strCache>
                <c:ptCount val="3"/>
                <c:pt idx="0">
                  <c:v>2015</c:v>
                </c:pt>
                <c:pt idx="1">
                  <c:v>2016</c:v>
                </c:pt>
                <c:pt idx="2">
                  <c:v>2019e</c:v>
                </c:pt>
              </c:strCache>
            </c:strRef>
          </c:cat>
          <c:val>
            <c:numRef>
              <c:f>'New Exhibits'!$HT$710:$HV$710</c:f>
              <c:numCache>
                <c:formatCode>"$"#,##0_);\("$"#,##0\)</c:formatCode>
                <c:ptCount val="3"/>
                <c:pt idx="0">
                  <c:v>330</c:v>
                </c:pt>
                <c:pt idx="1">
                  <c:v>350</c:v>
                </c:pt>
                <c:pt idx="2">
                  <c:v>450</c:v>
                </c:pt>
              </c:numCache>
            </c:numRef>
          </c:val>
        </c:ser>
        <c:dLbls>
          <c:showLegendKey val="0"/>
          <c:showVal val="0"/>
          <c:showCatName val="0"/>
          <c:showSerName val="0"/>
          <c:showPercent val="0"/>
          <c:showBubbleSize val="0"/>
        </c:dLbls>
        <c:gapWidth val="74"/>
        <c:axId val="26665344"/>
        <c:axId val="26668032"/>
      </c:barChart>
      <c:catAx>
        <c:axId val="26665344"/>
        <c:scaling>
          <c:orientation val="minMax"/>
        </c:scaling>
        <c:delete val="0"/>
        <c:axPos val="b"/>
        <c:numFmt formatCode="General" sourceLinked="1"/>
        <c:majorTickMark val="out"/>
        <c:minorTickMark val="none"/>
        <c:tickLblPos val="low"/>
        <c:spPr>
          <a:ln>
            <a:solidFill>
              <a:srgbClr val="808080"/>
            </a:solidFill>
            <a:prstDash val="solid"/>
          </a:ln>
        </c:spPr>
        <c:txPr>
          <a:bodyPr rot="0" vert="horz"/>
          <a:lstStyle/>
          <a:p>
            <a:pPr>
              <a:defRPr sz="1100" b="0" i="0" u="none" strike="noStrike" baseline="0">
                <a:solidFill>
                  <a:srgbClr val="808080"/>
                </a:solidFill>
                <a:latin typeface="Calibri"/>
                <a:ea typeface="Calibri"/>
                <a:cs typeface="Calibri"/>
              </a:defRPr>
            </a:pPr>
            <a:endParaRPr lang="en-US"/>
          </a:p>
        </c:txPr>
        <c:crossAx val="26668032"/>
        <c:crosses val="autoZero"/>
        <c:auto val="1"/>
        <c:lblAlgn val="ctr"/>
        <c:lblOffset val="100"/>
        <c:tickLblSkip val="1"/>
        <c:tickMarkSkip val="1"/>
        <c:noMultiLvlLbl val="0"/>
      </c:catAx>
      <c:valAx>
        <c:axId val="26668032"/>
        <c:scaling>
          <c:orientation val="minMax"/>
          <c:max val="500"/>
        </c:scaling>
        <c:delete val="0"/>
        <c:axPos val="l"/>
        <c:majorGridlines>
          <c:spPr>
            <a:ln>
              <a:solidFill>
                <a:srgbClr val="C0C0C0"/>
              </a:solidFill>
              <a:prstDash val="solid"/>
            </a:ln>
          </c:spPr>
        </c:majorGridlines>
        <c:title>
          <c:tx>
            <c:rich>
              <a:bodyPr/>
              <a:lstStyle/>
              <a:p>
                <a:pPr>
                  <a:defRPr sz="1050" b="1" i="0" u="none" strike="noStrike" baseline="0">
                    <a:solidFill>
                      <a:srgbClr val="333333"/>
                    </a:solidFill>
                    <a:latin typeface="Calibri"/>
                    <a:ea typeface="Calibri"/>
                    <a:cs typeface="Calibri"/>
                  </a:defRPr>
                </a:pPr>
                <a:r>
                  <a:rPr lang="en-US"/>
                  <a:t>Application, Relicensing, Credit Card, Timeshare &amp; Branding Fees ($m)</a:t>
                </a:r>
              </a:p>
            </c:rich>
          </c:tx>
          <c:overlay val="0"/>
        </c:title>
        <c:numFmt formatCode="&quot;$&quot;#,##0_);\(&quot;$&quot;#,##0\)" sourceLinked="1"/>
        <c:majorTickMark val="out"/>
        <c:minorTickMark val="none"/>
        <c:tickLblPos val="nextTo"/>
        <c:spPr>
          <a:ln w="9525">
            <a:noFill/>
          </a:ln>
        </c:spPr>
        <c:txPr>
          <a:bodyPr rot="0" vert="horz"/>
          <a:lstStyle/>
          <a:p>
            <a:pPr>
              <a:defRPr sz="1050" b="0" i="0" u="none" strike="noStrike" baseline="0">
                <a:solidFill>
                  <a:srgbClr val="808080"/>
                </a:solidFill>
                <a:latin typeface="Calibri"/>
                <a:ea typeface="Calibri"/>
                <a:cs typeface="Calibri"/>
              </a:defRPr>
            </a:pPr>
            <a:endParaRPr lang="en-US"/>
          </a:p>
        </c:txPr>
        <c:crossAx val="26665344"/>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1"/>
          <c:order val="0"/>
          <c:tx>
            <c:v>Current co-brand contract value</c:v>
          </c:tx>
          <c:spPr>
            <a:solidFill>
              <a:srgbClr val="137CB1"/>
            </a:solidFill>
            <a:ln w="25400">
              <a:noFill/>
            </a:ln>
          </c:spPr>
          <c:invertIfNegative val="0"/>
          <c:dLbls>
            <c:dLbl>
              <c:idx val="0"/>
              <c:tx>
                <c:rich>
                  <a:bodyPr/>
                  <a:lstStyle/>
                  <a:p>
                    <a:r>
                      <a:rPr lang="en-US"/>
                      <a:t>$1,300m</a:t>
                    </a:r>
                  </a:p>
                </c:rich>
              </c:tx>
              <c:showLegendKey val="0"/>
              <c:showVal val="0"/>
              <c:showCatName val="0"/>
              <c:showSerName val="0"/>
              <c:showPercent val="0"/>
              <c:showBubbleSize val="0"/>
            </c:dLbl>
            <c:dLbl>
              <c:idx val="1"/>
              <c:tx>
                <c:rich>
                  <a:bodyPr/>
                  <a:lstStyle/>
                  <a:p>
                    <a:r>
                      <a:rPr lang="en-US"/>
                      <a:t>$173m</a:t>
                    </a:r>
                  </a:p>
                </c:rich>
              </c:tx>
              <c:showLegendKey val="0"/>
              <c:showVal val="0"/>
              <c:showCatName val="0"/>
              <c:showSerName val="0"/>
              <c:showPercent val="0"/>
              <c:showBubbleSize val="0"/>
            </c:dLbl>
            <c:numFmt formatCode="\$#,##0" sourceLinked="0"/>
            <c:txPr>
              <a:bodyPr/>
              <a:lstStyle/>
              <a:p>
                <a:pPr>
                  <a:defRPr sz="1000" b="1" i="0" u="none" strike="noStrike" baseline="0">
                    <a:solidFill>
                      <a:srgbClr val="E3E3E3"/>
                    </a:solidFill>
                    <a:latin typeface="Calibri"/>
                    <a:ea typeface="Calibri"/>
                    <a:cs typeface="Calibri"/>
                  </a:defRPr>
                </a:pPr>
                <a:endParaRPr lang="en-US"/>
              </a:p>
            </c:txPr>
            <c:showLegendKey val="0"/>
            <c:showVal val="1"/>
            <c:showCatName val="0"/>
            <c:showSerName val="0"/>
            <c:showPercent val="0"/>
            <c:showBubbleSize val="0"/>
            <c:showLeaderLines val="0"/>
          </c:dLbls>
          <c:cat>
            <c:strRef>
              <c:f>'New Exhibits'!$GE$590:$GE$591</c:f>
              <c:strCache>
                <c:ptCount val="2"/>
                <c:pt idx="0">
                  <c:v>Total Contribution </c:v>
                </c:pt>
                <c:pt idx="1">
                  <c:v>Branding Fees</c:v>
                </c:pt>
              </c:strCache>
            </c:strRef>
          </c:cat>
          <c:val>
            <c:numRef>
              <c:f>'New Exhibits'!$GB$590:$GB$591</c:f>
              <c:numCache>
                <c:formatCode>#,##0_);\(#,##0\)</c:formatCode>
                <c:ptCount val="2"/>
                <c:pt idx="0">
                  <c:v>1300</c:v>
                </c:pt>
                <c:pt idx="1">
                  <c:v>172.99999999999997</c:v>
                </c:pt>
              </c:numCache>
            </c:numRef>
          </c:val>
        </c:ser>
        <c:ser>
          <c:idx val="0"/>
          <c:order val="1"/>
          <c:tx>
            <c:v>Base case incremental value</c:v>
          </c:tx>
          <c:spPr>
            <a:solidFill>
              <a:srgbClr val="EACC80"/>
            </a:solidFill>
            <a:ln w="25400">
              <a:noFill/>
            </a:ln>
          </c:spPr>
          <c:invertIfNegative val="0"/>
          <c:dLbls>
            <c:dLbl>
              <c:idx val="0"/>
              <c:tx>
                <c:rich>
                  <a:bodyPr/>
                  <a:lstStyle/>
                  <a:p>
                    <a:r>
                      <a:rPr lang="en-US"/>
                      <a:t>$500m</a:t>
                    </a:r>
                  </a:p>
                </c:rich>
              </c:tx>
              <c:showLegendKey val="0"/>
              <c:showVal val="0"/>
              <c:showCatName val="0"/>
              <c:showSerName val="0"/>
              <c:showPercent val="0"/>
              <c:showBubbleSize val="0"/>
            </c:dLbl>
            <c:dLbl>
              <c:idx val="1"/>
              <c:tx>
                <c:rich>
                  <a:bodyPr/>
                  <a:lstStyle/>
                  <a:p>
                    <a:r>
                      <a:rPr lang="en-US"/>
                      <a:t>$67m</a:t>
                    </a:r>
                  </a:p>
                </c:rich>
              </c:tx>
              <c:showLegendKey val="0"/>
              <c:showVal val="0"/>
              <c:showCatName val="0"/>
              <c:showSerName val="0"/>
              <c:showPercent val="0"/>
              <c:showBubbleSize val="0"/>
            </c:dLbl>
            <c:numFmt formatCode="\$#,##0" sourceLinked="0"/>
            <c:txPr>
              <a:bodyPr/>
              <a:lstStyle/>
              <a:p>
                <a:pPr>
                  <a:defRPr sz="1000" b="1"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dLbls>
          <c:cat>
            <c:strRef>
              <c:f>'New Exhibits'!$GE$590:$GE$591</c:f>
              <c:strCache>
                <c:ptCount val="2"/>
                <c:pt idx="0">
                  <c:v>Total Contribution </c:v>
                </c:pt>
                <c:pt idx="1">
                  <c:v>Branding Fees</c:v>
                </c:pt>
              </c:strCache>
            </c:strRef>
          </c:cat>
          <c:val>
            <c:numRef>
              <c:f>'New Exhibits'!$GD$590:$GD$591</c:f>
              <c:numCache>
                <c:formatCode>#,##0_);\(#,##0\)</c:formatCode>
                <c:ptCount val="2"/>
                <c:pt idx="0">
                  <c:v>500</c:v>
                </c:pt>
                <c:pt idx="1">
                  <c:v>66.538461538461533</c:v>
                </c:pt>
              </c:numCache>
            </c:numRef>
          </c:val>
        </c:ser>
        <c:dLbls>
          <c:showLegendKey val="0"/>
          <c:showVal val="0"/>
          <c:showCatName val="0"/>
          <c:showSerName val="0"/>
          <c:showPercent val="0"/>
          <c:showBubbleSize val="0"/>
        </c:dLbls>
        <c:gapWidth val="76"/>
        <c:overlap val="100"/>
        <c:axId val="29891584"/>
        <c:axId val="30143232"/>
      </c:barChart>
      <c:catAx>
        <c:axId val="29891584"/>
        <c:scaling>
          <c:orientation val="minMax"/>
        </c:scaling>
        <c:delete val="0"/>
        <c:axPos val="b"/>
        <c:numFmt formatCode="#,##0_);\(#,##0\)" sourceLinked="1"/>
        <c:majorTickMark val="out"/>
        <c:minorTickMark val="none"/>
        <c:tickLblPos val="low"/>
        <c:spPr>
          <a:ln>
            <a:solidFill>
              <a:srgbClr val="808080"/>
            </a:solidFill>
            <a:prstDash val="solid"/>
          </a:ln>
        </c:spPr>
        <c:txPr>
          <a:bodyPr rot="0" vert="horz"/>
          <a:lstStyle/>
          <a:p>
            <a:pPr>
              <a:defRPr sz="1000" b="0" i="0" u="none" strike="noStrike" baseline="0">
                <a:solidFill>
                  <a:srgbClr val="808080"/>
                </a:solidFill>
                <a:latin typeface="Calibri"/>
                <a:ea typeface="Calibri"/>
                <a:cs typeface="Calibri"/>
              </a:defRPr>
            </a:pPr>
            <a:endParaRPr lang="en-US"/>
          </a:p>
        </c:txPr>
        <c:crossAx val="30143232"/>
        <c:crosses val="autoZero"/>
        <c:auto val="1"/>
        <c:lblAlgn val="ctr"/>
        <c:lblOffset val="100"/>
        <c:tickLblSkip val="1"/>
        <c:tickMarkSkip val="1"/>
        <c:noMultiLvlLbl val="0"/>
      </c:catAx>
      <c:valAx>
        <c:axId val="30143232"/>
        <c:scaling>
          <c:orientation val="minMax"/>
          <c:max val="2000"/>
        </c:scaling>
        <c:delete val="0"/>
        <c:axPos val="l"/>
        <c:majorGridlines>
          <c:spPr>
            <a:ln>
              <a:solidFill>
                <a:srgbClr val="C0C0C0"/>
              </a:solidFill>
              <a:prstDash val="solid"/>
            </a:ln>
          </c:spPr>
        </c:majorGridlines>
        <c:title>
          <c:tx>
            <c:rich>
              <a:bodyPr/>
              <a:lstStyle/>
              <a:p>
                <a:pPr>
                  <a:defRPr sz="1000" b="1" i="0" u="none" strike="noStrike" baseline="0">
                    <a:solidFill>
                      <a:srgbClr val="333333"/>
                    </a:solidFill>
                    <a:latin typeface="Calibri"/>
                    <a:ea typeface="Calibri"/>
                    <a:cs typeface="Calibri"/>
                  </a:defRPr>
                </a:pPr>
                <a:r>
                  <a:rPr lang="en-US"/>
                  <a:t>Incremental Value from Co-brand Card Contract Renegotiation ($m)</a:t>
                </a:r>
              </a:p>
            </c:rich>
          </c:tx>
          <c:overlay val="0"/>
        </c:title>
        <c:numFmt formatCode="#,##0_);\(#,##0\)" sourceLinked="1"/>
        <c:majorTickMark val="out"/>
        <c:minorTickMark val="none"/>
        <c:tickLblPos val="nextTo"/>
        <c:spPr>
          <a:ln w="9525">
            <a:noFill/>
          </a:ln>
        </c:spPr>
        <c:txPr>
          <a:bodyPr rot="0" vert="horz"/>
          <a:lstStyle/>
          <a:p>
            <a:pPr>
              <a:defRPr sz="1000" b="0" i="0" u="none" strike="noStrike" baseline="0">
                <a:solidFill>
                  <a:srgbClr val="808080"/>
                </a:solidFill>
                <a:latin typeface="Calibri"/>
                <a:ea typeface="Calibri"/>
                <a:cs typeface="Calibri"/>
              </a:defRPr>
            </a:pPr>
            <a:endParaRPr lang="en-US"/>
          </a:p>
        </c:txPr>
        <c:crossAx val="29891584"/>
        <c:crosses val="autoZero"/>
        <c:crossBetween val="between"/>
      </c:valAx>
      <c:spPr>
        <a:noFill/>
        <a:ln w="25400">
          <a:noFill/>
        </a:ln>
      </c:spPr>
    </c:plotArea>
    <c:legend>
      <c:legendPos val="r"/>
      <c:layout>
        <c:manualLayout>
          <c:xMode val="edge"/>
          <c:yMode val="edge"/>
          <c:x val="0.50752866418013531"/>
          <c:y val="5.9801469452996581E-2"/>
          <c:w val="0.49247133581986469"/>
          <c:h val="0.15894286570580063"/>
        </c:manualLayout>
      </c:layout>
      <c:overlay val="1"/>
      <c:spPr>
        <a:noFill/>
        <a:ln w="25400">
          <a:noFill/>
        </a:ln>
        <a:extLst>
          <a:ext uri="{909E8E84-426E-40DD-AFC4-6F175D3DCCD1}">
            <a14:hiddenFill xmlns:a14="http://schemas.microsoft.com/office/drawing/2010/main">
              <a:noFill/>
            </a14:hiddenFill>
          </a:ext>
        </a:extLst>
      </c:spPr>
      <c:txPr>
        <a:bodyPr/>
        <a:lstStyle/>
        <a:p>
          <a:pPr>
            <a:defRPr sz="500" b="0" i="0" u="none" strike="noStrike" baseline="0">
              <a:solidFill>
                <a:srgbClr val="808080"/>
              </a:solidFill>
              <a:latin typeface="Calibri"/>
              <a:ea typeface="Calibri"/>
              <a:cs typeface="Calibri"/>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1"/>
          <c:order val="0"/>
          <c:tx>
            <c:v>Current co-brand contract value</c:v>
          </c:tx>
          <c:spPr>
            <a:solidFill>
              <a:srgbClr val="137CB1"/>
            </a:solidFill>
            <a:ln w="25400">
              <a:noFill/>
            </a:ln>
          </c:spPr>
          <c:invertIfNegative val="0"/>
          <c:dLbls>
            <c:dLbl>
              <c:idx val="0"/>
              <c:tx>
                <c:rich>
                  <a:bodyPr/>
                  <a:lstStyle/>
                  <a:p>
                    <a:r>
                      <a:rPr lang="en-US"/>
                      <a:t>$1,300m</a:t>
                    </a:r>
                  </a:p>
                </c:rich>
              </c:tx>
              <c:showLegendKey val="0"/>
              <c:showVal val="0"/>
              <c:showCatName val="0"/>
              <c:showSerName val="0"/>
              <c:showPercent val="0"/>
              <c:showBubbleSize val="0"/>
            </c:dLbl>
            <c:dLbl>
              <c:idx val="1"/>
              <c:tx>
                <c:rich>
                  <a:bodyPr/>
                  <a:lstStyle/>
                  <a:p>
                    <a:r>
                      <a:rPr lang="en-US"/>
                      <a:t>$173m</a:t>
                    </a:r>
                  </a:p>
                </c:rich>
              </c:tx>
              <c:showLegendKey val="0"/>
              <c:showVal val="0"/>
              <c:showCatName val="0"/>
              <c:showSerName val="0"/>
              <c:showPercent val="0"/>
              <c:showBubbleSize val="0"/>
            </c:dLbl>
            <c:numFmt formatCode="\$#,##0" sourceLinked="0"/>
            <c:txPr>
              <a:bodyPr/>
              <a:lstStyle/>
              <a:p>
                <a:pPr>
                  <a:defRPr sz="1000" b="1" i="0" u="none" strike="noStrike" baseline="0">
                    <a:solidFill>
                      <a:srgbClr val="E3E3E3"/>
                    </a:solidFill>
                    <a:latin typeface="Calibri"/>
                    <a:ea typeface="Calibri"/>
                    <a:cs typeface="Calibri"/>
                  </a:defRPr>
                </a:pPr>
                <a:endParaRPr lang="en-US"/>
              </a:p>
            </c:txPr>
            <c:showLegendKey val="0"/>
            <c:showVal val="1"/>
            <c:showCatName val="0"/>
            <c:showSerName val="0"/>
            <c:showPercent val="0"/>
            <c:showBubbleSize val="0"/>
            <c:showLeaderLines val="0"/>
          </c:dLbls>
          <c:cat>
            <c:strRef>
              <c:f>'New Exhibits'!$GL$615:$GL$616</c:f>
              <c:strCache>
                <c:ptCount val="2"/>
                <c:pt idx="0">
                  <c:v>Total Contribution </c:v>
                </c:pt>
                <c:pt idx="1">
                  <c:v>Branding Fees</c:v>
                </c:pt>
              </c:strCache>
            </c:strRef>
          </c:cat>
          <c:val>
            <c:numRef>
              <c:f>'New Exhibits'!$GI$615:$GI$616</c:f>
              <c:numCache>
                <c:formatCode>#,##0_);\(#,##0\)</c:formatCode>
                <c:ptCount val="2"/>
                <c:pt idx="0">
                  <c:v>1300</c:v>
                </c:pt>
                <c:pt idx="1">
                  <c:v>172.99999999999997</c:v>
                </c:pt>
              </c:numCache>
            </c:numRef>
          </c:val>
        </c:ser>
        <c:ser>
          <c:idx val="0"/>
          <c:order val="1"/>
          <c:tx>
            <c:v>Bull case incremental value</c:v>
          </c:tx>
          <c:spPr>
            <a:solidFill>
              <a:srgbClr val="EACC80"/>
            </a:solidFill>
            <a:ln w="25400">
              <a:noFill/>
            </a:ln>
          </c:spPr>
          <c:invertIfNegative val="0"/>
          <c:dLbls>
            <c:dLbl>
              <c:idx val="0"/>
              <c:tx>
                <c:rich>
                  <a:bodyPr/>
                  <a:lstStyle/>
                  <a:p>
                    <a:r>
                      <a:rPr lang="en-US"/>
                      <a:t>$800m</a:t>
                    </a:r>
                  </a:p>
                </c:rich>
              </c:tx>
              <c:showLegendKey val="0"/>
              <c:showVal val="0"/>
              <c:showCatName val="0"/>
              <c:showSerName val="0"/>
              <c:showPercent val="0"/>
              <c:showBubbleSize val="0"/>
            </c:dLbl>
            <c:dLbl>
              <c:idx val="1"/>
              <c:tx>
                <c:rich>
                  <a:bodyPr/>
                  <a:lstStyle/>
                  <a:p>
                    <a:r>
                      <a:rPr lang="en-US"/>
                      <a:t>$106m</a:t>
                    </a:r>
                  </a:p>
                </c:rich>
              </c:tx>
              <c:showLegendKey val="0"/>
              <c:showVal val="0"/>
              <c:showCatName val="0"/>
              <c:showSerName val="0"/>
              <c:showPercent val="0"/>
              <c:showBubbleSize val="0"/>
            </c:dLbl>
            <c:numFmt formatCode="\$#,##0" sourceLinked="0"/>
            <c:txPr>
              <a:bodyPr/>
              <a:lstStyle/>
              <a:p>
                <a:pPr>
                  <a:defRPr sz="1000" b="1"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dLbls>
          <c:cat>
            <c:strRef>
              <c:f>'New Exhibits'!$GL$615:$GL$616</c:f>
              <c:strCache>
                <c:ptCount val="2"/>
                <c:pt idx="0">
                  <c:v>Total Contribution </c:v>
                </c:pt>
                <c:pt idx="1">
                  <c:v>Branding Fees</c:v>
                </c:pt>
              </c:strCache>
            </c:strRef>
          </c:cat>
          <c:val>
            <c:numRef>
              <c:f>'New Exhibits'!$GK$615:$GK$616</c:f>
              <c:numCache>
                <c:formatCode>#,##0_);\(#,##0\)</c:formatCode>
                <c:ptCount val="2"/>
                <c:pt idx="0">
                  <c:v>800</c:v>
                </c:pt>
                <c:pt idx="1">
                  <c:v>106.46153846153845</c:v>
                </c:pt>
              </c:numCache>
            </c:numRef>
          </c:val>
        </c:ser>
        <c:dLbls>
          <c:showLegendKey val="0"/>
          <c:showVal val="0"/>
          <c:showCatName val="0"/>
          <c:showSerName val="0"/>
          <c:showPercent val="0"/>
          <c:showBubbleSize val="0"/>
        </c:dLbls>
        <c:gapWidth val="76"/>
        <c:overlap val="100"/>
        <c:axId val="113152000"/>
        <c:axId val="113153920"/>
      </c:barChart>
      <c:catAx>
        <c:axId val="113152000"/>
        <c:scaling>
          <c:orientation val="minMax"/>
        </c:scaling>
        <c:delete val="0"/>
        <c:axPos val="b"/>
        <c:numFmt formatCode="#,##0_);\(#,##0\)" sourceLinked="1"/>
        <c:majorTickMark val="out"/>
        <c:minorTickMark val="none"/>
        <c:tickLblPos val="low"/>
        <c:spPr>
          <a:ln>
            <a:solidFill>
              <a:srgbClr val="808080"/>
            </a:solidFill>
            <a:prstDash val="solid"/>
          </a:ln>
        </c:spPr>
        <c:txPr>
          <a:bodyPr rot="0" vert="horz"/>
          <a:lstStyle/>
          <a:p>
            <a:pPr>
              <a:defRPr sz="1000" b="0" i="0" u="none" strike="noStrike" baseline="0">
                <a:solidFill>
                  <a:srgbClr val="808080"/>
                </a:solidFill>
                <a:latin typeface="Calibri"/>
                <a:ea typeface="Calibri"/>
                <a:cs typeface="Calibri"/>
              </a:defRPr>
            </a:pPr>
            <a:endParaRPr lang="en-US"/>
          </a:p>
        </c:txPr>
        <c:crossAx val="113153920"/>
        <c:crosses val="autoZero"/>
        <c:auto val="1"/>
        <c:lblAlgn val="ctr"/>
        <c:lblOffset val="100"/>
        <c:tickLblSkip val="1"/>
        <c:tickMarkSkip val="1"/>
        <c:noMultiLvlLbl val="0"/>
      </c:catAx>
      <c:valAx>
        <c:axId val="113153920"/>
        <c:scaling>
          <c:orientation val="minMax"/>
          <c:max val="2300"/>
        </c:scaling>
        <c:delete val="0"/>
        <c:axPos val="l"/>
        <c:majorGridlines>
          <c:spPr>
            <a:ln>
              <a:solidFill>
                <a:srgbClr val="C0C0C0"/>
              </a:solidFill>
              <a:prstDash val="solid"/>
            </a:ln>
          </c:spPr>
        </c:majorGridlines>
        <c:title>
          <c:tx>
            <c:rich>
              <a:bodyPr/>
              <a:lstStyle/>
              <a:p>
                <a:pPr>
                  <a:defRPr sz="1000" b="1" i="0" u="none" strike="noStrike" baseline="0">
                    <a:solidFill>
                      <a:srgbClr val="333333"/>
                    </a:solidFill>
                    <a:latin typeface="Calibri"/>
                    <a:ea typeface="Calibri"/>
                    <a:cs typeface="Calibri"/>
                  </a:defRPr>
                </a:pPr>
                <a:r>
                  <a:rPr lang="en-US"/>
                  <a:t>Incremental Value from Co-brand Card Contract Renegotiation ($m)</a:t>
                </a:r>
              </a:p>
            </c:rich>
          </c:tx>
          <c:overlay val="0"/>
        </c:title>
        <c:numFmt formatCode="#,##0_);\(#,##0\)" sourceLinked="1"/>
        <c:majorTickMark val="out"/>
        <c:minorTickMark val="none"/>
        <c:tickLblPos val="nextTo"/>
        <c:spPr>
          <a:ln w="9525">
            <a:noFill/>
          </a:ln>
        </c:spPr>
        <c:txPr>
          <a:bodyPr rot="0" vert="horz"/>
          <a:lstStyle/>
          <a:p>
            <a:pPr>
              <a:defRPr sz="1000" b="0" i="0" u="none" strike="noStrike" baseline="0">
                <a:solidFill>
                  <a:srgbClr val="808080"/>
                </a:solidFill>
                <a:latin typeface="Calibri"/>
                <a:ea typeface="Calibri"/>
                <a:cs typeface="Calibri"/>
              </a:defRPr>
            </a:pPr>
            <a:endParaRPr lang="en-US"/>
          </a:p>
        </c:txPr>
        <c:crossAx val="113152000"/>
        <c:crosses val="autoZero"/>
        <c:crossBetween val="between"/>
      </c:valAx>
      <c:spPr>
        <a:noFill/>
        <a:ln w="25400">
          <a:noFill/>
        </a:ln>
      </c:spPr>
    </c:plotArea>
    <c:legend>
      <c:legendPos val="r"/>
      <c:layout>
        <c:manualLayout>
          <c:xMode val="edge"/>
          <c:yMode val="edge"/>
          <c:x val="0.5075285494973506"/>
          <c:y val="5.9801261684394716E-2"/>
          <c:w val="0.4924714505026494"/>
          <c:h val="0.15894276373348071"/>
        </c:manualLayout>
      </c:layout>
      <c:overlay val="1"/>
      <c:spPr>
        <a:noFill/>
        <a:ln w="25400">
          <a:noFill/>
        </a:ln>
        <a:extLst>
          <a:ext uri="{909E8E84-426E-40DD-AFC4-6F175D3DCCD1}">
            <a14:hiddenFill xmlns:a14="http://schemas.microsoft.com/office/drawing/2010/main">
              <a:noFill/>
            </a14:hiddenFill>
          </a:ext>
        </a:extLst>
      </c:spPr>
      <c:txPr>
        <a:bodyPr/>
        <a:lstStyle/>
        <a:p>
          <a:pPr>
            <a:defRPr sz="500" b="0" i="0" u="none" strike="noStrike" baseline="0">
              <a:solidFill>
                <a:srgbClr val="808080"/>
              </a:solidFill>
              <a:latin typeface="Calibri"/>
              <a:ea typeface="Calibri"/>
              <a:cs typeface="Calibri"/>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orientation="portrait"/>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137CB1"/>
            </a:solidFill>
            <a:ln w="25400">
              <a:noFill/>
            </a:ln>
          </c:spPr>
          <c:invertIfNegative val="0"/>
          <c:dPt>
            <c:idx val="1"/>
            <c:invertIfNegative val="0"/>
            <c:bubble3D val="0"/>
            <c:spPr>
              <a:noFill/>
              <a:ln w="25400">
                <a:noFill/>
              </a:ln>
            </c:spPr>
          </c:dPt>
          <c:dPt>
            <c:idx val="2"/>
            <c:invertIfNegative val="0"/>
            <c:bubble3D val="0"/>
            <c:spPr>
              <a:noFill/>
              <a:ln w="25400">
                <a:noFill/>
              </a:ln>
            </c:spPr>
          </c:dPt>
          <c:dLbls>
            <c:dLbl>
              <c:idx val="1"/>
              <c:delete val="1"/>
            </c:dLbl>
            <c:dLbl>
              <c:idx val="2"/>
              <c:delete val="1"/>
            </c:dLbl>
            <c:txPr>
              <a:bodyPr/>
              <a:lstStyle/>
              <a:p>
                <a:pPr>
                  <a:defRPr sz="1100" b="1">
                    <a:solidFill>
                      <a:schemeClr val="bg1"/>
                    </a:solidFill>
                  </a:defRPr>
                </a:pPr>
                <a:endParaRPr lang="en-US"/>
              </a:p>
            </c:txPr>
            <c:showLegendKey val="0"/>
            <c:showVal val="1"/>
            <c:showCatName val="0"/>
            <c:showSerName val="0"/>
            <c:showPercent val="0"/>
            <c:showBubbleSize val="0"/>
            <c:showLeaderLines val="0"/>
          </c:dLbls>
          <c:cat>
            <c:strRef>
              <c:f>'New Exhibits'!$JA$847:$JA$850</c:f>
              <c:strCache>
                <c:ptCount val="4"/>
                <c:pt idx="0">
                  <c:v>Base Case EPS</c:v>
                </c:pt>
                <c:pt idx="1">
                  <c:v>Bull Case Credit Card Fees</c:v>
                </c:pt>
                <c:pt idx="2">
                  <c:v>Tax Reform</c:v>
                </c:pt>
                <c:pt idx="3">
                  <c:v>Bull Case EPS</c:v>
                </c:pt>
              </c:strCache>
            </c:strRef>
          </c:cat>
          <c:val>
            <c:numRef>
              <c:f>'New Exhibits'!$JB$847:$JB$850</c:f>
              <c:numCache>
                <c:formatCode>"$"#,##0.00_);\("$"#,##0.00\)</c:formatCode>
                <c:ptCount val="4"/>
                <c:pt idx="0">
                  <c:v>6.2152045518202783</c:v>
                </c:pt>
                <c:pt idx="1">
                  <c:v>6.2152045518202783</c:v>
                </c:pt>
                <c:pt idx="2">
                  <c:v>6.7606350450517247</c:v>
                </c:pt>
                <c:pt idx="3">
                  <c:v>6.7208045694867664</c:v>
                </c:pt>
              </c:numCache>
            </c:numRef>
          </c:val>
        </c:ser>
        <c:ser>
          <c:idx val="1"/>
          <c:order val="1"/>
          <c:spPr>
            <a:solidFill>
              <a:srgbClr val="4AAC6B"/>
            </a:solidFill>
            <a:ln w="25400">
              <a:noFill/>
            </a:ln>
          </c:spPr>
          <c:invertIfNegative val="0"/>
          <c:dPt>
            <c:idx val="1"/>
            <c:invertIfNegative val="0"/>
            <c:bubble3D val="0"/>
            <c:spPr>
              <a:solidFill>
                <a:srgbClr val="FFC000"/>
              </a:solidFill>
              <a:ln w="25400">
                <a:noFill/>
              </a:ln>
            </c:spPr>
          </c:dPt>
          <c:dPt>
            <c:idx val="2"/>
            <c:invertIfNegative val="0"/>
            <c:bubble3D val="0"/>
            <c:spPr>
              <a:solidFill>
                <a:srgbClr val="FFC000"/>
              </a:solidFill>
              <a:ln w="25400">
                <a:noFill/>
              </a:ln>
            </c:spPr>
          </c:dPt>
          <c:dLbls>
            <c:dLbl>
              <c:idx val="1"/>
              <c:showLegendKey val="0"/>
              <c:showVal val="1"/>
              <c:showCatName val="0"/>
              <c:showSerName val="0"/>
              <c:showPercent val="0"/>
              <c:showBubbleSize val="0"/>
            </c:dLbl>
            <c:dLbl>
              <c:idx val="2"/>
              <c:showLegendKey val="0"/>
              <c:showVal val="1"/>
              <c:showCatName val="0"/>
              <c:showSerName val="0"/>
              <c:showPercent val="0"/>
              <c:showBubbleSize val="0"/>
            </c:dLbl>
            <c:txPr>
              <a:bodyPr/>
              <a:lstStyle/>
              <a:p>
                <a:pPr>
                  <a:defRPr sz="1100" b="1"/>
                </a:pPr>
                <a:endParaRPr lang="en-US"/>
              </a:p>
            </c:txPr>
            <c:showLegendKey val="0"/>
            <c:showVal val="0"/>
            <c:showCatName val="0"/>
            <c:showSerName val="0"/>
            <c:showPercent val="0"/>
            <c:showBubbleSize val="0"/>
          </c:dLbls>
          <c:cat>
            <c:strRef>
              <c:f>'New Exhibits'!$JA$847:$JA$850</c:f>
              <c:strCache>
                <c:ptCount val="4"/>
                <c:pt idx="0">
                  <c:v>Base Case EPS</c:v>
                </c:pt>
                <c:pt idx="1">
                  <c:v>Bull Case Credit Card Fees</c:v>
                </c:pt>
                <c:pt idx="2">
                  <c:v>Tax Reform</c:v>
                </c:pt>
                <c:pt idx="3">
                  <c:v>Bull Case EPS</c:v>
                </c:pt>
              </c:strCache>
            </c:strRef>
          </c:cat>
          <c:val>
            <c:numRef>
              <c:f>'New Exhibits'!$JC$847:$JC$850</c:f>
              <c:numCache>
                <c:formatCode>"$"#,##0.00_);\("$"#,##0.00\)</c:formatCode>
                <c:ptCount val="4"/>
                <c:pt idx="1">
                  <c:v>0.54543049323144599</c:v>
                </c:pt>
                <c:pt idx="2">
                  <c:v>-3.9830475564958133E-2</c:v>
                </c:pt>
              </c:numCache>
            </c:numRef>
          </c:val>
        </c:ser>
        <c:dLbls>
          <c:showLegendKey val="0"/>
          <c:showVal val="0"/>
          <c:showCatName val="0"/>
          <c:showSerName val="0"/>
          <c:showPercent val="0"/>
          <c:showBubbleSize val="0"/>
        </c:dLbls>
        <c:gapWidth val="60"/>
        <c:overlap val="100"/>
        <c:axId val="370152960"/>
        <c:axId val="370154880"/>
      </c:barChart>
      <c:catAx>
        <c:axId val="370152960"/>
        <c:scaling>
          <c:orientation val="minMax"/>
        </c:scaling>
        <c:delete val="0"/>
        <c:axPos val="b"/>
        <c:majorTickMark val="out"/>
        <c:minorTickMark val="none"/>
        <c:tickLblPos val="low"/>
        <c:spPr>
          <a:ln>
            <a:solidFill>
              <a:srgbClr val="808080"/>
            </a:solidFill>
            <a:prstDash val="solid"/>
          </a:ln>
        </c:spPr>
        <c:txPr>
          <a:bodyPr rot="0" vert="horz"/>
          <a:lstStyle/>
          <a:p>
            <a:pPr>
              <a:defRPr>
                <a:solidFill>
                  <a:srgbClr val="808080"/>
                </a:solidFill>
              </a:defRPr>
            </a:pPr>
            <a:endParaRPr lang="en-US"/>
          </a:p>
        </c:txPr>
        <c:crossAx val="370154880"/>
        <c:crosses val="autoZero"/>
        <c:auto val="1"/>
        <c:lblAlgn val="ctr"/>
        <c:lblOffset val="100"/>
        <c:tickLblSkip val="1"/>
        <c:tickMarkSkip val="1"/>
        <c:noMultiLvlLbl val="0"/>
      </c:catAx>
      <c:valAx>
        <c:axId val="370154880"/>
        <c:scaling>
          <c:orientation val="minMax"/>
          <c:min val="4"/>
        </c:scaling>
        <c:delete val="0"/>
        <c:axPos val="l"/>
        <c:majorGridlines>
          <c:spPr>
            <a:ln>
              <a:solidFill>
                <a:srgbClr val="C0C0C0"/>
              </a:solidFill>
              <a:prstDash val="solid"/>
            </a:ln>
          </c:spPr>
        </c:majorGridlines>
        <c:numFmt formatCode="&quot;$&quot;#,##0.00_);\(&quot;$&quot;#,##0.00\)" sourceLinked="1"/>
        <c:majorTickMark val="out"/>
        <c:minorTickMark val="none"/>
        <c:tickLblPos val="nextTo"/>
        <c:spPr>
          <a:ln w="9525">
            <a:noFill/>
          </a:ln>
        </c:spPr>
        <c:txPr>
          <a:bodyPr rot="0" vert="horz"/>
          <a:lstStyle/>
          <a:p>
            <a:pPr>
              <a:defRPr>
                <a:solidFill>
                  <a:srgbClr val="808080"/>
                </a:solidFill>
              </a:defRPr>
            </a:pPr>
            <a:endParaRPr lang="en-US"/>
          </a:p>
        </c:txPr>
        <c:crossAx val="370152960"/>
        <c:crosses val="autoZero"/>
        <c:crossBetween val="between"/>
      </c:valAx>
      <c:spPr>
        <a:noFill/>
        <a:ln w="25400">
          <a:noFill/>
        </a:ln>
        <a:extLst>
          <a:ext uri="{909E8E84-426E-40DD-AFC4-6F175D3DCCD1}">
            <a14:hiddenFill xmlns:a14="http://schemas.microsoft.com/office/drawing/2010/main">
              <a:solidFill>
                <a:sysClr val="window" lastClr="F0F0F0"/>
              </a:solidFill>
            </a14:hiddenFill>
          </a:ext>
        </a:extLst>
      </c:spPr>
    </c:plotArea>
    <c:plotVisOnly val="1"/>
    <c:dispBlanksAs val="gap"/>
    <c:showDLblsOverMax val="0"/>
  </c:chart>
  <c:spPr>
    <a:solidFill>
      <a:srgbClr val="FFFFFF"/>
    </a:solidFill>
    <a:ln w="9525">
      <a:noFill/>
    </a:ln>
  </c:spPr>
  <c:txPr>
    <a:bodyPr/>
    <a:lstStyle/>
    <a:p>
      <a:pPr>
        <a:defRPr>
          <a:solidFill>
            <a:srgbClr val="333333"/>
          </a:solidFill>
        </a:defRPr>
      </a:pPr>
      <a:endParaRPr lang="en-US"/>
    </a:p>
  </c:txPr>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MSe Franchise Fee Growth</c:v>
          </c:tx>
          <c:invertIfNegative val="0"/>
          <c:dLbls>
            <c:showLegendKey val="0"/>
            <c:showVal val="1"/>
            <c:showCatName val="0"/>
            <c:showSerName val="0"/>
            <c:showPercent val="0"/>
            <c:showBubbleSize val="0"/>
            <c:showLeaderLines val="0"/>
          </c:dLbls>
          <c:cat>
            <c:strRef>
              <c:f>'New Exhibits'!$JO$888:$JQ$888</c:f>
              <c:strCache>
                <c:ptCount val="3"/>
                <c:pt idx="0">
                  <c:v>2017E</c:v>
                </c:pt>
                <c:pt idx="1">
                  <c:v>2018E</c:v>
                </c:pt>
                <c:pt idx="2">
                  <c:v>2019E</c:v>
                </c:pt>
              </c:strCache>
            </c:strRef>
          </c:cat>
          <c:val>
            <c:numRef>
              <c:f>'New Exhibits'!$JO$892:$JQ$892</c:f>
              <c:numCache>
                <c:formatCode>0%</c:formatCode>
                <c:ptCount val="3"/>
                <c:pt idx="0">
                  <c:v>0.12517385257301816</c:v>
                </c:pt>
                <c:pt idx="1">
                  <c:v>0.13737130641925077</c:v>
                </c:pt>
                <c:pt idx="2">
                  <c:v>0.11089161774933265</c:v>
                </c:pt>
              </c:numCache>
            </c:numRef>
          </c:val>
        </c:ser>
        <c:ser>
          <c:idx val="1"/>
          <c:order val="1"/>
          <c:tx>
            <c:v>Consensus Franchise Fee Growth</c:v>
          </c:tx>
          <c:invertIfNegative val="0"/>
          <c:dLbls>
            <c:showLegendKey val="0"/>
            <c:showVal val="1"/>
            <c:showCatName val="0"/>
            <c:showSerName val="0"/>
            <c:showPercent val="0"/>
            <c:showBubbleSize val="0"/>
            <c:showLeaderLines val="0"/>
          </c:dLbls>
          <c:cat>
            <c:strRef>
              <c:f>'New Exhibits'!$JO$888:$JQ$888</c:f>
              <c:strCache>
                <c:ptCount val="3"/>
                <c:pt idx="0">
                  <c:v>2017E</c:v>
                </c:pt>
                <c:pt idx="1">
                  <c:v>2018E</c:v>
                </c:pt>
                <c:pt idx="2">
                  <c:v>2019E</c:v>
                </c:pt>
              </c:strCache>
            </c:strRef>
          </c:cat>
          <c:val>
            <c:numRef>
              <c:f>'New Exhibits'!$JO$893:$JQ$893</c:f>
              <c:numCache>
                <c:formatCode>0%</c:formatCode>
                <c:ptCount val="3"/>
                <c:pt idx="0">
                  <c:v>0.11234353268428365</c:v>
                </c:pt>
                <c:pt idx="1">
                  <c:v>9.9202900815854589E-2</c:v>
                </c:pt>
                <c:pt idx="2">
                  <c:v>8.9857413421452259E-2</c:v>
                </c:pt>
              </c:numCache>
            </c:numRef>
          </c:val>
        </c:ser>
        <c:dLbls>
          <c:showLegendKey val="0"/>
          <c:showVal val="0"/>
          <c:showCatName val="0"/>
          <c:showSerName val="0"/>
          <c:showPercent val="0"/>
          <c:showBubbleSize val="0"/>
        </c:dLbls>
        <c:gapWidth val="150"/>
        <c:axId val="370177536"/>
        <c:axId val="370179456"/>
      </c:barChart>
      <c:catAx>
        <c:axId val="370177536"/>
        <c:scaling>
          <c:orientation val="minMax"/>
        </c:scaling>
        <c:delete val="0"/>
        <c:axPos val="b"/>
        <c:numFmt formatCode="0_);\(0\)" sourceLinked="1"/>
        <c:majorTickMark val="out"/>
        <c:minorTickMark val="none"/>
        <c:tickLblPos val="nextTo"/>
        <c:crossAx val="370179456"/>
        <c:crosses val="autoZero"/>
        <c:auto val="1"/>
        <c:lblAlgn val="ctr"/>
        <c:lblOffset val="100"/>
        <c:noMultiLvlLbl val="0"/>
      </c:catAx>
      <c:valAx>
        <c:axId val="370179456"/>
        <c:scaling>
          <c:orientation val="minMax"/>
        </c:scaling>
        <c:delete val="0"/>
        <c:axPos val="l"/>
        <c:numFmt formatCode="0%" sourceLinked="1"/>
        <c:majorTickMark val="out"/>
        <c:minorTickMark val="none"/>
        <c:tickLblPos val="nextTo"/>
        <c:crossAx val="370177536"/>
        <c:crosses val="autoZero"/>
        <c:crossBetween val="between"/>
      </c:valAx>
      <c:spPr>
        <a:solidFill>
          <a:srgbClr val="FFFFFF"/>
        </a:solidFill>
        <a:ln w="25400">
          <a:noFill/>
        </a:ln>
      </c:spPr>
    </c:plotArea>
    <c:legend>
      <c:legendPos val="b"/>
      <c:layout/>
      <c:overlay val="0"/>
    </c:legend>
    <c:plotVisOnly val="1"/>
    <c:dispBlanksAs val="gap"/>
    <c:showDLblsOverMax val="0"/>
  </c:chart>
  <c:spPr>
    <a:solidFill>
      <a:srgbClr val="FFFFFF"/>
    </a:solidFill>
  </c:spPr>
  <c:printSettings>
    <c:headerFooter/>
    <c:pageMargins b="0.75" l="0.7" r="0.7" t="0.75" header="0.3" footer="0.3"/>
    <c:pageSetup orientation="landscape" verticalDpi="0"/>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5.3191489361702126E-3"/>
          <c:w val="1"/>
          <c:h val="0.81914893617021278"/>
        </c:manualLayout>
      </c:layout>
      <c:barChart>
        <c:barDir val="col"/>
        <c:grouping val="stacked"/>
        <c:varyColors val="0"/>
        <c:ser>
          <c:idx val="0"/>
          <c:order val="0"/>
          <c:tx>
            <c:strRef>
              <c:f>Bear_to_Bull_Data!$E$5</c:f>
              <c:strCache>
                <c:ptCount val="1"/>
                <c:pt idx="0">
                  <c:v>Invisible</c:v>
                </c:pt>
              </c:strCache>
            </c:strRef>
          </c:tx>
          <c:spPr>
            <a:noFill/>
            <a:ln w="25400">
              <a:noFill/>
            </a:ln>
          </c:spPr>
          <c:invertIfNegative val="0"/>
          <c:cat>
            <c:strRef>
              <c:f>Bear_to_Bull_Data!$A$6:$A$12</c:f>
              <c:strCache>
                <c:ptCount val="7"/>
                <c:pt idx="0">
                  <c:v>Bear
Case</c:v>
                </c:pt>
                <c:pt idx="1">
                  <c:v>Multiple
Contraction</c:v>
                </c:pt>
                <c:pt idx="2">
                  <c:v>RevPAR Declines
at 6% CAGR</c:v>
                </c:pt>
                <c:pt idx="3">
                  <c:v>Base
Case</c:v>
                </c:pt>
                <c:pt idx="4">
                  <c:v>RevPAR Grows
at 4.8% CAGR</c:v>
                </c:pt>
                <c:pt idx="5">
                  <c:v>Multiple
Expansion</c:v>
                </c:pt>
                <c:pt idx="6">
                  <c:v>Bull
Case</c:v>
                </c:pt>
              </c:strCache>
            </c:strRef>
          </c:cat>
          <c:val>
            <c:numRef>
              <c:f>Bear_to_Bull_Data!$E$6:$E$12</c:f>
              <c:numCache>
                <c:formatCode>0.00</c:formatCode>
                <c:ptCount val="7"/>
                <c:pt idx="1">
                  <c:v>69</c:v>
                </c:pt>
                <c:pt idx="2">
                  <c:v>114.48526267950915</c:v>
                </c:pt>
                <c:pt idx="4">
                  <c:v>126</c:v>
                </c:pt>
                <c:pt idx="5">
                  <c:v>149.47370086793387</c:v>
                </c:pt>
              </c:numCache>
            </c:numRef>
          </c:val>
        </c:ser>
        <c:ser>
          <c:idx val="1"/>
          <c:order val="1"/>
          <c:tx>
            <c:strRef>
              <c:f>Bear_to_Bull_Data!$B$5</c:f>
              <c:strCache>
                <c:ptCount val="1"/>
                <c:pt idx="0">
                  <c:v>Cases</c:v>
                </c:pt>
              </c:strCache>
            </c:strRef>
          </c:tx>
          <c:spPr>
            <a:solidFill>
              <a:srgbClr val="0066CC"/>
            </a:solidFill>
            <a:ln w="25400">
              <a:noFill/>
            </a:ln>
          </c:spPr>
          <c:invertIfNegative val="0"/>
          <c:dLbls>
            <c:numFmt formatCode="\$#,##0;\(\$#,##0\)" sourceLinked="0"/>
            <c:spPr>
              <a:noFill/>
              <a:ln w="25400">
                <a:noFill/>
              </a:ln>
            </c:spPr>
            <c:txPr>
              <a:bodyPr/>
              <a:lstStyle/>
              <a:p>
                <a:pPr>
                  <a:defRPr sz="700" b="1" i="0" u="none" strike="noStrike" baseline="0">
                    <a:solidFill>
                      <a:srgbClr val="FFFFFF"/>
                    </a:solidFill>
                    <a:latin typeface="Arial"/>
                    <a:ea typeface="Arial"/>
                    <a:cs typeface="Arial"/>
                  </a:defRPr>
                </a:pPr>
                <a:endParaRPr lang="en-US"/>
              </a:p>
            </c:txPr>
            <c:dLblPos val="inEnd"/>
            <c:showLegendKey val="0"/>
            <c:showVal val="1"/>
            <c:showCatName val="0"/>
            <c:showSerName val="0"/>
            <c:showPercent val="0"/>
            <c:showBubbleSize val="0"/>
            <c:showLeaderLines val="0"/>
          </c:dLbls>
          <c:cat>
            <c:strRef>
              <c:f>Bear_to_Bull_Data!$A$6:$A$12</c:f>
              <c:strCache>
                <c:ptCount val="7"/>
                <c:pt idx="0">
                  <c:v>Bear
Case</c:v>
                </c:pt>
                <c:pt idx="1">
                  <c:v>Multiple
Contraction</c:v>
                </c:pt>
                <c:pt idx="2">
                  <c:v>RevPAR Declines
at 6% CAGR</c:v>
                </c:pt>
                <c:pt idx="3">
                  <c:v>Base
Case</c:v>
                </c:pt>
                <c:pt idx="4">
                  <c:v>RevPAR Grows
at 4.8% CAGR</c:v>
                </c:pt>
                <c:pt idx="5">
                  <c:v>Multiple
Expansion</c:v>
                </c:pt>
                <c:pt idx="6">
                  <c:v>Bull
Case</c:v>
                </c:pt>
              </c:strCache>
            </c:strRef>
          </c:cat>
          <c:val>
            <c:numRef>
              <c:f>Bear_to_Bull_Data!$B$6:$B$12</c:f>
              <c:numCache>
                <c:formatCode>0.00</c:formatCode>
                <c:ptCount val="7"/>
                <c:pt idx="0">
                  <c:v>69</c:v>
                </c:pt>
                <c:pt idx="3">
                  <c:v>126</c:v>
                </c:pt>
                <c:pt idx="6">
                  <c:v>176</c:v>
                </c:pt>
              </c:numCache>
            </c:numRef>
          </c:val>
        </c:ser>
        <c:ser>
          <c:idx val="2"/>
          <c:order val="3"/>
          <c:tx>
            <c:strRef>
              <c:f>Bear_to_Bull_Data!$F$5</c:f>
              <c:strCache>
                <c:ptCount val="1"/>
                <c:pt idx="0">
                  <c:v>Labels</c:v>
                </c:pt>
              </c:strCache>
            </c:strRef>
          </c:tx>
          <c:spPr>
            <a:solidFill>
              <a:srgbClr val="99CCFF"/>
            </a:solidFill>
            <a:ln w="25400">
              <a:noFill/>
            </a:ln>
          </c:spPr>
          <c:invertIfNegative val="0"/>
          <c:val>
            <c:numRef>
              <c:f>Bear_to_Bull_Data!$F$6:$F$12</c:f>
              <c:numCache>
                <c:formatCode>0.00</c:formatCode>
                <c:ptCount val="7"/>
                <c:pt idx="1">
                  <c:v>45.485262679509148</c:v>
                </c:pt>
                <c:pt idx="2">
                  <c:v>11.641680982342473</c:v>
                </c:pt>
                <c:pt idx="4">
                  <c:v>23.473700867933857</c:v>
                </c:pt>
                <c:pt idx="5">
                  <c:v>26.94797888232717</c:v>
                </c:pt>
              </c:numCache>
            </c:numRef>
          </c:val>
        </c:ser>
        <c:ser>
          <c:idx val="3"/>
          <c:order val="4"/>
          <c:tx>
            <c:v>Inc Labels</c:v>
          </c:tx>
          <c:spPr>
            <a:noFill/>
            <a:ln w="25400">
              <a:noFill/>
            </a:ln>
          </c:spPr>
          <c:invertIfNegative val="0"/>
          <c:dLbls>
            <c:numFmt formatCode="\$#,##0;\(\$#,##0\)" sourceLinked="0"/>
            <c:spPr>
              <a:noFill/>
              <a:ln w="25400">
                <a:noFill/>
              </a:ln>
            </c:spPr>
            <c:txPr>
              <a:bodyPr/>
              <a:lstStyle/>
              <a:p>
                <a:pPr>
                  <a:defRPr sz="7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val>
            <c:numRef>
              <c:f>Bear_to_Bull_Data!$F$6:$F$12</c:f>
              <c:numCache>
                <c:formatCode>0.00</c:formatCode>
                <c:ptCount val="7"/>
                <c:pt idx="1">
                  <c:v>45.485262679509148</c:v>
                </c:pt>
                <c:pt idx="2">
                  <c:v>11.641680982342473</c:v>
                </c:pt>
                <c:pt idx="4">
                  <c:v>23.473700867933857</c:v>
                </c:pt>
                <c:pt idx="5">
                  <c:v>26.94797888232717</c:v>
                </c:pt>
              </c:numCache>
            </c:numRef>
          </c:val>
        </c:ser>
        <c:dLbls>
          <c:showLegendKey val="0"/>
          <c:showVal val="0"/>
          <c:showCatName val="0"/>
          <c:showSerName val="0"/>
          <c:showPercent val="0"/>
          <c:showBubbleSize val="0"/>
        </c:dLbls>
        <c:gapWidth val="50"/>
        <c:overlap val="100"/>
        <c:axId val="705916288"/>
        <c:axId val="705918080"/>
      </c:barChart>
      <c:lineChart>
        <c:grouping val="standard"/>
        <c:varyColors val="0"/>
        <c:ser>
          <c:idx val="6"/>
          <c:order val="2"/>
          <c:tx>
            <c:v>Price Target: </c:v>
          </c:tx>
          <c:spPr>
            <a:ln w="12700">
              <a:solidFill>
                <a:srgbClr val="969696"/>
              </a:solidFill>
              <a:prstDash val="sysDash"/>
            </a:ln>
          </c:spPr>
          <c:marker>
            <c:symbol val="none"/>
          </c:marker>
          <c:val>
            <c:numRef>
              <c:f>Bear_to_Bull_Data!$D$6:$D$12</c:f>
              <c:numCache>
                <c:formatCode>0.00</c:formatCode>
                <c:ptCount val="7"/>
                <c:pt idx="0">
                  <c:v>126</c:v>
                </c:pt>
                <c:pt idx="1">
                  <c:v>126</c:v>
                </c:pt>
                <c:pt idx="2">
                  <c:v>126</c:v>
                </c:pt>
                <c:pt idx="3">
                  <c:v>126</c:v>
                </c:pt>
                <c:pt idx="4">
                  <c:v>126</c:v>
                </c:pt>
                <c:pt idx="5">
                  <c:v>126</c:v>
                </c:pt>
                <c:pt idx="6">
                  <c:v>126</c:v>
                </c:pt>
              </c:numCache>
            </c:numRef>
          </c:val>
          <c:smooth val="0"/>
        </c:ser>
        <c:dLbls>
          <c:showLegendKey val="0"/>
          <c:showVal val="0"/>
          <c:showCatName val="0"/>
          <c:showSerName val="0"/>
          <c:showPercent val="0"/>
          <c:showBubbleSize val="0"/>
        </c:dLbls>
        <c:marker val="1"/>
        <c:smooth val="0"/>
        <c:axId val="705916288"/>
        <c:axId val="705918080"/>
      </c:lineChart>
      <c:catAx>
        <c:axId val="705916288"/>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705918080"/>
        <c:crosses val="autoZero"/>
        <c:auto val="1"/>
        <c:lblAlgn val="ctr"/>
        <c:lblOffset val="100"/>
        <c:tickLblSkip val="1"/>
        <c:tickMarkSkip val="1"/>
        <c:noMultiLvlLbl val="0"/>
      </c:catAx>
      <c:valAx>
        <c:axId val="705918080"/>
        <c:scaling>
          <c:orientation val="minMax"/>
        </c:scaling>
        <c:delete val="0"/>
        <c:axPos val="l"/>
        <c:numFmt formatCode="0.00" sourceLinked="1"/>
        <c:majorTickMark val="none"/>
        <c:minorTickMark val="none"/>
        <c:tickLblPos val="none"/>
        <c:spPr>
          <a:ln w="9525">
            <a:noFill/>
          </a:ln>
        </c:spPr>
        <c:crossAx val="705916288"/>
        <c:crosses val="autoZero"/>
        <c:crossBetween val="between"/>
      </c:valAx>
      <c:spPr>
        <a:noFill/>
        <a:ln w="25400">
          <a:noFill/>
        </a:ln>
      </c:spPr>
    </c:plotArea>
    <c:plotVisOnly val="1"/>
    <c:dispBlanksAs val="gap"/>
    <c:showDLblsOverMax val="0"/>
  </c:chart>
  <c:spPr>
    <a:noFill/>
    <a:ln w="9525">
      <a:noFill/>
    </a:ln>
  </c:spPr>
  <c:txPr>
    <a:bodyPr/>
    <a:lstStyle/>
    <a:p>
      <a:pPr>
        <a:defRPr sz="500" b="0" i="0" u="none" strike="noStrike" baseline="0">
          <a:solidFill>
            <a:srgbClr val="000000"/>
          </a:solidFill>
          <a:latin typeface="Arial"/>
          <a:ea typeface="Arial"/>
          <a:cs typeface="Arial"/>
        </a:defRPr>
      </a:pPr>
      <a:endParaRPr lang="en-US"/>
    </a:p>
  </c:txPr>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25" b="0" i="0" u="none" strike="noStrike" baseline="0">
                <a:solidFill>
                  <a:srgbClr val="000000"/>
                </a:solidFill>
                <a:latin typeface="Arial"/>
                <a:ea typeface="Arial"/>
                <a:cs typeface="Arial"/>
              </a:defRPr>
            </a:pPr>
            <a:r>
              <a:rPr lang="en-US" sz="800" b="1" i="0" u="none" strike="noStrike" baseline="0">
                <a:solidFill>
                  <a:srgbClr val="000000"/>
                </a:solidFill>
                <a:latin typeface="Arial"/>
                <a:cs typeface="Arial"/>
              </a:rPr>
              <a:t>Live Chart Preview </a:t>
            </a:r>
            <a:r>
              <a:rPr lang="en-US" sz="800" b="1" i="0" u="none" strike="noStrike" baseline="0">
                <a:solidFill>
                  <a:srgbClr val="FF0000"/>
                </a:solidFill>
                <a:latin typeface="Arial"/>
                <a:cs typeface="Arial"/>
              </a:rPr>
              <a:t>(do not copy &amp; paste)</a:t>
            </a:r>
          </a:p>
        </c:rich>
      </c:tx>
      <c:layout>
        <c:manualLayout>
          <c:xMode val="edge"/>
          <c:yMode val="edge"/>
          <c:x val="0.11224525505740354"/>
          <c:y val="5.2631578947368418E-2"/>
        </c:manualLayout>
      </c:layout>
      <c:overlay val="0"/>
      <c:spPr>
        <a:noFill/>
        <a:ln w="25400">
          <a:noFill/>
        </a:ln>
      </c:spPr>
    </c:title>
    <c:autoTitleDeleted val="0"/>
    <c:plotArea>
      <c:layout>
        <c:manualLayout>
          <c:layoutTarget val="inner"/>
          <c:xMode val="edge"/>
          <c:yMode val="edge"/>
          <c:x val="5.782332132002458E-2"/>
          <c:y val="0.17105263157894737"/>
          <c:w val="0.92857451296274762"/>
          <c:h val="0.63157894736842102"/>
        </c:manualLayout>
      </c:layout>
      <c:barChart>
        <c:barDir val="col"/>
        <c:grouping val="stacked"/>
        <c:varyColors val="0"/>
        <c:ser>
          <c:idx val="0"/>
          <c:order val="0"/>
          <c:tx>
            <c:strRef>
              <c:f>Bear_to_Bull_Data!$E$5</c:f>
              <c:strCache>
                <c:ptCount val="1"/>
                <c:pt idx="0">
                  <c:v>Invisible</c:v>
                </c:pt>
              </c:strCache>
            </c:strRef>
          </c:tx>
          <c:spPr>
            <a:noFill/>
            <a:ln w="25400">
              <a:noFill/>
            </a:ln>
          </c:spPr>
          <c:invertIfNegative val="0"/>
          <c:cat>
            <c:strRef>
              <c:f>Bear_to_Bull_Data!$A$6:$A$12</c:f>
              <c:strCache>
                <c:ptCount val="7"/>
                <c:pt idx="0">
                  <c:v>Bear
Case</c:v>
                </c:pt>
                <c:pt idx="1">
                  <c:v>Multiple
Contraction</c:v>
                </c:pt>
                <c:pt idx="2">
                  <c:v>RevPAR Declines
at 6% CAGR</c:v>
                </c:pt>
                <c:pt idx="3">
                  <c:v>Base
Case</c:v>
                </c:pt>
                <c:pt idx="4">
                  <c:v>RevPAR Grows
at 4.8% CAGR</c:v>
                </c:pt>
                <c:pt idx="5">
                  <c:v>Multiple
Expansion</c:v>
                </c:pt>
                <c:pt idx="6">
                  <c:v>Bull
Case</c:v>
                </c:pt>
              </c:strCache>
            </c:strRef>
          </c:cat>
          <c:val>
            <c:numRef>
              <c:f>Bear_to_Bull_Data!$E$6:$E$12</c:f>
              <c:numCache>
                <c:formatCode>0.00</c:formatCode>
                <c:ptCount val="7"/>
                <c:pt idx="1">
                  <c:v>69</c:v>
                </c:pt>
                <c:pt idx="2">
                  <c:v>114.48526267950915</c:v>
                </c:pt>
                <c:pt idx="4">
                  <c:v>126</c:v>
                </c:pt>
                <c:pt idx="5">
                  <c:v>149.47370086793387</c:v>
                </c:pt>
              </c:numCache>
            </c:numRef>
          </c:val>
        </c:ser>
        <c:ser>
          <c:idx val="1"/>
          <c:order val="1"/>
          <c:tx>
            <c:strRef>
              <c:f>Bear_to_Bull_Data!$B$5</c:f>
              <c:strCache>
                <c:ptCount val="1"/>
                <c:pt idx="0">
                  <c:v>Cases</c:v>
                </c:pt>
              </c:strCache>
            </c:strRef>
          </c:tx>
          <c:spPr>
            <a:solidFill>
              <a:srgbClr val="808080"/>
            </a:solidFill>
            <a:ln w="25400">
              <a:noFill/>
            </a:ln>
          </c:spPr>
          <c:invertIfNegative val="0"/>
          <c:dLbls>
            <c:numFmt formatCode="\$#,##0;\(\$#,##0\)" sourceLinked="0"/>
            <c:spPr>
              <a:noFill/>
              <a:ln w="25400">
                <a:noFill/>
              </a:ln>
            </c:spPr>
            <c:txPr>
              <a:bodyPr/>
              <a:lstStyle/>
              <a:p>
                <a:pPr>
                  <a:defRPr sz="350" b="1" i="0" u="none" strike="noStrike" baseline="0">
                    <a:solidFill>
                      <a:srgbClr val="FFFFFF"/>
                    </a:solidFill>
                    <a:latin typeface="Arial"/>
                    <a:ea typeface="Arial"/>
                    <a:cs typeface="Arial"/>
                  </a:defRPr>
                </a:pPr>
                <a:endParaRPr lang="en-US"/>
              </a:p>
            </c:txPr>
            <c:dLblPos val="inEnd"/>
            <c:showLegendKey val="0"/>
            <c:showVal val="1"/>
            <c:showCatName val="0"/>
            <c:showSerName val="0"/>
            <c:showPercent val="0"/>
            <c:showBubbleSize val="0"/>
            <c:showLeaderLines val="0"/>
          </c:dLbls>
          <c:cat>
            <c:strRef>
              <c:f>Bear_to_Bull_Data!$A$6:$A$12</c:f>
              <c:strCache>
                <c:ptCount val="7"/>
                <c:pt idx="0">
                  <c:v>Bear
Case</c:v>
                </c:pt>
                <c:pt idx="1">
                  <c:v>Multiple
Contraction</c:v>
                </c:pt>
                <c:pt idx="2">
                  <c:v>RevPAR Declines
at 6% CAGR</c:v>
                </c:pt>
                <c:pt idx="3">
                  <c:v>Base
Case</c:v>
                </c:pt>
                <c:pt idx="4">
                  <c:v>RevPAR Grows
at 4.8% CAGR</c:v>
                </c:pt>
                <c:pt idx="5">
                  <c:v>Multiple
Expansion</c:v>
                </c:pt>
                <c:pt idx="6">
                  <c:v>Bull
Case</c:v>
                </c:pt>
              </c:strCache>
            </c:strRef>
          </c:cat>
          <c:val>
            <c:numRef>
              <c:f>Bear_to_Bull_Data!$B$6:$B$12</c:f>
              <c:numCache>
                <c:formatCode>0.00</c:formatCode>
                <c:ptCount val="7"/>
                <c:pt idx="0">
                  <c:v>69</c:v>
                </c:pt>
                <c:pt idx="3">
                  <c:v>126</c:v>
                </c:pt>
                <c:pt idx="6">
                  <c:v>176</c:v>
                </c:pt>
              </c:numCache>
            </c:numRef>
          </c:val>
        </c:ser>
        <c:ser>
          <c:idx val="2"/>
          <c:order val="3"/>
          <c:tx>
            <c:strRef>
              <c:f>Bear_to_Bull_Data!$F$5</c:f>
              <c:strCache>
                <c:ptCount val="1"/>
                <c:pt idx="0">
                  <c:v>Labels</c:v>
                </c:pt>
              </c:strCache>
            </c:strRef>
          </c:tx>
          <c:spPr>
            <a:solidFill>
              <a:srgbClr val="C0C0C0"/>
            </a:solidFill>
            <a:ln w="25400">
              <a:noFill/>
            </a:ln>
          </c:spPr>
          <c:invertIfNegative val="0"/>
          <c:val>
            <c:numRef>
              <c:f>Bear_to_Bull_Data!$F$6:$F$12</c:f>
              <c:numCache>
                <c:formatCode>0.00</c:formatCode>
                <c:ptCount val="7"/>
                <c:pt idx="1">
                  <c:v>45.485262679509148</c:v>
                </c:pt>
                <c:pt idx="2">
                  <c:v>11.641680982342473</c:v>
                </c:pt>
                <c:pt idx="4">
                  <c:v>23.473700867933857</c:v>
                </c:pt>
                <c:pt idx="5">
                  <c:v>26.94797888232717</c:v>
                </c:pt>
              </c:numCache>
            </c:numRef>
          </c:val>
        </c:ser>
        <c:ser>
          <c:idx val="3"/>
          <c:order val="4"/>
          <c:tx>
            <c:v>Inc Labels</c:v>
          </c:tx>
          <c:spPr>
            <a:noFill/>
            <a:ln w="25400">
              <a:noFill/>
            </a:ln>
          </c:spPr>
          <c:invertIfNegative val="0"/>
          <c:dLbls>
            <c:numFmt formatCode="\$#,##0;\(\$#,##0\)" sourceLinked="0"/>
            <c:spPr>
              <a:noFill/>
              <a:ln w="25400">
                <a:noFill/>
              </a:ln>
            </c:spPr>
            <c:txPr>
              <a:bodyPr/>
              <a:lstStyle/>
              <a:p>
                <a:pPr>
                  <a:defRPr sz="35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val>
            <c:numRef>
              <c:f>Bear_to_Bull_Data!$F$6:$F$12</c:f>
              <c:numCache>
                <c:formatCode>0.00</c:formatCode>
                <c:ptCount val="7"/>
                <c:pt idx="1">
                  <c:v>45.485262679509148</c:v>
                </c:pt>
                <c:pt idx="2">
                  <c:v>11.641680982342473</c:v>
                </c:pt>
                <c:pt idx="4">
                  <c:v>23.473700867933857</c:v>
                </c:pt>
                <c:pt idx="5">
                  <c:v>26.94797888232717</c:v>
                </c:pt>
              </c:numCache>
            </c:numRef>
          </c:val>
        </c:ser>
        <c:dLbls>
          <c:showLegendKey val="0"/>
          <c:showVal val="0"/>
          <c:showCatName val="0"/>
          <c:showSerName val="0"/>
          <c:showPercent val="0"/>
          <c:showBubbleSize val="0"/>
        </c:dLbls>
        <c:gapWidth val="50"/>
        <c:overlap val="100"/>
        <c:axId val="705947136"/>
        <c:axId val="705949056"/>
      </c:barChart>
      <c:lineChart>
        <c:grouping val="standard"/>
        <c:varyColors val="0"/>
        <c:ser>
          <c:idx val="6"/>
          <c:order val="2"/>
          <c:tx>
            <c:v>Price Target: </c:v>
          </c:tx>
          <c:spPr>
            <a:ln w="12700">
              <a:solidFill>
                <a:srgbClr val="969696"/>
              </a:solidFill>
              <a:prstDash val="sysDash"/>
            </a:ln>
          </c:spPr>
          <c:marker>
            <c:symbol val="none"/>
          </c:marker>
          <c:dLbls>
            <c:dLbl>
              <c:idx val="0"/>
              <c:layout>
                <c:manualLayout>
                  <c:x val="-1.9841376159405046E-2"/>
                  <c:y val="-4.2163972924437056E-2"/>
                </c:manualLayout>
              </c:layout>
              <c:dLblPos val="r"/>
              <c:showLegendKey val="0"/>
              <c:showVal val="1"/>
              <c:showCatName val="0"/>
              <c:showSerName val="1"/>
              <c:showPercent val="0"/>
              <c:showBubbleSize val="0"/>
              <c:separator> </c:separator>
            </c:dLbl>
            <c:dLbl>
              <c:idx val="1"/>
              <c:delete val="1"/>
            </c:dLbl>
            <c:dLbl>
              <c:idx val="2"/>
              <c:delete val="1"/>
            </c:dLbl>
            <c:dLbl>
              <c:idx val="3"/>
              <c:delete val="1"/>
            </c:dLbl>
            <c:dLbl>
              <c:idx val="4"/>
              <c:delete val="1"/>
            </c:dLbl>
            <c:dLbl>
              <c:idx val="5"/>
              <c:delete val="1"/>
            </c:dLbl>
            <c:dLbl>
              <c:idx val="6"/>
              <c:delete val="1"/>
            </c:dLbl>
            <c:dLbl>
              <c:idx val="7"/>
              <c:delete val="1"/>
            </c:dLbl>
            <c:dLbl>
              <c:idx val="8"/>
              <c:delete val="1"/>
            </c:dLbl>
            <c:dLbl>
              <c:idx val="9"/>
              <c:delete val="1"/>
            </c:dLbl>
            <c:dLbl>
              <c:idx val="10"/>
              <c:delete val="1"/>
            </c:dLbl>
            <c:dLbl>
              <c:idx val="11"/>
              <c:delete val="1"/>
            </c:dLbl>
            <c:dLbl>
              <c:idx val="12"/>
              <c:delete val="1"/>
            </c:dLbl>
            <c:dLbl>
              <c:idx val="13"/>
              <c:delete val="1"/>
            </c:dLbl>
            <c:dLbl>
              <c:idx val="14"/>
              <c:delete val="1"/>
            </c:dLbl>
            <c:numFmt formatCode="\$#,##0;\(\$#,##0\)" sourceLinked="0"/>
            <c:spPr>
              <a:noFill/>
              <a:ln w="25400">
                <a:noFill/>
              </a:ln>
            </c:spPr>
            <c:txPr>
              <a:bodyPr/>
              <a:lstStyle/>
              <a:p>
                <a:pPr>
                  <a:defRPr sz="37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eparator> </c:separator>
            <c:showLeaderLines val="0"/>
          </c:dLbls>
          <c:val>
            <c:numRef>
              <c:f>Bear_to_Bull_Data!$D$6:$D$12</c:f>
              <c:numCache>
                <c:formatCode>0.00</c:formatCode>
                <c:ptCount val="7"/>
                <c:pt idx="0">
                  <c:v>126</c:v>
                </c:pt>
                <c:pt idx="1">
                  <c:v>126</c:v>
                </c:pt>
                <c:pt idx="2">
                  <c:v>126</c:v>
                </c:pt>
                <c:pt idx="3">
                  <c:v>126</c:v>
                </c:pt>
                <c:pt idx="4">
                  <c:v>126</c:v>
                </c:pt>
                <c:pt idx="5">
                  <c:v>126</c:v>
                </c:pt>
                <c:pt idx="6">
                  <c:v>126</c:v>
                </c:pt>
              </c:numCache>
            </c:numRef>
          </c:val>
          <c:smooth val="0"/>
        </c:ser>
        <c:dLbls>
          <c:showLegendKey val="0"/>
          <c:showVal val="0"/>
          <c:showCatName val="0"/>
          <c:showSerName val="0"/>
          <c:showPercent val="0"/>
          <c:showBubbleSize val="0"/>
        </c:dLbls>
        <c:marker val="1"/>
        <c:smooth val="0"/>
        <c:axId val="705947136"/>
        <c:axId val="705949056"/>
      </c:lineChart>
      <c:catAx>
        <c:axId val="705947136"/>
        <c:scaling>
          <c:orientation val="minMax"/>
        </c:scaling>
        <c:delete val="0"/>
        <c:axPos val="b"/>
        <c:numFmt formatCode="General" sourceLinked="1"/>
        <c:majorTickMark val="none"/>
        <c:minorTickMark val="none"/>
        <c:tickLblPos val="nextTo"/>
        <c:spPr>
          <a:ln w="3175">
            <a:solidFill>
              <a:srgbClr val="000000"/>
            </a:solidFill>
            <a:prstDash val="solid"/>
          </a:ln>
        </c:spPr>
        <c:txPr>
          <a:bodyPr rot="0" vert="horz"/>
          <a:lstStyle/>
          <a:p>
            <a:pPr>
              <a:defRPr sz="425" b="0" i="0" u="none" strike="noStrike" baseline="0">
                <a:solidFill>
                  <a:srgbClr val="000000"/>
                </a:solidFill>
                <a:latin typeface="Arial"/>
                <a:ea typeface="Arial"/>
                <a:cs typeface="Arial"/>
              </a:defRPr>
            </a:pPr>
            <a:endParaRPr lang="en-US"/>
          </a:p>
        </c:txPr>
        <c:crossAx val="705949056"/>
        <c:crosses val="autoZero"/>
        <c:auto val="1"/>
        <c:lblAlgn val="ctr"/>
        <c:lblOffset val="100"/>
        <c:tickLblSkip val="1"/>
        <c:tickMarkSkip val="1"/>
        <c:noMultiLvlLbl val="0"/>
      </c:catAx>
      <c:valAx>
        <c:axId val="705949056"/>
        <c:scaling>
          <c:orientation val="minMax"/>
        </c:scaling>
        <c:delete val="0"/>
        <c:axPos val="l"/>
        <c:numFmt formatCode="#,##0" sourceLinked="0"/>
        <c:majorTickMark val="none"/>
        <c:minorTickMark val="none"/>
        <c:tickLblPos val="nextTo"/>
        <c:spPr>
          <a:ln w="3175">
            <a:solidFill>
              <a:srgbClr val="000000"/>
            </a:solidFill>
            <a:prstDash val="solid"/>
          </a:ln>
        </c:spPr>
        <c:txPr>
          <a:bodyPr rot="0" vert="horz"/>
          <a:lstStyle/>
          <a:p>
            <a:pPr>
              <a:defRPr sz="425" b="0" i="0" u="none" strike="noStrike" baseline="0">
                <a:solidFill>
                  <a:srgbClr val="000000"/>
                </a:solidFill>
                <a:latin typeface="Arial"/>
                <a:ea typeface="Arial"/>
                <a:cs typeface="Arial"/>
              </a:defRPr>
            </a:pPr>
            <a:endParaRPr lang="en-US"/>
          </a:p>
        </c:txPr>
        <c:crossAx val="705947136"/>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225" b="0" i="0" u="none" strike="noStrike" baseline="0">
          <a:solidFill>
            <a:srgbClr val="000000"/>
          </a:solidFill>
          <a:latin typeface="Arial"/>
          <a:ea typeface="Arial"/>
          <a:cs typeface="Arial"/>
        </a:defRPr>
      </a:pPr>
      <a:endParaRPr lang="en-US"/>
    </a:p>
  </c:txPr>
  <c:printSettings>
    <c:headerFooter alignWithMargins="0"/>
    <c:pageMargins b="3.21423604753282" l="3.03229162428114" r="3.03229162428114" t="3.21423604753282" header="0.5" footer="0.5"/>
    <c:pageSetup orientation="landscape" horizontalDpi="1200" verticalDpi="1200"/>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1" i="0" u="none" strike="noStrike" baseline="0">
                <a:solidFill>
                  <a:srgbClr val="000000"/>
                </a:solidFill>
                <a:latin typeface="Arial"/>
                <a:ea typeface="Arial"/>
                <a:cs typeface="Arial"/>
              </a:defRPr>
            </a:pPr>
            <a:r>
              <a:rPr lang="en-US"/>
              <a:t>International Rooms</a:t>
            </a:r>
          </a:p>
        </c:rich>
      </c:tx>
      <c:layout>
        <c:manualLayout>
          <c:xMode val="edge"/>
          <c:yMode val="edge"/>
          <c:x val="0.38276595185120899"/>
          <c:y val="3.3950617283950615E-2"/>
        </c:manualLayout>
      </c:layout>
      <c:overlay val="0"/>
      <c:spPr>
        <a:noFill/>
        <a:ln w="25400">
          <a:noFill/>
        </a:ln>
      </c:spPr>
    </c:title>
    <c:autoTitleDeleted val="0"/>
    <c:plotArea>
      <c:layout>
        <c:manualLayout>
          <c:layoutTarget val="inner"/>
          <c:xMode val="edge"/>
          <c:yMode val="edge"/>
          <c:x val="0.15631277820560868"/>
          <c:y val="0.2870379021927511"/>
          <c:w val="0.34869773599712706"/>
          <c:h val="0.53703865571546983"/>
        </c:manualLayout>
      </c:layout>
      <c:pieChart>
        <c:varyColors val="1"/>
        <c:ser>
          <c:idx val="0"/>
          <c:order val="0"/>
          <c:spPr>
            <a:solidFill>
              <a:srgbClr val="9999FF"/>
            </a:solidFill>
            <a:ln w="12700">
              <a:solidFill>
                <a:srgbClr val="000000"/>
              </a:solidFill>
              <a:prstDash val="solid"/>
            </a:ln>
          </c:spPr>
          <c:dPt>
            <c:idx val="0"/>
            <c:bubble3D val="0"/>
            <c:spPr>
              <a:solidFill>
                <a:srgbClr val="3366FF"/>
              </a:solidFill>
              <a:ln w="25400">
                <a:noFill/>
              </a:ln>
            </c:spPr>
          </c:dPt>
          <c:dPt>
            <c:idx val="1"/>
            <c:bubble3D val="0"/>
            <c:spPr>
              <a:solidFill>
                <a:srgbClr val="F37B53"/>
              </a:solidFill>
              <a:ln w="25400">
                <a:noFill/>
              </a:ln>
            </c:spPr>
          </c:dPt>
          <c:dPt>
            <c:idx val="2"/>
            <c:bubble3D val="0"/>
            <c:spPr>
              <a:solidFill>
                <a:srgbClr val="339966"/>
              </a:solidFill>
              <a:ln w="25400">
                <a:noFill/>
              </a:ln>
            </c:spPr>
          </c:dPt>
          <c:dPt>
            <c:idx val="3"/>
            <c:bubble3D val="0"/>
            <c:spPr>
              <a:solidFill>
                <a:srgbClr val="808080"/>
              </a:solidFill>
              <a:ln w="25400">
                <a:noFill/>
              </a:ln>
            </c:spPr>
          </c:dPt>
          <c:dLbls>
            <c:numFmt formatCode="0%" sourceLinked="0"/>
            <c:spPr>
              <a:noFill/>
              <a:ln w="25400">
                <a:noFill/>
              </a:ln>
            </c:spPr>
            <c:txPr>
              <a:bodyPr/>
              <a:lstStyle/>
              <a:p>
                <a:pPr>
                  <a:defRPr sz="9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1"/>
          </c:dLbls>
          <c:cat>
            <c:strRef>
              <c:f>WWRooms_10K!$Z$175:$Z$178</c:f>
              <c:strCache>
                <c:ptCount val="4"/>
                <c:pt idx="0">
                  <c:v>Carribean &amp; Latin America</c:v>
                </c:pt>
                <c:pt idx="1">
                  <c:v>Europe</c:v>
                </c:pt>
                <c:pt idx="2">
                  <c:v>Middle East &amp; Africa</c:v>
                </c:pt>
                <c:pt idx="3">
                  <c:v>Asia Pacific</c:v>
                </c:pt>
              </c:strCache>
            </c:strRef>
          </c:cat>
          <c:val>
            <c:numRef>
              <c:f>WWRooms_10K!$AB$175:$AB$178</c:f>
              <c:numCache>
                <c:formatCode>0.0%</c:formatCode>
                <c:ptCount val="4"/>
                <c:pt idx="0">
                  <c:v>0.162151593688901</c:v>
                </c:pt>
                <c:pt idx="1">
                  <c:v>0.37356431591870143</c:v>
                </c:pt>
                <c:pt idx="2">
                  <c:v>8.0971218114854721E-2</c:v>
                </c:pt>
                <c:pt idx="3">
                  <c:v>0.38331287227754285</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5531125242611199"/>
          <c:y val="0.42901364181329188"/>
          <c:w val="0.3286577354183432"/>
          <c:h val="0.25000064806713979"/>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Y/Y Incentive Fees Change</a:t>
            </a:r>
          </a:p>
        </c:rich>
      </c:tx>
      <c:layout>
        <c:manualLayout>
          <c:xMode val="edge"/>
          <c:yMode val="edge"/>
          <c:x val="0.34482790101012484"/>
          <c:y val="3.1674208144796379E-2"/>
        </c:manualLayout>
      </c:layout>
      <c:overlay val="0"/>
      <c:spPr>
        <a:noFill/>
        <a:ln w="25400">
          <a:noFill/>
        </a:ln>
      </c:spPr>
    </c:title>
    <c:autoTitleDeleted val="0"/>
    <c:plotArea>
      <c:layout>
        <c:manualLayout>
          <c:layoutTarget val="inner"/>
          <c:xMode val="edge"/>
          <c:yMode val="edge"/>
          <c:x val="0.10344835159203962"/>
          <c:y val="0.11990963472766139"/>
          <c:w val="0.87406360837911734"/>
          <c:h val="0.76470672713112353"/>
        </c:manualLayout>
      </c:layout>
      <c:barChart>
        <c:barDir val="col"/>
        <c:grouping val="clustered"/>
        <c:varyColors val="0"/>
        <c:ser>
          <c:idx val="0"/>
          <c:order val="0"/>
          <c:spPr>
            <a:solidFill>
              <a:srgbClr val="3366FF"/>
            </a:solid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'Incentive Fee Analysis'!$C$4:$M$4</c:f>
              <c:numCache>
                <c:formatCode>General</c:formatCode>
                <c:ptCount val="11"/>
                <c:pt idx="0">
                  <c:v>2003</c:v>
                </c:pt>
                <c:pt idx="1">
                  <c:v>2004</c:v>
                </c:pt>
                <c:pt idx="2">
                  <c:v>2005</c:v>
                </c:pt>
                <c:pt idx="3">
                  <c:v>2006</c:v>
                </c:pt>
                <c:pt idx="4">
                  <c:v>2007</c:v>
                </c:pt>
                <c:pt idx="5">
                  <c:v>2008</c:v>
                </c:pt>
                <c:pt idx="6">
                  <c:v>2009</c:v>
                </c:pt>
                <c:pt idx="7">
                  <c:v>2010</c:v>
                </c:pt>
                <c:pt idx="8">
                  <c:v>2011</c:v>
                </c:pt>
                <c:pt idx="9">
                  <c:v>2012</c:v>
                </c:pt>
                <c:pt idx="10">
                  <c:v>2013</c:v>
                </c:pt>
              </c:numCache>
            </c:numRef>
          </c:cat>
          <c:val>
            <c:numRef>
              <c:f>'Incentive Fee Analysis'!$C$36:$M$36</c:f>
              <c:numCache>
                <c:formatCode>0%</c:formatCode>
                <c:ptCount val="11"/>
                <c:pt idx="0">
                  <c:v>-0.3271604938271605</c:v>
                </c:pt>
                <c:pt idx="1">
                  <c:v>0.30275229357798161</c:v>
                </c:pt>
                <c:pt idx="2">
                  <c:v>0.41549295774647876</c:v>
                </c:pt>
                <c:pt idx="3">
                  <c:v>0.39800995024875618</c:v>
                </c:pt>
                <c:pt idx="4">
                  <c:v>0.31316725978647697</c:v>
                </c:pt>
                <c:pt idx="5">
                  <c:v>-0.15718157181571812</c:v>
                </c:pt>
                <c:pt idx="6">
                  <c:v>-0.50482315112540199</c:v>
                </c:pt>
                <c:pt idx="7">
                  <c:v>0.18181818181818188</c:v>
                </c:pt>
                <c:pt idx="8">
                  <c:v>7.1428571428571397E-2</c:v>
                </c:pt>
                <c:pt idx="9">
                  <c:v>0.18974358974358974</c:v>
                </c:pt>
                <c:pt idx="10">
                  <c:v>0.10344827586206895</c:v>
                </c:pt>
              </c:numCache>
            </c:numRef>
          </c:val>
        </c:ser>
        <c:dLbls>
          <c:showLegendKey val="0"/>
          <c:showVal val="0"/>
          <c:showCatName val="0"/>
          <c:showSerName val="0"/>
          <c:showPercent val="0"/>
          <c:showBubbleSize val="0"/>
        </c:dLbls>
        <c:gapWidth val="150"/>
        <c:axId val="706248704"/>
        <c:axId val="706250240"/>
      </c:barChart>
      <c:catAx>
        <c:axId val="70624870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706250240"/>
        <c:crosses val="autoZero"/>
        <c:auto val="1"/>
        <c:lblAlgn val="ctr"/>
        <c:lblOffset val="100"/>
        <c:tickLblSkip val="1"/>
        <c:tickMarkSkip val="1"/>
        <c:noMultiLvlLbl val="0"/>
      </c:catAx>
      <c:valAx>
        <c:axId val="706250240"/>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706248704"/>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Marriott US Room-Weighted RevPAR</a:t>
            </a:r>
          </a:p>
        </c:rich>
      </c:tx>
      <c:layout>
        <c:manualLayout>
          <c:xMode val="edge"/>
          <c:yMode val="edge"/>
          <c:x val="0.28542116013732372"/>
          <c:y val="3.5714285714285712E-2"/>
        </c:manualLayout>
      </c:layout>
      <c:overlay val="0"/>
      <c:spPr>
        <a:noFill/>
        <a:ln w="25400">
          <a:noFill/>
        </a:ln>
      </c:spPr>
    </c:title>
    <c:autoTitleDeleted val="0"/>
    <c:plotArea>
      <c:layout>
        <c:manualLayout>
          <c:layoutTarget val="inner"/>
          <c:xMode val="edge"/>
          <c:yMode val="edge"/>
          <c:x val="0.19096528387015918"/>
          <c:y val="0.18452434583201333"/>
          <c:w val="0.43326532146885577"/>
          <c:h val="0.62797801565410982"/>
        </c:manualLayout>
      </c:layout>
      <c:pieChart>
        <c:varyColors val="1"/>
        <c:ser>
          <c:idx val="0"/>
          <c:order val="0"/>
          <c:spPr>
            <a:solidFill>
              <a:srgbClr val="9999FF"/>
            </a:solidFill>
            <a:ln w="25400">
              <a:noFill/>
            </a:ln>
          </c:spPr>
          <c:dPt>
            <c:idx val="0"/>
            <c:bubble3D val="0"/>
            <c:spPr>
              <a:solidFill>
                <a:srgbClr val="3366FF"/>
              </a:solidFill>
              <a:ln w="25400">
                <a:noFill/>
              </a:ln>
            </c:spPr>
          </c:dPt>
          <c:dPt>
            <c:idx val="1"/>
            <c:bubble3D val="0"/>
            <c:spPr>
              <a:solidFill>
                <a:srgbClr val="808080"/>
              </a:solidFill>
              <a:ln w="25400">
                <a:noFill/>
              </a:ln>
            </c:spPr>
          </c:dPt>
          <c:dPt>
            <c:idx val="2"/>
            <c:bubble3D val="0"/>
            <c:spPr>
              <a:solidFill>
                <a:srgbClr val="32C464"/>
              </a:solidFill>
              <a:ln w="25400">
                <a:noFill/>
              </a:ln>
            </c:spPr>
          </c:dPt>
          <c:dPt>
            <c:idx val="3"/>
            <c:bubble3D val="0"/>
            <c:spPr>
              <a:solidFill>
                <a:srgbClr val="CCFFFF"/>
              </a:solidFill>
              <a:ln w="25400">
                <a:noFill/>
              </a:ln>
            </c:spPr>
          </c:dPt>
          <c:dLbls>
            <c:numFmt formatCode="0%" sourceLinked="0"/>
            <c:spPr>
              <a:noFill/>
              <a:ln w="25400">
                <a:noFill/>
              </a:ln>
            </c:spPr>
            <c:txPr>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1"/>
          </c:dLbls>
          <c:cat>
            <c:strRef>
              <c:f>'North America'!$M$57:$M$60</c:f>
              <c:strCache>
                <c:ptCount val="4"/>
                <c:pt idx="0">
                  <c:v>Luxury</c:v>
                </c:pt>
                <c:pt idx="1">
                  <c:v>Upper Upscale</c:v>
                </c:pt>
                <c:pt idx="2">
                  <c:v>Upscale</c:v>
                </c:pt>
                <c:pt idx="3">
                  <c:v>Upper Midscale</c:v>
                </c:pt>
              </c:strCache>
            </c:strRef>
          </c:cat>
          <c:val>
            <c:numRef>
              <c:f>'North America'!$N$57:$N$60</c:f>
              <c:numCache>
                <c:formatCode>0.0%</c:formatCode>
                <c:ptCount val="4"/>
                <c:pt idx="0">
                  <c:v>0</c:v>
                </c:pt>
                <c:pt idx="1">
                  <c:v>0</c:v>
                </c:pt>
                <c:pt idx="2">
                  <c:v>0</c:v>
                </c:pt>
                <c:pt idx="3">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221772381121764"/>
          <c:y val="0.67262092238470195"/>
          <c:w val="0.36755689933008884"/>
          <c:h val="0.2886914135733033"/>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840830449826991"/>
          <c:y val="7.0080862533692723E-2"/>
          <c:w val="0.83564013840830453"/>
          <c:h val="0.85175202156334229"/>
        </c:manualLayout>
      </c:layout>
      <c:lineChart>
        <c:grouping val="standard"/>
        <c:varyColors val="0"/>
        <c:ser>
          <c:idx val="0"/>
          <c:order val="0"/>
          <c:spPr>
            <a:ln w="38100">
              <a:solidFill>
                <a:srgbClr val="000080"/>
              </a:solidFill>
              <a:prstDash val="solid"/>
            </a:ln>
          </c:spPr>
          <c:marker>
            <c:symbol val="none"/>
          </c:marker>
          <c:cat>
            <c:numRef>
              <c:f>'2Q11'!$V$167:$AG$167</c:f>
              <c:numCache>
                <c:formatCode>#,##0_);\(#,##0\)</c:formatCode>
                <c:ptCount val="12"/>
              </c:numCache>
            </c:numRef>
          </c:cat>
          <c:val>
            <c:numRef>
              <c:f>'2Q11'!$V$168:$AG$168</c:f>
              <c:numCache>
                <c:formatCode>#,##0_);\(#,##0\)</c:formatCode>
                <c:ptCount val="12"/>
              </c:numCache>
            </c:numRef>
          </c:val>
          <c:smooth val="0"/>
        </c:ser>
        <c:dLbls>
          <c:showLegendKey val="0"/>
          <c:showVal val="0"/>
          <c:showCatName val="0"/>
          <c:showSerName val="0"/>
          <c:showPercent val="0"/>
          <c:showBubbleSize val="0"/>
        </c:dLbls>
        <c:marker val="1"/>
        <c:smooth val="0"/>
        <c:axId val="740878592"/>
        <c:axId val="740906112"/>
      </c:lineChart>
      <c:catAx>
        <c:axId val="740878592"/>
        <c:scaling>
          <c:orientation val="minMax"/>
        </c:scaling>
        <c:delete val="0"/>
        <c:axPos val="b"/>
        <c:majorGridlines>
          <c:spPr>
            <a:ln w="3175">
              <a:solidFill>
                <a:srgbClr val="808080"/>
              </a:solidFill>
              <a:prstDash val="solid"/>
            </a:ln>
          </c:spPr>
        </c:majorGridlines>
        <c:numFmt formatCode="#,##0_);\(#,##0\)" sourceLinked="1"/>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40906112"/>
        <c:crosses val="autoZero"/>
        <c:auto val="1"/>
        <c:lblAlgn val="ctr"/>
        <c:lblOffset val="100"/>
        <c:tickLblSkip val="1"/>
        <c:tickMarkSkip val="1"/>
        <c:noMultiLvlLbl val="0"/>
      </c:catAx>
      <c:valAx>
        <c:axId val="740906112"/>
        <c:scaling>
          <c:orientation val="minMax"/>
          <c:max val="200"/>
          <c:min val="50"/>
        </c:scaling>
        <c:delete val="0"/>
        <c:axPos val="l"/>
        <c:majorGridlines>
          <c:spPr>
            <a:ln w="3175">
              <a:solidFill>
                <a:srgbClr val="80808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Mass revenue ($ millions)</a:t>
                </a:r>
              </a:p>
            </c:rich>
          </c:tx>
          <c:layout>
            <c:manualLayout>
              <c:xMode val="edge"/>
              <c:yMode val="edge"/>
              <c:x val="1.2110726643598616E-2"/>
              <c:y val="0.29380053908355797"/>
            </c:manualLayout>
          </c:layout>
          <c:overlay val="0"/>
          <c:spPr>
            <a:noFill/>
            <a:ln w="25400">
              <a:noFill/>
            </a:ln>
          </c:spPr>
        </c:title>
        <c:numFmt formatCode="\$#,##0_);\(\$#,##0\)" sourceLinked="0"/>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740878592"/>
        <c:crosses val="autoZero"/>
        <c:crossBetween val="between"/>
        <c:majorUnit val="50"/>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1230625052469"/>
          <c:y val="7.3863738824655467E-2"/>
          <c:w val="0.68596608752413568"/>
          <c:h val="0.7755692576588824"/>
        </c:manualLayout>
      </c:layout>
      <c:barChart>
        <c:barDir val="col"/>
        <c:grouping val="clustered"/>
        <c:varyColors val="0"/>
        <c:ser>
          <c:idx val="1"/>
          <c:order val="0"/>
          <c:tx>
            <c:strRef>
              <c:f>'2Q11'!$AJ$191</c:f>
              <c:strCache>
                <c:ptCount val="1"/>
              </c:strCache>
            </c:strRef>
          </c:tx>
          <c:spPr>
            <a:solidFill>
              <a:srgbClr val="969696"/>
            </a:solidFill>
            <a:ln w="25400">
              <a:noFill/>
            </a:ln>
          </c:spPr>
          <c:invertIfNegative val="0"/>
          <c:cat>
            <c:numRef>
              <c:f>'2Q11'!$AK$190:$AV$190</c:f>
              <c:numCache>
                <c:formatCode>#,##0_);\(#,##0\)</c:formatCode>
                <c:ptCount val="12"/>
              </c:numCache>
            </c:numRef>
          </c:cat>
          <c:val>
            <c:numRef>
              <c:f>'2Q11'!$AK$191:$AV$191</c:f>
              <c:numCache>
                <c:formatCode>#,##0_);\(#,##0\)</c:formatCode>
                <c:ptCount val="12"/>
              </c:numCache>
            </c:numRef>
          </c:val>
        </c:ser>
        <c:dLbls>
          <c:showLegendKey val="0"/>
          <c:showVal val="0"/>
          <c:showCatName val="0"/>
          <c:showSerName val="0"/>
          <c:showPercent val="0"/>
          <c:showBubbleSize val="0"/>
        </c:dLbls>
        <c:gapWidth val="150"/>
        <c:axId val="743180928"/>
        <c:axId val="743195392"/>
      </c:barChart>
      <c:lineChart>
        <c:grouping val="standard"/>
        <c:varyColors val="0"/>
        <c:ser>
          <c:idx val="0"/>
          <c:order val="1"/>
          <c:tx>
            <c:strRef>
              <c:f>'2Q11'!$AJ$192</c:f>
              <c:strCache>
                <c:ptCount val="1"/>
              </c:strCache>
            </c:strRef>
          </c:tx>
          <c:spPr>
            <a:ln w="25400">
              <a:solidFill>
                <a:srgbClr val="000080"/>
              </a:solidFill>
              <a:prstDash val="solid"/>
            </a:ln>
          </c:spPr>
          <c:marker>
            <c:symbol val="diamond"/>
            <c:size val="7"/>
            <c:spPr>
              <a:solidFill>
                <a:srgbClr val="000080"/>
              </a:solidFill>
              <a:ln>
                <a:solidFill>
                  <a:srgbClr val="000080"/>
                </a:solidFill>
                <a:prstDash val="solid"/>
              </a:ln>
            </c:spPr>
          </c:marker>
          <c:cat>
            <c:numRef>
              <c:f>'2Q11'!$AK$190:$AV$190</c:f>
              <c:numCache>
                <c:formatCode>#,##0_);\(#,##0\)</c:formatCode>
                <c:ptCount val="12"/>
              </c:numCache>
            </c:numRef>
          </c:cat>
          <c:val>
            <c:numRef>
              <c:f>'2Q11'!$AK$192:$AV$192</c:f>
              <c:numCache>
                <c:formatCode>#,##0_);\(#,##0\)</c:formatCode>
                <c:ptCount val="12"/>
              </c:numCache>
            </c:numRef>
          </c:val>
          <c:smooth val="0"/>
        </c:ser>
        <c:dLbls>
          <c:showLegendKey val="0"/>
          <c:showVal val="0"/>
          <c:showCatName val="0"/>
          <c:showSerName val="0"/>
          <c:showPercent val="0"/>
          <c:showBubbleSize val="0"/>
        </c:dLbls>
        <c:marker val="1"/>
        <c:smooth val="0"/>
        <c:axId val="743197696"/>
        <c:axId val="743232256"/>
      </c:lineChart>
      <c:catAx>
        <c:axId val="743180928"/>
        <c:scaling>
          <c:orientation val="minMax"/>
        </c:scaling>
        <c:delete val="0"/>
        <c:axPos val="b"/>
        <c:numFmt formatCode="#,##0_);\(#,##0\)"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3195392"/>
        <c:crosses val="autoZero"/>
        <c:auto val="0"/>
        <c:lblAlgn val="ctr"/>
        <c:lblOffset val="100"/>
        <c:tickLblSkip val="1"/>
        <c:tickMarkSkip val="1"/>
        <c:noMultiLvlLbl val="0"/>
      </c:catAx>
      <c:valAx>
        <c:axId val="743195392"/>
        <c:scaling>
          <c:orientation val="minMax"/>
          <c:max val="300"/>
          <c:min val="100"/>
        </c:scaling>
        <c:delete val="0"/>
        <c:axPos val="l"/>
        <c:majorGridlines>
          <c:spPr>
            <a:ln w="3175">
              <a:solidFill>
                <a:srgbClr val="80808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Las Vegas RevPAR</a:t>
                </a:r>
              </a:p>
            </c:rich>
          </c:tx>
          <c:layout>
            <c:manualLayout>
              <c:xMode val="edge"/>
              <c:yMode val="edge"/>
              <c:x val="1.2280701754385965E-2"/>
              <c:y val="0.28125029825817227"/>
            </c:manualLayout>
          </c:layout>
          <c:overlay val="0"/>
          <c:spPr>
            <a:noFill/>
            <a:ln w="25400">
              <a:noFill/>
            </a:ln>
          </c:spPr>
        </c:title>
        <c:numFmt formatCode="\$#,##0_);\(\$#,##0\)" sourceLinked="0"/>
        <c:majorTickMark val="cross"/>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743180928"/>
        <c:crosses val="autoZero"/>
        <c:crossBetween val="between"/>
        <c:majorUnit val="50"/>
      </c:valAx>
      <c:catAx>
        <c:axId val="743197696"/>
        <c:scaling>
          <c:orientation val="minMax"/>
        </c:scaling>
        <c:delete val="1"/>
        <c:axPos val="b"/>
        <c:numFmt formatCode="#,##0_);\(#,##0\)" sourceLinked="1"/>
        <c:majorTickMark val="out"/>
        <c:minorTickMark val="none"/>
        <c:tickLblPos val="nextTo"/>
        <c:crossAx val="743232256"/>
        <c:crosses val="autoZero"/>
        <c:auto val="0"/>
        <c:lblAlgn val="ctr"/>
        <c:lblOffset val="100"/>
        <c:noMultiLvlLbl val="0"/>
      </c:catAx>
      <c:valAx>
        <c:axId val="743232256"/>
        <c:scaling>
          <c:orientation val="minMax"/>
          <c:max val="0.1"/>
          <c:min val="-0.4"/>
        </c:scaling>
        <c:delete val="0"/>
        <c:axPos val="r"/>
        <c:title>
          <c:tx>
            <c:rich>
              <a:bodyPr rot="5400000" vert="horz"/>
              <a:lstStyle/>
              <a:p>
                <a:pPr algn="ctr">
                  <a:defRPr sz="1000" b="1" i="0" u="none" strike="noStrike" baseline="0">
                    <a:solidFill>
                      <a:srgbClr val="000000"/>
                    </a:solidFill>
                    <a:latin typeface="Arial"/>
                    <a:ea typeface="Arial"/>
                    <a:cs typeface="Arial"/>
                  </a:defRPr>
                </a:pPr>
                <a:r>
                  <a:rPr lang="en-US"/>
                  <a:t>% Growth (y-o-y)</a:t>
                </a:r>
              </a:p>
            </c:rich>
          </c:tx>
          <c:layout>
            <c:manualLayout>
              <c:xMode val="edge"/>
              <c:yMode val="edge"/>
              <c:x val="0.9280718331261224"/>
              <c:y val="0.30965938916726315"/>
            </c:manualLayout>
          </c:layout>
          <c:overlay val="0"/>
          <c:spPr>
            <a:noFill/>
            <a:ln w="25400">
              <a:noFill/>
            </a:ln>
          </c:spPr>
        </c:title>
        <c:numFmt formatCode="0.0%" sourceLinked="0"/>
        <c:majorTickMark val="cross"/>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743197696"/>
        <c:crosses val="max"/>
        <c:crossBetween val="between"/>
        <c:majorUnit val="0.125"/>
      </c:valAx>
      <c:spPr>
        <a:noFill/>
        <a:ln w="25400">
          <a:noFill/>
        </a:ln>
      </c:spPr>
    </c:plotArea>
    <c:legend>
      <c:legendPos val="r"/>
      <c:layout>
        <c:manualLayout>
          <c:xMode val="edge"/>
          <c:yMode val="edge"/>
          <c:x val="0.20000036837500573"/>
          <c:y val="0.71590998568360764"/>
          <c:w val="0.56666758760418112"/>
          <c:h val="0.27556848007635404"/>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horizontalDpi="1200" verticalDpi="1200"/>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970961887477314"/>
          <c:y val="7.6923076923076927E-2"/>
          <c:w val="0.81306715063520874"/>
          <c:h val="0.83727810650887569"/>
        </c:manualLayout>
      </c:layout>
      <c:lineChart>
        <c:grouping val="standard"/>
        <c:varyColors val="0"/>
        <c:ser>
          <c:idx val="0"/>
          <c:order val="0"/>
          <c:tx>
            <c:strRef>
              <c:f>'2Q11'!$U$193</c:f>
              <c:strCache>
                <c:ptCount val="1"/>
              </c:strCache>
            </c:strRef>
          </c:tx>
          <c:spPr>
            <a:ln w="38100">
              <a:solidFill>
                <a:srgbClr val="000080"/>
              </a:solidFill>
              <a:prstDash val="solid"/>
            </a:ln>
          </c:spPr>
          <c:marker>
            <c:symbol val="none"/>
          </c:marker>
          <c:cat>
            <c:numRef>
              <c:f>'2Q11'!$V$192:$AG$192</c:f>
              <c:numCache>
                <c:formatCode>#,##0_);\(#,##0\)</c:formatCode>
                <c:ptCount val="12"/>
              </c:numCache>
            </c:numRef>
          </c:cat>
          <c:val>
            <c:numRef>
              <c:f>'2Q11'!$V$193:$AG$193</c:f>
              <c:numCache>
                <c:formatCode>#,##0_);\(#,##0\)</c:formatCode>
                <c:ptCount val="12"/>
              </c:numCache>
            </c:numRef>
          </c:val>
          <c:smooth val="0"/>
        </c:ser>
        <c:ser>
          <c:idx val="1"/>
          <c:order val="1"/>
          <c:tx>
            <c:strRef>
              <c:f>'2Q11'!$U$194</c:f>
              <c:strCache>
                <c:ptCount val="1"/>
              </c:strCache>
            </c:strRef>
          </c:tx>
          <c:spPr>
            <a:ln w="38100">
              <a:solidFill>
                <a:srgbClr val="969696"/>
              </a:solidFill>
              <a:prstDash val="solid"/>
            </a:ln>
          </c:spPr>
          <c:marker>
            <c:symbol val="none"/>
          </c:marker>
          <c:cat>
            <c:numRef>
              <c:f>'2Q11'!$V$192:$AG$192</c:f>
              <c:numCache>
                <c:formatCode>#,##0_);\(#,##0\)</c:formatCode>
                <c:ptCount val="12"/>
              </c:numCache>
            </c:numRef>
          </c:cat>
          <c:val>
            <c:numRef>
              <c:f>'2Q11'!$V$194:$AG$194</c:f>
              <c:numCache>
                <c:formatCode>#,##0_);\(#,##0\)</c:formatCode>
                <c:ptCount val="12"/>
              </c:numCache>
            </c:numRef>
          </c:val>
          <c:smooth val="0"/>
        </c:ser>
        <c:dLbls>
          <c:showLegendKey val="0"/>
          <c:showVal val="0"/>
          <c:showCatName val="0"/>
          <c:showSerName val="0"/>
          <c:showPercent val="0"/>
          <c:showBubbleSize val="0"/>
        </c:dLbls>
        <c:marker val="1"/>
        <c:smooth val="0"/>
        <c:axId val="743345152"/>
        <c:axId val="743367808"/>
      </c:lineChart>
      <c:catAx>
        <c:axId val="743345152"/>
        <c:scaling>
          <c:orientation val="minMax"/>
        </c:scaling>
        <c:delete val="0"/>
        <c:axPos val="b"/>
        <c:majorGridlines>
          <c:spPr>
            <a:ln w="3175">
              <a:solidFill>
                <a:srgbClr val="808080"/>
              </a:solidFill>
              <a:prstDash val="solid"/>
            </a:ln>
          </c:spPr>
        </c:majorGridlines>
        <c:numFmt formatCode="#,##0_);\(#,##0\)" sourceLinked="1"/>
        <c:majorTickMark val="none"/>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743367808"/>
        <c:crosses val="autoZero"/>
        <c:auto val="1"/>
        <c:lblAlgn val="ctr"/>
        <c:lblOffset val="100"/>
        <c:tickLblSkip val="1"/>
        <c:tickMarkSkip val="1"/>
        <c:noMultiLvlLbl val="0"/>
      </c:catAx>
      <c:valAx>
        <c:axId val="743367808"/>
        <c:scaling>
          <c:orientation val="minMax"/>
          <c:max val="1000"/>
          <c:min val="0"/>
        </c:scaling>
        <c:delete val="0"/>
        <c:axPos val="l"/>
        <c:majorGridlines>
          <c:spPr>
            <a:ln w="3175">
              <a:solidFill>
                <a:srgbClr val="808080"/>
              </a:solidFill>
              <a:prstDash val="solid"/>
            </a:ln>
          </c:spPr>
        </c:majorGridlines>
        <c:title>
          <c:tx>
            <c:rich>
              <a:bodyPr/>
              <a:lstStyle/>
              <a:p>
                <a:pPr>
                  <a:defRPr sz="950" b="0" i="0" u="none" strike="noStrike" baseline="0">
                    <a:solidFill>
                      <a:srgbClr val="000000"/>
                    </a:solidFill>
                    <a:latin typeface="Arial"/>
                    <a:ea typeface="Arial"/>
                    <a:cs typeface="Arial"/>
                  </a:defRPr>
                </a:pPr>
                <a:r>
                  <a:rPr lang="en-US"/>
                  <a:t>Gaming revenue ($ millions)</a:t>
                </a:r>
              </a:p>
            </c:rich>
          </c:tx>
          <c:layout>
            <c:manualLayout>
              <c:xMode val="edge"/>
              <c:yMode val="edge"/>
              <c:x val="9.0744101633393835E-3"/>
              <c:y val="0.25147928994082841"/>
            </c:manualLayout>
          </c:layout>
          <c:overlay val="0"/>
          <c:spPr>
            <a:noFill/>
            <a:ln w="25400">
              <a:noFill/>
            </a:ln>
          </c:spPr>
        </c:title>
        <c:numFmt formatCode="\$#,##0_);\(\$#,##0\)" sourceLinked="0"/>
        <c:majorTickMark val="out"/>
        <c:minorTickMark val="none"/>
        <c:tickLblPos val="nextTo"/>
        <c:spPr>
          <a:ln w="9525">
            <a:noFill/>
          </a:ln>
        </c:spPr>
        <c:txPr>
          <a:bodyPr rot="0" vert="horz"/>
          <a:lstStyle/>
          <a:p>
            <a:pPr>
              <a:defRPr sz="950" b="0" i="0" u="none" strike="noStrike" baseline="0">
                <a:solidFill>
                  <a:srgbClr val="000000"/>
                </a:solidFill>
                <a:latin typeface="Arial"/>
                <a:ea typeface="Arial"/>
                <a:cs typeface="Arial"/>
              </a:defRPr>
            </a:pPr>
            <a:endParaRPr lang="en-US"/>
          </a:p>
        </c:txPr>
        <c:crossAx val="743345152"/>
        <c:crosses val="autoZero"/>
        <c:crossBetween val="between"/>
        <c:majorUnit val="200"/>
      </c:valAx>
      <c:spPr>
        <a:noFill/>
        <a:ln w="25400">
          <a:noFill/>
        </a:ln>
      </c:spPr>
    </c:plotArea>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17667844522969"/>
          <c:y val="7.0460891082558125E-2"/>
          <c:w val="0.82332155477031799"/>
          <c:h val="0.85095076153550964"/>
        </c:manualLayout>
      </c:layout>
      <c:lineChart>
        <c:grouping val="standard"/>
        <c:varyColors val="0"/>
        <c:ser>
          <c:idx val="0"/>
          <c:order val="0"/>
          <c:spPr>
            <a:ln w="38100">
              <a:solidFill>
                <a:srgbClr val="000080"/>
              </a:solidFill>
              <a:prstDash val="solid"/>
            </a:ln>
          </c:spPr>
          <c:marker>
            <c:symbol val="none"/>
          </c:marker>
          <c:cat>
            <c:numRef>
              <c:f>'2Q11'!$V$219:$AG$219</c:f>
              <c:numCache>
                <c:formatCode>#,##0_);\(#,##0\)</c:formatCode>
                <c:ptCount val="12"/>
              </c:numCache>
            </c:numRef>
          </c:cat>
          <c:val>
            <c:numRef>
              <c:f>'2Q11'!$V$220:$AG$220</c:f>
              <c:numCache>
                <c:formatCode>#,##0_);\(#,##0\)</c:formatCode>
                <c:ptCount val="12"/>
              </c:numCache>
            </c:numRef>
          </c:val>
          <c:smooth val="0"/>
        </c:ser>
        <c:dLbls>
          <c:showLegendKey val="0"/>
          <c:showVal val="0"/>
          <c:showCatName val="0"/>
          <c:showSerName val="0"/>
          <c:showPercent val="0"/>
          <c:showBubbleSize val="0"/>
        </c:dLbls>
        <c:marker val="1"/>
        <c:smooth val="0"/>
        <c:axId val="743524608"/>
        <c:axId val="743529472"/>
      </c:lineChart>
      <c:catAx>
        <c:axId val="743524608"/>
        <c:scaling>
          <c:orientation val="minMax"/>
        </c:scaling>
        <c:delete val="0"/>
        <c:axPos val="b"/>
        <c:majorGridlines>
          <c:spPr>
            <a:ln w="3175">
              <a:solidFill>
                <a:srgbClr val="808080"/>
              </a:solidFill>
              <a:prstDash val="solid"/>
            </a:ln>
          </c:spPr>
        </c:majorGridlines>
        <c:numFmt formatCode="#,##0_);\(#,##0\)" sourceLinked="1"/>
        <c:majorTickMark val="none"/>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743529472"/>
        <c:crosses val="autoZero"/>
        <c:auto val="1"/>
        <c:lblAlgn val="ctr"/>
        <c:lblOffset val="100"/>
        <c:tickLblSkip val="1"/>
        <c:tickMarkSkip val="1"/>
        <c:noMultiLvlLbl val="0"/>
      </c:catAx>
      <c:valAx>
        <c:axId val="743529472"/>
        <c:scaling>
          <c:orientation val="minMax"/>
          <c:max val="1.4999999999999999E-2"/>
          <c:min val="7.4999999999999997E-3"/>
        </c:scaling>
        <c:delete val="0"/>
        <c:axPos val="l"/>
        <c:majorGridlines>
          <c:spPr>
            <a:ln w="3175">
              <a:solidFill>
                <a:srgbClr val="808080"/>
              </a:solidFill>
              <a:prstDash val="solid"/>
            </a:ln>
          </c:spPr>
        </c:majorGridlines>
        <c:title>
          <c:tx>
            <c:rich>
              <a:bodyPr/>
              <a:lstStyle/>
              <a:p>
                <a:pPr>
                  <a:defRPr sz="975" b="0" i="0" u="none" strike="noStrike" baseline="0">
                    <a:solidFill>
                      <a:srgbClr val="000000"/>
                    </a:solidFill>
                    <a:latin typeface="Arial"/>
                    <a:ea typeface="Arial"/>
                    <a:cs typeface="Arial"/>
                  </a:defRPr>
                </a:pPr>
                <a:r>
                  <a:rPr lang="en-US"/>
                  <a:t>Commission Rates</a:t>
                </a:r>
              </a:p>
            </c:rich>
          </c:tx>
          <c:layout>
            <c:manualLayout>
              <c:xMode val="edge"/>
              <c:yMode val="edge"/>
              <c:x val="1.2367491166077738E-2"/>
              <c:y val="0.34146426818598896"/>
            </c:manualLayout>
          </c:layout>
          <c:overlay val="0"/>
          <c:spPr>
            <a:noFill/>
            <a:ln w="25400">
              <a:noFill/>
            </a:ln>
          </c:spPr>
        </c:title>
        <c:numFmt formatCode="0.00%" sourceLinked="0"/>
        <c:majorTickMark val="out"/>
        <c:minorTickMark val="none"/>
        <c:tickLblPos val="nextTo"/>
        <c:spPr>
          <a:ln w="9525">
            <a:noFill/>
          </a:ln>
        </c:spPr>
        <c:txPr>
          <a:bodyPr rot="0" vert="horz"/>
          <a:lstStyle/>
          <a:p>
            <a:pPr>
              <a:defRPr sz="975" b="0" i="0" u="none" strike="noStrike" baseline="0">
                <a:solidFill>
                  <a:srgbClr val="000000"/>
                </a:solidFill>
                <a:latin typeface="Arial"/>
                <a:ea typeface="Arial"/>
                <a:cs typeface="Arial"/>
              </a:defRPr>
            </a:pPr>
            <a:endParaRPr lang="en-US"/>
          </a:p>
        </c:txPr>
        <c:crossAx val="743524608"/>
        <c:crosses val="autoZero"/>
        <c:crossBetween val="between"/>
        <c:majorUnit val="2.5000000000000001E-3"/>
      </c:valAx>
      <c:spPr>
        <a:noFill/>
        <a:ln w="25400">
          <a:noFill/>
        </a:ln>
      </c:spPr>
    </c:plotArea>
    <c:plotVisOnly val="1"/>
    <c:dispBlanksAs val="gap"/>
    <c:showDLblsOverMax val="0"/>
  </c:chart>
  <c:spPr>
    <a:solidFill>
      <a:srgbClr val="FFFFFF"/>
    </a:solid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85729158749874"/>
          <c:y val="8.0838441532620597E-2"/>
          <c:w val="0.82729297217835085"/>
          <c:h val="0.8652707260343464"/>
        </c:manualLayout>
      </c:layout>
      <c:barChart>
        <c:barDir val="col"/>
        <c:grouping val="clustered"/>
        <c:varyColors val="0"/>
        <c:ser>
          <c:idx val="0"/>
          <c:order val="0"/>
          <c:tx>
            <c:strRef>
              <c:f>'2Q11'!$AY$262</c:f>
              <c:strCache>
                <c:ptCount val="1"/>
              </c:strCache>
            </c:strRef>
          </c:tx>
          <c:spPr>
            <a:solidFill>
              <a:srgbClr val="3366FF"/>
            </a:solidFill>
            <a:ln w="25400">
              <a:noFill/>
            </a:ln>
          </c:spPr>
          <c:invertIfNegative val="0"/>
          <c:dLbls>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'2Q11'!$AX$263:$AX$266</c:f>
              <c:numCache>
                <c:formatCode>#,##0_);\(#,##0\)</c:formatCode>
                <c:ptCount val="4"/>
              </c:numCache>
            </c:numRef>
          </c:cat>
          <c:val>
            <c:numRef>
              <c:f>'2Q11'!$AY$263:$AY$266</c:f>
              <c:numCache>
                <c:formatCode>#,##0_);\(#,##0\)</c:formatCode>
                <c:ptCount val="4"/>
              </c:numCache>
            </c:numRef>
          </c:val>
        </c:ser>
        <c:ser>
          <c:idx val="1"/>
          <c:order val="1"/>
          <c:tx>
            <c:strRef>
              <c:f>'2Q11'!$AZ$262</c:f>
              <c:strCache>
                <c:ptCount val="1"/>
              </c:strCache>
            </c:strRef>
          </c:tx>
          <c:spPr>
            <a:pattFill prst="pct75">
              <a:fgClr>
                <a:srgbClr xmlns:mc="http://schemas.openxmlformats.org/markup-compatibility/2006" xmlns:a14="http://schemas.microsoft.com/office/drawing/2010/main" val="808080" mc:Ignorable="a14" a14:legacySpreadsheetColorIndex="23"/>
              </a:fgClr>
              <a:bgClr>
                <a:srgbClr xmlns:mc="http://schemas.openxmlformats.org/markup-compatibility/2006" xmlns:a14="http://schemas.microsoft.com/office/drawing/2010/main" val="FFFFFF" mc:Ignorable="a14" a14:legacySpreadsheetColorIndex="9"/>
              </a:bgClr>
            </a:patt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'2Q11'!$AX$263:$AX$266</c:f>
              <c:numCache>
                <c:formatCode>#,##0_);\(#,##0\)</c:formatCode>
                <c:ptCount val="4"/>
              </c:numCache>
            </c:numRef>
          </c:cat>
          <c:val>
            <c:numRef>
              <c:f>'2Q11'!$AZ$263:$AZ$266</c:f>
              <c:numCache>
                <c:formatCode>#,##0_);\(#,##0\)</c:formatCode>
                <c:ptCount val="4"/>
              </c:numCache>
            </c:numRef>
          </c:val>
        </c:ser>
        <c:dLbls>
          <c:showLegendKey val="0"/>
          <c:showVal val="0"/>
          <c:showCatName val="0"/>
          <c:showSerName val="0"/>
          <c:showPercent val="0"/>
          <c:showBubbleSize val="0"/>
        </c:dLbls>
        <c:gapWidth val="150"/>
        <c:axId val="748654976"/>
        <c:axId val="748701568"/>
      </c:barChart>
      <c:catAx>
        <c:axId val="748654976"/>
        <c:scaling>
          <c:orientation val="minMax"/>
        </c:scaling>
        <c:delete val="0"/>
        <c:axPos val="b"/>
        <c:numFmt formatCode="#,##0_);\(#,##0\)" sourceLinked="1"/>
        <c:majorTickMark val="out"/>
        <c:minorTickMark val="none"/>
        <c:tickLblPos val="low"/>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748701568"/>
        <c:crosses val="autoZero"/>
        <c:auto val="1"/>
        <c:lblAlgn val="ctr"/>
        <c:lblOffset val="100"/>
        <c:tickLblSkip val="1"/>
        <c:tickMarkSkip val="1"/>
        <c:noMultiLvlLbl val="0"/>
      </c:catAx>
      <c:valAx>
        <c:axId val="748701568"/>
        <c:scaling>
          <c:orientation val="minMax"/>
          <c:min val="-0.2"/>
        </c:scaling>
        <c:delete val="0"/>
        <c:axPos val="l"/>
        <c:majorGridlines>
          <c:spPr>
            <a:ln w="3175">
              <a:solidFill>
                <a:srgbClr val="80808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 Growth (Sequential)</a:t>
                </a:r>
              </a:p>
            </c:rich>
          </c:tx>
          <c:layout>
            <c:manualLayout>
              <c:xMode val="edge"/>
              <c:yMode val="edge"/>
              <c:x val="2.1321961620469083E-2"/>
              <c:y val="0.2934134879846606"/>
            </c:manualLayout>
          </c:layout>
          <c:overlay val="0"/>
          <c:spPr>
            <a:noFill/>
            <a:ln w="25400">
              <a:noFill/>
            </a:ln>
          </c:spPr>
        </c:title>
        <c:numFmt formatCode="#,##0_);\(#,##0\)" sourceLinked="1"/>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748654976"/>
        <c:crosses val="autoZero"/>
        <c:crossBetween val="between"/>
        <c:majorUnit val="0.1"/>
        <c:minorUnit val="0.1"/>
      </c:valAx>
      <c:spPr>
        <a:noFill/>
        <a:ln w="25400">
          <a:noFill/>
        </a:ln>
      </c:spPr>
    </c:plotArea>
    <c:legend>
      <c:legendPos val="r"/>
      <c:layout>
        <c:manualLayout>
          <c:xMode val="edge"/>
          <c:yMode val="edge"/>
          <c:x val="0.67803905108876317"/>
          <c:y val="6.8862275449101798E-2"/>
          <c:w val="8.3155650319829411E-2"/>
          <c:h val="0.27844342810442108"/>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840830449826991"/>
          <c:y val="7.0080862533692723E-2"/>
          <c:w val="0.83564013840830453"/>
          <c:h val="0.85175202156334229"/>
        </c:manualLayout>
      </c:layout>
      <c:lineChart>
        <c:grouping val="standard"/>
        <c:varyColors val="0"/>
        <c:ser>
          <c:idx val="0"/>
          <c:order val="0"/>
          <c:spPr>
            <a:ln w="38100">
              <a:solidFill>
                <a:srgbClr val="000080"/>
              </a:solidFill>
              <a:prstDash val="solid"/>
            </a:ln>
          </c:spPr>
          <c:marker>
            <c:symbol val="none"/>
          </c:marker>
          <c:cat>
            <c:numRef>
              <c:f>'1Q11'!$V$167:$AG$167</c:f>
              <c:numCache>
                <c:formatCode>#,##0_);\(#,##0\)</c:formatCode>
                <c:ptCount val="12"/>
              </c:numCache>
            </c:numRef>
          </c:cat>
          <c:val>
            <c:numRef>
              <c:f>'1Q11'!$V$168:$AG$168</c:f>
              <c:numCache>
                <c:formatCode>#,##0_);\(#,##0\)</c:formatCode>
                <c:ptCount val="12"/>
              </c:numCache>
            </c:numRef>
          </c:val>
          <c:smooth val="0"/>
        </c:ser>
        <c:dLbls>
          <c:showLegendKey val="0"/>
          <c:showVal val="0"/>
          <c:showCatName val="0"/>
          <c:showSerName val="0"/>
          <c:showPercent val="0"/>
          <c:showBubbleSize val="0"/>
        </c:dLbls>
        <c:marker val="1"/>
        <c:smooth val="0"/>
        <c:axId val="547351936"/>
        <c:axId val="603915392"/>
      </c:lineChart>
      <c:catAx>
        <c:axId val="547351936"/>
        <c:scaling>
          <c:orientation val="minMax"/>
        </c:scaling>
        <c:delete val="0"/>
        <c:axPos val="b"/>
        <c:majorGridlines>
          <c:spPr>
            <a:ln w="3175">
              <a:solidFill>
                <a:srgbClr val="808080"/>
              </a:solidFill>
              <a:prstDash val="solid"/>
            </a:ln>
          </c:spPr>
        </c:majorGridlines>
        <c:numFmt formatCode="#,##0_);\(#,##0\)" sourceLinked="1"/>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03915392"/>
        <c:crosses val="autoZero"/>
        <c:auto val="1"/>
        <c:lblAlgn val="ctr"/>
        <c:lblOffset val="100"/>
        <c:tickLblSkip val="1"/>
        <c:tickMarkSkip val="1"/>
        <c:noMultiLvlLbl val="0"/>
      </c:catAx>
      <c:valAx>
        <c:axId val="603915392"/>
        <c:scaling>
          <c:orientation val="minMax"/>
          <c:max val="200"/>
          <c:min val="50"/>
        </c:scaling>
        <c:delete val="0"/>
        <c:axPos val="l"/>
        <c:majorGridlines>
          <c:spPr>
            <a:ln w="3175">
              <a:solidFill>
                <a:srgbClr val="80808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Mass revenue ($ millions)</a:t>
                </a:r>
              </a:p>
            </c:rich>
          </c:tx>
          <c:layout>
            <c:manualLayout>
              <c:xMode val="edge"/>
              <c:yMode val="edge"/>
              <c:x val="1.2110726643598616E-2"/>
              <c:y val="0.29380053908355797"/>
            </c:manualLayout>
          </c:layout>
          <c:overlay val="0"/>
          <c:spPr>
            <a:noFill/>
            <a:ln w="25400">
              <a:noFill/>
            </a:ln>
          </c:spPr>
        </c:title>
        <c:numFmt formatCode="\$#,##0_);\(\$#,##0\)" sourceLinked="0"/>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547351936"/>
        <c:crosses val="autoZero"/>
        <c:crossBetween val="between"/>
        <c:majorUnit val="50"/>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1230625052469"/>
          <c:y val="7.3863738824655467E-2"/>
          <c:w val="0.68596608752413568"/>
          <c:h val="0.7755692576588824"/>
        </c:manualLayout>
      </c:layout>
      <c:barChart>
        <c:barDir val="col"/>
        <c:grouping val="clustered"/>
        <c:varyColors val="0"/>
        <c:ser>
          <c:idx val="1"/>
          <c:order val="0"/>
          <c:tx>
            <c:strRef>
              <c:f>'1Q11'!$AJ$191</c:f>
              <c:strCache>
                <c:ptCount val="1"/>
              </c:strCache>
            </c:strRef>
          </c:tx>
          <c:spPr>
            <a:solidFill>
              <a:srgbClr val="969696"/>
            </a:solidFill>
            <a:ln w="25400">
              <a:noFill/>
            </a:ln>
          </c:spPr>
          <c:invertIfNegative val="0"/>
          <c:cat>
            <c:numRef>
              <c:f>'1Q11'!$AK$190:$AV$190</c:f>
              <c:numCache>
                <c:formatCode>#,##0_);\(#,##0\)</c:formatCode>
                <c:ptCount val="12"/>
              </c:numCache>
            </c:numRef>
          </c:cat>
          <c:val>
            <c:numRef>
              <c:f>'1Q11'!$AK$191:$AV$191</c:f>
              <c:numCache>
                <c:formatCode>#,##0_);\(#,##0\)</c:formatCode>
                <c:ptCount val="12"/>
              </c:numCache>
            </c:numRef>
          </c:val>
        </c:ser>
        <c:dLbls>
          <c:showLegendKey val="0"/>
          <c:showVal val="0"/>
          <c:showCatName val="0"/>
          <c:showSerName val="0"/>
          <c:showPercent val="0"/>
          <c:showBubbleSize val="0"/>
        </c:dLbls>
        <c:gapWidth val="150"/>
        <c:axId val="605121536"/>
        <c:axId val="605123712"/>
      </c:barChart>
      <c:lineChart>
        <c:grouping val="standard"/>
        <c:varyColors val="0"/>
        <c:ser>
          <c:idx val="0"/>
          <c:order val="1"/>
          <c:tx>
            <c:strRef>
              <c:f>'1Q11'!$AJ$192</c:f>
              <c:strCache>
                <c:ptCount val="1"/>
              </c:strCache>
            </c:strRef>
          </c:tx>
          <c:spPr>
            <a:ln w="25400">
              <a:solidFill>
                <a:srgbClr val="000080"/>
              </a:solidFill>
              <a:prstDash val="solid"/>
            </a:ln>
          </c:spPr>
          <c:marker>
            <c:symbol val="diamond"/>
            <c:size val="7"/>
            <c:spPr>
              <a:solidFill>
                <a:srgbClr val="000080"/>
              </a:solidFill>
              <a:ln>
                <a:solidFill>
                  <a:srgbClr val="000080"/>
                </a:solidFill>
                <a:prstDash val="solid"/>
              </a:ln>
            </c:spPr>
          </c:marker>
          <c:cat>
            <c:numRef>
              <c:f>'1Q11'!$AK$190:$AV$190</c:f>
              <c:numCache>
                <c:formatCode>#,##0_);\(#,##0\)</c:formatCode>
                <c:ptCount val="12"/>
              </c:numCache>
            </c:numRef>
          </c:cat>
          <c:val>
            <c:numRef>
              <c:f>'1Q11'!$AK$192:$AV$192</c:f>
              <c:numCache>
                <c:formatCode>#,##0_);\(#,##0\)</c:formatCode>
                <c:ptCount val="12"/>
              </c:numCache>
            </c:numRef>
          </c:val>
          <c:smooth val="0"/>
        </c:ser>
        <c:dLbls>
          <c:showLegendKey val="0"/>
          <c:showVal val="0"/>
          <c:showCatName val="0"/>
          <c:showSerName val="0"/>
          <c:showPercent val="0"/>
          <c:showBubbleSize val="0"/>
        </c:dLbls>
        <c:marker val="1"/>
        <c:smooth val="0"/>
        <c:axId val="605125632"/>
        <c:axId val="605127424"/>
      </c:lineChart>
      <c:catAx>
        <c:axId val="605121536"/>
        <c:scaling>
          <c:orientation val="minMax"/>
        </c:scaling>
        <c:delete val="0"/>
        <c:axPos val="b"/>
        <c:numFmt formatCode="#,##0_);\(#,##0\)"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05123712"/>
        <c:crosses val="autoZero"/>
        <c:auto val="0"/>
        <c:lblAlgn val="ctr"/>
        <c:lblOffset val="100"/>
        <c:tickLblSkip val="1"/>
        <c:tickMarkSkip val="1"/>
        <c:noMultiLvlLbl val="0"/>
      </c:catAx>
      <c:valAx>
        <c:axId val="605123712"/>
        <c:scaling>
          <c:orientation val="minMax"/>
          <c:max val="300"/>
          <c:min val="100"/>
        </c:scaling>
        <c:delete val="0"/>
        <c:axPos val="l"/>
        <c:majorGridlines>
          <c:spPr>
            <a:ln w="3175">
              <a:solidFill>
                <a:srgbClr val="80808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Las Vegas RevPAR</a:t>
                </a:r>
              </a:p>
            </c:rich>
          </c:tx>
          <c:layout>
            <c:manualLayout>
              <c:xMode val="edge"/>
              <c:yMode val="edge"/>
              <c:x val="1.2280701754385965E-2"/>
              <c:y val="0.28125029825817227"/>
            </c:manualLayout>
          </c:layout>
          <c:overlay val="0"/>
          <c:spPr>
            <a:noFill/>
            <a:ln w="25400">
              <a:noFill/>
            </a:ln>
          </c:spPr>
        </c:title>
        <c:numFmt formatCode="\$#,##0_);\(\$#,##0\)" sourceLinked="0"/>
        <c:majorTickMark val="cross"/>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05121536"/>
        <c:crosses val="autoZero"/>
        <c:crossBetween val="between"/>
        <c:majorUnit val="50"/>
      </c:valAx>
      <c:catAx>
        <c:axId val="605125632"/>
        <c:scaling>
          <c:orientation val="minMax"/>
        </c:scaling>
        <c:delete val="1"/>
        <c:axPos val="b"/>
        <c:numFmt formatCode="#,##0_);\(#,##0\)" sourceLinked="1"/>
        <c:majorTickMark val="out"/>
        <c:minorTickMark val="none"/>
        <c:tickLblPos val="nextTo"/>
        <c:crossAx val="605127424"/>
        <c:crosses val="autoZero"/>
        <c:auto val="0"/>
        <c:lblAlgn val="ctr"/>
        <c:lblOffset val="100"/>
        <c:noMultiLvlLbl val="0"/>
      </c:catAx>
      <c:valAx>
        <c:axId val="605127424"/>
        <c:scaling>
          <c:orientation val="minMax"/>
          <c:max val="0.1"/>
          <c:min val="-0.4"/>
        </c:scaling>
        <c:delete val="0"/>
        <c:axPos val="r"/>
        <c:title>
          <c:tx>
            <c:rich>
              <a:bodyPr rot="5400000" vert="horz"/>
              <a:lstStyle/>
              <a:p>
                <a:pPr algn="ctr">
                  <a:defRPr sz="1000" b="1" i="0" u="none" strike="noStrike" baseline="0">
                    <a:solidFill>
                      <a:srgbClr val="000000"/>
                    </a:solidFill>
                    <a:latin typeface="Arial"/>
                    <a:ea typeface="Arial"/>
                    <a:cs typeface="Arial"/>
                  </a:defRPr>
                </a:pPr>
                <a:r>
                  <a:rPr lang="en-US"/>
                  <a:t>% Growth (y-o-y)</a:t>
                </a:r>
              </a:p>
            </c:rich>
          </c:tx>
          <c:layout>
            <c:manualLayout>
              <c:xMode val="edge"/>
              <c:yMode val="edge"/>
              <c:x val="0.9280718331261224"/>
              <c:y val="0.30965938916726315"/>
            </c:manualLayout>
          </c:layout>
          <c:overlay val="0"/>
          <c:spPr>
            <a:noFill/>
            <a:ln w="25400">
              <a:noFill/>
            </a:ln>
          </c:spPr>
        </c:title>
        <c:numFmt formatCode="0.0%" sourceLinked="0"/>
        <c:majorTickMark val="cross"/>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05125632"/>
        <c:crosses val="max"/>
        <c:crossBetween val="between"/>
        <c:majorUnit val="0.125"/>
      </c:valAx>
      <c:spPr>
        <a:noFill/>
        <a:ln w="25400">
          <a:noFill/>
        </a:ln>
      </c:spPr>
    </c:plotArea>
    <c:legend>
      <c:legendPos val="r"/>
      <c:layout>
        <c:manualLayout>
          <c:xMode val="edge"/>
          <c:yMode val="edge"/>
          <c:x val="0.19824598241009345"/>
          <c:y val="0.71590998568360764"/>
          <c:w val="0.56666758760418112"/>
          <c:h val="0.27556848007635404"/>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horizontalDpi="1200" verticalDpi="1200"/>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970961887477314"/>
          <c:y val="7.6923076923076927E-2"/>
          <c:w val="0.81306715063520874"/>
          <c:h val="0.83727810650887569"/>
        </c:manualLayout>
      </c:layout>
      <c:lineChart>
        <c:grouping val="standard"/>
        <c:varyColors val="0"/>
        <c:ser>
          <c:idx val="0"/>
          <c:order val="0"/>
          <c:tx>
            <c:strRef>
              <c:f>'1Q11'!$U$193</c:f>
              <c:strCache>
                <c:ptCount val="1"/>
              </c:strCache>
            </c:strRef>
          </c:tx>
          <c:spPr>
            <a:ln w="38100">
              <a:solidFill>
                <a:srgbClr val="000080"/>
              </a:solidFill>
              <a:prstDash val="solid"/>
            </a:ln>
          </c:spPr>
          <c:marker>
            <c:symbol val="none"/>
          </c:marker>
          <c:cat>
            <c:numRef>
              <c:f>'1Q11'!$V$192:$AG$192</c:f>
              <c:numCache>
                <c:formatCode>#,##0_);\(#,##0\)</c:formatCode>
                <c:ptCount val="12"/>
              </c:numCache>
            </c:numRef>
          </c:cat>
          <c:val>
            <c:numRef>
              <c:f>'1Q11'!$V$193:$AG$193</c:f>
              <c:numCache>
                <c:formatCode>#,##0_);\(#,##0\)</c:formatCode>
                <c:ptCount val="12"/>
              </c:numCache>
            </c:numRef>
          </c:val>
          <c:smooth val="0"/>
        </c:ser>
        <c:ser>
          <c:idx val="1"/>
          <c:order val="1"/>
          <c:tx>
            <c:strRef>
              <c:f>'1Q11'!$U$194</c:f>
              <c:strCache>
                <c:ptCount val="1"/>
              </c:strCache>
            </c:strRef>
          </c:tx>
          <c:spPr>
            <a:ln w="38100">
              <a:solidFill>
                <a:srgbClr val="969696"/>
              </a:solidFill>
              <a:prstDash val="solid"/>
            </a:ln>
          </c:spPr>
          <c:marker>
            <c:symbol val="none"/>
          </c:marker>
          <c:cat>
            <c:numRef>
              <c:f>'1Q11'!$V$192:$AG$192</c:f>
              <c:numCache>
                <c:formatCode>#,##0_);\(#,##0\)</c:formatCode>
                <c:ptCount val="12"/>
              </c:numCache>
            </c:numRef>
          </c:cat>
          <c:val>
            <c:numRef>
              <c:f>'1Q11'!$V$194:$AG$194</c:f>
              <c:numCache>
                <c:formatCode>#,##0_);\(#,##0\)</c:formatCode>
                <c:ptCount val="12"/>
              </c:numCache>
            </c:numRef>
          </c:val>
          <c:smooth val="0"/>
        </c:ser>
        <c:dLbls>
          <c:showLegendKey val="0"/>
          <c:showVal val="0"/>
          <c:showCatName val="0"/>
          <c:showSerName val="0"/>
          <c:showPercent val="0"/>
          <c:showBubbleSize val="0"/>
        </c:dLbls>
        <c:marker val="1"/>
        <c:smooth val="0"/>
        <c:axId val="605156864"/>
        <c:axId val="605158400"/>
      </c:lineChart>
      <c:catAx>
        <c:axId val="605156864"/>
        <c:scaling>
          <c:orientation val="minMax"/>
        </c:scaling>
        <c:delete val="0"/>
        <c:axPos val="b"/>
        <c:majorGridlines>
          <c:spPr>
            <a:ln w="3175">
              <a:solidFill>
                <a:srgbClr val="808080"/>
              </a:solidFill>
              <a:prstDash val="solid"/>
            </a:ln>
          </c:spPr>
        </c:majorGridlines>
        <c:numFmt formatCode="#,##0_);\(#,##0\)" sourceLinked="1"/>
        <c:majorTickMark val="none"/>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605158400"/>
        <c:crosses val="autoZero"/>
        <c:auto val="1"/>
        <c:lblAlgn val="ctr"/>
        <c:lblOffset val="100"/>
        <c:tickLblSkip val="1"/>
        <c:tickMarkSkip val="1"/>
        <c:noMultiLvlLbl val="0"/>
      </c:catAx>
      <c:valAx>
        <c:axId val="605158400"/>
        <c:scaling>
          <c:orientation val="minMax"/>
          <c:max val="1000"/>
          <c:min val="0"/>
        </c:scaling>
        <c:delete val="0"/>
        <c:axPos val="l"/>
        <c:majorGridlines>
          <c:spPr>
            <a:ln w="3175">
              <a:solidFill>
                <a:srgbClr val="808080"/>
              </a:solidFill>
              <a:prstDash val="solid"/>
            </a:ln>
          </c:spPr>
        </c:majorGridlines>
        <c:title>
          <c:tx>
            <c:rich>
              <a:bodyPr/>
              <a:lstStyle/>
              <a:p>
                <a:pPr>
                  <a:defRPr sz="950" b="0" i="0" u="none" strike="noStrike" baseline="0">
                    <a:solidFill>
                      <a:srgbClr val="000000"/>
                    </a:solidFill>
                    <a:latin typeface="Arial"/>
                    <a:ea typeface="Arial"/>
                    <a:cs typeface="Arial"/>
                  </a:defRPr>
                </a:pPr>
                <a:r>
                  <a:rPr lang="en-US"/>
                  <a:t>Gaming revenue ($ millions)</a:t>
                </a:r>
              </a:p>
            </c:rich>
          </c:tx>
          <c:layout>
            <c:manualLayout>
              <c:xMode val="edge"/>
              <c:yMode val="edge"/>
              <c:x val="9.0744101633393835E-3"/>
              <c:y val="0.25147928994082841"/>
            </c:manualLayout>
          </c:layout>
          <c:overlay val="0"/>
          <c:spPr>
            <a:noFill/>
            <a:ln w="25400">
              <a:noFill/>
            </a:ln>
          </c:spPr>
        </c:title>
        <c:numFmt formatCode="\$#,##0_);\(\$#,##0\)" sourceLinked="0"/>
        <c:majorTickMark val="out"/>
        <c:minorTickMark val="none"/>
        <c:tickLblPos val="nextTo"/>
        <c:spPr>
          <a:ln w="9525">
            <a:noFill/>
          </a:ln>
        </c:spPr>
        <c:txPr>
          <a:bodyPr rot="0" vert="horz"/>
          <a:lstStyle/>
          <a:p>
            <a:pPr>
              <a:defRPr sz="950" b="0" i="0" u="none" strike="noStrike" baseline="0">
                <a:solidFill>
                  <a:srgbClr val="000000"/>
                </a:solidFill>
                <a:latin typeface="Arial"/>
                <a:ea typeface="Arial"/>
                <a:cs typeface="Arial"/>
              </a:defRPr>
            </a:pPr>
            <a:endParaRPr lang="en-US"/>
          </a:p>
        </c:txPr>
        <c:crossAx val="605156864"/>
        <c:crosses val="autoZero"/>
        <c:crossBetween val="between"/>
        <c:majorUnit val="200"/>
      </c:valAx>
      <c:spPr>
        <a:noFill/>
        <a:ln w="25400">
          <a:noFill/>
        </a:ln>
      </c:spPr>
    </c:plotArea>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17667844522969"/>
          <c:y val="7.0460891082558125E-2"/>
          <c:w val="0.82332155477031799"/>
          <c:h val="0.85095076153550964"/>
        </c:manualLayout>
      </c:layout>
      <c:lineChart>
        <c:grouping val="standard"/>
        <c:varyColors val="0"/>
        <c:ser>
          <c:idx val="0"/>
          <c:order val="0"/>
          <c:spPr>
            <a:ln w="38100">
              <a:solidFill>
                <a:srgbClr val="000080"/>
              </a:solidFill>
              <a:prstDash val="solid"/>
            </a:ln>
          </c:spPr>
          <c:marker>
            <c:symbol val="none"/>
          </c:marker>
          <c:cat>
            <c:numRef>
              <c:f>'1Q11'!$V$219:$AG$219</c:f>
              <c:numCache>
                <c:formatCode>#,##0_);\(#,##0\)</c:formatCode>
                <c:ptCount val="12"/>
              </c:numCache>
            </c:numRef>
          </c:cat>
          <c:val>
            <c:numRef>
              <c:f>'1Q11'!$V$220:$AG$220</c:f>
              <c:numCache>
                <c:formatCode>#,##0_);\(#,##0\)</c:formatCode>
                <c:ptCount val="12"/>
              </c:numCache>
            </c:numRef>
          </c:val>
          <c:smooth val="0"/>
        </c:ser>
        <c:dLbls>
          <c:showLegendKey val="0"/>
          <c:showVal val="0"/>
          <c:showCatName val="0"/>
          <c:showSerName val="0"/>
          <c:showPercent val="0"/>
          <c:showBubbleSize val="0"/>
        </c:dLbls>
        <c:marker val="1"/>
        <c:smooth val="0"/>
        <c:axId val="605207936"/>
        <c:axId val="605213824"/>
      </c:lineChart>
      <c:catAx>
        <c:axId val="605207936"/>
        <c:scaling>
          <c:orientation val="minMax"/>
        </c:scaling>
        <c:delete val="0"/>
        <c:axPos val="b"/>
        <c:majorGridlines>
          <c:spPr>
            <a:ln w="3175">
              <a:solidFill>
                <a:srgbClr val="808080"/>
              </a:solidFill>
              <a:prstDash val="solid"/>
            </a:ln>
          </c:spPr>
        </c:majorGridlines>
        <c:numFmt formatCode="#,##0_);\(#,##0\)" sourceLinked="1"/>
        <c:majorTickMark val="none"/>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605213824"/>
        <c:crosses val="autoZero"/>
        <c:auto val="1"/>
        <c:lblAlgn val="ctr"/>
        <c:lblOffset val="100"/>
        <c:tickLblSkip val="1"/>
        <c:tickMarkSkip val="1"/>
        <c:noMultiLvlLbl val="0"/>
      </c:catAx>
      <c:valAx>
        <c:axId val="605213824"/>
        <c:scaling>
          <c:orientation val="minMax"/>
          <c:max val="1.4999999999999999E-2"/>
          <c:min val="7.4999999999999997E-3"/>
        </c:scaling>
        <c:delete val="0"/>
        <c:axPos val="l"/>
        <c:majorGridlines>
          <c:spPr>
            <a:ln w="3175">
              <a:solidFill>
                <a:srgbClr val="808080"/>
              </a:solidFill>
              <a:prstDash val="solid"/>
            </a:ln>
          </c:spPr>
        </c:majorGridlines>
        <c:title>
          <c:tx>
            <c:rich>
              <a:bodyPr/>
              <a:lstStyle/>
              <a:p>
                <a:pPr>
                  <a:defRPr sz="975" b="0" i="0" u="none" strike="noStrike" baseline="0">
                    <a:solidFill>
                      <a:srgbClr val="000000"/>
                    </a:solidFill>
                    <a:latin typeface="Arial"/>
                    <a:ea typeface="Arial"/>
                    <a:cs typeface="Arial"/>
                  </a:defRPr>
                </a:pPr>
                <a:r>
                  <a:rPr lang="en-US"/>
                  <a:t>Commission Rates</a:t>
                </a:r>
              </a:p>
            </c:rich>
          </c:tx>
          <c:layout>
            <c:manualLayout>
              <c:xMode val="edge"/>
              <c:yMode val="edge"/>
              <c:x val="1.2367491166077738E-2"/>
              <c:y val="0.34146426818598896"/>
            </c:manualLayout>
          </c:layout>
          <c:overlay val="0"/>
          <c:spPr>
            <a:noFill/>
            <a:ln w="25400">
              <a:noFill/>
            </a:ln>
          </c:spPr>
        </c:title>
        <c:numFmt formatCode="0.00%" sourceLinked="0"/>
        <c:majorTickMark val="out"/>
        <c:minorTickMark val="none"/>
        <c:tickLblPos val="nextTo"/>
        <c:spPr>
          <a:ln w="9525">
            <a:noFill/>
          </a:ln>
        </c:spPr>
        <c:txPr>
          <a:bodyPr rot="0" vert="horz"/>
          <a:lstStyle/>
          <a:p>
            <a:pPr>
              <a:defRPr sz="975" b="0" i="0" u="none" strike="noStrike" baseline="0">
                <a:solidFill>
                  <a:srgbClr val="000000"/>
                </a:solidFill>
                <a:latin typeface="Arial"/>
                <a:ea typeface="Arial"/>
                <a:cs typeface="Arial"/>
              </a:defRPr>
            </a:pPr>
            <a:endParaRPr lang="en-US"/>
          </a:p>
        </c:txPr>
        <c:crossAx val="605207936"/>
        <c:crosses val="autoZero"/>
        <c:crossBetween val="between"/>
        <c:majorUnit val="2.5000000000000001E-3"/>
      </c:valAx>
      <c:spPr>
        <a:noFill/>
        <a:ln w="25400">
          <a:noFill/>
        </a:ln>
      </c:spPr>
    </c:plotArea>
    <c:plotVisOnly val="1"/>
    <c:dispBlanksAs val="gap"/>
    <c:showDLblsOverMax val="0"/>
  </c:chart>
  <c:spPr>
    <a:solidFill>
      <a:srgbClr val="FFFFFF"/>
    </a:solid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85729158749874"/>
          <c:y val="8.0838441532620597E-2"/>
          <c:w val="0.82729297217835085"/>
          <c:h val="0.8652707260343464"/>
        </c:manualLayout>
      </c:layout>
      <c:barChart>
        <c:barDir val="col"/>
        <c:grouping val="clustered"/>
        <c:varyColors val="0"/>
        <c:ser>
          <c:idx val="0"/>
          <c:order val="0"/>
          <c:tx>
            <c:strRef>
              <c:f>'1Q11'!$AY$262</c:f>
              <c:strCache>
                <c:ptCount val="1"/>
              </c:strCache>
            </c:strRef>
          </c:tx>
          <c:spPr>
            <a:solidFill>
              <a:srgbClr val="3366FF"/>
            </a:solidFill>
            <a:ln w="25400">
              <a:noFill/>
            </a:ln>
          </c:spPr>
          <c:invertIfNegative val="0"/>
          <c:dLbls>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'1Q11'!$AX$263:$AX$266</c:f>
              <c:numCache>
                <c:formatCode>#,##0_);\(#,##0\)</c:formatCode>
                <c:ptCount val="4"/>
              </c:numCache>
            </c:numRef>
          </c:cat>
          <c:val>
            <c:numRef>
              <c:f>'1Q11'!$AY$263:$AY$266</c:f>
              <c:numCache>
                <c:formatCode>#,##0_);\(#,##0\)</c:formatCode>
                <c:ptCount val="4"/>
              </c:numCache>
            </c:numRef>
          </c:val>
        </c:ser>
        <c:ser>
          <c:idx val="1"/>
          <c:order val="1"/>
          <c:tx>
            <c:strRef>
              <c:f>'1Q11'!$AZ$262</c:f>
              <c:strCache>
                <c:ptCount val="1"/>
              </c:strCache>
            </c:strRef>
          </c:tx>
          <c:spPr>
            <a:pattFill prst="pct75">
              <a:fgClr>
                <a:srgbClr xmlns:mc="http://schemas.openxmlformats.org/markup-compatibility/2006" xmlns:a14="http://schemas.microsoft.com/office/drawing/2010/main" val="808080" mc:Ignorable="a14" a14:legacySpreadsheetColorIndex="23"/>
              </a:fgClr>
              <a:bgClr>
                <a:srgbClr xmlns:mc="http://schemas.openxmlformats.org/markup-compatibility/2006" xmlns:a14="http://schemas.microsoft.com/office/drawing/2010/main" val="FFFFFF" mc:Ignorable="a14" a14:legacySpreadsheetColorIndex="9"/>
              </a:bgClr>
            </a:pattFill>
            <a:ln w="25400">
              <a:noFill/>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'1Q11'!$AX$263:$AX$266</c:f>
              <c:numCache>
                <c:formatCode>#,##0_);\(#,##0\)</c:formatCode>
                <c:ptCount val="4"/>
              </c:numCache>
            </c:numRef>
          </c:cat>
          <c:val>
            <c:numRef>
              <c:f>'1Q11'!$AZ$263:$AZ$266</c:f>
              <c:numCache>
                <c:formatCode>#,##0_);\(#,##0\)</c:formatCode>
                <c:ptCount val="4"/>
              </c:numCache>
            </c:numRef>
          </c:val>
        </c:ser>
        <c:dLbls>
          <c:showLegendKey val="0"/>
          <c:showVal val="0"/>
          <c:showCatName val="0"/>
          <c:showSerName val="0"/>
          <c:showPercent val="0"/>
          <c:showBubbleSize val="0"/>
        </c:dLbls>
        <c:gapWidth val="150"/>
        <c:axId val="605243648"/>
        <c:axId val="605261824"/>
      </c:barChart>
      <c:catAx>
        <c:axId val="605243648"/>
        <c:scaling>
          <c:orientation val="minMax"/>
        </c:scaling>
        <c:delete val="0"/>
        <c:axPos val="b"/>
        <c:numFmt formatCode="#,##0_);\(#,##0\)" sourceLinked="1"/>
        <c:majorTickMark val="out"/>
        <c:minorTickMark val="none"/>
        <c:tickLblPos val="low"/>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05261824"/>
        <c:crosses val="autoZero"/>
        <c:auto val="1"/>
        <c:lblAlgn val="ctr"/>
        <c:lblOffset val="100"/>
        <c:tickLblSkip val="1"/>
        <c:tickMarkSkip val="1"/>
        <c:noMultiLvlLbl val="0"/>
      </c:catAx>
      <c:valAx>
        <c:axId val="605261824"/>
        <c:scaling>
          <c:orientation val="minMax"/>
          <c:min val="-0.2"/>
        </c:scaling>
        <c:delete val="0"/>
        <c:axPos val="l"/>
        <c:majorGridlines>
          <c:spPr>
            <a:ln w="3175">
              <a:solidFill>
                <a:srgbClr val="80808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 Growth (Sequential)</a:t>
                </a:r>
              </a:p>
            </c:rich>
          </c:tx>
          <c:layout>
            <c:manualLayout>
              <c:xMode val="edge"/>
              <c:yMode val="edge"/>
              <c:x val="2.1321961620469083E-2"/>
              <c:y val="0.2934134879846606"/>
            </c:manualLayout>
          </c:layout>
          <c:overlay val="0"/>
          <c:spPr>
            <a:noFill/>
            <a:ln w="25400">
              <a:noFill/>
            </a:ln>
          </c:spPr>
        </c:title>
        <c:numFmt formatCode="#,##0_);\(#,##0\)" sourceLinked="1"/>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605243648"/>
        <c:crosses val="autoZero"/>
        <c:crossBetween val="between"/>
        <c:majorUnit val="0.1"/>
        <c:minorUnit val="0.1"/>
      </c:valAx>
      <c:spPr>
        <a:noFill/>
        <a:ln w="25400">
          <a:noFill/>
        </a:ln>
      </c:spPr>
    </c:plotArea>
    <c:legend>
      <c:legendPos val="r"/>
      <c:layout>
        <c:manualLayout>
          <c:xMode val="edge"/>
          <c:yMode val="edge"/>
          <c:x val="0.67803905108876317"/>
          <c:y val="6.8862275449101798E-2"/>
          <c:w val="8.3155650319829411E-2"/>
          <c:h val="0.27844342810442108"/>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308426073131955"/>
          <c:y val="6.3927083170758348E-2"/>
          <c:w val="0.66454689984101745"/>
          <c:h val="0.82191964076689317"/>
        </c:manualLayout>
      </c:layout>
      <c:barChart>
        <c:barDir val="col"/>
        <c:grouping val="stacked"/>
        <c:varyColors val="0"/>
        <c:ser>
          <c:idx val="0"/>
          <c:order val="0"/>
          <c:tx>
            <c:v>Exisitng Hotels</c:v>
          </c:tx>
          <c:spPr>
            <a:solidFill>
              <a:srgbClr val="333333"/>
            </a:solidFill>
            <a:ln w="25400">
              <a:noFill/>
            </a:ln>
          </c:spPr>
          <c:invertIfNegative val="0"/>
          <c:cat>
            <c:numRef>
              <c:f>'Exhibits (3)'!$BK$111:$BP$111</c:f>
              <c:numCache>
                <c:formatCode>0_);\(0\)</c:formatCode>
                <c:ptCount val="6"/>
                <c:pt idx="0">
                  <c:v>2010</c:v>
                </c:pt>
                <c:pt idx="1">
                  <c:v>2011</c:v>
                </c:pt>
                <c:pt idx="2">
                  <c:v>2012</c:v>
                </c:pt>
                <c:pt idx="3">
                  <c:v>2013</c:v>
                </c:pt>
                <c:pt idx="4">
                  <c:v>2014</c:v>
                </c:pt>
                <c:pt idx="5">
                  <c:v>2015</c:v>
                </c:pt>
              </c:numCache>
            </c:numRef>
          </c:cat>
          <c:val>
            <c:numRef>
              <c:f>'Exhibits (3)'!$BK$114:$BP$114</c:f>
              <c:numCache>
                <c:formatCode>0_);\(0\)</c:formatCode>
                <c:ptCount val="6"/>
                <c:pt idx="0" formatCode="_(&quot;$&quot;* #,##0_);_(&quot;$&quot;* \(#,##0\);_(&quot;$&quot;* &quot;-&quot;??_);_(@_)">
                  <c:v>62.287232281863197</c:v>
                </c:pt>
                <c:pt idx="1">
                  <c:v>67.33120829804929</c:v>
                </c:pt>
                <c:pt idx="2">
                  <c:v>70.897308672583733</c:v>
                </c:pt>
                <c:pt idx="3">
                  <c:v>72.904616512447333</c:v>
                </c:pt>
                <c:pt idx="4">
                  <c:v>76.227524476166238</c:v>
                </c:pt>
                <c:pt idx="5">
                  <c:v>80.97596000849542</c:v>
                </c:pt>
              </c:numCache>
            </c:numRef>
          </c:val>
        </c:ser>
        <c:ser>
          <c:idx val="1"/>
          <c:order val="1"/>
          <c:tx>
            <c:v>Pipeline</c:v>
          </c:tx>
          <c:spPr>
            <a:solidFill>
              <a:srgbClr val="969696"/>
            </a:solidFill>
            <a:ln w="25400">
              <a:noFill/>
            </a:ln>
          </c:spPr>
          <c:invertIfNegative val="0"/>
          <c:cat>
            <c:numRef>
              <c:f>'Exhibits (3)'!$BK$111:$BP$111</c:f>
              <c:numCache>
                <c:formatCode>0_);\(0\)</c:formatCode>
                <c:ptCount val="6"/>
                <c:pt idx="0">
                  <c:v>2010</c:v>
                </c:pt>
                <c:pt idx="1">
                  <c:v>2011</c:v>
                </c:pt>
                <c:pt idx="2">
                  <c:v>2012</c:v>
                </c:pt>
                <c:pt idx="3">
                  <c:v>2013</c:v>
                </c:pt>
                <c:pt idx="4">
                  <c:v>2014</c:v>
                </c:pt>
                <c:pt idx="5">
                  <c:v>2015</c:v>
                </c:pt>
              </c:numCache>
            </c:numRef>
          </c:cat>
          <c:val>
            <c:numRef>
              <c:f>'Exhibits (3)'!$BK$119:$BP$119</c:f>
              <c:numCache>
                <c:formatCode>_("$"* #,##0_);_("$"* \(#,##0\);_("$"* "-"??_);_(@_)</c:formatCode>
                <c:ptCount val="6"/>
                <c:pt idx="1">
                  <c:v>6.8832865426477454</c:v>
                </c:pt>
                <c:pt idx="2" formatCode="0_);\(0\)">
                  <c:v>21.74354967175351</c:v>
                </c:pt>
                <c:pt idx="3" formatCode="0_);\(0\)">
                  <c:v>32.294586153807217</c:v>
                </c:pt>
                <c:pt idx="4" formatCode="0_);\(0\)">
                  <c:v>38.957534277608595</c:v>
                </c:pt>
                <c:pt idx="5" formatCode="0_);\(0\)">
                  <c:v>46.898673843996953</c:v>
                </c:pt>
              </c:numCache>
            </c:numRef>
          </c:val>
        </c:ser>
        <c:dLbls>
          <c:showLegendKey val="0"/>
          <c:showVal val="0"/>
          <c:showCatName val="0"/>
          <c:showSerName val="0"/>
          <c:showPercent val="0"/>
          <c:showBubbleSize val="0"/>
        </c:dLbls>
        <c:gapWidth val="150"/>
        <c:overlap val="100"/>
        <c:axId val="605885952"/>
        <c:axId val="605887488"/>
      </c:barChart>
      <c:catAx>
        <c:axId val="605885952"/>
        <c:scaling>
          <c:orientation val="minMax"/>
        </c:scaling>
        <c:delete val="0"/>
        <c:axPos val="b"/>
        <c:numFmt formatCode="0_);\(0\)" sourceLinked="1"/>
        <c:majorTickMark val="none"/>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605887488"/>
        <c:crosses val="autoZero"/>
        <c:auto val="1"/>
        <c:lblAlgn val="ctr"/>
        <c:lblOffset val="100"/>
        <c:tickLblSkip val="1"/>
        <c:tickMarkSkip val="1"/>
        <c:noMultiLvlLbl val="0"/>
      </c:catAx>
      <c:valAx>
        <c:axId val="605887488"/>
        <c:scaling>
          <c:orientation val="minMax"/>
        </c:scaling>
        <c:delete val="0"/>
        <c:axPos val="l"/>
        <c:majorGridlines>
          <c:spPr>
            <a:ln w="3175">
              <a:solidFill>
                <a:srgbClr val="C0C0C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 in millions</a:t>
                </a:r>
              </a:p>
            </c:rich>
          </c:tx>
          <c:layout>
            <c:manualLayout>
              <c:xMode val="edge"/>
              <c:yMode val="edge"/>
              <c:x val="1.2718600953895072E-2"/>
              <c:y val="0.39497812773403318"/>
            </c:manualLayout>
          </c:layout>
          <c:overlay val="0"/>
          <c:spPr>
            <a:noFill/>
            <a:ln w="25400">
              <a:noFill/>
            </a:ln>
          </c:spPr>
        </c:title>
        <c:numFmt formatCode="\$#,##0" sourceLinked="0"/>
        <c:majorTickMark val="out"/>
        <c:minorTickMark val="none"/>
        <c:tickLblPos val="nextTo"/>
        <c:spPr>
          <a:ln w="9525">
            <a:noFill/>
          </a:ln>
        </c:spPr>
        <c:txPr>
          <a:bodyPr rot="0" vert="horz"/>
          <a:lstStyle/>
          <a:p>
            <a:pPr>
              <a:defRPr sz="1175" b="0" i="0" u="none" strike="noStrike" baseline="0">
                <a:solidFill>
                  <a:srgbClr val="000000"/>
                </a:solidFill>
                <a:latin typeface="Arial"/>
                <a:ea typeface="Arial"/>
                <a:cs typeface="Arial"/>
              </a:defRPr>
            </a:pPr>
            <a:endParaRPr lang="en-US"/>
          </a:p>
        </c:txPr>
        <c:crossAx val="605885952"/>
        <c:crosses val="autoZero"/>
        <c:crossBetween val="between"/>
      </c:valAx>
      <c:spPr>
        <a:noFill/>
        <a:ln w="25400">
          <a:noFill/>
        </a:ln>
      </c:spPr>
    </c:plotArea>
    <c:legend>
      <c:legendPos val="b"/>
      <c:layout>
        <c:manualLayout>
          <c:xMode val="edge"/>
          <c:yMode val="edge"/>
          <c:x val="0.15262321144674085"/>
          <c:y val="9.5890650654969503E-2"/>
          <c:w val="0.22416534181240061"/>
          <c:h val="0.11187238581478683"/>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userShapes r:id="rId1"/>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852146263910969"/>
          <c:y val="6.4220255407216945E-2"/>
          <c:w val="0.80763116057233708"/>
          <c:h val="0.82110183699227368"/>
        </c:manualLayout>
      </c:layout>
      <c:barChart>
        <c:barDir val="col"/>
        <c:grouping val="stacked"/>
        <c:varyColors val="0"/>
        <c:ser>
          <c:idx val="0"/>
          <c:order val="0"/>
          <c:tx>
            <c:v>MAR EBITDA, ex BIC</c:v>
          </c:tx>
          <c:spPr>
            <a:solidFill>
              <a:srgbClr val="3366FF"/>
            </a:solidFill>
            <a:ln w="25400">
              <a:noFill/>
            </a:ln>
          </c:spPr>
          <c:invertIfNegative val="0"/>
          <c:dLbls>
            <c:dLbl>
              <c:idx val="0"/>
              <c:tx>
                <c:rich>
                  <a:bodyPr/>
                  <a:lstStyle/>
                  <a:p>
                    <a:r>
                      <a:t>$916 </a:t>
                    </a:r>
                  </a:p>
                </c:rich>
              </c:tx>
              <c:showLegendKey val="0"/>
              <c:showVal val="0"/>
              <c:showCatName val="0"/>
              <c:showSerName val="0"/>
              <c:showPercent val="0"/>
              <c:showBubbleSize val="0"/>
            </c:dLbl>
            <c:spPr>
              <a:noFill/>
              <a:ln w="25400">
                <a:noFill/>
              </a:ln>
            </c:spPr>
            <c:txPr>
              <a:bodyPr/>
              <a:lstStyle/>
              <a:p>
                <a:pPr>
                  <a:defRPr sz="1200" b="1"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dLbls>
          <c:cat>
            <c:numRef>
              <c:f>'Exhibits (3)'!$BK$111:$BP$111</c:f>
              <c:numCache>
                <c:formatCode>0_);\(0\)</c:formatCode>
                <c:ptCount val="6"/>
                <c:pt idx="0">
                  <c:v>2010</c:v>
                </c:pt>
                <c:pt idx="1">
                  <c:v>2011</c:v>
                </c:pt>
                <c:pt idx="2">
                  <c:v>2012</c:v>
                </c:pt>
                <c:pt idx="3">
                  <c:v>2013</c:v>
                </c:pt>
                <c:pt idx="4">
                  <c:v>2014</c:v>
                </c:pt>
                <c:pt idx="5">
                  <c:v>2015</c:v>
                </c:pt>
              </c:numCache>
            </c:numRef>
          </c:cat>
          <c:val>
            <c:numRef>
              <c:f>'Exhibits (3)'!$BK$126:$BP$126</c:f>
              <c:numCache>
                <c:formatCode>#,##0_);\(#,##0\)</c:formatCode>
                <c:ptCount val="6"/>
                <c:pt idx="0">
                  <c:v>822.71276771813677</c:v>
                </c:pt>
                <c:pt idx="1">
                  <c:v>917.78550515930294</c:v>
                </c:pt>
                <c:pt idx="2">
                  <c:v>1059.2191416556627</c:v>
                </c:pt>
                <c:pt idx="3">
                  <c:v>1042.8007973337455</c:v>
                </c:pt>
                <c:pt idx="4">
                  <c:v>1223.8149412462251</c:v>
                </c:pt>
                <c:pt idx="5">
                  <c:v>1424.1253661475075</c:v>
                </c:pt>
              </c:numCache>
            </c:numRef>
          </c:val>
        </c:ser>
        <c:ser>
          <c:idx val="1"/>
          <c:order val="1"/>
          <c:tx>
            <c:v>BIC EBITDA</c:v>
          </c:tx>
          <c:spPr>
            <a:solidFill>
              <a:srgbClr val="333333"/>
            </a:solidFill>
            <a:ln w="25400">
              <a:noFill/>
            </a:ln>
          </c:spPr>
          <c:invertIfNegative val="0"/>
          <c:dLbls>
            <c:spPr>
              <a:noFill/>
              <a:ln w="25400">
                <a:noFill/>
              </a:ln>
            </c:spPr>
            <c:txPr>
              <a:bodyPr/>
              <a:lstStyle/>
              <a:p>
                <a:pPr>
                  <a:defRPr sz="1200" b="1"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dLbls>
          <c:cat>
            <c:numRef>
              <c:f>'Exhibits (3)'!$BK$111:$BP$111</c:f>
              <c:numCache>
                <c:formatCode>0_);\(0\)</c:formatCode>
                <c:ptCount val="6"/>
                <c:pt idx="0">
                  <c:v>2010</c:v>
                </c:pt>
                <c:pt idx="1">
                  <c:v>2011</c:v>
                </c:pt>
                <c:pt idx="2">
                  <c:v>2012</c:v>
                </c:pt>
                <c:pt idx="3">
                  <c:v>2013</c:v>
                </c:pt>
                <c:pt idx="4">
                  <c:v>2014</c:v>
                </c:pt>
                <c:pt idx="5">
                  <c:v>2015</c:v>
                </c:pt>
              </c:numCache>
            </c:numRef>
          </c:cat>
          <c:val>
            <c:numRef>
              <c:f>'Exhibits (3)'!$BK$121:$BP$121</c:f>
              <c:numCache>
                <c:formatCode>#,##0_);\(#,##0\)</c:formatCode>
                <c:ptCount val="6"/>
                <c:pt idx="0" formatCode="_(&quot;$&quot;* #,##0_);_(&quot;$&quot;* \(#,##0\);_(&quot;$&quot;* &quot;-&quot;??_);_(@_)">
                  <c:v>62.287232281863197</c:v>
                </c:pt>
                <c:pt idx="1">
                  <c:v>74.214494840697029</c:v>
                </c:pt>
                <c:pt idx="2">
                  <c:v>92.640858344337246</c:v>
                </c:pt>
                <c:pt idx="3">
                  <c:v>105.19920266625455</c:v>
                </c:pt>
                <c:pt idx="4">
                  <c:v>115.18505875377483</c:v>
                </c:pt>
                <c:pt idx="5">
                  <c:v>127.87463385249237</c:v>
                </c:pt>
              </c:numCache>
            </c:numRef>
          </c:val>
        </c:ser>
        <c:dLbls>
          <c:showLegendKey val="0"/>
          <c:showVal val="0"/>
          <c:showCatName val="0"/>
          <c:showSerName val="0"/>
          <c:showPercent val="0"/>
          <c:showBubbleSize val="0"/>
        </c:dLbls>
        <c:gapWidth val="70"/>
        <c:overlap val="100"/>
        <c:axId val="606374144"/>
        <c:axId val="606412800"/>
      </c:barChart>
      <c:catAx>
        <c:axId val="606374144"/>
        <c:scaling>
          <c:orientation val="minMax"/>
        </c:scaling>
        <c:delete val="0"/>
        <c:axPos val="b"/>
        <c:numFmt formatCode="0_);\(0\)" sourceLinked="1"/>
        <c:majorTickMark val="none"/>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606412800"/>
        <c:crosses val="autoZero"/>
        <c:auto val="1"/>
        <c:lblAlgn val="ctr"/>
        <c:lblOffset val="100"/>
        <c:tickLblSkip val="1"/>
        <c:tickMarkSkip val="1"/>
        <c:noMultiLvlLbl val="0"/>
      </c:catAx>
      <c:valAx>
        <c:axId val="606412800"/>
        <c:scaling>
          <c:orientation val="minMax"/>
        </c:scaling>
        <c:delete val="0"/>
        <c:axPos val="l"/>
        <c:majorGridlines>
          <c:spPr>
            <a:ln w="3175">
              <a:solidFill>
                <a:srgbClr val="C0C0C0"/>
              </a:solidFill>
              <a:prstDash val="solid"/>
            </a:ln>
          </c:spPr>
        </c:majorGridlines>
        <c:title>
          <c:tx>
            <c:rich>
              <a:bodyPr/>
              <a:lstStyle/>
              <a:p>
                <a:pPr>
                  <a:defRPr sz="1200" b="0" i="0" u="none" strike="noStrike" baseline="0">
                    <a:solidFill>
                      <a:srgbClr val="000000"/>
                    </a:solidFill>
                    <a:latin typeface="Arial"/>
                    <a:ea typeface="Arial"/>
                    <a:cs typeface="Arial"/>
                  </a:defRPr>
                </a:pPr>
                <a:r>
                  <a:rPr lang="en-US"/>
                  <a:t>$ in millions</a:t>
                </a:r>
              </a:p>
            </c:rich>
          </c:tx>
          <c:layout>
            <c:manualLayout>
              <c:xMode val="edge"/>
              <c:yMode val="edge"/>
              <c:x val="7.9491255961844191E-3"/>
              <c:y val="0.37844084856365429"/>
            </c:manualLayout>
          </c:layout>
          <c:overlay val="0"/>
          <c:spPr>
            <a:noFill/>
            <a:ln w="25400">
              <a:noFill/>
            </a:ln>
          </c:spPr>
        </c:title>
        <c:numFmt formatCode="\$#,##0_);\(\$#,##0\)" sourceLinked="0"/>
        <c:majorTickMark val="out"/>
        <c:minorTickMark val="none"/>
        <c:tickLblPos val="nextTo"/>
        <c:spPr>
          <a:ln w="9525">
            <a:noFill/>
          </a:ln>
        </c:spPr>
        <c:txPr>
          <a:bodyPr rot="0" vert="horz"/>
          <a:lstStyle/>
          <a:p>
            <a:pPr>
              <a:defRPr sz="1200" b="0" i="0" u="none" strike="noStrike" baseline="0">
                <a:solidFill>
                  <a:srgbClr val="000000"/>
                </a:solidFill>
                <a:latin typeface="Arial"/>
                <a:ea typeface="Arial"/>
                <a:cs typeface="Arial"/>
              </a:defRPr>
            </a:pPr>
            <a:endParaRPr lang="en-US"/>
          </a:p>
        </c:txPr>
        <c:crossAx val="606374144"/>
        <c:crosses val="autoZero"/>
        <c:crossBetween val="between"/>
      </c:valAx>
      <c:spPr>
        <a:noFill/>
        <a:ln w="25400">
          <a:noFill/>
        </a:ln>
      </c:spPr>
    </c:plotArea>
    <c:legend>
      <c:legendPos val="b"/>
      <c:layout>
        <c:manualLayout>
          <c:xMode val="edge"/>
          <c:yMode val="edge"/>
          <c:x val="0.20826709062003179"/>
          <c:y val="9.1743119266055051E-2"/>
          <c:w val="0.31319554848966613"/>
          <c:h val="0.11238556189650606"/>
        </c:manualLayout>
      </c:layout>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96341930575812"/>
          <c:y val="7.6271396846853065E-2"/>
          <c:w val="0.83425564401984786"/>
          <c:h val="0.72034097022027888"/>
        </c:manualLayout>
      </c:layout>
      <c:barChart>
        <c:barDir val="col"/>
        <c:grouping val="clustered"/>
        <c:varyColors val="0"/>
        <c:ser>
          <c:idx val="0"/>
          <c:order val="0"/>
          <c:spPr>
            <a:solidFill>
              <a:srgbClr val="0000FF"/>
            </a:solidFill>
            <a:ln w="25400">
              <a:noFill/>
            </a:ln>
          </c:spPr>
          <c:invertIfNegative val="0"/>
          <c:cat>
            <c:strRef>
              <c:f>'Exhibits (3)'!$FI$369:$GW$369</c:f>
              <c:strCache>
                <c:ptCount val="41"/>
                <c:pt idx="0">
                  <c:v>4Q01</c:v>
                </c:pt>
                <c:pt idx="1">
                  <c:v>1Q02</c:v>
                </c:pt>
                <c:pt idx="2">
                  <c:v>2Q02</c:v>
                </c:pt>
                <c:pt idx="3">
                  <c:v>3Q02</c:v>
                </c:pt>
                <c:pt idx="4">
                  <c:v>4Q02</c:v>
                </c:pt>
                <c:pt idx="5">
                  <c:v>1Q03</c:v>
                </c:pt>
                <c:pt idx="6">
                  <c:v>2Q03</c:v>
                </c:pt>
                <c:pt idx="7">
                  <c:v>3Q03</c:v>
                </c:pt>
                <c:pt idx="8">
                  <c:v>4Q03</c:v>
                </c:pt>
                <c:pt idx="9">
                  <c:v>1Q04</c:v>
                </c:pt>
                <c:pt idx="10">
                  <c:v>2Q04</c:v>
                </c:pt>
                <c:pt idx="11">
                  <c:v>3Q04</c:v>
                </c:pt>
                <c:pt idx="12">
                  <c:v>4Q04</c:v>
                </c:pt>
                <c:pt idx="13">
                  <c:v>1Q05</c:v>
                </c:pt>
                <c:pt idx="14">
                  <c:v>2Q05</c:v>
                </c:pt>
                <c:pt idx="15">
                  <c:v>3Q05</c:v>
                </c:pt>
                <c:pt idx="16">
                  <c:v>4Q05</c:v>
                </c:pt>
                <c:pt idx="17">
                  <c:v>1Q06</c:v>
                </c:pt>
                <c:pt idx="18">
                  <c:v>2Q06</c:v>
                </c:pt>
                <c:pt idx="19">
                  <c:v>3Q06</c:v>
                </c:pt>
                <c:pt idx="20">
                  <c:v>4Q06</c:v>
                </c:pt>
                <c:pt idx="21">
                  <c:v>1Q07</c:v>
                </c:pt>
                <c:pt idx="22">
                  <c:v>2Q07</c:v>
                </c:pt>
                <c:pt idx="23">
                  <c:v>3Q07</c:v>
                </c:pt>
                <c:pt idx="24">
                  <c:v>4Q07</c:v>
                </c:pt>
                <c:pt idx="25">
                  <c:v>1Q08</c:v>
                </c:pt>
                <c:pt idx="26">
                  <c:v>2Q08</c:v>
                </c:pt>
                <c:pt idx="27">
                  <c:v>3Q08</c:v>
                </c:pt>
                <c:pt idx="28">
                  <c:v>4Q08</c:v>
                </c:pt>
                <c:pt idx="29">
                  <c:v>1Q09</c:v>
                </c:pt>
                <c:pt idx="30">
                  <c:v>2Q09</c:v>
                </c:pt>
                <c:pt idx="31">
                  <c:v>3Q09</c:v>
                </c:pt>
                <c:pt idx="32">
                  <c:v>4Q09</c:v>
                </c:pt>
                <c:pt idx="33">
                  <c:v>1Q10</c:v>
                </c:pt>
                <c:pt idx="34">
                  <c:v>2Q10</c:v>
                </c:pt>
                <c:pt idx="35">
                  <c:v>3Q10</c:v>
                </c:pt>
                <c:pt idx="36">
                  <c:v>4Q10</c:v>
                </c:pt>
                <c:pt idx="37">
                  <c:v>1Q11</c:v>
                </c:pt>
                <c:pt idx="38">
                  <c:v>2Q11E</c:v>
                </c:pt>
                <c:pt idx="39">
                  <c:v>3Q11E</c:v>
                </c:pt>
                <c:pt idx="40">
                  <c:v>4Q11E</c:v>
                </c:pt>
              </c:strCache>
            </c:strRef>
          </c:cat>
          <c:val>
            <c:numRef>
              <c:f>'Exhibits (3)'!$FI$389:$GW$389</c:f>
              <c:numCache>
                <c:formatCode>#,##0_);\(#,##0\)</c:formatCode>
                <c:ptCount val="41"/>
                <c:pt idx="0">
                  <c:v>3838.3956667833099</c:v>
                </c:pt>
                <c:pt idx="1">
                  <c:v>3312.5409122708375</c:v>
                </c:pt>
                <c:pt idx="2">
                  <c:v>3000.4065666143902</c:v>
                </c:pt>
                <c:pt idx="3">
                  <c:v>2735.4024822240626</c:v>
                </c:pt>
                <c:pt idx="4">
                  <c:v>2910.5907925560541</c:v>
                </c:pt>
                <c:pt idx="5">
                  <c:v>2819.2338838013129</c:v>
                </c:pt>
                <c:pt idx="6">
                  <c:v>2310.7674132964448</c:v>
                </c:pt>
                <c:pt idx="7">
                  <c:v>2151.6634288208825</c:v>
                </c:pt>
                <c:pt idx="8">
                  <c:v>1893.9919533422035</c:v>
                </c:pt>
                <c:pt idx="9">
                  <c:v>1958.1560174553049</c:v>
                </c:pt>
                <c:pt idx="10">
                  <c:v>2091.1450707672802</c:v>
                </c:pt>
                <c:pt idx="11">
                  <c:v>2136.5580499700277</c:v>
                </c:pt>
                <c:pt idx="12">
                  <c:v>2369.1739233655071</c:v>
                </c:pt>
                <c:pt idx="13">
                  <c:v>2660.9996626320599</c:v>
                </c:pt>
                <c:pt idx="14">
                  <c:v>2909.299042304322</c:v>
                </c:pt>
                <c:pt idx="15">
                  <c:v>3062.392452569125</c:v>
                </c:pt>
                <c:pt idx="16">
                  <c:v>3275.8694834200946</c:v>
                </c:pt>
                <c:pt idx="17">
                  <c:v>3417.6722824554518</c:v>
                </c:pt>
                <c:pt idx="18">
                  <c:v>3862.7967753677767</c:v>
                </c:pt>
                <c:pt idx="19">
                  <c:v>4182.7728767044355</c:v>
                </c:pt>
                <c:pt idx="20">
                  <c:v>4513.6114804706376</c:v>
                </c:pt>
                <c:pt idx="21">
                  <c:v>4707.9027570381386</c:v>
                </c:pt>
                <c:pt idx="22">
                  <c:v>5375.9476934243266</c:v>
                </c:pt>
                <c:pt idx="23">
                  <c:v>5486.938638470554</c:v>
                </c:pt>
                <c:pt idx="24">
                  <c:v>5846.084039551557</c:v>
                </c:pt>
                <c:pt idx="25">
                  <c:v>5890.757641738659</c:v>
                </c:pt>
                <c:pt idx="26">
                  <c:v>5657.0872180971446</c:v>
                </c:pt>
                <c:pt idx="27">
                  <c:v>5586.9108706154157</c:v>
                </c:pt>
                <c:pt idx="28">
                  <c:v>4987.7313352334768</c:v>
                </c:pt>
                <c:pt idx="29">
                  <c:v>4417.6597303919698</c:v>
                </c:pt>
                <c:pt idx="30">
                  <c:v>3208.1591254295513</c:v>
                </c:pt>
                <c:pt idx="31">
                  <c:v>2592.6219241849221</c:v>
                </c:pt>
                <c:pt idx="32">
                  <c:v>2307.1060641671547</c:v>
                </c:pt>
                <c:pt idx="33">
                  <c:v>2240.2229100114928</c:v>
                </c:pt>
                <c:pt idx="34">
                  <c:v>2405.7818542741043</c:v>
                </c:pt>
                <c:pt idx="35">
                  <c:v>2463.5716570604027</c:v>
                </c:pt>
                <c:pt idx="36">
                  <c:v>2645.4499224444826</c:v>
                </c:pt>
                <c:pt idx="37">
                  <c:v>2664.075576194894</c:v>
                </c:pt>
                <c:pt idx="38">
                  <c:v>2712.3401057027168</c:v>
                </c:pt>
                <c:pt idx="39">
                  <c:v>2834.1303347945645</c:v>
                </c:pt>
                <c:pt idx="40">
                  <c:v>2806.1275977572677</c:v>
                </c:pt>
              </c:numCache>
            </c:numRef>
          </c:val>
        </c:ser>
        <c:dLbls>
          <c:showLegendKey val="0"/>
          <c:showVal val="0"/>
          <c:showCatName val="0"/>
          <c:showSerName val="0"/>
          <c:showPercent val="0"/>
          <c:showBubbleSize val="0"/>
        </c:dLbls>
        <c:gapWidth val="100"/>
        <c:axId val="606458240"/>
        <c:axId val="606459776"/>
      </c:barChart>
      <c:catAx>
        <c:axId val="606458240"/>
        <c:scaling>
          <c:orientation val="minMax"/>
        </c:scaling>
        <c:delete val="0"/>
        <c:axPos val="b"/>
        <c:numFmt formatCode="#,##0_);\(#,##0\)" sourceLinked="1"/>
        <c:majorTickMark val="out"/>
        <c:minorTickMark val="none"/>
        <c:tickLblPos val="nextTo"/>
        <c:spPr>
          <a:ln w="3175">
            <a:solidFill>
              <a:srgbClr val="000000"/>
            </a:solidFill>
            <a:prstDash val="solid"/>
          </a:ln>
        </c:spPr>
        <c:txPr>
          <a:bodyPr rot="-2700000" vert="horz"/>
          <a:lstStyle/>
          <a:p>
            <a:pPr>
              <a:defRPr sz="1025" b="0" i="0" u="none" strike="noStrike" baseline="0">
                <a:solidFill>
                  <a:srgbClr val="000000"/>
                </a:solidFill>
                <a:latin typeface="Arial"/>
                <a:ea typeface="Arial"/>
                <a:cs typeface="Arial"/>
              </a:defRPr>
            </a:pPr>
            <a:endParaRPr lang="en-US"/>
          </a:p>
        </c:txPr>
        <c:crossAx val="606459776"/>
        <c:crosses val="autoZero"/>
        <c:auto val="1"/>
        <c:lblAlgn val="ctr"/>
        <c:lblOffset val="100"/>
        <c:tickLblSkip val="3"/>
        <c:tickMarkSkip val="1"/>
        <c:noMultiLvlLbl val="0"/>
      </c:catAx>
      <c:valAx>
        <c:axId val="606459776"/>
        <c:scaling>
          <c:orientation val="minMax"/>
        </c:scaling>
        <c:delete val="0"/>
        <c:axPos val="l"/>
        <c:majorGridlines>
          <c:spPr>
            <a:ln w="3175">
              <a:solidFill>
                <a:srgbClr val="C0C0C0"/>
              </a:solidFill>
              <a:prstDash val="solid"/>
            </a:ln>
          </c:spPr>
        </c:majorGridlines>
        <c:numFmt formatCode="\$#,##0_);\(\$#,##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606458240"/>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699130340094665"/>
          <c:y val="7.9545564888090503E-2"/>
          <c:w val="0.79646086530425997"/>
          <c:h val="0.71875099702453205"/>
        </c:manualLayout>
      </c:layout>
      <c:barChart>
        <c:barDir val="col"/>
        <c:grouping val="clustered"/>
        <c:varyColors val="0"/>
        <c:ser>
          <c:idx val="0"/>
          <c:order val="0"/>
          <c:spPr>
            <a:solidFill>
              <a:srgbClr val="0000FF"/>
            </a:solidFill>
            <a:ln w="25400">
              <a:noFill/>
            </a:ln>
          </c:spPr>
          <c:invertIfNegative val="0"/>
          <c:dPt>
            <c:idx val="13"/>
            <c:invertIfNegative val="0"/>
            <c:bubble3D val="0"/>
            <c:spPr>
              <a:solidFill>
                <a:srgbClr val="808080"/>
              </a:solidFill>
              <a:ln w="25400">
                <a:noFill/>
              </a:ln>
            </c:spPr>
          </c:dPt>
          <c:dPt>
            <c:idx val="14"/>
            <c:invertIfNegative val="0"/>
            <c:bubble3D val="0"/>
            <c:spPr>
              <a:solidFill>
                <a:srgbClr val="808080"/>
              </a:solidFill>
              <a:ln w="25400">
                <a:noFill/>
              </a:ln>
            </c:spPr>
          </c:dPt>
          <c:dPt>
            <c:idx val="15"/>
            <c:invertIfNegative val="0"/>
            <c:bubble3D val="0"/>
            <c:spPr>
              <a:solidFill>
                <a:srgbClr val="808080"/>
              </a:solidFill>
              <a:ln w="25400">
                <a:noFill/>
              </a:ln>
            </c:spPr>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 (3)'!$GH$369:$GX$369</c:f>
              <c:strCache>
                <c:ptCount val="17"/>
                <c:pt idx="0">
                  <c:v>1Q08</c:v>
                </c:pt>
                <c:pt idx="1">
                  <c:v>2Q08</c:v>
                </c:pt>
                <c:pt idx="2">
                  <c:v>3Q08</c:v>
                </c:pt>
                <c:pt idx="3">
                  <c:v>4Q08</c:v>
                </c:pt>
                <c:pt idx="4">
                  <c:v>1Q09</c:v>
                </c:pt>
                <c:pt idx="5">
                  <c:v>2Q09</c:v>
                </c:pt>
                <c:pt idx="6">
                  <c:v>3Q09</c:v>
                </c:pt>
                <c:pt idx="7">
                  <c:v>4Q09</c:v>
                </c:pt>
                <c:pt idx="8">
                  <c:v>1Q10</c:v>
                </c:pt>
                <c:pt idx="9">
                  <c:v>2Q10</c:v>
                </c:pt>
                <c:pt idx="10">
                  <c:v>3Q10</c:v>
                </c:pt>
                <c:pt idx="11">
                  <c:v>4Q10</c:v>
                </c:pt>
                <c:pt idx="12">
                  <c:v>1Q11</c:v>
                </c:pt>
                <c:pt idx="13">
                  <c:v>2Q11E</c:v>
                </c:pt>
                <c:pt idx="14">
                  <c:v>3Q11E</c:v>
                </c:pt>
                <c:pt idx="15">
                  <c:v>4Q11E</c:v>
                </c:pt>
                <c:pt idx="16">
                  <c:v>2012E</c:v>
                </c:pt>
              </c:strCache>
            </c:strRef>
          </c:cat>
          <c:val>
            <c:numRef>
              <c:f>'Exhibits (3)'!$GH$390:$GX$390</c:f>
              <c:numCache>
                <c:formatCode>0%</c:formatCode>
                <c:ptCount val="17"/>
                <c:pt idx="0">
                  <c:v>1</c:v>
                </c:pt>
                <c:pt idx="1">
                  <c:v>0.960332704576767</c:v>
                </c:pt>
                <c:pt idx="2">
                  <c:v>0.94841974672827267</c:v>
                </c:pt>
                <c:pt idx="3">
                  <c:v>0.84670455628545371</c:v>
                </c:pt>
                <c:pt idx="4">
                  <c:v>0.74993065392656288</c:v>
                </c:pt>
                <c:pt idx="5">
                  <c:v>0.5446089145984051</c:v>
                </c:pt>
                <c:pt idx="6">
                  <c:v>0.44011688849920311</c:v>
                </c:pt>
                <c:pt idx="7">
                  <c:v>0.39164844396589565</c:v>
                </c:pt>
                <c:pt idx="8">
                  <c:v>0.38029453022112286</c:v>
                </c:pt>
                <c:pt idx="9">
                  <c:v>0.40839939454104529</c:v>
                </c:pt>
                <c:pt idx="10">
                  <c:v>0.41820964413896322</c:v>
                </c:pt>
                <c:pt idx="11">
                  <c:v>0.44908483480975075</c:v>
                </c:pt>
                <c:pt idx="12">
                  <c:v>0.45224667830818976</c:v>
                </c:pt>
                <c:pt idx="13">
                  <c:v>0.460439941797057</c:v>
                </c:pt>
                <c:pt idx="14">
                  <c:v>0.4811147406088277</c:v>
                </c:pt>
                <c:pt idx="15">
                  <c:v>0.47636106735653078</c:v>
                </c:pt>
                <c:pt idx="16">
                  <c:v>0.61157889172757818</c:v>
                </c:pt>
              </c:numCache>
            </c:numRef>
          </c:val>
        </c:ser>
        <c:dLbls>
          <c:showLegendKey val="0"/>
          <c:showVal val="0"/>
          <c:showCatName val="0"/>
          <c:showSerName val="0"/>
          <c:showPercent val="0"/>
          <c:showBubbleSize val="0"/>
        </c:dLbls>
        <c:gapWidth val="100"/>
        <c:axId val="607005312"/>
        <c:axId val="607015296"/>
      </c:barChart>
      <c:catAx>
        <c:axId val="607005312"/>
        <c:scaling>
          <c:orientation val="minMax"/>
        </c:scaling>
        <c:delete val="0"/>
        <c:axPos val="b"/>
        <c:numFmt formatCode="#,##0_);\(#,##0\)" sourceLinked="1"/>
        <c:majorTickMark val="none"/>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en-US"/>
          </a:p>
        </c:txPr>
        <c:crossAx val="607015296"/>
        <c:crosses val="autoZero"/>
        <c:auto val="1"/>
        <c:lblAlgn val="ctr"/>
        <c:lblOffset val="100"/>
        <c:tickLblSkip val="1"/>
        <c:tickMarkSkip val="1"/>
        <c:noMultiLvlLbl val="0"/>
      </c:catAx>
      <c:valAx>
        <c:axId val="607015296"/>
        <c:scaling>
          <c:orientation val="minMax"/>
          <c:max val="1"/>
          <c:min val="0.25"/>
        </c:scaling>
        <c:delete val="0"/>
        <c:axPos val="l"/>
        <c:majorGridlines>
          <c:spPr>
            <a:ln w="3175">
              <a:solidFill>
                <a:srgbClr val="80808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LTM Incentive Fees per Room (as % of Peak)</a:t>
                </a:r>
              </a:p>
            </c:rich>
          </c:tx>
          <c:layout>
            <c:manualLayout>
              <c:xMode val="edge"/>
              <c:yMode val="edge"/>
              <c:x val="8.8495575221238937E-3"/>
              <c:y val="1.4204545454545454E-2"/>
            </c:manualLayout>
          </c:layout>
          <c:overlay val="0"/>
          <c:spPr>
            <a:noFill/>
            <a:ln w="25400">
              <a:noFill/>
            </a:ln>
          </c:spPr>
        </c:title>
        <c:numFmt formatCode="0%" sourceLinked="1"/>
        <c:majorTickMark val="out"/>
        <c:minorTickMark val="none"/>
        <c:tickLblPos val="nextTo"/>
        <c:spPr>
          <a:ln w="9525">
            <a:noFill/>
          </a:ln>
        </c:spPr>
        <c:txPr>
          <a:bodyPr rot="0" vert="horz"/>
          <a:lstStyle/>
          <a:p>
            <a:pPr>
              <a:defRPr sz="1025" b="0" i="0" u="none" strike="noStrike" baseline="0">
                <a:solidFill>
                  <a:srgbClr val="000000"/>
                </a:solidFill>
                <a:latin typeface="Arial"/>
                <a:ea typeface="Arial"/>
                <a:cs typeface="Arial"/>
              </a:defRPr>
            </a:pPr>
            <a:endParaRPr lang="en-US"/>
          </a:p>
        </c:txPr>
        <c:crossAx val="607005312"/>
        <c:crosses val="autoZero"/>
        <c:crossBetween val="between"/>
        <c:majorUnit val="0.25"/>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356503653186104"/>
          <c:y val="7.8947593851636313E-2"/>
          <c:w val="0.81901352816992556"/>
          <c:h val="0.71930029953713093"/>
        </c:manualLayout>
      </c:layout>
      <c:barChart>
        <c:barDir val="col"/>
        <c:grouping val="clustered"/>
        <c:varyColors val="0"/>
        <c:ser>
          <c:idx val="0"/>
          <c:order val="0"/>
          <c:spPr>
            <a:solidFill>
              <a:srgbClr val="0000FF"/>
            </a:solidFill>
            <a:ln w="25400">
              <a:noFill/>
            </a:ln>
          </c:spPr>
          <c:invertIfNegative val="0"/>
          <c:cat>
            <c:strRef>
              <c:f>'Exhibits (3)'!$GC$369:$GW$369</c:f>
              <c:strCache>
                <c:ptCount val="21"/>
                <c:pt idx="0">
                  <c:v>4Q06</c:v>
                </c:pt>
                <c:pt idx="1">
                  <c:v>1Q07</c:v>
                </c:pt>
                <c:pt idx="2">
                  <c:v>2Q07</c:v>
                </c:pt>
                <c:pt idx="3">
                  <c:v>3Q07</c:v>
                </c:pt>
                <c:pt idx="4">
                  <c:v>4Q07</c:v>
                </c:pt>
                <c:pt idx="5">
                  <c:v>1Q08</c:v>
                </c:pt>
                <c:pt idx="6">
                  <c:v>2Q08</c:v>
                </c:pt>
                <c:pt idx="7">
                  <c:v>3Q08</c:v>
                </c:pt>
                <c:pt idx="8">
                  <c:v>4Q08</c:v>
                </c:pt>
                <c:pt idx="9">
                  <c:v>1Q09</c:v>
                </c:pt>
                <c:pt idx="10">
                  <c:v>2Q09</c:v>
                </c:pt>
                <c:pt idx="11">
                  <c:v>3Q09</c:v>
                </c:pt>
                <c:pt idx="12">
                  <c:v>4Q09</c:v>
                </c:pt>
                <c:pt idx="13">
                  <c:v>1Q10</c:v>
                </c:pt>
                <c:pt idx="14">
                  <c:v>2Q10</c:v>
                </c:pt>
                <c:pt idx="15">
                  <c:v>3Q10</c:v>
                </c:pt>
                <c:pt idx="16">
                  <c:v>4Q10</c:v>
                </c:pt>
                <c:pt idx="17">
                  <c:v>1Q11</c:v>
                </c:pt>
                <c:pt idx="18">
                  <c:v>2Q11E</c:v>
                </c:pt>
                <c:pt idx="19">
                  <c:v>3Q11E</c:v>
                </c:pt>
                <c:pt idx="20">
                  <c:v>4Q11E</c:v>
                </c:pt>
              </c:strCache>
            </c:strRef>
          </c:cat>
          <c:val>
            <c:numRef>
              <c:f>'Exhibits (3)'!$GC$378:$GW$378</c:f>
              <c:numCache>
                <c:formatCode>#,##0_);\(#,##0\)</c:formatCode>
                <c:ptCount val="21"/>
                <c:pt idx="0">
                  <c:v>281</c:v>
                </c:pt>
                <c:pt idx="1">
                  <c:v>293</c:v>
                </c:pt>
                <c:pt idx="2">
                  <c:v>332</c:v>
                </c:pt>
                <c:pt idx="3">
                  <c:v>339</c:v>
                </c:pt>
                <c:pt idx="4">
                  <c:v>369</c:v>
                </c:pt>
                <c:pt idx="5">
                  <c:v>372</c:v>
                </c:pt>
                <c:pt idx="6">
                  <c:v>359</c:v>
                </c:pt>
                <c:pt idx="7">
                  <c:v>355</c:v>
                </c:pt>
                <c:pt idx="8">
                  <c:v>311</c:v>
                </c:pt>
                <c:pt idx="9">
                  <c:v>280</c:v>
                </c:pt>
                <c:pt idx="10">
                  <c:v>212</c:v>
                </c:pt>
                <c:pt idx="11">
                  <c:v>177</c:v>
                </c:pt>
                <c:pt idx="12">
                  <c:v>154</c:v>
                </c:pt>
                <c:pt idx="13">
                  <c:v>151</c:v>
                </c:pt>
                <c:pt idx="14">
                  <c:v>162</c:v>
                </c:pt>
                <c:pt idx="15">
                  <c:v>166</c:v>
                </c:pt>
                <c:pt idx="16">
                  <c:v>182</c:v>
                </c:pt>
                <c:pt idx="17">
                  <c:v>184</c:v>
                </c:pt>
                <c:pt idx="18">
                  <c:v>188</c:v>
                </c:pt>
                <c:pt idx="19">
                  <c:v>196</c:v>
                </c:pt>
                <c:pt idx="20">
                  <c:v>195</c:v>
                </c:pt>
              </c:numCache>
            </c:numRef>
          </c:val>
        </c:ser>
        <c:dLbls>
          <c:showLegendKey val="0"/>
          <c:showVal val="0"/>
          <c:showCatName val="0"/>
          <c:showSerName val="0"/>
          <c:showPercent val="0"/>
          <c:showBubbleSize val="0"/>
        </c:dLbls>
        <c:gapWidth val="100"/>
        <c:axId val="607060352"/>
        <c:axId val="607061888"/>
      </c:barChart>
      <c:catAx>
        <c:axId val="607060352"/>
        <c:scaling>
          <c:orientation val="minMax"/>
        </c:scaling>
        <c:delete val="0"/>
        <c:axPos val="b"/>
        <c:numFmt formatCode="#,##0_);\(#,##0\)" sourceLinked="1"/>
        <c:majorTickMark val="out"/>
        <c:minorTickMark val="none"/>
        <c:tickLblPos val="nextTo"/>
        <c:spPr>
          <a:ln w="3175">
            <a:solidFill>
              <a:srgbClr val="000000"/>
            </a:solidFill>
            <a:prstDash val="solid"/>
          </a:ln>
        </c:spPr>
        <c:txPr>
          <a:bodyPr rot="-2700000" vert="horz"/>
          <a:lstStyle/>
          <a:p>
            <a:pPr>
              <a:defRPr sz="1000" b="0" i="0" u="none" strike="noStrike" baseline="0">
                <a:solidFill>
                  <a:srgbClr val="000000"/>
                </a:solidFill>
                <a:latin typeface="Arial"/>
                <a:ea typeface="Arial"/>
                <a:cs typeface="Arial"/>
              </a:defRPr>
            </a:pPr>
            <a:endParaRPr lang="en-US"/>
          </a:p>
        </c:txPr>
        <c:crossAx val="607061888"/>
        <c:crosses val="autoZero"/>
        <c:auto val="1"/>
        <c:lblAlgn val="ctr"/>
        <c:lblOffset val="100"/>
        <c:tickLblSkip val="2"/>
        <c:tickMarkSkip val="1"/>
        <c:noMultiLvlLbl val="0"/>
      </c:catAx>
      <c:valAx>
        <c:axId val="607061888"/>
        <c:scaling>
          <c:orientation val="minMax"/>
        </c:scaling>
        <c:delete val="0"/>
        <c:axPos val="l"/>
        <c:majorGridlines>
          <c:spPr>
            <a:ln w="3175">
              <a:solidFill>
                <a:srgbClr val="C0C0C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$US Millions</a:t>
                </a:r>
              </a:p>
            </c:rich>
          </c:tx>
          <c:layout>
            <c:manualLayout>
              <c:xMode val="edge"/>
              <c:yMode val="edge"/>
              <c:x val="2.5594149908592323E-2"/>
              <c:y val="1.7543859649122806E-2"/>
            </c:manualLayout>
          </c:layout>
          <c:overlay val="0"/>
          <c:spPr>
            <a:noFill/>
            <a:ln w="25400">
              <a:noFill/>
            </a:ln>
          </c:spPr>
        </c:title>
        <c:numFmt formatCode="\$#,##0_);\(\$#,##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07060352"/>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96832448392722"/>
          <c:y val="6.5375302663438259E-2"/>
          <c:w val="0.87828611023690117"/>
          <c:h val="0.73849878934624702"/>
        </c:manualLayout>
      </c:layout>
      <c:barChart>
        <c:barDir val="col"/>
        <c:grouping val="clustered"/>
        <c:varyColors val="0"/>
        <c:ser>
          <c:idx val="0"/>
          <c:order val="0"/>
          <c:tx>
            <c:v>Property Margins</c:v>
          </c:tx>
          <c:spPr>
            <a:solidFill>
              <a:srgbClr val="0000FF"/>
            </a:solidFill>
            <a:ln w="25400">
              <a:noFill/>
            </a:ln>
          </c:spPr>
          <c:invertIfNegative val="0"/>
          <c:cat>
            <c:numRef>
              <c:f>'Exhibits (3)'!$HE$450:$HU$450</c:f>
              <c:numCache>
                <c:formatCode>#,##0_);\(#,##0\)</c:formatCode>
                <c:ptCount val="17"/>
              </c:numCache>
            </c:numRef>
          </c:cat>
          <c:val>
            <c:numRef>
              <c:f>'Exhibits (3)'!$HE$452:$HU$452</c:f>
              <c:numCache>
                <c:formatCode>0.00%</c:formatCode>
                <c:ptCount val="17"/>
              </c:numCache>
            </c:numRef>
          </c:val>
        </c:ser>
        <c:dLbls>
          <c:showLegendKey val="0"/>
          <c:showVal val="0"/>
          <c:showCatName val="0"/>
          <c:showSerName val="0"/>
          <c:showPercent val="0"/>
          <c:showBubbleSize val="0"/>
        </c:dLbls>
        <c:gapWidth val="100"/>
        <c:axId val="607085696"/>
        <c:axId val="607087232"/>
      </c:barChart>
      <c:catAx>
        <c:axId val="607085696"/>
        <c:scaling>
          <c:orientation val="minMax"/>
        </c:scaling>
        <c:delete val="0"/>
        <c:axPos val="b"/>
        <c:numFmt formatCode="#,##0_);\(#,##0\)" sourceLinked="1"/>
        <c:majorTickMark val="out"/>
        <c:minorTickMark val="none"/>
        <c:tickLblPos val="low"/>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607087232"/>
        <c:crosses val="autoZero"/>
        <c:auto val="1"/>
        <c:lblAlgn val="ctr"/>
        <c:lblOffset val="100"/>
        <c:tickLblSkip val="1"/>
        <c:tickMarkSkip val="1"/>
        <c:noMultiLvlLbl val="0"/>
      </c:catAx>
      <c:valAx>
        <c:axId val="607087232"/>
        <c:scaling>
          <c:orientation val="minMax"/>
        </c:scaling>
        <c:delete val="0"/>
        <c:axPos val="l"/>
        <c:majorGridlines>
          <c:spPr>
            <a:ln w="3175">
              <a:solidFill>
                <a:srgbClr val="C0C0C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607085696"/>
        <c:crosses val="autoZero"/>
        <c:crossBetween val="between"/>
      </c:valAx>
      <c:spPr>
        <a:noFill/>
        <a:ln w="25400">
          <a:noFill/>
        </a:ln>
      </c:spPr>
    </c:plotArea>
    <c:legend>
      <c:legendPos val="r"/>
      <c:layout>
        <c:manualLayout>
          <c:xMode val="edge"/>
          <c:yMode val="edge"/>
          <c:x val="0.15767649375778234"/>
          <c:y val="5.3268765133171914E-2"/>
          <c:w val="0.24896294602178878"/>
          <c:h val="0.21549636803874089"/>
        </c:manualLayout>
      </c:layout>
      <c:overlay val="0"/>
      <c:spPr>
        <a:solidFill>
          <a:srgbClr val="FFFFFF"/>
        </a:solidFill>
        <a:ln w="25400">
          <a:noFill/>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056951714850452"/>
          <c:y val="7.9411878750974774E-2"/>
          <c:w val="0.83274093703164709"/>
          <c:h val="0.72353045084221457"/>
        </c:manualLayout>
      </c:layout>
      <c:lineChart>
        <c:grouping val="standard"/>
        <c:varyColors val="0"/>
        <c:ser>
          <c:idx val="0"/>
          <c:order val="0"/>
          <c:spPr>
            <a:ln w="38100">
              <a:solidFill>
                <a:srgbClr val="000080"/>
              </a:solidFill>
              <a:prstDash val="solid"/>
            </a:ln>
          </c:spPr>
          <c:marker>
            <c:symbol val="none"/>
          </c:marker>
          <c:dPt>
            <c:idx val="13"/>
            <c:bubble3D val="0"/>
          </c:dPt>
          <c:dPt>
            <c:idx val="14"/>
            <c:bubble3D val="0"/>
          </c:dPt>
          <c:dPt>
            <c:idx val="15"/>
            <c:bubble3D val="0"/>
          </c:dPt>
          <c:cat>
            <c:strRef>
              <c:f>'Exhibits (3)'!$GH$369:$GX$369</c:f>
              <c:strCache>
                <c:ptCount val="17"/>
                <c:pt idx="0">
                  <c:v>1Q08</c:v>
                </c:pt>
                <c:pt idx="1">
                  <c:v>2Q08</c:v>
                </c:pt>
                <c:pt idx="2">
                  <c:v>3Q08</c:v>
                </c:pt>
                <c:pt idx="3">
                  <c:v>4Q08</c:v>
                </c:pt>
                <c:pt idx="4">
                  <c:v>1Q09</c:v>
                </c:pt>
                <c:pt idx="5">
                  <c:v>2Q09</c:v>
                </c:pt>
                <c:pt idx="6">
                  <c:v>3Q09</c:v>
                </c:pt>
                <c:pt idx="7">
                  <c:v>4Q09</c:v>
                </c:pt>
                <c:pt idx="8">
                  <c:v>1Q10</c:v>
                </c:pt>
                <c:pt idx="9">
                  <c:v>2Q10</c:v>
                </c:pt>
                <c:pt idx="10">
                  <c:v>3Q10</c:v>
                </c:pt>
                <c:pt idx="11">
                  <c:v>4Q10</c:v>
                </c:pt>
                <c:pt idx="12">
                  <c:v>1Q11</c:v>
                </c:pt>
                <c:pt idx="13">
                  <c:v>2Q11E</c:v>
                </c:pt>
                <c:pt idx="14">
                  <c:v>3Q11E</c:v>
                </c:pt>
                <c:pt idx="15">
                  <c:v>4Q11E</c:v>
                </c:pt>
                <c:pt idx="16">
                  <c:v>2012E</c:v>
                </c:pt>
              </c:strCache>
            </c:strRef>
          </c:cat>
          <c:val>
            <c:numRef>
              <c:f>'Exhibits (3)'!$GH$376:$GX$376</c:f>
              <c:numCache>
                <c:formatCode>0.0%</c:formatCode>
                <c:ptCount val="17"/>
                <c:pt idx="0">
                  <c:v>4.2253521126760507E-2</c:v>
                </c:pt>
                <c:pt idx="1">
                  <c:v>-0.11206896551724133</c:v>
                </c:pt>
                <c:pt idx="2">
                  <c:v>-7.1428571428571397E-2</c:v>
                </c:pt>
                <c:pt idx="3">
                  <c:v>-0.34920634920634919</c:v>
                </c:pt>
                <c:pt idx="4">
                  <c:v>-0.41891891891891897</c:v>
                </c:pt>
                <c:pt idx="5">
                  <c:v>-0.66019417475728148</c:v>
                </c:pt>
                <c:pt idx="6">
                  <c:v>-0.67307692307692313</c:v>
                </c:pt>
                <c:pt idx="7">
                  <c:v>-0.28048780487804881</c:v>
                </c:pt>
                <c:pt idx="8">
                  <c:v>-6.9767441860465129E-2</c:v>
                </c:pt>
                <c:pt idx="9">
                  <c:v>0.31428571428571428</c:v>
                </c:pt>
                <c:pt idx="10">
                  <c:v>0.23529411764705888</c:v>
                </c:pt>
                <c:pt idx="11">
                  <c:v>0.27118644067796605</c:v>
                </c:pt>
                <c:pt idx="12">
                  <c:v>5.0000000000000044E-2</c:v>
                </c:pt>
                <c:pt idx="13">
                  <c:v>8.6956521739130377E-2</c:v>
                </c:pt>
                <c:pt idx="14">
                  <c:v>0.38095238095238093</c:v>
                </c:pt>
                <c:pt idx="15">
                  <c:v>-1.3333333333333308E-2</c:v>
                </c:pt>
                <c:pt idx="16">
                  <c:v>0.18974358974358974</c:v>
                </c:pt>
              </c:numCache>
            </c:numRef>
          </c:val>
          <c:smooth val="0"/>
        </c:ser>
        <c:dLbls>
          <c:showLegendKey val="0"/>
          <c:showVal val="0"/>
          <c:showCatName val="0"/>
          <c:showSerName val="0"/>
          <c:showPercent val="0"/>
          <c:showBubbleSize val="0"/>
        </c:dLbls>
        <c:marker val="1"/>
        <c:smooth val="0"/>
        <c:axId val="607111808"/>
        <c:axId val="607113600"/>
      </c:lineChart>
      <c:catAx>
        <c:axId val="607111808"/>
        <c:scaling>
          <c:orientation val="minMax"/>
        </c:scaling>
        <c:delete val="0"/>
        <c:axPos val="b"/>
        <c:numFmt formatCode="#,##0_);\(#,##0\)" sourceLinked="1"/>
        <c:majorTickMark val="none"/>
        <c:minorTickMark val="none"/>
        <c:tickLblPos val="low"/>
        <c:spPr>
          <a:ln w="3175">
            <a:solidFill>
              <a:srgbClr val="000000"/>
            </a:solidFill>
            <a:prstDash val="solid"/>
          </a:ln>
        </c:spPr>
        <c:txPr>
          <a:bodyPr rot="-5400000" vert="horz"/>
          <a:lstStyle/>
          <a:p>
            <a:pPr>
              <a:defRPr sz="975" b="0" i="0" u="none" strike="noStrike" baseline="0">
                <a:solidFill>
                  <a:srgbClr val="000000"/>
                </a:solidFill>
                <a:latin typeface="Arial"/>
                <a:ea typeface="Arial"/>
                <a:cs typeface="Arial"/>
              </a:defRPr>
            </a:pPr>
            <a:endParaRPr lang="en-US"/>
          </a:p>
        </c:txPr>
        <c:crossAx val="607113600"/>
        <c:crosses val="autoZero"/>
        <c:auto val="1"/>
        <c:lblAlgn val="ctr"/>
        <c:lblOffset val="100"/>
        <c:tickLblSkip val="1"/>
        <c:tickMarkSkip val="1"/>
        <c:noMultiLvlLbl val="0"/>
      </c:catAx>
      <c:valAx>
        <c:axId val="607113600"/>
        <c:scaling>
          <c:orientation val="minMax"/>
          <c:max val="0.5"/>
          <c:min val="-0.75"/>
        </c:scaling>
        <c:delete val="0"/>
        <c:axPos val="l"/>
        <c:majorGridlines>
          <c:spPr>
            <a:ln w="3175">
              <a:solidFill>
                <a:srgbClr val="C0C0C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Incentive Fees per Room (as % of Peak)</a:t>
                </a:r>
              </a:p>
            </c:rich>
          </c:tx>
          <c:layout>
            <c:manualLayout>
              <c:xMode val="edge"/>
              <c:yMode val="edge"/>
              <c:x val="8.8967971530249119E-3"/>
              <c:y val="6.7647058823529407E-2"/>
            </c:manualLayout>
          </c:layout>
          <c:overlay val="0"/>
          <c:spPr>
            <a:noFill/>
            <a:ln w="25400">
              <a:noFill/>
            </a:ln>
          </c:spPr>
        </c:title>
        <c:numFmt formatCode="0%" sourceLinked="0"/>
        <c:majorTickMark val="out"/>
        <c:minorTickMark val="none"/>
        <c:tickLblPos val="nextTo"/>
        <c:spPr>
          <a:ln w="9525">
            <a:noFill/>
          </a:ln>
        </c:spPr>
        <c:txPr>
          <a:bodyPr rot="0" vert="horz"/>
          <a:lstStyle/>
          <a:p>
            <a:pPr>
              <a:defRPr sz="975" b="0" i="0" u="none" strike="noStrike" baseline="0">
                <a:solidFill>
                  <a:srgbClr val="000000"/>
                </a:solidFill>
                <a:latin typeface="Arial"/>
                <a:ea typeface="Arial"/>
                <a:cs typeface="Arial"/>
              </a:defRPr>
            </a:pPr>
            <a:endParaRPr lang="en-US"/>
          </a:p>
        </c:txPr>
        <c:crossAx val="607111808"/>
        <c:crosses val="autoZero"/>
        <c:crossBetween val="between"/>
        <c:majorUnit val="0.25"/>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390041493775934E-2"/>
          <c:y val="8.0997131148787815E-2"/>
          <c:w val="0.81327800829875518"/>
          <c:h val="0.6573228720151626"/>
        </c:manualLayout>
      </c:layout>
      <c:barChart>
        <c:barDir val="col"/>
        <c:grouping val="clustered"/>
        <c:varyColors val="0"/>
        <c:ser>
          <c:idx val="1"/>
          <c:order val="0"/>
          <c:tx>
            <c:strRef>
              <c:f>'Exhibits (4)'!$A$31</c:f>
              <c:strCache>
                <c:ptCount val="1"/>
                <c:pt idx="0">
                  <c:v>Number of Rooms (Left)</c:v>
                </c:pt>
              </c:strCache>
            </c:strRef>
          </c:tx>
          <c:spPr>
            <a:solidFill>
              <a:srgbClr val="0000FF"/>
            </a:solidFill>
            <a:ln w="25400">
              <a:noFill/>
            </a:ln>
          </c:spPr>
          <c:invertIfNegative val="0"/>
          <c:cat>
            <c:strRef>
              <c:f>'Exhibits (4)'!$C$29:$O$29</c:f>
              <c:strCache>
                <c:ptCount val="13"/>
                <c:pt idx="0">
                  <c:v>1Q08</c:v>
                </c:pt>
                <c:pt idx="1">
                  <c:v>2Q08</c:v>
                </c:pt>
                <c:pt idx="2">
                  <c:v>3Q08</c:v>
                </c:pt>
                <c:pt idx="3">
                  <c:v>4Q08</c:v>
                </c:pt>
                <c:pt idx="4">
                  <c:v>1Q09</c:v>
                </c:pt>
                <c:pt idx="5">
                  <c:v>2Q09</c:v>
                </c:pt>
                <c:pt idx="6">
                  <c:v>3Q09</c:v>
                </c:pt>
                <c:pt idx="7">
                  <c:v>4Q09</c:v>
                </c:pt>
                <c:pt idx="8">
                  <c:v>1Q10</c:v>
                </c:pt>
                <c:pt idx="9">
                  <c:v>2Q10</c:v>
                </c:pt>
                <c:pt idx="10">
                  <c:v>3Q10</c:v>
                </c:pt>
                <c:pt idx="11">
                  <c:v>4Q10</c:v>
                </c:pt>
                <c:pt idx="12">
                  <c:v>1Q11</c:v>
                </c:pt>
              </c:strCache>
            </c:strRef>
          </c:cat>
          <c:val>
            <c:numRef>
              <c:f>'Exhibits (4)'!$C$31:$O$31</c:f>
              <c:numCache>
                <c:formatCode>#,##0_);\(#,##0\)</c:formatCode>
                <c:ptCount val="13"/>
              </c:numCache>
            </c:numRef>
          </c:val>
        </c:ser>
        <c:dLbls>
          <c:showLegendKey val="0"/>
          <c:showVal val="0"/>
          <c:showCatName val="0"/>
          <c:showSerName val="0"/>
          <c:showPercent val="0"/>
          <c:showBubbleSize val="0"/>
        </c:dLbls>
        <c:gapWidth val="100"/>
        <c:axId val="659339520"/>
        <c:axId val="659362176"/>
      </c:barChart>
      <c:lineChart>
        <c:grouping val="standard"/>
        <c:varyColors val="0"/>
        <c:ser>
          <c:idx val="0"/>
          <c:order val="1"/>
          <c:tx>
            <c:v>% of System Total (Right)</c:v>
          </c:tx>
          <c:spPr>
            <a:ln w="38100">
              <a:solidFill>
                <a:srgbClr val="808080"/>
              </a:solidFill>
              <a:prstDash val="solid"/>
            </a:ln>
          </c:spPr>
          <c:marker>
            <c:symbol val="diamond"/>
            <c:size val="6"/>
            <c:spPr>
              <a:solidFill>
                <a:srgbClr val="808080"/>
              </a:solidFill>
              <a:ln>
                <a:solidFill>
                  <a:srgbClr val="808080"/>
                </a:solidFill>
                <a:prstDash val="solid"/>
              </a:ln>
            </c:spPr>
          </c:marker>
          <c:val>
            <c:numRef>
              <c:f>'Exhibits (4)'!$C$36:$O$36</c:f>
              <c:numCache>
                <c:formatCode>0.0%</c:formatCode>
                <c:ptCount val="13"/>
              </c:numCache>
            </c:numRef>
          </c:val>
          <c:smooth val="0"/>
        </c:ser>
        <c:dLbls>
          <c:showLegendKey val="0"/>
          <c:showVal val="0"/>
          <c:showCatName val="0"/>
          <c:showSerName val="0"/>
          <c:showPercent val="0"/>
          <c:showBubbleSize val="0"/>
        </c:dLbls>
        <c:marker val="1"/>
        <c:smooth val="0"/>
        <c:axId val="659363712"/>
        <c:axId val="659365248"/>
      </c:lineChart>
      <c:catAx>
        <c:axId val="659339520"/>
        <c:scaling>
          <c:orientation val="minMax"/>
        </c:scaling>
        <c:delete val="0"/>
        <c:axPos val="b"/>
        <c:numFmt formatCode="#,##0_);\(#,##0\)"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659362176"/>
        <c:crosses val="autoZero"/>
        <c:auto val="0"/>
        <c:lblAlgn val="ctr"/>
        <c:lblOffset val="100"/>
        <c:tickLblSkip val="1"/>
        <c:tickMarkSkip val="1"/>
        <c:noMultiLvlLbl val="0"/>
      </c:catAx>
      <c:valAx>
        <c:axId val="659362176"/>
        <c:scaling>
          <c:orientation val="minMax"/>
        </c:scaling>
        <c:delete val="0"/>
        <c:axPos val="l"/>
        <c:numFmt formatCode="#,##0_);\(#,##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59339520"/>
        <c:crosses val="autoZero"/>
        <c:crossBetween val="between"/>
      </c:valAx>
      <c:catAx>
        <c:axId val="659363712"/>
        <c:scaling>
          <c:orientation val="minMax"/>
        </c:scaling>
        <c:delete val="1"/>
        <c:axPos val="b"/>
        <c:majorTickMark val="out"/>
        <c:minorTickMark val="none"/>
        <c:tickLblPos val="nextTo"/>
        <c:crossAx val="659365248"/>
        <c:crosses val="autoZero"/>
        <c:auto val="0"/>
        <c:lblAlgn val="ctr"/>
        <c:lblOffset val="100"/>
        <c:noMultiLvlLbl val="0"/>
      </c:catAx>
      <c:valAx>
        <c:axId val="659365248"/>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59363712"/>
        <c:crosses val="max"/>
        <c:crossBetween val="between"/>
      </c:valAx>
      <c:spPr>
        <a:noFill/>
        <a:ln w="25400">
          <a:noFill/>
        </a:ln>
      </c:spPr>
    </c:plotArea>
    <c:legend>
      <c:legendPos val="r"/>
      <c:layout>
        <c:manualLayout>
          <c:xMode val="edge"/>
          <c:yMode val="edge"/>
          <c:x val="0.1037344398340249"/>
          <c:y val="0.90342679127725856"/>
          <c:w val="0.81120331950207469"/>
          <c:h val="7.4766355140186924E-2"/>
        </c:manualLayout>
      </c:layout>
      <c:overlay val="0"/>
      <c:spPr>
        <a:solidFill>
          <a:srgbClr val="FFFFFF"/>
        </a:solidFill>
        <a:ln w="25400">
          <a:noFill/>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340425531914893"/>
          <c:y val="6.741597691353915E-2"/>
          <c:w val="0.85319148936170208"/>
          <c:h val="0.77902906655645243"/>
        </c:manualLayout>
      </c:layout>
      <c:barChart>
        <c:barDir val="col"/>
        <c:grouping val="clustered"/>
        <c:varyColors val="0"/>
        <c:ser>
          <c:idx val="0"/>
          <c:order val="0"/>
          <c:tx>
            <c:v>YoY Change in NA Property Margins</c:v>
          </c:tx>
          <c:spPr>
            <a:solidFill>
              <a:srgbClr val="0000FF"/>
            </a:solidFill>
            <a:ln w="25400">
              <a:noFill/>
            </a:ln>
          </c:spPr>
          <c:invertIfNegative val="0"/>
          <c:dLbls>
            <c:dLbl>
              <c:idx val="0"/>
              <c:layout>
                <c:manualLayout>
                  <c:x val="1.2906684536773407E-3"/>
                  <c:y val="2.3720066915520029E-2"/>
                </c:manualLayout>
              </c:layout>
              <c:dLblPos val="outEnd"/>
              <c:showLegendKey val="0"/>
              <c:showVal val="1"/>
              <c:showCatName val="0"/>
              <c:showSerName val="0"/>
              <c:showPercent val="0"/>
              <c:showBubbleSize val="0"/>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 (4)'!$K$62:$O$62</c:f>
              <c:strCache>
                <c:ptCount val="5"/>
                <c:pt idx="0">
                  <c:v>1Q10</c:v>
                </c:pt>
                <c:pt idx="1">
                  <c:v>2Q10</c:v>
                </c:pt>
                <c:pt idx="2">
                  <c:v>3Q10</c:v>
                </c:pt>
                <c:pt idx="3">
                  <c:v>4Q10</c:v>
                </c:pt>
                <c:pt idx="4">
                  <c:v>1Q11</c:v>
                </c:pt>
              </c:strCache>
            </c:strRef>
          </c:cat>
          <c:val>
            <c:numRef>
              <c:f>'Exhibits (4)'!$K$64:$O$64</c:f>
              <c:numCache>
                <c:formatCode>#,##0_);\(#,##0\)</c:formatCode>
                <c:ptCount val="5"/>
              </c:numCache>
            </c:numRef>
          </c:val>
        </c:ser>
        <c:dLbls>
          <c:showLegendKey val="0"/>
          <c:showVal val="0"/>
          <c:showCatName val="0"/>
          <c:showSerName val="0"/>
          <c:showPercent val="0"/>
          <c:showBubbleSize val="0"/>
        </c:dLbls>
        <c:gapWidth val="150"/>
        <c:axId val="659406208"/>
        <c:axId val="659440768"/>
      </c:barChart>
      <c:catAx>
        <c:axId val="659406208"/>
        <c:scaling>
          <c:orientation val="minMax"/>
        </c:scaling>
        <c:delete val="0"/>
        <c:axPos val="b"/>
        <c:numFmt formatCode="#,##0_);\(#,##0\)" sourceLinked="1"/>
        <c:majorTickMark val="none"/>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59440768"/>
        <c:crosses val="autoZero"/>
        <c:auto val="1"/>
        <c:lblAlgn val="ctr"/>
        <c:lblOffset val="100"/>
        <c:tickLblSkip val="1"/>
        <c:tickMarkSkip val="1"/>
        <c:noMultiLvlLbl val="0"/>
      </c:catAx>
      <c:valAx>
        <c:axId val="659440768"/>
        <c:scaling>
          <c:orientation val="minMax"/>
        </c:scaling>
        <c:delete val="0"/>
        <c:axPos val="l"/>
        <c:majorGridlines>
          <c:spPr>
            <a:ln w="3175">
              <a:solidFill>
                <a:srgbClr val="C0C0C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Y-o-Y Change in NA Property Margins (BPs)</a:t>
                </a:r>
              </a:p>
            </c:rich>
          </c:tx>
          <c:layout>
            <c:manualLayout>
              <c:xMode val="edge"/>
              <c:yMode val="edge"/>
              <c:x val="3.6170212765957444E-2"/>
              <c:y val="1.8726591760299626E-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5940620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a:t>RevPAR Differential: MAR Full Service vs. STR Upper Upscale</a:t>
            </a:r>
          </a:p>
        </c:rich>
      </c:tx>
      <c:layout>
        <c:manualLayout>
          <c:xMode val="edge"/>
          <c:yMode val="edge"/>
          <c:x val="0.1599355492518201"/>
          <c:y val="1.7031630170316302E-2"/>
        </c:manualLayout>
      </c:layout>
      <c:overlay val="0"/>
      <c:spPr>
        <a:noFill/>
        <a:ln w="25400">
          <a:noFill/>
        </a:ln>
      </c:spPr>
    </c:title>
    <c:autoTitleDeleted val="0"/>
    <c:plotArea>
      <c:layout>
        <c:manualLayout>
          <c:layoutTarget val="inner"/>
          <c:xMode val="edge"/>
          <c:yMode val="edge"/>
          <c:x val="9.5315099419347155E-2"/>
          <c:y val="0.17031670638663887"/>
          <c:w val="0.88206854716887362"/>
          <c:h val="0.68369992135207891"/>
        </c:manualLayout>
      </c:layout>
      <c:lineChart>
        <c:grouping val="standard"/>
        <c:varyColors val="0"/>
        <c:ser>
          <c:idx val="0"/>
          <c:order val="0"/>
          <c:tx>
            <c:v>Percent</c:v>
          </c:tx>
          <c:spPr>
            <a:ln w="38100">
              <a:solidFill>
                <a:srgbClr val="0000FF"/>
              </a:solidFill>
              <a:prstDash val="solid"/>
            </a:ln>
          </c:spPr>
          <c:marker>
            <c:symbol val="none"/>
          </c:marker>
          <c:cat>
            <c:strRef>
              <c:f>'Exhibits (4)'!$AE$88:$AR$88</c:f>
              <c:strCache>
                <c:ptCount val="14"/>
                <c:pt idx="0">
                  <c:v>1Q08</c:v>
                </c:pt>
                <c:pt idx="1">
                  <c:v>2Q08</c:v>
                </c:pt>
                <c:pt idx="2">
                  <c:v>3Q08</c:v>
                </c:pt>
                <c:pt idx="3">
                  <c:v>4Q08</c:v>
                </c:pt>
                <c:pt idx="4">
                  <c:v>1Q09</c:v>
                </c:pt>
                <c:pt idx="5">
                  <c:v>2Q09</c:v>
                </c:pt>
                <c:pt idx="6">
                  <c:v>3Q09</c:v>
                </c:pt>
                <c:pt idx="7">
                  <c:v>4Q09</c:v>
                </c:pt>
                <c:pt idx="8">
                  <c:v>1Q10</c:v>
                </c:pt>
                <c:pt idx="9">
                  <c:v>2Q10</c:v>
                </c:pt>
                <c:pt idx="10">
                  <c:v>3Q10</c:v>
                </c:pt>
                <c:pt idx="11">
                  <c:v>4Q10</c:v>
                </c:pt>
                <c:pt idx="12">
                  <c:v>1Q11</c:v>
                </c:pt>
                <c:pt idx="13">
                  <c:v>2Q11</c:v>
                </c:pt>
              </c:strCache>
            </c:strRef>
          </c:cat>
          <c:val>
            <c:numRef>
              <c:f>'Exhibits (4)'!$AE$91:$AR$91</c:f>
              <c:numCache>
                <c:formatCode>0.0%</c:formatCode>
                <c:ptCount val="14"/>
                <c:pt idx="0">
                  <c:v>9.6859887805210571E-3</c:v>
                </c:pt>
                <c:pt idx="1">
                  <c:v>6.9767548330729005E-3</c:v>
                </c:pt>
                <c:pt idx="2">
                  <c:v>1.6879586382468337E-2</c:v>
                </c:pt>
                <c:pt idx="3">
                  <c:v>3.0105024204316794E-2</c:v>
                </c:pt>
                <c:pt idx="4">
                  <c:v>3.722665617137913E-2</c:v>
                </c:pt>
                <c:pt idx="5">
                  <c:v>2.4664727174472378E-3</c:v>
                </c:pt>
                <c:pt idx="6">
                  <c:v>-1.4455829556187016E-2</c:v>
                </c:pt>
                <c:pt idx="7">
                  <c:v>-1.8248773057899514E-2</c:v>
                </c:pt>
                <c:pt idx="8">
                  <c:v>-9.0747058819028517E-4</c:v>
                </c:pt>
                <c:pt idx="9">
                  <c:v>-9.6196568186587977E-3</c:v>
                </c:pt>
                <c:pt idx="10">
                  <c:v>-2.2189430128242663E-2</c:v>
                </c:pt>
                <c:pt idx="11">
                  <c:v>-1.3770556751218022E-2</c:v>
                </c:pt>
                <c:pt idx="12">
                  <c:v>-1.7322809761581459E-2</c:v>
                </c:pt>
                <c:pt idx="13">
                  <c:v>-2.2633833644620703E-2</c:v>
                </c:pt>
              </c:numCache>
            </c:numRef>
          </c:val>
          <c:smooth val="0"/>
        </c:ser>
        <c:dLbls>
          <c:showLegendKey val="0"/>
          <c:showVal val="0"/>
          <c:showCatName val="0"/>
          <c:showSerName val="0"/>
          <c:showPercent val="0"/>
          <c:showBubbleSize val="0"/>
        </c:dLbls>
        <c:marker val="1"/>
        <c:smooth val="0"/>
        <c:axId val="659477248"/>
        <c:axId val="659478784"/>
      </c:lineChart>
      <c:catAx>
        <c:axId val="659477248"/>
        <c:scaling>
          <c:orientation val="minMax"/>
        </c:scaling>
        <c:delete val="0"/>
        <c:axPos val="b"/>
        <c:numFmt formatCode="#,##0_);\(#,##0\)" sourceLinked="1"/>
        <c:majorTickMark val="none"/>
        <c:minorTickMark val="none"/>
        <c:tickLblPos val="low"/>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659478784"/>
        <c:crosses val="autoZero"/>
        <c:auto val="1"/>
        <c:lblAlgn val="ctr"/>
        <c:lblOffset val="100"/>
        <c:tickLblSkip val="1"/>
        <c:tickMarkSkip val="1"/>
        <c:noMultiLvlLbl val="0"/>
      </c:catAx>
      <c:valAx>
        <c:axId val="659478784"/>
        <c:scaling>
          <c:orientation val="minMax"/>
        </c:scaling>
        <c:delete val="0"/>
        <c:axPos val="l"/>
        <c:majorGridlines>
          <c:spPr>
            <a:ln w="3175">
              <a:solidFill>
                <a:srgbClr val="C0C0C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65947724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01345291479822"/>
          <c:y val="9.7560975609756101E-2"/>
          <c:w val="0.82959641255605376"/>
          <c:h val="0.79442508710801396"/>
        </c:manualLayout>
      </c:layout>
      <c:barChart>
        <c:barDir val="col"/>
        <c:grouping val="clustered"/>
        <c:varyColors val="0"/>
        <c:ser>
          <c:idx val="0"/>
          <c:order val="0"/>
          <c:spPr>
            <a:solidFill>
              <a:srgbClr val="3366FF"/>
            </a:solidFill>
            <a:ln w="25400">
              <a:noFill/>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'Exhibits (4)'!$AW$125:$AZ$125</c:f>
              <c:strCache>
                <c:ptCount val="4"/>
                <c:pt idx="0">
                  <c:v>1Q11</c:v>
                </c:pt>
                <c:pt idx="1">
                  <c:v>2Q11</c:v>
                </c:pt>
                <c:pt idx="2">
                  <c:v>3Q11E</c:v>
                </c:pt>
                <c:pt idx="3">
                  <c:v>4Q11E</c:v>
                </c:pt>
              </c:strCache>
            </c:strRef>
          </c:cat>
          <c:val>
            <c:numRef>
              <c:f>'Exhibits (4)'!$AW$126:$AZ$126</c:f>
              <c:numCache>
                <c:formatCode>0.0%</c:formatCode>
                <c:ptCount val="4"/>
                <c:pt idx="0">
                  <c:v>5.8000000000000003E-2</c:v>
                </c:pt>
                <c:pt idx="1">
                  <c:v>6.6000000000000003E-2</c:v>
                </c:pt>
                <c:pt idx="2">
                  <c:v>0.06</c:v>
                </c:pt>
                <c:pt idx="3">
                  <c:v>8.5692307692307693E-2</c:v>
                </c:pt>
              </c:numCache>
            </c:numRef>
          </c:val>
        </c:ser>
        <c:dLbls>
          <c:showLegendKey val="0"/>
          <c:showVal val="0"/>
          <c:showCatName val="0"/>
          <c:showSerName val="0"/>
          <c:showPercent val="0"/>
          <c:showBubbleSize val="0"/>
        </c:dLbls>
        <c:gapWidth val="150"/>
        <c:axId val="659512320"/>
        <c:axId val="659526400"/>
      </c:barChart>
      <c:catAx>
        <c:axId val="659512320"/>
        <c:scaling>
          <c:orientation val="minMax"/>
        </c:scaling>
        <c:delete val="0"/>
        <c:axPos val="b"/>
        <c:numFmt formatCode="#,##0_);\(#,##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59526400"/>
        <c:crosses val="autoZero"/>
        <c:auto val="1"/>
        <c:lblAlgn val="ctr"/>
        <c:lblOffset val="100"/>
        <c:tickLblSkip val="1"/>
        <c:tickMarkSkip val="1"/>
        <c:noMultiLvlLbl val="0"/>
      </c:catAx>
      <c:valAx>
        <c:axId val="659526400"/>
        <c:scaling>
          <c:orientation val="minMax"/>
          <c:min val="0.04"/>
        </c:scaling>
        <c:delete val="0"/>
        <c:axPos val="l"/>
        <c:majorGridlines>
          <c:spPr>
            <a:ln w="3175">
              <a:solidFill>
                <a:srgbClr val="C0C0C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YoY RevPAR Change</a:t>
                </a:r>
              </a:p>
            </c:rich>
          </c:tx>
          <c:layout>
            <c:manualLayout>
              <c:xMode val="edge"/>
              <c:yMode val="edge"/>
              <c:x val="3.3632286995515695E-2"/>
              <c:y val="0.2961672473867595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59512320"/>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heets/_rels/sheet1.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drawing7.xml" Type="http://schemas.openxmlformats.org/officeDocument/2006/relationships/drawing"/>
</Relationships>

</file>

<file path=xl/chartsheets/sheet1.xml><?xml version="1.0" encoding="utf-8"?>
<chartsheet xmlns="http://schemas.openxmlformats.org/spreadsheetml/2006/main" xmlns:r="http://schemas.openxmlformats.org/officeDocument/2006/relationships">
  <sheetPr codeName="Chart23">
    <tabColor indexed="24"/>
  </sheetPr>
  <sheetViews>
    <sheetView zoomScale="150" workbookViewId="0"/>
  </sheetViews>
  <pageMargins left="3.03229162428114" right="3.03229162428114" top="3.21423604753282" bottom="3.21423604753282"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charts/chart1.xml" Type="http://schemas.openxmlformats.org/officeDocument/2006/relationships/chart"/>
<Relationship Id="rId10" Target="../charts/chart10.xml" Type="http://schemas.openxmlformats.org/officeDocument/2006/relationships/chart"/>
<Relationship Id="rId2" Target="../charts/chart2.xml" Type="http://schemas.openxmlformats.org/officeDocument/2006/relationships/chart"/>
<Relationship Id="rId3" Target="../charts/chart3.xml" Type="http://schemas.openxmlformats.org/officeDocument/2006/relationships/chart"/>
<Relationship Id="rId4" Target="../charts/chart4.xml" Type="http://schemas.openxmlformats.org/officeDocument/2006/relationships/chart"/>
<Relationship Id="rId5" Target="../charts/chart5.xml" Type="http://schemas.openxmlformats.org/officeDocument/2006/relationships/chart"/>
<Relationship Id="rId6" Target="../charts/chart6.xml" Type="http://schemas.openxmlformats.org/officeDocument/2006/relationships/chart"/>
<Relationship Id="rId7" Target="../charts/chart7.xml" Type="http://schemas.openxmlformats.org/officeDocument/2006/relationships/chart"/>
<Relationship Id="rId8" Target="../charts/chart8.xml" Type="http://schemas.openxmlformats.org/officeDocument/2006/relationships/chart"/>
<Relationship Id="rId9" Target="../charts/chart9.xml" Type="http://schemas.openxmlformats.org/officeDocument/2006/relationships/chart"/>
</Relationships>

</file>

<file path=xl/drawings/_rels/drawing7.xml.rels><?xml version="1.0" encoding="UTF-8" standalone="yes"?>
<Relationships xmlns="http://schemas.openxmlformats.org/package/2006/relationships">
<Relationship Id="rId1" Target="../charts/chart11.xml" Type="http://schemas.openxmlformats.org/officeDocument/2006/relationships/chart"/>
</Relationships>

</file>

<file path=xl/drawings/_rels/drawing8.xml.rels><?xml version="1.0" encoding="UTF-8" standalone="yes"?>
<Relationships xmlns="http://schemas.openxmlformats.org/package/2006/relationships">
<Relationship Id="rId1" Target="../charts/chart12.xml" Type="http://schemas.openxmlformats.org/officeDocument/2006/relationships/chart"/>
</Relationships>

</file>

<file path=xl/drawings/_rels/drawing9.xml.rels><?xml version="1.0" encoding="UTF-8" standalone="yes"?>
<Relationships xmlns="http://schemas.openxmlformats.org/package/2006/relationships">
<Relationship Id="rId1" Target="../charts/chart13.xml" Type="http://schemas.openxmlformats.org/officeDocument/2006/relationships/chart"/>
</Relationships>

</file>

<file path=xl/drawings/_rels/drawing10.xml.rels><?xml version="1.0" encoding="UTF-8" standalone="yes"?>
<Relationships xmlns="http://schemas.openxmlformats.org/package/2006/relationships">
<Relationship Id="rId1" Target="../charts/chart14.xml" Type="http://schemas.openxmlformats.org/officeDocument/2006/relationships/chart"/>
</Relationships>

</file>

<file path=xl/drawings/_rels/drawing12.xml.rels><?xml version="1.0" encoding="UTF-8" standalone="yes"?>
<Relationships xmlns="http://schemas.openxmlformats.org/package/2006/relationships">
<Relationship Id="rId1" Target="../charts/chart15.xml" Type="http://schemas.openxmlformats.org/officeDocument/2006/relationships/chart"/>
</Relationships>

</file>

<file path=xl/drawings/_rels/drawing13.xml.rels><?xml version="1.0" encoding="UTF-8" standalone="yes"?>
<Relationships xmlns="http://schemas.openxmlformats.org/package/2006/relationships">
<Relationship Id="rId1" Target="../charts/chart16.xml" Type="http://schemas.openxmlformats.org/officeDocument/2006/relationships/chart"/>
<Relationship Id="rId2" Target="../charts/chart17.xml" Type="http://schemas.openxmlformats.org/officeDocument/2006/relationships/chart"/>
<Relationship Id="rId3" Target="../charts/chart18.xml" Type="http://schemas.openxmlformats.org/officeDocument/2006/relationships/chart"/>
<Relationship Id="rId4" Target="../charts/chart19.xml" Type="http://schemas.openxmlformats.org/officeDocument/2006/relationships/chart"/>
<Relationship Id="rId5" Target="../charts/chart20.xml" Type="http://schemas.openxmlformats.org/officeDocument/2006/relationships/chart"/>
</Relationships>

</file>

<file path=xl/drawings/_rels/drawing16.xml.rels><?xml version="1.0" encoding="UTF-8" standalone="yes"?>
<Relationships xmlns="http://schemas.openxmlformats.org/package/2006/relationships">
<Relationship Id="rId1" Target="../charts/chart21.xml" Type="http://schemas.openxmlformats.org/officeDocument/2006/relationships/chart"/>
<Relationship Id="rId2" Target="../charts/chart22.xml" Type="http://schemas.openxmlformats.org/officeDocument/2006/relationships/chart"/>
<Relationship Id="rId3" Target="../charts/chart23.xml" Type="http://schemas.openxmlformats.org/officeDocument/2006/relationships/chart"/>
<Relationship Id="rId4" Target="../charts/chart24.xml" Type="http://schemas.openxmlformats.org/officeDocument/2006/relationships/chart"/>
<Relationship Id="rId5" Target="../charts/chart25.xml" Type="http://schemas.openxmlformats.org/officeDocument/2006/relationships/chart"/>
</Relationships>

</file>

<file path=xl/drawings/_rels/drawing19.xml.rels><?xml version="1.0" encoding="UTF-8" standalone="yes"?>
<Relationships xmlns="http://schemas.openxmlformats.org/package/2006/relationships">
<Relationship Id="rId1" Target="../charts/chart26.xml" Type="http://schemas.openxmlformats.org/officeDocument/2006/relationships/chart"/>
<Relationship Id="rId2" Target="../charts/chart27.xml" Type="http://schemas.openxmlformats.org/officeDocument/2006/relationships/chart"/>
<Relationship Id="rId3" Target="../charts/chart28.xml" Type="http://schemas.openxmlformats.org/officeDocument/2006/relationships/chart"/>
<Relationship Id="rId4" Target="../charts/chart29.xml" Type="http://schemas.openxmlformats.org/officeDocument/2006/relationships/chart"/>
<Relationship Id="rId5" Target="../charts/chart30.xml" Type="http://schemas.openxmlformats.org/officeDocument/2006/relationships/chart"/>
<Relationship Id="rId6" Target="../charts/chart31.xml" Type="http://schemas.openxmlformats.org/officeDocument/2006/relationships/chart"/>
<Relationship Id="rId7" Target="../charts/chart32.xml" Type="http://schemas.openxmlformats.org/officeDocument/2006/relationships/chart"/>
</Relationships>

</file>

<file path=xl/drawings/_rels/drawing21.xml.rels><?xml version="1.0" encoding="UTF-8" standalone="yes"?>
<Relationships xmlns="http://schemas.openxmlformats.org/package/2006/relationships">
<Relationship Id="rId1" Target="../charts/chart33.xml" Type="http://schemas.openxmlformats.org/officeDocument/2006/relationships/chart"/>
<Relationship Id="rId2" Target="../charts/chart34.xml" Type="http://schemas.openxmlformats.org/officeDocument/2006/relationships/chart"/>
<Relationship Id="rId3" Target="../charts/chart35.xml" Type="http://schemas.openxmlformats.org/officeDocument/2006/relationships/chart"/>
<Relationship Id="rId4" Target="../charts/chart36.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104775</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2</xdr:col>
      <xdr:colOff>228600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175</xdr:row>
      <xdr:rowOff>0</xdr:rowOff>
    </xdr:from>
    <xdr:to>
      <xdr:col>9</xdr:col>
      <xdr:colOff>114300</xdr:colOff>
      <xdr:row>198</xdr:row>
      <xdr:rowOff>104775</xdr:rowOff>
    </xdr:to>
    <xdr:pic>
      <xdr:nvPicPr>
        <xdr:cNvPr id="58687489" name="Picture 1" descr="C:\Users\savinmar\AppData\Local\Temp\MercuryPriceRatingHistoryChart\MAR.O_2018_02_14_18_39_39.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1272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58688513" name="Button 1" hidden="1">
              <a:extLst>
                <a:ext uri="{63B3BB69-23CF-44E3-9099-C40C66FF867C}">
                  <a14:compatExt spid="_x0000_s58688513"/>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58688514" name="Button 2" hidden="1">
              <a:extLst>
                <a:ext uri="{63B3BB69-23CF-44E3-9099-C40C66FF867C}">
                  <a14:compatExt spid="_x0000_s58688514"/>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38100</xdr:colOff>
      <xdr:row>7</xdr:row>
      <xdr:rowOff>0</xdr:rowOff>
    </xdr:from>
    <xdr:to>
      <xdr:col>12</xdr:col>
      <xdr:colOff>66675</xdr:colOff>
      <xdr:row>30</xdr:row>
      <xdr:rowOff>123825</xdr:rowOff>
    </xdr:to>
    <xdr:graphicFrame macro="">
      <xdr:nvGraphicFramePr>
        <xdr:cNvPr id="5859622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112</xdr:col>
      <xdr:colOff>104775</xdr:colOff>
      <xdr:row>406</xdr:row>
      <xdr:rowOff>152400</xdr:rowOff>
    </xdr:from>
    <xdr:to>
      <xdr:col>120</xdr:col>
      <xdr:colOff>200025</xdr:colOff>
      <xdr:row>424</xdr:row>
      <xdr:rowOff>66675</xdr:rowOff>
    </xdr:to>
    <xdr:graphicFrame macro="">
      <xdr:nvGraphicFramePr>
        <xdr:cNvPr id="5859622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172</xdr:col>
      <xdr:colOff>95250</xdr:colOff>
      <xdr:row>568</xdr:row>
      <xdr:rowOff>19050</xdr:rowOff>
    </xdr:from>
    <xdr:to>
      <xdr:col>179</xdr:col>
      <xdr:colOff>314325</xdr:colOff>
      <xdr:row>586</xdr:row>
      <xdr:rowOff>95250</xdr:rowOff>
    </xdr:to>
    <xdr:graphicFrame macro="">
      <xdr:nvGraphicFramePr>
        <xdr:cNvPr id="5859622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217</xdr:col>
      <xdr:colOff>304800</xdr:colOff>
      <xdr:row>687</xdr:row>
      <xdr:rowOff>85725</xdr:rowOff>
    </xdr:from>
    <xdr:to>
      <xdr:col>224</xdr:col>
      <xdr:colOff>228600</xdr:colOff>
      <xdr:row>705</xdr:row>
      <xdr:rowOff>0</xdr:rowOff>
    </xdr:to>
    <xdr:graphicFrame macro="">
      <xdr:nvGraphicFramePr>
        <xdr:cNvPr id="58596224"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147</xdr:col>
      <xdr:colOff>447675</xdr:colOff>
      <xdr:row>519</xdr:row>
      <xdr:rowOff>152400</xdr:rowOff>
    </xdr:from>
    <xdr:to>
      <xdr:col>155</xdr:col>
      <xdr:colOff>523875</xdr:colOff>
      <xdr:row>540</xdr:row>
      <xdr:rowOff>0</xdr:rowOff>
    </xdr:to>
    <xdr:graphicFrame macro="">
      <xdr:nvGraphicFramePr>
        <xdr:cNvPr id="58596225"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178</xdr:col>
      <xdr:colOff>38100</xdr:colOff>
      <xdr:row>637</xdr:row>
      <xdr:rowOff>85725</xdr:rowOff>
    </xdr:from>
    <xdr:to>
      <xdr:col>178</xdr:col>
      <xdr:colOff>533400</xdr:colOff>
      <xdr:row>640</xdr:row>
      <xdr:rowOff>123825</xdr:rowOff>
    </xdr:to>
    <xdr:sp macro="" textlink="">
      <xdr:nvSpPr>
        <xdr:cNvPr id="58596226" name="TextBox 1"/>
        <xdr:cNvSpPr txBox="1">
          <a:spLocks noChangeArrowheads="1"/>
        </xdr:cNvSpPr>
      </xdr:nvSpPr>
      <xdr:spPr bwMode="auto">
        <a:xfrm>
          <a:off x="118033800" y="94535625"/>
          <a:ext cx="4953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173</xdr:col>
      <xdr:colOff>644900</xdr:colOff>
      <xdr:row>641</xdr:row>
      <xdr:rowOff>19608</xdr:rowOff>
    </xdr:from>
    <xdr:to>
      <xdr:col>174</xdr:col>
      <xdr:colOff>521635</xdr:colOff>
      <xdr:row>644</xdr:row>
      <xdr:rowOff>53227</xdr:rowOff>
    </xdr:to>
    <xdr:sp macro="" textlink="">
      <xdr:nvSpPr>
        <xdr:cNvPr id="9" name="TextBox 1"/>
        <xdr:cNvSpPr txBox="1"/>
      </xdr:nvSpPr>
      <xdr:spPr>
        <a:xfrm>
          <a:off x="115135400" y="84611133"/>
          <a:ext cx="657785" cy="519394"/>
        </a:xfrm>
        <a:prstGeom prst="rect">
          <a:avLst/>
        </a:prstGeom>
      </xdr:spPr>
      <xdr:txBody>
        <a:bodyPr wrap="square" rtlCol="0"/>
        <a:lstStyle/>
        <a:p>
          <a:pPr algn="ctr" rtl="0">
            <a:defRPr sz="1000"/>
          </a:pPr>
          <a:r>
            <a:rPr lang="en-US" sz="1200" b="1" i="0" u="none" strike="noStrike" baseline="0">
              <a:solidFill>
                <a:srgbClr val="E3E3E3"/>
              </a:solidFill>
              <a:latin typeface="Calibri"/>
              <a:cs typeface="Calibri"/>
            </a:rPr>
            <a:t>BASE</a:t>
          </a:r>
        </a:p>
        <a:p>
          <a:pPr algn="ctr" rtl="0">
            <a:defRPr sz="1000"/>
          </a:pPr>
          <a:r>
            <a:rPr lang="en-US" sz="1200" b="1" i="0" u="none" strike="noStrike" baseline="0">
              <a:solidFill>
                <a:srgbClr val="E3E3E3"/>
              </a:solidFill>
              <a:latin typeface="Calibri"/>
              <a:cs typeface="Calibri"/>
            </a:rPr>
            <a:t>CASE</a:t>
          </a:r>
        </a:p>
      </xdr:txBody>
    </xdr:sp>
    <xdr:clientData/>
  </xdr:twoCellAnchor>
  <xdr:twoCellAnchor>
    <xdr:from>
      <xdr:col>153</xdr:col>
      <xdr:colOff>179296</xdr:colOff>
      <xdr:row>523</xdr:row>
      <xdr:rowOff>81243</xdr:rowOff>
    </xdr:from>
    <xdr:to>
      <xdr:col>155</xdr:col>
      <xdr:colOff>67236</xdr:colOff>
      <xdr:row>534</xdr:row>
      <xdr:rowOff>88526</xdr:rowOff>
    </xdr:to>
    <xdr:sp macro="" textlink="">
      <xdr:nvSpPr>
        <xdr:cNvPr id="10" name="TextBox 1"/>
        <xdr:cNvSpPr txBox="1"/>
      </xdr:nvSpPr>
      <xdr:spPr>
        <a:xfrm>
          <a:off x="101582446" y="76662243"/>
          <a:ext cx="1259540" cy="1578908"/>
        </a:xfrm>
        <a:prstGeom prst="rect">
          <a:avLst/>
        </a:prstGeom>
      </xdr:spPr>
      <xdr:txBody>
        <a:bodyPr wrap="square" rtlCol="0"/>
        <a:lstStyle/>
        <a:p>
          <a:pPr algn="ctr" rtl="0">
            <a:defRPr sz="1000"/>
          </a:pPr>
          <a:r>
            <a:rPr lang="en-US" sz="1000" b="1" i="0" u="none" strike="noStrike" baseline="0">
              <a:solidFill>
                <a:srgbClr val="E3E3E3"/>
              </a:solidFill>
              <a:latin typeface="Calibri"/>
              <a:cs typeface="Calibri"/>
            </a:rPr>
            <a:t>BULL</a:t>
          </a:r>
        </a:p>
        <a:p>
          <a:pPr algn="ctr" rtl="0">
            <a:defRPr sz="1000"/>
          </a:pPr>
          <a:r>
            <a:rPr lang="en-US" sz="1000" b="1" i="0" u="none" strike="noStrike" baseline="0">
              <a:solidFill>
                <a:srgbClr val="E3E3E3"/>
              </a:solidFill>
              <a:latin typeface="Calibri"/>
              <a:cs typeface="Calibri"/>
            </a:rPr>
            <a:t>CASE</a:t>
          </a:r>
        </a:p>
        <a:p>
          <a:pPr algn="ctr" rtl="0">
            <a:defRPr sz="1000"/>
          </a:pPr>
          <a:endParaRPr lang="en-US" sz="1000" b="1" i="0" u="none" strike="noStrike" baseline="0">
            <a:solidFill>
              <a:srgbClr val="E3E3E3"/>
            </a:solidFill>
            <a:latin typeface="Calibri"/>
            <a:cs typeface="Calibri"/>
          </a:endParaRPr>
        </a:p>
      </xdr:txBody>
    </xdr:sp>
    <xdr:clientData/>
  </xdr:twoCellAnchor>
  <xdr:twoCellAnchor>
    <xdr:from>
      <xdr:col>149</xdr:col>
      <xdr:colOff>416297</xdr:colOff>
      <xdr:row>529</xdr:row>
      <xdr:rowOff>105336</xdr:rowOff>
    </xdr:from>
    <xdr:to>
      <xdr:col>150</xdr:col>
      <xdr:colOff>371474</xdr:colOff>
      <xdr:row>532</xdr:row>
      <xdr:rowOff>36980</xdr:rowOff>
    </xdr:to>
    <xdr:sp macro="" textlink="">
      <xdr:nvSpPr>
        <xdr:cNvPr id="11" name="TextBox 1"/>
        <xdr:cNvSpPr txBox="1"/>
      </xdr:nvSpPr>
      <xdr:spPr>
        <a:xfrm>
          <a:off x="100085897" y="77553111"/>
          <a:ext cx="517152" cy="312644"/>
        </a:xfrm>
        <a:prstGeom prst="rect">
          <a:avLst/>
        </a:prstGeom>
      </xdr:spPr>
      <xdr:txBody>
        <a:bodyPr wrap="square" rtlCol="0"/>
        <a:lstStyle/>
        <a:p>
          <a:pPr algn="ctr" rtl="0">
            <a:defRPr sz="1000"/>
          </a:pPr>
          <a:r>
            <a:rPr lang="en-US" sz="1000" b="1" i="0" u="none" strike="noStrike" baseline="0">
              <a:solidFill>
                <a:srgbClr val="E3E3E3"/>
              </a:solidFill>
              <a:latin typeface="Calibri"/>
              <a:cs typeface="Calibri"/>
            </a:rPr>
            <a:t>BASE</a:t>
          </a:r>
        </a:p>
        <a:p>
          <a:pPr algn="ctr" rtl="0">
            <a:defRPr sz="1000"/>
          </a:pPr>
          <a:r>
            <a:rPr lang="en-US" sz="1000" b="1" i="0" u="none" strike="noStrike" baseline="0">
              <a:solidFill>
                <a:srgbClr val="E3E3E3"/>
              </a:solidFill>
              <a:latin typeface="Calibri"/>
              <a:cs typeface="Calibri"/>
            </a:rPr>
            <a:t>CASE</a:t>
          </a:r>
        </a:p>
      </xdr:txBody>
    </xdr:sp>
    <xdr:clientData/>
  </xdr:twoCellAnchor>
  <xdr:twoCellAnchor>
    <xdr:from>
      <xdr:col>226</xdr:col>
      <xdr:colOff>1028700</xdr:colOff>
      <xdr:row>712</xdr:row>
      <xdr:rowOff>66675</xdr:rowOff>
    </xdr:from>
    <xdr:to>
      <xdr:col>231</xdr:col>
      <xdr:colOff>971550</xdr:colOff>
      <xdr:row>730</xdr:row>
      <xdr:rowOff>19050</xdr:rowOff>
    </xdr:to>
    <xdr:graphicFrame macro="">
      <xdr:nvGraphicFramePr>
        <xdr:cNvPr id="5859623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230</xdr:col>
      <xdr:colOff>134471</xdr:colOff>
      <xdr:row>714</xdr:row>
      <xdr:rowOff>78442</xdr:rowOff>
    </xdr:from>
    <xdr:to>
      <xdr:col>230</xdr:col>
      <xdr:colOff>582706</xdr:colOff>
      <xdr:row>717</xdr:row>
      <xdr:rowOff>67236</xdr:rowOff>
    </xdr:to>
    <xdr:cxnSp macro="">
      <xdr:nvCxnSpPr>
        <xdr:cNvPr id="4" name="Straight Arrow Connector 3"/>
        <xdr:cNvCxnSpPr/>
      </xdr:nvCxnSpPr>
      <xdr:spPr>
        <a:xfrm flipV="1">
          <a:off x="147503030" y="94409560"/>
          <a:ext cx="448235" cy="347382"/>
        </a:xfrm>
        <a:prstGeom prst="straightConnector1">
          <a:avLst/>
        </a:prstGeom>
        <a:ln w="22225">
          <a:solidFill>
            <a:srgbClr val="4AAC6B"/>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229</xdr:col>
      <xdr:colOff>158720</xdr:colOff>
      <xdr:row>712</xdr:row>
      <xdr:rowOff>148477</xdr:rowOff>
    </xdr:from>
    <xdr:to>
      <xdr:col>230</xdr:col>
      <xdr:colOff>684937</xdr:colOff>
      <xdr:row>715</xdr:row>
      <xdr:rowOff>126443</xdr:rowOff>
    </xdr:to>
    <xdr:sp macro="" textlink="">
      <xdr:nvSpPr>
        <xdr:cNvPr id="5" name="TextBox 4"/>
        <xdr:cNvSpPr txBox="1"/>
      </xdr:nvSpPr>
      <xdr:spPr>
        <a:xfrm rot="19432503">
          <a:off x="146989396" y="94165830"/>
          <a:ext cx="1064100" cy="448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a:t>9% </a:t>
          </a:r>
        </a:p>
        <a:p>
          <a:pPr algn="ctr"/>
          <a:r>
            <a:rPr lang="en-US" sz="1050"/>
            <a:t>'16</a:t>
          </a:r>
          <a:r>
            <a:rPr lang="en-US" sz="1050" baseline="0"/>
            <a:t> - '19e </a:t>
          </a:r>
          <a:r>
            <a:rPr lang="en-US" sz="1050"/>
            <a:t>CAGR</a:t>
          </a:r>
        </a:p>
      </xdr:txBody>
    </xdr:sp>
    <xdr:clientData/>
  </xdr:twoCellAnchor>
  <xdr:twoCellAnchor>
    <xdr:from>
      <xdr:col>228</xdr:col>
      <xdr:colOff>100853</xdr:colOff>
      <xdr:row>713</xdr:row>
      <xdr:rowOff>78441</xdr:rowOff>
    </xdr:from>
    <xdr:to>
      <xdr:col>228</xdr:col>
      <xdr:colOff>123264</xdr:colOff>
      <xdr:row>727</xdr:row>
      <xdr:rowOff>134471</xdr:rowOff>
    </xdr:to>
    <xdr:cxnSp macro="">
      <xdr:nvCxnSpPr>
        <xdr:cNvPr id="3" name="Straight Connector 2"/>
        <xdr:cNvCxnSpPr/>
      </xdr:nvCxnSpPr>
      <xdr:spPr>
        <a:xfrm>
          <a:off x="146393647" y="94107000"/>
          <a:ext cx="22411" cy="2140324"/>
        </a:xfrm>
        <a:prstGeom prst="line">
          <a:avLst/>
        </a:prstGeom>
        <a:ln w="19050">
          <a:solidFill>
            <a:srgbClr val="E6BE64"/>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182</xdr:col>
      <xdr:colOff>1038225</xdr:colOff>
      <xdr:row>593</xdr:row>
      <xdr:rowOff>133350</xdr:rowOff>
    </xdr:from>
    <xdr:to>
      <xdr:col>186</xdr:col>
      <xdr:colOff>219075</xdr:colOff>
      <xdr:row>610</xdr:row>
      <xdr:rowOff>133350</xdr:rowOff>
    </xdr:to>
    <xdr:graphicFrame macro="">
      <xdr:nvGraphicFramePr>
        <xdr:cNvPr id="5859623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189</xdr:col>
      <xdr:colOff>704850</xdr:colOff>
      <xdr:row>617</xdr:row>
      <xdr:rowOff>152400</xdr:rowOff>
    </xdr:from>
    <xdr:to>
      <xdr:col>193</xdr:col>
      <xdr:colOff>47625</xdr:colOff>
      <xdr:row>634</xdr:row>
      <xdr:rowOff>114300</xdr:rowOff>
    </xdr:to>
    <xdr:graphicFrame macro="">
      <xdr:nvGraphicFramePr>
        <xdr:cNvPr id="58596235"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260</xdr:col>
      <xdr:colOff>476250</xdr:colOff>
      <xdr:row>852</xdr:row>
      <xdr:rowOff>119062</xdr:rowOff>
    </xdr:from>
    <xdr:to>
      <xdr:col>267</xdr:col>
      <xdr:colOff>238125</xdr:colOff>
      <xdr:row>869</xdr:row>
      <xdr:rowOff>109537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272</xdr:col>
      <xdr:colOff>0</xdr:colOff>
      <xdr:row>894</xdr:row>
      <xdr:rowOff>4762</xdr:rowOff>
    </xdr:from>
    <xdr:to>
      <xdr:col>280</xdr:col>
      <xdr:colOff>304800</xdr:colOff>
      <xdr:row>910</xdr:row>
      <xdr:rowOff>157162</xdr:rowOff>
    </xdr:to>
    <xdr:graphicFrame macro="">
      <xdr:nvGraphicFramePr>
        <xdr:cNvPr id="2" name="Chart 15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0.65951</cdr:x>
      <cdr:y>0.25049</cdr:y>
    </cdr:from>
    <cdr:to>
      <cdr:x>0.86787</cdr:x>
      <cdr:y>0.41446</cdr:y>
    </cdr:to>
    <cdr:sp macro="" textlink="">
      <cdr:nvSpPr>
        <cdr:cNvPr id="2" name="TextBox 1"/>
        <cdr:cNvSpPr txBox="1"/>
      </cdr:nvSpPr>
      <cdr:spPr>
        <a:xfrm xmlns:a="http://schemas.openxmlformats.org/drawingml/2006/main">
          <a:off x="3014927" y="789482"/>
          <a:ext cx="952506" cy="58268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rtl="0">
            <a:defRPr sz="1000"/>
          </a:pPr>
          <a:r>
            <a:rPr lang="en-US" sz="1200" b="1" i="0" u="none" strike="noStrike" baseline="0">
              <a:solidFill>
                <a:srgbClr val="E3E3E3"/>
              </a:solidFill>
              <a:latin typeface="Calibri"/>
              <a:cs typeface="Calibri"/>
            </a:rPr>
            <a:t>BULL </a:t>
          </a:r>
        </a:p>
        <a:p xmlns:a="http://schemas.openxmlformats.org/drawingml/2006/main">
          <a:pPr algn="ctr" rtl="0">
            <a:defRPr sz="1000"/>
          </a:pPr>
          <a:r>
            <a:rPr lang="en-US" sz="1200" b="1" i="0" u="none" strike="noStrike" baseline="0">
              <a:solidFill>
                <a:srgbClr val="E3E3E3"/>
              </a:solidFill>
              <a:latin typeface="Calibri"/>
              <a:cs typeface="Calibri"/>
            </a:rPr>
            <a:t>CASE</a:t>
          </a:r>
        </a:p>
      </cdr:txBody>
    </cdr:sp>
  </cdr:relSizeAnchor>
</c:userShapes>
</file>

<file path=xl/drawings/drawing5.xml><?xml version="1.0" encoding="utf-8"?>
<c:userShapes xmlns:c="http://schemas.openxmlformats.org/drawingml/2006/chart">
  <cdr:relSizeAnchor xmlns:cdr="http://schemas.openxmlformats.org/drawingml/2006/chartDrawing">
    <cdr:from>
      <cdr:x>0.35877</cdr:x>
      <cdr:y>0.05659</cdr:y>
    </cdr:from>
    <cdr:to>
      <cdr:x>0.50524</cdr:x>
      <cdr:y>0.1395</cdr:y>
    </cdr:to>
    <cdr:sp macro="" textlink="">
      <cdr:nvSpPr>
        <cdr:cNvPr id="2" name="TextBox 1"/>
        <cdr:cNvSpPr txBox="1"/>
      </cdr:nvSpPr>
      <cdr:spPr>
        <a:xfrm xmlns:a="http://schemas.openxmlformats.org/drawingml/2006/main">
          <a:off x="1447800" y="90488"/>
          <a:ext cx="714375" cy="2571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050" b="1"/>
            <a:t>$1.8B</a:t>
          </a:r>
        </a:p>
      </cdr:txBody>
    </cdr:sp>
  </cdr:relSizeAnchor>
  <cdr:relSizeAnchor xmlns:cdr="http://schemas.openxmlformats.org/drawingml/2006/chartDrawing">
    <cdr:from>
      <cdr:x>0.71672</cdr:x>
      <cdr:y>0.63689</cdr:y>
    </cdr:from>
    <cdr:to>
      <cdr:x>0.86268</cdr:x>
      <cdr:y>0.71981</cdr:y>
    </cdr:to>
    <cdr:sp macro="" textlink="">
      <cdr:nvSpPr>
        <cdr:cNvPr id="3" name="TextBox 1"/>
        <cdr:cNvSpPr txBox="1"/>
      </cdr:nvSpPr>
      <cdr:spPr>
        <a:xfrm xmlns:a="http://schemas.openxmlformats.org/drawingml/2006/main">
          <a:off x="3194050" y="1889125"/>
          <a:ext cx="714375" cy="2571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50" b="1"/>
            <a:t>$240m</a:t>
          </a:r>
        </a:p>
      </cdr:txBody>
    </cdr:sp>
  </cdr:relSizeAnchor>
</c:userShapes>
</file>

<file path=xl/drawings/drawing6.xml><?xml version="1.0" encoding="utf-8"?>
<c:userShapes xmlns:c="http://schemas.openxmlformats.org/drawingml/2006/chart">
  <cdr:relSizeAnchor xmlns:cdr="http://schemas.openxmlformats.org/drawingml/2006/chartDrawing">
    <cdr:from>
      <cdr:x>0.35188</cdr:x>
      <cdr:y>0.05407</cdr:y>
    </cdr:from>
    <cdr:to>
      <cdr:x>0.49857</cdr:x>
      <cdr:y>0.13675</cdr:y>
    </cdr:to>
    <cdr:sp macro="" textlink="">
      <cdr:nvSpPr>
        <cdr:cNvPr id="2" name="TextBox 1"/>
        <cdr:cNvSpPr txBox="1"/>
      </cdr:nvSpPr>
      <cdr:spPr>
        <a:xfrm xmlns:a="http://schemas.openxmlformats.org/drawingml/2006/main">
          <a:off x="1494028" y="80136"/>
          <a:ext cx="750094" cy="25449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050" b="1"/>
            <a:t>$2.1B</a:t>
          </a:r>
        </a:p>
      </cdr:txBody>
    </cdr:sp>
  </cdr:relSizeAnchor>
  <cdr:relSizeAnchor xmlns:cdr="http://schemas.openxmlformats.org/drawingml/2006/chartDrawing">
    <cdr:from>
      <cdr:x>0.71527</cdr:x>
      <cdr:y>0.58965</cdr:y>
    </cdr:from>
    <cdr:to>
      <cdr:x>0.86196</cdr:x>
      <cdr:y>0.67258</cdr:y>
    </cdr:to>
    <cdr:sp macro="" textlink="">
      <cdr:nvSpPr>
        <cdr:cNvPr id="3" name="TextBox 1"/>
        <cdr:cNvSpPr txBox="1"/>
      </cdr:nvSpPr>
      <cdr:spPr>
        <a:xfrm xmlns:a="http://schemas.openxmlformats.org/drawingml/2006/main">
          <a:off x="3194045" y="1746257"/>
          <a:ext cx="714375" cy="2571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50" b="1"/>
            <a:t>$279m</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4394200" cy="17780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oneCellAnchor>
    <xdr:from>
      <xdr:col>3</xdr:col>
      <xdr:colOff>104775</xdr:colOff>
      <xdr:row>0</xdr:row>
      <xdr:rowOff>38100</xdr:rowOff>
    </xdr:from>
    <xdr:ext cx="2493503" cy="457305"/>
    <xdr:sp macro="" textlink="">
      <xdr:nvSpPr>
        <xdr:cNvPr id="79873" name="Text Box 1"/>
        <xdr:cNvSpPr txBox="1">
          <a:spLocks noChangeArrowheads="1"/>
        </xdr:cNvSpPr>
      </xdr:nvSpPr>
      <xdr:spPr bwMode="auto">
        <a:xfrm>
          <a:off x="3271838" y="38100"/>
          <a:ext cx="2493503" cy="457305"/>
        </a:xfrm>
        <a:prstGeom prst="rect">
          <a:avLst/>
        </a:prstGeom>
        <a:solidFill>
          <a:srgbClr xmlns:mc="http://schemas.openxmlformats.org/markup-compatibility/2006" xmlns:a14="http://schemas.microsoft.com/office/drawing/2010/main" val="F0F0F0"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wrap="none" lIns="27432" tIns="27432" rIns="0" bIns="0" anchor="t" upright="1">
          <a:spAutoFit/>
        </a:bodyPr>
        <a:lstStyle/>
        <a:p>
          <a:pPr algn="l" rtl="0">
            <a:lnSpc>
              <a:spcPts val="1100"/>
            </a:lnSpc>
            <a:defRPr sz="1000"/>
          </a:pPr>
          <a:r>
            <a:rPr lang="en-US" sz="1000" b="1" i="0" u="none" strike="noStrike" baseline="0">
              <a:solidFill>
                <a:srgbClr val="008000"/>
              </a:solidFill>
              <a:latin typeface="Arial"/>
              <a:cs typeface="Arial"/>
            </a:rPr>
            <a:t>Change only those values in Green</a:t>
          </a:r>
          <a:endParaRPr lang="en-US" sz="1000" b="0" i="0" u="none" strike="noStrike" baseline="0">
            <a:solidFill>
              <a:srgbClr val="000000"/>
            </a:solidFill>
            <a:latin typeface="Arial"/>
            <a:cs typeface="Arial"/>
          </a:endParaRPr>
        </a:p>
        <a:p>
          <a:pPr algn="l" rtl="0">
            <a:lnSpc>
              <a:spcPts val="1100"/>
            </a:lnSpc>
            <a:defRPr sz="1000"/>
          </a:pPr>
          <a:r>
            <a:rPr lang="en-US" sz="1000" b="1" i="0" u="none" strike="noStrike" baseline="0">
              <a:solidFill>
                <a:srgbClr val="FF0000"/>
              </a:solidFill>
              <a:latin typeface="Arial"/>
              <a:cs typeface="Arial"/>
            </a:rPr>
            <a:t>Do not change values in Red (formulas)</a:t>
          </a: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Yellow Rows may be deleted if not used </a:t>
          </a:r>
        </a:p>
      </xdr:txBody>
    </xdr:sp>
    <xdr:clientData/>
  </xdr:oneCellAnchor>
  <xdr:twoCellAnchor>
    <xdr:from>
      <xdr:col>2</xdr:col>
      <xdr:colOff>581025</xdr:colOff>
      <xdr:row>12</xdr:row>
      <xdr:rowOff>85725</xdr:rowOff>
    </xdr:from>
    <xdr:to>
      <xdr:col>5</xdr:col>
      <xdr:colOff>838200</xdr:colOff>
      <xdr:row>22</xdr:row>
      <xdr:rowOff>104775</xdr:rowOff>
    </xdr:to>
    <xdr:graphicFrame macro="">
      <xdr:nvGraphicFramePr>
        <xdr:cNvPr id="16605034" name="Chart 2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29</xdr:col>
      <xdr:colOff>47625</xdr:colOff>
      <xdr:row>179</xdr:row>
      <xdr:rowOff>133350</xdr:rowOff>
    </xdr:from>
    <xdr:to>
      <xdr:col>38</xdr:col>
      <xdr:colOff>0</xdr:colOff>
      <xdr:row>201</xdr:row>
      <xdr:rowOff>76200</xdr:rowOff>
    </xdr:to>
    <xdr:graphicFrame macro="">
      <xdr:nvGraphicFramePr>
        <xdr:cNvPr id="1516946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295275</xdr:colOff>
      <xdr:row>41</xdr:row>
      <xdr:rowOff>19050</xdr:rowOff>
    </xdr:from>
    <xdr:to>
      <xdr:col>13</xdr:col>
      <xdr:colOff>466725</xdr:colOff>
      <xdr:row>67</xdr:row>
      <xdr:rowOff>19050</xdr:rowOff>
    </xdr:to>
    <xdr:graphicFrame macro="">
      <xdr:nvGraphicFramePr>
        <xdr:cNvPr id="1517560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0.51945</cdr:x>
      <cdr:y>0.24807</cdr:y>
    </cdr:from>
    <cdr:to>
      <cdr:x>0.85732</cdr:x>
      <cdr:y>0.34544</cdr:y>
    </cdr:to>
    <cdr:sp macro="" textlink="">
      <cdr:nvSpPr>
        <cdr:cNvPr id="132098" name="Text Box 2"/>
        <cdr:cNvSpPr txBox="1">
          <a:spLocks xmlns:a="http://schemas.openxmlformats.org/drawingml/2006/main" noChangeArrowheads="1"/>
        </cdr:cNvSpPr>
      </cdr:nvSpPr>
      <cdr:spPr bwMode="auto">
        <a:xfrm xmlns:a="http://schemas.openxmlformats.org/drawingml/2006/main">
          <a:off x="3308307" y="657076"/>
          <a:ext cx="2149735" cy="53410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0F0F0" mc:Ignorable="a14" a14:legacySpreadsheetColorIndex="65"/>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vertOverflow="clip" wrap="square" lIns="36576" tIns="22860" rIns="36576" bIns="22860" anchor="ctr" upright="1"/>
        <a:lstStyle xmlns:a="http://schemas.openxmlformats.org/drawingml/2006/main"/>
        <a:p xmlns:a="http://schemas.openxmlformats.org/drawingml/2006/main">
          <a:pPr algn="ctr" rtl="0">
            <a:lnSpc>
              <a:spcPts val="1300"/>
            </a:lnSpc>
            <a:defRPr sz="1000"/>
          </a:pPr>
          <a:r>
            <a:rPr lang="en-US" sz="1200" b="0" i="0" u="none" strike="noStrike" baseline="0">
              <a:solidFill>
                <a:srgbClr val="000000"/>
              </a:solidFill>
              <a:latin typeface="Arial"/>
              <a:cs typeface="Arial"/>
            </a:rPr>
            <a:t>Incentive Fee Recovery Less Robust than Last Up-Cycle</a:t>
          </a:r>
        </a:p>
      </cdr:txBody>
    </cdr:sp>
  </cdr:relSizeAnchor>
</c:userShapes>
</file>

<file path=xl/drawings/drawing12.xml><?xml version="1.0" encoding="utf-8"?>
<xdr:wsDr xmlns:xdr="http://schemas.openxmlformats.org/drawingml/2006/spreadsheetDrawing" xmlns:a="http://schemas.openxmlformats.org/drawingml/2006/main">
  <xdr:twoCellAnchor>
    <xdr:from>
      <xdr:col>15</xdr:col>
      <xdr:colOff>66675</xdr:colOff>
      <xdr:row>54</xdr:row>
      <xdr:rowOff>85725</xdr:rowOff>
    </xdr:from>
    <xdr:to>
      <xdr:col>23</xdr:col>
      <xdr:colOff>438150</xdr:colOff>
      <xdr:row>77</xdr:row>
      <xdr:rowOff>0</xdr:rowOff>
    </xdr:to>
    <xdr:graphicFrame macro="">
      <xdr:nvGraphicFramePr>
        <xdr:cNvPr id="15189941" name="Chart 3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21</xdr:col>
      <xdr:colOff>0</xdr:colOff>
      <xdr:row>169</xdr:row>
      <xdr:rowOff>0</xdr:rowOff>
    </xdr:from>
    <xdr:to>
      <xdr:col>29</xdr:col>
      <xdr:colOff>19050</xdr:colOff>
      <xdr:row>189</xdr:row>
      <xdr:rowOff>104775</xdr:rowOff>
    </xdr:to>
    <xdr:graphicFrame macro="">
      <xdr:nvGraphicFramePr>
        <xdr:cNvPr id="1757862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428625</xdr:colOff>
      <xdr:row>193</xdr:row>
      <xdr:rowOff>9525</xdr:rowOff>
    </xdr:from>
    <xdr:to>
      <xdr:col>41</xdr:col>
      <xdr:colOff>676275</xdr:colOff>
      <xdr:row>212</xdr:row>
      <xdr:rowOff>104775</xdr:rowOff>
    </xdr:to>
    <xdr:graphicFrame macro="">
      <xdr:nvGraphicFramePr>
        <xdr:cNvPr id="17578630"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19050</xdr:colOff>
      <xdr:row>197</xdr:row>
      <xdr:rowOff>104775</xdr:rowOff>
    </xdr:from>
    <xdr:to>
      <xdr:col>28</xdr:col>
      <xdr:colOff>466725</xdr:colOff>
      <xdr:row>216</xdr:row>
      <xdr:rowOff>66675</xdr:rowOff>
    </xdr:to>
    <xdr:graphicFrame macro="">
      <xdr:nvGraphicFramePr>
        <xdr:cNvPr id="17578631" name="Chart 3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323850</xdr:colOff>
      <xdr:row>222</xdr:row>
      <xdr:rowOff>0</xdr:rowOff>
    </xdr:from>
    <xdr:to>
      <xdr:col>29</xdr:col>
      <xdr:colOff>228600</xdr:colOff>
      <xdr:row>242</xdr:row>
      <xdr:rowOff>85725</xdr:rowOff>
    </xdr:to>
    <xdr:graphicFrame macro="">
      <xdr:nvGraphicFramePr>
        <xdr:cNvPr id="1757863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49</xdr:col>
      <xdr:colOff>142875</xdr:colOff>
      <xdr:row>267</xdr:row>
      <xdr:rowOff>38100</xdr:rowOff>
    </xdr:from>
    <xdr:to>
      <xdr:col>55</xdr:col>
      <xdr:colOff>123825</xdr:colOff>
      <xdr:row>285</xdr:row>
      <xdr:rowOff>133350</xdr:rowOff>
    </xdr:to>
    <xdr:graphicFrame macro="">
      <xdr:nvGraphicFramePr>
        <xdr:cNvPr id="17578633"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0.13467</cdr:x>
      <cdr:y>0.35656</cdr:y>
    </cdr:from>
    <cdr:to>
      <cdr:x>0.97466</cdr:x>
      <cdr:y>0.35656</cdr:y>
    </cdr:to>
    <cdr:sp macro="" textlink="">
      <cdr:nvSpPr>
        <cdr:cNvPr id="82945" name="Line 1"/>
        <cdr:cNvSpPr>
          <a:spLocks xmlns:a="http://schemas.openxmlformats.org/drawingml/2006/main" noChangeShapeType="1"/>
        </cdr:cNvSpPr>
      </cdr:nvSpPr>
      <cdr:spPr bwMode="auto">
        <a:xfrm xmlns:a="http://schemas.openxmlformats.org/drawingml/2006/main">
          <a:off x="745880" y="1406746"/>
          <a:ext cx="463251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prstDash val="dash"/>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0.13639</cdr:x>
      <cdr:y>0.61124</cdr:y>
    </cdr:from>
    <cdr:to>
      <cdr:x>0.9749</cdr:x>
      <cdr:y>0.61124</cdr:y>
    </cdr:to>
    <cdr:sp macro="" textlink="">
      <cdr:nvSpPr>
        <cdr:cNvPr id="82946" name="Line 2"/>
        <cdr:cNvSpPr>
          <a:spLocks xmlns:a="http://schemas.openxmlformats.org/drawingml/2006/main" noChangeShapeType="1"/>
        </cdr:cNvSpPr>
      </cdr:nvSpPr>
      <cdr:spPr bwMode="auto">
        <a:xfrm xmlns:a="http://schemas.openxmlformats.org/drawingml/2006/main">
          <a:off x="755364" y="2252380"/>
          <a:ext cx="4624381"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prstDash val="dash"/>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15.xml><?xml version="1.0" encoding="utf-8"?>
<c:userShapes xmlns:c="http://schemas.openxmlformats.org/drawingml/2006/chart">
  <cdr:relSizeAnchor xmlns:cdr="http://schemas.openxmlformats.org/drawingml/2006/chartDrawing">
    <cdr:from>
      <cdr:x>0.83482</cdr:x>
      <cdr:y>0.18523</cdr:y>
    </cdr:from>
    <cdr:to>
      <cdr:x>0.90699</cdr:x>
      <cdr:y>0.2631</cdr:y>
    </cdr:to>
    <cdr:sp macro="" textlink="">
      <cdr:nvSpPr>
        <cdr:cNvPr id="83969" name="Text Box 1"/>
        <cdr:cNvSpPr txBox="1">
          <a:spLocks xmlns:a="http://schemas.openxmlformats.org/drawingml/2006/main" noChangeArrowheads="1"/>
        </cdr:cNvSpPr>
      </cdr:nvSpPr>
      <cdr:spPr bwMode="auto">
        <a:xfrm xmlns:a="http://schemas.openxmlformats.org/drawingml/2006/main">
          <a:off x="4392505" y="778608"/>
          <a:ext cx="379447" cy="23502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50" b="1" i="0" u="none" strike="noStrike" baseline="0">
              <a:solidFill>
                <a:srgbClr val="000000"/>
              </a:solidFill>
              <a:latin typeface="Arial"/>
              <a:cs typeface="Arial"/>
            </a:rPr>
            <a:t>VIP</a:t>
          </a:r>
        </a:p>
      </cdr:txBody>
    </cdr:sp>
  </cdr:relSizeAnchor>
  <cdr:relSizeAnchor xmlns:cdr="http://schemas.openxmlformats.org/drawingml/2006/chartDrawing">
    <cdr:from>
      <cdr:x>0.84685</cdr:x>
      <cdr:y>0.79458</cdr:y>
    </cdr:from>
    <cdr:to>
      <cdr:x>0.92</cdr:x>
      <cdr:y>0.86905</cdr:y>
    </cdr:to>
    <cdr:sp macro="" textlink="">
      <cdr:nvSpPr>
        <cdr:cNvPr id="83970" name="Text Box 2"/>
        <cdr:cNvSpPr txBox="1">
          <a:spLocks xmlns:a="http://schemas.openxmlformats.org/drawingml/2006/main" noChangeArrowheads="1"/>
        </cdr:cNvSpPr>
      </cdr:nvSpPr>
      <cdr:spPr bwMode="auto">
        <a:xfrm xmlns:a="http://schemas.openxmlformats.org/drawingml/2006/main">
          <a:off x="4455746" y="2611837"/>
          <a:ext cx="384610" cy="22406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50" b="1" i="0" u="none" strike="noStrike" baseline="0">
              <a:solidFill>
                <a:srgbClr val="000000"/>
              </a:solidFill>
              <a:latin typeface="Arial"/>
              <a:cs typeface="Arial"/>
            </a:rPr>
            <a:t>Mass</a:t>
          </a:r>
        </a:p>
      </cdr:txBody>
    </cdr:sp>
  </cdr:relSizeAnchor>
</c:userShapes>
</file>

<file path=xl/drawings/drawing16.xml><?xml version="1.0" encoding="utf-8"?>
<xdr:wsDr xmlns:xdr="http://schemas.openxmlformats.org/drawingml/2006/spreadsheetDrawing" xmlns:a="http://schemas.openxmlformats.org/drawingml/2006/main">
  <xdr:twoCellAnchor>
    <xdr:from>
      <xdr:col>21</xdr:col>
      <xdr:colOff>0</xdr:colOff>
      <xdr:row>169</xdr:row>
      <xdr:rowOff>0</xdr:rowOff>
    </xdr:from>
    <xdr:to>
      <xdr:col>29</xdr:col>
      <xdr:colOff>19050</xdr:colOff>
      <xdr:row>189</xdr:row>
      <xdr:rowOff>104775</xdr:rowOff>
    </xdr:to>
    <xdr:graphicFrame macro="">
      <xdr:nvGraphicFramePr>
        <xdr:cNvPr id="17584773" name="Chart 1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428625</xdr:colOff>
      <xdr:row>193</xdr:row>
      <xdr:rowOff>9525</xdr:rowOff>
    </xdr:from>
    <xdr:to>
      <xdr:col>41</xdr:col>
      <xdr:colOff>676275</xdr:colOff>
      <xdr:row>212</xdr:row>
      <xdr:rowOff>104775</xdr:rowOff>
    </xdr:to>
    <xdr:graphicFrame macro="">
      <xdr:nvGraphicFramePr>
        <xdr:cNvPr id="17584774" name="Chart 2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19050</xdr:colOff>
      <xdr:row>197</xdr:row>
      <xdr:rowOff>104775</xdr:rowOff>
    </xdr:from>
    <xdr:to>
      <xdr:col>28</xdr:col>
      <xdr:colOff>466725</xdr:colOff>
      <xdr:row>216</xdr:row>
      <xdr:rowOff>66675</xdr:rowOff>
    </xdr:to>
    <xdr:graphicFrame macro="">
      <xdr:nvGraphicFramePr>
        <xdr:cNvPr id="17584775" name="Chart 3 (1)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323850</xdr:colOff>
      <xdr:row>222</xdr:row>
      <xdr:rowOff>0</xdr:rowOff>
    </xdr:from>
    <xdr:to>
      <xdr:col>29</xdr:col>
      <xdr:colOff>228600</xdr:colOff>
      <xdr:row>242</xdr:row>
      <xdr:rowOff>85725</xdr:rowOff>
    </xdr:to>
    <xdr:graphicFrame macro="">
      <xdr:nvGraphicFramePr>
        <xdr:cNvPr id="17584776" name="Chart 4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49</xdr:col>
      <xdr:colOff>142875</xdr:colOff>
      <xdr:row>267</xdr:row>
      <xdr:rowOff>38100</xdr:rowOff>
    </xdr:from>
    <xdr:to>
      <xdr:col>55</xdr:col>
      <xdr:colOff>123825</xdr:colOff>
      <xdr:row>285</xdr:row>
      <xdr:rowOff>133350</xdr:rowOff>
    </xdr:to>
    <xdr:graphicFrame macro="">
      <xdr:nvGraphicFramePr>
        <xdr:cNvPr id="17584777" name="Chart 5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7.xml><?xml version="1.0" encoding="utf-8"?>
<c:userShapes xmlns:c="http://schemas.openxmlformats.org/drawingml/2006/chart">
  <cdr:relSizeAnchor xmlns:cdr="http://schemas.openxmlformats.org/drawingml/2006/chartDrawing">
    <cdr:from>
      <cdr:x>0.13492</cdr:x>
      <cdr:y>0.35656</cdr:y>
    </cdr:from>
    <cdr:to>
      <cdr:x>0.97466</cdr:x>
      <cdr:y>0.35656</cdr:y>
    </cdr:to>
    <cdr:sp macro="" textlink="">
      <cdr:nvSpPr>
        <cdr:cNvPr id="68609" name="Line 1"/>
        <cdr:cNvSpPr>
          <a:spLocks xmlns:a="http://schemas.openxmlformats.org/drawingml/2006/main" noChangeShapeType="1"/>
        </cdr:cNvSpPr>
      </cdr:nvSpPr>
      <cdr:spPr bwMode="auto">
        <a:xfrm xmlns:a="http://schemas.openxmlformats.org/drawingml/2006/main">
          <a:off x="747235" y="1406746"/>
          <a:ext cx="4631155"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prstDash val="dash"/>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0.13639</cdr:x>
      <cdr:y>0.61124</cdr:y>
    </cdr:from>
    <cdr:to>
      <cdr:x>0.9749</cdr:x>
      <cdr:y>0.61124</cdr:y>
    </cdr:to>
    <cdr:sp macro="" textlink="">
      <cdr:nvSpPr>
        <cdr:cNvPr id="68610" name="Line 2"/>
        <cdr:cNvSpPr>
          <a:spLocks xmlns:a="http://schemas.openxmlformats.org/drawingml/2006/main" noChangeShapeType="1"/>
        </cdr:cNvSpPr>
      </cdr:nvSpPr>
      <cdr:spPr bwMode="auto">
        <a:xfrm xmlns:a="http://schemas.openxmlformats.org/drawingml/2006/main">
          <a:off x="755364" y="2252380"/>
          <a:ext cx="4624381"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prstDash val="dash"/>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18.xml><?xml version="1.0" encoding="utf-8"?>
<c:userShapes xmlns:c="http://schemas.openxmlformats.org/drawingml/2006/chart">
  <cdr:relSizeAnchor xmlns:cdr="http://schemas.openxmlformats.org/drawingml/2006/chartDrawing">
    <cdr:from>
      <cdr:x>0.83482</cdr:x>
      <cdr:y>0.18523</cdr:y>
    </cdr:from>
    <cdr:to>
      <cdr:x>0.90699</cdr:x>
      <cdr:y>0.2631</cdr:y>
    </cdr:to>
    <cdr:sp macro="" textlink="">
      <cdr:nvSpPr>
        <cdr:cNvPr id="69633" name="Text Box 1"/>
        <cdr:cNvSpPr txBox="1">
          <a:spLocks xmlns:a="http://schemas.openxmlformats.org/drawingml/2006/main" noChangeArrowheads="1"/>
        </cdr:cNvSpPr>
      </cdr:nvSpPr>
      <cdr:spPr bwMode="auto">
        <a:xfrm xmlns:a="http://schemas.openxmlformats.org/drawingml/2006/main">
          <a:off x="4392505" y="778608"/>
          <a:ext cx="379447" cy="235029"/>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50" b="1" i="0" u="none" strike="noStrike" baseline="0">
              <a:solidFill>
                <a:srgbClr val="000000"/>
              </a:solidFill>
              <a:latin typeface="Arial"/>
              <a:cs typeface="Arial"/>
            </a:rPr>
            <a:t>VIP</a:t>
          </a:r>
        </a:p>
      </cdr:txBody>
    </cdr:sp>
  </cdr:relSizeAnchor>
  <cdr:relSizeAnchor xmlns:cdr="http://schemas.openxmlformats.org/drawingml/2006/chartDrawing">
    <cdr:from>
      <cdr:x>0.84685</cdr:x>
      <cdr:y>0.79458</cdr:y>
    </cdr:from>
    <cdr:to>
      <cdr:x>0.92</cdr:x>
      <cdr:y>0.86905</cdr:y>
    </cdr:to>
    <cdr:sp macro="" textlink="">
      <cdr:nvSpPr>
        <cdr:cNvPr id="69634" name="Text Box 2"/>
        <cdr:cNvSpPr txBox="1">
          <a:spLocks xmlns:a="http://schemas.openxmlformats.org/drawingml/2006/main" noChangeArrowheads="1"/>
        </cdr:cNvSpPr>
      </cdr:nvSpPr>
      <cdr:spPr bwMode="auto">
        <a:xfrm xmlns:a="http://schemas.openxmlformats.org/drawingml/2006/main">
          <a:off x="4455746" y="2611837"/>
          <a:ext cx="384610" cy="22406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50" b="1" i="0" u="none" strike="noStrike" baseline="0">
              <a:solidFill>
                <a:srgbClr val="000000"/>
              </a:solidFill>
              <a:latin typeface="Arial"/>
              <a:cs typeface="Arial"/>
            </a:rPr>
            <a:t>Mass</a:t>
          </a:r>
        </a:p>
      </cdr:txBody>
    </cdr:sp>
  </cdr:relSizeAnchor>
</c:userShapes>
</file>

<file path=xl/drawings/drawing19.xml><?xml version="1.0" encoding="utf-8"?>
<xdr:wsDr xmlns:xdr="http://schemas.openxmlformats.org/drawingml/2006/spreadsheetDrawing" xmlns:a="http://schemas.openxmlformats.org/drawingml/2006/main">
  <xdr:twoCellAnchor>
    <xdr:from>
      <xdr:col>69</xdr:col>
      <xdr:colOff>152400</xdr:colOff>
      <xdr:row>94</xdr:row>
      <xdr:rowOff>19050</xdr:rowOff>
    </xdr:from>
    <xdr:to>
      <xdr:col>80</xdr:col>
      <xdr:colOff>276225</xdr:colOff>
      <xdr:row>119</xdr:row>
      <xdr:rowOff>142875</xdr:rowOff>
    </xdr:to>
    <xdr:graphicFrame macro="">
      <xdr:nvGraphicFramePr>
        <xdr:cNvPr id="1759076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81</xdr:col>
      <xdr:colOff>276225</xdr:colOff>
      <xdr:row>94</xdr:row>
      <xdr:rowOff>19050</xdr:rowOff>
    </xdr:from>
    <xdr:to>
      <xdr:col>92</xdr:col>
      <xdr:colOff>400050</xdr:colOff>
      <xdr:row>119</xdr:row>
      <xdr:rowOff>123825</xdr:rowOff>
    </xdr:to>
    <xdr:graphicFrame macro="">
      <xdr:nvGraphicFramePr>
        <xdr:cNvPr id="1759076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181</xdr:col>
      <xdr:colOff>57150</xdr:colOff>
      <xdr:row>395</xdr:row>
      <xdr:rowOff>114300</xdr:rowOff>
    </xdr:from>
    <xdr:to>
      <xdr:col>190</xdr:col>
      <xdr:colOff>209550</xdr:colOff>
      <xdr:row>416</xdr:row>
      <xdr:rowOff>85725</xdr:rowOff>
    </xdr:to>
    <xdr:graphicFrame macro="">
      <xdr:nvGraphicFramePr>
        <xdr:cNvPr id="17590767"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193</xdr:col>
      <xdr:colOff>47625</xdr:colOff>
      <xdr:row>395</xdr:row>
      <xdr:rowOff>114300</xdr:rowOff>
    </xdr:from>
    <xdr:to>
      <xdr:col>202</xdr:col>
      <xdr:colOff>342900</xdr:colOff>
      <xdr:row>416</xdr:row>
      <xdr:rowOff>66675</xdr:rowOff>
    </xdr:to>
    <xdr:graphicFrame macro="">
      <xdr:nvGraphicFramePr>
        <xdr:cNvPr id="17590768"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181</xdr:col>
      <xdr:colOff>57150</xdr:colOff>
      <xdr:row>419</xdr:row>
      <xdr:rowOff>114300</xdr:rowOff>
    </xdr:from>
    <xdr:to>
      <xdr:col>190</xdr:col>
      <xdr:colOff>247650</xdr:colOff>
      <xdr:row>439</xdr:row>
      <xdr:rowOff>133350</xdr:rowOff>
    </xdr:to>
    <xdr:graphicFrame macro="">
      <xdr:nvGraphicFramePr>
        <xdr:cNvPr id="17590769"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208</xdr:col>
      <xdr:colOff>38100</xdr:colOff>
      <xdr:row>453</xdr:row>
      <xdr:rowOff>114300</xdr:rowOff>
    </xdr:from>
    <xdr:to>
      <xdr:col>220</xdr:col>
      <xdr:colOff>523875</xdr:colOff>
      <xdr:row>481</xdr:row>
      <xdr:rowOff>47625</xdr:rowOff>
    </xdr:to>
    <xdr:graphicFrame macro="">
      <xdr:nvGraphicFramePr>
        <xdr:cNvPr id="17590770"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193</xdr:col>
      <xdr:colOff>0</xdr:colOff>
      <xdr:row>420</xdr:row>
      <xdr:rowOff>0</xdr:rowOff>
    </xdr:from>
    <xdr:to>
      <xdr:col>202</xdr:col>
      <xdr:colOff>266700</xdr:colOff>
      <xdr:row>440</xdr:row>
      <xdr:rowOff>0</xdr:rowOff>
    </xdr:to>
    <xdr:graphicFrame macro="">
      <xdr:nvGraphicFramePr>
        <xdr:cNvPr id="17590771"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0.xml><?xml version="1.0" encoding="utf-8"?>
<c:userShapes xmlns:c="http://schemas.openxmlformats.org/drawingml/2006/chart">
  <cdr:relSizeAnchor xmlns:cdr="http://schemas.openxmlformats.org/drawingml/2006/chartDrawing">
    <cdr:from>
      <cdr:x>0.77506</cdr:x>
      <cdr:y>0.18112</cdr:y>
    </cdr:from>
    <cdr:to>
      <cdr:x>0.80237</cdr:x>
      <cdr:y>0.37835</cdr:y>
    </cdr:to>
    <cdr:sp macro="" textlink="">
      <cdr:nvSpPr>
        <cdr:cNvPr id="52225" name="AutoShape 1"/>
        <cdr:cNvSpPr>
          <a:spLocks xmlns:a="http://schemas.openxmlformats.org/drawingml/2006/main"/>
        </cdr:cNvSpPr>
      </cdr:nvSpPr>
      <cdr:spPr bwMode="auto">
        <a:xfrm xmlns:a="http://schemas.openxmlformats.org/drawingml/2006/main">
          <a:off x="4654137" y="656583"/>
          <a:ext cx="163878" cy="960263"/>
        </a:xfrm>
        <a:prstGeom xmlns:a="http://schemas.openxmlformats.org/drawingml/2006/main" prst="rightBrace">
          <a:avLst>
            <a:gd name="adj1" fmla="val 48830"/>
            <a:gd name="adj2" fmla="val 50000"/>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solidFill>
                <a:srgbClr xmlns:mc="http://schemas.openxmlformats.org/markup-compatibility/2006" val="F0F0F0" mc:Ignorable="a14" a14:legacySpreadsheetColorIndex="65"/>
              </a:solid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0.77506</cdr:x>
      <cdr:y>0.4248</cdr:y>
    </cdr:from>
    <cdr:to>
      <cdr:x>0.80237</cdr:x>
      <cdr:y>0.77208</cdr:y>
    </cdr:to>
    <cdr:sp macro="" textlink="">
      <cdr:nvSpPr>
        <cdr:cNvPr id="52226" name="AutoShape 2"/>
        <cdr:cNvSpPr>
          <a:spLocks xmlns:a="http://schemas.openxmlformats.org/drawingml/2006/main"/>
        </cdr:cNvSpPr>
      </cdr:nvSpPr>
      <cdr:spPr bwMode="auto">
        <a:xfrm xmlns:a="http://schemas.openxmlformats.org/drawingml/2006/main">
          <a:off x="4654137" y="1843631"/>
          <a:ext cx="163878" cy="1690676"/>
        </a:xfrm>
        <a:prstGeom xmlns:a="http://schemas.openxmlformats.org/drawingml/2006/main" prst="rightBrace">
          <a:avLst>
            <a:gd name="adj1" fmla="val 85972"/>
            <a:gd name="adj2" fmla="val 50000"/>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solidFill>
                <a:srgbClr xmlns:mc="http://schemas.openxmlformats.org/markup-compatibility/2006" val="F0F0F0" mc:Ignorable="a14" a14:legacySpreadsheetColorIndex="65"/>
              </a:solid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0.81517</cdr:x>
      <cdr:y>0.16915</cdr:y>
    </cdr:from>
    <cdr:to>
      <cdr:x>0.97902</cdr:x>
      <cdr:y>0.39571</cdr:y>
    </cdr:to>
    <cdr:sp macro="" textlink="">
      <cdr:nvSpPr>
        <cdr:cNvPr id="52227" name="Text Box 3"/>
        <cdr:cNvSpPr txBox="1">
          <a:spLocks xmlns:a="http://schemas.openxmlformats.org/drawingml/2006/main" noChangeArrowheads="1"/>
        </cdr:cNvSpPr>
      </cdr:nvSpPr>
      <cdr:spPr bwMode="auto">
        <a:xfrm xmlns:a="http://schemas.openxmlformats.org/drawingml/2006/main">
          <a:off x="4894786" y="598354"/>
          <a:ext cx="983266" cy="1104302"/>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0F0F0" mc:Ignorable="a14" a14:legacySpreadsheetColorIndex="65">
            <a:alpha val="0"/>
          </a:srgbClr>
        </a:solidFill>
        <a:ln xmlns:a="http://schemas.openxmlformats.org/drawingml/2006/main">
          <a:noFill/>
        </a:ln>
        <a:extLst xmlns:a="http://schemas.openxmlformats.org/drawingml/2006/main">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lnSpc>
              <a:spcPts val="1200"/>
            </a:lnSpc>
            <a:defRPr sz="1000"/>
          </a:pPr>
          <a:r>
            <a:rPr lang="en-US" sz="1175" b="0" i="0" u="none" strike="noStrike" baseline="0">
              <a:solidFill>
                <a:srgbClr val="000000"/>
              </a:solidFill>
              <a:latin typeface="Arial"/>
              <a:cs typeface="Arial"/>
            </a:rPr>
            <a:t>Pipeline Provides ~$50mm Incremental EBITDA</a:t>
          </a:r>
        </a:p>
      </cdr:txBody>
    </cdr:sp>
  </cdr:relSizeAnchor>
  <cdr:relSizeAnchor xmlns:cdr="http://schemas.openxmlformats.org/drawingml/2006/chartDrawing">
    <cdr:from>
      <cdr:x>0.81517</cdr:x>
      <cdr:y>0.4727</cdr:y>
    </cdr:from>
    <cdr:to>
      <cdr:x>0.96598</cdr:x>
      <cdr:y>0.73322</cdr:y>
    </cdr:to>
    <cdr:sp macro="" textlink="">
      <cdr:nvSpPr>
        <cdr:cNvPr id="52228" name="Text Box 4"/>
        <cdr:cNvSpPr txBox="1">
          <a:spLocks xmlns:a="http://schemas.openxmlformats.org/drawingml/2006/main" noChangeArrowheads="1"/>
        </cdr:cNvSpPr>
      </cdr:nvSpPr>
      <cdr:spPr bwMode="auto">
        <a:xfrm xmlns:a="http://schemas.openxmlformats.org/drawingml/2006/main">
          <a:off x="4894786" y="2076546"/>
          <a:ext cx="905018" cy="1268773"/>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0F0F0" mc:Ignorable="a14" a14:legacySpreadsheetColorIndex="65">
            <a:alpha val="0"/>
          </a:srgbClr>
        </a:solidFill>
        <a:ln xmlns:a="http://schemas.openxmlformats.org/drawingml/2006/main">
          <a:noFill/>
        </a:ln>
        <a:extLst xmlns:a="http://schemas.openxmlformats.org/drawingml/2006/main">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lnSpc>
              <a:spcPts val="1200"/>
            </a:lnSpc>
            <a:defRPr sz="1000"/>
          </a:pPr>
          <a:r>
            <a:rPr lang="en-US" sz="1175" b="0" i="0" u="none" strike="noStrike" baseline="0">
              <a:solidFill>
                <a:srgbClr val="000000"/>
              </a:solidFill>
              <a:latin typeface="Arial"/>
              <a:cs typeface="Arial"/>
            </a:rPr>
            <a:t>Existing Hotels Provides ~$90mm Incremental EBITDA</a:t>
          </a:r>
        </a:p>
      </cdr:txBody>
    </cdr:sp>
  </cdr:relSizeAnchor>
</c:userShapes>
</file>

<file path=xl/drawings/drawing21.xml><?xml version="1.0" encoding="utf-8"?>
<xdr:wsDr xmlns:xdr="http://schemas.openxmlformats.org/drawingml/2006/spreadsheetDrawing" xmlns:a="http://schemas.openxmlformats.org/drawingml/2006/main">
  <xdr:twoCellAnchor>
    <xdr:from>
      <xdr:col>2</xdr:col>
      <xdr:colOff>9525</xdr:colOff>
      <xdr:row>37</xdr:row>
      <xdr:rowOff>9525</xdr:rowOff>
    </xdr:from>
    <xdr:to>
      <xdr:col>10</xdr:col>
      <xdr:colOff>333375</xdr:colOff>
      <xdr:row>58</xdr:row>
      <xdr:rowOff>66675</xdr:rowOff>
    </xdr:to>
    <xdr:graphicFrame macro="">
      <xdr:nvGraphicFramePr>
        <xdr:cNvPr id="17303249" name="Chart 2 (1)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180975</xdr:colOff>
      <xdr:row>65</xdr:row>
      <xdr:rowOff>57150</xdr:rowOff>
    </xdr:from>
    <xdr:to>
      <xdr:col>10</xdr:col>
      <xdr:colOff>390525</xdr:colOff>
      <xdr:row>83</xdr:row>
      <xdr:rowOff>28575</xdr:rowOff>
    </xdr:to>
    <xdr:graphicFrame macro="">
      <xdr:nvGraphicFramePr>
        <xdr:cNvPr id="17303250" name="Chart 3 (1) (1)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381000</xdr:colOff>
      <xdr:row>93</xdr:row>
      <xdr:rowOff>57150</xdr:rowOff>
    </xdr:from>
    <xdr:to>
      <xdr:col>41</xdr:col>
      <xdr:colOff>409575</xdr:colOff>
      <xdr:row>120</xdr:row>
      <xdr:rowOff>114300</xdr:rowOff>
    </xdr:to>
    <xdr:graphicFrame macro="">
      <xdr:nvGraphicFramePr>
        <xdr:cNvPr id="17303251" name="Chart 4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47</xdr:col>
      <xdr:colOff>171450</xdr:colOff>
      <xdr:row>132</xdr:row>
      <xdr:rowOff>85725</xdr:rowOff>
    </xdr:from>
    <xdr:to>
      <xdr:col>53</xdr:col>
      <xdr:colOff>466725</xdr:colOff>
      <xdr:row>151</xdr:row>
      <xdr:rowOff>104775</xdr:rowOff>
    </xdr:to>
    <xdr:graphicFrame macro="">
      <xdr:nvGraphicFramePr>
        <xdr:cNvPr id="17303252" name="Chart 5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c:userShapes xmlns:c="http://schemas.openxmlformats.org/drawingml/2006/chart">
  <cdr:relSizeAnchor xmlns:cdr="http://schemas.openxmlformats.org/drawingml/2006/chartDrawing">
    <cdr:from>
      <cdr:x>0.52484</cdr:x>
      <cdr:y>0.33051</cdr:y>
    </cdr:from>
    <cdr:to>
      <cdr:x>0.94397</cdr:x>
      <cdr:y>0.50678</cdr:y>
    </cdr:to>
    <cdr:sp macro="" textlink="">
      <cdr:nvSpPr>
        <cdr:cNvPr id="88066" name="Text Box 2"/>
        <cdr:cNvSpPr txBox="1">
          <a:spLocks xmlns:a="http://schemas.openxmlformats.org/drawingml/2006/main" noChangeArrowheads="1"/>
        </cdr:cNvSpPr>
      </cdr:nvSpPr>
      <cdr:spPr bwMode="auto">
        <a:xfrm xmlns:a="http://schemas.openxmlformats.org/drawingml/2006/main">
          <a:off x="3102634" y="822354"/>
          <a:ext cx="2475166" cy="1075963"/>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0F0F0" mc:Ignorable="a14" a14:legacySpreadsheetColorIndex="65"/>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vertOverflow="clip" wrap="square" lIns="36576" tIns="22860" rIns="36576" bIns="0" anchor="t" upright="1"/>
        <a:lstStyle xmlns:a="http://schemas.openxmlformats.org/drawingml/2006/main"/>
        <a:p xmlns:a="http://schemas.openxmlformats.org/drawingml/2006/main">
          <a:pPr algn="ctr" rtl="0">
            <a:lnSpc>
              <a:spcPts val="1100"/>
            </a:lnSpc>
            <a:defRPr sz="1000"/>
          </a:pPr>
          <a:r>
            <a:rPr lang="en-US" sz="1200" b="0" i="0" u="none" strike="noStrike" baseline="0">
              <a:solidFill>
                <a:srgbClr val="000000"/>
              </a:solidFill>
              <a:latin typeface="Arial"/>
              <a:cs typeface="Arial"/>
            </a:rPr>
            <a:t>MAR's Full Service hotels outperformed during the first half of the recession but have lagged during the later second hald of the recession and the recovery.</a:t>
          </a:r>
        </a:p>
      </cdr:txBody>
    </cdr:sp>
  </cdr:relSizeAnchor>
</c:userShapes>
</file>

<file path=xl/drawings/drawing23.xml><?xml version="1.0" encoding="utf-8"?>
<c:userShapes xmlns:c="http://schemas.openxmlformats.org/drawingml/2006/chart">
  <cdr:relSizeAnchor xmlns:cdr="http://schemas.openxmlformats.org/drawingml/2006/chartDrawing">
    <cdr:from>
      <cdr:x>0.6486</cdr:x>
      <cdr:y>0.2026</cdr:y>
    </cdr:from>
    <cdr:to>
      <cdr:x>0.79695</cdr:x>
      <cdr:y>0.46793</cdr:y>
    </cdr:to>
    <cdr:sp macro="" textlink="">
      <cdr:nvSpPr>
        <cdr:cNvPr id="90113" name="Line 1"/>
        <cdr:cNvSpPr>
          <a:spLocks xmlns:a="http://schemas.openxmlformats.org/drawingml/2006/main" noChangeShapeType="1"/>
        </cdr:cNvSpPr>
      </cdr:nvSpPr>
      <cdr:spPr bwMode="auto">
        <a:xfrm xmlns:a="http://schemas.openxmlformats.org/drawingml/2006/main" flipV="1">
          <a:off x="2764701" y="449978"/>
          <a:ext cx="631648" cy="857936"/>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triangle" w="med" len="me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0.19913</cdr:x>
      <cdr:y>0.18497</cdr:y>
    </cdr:from>
    <cdr:to>
      <cdr:x>0.6288</cdr:x>
      <cdr:y>0.37087</cdr:y>
    </cdr:to>
    <cdr:sp macro="" textlink="">
      <cdr:nvSpPr>
        <cdr:cNvPr id="90114" name="Text Box 2"/>
        <cdr:cNvSpPr txBox="1">
          <a:spLocks xmlns:a="http://schemas.openxmlformats.org/drawingml/2006/main" noChangeArrowheads="1"/>
        </cdr:cNvSpPr>
      </cdr:nvSpPr>
      <cdr:spPr bwMode="auto">
        <a:xfrm xmlns:a="http://schemas.openxmlformats.org/drawingml/2006/main">
          <a:off x="851026" y="393710"/>
          <a:ext cx="1829386" cy="59976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0F0F0" mc:Ignorable="a14" a14:legacySpreadsheetColorIndex="65"/>
        </a:solidFill>
        <a:ln xmlns:a="http://schemas.openxmlformats.org/drawingml/2006/main" w="9525">
          <a:solidFill>
            <a:srgbClr xmlns:mc="http://schemas.openxmlformats.org/markup-compatibility/2006" xmlns:a14="http://schemas.microsoft.com/office/drawing/2010/main" val="000000" mc:Ignorable="a14" a14:legacySpreadsheetColorIndex="64"/>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US" sz="800" b="0" i="0" u="none" strike="noStrike" baseline="0">
              <a:solidFill>
                <a:srgbClr val="000000"/>
              </a:solidFill>
              <a:latin typeface="Arial"/>
              <a:cs typeface="Arial"/>
            </a:rPr>
            <a:t>In order for MAR to achieve the midpoint of its NA RevPAR guidance, it must see a signifiant acceleration in RevPAR.</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0F0F0"/>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4.vml" Type="http://schemas.openxmlformats.org/officeDocument/2006/relationships/vmlDrawing"/>
<Relationship Id="rId3"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3.xml" Type="http://schemas.openxmlformats.org/officeDocument/2006/relationships/drawing"/>
<Relationship Id="rId3" Target="../drawings/vmlDrawing5.vml" Type="http://schemas.openxmlformats.org/officeDocument/2006/relationships/vmlDrawing"/>
<Relationship Id="rId4" Target="../comments4.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6.vml" Type="http://schemas.openxmlformats.org/officeDocument/2006/relationships/vmlDrawing"/>
<Relationship Id="rId3"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7.vml" Type="http://schemas.openxmlformats.org/officeDocument/2006/relationships/vmlDrawing"/>
<Relationship Id="rId3" Target="../comments6.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8.vml" Type="http://schemas.openxmlformats.org/officeDocument/2006/relationships/vmlDrawing"/>
<Relationship Id="rId3" Target="../comments7.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9.vml" Type="http://schemas.openxmlformats.org/officeDocument/2006/relationships/vmlDrawing"/>
<Relationship Id="rId3" Target="../comments8.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10.vml" Type="http://schemas.openxmlformats.org/officeDocument/2006/relationships/vmlDrawing"/>
<Relationship Id="rId3" Target="../comments9.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11.vml" Type="http://schemas.openxmlformats.org/officeDocument/2006/relationships/vmlDrawing"/>
<Relationship Id="rId3" Target="../comments10.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12.vml" Type="http://schemas.openxmlformats.org/officeDocument/2006/relationships/vmlDrawing"/>
<Relationship Id="rId3" Target="../comments11.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drawing8.xml" Type="http://schemas.openxmlformats.org/officeDocument/2006/relationships/drawing"/>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vmlDrawing13.vml" Type="http://schemas.openxmlformats.org/officeDocument/2006/relationships/vmlDrawing"/>
<Relationship Id="rId3" Target="../comments12.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vmlDrawing14.vml" Type="http://schemas.openxmlformats.org/officeDocument/2006/relationships/vmlDrawing"/>
<Relationship Id="rId3" Target="../comments13.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 Id="rId2" Target="../drawings/vmlDrawing15.vml" Type="http://schemas.openxmlformats.org/officeDocument/2006/relationships/vmlDrawing"/>
<Relationship Id="rId3" Target="../comments14.xml" Type="http://schemas.openxmlformats.org/officeDocument/2006/relationships/comments"/>
</Relationships>

</file>

<file path=xl/worksheets/_rels/sheet21.xml.rels><?xml version="1.0" encoding="UTF-8" standalone="yes"?>
<Relationships xmlns="http://schemas.openxmlformats.org/package/2006/relationships">
<Relationship Id="rId1" Target="../printerSettings/printerSettings21.bin" Type="http://schemas.openxmlformats.org/officeDocument/2006/relationships/printerSettings"/>
<Relationship Id="rId2" Target="../drawings/vmlDrawing16.vml" Type="http://schemas.openxmlformats.org/officeDocument/2006/relationships/vmlDrawing"/>
<Relationship Id="rId3" Target="../comments15.xml" Type="http://schemas.openxmlformats.org/officeDocument/2006/relationships/comments"/>
</Relationships>

</file>

<file path=xl/worksheets/_rels/sheet22.xml.rels><?xml version="1.0" encoding="UTF-8" standalone="yes"?>
<Relationships xmlns="http://schemas.openxmlformats.org/package/2006/relationships">
<Relationship Id="rId1" Target="../printerSettings/printerSettings22.bin" Type="http://schemas.openxmlformats.org/officeDocument/2006/relationships/printerSettings"/>
<Relationship Id="rId2" Target="../drawings/drawing9.xml" Type="http://schemas.openxmlformats.org/officeDocument/2006/relationships/drawing"/>
<Relationship Id="rId3" Target="../drawings/vmlDrawing17.vml" Type="http://schemas.openxmlformats.org/officeDocument/2006/relationships/vmlDrawing"/>
<Relationship Id="rId4" Target="../comments16.xml" Type="http://schemas.openxmlformats.org/officeDocument/2006/relationships/comments"/>
</Relationships>

</file>

<file path=xl/worksheets/_rels/sheet23.xml.rels><?xml version="1.0" encoding="UTF-8" standalone="yes"?>
<Relationships xmlns="http://schemas.openxmlformats.org/package/2006/relationships">
<Relationship Id="rId1" Target="../printerSettings/printerSettings23.bin" Type="http://schemas.openxmlformats.org/officeDocument/2006/relationships/printerSettings"/>
<Relationship Id="rId2" Target="../drawings/drawing10.xml" Type="http://schemas.openxmlformats.org/officeDocument/2006/relationships/drawing"/>
<Relationship Id="rId3" Target="../drawings/vmlDrawing18.vml" Type="http://schemas.openxmlformats.org/officeDocument/2006/relationships/vmlDrawing"/>
<Relationship Id="rId4" Target="../comments17.xml" Type="http://schemas.openxmlformats.org/officeDocument/2006/relationships/comments"/>
</Relationships>

</file>

<file path=xl/worksheets/_rels/sheet24.xml.rels><?xml version="1.0" encoding="UTF-8" standalone="yes"?>
<Relationships xmlns="http://schemas.openxmlformats.org/package/2006/relationships">
<Relationship Id="rId1" Target="../printerSettings/printerSettings24.bin" Type="http://schemas.openxmlformats.org/officeDocument/2006/relationships/printerSettings"/>
<Relationship Id="rId2" Target="../drawings/vmlDrawing19.vml" Type="http://schemas.openxmlformats.org/officeDocument/2006/relationships/vmlDrawing"/>
<Relationship Id="rId3" Target="../comments18.xml" Type="http://schemas.openxmlformats.org/officeDocument/2006/relationships/comments"/>
</Relationships>

</file>

<file path=xl/worksheets/_rels/sheet25.xml.rels><?xml version="1.0" encoding="UTF-8" standalone="yes"?>
<Relationships xmlns="http://schemas.openxmlformats.org/package/2006/relationships">
<Relationship Id="rId1" Target="../printerSettings/printerSettings25.bin" Type="http://schemas.openxmlformats.org/officeDocument/2006/relationships/printerSettings"/>
<Relationship Id="rId2" Target="../drawings/vmlDrawing20.vml" Type="http://schemas.openxmlformats.org/officeDocument/2006/relationships/vmlDrawing"/>
<Relationship Id="rId3" Target="../comments19.xml" Type="http://schemas.openxmlformats.org/officeDocument/2006/relationships/comments"/>
</Relationships>

</file>

<file path=xl/worksheets/_rels/sheet26.xml.rels><?xml version="1.0" encoding="UTF-8" standalone="yes"?>
<Relationships xmlns="http://schemas.openxmlformats.org/package/2006/relationships">
<Relationship Id="rId1" Target="../printerSettings/printerSettings26.bin" Type="http://schemas.openxmlformats.org/officeDocument/2006/relationships/printerSettings"/>
<Relationship Id="rId2" Target="../drawings/vmlDrawing21.vml" Type="http://schemas.openxmlformats.org/officeDocument/2006/relationships/vmlDrawing"/>
<Relationship Id="rId3" Target="../comments20.xml" Type="http://schemas.openxmlformats.org/officeDocument/2006/relationships/comments"/>
</Relationships>

</file>

<file path=xl/worksheets/_rels/sheet27.xml.rels><?xml version="1.0" encoding="UTF-8" standalone="yes"?>
<Relationships xmlns="http://schemas.openxmlformats.org/package/2006/relationships">
<Relationship Id="rId1" Target="../printerSettings/printerSettings27.bin" Type="http://schemas.openxmlformats.org/officeDocument/2006/relationships/printerSettings"/>
<Relationship Id="rId2" Target="../drawings/vmlDrawing22.vml" Type="http://schemas.openxmlformats.org/officeDocument/2006/relationships/vmlDrawing"/>
<Relationship Id="rId3" Target="../comments21.xml" Type="http://schemas.openxmlformats.org/officeDocument/2006/relationships/comments"/>
</Relationships>

</file>

<file path=xl/worksheets/_rels/sheet28.xml.rels><?xml version="1.0" encoding="UTF-8" standalone="yes"?>
<Relationships xmlns="http://schemas.openxmlformats.org/package/2006/relationships">
<Relationship Id="rId1" Target="../printerSettings/printerSettings28.bin" Type="http://schemas.openxmlformats.org/officeDocument/2006/relationships/printerSettings"/>
<Relationship Id="rId2" Target="../drawings/vmlDrawing23.vml" Type="http://schemas.openxmlformats.org/officeDocument/2006/relationships/vmlDrawing"/>
<Relationship Id="rId3" Target="../comments22.xml" Type="http://schemas.openxmlformats.org/officeDocument/2006/relationships/comments"/>
</Relationships>

</file>

<file path=xl/worksheets/_rels/sheet29.xml.rels><?xml version="1.0" encoding="UTF-8" standalone="yes"?>
<Relationships xmlns="http://schemas.openxmlformats.org/package/2006/relationships">
<Relationship Id="rId1" Target="../printerSettings/printerSettings29.bin" Type="http://schemas.openxmlformats.org/officeDocument/2006/relationships/printerSettings"/>
<Relationship Id="rId2" Target="../drawings/vmlDrawing24.vml" Type="http://schemas.openxmlformats.org/officeDocument/2006/relationships/vmlDrawing"/>
<Relationship Id="rId3" Target="../comments23.xml" Type="http://schemas.openxmlformats.org/officeDocument/2006/relationships/comments"/>
</Relationships>

</file>

<file path=xl/worksheets/_rels/sheet30.xml.rels><?xml version="1.0" encoding="UTF-8" standalone="yes"?>
<Relationships xmlns="http://schemas.openxmlformats.org/package/2006/relationships">
<Relationship Id="rId1" Target="../printerSettings/printerSettings30.bin" Type="http://schemas.openxmlformats.org/officeDocument/2006/relationships/printerSettings"/>
<Relationship Id="rId2" Target="../drawings/vmlDrawing25.vml" Type="http://schemas.openxmlformats.org/officeDocument/2006/relationships/vmlDrawing"/>
<Relationship Id="rId3" Target="../comments24.xml" Type="http://schemas.openxmlformats.org/officeDocument/2006/relationships/comments"/>
</Relationships>

</file>

<file path=xl/worksheets/_rels/sheet31.xml.rels><?xml version="1.0" encoding="UTF-8" standalone="yes"?>
<Relationships xmlns="http://schemas.openxmlformats.org/package/2006/relationships">
<Relationship Id="rId1" Target="../printerSettings/printerSettings31.bin" Type="http://schemas.openxmlformats.org/officeDocument/2006/relationships/printerSettings"/>
<Relationship Id="rId2" Target="../drawings/vmlDrawing26.vml" Type="http://schemas.openxmlformats.org/officeDocument/2006/relationships/vmlDrawing"/>
<Relationship Id="rId3" Target="../comments25.xml" Type="http://schemas.openxmlformats.org/officeDocument/2006/relationships/comments"/>
</Relationships>

</file>

<file path=xl/worksheets/_rels/sheet32.xml.rels><?xml version="1.0" encoding="UTF-8" standalone="yes"?>
<Relationships xmlns="http://schemas.openxmlformats.org/package/2006/relationships">
<Relationship Id="rId1" Target="../printerSettings/printerSettings32.bin" Type="http://schemas.openxmlformats.org/officeDocument/2006/relationships/printerSettings"/>
<Relationship Id="rId2" Target="../drawings/vmlDrawing27.vml" Type="http://schemas.openxmlformats.org/officeDocument/2006/relationships/vmlDrawing"/>
<Relationship Id="rId3" Target="../comments26.xml" Type="http://schemas.openxmlformats.org/officeDocument/2006/relationships/comments"/>
</Relationships>

</file>

<file path=xl/worksheets/_rels/sheet33.xml.rels><?xml version="1.0" encoding="UTF-8" standalone="yes"?>
<Relationships xmlns="http://schemas.openxmlformats.org/package/2006/relationships">
<Relationship Id="rId1" Target="../printerSettings/printerSettings33.bin" Type="http://schemas.openxmlformats.org/officeDocument/2006/relationships/printerSettings"/>
</Relationships>

</file>

<file path=xl/worksheets/_rels/sheet34.xml.rels><?xml version="1.0" encoding="UTF-8" standalone="yes"?>
<Relationships xmlns="http://schemas.openxmlformats.org/package/2006/relationships">
<Relationship Id="rId1" Target="../printerSettings/printerSettings34.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printerSettings/printerSettings35.bin" Type="http://schemas.openxmlformats.org/officeDocument/2006/relationships/printerSettings"/>
<Relationship Id="rId2" Target="../drawings/vmlDrawing28.vml" Type="http://schemas.openxmlformats.org/officeDocument/2006/relationships/vmlDrawing"/>
<Relationship Id="rId3" Target="../comments27.xml" Type="http://schemas.openxmlformats.org/officeDocument/2006/relationships/comments"/>
</Relationships>

</file>

<file path=xl/worksheets/_rels/sheet36.xml.rels><?xml version="1.0" encoding="UTF-8" standalone="yes"?>
<Relationships xmlns="http://schemas.openxmlformats.org/package/2006/relationships">
<Relationship Id="rId1" Target="../printerSettings/printerSettings36.bin" Type="http://schemas.openxmlformats.org/officeDocument/2006/relationships/printerSettings"/>
<Relationship Id="rId2" Target="../drawings/drawing12.xml" Type="http://schemas.openxmlformats.org/officeDocument/2006/relationships/drawing"/>
<Relationship Id="rId3" Target="../drawings/vmlDrawing29.vml" Type="http://schemas.openxmlformats.org/officeDocument/2006/relationships/vmlDrawing"/>
<Relationship Id="rId4" Target="../comments28.xml" Type="http://schemas.openxmlformats.org/officeDocument/2006/relationships/comments"/>
</Relationships>

</file>

<file path=xl/worksheets/_rels/sheet37.xml.rels><?xml version="1.0" encoding="UTF-8" standalone="yes"?>
<Relationships xmlns="http://schemas.openxmlformats.org/package/2006/relationships">
<Relationship Id="rId1" Target="../printerSettings/printerSettings37.bin" Type="http://schemas.openxmlformats.org/officeDocument/2006/relationships/printerSettings"/>
<Relationship Id="rId2" Target="../drawings/vmlDrawing30.vml" Type="http://schemas.openxmlformats.org/officeDocument/2006/relationships/vmlDrawing"/>
<Relationship Id="rId3" Target="../comments29.xml" Type="http://schemas.openxmlformats.org/officeDocument/2006/relationships/comments"/>
</Relationships>

</file>

<file path=xl/worksheets/_rels/sheet38.xml.rels><?xml version="1.0" encoding="UTF-8" standalone="yes"?>
<Relationships xmlns="http://schemas.openxmlformats.org/package/2006/relationships">
<Relationship Id="rId1" Target="../printerSettings/printerSettings38.bin" Type="http://schemas.openxmlformats.org/officeDocument/2006/relationships/printerSettings"/>
</Relationships>

</file>

<file path=xl/worksheets/_rels/sheet39.xml.rels><?xml version="1.0" encoding="UTF-8" standalone="yes"?>
<Relationships xmlns="http://schemas.openxmlformats.org/package/2006/relationships">
<Relationship Id="rId1" Target="../printerSettings/printerSettings39.bin" Type="http://schemas.openxmlformats.org/officeDocument/2006/relationships/printerSettings"/>
</Relationships>

</file>

<file path=xl/worksheets/_rels/sheet40.xml.rels><?xml version="1.0" encoding="UTF-8" standalone="yes"?>
<Relationships xmlns="http://schemas.openxmlformats.org/package/2006/relationships">
<Relationship Id="rId1" Target="../printerSettings/printerSettings40.bin" Type="http://schemas.openxmlformats.org/officeDocument/2006/relationships/printerSettings"/>
<Relationship Id="rId2" Target="../drawings/drawing13.xml" Type="http://schemas.openxmlformats.org/officeDocument/2006/relationships/drawing"/>
</Relationships>

</file>

<file path=xl/worksheets/_rels/sheet41.xml.rels><?xml version="1.0" encoding="UTF-8" standalone="yes"?>
<Relationships xmlns="http://schemas.openxmlformats.org/package/2006/relationships">
<Relationship Id="rId1" Target="../printerSettings/printerSettings41.bin" Type="http://schemas.openxmlformats.org/officeDocument/2006/relationships/printerSettings"/>
<Relationship Id="rId2" Target="../drawings/drawing16.xml" Type="http://schemas.openxmlformats.org/officeDocument/2006/relationships/drawing"/>
</Relationships>

</file>

<file path=xl/worksheets/_rels/sheet42.xml.rels><?xml version="1.0" encoding="UTF-8" standalone="yes"?>
<Relationships xmlns="http://schemas.openxmlformats.org/package/2006/relationships">
<Relationship Id="rId1" Target="../printerSettings/printerSettings42.bin" Type="http://schemas.openxmlformats.org/officeDocument/2006/relationships/printerSettings"/>
<Relationship Id="rId2" Target="../drawings/drawing19.xml" Type="http://schemas.openxmlformats.org/officeDocument/2006/relationships/drawing"/>
<Relationship Id="rId3" Target="../drawings/vmlDrawing31.vml" Type="http://schemas.openxmlformats.org/officeDocument/2006/relationships/vmlDrawing"/>
<Relationship Id="rId4" Target="../comments30.xml" Type="http://schemas.openxmlformats.org/officeDocument/2006/relationships/comments"/>
</Relationships>

</file>

<file path=xl/worksheets/_rels/sheet43.xml.rels><?xml version="1.0" encoding="UTF-8" standalone="yes"?>
<Relationships xmlns="http://schemas.openxmlformats.org/package/2006/relationships">
<Relationship Id="rId1" Target="../printerSettings/printerSettings43.bin" Type="http://schemas.openxmlformats.org/officeDocument/2006/relationships/printerSettings"/>
<Relationship Id="rId2" Target="../drawings/drawing21.xml" Type="http://schemas.openxmlformats.org/officeDocument/2006/relationships/drawing"/>
</Relationships>

</file>

<file path=xl/worksheets/_rels/sheet44.xml.rels><?xml version="1.0" encoding="UTF-8" standalone="yes"?>
<Relationships xmlns="http://schemas.openxmlformats.org/package/2006/relationships">
<Relationship Id="rId1" Target="../printerSettings/printerSettings44.bin" Type="http://schemas.openxmlformats.org/officeDocument/2006/relationships/printerSettings"/>
<Relationship Id="rId2" Target="../drawings/vmlDrawing32.vml" Type="http://schemas.openxmlformats.org/officeDocument/2006/relationships/vmlDrawing"/>
<Relationship Id="rId3" Target="../comments31.xml" Type="http://schemas.openxmlformats.org/officeDocument/2006/relationships/comments"/>
</Relationships>

</file>

<file path=xl/worksheets/_rels/sheet45.xml.rels><?xml version="1.0" encoding="UTF-8" standalone="yes"?>
<Relationships xmlns="http://schemas.openxmlformats.org/package/2006/relationships">
<Relationship Id="rId1" Target="../printerSettings/printerSettings45.bin" Type="http://schemas.openxmlformats.org/officeDocument/2006/relationships/printerSettings"/>
</Relationships>

</file>

<file path=xl/worksheets/_rels/sheet46.xml.rels><?xml version="1.0" encoding="UTF-8" standalone="yes"?>
<Relationships xmlns="http://schemas.openxmlformats.org/package/2006/relationships">
<Relationship Id="rId1" Target="../printerSettings/printerSettings46.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2"/>
  <sheetViews>
    <sheetView showGridLines="0" tabSelected="1" workbookViewId="0">
      <selection activeCell="Z1" sqref="Z1"/>
    </sheetView>
  </sheetViews>
  <sheetFormatPr defaultRowHeight="12.75" x14ac:dyDescent="0.2"/>
  <cols>
    <col min="1" max="1" width="25.83203125" style="3951" customWidth="1"/>
    <col min="2" max="5" width="9.33203125" style="3951"/>
    <col min="6" max="6" width="18.83203125" style="3951" customWidth="1"/>
    <col min="7" max="256" width="9.33203125" style="3951"/>
    <col min="257" max="257" width="117.5" style="3951" customWidth="1"/>
    <col min="258" max="512" width="9.33203125" style="3951"/>
    <col min="513" max="513" width="117.5" style="3951" customWidth="1"/>
    <col min="514" max="768" width="9.33203125" style="3951"/>
    <col min="769" max="769" width="117.5" style="3951" customWidth="1"/>
    <col min="770" max="1024" width="9.33203125" style="3951"/>
    <col min="1025" max="1025" width="117.5" style="3951" customWidth="1"/>
    <col min="1026" max="1280" width="9.33203125" style="3951"/>
    <col min="1281" max="1281" width="117.5" style="3951" customWidth="1"/>
    <col min="1282" max="1536" width="9.33203125" style="3951"/>
    <col min="1537" max="1537" width="117.5" style="3951" customWidth="1"/>
    <col min="1538" max="1792" width="9.33203125" style="3951"/>
    <col min="1793" max="1793" width="117.5" style="3951" customWidth="1"/>
    <col min="1794" max="2048" width="9.33203125" style="3951"/>
    <col min="2049" max="2049" width="117.5" style="3951" customWidth="1"/>
    <col min="2050" max="2304" width="9.33203125" style="3951"/>
    <col min="2305" max="2305" width="117.5" style="3951" customWidth="1"/>
    <col min="2306" max="2560" width="9.33203125" style="3951"/>
    <col min="2561" max="2561" width="117.5" style="3951" customWidth="1"/>
    <col min="2562" max="2816" width="9.33203125" style="3951"/>
    <col min="2817" max="2817" width="117.5" style="3951" customWidth="1"/>
    <col min="2818" max="3072" width="9.33203125" style="3951"/>
    <col min="3073" max="3073" width="117.5" style="3951" customWidth="1"/>
    <col min="3074" max="3328" width="9.33203125" style="3951"/>
    <col min="3329" max="3329" width="117.5" style="3951" customWidth="1"/>
    <col min="3330" max="3584" width="9.33203125" style="3951"/>
    <col min="3585" max="3585" width="117.5" style="3951" customWidth="1"/>
    <col min="3586" max="3840" width="9.33203125" style="3951"/>
    <col min="3841" max="3841" width="117.5" style="3951" customWidth="1"/>
    <col min="3842" max="4096" width="9.33203125" style="3951"/>
    <col min="4097" max="4097" width="117.5" style="3951" customWidth="1"/>
    <col min="4098" max="4352" width="9.33203125" style="3951"/>
    <col min="4353" max="4353" width="117.5" style="3951" customWidth="1"/>
    <col min="4354" max="4608" width="9.33203125" style="3951"/>
    <col min="4609" max="4609" width="117.5" style="3951" customWidth="1"/>
    <col min="4610" max="4864" width="9.33203125" style="3951"/>
    <col min="4865" max="4865" width="117.5" style="3951" customWidth="1"/>
    <col min="4866" max="5120" width="9.33203125" style="3951"/>
    <col min="5121" max="5121" width="117.5" style="3951" customWidth="1"/>
    <col min="5122" max="5376" width="9.33203125" style="3951"/>
    <col min="5377" max="5377" width="117.5" style="3951" customWidth="1"/>
    <col min="5378" max="5632" width="9.33203125" style="3951"/>
    <col min="5633" max="5633" width="117.5" style="3951" customWidth="1"/>
    <col min="5634" max="5888" width="9.33203125" style="3951"/>
    <col min="5889" max="5889" width="117.5" style="3951" customWidth="1"/>
    <col min="5890" max="6144" width="9.33203125" style="3951"/>
    <col min="6145" max="6145" width="117.5" style="3951" customWidth="1"/>
    <col min="6146" max="6400" width="9.33203125" style="3951"/>
    <col min="6401" max="6401" width="117.5" style="3951" customWidth="1"/>
    <col min="6402" max="6656" width="9.33203125" style="3951"/>
    <col min="6657" max="6657" width="117.5" style="3951" customWidth="1"/>
    <col min="6658" max="6912" width="9.33203125" style="3951"/>
    <col min="6913" max="6913" width="117.5" style="3951" customWidth="1"/>
    <col min="6914" max="7168" width="9.33203125" style="3951"/>
    <col min="7169" max="7169" width="117.5" style="3951" customWidth="1"/>
    <col min="7170" max="7424" width="9.33203125" style="3951"/>
    <col min="7425" max="7425" width="117.5" style="3951" customWidth="1"/>
    <col min="7426" max="7680" width="9.33203125" style="3951"/>
    <col min="7681" max="7681" width="117.5" style="3951" customWidth="1"/>
    <col min="7682" max="7936" width="9.33203125" style="3951"/>
    <col min="7937" max="7937" width="117.5" style="3951" customWidth="1"/>
    <col min="7938" max="8192" width="9.33203125" style="3951"/>
    <col min="8193" max="8193" width="117.5" style="3951" customWidth="1"/>
    <col min="8194" max="8448" width="9.33203125" style="3951"/>
    <col min="8449" max="8449" width="117.5" style="3951" customWidth="1"/>
    <col min="8450" max="8704" width="9.33203125" style="3951"/>
    <col min="8705" max="8705" width="117.5" style="3951" customWidth="1"/>
    <col min="8706" max="8960" width="9.33203125" style="3951"/>
    <col min="8961" max="8961" width="117.5" style="3951" customWidth="1"/>
    <col min="8962" max="9216" width="9.33203125" style="3951"/>
    <col min="9217" max="9217" width="117.5" style="3951" customWidth="1"/>
    <col min="9218" max="9472" width="9.33203125" style="3951"/>
    <col min="9473" max="9473" width="117.5" style="3951" customWidth="1"/>
    <col min="9474" max="9728" width="9.33203125" style="3951"/>
    <col min="9729" max="9729" width="117.5" style="3951" customWidth="1"/>
    <col min="9730" max="9984" width="9.33203125" style="3951"/>
    <col min="9985" max="9985" width="117.5" style="3951" customWidth="1"/>
    <col min="9986" max="10240" width="9.33203125" style="3951"/>
    <col min="10241" max="10241" width="117.5" style="3951" customWidth="1"/>
    <col min="10242" max="10496" width="9.33203125" style="3951"/>
    <col min="10497" max="10497" width="117.5" style="3951" customWidth="1"/>
    <col min="10498" max="10752" width="9.33203125" style="3951"/>
    <col min="10753" max="10753" width="117.5" style="3951" customWidth="1"/>
    <col min="10754" max="11008" width="9.33203125" style="3951"/>
    <col min="11009" max="11009" width="117.5" style="3951" customWidth="1"/>
    <col min="11010" max="11264" width="9.33203125" style="3951"/>
    <col min="11265" max="11265" width="117.5" style="3951" customWidth="1"/>
    <col min="11266" max="11520" width="9.33203125" style="3951"/>
    <col min="11521" max="11521" width="117.5" style="3951" customWidth="1"/>
    <col min="11522" max="11776" width="9.33203125" style="3951"/>
    <col min="11777" max="11777" width="117.5" style="3951" customWidth="1"/>
    <col min="11778" max="12032" width="9.33203125" style="3951"/>
    <col min="12033" max="12033" width="117.5" style="3951" customWidth="1"/>
    <col min="12034" max="12288" width="9.33203125" style="3951"/>
    <col min="12289" max="12289" width="117.5" style="3951" customWidth="1"/>
    <col min="12290" max="12544" width="9.33203125" style="3951"/>
    <col min="12545" max="12545" width="117.5" style="3951" customWidth="1"/>
    <col min="12546" max="12800" width="9.33203125" style="3951"/>
    <col min="12801" max="12801" width="117.5" style="3951" customWidth="1"/>
    <col min="12802" max="13056" width="9.33203125" style="3951"/>
    <col min="13057" max="13057" width="117.5" style="3951" customWidth="1"/>
    <col min="13058" max="13312" width="9.33203125" style="3951"/>
    <col min="13313" max="13313" width="117.5" style="3951" customWidth="1"/>
    <col min="13314" max="13568" width="9.33203125" style="3951"/>
    <col min="13569" max="13569" width="117.5" style="3951" customWidth="1"/>
    <col min="13570" max="13824" width="9.33203125" style="3951"/>
    <col min="13825" max="13825" width="117.5" style="3951" customWidth="1"/>
    <col min="13826" max="14080" width="9.33203125" style="3951"/>
    <col min="14081" max="14081" width="117.5" style="3951" customWidth="1"/>
    <col min="14082" max="14336" width="9.33203125" style="3951"/>
    <col min="14337" max="14337" width="117.5" style="3951" customWidth="1"/>
    <col min="14338" max="14592" width="9.33203125" style="3951"/>
    <col min="14593" max="14593" width="117.5" style="3951" customWidth="1"/>
    <col min="14594" max="14848" width="9.33203125" style="3951"/>
    <col min="14849" max="14849" width="117.5" style="3951" customWidth="1"/>
    <col min="14850" max="15104" width="9.33203125" style="3951"/>
    <col min="15105" max="15105" width="117.5" style="3951" customWidth="1"/>
    <col min="15106" max="15360" width="9.33203125" style="3951"/>
    <col min="15361" max="15361" width="117.5" style="3951" customWidth="1"/>
    <col min="15362" max="15616" width="9.33203125" style="3951"/>
    <col min="15617" max="15617" width="117.5" style="3951" customWidth="1"/>
    <col min="15618" max="15872" width="9.33203125" style="3951"/>
    <col min="15873" max="15873" width="117.5" style="3951" customWidth="1"/>
    <col min="15874" max="16128" width="9.33203125" style="3951"/>
    <col min="16129" max="16129" width="117.5" style="3951" customWidth="1"/>
    <col min="16130" max="16384" width="9.33203125" style="3951"/>
  </cols>
  <sheetData>
    <row r="1" spans="1:8" ht="30" customHeight="1" x14ac:dyDescent="0.2">
      <c r="A1" s="3949"/>
      <c r="B1" s="3950"/>
      <c r="C1" s="3950"/>
      <c r="D1" s="3950"/>
      <c r="E1" s="3950"/>
      <c r="F1" s="3950"/>
      <c r="G1" s="3950"/>
      <c r="H1" s="3950"/>
    </row>
    <row r="2" spans="1:8" ht="14.25" x14ac:dyDescent="0.2">
      <c r="A2" s="3952" t="s">
        <v>2978</v>
      </c>
      <c r="B2" s="3950"/>
      <c r="C2" s="3950"/>
      <c r="D2" s="3950"/>
      <c r="E2" s="3950"/>
      <c r="F2" s="3950"/>
      <c r="G2" s="3950"/>
      <c r="H2" s="3950"/>
    </row>
    <row r="3" spans="1:8" ht="14.25" x14ac:dyDescent="0.2">
      <c r="A3" s="3952" t="s">
        <v>2979</v>
      </c>
      <c r="B3" s="3950"/>
      <c r="C3" s="3950"/>
      <c r="D3" s="3950"/>
      <c r="E3" s="3950"/>
      <c r="F3" s="3950"/>
      <c r="G3" s="3950"/>
      <c r="H3" s="3950"/>
    </row>
    <row r="4" spans="1:8" ht="14.25" x14ac:dyDescent="0.2">
      <c r="A4" s="3952" t="s">
        <v>1716</v>
      </c>
      <c r="B4" s="3950"/>
      <c r="C4" s="3950"/>
      <c r="D4" s="3950"/>
      <c r="E4" s="3950"/>
      <c r="F4" s="3950"/>
      <c r="G4" s="3950"/>
      <c r="H4" s="3950"/>
    </row>
    <row r="5" spans="1:8" ht="14.25" x14ac:dyDescent="0.2">
      <c r="A5" s="3952" t="s">
        <v>2980</v>
      </c>
      <c r="B5" s="3950"/>
      <c r="C5" s="3950"/>
      <c r="D5" s="3950"/>
      <c r="E5" s="3950"/>
      <c r="F5" s="3950"/>
      <c r="G5" s="3950"/>
      <c r="H5" s="3950"/>
    </row>
    <row r="6" spans="1:8" ht="14.25" x14ac:dyDescent="0.2">
      <c r="A6" s="3952"/>
      <c r="B6" s="3950"/>
      <c r="C6" s="3950"/>
      <c r="D6" s="3950"/>
      <c r="E6" s="3950"/>
      <c r="F6" s="3950"/>
      <c r="G6" s="3950"/>
      <c r="H6" s="3950"/>
    </row>
    <row r="7" spans="1:8" x14ac:dyDescent="0.2">
      <c r="A7" s="3949" t="s">
        <v>2981</v>
      </c>
      <c r="B7" s="3950"/>
      <c r="C7" s="3950"/>
      <c r="D7" s="3950"/>
      <c r="E7" s="3950"/>
      <c r="F7" s="3950"/>
      <c r="G7" s="3950"/>
      <c r="H7" s="3950"/>
    </row>
    <row r="8" spans="1:8" x14ac:dyDescent="0.2">
      <c r="A8" s="3949" t="s">
        <v>2982</v>
      </c>
      <c r="B8" s="3950"/>
      <c r="C8" s="3950"/>
      <c r="D8" s="3950"/>
      <c r="E8" s="3950"/>
      <c r="F8" s="3950"/>
      <c r="G8" s="3950"/>
      <c r="H8" s="3950"/>
    </row>
    <row r="9" spans="1:8" x14ac:dyDescent="0.2">
      <c r="A9" s="3949"/>
      <c r="B9" s="3950"/>
      <c r="C9" s="3950"/>
      <c r="D9" s="3950"/>
      <c r="E9" s="3950"/>
      <c r="F9" s="3950"/>
      <c r="G9" s="3950"/>
      <c r="H9" s="3950"/>
    </row>
    <row r="10" spans="1:8" x14ac:dyDescent="0.2">
      <c r="A10" s="3953" t="s">
        <v>2983</v>
      </c>
      <c r="B10" s="3950"/>
      <c r="C10" s="3950"/>
      <c r="D10" s="3950"/>
      <c r="E10" s="3950"/>
      <c r="F10" s="3950"/>
      <c r="G10" s="3950"/>
      <c r="H10" s="3950"/>
    </row>
    <row r="11" spans="1:8" x14ac:dyDescent="0.2">
      <c r="A11" s="3953" t="s">
        <v>2984</v>
      </c>
      <c r="B11" s="3950"/>
      <c r="C11" s="3950"/>
      <c r="D11" s="3950"/>
      <c r="E11" s="3950"/>
      <c r="F11" s="3950"/>
      <c r="G11" s="3950"/>
      <c r="H11" s="3950"/>
    </row>
    <row r="12" spans="1:8" x14ac:dyDescent="0.2">
      <c r="A12" s="3953" t="s">
        <v>2985</v>
      </c>
      <c r="B12" s="3950"/>
      <c r="C12" s="3950"/>
      <c r="D12" s="3950"/>
      <c r="E12" s="3950"/>
      <c r="F12" s="3950"/>
      <c r="G12" s="3950"/>
      <c r="H12" s="3950"/>
    </row>
    <row r="13" spans="1:8" x14ac:dyDescent="0.2">
      <c r="A13" s="3953" t="s">
        <v>2986</v>
      </c>
      <c r="B13" s="3950"/>
      <c r="C13" s="3950"/>
      <c r="D13" s="3950"/>
      <c r="E13" s="3950"/>
      <c r="F13" s="3950"/>
      <c r="G13" s="3950"/>
      <c r="H13" s="3950"/>
    </row>
    <row r="14" spans="1:8" x14ac:dyDescent="0.2">
      <c r="A14" s="3953" t="s">
        <v>2987</v>
      </c>
      <c r="B14" s="3950"/>
      <c r="C14" s="3950"/>
      <c r="D14" s="3950"/>
      <c r="E14" s="3950"/>
      <c r="F14" s="3950"/>
      <c r="G14" s="3950"/>
      <c r="H14" s="3950"/>
    </row>
    <row r="15" spans="1:8" x14ac:dyDescent="0.2">
      <c r="A15" s="3953" t="s">
        <v>2988</v>
      </c>
      <c r="B15" s="3950"/>
      <c r="C15" s="3950"/>
      <c r="D15" s="3950"/>
      <c r="E15" s="3950"/>
      <c r="F15" s="3950"/>
      <c r="G15" s="3950"/>
      <c r="H15" s="3950"/>
    </row>
    <row r="16" spans="1:8" x14ac:dyDescent="0.2">
      <c r="A16" s="3953"/>
      <c r="B16" s="3950"/>
      <c r="C16" s="3950"/>
      <c r="D16" s="3950"/>
      <c r="E16" s="3950"/>
      <c r="F16" s="3950"/>
      <c r="G16" s="3950"/>
      <c r="H16" s="3950"/>
    </row>
    <row r="17" spans="1:8" x14ac:dyDescent="0.2">
      <c r="A17" s="3953" t="s">
        <v>2975</v>
      </c>
      <c r="B17" s="3950"/>
      <c r="C17" s="3950"/>
      <c r="D17" s="3950"/>
      <c r="E17" s="3950"/>
      <c r="F17" s="3950"/>
      <c r="G17" s="3950"/>
      <c r="H17" s="3950"/>
    </row>
    <row r="18" spans="1:8" x14ac:dyDescent="0.2">
      <c r="A18" s="3953"/>
      <c r="B18" s="3950"/>
      <c r="C18" s="3950"/>
      <c r="D18" s="3950"/>
      <c r="E18" s="3950"/>
      <c r="F18" s="3950"/>
      <c r="G18" s="3950"/>
      <c r="H18" s="3950"/>
    </row>
    <row r="19" spans="1:8" x14ac:dyDescent="0.2">
      <c r="A19" s="3953" t="s">
        <v>2976</v>
      </c>
      <c r="B19" s="3950"/>
      <c r="C19" s="3950"/>
      <c r="D19" s="3950"/>
      <c r="E19" s="3950"/>
      <c r="F19" s="3950"/>
      <c r="G19" s="3950"/>
      <c r="H19" s="3950"/>
    </row>
    <row r="20" spans="1:8" x14ac:dyDescent="0.2">
      <c r="A20" s="3949"/>
      <c r="B20" s="3950"/>
      <c r="C20" s="3950"/>
      <c r="D20" s="3950"/>
      <c r="E20" s="3950"/>
      <c r="F20" s="3950"/>
      <c r="G20" s="3950"/>
      <c r="H20" s="3950"/>
    </row>
    <row r="21" spans="1:8" x14ac:dyDescent="0.2">
      <c r="A21" s="3954" t="s">
        <v>2977</v>
      </c>
      <c r="B21" s="3950"/>
      <c r="C21" s="3950"/>
      <c r="D21" s="3950"/>
      <c r="E21" s="3950"/>
      <c r="F21" s="3950"/>
      <c r="G21" s="3950"/>
      <c r="H21" s="3950"/>
    </row>
    <row r="22" spans="1:8" x14ac:dyDescent="0.2">
      <c r="A22" s="3955"/>
      <c r="B22" s="3955"/>
      <c r="C22" s="3955"/>
      <c r="D22" s="3955"/>
      <c r="E22" s="3955"/>
      <c r="F22" s="3955"/>
      <c r="G22" s="3955"/>
      <c r="H22" s="3955"/>
    </row>
    <row r="23" spans="1:8" x14ac:dyDescent="0.2">
      <c r="A23" s="3956" t="s">
        <v>3267</v>
      </c>
      <c r="B23" s="3955"/>
      <c r="C23" s="3955"/>
      <c r="D23" s="3955"/>
      <c r="E23" s="3955"/>
      <c r="F23" s="3955"/>
      <c r="G23" s="3955"/>
      <c r="H23" s="3955"/>
    </row>
    <row r="24" spans="1:8" x14ac:dyDescent="0.2">
      <c r="A24" s="3956" t="s">
        <v>3268</v>
      </c>
      <c r="B24" s="3955"/>
      <c r="C24" s="3955"/>
      <c r="D24" s="3955"/>
      <c r="E24" s="3955"/>
      <c r="F24" s="3955"/>
      <c r="G24" s="3955"/>
      <c r="H24" s="3955"/>
    </row>
    <row r="25" spans="1:8" x14ac:dyDescent="0.2">
      <c r="A25" s="3956" t="s">
        <v>3269</v>
      </c>
      <c r="B25" s="3955"/>
      <c r="C25" s="3955"/>
      <c r="D25" s="3955"/>
      <c r="E25" s="3955"/>
      <c r="F25" s="3955"/>
      <c r="G25" s="3955"/>
      <c r="H25" s="3955"/>
    </row>
    <row r="26" spans="1:8" x14ac:dyDescent="0.2">
      <c r="A26" s="3956" t="s">
        <v>3270</v>
      </c>
      <c r="B26" s="3955"/>
      <c r="C26" s="3955"/>
      <c r="D26" s="3955"/>
      <c r="E26" s="3955"/>
      <c r="F26" s="3955"/>
      <c r="G26" s="3955"/>
      <c r="H26" s="3955"/>
    </row>
    <row r="27" spans="1:8" x14ac:dyDescent="0.2">
      <c r="A27" s="3955"/>
      <c r="B27" s="3955"/>
      <c r="C27" s="3955"/>
      <c r="D27" s="3955"/>
      <c r="E27" s="3955"/>
      <c r="F27" s="3955"/>
      <c r="G27" s="3955"/>
      <c r="H27" s="3955"/>
    </row>
    <row r="28" spans="1:8" x14ac:dyDescent="0.2">
      <c r="A28" s="3955"/>
      <c r="B28" s="3955"/>
      <c r="C28" s="3955"/>
      <c r="D28" s="3955"/>
      <c r="E28" s="3955"/>
      <c r="F28" s="3955"/>
      <c r="G28" s="3955"/>
      <c r="H28" s="3955"/>
    </row>
    <row r="29" spans="1:8" x14ac:dyDescent="0.2">
      <c r="A29" s="3956" t="s">
        <v>3262</v>
      </c>
      <c r="B29" s="3955"/>
      <c r="C29" s="3955"/>
      <c r="D29" s="3955"/>
      <c r="E29" s="3955"/>
      <c r="F29" s="3955"/>
      <c r="G29" s="3955"/>
      <c r="H29" s="3955"/>
    </row>
    <row r="30" spans="1:8" x14ac:dyDescent="0.2">
      <c r="A30" s="3956" t="s">
        <v>3263</v>
      </c>
      <c r="B30" s="3955"/>
      <c r="C30" s="3955"/>
      <c r="D30" s="3955"/>
      <c r="E30" s="3955"/>
      <c r="F30" s="3955"/>
      <c r="G30" s="3955"/>
      <c r="H30" s="3955"/>
    </row>
    <row r="31" spans="1:8" x14ac:dyDescent="0.2">
      <c r="A31" s="3956" t="s">
        <v>3264</v>
      </c>
      <c r="B31" s="3955"/>
      <c r="C31" s="3955"/>
      <c r="D31" s="3955"/>
      <c r="E31" s="3955"/>
      <c r="F31" s="3955"/>
      <c r="G31" s="3955"/>
      <c r="H31" s="3955"/>
    </row>
    <row r="32" spans="1:8" x14ac:dyDescent="0.2">
      <c r="A32" s="3956" t="s">
        <v>3265</v>
      </c>
      <c r="B32" s="3955"/>
      <c r="C32" s="3955"/>
      <c r="D32" s="3955"/>
      <c r="E32" s="3955"/>
      <c r="F32" s="3955"/>
      <c r="G32" s="3955"/>
      <c r="H32" s="3955"/>
    </row>
    <row r="33" spans="1:8" x14ac:dyDescent="0.2">
      <c r="A33" s="3956" t="s">
        <v>3266</v>
      </c>
      <c r="B33" s="3955"/>
      <c r="C33" s="3955"/>
      <c r="D33" s="3955"/>
      <c r="E33" s="3955"/>
      <c r="F33" s="3955"/>
      <c r="G33" s="3955"/>
      <c r="H33" s="3955"/>
    </row>
    <row r="34" spans="1:8" x14ac:dyDescent="0.2">
      <c r="A34" s="3955"/>
      <c r="B34" s="3955"/>
      <c r="C34" s="3955"/>
      <c r="D34" s="3955"/>
      <c r="E34" s="3955"/>
      <c r="F34" s="3955"/>
      <c r="G34" s="3955"/>
      <c r="H34" s="3955"/>
    </row>
    <row r="35" spans="1:8" x14ac:dyDescent="0.2">
      <c r="A35" s="3956" t="s">
        <v>3258</v>
      </c>
      <c r="B35" s="3955"/>
      <c r="C35" s="3955"/>
      <c r="D35" s="3955"/>
      <c r="E35" s="3955"/>
      <c r="F35" s="3955"/>
      <c r="G35" s="3955"/>
      <c r="H35" s="3955"/>
    </row>
    <row r="36" spans="1:8" x14ac:dyDescent="0.2">
      <c r="A36" s="3956" t="s">
        <v>3259</v>
      </c>
      <c r="B36" s="3955"/>
      <c r="C36" s="3955"/>
      <c r="D36" s="3955"/>
      <c r="E36" s="3955"/>
      <c r="F36" s="3955"/>
      <c r="G36" s="3955"/>
      <c r="H36" s="3955"/>
    </row>
    <row r="37" spans="1:8" x14ac:dyDescent="0.2">
      <c r="A37" s="3956" t="s">
        <v>3260</v>
      </c>
      <c r="B37" s="3955"/>
      <c r="C37" s="3955"/>
      <c r="D37" s="3955"/>
      <c r="E37" s="3955"/>
      <c r="F37" s="3955"/>
      <c r="G37" s="3955"/>
      <c r="H37" s="3955"/>
    </row>
    <row r="38" spans="1:8" x14ac:dyDescent="0.2">
      <c r="A38" s="3956" t="s">
        <v>3261</v>
      </c>
      <c r="B38" s="3955"/>
      <c r="C38" s="3955"/>
      <c r="D38" s="3955"/>
      <c r="E38" s="3955"/>
      <c r="F38" s="3955"/>
      <c r="G38" s="3955"/>
      <c r="H38" s="3955"/>
    </row>
    <row r="39" spans="1:8" x14ac:dyDescent="0.2">
      <c r="A39" s="3955"/>
      <c r="B39" s="3955"/>
      <c r="C39" s="3955"/>
      <c r="D39" s="3955"/>
      <c r="E39" s="3955"/>
      <c r="F39" s="3955"/>
      <c r="G39" s="3955"/>
      <c r="H39" s="3955"/>
    </row>
    <row r="40" spans="1:8" x14ac:dyDescent="0.2">
      <c r="A40" s="3956" t="s">
        <v>3252</v>
      </c>
      <c r="B40" s="3955"/>
      <c r="C40" s="3955"/>
      <c r="D40" s="3955"/>
      <c r="E40" s="3955"/>
      <c r="F40" s="3955"/>
      <c r="G40" s="3955"/>
      <c r="H40" s="3955"/>
    </row>
    <row r="41" spans="1:8" x14ac:dyDescent="0.2">
      <c r="A41" s="3956" t="s">
        <v>3253</v>
      </c>
      <c r="B41" s="3955"/>
      <c r="C41" s="3955"/>
      <c r="D41" s="3955"/>
      <c r="E41" s="3955"/>
      <c r="F41" s="3955"/>
      <c r="G41" s="3955"/>
      <c r="H41" s="3955"/>
    </row>
    <row r="42" spans="1:8" x14ac:dyDescent="0.2">
      <c r="A42" s="3956" t="s">
        <v>3254</v>
      </c>
      <c r="B42" s="3955"/>
      <c r="C42" s="3955"/>
      <c r="D42" s="3955"/>
      <c r="E42" s="3955"/>
      <c r="F42" s="3955"/>
      <c r="G42" s="3955"/>
      <c r="H42" s="3955"/>
    </row>
    <row r="43" spans="1:8" x14ac:dyDescent="0.2">
      <c r="A43" s="3956" t="s">
        <v>3255</v>
      </c>
      <c r="B43" s="3955"/>
      <c r="C43" s="3955"/>
      <c r="D43" s="3955"/>
      <c r="E43" s="3955"/>
      <c r="F43" s="3955"/>
      <c r="G43" s="3955"/>
      <c r="H43" s="3955"/>
    </row>
    <row r="44" spans="1:8" x14ac:dyDescent="0.2">
      <c r="A44" s="3956" t="s">
        <v>3256</v>
      </c>
      <c r="B44" s="3955"/>
      <c r="C44" s="3955"/>
      <c r="D44" s="3955"/>
      <c r="E44" s="3955"/>
      <c r="F44" s="3955"/>
      <c r="G44" s="3955"/>
      <c r="H44" s="3955"/>
    </row>
    <row r="45" spans="1:8" x14ac:dyDescent="0.2">
      <c r="A45" s="3956" t="s">
        <v>3257</v>
      </c>
      <c r="B45" s="3955"/>
      <c r="C45" s="3955"/>
      <c r="D45" s="3955"/>
      <c r="E45" s="3955"/>
      <c r="F45" s="3955"/>
      <c r="G45" s="3955"/>
      <c r="H45" s="3955"/>
    </row>
    <row r="46" spans="1:8" x14ac:dyDescent="0.2">
      <c r="A46" s="3955"/>
      <c r="B46" s="3955"/>
      <c r="C46" s="3955"/>
      <c r="D46" s="3955"/>
      <c r="E46" s="3955"/>
      <c r="F46" s="3955"/>
      <c r="G46" s="3955"/>
      <c r="H46" s="3955"/>
    </row>
    <row r="47" spans="1:8" ht="15.75" x14ac:dyDescent="0.2">
      <c r="A47" s="3957" t="s">
        <v>2989</v>
      </c>
      <c r="B47" s="3955"/>
      <c r="C47" s="3955"/>
      <c r="D47" s="3955"/>
      <c r="E47" s="3955"/>
      <c r="F47" s="3955"/>
      <c r="G47" s="3955"/>
      <c r="H47" s="3955"/>
    </row>
    <row r="48" spans="1:8" x14ac:dyDescent="0.2">
      <c r="A48" s="3955"/>
      <c r="B48" s="3955"/>
      <c r="C48" s="3955"/>
      <c r="D48" s="3955"/>
      <c r="E48" s="3955"/>
      <c r="F48" s="3955"/>
      <c r="G48" s="3955"/>
      <c r="H48" s="3955"/>
    </row>
    <row r="49" spans="1:8" x14ac:dyDescent="0.2">
      <c r="A49" s="3956" t="s">
        <v>3248</v>
      </c>
      <c r="B49" s="3955"/>
      <c r="C49" s="3955"/>
      <c r="D49" s="3955"/>
      <c r="E49" s="3955"/>
      <c r="F49" s="3955"/>
      <c r="G49" s="3955"/>
      <c r="H49" s="3955"/>
    </row>
    <row r="50" spans="1:8" x14ac:dyDescent="0.2">
      <c r="A50" s="3956" t="s">
        <v>3249</v>
      </c>
      <c r="B50" s="3955"/>
      <c r="C50" s="3955"/>
      <c r="D50" s="3955"/>
      <c r="E50" s="3955"/>
      <c r="F50" s="3955"/>
      <c r="G50" s="3955"/>
      <c r="H50" s="3955"/>
    </row>
    <row r="51" spans="1:8" x14ac:dyDescent="0.2">
      <c r="A51" s="3956" t="s">
        <v>3250</v>
      </c>
      <c r="B51" s="3955"/>
      <c r="C51" s="3955"/>
      <c r="D51" s="3955"/>
      <c r="E51" s="3955"/>
      <c r="F51" s="3955"/>
      <c r="G51" s="3955"/>
      <c r="H51" s="3955"/>
    </row>
    <row r="52" spans="1:8" x14ac:dyDescent="0.2">
      <c r="A52" s="3956" t="s">
        <v>3251</v>
      </c>
      <c r="B52" s="3955"/>
      <c r="C52" s="3955"/>
      <c r="D52" s="3955"/>
      <c r="E52" s="3955"/>
      <c r="F52" s="3955"/>
      <c r="G52" s="3955"/>
      <c r="H52" s="3955"/>
    </row>
    <row r="53" spans="1:8" x14ac:dyDescent="0.2">
      <c r="A53" s="3955"/>
      <c r="B53" s="3955"/>
      <c r="C53" s="3955"/>
      <c r="D53" s="3955"/>
      <c r="E53" s="3955"/>
      <c r="F53" s="3955"/>
      <c r="G53" s="3955"/>
      <c r="H53" s="3955"/>
    </row>
    <row r="54" spans="1:8" x14ac:dyDescent="0.2">
      <c r="A54" s="3956" t="s">
        <v>2990</v>
      </c>
      <c r="B54" s="3955"/>
      <c r="C54" s="3955"/>
      <c r="D54" s="3955"/>
      <c r="E54" s="3955"/>
      <c r="F54" s="3955"/>
      <c r="G54" s="3955"/>
      <c r="H54" s="3955"/>
    </row>
    <row r="55" spans="1:8" x14ac:dyDescent="0.2">
      <c r="A55" s="3955"/>
      <c r="B55" s="3955"/>
      <c r="C55" s="3955"/>
      <c r="D55" s="3955"/>
      <c r="E55" s="3955"/>
      <c r="F55" s="3955"/>
      <c r="G55" s="3955"/>
      <c r="H55" s="3955"/>
    </row>
    <row r="56" spans="1:8" ht="15.75" x14ac:dyDescent="0.2">
      <c r="A56" s="3957" t="s">
        <v>2991</v>
      </c>
      <c r="B56" s="3955"/>
      <c r="C56" s="3955"/>
      <c r="D56" s="3955"/>
      <c r="E56" s="3955"/>
      <c r="F56" s="3955"/>
      <c r="G56" s="3955"/>
      <c r="H56" s="3955"/>
    </row>
    <row r="57" spans="1:8" x14ac:dyDescent="0.2">
      <c r="A57" s="3955"/>
      <c r="B57" s="3955"/>
      <c r="C57" s="3955"/>
      <c r="D57" s="3955"/>
      <c r="E57" s="3955"/>
      <c r="F57" s="3955"/>
      <c r="G57" s="3955"/>
      <c r="H57" s="3955"/>
    </row>
    <row r="58" spans="1:8" x14ac:dyDescent="0.2">
      <c r="A58" s="3956" t="s">
        <v>3246</v>
      </c>
      <c r="B58" s="3955"/>
      <c r="C58" s="3955"/>
      <c r="D58" s="3955"/>
      <c r="E58" s="3955"/>
      <c r="F58" s="3955"/>
      <c r="G58" s="3955"/>
      <c r="H58" s="3955"/>
    </row>
    <row r="59" spans="1:8" x14ac:dyDescent="0.2">
      <c r="A59" s="3956" t="s">
        <v>3247</v>
      </c>
      <c r="B59" s="3955"/>
      <c r="C59" s="3955"/>
      <c r="D59" s="3955"/>
      <c r="E59" s="3955"/>
      <c r="F59" s="3955"/>
      <c r="G59" s="3955"/>
      <c r="H59" s="3955"/>
    </row>
    <row r="60" spans="1:8" x14ac:dyDescent="0.2">
      <c r="A60" s="3955"/>
      <c r="B60" s="3955"/>
      <c r="C60" s="3955"/>
      <c r="D60" s="3955"/>
      <c r="E60" s="3955"/>
      <c r="F60" s="3955"/>
      <c r="G60" s="3955"/>
      <c r="H60" s="3955"/>
    </row>
    <row r="61" spans="1:8" ht="15.75" x14ac:dyDescent="0.2">
      <c r="A61" s="3957" t="s">
        <v>2992</v>
      </c>
      <c r="B61" s="3955"/>
      <c r="C61" s="3955"/>
      <c r="D61" s="3955"/>
      <c r="E61" s="3955"/>
      <c r="F61" s="3955"/>
      <c r="G61" s="3955"/>
      <c r="H61" s="3955"/>
    </row>
    <row r="62" spans="1:8" x14ac:dyDescent="0.2">
      <c r="A62" s="3955"/>
      <c r="B62" s="3955"/>
      <c r="C62" s="3955"/>
      <c r="D62" s="3955"/>
      <c r="E62" s="3955"/>
      <c r="F62" s="3955"/>
      <c r="G62" s="3955"/>
      <c r="H62" s="3955"/>
    </row>
    <row r="63" spans="1:8" x14ac:dyDescent="0.2">
      <c r="A63" s="3956" t="s">
        <v>3244</v>
      </c>
      <c r="B63" s="3955"/>
      <c r="C63" s="3955"/>
      <c r="D63" s="3955"/>
      <c r="E63" s="3955"/>
      <c r="F63" s="3955"/>
      <c r="G63" s="3955"/>
      <c r="H63" s="3955"/>
    </row>
    <row r="64" spans="1:8" x14ac:dyDescent="0.2">
      <c r="A64" s="3956" t="s">
        <v>3245</v>
      </c>
      <c r="B64" s="3955"/>
      <c r="C64" s="3955"/>
      <c r="D64" s="3955"/>
      <c r="E64" s="3955"/>
      <c r="F64" s="3955"/>
      <c r="G64" s="3955"/>
      <c r="H64" s="3955"/>
    </row>
    <row r="65" spans="1:8" x14ac:dyDescent="0.2">
      <c r="A65" s="3955"/>
      <c r="B65" s="3955"/>
      <c r="C65" s="3955"/>
      <c r="D65" s="3955"/>
      <c r="E65" s="3955"/>
      <c r="F65" s="3955"/>
      <c r="G65" s="3955"/>
      <c r="H65" s="3955"/>
    </row>
    <row r="66" spans="1:8" x14ac:dyDescent="0.2">
      <c r="A66" s="3956" t="s">
        <v>3242</v>
      </c>
      <c r="B66" s="3955"/>
      <c r="C66" s="3955"/>
      <c r="D66" s="3955"/>
      <c r="E66" s="3955"/>
      <c r="F66" s="3955"/>
      <c r="G66" s="3955"/>
      <c r="H66" s="3955"/>
    </row>
    <row r="67" spans="1:8" x14ac:dyDescent="0.2">
      <c r="A67" s="3956" t="s">
        <v>3243</v>
      </c>
      <c r="B67" s="3955"/>
      <c r="C67" s="3955"/>
      <c r="D67" s="3955"/>
      <c r="E67" s="3955"/>
      <c r="F67" s="3955"/>
      <c r="G67" s="3955"/>
      <c r="H67" s="3955"/>
    </row>
    <row r="68" spans="1:8" x14ac:dyDescent="0.2">
      <c r="A68" s="3955"/>
      <c r="B68" s="3955"/>
      <c r="C68" s="3955"/>
      <c r="D68" s="3955"/>
      <c r="E68" s="3955"/>
      <c r="F68" s="3955"/>
      <c r="G68" s="3955"/>
      <c r="H68" s="3955"/>
    </row>
    <row r="69" spans="1:8" x14ac:dyDescent="0.2">
      <c r="A69" s="3956" t="s">
        <v>3239</v>
      </c>
      <c r="B69" s="3955"/>
      <c r="C69" s="3955"/>
      <c r="D69" s="3955"/>
      <c r="E69" s="3955"/>
      <c r="F69" s="3955"/>
      <c r="G69" s="3955"/>
      <c r="H69" s="3955"/>
    </row>
    <row r="70" spans="1:8" x14ac:dyDescent="0.2">
      <c r="A70" s="3956" t="s">
        <v>3240</v>
      </c>
      <c r="B70" s="3955"/>
      <c r="C70" s="3955"/>
      <c r="D70" s="3955"/>
      <c r="E70" s="3955"/>
      <c r="F70" s="3955"/>
      <c r="G70" s="3955"/>
      <c r="H70" s="3955"/>
    </row>
    <row r="71" spans="1:8" x14ac:dyDescent="0.2">
      <c r="A71" s="3956" t="s">
        <v>3241</v>
      </c>
      <c r="B71" s="3955"/>
      <c r="C71" s="3955"/>
      <c r="D71" s="3955"/>
      <c r="E71" s="3955"/>
      <c r="F71" s="3955"/>
      <c r="G71" s="3955"/>
      <c r="H71" s="3955"/>
    </row>
    <row r="72" spans="1:8" x14ac:dyDescent="0.2">
      <c r="A72" s="3955"/>
      <c r="B72" s="3955"/>
      <c r="C72" s="3955"/>
      <c r="D72" s="3955"/>
      <c r="E72" s="3955"/>
      <c r="F72" s="3955"/>
      <c r="G72" s="3955"/>
      <c r="H72" s="3955"/>
    </row>
    <row r="73" spans="1:8" x14ac:dyDescent="0.2">
      <c r="A73" s="3956" t="s">
        <v>3236</v>
      </c>
      <c r="B73" s="3955"/>
      <c r="C73" s="3955"/>
      <c r="D73" s="3955"/>
      <c r="E73" s="3955"/>
      <c r="F73" s="3955"/>
      <c r="G73" s="3955"/>
      <c r="H73" s="3955"/>
    </row>
    <row r="74" spans="1:8" x14ac:dyDescent="0.2">
      <c r="A74" s="3956" t="s">
        <v>3237</v>
      </c>
      <c r="B74" s="3955"/>
      <c r="C74" s="3955"/>
      <c r="D74" s="3955"/>
      <c r="E74" s="3955"/>
      <c r="F74" s="3955"/>
      <c r="G74" s="3955"/>
      <c r="H74" s="3955"/>
    </row>
    <row r="75" spans="1:8" x14ac:dyDescent="0.2">
      <c r="A75" s="3956" t="s">
        <v>3238</v>
      </c>
      <c r="B75" s="3955"/>
      <c r="C75" s="3955"/>
      <c r="D75" s="3955"/>
      <c r="E75" s="3955"/>
      <c r="F75" s="3955"/>
      <c r="G75" s="3955"/>
      <c r="H75" s="3955"/>
    </row>
    <row r="76" spans="1:8" x14ac:dyDescent="0.2">
      <c r="A76" s="3955"/>
      <c r="B76" s="3955"/>
      <c r="C76" s="3955"/>
      <c r="D76" s="3955"/>
      <c r="E76" s="3955"/>
      <c r="F76" s="3955"/>
      <c r="G76" s="3955"/>
      <c r="H76" s="3955"/>
    </row>
    <row r="77" spans="1:8" x14ac:dyDescent="0.2">
      <c r="A77" s="3956" t="s">
        <v>2993</v>
      </c>
      <c r="B77" s="3955"/>
      <c r="C77" s="3955"/>
      <c r="D77" s="3955"/>
      <c r="E77" s="3955"/>
      <c r="F77" s="3955"/>
      <c r="G77" s="3955"/>
      <c r="H77" s="3955"/>
    </row>
    <row r="78" spans="1:8" x14ac:dyDescent="0.2">
      <c r="A78" s="3955"/>
      <c r="B78" s="3955"/>
      <c r="C78" s="3955"/>
      <c r="D78" s="3955"/>
      <c r="E78" s="3955"/>
      <c r="F78" s="3955"/>
      <c r="G78" s="3955"/>
      <c r="H78" s="3955"/>
    </row>
    <row r="79" spans="1:8" x14ac:dyDescent="0.2">
      <c r="A79" s="3956" t="s">
        <v>3231</v>
      </c>
      <c r="B79" s="3955"/>
      <c r="C79" s="3955"/>
      <c r="D79" s="3955"/>
      <c r="E79" s="3955"/>
      <c r="F79" s="3955"/>
      <c r="G79" s="3955"/>
      <c r="H79" s="3955"/>
    </row>
    <row r="80" spans="1:8" x14ac:dyDescent="0.2">
      <c r="A80" s="3956" t="s">
        <v>3232</v>
      </c>
      <c r="B80" s="3955"/>
      <c r="C80" s="3955"/>
      <c r="D80" s="3955"/>
      <c r="E80" s="3955"/>
      <c r="F80" s="3955"/>
      <c r="G80" s="3955"/>
      <c r="H80" s="3955"/>
    </row>
    <row r="81" spans="1:8" x14ac:dyDescent="0.2">
      <c r="A81" s="3956" t="s">
        <v>3233</v>
      </c>
      <c r="B81" s="3955"/>
      <c r="C81" s="3955"/>
      <c r="D81" s="3955"/>
      <c r="E81" s="3955"/>
      <c r="F81" s="3955"/>
      <c r="G81" s="3955"/>
      <c r="H81" s="3955"/>
    </row>
    <row r="82" spans="1:8" x14ac:dyDescent="0.2">
      <c r="A82" s="3956" t="s">
        <v>3234</v>
      </c>
      <c r="B82" s="3955"/>
      <c r="C82" s="3955"/>
      <c r="D82" s="3955"/>
      <c r="E82" s="3955"/>
      <c r="F82" s="3955"/>
      <c r="G82" s="3955"/>
      <c r="H82" s="3955"/>
    </row>
    <row r="83" spans="1:8" x14ac:dyDescent="0.2">
      <c r="A83" s="3956" t="s">
        <v>3235</v>
      </c>
      <c r="B83" s="3955"/>
      <c r="C83" s="3955"/>
      <c r="D83" s="3955"/>
      <c r="E83" s="3955"/>
      <c r="F83" s="3955"/>
      <c r="G83" s="3955"/>
      <c r="H83" s="3955"/>
    </row>
    <row r="84" spans="1:8" x14ac:dyDescent="0.2">
      <c r="A84" s="3956" t="s">
        <v>3118</v>
      </c>
      <c r="B84" s="3955"/>
      <c r="C84" s="3955"/>
      <c r="D84" s="3955"/>
      <c r="E84" s="3955"/>
      <c r="F84" s="3955"/>
      <c r="G84" s="3955"/>
      <c r="H84" s="3955"/>
    </row>
    <row r="85" spans="1:8" x14ac:dyDescent="0.2">
      <c r="A85" s="3955"/>
      <c r="B85" s="3955"/>
      <c r="C85" s="3955"/>
      <c r="D85" s="3955"/>
      <c r="E85" s="3955"/>
      <c r="F85" s="3955"/>
      <c r="G85" s="3955"/>
      <c r="H85" s="3955"/>
    </row>
    <row r="86" spans="1:8" x14ac:dyDescent="0.2">
      <c r="A86" s="3956" t="s">
        <v>3224</v>
      </c>
      <c r="B86" s="3955"/>
      <c r="C86" s="3955"/>
      <c r="D86" s="3955"/>
      <c r="E86" s="3955"/>
      <c r="F86" s="3955"/>
      <c r="G86" s="3955"/>
      <c r="H86" s="3955"/>
    </row>
    <row r="87" spans="1:8" x14ac:dyDescent="0.2">
      <c r="A87" s="3956" t="s">
        <v>3225</v>
      </c>
      <c r="B87" s="3955"/>
      <c r="C87" s="3955"/>
      <c r="D87" s="3955"/>
      <c r="E87" s="3955"/>
      <c r="F87" s="3955"/>
      <c r="G87" s="3955"/>
      <c r="H87" s="3955"/>
    </row>
    <row r="88" spans="1:8" x14ac:dyDescent="0.2">
      <c r="A88" s="3956" t="s">
        <v>3226</v>
      </c>
      <c r="B88" s="3955"/>
      <c r="C88" s="3955"/>
      <c r="D88" s="3955"/>
      <c r="E88" s="3955"/>
      <c r="F88" s="3955"/>
      <c r="G88" s="3955"/>
      <c r="H88" s="3955"/>
    </row>
    <row r="89" spans="1:8" x14ac:dyDescent="0.2">
      <c r="A89" s="3956" t="s">
        <v>3227</v>
      </c>
      <c r="B89" s="3955"/>
      <c r="C89" s="3955"/>
      <c r="D89" s="3955"/>
      <c r="E89" s="3955"/>
      <c r="F89" s="3955"/>
      <c r="G89" s="3955"/>
      <c r="H89" s="3955"/>
    </row>
    <row r="90" spans="1:8" x14ac:dyDescent="0.2">
      <c r="A90" s="3956" t="s">
        <v>3228</v>
      </c>
      <c r="B90" s="3955"/>
      <c r="C90" s="3955"/>
      <c r="D90" s="3955"/>
      <c r="E90" s="3955"/>
      <c r="F90" s="3955"/>
      <c r="G90" s="3955"/>
      <c r="H90" s="3955"/>
    </row>
    <row r="91" spans="1:8" x14ac:dyDescent="0.2">
      <c r="A91" s="3956" t="s">
        <v>3229</v>
      </c>
      <c r="B91" s="3955"/>
      <c r="C91" s="3955"/>
      <c r="D91" s="3955"/>
      <c r="E91" s="3955"/>
      <c r="F91" s="3955"/>
      <c r="G91" s="3955"/>
      <c r="H91" s="3955"/>
    </row>
    <row r="92" spans="1:8" x14ac:dyDescent="0.2">
      <c r="A92" s="3956" t="s">
        <v>3230</v>
      </c>
      <c r="B92" s="3955"/>
      <c r="C92" s="3955"/>
      <c r="D92" s="3955"/>
      <c r="E92" s="3955"/>
      <c r="F92" s="3955"/>
      <c r="G92" s="3955"/>
      <c r="H92" s="3955"/>
    </row>
    <row r="93" spans="1:8" x14ac:dyDescent="0.2">
      <c r="A93" s="3955"/>
      <c r="B93" s="3955"/>
      <c r="C93" s="3955"/>
      <c r="D93" s="3955"/>
      <c r="E93" s="3955"/>
      <c r="F93" s="3955"/>
      <c r="G93" s="3955"/>
      <c r="H93" s="3955"/>
    </row>
    <row r="94" spans="1:8" x14ac:dyDescent="0.2">
      <c r="A94" s="3956" t="s">
        <v>3222</v>
      </c>
      <c r="B94" s="3955"/>
      <c r="C94" s="3955"/>
      <c r="D94" s="3955"/>
      <c r="E94" s="3955"/>
      <c r="F94" s="3955"/>
      <c r="G94" s="3955"/>
      <c r="H94" s="3955"/>
    </row>
    <row r="95" spans="1:8" x14ac:dyDescent="0.2">
      <c r="A95" s="3956" t="s">
        <v>3223</v>
      </c>
      <c r="B95" s="3955"/>
      <c r="C95" s="3955"/>
      <c r="D95" s="3955"/>
      <c r="E95" s="3955"/>
      <c r="F95" s="3955"/>
      <c r="G95" s="3955"/>
      <c r="H95" s="3955"/>
    </row>
    <row r="96" spans="1:8" x14ac:dyDescent="0.2">
      <c r="A96" s="3955"/>
      <c r="B96" s="3955"/>
      <c r="C96" s="3955"/>
      <c r="D96" s="3955"/>
      <c r="E96" s="3955"/>
      <c r="F96" s="3955"/>
      <c r="G96" s="3955"/>
      <c r="H96" s="3955"/>
    </row>
    <row r="97" spans="1:8" ht="15.75" x14ac:dyDescent="0.2">
      <c r="A97" s="3957" t="s">
        <v>2994</v>
      </c>
      <c r="B97" s="3955"/>
      <c r="C97" s="3955"/>
      <c r="D97" s="3955"/>
      <c r="E97" s="3955"/>
      <c r="F97" s="3955"/>
      <c r="G97" s="3955"/>
      <c r="H97" s="3955"/>
    </row>
    <row r="98" spans="1:8" x14ac:dyDescent="0.2">
      <c r="A98" s="3955"/>
      <c r="B98" s="3955"/>
      <c r="C98" s="3955"/>
      <c r="D98" s="3955"/>
      <c r="E98" s="3955"/>
      <c r="F98" s="3955"/>
      <c r="G98" s="3955"/>
      <c r="H98" s="3955"/>
    </row>
    <row r="99" spans="1:8" x14ac:dyDescent="0.2">
      <c r="A99" s="3956" t="s">
        <v>3213</v>
      </c>
      <c r="B99" s="3955"/>
      <c r="C99" s="3955"/>
      <c r="D99" s="3955"/>
      <c r="E99" s="3955"/>
      <c r="F99" s="3955"/>
      <c r="G99" s="3955"/>
      <c r="H99" s="3955"/>
    </row>
    <row r="100" spans="1:8" x14ac:dyDescent="0.2">
      <c r="A100" s="3956" t="s">
        <v>3214</v>
      </c>
      <c r="B100" s="3955"/>
      <c r="C100" s="3955"/>
      <c r="D100" s="3955"/>
      <c r="E100" s="3955"/>
      <c r="F100" s="3955"/>
      <c r="G100" s="3955"/>
      <c r="H100" s="3955"/>
    </row>
    <row r="101" spans="1:8" x14ac:dyDescent="0.2">
      <c r="A101" s="3956" t="s">
        <v>3215</v>
      </c>
      <c r="B101" s="3955"/>
      <c r="C101" s="3955"/>
      <c r="D101" s="3955"/>
      <c r="E101" s="3955"/>
      <c r="F101" s="3955"/>
      <c r="G101" s="3955"/>
      <c r="H101" s="3955"/>
    </row>
    <row r="102" spans="1:8" x14ac:dyDescent="0.2">
      <c r="A102" s="3956" t="s">
        <v>3216</v>
      </c>
      <c r="B102" s="3955"/>
      <c r="C102" s="3955"/>
      <c r="D102" s="3955"/>
      <c r="E102" s="3955"/>
      <c r="F102" s="3955"/>
      <c r="G102" s="3955"/>
      <c r="H102" s="3955"/>
    </row>
    <row r="103" spans="1:8" x14ac:dyDescent="0.2">
      <c r="A103" s="3956" t="s">
        <v>3217</v>
      </c>
      <c r="B103" s="3955"/>
      <c r="C103" s="3955"/>
      <c r="D103" s="3955"/>
      <c r="E103" s="3955"/>
      <c r="F103" s="3955"/>
      <c r="G103" s="3955"/>
      <c r="H103" s="3955"/>
    </row>
    <row r="104" spans="1:8" x14ac:dyDescent="0.2">
      <c r="A104" s="3956" t="s">
        <v>3218</v>
      </c>
      <c r="B104" s="3955"/>
      <c r="C104" s="3955"/>
      <c r="D104" s="3955"/>
      <c r="E104" s="3955"/>
      <c r="F104" s="3955"/>
      <c r="G104" s="3955"/>
      <c r="H104" s="3955"/>
    </row>
    <row r="105" spans="1:8" x14ac:dyDescent="0.2">
      <c r="A105" s="3956" t="s">
        <v>3219</v>
      </c>
      <c r="B105" s="3955"/>
      <c r="C105" s="3955"/>
      <c r="D105" s="3955"/>
      <c r="E105" s="3955"/>
      <c r="F105" s="3955"/>
      <c r="G105" s="3955"/>
      <c r="H105" s="3955"/>
    </row>
    <row r="106" spans="1:8" x14ac:dyDescent="0.2">
      <c r="A106" s="3956" t="s">
        <v>3220</v>
      </c>
      <c r="B106" s="3955"/>
      <c r="C106" s="3955"/>
      <c r="D106" s="3955"/>
      <c r="E106" s="3955"/>
      <c r="F106" s="3955"/>
      <c r="G106" s="3955"/>
      <c r="H106" s="3955"/>
    </row>
    <row r="107" spans="1:8" x14ac:dyDescent="0.2">
      <c r="A107" s="3956" t="s">
        <v>3221</v>
      </c>
      <c r="B107" s="3955"/>
      <c r="C107" s="3955"/>
      <c r="D107" s="3955"/>
      <c r="E107" s="3955"/>
      <c r="F107" s="3955"/>
      <c r="G107" s="3955"/>
      <c r="H107" s="3955"/>
    </row>
    <row r="108" spans="1:8" x14ac:dyDescent="0.2">
      <c r="A108" s="3955"/>
      <c r="B108" s="3955"/>
      <c r="C108" s="3955"/>
      <c r="D108" s="3955"/>
      <c r="E108" s="3955"/>
      <c r="F108" s="3955"/>
      <c r="G108" s="3955"/>
      <c r="H108" s="3955"/>
    </row>
    <row r="109" spans="1:8" ht="15.75" x14ac:dyDescent="0.2">
      <c r="A109" s="3958" t="s">
        <v>2995</v>
      </c>
      <c r="B109" s="3958"/>
      <c r="C109" s="3958"/>
      <c r="D109" s="3958"/>
      <c r="E109" s="3958"/>
      <c r="F109" s="3958"/>
      <c r="G109" s="3958"/>
      <c r="H109" s="3958"/>
    </row>
    <row r="110" spans="1:8" x14ac:dyDescent="0.2">
      <c r="A110" s="3959" t="s">
        <v>2996</v>
      </c>
      <c r="B110" s="3959"/>
      <c r="C110" s="3959"/>
      <c r="D110" s="3959"/>
      <c r="E110" s="3959"/>
      <c r="F110" s="3959"/>
      <c r="G110" s="3959"/>
      <c r="H110" s="3959"/>
    </row>
    <row r="111" spans="1:8" x14ac:dyDescent="0.2">
      <c r="A111" s="3960"/>
      <c r="B111" s="3960"/>
      <c r="C111" s="3960"/>
      <c r="D111" s="3960"/>
      <c r="E111" s="3960"/>
      <c r="F111" s="3960"/>
      <c r="G111" s="3960"/>
      <c r="H111" s="3960"/>
    </row>
    <row r="112" spans="1:8" x14ac:dyDescent="0.2">
      <c r="A112" s="3959" t="s">
        <v>3211</v>
      </c>
      <c r="B112" s="3959"/>
      <c r="C112" s="3959"/>
      <c r="D112" s="3959"/>
      <c r="E112" s="3959"/>
      <c r="F112" s="3959"/>
      <c r="G112" s="3959"/>
      <c r="H112" s="3959"/>
    </row>
    <row r="113" spans="1:8" x14ac:dyDescent="0.2">
      <c r="A113" s="3956" t="s">
        <v>3212</v>
      </c>
      <c r="B113" s="3956"/>
      <c r="C113" s="3956"/>
      <c r="D113" s="3956"/>
      <c r="E113" s="3956"/>
      <c r="F113" s="3956"/>
      <c r="G113" s="3956"/>
      <c r="H113" s="3956"/>
    </row>
    <row r="114" spans="1:8" x14ac:dyDescent="0.2">
      <c r="A114" s="3960"/>
      <c r="B114" s="3960"/>
      <c r="C114" s="3960"/>
      <c r="D114" s="3960"/>
      <c r="E114" s="3960"/>
      <c r="F114" s="3960"/>
      <c r="G114" s="3960"/>
      <c r="H114" s="3960"/>
    </row>
    <row r="115" spans="1:8" x14ac:dyDescent="0.2">
      <c r="A115" s="3959" t="s">
        <v>3204</v>
      </c>
      <c r="B115" s="3959"/>
      <c r="C115" s="3959"/>
      <c r="D115" s="3959"/>
      <c r="E115" s="3959"/>
      <c r="F115" s="3959"/>
      <c r="G115" s="3959"/>
      <c r="H115" s="3959"/>
    </row>
    <row r="116" spans="1:8" x14ac:dyDescent="0.2">
      <c r="A116" s="3956" t="s">
        <v>3205</v>
      </c>
      <c r="B116" s="3956"/>
      <c r="C116" s="3956"/>
      <c r="D116" s="3956"/>
      <c r="E116" s="3956"/>
      <c r="F116" s="3956"/>
      <c r="G116" s="3956"/>
      <c r="H116" s="3956"/>
    </row>
    <row r="117" spans="1:8" x14ac:dyDescent="0.2">
      <c r="A117" s="3956" t="s">
        <v>3206</v>
      </c>
      <c r="B117" s="3956"/>
      <c r="C117" s="3956"/>
      <c r="D117" s="3956"/>
      <c r="E117" s="3956"/>
      <c r="F117" s="3956"/>
      <c r="G117" s="3956"/>
      <c r="H117" s="3956"/>
    </row>
    <row r="118" spans="1:8" x14ac:dyDescent="0.2">
      <c r="A118" s="3956" t="s">
        <v>3207</v>
      </c>
      <c r="B118" s="3956"/>
      <c r="C118" s="3956"/>
      <c r="D118" s="3956"/>
      <c r="E118" s="3956"/>
      <c r="F118" s="3956"/>
      <c r="G118" s="3956"/>
      <c r="H118" s="3956"/>
    </row>
    <row r="119" spans="1:8" x14ac:dyDescent="0.2">
      <c r="A119" s="3956" t="s">
        <v>3208</v>
      </c>
      <c r="B119" s="3956"/>
      <c r="C119" s="3956"/>
      <c r="D119" s="3956"/>
      <c r="E119" s="3956"/>
      <c r="F119" s="3956"/>
      <c r="G119" s="3956"/>
      <c r="H119" s="3956"/>
    </row>
    <row r="120" spans="1:8" x14ac:dyDescent="0.2">
      <c r="A120" s="3956" t="s">
        <v>3209</v>
      </c>
      <c r="B120" s="3956"/>
      <c r="C120" s="3956"/>
      <c r="D120" s="3956"/>
      <c r="E120" s="3956"/>
      <c r="F120" s="3956"/>
      <c r="G120" s="3956"/>
      <c r="H120" s="3956"/>
    </row>
    <row r="121" spans="1:8" x14ac:dyDescent="0.2">
      <c r="A121" s="3956" t="s">
        <v>3210</v>
      </c>
      <c r="B121" s="3956"/>
      <c r="C121" s="3956"/>
      <c r="D121" s="3956"/>
      <c r="E121" s="3956"/>
      <c r="F121" s="3956"/>
      <c r="G121" s="3956"/>
      <c r="H121" s="3956"/>
    </row>
    <row r="122" spans="1:8" x14ac:dyDescent="0.2">
      <c r="A122" s="3961"/>
      <c r="B122" s="3961"/>
      <c r="C122" s="3961"/>
      <c r="D122" s="3961"/>
      <c r="E122" s="3961"/>
      <c r="F122" s="3961"/>
      <c r="G122" s="3961"/>
      <c r="H122" s="3961"/>
    </row>
    <row r="123" spans="1:8" x14ac:dyDescent="0.2">
      <c r="A123" s="3962"/>
      <c r="B123" s="3963" t="s">
        <v>2997</v>
      </c>
      <c r="C123" s="3964"/>
      <c r="D123" s="3963" t="s">
        <v>2998</v>
      </c>
      <c r="E123" s="3965"/>
      <c r="F123" s="3964"/>
      <c r="G123" s="3963" t="s">
        <v>2999</v>
      </c>
      <c r="H123" s="3964"/>
    </row>
    <row r="124" spans="1:8" x14ac:dyDescent="0.2">
      <c r="A124" s="3962" t="s">
        <v>3000</v>
      </c>
      <c r="B124" s="3962" t="s">
        <v>507</v>
      </c>
      <c r="C124" s="3962" t="s">
        <v>1257</v>
      </c>
      <c r="D124" s="3962" t="s">
        <v>507</v>
      </c>
      <c r="E124" s="3962" t="s">
        <v>3001</v>
      </c>
      <c r="F124" s="3962" t="s">
        <v>3002</v>
      </c>
      <c r="G124" s="3962" t="s">
        <v>507</v>
      </c>
      <c r="H124" s="3962" t="s">
        <v>3003</v>
      </c>
    </row>
    <row r="125" spans="1:8" x14ac:dyDescent="0.2">
      <c r="A125" s="3962" t="s">
        <v>3004</v>
      </c>
      <c r="B125" s="3962">
        <v>1173</v>
      </c>
      <c r="C125" s="3962">
        <v>0.37</v>
      </c>
      <c r="D125" s="3962">
        <v>318</v>
      </c>
      <c r="E125" s="3962">
        <v>0.41</v>
      </c>
      <c r="F125" s="3962">
        <v>0.27</v>
      </c>
      <c r="G125" s="3962">
        <v>571</v>
      </c>
      <c r="H125" s="3962">
        <v>0.39</v>
      </c>
    </row>
    <row r="126" spans="1:8" x14ac:dyDescent="0.2">
      <c r="A126" s="3962" t="s">
        <v>3005</v>
      </c>
      <c r="B126" s="3962">
        <v>1390</v>
      </c>
      <c r="C126" s="3962">
        <v>0.44</v>
      </c>
      <c r="D126" s="3962">
        <v>359</v>
      </c>
      <c r="E126" s="3962">
        <v>0.47</v>
      </c>
      <c r="F126" s="3962">
        <v>0.26</v>
      </c>
      <c r="G126" s="3962">
        <v>653</v>
      </c>
      <c r="H126" s="3962">
        <v>0.45</v>
      </c>
    </row>
    <row r="127" spans="1:8" x14ac:dyDescent="0.2">
      <c r="A127" s="3962" t="s">
        <v>3006</v>
      </c>
      <c r="B127" s="3962">
        <v>53</v>
      </c>
      <c r="C127" s="3962">
        <v>0.02</v>
      </c>
      <c r="D127" s="3962">
        <v>5</v>
      </c>
      <c r="E127" s="3962">
        <v>0.01</v>
      </c>
      <c r="F127" s="3962">
        <v>0.09</v>
      </c>
      <c r="G127" s="3962">
        <v>8</v>
      </c>
      <c r="H127" s="3962">
        <v>0.01</v>
      </c>
    </row>
    <row r="128" spans="1:8" x14ac:dyDescent="0.2">
      <c r="A128" s="3962" t="s">
        <v>3007</v>
      </c>
      <c r="B128" s="3962">
        <v>564</v>
      </c>
      <c r="C128" s="3962">
        <v>0.18</v>
      </c>
      <c r="D128" s="3962">
        <v>90</v>
      </c>
      <c r="E128" s="3962">
        <v>0.12</v>
      </c>
      <c r="F128" s="3962">
        <v>0.16</v>
      </c>
      <c r="G128" s="3962">
        <v>219</v>
      </c>
      <c r="H128" s="3962">
        <v>0.15</v>
      </c>
    </row>
    <row r="129" spans="1:8" x14ac:dyDescent="0.2">
      <c r="A129" s="3962" t="s">
        <v>1735</v>
      </c>
      <c r="B129" s="3962">
        <v>3180</v>
      </c>
      <c r="C129" s="3962"/>
      <c r="D129" s="3962">
        <v>772</v>
      </c>
      <c r="E129" s="3962"/>
      <c r="F129" s="3962"/>
      <c r="G129" s="3962">
        <v>1451</v>
      </c>
      <c r="H129" s="3962"/>
    </row>
    <row r="130" spans="1:8" x14ac:dyDescent="0.2">
      <c r="A130" s="3966"/>
      <c r="B130" s="3966"/>
      <c r="C130" s="3966"/>
      <c r="D130" s="3966"/>
      <c r="E130" s="3966"/>
      <c r="F130" s="3966"/>
      <c r="G130" s="3966"/>
      <c r="H130" s="3966"/>
    </row>
    <row r="131" spans="1:8" x14ac:dyDescent="0.2">
      <c r="A131" s="3959" t="s">
        <v>3200</v>
      </c>
      <c r="B131" s="3959"/>
      <c r="C131" s="3959"/>
      <c r="D131" s="3959"/>
      <c r="E131" s="3959"/>
      <c r="F131" s="3959"/>
      <c r="G131" s="3959"/>
      <c r="H131" s="3959"/>
    </row>
    <row r="132" spans="1:8" x14ac:dyDescent="0.2">
      <c r="A132" s="3956" t="s">
        <v>3201</v>
      </c>
      <c r="B132" s="3956"/>
      <c r="C132" s="3956"/>
      <c r="D132" s="3956"/>
      <c r="E132" s="3956"/>
      <c r="F132" s="3956"/>
      <c r="G132" s="3956"/>
      <c r="H132" s="3956"/>
    </row>
    <row r="133" spans="1:8" x14ac:dyDescent="0.2">
      <c r="A133" s="3956" t="s">
        <v>3202</v>
      </c>
      <c r="B133" s="3956"/>
      <c r="C133" s="3956"/>
      <c r="D133" s="3956"/>
      <c r="E133" s="3956"/>
      <c r="F133" s="3956"/>
      <c r="G133" s="3956"/>
      <c r="H133" s="3956"/>
    </row>
    <row r="134" spans="1:8" x14ac:dyDescent="0.2">
      <c r="A134" s="3956" t="s">
        <v>3203</v>
      </c>
      <c r="B134" s="3956"/>
      <c r="C134" s="3956"/>
      <c r="D134" s="3956"/>
      <c r="E134" s="3956"/>
      <c r="F134" s="3956"/>
      <c r="G134" s="3956"/>
      <c r="H134" s="3956"/>
    </row>
    <row r="135" spans="1:8" x14ac:dyDescent="0.2">
      <c r="A135" s="3955"/>
      <c r="B135" s="3955"/>
      <c r="C135" s="3955"/>
      <c r="D135" s="3955"/>
      <c r="E135" s="3955"/>
      <c r="F135" s="3955"/>
      <c r="G135" s="3955"/>
      <c r="H135" s="3955"/>
    </row>
    <row r="136" spans="1:8" ht="15.75" x14ac:dyDescent="0.2">
      <c r="A136" s="3957" t="s">
        <v>3008</v>
      </c>
      <c r="B136" s="3955"/>
      <c r="C136" s="3955"/>
      <c r="D136" s="3955"/>
      <c r="E136" s="3955"/>
      <c r="F136" s="3955"/>
      <c r="G136" s="3955"/>
      <c r="H136" s="3955"/>
    </row>
    <row r="137" spans="1:8" x14ac:dyDescent="0.2">
      <c r="A137" s="3955"/>
      <c r="B137" s="3955"/>
      <c r="C137" s="3955"/>
      <c r="D137" s="3955"/>
      <c r="E137" s="3955"/>
      <c r="F137" s="3955"/>
      <c r="G137" s="3955"/>
      <c r="H137" s="3955"/>
    </row>
    <row r="138" spans="1:8" x14ac:dyDescent="0.2">
      <c r="A138" s="3956" t="s">
        <v>3198</v>
      </c>
      <c r="B138" s="3955"/>
      <c r="C138" s="3955"/>
      <c r="D138" s="3955"/>
      <c r="E138" s="3955"/>
      <c r="F138" s="3955"/>
      <c r="G138" s="3955"/>
      <c r="H138" s="3955"/>
    </row>
    <row r="139" spans="1:8" x14ac:dyDescent="0.2">
      <c r="A139" s="3956" t="s">
        <v>3199</v>
      </c>
      <c r="B139" s="3955"/>
      <c r="C139" s="3955"/>
      <c r="D139" s="3955"/>
      <c r="E139" s="3955"/>
      <c r="F139" s="3955"/>
      <c r="G139" s="3955"/>
      <c r="H139" s="3955"/>
    </row>
    <row r="140" spans="1:8" x14ac:dyDescent="0.2">
      <c r="A140" s="3955"/>
      <c r="B140" s="3955"/>
      <c r="C140" s="3955"/>
      <c r="D140" s="3955"/>
      <c r="E140" s="3955"/>
      <c r="F140" s="3955"/>
      <c r="G140" s="3955"/>
      <c r="H140" s="3955"/>
    </row>
    <row r="141" spans="1:8" x14ac:dyDescent="0.2">
      <c r="A141" s="3956" t="s">
        <v>3195</v>
      </c>
      <c r="B141" s="3955"/>
      <c r="C141" s="3955"/>
      <c r="D141" s="3955"/>
      <c r="E141" s="3955"/>
      <c r="F141" s="3955"/>
      <c r="G141" s="3955"/>
      <c r="H141" s="3955"/>
    </row>
    <row r="142" spans="1:8" x14ac:dyDescent="0.2">
      <c r="A142" s="3956" t="s">
        <v>3196</v>
      </c>
      <c r="B142" s="3955"/>
      <c r="C142" s="3955"/>
      <c r="D142" s="3955"/>
      <c r="E142" s="3955"/>
      <c r="F142" s="3955"/>
      <c r="G142" s="3955"/>
      <c r="H142" s="3955"/>
    </row>
    <row r="143" spans="1:8" x14ac:dyDescent="0.2">
      <c r="A143" s="3956" t="s">
        <v>3197</v>
      </c>
      <c r="B143" s="3955"/>
      <c r="C143" s="3955"/>
      <c r="D143" s="3955"/>
      <c r="E143" s="3955"/>
      <c r="F143" s="3955"/>
      <c r="G143" s="3955"/>
      <c r="H143" s="3955"/>
    </row>
    <row r="144" spans="1:8" x14ac:dyDescent="0.2">
      <c r="A144" s="3955"/>
      <c r="B144" s="3955"/>
      <c r="C144" s="3955"/>
      <c r="D144" s="3955"/>
      <c r="E144" s="3955"/>
      <c r="F144" s="3955"/>
      <c r="G144" s="3955"/>
      <c r="H144" s="3955"/>
    </row>
    <row r="145" spans="1:8" x14ac:dyDescent="0.2">
      <c r="A145" s="3956" t="s">
        <v>3192</v>
      </c>
      <c r="B145" s="3955"/>
      <c r="C145" s="3955"/>
      <c r="D145" s="3955"/>
      <c r="E145" s="3955"/>
      <c r="F145" s="3955"/>
      <c r="G145" s="3955"/>
      <c r="H145" s="3955"/>
    </row>
    <row r="146" spans="1:8" x14ac:dyDescent="0.2">
      <c r="A146" s="3956" t="s">
        <v>3193</v>
      </c>
      <c r="B146" s="3955"/>
      <c r="C146" s="3955"/>
      <c r="D146" s="3955"/>
      <c r="E146" s="3955"/>
      <c r="F146" s="3955"/>
      <c r="G146" s="3955"/>
      <c r="H146" s="3955"/>
    </row>
    <row r="147" spans="1:8" x14ac:dyDescent="0.2">
      <c r="A147" s="3956" t="s">
        <v>3194</v>
      </c>
      <c r="B147" s="3955"/>
      <c r="C147" s="3955"/>
      <c r="D147" s="3955"/>
      <c r="E147" s="3955"/>
      <c r="F147" s="3955"/>
      <c r="G147" s="3955"/>
      <c r="H147" s="3955"/>
    </row>
    <row r="148" spans="1:8" x14ac:dyDescent="0.2">
      <c r="A148" s="3955"/>
      <c r="B148" s="3955"/>
      <c r="C148" s="3955"/>
      <c r="D148" s="3955"/>
      <c r="E148" s="3955"/>
      <c r="F148" s="3955"/>
      <c r="G148" s="3955"/>
      <c r="H148" s="3955"/>
    </row>
    <row r="149" spans="1:8" x14ac:dyDescent="0.2">
      <c r="A149" s="3956" t="s">
        <v>3189</v>
      </c>
      <c r="B149" s="3955"/>
      <c r="C149" s="3955"/>
      <c r="D149" s="3955"/>
      <c r="E149" s="3955"/>
      <c r="F149" s="3955"/>
      <c r="G149" s="3955"/>
      <c r="H149" s="3955"/>
    </row>
    <row r="150" spans="1:8" x14ac:dyDescent="0.2">
      <c r="A150" s="3956" t="s">
        <v>3190</v>
      </c>
      <c r="B150" s="3955"/>
      <c r="C150" s="3955"/>
      <c r="D150" s="3955"/>
      <c r="E150" s="3955"/>
      <c r="F150" s="3955"/>
      <c r="G150" s="3955"/>
      <c r="H150" s="3955"/>
    </row>
    <row r="151" spans="1:8" x14ac:dyDescent="0.2">
      <c r="A151" s="3956" t="s">
        <v>3191</v>
      </c>
      <c r="B151" s="3955"/>
      <c r="C151" s="3955"/>
      <c r="D151" s="3955"/>
      <c r="E151" s="3955"/>
      <c r="F151" s="3955"/>
      <c r="G151" s="3955"/>
      <c r="H151" s="3955"/>
    </row>
    <row r="152" spans="1:8" x14ac:dyDescent="0.2">
      <c r="A152" s="3955"/>
      <c r="B152" s="3955"/>
      <c r="C152" s="3955"/>
      <c r="D152" s="3955"/>
      <c r="E152" s="3955"/>
      <c r="F152" s="3955"/>
      <c r="G152" s="3955"/>
      <c r="H152" s="3955"/>
    </row>
    <row r="153" spans="1:8" x14ac:dyDescent="0.2">
      <c r="A153" s="3956" t="s">
        <v>3187</v>
      </c>
      <c r="B153" s="3955"/>
      <c r="C153" s="3955"/>
      <c r="D153" s="3955"/>
      <c r="E153" s="3955"/>
      <c r="F153" s="3955"/>
      <c r="G153" s="3955"/>
      <c r="H153" s="3955"/>
    </row>
    <row r="154" spans="1:8" x14ac:dyDescent="0.2">
      <c r="A154" s="3956" t="s">
        <v>3188</v>
      </c>
      <c r="B154" s="3955"/>
      <c r="C154" s="3955"/>
      <c r="D154" s="3955"/>
      <c r="E154" s="3955"/>
      <c r="F154" s="3955"/>
      <c r="G154" s="3955"/>
      <c r="H154" s="3955"/>
    </row>
    <row r="155" spans="1:8" x14ac:dyDescent="0.2">
      <c r="A155" s="3955"/>
      <c r="B155" s="3955"/>
      <c r="C155" s="3955"/>
      <c r="D155" s="3955"/>
      <c r="E155" s="3955"/>
      <c r="F155" s="3955"/>
      <c r="G155" s="3955"/>
      <c r="H155" s="3955"/>
    </row>
    <row r="156" spans="1:8" ht="15.75" x14ac:dyDescent="0.2">
      <c r="A156" s="3957" t="s">
        <v>3009</v>
      </c>
      <c r="B156" s="3955"/>
      <c r="C156" s="3955"/>
      <c r="D156" s="3955"/>
      <c r="E156" s="3955"/>
      <c r="F156" s="3955"/>
      <c r="G156" s="3955"/>
      <c r="H156" s="3955"/>
    </row>
    <row r="157" spans="1:8" x14ac:dyDescent="0.2">
      <c r="A157" s="3955"/>
      <c r="B157" s="3955"/>
      <c r="C157" s="3955"/>
      <c r="D157" s="3955"/>
      <c r="E157" s="3955"/>
      <c r="F157" s="3955"/>
      <c r="G157" s="3955"/>
      <c r="H157" s="3955"/>
    </row>
    <row r="158" spans="1:8" x14ac:dyDescent="0.2">
      <c r="A158" s="3956" t="s">
        <v>3185</v>
      </c>
      <c r="B158" s="3955"/>
      <c r="C158" s="3955"/>
      <c r="D158" s="3955"/>
      <c r="E158" s="3955"/>
      <c r="F158" s="3955"/>
      <c r="G158" s="3955"/>
      <c r="H158" s="3955"/>
    </row>
    <row r="159" spans="1:8" x14ac:dyDescent="0.2">
      <c r="A159" s="3956" t="s">
        <v>3186</v>
      </c>
      <c r="B159" s="3955"/>
      <c r="C159" s="3955"/>
      <c r="D159" s="3955"/>
      <c r="E159" s="3955"/>
      <c r="F159" s="3955"/>
      <c r="G159" s="3955"/>
      <c r="H159" s="3955"/>
    </row>
    <row r="160" spans="1:8" x14ac:dyDescent="0.2">
      <c r="A160" s="3955"/>
      <c r="B160" s="3955"/>
      <c r="C160" s="3955"/>
      <c r="D160" s="3955"/>
      <c r="E160" s="3955"/>
      <c r="F160" s="3955"/>
      <c r="G160" s="3955"/>
      <c r="H160" s="3955"/>
    </row>
    <row r="161" spans="1:8" x14ac:dyDescent="0.2">
      <c r="A161" s="3956" t="s">
        <v>3183</v>
      </c>
      <c r="B161" s="3955"/>
      <c r="C161" s="3955"/>
      <c r="D161" s="3955"/>
      <c r="E161" s="3955"/>
      <c r="F161" s="3955"/>
      <c r="G161" s="3955"/>
      <c r="H161" s="3955"/>
    </row>
    <row r="162" spans="1:8" x14ac:dyDescent="0.2">
      <c r="A162" s="3956" t="s">
        <v>3184</v>
      </c>
      <c r="B162" s="3955"/>
      <c r="C162" s="3955"/>
      <c r="D162" s="3955"/>
      <c r="E162" s="3955"/>
      <c r="F162" s="3955"/>
      <c r="G162" s="3955"/>
      <c r="H162" s="3955"/>
    </row>
    <row r="163" spans="1:8" x14ac:dyDescent="0.2">
      <c r="A163" s="3955"/>
      <c r="B163" s="3955"/>
      <c r="C163" s="3955"/>
      <c r="D163" s="3955"/>
      <c r="E163" s="3955"/>
      <c r="F163" s="3955"/>
      <c r="G163" s="3955"/>
      <c r="H163" s="3955"/>
    </row>
    <row r="164" spans="1:8" x14ac:dyDescent="0.2">
      <c r="A164" s="3956" t="s">
        <v>3181</v>
      </c>
      <c r="B164" s="3955"/>
      <c r="C164" s="3955"/>
      <c r="D164" s="3955"/>
      <c r="E164" s="3955"/>
      <c r="F164" s="3955"/>
      <c r="G164" s="3955"/>
      <c r="H164" s="3955"/>
    </row>
    <row r="165" spans="1:8" x14ac:dyDescent="0.2">
      <c r="A165" s="3956" t="s">
        <v>3182</v>
      </c>
      <c r="B165" s="3955"/>
      <c r="C165" s="3955"/>
      <c r="D165" s="3955"/>
      <c r="E165" s="3955"/>
      <c r="F165" s="3955"/>
      <c r="G165" s="3955"/>
      <c r="H165" s="3955"/>
    </row>
    <row r="166" spans="1:8" x14ac:dyDescent="0.2">
      <c r="A166" s="3955"/>
      <c r="B166" s="3955"/>
      <c r="C166" s="3955"/>
      <c r="D166" s="3955"/>
      <c r="E166" s="3955"/>
      <c r="F166" s="3955"/>
      <c r="G166" s="3955"/>
      <c r="H166" s="3955"/>
    </row>
    <row r="167" spans="1:8" x14ac:dyDescent="0.2">
      <c r="A167" s="3956" t="s">
        <v>3178</v>
      </c>
      <c r="B167" s="3955"/>
      <c r="C167" s="3955"/>
      <c r="D167" s="3955"/>
      <c r="E167" s="3955"/>
      <c r="F167" s="3955"/>
      <c r="G167" s="3955"/>
      <c r="H167" s="3955"/>
    </row>
    <row r="168" spans="1:8" x14ac:dyDescent="0.2">
      <c r="A168" s="3956" t="s">
        <v>3179</v>
      </c>
      <c r="B168" s="3955"/>
      <c r="C168" s="3955"/>
      <c r="D168" s="3955"/>
      <c r="E168" s="3955"/>
      <c r="F168" s="3955"/>
      <c r="G168" s="3955"/>
      <c r="H168" s="3955"/>
    </row>
    <row r="169" spans="1:8" x14ac:dyDescent="0.2">
      <c r="A169" s="3956" t="s">
        <v>3180</v>
      </c>
      <c r="B169" s="3955"/>
      <c r="C169" s="3955"/>
      <c r="D169" s="3955"/>
      <c r="E169" s="3955"/>
      <c r="F169" s="3955"/>
      <c r="G169" s="3955"/>
      <c r="H169" s="3955"/>
    </row>
    <row r="170" spans="1:8" x14ac:dyDescent="0.2">
      <c r="A170" s="3955"/>
      <c r="B170" s="3955"/>
      <c r="C170" s="3955"/>
      <c r="D170" s="3955"/>
      <c r="E170" s="3955"/>
      <c r="F170" s="3955"/>
      <c r="G170" s="3955"/>
      <c r="H170" s="3955"/>
    </row>
    <row r="171" spans="1:8" x14ac:dyDescent="0.2">
      <c r="A171" s="3955"/>
      <c r="B171" s="3955"/>
      <c r="C171" s="3955"/>
      <c r="D171" s="3955"/>
      <c r="E171" s="3955"/>
      <c r="F171" s="3955"/>
      <c r="G171" s="3955"/>
      <c r="H171" s="3955"/>
    </row>
    <row r="172" spans="1:8" x14ac:dyDescent="0.2">
      <c r="A172" s="3956" t="s">
        <v>3010</v>
      </c>
      <c r="B172" s="3955"/>
      <c r="C172" s="3955"/>
      <c r="D172" s="3955"/>
      <c r="E172" s="3955"/>
      <c r="F172" s="3955"/>
      <c r="G172" s="3955"/>
      <c r="H172" s="3955"/>
    </row>
    <row r="173" spans="1:8" x14ac:dyDescent="0.2">
      <c r="A173" s="3955"/>
      <c r="B173" s="3955"/>
      <c r="C173" s="3955"/>
      <c r="D173" s="3955"/>
      <c r="E173" s="3955"/>
      <c r="F173" s="3955"/>
      <c r="G173" s="3955"/>
      <c r="H173" s="3955"/>
    </row>
    <row r="174" spans="1:8" ht="15.75" x14ac:dyDescent="0.2">
      <c r="A174" s="3957" t="s">
        <v>3011</v>
      </c>
      <c r="B174" s="3955"/>
      <c r="C174" s="3955"/>
      <c r="D174" s="3955"/>
      <c r="E174" s="3955"/>
      <c r="F174" s="3955"/>
      <c r="G174" s="3955"/>
      <c r="H174" s="3955"/>
    </row>
    <row r="175" spans="1:8" x14ac:dyDescent="0.2">
      <c r="A175" s="3955"/>
      <c r="B175" s="3955"/>
      <c r="C175" s="3955"/>
      <c r="D175" s="3955"/>
      <c r="E175" s="3955"/>
      <c r="F175" s="3955"/>
      <c r="G175" s="3955"/>
      <c r="H175" s="3955"/>
    </row>
    <row r="176" spans="1:8" x14ac:dyDescent="0.2">
      <c r="A176" s="3955"/>
      <c r="B176" s="3955"/>
      <c r="C176" s="3955"/>
      <c r="D176" s="3955"/>
      <c r="E176" s="3955"/>
      <c r="F176" s="3955"/>
      <c r="G176" s="3955"/>
      <c r="H176" s="3955"/>
    </row>
    <row r="177" spans="1:8" x14ac:dyDescent="0.2">
      <c r="A177" s="3955"/>
      <c r="B177" s="3955"/>
      <c r="C177" s="3955"/>
      <c r="D177" s="3955"/>
      <c r="E177" s="3955"/>
      <c r="F177" s="3955"/>
      <c r="G177" s="3955"/>
      <c r="H177" s="3955"/>
    </row>
    <row r="178" spans="1:8" x14ac:dyDescent="0.2">
      <c r="A178" s="3955"/>
      <c r="B178" s="3955"/>
      <c r="C178" s="3955"/>
      <c r="D178" s="3955"/>
      <c r="E178" s="3955"/>
      <c r="F178" s="3955"/>
      <c r="G178" s="3955"/>
      <c r="H178" s="3955"/>
    </row>
    <row r="179" spans="1:8" x14ac:dyDescent="0.2">
      <c r="A179" s="3955"/>
      <c r="B179" s="3955"/>
      <c r="C179" s="3955"/>
      <c r="D179" s="3955"/>
      <c r="E179" s="3955"/>
      <c r="F179" s="3955"/>
      <c r="G179" s="3955"/>
      <c r="H179" s="3955"/>
    </row>
    <row r="180" spans="1:8" x14ac:dyDescent="0.2">
      <c r="A180" s="3955"/>
      <c r="B180" s="3955"/>
      <c r="C180" s="3955"/>
      <c r="D180" s="3955"/>
      <c r="E180" s="3955"/>
      <c r="F180" s="3955"/>
      <c r="G180" s="3955"/>
      <c r="H180" s="3955"/>
    </row>
    <row r="181" spans="1:8" x14ac:dyDescent="0.2">
      <c r="A181" s="3955"/>
      <c r="B181" s="3955"/>
      <c r="C181" s="3955"/>
      <c r="D181" s="3955"/>
      <c r="E181" s="3955"/>
      <c r="F181" s="3955"/>
      <c r="G181" s="3955"/>
      <c r="H181" s="3955"/>
    </row>
    <row r="182" spans="1:8" x14ac:dyDescent="0.2">
      <c r="A182" s="3955"/>
      <c r="B182" s="3955"/>
      <c r="C182" s="3955"/>
      <c r="D182" s="3955"/>
      <c r="E182" s="3955"/>
      <c r="F182" s="3955"/>
      <c r="G182" s="3955"/>
      <c r="H182" s="3955"/>
    </row>
    <row r="183" spans="1:8" x14ac:dyDescent="0.2">
      <c r="A183" s="3955"/>
      <c r="B183" s="3955"/>
      <c r="C183" s="3955"/>
      <c r="D183" s="3955"/>
      <c r="E183" s="3955"/>
      <c r="F183" s="3955"/>
      <c r="G183" s="3955"/>
      <c r="H183" s="3955"/>
    </row>
    <row r="184" spans="1:8" x14ac:dyDescent="0.2">
      <c r="A184" s="3955"/>
      <c r="B184" s="3955"/>
      <c r="C184" s="3955"/>
      <c r="D184" s="3955"/>
      <c r="E184" s="3955"/>
      <c r="F184" s="3955"/>
      <c r="G184" s="3955"/>
      <c r="H184" s="3955"/>
    </row>
    <row r="185" spans="1:8" x14ac:dyDescent="0.2">
      <c r="A185" s="3955"/>
      <c r="B185" s="3955"/>
      <c r="C185" s="3955"/>
      <c r="D185" s="3955"/>
      <c r="E185" s="3955"/>
      <c r="F185" s="3955"/>
      <c r="G185" s="3955"/>
      <c r="H185" s="3955"/>
    </row>
    <row r="186" spans="1:8" x14ac:dyDescent="0.2">
      <c r="A186" s="3955"/>
      <c r="B186" s="3955"/>
      <c r="C186" s="3955"/>
      <c r="D186" s="3955"/>
      <c r="E186" s="3955"/>
      <c r="F186" s="3955"/>
      <c r="G186" s="3955"/>
      <c r="H186" s="3955"/>
    </row>
    <row r="187" spans="1:8" x14ac:dyDescent="0.2">
      <c r="A187" s="3955"/>
      <c r="B187" s="3955"/>
      <c r="C187" s="3955"/>
      <c r="D187" s="3955"/>
      <c r="E187" s="3955"/>
      <c r="F187" s="3955"/>
      <c r="G187" s="3955"/>
      <c r="H187" s="3955"/>
    </row>
    <row r="188" spans="1:8" x14ac:dyDescent="0.2">
      <c r="A188" s="3955"/>
      <c r="B188" s="3955"/>
      <c r="C188" s="3955"/>
      <c r="D188" s="3955"/>
      <c r="E188" s="3955"/>
      <c r="F188" s="3955"/>
      <c r="G188" s="3955"/>
      <c r="H188" s="3955"/>
    </row>
    <row r="189" spans="1:8" x14ac:dyDescent="0.2">
      <c r="A189" s="3955"/>
      <c r="B189" s="3955"/>
      <c r="C189" s="3955"/>
      <c r="D189" s="3955"/>
      <c r="E189" s="3955"/>
      <c r="F189" s="3955"/>
      <c r="G189" s="3955"/>
      <c r="H189" s="3955"/>
    </row>
    <row r="190" spans="1:8" x14ac:dyDescent="0.2">
      <c r="A190" s="3955"/>
      <c r="B190" s="3955"/>
      <c r="C190" s="3955"/>
      <c r="D190" s="3955"/>
      <c r="E190" s="3955"/>
      <c r="F190" s="3955"/>
      <c r="G190" s="3955"/>
      <c r="H190" s="3955"/>
    </row>
    <row r="191" spans="1:8" x14ac:dyDescent="0.2">
      <c r="A191" s="3955"/>
      <c r="B191" s="3955"/>
      <c r="C191" s="3955"/>
      <c r="D191" s="3955"/>
      <c r="E191" s="3955"/>
      <c r="F191" s="3955"/>
      <c r="G191" s="3955"/>
      <c r="H191" s="3955"/>
    </row>
    <row r="192" spans="1:8" x14ac:dyDescent="0.2">
      <c r="A192" s="3955"/>
      <c r="B192" s="3955"/>
      <c r="C192" s="3955"/>
      <c r="D192" s="3955"/>
      <c r="E192" s="3955"/>
      <c r="F192" s="3955"/>
      <c r="G192" s="3955"/>
      <c r="H192" s="3955"/>
    </row>
    <row r="193" spans="1:8" x14ac:dyDescent="0.2">
      <c r="A193" s="3955"/>
      <c r="B193" s="3955"/>
      <c r="C193" s="3955"/>
      <c r="D193" s="3955"/>
      <c r="E193" s="3955"/>
      <c r="F193" s="3955"/>
      <c r="G193" s="3955"/>
      <c r="H193" s="3955"/>
    </row>
    <row r="194" spans="1:8" x14ac:dyDescent="0.2">
      <c r="A194" s="3955"/>
      <c r="B194" s="3955"/>
      <c r="C194" s="3955"/>
      <c r="D194" s="3955"/>
      <c r="E194" s="3955"/>
      <c r="F194" s="3955"/>
      <c r="G194" s="3955"/>
      <c r="H194" s="3955"/>
    </row>
    <row r="195" spans="1:8" x14ac:dyDescent="0.2">
      <c r="A195" s="3955"/>
      <c r="B195" s="3955"/>
      <c r="C195" s="3955"/>
      <c r="D195" s="3955"/>
      <c r="E195" s="3955"/>
      <c r="F195" s="3955"/>
      <c r="G195" s="3955"/>
      <c r="H195" s="3955"/>
    </row>
    <row r="196" spans="1:8" x14ac:dyDescent="0.2">
      <c r="A196" s="3955"/>
      <c r="B196" s="3955"/>
      <c r="C196" s="3955"/>
      <c r="D196" s="3955"/>
      <c r="E196" s="3955"/>
      <c r="F196" s="3955"/>
      <c r="G196" s="3955"/>
      <c r="H196" s="3955"/>
    </row>
    <row r="197" spans="1:8" x14ac:dyDescent="0.2">
      <c r="A197" s="3955"/>
      <c r="B197" s="3955"/>
      <c r="C197" s="3955"/>
      <c r="D197" s="3955"/>
      <c r="E197" s="3955"/>
      <c r="F197" s="3955"/>
      <c r="G197" s="3955"/>
      <c r="H197" s="3955"/>
    </row>
    <row r="198" spans="1:8" x14ac:dyDescent="0.2">
      <c r="A198" s="3955"/>
      <c r="B198" s="3955"/>
      <c r="C198" s="3955"/>
      <c r="D198" s="3955"/>
      <c r="E198" s="3955"/>
      <c r="F198" s="3955"/>
      <c r="G198" s="3955"/>
      <c r="H198" s="3955"/>
    </row>
    <row r="199" spans="1:8" x14ac:dyDescent="0.2">
      <c r="A199" s="3955"/>
      <c r="B199" s="3955"/>
      <c r="C199" s="3955"/>
      <c r="D199" s="3955"/>
      <c r="E199" s="3955"/>
      <c r="F199" s="3955"/>
      <c r="G199" s="3955"/>
      <c r="H199" s="3955"/>
    </row>
    <row r="200" spans="1:8" x14ac:dyDescent="0.2">
      <c r="A200" s="3955"/>
      <c r="B200" s="3955"/>
      <c r="C200" s="3955"/>
      <c r="D200" s="3955"/>
      <c r="E200" s="3955"/>
      <c r="F200" s="3955"/>
      <c r="G200" s="3955"/>
      <c r="H200" s="3955"/>
    </row>
    <row r="201" spans="1:8" ht="15.75" x14ac:dyDescent="0.2">
      <c r="A201" s="3957" t="s">
        <v>3012</v>
      </c>
      <c r="B201" s="3955"/>
      <c r="C201" s="3955"/>
      <c r="D201" s="3955"/>
      <c r="E201" s="3955"/>
      <c r="F201" s="3955"/>
      <c r="G201" s="3955"/>
      <c r="H201" s="3955"/>
    </row>
    <row r="202" spans="1:8" x14ac:dyDescent="0.2">
      <c r="A202" s="3955"/>
      <c r="B202" s="3955"/>
      <c r="C202" s="3955"/>
      <c r="D202" s="3955"/>
      <c r="E202" s="3955"/>
      <c r="F202" s="3955"/>
      <c r="G202" s="3955"/>
      <c r="H202" s="3955"/>
    </row>
    <row r="203" spans="1:8" x14ac:dyDescent="0.2">
      <c r="A203" s="3956" t="s">
        <v>3173</v>
      </c>
      <c r="B203" s="3955"/>
      <c r="C203" s="3955"/>
      <c r="D203" s="3955"/>
      <c r="E203" s="3955"/>
      <c r="F203" s="3955"/>
      <c r="G203" s="3955"/>
      <c r="H203" s="3955"/>
    </row>
    <row r="204" spans="1:8" x14ac:dyDescent="0.2">
      <c r="A204" s="3956" t="s">
        <v>3174</v>
      </c>
      <c r="B204" s="3955"/>
      <c r="C204" s="3955"/>
      <c r="D204" s="3955"/>
      <c r="E204" s="3955"/>
      <c r="F204" s="3955"/>
      <c r="G204" s="3955"/>
      <c r="H204" s="3955"/>
    </row>
    <row r="205" spans="1:8" x14ac:dyDescent="0.2">
      <c r="A205" s="3956" t="s">
        <v>3175</v>
      </c>
      <c r="B205" s="3955"/>
      <c r="C205" s="3955"/>
      <c r="D205" s="3955"/>
      <c r="E205" s="3955"/>
      <c r="F205" s="3955"/>
      <c r="G205" s="3955"/>
      <c r="H205" s="3955"/>
    </row>
    <row r="206" spans="1:8" x14ac:dyDescent="0.2">
      <c r="A206" s="3956" t="s">
        <v>3176</v>
      </c>
      <c r="B206" s="3955"/>
      <c r="C206" s="3955"/>
      <c r="D206" s="3955"/>
      <c r="E206" s="3955"/>
      <c r="F206" s="3955"/>
      <c r="G206" s="3955"/>
      <c r="H206" s="3955"/>
    </row>
    <row r="207" spans="1:8" x14ac:dyDescent="0.2">
      <c r="A207" s="3956" t="s">
        <v>3177</v>
      </c>
      <c r="B207" s="3955"/>
      <c r="C207" s="3955"/>
      <c r="D207" s="3955"/>
      <c r="E207" s="3955"/>
      <c r="F207" s="3955"/>
      <c r="G207" s="3955"/>
      <c r="H207" s="3955"/>
    </row>
    <row r="208" spans="1:8" x14ac:dyDescent="0.2">
      <c r="A208" s="3955"/>
      <c r="B208" s="3955"/>
      <c r="C208" s="3955"/>
      <c r="D208" s="3955"/>
      <c r="E208" s="3955"/>
      <c r="F208" s="3955"/>
      <c r="G208" s="3955"/>
      <c r="H208" s="3955"/>
    </row>
    <row r="209" spans="1:8" x14ac:dyDescent="0.2">
      <c r="A209" s="3956" t="s">
        <v>3170</v>
      </c>
      <c r="B209" s="3955"/>
      <c r="C209" s="3955"/>
      <c r="D209" s="3955"/>
      <c r="E209" s="3955"/>
      <c r="F209" s="3955"/>
      <c r="G209" s="3955"/>
      <c r="H209" s="3955"/>
    </row>
    <row r="210" spans="1:8" x14ac:dyDescent="0.2">
      <c r="A210" s="3956" t="s">
        <v>3171</v>
      </c>
      <c r="B210" s="3955"/>
      <c r="C210" s="3955"/>
      <c r="D210" s="3955"/>
      <c r="E210" s="3955"/>
      <c r="F210" s="3955"/>
      <c r="G210" s="3955"/>
      <c r="H210" s="3955"/>
    </row>
    <row r="211" spans="1:8" x14ac:dyDescent="0.2">
      <c r="A211" s="3956" t="s">
        <v>3172</v>
      </c>
      <c r="B211" s="3955"/>
      <c r="C211" s="3955"/>
      <c r="D211" s="3955"/>
      <c r="E211" s="3955"/>
      <c r="F211" s="3955"/>
      <c r="G211" s="3955"/>
      <c r="H211" s="3955"/>
    </row>
    <row r="212" spans="1:8" ht="15.75" x14ac:dyDescent="0.2">
      <c r="A212" s="3957" t="s">
        <v>3013</v>
      </c>
      <c r="B212" s="3955"/>
      <c r="C212" s="3955"/>
      <c r="D212" s="3955"/>
      <c r="E212" s="3955"/>
      <c r="F212" s="3955"/>
      <c r="G212" s="3955"/>
      <c r="H212" s="3955"/>
    </row>
    <row r="213" spans="1:8" x14ac:dyDescent="0.2">
      <c r="A213" s="3955"/>
      <c r="B213" s="3955"/>
      <c r="C213" s="3955"/>
      <c r="D213" s="3955"/>
      <c r="E213" s="3955"/>
      <c r="F213" s="3955"/>
      <c r="G213" s="3955"/>
      <c r="H213" s="3955"/>
    </row>
    <row r="214" spans="1:8" x14ac:dyDescent="0.2">
      <c r="A214" s="3956" t="s">
        <v>3168</v>
      </c>
      <c r="B214" s="3955"/>
      <c r="C214" s="3955"/>
      <c r="D214" s="3955"/>
      <c r="E214" s="3955"/>
      <c r="F214" s="3955"/>
      <c r="G214" s="3955"/>
      <c r="H214" s="3955"/>
    </row>
    <row r="215" spans="1:8" x14ac:dyDescent="0.2">
      <c r="A215" s="3956" t="s">
        <v>3169</v>
      </c>
      <c r="B215" s="3955"/>
      <c r="C215" s="3955"/>
      <c r="D215" s="3955"/>
      <c r="E215" s="3955"/>
      <c r="F215" s="3955"/>
      <c r="G215" s="3955"/>
      <c r="H215" s="3955"/>
    </row>
    <row r="216" spans="1:8" x14ac:dyDescent="0.2">
      <c r="A216" s="3955"/>
      <c r="B216" s="3955"/>
      <c r="C216" s="3955"/>
      <c r="D216" s="3955"/>
      <c r="E216" s="3955"/>
      <c r="F216" s="3955"/>
      <c r="G216" s="3955"/>
      <c r="H216" s="3955"/>
    </row>
    <row r="217" spans="1:8" x14ac:dyDescent="0.2">
      <c r="A217" s="3956" t="s">
        <v>3161</v>
      </c>
      <c r="B217" s="3955"/>
      <c r="C217" s="3955"/>
      <c r="D217" s="3955"/>
      <c r="E217" s="3955"/>
      <c r="F217" s="3955"/>
      <c r="G217" s="3955"/>
      <c r="H217" s="3955"/>
    </row>
    <row r="218" spans="1:8" x14ac:dyDescent="0.2">
      <c r="A218" s="3956" t="s">
        <v>3162</v>
      </c>
      <c r="B218" s="3955"/>
      <c r="C218" s="3955"/>
      <c r="D218" s="3955"/>
      <c r="E218" s="3955"/>
      <c r="F218" s="3955"/>
      <c r="G218" s="3955"/>
      <c r="H218" s="3955"/>
    </row>
    <row r="219" spans="1:8" x14ac:dyDescent="0.2">
      <c r="A219" s="3956" t="s">
        <v>3163</v>
      </c>
      <c r="B219" s="3955"/>
      <c r="C219" s="3955"/>
      <c r="D219" s="3955"/>
      <c r="E219" s="3955"/>
      <c r="F219" s="3955"/>
      <c r="G219" s="3955"/>
      <c r="H219" s="3955"/>
    </row>
    <row r="220" spans="1:8" x14ac:dyDescent="0.2">
      <c r="A220" s="3956" t="s">
        <v>3164</v>
      </c>
      <c r="B220" s="3955"/>
      <c r="C220" s="3955"/>
      <c r="D220" s="3955"/>
      <c r="E220" s="3955"/>
      <c r="F220" s="3955"/>
      <c r="G220" s="3955"/>
      <c r="H220" s="3955"/>
    </row>
    <row r="221" spans="1:8" x14ac:dyDescent="0.2">
      <c r="A221" s="3956" t="s">
        <v>3165</v>
      </c>
      <c r="B221" s="3955"/>
      <c r="C221" s="3955"/>
      <c r="D221" s="3955"/>
      <c r="E221" s="3955"/>
      <c r="F221" s="3955"/>
      <c r="G221" s="3955"/>
      <c r="H221" s="3955"/>
    </row>
    <row r="222" spans="1:8" x14ac:dyDescent="0.2">
      <c r="A222" s="3956" t="s">
        <v>3166</v>
      </c>
      <c r="B222" s="3955"/>
      <c r="C222" s="3955"/>
      <c r="D222" s="3955"/>
      <c r="E222" s="3955"/>
      <c r="F222" s="3955"/>
      <c r="G222" s="3955"/>
      <c r="H222" s="3955"/>
    </row>
    <row r="223" spans="1:8" x14ac:dyDescent="0.2">
      <c r="A223" s="3956" t="s">
        <v>3167</v>
      </c>
      <c r="B223" s="3955"/>
      <c r="C223" s="3955"/>
      <c r="D223" s="3955"/>
      <c r="E223" s="3955"/>
      <c r="F223" s="3955"/>
      <c r="G223" s="3955"/>
      <c r="H223" s="3955"/>
    </row>
    <row r="224" spans="1:8" x14ac:dyDescent="0.2">
      <c r="A224" s="3955"/>
      <c r="B224" s="3955"/>
      <c r="C224" s="3955"/>
      <c r="D224" s="3955"/>
      <c r="E224" s="3955"/>
      <c r="F224" s="3955"/>
      <c r="G224" s="3955"/>
      <c r="H224" s="3955"/>
    </row>
    <row r="225" spans="1:8" x14ac:dyDescent="0.2">
      <c r="A225" s="3956" t="s">
        <v>3158</v>
      </c>
      <c r="B225" s="3955"/>
      <c r="C225" s="3955"/>
      <c r="D225" s="3955"/>
      <c r="E225" s="3955"/>
      <c r="F225" s="3955"/>
      <c r="G225" s="3955"/>
      <c r="H225" s="3955"/>
    </row>
    <row r="226" spans="1:8" x14ac:dyDescent="0.2">
      <c r="A226" s="3956" t="s">
        <v>3159</v>
      </c>
      <c r="B226" s="3955"/>
      <c r="C226" s="3955"/>
      <c r="D226" s="3955"/>
      <c r="E226" s="3955"/>
      <c r="F226" s="3955"/>
      <c r="G226" s="3955"/>
      <c r="H226" s="3955"/>
    </row>
    <row r="227" spans="1:8" x14ac:dyDescent="0.2">
      <c r="A227" s="3956" t="s">
        <v>3160</v>
      </c>
      <c r="B227" s="3955"/>
      <c r="C227" s="3955"/>
      <c r="D227" s="3955"/>
      <c r="E227" s="3955"/>
      <c r="F227" s="3955"/>
      <c r="G227" s="3955"/>
      <c r="H227" s="3955"/>
    </row>
    <row r="228" spans="1:8" x14ac:dyDescent="0.2">
      <c r="A228" s="3955"/>
      <c r="B228" s="3955"/>
      <c r="C228" s="3955"/>
      <c r="D228" s="3955"/>
      <c r="E228" s="3955"/>
      <c r="F228" s="3955"/>
      <c r="G228" s="3955"/>
      <c r="H228" s="3955"/>
    </row>
    <row r="229" spans="1:8" x14ac:dyDescent="0.2">
      <c r="A229" s="3956" t="s">
        <v>3153</v>
      </c>
      <c r="B229" s="3955"/>
      <c r="C229" s="3955"/>
      <c r="D229" s="3955"/>
      <c r="E229" s="3955"/>
      <c r="F229" s="3955"/>
      <c r="G229" s="3955"/>
      <c r="H229" s="3955"/>
    </row>
    <row r="230" spans="1:8" x14ac:dyDescent="0.2">
      <c r="A230" s="3956" t="s">
        <v>3154</v>
      </c>
      <c r="B230" s="3955"/>
      <c r="C230" s="3955"/>
      <c r="D230" s="3955"/>
      <c r="E230" s="3955"/>
      <c r="F230" s="3955"/>
      <c r="G230" s="3955"/>
      <c r="H230" s="3955"/>
    </row>
    <row r="231" spans="1:8" x14ac:dyDescent="0.2">
      <c r="A231" s="3956" t="s">
        <v>3155</v>
      </c>
      <c r="B231" s="3955"/>
      <c r="C231" s="3955"/>
      <c r="D231" s="3955"/>
      <c r="E231" s="3955"/>
      <c r="F231" s="3955"/>
      <c r="G231" s="3955"/>
      <c r="H231" s="3955"/>
    </row>
    <row r="232" spans="1:8" x14ac:dyDescent="0.2">
      <c r="A232" s="3956" t="s">
        <v>3156</v>
      </c>
      <c r="B232" s="3955"/>
      <c r="C232" s="3955"/>
      <c r="D232" s="3955"/>
      <c r="E232" s="3955"/>
      <c r="F232" s="3955"/>
      <c r="G232" s="3955"/>
      <c r="H232" s="3955"/>
    </row>
    <row r="233" spans="1:8" x14ac:dyDescent="0.2">
      <c r="A233" s="3956" t="s">
        <v>3157</v>
      </c>
      <c r="B233" s="3955"/>
      <c r="C233" s="3955"/>
      <c r="D233" s="3955"/>
      <c r="E233" s="3955"/>
      <c r="F233" s="3955"/>
      <c r="G233" s="3955"/>
      <c r="H233" s="3955"/>
    </row>
    <row r="234" spans="1:8" x14ac:dyDescent="0.2">
      <c r="A234" s="3955"/>
      <c r="B234" s="3955"/>
      <c r="C234" s="3955"/>
      <c r="D234" s="3955"/>
      <c r="E234" s="3955"/>
      <c r="F234" s="3955"/>
      <c r="G234" s="3955"/>
      <c r="H234" s="3955"/>
    </row>
    <row r="235" spans="1:8" x14ac:dyDescent="0.2">
      <c r="A235" s="3956" t="s">
        <v>3147</v>
      </c>
      <c r="B235" s="3955"/>
      <c r="C235" s="3955"/>
      <c r="D235" s="3955"/>
      <c r="E235" s="3955"/>
      <c r="F235" s="3955"/>
      <c r="G235" s="3955"/>
      <c r="H235" s="3955"/>
    </row>
    <row r="236" spans="1:8" x14ac:dyDescent="0.2">
      <c r="A236" s="3956" t="s">
        <v>3148</v>
      </c>
      <c r="B236" s="3955"/>
      <c r="C236" s="3955"/>
      <c r="D236" s="3955"/>
      <c r="E236" s="3955"/>
      <c r="F236" s="3955"/>
      <c r="G236" s="3955"/>
      <c r="H236" s="3955"/>
    </row>
    <row r="237" spans="1:8" x14ac:dyDescent="0.2">
      <c r="A237" s="3956" t="s">
        <v>3149</v>
      </c>
      <c r="B237" s="3955"/>
      <c r="C237" s="3955"/>
      <c r="D237" s="3955"/>
      <c r="E237" s="3955"/>
      <c r="F237" s="3955"/>
      <c r="G237" s="3955"/>
      <c r="H237" s="3955"/>
    </row>
    <row r="238" spans="1:8" x14ac:dyDescent="0.2">
      <c r="A238" s="3956" t="s">
        <v>3150</v>
      </c>
      <c r="B238" s="3955"/>
      <c r="C238" s="3955"/>
      <c r="D238" s="3955"/>
      <c r="E238" s="3955"/>
      <c r="F238" s="3955"/>
      <c r="G238" s="3955"/>
      <c r="H238" s="3955"/>
    </row>
    <row r="239" spans="1:8" x14ac:dyDescent="0.2">
      <c r="A239" s="3956" t="s">
        <v>3151</v>
      </c>
      <c r="B239" s="3955"/>
      <c r="C239" s="3955"/>
      <c r="D239" s="3955"/>
      <c r="E239" s="3955"/>
      <c r="F239" s="3955"/>
      <c r="G239" s="3955"/>
      <c r="H239" s="3955"/>
    </row>
    <row r="240" spans="1:8" x14ac:dyDescent="0.2">
      <c r="A240" s="3956" t="s">
        <v>3152</v>
      </c>
      <c r="B240" s="3955"/>
      <c r="C240" s="3955"/>
      <c r="D240" s="3955"/>
      <c r="E240" s="3955"/>
      <c r="F240" s="3955"/>
      <c r="G240" s="3955"/>
      <c r="H240" s="3955"/>
    </row>
    <row r="241" spans="1:8" x14ac:dyDescent="0.2">
      <c r="A241" s="3955"/>
      <c r="B241" s="3955"/>
      <c r="C241" s="3955"/>
      <c r="D241" s="3955"/>
      <c r="E241" s="3955"/>
      <c r="F241" s="3955"/>
      <c r="G241" s="3955"/>
      <c r="H241" s="3955"/>
    </row>
    <row r="242" spans="1:8" x14ac:dyDescent="0.2">
      <c r="A242" s="3956" t="s">
        <v>3137</v>
      </c>
      <c r="B242" s="3955"/>
      <c r="C242" s="3955"/>
      <c r="D242" s="3955"/>
      <c r="E242" s="3955"/>
      <c r="F242" s="3955"/>
      <c r="G242" s="3955"/>
      <c r="H242" s="3955"/>
    </row>
    <row r="243" spans="1:8" x14ac:dyDescent="0.2">
      <c r="A243" s="3956" t="s">
        <v>3138</v>
      </c>
      <c r="B243" s="3955"/>
      <c r="C243" s="3955"/>
      <c r="D243" s="3955"/>
      <c r="E243" s="3955"/>
      <c r="F243" s="3955"/>
      <c r="G243" s="3955"/>
      <c r="H243" s="3955"/>
    </row>
    <row r="244" spans="1:8" x14ac:dyDescent="0.2">
      <c r="A244" s="3956" t="s">
        <v>3139</v>
      </c>
      <c r="B244" s="3955"/>
      <c r="C244" s="3955"/>
      <c r="D244" s="3955"/>
      <c r="E244" s="3955"/>
      <c r="F244" s="3955"/>
      <c r="G244" s="3955"/>
      <c r="H244" s="3955"/>
    </row>
    <row r="245" spans="1:8" x14ac:dyDescent="0.2">
      <c r="A245" s="3956" t="s">
        <v>3140</v>
      </c>
      <c r="B245" s="3955"/>
      <c r="C245" s="3955"/>
      <c r="D245" s="3955"/>
      <c r="E245" s="3955"/>
      <c r="F245" s="3955"/>
      <c r="G245" s="3955"/>
      <c r="H245" s="3955"/>
    </row>
    <row r="246" spans="1:8" x14ac:dyDescent="0.2">
      <c r="A246" s="3956" t="s">
        <v>3141</v>
      </c>
      <c r="B246" s="3955"/>
      <c r="C246" s="3955"/>
      <c r="D246" s="3955"/>
      <c r="E246" s="3955"/>
      <c r="F246" s="3955"/>
      <c r="G246" s="3955"/>
      <c r="H246" s="3955"/>
    </row>
    <row r="247" spans="1:8" x14ac:dyDescent="0.2">
      <c r="A247" s="3956" t="s">
        <v>3142</v>
      </c>
      <c r="B247" s="3955"/>
      <c r="C247" s="3955"/>
      <c r="D247" s="3955"/>
      <c r="E247" s="3955"/>
      <c r="F247" s="3955"/>
      <c r="G247" s="3955"/>
      <c r="H247" s="3955"/>
    </row>
    <row r="248" spans="1:8" x14ac:dyDescent="0.2">
      <c r="A248" s="3956" t="s">
        <v>3143</v>
      </c>
      <c r="B248" s="3955"/>
      <c r="C248" s="3955"/>
      <c r="D248" s="3955"/>
      <c r="E248" s="3955"/>
      <c r="F248" s="3955"/>
      <c r="G248" s="3955"/>
      <c r="H248" s="3955"/>
    </row>
    <row r="249" spans="1:8" x14ac:dyDescent="0.2">
      <c r="A249" s="3956" t="s">
        <v>3144</v>
      </c>
      <c r="B249" s="3955"/>
      <c r="C249" s="3955"/>
      <c r="D249" s="3955"/>
      <c r="E249" s="3955"/>
      <c r="F249" s="3955"/>
      <c r="G249" s="3955"/>
      <c r="H249" s="3955"/>
    </row>
    <row r="250" spans="1:8" x14ac:dyDescent="0.2">
      <c r="A250" s="3956" t="s">
        <v>3145</v>
      </c>
      <c r="B250" s="3955"/>
      <c r="C250" s="3955"/>
      <c r="D250" s="3955"/>
      <c r="E250" s="3955"/>
      <c r="F250" s="3955"/>
      <c r="G250" s="3955"/>
      <c r="H250" s="3955"/>
    </row>
    <row r="251" spans="1:8" x14ac:dyDescent="0.2">
      <c r="A251" s="3956" t="s">
        <v>3146</v>
      </c>
      <c r="B251" s="3955"/>
      <c r="C251" s="3955"/>
      <c r="D251" s="3955"/>
      <c r="E251" s="3955"/>
      <c r="F251" s="3955"/>
      <c r="G251" s="3955"/>
      <c r="H251" s="3955"/>
    </row>
    <row r="252" spans="1:8" x14ac:dyDescent="0.2">
      <c r="A252" s="3955"/>
      <c r="B252" s="3955"/>
      <c r="C252" s="3955"/>
      <c r="D252" s="3955"/>
      <c r="E252" s="3955"/>
      <c r="F252" s="3955"/>
      <c r="G252" s="3955"/>
      <c r="H252" s="3955"/>
    </row>
    <row r="253" spans="1:8" x14ac:dyDescent="0.2">
      <c r="A253" s="3956" t="s">
        <v>3135</v>
      </c>
      <c r="B253" s="3955"/>
      <c r="C253" s="3955"/>
      <c r="D253" s="3955"/>
      <c r="E253" s="3955"/>
      <c r="F253" s="3955"/>
      <c r="G253" s="3955"/>
      <c r="H253" s="3955"/>
    </row>
    <row r="254" spans="1:8" x14ac:dyDescent="0.2">
      <c r="A254" s="3956" t="s">
        <v>3136</v>
      </c>
      <c r="B254" s="3955"/>
      <c r="C254" s="3955"/>
      <c r="D254" s="3955"/>
      <c r="E254" s="3955"/>
      <c r="F254" s="3955"/>
      <c r="G254" s="3955"/>
      <c r="H254" s="3955"/>
    </row>
    <row r="255" spans="1:8" x14ac:dyDescent="0.2">
      <c r="A255" s="3955"/>
      <c r="B255" s="3955"/>
      <c r="C255" s="3955"/>
      <c r="D255" s="3955"/>
      <c r="E255" s="3955"/>
      <c r="F255" s="3955"/>
      <c r="G255" s="3955"/>
      <c r="H255" s="3955"/>
    </row>
    <row r="256" spans="1:8" x14ac:dyDescent="0.2">
      <c r="A256" s="3956" t="s">
        <v>3119</v>
      </c>
      <c r="B256" s="3955"/>
      <c r="C256" s="3955"/>
      <c r="D256" s="3955"/>
      <c r="E256" s="3955"/>
      <c r="F256" s="3955"/>
      <c r="G256" s="3955"/>
      <c r="H256" s="3955"/>
    </row>
    <row r="257" spans="1:8" x14ac:dyDescent="0.2">
      <c r="A257" s="3956" t="s">
        <v>3120</v>
      </c>
      <c r="B257" s="3955"/>
      <c r="C257" s="3955"/>
      <c r="D257" s="3955"/>
      <c r="E257" s="3955"/>
      <c r="F257" s="3955"/>
      <c r="G257" s="3955"/>
      <c r="H257" s="3955"/>
    </row>
    <row r="258" spans="1:8" x14ac:dyDescent="0.2">
      <c r="A258" s="3956" t="s">
        <v>3121</v>
      </c>
      <c r="B258" s="3955"/>
      <c r="C258" s="3955"/>
      <c r="D258" s="3955"/>
      <c r="E258" s="3955"/>
      <c r="F258" s="3955"/>
      <c r="G258" s="3955"/>
      <c r="H258" s="3955"/>
    </row>
    <row r="259" spans="1:8" x14ac:dyDescent="0.2">
      <c r="A259" s="3956" t="s">
        <v>3122</v>
      </c>
      <c r="B259" s="3955"/>
      <c r="C259" s="3955"/>
      <c r="D259" s="3955"/>
      <c r="E259" s="3955"/>
      <c r="F259" s="3955"/>
      <c r="G259" s="3955"/>
      <c r="H259" s="3955"/>
    </row>
    <row r="260" spans="1:8" x14ac:dyDescent="0.2">
      <c r="A260" s="3956" t="s">
        <v>3123</v>
      </c>
      <c r="B260" s="3955"/>
      <c r="C260" s="3955"/>
      <c r="D260" s="3955"/>
      <c r="E260" s="3955"/>
      <c r="F260" s="3955"/>
      <c r="G260" s="3955"/>
      <c r="H260" s="3955"/>
    </row>
    <row r="261" spans="1:8" x14ac:dyDescent="0.2">
      <c r="A261" s="3956" t="s">
        <v>3124</v>
      </c>
      <c r="B261" s="3955"/>
      <c r="C261" s="3955"/>
      <c r="D261" s="3955"/>
      <c r="E261" s="3955"/>
      <c r="F261" s="3955"/>
      <c r="G261" s="3955"/>
      <c r="H261" s="3955"/>
    </row>
    <row r="262" spans="1:8" x14ac:dyDescent="0.2">
      <c r="A262" s="3956" t="s">
        <v>3125</v>
      </c>
      <c r="B262" s="3955"/>
      <c r="C262" s="3955"/>
      <c r="D262" s="3955"/>
      <c r="E262" s="3955"/>
      <c r="F262" s="3955"/>
      <c r="G262" s="3955"/>
      <c r="H262" s="3955"/>
    </row>
    <row r="263" spans="1:8" x14ac:dyDescent="0.2">
      <c r="A263" s="3956" t="s">
        <v>3126</v>
      </c>
      <c r="B263" s="3955"/>
      <c r="C263" s="3955"/>
      <c r="D263" s="3955"/>
      <c r="E263" s="3955"/>
      <c r="F263" s="3955"/>
      <c r="G263" s="3955"/>
      <c r="H263" s="3955"/>
    </row>
    <row r="264" spans="1:8" x14ac:dyDescent="0.2">
      <c r="A264" s="3956" t="s">
        <v>3127</v>
      </c>
      <c r="B264" s="3955"/>
      <c r="C264" s="3955"/>
      <c r="D264" s="3955"/>
      <c r="E264" s="3955"/>
      <c r="F264" s="3955"/>
      <c r="G264" s="3955"/>
      <c r="H264" s="3955"/>
    </row>
    <row r="265" spans="1:8" x14ac:dyDescent="0.2">
      <c r="A265" s="3956" t="s">
        <v>3128</v>
      </c>
      <c r="B265" s="3955"/>
      <c r="C265" s="3955"/>
      <c r="D265" s="3955"/>
      <c r="E265" s="3955"/>
      <c r="F265" s="3955"/>
      <c r="G265" s="3955"/>
      <c r="H265" s="3955"/>
    </row>
    <row r="266" spans="1:8" x14ac:dyDescent="0.2">
      <c r="A266" s="3956" t="s">
        <v>3129</v>
      </c>
      <c r="B266" s="3955"/>
      <c r="C266" s="3955"/>
      <c r="D266" s="3955"/>
      <c r="E266" s="3955"/>
      <c r="F266" s="3955"/>
      <c r="G266" s="3955"/>
      <c r="H266" s="3955"/>
    </row>
    <row r="267" spans="1:8" x14ac:dyDescent="0.2">
      <c r="A267" s="3956" t="s">
        <v>3130</v>
      </c>
      <c r="B267" s="3955"/>
      <c r="C267" s="3955"/>
      <c r="D267" s="3955"/>
      <c r="E267" s="3955"/>
      <c r="F267" s="3955"/>
      <c r="G267" s="3955"/>
      <c r="H267" s="3955"/>
    </row>
    <row r="268" spans="1:8" x14ac:dyDescent="0.2">
      <c r="A268" s="3956" t="s">
        <v>3131</v>
      </c>
      <c r="B268" s="3955"/>
      <c r="C268" s="3955"/>
      <c r="D268" s="3955"/>
      <c r="E268" s="3955"/>
      <c r="F268" s="3955"/>
      <c r="G268" s="3955"/>
      <c r="H268" s="3955"/>
    </row>
    <row r="269" spans="1:8" x14ac:dyDescent="0.2">
      <c r="A269" s="3956" t="s">
        <v>3132</v>
      </c>
      <c r="B269" s="3955"/>
      <c r="C269" s="3955"/>
      <c r="D269" s="3955"/>
      <c r="E269" s="3955"/>
      <c r="F269" s="3955"/>
      <c r="G269" s="3955"/>
      <c r="H269" s="3955"/>
    </row>
    <row r="270" spans="1:8" x14ac:dyDescent="0.2">
      <c r="A270" s="3956" t="s">
        <v>3133</v>
      </c>
      <c r="B270" s="3955"/>
      <c r="C270" s="3955"/>
      <c r="D270" s="3955"/>
      <c r="E270" s="3955"/>
      <c r="F270" s="3955"/>
      <c r="G270" s="3955"/>
      <c r="H270" s="3955"/>
    </row>
    <row r="271" spans="1:8" x14ac:dyDescent="0.2">
      <c r="A271" s="3956" t="s">
        <v>3134</v>
      </c>
      <c r="B271" s="3955"/>
      <c r="C271" s="3955"/>
      <c r="D271" s="3955"/>
      <c r="E271" s="3955"/>
      <c r="F271" s="3955"/>
      <c r="G271" s="3955"/>
      <c r="H271" s="3955"/>
    </row>
    <row r="272" spans="1:8" x14ac:dyDescent="0.2">
      <c r="A272" s="3955"/>
      <c r="B272" s="3955"/>
      <c r="C272" s="3955"/>
      <c r="D272" s="3955"/>
      <c r="E272" s="3955"/>
      <c r="F272" s="3955"/>
      <c r="G272" s="3955"/>
      <c r="H272" s="3955"/>
    </row>
    <row r="273" spans="1:8" x14ac:dyDescent="0.2">
      <c r="A273" s="3956" t="s">
        <v>3112</v>
      </c>
      <c r="B273" s="3955"/>
      <c r="C273" s="3955"/>
      <c r="D273" s="3955"/>
      <c r="E273" s="3955"/>
      <c r="F273" s="3955"/>
      <c r="G273" s="3955"/>
      <c r="H273" s="3955"/>
    </row>
    <row r="274" spans="1:8" x14ac:dyDescent="0.2">
      <c r="A274" s="3956" t="s">
        <v>3113</v>
      </c>
      <c r="B274" s="3955"/>
      <c r="C274" s="3955"/>
      <c r="D274" s="3955"/>
      <c r="E274" s="3955"/>
      <c r="F274" s="3955"/>
      <c r="G274" s="3955"/>
      <c r="H274" s="3955"/>
    </row>
    <row r="275" spans="1:8" x14ac:dyDescent="0.2">
      <c r="A275" s="3956" t="s">
        <v>3114</v>
      </c>
      <c r="B275" s="3955"/>
      <c r="C275" s="3955"/>
      <c r="D275" s="3955"/>
      <c r="E275" s="3955"/>
      <c r="F275" s="3955"/>
      <c r="G275" s="3955"/>
      <c r="H275" s="3955"/>
    </row>
    <row r="276" spans="1:8" x14ac:dyDescent="0.2">
      <c r="A276" s="3956" t="s">
        <v>3115</v>
      </c>
      <c r="B276" s="3955"/>
      <c r="C276" s="3955"/>
      <c r="D276" s="3955"/>
      <c r="E276" s="3955"/>
      <c r="F276" s="3955"/>
      <c r="G276" s="3955"/>
      <c r="H276" s="3955"/>
    </row>
    <row r="277" spans="1:8" x14ac:dyDescent="0.2">
      <c r="A277" s="3956" t="s">
        <v>3116</v>
      </c>
      <c r="B277" s="3955"/>
      <c r="C277" s="3955"/>
      <c r="D277" s="3955"/>
      <c r="E277" s="3955"/>
      <c r="F277" s="3955"/>
      <c r="G277" s="3955"/>
      <c r="H277" s="3955"/>
    </row>
    <row r="278" spans="1:8" x14ac:dyDescent="0.2">
      <c r="A278" s="3956" t="s">
        <v>3117</v>
      </c>
      <c r="B278" s="3955"/>
      <c r="C278" s="3955"/>
      <c r="D278" s="3955"/>
      <c r="E278" s="3955"/>
      <c r="F278" s="3955"/>
      <c r="G278" s="3955"/>
      <c r="H278" s="3955"/>
    </row>
    <row r="279" spans="1:8" x14ac:dyDescent="0.2">
      <c r="A279" s="3956" t="s">
        <v>3118</v>
      </c>
      <c r="B279" s="3955"/>
      <c r="C279" s="3955"/>
      <c r="D279" s="3955"/>
      <c r="E279" s="3955"/>
      <c r="F279" s="3955"/>
      <c r="G279" s="3955"/>
      <c r="H279" s="3955"/>
    </row>
    <row r="280" spans="1:8" x14ac:dyDescent="0.2">
      <c r="A280" s="3955"/>
      <c r="B280" s="3955"/>
      <c r="C280" s="3955"/>
      <c r="D280" s="3955"/>
      <c r="E280" s="3955"/>
      <c r="F280" s="3955"/>
      <c r="G280" s="3955"/>
      <c r="H280" s="3955"/>
    </row>
    <row r="281" spans="1:8" x14ac:dyDescent="0.2">
      <c r="A281" s="3956" t="s">
        <v>3103</v>
      </c>
      <c r="B281" s="3955"/>
      <c r="C281" s="3955"/>
      <c r="D281" s="3955"/>
      <c r="E281" s="3955"/>
      <c r="F281" s="3955"/>
      <c r="G281" s="3955"/>
      <c r="H281" s="3955"/>
    </row>
    <row r="282" spans="1:8" x14ac:dyDescent="0.2">
      <c r="A282" s="3956" t="s">
        <v>3104</v>
      </c>
      <c r="B282" s="3955"/>
      <c r="C282" s="3955"/>
      <c r="D282" s="3955"/>
      <c r="E282" s="3955"/>
      <c r="F282" s="3955"/>
      <c r="G282" s="3955"/>
      <c r="H282" s="3955"/>
    </row>
    <row r="283" spans="1:8" x14ac:dyDescent="0.2">
      <c r="A283" s="3956" t="s">
        <v>3105</v>
      </c>
      <c r="B283" s="3955"/>
      <c r="C283" s="3955"/>
      <c r="D283" s="3955"/>
      <c r="E283" s="3955"/>
      <c r="F283" s="3955"/>
      <c r="G283" s="3955"/>
      <c r="H283" s="3955"/>
    </row>
    <row r="284" spans="1:8" x14ac:dyDescent="0.2">
      <c r="A284" s="3956" t="s">
        <v>3106</v>
      </c>
      <c r="B284" s="3955"/>
      <c r="C284" s="3955"/>
      <c r="D284" s="3955"/>
      <c r="E284" s="3955"/>
      <c r="F284" s="3955"/>
      <c r="G284" s="3955"/>
      <c r="H284" s="3955"/>
    </row>
    <row r="285" spans="1:8" x14ac:dyDescent="0.2">
      <c r="A285" s="3956" t="s">
        <v>3107</v>
      </c>
      <c r="B285" s="3955"/>
      <c r="C285" s="3955"/>
      <c r="D285" s="3955"/>
      <c r="E285" s="3955"/>
      <c r="F285" s="3955"/>
      <c r="G285" s="3955"/>
      <c r="H285" s="3955"/>
    </row>
    <row r="286" spans="1:8" x14ac:dyDescent="0.2">
      <c r="A286" s="3956" t="s">
        <v>3108</v>
      </c>
      <c r="B286" s="3955"/>
      <c r="C286" s="3955"/>
      <c r="D286" s="3955"/>
      <c r="E286" s="3955"/>
      <c r="F286" s="3955"/>
      <c r="G286" s="3955"/>
      <c r="H286" s="3955"/>
    </row>
    <row r="287" spans="1:8" x14ac:dyDescent="0.2">
      <c r="A287" s="3956" t="s">
        <v>3109</v>
      </c>
      <c r="B287" s="3955"/>
      <c r="C287" s="3955"/>
      <c r="D287" s="3955"/>
      <c r="E287" s="3955"/>
      <c r="F287" s="3955"/>
      <c r="G287" s="3955"/>
      <c r="H287" s="3955"/>
    </row>
    <row r="288" spans="1:8" x14ac:dyDescent="0.2">
      <c r="A288" s="3956" t="s">
        <v>3110</v>
      </c>
      <c r="B288" s="3955"/>
      <c r="C288" s="3955"/>
      <c r="D288" s="3955"/>
      <c r="E288" s="3955"/>
      <c r="F288" s="3955"/>
      <c r="G288" s="3955"/>
      <c r="H288" s="3955"/>
    </row>
    <row r="289" spans="1:8" x14ac:dyDescent="0.2">
      <c r="A289" s="3956" t="s">
        <v>3111</v>
      </c>
      <c r="B289" s="3955"/>
      <c r="C289" s="3955"/>
      <c r="D289" s="3955"/>
      <c r="E289" s="3955"/>
      <c r="F289" s="3955"/>
      <c r="G289" s="3955"/>
      <c r="H289" s="3955"/>
    </row>
    <row r="290" spans="1:8" x14ac:dyDescent="0.2">
      <c r="A290" s="3955"/>
      <c r="B290" s="3955"/>
      <c r="C290" s="3955"/>
      <c r="D290" s="3955"/>
      <c r="E290" s="3955"/>
      <c r="F290" s="3955"/>
      <c r="G290" s="3955"/>
      <c r="H290" s="3955"/>
    </row>
    <row r="291" spans="1:8" x14ac:dyDescent="0.2">
      <c r="A291" s="3956" t="s">
        <v>3096</v>
      </c>
      <c r="B291" s="3955"/>
      <c r="C291" s="3955"/>
      <c r="D291" s="3955"/>
      <c r="E291" s="3955"/>
      <c r="F291" s="3955"/>
      <c r="G291" s="3955"/>
      <c r="H291" s="3955"/>
    </row>
    <row r="292" spans="1:8" x14ac:dyDescent="0.2">
      <c r="A292" s="3956" t="s">
        <v>3097</v>
      </c>
      <c r="B292" s="3955"/>
      <c r="C292" s="3955"/>
      <c r="D292" s="3955"/>
      <c r="E292" s="3955"/>
      <c r="F292" s="3955"/>
      <c r="G292" s="3955"/>
      <c r="H292" s="3955"/>
    </row>
    <row r="293" spans="1:8" x14ac:dyDescent="0.2">
      <c r="A293" s="3956" t="s">
        <v>3098</v>
      </c>
      <c r="B293" s="3955"/>
      <c r="C293" s="3955"/>
      <c r="D293" s="3955"/>
      <c r="E293" s="3955"/>
      <c r="F293" s="3955"/>
      <c r="G293" s="3955"/>
      <c r="H293" s="3955"/>
    </row>
    <row r="294" spans="1:8" x14ac:dyDescent="0.2">
      <c r="A294" s="3956" t="s">
        <v>3099</v>
      </c>
      <c r="B294" s="3955"/>
      <c r="C294" s="3955"/>
      <c r="D294" s="3955"/>
      <c r="E294" s="3955"/>
      <c r="F294" s="3955"/>
      <c r="G294" s="3955"/>
      <c r="H294" s="3955"/>
    </row>
    <row r="295" spans="1:8" x14ac:dyDescent="0.2">
      <c r="A295" s="3956" t="s">
        <v>3100</v>
      </c>
      <c r="B295" s="3955"/>
      <c r="C295" s="3955"/>
      <c r="D295" s="3955"/>
      <c r="E295" s="3955"/>
      <c r="F295" s="3955"/>
      <c r="G295" s="3955"/>
      <c r="H295" s="3955"/>
    </row>
    <row r="296" spans="1:8" x14ac:dyDescent="0.2">
      <c r="A296" s="3956" t="s">
        <v>3101</v>
      </c>
      <c r="B296" s="3955"/>
      <c r="C296" s="3955"/>
      <c r="D296" s="3955"/>
      <c r="E296" s="3955"/>
      <c r="F296" s="3955"/>
      <c r="G296" s="3955"/>
      <c r="H296" s="3955"/>
    </row>
    <row r="297" spans="1:8" x14ac:dyDescent="0.2">
      <c r="A297" s="3956" t="s">
        <v>3102</v>
      </c>
      <c r="B297" s="3955"/>
      <c r="C297" s="3955"/>
      <c r="D297" s="3955"/>
      <c r="E297" s="3955"/>
      <c r="F297" s="3955"/>
      <c r="G297" s="3955"/>
      <c r="H297" s="3955"/>
    </row>
    <row r="298" spans="1:8" x14ac:dyDescent="0.2">
      <c r="A298" s="3955"/>
      <c r="B298" s="3955"/>
      <c r="C298" s="3955"/>
      <c r="D298" s="3955"/>
      <c r="E298" s="3955"/>
      <c r="F298" s="3955"/>
      <c r="G298" s="3955"/>
      <c r="H298" s="3955"/>
    </row>
    <row r="299" spans="1:8" x14ac:dyDescent="0.2">
      <c r="A299" s="3956" t="s">
        <v>3093</v>
      </c>
      <c r="B299" s="3955"/>
      <c r="C299" s="3955"/>
      <c r="D299" s="3955"/>
      <c r="E299" s="3955"/>
      <c r="F299" s="3955"/>
      <c r="G299" s="3955"/>
      <c r="H299" s="3955"/>
    </row>
    <row r="300" spans="1:8" x14ac:dyDescent="0.2">
      <c r="A300" s="3956" t="s">
        <v>3094</v>
      </c>
      <c r="B300" s="3955"/>
      <c r="C300" s="3955"/>
      <c r="D300" s="3955"/>
      <c r="E300" s="3955"/>
      <c r="F300" s="3955"/>
      <c r="G300" s="3955"/>
      <c r="H300" s="3955"/>
    </row>
    <row r="301" spans="1:8" x14ac:dyDescent="0.2">
      <c r="A301" s="3956" t="s">
        <v>3095</v>
      </c>
      <c r="B301" s="3955"/>
      <c r="C301" s="3955"/>
      <c r="D301" s="3955"/>
      <c r="E301" s="3955"/>
      <c r="F301" s="3955"/>
      <c r="G301" s="3955"/>
      <c r="H301" s="3955"/>
    </row>
    <row r="302" spans="1:8" x14ac:dyDescent="0.2">
      <c r="A302" s="3955"/>
      <c r="B302" s="3955"/>
      <c r="C302" s="3955"/>
      <c r="D302" s="3955"/>
      <c r="E302" s="3955"/>
      <c r="F302" s="3955"/>
      <c r="G302" s="3955"/>
      <c r="H302" s="3955"/>
    </row>
    <row r="303" spans="1:8" x14ac:dyDescent="0.2">
      <c r="A303" s="3956" t="s">
        <v>3091</v>
      </c>
      <c r="B303" s="3955"/>
      <c r="C303" s="3955"/>
      <c r="D303" s="3955"/>
      <c r="E303" s="3955"/>
      <c r="F303" s="3955"/>
      <c r="G303" s="3955"/>
      <c r="H303" s="3955"/>
    </row>
    <row r="304" spans="1:8" x14ac:dyDescent="0.2">
      <c r="A304" s="3956" t="s">
        <v>3092</v>
      </c>
      <c r="B304" s="3955"/>
      <c r="C304" s="3955"/>
      <c r="D304" s="3955"/>
      <c r="E304" s="3955"/>
      <c r="F304" s="3955"/>
      <c r="G304" s="3955"/>
      <c r="H304" s="3955"/>
    </row>
    <row r="305" spans="1:8" x14ac:dyDescent="0.2">
      <c r="A305" s="3955"/>
      <c r="B305" s="3955"/>
      <c r="C305" s="3955"/>
      <c r="D305" s="3955"/>
      <c r="E305" s="3955"/>
      <c r="F305" s="3955"/>
      <c r="G305" s="3955"/>
      <c r="H305" s="3955"/>
    </row>
    <row r="306" spans="1:8" x14ac:dyDescent="0.2">
      <c r="A306" s="3956" t="s">
        <v>3078</v>
      </c>
      <c r="B306" s="3955"/>
      <c r="C306" s="3955"/>
      <c r="D306" s="3955"/>
      <c r="E306" s="3955"/>
      <c r="F306" s="3955"/>
      <c r="G306" s="3955"/>
      <c r="H306" s="3955"/>
    </row>
    <row r="307" spans="1:8" x14ac:dyDescent="0.2">
      <c r="A307" s="3956" t="s">
        <v>3079</v>
      </c>
      <c r="B307" s="3955"/>
      <c r="C307" s="3955"/>
      <c r="D307" s="3955"/>
      <c r="E307" s="3955"/>
      <c r="F307" s="3955"/>
      <c r="G307" s="3955"/>
      <c r="H307" s="3955"/>
    </row>
    <row r="308" spans="1:8" x14ac:dyDescent="0.2">
      <c r="A308" s="3956" t="s">
        <v>3080</v>
      </c>
      <c r="B308" s="3955"/>
      <c r="C308" s="3955"/>
      <c r="D308" s="3955"/>
      <c r="E308" s="3955"/>
      <c r="F308" s="3955"/>
      <c r="G308" s="3955"/>
      <c r="H308" s="3955"/>
    </row>
    <row r="309" spans="1:8" x14ac:dyDescent="0.2">
      <c r="A309" s="3956" t="s">
        <v>3081</v>
      </c>
      <c r="B309" s="3955"/>
      <c r="C309" s="3955"/>
      <c r="D309" s="3955"/>
      <c r="E309" s="3955"/>
      <c r="F309" s="3955"/>
      <c r="G309" s="3955"/>
      <c r="H309" s="3955"/>
    </row>
    <row r="310" spans="1:8" x14ac:dyDescent="0.2">
      <c r="A310" s="3956" t="s">
        <v>3082</v>
      </c>
      <c r="B310" s="3955"/>
      <c r="C310" s="3955"/>
      <c r="D310" s="3955"/>
      <c r="E310" s="3955"/>
      <c r="F310" s="3955"/>
      <c r="G310" s="3955"/>
      <c r="H310" s="3955"/>
    </row>
    <row r="311" spans="1:8" x14ac:dyDescent="0.2">
      <c r="A311" s="3956" t="s">
        <v>3083</v>
      </c>
      <c r="B311" s="3955"/>
      <c r="C311" s="3955"/>
      <c r="D311" s="3955"/>
      <c r="E311" s="3955"/>
      <c r="F311" s="3955"/>
      <c r="G311" s="3955"/>
      <c r="H311" s="3955"/>
    </row>
    <row r="312" spans="1:8" x14ac:dyDescent="0.2">
      <c r="A312" s="3956" t="s">
        <v>3084</v>
      </c>
      <c r="B312" s="3955"/>
      <c r="C312" s="3955"/>
      <c r="D312" s="3955"/>
      <c r="E312" s="3955"/>
      <c r="F312" s="3955"/>
      <c r="G312" s="3955"/>
      <c r="H312" s="3955"/>
    </row>
    <row r="313" spans="1:8" x14ac:dyDescent="0.2">
      <c r="A313" s="3956" t="s">
        <v>3085</v>
      </c>
      <c r="B313" s="3955"/>
      <c r="C313" s="3955"/>
      <c r="D313" s="3955"/>
      <c r="E313" s="3955"/>
      <c r="F313" s="3955"/>
      <c r="G313" s="3955"/>
      <c r="H313" s="3955"/>
    </row>
    <row r="314" spans="1:8" x14ac:dyDescent="0.2">
      <c r="A314" s="3956" t="s">
        <v>3086</v>
      </c>
      <c r="B314" s="3955"/>
      <c r="C314" s="3955"/>
      <c r="D314" s="3955"/>
      <c r="E314" s="3955"/>
      <c r="F314" s="3955"/>
      <c r="G314" s="3955"/>
      <c r="H314" s="3955"/>
    </row>
    <row r="315" spans="1:8" x14ac:dyDescent="0.2">
      <c r="A315" s="3956" t="s">
        <v>3087</v>
      </c>
      <c r="B315" s="3955"/>
      <c r="C315" s="3955"/>
      <c r="D315" s="3955"/>
      <c r="E315" s="3955"/>
      <c r="F315" s="3955"/>
      <c r="G315" s="3955"/>
      <c r="H315" s="3955"/>
    </row>
    <row r="316" spans="1:8" x14ac:dyDescent="0.2">
      <c r="A316" s="3956" t="s">
        <v>3088</v>
      </c>
      <c r="B316" s="3955"/>
      <c r="C316" s="3955"/>
      <c r="D316" s="3955"/>
      <c r="E316" s="3955"/>
      <c r="F316" s="3955"/>
      <c r="G316" s="3955"/>
      <c r="H316" s="3955"/>
    </row>
    <row r="317" spans="1:8" x14ac:dyDescent="0.2">
      <c r="A317" s="3956" t="s">
        <v>3089</v>
      </c>
      <c r="B317" s="3955"/>
      <c r="C317" s="3955"/>
      <c r="D317" s="3955"/>
      <c r="E317" s="3955"/>
      <c r="F317" s="3955"/>
      <c r="G317" s="3955"/>
      <c r="H317" s="3955"/>
    </row>
    <row r="318" spans="1:8" x14ac:dyDescent="0.2">
      <c r="A318" s="3956" t="s">
        <v>3090</v>
      </c>
      <c r="B318" s="3955"/>
      <c r="C318" s="3955"/>
      <c r="D318" s="3955"/>
      <c r="E318" s="3955"/>
      <c r="F318" s="3955"/>
      <c r="G318" s="3955"/>
      <c r="H318" s="3955"/>
    </row>
    <row r="319" spans="1:8" x14ac:dyDescent="0.2">
      <c r="A319" s="3955"/>
      <c r="B319" s="3955"/>
      <c r="C319" s="3955"/>
      <c r="D319" s="3955"/>
      <c r="E319" s="3955"/>
      <c r="F319" s="3955"/>
      <c r="G319" s="3955"/>
      <c r="H319" s="3955"/>
    </row>
    <row r="320" spans="1:8" x14ac:dyDescent="0.2">
      <c r="A320" s="3956" t="s">
        <v>3070</v>
      </c>
      <c r="B320" s="3955"/>
      <c r="C320" s="3955"/>
      <c r="D320" s="3955"/>
      <c r="E320" s="3955"/>
      <c r="F320" s="3955"/>
      <c r="G320" s="3955"/>
      <c r="H320" s="3955"/>
    </row>
    <row r="321" spans="1:8" x14ac:dyDescent="0.2">
      <c r="A321" s="3956" t="s">
        <v>3071</v>
      </c>
      <c r="B321" s="3955"/>
      <c r="C321" s="3955"/>
      <c r="D321" s="3955"/>
      <c r="E321" s="3955"/>
      <c r="F321" s="3955"/>
      <c r="G321" s="3955"/>
      <c r="H321" s="3955"/>
    </row>
    <row r="322" spans="1:8" x14ac:dyDescent="0.2">
      <c r="A322" s="3956" t="s">
        <v>3072</v>
      </c>
      <c r="B322" s="3955"/>
      <c r="C322" s="3955"/>
      <c r="D322" s="3955"/>
      <c r="E322" s="3955"/>
      <c r="F322" s="3955"/>
      <c r="G322" s="3955"/>
      <c r="H322" s="3955"/>
    </row>
    <row r="323" spans="1:8" x14ac:dyDescent="0.2">
      <c r="A323" s="3956" t="s">
        <v>3073</v>
      </c>
      <c r="B323" s="3955"/>
      <c r="C323" s="3955"/>
      <c r="D323" s="3955"/>
      <c r="E323" s="3955"/>
      <c r="F323" s="3955"/>
      <c r="G323" s="3955"/>
      <c r="H323" s="3955"/>
    </row>
    <row r="324" spans="1:8" x14ac:dyDescent="0.2">
      <c r="A324" s="3956" t="s">
        <v>3074</v>
      </c>
      <c r="B324" s="3955"/>
      <c r="C324" s="3955"/>
      <c r="D324" s="3955"/>
      <c r="E324" s="3955"/>
      <c r="F324" s="3955"/>
      <c r="G324" s="3955"/>
      <c r="H324" s="3955"/>
    </row>
    <row r="325" spans="1:8" x14ac:dyDescent="0.2">
      <c r="A325" s="3956" t="s">
        <v>3075</v>
      </c>
      <c r="B325" s="3955"/>
      <c r="C325" s="3955"/>
      <c r="D325" s="3955"/>
      <c r="E325" s="3955"/>
      <c r="F325" s="3955"/>
      <c r="G325" s="3955"/>
      <c r="H325" s="3955"/>
    </row>
    <row r="326" spans="1:8" x14ac:dyDescent="0.2">
      <c r="A326" s="3956" t="s">
        <v>3076</v>
      </c>
      <c r="B326" s="3955"/>
      <c r="C326" s="3955"/>
      <c r="D326" s="3955"/>
      <c r="E326" s="3955"/>
      <c r="F326" s="3955"/>
      <c r="G326" s="3955"/>
      <c r="H326" s="3955"/>
    </row>
    <row r="327" spans="1:8" x14ac:dyDescent="0.2">
      <c r="A327" s="3956" t="s">
        <v>3077</v>
      </c>
      <c r="B327" s="3955"/>
      <c r="C327" s="3955"/>
      <c r="D327" s="3955"/>
      <c r="E327" s="3955"/>
      <c r="F327" s="3955"/>
      <c r="G327" s="3955"/>
      <c r="H327" s="3955"/>
    </row>
    <row r="328" spans="1:8" x14ac:dyDescent="0.2">
      <c r="A328" s="3955"/>
      <c r="B328" s="3955"/>
      <c r="C328" s="3955"/>
      <c r="D328" s="3955"/>
      <c r="E328" s="3955"/>
      <c r="F328" s="3955"/>
      <c r="G328" s="3955"/>
      <c r="H328" s="3955"/>
    </row>
    <row r="329" spans="1:8" x14ac:dyDescent="0.2">
      <c r="A329" s="3956" t="s">
        <v>3035</v>
      </c>
      <c r="B329" s="3955"/>
      <c r="C329" s="3955"/>
      <c r="D329" s="3955"/>
      <c r="E329" s="3955"/>
      <c r="F329" s="3955"/>
      <c r="G329" s="3955"/>
      <c r="H329" s="3955"/>
    </row>
    <row r="330" spans="1:8" x14ac:dyDescent="0.2">
      <c r="A330" s="3956" t="s">
        <v>3036</v>
      </c>
      <c r="B330" s="3955"/>
      <c r="C330" s="3955"/>
      <c r="D330" s="3955"/>
      <c r="E330" s="3955"/>
      <c r="F330" s="3955"/>
      <c r="G330" s="3955"/>
      <c r="H330" s="3955"/>
    </row>
    <row r="331" spans="1:8" x14ac:dyDescent="0.2">
      <c r="A331" s="3956" t="s">
        <v>3037</v>
      </c>
      <c r="B331" s="3955"/>
      <c r="C331" s="3955"/>
      <c r="D331" s="3955"/>
      <c r="E331" s="3955"/>
      <c r="F331" s="3955"/>
      <c r="G331" s="3955"/>
      <c r="H331" s="3955"/>
    </row>
    <row r="332" spans="1:8" x14ac:dyDescent="0.2">
      <c r="A332" s="3956" t="s">
        <v>3038</v>
      </c>
      <c r="B332" s="3955"/>
      <c r="C332" s="3955"/>
      <c r="D332" s="3955"/>
      <c r="E332" s="3955"/>
      <c r="F332" s="3955"/>
      <c r="G332" s="3955"/>
      <c r="H332" s="3955"/>
    </row>
    <row r="333" spans="1:8" x14ac:dyDescent="0.2">
      <c r="A333" s="3956" t="s">
        <v>3039</v>
      </c>
      <c r="B333" s="3955"/>
      <c r="C333" s="3955"/>
      <c r="D333" s="3955"/>
      <c r="E333" s="3955"/>
      <c r="F333" s="3955"/>
      <c r="G333" s="3955"/>
      <c r="H333" s="3955"/>
    </row>
    <row r="334" spans="1:8" x14ac:dyDescent="0.2">
      <c r="A334" s="3956" t="s">
        <v>3040</v>
      </c>
      <c r="B334" s="3955"/>
      <c r="C334" s="3955"/>
      <c r="D334" s="3955"/>
      <c r="E334" s="3955"/>
      <c r="F334" s="3955"/>
      <c r="G334" s="3955"/>
      <c r="H334" s="3955"/>
    </row>
    <row r="335" spans="1:8" x14ac:dyDescent="0.2">
      <c r="A335" s="3956" t="s">
        <v>3041</v>
      </c>
      <c r="B335" s="3955"/>
      <c r="C335" s="3955"/>
      <c r="D335" s="3955"/>
      <c r="E335" s="3955"/>
      <c r="F335" s="3955"/>
      <c r="G335" s="3955"/>
      <c r="H335" s="3955"/>
    </row>
    <row r="336" spans="1:8" x14ac:dyDescent="0.2">
      <c r="A336" s="3956" t="s">
        <v>3042</v>
      </c>
      <c r="B336" s="3955"/>
      <c r="C336" s="3955"/>
      <c r="D336" s="3955"/>
      <c r="E336" s="3955"/>
      <c r="F336" s="3955"/>
      <c r="G336" s="3955"/>
      <c r="H336" s="3955"/>
    </row>
    <row r="337" spans="1:8" x14ac:dyDescent="0.2">
      <c r="A337" s="3956" t="s">
        <v>3043</v>
      </c>
      <c r="B337" s="3955"/>
      <c r="C337" s="3955"/>
      <c r="D337" s="3955"/>
      <c r="E337" s="3955"/>
      <c r="F337" s="3955"/>
      <c r="G337" s="3955"/>
      <c r="H337" s="3955"/>
    </row>
    <row r="338" spans="1:8" x14ac:dyDescent="0.2">
      <c r="A338" s="3956" t="s">
        <v>3044</v>
      </c>
      <c r="B338" s="3955"/>
      <c r="C338" s="3955"/>
      <c r="D338" s="3955"/>
      <c r="E338" s="3955"/>
      <c r="F338" s="3955"/>
      <c r="G338" s="3955"/>
      <c r="H338" s="3955"/>
    </row>
    <row r="339" spans="1:8" x14ac:dyDescent="0.2">
      <c r="A339" s="3956" t="s">
        <v>3045</v>
      </c>
      <c r="B339" s="3955"/>
      <c r="C339" s="3955"/>
      <c r="D339" s="3955"/>
      <c r="E339" s="3955"/>
      <c r="F339" s="3955"/>
      <c r="G339" s="3955"/>
      <c r="H339" s="3955"/>
    </row>
    <row r="340" spans="1:8" x14ac:dyDescent="0.2">
      <c r="A340" s="3956" t="s">
        <v>3046</v>
      </c>
      <c r="B340" s="3955"/>
      <c r="C340" s="3955"/>
      <c r="D340" s="3955"/>
      <c r="E340" s="3955"/>
      <c r="F340" s="3955"/>
      <c r="G340" s="3955"/>
      <c r="H340" s="3955"/>
    </row>
    <row r="341" spans="1:8" x14ac:dyDescent="0.2">
      <c r="A341" s="3956" t="s">
        <v>3047</v>
      </c>
      <c r="B341" s="3955"/>
      <c r="C341" s="3955"/>
      <c r="D341" s="3955"/>
      <c r="E341" s="3955"/>
      <c r="F341" s="3955"/>
      <c r="G341" s="3955"/>
      <c r="H341" s="3955"/>
    </row>
    <row r="342" spans="1:8" x14ac:dyDescent="0.2">
      <c r="A342" s="3956" t="s">
        <v>3048</v>
      </c>
      <c r="B342" s="3955"/>
      <c r="C342" s="3955"/>
      <c r="D342" s="3955"/>
      <c r="E342" s="3955"/>
      <c r="F342" s="3955"/>
      <c r="G342" s="3955"/>
      <c r="H342" s="3955"/>
    </row>
    <row r="343" spans="1:8" x14ac:dyDescent="0.2">
      <c r="A343" s="3956" t="s">
        <v>3049</v>
      </c>
      <c r="B343" s="3955"/>
      <c r="C343" s="3955"/>
      <c r="D343" s="3955"/>
      <c r="E343" s="3955"/>
      <c r="F343" s="3955"/>
      <c r="G343" s="3955"/>
      <c r="H343" s="3955"/>
    </row>
    <row r="344" spans="1:8" x14ac:dyDescent="0.2">
      <c r="A344" s="3956" t="s">
        <v>3050</v>
      </c>
      <c r="B344" s="3955"/>
      <c r="C344" s="3955"/>
      <c r="D344" s="3955"/>
      <c r="E344" s="3955"/>
      <c r="F344" s="3955"/>
      <c r="G344" s="3955"/>
      <c r="H344" s="3955"/>
    </row>
    <row r="345" spans="1:8" x14ac:dyDescent="0.2">
      <c r="A345" s="3956" t="s">
        <v>3051</v>
      </c>
      <c r="B345" s="3955"/>
      <c r="C345" s="3955"/>
      <c r="D345" s="3955"/>
      <c r="E345" s="3955"/>
      <c r="F345" s="3955"/>
      <c r="G345" s="3955"/>
      <c r="H345" s="3955"/>
    </row>
    <row r="346" spans="1:8" x14ac:dyDescent="0.2">
      <c r="A346" s="3956" t="s">
        <v>3052</v>
      </c>
      <c r="B346" s="3955"/>
      <c r="C346" s="3955"/>
      <c r="D346" s="3955"/>
      <c r="E346" s="3955"/>
      <c r="F346" s="3955"/>
      <c r="G346" s="3955"/>
      <c r="H346" s="3955"/>
    </row>
    <row r="347" spans="1:8" x14ac:dyDescent="0.2">
      <c r="A347" s="3956" t="s">
        <v>3053</v>
      </c>
      <c r="B347" s="3955"/>
      <c r="C347" s="3955"/>
      <c r="D347" s="3955"/>
      <c r="E347" s="3955"/>
      <c r="F347" s="3955"/>
      <c r="G347" s="3955"/>
      <c r="H347" s="3955"/>
    </row>
    <row r="348" spans="1:8" x14ac:dyDescent="0.2">
      <c r="A348" s="3956" t="s">
        <v>3054</v>
      </c>
      <c r="B348" s="3955"/>
      <c r="C348" s="3955"/>
      <c r="D348" s="3955"/>
      <c r="E348" s="3955"/>
      <c r="F348" s="3955"/>
      <c r="G348" s="3955"/>
      <c r="H348" s="3955"/>
    </row>
    <row r="349" spans="1:8" x14ac:dyDescent="0.2">
      <c r="A349" s="3956" t="s">
        <v>3055</v>
      </c>
      <c r="B349" s="3955"/>
      <c r="C349" s="3955"/>
      <c r="D349" s="3955"/>
      <c r="E349" s="3955"/>
      <c r="F349" s="3955"/>
      <c r="G349" s="3955"/>
      <c r="H349" s="3955"/>
    </row>
    <row r="350" spans="1:8" x14ac:dyDescent="0.2">
      <c r="A350" s="3956" t="s">
        <v>3056</v>
      </c>
      <c r="B350" s="3955"/>
      <c r="C350" s="3955"/>
      <c r="D350" s="3955"/>
      <c r="E350" s="3955"/>
      <c r="F350" s="3955"/>
      <c r="G350" s="3955"/>
      <c r="H350" s="3955"/>
    </row>
    <row r="351" spans="1:8" x14ac:dyDescent="0.2">
      <c r="A351" s="3956" t="s">
        <v>3057</v>
      </c>
      <c r="B351" s="3955"/>
      <c r="C351" s="3955"/>
      <c r="D351" s="3955"/>
      <c r="E351" s="3955"/>
      <c r="F351" s="3955"/>
      <c r="G351" s="3955"/>
      <c r="H351" s="3955"/>
    </row>
    <row r="352" spans="1:8" x14ac:dyDescent="0.2">
      <c r="A352" s="3956" t="s">
        <v>3058</v>
      </c>
      <c r="B352" s="3955"/>
      <c r="C352" s="3955"/>
      <c r="D352" s="3955"/>
      <c r="E352" s="3955"/>
      <c r="F352" s="3955"/>
      <c r="G352" s="3955"/>
      <c r="H352" s="3955"/>
    </row>
    <row r="353" spans="1:8" x14ac:dyDescent="0.2">
      <c r="A353" s="3956" t="s">
        <v>3059</v>
      </c>
      <c r="B353" s="3955"/>
      <c r="C353" s="3955"/>
      <c r="D353" s="3955"/>
      <c r="E353" s="3955"/>
      <c r="F353" s="3955"/>
      <c r="G353" s="3955"/>
      <c r="H353" s="3955"/>
    </row>
    <row r="354" spans="1:8" x14ac:dyDescent="0.2">
      <c r="A354" s="3956" t="s">
        <v>3060</v>
      </c>
      <c r="B354" s="3955"/>
      <c r="C354" s="3955"/>
      <c r="D354" s="3955"/>
      <c r="E354" s="3955"/>
      <c r="F354" s="3955"/>
      <c r="G354" s="3955"/>
      <c r="H354" s="3955"/>
    </row>
    <row r="355" spans="1:8" x14ac:dyDescent="0.2">
      <c r="A355" s="3956" t="s">
        <v>3061</v>
      </c>
      <c r="B355" s="3955"/>
      <c r="C355" s="3955"/>
      <c r="D355" s="3955"/>
      <c r="E355" s="3955"/>
      <c r="F355" s="3955"/>
      <c r="G355" s="3955"/>
      <c r="H355" s="3955"/>
    </row>
    <row r="356" spans="1:8" x14ac:dyDescent="0.2">
      <c r="A356" s="3956" t="s">
        <v>3062</v>
      </c>
      <c r="B356" s="3955"/>
      <c r="C356" s="3955"/>
      <c r="D356" s="3955"/>
      <c r="E356" s="3955"/>
      <c r="F356" s="3955"/>
      <c r="G356" s="3955"/>
      <c r="H356" s="3955"/>
    </row>
    <row r="357" spans="1:8" x14ac:dyDescent="0.2">
      <c r="A357" s="3956" t="s">
        <v>3063</v>
      </c>
      <c r="B357" s="3955"/>
      <c r="C357" s="3955"/>
      <c r="D357" s="3955"/>
      <c r="E357" s="3955"/>
      <c r="F357" s="3955"/>
      <c r="G357" s="3955"/>
      <c r="H357" s="3955"/>
    </row>
    <row r="358" spans="1:8" x14ac:dyDescent="0.2">
      <c r="A358" s="3956" t="s">
        <v>3064</v>
      </c>
      <c r="B358" s="3955"/>
      <c r="C358" s="3955"/>
      <c r="D358" s="3955"/>
      <c r="E358" s="3955"/>
      <c r="F358" s="3955"/>
      <c r="G358" s="3955"/>
      <c r="H358" s="3955"/>
    </row>
    <row r="359" spans="1:8" x14ac:dyDescent="0.2">
      <c r="A359" s="3956" t="s">
        <v>3065</v>
      </c>
      <c r="B359" s="3955"/>
      <c r="C359" s="3955"/>
      <c r="D359" s="3955"/>
      <c r="E359" s="3955"/>
      <c r="F359" s="3955"/>
      <c r="G359" s="3955"/>
      <c r="H359" s="3955"/>
    </row>
    <row r="360" spans="1:8" x14ac:dyDescent="0.2">
      <c r="A360" s="3956" t="s">
        <v>3066</v>
      </c>
      <c r="B360" s="3955"/>
      <c r="C360" s="3955"/>
      <c r="D360" s="3955"/>
      <c r="E360" s="3955"/>
      <c r="F360" s="3955"/>
      <c r="G360" s="3955"/>
      <c r="H360" s="3955"/>
    </row>
    <row r="361" spans="1:8" x14ac:dyDescent="0.2">
      <c r="A361" s="3956" t="s">
        <v>3067</v>
      </c>
      <c r="B361" s="3955"/>
      <c r="C361" s="3955"/>
      <c r="D361" s="3955"/>
      <c r="E361" s="3955"/>
      <c r="F361" s="3955"/>
      <c r="G361" s="3955"/>
      <c r="H361" s="3955"/>
    </row>
    <row r="362" spans="1:8" x14ac:dyDescent="0.2">
      <c r="A362" s="3956" t="s">
        <v>3068</v>
      </c>
      <c r="B362" s="3955"/>
      <c r="C362" s="3955"/>
      <c r="D362" s="3955"/>
      <c r="E362" s="3955"/>
      <c r="F362" s="3955"/>
      <c r="G362" s="3955"/>
      <c r="H362" s="3955"/>
    </row>
    <row r="363" spans="1:8" x14ac:dyDescent="0.2">
      <c r="A363" s="3956" t="s">
        <v>3069</v>
      </c>
      <c r="B363" s="3955"/>
      <c r="C363" s="3955"/>
      <c r="D363" s="3955"/>
      <c r="E363" s="3955"/>
      <c r="F363" s="3955"/>
      <c r="G363" s="3955"/>
      <c r="H363" s="3955"/>
    </row>
    <row r="364" spans="1:8" x14ac:dyDescent="0.2">
      <c r="A364" s="3955"/>
      <c r="B364" s="3955"/>
      <c r="C364" s="3955"/>
      <c r="D364" s="3955"/>
      <c r="E364" s="3955"/>
      <c r="F364" s="3955"/>
      <c r="G364" s="3955"/>
      <c r="H364" s="3955"/>
    </row>
    <row r="365" spans="1:8" x14ac:dyDescent="0.2">
      <c r="A365" s="3956" t="s">
        <v>3027</v>
      </c>
      <c r="B365" s="3955"/>
      <c r="C365" s="3955"/>
      <c r="D365" s="3955"/>
      <c r="E365" s="3955"/>
      <c r="F365" s="3955"/>
      <c r="G365" s="3955"/>
      <c r="H365" s="3955"/>
    </row>
    <row r="366" spans="1:8" x14ac:dyDescent="0.2">
      <c r="A366" s="3956" t="s">
        <v>3031</v>
      </c>
      <c r="B366" s="3955"/>
      <c r="C366" s="3955"/>
      <c r="D366" s="3955"/>
      <c r="E366" s="3955"/>
      <c r="F366" s="3955"/>
      <c r="G366" s="3955"/>
      <c r="H366" s="3955"/>
    </row>
    <row r="367" spans="1:8" x14ac:dyDescent="0.2">
      <c r="A367" s="3956" t="s">
        <v>3032</v>
      </c>
      <c r="B367" s="3955"/>
      <c r="C367" s="3955"/>
      <c r="D367" s="3955"/>
      <c r="E367" s="3955"/>
      <c r="F367" s="3955"/>
      <c r="G367" s="3955"/>
      <c r="H367" s="3955"/>
    </row>
    <row r="368" spans="1:8" x14ac:dyDescent="0.2">
      <c r="A368" s="3956" t="s">
        <v>3033</v>
      </c>
      <c r="B368" s="3955"/>
      <c r="C368" s="3955"/>
      <c r="D368" s="3955"/>
      <c r="E368" s="3955"/>
      <c r="F368" s="3955"/>
      <c r="G368" s="3955"/>
      <c r="H368" s="3955"/>
    </row>
    <row r="369" spans="1:8" x14ac:dyDescent="0.2">
      <c r="A369" s="3956" t="s">
        <v>3034</v>
      </c>
      <c r="B369" s="3955"/>
      <c r="C369" s="3955"/>
      <c r="D369" s="3955"/>
      <c r="E369" s="3955"/>
      <c r="F369" s="3955"/>
      <c r="G369" s="3955"/>
      <c r="H369" s="3955"/>
    </row>
    <row r="370" spans="1:8" x14ac:dyDescent="0.2">
      <c r="A370" s="3955"/>
      <c r="B370" s="3955"/>
      <c r="C370" s="3955"/>
      <c r="D370" s="3955"/>
      <c r="E370" s="3955"/>
      <c r="F370" s="3955"/>
      <c r="G370" s="3955"/>
      <c r="H370" s="3955"/>
    </row>
    <row r="371" spans="1:8" x14ac:dyDescent="0.2">
      <c r="A371" s="3956" t="s">
        <v>3027</v>
      </c>
      <c r="B371" s="3955"/>
      <c r="C371" s="3955"/>
      <c r="D371" s="3955"/>
      <c r="E371" s="3955"/>
      <c r="F371" s="3955"/>
      <c r="G371" s="3955"/>
      <c r="H371" s="3955"/>
    </row>
    <row r="372" spans="1:8" x14ac:dyDescent="0.2">
      <c r="A372" s="3956" t="s">
        <v>3028</v>
      </c>
      <c r="B372" s="3955"/>
      <c r="C372" s="3955"/>
      <c r="D372" s="3955"/>
      <c r="E372" s="3955"/>
      <c r="F372" s="3955"/>
      <c r="G372" s="3955"/>
      <c r="H372" s="3955"/>
    </row>
    <row r="373" spans="1:8" x14ac:dyDescent="0.2">
      <c r="A373" s="3956" t="s">
        <v>3029</v>
      </c>
      <c r="B373" s="3955"/>
      <c r="C373" s="3955"/>
      <c r="D373" s="3955"/>
      <c r="E373" s="3955"/>
      <c r="F373" s="3955"/>
      <c r="G373" s="3955"/>
      <c r="H373" s="3955"/>
    </row>
    <row r="374" spans="1:8" x14ac:dyDescent="0.2">
      <c r="A374" s="3956" t="s">
        <v>3030</v>
      </c>
      <c r="B374" s="3955"/>
      <c r="C374" s="3955"/>
      <c r="D374" s="3955"/>
      <c r="E374" s="3955"/>
      <c r="F374" s="3955"/>
      <c r="G374" s="3955"/>
      <c r="H374" s="3955"/>
    </row>
    <row r="375" spans="1:8" x14ac:dyDescent="0.2">
      <c r="A375" s="3955"/>
      <c r="B375" s="3955"/>
      <c r="C375" s="3955"/>
      <c r="D375" s="3955"/>
      <c r="E375" s="3955"/>
      <c r="F375" s="3955"/>
      <c r="G375" s="3955"/>
      <c r="H375" s="3955"/>
    </row>
    <row r="376" spans="1:8" x14ac:dyDescent="0.2">
      <c r="A376" s="3956" t="s">
        <v>3021</v>
      </c>
      <c r="B376" s="3955"/>
      <c r="C376" s="3955"/>
      <c r="D376" s="3955"/>
      <c r="E376" s="3955"/>
      <c r="F376" s="3955"/>
      <c r="G376" s="3955"/>
      <c r="H376" s="3955"/>
    </row>
    <row r="377" spans="1:8" x14ac:dyDescent="0.2">
      <c r="A377" s="3956" t="s">
        <v>3022</v>
      </c>
      <c r="B377" s="3955"/>
      <c r="C377" s="3955"/>
      <c r="D377" s="3955"/>
      <c r="E377" s="3955"/>
      <c r="F377" s="3955"/>
      <c r="G377" s="3955"/>
      <c r="H377" s="3955"/>
    </row>
    <row r="378" spans="1:8" x14ac:dyDescent="0.2">
      <c r="A378" s="3956" t="s">
        <v>3023</v>
      </c>
      <c r="B378" s="3955"/>
      <c r="C378" s="3955"/>
      <c r="D378" s="3955"/>
      <c r="E378" s="3955"/>
      <c r="F378" s="3955"/>
      <c r="G378" s="3955"/>
      <c r="H378" s="3955"/>
    </row>
    <row r="379" spans="1:8" x14ac:dyDescent="0.2">
      <c r="A379" s="3956" t="s">
        <v>3024</v>
      </c>
      <c r="B379" s="3955"/>
      <c r="C379" s="3955"/>
      <c r="D379" s="3955"/>
      <c r="E379" s="3955"/>
      <c r="F379" s="3955"/>
      <c r="G379" s="3955"/>
      <c r="H379" s="3955"/>
    </row>
    <row r="380" spans="1:8" x14ac:dyDescent="0.2">
      <c r="A380" s="3956" t="s">
        <v>3025</v>
      </c>
      <c r="B380" s="3955"/>
      <c r="C380" s="3955"/>
      <c r="D380" s="3955"/>
      <c r="E380" s="3955"/>
      <c r="F380" s="3955"/>
      <c r="G380" s="3955"/>
      <c r="H380" s="3955"/>
    </row>
    <row r="381" spans="1:8" x14ac:dyDescent="0.2">
      <c r="A381" s="3956" t="s">
        <v>3026</v>
      </c>
      <c r="B381" s="3955"/>
      <c r="C381" s="3955"/>
      <c r="D381" s="3955"/>
      <c r="E381" s="3955"/>
      <c r="F381" s="3955"/>
      <c r="G381" s="3955"/>
      <c r="H381" s="3955"/>
    </row>
    <row r="382" spans="1:8" x14ac:dyDescent="0.2">
      <c r="A382" s="3955"/>
      <c r="B382" s="3955"/>
      <c r="C382" s="3955"/>
      <c r="D382" s="3955"/>
      <c r="E382" s="3955"/>
      <c r="F382" s="3955"/>
      <c r="G382" s="3955"/>
      <c r="H382" s="3955"/>
    </row>
    <row r="383" spans="1:8" x14ac:dyDescent="0.2">
      <c r="A383" s="3956" t="s">
        <v>3016</v>
      </c>
      <c r="B383" s="3955"/>
      <c r="C383" s="3955"/>
      <c r="D383" s="3955"/>
      <c r="E383" s="3955"/>
      <c r="F383" s="3955"/>
      <c r="G383" s="3955"/>
      <c r="H383" s="3955"/>
    </row>
    <row r="384" spans="1:8" x14ac:dyDescent="0.2">
      <c r="A384" s="3956" t="s">
        <v>3017</v>
      </c>
      <c r="B384" s="3955"/>
      <c r="C384" s="3955"/>
      <c r="D384" s="3955"/>
      <c r="E384" s="3955"/>
      <c r="F384" s="3955"/>
      <c r="G384" s="3955"/>
      <c r="H384" s="3955"/>
    </row>
    <row r="385" spans="1:8" x14ac:dyDescent="0.2">
      <c r="A385" s="3956" t="s">
        <v>3018</v>
      </c>
      <c r="B385" s="3955"/>
      <c r="C385" s="3955"/>
      <c r="D385" s="3955"/>
      <c r="E385" s="3955"/>
      <c r="F385" s="3955"/>
      <c r="G385" s="3955"/>
      <c r="H385" s="3955"/>
    </row>
    <row r="386" spans="1:8" x14ac:dyDescent="0.2">
      <c r="A386" s="3956" t="s">
        <v>3019</v>
      </c>
      <c r="B386" s="3955"/>
      <c r="C386" s="3955"/>
      <c r="D386" s="3955"/>
      <c r="E386" s="3955"/>
      <c r="F386" s="3955"/>
      <c r="G386" s="3955"/>
      <c r="H386" s="3955"/>
    </row>
    <row r="387" spans="1:8" x14ac:dyDescent="0.2">
      <c r="A387" s="3956" t="s">
        <v>3020</v>
      </c>
      <c r="B387" s="3955"/>
      <c r="C387" s="3955"/>
      <c r="D387" s="3955"/>
      <c r="E387" s="3955"/>
      <c r="F387" s="3955"/>
      <c r="G387" s="3955"/>
      <c r="H387" s="3955"/>
    </row>
    <row r="388" spans="1:8" x14ac:dyDescent="0.2">
      <c r="A388" s="3955"/>
      <c r="B388" s="3955"/>
      <c r="C388" s="3955"/>
      <c r="D388" s="3955"/>
      <c r="E388" s="3955"/>
      <c r="F388" s="3955"/>
      <c r="G388" s="3955"/>
      <c r="H388" s="3955"/>
    </row>
    <row r="389" spans="1:8" x14ac:dyDescent="0.2">
      <c r="A389" s="3956" t="s">
        <v>3014</v>
      </c>
      <c r="B389" s="3955"/>
      <c r="C389" s="3955"/>
      <c r="D389" s="3955"/>
      <c r="E389" s="3955"/>
      <c r="F389" s="3955"/>
      <c r="G389" s="3955"/>
      <c r="H389" s="3955"/>
    </row>
    <row r="390" spans="1:8" x14ac:dyDescent="0.2">
      <c r="A390" s="3956" t="s">
        <v>3015</v>
      </c>
      <c r="B390" s="3955"/>
      <c r="C390" s="3955"/>
      <c r="D390" s="3955"/>
      <c r="E390" s="3955"/>
      <c r="F390" s="3955"/>
      <c r="G390" s="3955"/>
      <c r="H390" s="3955"/>
    </row>
    <row r="392" spans="1:8" x14ac:dyDescent="0.2">
      <c r="A392" s="3951" t="s">
        <v>3271</v>
      </c>
    </row>
  </sheetData>
  <mergeCells count="12">
    <mergeCell ref="A130:H130"/>
    <mergeCell ref="A131:H131"/>
    <mergeCell ref="B123:C123"/>
    <mergeCell ref="D123:F123"/>
    <mergeCell ref="G123:H123"/>
    <mergeCell ref="A109:H109"/>
    <mergeCell ref="A110:H110"/>
    <mergeCell ref="A111:H111"/>
    <mergeCell ref="A112:H112"/>
    <mergeCell ref="A114:H114"/>
    <mergeCell ref="A115:H115"/>
    <mergeCell ref="A122:H122"/>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B49"/>
  <sheetViews>
    <sheetView workbookViewId="0"/>
  </sheetViews>
  <sheetFormatPr defaultRowHeight="11.25" x14ac:dyDescent="0.2"/>
  <sheetData>
    <row r="1" spans="1:2" x14ac:dyDescent="0.2">
      <c r="A1" t="s">
        <v>3345</v>
      </c>
      <c r="B1" t="s">
        <v>3346</v>
      </c>
    </row>
    <row r="2" spans="1:2" x14ac:dyDescent="0.2">
      <c r="A2" s="1206" t="s">
        <v>3347</v>
      </c>
      <c r="B2">
        <v>-1</v>
      </c>
    </row>
    <row r="3" spans="1:2" x14ac:dyDescent="0.2">
      <c r="A3" s="1206" t="s">
        <v>3348</v>
      </c>
      <c r="B3">
        <v>2</v>
      </c>
    </row>
    <row r="4" spans="1:2" x14ac:dyDescent="0.2">
      <c r="A4" s="1206" t="s">
        <v>3349</v>
      </c>
      <c r="B4">
        <v>-1</v>
      </c>
    </row>
    <row r="5" spans="1:2" x14ac:dyDescent="0.2">
      <c r="A5" s="1206" t="s">
        <v>1083</v>
      </c>
      <c r="B5">
        <v>-1</v>
      </c>
    </row>
    <row r="6" spans="1:2" x14ac:dyDescent="0.2">
      <c r="A6" s="1206" t="s">
        <v>3350</v>
      </c>
      <c r="B6">
        <v>0</v>
      </c>
    </row>
    <row r="7" spans="1:2" x14ac:dyDescent="0.2">
      <c r="A7" s="1206" t="s">
        <v>3351</v>
      </c>
      <c r="B7">
        <v>-1</v>
      </c>
    </row>
    <row r="8" spans="1:2" x14ac:dyDescent="0.2">
      <c r="A8" s="1206" t="s">
        <v>3352</v>
      </c>
      <c r="B8">
        <v>-1</v>
      </c>
    </row>
    <row r="9" spans="1:2" x14ac:dyDescent="0.2">
      <c r="A9" s="1206" t="s">
        <v>3353</v>
      </c>
      <c r="B9">
        <v>-1</v>
      </c>
    </row>
    <row r="10" spans="1:2" x14ac:dyDescent="0.2">
      <c r="A10" s="1206" t="s">
        <v>3354</v>
      </c>
      <c r="B10">
        <v>-1</v>
      </c>
    </row>
    <row r="11" spans="1:2" x14ac:dyDescent="0.2">
      <c r="A11" s="1206" t="s">
        <v>487</v>
      </c>
      <c r="B11">
        <v>-1</v>
      </c>
    </row>
    <row r="12" spans="1:2" x14ac:dyDescent="0.2">
      <c r="A12" s="1206" t="s">
        <v>1619</v>
      </c>
      <c r="B12">
        <v>-1</v>
      </c>
    </row>
    <row r="13" spans="1:2" x14ac:dyDescent="0.2">
      <c r="A13" s="1206" t="s">
        <v>3355</v>
      </c>
      <c r="B13">
        <v>-1</v>
      </c>
    </row>
    <row r="14" spans="1:2" x14ac:dyDescent="0.2">
      <c r="A14" s="1206" t="s">
        <v>3356</v>
      </c>
      <c r="B14">
        <v>-1</v>
      </c>
    </row>
    <row r="15" spans="1:2" x14ac:dyDescent="0.2">
      <c r="A15" s="1206" t="s">
        <v>3357</v>
      </c>
      <c r="B15">
        <v>-1</v>
      </c>
    </row>
    <row r="16" spans="1:2" x14ac:dyDescent="0.2">
      <c r="A16" s="1206" t="s">
        <v>2123</v>
      </c>
      <c r="B16">
        <v>-1</v>
      </c>
    </row>
    <row r="17" spans="1:2" x14ac:dyDescent="0.2">
      <c r="A17" s="1206" t="s">
        <v>1725</v>
      </c>
      <c r="B17">
        <v>-1</v>
      </c>
    </row>
    <row r="18" spans="1:2" x14ac:dyDescent="0.2">
      <c r="A18" s="1206" t="s">
        <v>3358</v>
      </c>
      <c r="B18">
        <v>-1</v>
      </c>
    </row>
    <row r="19" spans="1:2" x14ac:dyDescent="0.2">
      <c r="A19" s="1206" t="s">
        <v>3359</v>
      </c>
      <c r="B19">
        <v>-1</v>
      </c>
    </row>
    <row r="20" spans="1:2" x14ac:dyDescent="0.2">
      <c r="A20" s="1206" t="s">
        <v>1724</v>
      </c>
      <c r="B20">
        <v>-1</v>
      </c>
    </row>
    <row r="21" spans="1:2" x14ac:dyDescent="0.2">
      <c r="A21" s="1206" t="s">
        <v>142</v>
      </c>
      <c r="B21">
        <v>-1</v>
      </c>
    </row>
    <row r="22" spans="1:2" x14ac:dyDescent="0.2">
      <c r="A22" s="1206" t="s">
        <v>290</v>
      </c>
      <c r="B22">
        <v>-1</v>
      </c>
    </row>
    <row r="23" spans="1:2" x14ac:dyDescent="0.2">
      <c r="A23" s="1206" t="s">
        <v>289</v>
      </c>
      <c r="B23">
        <v>-1</v>
      </c>
    </row>
    <row r="24" spans="1:2" x14ac:dyDescent="0.2">
      <c r="A24" s="1206" t="s">
        <v>3360</v>
      </c>
      <c r="B24">
        <v>-1</v>
      </c>
    </row>
    <row r="25" spans="1:2" x14ac:dyDescent="0.2">
      <c r="A25" s="1206" t="s">
        <v>1244</v>
      </c>
      <c r="B25">
        <v>-1</v>
      </c>
    </row>
    <row r="26" spans="1:2" x14ac:dyDescent="0.2">
      <c r="A26" s="1206" t="s">
        <v>288</v>
      </c>
      <c r="B26">
        <v>-1</v>
      </c>
    </row>
    <row r="27" spans="1:2" x14ac:dyDescent="0.2">
      <c r="A27" s="1206" t="s">
        <v>287</v>
      </c>
      <c r="B27">
        <v>-1</v>
      </c>
    </row>
    <row r="28" spans="1:2" x14ac:dyDescent="0.2">
      <c r="A28" s="1206" t="s">
        <v>1175</v>
      </c>
      <c r="B28">
        <v>-1</v>
      </c>
    </row>
    <row r="29" spans="1:2" x14ac:dyDescent="0.2">
      <c r="A29" s="1206" t="s">
        <v>3361</v>
      </c>
      <c r="B29">
        <v>-1</v>
      </c>
    </row>
    <row r="30" spans="1:2" x14ac:dyDescent="0.2">
      <c r="A30" s="1206" t="s">
        <v>1305</v>
      </c>
      <c r="B30">
        <v>-1</v>
      </c>
    </row>
    <row r="31" spans="1:2" x14ac:dyDescent="0.2">
      <c r="A31" s="1206" t="s">
        <v>1544</v>
      </c>
      <c r="B31">
        <v>-1</v>
      </c>
    </row>
    <row r="32" spans="1:2" x14ac:dyDescent="0.2">
      <c r="A32" s="1206" t="s">
        <v>1543</v>
      </c>
      <c r="B32">
        <v>-1</v>
      </c>
    </row>
    <row r="33" spans="1:2" x14ac:dyDescent="0.2">
      <c r="A33" s="1206" t="s">
        <v>1782</v>
      </c>
      <c r="B33">
        <v>-1</v>
      </c>
    </row>
    <row r="34" spans="1:2" x14ac:dyDescent="0.2">
      <c r="A34" s="1206" t="s">
        <v>3362</v>
      </c>
      <c r="B34">
        <v>-1</v>
      </c>
    </row>
    <row r="35" spans="1:2" x14ac:dyDescent="0.2">
      <c r="A35" s="1206" t="s">
        <v>745</v>
      </c>
      <c r="B35">
        <v>-1</v>
      </c>
    </row>
    <row r="36" spans="1:2" x14ac:dyDescent="0.2">
      <c r="A36" s="1206" t="s">
        <v>3363</v>
      </c>
      <c r="B36">
        <v>-1</v>
      </c>
    </row>
    <row r="37" spans="1:2" x14ac:dyDescent="0.2">
      <c r="A37" s="1206" t="s">
        <v>3364</v>
      </c>
      <c r="B37">
        <v>-1</v>
      </c>
    </row>
    <row r="38" spans="1:2" x14ac:dyDescent="0.2">
      <c r="A38" s="1206" t="s">
        <v>1309</v>
      </c>
      <c r="B38">
        <v>-1</v>
      </c>
    </row>
    <row r="39" spans="1:2" x14ac:dyDescent="0.2">
      <c r="A39" s="1206" t="s">
        <v>3365</v>
      </c>
      <c r="B39">
        <v>-1</v>
      </c>
    </row>
    <row r="40" spans="1:2" x14ac:dyDescent="0.2">
      <c r="A40" s="1206" t="s">
        <v>3366</v>
      </c>
      <c r="B40">
        <v>-1</v>
      </c>
    </row>
    <row r="41" spans="1:2" x14ac:dyDescent="0.2">
      <c r="A41" s="1206" t="s">
        <v>3367</v>
      </c>
      <c r="B41">
        <v>-1</v>
      </c>
    </row>
    <row r="42" spans="1:2" x14ac:dyDescent="0.2">
      <c r="A42" s="1206" t="s">
        <v>1542</v>
      </c>
      <c r="B42">
        <v>-1</v>
      </c>
    </row>
    <row r="43" spans="1:2" x14ac:dyDescent="0.2">
      <c r="A43" s="1206" t="s">
        <v>644</v>
      </c>
      <c r="B43">
        <v>-1</v>
      </c>
    </row>
    <row r="44" spans="1:2" x14ac:dyDescent="0.2">
      <c r="A44" s="1206" t="s">
        <v>3368</v>
      </c>
      <c r="B44">
        <v>-1</v>
      </c>
    </row>
    <row r="45" spans="1:2" x14ac:dyDescent="0.2">
      <c r="A45" s="1206" t="s">
        <v>3369</v>
      </c>
      <c r="B45">
        <v>-1</v>
      </c>
    </row>
    <row r="46" spans="1:2" x14ac:dyDescent="0.2">
      <c r="A46" s="1206" t="s">
        <v>3370</v>
      </c>
      <c r="B46">
        <v>-1</v>
      </c>
    </row>
    <row r="47" spans="1:2" x14ac:dyDescent="0.2">
      <c r="A47" s="1206" t="s">
        <v>3371</v>
      </c>
      <c r="B47">
        <v>-1</v>
      </c>
    </row>
    <row r="48" spans="1:2" x14ac:dyDescent="0.2">
      <c r="A48" s="1206" t="s">
        <v>3372</v>
      </c>
      <c r="B48">
        <v>-1</v>
      </c>
    </row>
    <row r="49" spans="1:2" x14ac:dyDescent="0.2">
      <c r="A49" s="1206" t="s">
        <v>3373</v>
      </c>
      <c r="B49">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1:B11"/>
  <sheetViews>
    <sheetView showGridLines="0" showRowColHeaders="0" workbookViewId="0">
      <selection activeCell="N1" sqref="N1"/>
    </sheetView>
  </sheetViews>
  <sheetFormatPr defaultRowHeight="12.75" x14ac:dyDescent="0.2"/>
  <cols>
    <col min="1" max="1" width="9.33203125" style="2685"/>
    <col min="2" max="2" width="103" style="2685" customWidth="1"/>
    <col min="3" max="257" width="9.33203125" style="2685"/>
    <col min="258" max="258" width="103" style="2685" customWidth="1"/>
    <col min="259" max="513" width="9.33203125" style="2685"/>
    <col min="514" max="514" width="103" style="2685" customWidth="1"/>
    <col min="515" max="769" width="9.33203125" style="2685"/>
    <col min="770" max="770" width="103" style="2685" customWidth="1"/>
    <col min="771" max="1025" width="9.33203125" style="2685"/>
    <col min="1026" max="1026" width="103" style="2685" customWidth="1"/>
    <col min="1027" max="1281" width="9.33203125" style="2685"/>
    <col min="1282" max="1282" width="103" style="2685" customWidth="1"/>
    <col min="1283" max="1537" width="9.33203125" style="2685"/>
    <col min="1538" max="1538" width="103" style="2685" customWidth="1"/>
    <col min="1539" max="1793" width="9.33203125" style="2685"/>
    <col min="1794" max="1794" width="103" style="2685" customWidth="1"/>
    <col min="1795" max="2049" width="9.33203125" style="2685"/>
    <col min="2050" max="2050" width="103" style="2685" customWidth="1"/>
    <col min="2051" max="2305" width="9.33203125" style="2685"/>
    <col min="2306" max="2306" width="103" style="2685" customWidth="1"/>
    <col min="2307" max="2561" width="9.33203125" style="2685"/>
    <col min="2562" max="2562" width="103" style="2685" customWidth="1"/>
    <col min="2563" max="2817" width="9.33203125" style="2685"/>
    <col min="2818" max="2818" width="103" style="2685" customWidth="1"/>
    <col min="2819" max="3073" width="9.33203125" style="2685"/>
    <col min="3074" max="3074" width="103" style="2685" customWidth="1"/>
    <col min="3075" max="3329" width="9.33203125" style="2685"/>
    <col min="3330" max="3330" width="103" style="2685" customWidth="1"/>
    <col min="3331" max="3585" width="9.33203125" style="2685"/>
    <col min="3586" max="3586" width="103" style="2685" customWidth="1"/>
    <col min="3587" max="3841" width="9.33203125" style="2685"/>
    <col min="3842" max="3842" width="103" style="2685" customWidth="1"/>
    <col min="3843" max="4097" width="9.33203125" style="2685"/>
    <col min="4098" max="4098" width="103" style="2685" customWidth="1"/>
    <col min="4099" max="4353" width="9.33203125" style="2685"/>
    <col min="4354" max="4354" width="103" style="2685" customWidth="1"/>
    <col min="4355" max="4609" width="9.33203125" style="2685"/>
    <col min="4610" max="4610" width="103" style="2685" customWidth="1"/>
    <col min="4611" max="4865" width="9.33203125" style="2685"/>
    <col min="4866" max="4866" width="103" style="2685" customWidth="1"/>
    <col min="4867" max="5121" width="9.33203125" style="2685"/>
    <col min="5122" max="5122" width="103" style="2685" customWidth="1"/>
    <col min="5123" max="5377" width="9.33203125" style="2685"/>
    <col min="5378" max="5378" width="103" style="2685" customWidth="1"/>
    <col min="5379" max="5633" width="9.33203125" style="2685"/>
    <col min="5634" max="5634" width="103" style="2685" customWidth="1"/>
    <col min="5635" max="5889" width="9.33203125" style="2685"/>
    <col min="5890" max="5890" width="103" style="2685" customWidth="1"/>
    <col min="5891" max="6145" width="9.33203125" style="2685"/>
    <col min="6146" max="6146" width="103" style="2685" customWidth="1"/>
    <col min="6147" max="6401" width="9.33203125" style="2685"/>
    <col min="6402" max="6402" width="103" style="2685" customWidth="1"/>
    <col min="6403" max="6657" width="9.33203125" style="2685"/>
    <col min="6658" max="6658" width="103" style="2685" customWidth="1"/>
    <col min="6659" max="6913" width="9.33203125" style="2685"/>
    <col min="6914" max="6914" width="103" style="2685" customWidth="1"/>
    <col min="6915" max="7169" width="9.33203125" style="2685"/>
    <col min="7170" max="7170" width="103" style="2685" customWidth="1"/>
    <col min="7171" max="7425" width="9.33203125" style="2685"/>
    <col min="7426" max="7426" width="103" style="2685" customWidth="1"/>
    <col min="7427" max="7681" width="9.33203125" style="2685"/>
    <col min="7682" max="7682" width="103" style="2685" customWidth="1"/>
    <col min="7683" max="7937" width="9.33203125" style="2685"/>
    <col min="7938" max="7938" width="103" style="2685" customWidth="1"/>
    <col min="7939" max="8193" width="9.33203125" style="2685"/>
    <col min="8194" max="8194" width="103" style="2685" customWidth="1"/>
    <col min="8195" max="8449" width="9.33203125" style="2685"/>
    <col min="8450" max="8450" width="103" style="2685" customWidth="1"/>
    <col min="8451" max="8705" width="9.33203125" style="2685"/>
    <col min="8706" max="8706" width="103" style="2685" customWidth="1"/>
    <col min="8707" max="8961" width="9.33203125" style="2685"/>
    <col min="8962" max="8962" width="103" style="2685" customWidth="1"/>
    <col min="8963" max="9217" width="9.33203125" style="2685"/>
    <col min="9218" max="9218" width="103" style="2685" customWidth="1"/>
    <col min="9219" max="9473" width="9.33203125" style="2685"/>
    <col min="9474" max="9474" width="103" style="2685" customWidth="1"/>
    <col min="9475" max="9729" width="9.33203125" style="2685"/>
    <col min="9730" max="9730" width="103" style="2685" customWidth="1"/>
    <col min="9731" max="9985" width="9.33203125" style="2685"/>
    <col min="9986" max="9986" width="103" style="2685" customWidth="1"/>
    <col min="9987" max="10241" width="9.33203125" style="2685"/>
    <col min="10242" max="10242" width="103" style="2685" customWidth="1"/>
    <col min="10243" max="10497" width="9.33203125" style="2685"/>
    <col min="10498" max="10498" width="103" style="2685" customWidth="1"/>
    <col min="10499" max="10753" width="9.33203125" style="2685"/>
    <col min="10754" max="10754" width="103" style="2685" customWidth="1"/>
    <col min="10755" max="11009" width="9.33203125" style="2685"/>
    <col min="11010" max="11010" width="103" style="2685" customWidth="1"/>
    <col min="11011" max="11265" width="9.33203125" style="2685"/>
    <col min="11266" max="11266" width="103" style="2685" customWidth="1"/>
    <col min="11267" max="11521" width="9.33203125" style="2685"/>
    <col min="11522" max="11522" width="103" style="2685" customWidth="1"/>
    <col min="11523" max="11777" width="9.33203125" style="2685"/>
    <col min="11778" max="11778" width="103" style="2685" customWidth="1"/>
    <col min="11779" max="12033" width="9.33203125" style="2685"/>
    <col min="12034" max="12034" width="103" style="2685" customWidth="1"/>
    <col min="12035" max="12289" width="9.33203125" style="2685"/>
    <col min="12290" max="12290" width="103" style="2685" customWidth="1"/>
    <col min="12291" max="12545" width="9.33203125" style="2685"/>
    <col min="12546" max="12546" width="103" style="2685" customWidth="1"/>
    <col min="12547" max="12801" width="9.33203125" style="2685"/>
    <col min="12802" max="12802" width="103" style="2685" customWidth="1"/>
    <col min="12803" max="13057" width="9.33203125" style="2685"/>
    <col min="13058" max="13058" width="103" style="2685" customWidth="1"/>
    <col min="13059" max="13313" width="9.33203125" style="2685"/>
    <col min="13314" max="13314" width="103" style="2685" customWidth="1"/>
    <col min="13315" max="13569" width="9.33203125" style="2685"/>
    <col min="13570" max="13570" width="103" style="2685" customWidth="1"/>
    <col min="13571" max="13825" width="9.33203125" style="2685"/>
    <col min="13826" max="13826" width="103" style="2685" customWidth="1"/>
    <col min="13827" max="14081" width="9.33203125" style="2685"/>
    <col min="14082" max="14082" width="103" style="2685" customWidth="1"/>
    <col min="14083" max="14337" width="9.33203125" style="2685"/>
    <col min="14338" max="14338" width="103" style="2685" customWidth="1"/>
    <col min="14339" max="14593" width="9.33203125" style="2685"/>
    <col min="14594" max="14594" width="103" style="2685" customWidth="1"/>
    <col min="14595" max="14849" width="9.33203125" style="2685"/>
    <col min="14850" max="14850" width="103" style="2685" customWidth="1"/>
    <col min="14851" max="15105" width="9.33203125" style="2685"/>
    <col min="15106" max="15106" width="103" style="2685" customWidth="1"/>
    <col min="15107" max="15361" width="9.33203125" style="2685"/>
    <col min="15362" max="15362" width="103" style="2685" customWidth="1"/>
    <col min="15363" max="15617" width="9.33203125" style="2685"/>
    <col min="15618" max="15618" width="103" style="2685" customWidth="1"/>
    <col min="15619" max="15873" width="9.33203125" style="2685"/>
    <col min="15874" max="15874" width="103" style="2685" customWidth="1"/>
    <col min="15875" max="16129" width="9.33203125" style="2685"/>
    <col min="16130" max="16130" width="103" style="2685" customWidth="1"/>
    <col min="16131" max="16384" width="9.33203125" style="2685"/>
  </cols>
  <sheetData>
    <row r="1" spans="2:2" ht="32.25" customHeight="1" x14ac:dyDescent="0.2"/>
    <row r="2" spans="2:2" ht="72" x14ac:dyDescent="0.25">
      <c r="B2" s="3973" t="s">
        <v>3338</v>
      </c>
    </row>
    <row r="3" spans="2:2" ht="72" hidden="1" x14ac:dyDescent="0.25">
      <c r="B3" s="3973" t="s">
        <v>3339</v>
      </c>
    </row>
    <row r="4" spans="2:2" ht="18" x14ac:dyDescent="0.25">
      <c r="B4" s="3973"/>
    </row>
    <row r="5" spans="2:2" ht="54" x14ac:dyDescent="0.25">
      <c r="B5" s="3973" t="s">
        <v>3340</v>
      </c>
    </row>
    <row r="6" spans="2:2" ht="7.5" customHeight="1" x14ac:dyDescent="0.25">
      <c r="B6" s="3973"/>
    </row>
    <row r="7" spans="2:2" ht="18" x14ac:dyDescent="0.25">
      <c r="B7" s="3974" t="s">
        <v>3341</v>
      </c>
    </row>
    <row r="8" spans="2:2" ht="18" x14ac:dyDescent="0.25">
      <c r="B8" s="3974" t="s">
        <v>3343</v>
      </c>
    </row>
    <row r="9" spans="2:2" ht="18" x14ac:dyDescent="0.25">
      <c r="B9" s="3974" t="s">
        <v>3344</v>
      </c>
    </row>
    <row r="10" spans="2:2" ht="18" x14ac:dyDescent="0.25">
      <c r="B10" s="3975"/>
    </row>
    <row r="11" spans="2:2" ht="54" x14ac:dyDescent="0.25">
      <c r="B11" s="3976" t="s">
        <v>3342</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8688513"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58688514"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ER1057"/>
  <sheetViews>
    <sheetView showGridLines="0" zoomScale="85" zoomScaleNormal="85" workbookViewId="0">
      <pane xSplit="1" ySplit="5" topLeftCell="CJ6" activePane="bottomRight" state="frozen"/>
      <selection pane="topRight" activeCell="B1" sqref="B1"/>
      <selection pane="bottomLeft" activeCell="A6" sqref="A6"/>
      <selection pane="bottomRight" activeCell="CY37" sqref="CY37"/>
    </sheetView>
  </sheetViews>
  <sheetFormatPr defaultColWidth="9.1640625" defaultRowHeight="12.75" outlineLevelRow="1" outlineLevelCol="2" x14ac:dyDescent="0.2"/>
  <cols>
    <col min="1" max="1" width="55.83203125" style="855" customWidth="1"/>
    <col min="2" max="12" width="11.83203125" style="847" hidden="1" customWidth="1" outlineLevel="2"/>
    <col min="13" max="13" width="11.83203125" style="847" hidden="1" customWidth="1" outlineLevel="1" collapsed="1"/>
    <col min="14" max="17" width="11.83203125" style="847" hidden="1" customWidth="1" outlineLevel="2"/>
    <col min="18" max="18" width="11.83203125" style="847" hidden="1" customWidth="1" outlineLevel="1" collapsed="1"/>
    <col min="19" max="22" width="11.83203125" style="847" hidden="1" customWidth="1" outlineLevel="2"/>
    <col min="23" max="23" width="11.83203125" style="847" hidden="1" customWidth="1" outlineLevel="1" collapsed="1"/>
    <col min="24" max="27" width="11.83203125" style="847" hidden="1" customWidth="1" outlineLevel="2"/>
    <col min="28" max="28" width="11.83203125" style="847" hidden="1" customWidth="1" outlineLevel="1" collapsed="1"/>
    <col min="29" max="32" width="11.83203125" style="847" hidden="1" customWidth="1" outlineLevel="2"/>
    <col min="33" max="33" width="11.83203125" style="847" hidden="1" customWidth="1" outlineLevel="1" collapsed="1"/>
    <col min="34" max="37" width="11.83203125" style="847" hidden="1" customWidth="1" outlineLevel="2"/>
    <col min="38" max="38" width="11.83203125" style="847" hidden="1" customWidth="1" outlineLevel="1" collapsed="1"/>
    <col min="39" max="42" width="11.83203125" style="847" hidden="1" customWidth="1" outlineLevel="2"/>
    <col min="43" max="43" width="11.83203125" style="847" hidden="1" customWidth="1" outlineLevel="1" collapsed="1"/>
    <col min="44" max="47" width="11.83203125" style="847" hidden="1" customWidth="1" outlineLevel="2"/>
    <col min="48" max="48" width="11.83203125" style="847" hidden="1" customWidth="1" outlineLevel="1" collapsed="1"/>
    <col min="49" max="52" width="11.83203125" style="847" hidden="1" customWidth="1" outlineLevel="2"/>
    <col min="53" max="53" width="11.83203125" style="847" hidden="1" customWidth="1" outlineLevel="1"/>
    <col min="54" max="57" width="11.83203125" style="847" hidden="1" customWidth="1" outlineLevel="2"/>
    <col min="58" max="58" width="11.83203125" style="847" hidden="1" customWidth="1" outlineLevel="1"/>
    <col min="59" max="62" width="11.83203125" style="847" hidden="1" customWidth="1" outlineLevel="2"/>
    <col min="63" max="63" width="11.83203125" style="847" hidden="1" customWidth="1" outlineLevel="1" collapsed="1"/>
    <col min="64" max="67" width="11.83203125" style="847" hidden="1" customWidth="1" outlineLevel="2"/>
    <col min="68" max="68" width="11.83203125" style="847" hidden="1" customWidth="1" outlineLevel="1" collapsed="1"/>
    <col min="69" max="72" width="11.83203125" style="847" hidden="1" customWidth="1" outlineLevel="2"/>
    <col min="73" max="73" width="11.83203125" style="847" hidden="1" customWidth="1" outlineLevel="1" collapsed="1"/>
    <col min="74" max="77" width="11.83203125" style="847" hidden="1" customWidth="1" outlineLevel="2"/>
    <col min="78" max="78" width="11.83203125" style="847" hidden="1" customWidth="1" outlineLevel="1" collapsed="1"/>
    <col min="79" max="82" width="11.83203125" style="847" hidden="1" customWidth="1" outlineLevel="2"/>
    <col min="83" max="83" width="11.83203125" style="847" hidden="1" customWidth="1" outlineLevel="1"/>
    <col min="84" max="87" width="11.83203125" style="847" hidden="1" customWidth="1" outlineLevel="2"/>
    <col min="88" max="88" width="11.83203125" style="847" customWidth="1" collapsed="1"/>
    <col min="89" max="89" width="11.83203125" style="847" hidden="1" customWidth="1" outlineLevel="1"/>
    <col min="90" max="92" width="12.33203125" style="847" hidden="1" customWidth="1" outlineLevel="1"/>
    <col min="93" max="93" width="12.33203125" style="847" customWidth="1" collapsed="1"/>
    <col min="94" max="97" width="12.33203125" style="847" customWidth="1" outlineLevel="1"/>
    <col min="98" max="98" width="12.33203125" style="847" customWidth="1"/>
    <col min="99" max="102" width="12.33203125" style="847" customWidth="1" outlineLevel="1"/>
    <col min="103" max="105" width="12.33203125" style="847" customWidth="1"/>
    <col min="106" max="106" width="11.5" customWidth="1"/>
    <col min="107" max="107" width="11.83203125" hidden="1" customWidth="1"/>
    <col min="108" max="108" width="46.5" style="855" hidden="1" customWidth="1"/>
    <col min="109" max="129" width="11.83203125" style="847" hidden="1" customWidth="1"/>
    <col min="130" max="130" width="9.33203125" hidden="1" customWidth="1"/>
    <col min="131" max="131" width="74.83203125" hidden="1" customWidth="1" outlineLevel="1"/>
    <col min="132" max="136" width="16.83203125" hidden="1" customWidth="1" outlineLevel="1"/>
    <col min="137" max="138" width="12.1640625" style="855" hidden="1" customWidth="1"/>
    <col min="139" max="139" width="9.1640625" style="855" customWidth="1"/>
    <col min="140" max="140" width="15.5" bestFit="1" customWidth="1"/>
    <col min="141" max="142" width="15.5" style="1094" bestFit="1" customWidth="1"/>
    <col min="143" max="147" width="9.1640625" style="855" customWidth="1"/>
    <col min="148" max="148" width="9.1640625" style="234" customWidth="1"/>
    <col min="149" max="16384" width="9.1640625" style="855"/>
  </cols>
  <sheetData>
    <row r="1" spans="1:148" s="923" customFormat="1" x14ac:dyDescent="0.2">
      <c r="A1" s="3548" t="s">
        <v>2246</v>
      </c>
      <c r="B1" s="1832"/>
      <c r="C1" s="1832"/>
      <c r="D1" s="1832"/>
      <c r="E1" s="1832"/>
      <c r="F1" s="1832"/>
      <c r="G1" s="1832"/>
      <c r="H1" s="1832"/>
      <c r="I1" s="1832"/>
      <c r="J1" s="1832"/>
      <c r="K1" s="1832"/>
      <c r="L1" s="1832"/>
      <c r="M1" s="1832"/>
      <c r="N1" s="1832"/>
      <c r="O1" s="1832"/>
      <c r="P1" s="1832"/>
      <c r="Q1" s="1832"/>
      <c r="R1" s="1832"/>
      <c r="S1" s="1832"/>
      <c r="T1" s="1832"/>
      <c r="U1" s="1832"/>
      <c r="V1" s="1832"/>
      <c r="W1" s="1832"/>
      <c r="X1" s="1832"/>
      <c r="Y1" s="1832"/>
      <c r="Z1" s="1832"/>
      <c r="AA1" s="1832"/>
      <c r="AB1" s="1832"/>
      <c r="AC1" s="1832"/>
      <c r="AD1" s="1832"/>
      <c r="AE1" s="1832"/>
      <c r="AF1" s="1832"/>
      <c r="AG1" s="1832"/>
      <c r="AH1" s="1832"/>
      <c r="AI1" s="1832"/>
      <c r="AJ1" s="1832"/>
      <c r="AK1" s="1832"/>
      <c r="AL1" s="1832"/>
      <c r="AM1" s="1832"/>
      <c r="AN1" s="1832"/>
      <c r="AO1" s="1832"/>
      <c r="AP1" s="1832"/>
      <c r="AQ1" s="1832"/>
      <c r="AR1" s="1832"/>
      <c r="AS1" s="1832"/>
      <c r="AT1" s="1832"/>
      <c r="AU1" s="1832"/>
      <c r="AV1" s="1832"/>
      <c r="AW1" s="1832"/>
      <c r="AX1" s="1832"/>
      <c r="AY1" s="1832"/>
      <c r="AZ1" s="1832"/>
      <c r="BA1" s="1832"/>
      <c r="BB1" s="1832"/>
      <c r="BC1" s="1832"/>
      <c r="BD1" s="1832"/>
      <c r="BE1" s="1832"/>
      <c r="BF1" s="1832"/>
      <c r="BG1" s="1832"/>
      <c r="BH1" s="1832"/>
      <c r="BI1" s="1832"/>
      <c r="BJ1" s="1832"/>
      <c r="BK1" s="1832"/>
      <c r="BL1" s="1832"/>
      <c r="BM1" s="1832"/>
      <c r="BN1" s="1832"/>
      <c r="BO1" s="1832"/>
      <c r="BP1" s="1832"/>
      <c r="BQ1" s="1832"/>
      <c r="BR1" s="1832"/>
      <c r="BS1" s="1832"/>
      <c r="BT1" s="1832"/>
      <c r="BU1" s="1832"/>
      <c r="BV1" s="1832"/>
      <c r="BW1" s="1832"/>
      <c r="BX1" s="1832"/>
      <c r="BY1" s="1832"/>
      <c r="BZ1" s="1832"/>
      <c r="CA1" s="1832"/>
      <c r="CB1" s="1832"/>
      <c r="CC1" s="1832"/>
      <c r="CD1" s="1832"/>
      <c r="CE1" s="1832"/>
      <c r="CF1" s="1832"/>
      <c r="CG1" s="1832"/>
      <c r="CH1" s="1832"/>
      <c r="CI1" s="1832"/>
      <c r="CJ1" s="1832"/>
      <c r="CK1" s="1832"/>
      <c r="CL1" s="1832"/>
      <c r="CM1" s="1832"/>
      <c r="CN1" s="1832"/>
      <c r="CO1" s="1832"/>
      <c r="CP1" s="1832"/>
      <c r="CQ1" s="1832"/>
      <c r="CR1" s="1832"/>
      <c r="CS1" s="1832"/>
      <c r="CT1" s="1832"/>
      <c r="CU1" s="1832"/>
      <c r="CV1" s="1832"/>
      <c r="CW1" s="1832"/>
      <c r="CX1" s="1832"/>
      <c r="CY1" s="1832"/>
      <c r="CZ1" s="3549"/>
      <c r="DA1" s="1803"/>
      <c r="DB1"/>
      <c r="DC1"/>
      <c r="DD1" s="863" t="s">
        <v>2246</v>
      </c>
      <c r="DE1" s="215"/>
      <c r="DF1" s="215"/>
      <c r="DG1" s="215"/>
      <c r="DH1" s="215"/>
      <c r="DI1" s="215"/>
      <c r="DJ1" s="215"/>
      <c r="DK1" s="215"/>
      <c r="DL1" s="215"/>
      <c r="DM1" s="215"/>
      <c r="DN1" s="215"/>
      <c r="DO1" s="215"/>
      <c r="DP1" s="215"/>
      <c r="DQ1" s="215"/>
      <c r="DR1" s="215"/>
      <c r="DS1" s="215"/>
      <c r="DT1" s="215"/>
      <c r="DU1" s="215"/>
      <c r="DV1" s="215"/>
      <c r="DW1" s="215"/>
      <c r="DX1" s="215"/>
      <c r="DY1" s="215"/>
      <c r="EA1"/>
      <c r="EB1"/>
      <c r="EC1"/>
      <c r="ED1"/>
      <c r="EE1"/>
      <c r="EF1"/>
      <c r="EJ1"/>
      <c r="EK1"/>
      <c r="EL1"/>
    </row>
    <row r="2" spans="1:148" s="923" customFormat="1" x14ac:dyDescent="0.2">
      <c r="A2" s="3550" t="s">
        <v>1301</v>
      </c>
      <c r="B2" s="1315"/>
      <c r="C2" s="1315"/>
      <c r="D2" s="1315"/>
      <c r="E2" s="1315"/>
      <c r="F2" s="1315"/>
      <c r="G2" s="1315"/>
      <c r="H2" s="1315"/>
      <c r="I2" s="1315"/>
      <c r="J2" s="1315"/>
      <c r="K2" s="1315"/>
      <c r="L2" s="1315"/>
      <c r="M2" s="215"/>
      <c r="N2" s="1315"/>
      <c r="O2" s="1315"/>
      <c r="P2" s="1315"/>
      <c r="Q2" s="1315"/>
      <c r="R2" s="215"/>
      <c r="S2" s="1315"/>
      <c r="T2" s="1315"/>
      <c r="U2" s="1315"/>
      <c r="V2" s="1315"/>
      <c r="W2" s="215"/>
      <c r="X2" s="1315"/>
      <c r="Y2" s="1315"/>
      <c r="Z2" s="1315"/>
      <c r="AA2" s="1315"/>
      <c r="AB2" s="215"/>
      <c r="AC2" s="1315"/>
      <c r="AD2" s="1315"/>
      <c r="AE2" s="1315"/>
      <c r="AF2" s="1315"/>
      <c r="AG2" s="215"/>
      <c r="AH2" s="1315"/>
      <c r="AI2" s="1315"/>
      <c r="AJ2" s="1315"/>
      <c r="AK2" s="1315"/>
      <c r="AL2" s="215"/>
      <c r="AM2" s="1315"/>
      <c r="AN2" s="1315"/>
      <c r="AO2" s="1315"/>
      <c r="AP2" s="1315"/>
      <c r="AQ2" s="215"/>
      <c r="AR2" s="1315"/>
      <c r="AS2" s="1315"/>
      <c r="AT2" s="1315"/>
      <c r="AU2" s="1315"/>
      <c r="AV2" s="215"/>
      <c r="AW2" s="1315"/>
      <c r="AX2" s="1315"/>
      <c r="AY2" s="1315"/>
      <c r="AZ2" s="1315"/>
      <c r="BA2" s="215"/>
      <c r="BB2" s="1315"/>
      <c r="BC2" s="1315"/>
      <c r="BD2" s="1315"/>
      <c r="BE2" s="1315"/>
      <c r="BF2" s="215"/>
      <c r="BG2" s="1315"/>
      <c r="BH2" s="1315"/>
      <c r="BI2" s="1315"/>
      <c r="BJ2" s="1315"/>
      <c r="BK2" s="215"/>
      <c r="BL2" s="1315"/>
      <c r="BM2" s="1315"/>
      <c r="BN2" s="1315"/>
      <c r="BO2" s="1315"/>
      <c r="BP2" s="215"/>
      <c r="BQ2" s="1315"/>
      <c r="BR2" s="1315"/>
      <c r="BS2" s="1315"/>
      <c r="BT2" s="1315"/>
      <c r="BU2" s="215"/>
      <c r="BV2" s="1315"/>
      <c r="BW2" s="1315"/>
      <c r="BX2" s="1315"/>
      <c r="BY2" s="1315"/>
      <c r="BZ2" s="215"/>
      <c r="CA2" s="215"/>
      <c r="CB2" s="215"/>
      <c r="CC2" s="215"/>
      <c r="CD2" s="215"/>
      <c r="CE2" s="215"/>
      <c r="CF2" s="215"/>
      <c r="CG2" s="215"/>
      <c r="CH2" s="215"/>
      <c r="CI2" s="215"/>
      <c r="CJ2" s="215"/>
      <c r="CK2" s="215"/>
      <c r="CL2" s="215"/>
      <c r="CM2" s="215"/>
      <c r="CN2" s="3121" t="s">
        <v>2498</v>
      </c>
      <c r="CO2" s="3122"/>
      <c r="CP2" s="3122"/>
      <c r="CQ2" s="3122"/>
      <c r="CR2" s="3122"/>
      <c r="CS2" s="3122"/>
      <c r="CT2" s="3122"/>
      <c r="CU2" s="3122"/>
      <c r="CV2" s="3122"/>
      <c r="CW2" s="3122"/>
      <c r="CX2" s="3122"/>
      <c r="CY2" s="3123"/>
      <c r="CZ2" s="3124"/>
      <c r="DA2" s="3551"/>
      <c r="DB2"/>
      <c r="DC2"/>
      <c r="DD2" s="876" t="s">
        <v>1301</v>
      </c>
      <c r="DE2" s="215"/>
      <c r="DF2" s="215"/>
      <c r="DG2" s="215"/>
      <c r="DH2" s="215"/>
      <c r="DI2" s="215"/>
      <c r="DJ2" s="215"/>
      <c r="DK2" s="215"/>
      <c r="DL2" s="215"/>
      <c r="DM2" s="215"/>
      <c r="DN2" s="215"/>
      <c r="DO2" s="215"/>
      <c r="DP2" s="215"/>
      <c r="DQ2" s="215"/>
      <c r="DR2" s="215"/>
      <c r="DS2" s="215"/>
      <c r="DT2" s="215"/>
      <c r="DU2" s="215"/>
      <c r="DV2" s="215"/>
      <c r="DW2" s="215"/>
      <c r="DX2" s="215"/>
      <c r="DY2" s="215"/>
      <c r="EA2"/>
      <c r="EB2"/>
      <c r="EC2"/>
      <c r="ED2"/>
      <c r="EE2"/>
      <c r="EF2"/>
      <c r="EJ2"/>
      <c r="EK2"/>
      <c r="EL2"/>
    </row>
    <row r="3" spans="1:148" ht="12.75" hidden="1" customHeight="1" outlineLevel="1" x14ac:dyDescent="0.2">
      <c r="A3" s="1436" t="s">
        <v>1773</v>
      </c>
      <c r="B3" s="1854"/>
      <c r="C3" s="1854"/>
      <c r="D3" s="1854"/>
      <c r="E3" s="1854"/>
      <c r="F3" s="1854"/>
      <c r="G3" s="1854">
        <v>36160</v>
      </c>
      <c r="H3" s="1854">
        <v>36525</v>
      </c>
      <c r="I3" s="1854">
        <v>36609</v>
      </c>
      <c r="J3" s="1854">
        <v>36693</v>
      </c>
      <c r="K3" s="1854">
        <v>36777</v>
      </c>
      <c r="L3" s="1854">
        <v>36889</v>
      </c>
      <c r="M3" s="1853">
        <f>L3</f>
        <v>36889</v>
      </c>
      <c r="N3" s="1854">
        <v>36973</v>
      </c>
      <c r="O3" s="1854">
        <v>37057</v>
      </c>
      <c r="P3" s="1854">
        <v>37141</v>
      </c>
      <c r="Q3" s="1854">
        <v>37253</v>
      </c>
      <c r="R3" s="1853">
        <f>Q3</f>
        <v>37253</v>
      </c>
      <c r="S3" s="1854">
        <v>37337</v>
      </c>
      <c r="T3" s="1854">
        <f>S3+84</f>
        <v>37421</v>
      </c>
      <c r="U3" s="1854">
        <f>T3+84</f>
        <v>37505</v>
      </c>
      <c r="V3" s="1854">
        <v>37624</v>
      </c>
      <c r="W3" s="1853">
        <f>V3</f>
        <v>37624</v>
      </c>
      <c r="X3" s="1854">
        <f>W3+84</f>
        <v>37708</v>
      </c>
      <c r="Y3" s="1854">
        <f>X3+84</f>
        <v>37792</v>
      </c>
      <c r="Z3" s="1854">
        <f>Y3+84</f>
        <v>37876</v>
      </c>
      <c r="AA3" s="1854">
        <v>37988</v>
      </c>
      <c r="AB3" s="1853">
        <f>AA3</f>
        <v>37988</v>
      </c>
      <c r="AC3" s="1854">
        <v>38072</v>
      </c>
      <c r="AD3" s="1854">
        <f>AC3+84</f>
        <v>38156</v>
      </c>
      <c r="AE3" s="1854">
        <f>AD3+84</f>
        <v>38240</v>
      </c>
      <c r="AF3" s="1854">
        <v>38352</v>
      </c>
      <c r="AG3" s="1853">
        <f>AF3</f>
        <v>38352</v>
      </c>
      <c r="AH3" s="1854">
        <f>AG3+84</f>
        <v>38436</v>
      </c>
      <c r="AI3" s="1854">
        <f>AH3+84</f>
        <v>38520</v>
      </c>
      <c r="AJ3" s="1854">
        <f>AI3+84</f>
        <v>38604</v>
      </c>
      <c r="AK3" s="1854">
        <v>38716</v>
      </c>
      <c r="AL3" s="1853">
        <f>AK3</f>
        <v>38716</v>
      </c>
      <c r="AM3" s="1854">
        <f>AL3+84</f>
        <v>38800</v>
      </c>
      <c r="AN3" s="1854">
        <f>AM3+84</f>
        <v>38884</v>
      </c>
      <c r="AO3" s="1854">
        <f>AN3+84</f>
        <v>38968</v>
      </c>
      <c r="AP3" s="1854">
        <v>39081</v>
      </c>
      <c r="AQ3" s="1853">
        <f>AP3</f>
        <v>39081</v>
      </c>
      <c r="AR3" s="1854">
        <f>+AQ3+84</f>
        <v>39165</v>
      </c>
      <c r="AS3" s="1854">
        <f>+AR3+84</f>
        <v>39249</v>
      </c>
      <c r="AT3" s="1854">
        <f>+AS3+84</f>
        <v>39333</v>
      </c>
      <c r="AU3" s="1854">
        <v>39446</v>
      </c>
      <c r="AV3" s="1853">
        <f>AU3</f>
        <v>39446</v>
      </c>
      <c r="AW3" s="1854">
        <f>+AR3+365</f>
        <v>39530</v>
      </c>
      <c r="AX3" s="1854">
        <f>+AS3+365</f>
        <v>39614</v>
      </c>
      <c r="AY3" s="1854">
        <f>+AT3+365</f>
        <v>39698</v>
      </c>
      <c r="AZ3" s="1854">
        <f>+AU3+369</f>
        <v>39815</v>
      </c>
      <c r="BA3" s="1853">
        <f>AZ3</f>
        <v>39815</v>
      </c>
      <c r="BB3" s="1854">
        <f>AZ3+84</f>
        <v>39899</v>
      </c>
      <c r="BC3" s="1854">
        <f>BB3+84</f>
        <v>39983</v>
      </c>
      <c r="BD3" s="1854">
        <f>BC3+84</f>
        <v>40067</v>
      </c>
      <c r="BE3" s="1854">
        <f>BD3+112</f>
        <v>40179</v>
      </c>
      <c r="BF3" s="1853">
        <f>BE3</f>
        <v>40179</v>
      </c>
      <c r="BG3" s="1854">
        <f>BF3+84</f>
        <v>40263</v>
      </c>
      <c r="BH3" s="1854">
        <f>BG3+84</f>
        <v>40347</v>
      </c>
      <c r="BI3" s="1854">
        <f>BH3+84</f>
        <v>40431</v>
      </c>
      <c r="BJ3" s="1854">
        <f>BI3+112</f>
        <v>40543</v>
      </c>
      <c r="BK3" s="1853">
        <f>BJ3</f>
        <v>40543</v>
      </c>
      <c r="BL3" s="1854">
        <f>BK3+84</f>
        <v>40627</v>
      </c>
      <c r="BM3" s="1854">
        <f>BL3+84</f>
        <v>40711</v>
      </c>
      <c r="BN3" s="1854">
        <f>BM3+84</f>
        <v>40795</v>
      </c>
      <c r="BO3" s="1854">
        <f>BN3+112</f>
        <v>40907</v>
      </c>
      <c r="BP3" s="1853">
        <f>BO3</f>
        <v>40907</v>
      </c>
      <c r="BQ3" s="1854">
        <f>BP3+84</f>
        <v>40991</v>
      </c>
      <c r="BR3" s="1854">
        <f>BQ3+84</f>
        <v>41075</v>
      </c>
      <c r="BS3" s="1854">
        <f>BR3+84</f>
        <v>41159</v>
      </c>
      <c r="BT3" s="1854">
        <f>BS3+112</f>
        <v>41271</v>
      </c>
      <c r="BU3" s="1853">
        <f>BT3</f>
        <v>41271</v>
      </c>
      <c r="BV3" s="1854">
        <v>41364</v>
      </c>
      <c r="BW3" s="1854">
        <v>41455</v>
      </c>
      <c r="BX3" s="1854">
        <v>41547</v>
      </c>
      <c r="BY3" s="1854">
        <v>41639</v>
      </c>
      <c r="BZ3" s="1853">
        <f>BY3</f>
        <v>41639</v>
      </c>
      <c r="CA3" s="1854">
        <v>41729</v>
      </c>
      <c r="CB3" s="1854">
        <v>41820</v>
      </c>
      <c r="CC3" s="1854">
        <v>41912</v>
      </c>
      <c r="CD3" s="1854">
        <v>42004</v>
      </c>
      <c r="CE3" s="1853">
        <f>CD3</f>
        <v>42004</v>
      </c>
      <c r="CF3" s="1854">
        <v>42094</v>
      </c>
      <c r="CG3" s="1854">
        <v>42185</v>
      </c>
      <c r="CH3" s="1854">
        <v>42277</v>
      </c>
      <c r="CI3" s="1854">
        <v>42369</v>
      </c>
      <c r="CJ3" s="1853">
        <v>42369</v>
      </c>
      <c r="CK3" s="1854">
        <v>42460</v>
      </c>
      <c r="CL3" s="1854">
        <v>42551</v>
      </c>
      <c r="CM3" s="1854">
        <v>42643</v>
      </c>
      <c r="CN3" s="1854">
        <v>42735</v>
      </c>
      <c r="CO3" s="1853">
        <v>42735</v>
      </c>
      <c r="CP3" s="1854">
        <v>42825</v>
      </c>
      <c r="CQ3" s="1854">
        <v>42916</v>
      </c>
      <c r="CR3" s="1854">
        <v>43008</v>
      </c>
      <c r="CS3" s="1854">
        <v>43100</v>
      </c>
      <c r="CT3" s="1853">
        <v>43100</v>
      </c>
      <c r="CU3" s="1854">
        <v>43190</v>
      </c>
      <c r="CV3" s="1854">
        <v>43281</v>
      </c>
      <c r="CW3" s="1854">
        <v>43373</v>
      </c>
      <c r="CX3" s="1854">
        <v>43465</v>
      </c>
      <c r="CY3" s="1855">
        <v>43465</v>
      </c>
      <c r="CZ3" s="1855">
        <v>43830</v>
      </c>
      <c r="DA3" s="1855">
        <v>44196</v>
      </c>
      <c r="DD3" s="895" t="s">
        <v>1248</v>
      </c>
      <c r="DE3" s="1854">
        <f>M3</f>
        <v>36889</v>
      </c>
      <c r="DF3" s="1854">
        <f>R3</f>
        <v>37253</v>
      </c>
      <c r="DG3" s="1854">
        <f>W3</f>
        <v>37624</v>
      </c>
      <c r="DH3" s="1854">
        <f>AB3</f>
        <v>37988</v>
      </c>
      <c r="DI3" s="1854">
        <f>AG3</f>
        <v>38352</v>
      </c>
      <c r="DJ3" s="1854">
        <f>AL3</f>
        <v>38716</v>
      </c>
      <c r="DK3" s="1854">
        <f>AQ3</f>
        <v>39081</v>
      </c>
      <c r="DL3" s="1854">
        <f>AV3</f>
        <v>39446</v>
      </c>
      <c r="DM3" s="1854">
        <f>BA3</f>
        <v>39815</v>
      </c>
      <c r="DN3" s="1854">
        <f>BF3</f>
        <v>40179</v>
      </c>
      <c r="DO3" s="1854">
        <f>BK3</f>
        <v>40543</v>
      </c>
      <c r="DP3" s="1854">
        <f>BP3</f>
        <v>40907</v>
      </c>
      <c r="DQ3" s="1854">
        <f>BU3</f>
        <v>41271</v>
      </c>
      <c r="DR3" s="1854">
        <f>BZ3</f>
        <v>41639</v>
      </c>
      <c r="DS3" s="1854">
        <f>CE3</f>
        <v>42004</v>
      </c>
      <c r="DT3" s="1854">
        <f>CJ3</f>
        <v>42369</v>
      </c>
      <c r="DU3" s="1854">
        <f>CO3</f>
        <v>42735</v>
      </c>
      <c r="DV3" s="1854">
        <f>CT3</f>
        <v>43100</v>
      </c>
      <c r="DW3" s="1854">
        <f t="shared" ref="DW3:DY5" si="0">CY3</f>
        <v>43465</v>
      </c>
      <c r="DX3" s="1854">
        <f t="shared" si="0"/>
        <v>43830</v>
      </c>
      <c r="DY3" s="1854">
        <f t="shared" si="0"/>
        <v>44196</v>
      </c>
      <c r="DZ3" s="855"/>
      <c r="ER3" s="855"/>
    </row>
    <row r="4" spans="1:148" s="923" customFormat="1" ht="12.75" hidden="1" customHeight="1" outlineLevel="1" x14ac:dyDescent="0.2">
      <c r="A4" s="504" t="s">
        <v>83</v>
      </c>
      <c r="B4" s="226"/>
      <c r="C4" s="226"/>
      <c r="D4" s="226"/>
      <c r="E4" s="226"/>
      <c r="F4" s="226"/>
      <c r="G4" s="226"/>
      <c r="H4" s="226"/>
      <c r="I4" s="226">
        <f>I$3-H$3</f>
        <v>84</v>
      </c>
      <c r="J4" s="226">
        <f>J$3-I$3</f>
        <v>84</v>
      </c>
      <c r="K4" s="226">
        <f>K$3-J$3</f>
        <v>84</v>
      </c>
      <c r="L4" s="226">
        <f>L$3-K$3</f>
        <v>112</v>
      </c>
      <c r="M4" s="969">
        <f>SUM(I4:L4)</f>
        <v>364</v>
      </c>
      <c r="N4" s="226">
        <f>N$3-M$3</f>
        <v>84</v>
      </c>
      <c r="O4" s="226">
        <f>O$3-N$3</f>
        <v>84</v>
      </c>
      <c r="P4" s="226">
        <f>P$3-O$3</f>
        <v>84</v>
      </c>
      <c r="Q4" s="226">
        <f>Q$3-P$3</f>
        <v>112</v>
      </c>
      <c r="R4" s="969">
        <f>SUM(N4:Q4)</f>
        <v>364</v>
      </c>
      <c r="S4" s="226">
        <f>S$3-R$3</f>
        <v>84</v>
      </c>
      <c r="T4" s="226">
        <f>T$3-S$3</f>
        <v>84</v>
      </c>
      <c r="U4" s="226">
        <f>U$3-T$3</f>
        <v>84</v>
      </c>
      <c r="V4" s="226">
        <f>V$3-U$3</f>
        <v>119</v>
      </c>
      <c r="W4" s="969">
        <f>SUM(S4:V4)</f>
        <v>371</v>
      </c>
      <c r="X4" s="226">
        <f>X$3-W$3</f>
        <v>84</v>
      </c>
      <c r="Y4" s="226">
        <f>Y$3-X$3</f>
        <v>84</v>
      </c>
      <c r="Z4" s="226">
        <f>Z$3-Y$3</f>
        <v>84</v>
      </c>
      <c r="AA4" s="226">
        <f>AA$3-Z$3</f>
        <v>112</v>
      </c>
      <c r="AB4" s="969">
        <f>SUM(X4:AA4)</f>
        <v>364</v>
      </c>
      <c r="AC4" s="226">
        <f>AC$3-AB$3</f>
        <v>84</v>
      </c>
      <c r="AD4" s="226">
        <f>AD$3-AC$3</f>
        <v>84</v>
      </c>
      <c r="AE4" s="226">
        <f>AE$3-AD$3</f>
        <v>84</v>
      </c>
      <c r="AF4" s="226">
        <f>AF$3-AE$3</f>
        <v>112</v>
      </c>
      <c r="AG4" s="969">
        <f>SUM(AC4:AF4)</f>
        <v>364</v>
      </c>
      <c r="AH4" s="226">
        <f>AH$3-AG$3</f>
        <v>84</v>
      </c>
      <c r="AI4" s="226">
        <f>AI$3-AH$3</f>
        <v>84</v>
      </c>
      <c r="AJ4" s="226">
        <f>AJ$3-AI$3</f>
        <v>84</v>
      </c>
      <c r="AK4" s="226">
        <f>AK$3-AJ$3</f>
        <v>112</v>
      </c>
      <c r="AL4" s="969">
        <f>SUM(AH4:AK4)</f>
        <v>364</v>
      </c>
      <c r="AM4" s="226">
        <f>AM$3-AL$3</f>
        <v>84</v>
      </c>
      <c r="AN4" s="226">
        <f>AN$3-AM$3</f>
        <v>84</v>
      </c>
      <c r="AO4" s="226">
        <f>AO$3-AN$3</f>
        <v>84</v>
      </c>
      <c r="AP4" s="226">
        <f>AP$3-AO$3</f>
        <v>113</v>
      </c>
      <c r="AQ4" s="969">
        <f>SUM(AM4:AP4)</f>
        <v>365</v>
      </c>
      <c r="AR4" s="226">
        <f>AR$3-AQ$3</f>
        <v>84</v>
      </c>
      <c r="AS4" s="226">
        <f>AS$3-AR$3</f>
        <v>84</v>
      </c>
      <c r="AT4" s="226">
        <f>AT$3-AS$3</f>
        <v>84</v>
      </c>
      <c r="AU4" s="226">
        <f>AU$3-AT$3</f>
        <v>113</v>
      </c>
      <c r="AV4" s="969">
        <f>SUM(AR4:AU4)</f>
        <v>365</v>
      </c>
      <c r="AW4" s="226">
        <f>AW$3-AV$3</f>
        <v>84</v>
      </c>
      <c r="AX4" s="226">
        <f>AX$3-AW$3</f>
        <v>84</v>
      </c>
      <c r="AY4" s="226">
        <f>AY$3-AX$3</f>
        <v>84</v>
      </c>
      <c r="AZ4" s="226">
        <f>AZ$3-AY$3</f>
        <v>117</v>
      </c>
      <c r="BA4" s="969">
        <f>SUM(AW4:AZ4)</f>
        <v>369</v>
      </c>
      <c r="BB4" s="226">
        <f>BB$3-BA$3</f>
        <v>84</v>
      </c>
      <c r="BC4" s="226">
        <f>BC$3-BB$3</f>
        <v>84</v>
      </c>
      <c r="BD4" s="226">
        <f>BD$3-BC$3</f>
        <v>84</v>
      </c>
      <c r="BE4" s="226">
        <f>BE$3-BD$3</f>
        <v>112</v>
      </c>
      <c r="BF4" s="969">
        <f>SUM(BB4:BE4)</f>
        <v>364</v>
      </c>
      <c r="BG4" s="226">
        <f>BG$3-BF$3</f>
        <v>84</v>
      </c>
      <c r="BH4" s="226">
        <f>BH$3-BG$3</f>
        <v>84</v>
      </c>
      <c r="BI4" s="226">
        <f>BI$3-BH$3</f>
        <v>84</v>
      </c>
      <c r="BJ4" s="226">
        <f>BJ$3-BI$3</f>
        <v>112</v>
      </c>
      <c r="BK4" s="969">
        <f>SUM(BG4:BJ4)</f>
        <v>364</v>
      </c>
      <c r="BL4" s="226">
        <f>BL$3-BK$3</f>
        <v>84</v>
      </c>
      <c r="BM4" s="226">
        <f>BM$3-BL$3</f>
        <v>84</v>
      </c>
      <c r="BN4" s="226">
        <f>BN$3-BM$3</f>
        <v>84</v>
      </c>
      <c r="BO4" s="226">
        <f>BO$3-BN$3</f>
        <v>112</v>
      </c>
      <c r="BP4" s="969">
        <f>SUM(BL4:BO4)</f>
        <v>364</v>
      </c>
      <c r="BQ4" s="226">
        <f>BQ$3-BP$3</f>
        <v>84</v>
      </c>
      <c r="BR4" s="226">
        <f>BR$3-BQ$3</f>
        <v>84</v>
      </c>
      <c r="BS4" s="226">
        <f>BS$3-BR$3</f>
        <v>84</v>
      </c>
      <c r="BT4" s="226">
        <f>BT$3-BS$3</f>
        <v>112</v>
      </c>
      <c r="BU4" s="969">
        <v>365</v>
      </c>
      <c r="BV4" s="226">
        <f>BV$3-BU$3</f>
        <v>93</v>
      </c>
      <c r="BW4" s="226">
        <f>BW$3-BV$3</f>
        <v>91</v>
      </c>
      <c r="BX4" s="226">
        <f>BX$3-BW$3</f>
        <v>92</v>
      </c>
      <c r="BY4" s="226">
        <f>BY$3-BX$3</f>
        <v>92</v>
      </c>
      <c r="BZ4" s="969">
        <f>BZ$3-BU$3</f>
        <v>368</v>
      </c>
      <c r="CA4" s="1770">
        <f>CA$3-BZ$3</f>
        <v>90</v>
      </c>
      <c r="CB4" s="226">
        <f>CB$3-CA$3</f>
        <v>91</v>
      </c>
      <c r="CC4" s="226">
        <f>CC$3-CB$3</f>
        <v>92</v>
      </c>
      <c r="CD4" s="1796">
        <f>CD$3-CC$3</f>
        <v>92</v>
      </c>
      <c r="CE4" s="969">
        <f>CE$3-BZ$3</f>
        <v>365</v>
      </c>
      <c r="CF4" s="1770">
        <f>CF$3-CE$3</f>
        <v>90</v>
      </c>
      <c r="CG4" s="226">
        <f>CG$3-CF$3</f>
        <v>91</v>
      </c>
      <c r="CH4" s="226">
        <f>CH$3-CG$3</f>
        <v>92</v>
      </c>
      <c r="CI4" s="1796">
        <f>CI$3-CH$3</f>
        <v>92</v>
      </c>
      <c r="CJ4" s="969">
        <f>CJ$3-CE$3</f>
        <v>365</v>
      </c>
      <c r="CK4" s="226">
        <f>CK$3-CJ$3</f>
        <v>91</v>
      </c>
      <c r="CL4" s="226">
        <f>CL$3-CK$3</f>
        <v>91</v>
      </c>
      <c r="CM4" s="226">
        <f>CM$3-CL$3</f>
        <v>92</v>
      </c>
      <c r="CN4" s="226">
        <f>CN$3-CM$3</f>
        <v>92</v>
      </c>
      <c r="CO4" s="969">
        <f>CO$3-CJ$3</f>
        <v>366</v>
      </c>
      <c r="CP4" s="226">
        <f>CP$3-CN$3</f>
        <v>90</v>
      </c>
      <c r="CQ4" s="226">
        <f>CQ$3-CP$3</f>
        <v>91</v>
      </c>
      <c r="CR4" s="226">
        <f>CR$3-CQ$3</f>
        <v>92</v>
      </c>
      <c r="CS4" s="226">
        <f>CS$3-CR$3</f>
        <v>92</v>
      </c>
      <c r="CT4" s="969">
        <f>CT$3-CO$3</f>
        <v>365</v>
      </c>
      <c r="CU4" s="226">
        <f>CU$3-CS$3</f>
        <v>90</v>
      </c>
      <c r="CV4" s="226">
        <f>CV$3-CU$3</f>
        <v>91</v>
      </c>
      <c r="CW4" s="226">
        <f>CW$3-CV$3</f>
        <v>92</v>
      </c>
      <c r="CX4" s="226">
        <f>CX$3-CW$3</f>
        <v>92</v>
      </c>
      <c r="CY4" s="969">
        <f>CY$3-CT$3</f>
        <v>365</v>
      </c>
      <c r="CZ4" s="969">
        <f>CZ$3-CY$3</f>
        <v>365</v>
      </c>
      <c r="DA4" s="969">
        <f>DA$3-CZ$3</f>
        <v>366</v>
      </c>
      <c r="DB4"/>
      <c r="DC4"/>
      <c r="DD4" s="2385" t="s">
        <v>1247</v>
      </c>
      <c r="DE4" s="2386">
        <f>M4</f>
        <v>364</v>
      </c>
      <c r="DF4" s="2386">
        <f>R4</f>
        <v>364</v>
      </c>
      <c r="DG4" s="2386">
        <f>W4</f>
        <v>371</v>
      </c>
      <c r="DH4" s="2386">
        <f>AB4</f>
        <v>364</v>
      </c>
      <c r="DI4" s="2386">
        <f>AG4</f>
        <v>364</v>
      </c>
      <c r="DJ4" s="2386">
        <f>AL4</f>
        <v>364</v>
      </c>
      <c r="DK4" s="2386">
        <f>AQ4</f>
        <v>365</v>
      </c>
      <c r="DL4" s="2386">
        <f>AV4</f>
        <v>365</v>
      </c>
      <c r="DM4" s="2386">
        <f>BA4</f>
        <v>369</v>
      </c>
      <c r="DN4" s="2386">
        <f>BF4</f>
        <v>364</v>
      </c>
      <c r="DO4" s="2386">
        <f>BK4</f>
        <v>364</v>
      </c>
      <c r="DP4" s="2386">
        <f>BP4</f>
        <v>364</v>
      </c>
      <c r="DQ4" s="2386">
        <f>BU4</f>
        <v>365</v>
      </c>
      <c r="DR4" s="2386">
        <f>BZ4</f>
        <v>368</v>
      </c>
      <c r="DS4" s="2386">
        <f>CE4</f>
        <v>365</v>
      </c>
      <c r="DT4" s="2386">
        <f>CJ4</f>
        <v>365</v>
      </c>
      <c r="DU4" s="2386">
        <f>CO4</f>
        <v>366</v>
      </c>
      <c r="DV4" s="2386">
        <f>CT4</f>
        <v>365</v>
      </c>
      <c r="DW4" s="2386">
        <f t="shared" si="0"/>
        <v>365</v>
      </c>
      <c r="DX4" s="2386">
        <f t="shared" si="0"/>
        <v>365</v>
      </c>
      <c r="DY4" s="2386">
        <f t="shared" si="0"/>
        <v>366</v>
      </c>
      <c r="EA4"/>
      <c r="EB4"/>
      <c r="EC4"/>
      <c r="ED4"/>
      <c r="EE4"/>
      <c r="EF4"/>
      <c r="EJ4"/>
      <c r="EK4"/>
      <c r="EL4"/>
    </row>
    <row r="5" spans="1:148" s="923" customFormat="1" collapsed="1" x14ac:dyDescent="0.2">
      <c r="A5" s="873" t="s">
        <v>1381</v>
      </c>
      <c r="B5" s="2050"/>
      <c r="C5" s="2050"/>
      <c r="D5" s="2050"/>
      <c r="E5" s="2050"/>
      <c r="F5" s="2050"/>
      <c r="G5" s="2050"/>
      <c r="H5" s="2050"/>
      <c r="I5" s="2050" t="s">
        <v>499</v>
      </c>
      <c r="J5" s="2050" t="s">
        <v>500</v>
      </c>
      <c r="K5" s="2050" t="s">
        <v>501</v>
      </c>
      <c r="L5" s="2050" t="s">
        <v>502</v>
      </c>
      <c r="M5" s="649">
        <v>2000</v>
      </c>
      <c r="N5" s="2050" t="s">
        <v>503</v>
      </c>
      <c r="O5" s="2050" t="s">
        <v>504</v>
      </c>
      <c r="P5" s="2050" t="s">
        <v>505</v>
      </c>
      <c r="Q5" s="2050" t="s">
        <v>1951</v>
      </c>
      <c r="R5" s="649">
        <v>2001</v>
      </c>
      <c r="S5" s="2050" t="s">
        <v>1952</v>
      </c>
      <c r="T5" s="2050" t="s">
        <v>1953</v>
      </c>
      <c r="U5" s="2050" t="s">
        <v>1954</v>
      </c>
      <c r="V5" s="2050" t="s">
        <v>1955</v>
      </c>
      <c r="W5" s="649">
        <v>2002</v>
      </c>
      <c r="X5" s="2050" t="s">
        <v>1956</v>
      </c>
      <c r="Y5" s="2050" t="s">
        <v>1957</v>
      </c>
      <c r="Z5" s="2050" t="s">
        <v>1958</v>
      </c>
      <c r="AA5" s="2050" t="s">
        <v>1959</v>
      </c>
      <c r="AB5" s="649">
        <v>2003</v>
      </c>
      <c r="AC5" s="2050" t="s">
        <v>1960</v>
      </c>
      <c r="AD5" s="2050" t="s">
        <v>1961</v>
      </c>
      <c r="AE5" s="2050" t="s">
        <v>1962</v>
      </c>
      <c r="AF5" s="2050" t="s">
        <v>1963</v>
      </c>
      <c r="AG5" s="649" t="s">
        <v>1964</v>
      </c>
      <c r="AH5" s="2050" t="s">
        <v>1965</v>
      </c>
      <c r="AI5" s="2050" t="s">
        <v>1966</v>
      </c>
      <c r="AJ5" s="2050" t="s">
        <v>1967</v>
      </c>
      <c r="AK5" s="2050" t="s">
        <v>1968</v>
      </c>
      <c r="AL5" s="649" t="s">
        <v>1969</v>
      </c>
      <c r="AM5" s="2050" t="s">
        <v>1970</v>
      </c>
      <c r="AN5" s="2050" t="s">
        <v>1971</v>
      </c>
      <c r="AO5" s="2050" t="s">
        <v>1972</v>
      </c>
      <c r="AP5" s="2050" t="s">
        <v>831</v>
      </c>
      <c r="AQ5" s="649" t="s">
        <v>832</v>
      </c>
      <c r="AR5" s="2050" t="s">
        <v>833</v>
      </c>
      <c r="AS5" s="2050" t="s">
        <v>834</v>
      </c>
      <c r="AT5" s="2050" t="s">
        <v>835</v>
      </c>
      <c r="AU5" s="2050" t="s">
        <v>836</v>
      </c>
      <c r="AV5" s="649" t="s">
        <v>837</v>
      </c>
      <c r="AW5" s="2050" t="s">
        <v>838</v>
      </c>
      <c r="AX5" s="2050" t="s">
        <v>839</v>
      </c>
      <c r="AY5" s="2050" t="s">
        <v>840</v>
      </c>
      <c r="AZ5" s="2050" t="s">
        <v>841</v>
      </c>
      <c r="BA5" s="649" t="s">
        <v>842</v>
      </c>
      <c r="BB5" s="2050" t="s">
        <v>843</v>
      </c>
      <c r="BC5" s="2050" t="s">
        <v>844</v>
      </c>
      <c r="BD5" s="2050" t="s">
        <v>845</v>
      </c>
      <c r="BE5" s="2050" t="s">
        <v>846</v>
      </c>
      <c r="BF5" s="649" t="s">
        <v>847</v>
      </c>
      <c r="BG5" s="2050" t="s">
        <v>848</v>
      </c>
      <c r="BH5" s="2050" t="s">
        <v>849</v>
      </c>
      <c r="BI5" s="2050" t="s">
        <v>850</v>
      </c>
      <c r="BJ5" s="2050" t="s">
        <v>851</v>
      </c>
      <c r="BK5" s="649" t="s">
        <v>852</v>
      </c>
      <c r="BL5" s="2050" t="s">
        <v>644</v>
      </c>
      <c r="BM5" s="2050" t="s">
        <v>1542</v>
      </c>
      <c r="BN5" s="2050" t="s">
        <v>1543</v>
      </c>
      <c r="BO5" s="2050" t="s">
        <v>1544</v>
      </c>
      <c r="BP5" s="649">
        <v>2011</v>
      </c>
      <c r="BQ5" s="2050" t="s">
        <v>287</v>
      </c>
      <c r="BR5" s="2050" t="s">
        <v>288</v>
      </c>
      <c r="BS5" s="2050" t="s">
        <v>289</v>
      </c>
      <c r="BT5" s="2050" t="s">
        <v>290</v>
      </c>
      <c r="BU5" s="649">
        <v>2012</v>
      </c>
      <c r="BV5" s="2050" t="s">
        <v>142</v>
      </c>
      <c r="BW5" s="2050" t="s">
        <v>1724</v>
      </c>
      <c r="BX5" s="2050" t="s">
        <v>1725</v>
      </c>
      <c r="BY5" s="2050" t="s">
        <v>46</v>
      </c>
      <c r="BZ5" s="649">
        <v>2013</v>
      </c>
      <c r="CA5" s="2428" t="s">
        <v>392</v>
      </c>
      <c r="CB5" s="2428" t="s">
        <v>2123</v>
      </c>
      <c r="CC5" s="2428" t="s">
        <v>607</v>
      </c>
      <c r="CD5" s="2050" t="s">
        <v>2299</v>
      </c>
      <c r="CE5" s="649">
        <v>2014</v>
      </c>
      <c r="CF5" s="2428" t="s">
        <v>2302</v>
      </c>
      <c r="CG5" s="2428" t="s">
        <v>2308</v>
      </c>
      <c r="CH5" s="2428" t="s">
        <v>2328</v>
      </c>
      <c r="CI5" s="2428" t="s">
        <v>2404</v>
      </c>
      <c r="CJ5" s="649">
        <v>2015</v>
      </c>
      <c r="CK5" s="2428" t="s">
        <v>2428</v>
      </c>
      <c r="CL5" s="2428" t="s">
        <v>2451</v>
      </c>
      <c r="CM5" s="3375" t="s">
        <v>2518</v>
      </c>
      <c r="CN5" s="3375" t="s">
        <v>2697</v>
      </c>
      <c r="CO5" s="3427">
        <v>2016</v>
      </c>
      <c r="CP5" s="3375" t="s">
        <v>2800</v>
      </c>
      <c r="CQ5" s="2050" t="s">
        <v>2895</v>
      </c>
      <c r="CR5" s="2050" t="s">
        <v>2896</v>
      </c>
      <c r="CS5" s="963" t="s">
        <v>2945</v>
      </c>
      <c r="CT5" s="649" t="s">
        <v>2946</v>
      </c>
      <c r="CU5" s="963" t="s">
        <v>2889</v>
      </c>
      <c r="CV5" s="963" t="s">
        <v>2890</v>
      </c>
      <c r="CW5" s="963" t="s">
        <v>2891</v>
      </c>
      <c r="CX5" s="963" t="s">
        <v>2892</v>
      </c>
      <c r="CY5" s="649" t="s">
        <v>723</v>
      </c>
      <c r="CZ5" s="964" t="s">
        <v>724</v>
      </c>
      <c r="DA5" s="649" t="s">
        <v>725</v>
      </c>
      <c r="DB5"/>
      <c r="DC5"/>
      <c r="DD5" s="873" t="s">
        <v>1381</v>
      </c>
      <c r="DE5" s="649">
        <f>M5</f>
        <v>2000</v>
      </c>
      <c r="DF5" s="649">
        <f>R5</f>
        <v>2001</v>
      </c>
      <c r="DG5" s="649">
        <f>W5</f>
        <v>2002</v>
      </c>
      <c r="DH5" s="649">
        <f>AB5</f>
        <v>2003</v>
      </c>
      <c r="DI5" s="649" t="str">
        <f>AG5</f>
        <v>2004</v>
      </c>
      <c r="DJ5" s="649" t="str">
        <f>AL5</f>
        <v>2005</v>
      </c>
      <c r="DK5" s="649" t="str">
        <f>AQ5</f>
        <v>2006</v>
      </c>
      <c r="DL5" s="649" t="str">
        <f>AV5</f>
        <v>2007</v>
      </c>
      <c r="DM5" s="649" t="str">
        <f>BA5</f>
        <v>2008</v>
      </c>
      <c r="DN5" s="649" t="str">
        <f>BF5</f>
        <v>2009</v>
      </c>
      <c r="DO5" s="649" t="str">
        <f>BK5</f>
        <v>2010</v>
      </c>
      <c r="DP5" s="649">
        <f>BP5</f>
        <v>2011</v>
      </c>
      <c r="DQ5" s="649">
        <f>BU5</f>
        <v>2012</v>
      </c>
      <c r="DR5" s="649">
        <f>BZ5</f>
        <v>2013</v>
      </c>
      <c r="DS5" s="649">
        <f>CE5</f>
        <v>2014</v>
      </c>
      <c r="DT5" s="649">
        <f>CJ5</f>
        <v>2015</v>
      </c>
      <c r="DU5" s="649">
        <f>CO5</f>
        <v>2016</v>
      </c>
      <c r="DV5" s="649" t="str">
        <f>CT5</f>
        <v>2017A</v>
      </c>
      <c r="DW5" s="649" t="str">
        <f t="shared" si="0"/>
        <v>2018E</v>
      </c>
      <c r="DX5" s="649" t="str">
        <f t="shared" si="0"/>
        <v>2019E</v>
      </c>
      <c r="DY5" s="649" t="str">
        <f t="shared" si="0"/>
        <v>2020E</v>
      </c>
      <c r="EA5"/>
      <c r="EB5"/>
      <c r="EC5"/>
      <c r="ED5"/>
      <c r="EE5"/>
      <c r="EF5"/>
      <c r="EJ5"/>
      <c r="EK5"/>
      <c r="EL5"/>
    </row>
    <row r="6" spans="1:148" s="923" customFormat="1" ht="12.75" customHeight="1" x14ac:dyDescent="0.2">
      <c r="A6" s="1560" t="s">
        <v>1395</v>
      </c>
      <c r="B6" s="220"/>
      <c r="C6" s="220"/>
      <c r="D6" s="220"/>
      <c r="E6" s="220"/>
      <c r="F6" s="220"/>
      <c r="G6" s="220"/>
      <c r="H6" s="220"/>
      <c r="I6" s="220"/>
      <c r="J6" s="220"/>
      <c r="K6" s="220"/>
      <c r="L6" s="220"/>
      <c r="M6" s="2253"/>
      <c r="N6" s="220"/>
      <c r="O6" s="220"/>
      <c r="P6" s="220"/>
      <c r="Q6" s="220"/>
      <c r="R6" s="2253"/>
      <c r="S6" s="220"/>
      <c r="T6" s="220"/>
      <c r="U6" s="220"/>
      <c r="V6" s="220"/>
      <c r="W6" s="2253"/>
      <c r="X6" s="220"/>
      <c r="Y6" s="220"/>
      <c r="Z6" s="220"/>
      <c r="AA6" s="220"/>
      <c r="AB6" s="2253"/>
      <c r="AC6" s="220"/>
      <c r="AD6" s="220"/>
      <c r="AE6" s="220"/>
      <c r="AF6" s="220"/>
      <c r="AG6" s="2253"/>
      <c r="AH6" s="220"/>
      <c r="AI6" s="220"/>
      <c r="AJ6" s="220"/>
      <c r="AK6" s="220"/>
      <c r="AL6" s="2253"/>
      <c r="AM6" s="220"/>
      <c r="AN6" s="220"/>
      <c r="AO6" s="220"/>
      <c r="AP6" s="220"/>
      <c r="AQ6" s="2253"/>
      <c r="AR6" s="220"/>
      <c r="AS6" s="220"/>
      <c r="AT6" s="220"/>
      <c r="AU6" s="220"/>
      <c r="AV6" s="2253"/>
      <c r="AW6" s="220"/>
      <c r="AX6" s="220"/>
      <c r="AY6" s="220"/>
      <c r="AZ6" s="220"/>
      <c r="BA6" s="2253"/>
      <c r="BB6" s="220"/>
      <c r="BC6" s="220"/>
      <c r="BD6" s="220"/>
      <c r="BE6" s="220"/>
      <c r="BF6" s="2253"/>
      <c r="BG6" s="220"/>
      <c r="BH6" s="220"/>
      <c r="BI6" s="220"/>
      <c r="BJ6" s="220"/>
      <c r="BK6" s="2253"/>
      <c r="BL6" s="220"/>
      <c r="BM6" s="220"/>
      <c r="BN6" s="220"/>
      <c r="BO6" s="220"/>
      <c r="BP6" s="2253"/>
      <c r="BQ6" s="220"/>
      <c r="BR6" s="220"/>
      <c r="BS6" s="220"/>
      <c r="BT6" s="220"/>
      <c r="BU6" s="2253"/>
      <c r="BV6" s="220"/>
      <c r="BW6" s="220"/>
      <c r="BX6" s="220"/>
      <c r="BY6" s="220"/>
      <c r="BZ6" s="965"/>
      <c r="CA6" s="1233"/>
      <c r="CB6" s="220"/>
      <c r="CC6" s="220"/>
      <c r="CD6" s="220"/>
      <c r="CE6" s="2253"/>
      <c r="CF6" s="220"/>
      <c r="CG6" s="220"/>
      <c r="CH6" s="220"/>
      <c r="CI6" s="220"/>
      <c r="CJ6" s="2253"/>
      <c r="CK6" s="220"/>
      <c r="CL6" s="220"/>
      <c r="CM6" s="220"/>
      <c r="CN6" s="220"/>
      <c r="CO6" s="2253"/>
      <c r="CP6" s="1378"/>
      <c r="CQ6" s="220"/>
      <c r="CR6" s="220"/>
      <c r="CS6" s="220"/>
      <c r="CT6" s="2253"/>
      <c r="CU6" s="1378"/>
      <c r="CV6" s="220"/>
      <c r="CW6" s="220"/>
      <c r="CX6" s="220"/>
      <c r="CY6" s="965"/>
      <c r="CZ6" s="1792"/>
      <c r="DA6" s="965"/>
      <c r="DB6"/>
      <c r="DC6"/>
      <c r="DD6" s="1560" t="s">
        <v>1395</v>
      </c>
      <c r="DE6" s="2284"/>
      <c r="DF6" s="2284"/>
      <c r="DG6" s="2284"/>
      <c r="DH6" s="2284"/>
      <c r="DI6" s="2284"/>
      <c r="DJ6" s="2284"/>
      <c r="DK6" s="2284"/>
      <c r="DL6" s="2284"/>
      <c r="DM6" s="2284"/>
      <c r="DN6" s="2284"/>
      <c r="DO6" s="2284"/>
      <c r="DP6" s="2284"/>
      <c r="DQ6" s="2284"/>
      <c r="DR6" s="2284"/>
      <c r="DS6" s="2284"/>
      <c r="DT6" s="2284"/>
      <c r="DU6" s="2284"/>
      <c r="DV6" s="2284"/>
      <c r="DW6" s="2284"/>
      <c r="DX6" s="2284"/>
      <c r="DY6" s="2284"/>
      <c r="EA6"/>
      <c r="EB6"/>
      <c r="EC6"/>
      <c r="ED6"/>
      <c r="EE6"/>
      <c r="EF6"/>
      <c r="EJ6"/>
      <c r="EK6"/>
      <c r="EL6"/>
    </row>
    <row r="7" spans="1:148" s="923" customFormat="1" ht="12.75" customHeight="1" x14ac:dyDescent="0.2">
      <c r="A7" s="504" t="s">
        <v>679</v>
      </c>
      <c r="B7" s="1380"/>
      <c r="C7" s="1380"/>
      <c r="D7" s="1380"/>
      <c r="E7" s="1380"/>
      <c r="F7" s="1380"/>
      <c r="G7" s="1380"/>
      <c r="H7" s="1380"/>
      <c r="I7" s="1380"/>
      <c r="J7" s="1380"/>
      <c r="K7" s="1380"/>
      <c r="L7" s="1380"/>
      <c r="M7" s="1379"/>
      <c r="N7" s="1380">
        <f>N223</f>
        <v>86.160752260160606</v>
      </c>
      <c r="O7" s="1380">
        <f>O223</f>
        <v>94.452245479134461</v>
      </c>
      <c r="P7" s="1380">
        <f>P223</f>
        <v>85</v>
      </c>
      <c r="Q7" s="1380">
        <f>Q223</f>
        <v>100</v>
      </c>
      <c r="R7" s="1379">
        <f>SUM(N7:Q7)</f>
        <v>365.61299773929505</v>
      </c>
      <c r="S7" s="1380">
        <f>S223</f>
        <v>85</v>
      </c>
      <c r="T7" s="1380">
        <f>T223</f>
        <v>91</v>
      </c>
      <c r="U7" s="1380">
        <f>U223</f>
        <v>82</v>
      </c>
      <c r="V7" s="1380">
        <f>V223</f>
        <v>121</v>
      </c>
      <c r="W7" s="1379">
        <f t="shared" ref="W7:W14" si="1">SUM(S7:V7)</f>
        <v>379</v>
      </c>
      <c r="X7" s="1380">
        <f>X223</f>
        <v>92</v>
      </c>
      <c r="Y7" s="1380">
        <f>Y223</f>
        <v>88</v>
      </c>
      <c r="Z7" s="1380">
        <f>Z223</f>
        <v>86</v>
      </c>
      <c r="AA7" s="1380">
        <f>AA223</f>
        <v>122</v>
      </c>
      <c r="AB7" s="1379">
        <f t="shared" ref="AB7:AB14" si="2">SUM(X7:AA7)</f>
        <v>388</v>
      </c>
      <c r="AC7" s="1380">
        <f>AC223</f>
        <v>99</v>
      </c>
      <c r="AD7" s="1380">
        <f>AD223</f>
        <v>106</v>
      </c>
      <c r="AE7" s="1380">
        <f>AE223</f>
        <v>97</v>
      </c>
      <c r="AF7" s="1380">
        <f>AF223</f>
        <v>133</v>
      </c>
      <c r="AG7" s="1379">
        <f t="shared" ref="AG7:AG14" si="3">SUM(AC7:AF7)</f>
        <v>435</v>
      </c>
      <c r="AH7" s="1380">
        <f>AH223</f>
        <v>111</v>
      </c>
      <c r="AI7" s="1380">
        <f>AI223</f>
        <v>123</v>
      </c>
      <c r="AJ7" s="1380">
        <f>AJ223</f>
        <v>108</v>
      </c>
      <c r="AK7" s="1380">
        <f>AK223</f>
        <v>155</v>
      </c>
      <c r="AL7" s="1379">
        <f t="shared" ref="AL7:AL14" si="4">SUM(AH7:AK7)</f>
        <v>497</v>
      </c>
      <c r="AM7" s="1380">
        <f>AM223</f>
        <v>127</v>
      </c>
      <c r="AN7" s="1380">
        <f>AN223</f>
        <v>134</v>
      </c>
      <c r="AO7" s="1380">
        <f>AO223</f>
        <v>119</v>
      </c>
      <c r="AP7" s="1380">
        <f>AP223</f>
        <v>173</v>
      </c>
      <c r="AQ7" s="1379">
        <f t="shared" ref="AQ7:AQ14" si="5">SUM(AM7:AP7)</f>
        <v>553</v>
      </c>
      <c r="AR7" s="1380">
        <f>AR223</f>
        <v>134</v>
      </c>
      <c r="AS7" s="1380">
        <f>AS223</f>
        <v>148</v>
      </c>
      <c r="AT7" s="1380">
        <f>AT223</f>
        <v>135</v>
      </c>
      <c r="AU7" s="1380">
        <f>AU223</f>
        <v>203</v>
      </c>
      <c r="AV7" s="1379">
        <f t="shared" ref="AV7:AV14" si="6">SUM(AR7:AU7)</f>
        <v>620</v>
      </c>
      <c r="AW7" s="1380">
        <f>AW223</f>
        <v>148</v>
      </c>
      <c r="AX7" s="1380">
        <f>AX223</f>
        <v>161</v>
      </c>
      <c r="AY7" s="1380">
        <f>AY223</f>
        <v>143</v>
      </c>
      <c r="AZ7" s="1380">
        <f>AZ223</f>
        <v>183</v>
      </c>
      <c r="BA7" s="1379">
        <f t="shared" ref="BA7:BA14" si="7">SUM(AW7:AZ7)</f>
        <v>635</v>
      </c>
      <c r="BB7" s="1380">
        <f>BB223</f>
        <v>125</v>
      </c>
      <c r="BC7" s="1380">
        <f>BC223</f>
        <v>126</v>
      </c>
      <c r="BD7" s="1380">
        <f>BD223</f>
        <v>116</v>
      </c>
      <c r="BE7" s="1380">
        <f>BE223</f>
        <v>163</v>
      </c>
      <c r="BF7" s="1379">
        <f t="shared" ref="BF7:BF14" si="8">SUM(BB7:BE7)</f>
        <v>530</v>
      </c>
      <c r="BG7" s="1380">
        <f>BG223</f>
        <v>111</v>
      </c>
      <c r="BH7" s="1380">
        <f>BH223</f>
        <v>122</v>
      </c>
      <c r="BI7" s="1380">
        <f>BI223</f>
        <v>109</v>
      </c>
      <c r="BJ7" s="1380">
        <f>BJ223</f>
        <v>160</v>
      </c>
      <c r="BK7" s="1379">
        <f t="shared" ref="BK7:BK14" si="9">SUM(BG7:BJ7)</f>
        <v>502</v>
      </c>
      <c r="BL7" s="1380">
        <f>BL223</f>
        <v>120</v>
      </c>
      <c r="BM7" s="1380">
        <f>BM223</f>
        <v>135</v>
      </c>
      <c r="BN7" s="1380">
        <f>BN223</f>
        <v>120</v>
      </c>
      <c r="BO7" s="1380">
        <f>BO223</f>
        <v>171</v>
      </c>
      <c r="BP7" s="1379">
        <f t="shared" ref="BP7:BP14" si="10">SUM(BL7:BO7)</f>
        <v>546</v>
      </c>
      <c r="BQ7" s="1380">
        <f>BQ223</f>
        <v>124</v>
      </c>
      <c r="BR7" s="1380">
        <f>BR223</f>
        <v>141</v>
      </c>
      <c r="BS7" s="1380">
        <f>BS223</f>
        <v>134</v>
      </c>
      <c r="BT7" s="1380">
        <f>BT223</f>
        <v>182</v>
      </c>
      <c r="BU7" s="1379">
        <f t="shared" ref="BU7:BU14" si="11">SUM(BQ7:BT7)</f>
        <v>581</v>
      </c>
      <c r="BV7" s="1380">
        <f>BV223</f>
        <v>153</v>
      </c>
      <c r="BW7" s="1380">
        <f>BW223</f>
        <v>166</v>
      </c>
      <c r="BX7" s="1380">
        <f>BX223</f>
        <v>150</v>
      </c>
      <c r="BY7" s="1380">
        <f>BY223</f>
        <v>152</v>
      </c>
      <c r="BZ7" s="1379">
        <f t="shared" ref="BZ7:BZ14" si="12">SUM(BV7:BY7)</f>
        <v>621</v>
      </c>
      <c r="CA7" s="1380">
        <f>CA223</f>
        <v>155</v>
      </c>
      <c r="CB7" s="1378">
        <f>CB223</f>
        <v>176</v>
      </c>
      <c r="CC7" s="1378">
        <f>CC223</f>
        <v>178</v>
      </c>
      <c r="CD7" s="1779">
        <f>CD223</f>
        <v>163</v>
      </c>
      <c r="CE7" s="1379">
        <f t="shared" ref="CE7:CE14" si="13">SUM(CA7:CD7)</f>
        <v>672</v>
      </c>
      <c r="CF7" s="1380">
        <f>CF223</f>
        <v>165</v>
      </c>
      <c r="CG7" s="1378">
        <f>CG223</f>
        <v>191</v>
      </c>
      <c r="CH7" s="1378">
        <f>CH223</f>
        <v>170</v>
      </c>
      <c r="CI7" s="1779">
        <f>CI223</f>
        <v>172</v>
      </c>
      <c r="CJ7" s="1379">
        <f t="shared" ref="CJ7:CJ14" si="14">SUM(CF7:CI7)</f>
        <v>698</v>
      </c>
      <c r="CK7" s="1378">
        <f>CK223</f>
        <v>172</v>
      </c>
      <c r="CL7" s="1378">
        <f>CL223</f>
        <v>186</v>
      </c>
      <c r="CM7" s="1378">
        <f>CM223</f>
        <v>172</v>
      </c>
      <c r="CN7" s="1779">
        <f>CN226</f>
        <v>268</v>
      </c>
      <c r="CO7" s="1379">
        <f t="shared" ref="CO7:CO14" si="15">SUM(CK7:CN7)</f>
        <v>798</v>
      </c>
      <c r="CP7" s="1378">
        <f>CP226</f>
        <v>264</v>
      </c>
      <c r="CQ7" s="1378">
        <f>CQ226</f>
        <v>285</v>
      </c>
      <c r="CR7" s="1378">
        <f>CR226</f>
        <v>269</v>
      </c>
      <c r="CS7" s="1378">
        <f>CS226</f>
        <v>284</v>
      </c>
      <c r="CT7" s="1379">
        <f t="shared" ref="CT7:CT14" si="16">SUM(CP7:CS7)</f>
        <v>1102</v>
      </c>
      <c r="CU7" s="1378">
        <f t="shared" ref="CU7:DA7" ca="1" si="17">CU226</f>
        <v>281.59649328782893</v>
      </c>
      <c r="CV7" s="1378">
        <f t="shared" ca="1" si="17"/>
        <v>307.52592733844949</v>
      </c>
      <c r="CW7" s="1378">
        <f t="shared" ca="1" si="17"/>
        <v>288.93586495642586</v>
      </c>
      <c r="CX7" s="1378">
        <f t="shared" ca="1" si="17"/>
        <v>305.14543734065876</v>
      </c>
      <c r="CY7" s="1379">
        <f t="shared" ref="CY7:CY14" ca="1" si="18">SUM(CU7:CX7)</f>
        <v>1183.2037229233629</v>
      </c>
      <c r="CZ7" s="1779">
        <f t="shared" ca="1" si="17"/>
        <v>1258.9633173009652</v>
      </c>
      <c r="DA7" s="1379">
        <f t="shared" ca="1" si="17"/>
        <v>1251.8826687223984</v>
      </c>
      <c r="DB7"/>
      <c r="DC7"/>
      <c r="DD7" s="2285" t="s">
        <v>679</v>
      </c>
      <c r="DE7" s="2286">
        <f t="shared" ref="DE7:DE16" si="19">M7</f>
        <v>0</v>
      </c>
      <c r="DF7" s="2286">
        <f t="shared" ref="DF7:DF16" si="20">R7</f>
        <v>365.61299773929505</v>
      </c>
      <c r="DG7" s="2286">
        <f t="shared" ref="DG7:DG16" si="21">W7</f>
        <v>379</v>
      </c>
      <c r="DH7" s="2286">
        <f t="shared" ref="DH7:DH16" si="22">AB7</f>
        <v>388</v>
      </c>
      <c r="DI7" s="2286">
        <f t="shared" ref="DI7:DI16" si="23">AG7</f>
        <v>435</v>
      </c>
      <c r="DJ7" s="2286">
        <f t="shared" ref="DJ7:DJ16" si="24">AL7</f>
        <v>497</v>
      </c>
      <c r="DK7" s="2286">
        <f t="shared" ref="DK7:DK16" si="25">AQ7</f>
        <v>553</v>
      </c>
      <c r="DL7" s="2286">
        <f t="shared" ref="DL7:DL16" si="26">AV7</f>
        <v>620</v>
      </c>
      <c r="DM7" s="2286">
        <f t="shared" ref="DM7:DM16" si="27">BA7</f>
        <v>635</v>
      </c>
      <c r="DN7" s="2286">
        <f t="shared" ref="DN7:DN16" si="28">BF7</f>
        <v>530</v>
      </c>
      <c r="DO7" s="2286">
        <f t="shared" ref="DO7:DO16" si="29">BK7</f>
        <v>502</v>
      </c>
      <c r="DP7" s="2286">
        <f t="shared" ref="DP7:DP16" si="30">BP7</f>
        <v>546</v>
      </c>
      <c r="DQ7" s="2286">
        <f t="shared" ref="DQ7:DQ16" si="31">BU7</f>
        <v>581</v>
      </c>
      <c r="DR7" s="2286">
        <f t="shared" ref="DR7:DR16" si="32">BZ7</f>
        <v>621</v>
      </c>
      <c r="DS7" s="2286">
        <f t="shared" ref="DS7:DS16" si="33">CE7</f>
        <v>672</v>
      </c>
      <c r="DT7" s="2286">
        <f t="shared" ref="DT7:DT16" si="34">CJ7</f>
        <v>698</v>
      </c>
      <c r="DU7" s="2286">
        <f t="shared" ref="DU7:DU16" si="35">CO7</f>
        <v>798</v>
      </c>
      <c r="DV7" s="2286">
        <f t="shared" ref="DV7:DV16" si="36">CT7</f>
        <v>1102</v>
      </c>
      <c r="DW7" s="2286">
        <f t="shared" ref="DW7:DW16" ca="1" si="37">CY7</f>
        <v>1183.2037229233629</v>
      </c>
      <c r="DX7" s="2286">
        <f t="shared" ref="DX7:DX16" ca="1" si="38">CZ7</f>
        <v>1258.9633173009652</v>
      </c>
      <c r="DY7" s="2286">
        <f t="shared" ref="DY7:DY16" ca="1" si="39">DA7</f>
        <v>1251.8826687223984</v>
      </c>
      <c r="EA7"/>
      <c r="EB7"/>
      <c r="EC7"/>
      <c r="ED7"/>
      <c r="EE7"/>
      <c r="EF7"/>
      <c r="EJ7"/>
      <c r="EK7"/>
      <c r="EL7"/>
      <c r="EM7" s="1703"/>
      <c r="ER7" s="212"/>
    </row>
    <row r="8" spans="1:148" s="923" customFormat="1" ht="12.75" customHeight="1" x14ac:dyDescent="0.2">
      <c r="A8" s="504" t="s">
        <v>680</v>
      </c>
      <c r="B8" s="1657"/>
      <c r="C8" s="1657"/>
      <c r="D8" s="1657"/>
      <c r="E8" s="1657"/>
      <c r="F8" s="1657"/>
      <c r="G8" s="1657"/>
      <c r="H8" s="1657"/>
      <c r="I8" s="1657"/>
      <c r="J8" s="1657"/>
      <c r="K8" s="1657"/>
      <c r="L8" s="1657"/>
      <c r="M8" s="1658"/>
      <c r="N8" s="1657">
        <f>N228</f>
        <v>51.839247739839394</v>
      </c>
      <c r="O8" s="1657">
        <f>O228</f>
        <v>56.547754520865546</v>
      </c>
      <c r="P8" s="1657">
        <f>P228</f>
        <v>55</v>
      </c>
      <c r="Q8" s="1657">
        <f>Q228</f>
        <v>63</v>
      </c>
      <c r="R8" s="1658">
        <f>SUM(N8:Q8)</f>
        <v>226.38700226070495</v>
      </c>
      <c r="S8" s="1657">
        <f>S228</f>
        <v>51</v>
      </c>
      <c r="T8" s="1657">
        <f>T228</f>
        <v>54</v>
      </c>
      <c r="U8" s="1657">
        <f>U228</f>
        <v>55</v>
      </c>
      <c r="V8" s="1657">
        <f>V228</f>
        <v>72</v>
      </c>
      <c r="W8" s="1658">
        <f t="shared" si="1"/>
        <v>232</v>
      </c>
      <c r="X8" s="1657">
        <f>X228</f>
        <v>52</v>
      </c>
      <c r="Y8" s="1657">
        <f>Y228</f>
        <v>56</v>
      </c>
      <c r="Z8" s="1657">
        <f>Z228</f>
        <v>61</v>
      </c>
      <c r="AA8" s="1657">
        <f>AA228</f>
        <v>76</v>
      </c>
      <c r="AB8" s="1658">
        <f t="shared" si="2"/>
        <v>245</v>
      </c>
      <c r="AC8" s="1657">
        <f>AC228</f>
        <v>61</v>
      </c>
      <c r="AD8" s="1657">
        <f>AD228</f>
        <v>72</v>
      </c>
      <c r="AE8" s="1657">
        <f>AE228</f>
        <v>74</v>
      </c>
      <c r="AF8" s="1657">
        <f>AF228</f>
        <v>89</v>
      </c>
      <c r="AG8" s="1658">
        <f t="shared" si="3"/>
        <v>296</v>
      </c>
      <c r="AH8" s="1657">
        <f>AH228</f>
        <v>70</v>
      </c>
      <c r="AI8" s="1657">
        <f>AI228</f>
        <v>78</v>
      </c>
      <c r="AJ8" s="1657">
        <f>AJ228</f>
        <v>78</v>
      </c>
      <c r="AK8" s="1657">
        <f>AK228</f>
        <v>103</v>
      </c>
      <c r="AL8" s="1658">
        <f t="shared" si="4"/>
        <v>329</v>
      </c>
      <c r="AM8" s="1657">
        <f>AM228</f>
        <v>82</v>
      </c>
      <c r="AN8" s="1657">
        <f>AN228</f>
        <v>93</v>
      </c>
      <c r="AO8" s="1657">
        <f>AO228</f>
        <v>94</v>
      </c>
      <c r="AP8" s="1657">
        <f>AP228</f>
        <v>121</v>
      </c>
      <c r="AQ8" s="1658">
        <f t="shared" si="5"/>
        <v>390</v>
      </c>
      <c r="AR8" s="1657">
        <f>AR228</f>
        <v>91</v>
      </c>
      <c r="AS8" s="1657">
        <f>AS228</f>
        <v>101</v>
      </c>
      <c r="AT8" s="1657">
        <f>AT228</f>
        <v>111</v>
      </c>
      <c r="AU8" s="1657">
        <f>AU228</f>
        <v>136</v>
      </c>
      <c r="AV8" s="1658">
        <f t="shared" si="6"/>
        <v>439</v>
      </c>
      <c r="AW8" s="1657">
        <f>AW228</f>
        <v>96</v>
      </c>
      <c r="AX8" s="1657">
        <f>AX228</f>
        <v>110</v>
      </c>
      <c r="AY8" s="1657">
        <f>AY228</f>
        <v>108</v>
      </c>
      <c r="AZ8" s="1657">
        <f>AZ228</f>
        <v>137</v>
      </c>
      <c r="BA8" s="1658">
        <f t="shared" si="7"/>
        <v>451</v>
      </c>
      <c r="BB8" s="1657">
        <f>BB228</f>
        <v>88</v>
      </c>
      <c r="BC8" s="1657">
        <f>BC228</f>
        <v>93</v>
      </c>
      <c r="BD8" s="1657">
        <f>BD228</f>
        <v>100</v>
      </c>
      <c r="BE8" s="1657">
        <f>BE228</f>
        <v>119</v>
      </c>
      <c r="BF8" s="1658">
        <f t="shared" si="8"/>
        <v>400</v>
      </c>
      <c r="BG8" s="1657">
        <f>BG228</f>
        <v>105</v>
      </c>
      <c r="BH8" s="1657">
        <f>BH228</f>
        <v>120</v>
      </c>
      <c r="BI8" s="1657">
        <f>BI228</f>
        <v>124</v>
      </c>
      <c r="BJ8" s="1657">
        <f>BJ228</f>
        <v>156</v>
      </c>
      <c r="BK8" s="1658">
        <f t="shared" si="9"/>
        <v>505</v>
      </c>
      <c r="BL8" s="1657">
        <f>BL228</f>
        <v>117</v>
      </c>
      <c r="BM8" s="1657">
        <f>BM228</f>
        <v>135</v>
      </c>
      <c r="BN8" s="1657">
        <f>BN228</f>
        <v>139</v>
      </c>
      <c r="BO8" s="1657">
        <f>BO228</f>
        <v>175</v>
      </c>
      <c r="BP8" s="1658">
        <f t="shared" si="10"/>
        <v>566</v>
      </c>
      <c r="BQ8" s="1657">
        <f>BQ228</f>
        <v>126</v>
      </c>
      <c r="BR8" s="1657">
        <f>BR228</f>
        <v>145</v>
      </c>
      <c r="BS8" s="1657">
        <f>BS228</f>
        <v>149</v>
      </c>
      <c r="BT8" s="1657">
        <f>BT228</f>
        <v>187</v>
      </c>
      <c r="BU8" s="1658">
        <f t="shared" si="11"/>
        <v>607</v>
      </c>
      <c r="BV8" s="1657">
        <f>BV228</f>
        <v>151</v>
      </c>
      <c r="BW8" s="1657">
        <f>BW228</f>
        <v>177</v>
      </c>
      <c r="BX8" s="1657">
        <f>BX228</f>
        <v>175</v>
      </c>
      <c r="BY8" s="1657">
        <f>BY228</f>
        <v>163</v>
      </c>
      <c r="BZ8" s="1658">
        <f t="shared" si="12"/>
        <v>666</v>
      </c>
      <c r="CA8" s="1657">
        <f>CA228</f>
        <v>163</v>
      </c>
      <c r="CB8" s="1657">
        <f>CB228</f>
        <v>194</v>
      </c>
      <c r="CC8" s="1657">
        <f>CC228</f>
        <v>203</v>
      </c>
      <c r="CD8" s="1780">
        <f>CD228</f>
        <v>185</v>
      </c>
      <c r="CE8" s="1658">
        <f t="shared" si="13"/>
        <v>745</v>
      </c>
      <c r="CF8" s="1657">
        <f>CF228</f>
        <v>204</v>
      </c>
      <c r="CG8" s="1657">
        <f>CG228</f>
        <v>221</v>
      </c>
      <c r="CH8" s="1657">
        <f>CH228</f>
        <v>227</v>
      </c>
      <c r="CI8" s="1780">
        <f>CI228</f>
        <v>201</v>
      </c>
      <c r="CJ8" s="1658">
        <f t="shared" si="14"/>
        <v>853</v>
      </c>
      <c r="CK8" s="1657">
        <f>CK228</f>
        <v>207</v>
      </c>
      <c r="CL8" s="1657">
        <f>CL228</f>
        <v>235</v>
      </c>
      <c r="CM8" s="1657">
        <f>CM228</f>
        <v>242</v>
      </c>
      <c r="CN8" s="1780">
        <f>CN232</f>
        <v>296</v>
      </c>
      <c r="CO8" s="1658">
        <f t="shared" si="15"/>
        <v>980</v>
      </c>
      <c r="CP8" s="1657">
        <f>CP232</f>
        <v>365</v>
      </c>
      <c r="CQ8" s="1657">
        <f>CQ232</f>
        <v>416</v>
      </c>
      <c r="CR8" s="1657">
        <f>CR232</f>
        <v>426</v>
      </c>
      <c r="CS8" s="1657">
        <f>CS232</f>
        <v>411</v>
      </c>
      <c r="CT8" s="1658">
        <f t="shared" si="16"/>
        <v>1618</v>
      </c>
      <c r="CU8" s="1657">
        <f t="shared" ref="CU8:DA8" si="40">CU232</f>
        <v>415.69479869325869</v>
      </c>
      <c r="CV8" s="1657">
        <f t="shared" si="40"/>
        <v>476.08049137620787</v>
      </c>
      <c r="CW8" s="1657">
        <f t="shared" si="40"/>
        <v>484.10166607663564</v>
      </c>
      <c r="CX8" s="1657">
        <f t="shared" si="40"/>
        <v>464.38981764024567</v>
      </c>
      <c r="CY8" s="1658">
        <f t="shared" si="18"/>
        <v>1840.2667737863478</v>
      </c>
      <c r="CZ8" s="1780">
        <f t="shared" si="40"/>
        <v>2044.3369334218612</v>
      </c>
      <c r="DA8" s="1658">
        <f t="shared" si="40"/>
        <v>2085.2163877628686</v>
      </c>
      <c r="DB8"/>
      <c r="DC8"/>
      <c r="DD8" s="2285" t="s">
        <v>680</v>
      </c>
      <c r="DE8" s="2287">
        <f t="shared" si="19"/>
        <v>0</v>
      </c>
      <c r="DF8" s="2287">
        <f t="shared" si="20"/>
        <v>226.38700226070495</v>
      </c>
      <c r="DG8" s="2287">
        <f t="shared" si="21"/>
        <v>232</v>
      </c>
      <c r="DH8" s="2287">
        <f t="shared" si="22"/>
        <v>245</v>
      </c>
      <c r="DI8" s="2287">
        <f t="shared" si="23"/>
        <v>296</v>
      </c>
      <c r="DJ8" s="2287">
        <f t="shared" si="24"/>
        <v>329</v>
      </c>
      <c r="DK8" s="2287">
        <f t="shared" si="25"/>
        <v>390</v>
      </c>
      <c r="DL8" s="2287">
        <f t="shared" si="26"/>
        <v>439</v>
      </c>
      <c r="DM8" s="2287">
        <f t="shared" si="27"/>
        <v>451</v>
      </c>
      <c r="DN8" s="2287">
        <f t="shared" si="28"/>
        <v>400</v>
      </c>
      <c r="DO8" s="2287">
        <f t="shared" si="29"/>
        <v>505</v>
      </c>
      <c r="DP8" s="2287">
        <f t="shared" si="30"/>
        <v>566</v>
      </c>
      <c r="DQ8" s="2287">
        <f t="shared" si="31"/>
        <v>607</v>
      </c>
      <c r="DR8" s="2287">
        <f t="shared" si="32"/>
        <v>666</v>
      </c>
      <c r="DS8" s="2287">
        <f t="shared" si="33"/>
        <v>745</v>
      </c>
      <c r="DT8" s="2287">
        <f t="shared" si="34"/>
        <v>853</v>
      </c>
      <c r="DU8" s="2287">
        <f t="shared" si="35"/>
        <v>980</v>
      </c>
      <c r="DV8" s="2287">
        <f t="shared" si="36"/>
        <v>1618</v>
      </c>
      <c r="DW8" s="2287">
        <f t="shared" si="37"/>
        <v>1840.2667737863478</v>
      </c>
      <c r="DX8" s="2287">
        <f t="shared" si="38"/>
        <v>2044.3369334218612</v>
      </c>
      <c r="DY8" s="2287">
        <f t="shared" si="39"/>
        <v>2085.2163877628686</v>
      </c>
      <c r="EA8"/>
      <c r="EB8"/>
      <c r="EC8"/>
      <c r="ED8"/>
      <c r="EE8"/>
      <c r="EF8"/>
      <c r="EJ8"/>
      <c r="EK8"/>
      <c r="EL8"/>
      <c r="EM8" s="1703"/>
      <c r="ER8" s="212"/>
    </row>
    <row r="9" spans="1:148" s="923" customFormat="1" ht="12.75" customHeight="1" x14ac:dyDescent="0.2">
      <c r="A9" s="1661" t="s">
        <v>2201</v>
      </c>
      <c r="B9" s="221"/>
      <c r="C9" s="221"/>
      <c r="D9" s="221"/>
      <c r="E9" s="221"/>
      <c r="F9" s="221"/>
      <c r="G9" s="221"/>
      <c r="H9" s="221"/>
      <c r="I9" s="221"/>
      <c r="J9" s="221"/>
      <c r="K9" s="221"/>
      <c r="L9" s="221"/>
      <c r="M9" s="966"/>
      <c r="N9" s="221">
        <f>N234</f>
        <v>58</v>
      </c>
      <c r="O9" s="221">
        <f>O234</f>
        <v>68</v>
      </c>
      <c r="P9" s="221">
        <f>P234</f>
        <v>39</v>
      </c>
      <c r="Q9" s="221">
        <f>Q234</f>
        <v>37</v>
      </c>
      <c r="R9" s="966">
        <f>SUM(N9:Q9)</f>
        <v>202</v>
      </c>
      <c r="S9" s="221">
        <f>S234</f>
        <v>32</v>
      </c>
      <c r="T9" s="221">
        <f>T234</f>
        <v>52</v>
      </c>
      <c r="U9" s="221">
        <f>U234</f>
        <v>25</v>
      </c>
      <c r="V9" s="221">
        <f>V234</f>
        <v>53</v>
      </c>
      <c r="W9" s="966">
        <f t="shared" si="1"/>
        <v>162</v>
      </c>
      <c r="X9" s="221">
        <f>X234</f>
        <v>29</v>
      </c>
      <c r="Y9" s="221">
        <f>Y234</f>
        <v>28</v>
      </c>
      <c r="Z9" s="221">
        <f>Z234</f>
        <v>18</v>
      </c>
      <c r="AA9" s="221">
        <f>AA234</f>
        <v>34</v>
      </c>
      <c r="AB9" s="966">
        <f t="shared" si="2"/>
        <v>109</v>
      </c>
      <c r="AC9" s="221">
        <f>AC234</f>
        <v>33</v>
      </c>
      <c r="AD9" s="221">
        <f>AD234</f>
        <v>36</v>
      </c>
      <c r="AE9" s="221">
        <f>AE234</f>
        <v>21</v>
      </c>
      <c r="AF9" s="221">
        <f>AF234</f>
        <v>52</v>
      </c>
      <c r="AG9" s="966">
        <f t="shared" si="3"/>
        <v>142</v>
      </c>
      <c r="AH9" s="221">
        <f>AH234</f>
        <v>50</v>
      </c>
      <c r="AI9" s="221">
        <f>AI234</f>
        <v>52</v>
      </c>
      <c r="AJ9" s="221">
        <f>AJ234</f>
        <v>30</v>
      </c>
      <c r="AK9" s="221">
        <f>AK234</f>
        <v>69</v>
      </c>
      <c r="AL9" s="966">
        <f t="shared" si="4"/>
        <v>201</v>
      </c>
      <c r="AM9" s="221">
        <f>AM234</f>
        <v>59</v>
      </c>
      <c r="AN9" s="221">
        <f>AN234</f>
        <v>77</v>
      </c>
      <c r="AO9" s="221">
        <f>AO234</f>
        <v>49</v>
      </c>
      <c r="AP9" s="221">
        <f>AP234</f>
        <v>96</v>
      </c>
      <c r="AQ9" s="966">
        <f t="shared" si="5"/>
        <v>281</v>
      </c>
      <c r="AR9" s="221">
        <f>AR234</f>
        <v>71</v>
      </c>
      <c r="AS9" s="221">
        <f>AS234</f>
        <v>116</v>
      </c>
      <c r="AT9" s="221">
        <f>AT234</f>
        <v>56</v>
      </c>
      <c r="AU9" s="221">
        <f>AU234</f>
        <v>126</v>
      </c>
      <c r="AV9" s="966">
        <f t="shared" si="6"/>
        <v>369</v>
      </c>
      <c r="AW9" s="221">
        <f>AW234</f>
        <v>74</v>
      </c>
      <c r="AX9" s="221">
        <f>AX234</f>
        <v>103</v>
      </c>
      <c r="AY9" s="221">
        <f>AY234</f>
        <v>52</v>
      </c>
      <c r="AZ9" s="221">
        <f>AZ234</f>
        <v>82</v>
      </c>
      <c r="BA9" s="966">
        <f t="shared" si="7"/>
        <v>311</v>
      </c>
      <c r="BB9" s="221">
        <f>BB234</f>
        <v>43</v>
      </c>
      <c r="BC9" s="221">
        <f>BC234</f>
        <v>35</v>
      </c>
      <c r="BD9" s="221">
        <f>BD234</f>
        <v>17</v>
      </c>
      <c r="BE9" s="221">
        <f>BE234</f>
        <v>59</v>
      </c>
      <c r="BF9" s="966">
        <f t="shared" si="8"/>
        <v>154</v>
      </c>
      <c r="BG9" s="221">
        <f>BG234</f>
        <v>40</v>
      </c>
      <c r="BH9" s="221">
        <f>BH234</f>
        <v>46</v>
      </c>
      <c r="BI9" s="221">
        <f>BI234</f>
        <v>21</v>
      </c>
      <c r="BJ9" s="221">
        <f>BJ234</f>
        <v>75</v>
      </c>
      <c r="BK9" s="966">
        <f t="shared" si="9"/>
        <v>182</v>
      </c>
      <c r="BL9" s="221">
        <f>BL234</f>
        <v>42</v>
      </c>
      <c r="BM9" s="221">
        <f>BM234</f>
        <v>50</v>
      </c>
      <c r="BN9" s="221">
        <f>BN234</f>
        <v>29</v>
      </c>
      <c r="BO9" s="221">
        <f>BO234</f>
        <v>74</v>
      </c>
      <c r="BP9" s="966">
        <f t="shared" si="10"/>
        <v>195</v>
      </c>
      <c r="BQ9" s="221">
        <f>BQ234</f>
        <v>50</v>
      </c>
      <c r="BR9" s="221">
        <f>BR234</f>
        <v>56</v>
      </c>
      <c r="BS9" s="221">
        <f>BS234</f>
        <v>36</v>
      </c>
      <c r="BT9" s="221">
        <f>BT234</f>
        <v>90</v>
      </c>
      <c r="BU9" s="966">
        <f t="shared" si="11"/>
        <v>232</v>
      </c>
      <c r="BV9" s="221">
        <f>BV234</f>
        <v>66</v>
      </c>
      <c r="BW9" s="221">
        <f>BW234</f>
        <v>64</v>
      </c>
      <c r="BX9" s="221">
        <f>BX234</f>
        <v>53</v>
      </c>
      <c r="BY9" s="221">
        <f>BY234</f>
        <v>73</v>
      </c>
      <c r="BZ9" s="966">
        <f t="shared" si="12"/>
        <v>256</v>
      </c>
      <c r="CA9" s="221">
        <f>CA234</f>
        <v>71</v>
      </c>
      <c r="CB9" s="221">
        <f>CB234</f>
        <v>82</v>
      </c>
      <c r="CC9" s="221">
        <f>CC234</f>
        <v>67</v>
      </c>
      <c r="CD9" s="1781">
        <f>CD234</f>
        <v>82</v>
      </c>
      <c r="CE9" s="966">
        <f t="shared" si="13"/>
        <v>302</v>
      </c>
      <c r="CF9" s="221">
        <f>CF234</f>
        <v>89</v>
      </c>
      <c r="CG9" s="221">
        <f>CG234</f>
        <v>81</v>
      </c>
      <c r="CH9" s="221">
        <f>CH234</f>
        <v>68</v>
      </c>
      <c r="CI9" s="1781">
        <f>CI234</f>
        <v>81</v>
      </c>
      <c r="CJ9" s="966">
        <f t="shared" si="14"/>
        <v>319</v>
      </c>
      <c r="CK9" s="221">
        <f>CK234</f>
        <v>101</v>
      </c>
      <c r="CL9" s="221">
        <f>CL234</f>
        <v>94</v>
      </c>
      <c r="CM9" s="221">
        <f>CM234</f>
        <v>77</v>
      </c>
      <c r="CN9" s="1781">
        <f>CN237</f>
        <v>149</v>
      </c>
      <c r="CO9" s="966">
        <f t="shared" si="15"/>
        <v>421</v>
      </c>
      <c r="CP9" s="221">
        <f>CP237</f>
        <v>153</v>
      </c>
      <c r="CQ9" s="221">
        <f>CQ237</f>
        <v>148</v>
      </c>
      <c r="CR9" s="221">
        <f>CR237</f>
        <v>136</v>
      </c>
      <c r="CS9" s="221">
        <f>CS237</f>
        <v>170</v>
      </c>
      <c r="CT9" s="966">
        <f t="shared" si="16"/>
        <v>607</v>
      </c>
      <c r="CU9" s="221">
        <f t="shared" ref="CU9:DA9" si="41">CU237</f>
        <v>156.06</v>
      </c>
      <c r="CV9" s="221">
        <f t="shared" si="41"/>
        <v>152.44</v>
      </c>
      <c r="CW9" s="221">
        <f t="shared" si="41"/>
        <v>140.08000000000001</v>
      </c>
      <c r="CX9" s="221">
        <f t="shared" si="41"/>
        <v>171.7</v>
      </c>
      <c r="CY9" s="966">
        <f t="shared" si="18"/>
        <v>620.28</v>
      </c>
      <c r="CZ9" s="1781">
        <f t="shared" si="41"/>
        <v>654.39539999999988</v>
      </c>
      <c r="DA9" s="966">
        <f t="shared" si="41"/>
        <v>621.67562999999984</v>
      </c>
      <c r="DB9"/>
      <c r="DC9"/>
      <c r="DD9" s="1661" t="s">
        <v>2201</v>
      </c>
      <c r="DE9" s="966">
        <f t="shared" si="19"/>
        <v>0</v>
      </c>
      <c r="DF9" s="966">
        <f t="shared" si="20"/>
        <v>202</v>
      </c>
      <c r="DG9" s="966">
        <f t="shared" si="21"/>
        <v>162</v>
      </c>
      <c r="DH9" s="966">
        <f t="shared" si="22"/>
        <v>109</v>
      </c>
      <c r="DI9" s="966">
        <f t="shared" si="23"/>
        <v>142</v>
      </c>
      <c r="DJ9" s="966">
        <f t="shared" si="24"/>
        <v>201</v>
      </c>
      <c r="DK9" s="966">
        <f t="shared" si="25"/>
        <v>281</v>
      </c>
      <c r="DL9" s="966">
        <f t="shared" si="26"/>
        <v>369</v>
      </c>
      <c r="DM9" s="966">
        <f t="shared" si="27"/>
        <v>311</v>
      </c>
      <c r="DN9" s="966">
        <f t="shared" si="28"/>
        <v>154</v>
      </c>
      <c r="DO9" s="966">
        <f t="shared" si="29"/>
        <v>182</v>
      </c>
      <c r="DP9" s="966">
        <f t="shared" si="30"/>
        <v>195</v>
      </c>
      <c r="DQ9" s="966">
        <f t="shared" si="31"/>
        <v>232</v>
      </c>
      <c r="DR9" s="966">
        <f t="shared" si="32"/>
        <v>256</v>
      </c>
      <c r="DS9" s="966">
        <f t="shared" si="33"/>
        <v>302</v>
      </c>
      <c r="DT9" s="966">
        <f t="shared" si="34"/>
        <v>319</v>
      </c>
      <c r="DU9" s="966">
        <f t="shared" si="35"/>
        <v>421</v>
      </c>
      <c r="DV9" s="966">
        <f t="shared" si="36"/>
        <v>607</v>
      </c>
      <c r="DW9" s="966">
        <f t="shared" si="37"/>
        <v>620.28</v>
      </c>
      <c r="DX9" s="966">
        <f t="shared" si="38"/>
        <v>654.39539999999988</v>
      </c>
      <c r="DY9" s="966">
        <f t="shared" si="39"/>
        <v>621.67562999999984</v>
      </c>
      <c r="EA9"/>
      <c r="EB9"/>
      <c r="EC9"/>
      <c r="ED9"/>
      <c r="EE9"/>
      <c r="EF9"/>
      <c r="EJ9"/>
      <c r="EK9"/>
      <c r="EL9"/>
      <c r="EM9" s="1703"/>
      <c r="ER9" s="212"/>
    </row>
    <row r="10" spans="1:148" s="923" customFormat="1" ht="12.75" customHeight="1" x14ac:dyDescent="0.2">
      <c r="A10" s="1560" t="s">
        <v>1587</v>
      </c>
      <c r="B10" s="1381"/>
      <c r="C10" s="1381"/>
      <c r="D10" s="1381"/>
      <c r="E10" s="1381"/>
      <c r="F10" s="1381"/>
      <c r="G10" s="1381"/>
      <c r="H10" s="1381"/>
      <c r="I10" s="1659">
        <f>I242</f>
        <v>183</v>
      </c>
      <c r="J10" s="1659">
        <f>J242</f>
        <v>222</v>
      </c>
      <c r="K10" s="1659">
        <f>K242</f>
        <v>207</v>
      </c>
      <c r="L10" s="1659">
        <f>L242</f>
        <v>295</v>
      </c>
      <c r="M10" s="1382">
        <f>SUM(I10:L10)</f>
        <v>907</v>
      </c>
      <c r="N10" s="1381">
        <f>SUM(N7:N9)</f>
        <v>196</v>
      </c>
      <c r="O10" s="1381">
        <f>SUM(O7:O9)</f>
        <v>219</v>
      </c>
      <c r="P10" s="1381">
        <f>SUM(P7:P9)</f>
        <v>179</v>
      </c>
      <c r="Q10" s="1381">
        <f>SUM(Q7:Q9)</f>
        <v>200</v>
      </c>
      <c r="R10" s="1382">
        <f>SUM(N10:Q10)</f>
        <v>794</v>
      </c>
      <c r="S10" s="1381">
        <f>SUM(S7:S9)</f>
        <v>168</v>
      </c>
      <c r="T10" s="1381">
        <f>SUM(T7:T9)</f>
        <v>197</v>
      </c>
      <c r="U10" s="1381">
        <f>SUM(U7:U9)</f>
        <v>162</v>
      </c>
      <c r="V10" s="1381">
        <f>SUM(V7:V9)</f>
        <v>246</v>
      </c>
      <c r="W10" s="1382">
        <f t="shared" si="1"/>
        <v>773</v>
      </c>
      <c r="X10" s="1381">
        <f>SUM(X7:X9)</f>
        <v>173</v>
      </c>
      <c r="Y10" s="1381">
        <f>SUM(Y7:Y9)</f>
        <v>172</v>
      </c>
      <c r="Z10" s="1381">
        <f>SUM(Z7:Z9)</f>
        <v>165</v>
      </c>
      <c r="AA10" s="1381">
        <f>SUM(AA7:AA9)</f>
        <v>232</v>
      </c>
      <c r="AB10" s="1382">
        <f t="shared" si="2"/>
        <v>742</v>
      </c>
      <c r="AC10" s="1381">
        <f>SUM(AC7:AC9)</f>
        <v>193</v>
      </c>
      <c r="AD10" s="1381">
        <f>SUM(AD7:AD9)</f>
        <v>214</v>
      </c>
      <c r="AE10" s="1381">
        <f>SUM(AE7:AE9)</f>
        <v>192</v>
      </c>
      <c r="AF10" s="1381">
        <f>SUM(AF7:AF9)</f>
        <v>274</v>
      </c>
      <c r="AG10" s="1382">
        <f t="shared" si="3"/>
        <v>873</v>
      </c>
      <c r="AH10" s="1381">
        <f>SUM(AH7:AH9)</f>
        <v>231</v>
      </c>
      <c r="AI10" s="1381">
        <f>SUM(AI7:AI9)</f>
        <v>253</v>
      </c>
      <c r="AJ10" s="1381">
        <f>SUM(AJ7:AJ9)</f>
        <v>216</v>
      </c>
      <c r="AK10" s="1381">
        <f>SUM(AK7:AK9)</f>
        <v>327</v>
      </c>
      <c r="AL10" s="1382">
        <f t="shared" si="4"/>
        <v>1027</v>
      </c>
      <c r="AM10" s="1381">
        <f>SUM(AM7:AM9)</f>
        <v>268</v>
      </c>
      <c r="AN10" s="1381">
        <f>SUM(AN7:AN9)</f>
        <v>304</v>
      </c>
      <c r="AO10" s="1381">
        <f>SUM(AO7:AO9)</f>
        <v>262</v>
      </c>
      <c r="AP10" s="1381">
        <f>SUM(AP7:AP9)</f>
        <v>390</v>
      </c>
      <c r="AQ10" s="1382">
        <f t="shared" si="5"/>
        <v>1224</v>
      </c>
      <c r="AR10" s="1381">
        <f>SUM(AR7:AR9)</f>
        <v>296</v>
      </c>
      <c r="AS10" s="1381">
        <f>SUM(AS7:AS9)</f>
        <v>365</v>
      </c>
      <c r="AT10" s="1381">
        <f>SUM(AT7:AT9)</f>
        <v>302</v>
      </c>
      <c r="AU10" s="1381">
        <f>SUM(AU7:AU9)</f>
        <v>465</v>
      </c>
      <c r="AV10" s="1382">
        <f t="shared" si="6"/>
        <v>1428</v>
      </c>
      <c r="AW10" s="1381">
        <f>SUM(AW7:AW9)</f>
        <v>318</v>
      </c>
      <c r="AX10" s="1381">
        <f>SUM(AX7:AX9)</f>
        <v>374</v>
      </c>
      <c r="AY10" s="1381">
        <f>SUM(AY7:AY9)</f>
        <v>303</v>
      </c>
      <c r="AZ10" s="1381">
        <f>SUM(AZ7:AZ9)</f>
        <v>402</v>
      </c>
      <c r="BA10" s="1382">
        <f t="shared" si="7"/>
        <v>1397</v>
      </c>
      <c r="BB10" s="1381">
        <f>SUM(BB7:BB9)</f>
        <v>256</v>
      </c>
      <c r="BC10" s="1381">
        <f>SUM(BC7:BC9)</f>
        <v>254</v>
      </c>
      <c r="BD10" s="1381">
        <f>SUM(BD7:BD9)</f>
        <v>233</v>
      </c>
      <c r="BE10" s="1381">
        <f>SUM(BE7:BE9)</f>
        <v>341</v>
      </c>
      <c r="BF10" s="1382">
        <f t="shared" si="8"/>
        <v>1084</v>
      </c>
      <c r="BG10" s="1381">
        <f>SUM(BG7:BG9)</f>
        <v>256</v>
      </c>
      <c r="BH10" s="1381">
        <f>SUM(BH7:BH9)</f>
        <v>288</v>
      </c>
      <c r="BI10" s="1381">
        <f>SUM(BI7:BI9)</f>
        <v>254</v>
      </c>
      <c r="BJ10" s="1381">
        <f>SUM(BJ7:BJ9)</f>
        <v>391</v>
      </c>
      <c r="BK10" s="1382">
        <f t="shared" si="9"/>
        <v>1189</v>
      </c>
      <c r="BL10" s="1381">
        <f>SUM(BL7:BL9)</f>
        <v>279</v>
      </c>
      <c r="BM10" s="1381">
        <f>SUM(BM7:BM9)</f>
        <v>320</v>
      </c>
      <c r="BN10" s="1381">
        <f>SUM(BN7:BN9)</f>
        <v>288</v>
      </c>
      <c r="BO10" s="1381">
        <f>SUM(BO7:BO9)</f>
        <v>420</v>
      </c>
      <c r="BP10" s="1382">
        <f t="shared" si="10"/>
        <v>1307</v>
      </c>
      <c r="BQ10" s="1381">
        <f>SUM(BQ7:BQ9)</f>
        <v>300</v>
      </c>
      <c r="BR10" s="1381">
        <f>SUM(BR7:BR9)</f>
        <v>342</v>
      </c>
      <c r="BS10" s="1381">
        <f>SUM(BS7:BS9)</f>
        <v>319</v>
      </c>
      <c r="BT10" s="1381">
        <f>SUM(BT7:BT9)</f>
        <v>459</v>
      </c>
      <c r="BU10" s="1382">
        <f t="shared" si="11"/>
        <v>1420</v>
      </c>
      <c r="BV10" s="1381">
        <f>SUM(BV7:BV9)</f>
        <v>370</v>
      </c>
      <c r="BW10" s="1381">
        <f>SUM(BW7:BW9)</f>
        <v>407</v>
      </c>
      <c r="BX10" s="1381">
        <f>SUM(BX7:BX9)</f>
        <v>378</v>
      </c>
      <c r="BY10" s="1381">
        <f>SUM(BY7:BY9)</f>
        <v>388</v>
      </c>
      <c r="BZ10" s="1382">
        <f t="shared" si="12"/>
        <v>1543</v>
      </c>
      <c r="CA10" s="1381">
        <f>SUM(CA7:CA9)</f>
        <v>389</v>
      </c>
      <c r="CB10" s="1381">
        <f>SUM(CB7:CB9)</f>
        <v>452</v>
      </c>
      <c r="CC10" s="1381">
        <f>SUM(CC7:CC9)</f>
        <v>448</v>
      </c>
      <c r="CD10" s="1381">
        <f>SUM(CD7:CD9)</f>
        <v>430</v>
      </c>
      <c r="CE10" s="1382">
        <f t="shared" si="13"/>
        <v>1719</v>
      </c>
      <c r="CF10" s="1381">
        <f>SUM(CF7:CF9)</f>
        <v>458</v>
      </c>
      <c r="CG10" s="1381">
        <f>SUM(CG7:CG9)</f>
        <v>493</v>
      </c>
      <c r="CH10" s="1381">
        <f>SUM(CH7:CH9)</f>
        <v>465</v>
      </c>
      <c r="CI10" s="1381">
        <f>SUM(CI7:CI9)</f>
        <v>454</v>
      </c>
      <c r="CJ10" s="1382">
        <f t="shared" si="14"/>
        <v>1870</v>
      </c>
      <c r="CK10" s="1381">
        <f>SUM(CK7:CK9)</f>
        <v>480</v>
      </c>
      <c r="CL10" s="1381">
        <f>SUM(CL7:CL9)</f>
        <v>515</v>
      </c>
      <c r="CM10" s="1381">
        <f>SUM(CM7:CM9)</f>
        <v>491</v>
      </c>
      <c r="CN10" s="1381">
        <f>CN242</f>
        <v>713</v>
      </c>
      <c r="CO10" s="1382">
        <f t="shared" si="15"/>
        <v>2199</v>
      </c>
      <c r="CP10" s="1381">
        <f>CP242</f>
        <v>782</v>
      </c>
      <c r="CQ10" s="1381">
        <f>CQ242</f>
        <v>849</v>
      </c>
      <c r="CR10" s="1381">
        <f>CR242</f>
        <v>831</v>
      </c>
      <c r="CS10" s="1381">
        <f>CS242</f>
        <v>865</v>
      </c>
      <c r="CT10" s="1382">
        <f t="shared" si="16"/>
        <v>3327</v>
      </c>
      <c r="CU10" s="1381">
        <f t="shared" ref="CU10:DA10" ca="1" si="42">CU242</f>
        <v>847.10129198108757</v>
      </c>
      <c r="CV10" s="1381">
        <f t="shared" ca="1" si="42"/>
        <v>929.79641871465742</v>
      </c>
      <c r="CW10" s="1381">
        <f t="shared" ca="1" si="42"/>
        <v>906.86753103306148</v>
      </c>
      <c r="CX10" s="1381">
        <f t="shared" ca="1" si="42"/>
        <v>934.98525498090453</v>
      </c>
      <c r="CY10" s="1382">
        <f t="shared" ca="1" si="18"/>
        <v>3618.7504967097111</v>
      </c>
      <c r="CZ10" s="2207">
        <f t="shared" ca="1" si="42"/>
        <v>3932.6956507228265</v>
      </c>
      <c r="DA10" s="1382">
        <f t="shared" ca="1" si="42"/>
        <v>3933.774686485267</v>
      </c>
      <c r="DB10" s="3545"/>
      <c r="DC10"/>
      <c r="DD10" s="1560" t="s">
        <v>1587</v>
      </c>
      <c r="DE10" s="1382">
        <f t="shared" si="19"/>
        <v>907</v>
      </c>
      <c r="DF10" s="1382">
        <f t="shared" si="20"/>
        <v>794</v>
      </c>
      <c r="DG10" s="1382">
        <f t="shared" si="21"/>
        <v>773</v>
      </c>
      <c r="DH10" s="1382">
        <f t="shared" si="22"/>
        <v>742</v>
      </c>
      <c r="DI10" s="1382">
        <f t="shared" si="23"/>
        <v>873</v>
      </c>
      <c r="DJ10" s="1382">
        <f t="shared" si="24"/>
        <v>1027</v>
      </c>
      <c r="DK10" s="1382">
        <f t="shared" si="25"/>
        <v>1224</v>
      </c>
      <c r="DL10" s="1382">
        <f t="shared" si="26"/>
        <v>1428</v>
      </c>
      <c r="DM10" s="1382">
        <f t="shared" si="27"/>
        <v>1397</v>
      </c>
      <c r="DN10" s="1382">
        <f t="shared" si="28"/>
        <v>1084</v>
      </c>
      <c r="DO10" s="1382">
        <f t="shared" si="29"/>
        <v>1189</v>
      </c>
      <c r="DP10" s="1382">
        <f t="shared" si="30"/>
        <v>1307</v>
      </c>
      <c r="DQ10" s="1382">
        <f t="shared" si="31"/>
        <v>1420</v>
      </c>
      <c r="DR10" s="1382">
        <f t="shared" si="32"/>
        <v>1543</v>
      </c>
      <c r="DS10" s="1382">
        <f t="shared" si="33"/>
        <v>1719</v>
      </c>
      <c r="DT10" s="1382">
        <f t="shared" si="34"/>
        <v>1870</v>
      </c>
      <c r="DU10" s="1382">
        <f t="shared" si="35"/>
        <v>2199</v>
      </c>
      <c r="DV10" s="1382">
        <f t="shared" si="36"/>
        <v>3327</v>
      </c>
      <c r="DW10" s="1382">
        <f t="shared" ca="1" si="37"/>
        <v>3618.7504967097111</v>
      </c>
      <c r="DX10" s="1382">
        <f t="shared" ca="1" si="38"/>
        <v>3932.6956507228265</v>
      </c>
      <c r="DY10" s="1382">
        <f t="shared" ca="1" si="39"/>
        <v>3933.774686485267</v>
      </c>
      <c r="EA10"/>
      <c r="EB10"/>
      <c r="EC10"/>
      <c r="ED10"/>
      <c r="EE10"/>
      <c r="EF10"/>
      <c r="EJ10"/>
      <c r="EK10"/>
      <c r="EL10"/>
      <c r="EM10" s="1703"/>
      <c r="ER10" s="212"/>
    </row>
    <row r="11" spans="1:148" s="925" customFormat="1" ht="12.75" customHeight="1" x14ac:dyDescent="0.2">
      <c r="A11" s="504" t="s">
        <v>681</v>
      </c>
      <c r="B11" s="224"/>
      <c r="C11" s="224"/>
      <c r="D11" s="224"/>
      <c r="E11" s="224"/>
      <c r="F11" s="224"/>
      <c r="G11" s="224"/>
      <c r="H11" s="224"/>
      <c r="I11" s="224">
        <f>348-I13</f>
        <v>175</v>
      </c>
      <c r="J11" s="224">
        <f>417-J13</f>
        <v>224</v>
      </c>
      <c r="K11" s="224">
        <f>414-K13</f>
        <v>218</v>
      </c>
      <c r="L11" s="224">
        <f>1702-K11-J11-I11-L13-K13-J13-I13</f>
        <v>263</v>
      </c>
      <c r="M11" s="965">
        <f>SUM(I11:L11)</f>
        <v>880</v>
      </c>
      <c r="N11" s="224">
        <f>405-N13</f>
        <v>171</v>
      </c>
      <c r="O11" s="224">
        <f>442-O13</f>
        <v>198</v>
      </c>
      <c r="P11" s="224">
        <f>429-P13</f>
        <v>143</v>
      </c>
      <c r="Q11" s="224">
        <f>461-Q13</f>
        <v>176</v>
      </c>
      <c r="R11" s="965">
        <v>803</v>
      </c>
      <c r="S11" s="224">
        <v>139</v>
      </c>
      <c r="T11" s="224">
        <v>165</v>
      </c>
      <c r="U11" s="224">
        <v>150</v>
      </c>
      <c r="V11" s="224">
        <v>197</v>
      </c>
      <c r="W11" s="965">
        <f t="shared" si="1"/>
        <v>651</v>
      </c>
      <c r="X11" s="224">
        <v>137</v>
      </c>
      <c r="Y11" s="224">
        <v>145</v>
      </c>
      <c r="Z11" s="224">
        <v>132</v>
      </c>
      <c r="AA11" s="224">
        <f>219</f>
        <v>219</v>
      </c>
      <c r="AB11" s="965">
        <f t="shared" si="2"/>
        <v>633</v>
      </c>
      <c r="AC11" s="224">
        <v>156</v>
      </c>
      <c r="AD11" s="224">
        <v>182</v>
      </c>
      <c r="AE11" s="224">
        <v>153</v>
      </c>
      <c r="AF11" s="224">
        <v>239</v>
      </c>
      <c r="AG11" s="965">
        <f t="shared" si="3"/>
        <v>730</v>
      </c>
      <c r="AH11" s="224">
        <v>167</v>
      </c>
      <c r="AI11" s="224">
        <v>180</v>
      </c>
      <c r="AJ11" s="224">
        <v>236</v>
      </c>
      <c r="AK11" s="224">
        <v>361</v>
      </c>
      <c r="AL11" s="965">
        <f t="shared" si="4"/>
        <v>944</v>
      </c>
      <c r="AM11" s="224">
        <v>254</v>
      </c>
      <c r="AN11" s="224">
        <v>272</v>
      </c>
      <c r="AO11" s="224">
        <v>239</v>
      </c>
      <c r="AP11" s="224">
        <v>354</v>
      </c>
      <c r="AQ11" s="965">
        <f t="shared" si="5"/>
        <v>1119</v>
      </c>
      <c r="AR11" s="224">
        <v>250</v>
      </c>
      <c r="AS11" s="224">
        <f>312</f>
        <v>312</v>
      </c>
      <c r="AT11" s="224">
        <v>262</v>
      </c>
      <c r="AU11" s="224">
        <v>416</v>
      </c>
      <c r="AV11" s="965">
        <f t="shared" si="6"/>
        <v>1240</v>
      </c>
      <c r="AW11" s="224">
        <v>270</v>
      </c>
      <c r="AX11" s="224">
        <v>319</v>
      </c>
      <c r="AY11" s="224">
        <v>260</v>
      </c>
      <c r="AZ11" s="224">
        <v>376</v>
      </c>
      <c r="BA11" s="965">
        <f t="shared" si="7"/>
        <v>1225</v>
      </c>
      <c r="BB11" s="224">
        <v>220</v>
      </c>
      <c r="BC11" s="224">
        <v>238</v>
      </c>
      <c r="BD11" s="224">
        <v>226</v>
      </c>
      <c r="BE11" s="224">
        <v>335</v>
      </c>
      <c r="BF11" s="965">
        <f t="shared" si="8"/>
        <v>1019</v>
      </c>
      <c r="BG11" s="224">
        <v>229</v>
      </c>
      <c r="BH11" s="224">
        <v>255</v>
      </c>
      <c r="BI11" s="224">
        <v>220</v>
      </c>
      <c r="BJ11" s="224">
        <v>342</v>
      </c>
      <c r="BK11" s="965">
        <f t="shared" si="9"/>
        <v>1046</v>
      </c>
      <c r="BL11" s="224">
        <v>224</v>
      </c>
      <c r="BM11" s="224">
        <v>249</v>
      </c>
      <c r="BN11" s="224">
        <v>254</v>
      </c>
      <c r="BO11" s="224">
        <v>356</v>
      </c>
      <c r="BP11" s="965">
        <f t="shared" si="10"/>
        <v>1083</v>
      </c>
      <c r="BQ11" s="224">
        <v>217</v>
      </c>
      <c r="BR11" s="224">
        <v>264</v>
      </c>
      <c r="BS11" s="224">
        <v>200</v>
      </c>
      <c r="BT11" s="224">
        <v>308</v>
      </c>
      <c r="BU11" s="965">
        <f t="shared" si="11"/>
        <v>989</v>
      </c>
      <c r="BV11" s="224">
        <v>224</v>
      </c>
      <c r="BW11" s="224">
        <v>246</v>
      </c>
      <c r="BX11" s="224">
        <v>220</v>
      </c>
      <c r="BY11" s="224">
        <v>260</v>
      </c>
      <c r="BZ11" s="965">
        <f t="shared" si="12"/>
        <v>950</v>
      </c>
      <c r="CA11" s="224">
        <v>234</v>
      </c>
      <c r="CB11" s="224">
        <v>269</v>
      </c>
      <c r="CC11" s="224">
        <v>244</v>
      </c>
      <c r="CD11" s="224">
        <v>275</v>
      </c>
      <c r="CE11" s="965">
        <f t="shared" si="13"/>
        <v>1022</v>
      </c>
      <c r="CF11" s="224">
        <v>257</v>
      </c>
      <c r="CG11" s="224">
        <v>243</v>
      </c>
      <c r="CH11" s="224">
        <v>229</v>
      </c>
      <c r="CI11" s="224">
        <v>257</v>
      </c>
      <c r="CJ11" s="965">
        <f t="shared" si="14"/>
        <v>986</v>
      </c>
      <c r="CK11" s="2915">
        <v>247</v>
      </c>
      <c r="CL11" s="2915">
        <v>245</v>
      </c>
      <c r="CM11" s="2915">
        <v>249</v>
      </c>
      <c r="CN11" s="2915">
        <v>536</v>
      </c>
      <c r="CO11" s="1379">
        <f t="shared" ref="CO11:DA11" si="43">CO171</f>
        <v>2140</v>
      </c>
      <c r="CP11" s="2915">
        <v>439</v>
      </c>
      <c r="CQ11" s="2915">
        <v>458</v>
      </c>
      <c r="CR11" s="2915">
        <v>452</v>
      </c>
      <c r="CS11" s="2915">
        <v>453</v>
      </c>
      <c r="CT11" s="1379">
        <f t="shared" si="43"/>
        <v>1802</v>
      </c>
      <c r="CU11" s="1378">
        <f>CU171</f>
        <v>406.07500000000005</v>
      </c>
      <c r="CV11" s="1378">
        <f>CV171</f>
        <v>439.68</v>
      </c>
      <c r="CW11" s="1378">
        <f>CW171</f>
        <v>438.44</v>
      </c>
      <c r="CX11" s="1378">
        <f>CX171</f>
        <v>439.40999999999997</v>
      </c>
      <c r="CY11" s="1379">
        <f>CY171</f>
        <v>1723.605</v>
      </c>
      <c r="CZ11" s="1779">
        <f t="shared" si="43"/>
        <v>1740.84105</v>
      </c>
      <c r="DA11" s="1379">
        <f t="shared" si="43"/>
        <v>1601.5737660000002</v>
      </c>
      <c r="DB11"/>
      <c r="DC11"/>
      <c r="DD11" s="2285" t="s">
        <v>681</v>
      </c>
      <c r="DE11" s="2284">
        <f t="shared" si="19"/>
        <v>880</v>
      </c>
      <c r="DF11" s="2284">
        <f t="shared" si="20"/>
        <v>803</v>
      </c>
      <c r="DG11" s="2284">
        <f t="shared" si="21"/>
        <v>651</v>
      </c>
      <c r="DH11" s="2284">
        <f t="shared" si="22"/>
        <v>633</v>
      </c>
      <c r="DI11" s="2284">
        <f t="shared" si="23"/>
        <v>730</v>
      </c>
      <c r="DJ11" s="2284">
        <f t="shared" si="24"/>
        <v>944</v>
      </c>
      <c r="DK11" s="2284">
        <f t="shared" si="25"/>
        <v>1119</v>
      </c>
      <c r="DL11" s="2284">
        <f t="shared" si="26"/>
        <v>1240</v>
      </c>
      <c r="DM11" s="2284">
        <f t="shared" si="27"/>
        <v>1225</v>
      </c>
      <c r="DN11" s="2284">
        <f t="shared" si="28"/>
        <v>1019</v>
      </c>
      <c r="DO11" s="2284">
        <f t="shared" si="29"/>
        <v>1046</v>
      </c>
      <c r="DP11" s="2284">
        <f t="shared" si="30"/>
        <v>1083</v>
      </c>
      <c r="DQ11" s="2284">
        <f t="shared" si="31"/>
        <v>989</v>
      </c>
      <c r="DR11" s="2284">
        <f t="shared" si="32"/>
        <v>950</v>
      </c>
      <c r="DS11" s="2284">
        <f t="shared" si="33"/>
        <v>1022</v>
      </c>
      <c r="DT11" s="2284">
        <f t="shared" si="34"/>
        <v>986</v>
      </c>
      <c r="DU11" s="2284">
        <f t="shared" si="35"/>
        <v>2140</v>
      </c>
      <c r="DV11" s="2284">
        <f t="shared" si="36"/>
        <v>1802</v>
      </c>
      <c r="DW11" s="2284">
        <f t="shared" si="37"/>
        <v>1723.605</v>
      </c>
      <c r="DX11" s="2284">
        <f t="shared" si="38"/>
        <v>1740.84105</v>
      </c>
      <c r="DY11" s="2284">
        <f t="shared" si="39"/>
        <v>1601.5737660000002</v>
      </c>
      <c r="EA11"/>
      <c r="EB11"/>
      <c r="EC11"/>
      <c r="ED11"/>
      <c r="EE11"/>
      <c r="EF11"/>
      <c r="EJ11"/>
      <c r="EK11"/>
      <c r="EL11"/>
      <c r="EM11" s="1703"/>
      <c r="ER11" s="1650"/>
    </row>
    <row r="12" spans="1:148" s="927" customFormat="1" ht="12.75" customHeight="1" x14ac:dyDescent="0.2">
      <c r="A12" s="1436" t="s">
        <v>987</v>
      </c>
      <c r="B12" s="844"/>
      <c r="C12" s="844"/>
      <c r="D12" s="844"/>
      <c r="E12" s="844"/>
      <c r="F12" s="844"/>
      <c r="G12" s="844"/>
      <c r="H12" s="844"/>
      <c r="I12" s="844">
        <f>1185+69</f>
        <v>1254</v>
      </c>
      <c r="J12" s="844">
        <f>1226+75</f>
        <v>1301</v>
      </c>
      <c r="K12" s="844">
        <f>1178+81</f>
        <v>1259</v>
      </c>
      <c r="L12" s="844">
        <f>5638-K12-J12-I12</f>
        <v>1824</v>
      </c>
      <c r="M12" s="245">
        <f>SUM(I12:L12)</f>
        <v>5638</v>
      </c>
      <c r="N12" s="844">
        <v>1409</v>
      </c>
      <c r="O12" s="844">
        <v>1301</v>
      </c>
      <c r="P12" s="844">
        <f>1187+83</f>
        <v>1270</v>
      </c>
      <c r="Q12" s="844">
        <v>1595</v>
      </c>
      <c r="R12" s="245">
        <v>5237</v>
      </c>
      <c r="S12" s="844">
        <v>1262</v>
      </c>
      <c r="T12" s="844">
        <v>1343</v>
      </c>
      <c r="U12" s="844">
        <v>1282</v>
      </c>
      <c r="V12" s="844">
        <v>1852</v>
      </c>
      <c r="W12" s="245">
        <f>SUM(S12:V12)</f>
        <v>5739</v>
      </c>
      <c r="X12" s="844">
        <v>1408</v>
      </c>
      <c r="Y12" s="844">
        <v>1402</v>
      </c>
      <c r="Z12" s="844">
        <v>1423</v>
      </c>
      <c r="AA12" s="844">
        <v>1959</v>
      </c>
      <c r="AB12" s="245">
        <f>SUM(X12:AA12)</f>
        <v>6192</v>
      </c>
      <c r="AC12" s="844">
        <v>1585</v>
      </c>
      <c r="AD12" s="844">
        <v>1614</v>
      </c>
      <c r="AE12" s="844">
        <v>1573</v>
      </c>
      <c r="AF12" s="844">
        <v>2156</v>
      </c>
      <c r="AG12" s="245">
        <f>SUM(AC12:AF12)</f>
        <v>6928</v>
      </c>
      <c r="AH12" s="844">
        <v>1682</v>
      </c>
      <c r="AI12" s="844">
        <v>1795</v>
      </c>
      <c r="AJ12" s="844">
        <v>1771</v>
      </c>
      <c r="AK12" s="844">
        <v>2423</v>
      </c>
      <c r="AL12" s="245">
        <f>SUM(AH12:AK12)</f>
        <v>7671</v>
      </c>
      <c r="AM12" s="844">
        <v>1820</v>
      </c>
      <c r="AN12" s="844">
        <v>1905</v>
      </c>
      <c r="AO12" s="844">
        <v>1822</v>
      </c>
      <c r="AP12" s="844">
        <v>2528</v>
      </c>
      <c r="AQ12" s="245">
        <f>SUM(AM12:AP12)</f>
        <v>8075</v>
      </c>
      <c r="AR12" s="844">
        <v>1921</v>
      </c>
      <c r="AS12" s="844">
        <v>1992</v>
      </c>
      <c r="AT12" s="844">
        <v>1990</v>
      </c>
      <c r="AU12" s="844">
        <v>2672</v>
      </c>
      <c r="AV12" s="245">
        <f>SUM(AR12:AU12)</f>
        <v>8575</v>
      </c>
      <c r="AW12" s="844">
        <v>2033</v>
      </c>
      <c r="AX12" s="844">
        <v>2104</v>
      </c>
      <c r="AY12" s="844">
        <v>2016</v>
      </c>
      <c r="AZ12" s="844">
        <v>2681</v>
      </c>
      <c r="BA12" s="245">
        <f>SUM(AW12:AZ12)</f>
        <v>8834</v>
      </c>
      <c r="BB12" s="844">
        <v>1810</v>
      </c>
      <c r="BC12" s="844">
        <v>1787</v>
      </c>
      <c r="BD12" s="844">
        <v>1758</v>
      </c>
      <c r="BE12" s="844">
        <v>2327</v>
      </c>
      <c r="BF12" s="245">
        <f>SUM(BB12:BE12)</f>
        <v>7682</v>
      </c>
      <c r="BG12" s="844">
        <v>1860</v>
      </c>
      <c r="BH12" s="844">
        <v>1940</v>
      </c>
      <c r="BI12" s="844">
        <v>1900</v>
      </c>
      <c r="BJ12" s="844">
        <v>2539</v>
      </c>
      <c r="BK12" s="245">
        <f>SUM(BG12:BJ12)</f>
        <v>8239</v>
      </c>
      <c r="BL12" s="844">
        <v>1999</v>
      </c>
      <c r="BM12" s="844">
        <v>2116</v>
      </c>
      <c r="BN12" s="844">
        <v>2045</v>
      </c>
      <c r="BO12" s="844">
        <v>2683</v>
      </c>
      <c r="BP12" s="245">
        <f>SUM(BL12:BO12)</f>
        <v>8843</v>
      </c>
      <c r="BQ12" s="844">
        <v>2035</v>
      </c>
      <c r="BR12" s="844">
        <v>2170</v>
      </c>
      <c r="BS12" s="844">
        <v>2210</v>
      </c>
      <c r="BT12" s="844">
        <v>2990</v>
      </c>
      <c r="BU12" s="245">
        <f>SUM(BQ12:BT12)</f>
        <v>9405</v>
      </c>
      <c r="BV12" s="844">
        <v>2548</v>
      </c>
      <c r="BW12" s="844">
        <v>2610</v>
      </c>
      <c r="BX12" s="844">
        <v>2562</v>
      </c>
      <c r="BY12" s="844">
        <v>2571</v>
      </c>
      <c r="BZ12" s="245">
        <f>SUM(BV12:BY12)</f>
        <v>10291</v>
      </c>
      <c r="CA12" s="844">
        <v>2670</v>
      </c>
      <c r="CB12" s="844">
        <v>2763</v>
      </c>
      <c r="CC12" s="844">
        <v>2768</v>
      </c>
      <c r="CD12" s="844">
        <v>2854</v>
      </c>
      <c r="CE12" s="245">
        <f>SUM(CA12:CD12)</f>
        <v>11055</v>
      </c>
      <c r="CF12" s="844">
        <v>2798</v>
      </c>
      <c r="CG12" s="844">
        <v>2953</v>
      </c>
      <c r="CH12" s="844">
        <v>2884</v>
      </c>
      <c r="CI12" s="844">
        <v>2995</v>
      </c>
      <c r="CJ12" s="245">
        <f t="shared" si="14"/>
        <v>11630</v>
      </c>
      <c r="CK12" s="2982">
        <v>3045</v>
      </c>
      <c r="CL12" s="2982">
        <v>3142</v>
      </c>
      <c r="CM12" s="2982">
        <v>3034</v>
      </c>
      <c r="CN12" s="2982">
        <v>4207</v>
      </c>
      <c r="CO12" s="245">
        <f t="shared" si="15"/>
        <v>13428</v>
      </c>
      <c r="CP12" s="2982">
        <v>4340</v>
      </c>
      <c r="CQ12" s="2982">
        <v>4488</v>
      </c>
      <c r="CR12" s="2982">
        <v>4380</v>
      </c>
      <c r="CS12" s="2982">
        <v>4557</v>
      </c>
      <c r="CT12" s="245">
        <f>SUM(CP12:CS12)</f>
        <v>17765</v>
      </c>
      <c r="CU12" s="765">
        <f ca="1">+CU644</f>
        <v>4701.3038455216374</v>
      </c>
      <c r="CV12" s="765">
        <f ca="1">+CV644</f>
        <v>4915.1075703078714</v>
      </c>
      <c r="CW12" s="765">
        <f ca="1">+CW644</f>
        <v>4779.8794054450173</v>
      </c>
      <c r="CX12" s="765">
        <f ca="1">+CX644</f>
        <v>4925.6968866450661</v>
      </c>
      <c r="CY12" s="245">
        <f ca="1">SUM(CU12:CX12)</f>
        <v>19321.987707919594</v>
      </c>
      <c r="CZ12" s="1793">
        <f ca="1">+CZ644</f>
        <v>20998.269179194776</v>
      </c>
      <c r="DA12" s="245">
        <f ca="1">+DA644</f>
        <v>21004.030592079482</v>
      </c>
      <c r="DB12"/>
      <c r="DC12"/>
      <c r="DD12" s="2288" t="s">
        <v>987</v>
      </c>
      <c r="DE12" s="2289">
        <f t="shared" si="19"/>
        <v>5638</v>
      </c>
      <c r="DF12" s="2289">
        <f t="shared" si="20"/>
        <v>5237</v>
      </c>
      <c r="DG12" s="2289">
        <f t="shared" si="21"/>
        <v>5739</v>
      </c>
      <c r="DH12" s="2289">
        <f t="shared" si="22"/>
        <v>6192</v>
      </c>
      <c r="DI12" s="2289">
        <f t="shared" si="23"/>
        <v>6928</v>
      </c>
      <c r="DJ12" s="2289">
        <f t="shared" si="24"/>
        <v>7671</v>
      </c>
      <c r="DK12" s="2289">
        <f t="shared" si="25"/>
        <v>8075</v>
      </c>
      <c r="DL12" s="2289">
        <f t="shared" si="26"/>
        <v>8575</v>
      </c>
      <c r="DM12" s="2289">
        <f t="shared" si="27"/>
        <v>8834</v>
      </c>
      <c r="DN12" s="2289">
        <f t="shared" si="28"/>
        <v>7682</v>
      </c>
      <c r="DO12" s="2289">
        <f t="shared" si="29"/>
        <v>8239</v>
      </c>
      <c r="DP12" s="2289">
        <f t="shared" si="30"/>
        <v>8843</v>
      </c>
      <c r="DQ12" s="2289">
        <f t="shared" si="31"/>
        <v>9405</v>
      </c>
      <c r="DR12" s="2289">
        <f t="shared" si="32"/>
        <v>10291</v>
      </c>
      <c r="DS12" s="2289">
        <f t="shared" si="33"/>
        <v>11055</v>
      </c>
      <c r="DT12" s="2289">
        <f t="shared" si="34"/>
        <v>11630</v>
      </c>
      <c r="DU12" s="2289">
        <f t="shared" si="35"/>
        <v>13428</v>
      </c>
      <c r="DV12" s="2289">
        <f t="shared" si="36"/>
        <v>17765</v>
      </c>
      <c r="DW12" s="2289">
        <f t="shared" ca="1" si="37"/>
        <v>19321.987707919594</v>
      </c>
      <c r="DX12" s="2289">
        <f t="shared" ca="1" si="38"/>
        <v>20998.269179194776</v>
      </c>
      <c r="DY12" s="2289">
        <f t="shared" ca="1" si="39"/>
        <v>21004.030592079482</v>
      </c>
      <c r="EA12"/>
      <c r="EB12"/>
      <c r="EC12"/>
      <c r="ED12"/>
      <c r="EE12"/>
      <c r="EF12"/>
      <c r="EJ12"/>
      <c r="EK12"/>
      <c r="EL12"/>
      <c r="EM12" s="1703"/>
      <c r="ER12" s="1445"/>
    </row>
    <row r="13" spans="1:148" s="923" customFormat="1" ht="12.75" hidden="1" customHeight="1" outlineLevel="1" x14ac:dyDescent="0.2">
      <c r="A13" s="504" t="s">
        <v>576</v>
      </c>
      <c r="B13" s="221"/>
      <c r="C13" s="221"/>
      <c r="D13" s="221"/>
      <c r="E13" s="221"/>
      <c r="F13" s="221"/>
      <c r="G13" s="221"/>
      <c r="H13" s="221"/>
      <c r="I13" s="221">
        <v>173</v>
      </c>
      <c r="J13" s="221">
        <v>193</v>
      </c>
      <c r="K13" s="221">
        <v>196</v>
      </c>
      <c r="L13" s="221">
        <f>822-K13-J13-I13</f>
        <v>260</v>
      </c>
      <c r="M13" s="966">
        <f>SUM(I13:L13)</f>
        <v>822</v>
      </c>
      <c r="N13" s="221">
        <v>234</v>
      </c>
      <c r="O13" s="221">
        <v>244</v>
      </c>
      <c r="P13" s="221">
        <v>286</v>
      </c>
      <c r="Q13" s="221">
        <f>1049-P13-O13-N13</f>
        <v>285</v>
      </c>
      <c r="R13" s="966">
        <v>934</v>
      </c>
      <c r="S13" s="221">
        <v>221</v>
      </c>
      <c r="T13" s="221">
        <v>261</v>
      </c>
      <c r="U13" s="221">
        <v>259</v>
      </c>
      <c r="V13" s="221">
        <v>318</v>
      </c>
      <c r="W13" s="966">
        <f t="shared" si="1"/>
        <v>1059</v>
      </c>
      <c r="X13" s="221">
        <v>237</v>
      </c>
      <c r="Y13" s="221">
        <v>234</v>
      </c>
      <c r="Z13" s="221">
        <v>296</v>
      </c>
      <c r="AA13" s="221">
        <v>378</v>
      </c>
      <c r="AB13" s="966">
        <f t="shared" si="2"/>
        <v>1145</v>
      </c>
      <c r="AC13" s="221">
        <v>318</v>
      </c>
      <c r="AD13" s="221">
        <v>281</v>
      </c>
      <c r="AE13" s="221">
        <v>299</v>
      </c>
      <c r="AF13" s="221">
        <v>349</v>
      </c>
      <c r="AG13" s="966">
        <f t="shared" si="3"/>
        <v>1247</v>
      </c>
      <c r="AH13" s="221">
        <v>346</v>
      </c>
      <c r="AI13" s="221">
        <v>335</v>
      </c>
      <c r="AJ13" s="221">
        <v>393</v>
      </c>
      <c r="AK13" s="221">
        <v>413</v>
      </c>
      <c r="AL13" s="966">
        <f t="shared" si="4"/>
        <v>1487</v>
      </c>
      <c r="AM13" s="221">
        <v>306</v>
      </c>
      <c r="AN13" s="221">
        <f>331+40</f>
        <v>371</v>
      </c>
      <c r="AO13" s="221">
        <v>374</v>
      </c>
      <c r="AP13" s="221">
        <v>526</v>
      </c>
      <c r="AQ13" s="966">
        <f t="shared" si="5"/>
        <v>1577</v>
      </c>
      <c r="AR13" s="221">
        <v>369</v>
      </c>
      <c r="AS13" s="221">
        <v>453</v>
      </c>
      <c r="AT13" s="221">
        <v>389</v>
      </c>
      <c r="AU13" s="221">
        <v>536</v>
      </c>
      <c r="AV13" s="966">
        <f t="shared" si="6"/>
        <v>1747</v>
      </c>
      <c r="AW13" s="221">
        <v>326</v>
      </c>
      <c r="AX13" s="221">
        <v>388</v>
      </c>
      <c r="AY13" s="221">
        <v>384</v>
      </c>
      <c r="AZ13" s="221">
        <v>325</v>
      </c>
      <c r="BA13" s="966">
        <f t="shared" si="7"/>
        <v>1423</v>
      </c>
      <c r="BB13" s="221">
        <v>209</v>
      </c>
      <c r="BC13" s="221">
        <v>283</v>
      </c>
      <c r="BD13" s="221">
        <v>254</v>
      </c>
      <c r="BE13" s="221">
        <v>375</v>
      </c>
      <c r="BF13" s="966">
        <f t="shared" si="8"/>
        <v>1121</v>
      </c>
      <c r="BG13" s="221">
        <v>0</v>
      </c>
      <c r="BH13" s="221">
        <v>0</v>
      </c>
      <c r="BI13" s="221">
        <v>0</v>
      </c>
      <c r="BJ13" s="221">
        <v>0</v>
      </c>
      <c r="BK13" s="966">
        <f t="shared" si="9"/>
        <v>0</v>
      </c>
      <c r="BL13" s="221">
        <v>0</v>
      </c>
      <c r="BM13" s="221">
        <v>0</v>
      </c>
      <c r="BN13" s="221">
        <v>0</v>
      </c>
      <c r="BO13" s="221">
        <v>0</v>
      </c>
      <c r="BP13" s="966">
        <f t="shared" si="10"/>
        <v>0</v>
      </c>
      <c r="BQ13" s="221">
        <f>BQ441</f>
        <v>0</v>
      </c>
      <c r="BR13" s="221">
        <f>BR441</f>
        <v>0</v>
      </c>
      <c r="BS13" s="221">
        <f>BS441</f>
        <v>0</v>
      </c>
      <c r="BT13" s="221">
        <f>BT441</f>
        <v>0</v>
      </c>
      <c r="BU13" s="966">
        <f t="shared" si="11"/>
        <v>0</v>
      </c>
      <c r="BV13" s="221">
        <f>BV441</f>
        <v>0</v>
      </c>
      <c r="BW13" s="221">
        <f>BW441</f>
        <v>0</v>
      </c>
      <c r="BX13" s="221">
        <f>BX441</f>
        <v>0</v>
      </c>
      <c r="BY13" s="221">
        <f>BY441</f>
        <v>0</v>
      </c>
      <c r="BZ13" s="966">
        <f t="shared" si="12"/>
        <v>0</v>
      </c>
      <c r="CA13" s="221">
        <f>CA441</f>
        <v>0</v>
      </c>
      <c r="CB13" s="221">
        <f>CB441</f>
        <v>0</v>
      </c>
      <c r="CC13" s="221">
        <f>CC441</f>
        <v>0</v>
      </c>
      <c r="CD13" s="221">
        <f>CD441</f>
        <v>0</v>
      </c>
      <c r="CE13" s="966">
        <f t="shared" si="13"/>
        <v>0</v>
      </c>
      <c r="CF13" s="221">
        <f>CF441</f>
        <v>0</v>
      </c>
      <c r="CG13" s="221">
        <f>CG441</f>
        <v>0</v>
      </c>
      <c r="CH13" s="221">
        <f>CH441</f>
        <v>0</v>
      </c>
      <c r="CI13" s="221">
        <f>CI441</f>
        <v>0</v>
      </c>
      <c r="CJ13" s="966">
        <f t="shared" si="14"/>
        <v>0</v>
      </c>
      <c r="CK13" s="221">
        <f>CK441</f>
        <v>0</v>
      </c>
      <c r="CL13" s="221">
        <f>CL441</f>
        <v>0</v>
      </c>
      <c r="CM13" s="221">
        <f>CM441</f>
        <v>0</v>
      </c>
      <c r="CN13" s="221">
        <f>CN441</f>
        <v>0</v>
      </c>
      <c r="CO13" s="966">
        <f t="shared" si="15"/>
        <v>0</v>
      </c>
      <c r="CP13" s="221">
        <f>CP441</f>
        <v>0</v>
      </c>
      <c r="CQ13" s="221">
        <f>CQ441</f>
        <v>0</v>
      </c>
      <c r="CR13" s="221">
        <f>CR441</f>
        <v>0</v>
      </c>
      <c r="CS13" s="221">
        <f>CS441</f>
        <v>0</v>
      </c>
      <c r="CT13" s="966">
        <f t="shared" si="16"/>
        <v>0</v>
      </c>
      <c r="CU13" s="221">
        <f t="shared" ref="CU13:DA13" si="44">CU441</f>
        <v>0</v>
      </c>
      <c r="CV13" s="221">
        <f t="shared" si="44"/>
        <v>0</v>
      </c>
      <c r="CW13" s="221">
        <f t="shared" si="44"/>
        <v>0</v>
      </c>
      <c r="CX13" s="221">
        <f t="shared" si="44"/>
        <v>0</v>
      </c>
      <c r="CY13" s="966">
        <f t="shared" si="18"/>
        <v>0</v>
      </c>
      <c r="CZ13" s="1781">
        <f t="shared" si="44"/>
        <v>0</v>
      </c>
      <c r="DA13" s="966">
        <f t="shared" si="44"/>
        <v>0</v>
      </c>
      <c r="DB13"/>
      <c r="DC13"/>
      <c r="DD13" s="2285" t="s">
        <v>576</v>
      </c>
      <c r="DE13" s="966">
        <f t="shared" si="19"/>
        <v>822</v>
      </c>
      <c r="DF13" s="966">
        <f t="shared" si="20"/>
        <v>934</v>
      </c>
      <c r="DG13" s="966">
        <f t="shared" si="21"/>
        <v>1059</v>
      </c>
      <c r="DH13" s="966">
        <f t="shared" si="22"/>
        <v>1145</v>
      </c>
      <c r="DI13" s="966">
        <f t="shared" si="23"/>
        <v>1247</v>
      </c>
      <c r="DJ13" s="966">
        <f t="shared" si="24"/>
        <v>1487</v>
      </c>
      <c r="DK13" s="966">
        <f t="shared" si="25"/>
        <v>1577</v>
      </c>
      <c r="DL13" s="966">
        <f t="shared" si="26"/>
        <v>1747</v>
      </c>
      <c r="DM13" s="966">
        <f t="shared" si="27"/>
        <v>1423</v>
      </c>
      <c r="DN13" s="966">
        <f t="shared" si="28"/>
        <v>1121</v>
      </c>
      <c r="DO13" s="966">
        <f t="shared" si="29"/>
        <v>0</v>
      </c>
      <c r="DP13" s="966">
        <f t="shared" si="30"/>
        <v>0</v>
      </c>
      <c r="DQ13" s="966">
        <f t="shared" si="31"/>
        <v>0</v>
      </c>
      <c r="DR13" s="966">
        <f t="shared" si="32"/>
        <v>0</v>
      </c>
      <c r="DS13" s="966">
        <f t="shared" si="33"/>
        <v>0</v>
      </c>
      <c r="DT13" s="966">
        <f t="shared" si="34"/>
        <v>0</v>
      </c>
      <c r="DU13" s="966">
        <f t="shared" si="35"/>
        <v>0</v>
      </c>
      <c r="DV13" s="966">
        <f t="shared" si="36"/>
        <v>0</v>
      </c>
      <c r="DW13" s="966">
        <f t="shared" si="37"/>
        <v>0</v>
      </c>
      <c r="DX13" s="966">
        <f t="shared" si="38"/>
        <v>0</v>
      </c>
      <c r="DY13" s="966">
        <f t="shared" si="39"/>
        <v>0</v>
      </c>
      <c r="EA13"/>
      <c r="EB13"/>
      <c r="EC13"/>
      <c r="ED13"/>
      <c r="EE13"/>
      <c r="EF13"/>
      <c r="EJ13"/>
      <c r="EK13"/>
      <c r="EL13"/>
      <c r="ER13" s="212"/>
    </row>
    <row r="14" spans="1:148" s="1703" customFormat="1" ht="12.75" customHeight="1" collapsed="1" x14ac:dyDescent="0.2">
      <c r="A14" s="1969" t="s">
        <v>2503</v>
      </c>
      <c r="B14" s="1667"/>
      <c r="C14" s="1667"/>
      <c r="D14" s="1667"/>
      <c r="E14" s="1667"/>
      <c r="F14" s="1667"/>
      <c r="G14" s="1667"/>
      <c r="H14" s="1667"/>
      <c r="I14" s="1667">
        <f>SUM(I10:I13)</f>
        <v>1785</v>
      </c>
      <c r="J14" s="1667">
        <f>SUM(J10:J13)</f>
        <v>1940</v>
      </c>
      <c r="K14" s="1667">
        <f>SUM(K10:K13)</f>
        <v>1880</v>
      </c>
      <c r="L14" s="1667">
        <f>SUM(L10:L13)</f>
        <v>2642</v>
      </c>
      <c r="M14" s="1668">
        <f>SUM(I14:L14)</f>
        <v>8247</v>
      </c>
      <c r="N14" s="1667">
        <f t="shared" ref="N14:V14" si="45">SUM(N10:N13)</f>
        <v>2010</v>
      </c>
      <c r="O14" s="1667">
        <f t="shared" si="45"/>
        <v>1962</v>
      </c>
      <c r="P14" s="1667">
        <f t="shared" si="45"/>
        <v>1878</v>
      </c>
      <c r="Q14" s="1667">
        <f t="shared" si="45"/>
        <v>2256</v>
      </c>
      <c r="R14" s="1668">
        <f t="shared" si="45"/>
        <v>7768</v>
      </c>
      <c r="S14" s="1667">
        <f t="shared" si="45"/>
        <v>1790</v>
      </c>
      <c r="T14" s="1667">
        <f t="shared" si="45"/>
        <v>1966</v>
      </c>
      <c r="U14" s="1667">
        <f t="shared" si="45"/>
        <v>1853</v>
      </c>
      <c r="V14" s="1667">
        <f t="shared" si="45"/>
        <v>2613</v>
      </c>
      <c r="W14" s="1668">
        <f t="shared" si="1"/>
        <v>8222</v>
      </c>
      <c r="X14" s="1667">
        <f>SUM(X10:X13)</f>
        <v>1955</v>
      </c>
      <c r="Y14" s="1667">
        <f>SUM(Y10:Y13)</f>
        <v>1953</v>
      </c>
      <c r="Z14" s="1667">
        <f>SUM(Z10:Z13)</f>
        <v>2016</v>
      </c>
      <c r="AA14" s="1667">
        <f>SUM(AA10:AA13)</f>
        <v>2788</v>
      </c>
      <c r="AB14" s="1668">
        <f t="shared" si="2"/>
        <v>8712</v>
      </c>
      <c r="AC14" s="1667">
        <f>SUM(AC10:AC13)</f>
        <v>2252</v>
      </c>
      <c r="AD14" s="1667">
        <f>SUM(AD10:AD13)</f>
        <v>2291</v>
      </c>
      <c r="AE14" s="1667">
        <f>SUM(AE10:AE13)</f>
        <v>2217</v>
      </c>
      <c r="AF14" s="1667">
        <f>SUM(AF10:AF13)</f>
        <v>3018</v>
      </c>
      <c r="AG14" s="1668">
        <f t="shared" si="3"/>
        <v>9778</v>
      </c>
      <c r="AH14" s="1667">
        <f>SUM(AH10:AH13)</f>
        <v>2426</v>
      </c>
      <c r="AI14" s="1667">
        <f>SUM(AI10:AI13)</f>
        <v>2563</v>
      </c>
      <c r="AJ14" s="1667">
        <f>SUM(AJ10:AJ13)</f>
        <v>2616</v>
      </c>
      <c r="AK14" s="1667">
        <f>SUM(AK10:AK13)</f>
        <v>3524</v>
      </c>
      <c r="AL14" s="1668">
        <f t="shared" si="4"/>
        <v>11129</v>
      </c>
      <c r="AM14" s="1667">
        <f>SUM(AM10:AM13)</f>
        <v>2648</v>
      </c>
      <c r="AN14" s="1667">
        <f>SUM(AN10:AN13)</f>
        <v>2852</v>
      </c>
      <c r="AO14" s="1667">
        <f>SUM(AO10:AO13)</f>
        <v>2697</v>
      </c>
      <c r="AP14" s="1667">
        <f>SUM(AP10:AP13)</f>
        <v>3798</v>
      </c>
      <c r="AQ14" s="1668">
        <f t="shared" si="5"/>
        <v>11995</v>
      </c>
      <c r="AR14" s="1667">
        <f>SUM(AR10:AR13)</f>
        <v>2836</v>
      </c>
      <c r="AS14" s="1667">
        <f>SUM(AS10:AS13)</f>
        <v>3122</v>
      </c>
      <c r="AT14" s="1667">
        <f>SUM(AT10:AT13)</f>
        <v>2943</v>
      </c>
      <c r="AU14" s="1667">
        <f>SUM(AU10:AU13)</f>
        <v>4089</v>
      </c>
      <c r="AV14" s="1668">
        <f t="shared" si="6"/>
        <v>12990</v>
      </c>
      <c r="AW14" s="1667">
        <f>SUM(AW10:AW13)</f>
        <v>2947</v>
      </c>
      <c r="AX14" s="1667">
        <f>SUM(AX10:AX13)</f>
        <v>3185</v>
      </c>
      <c r="AY14" s="1667">
        <f>SUM(AY10:AY13)</f>
        <v>2963</v>
      </c>
      <c r="AZ14" s="1667">
        <f>SUM(AZ10:AZ13)</f>
        <v>3784</v>
      </c>
      <c r="BA14" s="1668">
        <f t="shared" si="7"/>
        <v>12879</v>
      </c>
      <c r="BB14" s="1667">
        <f>SUM(BB10:BB13)</f>
        <v>2495</v>
      </c>
      <c r="BC14" s="1667">
        <f>SUM(BC10:BC13)</f>
        <v>2562</v>
      </c>
      <c r="BD14" s="1667">
        <f>SUM(BD10:BD13)</f>
        <v>2471</v>
      </c>
      <c r="BE14" s="1667">
        <f>SUM(BE10:BE13)</f>
        <v>3378</v>
      </c>
      <c r="BF14" s="1668">
        <f t="shared" si="8"/>
        <v>10906</v>
      </c>
      <c r="BG14" s="1667">
        <f>SUM(BG10:BG13)</f>
        <v>2345</v>
      </c>
      <c r="BH14" s="1667">
        <f>SUM(BH10:BH13)</f>
        <v>2483</v>
      </c>
      <c r="BI14" s="1667">
        <f>SUM(BI10:BI13)</f>
        <v>2374</v>
      </c>
      <c r="BJ14" s="1667">
        <f>SUM(BJ10:BJ13)</f>
        <v>3272</v>
      </c>
      <c r="BK14" s="1668">
        <f t="shared" si="9"/>
        <v>10474</v>
      </c>
      <c r="BL14" s="1667">
        <f>SUM(BL10:BL13)</f>
        <v>2502</v>
      </c>
      <c r="BM14" s="1667">
        <f>SUM(BM10:BM13)</f>
        <v>2685</v>
      </c>
      <c r="BN14" s="1667">
        <f>SUM(BN10:BN13)</f>
        <v>2587</v>
      </c>
      <c r="BO14" s="1667">
        <f>SUM(BO10:BO13)</f>
        <v>3459</v>
      </c>
      <c r="BP14" s="1668">
        <f t="shared" si="10"/>
        <v>11233</v>
      </c>
      <c r="BQ14" s="1667">
        <f>SUM(BQ10:BQ13)</f>
        <v>2552</v>
      </c>
      <c r="BR14" s="1667">
        <f>SUM(BR10:BR13)</f>
        <v>2776</v>
      </c>
      <c r="BS14" s="1667">
        <f>SUM(BS10:BS13)</f>
        <v>2729</v>
      </c>
      <c r="BT14" s="1667">
        <f>SUM(BT10:BT13)</f>
        <v>3757</v>
      </c>
      <c r="BU14" s="1668">
        <f t="shared" si="11"/>
        <v>11814</v>
      </c>
      <c r="BV14" s="1667">
        <f>SUM(BV10:BV13)</f>
        <v>3142</v>
      </c>
      <c r="BW14" s="1667">
        <f>SUM(BW10:BW13)</f>
        <v>3263</v>
      </c>
      <c r="BX14" s="1667">
        <f>SUM(BX10:BX13)</f>
        <v>3160</v>
      </c>
      <c r="BY14" s="1667">
        <f>SUM(BY10:BY13)</f>
        <v>3219</v>
      </c>
      <c r="BZ14" s="1668">
        <f t="shared" si="12"/>
        <v>12784</v>
      </c>
      <c r="CA14" s="1667">
        <f>SUM(CA10:CA13)</f>
        <v>3293</v>
      </c>
      <c r="CB14" s="1667">
        <f>SUM(CB10:CB13)</f>
        <v>3484</v>
      </c>
      <c r="CC14" s="1667">
        <f>SUM(CC10:CC13)</f>
        <v>3460</v>
      </c>
      <c r="CD14" s="1667">
        <f>SUM(CD10:CD13)</f>
        <v>3559</v>
      </c>
      <c r="CE14" s="1668">
        <f t="shared" si="13"/>
        <v>13796</v>
      </c>
      <c r="CF14" s="1667">
        <f>SUM(CF10:CF13)</f>
        <v>3513</v>
      </c>
      <c r="CG14" s="1667">
        <f>SUM(CG10:CG13)</f>
        <v>3689</v>
      </c>
      <c r="CH14" s="1667">
        <f>SUM(CH10:CH13)</f>
        <v>3578</v>
      </c>
      <c r="CI14" s="1667">
        <f>SUM(CI10:CI13)</f>
        <v>3706</v>
      </c>
      <c r="CJ14" s="1668">
        <f t="shared" si="14"/>
        <v>14486</v>
      </c>
      <c r="CK14" s="1667">
        <f>SUM(CK10:CK13)</f>
        <v>3772</v>
      </c>
      <c r="CL14" s="1667">
        <f>SUM(CL10:CL13)</f>
        <v>3902</v>
      </c>
      <c r="CM14" s="1667">
        <f>SUM(CM10:CM13)</f>
        <v>3774</v>
      </c>
      <c r="CN14" s="1667">
        <f>SUM(CN10:CN13)</f>
        <v>5456</v>
      </c>
      <c r="CO14" s="1668">
        <f t="shared" si="15"/>
        <v>16904</v>
      </c>
      <c r="CP14" s="1667">
        <f>SUM(CP10:CP13)</f>
        <v>5561</v>
      </c>
      <c r="CQ14" s="1667">
        <f>SUM(CQ10:CQ13)</f>
        <v>5795</v>
      </c>
      <c r="CR14" s="1667">
        <f>SUM(CR10:CR13)</f>
        <v>5663</v>
      </c>
      <c r="CS14" s="1667">
        <f>SUM(CS10:CS13)</f>
        <v>5875</v>
      </c>
      <c r="CT14" s="1668">
        <f t="shared" si="16"/>
        <v>22894</v>
      </c>
      <c r="CU14" s="1667">
        <f t="shared" ref="CU14:DA14" ca="1" si="46">SUM(CU10:CU13)</f>
        <v>5954.4801375027255</v>
      </c>
      <c r="CV14" s="1667">
        <f t="shared" ca="1" si="46"/>
        <v>6284.5839890225288</v>
      </c>
      <c r="CW14" s="1667">
        <f t="shared" ca="1" si="46"/>
        <v>6125.1869364780787</v>
      </c>
      <c r="CX14" s="1667">
        <f t="shared" ca="1" si="46"/>
        <v>6300.0921416259707</v>
      </c>
      <c r="CY14" s="1668">
        <f t="shared" ca="1" si="18"/>
        <v>24664.343204629302</v>
      </c>
      <c r="CZ14" s="1786">
        <f t="shared" ca="1" si="46"/>
        <v>26671.805879917603</v>
      </c>
      <c r="DA14" s="1668">
        <f t="shared" ca="1" si="46"/>
        <v>26539.37904456475</v>
      </c>
      <c r="DB14"/>
      <c r="DC14"/>
      <c r="DD14" s="1969" t="s">
        <v>1614</v>
      </c>
      <c r="DE14" s="1668">
        <f t="shared" si="19"/>
        <v>8247</v>
      </c>
      <c r="DF14" s="1668">
        <f t="shared" si="20"/>
        <v>7768</v>
      </c>
      <c r="DG14" s="1668">
        <f t="shared" si="21"/>
        <v>8222</v>
      </c>
      <c r="DH14" s="1668">
        <f t="shared" si="22"/>
        <v>8712</v>
      </c>
      <c r="DI14" s="1668">
        <f t="shared" si="23"/>
        <v>9778</v>
      </c>
      <c r="DJ14" s="1668">
        <f t="shared" si="24"/>
        <v>11129</v>
      </c>
      <c r="DK14" s="1668">
        <f t="shared" si="25"/>
        <v>11995</v>
      </c>
      <c r="DL14" s="1668">
        <f t="shared" si="26"/>
        <v>12990</v>
      </c>
      <c r="DM14" s="1668">
        <f t="shared" si="27"/>
        <v>12879</v>
      </c>
      <c r="DN14" s="1668">
        <f t="shared" si="28"/>
        <v>10906</v>
      </c>
      <c r="DO14" s="1668">
        <f t="shared" si="29"/>
        <v>10474</v>
      </c>
      <c r="DP14" s="1668">
        <f t="shared" si="30"/>
        <v>11233</v>
      </c>
      <c r="DQ14" s="1668">
        <f t="shared" si="31"/>
        <v>11814</v>
      </c>
      <c r="DR14" s="1668">
        <f t="shared" si="32"/>
        <v>12784</v>
      </c>
      <c r="DS14" s="1668">
        <f t="shared" si="33"/>
        <v>13796</v>
      </c>
      <c r="DT14" s="1668">
        <f t="shared" si="34"/>
        <v>14486</v>
      </c>
      <c r="DU14" s="1668">
        <f t="shared" si="35"/>
        <v>16904</v>
      </c>
      <c r="DV14" s="1668">
        <f t="shared" si="36"/>
        <v>22894</v>
      </c>
      <c r="DW14" s="1668">
        <f t="shared" ca="1" si="37"/>
        <v>24664.343204629302</v>
      </c>
      <c r="DX14" s="1668">
        <f t="shared" ca="1" si="38"/>
        <v>26671.805879917603</v>
      </c>
      <c r="DY14" s="1668">
        <f t="shared" ca="1" si="39"/>
        <v>26539.37904456475</v>
      </c>
      <c r="EA14"/>
      <c r="EB14"/>
      <c r="EC14"/>
      <c r="ED14"/>
      <c r="EE14"/>
      <c r="EF14"/>
      <c r="EJ14"/>
      <c r="EK14"/>
      <c r="EL14"/>
      <c r="ER14" s="212"/>
    </row>
    <row r="15" spans="1:148" s="923" customFormat="1" x14ac:dyDescent="0.2">
      <c r="A15" s="1737" t="s">
        <v>739</v>
      </c>
      <c r="B15" s="768"/>
      <c r="C15" s="768"/>
      <c r="D15" s="768"/>
      <c r="E15" s="768"/>
      <c r="F15" s="768"/>
      <c r="G15" s="768"/>
      <c r="H15" s="768"/>
      <c r="I15" s="768"/>
      <c r="J15" s="768"/>
      <c r="K15" s="768"/>
      <c r="L15" s="768"/>
      <c r="M15" s="1006"/>
      <c r="N15" s="768"/>
      <c r="O15" s="768"/>
      <c r="P15" s="768"/>
      <c r="Q15" s="768"/>
      <c r="R15" s="1006"/>
      <c r="S15" s="768"/>
      <c r="T15" s="768"/>
      <c r="U15" s="768"/>
      <c r="V15" s="768"/>
      <c r="W15" s="1006"/>
      <c r="X15" s="768"/>
      <c r="Y15" s="768"/>
      <c r="Z15" s="768"/>
      <c r="AA15" s="768"/>
      <c r="AB15" s="1006"/>
      <c r="AC15" s="768">
        <f t="shared" ref="AC15:BH15" si="47">AC10/X10-1</f>
        <v>0.11560693641618491</v>
      </c>
      <c r="AD15" s="768">
        <f t="shared" si="47"/>
        <v>0.2441860465116279</v>
      </c>
      <c r="AE15" s="768">
        <f t="shared" si="47"/>
        <v>0.16363636363636358</v>
      </c>
      <c r="AF15" s="768">
        <f t="shared" si="47"/>
        <v>0.18103448275862077</v>
      </c>
      <c r="AG15" s="1006">
        <f t="shared" si="47"/>
        <v>0.17654986522911043</v>
      </c>
      <c r="AH15" s="768">
        <f t="shared" si="47"/>
        <v>0.19689119170984459</v>
      </c>
      <c r="AI15" s="768">
        <f t="shared" si="47"/>
        <v>0.18224299065420557</v>
      </c>
      <c r="AJ15" s="768">
        <f t="shared" si="47"/>
        <v>0.125</v>
      </c>
      <c r="AK15" s="768">
        <f t="shared" si="47"/>
        <v>0.1934306569343065</v>
      </c>
      <c r="AL15" s="1006">
        <f t="shared" si="47"/>
        <v>0.17640320733104242</v>
      </c>
      <c r="AM15" s="768">
        <f t="shared" si="47"/>
        <v>0.16017316017316019</v>
      </c>
      <c r="AN15" s="768">
        <f t="shared" si="47"/>
        <v>0.20158102766798414</v>
      </c>
      <c r="AO15" s="768">
        <f t="shared" si="47"/>
        <v>0.21296296296296302</v>
      </c>
      <c r="AP15" s="768">
        <f t="shared" si="47"/>
        <v>0.19266055045871555</v>
      </c>
      <c r="AQ15" s="1006">
        <f t="shared" si="47"/>
        <v>0.19182083739045774</v>
      </c>
      <c r="AR15" s="768">
        <f t="shared" si="47"/>
        <v>0.10447761194029859</v>
      </c>
      <c r="AS15" s="768">
        <f t="shared" si="47"/>
        <v>0.20065789473684204</v>
      </c>
      <c r="AT15" s="768">
        <f t="shared" si="47"/>
        <v>0.15267175572519087</v>
      </c>
      <c r="AU15" s="768">
        <f t="shared" si="47"/>
        <v>0.19230769230769229</v>
      </c>
      <c r="AV15" s="1006">
        <f t="shared" si="47"/>
        <v>0.16666666666666674</v>
      </c>
      <c r="AW15" s="768">
        <f t="shared" si="47"/>
        <v>7.4324324324324342E-2</v>
      </c>
      <c r="AX15" s="768">
        <f t="shared" si="47"/>
        <v>2.4657534246575352E-2</v>
      </c>
      <c r="AY15" s="768">
        <f t="shared" si="47"/>
        <v>3.3112582781456013E-3</v>
      </c>
      <c r="AZ15" s="768">
        <f t="shared" si="47"/>
        <v>-0.13548387096774195</v>
      </c>
      <c r="BA15" s="1006">
        <f t="shared" si="47"/>
        <v>-2.170868347338939E-2</v>
      </c>
      <c r="BB15" s="768">
        <f t="shared" si="47"/>
        <v>-0.19496855345911945</v>
      </c>
      <c r="BC15" s="768">
        <f t="shared" si="47"/>
        <v>-0.32085561497326198</v>
      </c>
      <c r="BD15" s="768">
        <f t="shared" si="47"/>
        <v>-0.23102310231023104</v>
      </c>
      <c r="BE15" s="768">
        <f t="shared" si="47"/>
        <v>-0.15174129353233834</v>
      </c>
      <c r="BF15" s="1006">
        <f t="shared" si="47"/>
        <v>-0.2240515390121689</v>
      </c>
      <c r="BG15" s="768">
        <f t="shared" si="47"/>
        <v>0</v>
      </c>
      <c r="BH15" s="768">
        <f t="shared" si="47"/>
        <v>0.13385826771653542</v>
      </c>
      <c r="BI15" s="768">
        <f t="shared" ref="BI15:CN15" si="48">BI10/BD10-1</f>
        <v>9.0128755364806912E-2</v>
      </c>
      <c r="BJ15" s="768">
        <f t="shared" si="48"/>
        <v>0.14662756598240478</v>
      </c>
      <c r="BK15" s="1006">
        <f t="shared" si="48"/>
        <v>9.6863468634686312E-2</v>
      </c>
      <c r="BL15" s="768">
        <f t="shared" si="48"/>
        <v>8.984375E-2</v>
      </c>
      <c r="BM15" s="768">
        <f t="shared" si="48"/>
        <v>0.11111111111111116</v>
      </c>
      <c r="BN15" s="768">
        <f t="shared" si="48"/>
        <v>0.13385826771653542</v>
      </c>
      <c r="BO15" s="768">
        <f t="shared" si="48"/>
        <v>7.4168797953964249E-2</v>
      </c>
      <c r="BP15" s="1006">
        <f t="shared" si="48"/>
        <v>9.924306139613126E-2</v>
      </c>
      <c r="BQ15" s="768">
        <f t="shared" si="48"/>
        <v>7.5268817204301008E-2</v>
      </c>
      <c r="BR15" s="768">
        <f t="shared" si="48"/>
        <v>6.8750000000000089E-2</v>
      </c>
      <c r="BS15" s="768">
        <f t="shared" si="48"/>
        <v>0.10763888888888884</v>
      </c>
      <c r="BT15" s="768">
        <f t="shared" si="48"/>
        <v>9.2857142857142749E-2</v>
      </c>
      <c r="BU15" s="1006">
        <f t="shared" si="48"/>
        <v>8.6457536342769759E-2</v>
      </c>
      <c r="BV15" s="768">
        <f t="shared" si="48"/>
        <v>0.23333333333333339</v>
      </c>
      <c r="BW15" s="768">
        <f t="shared" si="48"/>
        <v>0.19005847953216382</v>
      </c>
      <c r="BX15" s="768">
        <f t="shared" si="48"/>
        <v>0.1849529780564263</v>
      </c>
      <c r="BY15" s="768">
        <f t="shared" si="48"/>
        <v>-0.15468409586056642</v>
      </c>
      <c r="BZ15" s="1006">
        <f t="shared" si="48"/>
        <v>8.6619718309859151E-2</v>
      </c>
      <c r="CA15" s="768">
        <f t="shared" si="48"/>
        <v>5.1351351351351271E-2</v>
      </c>
      <c r="CB15" s="768">
        <f t="shared" si="48"/>
        <v>0.11056511056511065</v>
      </c>
      <c r="CC15" s="768">
        <f t="shared" si="48"/>
        <v>0.18518518518518512</v>
      </c>
      <c r="CD15" s="1693">
        <f t="shared" si="48"/>
        <v>0.10824742268041243</v>
      </c>
      <c r="CE15" s="1006">
        <f t="shared" si="48"/>
        <v>0.11406351263771874</v>
      </c>
      <c r="CF15" s="768">
        <f t="shared" si="48"/>
        <v>0.17737789203084842</v>
      </c>
      <c r="CG15" s="768">
        <f t="shared" si="48"/>
        <v>9.0707964601769886E-2</v>
      </c>
      <c r="CH15" s="768">
        <f t="shared" si="48"/>
        <v>3.7946428571428603E-2</v>
      </c>
      <c r="CI15" s="1693">
        <f t="shared" si="48"/>
        <v>5.5813953488372148E-2</v>
      </c>
      <c r="CJ15" s="1006">
        <f t="shared" si="48"/>
        <v>8.7841768470040771E-2</v>
      </c>
      <c r="CK15" s="768">
        <f t="shared" si="48"/>
        <v>4.8034934497816595E-2</v>
      </c>
      <c r="CL15" s="768">
        <f t="shared" si="48"/>
        <v>4.4624746450304231E-2</v>
      </c>
      <c r="CM15" s="768">
        <f t="shared" si="48"/>
        <v>5.5913978494623651E-2</v>
      </c>
      <c r="CN15" s="1693">
        <f t="shared" si="48"/>
        <v>0.57048458149779746</v>
      </c>
      <c r="CO15" s="1006">
        <f t="shared" ref="CO15:CT15" si="49">CO10/CJ10-1</f>
        <v>0.17593582887700543</v>
      </c>
      <c r="CP15" s="768">
        <f t="shared" si="49"/>
        <v>0.62916666666666665</v>
      </c>
      <c r="CQ15" s="768">
        <f t="shared" si="49"/>
        <v>0.64854368932038842</v>
      </c>
      <c r="CR15" s="768">
        <f t="shared" si="49"/>
        <v>0.69246435845213838</v>
      </c>
      <c r="CS15" s="768">
        <f t="shared" si="49"/>
        <v>0.21318373071528751</v>
      </c>
      <c r="CT15" s="1006">
        <f t="shared" si="49"/>
        <v>0.51296043656207368</v>
      </c>
      <c r="CU15" s="768">
        <f ca="1">CU10/CP10-1</f>
        <v>8.3249733991160646E-2</v>
      </c>
      <c r="CV15" s="768">
        <f ca="1">CV10/CQ10-1</f>
        <v>9.5166570924213767E-2</v>
      </c>
      <c r="CW15" s="768">
        <f ca="1">CW10/CR10-1</f>
        <v>9.1296667909821272E-2</v>
      </c>
      <c r="CX15" s="768">
        <f ca="1">CX10/CS10-1</f>
        <v>8.0907809226479221E-2</v>
      </c>
      <c r="CY15" s="1006">
        <f ca="1">CY10/CT10-1</f>
        <v>8.7691763363303643E-2</v>
      </c>
      <c r="CZ15" s="1693">
        <f ca="1">CZ10/CY10-1</f>
        <v>8.6755125643109388E-2</v>
      </c>
      <c r="DA15" s="1006">
        <f ca="1">DA10/CZ10-1</f>
        <v>2.7437560855791965E-4</v>
      </c>
      <c r="DB15"/>
      <c r="DC15"/>
      <c r="DD15" s="1737" t="s">
        <v>739</v>
      </c>
      <c r="DE15" s="1006">
        <f t="shared" si="19"/>
        <v>0</v>
      </c>
      <c r="DF15" s="1006">
        <f t="shared" si="20"/>
        <v>0</v>
      </c>
      <c r="DG15" s="1006">
        <f t="shared" si="21"/>
        <v>0</v>
      </c>
      <c r="DH15" s="1006">
        <f t="shared" si="22"/>
        <v>0</v>
      </c>
      <c r="DI15" s="1006">
        <f t="shared" si="23"/>
        <v>0.17654986522911043</v>
      </c>
      <c r="DJ15" s="1006">
        <f t="shared" si="24"/>
        <v>0.17640320733104242</v>
      </c>
      <c r="DK15" s="1006">
        <f t="shared" si="25"/>
        <v>0.19182083739045774</v>
      </c>
      <c r="DL15" s="1006">
        <f t="shared" si="26"/>
        <v>0.16666666666666674</v>
      </c>
      <c r="DM15" s="1006">
        <f t="shared" si="27"/>
        <v>-2.170868347338939E-2</v>
      </c>
      <c r="DN15" s="1006">
        <f t="shared" si="28"/>
        <v>-0.2240515390121689</v>
      </c>
      <c r="DO15" s="1006">
        <f t="shared" si="29"/>
        <v>9.6863468634686312E-2</v>
      </c>
      <c r="DP15" s="1006">
        <f t="shared" si="30"/>
        <v>9.924306139613126E-2</v>
      </c>
      <c r="DQ15" s="1006">
        <f t="shared" si="31"/>
        <v>8.6457536342769759E-2</v>
      </c>
      <c r="DR15" s="1006">
        <f t="shared" si="32"/>
        <v>8.6619718309859151E-2</v>
      </c>
      <c r="DS15" s="1006">
        <f t="shared" si="33"/>
        <v>0.11406351263771874</v>
      </c>
      <c r="DT15" s="1006">
        <f t="shared" si="34"/>
        <v>8.7841768470040771E-2</v>
      </c>
      <c r="DU15" s="1006">
        <f t="shared" si="35"/>
        <v>0.17593582887700543</v>
      </c>
      <c r="DV15" s="1006">
        <f t="shared" si="36"/>
        <v>0.51296043656207368</v>
      </c>
      <c r="DW15" s="1006">
        <f t="shared" ca="1" si="37"/>
        <v>8.7691763363303643E-2</v>
      </c>
      <c r="DX15" s="1006">
        <f t="shared" ca="1" si="38"/>
        <v>8.6755125643109388E-2</v>
      </c>
      <c r="DY15" s="1006">
        <f t="shared" ca="1" si="39"/>
        <v>2.7437560855791965E-4</v>
      </c>
      <c r="EA15"/>
      <c r="EB15"/>
      <c r="EC15"/>
      <c r="ED15"/>
      <c r="EE15"/>
      <c r="EF15"/>
      <c r="EJ15"/>
      <c r="EK15"/>
      <c r="EL15"/>
      <c r="EM15" s="1703"/>
      <c r="ER15" s="212"/>
    </row>
    <row r="16" spans="1:148" s="923" customFormat="1" x14ac:dyDescent="0.2">
      <c r="A16" s="1737" t="s">
        <v>740</v>
      </c>
      <c r="B16" s="768"/>
      <c r="C16" s="768"/>
      <c r="D16" s="768"/>
      <c r="E16" s="768"/>
      <c r="F16" s="768"/>
      <c r="G16" s="768"/>
      <c r="H16" s="768"/>
      <c r="I16" s="768"/>
      <c r="J16" s="768"/>
      <c r="K16" s="768"/>
      <c r="L16" s="768"/>
      <c r="M16" s="1006"/>
      <c r="N16" s="768"/>
      <c r="O16" s="768"/>
      <c r="P16" s="768"/>
      <c r="Q16" s="768"/>
      <c r="R16" s="1006"/>
      <c r="S16" s="768"/>
      <c r="T16" s="768"/>
      <c r="U16" s="768"/>
      <c r="V16" s="768"/>
      <c r="W16" s="1006"/>
      <c r="X16" s="768"/>
      <c r="Y16" s="768"/>
      <c r="Z16" s="768"/>
      <c r="AA16" s="768"/>
      <c r="AB16" s="1006"/>
      <c r="AC16" s="768"/>
      <c r="AD16" s="768"/>
      <c r="AE16" s="768"/>
      <c r="AF16" s="768"/>
      <c r="AG16" s="1006">
        <f t="shared" ref="AG16:BL16" si="50">AG14/AB14-1</f>
        <v>0.12235996326905418</v>
      </c>
      <c r="AH16" s="768">
        <f t="shared" si="50"/>
        <v>7.7264653641207826E-2</v>
      </c>
      <c r="AI16" s="768">
        <f t="shared" si="50"/>
        <v>0.11872544740288093</v>
      </c>
      <c r="AJ16" s="768">
        <f t="shared" si="50"/>
        <v>0.17997293640054135</v>
      </c>
      <c r="AK16" s="768">
        <f t="shared" si="50"/>
        <v>0.16766070245195497</v>
      </c>
      <c r="AL16" s="1006">
        <f t="shared" si="50"/>
        <v>0.13816731437921859</v>
      </c>
      <c r="AM16" s="768">
        <f t="shared" si="50"/>
        <v>9.1508656224237317E-2</v>
      </c>
      <c r="AN16" s="768">
        <f t="shared" si="50"/>
        <v>0.11275848614904405</v>
      </c>
      <c r="AO16" s="768">
        <f t="shared" si="50"/>
        <v>3.0963302752293531E-2</v>
      </c>
      <c r="AP16" s="768">
        <f t="shared" si="50"/>
        <v>7.7752553916004441E-2</v>
      </c>
      <c r="AQ16" s="1006">
        <f t="shared" si="50"/>
        <v>7.7814718303531372E-2</v>
      </c>
      <c r="AR16" s="768">
        <f t="shared" si="50"/>
        <v>7.0996978851963766E-2</v>
      </c>
      <c r="AS16" s="768">
        <f t="shared" si="50"/>
        <v>9.4670406732117796E-2</v>
      </c>
      <c r="AT16" s="768">
        <f t="shared" si="50"/>
        <v>9.1212458286985543E-2</v>
      </c>
      <c r="AU16" s="768">
        <f t="shared" si="50"/>
        <v>7.6619273301737678E-2</v>
      </c>
      <c r="AV16" s="1006">
        <f t="shared" si="50"/>
        <v>8.2951229679032901E-2</v>
      </c>
      <c r="AW16" s="768">
        <f t="shared" si="50"/>
        <v>3.9139633286318753E-2</v>
      </c>
      <c r="AX16" s="768">
        <f t="shared" si="50"/>
        <v>2.0179372197309364E-2</v>
      </c>
      <c r="AY16" s="768">
        <f t="shared" si="50"/>
        <v>6.7957866123002919E-3</v>
      </c>
      <c r="AZ16" s="768">
        <f t="shared" si="50"/>
        <v>-7.4590364392271957E-2</v>
      </c>
      <c r="BA16" s="1006">
        <f t="shared" si="50"/>
        <v>-8.5450346420323786E-3</v>
      </c>
      <c r="BB16" s="768">
        <f t="shared" si="50"/>
        <v>-0.15337631489650494</v>
      </c>
      <c r="BC16" s="768">
        <f t="shared" si="50"/>
        <v>-0.19560439560439558</v>
      </c>
      <c r="BD16" s="768">
        <f t="shared" si="50"/>
        <v>-0.16604792440094496</v>
      </c>
      <c r="BE16" s="768">
        <f t="shared" si="50"/>
        <v>-0.10729386892177595</v>
      </c>
      <c r="BF16" s="1006">
        <f t="shared" si="50"/>
        <v>-0.15319512384501899</v>
      </c>
      <c r="BG16" s="768">
        <f t="shared" si="50"/>
        <v>-6.0120240480961873E-2</v>
      </c>
      <c r="BH16" s="768">
        <f t="shared" si="50"/>
        <v>-3.0835284933645624E-2</v>
      </c>
      <c r="BI16" s="768">
        <f t="shared" si="50"/>
        <v>-3.9255362201537802E-2</v>
      </c>
      <c r="BJ16" s="768">
        <f t="shared" si="50"/>
        <v>-3.1379514505624595E-2</v>
      </c>
      <c r="BK16" s="1006">
        <f t="shared" si="50"/>
        <v>-3.9611223179900956E-2</v>
      </c>
      <c r="BL16" s="768">
        <f t="shared" si="50"/>
        <v>6.6950959488272899E-2</v>
      </c>
      <c r="BM16" s="768">
        <f t="shared" ref="BM16:CR16" si="51">BM14/BH14-1</f>
        <v>8.1353201772049966E-2</v>
      </c>
      <c r="BN16" s="768">
        <f t="shared" si="51"/>
        <v>8.972198820556021E-2</v>
      </c>
      <c r="BO16" s="768">
        <f t="shared" si="51"/>
        <v>5.7151589242053769E-2</v>
      </c>
      <c r="BP16" s="1006">
        <f t="shared" si="51"/>
        <v>7.2465151804468109E-2</v>
      </c>
      <c r="BQ16" s="768">
        <f t="shared" si="51"/>
        <v>1.9984012789768135E-2</v>
      </c>
      <c r="BR16" s="768">
        <f t="shared" si="51"/>
        <v>3.3891992551210448E-2</v>
      </c>
      <c r="BS16" s="768">
        <f t="shared" si="51"/>
        <v>5.488983378430623E-2</v>
      </c>
      <c r="BT16" s="768">
        <f t="shared" si="51"/>
        <v>8.6152067071407989E-2</v>
      </c>
      <c r="BU16" s="1006">
        <f t="shared" si="51"/>
        <v>5.1722603044600746E-2</v>
      </c>
      <c r="BV16" s="768">
        <f t="shared" si="51"/>
        <v>0.23119122257053282</v>
      </c>
      <c r="BW16" s="768">
        <f t="shared" si="51"/>
        <v>0.17543227665706063</v>
      </c>
      <c r="BX16" s="768">
        <f t="shared" si="51"/>
        <v>0.15793330890436064</v>
      </c>
      <c r="BY16" s="768">
        <f t="shared" si="51"/>
        <v>-0.14319936119244081</v>
      </c>
      <c r="BZ16" s="1006">
        <f t="shared" si="51"/>
        <v>8.2105975960724553E-2</v>
      </c>
      <c r="CA16" s="768">
        <f t="shared" si="51"/>
        <v>4.8058561425843305E-2</v>
      </c>
      <c r="CB16" s="768">
        <f t="shared" si="51"/>
        <v>6.7729083665338585E-2</v>
      </c>
      <c r="CC16" s="768">
        <f t="shared" si="51"/>
        <v>9.4936708860759556E-2</v>
      </c>
      <c r="CD16" s="1693">
        <f t="shared" si="51"/>
        <v>0.10562286424355394</v>
      </c>
      <c r="CE16" s="1006">
        <f t="shared" si="51"/>
        <v>7.9161451814768524E-2</v>
      </c>
      <c r="CF16" s="768">
        <f t="shared" si="51"/>
        <v>6.6808381415123019E-2</v>
      </c>
      <c r="CG16" s="768">
        <f t="shared" si="51"/>
        <v>5.8840413318025364E-2</v>
      </c>
      <c r="CH16" s="768">
        <f t="shared" si="51"/>
        <v>3.4104046242774633E-2</v>
      </c>
      <c r="CI16" s="1693">
        <f t="shared" si="51"/>
        <v>4.1303737004776631E-2</v>
      </c>
      <c r="CJ16" s="1006">
        <f t="shared" si="51"/>
        <v>5.0014496955639309E-2</v>
      </c>
      <c r="CK16" s="768">
        <f t="shared" si="51"/>
        <v>7.3726159977227423E-2</v>
      </c>
      <c r="CL16" s="768">
        <f t="shared" si="51"/>
        <v>5.7739224722146876E-2</v>
      </c>
      <c r="CM16" s="768">
        <f t="shared" si="51"/>
        <v>5.4779206260480606E-2</v>
      </c>
      <c r="CN16" s="1693">
        <f t="shared" si="51"/>
        <v>0.47220723151645982</v>
      </c>
      <c r="CO16" s="1006">
        <f t="shared" si="51"/>
        <v>0.16691978461963264</v>
      </c>
      <c r="CP16" s="768">
        <f t="shared" si="51"/>
        <v>0.47428419936373278</v>
      </c>
      <c r="CQ16" s="768">
        <f t="shared" si="51"/>
        <v>0.48513582778062525</v>
      </c>
      <c r="CR16" s="768">
        <f t="shared" si="51"/>
        <v>0.50052994170641218</v>
      </c>
      <c r="CS16" s="768">
        <f t="shared" ref="CS16:CY16" si="52">CS14/CN14-1</f>
        <v>7.6796187683284556E-2</v>
      </c>
      <c r="CT16" s="1006">
        <f t="shared" si="52"/>
        <v>0.35435399905347853</v>
      </c>
      <c r="CU16" s="768">
        <f t="shared" ca="1" si="52"/>
        <v>7.0757082809337346E-2</v>
      </c>
      <c r="CV16" s="768">
        <f t="shared" ca="1" si="52"/>
        <v>8.4483863506907397E-2</v>
      </c>
      <c r="CW16" s="768">
        <f t="shared" ca="1" si="52"/>
        <v>8.1615210396976723E-2</v>
      </c>
      <c r="CX16" s="768">
        <f t="shared" ca="1" si="52"/>
        <v>7.235610921293123E-2</v>
      </c>
      <c r="CY16" s="1006">
        <f t="shared" ca="1" si="52"/>
        <v>7.7327824086192987E-2</v>
      </c>
      <c r="CZ16" s="1693">
        <f ca="1">CZ14/CY14-1</f>
        <v>8.13912885753032E-2</v>
      </c>
      <c r="DA16" s="1006">
        <f ca="1">DA14/CZ14-1</f>
        <v>-4.9650494589330574E-3</v>
      </c>
      <c r="DB16"/>
      <c r="DC16"/>
      <c r="DD16" s="1737" t="s">
        <v>740</v>
      </c>
      <c r="DE16" s="1006">
        <f t="shared" si="19"/>
        <v>0</v>
      </c>
      <c r="DF16" s="1006">
        <f t="shared" si="20"/>
        <v>0</v>
      </c>
      <c r="DG16" s="1006">
        <f t="shared" si="21"/>
        <v>0</v>
      </c>
      <c r="DH16" s="1006">
        <f t="shared" si="22"/>
        <v>0</v>
      </c>
      <c r="DI16" s="1006">
        <f t="shared" si="23"/>
        <v>0.12235996326905418</v>
      </c>
      <c r="DJ16" s="1006">
        <f t="shared" si="24"/>
        <v>0.13816731437921859</v>
      </c>
      <c r="DK16" s="1006">
        <f t="shared" si="25"/>
        <v>7.7814718303531372E-2</v>
      </c>
      <c r="DL16" s="1006">
        <f t="shared" si="26"/>
        <v>8.2951229679032901E-2</v>
      </c>
      <c r="DM16" s="1006">
        <f t="shared" si="27"/>
        <v>-8.5450346420323786E-3</v>
      </c>
      <c r="DN16" s="1006">
        <f t="shared" si="28"/>
        <v>-0.15319512384501899</v>
      </c>
      <c r="DO16" s="1006">
        <f t="shared" si="29"/>
        <v>-3.9611223179900956E-2</v>
      </c>
      <c r="DP16" s="1006">
        <f t="shared" si="30"/>
        <v>7.2465151804468109E-2</v>
      </c>
      <c r="DQ16" s="1006">
        <f t="shared" si="31"/>
        <v>5.1722603044600746E-2</v>
      </c>
      <c r="DR16" s="1006">
        <f t="shared" si="32"/>
        <v>8.2105975960724553E-2</v>
      </c>
      <c r="DS16" s="1006">
        <f t="shared" si="33"/>
        <v>7.9161451814768524E-2</v>
      </c>
      <c r="DT16" s="1006">
        <f t="shared" si="34"/>
        <v>5.0014496955639309E-2</v>
      </c>
      <c r="DU16" s="1006">
        <f t="shared" si="35"/>
        <v>0.16691978461963264</v>
      </c>
      <c r="DV16" s="1006">
        <f t="shared" si="36"/>
        <v>0.35435399905347853</v>
      </c>
      <c r="DW16" s="1006">
        <f t="shared" ca="1" si="37"/>
        <v>7.7327824086192987E-2</v>
      </c>
      <c r="DX16" s="1006">
        <f t="shared" ca="1" si="38"/>
        <v>8.13912885753032E-2</v>
      </c>
      <c r="DY16" s="1006">
        <f t="shared" ca="1" si="39"/>
        <v>-4.9650494589330574E-3</v>
      </c>
      <c r="EA16"/>
      <c r="EB16"/>
      <c r="EC16"/>
      <c r="ED16"/>
      <c r="EE16"/>
      <c r="EF16"/>
      <c r="EJ16"/>
      <c r="EK16"/>
      <c r="EL16"/>
      <c r="EM16" s="1703"/>
      <c r="ER16" s="212"/>
    </row>
    <row r="17" spans="1:148" s="2845" customFormat="1" ht="12.75" hidden="1" customHeight="1" outlineLevel="1" x14ac:dyDescent="0.2">
      <c r="A17" s="2285" t="s">
        <v>2539</v>
      </c>
      <c r="B17" s="2789"/>
      <c r="C17" s="2789"/>
      <c r="D17" s="2789"/>
      <c r="E17" s="2789"/>
      <c r="F17" s="2789"/>
      <c r="G17" s="2789"/>
      <c r="H17" s="2789"/>
      <c r="I17" s="3127">
        <v>70.985649999999993</v>
      </c>
      <c r="J17" s="3127">
        <v>67.759999999999991</v>
      </c>
      <c r="K17" s="3127">
        <v>85.759999999999991</v>
      </c>
      <c r="L17" s="3127">
        <v>100.84</v>
      </c>
      <c r="M17" s="3128">
        <v>325.34564999999998</v>
      </c>
      <c r="N17" s="3127">
        <v>66.985649999999993</v>
      </c>
      <c r="O17" s="3127">
        <v>71.084000000000003</v>
      </c>
      <c r="P17" s="3127">
        <v>56.879199999999997</v>
      </c>
      <c r="Q17" s="3127">
        <v>37.346527738927733</v>
      </c>
      <c r="R17" s="3128">
        <v>232.29537773892773</v>
      </c>
      <c r="S17" s="3127">
        <v>50.881599999999999</v>
      </c>
      <c r="T17" s="3127">
        <v>51.665679999999995</v>
      </c>
      <c r="U17" s="3127">
        <v>55.006783999999996</v>
      </c>
      <c r="V17" s="3127">
        <v>51.816208000000003</v>
      </c>
      <c r="W17" s="3128">
        <v>209.370272</v>
      </c>
      <c r="X17" s="3127">
        <v>52</v>
      </c>
      <c r="Y17" s="3127">
        <v>64</v>
      </c>
      <c r="Z17" s="3127">
        <v>68</v>
      </c>
      <c r="AA17" s="3127">
        <v>71</v>
      </c>
      <c r="AB17" s="3128">
        <v>255</v>
      </c>
      <c r="AC17" s="3127">
        <v>66.25</v>
      </c>
      <c r="AD17" s="3127">
        <v>80.25</v>
      </c>
      <c r="AE17" s="3127">
        <v>81.25</v>
      </c>
      <c r="AF17" s="3127">
        <v>96.25</v>
      </c>
      <c r="AG17" s="3128">
        <v>324</v>
      </c>
      <c r="AH17" s="3127">
        <v>76</v>
      </c>
      <c r="AI17" s="3127">
        <v>91</v>
      </c>
      <c r="AJ17" s="3127">
        <v>91</v>
      </c>
      <c r="AK17" s="3127">
        <v>104</v>
      </c>
      <c r="AL17" s="3128">
        <v>362</v>
      </c>
      <c r="AM17" s="3127">
        <v>102</v>
      </c>
      <c r="AN17" s="3127">
        <v>145</v>
      </c>
      <c r="AO17" s="3127">
        <v>156</v>
      </c>
      <c r="AP17" s="3127">
        <v>161</v>
      </c>
      <c r="AQ17" s="3128">
        <v>564</v>
      </c>
      <c r="AR17" s="3127">
        <v>147</v>
      </c>
      <c r="AS17" s="3127">
        <v>165</v>
      </c>
      <c r="AT17" s="3127">
        <v>182</v>
      </c>
      <c r="AU17" s="3127">
        <v>193</v>
      </c>
      <c r="AV17" s="3128">
        <v>687</v>
      </c>
      <c r="AW17" s="3127">
        <v>173</v>
      </c>
      <c r="AX17" s="3127">
        <v>183</v>
      </c>
      <c r="AY17" s="3127">
        <v>184</v>
      </c>
      <c r="AZ17" s="3127">
        <v>181</v>
      </c>
      <c r="BA17" s="3128">
        <v>721</v>
      </c>
      <c r="BB17" s="3127">
        <v>165</v>
      </c>
      <c r="BC17" s="3127">
        <v>187</v>
      </c>
      <c r="BD17" s="3127">
        <v>181</v>
      </c>
      <c r="BE17" s="3127">
        <v>185</v>
      </c>
      <c r="BF17" s="3128">
        <v>718</v>
      </c>
      <c r="BG17" s="3127">
        <v>153</v>
      </c>
      <c r="BH17" s="3127">
        <v>177</v>
      </c>
      <c r="BI17" s="3127">
        <v>173</v>
      </c>
      <c r="BJ17" s="3127">
        <v>209</v>
      </c>
      <c r="BK17" s="3128">
        <v>712</v>
      </c>
      <c r="BL17" s="3127">
        <v>177</v>
      </c>
      <c r="BM17" s="3127">
        <v>201</v>
      </c>
      <c r="BN17" s="3127">
        <v>202</v>
      </c>
      <c r="BO17" s="3127">
        <v>234</v>
      </c>
      <c r="BP17" s="3128">
        <v>814</v>
      </c>
      <c r="BQ17" s="3127">
        <v>201</v>
      </c>
      <c r="BR17" s="3127">
        <v>222</v>
      </c>
      <c r="BS17" s="3127">
        <v>219</v>
      </c>
      <c r="BT17" s="3127">
        <v>246</v>
      </c>
      <c r="BU17" s="3128">
        <v>888</v>
      </c>
      <c r="BV17" s="3127">
        <v>217</v>
      </c>
      <c r="BW17" s="3127">
        <v>236</v>
      </c>
      <c r="BX17" s="3127">
        <v>247</v>
      </c>
      <c r="BY17" s="3127">
        <v>265</v>
      </c>
      <c r="BZ17" s="3128">
        <v>965</v>
      </c>
      <c r="CA17" s="3127">
        <v>248</v>
      </c>
      <c r="CB17" s="3127">
        <v>260</v>
      </c>
      <c r="CC17" s="3127">
        <v>255</v>
      </c>
      <c r="CD17" s="3127">
        <v>294</v>
      </c>
      <c r="CE17" s="3128">
        <v>1057</v>
      </c>
      <c r="CF17" s="3127">
        <v>240</v>
      </c>
      <c r="CG17" s="3127">
        <v>256</v>
      </c>
      <c r="CH17" s="3127">
        <v>263</v>
      </c>
      <c r="CI17" s="3127">
        <v>288</v>
      </c>
      <c r="CJ17" s="3128">
        <v>1047</v>
      </c>
      <c r="CK17" s="3127">
        <v>256</v>
      </c>
      <c r="CL17" s="3127">
        <v>273</v>
      </c>
      <c r="CM17" s="3129">
        <v>280.64677382658573</v>
      </c>
      <c r="CN17" s="2789"/>
      <c r="CO17" s="2286">
        <f>SUM(CK17:CN17)</f>
        <v>809.64677382658579</v>
      </c>
      <c r="CP17" s="2789"/>
      <c r="CQ17" s="2789"/>
      <c r="CR17" s="2789"/>
      <c r="CS17" s="2789"/>
      <c r="CT17" s="3494"/>
      <c r="CU17" s="2789"/>
      <c r="CV17" s="2789"/>
      <c r="CW17" s="2789"/>
      <c r="CX17" s="2789"/>
      <c r="CY17" s="3494"/>
      <c r="CZ17" s="3351"/>
      <c r="DA17" s="2286"/>
      <c r="DB17" s="3546"/>
      <c r="DC17" s="1062"/>
      <c r="DD17" s="2285"/>
      <c r="DE17" s="2286"/>
      <c r="DF17" s="2286"/>
      <c r="DG17" s="2286"/>
      <c r="DH17" s="2286"/>
      <c r="DI17" s="2286"/>
      <c r="DJ17" s="2286"/>
      <c r="DK17" s="2286"/>
      <c r="DL17" s="2286"/>
      <c r="DM17" s="2286"/>
      <c r="DN17" s="2286"/>
      <c r="DO17" s="2286"/>
      <c r="DP17" s="2286"/>
      <c r="DQ17" s="2286"/>
      <c r="DR17" s="2286"/>
      <c r="DS17" s="2286"/>
      <c r="DT17" s="2286"/>
      <c r="DU17" s="2286"/>
      <c r="DV17" s="2286"/>
      <c r="DW17" s="2286"/>
      <c r="DX17" s="2286"/>
      <c r="DY17" s="2286"/>
      <c r="EA17"/>
      <c r="EB17"/>
      <c r="EC17"/>
      <c r="ED17"/>
      <c r="EE17"/>
      <c r="EF17"/>
      <c r="EJ17"/>
      <c r="EK17"/>
      <c r="EL17"/>
      <c r="EM17" s="1703"/>
      <c r="ER17" s="2631"/>
    </row>
    <row r="18" spans="1:148" s="2845" customFormat="1" ht="12.75" hidden="1" customHeight="1" outlineLevel="1" x14ac:dyDescent="0.2">
      <c r="A18" s="2285" t="s">
        <v>2504</v>
      </c>
      <c r="B18" s="2789"/>
      <c r="C18" s="2789"/>
      <c r="D18" s="2789"/>
      <c r="E18" s="2789"/>
      <c r="F18" s="2789"/>
      <c r="G18" s="2789"/>
      <c r="H18" s="2789"/>
      <c r="I18" s="3127">
        <v>985.12</v>
      </c>
      <c r="J18" s="3127">
        <v>1118.76</v>
      </c>
      <c r="K18" s="3127">
        <v>1081.76</v>
      </c>
      <c r="L18" s="3127">
        <v>1079.8399999999999</v>
      </c>
      <c r="M18" s="3128">
        <v>4265.4799999999996</v>
      </c>
      <c r="N18" s="3127">
        <v>1198.1199999999999</v>
      </c>
      <c r="O18" s="3127">
        <v>1286.0840000000001</v>
      </c>
      <c r="P18" s="3127">
        <v>1128.3791999999999</v>
      </c>
      <c r="Q18" s="3127">
        <v>855.60760000000005</v>
      </c>
      <c r="R18" s="3128">
        <v>4468.1908000000003</v>
      </c>
      <c r="S18" s="3127">
        <v>1085.8816000000002</v>
      </c>
      <c r="T18" s="3127">
        <v>1210.6656800000001</v>
      </c>
      <c r="U18" s="3127">
        <v>1143.0067840000002</v>
      </c>
      <c r="V18" s="3127">
        <v>1152.816208</v>
      </c>
      <c r="W18" s="3128">
        <v>4592.3702720000001</v>
      </c>
      <c r="X18" s="3127">
        <v>1087</v>
      </c>
      <c r="Y18" s="3127">
        <v>1215</v>
      </c>
      <c r="Z18" s="3127">
        <v>1137</v>
      </c>
      <c r="AA18" s="3127">
        <v>1206</v>
      </c>
      <c r="AB18" s="3128">
        <v>4645</v>
      </c>
      <c r="AC18" s="3127">
        <v>1203.25</v>
      </c>
      <c r="AD18" s="3127">
        <v>1347.25</v>
      </c>
      <c r="AE18" s="3127">
        <v>1315.25</v>
      </c>
      <c r="AF18" s="3127">
        <v>1421.25</v>
      </c>
      <c r="AG18" s="3128">
        <v>5287</v>
      </c>
      <c r="AH18" s="3127">
        <v>1378</v>
      </c>
      <c r="AI18" s="3127">
        <v>1531</v>
      </c>
      <c r="AJ18" s="3127">
        <v>1461</v>
      </c>
      <c r="AK18" s="3127">
        <v>1493</v>
      </c>
      <c r="AL18" s="3128">
        <v>5863</v>
      </c>
      <c r="AM18" s="3127">
        <v>1411</v>
      </c>
      <c r="AN18" s="3127">
        <v>1476</v>
      </c>
      <c r="AO18" s="3127">
        <v>1435</v>
      </c>
      <c r="AP18" s="3127">
        <v>1524</v>
      </c>
      <c r="AQ18" s="3128">
        <v>5846</v>
      </c>
      <c r="AR18" s="3127">
        <v>1386</v>
      </c>
      <c r="AS18" s="3127">
        <v>1541</v>
      </c>
      <c r="AT18" s="3127">
        <v>1508</v>
      </c>
      <c r="AU18" s="3127">
        <v>1566</v>
      </c>
      <c r="AV18" s="3128">
        <v>6001</v>
      </c>
      <c r="AW18" s="3127">
        <v>1429</v>
      </c>
      <c r="AX18" s="3127">
        <v>1538</v>
      </c>
      <c r="AY18" s="3127">
        <v>1501</v>
      </c>
      <c r="AZ18" s="3127">
        <v>1299</v>
      </c>
      <c r="BA18" s="3128">
        <v>5767</v>
      </c>
      <c r="BB18" s="3127">
        <v>1118</v>
      </c>
      <c r="BC18" s="3127">
        <v>1205</v>
      </c>
      <c r="BD18" s="3127">
        <v>1218</v>
      </c>
      <c r="BE18" s="3127">
        <v>1283</v>
      </c>
      <c r="BF18" s="3128">
        <v>4824</v>
      </c>
      <c r="BG18" s="3127">
        <v>1187</v>
      </c>
      <c r="BH18" s="3127">
        <v>1289</v>
      </c>
      <c r="BI18" s="3127">
        <v>1255</v>
      </c>
      <c r="BJ18" s="3127">
        <v>1340</v>
      </c>
      <c r="BK18" s="3128">
        <v>5071</v>
      </c>
      <c r="BL18" s="3127">
        <v>1295</v>
      </c>
      <c r="BM18" s="3127">
        <v>1426</v>
      </c>
      <c r="BN18" s="3127">
        <v>1372</v>
      </c>
      <c r="BO18" s="3127">
        <v>1531</v>
      </c>
      <c r="BP18" s="3128">
        <v>5624</v>
      </c>
      <c r="BQ18" s="3127">
        <v>1715</v>
      </c>
      <c r="BR18" s="3127">
        <v>1618</v>
      </c>
      <c r="BS18" s="3127">
        <v>1455</v>
      </c>
      <c r="BT18" s="3127">
        <v>1533</v>
      </c>
      <c r="BU18" s="3128">
        <v>6321</v>
      </c>
      <c r="BV18" s="3127">
        <v>1539</v>
      </c>
      <c r="BW18" s="3127">
        <v>1562</v>
      </c>
      <c r="BX18" s="3127">
        <v>1508</v>
      </c>
      <c r="BY18" s="3127">
        <v>1506</v>
      </c>
      <c r="BZ18" s="3128">
        <v>6115</v>
      </c>
      <c r="CA18" s="3127">
        <v>1458</v>
      </c>
      <c r="CB18" s="3127">
        <v>1539</v>
      </c>
      <c r="CC18" s="3127">
        <v>1493</v>
      </c>
      <c r="CD18" s="3127">
        <v>1493</v>
      </c>
      <c r="CE18" s="3128">
        <v>5983</v>
      </c>
      <c r="CF18" s="3127">
        <v>1415</v>
      </c>
      <c r="CG18" s="3127">
        <v>1481</v>
      </c>
      <c r="CH18" s="3127">
        <v>1434</v>
      </c>
      <c r="CI18" s="3127">
        <v>1433</v>
      </c>
      <c r="CJ18" s="3128">
        <v>5763</v>
      </c>
      <c r="CK18" s="3127">
        <v>1404</v>
      </c>
      <c r="CL18" s="3127">
        <v>1246</v>
      </c>
      <c r="CM18" s="3129">
        <v>1274.2667738265859</v>
      </c>
      <c r="CN18" s="2789"/>
      <c r="CO18" s="2286">
        <f>SUM(CK18:CN18)</f>
        <v>3924.2667738265859</v>
      </c>
      <c r="CP18" s="2789"/>
      <c r="CQ18" s="2789"/>
      <c r="CR18" s="2789"/>
      <c r="CS18" s="2789"/>
      <c r="CT18" s="3494"/>
      <c r="CU18" s="2789"/>
      <c r="CV18" s="2789"/>
      <c r="CW18" s="2789"/>
      <c r="CX18" s="2789"/>
      <c r="CY18" s="3494"/>
      <c r="CZ18" s="3351"/>
      <c r="DA18" s="2286"/>
      <c r="DB18" s="3546"/>
      <c r="DC18" s="1062"/>
      <c r="DD18" s="2285"/>
      <c r="DE18" s="2286"/>
      <c r="DF18" s="2286"/>
      <c r="DG18" s="2286"/>
      <c r="DH18" s="2286"/>
      <c r="DI18" s="2286"/>
      <c r="DJ18" s="2286"/>
      <c r="DK18" s="2286"/>
      <c r="DL18" s="2286"/>
      <c r="DM18" s="2286"/>
      <c r="DN18" s="2286"/>
      <c r="DO18" s="2286"/>
      <c r="DP18" s="2286"/>
      <c r="DQ18" s="2286"/>
      <c r="DR18" s="2286"/>
      <c r="DS18" s="2286"/>
      <c r="DT18" s="2286"/>
      <c r="DU18" s="2286"/>
      <c r="DV18" s="2286"/>
      <c r="DW18" s="2286"/>
      <c r="DX18" s="2286"/>
      <c r="DY18" s="2286"/>
      <c r="EA18"/>
      <c r="EB18"/>
      <c r="EC18"/>
      <c r="ED18"/>
      <c r="EE18"/>
      <c r="EF18"/>
      <c r="EJ18"/>
      <c r="EK18"/>
      <c r="EL18"/>
      <c r="EM18" s="1703"/>
      <c r="ER18" s="2631"/>
    </row>
    <row r="19" spans="1:148" s="923" customFormat="1" hidden="1" outlineLevel="1" x14ac:dyDescent="0.2">
      <c r="A19" s="1737"/>
      <c r="B19" s="220"/>
      <c r="C19" s="220"/>
      <c r="D19" s="220"/>
      <c r="E19" s="220"/>
      <c r="F19" s="220"/>
      <c r="G19" s="220"/>
      <c r="H19" s="220"/>
      <c r="I19" s="220"/>
      <c r="J19" s="220"/>
      <c r="K19" s="220"/>
      <c r="L19" s="220"/>
      <c r="M19" s="965"/>
      <c r="N19" s="220"/>
      <c r="O19" s="220"/>
      <c r="P19" s="220"/>
      <c r="Q19" s="220"/>
      <c r="R19" s="965"/>
      <c r="S19" s="220"/>
      <c r="T19" s="220"/>
      <c r="U19" s="220"/>
      <c r="V19" s="220"/>
      <c r="W19" s="965"/>
      <c r="X19" s="220"/>
      <c r="Y19" s="220"/>
      <c r="Z19" s="220"/>
      <c r="AA19" s="220"/>
      <c r="AB19" s="965"/>
      <c r="AC19" s="220"/>
      <c r="AD19" s="220"/>
      <c r="AE19" s="220"/>
      <c r="AF19" s="220"/>
      <c r="AG19" s="965"/>
      <c r="AH19" s="220"/>
      <c r="AI19" s="220"/>
      <c r="AJ19" s="220"/>
      <c r="AK19" s="220"/>
      <c r="AL19" s="965"/>
      <c r="AM19" s="220"/>
      <c r="AN19" s="220"/>
      <c r="AO19" s="220"/>
      <c r="AP19" s="220"/>
      <c r="AQ19" s="965"/>
      <c r="AR19" s="220"/>
      <c r="AS19" s="220"/>
      <c r="AT19" s="220"/>
      <c r="AU19" s="220"/>
      <c r="AV19" s="965"/>
      <c r="AW19" s="220"/>
      <c r="AX19" s="220"/>
      <c r="AY19" s="220"/>
      <c r="AZ19" s="220"/>
      <c r="BA19" s="965"/>
      <c r="BB19" s="220"/>
      <c r="BC19" s="220"/>
      <c r="BD19" s="220"/>
      <c r="BE19" s="220"/>
      <c r="BF19" s="965"/>
      <c r="BG19" s="220"/>
      <c r="BH19" s="220"/>
      <c r="BI19" s="220"/>
      <c r="BJ19" s="220"/>
      <c r="BK19" s="965"/>
      <c r="BL19" s="220"/>
      <c r="BM19" s="220"/>
      <c r="BN19" s="220"/>
      <c r="BO19" s="220"/>
      <c r="BP19" s="965"/>
      <c r="BQ19" s="220"/>
      <c r="BR19" s="220"/>
      <c r="BS19" s="220"/>
      <c r="BT19" s="220"/>
      <c r="BU19" s="965"/>
      <c r="BV19" s="220"/>
      <c r="BW19" s="220"/>
      <c r="BX19" s="220"/>
      <c r="BY19" s="220"/>
      <c r="BZ19" s="965"/>
      <c r="CA19" s="220"/>
      <c r="CB19" s="220"/>
      <c r="CC19" s="220"/>
      <c r="CD19" s="220"/>
      <c r="CE19" s="965"/>
      <c r="CF19" s="220"/>
      <c r="CG19" s="220"/>
      <c r="CH19" s="220"/>
      <c r="CI19" s="220"/>
      <c r="CJ19" s="965"/>
      <c r="CK19" s="220"/>
      <c r="CL19" s="220"/>
      <c r="CM19" s="1378"/>
      <c r="CN19" s="220"/>
      <c r="CO19" s="3455"/>
      <c r="CP19" s="220"/>
      <c r="CQ19" s="220"/>
      <c r="CR19" s="220"/>
      <c r="CS19" s="220"/>
      <c r="CT19" s="3494"/>
      <c r="CU19" s="220"/>
      <c r="CV19" s="220"/>
      <c r="CW19" s="220"/>
      <c r="CX19" s="220"/>
      <c r="CY19" s="3494"/>
      <c r="CZ19" s="1792"/>
      <c r="DA19" s="965"/>
      <c r="DB19"/>
      <c r="DC19"/>
      <c r="DD19" s="1737"/>
      <c r="DE19" s="2284"/>
      <c r="DF19" s="2284"/>
      <c r="DG19" s="2284"/>
      <c r="DH19" s="2284"/>
      <c r="DI19" s="2284"/>
      <c r="DJ19" s="2284"/>
      <c r="DK19" s="2284"/>
      <c r="DL19" s="2284"/>
      <c r="DM19" s="2284"/>
      <c r="DN19" s="2284"/>
      <c r="DO19" s="2284"/>
      <c r="DP19" s="2284"/>
      <c r="DQ19" s="2284"/>
      <c r="DR19" s="2284"/>
      <c r="DS19" s="2284"/>
      <c r="DT19" s="2284"/>
      <c r="DU19" s="2284"/>
      <c r="DV19" s="2284"/>
      <c r="DW19" s="2284"/>
      <c r="DX19" s="2284"/>
      <c r="DY19" s="2284"/>
      <c r="EA19"/>
      <c r="EB19"/>
      <c r="EC19"/>
      <c r="ED19"/>
      <c r="EE19"/>
      <c r="EF19"/>
      <c r="EJ19"/>
      <c r="EK19"/>
      <c r="EL19"/>
      <c r="ER19" s="212"/>
    </row>
    <row r="20" spans="1:148" s="926" customFormat="1" collapsed="1" x14ac:dyDescent="0.2">
      <c r="A20" s="3226" t="s">
        <v>2548</v>
      </c>
      <c r="B20" s="3227"/>
      <c r="C20" s="3227"/>
      <c r="D20" s="3227"/>
      <c r="E20" s="3227"/>
      <c r="F20" s="3227"/>
      <c r="G20" s="3227"/>
      <c r="H20" s="3227"/>
      <c r="I20" s="3243">
        <f>+I10+I17</f>
        <v>253.98564999999999</v>
      </c>
      <c r="J20" s="3243">
        <f t="shared" ref="J20:BU20" si="53">+J10+J17</f>
        <v>289.76</v>
      </c>
      <c r="K20" s="3243">
        <f t="shared" si="53"/>
        <v>292.76</v>
      </c>
      <c r="L20" s="3243">
        <f t="shared" si="53"/>
        <v>395.84000000000003</v>
      </c>
      <c r="M20" s="3244">
        <f t="shared" si="53"/>
        <v>1232.34565</v>
      </c>
      <c r="N20" s="3243">
        <f t="shared" si="53"/>
        <v>262.98564999999996</v>
      </c>
      <c r="O20" s="3243">
        <f t="shared" si="53"/>
        <v>290.084</v>
      </c>
      <c r="P20" s="3243">
        <f t="shared" si="53"/>
        <v>235.8792</v>
      </c>
      <c r="Q20" s="3243">
        <f t="shared" si="53"/>
        <v>237.34652773892773</v>
      </c>
      <c r="R20" s="3244">
        <f t="shared" si="53"/>
        <v>1026.2953777389278</v>
      </c>
      <c r="S20" s="3243">
        <f t="shared" si="53"/>
        <v>218.88159999999999</v>
      </c>
      <c r="T20" s="3243">
        <f t="shared" si="53"/>
        <v>248.66568000000001</v>
      </c>
      <c r="U20" s="3243">
        <f t="shared" si="53"/>
        <v>217.00678399999998</v>
      </c>
      <c r="V20" s="3243">
        <f t="shared" si="53"/>
        <v>297.81620800000002</v>
      </c>
      <c r="W20" s="3244">
        <f t="shared" si="53"/>
        <v>982.370272</v>
      </c>
      <c r="X20" s="3243">
        <f t="shared" si="53"/>
        <v>225</v>
      </c>
      <c r="Y20" s="3243">
        <f t="shared" si="53"/>
        <v>236</v>
      </c>
      <c r="Z20" s="3243">
        <f t="shared" si="53"/>
        <v>233</v>
      </c>
      <c r="AA20" s="3243">
        <f t="shared" si="53"/>
        <v>303</v>
      </c>
      <c r="AB20" s="3244">
        <f t="shared" si="53"/>
        <v>997</v>
      </c>
      <c r="AC20" s="3243">
        <f t="shared" si="53"/>
        <v>259.25</v>
      </c>
      <c r="AD20" s="3243">
        <f t="shared" si="53"/>
        <v>294.25</v>
      </c>
      <c r="AE20" s="3243">
        <f t="shared" si="53"/>
        <v>273.25</v>
      </c>
      <c r="AF20" s="3243">
        <f t="shared" si="53"/>
        <v>370.25</v>
      </c>
      <c r="AG20" s="3244">
        <f t="shared" si="53"/>
        <v>1197</v>
      </c>
      <c r="AH20" s="3243">
        <f t="shared" si="53"/>
        <v>307</v>
      </c>
      <c r="AI20" s="3243">
        <f t="shared" si="53"/>
        <v>344</v>
      </c>
      <c r="AJ20" s="3243">
        <f t="shared" si="53"/>
        <v>307</v>
      </c>
      <c r="AK20" s="3243">
        <f t="shared" si="53"/>
        <v>431</v>
      </c>
      <c r="AL20" s="3244">
        <f t="shared" si="53"/>
        <v>1389</v>
      </c>
      <c r="AM20" s="3243">
        <f t="shared" si="53"/>
        <v>370</v>
      </c>
      <c r="AN20" s="3243">
        <f t="shared" si="53"/>
        <v>449</v>
      </c>
      <c r="AO20" s="3243">
        <f t="shared" si="53"/>
        <v>418</v>
      </c>
      <c r="AP20" s="3243">
        <f t="shared" si="53"/>
        <v>551</v>
      </c>
      <c r="AQ20" s="3244">
        <f t="shared" si="53"/>
        <v>1788</v>
      </c>
      <c r="AR20" s="3243">
        <f t="shared" si="53"/>
        <v>443</v>
      </c>
      <c r="AS20" s="3243">
        <f t="shared" si="53"/>
        <v>530</v>
      </c>
      <c r="AT20" s="3243">
        <f t="shared" si="53"/>
        <v>484</v>
      </c>
      <c r="AU20" s="3243">
        <f t="shared" si="53"/>
        <v>658</v>
      </c>
      <c r="AV20" s="3244">
        <f t="shared" si="53"/>
        <v>2115</v>
      </c>
      <c r="AW20" s="3243">
        <f t="shared" si="53"/>
        <v>491</v>
      </c>
      <c r="AX20" s="3243">
        <f t="shared" si="53"/>
        <v>557</v>
      </c>
      <c r="AY20" s="3243">
        <f t="shared" si="53"/>
        <v>487</v>
      </c>
      <c r="AZ20" s="3243">
        <f t="shared" si="53"/>
        <v>583</v>
      </c>
      <c r="BA20" s="3244">
        <f t="shared" si="53"/>
        <v>2118</v>
      </c>
      <c r="BB20" s="3243">
        <f t="shared" si="53"/>
        <v>421</v>
      </c>
      <c r="BC20" s="3243">
        <f t="shared" si="53"/>
        <v>441</v>
      </c>
      <c r="BD20" s="3243">
        <f t="shared" si="53"/>
        <v>414</v>
      </c>
      <c r="BE20" s="3243">
        <f t="shared" si="53"/>
        <v>526</v>
      </c>
      <c r="BF20" s="3244">
        <f t="shared" si="53"/>
        <v>1802</v>
      </c>
      <c r="BG20" s="3243">
        <f t="shared" si="53"/>
        <v>409</v>
      </c>
      <c r="BH20" s="3243">
        <f t="shared" si="53"/>
        <v>465</v>
      </c>
      <c r="BI20" s="3243">
        <f t="shared" si="53"/>
        <v>427</v>
      </c>
      <c r="BJ20" s="3243">
        <f t="shared" si="53"/>
        <v>600</v>
      </c>
      <c r="BK20" s="3244">
        <f t="shared" si="53"/>
        <v>1901</v>
      </c>
      <c r="BL20" s="3243">
        <f t="shared" si="53"/>
        <v>456</v>
      </c>
      <c r="BM20" s="3243">
        <f t="shared" si="53"/>
        <v>521</v>
      </c>
      <c r="BN20" s="3243">
        <f t="shared" si="53"/>
        <v>490</v>
      </c>
      <c r="BO20" s="3243">
        <f t="shared" si="53"/>
        <v>654</v>
      </c>
      <c r="BP20" s="3244">
        <f t="shared" si="53"/>
        <v>2121</v>
      </c>
      <c r="BQ20" s="3243">
        <f t="shared" si="53"/>
        <v>501</v>
      </c>
      <c r="BR20" s="3243">
        <f t="shared" si="53"/>
        <v>564</v>
      </c>
      <c r="BS20" s="3243">
        <f t="shared" si="53"/>
        <v>538</v>
      </c>
      <c r="BT20" s="3243">
        <f t="shared" si="53"/>
        <v>705</v>
      </c>
      <c r="BU20" s="3244">
        <f t="shared" si="53"/>
        <v>2308</v>
      </c>
      <c r="BV20" s="3243">
        <f t="shared" ref="BV20:DA20" si="54">+BV10+BV17</f>
        <v>587</v>
      </c>
      <c r="BW20" s="3243">
        <f t="shared" si="54"/>
        <v>643</v>
      </c>
      <c r="BX20" s="3243">
        <f t="shared" si="54"/>
        <v>625</v>
      </c>
      <c r="BY20" s="3243">
        <f t="shared" si="54"/>
        <v>653</v>
      </c>
      <c r="BZ20" s="3244">
        <f t="shared" si="54"/>
        <v>2508</v>
      </c>
      <c r="CA20" s="3243">
        <f t="shared" si="54"/>
        <v>637</v>
      </c>
      <c r="CB20" s="3243">
        <f t="shared" si="54"/>
        <v>712</v>
      </c>
      <c r="CC20" s="3243">
        <f t="shared" si="54"/>
        <v>703</v>
      </c>
      <c r="CD20" s="3243">
        <f t="shared" si="54"/>
        <v>724</v>
      </c>
      <c r="CE20" s="3244">
        <f t="shared" si="54"/>
        <v>2776</v>
      </c>
      <c r="CF20" s="3243">
        <f t="shared" si="54"/>
        <v>698</v>
      </c>
      <c r="CG20" s="3243">
        <f t="shared" si="54"/>
        <v>749</v>
      </c>
      <c r="CH20" s="3243">
        <f t="shared" si="54"/>
        <v>728</v>
      </c>
      <c r="CI20" s="3243">
        <f t="shared" si="54"/>
        <v>742</v>
      </c>
      <c r="CJ20" s="3244">
        <f t="shared" si="54"/>
        <v>2917</v>
      </c>
      <c r="CK20" s="3243">
        <f t="shared" si="54"/>
        <v>736</v>
      </c>
      <c r="CL20" s="3243">
        <f t="shared" si="54"/>
        <v>788</v>
      </c>
      <c r="CM20" s="3243">
        <f t="shared" si="54"/>
        <v>771.64677382658579</v>
      </c>
      <c r="CN20" s="3245">
        <f>+CN10</f>
        <v>713</v>
      </c>
      <c r="CO20" s="3244">
        <f t="shared" si="54"/>
        <v>3008.6467738265856</v>
      </c>
      <c r="CP20" s="3246">
        <f t="shared" si="54"/>
        <v>782</v>
      </c>
      <c r="CQ20" s="3243">
        <f>+CQ10+CQ17</f>
        <v>849</v>
      </c>
      <c r="CR20" s="3243">
        <f t="shared" si="54"/>
        <v>831</v>
      </c>
      <c r="CS20" s="3243">
        <f t="shared" si="54"/>
        <v>865</v>
      </c>
      <c r="CT20" s="3244">
        <f t="shared" ref="CT20:CY20" si="55">+CT10+CT17</f>
        <v>3327</v>
      </c>
      <c r="CU20" s="3243">
        <f t="shared" ca="1" si="55"/>
        <v>847.10129198108757</v>
      </c>
      <c r="CV20" s="3243">
        <f t="shared" ca="1" si="55"/>
        <v>929.79641871465742</v>
      </c>
      <c r="CW20" s="3243">
        <f t="shared" ca="1" si="55"/>
        <v>906.86753103306148</v>
      </c>
      <c r="CX20" s="3243">
        <f t="shared" ca="1" si="55"/>
        <v>934.98525498090453</v>
      </c>
      <c r="CY20" s="3244">
        <f t="shared" ca="1" si="55"/>
        <v>3618.7504967097111</v>
      </c>
      <c r="CZ20" s="3352">
        <f t="shared" ca="1" si="54"/>
        <v>3932.6956507228265</v>
      </c>
      <c r="DA20" s="3244">
        <f t="shared" ca="1" si="54"/>
        <v>3933.774686485267</v>
      </c>
      <c r="DB20" s="542"/>
      <c r="DC20" s="542"/>
      <c r="DD20" s="3247"/>
      <c r="DE20" s="967"/>
      <c r="DF20" s="967"/>
      <c r="DG20" s="967"/>
      <c r="DH20" s="967"/>
      <c r="DI20" s="967"/>
      <c r="DJ20" s="967"/>
      <c r="DK20" s="967"/>
      <c r="DL20" s="967"/>
      <c r="DM20" s="967"/>
      <c r="DN20" s="967"/>
      <c r="DO20" s="967"/>
      <c r="DP20" s="967"/>
      <c r="DQ20" s="967"/>
      <c r="DR20" s="967"/>
      <c r="DS20" s="967"/>
      <c r="DT20" s="967"/>
      <c r="DU20" s="967"/>
      <c r="DV20" s="967"/>
      <c r="DW20" s="967"/>
      <c r="DX20" s="967"/>
      <c r="DY20" s="967"/>
      <c r="EA20"/>
      <c r="EB20"/>
      <c r="EC20"/>
      <c r="ED20"/>
      <c r="EE20"/>
      <c r="EF20"/>
      <c r="EJ20"/>
      <c r="EK20"/>
      <c r="EL20"/>
      <c r="EM20" s="1703"/>
      <c r="ER20" s="217"/>
    </row>
    <row r="21" spans="1:148" x14ac:dyDescent="0.2">
      <c r="A21" s="3217" t="s">
        <v>2540</v>
      </c>
      <c r="B21" s="3218"/>
      <c r="C21" s="3218"/>
      <c r="D21" s="3218"/>
      <c r="E21" s="3218"/>
      <c r="F21" s="3218"/>
      <c r="G21" s="3218"/>
      <c r="H21" s="3218"/>
      <c r="I21" s="3218"/>
      <c r="J21" s="3218"/>
      <c r="K21" s="3218"/>
      <c r="L21" s="3218"/>
      <c r="M21" s="3219"/>
      <c r="N21" s="3218">
        <f t="shared" ref="N21:BX21" si="56">+N20/I20-1</f>
        <v>3.5435072808247092E-2</v>
      </c>
      <c r="O21" s="3218">
        <f t="shared" si="56"/>
        <v>1.1181667586968036E-3</v>
      </c>
      <c r="P21" s="3218">
        <f t="shared" si="56"/>
        <v>-0.19429156988659646</v>
      </c>
      <c r="Q21" s="3218">
        <f t="shared" si="56"/>
        <v>-0.40039781795945906</v>
      </c>
      <c r="R21" s="3219">
        <f t="shared" si="56"/>
        <v>-0.16720168749820497</v>
      </c>
      <c r="S21" s="3218">
        <f t="shared" si="56"/>
        <v>-0.16770515805710307</v>
      </c>
      <c r="T21" s="3218">
        <f t="shared" si="56"/>
        <v>-0.14278043601163803</v>
      </c>
      <c r="U21" s="3218">
        <f t="shared" si="56"/>
        <v>-8.000881807297977E-2</v>
      </c>
      <c r="V21" s="3218">
        <f t="shared" si="56"/>
        <v>0.25477381462932813</v>
      </c>
      <c r="W21" s="3219">
        <f t="shared" si="56"/>
        <v>-4.2799672191548677E-2</v>
      </c>
      <c r="X21" s="3218">
        <f t="shared" si="56"/>
        <v>2.7953012039385605E-2</v>
      </c>
      <c r="Y21" s="3218">
        <f t="shared" si="56"/>
        <v>-5.0934572072832918E-2</v>
      </c>
      <c r="Z21" s="3218">
        <f t="shared" si="56"/>
        <v>7.3699152188716921E-2</v>
      </c>
      <c r="AA21" s="3218">
        <f t="shared" si="56"/>
        <v>1.7406010353875567E-2</v>
      </c>
      <c r="AB21" s="3219">
        <f t="shared" si="56"/>
        <v>1.4892274753200097E-2</v>
      </c>
      <c r="AC21" s="3218">
        <f t="shared" si="56"/>
        <v>0.15222222222222226</v>
      </c>
      <c r="AD21" s="3218">
        <f t="shared" si="56"/>
        <v>0.24682203389830515</v>
      </c>
      <c r="AE21" s="3218">
        <f t="shared" si="56"/>
        <v>0.17274678111587982</v>
      </c>
      <c r="AF21" s="3218">
        <f t="shared" si="56"/>
        <v>0.221947194719472</v>
      </c>
      <c r="AG21" s="3219">
        <f t="shared" si="56"/>
        <v>0.20060180541624884</v>
      </c>
      <c r="AH21" s="3218">
        <f t="shared" si="56"/>
        <v>0.18418514946962383</v>
      </c>
      <c r="AI21" s="3218">
        <f t="shared" si="56"/>
        <v>0.16907391673746819</v>
      </c>
      <c r="AJ21" s="3218">
        <f t="shared" si="56"/>
        <v>0.12351326623970715</v>
      </c>
      <c r="AK21" s="3218">
        <f t="shared" si="56"/>
        <v>0.16407832545577317</v>
      </c>
      <c r="AL21" s="3219">
        <f t="shared" si="56"/>
        <v>0.16040100250626566</v>
      </c>
      <c r="AM21" s="3218">
        <f t="shared" si="56"/>
        <v>0.20521172638436491</v>
      </c>
      <c r="AN21" s="3218">
        <f t="shared" si="56"/>
        <v>0.30523255813953498</v>
      </c>
      <c r="AO21" s="3218">
        <f t="shared" si="56"/>
        <v>0.36156351791530938</v>
      </c>
      <c r="AP21" s="3218">
        <f t="shared" si="56"/>
        <v>0.27842227378190265</v>
      </c>
      <c r="AQ21" s="3219">
        <f t="shared" si="56"/>
        <v>0.28725701943844495</v>
      </c>
      <c r="AR21" s="3218">
        <f t="shared" si="56"/>
        <v>0.19729729729729728</v>
      </c>
      <c r="AS21" s="3218">
        <f t="shared" si="56"/>
        <v>0.18040089086859679</v>
      </c>
      <c r="AT21" s="3218">
        <f t="shared" si="56"/>
        <v>0.15789473684210531</v>
      </c>
      <c r="AU21" s="3218">
        <f t="shared" si="56"/>
        <v>0.19419237749546281</v>
      </c>
      <c r="AV21" s="3219">
        <f t="shared" si="56"/>
        <v>0.18288590604026855</v>
      </c>
      <c r="AW21" s="3218">
        <f t="shared" si="56"/>
        <v>0.1083521444695259</v>
      </c>
      <c r="AX21" s="3218">
        <f t="shared" si="56"/>
        <v>5.0943396226415194E-2</v>
      </c>
      <c r="AY21" s="3218">
        <f t="shared" si="56"/>
        <v>6.1983471074380514E-3</v>
      </c>
      <c r="AZ21" s="3218">
        <f t="shared" si="56"/>
        <v>-0.11398176291793316</v>
      </c>
      <c r="BA21" s="3219">
        <f t="shared" si="56"/>
        <v>1.4184397163119478E-3</v>
      </c>
      <c r="BB21" s="3218">
        <f t="shared" si="56"/>
        <v>-0.14256619144602856</v>
      </c>
      <c r="BC21" s="3218">
        <f t="shared" si="56"/>
        <v>-0.20825852782764809</v>
      </c>
      <c r="BD21" s="3218">
        <f t="shared" si="56"/>
        <v>-0.14989733059548249</v>
      </c>
      <c r="BE21" s="3218">
        <f t="shared" si="56"/>
        <v>-9.7770154373927998E-2</v>
      </c>
      <c r="BF21" s="3219">
        <f t="shared" si="56"/>
        <v>-0.14919735599622286</v>
      </c>
      <c r="BG21" s="3218">
        <f t="shared" si="56"/>
        <v>-2.8503562945368155E-2</v>
      </c>
      <c r="BH21" s="3218">
        <f t="shared" si="56"/>
        <v>5.4421768707483054E-2</v>
      </c>
      <c r="BI21" s="3218">
        <f t="shared" si="56"/>
        <v>3.1400966183574797E-2</v>
      </c>
      <c r="BJ21" s="3218">
        <f t="shared" si="56"/>
        <v>0.14068441064638781</v>
      </c>
      <c r="BK21" s="3219">
        <f t="shared" si="56"/>
        <v>5.4938956714761344E-2</v>
      </c>
      <c r="BL21" s="3218">
        <f t="shared" si="56"/>
        <v>0.11491442542787289</v>
      </c>
      <c r="BM21" s="3218">
        <f t="shared" si="56"/>
        <v>0.12043010752688166</v>
      </c>
      <c r="BN21" s="3218">
        <f t="shared" si="56"/>
        <v>0.14754098360655732</v>
      </c>
      <c r="BO21" s="3218">
        <f t="shared" si="56"/>
        <v>9.000000000000008E-2</v>
      </c>
      <c r="BP21" s="3219">
        <f t="shared" si="56"/>
        <v>0.11572856391372954</v>
      </c>
      <c r="BQ21" s="3218">
        <f t="shared" si="56"/>
        <v>9.8684210526315708E-2</v>
      </c>
      <c r="BR21" s="3218">
        <f t="shared" si="56"/>
        <v>8.253358925143961E-2</v>
      </c>
      <c r="BS21" s="3218">
        <f t="shared" si="56"/>
        <v>9.7959183673469452E-2</v>
      </c>
      <c r="BT21" s="3218">
        <f t="shared" si="56"/>
        <v>7.7981651376146877E-2</v>
      </c>
      <c r="BU21" s="3219">
        <f t="shared" si="56"/>
        <v>8.8165959453088139E-2</v>
      </c>
      <c r="BV21" s="3218">
        <f t="shared" si="56"/>
        <v>0.1716566866267466</v>
      </c>
      <c r="BW21" s="3218">
        <f t="shared" si="56"/>
        <v>0.14007092198581561</v>
      </c>
      <c r="BX21" s="3218">
        <f t="shared" si="56"/>
        <v>0.1617100371747211</v>
      </c>
      <c r="BY21" s="3218">
        <f t="shared" ref="BY21:CM21" si="57">+BY20/BT20-1</f>
        <v>-7.3758865248226946E-2</v>
      </c>
      <c r="BZ21" s="3219">
        <f t="shared" si="57"/>
        <v>8.6655112651646382E-2</v>
      </c>
      <c r="CA21" s="3218">
        <f t="shared" si="57"/>
        <v>8.5178875638841633E-2</v>
      </c>
      <c r="CB21" s="3218">
        <f t="shared" si="57"/>
        <v>0.10730948678071539</v>
      </c>
      <c r="CC21" s="3218">
        <f t="shared" si="57"/>
        <v>0.12480000000000002</v>
      </c>
      <c r="CD21" s="3218">
        <f t="shared" si="57"/>
        <v>0.10872894333843797</v>
      </c>
      <c r="CE21" s="3219">
        <f t="shared" si="57"/>
        <v>0.10685805422647521</v>
      </c>
      <c r="CF21" s="3218">
        <f t="shared" si="57"/>
        <v>9.5761381475667262E-2</v>
      </c>
      <c r="CG21" s="3218">
        <f t="shared" si="57"/>
        <v>5.1966292134831393E-2</v>
      </c>
      <c r="CH21" s="3218">
        <f t="shared" si="57"/>
        <v>3.5561877667140918E-2</v>
      </c>
      <c r="CI21" s="3218">
        <f t="shared" si="57"/>
        <v>2.4861878453038777E-2</v>
      </c>
      <c r="CJ21" s="3219">
        <f t="shared" si="57"/>
        <v>5.0792507204610926E-2</v>
      </c>
      <c r="CK21" s="3218">
        <f t="shared" si="57"/>
        <v>5.4441260744985565E-2</v>
      </c>
      <c r="CL21" s="3218">
        <f t="shared" si="57"/>
        <v>5.206942590120156E-2</v>
      </c>
      <c r="CM21" s="3218">
        <f t="shared" si="57"/>
        <v>5.9954359651903655E-2</v>
      </c>
      <c r="CN21" s="3218">
        <f>+CN20/CI20-1</f>
        <v>-3.9083557951482439E-2</v>
      </c>
      <c r="CO21" s="3219">
        <f t="shared" ref="CO21:CT21" si="58">+CO20/CJ20-1</f>
        <v>3.1418160379357518E-2</v>
      </c>
      <c r="CP21" s="3220">
        <f t="shared" si="58"/>
        <v>6.25E-2</v>
      </c>
      <c r="CQ21" s="3218">
        <f t="shared" si="58"/>
        <v>7.7411167512690282E-2</v>
      </c>
      <c r="CR21" s="3218">
        <f t="shared" si="58"/>
        <v>7.6917610734095865E-2</v>
      </c>
      <c r="CS21" s="3218">
        <f t="shared" si="58"/>
        <v>0.21318373071528751</v>
      </c>
      <c r="CT21" s="3219">
        <f t="shared" si="58"/>
        <v>0.10581276238304071</v>
      </c>
      <c r="CU21" s="3218">
        <f ca="1">+CU20/CP20-1</f>
        <v>8.3249733991160646E-2</v>
      </c>
      <c r="CV21" s="3218">
        <f ca="1">+CV20/CQ20-1</f>
        <v>9.5166570924213767E-2</v>
      </c>
      <c r="CW21" s="3218">
        <f ca="1">+CW20/CR20-1</f>
        <v>9.1296667909821272E-2</v>
      </c>
      <c r="CX21" s="3218">
        <f ca="1">+CX20/CS20-1</f>
        <v>8.0907809226479221E-2</v>
      </c>
      <c r="CY21" s="3219">
        <f ca="1">+CY20/CT20-1</f>
        <v>8.7691763363303643E-2</v>
      </c>
      <c r="CZ21" s="3353">
        <f ca="1">+CZ20/CY20-1</f>
        <v>8.6755125643109388E-2</v>
      </c>
      <c r="DA21" s="3219">
        <f ca="1">+DA20/CZ20-1</f>
        <v>2.7437560855791965E-4</v>
      </c>
      <c r="DB21" s="537"/>
      <c r="DC21" s="537"/>
      <c r="DD21" s="1738"/>
      <c r="DE21" s="1849"/>
      <c r="DF21" s="1849"/>
      <c r="DG21" s="1849"/>
      <c r="DH21" s="1849"/>
      <c r="DI21" s="1849"/>
      <c r="DJ21" s="1849"/>
      <c r="DK21" s="1849"/>
      <c r="DL21" s="1849"/>
      <c r="DM21" s="1849"/>
      <c r="DN21" s="1849"/>
      <c r="DO21" s="1849"/>
      <c r="DP21" s="1849"/>
      <c r="DQ21" s="1849"/>
      <c r="DR21" s="1849"/>
      <c r="DS21" s="1849"/>
      <c r="DT21" s="1849"/>
      <c r="DU21" s="1849"/>
      <c r="DV21" s="1849"/>
      <c r="DW21" s="1849"/>
      <c r="DX21" s="1849"/>
      <c r="DY21" s="1849"/>
      <c r="DZ21" s="855"/>
      <c r="EK21"/>
      <c r="EL21"/>
      <c r="EM21" s="1703"/>
    </row>
    <row r="22" spans="1:148" s="926" customFormat="1" x14ac:dyDescent="0.2">
      <c r="A22" s="3248" t="s">
        <v>2549</v>
      </c>
      <c r="B22" s="3249"/>
      <c r="C22" s="3249"/>
      <c r="D22" s="3249"/>
      <c r="E22" s="3249"/>
      <c r="F22" s="3249"/>
      <c r="G22" s="3249"/>
      <c r="H22" s="3249"/>
      <c r="I22" s="3250">
        <f>+I14+I18</f>
        <v>2770.12</v>
      </c>
      <c r="J22" s="3250">
        <f t="shared" ref="J22:BU22" si="59">+J14+J18</f>
        <v>3058.76</v>
      </c>
      <c r="K22" s="3250">
        <f t="shared" si="59"/>
        <v>2961.76</v>
      </c>
      <c r="L22" s="3250">
        <f t="shared" si="59"/>
        <v>3721.84</v>
      </c>
      <c r="M22" s="3251">
        <f t="shared" si="59"/>
        <v>12512.48</v>
      </c>
      <c r="N22" s="3250">
        <f t="shared" si="59"/>
        <v>3208.12</v>
      </c>
      <c r="O22" s="3250">
        <f t="shared" si="59"/>
        <v>3248.0839999999998</v>
      </c>
      <c r="P22" s="3250">
        <f t="shared" si="59"/>
        <v>3006.3791999999999</v>
      </c>
      <c r="Q22" s="3250">
        <f t="shared" si="59"/>
        <v>3111.6076000000003</v>
      </c>
      <c r="R22" s="3251">
        <f t="shared" si="59"/>
        <v>12236.1908</v>
      </c>
      <c r="S22" s="3250">
        <f t="shared" si="59"/>
        <v>2875.8816000000002</v>
      </c>
      <c r="T22" s="3250">
        <f t="shared" si="59"/>
        <v>3176.6656800000001</v>
      </c>
      <c r="U22" s="3250">
        <f t="shared" si="59"/>
        <v>2996.0067840000002</v>
      </c>
      <c r="V22" s="3250">
        <f t="shared" si="59"/>
        <v>3765.8162080000002</v>
      </c>
      <c r="W22" s="3251">
        <f t="shared" si="59"/>
        <v>12814.370272</v>
      </c>
      <c r="X22" s="3250">
        <f t="shared" si="59"/>
        <v>3042</v>
      </c>
      <c r="Y22" s="3250">
        <f t="shared" si="59"/>
        <v>3168</v>
      </c>
      <c r="Z22" s="3250">
        <f t="shared" si="59"/>
        <v>3153</v>
      </c>
      <c r="AA22" s="3250">
        <f t="shared" si="59"/>
        <v>3994</v>
      </c>
      <c r="AB22" s="3251">
        <f t="shared" si="59"/>
        <v>13357</v>
      </c>
      <c r="AC22" s="3250">
        <f t="shared" si="59"/>
        <v>3455.25</v>
      </c>
      <c r="AD22" s="3250">
        <f t="shared" si="59"/>
        <v>3638.25</v>
      </c>
      <c r="AE22" s="3250">
        <f t="shared" si="59"/>
        <v>3532.25</v>
      </c>
      <c r="AF22" s="3250">
        <f t="shared" si="59"/>
        <v>4439.25</v>
      </c>
      <c r="AG22" s="3251">
        <f t="shared" si="59"/>
        <v>15065</v>
      </c>
      <c r="AH22" s="3250">
        <f t="shared" si="59"/>
        <v>3804</v>
      </c>
      <c r="AI22" s="3250">
        <f t="shared" si="59"/>
        <v>4094</v>
      </c>
      <c r="AJ22" s="3250">
        <f t="shared" si="59"/>
        <v>4077</v>
      </c>
      <c r="AK22" s="3250">
        <f t="shared" si="59"/>
        <v>5017</v>
      </c>
      <c r="AL22" s="3251">
        <f t="shared" si="59"/>
        <v>16992</v>
      </c>
      <c r="AM22" s="3250">
        <f t="shared" si="59"/>
        <v>4059</v>
      </c>
      <c r="AN22" s="3250">
        <f t="shared" si="59"/>
        <v>4328</v>
      </c>
      <c r="AO22" s="3250">
        <f t="shared" si="59"/>
        <v>4132</v>
      </c>
      <c r="AP22" s="3250">
        <f t="shared" si="59"/>
        <v>5322</v>
      </c>
      <c r="AQ22" s="3251">
        <f t="shared" si="59"/>
        <v>17841</v>
      </c>
      <c r="AR22" s="3250">
        <f t="shared" si="59"/>
        <v>4222</v>
      </c>
      <c r="AS22" s="3250">
        <f t="shared" si="59"/>
        <v>4663</v>
      </c>
      <c r="AT22" s="3250">
        <f t="shared" si="59"/>
        <v>4451</v>
      </c>
      <c r="AU22" s="3250">
        <f t="shared" si="59"/>
        <v>5655</v>
      </c>
      <c r="AV22" s="3251">
        <f t="shared" si="59"/>
        <v>18991</v>
      </c>
      <c r="AW22" s="3250">
        <f t="shared" si="59"/>
        <v>4376</v>
      </c>
      <c r="AX22" s="3250">
        <f t="shared" si="59"/>
        <v>4723</v>
      </c>
      <c r="AY22" s="3250">
        <f t="shared" si="59"/>
        <v>4464</v>
      </c>
      <c r="AZ22" s="3250">
        <f t="shared" si="59"/>
        <v>5083</v>
      </c>
      <c r="BA22" s="3251">
        <f t="shared" si="59"/>
        <v>18646</v>
      </c>
      <c r="BB22" s="3250">
        <f t="shared" si="59"/>
        <v>3613</v>
      </c>
      <c r="BC22" s="3250">
        <f t="shared" si="59"/>
        <v>3767</v>
      </c>
      <c r="BD22" s="3250">
        <f t="shared" si="59"/>
        <v>3689</v>
      </c>
      <c r="BE22" s="3250">
        <f t="shared" si="59"/>
        <v>4661</v>
      </c>
      <c r="BF22" s="3251">
        <f t="shared" si="59"/>
        <v>15730</v>
      </c>
      <c r="BG22" s="3250">
        <f t="shared" si="59"/>
        <v>3532</v>
      </c>
      <c r="BH22" s="3250">
        <f t="shared" si="59"/>
        <v>3772</v>
      </c>
      <c r="BI22" s="3250">
        <f t="shared" si="59"/>
        <v>3629</v>
      </c>
      <c r="BJ22" s="3250">
        <f t="shared" si="59"/>
        <v>4612</v>
      </c>
      <c r="BK22" s="3251">
        <f t="shared" si="59"/>
        <v>15545</v>
      </c>
      <c r="BL22" s="3250">
        <f t="shared" si="59"/>
        <v>3797</v>
      </c>
      <c r="BM22" s="3250">
        <f t="shared" si="59"/>
        <v>4111</v>
      </c>
      <c r="BN22" s="3250">
        <f t="shared" si="59"/>
        <v>3959</v>
      </c>
      <c r="BO22" s="3250">
        <f t="shared" si="59"/>
        <v>4990</v>
      </c>
      <c r="BP22" s="3251">
        <f t="shared" si="59"/>
        <v>16857</v>
      </c>
      <c r="BQ22" s="3250">
        <f t="shared" si="59"/>
        <v>4267</v>
      </c>
      <c r="BR22" s="3250">
        <f t="shared" si="59"/>
        <v>4394</v>
      </c>
      <c r="BS22" s="3250">
        <f t="shared" si="59"/>
        <v>4184</v>
      </c>
      <c r="BT22" s="3250">
        <f t="shared" si="59"/>
        <v>5290</v>
      </c>
      <c r="BU22" s="3251">
        <f t="shared" si="59"/>
        <v>18135</v>
      </c>
      <c r="BV22" s="3250">
        <f t="shared" ref="BV22:DA22" si="60">+BV14+BV18</f>
        <v>4681</v>
      </c>
      <c r="BW22" s="3250">
        <f t="shared" si="60"/>
        <v>4825</v>
      </c>
      <c r="BX22" s="3250">
        <f t="shared" si="60"/>
        <v>4668</v>
      </c>
      <c r="BY22" s="3250">
        <f t="shared" si="60"/>
        <v>4725</v>
      </c>
      <c r="BZ22" s="3251">
        <f t="shared" si="60"/>
        <v>18899</v>
      </c>
      <c r="CA22" s="3250">
        <f t="shared" si="60"/>
        <v>4751</v>
      </c>
      <c r="CB22" s="3250">
        <f t="shared" si="60"/>
        <v>5023</v>
      </c>
      <c r="CC22" s="3250">
        <f t="shared" si="60"/>
        <v>4953</v>
      </c>
      <c r="CD22" s="3250">
        <f t="shared" si="60"/>
        <v>5052</v>
      </c>
      <c r="CE22" s="3251">
        <f t="shared" si="60"/>
        <v>19779</v>
      </c>
      <c r="CF22" s="3250">
        <f t="shared" si="60"/>
        <v>4928</v>
      </c>
      <c r="CG22" s="3250">
        <f t="shared" si="60"/>
        <v>5170</v>
      </c>
      <c r="CH22" s="3250">
        <f t="shared" si="60"/>
        <v>5012</v>
      </c>
      <c r="CI22" s="3250">
        <f t="shared" si="60"/>
        <v>5139</v>
      </c>
      <c r="CJ22" s="3251">
        <f t="shared" si="60"/>
        <v>20249</v>
      </c>
      <c r="CK22" s="3250">
        <f t="shared" si="60"/>
        <v>5176</v>
      </c>
      <c r="CL22" s="3250">
        <f t="shared" si="60"/>
        <v>5148</v>
      </c>
      <c r="CM22" s="3250">
        <f t="shared" si="60"/>
        <v>5048.2667738265864</v>
      </c>
      <c r="CN22" s="3252">
        <f>+CN14</f>
        <v>5456</v>
      </c>
      <c r="CO22" s="3251">
        <f>+CO14+CO18</f>
        <v>20828.266773826585</v>
      </c>
      <c r="CP22" s="3253">
        <f t="shared" si="60"/>
        <v>5561</v>
      </c>
      <c r="CQ22" s="3250">
        <f t="shared" si="60"/>
        <v>5795</v>
      </c>
      <c r="CR22" s="3250">
        <f t="shared" si="60"/>
        <v>5663</v>
      </c>
      <c r="CS22" s="3250">
        <f t="shared" si="60"/>
        <v>5875</v>
      </c>
      <c r="CT22" s="3251">
        <f t="shared" ref="CT22:CY22" si="61">+CT14+CT18</f>
        <v>22894</v>
      </c>
      <c r="CU22" s="3250">
        <f t="shared" ca="1" si="61"/>
        <v>5954.4801375027255</v>
      </c>
      <c r="CV22" s="3250">
        <f t="shared" ca="1" si="61"/>
        <v>6284.5839890225288</v>
      </c>
      <c r="CW22" s="3250">
        <f t="shared" ca="1" si="61"/>
        <v>6125.1869364780787</v>
      </c>
      <c r="CX22" s="3250">
        <f t="shared" ca="1" si="61"/>
        <v>6300.0921416259707</v>
      </c>
      <c r="CY22" s="3251">
        <f t="shared" ca="1" si="61"/>
        <v>24664.343204629302</v>
      </c>
      <c r="CZ22" s="3354">
        <f t="shared" ca="1" si="60"/>
        <v>26671.805879917603</v>
      </c>
      <c r="DA22" s="3251">
        <f t="shared" ca="1" si="60"/>
        <v>26539.37904456475</v>
      </c>
      <c r="DB22" s="542"/>
      <c r="DC22" s="542"/>
      <c r="DD22" s="3247"/>
      <c r="DE22" s="967"/>
      <c r="DF22" s="967"/>
      <c r="DG22" s="967"/>
      <c r="DH22" s="967"/>
      <c r="DI22" s="967"/>
      <c r="DJ22" s="967"/>
      <c r="DK22" s="967"/>
      <c r="DL22" s="967"/>
      <c r="DM22" s="967"/>
      <c r="DN22" s="967"/>
      <c r="DO22" s="967"/>
      <c r="DP22" s="967"/>
      <c r="DQ22" s="967"/>
      <c r="DR22" s="967"/>
      <c r="DS22" s="967"/>
      <c r="DT22" s="967"/>
      <c r="DU22" s="967"/>
      <c r="DV22" s="967"/>
      <c r="DW22" s="967"/>
      <c r="DX22" s="967"/>
      <c r="DY22" s="967"/>
      <c r="EA22"/>
      <c r="EB22"/>
      <c r="EC22"/>
      <c r="ED22"/>
      <c r="EE22"/>
      <c r="EF22"/>
      <c r="EJ22"/>
      <c r="EK22"/>
      <c r="EL22"/>
      <c r="EM22" s="1703"/>
      <c r="ER22" s="217"/>
    </row>
    <row r="23" spans="1:148" x14ac:dyDescent="0.2">
      <c r="A23" s="3221" t="s">
        <v>2502</v>
      </c>
      <c r="B23" s="3222"/>
      <c r="C23" s="3222"/>
      <c r="D23" s="3222"/>
      <c r="E23" s="3222"/>
      <c r="F23" s="3222"/>
      <c r="G23" s="3222"/>
      <c r="H23" s="3222"/>
      <c r="I23" s="3222"/>
      <c r="J23" s="3222"/>
      <c r="K23" s="3222"/>
      <c r="L23" s="3222"/>
      <c r="M23" s="3223"/>
      <c r="N23" s="3222">
        <f t="shared" ref="N23:AS23" si="62">+N22/I22-1</f>
        <v>0.15811589389629321</v>
      </c>
      <c r="O23" s="3222">
        <f t="shared" si="62"/>
        <v>6.1895670140841297E-2</v>
      </c>
      <c r="P23" s="3222">
        <f t="shared" si="62"/>
        <v>1.5065096429150104E-2</v>
      </c>
      <c r="Q23" s="3222">
        <f t="shared" si="62"/>
        <v>-0.16395986931195317</v>
      </c>
      <c r="R23" s="3223">
        <f t="shared" si="62"/>
        <v>-2.2081090239504775E-2</v>
      </c>
      <c r="S23" s="3222">
        <f t="shared" si="62"/>
        <v>-0.10356171215540555</v>
      </c>
      <c r="T23" s="3222">
        <f t="shared" si="62"/>
        <v>-2.1987830363992988E-2</v>
      </c>
      <c r="U23" s="3222">
        <f t="shared" si="62"/>
        <v>-3.4501356315929099E-3</v>
      </c>
      <c r="V23" s="3222">
        <f t="shared" si="62"/>
        <v>0.21024778574264946</v>
      </c>
      <c r="W23" s="3223">
        <f t="shared" si="62"/>
        <v>4.7251590094525175E-2</v>
      </c>
      <c r="X23" s="3222">
        <f t="shared" si="62"/>
        <v>5.7762600518741714E-2</v>
      </c>
      <c r="Y23" s="3222">
        <f t="shared" si="62"/>
        <v>-2.7279169018503691E-3</v>
      </c>
      <c r="Z23" s="3222">
        <f t="shared" si="62"/>
        <v>5.2400821265964126E-2</v>
      </c>
      <c r="AA23" s="3222">
        <f t="shared" si="62"/>
        <v>6.0593448908964787E-2</v>
      </c>
      <c r="AB23" s="3223">
        <f t="shared" si="62"/>
        <v>4.234540726403635E-2</v>
      </c>
      <c r="AC23" s="3222">
        <f t="shared" si="62"/>
        <v>0.13584812623274156</v>
      </c>
      <c r="AD23" s="3222">
        <f t="shared" si="62"/>
        <v>0.1484375</v>
      </c>
      <c r="AE23" s="3222">
        <f t="shared" si="62"/>
        <v>0.12028227085315568</v>
      </c>
      <c r="AF23" s="3222">
        <f t="shared" si="62"/>
        <v>0.11147971957936909</v>
      </c>
      <c r="AG23" s="3223">
        <f t="shared" si="62"/>
        <v>0.12787302537995049</v>
      </c>
      <c r="AH23" s="3222">
        <f t="shared" si="62"/>
        <v>0.10093336227479921</v>
      </c>
      <c r="AI23" s="3222">
        <f t="shared" si="62"/>
        <v>0.12526626812341091</v>
      </c>
      <c r="AJ23" s="3222">
        <f t="shared" si="62"/>
        <v>0.15422181329181117</v>
      </c>
      <c r="AK23" s="3222">
        <f t="shared" si="62"/>
        <v>0.13014585797150424</v>
      </c>
      <c r="AL23" s="3223">
        <f t="shared" si="62"/>
        <v>0.12791237968801861</v>
      </c>
      <c r="AM23" s="3222">
        <f t="shared" si="62"/>
        <v>6.7034700315457441E-2</v>
      </c>
      <c r="AN23" s="3222">
        <f t="shared" si="62"/>
        <v>5.7156814851001547E-2</v>
      </c>
      <c r="AO23" s="3222">
        <f t="shared" si="62"/>
        <v>1.3490311503556507E-2</v>
      </c>
      <c r="AP23" s="3222">
        <f t="shared" si="62"/>
        <v>6.0793302770580038E-2</v>
      </c>
      <c r="AQ23" s="3223">
        <f t="shared" si="62"/>
        <v>4.9964689265536766E-2</v>
      </c>
      <c r="AR23" s="3222">
        <f t="shared" si="62"/>
        <v>4.0157674304015734E-2</v>
      </c>
      <c r="AS23" s="3222">
        <f t="shared" si="62"/>
        <v>7.7402957486136792E-2</v>
      </c>
      <c r="AT23" s="3222">
        <f t="shared" ref="AT23:BY23" si="63">+AT22/AO22-1</f>
        <v>7.7202323330106459E-2</v>
      </c>
      <c r="AU23" s="3222">
        <f t="shared" si="63"/>
        <v>6.2570462232243607E-2</v>
      </c>
      <c r="AV23" s="3223">
        <f t="shared" si="63"/>
        <v>6.4458270276329888E-2</v>
      </c>
      <c r="AW23" s="3222">
        <f t="shared" si="63"/>
        <v>3.6475603979156723E-2</v>
      </c>
      <c r="AX23" s="3222">
        <f t="shared" si="63"/>
        <v>1.2867252841518351E-2</v>
      </c>
      <c r="AY23" s="3222">
        <f t="shared" si="63"/>
        <v>2.9206919793305364E-3</v>
      </c>
      <c r="AZ23" s="3222">
        <f t="shared" si="63"/>
        <v>-0.10114942528735638</v>
      </c>
      <c r="BA23" s="3223">
        <f t="shared" si="63"/>
        <v>-1.8166499921015267E-2</v>
      </c>
      <c r="BB23" s="3222">
        <f t="shared" si="63"/>
        <v>-0.17436014625228524</v>
      </c>
      <c r="BC23" s="3222">
        <f t="shared" si="63"/>
        <v>-0.20241372009316116</v>
      </c>
      <c r="BD23" s="3222">
        <f t="shared" si="63"/>
        <v>-0.17361111111111116</v>
      </c>
      <c r="BE23" s="3222">
        <f t="shared" si="63"/>
        <v>-8.3021837497540774E-2</v>
      </c>
      <c r="BF23" s="3223">
        <f t="shared" si="63"/>
        <v>-0.15638742893918267</v>
      </c>
      <c r="BG23" s="3222">
        <f t="shared" si="63"/>
        <v>-2.2419042347080032E-2</v>
      </c>
      <c r="BH23" s="3222">
        <f t="shared" si="63"/>
        <v>1.3273161667108901E-3</v>
      </c>
      <c r="BI23" s="3222">
        <f t="shared" si="63"/>
        <v>-1.626457034426676E-2</v>
      </c>
      <c r="BJ23" s="3222">
        <f t="shared" si="63"/>
        <v>-1.0512765500965471E-2</v>
      </c>
      <c r="BK23" s="3223">
        <f t="shared" si="63"/>
        <v>-1.1760966306420872E-2</v>
      </c>
      <c r="BL23" s="3222">
        <f t="shared" si="63"/>
        <v>7.5028312570781353E-2</v>
      </c>
      <c r="BM23" s="3222">
        <f t="shared" si="63"/>
        <v>8.9872746553552485E-2</v>
      </c>
      <c r="BN23" s="3222">
        <f t="shared" si="63"/>
        <v>9.0934141636814569E-2</v>
      </c>
      <c r="BO23" s="3222">
        <f t="shared" si="63"/>
        <v>8.1960104076322704E-2</v>
      </c>
      <c r="BP23" s="3223">
        <f t="shared" si="63"/>
        <v>8.4400128658732809E-2</v>
      </c>
      <c r="BQ23" s="3222">
        <f t="shared" si="63"/>
        <v>0.1237819331050829</v>
      </c>
      <c r="BR23" s="3222">
        <f t="shared" si="63"/>
        <v>6.8839698370226188E-2</v>
      </c>
      <c r="BS23" s="3222">
        <f t="shared" si="63"/>
        <v>5.6832533468047508E-2</v>
      </c>
      <c r="BT23" s="3222">
        <f t="shared" si="63"/>
        <v>6.0120240480961984E-2</v>
      </c>
      <c r="BU23" s="3223">
        <f t="shared" si="63"/>
        <v>7.5814201815269655E-2</v>
      </c>
      <c r="BV23" s="3222">
        <f t="shared" si="63"/>
        <v>9.7023670025779163E-2</v>
      </c>
      <c r="BW23" s="3222">
        <f t="shared" si="63"/>
        <v>9.8088302230314062E-2</v>
      </c>
      <c r="BX23" s="3222">
        <f t="shared" si="63"/>
        <v>0.11567877629063106</v>
      </c>
      <c r="BY23" s="3222">
        <f t="shared" si="63"/>
        <v>-0.1068052930056711</v>
      </c>
      <c r="BZ23" s="3223">
        <f t="shared" ref="BZ23:CT23" si="64">+BZ22/BU22-1</f>
        <v>4.2128480838158344E-2</v>
      </c>
      <c r="CA23" s="3222">
        <f t="shared" si="64"/>
        <v>1.4954069643238643E-2</v>
      </c>
      <c r="CB23" s="3222">
        <f t="shared" si="64"/>
        <v>4.1036269430051897E-2</v>
      </c>
      <c r="CC23" s="3222">
        <f t="shared" si="64"/>
        <v>6.1053984575835551E-2</v>
      </c>
      <c r="CD23" s="3222">
        <f t="shared" si="64"/>
        <v>6.9206349206349271E-2</v>
      </c>
      <c r="CE23" s="3223">
        <f t="shared" si="64"/>
        <v>4.6563310228054489E-2</v>
      </c>
      <c r="CF23" s="3222">
        <f t="shared" si="64"/>
        <v>3.7255314670595618E-2</v>
      </c>
      <c r="CG23" s="3222">
        <f t="shared" si="64"/>
        <v>2.9265379255424939E-2</v>
      </c>
      <c r="CH23" s="3222">
        <f t="shared" si="64"/>
        <v>1.1911972541893912E-2</v>
      </c>
      <c r="CI23" s="3222">
        <f t="shared" si="64"/>
        <v>1.7220902612826494E-2</v>
      </c>
      <c r="CJ23" s="3223">
        <f t="shared" si="64"/>
        <v>2.3762576469993357E-2</v>
      </c>
      <c r="CK23" s="3222">
        <f t="shared" si="64"/>
        <v>5.0324675324675328E-2</v>
      </c>
      <c r="CL23" s="3222">
        <f t="shared" si="64"/>
        <v>-4.2553191489361764E-3</v>
      </c>
      <c r="CM23" s="3222">
        <f t="shared" si="64"/>
        <v>7.2359883931736313E-3</v>
      </c>
      <c r="CN23" s="3222">
        <f t="shared" si="64"/>
        <v>6.1685152753453876E-2</v>
      </c>
      <c r="CO23" s="3223">
        <f t="shared" si="64"/>
        <v>2.8607179308933084E-2</v>
      </c>
      <c r="CP23" s="3224">
        <f t="shared" si="64"/>
        <v>7.4381761978361771E-2</v>
      </c>
      <c r="CQ23" s="3222">
        <f t="shared" si="64"/>
        <v>0.1256798756798756</v>
      </c>
      <c r="CR23" s="3222">
        <f t="shared" si="64"/>
        <v>0.12177114517017618</v>
      </c>
      <c r="CS23" s="3222">
        <f t="shared" si="64"/>
        <v>7.6796187683284556E-2</v>
      </c>
      <c r="CT23" s="3223">
        <f t="shared" si="64"/>
        <v>9.9179314755526216E-2</v>
      </c>
      <c r="CU23" s="3222">
        <f ca="1">+CU22/CP22-1</f>
        <v>7.0757082809337346E-2</v>
      </c>
      <c r="CV23" s="3222">
        <f ca="1">+CV22/CQ22-1</f>
        <v>8.4483863506907397E-2</v>
      </c>
      <c r="CW23" s="3222">
        <f ca="1">+CW22/CR22-1</f>
        <v>8.1615210396976723E-2</v>
      </c>
      <c r="CX23" s="3222">
        <f ca="1">+CX22/CS22-1</f>
        <v>7.235610921293123E-2</v>
      </c>
      <c r="CY23" s="3223">
        <f ca="1">+CY22/CT22-1</f>
        <v>7.7327824086192987E-2</v>
      </c>
      <c r="CZ23" s="3225">
        <f ca="1">+CZ22/CY22-1</f>
        <v>8.13912885753032E-2</v>
      </c>
      <c r="DA23" s="3223">
        <f ca="1">+DA22/CZ22-1</f>
        <v>-4.9650494589330574E-3</v>
      </c>
      <c r="DB23" s="537"/>
      <c r="DC23" s="537"/>
      <c r="DD23" s="1738"/>
      <c r="DE23" s="1849"/>
      <c r="DF23" s="1849"/>
      <c r="DG23" s="1849"/>
      <c r="DH23" s="1849"/>
      <c r="DI23" s="1849"/>
      <c r="DJ23" s="1849"/>
      <c r="DK23" s="1849"/>
      <c r="DL23" s="1849"/>
      <c r="DM23" s="1849"/>
      <c r="DN23" s="1849"/>
      <c r="DO23" s="1849"/>
      <c r="DP23" s="1849"/>
      <c r="DQ23" s="1849"/>
      <c r="DR23" s="1849"/>
      <c r="DS23" s="1849"/>
      <c r="DT23" s="1849"/>
      <c r="DU23" s="1849"/>
      <c r="DV23" s="1849"/>
      <c r="DW23" s="1849"/>
      <c r="DX23" s="1849"/>
      <c r="DY23" s="1849"/>
      <c r="DZ23" s="855"/>
      <c r="EK23"/>
      <c r="EL23"/>
      <c r="EM23" s="1703"/>
    </row>
    <row r="24" spans="1:148" s="923" customFormat="1" x14ac:dyDescent="0.2">
      <c r="A24" s="1737"/>
      <c r="B24" s="220"/>
      <c r="C24" s="220"/>
      <c r="D24" s="220"/>
      <c r="E24" s="220"/>
      <c r="F24" s="220"/>
      <c r="G24" s="220"/>
      <c r="H24" s="220"/>
      <c r="I24" s="220"/>
      <c r="J24" s="220"/>
      <c r="K24" s="220"/>
      <c r="L24" s="220"/>
      <c r="M24" s="965"/>
      <c r="N24" s="220"/>
      <c r="O24" s="220"/>
      <c r="P24" s="220"/>
      <c r="Q24" s="220"/>
      <c r="R24" s="965"/>
      <c r="S24" s="220"/>
      <c r="T24" s="220"/>
      <c r="U24" s="220"/>
      <c r="V24" s="220"/>
      <c r="W24" s="965"/>
      <c r="X24" s="220"/>
      <c r="Y24" s="220"/>
      <c r="Z24" s="220"/>
      <c r="AA24" s="220"/>
      <c r="AB24" s="965"/>
      <c r="AC24" s="220"/>
      <c r="AD24" s="220"/>
      <c r="AE24" s="220"/>
      <c r="AF24" s="220"/>
      <c r="AG24" s="965"/>
      <c r="AH24" s="220"/>
      <c r="AI24" s="220"/>
      <c r="AJ24" s="220"/>
      <c r="AK24" s="220"/>
      <c r="AL24" s="965"/>
      <c r="AM24" s="220"/>
      <c r="AN24" s="220"/>
      <c r="AO24" s="220"/>
      <c r="AP24" s="220"/>
      <c r="AQ24" s="965"/>
      <c r="AR24" s="220"/>
      <c r="AS24" s="220"/>
      <c r="AT24" s="220"/>
      <c r="AU24" s="220"/>
      <c r="AV24" s="965"/>
      <c r="AW24" s="220"/>
      <c r="AX24" s="220"/>
      <c r="AY24" s="220"/>
      <c r="AZ24" s="220"/>
      <c r="BA24" s="965"/>
      <c r="BB24" s="220"/>
      <c r="BC24" s="220"/>
      <c r="BD24" s="220"/>
      <c r="BE24" s="220"/>
      <c r="BF24" s="965"/>
      <c r="BG24" s="220"/>
      <c r="BH24" s="220"/>
      <c r="BI24" s="220"/>
      <c r="BJ24" s="220"/>
      <c r="BK24" s="965"/>
      <c r="BL24" s="220"/>
      <c r="BM24" s="220"/>
      <c r="BN24" s="220"/>
      <c r="BO24" s="220"/>
      <c r="BP24" s="965"/>
      <c r="BQ24" s="220"/>
      <c r="BR24" s="220"/>
      <c r="BS24" s="220"/>
      <c r="BT24" s="220"/>
      <c r="BU24" s="965"/>
      <c r="BV24" s="220"/>
      <c r="BW24" s="220"/>
      <c r="BX24" s="220"/>
      <c r="BY24" s="220"/>
      <c r="BZ24" s="965"/>
      <c r="CA24" s="220"/>
      <c r="CB24" s="220"/>
      <c r="CC24" s="220"/>
      <c r="CD24" s="220"/>
      <c r="CE24" s="965"/>
      <c r="CF24" s="220"/>
      <c r="CG24" s="220"/>
      <c r="CH24" s="220"/>
      <c r="CI24" s="220"/>
      <c r="CJ24" s="965"/>
      <c r="CK24" s="220"/>
      <c r="CL24" s="220"/>
      <c r="CM24" s="1378"/>
      <c r="CN24" s="220"/>
      <c r="CO24" s="965"/>
      <c r="CP24" s="220"/>
      <c r="CQ24" s="220"/>
      <c r="CR24" s="220"/>
      <c r="CS24" s="220"/>
      <c r="CT24" s="1379"/>
      <c r="CU24" s="220"/>
      <c r="CV24" s="220"/>
      <c r="CW24" s="220"/>
      <c r="CX24" s="220"/>
      <c r="CY24" s="1379"/>
      <c r="CZ24" s="1792"/>
      <c r="DA24" s="965"/>
      <c r="DB24"/>
      <c r="DC24"/>
      <c r="DD24" s="1737"/>
      <c r="DE24" s="2284"/>
      <c r="DF24" s="2284"/>
      <c r="DG24" s="2284"/>
      <c r="DH24" s="2284"/>
      <c r="DI24" s="2284"/>
      <c r="DJ24" s="2284"/>
      <c r="DK24" s="2284"/>
      <c r="DL24" s="2284"/>
      <c r="DM24" s="2284"/>
      <c r="DN24" s="2284"/>
      <c r="DO24" s="2284"/>
      <c r="DP24" s="2284"/>
      <c r="DQ24" s="2284"/>
      <c r="DR24" s="2284"/>
      <c r="DS24" s="2284"/>
      <c r="DT24" s="2284"/>
      <c r="DU24" s="2284"/>
      <c r="DV24" s="2284"/>
      <c r="DW24" s="2284"/>
      <c r="DX24" s="2284"/>
      <c r="DY24" s="2284"/>
      <c r="EA24"/>
      <c r="EB24"/>
      <c r="EC24"/>
      <c r="ED24"/>
      <c r="EE24"/>
      <c r="EF24"/>
      <c r="EJ24"/>
      <c r="EK24"/>
      <c r="EL24"/>
      <c r="ER24" s="212"/>
    </row>
    <row r="25" spans="1:148" s="923" customFormat="1" ht="12" customHeight="1" x14ac:dyDescent="0.2">
      <c r="A25" s="1560" t="s">
        <v>682</v>
      </c>
      <c r="B25" s="220"/>
      <c r="C25" s="220"/>
      <c r="D25" s="220"/>
      <c r="E25" s="220"/>
      <c r="F25" s="220"/>
      <c r="G25" s="220"/>
      <c r="H25" s="220"/>
      <c r="I25" s="220"/>
      <c r="J25" s="220"/>
      <c r="K25" s="220"/>
      <c r="L25" s="220"/>
      <c r="M25" s="1704"/>
      <c r="N25" s="220"/>
      <c r="O25" s="220"/>
      <c r="P25" s="220"/>
      <c r="Q25" s="220"/>
      <c r="R25" s="1704"/>
      <c r="S25" s="220"/>
      <c r="T25" s="220"/>
      <c r="U25" s="220"/>
      <c r="V25" s="220"/>
      <c r="W25" s="1704"/>
      <c r="X25" s="220"/>
      <c r="Y25" s="220"/>
      <c r="Z25" s="220"/>
      <c r="AA25" s="220"/>
      <c r="AB25" s="1704"/>
      <c r="AC25" s="220"/>
      <c r="AD25" s="220"/>
      <c r="AE25" s="220"/>
      <c r="AF25" s="220"/>
      <c r="AG25" s="1704"/>
      <c r="AH25" s="220"/>
      <c r="AI25" s="220"/>
      <c r="AJ25" s="220"/>
      <c r="AK25" s="220"/>
      <c r="AL25" s="1704"/>
      <c r="AM25" s="220"/>
      <c r="AN25" s="220"/>
      <c r="AO25" s="220"/>
      <c r="AP25" s="220"/>
      <c r="AQ25" s="1704"/>
      <c r="AR25" s="220"/>
      <c r="AS25" s="220"/>
      <c r="AT25" s="220"/>
      <c r="AU25" s="220"/>
      <c r="AV25" s="1704"/>
      <c r="AW25" s="220"/>
      <c r="AX25" s="220"/>
      <c r="AY25" s="220"/>
      <c r="AZ25" s="220"/>
      <c r="BA25" s="1704"/>
      <c r="BB25" s="220"/>
      <c r="BC25" s="220"/>
      <c r="BD25" s="220"/>
      <c r="BE25" s="220"/>
      <c r="BF25" s="1704"/>
      <c r="BG25" s="220"/>
      <c r="BH25" s="220"/>
      <c r="BI25" s="220"/>
      <c r="BJ25" s="220"/>
      <c r="BK25" s="1704"/>
      <c r="BL25" s="220"/>
      <c r="BM25" s="220"/>
      <c r="BN25" s="220"/>
      <c r="BO25" s="220"/>
      <c r="BP25" s="1704"/>
      <c r="BQ25" s="220"/>
      <c r="BR25" s="220"/>
      <c r="BS25" s="220"/>
      <c r="BT25" s="220"/>
      <c r="BU25" s="1704"/>
      <c r="BV25" s="220"/>
      <c r="BW25" s="220"/>
      <c r="BX25" s="220"/>
      <c r="BY25" s="220"/>
      <c r="BZ25" s="920"/>
      <c r="CA25" s="220"/>
      <c r="CB25" s="215"/>
      <c r="CC25" s="215"/>
      <c r="CD25" s="215"/>
      <c r="CE25" s="1704"/>
      <c r="CF25" s="220"/>
      <c r="CG25" s="215"/>
      <c r="CH25" s="215"/>
      <c r="CI25" s="215"/>
      <c r="CJ25" s="1704"/>
      <c r="CK25" s="215"/>
      <c r="CL25" s="215"/>
      <c r="CM25" s="215"/>
      <c r="CN25" s="215"/>
      <c r="CO25" s="3554"/>
      <c r="CP25" s="215"/>
      <c r="CQ25" s="215"/>
      <c r="CR25" s="215"/>
      <c r="CS25" s="215"/>
      <c r="CT25" s="3554"/>
      <c r="CU25" s="215"/>
      <c r="CV25" s="215"/>
      <c r="CW25" s="215"/>
      <c r="CX25" s="215"/>
      <c r="CY25" s="968"/>
      <c r="CZ25" s="1788"/>
      <c r="DA25" s="968"/>
      <c r="DB25"/>
      <c r="DC25"/>
      <c r="DD25" s="1560" t="s">
        <v>682</v>
      </c>
      <c r="DE25" s="2290"/>
      <c r="DF25" s="2290"/>
      <c r="DG25" s="2290"/>
      <c r="DH25" s="2290"/>
      <c r="DI25" s="2290"/>
      <c r="DJ25" s="2290"/>
      <c r="DK25" s="2290"/>
      <c r="DL25" s="2290"/>
      <c r="DM25" s="2290"/>
      <c r="DN25" s="2290"/>
      <c r="DO25" s="2290"/>
      <c r="DP25" s="2290"/>
      <c r="DQ25" s="2290"/>
      <c r="DR25" s="2290"/>
      <c r="DS25" s="2290"/>
      <c r="DT25" s="2290"/>
      <c r="DU25" s="2290"/>
      <c r="DV25" s="2290"/>
      <c r="DW25" s="2290"/>
      <c r="DX25" s="2290"/>
      <c r="DY25" s="2290"/>
      <c r="EA25"/>
      <c r="EB25"/>
      <c r="EC25"/>
      <c r="ED25"/>
      <c r="EE25"/>
      <c r="EF25"/>
      <c r="EJ25"/>
      <c r="EK25"/>
      <c r="EL25"/>
      <c r="ER25" s="212"/>
    </row>
    <row r="26" spans="1:148" s="1844" customFormat="1" ht="12.75" customHeight="1" x14ac:dyDescent="0.2">
      <c r="A26" s="1984" t="s">
        <v>733</v>
      </c>
      <c r="B26" s="2205"/>
      <c r="C26" s="2205"/>
      <c r="D26" s="2205"/>
      <c r="E26" s="2205"/>
      <c r="F26" s="2205"/>
      <c r="G26" s="2205"/>
      <c r="H26" s="2205"/>
      <c r="I26" s="2205">
        <v>191</v>
      </c>
      <c r="J26" s="2205">
        <v>237</v>
      </c>
      <c r="K26" s="2205">
        <v>242</v>
      </c>
      <c r="L26" s="2205">
        <v>319</v>
      </c>
      <c r="M26" s="1468">
        <f>SUM(I26:L26)</f>
        <v>989</v>
      </c>
      <c r="N26" s="2205">
        <v>187</v>
      </c>
      <c r="O26" s="2205">
        <v>225</v>
      </c>
      <c r="P26" s="2205">
        <v>186</v>
      </c>
      <c r="Q26" s="2205">
        <v>275</v>
      </c>
      <c r="R26" s="1468">
        <f>SUM(N26:Q26)</f>
        <v>873</v>
      </c>
      <c r="S26" s="2205">
        <v>117</v>
      </c>
      <c r="T26" s="2205">
        <v>126</v>
      </c>
      <c r="U26" s="2205">
        <v>123</v>
      </c>
      <c r="V26" s="2205">
        <v>214</v>
      </c>
      <c r="W26" s="1468">
        <f>SUM(S26:V26)</f>
        <v>580</v>
      </c>
      <c r="X26" s="2205">
        <v>110</v>
      </c>
      <c r="Y26" s="2205">
        <v>119</v>
      </c>
      <c r="Z26" s="2205">
        <v>118</v>
      </c>
      <c r="AA26" s="2205">
        <v>158</v>
      </c>
      <c r="AB26" s="1468">
        <f>SUM(X26:AA26)</f>
        <v>505</v>
      </c>
      <c r="AC26" s="2205">
        <v>132</v>
      </c>
      <c r="AD26" s="2205">
        <v>157</v>
      </c>
      <c r="AE26" s="2205">
        <v>139</v>
      </c>
      <c r="AF26" s="2205">
        <v>201</v>
      </c>
      <c r="AG26" s="1468">
        <f>SUM(AC26:AF26)</f>
        <v>629</v>
      </c>
      <c r="AH26" s="2205">
        <v>145</v>
      </c>
      <c r="AI26" s="2205">
        <v>138</v>
      </c>
      <c r="AJ26" s="2205">
        <v>197</v>
      </c>
      <c r="AK26" s="2205">
        <v>298</v>
      </c>
      <c r="AL26" s="1468">
        <f>SUM(AH26:AK26)</f>
        <v>778</v>
      </c>
      <c r="AM26" s="2205">
        <v>208</v>
      </c>
      <c r="AN26" s="2205">
        <v>225</v>
      </c>
      <c r="AO26" s="2205">
        <v>201</v>
      </c>
      <c r="AP26" s="2205">
        <v>302</v>
      </c>
      <c r="AQ26" s="1468">
        <f>SUM(AM26:AP26)</f>
        <v>936</v>
      </c>
      <c r="AR26" s="2205">
        <v>219</v>
      </c>
      <c r="AS26" s="2205">
        <v>257</v>
      </c>
      <c r="AT26" s="2205">
        <v>235</v>
      </c>
      <c r="AU26" s="2205">
        <v>351</v>
      </c>
      <c r="AV26" s="1468">
        <f>SUM(AR26:AU26)</f>
        <v>1062</v>
      </c>
      <c r="AW26" s="2205">
        <v>244</v>
      </c>
      <c r="AX26" s="2205">
        <v>273</v>
      </c>
      <c r="AY26" s="2205">
        <v>240</v>
      </c>
      <c r="AZ26" s="2205">
        <v>331</v>
      </c>
      <c r="BA26" s="1468">
        <f>SUM(AW26:AZ26)</f>
        <v>1088</v>
      </c>
      <c r="BB26" s="2205">
        <v>207</v>
      </c>
      <c r="BC26" s="2205">
        <v>217</v>
      </c>
      <c r="BD26" s="2205">
        <v>214</v>
      </c>
      <c r="BE26" s="2205">
        <v>313</v>
      </c>
      <c r="BF26" s="1468">
        <f>SUM(BB26:BE26)</f>
        <v>951</v>
      </c>
      <c r="BG26" s="2205">
        <v>217</v>
      </c>
      <c r="BH26" s="2205">
        <v>224</v>
      </c>
      <c r="BI26" s="2205">
        <v>213</v>
      </c>
      <c r="BJ26" s="2205">
        <v>301</v>
      </c>
      <c r="BK26" s="1468">
        <f>SUM(BG26:BJ26)</f>
        <v>955</v>
      </c>
      <c r="BL26" s="2205">
        <v>204</v>
      </c>
      <c r="BM26" s="2205">
        <v>220</v>
      </c>
      <c r="BN26" s="2205">
        <v>219</v>
      </c>
      <c r="BO26" s="2205">
        <v>300</v>
      </c>
      <c r="BP26" s="1468">
        <f>SUM(BL26:BO26)</f>
        <v>943</v>
      </c>
      <c r="BQ26" s="2205">
        <v>195</v>
      </c>
      <c r="BR26" s="2205">
        <v>203</v>
      </c>
      <c r="BS26" s="2205">
        <v>174</v>
      </c>
      <c r="BT26" s="2205">
        <v>252</v>
      </c>
      <c r="BU26" s="1468">
        <f>SUM(BQ26:BT26)</f>
        <v>824</v>
      </c>
      <c r="BV26" s="2205">
        <v>179</v>
      </c>
      <c r="BW26" s="2205">
        <v>181</v>
      </c>
      <c r="BX26" s="2205">
        <v>172</v>
      </c>
      <c r="BY26" s="2205">
        <v>197</v>
      </c>
      <c r="BZ26" s="1704">
        <f>SUM(BV26:BY26)</f>
        <v>729</v>
      </c>
      <c r="CA26" s="2205">
        <f>185</f>
        <v>185</v>
      </c>
      <c r="CB26" s="2205">
        <v>199</v>
      </c>
      <c r="CC26" s="2205">
        <v>189</v>
      </c>
      <c r="CD26" s="2205">
        <v>202</v>
      </c>
      <c r="CE26" s="1468">
        <f>SUM(CA26:CD26)</f>
        <v>775</v>
      </c>
      <c r="CF26" s="2205">
        <v>194</v>
      </c>
      <c r="CG26" s="2205">
        <v>183</v>
      </c>
      <c r="CH26" s="2205">
        <v>175</v>
      </c>
      <c r="CI26" s="2205">
        <v>181</v>
      </c>
      <c r="CJ26" s="1468">
        <f>SUM(CF26:CI26)</f>
        <v>733</v>
      </c>
      <c r="CK26" s="2917">
        <v>166</v>
      </c>
      <c r="CL26" s="2935">
        <v>173</v>
      </c>
      <c r="CM26" s="2935">
        <v>176</v>
      </c>
      <c r="CN26" s="2935">
        <v>367</v>
      </c>
      <c r="CO26" s="245">
        <f>SUM(CK26:CN26)</f>
        <v>882</v>
      </c>
      <c r="CP26" s="2935">
        <v>358</v>
      </c>
      <c r="CQ26" s="2935">
        <v>355</v>
      </c>
      <c r="CR26" s="2935">
        <v>356</v>
      </c>
      <c r="CS26" s="2935">
        <v>358</v>
      </c>
      <c r="CT26" s="3813">
        <f>SUM(CP26:CS26)</f>
        <v>1427</v>
      </c>
      <c r="CU26" s="3008">
        <f>CU180</f>
        <v>347.26</v>
      </c>
      <c r="CV26" s="3008">
        <f>CV180</f>
        <v>351.45</v>
      </c>
      <c r="CW26" s="3008">
        <f>CW180</f>
        <v>356</v>
      </c>
      <c r="CX26" s="3021">
        <f>CX180</f>
        <v>350.84</v>
      </c>
      <c r="CY26" s="3021">
        <f>CY180</f>
        <v>1405.55</v>
      </c>
      <c r="CZ26" s="3021">
        <f t="shared" ref="CZ26:DA26" si="65">CZ180</f>
        <v>1412.5777499999997</v>
      </c>
      <c r="DA26" s="3094">
        <f t="shared" si="65"/>
        <v>1341.9488632184955</v>
      </c>
      <c r="DB26"/>
      <c r="DC26"/>
      <c r="DD26" s="2291" t="s">
        <v>733</v>
      </c>
      <c r="DE26" s="2292">
        <f t="shared" ref="DE26:DE31" si="66">M26</f>
        <v>989</v>
      </c>
      <c r="DF26" s="2292">
        <f t="shared" ref="DF26:DF31" si="67">R26</f>
        <v>873</v>
      </c>
      <c r="DG26" s="2292">
        <f t="shared" ref="DG26:DG31" si="68">W26</f>
        <v>580</v>
      </c>
      <c r="DH26" s="2292">
        <f t="shared" ref="DH26:DH31" si="69">AB26</f>
        <v>505</v>
      </c>
      <c r="DI26" s="2292">
        <f t="shared" ref="DI26:DI31" si="70">AG26</f>
        <v>629</v>
      </c>
      <c r="DJ26" s="2292">
        <f t="shared" ref="DJ26:DJ31" si="71">AL26</f>
        <v>778</v>
      </c>
      <c r="DK26" s="2292">
        <f t="shared" ref="DK26:DK31" si="72">AQ26</f>
        <v>936</v>
      </c>
      <c r="DL26" s="2292">
        <f t="shared" ref="DL26:DL31" si="73">AV26</f>
        <v>1062</v>
      </c>
      <c r="DM26" s="2292">
        <f t="shared" ref="DM26:DM31" si="74">BA26</f>
        <v>1088</v>
      </c>
      <c r="DN26" s="2292">
        <f t="shared" ref="DN26:DN31" si="75">BF26</f>
        <v>951</v>
      </c>
      <c r="DO26" s="2292">
        <f t="shared" ref="DO26:DO31" si="76">BK26</f>
        <v>955</v>
      </c>
      <c r="DP26" s="2292">
        <f t="shared" ref="DP26:DP31" si="77">BP26</f>
        <v>943</v>
      </c>
      <c r="DQ26" s="2292">
        <f t="shared" ref="DQ26:DQ31" si="78">BU26</f>
        <v>824</v>
      </c>
      <c r="DR26" s="2292">
        <f t="shared" ref="DR26:DR31" si="79">BZ26</f>
        <v>729</v>
      </c>
      <c r="DS26" s="2292">
        <f t="shared" ref="DS26:DS31" si="80">CE26</f>
        <v>775</v>
      </c>
      <c r="DT26" s="2292">
        <f t="shared" ref="DT26:DT31" si="81">CJ26</f>
        <v>733</v>
      </c>
      <c r="DU26" s="2292">
        <f t="shared" ref="DU26:DU31" si="82">CO26</f>
        <v>882</v>
      </c>
      <c r="DV26" s="2292">
        <f t="shared" ref="DV26:DV31" si="83">CT26</f>
        <v>1427</v>
      </c>
      <c r="DW26" s="2292">
        <f t="shared" ref="DW26:DW31" si="84">CY26</f>
        <v>1405.55</v>
      </c>
      <c r="DX26" s="2292">
        <f t="shared" ref="DX26:DX31" si="85">CZ26</f>
        <v>1412.5777499999997</v>
      </c>
      <c r="DY26" s="2292">
        <f t="shared" ref="DY26:DY31" si="86">DA26</f>
        <v>1341.9488632184955</v>
      </c>
      <c r="EA26"/>
      <c r="EB26"/>
      <c r="EC26"/>
      <c r="ED26"/>
      <c r="EE26"/>
      <c r="EF26"/>
      <c r="EJ26"/>
      <c r="EK26"/>
      <c r="EL26"/>
      <c r="EM26" s="1703"/>
      <c r="ER26" s="1650"/>
    </row>
    <row r="27" spans="1:148" s="923" customFormat="1" ht="12.75" hidden="1" customHeight="1" outlineLevel="1" x14ac:dyDescent="0.2">
      <c r="A27" s="504" t="s">
        <v>683</v>
      </c>
      <c r="B27" s="215"/>
      <c r="C27" s="215"/>
      <c r="D27" s="215"/>
      <c r="E27" s="215"/>
      <c r="F27" s="215"/>
      <c r="G27" s="215"/>
      <c r="H27" s="215"/>
      <c r="I27" s="215">
        <v>137</v>
      </c>
      <c r="J27" s="215">
        <v>158</v>
      </c>
      <c r="K27" s="215">
        <v>163</v>
      </c>
      <c r="L27" s="215">
        <v>226</v>
      </c>
      <c r="M27" s="661">
        <f>SUM(I27:L27)</f>
        <v>684</v>
      </c>
      <c r="N27" s="215">
        <v>191</v>
      </c>
      <c r="O27" s="215">
        <v>205</v>
      </c>
      <c r="P27" s="215">
        <v>248</v>
      </c>
      <c r="Q27" s="215">
        <v>258</v>
      </c>
      <c r="R27" s="661">
        <f>SUM(N27:Q27)</f>
        <v>902</v>
      </c>
      <c r="S27" s="215">
        <v>195</v>
      </c>
      <c r="T27" s="215">
        <v>227</v>
      </c>
      <c r="U27" s="215">
        <v>233</v>
      </c>
      <c r="V27" s="215">
        <v>283</v>
      </c>
      <c r="W27" s="661">
        <f>SUM(S27:V27)</f>
        <v>938</v>
      </c>
      <c r="X27" s="215">
        <v>208</v>
      </c>
      <c r="Y27" s="215">
        <v>215</v>
      </c>
      <c r="Z27" s="215">
        <v>265</v>
      </c>
      <c r="AA27" s="215">
        <v>323</v>
      </c>
      <c r="AB27" s="661">
        <f>SUM(X27:AA27)</f>
        <v>1011</v>
      </c>
      <c r="AC27" s="215">
        <v>252</v>
      </c>
      <c r="AD27" s="215">
        <v>245</v>
      </c>
      <c r="AE27" s="215">
        <v>249</v>
      </c>
      <c r="AF27" s="215">
        <v>293</v>
      </c>
      <c r="AG27" s="661">
        <f>SUM(AC27:AF27)</f>
        <v>1039</v>
      </c>
      <c r="AH27" s="215">
        <v>272</v>
      </c>
      <c r="AI27" s="215">
        <v>269</v>
      </c>
      <c r="AJ27" s="215">
        <v>330</v>
      </c>
      <c r="AK27" s="215">
        <v>357</v>
      </c>
      <c r="AL27" s="661">
        <f>SUM(AH27:AK27)</f>
        <v>1228</v>
      </c>
      <c r="AM27" s="215">
        <v>240</v>
      </c>
      <c r="AN27" s="215">
        <v>289</v>
      </c>
      <c r="AO27" s="215">
        <v>298</v>
      </c>
      <c r="AP27" s="215">
        <v>393</v>
      </c>
      <c r="AQ27" s="661">
        <f>SUM(AM27:AP27)</f>
        <v>1220</v>
      </c>
      <c r="AR27" s="215">
        <v>312</v>
      </c>
      <c r="AS27" s="215">
        <v>331</v>
      </c>
      <c r="AT27" s="215">
        <v>344</v>
      </c>
      <c r="AU27" s="215">
        <v>410</v>
      </c>
      <c r="AV27" s="661">
        <f>SUM(AR27:AU27)</f>
        <v>1397</v>
      </c>
      <c r="AW27" s="215">
        <v>313</v>
      </c>
      <c r="AX27" s="215">
        <v>311</v>
      </c>
      <c r="AY27" s="215">
        <v>337</v>
      </c>
      <c r="AZ27" s="215">
        <v>373</v>
      </c>
      <c r="BA27" s="661">
        <f>SUM(AW27:AZ27)</f>
        <v>1334</v>
      </c>
      <c r="BB27" s="215">
        <v>220</v>
      </c>
      <c r="BC27" s="215">
        <v>279</v>
      </c>
      <c r="BD27" s="215">
        <v>238</v>
      </c>
      <c r="BE27" s="215">
        <v>303</v>
      </c>
      <c r="BF27" s="661">
        <f>SUM(BB27:BE27)</f>
        <v>1040</v>
      </c>
      <c r="BG27" s="215">
        <v>0</v>
      </c>
      <c r="BH27" s="215">
        <v>0</v>
      </c>
      <c r="BI27" s="215">
        <v>0</v>
      </c>
      <c r="BJ27" s="215">
        <v>0</v>
      </c>
      <c r="BK27" s="661">
        <f>SUM(BG27:BJ27)</f>
        <v>0</v>
      </c>
      <c r="BL27" s="215">
        <v>0</v>
      </c>
      <c r="BM27" s="215">
        <v>0</v>
      </c>
      <c r="BN27" s="215">
        <v>0</v>
      </c>
      <c r="BO27" s="215">
        <v>0</v>
      </c>
      <c r="BP27" s="661">
        <f>SUM(BL27:BO27)</f>
        <v>0</v>
      </c>
      <c r="BQ27" s="215">
        <f>BQ455</f>
        <v>0</v>
      </c>
      <c r="BR27" s="215">
        <f>BR455</f>
        <v>0</v>
      </c>
      <c r="BS27" s="215">
        <f>BS455</f>
        <v>0</v>
      </c>
      <c r="BT27" s="215">
        <f>BT455</f>
        <v>0</v>
      </c>
      <c r="BU27" s="661">
        <f>SUM(BQ27:BT27)</f>
        <v>0</v>
      </c>
      <c r="BV27" s="215">
        <f>BV455</f>
        <v>0</v>
      </c>
      <c r="BW27" s="215">
        <f>BW455</f>
        <v>0</v>
      </c>
      <c r="BX27" s="215">
        <f>BX455</f>
        <v>0</v>
      </c>
      <c r="BY27" s="215">
        <f>BY455</f>
        <v>0</v>
      </c>
      <c r="BZ27" s="968">
        <f>SUM(BV27:BY27)</f>
        <v>0</v>
      </c>
      <c r="CA27" s="215">
        <f>CA455</f>
        <v>0</v>
      </c>
      <c r="CB27" s="847">
        <f>CB455</f>
        <v>0</v>
      </c>
      <c r="CC27" s="847">
        <f>CC455</f>
        <v>0</v>
      </c>
      <c r="CD27" s="847">
        <f>CD455</f>
        <v>0</v>
      </c>
      <c r="CE27" s="661">
        <f>SUM(CA27:CD27)</f>
        <v>0</v>
      </c>
      <c r="CF27" s="215">
        <f>CF455</f>
        <v>0</v>
      </c>
      <c r="CG27" s="847">
        <f>CG455</f>
        <v>0</v>
      </c>
      <c r="CH27" s="847">
        <f>CH455</f>
        <v>0</v>
      </c>
      <c r="CI27" s="847">
        <f>CI455</f>
        <v>0</v>
      </c>
      <c r="CJ27" s="661">
        <f>SUM(CF27:CI27)</f>
        <v>0</v>
      </c>
      <c r="CK27" s="847">
        <f>CK455</f>
        <v>0</v>
      </c>
      <c r="CL27" s="847">
        <f>CL455</f>
        <v>0</v>
      </c>
      <c r="CM27" s="847">
        <f>CM455</f>
        <v>0</v>
      </c>
      <c r="CN27" s="847">
        <f>CN455</f>
        <v>0</v>
      </c>
      <c r="CO27" s="661">
        <f>SUM(CK27:CN27)</f>
        <v>0</v>
      </c>
      <c r="CP27" s="847">
        <f>CP455</f>
        <v>0</v>
      </c>
      <c r="CQ27" s="847">
        <f>CQ455</f>
        <v>0</v>
      </c>
      <c r="CR27" s="847">
        <f>CR455</f>
        <v>0</v>
      </c>
      <c r="CS27" s="847">
        <f>CS455</f>
        <v>0</v>
      </c>
      <c r="CT27" s="661">
        <f>SUM(CP27:CS27)</f>
        <v>0</v>
      </c>
      <c r="CU27" s="847">
        <f t="shared" ref="CU27:DA27" si="87">CU455</f>
        <v>0</v>
      </c>
      <c r="CV27" s="847">
        <f t="shared" si="87"/>
        <v>0</v>
      </c>
      <c r="CW27" s="847">
        <f t="shared" si="87"/>
        <v>0</v>
      </c>
      <c r="CX27" s="847">
        <f t="shared" si="87"/>
        <v>0</v>
      </c>
      <c r="CY27" s="661">
        <f>SUM(CU27:CX27)</f>
        <v>0</v>
      </c>
      <c r="CZ27" s="1431">
        <f t="shared" si="87"/>
        <v>0</v>
      </c>
      <c r="DA27" s="661">
        <f t="shared" si="87"/>
        <v>0</v>
      </c>
      <c r="DB27"/>
      <c r="DC27"/>
      <c r="DD27" s="2285" t="s">
        <v>683</v>
      </c>
      <c r="DE27" s="2290">
        <f t="shared" si="66"/>
        <v>684</v>
      </c>
      <c r="DF27" s="2290">
        <f t="shared" si="67"/>
        <v>902</v>
      </c>
      <c r="DG27" s="2290">
        <f t="shared" si="68"/>
        <v>938</v>
      </c>
      <c r="DH27" s="2290">
        <f t="shared" si="69"/>
        <v>1011</v>
      </c>
      <c r="DI27" s="2290">
        <f t="shared" si="70"/>
        <v>1039</v>
      </c>
      <c r="DJ27" s="2290">
        <f t="shared" si="71"/>
        <v>1228</v>
      </c>
      <c r="DK27" s="2290">
        <f t="shared" si="72"/>
        <v>1220</v>
      </c>
      <c r="DL27" s="2290">
        <f t="shared" si="73"/>
        <v>1397</v>
      </c>
      <c r="DM27" s="2290">
        <f t="shared" si="74"/>
        <v>1334</v>
      </c>
      <c r="DN27" s="2290">
        <f t="shared" si="75"/>
        <v>1040</v>
      </c>
      <c r="DO27" s="2290">
        <f t="shared" si="76"/>
        <v>0</v>
      </c>
      <c r="DP27" s="2290">
        <f t="shared" si="77"/>
        <v>0</v>
      </c>
      <c r="DQ27" s="2290">
        <f t="shared" si="78"/>
        <v>0</v>
      </c>
      <c r="DR27" s="2290">
        <f t="shared" si="79"/>
        <v>0</v>
      </c>
      <c r="DS27" s="2290">
        <f t="shared" si="80"/>
        <v>0</v>
      </c>
      <c r="DT27" s="2290">
        <f t="shared" si="81"/>
        <v>0</v>
      </c>
      <c r="DU27" s="2290">
        <f t="shared" si="82"/>
        <v>0</v>
      </c>
      <c r="DV27" s="2290">
        <f t="shared" si="83"/>
        <v>0</v>
      </c>
      <c r="DW27" s="2290">
        <f t="shared" si="84"/>
        <v>0</v>
      </c>
      <c r="DX27" s="2290">
        <f t="shared" si="85"/>
        <v>0</v>
      </c>
      <c r="DY27" s="2290">
        <f t="shared" si="86"/>
        <v>0</v>
      </c>
      <c r="EA27"/>
      <c r="EB27"/>
      <c r="EC27"/>
      <c r="ED27"/>
      <c r="EE27"/>
      <c r="EF27"/>
      <c r="EJ27"/>
      <c r="EK27"/>
      <c r="EL27"/>
      <c r="ER27" s="212"/>
    </row>
    <row r="28" spans="1:148" s="927" customFormat="1" ht="12.75" customHeight="1" collapsed="1" x14ac:dyDescent="0.2">
      <c r="A28" s="1436" t="s">
        <v>420</v>
      </c>
      <c r="B28" s="765"/>
      <c r="C28" s="765"/>
      <c r="D28" s="765"/>
      <c r="E28" s="765"/>
      <c r="F28" s="765"/>
      <c r="G28" s="765"/>
      <c r="H28" s="765"/>
      <c r="I28" s="765">
        <f>+I12</f>
        <v>1254</v>
      </c>
      <c r="J28" s="765">
        <f>+J12</f>
        <v>1301</v>
      </c>
      <c r="K28" s="765">
        <f>+K12</f>
        <v>1259</v>
      </c>
      <c r="L28" s="765">
        <f>+L12</f>
        <v>1824</v>
      </c>
      <c r="M28" s="245">
        <f>SUM(I28:L28)</f>
        <v>5638</v>
      </c>
      <c r="N28" s="765">
        <f>+N12</f>
        <v>1409</v>
      </c>
      <c r="O28" s="765">
        <f>+O12</f>
        <v>1301</v>
      </c>
      <c r="P28" s="765">
        <f>+P12</f>
        <v>1270</v>
      </c>
      <c r="Q28" s="765">
        <f>+Q12</f>
        <v>1595</v>
      </c>
      <c r="R28" s="245">
        <v>5237</v>
      </c>
      <c r="S28" s="765">
        <f>+S12</f>
        <v>1262</v>
      </c>
      <c r="T28" s="765">
        <f>+T12</f>
        <v>1343</v>
      </c>
      <c r="U28" s="765">
        <f>+U12</f>
        <v>1282</v>
      </c>
      <c r="V28" s="765">
        <f>+V12</f>
        <v>1852</v>
      </c>
      <c r="W28" s="245">
        <f>SUM(S28:V28)</f>
        <v>5739</v>
      </c>
      <c r="X28" s="765">
        <f>+X12</f>
        <v>1408</v>
      </c>
      <c r="Y28" s="765">
        <f>+Y12</f>
        <v>1402</v>
      </c>
      <c r="Z28" s="765">
        <f>+Z12</f>
        <v>1423</v>
      </c>
      <c r="AA28" s="765">
        <f>+AA12</f>
        <v>1959</v>
      </c>
      <c r="AB28" s="245">
        <f>SUM(X28:AA28)</f>
        <v>6192</v>
      </c>
      <c r="AC28" s="765">
        <f>+AC12</f>
        <v>1585</v>
      </c>
      <c r="AD28" s="765">
        <f>+AD12</f>
        <v>1614</v>
      </c>
      <c r="AE28" s="765">
        <f>+AE12</f>
        <v>1573</v>
      </c>
      <c r="AF28" s="765">
        <f>+AF12</f>
        <v>2156</v>
      </c>
      <c r="AG28" s="245">
        <f>SUM(AC28:AF28)</f>
        <v>6928</v>
      </c>
      <c r="AH28" s="765">
        <f>+AH12</f>
        <v>1682</v>
      </c>
      <c r="AI28" s="765">
        <f>+AI12</f>
        <v>1795</v>
      </c>
      <c r="AJ28" s="765">
        <f>+AJ12</f>
        <v>1771</v>
      </c>
      <c r="AK28" s="765">
        <f>+AK12</f>
        <v>2423</v>
      </c>
      <c r="AL28" s="245">
        <f>SUM(AH28:AK28)</f>
        <v>7671</v>
      </c>
      <c r="AM28" s="765">
        <f>+AM12</f>
        <v>1820</v>
      </c>
      <c r="AN28" s="765">
        <f>+AN12</f>
        <v>1905</v>
      </c>
      <c r="AO28" s="765">
        <f>+AO12</f>
        <v>1822</v>
      </c>
      <c r="AP28" s="765">
        <f>+AP12</f>
        <v>2528</v>
      </c>
      <c r="AQ28" s="245">
        <f>SUM(AM28:AP28)</f>
        <v>8075</v>
      </c>
      <c r="AR28" s="765">
        <f>+AR12</f>
        <v>1921</v>
      </c>
      <c r="AS28" s="765">
        <f>+AS12</f>
        <v>1992</v>
      </c>
      <c r="AT28" s="765">
        <f>+AT12</f>
        <v>1990</v>
      </c>
      <c r="AU28" s="765">
        <f>+AU12</f>
        <v>2672</v>
      </c>
      <c r="AV28" s="245">
        <f>SUM(AR28:AU28)</f>
        <v>8575</v>
      </c>
      <c r="AW28" s="765">
        <f>+AW12</f>
        <v>2033</v>
      </c>
      <c r="AX28" s="765">
        <f>+AX12</f>
        <v>2104</v>
      </c>
      <c r="AY28" s="765">
        <f>+AY12</f>
        <v>2016</v>
      </c>
      <c r="AZ28" s="765">
        <f>+AZ12</f>
        <v>2681</v>
      </c>
      <c r="BA28" s="245">
        <f>SUM(AW28:AZ28)</f>
        <v>8834</v>
      </c>
      <c r="BB28" s="765">
        <f>+BB12</f>
        <v>1810</v>
      </c>
      <c r="BC28" s="765">
        <f>+BC12</f>
        <v>1787</v>
      </c>
      <c r="BD28" s="765">
        <f>+BD12</f>
        <v>1758</v>
      </c>
      <c r="BE28" s="765">
        <f>+BE12</f>
        <v>2327</v>
      </c>
      <c r="BF28" s="245">
        <f>SUM(BB28:BE28)</f>
        <v>7682</v>
      </c>
      <c r="BG28" s="765">
        <f>+BG12</f>
        <v>1860</v>
      </c>
      <c r="BH28" s="765">
        <f>+BH12</f>
        <v>1940</v>
      </c>
      <c r="BI28" s="765">
        <f>+BI12</f>
        <v>1900</v>
      </c>
      <c r="BJ28" s="765">
        <f>+BJ12</f>
        <v>2539</v>
      </c>
      <c r="BK28" s="245">
        <f>SUM(BG28:BJ28)</f>
        <v>8239</v>
      </c>
      <c r="BL28" s="765">
        <f>+BL12</f>
        <v>1999</v>
      </c>
      <c r="BM28" s="765">
        <f>+BM12</f>
        <v>2116</v>
      </c>
      <c r="BN28" s="765">
        <f>+BN12</f>
        <v>2045</v>
      </c>
      <c r="BO28" s="765">
        <f>+BO12</f>
        <v>2683</v>
      </c>
      <c r="BP28" s="245">
        <f>SUM(BL28:BO28)</f>
        <v>8843</v>
      </c>
      <c r="BQ28" s="765">
        <f>+BQ12</f>
        <v>2035</v>
      </c>
      <c r="BR28" s="765">
        <f>+BR12</f>
        <v>2170</v>
      </c>
      <c r="BS28" s="765">
        <f>+BS12</f>
        <v>2210</v>
      </c>
      <c r="BT28" s="765">
        <f>+BT12</f>
        <v>2990</v>
      </c>
      <c r="BU28" s="245">
        <f>SUM(BQ28:BT28)</f>
        <v>9405</v>
      </c>
      <c r="BV28" s="765">
        <f>+BV12</f>
        <v>2548</v>
      </c>
      <c r="BW28" s="765">
        <f>+BW12</f>
        <v>2610</v>
      </c>
      <c r="BX28" s="765">
        <f>+BX12</f>
        <v>2562</v>
      </c>
      <c r="BY28" s="765">
        <f>+BY12</f>
        <v>2571</v>
      </c>
      <c r="BZ28" s="245">
        <f>SUM(BV28:BY28)</f>
        <v>10291</v>
      </c>
      <c r="CA28" s="765">
        <f>+CA12</f>
        <v>2670</v>
      </c>
      <c r="CB28" s="765">
        <f>+CB12</f>
        <v>2763</v>
      </c>
      <c r="CC28" s="765">
        <f>+CC12</f>
        <v>2768</v>
      </c>
      <c r="CD28" s="765">
        <f>+CD12</f>
        <v>2854</v>
      </c>
      <c r="CE28" s="245">
        <f>SUM(CA28:CD28)</f>
        <v>11055</v>
      </c>
      <c r="CF28" s="765">
        <f>+CF12</f>
        <v>2798</v>
      </c>
      <c r="CG28" s="765">
        <f>+CG12</f>
        <v>2953</v>
      </c>
      <c r="CH28" s="765">
        <f>+CH12</f>
        <v>2884</v>
      </c>
      <c r="CI28" s="765">
        <f>+CI12</f>
        <v>2995</v>
      </c>
      <c r="CJ28" s="245">
        <f>SUM(CF28:CI28)</f>
        <v>11630</v>
      </c>
      <c r="CK28" s="765">
        <f>+CK12</f>
        <v>3045</v>
      </c>
      <c r="CL28" s="765">
        <f>+CL12</f>
        <v>3142</v>
      </c>
      <c r="CM28" s="765">
        <f>+CM12</f>
        <v>3034</v>
      </c>
      <c r="CN28" s="765">
        <f>+CN12</f>
        <v>4207</v>
      </c>
      <c r="CO28" s="245">
        <f>SUM(CK28:CN28)</f>
        <v>13428</v>
      </c>
      <c r="CP28" s="765">
        <f>+CP12</f>
        <v>4340</v>
      </c>
      <c r="CQ28" s="765">
        <f>+CQ12</f>
        <v>4488</v>
      </c>
      <c r="CR28" s="765">
        <f>+CR12</f>
        <v>4380</v>
      </c>
      <c r="CS28" s="765">
        <f>+CS12</f>
        <v>4557</v>
      </c>
      <c r="CT28" s="245">
        <f>SUM(CP28:CS28)</f>
        <v>17765</v>
      </c>
      <c r="CU28" s="765">
        <f t="shared" ref="CU28:DA28" ca="1" si="88">+CU12</f>
        <v>4701.3038455216374</v>
      </c>
      <c r="CV28" s="765">
        <f t="shared" ca="1" si="88"/>
        <v>4915.1075703078714</v>
      </c>
      <c r="CW28" s="765">
        <f t="shared" ca="1" si="88"/>
        <v>4779.8794054450173</v>
      </c>
      <c r="CX28" s="765">
        <f t="shared" ca="1" si="88"/>
        <v>4925.6968866450661</v>
      </c>
      <c r="CY28" s="245">
        <f ca="1">SUM(CU28:CX28)</f>
        <v>19321.987707919594</v>
      </c>
      <c r="CZ28" s="1793">
        <f t="shared" ca="1" si="88"/>
        <v>20998.269179194776</v>
      </c>
      <c r="DA28" s="245">
        <f t="shared" ca="1" si="88"/>
        <v>21004.030592079482</v>
      </c>
      <c r="DB28"/>
      <c r="DC28"/>
      <c r="DD28" s="2288" t="s">
        <v>420</v>
      </c>
      <c r="DE28" s="2289">
        <f t="shared" si="66"/>
        <v>5638</v>
      </c>
      <c r="DF28" s="2289">
        <f t="shared" si="67"/>
        <v>5237</v>
      </c>
      <c r="DG28" s="2289">
        <f t="shared" si="68"/>
        <v>5739</v>
      </c>
      <c r="DH28" s="2289">
        <f t="shared" si="69"/>
        <v>6192</v>
      </c>
      <c r="DI28" s="2289">
        <f t="shared" si="70"/>
        <v>6928</v>
      </c>
      <c r="DJ28" s="2289">
        <f t="shared" si="71"/>
        <v>7671</v>
      </c>
      <c r="DK28" s="2289">
        <f t="shared" si="72"/>
        <v>8075</v>
      </c>
      <c r="DL28" s="2289">
        <f t="shared" si="73"/>
        <v>8575</v>
      </c>
      <c r="DM28" s="2289">
        <f t="shared" si="74"/>
        <v>8834</v>
      </c>
      <c r="DN28" s="2289">
        <f t="shared" si="75"/>
        <v>7682</v>
      </c>
      <c r="DO28" s="2289">
        <f t="shared" si="76"/>
        <v>8239</v>
      </c>
      <c r="DP28" s="2289">
        <f t="shared" si="77"/>
        <v>8843</v>
      </c>
      <c r="DQ28" s="2289">
        <f t="shared" si="78"/>
        <v>9405</v>
      </c>
      <c r="DR28" s="2289">
        <f t="shared" si="79"/>
        <v>10291</v>
      </c>
      <c r="DS28" s="2289">
        <f t="shared" si="80"/>
        <v>11055</v>
      </c>
      <c r="DT28" s="2289">
        <f t="shared" si="81"/>
        <v>11630</v>
      </c>
      <c r="DU28" s="2289">
        <f t="shared" si="82"/>
        <v>13428</v>
      </c>
      <c r="DV28" s="2289">
        <f t="shared" si="83"/>
        <v>17765</v>
      </c>
      <c r="DW28" s="2289">
        <f t="shared" ca="1" si="84"/>
        <v>19321.987707919594</v>
      </c>
      <c r="DX28" s="2289">
        <f t="shared" ca="1" si="85"/>
        <v>20998.269179194776</v>
      </c>
      <c r="DY28" s="2289">
        <f t="shared" ca="1" si="86"/>
        <v>21004.030592079482</v>
      </c>
      <c r="EA28"/>
      <c r="EB28"/>
      <c r="EC28"/>
      <c r="ED28"/>
      <c r="EE28"/>
      <c r="EF28"/>
      <c r="EJ28"/>
      <c r="EK28"/>
      <c r="EL28"/>
      <c r="EM28" s="1703"/>
      <c r="ER28" s="1445"/>
    </row>
    <row r="29" spans="1:148" s="927" customFormat="1" ht="12.75" customHeight="1" collapsed="1" x14ac:dyDescent="0.2">
      <c r="A29" s="1436" t="s">
        <v>737</v>
      </c>
      <c r="B29" s="765"/>
      <c r="C29" s="765"/>
      <c r="D29" s="765"/>
      <c r="E29" s="765"/>
      <c r="F29" s="765"/>
      <c r="G29" s="765"/>
      <c r="H29" s="765"/>
      <c r="I29" s="765">
        <v>26</v>
      </c>
      <c r="J29" s="765">
        <v>25</v>
      </c>
      <c r="K29" s="765">
        <v>29</v>
      </c>
      <c r="L29" s="765">
        <v>40</v>
      </c>
      <c r="M29" s="245">
        <v>120</v>
      </c>
      <c r="N29" s="765">
        <v>30</v>
      </c>
      <c r="O29" s="765">
        <v>29</v>
      </c>
      <c r="P29" s="765">
        <v>17</v>
      </c>
      <c r="Q29" s="765">
        <v>45</v>
      </c>
      <c r="R29" s="245">
        <f>SUM(N29:Q29)</f>
        <v>121</v>
      </c>
      <c r="S29" s="765">
        <v>101</v>
      </c>
      <c r="T29" s="765">
        <v>125</v>
      </c>
      <c r="U29" s="765">
        <v>108</v>
      </c>
      <c r="V29" s="765">
        <v>174</v>
      </c>
      <c r="W29" s="245">
        <v>508</v>
      </c>
      <c r="X29" s="765">
        <v>112</v>
      </c>
      <c r="Y29" s="765">
        <v>107</v>
      </c>
      <c r="Z29" s="765">
        <v>117</v>
      </c>
      <c r="AA29" s="765">
        <v>187</v>
      </c>
      <c r="AB29" s="245">
        <v>523</v>
      </c>
      <c r="AC29" s="765">
        <v>132</v>
      </c>
      <c r="AD29" s="765">
        <v>127</v>
      </c>
      <c r="AE29" s="765">
        <v>126</v>
      </c>
      <c r="AF29" s="765">
        <v>222</v>
      </c>
      <c r="AG29" s="245">
        <v>607</v>
      </c>
      <c r="AH29" s="765">
        <v>124</v>
      </c>
      <c r="AI29" s="765">
        <v>161</v>
      </c>
      <c r="AJ29" s="765">
        <v>149</v>
      </c>
      <c r="AK29" s="765">
        <v>196</v>
      </c>
      <c r="AL29" s="245">
        <v>630</v>
      </c>
      <c r="AM29" s="765">
        <v>150</v>
      </c>
      <c r="AN29" s="765">
        <v>141</v>
      </c>
      <c r="AO29" s="765">
        <v>149</v>
      </c>
      <c r="AP29" s="765">
        <v>237</v>
      </c>
      <c r="AQ29" s="245">
        <v>677</v>
      </c>
      <c r="AR29" s="765">
        <v>147</v>
      </c>
      <c r="AS29" s="765">
        <v>172</v>
      </c>
      <c r="AT29" s="765">
        <v>164</v>
      </c>
      <c r="AU29" s="765">
        <v>250</v>
      </c>
      <c r="AV29" s="245">
        <v>733</v>
      </c>
      <c r="AW29" s="765">
        <v>162</v>
      </c>
      <c r="AX29" s="765">
        <v>184</v>
      </c>
      <c r="AY29" s="765">
        <v>167</v>
      </c>
      <c r="AZ29" s="765">
        <v>325</v>
      </c>
      <c r="BA29" s="245">
        <v>838</v>
      </c>
      <c r="BB29" s="765">
        <v>176</v>
      </c>
      <c r="BC29" s="765">
        <v>179</v>
      </c>
      <c r="BD29" s="765">
        <v>905</v>
      </c>
      <c r="BE29" s="765">
        <v>207</v>
      </c>
      <c r="BF29" s="245">
        <f>+SUM(BB29:BE29)</f>
        <v>1467</v>
      </c>
      <c r="BG29" s="765">
        <f>+BG622</f>
        <v>119</v>
      </c>
      <c r="BH29" s="765">
        <f t="shared" ref="BH29:BO29" si="89">+BH622</f>
        <v>128</v>
      </c>
      <c r="BI29" s="765">
        <f t="shared" si="89"/>
        <v>131</v>
      </c>
      <c r="BJ29" s="765">
        <f t="shared" si="89"/>
        <v>215</v>
      </c>
      <c r="BK29" s="245">
        <f>+SUM(BG29:BJ29)</f>
        <v>593</v>
      </c>
      <c r="BL29" s="765">
        <f t="shared" si="89"/>
        <v>141</v>
      </c>
      <c r="BM29" s="765">
        <f t="shared" si="89"/>
        <v>140</v>
      </c>
      <c r="BN29" s="765">
        <f t="shared" si="89"/>
        <v>143</v>
      </c>
      <c r="BO29" s="765">
        <f t="shared" si="89"/>
        <v>219</v>
      </c>
      <c r="BP29" s="245">
        <f>+SUM(BL29:BO29)</f>
        <v>643</v>
      </c>
      <c r="BQ29" s="765">
        <f>BQ612</f>
        <v>147</v>
      </c>
      <c r="BR29" s="765">
        <f>BR612</f>
        <v>160</v>
      </c>
      <c r="BS29" s="765">
        <f>BS612</f>
        <v>132</v>
      </c>
      <c r="BT29" s="765">
        <f>BT612</f>
        <v>206</v>
      </c>
      <c r="BU29" s="245">
        <f>SUM(BQ29:BT29)</f>
        <v>645</v>
      </c>
      <c r="BV29" s="765">
        <f>BV612</f>
        <v>164</v>
      </c>
      <c r="BW29" s="765">
        <f>BW612</f>
        <v>160</v>
      </c>
      <c r="BX29" s="765">
        <f>BX612</f>
        <v>147</v>
      </c>
      <c r="BY29" s="765">
        <f>BY612</f>
        <v>178</v>
      </c>
      <c r="BZ29" s="245">
        <f>SUM(BV29:BY29)</f>
        <v>649</v>
      </c>
      <c r="CA29" s="765">
        <f>CA612</f>
        <v>148</v>
      </c>
      <c r="CB29" s="765">
        <f>CB612</f>
        <v>159</v>
      </c>
      <c r="CC29" s="765">
        <f>CC612</f>
        <v>172</v>
      </c>
      <c r="CD29" s="765">
        <f>CD612</f>
        <v>180</v>
      </c>
      <c r="CE29" s="245">
        <f>SUM(CA29:CD29)</f>
        <v>659</v>
      </c>
      <c r="CF29" s="1380">
        <f>CF612</f>
        <v>145</v>
      </c>
      <c r="CG29" s="765">
        <f t="shared" ref="CG29:CL29" si="90">CG612</f>
        <v>152</v>
      </c>
      <c r="CH29" s="765">
        <f t="shared" si="90"/>
        <v>149</v>
      </c>
      <c r="CI29" s="765">
        <f t="shared" si="90"/>
        <v>188</v>
      </c>
      <c r="CJ29" s="245">
        <f>SUM(CF29:CI29)</f>
        <v>634</v>
      </c>
      <c r="CK29" s="765">
        <f t="shared" si="90"/>
        <v>163</v>
      </c>
      <c r="CL29" s="765">
        <f t="shared" si="90"/>
        <v>168</v>
      </c>
      <c r="CM29" s="1380">
        <f>CM612</f>
        <v>154</v>
      </c>
      <c r="CN29" s="3126">
        <f t="shared" ref="CN29:DA29" si="91">CN616</f>
        <v>234</v>
      </c>
      <c r="CO29" s="245">
        <f>SUM(CK29:CN29)</f>
        <v>719</v>
      </c>
      <c r="CP29" s="765">
        <f t="shared" si="91"/>
        <v>210</v>
      </c>
      <c r="CQ29" s="765">
        <f t="shared" si="91"/>
        <v>226</v>
      </c>
      <c r="CR29" s="765">
        <f t="shared" si="91"/>
        <v>199</v>
      </c>
      <c r="CS29" s="765">
        <f t="shared" si="91"/>
        <v>259</v>
      </c>
      <c r="CT29" s="245">
        <f>SUM(CP29:CS29)</f>
        <v>894</v>
      </c>
      <c r="CU29" s="765">
        <f>CU616</f>
        <v>231.61799999999999</v>
      </c>
      <c r="CV29" s="765">
        <f>CV616</f>
        <v>239.3578</v>
      </c>
      <c r="CW29" s="765">
        <f>CW616</f>
        <v>233.72500000000002</v>
      </c>
      <c r="CX29" s="765">
        <f>CX616</f>
        <v>239.00296000000003</v>
      </c>
      <c r="CY29" s="245">
        <f>SUM(CU29:CX29)</f>
        <v>943.7037600000001</v>
      </c>
      <c r="CZ29" s="1793">
        <f t="shared" si="91"/>
        <v>878.38984120000009</v>
      </c>
      <c r="DA29" s="245">
        <f t="shared" si="91"/>
        <v>844.23814596400007</v>
      </c>
      <c r="DB29"/>
      <c r="DC29"/>
      <c r="DD29" s="2288" t="s">
        <v>737</v>
      </c>
      <c r="DE29" s="2289">
        <f t="shared" si="66"/>
        <v>120</v>
      </c>
      <c r="DF29" s="2289">
        <f t="shared" si="67"/>
        <v>121</v>
      </c>
      <c r="DG29" s="2289">
        <f t="shared" si="68"/>
        <v>508</v>
      </c>
      <c r="DH29" s="2289">
        <f t="shared" si="69"/>
        <v>523</v>
      </c>
      <c r="DI29" s="2289">
        <f t="shared" si="70"/>
        <v>607</v>
      </c>
      <c r="DJ29" s="2289">
        <f t="shared" si="71"/>
        <v>630</v>
      </c>
      <c r="DK29" s="2289">
        <f t="shared" si="72"/>
        <v>677</v>
      </c>
      <c r="DL29" s="2289">
        <f t="shared" si="73"/>
        <v>733</v>
      </c>
      <c r="DM29" s="2289">
        <f t="shared" si="74"/>
        <v>838</v>
      </c>
      <c r="DN29" s="2289">
        <f t="shared" si="75"/>
        <v>1467</v>
      </c>
      <c r="DO29" s="2289">
        <f t="shared" si="76"/>
        <v>593</v>
      </c>
      <c r="DP29" s="2289">
        <f t="shared" si="77"/>
        <v>643</v>
      </c>
      <c r="DQ29" s="2289">
        <f t="shared" si="78"/>
        <v>645</v>
      </c>
      <c r="DR29" s="2289">
        <f t="shared" si="79"/>
        <v>649</v>
      </c>
      <c r="DS29" s="2289">
        <f t="shared" si="80"/>
        <v>659</v>
      </c>
      <c r="DT29" s="2289">
        <f t="shared" si="81"/>
        <v>634</v>
      </c>
      <c r="DU29" s="2289">
        <f t="shared" si="82"/>
        <v>719</v>
      </c>
      <c r="DV29" s="2289">
        <f t="shared" si="83"/>
        <v>894</v>
      </c>
      <c r="DW29" s="2289">
        <f t="shared" si="84"/>
        <v>943.7037600000001</v>
      </c>
      <c r="DX29" s="2289">
        <f t="shared" si="85"/>
        <v>878.38984120000009</v>
      </c>
      <c r="DY29" s="2289">
        <f t="shared" si="86"/>
        <v>844.23814596400007</v>
      </c>
      <c r="EA29"/>
      <c r="EB29"/>
      <c r="EC29"/>
      <c r="ED29"/>
      <c r="EE29"/>
      <c r="EF29"/>
      <c r="EJ29"/>
      <c r="EK29"/>
      <c r="EL29"/>
      <c r="EM29" s="1703"/>
      <c r="ER29" s="1445"/>
    </row>
    <row r="30" spans="1:148" s="923" customFormat="1" ht="12.75" customHeight="1" x14ac:dyDescent="0.2">
      <c r="A30" s="1661" t="s">
        <v>1175</v>
      </c>
      <c r="B30" s="228"/>
      <c r="C30" s="228"/>
      <c r="D30" s="228"/>
      <c r="E30" s="228"/>
      <c r="F30" s="228"/>
      <c r="G30" s="228"/>
      <c r="H30" s="228"/>
      <c r="I30" s="228"/>
      <c r="J30" s="228"/>
      <c r="K30" s="228"/>
      <c r="L30" s="228"/>
      <c r="M30" s="2448"/>
      <c r="N30" s="228"/>
      <c r="O30" s="228"/>
      <c r="P30" s="228"/>
      <c r="Q30" s="228"/>
      <c r="R30" s="2448"/>
      <c r="S30" s="228"/>
      <c r="T30" s="228"/>
      <c r="U30" s="228"/>
      <c r="V30" s="228"/>
      <c r="W30" s="2448"/>
      <c r="X30" s="228"/>
      <c r="Y30" s="228"/>
      <c r="Z30" s="228"/>
      <c r="AA30" s="228"/>
      <c r="AB30" s="2448"/>
      <c r="AC30" s="228"/>
      <c r="AD30" s="228"/>
      <c r="AE30" s="228"/>
      <c r="AF30" s="228"/>
      <c r="AG30" s="2448"/>
      <c r="AH30" s="228"/>
      <c r="AI30" s="228"/>
      <c r="AJ30" s="228"/>
      <c r="AK30" s="228"/>
      <c r="AL30" s="2448"/>
      <c r="AM30" s="228"/>
      <c r="AN30" s="228"/>
      <c r="AO30" s="228"/>
      <c r="AP30" s="228"/>
      <c r="AQ30" s="2448"/>
      <c r="AR30" s="228"/>
      <c r="AS30" s="228"/>
      <c r="AT30" s="228"/>
      <c r="AU30" s="228"/>
      <c r="AV30" s="2448"/>
      <c r="AW30" s="228"/>
      <c r="AX30" s="228"/>
      <c r="AY30" s="228"/>
      <c r="AZ30" s="228"/>
      <c r="BA30" s="2448"/>
      <c r="BB30" s="228"/>
      <c r="BC30" s="228"/>
      <c r="BD30" s="228"/>
      <c r="BE30" s="228"/>
      <c r="BF30" s="2448"/>
      <c r="BG30" s="228"/>
      <c r="BH30" s="228"/>
      <c r="BI30" s="228"/>
      <c r="BJ30" s="228"/>
      <c r="BK30" s="2448"/>
      <c r="BL30" s="228"/>
      <c r="BM30" s="228"/>
      <c r="BN30" s="228"/>
      <c r="BO30" s="228"/>
      <c r="BP30" s="2448"/>
      <c r="BQ30" s="228"/>
      <c r="BR30" s="228"/>
      <c r="BS30" s="228"/>
      <c r="BT30" s="228"/>
      <c r="BU30" s="2448"/>
      <c r="BV30" s="228">
        <f>+BV91</f>
        <v>25</v>
      </c>
      <c r="BW30" s="228">
        <f>+BW91</f>
        <v>33</v>
      </c>
      <c r="BX30" s="228">
        <f>+BX91</f>
        <v>34</v>
      </c>
      <c r="BY30" s="228">
        <f>+BY91</f>
        <v>35</v>
      </c>
      <c r="BZ30" s="1660">
        <f>SUM(BV30:BY30)</f>
        <v>127</v>
      </c>
      <c r="CA30" s="228">
        <f>+CA91</f>
        <v>36</v>
      </c>
      <c r="CB30" s="222">
        <v>47</v>
      </c>
      <c r="CC30" s="222">
        <v>33</v>
      </c>
      <c r="CD30" s="222">
        <v>32</v>
      </c>
      <c r="CE30" s="2448">
        <f>SUM(CA30:CD30)</f>
        <v>148</v>
      </c>
      <c r="CF30" s="222">
        <v>44</v>
      </c>
      <c r="CG30" s="222">
        <v>32</v>
      </c>
      <c r="CH30" s="222">
        <v>31</v>
      </c>
      <c r="CI30" s="222">
        <v>32</v>
      </c>
      <c r="CJ30" s="2448">
        <f>SUM(CF30:CI30)</f>
        <v>139</v>
      </c>
      <c r="CK30" s="2916">
        <v>31</v>
      </c>
      <c r="CL30" s="2916">
        <v>30</v>
      </c>
      <c r="CM30" s="2916">
        <v>32</v>
      </c>
      <c r="CN30" s="2916">
        <v>71</v>
      </c>
      <c r="CO30" s="2448">
        <f>SUM(CK30:CN30)</f>
        <v>164</v>
      </c>
      <c r="CP30" s="2916">
        <v>65</v>
      </c>
      <c r="CQ30" s="2916">
        <v>85</v>
      </c>
      <c r="CR30" s="2916">
        <f>68+28</f>
        <v>96</v>
      </c>
      <c r="CS30" s="2916">
        <v>72</v>
      </c>
      <c r="CT30" s="2448">
        <f>SUM(CP30:CS30)</f>
        <v>318</v>
      </c>
      <c r="CU30" s="850">
        <f t="shared" ref="CU30:DA30" si="92">+CU91</f>
        <v>65</v>
      </c>
      <c r="CV30" s="850">
        <f t="shared" si="92"/>
        <v>80.75</v>
      </c>
      <c r="CW30" s="2447">
        <f t="shared" si="92"/>
        <v>68</v>
      </c>
      <c r="CX30" s="2447">
        <f t="shared" si="92"/>
        <v>72</v>
      </c>
      <c r="CY30" s="2448">
        <f>SUM(CU30:CX30)</f>
        <v>285.75</v>
      </c>
      <c r="CZ30" s="3355">
        <f t="shared" si="92"/>
        <v>291.46500000000003</v>
      </c>
      <c r="DA30" s="2448">
        <f t="shared" si="92"/>
        <v>297.29430000000002</v>
      </c>
      <c r="DB30"/>
      <c r="DC30"/>
      <c r="DD30" s="1661" t="s">
        <v>1175</v>
      </c>
      <c r="DE30" s="970">
        <f>M30</f>
        <v>0</v>
      </c>
      <c r="DF30" s="970">
        <f>R30</f>
        <v>0</v>
      </c>
      <c r="DG30" s="970">
        <f>W30</f>
        <v>0</v>
      </c>
      <c r="DH30" s="970">
        <f>AB30</f>
        <v>0</v>
      </c>
      <c r="DI30" s="970">
        <f>AG30</f>
        <v>0</v>
      </c>
      <c r="DJ30" s="970">
        <f>AL30</f>
        <v>0</v>
      </c>
      <c r="DK30" s="970">
        <f>AQ30</f>
        <v>0</v>
      </c>
      <c r="DL30" s="970">
        <f>AV30</f>
        <v>0</v>
      </c>
      <c r="DM30" s="970">
        <f>BA30</f>
        <v>0</v>
      </c>
      <c r="DN30" s="970">
        <f>BF30</f>
        <v>0</v>
      </c>
      <c r="DO30" s="970">
        <f>BK30</f>
        <v>0</v>
      </c>
      <c r="DP30" s="970">
        <f>BP30</f>
        <v>0</v>
      </c>
      <c r="DQ30" s="970">
        <f>BU30</f>
        <v>0</v>
      </c>
      <c r="DR30" s="970">
        <f>BZ30</f>
        <v>127</v>
      </c>
      <c r="DS30" s="970">
        <f>CE30</f>
        <v>148</v>
      </c>
      <c r="DT30" s="970">
        <f>CJ30</f>
        <v>139</v>
      </c>
      <c r="DU30" s="970">
        <f>CO30</f>
        <v>164</v>
      </c>
      <c r="DV30" s="970">
        <f>CT30</f>
        <v>318</v>
      </c>
      <c r="DW30" s="970">
        <f>CY30</f>
        <v>285.75</v>
      </c>
      <c r="DX30" s="970">
        <f>CZ30</f>
        <v>291.46500000000003</v>
      </c>
      <c r="DY30" s="970">
        <f>DA30</f>
        <v>297.29430000000002</v>
      </c>
      <c r="EA30"/>
      <c r="EB30"/>
      <c r="EC30"/>
      <c r="ED30"/>
      <c r="EE30"/>
      <c r="EF30"/>
      <c r="EJ30"/>
      <c r="EK30"/>
      <c r="EL30"/>
      <c r="EM30" s="1703"/>
      <c r="ER30" s="212"/>
    </row>
    <row r="31" spans="1:148" s="1703" customFormat="1" ht="12.75" customHeight="1" x14ac:dyDescent="0.2">
      <c r="A31" s="1970" t="s">
        <v>684</v>
      </c>
      <c r="B31" s="1381"/>
      <c r="C31" s="1381"/>
      <c r="D31" s="1381"/>
      <c r="E31" s="1381"/>
      <c r="F31" s="1381"/>
      <c r="G31" s="1381"/>
      <c r="H31" s="1381"/>
      <c r="I31" s="1381">
        <f t="shared" ref="I31:BT31" si="93">SUM(I26:I30)</f>
        <v>1608</v>
      </c>
      <c r="J31" s="1381">
        <f t="shared" si="93"/>
        <v>1721</v>
      </c>
      <c r="K31" s="1381">
        <f t="shared" si="93"/>
        <v>1693</v>
      </c>
      <c r="L31" s="1381">
        <f t="shared" si="93"/>
        <v>2409</v>
      </c>
      <c r="M31" s="1382">
        <f t="shared" si="93"/>
        <v>7431</v>
      </c>
      <c r="N31" s="1381">
        <f t="shared" si="93"/>
        <v>1817</v>
      </c>
      <c r="O31" s="1381">
        <f t="shared" si="93"/>
        <v>1760</v>
      </c>
      <c r="P31" s="1381">
        <f t="shared" si="93"/>
        <v>1721</v>
      </c>
      <c r="Q31" s="1381">
        <f t="shared" si="93"/>
        <v>2173</v>
      </c>
      <c r="R31" s="1382">
        <f t="shared" si="93"/>
        <v>7133</v>
      </c>
      <c r="S31" s="1381">
        <f t="shared" si="93"/>
        <v>1675</v>
      </c>
      <c r="T31" s="1381">
        <f t="shared" si="93"/>
        <v>1821</v>
      </c>
      <c r="U31" s="1381">
        <f t="shared" si="93"/>
        <v>1746</v>
      </c>
      <c r="V31" s="1381">
        <f t="shared" si="93"/>
        <v>2523</v>
      </c>
      <c r="W31" s="1382">
        <f t="shared" si="93"/>
        <v>7765</v>
      </c>
      <c r="X31" s="1381">
        <f t="shared" si="93"/>
        <v>1838</v>
      </c>
      <c r="Y31" s="1381">
        <f t="shared" si="93"/>
        <v>1843</v>
      </c>
      <c r="Z31" s="1381">
        <f t="shared" si="93"/>
        <v>1923</v>
      </c>
      <c r="AA31" s="1381">
        <f t="shared" si="93"/>
        <v>2627</v>
      </c>
      <c r="AB31" s="1382">
        <f t="shared" si="93"/>
        <v>8231</v>
      </c>
      <c r="AC31" s="1381">
        <f t="shared" si="93"/>
        <v>2101</v>
      </c>
      <c r="AD31" s="1381">
        <f t="shared" si="93"/>
        <v>2143</v>
      </c>
      <c r="AE31" s="1381">
        <f t="shared" si="93"/>
        <v>2087</v>
      </c>
      <c r="AF31" s="1381">
        <f t="shared" si="93"/>
        <v>2872</v>
      </c>
      <c r="AG31" s="1382">
        <f t="shared" si="93"/>
        <v>9203</v>
      </c>
      <c r="AH31" s="1381">
        <f t="shared" si="93"/>
        <v>2223</v>
      </c>
      <c r="AI31" s="1381">
        <f t="shared" si="93"/>
        <v>2363</v>
      </c>
      <c r="AJ31" s="1381">
        <f t="shared" si="93"/>
        <v>2447</v>
      </c>
      <c r="AK31" s="1381">
        <f t="shared" si="93"/>
        <v>3274</v>
      </c>
      <c r="AL31" s="1382">
        <f t="shared" si="93"/>
        <v>10307</v>
      </c>
      <c r="AM31" s="1381">
        <f t="shared" si="93"/>
        <v>2418</v>
      </c>
      <c r="AN31" s="1381">
        <f t="shared" si="93"/>
        <v>2560</v>
      </c>
      <c r="AO31" s="1381">
        <f t="shared" si="93"/>
        <v>2470</v>
      </c>
      <c r="AP31" s="1381">
        <f t="shared" si="93"/>
        <v>3460</v>
      </c>
      <c r="AQ31" s="1382">
        <f t="shared" si="93"/>
        <v>10908</v>
      </c>
      <c r="AR31" s="1381">
        <f t="shared" si="93"/>
        <v>2599</v>
      </c>
      <c r="AS31" s="1381">
        <f t="shared" si="93"/>
        <v>2752</v>
      </c>
      <c r="AT31" s="1381">
        <f t="shared" si="93"/>
        <v>2733</v>
      </c>
      <c r="AU31" s="1381">
        <f t="shared" si="93"/>
        <v>3683</v>
      </c>
      <c r="AV31" s="1382">
        <f t="shared" si="93"/>
        <v>11767</v>
      </c>
      <c r="AW31" s="1381">
        <f t="shared" si="93"/>
        <v>2752</v>
      </c>
      <c r="AX31" s="1381">
        <f t="shared" si="93"/>
        <v>2872</v>
      </c>
      <c r="AY31" s="1381">
        <f t="shared" si="93"/>
        <v>2760</v>
      </c>
      <c r="AZ31" s="1381">
        <f t="shared" si="93"/>
        <v>3710</v>
      </c>
      <c r="BA31" s="1382">
        <f t="shared" si="93"/>
        <v>12094</v>
      </c>
      <c r="BB31" s="1381">
        <f t="shared" si="93"/>
        <v>2413</v>
      </c>
      <c r="BC31" s="1381">
        <f t="shared" si="93"/>
        <v>2462</v>
      </c>
      <c r="BD31" s="1381">
        <f t="shared" si="93"/>
        <v>3115</v>
      </c>
      <c r="BE31" s="1381">
        <f t="shared" si="93"/>
        <v>3150</v>
      </c>
      <c r="BF31" s="1382">
        <f t="shared" si="93"/>
        <v>11140</v>
      </c>
      <c r="BG31" s="1381">
        <f t="shared" si="93"/>
        <v>2196</v>
      </c>
      <c r="BH31" s="1381">
        <f t="shared" si="93"/>
        <v>2292</v>
      </c>
      <c r="BI31" s="1381">
        <f t="shared" si="93"/>
        <v>2244</v>
      </c>
      <c r="BJ31" s="1381">
        <f t="shared" si="93"/>
        <v>3055</v>
      </c>
      <c r="BK31" s="1382">
        <f t="shared" si="93"/>
        <v>9787</v>
      </c>
      <c r="BL31" s="1381">
        <f t="shared" si="93"/>
        <v>2344</v>
      </c>
      <c r="BM31" s="1381">
        <f t="shared" si="93"/>
        <v>2476</v>
      </c>
      <c r="BN31" s="1381">
        <f t="shared" si="93"/>
        <v>2407</v>
      </c>
      <c r="BO31" s="1381">
        <f t="shared" si="93"/>
        <v>3202</v>
      </c>
      <c r="BP31" s="1382">
        <f t="shared" si="93"/>
        <v>10429</v>
      </c>
      <c r="BQ31" s="1381">
        <f t="shared" si="93"/>
        <v>2377</v>
      </c>
      <c r="BR31" s="1381">
        <f t="shared" si="93"/>
        <v>2533</v>
      </c>
      <c r="BS31" s="1381">
        <f t="shared" si="93"/>
        <v>2516</v>
      </c>
      <c r="BT31" s="1381">
        <f t="shared" si="93"/>
        <v>3448</v>
      </c>
      <c r="BU31" s="1382">
        <f t="shared" ref="BU31:BZ31" si="94">SUM(BU26:BU30)</f>
        <v>10874</v>
      </c>
      <c r="BV31" s="1381">
        <f t="shared" si="94"/>
        <v>2916</v>
      </c>
      <c r="BW31" s="1381">
        <f t="shared" si="94"/>
        <v>2984</v>
      </c>
      <c r="BX31" s="1381">
        <f t="shared" si="94"/>
        <v>2915</v>
      </c>
      <c r="BY31" s="1381">
        <f t="shared" si="94"/>
        <v>2981</v>
      </c>
      <c r="BZ31" s="1382">
        <f t="shared" si="94"/>
        <v>11796</v>
      </c>
      <c r="CA31" s="1381">
        <f t="shared" ref="CA31:DA31" si="95">SUM(CA26:CA30)</f>
        <v>3039</v>
      </c>
      <c r="CB31" s="1381">
        <f t="shared" si="95"/>
        <v>3168</v>
      </c>
      <c r="CC31" s="1381">
        <f t="shared" si="95"/>
        <v>3162</v>
      </c>
      <c r="CD31" s="1381">
        <f t="shared" si="95"/>
        <v>3268</v>
      </c>
      <c r="CE31" s="1382">
        <f t="shared" si="95"/>
        <v>12637</v>
      </c>
      <c r="CF31" s="1381">
        <f t="shared" si="95"/>
        <v>3181</v>
      </c>
      <c r="CG31" s="1381">
        <f t="shared" si="95"/>
        <v>3320</v>
      </c>
      <c r="CH31" s="1381">
        <f t="shared" si="95"/>
        <v>3239</v>
      </c>
      <c r="CI31" s="1381">
        <f t="shared" si="95"/>
        <v>3396</v>
      </c>
      <c r="CJ31" s="1382">
        <f t="shared" si="95"/>
        <v>13136</v>
      </c>
      <c r="CK31" s="1381">
        <f t="shared" si="95"/>
        <v>3405</v>
      </c>
      <c r="CL31" s="1381">
        <f t="shared" si="95"/>
        <v>3513</v>
      </c>
      <c r="CM31" s="1381">
        <f t="shared" ref="CM31:CZ31" si="96">SUM(CM26:CM30)</f>
        <v>3396</v>
      </c>
      <c r="CN31" s="882">
        <f t="shared" si="96"/>
        <v>4879</v>
      </c>
      <c r="CO31" s="967">
        <f t="shared" si="96"/>
        <v>15193</v>
      </c>
      <c r="CP31" s="882">
        <f t="shared" si="96"/>
        <v>4973</v>
      </c>
      <c r="CQ31" s="882">
        <f t="shared" si="96"/>
        <v>5154</v>
      </c>
      <c r="CR31" s="882">
        <f t="shared" si="96"/>
        <v>5031</v>
      </c>
      <c r="CS31" s="882">
        <f t="shared" si="96"/>
        <v>5246</v>
      </c>
      <c r="CT31" s="967">
        <f t="shared" si="96"/>
        <v>20404</v>
      </c>
      <c r="CU31" s="882">
        <f ca="1">SUM(CU26:CU30)</f>
        <v>5345.181845521638</v>
      </c>
      <c r="CV31" s="882">
        <f ca="1">SUM(CV26:CV30)</f>
        <v>5586.6653703078709</v>
      </c>
      <c r="CW31" s="882">
        <f ca="1">SUM(CW26:CW30)</f>
        <v>5437.6044054450176</v>
      </c>
      <c r="CX31" s="882">
        <f ca="1">SUM(CX26:CX30)</f>
        <v>5587.5398466450661</v>
      </c>
      <c r="CY31" s="967">
        <f ca="1">SUM(CY26:CY30)</f>
        <v>21956.991467919594</v>
      </c>
      <c r="CZ31" s="1783">
        <f t="shared" ca="1" si="96"/>
        <v>23580.701770394779</v>
      </c>
      <c r="DA31" s="1382">
        <f t="shared" ca="1" si="95"/>
        <v>23487.511901261976</v>
      </c>
      <c r="DB31"/>
      <c r="DC31"/>
      <c r="DD31" s="1970" t="s">
        <v>684</v>
      </c>
      <c r="DE31" s="1382">
        <f t="shared" si="66"/>
        <v>7431</v>
      </c>
      <c r="DF31" s="1382">
        <f t="shared" si="67"/>
        <v>7133</v>
      </c>
      <c r="DG31" s="1382">
        <f t="shared" si="68"/>
        <v>7765</v>
      </c>
      <c r="DH31" s="1382">
        <f t="shared" si="69"/>
        <v>8231</v>
      </c>
      <c r="DI31" s="1382">
        <f t="shared" si="70"/>
        <v>9203</v>
      </c>
      <c r="DJ31" s="1382">
        <f t="shared" si="71"/>
        <v>10307</v>
      </c>
      <c r="DK31" s="1382">
        <f t="shared" si="72"/>
        <v>10908</v>
      </c>
      <c r="DL31" s="1382">
        <f t="shared" si="73"/>
        <v>11767</v>
      </c>
      <c r="DM31" s="1382">
        <f t="shared" si="74"/>
        <v>12094</v>
      </c>
      <c r="DN31" s="1382">
        <f t="shared" si="75"/>
        <v>11140</v>
      </c>
      <c r="DO31" s="1382">
        <f t="shared" si="76"/>
        <v>9787</v>
      </c>
      <c r="DP31" s="1382">
        <f t="shared" si="77"/>
        <v>10429</v>
      </c>
      <c r="DQ31" s="1382">
        <f t="shared" si="78"/>
        <v>10874</v>
      </c>
      <c r="DR31" s="1382">
        <f t="shared" si="79"/>
        <v>11796</v>
      </c>
      <c r="DS31" s="1382">
        <f t="shared" si="80"/>
        <v>12637</v>
      </c>
      <c r="DT31" s="1382">
        <f t="shared" si="81"/>
        <v>13136</v>
      </c>
      <c r="DU31" s="1382">
        <f t="shared" si="82"/>
        <v>15193</v>
      </c>
      <c r="DV31" s="1382">
        <f t="shared" si="83"/>
        <v>20404</v>
      </c>
      <c r="DW31" s="1382">
        <f t="shared" ca="1" si="84"/>
        <v>21956.991467919594</v>
      </c>
      <c r="DX31" s="1382">
        <f t="shared" ca="1" si="85"/>
        <v>23580.701770394779</v>
      </c>
      <c r="DY31" s="1382">
        <f t="shared" ca="1" si="86"/>
        <v>23487.511901261976</v>
      </c>
      <c r="EA31"/>
      <c r="EB31"/>
      <c r="EC31"/>
      <c r="ED31"/>
      <c r="EE31"/>
      <c r="EF31"/>
      <c r="EJ31"/>
      <c r="EK31"/>
      <c r="EL31"/>
      <c r="ER31" s="212"/>
    </row>
    <row r="32" spans="1:148" ht="12.75" customHeight="1" x14ac:dyDescent="0.2">
      <c r="A32" s="1437"/>
      <c r="B32" s="852"/>
      <c r="C32" s="852"/>
      <c r="D32" s="852"/>
      <c r="E32" s="852"/>
      <c r="F32" s="852"/>
      <c r="G32" s="852"/>
      <c r="H32" s="852"/>
      <c r="I32" s="852"/>
      <c r="J32" s="852"/>
      <c r="K32" s="852"/>
      <c r="L32" s="852"/>
      <c r="M32" s="1616"/>
      <c r="N32" s="852"/>
      <c r="O32" s="852"/>
      <c r="P32" s="852"/>
      <c r="Q32" s="852"/>
      <c r="R32" s="1616"/>
      <c r="S32" s="852"/>
      <c r="T32" s="852"/>
      <c r="U32" s="852"/>
      <c r="V32" s="852"/>
      <c r="W32" s="1616"/>
      <c r="X32" s="852"/>
      <c r="Y32" s="852"/>
      <c r="Z32" s="852"/>
      <c r="AA32" s="852"/>
      <c r="AB32" s="1616"/>
      <c r="AC32" s="852"/>
      <c r="AD32" s="852"/>
      <c r="AE32" s="852"/>
      <c r="AF32" s="852"/>
      <c r="AG32" s="1616"/>
      <c r="AH32" s="852"/>
      <c r="AI32" s="852"/>
      <c r="AJ32" s="852"/>
      <c r="AK32" s="852"/>
      <c r="AL32" s="1616"/>
      <c r="AM32" s="852"/>
      <c r="AN32" s="852"/>
      <c r="AO32" s="852"/>
      <c r="AP32" s="852"/>
      <c r="AQ32" s="1616"/>
      <c r="AR32" s="852"/>
      <c r="AS32" s="852"/>
      <c r="AT32" s="852"/>
      <c r="AU32" s="852"/>
      <c r="AV32" s="1616"/>
      <c r="AW32" s="852"/>
      <c r="AX32" s="852"/>
      <c r="AY32" s="852"/>
      <c r="AZ32" s="852"/>
      <c r="BA32" s="1616"/>
      <c r="BB32" s="852"/>
      <c r="BC32" s="852"/>
      <c r="BD32" s="852"/>
      <c r="BE32" s="852"/>
      <c r="BF32" s="1616"/>
      <c r="BG32" s="852"/>
      <c r="BH32" s="852"/>
      <c r="BI32" s="852"/>
      <c r="BJ32" s="852"/>
      <c r="BK32" s="1616"/>
      <c r="BL32" s="852"/>
      <c r="BM32" s="852"/>
      <c r="BN32" s="852"/>
      <c r="BO32" s="852"/>
      <c r="BP32" s="1616"/>
      <c r="BQ32" s="852"/>
      <c r="BR32" s="852"/>
      <c r="BS32" s="852"/>
      <c r="BT32" s="852"/>
      <c r="BU32" s="1616"/>
      <c r="BV32" s="852"/>
      <c r="BW32" s="852"/>
      <c r="BX32" s="852"/>
      <c r="BY32" s="852"/>
      <c r="BZ32" s="1616"/>
      <c r="CA32" s="852"/>
      <c r="CB32" s="852"/>
      <c r="CC32" s="852"/>
      <c r="CD32" s="1646"/>
      <c r="CE32" s="1616"/>
      <c r="CF32" s="852"/>
      <c r="CG32" s="852"/>
      <c r="CH32" s="852"/>
      <c r="CI32" s="1646"/>
      <c r="CJ32" s="1616"/>
      <c r="CK32" s="852"/>
      <c r="CL32" s="852"/>
      <c r="CM32" s="852"/>
      <c r="CN32" s="1646"/>
      <c r="CO32" s="1616"/>
      <c r="CP32" s="852"/>
      <c r="CQ32" s="852"/>
      <c r="CR32" s="852"/>
      <c r="CS32" s="852"/>
      <c r="CT32" s="1616"/>
      <c r="CU32" s="852"/>
      <c r="CV32" s="852"/>
      <c r="CW32" s="852"/>
      <c r="CX32" s="852"/>
      <c r="CY32" s="1616"/>
      <c r="CZ32" s="1811"/>
      <c r="DA32" s="1616"/>
      <c r="DD32" s="1437"/>
      <c r="DE32" s="2294"/>
      <c r="DF32" s="2294"/>
      <c r="DG32" s="2294"/>
      <c r="DH32" s="2294"/>
      <c r="DI32" s="2294"/>
      <c r="DJ32" s="2294"/>
      <c r="DK32" s="2294"/>
      <c r="DL32" s="2294"/>
      <c r="DM32" s="2294"/>
      <c r="DN32" s="2294"/>
      <c r="DO32" s="2294"/>
      <c r="DP32" s="2294"/>
      <c r="DQ32" s="2294"/>
      <c r="DR32" s="2294"/>
      <c r="DS32" s="2294"/>
      <c r="DT32" s="2294"/>
      <c r="DU32" s="2294"/>
      <c r="DV32" s="2294"/>
      <c r="DW32" s="2294"/>
      <c r="DX32" s="2294"/>
      <c r="DY32" s="2294"/>
      <c r="EK32"/>
      <c r="EL32"/>
    </row>
    <row r="33" spans="1:148" s="1703" customFormat="1" ht="12.75" customHeight="1" x14ac:dyDescent="0.2">
      <c r="A33" s="1969" t="s">
        <v>141</v>
      </c>
      <c r="B33" s="1667"/>
      <c r="C33" s="1667"/>
      <c r="D33" s="1667"/>
      <c r="E33" s="1667"/>
      <c r="F33" s="1667"/>
      <c r="G33" s="1667"/>
      <c r="H33" s="1667"/>
      <c r="I33" s="1667">
        <f t="shared" ref="I33:AN33" si="97">+I14-I31</f>
        <v>177</v>
      </c>
      <c r="J33" s="1667">
        <f t="shared" si="97"/>
        <v>219</v>
      </c>
      <c r="K33" s="1667">
        <f t="shared" si="97"/>
        <v>187</v>
      </c>
      <c r="L33" s="1667">
        <f t="shared" si="97"/>
        <v>233</v>
      </c>
      <c r="M33" s="1668">
        <f t="shared" si="97"/>
        <v>816</v>
      </c>
      <c r="N33" s="1667">
        <f t="shared" si="97"/>
        <v>193</v>
      </c>
      <c r="O33" s="1667">
        <f t="shared" si="97"/>
        <v>202</v>
      </c>
      <c r="P33" s="1667">
        <f t="shared" si="97"/>
        <v>157</v>
      </c>
      <c r="Q33" s="1667">
        <f t="shared" si="97"/>
        <v>83</v>
      </c>
      <c r="R33" s="1668">
        <f t="shared" si="97"/>
        <v>635</v>
      </c>
      <c r="S33" s="1667">
        <f t="shared" si="97"/>
        <v>115</v>
      </c>
      <c r="T33" s="1667">
        <f t="shared" si="97"/>
        <v>145</v>
      </c>
      <c r="U33" s="1667">
        <f t="shared" si="97"/>
        <v>107</v>
      </c>
      <c r="V33" s="1667">
        <f t="shared" si="97"/>
        <v>90</v>
      </c>
      <c r="W33" s="1668">
        <f t="shared" si="97"/>
        <v>457</v>
      </c>
      <c r="X33" s="1667">
        <f t="shared" si="97"/>
        <v>117</v>
      </c>
      <c r="Y33" s="1667">
        <f t="shared" si="97"/>
        <v>110</v>
      </c>
      <c r="Z33" s="1667">
        <f t="shared" si="97"/>
        <v>93</v>
      </c>
      <c r="AA33" s="1667">
        <f t="shared" si="97"/>
        <v>161</v>
      </c>
      <c r="AB33" s="1668">
        <f t="shared" si="97"/>
        <v>481</v>
      </c>
      <c r="AC33" s="1667">
        <f t="shared" si="97"/>
        <v>151</v>
      </c>
      <c r="AD33" s="1667">
        <f t="shared" si="97"/>
        <v>148</v>
      </c>
      <c r="AE33" s="1667">
        <f t="shared" si="97"/>
        <v>130</v>
      </c>
      <c r="AF33" s="1667">
        <f t="shared" si="97"/>
        <v>146</v>
      </c>
      <c r="AG33" s="1668">
        <f t="shared" si="97"/>
        <v>575</v>
      </c>
      <c r="AH33" s="1667">
        <f t="shared" si="97"/>
        <v>203</v>
      </c>
      <c r="AI33" s="1667">
        <f t="shared" si="97"/>
        <v>200</v>
      </c>
      <c r="AJ33" s="1667">
        <f t="shared" si="97"/>
        <v>169</v>
      </c>
      <c r="AK33" s="1667">
        <f t="shared" si="97"/>
        <v>250</v>
      </c>
      <c r="AL33" s="1668">
        <f t="shared" si="97"/>
        <v>822</v>
      </c>
      <c r="AM33" s="1667">
        <f t="shared" si="97"/>
        <v>230</v>
      </c>
      <c r="AN33" s="1667">
        <f t="shared" si="97"/>
        <v>292</v>
      </c>
      <c r="AO33" s="1667">
        <f t="shared" ref="AO33:BT33" si="98">+AO14-AO31</f>
        <v>227</v>
      </c>
      <c r="AP33" s="1667">
        <f t="shared" si="98"/>
        <v>338</v>
      </c>
      <c r="AQ33" s="1668">
        <f t="shared" si="98"/>
        <v>1087</v>
      </c>
      <c r="AR33" s="1667">
        <f t="shared" si="98"/>
        <v>237</v>
      </c>
      <c r="AS33" s="1667">
        <f t="shared" si="98"/>
        <v>370</v>
      </c>
      <c r="AT33" s="1667">
        <f t="shared" si="98"/>
        <v>210</v>
      </c>
      <c r="AU33" s="1667">
        <f t="shared" si="98"/>
        <v>406</v>
      </c>
      <c r="AV33" s="1668">
        <f t="shared" si="98"/>
        <v>1223</v>
      </c>
      <c r="AW33" s="1667">
        <f t="shared" si="98"/>
        <v>195</v>
      </c>
      <c r="AX33" s="1667">
        <f t="shared" si="98"/>
        <v>313</v>
      </c>
      <c r="AY33" s="1667">
        <f t="shared" si="98"/>
        <v>203</v>
      </c>
      <c r="AZ33" s="1667">
        <f t="shared" si="98"/>
        <v>74</v>
      </c>
      <c r="BA33" s="1668">
        <f t="shared" si="98"/>
        <v>785</v>
      </c>
      <c r="BB33" s="1667">
        <f t="shared" si="98"/>
        <v>82</v>
      </c>
      <c r="BC33" s="1667">
        <f t="shared" si="98"/>
        <v>100</v>
      </c>
      <c r="BD33" s="1667">
        <f t="shared" si="98"/>
        <v>-644</v>
      </c>
      <c r="BE33" s="1667">
        <f t="shared" si="98"/>
        <v>228</v>
      </c>
      <c r="BF33" s="1668">
        <f t="shared" si="98"/>
        <v>-234</v>
      </c>
      <c r="BG33" s="1667">
        <f t="shared" si="98"/>
        <v>149</v>
      </c>
      <c r="BH33" s="1667">
        <f t="shared" si="98"/>
        <v>191</v>
      </c>
      <c r="BI33" s="1667">
        <f t="shared" si="98"/>
        <v>130</v>
      </c>
      <c r="BJ33" s="1667">
        <f t="shared" si="98"/>
        <v>217</v>
      </c>
      <c r="BK33" s="1668">
        <f t="shared" si="98"/>
        <v>687</v>
      </c>
      <c r="BL33" s="1667">
        <f t="shared" si="98"/>
        <v>158</v>
      </c>
      <c r="BM33" s="1667">
        <f t="shared" si="98"/>
        <v>209</v>
      </c>
      <c r="BN33" s="1667">
        <f t="shared" si="98"/>
        <v>180</v>
      </c>
      <c r="BO33" s="1667">
        <f t="shared" si="98"/>
        <v>257</v>
      </c>
      <c r="BP33" s="1668">
        <f t="shared" si="98"/>
        <v>804</v>
      </c>
      <c r="BQ33" s="1667">
        <f t="shared" si="98"/>
        <v>175</v>
      </c>
      <c r="BR33" s="1667">
        <f t="shared" si="98"/>
        <v>243</v>
      </c>
      <c r="BS33" s="1667">
        <f t="shared" si="98"/>
        <v>213</v>
      </c>
      <c r="BT33" s="1667">
        <f t="shared" si="98"/>
        <v>309</v>
      </c>
      <c r="BU33" s="1668">
        <f t="shared" ref="BU33:DA33" si="99">+BU14-BU31</f>
        <v>940</v>
      </c>
      <c r="BV33" s="1667">
        <f t="shared" si="99"/>
        <v>226</v>
      </c>
      <c r="BW33" s="1667">
        <f t="shared" si="99"/>
        <v>279</v>
      </c>
      <c r="BX33" s="1667">
        <f t="shared" si="99"/>
        <v>245</v>
      </c>
      <c r="BY33" s="1667">
        <f t="shared" si="99"/>
        <v>238</v>
      </c>
      <c r="BZ33" s="1668">
        <f t="shared" si="99"/>
        <v>988</v>
      </c>
      <c r="CA33" s="1667">
        <f t="shared" si="99"/>
        <v>254</v>
      </c>
      <c r="CB33" s="1667">
        <f t="shared" si="99"/>
        <v>316</v>
      </c>
      <c r="CC33" s="1667">
        <f t="shared" si="99"/>
        <v>298</v>
      </c>
      <c r="CD33" s="1667">
        <f t="shared" si="99"/>
        <v>291</v>
      </c>
      <c r="CE33" s="1668">
        <f t="shared" si="99"/>
        <v>1159</v>
      </c>
      <c r="CF33" s="1667">
        <f t="shared" si="99"/>
        <v>332</v>
      </c>
      <c r="CG33" s="1667">
        <f t="shared" si="99"/>
        <v>369</v>
      </c>
      <c r="CH33" s="1667">
        <f t="shared" si="99"/>
        <v>339</v>
      </c>
      <c r="CI33" s="1667">
        <f t="shared" si="99"/>
        <v>310</v>
      </c>
      <c r="CJ33" s="1668">
        <f t="shared" si="99"/>
        <v>1350</v>
      </c>
      <c r="CK33" s="1667">
        <f t="shared" si="99"/>
        <v>367</v>
      </c>
      <c r="CL33" s="1667">
        <f t="shared" si="99"/>
        <v>389</v>
      </c>
      <c r="CM33" s="1667">
        <f t="shared" si="99"/>
        <v>378</v>
      </c>
      <c r="CN33" s="1667">
        <f t="shared" si="99"/>
        <v>577</v>
      </c>
      <c r="CO33" s="1668">
        <f t="shared" si="99"/>
        <v>1711</v>
      </c>
      <c r="CP33" s="1667">
        <f t="shared" si="99"/>
        <v>588</v>
      </c>
      <c r="CQ33" s="1667">
        <f t="shared" si="99"/>
        <v>641</v>
      </c>
      <c r="CR33" s="1667">
        <f t="shared" si="99"/>
        <v>632</v>
      </c>
      <c r="CS33" s="1667">
        <f t="shared" si="99"/>
        <v>629</v>
      </c>
      <c r="CT33" s="1668">
        <f t="shared" si="99"/>
        <v>2490</v>
      </c>
      <c r="CU33" s="1667">
        <f t="shared" ca="1" si="99"/>
        <v>609.29829198108746</v>
      </c>
      <c r="CV33" s="1667">
        <f t="shared" ca="1" si="99"/>
        <v>697.9186187146579</v>
      </c>
      <c r="CW33" s="1667">
        <f t="shared" ca="1" si="99"/>
        <v>687.58253103306106</v>
      </c>
      <c r="CX33" s="1667">
        <f t="shared" ca="1" si="99"/>
        <v>712.55229498090466</v>
      </c>
      <c r="CY33" s="1667">
        <f t="shared" ca="1" si="99"/>
        <v>2707.3517367097083</v>
      </c>
      <c r="CZ33" s="1786">
        <f t="shared" ca="1" si="99"/>
        <v>3091.1041095228247</v>
      </c>
      <c r="DA33" s="1668">
        <f t="shared" ca="1" si="99"/>
        <v>3051.8671433027739</v>
      </c>
      <c r="DB33"/>
      <c r="DC33"/>
      <c r="DD33" s="1970" t="s">
        <v>141</v>
      </c>
      <c r="DE33" s="1382">
        <f>M33</f>
        <v>816</v>
      </c>
      <c r="DF33" s="1382">
        <f>R33</f>
        <v>635</v>
      </c>
      <c r="DG33" s="1382">
        <f>W33</f>
        <v>457</v>
      </c>
      <c r="DH33" s="1382">
        <f>AB33</f>
        <v>481</v>
      </c>
      <c r="DI33" s="1382">
        <f>AG33</f>
        <v>575</v>
      </c>
      <c r="DJ33" s="1382">
        <f>AL33</f>
        <v>822</v>
      </c>
      <c r="DK33" s="1382">
        <f>AQ33</f>
        <v>1087</v>
      </c>
      <c r="DL33" s="1382">
        <f>AV33</f>
        <v>1223</v>
      </c>
      <c r="DM33" s="1382">
        <f>BA33</f>
        <v>785</v>
      </c>
      <c r="DN33" s="1382">
        <f>BF33</f>
        <v>-234</v>
      </c>
      <c r="DO33" s="1382">
        <f>BK33</f>
        <v>687</v>
      </c>
      <c r="DP33" s="1382">
        <f>BP33</f>
        <v>804</v>
      </c>
      <c r="DQ33" s="1382">
        <f>BU33</f>
        <v>940</v>
      </c>
      <c r="DR33" s="1382">
        <f>BZ33</f>
        <v>988</v>
      </c>
      <c r="DS33" s="1382">
        <f>CE33</f>
        <v>1159</v>
      </c>
      <c r="DT33" s="1382">
        <f>CJ33</f>
        <v>1350</v>
      </c>
      <c r="DU33" s="1382">
        <f>CO33</f>
        <v>1711</v>
      </c>
      <c r="DV33" s="1382">
        <f>CT33</f>
        <v>2490</v>
      </c>
      <c r="DW33" s="1382">
        <f t="shared" ref="DW33:DY36" ca="1" si="100">CY33</f>
        <v>2707.3517367097083</v>
      </c>
      <c r="DX33" s="1382">
        <f t="shared" ca="1" si="100"/>
        <v>3091.1041095228247</v>
      </c>
      <c r="DY33" s="1382">
        <f t="shared" ca="1" si="100"/>
        <v>3051.8671433027739</v>
      </c>
      <c r="EA33"/>
      <c r="EB33"/>
      <c r="EC33"/>
      <c r="ED33"/>
      <c r="EE33"/>
      <c r="EF33"/>
      <c r="EJ33"/>
      <c r="EK33"/>
      <c r="EL33"/>
      <c r="ER33" s="212"/>
    </row>
    <row r="34" spans="1:148" ht="12.75" customHeight="1" x14ac:dyDescent="0.2">
      <c r="A34" s="1595" t="s">
        <v>2041</v>
      </c>
      <c r="B34" s="899"/>
      <c r="C34" s="899"/>
      <c r="D34" s="899"/>
      <c r="E34" s="899"/>
      <c r="F34" s="899"/>
      <c r="G34" s="899"/>
      <c r="H34" s="899"/>
      <c r="I34" s="899"/>
      <c r="J34" s="899"/>
      <c r="K34" s="899"/>
      <c r="L34" s="899"/>
      <c r="M34" s="1003"/>
      <c r="N34" s="899"/>
      <c r="O34" s="899"/>
      <c r="P34" s="899"/>
      <c r="Q34" s="899"/>
      <c r="R34" s="1003"/>
      <c r="S34" s="899"/>
      <c r="T34" s="899"/>
      <c r="U34" s="899"/>
      <c r="V34" s="899"/>
      <c r="W34" s="1003"/>
      <c r="X34" s="899"/>
      <c r="Y34" s="899"/>
      <c r="Z34" s="899"/>
      <c r="AA34" s="899"/>
      <c r="AB34" s="1003"/>
      <c r="AC34" s="899"/>
      <c r="AD34" s="899"/>
      <c r="AE34" s="899"/>
      <c r="AF34" s="899"/>
      <c r="AG34" s="1003">
        <f t="shared" ref="AG34:BA34" si="101">AG33/AG$14</f>
        <v>5.8805481693597873E-2</v>
      </c>
      <c r="AH34" s="899">
        <f t="shared" si="101"/>
        <v>8.3676834295136032E-2</v>
      </c>
      <c r="AI34" s="899">
        <f t="shared" si="101"/>
        <v>7.803355442840422E-2</v>
      </c>
      <c r="AJ34" s="899">
        <f t="shared" si="101"/>
        <v>6.4602446483180434E-2</v>
      </c>
      <c r="AK34" s="899">
        <f t="shared" si="101"/>
        <v>7.0942111237230418E-2</v>
      </c>
      <c r="AL34" s="1003">
        <f t="shared" si="101"/>
        <v>7.3861083655314949E-2</v>
      </c>
      <c r="AM34" s="899">
        <f t="shared" si="101"/>
        <v>8.6858006042296071E-2</v>
      </c>
      <c r="AN34" s="899">
        <f t="shared" si="101"/>
        <v>0.10238429172510519</v>
      </c>
      <c r="AO34" s="899">
        <f t="shared" si="101"/>
        <v>8.4167593622543571E-2</v>
      </c>
      <c r="AP34" s="899">
        <f t="shared" si="101"/>
        <v>8.8994207477619797E-2</v>
      </c>
      <c r="AQ34" s="1003">
        <f t="shared" si="101"/>
        <v>9.0621092121717386E-2</v>
      </c>
      <c r="AR34" s="899">
        <f t="shared" si="101"/>
        <v>8.3568406205923831E-2</v>
      </c>
      <c r="AS34" s="899">
        <f t="shared" si="101"/>
        <v>0.11851377322229339</v>
      </c>
      <c r="AT34" s="899">
        <f t="shared" si="101"/>
        <v>7.1355759429153925E-2</v>
      </c>
      <c r="AU34" s="899">
        <f t="shared" si="101"/>
        <v>9.9290780141843976E-2</v>
      </c>
      <c r="AV34" s="1003">
        <f t="shared" si="101"/>
        <v>9.4149345650500385E-2</v>
      </c>
      <c r="AW34" s="899">
        <f t="shared" si="101"/>
        <v>6.6168985408890393E-2</v>
      </c>
      <c r="AX34" s="899">
        <f t="shared" si="101"/>
        <v>9.8273155416012559E-2</v>
      </c>
      <c r="AY34" s="899">
        <f t="shared" si="101"/>
        <v>6.8511643604454942E-2</v>
      </c>
      <c r="AZ34" s="899">
        <f t="shared" si="101"/>
        <v>1.9556025369978858E-2</v>
      </c>
      <c r="BA34" s="1003">
        <f t="shared" si="101"/>
        <v>6.09519372622098E-2</v>
      </c>
      <c r="BB34" s="899"/>
      <c r="BC34" s="899"/>
      <c r="BD34" s="899"/>
      <c r="BE34" s="899"/>
      <c r="BF34" s="1003">
        <f>BF33/BF$14</f>
        <v>-2.1456079222446359E-2</v>
      </c>
      <c r="BG34" s="899">
        <f t="shared" ref="BG34:DA34" si="102">BG33/(BG14-BG12)</f>
        <v>0.30721649484536084</v>
      </c>
      <c r="BH34" s="899">
        <f t="shared" si="102"/>
        <v>0.35174953959484345</v>
      </c>
      <c r="BI34" s="899">
        <f t="shared" si="102"/>
        <v>0.27426160337552741</v>
      </c>
      <c r="BJ34" s="899">
        <f t="shared" si="102"/>
        <v>0.296043656207367</v>
      </c>
      <c r="BK34" s="1003">
        <f t="shared" si="102"/>
        <v>0.30738255033557049</v>
      </c>
      <c r="BL34" s="899">
        <f t="shared" si="102"/>
        <v>0.31411530815109345</v>
      </c>
      <c r="BM34" s="899">
        <f t="shared" si="102"/>
        <v>0.36731107205623903</v>
      </c>
      <c r="BN34" s="899">
        <f t="shared" si="102"/>
        <v>0.33210332103321033</v>
      </c>
      <c r="BO34" s="899">
        <f t="shared" si="102"/>
        <v>0.33118556701030927</v>
      </c>
      <c r="BP34" s="1003">
        <f t="shared" si="102"/>
        <v>0.33640167364016738</v>
      </c>
      <c r="BQ34" s="899">
        <f t="shared" si="102"/>
        <v>0.33849129593810445</v>
      </c>
      <c r="BR34" s="899">
        <f t="shared" si="102"/>
        <v>0.40099009900990101</v>
      </c>
      <c r="BS34" s="899">
        <f t="shared" si="102"/>
        <v>0.41040462427745666</v>
      </c>
      <c r="BT34" s="899">
        <f t="shared" si="102"/>
        <v>0.40286831812255541</v>
      </c>
      <c r="BU34" s="1003">
        <f t="shared" si="102"/>
        <v>0.39020340390203406</v>
      </c>
      <c r="BV34" s="899">
        <f t="shared" si="102"/>
        <v>0.38047138047138046</v>
      </c>
      <c r="BW34" s="899">
        <f t="shared" si="102"/>
        <v>0.42725880551301687</v>
      </c>
      <c r="BX34" s="899">
        <f t="shared" si="102"/>
        <v>0.4096989966555184</v>
      </c>
      <c r="BY34" s="899">
        <f t="shared" si="102"/>
        <v>0.36728395061728397</v>
      </c>
      <c r="BZ34" s="1003">
        <f t="shared" si="102"/>
        <v>0.39630966706778981</v>
      </c>
      <c r="CA34" s="899">
        <f t="shared" si="102"/>
        <v>0.40770465489566615</v>
      </c>
      <c r="CB34" s="899">
        <f t="shared" si="102"/>
        <v>0.43828016643550627</v>
      </c>
      <c r="CC34" s="899">
        <f t="shared" si="102"/>
        <v>0.430635838150289</v>
      </c>
      <c r="CD34" s="1268">
        <f t="shared" si="102"/>
        <v>0.4127659574468085</v>
      </c>
      <c r="CE34" s="1003">
        <f t="shared" si="102"/>
        <v>0.42283838015322872</v>
      </c>
      <c r="CF34" s="899">
        <f t="shared" si="102"/>
        <v>0.46433566433566431</v>
      </c>
      <c r="CG34" s="899">
        <f t="shared" si="102"/>
        <v>0.50135869565217395</v>
      </c>
      <c r="CH34" s="899">
        <f t="shared" si="102"/>
        <v>0.48847262247838619</v>
      </c>
      <c r="CI34" s="1268">
        <f t="shared" si="102"/>
        <v>0.43600562587904362</v>
      </c>
      <c r="CJ34" s="1003">
        <f t="shared" si="102"/>
        <v>0.47268907563025209</v>
      </c>
      <c r="CK34" s="899">
        <f t="shared" si="102"/>
        <v>0.50481430536451166</v>
      </c>
      <c r="CL34" s="899">
        <f t="shared" si="102"/>
        <v>0.51184210526315788</v>
      </c>
      <c r="CM34" s="899">
        <f t="shared" si="102"/>
        <v>0.51081081081081081</v>
      </c>
      <c r="CN34" s="1268">
        <f t="shared" si="102"/>
        <v>0.46196957566052843</v>
      </c>
      <c r="CO34" s="1003">
        <f t="shared" si="102"/>
        <v>0.49223245109321057</v>
      </c>
      <c r="CP34" s="899">
        <f t="shared" si="102"/>
        <v>0.48157248157248156</v>
      </c>
      <c r="CQ34" s="899">
        <f t="shared" si="102"/>
        <v>0.49043611323641928</v>
      </c>
      <c r="CR34" s="899">
        <f t="shared" si="102"/>
        <v>0.49259547934528447</v>
      </c>
      <c r="CS34" s="899">
        <f t="shared" si="102"/>
        <v>0.47723823975720792</v>
      </c>
      <c r="CT34" s="1003">
        <f t="shared" si="102"/>
        <v>0.48547475141353091</v>
      </c>
      <c r="CU34" s="899">
        <f ca="1">CU33/(CU14-CU12)</f>
        <v>0.48620317498815441</v>
      </c>
      <c r="CV34" s="899">
        <f ca="1">CV33/(CV14-CV12)</f>
        <v>0.50962441497875499</v>
      </c>
      <c r="CW34" s="899">
        <f ca="1">CW33/(CW14-CW12)</f>
        <v>0.51109691663218937</v>
      </c>
      <c r="CX34" s="899">
        <f ca="1">CX33/(CX14-CX12)</f>
        <v>0.51844787181748864</v>
      </c>
      <c r="CY34" s="1003">
        <f t="shared" ca="1" si="102"/>
        <v>0.50677116833148472</v>
      </c>
      <c r="CZ34" s="1268">
        <f t="shared" ca="1" si="102"/>
        <v>0.54482843287662319</v>
      </c>
      <c r="DA34" s="1003">
        <f t="shared" ca="1" si="102"/>
        <v>0.55134146829230646</v>
      </c>
      <c r="DD34" s="1595" t="s">
        <v>2041</v>
      </c>
      <c r="DE34" s="1003">
        <f>M34</f>
        <v>0</v>
      </c>
      <c r="DF34" s="1003">
        <f>R34</f>
        <v>0</v>
      </c>
      <c r="DG34" s="1003">
        <f>W34</f>
        <v>0</v>
      </c>
      <c r="DH34" s="1003">
        <f>AB34</f>
        <v>0</v>
      </c>
      <c r="DI34" s="1003"/>
      <c r="DJ34" s="1003"/>
      <c r="DK34" s="1003"/>
      <c r="DL34" s="1003"/>
      <c r="DM34" s="1003"/>
      <c r="DN34" s="1003">
        <f>BF34</f>
        <v>-2.1456079222446359E-2</v>
      </c>
      <c r="DO34" s="1003">
        <f>BK34</f>
        <v>0.30738255033557049</v>
      </c>
      <c r="DP34" s="1003">
        <f>BP34</f>
        <v>0.33640167364016738</v>
      </c>
      <c r="DQ34" s="1003">
        <f>BU34</f>
        <v>0.39020340390203406</v>
      </c>
      <c r="DR34" s="1003">
        <f>BZ34</f>
        <v>0.39630966706778981</v>
      </c>
      <c r="DS34" s="1003">
        <f>CE34</f>
        <v>0.42283838015322872</v>
      </c>
      <c r="DT34" s="1003">
        <f>CJ34</f>
        <v>0.47268907563025209</v>
      </c>
      <c r="DU34" s="1003">
        <f>CO34</f>
        <v>0.49223245109321057</v>
      </c>
      <c r="DV34" s="1003">
        <f>CT34</f>
        <v>0.48547475141353091</v>
      </c>
      <c r="DW34" s="1003">
        <f t="shared" ca="1" si="100"/>
        <v>0.50677116833148472</v>
      </c>
      <c r="DX34" s="1003">
        <f t="shared" ca="1" si="100"/>
        <v>0.54482843287662319</v>
      </c>
      <c r="DY34" s="1003">
        <f t="shared" ca="1" si="100"/>
        <v>0.55134146829230646</v>
      </c>
      <c r="EK34"/>
      <c r="EL34"/>
    </row>
    <row r="35" spans="1:148" ht="12.75" customHeight="1" x14ac:dyDescent="0.2">
      <c r="A35" s="1737" t="s">
        <v>691</v>
      </c>
      <c r="B35" s="768"/>
      <c r="C35" s="768"/>
      <c r="D35" s="768"/>
      <c r="E35" s="768"/>
      <c r="F35" s="768"/>
      <c r="G35" s="768"/>
      <c r="H35" s="768"/>
      <c r="I35" s="768"/>
      <c r="J35" s="768"/>
      <c r="K35" s="768"/>
      <c r="L35" s="768"/>
      <c r="M35" s="1006"/>
      <c r="N35" s="768"/>
      <c r="O35" s="768"/>
      <c r="P35" s="768"/>
      <c r="Q35" s="768"/>
      <c r="R35" s="1006"/>
      <c r="S35" s="768"/>
      <c r="T35" s="768"/>
      <c r="U35" s="768"/>
      <c r="V35" s="768"/>
      <c r="W35" s="1006"/>
      <c r="X35" s="768"/>
      <c r="Y35" s="768"/>
      <c r="Z35" s="768"/>
      <c r="AA35" s="768"/>
      <c r="AB35" s="1006"/>
      <c r="AC35" s="768"/>
      <c r="AD35" s="768"/>
      <c r="AE35" s="768"/>
      <c r="AF35" s="768"/>
      <c r="AG35" s="1006">
        <f t="shared" ref="AG35:BL35" si="103">AG33/AB33-1</f>
        <v>0.19542619542619533</v>
      </c>
      <c r="AH35" s="768">
        <f t="shared" si="103"/>
        <v>0.3443708609271523</v>
      </c>
      <c r="AI35" s="768">
        <f t="shared" si="103"/>
        <v>0.35135135135135132</v>
      </c>
      <c r="AJ35" s="768">
        <f t="shared" si="103"/>
        <v>0.30000000000000004</v>
      </c>
      <c r="AK35" s="768">
        <f t="shared" si="103"/>
        <v>0.71232876712328763</v>
      </c>
      <c r="AL35" s="1006">
        <f t="shared" si="103"/>
        <v>0.42956521739130427</v>
      </c>
      <c r="AM35" s="768">
        <f t="shared" si="103"/>
        <v>0.13300492610837433</v>
      </c>
      <c r="AN35" s="768">
        <f t="shared" si="103"/>
        <v>0.45999999999999996</v>
      </c>
      <c r="AO35" s="768">
        <f t="shared" si="103"/>
        <v>0.34319526627218933</v>
      </c>
      <c r="AP35" s="768">
        <f t="shared" si="103"/>
        <v>0.35200000000000009</v>
      </c>
      <c r="AQ35" s="1006">
        <f t="shared" si="103"/>
        <v>0.32238442822384439</v>
      </c>
      <c r="AR35" s="768">
        <f t="shared" si="103"/>
        <v>3.0434782608695699E-2</v>
      </c>
      <c r="AS35" s="768">
        <f t="shared" si="103"/>
        <v>0.26712328767123283</v>
      </c>
      <c r="AT35" s="768">
        <f t="shared" si="103"/>
        <v>-7.4889867841409719E-2</v>
      </c>
      <c r="AU35" s="768">
        <f t="shared" si="103"/>
        <v>0.20118343195266264</v>
      </c>
      <c r="AV35" s="1006">
        <f t="shared" si="103"/>
        <v>0.125114995400184</v>
      </c>
      <c r="AW35" s="768">
        <f t="shared" si="103"/>
        <v>-0.17721518987341767</v>
      </c>
      <c r="AX35" s="768">
        <f t="shared" si="103"/>
        <v>-0.15405405405405403</v>
      </c>
      <c r="AY35" s="768">
        <f t="shared" si="103"/>
        <v>-3.3333333333333326E-2</v>
      </c>
      <c r="AZ35" s="768">
        <f t="shared" si="103"/>
        <v>-0.81773399014778325</v>
      </c>
      <c r="BA35" s="1006">
        <f t="shared" si="103"/>
        <v>-0.35813573180703184</v>
      </c>
      <c r="BB35" s="768">
        <f t="shared" si="103"/>
        <v>-0.57948717948717943</v>
      </c>
      <c r="BC35" s="768">
        <f t="shared" si="103"/>
        <v>-0.68051118210862627</v>
      </c>
      <c r="BD35" s="768">
        <f t="shared" si="103"/>
        <v>-4.1724137931034484</v>
      </c>
      <c r="BE35" s="768">
        <f t="shared" si="103"/>
        <v>2.0810810810810811</v>
      </c>
      <c r="BF35" s="1006">
        <f t="shared" si="103"/>
        <v>-1.2980891719745222</v>
      </c>
      <c r="BG35" s="768">
        <f t="shared" si="103"/>
        <v>0.81707317073170738</v>
      </c>
      <c r="BH35" s="768">
        <f t="shared" si="103"/>
        <v>0.90999999999999992</v>
      </c>
      <c r="BI35" s="768">
        <f t="shared" si="103"/>
        <v>-1.201863354037267</v>
      </c>
      <c r="BJ35" s="768">
        <f t="shared" si="103"/>
        <v>-4.8245614035087758E-2</v>
      </c>
      <c r="BK35" s="1006">
        <f t="shared" si="103"/>
        <v>-3.9358974358974357</v>
      </c>
      <c r="BL35" s="768">
        <f t="shared" si="103"/>
        <v>6.0402684563758413E-2</v>
      </c>
      <c r="BM35" s="768">
        <f t="shared" ref="BM35:CF35" si="104">BM33/BH33-1</f>
        <v>9.4240837696335067E-2</v>
      </c>
      <c r="BN35" s="768">
        <f t="shared" si="104"/>
        <v>0.38461538461538458</v>
      </c>
      <c r="BO35" s="768">
        <f t="shared" si="104"/>
        <v>0.18433179723502313</v>
      </c>
      <c r="BP35" s="1006">
        <f t="shared" si="104"/>
        <v>0.17030567685589526</v>
      </c>
      <c r="BQ35" s="768">
        <f t="shared" si="104"/>
        <v>0.10759493670886067</v>
      </c>
      <c r="BR35" s="768">
        <f t="shared" si="104"/>
        <v>0.16267942583732053</v>
      </c>
      <c r="BS35" s="768">
        <f t="shared" si="104"/>
        <v>0.18333333333333335</v>
      </c>
      <c r="BT35" s="768">
        <f t="shared" si="104"/>
        <v>0.2023346303501945</v>
      </c>
      <c r="BU35" s="1006">
        <f t="shared" si="104"/>
        <v>0.16915422885572129</v>
      </c>
      <c r="BV35" s="768">
        <f t="shared" si="104"/>
        <v>0.29142857142857137</v>
      </c>
      <c r="BW35" s="768">
        <f t="shared" si="104"/>
        <v>0.14814814814814814</v>
      </c>
      <c r="BX35" s="768">
        <f t="shared" si="104"/>
        <v>0.15023474178403751</v>
      </c>
      <c r="BY35" s="768">
        <f t="shared" si="104"/>
        <v>-0.22977346278317157</v>
      </c>
      <c r="BZ35" s="1006">
        <f t="shared" si="104"/>
        <v>5.1063829787234116E-2</v>
      </c>
      <c r="CA35" s="768">
        <f t="shared" si="104"/>
        <v>0.12389380530973448</v>
      </c>
      <c r="CB35" s="768">
        <f t="shared" si="104"/>
        <v>0.13261648745519716</v>
      </c>
      <c r="CC35" s="768">
        <f t="shared" si="104"/>
        <v>0.21632653061224483</v>
      </c>
      <c r="CD35" s="1693">
        <f t="shared" si="104"/>
        <v>0.2226890756302522</v>
      </c>
      <c r="CE35" s="1006">
        <f t="shared" si="104"/>
        <v>0.17307692307692313</v>
      </c>
      <c r="CF35" s="768">
        <f t="shared" si="104"/>
        <v>0.30708661417322825</v>
      </c>
      <c r="CG35" s="768">
        <f t="shared" ref="CG35:CO35" si="105">CG33/CB33-1</f>
        <v>0.16772151898734178</v>
      </c>
      <c r="CH35" s="768">
        <f t="shared" si="105"/>
        <v>0.13758389261744974</v>
      </c>
      <c r="CI35" s="1693">
        <f t="shared" si="105"/>
        <v>6.5292096219931262E-2</v>
      </c>
      <c r="CJ35" s="1006">
        <f t="shared" si="105"/>
        <v>0.16479723899913723</v>
      </c>
      <c r="CK35" s="768">
        <f t="shared" si="105"/>
        <v>0.10542168674698793</v>
      </c>
      <c r="CL35" s="768">
        <f t="shared" si="105"/>
        <v>5.4200542005420127E-2</v>
      </c>
      <c r="CM35" s="768">
        <f t="shared" si="105"/>
        <v>0.11504424778761058</v>
      </c>
      <c r="CN35" s="1693">
        <f t="shared" si="105"/>
        <v>0.8612903225806452</v>
      </c>
      <c r="CO35" s="1006">
        <f t="shared" si="105"/>
        <v>0.26740740740740732</v>
      </c>
      <c r="CP35" s="768">
        <f t="shared" ref="CP35:CY35" si="106">CP33/CK33-1</f>
        <v>0.60217983651226148</v>
      </c>
      <c r="CQ35" s="768">
        <f t="shared" si="106"/>
        <v>0.6478149100257069</v>
      </c>
      <c r="CR35" s="768">
        <f t="shared" si="106"/>
        <v>0.67195767195767186</v>
      </c>
      <c r="CS35" s="768">
        <f t="shared" si="106"/>
        <v>9.0121317157712211E-2</v>
      </c>
      <c r="CT35" s="1006">
        <f t="shared" si="106"/>
        <v>0.45528930450029215</v>
      </c>
      <c r="CU35" s="768">
        <f t="shared" ca="1" si="106"/>
        <v>3.6221585001849466E-2</v>
      </c>
      <c r="CV35" s="768">
        <f t="shared" ca="1" si="106"/>
        <v>8.8796597058748761E-2</v>
      </c>
      <c r="CW35" s="768">
        <f t="shared" ca="1" si="106"/>
        <v>8.7947042773830697E-2</v>
      </c>
      <c r="CX35" s="768">
        <f t="shared" ca="1" si="106"/>
        <v>0.13283353733053205</v>
      </c>
      <c r="CY35" s="1006">
        <f t="shared" ca="1" si="106"/>
        <v>8.7289854100284447E-2</v>
      </c>
      <c r="CZ35" s="1693">
        <f ca="1">CZ33/CY33-1</f>
        <v>0.1417445570923479</v>
      </c>
      <c r="DA35" s="1006">
        <f ca="1">DA33/CZ33-1</f>
        <v>-1.2693511712909555E-2</v>
      </c>
      <c r="DB35" s="544"/>
      <c r="DD35" s="1737" t="s">
        <v>691</v>
      </c>
      <c r="DE35" s="1006">
        <f>M35</f>
        <v>0</v>
      </c>
      <c r="DF35" s="1006">
        <f>R35</f>
        <v>0</v>
      </c>
      <c r="DG35" s="1006">
        <f>W35</f>
        <v>0</v>
      </c>
      <c r="DH35" s="1006">
        <f>AB35</f>
        <v>0</v>
      </c>
      <c r="DI35" s="1006">
        <f>AG35</f>
        <v>0.19542619542619533</v>
      </c>
      <c r="DJ35" s="1006">
        <f>AL35</f>
        <v>0.42956521739130427</v>
      </c>
      <c r="DK35" s="1006">
        <f>AQ35</f>
        <v>0.32238442822384439</v>
      </c>
      <c r="DL35" s="1006">
        <f>AV35</f>
        <v>0.125114995400184</v>
      </c>
      <c r="DM35" s="1006">
        <f>BA35</f>
        <v>-0.35813573180703184</v>
      </c>
      <c r="DN35" s="1006">
        <f>BF35</f>
        <v>-1.2980891719745222</v>
      </c>
      <c r="DO35" s="1006">
        <f>BK35</f>
        <v>-3.9358974358974357</v>
      </c>
      <c r="DP35" s="1006">
        <f>BP35</f>
        <v>0.17030567685589526</v>
      </c>
      <c r="DQ35" s="1006">
        <f>BU35</f>
        <v>0.16915422885572129</v>
      </c>
      <c r="DR35" s="1006">
        <f>BZ35</f>
        <v>5.1063829787234116E-2</v>
      </c>
      <c r="DS35" s="1006">
        <f>CE35</f>
        <v>0.17307692307692313</v>
      </c>
      <c r="DT35" s="1006">
        <f>CJ35</f>
        <v>0.16479723899913723</v>
      </c>
      <c r="DU35" s="1006">
        <f>CO35</f>
        <v>0.26740740740740732</v>
      </c>
      <c r="DV35" s="1006">
        <f>CT35</f>
        <v>0.45528930450029215</v>
      </c>
      <c r="DW35" s="1006">
        <f t="shared" ca="1" si="100"/>
        <v>8.7289854100284447E-2</v>
      </c>
      <c r="DX35" s="1006">
        <f t="shared" ca="1" si="100"/>
        <v>0.1417445570923479</v>
      </c>
      <c r="DY35" s="1006">
        <f t="shared" ca="1" si="100"/>
        <v>-1.2693511712909555E-2</v>
      </c>
      <c r="EK35"/>
      <c r="EL35"/>
    </row>
    <row r="36" spans="1:148" s="929" customFormat="1" hidden="1" outlineLevel="1" x14ac:dyDescent="0.2">
      <c r="A36" s="2051" t="s">
        <v>1782</v>
      </c>
      <c r="B36" s="1698"/>
      <c r="C36" s="1698"/>
      <c r="D36" s="1698"/>
      <c r="E36" s="1698"/>
      <c r="F36" s="1698"/>
      <c r="G36" s="1698"/>
      <c r="H36" s="1698"/>
      <c r="I36" s="1698" t="s">
        <v>673</v>
      </c>
      <c r="J36" s="1698" t="s">
        <v>673</v>
      </c>
      <c r="K36" s="1698" t="s">
        <v>673</v>
      </c>
      <c r="L36" s="1698" t="s">
        <v>673</v>
      </c>
      <c r="M36" s="2421" t="s">
        <v>673</v>
      </c>
      <c r="N36" s="1698" t="s">
        <v>673</v>
      </c>
      <c r="O36" s="1698" t="s">
        <v>673</v>
      </c>
      <c r="P36" s="1698" t="s">
        <v>673</v>
      </c>
      <c r="Q36" s="1698" t="s">
        <v>673</v>
      </c>
      <c r="R36" s="2421" t="s">
        <v>673</v>
      </c>
      <c r="S36" s="1698" t="s">
        <v>673</v>
      </c>
      <c r="T36" s="1698" t="s">
        <v>673</v>
      </c>
      <c r="U36" s="1698" t="s">
        <v>673</v>
      </c>
      <c r="V36" s="1698" t="s">
        <v>673</v>
      </c>
      <c r="W36" s="2421" t="s">
        <v>673</v>
      </c>
      <c r="X36" s="1698" t="s">
        <v>673</v>
      </c>
      <c r="Y36" s="1698" t="s">
        <v>673</v>
      </c>
      <c r="Z36" s="1698" t="s">
        <v>673</v>
      </c>
      <c r="AA36" s="1698" t="s">
        <v>1001</v>
      </c>
      <c r="AB36" s="2421" t="s">
        <v>673</v>
      </c>
      <c r="AC36" s="1698" t="s">
        <v>673</v>
      </c>
      <c r="AD36" s="1698" t="s">
        <v>994</v>
      </c>
      <c r="AE36" s="1698" t="s">
        <v>993</v>
      </c>
      <c r="AF36" s="1698" t="s">
        <v>673</v>
      </c>
      <c r="AG36" s="2421" t="s">
        <v>996</v>
      </c>
      <c r="AH36" s="1698" t="s">
        <v>673</v>
      </c>
      <c r="AI36" s="1698" t="s">
        <v>943</v>
      </c>
      <c r="AJ36" s="1698" t="s">
        <v>1108</v>
      </c>
      <c r="AK36" s="1698" t="s">
        <v>1103</v>
      </c>
      <c r="AL36" s="2421" t="s">
        <v>1104</v>
      </c>
      <c r="AM36" s="1698" t="s">
        <v>1099</v>
      </c>
      <c r="AN36" s="1698" t="s">
        <v>1096</v>
      </c>
      <c r="AO36" s="1698" t="s">
        <v>1093</v>
      </c>
      <c r="AP36" s="1698" t="s">
        <v>1089</v>
      </c>
      <c r="AQ36" s="2421" t="s">
        <v>1090</v>
      </c>
      <c r="AR36" s="1698" t="s">
        <v>1217</v>
      </c>
      <c r="AS36" s="1698" t="s">
        <v>1214</v>
      </c>
      <c r="AT36" s="1698" t="s">
        <v>1211</v>
      </c>
      <c r="AU36" s="1698" t="s">
        <v>1065</v>
      </c>
      <c r="AV36" s="2421" t="s">
        <v>1005</v>
      </c>
      <c r="AW36" s="1698" t="s">
        <v>1062</v>
      </c>
      <c r="AX36" s="1698" t="s">
        <v>1059</v>
      </c>
      <c r="AY36" s="1698" t="s">
        <v>963</v>
      </c>
      <c r="AZ36" s="1698" t="s">
        <v>945</v>
      </c>
      <c r="BA36" s="2421" t="s">
        <v>946</v>
      </c>
      <c r="BB36" s="1698" t="s">
        <v>673</v>
      </c>
      <c r="BC36" s="1698" t="s">
        <v>673</v>
      </c>
      <c r="BD36" s="1698" t="s">
        <v>673</v>
      </c>
      <c r="BE36" s="1698" t="s">
        <v>673</v>
      </c>
      <c r="BF36" s="2421" t="s">
        <v>937</v>
      </c>
      <c r="BG36" s="1698" t="s">
        <v>673</v>
      </c>
      <c r="BH36" s="1698" t="s">
        <v>2009</v>
      </c>
      <c r="BI36" s="1698" t="s">
        <v>2008</v>
      </c>
      <c r="BJ36" s="1698" t="s">
        <v>2007</v>
      </c>
      <c r="BK36" s="2421" t="s">
        <v>108</v>
      </c>
      <c r="BL36" s="1698" t="s">
        <v>107</v>
      </c>
      <c r="BM36" s="1698" t="s">
        <v>106</v>
      </c>
      <c r="BN36" s="1698" t="s">
        <v>105</v>
      </c>
      <c r="BO36" s="1698" t="s">
        <v>104</v>
      </c>
      <c r="BP36" s="2421" t="s">
        <v>103</v>
      </c>
      <c r="BQ36" s="1698" t="s">
        <v>102</v>
      </c>
      <c r="BR36" s="1698" t="s">
        <v>101</v>
      </c>
      <c r="BS36" s="1698" t="s">
        <v>100</v>
      </c>
      <c r="BT36" s="1698" t="s">
        <v>110</v>
      </c>
      <c r="BU36" s="2421" t="s">
        <v>111</v>
      </c>
      <c r="BV36" s="1698" t="s">
        <v>1759</v>
      </c>
      <c r="BW36" s="1698" t="s">
        <v>1911</v>
      </c>
      <c r="BX36" s="1698" t="s">
        <v>1993</v>
      </c>
      <c r="BY36" s="1698" t="s">
        <v>1401</v>
      </c>
      <c r="BZ36" s="2057" t="s">
        <v>1402</v>
      </c>
      <c r="CA36" s="1981" t="s">
        <v>1625</v>
      </c>
      <c r="CB36" s="2422" t="s">
        <v>394</v>
      </c>
      <c r="CC36" s="2422" t="s">
        <v>2279</v>
      </c>
      <c r="CD36" s="2656" t="s">
        <v>2279</v>
      </c>
      <c r="CE36" s="2421" t="s">
        <v>2280</v>
      </c>
      <c r="CF36" s="2422" t="s">
        <v>465</v>
      </c>
      <c r="CG36" s="2422" t="s">
        <v>2303</v>
      </c>
      <c r="CH36" s="1865"/>
      <c r="CI36" s="2422" t="s">
        <v>2334</v>
      </c>
      <c r="CJ36" s="2421" t="s">
        <v>2333</v>
      </c>
      <c r="CK36" s="2422"/>
      <c r="CL36" s="2422"/>
      <c r="CM36" s="1865"/>
      <c r="CN36" s="1865"/>
      <c r="CO36" s="2421"/>
      <c r="CP36" s="1865"/>
      <c r="CQ36" s="1865"/>
      <c r="CR36" s="1865"/>
      <c r="CS36" s="1865"/>
      <c r="CT36" s="2421"/>
      <c r="CU36" s="1865"/>
      <c r="CV36" s="1865"/>
      <c r="CW36" s="1865"/>
      <c r="CX36" s="1865"/>
      <c r="CY36" s="1919"/>
      <c r="CZ36" s="3087"/>
      <c r="DA36" s="1919"/>
      <c r="DB36"/>
      <c r="DC36"/>
      <c r="DD36" s="2051" t="s">
        <v>1782</v>
      </c>
      <c r="DE36" s="1919" t="str">
        <f>M36</f>
        <v>ND</v>
      </c>
      <c r="DF36" s="1919" t="str">
        <f>R36</f>
        <v>ND</v>
      </c>
      <c r="DG36" s="1919" t="str">
        <f>W36</f>
        <v>ND</v>
      </c>
      <c r="DH36" s="1919" t="str">
        <f>AB36</f>
        <v>ND</v>
      </c>
      <c r="DI36" s="1919" t="str">
        <f>AG36</f>
        <v>$600m-$615m</v>
      </c>
      <c r="DJ36" s="1919" t="str">
        <f>AL36</f>
        <v>$793m-803m</v>
      </c>
      <c r="DK36" s="1919" t="str">
        <f>AQ36</f>
        <v>$1.059b-1.084b</v>
      </c>
      <c r="DL36" s="1919" t="str">
        <f>AV36</f>
        <v>$1.165b-1.225b</v>
      </c>
      <c r="DM36" s="1919" t="str">
        <f>BA36</f>
        <v>$996m-1.031b</v>
      </c>
      <c r="DN36" s="1919" t="str">
        <f>BF36</f>
        <v>$1.05b-$1.1b</v>
      </c>
      <c r="DO36" s="1919" t="str">
        <f>BK36</f>
        <v>$803-823</v>
      </c>
      <c r="DP36" s="1919" t="str">
        <f>BP36</f>
        <v>$906-931</v>
      </c>
      <c r="DQ36" s="1919" t="str">
        <f>BU36</f>
        <v>$921-941</v>
      </c>
      <c r="DR36" s="1919" t="str">
        <f>BZ36</f>
        <v>$985-1000</v>
      </c>
      <c r="DS36" s="1919" t="str">
        <f>CE36</f>
        <v>$1,148-$1,163</v>
      </c>
      <c r="DT36" s="1919" t="str">
        <f>CJ36</f>
        <v>$1,360-$1,375</v>
      </c>
      <c r="DU36" s="1919">
        <f>CO36</f>
        <v>0</v>
      </c>
      <c r="DV36" s="1919">
        <f>CT36</f>
        <v>0</v>
      </c>
      <c r="DW36" s="1919">
        <f t="shared" si="100"/>
        <v>0</v>
      </c>
      <c r="DX36" s="1919">
        <f t="shared" si="100"/>
        <v>0</v>
      </c>
      <c r="DY36" s="1919">
        <f t="shared" si="100"/>
        <v>0</v>
      </c>
      <c r="DZ36" s="1916"/>
      <c r="EA36"/>
      <c r="EB36"/>
      <c r="EC36"/>
      <c r="ED36"/>
      <c r="EE36"/>
      <c r="EF36"/>
      <c r="EJ36"/>
      <c r="EK36"/>
      <c r="EL36"/>
      <c r="ER36" s="732"/>
    </row>
    <row r="37" spans="1:148" s="923" customFormat="1" ht="12.75" customHeight="1" collapsed="1" x14ac:dyDescent="0.2">
      <c r="A37" s="1560"/>
      <c r="B37" s="882"/>
      <c r="C37" s="882"/>
      <c r="D37" s="882"/>
      <c r="E37" s="882"/>
      <c r="F37" s="882"/>
      <c r="G37" s="882"/>
      <c r="H37" s="882"/>
      <c r="I37" s="882"/>
      <c r="J37" s="882"/>
      <c r="K37" s="882"/>
      <c r="L37" s="882"/>
      <c r="M37" s="2794"/>
      <c r="N37" s="882"/>
      <c r="O37" s="882"/>
      <c r="P37" s="882"/>
      <c r="Q37" s="882"/>
      <c r="R37" s="2794"/>
      <c r="S37" s="882"/>
      <c r="T37" s="882"/>
      <c r="U37" s="882"/>
      <c r="V37" s="882"/>
      <c r="W37" s="2794"/>
      <c r="X37" s="882"/>
      <c r="Y37" s="882"/>
      <c r="Z37" s="882"/>
      <c r="AA37" s="882"/>
      <c r="AB37" s="2794"/>
      <c r="AC37" s="882"/>
      <c r="AD37" s="882"/>
      <c r="AE37" s="882"/>
      <c r="AF37" s="882"/>
      <c r="AG37" s="2794"/>
      <c r="AH37" s="882"/>
      <c r="AI37" s="882"/>
      <c r="AJ37" s="882"/>
      <c r="AK37" s="882"/>
      <c r="AL37" s="2794"/>
      <c r="AM37" s="882"/>
      <c r="AN37" s="882"/>
      <c r="AO37" s="882"/>
      <c r="AP37" s="882"/>
      <c r="AQ37" s="2794"/>
      <c r="AR37" s="882"/>
      <c r="AS37" s="882"/>
      <c r="AT37" s="882"/>
      <c r="AU37" s="882"/>
      <c r="AV37" s="2794"/>
      <c r="AW37" s="882"/>
      <c r="AX37" s="882"/>
      <c r="AY37" s="882"/>
      <c r="AZ37" s="882"/>
      <c r="BA37" s="2794"/>
      <c r="BB37" s="882"/>
      <c r="BC37" s="882"/>
      <c r="BD37" s="882"/>
      <c r="BE37" s="882"/>
      <c r="BF37" s="2794"/>
      <c r="BG37" s="882"/>
      <c r="BH37" s="882"/>
      <c r="BI37" s="882"/>
      <c r="BJ37" s="882"/>
      <c r="BK37" s="2794"/>
      <c r="BL37" s="882"/>
      <c r="BM37" s="882"/>
      <c r="BN37" s="882"/>
      <c r="BO37" s="882"/>
      <c r="BP37" s="2794"/>
      <c r="BQ37" s="882"/>
      <c r="BR37" s="882"/>
      <c r="BS37" s="882"/>
      <c r="BT37" s="882"/>
      <c r="BU37" s="2794"/>
      <c r="BV37" s="882"/>
      <c r="BW37" s="882"/>
      <c r="BX37" s="1381"/>
      <c r="BY37" s="1381"/>
      <c r="BZ37" s="972"/>
      <c r="CA37" s="972"/>
      <c r="CB37" s="882"/>
      <c r="CC37" s="882"/>
      <c r="CD37" s="882"/>
      <c r="CE37" s="967"/>
      <c r="CF37" s="882"/>
      <c r="CG37" s="882"/>
      <c r="CH37" s="882"/>
      <c r="CI37" s="882"/>
      <c r="CJ37" s="2794"/>
      <c r="CK37" s="882"/>
      <c r="CL37" s="882"/>
      <c r="CM37" s="882"/>
      <c r="CN37" s="882"/>
      <c r="CO37" s="967"/>
      <c r="CP37" s="882"/>
      <c r="CQ37" s="3454"/>
      <c r="CR37" s="3454"/>
      <c r="CS37" s="882"/>
      <c r="CT37" s="967"/>
      <c r="CU37" s="882"/>
      <c r="CV37" s="3454"/>
      <c r="CW37" s="882"/>
      <c r="CX37" s="882"/>
      <c r="CY37" s="967"/>
      <c r="CZ37" s="2299"/>
      <c r="DA37" s="967"/>
      <c r="DB37"/>
      <c r="DC37"/>
      <c r="DD37" s="1560"/>
      <c r="DE37" s="967"/>
      <c r="DF37" s="967"/>
      <c r="DG37" s="967"/>
      <c r="DH37" s="967"/>
      <c r="DI37" s="967"/>
      <c r="DJ37" s="967"/>
      <c r="DK37" s="967"/>
      <c r="DL37" s="967"/>
      <c r="DM37" s="967"/>
      <c r="DN37" s="967"/>
      <c r="DO37" s="967"/>
      <c r="DP37" s="967"/>
      <c r="DQ37" s="967"/>
      <c r="DR37" s="967"/>
      <c r="DS37" s="967"/>
      <c r="DT37" s="967"/>
      <c r="DU37" s="967"/>
      <c r="DV37" s="967"/>
      <c r="DW37" s="967"/>
      <c r="DX37" s="967"/>
      <c r="DY37" s="967"/>
      <c r="EA37"/>
      <c r="EB37"/>
      <c r="EC37"/>
      <c r="ED37"/>
      <c r="EE37"/>
      <c r="EF37"/>
      <c r="EJ37"/>
      <c r="EK37"/>
      <c r="EL37"/>
      <c r="ER37" s="212"/>
    </row>
    <row r="38" spans="1:148" ht="12.75" customHeight="1" x14ac:dyDescent="0.2">
      <c r="A38" s="1436" t="s">
        <v>686</v>
      </c>
      <c r="B38" s="845"/>
      <c r="C38" s="845"/>
      <c r="D38" s="845"/>
      <c r="E38" s="845"/>
      <c r="F38" s="845"/>
      <c r="G38" s="845"/>
      <c r="H38" s="845"/>
      <c r="I38" s="845"/>
      <c r="J38" s="845"/>
      <c r="K38" s="845"/>
      <c r="L38" s="845"/>
      <c r="M38" s="2293">
        <f>SUM(I38:L38)</f>
        <v>0</v>
      </c>
      <c r="N38" s="845"/>
      <c r="O38" s="845"/>
      <c r="P38" s="845"/>
      <c r="Q38" s="845"/>
      <c r="R38" s="2293">
        <f>SUM(N38:Q38)</f>
        <v>0</v>
      </c>
      <c r="S38" s="845">
        <v>15</v>
      </c>
      <c r="T38" s="845">
        <v>20</v>
      </c>
      <c r="U38" s="845">
        <v>28</v>
      </c>
      <c r="V38" s="845">
        <f>69-44</f>
        <v>25</v>
      </c>
      <c r="W38" s="2293">
        <f>SUM(S38:V38)</f>
        <v>88</v>
      </c>
      <c r="X38" s="845">
        <v>1</v>
      </c>
      <c r="Y38" s="845">
        <v>38</v>
      </c>
      <c r="Z38" s="845">
        <v>15</v>
      </c>
      <c r="AA38" s="845">
        <v>52</v>
      </c>
      <c r="AB38" s="2293">
        <f>SUM(X38:AA38)</f>
        <v>106</v>
      </c>
      <c r="AC38" s="845">
        <v>4</v>
      </c>
      <c r="AD38" s="845">
        <v>38</v>
      </c>
      <c r="AE38" s="845">
        <v>34</v>
      </c>
      <c r="AF38" s="845">
        <v>60</v>
      </c>
      <c r="AG38" s="2293">
        <v>136</v>
      </c>
      <c r="AH38" s="845">
        <v>4</v>
      </c>
      <c r="AI38" s="845">
        <v>55</v>
      </c>
      <c r="AJ38" s="845">
        <v>18</v>
      </c>
      <c r="AK38" s="845">
        <v>72</v>
      </c>
      <c r="AL38" s="2293">
        <v>149</v>
      </c>
      <c r="AM38" s="845">
        <v>38</v>
      </c>
      <c r="AN38" s="845">
        <v>5</v>
      </c>
      <c r="AO38" s="845">
        <v>10</v>
      </c>
      <c r="AP38" s="845">
        <v>21</v>
      </c>
      <c r="AQ38" s="2293">
        <f>SUM(AM38:AP38)</f>
        <v>74</v>
      </c>
      <c r="AR38" s="845">
        <v>35</v>
      </c>
      <c r="AS38" s="845">
        <v>12</v>
      </c>
      <c r="AT38" s="845">
        <v>30</v>
      </c>
      <c r="AU38" s="845">
        <v>20</v>
      </c>
      <c r="AV38" s="2293">
        <f>SUM(AR38:AU38)</f>
        <v>97</v>
      </c>
      <c r="AW38" s="845">
        <v>3</v>
      </c>
      <c r="AX38" s="845">
        <v>9</v>
      </c>
      <c r="AY38" s="845">
        <v>7</v>
      </c>
      <c r="AZ38" s="845">
        <v>19</v>
      </c>
      <c r="BA38" s="2293">
        <f>SUM(AW38:AZ38)</f>
        <v>38</v>
      </c>
      <c r="BB38" s="845">
        <v>25</v>
      </c>
      <c r="BC38" s="845">
        <v>3</v>
      </c>
      <c r="BD38" s="845">
        <f>-1</f>
        <v>-1</v>
      </c>
      <c r="BE38" s="845">
        <v>4</v>
      </c>
      <c r="BF38" s="2293">
        <f>SUM(BB38:BE38)</f>
        <v>31</v>
      </c>
      <c r="BG38" s="845">
        <v>1</v>
      </c>
      <c r="BH38" s="845">
        <v>3</v>
      </c>
      <c r="BI38" s="845">
        <v>3</v>
      </c>
      <c r="BJ38" s="845">
        <v>8</v>
      </c>
      <c r="BK38" s="2293">
        <f>SUM(BG38:BJ38)</f>
        <v>15</v>
      </c>
      <c r="BL38" s="845">
        <v>2</v>
      </c>
      <c r="BM38" s="845">
        <v>2</v>
      </c>
      <c r="BN38" s="845">
        <v>3</v>
      </c>
      <c r="BO38" s="845">
        <v>1</v>
      </c>
      <c r="BP38" s="2293">
        <f>SUM(BL38:BO38)</f>
        <v>8</v>
      </c>
      <c r="BQ38" s="845">
        <v>2</v>
      </c>
      <c r="BR38" s="845">
        <v>5</v>
      </c>
      <c r="BS38" s="845">
        <v>36</v>
      </c>
      <c r="BT38" s="845">
        <v>-1</v>
      </c>
      <c r="BU38" s="2293">
        <f>SUM(BQ38:BT38)</f>
        <v>42</v>
      </c>
      <c r="BV38" s="845">
        <v>3</v>
      </c>
      <c r="BW38" s="845">
        <v>10</v>
      </c>
      <c r="BX38" s="845">
        <v>1</v>
      </c>
      <c r="BY38" s="845">
        <v>-3</v>
      </c>
      <c r="BZ38" s="661">
        <f>SUM(BV38:BY38)</f>
        <v>11</v>
      </c>
      <c r="CA38" s="845">
        <v>0</v>
      </c>
      <c r="CB38" s="845">
        <v>3</v>
      </c>
      <c r="CC38" s="845">
        <v>1</v>
      </c>
      <c r="CD38" s="845">
        <v>4</v>
      </c>
      <c r="CE38" s="661">
        <f>SUM(CA38:CD38)</f>
        <v>8</v>
      </c>
      <c r="CF38" s="845">
        <v>0</v>
      </c>
      <c r="CG38" s="845">
        <v>20</v>
      </c>
      <c r="CH38" s="845">
        <v>0</v>
      </c>
      <c r="CI38" s="845">
        <v>7</v>
      </c>
      <c r="CJ38" s="2293">
        <f>SUM(CF38:CI38)</f>
        <v>27</v>
      </c>
      <c r="CK38" s="845">
        <v>0</v>
      </c>
      <c r="CL38" s="845">
        <v>0</v>
      </c>
      <c r="CM38" s="845">
        <v>4</v>
      </c>
      <c r="CN38" s="845">
        <v>2</v>
      </c>
      <c r="CO38" s="2293">
        <f>SUM(CK38:CN38)</f>
        <v>6</v>
      </c>
      <c r="CP38" s="2983">
        <v>0</v>
      </c>
      <c r="CQ38" s="2880">
        <v>25</v>
      </c>
      <c r="CR38" s="2880">
        <v>6</v>
      </c>
      <c r="CS38" s="2880">
        <v>657</v>
      </c>
      <c r="CT38" s="2293">
        <f>SUM(CP38:CS38)</f>
        <v>688</v>
      </c>
      <c r="CU38" s="3807">
        <v>45</v>
      </c>
      <c r="CV38" s="2434">
        <v>0</v>
      </c>
      <c r="CW38" s="2434">
        <v>0</v>
      </c>
      <c r="CX38" s="2434">
        <v>0</v>
      </c>
      <c r="CY38" s="2290">
        <f>SUM(CU38:CX38)</f>
        <v>45</v>
      </c>
      <c r="CZ38" s="2034">
        <v>5</v>
      </c>
      <c r="DA38" s="1963">
        <f>+CZ38</f>
        <v>5</v>
      </c>
      <c r="DB38" s="537"/>
      <c r="DC38" s="537"/>
      <c r="DD38" s="2288" t="s">
        <v>686</v>
      </c>
      <c r="DE38" s="2293">
        <f t="shared" ref="DE38:DE54" si="107">M38</f>
        <v>0</v>
      </c>
      <c r="DF38" s="2293">
        <f t="shared" ref="DF38:DF54" si="108">R38</f>
        <v>0</v>
      </c>
      <c r="DG38" s="2293">
        <f t="shared" ref="DG38:DG54" si="109">W38</f>
        <v>88</v>
      </c>
      <c r="DH38" s="2293">
        <f t="shared" ref="DH38:DH54" si="110">AB38</f>
        <v>106</v>
      </c>
      <c r="DI38" s="2293">
        <f t="shared" ref="DI38:DI54" si="111">AG38</f>
        <v>136</v>
      </c>
      <c r="DJ38" s="2293">
        <f t="shared" ref="DJ38:DJ54" si="112">AL38</f>
        <v>149</v>
      </c>
      <c r="DK38" s="2293">
        <f t="shared" ref="DK38:DK54" si="113">AQ38</f>
        <v>74</v>
      </c>
      <c r="DL38" s="2293">
        <f t="shared" ref="DL38:DL54" si="114">AV38</f>
        <v>97</v>
      </c>
      <c r="DM38" s="2293">
        <f t="shared" ref="DM38:DM54" si="115">BA38</f>
        <v>38</v>
      </c>
      <c r="DN38" s="2293">
        <f t="shared" ref="DN38:DN54" si="116">BF38</f>
        <v>31</v>
      </c>
      <c r="DO38" s="2293">
        <f t="shared" ref="DO38:DO54" si="117">BK38</f>
        <v>15</v>
      </c>
      <c r="DP38" s="2293">
        <f t="shared" ref="DP38:DP54" si="118">BP38</f>
        <v>8</v>
      </c>
      <c r="DQ38" s="2293">
        <f t="shared" ref="DQ38:DQ54" si="119">BU38</f>
        <v>42</v>
      </c>
      <c r="DR38" s="2293">
        <f t="shared" ref="DR38:DR54" si="120">BZ38</f>
        <v>11</v>
      </c>
      <c r="DS38" s="2293">
        <f t="shared" ref="DS38:DS54" si="121">CE38</f>
        <v>8</v>
      </c>
      <c r="DT38" s="2293">
        <f t="shared" ref="DT38:DT54" si="122">CJ38</f>
        <v>27</v>
      </c>
      <c r="DU38" s="2293">
        <f t="shared" ref="DU38:DU54" si="123">CO38</f>
        <v>6</v>
      </c>
      <c r="DV38" s="2293">
        <f t="shared" ref="DV38:DV54" si="124">CT38</f>
        <v>688</v>
      </c>
      <c r="DW38" s="2293">
        <f t="shared" ref="DW38:DW54" si="125">CY38</f>
        <v>45</v>
      </c>
      <c r="DX38" s="2293">
        <f t="shared" ref="DX38:DX54" si="126">CZ38</f>
        <v>5</v>
      </c>
      <c r="DY38" s="2293">
        <f t="shared" ref="DY38:DY54" si="127">DA38</f>
        <v>5</v>
      </c>
      <c r="DZ38" s="855"/>
      <c r="EK38"/>
      <c r="EL38"/>
      <c r="EM38" s="1703"/>
    </row>
    <row r="39" spans="1:148" s="923" customFormat="1" ht="12.75" customHeight="1" x14ac:dyDescent="0.2">
      <c r="A39" s="504" t="s">
        <v>2249</v>
      </c>
      <c r="B39" s="223"/>
      <c r="C39" s="223"/>
      <c r="D39" s="223"/>
      <c r="E39" s="223"/>
      <c r="F39" s="223"/>
      <c r="G39" s="223"/>
      <c r="H39" s="223"/>
      <c r="I39" s="223">
        <v>-23</v>
      </c>
      <c r="J39" s="223">
        <v>-27</v>
      </c>
      <c r="K39" s="223">
        <v>-22</v>
      </c>
      <c r="L39" s="223">
        <f>-100-K39-J39-I39</f>
        <v>-28</v>
      </c>
      <c r="M39" s="2290">
        <f>SUM(I39:L39)</f>
        <v>-100</v>
      </c>
      <c r="N39" s="223">
        <v>-22</v>
      </c>
      <c r="O39" s="223">
        <v>-27</v>
      </c>
      <c r="P39" s="223">
        <v>-26</v>
      </c>
      <c r="Q39" s="223">
        <f>-109-P39-O39-N39</f>
        <v>-34</v>
      </c>
      <c r="R39" s="2290">
        <f>SUM(N39:Q39)</f>
        <v>-109</v>
      </c>
      <c r="S39" s="223">
        <v>-19</v>
      </c>
      <c r="T39" s="223">
        <v>-21</v>
      </c>
      <c r="U39" s="223">
        <v>-19</v>
      </c>
      <c r="V39" s="223">
        <v>-27</v>
      </c>
      <c r="W39" s="2290">
        <f>SUM(S39:V39)</f>
        <v>-86</v>
      </c>
      <c r="X39" s="223">
        <v>-26</v>
      </c>
      <c r="Y39" s="223">
        <v>-25</v>
      </c>
      <c r="Z39" s="223">
        <v>-26</v>
      </c>
      <c r="AA39" s="223">
        <v>-33</v>
      </c>
      <c r="AB39" s="2290">
        <f>SUM(X39:AA39)</f>
        <v>-110</v>
      </c>
      <c r="AC39" s="223">
        <v>-22</v>
      </c>
      <c r="AD39" s="223">
        <v>-24</v>
      </c>
      <c r="AE39" s="223">
        <v>-23</v>
      </c>
      <c r="AF39" s="223">
        <v>-30</v>
      </c>
      <c r="AG39" s="2290">
        <f>SUM(AC39:AF39)</f>
        <v>-99</v>
      </c>
      <c r="AH39" s="223">
        <v>-24</v>
      </c>
      <c r="AI39" s="223">
        <v>-21</v>
      </c>
      <c r="AJ39" s="223">
        <v>-24</v>
      </c>
      <c r="AK39" s="223">
        <v>-37</v>
      </c>
      <c r="AL39" s="2290">
        <f>SUM(AH39:AK39)</f>
        <v>-106</v>
      </c>
      <c r="AM39" s="223">
        <v>-27</v>
      </c>
      <c r="AN39" s="223">
        <v>-30</v>
      </c>
      <c r="AO39" s="223">
        <v>-29</v>
      </c>
      <c r="AP39" s="223">
        <v>-38</v>
      </c>
      <c r="AQ39" s="2290">
        <f>SUM(AM39:AP39)</f>
        <v>-124</v>
      </c>
      <c r="AR39" s="223">
        <v>-33</v>
      </c>
      <c r="AS39" s="223">
        <v>-52</v>
      </c>
      <c r="AT39" s="223">
        <v>-42</v>
      </c>
      <c r="AU39" s="223">
        <v>-57</v>
      </c>
      <c r="AV39" s="2290">
        <f>SUM(AR39:AU39)</f>
        <v>-184</v>
      </c>
      <c r="AW39" s="223">
        <v>-42</v>
      </c>
      <c r="AX39" s="223">
        <v>-38</v>
      </c>
      <c r="AY39" s="223">
        <v>-33</v>
      </c>
      <c r="AZ39" s="223">
        <v>-50</v>
      </c>
      <c r="BA39" s="2290">
        <f>SUM(AW39:AZ39)</f>
        <v>-163</v>
      </c>
      <c r="BB39" s="223">
        <v>-29</v>
      </c>
      <c r="BC39" s="223">
        <v>-28</v>
      </c>
      <c r="BD39" s="223">
        <v>-27</v>
      </c>
      <c r="BE39" s="223">
        <v>-34</v>
      </c>
      <c r="BF39" s="2290">
        <f>SUM(BB39:BE39)</f>
        <v>-118</v>
      </c>
      <c r="BG39" s="223">
        <v>-34</v>
      </c>
      <c r="BH39" s="223">
        <v>-33</v>
      </c>
      <c r="BI39" s="223">
        <v>-31</v>
      </c>
      <c r="BJ39" s="223">
        <v>-39</v>
      </c>
      <c r="BK39" s="2290">
        <f>SUM(BG39:BJ39)</f>
        <v>-137</v>
      </c>
      <c r="BL39" s="223">
        <v>-32</v>
      </c>
      <c r="BM39" s="223">
        <v>-29</v>
      </c>
      <c r="BN39" s="223">
        <v>-32</v>
      </c>
      <c r="BO39" s="223">
        <v>-42</v>
      </c>
      <c r="BP39" s="2290">
        <f>SUM(BL39:BO39)</f>
        <v>-135</v>
      </c>
      <c r="BQ39" s="223">
        <v>-33</v>
      </c>
      <c r="BR39" s="223">
        <v>-34</v>
      </c>
      <c r="BS39" s="223">
        <v>-29</v>
      </c>
      <c r="BT39" s="223">
        <v>-41</v>
      </c>
      <c r="BU39" s="2290">
        <f>SUM(BQ39:BT39)</f>
        <v>-137</v>
      </c>
      <c r="BV39" s="223">
        <v>-31</v>
      </c>
      <c r="BW39" s="223">
        <v>-29</v>
      </c>
      <c r="BX39" s="223">
        <v>-28</v>
      </c>
      <c r="BY39" s="223">
        <v>-32</v>
      </c>
      <c r="BZ39" s="968">
        <f>SUM(BV39:BY39)</f>
        <v>-120</v>
      </c>
      <c r="CA39" s="223">
        <v>-30</v>
      </c>
      <c r="CB39" s="223">
        <v>-30</v>
      </c>
      <c r="CC39" s="223">
        <v>-29</v>
      </c>
      <c r="CD39" s="223">
        <v>-26</v>
      </c>
      <c r="CE39" s="968">
        <f>SUM(CA39:CD39)</f>
        <v>-115</v>
      </c>
      <c r="CF39" s="223">
        <v>-36</v>
      </c>
      <c r="CG39" s="223">
        <v>-42</v>
      </c>
      <c r="CH39" s="223">
        <v>-43</v>
      </c>
      <c r="CI39" s="2880">
        <v>-46</v>
      </c>
      <c r="CJ39" s="2290">
        <f>SUM(CF39:CI39)</f>
        <v>-167</v>
      </c>
      <c r="CK39" s="2880">
        <v>-47</v>
      </c>
      <c r="CL39" s="2880">
        <v>-57</v>
      </c>
      <c r="CM39" s="2880">
        <v>-45</v>
      </c>
      <c r="CN39" s="2880">
        <v>-75</v>
      </c>
      <c r="CO39" s="2290">
        <f>SUM(CK39:CN39)</f>
        <v>-224</v>
      </c>
      <c r="CP39" s="2880">
        <v>-70</v>
      </c>
      <c r="CQ39" s="2880">
        <v>-73</v>
      </c>
      <c r="CR39" s="2880">
        <v>-73</v>
      </c>
      <c r="CS39" s="2880">
        <v>-72</v>
      </c>
      <c r="CT39" s="2290">
        <f>SUM(CP39:CS39)</f>
        <v>-288</v>
      </c>
      <c r="CU39" s="2327">
        <f t="shared" ref="CU39:DA39" si="128">-CU927</f>
        <v>-78.548457008330431</v>
      </c>
      <c r="CV39" s="2327">
        <f t="shared" si="128"/>
        <v>-81.250624437716226</v>
      </c>
      <c r="CW39" s="2327">
        <f t="shared" si="128"/>
        <v>-84.333749108515562</v>
      </c>
      <c r="CX39" s="2327">
        <f t="shared" si="128"/>
        <v>-86.148543629063525</v>
      </c>
      <c r="CY39" s="968">
        <f>SUM(CU39:CX39)</f>
        <v>-330.28137418362576</v>
      </c>
      <c r="CZ39" s="1788">
        <f t="shared" si="128"/>
        <v>-360.40811934872193</v>
      </c>
      <c r="DA39" s="968">
        <f t="shared" si="128"/>
        <v>-377.43696967570474</v>
      </c>
      <c r="DB39"/>
      <c r="DC39"/>
      <c r="DD39" s="2285" t="s">
        <v>2249</v>
      </c>
      <c r="DE39" s="2290">
        <f t="shared" si="107"/>
        <v>-100</v>
      </c>
      <c r="DF39" s="2290">
        <f t="shared" si="108"/>
        <v>-109</v>
      </c>
      <c r="DG39" s="2290">
        <f t="shared" si="109"/>
        <v>-86</v>
      </c>
      <c r="DH39" s="2290">
        <f t="shared" si="110"/>
        <v>-110</v>
      </c>
      <c r="DI39" s="2290">
        <f t="shared" si="111"/>
        <v>-99</v>
      </c>
      <c r="DJ39" s="2290">
        <f t="shared" si="112"/>
        <v>-106</v>
      </c>
      <c r="DK39" s="2290">
        <f t="shared" si="113"/>
        <v>-124</v>
      </c>
      <c r="DL39" s="2290">
        <f t="shared" si="114"/>
        <v>-184</v>
      </c>
      <c r="DM39" s="2290">
        <f t="shared" si="115"/>
        <v>-163</v>
      </c>
      <c r="DN39" s="2290">
        <f t="shared" si="116"/>
        <v>-118</v>
      </c>
      <c r="DO39" s="2290">
        <f t="shared" si="117"/>
        <v>-137</v>
      </c>
      <c r="DP39" s="2290">
        <f t="shared" si="118"/>
        <v>-135</v>
      </c>
      <c r="DQ39" s="2290">
        <f t="shared" si="119"/>
        <v>-137</v>
      </c>
      <c r="DR39" s="2290">
        <f t="shared" si="120"/>
        <v>-120</v>
      </c>
      <c r="DS39" s="2290">
        <f t="shared" si="121"/>
        <v>-115</v>
      </c>
      <c r="DT39" s="2290">
        <f t="shared" si="122"/>
        <v>-167</v>
      </c>
      <c r="DU39" s="2290">
        <f t="shared" si="123"/>
        <v>-224</v>
      </c>
      <c r="DV39" s="2290">
        <f t="shared" si="124"/>
        <v>-288</v>
      </c>
      <c r="DW39" s="2290">
        <f t="shared" si="125"/>
        <v>-330.28137418362576</v>
      </c>
      <c r="DX39" s="2290">
        <f t="shared" si="126"/>
        <v>-360.40811934872193</v>
      </c>
      <c r="DY39" s="2290">
        <f t="shared" si="127"/>
        <v>-377.43696967570474</v>
      </c>
      <c r="EA39"/>
      <c r="EB39"/>
      <c r="EC39"/>
      <c r="ED39"/>
      <c r="EE39"/>
      <c r="EF39"/>
      <c r="EJ39"/>
      <c r="EK39"/>
      <c r="EL39"/>
      <c r="EM39" s="1703"/>
      <c r="ER39" s="212"/>
    </row>
    <row r="40" spans="1:148" s="923" customFormat="1" x14ac:dyDescent="0.2">
      <c r="A40" s="504" t="s">
        <v>2250</v>
      </c>
      <c r="B40" s="845"/>
      <c r="C40" s="845"/>
      <c r="D40" s="845"/>
      <c r="E40" s="845"/>
      <c r="F40" s="845"/>
      <c r="G40" s="845"/>
      <c r="H40" s="845"/>
      <c r="I40" s="845">
        <v>5</v>
      </c>
      <c r="J40" s="845">
        <v>5</v>
      </c>
      <c r="K40" s="845">
        <v>9</v>
      </c>
      <c r="L40" s="845">
        <f>55-K40-J40-I40</f>
        <v>36</v>
      </c>
      <c r="M40" s="661">
        <f>SUM(I40:L40)</f>
        <v>55</v>
      </c>
      <c r="N40" s="845">
        <v>16</v>
      </c>
      <c r="O40" s="845">
        <v>20</v>
      </c>
      <c r="P40" s="845">
        <v>23</v>
      </c>
      <c r="Q40" s="845">
        <f>-13+49</f>
        <v>36</v>
      </c>
      <c r="R40" s="661">
        <f>SUM(N40:Q40)</f>
        <v>95</v>
      </c>
      <c r="S40" s="845">
        <v>19</v>
      </c>
      <c r="T40" s="845">
        <f>28</f>
        <v>28</v>
      </c>
      <c r="U40" s="845">
        <f>28</f>
        <v>28</v>
      </c>
      <c r="V40" s="845">
        <v>47</v>
      </c>
      <c r="W40" s="661">
        <f>SUM(S40:V40)</f>
        <v>122</v>
      </c>
      <c r="X40" s="845">
        <v>20</v>
      </c>
      <c r="Y40" s="845">
        <v>27</v>
      </c>
      <c r="Z40" s="845">
        <v>31</v>
      </c>
      <c r="AA40" s="845">
        <v>51</v>
      </c>
      <c r="AB40" s="661">
        <f>SUM(X40:AA40)</f>
        <v>129</v>
      </c>
      <c r="AC40" s="845">
        <v>26</v>
      </c>
      <c r="AD40" s="845">
        <v>39</v>
      </c>
      <c r="AE40" s="845">
        <v>33</v>
      </c>
      <c r="AF40" s="845">
        <v>48</v>
      </c>
      <c r="AG40" s="661">
        <f>SUM(AC40:AF40)</f>
        <v>146</v>
      </c>
      <c r="AH40" s="845">
        <v>27</v>
      </c>
      <c r="AI40" s="845">
        <v>25</v>
      </c>
      <c r="AJ40" s="845">
        <v>13</v>
      </c>
      <c r="AK40" s="845">
        <v>14</v>
      </c>
      <c r="AL40" s="661">
        <f>SUM(AH40:AK40)</f>
        <v>79</v>
      </c>
      <c r="AM40" s="845">
        <v>11</v>
      </c>
      <c r="AN40" s="845">
        <v>12</v>
      </c>
      <c r="AO40" s="845">
        <v>11</v>
      </c>
      <c r="AP40" s="845">
        <v>11</v>
      </c>
      <c r="AQ40" s="661">
        <f>SUM(AM40:AP40)</f>
        <v>45</v>
      </c>
      <c r="AR40" s="845">
        <v>3</v>
      </c>
      <c r="AS40" s="845">
        <v>6</v>
      </c>
      <c r="AT40" s="845">
        <v>6</v>
      </c>
      <c r="AU40" s="845">
        <v>12</v>
      </c>
      <c r="AV40" s="661">
        <f>SUM(AR40:AU40)</f>
        <v>27</v>
      </c>
      <c r="AW40" s="845">
        <v>11</v>
      </c>
      <c r="AX40" s="845">
        <v>9</v>
      </c>
      <c r="AY40" s="845">
        <v>8</v>
      </c>
      <c r="AZ40" s="845">
        <v>11</v>
      </c>
      <c r="BA40" s="661">
        <f>SUM(AW40:AZ40)</f>
        <v>39</v>
      </c>
      <c r="BB40" s="845">
        <v>6</v>
      </c>
      <c r="BC40" s="845">
        <v>9</v>
      </c>
      <c r="BD40" s="845">
        <v>5</v>
      </c>
      <c r="BE40" s="845">
        <v>5</v>
      </c>
      <c r="BF40" s="661">
        <f>SUM(BB40:BE40)</f>
        <v>25</v>
      </c>
      <c r="BG40" s="845">
        <v>6</v>
      </c>
      <c r="BH40" s="845">
        <v>6</v>
      </c>
      <c r="BI40" s="845">
        <v>6</v>
      </c>
      <c r="BJ40" s="845">
        <v>11</v>
      </c>
      <c r="BK40" s="661">
        <f>SUM(BG40:BJ40)</f>
        <v>29</v>
      </c>
      <c r="BL40" s="845">
        <v>7</v>
      </c>
      <c r="BM40" s="845">
        <v>5</v>
      </c>
      <c r="BN40" s="845">
        <v>5</v>
      </c>
      <c r="BO40" s="845">
        <v>7</v>
      </c>
      <c r="BP40" s="661">
        <f>SUM(BL40:BO40)</f>
        <v>24</v>
      </c>
      <c r="BQ40" s="845">
        <v>4</v>
      </c>
      <c r="BR40" s="845">
        <v>3</v>
      </c>
      <c r="BS40" s="845">
        <v>3</v>
      </c>
      <c r="BT40" s="845">
        <v>7</v>
      </c>
      <c r="BU40" s="661">
        <f>SUM(BQ40:BT40)</f>
        <v>17</v>
      </c>
      <c r="BV40" s="845">
        <v>3</v>
      </c>
      <c r="BW40" s="845">
        <v>5</v>
      </c>
      <c r="BX40" s="845">
        <v>5</v>
      </c>
      <c r="BY40" s="845">
        <v>10</v>
      </c>
      <c r="BZ40" s="661">
        <f>SUM(BV40:BY40)</f>
        <v>23</v>
      </c>
      <c r="CA40" s="845">
        <v>5</v>
      </c>
      <c r="CB40" s="845">
        <v>4</v>
      </c>
      <c r="CC40" s="845">
        <v>8</v>
      </c>
      <c r="CD40" s="223">
        <v>13</v>
      </c>
      <c r="CE40" s="661">
        <f>SUM(CA40:CD40)</f>
        <v>30</v>
      </c>
      <c r="CF40" s="845">
        <v>8</v>
      </c>
      <c r="CG40" s="845">
        <v>6</v>
      </c>
      <c r="CH40" s="845">
        <v>5</v>
      </c>
      <c r="CI40" s="845">
        <v>10</v>
      </c>
      <c r="CJ40" s="661">
        <f>SUM(CF40:CI40)</f>
        <v>29</v>
      </c>
      <c r="CK40" s="2983">
        <v>6</v>
      </c>
      <c r="CL40" s="2983">
        <v>7</v>
      </c>
      <c r="CM40" s="2983">
        <v>9</v>
      </c>
      <c r="CN40" s="2983">
        <v>13</v>
      </c>
      <c r="CO40" s="661">
        <f>SUM(CK40:CN40)</f>
        <v>35</v>
      </c>
      <c r="CP40" s="2983">
        <v>7</v>
      </c>
      <c r="CQ40" s="2983">
        <v>8</v>
      </c>
      <c r="CR40" s="2983">
        <v>9</v>
      </c>
      <c r="CS40" s="2983">
        <v>14</v>
      </c>
      <c r="CT40" s="661">
        <f>SUM(CP40:CS40)</f>
        <v>38</v>
      </c>
      <c r="CU40" s="847">
        <f t="shared" ref="CU40:DA40" si="129">CU937</f>
        <v>5.2127397260273973</v>
      </c>
      <c r="CV40" s="847">
        <f t="shared" ca="1" si="129"/>
        <v>5.384192078385202</v>
      </c>
      <c r="CW40" s="847">
        <f t="shared" ca="1" si="129"/>
        <v>5.2760665844408372</v>
      </c>
      <c r="CX40" s="847">
        <f t="shared" ca="1" si="129"/>
        <v>5.545221882425535</v>
      </c>
      <c r="CY40" s="661">
        <f ca="1">SUM(CU40:CX40)</f>
        <v>21.418220271278969</v>
      </c>
      <c r="CZ40" s="1431">
        <f t="shared" ca="1" si="129"/>
        <v>26.207654563877398</v>
      </c>
      <c r="DA40" s="661">
        <f t="shared" ca="1" si="129"/>
        <v>31.29094378228741</v>
      </c>
      <c r="DB40"/>
      <c r="DC40"/>
      <c r="DD40" s="2285" t="s">
        <v>2250</v>
      </c>
      <c r="DE40" s="2293">
        <f t="shared" si="107"/>
        <v>55</v>
      </c>
      <c r="DF40" s="2293">
        <f t="shared" si="108"/>
        <v>95</v>
      </c>
      <c r="DG40" s="2293">
        <f t="shared" si="109"/>
        <v>122</v>
      </c>
      <c r="DH40" s="2293">
        <f t="shared" si="110"/>
        <v>129</v>
      </c>
      <c r="DI40" s="2293">
        <f t="shared" si="111"/>
        <v>146</v>
      </c>
      <c r="DJ40" s="2293">
        <f t="shared" si="112"/>
        <v>79</v>
      </c>
      <c r="DK40" s="2293">
        <f t="shared" si="113"/>
        <v>45</v>
      </c>
      <c r="DL40" s="2293">
        <f t="shared" si="114"/>
        <v>27</v>
      </c>
      <c r="DM40" s="2293">
        <f t="shared" si="115"/>
        <v>39</v>
      </c>
      <c r="DN40" s="2293">
        <f t="shared" si="116"/>
        <v>25</v>
      </c>
      <c r="DO40" s="2293">
        <f t="shared" si="117"/>
        <v>29</v>
      </c>
      <c r="DP40" s="2293">
        <f t="shared" si="118"/>
        <v>24</v>
      </c>
      <c r="DQ40" s="2293">
        <f t="shared" si="119"/>
        <v>17</v>
      </c>
      <c r="DR40" s="2293">
        <f t="shared" si="120"/>
        <v>23</v>
      </c>
      <c r="DS40" s="2293">
        <f t="shared" si="121"/>
        <v>30</v>
      </c>
      <c r="DT40" s="2293">
        <f t="shared" si="122"/>
        <v>29</v>
      </c>
      <c r="DU40" s="2293">
        <f t="shared" si="123"/>
        <v>35</v>
      </c>
      <c r="DV40" s="2293">
        <f t="shared" si="124"/>
        <v>38</v>
      </c>
      <c r="DW40" s="2293">
        <f t="shared" ca="1" si="125"/>
        <v>21.418220271278969</v>
      </c>
      <c r="DX40" s="2293">
        <f t="shared" ca="1" si="126"/>
        <v>26.207654563877398</v>
      </c>
      <c r="DY40" s="2293">
        <f t="shared" ca="1" si="127"/>
        <v>31.29094378228741</v>
      </c>
      <c r="EA40"/>
      <c r="EB40"/>
      <c r="EC40"/>
      <c r="ED40"/>
      <c r="EE40"/>
      <c r="EF40"/>
      <c r="EJ40"/>
      <c r="EK40"/>
      <c r="EL40"/>
      <c r="EM40" s="1703"/>
      <c r="ER40" s="212"/>
    </row>
    <row r="41" spans="1:148" s="923" customFormat="1" ht="12.75" hidden="1" customHeight="1" outlineLevel="1" x14ac:dyDescent="0.2">
      <c r="A41" s="504" t="s">
        <v>1370</v>
      </c>
      <c r="B41" s="215"/>
      <c r="C41" s="215"/>
      <c r="D41" s="215"/>
      <c r="E41" s="215"/>
      <c r="F41" s="215"/>
      <c r="G41" s="215"/>
      <c r="H41" s="215"/>
      <c r="I41" s="215"/>
      <c r="J41" s="215"/>
      <c r="K41" s="215"/>
      <c r="L41" s="215"/>
      <c r="M41" s="968">
        <f>SUM(I41:L41)</f>
        <v>0</v>
      </c>
      <c r="N41" s="215"/>
      <c r="O41" s="215"/>
      <c r="P41" s="215"/>
      <c r="Q41" s="215"/>
      <c r="R41" s="968">
        <f>SUM(N41:Q41)</f>
        <v>0</v>
      </c>
      <c r="S41" s="215">
        <v>0</v>
      </c>
      <c r="T41" s="215">
        <v>0</v>
      </c>
      <c r="U41" s="215">
        <v>0</v>
      </c>
      <c r="V41" s="215">
        <v>-12</v>
      </c>
      <c r="W41" s="968">
        <f>SUM(S41:V41)</f>
        <v>-12</v>
      </c>
      <c r="X41" s="215">
        <v>-5</v>
      </c>
      <c r="Y41" s="215">
        <v>-1</v>
      </c>
      <c r="Z41" s="215">
        <v>-1</v>
      </c>
      <c r="AA41" s="215">
        <v>0</v>
      </c>
      <c r="AB41" s="968">
        <f>SUM(X41:AA41)</f>
        <v>-7</v>
      </c>
      <c r="AC41" s="215">
        <v>3</v>
      </c>
      <c r="AD41" s="215">
        <v>-3</v>
      </c>
      <c r="AE41" s="215">
        <v>0</v>
      </c>
      <c r="AF41" s="215">
        <v>8</v>
      </c>
      <c r="AG41" s="968">
        <f>SUM(AC41:AF41)</f>
        <v>8</v>
      </c>
      <c r="AH41" s="215">
        <v>-11</v>
      </c>
      <c r="AI41" s="215">
        <v>0</v>
      </c>
      <c r="AJ41" s="215">
        <f>-17+17</f>
        <v>0</v>
      </c>
      <c r="AK41" s="215">
        <v>0</v>
      </c>
      <c r="AL41" s="968">
        <f>SUM(AH41:AK41)</f>
        <v>-11</v>
      </c>
      <c r="AM41" s="215">
        <v>2</v>
      </c>
      <c r="AN41" s="215">
        <f>-19-AN40-AN39</f>
        <v>-1</v>
      </c>
      <c r="AO41" s="215">
        <f>-15-AO40-AO39</f>
        <v>3</v>
      </c>
      <c r="AP41" s="215">
        <f>-24-AP40-AP39</f>
        <v>3</v>
      </c>
      <c r="AQ41" s="968">
        <f>SUM(AM41:AP41)</f>
        <v>7</v>
      </c>
      <c r="AR41" s="215">
        <f>-24-AR40-AR39</f>
        <v>6</v>
      </c>
      <c r="AS41" s="215">
        <f>-30-AS40-AS39</f>
        <v>16</v>
      </c>
      <c r="AT41" s="215">
        <f>-34-AT40-AT39</f>
        <v>2</v>
      </c>
      <c r="AU41" s="215">
        <f>-62-AU40-AU39</f>
        <v>-17</v>
      </c>
      <c r="AV41" s="968">
        <f>SUM(AR41:AU41)</f>
        <v>7</v>
      </c>
      <c r="AW41" s="215">
        <f>-29-AW40-AW39</f>
        <v>2</v>
      </c>
      <c r="AX41" s="215">
        <f>-29-AX40-AX39</f>
        <v>0</v>
      </c>
      <c r="AY41" s="215">
        <v>0</v>
      </c>
      <c r="AZ41" s="215">
        <v>-22</v>
      </c>
      <c r="BA41" s="968">
        <f>SUM(AW41:AZ41)</f>
        <v>-20</v>
      </c>
      <c r="BB41" s="215">
        <v>-42</v>
      </c>
      <c r="BC41" s="215">
        <v>-1</v>
      </c>
      <c r="BD41" s="215">
        <v>0</v>
      </c>
      <c r="BE41" s="215">
        <v>0</v>
      </c>
      <c r="BF41" s="968">
        <f>SUM(BB41:BE41)</f>
        <v>-43</v>
      </c>
      <c r="BG41" s="215">
        <v>0</v>
      </c>
      <c r="BH41" s="215">
        <v>0</v>
      </c>
      <c r="BI41" s="215">
        <v>0</v>
      </c>
      <c r="BJ41" s="215">
        <v>0</v>
      </c>
      <c r="BK41" s="968">
        <f>SUM(BG41:BJ41)</f>
        <v>0</v>
      </c>
      <c r="BL41" s="215">
        <v>0</v>
      </c>
      <c r="BM41" s="215">
        <v>0</v>
      </c>
      <c r="BN41" s="215">
        <v>0</v>
      </c>
      <c r="BO41" s="215">
        <v>0</v>
      </c>
      <c r="BP41" s="968">
        <f>SUM(BL41:BO41)</f>
        <v>0</v>
      </c>
      <c r="BQ41" s="215">
        <v>0</v>
      </c>
      <c r="BR41" s="215">
        <v>0</v>
      </c>
      <c r="BS41" s="215">
        <v>0</v>
      </c>
      <c r="BT41" s="215">
        <v>0</v>
      </c>
      <c r="BU41" s="968">
        <f>SUM(BQ41:BT41)</f>
        <v>0</v>
      </c>
      <c r="BV41" s="215">
        <v>0</v>
      </c>
      <c r="BW41" s="215">
        <v>0</v>
      </c>
      <c r="BX41" s="215">
        <v>0</v>
      </c>
      <c r="BY41" s="215">
        <v>0</v>
      </c>
      <c r="BZ41" s="968">
        <f>SUM(BV41:BY41)</f>
        <v>0</v>
      </c>
      <c r="CA41" s="215">
        <v>0</v>
      </c>
      <c r="CB41" s="215">
        <v>0</v>
      </c>
      <c r="CC41" s="215">
        <v>0</v>
      </c>
      <c r="CD41" s="215">
        <v>0</v>
      </c>
      <c r="CE41" s="968">
        <f>SUM(CA41:CD41)</f>
        <v>0</v>
      </c>
      <c r="CF41" s="215">
        <v>0</v>
      </c>
      <c r="CG41" s="215">
        <v>0</v>
      </c>
      <c r="CH41" s="215">
        <v>0</v>
      </c>
      <c r="CI41" s="215">
        <v>0</v>
      </c>
      <c r="CJ41" s="968">
        <f>SUM(CF41:CI41)</f>
        <v>0</v>
      </c>
      <c r="CK41" s="215">
        <v>0</v>
      </c>
      <c r="CL41" s="215">
        <v>0</v>
      </c>
      <c r="CM41" s="847">
        <v>0</v>
      </c>
      <c r="CN41" s="215">
        <v>0</v>
      </c>
      <c r="CO41" s="968">
        <f>SUM(CK41:CN41)</f>
        <v>0</v>
      </c>
      <c r="CP41" s="215">
        <v>0</v>
      </c>
      <c r="CQ41" s="215">
        <v>0</v>
      </c>
      <c r="CR41" s="215">
        <v>0</v>
      </c>
      <c r="CS41" s="215">
        <v>0</v>
      </c>
      <c r="CT41" s="968">
        <f>SUM(CP41:CS41)</f>
        <v>0</v>
      </c>
      <c r="CU41" s="215">
        <f t="shared" ref="CU41:CX42" si="130">CP41</f>
        <v>0</v>
      </c>
      <c r="CV41" s="215">
        <f t="shared" si="130"/>
        <v>0</v>
      </c>
      <c r="CW41" s="215">
        <f t="shared" si="130"/>
        <v>0</v>
      </c>
      <c r="CX41" s="215">
        <f t="shared" si="130"/>
        <v>0</v>
      </c>
      <c r="CY41" s="968">
        <f>SUM(CU41:CX41)</f>
        <v>0</v>
      </c>
      <c r="CZ41" s="1788">
        <f>+CY41</f>
        <v>0</v>
      </c>
      <c r="DA41" s="968">
        <f>+CZ41</f>
        <v>0</v>
      </c>
      <c r="DB41"/>
      <c r="DC41"/>
      <c r="DD41" s="2285" t="s">
        <v>1370</v>
      </c>
      <c r="DE41" s="2290">
        <f t="shared" si="107"/>
        <v>0</v>
      </c>
      <c r="DF41" s="2290">
        <f t="shared" si="108"/>
        <v>0</v>
      </c>
      <c r="DG41" s="2290">
        <f t="shared" si="109"/>
        <v>-12</v>
      </c>
      <c r="DH41" s="2290">
        <f t="shared" si="110"/>
        <v>-7</v>
      </c>
      <c r="DI41" s="2290">
        <f t="shared" si="111"/>
        <v>8</v>
      </c>
      <c r="DJ41" s="2290">
        <f t="shared" si="112"/>
        <v>-11</v>
      </c>
      <c r="DK41" s="2290">
        <f t="shared" si="113"/>
        <v>7</v>
      </c>
      <c r="DL41" s="2290">
        <f t="shared" si="114"/>
        <v>7</v>
      </c>
      <c r="DM41" s="2290">
        <f t="shared" si="115"/>
        <v>-20</v>
      </c>
      <c r="DN41" s="2290">
        <f t="shared" si="116"/>
        <v>-43</v>
      </c>
      <c r="DO41" s="2290">
        <f t="shared" si="117"/>
        <v>0</v>
      </c>
      <c r="DP41" s="2290">
        <f t="shared" si="118"/>
        <v>0</v>
      </c>
      <c r="DQ41" s="2290">
        <f t="shared" si="119"/>
        <v>0</v>
      </c>
      <c r="DR41" s="2290">
        <f t="shared" si="120"/>
        <v>0</v>
      </c>
      <c r="DS41" s="2290">
        <f t="shared" si="121"/>
        <v>0</v>
      </c>
      <c r="DT41" s="2290">
        <f t="shared" si="122"/>
        <v>0</v>
      </c>
      <c r="DU41" s="2290">
        <f t="shared" si="123"/>
        <v>0</v>
      </c>
      <c r="DV41" s="2290">
        <f t="shared" si="124"/>
        <v>0</v>
      </c>
      <c r="DW41" s="2290">
        <f t="shared" si="125"/>
        <v>0</v>
      </c>
      <c r="DX41" s="2290">
        <f t="shared" si="126"/>
        <v>0</v>
      </c>
      <c r="DY41" s="2290">
        <f t="shared" si="127"/>
        <v>0</v>
      </c>
      <c r="EA41"/>
      <c r="EB41"/>
      <c r="EC41"/>
      <c r="ED41"/>
      <c r="EE41"/>
      <c r="EF41"/>
      <c r="EJ41"/>
      <c r="EK41"/>
      <c r="EL41"/>
      <c r="EM41" s="1703"/>
      <c r="ER41" s="212"/>
    </row>
    <row r="42" spans="1:148" s="923" customFormat="1" ht="12.75" customHeight="1" collapsed="1" x14ac:dyDescent="0.2">
      <c r="A42" s="504" t="s">
        <v>687</v>
      </c>
      <c r="B42" s="223"/>
      <c r="C42" s="223"/>
      <c r="D42" s="223"/>
      <c r="E42" s="223"/>
      <c r="F42" s="223"/>
      <c r="G42" s="223"/>
      <c r="H42" s="223"/>
      <c r="I42" s="223"/>
      <c r="J42" s="223"/>
      <c r="K42" s="223"/>
      <c r="L42" s="223"/>
      <c r="M42" s="661">
        <f>SUM(I42:L42)</f>
        <v>0</v>
      </c>
      <c r="N42" s="223"/>
      <c r="O42" s="223"/>
      <c r="P42" s="223"/>
      <c r="Q42" s="223"/>
      <c r="R42" s="661">
        <f>SUM(N42:Q42)</f>
        <v>0</v>
      </c>
      <c r="S42" s="223">
        <v>-6</v>
      </c>
      <c r="T42" s="223">
        <v>6</v>
      </c>
      <c r="U42" s="223">
        <v>0</v>
      </c>
      <c r="V42" s="223">
        <v>-6</v>
      </c>
      <c r="W42" s="661">
        <f>SUM(S42:V42)</f>
        <v>-6</v>
      </c>
      <c r="X42" s="223">
        <v>-1</v>
      </c>
      <c r="Y42" s="223">
        <v>3</v>
      </c>
      <c r="Z42" s="223">
        <v>-3</v>
      </c>
      <c r="AA42" s="223">
        <v>-16</v>
      </c>
      <c r="AB42" s="661">
        <f>SUM(X42:AA42)</f>
        <v>-17</v>
      </c>
      <c r="AC42" s="223">
        <v>-2</v>
      </c>
      <c r="AD42" s="223">
        <v>1</v>
      </c>
      <c r="AE42" s="223">
        <v>-8</v>
      </c>
      <c r="AF42" s="223">
        <v>-5</v>
      </c>
      <c r="AG42" s="661">
        <f>SUM(AC42:AF42)</f>
        <v>-14</v>
      </c>
      <c r="AH42" s="223">
        <v>-5</v>
      </c>
      <c r="AI42" s="223">
        <v>6</v>
      </c>
      <c r="AJ42" s="223">
        <v>17</v>
      </c>
      <c r="AK42" s="223">
        <f>18</f>
        <v>18</v>
      </c>
      <c r="AL42" s="661">
        <f>SUM(AH42:AK42)</f>
        <v>36</v>
      </c>
      <c r="AM42" s="223">
        <v>-3</v>
      </c>
      <c r="AN42" s="223">
        <v>6</v>
      </c>
      <c r="AO42" s="223">
        <v>-1</v>
      </c>
      <c r="AP42" s="223">
        <v>1</v>
      </c>
      <c r="AQ42" s="661">
        <f>SUM(AM42:AP42)</f>
        <v>3</v>
      </c>
      <c r="AR42" s="223">
        <v>2</v>
      </c>
      <c r="AS42" s="223">
        <v>-1</v>
      </c>
      <c r="AT42" s="223">
        <v>8</v>
      </c>
      <c r="AU42" s="223">
        <v>6</v>
      </c>
      <c r="AV42" s="661">
        <f>SUM(AR42:AU42)</f>
        <v>15</v>
      </c>
      <c r="AW42" s="223">
        <v>27</v>
      </c>
      <c r="AX42" s="223">
        <v>-3</v>
      </c>
      <c r="AY42" s="223">
        <v>2</v>
      </c>
      <c r="AZ42" s="223">
        <v>-11</v>
      </c>
      <c r="BA42" s="661">
        <f>SUM(AW42:AZ42)</f>
        <v>15</v>
      </c>
      <c r="BB42" s="223">
        <v>-34</v>
      </c>
      <c r="BC42" s="223">
        <v>-4</v>
      </c>
      <c r="BD42" s="223">
        <v>-12</v>
      </c>
      <c r="BE42" s="223">
        <v>-10</v>
      </c>
      <c r="BF42" s="661">
        <f>SUM(BB42:BE42)</f>
        <v>-60</v>
      </c>
      <c r="BG42" s="223">
        <v>-6</v>
      </c>
      <c r="BH42" s="223">
        <v>-1</v>
      </c>
      <c r="BI42" s="223">
        <v>-3</v>
      </c>
      <c r="BJ42" s="223">
        <v>-11</v>
      </c>
      <c r="BK42" s="661">
        <f>SUM(BG42:BJ42)</f>
        <v>-21</v>
      </c>
      <c r="BL42" s="223">
        <v>-4</v>
      </c>
      <c r="BM42" s="223">
        <v>0</v>
      </c>
      <c r="BN42" s="223">
        <v>-6</v>
      </c>
      <c r="BO42" s="223">
        <v>-7</v>
      </c>
      <c r="BP42" s="661">
        <f>SUM(BL42:BO42)</f>
        <v>-17</v>
      </c>
      <c r="BQ42" s="223">
        <v>-1</v>
      </c>
      <c r="BR42" s="223">
        <v>-8</v>
      </c>
      <c r="BS42" s="223">
        <v>-1</v>
      </c>
      <c r="BT42" s="223">
        <v>-3</v>
      </c>
      <c r="BU42" s="661">
        <f>SUM(BQ42:BT42)</f>
        <v>-13</v>
      </c>
      <c r="BV42" s="223">
        <v>0</v>
      </c>
      <c r="BW42" s="223">
        <v>-2</v>
      </c>
      <c r="BX42" s="223">
        <v>0</v>
      </c>
      <c r="BY42" s="223">
        <v>-3</v>
      </c>
      <c r="BZ42" s="968">
        <f>SUM(BV42:BY42)</f>
        <v>-5</v>
      </c>
      <c r="CA42" s="223">
        <v>2</v>
      </c>
      <c r="CB42" s="223">
        <v>-8</v>
      </c>
      <c r="CC42" s="223">
        <v>12</v>
      </c>
      <c r="CD42" s="223">
        <v>0</v>
      </c>
      <c r="CE42" s="968">
        <f>SUM(CA42:CD42)</f>
        <v>6</v>
      </c>
      <c r="CF42" s="223">
        <v>3</v>
      </c>
      <c r="CG42" s="845">
        <v>2</v>
      </c>
      <c r="CH42" s="223">
        <v>8</v>
      </c>
      <c r="CI42" s="845">
        <v>3</v>
      </c>
      <c r="CJ42" s="661">
        <f>SUM(CF42:CI42)</f>
        <v>16</v>
      </c>
      <c r="CK42" s="845">
        <v>0</v>
      </c>
      <c r="CL42" s="845">
        <v>5</v>
      </c>
      <c r="CM42" s="845">
        <v>2</v>
      </c>
      <c r="CN42" s="845">
        <v>2</v>
      </c>
      <c r="CO42" s="661">
        <f>SUM(CK42:CN42)</f>
        <v>9</v>
      </c>
      <c r="CP42" s="845">
        <v>11</v>
      </c>
      <c r="CQ42" s="2983">
        <v>12</v>
      </c>
      <c r="CR42" s="2983">
        <v>6</v>
      </c>
      <c r="CS42" s="2983">
        <v>10</v>
      </c>
      <c r="CT42" s="661">
        <f>SUM(CP42:CS42)</f>
        <v>39</v>
      </c>
      <c r="CU42" s="847">
        <f t="shared" si="130"/>
        <v>11</v>
      </c>
      <c r="CV42" s="847">
        <f t="shared" si="130"/>
        <v>12</v>
      </c>
      <c r="CW42" s="847">
        <f t="shared" si="130"/>
        <v>6</v>
      </c>
      <c r="CX42" s="847">
        <f t="shared" si="130"/>
        <v>10</v>
      </c>
      <c r="CY42" s="661">
        <f>SUM(CU42:CX42)</f>
        <v>39</v>
      </c>
      <c r="CZ42" s="3270">
        <f>+CY42</f>
        <v>39</v>
      </c>
      <c r="DA42" s="3270">
        <f>+CZ42</f>
        <v>39</v>
      </c>
      <c r="DB42"/>
      <c r="DC42"/>
      <c r="DD42" s="2285" t="s">
        <v>687</v>
      </c>
      <c r="DE42" s="2290">
        <f t="shared" si="107"/>
        <v>0</v>
      </c>
      <c r="DF42" s="2290">
        <f t="shared" si="108"/>
        <v>0</v>
      </c>
      <c r="DG42" s="2290">
        <f t="shared" si="109"/>
        <v>-6</v>
      </c>
      <c r="DH42" s="2290">
        <f t="shared" si="110"/>
        <v>-17</v>
      </c>
      <c r="DI42" s="2290">
        <f t="shared" si="111"/>
        <v>-14</v>
      </c>
      <c r="DJ42" s="2290">
        <f t="shared" si="112"/>
        <v>36</v>
      </c>
      <c r="DK42" s="2290">
        <f t="shared" si="113"/>
        <v>3</v>
      </c>
      <c r="DL42" s="2290">
        <f t="shared" si="114"/>
        <v>15</v>
      </c>
      <c r="DM42" s="2290">
        <f t="shared" si="115"/>
        <v>15</v>
      </c>
      <c r="DN42" s="2290">
        <f t="shared" si="116"/>
        <v>-60</v>
      </c>
      <c r="DO42" s="2290">
        <f t="shared" si="117"/>
        <v>-21</v>
      </c>
      <c r="DP42" s="2290">
        <f t="shared" si="118"/>
        <v>-17</v>
      </c>
      <c r="DQ42" s="2290">
        <f t="shared" si="119"/>
        <v>-13</v>
      </c>
      <c r="DR42" s="2290">
        <f t="shared" si="120"/>
        <v>-5</v>
      </c>
      <c r="DS42" s="2290">
        <f t="shared" si="121"/>
        <v>6</v>
      </c>
      <c r="DT42" s="2290">
        <f t="shared" si="122"/>
        <v>16</v>
      </c>
      <c r="DU42" s="2290">
        <f t="shared" si="123"/>
        <v>9</v>
      </c>
      <c r="DV42" s="2290">
        <f t="shared" si="124"/>
        <v>39</v>
      </c>
      <c r="DW42" s="2290">
        <f t="shared" si="125"/>
        <v>39</v>
      </c>
      <c r="DX42" s="2290">
        <f t="shared" si="126"/>
        <v>39</v>
      </c>
      <c r="DY42" s="2290">
        <f t="shared" si="127"/>
        <v>39</v>
      </c>
      <c r="EA42"/>
      <c r="EB42"/>
      <c r="EC42"/>
      <c r="ED42"/>
      <c r="EE42"/>
      <c r="EF42"/>
      <c r="EJ42"/>
      <c r="EK42"/>
      <c r="EL42"/>
      <c r="EM42" s="1703"/>
      <c r="ER42" s="212"/>
    </row>
    <row r="43" spans="1:148" s="923" customFormat="1" ht="12.75" hidden="1" customHeight="1" outlineLevel="1" x14ac:dyDescent="0.2">
      <c r="A43" s="507" t="s">
        <v>693</v>
      </c>
      <c r="B43" s="933"/>
      <c r="C43" s="933"/>
      <c r="D43" s="933"/>
      <c r="E43" s="933"/>
      <c r="F43" s="933"/>
      <c r="G43" s="933"/>
      <c r="H43" s="933"/>
      <c r="I43" s="933"/>
      <c r="J43" s="933"/>
      <c r="K43" s="933"/>
      <c r="L43" s="933"/>
      <c r="M43" s="971"/>
      <c r="N43" s="933"/>
      <c r="O43" s="933"/>
      <c r="P43" s="933"/>
      <c r="Q43" s="933"/>
      <c r="R43" s="971"/>
      <c r="S43" s="933"/>
      <c r="T43" s="933"/>
      <c r="U43" s="933"/>
      <c r="V43" s="933"/>
      <c r="W43" s="971"/>
      <c r="X43" s="933"/>
      <c r="Y43" s="933"/>
      <c r="Z43" s="933">
        <v>-29</v>
      </c>
      <c r="AA43" s="933">
        <v>-16</v>
      </c>
      <c r="AB43" s="971">
        <v>-45</v>
      </c>
      <c r="AC43" s="933">
        <v>-28</v>
      </c>
      <c r="AD43" s="933">
        <v>0</v>
      </c>
      <c r="AE43" s="933">
        <v>0</v>
      </c>
      <c r="AF43" s="933">
        <v>0</v>
      </c>
      <c r="AG43" s="971">
        <v>-28</v>
      </c>
      <c r="AH43" s="933">
        <v>0</v>
      </c>
      <c r="AI43" s="933">
        <v>-29</v>
      </c>
      <c r="AJ43" s="933">
        <v>0</v>
      </c>
      <c r="AK43" s="933">
        <v>0</v>
      </c>
      <c r="AL43" s="971">
        <v>-29</v>
      </c>
      <c r="AM43" s="933">
        <v>1</v>
      </c>
      <c r="AN43" s="933">
        <v>0</v>
      </c>
      <c r="AO43" s="933">
        <v>0</v>
      </c>
      <c r="AP43" s="933">
        <v>-1</v>
      </c>
      <c r="AQ43" s="971">
        <v>0</v>
      </c>
      <c r="AR43" s="933">
        <v>0</v>
      </c>
      <c r="AS43" s="933">
        <v>0</v>
      </c>
      <c r="AT43" s="933">
        <v>1</v>
      </c>
      <c r="AU43" s="933">
        <v>0</v>
      </c>
      <c r="AV43" s="971">
        <v>1</v>
      </c>
      <c r="AW43" s="933">
        <v>0</v>
      </c>
      <c r="AX43" s="933">
        <v>0</v>
      </c>
      <c r="AY43" s="933">
        <v>0</v>
      </c>
      <c r="AZ43" s="933">
        <v>0</v>
      </c>
      <c r="BA43" s="971">
        <v>0</v>
      </c>
      <c r="BB43" s="933">
        <v>0</v>
      </c>
      <c r="BC43" s="933">
        <v>0</v>
      </c>
      <c r="BD43" s="933">
        <v>0</v>
      </c>
      <c r="BE43" s="933">
        <v>0</v>
      </c>
      <c r="BF43" s="971">
        <v>0</v>
      </c>
      <c r="BG43" s="933"/>
      <c r="BH43" s="933"/>
      <c r="BI43" s="933"/>
      <c r="BJ43" s="933"/>
      <c r="BK43" s="971"/>
      <c r="BL43" s="933"/>
      <c r="BM43" s="933"/>
      <c r="BN43" s="933"/>
      <c r="BO43" s="933"/>
      <c r="BP43" s="971"/>
      <c r="BQ43" s="933"/>
      <c r="BR43" s="933"/>
      <c r="BS43" s="933"/>
      <c r="BT43" s="933"/>
      <c r="BU43" s="971"/>
      <c r="BV43" s="933"/>
      <c r="BW43" s="933"/>
      <c r="BX43" s="933"/>
      <c r="BY43" s="933"/>
      <c r="BZ43" s="971"/>
      <c r="CA43" s="933"/>
      <c r="CB43" s="842"/>
      <c r="CC43" s="842"/>
      <c r="CD43" s="842"/>
      <c r="CE43" s="971"/>
      <c r="CF43" s="933"/>
      <c r="CG43" s="842"/>
      <c r="CH43" s="842"/>
      <c r="CI43" s="842"/>
      <c r="CJ43" s="971"/>
      <c r="CK43" s="842"/>
      <c r="CL43" s="842"/>
      <c r="CM43" s="842"/>
      <c r="CN43" s="842"/>
      <c r="CO43" s="971"/>
      <c r="CP43" s="842"/>
      <c r="CQ43" s="842"/>
      <c r="CR43" s="842"/>
      <c r="CS43" s="842"/>
      <c r="CT43" s="971"/>
      <c r="CU43" s="842"/>
      <c r="CV43" s="842"/>
      <c r="CW43" s="842"/>
      <c r="CX43" s="842"/>
      <c r="CY43" s="971"/>
      <c r="CZ43" s="1802"/>
      <c r="DA43" s="971"/>
      <c r="DB43"/>
      <c r="DC43"/>
      <c r="DD43" s="2295" t="s">
        <v>693</v>
      </c>
      <c r="DE43" s="971">
        <f t="shared" si="107"/>
        <v>0</v>
      </c>
      <c r="DF43" s="971">
        <f t="shared" si="108"/>
        <v>0</v>
      </c>
      <c r="DG43" s="971">
        <f t="shared" si="109"/>
        <v>0</v>
      </c>
      <c r="DH43" s="971">
        <f t="shared" si="110"/>
        <v>-45</v>
      </c>
      <c r="DI43" s="971">
        <f t="shared" si="111"/>
        <v>-28</v>
      </c>
      <c r="DJ43" s="971">
        <f t="shared" si="112"/>
        <v>-29</v>
      </c>
      <c r="DK43" s="971">
        <f t="shared" si="113"/>
        <v>0</v>
      </c>
      <c r="DL43" s="971">
        <f t="shared" si="114"/>
        <v>1</v>
      </c>
      <c r="DM43" s="971">
        <f t="shared" si="115"/>
        <v>0</v>
      </c>
      <c r="DN43" s="971">
        <f t="shared" si="116"/>
        <v>0</v>
      </c>
      <c r="DO43" s="971">
        <f t="shared" si="117"/>
        <v>0</v>
      </c>
      <c r="DP43" s="971">
        <f t="shared" si="118"/>
        <v>0</v>
      </c>
      <c r="DQ43" s="971">
        <f t="shared" si="119"/>
        <v>0</v>
      </c>
      <c r="DR43" s="971">
        <f t="shared" si="120"/>
        <v>0</v>
      </c>
      <c r="DS43" s="971">
        <f t="shared" si="121"/>
        <v>0</v>
      </c>
      <c r="DT43" s="971">
        <f t="shared" si="122"/>
        <v>0</v>
      </c>
      <c r="DU43" s="971">
        <f t="shared" si="123"/>
        <v>0</v>
      </c>
      <c r="DV43" s="971">
        <f t="shared" si="124"/>
        <v>0</v>
      </c>
      <c r="DW43" s="971">
        <f t="shared" si="125"/>
        <v>0</v>
      </c>
      <c r="DX43" s="971">
        <f t="shared" si="126"/>
        <v>0</v>
      </c>
      <c r="DY43" s="971">
        <f t="shared" si="127"/>
        <v>0</v>
      </c>
      <c r="EA43"/>
      <c r="EB43"/>
      <c r="EC43"/>
      <c r="ED43"/>
      <c r="EE43"/>
      <c r="EF43"/>
      <c r="EJ43"/>
      <c r="EK43"/>
      <c r="EL43"/>
      <c r="ER43" s="212"/>
    </row>
    <row r="44" spans="1:148" s="923" customFormat="1" ht="12.75" hidden="1" customHeight="1" outlineLevel="1" x14ac:dyDescent="0.2">
      <c r="A44" s="507" t="s">
        <v>694</v>
      </c>
      <c r="B44" s="933"/>
      <c r="C44" s="933"/>
      <c r="D44" s="933"/>
      <c r="E44" s="933"/>
      <c r="F44" s="933"/>
      <c r="G44" s="933"/>
      <c r="H44" s="933"/>
      <c r="I44" s="933"/>
      <c r="J44" s="933"/>
      <c r="K44" s="933"/>
      <c r="L44" s="933"/>
      <c r="M44" s="971"/>
      <c r="N44" s="933"/>
      <c r="O44" s="933"/>
      <c r="P44" s="933"/>
      <c r="Q44" s="933"/>
      <c r="R44" s="971"/>
      <c r="S44" s="933"/>
      <c r="T44" s="933"/>
      <c r="U44" s="933"/>
      <c r="V44" s="933"/>
      <c r="W44" s="971"/>
      <c r="X44" s="933"/>
      <c r="Y44" s="933"/>
      <c r="Z44" s="933"/>
      <c r="AA44" s="933"/>
      <c r="AB44" s="971"/>
      <c r="AC44" s="933"/>
      <c r="AD44" s="933"/>
      <c r="AE44" s="933"/>
      <c r="AF44" s="933"/>
      <c r="AG44" s="971"/>
      <c r="AH44" s="933"/>
      <c r="AI44" s="933"/>
      <c r="AJ44" s="933"/>
      <c r="AK44" s="933"/>
      <c r="AL44" s="971"/>
      <c r="AM44" s="933"/>
      <c r="AN44" s="933"/>
      <c r="AO44" s="933"/>
      <c r="AP44" s="933"/>
      <c r="AQ44" s="971"/>
      <c r="AR44" s="933"/>
      <c r="AS44" s="933"/>
      <c r="AT44" s="933"/>
      <c r="AU44" s="933"/>
      <c r="AV44" s="971"/>
      <c r="AW44" s="933"/>
      <c r="AX44" s="933"/>
      <c r="AY44" s="933"/>
      <c r="AZ44" s="933"/>
      <c r="BA44" s="971"/>
      <c r="BB44" s="933"/>
      <c r="BC44" s="933"/>
      <c r="BD44" s="933"/>
      <c r="BE44" s="933"/>
      <c r="BF44" s="971"/>
      <c r="BG44" s="933"/>
      <c r="BH44" s="933"/>
      <c r="BI44" s="933"/>
      <c r="BJ44" s="933"/>
      <c r="BK44" s="971"/>
      <c r="BL44" s="933"/>
      <c r="BM44" s="933"/>
      <c r="BN44" s="933"/>
      <c r="BO44" s="933"/>
      <c r="BP44" s="971"/>
      <c r="BQ44" s="933"/>
      <c r="BR44" s="933"/>
      <c r="BS44" s="933"/>
      <c r="BT44" s="933"/>
      <c r="BU44" s="971"/>
      <c r="BV44" s="933"/>
      <c r="BW44" s="933"/>
      <c r="BX44" s="933"/>
      <c r="BY44" s="933"/>
      <c r="BZ44" s="971"/>
      <c r="CA44" s="933"/>
      <c r="CB44" s="842"/>
      <c r="CC44" s="842"/>
      <c r="CD44" s="842"/>
      <c r="CE44" s="971"/>
      <c r="CF44" s="933"/>
      <c r="CG44" s="842"/>
      <c r="CH44" s="842"/>
      <c r="CI44" s="842"/>
      <c r="CJ44" s="971"/>
      <c r="CK44" s="842"/>
      <c r="CL44" s="842"/>
      <c r="CM44" s="842"/>
      <c r="CN44" s="842"/>
      <c r="CO44" s="971"/>
      <c r="CP44" s="842"/>
      <c r="CQ44" s="842"/>
      <c r="CR44" s="842"/>
      <c r="CS44" s="842"/>
      <c r="CT44" s="971"/>
      <c r="CU44" s="842"/>
      <c r="CV44" s="842"/>
      <c r="CW44" s="842"/>
      <c r="CX44" s="842"/>
      <c r="CY44" s="971"/>
      <c r="CZ44" s="1802"/>
      <c r="DA44" s="971"/>
      <c r="DB44"/>
      <c r="DC44"/>
      <c r="DD44" s="2295" t="s">
        <v>694</v>
      </c>
      <c r="DE44" s="971">
        <f t="shared" si="107"/>
        <v>0</v>
      </c>
      <c r="DF44" s="971">
        <f t="shared" si="108"/>
        <v>0</v>
      </c>
      <c r="DG44" s="971">
        <f t="shared" si="109"/>
        <v>0</v>
      </c>
      <c r="DH44" s="971">
        <f t="shared" si="110"/>
        <v>0</v>
      </c>
      <c r="DI44" s="971">
        <f t="shared" si="111"/>
        <v>0</v>
      </c>
      <c r="DJ44" s="971">
        <f t="shared" si="112"/>
        <v>0</v>
      </c>
      <c r="DK44" s="971">
        <f t="shared" si="113"/>
        <v>0</v>
      </c>
      <c r="DL44" s="971">
        <f t="shared" si="114"/>
        <v>0</v>
      </c>
      <c r="DM44" s="971">
        <f t="shared" si="115"/>
        <v>0</v>
      </c>
      <c r="DN44" s="971">
        <f t="shared" si="116"/>
        <v>0</v>
      </c>
      <c r="DO44" s="971">
        <f t="shared" si="117"/>
        <v>0</v>
      </c>
      <c r="DP44" s="971">
        <f t="shared" si="118"/>
        <v>0</v>
      </c>
      <c r="DQ44" s="971">
        <f t="shared" si="119"/>
        <v>0</v>
      </c>
      <c r="DR44" s="971">
        <f t="shared" si="120"/>
        <v>0</v>
      </c>
      <c r="DS44" s="971">
        <f t="shared" si="121"/>
        <v>0</v>
      </c>
      <c r="DT44" s="971">
        <f t="shared" si="122"/>
        <v>0</v>
      </c>
      <c r="DU44" s="971">
        <f t="shared" si="123"/>
        <v>0</v>
      </c>
      <c r="DV44" s="971">
        <f t="shared" si="124"/>
        <v>0</v>
      </c>
      <c r="DW44" s="971">
        <f t="shared" si="125"/>
        <v>0</v>
      </c>
      <c r="DX44" s="971">
        <f t="shared" si="126"/>
        <v>0</v>
      </c>
      <c r="DY44" s="971">
        <f t="shared" si="127"/>
        <v>0</v>
      </c>
      <c r="EA44"/>
      <c r="EB44"/>
      <c r="EC44"/>
      <c r="ED44"/>
      <c r="EE44"/>
      <c r="EF44"/>
      <c r="EJ44"/>
      <c r="EK44"/>
      <c r="EL44"/>
      <c r="ER44" s="212"/>
    </row>
    <row r="45" spans="1:148" s="923" customFormat="1" ht="12.75" hidden="1" customHeight="1" outlineLevel="1" x14ac:dyDescent="0.2">
      <c r="A45" s="1131" t="s">
        <v>307</v>
      </c>
      <c r="B45" s="941"/>
      <c r="C45" s="941"/>
      <c r="D45" s="941"/>
      <c r="E45" s="941"/>
      <c r="F45" s="941"/>
      <c r="G45" s="941"/>
      <c r="H45" s="941"/>
      <c r="I45" s="941"/>
      <c r="J45" s="941"/>
      <c r="K45" s="941"/>
      <c r="L45" s="941"/>
      <c r="M45" s="968"/>
      <c r="N45" s="941"/>
      <c r="O45" s="941"/>
      <c r="P45" s="941"/>
      <c r="Q45" s="941"/>
      <c r="R45" s="968"/>
      <c r="S45" s="941">
        <v>-6</v>
      </c>
      <c r="T45" s="941">
        <v>-43</v>
      </c>
      <c r="U45" s="941">
        <v>-32</v>
      </c>
      <c r="V45" s="941">
        <v>-53</v>
      </c>
      <c r="W45" s="968">
        <v>-126</v>
      </c>
      <c r="X45" s="941">
        <v>-59</v>
      </c>
      <c r="Y45" s="941">
        <v>-42</v>
      </c>
      <c r="Z45" s="941">
        <v>-3</v>
      </c>
      <c r="AA45" s="941">
        <v>0</v>
      </c>
      <c r="AB45" s="968">
        <v>-96</v>
      </c>
      <c r="AC45" s="941">
        <v>0</v>
      </c>
      <c r="AD45" s="941">
        <v>-6</v>
      </c>
      <c r="AE45" s="941">
        <v>-6</v>
      </c>
      <c r="AF45" s="941">
        <v>-18</v>
      </c>
      <c r="AG45" s="968">
        <v>-30</v>
      </c>
      <c r="AH45" s="941">
        <v>-44</v>
      </c>
      <c r="AI45" s="941">
        <v>-24</v>
      </c>
      <c r="AJ45" s="941">
        <v>5</v>
      </c>
      <c r="AK45" s="941">
        <v>-2</v>
      </c>
      <c r="AL45" s="968">
        <v>-65</v>
      </c>
      <c r="AM45" s="941">
        <v>-26</v>
      </c>
      <c r="AN45" s="941">
        <v>-15</v>
      </c>
      <c r="AO45" s="941">
        <v>5</v>
      </c>
      <c r="AP45" s="941">
        <v>-49</v>
      </c>
      <c r="AQ45" s="968">
        <v>-85</v>
      </c>
      <c r="AR45" s="941">
        <v>-48</v>
      </c>
      <c r="AS45" s="941">
        <v>-51</v>
      </c>
      <c r="AT45" s="941">
        <v>-30</v>
      </c>
      <c r="AU45" s="941">
        <v>0</v>
      </c>
      <c r="AV45" s="968">
        <v>-129</v>
      </c>
      <c r="AW45" s="941"/>
      <c r="AX45" s="941"/>
      <c r="AY45" s="941"/>
      <c r="AZ45" s="941"/>
      <c r="BA45" s="968"/>
      <c r="BB45" s="941"/>
      <c r="BC45" s="941"/>
      <c r="BD45" s="941"/>
      <c r="BE45" s="941"/>
      <c r="BF45" s="968"/>
      <c r="BG45" s="941"/>
      <c r="BH45" s="941"/>
      <c r="BI45" s="941"/>
      <c r="BJ45" s="941"/>
      <c r="BK45" s="968"/>
      <c r="BL45" s="941"/>
      <c r="BM45" s="941"/>
      <c r="BN45" s="941"/>
      <c r="BO45" s="941"/>
      <c r="BP45" s="968"/>
      <c r="BQ45" s="941"/>
      <c r="BR45" s="941"/>
      <c r="BS45" s="941"/>
      <c r="BT45" s="941"/>
      <c r="BU45" s="968"/>
      <c r="BV45" s="941"/>
      <c r="BW45" s="941"/>
      <c r="BX45" s="941"/>
      <c r="BY45" s="941"/>
      <c r="BZ45" s="968"/>
      <c r="CA45" s="941"/>
      <c r="CB45" s="215"/>
      <c r="CC45" s="215"/>
      <c r="CD45" s="215"/>
      <c r="CE45" s="968"/>
      <c r="CF45" s="941"/>
      <c r="CG45" s="215"/>
      <c r="CH45" s="215"/>
      <c r="CI45" s="215"/>
      <c r="CJ45" s="968"/>
      <c r="CK45" s="215"/>
      <c r="CL45" s="215"/>
      <c r="CM45" s="215"/>
      <c r="CN45" s="215"/>
      <c r="CO45" s="968"/>
      <c r="CP45" s="215"/>
      <c r="CQ45" s="215"/>
      <c r="CR45" s="215"/>
      <c r="CS45" s="215"/>
      <c r="CT45" s="968"/>
      <c r="CU45" s="215"/>
      <c r="CV45" s="215"/>
      <c r="CW45" s="215"/>
      <c r="CX45" s="215"/>
      <c r="CY45" s="968"/>
      <c r="CZ45" s="1788"/>
      <c r="DA45" s="968"/>
      <c r="DB45"/>
      <c r="DC45"/>
      <c r="DD45" s="1131" t="s">
        <v>307</v>
      </c>
      <c r="DE45" s="2290">
        <f t="shared" si="107"/>
        <v>0</v>
      </c>
      <c r="DF45" s="2290">
        <f t="shared" si="108"/>
        <v>0</v>
      </c>
      <c r="DG45" s="2290">
        <f t="shared" si="109"/>
        <v>-126</v>
      </c>
      <c r="DH45" s="2290">
        <f t="shared" si="110"/>
        <v>-96</v>
      </c>
      <c r="DI45" s="2290">
        <f t="shared" si="111"/>
        <v>-30</v>
      </c>
      <c r="DJ45" s="2290">
        <f t="shared" si="112"/>
        <v>-65</v>
      </c>
      <c r="DK45" s="2290">
        <f t="shared" si="113"/>
        <v>-85</v>
      </c>
      <c r="DL45" s="2290">
        <f t="shared" si="114"/>
        <v>-129</v>
      </c>
      <c r="DM45" s="2290">
        <f t="shared" si="115"/>
        <v>0</v>
      </c>
      <c r="DN45" s="2290">
        <f t="shared" si="116"/>
        <v>0</v>
      </c>
      <c r="DO45" s="2290">
        <f t="shared" si="117"/>
        <v>0</v>
      </c>
      <c r="DP45" s="2290">
        <f t="shared" si="118"/>
        <v>0</v>
      </c>
      <c r="DQ45" s="2290">
        <f t="shared" si="119"/>
        <v>0</v>
      </c>
      <c r="DR45" s="2290">
        <f t="shared" si="120"/>
        <v>0</v>
      </c>
      <c r="DS45" s="2290">
        <f t="shared" si="121"/>
        <v>0</v>
      </c>
      <c r="DT45" s="2290">
        <f t="shared" si="122"/>
        <v>0</v>
      </c>
      <c r="DU45" s="2290">
        <f t="shared" si="123"/>
        <v>0</v>
      </c>
      <c r="DV45" s="2290">
        <f t="shared" si="124"/>
        <v>0</v>
      </c>
      <c r="DW45" s="2290">
        <f t="shared" si="125"/>
        <v>0</v>
      </c>
      <c r="DX45" s="2290">
        <f t="shared" si="126"/>
        <v>0</v>
      </c>
      <c r="DY45" s="2290">
        <f t="shared" si="127"/>
        <v>0</v>
      </c>
      <c r="EA45"/>
      <c r="EB45"/>
      <c r="EC45"/>
      <c r="ED45"/>
      <c r="EE45"/>
      <c r="EF45"/>
      <c r="EJ45"/>
      <c r="EK45"/>
      <c r="EL45"/>
      <c r="ER45" s="212"/>
    </row>
    <row r="46" spans="1:148" s="927" customFormat="1" ht="12.75" customHeight="1" collapsed="1" x14ac:dyDescent="0.2">
      <c r="A46" s="1446" t="s">
        <v>695</v>
      </c>
      <c r="B46" s="767"/>
      <c r="C46" s="767"/>
      <c r="D46" s="767"/>
      <c r="E46" s="767"/>
      <c r="F46" s="767"/>
      <c r="G46" s="767"/>
      <c r="H46" s="767"/>
      <c r="I46" s="767">
        <v>-6.5408805031446544</v>
      </c>
      <c r="J46" s="767">
        <v>1.8730964467005076</v>
      </c>
      <c r="K46" s="767">
        <v>0</v>
      </c>
      <c r="L46" s="767">
        <v>-4.5311203319502074</v>
      </c>
      <c r="M46" s="1048">
        <v>-9.1989043883943538</v>
      </c>
      <c r="N46" s="767">
        <v>1.893048128342246</v>
      </c>
      <c r="O46" s="767">
        <v>5.0051282051282051</v>
      </c>
      <c r="P46" s="767">
        <v>4.8311688311688306</v>
      </c>
      <c r="Q46" s="767">
        <v>-170.18823529411765</v>
      </c>
      <c r="R46" s="1048">
        <f>SUM(N46:Q46)</f>
        <v>-158.45889012947836</v>
      </c>
      <c r="S46" s="767">
        <f>4-4</f>
        <v>0</v>
      </c>
      <c r="T46" s="767">
        <f>3-1+(-7+5)*(1-T638)</f>
        <v>0.72199999999999998</v>
      </c>
      <c r="U46" s="767">
        <f>10-21</f>
        <v>-11</v>
      </c>
      <c r="V46" s="767">
        <f>-125-28+(44)*(1-V638)</f>
        <v>-130.86799999999999</v>
      </c>
      <c r="W46" s="1048">
        <f>SUM(S46:V46)</f>
        <v>-141.14599999999999</v>
      </c>
      <c r="X46" s="767">
        <f>30-1</f>
        <v>29</v>
      </c>
      <c r="Y46" s="767">
        <f>-1</f>
        <v>-1</v>
      </c>
      <c r="Z46" s="767">
        <f>-1</f>
        <v>-1</v>
      </c>
      <c r="AA46" s="767">
        <f>-3+2</f>
        <v>-1</v>
      </c>
      <c r="AB46" s="1048">
        <f>SUM(X46:AA46)</f>
        <v>26</v>
      </c>
      <c r="AC46" s="767">
        <v>0</v>
      </c>
      <c r="AD46" s="767">
        <v>0</v>
      </c>
      <c r="AE46" s="767">
        <v>1</v>
      </c>
      <c r="AF46" s="767">
        <v>1</v>
      </c>
      <c r="AG46" s="1048">
        <f>SUM(AC46:AF46)</f>
        <v>2</v>
      </c>
      <c r="AH46" s="767">
        <v>0</v>
      </c>
      <c r="AI46" s="767">
        <f>-62-19</f>
        <v>-81</v>
      </c>
      <c r="AJ46" s="767">
        <f>-17+6</f>
        <v>-11</v>
      </c>
      <c r="AK46" s="767">
        <v>0</v>
      </c>
      <c r="AL46" s="1048">
        <f>SUM(AH46:AK46)</f>
        <v>-92</v>
      </c>
      <c r="AM46" s="767">
        <f>-105</f>
        <v>-105</v>
      </c>
      <c r="AN46" s="767">
        <v>0</v>
      </c>
      <c r="AO46" s="767">
        <v>0</v>
      </c>
      <c r="AP46" s="767">
        <v>0</v>
      </c>
      <c r="AQ46" s="1048">
        <f>SUM(AM46:AP46)</f>
        <v>-105</v>
      </c>
      <c r="AR46" s="767">
        <v>0</v>
      </c>
      <c r="AS46" s="767">
        <v>-35</v>
      </c>
      <c r="AT46" s="767">
        <v>0</v>
      </c>
      <c r="AU46" s="767">
        <v>-60</v>
      </c>
      <c r="AV46" s="1048">
        <f>SUM(AR46:AU46)</f>
        <v>-95</v>
      </c>
      <c r="AW46" s="767">
        <v>-1</v>
      </c>
      <c r="AX46" s="767">
        <f>4</f>
        <v>4</v>
      </c>
      <c r="AY46" s="767">
        <v>0</v>
      </c>
      <c r="AZ46" s="767">
        <f>124+7</f>
        <v>131</v>
      </c>
      <c r="BA46" s="1048">
        <f>SUM(AW46:AZ46)</f>
        <v>134</v>
      </c>
      <c r="BB46" s="767">
        <f>84+26</f>
        <v>110</v>
      </c>
      <c r="BC46" s="767">
        <f>30+17</f>
        <v>47</v>
      </c>
      <c r="BD46" s="767">
        <f>502+4+13</f>
        <v>519</v>
      </c>
      <c r="BE46" s="767">
        <v>0</v>
      </c>
      <c r="BF46" s="1048">
        <f>SUM(BB46:BE46)</f>
        <v>676</v>
      </c>
      <c r="BG46" s="767">
        <v>0</v>
      </c>
      <c r="BH46" s="767">
        <v>0</v>
      </c>
      <c r="BI46" s="767">
        <v>0</v>
      </c>
      <c r="BJ46" s="767">
        <v>0</v>
      </c>
      <c r="BK46" s="1048">
        <f>SUM(BG46:BJ46)</f>
        <v>0</v>
      </c>
      <c r="BL46" s="767">
        <v>0</v>
      </c>
      <c r="BM46" s="767">
        <v>0</v>
      </c>
      <c r="BN46" s="767">
        <v>0</v>
      </c>
      <c r="BO46" s="767">
        <v>0</v>
      </c>
      <c r="BP46" s="1048">
        <f>SUM(BL46:BO46)</f>
        <v>0</v>
      </c>
      <c r="BQ46" s="767">
        <v>0</v>
      </c>
      <c r="BR46" s="767">
        <v>0</v>
      </c>
      <c r="BS46" s="767">
        <v>0</v>
      </c>
      <c r="BT46" s="767">
        <v>0</v>
      </c>
      <c r="BU46" s="1048">
        <f>SUM(BQ46:BT46)</f>
        <v>0</v>
      </c>
      <c r="BV46" s="767">
        <v>0</v>
      </c>
      <c r="BW46" s="767">
        <v>0</v>
      </c>
      <c r="BX46" s="767">
        <v>0</v>
      </c>
      <c r="BY46" s="767">
        <v>0</v>
      </c>
      <c r="BZ46" s="1048">
        <f>SUM(BV46:BY46)</f>
        <v>0</v>
      </c>
      <c r="CA46" s="767">
        <v>0</v>
      </c>
      <c r="CB46" s="767">
        <v>0</v>
      </c>
      <c r="CC46" s="767">
        <v>0</v>
      </c>
      <c r="CD46" s="767">
        <v>0</v>
      </c>
      <c r="CE46" s="1048">
        <f>SUM(CA46:CD46)</f>
        <v>0</v>
      </c>
      <c r="CF46" s="767">
        <v>0</v>
      </c>
      <c r="CG46" s="767">
        <v>0</v>
      </c>
      <c r="CH46" s="767">
        <v>0</v>
      </c>
      <c r="CI46" s="767">
        <v>0</v>
      </c>
      <c r="CJ46" s="1048">
        <f>SUM(CF46:CI46)</f>
        <v>0</v>
      </c>
      <c r="CK46" s="767">
        <v>0</v>
      </c>
      <c r="CL46" s="767">
        <v>0</v>
      </c>
      <c r="CM46" s="767">
        <f>-237+20</f>
        <v>-217</v>
      </c>
      <c r="CN46" s="767">
        <v>-136</v>
      </c>
      <c r="CO46" s="1048">
        <f>SUM(CK46:CN46)</f>
        <v>-353</v>
      </c>
      <c r="CP46" s="767">
        <v>-51</v>
      </c>
      <c r="CQ46" s="767">
        <f>-21</f>
        <v>-21</v>
      </c>
      <c r="CR46" s="767">
        <v>0</v>
      </c>
      <c r="CS46" s="767">
        <v>-59</v>
      </c>
      <c r="CT46" s="246">
        <f>SUM(CP46:CS46)</f>
        <v>-131</v>
      </c>
      <c r="CU46" s="850">
        <v>0</v>
      </c>
      <c r="CV46" s="850">
        <v>0</v>
      </c>
      <c r="CW46" s="850">
        <v>0</v>
      </c>
      <c r="CX46" s="850">
        <v>0</v>
      </c>
      <c r="CY46" s="1048">
        <f>SUM(CU46:CX46)</f>
        <v>0</v>
      </c>
      <c r="CZ46" s="3449">
        <v>0</v>
      </c>
      <c r="DA46" s="1048">
        <v>0</v>
      </c>
      <c r="DB46" s="537"/>
      <c r="DC46" s="537"/>
      <c r="DD46" s="1446" t="s">
        <v>695</v>
      </c>
      <c r="DE46" s="246">
        <f t="shared" si="107"/>
        <v>-9.1989043883943538</v>
      </c>
      <c r="DF46" s="246">
        <f t="shared" si="108"/>
        <v>-158.45889012947836</v>
      </c>
      <c r="DG46" s="246">
        <f t="shared" si="109"/>
        <v>-141.14599999999999</v>
      </c>
      <c r="DH46" s="246">
        <f t="shared" si="110"/>
        <v>26</v>
      </c>
      <c r="DI46" s="246">
        <f t="shared" si="111"/>
        <v>2</v>
      </c>
      <c r="DJ46" s="246">
        <f t="shared" si="112"/>
        <v>-92</v>
      </c>
      <c r="DK46" s="246">
        <f t="shared" si="113"/>
        <v>-105</v>
      </c>
      <c r="DL46" s="246">
        <f t="shared" si="114"/>
        <v>-95</v>
      </c>
      <c r="DM46" s="246">
        <f t="shared" si="115"/>
        <v>134</v>
      </c>
      <c r="DN46" s="246">
        <f t="shared" si="116"/>
        <v>676</v>
      </c>
      <c r="DO46" s="246">
        <f t="shared" si="117"/>
        <v>0</v>
      </c>
      <c r="DP46" s="246">
        <f t="shared" si="118"/>
        <v>0</v>
      </c>
      <c r="DQ46" s="246">
        <f t="shared" si="119"/>
        <v>0</v>
      </c>
      <c r="DR46" s="246">
        <f t="shared" si="120"/>
        <v>0</v>
      </c>
      <c r="DS46" s="246">
        <f t="shared" si="121"/>
        <v>0</v>
      </c>
      <c r="DT46" s="246">
        <f t="shared" si="122"/>
        <v>0</v>
      </c>
      <c r="DU46" s="246">
        <f t="shared" si="123"/>
        <v>-353</v>
      </c>
      <c r="DV46" s="246">
        <f t="shared" si="124"/>
        <v>-131</v>
      </c>
      <c r="DW46" s="246">
        <f t="shared" si="125"/>
        <v>0</v>
      </c>
      <c r="DX46" s="246">
        <f t="shared" si="126"/>
        <v>0</v>
      </c>
      <c r="DY46" s="246">
        <f t="shared" si="127"/>
        <v>0</v>
      </c>
      <c r="EA46"/>
      <c r="EB46"/>
      <c r="EC46"/>
      <c r="ED46"/>
      <c r="EE46"/>
      <c r="EF46"/>
      <c r="EJ46"/>
      <c r="EK46"/>
      <c r="EL46"/>
      <c r="EM46" s="1703"/>
      <c r="ER46" s="1445"/>
    </row>
    <row r="47" spans="1:148" s="923" customFormat="1" ht="12.75" customHeight="1" x14ac:dyDescent="0.2">
      <c r="A47" s="1560" t="s">
        <v>692</v>
      </c>
      <c r="B47" s="1381"/>
      <c r="C47" s="1381"/>
      <c r="D47" s="1381"/>
      <c r="E47" s="1381"/>
      <c r="F47" s="1381"/>
      <c r="G47" s="1381"/>
      <c r="H47" s="1381"/>
      <c r="I47" s="1381">
        <f t="shared" ref="I47:AN47" si="131">I33+SUM(I38:I42)+I46</f>
        <v>152.45911949685535</v>
      </c>
      <c r="J47" s="1381">
        <f t="shared" si="131"/>
        <v>198.87309644670052</v>
      </c>
      <c r="K47" s="1381">
        <f t="shared" si="131"/>
        <v>174</v>
      </c>
      <c r="L47" s="1381">
        <f t="shared" si="131"/>
        <v>236.46887966804979</v>
      </c>
      <c r="M47" s="967">
        <f t="shared" si="131"/>
        <v>761.80109561160566</v>
      </c>
      <c r="N47" s="1381">
        <f t="shared" si="131"/>
        <v>188.89304812834226</v>
      </c>
      <c r="O47" s="1381">
        <f t="shared" si="131"/>
        <v>200.00512820512822</v>
      </c>
      <c r="P47" s="1381">
        <f t="shared" si="131"/>
        <v>158.83116883116884</v>
      </c>
      <c r="Q47" s="1381">
        <f t="shared" si="131"/>
        <v>-85.188235294117646</v>
      </c>
      <c r="R47" s="967">
        <f t="shared" si="131"/>
        <v>462.54110987052161</v>
      </c>
      <c r="S47" s="1381">
        <f t="shared" si="131"/>
        <v>124</v>
      </c>
      <c r="T47" s="1381">
        <f t="shared" si="131"/>
        <v>178.72200000000001</v>
      </c>
      <c r="U47" s="1381">
        <f t="shared" si="131"/>
        <v>133</v>
      </c>
      <c r="V47" s="1381">
        <f t="shared" si="131"/>
        <v>-13.867999999999995</v>
      </c>
      <c r="W47" s="967">
        <f t="shared" si="131"/>
        <v>421.85400000000004</v>
      </c>
      <c r="X47" s="1381">
        <f t="shared" si="131"/>
        <v>135</v>
      </c>
      <c r="Y47" s="1381">
        <f t="shared" si="131"/>
        <v>151</v>
      </c>
      <c r="Z47" s="1381">
        <f t="shared" si="131"/>
        <v>108</v>
      </c>
      <c r="AA47" s="1381">
        <f t="shared" si="131"/>
        <v>214</v>
      </c>
      <c r="AB47" s="967">
        <f t="shared" si="131"/>
        <v>608</v>
      </c>
      <c r="AC47" s="1381">
        <f t="shared" si="131"/>
        <v>160</v>
      </c>
      <c r="AD47" s="1381">
        <f t="shared" si="131"/>
        <v>199</v>
      </c>
      <c r="AE47" s="1381">
        <f t="shared" si="131"/>
        <v>167</v>
      </c>
      <c r="AF47" s="1381">
        <f t="shared" si="131"/>
        <v>228</v>
      </c>
      <c r="AG47" s="967">
        <f t="shared" si="131"/>
        <v>754</v>
      </c>
      <c r="AH47" s="1381">
        <f t="shared" si="131"/>
        <v>194</v>
      </c>
      <c r="AI47" s="1381">
        <f t="shared" si="131"/>
        <v>184</v>
      </c>
      <c r="AJ47" s="1381">
        <f t="shared" si="131"/>
        <v>182</v>
      </c>
      <c r="AK47" s="1381">
        <f t="shared" si="131"/>
        <v>317</v>
      </c>
      <c r="AL47" s="967">
        <f t="shared" si="131"/>
        <v>877</v>
      </c>
      <c r="AM47" s="1381">
        <f t="shared" si="131"/>
        <v>146</v>
      </c>
      <c r="AN47" s="1381">
        <f t="shared" si="131"/>
        <v>284</v>
      </c>
      <c r="AO47" s="1381">
        <f t="shared" ref="AO47:BT47" si="132">AO33+SUM(AO38:AO42)+AO46</f>
        <v>221</v>
      </c>
      <c r="AP47" s="1381">
        <f t="shared" si="132"/>
        <v>336</v>
      </c>
      <c r="AQ47" s="967">
        <f t="shared" si="132"/>
        <v>987</v>
      </c>
      <c r="AR47" s="1381">
        <f t="shared" si="132"/>
        <v>250</v>
      </c>
      <c r="AS47" s="1381">
        <f t="shared" si="132"/>
        <v>316</v>
      </c>
      <c r="AT47" s="1381">
        <f t="shared" si="132"/>
        <v>214</v>
      </c>
      <c r="AU47" s="1381">
        <f t="shared" si="132"/>
        <v>310</v>
      </c>
      <c r="AV47" s="967">
        <f t="shared" si="132"/>
        <v>1090</v>
      </c>
      <c r="AW47" s="1381">
        <f t="shared" si="132"/>
        <v>195</v>
      </c>
      <c r="AX47" s="1381">
        <f t="shared" si="132"/>
        <v>294</v>
      </c>
      <c r="AY47" s="1381">
        <f t="shared" si="132"/>
        <v>187</v>
      </c>
      <c r="AZ47" s="1381">
        <f t="shared" si="132"/>
        <v>152</v>
      </c>
      <c r="BA47" s="967">
        <f t="shared" si="132"/>
        <v>828</v>
      </c>
      <c r="BB47" s="1381">
        <f t="shared" si="132"/>
        <v>118</v>
      </c>
      <c r="BC47" s="1381">
        <f t="shared" si="132"/>
        <v>126</v>
      </c>
      <c r="BD47" s="1381">
        <f t="shared" si="132"/>
        <v>-160</v>
      </c>
      <c r="BE47" s="1381">
        <f t="shared" si="132"/>
        <v>193</v>
      </c>
      <c r="BF47" s="967">
        <f t="shared" si="132"/>
        <v>277</v>
      </c>
      <c r="BG47" s="1381">
        <f t="shared" si="132"/>
        <v>116</v>
      </c>
      <c r="BH47" s="1381">
        <f t="shared" si="132"/>
        <v>166</v>
      </c>
      <c r="BI47" s="1381">
        <f t="shared" si="132"/>
        <v>105</v>
      </c>
      <c r="BJ47" s="1381">
        <f t="shared" si="132"/>
        <v>186</v>
      </c>
      <c r="BK47" s="967">
        <f t="shared" si="132"/>
        <v>573</v>
      </c>
      <c r="BL47" s="1381">
        <f t="shared" si="132"/>
        <v>131</v>
      </c>
      <c r="BM47" s="1381">
        <f t="shared" si="132"/>
        <v>187</v>
      </c>
      <c r="BN47" s="1381">
        <f t="shared" si="132"/>
        <v>150</v>
      </c>
      <c r="BO47" s="1381">
        <f t="shared" si="132"/>
        <v>216</v>
      </c>
      <c r="BP47" s="967">
        <f t="shared" si="132"/>
        <v>684</v>
      </c>
      <c r="BQ47" s="1381">
        <f t="shared" si="132"/>
        <v>147</v>
      </c>
      <c r="BR47" s="1381">
        <f t="shared" si="132"/>
        <v>209</v>
      </c>
      <c r="BS47" s="1381">
        <f t="shared" si="132"/>
        <v>222</v>
      </c>
      <c r="BT47" s="1381">
        <f t="shared" si="132"/>
        <v>271</v>
      </c>
      <c r="BU47" s="967">
        <f t="shared" ref="BU47:CE47" si="133">BU33+SUM(BU38:BU42)+BU46</f>
        <v>849</v>
      </c>
      <c r="BV47" s="1381">
        <f>BV33+SUM(BV38:BV42)+BV46</f>
        <v>201</v>
      </c>
      <c r="BW47" s="1381">
        <f>BW33+SUM(BW38:BW42)+BW46</f>
        <v>263</v>
      </c>
      <c r="BX47" s="882">
        <f t="shared" si="133"/>
        <v>223</v>
      </c>
      <c r="BY47" s="882">
        <f t="shared" si="133"/>
        <v>210</v>
      </c>
      <c r="BZ47" s="967">
        <f t="shared" si="133"/>
        <v>897</v>
      </c>
      <c r="CA47" s="1381">
        <f>CA33+SUM(CA38:CA42)+CA46</f>
        <v>231</v>
      </c>
      <c r="CB47" s="882">
        <f t="shared" si="133"/>
        <v>285</v>
      </c>
      <c r="CC47" s="882">
        <f t="shared" si="133"/>
        <v>290</v>
      </c>
      <c r="CD47" s="1783">
        <f t="shared" si="133"/>
        <v>282</v>
      </c>
      <c r="CE47" s="967">
        <f t="shared" si="133"/>
        <v>1088</v>
      </c>
      <c r="CF47" s="1381">
        <f>CF33+SUM(CF38:CF42)+CF46</f>
        <v>307</v>
      </c>
      <c r="CG47" s="882">
        <f>CG33+SUM(CG38:CG42)+CG46</f>
        <v>355</v>
      </c>
      <c r="CH47" s="882">
        <f>CH33+SUM(CH38:CH42)+CH46</f>
        <v>309</v>
      </c>
      <c r="CI47" s="1783">
        <f>CI33+SUM(CI38:CI42)+CI46</f>
        <v>284</v>
      </c>
      <c r="CJ47" s="967">
        <f>CJ33+SUM(CJ38:CJ42)+CJ46</f>
        <v>1255</v>
      </c>
      <c r="CK47" s="882">
        <f t="shared" ref="CK47:CT47" si="134">CK33+SUM(CK38:CK42)+CK46</f>
        <v>326</v>
      </c>
      <c r="CL47" s="882">
        <f t="shared" si="134"/>
        <v>344</v>
      </c>
      <c r="CM47" s="882">
        <f t="shared" si="134"/>
        <v>131</v>
      </c>
      <c r="CN47" s="2207">
        <f>CN33+SUM(CN38:CN42)+CN46</f>
        <v>383</v>
      </c>
      <c r="CO47" s="967">
        <f t="shared" si="134"/>
        <v>1184</v>
      </c>
      <c r="CP47" s="882">
        <f t="shared" si="134"/>
        <v>485</v>
      </c>
      <c r="CQ47" s="882">
        <f t="shared" si="134"/>
        <v>592</v>
      </c>
      <c r="CR47" s="882">
        <f t="shared" si="134"/>
        <v>580</v>
      </c>
      <c r="CS47" s="882">
        <f t="shared" si="134"/>
        <v>1179</v>
      </c>
      <c r="CT47" s="967">
        <f t="shared" si="134"/>
        <v>2836</v>
      </c>
      <c r="CU47" s="882">
        <f t="shared" ref="CU47:DA47" ca="1" si="135">CU33+SUM(CU38:CU42)+CU46</f>
        <v>591.96257469878446</v>
      </c>
      <c r="CV47" s="882">
        <f t="shared" ca="1" si="135"/>
        <v>634.05218635532685</v>
      </c>
      <c r="CW47" s="882">
        <f t="shared" ca="1" si="135"/>
        <v>614.52484850898634</v>
      </c>
      <c r="CX47" s="882">
        <f t="shared" ca="1" si="135"/>
        <v>641.94897323426665</v>
      </c>
      <c r="CY47" s="967">
        <f t="shared" ca="1" si="135"/>
        <v>2482.4885827973617</v>
      </c>
      <c r="CZ47" s="1783">
        <f t="shared" ca="1" si="135"/>
        <v>2800.9036447379804</v>
      </c>
      <c r="DA47" s="967">
        <f t="shared" ca="1" si="135"/>
        <v>2749.7211174093563</v>
      </c>
      <c r="DB47"/>
      <c r="DC47"/>
      <c r="DD47" s="1560" t="s">
        <v>692</v>
      </c>
      <c r="DE47" s="967">
        <f t="shared" si="107"/>
        <v>761.80109561160566</v>
      </c>
      <c r="DF47" s="967">
        <f t="shared" si="108"/>
        <v>462.54110987052161</v>
      </c>
      <c r="DG47" s="967">
        <f t="shared" si="109"/>
        <v>421.85400000000004</v>
      </c>
      <c r="DH47" s="967">
        <f t="shared" si="110"/>
        <v>608</v>
      </c>
      <c r="DI47" s="967">
        <f t="shared" si="111"/>
        <v>754</v>
      </c>
      <c r="DJ47" s="967">
        <f t="shared" si="112"/>
        <v>877</v>
      </c>
      <c r="DK47" s="967">
        <f t="shared" si="113"/>
        <v>987</v>
      </c>
      <c r="DL47" s="967">
        <f t="shared" si="114"/>
        <v>1090</v>
      </c>
      <c r="DM47" s="967">
        <f t="shared" si="115"/>
        <v>828</v>
      </c>
      <c r="DN47" s="967">
        <f t="shared" si="116"/>
        <v>277</v>
      </c>
      <c r="DO47" s="967">
        <f t="shared" si="117"/>
        <v>573</v>
      </c>
      <c r="DP47" s="967">
        <f t="shared" si="118"/>
        <v>684</v>
      </c>
      <c r="DQ47" s="967">
        <f t="shared" si="119"/>
        <v>849</v>
      </c>
      <c r="DR47" s="967">
        <f t="shared" si="120"/>
        <v>897</v>
      </c>
      <c r="DS47" s="967">
        <f t="shared" si="121"/>
        <v>1088</v>
      </c>
      <c r="DT47" s="967">
        <f t="shared" si="122"/>
        <v>1255</v>
      </c>
      <c r="DU47" s="967">
        <f t="shared" si="123"/>
        <v>1184</v>
      </c>
      <c r="DV47" s="967">
        <f t="shared" si="124"/>
        <v>2836</v>
      </c>
      <c r="DW47" s="967">
        <f t="shared" ca="1" si="125"/>
        <v>2482.4885827973617</v>
      </c>
      <c r="DX47" s="967">
        <f t="shared" ca="1" si="126"/>
        <v>2800.9036447379804</v>
      </c>
      <c r="DY47" s="967">
        <f t="shared" ca="1" si="127"/>
        <v>2749.7211174093563</v>
      </c>
      <c r="EA47"/>
      <c r="EB47"/>
      <c r="EC47"/>
      <c r="ED47"/>
      <c r="EE47"/>
      <c r="EF47"/>
      <c r="EJ47"/>
      <c r="EK47"/>
      <c r="EL47"/>
      <c r="EM47" s="1703"/>
      <c r="ER47" s="212"/>
    </row>
    <row r="48" spans="1:148" s="925" customFormat="1" ht="12.75" customHeight="1" x14ac:dyDescent="0.2">
      <c r="A48" s="1661" t="s">
        <v>713</v>
      </c>
      <c r="B48" s="222"/>
      <c r="C48" s="222"/>
      <c r="D48" s="222"/>
      <c r="E48" s="222"/>
      <c r="F48" s="222"/>
      <c r="G48" s="222"/>
      <c r="H48" s="222"/>
      <c r="I48" s="222">
        <v>-58.459119496855344</v>
      </c>
      <c r="J48" s="222">
        <v>-72.873096446700501</v>
      </c>
      <c r="K48" s="222">
        <v>-64</v>
      </c>
      <c r="L48" s="222">
        <v>-87.468879668049794</v>
      </c>
      <c r="M48" s="1232">
        <v>-282.80109561160566</v>
      </c>
      <c r="N48" s="222">
        <v>-67.893048128342244</v>
      </c>
      <c r="O48" s="222">
        <v>-70.005128205128202</v>
      </c>
      <c r="P48" s="222">
        <v>-57.831168831168824</v>
      </c>
      <c r="Q48" s="222">
        <v>-30.811764705882339</v>
      </c>
      <c r="R48" s="1232">
        <f>SUM(N48:Q48)</f>
        <v>-226.54110987052161</v>
      </c>
      <c r="S48" s="222">
        <v>-36</v>
      </c>
      <c r="T48" s="222">
        <v>-6.7219999999999995</v>
      </c>
      <c r="U48" s="222">
        <v>2</v>
      </c>
      <c r="V48" s="222">
        <v>29.867999999999999</v>
      </c>
      <c r="W48" s="1232">
        <v>-10.854000000000003</v>
      </c>
      <c r="X48" s="222">
        <v>40</v>
      </c>
      <c r="Y48" s="222">
        <v>16</v>
      </c>
      <c r="Z48" s="222">
        <v>16</v>
      </c>
      <c r="AA48" s="222">
        <v>-29</v>
      </c>
      <c r="AB48" s="1232">
        <v>43</v>
      </c>
      <c r="AC48" s="222">
        <v>-18</v>
      </c>
      <c r="AD48" s="222">
        <v>-33</v>
      </c>
      <c r="AE48" s="222">
        <v>-28</v>
      </c>
      <c r="AF48" s="222">
        <v>-21</v>
      </c>
      <c r="AG48" s="1232">
        <v>-100</v>
      </c>
      <c r="AH48" s="222">
        <v>-5</v>
      </c>
      <c r="AI48" s="222">
        <v>-12</v>
      </c>
      <c r="AJ48" s="222">
        <v>-39</v>
      </c>
      <c r="AK48" s="222">
        <v>-78</v>
      </c>
      <c r="AL48" s="1232">
        <v>-134</v>
      </c>
      <c r="AM48" s="222">
        <v>-56</v>
      </c>
      <c r="AN48" s="222">
        <v>-85</v>
      </c>
      <c r="AO48" s="222">
        <v>-82</v>
      </c>
      <c r="AP48" s="222">
        <v>-63</v>
      </c>
      <c r="AQ48" s="1232">
        <v>-286</v>
      </c>
      <c r="AR48" s="222">
        <v>-14</v>
      </c>
      <c r="AS48" s="222">
        <v>-42</v>
      </c>
      <c r="AT48" s="222">
        <v>-52</v>
      </c>
      <c r="AU48" s="222">
        <v>-134</v>
      </c>
      <c r="AV48" s="1232">
        <v>-242</v>
      </c>
      <c r="AW48" s="222">
        <v>-75</v>
      </c>
      <c r="AX48" s="222">
        <v>-103</v>
      </c>
      <c r="AY48" s="222">
        <v>-74</v>
      </c>
      <c r="AZ48" s="222">
        <v>-94</v>
      </c>
      <c r="BA48" s="1232">
        <v>-346</v>
      </c>
      <c r="BB48" s="222">
        <v>-52</v>
      </c>
      <c r="BC48" s="222">
        <v>-54</v>
      </c>
      <c r="BD48" s="222">
        <v>-31</v>
      </c>
      <c r="BE48" s="222">
        <v>-68</v>
      </c>
      <c r="BF48" s="1232">
        <f>SUM(BB48:BE48)</f>
        <v>-205</v>
      </c>
      <c r="BG48" s="222">
        <v>-42</v>
      </c>
      <c r="BH48" s="222">
        <v>-57</v>
      </c>
      <c r="BI48" s="222">
        <v>-37</v>
      </c>
      <c r="BJ48" s="222">
        <v>-51</v>
      </c>
      <c r="BK48" s="1232">
        <f>SUM(BG48:BJ48)</f>
        <v>-187</v>
      </c>
      <c r="BL48" s="222">
        <v>-43</v>
      </c>
      <c r="BM48" s="222">
        <v>-61</v>
      </c>
      <c r="BN48" s="222">
        <v>-48</v>
      </c>
      <c r="BO48" s="222">
        <v>-57</v>
      </c>
      <c r="BP48" s="1232">
        <f>SUM(BL48:BO48)</f>
        <v>-209</v>
      </c>
      <c r="BQ48" s="222">
        <v>-43</v>
      </c>
      <c r="BR48" s="222">
        <v>-66</v>
      </c>
      <c r="BS48" s="222">
        <v>-79</v>
      </c>
      <c r="BT48" s="222">
        <v>-90</v>
      </c>
      <c r="BU48" s="1232">
        <f>SUM(BQ48:BT48)</f>
        <v>-278</v>
      </c>
      <c r="BV48" s="222">
        <v>-65</v>
      </c>
      <c r="BW48" s="222">
        <v>-84</v>
      </c>
      <c r="BX48" s="222">
        <v>-63</v>
      </c>
      <c r="BY48" s="222">
        <v>-59</v>
      </c>
      <c r="BZ48" s="1232">
        <f>SUM(BV48:BY48)</f>
        <v>-271</v>
      </c>
      <c r="CA48" s="222">
        <v>-59</v>
      </c>
      <c r="CB48" s="222">
        <v>-93</v>
      </c>
      <c r="CC48" s="222">
        <v>-98</v>
      </c>
      <c r="CD48" s="222">
        <v>-85</v>
      </c>
      <c r="CE48" s="1232">
        <f>SUM(CA48:CD48)</f>
        <v>-335</v>
      </c>
      <c r="CF48" s="222">
        <v>-100</v>
      </c>
      <c r="CG48" s="222">
        <v>-115</v>
      </c>
      <c r="CH48" s="222">
        <v>-99</v>
      </c>
      <c r="CI48" s="222">
        <v>-82</v>
      </c>
      <c r="CJ48" s="1232">
        <f>SUM(CF48:CI48)</f>
        <v>-396</v>
      </c>
      <c r="CK48" s="2918">
        <v>-107</v>
      </c>
      <c r="CL48" s="2918">
        <v>-97</v>
      </c>
      <c r="CM48" s="2918">
        <f>-113+58-6</f>
        <v>-61</v>
      </c>
      <c r="CN48" s="2918">
        <v>-139</v>
      </c>
      <c r="CO48" s="1232">
        <f>SUM(CK48:CN48)</f>
        <v>-404</v>
      </c>
      <c r="CP48" s="2918">
        <v>-120</v>
      </c>
      <c r="CQ48" s="2918">
        <v>-178</v>
      </c>
      <c r="CR48" s="2918">
        <v>-188</v>
      </c>
      <c r="CS48" s="2918">
        <v>-978</v>
      </c>
      <c r="CT48" s="1232">
        <f>SUM(CP48:CS48)</f>
        <v>-1464</v>
      </c>
      <c r="CU48" s="1784">
        <f t="shared" ref="CU48:DA48" ca="1" si="136">-CU639</f>
        <v>-130.23176643373259</v>
      </c>
      <c r="CV48" s="1784">
        <f t="shared" ca="1" si="136"/>
        <v>-139.49148099817191</v>
      </c>
      <c r="CW48" s="1784">
        <f t="shared" ca="1" si="136"/>
        <v>-135.19546667197699</v>
      </c>
      <c r="CX48" s="1784">
        <f t="shared" ca="1" si="136"/>
        <v>-141.22877411153866</v>
      </c>
      <c r="CY48" s="1232">
        <f ca="1">SUM(CU48:CX48)</f>
        <v>-546.14748821542014</v>
      </c>
      <c r="CZ48" s="3356">
        <f t="shared" ca="1" si="136"/>
        <v>-616.19880184235558</v>
      </c>
      <c r="DA48" s="1232">
        <f t="shared" ca="1" si="136"/>
        <v>-604.93864583005836</v>
      </c>
      <c r="DB48" s="3547"/>
      <c r="DC48"/>
      <c r="DD48" s="1661" t="s">
        <v>713</v>
      </c>
      <c r="DE48" s="966">
        <f t="shared" si="107"/>
        <v>-282.80109561160566</v>
      </c>
      <c r="DF48" s="966">
        <f t="shared" si="108"/>
        <v>-226.54110987052161</v>
      </c>
      <c r="DG48" s="966">
        <f t="shared" si="109"/>
        <v>-10.854000000000003</v>
      </c>
      <c r="DH48" s="966">
        <f t="shared" si="110"/>
        <v>43</v>
      </c>
      <c r="DI48" s="966">
        <f t="shared" si="111"/>
        <v>-100</v>
      </c>
      <c r="DJ48" s="966">
        <f t="shared" si="112"/>
        <v>-134</v>
      </c>
      <c r="DK48" s="966">
        <f t="shared" si="113"/>
        <v>-286</v>
      </c>
      <c r="DL48" s="966">
        <f t="shared" si="114"/>
        <v>-242</v>
      </c>
      <c r="DM48" s="966">
        <f t="shared" si="115"/>
        <v>-346</v>
      </c>
      <c r="DN48" s="966">
        <f t="shared" si="116"/>
        <v>-205</v>
      </c>
      <c r="DO48" s="966">
        <f t="shared" si="117"/>
        <v>-187</v>
      </c>
      <c r="DP48" s="966">
        <f t="shared" si="118"/>
        <v>-209</v>
      </c>
      <c r="DQ48" s="966">
        <f t="shared" si="119"/>
        <v>-278</v>
      </c>
      <c r="DR48" s="966">
        <f t="shared" si="120"/>
        <v>-271</v>
      </c>
      <c r="DS48" s="966">
        <f t="shared" si="121"/>
        <v>-335</v>
      </c>
      <c r="DT48" s="966">
        <f t="shared" si="122"/>
        <v>-396</v>
      </c>
      <c r="DU48" s="966">
        <f t="shared" si="123"/>
        <v>-404</v>
      </c>
      <c r="DV48" s="966">
        <f t="shared" si="124"/>
        <v>-1464</v>
      </c>
      <c r="DW48" s="966">
        <f t="shared" ca="1" si="125"/>
        <v>-546.14748821542014</v>
      </c>
      <c r="DX48" s="966">
        <f t="shared" ca="1" si="126"/>
        <v>-616.19880184235558</v>
      </c>
      <c r="DY48" s="966">
        <f t="shared" ca="1" si="127"/>
        <v>-604.93864583005836</v>
      </c>
      <c r="EA48"/>
      <c r="EB48"/>
      <c r="EC48"/>
      <c r="ED48"/>
      <c r="EE48"/>
      <c r="EF48"/>
      <c r="EJ48"/>
      <c r="EK48"/>
      <c r="EL48"/>
      <c r="EM48" s="1703"/>
      <c r="ER48" s="1650"/>
    </row>
    <row r="49" spans="1:148" s="923" customFormat="1" ht="12.75" hidden="1" customHeight="1" outlineLevel="1" x14ac:dyDescent="0.2">
      <c r="A49" s="1662" t="s">
        <v>759</v>
      </c>
      <c r="B49" s="223"/>
      <c r="C49" s="223"/>
      <c r="D49" s="223"/>
      <c r="E49" s="223"/>
      <c r="F49" s="223"/>
      <c r="G49" s="223"/>
      <c r="H49" s="223"/>
      <c r="I49" s="223"/>
      <c r="J49" s="223"/>
      <c r="K49" s="223"/>
      <c r="L49" s="223"/>
      <c r="M49" s="976"/>
      <c r="N49" s="223"/>
      <c r="O49" s="223"/>
      <c r="P49" s="223"/>
      <c r="Q49" s="223"/>
      <c r="R49" s="976"/>
      <c r="S49" s="223"/>
      <c r="T49" s="223"/>
      <c r="U49" s="223"/>
      <c r="V49" s="223"/>
      <c r="W49" s="976"/>
      <c r="X49" s="223"/>
      <c r="Y49" s="223"/>
      <c r="Z49" s="223"/>
      <c r="AA49" s="223"/>
      <c r="AB49" s="976"/>
      <c r="AC49" s="223"/>
      <c r="AD49" s="223"/>
      <c r="AE49" s="223"/>
      <c r="AF49" s="223"/>
      <c r="AG49" s="976"/>
      <c r="AH49" s="223">
        <v>0</v>
      </c>
      <c r="AI49" s="223">
        <v>0</v>
      </c>
      <c r="AJ49" s="223">
        <v>-6</v>
      </c>
      <c r="AK49" s="223">
        <v>-2</v>
      </c>
      <c r="AL49" s="976">
        <f>SUM(AH49:AK49)</f>
        <v>-8</v>
      </c>
      <c r="AM49" s="223">
        <v>1</v>
      </c>
      <c r="AN49" s="223">
        <v>0</v>
      </c>
      <c r="AO49" s="223">
        <v>0</v>
      </c>
      <c r="AP49" s="223">
        <v>-1</v>
      </c>
      <c r="AQ49" s="976">
        <f>SUM(AM49:AP49)</f>
        <v>0</v>
      </c>
      <c r="AR49" s="223">
        <v>0</v>
      </c>
      <c r="AS49" s="223">
        <v>0</v>
      </c>
      <c r="AT49" s="223">
        <v>1</v>
      </c>
      <c r="AU49" s="223">
        <v>0</v>
      </c>
      <c r="AV49" s="976">
        <f>SUM(AR49:AU49)</f>
        <v>1</v>
      </c>
      <c r="AW49" s="223">
        <v>1</v>
      </c>
      <c r="AX49" s="223">
        <v>2</v>
      </c>
      <c r="AY49" s="223">
        <v>10</v>
      </c>
      <c r="AZ49" s="223">
        <v>2</v>
      </c>
      <c r="BA49" s="976">
        <f>SUM(AW49:AZ49)</f>
        <v>15</v>
      </c>
      <c r="BB49" s="223">
        <v>2</v>
      </c>
      <c r="BC49" s="223">
        <v>2</v>
      </c>
      <c r="BD49" s="223">
        <v>3.2</v>
      </c>
      <c r="BE49" s="223">
        <v>0</v>
      </c>
      <c r="BF49" s="976">
        <f>SUM(BB49:BE49)</f>
        <v>7.2</v>
      </c>
      <c r="BG49" s="223">
        <v>0</v>
      </c>
      <c r="BH49" s="223">
        <v>0</v>
      </c>
      <c r="BI49" s="223">
        <v>0</v>
      </c>
      <c r="BJ49" s="223">
        <v>0</v>
      </c>
      <c r="BK49" s="976">
        <f>SUM(BG49:BJ49)</f>
        <v>0</v>
      </c>
      <c r="BL49" s="223">
        <v>0</v>
      </c>
      <c r="BM49" s="223">
        <v>0</v>
      </c>
      <c r="BN49" s="223">
        <v>0</v>
      </c>
      <c r="BO49" s="223">
        <f>BN49</f>
        <v>0</v>
      </c>
      <c r="BP49" s="976">
        <f>SUM(BL49:BO49)</f>
        <v>0</v>
      </c>
      <c r="BQ49" s="223">
        <v>0</v>
      </c>
      <c r="BR49" s="223">
        <v>0</v>
      </c>
      <c r="BS49" s="223">
        <v>0</v>
      </c>
      <c r="BT49" s="223">
        <f>BS49</f>
        <v>0</v>
      </c>
      <c r="BU49" s="976">
        <f>SUM(BQ49:BT49)</f>
        <v>0</v>
      </c>
      <c r="BV49" s="223">
        <f>BT49</f>
        <v>0</v>
      </c>
      <c r="BW49" s="223">
        <f>BV49</f>
        <v>0</v>
      </c>
      <c r="BX49" s="223">
        <f>BW49</f>
        <v>0</v>
      </c>
      <c r="BY49" s="223">
        <f>BX49</f>
        <v>0</v>
      </c>
      <c r="BZ49" s="976">
        <f>SUM(BV49:BY49)</f>
        <v>0</v>
      </c>
      <c r="CA49" s="223">
        <f>BY49</f>
        <v>0</v>
      </c>
      <c r="CB49" s="223">
        <f>CA49</f>
        <v>0</v>
      </c>
      <c r="CC49" s="223">
        <f>CB49</f>
        <v>0</v>
      </c>
      <c r="CD49" s="223">
        <f>CC49</f>
        <v>0</v>
      </c>
      <c r="CE49" s="976">
        <f>SUM(CA49:CD49)</f>
        <v>0</v>
      </c>
      <c r="CF49" s="223">
        <v>0</v>
      </c>
      <c r="CG49" s="223">
        <v>0</v>
      </c>
      <c r="CH49" s="223">
        <f>CG49</f>
        <v>0</v>
      </c>
      <c r="CI49" s="223">
        <f>CH49</f>
        <v>0</v>
      </c>
      <c r="CJ49" s="976">
        <f>SUM(CF49:CI49)</f>
        <v>0</v>
      </c>
      <c r="CK49" s="223">
        <f>CJ49</f>
        <v>0</v>
      </c>
      <c r="CL49" s="223">
        <f>CK49</f>
        <v>0</v>
      </c>
      <c r="CM49" s="223">
        <f>CL49</f>
        <v>0</v>
      </c>
      <c r="CN49" s="223">
        <f>CM49</f>
        <v>0</v>
      </c>
      <c r="CO49" s="976">
        <f>SUM(CK49:CN49)</f>
        <v>0</v>
      </c>
      <c r="CP49" s="223">
        <f>CO49</f>
        <v>0</v>
      </c>
      <c r="CQ49" s="223">
        <f>CP49</f>
        <v>0</v>
      </c>
      <c r="CR49" s="223">
        <f>CQ49</f>
        <v>0</v>
      </c>
      <c r="CS49" s="223">
        <f>CR49</f>
        <v>0</v>
      </c>
      <c r="CT49" s="976">
        <f>SUM(CP49:CS49)</f>
        <v>0</v>
      </c>
      <c r="CU49" s="223">
        <f>CT49</f>
        <v>0</v>
      </c>
      <c r="CV49" s="223">
        <f>CU49</f>
        <v>0</v>
      </c>
      <c r="CW49" s="223">
        <f>CV49</f>
        <v>0</v>
      </c>
      <c r="CX49" s="223">
        <f>CW49</f>
        <v>0</v>
      </c>
      <c r="CY49" s="976">
        <f>SUM(CU49:CX49)</f>
        <v>0</v>
      </c>
      <c r="CZ49" s="1825">
        <f>+CY49*1.03</f>
        <v>0</v>
      </c>
      <c r="DA49" s="976">
        <f>+CZ49*1.03</f>
        <v>0</v>
      </c>
      <c r="DB49" s="2137"/>
      <c r="DC49"/>
      <c r="DD49" s="2285" t="s">
        <v>759</v>
      </c>
      <c r="DE49" s="2290">
        <f t="shared" si="107"/>
        <v>0</v>
      </c>
      <c r="DF49" s="2290">
        <f t="shared" si="108"/>
        <v>0</v>
      </c>
      <c r="DG49" s="2290">
        <f t="shared" si="109"/>
        <v>0</v>
      </c>
      <c r="DH49" s="2290">
        <f t="shared" si="110"/>
        <v>0</v>
      </c>
      <c r="DI49" s="2290">
        <f t="shared" si="111"/>
        <v>0</v>
      </c>
      <c r="DJ49" s="2290">
        <f t="shared" si="112"/>
        <v>-8</v>
      </c>
      <c r="DK49" s="2290">
        <f t="shared" si="113"/>
        <v>0</v>
      </c>
      <c r="DL49" s="2290">
        <f t="shared" si="114"/>
        <v>1</v>
      </c>
      <c r="DM49" s="2290">
        <f t="shared" si="115"/>
        <v>15</v>
      </c>
      <c r="DN49" s="2290">
        <f t="shared" si="116"/>
        <v>7.2</v>
      </c>
      <c r="DO49" s="2290">
        <f t="shared" si="117"/>
        <v>0</v>
      </c>
      <c r="DP49" s="2290">
        <f t="shared" si="118"/>
        <v>0</v>
      </c>
      <c r="DQ49" s="2290">
        <f t="shared" si="119"/>
        <v>0</v>
      </c>
      <c r="DR49" s="2290">
        <f t="shared" si="120"/>
        <v>0</v>
      </c>
      <c r="DS49" s="2290">
        <f t="shared" si="121"/>
        <v>0</v>
      </c>
      <c r="DT49" s="2290">
        <f t="shared" si="122"/>
        <v>0</v>
      </c>
      <c r="DU49" s="2290">
        <f t="shared" si="123"/>
        <v>0</v>
      </c>
      <c r="DV49" s="2290">
        <f t="shared" si="124"/>
        <v>0</v>
      </c>
      <c r="DW49" s="2290">
        <f t="shared" si="125"/>
        <v>0</v>
      </c>
      <c r="DX49" s="2290">
        <f t="shared" si="126"/>
        <v>0</v>
      </c>
      <c r="DY49" s="2290">
        <f t="shared" si="127"/>
        <v>0</v>
      </c>
      <c r="EA49"/>
      <c r="EB49"/>
      <c r="EC49"/>
      <c r="ED49"/>
      <c r="EE49"/>
      <c r="EF49"/>
      <c r="EJ49"/>
      <c r="EK49"/>
      <c r="EL49"/>
      <c r="EM49" s="1703"/>
      <c r="ER49" s="212"/>
    </row>
    <row r="50" spans="1:148" s="923" customFormat="1" ht="12.75" customHeight="1" collapsed="1" x14ac:dyDescent="0.2">
      <c r="A50" s="1571" t="s">
        <v>688</v>
      </c>
      <c r="B50" s="872"/>
      <c r="C50" s="872"/>
      <c r="D50" s="872"/>
      <c r="E50" s="872"/>
      <c r="F50" s="872"/>
      <c r="G50" s="872"/>
      <c r="H50" s="872"/>
      <c r="I50" s="872">
        <f>-I48/I47</f>
        <v>0.38344127717503401</v>
      </c>
      <c r="J50" s="872">
        <f t="shared" ref="J50:BU50" si="137">-J48/J47</f>
        <v>0.36643013936392871</v>
      </c>
      <c r="K50" s="872">
        <f t="shared" si="137"/>
        <v>0.36781609195402298</v>
      </c>
      <c r="L50" s="872">
        <f t="shared" si="137"/>
        <v>0.36989594483145871</v>
      </c>
      <c r="M50" s="1003">
        <f t="shared" si="137"/>
        <v>0.37122694787484017</v>
      </c>
      <c r="N50" s="872">
        <f>-N48/N47</f>
        <v>0.35942586982985586</v>
      </c>
      <c r="O50" s="872">
        <f t="shared" si="137"/>
        <v>0.35001666623932715</v>
      </c>
      <c r="P50" s="872">
        <f t="shared" si="137"/>
        <v>0.36410466067048236</v>
      </c>
      <c r="Q50" s="872">
        <f t="shared" si="137"/>
        <v>-0.36169037425769907</v>
      </c>
      <c r="R50" s="1003">
        <f t="shared" si="137"/>
        <v>0.48977508168719724</v>
      </c>
      <c r="S50" s="872">
        <f>-S48/S47</f>
        <v>0.29032258064516131</v>
      </c>
      <c r="T50" s="872">
        <f t="shared" si="137"/>
        <v>3.7611485995009006E-2</v>
      </c>
      <c r="U50" s="872">
        <f t="shared" si="137"/>
        <v>-1.5037593984962405E-2</v>
      </c>
      <c r="V50" s="872">
        <f t="shared" si="137"/>
        <v>2.1537352177675229</v>
      </c>
      <c r="W50" s="1003">
        <f t="shared" si="137"/>
        <v>2.5729280746419381E-2</v>
      </c>
      <c r="X50" s="872">
        <f>-X48/X47</f>
        <v>-0.29629629629629628</v>
      </c>
      <c r="Y50" s="872">
        <f t="shared" si="137"/>
        <v>-0.10596026490066225</v>
      </c>
      <c r="Z50" s="872">
        <f t="shared" si="137"/>
        <v>-0.14814814814814814</v>
      </c>
      <c r="AA50" s="872">
        <f t="shared" si="137"/>
        <v>0.13551401869158877</v>
      </c>
      <c r="AB50" s="1003">
        <f t="shared" si="137"/>
        <v>-7.0723684210526314E-2</v>
      </c>
      <c r="AC50" s="872">
        <f>-AC48/AC47</f>
        <v>0.1125</v>
      </c>
      <c r="AD50" s="872">
        <f t="shared" si="137"/>
        <v>0.16582914572864321</v>
      </c>
      <c r="AE50" s="872">
        <f t="shared" si="137"/>
        <v>0.16766467065868262</v>
      </c>
      <c r="AF50" s="872">
        <f t="shared" si="137"/>
        <v>9.2105263157894732E-2</v>
      </c>
      <c r="AG50" s="1003">
        <f t="shared" si="137"/>
        <v>0.13262599469496023</v>
      </c>
      <c r="AH50" s="872">
        <f>-AH48/AH47</f>
        <v>2.5773195876288658E-2</v>
      </c>
      <c r="AI50" s="872">
        <f t="shared" si="137"/>
        <v>6.5217391304347824E-2</v>
      </c>
      <c r="AJ50" s="872">
        <f t="shared" si="137"/>
        <v>0.21428571428571427</v>
      </c>
      <c r="AK50" s="872">
        <f t="shared" si="137"/>
        <v>0.24605678233438485</v>
      </c>
      <c r="AL50" s="1003">
        <f t="shared" si="137"/>
        <v>0.15279361459521096</v>
      </c>
      <c r="AM50" s="872">
        <f>-AM48/AM47</f>
        <v>0.38356164383561642</v>
      </c>
      <c r="AN50" s="872">
        <f t="shared" si="137"/>
        <v>0.29929577464788731</v>
      </c>
      <c r="AO50" s="872">
        <f t="shared" si="137"/>
        <v>0.37104072398190047</v>
      </c>
      <c r="AP50" s="872">
        <f t="shared" si="137"/>
        <v>0.1875</v>
      </c>
      <c r="AQ50" s="1003">
        <f t="shared" si="137"/>
        <v>0.28976697061803447</v>
      </c>
      <c r="AR50" s="872">
        <f>-AR48/AR47</f>
        <v>5.6000000000000001E-2</v>
      </c>
      <c r="AS50" s="872">
        <f t="shared" si="137"/>
        <v>0.13291139240506328</v>
      </c>
      <c r="AT50" s="872">
        <f t="shared" si="137"/>
        <v>0.24299065420560748</v>
      </c>
      <c r="AU50" s="872">
        <f t="shared" si="137"/>
        <v>0.43225806451612903</v>
      </c>
      <c r="AV50" s="1003">
        <f t="shared" si="137"/>
        <v>0.22201834862385322</v>
      </c>
      <c r="AW50" s="872">
        <f>-AW48/AW47</f>
        <v>0.38461538461538464</v>
      </c>
      <c r="AX50" s="872">
        <f t="shared" si="137"/>
        <v>0.35034013605442177</v>
      </c>
      <c r="AY50" s="872">
        <f t="shared" si="137"/>
        <v>0.39572192513368987</v>
      </c>
      <c r="AZ50" s="872">
        <f t="shared" si="137"/>
        <v>0.61842105263157898</v>
      </c>
      <c r="BA50" s="1003">
        <f t="shared" si="137"/>
        <v>0.41787439613526572</v>
      </c>
      <c r="BB50" s="872">
        <f>-BB48/BB47</f>
        <v>0.44067796610169491</v>
      </c>
      <c r="BC50" s="872">
        <f t="shared" si="137"/>
        <v>0.42857142857142855</v>
      </c>
      <c r="BD50" s="872">
        <f t="shared" si="137"/>
        <v>-0.19375000000000001</v>
      </c>
      <c r="BE50" s="872">
        <f t="shared" si="137"/>
        <v>0.35233160621761656</v>
      </c>
      <c r="BF50" s="1003">
        <f t="shared" si="137"/>
        <v>0.74007220216606495</v>
      </c>
      <c r="BG50" s="872">
        <f>-BG48/BG47</f>
        <v>0.36206896551724138</v>
      </c>
      <c r="BH50" s="872">
        <f t="shared" si="137"/>
        <v>0.34337349397590361</v>
      </c>
      <c r="BI50" s="872">
        <f t="shared" si="137"/>
        <v>0.35238095238095241</v>
      </c>
      <c r="BJ50" s="872">
        <f t="shared" si="137"/>
        <v>0.27419354838709675</v>
      </c>
      <c r="BK50" s="1003">
        <f t="shared" si="137"/>
        <v>0.32635253054101221</v>
      </c>
      <c r="BL50" s="872">
        <f>-BL48/BL47</f>
        <v>0.3282442748091603</v>
      </c>
      <c r="BM50" s="872">
        <f t="shared" si="137"/>
        <v>0.32620320855614976</v>
      </c>
      <c r="BN50" s="872">
        <f t="shared" si="137"/>
        <v>0.32</v>
      </c>
      <c r="BO50" s="872">
        <f t="shared" si="137"/>
        <v>0.2638888888888889</v>
      </c>
      <c r="BP50" s="1003">
        <f t="shared" si="137"/>
        <v>0.30555555555555558</v>
      </c>
      <c r="BQ50" s="872">
        <f>-BQ48/BQ47</f>
        <v>0.29251700680272108</v>
      </c>
      <c r="BR50" s="872">
        <f t="shared" si="137"/>
        <v>0.31578947368421051</v>
      </c>
      <c r="BS50" s="872">
        <f t="shared" si="137"/>
        <v>0.35585585585585583</v>
      </c>
      <c r="BT50" s="872">
        <f t="shared" si="137"/>
        <v>0.33210332103321033</v>
      </c>
      <c r="BU50" s="1003">
        <f t="shared" si="137"/>
        <v>0.32744405182567726</v>
      </c>
      <c r="BV50" s="872">
        <f t="shared" ref="BV50:CG50" si="138">-BV48/BV47</f>
        <v>0.32338308457711445</v>
      </c>
      <c r="BW50" s="872">
        <f>-BW48/BW47</f>
        <v>0.3193916349809886</v>
      </c>
      <c r="BX50" s="872">
        <f t="shared" si="138"/>
        <v>0.28251121076233182</v>
      </c>
      <c r="BY50" s="872">
        <f t="shared" si="138"/>
        <v>0.28095238095238095</v>
      </c>
      <c r="BZ50" s="1001">
        <f t="shared" si="138"/>
        <v>0.30211817168338906</v>
      </c>
      <c r="CA50" s="872">
        <f>-CA48/CA47</f>
        <v>0.25541125541125542</v>
      </c>
      <c r="CB50" s="872">
        <f t="shared" si="138"/>
        <v>0.32631578947368423</v>
      </c>
      <c r="CC50" s="872">
        <f t="shared" si="138"/>
        <v>0.33793103448275863</v>
      </c>
      <c r="CD50" s="1785">
        <f t="shared" si="138"/>
        <v>0.30141843971631205</v>
      </c>
      <c r="CE50" s="1001">
        <f t="shared" si="138"/>
        <v>0.3079044117647059</v>
      </c>
      <c r="CF50" s="872">
        <f>-CF48/CF47</f>
        <v>0.32573289902280128</v>
      </c>
      <c r="CG50" s="872">
        <f t="shared" si="138"/>
        <v>0.323943661971831</v>
      </c>
      <c r="CH50" s="872">
        <f>-CH48/CH47</f>
        <v>0.32038834951456313</v>
      </c>
      <c r="CI50" s="1785">
        <f>-CI48/CI47</f>
        <v>0.28873239436619719</v>
      </c>
      <c r="CJ50" s="1003">
        <f>-CJ48/CJ47</f>
        <v>0.31553784860557771</v>
      </c>
      <c r="CK50" s="872">
        <f>-CK48/CK47</f>
        <v>0.32822085889570551</v>
      </c>
      <c r="CL50" s="872">
        <f>-CL48/CL47</f>
        <v>0.28197674418604651</v>
      </c>
      <c r="CM50" s="872">
        <f t="shared" ref="CM50:CT50" si="139">-CM48/CM47</f>
        <v>0.46564885496183206</v>
      </c>
      <c r="CN50" s="1785">
        <f t="shared" si="139"/>
        <v>0.36292428198433418</v>
      </c>
      <c r="CO50" s="1001">
        <f t="shared" si="139"/>
        <v>0.34121621621621623</v>
      </c>
      <c r="CP50" s="872">
        <f t="shared" si="139"/>
        <v>0.24742268041237114</v>
      </c>
      <c r="CQ50" s="872">
        <f t="shared" si="139"/>
        <v>0.30067567567567566</v>
      </c>
      <c r="CR50" s="872">
        <f t="shared" si="139"/>
        <v>0.32413793103448274</v>
      </c>
      <c r="CS50" s="872">
        <f t="shared" si="139"/>
        <v>0.82951653944020354</v>
      </c>
      <c r="CT50" s="1001">
        <f t="shared" si="139"/>
        <v>0.51622002820874469</v>
      </c>
      <c r="CU50" s="872">
        <f t="shared" ref="CU50:DA50" ca="1" si="140">-CU48/CU47</f>
        <v>0.22</v>
      </c>
      <c r="CV50" s="872">
        <f t="shared" ca="1" si="140"/>
        <v>0.22</v>
      </c>
      <c r="CW50" s="872">
        <f t="shared" ca="1" si="140"/>
        <v>0.22</v>
      </c>
      <c r="CX50" s="872">
        <f t="shared" ca="1" si="140"/>
        <v>0.22</v>
      </c>
      <c r="CY50" s="1001">
        <f t="shared" ca="1" si="140"/>
        <v>0.22000000000000022</v>
      </c>
      <c r="CZ50" s="1785">
        <f t="shared" ca="1" si="140"/>
        <v>0.21999999999999997</v>
      </c>
      <c r="DA50" s="1001">
        <f t="shared" ca="1" si="140"/>
        <v>0.22</v>
      </c>
      <c r="DB50" s="899"/>
      <c r="DC50"/>
      <c r="DD50" s="1571" t="s">
        <v>688</v>
      </c>
      <c r="DE50" s="1001">
        <f t="shared" si="107"/>
        <v>0.37122694787484017</v>
      </c>
      <c r="DF50" s="1001">
        <f t="shared" si="108"/>
        <v>0.48977508168719724</v>
      </c>
      <c r="DG50" s="1001">
        <f t="shared" si="109"/>
        <v>2.5729280746419381E-2</v>
      </c>
      <c r="DH50" s="1001">
        <f t="shared" si="110"/>
        <v>-7.0723684210526314E-2</v>
      </c>
      <c r="DI50" s="1001">
        <f t="shared" si="111"/>
        <v>0.13262599469496023</v>
      </c>
      <c r="DJ50" s="1001">
        <f t="shared" si="112"/>
        <v>0.15279361459521096</v>
      </c>
      <c r="DK50" s="1001">
        <f t="shared" si="113"/>
        <v>0.28976697061803447</v>
      </c>
      <c r="DL50" s="1001">
        <f t="shared" si="114"/>
        <v>0.22201834862385322</v>
      </c>
      <c r="DM50" s="1001">
        <f t="shared" si="115"/>
        <v>0.41787439613526572</v>
      </c>
      <c r="DN50" s="1001">
        <f t="shared" si="116"/>
        <v>0.74007220216606495</v>
      </c>
      <c r="DO50" s="1001">
        <f t="shared" si="117"/>
        <v>0.32635253054101221</v>
      </c>
      <c r="DP50" s="1001">
        <f t="shared" si="118"/>
        <v>0.30555555555555558</v>
      </c>
      <c r="DQ50" s="1001">
        <f t="shared" si="119"/>
        <v>0.32744405182567726</v>
      </c>
      <c r="DR50" s="1001">
        <f t="shared" si="120"/>
        <v>0.30211817168338906</v>
      </c>
      <c r="DS50" s="1001">
        <f t="shared" si="121"/>
        <v>0.3079044117647059</v>
      </c>
      <c r="DT50" s="1001">
        <f t="shared" si="122"/>
        <v>0.31553784860557771</v>
      </c>
      <c r="DU50" s="1001">
        <f t="shared" si="123"/>
        <v>0.34121621621621623</v>
      </c>
      <c r="DV50" s="1001">
        <f t="shared" si="124"/>
        <v>0.51622002820874469</v>
      </c>
      <c r="DW50" s="1001">
        <f t="shared" ca="1" si="125"/>
        <v>0.22000000000000022</v>
      </c>
      <c r="DX50" s="1001">
        <f t="shared" ca="1" si="126"/>
        <v>0.21999999999999997</v>
      </c>
      <c r="DY50" s="1001">
        <f t="shared" ca="1" si="127"/>
        <v>0.22</v>
      </c>
      <c r="EA50"/>
      <c r="EB50"/>
      <c r="EC50"/>
      <c r="ED50"/>
      <c r="EE50"/>
      <c r="EF50"/>
      <c r="EJ50"/>
      <c r="EK50"/>
      <c r="EL50"/>
      <c r="EM50" s="1703"/>
      <c r="ER50" s="212"/>
    </row>
    <row r="51" spans="1:148" s="1703" customFormat="1" ht="12.75" customHeight="1" x14ac:dyDescent="0.2">
      <c r="A51" s="1969" t="s">
        <v>696</v>
      </c>
      <c r="B51" s="1667"/>
      <c r="C51" s="1667"/>
      <c r="D51" s="1667"/>
      <c r="E51" s="1667"/>
      <c r="F51" s="1667"/>
      <c r="G51" s="1667"/>
      <c r="H51" s="1667"/>
      <c r="I51" s="1667">
        <f t="shared" ref="I51:AN51" si="141">SUM(I47:I49)</f>
        <v>94</v>
      </c>
      <c r="J51" s="1667">
        <f t="shared" si="141"/>
        <v>126.00000000000001</v>
      </c>
      <c r="K51" s="1667">
        <f t="shared" si="141"/>
        <v>110</v>
      </c>
      <c r="L51" s="1667">
        <f t="shared" si="141"/>
        <v>149</v>
      </c>
      <c r="M51" s="1668">
        <f t="shared" si="141"/>
        <v>479</v>
      </c>
      <c r="N51" s="1667">
        <f t="shared" si="141"/>
        <v>121.00000000000001</v>
      </c>
      <c r="O51" s="1667">
        <f t="shared" si="141"/>
        <v>130</v>
      </c>
      <c r="P51" s="1667">
        <f t="shared" si="141"/>
        <v>101.00000000000001</v>
      </c>
      <c r="Q51" s="1667">
        <f t="shared" si="141"/>
        <v>-115.99999999999999</v>
      </c>
      <c r="R51" s="1668">
        <f t="shared" si="141"/>
        <v>236</v>
      </c>
      <c r="S51" s="1667">
        <f>SUM(S47:S49)</f>
        <v>88</v>
      </c>
      <c r="T51" s="1667">
        <f t="shared" si="141"/>
        <v>172</v>
      </c>
      <c r="U51" s="1667">
        <f t="shared" si="141"/>
        <v>135</v>
      </c>
      <c r="V51" s="1667">
        <f t="shared" si="141"/>
        <v>16.000000000000004</v>
      </c>
      <c r="W51" s="1668">
        <f t="shared" si="141"/>
        <v>411.00000000000006</v>
      </c>
      <c r="X51" s="1667">
        <f t="shared" si="141"/>
        <v>175</v>
      </c>
      <c r="Y51" s="1667">
        <f t="shared" si="141"/>
        <v>167</v>
      </c>
      <c r="Z51" s="1667">
        <f t="shared" si="141"/>
        <v>124</v>
      </c>
      <c r="AA51" s="1667">
        <f t="shared" si="141"/>
        <v>185</v>
      </c>
      <c r="AB51" s="1668">
        <f t="shared" si="141"/>
        <v>651</v>
      </c>
      <c r="AC51" s="1667">
        <f t="shared" si="141"/>
        <v>142</v>
      </c>
      <c r="AD51" s="1667">
        <f t="shared" si="141"/>
        <v>166</v>
      </c>
      <c r="AE51" s="1667">
        <f t="shared" si="141"/>
        <v>139</v>
      </c>
      <c r="AF51" s="1667">
        <f t="shared" si="141"/>
        <v>207</v>
      </c>
      <c r="AG51" s="1668">
        <f t="shared" si="141"/>
        <v>654</v>
      </c>
      <c r="AH51" s="1667">
        <f t="shared" si="141"/>
        <v>189</v>
      </c>
      <c r="AI51" s="1667">
        <f t="shared" si="141"/>
        <v>172</v>
      </c>
      <c r="AJ51" s="1667">
        <f t="shared" si="141"/>
        <v>137</v>
      </c>
      <c r="AK51" s="1667">
        <f t="shared" si="141"/>
        <v>237</v>
      </c>
      <c r="AL51" s="1668">
        <f t="shared" si="141"/>
        <v>735</v>
      </c>
      <c r="AM51" s="1667">
        <f t="shared" si="141"/>
        <v>91</v>
      </c>
      <c r="AN51" s="1667">
        <f t="shared" si="141"/>
        <v>199</v>
      </c>
      <c r="AO51" s="1667">
        <f t="shared" ref="AO51:BU51" si="142">SUM(AO47:AO49)</f>
        <v>139</v>
      </c>
      <c r="AP51" s="1667">
        <f t="shared" si="142"/>
        <v>272</v>
      </c>
      <c r="AQ51" s="1668">
        <f t="shared" si="142"/>
        <v>701</v>
      </c>
      <c r="AR51" s="1667">
        <f t="shared" si="142"/>
        <v>236</v>
      </c>
      <c r="AS51" s="1667">
        <f t="shared" si="142"/>
        <v>274</v>
      </c>
      <c r="AT51" s="1667">
        <f t="shared" si="142"/>
        <v>163</v>
      </c>
      <c r="AU51" s="1667">
        <f t="shared" si="142"/>
        <v>176</v>
      </c>
      <c r="AV51" s="1668">
        <f t="shared" si="142"/>
        <v>849</v>
      </c>
      <c r="AW51" s="1667">
        <f>SUM(AW47:AW49)</f>
        <v>121</v>
      </c>
      <c r="AX51" s="1667">
        <f t="shared" si="142"/>
        <v>193</v>
      </c>
      <c r="AY51" s="1667">
        <f t="shared" si="142"/>
        <v>123</v>
      </c>
      <c r="AZ51" s="1667">
        <f t="shared" si="142"/>
        <v>60</v>
      </c>
      <c r="BA51" s="1668">
        <f t="shared" si="142"/>
        <v>497</v>
      </c>
      <c r="BB51" s="1667">
        <f t="shared" si="142"/>
        <v>68</v>
      </c>
      <c r="BC51" s="1667">
        <f t="shared" si="142"/>
        <v>74</v>
      </c>
      <c r="BD51" s="1667">
        <f t="shared" si="142"/>
        <v>-187.8</v>
      </c>
      <c r="BE51" s="1667">
        <f t="shared" si="142"/>
        <v>125</v>
      </c>
      <c r="BF51" s="1668">
        <f t="shared" si="142"/>
        <v>79.2</v>
      </c>
      <c r="BG51" s="1667">
        <f t="shared" si="142"/>
        <v>74</v>
      </c>
      <c r="BH51" s="1667">
        <f t="shared" si="142"/>
        <v>109</v>
      </c>
      <c r="BI51" s="1667">
        <f t="shared" si="142"/>
        <v>68</v>
      </c>
      <c r="BJ51" s="1667">
        <f t="shared" si="142"/>
        <v>135</v>
      </c>
      <c r="BK51" s="1668">
        <f t="shared" si="142"/>
        <v>386</v>
      </c>
      <c r="BL51" s="1667">
        <f t="shared" si="142"/>
        <v>88</v>
      </c>
      <c r="BM51" s="1667">
        <f t="shared" si="142"/>
        <v>126</v>
      </c>
      <c r="BN51" s="1667">
        <f t="shared" si="142"/>
        <v>102</v>
      </c>
      <c r="BO51" s="1667">
        <f>SUM(BO47:BO49)</f>
        <v>159</v>
      </c>
      <c r="BP51" s="1668">
        <f t="shared" si="142"/>
        <v>475</v>
      </c>
      <c r="BQ51" s="1667">
        <f>SUM(BQ47:BQ49)</f>
        <v>104</v>
      </c>
      <c r="BR51" s="1667">
        <f t="shared" si="142"/>
        <v>143</v>
      </c>
      <c r="BS51" s="1667">
        <f t="shared" si="142"/>
        <v>143</v>
      </c>
      <c r="BT51" s="1667">
        <f t="shared" si="142"/>
        <v>181</v>
      </c>
      <c r="BU51" s="1668">
        <f t="shared" si="142"/>
        <v>571</v>
      </c>
      <c r="BV51" s="1667">
        <f>SUM(BV47:BV49)</f>
        <v>136</v>
      </c>
      <c r="BW51" s="1667">
        <f t="shared" ref="BW51:CG51" si="143">SUM(BW47:BW49)</f>
        <v>179</v>
      </c>
      <c r="BX51" s="1667">
        <f t="shared" si="143"/>
        <v>160</v>
      </c>
      <c r="BY51" s="1667">
        <f t="shared" si="143"/>
        <v>151</v>
      </c>
      <c r="BZ51" s="1668">
        <f t="shared" si="143"/>
        <v>626</v>
      </c>
      <c r="CA51" s="1667">
        <f>SUM(CA47:CA49)</f>
        <v>172</v>
      </c>
      <c r="CB51" s="1667">
        <f t="shared" si="143"/>
        <v>192</v>
      </c>
      <c r="CC51" s="1667">
        <f t="shared" si="143"/>
        <v>192</v>
      </c>
      <c r="CD51" s="1667">
        <f t="shared" si="143"/>
        <v>197</v>
      </c>
      <c r="CE51" s="1668">
        <f t="shared" si="143"/>
        <v>753</v>
      </c>
      <c r="CF51" s="1667">
        <f>SUM(CF47:CF49)</f>
        <v>207</v>
      </c>
      <c r="CG51" s="1667">
        <f t="shared" si="143"/>
        <v>240</v>
      </c>
      <c r="CH51" s="1667">
        <f>SUM(CH47:CH49)</f>
        <v>210</v>
      </c>
      <c r="CI51" s="1667">
        <f>SUM(CI47:CI49)</f>
        <v>202</v>
      </c>
      <c r="CJ51" s="1668">
        <f>SUM(CJ47:CJ49)</f>
        <v>859</v>
      </c>
      <c r="CK51" s="1667">
        <f>SUM(CK47:CK49)</f>
        <v>219</v>
      </c>
      <c r="CL51" s="1667">
        <f>SUM(CL47:CL49)</f>
        <v>247</v>
      </c>
      <c r="CM51" s="1667">
        <f t="shared" ref="CM51:CX51" si="144">SUM(CM47:CM49)</f>
        <v>70</v>
      </c>
      <c r="CN51" s="1667">
        <f>SUM(CN47:CN49)</f>
        <v>244</v>
      </c>
      <c r="CO51" s="1668">
        <f t="shared" si="144"/>
        <v>780</v>
      </c>
      <c r="CP51" s="1667">
        <f t="shared" si="144"/>
        <v>365</v>
      </c>
      <c r="CQ51" s="1667">
        <f t="shared" si="144"/>
        <v>414</v>
      </c>
      <c r="CR51" s="1667">
        <f t="shared" si="144"/>
        <v>392</v>
      </c>
      <c r="CS51" s="1667">
        <f t="shared" si="144"/>
        <v>201</v>
      </c>
      <c r="CT51" s="1668">
        <f t="shared" si="144"/>
        <v>1372</v>
      </c>
      <c r="CU51" s="1667">
        <f t="shared" ca="1" si="144"/>
        <v>461.73080826505191</v>
      </c>
      <c r="CV51" s="1667">
        <f t="shared" ca="1" si="144"/>
        <v>494.56070535715492</v>
      </c>
      <c r="CW51" s="1667">
        <f t="shared" ca="1" si="144"/>
        <v>479.32938183700935</v>
      </c>
      <c r="CX51" s="1667">
        <f t="shared" ca="1" si="144"/>
        <v>500.72019912272799</v>
      </c>
      <c r="CY51" s="1668">
        <f ca="1">SUM(CY47:CY49)</f>
        <v>1936.3410945819414</v>
      </c>
      <c r="CZ51" s="1786">
        <f ca="1">SUM(CZ47:CZ49)</f>
        <v>2184.704842895625</v>
      </c>
      <c r="DA51" s="1668">
        <f ca="1">SUM(DA47:DA49)</f>
        <v>2144.7824715792981</v>
      </c>
      <c r="DB51"/>
      <c r="DC51"/>
      <c r="DD51" s="1969" t="s">
        <v>696</v>
      </c>
      <c r="DE51" s="1668">
        <f t="shared" si="107"/>
        <v>479</v>
      </c>
      <c r="DF51" s="1668">
        <f t="shared" si="108"/>
        <v>236</v>
      </c>
      <c r="DG51" s="1668">
        <f t="shared" si="109"/>
        <v>411.00000000000006</v>
      </c>
      <c r="DH51" s="1668">
        <f t="shared" si="110"/>
        <v>651</v>
      </c>
      <c r="DI51" s="1668">
        <f t="shared" si="111"/>
        <v>654</v>
      </c>
      <c r="DJ51" s="1668">
        <f t="shared" si="112"/>
        <v>735</v>
      </c>
      <c r="DK51" s="1668">
        <f t="shared" si="113"/>
        <v>701</v>
      </c>
      <c r="DL51" s="1668">
        <f t="shared" si="114"/>
        <v>849</v>
      </c>
      <c r="DM51" s="1668">
        <f t="shared" si="115"/>
        <v>497</v>
      </c>
      <c r="DN51" s="1668">
        <f t="shared" si="116"/>
        <v>79.2</v>
      </c>
      <c r="DO51" s="1668">
        <f t="shared" si="117"/>
        <v>386</v>
      </c>
      <c r="DP51" s="1668">
        <f t="shared" si="118"/>
        <v>475</v>
      </c>
      <c r="DQ51" s="1668">
        <f t="shared" si="119"/>
        <v>571</v>
      </c>
      <c r="DR51" s="1668">
        <f t="shared" si="120"/>
        <v>626</v>
      </c>
      <c r="DS51" s="1668">
        <f t="shared" si="121"/>
        <v>753</v>
      </c>
      <c r="DT51" s="1668">
        <f t="shared" si="122"/>
        <v>859</v>
      </c>
      <c r="DU51" s="1668">
        <f t="shared" si="123"/>
        <v>780</v>
      </c>
      <c r="DV51" s="1668">
        <f t="shared" si="124"/>
        <v>1372</v>
      </c>
      <c r="DW51" s="1668">
        <f t="shared" ca="1" si="125"/>
        <v>1936.3410945819414</v>
      </c>
      <c r="DX51" s="1668">
        <f t="shared" ca="1" si="126"/>
        <v>2184.704842895625</v>
      </c>
      <c r="DY51" s="1668">
        <f t="shared" ca="1" si="127"/>
        <v>2144.7824715792981</v>
      </c>
      <c r="EA51"/>
      <c r="EB51"/>
      <c r="EC51"/>
      <c r="ED51"/>
      <c r="EE51"/>
      <c r="EF51"/>
      <c r="EJ51"/>
      <c r="EK51"/>
      <c r="EL51"/>
      <c r="ER51" s="212"/>
    </row>
    <row r="52" spans="1:148" ht="12.75" customHeight="1" x14ac:dyDescent="0.2">
      <c r="A52" s="1436" t="s">
        <v>1046</v>
      </c>
      <c r="B52" s="845"/>
      <c r="C52" s="845"/>
      <c r="D52" s="845"/>
      <c r="E52" s="845"/>
      <c r="F52" s="845"/>
      <c r="G52" s="845"/>
      <c r="H52" s="845"/>
      <c r="I52" s="845">
        <v>0</v>
      </c>
      <c r="J52" s="845">
        <v>0</v>
      </c>
      <c r="K52" s="845">
        <v>0</v>
      </c>
      <c r="L52" s="845">
        <v>0</v>
      </c>
      <c r="M52" s="3450">
        <f>SUM(I52:L52)</f>
        <v>0</v>
      </c>
      <c r="N52" s="845">
        <v>0</v>
      </c>
      <c r="O52" s="845">
        <v>0</v>
      </c>
      <c r="P52" s="845">
        <v>0</v>
      </c>
      <c r="Q52" s="845">
        <v>0</v>
      </c>
      <c r="R52" s="3450">
        <f>SUM(N52:Q52)</f>
        <v>0</v>
      </c>
      <c r="S52" s="845">
        <v>0</v>
      </c>
      <c r="T52" s="845">
        <v>0</v>
      </c>
      <c r="U52" s="845">
        <v>0</v>
      </c>
      <c r="V52" s="845">
        <v>0</v>
      </c>
      <c r="W52" s="3450">
        <f>SUM(S52:V52)</f>
        <v>0</v>
      </c>
      <c r="X52" s="845">
        <v>0</v>
      </c>
      <c r="Y52" s="845">
        <v>0</v>
      </c>
      <c r="Z52" s="845">
        <v>0</v>
      </c>
      <c r="AA52" s="845">
        <v>0</v>
      </c>
      <c r="AB52" s="3450">
        <f>SUM(X52:AA52)</f>
        <v>0</v>
      </c>
      <c r="AC52" s="845">
        <v>0</v>
      </c>
      <c r="AD52" s="845">
        <v>0</v>
      </c>
      <c r="AE52" s="845">
        <v>0</v>
      </c>
      <c r="AF52" s="845">
        <v>0</v>
      </c>
      <c r="AG52" s="3450">
        <f>SUM(AC52:AF52)</f>
        <v>0</v>
      </c>
      <c r="AH52" s="845">
        <v>0</v>
      </c>
      <c r="AI52" s="845">
        <v>0</v>
      </c>
      <c r="AJ52" s="845">
        <v>0</v>
      </c>
      <c r="AK52" s="845">
        <v>0</v>
      </c>
      <c r="AL52" s="3450">
        <f>SUM(AH52:AK52)</f>
        <v>0</v>
      </c>
      <c r="AM52" s="845">
        <v>0</v>
      </c>
      <c r="AN52" s="845">
        <v>0</v>
      </c>
      <c r="AO52" s="845">
        <v>0</v>
      </c>
      <c r="AP52" s="845">
        <v>0</v>
      </c>
      <c r="AQ52" s="3450">
        <f>SUM(AM52:AP52)</f>
        <v>0</v>
      </c>
      <c r="AR52" s="845">
        <v>0</v>
      </c>
      <c r="AS52" s="845">
        <v>0</v>
      </c>
      <c r="AT52" s="845">
        <v>0</v>
      </c>
      <c r="AU52" s="845">
        <v>0</v>
      </c>
      <c r="AV52" s="3450">
        <f>SUM(AR52:AU52)</f>
        <v>0</v>
      </c>
      <c r="AW52" s="845">
        <v>0</v>
      </c>
      <c r="AX52" s="845">
        <v>0</v>
      </c>
      <c r="AY52" s="845">
        <v>0</v>
      </c>
      <c r="AZ52" s="845">
        <v>0</v>
      </c>
      <c r="BA52" s="3450">
        <f>SUM(AW52:AZ52)</f>
        <v>0</v>
      </c>
      <c r="BB52" s="845">
        <v>0</v>
      </c>
      <c r="BC52" s="845">
        <v>0</v>
      </c>
      <c r="BD52" s="845">
        <v>0</v>
      </c>
      <c r="BE52" s="845">
        <v>0</v>
      </c>
      <c r="BF52" s="3450">
        <f>SUM(BB52:BE52)</f>
        <v>0</v>
      </c>
      <c r="BG52" s="845">
        <v>0</v>
      </c>
      <c r="BH52" s="845">
        <v>0</v>
      </c>
      <c r="BI52" s="845">
        <v>0</v>
      </c>
      <c r="BJ52" s="845">
        <v>0</v>
      </c>
      <c r="BK52" s="3450">
        <f>SUM(BG52:BJ52)</f>
        <v>0</v>
      </c>
      <c r="BL52" s="845">
        <v>0</v>
      </c>
      <c r="BM52" s="845">
        <v>0</v>
      </c>
      <c r="BN52" s="845">
        <v>0</v>
      </c>
      <c r="BO52" s="845">
        <v>0</v>
      </c>
      <c r="BP52" s="3450">
        <f>SUM(BL52:BO52)</f>
        <v>0</v>
      </c>
      <c r="BQ52" s="845">
        <v>0</v>
      </c>
      <c r="BR52" s="845">
        <v>0</v>
      </c>
      <c r="BS52" s="845">
        <v>0</v>
      </c>
      <c r="BT52" s="845">
        <v>0</v>
      </c>
      <c r="BU52" s="3450">
        <f>SUM(BQ52:BT52)</f>
        <v>0</v>
      </c>
      <c r="BV52" s="845">
        <v>0</v>
      </c>
      <c r="BW52" s="845">
        <v>0</v>
      </c>
      <c r="BX52" s="845">
        <v>0</v>
      </c>
      <c r="BY52" s="3451">
        <v>0</v>
      </c>
      <c r="BZ52" s="3452">
        <f>SUM(BV52:BY52)</f>
        <v>0</v>
      </c>
      <c r="CA52" s="845">
        <v>0</v>
      </c>
      <c r="CB52" s="845">
        <f>9+5+7</f>
        <v>21</v>
      </c>
      <c r="CC52" s="1851">
        <v>0</v>
      </c>
      <c r="CD52" s="1851">
        <v>0</v>
      </c>
      <c r="CE52" s="3450">
        <f>SUM(CA52:CD52)</f>
        <v>21</v>
      </c>
      <c r="CF52" s="845">
        <v>0</v>
      </c>
      <c r="CG52" s="845">
        <f>-25+13</f>
        <v>-12</v>
      </c>
      <c r="CH52" s="1851">
        <v>0</v>
      </c>
      <c r="CI52" s="1851">
        <v>0</v>
      </c>
      <c r="CJ52" s="3450">
        <f>SUM(CF52:CI52)</f>
        <v>-12</v>
      </c>
      <c r="CK52" s="845">
        <f>8+2-3</f>
        <v>7</v>
      </c>
      <c r="CL52" s="845">
        <f>14+11-7</f>
        <v>18</v>
      </c>
      <c r="CM52" s="3453">
        <f>237-58-20+6</f>
        <v>165</v>
      </c>
      <c r="CN52" s="1851">
        <v>0</v>
      </c>
      <c r="CO52" s="3450">
        <f>SUM(CK52:CN52)</f>
        <v>190</v>
      </c>
      <c r="CP52" s="3730">
        <v>30</v>
      </c>
      <c r="CQ52" s="3730">
        <v>18</v>
      </c>
      <c r="CR52" s="3730">
        <v>21</v>
      </c>
      <c r="CS52" s="3730">
        <f>47+167</f>
        <v>214</v>
      </c>
      <c r="CT52" s="3450">
        <f>SUM(CP52:CS52)</f>
        <v>283</v>
      </c>
      <c r="CU52" s="1851">
        <v>0</v>
      </c>
      <c r="CV52" s="1851">
        <v>0</v>
      </c>
      <c r="CW52" s="1851">
        <v>0</v>
      </c>
      <c r="CX52" s="1851">
        <v>0</v>
      </c>
      <c r="CY52" s="3452">
        <f>SUM(CU52:CX52)</f>
        <v>0</v>
      </c>
      <c r="CZ52" s="3451">
        <v>0</v>
      </c>
      <c r="DA52" s="3452">
        <v>0</v>
      </c>
      <c r="DB52" s="537"/>
      <c r="DC52" s="537"/>
      <c r="DD52" s="2288" t="s">
        <v>1046</v>
      </c>
      <c r="DE52" s="3450">
        <f t="shared" si="107"/>
        <v>0</v>
      </c>
      <c r="DF52" s="3450">
        <f t="shared" si="108"/>
        <v>0</v>
      </c>
      <c r="DG52" s="3450">
        <f t="shared" si="109"/>
        <v>0</v>
      </c>
      <c r="DH52" s="3450">
        <f t="shared" si="110"/>
        <v>0</v>
      </c>
      <c r="DI52" s="3450">
        <f t="shared" si="111"/>
        <v>0</v>
      </c>
      <c r="DJ52" s="3450">
        <f t="shared" si="112"/>
        <v>0</v>
      </c>
      <c r="DK52" s="3450">
        <f t="shared" si="113"/>
        <v>0</v>
      </c>
      <c r="DL52" s="3450">
        <f t="shared" si="114"/>
        <v>0</v>
      </c>
      <c r="DM52" s="3450">
        <f t="shared" si="115"/>
        <v>0</v>
      </c>
      <c r="DN52" s="3450">
        <f t="shared" si="116"/>
        <v>0</v>
      </c>
      <c r="DO52" s="3450">
        <f t="shared" si="117"/>
        <v>0</v>
      </c>
      <c r="DP52" s="3450">
        <f t="shared" si="118"/>
        <v>0</v>
      </c>
      <c r="DQ52" s="3450">
        <f t="shared" si="119"/>
        <v>0</v>
      </c>
      <c r="DR52" s="3450">
        <f t="shared" si="120"/>
        <v>0</v>
      </c>
      <c r="DS52" s="3450">
        <f t="shared" si="121"/>
        <v>21</v>
      </c>
      <c r="DT52" s="3450">
        <f t="shared" si="122"/>
        <v>-12</v>
      </c>
      <c r="DU52" s="3450">
        <f t="shared" si="123"/>
        <v>190</v>
      </c>
      <c r="DV52" s="3450">
        <f t="shared" si="124"/>
        <v>283</v>
      </c>
      <c r="DW52" s="3450">
        <f t="shared" si="125"/>
        <v>0</v>
      </c>
      <c r="DX52" s="3450">
        <f t="shared" si="126"/>
        <v>0</v>
      </c>
      <c r="DY52" s="3450">
        <f t="shared" si="127"/>
        <v>0</v>
      </c>
      <c r="DZ52" s="855"/>
      <c r="EK52"/>
      <c r="EL52"/>
      <c r="EM52" s="1703"/>
    </row>
    <row r="53" spans="1:148" s="1703" customFormat="1" ht="12.75" customHeight="1" x14ac:dyDescent="0.2">
      <c r="A53" s="1969" t="s">
        <v>1047</v>
      </c>
      <c r="B53" s="1667"/>
      <c r="C53" s="1667"/>
      <c r="D53" s="1667"/>
      <c r="E53" s="1667"/>
      <c r="F53" s="1667"/>
      <c r="G53" s="1667"/>
      <c r="H53" s="1667"/>
      <c r="I53" s="1667">
        <f>I51+I52</f>
        <v>94</v>
      </c>
      <c r="J53" s="1667">
        <f>J51+J52</f>
        <v>126.00000000000001</v>
      </c>
      <c r="K53" s="1667">
        <f>K51+K52</f>
        <v>110</v>
      </c>
      <c r="L53" s="1667">
        <f>L51+L52</f>
        <v>149</v>
      </c>
      <c r="M53" s="1668">
        <f>SUM(I53:L53)</f>
        <v>479</v>
      </c>
      <c r="N53" s="1667">
        <f>N51+N52</f>
        <v>121.00000000000001</v>
      </c>
      <c r="O53" s="1667">
        <f>O51+O52</f>
        <v>130</v>
      </c>
      <c r="P53" s="1667">
        <f>P51+P52</f>
        <v>101.00000000000001</v>
      </c>
      <c r="Q53" s="1667">
        <f>Q51+Q52</f>
        <v>-115.99999999999999</v>
      </c>
      <c r="R53" s="1668">
        <f>SUM(N53:Q53)</f>
        <v>236</v>
      </c>
      <c r="S53" s="1667">
        <f>S51+S52</f>
        <v>88</v>
      </c>
      <c r="T53" s="1667">
        <f>T51+T52</f>
        <v>172</v>
      </c>
      <c r="U53" s="1667">
        <f>U51+U52</f>
        <v>135</v>
      </c>
      <c r="V53" s="1667">
        <f>V51+V52</f>
        <v>16.000000000000004</v>
      </c>
      <c r="W53" s="1668">
        <f>SUM(S53:V53)</f>
        <v>411</v>
      </c>
      <c r="X53" s="1667">
        <f>X51+X52</f>
        <v>175</v>
      </c>
      <c r="Y53" s="1667">
        <f>Y51+Y52</f>
        <v>167</v>
      </c>
      <c r="Z53" s="1667">
        <f>Z51+Z52</f>
        <v>124</v>
      </c>
      <c r="AA53" s="1667">
        <f>AA51+AA52</f>
        <v>185</v>
      </c>
      <c r="AB53" s="1668">
        <f>SUM(X53:AA53)</f>
        <v>651</v>
      </c>
      <c r="AC53" s="1667">
        <f>AC51+AC52</f>
        <v>142</v>
      </c>
      <c r="AD53" s="1667">
        <f>AD51+AD52</f>
        <v>166</v>
      </c>
      <c r="AE53" s="1667">
        <f>AE51+AE52</f>
        <v>139</v>
      </c>
      <c r="AF53" s="1667">
        <f>AF51+AF52</f>
        <v>207</v>
      </c>
      <c r="AG53" s="1668">
        <f>SUM(AC53:AF53)</f>
        <v>654</v>
      </c>
      <c r="AH53" s="1667">
        <f>AH51+AH52</f>
        <v>189</v>
      </c>
      <c r="AI53" s="1667">
        <f>AI51+AI52</f>
        <v>172</v>
      </c>
      <c r="AJ53" s="1667">
        <f>AJ51+AJ52</f>
        <v>137</v>
      </c>
      <c r="AK53" s="1667">
        <f>AK51+AK52</f>
        <v>237</v>
      </c>
      <c r="AL53" s="1668">
        <f>SUM(AH53:AK53)</f>
        <v>735</v>
      </c>
      <c r="AM53" s="1667">
        <f>AM51+AM52</f>
        <v>91</v>
      </c>
      <c r="AN53" s="1667">
        <f>AN51+AN52</f>
        <v>199</v>
      </c>
      <c r="AO53" s="1667">
        <f>AO51+AO52</f>
        <v>139</v>
      </c>
      <c r="AP53" s="1667">
        <f>AP51+AP52</f>
        <v>272</v>
      </c>
      <c r="AQ53" s="1668">
        <f>SUM(AM53:AP53)</f>
        <v>701</v>
      </c>
      <c r="AR53" s="1667">
        <f>AR51+AR52</f>
        <v>236</v>
      </c>
      <c r="AS53" s="1667">
        <f>AS51+AS52</f>
        <v>274</v>
      </c>
      <c r="AT53" s="1667">
        <f>AT51+AT52</f>
        <v>163</v>
      </c>
      <c r="AU53" s="1667">
        <f>AU51+AU52</f>
        <v>176</v>
      </c>
      <c r="AV53" s="1668">
        <f>SUM(AR53:AU53)</f>
        <v>849</v>
      </c>
      <c r="AW53" s="1667">
        <f>AW51+AW52</f>
        <v>121</v>
      </c>
      <c r="AX53" s="1667">
        <f>AX51+AX52</f>
        <v>193</v>
      </c>
      <c r="AY53" s="1667">
        <f>AY51+AY52</f>
        <v>123</v>
      </c>
      <c r="AZ53" s="1667">
        <f>AZ51+AZ52</f>
        <v>60</v>
      </c>
      <c r="BA53" s="1668">
        <f>SUM(AW53:AZ53)</f>
        <v>497</v>
      </c>
      <c r="BB53" s="1667">
        <f>BB51+BB52</f>
        <v>68</v>
      </c>
      <c r="BC53" s="1667">
        <f>BC51+BC52</f>
        <v>74</v>
      </c>
      <c r="BD53" s="1667">
        <f>BD51+BD52</f>
        <v>-187.8</v>
      </c>
      <c r="BE53" s="1667">
        <f>BE51+BE52</f>
        <v>125</v>
      </c>
      <c r="BF53" s="1668">
        <f>SUM(BB53:BE53)</f>
        <v>79.199999999999989</v>
      </c>
      <c r="BG53" s="1667">
        <f>BG51+BG52</f>
        <v>74</v>
      </c>
      <c r="BH53" s="1667">
        <f>BH51+BH52</f>
        <v>109</v>
      </c>
      <c r="BI53" s="1667">
        <f>BI51+BI52</f>
        <v>68</v>
      </c>
      <c r="BJ53" s="1667">
        <f>BJ51+BJ52</f>
        <v>135</v>
      </c>
      <c r="BK53" s="1668">
        <f>SUM(BG53:BJ53)</f>
        <v>386</v>
      </c>
      <c r="BL53" s="1667">
        <f>BL51+BL52</f>
        <v>88</v>
      </c>
      <c r="BM53" s="1667">
        <f>BM51+BM52</f>
        <v>126</v>
      </c>
      <c r="BN53" s="1667">
        <f>BN51+BN52</f>
        <v>102</v>
      </c>
      <c r="BO53" s="1667">
        <f>BO51+BO52</f>
        <v>159</v>
      </c>
      <c r="BP53" s="1668">
        <f>SUM(BL53:BO53)</f>
        <v>475</v>
      </c>
      <c r="BQ53" s="1667">
        <f>BQ51+BQ52</f>
        <v>104</v>
      </c>
      <c r="BR53" s="1667">
        <f>BR51+BR52</f>
        <v>143</v>
      </c>
      <c r="BS53" s="1667">
        <f>BS51+BS52</f>
        <v>143</v>
      </c>
      <c r="BT53" s="1667">
        <f>BT51+BT52</f>
        <v>181</v>
      </c>
      <c r="BU53" s="1668">
        <f>SUM(BQ53:BT53)</f>
        <v>571</v>
      </c>
      <c r="BV53" s="1667">
        <f>BV51+BV52</f>
        <v>136</v>
      </c>
      <c r="BW53" s="1667">
        <f>BW51+BW52</f>
        <v>179</v>
      </c>
      <c r="BX53" s="1667">
        <f>BX51+BX52</f>
        <v>160</v>
      </c>
      <c r="BY53" s="1667">
        <f>BY51+BY52</f>
        <v>151</v>
      </c>
      <c r="BZ53" s="1668">
        <f>SUM(BV53:BY53)</f>
        <v>626</v>
      </c>
      <c r="CA53" s="1667">
        <f>CA51+CA52</f>
        <v>172</v>
      </c>
      <c r="CB53" s="1667">
        <f>CB51+CB52</f>
        <v>213</v>
      </c>
      <c r="CC53" s="1667">
        <f>CC51+CC52</f>
        <v>192</v>
      </c>
      <c r="CD53" s="1786">
        <f>CD51+CD52</f>
        <v>197</v>
      </c>
      <c r="CE53" s="1668">
        <f>SUM(CA53:CD53)</f>
        <v>774</v>
      </c>
      <c r="CF53" s="1667">
        <f>CF51+CF52</f>
        <v>207</v>
      </c>
      <c r="CG53" s="1667">
        <f>CG51+CG52</f>
        <v>228</v>
      </c>
      <c r="CH53" s="1667">
        <f>CH51+CH52</f>
        <v>210</v>
      </c>
      <c r="CI53" s="1786">
        <f>CI51+CI52</f>
        <v>202</v>
      </c>
      <c r="CJ53" s="1668">
        <f>SUM(CF53:CI53)</f>
        <v>847</v>
      </c>
      <c r="CK53" s="1667">
        <f>CK51+CK52</f>
        <v>226</v>
      </c>
      <c r="CL53" s="1667">
        <f>CL51+CL52</f>
        <v>265</v>
      </c>
      <c r="CM53" s="1667">
        <f>CM51+CM52</f>
        <v>235</v>
      </c>
      <c r="CN53" s="1786">
        <f>CN51+CN52</f>
        <v>244</v>
      </c>
      <c r="CO53" s="1668">
        <f>SUM(CK53:CN53)</f>
        <v>970</v>
      </c>
      <c r="CP53" s="1667">
        <f>CP51+CP52</f>
        <v>395</v>
      </c>
      <c r="CQ53" s="1667">
        <f>CQ51+CQ52</f>
        <v>432</v>
      </c>
      <c r="CR53" s="1667">
        <f>CR51+CR52</f>
        <v>413</v>
      </c>
      <c r="CS53" s="1667">
        <f>CS51+CS52</f>
        <v>415</v>
      </c>
      <c r="CT53" s="1668">
        <f>SUM(CP53:CS53)</f>
        <v>1655</v>
      </c>
      <c r="CU53" s="1667">
        <f t="shared" ref="CU53:DA53" ca="1" si="145">CU51+CU52</f>
        <v>461.73080826505191</v>
      </c>
      <c r="CV53" s="1667">
        <f t="shared" ca="1" si="145"/>
        <v>494.56070535715492</v>
      </c>
      <c r="CW53" s="1667">
        <f t="shared" ca="1" si="145"/>
        <v>479.32938183700935</v>
      </c>
      <c r="CX53" s="1667">
        <f t="shared" ca="1" si="145"/>
        <v>500.72019912272799</v>
      </c>
      <c r="CY53" s="1668">
        <f ca="1">SUM(CU53:CX53)</f>
        <v>1936.3410945819442</v>
      </c>
      <c r="CZ53" s="1786">
        <f t="shared" ca="1" si="145"/>
        <v>2184.704842895625</v>
      </c>
      <c r="DA53" s="1668">
        <f t="shared" ca="1" si="145"/>
        <v>2144.7824715792981</v>
      </c>
      <c r="DB53"/>
      <c r="DC53"/>
      <c r="DD53" s="1969" t="s">
        <v>1047</v>
      </c>
      <c r="DE53" s="1668">
        <f t="shared" si="107"/>
        <v>479</v>
      </c>
      <c r="DF53" s="1668">
        <f t="shared" si="108"/>
        <v>236</v>
      </c>
      <c r="DG53" s="1668">
        <f t="shared" si="109"/>
        <v>411</v>
      </c>
      <c r="DH53" s="1668">
        <f t="shared" si="110"/>
        <v>651</v>
      </c>
      <c r="DI53" s="1668">
        <f t="shared" si="111"/>
        <v>654</v>
      </c>
      <c r="DJ53" s="1668">
        <f t="shared" si="112"/>
        <v>735</v>
      </c>
      <c r="DK53" s="1668">
        <f t="shared" si="113"/>
        <v>701</v>
      </c>
      <c r="DL53" s="1668">
        <f t="shared" si="114"/>
        <v>849</v>
      </c>
      <c r="DM53" s="1668">
        <f t="shared" si="115"/>
        <v>497</v>
      </c>
      <c r="DN53" s="1668">
        <f t="shared" si="116"/>
        <v>79.199999999999989</v>
      </c>
      <c r="DO53" s="1668">
        <f t="shared" si="117"/>
        <v>386</v>
      </c>
      <c r="DP53" s="1668">
        <f t="shared" si="118"/>
        <v>475</v>
      </c>
      <c r="DQ53" s="1668">
        <f t="shared" si="119"/>
        <v>571</v>
      </c>
      <c r="DR53" s="1668">
        <f t="shared" si="120"/>
        <v>626</v>
      </c>
      <c r="DS53" s="1668">
        <f t="shared" si="121"/>
        <v>774</v>
      </c>
      <c r="DT53" s="1668">
        <f t="shared" si="122"/>
        <v>847</v>
      </c>
      <c r="DU53" s="1668">
        <f t="shared" si="123"/>
        <v>970</v>
      </c>
      <c r="DV53" s="1668">
        <f t="shared" si="124"/>
        <v>1655</v>
      </c>
      <c r="DW53" s="1668">
        <f t="shared" ca="1" si="125"/>
        <v>1936.3410945819442</v>
      </c>
      <c r="DX53" s="1668">
        <f t="shared" ca="1" si="126"/>
        <v>2184.704842895625</v>
      </c>
      <c r="DY53" s="1668">
        <f t="shared" ca="1" si="127"/>
        <v>2144.7824715792981</v>
      </c>
      <c r="EA53"/>
      <c r="EB53"/>
      <c r="EC53"/>
      <c r="ED53"/>
      <c r="EE53"/>
      <c r="EF53"/>
      <c r="EJ53"/>
      <c r="EK53"/>
      <c r="EL53"/>
      <c r="ER53" s="212"/>
    </row>
    <row r="54" spans="1:148" s="923" customFormat="1" ht="12.75" customHeight="1" x14ac:dyDescent="0.2">
      <c r="A54" s="1738" t="s">
        <v>691</v>
      </c>
      <c r="B54" s="768"/>
      <c r="C54" s="768"/>
      <c r="D54" s="768"/>
      <c r="E54" s="768"/>
      <c r="F54" s="768"/>
      <c r="G54" s="768"/>
      <c r="H54" s="768"/>
      <c r="I54" s="768"/>
      <c r="J54" s="768"/>
      <c r="K54" s="768"/>
      <c r="L54" s="768"/>
      <c r="M54" s="1006"/>
      <c r="N54" s="768">
        <f t="shared" ref="N54:AS54" si="146">N51/I51-1</f>
        <v>0.28723404255319163</v>
      </c>
      <c r="O54" s="768">
        <f t="shared" si="146"/>
        <v>3.1746031746031633E-2</v>
      </c>
      <c r="P54" s="768">
        <f t="shared" si="146"/>
        <v>-8.1818181818181679E-2</v>
      </c>
      <c r="Q54" s="768">
        <f t="shared" si="146"/>
        <v>-1.7785234899328857</v>
      </c>
      <c r="R54" s="1006">
        <f t="shared" si="146"/>
        <v>-0.50730688935281831</v>
      </c>
      <c r="S54" s="768">
        <f t="shared" si="146"/>
        <v>-0.27272727272727282</v>
      </c>
      <c r="T54" s="768">
        <f t="shared" si="146"/>
        <v>0.32307692307692304</v>
      </c>
      <c r="U54" s="768">
        <f t="shared" si="146"/>
        <v>0.33663366336633649</v>
      </c>
      <c r="V54" s="768">
        <f t="shared" si="146"/>
        <v>-1.1379310344827587</v>
      </c>
      <c r="W54" s="1006">
        <f t="shared" si="146"/>
        <v>0.7415254237288138</v>
      </c>
      <c r="X54" s="768">
        <f t="shared" si="146"/>
        <v>0.98863636363636354</v>
      </c>
      <c r="Y54" s="768">
        <f t="shared" si="146"/>
        <v>-2.9069767441860517E-2</v>
      </c>
      <c r="Z54" s="768">
        <f t="shared" si="146"/>
        <v>-8.1481481481481488E-2</v>
      </c>
      <c r="AA54" s="768">
        <f t="shared" si="146"/>
        <v>10.562499999999998</v>
      </c>
      <c r="AB54" s="1006">
        <f t="shared" si="146"/>
        <v>0.58394160583941579</v>
      </c>
      <c r="AC54" s="768">
        <f t="shared" si="146"/>
        <v>-0.18857142857142861</v>
      </c>
      <c r="AD54" s="768">
        <f t="shared" si="146"/>
        <v>-5.9880239520958556E-3</v>
      </c>
      <c r="AE54" s="768">
        <f t="shared" si="146"/>
        <v>0.12096774193548376</v>
      </c>
      <c r="AF54" s="768">
        <f t="shared" si="146"/>
        <v>0.11891891891891881</v>
      </c>
      <c r="AG54" s="1006">
        <f t="shared" si="146"/>
        <v>4.6082949308756671E-3</v>
      </c>
      <c r="AH54" s="768">
        <f t="shared" si="146"/>
        <v>0.33098591549295775</v>
      </c>
      <c r="AI54" s="768">
        <f t="shared" si="146"/>
        <v>3.6144578313253017E-2</v>
      </c>
      <c r="AJ54" s="768">
        <f t="shared" si="146"/>
        <v>-1.4388489208633115E-2</v>
      </c>
      <c r="AK54" s="768">
        <f t="shared" si="146"/>
        <v>0.14492753623188404</v>
      </c>
      <c r="AL54" s="1006">
        <f t="shared" si="146"/>
        <v>0.12385321100917435</v>
      </c>
      <c r="AM54" s="768">
        <f t="shared" si="146"/>
        <v>-0.5185185185185186</v>
      </c>
      <c r="AN54" s="768">
        <f t="shared" si="146"/>
        <v>0.15697674418604657</v>
      </c>
      <c r="AO54" s="768">
        <f t="shared" si="146"/>
        <v>1.4598540145985384E-2</v>
      </c>
      <c r="AP54" s="768">
        <f t="shared" si="146"/>
        <v>0.14767932489451474</v>
      </c>
      <c r="AQ54" s="1006">
        <f t="shared" si="146"/>
        <v>-4.6258503401360507E-2</v>
      </c>
      <c r="AR54" s="768">
        <f t="shared" si="146"/>
        <v>1.5934065934065935</v>
      </c>
      <c r="AS54" s="768">
        <f t="shared" si="146"/>
        <v>0.37688442211055273</v>
      </c>
      <c r="AT54" s="768">
        <f t="shared" ref="AT54:BK54" si="147">AT51/AO51-1</f>
        <v>0.17266187050359716</v>
      </c>
      <c r="AU54" s="768">
        <f t="shared" si="147"/>
        <v>-0.3529411764705882</v>
      </c>
      <c r="AV54" s="1006">
        <f t="shared" si="147"/>
        <v>0.21112696148359489</v>
      </c>
      <c r="AW54" s="768">
        <f t="shared" si="147"/>
        <v>-0.48728813559322037</v>
      </c>
      <c r="AX54" s="768">
        <f t="shared" si="147"/>
        <v>-0.29562043795620441</v>
      </c>
      <c r="AY54" s="768">
        <f t="shared" si="147"/>
        <v>-0.245398773006135</v>
      </c>
      <c r="AZ54" s="768">
        <f t="shared" si="147"/>
        <v>-0.65909090909090917</v>
      </c>
      <c r="BA54" s="1006">
        <f t="shared" si="147"/>
        <v>-0.41460541813898699</v>
      </c>
      <c r="BB54" s="768">
        <f t="shared" si="147"/>
        <v>-0.43801652892561982</v>
      </c>
      <c r="BC54" s="768">
        <f t="shared" si="147"/>
        <v>-0.61658031088082899</v>
      </c>
      <c r="BD54" s="768">
        <f t="shared" si="147"/>
        <v>-2.526829268292683</v>
      </c>
      <c r="BE54" s="768">
        <f t="shared" si="147"/>
        <v>1.0833333333333335</v>
      </c>
      <c r="BF54" s="1006">
        <f t="shared" si="147"/>
        <v>-0.84064386317907447</v>
      </c>
      <c r="BG54" s="768">
        <f t="shared" si="147"/>
        <v>8.8235294117646967E-2</v>
      </c>
      <c r="BH54" s="768">
        <f t="shared" si="147"/>
        <v>0.47297297297297303</v>
      </c>
      <c r="BI54" s="768">
        <f t="shared" si="147"/>
        <v>-1.3620873269435569</v>
      </c>
      <c r="BJ54" s="768">
        <f t="shared" si="147"/>
        <v>8.0000000000000071E-2</v>
      </c>
      <c r="BK54" s="1006">
        <f t="shared" si="147"/>
        <v>3.8737373737373737</v>
      </c>
      <c r="BL54" s="768">
        <f t="shared" ref="BL54:BV54" si="148">BL51/BG51-1</f>
        <v>0.18918918918918926</v>
      </c>
      <c r="BM54" s="768">
        <f t="shared" si="148"/>
        <v>0.15596330275229353</v>
      </c>
      <c r="BN54" s="768">
        <f t="shared" si="148"/>
        <v>0.5</v>
      </c>
      <c r="BO54" s="768">
        <f t="shared" si="148"/>
        <v>0.17777777777777781</v>
      </c>
      <c r="BP54" s="1006">
        <f t="shared" si="148"/>
        <v>0.23056994818652843</v>
      </c>
      <c r="BQ54" s="768">
        <f t="shared" si="148"/>
        <v>0.18181818181818188</v>
      </c>
      <c r="BR54" s="768">
        <f t="shared" si="148"/>
        <v>0.13492063492063489</v>
      </c>
      <c r="BS54" s="768">
        <f t="shared" si="148"/>
        <v>0.40196078431372539</v>
      </c>
      <c r="BT54" s="768">
        <f t="shared" si="148"/>
        <v>0.13836477987421381</v>
      </c>
      <c r="BU54" s="1006">
        <f t="shared" si="148"/>
        <v>0.20210526315789479</v>
      </c>
      <c r="BV54" s="768">
        <f t="shared" si="148"/>
        <v>0.30769230769230771</v>
      </c>
      <c r="BW54" s="768">
        <f t="shared" ref="BW54:CF54" si="149">BW51/BR51-1</f>
        <v>0.25174825174825166</v>
      </c>
      <c r="BX54" s="768">
        <f t="shared" si="149"/>
        <v>0.11888111888111896</v>
      </c>
      <c r="BY54" s="768">
        <f t="shared" si="149"/>
        <v>-0.16574585635359118</v>
      </c>
      <c r="BZ54" s="1006">
        <f t="shared" si="149"/>
        <v>9.6322241681261023E-2</v>
      </c>
      <c r="CA54" s="768">
        <f t="shared" si="149"/>
        <v>0.26470588235294112</v>
      </c>
      <c r="CB54" s="768">
        <f t="shared" si="149"/>
        <v>7.2625698324022325E-2</v>
      </c>
      <c r="CC54" s="768">
        <f t="shared" si="149"/>
        <v>0.19999999999999996</v>
      </c>
      <c r="CD54" s="1693">
        <f t="shared" si="149"/>
        <v>0.30463576158940397</v>
      </c>
      <c r="CE54" s="1006">
        <f t="shared" si="149"/>
        <v>0.20287539936102239</v>
      </c>
      <c r="CF54" s="768">
        <f t="shared" si="149"/>
        <v>0.20348837209302317</v>
      </c>
      <c r="CG54" s="768">
        <f t="shared" ref="CG54:CO54" si="150">CG51/CB51-1</f>
        <v>0.25</v>
      </c>
      <c r="CH54" s="768">
        <f t="shared" si="150"/>
        <v>9.375E-2</v>
      </c>
      <c r="CI54" s="1693">
        <f t="shared" si="150"/>
        <v>2.5380710659898442E-2</v>
      </c>
      <c r="CJ54" s="1006">
        <f t="shared" si="150"/>
        <v>0.14077025232403728</v>
      </c>
      <c r="CK54" s="768">
        <f t="shared" si="150"/>
        <v>5.7971014492753659E-2</v>
      </c>
      <c r="CL54" s="768">
        <f t="shared" si="150"/>
        <v>2.9166666666666563E-2</v>
      </c>
      <c r="CM54" s="768">
        <f t="shared" si="150"/>
        <v>-0.66666666666666674</v>
      </c>
      <c r="CN54" s="1693">
        <f t="shared" si="150"/>
        <v>0.20792079207920788</v>
      </c>
      <c r="CO54" s="1006">
        <f t="shared" si="150"/>
        <v>-9.1967403958090777E-2</v>
      </c>
      <c r="CP54" s="768">
        <f t="shared" ref="CP54:CY54" si="151">CP51/CK51-1</f>
        <v>0.66666666666666674</v>
      </c>
      <c r="CQ54" s="768">
        <f t="shared" si="151"/>
        <v>0.67611336032388669</v>
      </c>
      <c r="CR54" s="768">
        <f t="shared" si="151"/>
        <v>4.5999999999999996</v>
      </c>
      <c r="CS54" s="768">
        <f t="shared" si="151"/>
        <v>-0.17622950819672134</v>
      </c>
      <c r="CT54" s="1006">
        <f t="shared" si="151"/>
        <v>0.75897435897435894</v>
      </c>
      <c r="CU54" s="768">
        <f t="shared" ca="1" si="151"/>
        <v>0.26501591305493677</v>
      </c>
      <c r="CV54" s="768">
        <f t="shared" ca="1" si="151"/>
        <v>0.19459107574192003</v>
      </c>
      <c r="CW54" s="768">
        <f t="shared" ca="1" si="151"/>
        <v>0.2227790352984933</v>
      </c>
      <c r="CX54" s="768">
        <f t="shared" ca="1" si="151"/>
        <v>1.4911452692673035</v>
      </c>
      <c r="CY54" s="1006">
        <f t="shared" ca="1" si="151"/>
        <v>0.41132732841249386</v>
      </c>
      <c r="CZ54" s="1693">
        <f ca="1">CZ51/CY51-1</f>
        <v>0.12826446177722928</v>
      </c>
      <c r="DA54" s="1006">
        <f ca="1">DA51/CZ51-1</f>
        <v>-1.8273576609741715E-2</v>
      </c>
      <c r="DB54"/>
      <c r="DC54"/>
      <c r="DD54" s="1738" t="s">
        <v>691</v>
      </c>
      <c r="DE54" s="1006">
        <f t="shared" si="107"/>
        <v>0</v>
      </c>
      <c r="DF54" s="1006">
        <f t="shared" si="108"/>
        <v>-0.50730688935281831</v>
      </c>
      <c r="DG54" s="1006">
        <f t="shared" si="109"/>
        <v>0.7415254237288138</v>
      </c>
      <c r="DH54" s="1006">
        <f t="shared" si="110"/>
        <v>0.58394160583941579</v>
      </c>
      <c r="DI54" s="1006">
        <f t="shared" si="111"/>
        <v>4.6082949308756671E-3</v>
      </c>
      <c r="DJ54" s="1006">
        <f t="shared" si="112"/>
        <v>0.12385321100917435</v>
      </c>
      <c r="DK54" s="1006">
        <f t="shared" si="113"/>
        <v>-4.6258503401360507E-2</v>
      </c>
      <c r="DL54" s="1006">
        <f t="shared" si="114"/>
        <v>0.21112696148359489</v>
      </c>
      <c r="DM54" s="1006">
        <f t="shared" si="115"/>
        <v>-0.41460541813898699</v>
      </c>
      <c r="DN54" s="1006">
        <f t="shared" si="116"/>
        <v>-0.84064386317907447</v>
      </c>
      <c r="DO54" s="1006">
        <f t="shared" si="117"/>
        <v>3.8737373737373737</v>
      </c>
      <c r="DP54" s="1006">
        <f t="shared" si="118"/>
        <v>0.23056994818652843</v>
      </c>
      <c r="DQ54" s="1006">
        <f t="shared" si="119"/>
        <v>0.20210526315789479</v>
      </c>
      <c r="DR54" s="1006">
        <f t="shared" si="120"/>
        <v>9.6322241681261023E-2</v>
      </c>
      <c r="DS54" s="1006">
        <f t="shared" si="121"/>
        <v>0.20287539936102239</v>
      </c>
      <c r="DT54" s="1006">
        <f t="shared" si="122"/>
        <v>0.14077025232403728</v>
      </c>
      <c r="DU54" s="1006">
        <f t="shared" si="123"/>
        <v>-9.1967403958090777E-2</v>
      </c>
      <c r="DV54" s="1006">
        <f t="shared" si="124"/>
        <v>0.75897435897435894</v>
      </c>
      <c r="DW54" s="1006">
        <f t="shared" ca="1" si="125"/>
        <v>0.41132732841249386</v>
      </c>
      <c r="DX54" s="1006">
        <f t="shared" ca="1" si="126"/>
        <v>0.12826446177722928</v>
      </c>
      <c r="DY54" s="1006">
        <f t="shared" ca="1" si="127"/>
        <v>-1.8273576609741715E-2</v>
      </c>
      <c r="EA54"/>
      <c r="EB54"/>
      <c r="EC54"/>
      <c r="ED54"/>
      <c r="EE54"/>
      <c r="EF54"/>
      <c r="EJ54"/>
      <c r="EK54"/>
      <c r="EL54"/>
      <c r="EM54" s="1703"/>
      <c r="ER54" s="212"/>
    </row>
    <row r="55" spans="1:148" s="923" customFormat="1" ht="12.75" customHeight="1" x14ac:dyDescent="0.2">
      <c r="A55" s="1738"/>
      <c r="M55" s="538"/>
      <c r="R55" s="538"/>
      <c r="W55" s="538"/>
      <c r="AB55" s="538"/>
      <c r="AG55" s="538"/>
      <c r="AL55" s="538"/>
      <c r="AQ55" s="538"/>
      <c r="AV55" s="538"/>
      <c r="BA55" s="538"/>
      <c r="BF55" s="538"/>
      <c r="BK55" s="538"/>
      <c r="BP55" s="538"/>
      <c r="BU55" s="538"/>
      <c r="BZ55" s="1690"/>
      <c r="CD55" s="1787"/>
      <c r="CE55" s="538"/>
      <c r="CI55" s="1787"/>
      <c r="CJ55" s="538"/>
      <c r="CN55" s="1787"/>
      <c r="CO55" s="538"/>
      <c r="CT55" s="538"/>
      <c r="CY55" s="1690"/>
      <c r="CZ55" s="1787"/>
      <c r="DA55" s="1690"/>
      <c r="DB55"/>
      <c r="DC55"/>
      <c r="DD55" s="1738"/>
      <c r="DE55" s="2296"/>
      <c r="DF55" s="2296"/>
      <c r="DG55" s="2296"/>
      <c r="DH55" s="2296"/>
      <c r="DI55" s="2296"/>
      <c r="DJ55" s="2296"/>
      <c r="DK55" s="2296"/>
      <c r="DL55" s="2296"/>
      <c r="DM55" s="2296"/>
      <c r="DN55" s="2296"/>
      <c r="DO55" s="2296"/>
      <c r="DP55" s="2296"/>
      <c r="DQ55" s="2296"/>
      <c r="DR55" s="2296"/>
      <c r="DS55" s="2296"/>
      <c r="DT55" s="2296"/>
      <c r="DU55" s="2296"/>
      <c r="DV55" s="2296"/>
      <c r="DW55" s="2296"/>
      <c r="DX55" s="2296"/>
      <c r="DY55" s="2296"/>
      <c r="EA55"/>
      <c r="EB55"/>
      <c r="EC55"/>
      <c r="ED55"/>
      <c r="EE55"/>
      <c r="EF55"/>
      <c r="EJ55"/>
      <c r="EK55"/>
      <c r="EL55"/>
      <c r="ER55" s="212"/>
    </row>
    <row r="56" spans="1:148" s="923" customFormat="1" ht="12.75" customHeight="1" x14ac:dyDescent="0.2">
      <c r="A56" s="1436" t="s">
        <v>1303</v>
      </c>
      <c r="B56" s="845"/>
      <c r="C56" s="845"/>
      <c r="D56" s="845"/>
      <c r="E56" s="845"/>
      <c r="F56" s="845"/>
      <c r="G56" s="845"/>
      <c r="H56" s="845"/>
      <c r="I56" s="845">
        <v>483.47626500000001</v>
      </c>
      <c r="J56" s="845">
        <v>479.68861100000004</v>
      </c>
      <c r="K56" s="845">
        <v>480.05243200000001</v>
      </c>
      <c r="L56" s="845">
        <v>483.63791100000003</v>
      </c>
      <c r="M56" s="848">
        <f>AVERAGE(I56:L56)</f>
        <v>481.71380475000001</v>
      </c>
      <c r="N56" s="845">
        <v>487.43734499999999</v>
      </c>
      <c r="O56" s="845">
        <v>488.48785599999997</v>
      </c>
      <c r="P56" s="845">
        <v>486.22373800000003</v>
      </c>
      <c r="Q56" s="845">
        <v>483.08904900000005</v>
      </c>
      <c r="R56" s="848">
        <f>AVERAGE(N56:Q56)</f>
        <v>486.30949700000008</v>
      </c>
      <c r="S56" s="845">
        <v>484.42208400000004</v>
      </c>
      <c r="T56" s="845">
        <v>484.65261799999996</v>
      </c>
      <c r="U56" s="845">
        <v>479.57127800000001</v>
      </c>
      <c r="V56" s="845">
        <v>471.57265599999999</v>
      </c>
      <c r="W56" s="848">
        <f>AVERAGE(S56:V56)</f>
        <v>480.05465900000002</v>
      </c>
      <c r="X56" s="845">
        <v>467.8</v>
      </c>
      <c r="Y56" s="845">
        <v>464.6</v>
      </c>
      <c r="Z56" s="845">
        <v>465.4</v>
      </c>
      <c r="AA56" s="845">
        <v>462.8</v>
      </c>
      <c r="AB56" s="848">
        <f>AVERAGE(X56:AA56)</f>
        <v>465.15000000000003</v>
      </c>
      <c r="AC56" s="845">
        <v>459.2</v>
      </c>
      <c r="AD56" s="845">
        <v>453.8</v>
      </c>
      <c r="AE56" s="845">
        <v>451.8</v>
      </c>
      <c r="AF56" s="845">
        <v>449</v>
      </c>
      <c r="AG56" s="848">
        <f>AVERAGE(AC56:AF56)</f>
        <v>453.45</v>
      </c>
      <c r="AH56" s="845">
        <v>451</v>
      </c>
      <c r="AI56" s="845">
        <v>441</v>
      </c>
      <c r="AJ56" s="845">
        <v>430.6</v>
      </c>
      <c r="AK56" s="845">
        <v>414.6</v>
      </c>
      <c r="AL56" s="848">
        <f>AVERAGE(AH56:AK56)</f>
        <v>434.29999999999995</v>
      </c>
      <c r="AM56" s="845">
        <v>411.6</v>
      </c>
      <c r="AN56" s="845">
        <v>412.5</v>
      </c>
      <c r="AO56" s="845">
        <v>400.7</v>
      </c>
      <c r="AP56" s="845">
        <v>394.8</v>
      </c>
      <c r="AQ56" s="848">
        <f>AVERAGE(AM56:AP56)</f>
        <v>404.9</v>
      </c>
      <c r="AR56" s="845">
        <v>388.1</v>
      </c>
      <c r="AS56" s="845">
        <v>382.9</v>
      </c>
      <c r="AT56" s="845">
        <v>373.8</v>
      </c>
      <c r="AU56" s="845">
        <v>363.6</v>
      </c>
      <c r="AV56" s="848">
        <f>AVERAGE(AR56:AU56)</f>
        <v>377.1</v>
      </c>
      <c r="AW56" s="845">
        <v>354.3</v>
      </c>
      <c r="AX56" s="845">
        <v>353.5</v>
      </c>
      <c r="AY56" s="845">
        <v>351.2</v>
      </c>
      <c r="AZ56" s="845">
        <v>349.3</v>
      </c>
      <c r="BA56" s="848">
        <f>AVERAGE(AW56:AZ56)</f>
        <v>352.07499999999999</v>
      </c>
      <c r="BB56" s="845">
        <v>350.6</v>
      </c>
      <c r="BC56" s="845">
        <v>353.7</v>
      </c>
      <c r="BD56" s="845">
        <v>355.5</v>
      </c>
      <c r="BE56" s="845">
        <v>357.6</v>
      </c>
      <c r="BF56" s="848">
        <f>AVERAGE(BB56:BE56)</f>
        <v>354.35</v>
      </c>
      <c r="BG56" s="845">
        <v>359.4</v>
      </c>
      <c r="BH56" s="845">
        <v>362.1</v>
      </c>
      <c r="BI56" s="845">
        <v>363.1</v>
      </c>
      <c r="BJ56" s="845">
        <v>365.6</v>
      </c>
      <c r="BK56" s="848">
        <f>AVERAGE(BG56:BJ56)</f>
        <v>362.54999999999995</v>
      </c>
      <c r="BL56" s="845">
        <v>367.1</v>
      </c>
      <c r="BM56" s="845">
        <v>356.9</v>
      </c>
      <c r="BN56" s="845">
        <v>345.4</v>
      </c>
      <c r="BO56" s="845">
        <v>335.6</v>
      </c>
      <c r="BP56" s="848">
        <f>AVERAGE(BL56:BO56)</f>
        <v>351.25</v>
      </c>
      <c r="BQ56" s="845">
        <v>333.7</v>
      </c>
      <c r="BR56" s="845">
        <v>327.9</v>
      </c>
      <c r="BS56" s="845">
        <v>319.39999999999998</v>
      </c>
      <c r="BT56" s="845">
        <v>312.7</v>
      </c>
      <c r="BU56" s="848">
        <v>322.60000000000002</v>
      </c>
      <c r="BV56" s="845">
        <v>311.8</v>
      </c>
      <c r="BW56" s="845">
        <v>306.7</v>
      </c>
      <c r="BX56" s="845">
        <v>301.89999999999998</v>
      </c>
      <c r="BY56" s="845">
        <v>299.39999999999998</v>
      </c>
      <c r="BZ56" s="848">
        <v>305</v>
      </c>
      <c r="CA56" s="845">
        <v>296.10000000000002</v>
      </c>
      <c r="CB56" s="845">
        <v>292.5</v>
      </c>
      <c r="CC56" s="845">
        <v>288.89999999999998</v>
      </c>
      <c r="CD56" s="845">
        <v>282.39999999999998</v>
      </c>
      <c r="CE56" s="848">
        <v>289.89999999999998</v>
      </c>
      <c r="CF56" s="845">
        <v>277.7</v>
      </c>
      <c r="CG56" s="845">
        <v>272.39999999999998</v>
      </c>
      <c r="CH56" s="845">
        <v>262.2</v>
      </c>
      <c r="CI56" s="845">
        <v>256.89999999999998</v>
      </c>
      <c r="CJ56" s="848">
        <v>267.3</v>
      </c>
      <c r="CK56" s="2983">
        <v>254.4</v>
      </c>
      <c r="CL56" s="2983">
        <v>254.3</v>
      </c>
      <c r="CM56" s="847">
        <f>+AVERAGE(CL57,CM57)</f>
        <v>254.45023</v>
      </c>
      <c r="CN56" s="847">
        <f>+AVERAGE(CM57,CN57)</f>
        <v>321.2</v>
      </c>
      <c r="CO56" s="661">
        <f>AVERAGE(CK56:CN56)</f>
        <v>271.0875575</v>
      </c>
      <c r="CP56" s="847">
        <f>+AVERAGE(CO57,CP57)</f>
        <v>386.4</v>
      </c>
      <c r="CQ56" s="847">
        <f>+AVERAGE(CP57,CQ57)</f>
        <v>381.7</v>
      </c>
      <c r="CR56" s="847">
        <f>+AVERAGE(CQ57,CR57)</f>
        <v>375.4</v>
      </c>
      <c r="CS56" s="847">
        <f>+AVERAGE(CR57,CS57)</f>
        <v>368.70000000000005</v>
      </c>
      <c r="CT56" s="661">
        <f>AVERAGE(CP56:CS56)</f>
        <v>378.05</v>
      </c>
      <c r="CU56" s="847">
        <f>+AVERAGE(CT57,CU57)</f>
        <v>363.56428571428575</v>
      </c>
      <c r="CV56" s="847">
        <f>+AVERAGE(CU57,CV57)</f>
        <v>360.53641114982582</v>
      </c>
      <c r="CW56" s="847">
        <f>+AVERAGE(CV57,CW57)</f>
        <v>357.59458230645032</v>
      </c>
      <c r="CX56" s="847">
        <f>+AVERAGE(CW57,CX57)</f>
        <v>354.73670050803514</v>
      </c>
      <c r="CY56" s="661">
        <f>AVERAGE(CU56:CX56)</f>
        <v>359.10799491964929</v>
      </c>
      <c r="CZ56" s="1431">
        <f>+AVERAGE(CY57,CZ57)</f>
        <v>346.50972501070453</v>
      </c>
      <c r="DA56" s="661">
        <f>+AVERAGE(CZ57,DA57)</f>
        <v>335.7153867612667</v>
      </c>
      <c r="DB56"/>
      <c r="DC56"/>
      <c r="DD56" s="2288" t="s">
        <v>1303</v>
      </c>
      <c r="DE56" s="2293">
        <f t="shared" ref="DE56:DE62" si="152">M56</f>
        <v>481.71380475000001</v>
      </c>
      <c r="DF56" s="2293">
        <f t="shared" ref="DF56:DF62" si="153">R56</f>
        <v>486.30949700000008</v>
      </c>
      <c r="DG56" s="2293">
        <f t="shared" ref="DG56:DG62" si="154">W56</f>
        <v>480.05465900000002</v>
      </c>
      <c r="DH56" s="2293">
        <f t="shared" ref="DH56:DH62" si="155">AB56</f>
        <v>465.15000000000003</v>
      </c>
      <c r="DI56" s="2293">
        <f t="shared" ref="DI56:DI62" si="156">AG56</f>
        <v>453.45</v>
      </c>
      <c r="DJ56" s="2293">
        <f t="shared" ref="DJ56:DJ62" si="157">AL56</f>
        <v>434.29999999999995</v>
      </c>
      <c r="DK56" s="2293">
        <f t="shared" ref="DK56:DK62" si="158">AQ56</f>
        <v>404.9</v>
      </c>
      <c r="DL56" s="2293">
        <f t="shared" ref="DL56:DL62" si="159">AV56</f>
        <v>377.1</v>
      </c>
      <c r="DM56" s="2293">
        <f t="shared" ref="DM56:DM62" si="160">BA56</f>
        <v>352.07499999999999</v>
      </c>
      <c r="DN56" s="2293">
        <f t="shared" ref="DN56:DN62" si="161">BF56</f>
        <v>354.35</v>
      </c>
      <c r="DO56" s="2293">
        <f t="shared" ref="DO56:DO62" si="162">BK56</f>
        <v>362.54999999999995</v>
      </c>
      <c r="DP56" s="2293">
        <f t="shared" ref="DP56:DP62" si="163">BP56</f>
        <v>351.25</v>
      </c>
      <c r="DQ56" s="2293">
        <f t="shared" ref="DQ56:DQ62" si="164">BU56</f>
        <v>322.60000000000002</v>
      </c>
      <c r="DR56" s="2293">
        <f t="shared" ref="DR56:DR62" si="165">BZ56</f>
        <v>305</v>
      </c>
      <c r="DS56" s="2293">
        <f t="shared" ref="DS56:DS62" si="166">CE56</f>
        <v>289.89999999999998</v>
      </c>
      <c r="DT56" s="2293">
        <f t="shared" ref="DT56:DT62" si="167">CJ56</f>
        <v>267.3</v>
      </c>
      <c r="DU56" s="2293">
        <f t="shared" ref="DU56:DU62" si="168">CO56</f>
        <v>271.0875575</v>
      </c>
      <c r="DV56" s="2293">
        <f t="shared" ref="DV56:DV62" si="169">CT56</f>
        <v>378.05</v>
      </c>
      <c r="DW56" s="2293">
        <f t="shared" ref="DW56:DW62" si="170">CY56</f>
        <v>359.10799491964929</v>
      </c>
      <c r="DX56" s="2293">
        <f t="shared" ref="DX56:DX62" si="171">CZ56</f>
        <v>346.50972501070453</v>
      </c>
      <c r="DY56" s="2293">
        <f t="shared" ref="DY56:DY62" si="172">DA56</f>
        <v>335.7153867612667</v>
      </c>
      <c r="EA56"/>
      <c r="EB56"/>
      <c r="EC56"/>
      <c r="ED56"/>
      <c r="EE56"/>
      <c r="EF56"/>
      <c r="EJ56"/>
      <c r="EK56"/>
      <c r="EL56"/>
      <c r="ER56" s="212"/>
    </row>
    <row r="57" spans="1:148" s="923" customFormat="1" ht="12.75" customHeight="1" x14ac:dyDescent="0.2">
      <c r="A57" s="1888" t="s">
        <v>936</v>
      </c>
      <c r="B57" s="845"/>
      <c r="C57" s="845"/>
      <c r="D57" s="845"/>
      <c r="E57" s="845"/>
      <c r="F57" s="845"/>
      <c r="G57" s="845"/>
      <c r="H57" s="845"/>
      <c r="I57" s="845">
        <f>239.619008*2</f>
        <v>479.23801600000002</v>
      </c>
      <c r="J57" s="845">
        <f>240.069603*2</f>
        <v>480.139206</v>
      </c>
      <c r="K57" s="845">
        <f>239.982829*2</f>
        <v>479.96565800000002</v>
      </c>
      <c r="L57" s="845">
        <f>243.655082*2</f>
        <v>487.31016399999999</v>
      </c>
      <c r="M57" s="2293">
        <f>+L57</f>
        <v>487.31016399999999</v>
      </c>
      <c r="N57" s="845">
        <f>243.782263*2</f>
        <v>487.564526</v>
      </c>
      <c r="O57" s="845">
        <f>244.705593*2</f>
        <v>489.41118599999999</v>
      </c>
      <c r="P57" s="845">
        <f>241.518145*2</f>
        <v>483.03629000000001</v>
      </c>
      <c r="Q57" s="845">
        <f>240.980998*2</f>
        <v>481.961996</v>
      </c>
      <c r="R57" s="2293">
        <f>+Q57</f>
        <v>481.961996</v>
      </c>
      <c r="S57" s="845">
        <f>242.85118*2</f>
        <v>485.70236</v>
      </c>
      <c r="T57" s="845">
        <f>241.801438*2</f>
        <v>483.60287599999998</v>
      </c>
      <c r="U57" s="845">
        <f>237.76984*2</f>
        <v>475.53967999999998</v>
      </c>
      <c r="V57" s="845">
        <f>233.802816*2</f>
        <v>467.60563200000001</v>
      </c>
      <c r="W57" s="2293">
        <f>+V57</f>
        <v>467.60563200000001</v>
      </c>
      <c r="X57" s="845">
        <f>231.870872*2</f>
        <v>463.74174399999998</v>
      </c>
      <c r="Y57" s="845">
        <f>232.925341*2</f>
        <v>465.85068200000001</v>
      </c>
      <c r="Z57" s="845">
        <f>231.23519*2</f>
        <v>462.47037999999998</v>
      </c>
      <c r="AA57" s="845">
        <f>230.054286*2</f>
        <v>460.10857199999998</v>
      </c>
      <c r="AB57" s="2293">
        <f>+AA57</f>
        <v>460.10857199999998</v>
      </c>
      <c r="AC57" s="845">
        <f>226.19766*2</f>
        <v>452.39532000000003</v>
      </c>
      <c r="AD57" s="845">
        <f>228.892358*2</f>
        <v>457.784716</v>
      </c>
      <c r="AE57" s="845">
        <f>223.611708*2</f>
        <v>447.22341599999999</v>
      </c>
      <c r="AF57" s="845">
        <f>225.768576*2</f>
        <v>451.53715199999999</v>
      </c>
      <c r="AG57" s="2293">
        <f>+AF57</f>
        <v>451.53715199999999</v>
      </c>
      <c r="AH57" s="845">
        <f>223.013474*2</f>
        <v>446.026948</v>
      </c>
      <c r="AI57" s="845">
        <f>216.710567*2</f>
        <v>433.421134</v>
      </c>
      <c r="AJ57" s="845">
        <f>208.369576*2</f>
        <v>416.73915199999999</v>
      </c>
      <c r="AK57" s="845">
        <f>205.352719*2</f>
        <v>410.70543800000002</v>
      </c>
      <c r="AL57" s="2293">
        <f>+AK57</f>
        <v>410.70543800000002</v>
      </c>
      <c r="AM57" s="845">
        <f>206.953157*2</f>
        <v>413.90631400000001</v>
      </c>
      <c r="AN57" s="845">
        <v>404.23649799999998</v>
      </c>
      <c r="AO57" s="845">
        <v>395.39072199999998</v>
      </c>
      <c r="AP57" s="845">
        <v>387.95204799999999</v>
      </c>
      <c r="AQ57" s="2293">
        <f>+AP57</f>
        <v>387.95204799999999</v>
      </c>
      <c r="AR57" s="845">
        <v>386.34453300000001</v>
      </c>
      <c r="AS57" s="845">
        <v>375.94302699999997</v>
      </c>
      <c r="AT57" s="845">
        <v>367.76308999999998</v>
      </c>
      <c r="AU57" s="845">
        <v>354.043159</v>
      </c>
      <c r="AV57" s="2293">
        <f>+AU57</f>
        <v>354.043159</v>
      </c>
      <c r="AW57" s="845">
        <v>353.54067600000002</v>
      </c>
      <c r="AX57" s="845">
        <v>351.796334</v>
      </c>
      <c r="AY57" s="845">
        <v>349.102192</v>
      </c>
      <c r="AZ57" s="845">
        <v>349.86016599999999</v>
      </c>
      <c r="BA57" s="2293">
        <f>+AZ57</f>
        <v>349.86016599999999</v>
      </c>
      <c r="BB57" s="845">
        <v>352.09132299999999</v>
      </c>
      <c r="BC57" s="845">
        <v>354.04573799999997</v>
      </c>
      <c r="BD57" s="845">
        <v>356.02412299999997</v>
      </c>
      <c r="BE57" s="845">
        <v>358.52235000000002</v>
      </c>
      <c r="BF57" s="2293">
        <f>+BE57</f>
        <v>358.52235000000002</v>
      </c>
      <c r="BG57" s="845">
        <v>361.332043</v>
      </c>
      <c r="BH57" s="845">
        <v>362.81181199999997</v>
      </c>
      <c r="BI57" s="845">
        <v>364.24530499999997</v>
      </c>
      <c r="BJ57" s="845">
        <v>367.93763999999999</v>
      </c>
      <c r="BK57" s="2293">
        <f>+BJ57</f>
        <v>367.93763999999999</v>
      </c>
      <c r="BL57" s="845">
        <v>359.37173100000001</v>
      </c>
      <c r="BM57" s="845">
        <v>352.902263</v>
      </c>
      <c r="BN57" s="845">
        <v>335.12611299999998</v>
      </c>
      <c r="BO57" s="845">
        <v>333.86675300000002</v>
      </c>
      <c r="BP57" s="2293">
        <f>+BO57</f>
        <v>333.86675300000002</v>
      </c>
      <c r="BQ57" s="845">
        <v>331.00568600000003</v>
      </c>
      <c r="BR57" s="845">
        <v>322.77141499999999</v>
      </c>
      <c r="BS57" s="845">
        <v>315.540075</v>
      </c>
      <c r="BT57" s="845">
        <v>310.89999999999998</v>
      </c>
      <c r="BU57" s="2293">
        <f>+BT57</f>
        <v>310.89999999999998</v>
      </c>
      <c r="BV57" s="845">
        <v>311.8</v>
      </c>
      <c r="BW57" s="845">
        <v>306.7</v>
      </c>
      <c r="BX57" s="845">
        <v>301.89999999999998</v>
      </c>
      <c r="BY57" s="845">
        <v>298</v>
      </c>
      <c r="BZ57" s="661">
        <f>+BY57</f>
        <v>298</v>
      </c>
      <c r="CA57" s="845">
        <v>294.39999999999998</v>
      </c>
      <c r="CB57" s="845">
        <v>290.56989399999998</v>
      </c>
      <c r="CC57" s="845">
        <v>283.36081100000001</v>
      </c>
      <c r="CD57" s="845">
        <v>276.54235</v>
      </c>
      <c r="CE57" s="2293">
        <f>+CD57</f>
        <v>276.54235</v>
      </c>
      <c r="CF57" s="845">
        <v>274.95004999999998</v>
      </c>
      <c r="CG57" s="845">
        <v>265.887565</v>
      </c>
      <c r="CH57" s="845">
        <v>257.12890499999997</v>
      </c>
      <c r="CI57" s="845">
        <v>253.48193499999999</v>
      </c>
      <c r="CJ57" s="2293">
        <f>+CI57</f>
        <v>253.48193499999999</v>
      </c>
      <c r="CK57" s="845">
        <v>254.23172</v>
      </c>
      <c r="CL57" s="845">
        <v>254.40046000000001</v>
      </c>
      <c r="CM57" s="845">
        <v>254.5</v>
      </c>
      <c r="CN57" s="845">
        <v>387.9</v>
      </c>
      <c r="CO57" s="661">
        <f>+CN57</f>
        <v>387.9</v>
      </c>
      <c r="CP57" s="2983">
        <v>384.9</v>
      </c>
      <c r="CQ57" s="2983">
        <v>378.5</v>
      </c>
      <c r="CR57" s="2983">
        <v>372.3</v>
      </c>
      <c r="CS57" s="2983">
        <v>365.1</v>
      </c>
      <c r="CT57" s="661">
        <f>+CS57</f>
        <v>365.1</v>
      </c>
      <c r="CU57" s="3085">
        <f>CT57+(CU719)/CU790+0.5</f>
        <v>362.02857142857147</v>
      </c>
      <c r="CV57" s="3085">
        <f>CU57+(CV719)/CV790+0.5</f>
        <v>359.04425087108018</v>
      </c>
      <c r="CW57" s="3085">
        <f>CV57+(CW719)/CW790+0.5</f>
        <v>356.1449137418204</v>
      </c>
      <c r="CX57" s="3085">
        <f>CW57+(CX719)/CX790+0.5</f>
        <v>353.32848727424988</v>
      </c>
      <c r="CY57" s="3441">
        <f>+CX57</f>
        <v>353.32848727424988</v>
      </c>
      <c r="CZ57" s="3441">
        <f>CY57+(CZ719)/CZ790+2</f>
        <v>339.69096274715918</v>
      </c>
      <c r="DA57" s="3441">
        <f>CZ57+(DA719)/DA790+2</f>
        <v>331.73981077537417</v>
      </c>
      <c r="DB57"/>
      <c r="DC57"/>
      <c r="DD57" s="2288" t="s">
        <v>936</v>
      </c>
      <c r="DE57" s="2293">
        <f t="shared" si="152"/>
        <v>487.31016399999999</v>
      </c>
      <c r="DF57" s="2293">
        <f t="shared" si="153"/>
        <v>481.961996</v>
      </c>
      <c r="DG57" s="2293">
        <f t="shared" si="154"/>
        <v>467.60563200000001</v>
      </c>
      <c r="DH57" s="2293">
        <f t="shared" si="155"/>
        <v>460.10857199999998</v>
      </c>
      <c r="DI57" s="2293">
        <f t="shared" si="156"/>
        <v>451.53715199999999</v>
      </c>
      <c r="DJ57" s="2293">
        <f t="shared" si="157"/>
        <v>410.70543800000002</v>
      </c>
      <c r="DK57" s="2293">
        <f t="shared" si="158"/>
        <v>387.95204799999999</v>
      </c>
      <c r="DL57" s="2293">
        <f t="shared" si="159"/>
        <v>354.043159</v>
      </c>
      <c r="DM57" s="2293">
        <f t="shared" si="160"/>
        <v>349.86016599999999</v>
      </c>
      <c r="DN57" s="2293">
        <f t="shared" si="161"/>
        <v>358.52235000000002</v>
      </c>
      <c r="DO57" s="2293">
        <f t="shared" si="162"/>
        <v>367.93763999999999</v>
      </c>
      <c r="DP57" s="2293">
        <f t="shared" si="163"/>
        <v>333.86675300000002</v>
      </c>
      <c r="DQ57" s="2293">
        <f t="shared" si="164"/>
        <v>310.89999999999998</v>
      </c>
      <c r="DR57" s="2293">
        <f t="shared" si="165"/>
        <v>298</v>
      </c>
      <c r="DS57" s="2293">
        <f t="shared" si="166"/>
        <v>276.54235</v>
      </c>
      <c r="DT57" s="2293">
        <f t="shared" si="167"/>
        <v>253.48193499999999</v>
      </c>
      <c r="DU57" s="2293">
        <f t="shared" si="168"/>
        <v>387.9</v>
      </c>
      <c r="DV57" s="2293">
        <f t="shared" si="169"/>
        <v>365.1</v>
      </c>
      <c r="DW57" s="2293">
        <f t="shared" si="170"/>
        <v>353.32848727424988</v>
      </c>
      <c r="DX57" s="2293">
        <f t="shared" si="171"/>
        <v>339.69096274715918</v>
      </c>
      <c r="DY57" s="2293">
        <f t="shared" si="172"/>
        <v>331.73981077537417</v>
      </c>
      <c r="EA57"/>
      <c r="EB57"/>
      <c r="EC57"/>
      <c r="ED57"/>
      <c r="EE57"/>
      <c r="EF57"/>
      <c r="EJ57"/>
      <c r="EK57"/>
      <c r="EL57"/>
      <c r="ER57" s="212"/>
    </row>
    <row r="58" spans="1:148" s="923" customFormat="1" ht="12.75" customHeight="1" x14ac:dyDescent="0.2">
      <c r="A58" s="1436" t="s">
        <v>1304</v>
      </c>
      <c r="B58" s="845"/>
      <c r="C58" s="845"/>
      <c r="D58" s="845"/>
      <c r="E58" s="845"/>
      <c r="F58" s="845"/>
      <c r="G58" s="845"/>
      <c r="H58" s="845"/>
      <c r="I58" s="845">
        <v>510.6</v>
      </c>
      <c r="J58" s="845">
        <v>503.6</v>
      </c>
      <c r="K58" s="845">
        <v>508.4</v>
      </c>
      <c r="L58" s="845">
        <v>507.4</v>
      </c>
      <c r="M58" s="848">
        <f>AVERAGE(I58:L58)</f>
        <v>507.5</v>
      </c>
      <c r="N58" s="845">
        <v>515.20000000000005</v>
      </c>
      <c r="O58" s="845">
        <v>520.6</v>
      </c>
      <c r="P58" s="845">
        <v>529.6</v>
      </c>
      <c r="Q58" s="845">
        <v>482.6</v>
      </c>
      <c r="R58" s="848">
        <f>AVERAGE(N58:Q58)</f>
        <v>512</v>
      </c>
      <c r="S58" s="845">
        <v>508.6</v>
      </c>
      <c r="T58" s="845">
        <v>519.79999999999995</v>
      </c>
      <c r="U58" s="845">
        <v>504.2</v>
      </c>
      <c r="V58" s="845">
        <v>494.6</v>
      </c>
      <c r="W58" s="848">
        <f>AVERAGE(S58:V58)</f>
        <v>506.80000000000007</v>
      </c>
      <c r="X58" s="845">
        <v>487.2</v>
      </c>
      <c r="Y58" s="845">
        <v>488.6</v>
      </c>
      <c r="Z58" s="845">
        <v>491.6</v>
      </c>
      <c r="AA58" s="845">
        <v>491.6</v>
      </c>
      <c r="AB58" s="848">
        <f>AVERAGE(X58:AA58)</f>
        <v>489.75</v>
      </c>
      <c r="AC58" s="845">
        <v>485.8</v>
      </c>
      <c r="AD58" s="845">
        <v>480.6</v>
      </c>
      <c r="AE58" s="845">
        <v>477.8</v>
      </c>
      <c r="AF58" s="845">
        <v>478.2</v>
      </c>
      <c r="AG58" s="848">
        <f>AVERAGE(AC58:AF58)</f>
        <v>480.6</v>
      </c>
      <c r="AH58" s="845">
        <v>479.2</v>
      </c>
      <c r="AI58" s="845">
        <v>469</v>
      </c>
      <c r="AJ58" s="845">
        <v>458.6</v>
      </c>
      <c r="AK58" s="845">
        <v>441.6</v>
      </c>
      <c r="AL58" s="848">
        <f>AVERAGE(AH58:AK58)</f>
        <v>462.1</v>
      </c>
      <c r="AM58" s="845">
        <v>441</v>
      </c>
      <c r="AN58" s="845">
        <v>436.6</v>
      </c>
      <c r="AO58" s="845">
        <v>424.7</v>
      </c>
      <c r="AP58" s="845">
        <v>419.9</v>
      </c>
      <c r="AQ58" s="848">
        <f>AVERAGE(AM58:AP58)</f>
        <v>430.54999999999995</v>
      </c>
      <c r="AR58" s="845">
        <v>411.3</v>
      </c>
      <c r="AS58" s="845">
        <v>403.8</v>
      </c>
      <c r="AT58" s="845">
        <v>394.1</v>
      </c>
      <c r="AU58" s="845">
        <v>383.1</v>
      </c>
      <c r="AV58" s="848">
        <f>AVERAGE(AR58:AU58)</f>
        <v>398.07500000000005</v>
      </c>
      <c r="AW58" s="845">
        <v>371.9</v>
      </c>
      <c r="AX58" s="845">
        <v>370</v>
      </c>
      <c r="AY58" s="845">
        <v>365.4</v>
      </c>
      <c r="AZ58" s="845">
        <v>359.4</v>
      </c>
      <c r="BA58" s="848">
        <f>AVERAGE(AW58:AZ58)</f>
        <v>366.67499999999995</v>
      </c>
      <c r="BB58" s="845">
        <v>356.7</v>
      </c>
      <c r="BC58" s="845">
        <v>363.5</v>
      </c>
      <c r="BD58" s="845">
        <v>366.3</v>
      </c>
      <c r="BE58" s="845">
        <v>372.2</v>
      </c>
      <c r="BF58" s="848">
        <f>AVERAGE(BB58:BE58)</f>
        <v>364.67500000000001</v>
      </c>
      <c r="BG58" s="845">
        <v>373.3</v>
      </c>
      <c r="BH58" s="845">
        <v>377.9</v>
      </c>
      <c r="BI58" s="845">
        <v>378.1</v>
      </c>
      <c r="BJ58" s="845">
        <v>382</v>
      </c>
      <c r="BK58" s="848">
        <f>AVERAGE(BG58:BJ58)</f>
        <v>377.82500000000005</v>
      </c>
      <c r="BL58" s="845">
        <v>381.8</v>
      </c>
      <c r="BM58" s="845">
        <v>369.4</v>
      </c>
      <c r="BN58" s="845">
        <v>357.2</v>
      </c>
      <c r="BO58" s="845">
        <v>346.4</v>
      </c>
      <c r="BP58" s="848">
        <f>AVERAGE(BL58:BO58)</f>
        <v>363.70000000000005</v>
      </c>
      <c r="BQ58" s="845">
        <v>344.6</v>
      </c>
      <c r="BR58" s="845">
        <v>338</v>
      </c>
      <c r="BS58" s="845">
        <v>329.3</v>
      </c>
      <c r="BT58" s="845">
        <v>322.2</v>
      </c>
      <c r="BU58" s="848">
        <v>332.9</v>
      </c>
      <c r="BV58" s="845">
        <v>320</v>
      </c>
      <c r="BW58" s="845">
        <v>314</v>
      </c>
      <c r="BX58" s="845">
        <v>309.5</v>
      </c>
      <c r="BY58" s="845">
        <v>307.5</v>
      </c>
      <c r="BZ58" s="848">
        <v>313</v>
      </c>
      <c r="CA58" s="845">
        <v>303.3</v>
      </c>
      <c r="CB58" s="845">
        <v>298.7</v>
      </c>
      <c r="CC58" s="845">
        <v>295.39999999999998</v>
      </c>
      <c r="CD58" s="845">
        <v>289</v>
      </c>
      <c r="CE58" s="848">
        <v>296.8</v>
      </c>
      <c r="CF58" s="845">
        <v>283.5</v>
      </c>
      <c r="CG58" s="845">
        <v>277.3</v>
      </c>
      <c r="CH58" s="845">
        <v>267.3</v>
      </c>
      <c r="CI58" s="845">
        <v>262.39999999999998</v>
      </c>
      <c r="CJ58" s="848">
        <v>272.8</v>
      </c>
      <c r="CK58" s="2983">
        <v>258.89999999999998</v>
      </c>
      <c r="CL58" s="2983">
        <v>258</v>
      </c>
      <c r="CM58" s="2983">
        <v>258.7</v>
      </c>
      <c r="CN58" s="2983">
        <v>394</v>
      </c>
      <c r="CO58" s="661">
        <f>AVERAGE(CK58:CN58)</f>
        <v>292.39999999999998</v>
      </c>
      <c r="CP58" s="3267">
        <v>390</v>
      </c>
      <c r="CQ58" s="3267">
        <v>383</v>
      </c>
      <c r="CR58" s="3267">
        <v>376.6</v>
      </c>
      <c r="CS58" s="3267">
        <v>369.9</v>
      </c>
      <c r="CT58" s="661">
        <f>AVERAGE(CP58:CS58)</f>
        <v>379.875</v>
      </c>
      <c r="CU58" s="847">
        <f>+CU56+5</f>
        <v>368.56428571428575</v>
      </c>
      <c r="CV58" s="847">
        <f t="shared" ref="CV58:CX58" si="173">+CV56+5</f>
        <v>365.53641114982582</v>
      </c>
      <c r="CW58" s="847">
        <f t="shared" si="173"/>
        <v>362.59458230645032</v>
      </c>
      <c r="CX58" s="847">
        <f t="shared" si="173"/>
        <v>359.73670050803514</v>
      </c>
      <c r="CY58" s="661">
        <f>AVERAGE(CU58:CX58)</f>
        <v>364.10799491964929</v>
      </c>
      <c r="CZ58" s="1431">
        <f>+CZ56+5</f>
        <v>351.50972501070453</v>
      </c>
      <c r="DA58" s="661">
        <f>+DA56+5</f>
        <v>340.7153867612667</v>
      </c>
      <c r="DB58"/>
      <c r="DC58"/>
      <c r="DD58" s="2288" t="s">
        <v>1304</v>
      </c>
      <c r="DE58" s="2293">
        <f t="shared" si="152"/>
        <v>507.5</v>
      </c>
      <c r="DF58" s="2293">
        <f t="shared" si="153"/>
        <v>512</v>
      </c>
      <c r="DG58" s="2293">
        <f t="shared" si="154"/>
        <v>506.80000000000007</v>
      </c>
      <c r="DH58" s="2293">
        <f t="shared" si="155"/>
        <v>489.75</v>
      </c>
      <c r="DI58" s="2293">
        <f t="shared" si="156"/>
        <v>480.6</v>
      </c>
      <c r="DJ58" s="2293">
        <f t="shared" si="157"/>
        <v>462.1</v>
      </c>
      <c r="DK58" s="2293">
        <f t="shared" si="158"/>
        <v>430.54999999999995</v>
      </c>
      <c r="DL58" s="2293">
        <f t="shared" si="159"/>
        <v>398.07500000000005</v>
      </c>
      <c r="DM58" s="2293">
        <f t="shared" si="160"/>
        <v>366.67499999999995</v>
      </c>
      <c r="DN58" s="2293">
        <f t="shared" si="161"/>
        <v>364.67500000000001</v>
      </c>
      <c r="DO58" s="2293">
        <f t="shared" si="162"/>
        <v>377.82500000000005</v>
      </c>
      <c r="DP58" s="2293">
        <f t="shared" si="163"/>
        <v>363.70000000000005</v>
      </c>
      <c r="DQ58" s="2293">
        <f t="shared" si="164"/>
        <v>332.9</v>
      </c>
      <c r="DR58" s="2293">
        <f t="shared" si="165"/>
        <v>313</v>
      </c>
      <c r="DS58" s="2293">
        <f t="shared" si="166"/>
        <v>296.8</v>
      </c>
      <c r="DT58" s="2293">
        <f t="shared" si="167"/>
        <v>272.8</v>
      </c>
      <c r="DU58" s="2293">
        <f t="shared" si="168"/>
        <v>292.39999999999998</v>
      </c>
      <c r="DV58" s="2293">
        <f t="shared" si="169"/>
        <v>379.875</v>
      </c>
      <c r="DW58" s="2293">
        <f t="shared" si="170"/>
        <v>364.10799491964929</v>
      </c>
      <c r="DX58" s="2293">
        <f t="shared" si="171"/>
        <v>351.50972501070453</v>
      </c>
      <c r="DY58" s="2293">
        <f t="shared" si="172"/>
        <v>340.7153867612667</v>
      </c>
      <c r="EA58"/>
      <c r="EB58"/>
      <c r="EC58"/>
      <c r="ED58"/>
      <c r="EE58"/>
      <c r="EF58"/>
      <c r="EJ58"/>
      <c r="EK58"/>
      <c r="EL58"/>
      <c r="ER58" s="212"/>
    </row>
    <row r="59" spans="1:148" s="923" customFormat="1" x14ac:dyDescent="0.2">
      <c r="A59" s="903" t="s">
        <v>689</v>
      </c>
      <c r="B59" s="1285"/>
      <c r="C59" s="1285"/>
      <c r="D59" s="1285"/>
      <c r="E59" s="1285"/>
      <c r="F59" s="1285"/>
      <c r="G59" s="1285"/>
      <c r="H59" s="1285"/>
      <c r="I59" s="1285">
        <f t="shared" ref="I59:AN59" si="174">+I51/I58</f>
        <v>0.18409714061887975</v>
      </c>
      <c r="J59" s="1285">
        <f t="shared" si="174"/>
        <v>0.25019857029388404</v>
      </c>
      <c r="K59" s="1285">
        <f t="shared" si="174"/>
        <v>0.21636506687647522</v>
      </c>
      <c r="L59" s="1285">
        <f t="shared" si="174"/>
        <v>0.29365392195506507</v>
      </c>
      <c r="M59" s="1286">
        <f t="shared" si="174"/>
        <v>0.94384236453201975</v>
      </c>
      <c r="N59" s="1285">
        <f t="shared" si="174"/>
        <v>0.23486024844720499</v>
      </c>
      <c r="O59" s="1285">
        <f t="shared" si="174"/>
        <v>0.24971187091817132</v>
      </c>
      <c r="P59" s="1285">
        <f t="shared" si="174"/>
        <v>0.19070996978851965</v>
      </c>
      <c r="Q59" s="1285">
        <f t="shared" si="174"/>
        <v>-0.24036469125569826</v>
      </c>
      <c r="R59" s="1286">
        <f t="shared" si="174"/>
        <v>0.4609375</v>
      </c>
      <c r="S59" s="1285">
        <f t="shared" si="174"/>
        <v>0.17302398741643726</v>
      </c>
      <c r="T59" s="1285">
        <f t="shared" si="174"/>
        <v>0.33089649865332821</v>
      </c>
      <c r="U59" s="1285">
        <f t="shared" si="174"/>
        <v>0.26775089250297501</v>
      </c>
      <c r="V59" s="1285">
        <f t="shared" si="174"/>
        <v>3.2349373230893659E-2</v>
      </c>
      <c r="W59" s="1286">
        <f t="shared" si="174"/>
        <v>0.81097079715864251</v>
      </c>
      <c r="X59" s="1285">
        <f t="shared" si="174"/>
        <v>0.35919540229885061</v>
      </c>
      <c r="Y59" s="1285">
        <f t="shared" si="174"/>
        <v>0.3417928776094965</v>
      </c>
      <c r="Z59" s="1285">
        <f t="shared" si="174"/>
        <v>0.25223759153783565</v>
      </c>
      <c r="AA59" s="1285">
        <f t="shared" si="174"/>
        <v>0.37632221318144832</v>
      </c>
      <c r="AB59" s="1286">
        <f t="shared" si="174"/>
        <v>1.3292496171516079</v>
      </c>
      <c r="AC59" s="1285">
        <f t="shared" si="174"/>
        <v>0.29230135858377931</v>
      </c>
      <c r="AD59" s="1285">
        <f t="shared" si="174"/>
        <v>0.34540158135663751</v>
      </c>
      <c r="AE59" s="1285">
        <f t="shared" si="174"/>
        <v>0.29091670154876514</v>
      </c>
      <c r="AF59" s="1285">
        <f t="shared" si="174"/>
        <v>0.43287327478042659</v>
      </c>
      <c r="AG59" s="1286">
        <f t="shared" si="174"/>
        <v>1.3607990012484394</v>
      </c>
      <c r="AH59" s="1285">
        <f t="shared" si="174"/>
        <v>0.39440734557595997</v>
      </c>
      <c r="AI59" s="1285">
        <f t="shared" si="174"/>
        <v>0.36673773987206826</v>
      </c>
      <c r="AJ59" s="1285">
        <f t="shared" si="174"/>
        <v>0.29873528129088528</v>
      </c>
      <c r="AK59" s="1285">
        <f t="shared" si="174"/>
        <v>0.53668478260869568</v>
      </c>
      <c r="AL59" s="1286">
        <f t="shared" si="174"/>
        <v>1.5905648128110799</v>
      </c>
      <c r="AM59" s="1285">
        <f t="shared" si="174"/>
        <v>0.20634920634920634</v>
      </c>
      <c r="AN59" s="1285">
        <f t="shared" si="174"/>
        <v>0.45579477782867611</v>
      </c>
      <c r="AO59" s="1285">
        <f t="shared" ref="AO59:BV59" si="175">+AO51/AO58</f>
        <v>0.3272898516599953</v>
      </c>
      <c r="AP59" s="1285">
        <f t="shared" si="175"/>
        <v>0.64777327935222673</v>
      </c>
      <c r="AQ59" s="1286">
        <f t="shared" si="175"/>
        <v>1.6281500406456859</v>
      </c>
      <c r="AR59" s="1285">
        <f t="shared" si="175"/>
        <v>0.57379042061755403</v>
      </c>
      <c r="AS59" s="1285">
        <f t="shared" si="175"/>
        <v>0.67855373947498765</v>
      </c>
      <c r="AT59" s="1285">
        <f t="shared" si="175"/>
        <v>0.41360060898249174</v>
      </c>
      <c r="AU59" s="1285">
        <f t="shared" si="175"/>
        <v>0.4594100756982511</v>
      </c>
      <c r="AV59" s="1286">
        <f t="shared" si="175"/>
        <v>2.1327639263957794</v>
      </c>
      <c r="AW59" s="1285">
        <f t="shared" si="175"/>
        <v>0.32535627856950794</v>
      </c>
      <c r="AX59" s="1285">
        <f t="shared" si="175"/>
        <v>0.52162162162162162</v>
      </c>
      <c r="AY59" s="1285">
        <f t="shared" si="175"/>
        <v>0.33661740558292286</v>
      </c>
      <c r="AZ59" s="1285">
        <f t="shared" si="175"/>
        <v>0.1669449081803005</v>
      </c>
      <c r="BA59" s="1286">
        <f t="shared" si="175"/>
        <v>1.3554237403695373</v>
      </c>
      <c r="BB59" s="1285">
        <f t="shared" si="175"/>
        <v>0.19063638912251193</v>
      </c>
      <c r="BC59" s="1285">
        <f t="shared" si="175"/>
        <v>0.20357634112792297</v>
      </c>
      <c r="BD59" s="1285">
        <f t="shared" si="175"/>
        <v>-0.51269451269451272</v>
      </c>
      <c r="BE59" s="1285">
        <f t="shared" si="175"/>
        <v>0.33584094572810319</v>
      </c>
      <c r="BF59" s="1286">
        <f t="shared" si="175"/>
        <v>0.21717968053746486</v>
      </c>
      <c r="BG59" s="1285">
        <f t="shared" si="175"/>
        <v>0.1982319849986606</v>
      </c>
      <c r="BH59" s="1285">
        <f t="shared" si="175"/>
        <v>0.28843609420481608</v>
      </c>
      <c r="BI59" s="1285">
        <f t="shared" si="175"/>
        <v>0.17984660142819359</v>
      </c>
      <c r="BJ59" s="1285">
        <f t="shared" si="175"/>
        <v>0.35340314136125656</v>
      </c>
      <c r="BK59" s="1286">
        <f t="shared" si="175"/>
        <v>1.0216370012571956</v>
      </c>
      <c r="BL59" s="1285">
        <f t="shared" si="175"/>
        <v>0.23048716605552644</v>
      </c>
      <c r="BM59" s="1285">
        <f t="shared" si="175"/>
        <v>0.34109366540335684</v>
      </c>
      <c r="BN59" s="1285">
        <f t="shared" si="175"/>
        <v>0.28555431131019038</v>
      </c>
      <c r="BO59" s="1285">
        <f t="shared" si="175"/>
        <v>0.45900692840646656</v>
      </c>
      <c r="BP59" s="1286">
        <f t="shared" si="175"/>
        <v>1.3060214462469066</v>
      </c>
      <c r="BQ59" s="1285">
        <f t="shared" si="175"/>
        <v>0.30179918746372603</v>
      </c>
      <c r="BR59" s="1285">
        <f t="shared" si="175"/>
        <v>0.42307692307692307</v>
      </c>
      <c r="BS59" s="1285">
        <f t="shared" si="175"/>
        <v>0.4342544791982994</v>
      </c>
      <c r="BT59" s="1285">
        <f t="shared" si="175"/>
        <v>0.56176288019863441</v>
      </c>
      <c r="BU59" s="1286">
        <f>+BU51/BU58</f>
        <v>1.71522979873836</v>
      </c>
      <c r="BV59" s="1285">
        <f t="shared" si="175"/>
        <v>0.42499999999999999</v>
      </c>
      <c r="BW59" s="1285">
        <f t="shared" ref="BW59:CE59" si="176">+BW51/BW58</f>
        <v>0.57006369426751591</v>
      </c>
      <c r="BX59" s="1285">
        <f t="shared" si="176"/>
        <v>0.51696284329563813</v>
      </c>
      <c r="BY59" s="1285">
        <f t="shared" si="176"/>
        <v>0.49105691056910566</v>
      </c>
      <c r="BZ59" s="1286">
        <f t="shared" si="176"/>
        <v>2</v>
      </c>
      <c r="CA59" s="1285">
        <f t="shared" si="176"/>
        <v>0.56709528519617536</v>
      </c>
      <c r="CB59" s="1285">
        <f t="shared" si="176"/>
        <v>0.64278540341479751</v>
      </c>
      <c r="CC59" s="1285">
        <f t="shared" si="176"/>
        <v>0.64996614759647942</v>
      </c>
      <c r="CD59" s="1789">
        <f t="shared" si="176"/>
        <v>0.68166089965397925</v>
      </c>
      <c r="CE59" s="1286">
        <f t="shared" si="176"/>
        <v>2.5370619946091644</v>
      </c>
      <c r="CF59" s="1285">
        <f t="shared" ref="CF59:DA59" si="177">+CF51/CF58</f>
        <v>0.73015873015873012</v>
      </c>
      <c r="CG59" s="1285">
        <f t="shared" si="177"/>
        <v>0.86548864046159391</v>
      </c>
      <c r="CH59" s="1285">
        <f t="shared" si="177"/>
        <v>0.78563411896745228</v>
      </c>
      <c r="CI59" s="1789">
        <f t="shared" si="177"/>
        <v>0.76981707317073178</v>
      </c>
      <c r="CJ59" s="1286">
        <f t="shared" si="177"/>
        <v>3.1488269794721409</v>
      </c>
      <c r="CK59" s="1285">
        <f t="shared" si="177"/>
        <v>0.84588644264194679</v>
      </c>
      <c r="CL59" s="1285">
        <f t="shared" si="177"/>
        <v>0.95736434108527135</v>
      </c>
      <c r="CM59" s="1285">
        <f t="shared" si="177"/>
        <v>0.27058368766911484</v>
      </c>
      <c r="CN59" s="1789">
        <f t="shared" si="177"/>
        <v>0.61928934010152281</v>
      </c>
      <c r="CO59" s="1286">
        <f t="shared" si="177"/>
        <v>2.6675786593707254</v>
      </c>
      <c r="CP59" s="1285">
        <f t="shared" si="177"/>
        <v>0.9358974358974359</v>
      </c>
      <c r="CQ59" s="1285">
        <f t="shared" si="177"/>
        <v>1.0809399477806789</v>
      </c>
      <c r="CR59" s="1285">
        <f t="shared" si="177"/>
        <v>1.0408921933085502</v>
      </c>
      <c r="CS59" s="1285">
        <f t="shared" si="177"/>
        <v>0.54339010543390109</v>
      </c>
      <c r="CT59" s="1286">
        <f t="shared" si="177"/>
        <v>3.6117143797301745</v>
      </c>
      <c r="CU59" s="1285">
        <f ca="1">+CU51/CU58</f>
        <v>1.2527822856471493</v>
      </c>
      <c r="CV59" s="1285">
        <f ca="1">+CV51/CV58</f>
        <v>1.3529724817330022</v>
      </c>
      <c r="CW59" s="1285">
        <f ca="1">+CW51/CW58</f>
        <v>1.321943032871626</v>
      </c>
      <c r="CX59" s="1285">
        <f ca="1">+CX51/CX58</f>
        <v>1.3919074656980788</v>
      </c>
      <c r="CY59" s="1286">
        <f ca="1">+CY51/CY58</f>
        <v>5.3180405857587658</v>
      </c>
      <c r="CZ59" s="1789">
        <f t="shared" ca="1" si="177"/>
        <v>6.2152045518202783</v>
      </c>
      <c r="DA59" s="1286">
        <f t="shared" ca="1" si="177"/>
        <v>6.2949386934559239</v>
      </c>
      <c r="DB59"/>
      <c r="DC59"/>
      <c r="DD59" s="2297" t="s">
        <v>689</v>
      </c>
      <c r="DE59" s="1286">
        <f t="shared" si="152"/>
        <v>0.94384236453201975</v>
      </c>
      <c r="DF59" s="1286">
        <f t="shared" si="153"/>
        <v>0.4609375</v>
      </c>
      <c r="DG59" s="1286">
        <f t="shared" si="154"/>
        <v>0.81097079715864251</v>
      </c>
      <c r="DH59" s="1286">
        <f t="shared" si="155"/>
        <v>1.3292496171516079</v>
      </c>
      <c r="DI59" s="1286">
        <f t="shared" si="156"/>
        <v>1.3607990012484394</v>
      </c>
      <c r="DJ59" s="1286">
        <f t="shared" si="157"/>
        <v>1.5905648128110799</v>
      </c>
      <c r="DK59" s="1286">
        <f t="shared" si="158"/>
        <v>1.6281500406456859</v>
      </c>
      <c r="DL59" s="1286">
        <f t="shared" si="159"/>
        <v>2.1327639263957794</v>
      </c>
      <c r="DM59" s="1286">
        <f t="shared" si="160"/>
        <v>1.3554237403695373</v>
      </c>
      <c r="DN59" s="1286">
        <f t="shared" si="161"/>
        <v>0.21717968053746486</v>
      </c>
      <c r="DO59" s="1286">
        <f t="shared" si="162"/>
        <v>1.0216370012571956</v>
      </c>
      <c r="DP59" s="1286">
        <f t="shared" si="163"/>
        <v>1.3060214462469066</v>
      </c>
      <c r="DQ59" s="1286">
        <f t="shared" si="164"/>
        <v>1.71522979873836</v>
      </c>
      <c r="DR59" s="1286">
        <f t="shared" si="165"/>
        <v>2</v>
      </c>
      <c r="DS59" s="1286">
        <f t="shared" si="166"/>
        <v>2.5370619946091644</v>
      </c>
      <c r="DT59" s="1286">
        <f t="shared" si="167"/>
        <v>3.1488269794721409</v>
      </c>
      <c r="DU59" s="1286">
        <f t="shared" si="168"/>
        <v>2.6675786593707254</v>
      </c>
      <c r="DV59" s="1286">
        <f t="shared" si="169"/>
        <v>3.6117143797301745</v>
      </c>
      <c r="DW59" s="1286">
        <f t="shared" ca="1" si="170"/>
        <v>5.3180405857587658</v>
      </c>
      <c r="DX59" s="1286">
        <f t="shared" ca="1" si="171"/>
        <v>6.2152045518202783</v>
      </c>
      <c r="DY59" s="1286">
        <f t="shared" ca="1" si="172"/>
        <v>6.2949386934559239</v>
      </c>
      <c r="EA59"/>
      <c r="EB59"/>
      <c r="EC59"/>
      <c r="ED59"/>
      <c r="EE59"/>
      <c r="EF59"/>
      <c r="EJ59"/>
      <c r="EK59"/>
      <c r="EL59"/>
      <c r="EM59" s="1703"/>
      <c r="ER59" s="212"/>
    </row>
    <row r="60" spans="1:148" s="923" customFormat="1" x14ac:dyDescent="0.2">
      <c r="A60" s="904" t="s">
        <v>690</v>
      </c>
      <c r="B60" s="1287"/>
      <c r="C60" s="1287"/>
      <c r="D60" s="1287"/>
      <c r="E60" s="1287"/>
      <c r="F60" s="1287"/>
      <c r="G60" s="1287"/>
      <c r="H60" s="1287"/>
      <c r="I60" s="1287">
        <f t="shared" ref="I60:AN60" si="178">(I51-I46)/I58</f>
        <v>0.19690732570141919</v>
      </c>
      <c r="J60" s="1287">
        <f t="shared" si="178"/>
        <v>0.24647915717493946</v>
      </c>
      <c r="K60" s="1287">
        <f t="shared" si="178"/>
        <v>0.21636506687647522</v>
      </c>
      <c r="L60" s="1287">
        <f t="shared" si="178"/>
        <v>0.30258399750088727</v>
      </c>
      <c r="M60" s="1288">
        <f t="shared" si="178"/>
        <v>0.96196828450915139</v>
      </c>
      <c r="N60" s="1287">
        <f t="shared" si="178"/>
        <v>0.23118585378815559</v>
      </c>
      <c r="O60" s="1287">
        <f t="shared" si="178"/>
        <v>0.24009771762364923</v>
      </c>
      <c r="P60" s="1287">
        <f t="shared" si="178"/>
        <v>0.18158767214658456</v>
      </c>
      <c r="Q60" s="1287">
        <f t="shared" si="178"/>
        <v>0.11228395212208384</v>
      </c>
      <c r="R60" s="1288">
        <f t="shared" si="178"/>
        <v>0.77042751978413748</v>
      </c>
      <c r="S60" s="1287">
        <f t="shared" si="178"/>
        <v>0.17302398741643726</v>
      </c>
      <c r="T60" s="1287">
        <f t="shared" si="178"/>
        <v>0.32950750288572528</v>
      </c>
      <c r="U60" s="1287">
        <f t="shared" si="178"/>
        <v>0.28956763189210633</v>
      </c>
      <c r="V60" s="1287">
        <f t="shared" si="178"/>
        <v>0.29694298422968052</v>
      </c>
      <c r="W60" s="1288">
        <f t="shared" si="178"/>
        <v>1.0894751381215471</v>
      </c>
      <c r="X60" s="1287">
        <f t="shared" si="178"/>
        <v>0.29967159277504107</v>
      </c>
      <c r="Y60" s="1287">
        <f t="shared" si="178"/>
        <v>0.34383954154727792</v>
      </c>
      <c r="Z60" s="1287">
        <f t="shared" si="178"/>
        <v>0.25427176566314075</v>
      </c>
      <c r="AA60" s="1287">
        <f t="shared" si="178"/>
        <v>0.37835638730675342</v>
      </c>
      <c r="AB60" s="1288">
        <f t="shared" si="178"/>
        <v>1.2761613067891782</v>
      </c>
      <c r="AC60" s="1287">
        <f t="shared" si="178"/>
        <v>0.29230135858377931</v>
      </c>
      <c r="AD60" s="1287">
        <f t="shared" si="178"/>
        <v>0.34540158135663751</v>
      </c>
      <c r="AE60" s="1287">
        <f t="shared" si="178"/>
        <v>0.28882377563834238</v>
      </c>
      <c r="AF60" s="1287">
        <f t="shared" si="178"/>
        <v>0.43078209953994145</v>
      </c>
      <c r="AG60" s="1288">
        <f t="shared" si="178"/>
        <v>1.3566375364128171</v>
      </c>
      <c r="AH60" s="1287">
        <f t="shared" si="178"/>
        <v>0.39440734557595997</v>
      </c>
      <c r="AI60" s="1287">
        <f t="shared" si="178"/>
        <v>0.53944562899786785</v>
      </c>
      <c r="AJ60" s="1287">
        <f t="shared" si="178"/>
        <v>0.32272132577409507</v>
      </c>
      <c r="AK60" s="1287">
        <f t="shared" si="178"/>
        <v>0.53668478260869568</v>
      </c>
      <c r="AL60" s="1288">
        <f t="shared" si="178"/>
        <v>1.7896559186323306</v>
      </c>
      <c r="AM60" s="1287">
        <f t="shared" si="178"/>
        <v>0.44444444444444442</v>
      </c>
      <c r="AN60" s="1287">
        <f t="shared" si="178"/>
        <v>0.45579477782867611</v>
      </c>
      <c r="AO60" s="1287">
        <f t="shared" ref="AO60:BK60" si="179">(AO51-AO46)/AO58</f>
        <v>0.3272898516599953</v>
      </c>
      <c r="AP60" s="1287">
        <f t="shared" si="179"/>
        <v>0.64777327935222673</v>
      </c>
      <c r="AQ60" s="1288">
        <f t="shared" si="179"/>
        <v>1.8720241551503893</v>
      </c>
      <c r="AR60" s="1287">
        <f t="shared" si="179"/>
        <v>0.57379042061755403</v>
      </c>
      <c r="AS60" s="1287">
        <f t="shared" si="179"/>
        <v>0.76523031203566116</v>
      </c>
      <c r="AT60" s="1287">
        <f t="shared" si="179"/>
        <v>0.41360060898249174</v>
      </c>
      <c r="AU60" s="1287">
        <f t="shared" si="179"/>
        <v>0.6160271469590185</v>
      </c>
      <c r="AV60" s="1288">
        <f t="shared" si="179"/>
        <v>2.371412422282233</v>
      </c>
      <c r="AW60" s="1287">
        <f t="shared" si="179"/>
        <v>0.32804517343371875</v>
      </c>
      <c r="AX60" s="1287">
        <f t="shared" si="179"/>
        <v>0.51081081081081081</v>
      </c>
      <c r="AY60" s="1287">
        <f t="shared" si="179"/>
        <v>0.33661740558292286</v>
      </c>
      <c r="AZ60" s="1287">
        <f t="shared" si="179"/>
        <v>-0.19755147468002227</v>
      </c>
      <c r="BA60" s="1288">
        <f t="shared" si="179"/>
        <v>0.98997750051135214</v>
      </c>
      <c r="BB60" s="1287">
        <f t="shared" si="179"/>
        <v>-0.11774600504625736</v>
      </c>
      <c r="BC60" s="1287">
        <f t="shared" si="179"/>
        <v>7.4277854195323248E-2</v>
      </c>
      <c r="BD60" s="1287">
        <f t="shared" si="179"/>
        <v>-1.9295659295659293</v>
      </c>
      <c r="BE60" s="1287">
        <f t="shared" si="179"/>
        <v>0.33584094572810319</v>
      </c>
      <c r="BF60" s="1288">
        <f t="shared" si="179"/>
        <v>-1.6365256735449372</v>
      </c>
      <c r="BG60" s="1287">
        <f t="shared" si="179"/>
        <v>0.1982319849986606</v>
      </c>
      <c r="BH60" s="1287">
        <f t="shared" si="179"/>
        <v>0.28843609420481608</v>
      </c>
      <c r="BI60" s="1287">
        <f t="shared" si="179"/>
        <v>0.17984660142819359</v>
      </c>
      <c r="BJ60" s="1287">
        <f t="shared" si="179"/>
        <v>0.35340314136125656</v>
      </c>
      <c r="BK60" s="1288">
        <f t="shared" si="179"/>
        <v>1.0216370012571956</v>
      </c>
      <c r="BL60" s="1287">
        <f t="shared" ref="BL60:BU60" si="180">BL53/BL58</f>
        <v>0.23048716605552644</v>
      </c>
      <c r="BM60" s="1287">
        <f t="shared" si="180"/>
        <v>0.34109366540335684</v>
      </c>
      <c r="BN60" s="1287">
        <f t="shared" si="180"/>
        <v>0.28555431131019038</v>
      </c>
      <c r="BO60" s="1287">
        <f t="shared" si="180"/>
        <v>0.45900692840646656</v>
      </c>
      <c r="BP60" s="1288">
        <f t="shared" si="180"/>
        <v>1.3060214462469066</v>
      </c>
      <c r="BQ60" s="1287">
        <f t="shared" si="180"/>
        <v>0.30179918746372603</v>
      </c>
      <c r="BR60" s="1287">
        <f t="shared" si="180"/>
        <v>0.42307692307692307</v>
      </c>
      <c r="BS60" s="1287">
        <f t="shared" si="180"/>
        <v>0.4342544791982994</v>
      </c>
      <c r="BT60" s="1287">
        <f t="shared" si="180"/>
        <v>0.56176288019863441</v>
      </c>
      <c r="BU60" s="1288">
        <f t="shared" si="180"/>
        <v>1.71522979873836</v>
      </c>
      <c r="BV60" s="1287">
        <f t="shared" ref="BV60:CE60" si="181">BV53/BV58</f>
        <v>0.42499999999999999</v>
      </c>
      <c r="BW60" s="1287">
        <f t="shared" si="181"/>
        <v>0.57006369426751591</v>
      </c>
      <c r="BX60" s="1287">
        <f t="shared" si="181"/>
        <v>0.51696284329563813</v>
      </c>
      <c r="BY60" s="1287">
        <f>BY53/BY58</f>
        <v>0.49105691056910566</v>
      </c>
      <c r="BZ60" s="1288">
        <f t="shared" si="181"/>
        <v>2</v>
      </c>
      <c r="CA60" s="1287">
        <f>CA53/CA58</f>
        <v>0.56709528519617536</v>
      </c>
      <c r="CB60" s="1287">
        <f t="shared" si="181"/>
        <v>0.71309005691329097</v>
      </c>
      <c r="CC60" s="1287">
        <f t="shared" si="181"/>
        <v>0.64996614759647942</v>
      </c>
      <c r="CD60" s="1790">
        <f>CD53/CD58</f>
        <v>0.68166089965397925</v>
      </c>
      <c r="CE60" s="1288">
        <f t="shared" si="181"/>
        <v>2.6078167115902966</v>
      </c>
      <c r="CF60" s="1287">
        <f t="shared" ref="CF60:CL60" si="182">CF53/CF58</f>
        <v>0.73015873015873012</v>
      </c>
      <c r="CG60" s="1287">
        <f t="shared" si="182"/>
        <v>0.82221420843851423</v>
      </c>
      <c r="CH60" s="2754">
        <f t="shared" si="182"/>
        <v>0.78563411896745228</v>
      </c>
      <c r="CI60" s="1790">
        <f t="shared" si="182"/>
        <v>0.76981707317073178</v>
      </c>
      <c r="CJ60" s="1288">
        <f t="shared" si="182"/>
        <v>3.104838709677419</v>
      </c>
      <c r="CK60" s="1287">
        <f t="shared" si="182"/>
        <v>0.87292390884511406</v>
      </c>
      <c r="CL60" s="1287">
        <f t="shared" si="182"/>
        <v>1.0271317829457365</v>
      </c>
      <c r="CM60" s="1287">
        <f t="shared" ref="CM60:CT60" si="183">CM53/CM58</f>
        <v>0.90838809431774259</v>
      </c>
      <c r="CN60" s="1790">
        <f t="shared" si="183"/>
        <v>0.61928934010152281</v>
      </c>
      <c r="CO60" s="1288">
        <f t="shared" si="183"/>
        <v>3.3173734610123122</v>
      </c>
      <c r="CP60" s="1287">
        <f t="shared" si="183"/>
        <v>1.0128205128205128</v>
      </c>
      <c r="CQ60" s="1287">
        <f t="shared" si="183"/>
        <v>1.1279373368146215</v>
      </c>
      <c r="CR60" s="1287">
        <f t="shared" si="183"/>
        <v>1.0966542750929367</v>
      </c>
      <c r="CS60" s="1287">
        <f t="shared" si="183"/>
        <v>1.1219248445525818</v>
      </c>
      <c r="CT60" s="1288">
        <f t="shared" si="183"/>
        <v>4.3566962816716028</v>
      </c>
      <c r="CU60" s="1287">
        <f t="shared" ref="CU60:DA60" ca="1" si="184">CU53/CU58</f>
        <v>1.2527822856471493</v>
      </c>
      <c r="CV60" s="1287">
        <f t="shared" ca="1" si="184"/>
        <v>1.3529724817330022</v>
      </c>
      <c r="CW60" s="1287">
        <f t="shared" ca="1" si="184"/>
        <v>1.321943032871626</v>
      </c>
      <c r="CX60" s="1287">
        <f t="shared" ca="1" si="184"/>
        <v>1.3919074656980788</v>
      </c>
      <c r="CY60" s="1288">
        <f t="shared" ca="1" si="184"/>
        <v>5.3180405857587729</v>
      </c>
      <c r="CZ60" s="1790">
        <f t="shared" ca="1" si="184"/>
        <v>6.2152045518202783</v>
      </c>
      <c r="DA60" s="1288">
        <f t="shared" ca="1" si="184"/>
        <v>6.2949386934559239</v>
      </c>
      <c r="DB60"/>
      <c r="DC60"/>
      <c r="DD60" s="2298" t="s">
        <v>690</v>
      </c>
      <c r="DE60" s="1288">
        <f t="shared" si="152"/>
        <v>0.96196828450915139</v>
      </c>
      <c r="DF60" s="1288">
        <f t="shared" si="153"/>
        <v>0.77042751978413748</v>
      </c>
      <c r="DG60" s="1288">
        <f t="shared" si="154"/>
        <v>1.0894751381215471</v>
      </c>
      <c r="DH60" s="1288">
        <f t="shared" si="155"/>
        <v>1.2761613067891782</v>
      </c>
      <c r="DI60" s="1288">
        <f t="shared" si="156"/>
        <v>1.3566375364128171</v>
      </c>
      <c r="DJ60" s="1288">
        <f t="shared" si="157"/>
        <v>1.7896559186323306</v>
      </c>
      <c r="DK60" s="1288">
        <f t="shared" si="158"/>
        <v>1.8720241551503893</v>
      </c>
      <c r="DL60" s="1288">
        <f t="shared" si="159"/>
        <v>2.371412422282233</v>
      </c>
      <c r="DM60" s="1288">
        <f t="shared" si="160"/>
        <v>0.98997750051135214</v>
      </c>
      <c r="DN60" s="1288">
        <f t="shared" si="161"/>
        <v>-1.6365256735449372</v>
      </c>
      <c r="DO60" s="1288">
        <f t="shared" si="162"/>
        <v>1.0216370012571956</v>
      </c>
      <c r="DP60" s="1288">
        <f t="shared" si="163"/>
        <v>1.3060214462469066</v>
      </c>
      <c r="DQ60" s="1288">
        <f t="shared" si="164"/>
        <v>1.71522979873836</v>
      </c>
      <c r="DR60" s="1288">
        <f t="shared" si="165"/>
        <v>2</v>
      </c>
      <c r="DS60" s="1288">
        <f t="shared" si="166"/>
        <v>2.6078167115902966</v>
      </c>
      <c r="DT60" s="1288">
        <f t="shared" si="167"/>
        <v>3.104838709677419</v>
      </c>
      <c r="DU60" s="1288">
        <f t="shared" si="168"/>
        <v>3.3173734610123122</v>
      </c>
      <c r="DV60" s="1288">
        <f t="shared" si="169"/>
        <v>4.3566962816716028</v>
      </c>
      <c r="DW60" s="1288">
        <f t="shared" ca="1" si="170"/>
        <v>5.3180405857587729</v>
      </c>
      <c r="DX60" s="1288">
        <f t="shared" ca="1" si="171"/>
        <v>6.2152045518202783</v>
      </c>
      <c r="DY60" s="1288">
        <f t="shared" ca="1" si="172"/>
        <v>6.2949386934559239</v>
      </c>
      <c r="EA60"/>
      <c r="EB60"/>
      <c r="EC60"/>
      <c r="ED60"/>
      <c r="EE60"/>
      <c r="EF60"/>
      <c r="EJ60"/>
      <c r="EK60"/>
      <c r="EL60"/>
      <c r="EM60" s="1703"/>
      <c r="ER60" s="212"/>
    </row>
    <row r="61" spans="1:148" s="923" customFormat="1" x14ac:dyDescent="0.2">
      <c r="A61" s="1663" t="s">
        <v>691</v>
      </c>
      <c r="B61" s="1665"/>
      <c r="C61" s="1665"/>
      <c r="D61" s="1665"/>
      <c r="E61" s="1665"/>
      <c r="F61" s="1665"/>
      <c r="G61" s="1665"/>
      <c r="H61" s="1665"/>
      <c r="I61" s="1665"/>
      <c r="J61" s="1665"/>
      <c r="K61" s="1665"/>
      <c r="L61" s="1665"/>
      <c r="M61" s="1664"/>
      <c r="N61" s="1665"/>
      <c r="O61" s="1665"/>
      <c r="P61" s="1665"/>
      <c r="Q61" s="1665"/>
      <c r="R61" s="1664"/>
      <c r="S61" s="1665"/>
      <c r="T61" s="1665"/>
      <c r="U61" s="1665"/>
      <c r="V61" s="1665"/>
      <c r="W61" s="1664"/>
      <c r="X61" s="1665"/>
      <c r="Y61" s="1665"/>
      <c r="Z61" s="1665"/>
      <c r="AA61" s="1665"/>
      <c r="AB61" s="1664"/>
      <c r="AC61" s="1665"/>
      <c r="AD61" s="1665"/>
      <c r="AE61" s="1665"/>
      <c r="AF61" s="1665"/>
      <c r="AG61" s="1664">
        <f t="shared" ref="AG61:BV61" si="185">AG60/AB60-1</f>
        <v>6.3061173533083492E-2</v>
      </c>
      <c r="AH61" s="1665">
        <f t="shared" si="185"/>
        <v>0.34931752451268561</v>
      </c>
      <c r="AI61" s="1665">
        <f t="shared" si="185"/>
        <v>0.56179258612274285</v>
      </c>
      <c r="AJ61" s="1665">
        <f t="shared" si="185"/>
        <v>0.11736412648451178</v>
      </c>
      <c r="AK61" s="1665">
        <f t="shared" si="185"/>
        <v>0.24583817011397224</v>
      </c>
      <c r="AL61" s="1664">
        <f t="shared" si="185"/>
        <v>0.31918502223113232</v>
      </c>
      <c r="AM61" s="1665">
        <f t="shared" si="185"/>
        <v>0.12686654908877126</v>
      </c>
      <c r="AN61" s="1665">
        <f t="shared" si="185"/>
        <v>-0.15506817864960842</v>
      </c>
      <c r="AO61" s="1665">
        <f t="shared" si="185"/>
        <v>1.4156256562661174E-2</v>
      </c>
      <c r="AP61" s="1665">
        <f t="shared" si="185"/>
        <v>0.20699021165376918</v>
      </c>
      <c r="AQ61" s="1664">
        <f t="shared" si="185"/>
        <v>4.6024621638446117E-2</v>
      </c>
      <c r="AR61" s="1665">
        <f t="shared" si="185"/>
        <v>0.29102844638949654</v>
      </c>
      <c r="AS61" s="1665">
        <f t="shared" si="185"/>
        <v>0.67889223233552598</v>
      </c>
      <c r="AT61" s="1665">
        <f t="shared" si="185"/>
        <v>0.26371351535873555</v>
      </c>
      <c r="AU61" s="1665">
        <f t="shared" si="185"/>
        <v>-4.9008091882015159E-2</v>
      </c>
      <c r="AV61" s="1664">
        <f t="shared" si="185"/>
        <v>0.26676379455783539</v>
      </c>
      <c r="AW61" s="1665">
        <f t="shared" si="185"/>
        <v>-0.42828398375725196</v>
      </c>
      <c r="AX61" s="1665">
        <f t="shared" si="185"/>
        <v>-0.33247441616373652</v>
      </c>
      <c r="AY61" s="1665">
        <f t="shared" si="185"/>
        <v>-0.18612932797404969</v>
      </c>
      <c r="AZ61" s="1665">
        <f t="shared" si="185"/>
        <v>-1.3206863133471041</v>
      </c>
      <c r="BA61" s="1664">
        <f t="shared" si="185"/>
        <v>-0.58253676534316046</v>
      </c>
      <c r="BB61" s="1665">
        <f t="shared" si="185"/>
        <v>-1.3589322891533042</v>
      </c>
      <c r="BC61" s="1665">
        <f t="shared" si="185"/>
        <v>-0.85458832776576932</v>
      </c>
      <c r="BD61" s="1665">
        <f t="shared" si="185"/>
        <v>-6.7322226883202481</v>
      </c>
      <c r="BE61" s="1665">
        <f t="shared" si="185"/>
        <v>-2.7000174069673282</v>
      </c>
      <c r="BF61" s="1664">
        <f t="shared" si="185"/>
        <v>-2.6530938053638837</v>
      </c>
      <c r="BG61" s="1665">
        <f t="shared" si="185"/>
        <v>-2.6835559297386249</v>
      </c>
      <c r="BH61" s="1665">
        <f t="shared" si="185"/>
        <v>2.883204453461135</v>
      </c>
      <c r="BI61" s="1665">
        <f t="shared" si="185"/>
        <v>-1.0932057301968694</v>
      </c>
      <c r="BJ61" s="1665">
        <f t="shared" si="185"/>
        <v>5.2293193717277475E-2</v>
      </c>
      <c r="BK61" s="1664">
        <f t="shared" si="185"/>
        <v>-1.624271905887178</v>
      </c>
      <c r="BL61" s="1665">
        <f t="shared" si="185"/>
        <v>0.16271431200713526</v>
      </c>
      <c r="BM61" s="1665">
        <f t="shared" si="185"/>
        <v>0.18256235005439048</v>
      </c>
      <c r="BN61" s="1665">
        <f t="shared" si="185"/>
        <v>0.5877659574468086</v>
      </c>
      <c r="BO61" s="1665">
        <f t="shared" si="185"/>
        <v>0.29881960482422376</v>
      </c>
      <c r="BP61" s="1664">
        <f t="shared" si="185"/>
        <v>0.27836153608351699</v>
      </c>
      <c r="BQ61" s="1665">
        <f t="shared" si="185"/>
        <v>0.30939692924602968</v>
      </c>
      <c r="BR61" s="1665">
        <f t="shared" si="185"/>
        <v>0.24035409035409017</v>
      </c>
      <c r="BS61" s="1665">
        <f t="shared" si="185"/>
        <v>0.52074215656502498</v>
      </c>
      <c r="BT61" s="1665">
        <f t="shared" si="185"/>
        <v>0.22386579686042096</v>
      </c>
      <c r="BU61" s="1664">
        <f t="shared" si="185"/>
        <v>0.31332437431819282</v>
      </c>
      <c r="BV61" s="1665">
        <f t="shared" si="185"/>
        <v>0.40822115384615398</v>
      </c>
      <c r="BW61" s="1665">
        <f t="shared" ref="BW61:CG61" si="186">BW60/BR60-1</f>
        <v>0.34742327735958312</v>
      </c>
      <c r="BX61" s="1665">
        <f t="shared" si="186"/>
        <v>0.1904605894912843</v>
      </c>
      <c r="BY61" s="1665">
        <f t="shared" si="186"/>
        <v>-0.12586443875488484</v>
      </c>
      <c r="BZ61" s="1664">
        <f t="shared" si="186"/>
        <v>0.1660245183887914</v>
      </c>
      <c r="CA61" s="1665">
        <f t="shared" si="186"/>
        <v>0.33434184752041274</v>
      </c>
      <c r="CB61" s="1665">
        <f t="shared" si="186"/>
        <v>0.25089540709929259</v>
      </c>
      <c r="CC61" s="1665">
        <f t="shared" si="186"/>
        <v>0.25727826675693977</v>
      </c>
      <c r="CD61" s="1791">
        <f t="shared" si="186"/>
        <v>0.38815050757350078</v>
      </c>
      <c r="CE61" s="1664">
        <f t="shared" si="186"/>
        <v>0.3039083557951483</v>
      </c>
      <c r="CF61" s="1665">
        <f t="shared" si="186"/>
        <v>0.28754152823920265</v>
      </c>
      <c r="CG61" s="1665">
        <f t="shared" si="186"/>
        <v>0.15302997211541869</v>
      </c>
      <c r="CH61" s="1665">
        <f t="shared" ref="CH61:CO61" si="187">CH60/CC60-1</f>
        <v>0.20873082678638211</v>
      </c>
      <c r="CI61" s="1791">
        <f t="shared" si="187"/>
        <v>0.12932555404234258</v>
      </c>
      <c r="CJ61" s="1664">
        <f t="shared" si="187"/>
        <v>0.19058931399516532</v>
      </c>
      <c r="CK61" s="1665">
        <f t="shared" si="187"/>
        <v>0.19552622298352595</v>
      </c>
      <c r="CL61" s="1665">
        <f t="shared" si="187"/>
        <v>0.24922650618795061</v>
      </c>
      <c r="CM61" s="1665">
        <f t="shared" si="187"/>
        <v>0.15624827433872657</v>
      </c>
      <c r="CN61" s="1791">
        <f t="shared" si="187"/>
        <v>-0.19553701563049719</v>
      </c>
      <c r="CO61" s="1664">
        <f t="shared" si="187"/>
        <v>6.8452751079290275E-2</v>
      </c>
      <c r="CP61" s="1665">
        <f t="shared" ref="CP61:CY61" si="188">CP60/CK60-1</f>
        <v>0.16026208304969347</v>
      </c>
      <c r="CQ61" s="1665">
        <f t="shared" si="188"/>
        <v>9.8142765653480568E-2</v>
      </c>
      <c r="CR61" s="1665">
        <f t="shared" si="188"/>
        <v>0.20725302538954349</v>
      </c>
      <c r="CS61" s="1665">
        <f t="shared" si="188"/>
        <v>0.81163274079392322</v>
      </c>
      <c r="CT61" s="1664">
        <f t="shared" si="188"/>
        <v>0.31329689975337782</v>
      </c>
      <c r="CU61" s="1665">
        <f t="shared" ca="1" si="188"/>
        <v>0.23692428203136262</v>
      </c>
      <c r="CV61" s="1665">
        <f t="shared" ca="1" si="188"/>
        <v>0.19951032524013845</v>
      </c>
      <c r="CW61" s="1665">
        <f t="shared" ca="1" si="188"/>
        <v>0.20543279946599124</v>
      </c>
      <c r="CX61" s="1665">
        <f t="shared" ca="1" si="188"/>
        <v>0.24064234111257665</v>
      </c>
      <c r="CY61" s="1664">
        <f t="shared" ca="1" si="188"/>
        <v>0.22065901360429829</v>
      </c>
      <c r="CZ61" s="1791">
        <f ca="1">CZ60/CY60-1</f>
        <v>0.16870197803003406</v>
      </c>
      <c r="DA61" s="1664">
        <f ca="1">DA60/CZ60-1</f>
        <v>1.2828884547700703E-2</v>
      </c>
      <c r="DB61"/>
      <c r="DC61"/>
      <c r="DD61" s="1663" t="s">
        <v>691</v>
      </c>
      <c r="DE61" s="1664">
        <f t="shared" si="152"/>
        <v>0</v>
      </c>
      <c r="DF61" s="1664">
        <f t="shared" si="153"/>
        <v>0</v>
      </c>
      <c r="DG61" s="1664">
        <f t="shared" si="154"/>
        <v>0</v>
      </c>
      <c r="DH61" s="1664">
        <f t="shared" si="155"/>
        <v>0</v>
      </c>
      <c r="DI61" s="1664">
        <f t="shared" si="156"/>
        <v>6.3061173533083492E-2</v>
      </c>
      <c r="DJ61" s="1664">
        <f t="shared" si="157"/>
        <v>0.31918502223113232</v>
      </c>
      <c r="DK61" s="1664">
        <f t="shared" si="158"/>
        <v>4.6024621638446117E-2</v>
      </c>
      <c r="DL61" s="1664">
        <f t="shared" si="159"/>
        <v>0.26676379455783539</v>
      </c>
      <c r="DM61" s="1664">
        <f t="shared" si="160"/>
        <v>-0.58253676534316046</v>
      </c>
      <c r="DN61" s="1664">
        <f t="shared" si="161"/>
        <v>-2.6530938053638837</v>
      </c>
      <c r="DO61" s="1664">
        <f t="shared" si="162"/>
        <v>-1.624271905887178</v>
      </c>
      <c r="DP61" s="1664">
        <f t="shared" si="163"/>
        <v>0.27836153608351699</v>
      </c>
      <c r="DQ61" s="1664">
        <f t="shared" si="164"/>
        <v>0.31332437431819282</v>
      </c>
      <c r="DR61" s="1664">
        <f t="shared" si="165"/>
        <v>0.1660245183887914</v>
      </c>
      <c r="DS61" s="1664">
        <f t="shared" si="166"/>
        <v>0.3039083557951483</v>
      </c>
      <c r="DT61" s="1664">
        <f t="shared" si="167"/>
        <v>0.19058931399516532</v>
      </c>
      <c r="DU61" s="1664">
        <f t="shared" si="168"/>
        <v>6.8452751079290275E-2</v>
      </c>
      <c r="DV61" s="1664">
        <f t="shared" si="169"/>
        <v>0.31329689975337782</v>
      </c>
      <c r="DW61" s="1664">
        <f t="shared" ca="1" si="170"/>
        <v>0.22065901360429829</v>
      </c>
      <c r="DX61" s="1664">
        <f t="shared" ca="1" si="171"/>
        <v>0.16870197803003406</v>
      </c>
      <c r="DY61" s="1664">
        <f t="shared" ca="1" si="172"/>
        <v>1.2828884547700703E-2</v>
      </c>
      <c r="EA61"/>
      <c r="EB61"/>
      <c r="EC61"/>
      <c r="ED61"/>
      <c r="EE61"/>
      <c r="EF61"/>
      <c r="EJ61"/>
      <c r="EK61"/>
      <c r="EL61"/>
      <c r="EM61" s="1703"/>
      <c r="ER61" s="212"/>
    </row>
    <row r="62" spans="1:148" s="929" customFormat="1" x14ac:dyDescent="0.2">
      <c r="A62" s="1964" t="s">
        <v>1782</v>
      </c>
      <c r="B62" s="2056"/>
      <c r="C62" s="2056"/>
      <c r="D62" s="2056"/>
      <c r="E62" s="2056"/>
      <c r="F62" s="2056"/>
      <c r="G62" s="2056"/>
      <c r="H62" s="2056"/>
      <c r="I62" s="2056" t="s">
        <v>673</v>
      </c>
      <c r="J62" s="2056" t="s">
        <v>673</v>
      </c>
      <c r="K62" s="2056" t="s">
        <v>673</v>
      </c>
      <c r="L62" s="2056" t="s">
        <v>673</v>
      </c>
      <c r="M62" s="2424" t="s">
        <v>673</v>
      </c>
      <c r="N62" s="2056" t="s">
        <v>673</v>
      </c>
      <c r="O62" s="2056" t="s">
        <v>673</v>
      </c>
      <c r="P62" s="2056" t="s">
        <v>673</v>
      </c>
      <c r="Q62" s="2056" t="s">
        <v>673</v>
      </c>
      <c r="R62" s="2424" t="s">
        <v>673</v>
      </c>
      <c r="S62" s="2056" t="s">
        <v>673</v>
      </c>
      <c r="T62" s="2056" t="s">
        <v>673</v>
      </c>
      <c r="U62" s="2056" t="s">
        <v>673</v>
      </c>
      <c r="V62" s="2056" t="s">
        <v>673</v>
      </c>
      <c r="W62" s="2424" t="s">
        <v>673</v>
      </c>
      <c r="X62" s="2056" t="s">
        <v>673</v>
      </c>
      <c r="Y62" s="2056" t="s">
        <v>1003</v>
      </c>
      <c r="Z62" s="2056" t="s">
        <v>1218</v>
      </c>
      <c r="AA62" s="2056" t="s">
        <v>999</v>
      </c>
      <c r="AB62" s="2424" t="s">
        <v>1000</v>
      </c>
      <c r="AC62" s="2056" t="s">
        <v>998</v>
      </c>
      <c r="AD62" s="2056" t="s">
        <v>995</v>
      </c>
      <c r="AE62" s="2056" t="s">
        <v>942</v>
      </c>
      <c r="AF62" s="2056" t="s">
        <v>1135</v>
      </c>
      <c r="AG62" s="2424" t="s">
        <v>997</v>
      </c>
      <c r="AH62" s="2056" t="s">
        <v>1133</v>
      </c>
      <c r="AI62" s="2056" t="s">
        <v>1110</v>
      </c>
      <c r="AJ62" s="2056" t="s">
        <v>1109</v>
      </c>
      <c r="AK62" s="2056" t="s">
        <v>1105</v>
      </c>
      <c r="AL62" s="2424" t="s">
        <v>1106</v>
      </c>
      <c r="AM62" s="2056" t="s">
        <v>1100</v>
      </c>
      <c r="AN62" s="2056" t="s">
        <v>1097</v>
      </c>
      <c r="AO62" s="2056" t="s">
        <v>1094</v>
      </c>
      <c r="AP62" s="2056" t="s">
        <v>1091</v>
      </c>
      <c r="AQ62" s="2424" t="s">
        <v>1092</v>
      </c>
      <c r="AR62" s="2056" t="s">
        <v>1218</v>
      </c>
      <c r="AS62" s="2056" t="s">
        <v>1215</v>
      </c>
      <c r="AT62" s="2056" t="s">
        <v>1212</v>
      </c>
      <c r="AU62" s="2056" t="s">
        <v>1066</v>
      </c>
      <c r="AV62" s="2424" t="s">
        <v>1006</v>
      </c>
      <c r="AW62" s="2056" t="s">
        <v>1063</v>
      </c>
      <c r="AX62" s="2056" t="s">
        <v>1060</v>
      </c>
      <c r="AY62" s="2056" t="s">
        <v>1057</v>
      </c>
      <c r="AZ62" s="2056" t="s">
        <v>944</v>
      </c>
      <c r="BA62" s="2424" t="s">
        <v>947</v>
      </c>
      <c r="BB62" s="2056" t="s">
        <v>938</v>
      </c>
      <c r="BC62" s="2056" t="s">
        <v>938</v>
      </c>
      <c r="BD62" s="2056" t="s">
        <v>939</v>
      </c>
      <c r="BE62" s="2056" t="s">
        <v>938</v>
      </c>
      <c r="BF62" s="2424" t="s">
        <v>940</v>
      </c>
      <c r="BG62" s="2056" t="s">
        <v>1117</v>
      </c>
      <c r="BH62" s="2056" t="s">
        <v>941</v>
      </c>
      <c r="BI62" s="2056" t="s">
        <v>1116</v>
      </c>
      <c r="BJ62" s="2056" t="s">
        <v>1114</v>
      </c>
      <c r="BK62" s="2424" t="s">
        <v>1702</v>
      </c>
      <c r="BL62" s="2056" t="s">
        <v>119</v>
      </c>
      <c r="BM62" s="2056" t="s">
        <v>118</v>
      </c>
      <c r="BN62" s="2056" t="s">
        <v>117</v>
      </c>
      <c r="BO62" s="2056" t="s">
        <v>116</v>
      </c>
      <c r="BP62" s="2424" t="s">
        <v>115</v>
      </c>
      <c r="BQ62" s="2056" t="s">
        <v>1235</v>
      </c>
      <c r="BR62" s="2056" t="s">
        <v>1474</v>
      </c>
      <c r="BS62" s="2056" t="s">
        <v>1569</v>
      </c>
      <c r="BT62" s="2056" t="s">
        <v>1576</v>
      </c>
      <c r="BU62" s="2424" t="s">
        <v>114</v>
      </c>
      <c r="BV62" s="2056" t="s">
        <v>1761</v>
      </c>
      <c r="BW62" s="2056" t="s">
        <v>1910</v>
      </c>
      <c r="BX62" s="2056" t="s">
        <v>1995</v>
      </c>
      <c r="BY62" s="2055" t="s">
        <v>1412</v>
      </c>
      <c r="BZ62" s="1928" t="s">
        <v>1413</v>
      </c>
      <c r="CA62" s="2056" t="s">
        <v>1626</v>
      </c>
      <c r="CB62" s="2423" t="s">
        <v>395</v>
      </c>
      <c r="CC62" s="2423" t="s">
        <v>2127</v>
      </c>
      <c r="CD62" s="2423" t="s">
        <v>2281</v>
      </c>
      <c r="CE62" s="2424" t="s">
        <v>2276</v>
      </c>
      <c r="CF62" s="2423" t="s">
        <v>2300</v>
      </c>
      <c r="CG62" s="2423" t="s">
        <v>2304</v>
      </c>
      <c r="CH62" s="2423" t="s">
        <v>2313</v>
      </c>
      <c r="CI62" s="2423" t="s">
        <v>2332</v>
      </c>
      <c r="CJ62" s="2424" t="s">
        <v>2331</v>
      </c>
      <c r="CK62" s="2423" t="s">
        <v>2398</v>
      </c>
      <c r="CL62" s="2423" t="s">
        <v>2420</v>
      </c>
      <c r="CM62" s="2423"/>
      <c r="CN62" s="2423" t="s">
        <v>2581</v>
      </c>
      <c r="CO62" s="2965" t="s">
        <v>2399</v>
      </c>
      <c r="CP62" s="3405" t="s">
        <v>2685</v>
      </c>
      <c r="CQ62" s="3405" t="s">
        <v>2788</v>
      </c>
      <c r="CR62" s="3405" t="s">
        <v>2875</v>
      </c>
      <c r="CS62" s="3405" t="s">
        <v>2899</v>
      </c>
      <c r="CT62" s="3635" t="s">
        <v>2898</v>
      </c>
      <c r="CU62" s="3405"/>
      <c r="CV62" s="3405"/>
      <c r="CW62" s="3405"/>
      <c r="CX62" s="3405"/>
      <c r="CY62" s="3635" t="s">
        <v>2952</v>
      </c>
      <c r="CZ62" s="3404" t="s">
        <v>2710</v>
      </c>
      <c r="DA62" s="1929"/>
      <c r="DB62"/>
      <c r="DC62"/>
      <c r="DD62" s="1964" t="s">
        <v>1782</v>
      </c>
      <c r="DE62" s="1929" t="str">
        <f t="shared" si="152"/>
        <v>ND</v>
      </c>
      <c r="DF62" s="1929" t="str">
        <f t="shared" si="153"/>
        <v>ND</v>
      </c>
      <c r="DG62" s="1929" t="str">
        <f t="shared" si="154"/>
        <v>ND</v>
      </c>
      <c r="DH62" s="1929" t="str">
        <f t="shared" si="155"/>
        <v>$1.86-$1.88</v>
      </c>
      <c r="DI62" s="1929" t="str">
        <f t="shared" si="156"/>
        <v>$2.32-$2.4</v>
      </c>
      <c r="DJ62" s="1929" t="str">
        <f t="shared" si="157"/>
        <v>$3.09-$3.12</v>
      </c>
      <c r="DK62" s="1929" t="str">
        <f t="shared" si="158"/>
        <v>$1.59-$1.64</v>
      </c>
      <c r="DL62" s="1929" t="str">
        <f t="shared" si="159"/>
        <v>$1.82-$1.92</v>
      </c>
      <c r="DM62" s="1929" t="str">
        <f t="shared" si="160"/>
        <v>$1.62-$1.68</v>
      </c>
      <c r="DN62" s="1929" t="str">
        <f t="shared" si="161"/>
        <v>$0.88-$1.02</v>
      </c>
      <c r="DO62" s="1929" t="str">
        <f t="shared" si="162"/>
        <v>$1.09-1.12</v>
      </c>
      <c r="DP62" s="1929" t="str">
        <f t="shared" si="163"/>
        <v>$1.37-1.42</v>
      </c>
      <c r="DQ62" s="1929" t="str">
        <f t="shared" si="164"/>
        <v>$1.68-1.72</v>
      </c>
      <c r="DR62" s="1929" t="str">
        <f t="shared" si="165"/>
        <v>$1.98-2.01</v>
      </c>
      <c r="DS62" s="1929" t="str">
        <f t="shared" si="166"/>
        <v>$2.48-$2.52</v>
      </c>
      <c r="DT62" s="1929" t="str">
        <f t="shared" si="167"/>
        <v>$3.12-$3.16</v>
      </c>
      <c r="DU62" s="1929" t="str">
        <f t="shared" si="168"/>
        <v>$3.69-3.86</v>
      </c>
      <c r="DV62" s="1929" t="str">
        <f t="shared" si="169"/>
        <v>$4.22-4.24</v>
      </c>
      <c r="DW62" s="1929" t="str">
        <f t="shared" si="170"/>
        <v>$5.11-5.34</v>
      </c>
      <c r="DX62" s="1929" t="str">
        <f t="shared" si="171"/>
        <v>$5.25-5.80</v>
      </c>
      <c r="DY62" s="1929">
        <f t="shared" si="172"/>
        <v>0</v>
      </c>
      <c r="DZ62" s="1930"/>
      <c r="EA62"/>
      <c r="EB62"/>
      <c r="EC62"/>
      <c r="ED62"/>
      <c r="EE62"/>
      <c r="EF62"/>
      <c r="EJ62"/>
      <c r="EK62"/>
      <c r="EL62"/>
      <c r="ER62" s="732"/>
    </row>
    <row r="63" spans="1:148" s="923" customFormat="1" ht="12.75" customHeight="1" x14ac:dyDescent="0.2">
      <c r="A63" s="504"/>
      <c r="B63" s="220"/>
      <c r="C63" s="220"/>
      <c r="D63" s="220"/>
      <c r="E63" s="220"/>
      <c r="F63" s="220"/>
      <c r="G63" s="220"/>
      <c r="H63" s="220"/>
      <c r="I63" s="220"/>
      <c r="J63" s="220"/>
      <c r="K63" s="220"/>
      <c r="L63" s="220"/>
      <c r="M63" s="3215"/>
      <c r="N63" s="220"/>
      <c r="O63" s="220"/>
      <c r="P63" s="220"/>
      <c r="Q63" s="220"/>
      <c r="R63" s="3215"/>
      <c r="S63" s="220"/>
      <c r="T63" s="220"/>
      <c r="U63" s="220"/>
      <c r="V63" s="220"/>
      <c r="W63" s="3215"/>
      <c r="X63" s="220"/>
      <c r="Y63" s="220"/>
      <c r="Z63" s="220"/>
      <c r="AA63" s="220"/>
      <c r="AB63" s="3215"/>
      <c r="AC63" s="220"/>
      <c r="AD63" s="220"/>
      <c r="AE63" s="220"/>
      <c r="AF63" s="220"/>
      <c r="AG63" s="3215"/>
      <c r="AH63" s="220"/>
      <c r="AI63" s="220"/>
      <c r="AJ63" s="220"/>
      <c r="AK63" s="220"/>
      <c r="AL63" s="3215"/>
      <c r="AM63" s="220"/>
      <c r="AN63" s="220"/>
      <c r="AO63" s="220"/>
      <c r="AP63" s="220"/>
      <c r="AQ63" s="3215"/>
      <c r="AR63" s="220"/>
      <c r="AS63" s="220"/>
      <c r="AT63" s="220"/>
      <c r="AU63" s="220"/>
      <c r="AV63" s="3215"/>
      <c r="AW63" s="220"/>
      <c r="AX63" s="220"/>
      <c r="AY63" s="220"/>
      <c r="AZ63" s="220"/>
      <c r="BA63" s="3215"/>
      <c r="BB63" s="220"/>
      <c r="BC63" s="220"/>
      <c r="BD63" s="220"/>
      <c r="BE63" s="220"/>
      <c r="BF63" s="3215"/>
      <c r="BG63" s="220"/>
      <c r="BH63" s="220"/>
      <c r="BI63" s="220"/>
      <c r="BJ63" s="220"/>
      <c r="BK63" s="3215"/>
      <c r="BL63" s="220"/>
      <c r="BM63" s="220"/>
      <c r="BN63" s="220"/>
      <c r="BO63" s="220"/>
      <c r="BP63" s="3215"/>
      <c r="BQ63" s="220"/>
      <c r="BR63" s="220"/>
      <c r="BS63" s="220"/>
      <c r="BT63" s="220"/>
      <c r="BU63" s="3215"/>
      <c r="BV63" s="220"/>
      <c r="BW63" s="220"/>
      <c r="BX63" s="220"/>
      <c r="BY63" s="1691"/>
      <c r="BZ63" s="3215"/>
      <c r="CA63" s="220"/>
      <c r="CB63" s="220"/>
      <c r="CC63" s="220"/>
      <c r="CD63" s="220"/>
      <c r="CE63" s="3215"/>
      <c r="CF63" s="220"/>
      <c r="CG63" s="220"/>
      <c r="CH63" s="220"/>
      <c r="CI63" s="220"/>
      <c r="CJ63" s="3215"/>
      <c r="CK63" s="220"/>
      <c r="CL63" s="220"/>
      <c r="CM63" s="220"/>
      <c r="CN63" s="220"/>
      <c r="CO63" s="3215"/>
      <c r="CP63" s="220"/>
      <c r="CQ63" s="220"/>
      <c r="CR63" s="3458"/>
      <c r="CS63" s="1873"/>
      <c r="CT63" s="3729"/>
      <c r="CU63" s="220"/>
      <c r="CV63" s="220"/>
      <c r="CW63" s="3458"/>
      <c r="CX63" s="1873"/>
      <c r="CY63" s="3215"/>
      <c r="CZ63" s="3357"/>
      <c r="DA63" s="3215"/>
      <c r="DB63"/>
      <c r="DC63"/>
      <c r="DD63" s="2285"/>
      <c r="DE63" s="2299"/>
      <c r="DF63" s="2299"/>
      <c r="DG63" s="2299"/>
      <c r="DH63" s="2299"/>
      <c r="DI63" s="2299"/>
      <c r="DJ63" s="2299"/>
      <c r="DK63" s="2299"/>
      <c r="DL63" s="2299"/>
      <c r="DM63" s="2299"/>
      <c r="DN63" s="2299"/>
      <c r="DO63" s="2299"/>
      <c r="DP63" s="2299"/>
      <c r="DQ63" s="2299"/>
      <c r="DR63" s="2299"/>
      <c r="DS63" s="2299"/>
      <c r="DT63" s="2299"/>
      <c r="DU63" s="2299"/>
      <c r="DV63" s="2299"/>
      <c r="DW63" s="2299"/>
      <c r="DX63" s="2299"/>
      <c r="DY63" s="2299"/>
      <c r="EA63"/>
      <c r="EB63"/>
      <c r="EC63"/>
      <c r="ED63"/>
      <c r="EE63"/>
      <c r="EF63"/>
      <c r="EJ63"/>
      <c r="EK63"/>
      <c r="EL63"/>
      <c r="ER63" s="212"/>
    </row>
    <row r="64" spans="1:148" s="923" customFormat="1" ht="12.75" customHeight="1" x14ac:dyDescent="0.2">
      <c r="A64" s="504" t="s">
        <v>2545</v>
      </c>
      <c r="B64" s="223"/>
      <c r="C64" s="223"/>
      <c r="D64" s="223"/>
      <c r="E64" s="223"/>
      <c r="F64" s="223"/>
      <c r="G64" s="223"/>
      <c r="H64" s="223"/>
      <c r="I64" s="2205">
        <v>51.3</v>
      </c>
      <c r="J64" s="2205">
        <v>115.1</v>
      </c>
      <c r="K64" s="2205">
        <v>103.65</v>
      </c>
      <c r="L64" s="2205">
        <v>130.34999999999991</v>
      </c>
      <c r="M64" s="1704">
        <v>400.39999999999952</v>
      </c>
      <c r="N64" s="2205">
        <v>60.999999999999886</v>
      </c>
      <c r="O64" s="2205">
        <v>112.00000000000006</v>
      </c>
      <c r="P64" s="2205">
        <v>32.999999999999858</v>
      </c>
      <c r="Q64" s="2205">
        <v>-1.9999999999999574</v>
      </c>
      <c r="R64" s="1704">
        <v>204.00000000000034</v>
      </c>
      <c r="S64" s="2205">
        <v>17.000000000000171</v>
      </c>
      <c r="T64" s="2205">
        <v>85.000000000000057</v>
      </c>
      <c r="U64" s="2205">
        <v>54.000000000000156</v>
      </c>
      <c r="V64" s="2205">
        <v>43.999999999999957</v>
      </c>
      <c r="W64" s="1704">
        <v>200.00000000000011</v>
      </c>
      <c r="X64" s="2205">
        <v>-17</v>
      </c>
      <c r="Y64" s="2205">
        <v>57</v>
      </c>
      <c r="Z64" s="2205">
        <v>42</v>
      </c>
      <c r="AA64" s="2205">
        <v>84</v>
      </c>
      <c r="AB64" s="1704">
        <v>166</v>
      </c>
      <c r="AC64" s="2205">
        <v>34</v>
      </c>
      <c r="AD64" s="2205">
        <v>107</v>
      </c>
      <c r="AE64" s="2205">
        <v>86</v>
      </c>
      <c r="AF64" s="2205">
        <v>123</v>
      </c>
      <c r="AG64" s="1704">
        <v>350</v>
      </c>
      <c r="AH64" s="2205">
        <v>78</v>
      </c>
      <c r="AI64" s="2205">
        <v>156</v>
      </c>
      <c r="AJ64" s="2205">
        <v>130</v>
      </c>
      <c r="AK64" s="2205">
        <v>162</v>
      </c>
      <c r="AL64" s="1704">
        <v>526</v>
      </c>
      <c r="AM64" s="2205">
        <v>91</v>
      </c>
      <c r="AN64" s="2205">
        <v>169</v>
      </c>
      <c r="AO64" s="2205">
        <v>148</v>
      </c>
      <c r="AP64" s="2205">
        <v>199</v>
      </c>
      <c r="AQ64" s="1704">
        <v>607</v>
      </c>
      <c r="AR64" s="2205">
        <v>104</v>
      </c>
      <c r="AS64" s="2205">
        <v>178</v>
      </c>
      <c r="AT64" s="2205">
        <v>143</v>
      </c>
      <c r="AU64" s="2205">
        <v>157</v>
      </c>
      <c r="AV64" s="1704">
        <v>582</v>
      </c>
      <c r="AW64" s="2205">
        <v>83</v>
      </c>
      <c r="AX64" s="2205">
        <v>107</v>
      </c>
      <c r="AY64" s="2205">
        <v>129</v>
      </c>
      <c r="AZ64" s="2205">
        <v>150</v>
      </c>
      <c r="BA64" s="1704">
        <v>469</v>
      </c>
      <c r="BB64" s="2205">
        <v>25</v>
      </c>
      <c r="BC64" s="2205">
        <v>41</v>
      </c>
      <c r="BD64" s="2205">
        <v>26</v>
      </c>
      <c r="BE64" s="2205">
        <v>95</v>
      </c>
      <c r="BF64" s="1704">
        <v>187</v>
      </c>
      <c r="BG64" s="2205">
        <v>24</v>
      </c>
      <c r="BH64" s="2205">
        <v>67</v>
      </c>
      <c r="BI64" s="2205">
        <v>47</v>
      </c>
      <c r="BJ64" s="2205">
        <v>99</v>
      </c>
      <c r="BK64" s="1704">
        <v>237</v>
      </c>
      <c r="BL64" s="2205">
        <v>58</v>
      </c>
      <c r="BM64" s="2205">
        <v>97</v>
      </c>
      <c r="BN64" s="2205">
        <v>82.5</v>
      </c>
      <c r="BO64" s="2205">
        <v>139.5</v>
      </c>
      <c r="BP64" s="1704">
        <v>377</v>
      </c>
      <c r="BQ64" s="2205">
        <v>124</v>
      </c>
      <c r="BR64" s="2205">
        <v>138</v>
      </c>
      <c r="BS64" s="2205">
        <v>114</v>
      </c>
      <c r="BT64" s="2205">
        <v>135.5</v>
      </c>
      <c r="BU64" s="1704">
        <v>511.5</v>
      </c>
      <c r="BV64" s="2205">
        <v>147.5</v>
      </c>
      <c r="BW64" s="2205">
        <v>153</v>
      </c>
      <c r="BX64" s="2205">
        <v>137</v>
      </c>
      <c r="BY64" s="2205">
        <v>141</v>
      </c>
      <c r="BZ64" s="1704">
        <v>578.5</v>
      </c>
      <c r="CA64" s="2205">
        <v>122</v>
      </c>
      <c r="CB64" s="2205">
        <v>147</v>
      </c>
      <c r="CC64" s="2205">
        <v>121</v>
      </c>
      <c r="CD64" s="2205">
        <v>171</v>
      </c>
      <c r="CE64" s="1704">
        <v>561</v>
      </c>
      <c r="CF64" s="2205">
        <v>110</v>
      </c>
      <c r="CG64" s="2205">
        <v>143</v>
      </c>
      <c r="CH64" s="2205">
        <v>97</v>
      </c>
      <c r="CI64" s="3130">
        <v>151</v>
      </c>
      <c r="CJ64" s="1704">
        <v>501</v>
      </c>
      <c r="CK64" s="3130">
        <v>118</v>
      </c>
      <c r="CL64" s="3130">
        <v>121</v>
      </c>
      <c r="CM64" s="2710">
        <v>121.77905890207842</v>
      </c>
      <c r="CN64" s="2327"/>
      <c r="CO64" s="1704"/>
      <c r="CP64" s="215"/>
      <c r="CQ64" s="215"/>
      <c r="CR64" s="233"/>
      <c r="CS64" s="3399"/>
      <c r="CT64" s="1704"/>
      <c r="CU64" s="215"/>
      <c r="CV64" s="215"/>
      <c r="CW64" s="233"/>
      <c r="CX64" s="3457"/>
      <c r="CY64" s="1704"/>
      <c r="CZ64" s="1583"/>
      <c r="DA64" s="1704"/>
      <c r="DB64"/>
      <c r="DC64"/>
      <c r="DD64" s="2285"/>
      <c r="DE64" s="2290"/>
      <c r="DF64" s="2290"/>
      <c r="DG64" s="2290"/>
      <c r="DH64" s="2290"/>
      <c r="DI64" s="2290"/>
      <c r="DJ64" s="2290"/>
      <c r="DK64" s="2290"/>
      <c r="DL64" s="2290"/>
      <c r="DM64" s="2290"/>
      <c r="DN64" s="2290"/>
      <c r="DO64" s="2290"/>
      <c r="DP64" s="2290"/>
      <c r="DQ64" s="2290"/>
      <c r="DR64" s="2290"/>
      <c r="DS64" s="2290"/>
      <c r="DT64" s="2290"/>
      <c r="DU64" s="2290"/>
      <c r="DV64" s="2290"/>
      <c r="DW64" s="2290"/>
      <c r="DX64" s="2290"/>
      <c r="DY64" s="2290"/>
      <c r="EA64"/>
      <c r="EB64"/>
      <c r="EC64"/>
      <c r="ED64"/>
      <c r="EE64"/>
      <c r="EF64"/>
      <c r="EJ64"/>
      <c r="EK64"/>
      <c r="EL64"/>
      <c r="ER64" s="212"/>
    </row>
    <row r="65" spans="1:148" s="923" customFormat="1" ht="12.75" customHeight="1" x14ac:dyDescent="0.2">
      <c r="A65" s="2285" t="s">
        <v>2546</v>
      </c>
      <c r="B65" s="220"/>
      <c r="C65" s="220"/>
      <c r="D65" s="220"/>
      <c r="E65" s="220"/>
      <c r="F65" s="220"/>
      <c r="G65" s="220"/>
      <c r="H65" s="220"/>
      <c r="I65" s="1378">
        <f>+I64+I53</f>
        <v>145.30000000000001</v>
      </c>
      <c r="J65" s="1378">
        <f t="shared" ref="J65:BU65" si="189">+J64+J53</f>
        <v>241.10000000000002</v>
      </c>
      <c r="K65" s="1378">
        <f t="shared" si="189"/>
        <v>213.65</v>
      </c>
      <c r="L65" s="1378">
        <f t="shared" si="189"/>
        <v>279.34999999999991</v>
      </c>
      <c r="M65" s="1379">
        <f t="shared" si="189"/>
        <v>879.39999999999952</v>
      </c>
      <c r="N65" s="1378">
        <f t="shared" si="189"/>
        <v>181.99999999999989</v>
      </c>
      <c r="O65" s="1378">
        <f t="shared" si="189"/>
        <v>242.00000000000006</v>
      </c>
      <c r="P65" s="1378">
        <f t="shared" si="189"/>
        <v>133.99999999999989</v>
      </c>
      <c r="Q65" s="1378">
        <f t="shared" si="189"/>
        <v>-117.99999999999994</v>
      </c>
      <c r="R65" s="1379">
        <f t="shared" si="189"/>
        <v>440.00000000000034</v>
      </c>
      <c r="S65" s="1378">
        <f t="shared" si="189"/>
        <v>105.00000000000017</v>
      </c>
      <c r="T65" s="1378">
        <f t="shared" si="189"/>
        <v>257.00000000000006</v>
      </c>
      <c r="U65" s="1378">
        <f t="shared" si="189"/>
        <v>189.00000000000017</v>
      </c>
      <c r="V65" s="1378">
        <f t="shared" si="189"/>
        <v>59.999999999999957</v>
      </c>
      <c r="W65" s="1379">
        <f t="shared" si="189"/>
        <v>611.00000000000011</v>
      </c>
      <c r="X65" s="1378">
        <f t="shared" si="189"/>
        <v>158</v>
      </c>
      <c r="Y65" s="1378">
        <f t="shared" si="189"/>
        <v>224</v>
      </c>
      <c r="Z65" s="1378">
        <f t="shared" si="189"/>
        <v>166</v>
      </c>
      <c r="AA65" s="1378">
        <f t="shared" si="189"/>
        <v>269</v>
      </c>
      <c r="AB65" s="1379">
        <f t="shared" si="189"/>
        <v>817</v>
      </c>
      <c r="AC65" s="1378">
        <f t="shared" si="189"/>
        <v>176</v>
      </c>
      <c r="AD65" s="1378">
        <f t="shared" si="189"/>
        <v>273</v>
      </c>
      <c r="AE65" s="1378">
        <f t="shared" si="189"/>
        <v>225</v>
      </c>
      <c r="AF65" s="1378">
        <f t="shared" si="189"/>
        <v>330</v>
      </c>
      <c r="AG65" s="1379">
        <f t="shared" si="189"/>
        <v>1004</v>
      </c>
      <c r="AH65" s="1378">
        <f t="shared" si="189"/>
        <v>267</v>
      </c>
      <c r="AI65" s="1378">
        <f t="shared" si="189"/>
        <v>328</v>
      </c>
      <c r="AJ65" s="1378">
        <f t="shared" si="189"/>
        <v>267</v>
      </c>
      <c r="AK65" s="1378">
        <f t="shared" si="189"/>
        <v>399</v>
      </c>
      <c r="AL65" s="1379">
        <f t="shared" si="189"/>
        <v>1261</v>
      </c>
      <c r="AM65" s="1378">
        <f t="shared" si="189"/>
        <v>182</v>
      </c>
      <c r="AN65" s="1378">
        <f t="shared" si="189"/>
        <v>368</v>
      </c>
      <c r="AO65" s="1378">
        <f t="shared" si="189"/>
        <v>287</v>
      </c>
      <c r="AP65" s="1378">
        <f t="shared" si="189"/>
        <v>471</v>
      </c>
      <c r="AQ65" s="1379">
        <f t="shared" si="189"/>
        <v>1308</v>
      </c>
      <c r="AR65" s="1378">
        <f t="shared" si="189"/>
        <v>340</v>
      </c>
      <c r="AS65" s="1378">
        <f t="shared" si="189"/>
        <v>452</v>
      </c>
      <c r="AT65" s="1378">
        <f t="shared" si="189"/>
        <v>306</v>
      </c>
      <c r="AU65" s="1378">
        <f t="shared" si="189"/>
        <v>333</v>
      </c>
      <c r="AV65" s="1379">
        <f t="shared" si="189"/>
        <v>1431</v>
      </c>
      <c r="AW65" s="1378">
        <f t="shared" si="189"/>
        <v>204</v>
      </c>
      <c r="AX65" s="1378">
        <f t="shared" si="189"/>
        <v>300</v>
      </c>
      <c r="AY65" s="1378">
        <f t="shared" si="189"/>
        <v>252</v>
      </c>
      <c r="AZ65" s="1378">
        <f t="shared" si="189"/>
        <v>210</v>
      </c>
      <c r="BA65" s="1379">
        <f t="shared" si="189"/>
        <v>966</v>
      </c>
      <c r="BB65" s="1378">
        <f t="shared" si="189"/>
        <v>93</v>
      </c>
      <c r="BC65" s="1378">
        <f t="shared" si="189"/>
        <v>115</v>
      </c>
      <c r="BD65" s="1378">
        <f t="shared" si="189"/>
        <v>-161.80000000000001</v>
      </c>
      <c r="BE65" s="1378">
        <f t="shared" si="189"/>
        <v>220</v>
      </c>
      <c r="BF65" s="1379">
        <f t="shared" si="189"/>
        <v>266.2</v>
      </c>
      <c r="BG65" s="1378">
        <f t="shared" si="189"/>
        <v>98</v>
      </c>
      <c r="BH65" s="1378">
        <f t="shared" si="189"/>
        <v>176</v>
      </c>
      <c r="BI65" s="1378">
        <f t="shared" si="189"/>
        <v>115</v>
      </c>
      <c r="BJ65" s="1378">
        <f t="shared" si="189"/>
        <v>234</v>
      </c>
      <c r="BK65" s="1379">
        <f t="shared" si="189"/>
        <v>623</v>
      </c>
      <c r="BL65" s="1378">
        <f t="shared" si="189"/>
        <v>146</v>
      </c>
      <c r="BM65" s="1378">
        <f t="shared" si="189"/>
        <v>223</v>
      </c>
      <c r="BN65" s="1378">
        <f t="shared" si="189"/>
        <v>184.5</v>
      </c>
      <c r="BO65" s="1378">
        <f t="shared" si="189"/>
        <v>298.5</v>
      </c>
      <c r="BP65" s="1379">
        <f t="shared" si="189"/>
        <v>852</v>
      </c>
      <c r="BQ65" s="1378">
        <f t="shared" si="189"/>
        <v>228</v>
      </c>
      <c r="BR65" s="1378">
        <f t="shared" si="189"/>
        <v>281</v>
      </c>
      <c r="BS65" s="1378">
        <f t="shared" si="189"/>
        <v>257</v>
      </c>
      <c r="BT65" s="1378">
        <f t="shared" si="189"/>
        <v>316.5</v>
      </c>
      <c r="BU65" s="1379">
        <f t="shared" si="189"/>
        <v>1082.5</v>
      </c>
      <c r="BV65" s="1378">
        <f t="shared" ref="BV65:CM65" si="190">+BV64+BV53</f>
        <v>283.5</v>
      </c>
      <c r="BW65" s="1378">
        <f t="shared" si="190"/>
        <v>332</v>
      </c>
      <c r="BX65" s="1378">
        <f t="shared" si="190"/>
        <v>297</v>
      </c>
      <c r="BY65" s="1378">
        <f t="shared" si="190"/>
        <v>292</v>
      </c>
      <c r="BZ65" s="1379">
        <f t="shared" si="190"/>
        <v>1204.5</v>
      </c>
      <c r="CA65" s="1378">
        <f t="shared" si="190"/>
        <v>294</v>
      </c>
      <c r="CB65" s="1378">
        <f t="shared" si="190"/>
        <v>360</v>
      </c>
      <c r="CC65" s="1378">
        <f t="shared" si="190"/>
        <v>313</v>
      </c>
      <c r="CD65" s="1378">
        <f t="shared" si="190"/>
        <v>368</v>
      </c>
      <c r="CE65" s="1379">
        <f t="shared" si="190"/>
        <v>1335</v>
      </c>
      <c r="CF65" s="1378">
        <f t="shared" si="190"/>
        <v>317</v>
      </c>
      <c r="CG65" s="1378">
        <f t="shared" si="190"/>
        <v>371</v>
      </c>
      <c r="CH65" s="1378">
        <f t="shared" si="190"/>
        <v>307</v>
      </c>
      <c r="CI65" s="1378">
        <f t="shared" si="190"/>
        <v>353</v>
      </c>
      <c r="CJ65" s="1379">
        <f t="shared" si="190"/>
        <v>1348</v>
      </c>
      <c r="CK65" s="1378">
        <f t="shared" si="190"/>
        <v>344</v>
      </c>
      <c r="CL65" s="1378">
        <f t="shared" si="190"/>
        <v>386</v>
      </c>
      <c r="CM65" s="1378">
        <f t="shared" si="190"/>
        <v>356.77905890207842</v>
      </c>
      <c r="CN65" s="220"/>
      <c r="CO65" s="1379"/>
      <c r="CP65" s="220"/>
      <c r="CQ65" s="220"/>
      <c r="CR65" s="220"/>
      <c r="CS65" s="3456"/>
      <c r="CT65" s="1379"/>
      <c r="CU65" s="220"/>
      <c r="CV65" s="220"/>
      <c r="CW65" s="220"/>
      <c r="CX65" s="3456"/>
      <c r="CY65" s="1379"/>
      <c r="CZ65" s="1779"/>
      <c r="DA65" s="1379"/>
      <c r="DB65"/>
      <c r="DC65"/>
      <c r="DD65" s="2285"/>
      <c r="DE65" s="2299"/>
      <c r="DF65" s="2299"/>
      <c r="DG65" s="2299"/>
      <c r="DH65" s="2299"/>
      <c r="DI65" s="2299"/>
      <c r="DJ65" s="2299"/>
      <c r="DK65" s="2299"/>
      <c r="DL65" s="2299"/>
      <c r="DM65" s="2299"/>
      <c r="DN65" s="2299"/>
      <c r="DO65" s="2299"/>
      <c r="DP65" s="2299"/>
      <c r="DQ65" s="2299"/>
      <c r="DR65" s="2299"/>
      <c r="DS65" s="2299"/>
      <c r="DT65" s="2299"/>
      <c r="DU65" s="2299"/>
      <c r="DV65" s="2299"/>
      <c r="DW65" s="2299"/>
      <c r="DX65" s="2299"/>
      <c r="DY65" s="2299"/>
      <c r="EA65"/>
      <c r="EB65"/>
      <c r="EC65"/>
      <c r="ED65"/>
      <c r="EE65"/>
      <c r="EF65"/>
      <c r="EJ65"/>
      <c r="EK65"/>
      <c r="EL65"/>
      <c r="ER65" s="212"/>
    </row>
    <row r="66" spans="1:148" ht="12.75" customHeight="1" x14ac:dyDescent="0.2">
      <c r="A66" s="2288" t="s">
        <v>2414</v>
      </c>
      <c r="B66" s="765"/>
      <c r="C66" s="765"/>
      <c r="D66" s="765"/>
      <c r="E66" s="765"/>
      <c r="F66" s="765"/>
      <c r="G66" s="765"/>
      <c r="H66" s="765"/>
      <c r="I66" s="2982">
        <f>+I58+134</f>
        <v>644.6</v>
      </c>
      <c r="J66" s="2982">
        <f>+J58+134</f>
        <v>637.6</v>
      </c>
      <c r="K66" s="2982">
        <f>+K58+134</f>
        <v>642.4</v>
      </c>
      <c r="L66" s="2982">
        <f>+L58+134</f>
        <v>641.4</v>
      </c>
      <c r="M66" s="2289">
        <f>+AVERAGE(I66:L66)</f>
        <v>641.5</v>
      </c>
      <c r="N66" s="2982">
        <f>+N58+134</f>
        <v>649.20000000000005</v>
      </c>
      <c r="O66" s="2982">
        <f>+O58+134</f>
        <v>654.6</v>
      </c>
      <c r="P66" s="2982">
        <f>+P58+134</f>
        <v>663.6</v>
      </c>
      <c r="Q66" s="2982">
        <f>+Q58+134</f>
        <v>616.6</v>
      </c>
      <c r="R66" s="2289">
        <f>+AVERAGE(N66:Q66)</f>
        <v>646</v>
      </c>
      <c r="S66" s="2982">
        <f>+S58+134</f>
        <v>642.6</v>
      </c>
      <c r="T66" s="2982">
        <f>+T58+134</f>
        <v>653.79999999999995</v>
      </c>
      <c r="U66" s="2982">
        <f>+U58+134</f>
        <v>638.20000000000005</v>
      </c>
      <c r="V66" s="2982">
        <f>+V58+134</f>
        <v>628.6</v>
      </c>
      <c r="W66" s="2289">
        <f>+AVERAGE(S66:V66)</f>
        <v>640.80000000000007</v>
      </c>
      <c r="X66" s="2982">
        <f>+X58+134</f>
        <v>621.20000000000005</v>
      </c>
      <c r="Y66" s="2982">
        <f>+Y58+134</f>
        <v>622.6</v>
      </c>
      <c r="Z66" s="2982">
        <f>+Z58+134</f>
        <v>625.6</v>
      </c>
      <c r="AA66" s="2982">
        <f>+AA58+134</f>
        <v>625.6</v>
      </c>
      <c r="AB66" s="2289">
        <f>+AVERAGE(X66:AA66)</f>
        <v>623.75</v>
      </c>
      <c r="AC66" s="2982">
        <f>+AC58+134</f>
        <v>619.79999999999995</v>
      </c>
      <c r="AD66" s="2982">
        <f>+AD58+134</f>
        <v>614.6</v>
      </c>
      <c r="AE66" s="2982">
        <f>+AE58+134</f>
        <v>611.79999999999995</v>
      </c>
      <c r="AF66" s="2982">
        <f>+AF58+134</f>
        <v>612.20000000000005</v>
      </c>
      <c r="AG66" s="2289">
        <f>+AVERAGE(AC66:AF66)</f>
        <v>614.6</v>
      </c>
      <c r="AH66" s="2982">
        <f>+AH58+134</f>
        <v>613.20000000000005</v>
      </c>
      <c r="AI66" s="2982">
        <f>+AI58+134</f>
        <v>603</v>
      </c>
      <c r="AJ66" s="2982">
        <f>+AJ58+134</f>
        <v>592.6</v>
      </c>
      <c r="AK66" s="2982">
        <f>+AK58+134</f>
        <v>575.6</v>
      </c>
      <c r="AL66" s="2289">
        <f>+AVERAGE(AH66:AK66)</f>
        <v>596.1</v>
      </c>
      <c r="AM66" s="2982">
        <f>+AM58+134</f>
        <v>575</v>
      </c>
      <c r="AN66" s="2982">
        <f>+AN58+134</f>
        <v>570.6</v>
      </c>
      <c r="AO66" s="2982">
        <f>+AO58+134</f>
        <v>558.70000000000005</v>
      </c>
      <c r="AP66" s="2982">
        <f>+AP58+134</f>
        <v>553.9</v>
      </c>
      <c r="AQ66" s="2289">
        <f>+AVERAGE(AM66:AP66)</f>
        <v>564.54999999999995</v>
      </c>
      <c r="AR66" s="2982">
        <f>+AR58+134</f>
        <v>545.29999999999995</v>
      </c>
      <c r="AS66" s="2982">
        <f>+AS58+134</f>
        <v>537.79999999999995</v>
      </c>
      <c r="AT66" s="2982">
        <f>+AT58+134</f>
        <v>528.1</v>
      </c>
      <c r="AU66" s="2982">
        <f>+AU58+134</f>
        <v>517.1</v>
      </c>
      <c r="AV66" s="2289">
        <f>+AVERAGE(AR66:AU66)</f>
        <v>532.07499999999993</v>
      </c>
      <c r="AW66" s="2982">
        <f>+AW58+134</f>
        <v>505.9</v>
      </c>
      <c r="AX66" s="2982">
        <f>+AX58+134</f>
        <v>504</v>
      </c>
      <c r="AY66" s="2982">
        <f>+AY58+134</f>
        <v>499.4</v>
      </c>
      <c r="AZ66" s="2982">
        <f>+AZ58+134</f>
        <v>493.4</v>
      </c>
      <c r="BA66" s="2289">
        <f>+AVERAGE(AW66:AZ66)</f>
        <v>500.67499999999995</v>
      </c>
      <c r="BB66" s="2982">
        <f>+BB58+134</f>
        <v>490.7</v>
      </c>
      <c r="BC66" s="2982">
        <f>+BC58+134</f>
        <v>497.5</v>
      </c>
      <c r="BD66" s="2982">
        <f>+BD58+134</f>
        <v>500.3</v>
      </c>
      <c r="BE66" s="2982">
        <f>+BE58+134</f>
        <v>506.2</v>
      </c>
      <c r="BF66" s="2289">
        <f>+AVERAGE(BB66:BE66)</f>
        <v>498.67500000000001</v>
      </c>
      <c r="BG66" s="2982">
        <f>+BG58+134</f>
        <v>507.3</v>
      </c>
      <c r="BH66" s="2982">
        <f>+BH58+134</f>
        <v>511.9</v>
      </c>
      <c r="BI66" s="2982">
        <f>+BI58+134</f>
        <v>512.1</v>
      </c>
      <c r="BJ66" s="2982">
        <f>+BJ58+134</f>
        <v>516</v>
      </c>
      <c r="BK66" s="2289">
        <f>+AVERAGE(BG66:BJ66)</f>
        <v>511.82500000000005</v>
      </c>
      <c r="BL66" s="2982">
        <f>+BL58+134</f>
        <v>515.79999999999995</v>
      </c>
      <c r="BM66" s="2982">
        <f>+BM58+134</f>
        <v>503.4</v>
      </c>
      <c r="BN66" s="2982">
        <f>+BN58+134</f>
        <v>491.2</v>
      </c>
      <c r="BO66" s="2982">
        <f>+BO58+134</f>
        <v>480.4</v>
      </c>
      <c r="BP66" s="2289">
        <f>+AVERAGE(BL66:BO66)</f>
        <v>497.69999999999993</v>
      </c>
      <c r="BQ66" s="2982">
        <f>+BQ58+134</f>
        <v>478.6</v>
      </c>
      <c r="BR66" s="2982">
        <f>+BR58+134</f>
        <v>472</v>
      </c>
      <c r="BS66" s="2982">
        <f>+BS58+134</f>
        <v>463.3</v>
      </c>
      <c r="BT66" s="2982">
        <f>+BT58+134</f>
        <v>456.2</v>
      </c>
      <c r="BU66" s="2289">
        <f>+AVERAGE(BQ66:BT66)</f>
        <v>467.52500000000003</v>
      </c>
      <c r="BV66" s="2982">
        <f>+BV58+134</f>
        <v>454</v>
      </c>
      <c r="BW66" s="2982">
        <f>+BW58+134</f>
        <v>448</v>
      </c>
      <c r="BX66" s="2982">
        <f>+BX58+134</f>
        <v>443.5</v>
      </c>
      <c r="BY66" s="2982">
        <f>+BY58+134</f>
        <v>441.5</v>
      </c>
      <c r="BZ66" s="2289">
        <f>+AVERAGE(BV66:BY66)</f>
        <v>446.75</v>
      </c>
      <c r="CA66" s="2982">
        <f>+CA58+134</f>
        <v>437.3</v>
      </c>
      <c r="CB66" s="2982">
        <f>+CB58+134</f>
        <v>432.7</v>
      </c>
      <c r="CC66" s="2982">
        <f>+CC58+134</f>
        <v>429.4</v>
      </c>
      <c r="CD66" s="2982">
        <f>+CD58+134</f>
        <v>423</v>
      </c>
      <c r="CE66" s="2289">
        <f>+AVERAGE(CA66:CD66)</f>
        <v>430.6</v>
      </c>
      <c r="CF66" s="2982">
        <f>+CF58+134</f>
        <v>417.5</v>
      </c>
      <c r="CG66" s="2982">
        <f>+CG58+134</f>
        <v>411.3</v>
      </c>
      <c r="CH66" s="2982">
        <f>+CH58+134</f>
        <v>401.3</v>
      </c>
      <c r="CI66" s="2982">
        <f>+CI58+134</f>
        <v>396.4</v>
      </c>
      <c r="CJ66" s="2289">
        <f>+AVERAGE(CF66:CI66)</f>
        <v>406.625</v>
      </c>
      <c r="CK66" s="2982">
        <f>+CK58+134</f>
        <v>392.9</v>
      </c>
      <c r="CL66" s="2982">
        <f>+CL58+134</f>
        <v>392</v>
      </c>
      <c r="CM66" s="2982">
        <f>+CM58+134</f>
        <v>392.7</v>
      </c>
      <c r="CN66" s="765"/>
      <c r="CO66" s="3258"/>
      <c r="CP66" s="765"/>
      <c r="CQ66" s="765"/>
      <c r="CR66" s="1612"/>
      <c r="CS66" s="765"/>
      <c r="CT66" s="3258"/>
      <c r="CU66" s="765"/>
      <c r="CV66" s="765"/>
      <c r="CW66" s="1612"/>
      <c r="CX66" s="765"/>
      <c r="CY66" s="3258"/>
      <c r="CZ66" s="3358"/>
      <c r="DA66" s="3258"/>
      <c r="DB66" s="537"/>
      <c r="DC66" s="537"/>
      <c r="DD66" s="2288"/>
      <c r="DE66" s="3259"/>
      <c r="DF66" s="3259"/>
      <c r="DG66" s="3259"/>
      <c r="DH66" s="3259"/>
      <c r="DI66" s="3259"/>
      <c r="DJ66" s="3259"/>
      <c r="DK66" s="3259"/>
      <c r="DL66" s="3259"/>
      <c r="DM66" s="3259"/>
      <c r="DN66" s="3259"/>
      <c r="DO66" s="3259"/>
      <c r="DP66" s="3259"/>
      <c r="DQ66" s="3259"/>
      <c r="DR66" s="3259"/>
      <c r="DS66" s="3259"/>
      <c r="DT66" s="3259"/>
      <c r="DU66" s="3259"/>
      <c r="DV66" s="3259"/>
      <c r="DW66" s="3259"/>
      <c r="DX66" s="3259"/>
      <c r="DY66" s="3259"/>
      <c r="DZ66" s="855"/>
      <c r="EK66"/>
      <c r="EL66"/>
    </row>
    <row r="67" spans="1:148" s="923" customFormat="1" ht="12.75" customHeight="1" x14ac:dyDescent="0.2">
      <c r="A67" s="3226" t="s">
        <v>2547</v>
      </c>
      <c r="B67" s="3227"/>
      <c r="C67" s="3227"/>
      <c r="D67" s="3227"/>
      <c r="E67" s="3227"/>
      <c r="F67" s="3227"/>
      <c r="G67" s="3227"/>
      <c r="H67" s="3227"/>
      <c r="I67" s="3228">
        <f>+I65/I66</f>
        <v>0.2254111076636674</v>
      </c>
      <c r="J67" s="3228">
        <f t="shared" ref="J67:BU67" si="191">+J65/J66</f>
        <v>0.37813676286072773</v>
      </c>
      <c r="K67" s="3228">
        <f t="shared" si="191"/>
        <v>0.33258094645080949</v>
      </c>
      <c r="L67" s="3228">
        <f t="shared" si="191"/>
        <v>0.43553164951668211</v>
      </c>
      <c r="M67" s="3229">
        <f t="shared" si="191"/>
        <v>1.3708495713172244</v>
      </c>
      <c r="N67" s="3228">
        <f t="shared" si="191"/>
        <v>0.28034504004929123</v>
      </c>
      <c r="O67" s="3228">
        <f t="shared" si="191"/>
        <v>0.36969141460433858</v>
      </c>
      <c r="P67" s="3228">
        <f t="shared" si="191"/>
        <v>0.20192887281494859</v>
      </c>
      <c r="Q67" s="3228">
        <f t="shared" si="191"/>
        <v>-0.19137204022056428</v>
      </c>
      <c r="R67" s="3229">
        <f t="shared" si="191"/>
        <v>0.68111455108359187</v>
      </c>
      <c r="S67" s="3228">
        <f t="shared" si="191"/>
        <v>0.16339869281045777</v>
      </c>
      <c r="T67" s="3228">
        <f t="shared" si="191"/>
        <v>0.39308657081676363</v>
      </c>
      <c r="U67" s="3228">
        <f t="shared" si="191"/>
        <v>0.29614540896270786</v>
      </c>
      <c r="V67" s="3228">
        <f t="shared" si="191"/>
        <v>9.5450206808781343E-2</v>
      </c>
      <c r="W67" s="3229">
        <f t="shared" si="191"/>
        <v>0.95349563046192265</v>
      </c>
      <c r="X67" s="3228">
        <f t="shared" si="191"/>
        <v>0.2543464262717321</v>
      </c>
      <c r="Y67" s="3228">
        <f t="shared" si="191"/>
        <v>0.35978156119498872</v>
      </c>
      <c r="Z67" s="3228">
        <f t="shared" si="191"/>
        <v>0.26534526854219948</v>
      </c>
      <c r="AA67" s="3228">
        <f t="shared" si="191"/>
        <v>0.42998721227621484</v>
      </c>
      <c r="AB67" s="3229">
        <f t="shared" si="191"/>
        <v>1.309819639278557</v>
      </c>
      <c r="AC67" s="3228">
        <f t="shared" si="191"/>
        <v>0.28396256857050661</v>
      </c>
      <c r="AD67" s="3228">
        <f t="shared" si="191"/>
        <v>0.44419134396355353</v>
      </c>
      <c r="AE67" s="3228">
        <f t="shared" si="191"/>
        <v>0.36776724419745016</v>
      </c>
      <c r="AF67" s="3228">
        <f t="shared" si="191"/>
        <v>0.53903952956550139</v>
      </c>
      <c r="AG67" s="3229">
        <f t="shared" si="191"/>
        <v>1.6335828180930687</v>
      </c>
      <c r="AH67" s="3228">
        <f t="shared" si="191"/>
        <v>0.43542074363992167</v>
      </c>
      <c r="AI67" s="3228">
        <f t="shared" si="191"/>
        <v>0.54394693200663347</v>
      </c>
      <c r="AJ67" s="3228">
        <f t="shared" si="191"/>
        <v>0.45055686803914952</v>
      </c>
      <c r="AK67" s="3228">
        <f t="shared" si="191"/>
        <v>0.69318971507991656</v>
      </c>
      <c r="AL67" s="3229">
        <f t="shared" si="191"/>
        <v>2.1154168763630263</v>
      </c>
      <c r="AM67" s="3228">
        <f t="shared" si="191"/>
        <v>0.3165217391304348</v>
      </c>
      <c r="AN67" s="3228">
        <f t="shared" si="191"/>
        <v>0.64493515597616546</v>
      </c>
      <c r="AO67" s="3228">
        <f t="shared" si="191"/>
        <v>0.51369250044746728</v>
      </c>
      <c r="AP67" s="3228">
        <f t="shared" si="191"/>
        <v>0.85033399530601195</v>
      </c>
      <c r="AQ67" s="3229">
        <f t="shared" si="191"/>
        <v>2.3168895580550881</v>
      </c>
      <c r="AR67" s="3228">
        <f t="shared" si="191"/>
        <v>0.62350999449844124</v>
      </c>
      <c r="AS67" s="3228">
        <f t="shared" si="191"/>
        <v>0.8404611379695055</v>
      </c>
      <c r="AT67" s="3228">
        <f t="shared" si="191"/>
        <v>0.57943571293315654</v>
      </c>
      <c r="AU67" s="3228">
        <f t="shared" si="191"/>
        <v>0.64397602011216393</v>
      </c>
      <c r="AV67" s="3229">
        <f t="shared" si="191"/>
        <v>2.6894704693887141</v>
      </c>
      <c r="AW67" s="3228">
        <f t="shared" si="191"/>
        <v>0.40324174738090535</v>
      </c>
      <c r="AX67" s="3228">
        <f t="shared" si="191"/>
        <v>0.59523809523809523</v>
      </c>
      <c r="AY67" s="3228">
        <f t="shared" si="191"/>
        <v>0.50460552663195835</v>
      </c>
      <c r="AZ67" s="3228">
        <f t="shared" si="191"/>
        <v>0.42561815970814759</v>
      </c>
      <c r="BA67" s="3229">
        <f t="shared" si="191"/>
        <v>1.9293953163229642</v>
      </c>
      <c r="BB67" s="3228">
        <f t="shared" si="191"/>
        <v>0.18952516812716527</v>
      </c>
      <c r="BC67" s="3228">
        <f t="shared" si="191"/>
        <v>0.23115577889447236</v>
      </c>
      <c r="BD67" s="3228">
        <f t="shared" si="191"/>
        <v>-0.32340595642614434</v>
      </c>
      <c r="BE67" s="3228">
        <f t="shared" si="191"/>
        <v>0.43461082576056898</v>
      </c>
      <c r="BF67" s="3229">
        <f t="shared" si="191"/>
        <v>0.53381460871308961</v>
      </c>
      <c r="BG67" s="3228">
        <f t="shared" si="191"/>
        <v>0.19317957815888034</v>
      </c>
      <c r="BH67" s="3228">
        <f t="shared" si="191"/>
        <v>0.34381715178745853</v>
      </c>
      <c r="BI67" s="3228">
        <f t="shared" si="191"/>
        <v>0.22456551454793985</v>
      </c>
      <c r="BJ67" s="3228">
        <f t="shared" si="191"/>
        <v>0.45348837209302323</v>
      </c>
      <c r="BK67" s="3229">
        <f t="shared" si="191"/>
        <v>1.2172129145704098</v>
      </c>
      <c r="BL67" s="3228">
        <f t="shared" si="191"/>
        <v>0.28305544784800313</v>
      </c>
      <c r="BM67" s="3228">
        <f t="shared" si="191"/>
        <v>0.44298768375049663</v>
      </c>
      <c r="BN67" s="3228">
        <f t="shared" si="191"/>
        <v>0.37561074918566778</v>
      </c>
      <c r="BO67" s="3228">
        <f t="shared" si="191"/>
        <v>0.62135720233139058</v>
      </c>
      <c r="BP67" s="3229">
        <f t="shared" si="191"/>
        <v>1.7118746232670286</v>
      </c>
      <c r="BQ67" s="3228">
        <f t="shared" si="191"/>
        <v>0.47638946928541576</v>
      </c>
      <c r="BR67" s="3228">
        <f t="shared" si="191"/>
        <v>0.59533898305084743</v>
      </c>
      <c r="BS67" s="3228">
        <f t="shared" si="191"/>
        <v>0.5547161666306929</v>
      </c>
      <c r="BT67" s="3228">
        <f t="shared" si="191"/>
        <v>0.69377466023673828</v>
      </c>
      <c r="BU67" s="3229">
        <f t="shared" si="191"/>
        <v>2.3153842040532591</v>
      </c>
      <c r="BV67" s="3228">
        <f t="shared" ref="BV67:CM67" si="192">+BV65/BV66</f>
        <v>0.62444933920704848</v>
      </c>
      <c r="BW67" s="3228">
        <f t="shared" si="192"/>
        <v>0.7410714285714286</v>
      </c>
      <c r="BX67" s="3228">
        <f t="shared" si="192"/>
        <v>0.66967305524239007</v>
      </c>
      <c r="BY67" s="3228">
        <f t="shared" si="192"/>
        <v>0.66138165345413369</v>
      </c>
      <c r="BZ67" s="3229">
        <f t="shared" si="192"/>
        <v>2.6961387800783436</v>
      </c>
      <c r="CA67" s="3228">
        <f t="shared" si="192"/>
        <v>0.67230734049851359</v>
      </c>
      <c r="CB67" s="3228">
        <f t="shared" si="192"/>
        <v>0.83198520915183727</v>
      </c>
      <c r="CC67" s="3228">
        <f t="shared" si="192"/>
        <v>0.72892408011178389</v>
      </c>
      <c r="CD67" s="3228">
        <f t="shared" si="192"/>
        <v>0.8699763593380615</v>
      </c>
      <c r="CE67" s="3229">
        <f t="shared" si="192"/>
        <v>3.1003251277287505</v>
      </c>
      <c r="CF67" s="3228">
        <f t="shared" si="192"/>
        <v>0.75928143712574847</v>
      </c>
      <c r="CG67" s="3228">
        <f t="shared" si="192"/>
        <v>0.90201799173352781</v>
      </c>
      <c r="CH67" s="3228">
        <f t="shared" si="192"/>
        <v>0.76501370545726388</v>
      </c>
      <c r="CI67" s="3228">
        <f t="shared" si="192"/>
        <v>0.89051463168516654</v>
      </c>
      <c r="CJ67" s="3229">
        <f t="shared" si="192"/>
        <v>3.3150937596065169</v>
      </c>
      <c r="CK67" s="3228">
        <f t="shared" si="192"/>
        <v>0.87554085008908122</v>
      </c>
      <c r="CL67" s="3228">
        <f t="shared" si="192"/>
        <v>0.98469387755102045</v>
      </c>
      <c r="CM67" s="3228">
        <f t="shared" si="192"/>
        <v>0.90852828852069878</v>
      </c>
      <c r="CN67" s="3230">
        <f>+CN60</f>
        <v>0.61928934010152281</v>
      </c>
      <c r="CO67" s="3229">
        <f>SUM(CK67:CN67)</f>
        <v>3.3880523562623233</v>
      </c>
      <c r="CP67" s="3228">
        <f>+CP60</f>
        <v>1.0128205128205128</v>
      </c>
      <c r="CQ67" s="3228">
        <f>+CQ60</f>
        <v>1.1279373368146215</v>
      </c>
      <c r="CR67" s="3228">
        <f>+CR60</f>
        <v>1.0966542750929367</v>
      </c>
      <c r="CS67" s="3228">
        <f>+CS60</f>
        <v>1.1219248445525818</v>
      </c>
      <c r="CT67" s="3229">
        <f>SUM(CP67:CS67)</f>
        <v>4.359336969280653</v>
      </c>
      <c r="CU67" s="3228">
        <f t="shared" ref="CU67:DA67" ca="1" si="193">+CU60</f>
        <v>1.2527822856471493</v>
      </c>
      <c r="CV67" s="3228">
        <f t="shared" ca="1" si="193"/>
        <v>1.3529724817330022</v>
      </c>
      <c r="CW67" s="3228">
        <f t="shared" ca="1" si="193"/>
        <v>1.321943032871626</v>
      </c>
      <c r="CX67" s="3228">
        <f t="shared" ca="1" si="193"/>
        <v>1.3919074656980788</v>
      </c>
      <c r="CY67" s="3229">
        <f ca="1">SUM(CU67:CX67)</f>
        <v>5.3196052659498561</v>
      </c>
      <c r="CZ67" s="3359">
        <f t="shared" ca="1" si="193"/>
        <v>6.2152045518202783</v>
      </c>
      <c r="DA67" s="3229">
        <f t="shared" ca="1" si="193"/>
        <v>6.2949386934559239</v>
      </c>
      <c r="DB67"/>
      <c r="DC67"/>
      <c r="DD67" s="2285"/>
      <c r="DE67" s="2299"/>
      <c r="DF67" s="2299"/>
      <c r="DG67" s="2299"/>
      <c r="DH67" s="2299"/>
      <c r="DI67" s="2299"/>
      <c r="DJ67" s="2299"/>
      <c r="DK67" s="2299"/>
      <c r="DL67" s="2299"/>
      <c r="DM67" s="2299"/>
      <c r="DN67" s="2299"/>
      <c r="DO67" s="2299"/>
      <c r="DP67" s="2299"/>
      <c r="DQ67" s="2299"/>
      <c r="DR67" s="2299"/>
      <c r="DS67" s="2299"/>
      <c r="DT67" s="2299"/>
      <c r="DU67" s="2299"/>
      <c r="DV67" s="2299"/>
      <c r="DW67" s="2299"/>
      <c r="DX67" s="2299"/>
      <c r="DY67" s="2299"/>
      <c r="EA67"/>
      <c r="EB67"/>
      <c r="EC67"/>
      <c r="ED67"/>
      <c r="EE67"/>
      <c r="EF67"/>
      <c r="EJ67"/>
      <c r="EK67"/>
      <c r="EL67"/>
      <c r="EM67" s="1703"/>
      <c r="ER67" s="212"/>
    </row>
    <row r="68" spans="1:148" s="923" customFormat="1" ht="12.75" customHeight="1" x14ac:dyDescent="0.2">
      <c r="A68" s="3221" t="s">
        <v>2543</v>
      </c>
      <c r="B68" s="3231"/>
      <c r="C68" s="3231"/>
      <c r="D68" s="3231"/>
      <c r="E68" s="3231"/>
      <c r="F68" s="3231"/>
      <c r="G68" s="3231"/>
      <c r="H68" s="3231"/>
      <c r="I68" s="3231"/>
      <c r="J68" s="3231"/>
      <c r="K68" s="3231"/>
      <c r="L68" s="3231"/>
      <c r="M68" s="3223" t="e">
        <f t="shared" ref="M68:BX68" si="194">+M67/H67-1</f>
        <v>#DIV/0!</v>
      </c>
      <c r="N68" s="3222">
        <f t="shared" si="194"/>
        <v>0.24370552522899591</v>
      </c>
      <c r="O68" s="3222">
        <f t="shared" si="194"/>
        <v>-2.2334110527887696E-2</v>
      </c>
      <c r="P68" s="3222">
        <f t="shared" si="194"/>
        <v>-0.39284293051100883</v>
      </c>
      <c r="Q68" s="3222">
        <f t="shared" si="194"/>
        <v>-1.4393986991139072</v>
      </c>
      <c r="R68" s="3223">
        <f t="shared" si="194"/>
        <v>-0.50314420682269223</v>
      </c>
      <c r="S68" s="3222">
        <f t="shared" si="194"/>
        <v>-0.41715147597500402</v>
      </c>
      <c r="T68" s="3222">
        <f t="shared" si="194"/>
        <v>6.3282930812617488E-2</v>
      </c>
      <c r="U68" s="3222">
        <f t="shared" si="194"/>
        <v>0.46658278647502316</v>
      </c>
      <c r="V68" s="3222">
        <f t="shared" si="194"/>
        <v>-1.4987677755787678</v>
      </c>
      <c r="W68" s="3223">
        <f t="shared" si="194"/>
        <v>0.39990494836000345</v>
      </c>
      <c r="X68" s="3222">
        <f t="shared" si="194"/>
        <v>0.55660012878299803</v>
      </c>
      <c r="Y68" s="3222">
        <f t="shared" si="194"/>
        <v>-8.4726907745978353E-2</v>
      </c>
      <c r="Z68" s="3222">
        <f t="shared" si="194"/>
        <v>-0.10400343712364246</v>
      </c>
      <c r="AA68" s="3222">
        <f t="shared" si="194"/>
        <v>3.5048326939471472</v>
      </c>
      <c r="AB68" s="3223">
        <f t="shared" si="194"/>
        <v>0.37370282299459778</v>
      </c>
      <c r="AC68" s="3222">
        <f t="shared" si="194"/>
        <v>0.11644017465821976</v>
      </c>
      <c r="AD68" s="3222">
        <f t="shared" si="194"/>
        <v>0.23461397657012695</v>
      </c>
      <c r="AE68" s="3222">
        <f t="shared" si="194"/>
        <v>0.38599510825255923</v>
      </c>
      <c r="AF68" s="3222">
        <f t="shared" si="194"/>
        <v>0.25361758251367172</v>
      </c>
      <c r="AG68" s="3223">
        <f t="shared" si="194"/>
        <v>0.24718149667754186</v>
      </c>
      <c r="AH68" s="3222">
        <f t="shared" si="194"/>
        <v>0.53337373243195141</v>
      </c>
      <c r="AI68" s="3222">
        <f t="shared" si="194"/>
        <v>0.2245779648764723</v>
      </c>
      <c r="AJ68" s="3222">
        <f t="shared" si="194"/>
        <v>0.22511418607267397</v>
      </c>
      <c r="AK68" s="3222">
        <f t="shared" si="194"/>
        <v>0.28597195021795452</v>
      </c>
      <c r="AL68" s="3223">
        <f t="shared" si="194"/>
        <v>0.29495539065011545</v>
      </c>
      <c r="AM68" s="3222">
        <f t="shared" si="194"/>
        <v>-0.27306692721055192</v>
      </c>
      <c r="AN68" s="3222">
        <f t="shared" si="194"/>
        <v>0.18565822882203586</v>
      </c>
      <c r="AO68" s="3222">
        <f t="shared" si="194"/>
        <v>0.14012799912048357</v>
      </c>
      <c r="AP68" s="3222">
        <f t="shared" si="194"/>
        <v>0.22669736265198126</v>
      </c>
      <c r="AQ68" s="3223">
        <f t="shared" si="194"/>
        <v>9.5240178871243586E-2</v>
      </c>
      <c r="AR68" s="3222">
        <f t="shared" si="194"/>
        <v>0.96988047712419623</v>
      </c>
      <c r="AS68" s="3222">
        <f t="shared" si="194"/>
        <v>0.30317153621032555</v>
      </c>
      <c r="AT68" s="3222">
        <f t="shared" si="194"/>
        <v>0.12798164744165375</v>
      </c>
      <c r="AU68" s="3222">
        <f t="shared" si="194"/>
        <v>-0.24267873133730877</v>
      </c>
      <c r="AV68" s="3223">
        <f t="shared" si="194"/>
        <v>0.16081082071360742</v>
      </c>
      <c r="AW68" s="3222">
        <f t="shared" si="194"/>
        <v>-0.35327139750938918</v>
      </c>
      <c r="AX68" s="3222">
        <f t="shared" si="194"/>
        <v>-0.29177201854193013</v>
      </c>
      <c r="AY68" s="3222">
        <f t="shared" si="194"/>
        <v>-0.12914320714268879</v>
      </c>
      <c r="AZ68" s="3222">
        <f t="shared" si="194"/>
        <v>-0.33907762647122175</v>
      </c>
      <c r="BA68" s="3223">
        <f t="shared" si="194"/>
        <v>-0.28261145147970568</v>
      </c>
      <c r="BB68" s="3222">
        <f t="shared" si="194"/>
        <v>-0.52999616394346616</v>
      </c>
      <c r="BC68" s="3222">
        <f t="shared" si="194"/>
        <v>-0.61165829145728645</v>
      </c>
      <c r="BD68" s="3222">
        <f t="shared" si="194"/>
        <v>-1.6409084707905417</v>
      </c>
      <c r="BE68" s="3222">
        <f t="shared" si="194"/>
        <v>2.1128483001260578E-2</v>
      </c>
      <c r="BF68" s="3223">
        <f t="shared" si="194"/>
        <v>-0.72332543559272655</v>
      </c>
      <c r="BG68" s="3222">
        <f t="shared" si="194"/>
        <v>1.9281924758737468E-2</v>
      </c>
      <c r="BH68" s="3222">
        <f t="shared" si="194"/>
        <v>0.48738289577617921</v>
      </c>
      <c r="BI68" s="3222">
        <f t="shared" si="194"/>
        <v>-1.6943765570354405</v>
      </c>
      <c r="BJ68" s="3222">
        <f t="shared" si="194"/>
        <v>4.3435517970401571E-2</v>
      </c>
      <c r="BK68" s="3223">
        <f t="shared" si="194"/>
        <v>1.2802165671427468</v>
      </c>
      <c r="BL68" s="3222">
        <f t="shared" si="194"/>
        <v>0.4652451907478774</v>
      </c>
      <c r="BM68" s="3222">
        <f t="shared" si="194"/>
        <v>0.2884397460902226</v>
      </c>
      <c r="BN68" s="3222">
        <f t="shared" si="194"/>
        <v>0.67261099702591709</v>
      </c>
      <c r="BO68" s="3222">
        <f t="shared" si="194"/>
        <v>0.37017229232050242</v>
      </c>
      <c r="BP68" s="3223">
        <f t="shared" si="194"/>
        <v>0.40638881068001109</v>
      </c>
      <c r="BQ68" s="3222">
        <f t="shared" si="194"/>
        <v>0.68302526203710556</v>
      </c>
      <c r="BR68" s="3222">
        <f t="shared" si="194"/>
        <v>0.34391768640267539</v>
      </c>
      <c r="BS68" s="3222">
        <f t="shared" si="194"/>
        <v>0.47683783766393684</v>
      </c>
      <c r="BT68" s="3222">
        <f t="shared" si="194"/>
        <v>0.11654722538602691</v>
      </c>
      <c r="BU68" s="3223">
        <f t="shared" si="194"/>
        <v>0.3525430966635057</v>
      </c>
      <c r="BV68" s="3222">
        <f t="shared" si="194"/>
        <v>0.31079584975655017</v>
      </c>
      <c r="BW68" s="3222">
        <f t="shared" si="194"/>
        <v>0.24478901881037118</v>
      </c>
      <c r="BX68" s="3222">
        <f t="shared" si="194"/>
        <v>0.20723551164902454</v>
      </c>
      <c r="BY68" s="3222">
        <f t="shared" ref="BY68:CI68" si="195">+BY67/BT67-1</f>
        <v>-4.6690962698970662E-2</v>
      </c>
      <c r="BZ68" s="3223">
        <f t="shared" si="195"/>
        <v>0.16444552716501404</v>
      </c>
      <c r="CA68" s="3222">
        <f t="shared" si="195"/>
        <v>7.6640326583157448E-2</v>
      </c>
      <c r="CB68" s="3222">
        <f t="shared" si="195"/>
        <v>0.12267883644585265</v>
      </c>
      <c r="CC68" s="3222">
        <f t="shared" si="195"/>
        <v>8.8477540503623331E-2</v>
      </c>
      <c r="CD68" s="3222">
        <f t="shared" si="195"/>
        <v>0.31539233783477449</v>
      </c>
      <c r="CE68" s="3223">
        <f t="shared" si="195"/>
        <v>0.14991303512894905</v>
      </c>
      <c r="CF68" s="3222">
        <f t="shared" si="195"/>
        <v>0.1293665729764959</v>
      </c>
      <c r="CG68" s="3222">
        <f t="shared" si="195"/>
        <v>8.4175513953048675E-2</v>
      </c>
      <c r="CH68" s="3222">
        <f t="shared" si="195"/>
        <v>4.9510815090572313E-2</v>
      </c>
      <c r="CI68" s="3222">
        <f t="shared" si="195"/>
        <v>2.3607851094634258E-2</v>
      </c>
      <c r="CJ68" s="3223">
        <f>+CJ67/CE67-1</f>
        <v>6.9272938491809821E-2</v>
      </c>
      <c r="CK68" s="3222">
        <f>+CK67/CF67-1</f>
        <v>0.15311768111101398</v>
      </c>
      <c r="CL68" s="3222">
        <f>+CL67/CG67-1</f>
        <v>9.1656581770174439E-2</v>
      </c>
      <c r="CM68" s="3222">
        <f>+CM67/CH67-1</f>
        <v>0.18759740124871804</v>
      </c>
      <c r="CN68" s="3222">
        <f t="shared" ref="CN68:CT68" si="196">+CN67/CI67-1</f>
        <v>-0.30457140391998971</v>
      </c>
      <c r="CO68" s="3223">
        <f t="shared" si="196"/>
        <v>2.2008003980094504E-2</v>
      </c>
      <c r="CP68" s="3222">
        <f t="shared" si="196"/>
        <v>0.15679412641621937</v>
      </c>
      <c r="CQ68" s="3222">
        <f t="shared" si="196"/>
        <v>0.1454700415319472</v>
      </c>
      <c r="CR68" s="3222">
        <f t="shared" si="196"/>
        <v>0.20706673523457586</v>
      </c>
      <c r="CS68" s="3222">
        <f t="shared" si="196"/>
        <v>0.81163274079392322</v>
      </c>
      <c r="CT68" s="3223">
        <f t="shared" si="196"/>
        <v>0.28667933989362671</v>
      </c>
      <c r="CU68" s="3222">
        <f ca="1">+CU67/CP67-1</f>
        <v>0.23692428203136262</v>
      </c>
      <c r="CV68" s="3222">
        <f ca="1">+CV67/CQ67-1</f>
        <v>0.19951032524013845</v>
      </c>
      <c r="CW68" s="3222">
        <f ca="1">+CW67/CR67-1</f>
        <v>0.20543279946599124</v>
      </c>
      <c r="CX68" s="3222">
        <f ca="1">+CX67/CS67-1</f>
        <v>0.24064234111257665</v>
      </c>
      <c r="CY68" s="3223">
        <f ca="1">+CY67/CT67-1</f>
        <v>0.22027852020525485</v>
      </c>
      <c r="CZ68" s="3225">
        <f ca="1">+CZ67/CY67-1</f>
        <v>0.16835822229198927</v>
      </c>
      <c r="DA68" s="3223">
        <f ca="1">+DA67/CZ67-1</f>
        <v>1.2828884547700703E-2</v>
      </c>
      <c r="DB68"/>
      <c r="DC68"/>
      <c r="DD68" s="2285"/>
      <c r="DE68" s="2299"/>
      <c r="DF68" s="2299"/>
      <c r="DG68" s="2299"/>
      <c r="DH68" s="2299"/>
      <c r="DI68" s="2299"/>
      <c r="DJ68" s="2299"/>
      <c r="DK68" s="2299"/>
      <c r="DL68" s="2299"/>
      <c r="DM68" s="2299"/>
      <c r="DN68" s="2299"/>
      <c r="DO68" s="2299"/>
      <c r="DP68" s="2299"/>
      <c r="DQ68" s="2299"/>
      <c r="DR68" s="2299"/>
      <c r="DS68" s="2299"/>
      <c r="DT68" s="2299"/>
      <c r="DU68" s="2299"/>
      <c r="DV68" s="2299"/>
      <c r="DW68" s="2299"/>
      <c r="DX68" s="2299"/>
      <c r="DY68" s="2299"/>
      <c r="EA68"/>
      <c r="EB68"/>
      <c r="EC68"/>
      <c r="ED68"/>
      <c r="EE68"/>
      <c r="EF68"/>
      <c r="EJ68"/>
      <c r="EK68"/>
      <c r="EL68"/>
      <c r="EM68" s="1703"/>
      <c r="ER68" s="212"/>
    </row>
    <row r="69" spans="1:148" s="923" customFormat="1" ht="12.75" customHeight="1" x14ac:dyDescent="0.2">
      <c r="A69" s="504"/>
      <c r="B69" s="220"/>
      <c r="C69" s="220"/>
      <c r="D69" s="220"/>
      <c r="E69" s="220"/>
      <c r="F69" s="220"/>
      <c r="G69" s="220"/>
      <c r="H69" s="220"/>
      <c r="I69" s="220"/>
      <c r="J69" s="220"/>
      <c r="K69" s="220"/>
      <c r="L69" s="220"/>
      <c r="M69" s="3216"/>
      <c r="N69" s="220"/>
      <c r="O69" s="220"/>
      <c r="P69" s="220"/>
      <c r="Q69" s="220"/>
      <c r="R69" s="3216"/>
      <c r="S69" s="220"/>
      <c r="T69" s="220"/>
      <c r="U69" s="220"/>
      <c r="V69" s="220"/>
      <c r="W69" s="3216"/>
      <c r="X69" s="220"/>
      <c r="Y69" s="220"/>
      <c r="Z69" s="220"/>
      <c r="AA69" s="220"/>
      <c r="AB69" s="3216"/>
      <c r="AC69" s="220"/>
      <c r="AD69" s="220"/>
      <c r="AE69" s="220"/>
      <c r="AF69" s="220"/>
      <c r="AG69" s="3216"/>
      <c r="AH69" s="220"/>
      <c r="AI69" s="220"/>
      <c r="AJ69" s="220"/>
      <c r="AK69" s="220"/>
      <c r="AL69" s="3216"/>
      <c r="AM69" s="220"/>
      <c r="AN69" s="220"/>
      <c r="AO69" s="220"/>
      <c r="AP69" s="220"/>
      <c r="AQ69" s="3216"/>
      <c r="AR69" s="220"/>
      <c r="AS69" s="220"/>
      <c r="AT69" s="220"/>
      <c r="AU69" s="220"/>
      <c r="AV69" s="3216"/>
      <c r="AW69" s="220"/>
      <c r="AX69" s="220"/>
      <c r="AY69" s="220"/>
      <c r="AZ69" s="220"/>
      <c r="BA69" s="3216"/>
      <c r="BB69" s="220"/>
      <c r="BC69" s="220"/>
      <c r="BD69" s="220"/>
      <c r="BE69" s="220"/>
      <c r="BF69" s="3216"/>
      <c r="BG69" s="220"/>
      <c r="BH69" s="220"/>
      <c r="BI69" s="220"/>
      <c r="BJ69" s="220"/>
      <c r="BK69" s="3216"/>
      <c r="BL69" s="220"/>
      <c r="BM69" s="220"/>
      <c r="BN69" s="220"/>
      <c r="BO69" s="220"/>
      <c r="BP69" s="3216"/>
      <c r="BQ69" s="220"/>
      <c r="BR69" s="220"/>
      <c r="BS69" s="220"/>
      <c r="BT69" s="220"/>
      <c r="BU69" s="3216"/>
      <c r="BV69" s="220"/>
      <c r="BW69" s="220"/>
      <c r="BX69" s="220"/>
      <c r="BY69" s="1691"/>
      <c r="BZ69" s="3216"/>
      <c r="CA69" s="220"/>
      <c r="CB69" s="220"/>
      <c r="CC69" s="220"/>
      <c r="CD69" s="220"/>
      <c r="CE69" s="3216"/>
      <c r="CF69" s="220"/>
      <c r="CG69" s="220"/>
      <c r="CH69" s="220"/>
      <c r="CI69" s="220"/>
      <c r="CJ69" s="3216"/>
      <c r="CK69" s="220"/>
      <c r="CL69" s="220"/>
      <c r="CM69" s="220"/>
      <c r="CN69" s="220"/>
      <c r="CO69" s="3216"/>
      <c r="CP69" s="220"/>
      <c r="CQ69" s="220"/>
      <c r="CR69" s="220"/>
      <c r="CS69" s="220"/>
      <c r="CT69" s="3216"/>
      <c r="CU69" s="220"/>
      <c r="CV69" s="220"/>
      <c r="CW69" s="220"/>
      <c r="CX69" s="220"/>
      <c r="CY69" s="3216"/>
      <c r="CZ69" s="3216"/>
      <c r="DA69" s="3216"/>
      <c r="DB69"/>
      <c r="DC69"/>
      <c r="DD69" s="2285"/>
      <c r="DE69" s="2299"/>
      <c r="DF69" s="2299"/>
      <c r="DG69" s="2299"/>
      <c r="DH69" s="2299"/>
      <c r="DI69" s="2299"/>
      <c r="DJ69" s="2299"/>
      <c r="DK69" s="2299"/>
      <c r="DL69" s="2299"/>
      <c r="DM69" s="2299"/>
      <c r="DN69" s="2299"/>
      <c r="DO69" s="2299"/>
      <c r="DP69" s="2299"/>
      <c r="DQ69" s="2299"/>
      <c r="DR69" s="2299"/>
      <c r="DS69" s="2299"/>
      <c r="DT69" s="2299"/>
      <c r="DU69" s="2299"/>
      <c r="DV69" s="2299"/>
      <c r="DW69" s="2299"/>
      <c r="DX69" s="2299"/>
      <c r="DY69" s="2299"/>
      <c r="EA69"/>
      <c r="EB69"/>
      <c r="EC69"/>
      <c r="ED69"/>
      <c r="EE69"/>
      <c r="EF69"/>
      <c r="EJ69"/>
      <c r="EK69"/>
      <c r="EL69"/>
      <c r="ER69" s="212"/>
    </row>
    <row r="70" spans="1:148" s="961" customFormat="1" ht="12.75" customHeight="1" x14ac:dyDescent="0.2">
      <c r="A70" s="2300" t="s">
        <v>877</v>
      </c>
      <c r="B70" s="2107"/>
      <c r="C70" s="2107"/>
      <c r="D70" s="2107"/>
      <c r="E70" s="2107"/>
      <c r="F70" s="2107"/>
      <c r="G70" s="2107"/>
      <c r="H70" s="2107"/>
      <c r="I70" s="2107">
        <v>0.03</v>
      </c>
      <c r="J70" s="2107">
        <v>0.03</v>
      </c>
      <c r="K70" s="2107">
        <v>0.03</v>
      </c>
      <c r="L70" s="2107">
        <v>0.03</v>
      </c>
      <c r="M70" s="1957">
        <f>SUM(I70:L70)</f>
        <v>0.12</v>
      </c>
      <c r="N70" s="2107">
        <v>3.2500000000000001E-2</v>
      </c>
      <c r="O70" s="2107">
        <v>3.2500000000000001E-2</v>
      </c>
      <c r="P70" s="2107">
        <v>3.2500000000000001E-2</v>
      </c>
      <c r="Q70" s="2107">
        <v>3.2500000000000001E-2</v>
      </c>
      <c r="R70" s="1957">
        <f>SUM(N70:Q70)</f>
        <v>0.13</v>
      </c>
      <c r="S70" s="2107">
        <v>3.2500000000000001E-2</v>
      </c>
      <c r="T70" s="2107">
        <v>3.5000000000000003E-2</v>
      </c>
      <c r="U70" s="2107">
        <v>3.5000000000000003E-2</v>
      </c>
      <c r="V70" s="2107">
        <v>3.5000000000000003E-2</v>
      </c>
      <c r="W70" s="1957">
        <f>SUM(S70:V70)</f>
        <v>0.13750000000000001</v>
      </c>
      <c r="X70" s="2107">
        <v>3.5000000000000003E-2</v>
      </c>
      <c r="Y70" s="2107">
        <v>3.7499999999999999E-2</v>
      </c>
      <c r="Z70" s="2107">
        <v>3.7499999999999999E-2</v>
      </c>
      <c r="AA70" s="2107">
        <v>3.7499999999999999E-2</v>
      </c>
      <c r="AB70" s="1957">
        <f>SUM(X70:AA70)</f>
        <v>0.14750000000000002</v>
      </c>
      <c r="AC70" s="2107">
        <v>3.7499999999999999E-2</v>
      </c>
      <c r="AD70" s="2107">
        <v>4.2500000000000003E-2</v>
      </c>
      <c r="AE70" s="2107">
        <v>4.2500000000000003E-2</v>
      </c>
      <c r="AF70" s="2107">
        <v>4.2500000000000003E-2</v>
      </c>
      <c r="AG70" s="1957">
        <f>SUM(AC70:AF70)</f>
        <v>0.16500000000000001</v>
      </c>
      <c r="AH70" s="2107">
        <v>4.2500000000000003E-2</v>
      </c>
      <c r="AI70" s="2107">
        <v>5.2499999999999998E-2</v>
      </c>
      <c r="AJ70" s="2107">
        <v>5.2499999999999998E-2</v>
      </c>
      <c r="AK70" s="2107">
        <v>5.2499999999999998E-2</v>
      </c>
      <c r="AL70" s="1957">
        <f>SUM(AH70:AK70)</f>
        <v>0.19999999999999998</v>
      </c>
      <c r="AM70" s="2107">
        <v>5.2499999999999998E-2</v>
      </c>
      <c r="AN70" s="2107">
        <f>0.0625</f>
        <v>6.25E-2</v>
      </c>
      <c r="AO70" s="2107">
        <v>6.25E-2</v>
      </c>
      <c r="AP70" s="2107">
        <v>6.25E-2</v>
      </c>
      <c r="AQ70" s="1957">
        <f>SUM(AM70:AP70)</f>
        <v>0.24</v>
      </c>
      <c r="AR70" s="2107">
        <v>6.25E-2</v>
      </c>
      <c r="AS70" s="2107">
        <v>7.4999999999999997E-2</v>
      </c>
      <c r="AT70" s="2107">
        <v>7.4999999999999997E-2</v>
      </c>
      <c r="AU70" s="2107">
        <v>7.4999999999999997E-2</v>
      </c>
      <c r="AV70" s="1957">
        <f>SUM(AR70:AU70)</f>
        <v>0.28750000000000003</v>
      </c>
      <c r="AW70" s="2107">
        <v>7.4999999999999997E-2</v>
      </c>
      <c r="AX70" s="2107">
        <v>8.7499999999999994E-2</v>
      </c>
      <c r="AY70" s="2107">
        <v>8.7499999999999994E-2</v>
      </c>
      <c r="AZ70" s="2107">
        <v>8.7499999999999994E-2</v>
      </c>
      <c r="BA70" s="1957">
        <f>SUM(AW70:AZ70)</f>
        <v>0.33749999999999997</v>
      </c>
      <c r="BB70" s="2107">
        <v>8.7499999999999994E-2</v>
      </c>
      <c r="BC70" s="2107">
        <v>0</v>
      </c>
      <c r="BD70" s="2107">
        <v>0</v>
      </c>
      <c r="BE70" s="2107">
        <v>0</v>
      </c>
      <c r="BF70" s="1957">
        <f>SUM(BB70:BE70)</f>
        <v>8.7499999999999994E-2</v>
      </c>
      <c r="BG70" s="2107">
        <v>0</v>
      </c>
      <c r="BH70" s="2107">
        <v>0.04</v>
      </c>
      <c r="BI70" s="2107">
        <v>0.04</v>
      </c>
      <c r="BJ70" s="2107">
        <v>0.04</v>
      </c>
      <c r="BK70" s="1957">
        <f>SUM(BG70:BJ70)</f>
        <v>0.12</v>
      </c>
      <c r="BL70" s="2107">
        <v>8.7499999999999994E-2</v>
      </c>
      <c r="BM70" s="2107">
        <v>0.1</v>
      </c>
      <c r="BN70" s="2107">
        <v>0.1</v>
      </c>
      <c r="BO70" s="2107">
        <f>+BN70</f>
        <v>0.1</v>
      </c>
      <c r="BP70" s="1957">
        <f>SUM(BL70:BO70)</f>
        <v>0.38749999999999996</v>
      </c>
      <c r="BQ70" s="2107">
        <v>0.1</v>
      </c>
      <c r="BR70" s="2107">
        <v>0.1</v>
      </c>
      <c r="BS70" s="2107">
        <v>0.13</v>
      </c>
      <c r="BT70" s="2107">
        <v>0.13</v>
      </c>
      <c r="BU70" s="1957">
        <f>+SUM(BQ70:BT70)</f>
        <v>0.46</v>
      </c>
      <c r="BV70" s="2107">
        <v>0.13</v>
      </c>
      <c r="BW70" s="2107">
        <v>0.17</v>
      </c>
      <c r="BX70" s="2107">
        <v>0.17</v>
      </c>
      <c r="BY70" s="2107">
        <v>0.17</v>
      </c>
      <c r="BZ70" s="1957">
        <f>+SUM(BV70:BY70)</f>
        <v>0.64000000000000012</v>
      </c>
      <c r="CA70" s="1666">
        <v>0.17</v>
      </c>
      <c r="CB70" s="1666">
        <v>0.2</v>
      </c>
      <c r="CC70" s="1666">
        <v>0.2</v>
      </c>
      <c r="CD70" s="1666">
        <v>0.2</v>
      </c>
      <c r="CE70" s="1957">
        <f>+SUM(CA70:CD70)</f>
        <v>0.77</v>
      </c>
      <c r="CF70" s="1666">
        <v>0.2</v>
      </c>
      <c r="CG70" s="1666">
        <v>0.25</v>
      </c>
      <c r="CH70" s="1666">
        <v>0.25</v>
      </c>
      <c r="CI70" s="1666">
        <v>0.25</v>
      </c>
      <c r="CJ70" s="1957">
        <f>+SUM(CF70:CI70)</f>
        <v>0.95</v>
      </c>
      <c r="CK70" s="1666">
        <v>0.25</v>
      </c>
      <c r="CL70" s="1666">
        <v>0.3</v>
      </c>
      <c r="CM70" s="1666">
        <v>0.3</v>
      </c>
      <c r="CN70" s="1666">
        <v>0.3</v>
      </c>
      <c r="CO70" s="1957">
        <f>SUM(CK70:CN70)</f>
        <v>1.1500000000000001</v>
      </c>
      <c r="CP70" s="1666">
        <v>0.3</v>
      </c>
      <c r="CQ70" s="3417">
        <v>0.33</v>
      </c>
      <c r="CR70" s="3417">
        <v>0.33</v>
      </c>
      <c r="CS70" s="2976">
        <f>+CR70</f>
        <v>0.33</v>
      </c>
      <c r="CT70" s="1957">
        <f>SUM(CP70:CS70)</f>
        <v>1.29</v>
      </c>
      <c r="CU70" s="3654">
        <f>+CP70*(1+CU71)</f>
        <v>0.33</v>
      </c>
      <c r="CV70" s="3655">
        <f>+CQ70*(1+CV71)</f>
        <v>0.36300000000000004</v>
      </c>
      <c r="CW70" s="3655">
        <f>+CR70*(1+CW71)</f>
        <v>0.36300000000000004</v>
      </c>
      <c r="CX70" s="3655">
        <f>+CS70*(1+CX71)</f>
        <v>0.36300000000000004</v>
      </c>
      <c r="CY70" s="1957">
        <f>SUM(CU70:CX70)</f>
        <v>1.419</v>
      </c>
      <c r="CZ70" s="2301">
        <f>+CY70*(1+CZ71)</f>
        <v>1.4899500000000001</v>
      </c>
      <c r="DA70" s="2301">
        <f>+CZ70*(1+DA71)</f>
        <v>1.4899500000000001</v>
      </c>
      <c r="DB70"/>
      <c r="DC70"/>
      <c r="DD70" s="2300" t="s">
        <v>877</v>
      </c>
      <c r="DE70" s="2301">
        <f>M70</f>
        <v>0.12</v>
      </c>
      <c r="DF70" s="2301">
        <f>R70</f>
        <v>0.13</v>
      </c>
      <c r="DG70" s="2301">
        <f>W70</f>
        <v>0.13750000000000001</v>
      </c>
      <c r="DH70" s="2301">
        <f>AB70</f>
        <v>0.14750000000000002</v>
      </c>
      <c r="DI70" s="2301">
        <f>AG70</f>
        <v>0.16500000000000001</v>
      </c>
      <c r="DJ70" s="2301">
        <f>AL70</f>
        <v>0.19999999999999998</v>
      </c>
      <c r="DK70" s="2301">
        <f>AQ70</f>
        <v>0.24</v>
      </c>
      <c r="DL70" s="2301">
        <f>AV70</f>
        <v>0.28750000000000003</v>
      </c>
      <c r="DM70" s="2301">
        <f>BA70</f>
        <v>0.33749999999999997</v>
      </c>
      <c r="DN70" s="2301">
        <f>BF70</f>
        <v>8.7499999999999994E-2</v>
      </c>
      <c r="DO70" s="2301">
        <f>BK70</f>
        <v>0.12</v>
      </c>
      <c r="DP70" s="2301">
        <f>BP70</f>
        <v>0.38749999999999996</v>
      </c>
      <c r="DQ70" s="2301">
        <f>BU70</f>
        <v>0.46</v>
      </c>
      <c r="DR70" s="2301">
        <f>BZ70</f>
        <v>0.64000000000000012</v>
      </c>
      <c r="DS70" s="2301">
        <f>CE70</f>
        <v>0.77</v>
      </c>
      <c r="DT70" s="2301">
        <f>CJ70</f>
        <v>0.95</v>
      </c>
      <c r="DU70" s="2301">
        <f>CO70</f>
        <v>1.1500000000000001</v>
      </c>
      <c r="DV70" s="2301">
        <f>CT70</f>
        <v>1.29</v>
      </c>
      <c r="DW70" s="2301">
        <f t="shared" ref="DW70:DY71" si="197">CY70</f>
        <v>1.419</v>
      </c>
      <c r="DX70" s="2301">
        <f t="shared" si="197"/>
        <v>1.4899500000000001</v>
      </c>
      <c r="DY70" s="2301">
        <f t="shared" si="197"/>
        <v>1.4899500000000001</v>
      </c>
      <c r="EA70"/>
      <c r="EB70"/>
      <c r="EC70"/>
      <c r="ED70"/>
      <c r="EE70"/>
      <c r="EF70"/>
      <c r="EJ70"/>
      <c r="EK70"/>
      <c r="EL70"/>
      <c r="EM70" s="1703"/>
      <c r="ER70" s="212"/>
    </row>
    <row r="71" spans="1:148" s="923" customFormat="1" x14ac:dyDescent="0.2">
      <c r="A71" s="1663" t="s">
        <v>691</v>
      </c>
      <c r="B71" s="1665"/>
      <c r="C71" s="1665"/>
      <c r="D71" s="1665"/>
      <c r="E71" s="1665"/>
      <c r="F71" s="1665"/>
      <c r="G71" s="1665"/>
      <c r="H71" s="1665"/>
      <c r="I71" s="1665"/>
      <c r="J71" s="1665"/>
      <c r="K71" s="1665"/>
      <c r="L71" s="1665"/>
      <c r="M71" s="1664"/>
      <c r="N71" s="1665"/>
      <c r="O71" s="1665"/>
      <c r="P71" s="1665"/>
      <c r="Q71" s="1665"/>
      <c r="R71" s="1664"/>
      <c r="S71" s="1665"/>
      <c r="T71" s="1665"/>
      <c r="U71" s="1665"/>
      <c r="V71" s="1665"/>
      <c r="W71" s="1664"/>
      <c r="X71" s="1665"/>
      <c r="Y71" s="1665"/>
      <c r="Z71" s="1665"/>
      <c r="AA71" s="1665"/>
      <c r="AB71" s="1664"/>
      <c r="AC71" s="1665"/>
      <c r="AD71" s="1665"/>
      <c r="AE71" s="1665"/>
      <c r="AF71" s="1665"/>
      <c r="AG71" s="1664">
        <f t="shared" ref="AG71:CN71" si="198">AG70/AB70-1</f>
        <v>0.11864406779661008</v>
      </c>
      <c r="AH71" s="1665">
        <f t="shared" si="198"/>
        <v>0.13333333333333353</v>
      </c>
      <c r="AI71" s="1665">
        <f t="shared" si="198"/>
        <v>0.23529411764705865</v>
      </c>
      <c r="AJ71" s="1665">
        <f t="shared" si="198"/>
        <v>0.23529411764705865</v>
      </c>
      <c r="AK71" s="1665">
        <f t="shared" si="198"/>
        <v>0.23529411764705865</v>
      </c>
      <c r="AL71" s="1664">
        <f t="shared" si="198"/>
        <v>0.21212121212121193</v>
      </c>
      <c r="AM71" s="1665">
        <f t="shared" si="198"/>
        <v>0.23529411764705865</v>
      </c>
      <c r="AN71" s="1665">
        <f t="shared" si="198"/>
        <v>0.19047619047619047</v>
      </c>
      <c r="AO71" s="1665">
        <f t="shared" si="198"/>
        <v>0.19047619047619047</v>
      </c>
      <c r="AP71" s="1665">
        <f t="shared" si="198"/>
        <v>0.19047619047619047</v>
      </c>
      <c r="AQ71" s="1664">
        <f t="shared" si="198"/>
        <v>0.19999999999999996</v>
      </c>
      <c r="AR71" s="1665">
        <f t="shared" si="198"/>
        <v>0.19047619047619047</v>
      </c>
      <c r="AS71" s="1665">
        <f t="shared" si="198"/>
        <v>0.19999999999999996</v>
      </c>
      <c r="AT71" s="1665">
        <f t="shared" si="198"/>
        <v>0.19999999999999996</v>
      </c>
      <c r="AU71" s="1665">
        <f t="shared" si="198"/>
        <v>0.19999999999999996</v>
      </c>
      <c r="AV71" s="1664">
        <f t="shared" si="198"/>
        <v>0.19791666666666674</v>
      </c>
      <c r="AW71" s="1665">
        <f t="shared" si="198"/>
        <v>0.19999999999999996</v>
      </c>
      <c r="AX71" s="1665">
        <f t="shared" si="198"/>
        <v>0.16666666666666674</v>
      </c>
      <c r="AY71" s="1665">
        <f t="shared" si="198"/>
        <v>0.16666666666666674</v>
      </c>
      <c r="AZ71" s="1665">
        <f t="shared" si="198"/>
        <v>0.16666666666666674</v>
      </c>
      <c r="BA71" s="1664">
        <f t="shared" si="198"/>
        <v>0.17391304347826053</v>
      </c>
      <c r="BB71" s="1665">
        <f t="shared" si="198"/>
        <v>0.16666666666666674</v>
      </c>
      <c r="BC71" s="1665">
        <f t="shared" si="198"/>
        <v>-1</v>
      </c>
      <c r="BD71" s="1665">
        <f t="shared" si="198"/>
        <v>-1</v>
      </c>
      <c r="BE71" s="1665">
        <f t="shared" si="198"/>
        <v>-1</v>
      </c>
      <c r="BF71" s="1664">
        <f t="shared" si="198"/>
        <v>-0.7407407407407407</v>
      </c>
      <c r="BG71" s="1665">
        <f t="shared" si="198"/>
        <v>-1</v>
      </c>
      <c r="BH71" s="1665" t="e">
        <f t="shared" si="198"/>
        <v>#DIV/0!</v>
      </c>
      <c r="BI71" s="1665" t="e">
        <f t="shared" si="198"/>
        <v>#DIV/0!</v>
      </c>
      <c r="BJ71" s="1665" t="e">
        <f t="shared" si="198"/>
        <v>#DIV/0!</v>
      </c>
      <c r="BK71" s="1664">
        <f t="shared" si="198"/>
        <v>0.37142857142857144</v>
      </c>
      <c r="BL71" s="1665" t="e">
        <f t="shared" si="198"/>
        <v>#DIV/0!</v>
      </c>
      <c r="BM71" s="1665">
        <f t="shared" si="198"/>
        <v>1.5</v>
      </c>
      <c r="BN71" s="1665">
        <f t="shared" si="198"/>
        <v>1.5</v>
      </c>
      <c r="BO71" s="1665">
        <f t="shared" si="198"/>
        <v>1.5</v>
      </c>
      <c r="BP71" s="1664">
        <f t="shared" si="198"/>
        <v>2.2291666666666665</v>
      </c>
      <c r="BQ71" s="1665">
        <f t="shared" si="198"/>
        <v>0.14285714285714302</v>
      </c>
      <c r="BR71" s="1665">
        <f t="shared" si="198"/>
        <v>0</v>
      </c>
      <c r="BS71" s="1665">
        <f t="shared" si="198"/>
        <v>0.30000000000000004</v>
      </c>
      <c r="BT71" s="1665">
        <f t="shared" si="198"/>
        <v>0.30000000000000004</v>
      </c>
      <c r="BU71" s="1664">
        <f t="shared" si="198"/>
        <v>0.18709677419354853</v>
      </c>
      <c r="BV71" s="1665">
        <f t="shared" si="198"/>
        <v>0.30000000000000004</v>
      </c>
      <c r="BW71" s="1665">
        <f t="shared" si="198"/>
        <v>0.7</v>
      </c>
      <c r="BX71" s="1665">
        <f t="shared" si="198"/>
        <v>0.30769230769230771</v>
      </c>
      <c r="BY71" s="1665">
        <f t="shared" si="198"/>
        <v>0.30769230769230771</v>
      </c>
      <c r="BZ71" s="1664">
        <f t="shared" si="198"/>
        <v>0.39130434782608714</v>
      </c>
      <c r="CA71" s="1665">
        <f t="shared" si="198"/>
        <v>0.30769230769230771</v>
      </c>
      <c r="CB71" s="1665">
        <f t="shared" si="198"/>
        <v>0.17647058823529416</v>
      </c>
      <c r="CC71" s="1665">
        <f t="shared" si="198"/>
        <v>0.17647058823529416</v>
      </c>
      <c r="CD71" s="1665">
        <f t="shared" si="198"/>
        <v>0.17647058823529416</v>
      </c>
      <c r="CE71" s="1664">
        <f>CE70/BZ70-1</f>
        <v>0.20312499999999978</v>
      </c>
      <c r="CF71" s="1665">
        <f t="shared" si="198"/>
        <v>0.17647058823529416</v>
      </c>
      <c r="CG71" s="1665">
        <f t="shared" si="198"/>
        <v>0.25</v>
      </c>
      <c r="CH71" s="1665">
        <f t="shared" si="198"/>
        <v>0.25</v>
      </c>
      <c r="CI71" s="1665">
        <f t="shared" si="198"/>
        <v>0.25</v>
      </c>
      <c r="CJ71" s="1664">
        <f>CJ70/CE70-1</f>
        <v>0.23376623376623362</v>
      </c>
      <c r="CK71" s="1665">
        <f t="shared" si="198"/>
        <v>0.25</v>
      </c>
      <c r="CL71" s="1665">
        <f t="shared" si="198"/>
        <v>0.19999999999999996</v>
      </c>
      <c r="CM71" s="1665">
        <f t="shared" si="198"/>
        <v>0.19999999999999996</v>
      </c>
      <c r="CN71" s="1665">
        <f t="shared" si="198"/>
        <v>0.19999999999999996</v>
      </c>
      <c r="CO71" s="1664">
        <f t="shared" ref="CO71:CT71" si="199">CO70/CJ70-1</f>
        <v>0.21052631578947389</v>
      </c>
      <c r="CP71" s="1665">
        <f t="shared" si="199"/>
        <v>0.19999999999999996</v>
      </c>
      <c r="CQ71" s="1665">
        <f t="shared" si="199"/>
        <v>0.10000000000000009</v>
      </c>
      <c r="CR71" s="1665">
        <f t="shared" si="199"/>
        <v>0.10000000000000009</v>
      </c>
      <c r="CS71" s="1665">
        <f t="shared" si="199"/>
        <v>0.10000000000000009</v>
      </c>
      <c r="CT71" s="1664">
        <f t="shared" si="199"/>
        <v>0.12173913043478257</v>
      </c>
      <c r="CU71" s="1665">
        <v>0.1</v>
      </c>
      <c r="CV71" s="1665">
        <v>0.1</v>
      </c>
      <c r="CW71" s="1665">
        <v>0.1</v>
      </c>
      <c r="CX71" s="1665">
        <v>0.1</v>
      </c>
      <c r="CY71" s="1664">
        <f>CY70/CT70-1</f>
        <v>0.10000000000000009</v>
      </c>
      <c r="CZ71" s="3360">
        <v>0.05</v>
      </c>
      <c r="DA71" s="2388">
        <v>0</v>
      </c>
      <c r="DB71"/>
      <c r="DC71"/>
      <c r="DD71" s="1663" t="s">
        <v>691</v>
      </c>
      <c r="DE71" s="1664">
        <f>M71</f>
        <v>0</v>
      </c>
      <c r="DF71" s="1664">
        <f>R71</f>
        <v>0</v>
      </c>
      <c r="DG71" s="1664">
        <f>W71</f>
        <v>0</v>
      </c>
      <c r="DH71" s="1664">
        <f>AB71</f>
        <v>0</v>
      </c>
      <c r="DI71" s="1664">
        <f>AG71</f>
        <v>0.11864406779661008</v>
      </c>
      <c r="DJ71" s="1664">
        <f>AL71</f>
        <v>0.21212121212121193</v>
      </c>
      <c r="DK71" s="1664">
        <f>AQ71</f>
        <v>0.19999999999999996</v>
      </c>
      <c r="DL71" s="1664">
        <f>AV71</f>
        <v>0.19791666666666674</v>
      </c>
      <c r="DM71" s="1664">
        <f>BA71</f>
        <v>0.17391304347826053</v>
      </c>
      <c r="DN71" s="1664">
        <f>BF71</f>
        <v>-0.7407407407407407</v>
      </c>
      <c r="DO71" s="1664">
        <f>BK71</f>
        <v>0.37142857142857144</v>
      </c>
      <c r="DP71" s="1664">
        <f>BP71</f>
        <v>2.2291666666666665</v>
      </c>
      <c r="DQ71" s="1664">
        <f>BU71</f>
        <v>0.18709677419354853</v>
      </c>
      <c r="DR71" s="1664">
        <f>BZ71</f>
        <v>0.39130434782608714</v>
      </c>
      <c r="DS71" s="1664">
        <f>CE71</f>
        <v>0.20312499999999978</v>
      </c>
      <c r="DT71" s="1664">
        <f>CJ71</f>
        <v>0.23376623376623362</v>
      </c>
      <c r="DU71" s="1664">
        <f>CO71</f>
        <v>0.21052631578947389</v>
      </c>
      <c r="DV71" s="1664">
        <f>CT71</f>
        <v>0.12173913043478257</v>
      </c>
      <c r="DW71" s="1664">
        <f t="shared" si="197"/>
        <v>0.10000000000000009</v>
      </c>
      <c r="DX71" s="1664">
        <f t="shared" si="197"/>
        <v>0.05</v>
      </c>
      <c r="DY71" s="1664">
        <f t="shared" si="197"/>
        <v>0</v>
      </c>
      <c r="EA71"/>
      <c r="EB71"/>
      <c r="EC71"/>
      <c r="ED71"/>
      <c r="EE71"/>
      <c r="EF71"/>
      <c r="EJ71"/>
      <c r="EK71"/>
      <c r="EL71"/>
      <c r="ER71" s="212"/>
    </row>
    <row r="72" spans="1:148" s="923" customFormat="1" ht="12.75" hidden="1" customHeight="1" outlineLevel="1" x14ac:dyDescent="0.2">
      <c r="A72" s="2052" t="s">
        <v>1300</v>
      </c>
      <c r="B72" s="215"/>
      <c r="C72" s="215"/>
      <c r="D72" s="215"/>
      <c r="E72" s="215"/>
      <c r="F72" s="215"/>
      <c r="G72" s="215"/>
      <c r="H72" s="215"/>
      <c r="I72" s="215"/>
      <c r="J72" s="215"/>
      <c r="K72" s="215"/>
      <c r="L72" s="215"/>
      <c r="M72" s="871"/>
      <c r="N72" s="215"/>
      <c r="O72" s="215"/>
      <c r="P72" s="215"/>
      <c r="Q72" s="215"/>
      <c r="R72" s="871"/>
      <c r="S72" s="215"/>
      <c r="T72" s="215"/>
      <c r="U72" s="215"/>
      <c r="V72" s="215"/>
      <c r="W72" s="871"/>
      <c r="X72" s="215"/>
      <c r="Y72" s="215"/>
      <c r="Z72" s="215"/>
      <c r="AA72" s="215"/>
      <c r="AB72" s="871"/>
      <c r="AC72" s="215"/>
      <c r="AD72" s="215"/>
      <c r="AE72" s="215"/>
      <c r="AF72" s="215"/>
      <c r="AG72" s="871"/>
      <c r="AH72" s="215"/>
      <c r="AI72" s="215"/>
      <c r="AJ72" s="215"/>
      <c r="AK72" s="215"/>
      <c r="AL72" s="871"/>
      <c r="AM72" s="215">
        <f>61+173+56</f>
        <v>290</v>
      </c>
      <c r="AN72" s="215"/>
      <c r="AO72" s="215"/>
      <c r="AP72" s="215"/>
      <c r="AQ72" s="871"/>
      <c r="AR72" s="215"/>
      <c r="AS72" s="215"/>
      <c r="AT72" s="215"/>
      <c r="AU72" s="215"/>
      <c r="AV72" s="871"/>
      <c r="AW72" s="215"/>
      <c r="AX72" s="215"/>
      <c r="AY72" s="215"/>
      <c r="AZ72" s="215"/>
      <c r="BA72" s="871"/>
      <c r="BB72" s="215"/>
      <c r="BC72" s="215"/>
      <c r="BD72" s="215"/>
      <c r="BE72" s="215"/>
      <c r="BF72" s="871"/>
      <c r="BG72" s="215"/>
      <c r="BH72" s="215"/>
      <c r="BI72" s="215"/>
      <c r="BJ72" s="215"/>
      <c r="BK72" s="871"/>
      <c r="BL72" s="215"/>
      <c r="BM72" s="215"/>
      <c r="BN72" s="215"/>
      <c r="BO72" s="215"/>
      <c r="BP72" s="871"/>
      <c r="BQ72" s="215"/>
      <c r="BR72" s="215"/>
      <c r="BS72" s="215"/>
      <c r="BT72" s="215"/>
      <c r="BU72" s="871"/>
      <c r="BV72" s="215"/>
      <c r="BW72" s="215"/>
      <c r="BX72" s="215"/>
      <c r="BY72" s="215"/>
      <c r="BZ72" s="871"/>
      <c r="CA72" s="871"/>
      <c r="CB72" s="871"/>
      <c r="CC72" s="871"/>
      <c r="CD72" s="871"/>
      <c r="CE72" s="871"/>
      <c r="CF72" s="871"/>
      <c r="CG72" s="871"/>
      <c r="CH72" s="871"/>
      <c r="CI72" s="871"/>
      <c r="CJ72" s="871"/>
      <c r="CK72" s="871"/>
      <c r="CL72" s="871"/>
      <c r="CM72" s="871"/>
      <c r="CN72" s="871"/>
      <c r="CO72" s="871"/>
      <c r="CP72" s="871"/>
      <c r="CQ72" s="871"/>
      <c r="CR72" s="871"/>
      <c r="CS72" s="871"/>
      <c r="CT72" s="871"/>
      <c r="CU72" s="871"/>
      <c r="CV72" s="871"/>
      <c r="CW72" s="871"/>
      <c r="CX72" s="871"/>
      <c r="CY72" s="1583"/>
      <c r="CZ72" s="1583"/>
      <c r="DA72" s="1583"/>
      <c r="DB72"/>
      <c r="DC72"/>
      <c r="DD72" s="2302" t="s">
        <v>1300</v>
      </c>
      <c r="DE72" s="2303"/>
      <c r="DF72" s="2303"/>
      <c r="DG72" s="2303"/>
      <c r="DH72" s="2303"/>
      <c r="DI72" s="2303"/>
      <c r="DJ72" s="2303"/>
      <c r="DK72" s="2303"/>
      <c r="DL72" s="2303"/>
      <c r="DM72" s="2303"/>
      <c r="DN72" s="2303"/>
      <c r="DO72" s="2303"/>
      <c r="DP72" s="2303"/>
      <c r="DQ72" s="2303"/>
      <c r="DR72" s="2303"/>
      <c r="DS72" s="2303"/>
      <c r="DT72" s="2303"/>
      <c r="DU72" s="2303"/>
      <c r="DV72" s="2303"/>
      <c r="DW72" s="2303"/>
      <c r="DX72" s="2303"/>
      <c r="DY72" s="2303"/>
      <c r="EA72"/>
      <c r="EB72"/>
      <c r="EC72"/>
      <c r="ED72"/>
      <c r="EE72"/>
      <c r="EF72"/>
      <c r="EJ72"/>
      <c r="EK72"/>
      <c r="EL72"/>
      <c r="ER72" s="212"/>
    </row>
    <row r="73" spans="1:148" s="923" customFormat="1" ht="12.75" hidden="1" customHeight="1" outlineLevel="1" x14ac:dyDescent="0.2">
      <c r="A73" s="873" t="s">
        <v>220</v>
      </c>
      <c r="B73" s="963"/>
      <c r="C73" s="963"/>
      <c r="D73" s="963"/>
      <c r="E73" s="963"/>
      <c r="F73" s="963"/>
      <c r="G73" s="963"/>
      <c r="H73" s="963"/>
      <c r="I73" s="963" t="str">
        <f t="shared" ref="I73:AN73" si="200">I5</f>
        <v>1Q00</v>
      </c>
      <c r="J73" s="963" t="str">
        <f t="shared" si="200"/>
        <v>2Q00</v>
      </c>
      <c r="K73" s="963" t="str">
        <f t="shared" si="200"/>
        <v>3Q00</v>
      </c>
      <c r="L73" s="963" t="str">
        <f t="shared" si="200"/>
        <v>4Q00</v>
      </c>
      <c r="M73" s="649">
        <f t="shared" si="200"/>
        <v>2000</v>
      </c>
      <c r="N73" s="963" t="str">
        <f t="shared" si="200"/>
        <v>1Q01</v>
      </c>
      <c r="O73" s="963" t="str">
        <f t="shared" si="200"/>
        <v>2Q01</v>
      </c>
      <c r="P73" s="963" t="str">
        <f t="shared" si="200"/>
        <v>3Q01</v>
      </c>
      <c r="Q73" s="963" t="str">
        <f t="shared" si="200"/>
        <v>4Q01</v>
      </c>
      <c r="R73" s="649">
        <f t="shared" si="200"/>
        <v>2001</v>
      </c>
      <c r="S73" s="963" t="str">
        <f t="shared" si="200"/>
        <v>1Q02</v>
      </c>
      <c r="T73" s="963" t="str">
        <f t="shared" si="200"/>
        <v>2Q02</v>
      </c>
      <c r="U73" s="963" t="str">
        <f t="shared" si="200"/>
        <v>3Q02</v>
      </c>
      <c r="V73" s="963" t="str">
        <f t="shared" si="200"/>
        <v>4Q02</v>
      </c>
      <c r="W73" s="649">
        <f t="shared" si="200"/>
        <v>2002</v>
      </c>
      <c r="X73" s="963" t="str">
        <f t="shared" si="200"/>
        <v>1Q03</v>
      </c>
      <c r="Y73" s="963" t="str">
        <f t="shared" si="200"/>
        <v>2Q03</v>
      </c>
      <c r="Z73" s="963" t="str">
        <f t="shared" si="200"/>
        <v>3Q03</v>
      </c>
      <c r="AA73" s="963" t="str">
        <f t="shared" si="200"/>
        <v>4Q03</v>
      </c>
      <c r="AB73" s="649">
        <f t="shared" si="200"/>
        <v>2003</v>
      </c>
      <c r="AC73" s="963" t="str">
        <f t="shared" si="200"/>
        <v>1Q04</v>
      </c>
      <c r="AD73" s="963" t="str">
        <f t="shared" si="200"/>
        <v>2Q04</v>
      </c>
      <c r="AE73" s="963" t="str">
        <f t="shared" si="200"/>
        <v>3Q04</v>
      </c>
      <c r="AF73" s="963" t="str">
        <f t="shared" si="200"/>
        <v>4Q04</v>
      </c>
      <c r="AG73" s="649" t="str">
        <f t="shared" si="200"/>
        <v>2004</v>
      </c>
      <c r="AH73" s="963" t="str">
        <f t="shared" si="200"/>
        <v>1Q05</v>
      </c>
      <c r="AI73" s="963" t="str">
        <f t="shared" si="200"/>
        <v>2Q05</v>
      </c>
      <c r="AJ73" s="963" t="str">
        <f t="shared" si="200"/>
        <v>3Q05</v>
      </c>
      <c r="AK73" s="963" t="str">
        <f t="shared" si="200"/>
        <v>4Q05</v>
      </c>
      <c r="AL73" s="649" t="str">
        <f t="shared" si="200"/>
        <v>2005</v>
      </c>
      <c r="AM73" s="963" t="str">
        <f t="shared" si="200"/>
        <v>1Q06</v>
      </c>
      <c r="AN73" s="963" t="str">
        <f t="shared" si="200"/>
        <v>2Q06</v>
      </c>
      <c r="AO73" s="963" t="str">
        <f t="shared" ref="AO73:BT73" si="201">AO5</f>
        <v>3Q06</v>
      </c>
      <c r="AP73" s="963" t="str">
        <f t="shared" si="201"/>
        <v>4Q06</v>
      </c>
      <c r="AQ73" s="649" t="str">
        <f t="shared" si="201"/>
        <v>2006</v>
      </c>
      <c r="AR73" s="963" t="str">
        <f t="shared" si="201"/>
        <v>1Q07</v>
      </c>
      <c r="AS73" s="963" t="str">
        <f t="shared" si="201"/>
        <v>2Q07</v>
      </c>
      <c r="AT73" s="963" t="str">
        <f t="shared" si="201"/>
        <v>3Q07</v>
      </c>
      <c r="AU73" s="963" t="str">
        <f t="shared" si="201"/>
        <v>4Q07</v>
      </c>
      <c r="AV73" s="649" t="str">
        <f t="shared" si="201"/>
        <v>2007</v>
      </c>
      <c r="AW73" s="963" t="str">
        <f t="shared" si="201"/>
        <v>1Q08</v>
      </c>
      <c r="AX73" s="963" t="str">
        <f t="shared" si="201"/>
        <v>2Q08</v>
      </c>
      <c r="AY73" s="963" t="str">
        <f t="shared" si="201"/>
        <v>3Q08</v>
      </c>
      <c r="AZ73" s="963" t="str">
        <f t="shared" si="201"/>
        <v>4Q08</v>
      </c>
      <c r="BA73" s="649" t="str">
        <f t="shared" si="201"/>
        <v>2008</v>
      </c>
      <c r="BB73" s="963" t="str">
        <f t="shared" si="201"/>
        <v>1Q09</v>
      </c>
      <c r="BC73" s="963" t="str">
        <f t="shared" si="201"/>
        <v>2Q09</v>
      </c>
      <c r="BD73" s="963" t="str">
        <f t="shared" si="201"/>
        <v>3Q09</v>
      </c>
      <c r="BE73" s="963" t="str">
        <f t="shared" si="201"/>
        <v>4Q09</v>
      </c>
      <c r="BF73" s="649" t="str">
        <f t="shared" si="201"/>
        <v>2009</v>
      </c>
      <c r="BG73" s="963" t="str">
        <f t="shared" si="201"/>
        <v>1Q10</v>
      </c>
      <c r="BH73" s="963" t="str">
        <f t="shared" si="201"/>
        <v>2Q10</v>
      </c>
      <c r="BI73" s="963" t="str">
        <f t="shared" si="201"/>
        <v>3Q10</v>
      </c>
      <c r="BJ73" s="963" t="str">
        <f t="shared" si="201"/>
        <v>4Q10</v>
      </c>
      <c r="BK73" s="649" t="str">
        <f t="shared" si="201"/>
        <v>2010</v>
      </c>
      <c r="BL73" s="963" t="str">
        <f t="shared" si="201"/>
        <v>1Q11</v>
      </c>
      <c r="BM73" s="963" t="str">
        <f t="shared" si="201"/>
        <v>2Q11</v>
      </c>
      <c r="BN73" s="963" t="str">
        <f t="shared" si="201"/>
        <v>3Q11</v>
      </c>
      <c r="BO73" s="963" t="str">
        <f t="shared" si="201"/>
        <v>4Q11</v>
      </c>
      <c r="BP73" s="649">
        <f t="shared" si="201"/>
        <v>2011</v>
      </c>
      <c r="BQ73" s="963" t="str">
        <f t="shared" si="201"/>
        <v>1Q12</v>
      </c>
      <c r="BR73" s="963" t="str">
        <f t="shared" si="201"/>
        <v>2Q12</v>
      </c>
      <c r="BS73" s="963" t="str">
        <f t="shared" si="201"/>
        <v>3Q12</v>
      </c>
      <c r="BT73" s="963" t="str">
        <f t="shared" si="201"/>
        <v>4Q12</v>
      </c>
      <c r="BU73" s="649">
        <f t="shared" ref="BU73:DA73" si="202">BU5</f>
        <v>2012</v>
      </c>
      <c r="BV73" s="963" t="str">
        <f t="shared" si="202"/>
        <v>1Q13</v>
      </c>
      <c r="BW73" s="963" t="str">
        <f t="shared" si="202"/>
        <v>2Q13</v>
      </c>
      <c r="BX73" s="963" t="str">
        <f t="shared" si="202"/>
        <v>3Q13</v>
      </c>
      <c r="BY73" s="963" t="str">
        <f t="shared" si="202"/>
        <v>4Q13</v>
      </c>
      <c r="BZ73" s="649">
        <f t="shared" si="202"/>
        <v>2013</v>
      </c>
      <c r="CA73" s="1768" t="str">
        <f t="shared" si="202"/>
        <v>1Q14</v>
      </c>
      <c r="CB73" s="963" t="str">
        <f t="shared" si="202"/>
        <v>2Q14</v>
      </c>
      <c r="CC73" s="963" t="str">
        <f t="shared" si="202"/>
        <v>3Q14</v>
      </c>
      <c r="CD73" s="964" t="str">
        <f t="shared" si="202"/>
        <v>4Q14</v>
      </c>
      <c r="CE73" s="649">
        <f t="shared" si="202"/>
        <v>2014</v>
      </c>
      <c r="CF73" s="1768" t="str">
        <f t="shared" si="202"/>
        <v>1Q15</v>
      </c>
      <c r="CG73" s="963" t="str">
        <f t="shared" si="202"/>
        <v>2Q15</v>
      </c>
      <c r="CH73" s="963" t="str">
        <f t="shared" si="202"/>
        <v>3Q15</v>
      </c>
      <c r="CI73" s="964" t="str">
        <f t="shared" si="202"/>
        <v>4Q15</v>
      </c>
      <c r="CJ73" s="649">
        <f t="shared" si="202"/>
        <v>2015</v>
      </c>
      <c r="CK73" s="1768" t="str">
        <f t="shared" si="202"/>
        <v>1Q16</v>
      </c>
      <c r="CL73" s="963" t="str">
        <f t="shared" si="202"/>
        <v>2Q16</v>
      </c>
      <c r="CM73" s="963" t="str">
        <f t="shared" si="202"/>
        <v>3Q16</v>
      </c>
      <c r="CN73" s="964" t="str">
        <f t="shared" si="202"/>
        <v>4Q16</v>
      </c>
      <c r="CO73" s="649">
        <f t="shared" si="202"/>
        <v>2016</v>
      </c>
      <c r="CP73" s="963" t="str">
        <f t="shared" si="202"/>
        <v>1Q17</v>
      </c>
      <c r="CQ73" s="963" t="str">
        <f t="shared" si="202"/>
        <v>2Q17</v>
      </c>
      <c r="CR73" s="963" t="str">
        <f t="shared" si="202"/>
        <v>3Q17</v>
      </c>
      <c r="CS73" s="963" t="str">
        <f t="shared" si="202"/>
        <v>4Q17A</v>
      </c>
      <c r="CT73" s="649" t="str">
        <f t="shared" si="202"/>
        <v>2017A</v>
      </c>
      <c r="CU73" s="963" t="str">
        <f>CU5</f>
        <v>1Q18E</v>
      </c>
      <c r="CV73" s="963" t="str">
        <f>CV5</f>
        <v>2Q18E</v>
      </c>
      <c r="CW73" s="963" t="str">
        <f>CW5</f>
        <v>3Q18E</v>
      </c>
      <c r="CX73" s="963" t="str">
        <f>CX5</f>
        <v>4Q18E</v>
      </c>
      <c r="CY73" s="649" t="str">
        <f t="shared" si="202"/>
        <v>2018E</v>
      </c>
      <c r="CZ73" s="964" t="str">
        <f t="shared" si="202"/>
        <v>2019E</v>
      </c>
      <c r="DA73" s="649" t="str">
        <f t="shared" si="202"/>
        <v>2020E</v>
      </c>
      <c r="DB73"/>
      <c r="DC73"/>
      <c r="DD73" s="873" t="s">
        <v>220</v>
      </c>
      <c r="DE73" s="649">
        <f t="shared" ref="DE73:DE85" si="203">M73</f>
        <v>2000</v>
      </c>
      <c r="DF73" s="649">
        <f t="shared" ref="DF73:DF85" si="204">R73</f>
        <v>2001</v>
      </c>
      <c r="DG73" s="649">
        <f t="shared" ref="DG73:DG85" si="205">W73</f>
        <v>2002</v>
      </c>
      <c r="DH73" s="649">
        <f t="shared" ref="DH73:DH85" si="206">AB73</f>
        <v>2003</v>
      </c>
      <c r="DI73" s="649" t="str">
        <f t="shared" ref="DI73:DI85" si="207">AG73</f>
        <v>2004</v>
      </c>
      <c r="DJ73" s="649" t="str">
        <f t="shared" ref="DJ73:DJ85" si="208">AL73</f>
        <v>2005</v>
      </c>
      <c r="DK73" s="649" t="str">
        <f t="shared" ref="DK73:DK85" si="209">AQ73</f>
        <v>2006</v>
      </c>
      <c r="DL73" s="649" t="str">
        <f t="shared" ref="DL73:DL85" si="210">AV73</f>
        <v>2007</v>
      </c>
      <c r="DM73" s="649" t="str">
        <f t="shared" ref="DM73:DM85" si="211">BA73</f>
        <v>2008</v>
      </c>
      <c r="DN73" s="649" t="str">
        <f t="shared" ref="DN73:DN85" si="212">BF73</f>
        <v>2009</v>
      </c>
      <c r="DO73" s="649" t="str">
        <f t="shared" ref="DO73:DO85" si="213">BK73</f>
        <v>2010</v>
      </c>
      <c r="DP73" s="649">
        <f t="shared" ref="DP73:DP85" si="214">BP73</f>
        <v>2011</v>
      </c>
      <c r="DQ73" s="649">
        <f t="shared" ref="DQ73:DQ85" si="215">BU73</f>
        <v>2012</v>
      </c>
      <c r="DR73" s="649">
        <f t="shared" ref="DR73:DR85" si="216">BZ73</f>
        <v>2013</v>
      </c>
      <c r="DS73" s="649">
        <f t="shared" ref="DS73:DS85" si="217">CE73</f>
        <v>2014</v>
      </c>
      <c r="DT73" s="649">
        <f t="shared" ref="DT73:DT85" si="218">CJ73</f>
        <v>2015</v>
      </c>
      <c r="DU73" s="649">
        <f t="shared" ref="DU73:DU85" si="219">CO73</f>
        <v>2016</v>
      </c>
      <c r="DV73" s="649" t="str">
        <f t="shared" ref="DV73:DV85" si="220">CT73</f>
        <v>2017A</v>
      </c>
      <c r="DW73" s="649" t="str">
        <f t="shared" ref="DW73:DW85" si="221">CY73</f>
        <v>2018E</v>
      </c>
      <c r="DX73" s="649" t="str">
        <f t="shared" ref="DX73:DX85" si="222">CZ73</f>
        <v>2019E</v>
      </c>
      <c r="DY73" s="649" t="str">
        <f t="shared" ref="DY73:DY85" si="223">DA73</f>
        <v>2020E</v>
      </c>
      <c r="EA73"/>
      <c r="EB73"/>
      <c r="EC73"/>
      <c r="ED73"/>
      <c r="EE73"/>
      <c r="EF73"/>
      <c r="EJ73"/>
      <c r="EK73"/>
      <c r="EL73"/>
      <c r="ER73" s="212"/>
    </row>
    <row r="74" spans="1:148" s="923" customFormat="1" ht="12.75" hidden="1" customHeight="1" outlineLevel="1" x14ac:dyDescent="0.2">
      <c r="A74" s="2285" t="s">
        <v>2005</v>
      </c>
      <c r="B74" s="1378"/>
      <c r="C74" s="1378"/>
      <c r="D74" s="1378"/>
      <c r="E74" s="1378"/>
      <c r="F74" s="1378"/>
      <c r="G74" s="1378"/>
      <c r="H74" s="1378"/>
      <c r="I74" s="1378"/>
      <c r="J74" s="1378"/>
      <c r="K74" s="1378"/>
      <c r="L74" s="1378"/>
      <c r="M74" s="1379"/>
      <c r="N74" s="1378"/>
      <c r="O74" s="1378"/>
      <c r="P74" s="1378"/>
      <c r="Q74" s="1378"/>
      <c r="R74" s="1379"/>
      <c r="S74" s="1378"/>
      <c r="T74" s="1378"/>
      <c r="U74" s="1378"/>
      <c r="V74" s="1378"/>
      <c r="W74" s="1379"/>
      <c r="X74" s="1378"/>
      <c r="Y74" s="1378"/>
      <c r="Z74" s="1378"/>
      <c r="AA74" s="1378"/>
      <c r="AB74" s="1379"/>
      <c r="AC74" s="1378">
        <f t="shared" ref="AC74:BH74" si="224">AC14-AC31</f>
        <v>151</v>
      </c>
      <c r="AD74" s="1378">
        <f t="shared" si="224"/>
        <v>148</v>
      </c>
      <c r="AE74" s="1378">
        <f t="shared" si="224"/>
        <v>130</v>
      </c>
      <c r="AF74" s="1378">
        <f t="shared" si="224"/>
        <v>146</v>
      </c>
      <c r="AG74" s="1379">
        <f t="shared" si="224"/>
        <v>575</v>
      </c>
      <c r="AH74" s="1378">
        <f t="shared" si="224"/>
        <v>203</v>
      </c>
      <c r="AI74" s="1378">
        <f t="shared" si="224"/>
        <v>200</v>
      </c>
      <c r="AJ74" s="1378">
        <f t="shared" si="224"/>
        <v>169</v>
      </c>
      <c r="AK74" s="1378">
        <f t="shared" si="224"/>
        <v>250</v>
      </c>
      <c r="AL74" s="1379">
        <f t="shared" si="224"/>
        <v>822</v>
      </c>
      <c r="AM74" s="1378">
        <f t="shared" si="224"/>
        <v>230</v>
      </c>
      <c r="AN74" s="1378">
        <f t="shared" si="224"/>
        <v>292</v>
      </c>
      <c r="AO74" s="1378">
        <f t="shared" si="224"/>
        <v>227</v>
      </c>
      <c r="AP74" s="1378">
        <f t="shared" si="224"/>
        <v>338</v>
      </c>
      <c r="AQ74" s="1379">
        <f t="shared" si="224"/>
        <v>1087</v>
      </c>
      <c r="AR74" s="1378">
        <f t="shared" si="224"/>
        <v>237</v>
      </c>
      <c r="AS74" s="1378">
        <f t="shared" si="224"/>
        <v>370</v>
      </c>
      <c r="AT74" s="1378">
        <f t="shared" si="224"/>
        <v>210</v>
      </c>
      <c r="AU74" s="1378">
        <f t="shared" si="224"/>
        <v>406</v>
      </c>
      <c r="AV74" s="1379">
        <f t="shared" si="224"/>
        <v>1223</v>
      </c>
      <c r="AW74" s="1378">
        <f t="shared" si="224"/>
        <v>195</v>
      </c>
      <c r="AX74" s="1378">
        <f t="shared" si="224"/>
        <v>313</v>
      </c>
      <c r="AY74" s="1378">
        <f t="shared" si="224"/>
        <v>203</v>
      </c>
      <c r="AZ74" s="1378">
        <f t="shared" si="224"/>
        <v>74</v>
      </c>
      <c r="BA74" s="1379">
        <f t="shared" si="224"/>
        <v>785</v>
      </c>
      <c r="BB74" s="1378">
        <f t="shared" si="224"/>
        <v>82</v>
      </c>
      <c r="BC74" s="1378">
        <f t="shared" si="224"/>
        <v>100</v>
      </c>
      <c r="BD74" s="1378">
        <f t="shared" si="224"/>
        <v>-644</v>
      </c>
      <c r="BE74" s="1378">
        <f t="shared" si="224"/>
        <v>228</v>
      </c>
      <c r="BF74" s="1379">
        <f t="shared" si="224"/>
        <v>-234</v>
      </c>
      <c r="BG74" s="1378">
        <f t="shared" si="224"/>
        <v>149</v>
      </c>
      <c r="BH74" s="1378">
        <f t="shared" si="224"/>
        <v>191</v>
      </c>
      <c r="BI74" s="1378">
        <f t="shared" ref="BI74:CN74" si="225">BI14-BI31</f>
        <v>130</v>
      </c>
      <c r="BJ74" s="1378">
        <f t="shared" si="225"/>
        <v>217</v>
      </c>
      <c r="BK74" s="1379">
        <f t="shared" si="225"/>
        <v>687</v>
      </c>
      <c r="BL74" s="1378">
        <f t="shared" si="225"/>
        <v>158</v>
      </c>
      <c r="BM74" s="1378">
        <f t="shared" si="225"/>
        <v>209</v>
      </c>
      <c r="BN74" s="1378">
        <f t="shared" si="225"/>
        <v>180</v>
      </c>
      <c r="BO74" s="1378">
        <f t="shared" si="225"/>
        <v>257</v>
      </c>
      <c r="BP74" s="1379">
        <f t="shared" si="225"/>
        <v>804</v>
      </c>
      <c r="BQ74" s="1378">
        <f t="shared" si="225"/>
        <v>175</v>
      </c>
      <c r="BR74" s="1378">
        <f t="shared" si="225"/>
        <v>243</v>
      </c>
      <c r="BS74" s="1378">
        <f t="shared" si="225"/>
        <v>213</v>
      </c>
      <c r="BT74" s="1378">
        <f t="shared" si="225"/>
        <v>309</v>
      </c>
      <c r="BU74" s="1379">
        <f t="shared" si="225"/>
        <v>940</v>
      </c>
      <c r="BV74" s="1378">
        <f t="shared" si="225"/>
        <v>226</v>
      </c>
      <c r="BW74" s="1378">
        <f t="shared" si="225"/>
        <v>279</v>
      </c>
      <c r="BX74" s="1378">
        <f t="shared" si="225"/>
        <v>245</v>
      </c>
      <c r="BY74" s="1378">
        <f t="shared" si="225"/>
        <v>238</v>
      </c>
      <c r="BZ74" s="1379">
        <f t="shared" si="225"/>
        <v>988</v>
      </c>
      <c r="CA74" s="1378">
        <f t="shared" si="225"/>
        <v>254</v>
      </c>
      <c r="CB74" s="1378">
        <f t="shared" si="225"/>
        <v>316</v>
      </c>
      <c r="CC74" s="1378">
        <f t="shared" si="225"/>
        <v>298</v>
      </c>
      <c r="CD74" s="1779">
        <f t="shared" si="225"/>
        <v>291</v>
      </c>
      <c r="CE74" s="1379">
        <f t="shared" si="225"/>
        <v>1159</v>
      </c>
      <c r="CF74" s="1378">
        <f t="shared" si="225"/>
        <v>332</v>
      </c>
      <c r="CG74" s="1378">
        <f t="shared" si="225"/>
        <v>369</v>
      </c>
      <c r="CH74" s="1378">
        <f t="shared" si="225"/>
        <v>339</v>
      </c>
      <c r="CI74" s="1779">
        <f t="shared" si="225"/>
        <v>310</v>
      </c>
      <c r="CJ74" s="1379">
        <f t="shared" si="225"/>
        <v>1350</v>
      </c>
      <c r="CK74" s="1378">
        <f t="shared" si="225"/>
        <v>367</v>
      </c>
      <c r="CL74" s="1378">
        <f t="shared" si="225"/>
        <v>389</v>
      </c>
      <c r="CM74" s="1378">
        <f t="shared" si="225"/>
        <v>378</v>
      </c>
      <c r="CN74" s="1779">
        <f t="shared" si="225"/>
        <v>577</v>
      </c>
      <c r="CO74" s="1379">
        <f t="shared" ref="CO74:DA74" si="226">CO14-CO31</f>
        <v>1711</v>
      </c>
      <c r="CP74" s="1378">
        <f t="shared" si="226"/>
        <v>588</v>
      </c>
      <c r="CQ74" s="1378">
        <f t="shared" si="226"/>
        <v>641</v>
      </c>
      <c r="CR74" s="1378">
        <f t="shared" si="226"/>
        <v>632</v>
      </c>
      <c r="CS74" s="1378">
        <f t="shared" si="226"/>
        <v>629</v>
      </c>
      <c r="CT74" s="1379">
        <f t="shared" si="226"/>
        <v>2490</v>
      </c>
      <c r="CU74" s="1378">
        <f ca="1">CU14-CU31</f>
        <v>609.29829198108746</v>
      </c>
      <c r="CV74" s="1378">
        <f ca="1">CV14-CV31</f>
        <v>697.9186187146579</v>
      </c>
      <c r="CW74" s="1378">
        <f ca="1">CW14-CW31</f>
        <v>687.58253103306106</v>
      </c>
      <c r="CX74" s="1378">
        <f ca="1">CX14-CX31</f>
        <v>712.55229498090466</v>
      </c>
      <c r="CY74" s="1379">
        <f ca="1">CY14-CY31</f>
        <v>2707.3517367097083</v>
      </c>
      <c r="CZ74" s="1779">
        <f t="shared" ca="1" si="226"/>
        <v>3091.1041095228247</v>
      </c>
      <c r="DA74" s="1379">
        <f t="shared" ca="1" si="226"/>
        <v>3051.8671433027739</v>
      </c>
      <c r="DB74"/>
      <c r="DC74"/>
      <c r="DD74" s="2285" t="s">
        <v>1045</v>
      </c>
      <c r="DE74" s="2286">
        <f t="shared" si="203"/>
        <v>0</v>
      </c>
      <c r="DF74" s="2286">
        <f t="shared" si="204"/>
        <v>0</v>
      </c>
      <c r="DG74" s="2286">
        <f t="shared" si="205"/>
        <v>0</v>
      </c>
      <c r="DH74" s="2286">
        <f t="shared" si="206"/>
        <v>0</v>
      </c>
      <c r="DI74" s="2286">
        <f t="shared" si="207"/>
        <v>575</v>
      </c>
      <c r="DJ74" s="2286">
        <f t="shared" si="208"/>
        <v>822</v>
      </c>
      <c r="DK74" s="2286">
        <f t="shared" si="209"/>
        <v>1087</v>
      </c>
      <c r="DL74" s="2286">
        <f t="shared" si="210"/>
        <v>1223</v>
      </c>
      <c r="DM74" s="2286">
        <f t="shared" si="211"/>
        <v>785</v>
      </c>
      <c r="DN74" s="2286">
        <f t="shared" si="212"/>
        <v>-234</v>
      </c>
      <c r="DO74" s="2286">
        <f t="shared" si="213"/>
        <v>687</v>
      </c>
      <c r="DP74" s="2286">
        <f t="shared" si="214"/>
        <v>804</v>
      </c>
      <c r="DQ74" s="2286">
        <f t="shared" si="215"/>
        <v>940</v>
      </c>
      <c r="DR74" s="2286">
        <f t="shared" si="216"/>
        <v>988</v>
      </c>
      <c r="DS74" s="2286">
        <f t="shared" si="217"/>
        <v>1159</v>
      </c>
      <c r="DT74" s="2286">
        <f t="shared" si="218"/>
        <v>1350</v>
      </c>
      <c r="DU74" s="2286">
        <f t="shared" si="219"/>
        <v>1711</v>
      </c>
      <c r="DV74" s="2286">
        <f t="shared" si="220"/>
        <v>2490</v>
      </c>
      <c r="DW74" s="2286">
        <f t="shared" ca="1" si="221"/>
        <v>2707.3517367097083</v>
      </c>
      <c r="DX74" s="2286">
        <f t="shared" ca="1" si="222"/>
        <v>3091.1041095228247</v>
      </c>
      <c r="DY74" s="2286">
        <f t="shared" ca="1" si="223"/>
        <v>3051.8671433027739</v>
      </c>
      <c r="EA74"/>
      <c r="EB74"/>
      <c r="EC74"/>
      <c r="ED74"/>
      <c r="EE74"/>
      <c r="EF74"/>
      <c r="EG74" s="855"/>
      <c r="EH74" s="855"/>
      <c r="EI74" s="855"/>
      <c r="EJ74"/>
      <c r="EK74"/>
      <c r="EL74"/>
      <c r="EM74" s="1703"/>
      <c r="EN74" s="855"/>
      <c r="EO74" s="855"/>
      <c r="EP74" s="855"/>
      <c r="EQ74" s="855"/>
      <c r="ER74" s="234"/>
    </row>
    <row r="75" spans="1:148" s="923" customFormat="1" hidden="1" outlineLevel="1" x14ac:dyDescent="0.2">
      <c r="A75" s="1434" t="s">
        <v>2006</v>
      </c>
      <c r="B75" s="220"/>
      <c r="C75" s="220"/>
      <c r="D75" s="220"/>
      <c r="E75" s="220"/>
      <c r="F75" s="220"/>
      <c r="G75" s="220"/>
      <c r="H75" s="220"/>
      <c r="I75" s="220"/>
      <c r="J75" s="220"/>
      <c r="K75" s="220"/>
      <c r="L75" s="220"/>
      <c r="M75" s="965"/>
      <c r="N75" s="220"/>
      <c r="O75" s="220"/>
      <c r="P75" s="220"/>
      <c r="Q75" s="220"/>
      <c r="R75" s="965"/>
      <c r="S75" s="220"/>
      <c r="T75" s="220"/>
      <c r="U75" s="220"/>
      <c r="V75" s="220"/>
      <c r="W75" s="965"/>
      <c r="X75" s="220"/>
      <c r="Y75" s="220"/>
      <c r="Z75" s="220"/>
      <c r="AA75" s="220"/>
      <c r="AB75" s="965"/>
      <c r="AC75" s="220">
        <f t="shared" ref="AC75:CZ75" si="227">+AC91</f>
        <v>39</v>
      </c>
      <c r="AD75" s="220">
        <f t="shared" si="227"/>
        <v>37</v>
      </c>
      <c r="AE75" s="220">
        <f t="shared" si="227"/>
        <v>39</v>
      </c>
      <c r="AF75" s="220">
        <f t="shared" si="227"/>
        <v>51</v>
      </c>
      <c r="AG75" s="965">
        <f t="shared" si="227"/>
        <v>166</v>
      </c>
      <c r="AH75" s="220">
        <f t="shared" si="227"/>
        <v>37</v>
      </c>
      <c r="AI75" s="220">
        <f t="shared" si="227"/>
        <v>36</v>
      </c>
      <c r="AJ75" s="220">
        <f t="shared" si="227"/>
        <v>53</v>
      </c>
      <c r="AK75" s="220">
        <f t="shared" si="227"/>
        <v>58</v>
      </c>
      <c r="AL75" s="965">
        <f t="shared" si="227"/>
        <v>184</v>
      </c>
      <c r="AM75" s="220">
        <f t="shared" si="227"/>
        <v>40</v>
      </c>
      <c r="AN75" s="220">
        <f t="shared" si="227"/>
        <v>42</v>
      </c>
      <c r="AO75" s="220">
        <f t="shared" si="227"/>
        <v>42</v>
      </c>
      <c r="AP75" s="220">
        <f t="shared" si="227"/>
        <v>64</v>
      </c>
      <c r="AQ75" s="965">
        <f t="shared" si="227"/>
        <v>188</v>
      </c>
      <c r="AR75" s="220">
        <f t="shared" si="227"/>
        <v>46</v>
      </c>
      <c r="AS75" s="220">
        <f t="shared" si="227"/>
        <v>45</v>
      </c>
      <c r="AT75" s="220">
        <f t="shared" si="227"/>
        <v>43</v>
      </c>
      <c r="AU75" s="220">
        <f t="shared" si="227"/>
        <v>63</v>
      </c>
      <c r="AV75" s="965">
        <f t="shared" si="227"/>
        <v>197</v>
      </c>
      <c r="AW75" s="220">
        <f t="shared" si="227"/>
        <v>41</v>
      </c>
      <c r="AX75" s="220">
        <f t="shared" si="227"/>
        <v>47</v>
      </c>
      <c r="AY75" s="220">
        <f t="shared" si="227"/>
        <v>42</v>
      </c>
      <c r="AZ75" s="220">
        <f t="shared" si="227"/>
        <v>60</v>
      </c>
      <c r="BA75" s="965">
        <f t="shared" si="227"/>
        <v>190</v>
      </c>
      <c r="BB75" s="220">
        <f t="shared" si="227"/>
        <v>39</v>
      </c>
      <c r="BC75" s="220">
        <f t="shared" si="227"/>
        <v>42</v>
      </c>
      <c r="BD75" s="220">
        <f t="shared" si="227"/>
        <v>43</v>
      </c>
      <c r="BE75" s="220">
        <f t="shared" si="227"/>
        <v>61</v>
      </c>
      <c r="BF75" s="965">
        <f t="shared" si="227"/>
        <v>185</v>
      </c>
      <c r="BG75" s="220">
        <f t="shared" si="227"/>
        <v>31</v>
      </c>
      <c r="BH75" s="220">
        <f t="shared" si="227"/>
        <v>34</v>
      </c>
      <c r="BI75" s="220">
        <f t="shared" si="227"/>
        <v>32</v>
      </c>
      <c r="BJ75" s="220">
        <f t="shared" si="227"/>
        <v>46</v>
      </c>
      <c r="BK75" s="965">
        <f t="shared" si="227"/>
        <v>143</v>
      </c>
      <c r="BL75" s="220">
        <f t="shared" si="227"/>
        <v>28</v>
      </c>
      <c r="BM75" s="220">
        <f t="shared" si="227"/>
        <v>32</v>
      </c>
      <c r="BN75" s="220">
        <f t="shared" si="227"/>
        <v>33</v>
      </c>
      <c r="BO75" s="220">
        <f t="shared" si="227"/>
        <v>47</v>
      </c>
      <c r="BP75" s="965">
        <f t="shared" si="227"/>
        <v>140</v>
      </c>
      <c r="BQ75" s="220">
        <f t="shared" si="227"/>
        <v>29</v>
      </c>
      <c r="BR75" s="220">
        <f t="shared" si="227"/>
        <v>38</v>
      </c>
      <c r="BS75" s="220">
        <f t="shared" si="227"/>
        <v>33</v>
      </c>
      <c r="BT75" s="220">
        <f t="shared" si="227"/>
        <v>45</v>
      </c>
      <c r="BU75" s="965">
        <f t="shared" si="227"/>
        <v>145</v>
      </c>
      <c r="BV75" s="220">
        <f t="shared" si="227"/>
        <v>25</v>
      </c>
      <c r="BW75" s="220">
        <f t="shared" si="227"/>
        <v>33</v>
      </c>
      <c r="BX75" s="220">
        <f t="shared" si="227"/>
        <v>34</v>
      </c>
      <c r="BY75" s="220">
        <f t="shared" si="227"/>
        <v>35</v>
      </c>
      <c r="BZ75" s="965">
        <f t="shared" si="227"/>
        <v>127</v>
      </c>
      <c r="CA75" s="220">
        <f t="shared" si="227"/>
        <v>36</v>
      </c>
      <c r="CB75" s="220">
        <f t="shared" si="227"/>
        <v>32</v>
      </c>
      <c r="CC75" s="220">
        <f t="shared" si="227"/>
        <v>33</v>
      </c>
      <c r="CD75" s="1792">
        <f t="shared" si="227"/>
        <v>32</v>
      </c>
      <c r="CE75" s="965">
        <f t="shared" si="227"/>
        <v>133</v>
      </c>
      <c r="CF75" s="220">
        <f>+CF91</f>
        <v>32</v>
      </c>
      <c r="CG75" s="220">
        <f t="shared" si="227"/>
        <v>32</v>
      </c>
      <c r="CH75" s="220">
        <f>+CH91</f>
        <v>31</v>
      </c>
      <c r="CI75" s="1792">
        <f t="shared" ref="CI75:CQ75" si="228">+CI91</f>
        <v>32</v>
      </c>
      <c r="CJ75" s="965">
        <f t="shared" si="228"/>
        <v>127</v>
      </c>
      <c r="CK75" s="220">
        <f t="shared" si="228"/>
        <v>31</v>
      </c>
      <c r="CL75" s="220">
        <f t="shared" si="228"/>
        <v>30</v>
      </c>
      <c r="CM75" s="220">
        <f t="shared" si="228"/>
        <v>36</v>
      </c>
      <c r="CN75" s="1792">
        <f t="shared" si="228"/>
        <v>71</v>
      </c>
      <c r="CO75" s="965">
        <f t="shared" si="228"/>
        <v>168</v>
      </c>
      <c r="CP75" s="220">
        <f t="shared" si="228"/>
        <v>65</v>
      </c>
      <c r="CQ75" s="220">
        <f t="shared" si="228"/>
        <v>85</v>
      </c>
      <c r="CR75" s="220">
        <f t="shared" ref="CR75:CX75" si="229">+CR91</f>
        <v>68</v>
      </c>
      <c r="CS75" s="220">
        <f t="shared" si="229"/>
        <v>72</v>
      </c>
      <c r="CT75" s="965">
        <f t="shared" si="229"/>
        <v>290</v>
      </c>
      <c r="CU75" s="220">
        <f t="shared" si="229"/>
        <v>65</v>
      </c>
      <c r="CV75" s="220">
        <f t="shared" si="229"/>
        <v>80.75</v>
      </c>
      <c r="CW75" s="220">
        <f t="shared" si="229"/>
        <v>68</v>
      </c>
      <c r="CX75" s="220">
        <f t="shared" si="229"/>
        <v>72</v>
      </c>
      <c r="CY75" s="965">
        <f>+CY91</f>
        <v>285.75</v>
      </c>
      <c r="CZ75" s="1792">
        <f t="shared" si="227"/>
        <v>291.46500000000003</v>
      </c>
      <c r="DA75" s="965">
        <f>+DA91</f>
        <v>297.29430000000002</v>
      </c>
      <c r="DB75"/>
      <c r="DC75"/>
      <c r="DD75" s="2304"/>
      <c r="DE75" s="2284"/>
      <c r="DF75" s="2284"/>
      <c r="DG75" s="2284"/>
      <c r="DH75" s="2284"/>
      <c r="DI75" s="2284"/>
      <c r="DJ75" s="2284"/>
      <c r="DK75" s="2284"/>
      <c r="DL75" s="2284"/>
      <c r="DM75" s="2284"/>
      <c r="DN75" s="2284"/>
      <c r="DO75" s="2284"/>
      <c r="DP75" s="2284"/>
      <c r="DQ75" s="2284"/>
      <c r="DR75" s="2284"/>
      <c r="DS75" s="2284"/>
      <c r="DT75" s="2284"/>
      <c r="DU75" s="2284"/>
      <c r="DV75" s="2284"/>
      <c r="DW75" s="2284"/>
      <c r="DX75" s="2284"/>
      <c r="DY75" s="2284"/>
      <c r="EA75"/>
      <c r="EB75"/>
      <c r="EC75"/>
      <c r="ED75"/>
      <c r="EE75"/>
      <c r="EF75"/>
      <c r="EG75" s="855"/>
      <c r="EH75" s="855"/>
      <c r="EI75" s="855"/>
      <c r="EJ75"/>
      <c r="EK75"/>
      <c r="EL75"/>
      <c r="EM75" s="1703"/>
      <c r="EN75" s="855"/>
      <c r="EO75" s="855"/>
      <c r="EP75" s="855"/>
      <c r="EQ75" s="855"/>
      <c r="ER75" s="234"/>
    </row>
    <row r="76" spans="1:148" s="923" customFormat="1" hidden="1" outlineLevel="1" x14ac:dyDescent="0.2">
      <c r="A76" s="2053" t="s">
        <v>700</v>
      </c>
      <c r="B76" s="220"/>
      <c r="C76" s="220"/>
      <c r="D76" s="220"/>
      <c r="E76" s="220"/>
      <c r="F76" s="220"/>
      <c r="G76" s="220"/>
      <c r="H76" s="220"/>
      <c r="I76" s="220"/>
      <c r="J76" s="220"/>
      <c r="K76" s="220"/>
      <c r="L76" s="220"/>
      <c r="M76" s="965"/>
      <c r="N76" s="220"/>
      <c r="O76" s="220"/>
      <c r="P76" s="220"/>
      <c r="Q76" s="220"/>
      <c r="R76" s="965"/>
      <c r="S76" s="220"/>
      <c r="T76" s="220"/>
      <c r="U76" s="220"/>
      <c r="V76" s="220"/>
      <c r="W76" s="965"/>
      <c r="X76" s="220"/>
      <c r="Y76" s="220"/>
      <c r="Z76" s="220"/>
      <c r="AA76" s="220"/>
      <c r="AB76" s="965"/>
      <c r="AC76" s="220">
        <f>+AC42</f>
        <v>-2</v>
      </c>
      <c r="AD76" s="220">
        <f>+AD42</f>
        <v>1</v>
      </c>
      <c r="AE76" s="220">
        <f>+AE42</f>
        <v>-8</v>
      </c>
      <c r="AF76" s="220">
        <f>+AF42</f>
        <v>-5</v>
      </c>
      <c r="AG76" s="965">
        <f t="shared" ref="AG76:AG82" si="230">+SUM(AC76:AF76)</f>
        <v>-14</v>
      </c>
      <c r="AH76" s="220">
        <f>+AH42</f>
        <v>-5</v>
      </c>
      <c r="AI76" s="220">
        <f>+AI42</f>
        <v>6</v>
      </c>
      <c r="AJ76" s="220">
        <f>+AJ42</f>
        <v>17</v>
      </c>
      <c r="AK76" s="220">
        <f>+AK42</f>
        <v>18</v>
      </c>
      <c r="AL76" s="965">
        <f t="shared" ref="AL76:AL83" si="231">+SUM(AH76:AK76)</f>
        <v>36</v>
      </c>
      <c r="AM76" s="220">
        <f>+AM42</f>
        <v>-3</v>
      </c>
      <c r="AN76" s="220">
        <f>+AN42</f>
        <v>6</v>
      </c>
      <c r="AO76" s="220">
        <f>+AO42</f>
        <v>-1</v>
      </c>
      <c r="AP76" s="220">
        <f>+AP42</f>
        <v>1</v>
      </c>
      <c r="AQ76" s="965">
        <f t="shared" ref="AQ76:AQ83" si="232">+SUM(AM76:AP76)</f>
        <v>3</v>
      </c>
      <c r="AR76" s="220">
        <f>+AR42</f>
        <v>2</v>
      </c>
      <c r="AS76" s="220">
        <f>+AS42</f>
        <v>-1</v>
      </c>
      <c r="AT76" s="220">
        <f>+AT42</f>
        <v>8</v>
      </c>
      <c r="AU76" s="220">
        <f>+AU42</f>
        <v>6</v>
      </c>
      <c r="AV76" s="965">
        <f t="shared" ref="AV76:AV83" si="233">+SUM(AR76:AU76)</f>
        <v>15</v>
      </c>
      <c r="AW76" s="220">
        <f>+AW42</f>
        <v>27</v>
      </c>
      <c r="AX76" s="220">
        <f>+AX42</f>
        <v>-3</v>
      </c>
      <c r="AY76" s="220">
        <f>+AY42</f>
        <v>2</v>
      </c>
      <c r="AZ76" s="220">
        <f>+AZ42</f>
        <v>-11</v>
      </c>
      <c r="BA76" s="965">
        <f t="shared" ref="BA76:BA83" si="234">+SUM(AW76:AZ76)</f>
        <v>15</v>
      </c>
      <c r="BB76" s="220">
        <f>+BB42</f>
        <v>-34</v>
      </c>
      <c r="BC76" s="220">
        <f>+BC42</f>
        <v>-4</v>
      </c>
      <c r="BD76" s="220">
        <f>+BD42</f>
        <v>-12</v>
      </c>
      <c r="BE76" s="220">
        <f>+BE42</f>
        <v>-10</v>
      </c>
      <c r="BF76" s="965">
        <f t="shared" ref="BF76:BF83" si="235">+SUM(BB76:BE76)</f>
        <v>-60</v>
      </c>
      <c r="BG76" s="220">
        <f>+BG42</f>
        <v>-6</v>
      </c>
      <c r="BH76" s="220">
        <f>+BH42</f>
        <v>-1</v>
      </c>
      <c r="BI76" s="220">
        <f>+BI42</f>
        <v>-3</v>
      </c>
      <c r="BJ76" s="220">
        <f>+BJ42</f>
        <v>-11</v>
      </c>
      <c r="BK76" s="965">
        <f t="shared" ref="BK76:BK83" si="236">+SUM(BG76:BJ76)</f>
        <v>-21</v>
      </c>
      <c r="BL76" s="220">
        <f>+BL42</f>
        <v>-4</v>
      </c>
      <c r="BM76" s="220">
        <f>+BM42</f>
        <v>0</v>
      </c>
      <c r="BN76" s="220">
        <f>+BN42</f>
        <v>-6</v>
      </c>
      <c r="BO76" s="220">
        <f>+BO42</f>
        <v>-7</v>
      </c>
      <c r="BP76" s="965">
        <f t="shared" ref="BP76:BP83" si="237">+SUM(BL76:BO76)</f>
        <v>-17</v>
      </c>
      <c r="BQ76" s="220">
        <f>+BQ42</f>
        <v>-1</v>
      </c>
      <c r="BR76" s="220">
        <f>+BR42</f>
        <v>-8</v>
      </c>
      <c r="BS76" s="220">
        <f>+BS42</f>
        <v>-1</v>
      </c>
      <c r="BT76" s="220">
        <f>+BT42</f>
        <v>-3</v>
      </c>
      <c r="BU76" s="965">
        <f t="shared" ref="BU76:BU83" si="238">+SUM(BQ76:BT76)</f>
        <v>-13</v>
      </c>
      <c r="BV76" s="220">
        <f>+BV42</f>
        <v>0</v>
      </c>
      <c r="BW76" s="220">
        <f>+BW42</f>
        <v>-2</v>
      </c>
      <c r="BX76" s="220">
        <f>+BX42</f>
        <v>0</v>
      </c>
      <c r="BY76" s="220">
        <f>+BY42</f>
        <v>-3</v>
      </c>
      <c r="BZ76" s="965">
        <f t="shared" ref="BZ76:BZ83" si="239">+SUM(BV76:BY76)</f>
        <v>-5</v>
      </c>
      <c r="CA76" s="220">
        <f>+CA42</f>
        <v>2</v>
      </c>
      <c r="CB76" s="220">
        <f>+CB42</f>
        <v>-8</v>
      </c>
      <c r="CC76" s="220">
        <f>+CC42</f>
        <v>12</v>
      </c>
      <c r="CD76" s="1792">
        <f>+CD42</f>
        <v>0</v>
      </c>
      <c r="CE76" s="965">
        <f t="shared" ref="CE76:CE83" si="240">+SUM(CA76:CD76)</f>
        <v>6</v>
      </c>
      <c r="CF76" s="220">
        <f>+CF42</f>
        <v>3</v>
      </c>
      <c r="CG76" s="220">
        <f>+CG42</f>
        <v>2</v>
      </c>
      <c r="CH76" s="220">
        <f>+CH42</f>
        <v>8</v>
      </c>
      <c r="CI76" s="1792">
        <f>+CI42</f>
        <v>3</v>
      </c>
      <c r="CJ76" s="965">
        <f>+SUM(CF76:CI76)</f>
        <v>16</v>
      </c>
      <c r="CK76" s="220">
        <f>+CK42</f>
        <v>0</v>
      </c>
      <c r="CL76" s="220">
        <f>+CL42</f>
        <v>5</v>
      </c>
      <c r="CM76" s="220">
        <f>+CM42</f>
        <v>2</v>
      </c>
      <c r="CN76" s="1792">
        <f>+CN42</f>
        <v>2</v>
      </c>
      <c r="CO76" s="965">
        <f>+SUM(CK76:CN76)</f>
        <v>9</v>
      </c>
      <c r="CP76" s="220">
        <f>+CP42</f>
        <v>11</v>
      </c>
      <c r="CQ76" s="220">
        <f>+CQ42</f>
        <v>12</v>
      </c>
      <c r="CR76" s="220">
        <f>+CR42</f>
        <v>6</v>
      </c>
      <c r="CS76" s="220">
        <f>+CS42</f>
        <v>10</v>
      </c>
      <c r="CT76" s="965">
        <f>+SUM(CP76:CS76)</f>
        <v>39</v>
      </c>
      <c r="CU76" s="220">
        <f t="shared" ref="CU76:DA76" si="241">+CU42</f>
        <v>11</v>
      </c>
      <c r="CV76" s="220">
        <f t="shared" si="241"/>
        <v>12</v>
      </c>
      <c r="CW76" s="220">
        <f t="shared" si="241"/>
        <v>6</v>
      </c>
      <c r="CX76" s="220">
        <f t="shared" si="241"/>
        <v>10</v>
      </c>
      <c r="CY76" s="965">
        <f>+SUM(CU76:CX76)</f>
        <v>39</v>
      </c>
      <c r="CZ76" s="1792">
        <f t="shared" si="241"/>
        <v>39</v>
      </c>
      <c r="DA76" s="965">
        <f t="shared" si="241"/>
        <v>39</v>
      </c>
      <c r="DB76"/>
      <c r="DC76"/>
      <c r="DD76" s="2304" t="s">
        <v>700</v>
      </c>
      <c r="DE76" s="2284">
        <f t="shared" si="203"/>
        <v>0</v>
      </c>
      <c r="DF76" s="2284">
        <f t="shared" si="204"/>
        <v>0</v>
      </c>
      <c r="DG76" s="2284">
        <f t="shared" si="205"/>
        <v>0</v>
      </c>
      <c r="DH76" s="2284">
        <f t="shared" si="206"/>
        <v>0</v>
      </c>
      <c r="DI76" s="2284">
        <f t="shared" si="207"/>
        <v>-14</v>
      </c>
      <c r="DJ76" s="2284">
        <f t="shared" si="208"/>
        <v>36</v>
      </c>
      <c r="DK76" s="2284">
        <f t="shared" si="209"/>
        <v>3</v>
      </c>
      <c r="DL76" s="2284">
        <f t="shared" si="210"/>
        <v>15</v>
      </c>
      <c r="DM76" s="2284">
        <f t="shared" si="211"/>
        <v>15</v>
      </c>
      <c r="DN76" s="2284">
        <f t="shared" si="212"/>
        <v>-60</v>
      </c>
      <c r="DO76" s="2284">
        <f t="shared" si="213"/>
        <v>-21</v>
      </c>
      <c r="DP76" s="2284">
        <f t="shared" si="214"/>
        <v>-17</v>
      </c>
      <c r="DQ76" s="2284">
        <f t="shared" si="215"/>
        <v>-13</v>
      </c>
      <c r="DR76" s="2284">
        <f t="shared" si="216"/>
        <v>-5</v>
      </c>
      <c r="DS76" s="2284">
        <f t="shared" si="217"/>
        <v>6</v>
      </c>
      <c r="DT76" s="2284">
        <f t="shared" si="218"/>
        <v>16</v>
      </c>
      <c r="DU76" s="2284">
        <f t="shared" si="219"/>
        <v>9</v>
      </c>
      <c r="DV76" s="2284">
        <f t="shared" si="220"/>
        <v>39</v>
      </c>
      <c r="DW76" s="2284">
        <f t="shared" si="221"/>
        <v>39</v>
      </c>
      <c r="DX76" s="2284">
        <f t="shared" si="222"/>
        <v>39</v>
      </c>
      <c r="DY76" s="2284">
        <f t="shared" si="223"/>
        <v>39</v>
      </c>
      <c r="EA76"/>
      <c r="EB76"/>
      <c r="EC76"/>
      <c r="ED76"/>
      <c r="EE76"/>
      <c r="EF76"/>
      <c r="EG76" s="855"/>
      <c r="EH76" s="855"/>
      <c r="EI76" s="855"/>
      <c r="EJ76"/>
      <c r="EK76"/>
      <c r="EL76"/>
      <c r="EM76" s="1703"/>
      <c r="EN76" s="855"/>
      <c r="EO76" s="855"/>
      <c r="EP76" s="855"/>
      <c r="EQ76" s="855"/>
      <c r="ER76" s="234"/>
    </row>
    <row r="77" spans="1:148" s="923" customFormat="1" ht="12.75" hidden="1" customHeight="1" outlineLevel="1" x14ac:dyDescent="0.2">
      <c r="A77" s="507" t="s">
        <v>697</v>
      </c>
      <c r="B77" s="220"/>
      <c r="C77" s="220"/>
      <c r="D77" s="220"/>
      <c r="E77" s="220"/>
      <c r="F77" s="220"/>
      <c r="G77" s="220"/>
      <c r="H77" s="220"/>
      <c r="I77" s="220"/>
      <c r="J77" s="220"/>
      <c r="K77" s="220"/>
      <c r="L77" s="220"/>
      <c r="M77" s="965"/>
      <c r="N77" s="220"/>
      <c r="O77" s="220"/>
      <c r="P77" s="220"/>
      <c r="Q77" s="220"/>
      <c r="R77" s="965"/>
      <c r="S77" s="220"/>
      <c r="T77" s="220"/>
      <c r="U77" s="220"/>
      <c r="V77" s="220"/>
      <c r="W77" s="965"/>
      <c r="X77" s="220"/>
      <c r="Y77" s="220"/>
      <c r="Z77" s="220"/>
      <c r="AA77" s="220"/>
      <c r="AB77" s="965"/>
      <c r="AC77" s="220">
        <v>10</v>
      </c>
      <c r="AD77" s="220">
        <v>11</v>
      </c>
      <c r="AE77" s="220">
        <v>9</v>
      </c>
      <c r="AF77" s="220">
        <v>15</v>
      </c>
      <c r="AG77" s="965">
        <f t="shared" si="230"/>
        <v>45</v>
      </c>
      <c r="AH77" s="220">
        <v>11</v>
      </c>
      <c r="AI77" s="220">
        <v>6</v>
      </c>
      <c r="AJ77" s="220">
        <v>4</v>
      </c>
      <c r="AK77" s="220">
        <v>8</v>
      </c>
      <c r="AL77" s="965">
        <f t="shared" si="231"/>
        <v>29</v>
      </c>
      <c r="AM77" s="220">
        <v>5</v>
      </c>
      <c r="AN77" s="220">
        <v>6</v>
      </c>
      <c r="AO77" s="220">
        <v>5</v>
      </c>
      <c r="AP77" s="220">
        <v>7</v>
      </c>
      <c r="AQ77" s="965">
        <f t="shared" si="232"/>
        <v>23</v>
      </c>
      <c r="AR77" s="220">
        <v>5</v>
      </c>
      <c r="AS77" s="220">
        <v>5</v>
      </c>
      <c r="AT77" s="220">
        <v>8</v>
      </c>
      <c r="AU77" s="220">
        <v>6</v>
      </c>
      <c r="AV77" s="965">
        <f t="shared" si="233"/>
        <v>24</v>
      </c>
      <c r="AW77" s="220">
        <v>4</v>
      </c>
      <c r="AX77" s="220">
        <v>4</v>
      </c>
      <c r="AY77" s="220">
        <v>5</v>
      </c>
      <c r="AZ77" s="220">
        <v>5</v>
      </c>
      <c r="BA77" s="965">
        <f t="shared" si="234"/>
        <v>18</v>
      </c>
      <c r="BB77" s="220">
        <v>3</v>
      </c>
      <c r="BC77" s="220">
        <v>6</v>
      </c>
      <c r="BD77" s="220">
        <v>4</v>
      </c>
      <c r="BE77" s="220">
        <v>6</v>
      </c>
      <c r="BF77" s="965">
        <f t="shared" si="235"/>
        <v>19</v>
      </c>
      <c r="BG77" s="220">
        <v>3</v>
      </c>
      <c r="BH77" s="220">
        <v>3</v>
      </c>
      <c r="BI77" s="220">
        <v>4</v>
      </c>
      <c r="BJ77" s="220">
        <v>6</v>
      </c>
      <c r="BK77" s="965">
        <f t="shared" si="236"/>
        <v>16</v>
      </c>
      <c r="BL77" s="220">
        <v>4</v>
      </c>
      <c r="BM77" s="220">
        <v>4</v>
      </c>
      <c r="BN77" s="220">
        <v>5</v>
      </c>
      <c r="BO77" s="220">
        <v>5</v>
      </c>
      <c r="BP77" s="965">
        <f t="shared" si="237"/>
        <v>18</v>
      </c>
      <c r="BQ77" s="220">
        <v>4</v>
      </c>
      <c r="BR77" s="220">
        <v>4</v>
      </c>
      <c r="BS77" s="220">
        <v>1</v>
      </c>
      <c r="BT77" s="220">
        <v>2</v>
      </c>
      <c r="BU77" s="965">
        <f t="shared" si="238"/>
        <v>11</v>
      </c>
      <c r="BV77" s="220">
        <f t="shared" ref="BV77:BY78" si="242">+BV93</f>
        <v>1</v>
      </c>
      <c r="BW77" s="220">
        <f t="shared" si="242"/>
        <v>1</v>
      </c>
      <c r="BX77" s="220">
        <f t="shared" si="242"/>
        <v>1</v>
      </c>
      <c r="BY77" s="220">
        <f t="shared" si="242"/>
        <v>1</v>
      </c>
      <c r="BZ77" s="965">
        <f t="shared" si="239"/>
        <v>4</v>
      </c>
      <c r="CA77" s="220">
        <f t="shared" ref="CA77:CD78" si="243">+CA93</f>
        <v>1</v>
      </c>
      <c r="CB77" s="220">
        <f t="shared" si="243"/>
        <v>1</v>
      </c>
      <c r="CC77" s="220">
        <f t="shared" si="243"/>
        <v>0</v>
      </c>
      <c r="CD77" s="1792">
        <f t="shared" si="243"/>
        <v>1</v>
      </c>
      <c r="CE77" s="965">
        <f t="shared" si="240"/>
        <v>3</v>
      </c>
      <c r="CF77" s="220">
        <f t="shared" ref="CF77:CH78" si="244">+CF93</f>
        <v>1</v>
      </c>
      <c r="CG77" s="220">
        <f t="shared" si="244"/>
        <v>0</v>
      </c>
      <c r="CH77" s="220">
        <f t="shared" si="244"/>
        <v>1</v>
      </c>
      <c r="CI77" s="1792">
        <f t="shared" ref="CI77:CN78" si="245">+$CJ77/4</f>
        <v>0.75</v>
      </c>
      <c r="CJ77" s="965">
        <f>+CE77</f>
        <v>3</v>
      </c>
      <c r="CK77" s="220">
        <f t="shared" si="245"/>
        <v>0.75</v>
      </c>
      <c r="CL77" s="220">
        <f t="shared" si="245"/>
        <v>0.75</v>
      </c>
      <c r="CM77" s="220">
        <f t="shared" si="245"/>
        <v>0.75</v>
      </c>
      <c r="CN77" s="1792">
        <f t="shared" si="245"/>
        <v>0.75</v>
      </c>
      <c r="CO77" s="965">
        <f>+CJ77</f>
        <v>3</v>
      </c>
      <c r="CP77" s="220">
        <f t="shared" ref="CP77:CX78" si="246">+$CJ77/4</f>
        <v>0.75</v>
      </c>
      <c r="CQ77" s="220">
        <f t="shared" si="246"/>
        <v>0.75</v>
      </c>
      <c r="CR77" s="220">
        <f t="shared" si="246"/>
        <v>0.75</v>
      </c>
      <c r="CS77" s="220">
        <f t="shared" si="246"/>
        <v>0.75</v>
      </c>
      <c r="CT77" s="965">
        <f>+CO77</f>
        <v>3</v>
      </c>
      <c r="CU77" s="220">
        <f t="shared" si="246"/>
        <v>0.75</v>
      </c>
      <c r="CV77" s="220">
        <f t="shared" si="246"/>
        <v>0.75</v>
      </c>
      <c r="CW77" s="220">
        <f t="shared" si="246"/>
        <v>0.75</v>
      </c>
      <c r="CX77" s="220">
        <f t="shared" si="246"/>
        <v>0.75</v>
      </c>
      <c r="CY77" s="965">
        <f>+CT77</f>
        <v>3</v>
      </c>
      <c r="CZ77" s="1792">
        <f>+CY77</f>
        <v>3</v>
      </c>
      <c r="DA77" s="965">
        <f>+CZ77</f>
        <v>3</v>
      </c>
      <c r="DB77"/>
      <c r="DC77"/>
      <c r="DD77" s="2295" t="s">
        <v>697</v>
      </c>
      <c r="DE77" s="2284">
        <f t="shared" si="203"/>
        <v>0</v>
      </c>
      <c r="DF77" s="2284">
        <f t="shared" si="204"/>
        <v>0</v>
      </c>
      <c r="DG77" s="2284">
        <f t="shared" si="205"/>
        <v>0</v>
      </c>
      <c r="DH77" s="2284">
        <f t="shared" si="206"/>
        <v>0</v>
      </c>
      <c r="DI77" s="2284">
        <f t="shared" si="207"/>
        <v>45</v>
      </c>
      <c r="DJ77" s="2284">
        <f t="shared" si="208"/>
        <v>29</v>
      </c>
      <c r="DK77" s="2284">
        <f t="shared" si="209"/>
        <v>23</v>
      </c>
      <c r="DL77" s="2284">
        <f t="shared" si="210"/>
        <v>24</v>
      </c>
      <c r="DM77" s="2284">
        <f t="shared" si="211"/>
        <v>18</v>
      </c>
      <c r="DN77" s="2284">
        <f t="shared" si="212"/>
        <v>19</v>
      </c>
      <c r="DO77" s="2284">
        <f t="shared" si="213"/>
        <v>16</v>
      </c>
      <c r="DP77" s="2284">
        <f t="shared" si="214"/>
        <v>18</v>
      </c>
      <c r="DQ77" s="2284">
        <f t="shared" si="215"/>
        <v>11</v>
      </c>
      <c r="DR77" s="2284">
        <f t="shared" si="216"/>
        <v>4</v>
      </c>
      <c r="DS77" s="2284">
        <f t="shared" si="217"/>
        <v>3</v>
      </c>
      <c r="DT77" s="2284">
        <f t="shared" si="218"/>
        <v>3</v>
      </c>
      <c r="DU77" s="2284">
        <f t="shared" si="219"/>
        <v>3</v>
      </c>
      <c r="DV77" s="2284">
        <f t="shared" si="220"/>
        <v>3</v>
      </c>
      <c r="DW77" s="2284">
        <f t="shared" si="221"/>
        <v>3</v>
      </c>
      <c r="DX77" s="2284">
        <f t="shared" si="222"/>
        <v>3</v>
      </c>
      <c r="DY77" s="2284">
        <f t="shared" si="223"/>
        <v>3</v>
      </c>
      <c r="EA77"/>
      <c r="EB77"/>
      <c r="EC77"/>
      <c r="ED77"/>
      <c r="EE77"/>
      <c r="EF77"/>
      <c r="EG77" s="855"/>
      <c r="EH77" s="855"/>
      <c r="EI77" s="855"/>
      <c r="EJ77"/>
      <c r="EK77"/>
      <c r="EL77"/>
      <c r="EM77" s="1703"/>
      <c r="EN77" s="855"/>
      <c r="EO77" s="855"/>
      <c r="EP77" s="855"/>
      <c r="EQ77" s="855"/>
      <c r="ER77" s="234"/>
    </row>
    <row r="78" spans="1:148" s="923" customFormat="1" ht="12.75" hidden="1" customHeight="1" outlineLevel="1" x14ac:dyDescent="0.2">
      <c r="A78" s="507" t="s">
        <v>698</v>
      </c>
      <c r="B78" s="220"/>
      <c r="C78" s="220"/>
      <c r="D78" s="220"/>
      <c r="E78" s="220"/>
      <c r="F78" s="220"/>
      <c r="G78" s="220"/>
      <c r="H78" s="220"/>
      <c r="I78" s="220"/>
      <c r="J78" s="220"/>
      <c r="K78" s="220"/>
      <c r="L78" s="220"/>
      <c r="M78" s="965"/>
      <c r="N78" s="220"/>
      <c r="O78" s="220"/>
      <c r="P78" s="220"/>
      <c r="Q78" s="220"/>
      <c r="R78" s="965"/>
      <c r="S78" s="220"/>
      <c r="T78" s="220"/>
      <c r="U78" s="220"/>
      <c r="V78" s="220"/>
      <c r="W78" s="965"/>
      <c r="X78" s="220"/>
      <c r="Y78" s="220"/>
      <c r="Z78" s="220"/>
      <c r="AA78" s="220"/>
      <c r="AB78" s="965"/>
      <c r="AC78" s="220">
        <v>13</v>
      </c>
      <c r="AD78" s="220">
        <v>9</v>
      </c>
      <c r="AE78" s="220">
        <v>13</v>
      </c>
      <c r="AF78" s="220">
        <v>17</v>
      </c>
      <c r="AG78" s="965">
        <f t="shared" si="230"/>
        <v>52</v>
      </c>
      <c r="AH78" s="220">
        <v>12</v>
      </c>
      <c r="AI78" s="220">
        <v>9</v>
      </c>
      <c r="AJ78" s="220">
        <v>7</v>
      </c>
      <c r="AK78" s="220">
        <v>11</v>
      </c>
      <c r="AL78" s="965">
        <f t="shared" si="231"/>
        <v>39</v>
      </c>
      <c r="AM78" s="220">
        <v>6</v>
      </c>
      <c r="AN78" s="220">
        <v>7</v>
      </c>
      <c r="AO78" s="220">
        <v>7</v>
      </c>
      <c r="AP78" s="220">
        <v>9</v>
      </c>
      <c r="AQ78" s="965">
        <f t="shared" si="232"/>
        <v>29</v>
      </c>
      <c r="AR78" s="220">
        <v>6</v>
      </c>
      <c r="AS78" s="220">
        <v>7</v>
      </c>
      <c r="AT78" s="220">
        <v>6</v>
      </c>
      <c r="AU78" s="220">
        <v>9</v>
      </c>
      <c r="AV78" s="965">
        <f t="shared" si="233"/>
        <v>28</v>
      </c>
      <c r="AW78" s="220">
        <v>5</v>
      </c>
      <c r="AX78" s="220">
        <v>6</v>
      </c>
      <c r="AY78" s="220">
        <v>6</v>
      </c>
      <c r="AZ78" s="220">
        <v>10</v>
      </c>
      <c r="BA78" s="965">
        <f t="shared" si="234"/>
        <v>27</v>
      </c>
      <c r="BB78" s="220">
        <v>6</v>
      </c>
      <c r="BC78" s="220">
        <v>6</v>
      </c>
      <c r="BD78" s="220">
        <v>6</v>
      </c>
      <c r="BE78" s="220">
        <v>9</v>
      </c>
      <c r="BF78" s="965">
        <f t="shared" si="235"/>
        <v>27</v>
      </c>
      <c r="BG78" s="220">
        <v>6</v>
      </c>
      <c r="BH78" s="220">
        <v>6</v>
      </c>
      <c r="BI78" s="220">
        <v>7</v>
      </c>
      <c r="BJ78" s="220">
        <v>8</v>
      </c>
      <c r="BK78" s="965">
        <f t="shared" si="236"/>
        <v>27</v>
      </c>
      <c r="BL78" s="220">
        <v>6</v>
      </c>
      <c r="BM78" s="220">
        <v>7</v>
      </c>
      <c r="BN78" s="220">
        <v>7</v>
      </c>
      <c r="BO78" s="220">
        <v>10</v>
      </c>
      <c r="BP78" s="965">
        <f t="shared" si="237"/>
        <v>30</v>
      </c>
      <c r="BQ78" s="220">
        <f>+BL78</f>
        <v>6</v>
      </c>
      <c r="BR78" s="220">
        <f>+BM78</f>
        <v>7</v>
      </c>
      <c r="BS78" s="220">
        <v>2</v>
      </c>
      <c r="BT78" s="220">
        <f>+BO78</f>
        <v>10</v>
      </c>
      <c r="BU78" s="965">
        <f t="shared" si="238"/>
        <v>25</v>
      </c>
      <c r="BV78" s="220">
        <f t="shared" si="242"/>
        <v>3</v>
      </c>
      <c r="BW78" s="220">
        <f t="shared" si="242"/>
        <v>3</v>
      </c>
      <c r="BX78" s="220">
        <f t="shared" si="242"/>
        <v>3</v>
      </c>
      <c r="BY78" s="220">
        <f t="shared" si="242"/>
        <v>4</v>
      </c>
      <c r="BZ78" s="965">
        <f t="shared" si="239"/>
        <v>13</v>
      </c>
      <c r="CA78" s="220">
        <f t="shared" si="243"/>
        <v>4</v>
      </c>
      <c r="CB78" s="220">
        <f t="shared" si="243"/>
        <v>3</v>
      </c>
      <c r="CC78" s="220">
        <f t="shared" si="243"/>
        <v>1</v>
      </c>
      <c r="CD78" s="1792">
        <f t="shared" si="243"/>
        <v>2</v>
      </c>
      <c r="CE78" s="965">
        <f t="shared" si="240"/>
        <v>10</v>
      </c>
      <c r="CF78" s="220">
        <f t="shared" si="244"/>
        <v>3</v>
      </c>
      <c r="CG78" s="220">
        <f t="shared" si="244"/>
        <v>2</v>
      </c>
      <c r="CH78" s="220">
        <f t="shared" si="244"/>
        <v>3</v>
      </c>
      <c r="CI78" s="1792">
        <f t="shared" si="245"/>
        <v>2.5499999999999998</v>
      </c>
      <c r="CJ78" s="965">
        <f>+CE78*1.02</f>
        <v>10.199999999999999</v>
      </c>
      <c r="CK78" s="220">
        <f t="shared" si="245"/>
        <v>2.5499999999999998</v>
      </c>
      <c r="CL78" s="220">
        <f t="shared" si="245"/>
        <v>2.5499999999999998</v>
      </c>
      <c r="CM78" s="220">
        <f t="shared" si="245"/>
        <v>2.5499999999999998</v>
      </c>
      <c r="CN78" s="1792">
        <f t="shared" si="245"/>
        <v>2.5499999999999998</v>
      </c>
      <c r="CO78" s="965">
        <f>+CJ78*1.02</f>
        <v>10.404</v>
      </c>
      <c r="CP78" s="220">
        <f t="shared" si="246"/>
        <v>2.5499999999999998</v>
      </c>
      <c r="CQ78" s="220">
        <f t="shared" si="246"/>
        <v>2.5499999999999998</v>
      </c>
      <c r="CR78" s="220">
        <f t="shared" si="246"/>
        <v>2.5499999999999998</v>
      </c>
      <c r="CS78" s="220">
        <f t="shared" si="246"/>
        <v>2.5499999999999998</v>
      </c>
      <c r="CT78" s="965">
        <f>+CO78*1.02</f>
        <v>10.612080000000001</v>
      </c>
      <c r="CU78" s="220">
        <f t="shared" si="246"/>
        <v>2.5499999999999998</v>
      </c>
      <c r="CV78" s="220">
        <f t="shared" si="246"/>
        <v>2.5499999999999998</v>
      </c>
      <c r="CW78" s="220">
        <f t="shared" si="246"/>
        <v>2.5499999999999998</v>
      </c>
      <c r="CX78" s="220">
        <f t="shared" si="246"/>
        <v>2.5499999999999998</v>
      </c>
      <c r="CY78" s="965">
        <f>+CT78*1.02</f>
        <v>10.824321600000001</v>
      </c>
      <c r="CZ78" s="1792">
        <f>+CY78*1.02</f>
        <v>11.040808032000001</v>
      </c>
      <c r="DA78" s="965">
        <f>+CZ78*1.02</f>
        <v>11.261624192640001</v>
      </c>
      <c r="DB78"/>
      <c r="DC78"/>
      <c r="DD78" s="2295" t="s">
        <v>698</v>
      </c>
      <c r="DE78" s="2284">
        <f t="shared" si="203"/>
        <v>0</v>
      </c>
      <c r="DF78" s="2284">
        <f t="shared" si="204"/>
        <v>0</v>
      </c>
      <c r="DG78" s="2284">
        <f t="shared" si="205"/>
        <v>0</v>
      </c>
      <c r="DH78" s="2284">
        <f t="shared" si="206"/>
        <v>0</v>
      </c>
      <c r="DI78" s="2284">
        <f t="shared" si="207"/>
        <v>52</v>
      </c>
      <c r="DJ78" s="2284">
        <f t="shared" si="208"/>
        <v>39</v>
      </c>
      <c r="DK78" s="2284">
        <f t="shared" si="209"/>
        <v>29</v>
      </c>
      <c r="DL78" s="2284">
        <f t="shared" si="210"/>
        <v>28</v>
      </c>
      <c r="DM78" s="2284">
        <f t="shared" si="211"/>
        <v>27</v>
      </c>
      <c r="DN78" s="2284">
        <f t="shared" si="212"/>
        <v>27</v>
      </c>
      <c r="DO78" s="2284">
        <f t="shared" si="213"/>
        <v>27</v>
      </c>
      <c r="DP78" s="2284">
        <f t="shared" si="214"/>
        <v>30</v>
      </c>
      <c r="DQ78" s="2284">
        <f t="shared" si="215"/>
        <v>25</v>
      </c>
      <c r="DR78" s="2284">
        <f t="shared" si="216"/>
        <v>13</v>
      </c>
      <c r="DS78" s="2284">
        <f t="shared" si="217"/>
        <v>10</v>
      </c>
      <c r="DT78" s="2284">
        <f t="shared" si="218"/>
        <v>10.199999999999999</v>
      </c>
      <c r="DU78" s="2284">
        <f t="shared" si="219"/>
        <v>10.404</v>
      </c>
      <c r="DV78" s="2284">
        <f t="shared" si="220"/>
        <v>10.612080000000001</v>
      </c>
      <c r="DW78" s="2284">
        <f t="shared" si="221"/>
        <v>10.824321600000001</v>
      </c>
      <c r="DX78" s="2284">
        <f t="shared" si="222"/>
        <v>11.040808032000001</v>
      </c>
      <c r="DY78" s="2284">
        <f t="shared" si="223"/>
        <v>11.261624192640001</v>
      </c>
      <c r="EA78"/>
      <c r="EB78"/>
      <c r="EC78"/>
      <c r="ED78"/>
      <c r="EE78"/>
      <c r="EF78"/>
      <c r="EG78" s="855"/>
      <c r="EH78" s="855"/>
      <c r="EI78" s="855"/>
      <c r="EJ78"/>
      <c r="EK78"/>
      <c r="EL78"/>
      <c r="EM78" s="1703"/>
      <c r="EN78" s="855"/>
      <c r="EO78" s="855"/>
      <c r="EP78" s="855"/>
      <c r="EQ78" s="855"/>
      <c r="ER78" s="234"/>
    </row>
    <row r="79" spans="1:148" s="923" customFormat="1" hidden="1" outlineLevel="1" x14ac:dyDescent="0.2">
      <c r="A79" s="2053" t="s">
        <v>719</v>
      </c>
      <c r="B79" s="220"/>
      <c r="C79" s="220"/>
      <c r="D79" s="220"/>
      <c r="E79" s="220"/>
      <c r="F79" s="220"/>
      <c r="G79" s="220"/>
      <c r="H79" s="220"/>
      <c r="I79" s="220"/>
      <c r="J79" s="220"/>
      <c r="K79" s="220"/>
      <c r="L79" s="220"/>
      <c r="M79" s="965"/>
      <c r="N79" s="220"/>
      <c r="O79" s="220"/>
      <c r="P79" s="220"/>
      <c r="Q79" s="220"/>
      <c r="R79" s="965"/>
      <c r="S79" s="220"/>
      <c r="T79" s="220"/>
      <c r="U79" s="220"/>
      <c r="V79" s="220"/>
      <c r="W79" s="965"/>
      <c r="X79" s="220"/>
      <c r="Y79" s="220"/>
      <c r="Z79" s="220"/>
      <c r="AA79" s="220"/>
      <c r="AB79" s="965"/>
      <c r="AC79" s="220">
        <f>+AC40</f>
        <v>26</v>
      </c>
      <c r="AD79" s="220">
        <f>+AD40</f>
        <v>39</v>
      </c>
      <c r="AE79" s="220">
        <f>+AE40</f>
        <v>33</v>
      </c>
      <c r="AF79" s="220">
        <f>+AF40</f>
        <v>48</v>
      </c>
      <c r="AG79" s="965">
        <f t="shared" si="230"/>
        <v>146</v>
      </c>
      <c r="AH79" s="220">
        <f>+AH40</f>
        <v>27</v>
      </c>
      <c r="AI79" s="220">
        <f>+AI40</f>
        <v>25</v>
      </c>
      <c r="AJ79" s="220">
        <f>+AJ40</f>
        <v>13</v>
      </c>
      <c r="AK79" s="220">
        <f>+AK40</f>
        <v>14</v>
      </c>
      <c r="AL79" s="965">
        <f t="shared" si="231"/>
        <v>79</v>
      </c>
      <c r="AM79" s="220">
        <f>+AM40</f>
        <v>11</v>
      </c>
      <c r="AN79" s="220">
        <f>+AN40</f>
        <v>12</v>
      </c>
      <c r="AO79" s="220">
        <f>+AO40</f>
        <v>11</v>
      </c>
      <c r="AP79" s="220">
        <f>+AP40</f>
        <v>11</v>
      </c>
      <c r="AQ79" s="965">
        <f t="shared" si="232"/>
        <v>45</v>
      </c>
      <c r="AR79" s="220">
        <f>+AR40</f>
        <v>3</v>
      </c>
      <c r="AS79" s="220">
        <f>+AS40</f>
        <v>6</v>
      </c>
      <c r="AT79" s="220">
        <f>+AT40</f>
        <v>6</v>
      </c>
      <c r="AU79" s="220">
        <f>+AU40</f>
        <v>12</v>
      </c>
      <c r="AV79" s="965">
        <f t="shared" si="233"/>
        <v>27</v>
      </c>
      <c r="AW79" s="220">
        <f>+AW40</f>
        <v>11</v>
      </c>
      <c r="AX79" s="220">
        <f>+AX40</f>
        <v>9</v>
      </c>
      <c r="AY79" s="220">
        <f>+AY40</f>
        <v>8</v>
      </c>
      <c r="AZ79" s="220">
        <f>+AZ40</f>
        <v>11</v>
      </c>
      <c r="BA79" s="965">
        <f t="shared" si="234"/>
        <v>39</v>
      </c>
      <c r="BB79" s="220">
        <f>+BB40</f>
        <v>6</v>
      </c>
      <c r="BC79" s="220">
        <f>+BC40</f>
        <v>9</v>
      </c>
      <c r="BD79" s="220">
        <f>+BD40</f>
        <v>5</v>
      </c>
      <c r="BE79" s="220">
        <f>+BE40</f>
        <v>5</v>
      </c>
      <c r="BF79" s="965">
        <f t="shared" si="235"/>
        <v>25</v>
      </c>
      <c r="BG79" s="220">
        <f>+BG40</f>
        <v>6</v>
      </c>
      <c r="BH79" s="220">
        <f>+BH40</f>
        <v>6</v>
      </c>
      <c r="BI79" s="220">
        <f>+BI40</f>
        <v>6</v>
      </c>
      <c r="BJ79" s="220">
        <f>+BJ40</f>
        <v>11</v>
      </c>
      <c r="BK79" s="965">
        <f t="shared" si="236"/>
        <v>29</v>
      </c>
      <c r="BL79" s="220">
        <f>+BL40</f>
        <v>7</v>
      </c>
      <c r="BM79" s="220">
        <f>+BM40</f>
        <v>5</v>
      </c>
      <c r="BN79" s="220">
        <f>+BN40</f>
        <v>5</v>
      </c>
      <c r="BO79" s="220">
        <f>+BO40</f>
        <v>7</v>
      </c>
      <c r="BP79" s="965">
        <f t="shared" si="237"/>
        <v>24</v>
      </c>
      <c r="BQ79" s="220">
        <f>+BQ40</f>
        <v>4</v>
      </c>
      <c r="BR79" s="220">
        <f>+BR40</f>
        <v>3</v>
      </c>
      <c r="BS79" s="220">
        <f>+BS40</f>
        <v>3</v>
      </c>
      <c r="BT79" s="220">
        <f>+BT40</f>
        <v>7</v>
      </c>
      <c r="BU79" s="965">
        <f t="shared" si="238"/>
        <v>17</v>
      </c>
      <c r="BV79" s="220">
        <f>+BV40</f>
        <v>3</v>
      </c>
      <c r="BW79" s="220">
        <f>+BW40</f>
        <v>5</v>
      </c>
      <c r="BX79" s="220">
        <f>+BX40</f>
        <v>5</v>
      </c>
      <c r="BY79" s="220">
        <f>+BY40</f>
        <v>10</v>
      </c>
      <c r="BZ79" s="965">
        <f t="shared" si="239"/>
        <v>23</v>
      </c>
      <c r="CA79" s="220">
        <f>+CA40</f>
        <v>5</v>
      </c>
      <c r="CB79" s="220">
        <f>+CB40</f>
        <v>4</v>
      </c>
      <c r="CC79" s="220">
        <f>+CC40</f>
        <v>8</v>
      </c>
      <c r="CD79" s="1792">
        <f>+CD40</f>
        <v>13</v>
      </c>
      <c r="CE79" s="965">
        <f t="shared" si="240"/>
        <v>30</v>
      </c>
      <c r="CF79" s="220">
        <f>+CF40</f>
        <v>8</v>
      </c>
      <c r="CG79" s="220">
        <f>+CG40</f>
        <v>6</v>
      </c>
      <c r="CH79" s="220">
        <f>+CH40</f>
        <v>5</v>
      </c>
      <c r="CI79" s="1792">
        <f>+CI40</f>
        <v>10</v>
      </c>
      <c r="CJ79" s="965">
        <f>+SUM(CF79:CI79)</f>
        <v>29</v>
      </c>
      <c r="CK79" s="220">
        <f>+CK40</f>
        <v>6</v>
      </c>
      <c r="CL79" s="220">
        <f>+CL40</f>
        <v>7</v>
      </c>
      <c r="CM79" s="220">
        <f>+CM40</f>
        <v>9</v>
      </c>
      <c r="CN79" s="1792">
        <f>+CN40</f>
        <v>13</v>
      </c>
      <c r="CO79" s="965">
        <f>+SUM(CK79:CN79)</f>
        <v>35</v>
      </c>
      <c r="CP79" s="220">
        <f>+CP40</f>
        <v>7</v>
      </c>
      <c r="CQ79" s="220">
        <f>+CQ40</f>
        <v>8</v>
      </c>
      <c r="CR79" s="220">
        <f>+CR40</f>
        <v>9</v>
      </c>
      <c r="CS79" s="220">
        <f>+CS40</f>
        <v>14</v>
      </c>
      <c r="CT79" s="965">
        <f>+SUM(CP79:CS79)</f>
        <v>38</v>
      </c>
      <c r="CU79" s="220">
        <f t="shared" ref="CU79:DA79" si="247">+CU40</f>
        <v>5.2127397260273973</v>
      </c>
      <c r="CV79" s="220">
        <f t="shared" ca="1" si="247"/>
        <v>5.384192078385202</v>
      </c>
      <c r="CW79" s="220">
        <f t="shared" ca="1" si="247"/>
        <v>5.2760665844408372</v>
      </c>
      <c r="CX79" s="220">
        <f t="shared" ca="1" si="247"/>
        <v>5.545221882425535</v>
      </c>
      <c r="CY79" s="965">
        <f ca="1">+SUM(CU79:CX79)</f>
        <v>21.418220271278969</v>
      </c>
      <c r="CZ79" s="1792">
        <f t="shared" ca="1" si="247"/>
        <v>26.207654563877398</v>
      </c>
      <c r="DA79" s="965">
        <f t="shared" ca="1" si="247"/>
        <v>31.29094378228741</v>
      </c>
      <c r="DB79"/>
      <c r="DC79"/>
      <c r="DD79" s="2304" t="s">
        <v>719</v>
      </c>
      <c r="DE79" s="2284">
        <f t="shared" si="203"/>
        <v>0</v>
      </c>
      <c r="DF79" s="2284">
        <f t="shared" si="204"/>
        <v>0</v>
      </c>
      <c r="DG79" s="2284">
        <f t="shared" si="205"/>
        <v>0</v>
      </c>
      <c r="DH79" s="2284">
        <f t="shared" si="206"/>
        <v>0</v>
      </c>
      <c r="DI79" s="2284">
        <f t="shared" si="207"/>
        <v>146</v>
      </c>
      <c r="DJ79" s="2284">
        <f t="shared" si="208"/>
        <v>79</v>
      </c>
      <c r="DK79" s="2284">
        <f t="shared" si="209"/>
        <v>45</v>
      </c>
      <c r="DL79" s="2284">
        <f t="shared" si="210"/>
        <v>27</v>
      </c>
      <c r="DM79" s="2284">
        <f t="shared" si="211"/>
        <v>39</v>
      </c>
      <c r="DN79" s="2284">
        <f t="shared" si="212"/>
        <v>25</v>
      </c>
      <c r="DO79" s="2284">
        <f t="shared" si="213"/>
        <v>29</v>
      </c>
      <c r="DP79" s="2284">
        <f t="shared" si="214"/>
        <v>24</v>
      </c>
      <c r="DQ79" s="2284">
        <f t="shared" si="215"/>
        <v>17</v>
      </c>
      <c r="DR79" s="2284">
        <f t="shared" si="216"/>
        <v>23</v>
      </c>
      <c r="DS79" s="2284">
        <f t="shared" si="217"/>
        <v>30</v>
      </c>
      <c r="DT79" s="2284">
        <f t="shared" si="218"/>
        <v>29</v>
      </c>
      <c r="DU79" s="2284">
        <f t="shared" si="219"/>
        <v>35</v>
      </c>
      <c r="DV79" s="2284">
        <f t="shared" si="220"/>
        <v>38</v>
      </c>
      <c r="DW79" s="2284">
        <f t="shared" ca="1" si="221"/>
        <v>21.418220271278969</v>
      </c>
      <c r="DX79" s="2284">
        <f t="shared" ca="1" si="222"/>
        <v>26.207654563877398</v>
      </c>
      <c r="DY79" s="2284">
        <f t="shared" ca="1" si="223"/>
        <v>31.29094378228741</v>
      </c>
      <c r="EA79"/>
      <c r="EB79"/>
      <c r="EC79"/>
      <c r="ED79"/>
      <c r="EE79"/>
      <c r="EF79"/>
      <c r="EG79" s="855"/>
      <c r="EH79" s="855"/>
      <c r="EI79" s="855"/>
      <c r="EJ79"/>
      <c r="EK79"/>
      <c r="EL79"/>
      <c r="EM79" s="1703"/>
      <c r="EN79" s="855"/>
      <c r="EO79" s="855"/>
      <c r="EP79" s="855"/>
      <c r="EQ79" s="855"/>
      <c r="ER79" s="234"/>
    </row>
    <row r="80" spans="1:148" s="923" customFormat="1" hidden="1" outlineLevel="1" x14ac:dyDescent="0.2">
      <c r="A80" s="2054" t="s">
        <v>699</v>
      </c>
      <c r="B80" s="220"/>
      <c r="C80" s="220"/>
      <c r="D80" s="220"/>
      <c r="E80" s="220"/>
      <c r="F80" s="220"/>
      <c r="G80" s="220"/>
      <c r="H80" s="220"/>
      <c r="I80" s="220"/>
      <c r="J80" s="220"/>
      <c r="K80" s="220"/>
      <c r="L80" s="220"/>
      <c r="M80" s="965"/>
      <c r="N80" s="220"/>
      <c r="O80" s="220"/>
      <c r="P80" s="220"/>
      <c r="Q80" s="220"/>
      <c r="R80" s="965"/>
      <c r="S80" s="220"/>
      <c r="T80" s="220"/>
      <c r="U80" s="220"/>
      <c r="V80" s="220"/>
      <c r="W80" s="965"/>
      <c r="X80" s="220"/>
      <c r="Y80" s="220"/>
      <c r="Z80" s="220"/>
      <c r="AA80" s="220"/>
      <c r="AB80" s="965"/>
      <c r="AC80" s="220">
        <f>AC38+AC41</f>
        <v>7</v>
      </c>
      <c r="AD80" s="220">
        <f>AD38+AD41</f>
        <v>35</v>
      </c>
      <c r="AE80" s="220">
        <f>AE38+AE41</f>
        <v>34</v>
      </c>
      <c r="AF80" s="220">
        <f>AF38+AF41</f>
        <v>68</v>
      </c>
      <c r="AG80" s="965">
        <f t="shared" si="230"/>
        <v>144</v>
      </c>
      <c r="AH80" s="220">
        <f>AH38+AH41</f>
        <v>-7</v>
      </c>
      <c r="AI80" s="220">
        <f>AI38+AI41</f>
        <v>55</v>
      </c>
      <c r="AJ80" s="220">
        <f>AJ38+AJ41</f>
        <v>18</v>
      </c>
      <c r="AK80" s="220">
        <f>AK38+AK41</f>
        <v>72</v>
      </c>
      <c r="AL80" s="965">
        <f t="shared" si="231"/>
        <v>138</v>
      </c>
      <c r="AM80" s="220">
        <f>AM38+AM41</f>
        <v>40</v>
      </c>
      <c r="AN80" s="220">
        <f>AN38+AN41</f>
        <v>4</v>
      </c>
      <c r="AO80" s="220">
        <f>AO38+AO41</f>
        <v>13</v>
      </c>
      <c r="AP80" s="220">
        <f>AP38+AP41</f>
        <v>24</v>
      </c>
      <c r="AQ80" s="965">
        <f t="shared" si="232"/>
        <v>81</v>
      </c>
      <c r="AR80" s="220">
        <f>AR38+AR41</f>
        <v>41</v>
      </c>
      <c r="AS80" s="220">
        <f>AS38+AS41</f>
        <v>28</v>
      </c>
      <c r="AT80" s="220">
        <f>AT38+AT41</f>
        <v>32</v>
      </c>
      <c r="AU80" s="220">
        <f>AU38+AU41</f>
        <v>3</v>
      </c>
      <c r="AV80" s="965">
        <f t="shared" si="233"/>
        <v>104</v>
      </c>
      <c r="AW80" s="220">
        <f>AW38+AW41</f>
        <v>5</v>
      </c>
      <c r="AX80" s="220">
        <f>AX38+AX41</f>
        <v>9</v>
      </c>
      <c r="AY80" s="220">
        <f>AY38+AY41</f>
        <v>7</v>
      </c>
      <c r="AZ80" s="220">
        <f>AZ38+AZ41</f>
        <v>-3</v>
      </c>
      <c r="BA80" s="965">
        <f t="shared" si="234"/>
        <v>18</v>
      </c>
      <c r="BB80" s="220">
        <f>BB38+BB41</f>
        <v>-17</v>
      </c>
      <c r="BC80" s="220">
        <f>BC38+BC41</f>
        <v>2</v>
      </c>
      <c r="BD80" s="220">
        <f>BD38+BD41</f>
        <v>-1</v>
      </c>
      <c r="BE80" s="220">
        <f>BE38+BE41</f>
        <v>4</v>
      </c>
      <c r="BF80" s="965">
        <f t="shared" si="235"/>
        <v>-12</v>
      </c>
      <c r="BG80" s="220">
        <f>BG38+BG41</f>
        <v>1</v>
      </c>
      <c r="BH80" s="220">
        <f>BH38+BH41</f>
        <v>3</v>
      </c>
      <c r="BI80" s="220">
        <f>BI38+BI41</f>
        <v>3</v>
      </c>
      <c r="BJ80" s="220">
        <f>BJ38+BJ41</f>
        <v>8</v>
      </c>
      <c r="BK80" s="965">
        <f t="shared" si="236"/>
        <v>15</v>
      </c>
      <c r="BL80" s="220">
        <f>BL38+BL41</f>
        <v>2</v>
      </c>
      <c r="BM80" s="220">
        <f>BM38+BM41</f>
        <v>2</v>
      </c>
      <c r="BN80" s="220">
        <f>BN38+BN41</f>
        <v>3</v>
      </c>
      <c r="BO80" s="220">
        <f>BO38+BO41</f>
        <v>1</v>
      </c>
      <c r="BP80" s="965">
        <f t="shared" si="237"/>
        <v>8</v>
      </c>
      <c r="BQ80" s="220">
        <f>BQ38+BQ41</f>
        <v>2</v>
      </c>
      <c r="BR80" s="220">
        <f>BR38+BR41</f>
        <v>5</v>
      </c>
      <c r="BS80" s="220">
        <f>BS38+BS41</f>
        <v>36</v>
      </c>
      <c r="BT80" s="220">
        <f>BT38+BT41</f>
        <v>-1</v>
      </c>
      <c r="BU80" s="965">
        <f t="shared" si="238"/>
        <v>42</v>
      </c>
      <c r="BV80" s="220">
        <f>BV38+BV41</f>
        <v>3</v>
      </c>
      <c r="BW80" s="220">
        <f>BW38+BW41</f>
        <v>10</v>
      </c>
      <c r="BX80" s="220">
        <f>BX38+BX41</f>
        <v>1</v>
      </c>
      <c r="BY80" s="220">
        <f>BY38+BY41</f>
        <v>-3</v>
      </c>
      <c r="BZ80" s="965">
        <f t="shared" si="239"/>
        <v>11</v>
      </c>
      <c r="CA80" s="220">
        <f>CA38+CA41</f>
        <v>0</v>
      </c>
      <c r="CB80" s="220">
        <f>CB38+CB41</f>
        <v>3</v>
      </c>
      <c r="CC80" s="220">
        <f>CC38+CC41</f>
        <v>1</v>
      </c>
      <c r="CD80" s="1792">
        <f>CD38+CD41</f>
        <v>4</v>
      </c>
      <c r="CE80" s="965">
        <f t="shared" si="240"/>
        <v>8</v>
      </c>
      <c r="CF80" s="220">
        <f>CF38+CF41</f>
        <v>0</v>
      </c>
      <c r="CG80" s="220">
        <f>CG38+CG41</f>
        <v>20</v>
      </c>
      <c r="CH80" s="220">
        <f>CH38+CH41</f>
        <v>0</v>
      </c>
      <c r="CI80" s="1792">
        <f>CI38+CI41</f>
        <v>7</v>
      </c>
      <c r="CJ80" s="965">
        <f>+SUM(CF80:CI80)</f>
        <v>27</v>
      </c>
      <c r="CK80" s="220">
        <f>CK38+CK41</f>
        <v>0</v>
      </c>
      <c r="CL80" s="220">
        <f>CL38+CL41</f>
        <v>0</v>
      </c>
      <c r="CM80" s="220">
        <f>CM38+CM41</f>
        <v>4</v>
      </c>
      <c r="CN80" s="1792">
        <f>CN38+CN41</f>
        <v>2</v>
      </c>
      <c r="CO80" s="965">
        <f>+SUM(CK80:CN80)</f>
        <v>6</v>
      </c>
      <c r="CP80" s="220">
        <f>CP38+CP41</f>
        <v>0</v>
      </c>
      <c r="CQ80" s="220">
        <f>CQ38+CQ41</f>
        <v>25</v>
      </c>
      <c r="CR80" s="220">
        <f>CR38+CR41</f>
        <v>6</v>
      </c>
      <c r="CS80" s="220">
        <f>CS38+CS41</f>
        <v>657</v>
      </c>
      <c r="CT80" s="965">
        <f>+SUM(CP80:CS80)</f>
        <v>688</v>
      </c>
      <c r="CU80" s="220">
        <f t="shared" ref="CU80:DA80" si="248">CU38+CU41</f>
        <v>45</v>
      </c>
      <c r="CV80" s="220">
        <f t="shared" si="248"/>
        <v>0</v>
      </c>
      <c r="CW80" s="220">
        <f t="shared" si="248"/>
        <v>0</v>
      </c>
      <c r="CX80" s="220">
        <f t="shared" si="248"/>
        <v>0</v>
      </c>
      <c r="CY80" s="965">
        <f>+SUM(CU80:CX80)</f>
        <v>45</v>
      </c>
      <c r="CZ80" s="1792">
        <f t="shared" si="248"/>
        <v>5</v>
      </c>
      <c r="DA80" s="965">
        <f t="shared" si="248"/>
        <v>5</v>
      </c>
      <c r="DB80"/>
      <c r="DC80"/>
      <c r="DD80" s="2305" t="s">
        <v>699</v>
      </c>
      <c r="DE80" s="2284">
        <f t="shared" si="203"/>
        <v>0</v>
      </c>
      <c r="DF80" s="2284">
        <f t="shared" si="204"/>
        <v>0</v>
      </c>
      <c r="DG80" s="2284">
        <f t="shared" si="205"/>
        <v>0</v>
      </c>
      <c r="DH80" s="2284">
        <f t="shared" si="206"/>
        <v>0</v>
      </c>
      <c r="DI80" s="2284">
        <f t="shared" si="207"/>
        <v>144</v>
      </c>
      <c r="DJ80" s="2284">
        <f t="shared" si="208"/>
        <v>138</v>
      </c>
      <c r="DK80" s="2284">
        <f t="shared" si="209"/>
        <v>81</v>
      </c>
      <c r="DL80" s="2284">
        <f t="shared" si="210"/>
        <v>104</v>
      </c>
      <c r="DM80" s="2284">
        <f t="shared" si="211"/>
        <v>18</v>
      </c>
      <c r="DN80" s="2284">
        <f t="shared" si="212"/>
        <v>-12</v>
      </c>
      <c r="DO80" s="2284">
        <f t="shared" si="213"/>
        <v>15</v>
      </c>
      <c r="DP80" s="2284">
        <f t="shared" si="214"/>
        <v>8</v>
      </c>
      <c r="DQ80" s="2284">
        <f t="shared" si="215"/>
        <v>42</v>
      </c>
      <c r="DR80" s="2284">
        <f t="shared" si="216"/>
        <v>11</v>
      </c>
      <c r="DS80" s="2284">
        <f t="shared" si="217"/>
        <v>8</v>
      </c>
      <c r="DT80" s="2284">
        <f t="shared" si="218"/>
        <v>27</v>
      </c>
      <c r="DU80" s="2284">
        <f t="shared" si="219"/>
        <v>6</v>
      </c>
      <c r="DV80" s="2284">
        <f t="shared" si="220"/>
        <v>688</v>
      </c>
      <c r="DW80" s="2284">
        <f t="shared" si="221"/>
        <v>45</v>
      </c>
      <c r="DX80" s="2284">
        <f t="shared" si="222"/>
        <v>5</v>
      </c>
      <c r="DY80" s="2284">
        <f t="shared" si="223"/>
        <v>5</v>
      </c>
      <c r="EA80"/>
      <c r="EB80"/>
      <c r="EC80"/>
      <c r="ED80"/>
      <c r="EE80"/>
      <c r="EF80"/>
      <c r="EG80" s="855"/>
      <c r="EH80" s="855"/>
      <c r="EI80" s="855"/>
      <c r="EJ80"/>
      <c r="EK80"/>
      <c r="EL80"/>
      <c r="EM80" s="1703"/>
      <c r="EN80" s="855"/>
      <c r="EO80" s="855"/>
      <c r="EP80" s="855"/>
      <c r="EQ80" s="855"/>
      <c r="ER80" s="234"/>
    </row>
    <row r="81" spans="1:148" s="923" customFormat="1" hidden="1" outlineLevel="1" x14ac:dyDescent="0.2">
      <c r="A81" s="2054" t="s">
        <v>720</v>
      </c>
      <c r="B81" s="220"/>
      <c r="C81" s="220"/>
      <c r="D81" s="220"/>
      <c r="E81" s="220"/>
      <c r="F81" s="220"/>
      <c r="G81" s="220"/>
      <c r="H81" s="220"/>
      <c r="I81" s="220"/>
      <c r="J81" s="220"/>
      <c r="K81" s="220"/>
      <c r="L81" s="220"/>
      <c r="M81" s="965"/>
      <c r="N81" s="220"/>
      <c r="O81" s="220"/>
      <c r="P81" s="220"/>
      <c r="Q81" s="220"/>
      <c r="R81" s="965"/>
      <c r="S81" s="220"/>
      <c r="T81" s="220"/>
      <c r="U81" s="220"/>
      <c r="V81" s="220"/>
      <c r="W81" s="965"/>
      <c r="X81" s="220"/>
      <c r="Y81" s="220"/>
      <c r="Z81" s="220"/>
      <c r="AA81" s="220"/>
      <c r="AB81" s="965"/>
      <c r="AC81" s="220">
        <v>0</v>
      </c>
      <c r="AD81" s="220">
        <v>0</v>
      </c>
      <c r="AE81" s="220">
        <v>0</v>
      </c>
      <c r="AF81" s="220">
        <v>0</v>
      </c>
      <c r="AG81" s="965">
        <v>0</v>
      </c>
      <c r="AH81" s="220">
        <v>-2</v>
      </c>
      <c r="AI81" s="220">
        <v>-2</v>
      </c>
      <c r="AJ81" s="220">
        <f>-12-2</f>
        <v>-14</v>
      </c>
      <c r="AK81" s="220">
        <f>-5-3</f>
        <v>-8</v>
      </c>
      <c r="AL81" s="965">
        <f>-17-9</f>
        <v>-26</v>
      </c>
      <c r="AM81" s="220">
        <f>-4-2</f>
        <v>-6</v>
      </c>
      <c r="AN81" s="220">
        <f>-4-2</f>
        <v>-6</v>
      </c>
      <c r="AO81" s="220">
        <f>-2-2</f>
        <v>-4</v>
      </c>
      <c r="AP81" s="220">
        <f>-8-8</f>
        <v>-16</v>
      </c>
      <c r="AQ81" s="965">
        <f>-18-14</f>
        <v>-32</v>
      </c>
      <c r="AR81" s="220">
        <f>-4-2</f>
        <v>-6</v>
      </c>
      <c r="AS81" s="220">
        <f>-4-2</f>
        <v>-6</v>
      </c>
      <c r="AT81" s="220">
        <f>-4-2</f>
        <v>-6</v>
      </c>
      <c r="AU81" s="220">
        <f>-6-2</f>
        <v>-8</v>
      </c>
      <c r="AV81" s="965">
        <f>-18-8</f>
        <v>-26</v>
      </c>
      <c r="AW81" s="220">
        <v>-3</v>
      </c>
      <c r="AX81" s="220">
        <v>-3</v>
      </c>
      <c r="AY81" s="220">
        <v>-2</v>
      </c>
      <c r="AZ81" s="220">
        <v>-2</v>
      </c>
      <c r="BA81" s="965">
        <f t="shared" si="234"/>
        <v>-10</v>
      </c>
      <c r="BB81" s="220">
        <v>-2</v>
      </c>
      <c r="BC81" s="220">
        <v>-2</v>
      </c>
      <c r="BD81" s="220">
        <v>-2</v>
      </c>
      <c r="BE81" s="220">
        <v>-3</v>
      </c>
      <c r="BF81" s="965">
        <f t="shared" si="235"/>
        <v>-9</v>
      </c>
      <c r="BG81" s="220">
        <v>-3</v>
      </c>
      <c r="BH81" s="220">
        <v>-3</v>
      </c>
      <c r="BI81" s="220">
        <v>-2</v>
      </c>
      <c r="BJ81" s="220">
        <v>-3</v>
      </c>
      <c r="BK81" s="965">
        <f t="shared" si="236"/>
        <v>-11</v>
      </c>
      <c r="BL81" s="220">
        <v>-4</v>
      </c>
      <c r="BM81" s="220">
        <v>-3</v>
      </c>
      <c r="BN81" s="220">
        <v>-4</v>
      </c>
      <c r="BO81" s="220">
        <v>-4</v>
      </c>
      <c r="BP81" s="965">
        <f t="shared" si="237"/>
        <v>-15</v>
      </c>
      <c r="BQ81" s="220">
        <f>+BL81*1.02</f>
        <v>-4.08</v>
      </c>
      <c r="BR81" s="220">
        <f>+BM81*1.02</f>
        <v>-3.06</v>
      </c>
      <c r="BS81" s="220">
        <v>-3</v>
      </c>
      <c r="BT81" s="220">
        <v>-5</v>
      </c>
      <c r="BU81" s="965">
        <f t="shared" si="238"/>
        <v>-15.14</v>
      </c>
      <c r="BV81" s="220">
        <f>-BV94</f>
        <v>-3</v>
      </c>
      <c r="BW81" s="220">
        <f>-BW94</f>
        <v>-3</v>
      </c>
      <c r="BX81" s="220">
        <f>-BX94</f>
        <v>-3</v>
      </c>
      <c r="BY81" s="220">
        <f>-BY94</f>
        <v>-4</v>
      </c>
      <c r="BZ81" s="965">
        <f t="shared" si="239"/>
        <v>-13</v>
      </c>
      <c r="CA81" s="220">
        <f>-CA94</f>
        <v>-4</v>
      </c>
      <c r="CB81" s="220">
        <f>-CB94</f>
        <v>-3</v>
      </c>
      <c r="CC81" s="220">
        <f>-CC94</f>
        <v>-1</v>
      </c>
      <c r="CD81" s="1792">
        <f>-CD94</f>
        <v>-2</v>
      </c>
      <c r="CE81" s="965">
        <f t="shared" si="240"/>
        <v>-10</v>
      </c>
      <c r="CF81" s="220">
        <f>-CF94</f>
        <v>-3</v>
      </c>
      <c r="CG81" s="220">
        <f>-CG94</f>
        <v>-2</v>
      </c>
      <c r="CH81" s="220">
        <f>-CH94</f>
        <v>-3</v>
      </c>
      <c r="CI81" s="1792">
        <f>+$CJ81/4</f>
        <v>-2.5499999999999998</v>
      </c>
      <c r="CJ81" s="965">
        <f>+CE81*1.02</f>
        <v>-10.199999999999999</v>
      </c>
      <c r="CK81" s="220">
        <f>+$CJ81/4</f>
        <v>-2.5499999999999998</v>
      </c>
      <c r="CL81" s="220">
        <f>+$CJ81/4</f>
        <v>-2.5499999999999998</v>
      </c>
      <c r="CM81" s="220">
        <f>+$CJ81/4</f>
        <v>-2.5499999999999998</v>
      </c>
      <c r="CN81" s="1792">
        <f>+$CJ81/4</f>
        <v>-2.5499999999999998</v>
      </c>
      <c r="CO81" s="965">
        <f>+CJ81*1.02</f>
        <v>-10.404</v>
      </c>
      <c r="CP81" s="220">
        <f>+$CJ81/4</f>
        <v>-2.5499999999999998</v>
      </c>
      <c r="CQ81" s="220">
        <f>+$CJ81/4</f>
        <v>-2.5499999999999998</v>
      </c>
      <c r="CR81" s="220">
        <f>+$CJ81/4</f>
        <v>-2.5499999999999998</v>
      </c>
      <c r="CS81" s="220">
        <f>+$CJ81/4</f>
        <v>-2.5499999999999998</v>
      </c>
      <c r="CT81" s="965">
        <f>+CO81*1.02</f>
        <v>-10.612080000000001</v>
      </c>
      <c r="CU81" s="220">
        <f>+$CJ81/4</f>
        <v>-2.5499999999999998</v>
      </c>
      <c r="CV81" s="220">
        <f>+$CJ81/4</f>
        <v>-2.5499999999999998</v>
      </c>
      <c r="CW81" s="220">
        <f>+$CJ81/4</f>
        <v>-2.5499999999999998</v>
      </c>
      <c r="CX81" s="220">
        <f>+$CJ81/4</f>
        <v>-2.5499999999999998</v>
      </c>
      <c r="CY81" s="965">
        <f>+CT81*1.02</f>
        <v>-10.824321600000001</v>
      </c>
      <c r="CZ81" s="1792">
        <f>+CY81*1.02</f>
        <v>-11.040808032000001</v>
      </c>
      <c r="DA81" s="965">
        <f>+CZ81*1.02</f>
        <v>-11.261624192640001</v>
      </c>
      <c r="DB81"/>
      <c r="DC81"/>
      <c r="DD81" s="2305" t="s">
        <v>720</v>
      </c>
      <c r="DE81" s="2284">
        <f t="shared" si="203"/>
        <v>0</v>
      </c>
      <c r="DF81" s="2284">
        <f t="shared" si="204"/>
        <v>0</v>
      </c>
      <c r="DG81" s="2284">
        <f t="shared" si="205"/>
        <v>0</v>
      </c>
      <c r="DH81" s="2284">
        <f t="shared" si="206"/>
        <v>0</v>
      </c>
      <c r="DI81" s="2284">
        <f t="shared" si="207"/>
        <v>0</v>
      </c>
      <c r="DJ81" s="2284">
        <f t="shared" si="208"/>
        <v>-26</v>
      </c>
      <c r="DK81" s="2284">
        <f t="shared" si="209"/>
        <v>-32</v>
      </c>
      <c r="DL81" s="2284">
        <f t="shared" si="210"/>
        <v>-26</v>
      </c>
      <c r="DM81" s="2284">
        <f t="shared" si="211"/>
        <v>-10</v>
      </c>
      <c r="DN81" s="2284">
        <f t="shared" si="212"/>
        <v>-9</v>
      </c>
      <c r="DO81" s="2284">
        <f t="shared" si="213"/>
        <v>-11</v>
      </c>
      <c r="DP81" s="2284">
        <f t="shared" si="214"/>
        <v>-15</v>
      </c>
      <c r="DQ81" s="2284">
        <f t="shared" si="215"/>
        <v>-15.14</v>
      </c>
      <c r="DR81" s="2284">
        <f t="shared" si="216"/>
        <v>-13</v>
      </c>
      <c r="DS81" s="2284">
        <f t="shared" si="217"/>
        <v>-10</v>
      </c>
      <c r="DT81" s="2284">
        <f t="shared" si="218"/>
        <v>-10.199999999999999</v>
      </c>
      <c r="DU81" s="2284">
        <f t="shared" si="219"/>
        <v>-10.404</v>
      </c>
      <c r="DV81" s="2284">
        <f t="shared" si="220"/>
        <v>-10.612080000000001</v>
      </c>
      <c r="DW81" s="2284">
        <f t="shared" si="221"/>
        <v>-10.824321600000001</v>
      </c>
      <c r="DX81" s="2284">
        <f t="shared" si="222"/>
        <v>-11.040808032000001</v>
      </c>
      <c r="DY81" s="2284">
        <f t="shared" si="223"/>
        <v>-11.261624192640001</v>
      </c>
      <c r="EA81"/>
      <c r="EB81"/>
      <c r="EC81"/>
      <c r="ED81"/>
      <c r="EE81"/>
      <c r="EF81"/>
      <c r="EG81" s="855"/>
      <c r="EH81" s="855"/>
      <c r="EI81" s="855"/>
      <c r="EJ81"/>
      <c r="EK81"/>
      <c r="EL81"/>
      <c r="EM81" s="1703"/>
      <c r="EN81" s="855"/>
      <c r="EO81" s="855"/>
      <c r="EP81" s="855"/>
      <c r="EQ81" s="855"/>
      <c r="ER81" s="234"/>
    </row>
    <row r="82" spans="1:148" s="923" customFormat="1" hidden="1" outlineLevel="1" x14ac:dyDescent="0.2">
      <c r="A82" s="507" t="s">
        <v>230</v>
      </c>
      <c r="B82" s="224"/>
      <c r="C82" s="224"/>
      <c r="D82" s="224"/>
      <c r="E82" s="224"/>
      <c r="F82" s="224"/>
      <c r="G82" s="224"/>
      <c r="H82" s="224"/>
      <c r="I82" s="224"/>
      <c r="J82" s="224"/>
      <c r="K82" s="224"/>
      <c r="L82" s="224"/>
      <c r="M82" s="965"/>
      <c r="N82" s="224"/>
      <c r="O82" s="224"/>
      <c r="P82" s="224"/>
      <c r="Q82" s="224"/>
      <c r="R82" s="965"/>
      <c r="S82" s="224"/>
      <c r="T82" s="224"/>
      <c r="U82" s="224"/>
      <c r="V82" s="224"/>
      <c r="W82" s="965"/>
      <c r="X82" s="224"/>
      <c r="Y82" s="224"/>
      <c r="Z82" s="224"/>
      <c r="AA82" s="224"/>
      <c r="AB82" s="965"/>
      <c r="AC82" s="224">
        <v>-1</v>
      </c>
      <c r="AD82" s="224">
        <v>0</v>
      </c>
      <c r="AE82" s="224">
        <v>-1</v>
      </c>
      <c r="AF82" s="224">
        <v>-1</v>
      </c>
      <c r="AG82" s="965">
        <f t="shared" si="230"/>
        <v>-3</v>
      </c>
      <c r="AH82" s="224">
        <v>0</v>
      </c>
      <c r="AI82" s="224">
        <v>-29</v>
      </c>
      <c r="AJ82" s="224">
        <v>0</v>
      </c>
      <c r="AK82" s="224">
        <v>-2</v>
      </c>
      <c r="AL82" s="965">
        <f t="shared" si="231"/>
        <v>-31</v>
      </c>
      <c r="AM82" s="224">
        <v>0</v>
      </c>
      <c r="AN82" s="224">
        <v>0</v>
      </c>
      <c r="AO82" s="224">
        <v>0</v>
      </c>
      <c r="AP82" s="224">
        <v>0</v>
      </c>
      <c r="AQ82" s="965">
        <f t="shared" si="232"/>
        <v>0</v>
      </c>
      <c r="AR82" s="224">
        <v>0</v>
      </c>
      <c r="AS82" s="224">
        <v>0</v>
      </c>
      <c r="AT82" s="224">
        <v>0</v>
      </c>
      <c r="AU82" s="224">
        <v>0</v>
      </c>
      <c r="AV82" s="965">
        <f t="shared" si="233"/>
        <v>0</v>
      </c>
      <c r="AW82" s="224">
        <v>2</v>
      </c>
      <c r="AX82" s="224">
        <f>1+2</f>
        <v>3</v>
      </c>
      <c r="AY82" s="224">
        <f>6</f>
        <v>6</v>
      </c>
      <c r="AZ82" s="224">
        <v>2</v>
      </c>
      <c r="BA82" s="965">
        <f t="shared" si="234"/>
        <v>13</v>
      </c>
      <c r="BB82" s="224">
        <f>1+129</f>
        <v>130</v>
      </c>
      <c r="BC82" s="224">
        <f>2+57</f>
        <v>59</v>
      </c>
      <c r="BD82" s="224">
        <f>1+752+8</f>
        <v>761</v>
      </c>
      <c r="BE82" s="224">
        <v>0</v>
      </c>
      <c r="BF82" s="965">
        <f t="shared" si="235"/>
        <v>950</v>
      </c>
      <c r="BG82" s="224">
        <v>0</v>
      </c>
      <c r="BH82" s="224">
        <v>0</v>
      </c>
      <c r="BI82" s="224">
        <v>0</v>
      </c>
      <c r="BJ82" s="224">
        <v>0</v>
      </c>
      <c r="BK82" s="965">
        <f t="shared" si="236"/>
        <v>0</v>
      </c>
      <c r="BL82" s="224">
        <v>0</v>
      </c>
      <c r="BM82" s="224">
        <v>0</v>
      </c>
      <c r="BN82" s="224">
        <v>0</v>
      </c>
      <c r="BO82" s="224">
        <v>0</v>
      </c>
      <c r="BP82" s="965">
        <f t="shared" si="237"/>
        <v>0</v>
      </c>
      <c r="BQ82" s="224">
        <v>0</v>
      </c>
      <c r="BR82" s="224">
        <v>0</v>
      </c>
      <c r="BS82" s="224">
        <v>0</v>
      </c>
      <c r="BT82" s="224">
        <v>0</v>
      </c>
      <c r="BU82" s="965">
        <f t="shared" si="238"/>
        <v>0</v>
      </c>
      <c r="BV82" s="224">
        <v>0</v>
      </c>
      <c r="BW82" s="224">
        <v>0</v>
      </c>
      <c r="BX82" s="224">
        <v>0</v>
      </c>
      <c r="BY82" s="224">
        <v>0</v>
      </c>
      <c r="BZ82" s="965">
        <f t="shared" si="239"/>
        <v>0</v>
      </c>
      <c r="CA82" s="224">
        <v>0</v>
      </c>
      <c r="CB82" s="220">
        <v>0</v>
      </c>
      <c r="CC82" s="220">
        <v>0</v>
      </c>
      <c r="CD82" s="1792">
        <v>0</v>
      </c>
      <c r="CE82" s="965">
        <f t="shared" si="240"/>
        <v>0</v>
      </c>
      <c r="CF82" s="224">
        <v>0</v>
      </c>
      <c r="CG82" s="224">
        <v>0</v>
      </c>
      <c r="CH82" s="224">
        <v>0</v>
      </c>
      <c r="CI82" s="1792">
        <v>0</v>
      </c>
      <c r="CJ82" s="965">
        <f>+SUM(CF82:CI82)</f>
        <v>0</v>
      </c>
      <c r="CK82" s="220">
        <v>0</v>
      </c>
      <c r="CL82" s="220">
        <v>0</v>
      </c>
      <c r="CM82" s="220">
        <v>0</v>
      </c>
      <c r="CN82" s="1792">
        <v>0</v>
      </c>
      <c r="CO82" s="965">
        <f>+SUM(CK82:CN82)</f>
        <v>0</v>
      </c>
      <c r="CP82" s="220">
        <v>0</v>
      </c>
      <c r="CQ82" s="220">
        <v>0</v>
      </c>
      <c r="CR82" s="220">
        <v>0</v>
      </c>
      <c r="CS82" s="220">
        <v>0</v>
      </c>
      <c r="CT82" s="965">
        <f>+SUM(CP82:CS82)</f>
        <v>0</v>
      </c>
      <c r="CU82" s="220">
        <v>0</v>
      </c>
      <c r="CV82" s="220">
        <v>0</v>
      </c>
      <c r="CW82" s="220">
        <v>0</v>
      </c>
      <c r="CX82" s="220">
        <v>0</v>
      </c>
      <c r="CY82" s="965">
        <f>+SUM(CU82:CX82)</f>
        <v>0</v>
      </c>
      <c r="CZ82" s="1792">
        <v>0</v>
      </c>
      <c r="DA82" s="965">
        <v>0</v>
      </c>
      <c r="DB82"/>
      <c r="DC82"/>
      <c r="DD82" s="2295" t="s">
        <v>230</v>
      </c>
      <c r="DE82" s="2284">
        <f t="shared" si="203"/>
        <v>0</v>
      </c>
      <c r="DF82" s="2284">
        <f t="shared" si="204"/>
        <v>0</v>
      </c>
      <c r="DG82" s="2284">
        <f t="shared" si="205"/>
        <v>0</v>
      </c>
      <c r="DH82" s="2284">
        <f t="shared" si="206"/>
        <v>0</v>
      </c>
      <c r="DI82" s="2284">
        <f t="shared" si="207"/>
        <v>-3</v>
      </c>
      <c r="DJ82" s="2284">
        <f t="shared" si="208"/>
        <v>-31</v>
      </c>
      <c r="DK82" s="2284">
        <f t="shared" si="209"/>
        <v>0</v>
      </c>
      <c r="DL82" s="2284">
        <f t="shared" si="210"/>
        <v>0</v>
      </c>
      <c r="DM82" s="2284">
        <f t="shared" si="211"/>
        <v>13</v>
      </c>
      <c r="DN82" s="2284">
        <f t="shared" si="212"/>
        <v>950</v>
      </c>
      <c r="DO82" s="2284">
        <f t="shared" si="213"/>
        <v>0</v>
      </c>
      <c r="DP82" s="2284">
        <f t="shared" si="214"/>
        <v>0</v>
      </c>
      <c r="DQ82" s="2284">
        <f t="shared" si="215"/>
        <v>0</v>
      </c>
      <c r="DR82" s="2284">
        <f t="shared" si="216"/>
        <v>0</v>
      </c>
      <c r="DS82" s="2284">
        <f t="shared" si="217"/>
        <v>0</v>
      </c>
      <c r="DT82" s="2284">
        <f t="shared" si="218"/>
        <v>0</v>
      </c>
      <c r="DU82" s="2284">
        <f t="shared" si="219"/>
        <v>0</v>
      </c>
      <c r="DV82" s="2284">
        <f t="shared" si="220"/>
        <v>0</v>
      </c>
      <c r="DW82" s="2284">
        <f t="shared" si="221"/>
        <v>0</v>
      </c>
      <c r="DX82" s="2284">
        <f t="shared" si="222"/>
        <v>0</v>
      </c>
      <c r="DY82" s="2284">
        <f t="shared" si="223"/>
        <v>0</v>
      </c>
      <c r="EA82"/>
      <c r="EB82"/>
      <c r="EC82"/>
      <c r="ED82"/>
      <c r="EE82"/>
      <c r="EF82"/>
      <c r="EG82" s="855"/>
      <c r="EH82" s="855"/>
      <c r="EI82" s="855"/>
      <c r="EJ82"/>
      <c r="EK82"/>
      <c r="EL82"/>
      <c r="EM82" s="1703"/>
      <c r="EN82" s="855"/>
      <c r="EO82" s="855"/>
      <c r="EP82" s="855"/>
      <c r="EQ82" s="855"/>
      <c r="ER82" s="234"/>
    </row>
    <row r="83" spans="1:148" s="923" customFormat="1" ht="12.75" hidden="1" customHeight="1" outlineLevel="1" x14ac:dyDescent="0.2">
      <c r="A83" s="507" t="s">
        <v>231</v>
      </c>
      <c r="B83" s="220"/>
      <c r="C83" s="220"/>
      <c r="D83" s="220"/>
      <c r="E83" s="220"/>
      <c r="F83" s="220"/>
      <c r="G83" s="220"/>
      <c r="H83" s="220"/>
      <c r="I83" s="220"/>
      <c r="J83" s="220"/>
      <c r="K83" s="220"/>
      <c r="L83" s="220"/>
      <c r="M83" s="965"/>
      <c r="N83" s="220"/>
      <c r="O83" s="220"/>
      <c r="P83" s="220"/>
      <c r="Q83" s="220"/>
      <c r="R83" s="965"/>
      <c r="S83" s="220"/>
      <c r="T83" s="220"/>
      <c r="U83" s="220"/>
      <c r="V83" s="220"/>
      <c r="W83" s="965"/>
      <c r="X83" s="220"/>
      <c r="Y83" s="220"/>
      <c r="Z83" s="220"/>
      <c r="AA83" s="220"/>
      <c r="AB83" s="965"/>
      <c r="AC83" s="220"/>
      <c r="AD83" s="220">
        <v>-1</v>
      </c>
      <c r="AE83" s="220">
        <v>-10</v>
      </c>
      <c r="AF83" s="220">
        <v>4</v>
      </c>
      <c r="AG83" s="965">
        <v>-7</v>
      </c>
      <c r="AH83" s="220"/>
      <c r="AI83" s="220"/>
      <c r="AJ83" s="220"/>
      <c r="AK83" s="220"/>
      <c r="AL83" s="965">
        <f t="shared" si="231"/>
        <v>0</v>
      </c>
      <c r="AM83" s="220">
        <v>1</v>
      </c>
      <c r="AN83" s="220">
        <v>0</v>
      </c>
      <c r="AO83" s="220">
        <v>0</v>
      </c>
      <c r="AP83" s="220">
        <v>-1</v>
      </c>
      <c r="AQ83" s="965">
        <f t="shared" si="232"/>
        <v>0</v>
      </c>
      <c r="AR83" s="220">
        <v>0</v>
      </c>
      <c r="AS83" s="220">
        <v>-13</v>
      </c>
      <c r="AT83" s="220">
        <v>1</v>
      </c>
      <c r="AU83" s="220">
        <v>0</v>
      </c>
      <c r="AV83" s="965">
        <f t="shared" si="233"/>
        <v>-12</v>
      </c>
      <c r="AW83" s="220">
        <v>0</v>
      </c>
      <c r="AX83" s="220">
        <v>0</v>
      </c>
      <c r="AY83" s="220">
        <v>9</v>
      </c>
      <c r="AZ83" s="220">
        <f>2+192</f>
        <v>194</v>
      </c>
      <c r="BA83" s="965">
        <f t="shared" si="234"/>
        <v>203</v>
      </c>
      <c r="BB83" s="220">
        <f>2</f>
        <v>2</v>
      </c>
      <c r="BC83" s="220">
        <f>2</f>
        <v>2</v>
      </c>
      <c r="BD83" s="220">
        <v>3</v>
      </c>
      <c r="BE83" s="220">
        <v>0</v>
      </c>
      <c r="BF83" s="965">
        <f t="shared" si="235"/>
        <v>7</v>
      </c>
      <c r="BG83" s="220">
        <v>0</v>
      </c>
      <c r="BH83" s="220">
        <v>0</v>
      </c>
      <c r="BI83" s="220">
        <v>0</v>
      </c>
      <c r="BJ83" s="220">
        <v>0</v>
      </c>
      <c r="BK83" s="965">
        <f t="shared" si="236"/>
        <v>0</v>
      </c>
      <c r="BL83" s="220">
        <v>0</v>
      </c>
      <c r="BM83" s="220">
        <v>0</v>
      </c>
      <c r="BN83" s="220">
        <v>0</v>
      </c>
      <c r="BO83" s="220">
        <v>0</v>
      </c>
      <c r="BP83" s="965">
        <f t="shared" si="237"/>
        <v>0</v>
      </c>
      <c r="BQ83" s="220">
        <v>0</v>
      </c>
      <c r="BR83" s="220">
        <v>0</v>
      </c>
      <c r="BS83" s="220">
        <v>0</v>
      </c>
      <c r="BT83" s="220">
        <v>0</v>
      </c>
      <c r="BU83" s="965">
        <f t="shared" si="238"/>
        <v>0</v>
      </c>
      <c r="BV83" s="220">
        <v>0</v>
      </c>
      <c r="BW83" s="220">
        <v>0</v>
      </c>
      <c r="BX83" s="220">
        <v>0</v>
      </c>
      <c r="BY83" s="220">
        <v>0</v>
      </c>
      <c r="BZ83" s="965">
        <f t="shared" si="239"/>
        <v>0</v>
      </c>
      <c r="CA83" s="220">
        <v>0</v>
      </c>
      <c r="CB83" s="220">
        <v>0</v>
      </c>
      <c r="CC83" s="220">
        <v>0</v>
      </c>
      <c r="CD83" s="1792">
        <v>0</v>
      </c>
      <c r="CE83" s="965">
        <f t="shared" si="240"/>
        <v>0</v>
      </c>
      <c r="CF83" s="220">
        <v>0</v>
      </c>
      <c r="CG83" s="220">
        <v>0</v>
      </c>
      <c r="CH83" s="220">
        <v>0</v>
      </c>
      <c r="CI83" s="1792">
        <v>0</v>
      </c>
      <c r="CJ83" s="965">
        <f>+SUM(CF83:CI83)</f>
        <v>0</v>
      </c>
      <c r="CK83" s="220">
        <v>0</v>
      </c>
      <c r="CL83" s="220">
        <v>0</v>
      </c>
      <c r="CM83" s="220">
        <v>0</v>
      </c>
      <c r="CN83" s="1792">
        <v>0</v>
      </c>
      <c r="CO83" s="965">
        <f>+SUM(CK83:CN83)</f>
        <v>0</v>
      </c>
      <c r="CP83" s="220">
        <v>0</v>
      </c>
      <c r="CQ83" s="220">
        <v>0</v>
      </c>
      <c r="CR83" s="220">
        <v>0</v>
      </c>
      <c r="CS83" s="220">
        <v>0</v>
      </c>
      <c r="CT83" s="965">
        <f>+SUM(CP83:CS83)</f>
        <v>0</v>
      </c>
      <c r="CU83" s="220">
        <v>0</v>
      </c>
      <c r="CV83" s="220">
        <v>0</v>
      </c>
      <c r="CW83" s="220">
        <v>0</v>
      </c>
      <c r="CX83" s="220">
        <v>0</v>
      </c>
      <c r="CY83" s="965">
        <f>+SUM(CU83:CX83)</f>
        <v>0</v>
      </c>
      <c r="CZ83" s="1792">
        <v>0</v>
      </c>
      <c r="DA83" s="965">
        <v>0</v>
      </c>
      <c r="DB83"/>
      <c r="DC83"/>
      <c r="DD83" s="2295" t="s">
        <v>231</v>
      </c>
      <c r="DE83" s="2284">
        <f t="shared" si="203"/>
        <v>0</v>
      </c>
      <c r="DF83" s="2284">
        <f t="shared" si="204"/>
        <v>0</v>
      </c>
      <c r="DG83" s="2284">
        <f t="shared" si="205"/>
        <v>0</v>
      </c>
      <c r="DH83" s="2284">
        <f t="shared" si="206"/>
        <v>0</v>
      </c>
      <c r="DI83" s="2284">
        <f t="shared" si="207"/>
        <v>-7</v>
      </c>
      <c r="DJ83" s="2284">
        <f t="shared" si="208"/>
        <v>0</v>
      </c>
      <c r="DK83" s="2284">
        <f t="shared" si="209"/>
        <v>0</v>
      </c>
      <c r="DL83" s="2284">
        <f t="shared" si="210"/>
        <v>-12</v>
      </c>
      <c r="DM83" s="2284">
        <f t="shared" si="211"/>
        <v>203</v>
      </c>
      <c r="DN83" s="2284">
        <f t="shared" si="212"/>
        <v>7</v>
      </c>
      <c r="DO83" s="2284">
        <f t="shared" si="213"/>
        <v>0</v>
      </c>
      <c r="DP83" s="2284">
        <f t="shared" si="214"/>
        <v>0</v>
      </c>
      <c r="DQ83" s="2284">
        <f t="shared" si="215"/>
        <v>0</v>
      </c>
      <c r="DR83" s="2284">
        <f t="shared" si="216"/>
        <v>0</v>
      </c>
      <c r="DS83" s="2284">
        <f t="shared" si="217"/>
        <v>0</v>
      </c>
      <c r="DT83" s="2284">
        <f t="shared" si="218"/>
        <v>0</v>
      </c>
      <c r="DU83" s="2284">
        <f t="shared" si="219"/>
        <v>0</v>
      </c>
      <c r="DV83" s="2284">
        <f t="shared" si="220"/>
        <v>0</v>
      </c>
      <c r="DW83" s="2284">
        <f t="shared" si="221"/>
        <v>0</v>
      </c>
      <c r="DX83" s="2284">
        <f t="shared" si="222"/>
        <v>0</v>
      </c>
      <c r="DY83" s="2284">
        <f t="shared" si="223"/>
        <v>0</v>
      </c>
      <c r="EA83"/>
      <c r="EB83"/>
      <c r="EC83"/>
      <c r="ED83"/>
      <c r="EE83"/>
      <c r="EF83"/>
      <c r="EG83" s="855"/>
      <c r="EH83" s="855"/>
      <c r="EI83" s="855"/>
      <c r="EJ83"/>
      <c r="EK83"/>
      <c r="EL83"/>
      <c r="EM83" s="1703"/>
      <c r="EN83" s="855"/>
      <c r="EO83" s="855"/>
      <c r="EP83" s="855"/>
      <c r="EQ83" s="855"/>
      <c r="ER83" s="234"/>
    </row>
    <row r="84" spans="1:148" s="1703" customFormat="1" ht="12.75" hidden="1" customHeight="1" outlineLevel="1" x14ac:dyDescent="0.2">
      <c r="A84" s="2988" t="s">
        <v>2453</v>
      </c>
      <c r="B84" s="1667"/>
      <c r="C84" s="1667"/>
      <c r="D84" s="1667"/>
      <c r="E84" s="1667"/>
      <c r="F84" s="1667"/>
      <c r="G84" s="1667"/>
      <c r="H84" s="1667"/>
      <c r="I84" s="1667"/>
      <c r="J84" s="1667"/>
      <c r="K84" s="1667"/>
      <c r="L84" s="1667"/>
      <c r="M84" s="1668"/>
      <c r="N84" s="1667"/>
      <c r="O84" s="1667"/>
      <c r="P84" s="1667"/>
      <c r="Q84" s="1667"/>
      <c r="R84" s="1668"/>
      <c r="S84" s="1667"/>
      <c r="T84" s="1667"/>
      <c r="U84" s="1667"/>
      <c r="V84" s="1667"/>
      <c r="W84" s="1668"/>
      <c r="X84" s="1667"/>
      <c r="Y84" s="1667"/>
      <c r="Z84" s="1667"/>
      <c r="AA84" s="1667"/>
      <c r="AB84" s="1668"/>
      <c r="AC84" s="1667">
        <f t="shared" ref="AC84:AL84" si="249">+SUM(AC74:AC83)</f>
        <v>243</v>
      </c>
      <c r="AD84" s="1667">
        <f t="shared" si="249"/>
        <v>279</v>
      </c>
      <c r="AE84" s="1667">
        <f t="shared" si="249"/>
        <v>239</v>
      </c>
      <c r="AF84" s="1667">
        <f t="shared" si="249"/>
        <v>343</v>
      </c>
      <c r="AG84" s="1668">
        <f t="shared" si="249"/>
        <v>1104</v>
      </c>
      <c r="AH84" s="1667">
        <f t="shared" si="249"/>
        <v>276</v>
      </c>
      <c r="AI84" s="1667">
        <f t="shared" si="249"/>
        <v>306</v>
      </c>
      <c r="AJ84" s="1667">
        <f t="shared" si="249"/>
        <v>267</v>
      </c>
      <c r="AK84" s="1667">
        <f t="shared" si="249"/>
        <v>421</v>
      </c>
      <c r="AL84" s="1668">
        <f t="shared" si="249"/>
        <v>1270</v>
      </c>
      <c r="AM84" s="1667">
        <f t="shared" ref="AM84:BK84" si="250">+SUM(AM74:AM83)</f>
        <v>324</v>
      </c>
      <c r="AN84" s="1667">
        <f t="shared" si="250"/>
        <v>363</v>
      </c>
      <c r="AO84" s="1667">
        <f t="shared" si="250"/>
        <v>300</v>
      </c>
      <c r="AP84" s="1667">
        <f t="shared" si="250"/>
        <v>437</v>
      </c>
      <c r="AQ84" s="1668">
        <f t="shared" si="250"/>
        <v>1424</v>
      </c>
      <c r="AR84" s="1667">
        <f t="shared" si="250"/>
        <v>334</v>
      </c>
      <c r="AS84" s="1667">
        <f t="shared" si="250"/>
        <v>441</v>
      </c>
      <c r="AT84" s="1667">
        <f t="shared" si="250"/>
        <v>308</v>
      </c>
      <c r="AU84" s="1667">
        <f t="shared" si="250"/>
        <v>497</v>
      </c>
      <c r="AV84" s="1668">
        <f t="shared" si="250"/>
        <v>1580</v>
      </c>
      <c r="AW84" s="1667">
        <f t="shared" si="250"/>
        <v>287</v>
      </c>
      <c r="AX84" s="1667">
        <f t="shared" si="250"/>
        <v>385</v>
      </c>
      <c r="AY84" s="1667">
        <f t="shared" si="250"/>
        <v>286</v>
      </c>
      <c r="AZ84" s="1667">
        <f t="shared" si="250"/>
        <v>340</v>
      </c>
      <c r="BA84" s="1668">
        <f t="shared" si="250"/>
        <v>1298</v>
      </c>
      <c r="BB84" s="1667">
        <f t="shared" si="250"/>
        <v>215</v>
      </c>
      <c r="BC84" s="1667">
        <f t="shared" si="250"/>
        <v>220</v>
      </c>
      <c r="BD84" s="1667">
        <f t="shared" si="250"/>
        <v>163</v>
      </c>
      <c r="BE84" s="1667">
        <f t="shared" si="250"/>
        <v>300</v>
      </c>
      <c r="BF84" s="1668">
        <f t="shared" si="250"/>
        <v>898</v>
      </c>
      <c r="BG84" s="1667">
        <f t="shared" si="250"/>
        <v>187</v>
      </c>
      <c r="BH84" s="1667">
        <f t="shared" si="250"/>
        <v>239</v>
      </c>
      <c r="BI84" s="1667">
        <f t="shared" si="250"/>
        <v>177</v>
      </c>
      <c r="BJ84" s="1667">
        <f t="shared" si="250"/>
        <v>282</v>
      </c>
      <c r="BK84" s="1668">
        <f t="shared" si="250"/>
        <v>885</v>
      </c>
      <c r="BL84" s="1667">
        <f t="shared" ref="BL84:BV84" si="251">+SUM(BL74:BL83)</f>
        <v>197</v>
      </c>
      <c r="BM84" s="1667">
        <f t="shared" si="251"/>
        <v>256</v>
      </c>
      <c r="BN84" s="1667">
        <f t="shared" si="251"/>
        <v>223</v>
      </c>
      <c r="BO84" s="1667">
        <f t="shared" si="251"/>
        <v>316</v>
      </c>
      <c r="BP84" s="1668">
        <f t="shared" si="251"/>
        <v>992</v>
      </c>
      <c r="BQ84" s="1667">
        <f t="shared" si="251"/>
        <v>214.92</v>
      </c>
      <c r="BR84" s="1667">
        <f t="shared" si="251"/>
        <v>288.94</v>
      </c>
      <c r="BS84" s="1667">
        <f t="shared" si="251"/>
        <v>284</v>
      </c>
      <c r="BT84" s="1667">
        <f t="shared" si="251"/>
        <v>364</v>
      </c>
      <c r="BU84" s="1668">
        <f t="shared" si="251"/>
        <v>1151.8599999999999</v>
      </c>
      <c r="BV84" s="1667">
        <f t="shared" si="251"/>
        <v>258</v>
      </c>
      <c r="BW84" s="1667">
        <f t="shared" ref="BW84:CE84" si="252">+SUM(BW74:BW83)</f>
        <v>326</v>
      </c>
      <c r="BX84" s="1667">
        <f t="shared" si="252"/>
        <v>286</v>
      </c>
      <c r="BY84" s="1667">
        <f t="shared" si="252"/>
        <v>278</v>
      </c>
      <c r="BZ84" s="1668">
        <f t="shared" si="252"/>
        <v>1148</v>
      </c>
      <c r="CA84" s="1667">
        <f t="shared" si="252"/>
        <v>298</v>
      </c>
      <c r="CB84" s="1667">
        <f t="shared" si="252"/>
        <v>348</v>
      </c>
      <c r="CC84" s="1667">
        <f t="shared" si="252"/>
        <v>352</v>
      </c>
      <c r="CD84" s="1786">
        <f t="shared" si="252"/>
        <v>341</v>
      </c>
      <c r="CE84" s="1668">
        <f t="shared" si="252"/>
        <v>1339</v>
      </c>
      <c r="CF84" s="1667">
        <f>+SUM(CF74:CF83)</f>
        <v>376</v>
      </c>
      <c r="CG84" s="1667">
        <f>+SUM(CG74:CG83)</f>
        <v>429</v>
      </c>
      <c r="CH84" s="1667">
        <f>+SUM(CH74:CH83)</f>
        <v>384</v>
      </c>
      <c r="CI84" s="1786">
        <f>+SUM(CI74:CI83)</f>
        <v>362.75</v>
      </c>
      <c r="CJ84" s="1668">
        <f>+SUM(CJ74:CJ83)</f>
        <v>1552</v>
      </c>
      <c r="CK84" s="1667">
        <f t="shared" ref="CK84:CT84" si="253">+SUM(CK74:CK83)</f>
        <v>404.75</v>
      </c>
      <c r="CL84" s="1667">
        <f t="shared" si="253"/>
        <v>431.75</v>
      </c>
      <c r="CM84" s="1667">
        <f t="shared" si="253"/>
        <v>429.75</v>
      </c>
      <c r="CN84" s="1786">
        <f t="shared" si="253"/>
        <v>665.75</v>
      </c>
      <c r="CO84" s="1668">
        <f t="shared" si="253"/>
        <v>1932</v>
      </c>
      <c r="CP84" s="1667">
        <f t="shared" si="253"/>
        <v>671.75</v>
      </c>
      <c r="CQ84" s="1667">
        <f t="shared" si="253"/>
        <v>771.75</v>
      </c>
      <c r="CR84" s="1667">
        <f t="shared" si="253"/>
        <v>721.75</v>
      </c>
      <c r="CS84" s="1667">
        <f t="shared" si="253"/>
        <v>1382.75</v>
      </c>
      <c r="CT84" s="1668">
        <f t="shared" si="253"/>
        <v>3548</v>
      </c>
      <c r="CU84" s="1667">
        <f t="shared" ref="CU84:DA84" ca="1" si="254">+SUM(CU74:CU83)</f>
        <v>736.26103170711485</v>
      </c>
      <c r="CV84" s="1667">
        <f t="shared" ca="1" si="254"/>
        <v>796.80281079304314</v>
      </c>
      <c r="CW84" s="1667">
        <f t="shared" ca="1" si="254"/>
        <v>767.60859761750191</v>
      </c>
      <c r="CX84" s="1667">
        <f t="shared" ca="1" si="254"/>
        <v>800.84751686333016</v>
      </c>
      <c r="CY84" s="1668">
        <f t="shared" ca="1" si="254"/>
        <v>3101.5199569809874</v>
      </c>
      <c r="CZ84" s="1786">
        <f t="shared" ca="1" si="254"/>
        <v>3455.7767640867023</v>
      </c>
      <c r="DA84" s="1668">
        <f t="shared" ca="1" si="254"/>
        <v>3427.4523870850612</v>
      </c>
      <c r="DB84"/>
      <c r="DC84"/>
      <c r="DD84" s="1969" t="s">
        <v>741</v>
      </c>
      <c r="DE84" s="1668">
        <f t="shared" si="203"/>
        <v>0</v>
      </c>
      <c r="DF84" s="1668">
        <f t="shared" si="204"/>
        <v>0</v>
      </c>
      <c r="DG84" s="1668">
        <f t="shared" si="205"/>
        <v>0</v>
      </c>
      <c r="DH84" s="1668">
        <f t="shared" si="206"/>
        <v>0</v>
      </c>
      <c r="DI84" s="1668">
        <f t="shared" si="207"/>
        <v>1104</v>
      </c>
      <c r="DJ84" s="1668">
        <f t="shared" si="208"/>
        <v>1270</v>
      </c>
      <c r="DK84" s="1668">
        <f t="shared" si="209"/>
        <v>1424</v>
      </c>
      <c r="DL84" s="1668">
        <f t="shared" si="210"/>
        <v>1580</v>
      </c>
      <c r="DM84" s="1668">
        <f t="shared" si="211"/>
        <v>1298</v>
      </c>
      <c r="DN84" s="1668">
        <f t="shared" si="212"/>
        <v>898</v>
      </c>
      <c r="DO84" s="1668">
        <f t="shared" si="213"/>
        <v>885</v>
      </c>
      <c r="DP84" s="1668">
        <f t="shared" si="214"/>
        <v>992</v>
      </c>
      <c r="DQ84" s="1668">
        <f t="shared" si="215"/>
        <v>1151.8599999999999</v>
      </c>
      <c r="DR84" s="1668">
        <f t="shared" si="216"/>
        <v>1148</v>
      </c>
      <c r="DS84" s="1668">
        <f t="shared" si="217"/>
        <v>1339</v>
      </c>
      <c r="DT84" s="1668">
        <f t="shared" si="218"/>
        <v>1552</v>
      </c>
      <c r="DU84" s="1668">
        <f t="shared" si="219"/>
        <v>1932</v>
      </c>
      <c r="DV84" s="1668">
        <f t="shared" si="220"/>
        <v>3548</v>
      </c>
      <c r="DW84" s="1668">
        <f t="shared" ca="1" si="221"/>
        <v>3101.5199569809874</v>
      </c>
      <c r="DX84" s="1668">
        <f t="shared" ca="1" si="222"/>
        <v>3455.7767640867023</v>
      </c>
      <c r="DY84" s="1668">
        <f t="shared" ca="1" si="223"/>
        <v>3427.4523870850612</v>
      </c>
      <c r="DZ84" s="1859"/>
      <c r="EA84"/>
      <c r="EB84"/>
      <c r="EC84"/>
      <c r="ED84"/>
      <c r="EE84"/>
      <c r="EF84"/>
      <c r="EG84" s="1466"/>
      <c r="EH84" s="1466"/>
      <c r="EI84" s="1466"/>
      <c r="EJ84"/>
      <c r="EK84"/>
      <c r="EL84"/>
      <c r="EN84" s="1466"/>
      <c r="EO84" s="1466"/>
      <c r="EP84" s="1466"/>
      <c r="EQ84" s="1466"/>
      <c r="ER84" s="234"/>
    </row>
    <row r="85" spans="1:148" s="923" customFormat="1" hidden="1" outlineLevel="1" x14ac:dyDescent="0.2">
      <c r="A85" s="1663" t="s">
        <v>691</v>
      </c>
      <c r="B85" s="1665"/>
      <c r="C85" s="1665"/>
      <c r="D85" s="1665"/>
      <c r="E85" s="1665"/>
      <c r="F85" s="1665"/>
      <c r="G85" s="1665"/>
      <c r="H85" s="1665"/>
      <c r="I85" s="1665"/>
      <c r="J85" s="1665"/>
      <c r="K85" s="1665"/>
      <c r="L85" s="1665"/>
      <c r="M85" s="1664"/>
      <c r="N85" s="1665"/>
      <c r="O85" s="1665"/>
      <c r="P85" s="1665"/>
      <c r="Q85" s="1665"/>
      <c r="R85" s="1664"/>
      <c r="S85" s="1665"/>
      <c r="T85" s="1665"/>
      <c r="U85" s="1665"/>
      <c r="V85" s="1665"/>
      <c r="W85" s="1664"/>
      <c r="X85" s="1665"/>
      <c r="Y85" s="1665"/>
      <c r="Z85" s="1665"/>
      <c r="AA85" s="1665"/>
      <c r="AB85" s="1664"/>
      <c r="AC85" s="1665"/>
      <c r="AD85" s="1665"/>
      <c r="AE85" s="1665"/>
      <c r="AF85" s="1665"/>
      <c r="AG85" s="1664"/>
      <c r="AH85" s="1665">
        <f t="shared" ref="AH85:BM85" si="255">AH84/AC84-1</f>
        <v>0.13580246913580241</v>
      </c>
      <c r="AI85" s="1665">
        <f t="shared" si="255"/>
        <v>9.6774193548387011E-2</v>
      </c>
      <c r="AJ85" s="1665">
        <f t="shared" si="255"/>
        <v>0.11715481171548126</v>
      </c>
      <c r="AK85" s="1665">
        <f t="shared" si="255"/>
        <v>0.22740524781341098</v>
      </c>
      <c r="AL85" s="1664">
        <f t="shared" si="255"/>
        <v>0.1503623188405796</v>
      </c>
      <c r="AM85" s="1665">
        <f t="shared" si="255"/>
        <v>0.17391304347826098</v>
      </c>
      <c r="AN85" s="1665">
        <f t="shared" si="255"/>
        <v>0.18627450980392157</v>
      </c>
      <c r="AO85" s="1665">
        <f t="shared" si="255"/>
        <v>0.12359550561797761</v>
      </c>
      <c r="AP85" s="1665">
        <f t="shared" si="255"/>
        <v>3.8004750593824133E-2</v>
      </c>
      <c r="AQ85" s="1664">
        <f t="shared" si="255"/>
        <v>0.12125984251968513</v>
      </c>
      <c r="AR85" s="1665">
        <f t="shared" si="255"/>
        <v>3.0864197530864113E-2</v>
      </c>
      <c r="AS85" s="1665">
        <f t="shared" si="255"/>
        <v>0.21487603305785119</v>
      </c>
      <c r="AT85" s="1665">
        <f t="shared" si="255"/>
        <v>2.6666666666666616E-2</v>
      </c>
      <c r="AU85" s="1665">
        <f t="shared" si="255"/>
        <v>0.13729977116704806</v>
      </c>
      <c r="AV85" s="1664">
        <f t="shared" si="255"/>
        <v>0.1095505617977528</v>
      </c>
      <c r="AW85" s="1665">
        <f t="shared" si="255"/>
        <v>-0.14071856287425155</v>
      </c>
      <c r="AX85" s="1665">
        <f t="shared" si="255"/>
        <v>-0.12698412698412698</v>
      </c>
      <c r="AY85" s="1665">
        <f t="shared" si="255"/>
        <v>-7.1428571428571397E-2</v>
      </c>
      <c r="AZ85" s="1665">
        <f t="shared" si="255"/>
        <v>-0.31589537223340036</v>
      </c>
      <c r="BA85" s="1664">
        <f t="shared" si="255"/>
        <v>-0.1784810126582278</v>
      </c>
      <c r="BB85" s="1665">
        <f t="shared" si="255"/>
        <v>-0.25087108013937287</v>
      </c>
      <c r="BC85" s="1665">
        <f t="shared" si="255"/>
        <v>-0.4285714285714286</v>
      </c>
      <c r="BD85" s="1665">
        <f t="shared" si="255"/>
        <v>-0.43006993006993011</v>
      </c>
      <c r="BE85" s="1665">
        <f t="shared" si="255"/>
        <v>-0.11764705882352944</v>
      </c>
      <c r="BF85" s="1664">
        <f t="shared" si="255"/>
        <v>-0.30816640986132515</v>
      </c>
      <c r="BG85" s="1665">
        <f t="shared" si="255"/>
        <v>-0.13023255813953494</v>
      </c>
      <c r="BH85" s="1665">
        <f t="shared" si="255"/>
        <v>8.636363636363642E-2</v>
      </c>
      <c r="BI85" s="1665">
        <f t="shared" si="255"/>
        <v>8.5889570552147187E-2</v>
      </c>
      <c r="BJ85" s="1665">
        <f t="shared" si="255"/>
        <v>-6.0000000000000053E-2</v>
      </c>
      <c r="BK85" s="1664">
        <f t="shared" si="255"/>
        <v>-1.4476614699331813E-2</v>
      </c>
      <c r="BL85" s="1665">
        <f t="shared" si="255"/>
        <v>5.3475935828876997E-2</v>
      </c>
      <c r="BM85" s="1665">
        <f t="shared" si="255"/>
        <v>7.1129707112970619E-2</v>
      </c>
      <c r="BN85" s="1665">
        <f t="shared" ref="BN85:CF85" si="256">BN84/BI84-1</f>
        <v>0.25988700564971756</v>
      </c>
      <c r="BO85" s="1665">
        <f t="shared" si="256"/>
        <v>0.12056737588652489</v>
      </c>
      <c r="BP85" s="1664">
        <f t="shared" si="256"/>
        <v>0.12090395480225991</v>
      </c>
      <c r="BQ85" s="1665">
        <f t="shared" si="256"/>
        <v>9.0964467005075988E-2</v>
      </c>
      <c r="BR85" s="1665">
        <f t="shared" si="256"/>
        <v>0.12867187499999999</v>
      </c>
      <c r="BS85" s="1665">
        <f t="shared" si="256"/>
        <v>0.27354260089686089</v>
      </c>
      <c r="BT85" s="1665">
        <f t="shared" si="256"/>
        <v>0.15189873417721511</v>
      </c>
      <c r="BU85" s="1664">
        <f t="shared" si="256"/>
        <v>0.16114919354838708</v>
      </c>
      <c r="BV85" s="1665">
        <f t="shared" si="256"/>
        <v>0.20044667783361247</v>
      </c>
      <c r="BW85" s="1665">
        <f t="shared" si="256"/>
        <v>0.12826192289056548</v>
      </c>
      <c r="BX85" s="1665">
        <f t="shared" si="256"/>
        <v>7.0422535211267512E-3</v>
      </c>
      <c r="BY85" s="1665">
        <f t="shared" si="256"/>
        <v>-0.23626373626373631</v>
      </c>
      <c r="BZ85" s="1664">
        <f t="shared" si="256"/>
        <v>-3.351101696386638E-3</v>
      </c>
      <c r="CA85" s="1665">
        <f t="shared" si="256"/>
        <v>0.15503875968992253</v>
      </c>
      <c r="CB85" s="1665">
        <f t="shared" si="256"/>
        <v>6.7484662576687171E-2</v>
      </c>
      <c r="CC85" s="1665">
        <f t="shared" si="256"/>
        <v>0.23076923076923084</v>
      </c>
      <c r="CD85" s="1791">
        <f t="shared" si="256"/>
        <v>0.22661870503597115</v>
      </c>
      <c r="CE85" s="1664">
        <f t="shared" si="256"/>
        <v>0.16637630662020908</v>
      </c>
      <c r="CF85" s="1665">
        <f t="shared" si="256"/>
        <v>0.26174496644295298</v>
      </c>
      <c r="CG85" s="1665">
        <f t="shared" ref="CG85:CO85" si="257">CG84/CB84-1</f>
        <v>0.23275862068965525</v>
      </c>
      <c r="CH85" s="1665">
        <f t="shared" si="257"/>
        <v>9.0909090909090828E-2</v>
      </c>
      <c r="CI85" s="1791">
        <f t="shared" si="257"/>
        <v>6.3782991202345984E-2</v>
      </c>
      <c r="CJ85" s="1664">
        <f t="shared" si="257"/>
        <v>0.15907393577296491</v>
      </c>
      <c r="CK85" s="1665">
        <f t="shared" si="257"/>
        <v>7.6462765957446832E-2</v>
      </c>
      <c r="CL85" s="1665">
        <f t="shared" si="257"/>
        <v>6.4102564102563875E-3</v>
      </c>
      <c r="CM85" s="1665">
        <f t="shared" si="257"/>
        <v>0.119140625</v>
      </c>
      <c r="CN85" s="1791">
        <f t="shared" si="257"/>
        <v>0.83528600964851818</v>
      </c>
      <c r="CO85" s="1664">
        <f t="shared" si="257"/>
        <v>0.24484536082474229</v>
      </c>
      <c r="CP85" s="1665">
        <f t="shared" ref="CP85:CY85" si="258">CP84/CK84-1</f>
        <v>0.65966646077825808</v>
      </c>
      <c r="CQ85" s="1665">
        <f t="shared" si="258"/>
        <v>0.78749276201505491</v>
      </c>
      <c r="CR85" s="1665">
        <f t="shared" si="258"/>
        <v>0.67946480511925533</v>
      </c>
      <c r="CS85" s="1665">
        <f t="shared" si="258"/>
        <v>1.076980848666917</v>
      </c>
      <c r="CT85" s="1664">
        <f t="shared" si="258"/>
        <v>0.83643892339544523</v>
      </c>
      <c r="CU85" s="1665">
        <f t="shared" ca="1" si="258"/>
        <v>9.6034286128939161E-2</v>
      </c>
      <c r="CV85" s="1665">
        <f t="shared" ca="1" si="258"/>
        <v>3.2462339867888712E-2</v>
      </c>
      <c r="CW85" s="1665">
        <f t="shared" ca="1" si="258"/>
        <v>6.3538063896781294E-2</v>
      </c>
      <c r="CX85" s="1665">
        <f t="shared" ca="1" si="258"/>
        <v>-0.42082985582113164</v>
      </c>
      <c r="CY85" s="1664">
        <f t="shared" ca="1" si="258"/>
        <v>-0.12583992193320537</v>
      </c>
      <c r="CZ85" s="1791">
        <f ca="1">CZ84/CY84-1</f>
        <v>0.11422038613949392</v>
      </c>
      <c r="DA85" s="1664">
        <f ca="1">DA84/CZ84-1</f>
        <v>-8.1962403636701708E-3</v>
      </c>
      <c r="DB85"/>
      <c r="DC85"/>
      <c r="DD85" s="1663" t="s">
        <v>691</v>
      </c>
      <c r="DE85" s="1664">
        <f t="shared" si="203"/>
        <v>0</v>
      </c>
      <c r="DF85" s="1664">
        <f t="shared" si="204"/>
        <v>0</v>
      </c>
      <c r="DG85" s="1664">
        <f t="shared" si="205"/>
        <v>0</v>
      </c>
      <c r="DH85" s="1664">
        <f t="shared" si="206"/>
        <v>0</v>
      </c>
      <c r="DI85" s="1664">
        <f t="shared" si="207"/>
        <v>0</v>
      </c>
      <c r="DJ85" s="1664">
        <f t="shared" si="208"/>
        <v>0.1503623188405796</v>
      </c>
      <c r="DK85" s="1664">
        <f t="shared" si="209"/>
        <v>0.12125984251968513</v>
      </c>
      <c r="DL85" s="1664">
        <f t="shared" si="210"/>
        <v>0.1095505617977528</v>
      </c>
      <c r="DM85" s="1664">
        <f t="shared" si="211"/>
        <v>-0.1784810126582278</v>
      </c>
      <c r="DN85" s="1664">
        <f t="shared" si="212"/>
        <v>-0.30816640986132515</v>
      </c>
      <c r="DO85" s="1664">
        <f t="shared" si="213"/>
        <v>-1.4476614699331813E-2</v>
      </c>
      <c r="DP85" s="1664">
        <f t="shared" si="214"/>
        <v>0.12090395480225991</v>
      </c>
      <c r="DQ85" s="1664">
        <f t="shared" si="215"/>
        <v>0.16114919354838708</v>
      </c>
      <c r="DR85" s="1664">
        <f t="shared" si="216"/>
        <v>-3.351101696386638E-3</v>
      </c>
      <c r="DS85" s="1664">
        <f t="shared" si="217"/>
        <v>0.16637630662020908</v>
      </c>
      <c r="DT85" s="1664">
        <f t="shared" si="218"/>
        <v>0.15907393577296491</v>
      </c>
      <c r="DU85" s="1664">
        <f t="shared" si="219"/>
        <v>0.24484536082474229</v>
      </c>
      <c r="DV85" s="1664">
        <f t="shared" si="220"/>
        <v>0.83643892339544523</v>
      </c>
      <c r="DW85" s="1664">
        <f t="shared" ca="1" si="221"/>
        <v>-0.12583992193320537</v>
      </c>
      <c r="DX85" s="1664">
        <f t="shared" ca="1" si="222"/>
        <v>0.11422038613949392</v>
      </c>
      <c r="DY85" s="1664">
        <f t="shared" ca="1" si="223"/>
        <v>-8.1962403636701708E-3</v>
      </c>
      <c r="EA85"/>
      <c r="EB85"/>
      <c r="EC85"/>
      <c r="ED85"/>
      <c r="EE85"/>
      <c r="EF85"/>
      <c r="EJ85"/>
      <c r="EK85"/>
      <c r="EL85"/>
      <c r="EM85" s="1703"/>
      <c r="ER85" s="212"/>
    </row>
    <row r="86" spans="1:148" customFormat="1" ht="12.75" customHeight="1" collapsed="1" x14ac:dyDescent="0.2">
      <c r="A86" s="44"/>
      <c r="B86" s="2137"/>
      <c r="C86" s="2137"/>
      <c r="D86" s="2137"/>
      <c r="E86" s="2137"/>
      <c r="F86" s="2137"/>
      <c r="G86" s="2137"/>
      <c r="H86" s="2137"/>
      <c r="I86" s="2137"/>
      <c r="J86" s="2137"/>
      <c r="K86" s="2137"/>
      <c r="L86" s="2137"/>
      <c r="M86" s="2278"/>
      <c r="N86" s="2137"/>
      <c r="O86" s="2137"/>
      <c r="P86" s="2137"/>
      <c r="Q86" s="2137"/>
      <c r="R86" s="2278"/>
      <c r="S86" s="2137"/>
      <c r="T86" s="2137"/>
      <c r="U86" s="2137"/>
      <c r="V86" s="2137"/>
      <c r="W86" s="2278"/>
      <c r="X86" s="2137"/>
      <c r="Y86" s="2137"/>
      <c r="Z86" s="2137"/>
      <c r="AA86" s="2137"/>
      <c r="AB86" s="2278"/>
      <c r="AC86" s="2137"/>
      <c r="AD86" s="2137"/>
      <c r="AE86" s="2137"/>
      <c r="AF86" s="2137"/>
      <c r="AG86" s="2278"/>
      <c r="AH86" s="2137"/>
      <c r="AI86" s="2137"/>
      <c r="AJ86" s="2137"/>
      <c r="AK86" s="2137"/>
      <c r="AL86" s="2278"/>
      <c r="AM86" s="2137"/>
      <c r="AN86" s="2137"/>
      <c r="AO86" s="2137"/>
      <c r="AP86" s="2137"/>
      <c r="AQ86" s="2278"/>
      <c r="AR86" s="2137"/>
      <c r="AS86" s="2137"/>
      <c r="AT86" s="2137"/>
      <c r="AU86" s="2137"/>
      <c r="AV86" s="2278"/>
      <c r="AW86" s="2137"/>
      <c r="AX86" s="2137"/>
      <c r="AY86" s="2137"/>
      <c r="AZ86" s="2137"/>
      <c r="BA86" s="2278"/>
      <c r="BB86" s="2137"/>
      <c r="BC86" s="2137"/>
      <c r="BD86" s="2137"/>
      <c r="BE86" s="2137"/>
      <c r="BF86" s="2278"/>
      <c r="BG86" s="2137"/>
      <c r="BH86" s="2137"/>
      <c r="BI86" s="2137"/>
      <c r="BJ86" s="2137"/>
      <c r="BK86" s="2278"/>
      <c r="BL86" s="2137"/>
      <c r="BM86" s="2137"/>
      <c r="BN86" s="2137"/>
      <c r="BO86" s="2137"/>
      <c r="BP86" s="2278"/>
      <c r="BQ86" s="2137"/>
      <c r="BR86" s="2137"/>
      <c r="BS86" s="2137"/>
      <c r="BT86" s="2137"/>
      <c r="BU86" s="2278"/>
      <c r="BV86" s="2137"/>
      <c r="BW86" s="2137"/>
      <c r="BX86" s="374"/>
      <c r="BY86" s="374"/>
      <c r="BZ86" s="374"/>
      <c r="CA86" s="374"/>
      <c r="CB86" s="374"/>
      <c r="CC86" s="374"/>
      <c r="CD86" s="374"/>
      <c r="CE86" s="2278"/>
      <c r="CF86" s="374"/>
      <c r="CG86" s="374"/>
      <c r="CH86" s="374"/>
      <c r="CI86" s="374"/>
      <c r="CJ86" s="2278"/>
      <c r="CK86" s="374"/>
      <c r="CL86" s="374"/>
      <c r="CM86" s="374"/>
      <c r="CN86" s="374"/>
      <c r="CO86" s="2278"/>
      <c r="CP86" s="374"/>
      <c r="CQ86" s="374"/>
      <c r="CR86" s="374"/>
      <c r="CS86" s="374"/>
      <c r="CT86" s="3553"/>
      <c r="CU86" s="374"/>
      <c r="CV86" s="374"/>
      <c r="CW86" s="374"/>
      <c r="CX86" s="374"/>
      <c r="CY86" s="1811"/>
      <c r="CZ86" s="1811"/>
      <c r="DA86" s="1811"/>
      <c r="DD86" s="2306"/>
      <c r="DE86" s="2307"/>
      <c r="DF86" s="2307"/>
      <c r="DG86" s="2307"/>
      <c r="DH86" s="2307"/>
      <c r="DI86" s="2307"/>
      <c r="DJ86" s="2307"/>
      <c r="DK86" s="2307"/>
      <c r="DL86" s="2307"/>
      <c r="DM86" s="2307"/>
      <c r="DN86" s="2307"/>
      <c r="DO86" s="2307"/>
      <c r="DP86" s="2307"/>
      <c r="DQ86" s="2307"/>
      <c r="DR86" s="2307"/>
      <c r="DS86" s="2307"/>
      <c r="DT86" s="2307"/>
      <c r="DU86" s="2307"/>
      <c r="DV86" s="2307"/>
      <c r="DW86" s="2307"/>
      <c r="DX86" s="2307"/>
      <c r="DY86" s="2307"/>
    </row>
    <row r="87" spans="1:148" s="923" customFormat="1" ht="12.75" customHeight="1" x14ac:dyDescent="0.2">
      <c r="A87" s="873" t="s">
        <v>220</v>
      </c>
      <c r="B87" s="963"/>
      <c r="C87" s="963"/>
      <c r="D87" s="963"/>
      <c r="E87" s="963"/>
      <c r="F87" s="963"/>
      <c r="G87" s="963"/>
      <c r="H87" s="963"/>
      <c r="I87" s="963" t="str">
        <f t="shared" ref="I87:AN87" si="259">I$5</f>
        <v>1Q00</v>
      </c>
      <c r="J87" s="963" t="str">
        <f t="shared" si="259"/>
        <v>2Q00</v>
      </c>
      <c r="K87" s="963" t="str">
        <f t="shared" si="259"/>
        <v>3Q00</v>
      </c>
      <c r="L87" s="963" t="str">
        <f t="shared" si="259"/>
        <v>4Q00</v>
      </c>
      <c r="M87" s="649">
        <f t="shared" si="259"/>
        <v>2000</v>
      </c>
      <c r="N87" s="963" t="str">
        <f t="shared" si="259"/>
        <v>1Q01</v>
      </c>
      <c r="O87" s="963" t="str">
        <f t="shared" si="259"/>
        <v>2Q01</v>
      </c>
      <c r="P87" s="963" t="str">
        <f t="shared" si="259"/>
        <v>3Q01</v>
      </c>
      <c r="Q87" s="963" t="str">
        <f t="shared" si="259"/>
        <v>4Q01</v>
      </c>
      <c r="R87" s="649">
        <f t="shared" si="259"/>
        <v>2001</v>
      </c>
      <c r="S87" s="963" t="str">
        <f t="shared" si="259"/>
        <v>1Q02</v>
      </c>
      <c r="T87" s="963" t="str">
        <f t="shared" si="259"/>
        <v>2Q02</v>
      </c>
      <c r="U87" s="963" t="str">
        <f t="shared" si="259"/>
        <v>3Q02</v>
      </c>
      <c r="V87" s="963" t="str">
        <f t="shared" si="259"/>
        <v>4Q02</v>
      </c>
      <c r="W87" s="649">
        <f t="shared" si="259"/>
        <v>2002</v>
      </c>
      <c r="X87" s="963" t="str">
        <f t="shared" si="259"/>
        <v>1Q03</v>
      </c>
      <c r="Y87" s="963" t="str">
        <f t="shared" si="259"/>
        <v>2Q03</v>
      </c>
      <c r="Z87" s="963" t="str">
        <f t="shared" si="259"/>
        <v>3Q03</v>
      </c>
      <c r="AA87" s="963" t="str">
        <f t="shared" si="259"/>
        <v>4Q03</v>
      </c>
      <c r="AB87" s="649">
        <f t="shared" si="259"/>
        <v>2003</v>
      </c>
      <c r="AC87" s="963" t="str">
        <f t="shared" si="259"/>
        <v>1Q04</v>
      </c>
      <c r="AD87" s="963" t="str">
        <f t="shared" si="259"/>
        <v>2Q04</v>
      </c>
      <c r="AE87" s="963" t="str">
        <f t="shared" si="259"/>
        <v>3Q04</v>
      </c>
      <c r="AF87" s="963" t="str">
        <f t="shared" si="259"/>
        <v>4Q04</v>
      </c>
      <c r="AG87" s="649" t="str">
        <f t="shared" si="259"/>
        <v>2004</v>
      </c>
      <c r="AH87" s="963" t="str">
        <f t="shared" si="259"/>
        <v>1Q05</v>
      </c>
      <c r="AI87" s="963" t="str">
        <f t="shared" si="259"/>
        <v>2Q05</v>
      </c>
      <c r="AJ87" s="963" t="str">
        <f t="shared" si="259"/>
        <v>3Q05</v>
      </c>
      <c r="AK87" s="963" t="str">
        <f t="shared" si="259"/>
        <v>4Q05</v>
      </c>
      <c r="AL87" s="649" t="str">
        <f t="shared" si="259"/>
        <v>2005</v>
      </c>
      <c r="AM87" s="963" t="str">
        <f t="shared" si="259"/>
        <v>1Q06</v>
      </c>
      <c r="AN87" s="963" t="str">
        <f t="shared" si="259"/>
        <v>2Q06</v>
      </c>
      <c r="AO87" s="963" t="str">
        <f t="shared" ref="AO87:BT87" si="260">AO$5</f>
        <v>3Q06</v>
      </c>
      <c r="AP87" s="963" t="str">
        <f t="shared" si="260"/>
        <v>4Q06</v>
      </c>
      <c r="AQ87" s="649" t="str">
        <f t="shared" si="260"/>
        <v>2006</v>
      </c>
      <c r="AR87" s="963" t="str">
        <f t="shared" si="260"/>
        <v>1Q07</v>
      </c>
      <c r="AS87" s="963" t="str">
        <f t="shared" si="260"/>
        <v>2Q07</v>
      </c>
      <c r="AT87" s="963" t="str">
        <f t="shared" si="260"/>
        <v>3Q07</v>
      </c>
      <c r="AU87" s="963" t="str">
        <f t="shared" si="260"/>
        <v>4Q07</v>
      </c>
      <c r="AV87" s="649" t="str">
        <f t="shared" si="260"/>
        <v>2007</v>
      </c>
      <c r="AW87" s="963" t="str">
        <f t="shared" si="260"/>
        <v>1Q08</v>
      </c>
      <c r="AX87" s="963" t="str">
        <f t="shared" si="260"/>
        <v>2Q08</v>
      </c>
      <c r="AY87" s="963" t="str">
        <f t="shared" si="260"/>
        <v>3Q08</v>
      </c>
      <c r="AZ87" s="963" t="str">
        <f t="shared" si="260"/>
        <v>4Q08</v>
      </c>
      <c r="BA87" s="649" t="str">
        <f t="shared" si="260"/>
        <v>2008</v>
      </c>
      <c r="BB87" s="963" t="str">
        <f t="shared" si="260"/>
        <v>1Q09</v>
      </c>
      <c r="BC87" s="963" t="str">
        <f t="shared" si="260"/>
        <v>2Q09</v>
      </c>
      <c r="BD87" s="963" t="str">
        <f t="shared" si="260"/>
        <v>3Q09</v>
      </c>
      <c r="BE87" s="963" t="str">
        <f t="shared" si="260"/>
        <v>4Q09</v>
      </c>
      <c r="BF87" s="649" t="str">
        <f t="shared" si="260"/>
        <v>2009</v>
      </c>
      <c r="BG87" s="963" t="str">
        <f t="shared" si="260"/>
        <v>1Q10</v>
      </c>
      <c r="BH87" s="963" t="str">
        <f t="shared" si="260"/>
        <v>2Q10</v>
      </c>
      <c r="BI87" s="963" t="str">
        <f t="shared" si="260"/>
        <v>3Q10</v>
      </c>
      <c r="BJ87" s="963" t="str">
        <f t="shared" si="260"/>
        <v>4Q10</v>
      </c>
      <c r="BK87" s="649" t="str">
        <f t="shared" si="260"/>
        <v>2010</v>
      </c>
      <c r="BL87" s="963" t="str">
        <f t="shared" si="260"/>
        <v>1Q11</v>
      </c>
      <c r="BM87" s="963" t="str">
        <f t="shared" si="260"/>
        <v>2Q11</v>
      </c>
      <c r="BN87" s="963" t="str">
        <f t="shared" si="260"/>
        <v>3Q11</v>
      </c>
      <c r="BO87" s="963" t="str">
        <f t="shared" si="260"/>
        <v>4Q11</v>
      </c>
      <c r="BP87" s="649">
        <f t="shared" si="260"/>
        <v>2011</v>
      </c>
      <c r="BQ87" s="963" t="str">
        <f t="shared" si="260"/>
        <v>1Q12</v>
      </c>
      <c r="BR87" s="963" t="str">
        <f t="shared" si="260"/>
        <v>2Q12</v>
      </c>
      <c r="BS87" s="963" t="str">
        <f t="shared" si="260"/>
        <v>3Q12</v>
      </c>
      <c r="BT87" s="963" t="str">
        <f t="shared" si="260"/>
        <v>4Q12</v>
      </c>
      <c r="BU87" s="649">
        <f t="shared" ref="BU87:DA87" si="261">BU$5</f>
        <v>2012</v>
      </c>
      <c r="BV87" s="963" t="str">
        <f t="shared" si="261"/>
        <v>1Q13</v>
      </c>
      <c r="BW87" s="963" t="str">
        <f t="shared" si="261"/>
        <v>2Q13</v>
      </c>
      <c r="BX87" s="963" t="str">
        <f t="shared" si="261"/>
        <v>3Q13</v>
      </c>
      <c r="BY87" s="963" t="str">
        <f t="shared" si="261"/>
        <v>4Q13</v>
      </c>
      <c r="BZ87" s="649">
        <f t="shared" si="261"/>
        <v>2013</v>
      </c>
      <c r="CA87" s="963" t="str">
        <f t="shared" si="261"/>
        <v>1Q14</v>
      </c>
      <c r="CB87" s="963" t="str">
        <f t="shared" si="261"/>
        <v>2Q14</v>
      </c>
      <c r="CC87" s="963" t="str">
        <f t="shared" si="261"/>
        <v>3Q14</v>
      </c>
      <c r="CD87" s="964" t="str">
        <f t="shared" si="261"/>
        <v>4Q14</v>
      </c>
      <c r="CE87" s="649">
        <f t="shared" si="261"/>
        <v>2014</v>
      </c>
      <c r="CF87" s="963" t="str">
        <f t="shared" si="261"/>
        <v>1Q15</v>
      </c>
      <c r="CG87" s="963" t="str">
        <f t="shared" si="261"/>
        <v>2Q15</v>
      </c>
      <c r="CH87" s="963" t="str">
        <f t="shared" si="261"/>
        <v>3Q15</v>
      </c>
      <c r="CI87" s="964" t="str">
        <f t="shared" si="261"/>
        <v>4Q15</v>
      </c>
      <c r="CJ87" s="649">
        <f t="shared" si="261"/>
        <v>2015</v>
      </c>
      <c r="CK87" s="963" t="str">
        <f t="shared" si="261"/>
        <v>1Q16</v>
      </c>
      <c r="CL87" s="963" t="str">
        <f t="shared" si="261"/>
        <v>2Q16</v>
      </c>
      <c r="CM87" s="963" t="str">
        <f t="shared" si="261"/>
        <v>3Q16</v>
      </c>
      <c r="CN87" s="964" t="str">
        <f t="shared" si="261"/>
        <v>4Q16</v>
      </c>
      <c r="CO87" s="649">
        <f t="shared" si="261"/>
        <v>2016</v>
      </c>
      <c r="CP87" s="963" t="str">
        <f t="shared" si="261"/>
        <v>1Q17</v>
      </c>
      <c r="CQ87" s="963" t="str">
        <f t="shared" si="261"/>
        <v>2Q17</v>
      </c>
      <c r="CR87" s="963" t="str">
        <f t="shared" si="261"/>
        <v>3Q17</v>
      </c>
      <c r="CS87" s="963" t="str">
        <f t="shared" si="261"/>
        <v>4Q17A</v>
      </c>
      <c r="CT87" s="649" t="str">
        <f t="shared" si="261"/>
        <v>2017A</v>
      </c>
      <c r="CU87" s="963" t="str">
        <f t="shared" si="261"/>
        <v>1Q18E</v>
      </c>
      <c r="CV87" s="963" t="str">
        <f t="shared" si="261"/>
        <v>2Q18E</v>
      </c>
      <c r="CW87" s="963" t="str">
        <f t="shared" si="261"/>
        <v>3Q18E</v>
      </c>
      <c r="CX87" s="963" t="str">
        <f t="shared" si="261"/>
        <v>4Q18E</v>
      </c>
      <c r="CY87" s="649" t="str">
        <f t="shared" si="261"/>
        <v>2018E</v>
      </c>
      <c r="CZ87" s="964" t="str">
        <f t="shared" si="261"/>
        <v>2019E</v>
      </c>
      <c r="DA87" s="649" t="str">
        <f t="shared" si="261"/>
        <v>2020E</v>
      </c>
      <c r="DB87"/>
      <c r="DC87"/>
      <c r="DD87" s="873" t="s">
        <v>220</v>
      </c>
      <c r="DE87" s="649">
        <f t="shared" ref="DE87:DE108" si="262">M87</f>
        <v>2000</v>
      </c>
      <c r="DF87" s="649">
        <f t="shared" ref="DF87:DF108" si="263">R87</f>
        <v>2001</v>
      </c>
      <c r="DG87" s="649">
        <f t="shared" ref="DG87:DG108" si="264">W87</f>
        <v>2002</v>
      </c>
      <c r="DH87" s="649">
        <f t="shared" ref="DH87:DH108" si="265">AB87</f>
        <v>2003</v>
      </c>
      <c r="DI87" s="649" t="str">
        <f t="shared" ref="DI87:DI108" si="266">AG87</f>
        <v>2004</v>
      </c>
      <c r="DJ87" s="649" t="str">
        <f t="shared" ref="DJ87:DJ108" si="267">AL87</f>
        <v>2005</v>
      </c>
      <c r="DK87" s="649" t="str">
        <f t="shared" ref="DK87:DK108" si="268">AQ87</f>
        <v>2006</v>
      </c>
      <c r="DL87" s="649" t="str">
        <f t="shared" ref="DL87:DL108" si="269">AV87</f>
        <v>2007</v>
      </c>
      <c r="DM87" s="649" t="str">
        <f t="shared" ref="DM87:DM108" si="270">BA87</f>
        <v>2008</v>
      </c>
      <c r="DN87" s="649" t="str">
        <f t="shared" ref="DN87:DN108" si="271">BF87</f>
        <v>2009</v>
      </c>
      <c r="DO87" s="649" t="str">
        <f t="shared" ref="DO87:DO108" si="272">BK87</f>
        <v>2010</v>
      </c>
      <c r="DP87" s="649">
        <f t="shared" ref="DP87:DP108" si="273">BP87</f>
        <v>2011</v>
      </c>
      <c r="DQ87" s="649">
        <f t="shared" ref="DQ87:DQ108" si="274">BU87</f>
        <v>2012</v>
      </c>
      <c r="DR87" s="649">
        <f t="shared" ref="DR87:DR108" si="275">BZ87</f>
        <v>2013</v>
      </c>
      <c r="DS87" s="649">
        <f t="shared" ref="DS87:DS108" si="276">CE87</f>
        <v>2014</v>
      </c>
      <c r="DT87" s="649">
        <f t="shared" ref="DT87:DT108" si="277">CJ87</f>
        <v>2015</v>
      </c>
      <c r="DU87" s="649">
        <f t="shared" ref="DU87:DU108" si="278">CO87</f>
        <v>2016</v>
      </c>
      <c r="DV87" s="649" t="str">
        <f t="shared" ref="DV87:DV108" si="279">CT87</f>
        <v>2017A</v>
      </c>
      <c r="DW87" s="649" t="str">
        <f t="shared" ref="DW87:DW108" si="280">CY87</f>
        <v>2018E</v>
      </c>
      <c r="DX87" s="649" t="str">
        <f t="shared" ref="DX87:DX108" si="281">CZ87</f>
        <v>2019E</v>
      </c>
      <c r="DY87" s="649" t="str">
        <f t="shared" ref="DY87:DY108" si="282">DA87</f>
        <v>2020E</v>
      </c>
      <c r="EA87"/>
      <c r="EB87"/>
      <c r="EC87"/>
      <c r="ED87"/>
      <c r="EE87"/>
      <c r="EF87"/>
      <c r="EJ87"/>
      <c r="EK87"/>
      <c r="EL87"/>
      <c r="ER87" s="212"/>
    </row>
    <row r="88" spans="1:148" s="923" customFormat="1" ht="12.75" customHeight="1" x14ac:dyDescent="0.2">
      <c r="A88" s="1436" t="s">
        <v>1296</v>
      </c>
      <c r="B88" s="1378"/>
      <c r="C88" s="1378"/>
      <c r="D88" s="1378"/>
      <c r="E88" s="1378"/>
      <c r="F88" s="1378"/>
      <c r="G88" s="1378"/>
      <c r="H88" s="1378"/>
      <c r="I88" s="1378"/>
      <c r="J88" s="1378"/>
      <c r="K88" s="1378"/>
      <c r="L88" s="1378"/>
      <c r="M88" s="1379"/>
      <c r="N88" s="1378"/>
      <c r="O88" s="1378"/>
      <c r="P88" s="1378"/>
      <c r="Q88" s="1378"/>
      <c r="R88" s="1379"/>
      <c r="S88" s="1378"/>
      <c r="T88" s="1378"/>
      <c r="U88" s="1378"/>
      <c r="V88" s="1378"/>
      <c r="W88" s="1379"/>
      <c r="X88" s="1378"/>
      <c r="Y88" s="1378"/>
      <c r="Z88" s="1378"/>
      <c r="AA88" s="1378"/>
      <c r="AB88" s="1379"/>
      <c r="AC88" s="1378"/>
      <c r="AD88" s="1378"/>
      <c r="AE88" s="1378"/>
      <c r="AF88" s="1378"/>
      <c r="AG88" s="1379"/>
      <c r="AH88" s="1378"/>
      <c r="AI88" s="1378"/>
      <c r="AJ88" s="1378"/>
      <c r="AK88" s="1378"/>
      <c r="AL88" s="1379"/>
      <c r="AM88" s="1378"/>
      <c r="AN88" s="1378"/>
      <c r="AO88" s="1378"/>
      <c r="AP88" s="1378"/>
      <c r="AQ88" s="1379"/>
      <c r="AR88" s="1378"/>
      <c r="AS88" s="1378"/>
      <c r="AT88" s="1378"/>
      <c r="AU88" s="1378"/>
      <c r="AV88" s="1379"/>
      <c r="AW88" s="1378"/>
      <c r="AX88" s="1378"/>
      <c r="AY88" s="1378"/>
      <c r="AZ88" s="1378"/>
      <c r="BA88" s="1379"/>
      <c r="BB88" s="1378"/>
      <c r="BC88" s="1378"/>
      <c r="BD88" s="1378"/>
      <c r="BE88" s="1378"/>
      <c r="BF88" s="1379"/>
      <c r="BG88" s="1378">
        <f>+BG51</f>
        <v>74</v>
      </c>
      <c r="BH88" s="1378">
        <f>+BH51</f>
        <v>109</v>
      </c>
      <c r="BI88" s="1378">
        <f>+BI51</f>
        <v>68</v>
      </c>
      <c r="BJ88" s="1378">
        <f>+BJ51</f>
        <v>135</v>
      </c>
      <c r="BK88" s="1379">
        <f t="shared" ref="BK88:BK97" si="283">+SUM(BG88:BJ88)</f>
        <v>386</v>
      </c>
      <c r="BL88" s="1378">
        <f>+BL51</f>
        <v>88</v>
      </c>
      <c r="BM88" s="1378">
        <f>+BM51</f>
        <v>126</v>
      </c>
      <c r="BN88" s="1378">
        <f>+BN51</f>
        <v>102</v>
      </c>
      <c r="BO88" s="1378">
        <f>+BO51</f>
        <v>159</v>
      </c>
      <c r="BP88" s="1379">
        <f>+SUM(BL88:BO88)</f>
        <v>475</v>
      </c>
      <c r="BQ88" s="1378">
        <f>+BQ51</f>
        <v>104</v>
      </c>
      <c r="BR88" s="1378">
        <f>+BR51</f>
        <v>143</v>
      </c>
      <c r="BS88" s="1378">
        <f>+BS51</f>
        <v>143</v>
      </c>
      <c r="BT88" s="1378">
        <f>+BT51</f>
        <v>181</v>
      </c>
      <c r="BU88" s="1379">
        <f>+SUM(BQ88:BT88)</f>
        <v>571</v>
      </c>
      <c r="BV88" s="1378">
        <f>+BV51</f>
        <v>136</v>
      </c>
      <c r="BW88" s="1378">
        <f>+BW51</f>
        <v>179</v>
      </c>
      <c r="BX88" s="1378">
        <f>+BX51</f>
        <v>160</v>
      </c>
      <c r="BY88" s="1378">
        <f>+BY51</f>
        <v>151</v>
      </c>
      <c r="BZ88" s="1379">
        <f t="shared" ref="BZ88:BZ95" si="284">+SUM(BV88:BY88)</f>
        <v>626</v>
      </c>
      <c r="CA88" s="1378">
        <f t="shared" ref="CA88:CG88" si="285">+CA51</f>
        <v>172</v>
      </c>
      <c r="CB88" s="1378">
        <f t="shared" si="285"/>
        <v>192</v>
      </c>
      <c r="CC88" s="1378">
        <f t="shared" si="285"/>
        <v>192</v>
      </c>
      <c r="CD88" s="1779">
        <f t="shared" si="285"/>
        <v>197</v>
      </c>
      <c r="CE88" s="1379">
        <f t="shared" si="285"/>
        <v>753</v>
      </c>
      <c r="CF88" s="1378">
        <f t="shared" si="285"/>
        <v>207</v>
      </c>
      <c r="CG88" s="1378">
        <f t="shared" si="285"/>
        <v>240</v>
      </c>
      <c r="CH88" s="1378">
        <f t="shared" ref="CH88:CQ88" si="286">+CH51</f>
        <v>210</v>
      </c>
      <c r="CI88" s="1779">
        <f t="shared" si="286"/>
        <v>202</v>
      </c>
      <c r="CJ88" s="1379">
        <f t="shared" si="286"/>
        <v>859</v>
      </c>
      <c r="CK88" s="1378">
        <f t="shared" si="286"/>
        <v>219</v>
      </c>
      <c r="CL88" s="1378">
        <f t="shared" si="286"/>
        <v>247</v>
      </c>
      <c r="CM88" s="1378">
        <f t="shared" si="286"/>
        <v>70</v>
      </c>
      <c r="CN88" s="1779">
        <f t="shared" si="286"/>
        <v>244</v>
      </c>
      <c r="CO88" s="1379">
        <f>+CO51</f>
        <v>780</v>
      </c>
      <c r="CP88" s="1378">
        <f t="shared" si="286"/>
        <v>365</v>
      </c>
      <c r="CQ88" s="1378">
        <f t="shared" si="286"/>
        <v>414</v>
      </c>
      <c r="CR88" s="1378">
        <f t="shared" ref="CR88:DA88" si="287">+CR51</f>
        <v>392</v>
      </c>
      <c r="CS88" s="1378">
        <f>+CS51</f>
        <v>201</v>
      </c>
      <c r="CT88" s="965">
        <f t="shared" si="287"/>
        <v>1372</v>
      </c>
      <c r="CU88" s="1378">
        <f ca="1">+CU51</f>
        <v>461.73080826505191</v>
      </c>
      <c r="CV88" s="1378">
        <f ca="1">+CV51</f>
        <v>494.56070535715492</v>
      </c>
      <c r="CW88" s="1378">
        <f ca="1">+CW51</f>
        <v>479.32938183700935</v>
      </c>
      <c r="CX88" s="1378">
        <f ca="1">+CX51</f>
        <v>500.72019912272799</v>
      </c>
      <c r="CY88" s="1379">
        <f ca="1">+CY51</f>
        <v>1936.3410945819414</v>
      </c>
      <c r="CZ88" s="1779">
        <f t="shared" ca="1" si="287"/>
        <v>2184.704842895625</v>
      </c>
      <c r="DA88" s="1379">
        <f t="shared" ca="1" si="287"/>
        <v>2144.7824715792981</v>
      </c>
      <c r="DB88"/>
      <c r="DC88"/>
      <c r="DD88" s="2288" t="s">
        <v>1296</v>
      </c>
      <c r="DE88" s="2286">
        <f t="shared" si="262"/>
        <v>0</v>
      </c>
      <c r="DF88" s="2286">
        <f t="shared" si="263"/>
        <v>0</v>
      </c>
      <c r="DG88" s="2286">
        <f t="shared" si="264"/>
        <v>0</v>
      </c>
      <c r="DH88" s="2286">
        <f t="shared" si="265"/>
        <v>0</v>
      </c>
      <c r="DI88" s="2286">
        <f t="shared" si="266"/>
        <v>0</v>
      </c>
      <c r="DJ88" s="2286">
        <f t="shared" si="267"/>
        <v>0</v>
      </c>
      <c r="DK88" s="2286">
        <f t="shared" si="268"/>
        <v>0</v>
      </c>
      <c r="DL88" s="2286">
        <f t="shared" si="269"/>
        <v>0</v>
      </c>
      <c r="DM88" s="2286">
        <f t="shared" si="270"/>
        <v>0</v>
      </c>
      <c r="DN88" s="2286">
        <f t="shared" si="271"/>
        <v>0</v>
      </c>
      <c r="DO88" s="2286">
        <f t="shared" si="272"/>
        <v>386</v>
      </c>
      <c r="DP88" s="2286">
        <f t="shared" si="273"/>
        <v>475</v>
      </c>
      <c r="DQ88" s="2286">
        <f t="shared" si="274"/>
        <v>571</v>
      </c>
      <c r="DR88" s="2286">
        <f t="shared" si="275"/>
        <v>626</v>
      </c>
      <c r="DS88" s="2286">
        <f t="shared" si="276"/>
        <v>753</v>
      </c>
      <c r="DT88" s="2286">
        <f t="shared" si="277"/>
        <v>859</v>
      </c>
      <c r="DU88" s="2286">
        <f t="shared" si="278"/>
        <v>780</v>
      </c>
      <c r="DV88" s="2286">
        <f t="shared" si="279"/>
        <v>1372</v>
      </c>
      <c r="DW88" s="2286">
        <f t="shared" ca="1" si="280"/>
        <v>1936.3410945819414</v>
      </c>
      <c r="DX88" s="2286">
        <f t="shared" ca="1" si="281"/>
        <v>2184.704842895625</v>
      </c>
      <c r="DY88" s="2286">
        <f t="shared" ca="1" si="282"/>
        <v>2144.7824715792981</v>
      </c>
      <c r="EA88"/>
      <c r="EB88"/>
      <c r="EC88"/>
      <c r="ED88"/>
      <c r="EE88"/>
      <c r="EF88"/>
      <c r="EG88" s="855"/>
      <c r="EH88" s="855"/>
      <c r="EI88" s="855"/>
      <c r="EJ88"/>
      <c r="EK88"/>
      <c r="EL88"/>
      <c r="EM88" s="1703"/>
      <c r="EN88" s="855"/>
      <c r="EO88" s="855"/>
      <c r="EP88" s="855"/>
      <c r="EQ88" s="855"/>
      <c r="ER88" s="234"/>
    </row>
    <row r="89" spans="1:148" s="923" customFormat="1" x14ac:dyDescent="0.2">
      <c r="A89" s="1434" t="s">
        <v>1628</v>
      </c>
      <c r="B89" s="765"/>
      <c r="C89" s="765"/>
      <c r="D89" s="765"/>
      <c r="E89" s="765"/>
      <c r="F89" s="765"/>
      <c r="G89" s="765"/>
      <c r="H89" s="765"/>
      <c r="I89" s="765"/>
      <c r="J89" s="765"/>
      <c r="K89" s="765"/>
      <c r="L89" s="765"/>
      <c r="M89" s="965"/>
      <c r="N89" s="765"/>
      <c r="O89" s="765"/>
      <c r="P89" s="765"/>
      <c r="Q89" s="765"/>
      <c r="R89" s="965"/>
      <c r="S89" s="765"/>
      <c r="T89" s="765"/>
      <c r="U89" s="765"/>
      <c r="V89" s="765"/>
      <c r="W89" s="965"/>
      <c r="X89" s="765"/>
      <c r="Y89" s="765"/>
      <c r="Z89" s="765"/>
      <c r="AA89" s="765"/>
      <c r="AB89" s="965"/>
      <c r="AC89" s="765"/>
      <c r="AD89" s="765"/>
      <c r="AE89" s="765"/>
      <c r="AF89" s="765"/>
      <c r="AG89" s="965"/>
      <c r="AH89" s="765"/>
      <c r="AI89" s="765"/>
      <c r="AJ89" s="765"/>
      <c r="AK89" s="765"/>
      <c r="AL89" s="965"/>
      <c r="AM89" s="765"/>
      <c r="AN89" s="765"/>
      <c r="AO89" s="765"/>
      <c r="AP89" s="765"/>
      <c r="AQ89" s="965"/>
      <c r="AR89" s="765"/>
      <c r="AS89" s="765"/>
      <c r="AT89" s="765"/>
      <c r="AU89" s="765"/>
      <c r="AV89" s="965"/>
      <c r="AW89" s="765"/>
      <c r="AX89" s="765"/>
      <c r="AY89" s="765"/>
      <c r="AZ89" s="765"/>
      <c r="BA89" s="965"/>
      <c r="BB89" s="765"/>
      <c r="BC89" s="765"/>
      <c r="BD89" s="765"/>
      <c r="BE89" s="765"/>
      <c r="BF89" s="965"/>
      <c r="BG89" s="765">
        <f>-BG39</f>
        <v>34</v>
      </c>
      <c r="BH89" s="765">
        <f>-BH39</f>
        <v>33</v>
      </c>
      <c r="BI89" s="765">
        <f>-BI39</f>
        <v>31</v>
      </c>
      <c r="BJ89" s="765">
        <f>-BJ39</f>
        <v>39</v>
      </c>
      <c r="BK89" s="965">
        <f t="shared" si="283"/>
        <v>137</v>
      </c>
      <c r="BL89" s="765">
        <f>-BL39</f>
        <v>32</v>
      </c>
      <c r="BM89" s="765">
        <f>-BM39</f>
        <v>29</v>
      </c>
      <c r="BN89" s="765">
        <f>-BN39</f>
        <v>32</v>
      </c>
      <c r="BO89" s="765">
        <f>-BO39</f>
        <v>42</v>
      </c>
      <c r="BP89" s="965">
        <f t="shared" ref="BP89:BP97" si="288">+SUM(BL89:BO89)</f>
        <v>135</v>
      </c>
      <c r="BQ89" s="765">
        <f>-BQ39</f>
        <v>33</v>
      </c>
      <c r="BR89" s="765">
        <f>-BR39</f>
        <v>34</v>
      </c>
      <c r="BS89" s="765">
        <f>-BS39</f>
        <v>29</v>
      </c>
      <c r="BT89" s="765">
        <f>-BT39</f>
        <v>41</v>
      </c>
      <c r="BU89" s="965">
        <f t="shared" ref="BU89:BU97" si="289">+SUM(BQ89:BT89)</f>
        <v>137</v>
      </c>
      <c r="BV89" s="765">
        <f>-BV39</f>
        <v>31</v>
      </c>
      <c r="BW89" s="765">
        <f>-BW39</f>
        <v>29</v>
      </c>
      <c r="BX89" s="765">
        <f>-BX39</f>
        <v>28</v>
      </c>
      <c r="BY89" s="765">
        <f>-BY39</f>
        <v>32</v>
      </c>
      <c r="BZ89" s="965">
        <f t="shared" si="284"/>
        <v>120</v>
      </c>
      <c r="CA89" s="765">
        <f t="shared" ref="CA89:CG89" si="290">-CA39</f>
        <v>30</v>
      </c>
      <c r="CB89" s="220">
        <f t="shared" si="290"/>
        <v>30</v>
      </c>
      <c r="CC89" s="220">
        <f t="shared" si="290"/>
        <v>29</v>
      </c>
      <c r="CD89" s="1792">
        <f t="shared" si="290"/>
        <v>26</v>
      </c>
      <c r="CE89" s="965">
        <f t="shared" si="290"/>
        <v>115</v>
      </c>
      <c r="CF89" s="765">
        <f t="shared" si="290"/>
        <v>36</v>
      </c>
      <c r="CG89" s="765">
        <f t="shared" si="290"/>
        <v>42</v>
      </c>
      <c r="CH89" s="220">
        <f t="shared" ref="CH89:CO89" si="291">-CH39</f>
        <v>43</v>
      </c>
      <c r="CI89" s="1792">
        <f t="shared" si="291"/>
        <v>46</v>
      </c>
      <c r="CJ89" s="965">
        <f t="shared" si="291"/>
        <v>167</v>
      </c>
      <c r="CK89" s="220">
        <f t="shared" si="291"/>
        <v>47</v>
      </c>
      <c r="CL89" s="220">
        <f t="shared" si="291"/>
        <v>57</v>
      </c>
      <c r="CM89" s="220">
        <f t="shared" si="291"/>
        <v>45</v>
      </c>
      <c r="CN89" s="1792">
        <f t="shared" si="291"/>
        <v>75</v>
      </c>
      <c r="CO89" s="965">
        <f t="shared" si="291"/>
        <v>224</v>
      </c>
      <c r="CP89" s="220">
        <f>-CP39</f>
        <v>70</v>
      </c>
      <c r="CQ89" s="220">
        <f>-CQ39</f>
        <v>73</v>
      </c>
      <c r="CR89" s="220">
        <f t="shared" ref="CR89:DA89" si="292">-CR39</f>
        <v>73</v>
      </c>
      <c r="CS89" s="220">
        <f>-CS39</f>
        <v>72</v>
      </c>
      <c r="CT89" s="965">
        <f t="shared" si="292"/>
        <v>288</v>
      </c>
      <c r="CU89" s="220">
        <f>-CU39</f>
        <v>78.548457008330431</v>
      </c>
      <c r="CV89" s="220">
        <f>-CV39</f>
        <v>81.250624437716226</v>
      </c>
      <c r="CW89" s="220">
        <f>-CW39</f>
        <v>84.333749108515562</v>
      </c>
      <c r="CX89" s="220">
        <f>-CX39</f>
        <v>86.148543629063525</v>
      </c>
      <c r="CY89" s="965">
        <f>-CY39</f>
        <v>330.28137418362576</v>
      </c>
      <c r="CZ89" s="1792">
        <f t="shared" si="292"/>
        <v>360.40811934872193</v>
      </c>
      <c r="DA89" s="965">
        <f t="shared" si="292"/>
        <v>377.43696967570474</v>
      </c>
      <c r="DB89"/>
      <c r="DC89"/>
      <c r="DD89" s="2308" t="s">
        <v>1628</v>
      </c>
      <c r="DE89" s="2284">
        <f t="shared" si="262"/>
        <v>0</v>
      </c>
      <c r="DF89" s="2284">
        <f t="shared" si="263"/>
        <v>0</v>
      </c>
      <c r="DG89" s="2284">
        <f t="shared" si="264"/>
        <v>0</v>
      </c>
      <c r="DH89" s="2284">
        <f t="shared" si="265"/>
        <v>0</v>
      </c>
      <c r="DI89" s="2284">
        <f t="shared" si="266"/>
        <v>0</v>
      </c>
      <c r="DJ89" s="2284">
        <f t="shared" si="267"/>
        <v>0</v>
      </c>
      <c r="DK89" s="2284">
        <f t="shared" si="268"/>
        <v>0</v>
      </c>
      <c r="DL89" s="2284">
        <f t="shared" si="269"/>
        <v>0</v>
      </c>
      <c r="DM89" s="2284">
        <f t="shared" si="270"/>
        <v>0</v>
      </c>
      <c r="DN89" s="2284">
        <f t="shared" si="271"/>
        <v>0</v>
      </c>
      <c r="DO89" s="2284">
        <f t="shared" si="272"/>
        <v>137</v>
      </c>
      <c r="DP89" s="2284">
        <f t="shared" si="273"/>
        <v>135</v>
      </c>
      <c r="DQ89" s="2284">
        <f t="shared" si="274"/>
        <v>137</v>
      </c>
      <c r="DR89" s="2284">
        <f t="shared" si="275"/>
        <v>120</v>
      </c>
      <c r="DS89" s="2284">
        <f t="shared" si="276"/>
        <v>115</v>
      </c>
      <c r="DT89" s="2284">
        <f t="shared" si="277"/>
        <v>167</v>
      </c>
      <c r="DU89" s="2284">
        <f t="shared" si="278"/>
        <v>224</v>
      </c>
      <c r="DV89" s="2284">
        <f t="shared" si="279"/>
        <v>288</v>
      </c>
      <c r="DW89" s="2284">
        <f t="shared" si="280"/>
        <v>330.28137418362576</v>
      </c>
      <c r="DX89" s="2284">
        <f t="shared" si="281"/>
        <v>360.40811934872193</v>
      </c>
      <c r="DY89" s="2284">
        <f t="shared" si="282"/>
        <v>377.43696967570474</v>
      </c>
      <c r="EA89"/>
      <c r="EB89"/>
      <c r="EC89"/>
      <c r="ED89"/>
      <c r="EE89"/>
      <c r="EF89"/>
      <c r="EG89" s="855"/>
      <c r="EH89" s="855"/>
      <c r="EI89" s="855"/>
      <c r="EJ89"/>
      <c r="EK89"/>
      <c r="EL89"/>
      <c r="EM89" s="1703"/>
      <c r="EN89" s="855"/>
      <c r="EO89" s="855"/>
      <c r="EP89" s="855"/>
      <c r="EQ89" s="855"/>
      <c r="ER89" s="234"/>
    </row>
    <row r="90" spans="1:148" s="923" customFormat="1" ht="12.75" customHeight="1" x14ac:dyDescent="0.2">
      <c r="A90" s="1434" t="s">
        <v>1629</v>
      </c>
      <c r="B90" s="220"/>
      <c r="C90" s="220"/>
      <c r="D90" s="220"/>
      <c r="E90" s="220"/>
      <c r="F90" s="220"/>
      <c r="G90" s="220"/>
      <c r="H90" s="220"/>
      <c r="I90" s="220"/>
      <c r="J90" s="220"/>
      <c r="K90" s="220"/>
      <c r="L90" s="220"/>
      <c r="M90" s="965"/>
      <c r="N90" s="220"/>
      <c r="O90" s="220"/>
      <c r="P90" s="220"/>
      <c r="Q90" s="220"/>
      <c r="R90" s="965"/>
      <c r="S90" s="220"/>
      <c r="T90" s="220"/>
      <c r="U90" s="220"/>
      <c r="V90" s="220"/>
      <c r="W90" s="965"/>
      <c r="X90" s="220"/>
      <c r="Y90" s="220"/>
      <c r="Z90" s="220"/>
      <c r="AA90" s="220"/>
      <c r="AB90" s="965"/>
      <c r="AC90" s="220"/>
      <c r="AD90" s="220"/>
      <c r="AE90" s="220"/>
      <c r="AF90" s="220"/>
      <c r="AG90" s="965"/>
      <c r="AH90" s="220"/>
      <c r="AI90" s="220"/>
      <c r="AJ90" s="220"/>
      <c r="AK90" s="220"/>
      <c r="AL90" s="965"/>
      <c r="AM90" s="220"/>
      <c r="AN90" s="220"/>
      <c r="AO90" s="220"/>
      <c r="AP90" s="220"/>
      <c r="AQ90" s="965"/>
      <c r="AR90" s="220"/>
      <c r="AS90" s="220"/>
      <c r="AT90" s="220"/>
      <c r="AU90" s="220"/>
      <c r="AV90" s="965"/>
      <c r="AW90" s="220"/>
      <c r="AX90" s="220"/>
      <c r="AY90" s="220"/>
      <c r="AZ90" s="220"/>
      <c r="BA90" s="965"/>
      <c r="BB90" s="220"/>
      <c r="BC90" s="220"/>
      <c r="BD90" s="220"/>
      <c r="BE90" s="220"/>
      <c r="BF90" s="965"/>
      <c r="BG90" s="220">
        <f>-BG48</f>
        <v>42</v>
      </c>
      <c r="BH90" s="220">
        <f>-BH48</f>
        <v>57</v>
      </c>
      <c r="BI90" s="220">
        <f>-BI48</f>
        <v>37</v>
      </c>
      <c r="BJ90" s="220">
        <f>-BJ48</f>
        <v>51</v>
      </c>
      <c r="BK90" s="965">
        <f t="shared" si="283"/>
        <v>187</v>
      </c>
      <c r="BL90" s="220">
        <f>-BL48</f>
        <v>43</v>
      </c>
      <c r="BM90" s="220">
        <f>-BM48</f>
        <v>61</v>
      </c>
      <c r="BN90" s="220">
        <f>-BN48</f>
        <v>48</v>
      </c>
      <c r="BO90" s="220">
        <f>-BO48</f>
        <v>57</v>
      </c>
      <c r="BP90" s="965">
        <f t="shared" si="288"/>
        <v>209</v>
      </c>
      <c r="BQ90" s="220">
        <f>-BQ48</f>
        <v>43</v>
      </c>
      <c r="BR90" s="220">
        <f>-BR48</f>
        <v>66</v>
      </c>
      <c r="BS90" s="220">
        <f>-BS48</f>
        <v>79</v>
      </c>
      <c r="BT90" s="220">
        <f>-BT48</f>
        <v>90</v>
      </c>
      <c r="BU90" s="965">
        <f t="shared" si="289"/>
        <v>278</v>
      </c>
      <c r="BV90" s="220">
        <f>-BV48</f>
        <v>65</v>
      </c>
      <c r="BW90" s="220">
        <f>-BW48</f>
        <v>84</v>
      </c>
      <c r="BX90" s="220">
        <f>-BX48</f>
        <v>63</v>
      </c>
      <c r="BY90" s="220">
        <f>-BY48</f>
        <v>59</v>
      </c>
      <c r="BZ90" s="965">
        <f t="shared" si="284"/>
        <v>271</v>
      </c>
      <c r="CA90" s="220">
        <f t="shared" ref="CA90:CG90" si="293">-CA48</f>
        <v>59</v>
      </c>
      <c r="CB90" s="220">
        <f t="shared" si="293"/>
        <v>93</v>
      </c>
      <c r="CC90" s="220">
        <f t="shared" si="293"/>
        <v>98</v>
      </c>
      <c r="CD90" s="1792">
        <f t="shared" si="293"/>
        <v>85</v>
      </c>
      <c r="CE90" s="965">
        <f t="shared" si="293"/>
        <v>335</v>
      </c>
      <c r="CF90" s="220">
        <f t="shared" si="293"/>
        <v>100</v>
      </c>
      <c r="CG90" s="220">
        <f t="shared" si="293"/>
        <v>115</v>
      </c>
      <c r="CH90" s="220">
        <f t="shared" ref="CH90:CQ90" si="294">-CH48</f>
        <v>99</v>
      </c>
      <c r="CI90" s="1792">
        <f t="shared" si="294"/>
        <v>82</v>
      </c>
      <c r="CJ90" s="965">
        <f t="shared" si="294"/>
        <v>396</v>
      </c>
      <c r="CK90" s="220">
        <f t="shared" si="294"/>
        <v>107</v>
      </c>
      <c r="CL90" s="220">
        <f t="shared" si="294"/>
        <v>97</v>
      </c>
      <c r="CM90" s="220">
        <f t="shared" si="294"/>
        <v>61</v>
      </c>
      <c r="CN90" s="3383">
        <v>185</v>
      </c>
      <c r="CO90" s="965">
        <f t="shared" si="294"/>
        <v>404</v>
      </c>
      <c r="CP90" s="220">
        <f t="shared" si="294"/>
        <v>120</v>
      </c>
      <c r="CQ90" s="220">
        <f t="shared" si="294"/>
        <v>178</v>
      </c>
      <c r="CR90" s="220">
        <f t="shared" ref="CR90:DA90" si="295">-CR48</f>
        <v>188</v>
      </c>
      <c r="CS90" s="220">
        <f t="shared" si="295"/>
        <v>978</v>
      </c>
      <c r="CT90" s="965">
        <f t="shared" si="295"/>
        <v>1464</v>
      </c>
      <c r="CU90" s="220">
        <f ca="1">-CU48</f>
        <v>130.23176643373259</v>
      </c>
      <c r="CV90" s="220">
        <f ca="1">-CV48</f>
        <v>139.49148099817191</v>
      </c>
      <c r="CW90" s="220">
        <f ca="1">-CW48</f>
        <v>135.19546667197699</v>
      </c>
      <c r="CX90" s="220">
        <f ca="1">-CX48</f>
        <v>141.22877411153866</v>
      </c>
      <c r="CY90" s="965">
        <f ca="1">-CY48</f>
        <v>546.14748821542014</v>
      </c>
      <c r="CZ90" s="1792">
        <f t="shared" ca="1" si="295"/>
        <v>616.19880184235558</v>
      </c>
      <c r="DA90" s="965">
        <f t="shared" ca="1" si="295"/>
        <v>604.93864583005836</v>
      </c>
      <c r="DB90"/>
      <c r="DC90"/>
      <c r="DD90" s="2308" t="s">
        <v>1629</v>
      </c>
      <c r="DE90" s="2284">
        <f t="shared" si="262"/>
        <v>0</v>
      </c>
      <c r="DF90" s="2284">
        <f t="shared" si="263"/>
        <v>0</v>
      </c>
      <c r="DG90" s="2284">
        <f t="shared" si="264"/>
        <v>0</v>
      </c>
      <c r="DH90" s="2284">
        <f t="shared" si="265"/>
        <v>0</v>
      </c>
      <c r="DI90" s="2284">
        <f t="shared" si="266"/>
        <v>0</v>
      </c>
      <c r="DJ90" s="2284">
        <f t="shared" si="267"/>
        <v>0</v>
      </c>
      <c r="DK90" s="2284">
        <f t="shared" si="268"/>
        <v>0</v>
      </c>
      <c r="DL90" s="2284">
        <f t="shared" si="269"/>
        <v>0</v>
      </c>
      <c r="DM90" s="2284">
        <f t="shared" si="270"/>
        <v>0</v>
      </c>
      <c r="DN90" s="2284">
        <f t="shared" si="271"/>
        <v>0</v>
      </c>
      <c r="DO90" s="2284">
        <f t="shared" si="272"/>
        <v>187</v>
      </c>
      <c r="DP90" s="2284">
        <f t="shared" si="273"/>
        <v>209</v>
      </c>
      <c r="DQ90" s="2284">
        <f t="shared" si="274"/>
        <v>278</v>
      </c>
      <c r="DR90" s="2284">
        <f t="shared" si="275"/>
        <v>271</v>
      </c>
      <c r="DS90" s="2284">
        <f t="shared" si="276"/>
        <v>335</v>
      </c>
      <c r="DT90" s="2284">
        <f t="shared" si="277"/>
        <v>396</v>
      </c>
      <c r="DU90" s="2284">
        <f t="shared" si="278"/>
        <v>404</v>
      </c>
      <c r="DV90" s="2284">
        <f t="shared" si="279"/>
        <v>1464</v>
      </c>
      <c r="DW90" s="2284">
        <f t="shared" ca="1" si="280"/>
        <v>546.14748821542014</v>
      </c>
      <c r="DX90" s="2284">
        <f t="shared" ca="1" si="281"/>
        <v>616.19880184235558</v>
      </c>
      <c r="DY90" s="2284">
        <f t="shared" ca="1" si="282"/>
        <v>604.93864583005836</v>
      </c>
      <c r="EA90"/>
      <c r="EB90"/>
      <c r="EC90"/>
      <c r="ED90"/>
      <c r="EE90"/>
      <c r="EF90"/>
      <c r="EG90" s="855"/>
      <c r="EH90" s="855"/>
      <c r="EI90" s="855"/>
      <c r="EJ90"/>
      <c r="EK90"/>
      <c r="EL90"/>
      <c r="EM90" s="1703"/>
      <c r="EN90" s="855"/>
      <c r="EO90" s="855"/>
      <c r="EP90" s="855"/>
      <c r="EQ90" s="855"/>
      <c r="ER90" s="234"/>
    </row>
    <row r="91" spans="1:148" s="923" customFormat="1" ht="12.75" customHeight="1" x14ac:dyDescent="0.2">
      <c r="A91" s="1434" t="s">
        <v>685</v>
      </c>
      <c r="B91" s="224"/>
      <c r="C91" s="224"/>
      <c r="D91" s="224"/>
      <c r="E91" s="224"/>
      <c r="F91" s="224"/>
      <c r="G91" s="224"/>
      <c r="H91" s="224"/>
      <c r="I91" s="224">
        <f>+I633</f>
        <v>33.153846153846153</v>
      </c>
      <c r="J91" s="224">
        <f>+J633</f>
        <v>38.153846153846153</v>
      </c>
      <c r="K91" s="224">
        <f>+K633</f>
        <v>39.153846153846153</v>
      </c>
      <c r="L91" s="224">
        <f>+L633</f>
        <v>50.53846153846154</v>
      </c>
      <c r="M91" s="965">
        <f>+SUM(I91:L91)</f>
        <v>161</v>
      </c>
      <c r="N91" s="224">
        <f>+N633</f>
        <v>35.615384615384613</v>
      </c>
      <c r="O91" s="224">
        <f>+O633</f>
        <v>39.615384615384613</v>
      </c>
      <c r="P91" s="224">
        <f>+P633</f>
        <v>40.615384615384613</v>
      </c>
      <c r="Q91" s="224">
        <f>+Q633</f>
        <v>61.153846153846153</v>
      </c>
      <c r="R91" s="965">
        <f>+SUM(N91:Q91)</f>
        <v>177</v>
      </c>
      <c r="S91" s="224">
        <f>+S633</f>
        <v>31.8</v>
      </c>
      <c r="T91" s="224">
        <f>+T633</f>
        <v>38.323076923076925</v>
      </c>
      <c r="U91" s="224">
        <f>+U633</f>
        <v>33.323076923076925</v>
      </c>
      <c r="V91" s="224">
        <f>+V633</f>
        <v>46.707692307692305</v>
      </c>
      <c r="W91" s="965">
        <f>+SUM(S91:V91)</f>
        <v>150.15384615384616</v>
      </c>
      <c r="X91" s="224">
        <f>+X633</f>
        <v>34</v>
      </c>
      <c r="Y91" s="224">
        <f>+Y633</f>
        <v>34</v>
      </c>
      <c r="Z91" s="224">
        <f>+Z633</f>
        <v>37</v>
      </c>
      <c r="AA91" s="224">
        <f>+AA633</f>
        <v>55</v>
      </c>
      <c r="AB91" s="965">
        <f>+SUM(X91:AA91)</f>
        <v>160</v>
      </c>
      <c r="AC91" s="224">
        <f>+AC633</f>
        <v>39</v>
      </c>
      <c r="AD91" s="224">
        <f>+AD633</f>
        <v>37</v>
      </c>
      <c r="AE91" s="224">
        <f>+AE633</f>
        <v>39</v>
      </c>
      <c r="AF91" s="224">
        <f>+AF633</f>
        <v>51</v>
      </c>
      <c r="AG91" s="965">
        <f>+SUM(AC91:AF91)</f>
        <v>166</v>
      </c>
      <c r="AH91" s="224">
        <f>+AH633</f>
        <v>37</v>
      </c>
      <c r="AI91" s="224">
        <f>+AI633</f>
        <v>36</v>
      </c>
      <c r="AJ91" s="224">
        <f>+AJ633</f>
        <v>53</v>
      </c>
      <c r="AK91" s="224">
        <f>+AK633</f>
        <v>58</v>
      </c>
      <c r="AL91" s="965">
        <f>+SUM(AH91:AK91)</f>
        <v>184</v>
      </c>
      <c r="AM91" s="224">
        <f>+AM633</f>
        <v>40</v>
      </c>
      <c r="AN91" s="224">
        <f>+AN633</f>
        <v>42</v>
      </c>
      <c r="AO91" s="224">
        <f>+AO633</f>
        <v>42</v>
      </c>
      <c r="AP91" s="224">
        <f>+AP633</f>
        <v>64</v>
      </c>
      <c r="AQ91" s="965">
        <f>+SUM(AM91:AP91)</f>
        <v>188</v>
      </c>
      <c r="AR91" s="224">
        <v>46</v>
      </c>
      <c r="AS91" s="224">
        <v>45</v>
      </c>
      <c r="AT91" s="224">
        <v>43</v>
      </c>
      <c r="AU91" s="224">
        <v>63</v>
      </c>
      <c r="AV91" s="965">
        <f>+SUM(AR91:AU91)</f>
        <v>197</v>
      </c>
      <c r="AW91" s="224">
        <v>41</v>
      </c>
      <c r="AX91" s="224">
        <v>47</v>
      </c>
      <c r="AY91" s="224">
        <v>42</v>
      </c>
      <c r="AZ91" s="224">
        <v>60</v>
      </c>
      <c r="BA91" s="965">
        <f>SUM(AW91:AZ91)</f>
        <v>190</v>
      </c>
      <c r="BB91" s="224">
        <v>39</v>
      </c>
      <c r="BC91" s="224">
        <v>42</v>
      </c>
      <c r="BD91" s="224">
        <v>43</v>
      </c>
      <c r="BE91" s="224">
        <v>61</v>
      </c>
      <c r="BF91" s="965">
        <f>SUM(BB91:BE91)</f>
        <v>185</v>
      </c>
      <c r="BG91" s="224">
        <v>31</v>
      </c>
      <c r="BH91" s="224">
        <v>34</v>
      </c>
      <c r="BI91" s="224">
        <v>32</v>
      </c>
      <c r="BJ91" s="224">
        <v>46</v>
      </c>
      <c r="BK91" s="965">
        <f t="shared" si="283"/>
        <v>143</v>
      </c>
      <c r="BL91" s="224">
        <v>28</v>
      </c>
      <c r="BM91" s="224">
        <v>32</v>
      </c>
      <c r="BN91" s="224">
        <v>33</v>
      </c>
      <c r="BO91" s="224">
        <v>47</v>
      </c>
      <c r="BP91" s="965">
        <f t="shared" si="288"/>
        <v>140</v>
      </c>
      <c r="BQ91" s="224">
        <v>29</v>
      </c>
      <c r="BR91" s="224">
        <v>38</v>
      </c>
      <c r="BS91" s="224">
        <v>33</v>
      </c>
      <c r="BT91" s="224">
        <v>45</v>
      </c>
      <c r="BU91" s="965">
        <f t="shared" si="289"/>
        <v>145</v>
      </c>
      <c r="BV91" s="224">
        <v>25</v>
      </c>
      <c r="BW91" s="224">
        <v>33</v>
      </c>
      <c r="BX91" s="844">
        <v>34</v>
      </c>
      <c r="BY91" s="224">
        <v>35</v>
      </c>
      <c r="BZ91" s="965">
        <f t="shared" si="284"/>
        <v>127</v>
      </c>
      <c r="CA91" s="224">
        <v>36</v>
      </c>
      <c r="CB91" s="224">
        <v>32</v>
      </c>
      <c r="CC91" s="2324">
        <f>CC30</f>
        <v>33</v>
      </c>
      <c r="CD91" s="2324">
        <f>CD30</f>
        <v>32</v>
      </c>
      <c r="CE91" s="965">
        <f>+SUM(CA91:CD91)</f>
        <v>133</v>
      </c>
      <c r="CF91" s="224">
        <v>32</v>
      </c>
      <c r="CG91" s="224">
        <v>32</v>
      </c>
      <c r="CH91" s="224">
        <v>31</v>
      </c>
      <c r="CI91" s="224">
        <v>32</v>
      </c>
      <c r="CJ91" s="965">
        <f>+SUM(CF91:CI91)</f>
        <v>127</v>
      </c>
      <c r="CK91" s="2982">
        <v>31</v>
      </c>
      <c r="CL91" s="2982">
        <v>30</v>
      </c>
      <c r="CM91" s="2982">
        <v>36</v>
      </c>
      <c r="CN91" s="3287">
        <v>71</v>
      </c>
      <c r="CO91" s="965">
        <f>+SUM(CK91:CN91)</f>
        <v>168</v>
      </c>
      <c r="CP91" s="2982">
        <v>65</v>
      </c>
      <c r="CQ91" s="3625">
        <v>85</v>
      </c>
      <c r="CR91" s="2982">
        <v>68</v>
      </c>
      <c r="CS91" s="2982">
        <v>72</v>
      </c>
      <c r="CT91" s="965">
        <f>+SUM(CP91:CS91)</f>
        <v>290</v>
      </c>
      <c r="CU91" s="220">
        <f>CP91</f>
        <v>65</v>
      </c>
      <c r="CV91" s="3926">
        <f>CQ91*0.95</f>
        <v>80.75</v>
      </c>
      <c r="CW91" s="220">
        <f t="shared" ref="CW91:CX91" si="296">CR91</f>
        <v>68</v>
      </c>
      <c r="CX91" s="220">
        <f t="shared" si="296"/>
        <v>72</v>
      </c>
      <c r="CY91" s="965">
        <f>+SUM(CU91:CX91)</f>
        <v>285.75</v>
      </c>
      <c r="CZ91" s="3361">
        <f>+CY91*1.02</f>
        <v>291.46500000000003</v>
      </c>
      <c r="DA91" s="1963">
        <f>+CZ91*1.02</f>
        <v>297.29430000000002</v>
      </c>
      <c r="DB91"/>
      <c r="DC91"/>
      <c r="DD91" s="2308" t="s">
        <v>685</v>
      </c>
      <c r="DE91" s="2284">
        <f t="shared" si="262"/>
        <v>161</v>
      </c>
      <c r="DF91" s="2284">
        <f t="shared" si="263"/>
        <v>177</v>
      </c>
      <c r="DG91" s="2284">
        <f t="shared" si="264"/>
        <v>150.15384615384616</v>
      </c>
      <c r="DH91" s="2284">
        <f t="shared" si="265"/>
        <v>160</v>
      </c>
      <c r="DI91" s="2284">
        <f t="shared" si="266"/>
        <v>166</v>
      </c>
      <c r="DJ91" s="2284">
        <f t="shared" si="267"/>
        <v>184</v>
      </c>
      <c r="DK91" s="2284">
        <f t="shared" si="268"/>
        <v>188</v>
      </c>
      <c r="DL91" s="2284">
        <f t="shared" si="269"/>
        <v>197</v>
      </c>
      <c r="DM91" s="2284">
        <f t="shared" si="270"/>
        <v>190</v>
      </c>
      <c r="DN91" s="2284">
        <f t="shared" si="271"/>
        <v>185</v>
      </c>
      <c r="DO91" s="2284">
        <f t="shared" si="272"/>
        <v>143</v>
      </c>
      <c r="DP91" s="2284">
        <f t="shared" si="273"/>
        <v>140</v>
      </c>
      <c r="DQ91" s="2284">
        <f t="shared" si="274"/>
        <v>145</v>
      </c>
      <c r="DR91" s="2284">
        <f t="shared" si="275"/>
        <v>127</v>
      </c>
      <c r="DS91" s="2284">
        <f t="shared" si="276"/>
        <v>133</v>
      </c>
      <c r="DT91" s="2284">
        <f t="shared" si="277"/>
        <v>127</v>
      </c>
      <c r="DU91" s="2284">
        <f t="shared" si="278"/>
        <v>168</v>
      </c>
      <c r="DV91" s="2284">
        <f t="shared" si="279"/>
        <v>290</v>
      </c>
      <c r="DW91" s="2284">
        <f t="shared" si="280"/>
        <v>285.75</v>
      </c>
      <c r="DX91" s="2284">
        <f t="shared" si="281"/>
        <v>291.46500000000003</v>
      </c>
      <c r="DY91" s="2284">
        <f t="shared" si="282"/>
        <v>297.29430000000002</v>
      </c>
      <c r="EA91"/>
      <c r="EB91"/>
      <c r="EC91"/>
      <c r="ED91"/>
      <c r="EE91"/>
      <c r="EF91"/>
      <c r="EG91" s="855"/>
      <c r="EH91" s="855"/>
      <c r="EI91" s="855"/>
      <c r="EJ91"/>
      <c r="EK91"/>
      <c r="EL91"/>
      <c r="EM91" s="1703"/>
      <c r="EN91" s="855"/>
      <c r="EO91" s="855"/>
      <c r="EP91" s="855"/>
      <c r="EQ91" s="855"/>
      <c r="ER91" s="234"/>
    </row>
    <row r="92" spans="1:148" s="923" customFormat="1" x14ac:dyDescent="0.2">
      <c r="A92" s="1434" t="s">
        <v>720</v>
      </c>
      <c r="B92" s="844"/>
      <c r="C92" s="844"/>
      <c r="D92" s="844"/>
      <c r="E92" s="844"/>
      <c r="F92" s="844"/>
      <c r="G92" s="844"/>
      <c r="H92" s="844"/>
      <c r="I92" s="844"/>
      <c r="J92" s="844"/>
      <c r="K92" s="844"/>
      <c r="L92" s="844"/>
      <c r="M92" s="965"/>
      <c r="N92" s="844"/>
      <c r="O92" s="844"/>
      <c r="P92" s="844"/>
      <c r="Q92" s="844"/>
      <c r="R92" s="965"/>
      <c r="S92" s="844"/>
      <c r="T92" s="844"/>
      <c r="U92" s="844"/>
      <c r="V92" s="844"/>
      <c r="W92" s="965"/>
      <c r="X92" s="844"/>
      <c r="Y92" s="844"/>
      <c r="Z92" s="844"/>
      <c r="AA92" s="844"/>
      <c r="AB92" s="965"/>
      <c r="AC92" s="844"/>
      <c r="AD92" s="844"/>
      <c r="AE92" s="844"/>
      <c r="AF92" s="844"/>
      <c r="AG92" s="965"/>
      <c r="AH92" s="844"/>
      <c r="AI92" s="844"/>
      <c r="AJ92" s="844"/>
      <c r="AK92" s="844"/>
      <c r="AL92" s="965"/>
      <c r="AM92" s="844"/>
      <c r="AN92" s="844"/>
      <c r="AO92" s="844"/>
      <c r="AP92" s="844"/>
      <c r="AQ92" s="965"/>
      <c r="AR92" s="844"/>
      <c r="AS92" s="844"/>
      <c r="AT92" s="844"/>
      <c r="AU92" s="844"/>
      <c r="AV92" s="965"/>
      <c r="AW92" s="844"/>
      <c r="AX92" s="844"/>
      <c r="AY92" s="844"/>
      <c r="AZ92" s="844"/>
      <c r="BA92" s="965"/>
      <c r="BB92" s="844"/>
      <c r="BC92" s="844"/>
      <c r="BD92" s="844"/>
      <c r="BE92" s="844"/>
      <c r="BF92" s="965"/>
      <c r="BG92" s="844">
        <v>-3</v>
      </c>
      <c r="BH92" s="844">
        <v>-3</v>
      </c>
      <c r="BI92" s="844">
        <v>-2</v>
      </c>
      <c r="BJ92" s="844">
        <v>-3</v>
      </c>
      <c r="BK92" s="965">
        <f>+SUM(BG92:BJ92)</f>
        <v>-11</v>
      </c>
      <c r="BL92" s="844">
        <v>-4</v>
      </c>
      <c r="BM92" s="844">
        <v>-3</v>
      </c>
      <c r="BN92" s="844">
        <v>-4</v>
      </c>
      <c r="BO92" s="844">
        <v>-4</v>
      </c>
      <c r="BP92" s="965">
        <f>+SUM(BL92:BO92)</f>
        <v>-15</v>
      </c>
      <c r="BQ92" s="844">
        <f>19+10-BQ91</f>
        <v>0</v>
      </c>
      <c r="BR92" s="844">
        <f>28+10-BR91</f>
        <v>0</v>
      </c>
      <c r="BS92" s="844">
        <f>22+11-BS91</f>
        <v>0</v>
      </c>
      <c r="BT92" s="844">
        <f>33+14-BT91</f>
        <v>2</v>
      </c>
      <c r="BU92" s="965">
        <f>+SUM(BQ92:BT92)</f>
        <v>2</v>
      </c>
      <c r="BV92" s="844">
        <v>12</v>
      </c>
      <c r="BW92" s="844">
        <v>12</v>
      </c>
      <c r="BX92" s="844">
        <v>12</v>
      </c>
      <c r="BY92" s="844">
        <v>12</v>
      </c>
      <c r="BZ92" s="965">
        <f t="shared" si="284"/>
        <v>48</v>
      </c>
      <c r="CA92" s="844">
        <f>36+12-CA91</f>
        <v>12</v>
      </c>
      <c r="CB92" s="844">
        <v>13</v>
      </c>
      <c r="CC92" s="844">
        <v>13</v>
      </c>
      <c r="CD92" s="844">
        <v>13</v>
      </c>
      <c r="CE92" s="965">
        <f>+SUM(CA92:CD92)</f>
        <v>51</v>
      </c>
      <c r="CF92" s="844">
        <v>14</v>
      </c>
      <c r="CG92" s="844">
        <v>14</v>
      </c>
      <c r="CH92" s="844">
        <v>15</v>
      </c>
      <c r="CI92" s="844">
        <v>15</v>
      </c>
      <c r="CJ92" s="965">
        <f>+SUM(CF92:CI92)</f>
        <v>58</v>
      </c>
      <c r="CK92" s="2982">
        <v>14</v>
      </c>
      <c r="CL92" s="2982">
        <v>14</v>
      </c>
      <c r="CM92" s="2982">
        <v>15</v>
      </c>
      <c r="CN92" s="2982">
        <v>33</v>
      </c>
      <c r="CO92" s="965">
        <f>+SUM(CK92:CN92)</f>
        <v>76</v>
      </c>
      <c r="CP92" s="2982">
        <v>32</v>
      </c>
      <c r="CQ92" s="2982">
        <v>33</v>
      </c>
      <c r="CR92" s="2982">
        <v>28</v>
      </c>
      <c r="CS92" s="2982">
        <v>33</v>
      </c>
      <c r="CT92" s="965">
        <f>+SUM(CP92:CS92)</f>
        <v>126</v>
      </c>
      <c r="CU92" s="3926">
        <f>145/4</f>
        <v>36.25</v>
      </c>
      <c r="CV92" s="3926">
        <f t="shared" ref="CV92:CX92" si="297">145/4</f>
        <v>36.25</v>
      </c>
      <c r="CW92" s="3926">
        <f t="shared" si="297"/>
        <v>36.25</v>
      </c>
      <c r="CX92" s="3926">
        <f t="shared" si="297"/>
        <v>36.25</v>
      </c>
      <c r="CY92" s="965">
        <f>+SUM(CU92:CX92)</f>
        <v>145</v>
      </c>
      <c r="CZ92" s="3362">
        <f>+CY92*1.02</f>
        <v>147.9</v>
      </c>
      <c r="DA92" s="2245">
        <f>+CZ92*1.02</f>
        <v>150.858</v>
      </c>
      <c r="DB92"/>
      <c r="DC92"/>
      <c r="DD92" s="2308" t="s">
        <v>720</v>
      </c>
      <c r="DE92" s="2284">
        <f t="shared" si="262"/>
        <v>0</v>
      </c>
      <c r="DF92" s="2284">
        <f t="shared" si="263"/>
        <v>0</v>
      </c>
      <c r="DG92" s="2284">
        <f t="shared" si="264"/>
        <v>0</v>
      </c>
      <c r="DH92" s="2284">
        <f t="shared" si="265"/>
        <v>0</v>
      </c>
      <c r="DI92" s="2284">
        <f t="shared" si="266"/>
        <v>0</v>
      </c>
      <c r="DJ92" s="2284">
        <f t="shared" si="267"/>
        <v>0</v>
      </c>
      <c r="DK92" s="2284">
        <f t="shared" si="268"/>
        <v>0</v>
      </c>
      <c r="DL92" s="2284">
        <f t="shared" si="269"/>
        <v>0</v>
      </c>
      <c r="DM92" s="2284">
        <f t="shared" si="270"/>
        <v>0</v>
      </c>
      <c r="DN92" s="2284">
        <f t="shared" si="271"/>
        <v>0</v>
      </c>
      <c r="DO92" s="2284">
        <f t="shared" si="272"/>
        <v>-11</v>
      </c>
      <c r="DP92" s="2284">
        <f t="shared" si="273"/>
        <v>-15</v>
      </c>
      <c r="DQ92" s="2284">
        <f t="shared" si="274"/>
        <v>2</v>
      </c>
      <c r="DR92" s="2284">
        <f t="shared" si="275"/>
        <v>48</v>
      </c>
      <c r="DS92" s="2284">
        <f t="shared" si="276"/>
        <v>51</v>
      </c>
      <c r="DT92" s="2284">
        <f t="shared" si="277"/>
        <v>58</v>
      </c>
      <c r="DU92" s="2284">
        <f t="shared" si="278"/>
        <v>76</v>
      </c>
      <c r="DV92" s="2284">
        <f t="shared" si="279"/>
        <v>126</v>
      </c>
      <c r="DW92" s="2284">
        <f t="shared" si="280"/>
        <v>145</v>
      </c>
      <c r="DX92" s="2284">
        <f t="shared" si="281"/>
        <v>147.9</v>
      </c>
      <c r="DY92" s="2284">
        <f t="shared" si="282"/>
        <v>150.858</v>
      </c>
      <c r="EA92"/>
      <c r="EB92"/>
      <c r="EC92"/>
      <c r="ED92"/>
      <c r="EE92"/>
      <c r="EF92"/>
      <c r="EG92" s="855"/>
      <c r="EH92" s="855"/>
      <c r="EI92" s="855"/>
      <c r="EJ92"/>
      <c r="EK92"/>
      <c r="EL92"/>
      <c r="EM92" s="1703"/>
      <c r="EN92" s="855"/>
      <c r="EO92" s="855"/>
      <c r="EP92" s="855"/>
      <c r="EQ92" s="855"/>
      <c r="ER92" s="234"/>
    </row>
    <row r="93" spans="1:148" s="923" customFormat="1" ht="12.75" customHeight="1" x14ac:dyDescent="0.2">
      <c r="A93" s="507" t="s">
        <v>697</v>
      </c>
      <c r="B93" s="844"/>
      <c r="C93" s="844"/>
      <c r="D93" s="844"/>
      <c r="E93" s="844"/>
      <c r="F93" s="844"/>
      <c r="G93" s="844"/>
      <c r="H93" s="844"/>
      <c r="I93" s="844"/>
      <c r="J93" s="844"/>
      <c r="K93" s="844"/>
      <c r="L93" s="844"/>
      <c r="M93" s="965"/>
      <c r="N93" s="844"/>
      <c r="O93" s="844"/>
      <c r="P93" s="844"/>
      <c r="Q93" s="844"/>
      <c r="R93" s="965"/>
      <c r="S93" s="844"/>
      <c r="T93" s="844"/>
      <c r="U93" s="844"/>
      <c r="V93" s="844"/>
      <c r="W93" s="965"/>
      <c r="X93" s="844"/>
      <c r="Y93" s="844"/>
      <c r="Z93" s="844"/>
      <c r="AA93" s="844"/>
      <c r="AB93" s="965"/>
      <c r="AC93" s="844"/>
      <c r="AD93" s="844"/>
      <c r="AE93" s="844"/>
      <c r="AF93" s="844"/>
      <c r="AG93" s="965"/>
      <c r="AH93" s="844"/>
      <c r="AI93" s="844"/>
      <c r="AJ93" s="844"/>
      <c r="AK93" s="844"/>
      <c r="AL93" s="965"/>
      <c r="AM93" s="844"/>
      <c r="AN93" s="844"/>
      <c r="AO93" s="844"/>
      <c r="AP93" s="844"/>
      <c r="AQ93" s="965"/>
      <c r="AR93" s="844"/>
      <c r="AS93" s="844"/>
      <c r="AT93" s="844"/>
      <c r="AU93" s="844"/>
      <c r="AV93" s="965"/>
      <c r="AW93" s="844"/>
      <c r="AX93" s="844"/>
      <c r="AY93" s="844"/>
      <c r="AZ93" s="844"/>
      <c r="BA93" s="965"/>
      <c r="BB93" s="844"/>
      <c r="BC93" s="844"/>
      <c r="BD93" s="844"/>
      <c r="BE93" s="844"/>
      <c r="BF93" s="965"/>
      <c r="BG93" s="844">
        <v>3</v>
      </c>
      <c r="BH93" s="844">
        <v>3</v>
      </c>
      <c r="BI93" s="844">
        <v>4</v>
      </c>
      <c r="BJ93" s="844">
        <v>6</v>
      </c>
      <c r="BK93" s="965">
        <f>+SUM(BG93:BJ93)</f>
        <v>16</v>
      </c>
      <c r="BL93" s="844">
        <v>4</v>
      </c>
      <c r="BM93" s="844">
        <v>4</v>
      </c>
      <c r="BN93" s="844">
        <v>5</v>
      </c>
      <c r="BO93" s="844">
        <v>5</v>
      </c>
      <c r="BP93" s="965">
        <f>+SUM(BL93:BO93)</f>
        <v>18</v>
      </c>
      <c r="BQ93" s="844">
        <v>4</v>
      </c>
      <c r="BR93" s="844">
        <v>4</v>
      </c>
      <c r="BS93" s="844">
        <v>1</v>
      </c>
      <c r="BT93" s="844">
        <v>2</v>
      </c>
      <c r="BU93" s="965">
        <f>+SUM(BQ93:BT93)</f>
        <v>11</v>
      </c>
      <c r="BV93" s="844">
        <v>1</v>
      </c>
      <c r="BW93" s="844">
        <v>1</v>
      </c>
      <c r="BX93" s="844">
        <v>1</v>
      </c>
      <c r="BY93" s="844">
        <v>1</v>
      </c>
      <c r="BZ93" s="965">
        <f t="shared" si="284"/>
        <v>4</v>
      </c>
      <c r="CA93" s="844">
        <v>1</v>
      </c>
      <c r="CB93" s="844">
        <v>1</v>
      </c>
      <c r="CC93" s="844">
        <v>0</v>
      </c>
      <c r="CD93" s="844">
        <v>1</v>
      </c>
      <c r="CE93" s="965">
        <f>+SUM(CA93:CD93)</f>
        <v>3</v>
      </c>
      <c r="CF93" s="844">
        <v>1</v>
      </c>
      <c r="CG93" s="844">
        <v>0</v>
      </c>
      <c r="CH93" s="844">
        <v>1</v>
      </c>
      <c r="CI93" s="844">
        <v>0</v>
      </c>
      <c r="CJ93" s="965">
        <f>+SUM(CF93:CI93)</f>
        <v>2</v>
      </c>
      <c r="CK93" s="2982">
        <v>1</v>
      </c>
      <c r="CL93" s="2982">
        <v>1</v>
      </c>
      <c r="CM93" s="2982">
        <v>1</v>
      </c>
      <c r="CN93" s="2982">
        <v>4</v>
      </c>
      <c r="CO93" s="965">
        <f>+SUM(CK93:CN93)</f>
        <v>7</v>
      </c>
      <c r="CP93" s="2982">
        <v>1</v>
      </c>
      <c r="CQ93" s="2982">
        <v>3</v>
      </c>
      <c r="CR93" s="2982">
        <v>2</v>
      </c>
      <c r="CS93" s="2982">
        <v>4</v>
      </c>
      <c r="CT93" s="965">
        <f>+SUM(CP93:CS93)</f>
        <v>10</v>
      </c>
      <c r="CU93" s="220">
        <f>CP93</f>
        <v>1</v>
      </c>
      <c r="CV93" s="220">
        <f>CQ93</f>
        <v>3</v>
      </c>
      <c r="CW93" s="220">
        <f>CR93</f>
        <v>2</v>
      </c>
      <c r="CX93" s="220">
        <f>CS93</f>
        <v>4</v>
      </c>
      <c r="CY93" s="965">
        <f>+SUM(CU93:CX93)</f>
        <v>10</v>
      </c>
      <c r="CZ93" s="3362">
        <f>+CY93</f>
        <v>10</v>
      </c>
      <c r="DA93" s="2245">
        <f>+CZ93</f>
        <v>10</v>
      </c>
      <c r="DB93"/>
      <c r="DC93"/>
      <c r="DD93" s="2295" t="s">
        <v>697</v>
      </c>
      <c r="DE93" s="2284">
        <f t="shared" si="262"/>
        <v>0</v>
      </c>
      <c r="DF93" s="2284">
        <f t="shared" si="263"/>
        <v>0</v>
      </c>
      <c r="DG93" s="2284">
        <f t="shared" si="264"/>
        <v>0</v>
      </c>
      <c r="DH93" s="2284">
        <f t="shared" si="265"/>
        <v>0</v>
      </c>
      <c r="DI93" s="2284">
        <f t="shared" si="266"/>
        <v>0</v>
      </c>
      <c r="DJ93" s="2284">
        <f t="shared" si="267"/>
        <v>0</v>
      </c>
      <c r="DK93" s="2284">
        <f t="shared" si="268"/>
        <v>0</v>
      </c>
      <c r="DL93" s="2284">
        <f t="shared" si="269"/>
        <v>0</v>
      </c>
      <c r="DM93" s="2284">
        <f t="shared" si="270"/>
        <v>0</v>
      </c>
      <c r="DN93" s="2284">
        <f t="shared" si="271"/>
        <v>0</v>
      </c>
      <c r="DO93" s="2284">
        <f t="shared" si="272"/>
        <v>16</v>
      </c>
      <c r="DP93" s="2284">
        <f t="shared" si="273"/>
        <v>18</v>
      </c>
      <c r="DQ93" s="2284">
        <f t="shared" si="274"/>
        <v>11</v>
      </c>
      <c r="DR93" s="2284">
        <f t="shared" si="275"/>
        <v>4</v>
      </c>
      <c r="DS93" s="2284">
        <f t="shared" si="276"/>
        <v>3</v>
      </c>
      <c r="DT93" s="2284">
        <f t="shared" si="277"/>
        <v>2</v>
      </c>
      <c r="DU93" s="2284">
        <f t="shared" si="278"/>
        <v>7</v>
      </c>
      <c r="DV93" s="2284">
        <f t="shared" si="279"/>
        <v>10</v>
      </c>
      <c r="DW93" s="2284">
        <f t="shared" si="280"/>
        <v>10</v>
      </c>
      <c r="DX93" s="2284">
        <f t="shared" si="281"/>
        <v>10</v>
      </c>
      <c r="DY93" s="2284">
        <f t="shared" si="282"/>
        <v>10</v>
      </c>
      <c r="EA93"/>
      <c r="EB93"/>
      <c r="EC93"/>
      <c r="ED93"/>
      <c r="EE93"/>
      <c r="EF93"/>
      <c r="EG93" s="855"/>
      <c r="EH93" s="855"/>
      <c r="EI93" s="855"/>
      <c r="EJ93"/>
      <c r="EK93"/>
      <c r="EL93"/>
      <c r="EM93" s="1703"/>
      <c r="EN93" s="855"/>
      <c r="EO93" s="855"/>
      <c r="EP93" s="855"/>
      <c r="EQ93" s="855"/>
      <c r="ER93" s="234"/>
    </row>
    <row r="94" spans="1:148" s="923" customFormat="1" ht="12.75" customHeight="1" x14ac:dyDescent="0.2">
      <c r="A94" s="507" t="s">
        <v>698</v>
      </c>
      <c r="B94" s="844"/>
      <c r="C94" s="844"/>
      <c r="D94" s="844"/>
      <c r="E94" s="844"/>
      <c r="F94" s="844"/>
      <c r="G94" s="844"/>
      <c r="H94" s="844"/>
      <c r="I94" s="844"/>
      <c r="J94" s="844"/>
      <c r="K94" s="844"/>
      <c r="L94" s="844"/>
      <c r="M94" s="965"/>
      <c r="N94" s="844"/>
      <c r="O94" s="844"/>
      <c r="P94" s="844"/>
      <c r="Q94" s="844"/>
      <c r="R94" s="965"/>
      <c r="S94" s="844"/>
      <c r="T94" s="844"/>
      <c r="U94" s="844"/>
      <c r="V94" s="844"/>
      <c r="W94" s="965"/>
      <c r="X94" s="844"/>
      <c r="Y94" s="844"/>
      <c r="Z94" s="844"/>
      <c r="AA94" s="844"/>
      <c r="AB94" s="965"/>
      <c r="AC94" s="844"/>
      <c r="AD94" s="844"/>
      <c r="AE94" s="844"/>
      <c r="AF94" s="844"/>
      <c r="AG94" s="965"/>
      <c r="AH94" s="844"/>
      <c r="AI94" s="844"/>
      <c r="AJ94" s="844"/>
      <c r="AK94" s="844"/>
      <c r="AL94" s="965"/>
      <c r="AM94" s="844"/>
      <c r="AN94" s="844"/>
      <c r="AO94" s="844"/>
      <c r="AP94" s="844"/>
      <c r="AQ94" s="965"/>
      <c r="AR94" s="844"/>
      <c r="AS94" s="844"/>
      <c r="AT94" s="844"/>
      <c r="AU94" s="844"/>
      <c r="AV94" s="965"/>
      <c r="AW94" s="844"/>
      <c r="AX94" s="844"/>
      <c r="AY94" s="844"/>
      <c r="AZ94" s="844"/>
      <c r="BA94" s="965"/>
      <c r="BB94" s="844"/>
      <c r="BC94" s="844"/>
      <c r="BD94" s="844"/>
      <c r="BE94" s="844"/>
      <c r="BF94" s="965"/>
      <c r="BG94" s="844">
        <v>6</v>
      </c>
      <c r="BH94" s="844">
        <v>6</v>
      </c>
      <c r="BI94" s="844">
        <v>7</v>
      </c>
      <c r="BJ94" s="844">
        <v>8</v>
      </c>
      <c r="BK94" s="965">
        <f>+SUM(BG94:BJ94)</f>
        <v>27</v>
      </c>
      <c r="BL94" s="844">
        <v>6</v>
      </c>
      <c r="BM94" s="844">
        <v>7</v>
      </c>
      <c r="BN94" s="844">
        <v>7</v>
      </c>
      <c r="BO94" s="844">
        <v>10</v>
      </c>
      <c r="BP94" s="965">
        <f>+SUM(BL94:BO94)</f>
        <v>30</v>
      </c>
      <c r="BQ94" s="844">
        <v>6</v>
      </c>
      <c r="BR94" s="844">
        <v>8</v>
      </c>
      <c r="BS94" s="844">
        <v>2</v>
      </c>
      <c r="BT94" s="844">
        <v>4</v>
      </c>
      <c r="BU94" s="965">
        <f>+SUM(BQ94:BT94)</f>
        <v>20</v>
      </c>
      <c r="BV94" s="844">
        <v>3</v>
      </c>
      <c r="BW94" s="844">
        <v>3</v>
      </c>
      <c r="BX94" s="844">
        <v>3</v>
      </c>
      <c r="BY94" s="844">
        <v>4</v>
      </c>
      <c r="BZ94" s="965">
        <f t="shared" si="284"/>
        <v>13</v>
      </c>
      <c r="CA94" s="844">
        <v>4</v>
      </c>
      <c r="CB94" s="844">
        <v>3</v>
      </c>
      <c r="CC94" s="844">
        <v>1</v>
      </c>
      <c r="CD94" s="844">
        <v>2</v>
      </c>
      <c r="CE94" s="965">
        <f>+SUM(CA94:CD94)</f>
        <v>10</v>
      </c>
      <c r="CF94" s="844">
        <v>3</v>
      </c>
      <c r="CG94" s="844">
        <v>2</v>
      </c>
      <c r="CH94" s="844">
        <v>3</v>
      </c>
      <c r="CI94" s="844">
        <v>2</v>
      </c>
      <c r="CJ94" s="965">
        <f>+SUM(CF94:CI94)</f>
        <v>10</v>
      </c>
      <c r="CK94" s="2982">
        <v>3</v>
      </c>
      <c r="CL94" s="2982">
        <v>3</v>
      </c>
      <c r="CM94" s="2982">
        <v>4</v>
      </c>
      <c r="CN94" s="2982">
        <v>10</v>
      </c>
      <c r="CO94" s="965">
        <f>+SUM(CK94:CN94)</f>
        <v>20</v>
      </c>
      <c r="CP94" s="2982">
        <v>11</v>
      </c>
      <c r="CQ94" s="2982">
        <v>10</v>
      </c>
      <c r="CR94" s="2982">
        <v>10</v>
      </c>
      <c r="CS94" s="2982">
        <v>11</v>
      </c>
      <c r="CT94" s="965">
        <f>+SUM(CP94:CS94)</f>
        <v>42</v>
      </c>
      <c r="CU94" s="3926">
        <v>10</v>
      </c>
      <c r="CV94" s="3926">
        <v>10</v>
      </c>
      <c r="CW94" s="3926">
        <v>10</v>
      </c>
      <c r="CX94" s="3926">
        <v>10</v>
      </c>
      <c r="CY94" s="965">
        <f>+SUM(CU94:CX94)</f>
        <v>40</v>
      </c>
      <c r="CZ94" s="3362">
        <f>+CY94*1.02</f>
        <v>40.799999999999997</v>
      </c>
      <c r="DA94" s="2245">
        <f>+CZ94*1.02</f>
        <v>41.616</v>
      </c>
      <c r="DB94"/>
      <c r="DC94"/>
      <c r="DD94" s="2295" t="s">
        <v>698</v>
      </c>
      <c r="DE94" s="2284">
        <f t="shared" si="262"/>
        <v>0</v>
      </c>
      <c r="DF94" s="2284">
        <f t="shared" si="263"/>
        <v>0</v>
      </c>
      <c r="DG94" s="2284">
        <f t="shared" si="264"/>
        <v>0</v>
      </c>
      <c r="DH94" s="2284">
        <f t="shared" si="265"/>
        <v>0</v>
      </c>
      <c r="DI94" s="2284">
        <f t="shared" si="266"/>
        <v>0</v>
      </c>
      <c r="DJ94" s="2284">
        <f t="shared" si="267"/>
        <v>0</v>
      </c>
      <c r="DK94" s="2284">
        <f t="shared" si="268"/>
        <v>0</v>
      </c>
      <c r="DL94" s="2284">
        <f t="shared" si="269"/>
        <v>0</v>
      </c>
      <c r="DM94" s="2284">
        <f t="shared" si="270"/>
        <v>0</v>
      </c>
      <c r="DN94" s="2284">
        <f t="shared" si="271"/>
        <v>0</v>
      </c>
      <c r="DO94" s="2284">
        <f t="shared" si="272"/>
        <v>27</v>
      </c>
      <c r="DP94" s="2284">
        <f t="shared" si="273"/>
        <v>30</v>
      </c>
      <c r="DQ94" s="2284">
        <f t="shared" si="274"/>
        <v>20</v>
      </c>
      <c r="DR94" s="2284">
        <f t="shared" si="275"/>
        <v>13</v>
      </c>
      <c r="DS94" s="2284">
        <f t="shared" si="276"/>
        <v>10</v>
      </c>
      <c r="DT94" s="2284">
        <f t="shared" si="277"/>
        <v>10</v>
      </c>
      <c r="DU94" s="2284">
        <f t="shared" si="278"/>
        <v>20</v>
      </c>
      <c r="DV94" s="2284">
        <f t="shared" si="279"/>
        <v>42</v>
      </c>
      <c r="DW94" s="2284">
        <f t="shared" si="280"/>
        <v>40</v>
      </c>
      <c r="DX94" s="2284">
        <f t="shared" si="281"/>
        <v>40.799999999999997</v>
      </c>
      <c r="DY94" s="2284">
        <f t="shared" si="282"/>
        <v>41.616</v>
      </c>
      <c r="EA94"/>
      <c r="EB94"/>
      <c r="EC94"/>
      <c r="ED94"/>
      <c r="EE94"/>
      <c r="EF94"/>
      <c r="EG94" s="855"/>
      <c r="EH94" s="855"/>
      <c r="EI94" s="855"/>
      <c r="EJ94"/>
      <c r="EK94"/>
      <c r="EL94"/>
      <c r="EM94" s="1703"/>
      <c r="EN94" s="855"/>
      <c r="EO94" s="855"/>
      <c r="EP94" s="855"/>
      <c r="EQ94" s="855"/>
      <c r="ER94" s="234"/>
    </row>
    <row r="95" spans="1:148" s="923" customFormat="1" ht="12.75" customHeight="1" x14ac:dyDescent="0.2">
      <c r="A95" s="2295" t="s">
        <v>1623</v>
      </c>
      <c r="B95" s="844"/>
      <c r="C95" s="844"/>
      <c r="D95" s="844"/>
      <c r="E95" s="844"/>
      <c r="F95" s="844"/>
      <c r="G95" s="844"/>
      <c r="H95" s="844"/>
      <c r="I95" s="844"/>
      <c r="J95" s="844"/>
      <c r="K95" s="844"/>
      <c r="L95" s="844"/>
      <c r="M95" s="965"/>
      <c r="N95" s="844"/>
      <c r="O95" s="844"/>
      <c r="P95" s="844"/>
      <c r="Q95" s="844"/>
      <c r="R95" s="965"/>
      <c r="S95" s="844"/>
      <c r="T95" s="844"/>
      <c r="U95" s="844"/>
      <c r="V95" s="844"/>
      <c r="W95" s="965"/>
      <c r="X95" s="844"/>
      <c r="Y95" s="844"/>
      <c r="Z95" s="844"/>
      <c r="AA95" s="844"/>
      <c r="AB95" s="965"/>
      <c r="AC95" s="844"/>
      <c r="AD95" s="844"/>
      <c r="AE95" s="844"/>
      <c r="AF95" s="844"/>
      <c r="AG95" s="965"/>
      <c r="AH95" s="844"/>
      <c r="AI95" s="844"/>
      <c r="AJ95" s="844"/>
      <c r="AK95" s="844"/>
      <c r="AL95" s="965"/>
      <c r="AM95" s="844"/>
      <c r="AN95" s="844"/>
      <c r="AO95" s="844"/>
      <c r="AP95" s="844"/>
      <c r="AQ95" s="965"/>
      <c r="AR95" s="844"/>
      <c r="AS95" s="844"/>
      <c r="AT95" s="844"/>
      <c r="AU95" s="844"/>
      <c r="AV95" s="965"/>
      <c r="AW95" s="844"/>
      <c r="AX95" s="844"/>
      <c r="AY95" s="844"/>
      <c r="AZ95" s="844"/>
      <c r="BA95" s="965"/>
      <c r="BB95" s="844"/>
      <c r="BC95" s="844"/>
      <c r="BD95" s="844"/>
      <c r="BE95" s="844"/>
      <c r="BF95" s="965"/>
      <c r="BG95" s="844"/>
      <c r="BH95" s="844"/>
      <c r="BI95" s="844"/>
      <c r="BJ95" s="844"/>
      <c r="BK95" s="965"/>
      <c r="BL95" s="844"/>
      <c r="BM95" s="844"/>
      <c r="BN95" s="844"/>
      <c r="BO95" s="844"/>
      <c r="BP95" s="965"/>
      <c r="BQ95" s="844">
        <v>23</v>
      </c>
      <c r="BR95" s="844">
        <v>23</v>
      </c>
      <c r="BS95" s="844">
        <v>23</v>
      </c>
      <c r="BT95" s="844">
        <v>25</v>
      </c>
      <c r="BU95" s="965">
        <f>+SUM(BQ95:BT95)</f>
        <v>94</v>
      </c>
      <c r="BV95" s="844">
        <v>30</v>
      </c>
      <c r="BW95" s="844">
        <v>31</v>
      </c>
      <c r="BX95" s="844">
        <v>28</v>
      </c>
      <c r="BY95" s="844">
        <v>27</v>
      </c>
      <c r="BZ95" s="965">
        <f t="shared" si="284"/>
        <v>116</v>
      </c>
      <c r="CA95" s="844">
        <v>25</v>
      </c>
      <c r="CB95" s="844">
        <v>29</v>
      </c>
      <c r="CC95" s="844">
        <v>27</v>
      </c>
      <c r="CD95" s="844">
        <v>28</v>
      </c>
      <c r="CE95" s="2289">
        <f>SUM(CA95:CD95)</f>
        <v>109</v>
      </c>
      <c r="CF95" s="844">
        <v>24</v>
      </c>
      <c r="CG95" s="844">
        <v>31</v>
      </c>
      <c r="CH95" s="844">
        <v>29</v>
      </c>
      <c r="CI95" s="844">
        <v>29</v>
      </c>
      <c r="CJ95" s="965">
        <f>SUM(CF95:CI95)</f>
        <v>113</v>
      </c>
      <c r="CK95" s="2982">
        <v>28</v>
      </c>
      <c r="CL95" s="2982">
        <v>31</v>
      </c>
      <c r="CM95" s="2982">
        <v>36</v>
      </c>
      <c r="CN95" s="2980">
        <v>44</v>
      </c>
      <c r="CO95" s="965">
        <f>SUM(CK95:CN95)</f>
        <v>139</v>
      </c>
      <c r="CP95" s="2982">
        <v>35</v>
      </c>
      <c r="CQ95" s="2982">
        <v>41</v>
      </c>
      <c r="CR95" s="3664">
        <v>42</v>
      </c>
      <c r="CS95" s="2982">
        <v>37</v>
      </c>
      <c r="CT95" s="965">
        <f>SUM(CP95:CS95)</f>
        <v>155</v>
      </c>
      <c r="CU95" s="3926">
        <f>160/4</f>
        <v>40</v>
      </c>
      <c r="CV95" s="3926">
        <f t="shared" ref="CV95:CX95" si="298">160/4</f>
        <v>40</v>
      </c>
      <c r="CW95" s="3926">
        <f t="shared" si="298"/>
        <v>40</v>
      </c>
      <c r="CX95" s="3926">
        <f t="shared" si="298"/>
        <v>40</v>
      </c>
      <c r="CY95" s="965">
        <f>SUM(CU95:CX95)</f>
        <v>160</v>
      </c>
      <c r="CZ95" s="3363">
        <f>+CY95</f>
        <v>160</v>
      </c>
      <c r="DA95" s="2417">
        <f>+CZ95</f>
        <v>160</v>
      </c>
      <c r="DB95" s="3552"/>
      <c r="DC95" s="374"/>
      <c r="DD95" s="2379" t="s">
        <v>698</v>
      </c>
      <c r="DE95" s="2284">
        <f>M95</f>
        <v>0</v>
      </c>
      <c r="DF95" s="2284">
        <f>R95</f>
        <v>0</v>
      </c>
      <c r="DG95" s="2284">
        <f>W95</f>
        <v>0</v>
      </c>
      <c r="DH95" s="2284">
        <f>AB95</f>
        <v>0</v>
      </c>
      <c r="DI95" s="2284">
        <f>AG95</f>
        <v>0</v>
      </c>
      <c r="DJ95" s="2284">
        <f>AL95</f>
        <v>0</v>
      </c>
      <c r="DK95" s="2284">
        <f>AQ95</f>
        <v>0</v>
      </c>
      <c r="DL95" s="2284">
        <f>AV95</f>
        <v>0</v>
      </c>
      <c r="DM95" s="2284">
        <f>BA95</f>
        <v>0</v>
      </c>
      <c r="DN95" s="2284">
        <f>BF95</f>
        <v>0</v>
      </c>
      <c r="DO95" s="2284">
        <f>BK95</f>
        <v>0</v>
      </c>
      <c r="DP95" s="2284">
        <f>BP95</f>
        <v>0</v>
      </c>
      <c r="DQ95" s="2284">
        <f>BU95</f>
        <v>94</v>
      </c>
      <c r="DR95" s="2284">
        <f>BZ95</f>
        <v>116</v>
      </c>
      <c r="DS95" s="2284">
        <f>CE95</f>
        <v>109</v>
      </c>
      <c r="DT95" s="2284">
        <f>CJ95</f>
        <v>113</v>
      </c>
      <c r="DU95" s="2284">
        <f>CO95</f>
        <v>139</v>
      </c>
      <c r="DV95" s="2284">
        <f>CT95</f>
        <v>155</v>
      </c>
      <c r="DW95" s="2284">
        <f>CY95</f>
        <v>160</v>
      </c>
      <c r="DX95" s="2284">
        <f>CZ95</f>
        <v>160</v>
      </c>
      <c r="DY95" s="2284">
        <f>DA95</f>
        <v>160</v>
      </c>
      <c r="EA95"/>
      <c r="EB95"/>
      <c r="EC95"/>
      <c r="ED95"/>
      <c r="EE95"/>
      <c r="EF95"/>
      <c r="EG95" s="855"/>
      <c r="EH95" s="855"/>
      <c r="EI95" s="855"/>
      <c r="EJ95"/>
      <c r="EK95"/>
      <c r="EL95"/>
      <c r="EM95" s="1703"/>
      <c r="EN95" s="855"/>
      <c r="EO95" s="855"/>
      <c r="EP95" s="855"/>
      <c r="EQ95" s="855"/>
      <c r="ER95" s="234"/>
    </row>
    <row r="96" spans="1:148" s="923" customFormat="1" ht="12.75" customHeight="1" x14ac:dyDescent="0.2">
      <c r="A96" s="2295" t="s">
        <v>2537</v>
      </c>
      <c r="B96" s="844"/>
      <c r="C96" s="844"/>
      <c r="D96" s="844"/>
      <c r="E96" s="844"/>
      <c r="F96" s="844"/>
      <c r="G96" s="844"/>
      <c r="H96" s="844"/>
      <c r="I96" s="844"/>
      <c r="J96" s="844"/>
      <c r="K96" s="844"/>
      <c r="L96" s="844"/>
      <c r="M96" s="965"/>
      <c r="N96" s="844"/>
      <c r="O96" s="844"/>
      <c r="P96" s="844"/>
      <c r="Q96" s="844"/>
      <c r="R96" s="965"/>
      <c r="S96" s="844"/>
      <c r="T96" s="844"/>
      <c r="U96" s="844"/>
      <c r="V96" s="844"/>
      <c r="W96" s="965"/>
      <c r="X96" s="844"/>
      <c r="Y96" s="844"/>
      <c r="Z96" s="844"/>
      <c r="AA96" s="844"/>
      <c r="AB96" s="965"/>
      <c r="AC96" s="844"/>
      <c r="AD96" s="844"/>
      <c r="AE96" s="844"/>
      <c r="AF96" s="844"/>
      <c r="AG96" s="965"/>
      <c r="AH96" s="844"/>
      <c r="AI96" s="844"/>
      <c r="AJ96" s="844"/>
      <c r="AK96" s="844"/>
      <c r="AL96" s="965"/>
      <c r="AM96" s="844"/>
      <c r="AN96" s="844"/>
      <c r="AO96" s="844"/>
      <c r="AP96" s="844"/>
      <c r="AQ96" s="965"/>
      <c r="AR96" s="844"/>
      <c r="AS96" s="844"/>
      <c r="AT96" s="844"/>
      <c r="AU96" s="844"/>
      <c r="AV96" s="965"/>
      <c r="AW96" s="844"/>
      <c r="AX96" s="844"/>
      <c r="AY96" s="844"/>
      <c r="AZ96" s="844"/>
      <c r="BA96" s="965"/>
      <c r="BB96" s="844"/>
      <c r="BC96" s="844"/>
      <c r="BD96" s="844"/>
      <c r="BE96" s="844"/>
      <c r="BF96" s="965"/>
      <c r="BG96" s="844"/>
      <c r="BH96" s="844"/>
      <c r="BI96" s="844"/>
      <c r="BJ96" s="844"/>
      <c r="BK96" s="965"/>
      <c r="BL96" s="844"/>
      <c r="BM96" s="844"/>
      <c r="BN96" s="844"/>
      <c r="BO96" s="844"/>
      <c r="BP96" s="965"/>
      <c r="BQ96" s="844"/>
      <c r="BR96" s="844"/>
      <c r="BS96" s="844"/>
      <c r="BT96" s="844"/>
      <c r="BU96" s="965"/>
      <c r="BV96" s="844"/>
      <c r="BW96" s="844"/>
      <c r="BX96" s="844"/>
      <c r="BY96" s="844"/>
      <c r="BZ96" s="965"/>
      <c r="CA96" s="844"/>
      <c r="CB96" s="844"/>
      <c r="CC96" s="844"/>
      <c r="CD96" s="844"/>
      <c r="CE96" s="2289"/>
      <c r="CF96" s="844"/>
      <c r="CG96" s="844"/>
      <c r="CH96" s="844"/>
      <c r="CI96" s="844"/>
      <c r="CJ96" s="965"/>
      <c r="CK96" s="2982"/>
      <c r="CL96" s="2982"/>
      <c r="CM96" s="2980"/>
      <c r="CN96" s="2982"/>
      <c r="CO96" s="965"/>
      <c r="CP96" s="2982">
        <v>0</v>
      </c>
      <c r="CQ96" s="2980">
        <f>+CP96</f>
        <v>0</v>
      </c>
      <c r="CR96" s="3664">
        <f>+CQ96</f>
        <v>0</v>
      </c>
      <c r="CS96" s="2980">
        <f>+CR96</f>
        <v>0</v>
      </c>
      <c r="CT96" s="965">
        <f>SUM(CP96:CS96)</f>
        <v>0</v>
      </c>
      <c r="CU96" s="220">
        <f>CP96</f>
        <v>0</v>
      </c>
      <c r="CV96" s="220">
        <f>CQ96</f>
        <v>0</v>
      </c>
      <c r="CW96" s="220">
        <f>CR96</f>
        <v>0</v>
      </c>
      <c r="CX96" s="220">
        <f>CS96</f>
        <v>0</v>
      </c>
      <c r="CY96" s="965">
        <f>SUM(CU96:CX96)</f>
        <v>0</v>
      </c>
      <c r="CZ96" s="3363">
        <f>+CY96</f>
        <v>0</v>
      </c>
      <c r="DA96" s="2417">
        <f>+CZ96</f>
        <v>0</v>
      </c>
      <c r="DB96" s="3552"/>
      <c r="DC96" s="374"/>
      <c r="DD96" s="2379"/>
      <c r="DE96" s="2284"/>
      <c r="DF96" s="2284"/>
      <c r="DG96" s="2284"/>
      <c r="DH96" s="2284"/>
      <c r="DI96" s="2284"/>
      <c r="DJ96" s="2284"/>
      <c r="DK96" s="2284"/>
      <c r="DL96" s="2284"/>
      <c r="DM96" s="2284"/>
      <c r="DN96" s="2284"/>
      <c r="DO96" s="2284"/>
      <c r="DP96" s="2284"/>
      <c r="DQ96" s="2284"/>
      <c r="DR96" s="2284"/>
      <c r="DS96" s="2284"/>
      <c r="DT96" s="2284"/>
      <c r="DU96" s="2284"/>
      <c r="DV96" s="2284"/>
      <c r="DW96" s="2284"/>
      <c r="DX96" s="2284"/>
      <c r="DY96" s="2284"/>
      <c r="EA96"/>
      <c r="EB96"/>
      <c r="EC96"/>
      <c r="ED96"/>
      <c r="EE96"/>
      <c r="EF96"/>
      <c r="EG96" s="855"/>
      <c r="EH96" s="855"/>
      <c r="EI96" s="855"/>
      <c r="EJ96"/>
      <c r="EK96"/>
      <c r="EL96"/>
      <c r="EM96" s="1703"/>
      <c r="EN96" s="855"/>
      <c r="EO96" s="855"/>
      <c r="EP96" s="855"/>
      <c r="EQ96" s="855"/>
      <c r="ER96" s="234"/>
    </row>
    <row r="97" spans="1:148" s="923" customFormat="1" x14ac:dyDescent="0.2">
      <c r="A97" s="1434" t="s">
        <v>230</v>
      </c>
      <c r="B97" s="224"/>
      <c r="C97" s="224"/>
      <c r="D97" s="224"/>
      <c r="E97" s="224"/>
      <c r="F97" s="224"/>
      <c r="G97" s="224"/>
      <c r="H97" s="224"/>
      <c r="I97" s="224"/>
      <c r="J97" s="224"/>
      <c r="K97" s="224"/>
      <c r="L97" s="224"/>
      <c r="M97" s="965"/>
      <c r="N97" s="224"/>
      <c r="O97" s="224"/>
      <c r="P97" s="224"/>
      <c r="Q97" s="224"/>
      <c r="R97" s="965"/>
      <c r="S97" s="224"/>
      <c r="T97" s="224"/>
      <c r="U97" s="224"/>
      <c r="V97" s="224"/>
      <c r="W97" s="965"/>
      <c r="X97" s="224"/>
      <c r="Y97" s="224"/>
      <c r="Z97" s="224"/>
      <c r="AA97" s="224"/>
      <c r="AB97" s="965"/>
      <c r="AC97" s="224"/>
      <c r="AD97" s="224"/>
      <c r="AE97" s="224"/>
      <c r="AF97" s="224"/>
      <c r="AG97" s="965"/>
      <c r="AH97" s="224"/>
      <c r="AI97" s="224"/>
      <c r="AJ97" s="224"/>
      <c r="AK97" s="224"/>
      <c r="AL97" s="965"/>
      <c r="AM97" s="224"/>
      <c r="AN97" s="224"/>
      <c r="AO97" s="224"/>
      <c r="AP97" s="224"/>
      <c r="AQ97" s="965"/>
      <c r="AR97" s="224"/>
      <c r="AS97" s="224"/>
      <c r="AT97" s="224"/>
      <c r="AU97" s="224"/>
      <c r="AV97" s="965"/>
      <c r="AW97" s="224"/>
      <c r="AX97" s="224"/>
      <c r="AY97" s="224"/>
      <c r="AZ97" s="224"/>
      <c r="BA97" s="965"/>
      <c r="BB97" s="224"/>
      <c r="BC97" s="224"/>
      <c r="BD97" s="224"/>
      <c r="BE97" s="224"/>
      <c r="BF97" s="965"/>
      <c r="BG97" s="224">
        <v>0</v>
      </c>
      <c r="BH97" s="224">
        <v>0</v>
      </c>
      <c r="BI97" s="224">
        <v>0</v>
      </c>
      <c r="BJ97" s="224">
        <v>0</v>
      </c>
      <c r="BK97" s="965">
        <f t="shared" si="283"/>
        <v>0</v>
      </c>
      <c r="BL97" s="224">
        <v>0</v>
      </c>
      <c r="BM97" s="224">
        <v>0</v>
      </c>
      <c r="BN97" s="224">
        <v>0</v>
      </c>
      <c r="BO97" s="224">
        <v>0</v>
      </c>
      <c r="BP97" s="965">
        <f t="shared" si="288"/>
        <v>0</v>
      </c>
      <c r="BQ97" s="224">
        <v>0</v>
      </c>
      <c r="BR97" s="224">
        <v>0</v>
      </c>
      <c r="BS97" s="224">
        <v>0</v>
      </c>
      <c r="BT97" s="224">
        <v>0</v>
      </c>
      <c r="BU97" s="965">
        <f t="shared" si="289"/>
        <v>0</v>
      </c>
      <c r="BV97" s="224">
        <v>0</v>
      </c>
      <c r="BW97" s="224">
        <v>0</v>
      </c>
      <c r="BX97" s="224">
        <v>0</v>
      </c>
      <c r="BY97" s="224">
        <v>0</v>
      </c>
      <c r="BZ97" s="965">
        <v>0</v>
      </c>
      <c r="CA97" s="224">
        <v>0</v>
      </c>
      <c r="CB97" s="844">
        <v>15</v>
      </c>
      <c r="CC97" s="220">
        <v>0</v>
      </c>
      <c r="CD97" s="844">
        <v>0</v>
      </c>
      <c r="CE97" s="2289">
        <f>SUM(CA97:CD97)</f>
        <v>15</v>
      </c>
      <c r="CF97" s="224">
        <v>12</v>
      </c>
      <c r="CG97" s="224">
        <f>22-41</f>
        <v>-19</v>
      </c>
      <c r="CH97" s="224">
        <v>0</v>
      </c>
      <c r="CI97" s="224">
        <v>-7</v>
      </c>
      <c r="CJ97" s="965">
        <f>SUM(CF97:CI97)</f>
        <v>-14</v>
      </c>
      <c r="CK97" s="2982">
        <v>8</v>
      </c>
      <c r="CL97" s="2915">
        <v>14</v>
      </c>
      <c r="CM97" s="3288">
        <f>474-SUM(CM88:CM95)</f>
        <v>206</v>
      </c>
      <c r="CN97" s="3383">
        <v>90</v>
      </c>
      <c r="CO97" s="965">
        <f>SUM(CK97:CN97)</f>
        <v>318</v>
      </c>
      <c r="CP97" s="2915">
        <v>51</v>
      </c>
      <c r="CQ97" s="3624">
        <f>+-24+21</f>
        <v>-3</v>
      </c>
      <c r="CR97" s="3665">
        <v>28</v>
      </c>
      <c r="CS97" s="3665">
        <f>+-659+59</f>
        <v>-600</v>
      </c>
      <c r="CT97" s="965">
        <f>SUM(CP97:CS97)</f>
        <v>-524</v>
      </c>
      <c r="CU97" s="220">
        <f t="shared" ref="CU97:DA97" si="299">+-CU38</f>
        <v>-45</v>
      </c>
      <c r="CV97" s="220">
        <f t="shared" si="299"/>
        <v>0</v>
      </c>
      <c r="CW97" s="220">
        <f t="shared" si="299"/>
        <v>0</v>
      </c>
      <c r="CX97" s="220">
        <f t="shared" si="299"/>
        <v>0</v>
      </c>
      <c r="CY97" s="965">
        <f>SUM(CU97:CX97)</f>
        <v>-45</v>
      </c>
      <c r="CZ97" s="1792">
        <f t="shared" si="299"/>
        <v>-5</v>
      </c>
      <c r="DA97" s="965">
        <f t="shared" si="299"/>
        <v>-5</v>
      </c>
      <c r="DB97" s="374"/>
      <c r="DC97" s="374"/>
      <c r="DD97" s="2378" t="s">
        <v>230</v>
      </c>
      <c r="DE97" s="2284">
        <f t="shared" si="262"/>
        <v>0</v>
      </c>
      <c r="DF97" s="2284">
        <f t="shared" si="263"/>
        <v>0</v>
      </c>
      <c r="DG97" s="2284">
        <f t="shared" si="264"/>
        <v>0</v>
      </c>
      <c r="DH97" s="2284">
        <f t="shared" si="265"/>
        <v>0</v>
      </c>
      <c r="DI97" s="2284">
        <f t="shared" si="266"/>
        <v>0</v>
      </c>
      <c r="DJ97" s="2284">
        <f t="shared" si="267"/>
        <v>0</v>
      </c>
      <c r="DK97" s="2284">
        <f t="shared" si="268"/>
        <v>0</v>
      </c>
      <c r="DL97" s="2284">
        <f t="shared" si="269"/>
        <v>0</v>
      </c>
      <c r="DM97" s="2284">
        <f t="shared" si="270"/>
        <v>0</v>
      </c>
      <c r="DN97" s="2284">
        <f t="shared" si="271"/>
        <v>0</v>
      </c>
      <c r="DO97" s="2284">
        <f t="shared" si="272"/>
        <v>0</v>
      </c>
      <c r="DP97" s="2284">
        <f t="shared" si="273"/>
        <v>0</v>
      </c>
      <c r="DQ97" s="2284">
        <f t="shared" si="274"/>
        <v>0</v>
      </c>
      <c r="DR97" s="2284">
        <f t="shared" si="275"/>
        <v>0</v>
      </c>
      <c r="DS97" s="2284">
        <f t="shared" si="276"/>
        <v>15</v>
      </c>
      <c r="DT97" s="2284">
        <f t="shared" si="277"/>
        <v>-14</v>
      </c>
      <c r="DU97" s="2284">
        <f t="shared" si="278"/>
        <v>318</v>
      </c>
      <c r="DV97" s="2284">
        <f t="shared" si="279"/>
        <v>-524</v>
      </c>
      <c r="DW97" s="2284">
        <f t="shared" si="280"/>
        <v>-45</v>
      </c>
      <c r="DX97" s="2284">
        <f t="shared" si="281"/>
        <v>-5</v>
      </c>
      <c r="DY97" s="2284">
        <f t="shared" si="282"/>
        <v>-5</v>
      </c>
      <c r="EA97"/>
      <c r="EB97"/>
      <c r="EC97"/>
      <c r="ED97"/>
      <c r="EE97"/>
      <c r="EF97"/>
      <c r="EG97" s="855"/>
      <c r="EH97" s="855"/>
      <c r="EI97" s="855"/>
      <c r="EJ97"/>
      <c r="EK97"/>
      <c r="EL97"/>
      <c r="EM97" s="1703"/>
      <c r="EN97" s="855"/>
      <c r="EO97" s="855"/>
      <c r="EP97" s="855"/>
      <c r="EQ97" s="855"/>
      <c r="ER97" s="234"/>
    </row>
    <row r="98" spans="1:148" s="1703" customFormat="1" ht="12.75" customHeight="1" x14ac:dyDescent="0.2">
      <c r="A98" s="1969" t="s">
        <v>741</v>
      </c>
      <c r="B98" s="1667"/>
      <c r="C98" s="1667"/>
      <c r="D98" s="1667"/>
      <c r="E98" s="1667"/>
      <c r="F98" s="1667"/>
      <c r="G98" s="1667"/>
      <c r="H98" s="1667"/>
      <c r="I98" s="1667"/>
      <c r="J98" s="1667"/>
      <c r="K98" s="1667"/>
      <c r="L98" s="1667"/>
      <c r="M98" s="1668"/>
      <c r="N98" s="1667"/>
      <c r="O98" s="1667"/>
      <c r="P98" s="1667"/>
      <c r="Q98" s="1667"/>
      <c r="R98" s="1668"/>
      <c r="S98" s="1667"/>
      <c r="T98" s="1667"/>
      <c r="U98" s="1667"/>
      <c r="V98" s="1667"/>
      <c r="W98" s="1668"/>
      <c r="X98" s="1667"/>
      <c r="Y98" s="1667"/>
      <c r="Z98" s="1667"/>
      <c r="AA98" s="1667"/>
      <c r="AB98" s="1668"/>
      <c r="AC98" s="1667"/>
      <c r="AD98" s="1667"/>
      <c r="AE98" s="1667"/>
      <c r="AF98" s="1667"/>
      <c r="AG98" s="1668">
        <f t="shared" ref="AG98:BE98" si="300">+AG84</f>
        <v>1104</v>
      </c>
      <c r="AH98" s="1667">
        <f t="shared" si="300"/>
        <v>276</v>
      </c>
      <c r="AI98" s="1667">
        <f t="shared" si="300"/>
        <v>306</v>
      </c>
      <c r="AJ98" s="1667">
        <f t="shared" si="300"/>
        <v>267</v>
      </c>
      <c r="AK98" s="1667">
        <f t="shared" si="300"/>
        <v>421</v>
      </c>
      <c r="AL98" s="1668">
        <f t="shared" si="300"/>
        <v>1270</v>
      </c>
      <c r="AM98" s="1667">
        <f t="shared" si="300"/>
        <v>324</v>
      </c>
      <c r="AN98" s="1667">
        <f t="shared" si="300"/>
        <v>363</v>
      </c>
      <c r="AO98" s="1667">
        <f t="shared" si="300"/>
        <v>300</v>
      </c>
      <c r="AP98" s="1667">
        <f t="shared" si="300"/>
        <v>437</v>
      </c>
      <c r="AQ98" s="1668">
        <f t="shared" si="300"/>
        <v>1424</v>
      </c>
      <c r="AR98" s="1667">
        <f t="shared" si="300"/>
        <v>334</v>
      </c>
      <c r="AS98" s="1667">
        <f t="shared" si="300"/>
        <v>441</v>
      </c>
      <c r="AT98" s="1667">
        <f t="shared" si="300"/>
        <v>308</v>
      </c>
      <c r="AU98" s="1667">
        <f t="shared" si="300"/>
        <v>497</v>
      </c>
      <c r="AV98" s="1668">
        <f t="shared" si="300"/>
        <v>1580</v>
      </c>
      <c r="AW98" s="1667">
        <f t="shared" si="300"/>
        <v>287</v>
      </c>
      <c r="AX98" s="1667">
        <f t="shared" si="300"/>
        <v>385</v>
      </c>
      <c r="AY98" s="1667">
        <f t="shared" si="300"/>
        <v>286</v>
      </c>
      <c r="AZ98" s="1667">
        <f t="shared" si="300"/>
        <v>340</v>
      </c>
      <c r="BA98" s="1668">
        <f t="shared" si="300"/>
        <v>1298</v>
      </c>
      <c r="BB98" s="1667">
        <f t="shared" si="300"/>
        <v>215</v>
      </c>
      <c r="BC98" s="1667">
        <f t="shared" si="300"/>
        <v>220</v>
      </c>
      <c r="BD98" s="1667">
        <f t="shared" si="300"/>
        <v>163</v>
      </c>
      <c r="BE98" s="1667">
        <f t="shared" si="300"/>
        <v>300</v>
      </c>
      <c r="BF98" s="1668">
        <f>+BF84</f>
        <v>898</v>
      </c>
      <c r="BG98" s="1667">
        <f t="shared" ref="BG98:CG98" si="301">+SUM(BG88:BG97)</f>
        <v>187</v>
      </c>
      <c r="BH98" s="1667">
        <f t="shared" si="301"/>
        <v>239</v>
      </c>
      <c r="BI98" s="1667">
        <f t="shared" si="301"/>
        <v>177</v>
      </c>
      <c r="BJ98" s="1667">
        <f t="shared" si="301"/>
        <v>282</v>
      </c>
      <c r="BK98" s="1668">
        <f t="shared" si="301"/>
        <v>885</v>
      </c>
      <c r="BL98" s="1667">
        <f t="shared" si="301"/>
        <v>197</v>
      </c>
      <c r="BM98" s="1667">
        <f t="shared" si="301"/>
        <v>256</v>
      </c>
      <c r="BN98" s="1667">
        <f t="shared" si="301"/>
        <v>223</v>
      </c>
      <c r="BO98" s="1667">
        <f t="shared" si="301"/>
        <v>316</v>
      </c>
      <c r="BP98" s="1668">
        <f t="shared" si="301"/>
        <v>992</v>
      </c>
      <c r="BQ98" s="1667">
        <f t="shared" si="301"/>
        <v>242</v>
      </c>
      <c r="BR98" s="1667">
        <f t="shared" si="301"/>
        <v>316</v>
      </c>
      <c r="BS98" s="1667">
        <f t="shared" si="301"/>
        <v>310</v>
      </c>
      <c r="BT98" s="1667">
        <f t="shared" si="301"/>
        <v>390</v>
      </c>
      <c r="BU98" s="1668">
        <f t="shared" si="301"/>
        <v>1258</v>
      </c>
      <c r="BV98" s="1667">
        <f t="shared" si="301"/>
        <v>303</v>
      </c>
      <c r="BW98" s="1667">
        <f>+SUM(BW88:BW97)</f>
        <v>372</v>
      </c>
      <c r="BX98" s="1667">
        <f>+SUM(BX88:BX97)</f>
        <v>329</v>
      </c>
      <c r="BY98" s="1667">
        <f>+SUM(BY88:BY97)</f>
        <v>321</v>
      </c>
      <c r="BZ98" s="1668">
        <f t="shared" si="301"/>
        <v>1325</v>
      </c>
      <c r="CA98" s="1667">
        <f t="shared" si="301"/>
        <v>339</v>
      </c>
      <c r="CB98" s="1667">
        <f>+SUM(CB88:CB97)</f>
        <v>408</v>
      </c>
      <c r="CC98" s="1667">
        <f>+SUM(CC88:CC97)</f>
        <v>393</v>
      </c>
      <c r="CD98" s="1786">
        <f>+SUM(CD88:CD97)</f>
        <v>384</v>
      </c>
      <c r="CE98" s="1668">
        <f t="shared" si="301"/>
        <v>1524</v>
      </c>
      <c r="CF98" s="1667">
        <f>+SUM(CF88:CF97)</f>
        <v>429</v>
      </c>
      <c r="CG98" s="1667">
        <f t="shared" si="301"/>
        <v>457</v>
      </c>
      <c r="CH98" s="1667">
        <f>+SUM(CH88:CH97)</f>
        <v>431</v>
      </c>
      <c r="CI98" s="1667">
        <f>+SUM(CI88:CI97)</f>
        <v>401</v>
      </c>
      <c r="CJ98" s="1668">
        <f>+SUM(CJ88:CJ97)</f>
        <v>1718</v>
      </c>
      <c r="CK98" s="1667">
        <f>+SUM(CK88:CK97)</f>
        <v>458</v>
      </c>
      <c r="CL98" s="1667">
        <f>+SUM(CL88:CL97)</f>
        <v>494</v>
      </c>
      <c r="CM98" s="1667">
        <f t="shared" ref="CM98:CX98" si="302">+SUM(CM88:CM97)</f>
        <v>474</v>
      </c>
      <c r="CN98" s="1786">
        <f t="shared" si="302"/>
        <v>756</v>
      </c>
      <c r="CO98" s="1668">
        <f t="shared" si="302"/>
        <v>2136</v>
      </c>
      <c r="CP98" s="1667">
        <f>+SUM(CP88:CP97)</f>
        <v>750</v>
      </c>
      <c r="CQ98" s="1667">
        <f t="shared" si="302"/>
        <v>834</v>
      </c>
      <c r="CR98" s="1667">
        <f t="shared" si="302"/>
        <v>831</v>
      </c>
      <c r="CS98" s="1667">
        <f t="shared" si="302"/>
        <v>808</v>
      </c>
      <c r="CT98" s="1668">
        <f t="shared" si="302"/>
        <v>3223</v>
      </c>
      <c r="CU98" s="1667">
        <f t="shared" ca="1" si="302"/>
        <v>777.76103170711485</v>
      </c>
      <c r="CV98" s="1667">
        <f t="shared" ca="1" si="302"/>
        <v>885.30281079304314</v>
      </c>
      <c r="CW98" s="1667">
        <f t="shared" ca="1" si="302"/>
        <v>855.10859761750191</v>
      </c>
      <c r="CX98" s="1667">
        <f t="shared" ca="1" si="302"/>
        <v>890.34751686333016</v>
      </c>
      <c r="CY98" s="1668">
        <f ca="1">+SUM(CY88:CY97)</f>
        <v>3408.5199569809874</v>
      </c>
      <c r="CZ98" s="1786">
        <f ca="1">+SUM(CZ88:CZ97)</f>
        <v>3806.4767640867026</v>
      </c>
      <c r="DA98" s="1668">
        <f ca="1">+SUM(DA88:DA97)</f>
        <v>3781.9263870850614</v>
      </c>
      <c r="DB98"/>
      <c r="DC98" s="374"/>
      <c r="DD98" s="3339" t="s">
        <v>741</v>
      </c>
      <c r="DE98" s="1668">
        <f t="shared" si="262"/>
        <v>0</v>
      </c>
      <c r="DF98" s="1668">
        <f t="shared" si="263"/>
        <v>0</v>
      </c>
      <c r="DG98" s="1668">
        <f t="shared" si="264"/>
        <v>0</v>
      </c>
      <c r="DH98" s="1668">
        <f t="shared" si="265"/>
        <v>0</v>
      </c>
      <c r="DI98" s="1668">
        <f t="shared" si="266"/>
        <v>1104</v>
      </c>
      <c r="DJ98" s="1668">
        <f t="shared" si="267"/>
        <v>1270</v>
      </c>
      <c r="DK98" s="1668">
        <f t="shared" si="268"/>
        <v>1424</v>
      </c>
      <c r="DL98" s="1668">
        <f t="shared" si="269"/>
        <v>1580</v>
      </c>
      <c r="DM98" s="1668">
        <f t="shared" si="270"/>
        <v>1298</v>
      </c>
      <c r="DN98" s="1668">
        <f t="shared" si="271"/>
        <v>898</v>
      </c>
      <c r="DO98" s="1668">
        <f t="shared" si="272"/>
        <v>885</v>
      </c>
      <c r="DP98" s="1668">
        <f t="shared" si="273"/>
        <v>992</v>
      </c>
      <c r="DQ98" s="1668">
        <f t="shared" si="274"/>
        <v>1258</v>
      </c>
      <c r="DR98" s="1668">
        <f t="shared" si="275"/>
        <v>1325</v>
      </c>
      <c r="DS98" s="1668">
        <f t="shared" si="276"/>
        <v>1524</v>
      </c>
      <c r="DT98" s="1668">
        <f t="shared" si="277"/>
        <v>1718</v>
      </c>
      <c r="DU98" s="1668">
        <f t="shared" si="278"/>
        <v>2136</v>
      </c>
      <c r="DV98" s="1668">
        <f t="shared" si="279"/>
        <v>3223</v>
      </c>
      <c r="DW98" s="1668">
        <f t="shared" ca="1" si="280"/>
        <v>3408.5199569809874</v>
      </c>
      <c r="DX98" s="1668">
        <f t="shared" ca="1" si="281"/>
        <v>3806.4767640867026</v>
      </c>
      <c r="DY98" s="1668">
        <f t="shared" ca="1" si="282"/>
        <v>3781.9263870850614</v>
      </c>
      <c r="EA98"/>
      <c r="EB98"/>
      <c r="EC98"/>
      <c r="ED98"/>
      <c r="EE98"/>
      <c r="EF98"/>
      <c r="EG98" s="1466"/>
      <c r="EH98" s="1466"/>
      <c r="EI98" s="1466"/>
      <c r="EJ98"/>
      <c r="EK98"/>
      <c r="EL98"/>
      <c r="EM98" s="1466"/>
      <c r="EN98" s="1466"/>
      <c r="EO98" s="1466"/>
      <c r="EP98" s="1466"/>
      <c r="EQ98" s="1466"/>
      <c r="ER98" s="234"/>
    </row>
    <row r="99" spans="1:148" s="243" customFormat="1" ht="12.75" customHeight="1" x14ac:dyDescent="0.2">
      <c r="A99" s="2039" t="s">
        <v>2041</v>
      </c>
      <c r="B99" s="2040"/>
      <c r="C99" s="2040"/>
      <c r="D99" s="2040"/>
      <c r="E99" s="2040"/>
      <c r="F99" s="2040"/>
      <c r="G99" s="2040"/>
      <c r="H99" s="2040"/>
      <c r="I99" s="2040"/>
      <c r="J99" s="2040"/>
      <c r="K99" s="2040"/>
      <c r="L99" s="2040"/>
      <c r="M99" s="2041"/>
      <c r="N99" s="2040"/>
      <c r="O99" s="2040"/>
      <c r="P99" s="2040"/>
      <c r="Q99" s="2040"/>
      <c r="R99" s="2041"/>
      <c r="S99" s="2040"/>
      <c r="T99" s="2040"/>
      <c r="U99" s="2040"/>
      <c r="V99" s="2040"/>
      <c r="W99" s="2041"/>
      <c r="X99" s="2040"/>
      <c r="Y99" s="2040"/>
      <c r="Z99" s="2040"/>
      <c r="AA99" s="2040"/>
      <c r="AB99" s="2041"/>
      <c r="AC99" s="2040"/>
      <c r="AD99" s="2040"/>
      <c r="AE99" s="2040"/>
      <c r="AF99" s="2040"/>
      <c r="AG99" s="2041">
        <f t="shared" ref="AG99:BL99" si="303">+AG98/AG14</f>
        <v>0.11290652485170792</v>
      </c>
      <c r="AH99" s="2040">
        <f t="shared" si="303"/>
        <v>0.11376751854905194</v>
      </c>
      <c r="AI99" s="2040">
        <f t="shared" si="303"/>
        <v>0.11939133827545845</v>
      </c>
      <c r="AJ99" s="2040">
        <f t="shared" si="303"/>
        <v>0.10206422018348624</v>
      </c>
      <c r="AK99" s="2040">
        <f t="shared" si="303"/>
        <v>0.11946651532349603</v>
      </c>
      <c r="AL99" s="2041">
        <f t="shared" si="303"/>
        <v>0.11411627280079073</v>
      </c>
      <c r="AM99" s="2040">
        <f t="shared" si="303"/>
        <v>0.12235649546827794</v>
      </c>
      <c r="AN99" s="2040">
        <f t="shared" si="303"/>
        <v>0.12727910238429171</v>
      </c>
      <c r="AO99" s="2040">
        <f t="shared" si="303"/>
        <v>0.11123470522803114</v>
      </c>
      <c r="AP99" s="2040">
        <f t="shared" si="303"/>
        <v>0.11506055818852028</v>
      </c>
      <c r="AQ99" s="2041">
        <f t="shared" si="303"/>
        <v>0.11871613172155064</v>
      </c>
      <c r="AR99" s="2040">
        <f t="shared" si="303"/>
        <v>0.11777150916784203</v>
      </c>
      <c r="AS99" s="2040">
        <f t="shared" si="303"/>
        <v>0.14125560538116591</v>
      </c>
      <c r="AT99" s="2040">
        <f t="shared" si="303"/>
        <v>0.10465511382942576</v>
      </c>
      <c r="AU99" s="2040">
        <f t="shared" si="303"/>
        <v>0.12154561017363659</v>
      </c>
      <c r="AV99" s="2041">
        <f t="shared" si="303"/>
        <v>0.1216320246343341</v>
      </c>
      <c r="AW99" s="2040">
        <f t="shared" si="303"/>
        <v>9.7387173396674589E-2</v>
      </c>
      <c r="AX99" s="2040">
        <f t="shared" si="303"/>
        <v>0.12087912087912088</v>
      </c>
      <c r="AY99" s="2040">
        <f t="shared" si="303"/>
        <v>9.6523793452581844E-2</v>
      </c>
      <c r="AZ99" s="2040">
        <f t="shared" si="303"/>
        <v>8.9852008456659624E-2</v>
      </c>
      <c r="BA99" s="2041">
        <f t="shared" si="303"/>
        <v>0.10078422237751378</v>
      </c>
      <c r="BB99" s="2040">
        <f t="shared" si="303"/>
        <v>8.617234468937876E-2</v>
      </c>
      <c r="BC99" s="2040">
        <f t="shared" si="303"/>
        <v>8.5870413739266196E-2</v>
      </c>
      <c r="BD99" s="2040">
        <f t="shared" si="303"/>
        <v>6.5965196276811008E-2</v>
      </c>
      <c r="BE99" s="2040">
        <f t="shared" si="303"/>
        <v>8.8809946714031973E-2</v>
      </c>
      <c r="BF99" s="2041">
        <f t="shared" si="303"/>
        <v>8.2339996332294149E-2</v>
      </c>
      <c r="BG99" s="2040">
        <f t="shared" si="303"/>
        <v>7.9744136460554366E-2</v>
      </c>
      <c r="BH99" s="2040">
        <f t="shared" si="303"/>
        <v>9.6254530809504635E-2</v>
      </c>
      <c r="BI99" s="2040">
        <f t="shared" si="303"/>
        <v>7.4557708508845827E-2</v>
      </c>
      <c r="BJ99" s="2040">
        <f t="shared" si="303"/>
        <v>8.618581907090464E-2</v>
      </c>
      <c r="BK99" s="2041">
        <f t="shared" si="303"/>
        <v>8.4494939851059769E-2</v>
      </c>
      <c r="BL99" s="2040">
        <f t="shared" si="303"/>
        <v>7.8737010391686652E-2</v>
      </c>
      <c r="BM99" s="2040">
        <f t="shared" ref="BM99:CR99" si="304">+BM98/BM14</f>
        <v>9.5344506517690872E-2</v>
      </c>
      <c r="BN99" s="2040">
        <f t="shared" si="304"/>
        <v>8.6200231928875146E-2</v>
      </c>
      <c r="BO99" s="2040">
        <f t="shared" si="304"/>
        <v>9.1355883203237925E-2</v>
      </c>
      <c r="BP99" s="2041">
        <f t="shared" si="304"/>
        <v>8.8311225852399186E-2</v>
      </c>
      <c r="BQ99" s="2040">
        <f t="shared" si="304"/>
        <v>9.4827586206896547E-2</v>
      </c>
      <c r="BR99" s="2040">
        <f t="shared" si="304"/>
        <v>0.1138328530259366</v>
      </c>
      <c r="BS99" s="2040">
        <f t="shared" si="304"/>
        <v>0.11359472334188347</v>
      </c>
      <c r="BT99" s="2040">
        <f t="shared" si="304"/>
        <v>0.10380622837370242</v>
      </c>
      <c r="BU99" s="2041">
        <f t="shared" si="304"/>
        <v>0.10648383274081598</v>
      </c>
      <c r="BV99" s="2040">
        <f t="shared" si="304"/>
        <v>9.6435391470401019E-2</v>
      </c>
      <c r="BW99" s="2040">
        <f t="shared" si="304"/>
        <v>0.11400551639595465</v>
      </c>
      <c r="BX99" s="2040">
        <f t="shared" si="304"/>
        <v>0.10411392405063291</v>
      </c>
      <c r="BY99" s="2040">
        <f t="shared" si="304"/>
        <v>9.9720410065237658E-2</v>
      </c>
      <c r="BZ99" s="2041">
        <f t="shared" si="304"/>
        <v>0.10364518147684605</v>
      </c>
      <c r="CA99" s="2040">
        <f t="shared" si="304"/>
        <v>0.10294564227148496</v>
      </c>
      <c r="CB99" s="2040">
        <f t="shared" si="304"/>
        <v>0.11710677382319173</v>
      </c>
      <c r="CC99" s="2040">
        <f t="shared" si="304"/>
        <v>0.11358381502890173</v>
      </c>
      <c r="CD99" s="2042">
        <f t="shared" si="304"/>
        <v>0.10789547625737567</v>
      </c>
      <c r="CE99" s="2041">
        <f t="shared" si="304"/>
        <v>0.11046680197158597</v>
      </c>
      <c r="CF99" s="2040">
        <f t="shared" si="304"/>
        <v>0.12211784799316823</v>
      </c>
      <c r="CG99" s="2040">
        <f t="shared" si="304"/>
        <v>0.12388181078883166</v>
      </c>
      <c r="CH99" s="2040">
        <f t="shared" si="304"/>
        <v>0.12045835662381219</v>
      </c>
      <c r="CI99" s="2040">
        <f t="shared" si="304"/>
        <v>0.10820291419320022</v>
      </c>
      <c r="CJ99" s="2041">
        <f t="shared" si="304"/>
        <v>0.11859726632610797</v>
      </c>
      <c r="CK99" s="2040">
        <f t="shared" si="304"/>
        <v>0.12142099681866383</v>
      </c>
      <c r="CL99" s="2040">
        <f t="shared" si="304"/>
        <v>0.12660174269605332</v>
      </c>
      <c r="CM99" s="2040">
        <f t="shared" si="304"/>
        <v>0.12559618441971382</v>
      </c>
      <c r="CN99" s="2042">
        <f t="shared" si="304"/>
        <v>0.13856304985337242</v>
      </c>
      <c r="CO99" s="2041">
        <f t="shared" si="304"/>
        <v>0.12636062470421203</v>
      </c>
      <c r="CP99" s="2040">
        <f t="shared" si="304"/>
        <v>0.13486782952706347</v>
      </c>
      <c r="CQ99" s="2040">
        <f t="shared" si="304"/>
        <v>0.14391716997411561</v>
      </c>
      <c r="CR99" s="2040">
        <f t="shared" si="304"/>
        <v>0.14674200953558184</v>
      </c>
      <c r="CS99" s="2040">
        <f t="shared" ref="CS99:DA99" si="305">+CS98/CS14</f>
        <v>0.13753191489361702</v>
      </c>
      <c r="CT99" s="2041">
        <f t="shared" si="305"/>
        <v>0.14077924346990478</v>
      </c>
      <c r="CU99" s="2040">
        <f t="shared" ca="1" si="305"/>
        <v>0.13061778925226264</v>
      </c>
      <c r="CV99" s="2040">
        <f t="shared" ca="1" si="305"/>
        <v>0.1408689600360864</v>
      </c>
      <c r="CW99" s="2040">
        <f t="shared" ca="1" si="305"/>
        <v>0.13960530617032577</v>
      </c>
      <c r="CX99" s="2040">
        <f t="shared" ca="1" si="305"/>
        <v>0.14132293573622928</v>
      </c>
      <c r="CY99" s="2041">
        <f t="shared" ca="1" si="305"/>
        <v>0.1381962588138668</v>
      </c>
      <c r="CZ99" s="2042">
        <f t="shared" ca="1" si="305"/>
        <v>0.14271537447536575</v>
      </c>
      <c r="DA99" s="2041">
        <f t="shared" ca="1" si="305"/>
        <v>0.1425024444141845</v>
      </c>
      <c r="DB99" s="3350"/>
      <c r="DC99" s="374"/>
      <c r="DD99" s="3340" t="s">
        <v>2041</v>
      </c>
      <c r="DE99" s="2309">
        <f t="shared" si="262"/>
        <v>0</v>
      </c>
      <c r="DF99" s="2309">
        <f t="shared" si="263"/>
        <v>0</v>
      </c>
      <c r="DG99" s="2309">
        <f t="shared" si="264"/>
        <v>0</v>
      </c>
      <c r="DH99" s="2309">
        <f t="shared" si="265"/>
        <v>0</v>
      </c>
      <c r="DI99" s="2309">
        <f t="shared" si="266"/>
        <v>0.11290652485170792</v>
      </c>
      <c r="DJ99" s="2309">
        <f t="shared" si="267"/>
        <v>0.11411627280079073</v>
      </c>
      <c r="DK99" s="2309">
        <f t="shared" si="268"/>
        <v>0.11871613172155064</v>
      </c>
      <c r="DL99" s="2309">
        <f t="shared" si="269"/>
        <v>0.1216320246343341</v>
      </c>
      <c r="DM99" s="2309">
        <f t="shared" si="270"/>
        <v>0.10078422237751378</v>
      </c>
      <c r="DN99" s="2309">
        <f t="shared" si="271"/>
        <v>8.2339996332294149E-2</v>
      </c>
      <c r="DO99" s="2309">
        <f t="shared" si="272"/>
        <v>8.4494939851059769E-2</v>
      </c>
      <c r="DP99" s="2309">
        <f t="shared" si="273"/>
        <v>8.8311225852399186E-2</v>
      </c>
      <c r="DQ99" s="2309">
        <f t="shared" si="274"/>
        <v>0.10648383274081598</v>
      </c>
      <c r="DR99" s="2309">
        <f t="shared" si="275"/>
        <v>0.10364518147684605</v>
      </c>
      <c r="DS99" s="2309">
        <f t="shared" si="276"/>
        <v>0.11046680197158597</v>
      </c>
      <c r="DT99" s="2309">
        <f t="shared" si="277"/>
        <v>0.11859726632610797</v>
      </c>
      <c r="DU99" s="2309">
        <f t="shared" si="278"/>
        <v>0.12636062470421203</v>
      </c>
      <c r="DV99" s="2309">
        <f t="shared" si="279"/>
        <v>0.14077924346990478</v>
      </c>
      <c r="DW99" s="2309">
        <f t="shared" ca="1" si="280"/>
        <v>0.1381962588138668</v>
      </c>
      <c r="DX99" s="2309">
        <f t="shared" ca="1" si="281"/>
        <v>0.14271537447536575</v>
      </c>
      <c r="DY99" s="2309">
        <f t="shared" ca="1" si="282"/>
        <v>0.1425024444141845</v>
      </c>
      <c r="EA99"/>
      <c r="EB99"/>
      <c r="EC99"/>
      <c r="ED99"/>
      <c r="EE99"/>
      <c r="EF99"/>
      <c r="EJ99"/>
      <c r="EK99"/>
      <c r="EL99"/>
      <c r="ER99" s="234"/>
    </row>
    <row r="100" spans="1:148" s="243" customFormat="1" ht="12.75" customHeight="1" x14ac:dyDescent="0.2">
      <c r="A100" s="2039" t="s">
        <v>2189</v>
      </c>
      <c r="B100" s="1612"/>
      <c r="C100" s="1612"/>
      <c r="D100" s="1612"/>
      <c r="E100" s="1612"/>
      <c r="F100" s="1612"/>
      <c r="G100" s="1612"/>
      <c r="H100" s="1612"/>
      <c r="I100" s="1612"/>
      <c r="J100" s="1612"/>
      <c r="K100" s="1612"/>
      <c r="L100" s="1612"/>
      <c r="M100" s="1533"/>
      <c r="N100" s="1612"/>
      <c r="O100" s="1612"/>
      <c r="P100" s="1612"/>
      <c r="Q100" s="1612"/>
      <c r="R100" s="1533"/>
      <c r="S100" s="1612"/>
      <c r="T100" s="1612"/>
      <c r="U100" s="1612"/>
      <c r="V100" s="1612"/>
      <c r="W100" s="1533"/>
      <c r="X100" s="1612"/>
      <c r="Y100" s="1612"/>
      <c r="Z100" s="1612"/>
      <c r="AA100" s="1612"/>
      <c r="AB100" s="1533"/>
      <c r="AC100" s="1612"/>
      <c r="AD100" s="1612"/>
      <c r="AE100" s="1612"/>
      <c r="AF100" s="1612"/>
      <c r="AG100" s="1533">
        <f t="shared" ref="AG100:BL100" si="306">+AG98/(AG14-AG12)</f>
        <v>0.38736842105263158</v>
      </c>
      <c r="AH100" s="1612">
        <f t="shared" si="306"/>
        <v>0.37096774193548387</v>
      </c>
      <c r="AI100" s="1612">
        <f t="shared" si="306"/>
        <v>0.3984375</v>
      </c>
      <c r="AJ100" s="1612">
        <f t="shared" si="306"/>
        <v>0.31597633136094677</v>
      </c>
      <c r="AK100" s="1612">
        <f t="shared" si="306"/>
        <v>0.38237965485921888</v>
      </c>
      <c r="AL100" s="1533">
        <f t="shared" si="306"/>
        <v>0.36726431463273568</v>
      </c>
      <c r="AM100" s="1612">
        <f t="shared" si="306"/>
        <v>0.39130434782608697</v>
      </c>
      <c r="AN100" s="1612">
        <f t="shared" si="306"/>
        <v>0.3833157338965153</v>
      </c>
      <c r="AO100" s="1612">
        <f t="shared" si="306"/>
        <v>0.34285714285714286</v>
      </c>
      <c r="AP100" s="1612">
        <f t="shared" si="306"/>
        <v>0.34409448818897637</v>
      </c>
      <c r="AQ100" s="1533">
        <f t="shared" si="306"/>
        <v>0.36326530612244901</v>
      </c>
      <c r="AR100" s="1612">
        <f t="shared" si="306"/>
        <v>0.36502732240437158</v>
      </c>
      <c r="AS100" s="1612">
        <f t="shared" si="306"/>
        <v>0.39026548672566369</v>
      </c>
      <c r="AT100" s="1612">
        <f t="shared" si="306"/>
        <v>0.32318992654774398</v>
      </c>
      <c r="AU100" s="1612">
        <f t="shared" si="306"/>
        <v>0.35074100211714893</v>
      </c>
      <c r="AV100" s="1533">
        <f t="shared" si="306"/>
        <v>0.35787089467723671</v>
      </c>
      <c r="AW100" s="1612">
        <f t="shared" si="306"/>
        <v>0.31400437636761486</v>
      </c>
      <c r="AX100" s="1612">
        <f t="shared" si="306"/>
        <v>0.35615171137835339</v>
      </c>
      <c r="AY100" s="1612">
        <f t="shared" si="306"/>
        <v>0.3020063357972545</v>
      </c>
      <c r="AZ100" s="1612">
        <f t="shared" si="306"/>
        <v>0.30825022665457841</v>
      </c>
      <c r="BA100" s="1533">
        <f t="shared" si="306"/>
        <v>0.32088998763906057</v>
      </c>
      <c r="BB100" s="1612">
        <f t="shared" si="306"/>
        <v>0.31386861313868614</v>
      </c>
      <c r="BC100" s="1612">
        <f t="shared" si="306"/>
        <v>0.28387096774193549</v>
      </c>
      <c r="BD100" s="1612">
        <f t="shared" si="306"/>
        <v>0.22861150070126227</v>
      </c>
      <c r="BE100" s="1612">
        <f t="shared" si="306"/>
        <v>0.28544243577545197</v>
      </c>
      <c r="BF100" s="1533">
        <f t="shared" si="306"/>
        <v>0.27853598014888337</v>
      </c>
      <c r="BG100" s="1612">
        <f t="shared" si="306"/>
        <v>0.38556701030927837</v>
      </c>
      <c r="BH100" s="1612">
        <f t="shared" si="306"/>
        <v>0.44014732965009207</v>
      </c>
      <c r="BI100" s="1612">
        <f t="shared" si="306"/>
        <v>0.37341772151898733</v>
      </c>
      <c r="BJ100" s="1612">
        <f t="shared" si="306"/>
        <v>0.38472032742155526</v>
      </c>
      <c r="BK100" s="1533">
        <f t="shared" si="306"/>
        <v>0.39597315436241609</v>
      </c>
      <c r="BL100" s="1612">
        <f t="shared" si="306"/>
        <v>0.39165009940357853</v>
      </c>
      <c r="BM100" s="1612">
        <f t="shared" ref="BM100:DA100" si="307">+BM98/(BM14-BM12)</f>
        <v>0.44991212653778556</v>
      </c>
      <c r="BN100" s="1612">
        <f t="shared" si="307"/>
        <v>0.41143911439114389</v>
      </c>
      <c r="BO100" s="1612">
        <f t="shared" si="307"/>
        <v>0.40721649484536082</v>
      </c>
      <c r="BP100" s="1533">
        <f t="shared" si="307"/>
        <v>0.41506276150627613</v>
      </c>
      <c r="BQ100" s="1612">
        <f t="shared" si="307"/>
        <v>0.46808510638297873</v>
      </c>
      <c r="BR100" s="1612">
        <f t="shared" si="307"/>
        <v>0.52145214521452143</v>
      </c>
      <c r="BS100" s="1612">
        <f t="shared" si="307"/>
        <v>0.59730250481695568</v>
      </c>
      <c r="BT100" s="1612">
        <f t="shared" si="307"/>
        <v>0.50847457627118642</v>
      </c>
      <c r="BU100" s="1533">
        <f t="shared" si="307"/>
        <v>0.5222083852220839</v>
      </c>
      <c r="BV100" s="1612">
        <f t="shared" si="307"/>
        <v>0.51010101010101006</v>
      </c>
      <c r="BW100" s="1612">
        <f t="shared" si="307"/>
        <v>0.56967840735068909</v>
      </c>
      <c r="BX100" s="1612">
        <f t="shared" si="307"/>
        <v>0.55016722408026753</v>
      </c>
      <c r="BY100" s="1612">
        <f t="shared" si="307"/>
        <v>0.49537037037037035</v>
      </c>
      <c r="BZ100" s="1533">
        <f t="shared" si="307"/>
        <v>0.53148816686722822</v>
      </c>
      <c r="CA100" s="1612">
        <f t="shared" si="307"/>
        <v>0.54414125200642049</v>
      </c>
      <c r="CB100" s="1612">
        <f t="shared" si="307"/>
        <v>0.56588072122052702</v>
      </c>
      <c r="CC100" s="1612">
        <f t="shared" si="307"/>
        <v>0.56791907514450868</v>
      </c>
      <c r="CD100" s="1618">
        <f t="shared" si="307"/>
        <v>0.5446808510638298</v>
      </c>
      <c r="CE100" s="1533">
        <f t="shared" si="307"/>
        <v>0.55600145932141554</v>
      </c>
      <c r="CF100" s="1612">
        <f t="shared" si="307"/>
        <v>0.6</v>
      </c>
      <c r="CG100" s="1612">
        <f t="shared" si="307"/>
        <v>0.62092391304347827</v>
      </c>
      <c r="CH100" s="1612">
        <f t="shared" si="307"/>
        <v>0.62103746397694526</v>
      </c>
      <c r="CI100" s="1612">
        <f t="shared" si="307"/>
        <v>0.56399437412095643</v>
      </c>
      <c r="CJ100" s="1533">
        <f t="shared" si="307"/>
        <v>0.60154061624649857</v>
      </c>
      <c r="CK100" s="1612">
        <f t="shared" si="307"/>
        <v>0.62998624484181565</v>
      </c>
      <c r="CL100" s="1612">
        <f t="shared" si="307"/>
        <v>0.65</v>
      </c>
      <c r="CM100" s="1612">
        <f t="shared" si="307"/>
        <v>0.64054054054054055</v>
      </c>
      <c r="CN100" s="1618">
        <f t="shared" si="307"/>
        <v>0.60528422738190557</v>
      </c>
      <c r="CO100" s="1533">
        <f t="shared" si="307"/>
        <v>0.61449942462600693</v>
      </c>
      <c r="CP100" s="1612">
        <f t="shared" si="307"/>
        <v>0.61425061425061422</v>
      </c>
      <c r="CQ100" s="1612">
        <f t="shared" si="307"/>
        <v>0.63810252486610564</v>
      </c>
      <c r="CR100" s="1612">
        <f t="shared" si="307"/>
        <v>0.64770070148090408</v>
      </c>
      <c r="CS100" s="1612">
        <f t="shared" si="307"/>
        <v>0.61305007587253413</v>
      </c>
      <c r="CT100" s="1533">
        <f t="shared" si="307"/>
        <v>0.6283875999220121</v>
      </c>
      <c r="CU100" s="1612">
        <f ca="1">+CU98/(CU14-CU12)</f>
        <v>0.62063177917098056</v>
      </c>
      <c r="CV100" s="1612">
        <f ca="1">+CV98/(CV14-CV12)</f>
        <v>0.64645349032293475</v>
      </c>
      <c r="CW100" s="1612">
        <f ca="1">+CW98/(CW14-CW12)</f>
        <v>0.63562314035428324</v>
      </c>
      <c r="CX100" s="1612">
        <f ca="1">+CX98/(CX14-CX12)</f>
        <v>0.64781038324794005</v>
      </c>
      <c r="CY100" s="1533">
        <f ca="1">+CY98/(CY14-CY12)</f>
        <v>0.63801818487748585</v>
      </c>
      <c r="CZ100" s="1618">
        <f t="shared" ca="1" si="307"/>
        <v>0.67091780046152605</v>
      </c>
      <c r="DA100" s="1533">
        <f t="shared" ca="1" si="307"/>
        <v>0.68323185424524568</v>
      </c>
      <c r="DB100" s="3345"/>
      <c r="DC100" s="374"/>
      <c r="DD100" s="3340" t="s">
        <v>2189</v>
      </c>
      <c r="DE100" s="2310">
        <f t="shared" si="262"/>
        <v>0</v>
      </c>
      <c r="DF100" s="2310">
        <f t="shared" si="263"/>
        <v>0</v>
      </c>
      <c r="DG100" s="2310">
        <f t="shared" si="264"/>
        <v>0</v>
      </c>
      <c r="DH100" s="2310">
        <f t="shared" si="265"/>
        <v>0</v>
      </c>
      <c r="DI100" s="2310">
        <f t="shared" si="266"/>
        <v>0.38736842105263158</v>
      </c>
      <c r="DJ100" s="2310">
        <f t="shared" si="267"/>
        <v>0.36726431463273568</v>
      </c>
      <c r="DK100" s="2310">
        <f t="shared" si="268"/>
        <v>0.36326530612244901</v>
      </c>
      <c r="DL100" s="2310">
        <f t="shared" si="269"/>
        <v>0.35787089467723671</v>
      </c>
      <c r="DM100" s="2310">
        <f t="shared" si="270"/>
        <v>0.32088998763906057</v>
      </c>
      <c r="DN100" s="2310">
        <f t="shared" si="271"/>
        <v>0.27853598014888337</v>
      </c>
      <c r="DO100" s="2310">
        <f t="shared" si="272"/>
        <v>0.39597315436241609</v>
      </c>
      <c r="DP100" s="2310">
        <f t="shared" si="273"/>
        <v>0.41506276150627613</v>
      </c>
      <c r="DQ100" s="2310">
        <f t="shared" si="274"/>
        <v>0.5222083852220839</v>
      </c>
      <c r="DR100" s="2310">
        <f t="shared" si="275"/>
        <v>0.53148816686722822</v>
      </c>
      <c r="DS100" s="2310">
        <f t="shared" si="276"/>
        <v>0.55600145932141554</v>
      </c>
      <c r="DT100" s="2310">
        <f t="shared" si="277"/>
        <v>0.60154061624649857</v>
      </c>
      <c r="DU100" s="2310">
        <f t="shared" si="278"/>
        <v>0.61449942462600693</v>
      </c>
      <c r="DV100" s="2310">
        <f t="shared" si="279"/>
        <v>0.6283875999220121</v>
      </c>
      <c r="DW100" s="2310">
        <f t="shared" ca="1" si="280"/>
        <v>0.63801818487748585</v>
      </c>
      <c r="DX100" s="2310">
        <f t="shared" ca="1" si="281"/>
        <v>0.67091780046152605</v>
      </c>
      <c r="DY100" s="2310">
        <f t="shared" ca="1" si="282"/>
        <v>0.68323185424524568</v>
      </c>
      <c r="EA100"/>
      <c r="EB100"/>
      <c r="EC100"/>
      <c r="ED100"/>
      <c r="EE100"/>
      <c r="EF100"/>
      <c r="EJ100"/>
      <c r="EK100"/>
      <c r="EL100"/>
      <c r="ER100" s="234"/>
    </row>
    <row r="101" spans="1:148" s="923" customFormat="1" x14ac:dyDescent="0.2">
      <c r="A101" s="1738" t="s">
        <v>691</v>
      </c>
      <c r="B101" s="1223"/>
      <c r="C101" s="1223"/>
      <c r="D101" s="1223"/>
      <c r="E101" s="1223"/>
      <c r="F101" s="1223"/>
      <c r="G101" s="1223"/>
      <c r="H101" s="1223"/>
      <c r="I101" s="1223"/>
      <c r="J101" s="1223"/>
      <c r="K101" s="1223"/>
      <c r="L101" s="1223"/>
      <c r="M101" s="1849"/>
      <c r="N101" s="1223"/>
      <c r="O101" s="1223"/>
      <c r="P101" s="1223"/>
      <c r="Q101" s="1223"/>
      <c r="R101" s="1849"/>
      <c r="S101" s="1223"/>
      <c r="T101" s="1223"/>
      <c r="U101" s="1223"/>
      <c r="V101" s="1223"/>
      <c r="W101" s="1849"/>
      <c r="X101" s="1223"/>
      <c r="Y101" s="1223"/>
      <c r="Z101" s="1223"/>
      <c r="AA101" s="1223"/>
      <c r="AB101" s="1849"/>
      <c r="AC101" s="1223"/>
      <c r="AD101" s="1223"/>
      <c r="AE101" s="1223"/>
      <c r="AF101" s="1223"/>
      <c r="AG101" s="1849"/>
      <c r="AH101" s="1223"/>
      <c r="AI101" s="1223"/>
      <c r="AJ101" s="1223"/>
      <c r="AK101" s="1223"/>
      <c r="AL101" s="1849"/>
      <c r="AM101" s="1223"/>
      <c r="AN101" s="1223"/>
      <c r="AO101" s="1223"/>
      <c r="AP101" s="1223"/>
      <c r="AQ101" s="1849"/>
      <c r="AR101" s="1223"/>
      <c r="AS101" s="1223"/>
      <c r="AT101" s="1223"/>
      <c r="AU101" s="1223"/>
      <c r="AV101" s="1849"/>
      <c r="AW101" s="1223"/>
      <c r="AX101" s="1223"/>
      <c r="AY101" s="1223"/>
      <c r="AZ101" s="1223"/>
      <c r="BA101" s="1849"/>
      <c r="BB101" s="1223"/>
      <c r="BC101" s="1223"/>
      <c r="BD101" s="1223"/>
      <c r="BE101" s="1223"/>
      <c r="BF101" s="1849"/>
      <c r="BG101" s="1223"/>
      <c r="BH101" s="1223"/>
      <c r="BI101" s="1223"/>
      <c r="BJ101" s="1223"/>
      <c r="BK101" s="1849"/>
      <c r="BL101" s="1223">
        <f t="shared" ref="BL101:CG101" si="308">BL98/BG98-1</f>
        <v>5.3475935828876997E-2</v>
      </c>
      <c r="BM101" s="1223">
        <f t="shared" si="308"/>
        <v>7.1129707112970619E-2</v>
      </c>
      <c r="BN101" s="1223">
        <f t="shared" si="308"/>
        <v>0.25988700564971756</v>
      </c>
      <c r="BO101" s="1223">
        <f t="shared" si="308"/>
        <v>0.12056737588652489</v>
      </c>
      <c r="BP101" s="1849">
        <f t="shared" si="308"/>
        <v>0.12090395480225991</v>
      </c>
      <c r="BQ101" s="1223">
        <f t="shared" si="308"/>
        <v>0.2284263959390862</v>
      </c>
      <c r="BR101" s="1223">
        <f t="shared" si="308"/>
        <v>0.234375</v>
      </c>
      <c r="BS101" s="1223">
        <f t="shared" si="308"/>
        <v>0.39013452914798208</v>
      </c>
      <c r="BT101" s="1223">
        <f t="shared" si="308"/>
        <v>0.23417721518987333</v>
      </c>
      <c r="BU101" s="1849">
        <f t="shared" si="308"/>
        <v>0.26814516129032251</v>
      </c>
      <c r="BV101" s="1223">
        <f t="shared" si="308"/>
        <v>0.25206611570247928</v>
      </c>
      <c r="BW101" s="1223">
        <f t="shared" si="308"/>
        <v>0.17721518987341778</v>
      </c>
      <c r="BX101" s="1223">
        <f t="shared" si="308"/>
        <v>6.1290322580645151E-2</v>
      </c>
      <c r="BY101" s="1223">
        <f t="shared" si="308"/>
        <v>-0.17692307692307696</v>
      </c>
      <c r="BZ101" s="1849">
        <f t="shared" si="308"/>
        <v>5.3259141494435669E-2</v>
      </c>
      <c r="CA101" s="1223">
        <f t="shared" si="308"/>
        <v>0.11881188118811892</v>
      </c>
      <c r="CB101" s="1223">
        <f t="shared" si="308"/>
        <v>9.6774193548387011E-2</v>
      </c>
      <c r="CC101" s="1223">
        <f t="shared" si="308"/>
        <v>0.19452887537993924</v>
      </c>
      <c r="CD101" s="2279">
        <f t="shared" si="308"/>
        <v>0.19626168224299056</v>
      </c>
      <c r="CE101" s="1849">
        <f t="shared" si="308"/>
        <v>0.15018867924528312</v>
      </c>
      <c r="CF101" s="1223">
        <f t="shared" si="308"/>
        <v>0.26548672566371678</v>
      </c>
      <c r="CG101" s="1223">
        <f t="shared" si="308"/>
        <v>0.12009803921568629</v>
      </c>
      <c r="CH101" s="1223">
        <f t="shared" ref="CH101:CO101" si="309">CH98/CC98-1</f>
        <v>9.6692111959287619E-2</v>
      </c>
      <c r="CI101" s="1223">
        <f t="shared" si="309"/>
        <v>4.4270833333333259E-2</v>
      </c>
      <c r="CJ101" s="1849">
        <f t="shared" si="309"/>
        <v>0.12729658792650911</v>
      </c>
      <c r="CK101" s="1223">
        <f t="shared" si="309"/>
        <v>6.7599067599067642E-2</v>
      </c>
      <c r="CL101" s="1223">
        <f t="shared" si="309"/>
        <v>8.0962800875273633E-2</v>
      </c>
      <c r="CM101" s="1223">
        <f t="shared" si="309"/>
        <v>9.9767981438515063E-2</v>
      </c>
      <c r="CN101" s="2279">
        <f t="shared" si="309"/>
        <v>0.88528678304239405</v>
      </c>
      <c r="CO101" s="1849">
        <f t="shared" si="309"/>
        <v>0.24330616996507559</v>
      </c>
      <c r="CP101" s="3385">
        <f t="shared" ref="CP101:CY101" si="310">CP98/CK104-1</f>
        <v>9.8096632503660297E-2</v>
      </c>
      <c r="CQ101" s="3385">
        <f t="shared" si="310"/>
        <v>7.8913324708926202E-2</v>
      </c>
      <c r="CR101" s="3385">
        <f t="shared" si="310"/>
        <v>7.2258064516129039E-2</v>
      </c>
      <c r="CS101" s="3385">
        <f t="shared" si="310"/>
        <v>6.8783068783068835E-2</v>
      </c>
      <c r="CT101" s="3425">
        <f t="shared" si="310"/>
        <v>7.9009039169735562E-2</v>
      </c>
      <c r="CU101" s="1223">
        <f t="shared" ref="CU101:CW101" ca="1" si="311">+CU98/CP98-1</f>
        <v>3.7014708942819885E-2</v>
      </c>
      <c r="CV101" s="1223">
        <f t="shared" ca="1" si="311"/>
        <v>6.1514161622353791E-2</v>
      </c>
      <c r="CW101" s="1223">
        <f t="shared" ca="1" si="311"/>
        <v>2.9011549479545096E-2</v>
      </c>
      <c r="CX101" s="1223">
        <f ca="1">+CX98/CS98-1</f>
        <v>0.1019152436427353</v>
      </c>
      <c r="CY101" s="1849">
        <f t="shared" ca="1" si="310"/>
        <v>5.7561264964625325E-2</v>
      </c>
      <c r="CZ101" s="2279">
        <f ca="1">CZ98/CY98-1</f>
        <v>0.11675355055224479</v>
      </c>
      <c r="DA101" s="1849">
        <f ca="1">DA98/CZ98-1</f>
        <v>-6.4496326979501806E-3</v>
      </c>
      <c r="DB101" s="374"/>
      <c r="DC101" s="374"/>
      <c r="DD101" s="3341" t="s">
        <v>691</v>
      </c>
      <c r="DE101" s="1849">
        <f t="shared" si="262"/>
        <v>0</v>
      </c>
      <c r="DF101" s="1849">
        <f t="shared" si="263"/>
        <v>0</v>
      </c>
      <c r="DG101" s="1849">
        <f t="shared" si="264"/>
        <v>0</v>
      </c>
      <c r="DH101" s="1849">
        <f t="shared" si="265"/>
        <v>0</v>
      </c>
      <c r="DI101" s="1849">
        <f t="shared" si="266"/>
        <v>0</v>
      </c>
      <c r="DJ101" s="1849">
        <f t="shared" si="267"/>
        <v>0</v>
      </c>
      <c r="DK101" s="1849">
        <f t="shared" si="268"/>
        <v>0</v>
      </c>
      <c r="DL101" s="1849">
        <f t="shared" si="269"/>
        <v>0</v>
      </c>
      <c r="DM101" s="1849">
        <f t="shared" si="270"/>
        <v>0</v>
      </c>
      <c r="DN101" s="1849">
        <f t="shared" si="271"/>
        <v>0</v>
      </c>
      <c r="DO101" s="1849">
        <f t="shared" si="272"/>
        <v>0</v>
      </c>
      <c r="DP101" s="1849">
        <f t="shared" si="273"/>
        <v>0.12090395480225991</v>
      </c>
      <c r="DQ101" s="1849">
        <f t="shared" si="274"/>
        <v>0.26814516129032251</v>
      </c>
      <c r="DR101" s="1849">
        <f t="shared" si="275"/>
        <v>5.3259141494435669E-2</v>
      </c>
      <c r="DS101" s="1849">
        <f t="shared" si="276"/>
        <v>0.15018867924528312</v>
      </c>
      <c r="DT101" s="1849">
        <f t="shared" si="277"/>
        <v>0.12729658792650911</v>
      </c>
      <c r="DU101" s="1849">
        <f t="shared" si="278"/>
        <v>0.24330616996507559</v>
      </c>
      <c r="DV101" s="1849">
        <f t="shared" si="279"/>
        <v>7.9009039169735562E-2</v>
      </c>
      <c r="DW101" s="1849">
        <f t="shared" ca="1" si="280"/>
        <v>5.7561264964625325E-2</v>
      </c>
      <c r="DX101" s="1849">
        <f t="shared" ca="1" si="281"/>
        <v>0.11675355055224479</v>
      </c>
      <c r="DY101" s="1849">
        <f t="shared" ca="1" si="282"/>
        <v>-6.4496326979501806E-3</v>
      </c>
      <c r="EA101"/>
      <c r="EB101"/>
      <c r="EC101"/>
      <c r="ED101"/>
      <c r="EE101"/>
      <c r="EF101"/>
      <c r="EJ101"/>
      <c r="EK101"/>
      <c r="EL101"/>
      <c r="ER101" s="212"/>
    </row>
    <row r="102" spans="1:148" s="930" customFormat="1" ht="12.75" customHeight="1" x14ac:dyDescent="0.2">
      <c r="A102" s="1738" t="s">
        <v>2542</v>
      </c>
      <c r="B102" s="3207"/>
      <c r="C102" s="3207"/>
      <c r="D102" s="3207"/>
      <c r="E102" s="3207"/>
      <c r="F102" s="3207"/>
      <c r="G102" s="3207"/>
      <c r="H102" s="3207"/>
      <c r="I102" s="3207"/>
      <c r="J102" s="3207"/>
      <c r="K102" s="3207"/>
      <c r="L102" s="3207"/>
      <c r="M102" s="3211"/>
      <c r="N102" s="3207"/>
      <c r="O102" s="3207"/>
      <c r="P102" s="3207"/>
      <c r="Q102" s="3207"/>
      <c r="R102" s="3211"/>
      <c r="S102" s="3207"/>
      <c r="T102" s="3207"/>
      <c r="U102" s="3207"/>
      <c r="V102" s="3207"/>
      <c r="W102" s="3211"/>
      <c r="X102" s="3207"/>
      <c r="Y102" s="3207"/>
      <c r="Z102" s="1934">
        <v>230</v>
      </c>
      <c r="AA102" s="1934">
        <v>271</v>
      </c>
      <c r="AB102" s="3211">
        <v>501</v>
      </c>
      <c r="AC102" s="1934">
        <v>222</v>
      </c>
      <c r="AD102" s="1934">
        <v>310</v>
      </c>
      <c r="AE102" s="1934">
        <v>289</v>
      </c>
      <c r="AF102" s="1934">
        <v>338</v>
      </c>
      <c r="AG102" s="3211">
        <v>1159</v>
      </c>
      <c r="AH102" s="1934">
        <v>288</v>
      </c>
      <c r="AI102" s="1934">
        <v>391</v>
      </c>
      <c r="AJ102" s="1934">
        <v>347</v>
      </c>
      <c r="AK102" s="1934">
        <v>391</v>
      </c>
      <c r="AL102" s="3211">
        <v>1417</v>
      </c>
      <c r="AM102" s="1934">
        <v>266</v>
      </c>
      <c r="AN102" s="1934">
        <v>335</v>
      </c>
      <c r="AO102" s="1934">
        <v>328</v>
      </c>
      <c r="AP102" s="1934">
        <v>383</v>
      </c>
      <c r="AQ102" s="3211">
        <v>1312</v>
      </c>
      <c r="AR102" s="1934">
        <v>286</v>
      </c>
      <c r="AS102" s="1934">
        <v>362</v>
      </c>
      <c r="AT102" s="1934">
        <v>348</v>
      </c>
      <c r="AU102" s="1934">
        <v>361</v>
      </c>
      <c r="AV102" s="3211">
        <v>1357</v>
      </c>
      <c r="AW102" s="1934">
        <v>302</v>
      </c>
      <c r="AX102" s="1934">
        <v>299</v>
      </c>
      <c r="AY102" s="1934">
        <v>334</v>
      </c>
      <c r="AZ102" s="1934">
        <v>273</v>
      </c>
      <c r="BA102" s="3211">
        <v>1208</v>
      </c>
      <c r="BB102" s="1934">
        <v>167</v>
      </c>
      <c r="BC102" s="1934">
        <v>200</v>
      </c>
      <c r="BD102" s="1934">
        <v>179</v>
      </c>
      <c r="BE102" s="1934">
        <v>247</v>
      </c>
      <c r="BF102" s="3211">
        <v>793</v>
      </c>
      <c r="BG102" s="1934">
        <v>179</v>
      </c>
      <c r="BH102" s="1934">
        <v>226</v>
      </c>
      <c r="BI102" s="1934">
        <v>205</v>
      </c>
      <c r="BJ102" s="1934">
        <v>269</v>
      </c>
      <c r="BK102" s="3211">
        <v>879</v>
      </c>
      <c r="BL102" s="1934">
        <v>208</v>
      </c>
      <c r="BM102" s="1934">
        <v>262</v>
      </c>
      <c r="BN102" s="1934">
        <v>241</v>
      </c>
      <c r="BO102" s="1934">
        <v>288</v>
      </c>
      <c r="BP102" s="3211">
        <v>999</v>
      </c>
      <c r="BQ102" s="1934">
        <v>219</v>
      </c>
      <c r="BR102" s="1934">
        <v>288</v>
      </c>
      <c r="BS102" s="1934">
        <v>263</v>
      </c>
      <c r="BT102" s="1934">
        <v>292.5</v>
      </c>
      <c r="BU102" s="3211">
        <v>1062.5</v>
      </c>
      <c r="BV102" s="1934">
        <v>257.39999999999998</v>
      </c>
      <c r="BW102" s="1934">
        <v>303.3</v>
      </c>
      <c r="BX102" s="1934">
        <v>282</v>
      </c>
      <c r="BY102" s="1934">
        <v>302</v>
      </c>
      <c r="BZ102" s="3211">
        <v>1144.7</v>
      </c>
      <c r="CA102" s="1934">
        <v>271</v>
      </c>
      <c r="CB102" s="1934">
        <v>323</v>
      </c>
      <c r="CC102" s="1934">
        <v>298</v>
      </c>
      <c r="CD102" s="1934">
        <v>335</v>
      </c>
      <c r="CE102" s="3212">
        <v>1227</v>
      </c>
      <c r="CF102" s="1934">
        <v>274</v>
      </c>
      <c r="CG102" s="1934">
        <v>311</v>
      </c>
      <c r="CH102" s="1934">
        <v>294</v>
      </c>
      <c r="CI102" s="1934">
        <v>318</v>
      </c>
      <c r="CJ102" s="3211">
        <v>1197</v>
      </c>
      <c r="CK102" s="3213">
        <v>281</v>
      </c>
      <c r="CL102" s="3213">
        <v>297</v>
      </c>
      <c r="CM102" s="3214">
        <v>275.36677382658593</v>
      </c>
      <c r="CN102" s="3209"/>
      <c r="CO102" s="3208"/>
      <c r="CP102" s="3209"/>
      <c r="CQ102" s="3209"/>
      <c r="CR102" s="3209"/>
      <c r="CS102" s="3209"/>
      <c r="CT102" s="1616"/>
      <c r="CU102"/>
      <c r="CV102" s="3209"/>
      <c r="CW102" s="3209"/>
      <c r="CX102" s="3209"/>
      <c r="CY102" s="1616"/>
      <c r="CZ102" s="3364"/>
      <c r="DA102" s="3210"/>
      <c r="DB102" s="2584"/>
      <c r="DC102" s="3346"/>
      <c r="DD102" s="3342"/>
      <c r="DE102" s="3208"/>
      <c r="DF102" s="3208"/>
      <c r="DG102" s="3208"/>
      <c r="DH102" s="3208"/>
      <c r="DI102" s="3208"/>
      <c r="DJ102" s="3208"/>
      <c r="DK102" s="3208"/>
      <c r="DL102" s="3208"/>
      <c r="DM102" s="3208"/>
      <c r="DN102" s="3208"/>
      <c r="DO102" s="3208"/>
      <c r="DP102" s="3208"/>
      <c r="DQ102" s="3208"/>
      <c r="DR102" s="3208"/>
      <c r="DS102" s="3208"/>
      <c r="DT102" s="3208"/>
      <c r="DU102" s="3208"/>
      <c r="DV102" s="3208"/>
      <c r="DW102" s="3208"/>
      <c r="DX102" s="3208"/>
      <c r="DY102" s="3208"/>
      <c r="EA102"/>
      <c r="EB102"/>
      <c r="EC102"/>
      <c r="ED102"/>
      <c r="EE102"/>
      <c r="EF102"/>
      <c r="EG102" s="929"/>
      <c r="EH102" s="929"/>
      <c r="EI102" s="929"/>
      <c r="EJ102"/>
      <c r="EK102"/>
      <c r="EL102"/>
      <c r="EM102" s="929"/>
      <c r="EN102" s="929"/>
      <c r="EO102" s="929"/>
      <c r="EP102" s="929"/>
      <c r="EQ102" s="929"/>
      <c r="ER102" s="732"/>
    </row>
    <row r="103" spans="1:148" s="930" customFormat="1" ht="12.75" customHeight="1" x14ac:dyDescent="0.2">
      <c r="A103" s="1738"/>
      <c r="B103" s="3207"/>
      <c r="C103" s="3207"/>
      <c r="D103" s="3207"/>
      <c r="E103" s="3207"/>
      <c r="F103" s="3207"/>
      <c r="G103" s="3207"/>
      <c r="H103" s="3207"/>
      <c r="I103" s="3207"/>
      <c r="J103" s="3207"/>
      <c r="K103" s="3207"/>
      <c r="L103" s="3207"/>
      <c r="M103" s="3211"/>
      <c r="N103" s="3207"/>
      <c r="O103" s="3207"/>
      <c r="P103" s="3207"/>
      <c r="Q103" s="3207"/>
      <c r="R103" s="3211"/>
      <c r="S103" s="3207"/>
      <c r="T103" s="3207"/>
      <c r="U103" s="3207"/>
      <c r="V103" s="3207"/>
      <c r="W103" s="3211"/>
      <c r="X103" s="3207"/>
      <c r="Y103" s="3207"/>
      <c r="Z103" s="1934"/>
      <c r="AA103" s="1934"/>
      <c r="AB103" s="3211"/>
      <c r="AC103" s="1934"/>
      <c r="AD103" s="1934"/>
      <c r="AE103" s="1934"/>
      <c r="AF103" s="1934"/>
      <c r="AG103" s="3211"/>
      <c r="AH103" s="1934"/>
      <c r="AI103" s="1934"/>
      <c r="AJ103" s="1934"/>
      <c r="AK103" s="1934"/>
      <c r="AL103" s="3211"/>
      <c r="AM103" s="1934"/>
      <c r="AN103" s="1934"/>
      <c r="AO103" s="1934"/>
      <c r="AP103" s="1934"/>
      <c r="AQ103" s="3211"/>
      <c r="AR103" s="1934"/>
      <c r="AS103" s="1934"/>
      <c r="AT103" s="1934"/>
      <c r="AU103" s="1934"/>
      <c r="AV103" s="3211"/>
      <c r="AW103" s="1934"/>
      <c r="AX103" s="1934"/>
      <c r="AY103" s="1934"/>
      <c r="AZ103" s="1934"/>
      <c r="BA103" s="3211"/>
      <c r="BB103" s="1934"/>
      <c r="BC103" s="1934"/>
      <c r="BD103" s="1934"/>
      <c r="BE103" s="1934"/>
      <c r="BF103" s="3211"/>
      <c r="BG103" s="1934"/>
      <c r="BH103" s="1934"/>
      <c r="BI103" s="1934"/>
      <c r="BJ103" s="1934"/>
      <c r="BK103" s="3211"/>
      <c r="BL103" s="1934"/>
      <c r="BM103" s="1934"/>
      <c r="BN103" s="1934"/>
      <c r="BO103" s="1934"/>
      <c r="BP103" s="3211"/>
      <c r="BQ103" s="1934"/>
      <c r="BR103" s="1934"/>
      <c r="BS103" s="1934"/>
      <c r="BT103" s="1934"/>
      <c r="BU103" s="3211"/>
      <c r="BV103" s="1934"/>
      <c r="BW103" s="1934"/>
      <c r="BX103" s="1934"/>
      <c r="BY103" s="1934"/>
      <c r="BZ103" s="3211"/>
      <c r="CA103" s="1934"/>
      <c r="CB103" s="1934"/>
      <c r="CC103" s="1934"/>
      <c r="CD103" s="1934"/>
      <c r="CE103" s="3212"/>
      <c r="CF103" s="1934"/>
      <c r="CG103" s="1934"/>
      <c r="CH103" s="1934"/>
      <c r="CI103" s="1934"/>
      <c r="CJ103" s="3211"/>
      <c r="CK103" s="3213"/>
      <c r="CL103" s="3213"/>
      <c r="CM103" s="3214"/>
      <c r="CN103" s="3209"/>
      <c r="CO103" s="3208"/>
      <c r="CP103" s="3209"/>
      <c r="CQ103" s="3209"/>
      <c r="CR103" s="3209"/>
      <c r="CS103" s="3209"/>
      <c r="CT103" s="1006"/>
      <c r="CU103" s="3209"/>
      <c r="CV103" s="3209"/>
      <c r="CW103" s="3209"/>
      <c r="CX103" s="3209"/>
      <c r="CY103" s="3688"/>
      <c r="CZ103" s="3689"/>
      <c r="DA103" s="3210"/>
      <c r="DB103" s="2584"/>
      <c r="DC103" s="3346"/>
      <c r="DD103" s="3342"/>
      <c r="DE103" s="3208"/>
      <c r="DF103" s="3208"/>
      <c r="DG103" s="3208"/>
      <c r="DH103" s="3208"/>
      <c r="DI103" s="3208"/>
      <c r="DJ103" s="3208"/>
      <c r="DK103" s="3208"/>
      <c r="DL103" s="3208"/>
      <c r="DM103" s="3208"/>
      <c r="DN103" s="3208"/>
      <c r="DO103" s="3208"/>
      <c r="DP103" s="3208"/>
      <c r="DQ103" s="3208"/>
      <c r="DR103" s="3208"/>
      <c r="DS103" s="3208"/>
      <c r="DT103" s="3208"/>
      <c r="DU103" s="3208"/>
      <c r="DV103" s="3208"/>
      <c r="DW103" s="3208"/>
      <c r="DX103" s="3208"/>
      <c r="DY103" s="3208"/>
      <c r="EA103"/>
      <c r="EB103"/>
      <c r="EC103"/>
      <c r="ED103"/>
      <c r="EE103"/>
      <c r="EF103"/>
      <c r="EG103" s="929"/>
      <c r="EH103" s="929"/>
      <c r="EI103" s="929"/>
      <c r="EJ103"/>
      <c r="EK103"/>
      <c r="EL103"/>
      <c r="EM103" s="929"/>
      <c r="EN103" s="929"/>
      <c r="EO103" s="929"/>
      <c r="EP103" s="929"/>
      <c r="EQ103" s="929"/>
      <c r="ER103" s="732"/>
    </row>
    <row r="104" spans="1:148" s="3238" customFormat="1" ht="12.75" customHeight="1" x14ac:dyDescent="0.2">
      <c r="A104" s="3232" t="s">
        <v>2544</v>
      </c>
      <c r="B104" s="3233"/>
      <c r="C104" s="3233"/>
      <c r="D104" s="3233"/>
      <c r="E104" s="3233"/>
      <c r="F104" s="3233"/>
      <c r="G104" s="3233"/>
      <c r="H104" s="3233"/>
      <c r="I104" s="3233"/>
      <c r="J104" s="3233"/>
      <c r="K104" s="3233"/>
      <c r="L104" s="3233"/>
      <c r="M104" s="3236"/>
      <c r="N104" s="3233"/>
      <c r="O104" s="3233"/>
      <c r="P104" s="3233"/>
      <c r="Q104" s="3233"/>
      <c r="R104" s="3236"/>
      <c r="S104" s="3233"/>
      <c r="T104" s="3233"/>
      <c r="U104" s="3233"/>
      <c r="V104" s="3233"/>
      <c r="W104" s="3236"/>
      <c r="X104" s="3233"/>
      <c r="Y104" s="3233"/>
      <c r="Z104" s="3234"/>
      <c r="AA104" s="3234"/>
      <c r="AB104" s="3236"/>
      <c r="AC104" s="3234"/>
      <c r="AD104" s="3234"/>
      <c r="AE104" s="3234"/>
      <c r="AF104" s="3234"/>
      <c r="AG104" s="3236">
        <f>+AG98+AG102</f>
        <v>2263</v>
      </c>
      <c r="AH104" s="3235">
        <f t="shared" ref="AH104:CI104" si="312">+AH98+AH102</f>
        <v>564</v>
      </c>
      <c r="AI104" s="3235">
        <f t="shared" si="312"/>
        <v>697</v>
      </c>
      <c r="AJ104" s="3235">
        <f t="shared" si="312"/>
        <v>614</v>
      </c>
      <c r="AK104" s="3235">
        <f t="shared" si="312"/>
        <v>812</v>
      </c>
      <c r="AL104" s="3236">
        <f t="shared" si="312"/>
        <v>2687</v>
      </c>
      <c r="AM104" s="3235">
        <f t="shared" si="312"/>
        <v>590</v>
      </c>
      <c r="AN104" s="3235">
        <f t="shared" si="312"/>
        <v>698</v>
      </c>
      <c r="AO104" s="3235">
        <f t="shared" si="312"/>
        <v>628</v>
      </c>
      <c r="AP104" s="3235">
        <f t="shared" si="312"/>
        <v>820</v>
      </c>
      <c r="AQ104" s="3236">
        <f t="shared" si="312"/>
        <v>2736</v>
      </c>
      <c r="AR104" s="3235">
        <f t="shared" si="312"/>
        <v>620</v>
      </c>
      <c r="AS104" s="3235">
        <f t="shared" si="312"/>
        <v>803</v>
      </c>
      <c r="AT104" s="3235">
        <f t="shared" si="312"/>
        <v>656</v>
      </c>
      <c r="AU104" s="3235">
        <f t="shared" si="312"/>
        <v>858</v>
      </c>
      <c r="AV104" s="3236">
        <f t="shared" si="312"/>
        <v>2937</v>
      </c>
      <c r="AW104" s="3235">
        <f t="shared" si="312"/>
        <v>589</v>
      </c>
      <c r="AX104" s="3235">
        <f t="shared" si="312"/>
        <v>684</v>
      </c>
      <c r="AY104" s="3235">
        <f t="shared" si="312"/>
        <v>620</v>
      </c>
      <c r="AZ104" s="3235">
        <f t="shared" si="312"/>
        <v>613</v>
      </c>
      <c r="BA104" s="3236">
        <f t="shared" si="312"/>
        <v>2506</v>
      </c>
      <c r="BB104" s="3235">
        <f t="shared" si="312"/>
        <v>382</v>
      </c>
      <c r="BC104" s="3235">
        <f t="shared" si="312"/>
        <v>420</v>
      </c>
      <c r="BD104" s="3235">
        <f t="shared" si="312"/>
        <v>342</v>
      </c>
      <c r="BE104" s="3235">
        <f t="shared" si="312"/>
        <v>547</v>
      </c>
      <c r="BF104" s="3236">
        <f t="shared" si="312"/>
        <v>1691</v>
      </c>
      <c r="BG104" s="3235">
        <f t="shared" si="312"/>
        <v>366</v>
      </c>
      <c r="BH104" s="3235">
        <f t="shared" si="312"/>
        <v>465</v>
      </c>
      <c r="BI104" s="3235">
        <f t="shared" si="312"/>
        <v>382</v>
      </c>
      <c r="BJ104" s="3235">
        <f t="shared" si="312"/>
        <v>551</v>
      </c>
      <c r="BK104" s="3236">
        <f t="shared" si="312"/>
        <v>1764</v>
      </c>
      <c r="BL104" s="3235">
        <f t="shared" si="312"/>
        <v>405</v>
      </c>
      <c r="BM104" s="3235">
        <f t="shared" si="312"/>
        <v>518</v>
      </c>
      <c r="BN104" s="3235">
        <f t="shared" si="312"/>
        <v>464</v>
      </c>
      <c r="BO104" s="3235">
        <f t="shared" si="312"/>
        <v>604</v>
      </c>
      <c r="BP104" s="3236">
        <f t="shared" si="312"/>
        <v>1991</v>
      </c>
      <c r="BQ104" s="3235">
        <f t="shared" si="312"/>
        <v>461</v>
      </c>
      <c r="BR104" s="3235">
        <f t="shared" si="312"/>
        <v>604</v>
      </c>
      <c r="BS104" s="3235">
        <f t="shared" si="312"/>
        <v>573</v>
      </c>
      <c r="BT104" s="3235">
        <f t="shared" si="312"/>
        <v>682.5</v>
      </c>
      <c r="BU104" s="3236">
        <f t="shared" si="312"/>
        <v>2320.5</v>
      </c>
      <c r="BV104" s="3235">
        <f t="shared" si="312"/>
        <v>560.4</v>
      </c>
      <c r="BW104" s="3235">
        <f t="shared" si="312"/>
        <v>675.3</v>
      </c>
      <c r="BX104" s="3235">
        <f t="shared" si="312"/>
        <v>611</v>
      </c>
      <c r="BY104" s="3235">
        <f t="shared" si="312"/>
        <v>623</v>
      </c>
      <c r="BZ104" s="3236">
        <f t="shared" si="312"/>
        <v>2469.6999999999998</v>
      </c>
      <c r="CA104" s="3235">
        <f t="shared" si="312"/>
        <v>610</v>
      </c>
      <c r="CB104" s="3235">
        <f t="shared" si="312"/>
        <v>731</v>
      </c>
      <c r="CC104" s="3235">
        <f t="shared" si="312"/>
        <v>691</v>
      </c>
      <c r="CD104" s="3235">
        <f t="shared" si="312"/>
        <v>719</v>
      </c>
      <c r="CE104" s="3236">
        <f t="shared" si="312"/>
        <v>2751</v>
      </c>
      <c r="CF104" s="3235">
        <f t="shared" si="312"/>
        <v>703</v>
      </c>
      <c r="CG104" s="3235">
        <f t="shared" si="312"/>
        <v>768</v>
      </c>
      <c r="CH104" s="3235">
        <f t="shared" si="312"/>
        <v>725</v>
      </c>
      <c r="CI104" s="3235">
        <f t="shared" si="312"/>
        <v>719</v>
      </c>
      <c r="CJ104" s="3236">
        <f>+CJ98+CJ102</f>
        <v>2915</v>
      </c>
      <c r="CK104" s="3384">
        <v>683</v>
      </c>
      <c r="CL104" s="3384">
        <v>773</v>
      </c>
      <c r="CM104" s="3384">
        <v>775</v>
      </c>
      <c r="CN104" s="3235">
        <f>+CN98</f>
        <v>756</v>
      </c>
      <c r="CO104" s="3236">
        <f>SUM(CK104:CN104)</f>
        <v>2987</v>
      </c>
      <c r="CP104" s="3235">
        <f t="shared" ref="CP104:DA104" si="313">+CP98</f>
        <v>750</v>
      </c>
      <c r="CQ104" s="3235">
        <f t="shared" si="313"/>
        <v>834</v>
      </c>
      <c r="CR104" s="3235">
        <f t="shared" si="313"/>
        <v>831</v>
      </c>
      <c r="CS104" s="3235">
        <f t="shared" si="313"/>
        <v>808</v>
      </c>
      <c r="CT104" s="3236">
        <f>SUM(CP104:CS104)</f>
        <v>3223</v>
      </c>
      <c r="CU104" s="3235">
        <f ca="1">+CU98</f>
        <v>777.76103170711485</v>
      </c>
      <c r="CV104" s="3235">
        <f ca="1">+CV98</f>
        <v>885.30281079304314</v>
      </c>
      <c r="CW104" s="3235">
        <f ca="1">+CW98</f>
        <v>855.10859761750191</v>
      </c>
      <c r="CX104" s="3235">
        <f ca="1">+CX98</f>
        <v>890.34751686333016</v>
      </c>
      <c r="CY104" s="3236">
        <f ca="1">SUM(CU104:CX104)</f>
        <v>3408.5199569809902</v>
      </c>
      <c r="CZ104" s="3365">
        <f t="shared" ca="1" si="313"/>
        <v>3806.4767640867026</v>
      </c>
      <c r="DA104" s="3236">
        <f t="shared" ca="1" si="313"/>
        <v>3781.9263870850614</v>
      </c>
      <c r="DB104" s="3347"/>
      <c r="DC104" s="3348"/>
      <c r="DD104" s="3343"/>
      <c r="DE104" s="3237"/>
      <c r="DF104" s="3237"/>
      <c r="DG104" s="3237"/>
      <c r="DH104" s="3237"/>
      <c r="DI104" s="3237"/>
      <c r="DJ104" s="3237"/>
      <c r="DK104" s="3237"/>
      <c r="DL104" s="3237"/>
      <c r="DM104" s="3237"/>
      <c r="DN104" s="3237"/>
      <c r="DO104" s="3237"/>
      <c r="DP104" s="3237"/>
      <c r="DQ104" s="3237"/>
      <c r="DR104" s="3237"/>
      <c r="DS104" s="3237"/>
      <c r="DT104" s="3237"/>
      <c r="DU104" s="3237"/>
      <c r="DV104" s="3237"/>
      <c r="DW104" s="3237"/>
      <c r="DX104" s="3237"/>
      <c r="DY104" s="3237"/>
      <c r="EA104"/>
      <c r="EB104"/>
      <c r="EC104"/>
      <c r="ED104"/>
      <c r="EE104"/>
      <c r="EF104"/>
      <c r="EG104" s="3239"/>
      <c r="EH104" s="3239"/>
      <c r="EI104" s="3239"/>
      <c r="EJ104"/>
      <c r="EK104"/>
      <c r="EL104"/>
      <c r="EM104" s="3239"/>
      <c r="EN104" s="3239"/>
      <c r="EO104" s="3239"/>
      <c r="EP104" s="3239"/>
      <c r="EQ104" s="3239"/>
      <c r="ER104" s="3240"/>
    </row>
    <row r="105" spans="1:148" s="923" customFormat="1" x14ac:dyDescent="0.2">
      <c r="A105" s="3221" t="s">
        <v>2543</v>
      </c>
      <c r="B105" s="3222"/>
      <c r="C105" s="3222"/>
      <c r="D105" s="3222"/>
      <c r="E105" s="3222"/>
      <c r="F105" s="3222"/>
      <c r="G105" s="3222"/>
      <c r="H105" s="3222"/>
      <c r="I105" s="3222"/>
      <c r="J105" s="3222"/>
      <c r="K105" s="3222"/>
      <c r="L105" s="3222"/>
      <c r="M105" s="3223"/>
      <c r="N105" s="3222"/>
      <c r="O105" s="3222"/>
      <c r="P105" s="3222"/>
      <c r="Q105" s="3222"/>
      <c r="R105" s="3223"/>
      <c r="S105" s="3222"/>
      <c r="T105" s="3222"/>
      <c r="U105" s="3222"/>
      <c r="V105" s="3222"/>
      <c r="W105" s="3223"/>
      <c r="X105" s="3222"/>
      <c r="Y105" s="3222"/>
      <c r="Z105" s="3222"/>
      <c r="AA105" s="3222"/>
      <c r="AB105" s="3223"/>
      <c r="AC105" s="3222"/>
      <c r="AD105" s="3222"/>
      <c r="AE105" s="3222"/>
      <c r="AF105" s="3222"/>
      <c r="AG105" s="3223"/>
      <c r="AH105" s="3222"/>
      <c r="AI105" s="3222"/>
      <c r="AJ105" s="3222"/>
      <c r="AK105" s="3222"/>
      <c r="AL105" s="3223">
        <f t="shared" ref="AL105:CM105" si="314">+AL104/AG104-1</f>
        <v>0.18736190897039329</v>
      </c>
      <c r="AM105" s="3222">
        <f t="shared" si="314"/>
        <v>4.6099290780141855E-2</v>
      </c>
      <c r="AN105" s="3222">
        <f t="shared" si="314"/>
        <v>1.4347202295552641E-3</v>
      </c>
      <c r="AO105" s="3222">
        <f t="shared" si="314"/>
        <v>2.2801302931596101E-2</v>
      </c>
      <c r="AP105" s="3222">
        <f t="shared" si="314"/>
        <v>9.8522167487684609E-3</v>
      </c>
      <c r="AQ105" s="3223">
        <f t="shared" si="314"/>
        <v>1.8235950874581297E-2</v>
      </c>
      <c r="AR105" s="3222">
        <f t="shared" si="314"/>
        <v>5.0847457627118731E-2</v>
      </c>
      <c r="AS105" s="3222">
        <f t="shared" si="314"/>
        <v>0.15042979942693413</v>
      </c>
      <c r="AT105" s="3222">
        <f t="shared" si="314"/>
        <v>4.4585987261146487E-2</v>
      </c>
      <c r="AU105" s="3222">
        <f t="shared" si="314"/>
        <v>4.6341463414634188E-2</v>
      </c>
      <c r="AV105" s="3223">
        <f t="shared" si="314"/>
        <v>7.3464912280701844E-2</v>
      </c>
      <c r="AW105" s="3222">
        <f t="shared" si="314"/>
        <v>-5.0000000000000044E-2</v>
      </c>
      <c r="AX105" s="3222">
        <f t="shared" si="314"/>
        <v>-0.14819427148194275</v>
      </c>
      <c r="AY105" s="3222">
        <f t="shared" si="314"/>
        <v>-5.4878048780487854E-2</v>
      </c>
      <c r="AZ105" s="3222">
        <f t="shared" si="314"/>
        <v>-0.28554778554778559</v>
      </c>
      <c r="BA105" s="3223">
        <f t="shared" si="314"/>
        <v>-0.14674838270343893</v>
      </c>
      <c r="BB105" s="3222">
        <f t="shared" si="314"/>
        <v>-0.35144312393887944</v>
      </c>
      <c r="BC105" s="3222">
        <f t="shared" si="314"/>
        <v>-0.38596491228070173</v>
      </c>
      <c r="BD105" s="3222">
        <f t="shared" si="314"/>
        <v>-0.44838709677419353</v>
      </c>
      <c r="BE105" s="3222">
        <f t="shared" si="314"/>
        <v>-0.1076672104404568</v>
      </c>
      <c r="BF105" s="3223">
        <f t="shared" si="314"/>
        <v>-0.325219473264166</v>
      </c>
      <c r="BG105" s="3222">
        <f t="shared" si="314"/>
        <v>-4.1884816753926746E-2</v>
      </c>
      <c r="BH105" s="3222">
        <f t="shared" si="314"/>
        <v>0.10714285714285721</v>
      </c>
      <c r="BI105" s="3222">
        <f t="shared" si="314"/>
        <v>0.11695906432748537</v>
      </c>
      <c r="BJ105" s="3222">
        <f t="shared" si="314"/>
        <v>7.3126142595978383E-3</v>
      </c>
      <c r="BK105" s="3223">
        <f t="shared" si="314"/>
        <v>4.3169722057953885E-2</v>
      </c>
      <c r="BL105" s="3222">
        <f t="shared" si="314"/>
        <v>0.10655737704918034</v>
      </c>
      <c r="BM105" s="3222">
        <f t="shared" si="314"/>
        <v>0.11397849462365595</v>
      </c>
      <c r="BN105" s="3222">
        <f t="shared" si="314"/>
        <v>0.21465968586387429</v>
      </c>
      <c r="BO105" s="3222">
        <f t="shared" si="314"/>
        <v>9.6188747731397406E-2</v>
      </c>
      <c r="BP105" s="3223">
        <f t="shared" si="314"/>
        <v>0.12868480725623588</v>
      </c>
      <c r="BQ105" s="3222">
        <f t="shared" si="314"/>
        <v>0.13827160493827151</v>
      </c>
      <c r="BR105" s="3222">
        <f t="shared" si="314"/>
        <v>0.16602316602316591</v>
      </c>
      <c r="BS105" s="3222">
        <f t="shared" si="314"/>
        <v>0.23491379310344818</v>
      </c>
      <c r="BT105" s="3222">
        <f t="shared" si="314"/>
        <v>0.12996688741721862</v>
      </c>
      <c r="BU105" s="3223">
        <f t="shared" si="314"/>
        <v>0.16549472626820694</v>
      </c>
      <c r="BV105" s="3222">
        <f t="shared" si="314"/>
        <v>0.21561822125813435</v>
      </c>
      <c r="BW105" s="3222">
        <f t="shared" si="314"/>
        <v>0.11804635761589388</v>
      </c>
      <c r="BX105" s="3222">
        <f t="shared" si="314"/>
        <v>6.6317626527050644E-2</v>
      </c>
      <c r="BY105" s="3222">
        <f t="shared" si="314"/>
        <v>-8.7179487179487203E-2</v>
      </c>
      <c r="BZ105" s="3223">
        <f t="shared" si="314"/>
        <v>6.4296487825899584E-2</v>
      </c>
      <c r="CA105" s="3222">
        <f t="shared" si="314"/>
        <v>8.8508208422555468E-2</v>
      </c>
      <c r="CB105" s="3222">
        <f t="shared" si="314"/>
        <v>8.2481859914112388E-2</v>
      </c>
      <c r="CC105" s="3222">
        <f t="shared" si="314"/>
        <v>0.1309328968903436</v>
      </c>
      <c r="CD105" s="3225">
        <f t="shared" si="314"/>
        <v>0.1540930979133226</v>
      </c>
      <c r="CE105" s="3223">
        <f t="shared" si="314"/>
        <v>0.11390047374175016</v>
      </c>
      <c r="CF105" s="3222">
        <f t="shared" si="314"/>
        <v>0.15245901639344273</v>
      </c>
      <c r="CG105" s="3222">
        <f t="shared" si="314"/>
        <v>5.0615595075239384E-2</v>
      </c>
      <c r="CH105" s="3222">
        <f t="shared" si="314"/>
        <v>4.9204052098408058E-2</v>
      </c>
      <c r="CI105" s="3222">
        <f t="shared" si="314"/>
        <v>0</v>
      </c>
      <c r="CJ105" s="3223">
        <f t="shared" si="314"/>
        <v>5.9614685568883941E-2</v>
      </c>
      <c r="CK105" s="3222">
        <f t="shared" si="314"/>
        <v>-2.8449502133712667E-2</v>
      </c>
      <c r="CL105" s="3222">
        <f t="shared" si="314"/>
        <v>6.5104166666667407E-3</v>
      </c>
      <c r="CM105" s="3222">
        <f t="shared" si="314"/>
        <v>6.8965517241379226E-2</v>
      </c>
      <c r="CN105" s="3225">
        <f t="shared" ref="CN105:CT105" si="315">+CN104/CI104-1</f>
        <v>5.1460361613351768E-2</v>
      </c>
      <c r="CO105" s="3223">
        <f t="shared" si="315"/>
        <v>2.4699828473413454E-2</v>
      </c>
      <c r="CP105" s="3222">
        <f t="shared" si="315"/>
        <v>9.8096632503660297E-2</v>
      </c>
      <c r="CQ105" s="3222">
        <f t="shared" si="315"/>
        <v>7.8913324708926202E-2</v>
      </c>
      <c r="CR105" s="3222">
        <f t="shared" si="315"/>
        <v>7.2258064516129039E-2</v>
      </c>
      <c r="CS105" s="3222">
        <f t="shared" si="315"/>
        <v>6.8783068783068835E-2</v>
      </c>
      <c r="CT105" s="3223">
        <f t="shared" si="315"/>
        <v>7.9009039169735562E-2</v>
      </c>
      <c r="CU105" s="3222">
        <f ca="1">+CU104/CP104-1</f>
        <v>3.7014708942819885E-2</v>
      </c>
      <c r="CV105" s="3222">
        <f ca="1">+CV104/CQ104-1</f>
        <v>6.1514161622353791E-2</v>
      </c>
      <c r="CW105" s="3222">
        <f ca="1">+CW104/CR104-1</f>
        <v>2.9011549479545096E-2</v>
      </c>
      <c r="CX105" s="3222">
        <f ca="1">+CX104/CS104-1</f>
        <v>0.1019152436427353</v>
      </c>
      <c r="CY105" s="3930">
        <f ca="1">+(CY104+60)/CT104-1</f>
        <v>7.6177461055225049E-2</v>
      </c>
      <c r="CZ105" s="3225">
        <f ca="1">+CZ104/CY104-1</f>
        <v>0.1167535505522439</v>
      </c>
      <c r="DA105" s="3223">
        <f ca="1">+DA104/CZ104-1</f>
        <v>-6.4496326979501806E-3</v>
      </c>
      <c r="DB105" s="374"/>
      <c r="DC105" s="374"/>
      <c r="DD105" s="3341"/>
      <c r="DE105" s="1849"/>
      <c r="DF105" s="1849"/>
      <c r="DG105" s="1849"/>
      <c r="DH105" s="1849"/>
      <c r="DI105" s="1849"/>
      <c r="DJ105" s="1849"/>
      <c r="DK105" s="1849"/>
      <c r="DL105" s="1849"/>
      <c r="DM105" s="1849"/>
      <c r="DN105" s="1849"/>
      <c r="DO105" s="1849"/>
      <c r="DP105" s="1849"/>
      <c r="DQ105" s="1849"/>
      <c r="DR105" s="1849"/>
      <c r="DS105" s="1849"/>
      <c r="DT105" s="1849"/>
      <c r="DU105" s="1849"/>
      <c r="DV105" s="1849"/>
      <c r="DW105" s="1849"/>
      <c r="DX105" s="1849"/>
      <c r="DY105" s="1849"/>
      <c r="EA105"/>
      <c r="EB105"/>
      <c r="EC105"/>
      <c r="ED105"/>
      <c r="EE105"/>
      <c r="EF105"/>
      <c r="EJ105"/>
      <c r="EK105"/>
      <c r="EL105"/>
      <c r="ER105" s="212"/>
    </row>
    <row r="106" spans="1:148" s="923" customFormat="1" x14ac:dyDescent="0.2">
      <c r="A106" s="1738"/>
      <c r="B106" s="1223"/>
      <c r="C106" s="1223"/>
      <c r="D106" s="1223"/>
      <c r="E106" s="1223"/>
      <c r="F106" s="1223"/>
      <c r="G106" s="1223"/>
      <c r="H106" s="1223"/>
      <c r="I106" s="1223"/>
      <c r="J106" s="1223"/>
      <c r="K106" s="1223"/>
      <c r="L106" s="1223"/>
      <c r="M106" s="1849"/>
      <c r="N106" s="1223"/>
      <c r="O106" s="1223"/>
      <c r="P106" s="1223"/>
      <c r="Q106" s="1223"/>
      <c r="R106" s="1849"/>
      <c r="S106" s="1223"/>
      <c r="T106" s="1223"/>
      <c r="U106" s="1223"/>
      <c r="V106" s="1223"/>
      <c r="W106" s="1849"/>
      <c r="X106" s="1223"/>
      <c r="Y106" s="1223"/>
      <c r="Z106" s="1223"/>
      <c r="AA106" s="1223"/>
      <c r="AB106" s="1849"/>
      <c r="AC106" s="1223"/>
      <c r="AD106" s="1223"/>
      <c r="AE106" s="1223"/>
      <c r="AF106" s="1223"/>
      <c r="AG106" s="1849"/>
      <c r="AH106" s="1223"/>
      <c r="AI106" s="1223"/>
      <c r="AJ106" s="1223"/>
      <c r="AK106" s="1223"/>
      <c r="AL106" s="1849"/>
      <c r="AM106" s="1223"/>
      <c r="AN106" s="1223"/>
      <c r="AO106" s="1223"/>
      <c r="AP106" s="1223"/>
      <c r="AQ106" s="1849"/>
      <c r="AR106" s="1223"/>
      <c r="AS106" s="1223"/>
      <c r="AT106" s="1223"/>
      <c r="AU106" s="1223"/>
      <c r="AV106" s="1849"/>
      <c r="AW106" s="1223"/>
      <c r="AX106" s="1223"/>
      <c r="AY106" s="1223"/>
      <c r="AZ106" s="1223"/>
      <c r="BA106" s="1849"/>
      <c r="BB106" s="1223"/>
      <c r="BC106" s="1223"/>
      <c r="BD106" s="1223"/>
      <c r="BE106" s="1223"/>
      <c r="BF106" s="1849"/>
      <c r="BG106" s="1223"/>
      <c r="BH106" s="1223"/>
      <c r="BI106" s="1223"/>
      <c r="BJ106" s="1223"/>
      <c r="BK106" s="1849"/>
      <c r="BL106" s="1223"/>
      <c r="BM106" s="1223"/>
      <c r="BN106" s="1223"/>
      <c r="BO106" s="1223"/>
      <c r="BP106" s="1849"/>
      <c r="BQ106" s="1223"/>
      <c r="BR106" s="1223"/>
      <c r="BS106" s="1223"/>
      <c r="BT106" s="1223"/>
      <c r="BU106" s="1849"/>
      <c r="BV106" s="1223"/>
      <c r="BW106" s="1223"/>
      <c r="BX106" s="1223"/>
      <c r="BY106" s="1223"/>
      <c r="BZ106" s="1849"/>
      <c r="CA106" s="1223"/>
      <c r="CB106" s="1223"/>
      <c r="CC106" s="1223"/>
      <c r="CD106" s="2279"/>
      <c r="CE106" s="1849"/>
      <c r="CF106" s="1223"/>
      <c r="CG106" s="1223"/>
      <c r="CH106" s="1223"/>
      <c r="CI106" s="1223"/>
      <c r="CJ106" s="1849"/>
      <c r="CK106" s="1223"/>
      <c r="CL106" s="1223"/>
      <c r="CM106" s="1223"/>
      <c r="CN106" s="2279"/>
      <c r="CO106" s="1849"/>
      <c r="CP106" s="1223"/>
      <c r="CQ106" s="1223"/>
      <c r="CR106" s="3678"/>
      <c r="CS106" s="3678"/>
      <c r="CT106" s="3679"/>
      <c r="CU106" s="3680"/>
      <c r="CV106" s="3680"/>
      <c r="CW106" s="3680"/>
      <c r="CX106" s="3680"/>
      <c r="CY106" s="3679"/>
      <c r="CZ106" s="3622"/>
      <c r="DA106" s="3621"/>
      <c r="DB106" s="374"/>
      <c r="DC106" s="374"/>
      <c r="DD106" s="3341"/>
      <c r="DE106" s="1849"/>
      <c r="DF106" s="1849"/>
      <c r="DG106" s="1849"/>
      <c r="DH106" s="1849"/>
      <c r="DI106" s="1849"/>
      <c r="DJ106" s="1849"/>
      <c r="DK106" s="1849"/>
      <c r="DL106" s="1849"/>
      <c r="DM106" s="1849"/>
      <c r="DN106" s="1849"/>
      <c r="DO106" s="1849"/>
      <c r="DP106" s="1849"/>
      <c r="DQ106" s="1849"/>
      <c r="DR106" s="1849"/>
      <c r="DS106" s="1849"/>
      <c r="DT106" s="1849"/>
      <c r="DU106" s="1849"/>
      <c r="DV106" s="1849"/>
      <c r="DW106" s="1849"/>
      <c r="DX106" s="1849"/>
      <c r="DY106" s="1849"/>
      <c r="EA106"/>
      <c r="EB106"/>
      <c r="EC106"/>
      <c r="ED106"/>
      <c r="EE106"/>
      <c r="EF106"/>
      <c r="EJ106"/>
      <c r="EK106"/>
      <c r="EL106"/>
      <c r="ER106" s="212"/>
    </row>
    <row r="107" spans="1:148" s="1703" customFormat="1" ht="12.75" hidden="1" customHeight="1" outlineLevel="1" x14ac:dyDescent="0.2">
      <c r="A107" s="1987" t="s">
        <v>1622</v>
      </c>
      <c r="B107" s="2006"/>
      <c r="C107" s="2006"/>
      <c r="D107" s="2006"/>
      <c r="E107" s="2006"/>
      <c r="F107" s="2006"/>
      <c r="G107" s="2006"/>
      <c r="H107" s="2006"/>
      <c r="I107" s="2006"/>
      <c r="J107" s="2006"/>
      <c r="K107" s="2006"/>
      <c r="L107" s="2006"/>
      <c r="M107" s="2432"/>
      <c r="N107" s="2006"/>
      <c r="O107" s="2006"/>
      <c r="P107" s="2006"/>
      <c r="Q107" s="2006"/>
      <c r="R107" s="2432"/>
      <c r="S107" s="2006"/>
      <c r="T107" s="2006"/>
      <c r="U107" s="2006"/>
      <c r="V107" s="2006"/>
      <c r="W107" s="2432"/>
      <c r="X107" s="2006"/>
      <c r="Y107" s="2006"/>
      <c r="Z107" s="2006"/>
      <c r="AA107" s="2006"/>
      <c r="AB107" s="2432"/>
      <c r="AC107" s="2006"/>
      <c r="AD107" s="2006"/>
      <c r="AE107" s="2006"/>
      <c r="AF107" s="2006"/>
      <c r="AG107" s="2432"/>
      <c r="AH107" s="2006"/>
      <c r="AI107" s="2006"/>
      <c r="AJ107" s="2006"/>
      <c r="AK107" s="2006"/>
      <c r="AL107" s="2432"/>
      <c r="AM107" s="2006"/>
      <c r="AN107" s="2006"/>
      <c r="AO107" s="2006"/>
      <c r="AP107" s="2006"/>
      <c r="AQ107" s="2432"/>
      <c r="AR107" s="2006"/>
      <c r="AS107" s="2006"/>
      <c r="AT107" s="2006"/>
      <c r="AU107" s="2006"/>
      <c r="AV107" s="2432"/>
      <c r="AW107" s="2006"/>
      <c r="AX107" s="2006"/>
      <c r="AY107" s="2006"/>
      <c r="AZ107" s="2006"/>
      <c r="BA107" s="2432"/>
      <c r="BB107" s="2006"/>
      <c r="BC107" s="2006"/>
      <c r="BD107" s="2006"/>
      <c r="BE107" s="2006"/>
      <c r="BF107" s="2432"/>
      <c r="BG107" s="2006">
        <v>187</v>
      </c>
      <c r="BH107" s="2006">
        <v>239</v>
      </c>
      <c r="BI107" s="2006">
        <v>177</v>
      </c>
      <c r="BJ107" s="2006">
        <v>282</v>
      </c>
      <c r="BK107" s="2432">
        <f>+SUM(BG107:BJ107)</f>
        <v>885</v>
      </c>
      <c r="BL107" s="2006">
        <v>197</v>
      </c>
      <c r="BM107" s="2006">
        <v>256</v>
      </c>
      <c r="BN107" s="2006">
        <v>223</v>
      </c>
      <c r="BO107" s="2006">
        <v>316</v>
      </c>
      <c r="BP107" s="2432">
        <f>+SUM(BL107:BO107)</f>
        <v>992</v>
      </c>
      <c r="BQ107" s="2006">
        <v>215</v>
      </c>
      <c r="BR107" s="2006">
        <v>289</v>
      </c>
      <c r="BS107" s="2006">
        <v>284</v>
      </c>
      <c r="BT107" s="2006">
        <v>358</v>
      </c>
      <c r="BU107" s="2432">
        <f>+SUM(BQ107:BT107)</f>
        <v>1146</v>
      </c>
      <c r="BV107" s="2006">
        <v>268</v>
      </c>
      <c r="BW107" s="2006">
        <v>329</v>
      </c>
      <c r="BX107" s="2006">
        <v>289</v>
      </c>
      <c r="BY107" s="2006">
        <v>283</v>
      </c>
      <c r="BZ107" s="1379">
        <f>+SUM(BV107:BY107)</f>
        <v>1169</v>
      </c>
      <c r="CA107" s="2006">
        <v>314</v>
      </c>
      <c r="CB107" s="2006">
        <v>379</v>
      </c>
      <c r="CC107" s="2659">
        <f t="shared" ref="CC107:CJ107" si="316">+CC98-CC95-CC94-CC93-CC92</f>
        <v>352</v>
      </c>
      <c r="CD107" s="2431">
        <f t="shared" si="316"/>
        <v>340</v>
      </c>
      <c r="CE107" s="2432">
        <f t="shared" si="316"/>
        <v>1351</v>
      </c>
      <c r="CF107" s="2659">
        <f t="shared" si="316"/>
        <v>387</v>
      </c>
      <c r="CG107" s="2659">
        <f t="shared" si="316"/>
        <v>410</v>
      </c>
      <c r="CH107" s="2430">
        <f t="shared" si="316"/>
        <v>383</v>
      </c>
      <c r="CI107" s="2431">
        <f t="shared" si="316"/>
        <v>355</v>
      </c>
      <c r="CJ107" s="2432">
        <f t="shared" si="316"/>
        <v>1535</v>
      </c>
      <c r="CK107" s="2430">
        <f>+CK98-CK95-CK94-CK93-CK92</f>
        <v>412</v>
      </c>
      <c r="CL107" s="2430">
        <f>+CL98-CL95-CL94-CL93-CL92</f>
        <v>445</v>
      </c>
      <c r="CM107" s="2430">
        <f>+CM98-CM95-CM94-CM93-CM92</f>
        <v>418</v>
      </c>
      <c r="CN107" s="2431">
        <f>+CN98-CN95-CN94-CN93-CN92</f>
        <v>665</v>
      </c>
      <c r="CO107" s="2432">
        <f>+CO98-CO95-CO94-CO93-CO92</f>
        <v>1894</v>
      </c>
      <c r="CP107" s="2430"/>
      <c r="CQ107" s="2659"/>
      <c r="CR107" s="2659"/>
      <c r="CS107" s="2659"/>
      <c r="CT107" s="3681"/>
      <c r="CU107" s="2659"/>
      <c r="CV107" s="2659"/>
      <c r="CW107" s="2659"/>
      <c r="CX107" s="2659"/>
      <c r="CY107" s="3682"/>
      <c r="CZ107" s="3366"/>
      <c r="DA107" s="2408"/>
      <c r="DB107" s="374"/>
      <c r="DC107" s="374"/>
      <c r="DD107" s="2376"/>
      <c r="DE107" s="2286"/>
      <c r="DF107" s="2286"/>
      <c r="DG107" s="2286"/>
      <c r="DH107" s="2286"/>
      <c r="DI107" s="2286"/>
      <c r="DJ107" s="2286"/>
      <c r="DK107" s="2286"/>
      <c r="DL107" s="2286"/>
      <c r="DM107" s="2286"/>
      <c r="DN107" s="2286"/>
      <c r="DO107" s="2286"/>
      <c r="DP107" s="2286"/>
      <c r="DQ107" s="2286"/>
      <c r="DR107" s="2286"/>
      <c r="DS107" s="2286"/>
      <c r="DT107" s="2286"/>
      <c r="DU107" s="2286"/>
      <c r="DV107" s="2286"/>
      <c r="DW107" s="2286"/>
      <c r="DX107" s="2286"/>
      <c r="DY107" s="2286"/>
      <c r="EA107"/>
      <c r="EB107"/>
      <c r="EC107"/>
      <c r="ED107"/>
      <c r="EE107"/>
      <c r="EF107"/>
      <c r="EG107" s="1466"/>
      <c r="EH107" s="1466"/>
      <c r="EI107" s="1466"/>
      <c r="EJ107"/>
      <c r="EK107"/>
      <c r="EL107"/>
      <c r="EM107" s="1466"/>
      <c r="EN107" s="1466"/>
      <c r="EO107" s="1466"/>
      <c r="EP107" s="1466"/>
      <c r="EQ107" s="1466"/>
      <c r="ER107" s="234"/>
    </row>
    <row r="108" spans="1:148" s="929" customFormat="1" collapsed="1" x14ac:dyDescent="0.2">
      <c r="A108" s="1964" t="s">
        <v>1782</v>
      </c>
      <c r="B108" s="1965"/>
      <c r="C108" s="1965"/>
      <c r="D108" s="1965"/>
      <c r="E108" s="1965"/>
      <c r="F108" s="1965"/>
      <c r="G108" s="1965"/>
      <c r="H108" s="1965"/>
      <c r="I108" s="1965" t="s">
        <v>673</v>
      </c>
      <c r="J108" s="1965" t="s">
        <v>673</v>
      </c>
      <c r="K108" s="1965" t="s">
        <v>673</v>
      </c>
      <c r="L108" s="1965" t="s">
        <v>673</v>
      </c>
      <c r="M108" s="2425" t="s">
        <v>673</v>
      </c>
      <c r="N108" s="1965" t="s">
        <v>673</v>
      </c>
      <c r="O108" s="1965" t="s">
        <v>673</v>
      </c>
      <c r="P108" s="1965" t="s">
        <v>673</v>
      </c>
      <c r="Q108" s="1965" t="s">
        <v>673</v>
      </c>
      <c r="R108" s="2425" t="s">
        <v>673</v>
      </c>
      <c r="S108" s="1965" t="s">
        <v>673</v>
      </c>
      <c r="T108" s="1965" t="s">
        <v>673</v>
      </c>
      <c r="U108" s="1965" t="s">
        <v>673</v>
      </c>
      <c r="V108" s="1965" t="s">
        <v>673</v>
      </c>
      <c r="W108" s="2425" t="s">
        <v>673</v>
      </c>
      <c r="X108" s="1965" t="s">
        <v>673</v>
      </c>
      <c r="Y108" s="1965" t="s">
        <v>673</v>
      </c>
      <c r="Z108" s="1965" t="s">
        <v>673</v>
      </c>
      <c r="AA108" s="1965" t="s">
        <v>673</v>
      </c>
      <c r="AB108" s="2425" t="s">
        <v>673</v>
      </c>
      <c r="AC108" s="1965" t="s">
        <v>673</v>
      </c>
      <c r="AD108" s="1965" t="s">
        <v>673</v>
      </c>
      <c r="AE108" s="1965" t="s">
        <v>673</v>
      </c>
      <c r="AF108" s="1965" t="s">
        <v>673</v>
      </c>
      <c r="AG108" s="2425" t="s">
        <v>673</v>
      </c>
      <c r="AH108" s="1965" t="s">
        <v>673</v>
      </c>
      <c r="AI108" s="1965" t="s">
        <v>673</v>
      </c>
      <c r="AJ108" s="1965" t="s">
        <v>673</v>
      </c>
      <c r="AK108" s="1965" t="s">
        <v>673</v>
      </c>
      <c r="AL108" s="2425" t="s">
        <v>673</v>
      </c>
      <c r="AM108" s="1965" t="s">
        <v>673</v>
      </c>
      <c r="AN108" s="1965" t="s">
        <v>673</v>
      </c>
      <c r="AO108" s="1965" t="s">
        <v>673</v>
      </c>
      <c r="AP108" s="1965" t="s">
        <v>673</v>
      </c>
      <c r="AQ108" s="2425" t="s">
        <v>673</v>
      </c>
      <c r="AR108" s="1965" t="s">
        <v>673</v>
      </c>
      <c r="AS108" s="1965" t="s">
        <v>673</v>
      </c>
      <c r="AT108" s="1965" t="s">
        <v>673</v>
      </c>
      <c r="AU108" s="1965" t="s">
        <v>673</v>
      </c>
      <c r="AV108" s="2425" t="s">
        <v>673</v>
      </c>
      <c r="AW108" s="1965" t="s">
        <v>673</v>
      </c>
      <c r="AX108" s="1965" t="s">
        <v>673</v>
      </c>
      <c r="AY108" s="1965" t="s">
        <v>673</v>
      </c>
      <c r="AZ108" s="1965" t="s">
        <v>673</v>
      </c>
      <c r="BA108" s="2425" t="s">
        <v>673</v>
      </c>
      <c r="BB108" s="1965" t="s">
        <v>673</v>
      </c>
      <c r="BC108" s="1965" t="s">
        <v>673</v>
      </c>
      <c r="BD108" s="1965" t="s">
        <v>673</v>
      </c>
      <c r="BE108" s="1965" t="s">
        <v>673</v>
      </c>
      <c r="BF108" s="2425" t="s">
        <v>673</v>
      </c>
      <c r="BG108" s="1965" t="s">
        <v>673</v>
      </c>
      <c r="BH108" s="1965" t="s">
        <v>673</v>
      </c>
      <c r="BI108" s="1965" t="s">
        <v>673</v>
      </c>
      <c r="BJ108" s="1965" t="s">
        <v>673</v>
      </c>
      <c r="BK108" s="2425" t="s">
        <v>109</v>
      </c>
      <c r="BL108" s="1965" t="s">
        <v>673</v>
      </c>
      <c r="BM108" s="1965" t="s">
        <v>673</v>
      </c>
      <c r="BN108" s="1965" t="s">
        <v>673</v>
      </c>
      <c r="BO108" s="1965" t="s">
        <v>673</v>
      </c>
      <c r="BP108" s="2425" t="s">
        <v>113</v>
      </c>
      <c r="BQ108" s="1965"/>
      <c r="BR108" s="1965"/>
      <c r="BS108" s="1965"/>
      <c r="BT108" s="1965"/>
      <c r="BU108" s="2425" t="s">
        <v>112</v>
      </c>
      <c r="BV108" s="1965"/>
      <c r="BW108" s="1965"/>
      <c r="BX108" s="1965"/>
      <c r="BY108" s="1966" t="s">
        <v>1415</v>
      </c>
      <c r="BZ108" s="1917" t="s">
        <v>1414</v>
      </c>
      <c r="CA108" s="1965"/>
      <c r="CB108" s="1965"/>
      <c r="CC108" s="1965"/>
      <c r="CD108" s="1965"/>
      <c r="CE108" s="2425" t="s">
        <v>2283</v>
      </c>
      <c r="CF108" s="1965"/>
      <c r="CG108" s="1965"/>
      <c r="CH108" s="1965"/>
      <c r="CI108" s="1965"/>
      <c r="CJ108" s="2425" t="s">
        <v>2339</v>
      </c>
      <c r="CK108" s="1965"/>
      <c r="CL108" s="2984" t="s">
        <v>2421</v>
      </c>
      <c r="CM108" s="2984" t="s">
        <v>2445</v>
      </c>
      <c r="CN108" s="2984"/>
      <c r="CO108" s="2425"/>
      <c r="CP108" s="2984"/>
      <c r="CQ108" s="3498" t="s">
        <v>2785</v>
      </c>
      <c r="CR108" s="3637" t="s">
        <v>2876</v>
      </c>
      <c r="CS108" s="3637" t="s">
        <v>2904</v>
      </c>
      <c r="CT108" s="2425" t="s">
        <v>2905</v>
      </c>
      <c r="CU108" s="2984"/>
      <c r="CV108" s="3498"/>
      <c r="CW108" s="3637"/>
      <c r="CX108" s="3637"/>
      <c r="CY108" s="2425" t="s">
        <v>2949</v>
      </c>
      <c r="CZ108" s="3428" t="s">
        <v>2698</v>
      </c>
      <c r="DA108" s="1918"/>
      <c r="DB108" s="374"/>
      <c r="DC108" s="374"/>
      <c r="DD108" s="3344" t="s">
        <v>1782</v>
      </c>
      <c r="DE108" s="1918" t="str">
        <f t="shared" si="262"/>
        <v>ND</v>
      </c>
      <c r="DF108" s="1918" t="str">
        <f t="shared" si="263"/>
        <v>ND</v>
      </c>
      <c r="DG108" s="1918" t="str">
        <f t="shared" si="264"/>
        <v>ND</v>
      </c>
      <c r="DH108" s="1918" t="str">
        <f t="shared" si="265"/>
        <v>ND</v>
      </c>
      <c r="DI108" s="1918" t="str">
        <f t="shared" si="266"/>
        <v>ND</v>
      </c>
      <c r="DJ108" s="1918" t="str">
        <f t="shared" si="267"/>
        <v>ND</v>
      </c>
      <c r="DK108" s="1918" t="str">
        <f t="shared" si="268"/>
        <v>ND</v>
      </c>
      <c r="DL108" s="1918" t="str">
        <f t="shared" si="269"/>
        <v>ND</v>
      </c>
      <c r="DM108" s="1918" t="str">
        <f t="shared" si="270"/>
        <v>ND</v>
      </c>
      <c r="DN108" s="1918" t="str">
        <f t="shared" si="271"/>
        <v>ND</v>
      </c>
      <c r="DO108" s="1918" t="str">
        <f t="shared" si="272"/>
        <v>$910-970</v>
      </c>
      <c r="DP108" s="1918" t="str">
        <f t="shared" si="273"/>
        <v>$1170-1230</v>
      </c>
      <c r="DQ108" s="1918" t="str">
        <f t="shared" si="274"/>
        <v>$1129-1149</v>
      </c>
      <c r="DR108" s="1918" t="str">
        <f t="shared" si="275"/>
        <v>$1173-1188</v>
      </c>
      <c r="DS108" s="1918" t="str">
        <f t="shared" si="276"/>
        <v>$1507-1522</v>
      </c>
      <c r="DT108" s="1918" t="str">
        <f t="shared" si="277"/>
        <v>$1729-1749</v>
      </c>
      <c r="DU108" s="1918">
        <f t="shared" si="278"/>
        <v>0</v>
      </c>
      <c r="DV108" s="1918" t="str">
        <f t="shared" si="279"/>
        <v>$3,177-3,192m</v>
      </c>
      <c r="DW108" s="1918" t="str">
        <f t="shared" si="280"/>
        <v>$3,315-3,420m</v>
      </c>
      <c r="DX108" s="1918" t="str">
        <f t="shared" si="281"/>
        <v>$3,505-3,735m</v>
      </c>
      <c r="DY108" s="1918">
        <f t="shared" si="282"/>
        <v>0</v>
      </c>
      <c r="DZ108" s="549"/>
      <c r="EA108"/>
      <c r="EB108"/>
      <c r="EC108"/>
      <c r="ED108"/>
      <c r="EE108"/>
      <c r="EF108"/>
      <c r="EJ108"/>
      <c r="EK108"/>
      <c r="EL108"/>
      <c r="ER108" s="732"/>
    </row>
    <row r="109" spans="1:148" s="929" customFormat="1" collapsed="1" x14ac:dyDescent="0.2">
      <c r="A109" s="1964" t="s">
        <v>2391</v>
      </c>
      <c r="B109" s="1965"/>
      <c r="C109" s="1965"/>
      <c r="D109" s="1965"/>
      <c r="E109" s="1965"/>
      <c r="F109" s="1965"/>
      <c r="G109" s="1965"/>
      <c r="H109" s="1965"/>
      <c r="I109" s="1965"/>
      <c r="J109" s="1965"/>
      <c r="K109" s="1965"/>
      <c r="L109" s="1965"/>
      <c r="M109" s="2425"/>
      <c r="N109" s="1965"/>
      <c r="O109" s="1965"/>
      <c r="P109" s="1965"/>
      <c r="Q109" s="1965"/>
      <c r="R109" s="2425"/>
      <c r="S109" s="1965"/>
      <c r="T109" s="1965"/>
      <c r="U109" s="1965"/>
      <c r="V109" s="1965"/>
      <c r="W109" s="2425"/>
      <c r="X109" s="1965"/>
      <c r="Y109" s="1965"/>
      <c r="Z109" s="1965"/>
      <c r="AA109" s="1965"/>
      <c r="AB109" s="2425"/>
      <c r="AC109" s="1965"/>
      <c r="AD109" s="1965"/>
      <c r="AE109" s="1965"/>
      <c r="AF109" s="1965"/>
      <c r="AG109" s="2425"/>
      <c r="AH109" s="1965"/>
      <c r="AI109" s="1965"/>
      <c r="AJ109" s="1965"/>
      <c r="AK109" s="1965"/>
      <c r="AL109" s="2425"/>
      <c r="AM109" s="1965"/>
      <c r="AN109" s="1965"/>
      <c r="AO109" s="1965"/>
      <c r="AP109" s="1965"/>
      <c r="AQ109" s="2425"/>
      <c r="AR109" s="1965"/>
      <c r="AS109" s="1965"/>
      <c r="AT109" s="1965"/>
      <c r="AU109" s="1965"/>
      <c r="AV109" s="2425"/>
      <c r="AW109" s="1965"/>
      <c r="AX109" s="1965"/>
      <c r="AY109" s="1965"/>
      <c r="AZ109" s="1965"/>
      <c r="BA109" s="2425"/>
      <c r="BB109" s="1965"/>
      <c r="BC109" s="1965"/>
      <c r="BD109" s="1965"/>
      <c r="BE109" s="1965"/>
      <c r="BF109" s="2425"/>
      <c r="BG109" s="1965"/>
      <c r="BH109" s="1965"/>
      <c r="BI109" s="1965"/>
      <c r="BJ109" s="1965"/>
      <c r="BK109" s="2425"/>
      <c r="BL109" s="1965"/>
      <c r="BM109" s="1965"/>
      <c r="BN109" s="1965"/>
      <c r="BO109" s="1965"/>
      <c r="BP109" s="2425"/>
      <c r="BQ109" s="1965"/>
      <c r="BR109" s="1965"/>
      <c r="BS109" s="1965"/>
      <c r="BT109" s="1965"/>
      <c r="BU109" s="2425"/>
      <c r="BV109" s="1965"/>
      <c r="BW109" s="1965"/>
      <c r="BX109" s="1965"/>
      <c r="BY109" s="1966"/>
      <c r="BZ109" s="1917"/>
      <c r="CA109" s="1965"/>
      <c r="CB109" s="1965"/>
      <c r="CC109" s="1965"/>
      <c r="CD109" s="1965"/>
      <c r="CE109" s="2425"/>
      <c r="CF109" s="1965"/>
      <c r="CG109" s="1965"/>
      <c r="CH109" s="1965"/>
      <c r="CI109" s="1965"/>
      <c r="CJ109" s="2425"/>
      <c r="CK109" s="1965"/>
      <c r="CL109" s="1965"/>
      <c r="CM109" s="1965"/>
      <c r="CN109" s="1965"/>
      <c r="CO109" s="3424">
        <v>1962</v>
      </c>
      <c r="CP109" s="1965"/>
      <c r="CQ109" s="3683"/>
      <c r="CR109" s="3684"/>
      <c r="CS109" s="3683"/>
      <c r="CT109" s="3424">
        <v>2192</v>
      </c>
      <c r="CU109" s="3683"/>
      <c r="CV109" s="1965"/>
      <c r="CW109" s="1965"/>
      <c r="CX109" s="1965"/>
      <c r="CY109" s="3424">
        <v>2436</v>
      </c>
      <c r="CZ109" s="3367"/>
      <c r="DA109" s="1918"/>
      <c r="DB109" s="374"/>
      <c r="DC109" s="374"/>
      <c r="DD109" s="3344" t="s">
        <v>2391</v>
      </c>
      <c r="DE109" s="1918">
        <f>M109</f>
        <v>0</v>
      </c>
      <c r="DF109" s="1918">
        <f>R109</f>
        <v>0</v>
      </c>
      <c r="DG109" s="1918">
        <f>W109</f>
        <v>0</v>
      </c>
      <c r="DH109" s="1918">
        <f>AB109</f>
        <v>0</v>
      </c>
      <c r="DI109" s="1918">
        <f>AG109</f>
        <v>0</v>
      </c>
      <c r="DJ109" s="1918">
        <f>AL109</f>
        <v>0</v>
      </c>
      <c r="DK109" s="1918">
        <f>AQ109</f>
        <v>0</v>
      </c>
      <c r="DL109" s="1918">
        <f>AV109</f>
        <v>0</v>
      </c>
      <c r="DM109" s="1918">
        <f>BA109</f>
        <v>0</v>
      </c>
      <c r="DN109" s="1918">
        <f>BF109</f>
        <v>0</v>
      </c>
      <c r="DO109" s="1918">
        <f>BK109</f>
        <v>0</v>
      </c>
      <c r="DP109" s="1918">
        <f>BP109</f>
        <v>0</v>
      </c>
      <c r="DQ109" s="1918">
        <f>BU109</f>
        <v>0</v>
      </c>
      <c r="DR109" s="1918">
        <f>BZ109</f>
        <v>0</v>
      </c>
      <c r="DS109" s="1918">
        <f>CE109</f>
        <v>0</v>
      </c>
      <c r="DT109" s="1918">
        <f>CJ109</f>
        <v>0</v>
      </c>
      <c r="DU109" s="1918">
        <f>CO109</f>
        <v>1962</v>
      </c>
      <c r="DV109" s="1918">
        <f>CT109</f>
        <v>2192</v>
      </c>
      <c r="DW109" s="1918">
        <f>CY109</f>
        <v>2436</v>
      </c>
      <c r="DX109" s="1918">
        <f>CZ109</f>
        <v>0</v>
      </c>
      <c r="DY109" s="1918">
        <f>DA109</f>
        <v>0</v>
      </c>
      <c r="DZ109" s="549"/>
      <c r="EA109"/>
      <c r="EB109"/>
      <c r="EC109"/>
      <c r="ED109"/>
      <c r="EE109"/>
      <c r="EF109"/>
      <c r="EJ109"/>
      <c r="EK109"/>
      <c r="EL109"/>
      <c r="ER109" s="732"/>
    </row>
    <row r="110" spans="1:148" customFormat="1" ht="12.75" customHeight="1" x14ac:dyDescent="0.2">
      <c r="A110" s="44"/>
      <c r="B110" s="374"/>
      <c r="C110" s="374"/>
      <c r="D110" s="374"/>
      <c r="E110" s="374"/>
      <c r="F110" s="374"/>
      <c r="G110" s="374"/>
      <c r="H110" s="374"/>
      <c r="I110" s="374"/>
      <c r="J110" s="374"/>
      <c r="K110" s="374"/>
      <c r="L110" s="374"/>
      <c r="M110" s="3553"/>
      <c r="N110" s="374"/>
      <c r="O110" s="374"/>
      <c r="P110" s="374"/>
      <c r="Q110" s="374"/>
      <c r="R110" s="3553"/>
      <c r="S110" s="374"/>
      <c r="T110" s="374"/>
      <c r="U110" s="374"/>
      <c r="V110" s="374"/>
      <c r="W110" s="3553"/>
      <c r="X110" s="374"/>
      <c r="Y110" s="374"/>
      <c r="Z110" s="374"/>
      <c r="AA110" s="374"/>
      <c r="AB110" s="3553"/>
      <c r="AC110" s="374"/>
      <c r="AD110" s="374"/>
      <c r="AE110" s="374"/>
      <c r="AF110" s="374"/>
      <c r="AG110" s="3553"/>
      <c r="AH110" s="374"/>
      <c r="AI110" s="374"/>
      <c r="AJ110" s="374"/>
      <c r="AK110" s="374"/>
      <c r="AL110" s="3553"/>
      <c r="AM110" s="374"/>
      <c r="AN110" s="374"/>
      <c r="AO110" s="374"/>
      <c r="AP110" s="374"/>
      <c r="AQ110" s="3553"/>
      <c r="AR110" s="374"/>
      <c r="AS110" s="374"/>
      <c r="AT110" s="374"/>
      <c r="AU110" s="374"/>
      <c r="AV110" s="3553"/>
      <c r="AW110" s="374"/>
      <c r="AX110" s="374"/>
      <c r="AY110" s="374"/>
      <c r="AZ110" s="374"/>
      <c r="BA110" s="3553"/>
      <c r="BB110" s="374"/>
      <c r="BC110" s="374"/>
      <c r="BD110" s="374"/>
      <c r="BE110" s="374"/>
      <c r="BF110" s="3553"/>
      <c r="BG110" s="374"/>
      <c r="BH110" s="374"/>
      <c r="BI110" s="374"/>
      <c r="BJ110" s="374"/>
      <c r="BK110" s="3553"/>
      <c r="BL110" s="374"/>
      <c r="BM110" s="374"/>
      <c r="BN110" s="374"/>
      <c r="BO110" s="374"/>
      <c r="BP110" s="3553"/>
      <c r="BQ110" s="374"/>
      <c r="BR110" s="374"/>
      <c r="BS110" s="374"/>
      <c r="BT110" s="374"/>
      <c r="BU110" s="3553"/>
      <c r="BV110" s="374"/>
      <c r="BW110" s="374"/>
      <c r="BX110" s="374"/>
      <c r="BY110" s="374"/>
      <c r="BZ110" s="2278">
        <f>(BZ98/BZ58)/(AV98/AV58)-1</f>
        <v>6.6545426052493362E-2</v>
      </c>
      <c r="CA110" s="374"/>
      <c r="CB110" s="374"/>
      <c r="CC110" s="374"/>
      <c r="CD110" s="374"/>
      <c r="CE110" s="3553"/>
      <c r="CF110" s="374"/>
      <c r="CG110" s="374"/>
      <c r="CH110" s="374"/>
      <c r="CI110" s="374"/>
      <c r="CJ110" s="3553"/>
      <c r="CK110" s="374"/>
      <c r="CL110" s="374"/>
      <c r="CM110" s="374"/>
      <c r="CN110" s="3553"/>
      <c r="CO110" s="374"/>
      <c r="CP110" s="374"/>
      <c r="CQ110" s="3683"/>
      <c r="CR110" s="3684"/>
      <c r="CS110" s="3685"/>
      <c r="CT110" s="3685"/>
      <c r="CU110" s="3685"/>
      <c r="CV110" s="3685"/>
      <c r="CW110" s="1201"/>
      <c r="CX110" s="1201"/>
      <c r="CY110" s="1201"/>
      <c r="CZ110" s="374"/>
      <c r="DA110" s="1811"/>
      <c r="DB110" s="374"/>
      <c r="DC110" s="374"/>
      <c r="DD110" s="662"/>
      <c r="DE110" s="662"/>
      <c r="DF110" s="662"/>
      <c r="DG110" s="662"/>
      <c r="DH110" s="662"/>
      <c r="DI110" s="662"/>
      <c r="DJ110" s="662"/>
      <c r="DK110" s="662"/>
      <c r="DL110" s="662"/>
      <c r="DM110" s="662"/>
      <c r="DN110" s="662"/>
      <c r="DO110" s="662"/>
      <c r="DP110" s="662"/>
      <c r="DQ110" s="662"/>
      <c r="DR110" s="662"/>
      <c r="DS110" s="662"/>
      <c r="DT110" s="662"/>
      <c r="DU110" s="662"/>
      <c r="DV110" s="662"/>
      <c r="DW110" s="662"/>
      <c r="DX110" s="662"/>
      <c r="DY110" s="662"/>
    </row>
    <row r="111" spans="1:148" s="923" customFormat="1" x14ac:dyDescent="0.2">
      <c r="A111" s="873" t="s">
        <v>738</v>
      </c>
      <c r="B111" s="963"/>
      <c r="C111" s="963"/>
      <c r="D111" s="963"/>
      <c r="E111" s="963"/>
      <c r="F111" s="963"/>
      <c r="G111" s="963"/>
      <c r="H111" s="963"/>
      <c r="I111" s="963" t="str">
        <f t="shared" ref="I111:BT111" si="317">I$5</f>
        <v>1Q00</v>
      </c>
      <c r="J111" s="963" t="str">
        <f t="shared" si="317"/>
        <v>2Q00</v>
      </c>
      <c r="K111" s="963" t="str">
        <f t="shared" si="317"/>
        <v>3Q00</v>
      </c>
      <c r="L111" s="963" t="str">
        <f t="shared" si="317"/>
        <v>4Q00</v>
      </c>
      <c r="M111" s="649">
        <f t="shared" si="317"/>
        <v>2000</v>
      </c>
      <c r="N111" s="963" t="str">
        <f t="shared" si="317"/>
        <v>1Q01</v>
      </c>
      <c r="O111" s="963" t="str">
        <f t="shared" si="317"/>
        <v>2Q01</v>
      </c>
      <c r="P111" s="963" t="str">
        <f t="shared" si="317"/>
        <v>3Q01</v>
      </c>
      <c r="Q111" s="963" t="str">
        <f t="shared" si="317"/>
        <v>4Q01</v>
      </c>
      <c r="R111" s="649">
        <f t="shared" si="317"/>
        <v>2001</v>
      </c>
      <c r="S111" s="963" t="str">
        <f t="shared" si="317"/>
        <v>1Q02</v>
      </c>
      <c r="T111" s="963" t="str">
        <f t="shared" si="317"/>
        <v>2Q02</v>
      </c>
      <c r="U111" s="963" t="str">
        <f t="shared" si="317"/>
        <v>3Q02</v>
      </c>
      <c r="V111" s="963" t="str">
        <f t="shared" si="317"/>
        <v>4Q02</v>
      </c>
      <c r="W111" s="649">
        <f t="shared" si="317"/>
        <v>2002</v>
      </c>
      <c r="X111" s="963" t="str">
        <f t="shared" si="317"/>
        <v>1Q03</v>
      </c>
      <c r="Y111" s="963" t="str">
        <f t="shared" si="317"/>
        <v>2Q03</v>
      </c>
      <c r="Z111" s="963" t="str">
        <f t="shared" si="317"/>
        <v>3Q03</v>
      </c>
      <c r="AA111" s="963" t="str">
        <f t="shared" si="317"/>
        <v>4Q03</v>
      </c>
      <c r="AB111" s="649">
        <f t="shared" si="317"/>
        <v>2003</v>
      </c>
      <c r="AC111" s="963" t="str">
        <f t="shared" si="317"/>
        <v>1Q04</v>
      </c>
      <c r="AD111" s="963" t="str">
        <f t="shared" si="317"/>
        <v>2Q04</v>
      </c>
      <c r="AE111" s="963" t="str">
        <f t="shared" si="317"/>
        <v>3Q04</v>
      </c>
      <c r="AF111" s="963" t="str">
        <f t="shared" si="317"/>
        <v>4Q04</v>
      </c>
      <c r="AG111" s="649" t="str">
        <f t="shared" si="317"/>
        <v>2004</v>
      </c>
      <c r="AH111" s="963" t="str">
        <f t="shared" si="317"/>
        <v>1Q05</v>
      </c>
      <c r="AI111" s="963" t="str">
        <f t="shared" si="317"/>
        <v>2Q05</v>
      </c>
      <c r="AJ111" s="963" t="str">
        <f t="shared" si="317"/>
        <v>3Q05</v>
      </c>
      <c r="AK111" s="963" t="str">
        <f t="shared" si="317"/>
        <v>4Q05</v>
      </c>
      <c r="AL111" s="649" t="str">
        <f t="shared" si="317"/>
        <v>2005</v>
      </c>
      <c r="AM111" s="963" t="str">
        <f t="shared" si="317"/>
        <v>1Q06</v>
      </c>
      <c r="AN111" s="963" t="str">
        <f t="shared" si="317"/>
        <v>2Q06</v>
      </c>
      <c r="AO111" s="963" t="str">
        <f t="shared" si="317"/>
        <v>3Q06</v>
      </c>
      <c r="AP111" s="963" t="str">
        <f t="shared" si="317"/>
        <v>4Q06</v>
      </c>
      <c r="AQ111" s="649" t="str">
        <f t="shared" si="317"/>
        <v>2006</v>
      </c>
      <c r="AR111" s="963" t="str">
        <f t="shared" si="317"/>
        <v>1Q07</v>
      </c>
      <c r="AS111" s="963" t="str">
        <f t="shared" si="317"/>
        <v>2Q07</v>
      </c>
      <c r="AT111" s="963" t="str">
        <f t="shared" si="317"/>
        <v>3Q07</v>
      </c>
      <c r="AU111" s="963" t="str">
        <f t="shared" si="317"/>
        <v>4Q07</v>
      </c>
      <c r="AV111" s="649" t="str">
        <f t="shared" si="317"/>
        <v>2007</v>
      </c>
      <c r="AW111" s="963" t="str">
        <f t="shared" si="317"/>
        <v>1Q08</v>
      </c>
      <c r="AX111" s="963" t="str">
        <f t="shared" si="317"/>
        <v>2Q08</v>
      </c>
      <c r="AY111" s="963" t="str">
        <f t="shared" si="317"/>
        <v>3Q08</v>
      </c>
      <c r="AZ111" s="963" t="str">
        <f t="shared" si="317"/>
        <v>4Q08</v>
      </c>
      <c r="BA111" s="649" t="str">
        <f t="shared" si="317"/>
        <v>2008</v>
      </c>
      <c r="BB111" s="963" t="str">
        <f t="shared" si="317"/>
        <v>1Q09</v>
      </c>
      <c r="BC111" s="963" t="str">
        <f t="shared" si="317"/>
        <v>2Q09</v>
      </c>
      <c r="BD111" s="963" t="str">
        <f t="shared" si="317"/>
        <v>3Q09</v>
      </c>
      <c r="BE111" s="963" t="str">
        <f t="shared" si="317"/>
        <v>4Q09</v>
      </c>
      <c r="BF111" s="649" t="str">
        <f t="shared" si="317"/>
        <v>2009</v>
      </c>
      <c r="BG111" s="963" t="str">
        <f t="shared" si="317"/>
        <v>1Q10</v>
      </c>
      <c r="BH111" s="963" t="str">
        <f t="shared" si="317"/>
        <v>2Q10</v>
      </c>
      <c r="BI111" s="963" t="str">
        <f t="shared" si="317"/>
        <v>3Q10</v>
      </c>
      <c r="BJ111" s="963" t="str">
        <f t="shared" si="317"/>
        <v>4Q10</v>
      </c>
      <c r="BK111" s="649" t="str">
        <f t="shared" si="317"/>
        <v>2010</v>
      </c>
      <c r="BL111" s="963" t="str">
        <f t="shared" si="317"/>
        <v>1Q11</v>
      </c>
      <c r="BM111" s="963" t="str">
        <f t="shared" si="317"/>
        <v>2Q11</v>
      </c>
      <c r="BN111" s="963" t="str">
        <f t="shared" si="317"/>
        <v>3Q11</v>
      </c>
      <c r="BO111" s="963" t="str">
        <f t="shared" si="317"/>
        <v>4Q11</v>
      </c>
      <c r="BP111" s="649">
        <f t="shared" si="317"/>
        <v>2011</v>
      </c>
      <c r="BQ111" s="963" t="str">
        <f t="shared" si="317"/>
        <v>1Q12</v>
      </c>
      <c r="BR111" s="963" t="str">
        <f t="shared" si="317"/>
        <v>2Q12</v>
      </c>
      <c r="BS111" s="963" t="str">
        <f t="shared" si="317"/>
        <v>3Q12</v>
      </c>
      <c r="BT111" s="963" t="str">
        <f t="shared" si="317"/>
        <v>4Q12</v>
      </c>
      <c r="BU111" s="649">
        <f>BU$5</f>
        <v>2012</v>
      </c>
      <c r="BV111" s="963" t="str">
        <f>BV$5</f>
        <v>1Q13</v>
      </c>
      <c r="BW111" s="963" t="str">
        <f t="shared" ref="BW111:DA111" si="318">BW$5</f>
        <v>2Q13</v>
      </c>
      <c r="BX111" s="963" t="str">
        <f t="shared" si="318"/>
        <v>3Q13</v>
      </c>
      <c r="BY111" s="963" t="str">
        <f t="shared" si="318"/>
        <v>4Q13</v>
      </c>
      <c r="BZ111" s="649">
        <f t="shared" si="318"/>
        <v>2013</v>
      </c>
      <c r="CA111" s="1768" t="str">
        <f t="shared" si="318"/>
        <v>1Q14</v>
      </c>
      <c r="CB111" s="963" t="str">
        <f t="shared" si="318"/>
        <v>2Q14</v>
      </c>
      <c r="CC111" s="963" t="str">
        <f t="shared" si="318"/>
        <v>3Q14</v>
      </c>
      <c r="CD111" s="964" t="str">
        <f t="shared" si="318"/>
        <v>4Q14</v>
      </c>
      <c r="CE111" s="649">
        <f t="shared" si="318"/>
        <v>2014</v>
      </c>
      <c r="CF111" s="1768" t="str">
        <f t="shared" si="318"/>
        <v>1Q15</v>
      </c>
      <c r="CG111" s="963" t="str">
        <f t="shared" si="318"/>
        <v>2Q15</v>
      </c>
      <c r="CH111" s="963" t="str">
        <f t="shared" si="318"/>
        <v>3Q15</v>
      </c>
      <c r="CI111" s="964" t="str">
        <f t="shared" si="318"/>
        <v>4Q15</v>
      </c>
      <c r="CJ111" s="649">
        <f t="shared" si="318"/>
        <v>2015</v>
      </c>
      <c r="CK111" s="963" t="str">
        <f t="shared" si="318"/>
        <v>1Q16</v>
      </c>
      <c r="CL111" s="963" t="str">
        <f t="shared" si="318"/>
        <v>2Q16</v>
      </c>
      <c r="CM111" s="963" t="str">
        <f t="shared" si="318"/>
        <v>3Q16</v>
      </c>
      <c r="CN111" s="964" t="str">
        <f t="shared" si="318"/>
        <v>4Q16</v>
      </c>
      <c r="CO111" s="649">
        <f t="shared" si="318"/>
        <v>2016</v>
      </c>
      <c r="CP111" s="963" t="str">
        <f t="shared" si="318"/>
        <v>1Q17</v>
      </c>
      <c r="CQ111" s="963" t="str">
        <f t="shared" si="318"/>
        <v>2Q17</v>
      </c>
      <c r="CR111" s="963" t="str">
        <f t="shared" si="318"/>
        <v>3Q17</v>
      </c>
      <c r="CS111" s="963" t="str">
        <f t="shared" si="318"/>
        <v>4Q17A</v>
      </c>
      <c r="CT111" s="649" t="str">
        <f t="shared" si="318"/>
        <v>2017A</v>
      </c>
      <c r="CU111" s="963" t="str">
        <f t="shared" si="318"/>
        <v>1Q18E</v>
      </c>
      <c r="CV111" s="963" t="str">
        <f t="shared" si="318"/>
        <v>2Q18E</v>
      </c>
      <c r="CW111" s="963" t="str">
        <f t="shared" si="318"/>
        <v>3Q18E</v>
      </c>
      <c r="CX111" s="963" t="str">
        <f t="shared" si="318"/>
        <v>4Q18E</v>
      </c>
      <c r="CY111" s="649" t="str">
        <f t="shared" si="318"/>
        <v>2018E</v>
      </c>
      <c r="CZ111" s="964" t="str">
        <f t="shared" si="318"/>
        <v>2019E</v>
      </c>
      <c r="DA111" s="649" t="str">
        <f t="shared" si="318"/>
        <v>2020E</v>
      </c>
      <c r="DB111" s="374"/>
      <c r="DC111"/>
      <c r="DD111" s="873" t="s">
        <v>738</v>
      </c>
      <c r="DE111" s="649">
        <f t="shared" ref="DE111:DE133" si="319">M111</f>
        <v>2000</v>
      </c>
      <c r="DF111" s="649">
        <f t="shared" ref="DF111:DF133" si="320">R111</f>
        <v>2001</v>
      </c>
      <c r="DG111" s="649">
        <f t="shared" ref="DG111:DG133" si="321">W111</f>
        <v>2002</v>
      </c>
      <c r="DH111" s="649">
        <f t="shared" ref="DH111:DH133" si="322">AB111</f>
        <v>2003</v>
      </c>
      <c r="DI111" s="649" t="str">
        <f t="shared" ref="DI111:DI133" si="323">AG111</f>
        <v>2004</v>
      </c>
      <c r="DJ111" s="649" t="str">
        <f t="shared" ref="DJ111:DJ133" si="324">AL111</f>
        <v>2005</v>
      </c>
      <c r="DK111" s="649" t="str">
        <f t="shared" ref="DK111:DK133" si="325">AQ111</f>
        <v>2006</v>
      </c>
      <c r="DL111" s="649" t="str">
        <f t="shared" ref="DL111:DL133" si="326">AV111</f>
        <v>2007</v>
      </c>
      <c r="DM111" s="649" t="str">
        <f t="shared" ref="DM111:DM133" si="327">BA111</f>
        <v>2008</v>
      </c>
      <c r="DN111" s="649" t="str">
        <f t="shared" ref="DN111:DN133" si="328">BF111</f>
        <v>2009</v>
      </c>
      <c r="DO111" s="649" t="str">
        <f t="shared" ref="DO111:DO133" si="329">BK111</f>
        <v>2010</v>
      </c>
      <c r="DP111" s="649">
        <f t="shared" ref="DP111:DP133" si="330">BP111</f>
        <v>2011</v>
      </c>
      <c r="DQ111" s="649">
        <f t="shared" ref="DQ111:DQ133" si="331">BU111</f>
        <v>2012</v>
      </c>
      <c r="DR111" s="649">
        <f t="shared" ref="DR111:DR133" si="332">BZ111</f>
        <v>2013</v>
      </c>
      <c r="DS111" s="649">
        <f t="shared" ref="DS111:DS133" si="333">CE111</f>
        <v>2014</v>
      </c>
      <c r="DT111" s="649">
        <f t="shared" ref="DT111:DT133" si="334">CJ111</f>
        <v>2015</v>
      </c>
      <c r="DU111" s="649">
        <f t="shared" ref="DU111:DU133" si="335">CO111</f>
        <v>2016</v>
      </c>
      <c r="DV111" s="649" t="str">
        <f t="shared" ref="DV111:DV133" si="336">CT111</f>
        <v>2017A</v>
      </c>
      <c r="DW111" s="649" t="str">
        <f t="shared" ref="DW111:DW133" si="337">CY111</f>
        <v>2018E</v>
      </c>
      <c r="DX111" s="649" t="str">
        <f t="shared" ref="DX111:DX133" si="338">CZ111</f>
        <v>2019E</v>
      </c>
      <c r="DY111" s="649" t="str">
        <f t="shared" ref="DY111:DY133" si="339">DA111</f>
        <v>2020E</v>
      </c>
      <c r="EA111"/>
      <c r="EB111"/>
      <c r="EC111"/>
      <c r="ED111"/>
      <c r="EE111"/>
      <c r="EF111"/>
      <c r="EG111" s="855"/>
      <c r="EH111" s="855"/>
      <c r="EI111" s="855"/>
      <c r="EJ111"/>
      <c r="EK111"/>
      <c r="EL111"/>
      <c r="EM111" s="855"/>
      <c r="EN111" s="855"/>
      <c r="EO111" s="855"/>
      <c r="EP111" s="855"/>
      <c r="EQ111" s="855"/>
      <c r="ER111" s="234"/>
    </row>
    <row r="112" spans="1:148" s="923" customFormat="1" ht="12.75" customHeight="1" x14ac:dyDescent="0.2">
      <c r="A112" s="507" t="s">
        <v>701</v>
      </c>
      <c r="B112" s="1378"/>
      <c r="C112" s="1378"/>
      <c r="D112" s="1378"/>
      <c r="E112" s="1378"/>
      <c r="F112" s="1378"/>
      <c r="G112" s="1378"/>
      <c r="H112" s="1378"/>
      <c r="I112" s="1378">
        <f t="shared" ref="I112:AN112" si="340">I51</f>
        <v>94</v>
      </c>
      <c r="J112" s="1378">
        <f t="shared" si="340"/>
        <v>126.00000000000001</v>
      </c>
      <c r="K112" s="1378">
        <f t="shared" si="340"/>
        <v>110</v>
      </c>
      <c r="L112" s="1378">
        <f t="shared" si="340"/>
        <v>149</v>
      </c>
      <c r="M112" s="965">
        <f t="shared" si="340"/>
        <v>479</v>
      </c>
      <c r="N112" s="1378">
        <f t="shared" si="340"/>
        <v>121.00000000000001</v>
      </c>
      <c r="O112" s="1378">
        <f t="shared" si="340"/>
        <v>130</v>
      </c>
      <c r="P112" s="1378">
        <f t="shared" si="340"/>
        <v>101.00000000000001</v>
      </c>
      <c r="Q112" s="1378">
        <f t="shared" si="340"/>
        <v>-115.99999999999999</v>
      </c>
      <c r="R112" s="965">
        <f t="shared" si="340"/>
        <v>236</v>
      </c>
      <c r="S112" s="1378">
        <f t="shared" si="340"/>
        <v>88</v>
      </c>
      <c r="T112" s="1378">
        <f t="shared" si="340"/>
        <v>172</v>
      </c>
      <c r="U112" s="1378">
        <f t="shared" si="340"/>
        <v>135</v>
      </c>
      <c r="V112" s="1378">
        <f t="shared" si="340"/>
        <v>16.000000000000004</v>
      </c>
      <c r="W112" s="965">
        <f t="shared" si="340"/>
        <v>411.00000000000006</v>
      </c>
      <c r="X112" s="1378">
        <f t="shared" si="340"/>
        <v>175</v>
      </c>
      <c r="Y112" s="1378">
        <f t="shared" si="340"/>
        <v>167</v>
      </c>
      <c r="Z112" s="1378">
        <f t="shared" si="340"/>
        <v>124</v>
      </c>
      <c r="AA112" s="1378">
        <f t="shared" si="340"/>
        <v>185</v>
      </c>
      <c r="AB112" s="965">
        <f t="shared" si="340"/>
        <v>651</v>
      </c>
      <c r="AC112" s="1378">
        <f t="shared" si="340"/>
        <v>142</v>
      </c>
      <c r="AD112" s="1378">
        <f t="shared" si="340"/>
        <v>166</v>
      </c>
      <c r="AE112" s="1378">
        <f t="shared" si="340"/>
        <v>139</v>
      </c>
      <c r="AF112" s="1378">
        <f t="shared" si="340"/>
        <v>207</v>
      </c>
      <c r="AG112" s="965">
        <f t="shared" si="340"/>
        <v>654</v>
      </c>
      <c r="AH112" s="1378">
        <f t="shared" si="340"/>
        <v>189</v>
      </c>
      <c r="AI112" s="1378">
        <f t="shared" si="340"/>
        <v>172</v>
      </c>
      <c r="AJ112" s="1378">
        <f t="shared" si="340"/>
        <v>137</v>
      </c>
      <c r="AK112" s="1378">
        <f t="shared" si="340"/>
        <v>237</v>
      </c>
      <c r="AL112" s="965">
        <f t="shared" si="340"/>
        <v>735</v>
      </c>
      <c r="AM112" s="1378">
        <f t="shared" si="340"/>
        <v>91</v>
      </c>
      <c r="AN112" s="1378">
        <f t="shared" si="340"/>
        <v>199</v>
      </c>
      <c r="AO112" s="1378">
        <f t="shared" ref="AO112:BT112" si="341">AO51</f>
        <v>139</v>
      </c>
      <c r="AP112" s="1378">
        <f t="shared" si="341"/>
        <v>272</v>
      </c>
      <c r="AQ112" s="965">
        <f t="shared" si="341"/>
        <v>701</v>
      </c>
      <c r="AR112" s="1378">
        <f t="shared" si="341"/>
        <v>236</v>
      </c>
      <c r="AS112" s="1378">
        <f t="shared" si="341"/>
        <v>274</v>
      </c>
      <c r="AT112" s="1378">
        <f t="shared" si="341"/>
        <v>163</v>
      </c>
      <c r="AU112" s="1378">
        <f t="shared" si="341"/>
        <v>176</v>
      </c>
      <c r="AV112" s="965">
        <f t="shared" si="341"/>
        <v>849</v>
      </c>
      <c r="AW112" s="1378">
        <f t="shared" si="341"/>
        <v>121</v>
      </c>
      <c r="AX112" s="1378">
        <f t="shared" si="341"/>
        <v>193</v>
      </c>
      <c r="AY112" s="1378">
        <f t="shared" si="341"/>
        <v>123</v>
      </c>
      <c r="AZ112" s="1378">
        <f t="shared" si="341"/>
        <v>60</v>
      </c>
      <c r="BA112" s="965">
        <f t="shared" si="341"/>
        <v>497</v>
      </c>
      <c r="BB112" s="1378">
        <f t="shared" si="341"/>
        <v>68</v>
      </c>
      <c r="BC112" s="1378">
        <f t="shared" si="341"/>
        <v>74</v>
      </c>
      <c r="BD112" s="1378">
        <f t="shared" si="341"/>
        <v>-187.8</v>
      </c>
      <c r="BE112" s="1378">
        <f t="shared" si="341"/>
        <v>125</v>
      </c>
      <c r="BF112" s="965">
        <f t="shared" si="341"/>
        <v>79.2</v>
      </c>
      <c r="BG112" s="1378">
        <f t="shared" si="341"/>
        <v>74</v>
      </c>
      <c r="BH112" s="1378">
        <f t="shared" si="341"/>
        <v>109</v>
      </c>
      <c r="BI112" s="1378">
        <f t="shared" si="341"/>
        <v>68</v>
      </c>
      <c r="BJ112" s="1378">
        <f t="shared" si="341"/>
        <v>135</v>
      </c>
      <c r="BK112" s="965">
        <f t="shared" si="341"/>
        <v>386</v>
      </c>
      <c r="BL112" s="1378">
        <f t="shared" si="341"/>
        <v>88</v>
      </c>
      <c r="BM112" s="1378">
        <f t="shared" si="341"/>
        <v>126</v>
      </c>
      <c r="BN112" s="1378">
        <f t="shared" si="341"/>
        <v>102</v>
      </c>
      <c r="BO112" s="1378">
        <f t="shared" si="341"/>
        <v>159</v>
      </c>
      <c r="BP112" s="965">
        <f t="shared" si="341"/>
        <v>475</v>
      </c>
      <c r="BQ112" s="1378">
        <f t="shared" si="341"/>
        <v>104</v>
      </c>
      <c r="BR112" s="1378">
        <f t="shared" si="341"/>
        <v>143</v>
      </c>
      <c r="BS112" s="1378">
        <f t="shared" si="341"/>
        <v>143</v>
      </c>
      <c r="BT112" s="1378">
        <f t="shared" si="341"/>
        <v>181</v>
      </c>
      <c r="BU112" s="965">
        <f t="shared" ref="BU112:CG112" si="342">BU51</f>
        <v>571</v>
      </c>
      <c r="BV112" s="1378">
        <f t="shared" si="342"/>
        <v>136</v>
      </c>
      <c r="BW112" s="1378">
        <f t="shared" si="342"/>
        <v>179</v>
      </c>
      <c r="BX112" s="1378">
        <f t="shared" si="342"/>
        <v>160</v>
      </c>
      <c r="BY112" s="1378">
        <f t="shared" si="342"/>
        <v>151</v>
      </c>
      <c r="BZ112" s="1379">
        <f t="shared" si="342"/>
        <v>626</v>
      </c>
      <c r="CA112" s="1378">
        <f t="shared" si="342"/>
        <v>172</v>
      </c>
      <c r="CB112" s="1378">
        <f t="shared" si="342"/>
        <v>192</v>
      </c>
      <c r="CC112" s="1378">
        <f t="shared" si="342"/>
        <v>192</v>
      </c>
      <c r="CD112" s="1779">
        <f t="shared" si="342"/>
        <v>197</v>
      </c>
      <c r="CE112" s="965">
        <f t="shared" si="342"/>
        <v>753</v>
      </c>
      <c r="CF112" s="1378">
        <f t="shared" si="342"/>
        <v>207</v>
      </c>
      <c r="CG112" s="1378">
        <f t="shared" si="342"/>
        <v>240</v>
      </c>
      <c r="CH112" s="1378">
        <f t="shared" ref="CH112:CQ112" si="343">CH51</f>
        <v>210</v>
      </c>
      <c r="CI112" s="1779">
        <f t="shared" si="343"/>
        <v>202</v>
      </c>
      <c r="CJ112" s="965">
        <f t="shared" si="343"/>
        <v>859</v>
      </c>
      <c r="CK112" s="1378">
        <f t="shared" si="343"/>
        <v>219</v>
      </c>
      <c r="CL112" s="1378">
        <f t="shared" si="343"/>
        <v>247</v>
      </c>
      <c r="CM112" s="1378">
        <f t="shared" si="343"/>
        <v>70</v>
      </c>
      <c r="CN112" s="1779">
        <f t="shared" si="343"/>
        <v>244</v>
      </c>
      <c r="CO112" s="965">
        <f t="shared" si="343"/>
        <v>780</v>
      </c>
      <c r="CP112" s="1378">
        <f t="shared" si="343"/>
        <v>365</v>
      </c>
      <c r="CQ112" s="1378">
        <f t="shared" si="343"/>
        <v>414</v>
      </c>
      <c r="CR112" s="1378">
        <f t="shared" ref="CR112:DA112" si="344">CR51</f>
        <v>392</v>
      </c>
      <c r="CS112" s="1378">
        <f t="shared" si="344"/>
        <v>201</v>
      </c>
      <c r="CT112" s="965">
        <f t="shared" si="344"/>
        <v>1372</v>
      </c>
      <c r="CU112" s="1378">
        <f t="shared" ca="1" si="344"/>
        <v>461.73080826505191</v>
      </c>
      <c r="CV112" s="1378">
        <f t="shared" ca="1" si="344"/>
        <v>494.56070535715492</v>
      </c>
      <c r="CW112" s="1378">
        <f t="shared" ca="1" si="344"/>
        <v>479.32938183700935</v>
      </c>
      <c r="CX112" s="1378">
        <f t="shared" ca="1" si="344"/>
        <v>500.72019912272799</v>
      </c>
      <c r="CY112" s="1379">
        <f ca="1">CY51</f>
        <v>1936.3410945819414</v>
      </c>
      <c r="CZ112" s="1779">
        <f t="shared" ca="1" si="344"/>
        <v>2184.704842895625</v>
      </c>
      <c r="DA112" s="1379">
        <f t="shared" ca="1" si="344"/>
        <v>2144.7824715792981</v>
      </c>
      <c r="DB112" s="2819"/>
      <c r="DC112"/>
      <c r="DD112" s="2295" t="s">
        <v>701</v>
      </c>
      <c r="DE112" s="2286">
        <f t="shared" si="319"/>
        <v>479</v>
      </c>
      <c r="DF112" s="2286">
        <f t="shared" si="320"/>
        <v>236</v>
      </c>
      <c r="DG112" s="2286">
        <f t="shared" si="321"/>
        <v>411.00000000000006</v>
      </c>
      <c r="DH112" s="2286">
        <f t="shared" si="322"/>
        <v>651</v>
      </c>
      <c r="DI112" s="2286">
        <f t="shared" si="323"/>
        <v>654</v>
      </c>
      <c r="DJ112" s="2286">
        <f t="shared" si="324"/>
        <v>735</v>
      </c>
      <c r="DK112" s="2286">
        <f t="shared" si="325"/>
        <v>701</v>
      </c>
      <c r="DL112" s="2286">
        <f t="shared" si="326"/>
        <v>849</v>
      </c>
      <c r="DM112" s="2286">
        <f t="shared" si="327"/>
        <v>497</v>
      </c>
      <c r="DN112" s="2286">
        <f t="shared" si="328"/>
        <v>79.2</v>
      </c>
      <c r="DO112" s="2286">
        <f t="shared" si="329"/>
        <v>386</v>
      </c>
      <c r="DP112" s="2286">
        <f t="shared" si="330"/>
        <v>475</v>
      </c>
      <c r="DQ112" s="2286">
        <f t="shared" si="331"/>
        <v>571</v>
      </c>
      <c r="DR112" s="2286">
        <f t="shared" si="332"/>
        <v>626</v>
      </c>
      <c r="DS112" s="2286">
        <f t="shared" si="333"/>
        <v>753</v>
      </c>
      <c r="DT112" s="2286">
        <f t="shared" si="334"/>
        <v>859</v>
      </c>
      <c r="DU112" s="2286">
        <f t="shared" si="335"/>
        <v>780</v>
      </c>
      <c r="DV112" s="2286">
        <f t="shared" si="336"/>
        <v>1372</v>
      </c>
      <c r="DW112" s="2286">
        <f t="shared" ca="1" si="337"/>
        <v>1936.3410945819414</v>
      </c>
      <c r="DX112" s="2286">
        <f t="shared" ca="1" si="338"/>
        <v>2184.704842895625</v>
      </c>
      <c r="DY112" s="2286">
        <f t="shared" ca="1" si="339"/>
        <v>2144.7824715792981</v>
      </c>
      <c r="EA112"/>
      <c r="EB112"/>
      <c r="EC112"/>
      <c r="ED112"/>
      <c r="EE112"/>
      <c r="EF112"/>
      <c r="EG112" s="855"/>
      <c r="EH112" s="855"/>
      <c r="EI112" s="855"/>
      <c r="EJ112"/>
      <c r="EK112"/>
      <c r="EL112"/>
      <c r="EM112" s="1703"/>
      <c r="EN112" s="855"/>
      <c r="EO112" s="855"/>
      <c r="EP112" s="855"/>
      <c r="EQ112" s="855"/>
      <c r="ER112" s="234"/>
    </row>
    <row r="113" spans="1:148" s="923" customFormat="1" x14ac:dyDescent="0.2">
      <c r="A113" s="1669" t="s">
        <v>1404</v>
      </c>
      <c r="B113" s="220"/>
      <c r="C113" s="220"/>
      <c r="D113" s="220"/>
      <c r="E113" s="220"/>
      <c r="F113" s="220"/>
      <c r="G113" s="220"/>
      <c r="H113" s="220"/>
      <c r="I113" s="220">
        <f t="shared" ref="I113:AN113" si="345">+I698</f>
        <v>33.153846153846153</v>
      </c>
      <c r="J113" s="220">
        <f t="shared" si="345"/>
        <v>38.153846153846153</v>
      </c>
      <c r="K113" s="220">
        <f t="shared" si="345"/>
        <v>39.153846153846153</v>
      </c>
      <c r="L113" s="220">
        <f t="shared" si="345"/>
        <v>50.53846153846154</v>
      </c>
      <c r="M113" s="965">
        <f t="shared" si="345"/>
        <v>161</v>
      </c>
      <c r="N113" s="220">
        <f t="shared" si="345"/>
        <v>35.615384615384613</v>
      </c>
      <c r="O113" s="220">
        <f t="shared" si="345"/>
        <v>39.615384615384613</v>
      </c>
      <c r="P113" s="220">
        <f t="shared" si="345"/>
        <v>40.615384615384613</v>
      </c>
      <c r="Q113" s="220">
        <f t="shared" si="345"/>
        <v>61.153846153846153</v>
      </c>
      <c r="R113" s="965">
        <f t="shared" si="345"/>
        <v>177</v>
      </c>
      <c r="S113" s="220">
        <f t="shared" si="345"/>
        <v>31.8</v>
      </c>
      <c r="T113" s="220">
        <f t="shared" si="345"/>
        <v>38.323076923076925</v>
      </c>
      <c r="U113" s="220">
        <f t="shared" si="345"/>
        <v>33.323076923076925</v>
      </c>
      <c r="V113" s="220">
        <f t="shared" si="345"/>
        <v>46.707692307692305</v>
      </c>
      <c r="W113" s="965">
        <f t="shared" si="345"/>
        <v>150.15384615384616</v>
      </c>
      <c r="X113" s="220">
        <f t="shared" si="345"/>
        <v>34</v>
      </c>
      <c r="Y113" s="220">
        <f t="shared" si="345"/>
        <v>34</v>
      </c>
      <c r="Z113" s="220">
        <f t="shared" si="345"/>
        <v>37</v>
      </c>
      <c r="AA113" s="220">
        <f t="shared" si="345"/>
        <v>55</v>
      </c>
      <c r="AB113" s="965">
        <f t="shared" si="345"/>
        <v>160</v>
      </c>
      <c r="AC113" s="220">
        <f t="shared" si="345"/>
        <v>39</v>
      </c>
      <c r="AD113" s="220">
        <f t="shared" si="345"/>
        <v>37</v>
      </c>
      <c r="AE113" s="220">
        <f t="shared" si="345"/>
        <v>39</v>
      </c>
      <c r="AF113" s="220">
        <f t="shared" si="345"/>
        <v>51</v>
      </c>
      <c r="AG113" s="965">
        <f t="shared" si="345"/>
        <v>166</v>
      </c>
      <c r="AH113" s="220">
        <f t="shared" si="345"/>
        <v>37</v>
      </c>
      <c r="AI113" s="220">
        <f t="shared" si="345"/>
        <v>36</v>
      </c>
      <c r="AJ113" s="220">
        <f t="shared" si="345"/>
        <v>53</v>
      </c>
      <c r="AK113" s="220">
        <f t="shared" si="345"/>
        <v>58</v>
      </c>
      <c r="AL113" s="965">
        <f t="shared" si="345"/>
        <v>184</v>
      </c>
      <c r="AM113" s="220">
        <f t="shared" si="345"/>
        <v>40</v>
      </c>
      <c r="AN113" s="220">
        <f t="shared" si="345"/>
        <v>42</v>
      </c>
      <c r="AO113" s="220">
        <f t="shared" ref="AO113:BT113" si="346">+AO698</f>
        <v>44</v>
      </c>
      <c r="AP113" s="220">
        <f t="shared" si="346"/>
        <v>62</v>
      </c>
      <c r="AQ113" s="965">
        <f t="shared" si="346"/>
        <v>188</v>
      </c>
      <c r="AR113" s="220">
        <f t="shared" si="346"/>
        <v>45</v>
      </c>
      <c r="AS113" s="220">
        <f t="shared" si="346"/>
        <v>46</v>
      </c>
      <c r="AT113" s="220">
        <f t="shared" si="346"/>
        <v>43</v>
      </c>
      <c r="AU113" s="220">
        <f t="shared" si="346"/>
        <v>63</v>
      </c>
      <c r="AV113" s="965">
        <f t="shared" si="346"/>
        <v>197</v>
      </c>
      <c r="AW113" s="220">
        <f t="shared" si="346"/>
        <v>41</v>
      </c>
      <c r="AX113" s="220">
        <f t="shared" si="346"/>
        <v>46</v>
      </c>
      <c r="AY113" s="220">
        <f t="shared" si="346"/>
        <v>43</v>
      </c>
      <c r="AZ113" s="220">
        <f t="shared" si="346"/>
        <v>60</v>
      </c>
      <c r="BA113" s="965">
        <f t="shared" si="346"/>
        <v>190</v>
      </c>
      <c r="BB113" s="220">
        <f t="shared" si="346"/>
        <v>39</v>
      </c>
      <c r="BC113" s="220">
        <f t="shared" si="346"/>
        <v>42</v>
      </c>
      <c r="BD113" s="220">
        <f t="shared" si="346"/>
        <v>43</v>
      </c>
      <c r="BE113" s="220">
        <f t="shared" si="346"/>
        <v>61</v>
      </c>
      <c r="BF113" s="965">
        <f t="shared" si="346"/>
        <v>185</v>
      </c>
      <c r="BG113" s="220">
        <f t="shared" si="346"/>
        <v>39</v>
      </c>
      <c r="BH113" s="220">
        <f t="shared" si="346"/>
        <v>42</v>
      </c>
      <c r="BI113" s="220">
        <f t="shared" si="346"/>
        <v>40</v>
      </c>
      <c r="BJ113" s="220">
        <f t="shared" si="346"/>
        <v>57</v>
      </c>
      <c r="BK113" s="965">
        <f t="shared" si="346"/>
        <v>178</v>
      </c>
      <c r="BL113" s="220">
        <f t="shared" si="346"/>
        <v>35</v>
      </c>
      <c r="BM113" s="220">
        <f t="shared" si="346"/>
        <v>41</v>
      </c>
      <c r="BN113" s="220">
        <f t="shared" si="346"/>
        <v>40</v>
      </c>
      <c r="BO113" s="220">
        <f t="shared" si="346"/>
        <v>52</v>
      </c>
      <c r="BP113" s="965">
        <f t="shared" si="346"/>
        <v>168</v>
      </c>
      <c r="BQ113" s="220">
        <f t="shared" si="346"/>
        <v>29</v>
      </c>
      <c r="BR113" s="220">
        <f t="shared" si="346"/>
        <v>38</v>
      </c>
      <c r="BS113" s="220">
        <f>+BS698</f>
        <v>33</v>
      </c>
      <c r="BT113" s="220">
        <f t="shared" si="346"/>
        <v>45</v>
      </c>
      <c r="BU113" s="965">
        <f t="shared" ref="BU113:CG113" si="347">+BU698</f>
        <v>145</v>
      </c>
      <c r="BV113" s="220">
        <f t="shared" si="347"/>
        <v>37</v>
      </c>
      <c r="BW113" s="220">
        <f>+BW698</f>
        <v>37</v>
      </c>
      <c r="BX113" s="220">
        <f>+BX698</f>
        <v>39</v>
      </c>
      <c r="BY113" s="220">
        <f t="shared" si="347"/>
        <v>14</v>
      </c>
      <c r="BZ113" s="965">
        <f>+BZ698</f>
        <v>127</v>
      </c>
      <c r="CA113" s="220">
        <f>+CA698</f>
        <v>36</v>
      </c>
      <c r="CB113" s="220">
        <f t="shared" si="347"/>
        <v>47</v>
      </c>
      <c r="CC113" s="220">
        <f t="shared" si="347"/>
        <v>33</v>
      </c>
      <c r="CD113" s="1792">
        <f t="shared" si="347"/>
        <v>32</v>
      </c>
      <c r="CE113" s="965">
        <f t="shared" si="347"/>
        <v>148</v>
      </c>
      <c r="CF113" s="220">
        <f>+CF698</f>
        <v>44</v>
      </c>
      <c r="CG113" s="220">
        <f t="shared" si="347"/>
        <v>32</v>
      </c>
      <c r="CH113" s="220">
        <f>+CH698</f>
        <v>31</v>
      </c>
      <c r="CI113" s="1792">
        <f>+CI698</f>
        <v>32</v>
      </c>
      <c r="CJ113" s="965">
        <f>+CJ698</f>
        <v>139</v>
      </c>
      <c r="CK113" s="220">
        <f>+CK698</f>
        <v>31</v>
      </c>
      <c r="CL113" s="220">
        <f>+CL698</f>
        <v>30</v>
      </c>
      <c r="CM113" s="220">
        <f t="shared" ref="CM113:CT113" si="348">+CM698</f>
        <v>36</v>
      </c>
      <c r="CN113" s="1792">
        <f t="shared" si="348"/>
        <v>71</v>
      </c>
      <c r="CO113" s="965">
        <f t="shared" si="348"/>
        <v>168</v>
      </c>
      <c r="CP113" s="220">
        <f t="shared" si="348"/>
        <v>65</v>
      </c>
      <c r="CQ113" s="220">
        <f t="shared" si="348"/>
        <v>85</v>
      </c>
      <c r="CR113" s="220">
        <f t="shared" si="348"/>
        <v>68</v>
      </c>
      <c r="CS113" s="220">
        <f t="shared" si="348"/>
        <v>72</v>
      </c>
      <c r="CT113" s="965">
        <f t="shared" si="348"/>
        <v>290</v>
      </c>
      <c r="CU113" s="220">
        <f t="shared" ref="CU113:DA113" si="349">+CU698</f>
        <v>65</v>
      </c>
      <c r="CV113" s="220">
        <f t="shared" si="349"/>
        <v>80.75</v>
      </c>
      <c r="CW113" s="220">
        <f t="shared" si="349"/>
        <v>68</v>
      </c>
      <c r="CX113" s="220">
        <f t="shared" si="349"/>
        <v>72</v>
      </c>
      <c r="CY113" s="965">
        <f t="shared" si="349"/>
        <v>285.75</v>
      </c>
      <c r="CZ113" s="1792">
        <f t="shared" si="349"/>
        <v>291.46500000000003</v>
      </c>
      <c r="DA113" s="965">
        <f t="shared" si="349"/>
        <v>297.29430000000002</v>
      </c>
      <c r="DB113" s="374"/>
      <c r="DC113"/>
      <c r="DD113" s="2311" t="s">
        <v>1404</v>
      </c>
      <c r="DE113" s="2284">
        <f t="shared" si="319"/>
        <v>161</v>
      </c>
      <c r="DF113" s="2284">
        <f t="shared" si="320"/>
        <v>177</v>
      </c>
      <c r="DG113" s="2284">
        <f t="shared" si="321"/>
        <v>150.15384615384616</v>
      </c>
      <c r="DH113" s="2284">
        <f t="shared" si="322"/>
        <v>160</v>
      </c>
      <c r="DI113" s="2284">
        <f t="shared" si="323"/>
        <v>166</v>
      </c>
      <c r="DJ113" s="2284">
        <f t="shared" si="324"/>
        <v>184</v>
      </c>
      <c r="DK113" s="2284">
        <f t="shared" si="325"/>
        <v>188</v>
      </c>
      <c r="DL113" s="2284">
        <f t="shared" si="326"/>
        <v>197</v>
      </c>
      <c r="DM113" s="2284">
        <f t="shared" si="327"/>
        <v>190</v>
      </c>
      <c r="DN113" s="2284">
        <f t="shared" si="328"/>
        <v>185</v>
      </c>
      <c r="DO113" s="2284">
        <f t="shared" si="329"/>
        <v>178</v>
      </c>
      <c r="DP113" s="2284">
        <f t="shared" si="330"/>
        <v>168</v>
      </c>
      <c r="DQ113" s="2284">
        <f t="shared" si="331"/>
        <v>145</v>
      </c>
      <c r="DR113" s="2284">
        <f t="shared" si="332"/>
        <v>127</v>
      </c>
      <c r="DS113" s="2284">
        <f t="shared" si="333"/>
        <v>148</v>
      </c>
      <c r="DT113" s="2284">
        <f t="shared" si="334"/>
        <v>139</v>
      </c>
      <c r="DU113" s="2284">
        <f t="shared" si="335"/>
        <v>168</v>
      </c>
      <c r="DV113" s="2284">
        <f t="shared" si="336"/>
        <v>290</v>
      </c>
      <c r="DW113" s="2284">
        <f t="shared" si="337"/>
        <v>285.75</v>
      </c>
      <c r="DX113" s="2284">
        <f t="shared" si="338"/>
        <v>291.46500000000003</v>
      </c>
      <c r="DY113" s="2284">
        <f t="shared" si="339"/>
        <v>297.29430000000002</v>
      </c>
      <c r="EA113"/>
      <c r="EB113"/>
      <c r="EC113"/>
      <c r="ED113"/>
      <c r="EE113"/>
      <c r="EF113"/>
      <c r="EG113" s="855"/>
      <c r="EH113" s="855"/>
      <c r="EI113" s="855"/>
      <c r="EJ113"/>
      <c r="EK113"/>
      <c r="EL113"/>
      <c r="EM113" s="1703"/>
      <c r="EN113" s="855"/>
      <c r="EO113" s="855"/>
      <c r="EP113" s="855"/>
      <c r="EQ113" s="855"/>
      <c r="ER113" s="234"/>
    </row>
    <row r="114" spans="1:148" s="923" customFormat="1" x14ac:dyDescent="0.2">
      <c r="A114" s="1755" t="s">
        <v>702</v>
      </c>
      <c r="B114" s="765"/>
      <c r="C114" s="765"/>
      <c r="D114" s="765"/>
      <c r="E114" s="765"/>
      <c r="F114" s="765"/>
      <c r="G114" s="765"/>
      <c r="H114" s="765"/>
      <c r="I114" s="765"/>
      <c r="J114" s="765"/>
      <c r="K114" s="765"/>
      <c r="L114" s="765"/>
      <c r="M114" s="245"/>
      <c r="N114" s="765"/>
      <c r="O114" s="765"/>
      <c r="P114" s="765"/>
      <c r="Q114" s="765"/>
      <c r="R114" s="245"/>
      <c r="S114" s="765"/>
      <c r="T114" s="765"/>
      <c r="U114" s="765"/>
      <c r="V114" s="765"/>
      <c r="W114" s="245"/>
      <c r="X114" s="765"/>
      <c r="Y114" s="765"/>
      <c r="Z114" s="765"/>
      <c r="AA114" s="765"/>
      <c r="AB114" s="245"/>
      <c r="AC114" s="765"/>
      <c r="AD114" s="765"/>
      <c r="AE114" s="765"/>
      <c r="AF114" s="765"/>
      <c r="AG114" s="245"/>
      <c r="AH114" s="765"/>
      <c r="AI114" s="765"/>
      <c r="AJ114" s="765"/>
      <c r="AK114" s="765"/>
      <c r="AL114" s="245"/>
      <c r="AM114" s="765"/>
      <c r="AN114" s="765"/>
      <c r="AO114" s="765"/>
      <c r="AP114" s="765"/>
      <c r="AQ114" s="245"/>
      <c r="AR114" s="765"/>
      <c r="AS114" s="765"/>
      <c r="AT114" s="765"/>
      <c r="AU114" s="765"/>
      <c r="AV114" s="245"/>
      <c r="AW114" s="765"/>
      <c r="AX114" s="765"/>
      <c r="AY114" s="765"/>
      <c r="AZ114" s="765"/>
      <c r="BA114" s="245"/>
      <c r="BB114" s="765"/>
      <c r="BC114" s="765"/>
      <c r="BD114" s="765"/>
      <c r="BE114" s="765"/>
      <c r="BF114" s="245"/>
      <c r="BG114" s="765"/>
      <c r="BH114" s="765"/>
      <c r="BI114" s="765"/>
      <c r="BJ114" s="765"/>
      <c r="BK114" s="245"/>
      <c r="BL114" s="765">
        <f t="shared" ref="BL114:BO114" si="350">-BL673</f>
        <v>-18.75</v>
      </c>
      <c r="BM114" s="765">
        <f t="shared" si="350"/>
        <v>-18.75</v>
      </c>
      <c r="BN114" s="765">
        <f t="shared" si="350"/>
        <v>-18.75</v>
      </c>
      <c r="BO114" s="765">
        <f t="shared" si="350"/>
        <v>-18.75</v>
      </c>
      <c r="BP114" s="245">
        <f t="shared" ref="BP114:CT114" si="351">-BP673+BP658</f>
        <v>-149</v>
      </c>
      <c r="BQ114" s="765">
        <f t="shared" si="351"/>
        <v>-28.75</v>
      </c>
      <c r="BR114" s="765">
        <f t="shared" si="351"/>
        <v>-27.75</v>
      </c>
      <c r="BS114" s="765">
        <f t="shared" si="351"/>
        <v>-51.75</v>
      </c>
      <c r="BT114" s="765">
        <f t="shared" si="351"/>
        <v>-232</v>
      </c>
      <c r="BU114" s="245">
        <f t="shared" si="351"/>
        <v>-340.25</v>
      </c>
      <c r="BV114" s="765">
        <f t="shared" si="351"/>
        <v>-39</v>
      </c>
      <c r="BW114" s="765">
        <f t="shared" si="351"/>
        <v>-38</v>
      </c>
      <c r="BX114" s="765">
        <f t="shared" si="351"/>
        <v>-37</v>
      </c>
      <c r="BY114" s="765">
        <f t="shared" si="351"/>
        <v>-50</v>
      </c>
      <c r="BZ114" s="245">
        <f t="shared" si="351"/>
        <v>-164</v>
      </c>
      <c r="CA114" s="765">
        <f t="shared" si="351"/>
        <v>-32</v>
      </c>
      <c r="CB114" s="765">
        <f t="shared" si="351"/>
        <v>-49.04</v>
      </c>
      <c r="CC114" s="765">
        <f t="shared" si="351"/>
        <v>-47.08</v>
      </c>
      <c r="CD114" s="1793">
        <f t="shared" si="351"/>
        <v>-44</v>
      </c>
      <c r="CE114" s="245">
        <f t="shared" si="351"/>
        <v>-172.12</v>
      </c>
      <c r="CF114" s="765">
        <f t="shared" si="351"/>
        <v>-91.68</v>
      </c>
      <c r="CG114" s="765">
        <f t="shared" si="351"/>
        <v>-42.907199999999996</v>
      </c>
      <c r="CH114" s="765">
        <f t="shared" si="351"/>
        <v>-50.134399999999999</v>
      </c>
      <c r="CI114" s="1793">
        <f t="shared" si="351"/>
        <v>-62.68</v>
      </c>
      <c r="CJ114" s="245">
        <f t="shared" si="351"/>
        <v>-247.4016</v>
      </c>
      <c r="CK114" s="765">
        <f t="shared" si="351"/>
        <v>-48.612000000000002</v>
      </c>
      <c r="CL114" s="765">
        <f t="shared" si="351"/>
        <v>-44.716479999999997</v>
      </c>
      <c r="CM114" s="765">
        <f t="shared" si="351"/>
        <v>-47.820959999999999</v>
      </c>
      <c r="CN114" s="1793">
        <f t="shared" si="351"/>
        <v>-55.68</v>
      </c>
      <c r="CO114" s="245">
        <f t="shared" si="351"/>
        <v>-196.82944000000001</v>
      </c>
      <c r="CP114" s="765">
        <f t="shared" si="351"/>
        <v>-83.418000000000006</v>
      </c>
      <c r="CQ114" s="765">
        <f t="shared" si="351"/>
        <v>-79.074719999999999</v>
      </c>
      <c r="CR114" s="765">
        <f t="shared" si="351"/>
        <v>-85.231439999999992</v>
      </c>
      <c r="CS114" s="765">
        <f t="shared" si="351"/>
        <v>-96.02</v>
      </c>
      <c r="CT114" s="245">
        <f t="shared" si="351"/>
        <v>-343.74416000000002</v>
      </c>
      <c r="CU114" s="220">
        <f>-CU673+CU658</f>
        <v>-116.22213000000001</v>
      </c>
      <c r="CV114" s="765">
        <f t="shared" ref="CV114:DA114" si="352">-CV673+CV658</f>
        <v>-109.35101520000001</v>
      </c>
      <c r="CW114" s="765">
        <f t="shared" si="352"/>
        <v>-118.22990039999999</v>
      </c>
      <c r="CX114" s="765">
        <f t="shared" si="352"/>
        <v>-134.36579999999998</v>
      </c>
      <c r="CY114" s="245">
        <f t="shared" si="352"/>
        <v>-478.1688456</v>
      </c>
      <c r="CZ114" s="1793">
        <f t="shared" si="352"/>
        <v>-472.36413420000002</v>
      </c>
      <c r="DA114" s="245">
        <f t="shared" si="352"/>
        <v>-448.74592748999999</v>
      </c>
      <c r="DB114" s="2350"/>
      <c r="DC114"/>
      <c r="DD114" s="2312" t="s">
        <v>702</v>
      </c>
      <c r="DE114" s="2289">
        <f t="shared" si="319"/>
        <v>0</v>
      </c>
      <c r="DF114" s="2289">
        <f t="shared" si="320"/>
        <v>0</v>
      </c>
      <c r="DG114" s="2289">
        <f t="shared" si="321"/>
        <v>0</v>
      </c>
      <c r="DH114" s="2289">
        <f t="shared" si="322"/>
        <v>0</v>
      </c>
      <c r="DI114" s="2289">
        <f t="shared" si="323"/>
        <v>0</v>
      </c>
      <c r="DJ114" s="2289">
        <f t="shared" si="324"/>
        <v>0</v>
      </c>
      <c r="DK114" s="2289">
        <f t="shared" si="325"/>
        <v>0</v>
      </c>
      <c r="DL114" s="2289">
        <f t="shared" si="326"/>
        <v>0</v>
      </c>
      <c r="DM114" s="2289">
        <f t="shared" si="327"/>
        <v>0</v>
      </c>
      <c r="DN114" s="2289">
        <f t="shared" si="328"/>
        <v>0</v>
      </c>
      <c r="DO114" s="2289">
        <f t="shared" si="329"/>
        <v>0</v>
      </c>
      <c r="DP114" s="2289">
        <f t="shared" si="330"/>
        <v>-149</v>
      </c>
      <c r="DQ114" s="2289">
        <f t="shared" si="331"/>
        <v>-340.25</v>
      </c>
      <c r="DR114" s="2289">
        <f t="shared" si="332"/>
        <v>-164</v>
      </c>
      <c r="DS114" s="2289">
        <f t="shared" si="333"/>
        <v>-172.12</v>
      </c>
      <c r="DT114" s="2289">
        <f t="shared" si="334"/>
        <v>-247.4016</v>
      </c>
      <c r="DU114" s="2289">
        <f t="shared" si="335"/>
        <v>-196.82944000000001</v>
      </c>
      <c r="DV114" s="2289">
        <f t="shared" si="336"/>
        <v>-343.74416000000002</v>
      </c>
      <c r="DW114" s="2289">
        <f t="shared" si="337"/>
        <v>-478.1688456</v>
      </c>
      <c r="DX114" s="2289">
        <f t="shared" si="338"/>
        <v>-472.36413420000002</v>
      </c>
      <c r="DY114" s="2289">
        <f t="shared" si="339"/>
        <v>-448.74592748999999</v>
      </c>
      <c r="EA114"/>
      <c r="EB114"/>
      <c r="EC114"/>
      <c r="ED114"/>
      <c r="EE114"/>
      <c r="EF114"/>
      <c r="EG114" s="855"/>
      <c r="EH114" s="855"/>
      <c r="EI114" s="855"/>
      <c r="EJ114"/>
      <c r="EK114"/>
      <c r="EL114"/>
      <c r="EM114" s="1703"/>
      <c r="EN114" s="855"/>
      <c r="EO114" s="855"/>
      <c r="EP114" s="855"/>
      <c r="EQ114" s="855"/>
      <c r="ER114" s="234"/>
    </row>
    <row r="115" spans="1:148" s="923" customFormat="1" ht="12.75" customHeight="1" x14ac:dyDescent="0.2">
      <c r="A115" s="1755" t="s">
        <v>704</v>
      </c>
      <c r="B115" s="220"/>
      <c r="C115" s="220"/>
      <c r="D115" s="220"/>
      <c r="E115" s="220"/>
      <c r="F115" s="220"/>
      <c r="G115" s="220"/>
      <c r="H115" s="220"/>
      <c r="I115" s="220">
        <f>I703</f>
        <v>-99</v>
      </c>
      <c r="J115" s="220">
        <f>J703</f>
        <v>37</v>
      </c>
      <c r="K115" s="220">
        <f>K703</f>
        <v>135</v>
      </c>
      <c r="L115" s="220">
        <f>L703</f>
        <v>117</v>
      </c>
      <c r="M115" s="965">
        <f>SUM(I115:L115)</f>
        <v>190</v>
      </c>
      <c r="N115" s="220">
        <f>N703</f>
        <v>-94</v>
      </c>
      <c r="O115" s="220">
        <f>O703</f>
        <v>-21</v>
      </c>
      <c r="P115" s="220">
        <f>P703</f>
        <v>131</v>
      </c>
      <c r="Q115" s="220">
        <f>Q703</f>
        <v>0</v>
      </c>
      <c r="R115" s="965">
        <f>SUM(N115:Q115)</f>
        <v>16</v>
      </c>
      <c r="S115" s="220">
        <f>S703</f>
        <v>-87</v>
      </c>
      <c r="T115" s="220">
        <f>T703</f>
        <v>80</v>
      </c>
      <c r="U115" s="220">
        <f>U703</f>
        <v>42</v>
      </c>
      <c r="V115" s="220">
        <f>V703</f>
        <v>-38</v>
      </c>
      <c r="W115" s="965">
        <f>SUM(S115:V115)</f>
        <v>-3</v>
      </c>
      <c r="X115" s="220">
        <f>X703</f>
        <v>-100</v>
      </c>
      <c r="Y115" s="220">
        <f>Y703</f>
        <v>-6</v>
      </c>
      <c r="Z115" s="220">
        <f>Z703</f>
        <v>21</v>
      </c>
      <c r="AA115" s="220">
        <f>AA703</f>
        <v>130</v>
      </c>
      <c r="AB115" s="965">
        <f>SUM(X115:AA115)</f>
        <v>45</v>
      </c>
      <c r="AC115" s="220">
        <f>AC703</f>
        <v>-83</v>
      </c>
      <c r="AD115" s="220">
        <f>AD703</f>
        <v>13</v>
      </c>
      <c r="AE115" s="220">
        <f>AE703</f>
        <v>73</v>
      </c>
      <c r="AF115" s="220">
        <f>AF703</f>
        <v>193</v>
      </c>
      <c r="AG115" s="965">
        <f>SUM(AC115:AF115)</f>
        <v>196</v>
      </c>
      <c r="AH115" s="220">
        <f>AH703</f>
        <v>-136</v>
      </c>
      <c r="AI115" s="220">
        <f>AI703</f>
        <v>81</v>
      </c>
      <c r="AJ115" s="220">
        <f>AJ703</f>
        <v>18</v>
      </c>
      <c r="AK115" s="220">
        <f>AK703</f>
        <v>0</v>
      </c>
      <c r="AL115" s="965">
        <f>SUM(AH115:AK115)</f>
        <v>-37</v>
      </c>
      <c r="AM115" s="220">
        <f>AM703</f>
        <v>-98</v>
      </c>
      <c r="AN115" s="220">
        <f>AN703</f>
        <v>9</v>
      </c>
      <c r="AO115" s="220">
        <f>AO703</f>
        <v>4</v>
      </c>
      <c r="AP115" s="220">
        <f>AP703</f>
        <v>118</v>
      </c>
      <c r="AQ115" s="965">
        <f>SUM(AM115:AP115)</f>
        <v>33</v>
      </c>
      <c r="AR115" s="220">
        <f>AR703</f>
        <v>-235</v>
      </c>
      <c r="AS115" s="220">
        <f>AS703</f>
        <v>133</v>
      </c>
      <c r="AT115" s="220">
        <f>AT703</f>
        <v>78</v>
      </c>
      <c r="AU115" s="220">
        <f>AU703</f>
        <v>95</v>
      </c>
      <c r="AV115" s="965">
        <f>SUM(AR115:AU115)</f>
        <v>71</v>
      </c>
      <c r="AW115" s="220">
        <f>AW703</f>
        <v>-166</v>
      </c>
      <c r="AX115" s="220">
        <f>AX703</f>
        <v>9</v>
      </c>
      <c r="AY115" s="220">
        <f>AY703</f>
        <v>194</v>
      </c>
      <c r="AZ115" s="220">
        <f>AZ703</f>
        <v>135</v>
      </c>
      <c r="BA115" s="965">
        <f>SUM(AW115:AZ115)</f>
        <v>172</v>
      </c>
      <c r="BB115" s="220">
        <f>BB703</f>
        <v>-83</v>
      </c>
      <c r="BC115" s="220">
        <f>BC703</f>
        <v>92</v>
      </c>
      <c r="BD115" s="220">
        <f>BD703</f>
        <v>160</v>
      </c>
      <c r="BE115" s="220">
        <f>BE703</f>
        <v>-75.2</v>
      </c>
      <c r="BF115" s="965">
        <f>SUM(BB115:BE115)</f>
        <v>93.8</v>
      </c>
      <c r="BG115" s="220">
        <f>BG703</f>
        <v>-74</v>
      </c>
      <c r="BH115" s="220">
        <f>BH703</f>
        <v>101</v>
      </c>
      <c r="BI115" s="220">
        <f>BI703</f>
        <v>150</v>
      </c>
      <c r="BJ115" s="220">
        <f>BJ703</f>
        <v>-57</v>
      </c>
      <c r="BK115" s="965">
        <f>SUM(BG115:BJ115)</f>
        <v>120</v>
      </c>
      <c r="BL115" s="220">
        <f>BL703</f>
        <v>-146</v>
      </c>
      <c r="BM115" s="220">
        <f>BM703</f>
        <v>92</v>
      </c>
      <c r="BN115" s="220">
        <f>BN703</f>
        <v>204</v>
      </c>
      <c r="BO115" s="220">
        <f>BO703</f>
        <v>-157</v>
      </c>
      <c r="BP115" s="965">
        <f>SUM(BL115:BO115)</f>
        <v>-7</v>
      </c>
      <c r="BQ115" s="220">
        <f>BQ703</f>
        <v>-93</v>
      </c>
      <c r="BR115" s="220">
        <f>BR703</f>
        <v>58</v>
      </c>
      <c r="BS115" s="220">
        <f>BS703</f>
        <v>195</v>
      </c>
      <c r="BT115" s="220">
        <f>BT703</f>
        <v>-190</v>
      </c>
      <c r="BU115" s="965">
        <f>SUM(BQ115:BT115)</f>
        <v>-30</v>
      </c>
      <c r="BV115" s="220">
        <f>BV703</f>
        <v>-88</v>
      </c>
      <c r="BW115" s="220">
        <f>BW703</f>
        <v>224</v>
      </c>
      <c r="BX115" s="220">
        <f>BX703</f>
        <v>14</v>
      </c>
      <c r="BY115" s="220">
        <f>BY703</f>
        <v>65</v>
      </c>
      <c r="BZ115" s="965">
        <f>SUM(BV115:BY115)</f>
        <v>215</v>
      </c>
      <c r="CA115" s="220">
        <f>CA703</f>
        <v>-42</v>
      </c>
      <c r="CB115" s="220">
        <f>CB703</f>
        <v>207</v>
      </c>
      <c r="CC115" s="220">
        <f>CC703</f>
        <v>30</v>
      </c>
      <c r="CD115" s="1792">
        <f>CD703</f>
        <v>-31</v>
      </c>
      <c r="CE115" s="965">
        <f>SUM(CA115:CD115)</f>
        <v>164</v>
      </c>
      <c r="CF115" s="220">
        <f>CF703</f>
        <v>-18</v>
      </c>
      <c r="CG115" s="220">
        <f>CG703</f>
        <v>148</v>
      </c>
      <c r="CH115" s="220">
        <f>CH703</f>
        <v>66</v>
      </c>
      <c r="CI115" s="1792">
        <f>CI703</f>
        <v>93</v>
      </c>
      <c r="CJ115" s="965">
        <f>SUM(CF115:CI115)</f>
        <v>289</v>
      </c>
      <c r="CK115" s="220">
        <f>CK703</f>
        <v>25</v>
      </c>
      <c r="CL115" s="220">
        <f>CL703</f>
        <v>185</v>
      </c>
      <c r="CM115" s="220">
        <f>CM703</f>
        <v>288</v>
      </c>
      <c r="CN115" s="1792">
        <f>CN703</f>
        <v>60</v>
      </c>
      <c r="CO115" s="965">
        <f>SUM(CK115:CN115)</f>
        <v>558</v>
      </c>
      <c r="CP115" s="220">
        <f>CP703</f>
        <v>14</v>
      </c>
      <c r="CQ115" s="220">
        <f>CQ703</f>
        <v>263</v>
      </c>
      <c r="CR115" s="220">
        <f>CR703</f>
        <v>177</v>
      </c>
      <c r="CS115" s="220">
        <f>CS703</f>
        <v>453.50300000000016</v>
      </c>
      <c r="CT115" s="965">
        <f>SUM(CP115:CS115)</f>
        <v>907.50300000000016</v>
      </c>
      <c r="CU115" s="220">
        <f t="shared" ref="CU115:DA115" si="353">CU703</f>
        <v>100</v>
      </c>
      <c r="CV115" s="220">
        <f t="shared" si="353"/>
        <v>100</v>
      </c>
      <c r="CW115" s="220">
        <f t="shared" si="353"/>
        <v>100</v>
      </c>
      <c r="CX115" s="220">
        <f t="shared" si="353"/>
        <v>100</v>
      </c>
      <c r="CY115" s="965">
        <f>SUM(CU115:CX115)</f>
        <v>400</v>
      </c>
      <c r="CZ115" s="1792">
        <f t="shared" si="353"/>
        <v>400</v>
      </c>
      <c r="DA115" s="965">
        <f t="shared" si="353"/>
        <v>400</v>
      </c>
      <c r="DB115"/>
      <c r="DC115"/>
      <c r="DD115" s="2312" t="s">
        <v>704</v>
      </c>
      <c r="DE115" s="2284">
        <f t="shared" si="319"/>
        <v>190</v>
      </c>
      <c r="DF115" s="2284">
        <f t="shared" si="320"/>
        <v>16</v>
      </c>
      <c r="DG115" s="2284">
        <f t="shared" si="321"/>
        <v>-3</v>
      </c>
      <c r="DH115" s="2284">
        <f t="shared" si="322"/>
        <v>45</v>
      </c>
      <c r="DI115" s="2284">
        <f t="shared" si="323"/>
        <v>196</v>
      </c>
      <c r="DJ115" s="2284">
        <f t="shared" si="324"/>
        <v>-37</v>
      </c>
      <c r="DK115" s="2284">
        <f t="shared" si="325"/>
        <v>33</v>
      </c>
      <c r="DL115" s="2284">
        <f t="shared" si="326"/>
        <v>71</v>
      </c>
      <c r="DM115" s="2284">
        <f t="shared" si="327"/>
        <v>172</v>
      </c>
      <c r="DN115" s="2284">
        <f t="shared" si="328"/>
        <v>93.8</v>
      </c>
      <c r="DO115" s="2284">
        <f t="shared" si="329"/>
        <v>120</v>
      </c>
      <c r="DP115" s="2284">
        <f t="shared" si="330"/>
        <v>-7</v>
      </c>
      <c r="DQ115" s="2284">
        <f t="shared" si="331"/>
        <v>-30</v>
      </c>
      <c r="DR115" s="2284">
        <f t="shared" si="332"/>
        <v>215</v>
      </c>
      <c r="DS115" s="2284">
        <f t="shared" si="333"/>
        <v>164</v>
      </c>
      <c r="DT115" s="2284">
        <f t="shared" si="334"/>
        <v>289</v>
      </c>
      <c r="DU115" s="2284">
        <f t="shared" si="335"/>
        <v>558</v>
      </c>
      <c r="DV115" s="2284">
        <f t="shared" si="336"/>
        <v>907.50300000000016</v>
      </c>
      <c r="DW115" s="2284">
        <f t="shared" si="337"/>
        <v>400</v>
      </c>
      <c r="DX115" s="2284">
        <f t="shared" si="338"/>
        <v>400</v>
      </c>
      <c r="DY115" s="2284">
        <f t="shared" si="339"/>
        <v>400</v>
      </c>
      <c r="EA115"/>
      <c r="EB115"/>
      <c r="EC115"/>
      <c r="ED115"/>
      <c r="EE115"/>
      <c r="EF115"/>
      <c r="EG115" s="855"/>
      <c r="EH115" s="855"/>
      <c r="EI115" s="855"/>
      <c r="EJ115"/>
      <c r="EK115"/>
      <c r="EL115"/>
      <c r="EM115" s="1703"/>
      <c r="EN115" s="855"/>
      <c r="EO115" s="855"/>
      <c r="EP115" s="855"/>
      <c r="EQ115" s="855"/>
      <c r="ER115" s="234"/>
    </row>
    <row r="116" spans="1:148" s="923" customFormat="1" ht="12.75" customHeight="1" x14ac:dyDescent="0.2">
      <c r="A116" s="1756" t="s">
        <v>703</v>
      </c>
      <c r="B116" s="221"/>
      <c r="C116" s="221"/>
      <c r="D116" s="221"/>
      <c r="E116" s="221"/>
      <c r="F116" s="221"/>
      <c r="G116" s="221"/>
      <c r="H116" s="221"/>
      <c r="I116" s="221">
        <f>+I701</f>
        <v>53</v>
      </c>
      <c r="J116" s="221">
        <f>+J701</f>
        <v>50</v>
      </c>
      <c r="K116" s="221">
        <f>+K701</f>
        <v>95</v>
      </c>
      <c r="L116" s="221">
        <f>+L701</f>
        <v>-17</v>
      </c>
      <c r="M116" s="966">
        <f>SUM(I116:L116)</f>
        <v>181</v>
      </c>
      <c r="N116" s="221">
        <f>+N701</f>
        <v>60</v>
      </c>
      <c r="O116" s="221">
        <f>+O701</f>
        <v>35</v>
      </c>
      <c r="P116" s="221">
        <f>+P701</f>
        <v>56</v>
      </c>
      <c r="Q116" s="221">
        <f>+Q701</f>
        <v>133</v>
      </c>
      <c r="R116" s="966">
        <f>SUM(N116:Q116)</f>
        <v>284</v>
      </c>
      <c r="S116" s="221">
        <f>+S701</f>
        <v>50</v>
      </c>
      <c r="T116" s="221">
        <f>+T701</f>
        <v>13</v>
      </c>
      <c r="U116" s="221">
        <f>+U701</f>
        <v>27</v>
      </c>
      <c r="V116" s="221">
        <f>+V701</f>
        <v>28</v>
      </c>
      <c r="W116" s="966">
        <f>SUM(S116:V116)</f>
        <v>118</v>
      </c>
      <c r="X116" s="221">
        <f>+X701</f>
        <v>-90</v>
      </c>
      <c r="Y116" s="221">
        <f>+Y701</f>
        <v>-52</v>
      </c>
      <c r="Z116" s="221">
        <f>+Z701</f>
        <v>-69</v>
      </c>
      <c r="AA116" s="221">
        <f>+AA701</f>
        <v>36</v>
      </c>
      <c r="AB116" s="966">
        <f>SUM(X116:AA116)</f>
        <v>-175</v>
      </c>
      <c r="AC116" s="221">
        <f>+AC701</f>
        <v>-33</v>
      </c>
      <c r="AD116" s="221">
        <f>+AD701</f>
        <v>-36</v>
      </c>
      <c r="AE116" s="221">
        <f>+AE701</f>
        <v>-11</v>
      </c>
      <c r="AF116" s="221">
        <f>+AF701</f>
        <v>-100</v>
      </c>
      <c r="AG116" s="966">
        <f>SUM(AC116:AF116)</f>
        <v>-180</v>
      </c>
      <c r="AH116" s="221">
        <f>+AH701</f>
        <v>-19</v>
      </c>
      <c r="AI116" s="221">
        <f>+AI701</f>
        <v>39</v>
      </c>
      <c r="AJ116" s="221">
        <f>+AJ701</f>
        <v>30</v>
      </c>
      <c r="AK116" s="221">
        <f>+AK701</f>
        <v>-22</v>
      </c>
      <c r="AL116" s="966">
        <f>SUM(AH116:AK116)</f>
        <v>28</v>
      </c>
      <c r="AM116" s="221">
        <f>+AM701</f>
        <v>91</v>
      </c>
      <c r="AN116" s="221">
        <f>+AN701</f>
        <v>-23</v>
      </c>
      <c r="AO116" s="221">
        <f>+AO701</f>
        <v>172</v>
      </c>
      <c r="AP116" s="221">
        <f>+AP701</f>
        <v>1</v>
      </c>
      <c r="AQ116" s="966">
        <f>SUM(AM116:AP116)</f>
        <v>241</v>
      </c>
      <c r="AR116" s="221">
        <f>+AR701</f>
        <v>-48</v>
      </c>
      <c r="AS116" s="221">
        <f>+AS701</f>
        <v>25</v>
      </c>
      <c r="AT116" s="221">
        <f>+AT701</f>
        <v>-145</v>
      </c>
      <c r="AU116" s="221">
        <f>+AU701</f>
        <v>113</v>
      </c>
      <c r="AV116" s="966">
        <f>SUM(AR116:AU116)</f>
        <v>-55</v>
      </c>
      <c r="AW116" s="221">
        <f>+AW701</f>
        <v>39</v>
      </c>
      <c r="AX116" s="221">
        <f>+AX701</f>
        <v>108</v>
      </c>
      <c r="AY116" s="221">
        <f>+AY701</f>
        <v>77</v>
      </c>
      <c r="AZ116" s="221">
        <f>+AZ701</f>
        <v>91</v>
      </c>
      <c r="BA116" s="966">
        <f>SUM(AW116:AZ116)</f>
        <v>315</v>
      </c>
      <c r="BB116" s="221">
        <f>+BB701</f>
        <v>8</v>
      </c>
      <c r="BC116" s="221">
        <f>+BC701</f>
        <v>-2</v>
      </c>
      <c r="BD116" s="221">
        <f>+BD701</f>
        <v>20</v>
      </c>
      <c r="BE116" s="221">
        <f>+BE701</f>
        <v>75</v>
      </c>
      <c r="BF116" s="966">
        <f>SUM(BB116:BE116)</f>
        <v>101</v>
      </c>
      <c r="BG116" s="221">
        <f>+BG701</f>
        <v>44</v>
      </c>
      <c r="BH116" s="221">
        <f>+BH701</f>
        <v>43</v>
      </c>
      <c r="BI116" s="221">
        <f>+BI701</f>
        <v>30</v>
      </c>
      <c r="BJ116" s="221">
        <f>+BJ701</f>
        <v>85</v>
      </c>
      <c r="BK116" s="966">
        <f>SUM(BG116:BJ116)</f>
        <v>202</v>
      </c>
      <c r="BL116" s="221">
        <f>+BL701</f>
        <v>68</v>
      </c>
      <c r="BM116" s="221">
        <f>+BM701</f>
        <v>42</v>
      </c>
      <c r="BN116" s="221">
        <f>+BN701</f>
        <v>294</v>
      </c>
      <c r="BO116" s="221">
        <f>+BO701</f>
        <v>153</v>
      </c>
      <c r="BP116" s="966">
        <f>SUM(BL116:BO116)</f>
        <v>557</v>
      </c>
      <c r="BQ116" s="221">
        <f>+BQ701</f>
        <v>85</v>
      </c>
      <c r="BR116" s="221">
        <f>+BR701</f>
        <v>53</v>
      </c>
      <c r="BS116" s="221">
        <f>+BS701</f>
        <v>20</v>
      </c>
      <c r="BT116" s="221">
        <f>+BT701</f>
        <v>145</v>
      </c>
      <c r="BU116" s="966">
        <f>SUM(BQ116:BT116)</f>
        <v>303</v>
      </c>
      <c r="BV116" s="221">
        <f>+BV701</f>
        <v>33</v>
      </c>
      <c r="BW116" s="221">
        <f>+BW701</f>
        <v>52</v>
      </c>
      <c r="BX116" s="221">
        <f>+BX701</f>
        <v>-18</v>
      </c>
      <c r="BY116" s="221">
        <f>+BY701</f>
        <v>105</v>
      </c>
      <c r="BZ116" s="966">
        <f>SUM(BV116:BY116)</f>
        <v>172</v>
      </c>
      <c r="CA116" s="221">
        <f>+CA701</f>
        <v>16</v>
      </c>
      <c r="CB116" s="221">
        <f>+CB701</f>
        <v>41</v>
      </c>
      <c r="CC116" s="221">
        <f>+CC701</f>
        <v>26</v>
      </c>
      <c r="CD116" s="1781">
        <f>+CD701</f>
        <v>76</v>
      </c>
      <c r="CE116" s="966">
        <f>SUM(CA116:CD116)</f>
        <v>159</v>
      </c>
      <c r="CF116" s="221">
        <f>+CF701</f>
        <v>29</v>
      </c>
      <c r="CG116" s="221">
        <f>+CG701</f>
        <v>70</v>
      </c>
      <c r="CH116" s="221">
        <f>+CH701</f>
        <v>21</v>
      </c>
      <c r="CI116" s="1781">
        <f>+CI701</f>
        <v>23</v>
      </c>
      <c r="CJ116" s="966">
        <f>SUM(CF116:CI116)</f>
        <v>143</v>
      </c>
      <c r="CK116" s="221">
        <f>+CK701</f>
        <v>58</v>
      </c>
      <c r="CL116" s="221">
        <f>+CL701</f>
        <v>3</v>
      </c>
      <c r="CM116" s="221">
        <f>+CM701</f>
        <v>-60</v>
      </c>
      <c r="CN116" s="1781">
        <f>+CN701</f>
        <v>75</v>
      </c>
      <c r="CO116" s="966">
        <f>SUM(CK116:CN116)</f>
        <v>76</v>
      </c>
      <c r="CP116" s="221">
        <f>+CP701</f>
        <v>82</v>
      </c>
      <c r="CQ116" s="221">
        <f>+CQ701</f>
        <v>14</v>
      </c>
      <c r="CR116" s="221">
        <f>+CR701</f>
        <v>-23</v>
      </c>
      <c r="CS116" s="221">
        <f>+CS701</f>
        <v>37</v>
      </c>
      <c r="CT116" s="966">
        <f>SUM(CP116:CS116)</f>
        <v>110</v>
      </c>
      <c r="CU116" s="221">
        <f t="shared" ref="CU116:DA116" si="354">+CU701</f>
        <v>28</v>
      </c>
      <c r="CV116" s="221">
        <f t="shared" si="354"/>
        <v>-231</v>
      </c>
      <c r="CW116" s="221">
        <f t="shared" si="354"/>
        <v>28</v>
      </c>
      <c r="CX116" s="221">
        <f t="shared" si="354"/>
        <v>28</v>
      </c>
      <c r="CY116" s="966">
        <f>SUM(CU116:CX116)</f>
        <v>-147</v>
      </c>
      <c r="CZ116" s="1781">
        <f t="shared" si="354"/>
        <v>112</v>
      </c>
      <c r="DA116" s="966">
        <f t="shared" si="354"/>
        <v>148</v>
      </c>
      <c r="DB116"/>
      <c r="DC116"/>
      <c r="DD116" s="1756" t="s">
        <v>703</v>
      </c>
      <c r="DE116" s="966">
        <f t="shared" si="319"/>
        <v>181</v>
      </c>
      <c r="DF116" s="966">
        <f t="shared" si="320"/>
        <v>284</v>
      </c>
      <c r="DG116" s="966">
        <f t="shared" si="321"/>
        <v>118</v>
      </c>
      <c r="DH116" s="966">
        <f t="shared" si="322"/>
        <v>-175</v>
      </c>
      <c r="DI116" s="966">
        <f t="shared" si="323"/>
        <v>-180</v>
      </c>
      <c r="DJ116" s="966">
        <f t="shared" si="324"/>
        <v>28</v>
      </c>
      <c r="DK116" s="966">
        <f t="shared" si="325"/>
        <v>241</v>
      </c>
      <c r="DL116" s="966">
        <f t="shared" si="326"/>
        <v>-55</v>
      </c>
      <c r="DM116" s="966">
        <f t="shared" si="327"/>
        <v>315</v>
      </c>
      <c r="DN116" s="966">
        <f t="shared" si="328"/>
        <v>101</v>
      </c>
      <c r="DO116" s="966">
        <f t="shared" si="329"/>
        <v>202</v>
      </c>
      <c r="DP116" s="966">
        <f t="shared" si="330"/>
        <v>557</v>
      </c>
      <c r="DQ116" s="966">
        <f t="shared" si="331"/>
        <v>303</v>
      </c>
      <c r="DR116" s="966">
        <f t="shared" si="332"/>
        <v>172</v>
      </c>
      <c r="DS116" s="966">
        <f t="shared" si="333"/>
        <v>159</v>
      </c>
      <c r="DT116" s="966">
        <f t="shared" si="334"/>
        <v>143</v>
      </c>
      <c r="DU116" s="966">
        <f t="shared" si="335"/>
        <v>76</v>
      </c>
      <c r="DV116" s="966">
        <f t="shared" si="336"/>
        <v>110</v>
      </c>
      <c r="DW116" s="966">
        <f t="shared" si="337"/>
        <v>-147</v>
      </c>
      <c r="DX116" s="966">
        <f t="shared" si="338"/>
        <v>112</v>
      </c>
      <c r="DY116" s="966">
        <f t="shared" si="339"/>
        <v>148</v>
      </c>
      <c r="EA116"/>
      <c r="EB116"/>
      <c r="EC116"/>
      <c r="ED116"/>
      <c r="EE116"/>
      <c r="EF116"/>
      <c r="EG116" s="855"/>
      <c r="EH116" s="855"/>
      <c r="EI116" s="855"/>
      <c r="EJ116"/>
      <c r="EK116"/>
      <c r="EL116"/>
      <c r="EM116" s="1703"/>
      <c r="EN116" s="855"/>
      <c r="EO116" s="855"/>
      <c r="EP116" s="855"/>
      <c r="EQ116" s="855"/>
      <c r="ER116" s="234"/>
    </row>
    <row r="117" spans="1:148" s="1703" customFormat="1" ht="12.75" customHeight="1" x14ac:dyDescent="0.2">
      <c r="A117" s="2206" t="s">
        <v>377</v>
      </c>
      <c r="B117" s="1381"/>
      <c r="C117" s="1381"/>
      <c r="D117" s="1381"/>
      <c r="E117" s="1381"/>
      <c r="F117" s="1381"/>
      <c r="G117" s="1381"/>
      <c r="H117" s="1381"/>
      <c r="I117" s="1381">
        <f t="shared" ref="I117:AH117" si="355">+SUM(I112:I116)</f>
        <v>81.15384615384616</v>
      </c>
      <c r="J117" s="1381">
        <f t="shared" si="355"/>
        <v>251.15384615384616</v>
      </c>
      <c r="K117" s="1381">
        <f t="shared" si="355"/>
        <v>379.15384615384619</v>
      </c>
      <c r="L117" s="1381">
        <f t="shared" si="355"/>
        <v>299.53846153846155</v>
      </c>
      <c r="M117" s="1382">
        <f t="shared" si="355"/>
        <v>1011</v>
      </c>
      <c r="N117" s="1381">
        <f t="shared" si="355"/>
        <v>122.61538461538464</v>
      </c>
      <c r="O117" s="1381">
        <f t="shared" si="355"/>
        <v>183.61538461538461</v>
      </c>
      <c r="P117" s="1381">
        <f t="shared" si="355"/>
        <v>328.61538461538464</v>
      </c>
      <c r="Q117" s="1381">
        <f t="shared" si="355"/>
        <v>78.15384615384616</v>
      </c>
      <c r="R117" s="1382">
        <f t="shared" si="355"/>
        <v>713</v>
      </c>
      <c r="S117" s="1381">
        <f t="shared" si="355"/>
        <v>82.8</v>
      </c>
      <c r="T117" s="1381">
        <f t="shared" si="355"/>
        <v>303.32307692307694</v>
      </c>
      <c r="U117" s="1381">
        <f t="shared" si="355"/>
        <v>237.32307692307694</v>
      </c>
      <c r="V117" s="1381">
        <f t="shared" si="355"/>
        <v>52.707692307692312</v>
      </c>
      <c r="W117" s="1382">
        <f t="shared" si="355"/>
        <v>676.15384615384619</v>
      </c>
      <c r="X117" s="1381">
        <f t="shared" si="355"/>
        <v>19</v>
      </c>
      <c r="Y117" s="1381">
        <f t="shared" si="355"/>
        <v>143</v>
      </c>
      <c r="Z117" s="1381">
        <f t="shared" si="355"/>
        <v>113</v>
      </c>
      <c r="AA117" s="1381">
        <f t="shared" si="355"/>
        <v>406</v>
      </c>
      <c r="AB117" s="1382">
        <f t="shared" si="355"/>
        <v>681</v>
      </c>
      <c r="AC117" s="1381">
        <f t="shared" si="355"/>
        <v>65</v>
      </c>
      <c r="AD117" s="1381">
        <f t="shared" si="355"/>
        <v>180</v>
      </c>
      <c r="AE117" s="1381">
        <f t="shared" si="355"/>
        <v>240</v>
      </c>
      <c r="AF117" s="1381">
        <f t="shared" si="355"/>
        <v>351</v>
      </c>
      <c r="AG117" s="1382">
        <f t="shared" si="355"/>
        <v>836</v>
      </c>
      <c r="AH117" s="1381">
        <f t="shared" si="355"/>
        <v>71</v>
      </c>
      <c r="AI117" s="1381">
        <f t="shared" ref="AI117:BN117" si="356">+SUM(AI112:AI116)</f>
        <v>328</v>
      </c>
      <c r="AJ117" s="1381">
        <f t="shared" si="356"/>
        <v>238</v>
      </c>
      <c r="AK117" s="1381">
        <f t="shared" si="356"/>
        <v>273</v>
      </c>
      <c r="AL117" s="1382">
        <f t="shared" si="356"/>
        <v>910</v>
      </c>
      <c r="AM117" s="1381">
        <f t="shared" si="356"/>
        <v>124</v>
      </c>
      <c r="AN117" s="1381">
        <f t="shared" si="356"/>
        <v>227</v>
      </c>
      <c r="AO117" s="1381">
        <f t="shared" si="356"/>
        <v>359</v>
      </c>
      <c r="AP117" s="1381">
        <f t="shared" si="356"/>
        <v>453</v>
      </c>
      <c r="AQ117" s="1382">
        <f t="shared" si="356"/>
        <v>1163</v>
      </c>
      <c r="AR117" s="1381">
        <f t="shared" si="356"/>
        <v>-2</v>
      </c>
      <c r="AS117" s="1381">
        <f t="shared" si="356"/>
        <v>478</v>
      </c>
      <c r="AT117" s="1381">
        <f t="shared" si="356"/>
        <v>139</v>
      </c>
      <c r="AU117" s="1381">
        <f t="shared" si="356"/>
        <v>447</v>
      </c>
      <c r="AV117" s="1382">
        <f t="shared" si="356"/>
        <v>1062</v>
      </c>
      <c r="AW117" s="1381">
        <f t="shared" si="356"/>
        <v>35</v>
      </c>
      <c r="AX117" s="1381">
        <f t="shared" si="356"/>
        <v>356</v>
      </c>
      <c r="AY117" s="1381">
        <f t="shared" si="356"/>
        <v>437</v>
      </c>
      <c r="AZ117" s="1381">
        <f t="shared" si="356"/>
        <v>346</v>
      </c>
      <c r="BA117" s="1382">
        <f t="shared" si="356"/>
        <v>1174</v>
      </c>
      <c r="BB117" s="1381">
        <f t="shared" si="356"/>
        <v>32</v>
      </c>
      <c r="BC117" s="1381">
        <f t="shared" si="356"/>
        <v>206</v>
      </c>
      <c r="BD117" s="1381">
        <f t="shared" si="356"/>
        <v>35.199999999999989</v>
      </c>
      <c r="BE117" s="1381">
        <f t="shared" si="356"/>
        <v>185.8</v>
      </c>
      <c r="BF117" s="1382">
        <f t="shared" si="356"/>
        <v>459</v>
      </c>
      <c r="BG117" s="1381">
        <f t="shared" si="356"/>
        <v>83</v>
      </c>
      <c r="BH117" s="1381">
        <f t="shared" si="356"/>
        <v>295</v>
      </c>
      <c r="BI117" s="1381">
        <f t="shared" si="356"/>
        <v>288</v>
      </c>
      <c r="BJ117" s="1381">
        <f t="shared" si="356"/>
        <v>220</v>
      </c>
      <c r="BK117" s="1382">
        <f t="shared" si="356"/>
        <v>886</v>
      </c>
      <c r="BL117" s="1381">
        <f t="shared" si="356"/>
        <v>26.25</v>
      </c>
      <c r="BM117" s="1381">
        <f t="shared" si="356"/>
        <v>282.25</v>
      </c>
      <c r="BN117" s="1381">
        <f t="shared" si="356"/>
        <v>621.25</v>
      </c>
      <c r="BO117" s="1381">
        <f t="shared" ref="BO117:BU117" si="357">+SUM(BO112:BO116)</f>
        <v>188.25</v>
      </c>
      <c r="BP117" s="1382">
        <f t="shared" si="357"/>
        <v>1044</v>
      </c>
      <c r="BQ117" s="1381">
        <f t="shared" si="357"/>
        <v>96.25</v>
      </c>
      <c r="BR117" s="1381">
        <f>+SUM(BR112:BR116)</f>
        <v>264.25</v>
      </c>
      <c r="BS117" s="1381">
        <f>+SUM(BS112:BS116)</f>
        <v>339.25</v>
      </c>
      <c r="BT117" s="1381">
        <f>+SUM(BT112:BT116)</f>
        <v>-51</v>
      </c>
      <c r="BU117" s="1382">
        <f t="shared" si="357"/>
        <v>648.75</v>
      </c>
      <c r="BV117" s="1381">
        <f t="shared" ref="BV117:CE117" si="358">+SUM(BV112:BV116)</f>
        <v>79</v>
      </c>
      <c r="BW117" s="1381">
        <f t="shared" si="358"/>
        <v>454</v>
      </c>
      <c r="BX117" s="1381">
        <f t="shared" si="358"/>
        <v>158</v>
      </c>
      <c r="BY117" s="1381">
        <f t="shared" si="358"/>
        <v>285</v>
      </c>
      <c r="BZ117" s="1382">
        <f t="shared" si="358"/>
        <v>976</v>
      </c>
      <c r="CA117" s="1381">
        <f t="shared" si="358"/>
        <v>150</v>
      </c>
      <c r="CB117" s="1381">
        <f t="shared" si="358"/>
        <v>437.96000000000004</v>
      </c>
      <c r="CC117" s="1381">
        <f t="shared" si="358"/>
        <v>233.92000000000002</v>
      </c>
      <c r="CD117" s="2207">
        <f t="shared" si="358"/>
        <v>230</v>
      </c>
      <c r="CE117" s="1382">
        <f t="shared" si="358"/>
        <v>1051.8800000000001</v>
      </c>
      <c r="CF117" s="1381">
        <f>+SUM(CF112:CF116)</f>
        <v>170.32</v>
      </c>
      <c r="CG117" s="1381">
        <f>+SUM(CG112:CG116)</f>
        <v>447.09280000000001</v>
      </c>
      <c r="CH117" s="1381">
        <f>+SUM(CH112:CH116)</f>
        <v>277.86559999999997</v>
      </c>
      <c r="CI117" s="2207">
        <f>+SUM(CI112:CI116)</f>
        <v>287.32</v>
      </c>
      <c r="CJ117" s="1382">
        <f>+SUM(CJ112:CJ116)</f>
        <v>1182.5983999999999</v>
      </c>
      <c r="CK117" s="1381">
        <f t="shared" ref="CK117:CT117" si="359">+SUM(CK112:CK116)</f>
        <v>284.38800000000003</v>
      </c>
      <c r="CL117" s="1381">
        <f t="shared" si="359"/>
        <v>420.28352000000001</v>
      </c>
      <c r="CM117" s="1381">
        <f t="shared" si="359"/>
        <v>286.17903999999999</v>
      </c>
      <c r="CN117" s="2207">
        <f t="shared" si="359"/>
        <v>394.32</v>
      </c>
      <c r="CO117" s="967">
        <f t="shared" si="359"/>
        <v>1385.17056</v>
      </c>
      <c r="CP117" s="1381">
        <f t="shared" si="359"/>
        <v>442.58199999999999</v>
      </c>
      <c r="CQ117" s="1381">
        <f t="shared" si="359"/>
        <v>696.92527999999993</v>
      </c>
      <c r="CR117" s="1381">
        <f t="shared" si="359"/>
        <v>528.76855999999998</v>
      </c>
      <c r="CS117" s="1381">
        <f t="shared" si="359"/>
        <v>667.48300000000017</v>
      </c>
      <c r="CT117" s="967">
        <f t="shared" si="359"/>
        <v>2335.7588400000004</v>
      </c>
      <c r="CU117" s="1381">
        <f t="shared" ref="CU117:DA117" ca="1" si="360">+SUM(CU112:CU116)</f>
        <v>538.50867826505191</v>
      </c>
      <c r="CV117" s="1381">
        <f t="shared" ca="1" si="360"/>
        <v>334.95969015715491</v>
      </c>
      <c r="CW117" s="1381">
        <f t="shared" ca="1" si="360"/>
        <v>557.09948143700933</v>
      </c>
      <c r="CX117" s="1381">
        <f t="shared" ca="1" si="360"/>
        <v>566.35439912272795</v>
      </c>
      <c r="CY117" s="1382">
        <f t="shared" ca="1" si="360"/>
        <v>1996.9222489819413</v>
      </c>
      <c r="CZ117" s="2207">
        <f t="shared" ca="1" si="360"/>
        <v>2515.8057086956251</v>
      </c>
      <c r="DA117" s="1382">
        <f t="shared" ca="1" si="360"/>
        <v>2541.3308440892979</v>
      </c>
      <c r="DB117"/>
      <c r="DC117"/>
      <c r="DD117" s="2206" t="s">
        <v>377</v>
      </c>
      <c r="DE117" s="1382">
        <f t="shared" si="319"/>
        <v>1011</v>
      </c>
      <c r="DF117" s="1382">
        <f t="shared" si="320"/>
        <v>713</v>
      </c>
      <c r="DG117" s="1382">
        <f t="shared" si="321"/>
        <v>676.15384615384619</v>
      </c>
      <c r="DH117" s="1382">
        <f t="shared" si="322"/>
        <v>681</v>
      </c>
      <c r="DI117" s="1382">
        <f t="shared" si="323"/>
        <v>836</v>
      </c>
      <c r="DJ117" s="1382">
        <f t="shared" si="324"/>
        <v>910</v>
      </c>
      <c r="DK117" s="1382">
        <f t="shared" si="325"/>
        <v>1163</v>
      </c>
      <c r="DL117" s="1382">
        <f t="shared" si="326"/>
        <v>1062</v>
      </c>
      <c r="DM117" s="1382">
        <f t="shared" si="327"/>
        <v>1174</v>
      </c>
      <c r="DN117" s="1382">
        <f t="shared" si="328"/>
        <v>459</v>
      </c>
      <c r="DO117" s="1382">
        <f t="shared" si="329"/>
        <v>886</v>
      </c>
      <c r="DP117" s="1382">
        <f t="shared" si="330"/>
        <v>1044</v>
      </c>
      <c r="DQ117" s="1382">
        <f t="shared" si="331"/>
        <v>648.75</v>
      </c>
      <c r="DR117" s="1382">
        <f t="shared" si="332"/>
        <v>976</v>
      </c>
      <c r="DS117" s="1382">
        <f t="shared" si="333"/>
        <v>1051.8800000000001</v>
      </c>
      <c r="DT117" s="1382">
        <f t="shared" si="334"/>
        <v>1182.5983999999999</v>
      </c>
      <c r="DU117" s="1382">
        <f t="shared" si="335"/>
        <v>1385.17056</v>
      </c>
      <c r="DV117" s="1382">
        <f t="shared" si="336"/>
        <v>2335.7588400000004</v>
      </c>
      <c r="DW117" s="1382">
        <f t="shared" ca="1" si="337"/>
        <v>1996.9222489819413</v>
      </c>
      <c r="DX117" s="1382">
        <f t="shared" ca="1" si="338"/>
        <v>2515.8057086956251</v>
      </c>
      <c r="DY117" s="1382">
        <f t="shared" ca="1" si="339"/>
        <v>2541.3308440892979</v>
      </c>
      <c r="EA117"/>
      <c r="EB117"/>
      <c r="EC117"/>
      <c r="ED117"/>
      <c r="EE117"/>
      <c r="EF117"/>
      <c r="EG117" s="1466"/>
      <c r="EH117" s="1466"/>
      <c r="EI117" s="1466"/>
      <c r="EJ117"/>
      <c r="EK117"/>
      <c r="EL117"/>
      <c r="EN117" s="1466"/>
      <c r="EO117" s="1466"/>
      <c r="EP117" s="1466"/>
      <c r="EQ117" s="1466"/>
      <c r="ER117" s="234"/>
    </row>
    <row r="118" spans="1:148" s="923" customFormat="1" ht="12.75" customHeight="1" x14ac:dyDescent="0.2">
      <c r="A118" s="1755" t="s">
        <v>1049</v>
      </c>
      <c r="B118" s="220"/>
      <c r="C118" s="220"/>
      <c r="D118" s="220"/>
      <c r="E118" s="220"/>
      <c r="F118" s="220"/>
      <c r="G118" s="220"/>
      <c r="H118" s="220"/>
      <c r="I118" s="220"/>
      <c r="J118" s="220"/>
      <c r="K118" s="220"/>
      <c r="L118" s="220"/>
      <c r="M118" s="965"/>
      <c r="N118" s="220">
        <f t="shared" ref="N118:AS118" si="361">-N675</f>
        <v>-125</v>
      </c>
      <c r="O118" s="220">
        <f t="shared" si="361"/>
        <v>-126</v>
      </c>
      <c r="P118" s="220">
        <f t="shared" si="361"/>
        <v>-109</v>
      </c>
      <c r="Q118" s="220">
        <f t="shared" si="361"/>
        <v>-200</v>
      </c>
      <c r="R118" s="965">
        <f t="shared" si="361"/>
        <v>-560</v>
      </c>
      <c r="S118" s="220">
        <f t="shared" si="361"/>
        <v>-87</v>
      </c>
      <c r="T118" s="220">
        <f t="shared" si="361"/>
        <v>-85</v>
      </c>
      <c r="U118" s="220">
        <f t="shared" si="361"/>
        <v>-50</v>
      </c>
      <c r="V118" s="220">
        <f t="shared" si="361"/>
        <v>-70</v>
      </c>
      <c r="W118" s="965">
        <f t="shared" si="361"/>
        <v>-292</v>
      </c>
      <c r="X118" s="220">
        <f t="shared" si="361"/>
        <v>-63</v>
      </c>
      <c r="Y118" s="220">
        <f t="shared" si="361"/>
        <v>-53</v>
      </c>
      <c r="Z118" s="220">
        <f t="shared" si="361"/>
        <v>-28</v>
      </c>
      <c r="AA118" s="220">
        <f t="shared" si="361"/>
        <v>-66</v>
      </c>
      <c r="AB118" s="965">
        <f t="shared" si="361"/>
        <v>-210</v>
      </c>
      <c r="AC118" s="220">
        <f t="shared" si="361"/>
        <v>-31</v>
      </c>
      <c r="AD118" s="220">
        <f t="shared" si="361"/>
        <v>-50</v>
      </c>
      <c r="AE118" s="220">
        <f t="shared" si="361"/>
        <v>-34</v>
      </c>
      <c r="AF118" s="220">
        <f t="shared" si="361"/>
        <v>-66</v>
      </c>
      <c r="AG118" s="965">
        <f t="shared" si="361"/>
        <v>-181</v>
      </c>
      <c r="AH118" s="220">
        <f t="shared" si="361"/>
        <v>-35</v>
      </c>
      <c r="AI118" s="220">
        <f t="shared" si="361"/>
        <v>-98</v>
      </c>
      <c r="AJ118" s="220">
        <f t="shared" si="361"/>
        <v>-493</v>
      </c>
      <c r="AK118" s="220">
        <f t="shared" si="361"/>
        <v>-154</v>
      </c>
      <c r="AL118" s="965">
        <f t="shared" si="361"/>
        <v>-780</v>
      </c>
      <c r="AM118" s="220">
        <f t="shared" si="361"/>
        <v>-102</v>
      </c>
      <c r="AN118" s="220">
        <f t="shared" si="361"/>
        <v>-51</v>
      </c>
      <c r="AO118" s="220">
        <f t="shared" si="361"/>
        <v>-66</v>
      </c>
      <c r="AP118" s="220">
        <f t="shared" si="361"/>
        <v>-310</v>
      </c>
      <c r="AQ118" s="965">
        <f t="shared" si="361"/>
        <v>-529</v>
      </c>
      <c r="AR118" s="220">
        <f t="shared" si="361"/>
        <v>-158</v>
      </c>
      <c r="AS118" s="220">
        <f t="shared" si="361"/>
        <v>-151</v>
      </c>
      <c r="AT118" s="220">
        <f t="shared" ref="AT118:BK118" si="362">-AT675</f>
        <v>-219</v>
      </c>
      <c r="AU118" s="220">
        <f t="shared" si="362"/>
        <v>-143</v>
      </c>
      <c r="AV118" s="965">
        <f t="shared" si="362"/>
        <v>-671</v>
      </c>
      <c r="AW118" s="220">
        <f t="shared" si="362"/>
        <v>-65</v>
      </c>
      <c r="AX118" s="220">
        <f t="shared" si="362"/>
        <v>-87</v>
      </c>
      <c r="AY118" s="220">
        <f t="shared" si="362"/>
        <v>-68</v>
      </c>
      <c r="AZ118" s="220">
        <f t="shared" si="362"/>
        <v>-137</v>
      </c>
      <c r="BA118" s="965">
        <f t="shared" si="362"/>
        <v>-357</v>
      </c>
      <c r="BB118" s="220">
        <f t="shared" si="362"/>
        <v>-50</v>
      </c>
      <c r="BC118" s="220">
        <f t="shared" si="362"/>
        <v>-33</v>
      </c>
      <c r="BD118" s="220">
        <f t="shared" si="362"/>
        <v>-29</v>
      </c>
      <c r="BE118" s="220">
        <f t="shared" si="362"/>
        <v>-35</v>
      </c>
      <c r="BF118" s="965">
        <f t="shared" si="362"/>
        <v>-147</v>
      </c>
      <c r="BG118" s="220">
        <f t="shared" si="362"/>
        <v>-25</v>
      </c>
      <c r="BH118" s="220">
        <f t="shared" si="362"/>
        <v>-39</v>
      </c>
      <c r="BI118" s="220">
        <f t="shared" si="362"/>
        <v>-83</v>
      </c>
      <c r="BJ118" s="220">
        <f t="shared" si="362"/>
        <v>-160</v>
      </c>
      <c r="BK118" s="965">
        <f t="shared" si="362"/>
        <v>-307</v>
      </c>
      <c r="BL118" s="220">
        <f t="shared" ref="BL118:BU118" si="363">-BL674</f>
        <v>-43.25</v>
      </c>
      <c r="BM118" s="220">
        <f t="shared" si="363"/>
        <v>-10.25</v>
      </c>
      <c r="BN118" s="220">
        <f t="shared" si="363"/>
        <v>-18.25</v>
      </c>
      <c r="BO118" s="220">
        <f t="shared" si="363"/>
        <v>-36.25</v>
      </c>
      <c r="BP118" s="965">
        <f t="shared" si="363"/>
        <v>-108</v>
      </c>
      <c r="BQ118" s="220">
        <f t="shared" si="363"/>
        <v>-178.25</v>
      </c>
      <c r="BR118" s="220">
        <f t="shared" si="363"/>
        <v>-41.25</v>
      </c>
      <c r="BS118" s="220">
        <f t="shared" si="363"/>
        <v>-40.25</v>
      </c>
      <c r="BT118" s="220">
        <f t="shared" si="363"/>
        <v>-90</v>
      </c>
      <c r="BU118" s="965">
        <f t="shared" si="363"/>
        <v>-349.75</v>
      </c>
      <c r="BV118" s="220">
        <f t="shared" ref="BV118:CG118" si="364">-BV674</f>
        <v>-45</v>
      </c>
      <c r="BW118" s="220">
        <f>-BW674</f>
        <v>-52</v>
      </c>
      <c r="BX118" s="220">
        <f>-BX674</f>
        <v>-51</v>
      </c>
      <c r="BY118" s="220">
        <f t="shared" si="364"/>
        <v>-153</v>
      </c>
      <c r="BZ118" s="965">
        <f t="shared" si="364"/>
        <v>-301</v>
      </c>
      <c r="CA118" s="220">
        <f>-CA674</f>
        <v>-35</v>
      </c>
      <c r="CB118" s="220">
        <f t="shared" si="364"/>
        <v>-67.960000000000008</v>
      </c>
      <c r="CC118" s="220">
        <f t="shared" si="364"/>
        <v>-82.92</v>
      </c>
      <c r="CD118" s="1792">
        <f t="shared" si="364"/>
        <v>-118</v>
      </c>
      <c r="CE118" s="965">
        <f t="shared" si="364"/>
        <v>-303.88</v>
      </c>
      <c r="CF118" s="220">
        <f>-CF674</f>
        <v>-44.32</v>
      </c>
      <c r="CG118" s="220">
        <f t="shared" si="364"/>
        <v>-52.092800000000004</v>
      </c>
      <c r="CH118" s="220">
        <f>-CH674</f>
        <v>-25.865600000000001</v>
      </c>
      <c r="CI118" s="1792">
        <f>-CI674</f>
        <v>-56.32</v>
      </c>
      <c r="CJ118" s="965">
        <f>-CJ674</f>
        <v>-178.5984</v>
      </c>
      <c r="CK118" s="220">
        <f>-CK674</f>
        <v>-14.387999999999998</v>
      </c>
      <c r="CL118" s="220">
        <f>-CL674</f>
        <v>-7.2835200000000029</v>
      </c>
      <c r="CM118" s="220">
        <f t="shared" ref="CM118:CT118" si="365">-CM674</f>
        <v>-24.179040000000001</v>
      </c>
      <c r="CN118" s="1792">
        <f t="shared" si="365"/>
        <v>-36.32</v>
      </c>
      <c r="CO118" s="965">
        <f t="shared" si="365"/>
        <v>-82.170559999999995</v>
      </c>
      <c r="CP118" s="220">
        <f t="shared" si="365"/>
        <v>-30</v>
      </c>
      <c r="CQ118" s="220">
        <f t="shared" si="365"/>
        <v>-30</v>
      </c>
      <c r="CR118" s="220">
        <f t="shared" si="365"/>
        <v>-30</v>
      </c>
      <c r="CS118" s="220">
        <f t="shared" si="365"/>
        <v>-30</v>
      </c>
      <c r="CT118" s="965">
        <f t="shared" si="365"/>
        <v>-120</v>
      </c>
      <c r="CU118" s="220">
        <f t="shared" ref="CU118:DA118" si="366">-CU674</f>
        <v>-12.5</v>
      </c>
      <c r="CV118" s="220">
        <f t="shared" si="366"/>
        <v>-12.5</v>
      </c>
      <c r="CW118" s="220">
        <f t="shared" si="366"/>
        <v>-12.5</v>
      </c>
      <c r="CX118" s="220">
        <f t="shared" si="366"/>
        <v>-12.5</v>
      </c>
      <c r="CY118" s="965">
        <f t="shared" si="366"/>
        <v>-50</v>
      </c>
      <c r="CZ118" s="1792">
        <f t="shared" si="366"/>
        <v>-30</v>
      </c>
      <c r="DA118" s="965">
        <f t="shared" si="366"/>
        <v>-100</v>
      </c>
      <c r="DB118"/>
      <c r="DC118"/>
      <c r="DD118" s="2312" t="s">
        <v>1049</v>
      </c>
      <c r="DE118" s="2284">
        <f t="shared" si="319"/>
        <v>0</v>
      </c>
      <c r="DF118" s="2284">
        <f t="shared" si="320"/>
        <v>-560</v>
      </c>
      <c r="DG118" s="2284">
        <f t="shared" si="321"/>
        <v>-292</v>
      </c>
      <c r="DH118" s="2284">
        <f t="shared" si="322"/>
        <v>-210</v>
      </c>
      <c r="DI118" s="2284">
        <f t="shared" si="323"/>
        <v>-181</v>
      </c>
      <c r="DJ118" s="2284">
        <f t="shared" si="324"/>
        <v>-780</v>
      </c>
      <c r="DK118" s="2284">
        <f t="shared" si="325"/>
        <v>-529</v>
      </c>
      <c r="DL118" s="2284">
        <f t="shared" si="326"/>
        <v>-671</v>
      </c>
      <c r="DM118" s="2284">
        <f t="shared" si="327"/>
        <v>-357</v>
      </c>
      <c r="DN118" s="2284">
        <f t="shared" si="328"/>
        <v>-147</v>
      </c>
      <c r="DO118" s="2284">
        <f t="shared" si="329"/>
        <v>-307</v>
      </c>
      <c r="DP118" s="2284">
        <f t="shared" si="330"/>
        <v>-108</v>
      </c>
      <c r="DQ118" s="2284">
        <f t="shared" si="331"/>
        <v>-349.75</v>
      </c>
      <c r="DR118" s="2284">
        <f t="shared" si="332"/>
        <v>-301</v>
      </c>
      <c r="DS118" s="2284">
        <f t="shared" si="333"/>
        <v>-303.88</v>
      </c>
      <c r="DT118" s="2284">
        <f t="shared" si="334"/>
        <v>-178.5984</v>
      </c>
      <c r="DU118" s="2284">
        <f t="shared" si="335"/>
        <v>-82.170559999999995</v>
      </c>
      <c r="DV118" s="2284">
        <f t="shared" si="336"/>
        <v>-120</v>
      </c>
      <c r="DW118" s="2284">
        <f t="shared" si="337"/>
        <v>-50</v>
      </c>
      <c r="DX118" s="2284">
        <f t="shared" si="338"/>
        <v>-30</v>
      </c>
      <c r="DY118" s="2284">
        <f t="shared" si="339"/>
        <v>-100</v>
      </c>
      <c r="EA118"/>
      <c r="EB118"/>
      <c r="EC118"/>
      <c r="ED118"/>
      <c r="EE118"/>
      <c r="EF118"/>
      <c r="EG118" s="855"/>
      <c r="EH118" s="855"/>
      <c r="EI118" s="855"/>
      <c r="EJ118"/>
      <c r="EK118"/>
      <c r="EL118"/>
      <c r="EM118" s="1703"/>
      <c r="EN118" s="855"/>
      <c r="EO118" s="855"/>
      <c r="EP118" s="855"/>
      <c r="EQ118" s="855"/>
      <c r="ER118" s="234"/>
    </row>
    <row r="119" spans="1:148" ht="12.75" customHeight="1" x14ac:dyDescent="0.2">
      <c r="A119" s="1755" t="s">
        <v>1050</v>
      </c>
      <c r="B119" s="765"/>
      <c r="C119" s="765"/>
      <c r="D119" s="765"/>
      <c r="E119" s="765"/>
      <c r="F119" s="765"/>
      <c r="G119" s="765"/>
      <c r="H119" s="765"/>
      <c r="I119" s="765">
        <f>I710</f>
        <v>3</v>
      </c>
      <c r="J119" s="765">
        <f t="shared" ref="J119:R119" si="367">J710</f>
        <v>291</v>
      </c>
      <c r="K119" s="765">
        <f t="shared" si="367"/>
        <v>87</v>
      </c>
      <c r="L119" s="765">
        <f t="shared" si="367"/>
        <v>361</v>
      </c>
      <c r="M119" s="245">
        <f t="shared" si="367"/>
        <v>742</v>
      </c>
      <c r="N119" s="765">
        <f>N710</f>
        <v>241</v>
      </c>
      <c r="O119" s="765">
        <f t="shared" si="367"/>
        <v>120</v>
      </c>
      <c r="P119" s="765">
        <f t="shared" si="367"/>
        <v>147</v>
      </c>
      <c r="Q119" s="765">
        <f t="shared" si="367"/>
        <v>46</v>
      </c>
      <c r="R119" s="245">
        <f t="shared" si="367"/>
        <v>554</v>
      </c>
      <c r="S119" s="765">
        <f t="shared" ref="S119:AX119" si="368">S710</f>
        <v>99</v>
      </c>
      <c r="T119" s="765">
        <f t="shared" si="368"/>
        <v>183</v>
      </c>
      <c r="U119" s="765">
        <f t="shared" si="368"/>
        <v>231</v>
      </c>
      <c r="V119" s="765">
        <f t="shared" si="368"/>
        <v>216</v>
      </c>
      <c r="W119" s="245">
        <f t="shared" si="368"/>
        <v>729</v>
      </c>
      <c r="X119" s="765">
        <f t="shared" si="368"/>
        <v>263</v>
      </c>
      <c r="Y119" s="765">
        <f t="shared" si="368"/>
        <v>98</v>
      </c>
      <c r="Z119" s="765">
        <f t="shared" si="368"/>
        <v>126</v>
      </c>
      <c r="AA119" s="765">
        <f t="shared" si="368"/>
        <v>7</v>
      </c>
      <c r="AB119" s="245">
        <f t="shared" si="368"/>
        <v>494</v>
      </c>
      <c r="AC119" s="765">
        <f t="shared" si="368"/>
        <v>4</v>
      </c>
      <c r="AD119" s="765">
        <f t="shared" si="368"/>
        <v>19</v>
      </c>
      <c r="AE119" s="765">
        <f t="shared" si="368"/>
        <v>227</v>
      </c>
      <c r="AF119" s="765">
        <f t="shared" si="368"/>
        <v>152</v>
      </c>
      <c r="AG119" s="245">
        <f t="shared" si="368"/>
        <v>402</v>
      </c>
      <c r="AH119" s="765">
        <f t="shared" si="368"/>
        <v>15</v>
      </c>
      <c r="AI119" s="765">
        <f t="shared" si="368"/>
        <v>9</v>
      </c>
      <c r="AJ119" s="765">
        <f t="shared" si="368"/>
        <v>13</v>
      </c>
      <c r="AK119" s="765">
        <f t="shared" si="368"/>
        <v>261</v>
      </c>
      <c r="AL119" s="245">
        <f t="shared" si="368"/>
        <v>298</v>
      </c>
      <c r="AM119" s="765">
        <f t="shared" si="368"/>
        <v>160</v>
      </c>
      <c r="AN119" s="765">
        <f t="shared" si="368"/>
        <v>556</v>
      </c>
      <c r="AO119" s="765">
        <f t="shared" si="368"/>
        <v>63</v>
      </c>
      <c r="AP119" s="765">
        <f t="shared" si="368"/>
        <v>19</v>
      </c>
      <c r="AQ119" s="245">
        <f t="shared" si="368"/>
        <v>798</v>
      </c>
      <c r="AR119" s="765">
        <f t="shared" si="368"/>
        <v>48</v>
      </c>
      <c r="AS119" s="765">
        <f t="shared" si="368"/>
        <v>72</v>
      </c>
      <c r="AT119" s="765">
        <f t="shared" si="368"/>
        <v>319</v>
      </c>
      <c r="AU119" s="765">
        <f t="shared" si="368"/>
        <v>306</v>
      </c>
      <c r="AV119" s="245">
        <f t="shared" si="368"/>
        <v>745</v>
      </c>
      <c r="AW119" s="765">
        <f t="shared" si="368"/>
        <v>14</v>
      </c>
      <c r="AX119" s="765">
        <f t="shared" si="368"/>
        <v>5</v>
      </c>
      <c r="AY119" s="765">
        <f t="shared" ref="AY119:BU119" si="369">AY710</f>
        <v>0</v>
      </c>
      <c r="AZ119" s="765">
        <f t="shared" si="369"/>
        <v>19</v>
      </c>
      <c r="BA119" s="245">
        <f t="shared" si="369"/>
        <v>38</v>
      </c>
      <c r="BB119" s="765">
        <f t="shared" si="369"/>
        <v>1</v>
      </c>
      <c r="BC119" s="765">
        <f t="shared" si="369"/>
        <v>0</v>
      </c>
      <c r="BD119" s="765">
        <f t="shared" si="369"/>
        <v>0</v>
      </c>
      <c r="BE119" s="765">
        <f t="shared" si="369"/>
        <v>1</v>
      </c>
      <c r="BF119" s="245">
        <f t="shared" si="369"/>
        <v>2</v>
      </c>
      <c r="BG119" s="765">
        <f t="shared" si="369"/>
        <v>0</v>
      </c>
      <c r="BH119" s="765">
        <f t="shared" si="369"/>
        <v>0</v>
      </c>
      <c r="BI119" s="765">
        <f t="shared" si="369"/>
        <v>3</v>
      </c>
      <c r="BJ119" s="765">
        <f t="shared" si="369"/>
        <v>111</v>
      </c>
      <c r="BK119" s="245">
        <f t="shared" si="369"/>
        <v>114</v>
      </c>
      <c r="BL119" s="765">
        <f t="shared" si="369"/>
        <v>0</v>
      </c>
      <c r="BM119" s="765">
        <f t="shared" si="369"/>
        <v>0</v>
      </c>
      <c r="BN119" s="765">
        <f t="shared" si="369"/>
        <v>1</v>
      </c>
      <c r="BO119" s="765">
        <f t="shared" si="369"/>
        <v>19</v>
      </c>
      <c r="BP119" s="245">
        <f t="shared" si="369"/>
        <v>20</v>
      </c>
      <c r="BQ119" s="765">
        <f t="shared" si="369"/>
        <v>0</v>
      </c>
      <c r="BR119" s="765">
        <f t="shared" si="369"/>
        <v>4</v>
      </c>
      <c r="BS119" s="765">
        <f>BS710</f>
        <v>61</v>
      </c>
      <c r="BT119" s="765">
        <f t="shared" si="369"/>
        <v>0</v>
      </c>
      <c r="BU119" s="245">
        <f t="shared" si="369"/>
        <v>65</v>
      </c>
      <c r="BV119" s="765">
        <f t="shared" ref="BV119:CG119" si="370">BV710</f>
        <v>0</v>
      </c>
      <c r="BW119" s="765">
        <f>BW710</f>
        <v>0</v>
      </c>
      <c r="BX119" s="765">
        <f>BX710</f>
        <v>0</v>
      </c>
      <c r="BY119" s="765">
        <f t="shared" si="370"/>
        <v>0</v>
      </c>
      <c r="BZ119" s="245">
        <f t="shared" si="370"/>
        <v>0</v>
      </c>
      <c r="CA119" s="765">
        <f>CA710</f>
        <v>292</v>
      </c>
      <c r="CB119" s="765">
        <f t="shared" si="370"/>
        <v>0</v>
      </c>
      <c r="CC119" s="765">
        <f t="shared" si="370"/>
        <v>0</v>
      </c>
      <c r="CD119" s="1793">
        <f t="shared" si="370"/>
        <v>143</v>
      </c>
      <c r="CE119" s="245">
        <f t="shared" si="370"/>
        <v>435</v>
      </c>
      <c r="CF119" s="765">
        <f>CF710</f>
        <v>247</v>
      </c>
      <c r="CG119" s="765">
        <f t="shared" si="370"/>
        <v>334</v>
      </c>
      <c r="CH119" s="765">
        <f>CH710</f>
        <v>31</v>
      </c>
      <c r="CI119" s="1793">
        <f>CI710</f>
        <v>61</v>
      </c>
      <c r="CJ119" s="245">
        <f>CJ710</f>
        <v>673</v>
      </c>
      <c r="CK119" s="765">
        <f>CK710</f>
        <v>4</v>
      </c>
      <c r="CL119" s="765">
        <f>CL710</f>
        <v>49</v>
      </c>
      <c r="CM119" s="765">
        <f t="shared" ref="CM119:CT119" si="371">CM710</f>
        <v>0</v>
      </c>
      <c r="CN119" s="1793">
        <f t="shared" si="371"/>
        <v>165</v>
      </c>
      <c r="CO119" s="245">
        <f t="shared" si="371"/>
        <v>218</v>
      </c>
      <c r="CP119" s="765">
        <f t="shared" si="371"/>
        <v>311</v>
      </c>
      <c r="CQ119" s="765">
        <f t="shared" si="371"/>
        <v>171</v>
      </c>
      <c r="CR119" s="765">
        <f t="shared" si="371"/>
        <v>0</v>
      </c>
      <c r="CS119" s="765">
        <f t="shared" si="371"/>
        <v>659</v>
      </c>
      <c r="CT119" s="245">
        <f t="shared" si="371"/>
        <v>1141</v>
      </c>
      <c r="CU119" s="765">
        <f t="shared" ref="CU119:DA119" si="372">CU710</f>
        <v>-160</v>
      </c>
      <c r="CV119" s="765">
        <f t="shared" si="372"/>
        <v>-100</v>
      </c>
      <c r="CW119" s="765">
        <f t="shared" si="372"/>
        <v>-100</v>
      </c>
      <c r="CX119" s="765">
        <f t="shared" si="372"/>
        <v>-100</v>
      </c>
      <c r="CY119" s="245">
        <f t="shared" si="372"/>
        <v>-460</v>
      </c>
      <c r="CZ119" s="1793">
        <f t="shared" si="372"/>
        <v>0</v>
      </c>
      <c r="DA119" s="245">
        <f t="shared" si="372"/>
        <v>0</v>
      </c>
      <c r="DB119" s="537"/>
      <c r="DC119" s="537"/>
      <c r="DD119" s="2312" t="s">
        <v>1050</v>
      </c>
      <c r="DE119" s="2289">
        <f t="shared" si="319"/>
        <v>742</v>
      </c>
      <c r="DF119" s="2289">
        <f t="shared" si="320"/>
        <v>554</v>
      </c>
      <c r="DG119" s="2289">
        <f t="shared" si="321"/>
        <v>729</v>
      </c>
      <c r="DH119" s="2289">
        <f t="shared" si="322"/>
        <v>494</v>
      </c>
      <c r="DI119" s="2289">
        <f t="shared" si="323"/>
        <v>402</v>
      </c>
      <c r="DJ119" s="2289">
        <f t="shared" si="324"/>
        <v>298</v>
      </c>
      <c r="DK119" s="2289">
        <f t="shared" si="325"/>
        <v>798</v>
      </c>
      <c r="DL119" s="2289">
        <f t="shared" si="326"/>
        <v>745</v>
      </c>
      <c r="DM119" s="2289">
        <f t="shared" si="327"/>
        <v>38</v>
      </c>
      <c r="DN119" s="2289">
        <f t="shared" si="328"/>
        <v>2</v>
      </c>
      <c r="DO119" s="2289">
        <f t="shared" si="329"/>
        <v>114</v>
      </c>
      <c r="DP119" s="2289">
        <f t="shared" si="330"/>
        <v>20</v>
      </c>
      <c r="DQ119" s="2289">
        <f t="shared" si="331"/>
        <v>65</v>
      </c>
      <c r="DR119" s="2289">
        <f t="shared" si="332"/>
        <v>0</v>
      </c>
      <c r="DS119" s="2289">
        <f t="shared" si="333"/>
        <v>435</v>
      </c>
      <c r="DT119" s="2289">
        <f t="shared" si="334"/>
        <v>673</v>
      </c>
      <c r="DU119" s="2289">
        <f t="shared" si="335"/>
        <v>218</v>
      </c>
      <c r="DV119" s="2289">
        <f t="shared" si="336"/>
        <v>1141</v>
      </c>
      <c r="DW119" s="2289">
        <f t="shared" si="337"/>
        <v>-460</v>
      </c>
      <c r="DX119" s="2289">
        <f t="shared" si="338"/>
        <v>0</v>
      </c>
      <c r="DY119" s="2289">
        <f t="shared" si="339"/>
        <v>0</v>
      </c>
      <c r="DZ119" s="855"/>
      <c r="EK119"/>
      <c r="EL119"/>
      <c r="EM119" s="1703"/>
    </row>
    <row r="120" spans="1:148" s="923" customFormat="1" ht="12.75" customHeight="1" x14ac:dyDescent="0.2">
      <c r="A120" s="1669" t="s">
        <v>1051</v>
      </c>
      <c r="B120" s="220"/>
      <c r="C120" s="220"/>
      <c r="D120" s="220"/>
      <c r="E120" s="220"/>
      <c r="F120" s="220"/>
      <c r="G120" s="220"/>
      <c r="H120" s="220"/>
      <c r="I120" s="220"/>
      <c r="J120" s="220"/>
      <c r="K120" s="220"/>
      <c r="L120" s="220"/>
      <c r="M120" s="965"/>
      <c r="N120" s="220"/>
      <c r="O120" s="220"/>
      <c r="P120" s="220"/>
      <c r="Q120" s="220"/>
      <c r="R120" s="965"/>
      <c r="S120" s="220"/>
      <c r="T120" s="220"/>
      <c r="U120" s="220"/>
      <c r="V120" s="220"/>
      <c r="W120" s="965"/>
      <c r="X120" s="220"/>
      <c r="Y120" s="220"/>
      <c r="Z120" s="220"/>
      <c r="AA120" s="220"/>
      <c r="AB120" s="965"/>
      <c r="AC120" s="220"/>
      <c r="AD120" s="220"/>
      <c r="AE120" s="220"/>
      <c r="AF120" s="220"/>
      <c r="AG120" s="965"/>
      <c r="AH120" s="220"/>
      <c r="AI120" s="220"/>
      <c r="AJ120" s="220"/>
      <c r="AK120" s="220"/>
      <c r="AL120" s="965"/>
      <c r="AM120" s="220">
        <f t="shared" ref="AM120:BU120" si="373">AM660</f>
        <v>-23</v>
      </c>
      <c r="AN120" s="220">
        <f t="shared" si="373"/>
        <v>-21</v>
      </c>
      <c r="AO120" s="220">
        <f t="shared" si="373"/>
        <v>-4</v>
      </c>
      <c r="AP120" s="220">
        <f t="shared" si="373"/>
        <v>-11</v>
      </c>
      <c r="AQ120" s="965">
        <f t="shared" si="373"/>
        <v>-59</v>
      </c>
      <c r="AR120" s="220">
        <f t="shared" si="373"/>
        <v>-1</v>
      </c>
      <c r="AS120" s="220">
        <f t="shared" si="373"/>
        <v>-3</v>
      </c>
      <c r="AT120" s="220">
        <f t="shared" si="373"/>
        <v>-1</v>
      </c>
      <c r="AU120" s="220">
        <f t="shared" si="373"/>
        <v>-26</v>
      </c>
      <c r="AV120" s="965">
        <f t="shared" si="373"/>
        <v>-31</v>
      </c>
      <c r="AW120" s="220">
        <f t="shared" si="373"/>
        <v>-8</v>
      </c>
      <c r="AX120" s="220">
        <f t="shared" si="373"/>
        <v>-8</v>
      </c>
      <c r="AY120" s="220">
        <f t="shared" si="373"/>
        <v>-4</v>
      </c>
      <c r="AZ120" s="220">
        <f t="shared" si="373"/>
        <v>-33</v>
      </c>
      <c r="BA120" s="965">
        <f t="shared" si="373"/>
        <v>-53</v>
      </c>
      <c r="BB120" s="220">
        <f t="shared" si="373"/>
        <v>-4</v>
      </c>
      <c r="BC120" s="220">
        <f t="shared" si="373"/>
        <v>-14</v>
      </c>
      <c r="BD120" s="220">
        <f t="shared" si="373"/>
        <v>-32</v>
      </c>
      <c r="BE120" s="220">
        <f t="shared" si="373"/>
        <v>-15</v>
      </c>
      <c r="BF120" s="965">
        <f t="shared" si="373"/>
        <v>-65</v>
      </c>
      <c r="BG120" s="220">
        <f t="shared" si="373"/>
        <v>-2</v>
      </c>
      <c r="BH120" s="220">
        <f t="shared" si="373"/>
        <v>-8</v>
      </c>
      <c r="BI120" s="220">
        <f t="shared" si="373"/>
        <v>-6</v>
      </c>
      <c r="BJ120" s="220">
        <f t="shared" si="373"/>
        <v>-8</v>
      </c>
      <c r="BK120" s="965">
        <f t="shared" si="373"/>
        <v>-24</v>
      </c>
      <c r="BL120" s="220">
        <f t="shared" si="373"/>
        <v>-2</v>
      </c>
      <c r="BM120" s="220">
        <f t="shared" si="373"/>
        <v>-9</v>
      </c>
      <c r="BN120" s="220">
        <f t="shared" si="373"/>
        <v>-9</v>
      </c>
      <c r="BO120" s="220">
        <f t="shared" si="373"/>
        <v>-6</v>
      </c>
      <c r="BP120" s="965">
        <f t="shared" si="373"/>
        <v>-26</v>
      </c>
      <c r="BQ120" s="220">
        <f t="shared" si="373"/>
        <v>-1</v>
      </c>
      <c r="BR120" s="220">
        <f t="shared" si="373"/>
        <v>-1</v>
      </c>
      <c r="BS120" s="220">
        <f>BS660</f>
        <v>0</v>
      </c>
      <c r="BT120" s="220">
        <f t="shared" si="373"/>
        <v>-15</v>
      </c>
      <c r="BU120" s="965">
        <f t="shared" si="373"/>
        <v>-17</v>
      </c>
      <c r="BV120" s="220">
        <f t="shared" ref="BV120:CG120" si="374">BV660</f>
        <v>-3</v>
      </c>
      <c r="BW120" s="220">
        <f>BW660</f>
        <v>-1</v>
      </c>
      <c r="BX120" s="220">
        <f>BX660</f>
        <v>-1</v>
      </c>
      <c r="BY120" s="220">
        <f t="shared" si="374"/>
        <v>-2</v>
      </c>
      <c r="BZ120" s="965">
        <f t="shared" si="374"/>
        <v>-7</v>
      </c>
      <c r="CA120" s="220">
        <f>CA660</f>
        <v>-3</v>
      </c>
      <c r="CB120" s="220">
        <f t="shared" si="374"/>
        <v>-100</v>
      </c>
      <c r="CC120" s="220">
        <f t="shared" si="374"/>
        <v>0</v>
      </c>
      <c r="CD120" s="1792">
        <f t="shared" si="374"/>
        <v>0</v>
      </c>
      <c r="CE120" s="965">
        <f t="shared" si="374"/>
        <v>-103</v>
      </c>
      <c r="CF120" s="220">
        <f>CF660</f>
        <v>-10</v>
      </c>
      <c r="CG120" s="220">
        <f t="shared" si="374"/>
        <v>-2</v>
      </c>
      <c r="CH120" s="220">
        <f>CH660</f>
        <v>0</v>
      </c>
      <c r="CI120" s="1792">
        <f>CI660</f>
        <v>-54</v>
      </c>
      <c r="CJ120" s="965">
        <f>CJ660</f>
        <v>-66</v>
      </c>
      <c r="CK120" s="220">
        <f>CK660</f>
        <v>-16</v>
      </c>
      <c r="CL120" s="220">
        <f>CL660</f>
        <v>-8</v>
      </c>
      <c r="CM120" s="220">
        <f t="shared" ref="CM120:CT120" si="375">CM660</f>
        <v>0</v>
      </c>
      <c r="CN120" s="1792">
        <f t="shared" si="375"/>
        <v>-8</v>
      </c>
      <c r="CO120" s="965">
        <f t="shared" si="375"/>
        <v>-32</v>
      </c>
      <c r="CP120" s="220">
        <f t="shared" si="375"/>
        <v>-32</v>
      </c>
      <c r="CQ120" s="220">
        <f t="shared" si="375"/>
        <v>-16</v>
      </c>
      <c r="CR120" s="220">
        <f t="shared" si="375"/>
        <v>0</v>
      </c>
      <c r="CS120" s="220">
        <f t="shared" si="375"/>
        <v>-16</v>
      </c>
      <c r="CT120" s="965">
        <f t="shared" si="375"/>
        <v>-64</v>
      </c>
      <c r="CU120" s="220">
        <f t="shared" ref="CU120:DA120" si="376">CU660</f>
        <v>-44.8</v>
      </c>
      <c r="CV120" s="220">
        <f t="shared" si="376"/>
        <v>-22.4</v>
      </c>
      <c r="CW120" s="220">
        <f t="shared" si="376"/>
        <v>0</v>
      </c>
      <c r="CX120" s="220">
        <f t="shared" si="376"/>
        <v>-22.4</v>
      </c>
      <c r="CY120" s="965">
        <f t="shared" si="376"/>
        <v>-89.6</v>
      </c>
      <c r="CZ120" s="1792">
        <f t="shared" si="376"/>
        <v>-98.56</v>
      </c>
      <c r="DA120" s="965">
        <f t="shared" si="376"/>
        <v>-93.631999999999991</v>
      </c>
      <c r="DB120"/>
      <c r="DC120"/>
      <c r="DD120" s="2311" t="s">
        <v>1051</v>
      </c>
      <c r="DE120" s="2284">
        <f t="shared" si="319"/>
        <v>0</v>
      </c>
      <c r="DF120" s="2284">
        <f t="shared" si="320"/>
        <v>0</v>
      </c>
      <c r="DG120" s="2284">
        <f t="shared" si="321"/>
        <v>0</v>
      </c>
      <c r="DH120" s="2284">
        <f t="shared" si="322"/>
        <v>0</v>
      </c>
      <c r="DI120" s="2284">
        <f t="shared" si="323"/>
        <v>0</v>
      </c>
      <c r="DJ120" s="2284">
        <f t="shared" si="324"/>
        <v>0</v>
      </c>
      <c r="DK120" s="2284">
        <f t="shared" si="325"/>
        <v>-59</v>
      </c>
      <c r="DL120" s="2284">
        <f t="shared" si="326"/>
        <v>-31</v>
      </c>
      <c r="DM120" s="2284">
        <f t="shared" si="327"/>
        <v>-53</v>
      </c>
      <c r="DN120" s="2284">
        <f t="shared" si="328"/>
        <v>-65</v>
      </c>
      <c r="DO120" s="2284">
        <f t="shared" si="329"/>
        <v>-24</v>
      </c>
      <c r="DP120" s="2284">
        <f t="shared" si="330"/>
        <v>-26</v>
      </c>
      <c r="DQ120" s="2284">
        <f t="shared" si="331"/>
        <v>-17</v>
      </c>
      <c r="DR120" s="2284">
        <f t="shared" si="332"/>
        <v>-7</v>
      </c>
      <c r="DS120" s="2284">
        <f t="shared" si="333"/>
        <v>-103</v>
      </c>
      <c r="DT120" s="2284">
        <f t="shared" si="334"/>
        <v>-66</v>
      </c>
      <c r="DU120" s="2284">
        <f t="shared" si="335"/>
        <v>-32</v>
      </c>
      <c r="DV120" s="2284">
        <f t="shared" si="336"/>
        <v>-64</v>
      </c>
      <c r="DW120" s="2284">
        <f t="shared" si="337"/>
        <v>-89.6</v>
      </c>
      <c r="DX120" s="2284">
        <f t="shared" si="338"/>
        <v>-98.56</v>
      </c>
      <c r="DY120" s="2284">
        <f t="shared" si="339"/>
        <v>-93.631999999999991</v>
      </c>
      <c r="EA120"/>
      <c r="EB120"/>
      <c r="EC120"/>
      <c r="ED120"/>
      <c r="EE120"/>
      <c r="EF120"/>
      <c r="EG120" s="855"/>
      <c r="EH120" s="855"/>
      <c r="EI120" s="855"/>
      <c r="EJ120"/>
      <c r="EK120"/>
      <c r="EL120"/>
      <c r="EM120" s="1703"/>
      <c r="EN120" s="855"/>
      <c r="EO120" s="855"/>
      <c r="EP120" s="855"/>
      <c r="EQ120" s="855"/>
      <c r="ER120" s="234"/>
    </row>
    <row r="121" spans="1:148" s="923" customFormat="1" ht="12.75" customHeight="1" x14ac:dyDescent="0.2">
      <c r="A121" s="1669" t="s">
        <v>1052</v>
      </c>
      <c r="B121" s="220"/>
      <c r="C121" s="220"/>
      <c r="D121" s="220"/>
      <c r="E121" s="220"/>
      <c r="F121" s="220"/>
      <c r="G121" s="220"/>
      <c r="H121" s="220"/>
      <c r="I121" s="220"/>
      <c r="J121" s="220"/>
      <c r="K121" s="220"/>
      <c r="L121" s="220"/>
      <c r="M121" s="965"/>
      <c r="N121" s="220"/>
      <c r="O121" s="220"/>
      <c r="P121" s="220"/>
      <c r="Q121" s="220"/>
      <c r="R121" s="965"/>
      <c r="S121" s="220"/>
      <c r="T121" s="220"/>
      <c r="U121" s="220"/>
      <c r="V121" s="220"/>
      <c r="W121" s="965"/>
      <c r="X121" s="220"/>
      <c r="Y121" s="220"/>
      <c r="Z121" s="220"/>
      <c r="AA121" s="220"/>
      <c r="AB121" s="965"/>
      <c r="AC121" s="220"/>
      <c r="AD121" s="220"/>
      <c r="AE121" s="220"/>
      <c r="AF121" s="220"/>
      <c r="AG121" s="965"/>
      <c r="AH121" s="220"/>
      <c r="AI121" s="220"/>
      <c r="AJ121" s="220"/>
      <c r="AK121" s="220"/>
      <c r="AL121" s="965"/>
      <c r="AM121" s="220">
        <f t="shared" ref="AM121:BU121" si="377">AM662</f>
        <v>21</v>
      </c>
      <c r="AN121" s="220">
        <f t="shared" si="377"/>
        <v>12</v>
      </c>
      <c r="AO121" s="220">
        <f t="shared" si="377"/>
        <v>23</v>
      </c>
      <c r="AP121" s="220">
        <f t="shared" si="377"/>
        <v>65</v>
      </c>
      <c r="AQ121" s="965">
        <f t="shared" si="377"/>
        <v>121</v>
      </c>
      <c r="AR121" s="220">
        <f t="shared" si="377"/>
        <v>48</v>
      </c>
      <c r="AS121" s="220">
        <f t="shared" si="377"/>
        <v>31</v>
      </c>
      <c r="AT121" s="220">
        <f t="shared" si="377"/>
        <v>7</v>
      </c>
      <c r="AU121" s="220">
        <f t="shared" si="377"/>
        <v>20</v>
      </c>
      <c r="AV121" s="965">
        <f t="shared" si="377"/>
        <v>106</v>
      </c>
      <c r="AW121" s="220">
        <f t="shared" si="377"/>
        <v>15</v>
      </c>
      <c r="AX121" s="220">
        <f t="shared" si="377"/>
        <v>14</v>
      </c>
      <c r="AY121" s="220">
        <f t="shared" si="377"/>
        <v>4</v>
      </c>
      <c r="AZ121" s="220">
        <f t="shared" si="377"/>
        <v>3</v>
      </c>
      <c r="BA121" s="965">
        <f t="shared" si="377"/>
        <v>36</v>
      </c>
      <c r="BB121" s="220">
        <f t="shared" si="377"/>
        <v>4</v>
      </c>
      <c r="BC121" s="220">
        <f t="shared" si="377"/>
        <v>3</v>
      </c>
      <c r="BD121" s="220">
        <f t="shared" si="377"/>
        <v>8</v>
      </c>
      <c r="BE121" s="220">
        <f t="shared" si="377"/>
        <v>5</v>
      </c>
      <c r="BF121" s="965">
        <f t="shared" si="377"/>
        <v>20</v>
      </c>
      <c r="BG121" s="220">
        <f t="shared" si="377"/>
        <v>2</v>
      </c>
      <c r="BH121" s="220">
        <f t="shared" si="377"/>
        <v>7</v>
      </c>
      <c r="BI121" s="220">
        <f t="shared" si="377"/>
        <v>5</v>
      </c>
      <c r="BJ121" s="220">
        <f t="shared" si="377"/>
        <v>4</v>
      </c>
      <c r="BK121" s="965">
        <f t="shared" si="377"/>
        <v>18</v>
      </c>
      <c r="BL121" s="220">
        <f t="shared" si="377"/>
        <v>2</v>
      </c>
      <c r="BM121" s="220">
        <f t="shared" si="377"/>
        <v>86</v>
      </c>
      <c r="BN121" s="220">
        <f t="shared" si="377"/>
        <v>21</v>
      </c>
      <c r="BO121" s="220">
        <f t="shared" si="377"/>
        <v>1</v>
      </c>
      <c r="BP121" s="965">
        <f t="shared" si="377"/>
        <v>110</v>
      </c>
      <c r="BQ121" s="220">
        <f t="shared" si="377"/>
        <v>83</v>
      </c>
      <c r="BR121" s="220">
        <f t="shared" si="377"/>
        <v>23</v>
      </c>
      <c r="BS121" s="220">
        <f>BS662</f>
        <v>20</v>
      </c>
      <c r="BT121" s="220">
        <f t="shared" si="377"/>
        <v>29</v>
      </c>
      <c r="BU121" s="965">
        <f t="shared" si="377"/>
        <v>155</v>
      </c>
      <c r="BV121" s="220">
        <f t="shared" ref="BV121:CG121" si="378">BV662</f>
        <v>20</v>
      </c>
      <c r="BW121" s="220">
        <f>BW662</f>
        <v>23</v>
      </c>
      <c r="BX121" s="220">
        <f>BX662</f>
        <v>19</v>
      </c>
      <c r="BY121" s="220">
        <f t="shared" si="378"/>
        <v>15</v>
      </c>
      <c r="BZ121" s="965">
        <f t="shared" si="378"/>
        <v>77</v>
      </c>
      <c r="CA121" s="220">
        <f>CA662</f>
        <v>9</v>
      </c>
      <c r="CB121" s="220">
        <f t="shared" si="378"/>
        <v>8</v>
      </c>
      <c r="CC121" s="220">
        <f t="shared" si="378"/>
        <v>9</v>
      </c>
      <c r="CD121" s="1792">
        <f t="shared" si="378"/>
        <v>8</v>
      </c>
      <c r="CE121" s="965">
        <f t="shared" si="378"/>
        <v>34</v>
      </c>
      <c r="CF121" s="220">
        <f>CF662</f>
        <v>7</v>
      </c>
      <c r="CG121" s="220">
        <f t="shared" si="378"/>
        <v>7</v>
      </c>
      <c r="CH121" s="220">
        <f>CH662</f>
        <v>7</v>
      </c>
      <c r="CI121" s="1792">
        <f>CI662</f>
        <v>71</v>
      </c>
      <c r="CJ121" s="965">
        <f>CJ662</f>
        <v>92</v>
      </c>
      <c r="CK121" s="220">
        <f>CK662</f>
        <v>2</v>
      </c>
      <c r="CL121" s="220">
        <f>CL662</f>
        <v>0</v>
      </c>
      <c r="CM121" s="220">
        <f t="shared" ref="CM121:CT121" si="379">CM662</f>
        <v>59</v>
      </c>
      <c r="CN121" s="1792">
        <f t="shared" si="379"/>
        <v>6</v>
      </c>
      <c r="CO121" s="965">
        <f t="shared" si="379"/>
        <v>67</v>
      </c>
      <c r="CP121" s="220">
        <f t="shared" si="379"/>
        <v>6.25</v>
      </c>
      <c r="CQ121" s="220">
        <f t="shared" si="379"/>
        <v>6.25</v>
      </c>
      <c r="CR121" s="220">
        <f t="shared" si="379"/>
        <v>6.25</v>
      </c>
      <c r="CS121" s="220">
        <f t="shared" si="379"/>
        <v>86</v>
      </c>
      <c r="CT121" s="965">
        <f t="shared" si="379"/>
        <v>104.75</v>
      </c>
      <c r="CU121" s="220">
        <f t="shared" ref="CU121:DA121" si="380">CU662</f>
        <v>6.25</v>
      </c>
      <c r="CV121" s="220">
        <f t="shared" si="380"/>
        <v>6.25</v>
      </c>
      <c r="CW121" s="220">
        <f t="shared" si="380"/>
        <v>6.25</v>
      </c>
      <c r="CX121" s="220">
        <f t="shared" si="380"/>
        <v>6</v>
      </c>
      <c r="CY121" s="965">
        <f t="shared" si="380"/>
        <v>24.75</v>
      </c>
      <c r="CZ121" s="1792">
        <f t="shared" si="380"/>
        <v>25</v>
      </c>
      <c r="DA121" s="965">
        <f t="shared" si="380"/>
        <v>25</v>
      </c>
      <c r="DB121"/>
      <c r="DC121"/>
      <c r="DD121" s="2311" t="s">
        <v>1052</v>
      </c>
      <c r="DE121" s="2284">
        <f t="shared" si="319"/>
        <v>0</v>
      </c>
      <c r="DF121" s="2284">
        <f t="shared" si="320"/>
        <v>0</v>
      </c>
      <c r="DG121" s="2284">
        <f t="shared" si="321"/>
        <v>0</v>
      </c>
      <c r="DH121" s="2284">
        <f t="shared" si="322"/>
        <v>0</v>
      </c>
      <c r="DI121" s="2284">
        <f t="shared" si="323"/>
        <v>0</v>
      </c>
      <c r="DJ121" s="2284">
        <f t="shared" si="324"/>
        <v>0</v>
      </c>
      <c r="DK121" s="2284">
        <f t="shared" si="325"/>
        <v>121</v>
      </c>
      <c r="DL121" s="2284">
        <f t="shared" si="326"/>
        <v>106</v>
      </c>
      <c r="DM121" s="2284">
        <f t="shared" si="327"/>
        <v>36</v>
      </c>
      <c r="DN121" s="2284">
        <f t="shared" si="328"/>
        <v>20</v>
      </c>
      <c r="DO121" s="2284">
        <f t="shared" si="329"/>
        <v>18</v>
      </c>
      <c r="DP121" s="2284">
        <f t="shared" si="330"/>
        <v>110</v>
      </c>
      <c r="DQ121" s="2284">
        <f t="shared" si="331"/>
        <v>155</v>
      </c>
      <c r="DR121" s="2284">
        <f t="shared" si="332"/>
        <v>77</v>
      </c>
      <c r="DS121" s="2284">
        <f t="shared" si="333"/>
        <v>34</v>
      </c>
      <c r="DT121" s="2284">
        <f t="shared" si="334"/>
        <v>92</v>
      </c>
      <c r="DU121" s="2284">
        <f t="shared" si="335"/>
        <v>67</v>
      </c>
      <c r="DV121" s="2284">
        <f t="shared" si="336"/>
        <v>104.75</v>
      </c>
      <c r="DW121" s="2284">
        <f t="shared" si="337"/>
        <v>24.75</v>
      </c>
      <c r="DX121" s="2284">
        <f t="shared" si="338"/>
        <v>25</v>
      </c>
      <c r="DY121" s="2284">
        <f t="shared" si="339"/>
        <v>25</v>
      </c>
      <c r="EA121"/>
      <c r="EB121"/>
      <c r="EC121"/>
      <c r="ED121"/>
      <c r="EE121"/>
      <c r="EF121"/>
      <c r="EG121" s="855"/>
      <c r="EH121" s="855"/>
      <c r="EI121" s="855"/>
      <c r="EJ121"/>
      <c r="EK121"/>
      <c r="EL121"/>
      <c r="EM121" s="1703"/>
      <c r="EN121" s="855"/>
      <c r="EO121" s="855"/>
      <c r="EP121" s="855"/>
      <c r="EQ121" s="855"/>
      <c r="ER121" s="234"/>
    </row>
    <row r="122" spans="1:148" s="923" customFormat="1" ht="12.75" customHeight="1" x14ac:dyDescent="0.2">
      <c r="A122" s="1670" t="s">
        <v>1053</v>
      </c>
      <c r="B122" s="221"/>
      <c r="C122" s="221"/>
      <c r="D122" s="221"/>
      <c r="E122" s="221"/>
      <c r="F122" s="221"/>
      <c r="G122" s="221"/>
      <c r="H122" s="221"/>
      <c r="I122" s="221">
        <f>+I702</f>
        <v>-68</v>
      </c>
      <c r="J122" s="221">
        <f>+J702</f>
        <v>-5</v>
      </c>
      <c r="K122" s="221">
        <f>+K702</f>
        <v>-49</v>
      </c>
      <c r="L122" s="221">
        <f>+L702</f>
        <v>-73</v>
      </c>
      <c r="M122" s="849">
        <f>SUM(I122:L122)</f>
        <v>-195</v>
      </c>
      <c r="N122" s="221">
        <f>+N702</f>
        <v>-107</v>
      </c>
      <c r="O122" s="221">
        <f>+O702</f>
        <v>-36</v>
      </c>
      <c r="P122" s="221">
        <f>+P702</f>
        <v>-75</v>
      </c>
      <c r="Q122" s="221">
        <f>+Q702</f>
        <v>-140</v>
      </c>
      <c r="R122" s="849">
        <f>SUM(N122:Q122)</f>
        <v>-358</v>
      </c>
      <c r="S122" s="221">
        <f>+S702</f>
        <v>-29</v>
      </c>
      <c r="T122" s="221">
        <f>+T702</f>
        <v>-34</v>
      </c>
      <c r="U122" s="221">
        <f>+U702</f>
        <v>-41</v>
      </c>
      <c r="V122" s="221">
        <f>+V702</f>
        <v>41</v>
      </c>
      <c r="W122" s="849">
        <f>SUM(S122:V122)</f>
        <v>-63</v>
      </c>
      <c r="X122" s="221">
        <f>+X702</f>
        <v>-62</v>
      </c>
      <c r="Y122" s="221">
        <f>+Y702</f>
        <v>21</v>
      </c>
      <c r="Z122" s="221">
        <f>+Z702</f>
        <v>-47</v>
      </c>
      <c r="AA122" s="221">
        <f>+AA702</f>
        <v>-23</v>
      </c>
      <c r="AB122" s="849">
        <f>SUM(X122:AA122)</f>
        <v>-111</v>
      </c>
      <c r="AC122" s="221">
        <f>+AC702</f>
        <v>-47</v>
      </c>
      <c r="AD122" s="221">
        <f>+AD702</f>
        <v>139</v>
      </c>
      <c r="AE122" s="221">
        <f>+AE702</f>
        <v>-56</v>
      </c>
      <c r="AF122" s="221">
        <f>+AF702</f>
        <v>77</v>
      </c>
      <c r="AG122" s="849">
        <f>SUM(AC122:AF122)</f>
        <v>113</v>
      </c>
      <c r="AH122" s="221">
        <f>+AH702</f>
        <v>-88</v>
      </c>
      <c r="AI122" s="221">
        <f>+AI702</f>
        <v>100</v>
      </c>
      <c r="AJ122" s="221">
        <f>+AJ702</f>
        <v>-105</v>
      </c>
      <c r="AK122" s="221">
        <f>+AK702</f>
        <v>87</v>
      </c>
      <c r="AL122" s="849">
        <f>SUM(AH122:AK122)</f>
        <v>-6</v>
      </c>
      <c r="AM122" s="221">
        <f>+AM702</f>
        <v>-79</v>
      </c>
      <c r="AN122" s="221">
        <f>+AN702</f>
        <v>144</v>
      </c>
      <c r="AO122" s="221">
        <f>+AO702</f>
        <v>-198</v>
      </c>
      <c r="AP122" s="221">
        <f>+AP702</f>
        <v>29</v>
      </c>
      <c r="AQ122" s="849">
        <f>SUM(AM122:AP122)</f>
        <v>-104</v>
      </c>
      <c r="AR122" s="221">
        <f>+AR702</f>
        <v>-103</v>
      </c>
      <c r="AS122" s="221">
        <f>+AS702</f>
        <v>92</v>
      </c>
      <c r="AT122" s="221">
        <f>+AT702</f>
        <v>-169</v>
      </c>
      <c r="AU122" s="221">
        <f>+AU702</f>
        <v>25</v>
      </c>
      <c r="AV122" s="849">
        <f>SUM(AR122:AU122)</f>
        <v>-155</v>
      </c>
      <c r="AW122" s="221">
        <f>+AW702</f>
        <v>-102</v>
      </c>
      <c r="AX122" s="221">
        <f>+AX702</f>
        <v>68</v>
      </c>
      <c r="AY122" s="221">
        <f>+AY702</f>
        <v>-239</v>
      </c>
      <c r="AZ122" s="221">
        <f>+AZ702</f>
        <v>-125</v>
      </c>
      <c r="BA122" s="849">
        <f>SUM(AW122:AZ122)</f>
        <v>-398</v>
      </c>
      <c r="BB122" s="221">
        <f>+BB702</f>
        <v>152</v>
      </c>
      <c r="BC122" s="221">
        <f>+BC702</f>
        <v>-72</v>
      </c>
      <c r="BD122" s="221">
        <f>+BD702</f>
        <v>-26</v>
      </c>
      <c r="BE122" s="221">
        <f>+BE702</f>
        <v>92</v>
      </c>
      <c r="BF122" s="849">
        <f>SUM(BB122:BE122)</f>
        <v>146</v>
      </c>
      <c r="BG122" s="221">
        <f>+BG702</f>
        <v>68</v>
      </c>
      <c r="BH122" s="221">
        <f>+BH702</f>
        <v>57</v>
      </c>
      <c r="BI122" s="221">
        <f>+BI702</f>
        <v>88</v>
      </c>
      <c r="BJ122" s="221">
        <f>+BJ702</f>
        <v>3</v>
      </c>
      <c r="BK122" s="849">
        <f>SUM(BG122:BJ122)</f>
        <v>216</v>
      </c>
      <c r="BL122" s="221">
        <f>+BL702</f>
        <v>81</v>
      </c>
      <c r="BM122" s="221">
        <f>+BM702</f>
        <v>32</v>
      </c>
      <c r="BN122" s="221">
        <f>+BN702</f>
        <v>45</v>
      </c>
      <c r="BO122" s="221">
        <f>+BO702</f>
        <v>17</v>
      </c>
      <c r="BP122" s="849">
        <f>SUM(BL122:BO122)</f>
        <v>175</v>
      </c>
      <c r="BQ122" s="221">
        <f>+BQ702</f>
        <v>0</v>
      </c>
      <c r="BR122" s="221">
        <f>+BR702</f>
        <v>0</v>
      </c>
      <c r="BS122" s="221">
        <f>+BS702</f>
        <v>0</v>
      </c>
      <c r="BT122" s="221">
        <f>+BT702</f>
        <v>0</v>
      </c>
      <c r="BU122" s="849">
        <f>SUM(BQ122:BT122)</f>
        <v>0</v>
      </c>
      <c r="BV122" s="221">
        <f>+BV702</f>
        <v>0</v>
      </c>
      <c r="BW122" s="221">
        <f>+BW702</f>
        <v>0</v>
      </c>
      <c r="BX122" s="221">
        <f>+BX702</f>
        <v>0</v>
      </c>
      <c r="BY122" s="221">
        <f>+BY702</f>
        <v>0</v>
      </c>
      <c r="BZ122" s="849">
        <f>SUM(BV122:BY122)</f>
        <v>0</v>
      </c>
      <c r="CA122" s="221">
        <f>+CA702</f>
        <v>0</v>
      </c>
      <c r="CB122" s="877">
        <f>+CB702</f>
        <v>0</v>
      </c>
      <c r="CC122" s="877">
        <f>+CC702</f>
        <v>0</v>
      </c>
      <c r="CD122" s="1794">
        <f>+CD702</f>
        <v>0</v>
      </c>
      <c r="CE122" s="849">
        <f>SUM(CA122:CD122)</f>
        <v>0</v>
      </c>
      <c r="CF122" s="221">
        <f>+CF702</f>
        <v>0</v>
      </c>
      <c r="CG122" s="877">
        <f>+CG702</f>
        <v>0</v>
      </c>
      <c r="CH122" s="877">
        <f>+CH702</f>
        <v>0</v>
      </c>
      <c r="CI122" s="1794">
        <f>+CI702</f>
        <v>0</v>
      </c>
      <c r="CJ122" s="849">
        <f>SUM(CF122:CI122)</f>
        <v>0</v>
      </c>
      <c r="CK122" s="877">
        <f>+CK702</f>
        <v>0</v>
      </c>
      <c r="CL122" s="877">
        <f>+CL702</f>
        <v>0</v>
      </c>
      <c r="CM122" s="877">
        <f>+CM702</f>
        <v>0</v>
      </c>
      <c r="CN122" s="1794">
        <f>+CN702</f>
        <v>0</v>
      </c>
      <c r="CO122" s="849">
        <f>SUM(CK122:CN122)</f>
        <v>0</v>
      </c>
      <c r="CP122" s="877">
        <f>+CP702</f>
        <v>0</v>
      </c>
      <c r="CQ122" s="877">
        <f>+CQ702</f>
        <v>0</v>
      </c>
      <c r="CR122" s="877">
        <f>+CR702</f>
        <v>0</v>
      </c>
      <c r="CS122" s="877">
        <f>+CS702</f>
        <v>0</v>
      </c>
      <c r="CT122" s="849">
        <f>SUM(CP122:CS122)</f>
        <v>0</v>
      </c>
      <c r="CU122" s="877">
        <f t="shared" ref="CU122:DA122" si="381">+CU702</f>
        <v>0</v>
      </c>
      <c r="CV122" s="877">
        <f t="shared" si="381"/>
        <v>0</v>
      </c>
      <c r="CW122" s="877">
        <f t="shared" si="381"/>
        <v>0</v>
      </c>
      <c r="CX122" s="877">
        <f t="shared" si="381"/>
        <v>0</v>
      </c>
      <c r="CY122" s="849">
        <f>SUM(CU122:CX122)</f>
        <v>0</v>
      </c>
      <c r="CZ122" s="1794">
        <f t="shared" si="381"/>
        <v>0</v>
      </c>
      <c r="DA122" s="849">
        <f t="shared" si="381"/>
        <v>0</v>
      </c>
      <c r="DB122"/>
      <c r="DC122"/>
      <c r="DD122" s="1670" t="s">
        <v>1053</v>
      </c>
      <c r="DE122" s="849">
        <f t="shared" si="319"/>
        <v>-195</v>
      </c>
      <c r="DF122" s="849">
        <f t="shared" si="320"/>
        <v>-358</v>
      </c>
      <c r="DG122" s="849">
        <f t="shared" si="321"/>
        <v>-63</v>
      </c>
      <c r="DH122" s="849">
        <f t="shared" si="322"/>
        <v>-111</v>
      </c>
      <c r="DI122" s="849">
        <f t="shared" si="323"/>
        <v>113</v>
      </c>
      <c r="DJ122" s="849">
        <f t="shared" si="324"/>
        <v>-6</v>
      </c>
      <c r="DK122" s="849">
        <f t="shared" si="325"/>
        <v>-104</v>
      </c>
      <c r="DL122" s="849">
        <f t="shared" si="326"/>
        <v>-155</v>
      </c>
      <c r="DM122" s="849">
        <f t="shared" si="327"/>
        <v>-398</v>
      </c>
      <c r="DN122" s="849">
        <f t="shared" si="328"/>
        <v>146</v>
      </c>
      <c r="DO122" s="849">
        <f t="shared" si="329"/>
        <v>216</v>
      </c>
      <c r="DP122" s="849">
        <f t="shared" si="330"/>
        <v>175</v>
      </c>
      <c r="DQ122" s="849">
        <f t="shared" si="331"/>
        <v>0</v>
      </c>
      <c r="DR122" s="849">
        <f t="shared" si="332"/>
        <v>0</v>
      </c>
      <c r="DS122" s="849">
        <f t="shared" si="333"/>
        <v>0</v>
      </c>
      <c r="DT122" s="849">
        <f t="shared" si="334"/>
        <v>0</v>
      </c>
      <c r="DU122" s="849">
        <f t="shared" si="335"/>
        <v>0</v>
      </c>
      <c r="DV122" s="849">
        <f t="shared" si="336"/>
        <v>0</v>
      </c>
      <c r="DW122" s="849">
        <f t="shared" si="337"/>
        <v>0</v>
      </c>
      <c r="DX122" s="849">
        <f t="shared" si="338"/>
        <v>0</v>
      </c>
      <c r="DY122" s="849">
        <f t="shared" si="339"/>
        <v>0</v>
      </c>
      <c r="EA122"/>
      <c r="EB122"/>
      <c r="EC122"/>
      <c r="ED122"/>
      <c r="EE122"/>
      <c r="EF122"/>
      <c r="EG122" s="855"/>
      <c r="EH122" s="855"/>
      <c r="EI122" s="855"/>
      <c r="EJ122"/>
      <c r="EK122"/>
      <c r="EL122"/>
      <c r="EM122" s="1703"/>
      <c r="EN122" s="855"/>
      <c r="EO122" s="855"/>
      <c r="EP122" s="855"/>
      <c r="EQ122" s="855"/>
      <c r="ER122" s="234"/>
    </row>
    <row r="123" spans="1:148" s="1703" customFormat="1" ht="12.75" customHeight="1" x14ac:dyDescent="0.2">
      <c r="A123" s="1970" t="s">
        <v>705</v>
      </c>
      <c r="B123" s="1381"/>
      <c r="C123" s="1381"/>
      <c r="D123" s="1381"/>
      <c r="E123" s="1381"/>
      <c r="F123" s="1381"/>
      <c r="G123" s="1381"/>
      <c r="H123" s="1381"/>
      <c r="I123" s="1381">
        <f t="shared" ref="I123:AN123" si="382">SUM(I117:I122)</f>
        <v>16.15384615384616</v>
      </c>
      <c r="J123" s="1381">
        <f t="shared" si="382"/>
        <v>537.15384615384619</v>
      </c>
      <c r="K123" s="1381">
        <f t="shared" si="382"/>
        <v>417.15384615384619</v>
      </c>
      <c r="L123" s="1381">
        <f t="shared" si="382"/>
        <v>587.53846153846155</v>
      </c>
      <c r="M123" s="1382">
        <f t="shared" si="382"/>
        <v>1558</v>
      </c>
      <c r="N123" s="1381">
        <f t="shared" si="382"/>
        <v>131.61538461538464</v>
      </c>
      <c r="O123" s="1381">
        <f t="shared" si="382"/>
        <v>141.61538461538461</v>
      </c>
      <c r="P123" s="1381">
        <f t="shared" si="382"/>
        <v>291.61538461538464</v>
      </c>
      <c r="Q123" s="1381">
        <f t="shared" si="382"/>
        <v>-215.84615384615384</v>
      </c>
      <c r="R123" s="1382">
        <f t="shared" si="382"/>
        <v>349</v>
      </c>
      <c r="S123" s="1381">
        <f t="shared" si="382"/>
        <v>65.8</v>
      </c>
      <c r="T123" s="1381">
        <f t="shared" si="382"/>
        <v>367.32307692307694</v>
      </c>
      <c r="U123" s="1381">
        <f t="shared" si="382"/>
        <v>377.32307692307694</v>
      </c>
      <c r="V123" s="1381">
        <f t="shared" si="382"/>
        <v>239.7076923076923</v>
      </c>
      <c r="W123" s="1382">
        <f t="shared" si="382"/>
        <v>1050.1538461538462</v>
      </c>
      <c r="X123" s="1381">
        <f t="shared" si="382"/>
        <v>157</v>
      </c>
      <c r="Y123" s="1381">
        <f t="shared" si="382"/>
        <v>209</v>
      </c>
      <c r="Z123" s="1381">
        <f t="shared" si="382"/>
        <v>164</v>
      </c>
      <c r="AA123" s="1381">
        <f t="shared" si="382"/>
        <v>324</v>
      </c>
      <c r="AB123" s="1382">
        <f t="shared" si="382"/>
        <v>854</v>
      </c>
      <c r="AC123" s="1381">
        <f t="shared" si="382"/>
        <v>-9</v>
      </c>
      <c r="AD123" s="1381">
        <f t="shared" si="382"/>
        <v>288</v>
      </c>
      <c r="AE123" s="1381">
        <f t="shared" si="382"/>
        <v>377</v>
      </c>
      <c r="AF123" s="1381">
        <f t="shared" si="382"/>
        <v>514</v>
      </c>
      <c r="AG123" s="1382">
        <f t="shared" si="382"/>
        <v>1170</v>
      </c>
      <c r="AH123" s="1381">
        <f t="shared" si="382"/>
        <v>-37</v>
      </c>
      <c r="AI123" s="1381">
        <f t="shared" si="382"/>
        <v>339</v>
      </c>
      <c r="AJ123" s="1381">
        <f t="shared" si="382"/>
        <v>-347</v>
      </c>
      <c r="AK123" s="1381">
        <f t="shared" si="382"/>
        <v>467</v>
      </c>
      <c r="AL123" s="1382">
        <f t="shared" si="382"/>
        <v>422</v>
      </c>
      <c r="AM123" s="1381">
        <f t="shared" si="382"/>
        <v>101</v>
      </c>
      <c r="AN123" s="1381">
        <f t="shared" si="382"/>
        <v>867</v>
      </c>
      <c r="AO123" s="1381">
        <f t="shared" ref="AO123:BT123" si="383">SUM(AO117:AO122)</f>
        <v>177</v>
      </c>
      <c r="AP123" s="1381">
        <f t="shared" si="383"/>
        <v>245</v>
      </c>
      <c r="AQ123" s="1382">
        <f t="shared" si="383"/>
        <v>1390</v>
      </c>
      <c r="AR123" s="1381">
        <f t="shared" si="383"/>
        <v>-168</v>
      </c>
      <c r="AS123" s="1381">
        <f t="shared" si="383"/>
        <v>519</v>
      </c>
      <c r="AT123" s="1381">
        <f t="shared" si="383"/>
        <v>76</v>
      </c>
      <c r="AU123" s="1381">
        <f t="shared" si="383"/>
        <v>629</v>
      </c>
      <c r="AV123" s="1382">
        <f t="shared" si="383"/>
        <v>1056</v>
      </c>
      <c r="AW123" s="1381">
        <f t="shared" si="383"/>
        <v>-111</v>
      </c>
      <c r="AX123" s="1381">
        <f t="shared" si="383"/>
        <v>348</v>
      </c>
      <c r="AY123" s="1381">
        <f t="shared" si="383"/>
        <v>130</v>
      </c>
      <c r="AZ123" s="1381">
        <f t="shared" si="383"/>
        <v>73</v>
      </c>
      <c r="BA123" s="1382">
        <f t="shared" si="383"/>
        <v>440</v>
      </c>
      <c r="BB123" s="1381">
        <f t="shared" si="383"/>
        <v>135</v>
      </c>
      <c r="BC123" s="1381">
        <f t="shared" si="383"/>
        <v>90</v>
      </c>
      <c r="BD123" s="1381">
        <f t="shared" si="383"/>
        <v>-43.800000000000011</v>
      </c>
      <c r="BE123" s="1381">
        <f t="shared" si="383"/>
        <v>233.8</v>
      </c>
      <c r="BF123" s="1382">
        <f t="shared" si="383"/>
        <v>415</v>
      </c>
      <c r="BG123" s="1381">
        <f t="shared" si="383"/>
        <v>126</v>
      </c>
      <c r="BH123" s="1381">
        <f t="shared" si="383"/>
        <v>312</v>
      </c>
      <c r="BI123" s="1381">
        <f t="shared" si="383"/>
        <v>295</v>
      </c>
      <c r="BJ123" s="1381">
        <f t="shared" si="383"/>
        <v>170</v>
      </c>
      <c r="BK123" s="1382">
        <f t="shared" si="383"/>
        <v>903</v>
      </c>
      <c r="BL123" s="1381">
        <f t="shared" si="383"/>
        <v>64</v>
      </c>
      <c r="BM123" s="1381">
        <f t="shared" si="383"/>
        <v>381</v>
      </c>
      <c r="BN123" s="1381">
        <f t="shared" si="383"/>
        <v>661</v>
      </c>
      <c r="BO123" s="1381">
        <f t="shared" si="383"/>
        <v>183</v>
      </c>
      <c r="BP123" s="1382">
        <f t="shared" si="383"/>
        <v>1215</v>
      </c>
      <c r="BQ123" s="1381">
        <f t="shared" si="383"/>
        <v>0</v>
      </c>
      <c r="BR123" s="1381">
        <f t="shared" si="383"/>
        <v>249</v>
      </c>
      <c r="BS123" s="1381">
        <f t="shared" si="383"/>
        <v>380</v>
      </c>
      <c r="BT123" s="1381">
        <f t="shared" si="383"/>
        <v>-127</v>
      </c>
      <c r="BU123" s="1382">
        <f t="shared" ref="BU123:CZ123" si="384">SUM(BU117:BU122)</f>
        <v>502</v>
      </c>
      <c r="BV123" s="1381">
        <f t="shared" si="384"/>
        <v>51</v>
      </c>
      <c r="BW123" s="1381">
        <f t="shared" si="384"/>
        <v>424</v>
      </c>
      <c r="BX123" s="1381">
        <f t="shared" si="384"/>
        <v>125</v>
      </c>
      <c r="BY123" s="1381">
        <f t="shared" si="384"/>
        <v>145</v>
      </c>
      <c r="BZ123" s="1382">
        <f t="shared" si="384"/>
        <v>745</v>
      </c>
      <c r="CA123" s="1381">
        <f t="shared" si="384"/>
        <v>413</v>
      </c>
      <c r="CB123" s="1381">
        <f t="shared" si="384"/>
        <v>278</v>
      </c>
      <c r="CC123" s="1381">
        <f t="shared" si="384"/>
        <v>160</v>
      </c>
      <c r="CD123" s="1381">
        <f t="shared" si="384"/>
        <v>263</v>
      </c>
      <c r="CE123" s="1382">
        <f t="shared" si="384"/>
        <v>1114</v>
      </c>
      <c r="CF123" s="1381">
        <f t="shared" si="384"/>
        <v>370</v>
      </c>
      <c r="CG123" s="1381">
        <f t="shared" si="384"/>
        <v>734</v>
      </c>
      <c r="CH123" s="1381">
        <f t="shared" si="384"/>
        <v>290</v>
      </c>
      <c r="CI123" s="1381">
        <f t="shared" si="384"/>
        <v>309</v>
      </c>
      <c r="CJ123" s="1382">
        <f t="shared" si="384"/>
        <v>1703</v>
      </c>
      <c r="CK123" s="1381">
        <f t="shared" si="384"/>
        <v>260.00000000000006</v>
      </c>
      <c r="CL123" s="1381">
        <f t="shared" si="384"/>
        <v>454</v>
      </c>
      <c r="CM123" s="1381">
        <f t="shared" si="384"/>
        <v>321</v>
      </c>
      <c r="CN123" s="1381">
        <f t="shared" si="384"/>
        <v>521</v>
      </c>
      <c r="CO123" s="1382">
        <f t="shared" si="384"/>
        <v>1556</v>
      </c>
      <c r="CP123" s="1381">
        <f t="shared" si="384"/>
        <v>697.83199999999999</v>
      </c>
      <c r="CQ123" s="1381">
        <f t="shared" si="384"/>
        <v>828.17527999999993</v>
      </c>
      <c r="CR123" s="1381">
        <f t="shared" si="384"/>
        <v>505.01855999999998</v>
      </c>
      <c r="CS123" s="1381">
        <f t="shared" si="384"/>
        <v>1366.4830000000002</v>
      </c>
      <c r="CT123" s="1382">
        <f t="shared" si="384"/>
        <v>3397.5088400000004</v>
      </c>
      <c r="CU123" s="1381">
        <f t="shared" ca="1" si="384"/>
        <v>327.4586782650519</v>
      </c>
      <c r="CV123" s="1381">
        <f t="shared" ca="1" si="384"/>
        <v>206.3096901571549</v>
      </c>
      <c r="CW123" s="1381">
        <f t="shared" ca="1" si="384"/>
        <v>450.84948143700933</v>
      </c>
      <c r="CX123" s="1381">
        <f t="shared" ca="1" si="384"/>
        <v>437.45439912272798</v>
      </c>
      <c r="CY123" s="1382">
        <f t="shared" ca="1" si="384"/>
        <v>1422.0722489819414</v>
      </c>
      <c r="CZ123" s="2207">
        <f t="shared" ca="1" si="384"/>
        <v>2412.2457086956251</v>
      </c>
      <c r="DA123" s="1382">
        <f t="shared" ref="DA123" ca="1" si="385">SUM(DA117:DA122)</f>
        <v>2372.6988440892978</v>
      </c>
      <c r="DB123"/>
      <c r="DC123"/>
      <c r="DD123" s="1970" t="s">
        <v>705</v>
      </c>
      <c r="DE123" s="1382">
        <f t="shared" si="319"/>
        <v>1558</v>
      </c>
      <c r="DF123" s="1382">
        <f t="shared" si="320"/>
        <v>349</v>
      </c>
      <c r="DG123" s="1382">
        <f t="shared" si="321"/>
        <v>1050.1538461538462</v>
      </c>
      <c r="DH123" s="1382">
        <f t="shared" si="322"/>
        <v>854</v>
      </c>
      <c r="DI123" s="1382">
        <f t="shared" si="323"/>
        <v>1170</v>
      </c>
      <c r="DJ123" s="1382">
        <f t="shared" si="324"/>
        <v>422</v>
      </c>
      <c r="DK123" s="1382">
        <f t="shared" si="325"/>
        <v>1390</v>
      </c>
      <c r="DL123" s="1382">
        <f t="shared" si="326"/>
        <v>1056</v>
      </c>
      <c r="DM123" s="1382">
        <f t="shared" si="327"/>
        <v>440</v>
      </c>
      <c r="DN123" s="1382">
        <f t="shared" si="328"/>
        <v>415</v>
      </c>
      <c r="DO123" s="1382">
        <f t="shared" si="329"/>
        <v>903</v>
      </c>
      <c r="DP123" s="1382">
        <f t="shared" si="330"/>
        <v>1215</v>
      </c>
      <c r="DQ123" s="1382">
        <f t="shared" si="331"/>
        <v>502</v>
      </c>
      <c r="DR123" s="1382">
        <f t="shared" si="332"/>
        <v>745</v>
      </c>
      <c r="DS123" s="1382">
        <f t="shared" si="333"/>
        <v>1114</v>
      </c>
      <c r="DT123" s="1382">
        <f t="shared" si="334"/>
        <v>1703</v>
      </c>
      <c r="DU123" s="1382">
        <f t="shared" si="335"/>
        <v>1556</v>
      </c>
      <c r="DV123" s="1382">
        <f t="shared" si="336"/>
        <v>3397.5088400000004</v>
      </c>
      <c r="DW123" s="1382">
        <f t="shared" ca="1" si="337"/>
        <v>1422.0722489819414</v>
      </c>
      <c r="DX123" s="1382">
        <f t="shared" ca="1" si="338"/>
        <v>2412.2457086956251</v>
      </c>
      <c r="DY123" s="1382">
        <f t="shared" ca="1" si="339"/>
        <v>2372.6988440892978</v>
      </c>
      <c r="EA123"/>
      <c r="EB123"/>
      <c r="EC123"/>
      <c r="ED123"/>
      <c r="EE123"/>
      <c r="EF123"/>
      <c r="EG123" s="1466"/>
      <c r="EH123" s="1466"/>
      <c r="EI123" s="1466"/>
      <c r="EJ123"/>
      <c r="EK123"/>
      <c r="EL123"/>
      <c r="EN123" s="1466"/>
      <c r="EO123" s="1466"/>
      <c r="EP123" s="1466"/>
      <c r="EQ123" s="1466"/>
      <c r="ER123" s="234"/>
    </row>
    <row r="124" spans="1:148" s="923" customFormat="1" ht="12.75" customHeight="1" x14ac:dyDescent="0.2">
      <c r="A124" s="1669" t="s">
        <v>1008</v>
      </c>
      <c r="B124" s="765"/>
      <c r="C124" s="765"/>
      <c r="D124" s="765"/>
      <c r="E124" s="765"/>
      <c r="F124" s="765"/>
      <c r="G124" s="765"/>
      <c r="H124" s="765"/>
      <c r="I124" s="765">
        <f t="shared" ref="I124:AF124" si="386">I719</f>
        <v>-236</v>
      </c>
      <c r="J124" s="765">
        <f t="shared" si="386"/>
        <v>-50</v>
      </c>
      <c r="K124" s="765">
        <f t="shared" si="386"/>
        <v>-15</v>
      </c>
      <c r="L124" s="765">
        <f t="shared" si="386"/>
        <v>-39</v>
      </c>
      <c r="M124" s="245">
        <f t="shared" si="386"/>
        <v>-340</v>
      </c>
      <c r="N124" s="765">
        <f t="shared" si="386"/>
        <v>-39</v>
      </c>
      <c r="O124" s="765">
        <f t="shared" si="386"/>
        <v>-35</v>
      </c>
      <c r="P124" s="765">
        <f t="shared" si="386"/>
        <v>-17</v>
      </c>
      <c r="Q124" s="765">
        <f t="shared" si="386"/>
        <v>-144</v>
      </c>
      <c r="R124" s="245">
        <f t="shared" si="386"/>
        <v>-235</v>
      </c>
      <c r="S124" s="765">
        <f t="shared" si="386"/>
        <v>17</v>
      </c>
      <c r="T124" s="765">
        <f t="shared" si="386"/>
        <v>-37</v>
      </c>
      <c r="U124" s="765">
        <f t="shared" si="386"/>
        <v>-111</v>
      </c>
      <c r="V124" s="765">
        <f t="shared" si="386"/>
        <v>-121</v>
      </c>
      <c r="W124" s="245">
        <f t="shared" si="386"/>
        <v>-252</v>
      </c>
      <c r="X124" s="765">
        <f t="shared" si="386"/>
        <v>-154</v>
      </c>
      <c r="Y124" s="765">
        <f t="shared" si="386"/>
        <v>-44</v>
      </c>
      <c r="Z124" s="765">
        <f t="shared" si="386"/>
        <v>-93</v>
      </c>
      <c r="AA124" s="765">
        <f t="shared" si="386"/>
        <v>-82</v>
      </c>
      <c r="AB124" s="245">
        <f t="shared" si="386"/>
        <v>-373</v>
      </c>
      <c r="AC124" s="765">
        <f t="shared" si="386"/>
        <v>-297</v>
      </c>
      <c r="AD124" s="765">
        <f t="shared" si="386"/>
        <v>-56</v>
      </c>
      <c r="AE124" s="765">
        <f t="shared" si="386"/>
        <v>-233</v>
      </c>
      <c r="AF124" s="765">
        <f t="shared" si="386"/>
        <v>-78</v>
      </c>
      <c r="AG124" s="245">
        <f>SUM(AC124:AF124)</f>
        <v>-664</v>
      </c>
      <c r="AH124" s="765">
        <f>AH719</f>
        <v>-320</v>
      </c>
      <c r="AI124" s="765">
        <f>AI719</f>
        <v>-433</v>
      </c>
      <c r="AJ124" s="765">
        <f>AJ719</f>
        <v>-513</v>
      </c>
      <c r="AK124" s="765">
        <f>AK719</f>
        <v>-378</v>
      </c>
      <c r="AL124" s="245">
        <f>SUM(AH124:AK124)</f>
        <v>-1644</v>
      </c>
      <c r="AM124" s="765">
        <f>AM719</f>
        <v>-236</v>
      </c>
      <c r="AN124" s="765">
        <f>AN719</f>
        <v>-352</v>
      </c>
      <c r="AO124" s="765">
        <f>AO719</f>
        <v>-474</v>
      </c>
      <c r="AP124" s="765">
        <f>AP719</f>
        <v>-484</v>
      </c>
      <c r="AQ124" s="245">
        <f>SUM(AM124:AP124)</f>
        <v>-1546</v>
      </c>
      <c r="AR124" s="765">
        <f>AR719</f>
        <v>-492</v>
      </c>
      <c r="AS124" s="765">
        <f>AS719</f>
        <v>-344</v>
      </c>
      <c r="AT124" s="765">
        <f>AT719</f>
        <v>-457</v>
      </c>
      <c r="AU124" s="765">
        <f>AU719</f>
        <v>-464</v>
      </c>
      <c r="AV124" s="245">
        <f>SUM(AR124:AU124)</f>
        <v>-1757</v>
      </c>
      <c r="AW124" s="765">
        <f>AW719</f>
        <v>-271</v>
      </c>
      <c r="AX124" s="765">
        <f>AX719</f>
        <v>-76</v>
      </c>
      <c r="AY124" s="765">
        <f>AY719</f>
        <v>-81</v>
      </c>
      <c r="AZ124" s="765">
        <f>AZ719</f>
        <v>-6</v>
      </c>
      <c r="BA124" s="245">
        <f>SUM(AW124:AZ124)</f>
        <v>-434</v>
      </c>
      <c r="BB124" s="765">
        <f>BB719</f>
        <v>0</v>
      </c>
      <c r="BC124" s="765">
        <f>BC719</f>
        <v>0</v>
      </c>
      <c r="BD124" s="765">
        <f>BD719</f>
        <v>0</v>
      </c>
      <c r="BE124" s="765">
        <f>BE719</f>
        <v>0</v>
      </c>
      <c r="BF124" s="245">
        <f>SUM(BB124:BE124)</f>
        <v>0</v>
      </c>
      <c r="BG124" s="765">
        <f>BG719</f>
        <v>0</v>
      </c>
      <c r="BH124" s="765">
        <f>BH719</f>
        <v>0</v>
      </c>
      <c r="BI124" s="765">
        <f>BI719</f>
        <v>0</v>
      </c>
      <c r="BJ124" s="765">
        <f>BJ719</f>
        <v>-57</v>
      </c>
      <c r="BK124" s="245">
        <f>SUM(BG124:BJ124)</f>
        <v>-57</v>
      </c>
      <c r="BL124" s="765">
        <f>BL719</f>
        <v>-300</v>
      </c>
      <c r="BM124" s="765">
        <f>BM719</f>
        <v>-368</v>
      </c>
      <c r="BN124" s="765">
        <f>BN719</f>
        <v>-557</v>
      </c>
      <c r="BO124" s="765">
        <f>BO719</f>
        <v>-200</v>
      </c>
      <c r="BP124" s="245">
        <f>SUM(BL124:BO124)</f>
        <v>-1425</v>
      </c>
      <c r="BQ124" s="765">
        <f>BQ719</f>
        <v>-136</v>
      </c>
      <c r="BR124" s="765">
        <f>BR719</f>
        <v>-414</v>
      </c>
      <c r="BS124" s="765">
        <f>BS719</f>
        <v>-334</v>
      </c>
      <c r="BT124" s="765">
        <f>BT719</f>
        <v>-261</v>
      </c>
      <c r="BU124" s="245">
        <f>SUM(BQ124:BT124)</f>
        <v>-1145</v>
      </c>
      <c r="BV124" s="765">
        <f>BV719</f>
        <v>-217</v>
      </c>
      <c r="BW124" s="765">
        <f>BW719</f>
        <v>-281</v>
      </c>
      <c r="BX124" s="765">
        <f>BX719</f>
        <v>-146</v>
      </c>
      <c r="BY124" s="765">
        <f>BY719</f>
        <v>-190</v>
      </c>
      <c r="BZ124" s="245">
        <f>SUM(BV124:BY124)</f>
        <v>-834</v>
      </c>
      <c r="CA124" s="765">
        <f>CA719</f>
        <v>-320</v>
      </c>
      <c r="CB124" s="765">
        <f>CB719</f>
        <v>-337</v>
      </c>
      <c r="CC124" s="765">
        <f>CC719</f>
        <v>-297</v>
      </c>
      <c r="CD124" s="1793">
        <f>CD719</f>
        <v>-556</v>
      </c>
      <c r="CE124" s="245">
        <f>SUM(CA124:CD124)</f>
        <v>-1510</v>
      </c>
      <c r="CF124" s="765">
        <f>CF719</f>
        <v>-429</v>
      </c>
      <c r="CG124" s="765">
        <f>CG719</f>
        <v>-678</v>
      </c>
      <c r="CH124" s="765">
        <f>CH719</f>
        <v>-714</v>
      </c>
      <c r="CI124" s="1793">
        <f>CI719</f>
        <v>-96</v>
      </c>
      <c r="CJ124" s="245">
        <f>SUM(CF124:CI124)</f>
        <v>-1917</v>
      </c>
      <c r="CK124" s="765">
        <f>CK719</f>
        <v>-248</v>
      </c>
      <c r="CL124" s="765">
        <f>CL719</f>
        <v>-1</v>
      </c>
      <c r="CM124" s="765">
        <f>CM719</f>
        <v>1</v>
      </c>
      <c r="CN124" s="1793">
        <f>CN719</f>
        <v>-320</v>
      </c>
      <c r="CO124" s="245">
        <f>SUM(CK124:CN124)</f>
        <v>-568</v>
      </c>
      <c r="CP124" s="765">
        <f>CP719</f>
        <v>-582</v>
      </c>
      <c r="CQ124" s="765">
        <f>CQ719</f>
        <v>-746</v>
      </c>
      <c r="CR124" s="765">
        <f>CR719</f>
        <v>-777</v>
      </c>
      <c r="CS124" s="765">
        <f>CS719</f>
        <v>-925</v>
      </c>
      <c r="CT124" s="245">
        <f>SUM(CP124:CS124)</f>
        <v>-3030</v>
      </c>
      <c r="CU124" s="765">
        <f t="shared" ref="CU124:DA124" si="387">CU719</f>
        <v>-500</v>
      </c>
      <c r="CV124" s="765">
        <f t="shared" si="387"/>
        <v>-500</v>
      </c>
      <c r="CW124" s="765">
        <f t="shared" si="387"/>
        <v>-500</v>
      </c>
      <c r="CX124" s="765">
        <f t="shared" si="387"/>
        <v>-500</v>
      </c>
      <c r="CY124" s="245">
        <f>SUM(CU124:CX124)</f>
        <v>-2000</v>
      </c>
      <c r="CZ124" s="1793">
        <f t="shared" si="387"/>
        <v>-2500</v>
      </c>
      <c r="DA124" s="245">
        <f t="shared" si="387"/>
        <v>-1750</v>
      </c>
      <c r="DB124"/>
      <c r="DC124"/>
      <c r="DD124" s="2311" t="s">
        <v>1008</v>
      </c>
      <c r="DE124" s="2289">
        <f t="shared" si="319"/>
        <v>-340</v>
      </c>
      <c r="DF124" s="2289">
        <f t="shared" si="320"/>
        <v>-235</v>
      </c>
      <c r="DG124" s="2289">
        <f t="shared" si="321"/>
        <v>-252</v>
      </c>
      <c r="DH124" s="2289">
        <f t="shared" si="322"/>
        <v>-373</v>
      </c>
      <c r="DI124" s="2289">
        <f t="shared" si="323"/>
        <v>-664</v>
      </c>
      <c r="DJ124" s="2289">
        <f t="shared" si="324"/>
        <v>-1644</v>
      </c>
      <c r="DK124" s="2289">
        <f t="shared" si="325"/>
        <v>-1546</v>
      </c>
      <c r="DL124" s="2289">
        <f t="shared" si="326"/>
        <v>-1757</v>
      </c>
      <c r="DM124" s="2289">
        <f t="shared" si="327"/>
        <v>-434</v>
      </c>
      <c r="DN124" s="2289">
        <f t="shared" si="328"/>
        <v>0</v>
      </c>
      <c r="DO124" s="2289">
        <f t="shared" si="329"/>
        <v>-57</v>
      </c>
      <c r="DP124" s="2289">
        <f t="shared" si="330"/>
        <v>-1425</v>
      </c>
      <c r="DQ124" s="2289">
        <f t="shared" si="331"/>
        <v>-1145</v>
      </c>
      <c r="DR124" s="2289">
        <f t="shared" si="332"/>
        <v>-834</v>
      </c>
      <c r="DS124" s="2289">
        <f t="shared" si="333"/>
        <v>-1510</v>
      </c>
      <c r="DT124" s="2289">
        <f t="shared" si="334"/>
        <v>-1917</v>
      </c>
      <c r="DU124" s="2289">
        <f t="shared" si="335"/>
        <v>-568</v>
      </c>
      <c r="DV124" s="2289">
        <f t="shared" si="336"/>
        <v>-3030</v>
      </c>
      <c r="DW124" s="2289">
        <f t="shared" si="337"/>
        <v>-2000</v>
      </c>
      <c r="DX124" s="2289">
        <f t="shared" si="338"/>
        <v>-2500</v>
      </c>
      <c r="DY124" s="2289">
        <f t="shared" si="339"/>
        <v>-1750</v>
      </c>
      <c r="EA124"/>
      <c r="EB124"/>
      <c r="EC124"/>
      <c r="ED124"/>
      <c r="EE124"/>
      <c r="EF124"/>
      <c r="EG124" s="855"/>
      <c r="EH124" s="855"/>
      <c r="EI124" s="855"/>
      <c r="EJ124"/>
      <c r="EK124"/>
      <c r="EL124"/>
      <c r="EM124" s="1703"/>
      <c r="EN124" s="855"/>
      <c r="EO124" s="855"/>
      <c r="EP124" s="855"/>
      <c r="EQ124" s="855"/>
      <c r="ER124" s="234"/>
    </row>
    <row r="125" spans="1:148" s="923" customFormat="1" ht="12.75" customHeight="1" x14ac:dyDescent="0.2">
      <c r="A125" s="1669" t="s">
        <v>1009</v>
      </c>
      <c r="B125" s="220"/>
      <c r="C125" s="220"/>
      <c r="D125" s="220"/>
      <c r="E125" s="220"/>
      <c r="F125" s="220"/>
      <c r="G125" s="220"/>
      <c r="H125" s="220"/>
      <c r="I125" s="220">
        <f>I718</f>
        <v>-14</v>
      </c>
      <c r="J125" s="220">
        <f t="shared" ref="J125:BU125" si="388">J718</f>
        <v>-13</v>
      </c>
      <c r="K125" s="220">
        <f t="shared" si="388"/>
        <v>-14</v>
      </c>
      <c r="L125" s="220">
        <f t="shared" si="388"/>
        <v>-14</v>
      </c>
      <c r="M125" s="245">
        <f t="shared" si="388"/>
        <v>-55</v>
      </c>
      <c r="N125" s="220">
        <f t="shared" si="388"/>
        <v>-15</v>
      </c>
      <c r="O125" s="220">
        <f t="shared" si="388"/>
        <v>-14</v>
      </c>
      <c r="P125" s="220">
        <f t="shared" si="388"/>
        <v>-16</v>
      </c>
      <c r="Q125" s="220">
        <f t="shared" si="388"/>
        <v>-16</v>
      </c>
      <c r="R125" s="245">
        <f t="shared" si="388"/>
        <v>-61</v>
      </c>
      <c r="S125" s="220">
        <f t="shared" si="388"/>
        <v>-16</v>
      </c>
      <c r="T125" s="220">
        <f t="shared" si="388"/>
        <v>-15</v>
      </c>
      <c r="U125" s="220">
        <f t="shared" si="388"/>
        <v>-18</v>
      </c>
      <c r="V125" s="220">
        <f t="shared" si="388"/>
        <v>-16</v>
      </c>
      <c r="W125" s="245">
        <f t="shared" si="388"/>
        <v>-65</v>
      </c>
      <c r="X125" s="220">
        <f t="shared" si="388"/>
        <v>-17</v>
      </c>
      <c r="Y125" s="220">
        <f t="shared" si="388"/>
        <v>-16</v>
      </c>
      <c r="Z125" s="220">
        <f t="shared" si="388"/>
        <v>-17</v>
      </c>
      <c r="AA125" s="220">
        <f t="shared" si="388"/>
        <v>-18</v>
      </c>
      <c r="AB125" s="245">
        <f t="shared" si="388"/>
        <v>-68</v>
      </c>
      <c r="AC125" s="220">
        <f t="shared" si="388"/>
        <v>-17</v>
      </c>
      <c r="AD125" s="220">
        <f t="shared" si="388"/>
        <v>-17</v>
      </c>
      <c r="AE125" s="220">
        <f t="shared" si="388"/>
        <v>-20</v>
      </c>
      <c r="AF125" s="220">
        <f t="shared" si="388"/>
        <v>-19</v>
      </c>
      <c r="AG125" s="245">
        <f t="shared" si="388"/>
        <v>-73</v>
      </c>
      <c r="AH125" s="220">
        <f t="shared" si="388"/>
        <v>-19</v>
      </c>
      <c r="AI125" s="220">
        <f t="shared" si="388"/>
        <v>-19</v>
      </c>
      <c r="AJ125" s="220">
        <f t="shared" si="388"/>
        <v>-23</v>
      </c>
      <c r="AK125" s="220">
        <f t="shared" si="388"/>
        <v>-23</v>
      </c>
      <c r="AL125" s="245">
        <f t="shared" si="388"/>
        <v>-84</v>
      </c>
      <c r="AM125" s="220">
        <f t="shared" si="388"/>
        <v>-21</v>
      </c>
      <c r="AN125" s="220">
        <f t="shared" si="388"/>
        <v>-22</v>
      </c>
      <c r="AO125" s="220">
        <f t="shared" si="388"/>
        <v>-26</v>
      </c>
      <c r="AP125" s="220">
        <f t="shared" si="388"/>
        <v>-24</v>
      </c>
      <c r="AQ125" s="245">
        <f t="shared" si="388"/>
        <v>-93</v>
      </c>
      <c r="AR125" s="220">
        <f t="shared" si="388"/>
        <v>-25</v>
      </c>
      <c r="AS125" s="220">
        <f t="shared" si="388"/>
        <v>-24</v>
      </c>
      <c r="AT125" s="220">
        <f t="shared" si="388"/>
        <v>-28</v>
      </c>
      <c r="AU125" s="220">
        <f t="shared" si="388"/>
        <v>-28</v>
      </c>
      <c r="AV125" s="245">
        <f t="shared" si="388"/>
        <v>-105</v>
      </c>
      <c r="AW125" s="220">
        <f t="shared" si="388"/>
        <v>-27</v>
      </c>
      <c r="AX125" s="220">
        <f t="shared" si="388"/>
        <v>-27</v>
      </c>
      <c r="AY125" s="220">
        <f t="shared" si="388"/>
        <v>-30</v>
      </c>
      <c r="AZ125" s="220">
        <f t="shared" si="388"/>
        <v>-31</v>
      </c>
      <c r="BA125" s="245">
        <f t="shared" si="388"/>
        <v>-115</v>
      </c>
      <c r="BB125" s="220">
        <f t="shared" si="388"/>
        <v>-31</v>
      </c>
      <c r="BC125" s="220">
        <f t="shared" si="388"/>
        <v>-30</v>
      </c>
      <c r="BD125" s="220">
        <f t="shared" si="388"/>
        <v>-2</v>
      </c>
      <c r="BE125" s="220">
        <f t="shared" si="388"/>
        <v>0</v>
      </c>
      <c r="BF125" s="245">
        <f t="shared" si="388"/>
        <v>-63</v>
      </c>
      <c r="BG125" s="220">
        <f t="shared" si="388"/>
        <v>0</v>
      </c>
      <c r="BH125" s="220">
        <f t="shared" si="388"/>
        <v>-14</v>
      </c>
      <c r="BI125" s="220">
        <f t="shared" si="388"/>
        <v>-15</v>
      </c>
      <c r="BJ125" s="220">
        <f t="shared" si="388"/>
        <v>-14</v>
      </c>
      <c r="BK125" s="245">
        <f t="shared" si="388"/>
        <v>-43</v>
      </c>
      <c r="BL125" s="220">
        <f t="shared" si="388"/>
        <v>-32</v>
      </c>
      <c r="BM125" s="220">
        <f t="shared" si="388"/>
        <v>-32</v>
      </c>
      <c r="BN125" s="220">
        <f t="shared" si="388"/>
        <v>-36</v>
      </c>
      <c r="BO125" s="220">
        <f t="shared" si="388"/>
        <v>-34</v>
      </c>
      <c r="BP125" s="245">
        <f t="shared" si="388"/>
        <v>-134</v>
      </c>
      <c r="BQ125" s="220">
        <f t="shared" si="388"/>
        <v>-34</v>
      </c>
      <c r="BR125" s="220">
        <f t="shared" si="388"/>
        <v>-33</v>
      </c>
      <c r="BS125" s="220">
        <f>BS718</f>
        <v>-43</v>
      </c>
      <c r="BT125" s="220">
        <f t="shared" si="388"/>
        <v>-81</v>
      </c>
      <c r="BU125" s="245">
        <f t="shared" si="388"/>
        <v>-191</v>
      </c>
      <c r="BV125" s="220">
        <f t="shared" ref="BV125:CG125" si="389">BV718</f>
        <v>-41</v>
      </c>
      <c r="BW125" s="220">
        <f>BW718</f>
        <v>-52</v>
      </c>
      <c r="BX125" s="220">
        <f>BX718</f>
        <v>-51</v>
      </c>
      <c r="BY125" s="220">
        <f t="shared" si="389"/>
        <v>-52</v>
      </c>
      <c r="BZ125" s="245">
        <f t="shared" si="389"/>
        <v>-196</v>
      </c>
      <c r="CA125" s="220">
        <f>CA718</f>
        <v>-50</v>
      </c>
      <c r="CB125" s="765">
        <f t="shared" si="389"/>
        <v>-59</v>
      </c>
      <c r="CC125" s="765">
        <f t="shared" si="389"/>
        <v>-58</v>
      </c>
      <c r="CD125" s="1793">
        <f t="shared" si="389"/>
        <v>-56</v>
      </c>
      <c r="CE125" s="245">
        <f t="shared" si="389"/>
        <v>-223</v>
      </c>
      <c r="CF125" s="220">
        <f>CF718</f>
        <v>-56</v>
      </c>
      <c r="CG125" s="765">
        <f t="shared" si="389"/>
        <v>-68</v>
      </c>
      <c r="CH125" s="765">
        <f>CH718</f>
        <v>-65</v>
      </c>
      <c r="CI125" s="1793">
        <f>CI718</f>
        <v>-64</v>
      </c>
      <c r="CJ125" s="245">
        <f>CJ718</f>
        <v>-253</v>
      </c>
      <c r="CK125" s="765">
        <f>CK718</f>
        <v>-64</v>
      </c>
      <c r="CL125" s="765">
        <f>CL718</f>
        <v>-76</v>
      </c>
      <c r="CM125" s="765">
        <f t="shared" ref="CM125:CT125" si="390">CM718</f>
        <v>-117</v>
      </c>
      <c r="CN125" s="1793">
        <f t="shared" si="390"/>
        <v>-117</v>
      </c>
      <c r="CO125" s="245">
        <f t="shared" si="390"/>
        <v>-374</v>
      </c>
      <c r="CP125" s="765">
        <f t="shared" si="390"/>
        <v>-115</v>
      </c>
      <c r="CQ125" s="765">
        <f t="shared" si="390"/>
        <v>-125</v>
      </c>
      <c r="CR125" s="765">
        <f t="shared" si="390"/>
        <v>-122</v>
      </c>
      <c r="CS125" s="765">
        <f t="shared" si="390"/>
        <v>-120.48300000000002</v>
      </c>
      <c r="CT125" s="245">
        <f t="shared" si="390"/>
        <v>-482.483</v>
      </c>
      <c r="CU125" s="765">
        <f t="shared" ref="CU125:DA125" si="391">CU718</f>
        <v>-119.46942857142859</v>
      </c>
      <c r="CV125" s="765">
        <f t="shared" si="391"/>
        <v>-130.33306306620213</v>
      </c>
      <c r="CW125" s="765">
        <f t="shared" si="391"/>
        <v>-129.28060368828082</v>
      </c>
      <c r="CX125" s="765">
        <f t="shared" si="391"/>
        <v>-128.25824088055273</v>
      </c>
      <c r="CY125" s="245">
        <f t="shared" si="391"/>
        <v>-507.34133620646435</v>
      </c>
      <c r="CZ125" s="1793">
        <f t="shared" si="391"/>
        <v>-506.12254994512983</v>
      </c>
      <c r="DA125" s="245">
        <f t="shared" si="391"/>
        <v>-494.27573106476876</v>
      </c>
      <c r="DB125"/>
      <c r="DC125"/>
      <c r="DD125" s="2311" t="s">
        <v>1009</v>
      </c>
      <c r="DE125" s="2289">
        <f t="shared" si="319"/>
        <v>-55</v>
      </c>
      <c r="DF125" s="2289">
        <f t="shared" si="320"/>
        <v>-61</v>
      </c>
      <c r="DG125" s="2289">
        <f t="shared" si="321"/>
        <v>-65</v>
      </c>
      <c r="DH125" s="2289">
        <f t="shared" si="322"/>
        <v>-68</v>
      </c>
      <c r="DI125" s="2289">
        <f t="shared" si="323"/>
        <v>-73</v>
      </c>
      <c r="DJ125" s="2289">
        <f t="shared" si="324"/>
        <v>-84</v>
      </c>
      <c r="DK125" s="2289">
        <f t="shared" si="325"/>
        <v>-93</v>
      </c>
      <c r="DL125" s="2289">
        <f t="shared" si="326"/>
        <v>-105</v>
      </c>
      <c r="DM125" s="2289">
        <f t="shared" si="327"/>
        <v>-115</v>
      </c>
      <c r="DN125" s="2289">
        <f t="shared" si="328"/>
        <v>-63</v>
      </c>
      <c r="DO125" s="2289">
        <f t="shared" si="329"/>
        <v>-43</v>
      </c>
      <c r="DP125" s="2289">
        <f t="shared" si="330"/>
        <v>-134</v>
      </c>
      <c r="DQ125" s="2289">
        <f t="shared" si="331"/>
        <v>-191</v>
      </c>
      <c r="DR125" s="2289">
        <f t="shared" si="332"/>
        <v>-196</v>
      </c>
      <c r="DS125" s="2289">
        <f t="shared" si="333"/>
        <v>-223</v>
      </c>
      <c r="DT125" s="2289">
        <f t="shared" si="334"/>
        <v>-253</v>
      </c>
      <c r="DU125" s="2289">
        <f t="shared" si="335"/>
        <v>-374</v>
      </c>
      <c r="DV125" s="2289">
        <f t="shared" si="336"/>
        <v>-482.483</v>
      </c>
      <c r="DW125" s="2289">
        <f t="shared" si="337"/>
        <v>-507.34133620646435</v>
      </c>
      <c r="DX125" s="2289">
        <f t="shared" si="338"/>
        <v>-506.12254994512983</v>
      </c>
      <c r="DY125" s="2289">
        <f t="shared" si="339"/>
        <v>-494.27573106476876</v>
      </c>
      <c r="EA125"/>
      <c r="EB125"/>
      <c r="EC125"/>
      <c r="ED125"/>
      <c r="EE125"/>
      <c r="EF125"/>
      <c r="EG125" s="855"/>
      <c r="EH125" s="855"/>
      <c r="EI125" s="855"/>
      <c r="EJ125"/>
      <c r="EK125"/>
      <c r="EL125"/>
      <c r="EM125" s="1703"/>
      <c r="EN125" s="855"/>
      <c r="EO125" s="855"/>
      <c r="EP125" s="855"/>
      <c r="EQ125" s="855"/>
      <c r="ER125" s="234"/>
    </row>
    <row r="126" spans="1:148" s="1703" customFormat="1" ht="12.75" customHeight="1" x14ac:dyDescent="0.2">
      <c r="A126" s="1969" t="s">
        <v>818</v>
      </c>
      <c r="B126" s="1667"/>
      <c r="C126" s="1667"/>
      <c r="D126" s="1667"/>
      <c r="E126" s="1667"/>
      <c r="F126" s="1667"/>
      <c r="G126" s="1667"/>
      <c r="H126" s="1667"/>
      <c r="I126" s="1667">
        <f t="shared" ref="I126:AN126" si="392">SUM(I123:I125)</f>
        <v>-233.84615384615384</v>
      </c>
      <c r="J126" s="1667">
        <f t="shared" si="392"/>
        <v>474.15384615384619</v>
      </c>
      <c r="K126" s="1667">
        <f t="shared" si="392"/>
        <v>388.15384615384619</v>
      </c>
      <c r="L126" s="1667">
        <f t="shared" si="392"/>
        <v>534.53846153846155</v>
      </c>
      <c r="M126" s="1668">
        <f t="shared" si="392"/>
        <v>1163</v>
      </c>
      <c r="N126" s="1667">
        <f t="shared" si="392"/>
        <v>77.615384615384642</v>
      </c>
      <c r="O126" s="1667">
        <f t="shared" si="392"/>
        <v>92.615384615384613</v>
      </c>
      <c r="P126" s="1667">
        <f t="shared" si="392"/>
        <v>258.61538461538464</v>
      </c>
      <c r="Q126" s="1667">
        <f t="shared" si="392"/>
        <v>-375.84615384615381</v>
      </c>
      <c r="R126" s="1668">
        <f t="shared" si="392"/>
        <v>53</v>
      </c>
      <c r="S126" s="1667">
        <f t="shared" si="392"/>
        <v>66.8</v>
      </c>
      <c r="T126" s="1667">
        <f t="shared" si="392"/>
        <v>315.32307692307694</v>
      </c>
      <c r="U126" s="1667">
        <f t="shared" si="392"/>
        <v>248.32307692307694</v>
      </c>
      <c r="V126" s="1667">
        <f t="shared" si="392"/>
        <v>102.7076923076923</v>
      </c>
      <c r="W126" s="1668">
        <f t="shared" si="392"/>
        <v>733.15384615384619</v>
      </c>
      <c r="X126" s="1667">
        <f t="shared" si="392"/>
        <v>-14</v>
      </c>
      <c r="Y126" s="1667">
        <f t="shared" si="392"/>
        <v>149</v>
      </c>
      <c r="Z126" s="1667">
        <f t="shared" si="392"/>
        <v>54</v>
      </c>
      <c r="AA126" s="1667">
        <f t="shared" si="392"/>
        <v>224</v>
      </c>
      <c r="AB126" s="1668">
        <f t="shared" si="392"/>
        <v>413</v>
      </c>
      <c r="AC126" s="1667">
        <f t="shared" si="392"/>
        <v>-323</v>
      </c>
      <c r="AD126" s="1667">
        <f t="shared" si="392"/>
        <v>215</v>
      </c>
      <c r="AE126" s="1667">
        <f t="shared" si="392"/>
        <v>124</v>
      </c>
      <c r="AF126" s="1667">
        <f t="shared" si="392"/>
        <v>417</v>
      </c>
      <c r="AG126" s="1668">
        <f t="shared" si="392"/>
        <v>433</v>
      </c>
      <c r="AH126" s="1667">
        <f t="shared" si="392"/>
        <v>-376</v>
      </c>
      <c r="AI126" s="1667">
        <f t="shared" si="392"/>
        <v>-113</v>
      </c>
      <c r="AJ126" s="1667">
        <f t="shared" si="392"/>
        <v>-883</v>
      </c>
      <c r="AK126" s="1667">
        <f t="shared" si="392"/>
        <v>66</v>
      </c>
      <c r="AL126" s="1668">
        <f t="shared" si="392"/>
        <v>-1306</v>
      </c>
      <c r="AM126" s="1667">
        <f t="shared" si="392"/>
        <v>-156</v>
      </c>
      <c r="AN126" s="1667">
        <f t="shared" si="392"/>
        <v>493</v>
      </c>
      <c r="AO126" s="1667">
        <f t="shared" ref="AO126:BX126" si="393">SUM(AO123:AO125)</f>
        <v>-323</v>
      </c>
      <c r="AP126" s="1667">
        <f t="shared" si="393"/>
        <v>-263</v>
      </c>
      <c r="AQ126" s="1668">
        <f t="shared" si="393"/>
        <v>-249</v>
      </c>
      <c r="AR126" s="1667">
        <f t="shared" si="393"/>
        <v>-685</v>
      </c>
      <c r="AS126" s="1667">
        <f t="shared" si="393"/>
        <v>151</v>
      </c>
      <c r="AT126" s="1667">
        <f t="shared" si="393"/>
        <v>-409</v>
      </c>
      <c r="AU126" s="1667">
        <f t="shared" si="393"/>
        <v>137</v>
      </c>
      <c r="AV126" s="1668">
        <f t="shared" si="393"/>
        <v>-806</v>
      </c>
      <c r="AW126" s="1667">
        <f t="shared" si="393"/>
        <v>-409</v>
      </c>
      <c r="AX126" s="1667">
        <f t="shared" si="393"/>
        <v>245</v>
      </c>
      <c r="AY126" s="1667">
        <f t="shared" si="393"/>
        <v>19</v>
      </c>
      <c r="AZ126" s="1667">
        <f t="shared" si="393"/>
        <v>36</v>
      </c>
      <c r="BA126" s="1668">
        <f t="shared" si="393"/>
        <v>-109</v>
      </c>
      <c r="BB126" s="1667">
        <f t="shared" si="393"/>
        <v>104</v>
      </c>
      <c r="BC126" s="1667">
        <f t="shared" si="393"/>
        <v>60</v>
      </c>
      <c r="BD126" s="1667">
        <f t="shared" si="393"/>
        <v>-45.800000000000011</v>
      </c>
      <c r="BE126" s="1667">
        <f t="shared" si="393"/>
        <v>233.8</v>
      </c>
      <c r="BF126" s="1668">
        <f t="shared" si="393"/>
        <v>352</v>
      </c>
      <c r="BG126" s="1667">
        <f t="shared" si="393"/>
        <v>126</v>
      </c>
      <c r="BH126" s="1667">
        <f t="shared" si="393"/>
        <v>298</v>
      </c>
      <c r="BI126" s="1667">
        <f t="shared" si="393"/>
        <v>280</v>
      </c>
      <c r="BJ126" s="1667">
        <f t="shared" si="393"/>
        <v>99</v>
      </c>
      <c r="BK126" s="1668">
        <f t="shared" si="393"/>
        <v>803</v>
      </c>
      <c r="BL126" s="1667">
        <f t="shared" si="393"/>
        <v>-268</v>
      </c>
      <c r="BM126" s="1667">
        <f t="shared" si="393"/>
        <v>-19</v>
      </c>
      <c r="BN126" s="1667">
        <f t="shared" si="393"/>
        <v>68</v>
      </c>
      <c r="BO126" s="1667">
        <f t="shared" si="393"/>
        <v>-51</v>
      </c>
      <c r="BP126" s="1668">
        <f t="shared" si="393"/>
        <v>-344</v>
      </c>
      <c r="BQ126" s="1667">
        <f t="shared" si="393"/>
        <v>-170</v>
      </c>
      <c r="BR126" s="1667">
        <f t="shared" si="393"/>
        <v>-198</v>
      </c>
      <c r="BS126" s="1667">
        <f t="shared" si="393"/>
        <v>3</v>
      </c>
      <c r="BT126" s="1667">
        <f t="shared" si="393"/>
        <v>-469</v>
      </c>
      <c r="BU126" s="1668">
        <f>SUM(BU123:BU125)</f>
        <v>-834</v>
      </c>
      <c r="BV126" s="1667">
        <f t="shared" si="393"/>
        <v>-207</v>
      </c>
      <c r="BW126" s="1667">
        <f t="shared" si="393"/>
        <v>91</v>
      </c>
      <c r="BX126" s="1667">
        <f t="shared" si="393"/>
        <v>-72</v>
      </c>
      <c r="BY126" s="1667">
        <f t="shared" ref="BY126:CE126" si="394">SUM(BY123:BY125)</f>
        <v>-97</v>
      </c>
      <c r="BZ126" s="1668">
        <f t="shared" si="394"/>
        <v>-285</v>
      </c>
      <c r="CA126" s="1667">
        <f t="shared" si="394"/>
        <v>43</v>
      </c>
      <c r="CB126" s="1667">
        <f t="shared" si="394"/>
        <v>-118</v>
      </c>
      <c r="CC126" s="1667">
        <f t="shared" si="394"/>
        <v>-195</v>
      </c>
      <c r="CD126" s="1786">
        <f t="shared" si="394"/>
        <v>-349</v>
      </c>
      <c r="CE126" s="1668">
        <f t="shared" si="394"/>
        <v>-619</v>
      </c>
      <c r="CF126" s="1667">
        <f>SUM(CF123:CF125)</f>
        <v>-115</v>
      </c>
      <c r="CG126" s="1667">
        <f>SUM(CG123:CG125)</f>
        <v>-12</v>
      </c>
      <c r="CH126" s="1667">
        <f>SUM(CH123:CH125)</f>
        <v>-489</v>
      </c>
      <c r="CI126" s="1786">
        <f>SUM(CI123:CI125)</f>
        <v>149</v>
      </c>
      <c r="CJ126" s="1668">
        <f>SUM(CJ123:CJ125)</f>
        <v>-467</v>
      </c>
      <c r="CK126" s="1667">
        <f t="shared" ref="CK126:CT126" si="395">SUM(CK123:CK125)</f>
        <v>-51.999999999999943</v>
      </c>
      <c r="CL126" s="1667">
        <f t="shared" si="395"/>
        <v>377</v>
      </c>
      <c r="CM126" s="1667">
        <f t="shared" si="395"/>
        <v>205</v>
      </c>
      <c r="CN126" s="1786">
        <f t="shared" si="395"/>
        <v>84</v>
      </c>
      <c r="CO126" s="1668">
        <f t="shared" si="395"/>
        <v>614</v>
      </c>
      <c r="CP126" s="1667">
        <f t="shared" si="395"/>
        <v>0.83199999999999363</v>
      </c>
      <c r="CQ126" s="1667">
        <f t="shared" si="395"/>
        <v>-42.82472000000007</v>
      </c>
      <c r="CR126" s="1667">
        <f t="shared" si="395"/>
        <v>-393.98144000000002</v>
      </c>
      <c r="CS126" s="1667">
        <f t="shared" si="395"/>
        <v>321.00000000000017</v>
      </c>
      <c r="CT126" s="1668">
        <f t="shared" si="395"/>
        <v>-114.97415999999959</v>
      </c>
      <c r="CU126" s="1667">
        <f t="shared" ref="CU126:DA126" ca="1" si="396">SUM(CU123:CU125)</f>
        <v>-292.01075030637668</v>
      </c>
      <c r="CV126" s="1667">
        <f t="shared" ca="1" si="396"/>
        <v>-424.02337290904723</v>
      </c>
      <c r="CW126" s="1667">
        <f t="shared" ca="1" si="396"/>
        <v>-178.43112225127149</v>
      </c>
      <c r="CX126" s="1667">
        <f t="shared" ca="1" si="396"/>
        <v>-190.80384175782476</v>
      </c>
      <c r="CY126" s="1668">
        <f t="shared" ca="1" si="396"/>
        <v>-1085.269087224523</v>
      </c>
      <c r="CZ126" s="1786">
        <f t="shared" ca="1" si="396"/>
        <v>-593.87684124950465</v>
      </c>
      <c r="DA126" s="1786">
        <f t="shared" ca="1" si="396"/>
        <v>128.42311302452907</v>
      </c>
      <c r="DB126"/>
      <c r="DC126"/>
      <c r="DD126" s="1969" t="s">
        <v>818</v>
      </c>
      <c r="DE126" s="1786">
        <f t="shared" si="319"/>
        <v>1163</v>
      </c>
      <c r="DF126" s="1786">
        <f t="shared" si="320"/>
        <v>53</v>
      </c>
      <c r="DG126" s="1786">
        <f t="shared" si="321"/>
        <v>733.15384615384619</v>
      </c>
      <c r="DH126" s="1786">
        <f t="shared" si="322"/>
        <v>413</v>
      </c>
      <c r="DI126" s="1786">
        <f t="shared" si="323"/>
        <v>433</v>
      </c>
      <c r="DJ126" s="1786">
        <f t="shared" si="324"/>
        <v>-1306</v>
      </c>
      <c r="DK126" s="1786">
        <f t="shared" si="325"/>
        <v>-249</v>
      </c>
      <c r="DL126" s="1786">
        <f t="shared" si="326"/>
        <v>-806</v>
      </c>
      <c r="DM126" s="1786">
        <f t="shared" si="327"/>
        <v>-109</v>
      </c>
      <c r="DN126" s="1786">
        <f t="shared" si="328"/>
        <v>352</v>
      </c>
      <c r="DO126" s="1786">
        <f t="shared" si="329"/>
        <v>803</v>
      </c>
      <c r="DP126" s="1786">
        <f t="shared" si="330"/>
        <v>-344</v>
      </c>
      <c r="DQ126" s="1786">
        <f t="shared" si="331"/>
        <v>-834</v>
      </c>
      <c r="DR126" s="1786">
        <f t="shared" si="332"/>
        <v>-285</v>
      </c>
      <c r="DS126" s="1786">
        <f t="shared" si="333"/>
        <v>-619</v>
      </c>
      <c r="DT126" s="1786">
        <f t="shared" si="334"/>
        <v>-467</v>
      </c>
      <c r="DU126" s="1786">
        <f t="shared" si="335"/>
        <v>614</v>
      </c>
      <c r="DV126" s="1786">
        <f t="shared" si="336"/>
        <v>-114.97415999999959</v>
      </c>
      <c r="DW126" s="1786">
        <f t="shared" ca="1" si="337"/>
        <v>-1085.269087224523</v>
      </c>
      <c r="DX126" s="1786">
        <f t="shared" ca="1" si="338"/>
        <v>-593.87684124950465</v>
      </c>
      <c r="DY126" s="1786">
        <f t="shared" ca="1" si="339"/>
        <v>128.42311302452907</v>
      </c>
      <c r="EA126"/>
      <c r="EB126"/>
      <c r="EC126"/>
      <c r="ED126"/>
      <c r="EE126"/>
      <c r="EF126"/>
      <c r="EG126" s="1466"/>
      <c r="EH126" s="1466"/>
      <c r="EI126" s="1466"/>
      <c r="EJ126"/>
      <c r="EK126"/>
      <c r="EL126"/>
      <c r="EN126" s="1466"/>
      <c r="EO126" s="1466"/>
      <c r="EP126" s="1466"/>
      <c r="EQ126" s="1466"/>
      <c r="ER126" s="234"/>
    </row>
    <row r="127" spans="1:148" ht="12.75" customHeight="1" x14ac:dyDescent="0.2">
      <c r="A127" s="1738" t="s">
        <v>691</v>
      </c>
      <c r="B127" s="1223"/>
      <c r="C127" s="1223"/>
      <c r="D127" s="1223"/>
      <c r="E127" s="1223"/>
      <c r="F127" s="1223"/>
      <c r="G127" s="1223"/>
      <c r="H127" s="1223"/>
      <c r="I127" s="1223"/>
      <c r="J127" s="1223"/>
      <c r="K127" s="1223"/>
      <c r="L127" s="1223"/>
      <c r="M127" s="1849"/>
      <c r="N127" s="1223"/>
      <c r="O127" s="1223"/>
      <c r="P127" s="1223"/>
      <c r="Q127" s="1223"/>
      <c r="R127" s="1849"/>
      <c r="S127" s="1223">
        <f t="shared" ref="S127:AX127" si="397">IF(N126&lt;=0,"N.M.",S126/N126-1)</f>
        <v>-0.13934588701684869</v>
      </c>
      <c r="T127" s="1223">
        <f t="shared" si="397"/>
        <v>2.4046511627906981</v>
      </c>
      <c r="U127" s="1223">
        <f t="shared" si="397"/>
        <v>-3.979773944080911E-2</v>
      </c>
      <c r="V127" s="1223" t="str">
        <f t="shared" si="397"/>
        <v>N.M.</v>
      </c>
      <c r="W127" s="1849">
        <f t="shared" si="397"/>
        <v>12.833091436865022</v>
      </c>
      <c r="X127" s="1223">
        <f t="shared" si="397"/>
        <v>-1.2095808383233533</v>
      </c>
      <c r="Y127" s="1223">
        <f t="shared" si="397"/>
        <v>-0.52746877439500395</v>
      </c>
      <c r="Z127" s="1223">
        <f t="shared" si="397"/>
        <v>-0.78254135431509819</v>
      </c>
      <c r="AA127" s="1223">
        <f t="shared" si="397"/>
        <v>1.1809466746554826</v>
      </c>
      <c r="AB127" s="1849">
        <f t="shared" si="397"/>
        <v>-0.43668030636869171</v>
      </c>
      <c r="AC127" s="1223" t="str">
        <f t="shared" si="397"/>
        <v>N.M.</v>
      </c>
      <c r="AD127" s="1223">
        <f t="shared" si="397"/>
        <v>0.44295302013422821</v>
      </c>
      <c r="AE127" s="1223">
        <f t="shared" si="397"/>
        <v>1.2962962962962963</v>
      </c>
      <c r="AF127" s="1223">
        <f t="shared" si="397"/>
        <v>0.86160714285714279</v>
      </c>
      <c r="AG127" s="1849">
        <f t="shared" si="397"/>
        <v>4.8426150121065437E-2</v>
      </c>
      <c r="AH127" s="1223" t="str">
        <f t="shared" si="397"/>
        <v>N.M.</v>
      </c>
      <c r="AI127" s="1223">
        <f t="shared" si="397"/>
        <v>-1.5255813953488371</v>
      </c>
      <c r="AJ127" s="1223">
        <f t="shared" si="397"/>
        <v>-8.120967741935484</v>
      </c>
      <c r="AK127" s="1223">
        <f t="shared" si="397"/>
        <v>-0.84172661870503596</v>
      </c>
      <c r="AL127" s="1849">
        <f t="shared" si="397"/>
        <v>-4.0161662817551962</v>
      </c>
      <c r="AM127" s="1223" t="str">
        <f t="shared" si="397"/>
        <v>N.M.</v>
      </c>
      <c r="AN127" s="1223" t="str">
        <f t="shared" si="397"/>
        <v>N.M.</v>
      </c>
      <c r="AO127" s="1223" t="str">
        <f t="shared" si="397"/>
        <v>N.M.</v>
      </c>
      <c r="AP127" s="1223">
        <f t="shared" si="397"/>
        <v>-4.9848484848484844</v>
      </c>
      <c r="AQ127" s="1849" t="str">
        <f t="shared" si="397"/>
        <v>N.M.</v>
      </c>
      <c r="AR127" s="1223" t="str">
        <f t="shared" si="397"/>
        <v>N.M.</v>
      </c>
      <c r="AS127" s="1223">
        <f t="shared" si="397"/>
        <v>-0.69371196754563891</v>
      </c>
      <c r="AT127" s="1223" t="str">
        <f t="shared" si="397"/>
        <v>N.M.</v>
      </c>
      <c r="AU127" s="1223" t="str">
        <f t="shared" si="397"/>
        <v>N.M.</v>
      </c>
      <c r="AV127" s="1849" t="str">
        <f t="shared" si="397"/>
        <v>N.M.</v>
      </c>
      <c r="AW127" s="1223" t="str">
        <f t="shared" si="397"/>
        <v>N.M.</v>
      </c>
      <c r="AX127" s="1223">
        <f t="shared" si="397"/>
        <v>0.6225165562913908</v>
      </c>
      <c r="AY127" s="1223" t="str">
        <f t="shared" ref="AY127:BX127" si="398">IF(AT126&lt;=0,"N.M.",AY126/AT126-1)</f>
        <v>N.M.</v>
      </c>
      <c r="AZ127" s="1223">
        <f t="shared" si="398"/>
        <v>-0.73722627737226276</v>
      </c>
      <c r="BA127" s="1849" t="str">
        <f t="shared" si="398"/>
        <v>N.M.</v>
      </c>
      <c r="BB127" s="1223" t="str">
        <f t="shared" si="398"/>
        <v>N.M.</v>
      </c>
      <c r="BC127" s="1223">
        <f t="shared" si="398"/>
        <v>-0.75510204081632648</v>
      </c>
      <c r="BD127" s="1223">
        <f t="shared" si="398"/>
        <v>-3.4105263157894741</v>
      </c>
      <c r="BE127" s="1223">
        <f t="shared" si="398"/>
        <v>5.4944444444444445</v>
      </c>
      <c r="BF127" s="1849" t="str">
        <f t="shared" si="398"/>
        <v>N.M.</v>
      </c>
      <c r="BG127" s="1223">
        <f t="shared" si="398"/>
        <v>0.21153846153846145</v>
      </c>
      <c r="BH127" s="1223">
        <f t="shared" si="398"/>
        <v>3.9666666666666668</v>
      </c>
      <c r="BI127" s="1223" t="str">
        <f t="shared" si="398"/>
        <v>N.M.</v>
      </c>
      <c r="BJ127" s="1223">
        <f t="shared" si="398"/>
        <v>-0.57656116338751073</v>
      </c>
      <c r="BK127" s="1849">
        <f t="shared" si="398"/>
        <v>1.28125</v>
      </c>
      <c r="BL127" s="1223">
        <f t="shared" si="398"/>
        <v>-3.126984126984127</v>
      </c>
      <c r="BM127" s="1223">
        <f t="shared" si="398"/>
        <v>-1.063758389261745</v>
      </c>
      <c r="BN127" s="1223">
        <f t="shared" si="398"/>
        <v>-0.75714285714285712</v>
      </c>
      <c r="BO127" s="1223">
        <f t="shared" si="398"/>
        <v>-1.5151515151515151</v>
      </c>
      <c r="BP127" s="1849">
        <f t="shared" si="398"/>
        <v>-1.4283935242839352</v>
      </c>
      <c r="BQ127" s="1223" t="str">
        <f t="shared" si="398"/>
        <v>N.M.</v>
      </c>
      <c r="BR127" s="1223" t="str">
        <f t="shared" si="398"/>
        <v>N.M.</v>
      </c>
      <c r="BS127" s="1223">
        <f t="shared" si="398"/>
        <v>-0.95588235294117652</v>
      </c>
      <c r="BT127" s="1223" t="str">
        <f t="shared" si="398"/>
        <v>N.M.</v>
      </c>
      <c r="BU127" s="1849" t="str">
        <f t="shared" si="398"/>
        <v>N.M.</v>
      </c>
      <c r="BV127" s="1223" t="str">
        <f t="shared" si="398"/>
        <v>N.M.</v>
      </c>
      <c r="BW127" s="1223" t="str">
        <f t="shared" si="398"/>
        <v>N.M.</v>
      </c>
      <c r="BX127" s="1223">
        <f t="shared" si="398"/>
        <v>-25</v>
      </c>
      <c r="BY127" s="1223" t="str">
        <f t="shared" ref="BY127:CF127" si="399">IF(BT126&lt;=0,"N.M.",BY126/BT126-1)</f>
        <v>N.M.</v>
      </c>
      <c r="BZ127" s="1849" t="str">
        <f t="shared" si="399"/>
        <v>N.M.</v>
      </c>
      <c r="CA127" s="1223" t="str">
        <f t="shared" si="399"/>
        <v>N.M.</v>
      </c>
      <c r="CB127" s="1223">
        <f t="shared" si="399"/>
        <v>-2.2967032967032965</v>
      </c>
      <c r="CC127" s="1223" t="str">
        <f t="shared" si="399"/>
        <v>N.M.</v>
      </c>
      <c r="CD127" s="2279" t="str">
        <f t="shared" si="399"/>
        <v>N.M.</v>
      </c>
      <c r="CE127" s="1849" t="str">
        <f t="shared" si="399"/>
        <v>N.M.</v>
      </c>
      <c r="CF127" s="1223">
        <f t="shared" si="399"/>
        <v>-3.6744186046511627</v>
      </c>
      <c r="CG127" s="1223" t="str">
        <f t="shared" ref="CG127:CO127" si="400">IF(CB126&lt;=0,"N.M.",CG126/CB126-1)</f>
        <v>N.M.</v>
      </c>
      <c r="CH127" s="1223" t="str">
        <f t="shared" si="400"/>
        <v>N.M.</v>
      </c>
      <c r="CI127" s="2279" t="str">
        <f t="shared" si="400"/>
        <v>N.M.</v>
      </c>
      <c r="CJ127" s="1849" t="str">
        <f t="shared" si="400"/>
        <v>N.M.</v>
      </c>
      <c r="CK127" s="1223" t="str">
        <f t="shared" si="400"/>
        <v>N.M.</v>
      </c>
      <c r="CL127" s="1223" t="str">
        <f t="shared" si="400"/>
        <v>N.M.</v>
      </c>
      <c r="CM127" s="1223" t="str">
        <f t="shared" si="400"/>
        <v>N.M.</v>
      </c>
      <c r="CN127" s="2279" t="s">
        <v>1666</v>
      </c>
      <c r="CO127" s="1849" t="str">
        <f t="shared" si="400"/>
        <v>N.M.</v>
      </c>
      <c r="CP127" s="1223" t="str">
        <f t="shared" ref="CP127:CY127" si="401">IF(CK126&lt;=0,"N.M.",CP126/CK126-1)</f>
        <v>N.M.</v>
      </c>
      <c r="CQ127" s="1223">
        <f t="shared" si="401"/>
        <v>-1.1135934217506633</v>
      </c>
      <c r="CR127" s="1223">
        <f t="shared" si="401"/>
        <v>-2.9218606829268294</v>
      </c>
      <c r="CS127" s="1223">
        <f t="shared" si="401"/>
        <v>2.8214285714285734</v>
      </c>
      <c r="CT127" s="1849">
        <f t="shared" si="401"/>
        <v>-1.1872543322475564</v>
      </c>
      <c r="CU127" s="1223">
        <f t="shared" ca="1" si="401"/>
        <v>-351.97445950285925</v>
      </c>
      <c r="CV127" s="1223" t="str">
        <f t="shared" si="401"/>
        <v>N.M.</v>
      </c>
      <c r="CW127" s="1223" t="str">
        <f t="shared" si="401"/>
        <v>N.M.</v>
      </c>
      <c r="CX127" s="1223">
        <f t="shared" ca="1" si="401"/>
        <v>-1.5944044914573978</v>
      </c>
      <c r="CY127" s="1849" t="str">
        <f t="shared" si="401"/>
        <v>N.M.</v>
      </c>
      <c r="CZ127" s="2279" t="str">
        <f ca="1">IF(CY126&lt;=0,"N.M.",CZ126/CY126-1)</f>
        <v>N.M.</v>
      </c>
      <c r="DA127" s="2279" t="str">
        <f ca="1">IF(CZ126&lt;=0,"N.M.",DA126/CZ126-1)</f>
        <v>N.M.</v>
      </c>
      <c r="DD127" s="1738" t="s">
        <v>691</v>
      </c>
      <c r="DE127" s="2279">
        <f t="shared" si="319"/>
        <v>0</v>
      </c>
      <c r="DF127" s="2279">
        <f t="shared" si="320"/>
        <v>0</v>
      </c>
      <c r="DG127" s="2279">
        <f t="shared" si="321"/>
        <v>12.833091436865022</v>
      </c>
      <c r="DH127" s="2279">
        <f t="shared" si="322"/>
        <v>-0.43668030636869171</v>
      </c>
      <c r="DI127" s="2279">
        <f t="shared" si="323"/>
        <v>4.8426150121065437E-2</v>
      </c>
      <c r="DJ127" s="2279">
        <f t="shared" si="324"/>
        <v>-4.0161662817551962</v>
      </c>
      <c r="DK127" s="2279" t="str">
        <f t="shared" si="325"/>
        <v>N.M.</v>
      </c>
      <c r="DL127" s="2279" t="str">
        <f t="shared" si="326"/>
        <v>N.M.</v>
      </c>
      <c r="DM127" s="2279" t="str">
        <f t="shared" si="327"/>
        <v>N.M.</v>
      </c>
      <c r="DN127" s="2279" t="str">
        <f t="shared" si="328"/>
        <v>N.M.</v>
      </c>
      <c r="DO127" s="2279">
        <f t="shared" si="329"/>
        <v>1.28125</v>
      </c>
      <c r="DP127" s="2279">
        <f t="shared" si="330"/>
        <v>-1.4283935242839352</v>
      </c>
      <c r="DQ127" s="2279" t="str">
        <f t="shared" si="331"/>
        <v>N.M.</v>
      </c>
      <c r="DR127" s="2279" t="str">
        <f t="shared" si="332"/>
        <v>N.M.</v>
      </c>
      <c r="DS127" s="2279" t="str">
        <f t="shared" si="333"/>
        <v>N.M.</v>
      </c>
      <c r="DT127" s="2279" t="str">
        <f t="shared" si="334"/>
        <v>N.M.</v>
      </c>
      <c r="DU127" s="2279" t="str">
        <f t="shared" si="335"/>
        <v>N.M.</v>
      </c>
      <c r="DV127" s="2279">
        <f t="shared" si="336"/>
        <v>-1.1872543322475564</v>
      </c>
      <c r="DW127" s="2279" t="str">
        <f t="shared" si="337"/>
        <v>N.M.</v>
      </c>
      <c r="DX127" s="2279" t="str">
        <f t="shared" ca="1" si="338"/>
        <v>N.M.</v>
      </c>
      <c r="DY127" s="2279" t="str">
        <f t="shared" ca="1" si="339"/>
        <v>N.M.</v>
      </c>
      <c r="DZ127" s="855"/>
      <c r="EK127"/>
      <c r="EL127"/>
    </row>
    <row r="128" spans="1:148" s="961" customFormat="1" ht="12.75" customHeight="1" x14ac:dyDescent="0.2">
      <c r="A128" s="1695" t="s">
        <v>992</v>
      </c>
      <c r="B128" s="1691"/>
      <c r="C128" s="1691"/>
      <c r="D128" s="1691"/>
      <c r="E128" s="1691"/>
      <c r="F128" s="1691"/>
      <c r="G128" s="1691"/>
      <c r="H128" s="1691"/>
      <c r="I128" s="1691">
        <f t="shared" ref="I128:AN128" si="402">I117/I58</f>
        <v>0.15893820241646328</v>
      </c>
      <c r="J128" s="1691">
        <f t="shared" si="402"/>
        <v>0.49871693040874931</v>
      </c>
      <c r="K128" s="1691">
        <f t="shared" si="402"/>
        <v>0.74577861163227022</v>
      </c>
      <c r="L128" s="1691">
        <f t="shared" si="402"/>
        <v>0.59033989266547415</v>
      </c>
      <c r="M128" s="1694">
        <f t="shared" si="402"/>
        <v>1.9921182266009851</v>
      </c>
      <c r="N128" s="1691">
        <f t="shared" si="402"/>
        <v>0.23799569995222172</v>
      </c>
      <c r="O128" s="1691">
        <f t="shared" si="402"/>
        <v>0.35269954785897928</v>
      </c>
      <c r="P128" s="1691">
        <f t="shared" si="402"/>
        <v>0.62049732744596797</v>
      </c>
      <c r="Q128" s="1691">
        <f t="shared" si="402"/>
        <v>0.16194331983805668</v>
      </c>
      <c r="R128" s="1694">
        <f t="shared" si="402"/>
        <v>1.392578125</v>
      </c>
      <c r="S128" s="1691">
        <f t="shared" si="402"/>
        <v>0.16279984270546596</v>
      </c>
      <c r="T128" s="1691">
        <f t="shared" si="402"/>
        <v>0.58353804717790869</v>
      </c>
      <c r="U128" s="1691">
        <f t="shared" si="402"/>
        <v>0.47069233820522993</v>
      </c>
      <c r="V128" s="1691">
        <f t="shared" si="402"/>
        <v>0.10656630066254005</v>
      </c>
      <c r="W128" s="1694">
        <f t="shared" si="402"/>
        <v>1.3341630744945661</v>
      </c>
      <c r="X128" s="1691">
        <f t="shared" si="402"/>
        <v>3.8998357963875206E-2</v>
      </c>
      <c r="Y128" s="1691">
        <f t="shared" si="402"/>
        <v>0.2926729431027425</v>
      </c>
      <c r="Z128" s="1691">
        <f t="shared" si="402"/>
        <v>0.22986167615947925</v>
      </c>
      <c r="AA128" s="1691">
        <f t="shared" si="402"/>
        <v>0.82587469487388121</v>
      </c>
      <c r="AB128" s="1694">
        <f t="shared" si="402"/>
        <v>1.3905053598774886</v>
      </c>
      <c r="AC128" s="1691">
        <f t="shared" si="402"/>
        <v>0.13379991766158914</v>
      </c>
      <c r="AD128" s="1691">
        <f t="shared" si="402"/>
        <v>0.37453183520599248</v>
      </c>
      <c r="AE128" s="1691">
        <f t="shared" si="402"/>
        <v>0.50230221850146506</v>
      </c>
      <c r="AF128" s="1691">
        <f t="shared" si="402"/>
        <v>0.73400250941028855</v>
      </c>
      <c r="AG128" s="1694">
        <f t="shared" si="402"/>
        <v>1.7394923012900541</v>
      </c>
      <c r="AH128" s="1691">
        <f t="shared" si="402"/>
        <v>0.14816360601001669</v>
      </c>
      <c r="AI128" s="1691">
        <f t="shared" si="402"/>
        <v>0.6993603411513859</v>
      </c>
      <c r="AJ128" s="1691">
        <f t="shared" si="402"/>
        <v>0.51897078063672042</v>
      </c>
      <c r="AK128" s="1691">
        <f t="shared" si="402"/>
        <v>0.61820652173913038</v>
      </c>
      <c r="AL128" s="1694">
        <f t="shared" si="402"/>
        <v>1.9692707206232416</v>
      </c>
      <c r="AM128" s="1691">
        <f t="shared" si="402"/>
        <v>0.28117913832199548</v>
      </c>
      <c r="AN128" s="1691">
        <f t="shared" si="402"/>
        <v>0.51992670636738436</v>
      </c>
      <c r="AO128" s="1691">
        <f t="shared" ref="AO128:BT128" si="403">AO117/AO58</f>
        <v>0.84530256651754176</v>
      </c>
      <c r="AP128" s="1691">
        <f t="shared" si="403"/>
        <v>1.0788282924505834</v>
      </c>
      <c r="AQ128" s="1694">
        <f t="shared" si="403"/>
        <v>2.7011961444663806</v>
      </c>
      <c r="AR128" s="1691">
        <f t="shared" si="403"/>
        <v>-4.8626306831996112E-3</v>
      </c>
      <c r="AS128" s="1691">
        <f t="shared" si="403"/>
        <v>1.183754333828628</v>
      </c>
      <c r="AT128" s="1691">
        <f t="shared" si="403"/>
        <v>0.35270235980715553</v>
      </c>
      <c r="AU128" s="1691">
        <f t="shared" si="403"/>
        <v>1.1667971808927173</v>
      </c>
      <c r="AV128" s="1694">
        <f t="shared" si="403"/>
        <v>2.6678389750675122</v>
      </c>
      <c r="AW128" s="1691">
        <f t="shared" si="403"/>
        <v>9.4111320247378338E-2</v>
      </c>
      <c r="AX128" s="1691">
        <f t="shared" si="403"/>
        <v>0.96216216216216222</v>
      </c>
      <c r="AY128" s="1691">
        <f t="shared" si="403"/>
        <v>1.1959496442255064</v>
      </c>
      <c r="AZ128" s="1691">
        <f t="shared" si="403"/>
        <v>0.9627156371730663</v>
      </c>
      <c r="BA128" s="1694">
        <f t="shared" si="403"/>
        <v>3.2017454148769349</v>
      </c>
      <c r="BB128" s="1691">
        <f t="shared" si="403"/>
        <v>8.9711241940005612E-2</v>
      </c>
      <c r="BC128" s="1691">
        <f t="shared" si="403"/>
        <v>0.56671251719394777</v>
      </c>
      <c r="BD128" s="1691">
        <f t="shared" si="403"/>
        <v>9.6096096096096068E-2</v>
      </c>
      <c r="BE128" s="1691">
        <f t="shared" si="403"/>
        <v>0.49919398173025259</v>
      </c>
      <c r="BF128" s="1694">
        <f t="shared" si="403"/>
        <v>1.2586549667512168</v>
      </c>
      <c r="BG128" s="1691">
        <f t="shared" si="403"/>
        <v>0.22234128047147067</v>
      </c>
      <c r="BH128" s="1691">
        <f t="shared" si="403"/>
        <v>0.78062979624239226</v>
      </c>
      <c r="BI128" s="1691">
        <f t="shared" si="403"/>
        <v>0.76170325310764342</v>
      </c>
      <c r="BJ128" s="1691">
        <f t="shared" si="403"/>
        <v>0.5759162303664922</v>
      </c>
      <c r="BK128" s="1694">
        <f t="shared" si="403"/>
        <v>2.3450009925229933</v>
      </c>
      <c r="BL128" s="1691">
        <f t="shared" si="403"/>
        <v>6.8753273965426923E-2</v>
      </c>
      <c r="BM128" s="1691">
        <f t="shared" si="403"/>
        <v>0.76407688142934493</v>
      </c>
      <c r="BN128" s="1691">
        <f t="shared" si="403"/>
        <v>1.7392217245240762</v>
      </c>
      <c r="BO128" s="1691">
        <f t="shared" si="403"/>
        <v>0.54344688221709014</v>
      </c>
      <c r="BP128" s="1694">
        <f t="shared" si="403"/>
        <v>2.8704976629089907</v>
      </c>
      <c r="BQ128" s="1691">
        <f t="shared" si="403"/>
        <v>0.27930934416715031</v>
      </c>
      <c r="BR128" s="1691">
        <f t="shared" si="403"/>
        <v>0.78180473372781067</v>
      </c>
      <c r="BS128" s="1691">
        <f t="shared" si="403"/>
        <v>1.0302156088672942</v>
      </c>
      <c r="BT128" s="1691">
        <f t="shared" si="403"/>
        <v>-0.15828677839851024</v>
      </c>
      <c r="BU128" s="1694">
        <f t="shared" ref="BU128:DA128" si="404">BU117/BU58</f>
        <v>1.9487834184439774</v>
      </c>
      <c r="BV128" s="1691">
        <f t="shared" si="404"/>
        <v>0.24687500000000001</v>
      </c>
      <c r="BW128" s="1691">
        <f t="shared" si="404"/>
        <v>1.4458598726114649</v>
      </c>
      <c r="BX128" s="1691">
        <f t="shared" si="404"/>
        <v>0.51050080775444262</v>
      </c>
      <c r="BY128" s="1691">
        <f t="shared" si="404"/>
        <v>0.92682926829268297</v>
      </c>
      <c r="BZ128" s="1694">
        <f t="shared" si="404"/>
        <v>3.1182108626198084</v>
      </c>
      <c r="CA128" s="1691">
        <f t="shared" si="404"/>
        <v>0.4945598417408506</v>
      </c>
      <c r="CB128" s="1691">
        <f t="shared" si="404"/>
        <v>1.4662202879142954</v>
      </c>
      <c r="CC128" s="1691">
        <f t="shared" si="404"/>
        <v>0.79187542315504411</v>
      </c>
      <c r="CD128" s="1692">
        <f t="shared" si="404"/>
        <v>0.79584775086505188</v>
      </c>
      <c r="CE128" s="1694">
        <f t="shared" si="404"/>
        <v>3.5440700808625341</v>
      </c>
      <c r="CF128" s="1691">
        <f t="shared" si="404"/>
        <v>0.60077601410934744</v>
      </c>
      <c r="CG128" s="1691">
        <f t="shared" si="404"/>
        <v>1.6123072484673637</v>
      </c>
      <c r="CH128" s="1691">
        <f t="shared" si="404"/>
        <v>1.0395271230826786</v>
      </c>
      <c r="CI128" s="1692">
        <f t="shared" si="404"/>
        <v>1.094969512195122</v>
      </c>
      <c r="CJ128" s="1694">
        <f t="shared" si="404"/>
        <v>4.3350381231671546</v>
      </c>
      <c r="CK128" s="1691">
        <f t="shared" si="404"/>
        <v>1.0984472769409042</v>
      </c>
      <c r="CL128" s="1691">
        <f t="shared" si="404"/>
        <v>1.6290058914728682</v>
      </c>
      <c r="CM128" s="1691">
        <f t="shared" si="404"/>
        <v>1.1062197139543872</v>
      </c>
      <c r="CN128" s="1692">
        <f t="shared" si="404"/>
        <v>1.0008121827411167</v>
      </c>
      <c r="CO128" s="1694">
        <f t="shared" si="404"/>
        <v>4.7372454172366627</v>
      </c>
      <c r="CP128" s="1691">
        <f t="shared" si="404"/>
        <v>1.134825641025641</v>
      </c>
      <c r="CQ128" s="1691">
        <f t="shared" si="404"/>
        <v>1.8196482506527414</v>
      </c>
      <c r="CR128" s="1691">
        <f t="shared" si="404"/>
        <v>1.4040588422729685</v>
      </c>
      <c r="CS128" s="1691">
        <f t="shared" si="404"/>
        <v>1.8044958096782919</v>
      </c>
      <c r="CT128" s="1694">
        <f t="shared" si="404"/>
        <v>6.1487564067127352</v>
      </c>
      <c r="CU128" s="1691">
        <f t="shared" ca="1" si="404"/>
        <v>1.4610983731682254</v>
      </c>
      <c r="CV128" s="1691">
        <f t="shared" ca="1" si="404"/>
        <v>0.91635109373512413</v>
      </c>
      <c r="CW128" s="1691">
        <f t="shared" ca="1" si="404"/>
        <v>1.5364252766638729</v>
      </c>
      <c r="CX128" s="1691">
        <f t="shared" ca="1" si="404"/>
        <v>1.5743581300515035</v>
      </c>
      <c r="CY128" s="1694">
        <f t="shared" ca="1" si="404"/>
        <v>5.4844229647377523</v>
      </c>
      <c r="CZ128" s="1692">
        <f t="shared" ca="1" si="404"/>
        <v>7.1571439698261869</v>
      </c>
      <c r="DA128" s="1692">
        <f t="shared" ca="1" si="404"/>
        <v>7.458808562320562</v>
      </c>
      <c r="DB128"/>
      <c r="DC128"/>
      <c r="DD128" s="2295" t="s">
        <v>992</v>
      </c>
      <c r="DE128" s="2313">
        <f t="shared" si="319"/>
        <v>1.9921182266009851</v>
      </c>
      <c r="DF128" s="2313">
        <f t="shared" si="320"/>
        <v>1.392578125</v>
      </c>
      <c r="DG128" s="2313">
        <f t="shared" si="321"/>
        <v>1.3341630744945661</v>
      </c>
      <c r="DH128" s="2313">
        <f t="shared" si="322"/>
        <v>1.3905053598774886</v>
      </c>
      <c r="DI128" s="2313">
        <f t="shared" si="323"/>
        <v>1.7394923012900541</v>
      </c>
      <c r="DJ128" s="2313">
        <f t="shared" si="324"/>
        <v>1.9692707206232416</v>
      </c>
      <c r="DK128" s="2313">
        <f t="shared" si="325"/>
        <v>2.7011961444663806</v>
      </c>
      <c r="DL128" s="2313">
        <f t="shared" si="326"/>
        <v>2.6678389750675122</v>
      </c>
      <c r="DM128" s="2313">
        <f t="shared" si="327"/>
        <v>3.2017454148769349</v>
      </c>
      <c r="DN128" s="2313">
        <f t="shared" si="328"/>
        <v>1.2586549667512168</v>
      </c>
      <c r="DO128" s="2313">
        <f t="shared" si="329"/>
        <v>2.3450009925229933</v>
      </c>
      <c r="DP128" s="2313">
        <f t="shared" si="330"/>
        <v>2.8704976629089907</v>
      </c>
      <c r="DQ128" s="2313">
        <f t="shared" si="331"/>
        <v>1.9487834184439774</v>
      </c>
      <c r="DR128" s="2313">
        <f t="shared" si="332"/>
        <v>3.1182108626198084</v>
      </c>
      <c r="DS128" s="2313">
        <f t="shared" si="333"/>
        <v>3.5440700808625341</v>
      </c>
      <c r="DT128" s="2313">
        <f t="shared" si="334"/>
        <v>4.3350381231671546</v>
      </c>
      <c r="DU128" s="2313">
        <f t="shared" si="335"/>
        <v>4.7372454172366627</v>
      </c>
      <c r="DV128" s="2313">
        <f t="shared" si="336"/>
        <v>6.1487564067127352</v>
      </c>
      <c r="DW128" s="2313">
        <f t="shared" ca="1" si="337"/>
        <v>5.4844229647377523</v>
      </c>
      <c r="DX128" s="2313">
        <f t="shared" ca="1" si="338"/>
        <v>7.1571439698261869</v>
      </c>
      <c r="DY128" s="2313">
        <f t="shared" ca="1" si="339"/>
        <v>7.458808562320562</v>
      </c>
      <c r="EA128"/>
      <c r="EB128"/>
      <c r="EC128"/>
      <c r="ED128"/>
      <c r="EE128"/>
      <c r="EF128"/>
      <c r="EJ128"/>
      <c r="EK128"/>
      <c r="EL128"/>
      <c r="EM128" s="1703"/>
      <c r="ER128" s="212"/>
    </row>
    <row r="129" spans="1:148" s="871" customFormat="1" ht="12.75" customHeight="1" x14ac:dyDescent="0.2">
      <c r="A129" s="1737" t="s">
        <v>691</v>
      </c>
      <c r="B129" s="768"/>
      <c r="C129" s="768"/>
      <c r="D129" s="768"/>
      <c r="E129" s="768"/>
      <c r="F129" s="768"/>
      <c r="G129" s="768"/>
      <c r="H129" s="768"/>
      <c r="I129" s="768"/>
      <c r="J129" s="768"/>
      <c r="K129" s="768"/>
      <c r="L129" s="768"/>
      <c r="M129" s="1006"/>
      <c r="N129" s="768">
        <f t="shared" ref="N129:AS129" si="405">IF(I128&lt;=0,"N.M.",N128/I128-1)</f>
        <v>0.49741029113067059</v>
      </c>
      <c r="O129" s="768">
        <f t="shared" si="405"/>
        <v>-0.29278609496993402</v>
      </c>
      <c r="P129" s="768">
        <f t="shared" si="405"/>
        <v>-0.16798723137433735</v>
      </c>
      <c r="Q129" s="768">
        <f t="shared" si="405"/>
        <v>-0.72567783094098881</v>
      </c>
      <c r="R129" s="1006">
        <f t="shared" si="405"/>
        <v>-0.30095608463155288</v>
      </c>
      <c r="S129" s="768">
        <f t="shared" si="405"/>
        <v>-0.31595468851685782</v>
      </c>
      <c r="T129" s="768">
        <f t="shared" si="405"/>
        <v>0.65449048834966517</v>
      </c>
      <c r="U129" s="768">
        <f t="shared" si="405"/>
        <v>-0.24142729164902466</v>
      </c>
      <c r="V129" s="768">
        <f t="shared" si="405"/>
        <v>-0.34195309340881519</v>
      </c>
      <c r="W129" s="1006">
        <f t="shared" si="405"/>
        <v>-4.194741354667908E-2</v>
      </c>
      <c r="X129" s="768">
        <f t="shared" si="405"/>
        <v>-0.7604521152122351</v>
      </c>
      <c r="Y129" s="768">
        <f t="shared" si="405"/>
        <v>-0.49845096730511462</v>
      </c>
      <c r="Z129" s="768">
        <f t="shared" si="405"/>
        <v>-0.51165196987069794</v>
      </c>
      <c r="AA129" s="768">
        <f t="shared" si="405"/>
        <v>6.7498673571221266</v>
      </c>
      <c r="AB129" s="1006">
        <f t="shared" si="405"/>
        <v>4.2230433790312549E-2</v>
      </c>
      <c r="AC129" s="768">
        <f t="shared" si="405"/>
        <v>2.4309115728803277</v>
      </c>
      <c r="AD129" s="768">
        <f t="shared" si="405"/>
        <v>0.27969408868285273</v>
      </c>
      <c r="AE129" s="768">
        <f t="shared" si="405"/>
        <v>1.1852369081001788</v>
      </c>
      <c r="AF129" s="768">
        <f t="shared" si="405"/>
        <v>-0.11124228170911865</v>
      </c>
      <c r="AG129" s="1006">
        <f t="shared" si="405"/>
        <v>0.25097849420969731</v>
      </c>
      <c r="AH129" s="768">
        <f t="shared" si="405"/>
        <v>0.10735199691793995</v>
      </c>
      <c r="AI129" s="768">
        <f t="shared" si="405"/>
        <v>0.86729211087420044</v>
      </c>
      <c r="AJ129" s="768">
        <f t="shared" si="405"/>
        <v>3.3184329117604161E-2</v>
      </c>
      <c r="AK129" s="768">
        <f t="shared" si="405"/>
        <v>-0.15775966183574885</v>
      </c>
      <c r="AL129" s="1006">
        <f t="shared" si="405"/>
        <v>0.13209510565972482</v>
      </c>
      <c r="AM129" s="768">
        <f t="shared" si="405"/>
        <v>0.89776117019577817</v>
      </c>
      <c r="AN129" s="768">
        <f t="shared" si="405"/>
        <v>-0.25656821559053877</v>
      </c>
      <c r="AO129" s="768">
        <f t="shared" si="405"/>
        <v>0.62880570170144834</v>
      </c>
      <c r="AP129" s="768">
        <f t="shared" si="405"/>
        <v>0.74509367745852639</v>
      </c>
      <c r="AQ129" s="1006">
        <f t="shared" si="405"/>
        <v>0.37167333885485121</v>
      </c>
      <c r="AR129" s="768">
        <f t="shared" si="405"/>
        <v>-1.0172937107362179</v>
      </c>
      <c r="AS129" s="768">
        <f t="shared" si="405"/>
        <v>1.2767715513197313</v>
      </c>
      <c r="AT129" s="768">
        <f t="shared" ref="AT129:CA129" si="406">IF(AO128&lt;=0,"N.M.",AT128/AO128-1)</f>
        <v>-0.58275016097465471</v>
      </c>
      <c r="AU129" s="768">
        <f t="shared" si="406"/>
        <v>8.1541139639849991E-2</v>
      </c>
      <c r="AV129" s="1006">
        <f t="shared" si="406"/>
        <v>-1.2349036358282661E-2</v>
      </c>
      <c r="AW129" s="768" t="str">
        <f t="shared" si="406"/>
        <v>N.M.</v>
      </c>
      <c r="AX129" s="768">
        <f t="shared" si="406"/>
        <v>-0.18719439104376334</v>
      </c>
      <c r="AY129" s="768">
        <f t="shared" si="406"/>
        <v>2.3908183797789362</v>
      </c>
      <c r="AZ129" s="768">
        <f t="shared" si="406"/>
        <v>-0.17490747069127144</v>
      </c>
      <c r="BA129" s="1006">
        <f t="shared" si="406"/>
        <v>0.20012693599541986</v>
      </c>
      <c r="BB129" s="768">
        <f t="shared" si="406"/>
        <v>-4.6753974928911868E-2</v>
      </c>
      <c r="BC129" s="768">
        <f t="shared" si="406"/>
        <v>-0.41100103550067224</v>
      </c>
      <c r="BD129" s="768">
        <f t="shared" si="406"/>
        <v>-0.91964871049539243</v>
      </c>
      <c r="BE129" s="768">
        <f t="shared" si="406"/>
        <v>-0.48147307215649493</v>
      </c>
      <c r="BF129" s="1006">
        <f t="shared" si="406"/>
        <v>-0.60688474452001495</v>
      </c>
      <c r="BG129" s="768">
        <f t="shared" si="406"/>
        <v>1.4784104607554247</v>
      </c>
      <c r="BH129" s="768">
        <f t="shared" si="406"/>
        <v>0.37747053851509493</v>
      </c>
      <c r="BI129" s="768">
        <f t="shared" si="406"/>
        <v>6.9264744776514169</v>
      </c>
      <c r="BJ129" s="768">
        <f t="shared" si="406"/>
        <v>0.15369225480305904</v>
      </c>
      <c r="BK129" s="1006">
        <f t="shared" si="406"/>
        <v>0.86310073409220611</v>
      </c>
      <c r="BL129" s="768">
        <f t="shared" si="406"/>
        <v>-0.69077593769525458</v>
      </c>
      <c r="BM129" s="768">
        <f t="shared" si="406"/>
        <v>-2.1204564433391804E-2</v>
      </c>
      <c r="BN129" s="768">
        <f t="shared" si="406"/>
        <v>1.2833324098699768</v>
      </c>
      <c r="BO129" s="768">
        <f t="shared" si="406"/>
        <v>-5.637859542305268E-2</v>
      </c>
      <c r="BP129" s="1006">
        <f t="shared" si="406"/>
        <v>0.22409230190585716</v>
      </c>
      <c r="BQ129" s="768">
        <f t="shared" si="406"/>
        <v>3.0624879086863999</v>
      </c>
      <c r="BR129" s="768">
        <f t="shared" si="406"/>
        <v>2.3201660368656229E-2</v>
      </c>
      <c r="BS129" s="768">
        <f t="shared" si="406"/>
        <v>-0.40765711792773041</v>
      </c>
      <c r="BT129" s="768">
        <f t="shared" si="406"/>
        <v>-1.2912644889096625</v>
      </c>
      <c r="BU129" s="1006">
        <f t="shared" si="406"/>
        <v>-0.32109910987732315</v>
      </c>
      <c r="BV129" s="768">
        <f t="shared" si="406"/>
        <v>-0.11612337662337657</v>
      </c>
      <c r="BW129" s="768">
        <f t="shared" si="406"/>
        <v>0.84938746241315077</v>
      </c>
      <c r="BX129" s="768">
        <f t="shared" si="406"/>
        <v>-0.50447187621654255</v>
      </c>
      <c r="BY129" s="768" t="str">
        <f t="shared" si="406"/>
        <v>N.M.</v>
      </c>
      <c r="BZ129" s="1006">
        <f t="shared" ref="BZ129:CF129" si="407">IF(BU128&lt;=0,"N.M.",BZ128/BU128-1)</f>
        <v>0.60008076480328953</v>
      </c>
      <c r="CA129" s="768">
        <f t="shared" si="406"/>
        <v>1.0032803716085086</v>
      </c>
      <c r="CB129" s="768">
        <f t="shared" si="407"/>
        <v>1.4081873138962031E-2</v>
      </c>
      <c r="CC129" s="768">
        <f t="shared" si="407"/>
        <v>0.55117369282586171</v>
      </c>
      <c r="CD129" s="1693">
        <f t="shared" si="407"/>
        <v>-0.14132216354033877</v>
      </c>
      <c r="CE129" s="1006">
        <f t="shared" si="407"/>
        <v>0.13657165503071012</v>
      </c>
      <c r="CF129" s="768">
        <f t="shared" si="407"/>
        <v>0.21476910052910059</v>
      </c>
      <c r="CG129" s="768">
        <f t="shared" ref="CG129:CO129" si="408">IF(CB128&lt;=0,"N.M.",CG128/CB128-1)</f>
        <v>9.9635069680339639E-2</v>
      </c>
      <c r="CH129" s="768">
        <f t="shared" si="408"/>
        <v>0.31274073255225376</v>
      </c>
      <c r="CI129" s="1693">
        <f t="shared" si="408"/>
        <v>0.3758529957582184</v>
      </c>
      <c r="CJ129" s="1006">
        <f t="shared" si="408"/>
        <v>0.22318070022817382</v>
      </c>
      <c r="CK129" s="768">
        <f t="shared" si="408"/>
        <v>0.82838071285078874</v>
      </c>
      <c r="CL129" s="768">
        <f t="shared" si="408"/>
        <v>1.0356985631229998E-2</v>
      </c>
      <c r="CM129" s="768">
        <f t="shared" si="408"/>
        <v>6.4156662573588541E-2</v>
      </c>
      <c r="CN129" s="1693">
        <f t="shared" si="408"/>
        <v>-8.5990822945604117E-2</v>
      </c>
      <c r="CO129" s="1006">
        <f t="shared" si="408"/>
        <v>9.2780566777497686E-2</v>
      </c>
      <c r="CP129" s="768">
        <f t="shared" ref="CP129:CY129" si="409">IF(CK128&lt;=0,"N.M.",CP128/CK128-1)</f>
        <v>3.3117988317152403E-2</v>
      </c>
      <c r="CQ129" s="768">
        <f t="shared" si="409"/>
        <v>0.11702987704206746</v>
      </c>
      <c r="CR129" s="768">
        <f t="shared" si="409"/>
        <v>0.26924048139939583</v>
      </c>
      <c r="CS129" s="768">
        <f t="shared" si="409"/>
        <v>0.80303141867835026</v>
      </c>
      <c r="CT129" s="1006">
        <f t="shared" si="409"/>
        <v>0.29796028391103224</v>
      </c>
      <c r="CU129" s="768">
        <f t="shared" ca="1" si="409"/>
        <v>0.28750912946212881</v>
      </c>
      <c r="CV129" s="768">
        <f t="shared" ca="1" si="409"/>
        <v>-0.49641306037778887</v>
      </c>
      <c r="CW129" s="768">
        <f t="shared" ca="1" si="409"/>
        <v>9.4274136101462958E-2</v>
      </c>
      <c r="CX129" s="768">
        <f t="shared" ca="1" si="409"/>
        <v>-0.12753572404682822</v>
      </c>
      <c r="CY129" s="1006">
        <f t="shared" ca="1" si="409"/>
        <v>-0.10804354539882488</v>
      </c>
      <c r="CZ129" s="1693">
        <f ca="1">IF(CY128&lt;=0,"N.M.",CZ128/CY128-1)</f>
        <v>0.30499489478532937</v>
      </c>
      <c r="DA129" s="1693">
        <f ca="1">IF(CZ128&lt;=0,"N.M.",DA128/CZ128-1)</f>
        <v>4.2148738905653405E-2</v>
      </c>
      <c r="DB129"/>
      <c r="DC129"/>
      <c r="DD129" s="1737" t="s">
        <v>691</v>
      </c>
      <c r="DE129" s="1693">
        <f t="shared" si="319"/>
        <v>0</v>
      </c>
      <c r="DF129" s="1693">
        <f t="shared" si="320"/>
        <v>-0.30095608463155288</v>
      </c>
      <c r="DG129" s="1693">
        <f t="shared" si="321"/>
        <v>-4.194741354667908E-2</v>
      </c>
      <c r="DH129" s="1693">
        <f t="shared" si="322"/>
        <v>4.2230433790312549E-2</v>
      </c>
      <c r="DI129" s="1693">
        <f t="shared" si="323"/>
        <v>0.25097849420969731</v>
      </c>
      <c r="DJ129" s="1693">
        <f t="shared" si="324"/>
        <v>0.13209510565972482</v>
      </c>
      <c r="DK129" s="1693">
        <f t="shared" si="325"/>
        <v>0.37167333885485121</v>
      </c>
      <c r="DL129" s="1693">
        <f t="shared" si="326"/>
        <v>-1.2349036358282661E-2</v>
      </c>
      <c r="DM129" s="1693">
        <f t="shared" si="327"/>
        <v>0.20012693599541986</v>
      </c>
      <c r="DN129" s="1693">
        <f t="shared" si="328"/>
        <v>-0.60688474452001495</v>
      </c>
      <c r="DO129" s="1693">
        <f t="shared" si="329"/>
        <v>0.86310073409220611</v>
      </c>
      <c r="DP129" s="1693">
        <f t="shared" si="330"/>
        <v>0.22409230190585716</v>
      </c>
      <c r="DQ129" s="1693">
        <f t="shared" si="331"/>
        <v>-0.32109910987732315</v>
      </c>
      <c r="DR129" s="1693">
        <f t="shared" si="332"/>
        <v>0.60008076480328953</v>
      </c>
      <c r="DS129" s="1693">
        <f t="shared" si="333"/>
        <v>0.13657165503071012</v>
      </c>
      <c r="DT129" s="1693">
        <f t="shared" si="334"/>
        <v>0.22318070022817382</v>
      </c>
      <c r="DU129" s="1693">
        <f t="shared" si="335"/>
        <v>9.2780566777497686E-2</v>
      </c>
      <c r="DV129" s="1693">
        <f t="shared" si="336"/>
        <v>0.29796028391103224</v>
      </c>
      <c r="DW129" s="1693">
        <f t="shared" ca="1" si="337"/>
        <v>-0.10804354539882488</v>
      </c>
      <c r="DX129" s="1693">
        <f t="shared" ca="1" si="338"/>
        <v>0.30499489478532937</v>
      </c>
      <c r="DY129" s="1693">
        <f t="shared" ca="1" si="339"/>
        <v>4.2148738905653405E-2</v>
      </c>
      <c r="EA129"/>
      <c r="EB129"/>
      <c r="EC129"/>
      <c r="ED129"/>
      <c r="EE129"/>
      <c r="EF129"/>
      <c r="EJ129"/>
      <c r="EK129"/>
      <c r="EL129"/>
    </row>
    <row r="130" spans="1:148" s="1193" customFormat="1" ht="12.75" customHeight="1" x14ac:dyDescent="0.2">
      <c r="A130" s="2389" t="s">
        <v>1302</v>
      </c>
      <c r="B130" s="1189"/>
      <c r="C130" s="1189"/>
      <c r="D130" s="1189"/>
      <c r="E130" s="1189"/>
      <c r="F130" s="1189"/>
      <c r="G130" s="1189"/>
      <c r="H130" s="1189"/>
      <c r="I130" s="1189">
        <f>I128/'EBITDA Val'!$G$23</f>
        <v>1.1272212937337822E-3</v>
      </c>
      <c r="J130" s="1189">
        <f>J128/'EBITDA Val'!$G$23</f>
        <v>3.5369995064450307E-3</v>
      </c>
      <c r="K130" s="1189">
        <f>K128/'EBITDA Val'!$G$23</f>
        <v>5.2892100115763847E-3</v>
      </c>
      <c r="L130" s="1189">
        <f>L128/'EBITDA Val'!$G$23</f>
        <v>4.1868077494005259E-3</v>
      </c>
      <c r="M130" s="2390">
        <f>M128/'EBITDA Val'!$G$23</f>
        <v>1.4128498060999894E-2</v>
      </c>
      <c r="N130" s="1189">
        <f>N128/'EBITDA Val'!$G$23</f>
        <v>1.6879127656185939E-3</v>
      </c>
      <c r="O130" s="1189">
        <f>O128/'EBITDA Val'!$G$23</f>
        <v>2.5014152330424064E-3</v>
      </c>
      <c r="P130" s="1189">
        <f>P128/'EBITDA Val'!$G$23</f>
        <v>4.4006902655742411E-3</v>
      </c>
      <c r="Q130" s="1189">
        <f>Q128/'EBITDA Val'!$G$23</f>
        <v>1.148534183248629E-3</v>
      </c>
      <c r="R130" s="2390">
        <f>R128/'EBITDA Val'!$G$23</f>
        <v>9.8764406028368796E-3</v>
      </c>
      <c r="S130" s="1189">
        <f>S128/'EBITDA Val'!$G$23</f>
        <v>1.154608813513943E-3</v>
      </c>
      <c r="T130" s="1189">
        <f>T128/'EBITDA Val'!$G$23</f>
        <v>4.1385677104816216E-3</v>
      </c>
      <c r="U130" s="1189">
        <f>U128/'EBITDA Val'!$G$23</f>
        <v>3.3382435333704249E-3</v>
      </c>
      <c r="V130" s="1189">
        <f>V128/'EBITDA Val'!$G$23</f>
        <v>7.557893664009933E-4</v>
      </c>
      <c r="W130" s="2390">
        <f>W128/'EBITDA Val'!$G$23</f>
        <v>9.4621494645004689E-3</v>
      </c>
      <c r="X130" s="1189">
        <f>X128/'EBITDA Val'!$G$23</f>
        <v>2.7658409903457592E-4</v>
      </c>
      <c r="Y130" s="1189">
        <f>Y128/'EBITDA Val'!$G$23</f>
        <v>2.0756946319343442E-3</v>
      </c>
      <c r="Z130" s="1189">
        <f>Z128/'EBITDA Val'!$G$23</f>
        <v>1.630224653613328E-3</v>
      </c>
      <c r="AA130" s="1189">
        <f>AA128/'EBITDA Val'!$G$23</f>
        <v>5.8572673395310727E-3</v>
      </c>
      <c r="AB130" s="2390">
        <f>AB128/'EBITDA Val'!$G$23</f>
        <v>9.861740140975097E-3</v>
      </c>
      <c r="AC130" s="1189">
        <f>AC128/'EBITDA Val'!$G$23</f>
        <v>9.4893558625240516E-4</v>
      </c>
      <c r="AD130" s="1189">
        <f>AD128/'EBITDA Val'!$G$23</f>
        <v>2.65625415039711E-3</v>
      </c>
      <c r="AE130" s="1189">
        <f>AE128/'EBITDA Val'!$G$23</f>
        <v>3.5624270815706742E-3</v>
      </c>
      <c r="AF130" s="1189">
        <f>AF128/'EBITDA Val'!$G$23</f>
        <v>5.205691556101337E-3</v>
      </c>
      <c r="AG130" s="2390">
        <f>AG128/'EBITDA Val'!$G$23</f>
        <v>1.2336824831844355E-2</v>
      </c>
      <c r="AH130" s="1189">
        <f>AH128/'EBITDA Val'!$G$23</f>
        <v>1.0508057163830971E-3</v>
      </c>
      <c r="AI130" s="1189">
        <f>AI128/'EBITDA Val'!$G$23</f>
        <v>4.9600024195133752E-3</v>
      </c>
      <c r="AJ130" s="1189">
        <f>AJ128/'EBITDA Val'!$G$23</f>
        <v>3.6806438343029817E-3</v>
      </c>
      <c r="AK130" s="1189">
        <f>AK128/'EBITDA Val'!$G$23</f>
        <v>4.3844434165895771E-3</v>
      </c>
      <c r="AL130" s="2390">
        <f>AL128/'EBITDA Val'!$G$23</f>
        <v>1.3966459011512352E-2</v>
      </c>
      <c r="AM130" s="1189">
        <f>AM128/'EBITDA Val'!$G$23</f>
        <v>1.9941782859715994E-3</v>
      </c>
      <c r="AN130" s="1189">
        <f>AN128/'EBITDA Val'!$G$23</f>
        <v>3.6874234494140737E-3</v>
      </c>
      <c r="AO130" s="1189">
        <f>AO128/'EBITDA Val'!$G$23</f>
        <v>5.9950536632449774E-3</v>
      </c>
      <c r="AP130" s="1189">
        <f>AP128/'EBITDA Val'!$G$23</f>
        <v>7.6512644854651304E-3</v>
      </c>
      <c r="AQ130" s="2390">
        <f>AQ128/'EBITDA Val'!$G$23</f>
        <v>1.9157419464300572E-2</v>
      </c>
      <c r="AR130" s="1189">
        <f>AR128/'EBITDA Val'!$G$23</f>
        <v>-3.4486742434039799E-5</v>
      </c>
      <c r="AS130" s="1189">
        <f>AS128/'EBITDA Val'!$G$23</f>
        <v>8.3954208072952348E-3</v>
      </c>
      <c r="AT130" s="1189">
        <f>AT128/'EBITDA Val'!$G$23</f>
        <v>2.5014351759372732E-3</v>
      </c>
      <c r="AU130" s="1189">
        <f>AU128/'EBITDA Val'!$G$23</f>
        <v>8.2751573112958676E-3</v>
      </c>
      <c r="AV130" s="2390">
        <f>AV128/'EBITDA Val'!$G$23</f>
        <v>1.8920843794805051E-2</v>
      </c>
      <c r="AW130" s="1189">
        <f>AW128/'EBITDA Val'!$G$23</f>
        <v>6.6745617196722223E-4</v>
      </c>
      <c r="AX130" s="1189">
        <f>AX128/'EBITDA Val'!$G$23</f>
        <v>6.8238451217174628E-3</v>
      </c>
      <c r="AY130" s="1189">
        <f>AY128/'EBITDA Val'!$G$23</f>
        <v>8.4819123703936631E-3</v>
      </c>
      <c r="AZ130" s="1189">
        <f>AZ128/'EBITDA Val'!$G$23</f>
        <v>6.8277704764047259E-3</v>
      </c>
      <c r="BA130" s="2390">
        <f>BA128/'EBITDA Val'!$G$23</f>
        <v>2.270741428990734E-2</v>
      </c>
      <c r="BB130" s="1189">
        <f>BB128/'EBITDA Val'!$G$23</f>
        <v>6.3624994283691919E-4</v>
      </c>
      <c r="BC130" s="1189">
        <f>BC128/'EBITDA Val'!$G$23</f>
        <v>4.0192377105953744E-3</v>
      </c>
      <c r="BD130" s="1189">
        <f>BD128/'EBITDA Val'!$G$23</f>
        <v>6.8153259642621321E-4</v>
      </c>
      <c r="BE130" s="1189">
        <f>BE128/'EBITDA Val'!$G$23</f>
        <v>3.5403828491507275E-3</v>
      </c>
      <c r="BF130" s="2390">
        <f>BF128/'EBITDA Val'!$G$23</f>
        <v>8.9266309698667855E-3</v>
      </c>
      <c r="BG130" s="1189">
        <f>BG128/'EBITDA Val'!$G$23</f>
        <v>1.5768885139820616E-3</v>
      </c>
      <c r="BH130" s="1189">
        <f>BH128/'EBITDA Val'!$G$23</f>
        <v>5.5363815336339876E-3</v>
      </c>
      <c r="BI130" s="1189">
        <f>BI128/'EBITDA Val'!$G$23</f>
        <v>5.4021507312598822E-3</v>
      </c>
      <c r="BJ130" s="1189">
        <f>BJ128/'EBITDA Val'!$G$23</f>
        <v>4.0845122721027815E-3</v>
      </c>
      <c r="BK130" s="2390">
        <f>BK128/'EBITDA Val'!$G$23</f>
        <v>1.6631212712929031E-2</v>
      </c>
      <c r="BL130" s="1189">
        <f>BL128/'EBITDA Val'!$G$23</f>
        <v>4.8761187209522643E-4</v>
      </c>
      <c r="BM130" s="1189">
        <f>BM128/'EBITDA Val'!$G$23</f>
        <v>5.4189849746762052E-3</v>
      </c>
      <c r="BN130" s="1189">
        <f>BN128/'EBITDA Val'!$G$23</f>
        <v>1.2334905847688484E-2</v>
      </c>
      <c r="BO130" s="1189">
        <f>BO128/'EBITDA Val'!$G$23</f>
        <v>3.8542332072134052E-3</v>
      </c>
      <c r="BP130" s="2390">
        <f>BP128/'EBITDA Val'!$G$23</f>
        <v>2.0358139453255254E-2</v>
      </c>
      <c r="BQ130" s="1189">
        <f>BQ128/'EBITDA Val'!$G$23</f>
        <v>1.9809173345187964E-3</v>
      </c>
      <c r="BR130" s="1189">
        <f>BR128/'EBITDA Val'!$G$23</f>
        <v>5.5447144236014942E-3</v>
      </c>
      <c r="BS130" s="1189">
        <f>BS128/'EBITDA Val'!$G$23</f>
        <v>7.3064936799098886E-3</v>
      </c>
      <c r="BT130" s="1189">
        <f>BT128/'EBITDA Val'!$G$23</f>
        <v>-1.1226012652376612E-3</v>
      </c>
      <c r="BU130" s="2390">
        <f>BU128/'EBITDA Val'!$G$23</f>
        <v>1.3821158996056578E-2</v>
      </c>
      <c r="BV130" s="1189">
        <f>BV128/'EBITDA Val'!$G$23</f>
        <v>1.7508865248226952E-3</v>
      </c>
      <c r="BW130" s="1189">
        <f>BW128/'EBITDA Val'!$G$23</f>
        <v>1.0254325337669963E-2</v>
      </c>
      <c r="BX130" s="1189">
        <f>BX128/'EBITDA Val'!$G$23</f>
        <v>3.6205731046414372E-3</v>
      </c>
      <c r="BY130" s="1189">
        <f>BY128/'EBITDA Val'!$G$23</f>
        <v>6.5732572219339216E-3</v>
      </c>
      <c r="BZ130" s="2390">
        <f>BZ128/'EBITDA Val'!$G$23</f>
        <v>2.2114970656878074E-2</v>
      </c>
      <c r="CA130" s="1189">
        <f>CA128/'EBITDA Val'!$G$23</f>
        <v>3.5075166080911391E-3</v>
      </c>
      <c r="CB130" s="1189">
        <f>CB128/'EBITDA Val'!$G$23</f>
        <v>1.0398725446200676E-2</v>
      </c>
      <c r="CC130" s="1189">
        <f>CC128/'EBITDA Val'!$G$23</f>
        <v>5.6161377528726533E-3</v>
      </c>
      <c r="CD130" s="2391">
        <f>CD128/'EBITDA Val'!$G$23</f>
        <v>5.6443102898230627E-3</v>
      </c>
      <c r="CE130" s="2390">
        <f>CE128/'EBITDA Val'!$G$23</f>
        <v>2.5135248800443506E-2</v>
      </c>
      <c r="CF130" s="1189">
        <f>CF128/'EBITDA Val'!$G$23</f>
        <v>4.2608227951017553E-3</v>
      </c>
      <c r="CG130" s="1189">
        <f>CG128/'EBITDA Val'!$G$23</f>
        <v>1.1434803180619601E-2</v>
      </c>
      <c r="CH130" s="1189">
        <f>CH128/'EBITDA Val'!$G$23</f>
        <v>7.3725327878204159E-3</v>
      </c>
      <c r="CI130" s="2391">
        <f>CI128/'EBITDA Val'!$G$23</f>
        <v>7.765741221242E-3</v>
      </c>
      <c r="CJ130" s="2390">
        <f>CJ128/'EBITDA Val'!$G$23</f>
        <v>3.074495122813585E-2</v>
      </c>
      <c r="CK130" s="1189">
        <f>CK128/'EBITDA Val'!$G$23</f>
        <v>7.790406219439037E-3</v>
      </c>
      <c r="CL130" s="1189">
        <f>CL128/'EBITDA Val'!$G$23</f>
        <v>1.1553233272857221E-2</v>
      </c>
      <c r="CM130" s="1189">
        <f>CM128/'EBITDA Val'!$G$23</f>
        <v>7.845529886201328E-3</v>
      </c>
      <c r="CN130" s="2391">
        <f>CN128/'EBITDA Val'!$G$23</f>
        <v>7.0979587428447993E-3</v>
      </c>
      <c r="CO130" s="2390">
        <f>CO128/'EBITDA Val'!$G$23</f>
        <v>3.3597485228628814E-2</v>
      </c>
      <c r="CP130" s="1189">
        <f>CP128/'EBITDA Val'!$G$23</f>
        <v>8.0484088016002913E-3</v>
      </c>
      <c r="CQ130" s="1189">
        <f>CQ128/'EBITDA Val'!$G$23</f>
        <v>1.2905306742218023E-2</v>
      </c>
      <c r="CR130" s="1189">
        <f>CR128/'EBITDA Val'!$G$23</f>
        <v>9.9578641295955221E-3</v>
      </c>
      <c r="CS130" s="1189">
        <f>CS128/'EBITDA Val'!$G$23</f>
        <v>1.2797842621831857E-2</v>
      </c>
      <c r="CT130" s="2390">
        <f>CT128/'EBITDA Val'!$G$23</f>
        <v>4.3608201466047769E-2</v>
      </c>
      <c r="CU130" s="1189">
        <f ca="1">CU128/'EBITDA Val'!$G$23</f>
        <v>1.0362399809703727E-2</v>
      </c>
      <c r="CV130" s="1189">
        <f ca="1">CV128/'EBITDA Val'!$G$23</f>
        <v>6.4989439271994623E-3</v>
      </c>
      <c r="CW130" s="1189">
        <f ca="1">CW128/'EBITDA Val'!$G$23</f>
        <v>1.0896633167828886E-2</v>
      </c>
      <c r="CX130" s="1189">
        <f ca="1">CX128/'EBITDA Val'!$G$23</f>
        <v>1.1165660496819173E-2</v>
      </c>
      <c r="CY130" s="2390">
        <f ca="1">CY128/'EBITDA Val'!$G$23</f>
        <v>3.8896616771189732E-2</v>
      </c>
      <c r="CZ130" s="2391">
        <f ca="1">CZ128/'EBITDA Val'!$G$23</f>
        <v>5.0759886310824023E-2</v>
      </c>
      <c r="DA130" s="2391">
        <f ca="1">DA128/'EBITDA Val'!$G$23</f>
        <v>5.2899351505819592E-2</v>
      </c>
      <c r="DB130"/>
      <c r="DC130"/>
      <c r="DD130" s="2389" t="s">
        <v>1302</v>
      </c>
      <c r="DE130" s="2391">
        <f t="shared" si="319"/>
        <v>1.4128498060999894E-2</v>
      </c>
      <c r="DF130" s="2391">
        <f t="shared" si="320"/>
        <v>9.8764406028368796E-3</v>
      </c>
      <c r="DG130" s="2391">
        <f t="shared" si="321"/>
        <v>9.4621494645004689E-3</v>
      </c>
      <c r="DH130" s="2391">
        <f t="shared" si="322"/>
        <v>9.861740140975097E-3</v>
      </c>
      <c r="DI130" s="2391">
        <f t="shared" si="323"/>
        <v>1.2336824831844355E-2</v>
      </c>
      <c r="DJ130" s="2391">
        <f t="shared" si="324"/>
        <v>1.3966459011512352E-2</v>
      </c>
      <c r="DK130" s="2391">
        <f t="shared" si="325"/>
        <v>1.9157419464300572E-2</v>
      </c>
      <c r="DL130" s="2391">
        <f t="shared" si="326"/>
        <v>1.8920843794805051E-2</v>
      </c>
      <c r="DM130" s="2391">
        <f t="shared" si="327"/>
        <v>2.270741428990734E-2</v>
      </c>
      <c r="DN130" s="2391">
        <f t="shared" si="328"/>
        <v>8.9266309698667855E-3</v>
      </c>
      <c r="DO130" s="2391">
        <f t="shared" si="329"/>
        <v>1.6631212712929031E-2</v>
      </c>
      <c r="DP130" s="2391">
        <f t="shared" si="330"/>
        <v>2.0358139453255254E-2</v>
      </c>
      <c r="DQ130" s="2391">
        <f t="shared" si="331"/>
        <v>1.3821158996056578E-2</v>
      </c>
      <c r="DR130" s="2391">
        <f t="shared" si="332"/>
        <v>2.2114970656878074E-2</v>
      </c>
      <c r="DS130" s="2391">
        <f t="shared" si="333"/>
        <v>2.5135248800443506E-2</v>
      </c>
      <c r="DT130" s="2391">
        <f t="shared" si="334"/>
        <v>3.074495122813585E-2</v>
      </c>
      <c r="DU130" s="2391">
        <f t="shared" si="335"/>
        <v>3.3597485228628814E-2</v>
      </c>
      <c r="DV130" s="2391">
        <f t="shared" si="336"/>
        <v>4.3608201466047769E-2</v>
      </c>
      <c r="DW130" s="2391">
        <f t="shared" ca="1" si="337"/>
        <v>3.8896616771189732E-2</v>
      </c>
      <c r="DX130" s="2391">
        <f t="shared" ca="1" si="338"/>
        <v>5.0759886310824023E-2</v>
      </c>
      <c r="DY130" s="2391">
        <f t="shared" ca="1" si="339"/>
        <v>5.2899351505819592E-2</v>
      </c>
      <c r="EA130"/>
      <c r="EB130"/>
      <c r="EC130"/>
      <c r="ED130"/>
      <c r="EE130"/>
      <c r="EF130"/>
      <c r="EJ130"/>
      <c r="EK130"/>
      <c r="EL130"/>
      <c r="ER130" s="212"/>
    </row>
    <row r="131" spans="1:148" s="961" customFormat="1" ht="12.75" customHeight="1" x14ac:dyDescent="0.2">
      <c r="A131" s="1695" t="s">
        <v>1048</v>
      </c>
      <c r="B131" s="1691"/>
      <c r="C131" s="1691"/>
      <c r="D131" s="1691"/>
      <c r="E131" s="1691"/>
      <c r="F131" s="1691"/>
      <c r="G131" s="1691"/>
      <c r="H131" s="1691"/>
      <c r="I131" s="1691">
        <f t="shared" ref="I131:AN131" si="410">I126/I58</f>
        <v>-0.4579830666787188</v>
      </c>
      <c r="J131" s="1691">
        <f t="shared" si="410"/>
        <v>0.94152868577014726</v>
      </c>
      <c r="K131" s="1691">
        <f t="shared" si="410"/>
        <v>0.76348120801307284</v>
      </c>
      <c r="L131" s="1691">
        <f t="shared" si="410"/>
        <v>1.0534853400442681</v>
      </c>
      <c r="M131" s="1694">
        <f t="shared" si="410"/>
        <v>2.2916256157635466</v>
      </c>
      <c r="N131" s="1691">
        <f t="shared" si="410"/>
        <v>0.15065097945532732</v>
      </c>
      <c r="O131" s="1691">
        <f t="shared" si="410"/>
        <v>0.17790123821625933</v>
      </c>
      <c r="P131" s="1691">
        <f t="shared" si="410"/>
        <v>0.48832210085986522</v>
      </c>
      <c r="Q131" s="1691">
        <f t="shared" si="410"/>
        <v>-0.77879435111096929</v>
      </c>
      <c r="R131" s="1694">
        <f t="shared" si="410"/>
        <v>0.103515625</v>
      </c>
      <c r="S131" s="1691">
        <f t="shared" si="410"/>
        <v>0.13134093590247739</v>
      </c>
      <c r="T131" s="1691">
        <f t="shared" si="410"/>
        <v>0.60662384940953629</v>
      </c>
      <c r="U131" s="1691">
        <f t="shared" si="410"/>
        <v>0.49250907759436124</v>
      </c>
      <c r="V131" s="1691">
        <f t="shared" si="410"/>
        <v>0.20765809200908267</v>
      </c>
      <c r="W131" s="1694">
        <f t="shared" si="410"/>
        <v>1.4466334770202172</v>
      </c>
      <c r="X131" s="1691">
        <f t="shared" si="410"/>
        <v>-2.8735632183908046E-2</v>
      </c>
      <c r="Y131" s="1691">
        <f t="shared" si="410"/>
        <v>0.30495292672943103</v>
      </c>
      <c r="Z131" s="1691">
        <f t="shared" si="410"/>
        <v>0.10984540276647681</v>
      </c>
      <c r="AA131" s="1691">
        <f t="shared" si="410"/>
        <v>0.45565500406834825</v>
      </c>
      <c r="AB131" s="1694">
        <f t="shared" si="410"/>
        <v>0.84328739152628895</v>
      </c>
      <c r="AC131" s="1691">
        <f t="shared" si="410"/>
        <v>-0.6648826677645121</v>
      </c>
      <c r="AD131" s="1691">
        <f t="shared" si="410"/>
        <v>0.44735746982937991</v>
      </c>
      <c r="AE131" s="1691">
        <f t="shared" si="410"/>
        <v>0.25952281289242363</v>
      </c>
      <c r="AF131" s="1691">
        <f t="shared" si="410"/>
        <v>0.87202007528230863</v>
      </c>
      <c r="AG131" s="1694">
        <f t="shared" si="410"/>
        <v>0.90095713691219304</v>
      </c>
      <c r="AH131" s="1691">
        <f t="shared" si="410"/>
        <v>-0.78464106844741233</v>
      </c>
      <c r="AI131" s="1691">
        <f t="shared" si="410"/>
        <v>-0.24093816631130063</v>
      </c>
      <c r="AJ131" s="1691">
        <f t="shared" si="410"/>
        <v>-1.9254252071522022</v>
      </c>
      <c r="AK131" s="1691">
        <f t="shared" si="410"/>
        <v>0.14945652173913043</v>
      </c>
      <c r="AL131" s="1694">
        <f t="shared" si="410"/>
        <v>-2.8262280891581906</v>
      </c>
      <c r="AM131" s="1691">
        <f t="shared" si="410"/>
        <v>-0.35374149659863946</v>
      </c>
      <c r="AN131" s="1691">
        <f t="shared" si="410"/>
        <v>1.1291800274851123</v>
      </c>
      <c r="AO131" s="1691">
        <f t="shared" ref="AO131:BT131" si="411">AO126/AO58</f>
        <v>-0.76053684954085243</v>
      </c>
      <c r="AP131" s="1691">
        <f t="shared" si="411"/>
        <v>-0.62633960466777805</v>
      </c>
      <c r="AQ131" s="1694">
        <f t="shared" si="411"/>
        <v>-0.57833004296829638</v>
      </c>
      <c r="AR131" s="1691">
        <f t="shared" si="411"/>
        <v>-1.6654510089958667</v>
      </c>
      <c r="AS131" s="1691">
        <f t="shared" si="411"/>
        <v>0.37394749876176325</v>
      </c>
      <c r="AT131" s="1691">
        <f t="shared" si="411"/>
        <v>-1.0378076630296877</v>
      </c>
      <c r="AU131" s="1691">
        <f t="shared" si="411"/>
        <v>0.35760897937875225</v>
      </c>
      <c r="AV131" s="1694">
        <f t="shared" si="411"/>
        <v>-2.0247440808892794</v>
      </c>
      <c r="AW131" s="1691">
        <f t="shared" si="411"/>
        <v>-1.0997579994622211</v>
      </c>
      <c r="AX131" s="1691">
        <f t="shared" si="411"/>
        <v>0.66216216216216217</v>
      </c>
      <c r="AY131" s="1691">
        <f t="shared" si="411"/>
        <v>5.1997810618500277E-2</v>
      </c>
      <c r="AZ131" s="1691">
        <f t="shared" si="411"/>
        <v>0.1001669449081803</v>
      </c>
      <c r="BA131" s="1694">
        <f t="shared" si="411"/>
        <v>-0.2972659712279267</v>
      </c>
      <c r="BB131" s="1691">
        <f t="shared" si="411"/>
        <v>0.29156153630501824</v>
      </c>
      <c r="BC131" s="1691">
        <f t="shared" si="411"/>
        <v>0.16506189821182943</v>
      </c>
      <c r="BD131" s="1691">
        <f t="shared" si="411"/>
        <v>-0.12503412503412506</v>
      </c>
      <c r="BE131" s="1691">
        <f t="shared" si="411"/>
        <v>0.62815690488984421</v>
      </c>
      <c r="BF131" s="1694">
        <f t="shared" si="411"/>
        <v>0.9652430246109549</v>
      </c>
      <c r="BG131" s="1691">
        <f t="shared" si="411"/>
        <v>0.337530136619341</v>
      </c>
      <c r="BH131" s="1691">
        <f t="shared" si="411"/>
        <v>0.78856840433977249</v>
      </c>
      <c r="BI131" s="1691">
        <f t="shared" si="411"/>
        <v>0.74054482941020894</v>
      </c>
      <c r="BJ131" s="1691">
        <f t="shared" si="411"/>
        <v>0.25916230366492149</v>
      </c>
      <c r="BK131" s="1694">
        <f t="shared" si="411"/>
        <v>2.1253225699728708</v>
      </c>
      <c r="BL131" s="1691">
        <f t="shared" si="411"/>
        <v>-0.70193818753273962</v>
      </c>
      <c r="BM131" s="1691">
        <f t="shared" si="411"/>
        <v>-5.1434759068760154E-2</v>
      </c>
      <c r="BN131" s="1691">
        <f t="shared" si="411"/>
        <v>0.19036954087346025</v>
      </c>
      <c r="BO131" s="1691">
        <f t="shared" si="411"/>
        <v>-0.14722863741339492</v>
      </c>
      <c r="BP131" s="1694">
        <f t="shared" si="411"/>
        <v>-0.94583447896618078</v>
      </c>
      <c r="BQ131" s="1691">
        <f t="shared" si="411"/>
        <v>-0.49332559489262912</v>
      </c>
      <c r="BR131" s="1691">
        <f t="shared" si="411"/>
        <v>-0.58579881656804733</v>
      </c>
      <c r="BS131" s="1691">
        <f t="shared" si="411"/>
        <v>9.110233829334952E-3</v>
      </c>
      <c r="BT131" s="1691">
        <f t="shared" si="411"/>
        <v>-1.4556176288019864</v>
      </c>
      <c r="BU131" s="1694">
        <f t="shared" ref="BU131:DA131" si="412">BU126/BU58</f>
        <v>-2.5052568338840495</v>
      </c>
      <c r="BV131" s="1691">
        <f t="shared" si="412"/>
        <v>-0.64687499999999998</v>
      </c>
      <c r="BW131" s="1691">
        <f t="shared" si="412"/>
        <v>0.28980891719745222</v>
      </c>
      <c r="BX131" s="1691">
        <f t="shared" si="412"/>
        <v>-0.23263327948303716</v>
      </c>
      <c r="BY131" s="1691">
        <f t="shared" si="412"/>
        <v>-0.3154471544715447</v>
      </c>
      <c r="BZ131" s="1694">
        <f t="shared" si="412"/>
        <v>-0.91054313099041528</v>
      </c>
      <c r="CA131" s="1691">
        <f t="shared" si="412"/>
        <v>0.14177382129904384</v>
      </c>
      <c r="CB131" s="1691">
        <f t="shared" si="412"/>
        <v>-0.39504519584867764</v>
      </c>
      <c r="CC131" s="1691">
        <f t="shared" si="412"/>
        <v>-0.66012186865267442</v>
      </c>
      <c r="CD131" s="1692">
        <f t="shared" si="412"/>
        <v>-1.2076124567474049</v>
      </c>
      <c r="CE131" s="1694">
        <f t="shared" si="412"/>
        <v>-2.085579514824798</v>
      </c>
      <c r="CF131" s="1691">
        <f t="shared" si="412"/>
        <v>-0.40564373897707229</v>
      </c>
      <c r="CG131" s="1691">
        <f t="shared" si="412"/>
        <v>-4.3274432023079692E-2</v>
      </c>
      <c r="CH131" s="1691">
        <f t="shared" si="412"/>
        <v>-1.829405162738496</v>
      </c>
      <c r="CI131" s="1692">
        <f t="shared" si="412"/>
        <v>0.56783536585365857</v>
      </c>
      <c r="CJ131" s="1694">
        <f t="shared" si="412"/>
        <v>-1.7118768328445748</v>
      </c>
      <c r="CK131" s="1691">
        <f t="shared" si="412"/>
        <v>-0.20084974893781363</v>
      </c>
      <c r="CL131" s="1691">
        <f t="shared" si="412"/>
        <v>1.4612403100775193</v>
      </c>
      <c r="CM131" s="1691">
        <f t="shared" si="412"/>
        <v>0.79242365674526483</v>
      </c>
      <c r="CN131" s="1692">
        <f t="shared" si="412"/>
        <v>0.21319796954314721</v>
      </c>
      <c r="CO131" s="1694">
        <f t="shared" si="412"/>
        <v>2.0998632010943914</v>
      </c>
      <c r="CP131" s="1691">
        <f t="shared" si="412"/>
        <v>2.133333333333317E-3</v>
      </c>
      <c r="CQ131" s="1691">
        <f t="shared" si="412"/>
        <v>-0.11181389033942576</v>
      </c>
      <c r="CR131" s="1691">
        <f t="shared" si="412"/>
        <v>-1.0461535847052577</v>
      </c>
      <c r="CS131" s="1691">
        <f t="shared" si="412"/>
        <v>0.86780210867802166</v>
      </c>
      <c r="CT131" s="1694">
        <f t="shared" si="412"/>
        <v>-0.30266313919052212</v>
      </c>
      <c r="CU131" s="1691">
        <f t="shared" ca="1" si="412"/>
        <v>-0.79229258402086733</v>
      </c>
      <c r="CV131" s="1691">
        <f t="shared" ca="1" si="412"/>
        <v>-1.1600031076938291</v>
      </c>
      <c r="CW131" s="1691">
        <f t="shared" ca="1" si="412"/>
        <v>-0.49209538961194049</v>
      </c>
      <c r="CX131" s="1691">
        <f t="shared" ca="1" si="412"/>
        <v>-0.53039859844259318</v>
      </c>
      <c r="CY131" s="1694">
        <f t="shared" ca="1" si="412"/>
        <v>-2.9806241619715554</v>
      </c>
      <c r="CZ131" s="1692">
        <f t="shared" ca="1" si="412"/>
        <v>-1.6895033024517865</v>
      </c>
      <c r="DA131" s="1692">
        <f t="shared" ca="1" si="412"/>
        <v>0.37692196482606433</v>
      </c>
      <c r="DB131"/>
      <c r="DC131"/>
      <c r="DD131" s="2295" t="s">
        <v>1048</v>
      </c>
      <c r="DE131" s="2313">
        <f t="shared" si="319"/>
        <v>2.2916256157635466</v>
      </c>
      <c r="DF131" s="2313">
        <f t="shared" si="320"/>
        <v>0.103515625</v>
      </c>
      <c r="DG131" s="2313">
        <f t="shared" si="321"/>
        <v>1.4466334770202172</v>
      </c>
      <c r="DH131" s="2313">
        <f t="shared" si="322"/>
        <v>0.84328739152628895</v>
      </c>
      <c r="DI131" s="2313">
        <f t="shared" si="323"/>
        <v>0.90095713691219304</v>
      </c>
      <c r="DJ131" s="2313">
        <f t="shared" si="324"/>
        <v>-2.8262280891581906</v>
      </c>
      <c r="DK131" s="2313">
        <f t="shared" si="325"/>
        <v>-0.57833004296829638</v>
      </c>
      <c r="DL131" s="2313">
        <f t="shared" si="326"/>
        <v>-2.0247440808892794</v>
      </c>
      <c r="DM131" s="2313">
        <f t="shared" si="327"/>
        <v>-0.2972659712279267</v>
      </c>
      <c r="DN131" s="2313">
        <f t="shared" si="328"/>
        <v>0.9652430246109549</v>
      </c>
      <c r="DO131" s="2313">
        <f t="shared" si="329"/>
        <v>2.1253225699728708</v>
      </c>
      <c r="DP131" s="2313">
        <f t="shared" si="330"/>
        <v>-0.94583447896618078</v>
      </c>
      <c r="DQ131" s="2313">
        <f t="shared" si="331"/>
        <v>-2.5052568338840495</v>
      </c>
      <c r="DR131" s="2313">
        <f t="shared" si="332"/>
        <v>-0.91054313099041528</v>
      </c>
      <c r="DS131" s="2313">
        <f t="shared" si="333"/>
        <v>-2.085579514824798</v>
      </c>
      <c r="DT131" s="2313">
        <f t="shared" si="334"/>
        <v>-1.7118768328445748</v>
      </c>
      <c r="DU131" s="2313">
        <f t="shared" si="335"/>
        <v>2.0998632010943914</v>
      </c>
      <c r="DV131" s="2313">
        <f t="shared" si="336"/>
        <v>-0.30266313919052212</v>
      </c>
      <c r="DW131" s="2313">
        <f t="shared" ca="1" si="337"/>
        <v>-2.9806241619715554</v>
      </c>
      <c r="DX131" s="2313">
        <f t="shared" ca="1" si="338"/>
        <v>-1.6895033024517865</v>
      </c>
      <c r="DY131" s="2313">
        <f t="shared" ca="1" si="339"/>
        <v>0.37692196482606433</v>
      </c>
      <c r="EA131"/>
      <c r="EB131"/>
      <c r="EC131"/>
      <c r="ED131"/>
      <c r="EE131"/>
      <c r="EF131"/>
      <c r="EJ131"/>
      <c r="EK131"/>
      <c r="EL131"/>
      <c r="EM131" s="1703"/>
      <c r="ER131" s="212"/>
    </row>
    <row r="132" spans="1:148" s="871" customFormat="1" ht="12.75" customHeight="1" x14ac:dyDescent="0.2">
      <c r="A132" s="1737" t="s">
        <v>691</v>
      </c>
      <c r="B132" s="768"/>
      <c r="C132" s="768"/>
      <c r="D132" s="768"/>
      <c r="E132" s="768"/>
      <c r="F132" s="768"/>
      <c r="G132" s="768"/>
      <c r="H132" s="768"/>
      <c r="I132" s="768"/>
      <c r="J132" s="768"/>
      <c r="K132" s="768"/>
      <c r="L132" s="768"/>
      <c r="M132" s="1006"/>
      <c r="N132" s="768" t="str">
        <f t="shared" ref="N132:AS132" si="413">IF(I131&lt;=0,"N.M.",N131/I131-1)</f>
        <v>N.M.</v>
      </c>
      <c r="O132" s="768">
        <f t="shared" si="413"/>
        <v>-0.81105064465376275</v>
      </c>
      <c r="P132" s="768">
        <f t="shared" si="413"/>
        <v>-0.36040062841795073</v>
      </c>
      <c r="Q132" s="768">
        <f t="shared" si="413"/>
        <v>-1.7392550437182579</v>
      </c>
      <c r="R132" s="1006">
        <f t="shared" si="413"/>
        <v>-0.95482873629621667</v>
      </c>
      <c r="S132" s="768">
        <f t="shared" si="413"/>
        <v>-0.12817735153574594</v>
      </c>
      <c r="T132" s="768">
        <f t="shared" si="413"/>
        <v>2.4098911030181562</v>
      </c>
      <c r="U132" s="768">
        <f t="shared" si="413"/>
        <v>8.5742110117961179E-3</v>
      </c>
      <c r="V132" s="768" t="str">
        <f t="shared" si="413"/>
        <v>N.M.</v>
      </c>
      <c r="W132" s="1006">
        <f t="shared" si="413"/>
        <v>12.975025287440589</v>
      </c>
      <c r="X132" s="768">
        <f t="shared" si="413"/>
        <v>-1.2187865648014315</v>
      </c>
      <c r="Y132" s="768">
        <f t="shared" si="413"/>
        <v>-0.49729486068465623</v>
      </c>
      <c r="Z132" s="768">
        <f t="shared" si="413"/>
        <v>-0.77696776006035906</v>
      </c>
      <c r="AA132" s="768">
        <f t="shared" si="413"/>
        <v>1.194255950538246</v>
      </c>
      <c r="AB132" s="1006">
        <f t="shared" si="413"/>
        <v>-0.41706907456386499</v>
      </c>
      <c r="AC132" s="768" t="str">
        <f t="shared" si="413"/>
        <v>N.M.</v>
      </c>
      <c r="AD132" s="768">
        <f t="shared" si="413"/>
        <v>0.46697221314520143</v>
      </c>
      <c r="AE132" s="768">
        <f t="shared" si="413"/>
        <v>1.3626187929243603</v>
      </c>
      <c r="AF132" s="768">
        <f t="shared" si="413"/>
        <v>0.91377262950349514</v>
      </c>
      <c r="AG132" s="1006">
        <f t="shared" si="413"/>
        <v>6.8386822766940636E-2</v>
      </c>
      <c r="AH132" s="768" t="str">
        <f t="shared" si="413"/>
        <v>N.M.</v>
      </c>
      <c r="AI132" s="768">
        <f t="shared" si="413"/>
        <v>-1.5385808499033073</v>
      </c>
      <c r="AJ132" s="768">
        <f t="shared" si="413"/>
        <v>-8.4190980965913074</v>
      </c>
      <c r="AK132" s="768">
        <f t="shared" si="413"/>
        <v>-0.82860885204879575</v>
      </c>
      <c r="AL132" s="1006">
        <f t="shared" si="413"/>
        <v>-4.1369173663959042</v>
      </c>
      <c r="AM132" s="768" t="str">
        <f t="shared" si="413"/>
        <v>N.M.</v>
      </c>
      <c r="AN132" s="768" t="str">
        <f t="shared" si="413"/>
        <v>N.M.</v>
      </c>
      <c r="AO132" s="768" t="str">
        <f t="shared" si="413"/>
        <v>N.M.</v>
      </c>
      <c r="AP132" s="768">
        <f t="shared" si="413"/>
        <v>-5.1907813548680419</v>
      </c>
      <c r="AQ132" s="1006" t="str">
        <f t="shared" si="413"/>
        <v>N.M.</v>
      </c>
      <c r="AR132" s="768" t="str">
        <f t="shared" si="413"/>
        <v>N.M.</v>
      </c>
      <c r="AS132" s="768">
        <f t="shared" si="413"/>
        <v>-0.66883270190793942</v>
      </c>
      <c r="AT132" s="768" t="str">
        <f t="shared" ref="AT132:BL132" si="414">IF(AO131&lt;=0,"N.M.",AT131/AO131-1)</f>
        <v>N.M.</v>
      </c>
      <c r="AU132" s="768" t="str">
        <f t="shared" si="414"/>
        <v>N.M.</v>
      </c>
      <c r="AV132" s="1006" t="str">
        <f t="shared" si="414"/>
        <v>N.M.</v>
      </c>
      <c r="AW132" s="768" t="str">
        <f t="shared" si="414"/>
        <v>N.M.</v>
      </c>
      <c r="AX132" s="768">
        <f t="shared" si="414"/>
        <v>0.77073563629855024</v>
      </c>
      <c r="AY132" s="768" t="str">
        <f t="shared" si="414"/>
        <v>N.M.</v>
      </c>
      <c r="AZ132" s="768">
        <f t="shared" si="414"/>
        <v>-0.7198981270487308</v>
      </c>
      <c r="BA132" s="1006" t="str">
        <f t="shared" si="414"/>
        <v>N.M.</v>
      </c>
      <c r="BB132" s="768" t="str">
        <f t="shared" si="414"/>
        <v>N.M.</v>
      </c>
      <c r="BC132" s="768">
        <f t="shared" si="414"/>
        <v>-0.75072284759846175</v>
      </c>
      <c r="BD132" s="768">
        <f t="shared" si="414"/>
        <v>-3.4046036467089102</v>
      </c>
      <c r="BE132" s="768">
        <f t="shared" si="414"/>
        <v>5.2710997671502779</v>
      </c>
      <c r="BF132" s="1006" t="str">
        <f t="shared" si="414"/>
        <v>N.M.</v>
      </c>
      <c r="BG132" s="768">
        <f t="shared" si="414"/>
        <v>0.15766345896268197</v>
      </c>
      <c r="BH132" s="768">
        <f t="shared" si="414"/>
        <v>3.7774102496251221</v>
      </c>
      <c r="BI132" s="768" t="str">
        <f t="shared" si="414"/>
        <v>N.M.</v>
      </c>
      <c r="BJ132" s="768">
        <f t="shared" si="414"/>
        <v>-0.58742425396029185</v>
      </c>
      <c r="BK132" s="1006">
        <f t="shared" si="414"/>
        <v>1.2018522960365248</v>
      </c>
      <c r="BL132" s="768">
        <f t="shared" si="414"/>
        <v>-3.0796311540156487</v>
      </c>
      <c r="BM132" s="768">
        <f t="shared" ref="BM132:BX132" si="415">IF(BH131&lt;=0,"N.M.",BM131/BH131-1)</f>
        <v>-1.0652254880942431</v>
      </c>
      <c r="BN132" s="768">
        <f t="shared" si="415"/>
        <v>-0.74293313069908806</v>
      </c>
      <c r="BO132" s="768">
        <f t="shared" si="415"/>
        <v>-1.5680943383021906</v>
      </c>
      <c r="BP132" s="1006">
        <f t="shared" si="415"/>
        <v>-1.4450310236804449</v>
      </c>
      <c r="BQ132" s="768" t="str">
        <f t="shared" si="415"/>
        <v>N.M.</v>
      </c>
      <c r="BR132" s="768" t="str">
        <f t="shared" si="415"/>
        <v>N.M.</v>
      </c>
      <c r="BS132" s="768">
        <f t="shared" si="415"/>
        <v>-0.95214447759061116</v>
      </c>
      <c r="BT132" s="768" t="str">
        <f t="shared" si="415"/>
        <v>N.M.</v>
      </c>
      <c r="BU132" s="1006" t="str">
        <f t="shared" si="415"/>
        <v>N.M.</v>
      </c>
      <c r="BV132" s="768" t="str">
        <f t="shared" si="415"/>
        <v>N.M.</v>
      </c>
      <c r="BW132" s="768" t="str">
        <f t="shared" si="415"/>
        <v>N.M.</v>
      </c>
      <c r="BX132" s="768">
        <f t="shared" si="415"/>
        <v>-26.535379644588048</v>
      </c>
      <c r="BY132" s="768" t="str">
        <f t="shared" ref="BY132:CF132" si="416">IF(BT131&lt;=0,"N.M.",BY131/BT131-1)</f>
        <v>N.M.</v>
      </c>
      <c r="BZ132" s="1006" t="str">
        <f t="shared" si="416"/>
        <v>N.M.</v>
      </c>
      <c r="CA132" s="768" t="str">
        <f t="shared" si="416"/>
        <v>N.M.</v>
      </c>
      <c r="CB132" s="768">
        <f t="shared" si="416"/>
        <v>-2.3631229834778549</v>
      </c>
      <c r="CC132" s="768" t="str">
        <f t="shared" si="416"/>
        <v>N.M.</v>
      </c>
      <c r="CD132" s="1693" t="str">
        <f t="shared" si="416"/>
        <v>N.M.</v>
      </c>
      <c r="CE132" s="1006" t="str">
        <f t="shared" si="416"/>
        <v>N.M.</v>
      </c>
      <c r="CF132" s="768">
        <f t="shared" si="416"/>
        <v>-3.861203396087117</v>
      </c>
      <c r="CG132" s="768" t="str">
        <f t="shared" ref="CG132:CO132" si="417">IF(CB131&lt;=0,"N.M.",CG131/CB131-1)</f>
        <v>N.M.</v>
      </c>
      <c r="CH132" s="768" t="str">
        <f t="shared" si="417"/>
        <v>N.M.</v>
      </c>
      <c r="CI132" s="1693" t="str">
        <f t="shared" si="417"/>
        <v>N.M.</v>
      </c>
      <c r="CJ132" s="1006" t="str">
        <f t="shared" si="417"/>
        <v>N.M.</v>
      </c>
      <c r="CK132" s="768" t="str">
        <f t="shared" si="417"/>
        <v>N.M.</v>
      </c>
      <c r="CL132" s="768" t="str">
        <f t="shared" si="417"/>
        <v>N.M.</v>
      </c>
      <c r="CM132" s="768" t="str">
        <f t="shared" si="417"/>
        <v>N.M.</v>
      </c>
      <c r="CN132" s="1693">
        <f t="shared" si="417"/>
        <v>-0.62454263618710182</v>
      </c>
      <c r="CO132" s="1006" t="str">
        <f t="shared" si="417"/>
        <v>N.M.</v>
      </c>
      <c r="CP132" s="768" t="str">
        <f t="shared" ref="CP132:CY132" si="418">IF(CK131&lt;=0,"N.M.",CP131/CK131-1)</f>
        <v>N.M.</v>
      </c>
      <c r="CQ132" s="768">
        <f t="shared" si="418"/>
        <v>-1.0765198506832145</v>
      </c>
      <c r="CR132" s="768">
        <f t="shared" si="418"/>
        <v>-2.3201947920158545</v>
      </c>
      <c r="CS132" s="768">
        <f t="shared" si="418"/>
        <v>3.0704051287992922</v>
      </c>
      <c r="CT132" s="1006">
        <f t="shared" si="418"/>
        <v>-1.1441346936470824</v>
      </c>
      <c r="CU132" s="768">
        <f t="shared" ca="1" si="418"/>
        <v>-372.3871487597844</v>
      </c>
      <c r="CV132" s="768" t="str">
        <f t="shared" si="418"/>
        <v>N.M.</v>
      </c>
      <c r="CW132" s="768" t="str">
        <f t="shared" si="418"/>
        <v>N.M.</v>
      </c>
      <c r="CX132" s="768">
        <f t="shared" ca="1" si="418"/>
        <v>-1.6111976372707635</v>
      </c>
      <c r="CY132" s="1006" t="str">
        <f t="shared" si="418"/>
        <v>N.M.</v>
      </c>
      <c r="CZ132" s="1693" t="str">
        <f ca="1">IF(CY131&lt;=0,"N.M.",CZ131/CY131-1)</f>
        <v>N.M.</v>
      </c>
      <c r="DA132" s="1693" t="str">
        <f ca="1">IF(CZ131&lt;=0,"N.M.",DA131/CZ131-1)</f>
        <v>N.M.</v>
      </c>
      <c r="DB132"/>
      <c r="DC132"/>
      <c r="DD132" s="1737" t="s">
        <v>691</v>
      </c>
      <c r="DE132" s="1693">
        <f t="shared" si="319"/>
        <v>0</v>
      </c>
      <c r="DF132" s="1693">
        <f t="shared" si="320"/>
        <v>-0.95482873629621667</v>
      </c>
      <c r="DG132" s="1693">
        <f t="shared" si="321"/>
        <v>12.975025287440589</v>
      </c>
      <c r="DH132" s="1693">
        <f t="shared" si="322"/>
        <v>-0.41706907456386499</v>
      </c>
      <c r="DI132" s="1693">
        <f t="shared" si="323"/>
        <v>6.8386822766940636E-2</v>
      </c>
      <c r="DJ132" s="1693">
        <f t="shared" si="324"/>
        <v>-4.1369173663959042</v>
      </c>
      <c r="DK132" s="1693" t="str">
        <f t="shared" si="325"/>
        <v>N.M.</v>
      </c>
      <c r="DL132" s="1693" t="str">
        <f t="shared" si="326"/>
        <v>N.M.</v>
      </c>
      <c r="DM132" s="1693" t="str">
        <f t="shared" si="327"/>
        <v>N.M.</v>
      </c>
      <c r="DN132" s="1693" t="str">
        <f t="shared" si="328"/>
        <v>N.M.</v>
      </c>
      <c r="DO132" s="1693">
        <f t="shared" si="329"/>
        <v>1.2018522960365248</v>
      </c>
      <c r="DP132" s="1693">
        <f t="shared" si="330"/>
        <v>-1.4450310236804449</v>
      </c>
      <c r="DQ132" s="1693" t="str">
        <f t="shared" si="331"/>
        <v>N.M.</v>
      </c>
      <c r="DR132" s="1693" t="str">
        <f t="shared" si="332"/>
        <v>N.M.</v>
      </c>
      <c r="DS132" s="1693" t="str">
        <f t="shared" si="333"/>
        <v>N.M.</v>
      </c>
      <c r="DT132" s="1693" t="str">
        <f t="shared" si="334"/>
        <v>N.M.</v>
      </c>
      <c r="DU132" s="1693" t="str">
        <f t="shared" si="335"/>
        <v>N.M.</v>
      </c>
      <c r="DV132" s="1693">
        <f t="shared" si="336"/>
        <v>-1.1441346936470824</v>
      </c>
      <c r="DW132" s="1693" t="str">
        <f t="shared" si="337"/>
        <v>N.M.</v>
      </c>
      <c r="DX132" s="1693" t="str">
        <f t="shared" ca="1" si="338"/>
        <v>N.M.</v>
      </c>
      <c r="DY132" s="1693" t="str">
        <f t="shared" ca="1" si="339"/>
        <v>N.M.</v>
      </c>
      <c r="EA132"/>
      <c r="EB132"/>
      <c r="EC132"/>
      <c r="ED132"/>
      <c r="EE132"/>
      <c r="EF132"/>
      <c r="EJ132"/>
      <c r="EK132"/>
      <c r="EL132"/>
    </row>
    <row r="133" spans="1:148" s="1193" customFormat="1" ht="12.75" customHeight="1" x14ac:dyDescent="0.2">
      <c r="A133" s="2392" t="s">
        <v>1302</v>
      </c>
      <c r="B133" s="2393"/>
      <c r="C133" s="2393"/>
      <c r="D133" s="2393"/>
      <c r="E133" s="2393"/>
      <c r="F133" s="2393"/>
      <c r="G133" s="2393"/>
      <c r="H133" s="2393"/>
      <c r="I133" s="2393"/>
      <c r="J133" s="2393"/>
      <c r="K133" s="2393"/>
      <c r="L133" s="2393"/>
      <c r="M133" s="2394"/>
      <c r="N133" s="2393"/>
      <c r="O133" s="2393"/>
      <c r="P133" s="2393"/>
      <c r="Q133" s="2393"/>
      <c r="R133" s="2394"/>
      <c r="S133" s="2393"/>
      <c r="T133" s="2393"/>
      <c r="U133" s="2393"/>
      <c r="V133" s="2393"/>
      <c r="W133" s="2394"/>
      <c r="X133" s="2393"/>
      <c r="Y133" s="2393"/>
      <c r="Z133" s="2393"/>
      <c r="AA133" s="2393"/>
      <c r="AB133" s="2394"/>
      <c r="AC133" s="2393"/>
      <c r="AD133" s="2393"/>
      <c r="AE133" s="2393"/>
      <c r="AF133" s="2393"/>
      <c r="AG133" s="2394"/>
      <c r="AH133" s="2393"/>
      <c r="AI133" s="2393"/>
      <c r="AJ133" s="2393"/>
      <c r="AK133" s="2393"/>
      <c r="AL133" s="2394"/>
      <c r="AM133" s="2393"/>
      <c r="AN133" s="2393"/>
      <c r="AO133" s="2393"/>
      <c r="AP133" s="2393"/>
      <c r="AQ133" s="2394"/>
      <c r="AR133" s="2393"/>
      <c r="AS133" s="2393"/>
      <c r="AT133" s="2393"/>
      <c r="AU133" s="2393"/>
      <c r="AV133" s="2394"/>
      <c r="AW133" s="2393"/>
      <c r="AX133" s="2393"/>
      <c r="AY133" s="2393"/>
      <c r="AZ133" s="2393"/>
      <c r="BA133" s="2394"/>
      <c r="BB133" s="2393"/>
      <c r="BC133" s="2393"/>
      <c r="BD133" s="2393"/>
      <c r="BE133" s="2393"/>
      <c r="BF133" s="2394"/>
      <c r="BG133" s="2393"/>
      <c r="BH133" s="2393"/>
      <c r="BI133" s="2393"/>
      <c r="BJ133" s="2393"/>
      <c r="BK133" s="2394"/>
      <c r="BL133" s="2393"/>
      <c r="BM133" s="2393"/>
      <c r="BN133" s="2393"/>
      <c r="BO133" s="2393"/>
      <c r="BP133" s="2394"/>
      <c r="BQ133" s="2393">
        <f>BQ131/'EBITDA Val'!$G$23</f>
        <v>-3.4987630843448872E-3</v>
      </c>
      <c r="BR133" s="2393">
        <f>BR131/'EBITDA Val'!$G$23</f>
        <v>-4.1546015359435985E-3</v>
      </c>
      <c r="BS133" s="2393">
        <f>BS131/'EBITDA Val'!$G$23</f>
        <v>6.461158744209186E-5</v>
      </c>
      <c r="BT133" s="2393">
        <f>BT131/'EBITDA Val'!$G$23</f>
        <v>-1.0323529282283592E-2</v>
      </c>
      <c r="BU133" s="2394">
        <f>BU131/'EBITDA Val'!$G$23</f>
        <v>-1.7767778963716663E-2</v>
      </c>
      <c r="BV133" s="2393">
        <f>BV131/'EBITDA Val'!$G$23</f>
        <v>-4.5877659574468082E-3</v>
      </c>
      <c r="BW133" s="2393">
        <f>BW131/'EBITDA Val'!$G$23</f>
        <v>2.0553823914712921E-3</v>
      </c>
      <c r="BX133" s="2393">
        <f>BX131/'EBITDA Val'!$G$23</f>
        <v>-1.6498814147733133E-3</v>
      </c>
      <c r="BY133" s="2393">
        <f>BY131/'EBITDA Val'!$G$23</f>
        <v>-2.2372138615003169E-3</v>
      </c>
      <c r="BZ133" s="2394">
        <f>BZ131/'EBITDA Val'!$G$23</f>
        <v>-6.4577527020596827E-3</v>
      </c>
      <c r="CA133" s="2393">
        <f>CA131/'EBITDA Val'!$G$23</f>
        <v>1.0054880943194599E-3</v>
      </c>
      <c r="CB133" s="2393">
        <f>CB131/'EBITDA Val'!$G$23</f>
        <v>-2.8017389776501958E-3</v>
      </c>
      <c r="CC133" s="2393">
        <f>CC131/'EBITDA Val'!$G$23</f>
        <v>-4.6817153805154216E-3</v>
      </c>
      <c r="CD133" s="2395">
        <f>CD131/'EBITDA Val'!$G$23</f>
        <v>-8.5646273528184741E-3</v>
      </c>
      <c r="CE133" s="2394">
        <f>CE131/'EBITDA Val'!$G$23</f>
        <v>-1.4791344076771617E-2</v>
      </c>
      <c r="CF133" s="2393">
        <f>CF131/'EBITDA Val'!$G$23</f>
        <v>-2.8769059501920023E-3</v>
      </c>
      <c r="CG133" s="2393">
        <f>CG131/'EBITDA Val'!$G$23</f>
        <v>-3.0691086541191273E-4</v>
      </c>
      <c r="CH133" s="2393">
        <f>CH131/'EBITDA Val'!$G$23</f>
        <v>-1.2974504700273021E-2</v>
      </c>
      <c r="CI133" s="2395">
        <f>CI131/'EBITDA Val'!$G$23</f>
        <v>4.0272011762670819E-3</v>
      </c>
      <c r="CJ133" s="2394">
        <f>CJ131/'EBITDA Val'!$G$23</f>
        <v>-1.2140970445706204E-2</v>
      </c>
      <c r="CK133" s="2393">
        <f>CK131/'EBITDA Val'!$G$23</f>
        <v>-1.4244663045235009E-3</v>
      </c>
      <c r="CL133" s="2393">
        <f>CL131/'EBITDA Val'!$G$23</f>
        <v>1.0363406454450491E-2</v>
      </c>
      <c r="CM133" s="2393">
        <f>CM131/'EBITDA Val'!$G$23</f>
        <v>5.6200259343635803E-3</v>
      </c>
      <c r="CN133" s="2395">
        <f>CN131/'EBITDA Val'!$G$23</f>
        <v>1.5120423371854411E-3</v>
      </c>
      <c r="CO133" s="2394">
        <f>CO131/'EBITDA Val'!$G$23</f>
        <v>1.489264681627228E-2</v>
      </c>
      <c r="CP133" s="2393">
        <f>CP131/'EBITDA Val'!$G$23</f>
        <v>1.5130023640661822E-5</v>
      </c>
      <c r="CQ133" s="2393">
        <f>CQ131/'EBITDA Val'!$G$23</f>
        <v>-7.9300631446401252E-4</v>
      </c>
      <c r="CR133" s="2393">
        <f>CR131/'EBITDA Val'!$G$23</f>
        <v>-7.4195289695408347E-3</v>
      </c>
      <c r="CS133" s="2393">
        <f>CS131/'EBITDA Val'!$G$23</f>
        <v>6.1546248842412887E-3</v>
      </c>
      <c r="CT133" s="2394">
        <f>CT131/'EBITDA Val'!$G$23</f>
        <v>-2.1465470864576036E-3</v>
      </c>
      <c r="CU133" s="2393">
        <f ca="1">CU131/'EBITDA Val'!$G$23</f>
        <v>-5.6190963405735274E-3</v>
      </c>
      <c r="CV133" s="2393">
        <f ca="1">CV131/'EBITDA Val'!$G$23</f>
        <v>-8.2269723949916964E-3</v>
      </c>
      <c r="CW133" s="2393">
        <f ca="1">CW131/'EBITDA Val'!$G$23</f>
        <v>-3.4900382241981596E-3</v>
      </c>
      <c r="CX133" s="2393">
        <f ca="1">CX131/'EBITDA Val'!$G$23</f>
        <v>-3.7616921875361217E-3</v>
      </c>
      <c r="CY133" s="2394">
        <f ca="1">CY131/'EBITDA Val'!$G$23</f>
        <v>-2.1139178453698976E-2</v>
      </c>
      <c r="CZ133" s="2395">
        <f ca="1">CZ131/'EBITDA Val'!$G$23</f>
        <v>-1.1982292925189975E-2</v>
      </c>
      <c r="DA133" s="2395">
        <f ca="1">DA131/'EBITDA Val'!$G$23</f>
        <v>2.6732054242983284E-3</v>
      </c>
      <c r="DB133"/>
      <c r="DC133"/>
      <c r="DD133" s="2392" t="s">
        <v>1302</v>
      </c>
      <c r="DE133" s="2395">
        <f t="shared" si="319"/>
        <v>0</v>
      </c>
      <c r="DF133" s="2395">
        <f t="shared" si="320"/>
        <v>0</v>
      </c>
      <c r="DG133" s="2395">
        <f t="shared" si="321"/>
        <v>0</v>
      </c>
      <c r="DH133" s="2395">
        <f t="shared" si="322"/>
        <v>0</v>
      </c>
      <c r="DI133" s="2395">
        <f t="shared" si="323"/>
        <v>0</v>
      </c>
      <c r="DJ133" s="2395">
        <f t="shared" si="324"/>
        <v>0</v>
      </c>
      <c r="DK133" s="2395">
        <f t="shared" si="325"/>
        <v>0</v>
      </c>
      <c r="DL133" s="2395">
        <f t="shared" si="326"/>
        <v>0</v>
      </c>
      <c r="DM133" s="2395">
        <f t="shared" si="327"/>
        <v>0</v>
      </c>
      <c r="DN133" s="2395">
        <f t="shared" si="328"/>
        <v>0</v>
      </c>
      <c r="DO133" s="2395">
        <f t="shared" si="329"/>
        <v>0</v>
      </c>
      <c r="DP133" s="2395">
        <f t="shared" si="330"/>
        <v>0</v>
      </c>
      <c r="DQ133" s="2395">
        <f t="shared" si="331"/>
        <v>-1.7767778963716663E-2</v>
      </c>
      <c r="DR133" s="2395">
        <f t="shared" si="332"/>
        <v>-6.4577527020596827E-3</v>
      </c>
      <c r="DS133" s="2395">
        <f t="shared" si="333"/>
        <v>-1.4791344076771617E-2</v>
      </c>
      <c r="DT133" s="2395">
        <f t="shared" si="334"/>
        <v>-1.2140970445706204E-2</v>
      </c>
      <c r="DU133" s="2395">
        <f t="shared" si="335"/>
        <v>1.489264681627228E-2</v>
      </c>
      <c r="DV133" s="2395">
        <f t="shared" si="336"/>
        <v>-2.1465470864576036E-3</v>
      </c>
      <c r="DW133" s="2395">
        <f t="shared" ca="1" si="337"/>
        <v>-2.1139178453698976E-2</v>
      </c>
      <c r="DX133" s="2395">
        <f t="shared" ca="1" si="338"/>
        <v>-1.1982292925189975E-2</v>
      </c>
      <c r="DY133" s="2395">
        <f t="shared" ca="1" si="339"/>
        <v>2.6732054242983284E-3</v>
      </c>
      <c r="EA133"/>
      <c r="EB133"/>
      <c r="EC133"/>
      <c r="ED133"/>
      <c r="EE133"/>
      <c r="EF133"/>
      <c r="EJ133"/>
      <c r="EK133"/>
      <c r="EL133"/>
      <c r="ER133" s="212"/>
    </row>
    <row r="134" spans="1:148" s="923" customFormat="1" ht="12.75" customHeight="1" x14ac:dyDescent="0.2">
      <c r="A134" s="1737"/>
      <c r="B134" s="768"/>
      <c r="C134" s="768"/>
      <c r="D134" s="768"/>
      <c r="E134" s="768"/>
      <c r="F134" s="768"/>
      <c r="G134" s="768"/>
      <c r="H134" s="768"/>
      <c r="I134" s="768"/>
      <c r="J134" s="768"/>
      <c r="K134" s="768"/>
      <c r="L134" s="768"/>
      <c r="M134" s="768"/>
      <c r="N134" s="768"/>
      <c r="O134" s="768"/>
      <c r="P134" s="768"/>
      <c r="Q134" s="768"/>
      <c r="R134" s="768"/>
      <c r="S134" s="768"/>
      <c r="T134" s="768"/>
      <c r="U134" s="768"/>
      <c r="V134" s="768"/>
      <c r="W134" s="768"/>
      <c r="X134" s="768"/>
      <c r="Y134" s="768"/>
      <c r="Z134" s="768"/>
      <c r="AA134" s="768"/>
      <c r="AB134" s="768"/>
      <c r="AC134" s="768"/>
      <c r="AD134" s="768"/>
      <c r="AE134" s="768"/>
      <c r="AF134" s="768"/>
      <c r="AG134" s="768"/>
      <c r="AH134" s="768"/>
      <c r="AI134" s="768"/>
      <c r="AJ134" s="768"/>
      <c r="AK134" s="768"/>
      <c r="AL134" s="768"/>
      <c r="AM134" s="768"/>
      <c r="AN134" s="768"/>
      <c r="AO134" s="768"/>
      <c r="AP134" s="768"/>
      <c r="AQ134" s="768"/>
      <c r="AR134" s="768"/>
      <c r="AS134" s="768"/>
      <c r="AT134" s="768"/>
      <c r="AU134" s="768"/>
      <c r="AV134" s="768"/>
      <c r="AW134" s="768"/>
      <c r="AX134" s="768"/>
      <c r="AY134" s="768"/>
      <c r="AZ134" s="768"/>
      <c r="BA134" s="768"/>
      <c r="BB134" s="768"/>
      <c r="BC134" s="768"/>
      <c r="BD134" s="768"/>
      <c r="BE134" s="768"/>
      <c r="BF134" s="768"/>
      <c r="BG134" s="768"/>
      <c r="BH134" s="768"/>
      <c r="BI134" s="768"/>
      <c r="BJ134" s="768"/>
      <c r="BK134" s="768"/>
      <c r="BL134" s="768"/>
      <c r="BM134" s="768"/>
      <c r="BN134" s="768"/>
      <c r="BO134" s="768"/>
      <c r="BP134" s="768"/>
      <c r="BQ134" s="768"/>
      <c r="BR134" s="768"/>
      <c r="BS134" s="768"/>
      <c r="BT134" s="768"/>
      <c r="BU134" s="768"/>
      <c r="BV134" s="768"/>
      <c r="BW134" s="768"/>
      <c r="BX134" s="768"/>
      <c r="BY134" s="768"/>
      <c r="BZ134" s="768"/>
      <c r="CA134" s="768"/>
      <c r="CB134" s="768"/>
      <c r="CC134" s="768"/>
      <c r="CD134" s="768"/>
      <c r="CE134" s="768"/>
      <c r="CF134" s="768"/>
      <c r="CG134" s="768"/>
      <c r="CH134" s="768"/>
      <c r="CI134" s="768"/>
      <c r="CJ134" s="768"/>
      <c r="CK134" s="768"/>
      <c r="CL134" s="768"/>
      <c r="CM134" s="768"/>
      <c r="CN134" s="768"/>
      <c r="CO134" s="768"/>
      <c r="CP134" s="768"/>
      <c r="CQ134" s="768"/>
      <c r="CR134" s="768"/>
      <c r="CS134" s="768"/>
      <c r="CT134" s="768"/>
      <c r="CU134" s="768"/>
      <c r="CV134" s="768"/>
      <c r="CW134" s="768"/>
      <c r="CX134" s="768"/>
      <c r="CY134" s="768"/>
      <c r="CZ134" s="768"/>
      <c r="DA134" s="1693"/>
      <c r="DB134"/>
      <c r="DC134"/>
      <c r="DD134" s="2196"/>
      <c r="DE134" s="768"/>
      <c r="DF134" s="768"/>
      <c r="DG134" s="768"/>
      <c r="DH134" s="768"/>
      <c r="DI134" s="768"/>
      <c r="DJ134" s="768"/>
      <c r="DK134" s="768"/>
      <c r="DL134" s="768"/>
      <c r="DM134" s="768"/>
      <c r="DN134" s="768"/>
      <c r="DO134" s="768"/>
      <c r="DP134" s="768"/>
      <c r="DQ134" s="768"/>
      <c r="DR134" s="768"/>
      <c r="DS134" s="768"/>
      <c r="DT134" s="768"/>
      <c r="DU134" s="768"/>
      <c r="DV134" s="768"/>
      <c r="DW134" s="768"/>
      <c r="DX134" s="768"/>
      <c r="DY134" s="768"/>
      <c r="EA134"/>
      <c r="EB134"/>
      <c r="EC134"/>
      <c r="ED134"/>
      <c r="EE134"/>
      <c r="EF134"/>
      <c r="EJ134"/>
      <c r="EK134"/>
      <c r="EL134"/>
      <c r="ER134" s="212"/>
    </row>
    <row r="135" spans="1:148" s="923" customFormat="1" x14ac:dyDescent="0.2">
      <c r="A135" s="873" t="s">
        <v>1739</v>
      </c>
      <c r="B135" s="963"/>
      <c r="C135" s="963"/>
      <c r="D135" s="963"/>
      <c r="E135" s="963"/>
      <c r="F135" s="963"/>
      <c r="G135" s="963"/>
      <c r="H135" s="963"/>
      <c r="I135" s="963" t="str">
        <f t="shared" ref="I135:BT135" si="419">I$5</f>
        <v>1Q00</v>
      </c>
      <c r="J135" s="963" t="str">
        <f t="shared" si="419"/>
        <v>2Q00</v>
      </c>
      <c r="K135" s="963" t="str">
        <f t="shared" si="419"/>
        <v>3Q00</v>
      </c>
      <c r="L135" s="963" t="str">
        <f t="shared" si="419"/>
        <v>4Q00</v>
      </c>
      <c r="M135" s="649">
        <f t="shared" si="419"/>
        <v>2000</v>
      </c>
      <c r="N135" s="963" t="str">
        <f t="shared" si="419"/>
        <v>1Q01</v>
      </c>
      <c r="O135" s="963" t="str">
        <f t="shared" si="419"/>
        <v>2Q01</v>
      </c>
      <c r="P135" s="963" t="str">
        <f t="shared" si="419"/>
        <v>3Q01</v>
      </c>
      <c r="Q135" s="963" t="str">
        <f t="shared" si="419"/>
        <v>4Q01</v>
      </c>
      <c r="R135" s="649">
        <f t="shared" si="419"/>
        <v>2001</v>
      </c>
      <c r="S135" s="963" t="str">
        <f t="shared" si="419"/>
        <v>1Q02</v>
      </c>
      <c r="T135" s="963" t="str">
        <f t="shared" si="419"/>
        <v>2Q02</v>
      </c>
      <c r="U135" s="963" t="str">
        <f t="shared" si="419"/>
        <v>3Q02</v>
      </c>
      <c r="V135" s="963" t="str">
        <f t="shared" si="419"/>
        <v>4Q02</v>
      </c>
      <c r="W135" s="649">
        <f t="shared" si="419"/>
        <v>2002</v>
      </c>
      <c r="X135" s="963" t="str">
        <f t="shared" si="419"/>
        <v>1Q03</v>
      </c>
      <c r="Y135" s="963" t="str">
        <f t="shared" si="419"/>
        <v>2Q03</v>
      </c>
      <c r="Z135" s="963" t="str">
        <f t="shared" si="419"/>
        <v>3Q03</v>
      </c>
      <c r="AA135" s="963" t="str">
        <f t="shared" si="419"/>
        <v>4Q03</v>
      </c>
      <c r="AB135" s="649">
        <f t="shared" si="419"/>
        <v>2003</v>
      </c>
      <c r="AC135" s="963" t="str">
        <f t="shared" si="419"/>
        <v>1Q04</v>
      </c>
      <c r="AD135" s="963" t="str">
        <f t="shared" si="419"/>
        <v>2Q04</v>
      </c>
      <c r="AE135" s="963" t="str">
        <f t="shared" si="419"/>
        <v>3Q04</v>
      </c>
      <c r="AF135" s="963" t="str">
        <f t="shared" si="419"/>
        <v>4Q04</v>
      </c>
      <c r="AG135" s="649" t="str">
        <f t="shared" si="419"/>
        <v>2004</v>
      </c>
      <c r="AH135" s="963" t="str">
        <f t="shared" si="419"/>
        <v>1Q05</v>
      </c>
      <c r="AI135" s="963" t="str">
        <f t="shared" si="419"/>
        <v>2Q05</v>
      </c>
      <c r="AJ135" s="963" t="str">
        <f t="shared" si="419"/>
        <v>3Q05</v>
      </c>
      <c r="AK135" s="963" t="str">
        <f t="shared" si="419"/>
        <v>4Q05</v>
      </c>
      <c r="AL135" s="649" t="str">
        <f t="shared" si="419"/>
        <v>2005</v>
      </c>
      <c r="AM135" s="963" t="str">
        <f t="shared" si="419"/>
        <v>1Q06</v>
      </c>
      <c r="AN135" s="963" t="str">
        <f t="shared" si="419"/>
        <v>2Q06</v>
      </c>
      <c r="AO135" s="963" t="str">
        <f t="shared" si="419"/>
        <v>3Q06</v>
      </c>
      <c r="AP135" s="963" t="str">
        <f t="shared" si="419"/>
        <v>4Q06</v>
      </c>
      <c r="AQ135" s="649" t="str">
        <f t="shared" si="419"/>
        <v>2006</v>
      </c>
      <c r="AR135" s="963" t="str">
        <f t="shared" si="419"/>
        <v>1Q07</v>
      </c>
      <c r="AS135" s="963" t="str">
        <f t="shared" si="419"/>
        <v>2Q07</v>
      </c>
      <c r="AT135" s="963" t="str">
        <f t="shared" si="419"/>
        <v>3Q07</v>
      </c>
      <c r="AU135" s="963" t="str">
        <f t="shared" si="419"/>
        <v>4Q07</v>
      </c>
      <c r="AV135" s="649" t="str">
        <f t="shared" si="419"/>
        <v>2007</v>
      </c>
      <c r="AW135" s="963" t="str">
        <f t="shared" si="419"/>
        <v>1Q08</v>
      </c>
      <c r="AX135" s="963" t="str">
        <f t="shared" si="419"/>
        <v>2Q08</v>
      </c>
      <c r="AY135" s="963" t="str">
        <f t="shared" si="419"/>
        <v>3Q08</v>
      </c>
      <c r="AZ135" s="963" t="str">
        <f t="shared" si="419"/>
        <v>4Q08</v>
      </c>
      <c r="BA135" s="649" t="str">
        <f t="shared" si="419"/>
        <v>2008</v>
      </c>
      <c r="BB135" s="963" t="str">
        <f t="shared" si="419"/>
        <v>1Q09</v>
      </c>
      <c r="BC135" s="963" t="str">
        <f t="shared" si="419"/>
        <v>2Q09</v>
      </c>
      <c r="BD135" s="963" t="str">
        <f t="shared" si="419"/>
        <v>3Q09</v>
      </c>
      <c r="BE135" s="963" t="str">
        <f t="shared" si="419"/>
        <v>4Q09</v>
      </c>
      <c r="BF135" s="649" t="str">
        <f t="shared" si="419"/>
        <v>2009</v>
      </c>
      <c r="BG135" s="963" t="str">
        <f t="shared" si="419"/>
        <v>1Q10</v>
      </c>
      <c r="BH135" s="963" t="str">
        <f t="shared" si="419"/>
        <v>2Q10</v>
      </c>
      <c r="BI135" s="963" t="str">
        <f t="shared" si="419"/>
        <v>3Q10</v>
      </c>
      <c r="BJ135" s="963" t="str">
        <f t="shared" si="419"/>
        <v>4Q10</v>
      </c>
      <c r="BK135" s="649" t="str">
        <f t="shared" si="419"/>
        <v>2010</v>
      </c>
      <c r="BL135" s="963" t="str">
        <f t="shared" si="419"/>
        <v>1Q11</v>
      </c>
      <c r="BM135" s="963" t="str">
        <f t="shared" si="419"/>
        <v>2Q11</v>
      </c>
      <c r="BN135" s="963" t="str">
        <f t="shared" si="419"/>
        <v>3Q11</v>
      </c>
      <c r="BO135" s="963" t="str">
        <f t="shared" si="419"/>
        <v>4Q11</v>
      </c>
      <c r="BP135" s="649">
        <f t="shared" si="419"/>
        <v>2011</v>
      </c>
      <c r="BQ135" s="963" t="str">
        <f t="shared" si="419"/>
        <v>1Q12</v>
      </c>
      <c r="BR135" s="963" t="str">
        <f t="shared" si="419"/>
        <v>2Q12</v>
      </c>
      <c r="BS135" s="963" t="str">
        <f t="shared" si="419"/>
        <v>3Q12</v>
      </c>
      <c r="BT135" s="963" t="str">
        <f t="shared" si="419"/>
        <v>4Q12</v>
      </c>
      <c r="BU135" s="649">
        <f>BU$5</f>
        <v>2012</v>
      </c>
      <c r="BV135" s="963" t="str">
        <f>BV$5</f>
        <v>1Q13</v>
      </c>
      <c r="BW135" s="963" t="str">
        <f t="shared" ref="BW135:DA135" si="420">BW$5</f>
        <v>2Q13</v>
      </c>
      <c r="BX135" s="963" t="str">
        <f t="shared" si="420"/>
        <v>3Q13</v>
      </c>
      <c r="BY135" s="963" t="str">
        <f t="shared" si="420"/>
        <v>4Q13</v>
      </c>
      <c r="BZ135" s="649">
        <f t="shared" si="420"/>
        <v>2013</v>
      </c>
      <c r="CA135" s="963" t="str">
        <f>CA$5</f>
        <v>1Q14</v>
      </c>
      <c r="CB135" s="963" t="str">
        <f t="shared" si="420"/>
        <v>2Q14</v>
      </c>
      <c r="CC135" s="963" t="str">
        <f t="shared" si="420"/>
        <v>3Q14</v>
      </c>
      <c r="CD135" s="964" t="str">
        <f t="shared" si="420"/>
        <v>4Q14</v>
      </c>
      <c r="CE135" s="649">
        <f t="shared" si="420"/>
        <v>2014</v>
      </c>
      <c r="CF135" s="963" t="str">
        <f>CF$5</f>
        <v>1Q15</v>
      </c>
      <c r="CG135" s="963" t="str">
        <f t="shared" si="420"/>
        <v>2Q15</v>
      </c>
      <c r="CH135" s="963" t="str">
        <f t="shared" si="420"/>
        <v>3Q15</v>
      </c>
      <c r="CI135" s="964" t="str">
        <f t="shared" si="420"/>
        <v>4Q15</v>
      </c>
      <c r="CJ135" s="649">
        <f t="shared" si="420"/>
        <v>2015</v>
      </c>
      <c r="CK135" s="963" t="str">
        <f t="shared" si="420"/>
        <v>1Q16</v>
      </c>
      <c r="CL135" s="963" t="str">
        <f t="shared" si="420"/>
        <v>2Q16</v>
      </c>
      <c r="CM135" s="963" t="str">
        <f t="shared" si="420"/>
        <v>3Q16</v>
      </c>
      <c r="CN135" s="964" t="str">
        <f t="shared" si="420"/>
        <v>4Q16</v>
      </c>
      <c r="CO135" s="649">
        <f t="shared" si="420"/>
        <v>2016</v>
      </c>
      <c r="CP135" s="963" t="str">
        <f t="shared" si="420"/>
        <v>1Q17</v>
      </c>
      <c r="CQ135" s="963" t="str">
        <f t="shared" si="420"/>
        <v>2Q17</v>
      </c>
      <c r="CR135" s="963" t="str">
        <f t="shared" si="420"/>
        <v>3Q17</v>
      </c>
      <c r="CS135" s="963" t="str">
        <f t="shared" si="420"/>
        <v>4Q17A</v>
      </c>
      <c r="CT135" s="649" t="str">
        <f t="shared" si="420"/>
        <v>2017A</v>
      </c>
      <c r="CU135" s="963" t="str">
        <f t="shared" si="420"/>
        <v>1Q18E</v>
      </c>
      <c r="CV135" s="963" t="str">
        <f t="shared" si="420"/>
        <v>2Q18E</v>
      </c>
      <c r="CW135" s="963" t="str">
        <f t="shared" si="420"/>
        <v>3Q18E</v>
      </c>
      <c r="CX135" s="963" t="str">
        <f t="shared" si="420"/>
        <v>4Q18E</v>
      </c>
      <c r="CY135" s="649" t="str">
        <f t="shared" si="420"/>
        <v>2018E</v>
      </c>
      <c r="CZ135" s="649" t="str">
        <f t="shared" si="420"/>
        <v>2019E</v>
      </c>
      <c r="DA135" s="649" t="str">
        <f t="shared" si="420"/>
        <v>2020E</v>
      </c>
      <c r="DB135"/>
      <c r="DC135"/>
      <c r="DD135" s="873" t="s">
        <v>1739</v>
      </c>
      <c r="DE135" s="649">
        <f t="shared" ref="DE135:DE151" si="421">M135</f>
        <v>2000</v>
      </c>
      <c r="DF135" s="649">
        <f t="shared" ref="DF135:DF151" si="422">R135</f>
        <v>2001</v>
      </c>
      <c r="DG135" s="649">
        <f t="shared" ref="DG135:DG151" si="423">W135</f>
        <v>2002</v>
      </c>
      <c r="DH135" s="649">
        <f t="shared" ref="DH135:DH151" si="424">AB135</f>
        <v>2003</v>
      </c>
      <c r="DI135" s="649" t="str">
        <f t="shared" ref="DI135:DI151" si="425">AG135</f>
        <v>2004</v>
      </c>
      <c r="DJ135" s="649" t="str">
        <f t="shared" ref="DJ135:DJ151" si="426">AL135</f>
        <v>2005</v>
      </c>
      <c r="DK135" s="649" t="str">
        <f t="shared" ref="DK135:DK151" si="427">AQ135</f>
        <v>2006</v>
      </c>
      <c r="DL135" s="649" t="str">
        <f t="shared" ref="DL135:DL151" si="428">AV135</f>
        <v>2007</v>
      </c>
      <c r="DM135" s="649" t="str">
        <f t="shared" ref="DM135:DM151" si="429">BA135</f>
        <v>2008</v>
      </c>
      <c r="DN135" s="649" t="str">
        <f t="shared" ref="DN135:DN151" si="430">BF135</f>
        <v>2009</v>
      </c>
      <c r="DO135" s="649" t="str">
        <f t="shared" ref="DO135:DO151" si="431">BK135</f>
        <v>2010</v>
      </c>
      <c r="DP135" s="649">
        <f t="shared" ref="DP135:DP151" si="432">BP135</f>
        <v>2011</v>
      </c>
      <c r="DQ135" s="649">
        <f t="shared" ref="DQ135:DQ151" si="433">BU135</f>
        <v>2012</v>
      </c>
      <c r="DR135" s="649">
        <f t="shared" ref="DR135:DR151" si="434">BZ135</f>
        <v>2013</v>
      </c>
      <c r="DS135" s="649">
        <f t="shared" ref="DS135:DS151" si="435">CE135</f>
        <v>2014</v>
      </c>
      <c r="DT135" s="649">
        <f t="shared" ref="DT135:DT151" si="436">CJ135</f>
        <v>2015</v>
      </c>
      <c r="DU135" s="649">
        <f t="shared" ref="DU135:DU151" si="437">CO135</f>
        <v>2016</v>
      </c>
      <c r="DV135" s="649" t="str">
        <f t="shared" ref="DV135:DV151" si="438">CT135</f>
        <v>2017A</v>
      </c>
      <c r="DW135" s="649" t="str">
        <f t="shared" ref="DW135:DW151" si="439">CY135</f>
        <v>2018E</v>
      </c>
      <c r="DX135" s="649" t="str">
        <f t="shared" ref="DX135:DX151" si="440">CZ135</f>
        <v>2019E</v>
      </c>
      <c r="DY135" s="649" t="str">
        <f t="shared" ref="DY135:DY151" si="441">DA135</f>
        <v>2020E</v>
      </c>
      <c r="EA135"/>
      <c r="EB135"/>
      <c r="EC135"/>
      <c r="ED135"/>
      <c r="EE135"/>
      <c r="EF135"/>
      <c r="EG135" s="855"/>
      <c r="EH135" s="855"/>
      <c r="EI135" s="855"/>
      <c r="EJ135"/>
      <c r="EK135"/>
      <c r="EL135"/>
      <c r="EM135" s="855"/>
      <c r="EN135" s="855"/>
      <c r="EO135" s="855"/>
      <c r="EP135" s="855"/>
      <c r="EQ135" s="855"/>
      <c r="ER135" s="234"/>
    </row>
    <row r="136" spans="1:148" s="1703" customFormat="1" ht="12.75" customHeight="1" x14ac:dyDescent="0.2">
      <c r="A136" s="1987" t="s">
        <v>1705</v>
      </c>
      <c r="B136" s="1378"/>
      <c r="C136" s="1378"/>
      <c r="D136" s="1378"/>
      <c r="E136" s="1378"/>
      <c r="F136" s="1378"/>
      <c r="G136" s="1378"/>
      <c r="H136" s="1378"/>
      <c r="I136" s="1378"/>
      <c r="J136" s="1378"/>
      <c r="K136" s="1378"/>
      <c r="L136" s="1378"/>
      <c r="M136" s="1379"/>
      <c r="N136" s="1378"/>
      <c r="O136" s="1378"/>
      <c r="P136" s="1378"/>
      <c r="Q136" s="1378"/>
      <c r="R136" s="1379"/>
      <c r="S136" s="1378"/>
      <c r="T136" s="1378"/>
      <c r="U136" s="1378"/>
      <c r="V136" s="1378"/>
      <c r="W136" s="1379"/>
      <c r="X136" s="1378"/>
      <c r="Y136" s="1378"/>
      <c r="Z136" s="1378"/>
      <c r="AA136" s="1378"/>
      <c r="AB136" s="1379"/>
      <c r="AC136" s="1378"/>
      <c r="AD136" s="1378"/>
      <c r="AE136" s="1378"/>
      <c r="AF136" s="1378"/>
      <c r="AG136" s="1379">
        <f>+AG98</f>
        <v>1104</v>
      </c>
      <c r="AH136" s="1378">
        <f>+(AH98+AF98+AE98+AD98)</f>
        <v>276</v>
      </c>
      <c r="AI136" s="1378">
        <f>+(AI98+AH98+AF98+AE98)</f>
        <v>582</v>
      </c>
      <c r="AJ136" s="1378">
        <f>+(AJ98+AI98+AH98+AF98)</f>
        <v>849</v>
      </c>
      <c r="AK136" s="1378">
        <f>+(AK98+AJ98+AI98+AH98)</f>
        <v>1270</v>
      </c>
      <c r="AL136" s="1379">
        <f>+AL98</f>
        <v>1270</v>
      </c>
      <c r="AM136" s="1378">
        <f>+(AM98+AK98+AJ98+AI98)</f>
        <v>1318</v>
      </c>
      <c r="AN136" s="1378">
        <f>+(AN98+AM98+AK98+AJ98)</f>
        <v>1375</v>
      </c>
      <c r="AO136" s="1378">
        <f>+(AO98+AN98+AM98+AK98)</f>
        <v>1408</v>
      </c>
      <c r="AP136" s="1378">
        <f>+(AP98+AO98+AN98+AM98)</f>
        <v>1424</v>
      </c>
      <c r="AQ136" s="1379">
        <f>+AQ98</f>
        <v>1424</v>
      </c>
      <c r="AR136" s="1378">
        <f>+(AR98+AP98+AO98+AN98)</f>
        <v>1434</v>
      </c>
      <c r="AS136" s="1378">
        <f>+(AS98+AR98+AP98+AO98)</f>
        <v>1512</v>
      </c>
      <c r="AT136" s="1378">
        <f>+(AT98+AS98+AR98+AP98)</f>
        <v>1520</v>
      </c>
      <c r="AU136" s="1378">
        <f>+(AU98+AT98+AS98+AR98)</f>
        <v>1580</v>
      </c>
      <c r="AV136" s="1379">
        <f>+AV98</f>
        <v>1580</v>
      </c>
      <c r="AW136" s="1378">
        <f>+(AW98+AU98+AT98+AS98)</f>
        <v>1533</v>
      </c>
      <c r="AX136" s="1378">
        <f>+(AX98+AW98+AU98+AT98)</f>
        <v>1477</v>
      </c>
      <c r="AY136" s="1378">
        <f>+(AY98+AX98+AW98+AU98)</f>
        <v>1455</v>
      </c>
      <c r="AZ136" s="1378">
        <f>+(AZ98+AY98+AX98+AW98)</f>
        <v>1298</v>
      </c>
      <c r="BA136" s="1379">
        <f>+BA98</f>
        <v>1298</v>
      </c>
      <c r="BB136" s="1378">
        <f>+(BB98+AZ98+AY98+AX98)</f>
        <v>1226</v>
      </c>
      <c r="BC136" s="1378">
        <f>+(BC98+BB98+AZ98+AY98)</f>
        <v>1061</v>
      </c>
      <c r="BD136" s="1378">
        <f>+(BD98+BC98+BB98+AZ98)</f>
        <v>938</v>
      </c>
      <c r="BE136" s="1378">
        <f>+(BE98+BD98+BC98+BB98)</f>
        <v>898</v>
      </c>
      <c r="BF136" s="1379">
        <f>+BF98</f>
        <v>898</v>
      </c>
      <c r="BG136" s="1378">
        <f>+(BG98+BE98+BD98+BC98)</f>
        <v>870</v>
      </c>
      <c r="BH136" s="1378">
        <f>+(BH98+BG98+BE98+BD98)</f>
        <v>889</v>
      </c>
      <c r="BI136" s="1378">
        <f>+(BI98+BH98+BG98+BE98)</f>
        <v>903</v>
      </c>
      <c r="BJ136" s="1378">
        <f>+(BJ98+BI98+BH98+BG98)</f>
        <v>885</v>
      </c>
      <c r="BK136" s="1379">
        <f>+BK98</f>
        <v>885</v>
      </c>
      <c r="BL136" s="1378">
        <f>+(BL98+BJ98+BI98+BH98)</f>
        <v>895</v>
      </c>
      <c r="BM136" s="1378">
        <f>+(BM98+BL98+BJ98+BI98)</f>
        <v>912</v>
      </c>
      <c r="BN136" s="1378">
        <f>+(BN98+BM98+BL98+BJ98)</f>
        <v>958</v>
      </c>
      <c r="BO136" s="1378">
        <f>+(BO98+BN98+BM98+BL98)</f>
        <v>992</v>
      </c>
      <c r="BP136" s="1379">
        <f>+BP98</f>
        <v>992</v>
      </c>
      <c r="BQ136" s="1378">
        <f>+(BQ98+BO98+BN98+BM98)</f>
        <v>1037</v>
      </c>
      <c r="BR136" s="1378">
        <f>+(BR98+BQ98+BO98+BN98)</f>
        <v>1097</v>
      </c>
      <c r="BS136" s="1378">
        <f>+(BS98+BR98+BQ98+BO98)</f>
        <v>1184</v>
      </c>
      <c r="BT136" s="1378">
        <f>+(BT98+BS98+BR98+BQ98)</f>
        <v>1258</v>
      </c>
      <c r="BU136" s="1379">
        <f>+BU98</f>
        <v>1258</v>
      </c>
      <c r="BV136" s="1378">
        <f>+(BV98+BT98+BS98+BR98)</f>
        <v>1319</v>
      </c>
      <c r="BW136" s="1378">
        <f>+(BW98+BV98+BT98+BS98)</f>
        <v>1375</v>
      </c>
      <c r="BX136" s="1378">
        <f>+(BX98+BW98+BV98+BT98)</f>
        <v>1394</v>
      </c>
      <c r="BY136" s="1378">
        <f>+(BY98+BX98+BW98+BV98)</f>
        <v>1325</v>
      </c>
      <c r="BZ136" s="1379">
        <f>+BZ98</f>
        <v>1325</v>
      </c>
      <c r="CA136" s="1378">
        <f>+(CA98+BY98+BX98+BW98)</f>
        <v>1361</v>
      </c>
      <c r="CB136" s="1378">
        <f>+(CB98+CA98+BY98+BX98)</f>
        <v>1397</v>
      </c>
      <c r="CC136" s="1378">
        <f>+(CC98+CB98+CA98+BY98)</f>
        <v>1461</v>
      </c>
      <c r="CD136" s="1378">
        <f>+(CD98+CC98+CB98+CA98)</f>
        <v>1524</v>
      </c>
      <c r="CE136" s="1379">
        <f>+CE98</f>
        <v>1524</v>
      </c>
      <c r="CF136" s="1378">
        <f>+(CF98+CD98+CC98+CB98)</f>
        <v>1614</v>
      </c>
      <c r="CG136" s="1378">
        <f>+(CG98+CF98+CD98+CC98)</f>
        <v>1663</v>
      </c>
      <c r="CH136" s="1378">
        <f>+(CH98+CG98+CF98+CD98)</f>
        <v>1701</v>
      </c>
      <c r="CI136" s="1378">
        <f>+(CI98+CH98+CG98+CF98)</f>
        <v>1718</v>
      </c>
      <c r="CJ136" s="1379">
        <f>+CJ98</f>
        <v>1718</v>
      </c>
      <c r="CK136" s="1378">
        <f>+(CK98+CI98+CH98+CG98)</f>
        <v>1747</v>
      </c>
      <c r="CL136" s="1378">
        <f>+(CL98+CK98+CI98+CH98)</f>
        <v>1784</v>
      </c>
      <c r="CM136" s="1378">
        <f>+(CM98+CL98+CK98+CI98)</f>
        <v>1827</v>
      </c>
      <c r="CN136" s="1380">
        <f>+(CN98+CM98+CL98+CK98)</f>
        <v>2182</v>
      </c>
      <c r="CO136" s="1379">
        <f>+CO98</f>
        <v>2136</v>
      </c>
      <c r="CP136" s="1378">
        <f>+(CP98+CN98+CM98+CL98)</f>
        <v>2474</v>
      </c>
      <c r="CQ136" s="1378">
        <f>+(CQ98+CP98+CN98+CM98)</f>
        <v>2814</v>
      </c>
      <c r="CR136" s="1378">
        <f>+(CR98+CQ98+CP98+CN98)</f>
        <v>3171</v>
      </c>
      <c r="CS136" s="1380">
        <f>+(CS98+CR98+CQ98+CP98)</f>
        <v>3223</v>
      </c>
      <c r="CT136" s="1379">
        <f>+CT98</f>
        <v>3223</v>
      </c>
      <c r="CU136" s="1378">
        <f ca="1">+(CU98+CT98+CS98+CQ98)</f>
        <v>5642.7610317071149</v>
      </c>
      <c r="CV136" s="1378">
        <f ca="1">+(CV98+CU98+CT98+CR98)</f>
        <v>5717.063842500158</v>
      </c>
      <c r="CW136" s="1378">
        <f ca="1">+(CW98+CV98+CU98+CS98)</f>
        <v>3326.1724401176598</v>
      </c>
      <c r="CX136" s="1380">
        <f ca="1">+(CX98+CW98+CV98+CT98)</f>
        <v>5853.7589252738753</v>
      </c>
      <c r="CY136" s="1379">
        <f ca="1">+CY98</f>
        <v>3408.5199569809874</v>
      </c>
      <c r="CZ136" s="1379">
        <f ca="1">+CZ98</f>
        <v>3806.4767640867026</v>
      </c>
      <c r="DA136" s="1379">
        <f ca="1">+DA98</f>
        <v>3781.9263870850614</v>
      </c>
      <c r="DB136"/>
      <c r="DC136"/>
      <c r="DD136" s="2314" t="s">
        <v>1705</v>
      </c>
      <c r="DE136" s="2286">
        <f t="shared" si="421"/>
        <v>0</v>
      </c>
      <c r="DF136" s="2286">
        <f t="shared" si="422"/>
        <v>0</v>
      </c>
      <c r="DG136" s="2286">
        <f t="shared" si="423"/>
        <v>0</v>
      </c>
      <c r="DH136" s="2286">
        <f t="shared" si="424"/>
        <v>0</v>
      </c>
      <c r="DI136" s="2286">
        <f t="shared" si="425"/>
        <v>1104</v>
      </c>
      <c r="DJ136" s="2286">
        <f t="shared" si="426"/>
        <v>1270</v>
      </c>
      <c r="DK136" s="2286">
        <f t="shared" si="427"/>
        <v>1424</v>
      </c>
      <c r="DL136" s="2286">
        <f t="shared" si="428"/>
        <v>1580</v>
      </c>
      <c r="DM136" s="2286">
        <f t="shared" si="429"/>
        <v>1298</v>
      </c>
      <c r="DN136" s="2286">
        <f t="shared" si="430"/>
        <v>898</v>
      </c>
      <c r="DO136" s="2286">
        <f t="shared" si="431"/>
        <v>885</v>
      </c>
      <c r="DP136" s="2286">
        <f t="shared" si="432"/>
        <v>992</v>
      </c>
      <c r="DQ136" s="2286">
        <f t="shared" si="433"/>
        <v>1258</v>
      </c>
      <c r="DR136" s="2286">
        <f t="shared" si="434"/>
        <v>1325</v>
      </c>
      <c r="DS136" s="2286">
        <f t="shared" si="435"/>
        <v>1524</v>
      </c>
      <c r="DT136" s="2286">
        <f t="shared" si="436"/>
        <v>1718</v>
      </c>
      <c r="DU136" s="2286">
        <f t="shared" si="437"/>
        <v>2136</v>
      </c>
      <c r="DV136" s="2286">
        <f t="shared" si="438"/>
        <v>3223</v>
      </c>
      <c r="DW136" s="2286">
        <f t="shared" ca="1" si="439"/>
        <v>3408.5199569809874</v>
      </c>
      <c r="DX136" s="2286">
        <f t="shared" ca="1" si="440"/>
        <v>3806.4767640867026</v>
      </c>
      <c r="DY136" s="2286">
        <f t="shared" ca="1" si="441"/>
        <v>3781.9263870850614</v>
      </c>
      <c r="EA136"/>
      <c r="EB136"/>
      <c r="EC136"/>
      <c r="ED136"/>
      <c r="EE136"/>
      <c r="EF136"/>
      <c r="EG136" s="1466"/>
      <c r="EH136" s="1466"/>
      <c r="EI136" s="1466"/>
      <c r="EJ136"/>
      <c r="EK136"/>
      <c r="EL136"/>
      <c r="EM136" s="1466"/>
      <c r="EN136" s="1466"/>
      <c r="EO136" s="1466"/>
      <c r="EP136" s="1466"/>
      <c r="EQ136" s="1466"/>
      <c r="ER136" s="234"/>
    </row>
    <row r="137" spans="1:148" s="1703" customFormat="1" x14ac:dyDescent="0.2">
      <c r="A137" s="2202" t="s">
        <v>1740</v>
      </c>
      <c r="B137" s="1380"/>
      <c r="C137" s="1380"/>
      <c r="D137" s="1380"/>
      <c r="E137" s="1380"/>
      <c r="F137" s="1380"/>
      <c r="G137" s="1380"/>
      <c r="H137" s="1380"/>
      <c r="I137" s="1380"/>
      <c r="J137" s="1380"/>
      <c r="K137" s="1380"/>
      <c r="L137" s="1380"/>
      <c r="M137" s="1741"/>
      <c r="N137" s="1380"/>
      <c r="O137" s="1380"/>
      <c r="P137" s="1380"/>
      <c r="Q137" s="1380"/>
      <c r="R137" s="1741"/>
      <c r="S137" s="1380"/>
      <c r="T137" s="1380"/>
      <c r="U137" s="1380"/>
      <c r="V137" s="1380"/>
      <c r="W137" s="1741"/>
      <c r="X137" s="1380"/>
      <c r="Y137" s="1380"/>
      <c r="Z137" s="1380"/>
      <c r="AA137" s="1380"/>
      <c r="AB137" s="1741"/>
      <c r="AC137" s="1380"/>
      <c r="AD137" s="1380"/>
      <c r="AE137" s="1380"/>
      <c r="AF137" s="1380"/>
      <c r="AG137" s="1741">
        <f>-AG39</f>
        <v>99</v>
      </c>
      <c r="AH137" s="1380">
        <f>-(AH39+AF39+AE39+AD39)</f>
        <v>101</v>
      </c>
      <c r="AI137" s="1380">
        <f>-(AI39+AH39+AF39+AE39)</f>
        <v>98</v>
      </c>
      <c r="AJ137" s="1380">
        <f>-(AJ39+AI39+AH39+AF39)</f>
        <v>99</v>
      </c>
      <c r="AK137" s="1380">
        <f>-(AK39+AJ39+AI39+AH39)</f>
        <v>106</v>
      </c>
      <c r="AL137" s="1741">
        <f>-AL39</f>
        <v>106</v>
      </c>
      <c r="AM137" s="1380">
        <f>-(AM39+AK39+AJ39+AI39)</f>
        <v>109</v>
      </c>
      <c r="AN137" s="1380">
        <f>-(AN39+AM39+AK39+AJ39)</f>
        <v>118</v>
      </c>
      <c r="AO137" s="1380">
        <f>-(AO39+AN39+AM39+AK39)</f>
        <v>123</v>
      </c>
      <c r="AP137" s="1380">
        <f>-(AP39+AO39+AN39+AM39)</f>
        <v>124</v>
      </c>
      <c r="AQ137" s="1741">
        <f>-AQ39</f>
        <v>124</v>
      </c>
      <c r="AR137" s="1380">
        <f>-(AR39+AP39+AO39+AN39)</f>
        <v>130</v>
      </c>
      <c r="AS137" s="1380">
        <f>-(AS39+AR39+AP39+AO39)</f>
        <v>152</v>
      </c>
      <c r="AT137" s="1380">
        <f>-(AT39+AS39+AR39+AP39)</f>
        <v>165</v>
      </c>
      <c r="AU137" s="1380">
        <f>-(AU39+AT39+AS39+AR39)</f>
        <v>184</v>
      </c>
      <c r="AV137" s="1741">
        <f>-AV39</f>
        <v>184</v>
      </c>
      <c r="AW137" s="1380">
        <f>-(AW39+AU39+AT39+AS39)</f>
        <v>193</v>
      </c>
      <c r="AX137" s="1380">
        <f>-(AX39+AW39+AU39+AT39)</f>
        <v>179</v>
      </c>
      <c r="AY137" s="1380">
        <f>-(AY39+AX39+AW39+AU39)</f>
        <v>170</v>
      </c>
      <c r="AZ137" s="1380">
        <f>-(AZ39+AY39+AX39+AW39)</f>
        <v>163</v>
      </c>
      <c r="BA137" s="1741">
        <f>-BA39</f>
        <v>163</v>
      </c>
      <c r="BB137" s="1380">
        <f>-(BB39+AZ39+AY39+AX39)</f>
        <v>150</v>
      </c>
      <c r="BC137" s="1380">
        <f>-(BC39+BB39+AZ39+AY39)</f>
        <v>140</v>
      </c>
      <c r="BD137" s="1380">
        <f>-(BD39+BC39+BB39+AZ39)</f>
        <v>134</v>
      </c>
      <c r="BE137" s="1380">
        <f>-(BE39+BD39+BC39+BB39)</f>
        <v>118</v>
      </c>
      <c r="BF137" s="1741">
        <f>-BF39</f>
        <v>118</v>
      </c>
      <c r="BG137" s="1380">
        <f>-(BG39+BE39+BD39+BC39)</f>
        <v>123</v>
      </c>
      <c r="BH137" s="1380">
        <f>-(BH39+BG39+BE39+BD39)</f>
        <v>128</v>
      </c>
      <c r="BI137" s="1380">
        <f>-(BI39+BH39+BG39+BE39)</f>
        <v>132</v>
      </c>
      <c r="BJ137" s="1380">
        <f>-(BJ39+BI39+BH39+BG39)</f>
        <v>137</v>
      </c>
      <c r="BK137" s="1741">
        <f>-BK39</f>
        <v>137</v>
      </c>
      <c r="BL137" s="1380">
        <f>-(BL39+BJ39+BI39+BH39)</f>
        <v>135</v>
      </c>
      <c r="BM137" s="1380">
        <f>-(BM39+BL39+BJ39+BI39)</f>
        <v>131</v>
      </c>
      <c r="BN137" s="1380">
        <f>-(BN39+BM39+BL39+BJ39)</f>
        <v>132</v>
      </c>
      <c r="BO137" s="1380">
        <f>-(BO39+BN39+BM39+BL39)</f>
        <v>135</v>
      </c>
      <c r="BP137" s="1741">
        <f>-BP39</f>
        <v>135</v>
      </c>
      <c r="BQ137" s="1380">
        <f>-(BQ39+BO39+BN39+BM39)</f>
        <v>136</v>
      </c>
      <c r="BR137" s="1380">
        <f>-(BR39+BQ39+BO39+BN39)</f>
        <v>141</v>
      </c>
      <c r="BS137" s="1380">
        <f>-(BS39+BR39+BQ39+BO39)</f>
        <v>138</v>
      </c>
      <c r="BT137" s="1380">
        <f>-(BT39+BS39+BR39+BQ39)</f>
        <v>137</v>
      </c>
      <c r="BU137" s="1741">
        <f>-BU39</f>
        <v>137</v>
      </c>
      <c r="BV137" s="1380">
        <f>-(BV39+BT39+BS39+BR39)</f>
        <v>135</v>
      </c>
      <c r="BW137" s="1380">
        <f>-(BW39+BV39+BT39+BS39)</f>
        <v>130</v>
      </c>
      <c r="BX137" s="1380">
        <f>-(BX39+BW39+BU39+BT39)</f>
        <v>235</v>
      </c>
      <c r="BY137" s="1380">
        <f>-(BY39+BX39+BW39+BV39)</f>
        <v>120</v>
      </c>
      <c r="BZ137" s="1741">
        <f>-BZ39</f>
        <v>120</v>
      </c>
      <c r="CA137" s="1380">
        <f>-(CA39+BY39+BX39+BW39)</f>
        <v>119</v>
      </c>
      <c r="CB137" s="1380">
        <f>-(CB39+CA39+BY39+BX39)</f>
        <v>120</v>
      </c>
      <c r="CC137" s="1380">
        <f>-(CC39+CB39+CA39+BY39)</f>
        <v>121</v>
      </c>
      <c r="CD137" s="1380">
        <f>-(CD39+CC39+CB39+CA39)</f>
        <v>115</v>
      </c>
      <c r="CE137" s="1741">
        <f>-CE39</f>
        <v>115</v>
      </c>
      <c r="CF137" s="1380">
        <f>-(CF39+CD39+CC39+CB39)</f>
        <v>121</v>
      </c>
      <c r="CG137" s="1380">
        <f>-(CG39+CF39+CD39+CC39)</f>
        <v>133</v>
      </c>
      <c r="CH137" s="1380">
        <f>-(CH39+CG39+CF39+CD39)</f>
        <v>147</v>
      </c>
      <c r="CI137" s="1380">
        <f>-(CI39+CH39+CG39+CF39)</f>
        <v>167</v>
      </c>
      <c r="CJ137" s="1741">
        <f>-CJ39</f>
        <v>167</v>
      </c>
      <c r="CK137" s="1380">
        <f>-(CK39+CI39+CH39+CG39)</f>
        <v>178</v>
      </c>
      <c r="CL137" s="1380">
        <f>-(CL39+CK39+CI39+CH39)</f>
        <v>193</v>
      </c>
      <c r="CM137" s="1380">
        <f>-(CM39+CL39+CK39+CI39)</f>
        <v>195</v>
      </c>
      <c r="CN137" s="1380">
        <f>-(CN39+CM39+CL39+CK39)</f>
        <v>224</v>
      </c>
      <c r="CO137" s="1741">
        <f>-CO39</f>
        <v>224</v>
      </c>
      <c r="CP137" s="1380">
        <f>-(CP39+CN39+CM39+CL39)</f>
        <v>247</v>
      </c>
      <c r="CQ137" s="1380">
        <f>-(CQ39+CP39+CN39+CM39)</f>
        <v>263</v>
      </c>
      <c r="CR137" s="1380">
        <f>-(CR39+CQ39+CP39+CN39)</f>
        <v>291</v>
      </c>
      <c r="CS137" s="1380">
        <f>-(CS39+CR39+CQ39+CP39)</f>
        <v>288</v>
      </c>
      <c r="CT137" s="1741">
        <f>-CT39</f>
        <v>288</v>
      </c>
      <c r="CU137" s="1380">
        <f>-(CU39+CT39+CS39+CQ39)</f>
        <v>511.54845700833044</v>
      </c>
      <c r="CV137" s="1380">
        <f>-(CV39+CU39+CT39+CR39)</f>
        <v>520.79908144604667</v>
      </c>
      <c r="CW137" s="1380">
        <f>-(CW39+CV39+CU39+CS39)</f>
        <v>316.13283055456225</v>
      </c>
      <c r="CX137" s="1380">
        <f>-(CX39+CW39+CV39+CT39)</f>
        <v>539.73291717529537</v>
      </c>
      <c r="CY137" s="1741">
        <f>-CY39</f>
        <v>330.28137418362576</v>
      </c>
      <c r="CZ137" s="1741">
        <f>-CZ39</f>
        <v>360.40811934872193</v>
      </c>
      <c r="DA137" s="1741">
        <f>-DA39</f>
        <v>377.43696967570474</v>
      </c>
      <c r="DB137"/>
      <c r="DC137"/>
      <c r="DD137" s="2315" t="s">
        <v>1740</v>
      </c>
      <c r="DE137" s="2316">
        <f t="shared" si="421"/>
        <v>0</v>
      </c>
      <c r="DF137" s="2316">
        <f t="shared" si="422"/>
        <v>0</v>
      </c>
      <c r="DG137" s="2316">
        <f t="shared" si="423"/>
        <v>0</v>
      </c>
      <c r="DH137" s="2316">
        <f t="shared" si="424"/>
        <v>0</v>
      </c>
      <c r="DI137" s="2316">
        <f t="shared" si="425"/>
        <v>99</v>
      </c>
      <c r="DJ137" s="2316">
        <f t="shared" si="426"/>
        <v>106</v>
      </c>
      <c r="DK137" s="2316">
        <f t="shared" si="427"/>
        <v>124</v>
      </c>
      <c r="DL137" s="2316">
        <f t="shared" si="428"/>
        <v>184</v>
      </c>
      <c r="DM137" s="2316">
        <f t="shared" si="429"/>
        <v>163</v>
      </c>
      <c r="DN137" s="2316">
        <f t="shared" si="430"/>
        <v>118</v>
      </c>
      <c r="DO137" s="2316">
        <f t="shared" si="431"/>
        <v>137</v>
      </c>
      <c r="DP137" s="2316">
        <f t="shared" si="432"/>
        <v>135</v>
      </c>
      <c r="DQ137" s="2316">
        <f t="shared" si="433"/>
        <v>137</v>
      </c>
      <c r="DR137" s="2316">
        <f t="shared" si="434"/>
        <v>120</v>
      </c>
      <c r="DS137" s="2316">
        <f t="shared" si="435"/>
        <v>115</v>
      </c>
      <c r="DT137" s="2316">
        <f t="shared" si="436"/>
        <v>167</v>
      </c>
      <c r="DU137" s="2316">
        <f t="shared" si="437"/>
        <v>224</v>
      </c>
      <c r="DV137" s="2316">
        <f t="shared" si="438"/>
        <v>288</v>
      </c>
      <c r="DW137" s="2316">
        <f t="shared" si="439"/>
        <v>330.28137418362576</v>
      </c>
      <c r="DX137" s="2316">
        <f t="shared" si="440"/>
        <v>360.40811934872193</v>
      </c>
      <c r="DY137" s="2316">
        <f t="shared" si="441"/>
        <v>377.43696967570474</v>
      </c>
      <c r="EA137"/>
      <c r="EB137"/>
      <c r="EC137"/>
      <c r="ED137"/>
      <c r="EE137"/>
      <c r="EF137"/>
      <c r="EG137" s="1466"/>
      <c r="EH137" s="1466"/>
      <c r="EI137" s="1466"/>
      <c r="EJ137"/>
      <c r="EK137"/>
      <c r="EL137"/>
      <c r="EM137" s="1466"/>
      <c r="EN137" s="1466"/>
      <c r="EO137" s="1466"/>
      <c r="EP137" s="1466"/>
      <c r="EQ137" s="1466"/>
      <c r="ER137" s="234"/>
    </row>
    <row r="138" spans="1:148" s="1703" customFormat="1" x14ac:dyDescent="0.2">
      <c r="A138" s="2202" t="s">
        <v>207</v>
      </c>
      <c r="B138" s="1380"/>
      <c r="C138" s="1380"/>
      <c r="D138" s="1380"/>
      <c r="E138" s="1380"/>
      <c r="F138" s="1380"/>
      <c r="G138" s="1380"/>
      <c r="H138" s="1380"/>
      <c r="I138" s="1380"/>
      <c r="J138" s="1380"/>
      <c r="K138" s="1380"/>
      <c r="L138" s="1380"/>
      <c r="M138" s="1741"/>
      <c r="N138" s="1380"/>
      <c r="O138" s="1380"/>
      <c r="P138" s="1380"/>
      <c r="Q138" s="1380"/>
      <c r="R138" s="1741"/>
      <c r="S138" s="1380"/>
      <c r="T138" s="1380"/>
      <c r="U138" s="1380"/>
      <c r="V138" s="1380"/>
      <c r="W138" s="1741"/>
      <c r="X138" s="1380"/>
      <c r="Y138" s="1380"/>
      <c r="Z138" s="1380"/>
      <c r="AA138" s="1380"/>
      <c r="AB138" s="1741"/>
      <c r="AC138" s="1380"/>
      <c r="AD138" s="1380"/>
      <c r="AE138" s="1380"/>
      <c r="AF138" s="1380"/>
      <c r="AG138" s="1741">
        <f>AG53</f>
        <v>654</v>
      </c>
      <c r="AH138" s="1380">
        <f>+(AH53+AF53+AE53+AD53)</f>
        <v>701</v>
      </c>
      <c r="AI138" s="1380">
        <f>+(AI53+AH53+AF53+AE53)</f>
        <v>707</v>
      </c>
      <c r="AJ138" s="1380">
        <f>+(AJ53+AI53+AH53+AF53)</f>
        <v>705</v>
      </c>
      <c r="AK138" s="1380">
        <f>+(AK53+AJ53+AI53+AH53)</f>
        <v>735</v>
      </c>
      <c r="AL138" s="1741">
        <f>AL53</f>
        <v>735</v>
      </c>
      <c r="AM138" s="1380">
        <f>+(AM53+AK53+AJ53+AI53)</f>
        <v>637</v>
      </c>
      <c r="AN138" s="1380">
        <f>+(AN53+AM53+AK53+AJ53)</f>
        <v>664</v>
      </c>
      <c r="AO138" s="1380">
        <f>+(AO53+AN53+AM53+AK53)</f>
        <v>666</v>
      </c>
      <c r="AP138" s="1380">
        <f>+(AP53+AO53+AN53+AM53)</f>
        <v>701</v>
      </c>
      <c r="AQ138" s="1741">
        <f>AQ53</f>
        <v>701</v>
      </c>
      <c r="AR138" s="1380">
        <f>+(AR53+AP53+AO53+AN53)</f>
        <v>846</v>
      </c>
      <c r="AS138" s="1380">
        <f>+(AS53+AR53+AP53+AO53)</f>
        <v>921</v>
      </c>
      <c r="AT138" s="1380">
        <f>+(AT53+AS53+AR53+AP53)</f>
        <v>945</v>
      </c>
      <c r="AU138" s="1380">
        <f>+(AU53+AT53+AS53+AR53)</f>
        <v>849</v>
      </c>
      <c r="AV138" s="1741">
        <f>AV53</f>
        <v>849</v>
      </c>
      <c r="AW138" s="1380">
        <f>+(AW53+AU53+AT53+AS53)</f>
        <v>734</v>
      </c>
      <c r="AX138" s="1380">
        <f>+(AX53+AW53+AU53+AT53)</f>
        <v>653</v>
      </c>
      <c r="AY138" s="1380">
        <f>+(AY53+AX53+AW53+AU53)</f>
        <v>613</v>
      </c>
      <c r="AZ138" s="1380">
        <f>+(AZ53+AY53+AX53+AW53)</f>
        <v>497</v>
      </c>
      <c r="BA138" s="1741">
        <f>BA53</f>
        <v>497</v>
      </c>
      <c r="BB138" s="1380">
        <f>+(BB53+AZ53+AY53+AX53)</f>
        <v>444</v>
      </c>
      <c r="BC138" s="1380">
        <f>+(BC53+BB53+AZ53+AY53)</f>
        <v>325</v>
      </c>
      <c r="BD138" s="1380">
        <f>+(BD53+BC53+BB53+AZ53)</f>
        <v>14.199999999999989</v>
      </c>
      <c r="BE138" s="1380">
        <f>+(BE53+BD53+BC53+BB53)</f>
        <v>79.199999999999989</v>
      </c>
      <c r="BF138" s="1741">
        <f>BF53</f>
        <v>79.199999999999989</v>
      </c>
      <c r="BG138" s="1380">
        <f>+(BG53+BE53+BD53+BC53)</f>
        <v>85.199999999999989</v>
      </c>
      <c r="BH138" s="1380">
        <f>+(BH53+BG53+BE53+BD53)</f>
        <v>120.19999999999999</v>
      </c>
      <c r="BI138" s="1380">
        <f>+(BI53+BH53+BG53+BE53)</f>
        <v>376</v>
      </c>
      <c r="BJ138" s="1380">
        <f>+(BJ53+BI53+BH53+BG53)</f>
        <v>386</v>
      </c>
      <c r="BK138" s="1741">
        <f>BK53</f>
        <v>386</v>
      </c>
      <c r="BL138" s="1380">
        <f>+(BL53+BJ53+BI53+BH53)</f>
        <v>400</v>
      </c>
      <c r="BM138" s="1380">
        <f>+(BM53+BL53+BJ53+BI53)</f>
        <v>417</v>
      </c>
      <c r="BN138" s="1380">
        <f>+(BN53+BM53+BL53+BJ53)</f>
        <v>451</v>
      </c>
      <c r="BO138" s="1380">
        <f>+(BO53+BN53+BM53+BL53)</f>
        <v>475</v>
      </c>
      <c r="BP138" s="1741">
        <f>BP53</f>
        <v>475</v>
      </c>
      <c r="BQ138" s="1380">
        <f>+(BQ53+BO53+BN53+BM53)</f>
        <v>491</v>
      </c>
      <c r="BR138" s="1380">
        <f>+(BR53+BQ53+BO53+BN53)</f>
        <v>508</v>
      </c>
      <c r="BS138" s="1380">
        <f>+(BS53+BR53+BQ53+BO53)</f>
        <v>549</v>
      </c>
      <c r="BT138" s="1380">
        <f>+(BT53+BS53+BR53+BQ53)</f>
        <v>571</v>
      </c>
      <c r="BU138" s="1741">
        <f>BU53</f>
        <v>571</v>
      </c>
      <c r="BV138" s="1380">
        <f>+(BV53+BT53+BS53+BR53)</f>
        <v>603</v>
      </c>
      <c r="BW138" s="1380">
        <f>+(BW53+BV53+BT53+BS53)</f>
        <v>639</v>
      </c>
      <c r="BX138" s="1380">
        <f>+(BX53+BW53+BU53+BT53)</f>
        <v>1091</v>
      </c>
      <c r="BY138" s="1380">
        <f>+(BY53+BX53+BW53+BV53)</f>
        <v>626</v>
      </c>
      <c r="BZ138" s="1741">
        <f>BZ53</f>
        <v>626</v>
      </c>
      <c r="CA138" s="1380">
        <f>+(CA53+BY53+BX53+BW53)</f>
        <v>662</v>
      </c>
      <c r="CB138" s="1380">
        <f>+(CB53+CA53+BY53+BX53)</f>
        <v>696</v>
      </c>
      <c r="CC138" s="1380">
        <f>+(CC53+CB53+CA53+BY53)</f>
        <v>728</v>
      </c>
      <c r="CD138" s="1380">
        <f>+(CD53+CC53+CB53+CA53)</f>
        <v>774</v>
      </c>
      <c r="CE138" s="1741">
        <f>CE53</f>
        <v>774</v>
      </c>
      <c r="CF138" s="1380">
        <f>+(CF53+CD53+CC53+CB53)</f>
        <v>809</v>
      </c>
      <c r="CG138" s="1380">
        <f>+(CG53+CF53+CD53+CC53)</f>
        <v>824</v>
      </c>
      <c r="CH138" s="1380">
        <f>+(CH53+CG53+CF53+CD53)</f>
        <v>842</v>
      </c>
      <c r="CI138" s="1380">
        <f>+(CI53+CH53+CG53+CF53)</f>
        <v>847</v>
      </c>
      <c r="CJ138" s="1741">
        <f>CJ53</f>
        <v>847</v>
      </c>
      <c r="CK138" s="1380">
        <f>+(CK53+CI53+CH53+CG53)</f>
        <v>866</v>
      </c>
      <c r="CL138" s="1380">
        <f>+(CL53+CK53+CI53+CH53)</f>
        <v>903</v>
      </c>
      <c r="CM138" s="1380">
        <f>+(CM53+CL53+CK53+CI53)</f>
        <v>928</v>
      </c>
      <c r="CN138" s="1380">
        <f>+(CN53+CM53+CL53+CK53)</f>
        <v>970</v>
      </c>
      <c r="CO138" s="1741">
        <f>CO53</f>
        <v>970</v>
      </c>
      <c r="CP138" s="1380">
        <f>+(CP53+CN53+CM53+CL53)</f>
        <v>1139</v>
      </c>
      <c r="CQ138" s="1380">
        <f>+(CQ53+CP53+CN53+CM53)</f>
        <v>1306</v>
      </c>
      <c r="CR138" s="1380">
        <f>+(CR53+CQ53+CP53+CN53)</f>
        <v>1484</v>
      </c>
      <c r="CS138" s="1380">
        <f>+(CS53+CR53+CQ53+CP53)</f>
        <v>1655</v>
      </c>
      <c r="CT138" s="1741">
        <f>CT53</f>
        <v>1655</v>
      </c>
      <c r="CU138" s="1380">
        <f ca="1">+(CU53+CT53+CS53+CQ53)</f>
        <v>2963.730808265052</v>
      </c>
      <c r="CV138" s="1380">
        <f ca="1">+(CV53+CU53+CT53+CR53)</f>
        <v>3024.2915136222068</v>
      </c>
      <c r="CW138" s="1380">
        <f ca="1">+(CW53+CV53+CU53+CS53)</f>
        <v>1850.6208954592162</v>
      </c>
      <c r="CX138" s="1380">
        <f ca="1">+(CX53+CW53+CV53+CT53)</f>
        <v>3129.6102863168921</v>
      </c>
      <c r="CY138" s="1741">
        <f ca="1">CY53</f>
        <v>1936.3410945819442</v>
      </c>
      <c r="CZ138" s="1741">
        <f ca="1">CZ53</f>
        <v>2184.704842895625</v>
      </c>
      <c r="DA138" s="1741">
        <f ca="1">DA53</f>
        <v>2144.7824715792981</v>
      </c>
      <c r="DB138"/>
      <c r="DC138"/>
      <c r="DD138" s="2315" t="s">
        <v>207</v>
      </c>
      <c r="DE138" s="2316">
        <f t="shared" si="421"/>
        <v>0</v>
      </c>
      <c r="DF138" s="2316">
        <f t="shared" si="422"/>
        <v>0</v>
      </c>
      <c r="DG138" s="2316">
        <f t="shared" si="423"/>
        <v>0</v>
      </c>
      <c r="DH138" s="2316">
        <f t="shared" si="424"/>
        <v>0</v>
      </c>
      <c r="DI138" s="2316">
        <f t="shared" si="425"/>
        <v>654</v>
      </c>
      <c r="DJ138" s="2316">
        <f t="shared" si="426"/>
        <v>735</v>
      </c>
      <c r="DK138" s="2316">
        <f t="shared" si="427"/>
        <v>701</v>
      </c>
      <c r="DL138" s="2316">
        <f t="shared" si="428"/>
        <v>849</v>
      </c>
      <c r="DM138" s="2316">
        <f t="shared" si="429"/>
        <v>497</v>
      </c>
      <c r="DN138" s="2316">
        <f t="shared" si="430"/>
        <v>79.199999999999989</v>
      </c>
      <c r="DO138" s="2316">
        <f t="shared" si="431"/>
        <v>386</v>
      </c>
      <c r="DP138" s="2316">
        <f t="shared" si="432"/>
        <v>475</v>
      </c>
      <c r="DQ138" s="2316">
        <f t="shared" si="433"/>
        <v>571</v>
      </c>
      <c r="DR138" s="2316">
        <f t="shared" si="434"/>
        <v>626</v>
      </c>
      <c r="DS138" s="2316">
        <f t="shared" si="435"/>
        <v>774</v>
      </c>
      <c r="DT138" s="2316">
        <f t="shared" si="436"/>
        <v>847</v>
      </c>
      <c r="DU138" s="2316">
        <f t="shared" si="437"/>
        <v>970</v>
      </c>
      <c r="DV138" s="2316">
        <f t="shared" si="438"/>
        <v>1655</v>
      </c>
      <c r="DW138" s="2316">
        <f t="shared" ca="1" si="439"/>
        <v>1936.3410945819442</v>
      </c>
      <c r="DX138" s="2316">
        <f t="shared" ca="1" si="440"/>
        <v>2184.704842895625</v>
      </c>
      <c r="DY138" s="2316">
        <f t="shared" ca="1" si="441"/>
        <v>2144.7824715792981</v>
      </c>
      <c r="EA138"/>
      <c r="EB138"/>
      <c r="EC138"/>
      <c r="ED138"/>
      <c r="EE138"/>
      <c r="EF138"/>
      <c r="EG138" s="1466"/>
      <c r="EH138" s="1466"/>
      <c r="EI138" s="1466"/>
      <c r="EJ138"/>
      <c r="EK138"/>
      <c r="EL138"/>
      <c r="EM138" s="1466"/>
      <c r="EN138" s="1466"/>
      <c r="EO138" s="1466"/>
      <c r="EP138" s="1466"/>
      <c r="EQ138" s="1466"/>
      <c r="ER138" s="234"/>
    </row>
    <row r="139" spans="1:148" s="1703" customFormat="1" ht="12.75" customHeight="1" x14ac:dyDescent="0.2">
      <c r="A139" s="2202" t="s">
        <v>1741</v>
      </c>
      <c r="B139" s="1378"/>
      <c r="C139" s="1378"/>
      <c r="D139" s="1378"/>
      <c r="E139" s="1378"/>
      <c r="F139" s="1378"/>
      <c r="G139" s="1378"/>
      <c r="H139" s="1378"/>
      <c r="I139" s="1378"/>
      <c r="J139" s="1378"/>
      <c r="K139" s="1378"/>
      <c r="L139" s="1378"/>
      <c r="M139" s="1379"/>
      <c r="N139" s="1378"/>
      <c r="O139" s="1378"/>
      <c r="P139" s="1378"/>
      <c r="Q139" s="1378"/>
      <c r="R139" s="1379"/>
      <c r="S139" s="1378"/>
      <c r="T139" s="1378"/>
      <c r="U139" s="1378"/>
      <c r="V139" s="1378"/>
      <c r="W139" s="1379"/>
      <c r="X139" s="1378"/>
      <c r="Y139" s="1378"/>
      <c r="Z139" s="1378"/>
      <c r="AA139" s="1378"/>
      <c r="AB139" s="1379"/>
      <c r="AC139" s="1378"/>
      <c r="AD139" s="1378"/>
      <c r="AE139" s="1378"/>
      <c r="AF139" s="1378"/>
      <c r="AG139" s="1379">
        <f>AG14</f>
        <v>9778</v>
      </c>
      <c r="AH139" s="1378">
        <f>+(AH14+AF14+AE14+AD14)</f>
        <v>9952</v>
      </c>
      <c r="AI139" s="1378">
        <f>+(AI14+AH14+AF14+AE14)</f>
        <v>10224</v>
      </c>
      <c r="AJ139" s="1378">
        <f>+(AJ14+AI14+AH14+AF14)</f>
        <v>10623</v>
      </c>
      <c r="AK139" s="1378">
        <f>+(AK14+AJ14+AI14+AH14)</f>
        <v>11129</v>
      </c>
      <c r="AL139" s="1379">
        <f>AL14</f>
        <v>11129</v>
      </c>
      <c r="AM139" s="1378">
        <f>+(AM14+AK14+AJ14+AI14)</f>
        <v>11351</v>
      </c>
      <c r="AN139" s="1378">
        <f>+(AN14+AM14+AK14+AJ14)</f>
        <v>11640</v>
      </c>
      <c r="AO139" s="1378">
        <f>+(AO14+AN14+AM14+AK14)</f>
        <v>11721</v>
      </c>
      <c r="AP139" s="1378">
        <f>+(AP14+AO14+AN14+AM14)</f>
        <v>11995</v>
      </c>
      <c r="AQ139" s="1379">
        <f>AQ14</f>
        <v>11995</v>
      </c>
      <c r="AR139" s="1378">
        <f>+(AR14+AP14+AO14+AN14)</f>
        <v>12183</v>
      </c>
      <c r="AS139" s="1378">
        <f>+(AS14+AR14+AP14+AO14)</f>
        <v>12453</v>
      </c>
      <c r="AT139" s="1378">
        <f>+(AT14+AS14+AR14+AP14)</f>
        <v>12699</v>
      </c>
      <c r="AU139" s="1378">
        <f>+(AU14+AT14+AS14+AR14)</f>
        <v>12990</v>
      </c>
      <c r="AV139" s="1379">
        <f>AV14</f>
        <v>12990</v>
      </c>
      <c r="AW139" s="1378">
        <f>+(AW14+AU14+AT14+AS14)</f>
        <v>13101</v>
      </c>
      <c r="AX139" s="1378">
        <f>+(AX14+AW14+AU14+AT14)</f>
        <v>13164</v>
      </c>
      <c r="AY139" s="1378">
        <f>+(AY14+AX14+AW14+AU14)</f>
        <v>13184</v>
      </c>
      <c r="AZ139" s="1378">
        <f>+(AZ14+AY14+AX14+AW14)</f>
        <v>12879</v>
      </c>
      <c r="BA139" s="1379">
        <f>BA14</f>
        <v>12879</v>
      </c>
      <c r="BB139" s="1378">
        <f>+(BB14+AZ14+AY14+AX14)</f>
        <v>12427</v>
      </c>
      <c r="BC139" s="1378">
        <f>+(BC14+BB14+AZ14+AY14)</f>
        <v>11804</v>
      </c>
      <c r="BD139" s="1378">
        <f>+(BD14+BC14+BB14+AZ14)</f>
        <v>11312</v>
      </c>
      <c r="BE139" s="1378">
        <f>+(BE14+BD14+BC14+BB14)</f>
        <v>10906</v>
      </c>
      <c r="BF139" s="1379">
        <f>BF14</f>
        <v>10906</v>
      </c>
      <c r="BG139" s="1378">
        <f>+(BG14+BE14+BD14+BC14)</f>
        <v>10756</v>
      </c>
      <c r="BH139" s="1378">
        <f>+(BH14+BG14+BE14+BD14)</f>
        <v>10677</v>
      </c>
      <c r="BI139" s="1378">
        <f>+(BI14+BH14+BG14+BE14)</f>
        <v>10580</v>
      </c>
      <c r="BJ139" s="1378">
        <f>+(BJ14+BI14+BH14+BG14)</f>
        <v>10474</v>
      </c>
      <c r="BK139" s="1379">
        <f>BK14</f>
        <v>10474</v>
      </c>
      <c r="BL139" s="1378">
        <f>+(BL14+BJ14+BI14+BH14)</f>
        <v>10631</v>
      </c>
      <c r="BM139" s="1378">
        <f>+(BM14+BL14+BJ14+BI14)</f>
        <v>10833</v>
      </c>
      <c r="BN139" s="1378">
        <f>+(BN14+BM14+BL14+BJ14)</f>
        <v>11046</v>
      </c>
      <c r="BO139" s="1378">
        <f>+(BO14+BN14+BM14+BL14)</f>
        <v>11233</v>
      </c>
      <c r="BP139" s="1379">
        <f>BP14</f>
        <v>11233</v>
      </c>
      <c r="BQ139" s="1378">
        <f>+(BQ14+BO14+BN14+BM14)</f>
        <v>11283</v>
      </c>
      <c r="BR139" s="1378">
        <f>+(BR14+BQ14+BO14+BN14)</f>
        <v>11374</v>
      </c>
      <c r="BS139" s="1378">
        <f>+(BS14+BR14+BQ14+BO14)</f>
        <v>11516</v>
      </c>
      <c r="BT139" s="1378">
        <f>+(BT14+BS14+BR14+BQ14)</f>
        <v>11814</v>
      </c>
      <c r="BU139" s="1379">
        <f>BU14</f>
        <v>11814</v>
      </c>
      <c r="BV139" s="1378">
        <f>+(BV14+BT14+BS14+BR14)</f>
        <v>12404</v>
      </c>
      <c r="BW139" s="1378">
        <f>+(BW14+BV14+BT14+BS14)</f>
        <v>12891</v>
      </c>
      <c r="BX139" s="1378">
        <f>+(BX14+BW14+BU14+BT14)</f>
        <v>21994</v>
      </c>
      <c r="BY139" s="1378">
        <f>+(BY14+BX14+BW14+BV14)</f>
        <v>12784</v>
      </c>
      <c r="BZ139" s="1379">
        <f>BZ14</f>
        <v>12784</v>
      </c>
      <c r="CA139" s="1378">
        <f>+(CA14+BY14+BX14+BW14)</f>
        <v>12935</v>
      </c>
      <c r="CB139" s="1378">
        <f>+(CB14+CA14+BY14+BX14)</f>
        <v>13156</v>
      </c>
      <c r="CC139" s="1378">
        <f>+(CC14+CB14+CA14+BY14)</f>
        <v>13456</v>
      </c>
      <c r="CD139" s="1378">
        <f>+(CD14+CC14+CB14+CA14)</f>
        <v>13796</v>
      </c>
      <c r="CE139" s="1379">
        <f>CE14</f>
        <v>13796</v>
      </c>
      <c r="CF139" s="1378">
        <f>+(CF14+CD14+CC14+CB14)</f>
        <v>14016</v>
      </c>
      <c r="CG139" s="1378">
        <f>+(CG14+CF14+CD14+CC14)</f>
        <v>14221</v>
      </c>
      <c r="CH139" s="1378">
        <f>+(CH14+CG14+CF14+CD14)</f>
        <v>14339</v>
      </c>
      <c r="CI139" s="1378">
        <f>+(CI14+CH14+CG14+CF14)</f>
        <v>14486</v>
      </c>
      <c r="CJ139" s="1379">
        <f>CJ14</f>
        <v>14486</v>
      </c>
      <c r="CK139" s="1378">
        <f>+(CK14+CI14+CH14+CG14)</f>
        <v>14745</v>
      </c>
      <c r="CL139" s="1378">
        <f>+(CL14+CK14+CI14+CH14)</f>
        <v>14958</v>
      </c>
      <c r="CM139" s="1378">
        <f>+(CM14+CL14+CK14+CI14)</f>
        <v>15154</v>
      </c>
      <c r="CN139" s="1380">
        <f>+(CN14+CM14+CL14+CK14)</f>
        <v>16904</v>
      </c>
      <c r="CO139" s="1379">
        <f>CO14</f>
        <v>16904</v>
      </c>
      <c r="CP139" s="1378">
        <f>+(CP14+CN14+CM14+CL14)</f>
        <v>18693</v>
      </c>
      <c r="CQ139" s="1378">
        <f>+(CQ14+CP14+CN14+CM14)</f>
        <v>20586</v>
      </c>
      <c r="CR139" s="1378">
        <f>+(CR14+CQ14+CP14+CN14)</f>
        <v>22475</v>
      </c>
      <c r="CS139" s="1380">
        <f>+(CS14+CR14+CQ14+CP14)</f>
        <v>22894</v>
      </c>
      <c r="CT139" s="1379">
        <f>CT14</f>
        <v>22894</v>
      </c>
      <c r="CU139" s="1378">
        <f ca="1">+(CU14+CT14+CS14+CQ14)</f>
        <v>40518.480137502724</v>
      </c>
      <c r="CV139" s="1378">
        <f ca="1">+(CV14+CU14+CT14+CR14)</f>
        <v>40796.064126525256</v>
      </c>
      <c r="CW139" s="1378">
        <f ca="1">+(CW14+CV14+CU14+CS14)</f>
        <v>24239.251063003336</v>
      </c>
      <c r="CX139" s="1380">
        <f ca="1">+(CX14+CW14+CV14+CT14)</f>
        <v>41603.863067126578</v>
      </c>
      <c r="CY139" s="1379">
        <f ca="1">CY14</f>
        <v>24664.343204629302</v>
      </c>
      <c r="CZ139" s="1379">
        <f ca="1">CZ14</f>
        <v>26671.805879917603</v>
      </c>
      <c r="DA139" s="1379">
        <f ca="1">DA14</f>
        <v>26539.37904456475</v>
      </c>
      <c r="DB139"/>
      <c r="DC139"/>
      <c r="DD139" s="2315" t="s">
        <v>1741</v>
      </c>
      <c r="DE139" s="2286">
        <f t="shared" si="421"/>
        <v>0</v>
      </c>
      <c r="DF139" s="2286">
        <f t="shared" si="422"/>
        <v>0</v>
      </c>
      <c r="DG139" s="2286">
        <f t="shared" si="423"/>
        <v>0</v>
      </c>
      <c r="DH139" s="2286">
        <f t="shared" si="424"/>
        <v>0</v>
      </c>
      <c r="DI139" s="2286">
        <f t="shared" si="425"/>
        <v>9778</v>
      </c>
      <c r="DJ139" s="2286">
        <f t="shared" si="426"/>
        <v>11129</v>
      </c>
      <c r="DK139" s="2286">
        <f t="shared" si="427"/>
        <v>11995</v>
      </c>
      <c r="DL139" s="2286">
        <f t="shared" si="428"/>
        <v>12990</v>
      </c>
      <c r="DM139" s="2286">
        <f t="shared" si="429"/>
        <v>12879</v>
      </c>
      <c r="DN139" s="2286">
        <f t="shared" si="430"/>
        <v>10906</v>
      </c>
      <c r="DO139" s="2286">
        <f t="shared" si="431"/>
        <v>10474</v>
      </c>
      <c r="DP139" s="2286">
        <f t="shared" si="432"/>
        <v>11233</v>
      </c>
      <c r="DQ139" s="2286">
        <f t="shared" si="433"/>
        <v>11814</v>
      </c>
      <c r="DR139" s="2286">
        <f t="shared" si="434"/>
        <v>12784</v>
      </c>
      <c r="DS139" s="2286">
        <f t="shared" si="435"/>
        <v>13796</v>
      </c>
      <c r="DT139" s="2286">
        <f t="shared" si="436"/>
        <v>14486</v>
      </c>
      <c r="DU139" s="2286">
        <f t="shared" si="437"/>
        <v>16904</v>
      </c>
      <c r="DV139" s="2286">
        <f t="shared" si="438"/>
        <v>22894</v>
      </c>
      <c r="DW139" s="2286">
        <f t="shared" ca="1" si="439"/>
        <v>24664.343204629302</v>
      </c>
      <c r="DX139" s="2286">
        <f t="shared" ca="1" si="440"/>
        <v>26671.805879917603</v>
      </c>
      <c r="DY139" s="2286">
        <f t="shared" ca="1" si="441"/>
        <v>26539.37904456475</v>
      </c>
      <c r="EA139"/>
      <c r="EB139"/>
      <c r="EC139"/>
      <c r="ED139"/>
      <c r="EE139"/>
      <c r="EF139"/>
      <c r="EG139" s="1466"/>
      <c r="EH139" s="1466"/>
      <c r="EI139" s="1466"/>
      <c r="EJ139"/>
      <c r="EK139"/>
      <c r="EL139"/>
      <c r="EM139" s="1466"/>
      <c r="EN139" s="1466"/>
      <c r="EO139" s="1466"/>
      <c r="EP139" s="1466"/>
      <c r="EQ139" s="1466"/>
      <c r="ER139" s="234"/>
    </row>
    <row r="140" spans="1:148" s="1703" customFormat="1" ht="12.75" customHeight="1" x14ac:dyDescent="0.2">
      <c r="A140" s="2202" t="s">
        <v>1742</v>
      </c>
      <c r="B140" s="1378"/>
      <c r="C140" s="1378"/>
      <c r="D140" s="1378"/>
      <c r="E140" s="1378"/>
      <c r="F140" s="1378"/>
      <c r="G140" s="1378"/>
      <c r="H140" s="1378"/>
      <c r="I140" s="1378"/>
      <c r="J140" s="1378"/>
      <c r="K140" s="1378"/>
      <c r="L140" s="1378"/>
      <c r="M140" s="1379"/>
      <c r="N140" s="1378"/>
      <c r="O140" s="1378"/>
      <c r="P140" s="1378"/>
      <c r="Q140" s="1378"/>
      <c r="R140" s="1379"/>
      <c r="S140" s="1378"/>
      <c r="T140" s="1378"/>
      <c r="U140" s="1378"/>
      <c r="V140" s="1378"/>
      <c r="W140" s="1379"/>
      <c r="X140" s="1378"/>
      <c r="Y140" s="1378"/>
      <c r="Z140" s="1378"/>
      <c r="AA140" s="1378"/>
      <c r="AB140" s="1379"/>
      <c r="AC140" s="1378"/>
      <c r="AD140" s="1378"/>
      <c r="AE140" s="1378"/>
      <c r="AF140" s="1378"/>
      <c r="AG140" s="1379">
        <f>+AVERAGE(AC765:AF765)</f>
        <v>8376.25</v>
      </c>
      <c r="AH140" s="1378">
        <f>+AVERAGE(AG765:AH765)</f>
        <v>8548.5</v>
      </c>
      <c r="AI140" s="1378">
        <f>+AVERAGE(AH765:AI765)</f>
        <v>8446.5</v>
      </c>
      <c r="AJ140" s="1378">
        <f>+AVERAGE(AI765:AJ765)</f>
        <v>8539.5</v>
      </c>
      <c r="AK140" s="1378">
        <f>+AVERAGE(AJ765:AK765)</f>
        <v>8572.5</v>
      </c>
      <c r="AL140" s="1379">
        <f>+AVERAGE(AH765:AK765)</f>
        <v>8509.5</v>
      </c>
      <c r="AM140" s="1378">
        <f>+AVERAGE(AL765:AM765)</f>
        <v>8605</v>
      </c>
      <c r="AN140" s="1378">
        <f>+AVERAGE(AM765:AN765)</f>
        <v>8526.5</v>
      </c>
      <c r="AO140" s="1378">
        <f>+AVERAGE(AN765:AO765)</f>
        <v>8343.5</v>
      </c>
      <c r="AP140" s="1378">
        <f>+AVERAGE(AO765:AP765)</f>
        <v>8451</v>
      </c>
      <c r="AQ140" s="1379">
        <f>+AVERAGE(AM765:AP765)</f>
        <v>8488.75</v>
      </c>
      <c r="AR140" s="1378">
        <f>+AVERAGE(AQ765:AR765)</f>
        <v>8665.5</v>
      </c>
      <c r="AS140" s="1378">
        <f>+AVERAGE(AR765:AS765)</f>
        <v>8831</v>
      </c>
      <c r="AT140" s="1378">
        <f>+AVERAGE(AS765:AT765)</f>
        <v>9014.5</v>
      </c>
      <c r="AU140" s="1378">
        <f>+AVERAGE(AT765:AU765)</f>
        <v>9026</v>
      </c>
      <c r="AV140" s="1379">
        <f>+AVERAGE(AR765:AU765)</f>
        <v>8928.5</v>
      </c>
      <c r="AW140" s="1378">
        <f>+AVERAGE(AV765:AW765)</f>
        <v>9025</v>
      </c>
      <c r="AX140" s="1378">
        <f>+AVERAGE(AW765:AX765)</f>
        <v>9060</v>
      </c>
      <c r="AY140" s="1378">
        <f>+AVERAGE(AX765:AY765)</f>
        <v>9058</v>
      </c>
      <c r="AZ140" s="1378">
        <f>+AVERAGE(AY765:AZ765)</f>
        <v>9003.5</v>
      </c>
      <c r="BA140" s="1379">
        <f>+AVERAGE(AW765:AZ765)</f>
        <v>9031.75</v>
      </c>
      <c r="BB140" s="1378">
        <f>+AVERAGE(BA765:BB765)</f>
        <v>8803.5</v>
      </c>
      <c r="BC140" s="1378">
        <f>+AVERAGE(BB765:BC765)</f>
        <v>8723.5</v>
      </c>
      <c r="BD140" s="1378">
        <f>+AVERAGE(BC765:BD765)</f>
        <v>8505</v>
      </c>
      <c r="BE140" s="1378">
        <f>+AVERAGE(BD765:BE765)</f>
        <v>8100</v>
      </c>
      <c r="BF140" s="1379">
        <f>+AVERAGE(BB765:BE765)</f>
        <v>8411.75</v>
      </c>
      <c r="BG140" s="1378">
        <f>+AVERAGE(BF765:BG765)</f>
        <v>8363</v>
      </c>
      <c r="BH140" s="1378">
        <f>+AVERAGE(BG765:BH765)</f>
        <v>8720</v>
      </c>
      <c r="BI140" s="1378">
        <f>+AVERAGE(BH765:BI765)</f>
        <v>8718</v>
      </c>
      <c r="BJ140" s="1378">
        <f>+AVERAGE(BI765:BJ765)</f>
        <v>8886</v>
      </c>
      <c r="BK140" s="1379">
        <f>+AVERAGE(BG765:BJ765)</f>
        <v>8803</v>
      </c>
      <c r="BL140" s="1378">
        <f>+AVERAGE(BK765:BL765)</f>
        <v>8871.5</v>
      </c>
      <c r="BM140" s="1378">
        <f>+AVERAGE(BL765:BM765)</f>
        <v>8775.5</v>
      </c>
      <c r="BN140" s="1378">
        <f>+AVERAGE(BM765:BN765)</f>
        <v>8628</v>
      </c>
      <c r="BO140" s="1378">
        <f>+AVERAGE(BN765:BO765)</f>
        <v>7187.5</v>
      </c>
      <c r="BP140" s="1379">
        <f>+AVERAGE(BL765:BO765)</f>
        <v>7981.5</v>
      </c>
      <c r="BQ140" s="1378">
        <f>+AVERAGE(BP765:BQ765)</f>
        <v>6040.5</v>
      </c>
      <c r="BR140" s="1378">
        <f>+AVERAGE(BQ765:BR765)</f>
        <v>6089</v>
      </c>
      <c r="BS140" s="1378">
        <f>+AVERAGE(BR765:BS765)</f>
        <v>5936</v>
      </c>
      <c r="BT140" s="1378">
        <f>+AVERAGE(BS765:BT765)</f>
        <v>6103.5</v>
      </c>
      <c r="BU140" s="1379">
        <f>+AVERAGE(BQ765:BT765)</f>
        <v>6096.25</v>
      </c>
      <c r="BV140" s="1378">
        <f>+AVERAGE(BU765:BV765)</f>
        <v>6432.5</v>
      </c>
      <c r="BW140" s="1378">
        <f>+AVERAGE(BV765:BW765)</f>
        <v>6450</v>
      </c>
      <c r="BX140" s="1378">
        <f>+AVERAGE(BW765:BX765)</f>
        <v>6428.5</v>
      </c>
      <c r="BY140" s="1378">
        <f>+AVERAGE(BX765:BY765)</f>
        <v>6637</v>
      </c>
      <c r="BZ140" s="1379">
        <f>+AVERAGE(BV765:BY765)</f>
        <v>6543.5</v>
      </c>
      <c r="CA140" s="1378">
        <f t="shared" ref="CA140:CF140" si="442">+AVERAGE(BZ765:CA765)</f>
        <v>6729.5</v>
      </c>
      <c r="CB140" s="1378">
        <f t="shared" si="442"/>
        <v>6747.5</v>
      </c>
      <c r="CC140" s="1378">
        <f t="shared" si="442"/>
        <v>6838.5</v>
      </c>
      <c r="CD140" s="1378">
        <f t="shared" si="442"/>
        <v>6856</v>
      </c>
      <c r="CE140" s="1379">
        <f t="shared" si="442"/>
        <v>6865</v>
      </c>
      <c r="CF140" s="1378">
        <f t="shared" si="442"/>
        <v>6834</v>
      </c>
      <c r="CG140" s="1378">
        <f t="shared" ref="CG140:CO140" si="443">+AVERAGE(CF765:CG765)</f>
        <v>6562</v>
      </c>
      <c r="CH140" s="1378">
        <f t="shared" si="443"/>
        <v>6237</v>
      </c>
      <c r="CI140" s="1378">
        <f t="shared" si="443"/>
        <v>6117.5</v>
      </c>
      <c r="CJ140" s="1379">
        <f t="shared" si="443"/>
        <v>6082</v>
      </c>
      <c r="CK140" s="1378">
        <f t="shared" si="443"/>
        <v>6101.5</v>
      </c>
      <c r="CL140" s="1378">
        <f t="shared" si="443"/>
        <v>6385.5</v>
      </c>
      <c r="CM140" s="1378">
        <f t="shared" si="443"/>
        <v>15826</v>
      </c>
      <c r="CN140" s="1378">
        <f t="shared" si="443"/>
        <v>24571</v>
      </c>
      <c r="CO140" s="1379">
        <f t="shared" si="443"/>
        <v>24140</v>
      </c>
      <c r="CP140" s="1378">
        <f t="shared" ref="CP140:DA140" si="444">+AVERAGE(CO765:CP765)</f>
        <v>24032.5</v>
      </c>
      <c r="CQ140" s="1378">
        <f t="shared" si="444"/>
        <v>23903</v>
      </c>
      <c r="CR140" s="1378">
        <f t="shared" si="444"/>
        <v>24058.5</v>
      </c>
      <c r="CS140" s="1378">
        <f t="shared" si="444"/>
        <v>23616.7585</v>
      </c>
      <c r="CT140" s="1379">
        <f t="shared" si="444"/>
        <v>22997.517</v>
      </c>
      <c r="CU140" s="1378">
        <f ca="1">+AVERAGE(CT765:CU765)</f>
        <v>23082.64768984681</v>
      </c>
      <c r="CV140" s="1378">
        <f ca="1">+AVERAGE(CU765:CV765)</f>
        <v>23184.392200839098</v>
      </c>
      <c r="CW140" s="1378">
        <f ca="1">+AVERAGE(CV765:CW765)</f>
        <v>23290.030411058942</v>
      </c>
      <c r="CX140" s="1378">
        <f ca="1">+AVERAGE(CW765:CX765)</f>
        <v>23429.285779254395</v>
      </c>
      <c r="CY140" s="1379">
        <f t="shared" ca="1" si="444"/>
        <v>23479.516758375481</v>
      </c>
      <c r="CZ140" s="1379">
        <f t="shared" ca="1" si="444"/>
        <v>23649.807904850728</v>
      </c>
      <c r="DA140" s="1379">
        <f t="shared" ca="1" si="444"/>
        <v>24044.35242158324</v>
      </c>
      <c r="DB140"/>
      <c r="DC140"/>
      <c r="DD140" s="2315" t="s">
        <v>1742</v>
      </c>
      <c r="DE140" s="2286">
        <f t="shared" si="421"/>
        <v>0</v>
      </c>
      <c r="DF140" s="2286">
        <f t="shared" si="422"/>
        <v>0</v>
      </c>
      <c r="DG140" s="2286">
        <f t="shared" si="423"/>
        <v>0</v>
      </c>
      <c r="DH140" s="2286">
        <f t="shared" si="424"/>
        <v>0</v>
      </c>
      <c r="DI140" s="2286">
        <f t="shared" si="425"/>
        <v>8376.25</v>
      </c>
      <c r="DJ140" s="2286">
        <f t="shared" si="426"/>
        <v>8509.5</v>
      </c>
      <c r="DK140" s="2286">
        <f t="shared" si="427"/>
        <v>8488.75</v>
      </c>
      <c r="DL140" s="2286">
        <f t="shared" si="428"/>
        <v>8928.5</v>
      </c>
      <c r="DM140" s="2286">
        <f t="shared" si="429"/>
        <v>9031.75</v>
      </c>
      <c r="DN140" s="2286">
        <f t="shared" si="430"/>
        <v>8411.75</v>
      </c>
      <c r="DO140" s="2286">
        <f t="shared" si="431"/>
        <v>8803</v>
      </c>
      <c r="DP140" s="2286">
        <f t="shared" si="432"/>
        <v>7981.5</v>
      </c>
      <c r="DQ140" s="2286">
        <f t="shared" si="433"/>
        <v>6096.25</v>
      </c>
      <c r="DR140" s="2286">
        <f t="shared" si="434"/>
        <v>6543.5</v>
      </c>
      <c r="DS140" s="2286">
        <f t="shared" si="435"/>
        <v>6865</v>
      </c>
      <c r="DT140" s="2286">
        <f t="shared" si="436"/>
        <v>6082</v>
      </c>
      <c r="DU140" s="2286">
        <f t="shared" si="437"/>
        <v>24140</v>
      </c>
      <c r="DV140" s="2286">
        <f t="shared" si="438"/>
        <v>22997.517</v>
      </c>
      <c r="DW140" s="2286">
        <f t="shared" ca="1" si="439"/>
        <v>23479.516758375481</v>
      </c>
      <c r="DX140" s="2286">
        <f t="shared" ca="1" si="440"/>
        <v>23649.807904850728</v>
      </c>
      <c r="DY140" s="2286">
        <f t="shared" ca="1" si="441"/>
        <v>24044.35242158324</v>
      </c>
      <c r="EA140"/>
      <c r="EB140"/>
      <c r="EC140"/>
      <c r="ED140"/>
      <c r="EE140"/>
      <c r="EF140"/>
      <c r="EG140" s="1466"/>
      <c r="EH140" s="1466"/>
      <c r="EI140" s="1466"/>
      <c r="EJ140"/>
      <c r="EK140"/>
      <c r="EL140"/>
      <c r="EM140" s="1466"/>
      <c r="EN140" s="1466"/>
      <c r="EO140" s="1466"/>
      <c r="EP140" s="1466"/>
      <c r="EQ140" s="1466"/>
      <c r="ER140" s="234"/>
    </row>
    <row r="141" spans="1:148" s="1703" customFormat="1" ht="12.75" customHeight="1" x14ac:dyDescent="0.2">
      <c r="A141" s="2198" t="s">
        <v>1743</v>
      </c>
      <c r="B141" s="1378"/>
      <c r="C141" s="1378"/>
      <c r="D141" s="1378"/>
      <c r="E141" s="1378"/>
      <c r="F141" s="1378"/>
      <c r="G141" s="1378"/>
      <c r="H141" s="1378"/>
      <c r="I141" s="1378"/>
      <c r="J141" s="1378"/>
      <c r="K141" s="1378"/>
      <c r="L141" s="1378"/>
      <c r="M141" s="1379"/>
      <c r="N141" s="1378"/>
      <c r="O141" s="1378"/>
      <c r="P141" s="1378"/>
      <c r="Q141" s="1378"/>
      <c r="R141" s="1379"/>
      <c r="S141" s="1378"/>
      <c r="T141" s="1378"/>
      <c r="U141" s="1378"/>
      <c r="V141" s="1378"/>
      <c r="W141" s="1379"/>
      <c r="X141" s="1378"/>
      <c r="Y141" s="1378"/>
      <c r="Z141" s="1378"/>
      <c r="AA141" s="1378"/>
      <c r="AB141" s="1379"/>
      <c r="AC141" s="1378"/>
      <c r="AD141" s="1378"/>
      <c r="AE141" s="1378"/>
      <c r="AF141" s="1378"/>
      <c r="AG141" s="1379">
        <f>+AVERAGE(AC784:AF784)</f>
        <v>3839.25</v>
      </c>
      <c r="AH141" s="1378">
        <f>AVERAGE(AG784:AH784)</f>
        <v>4006.5</v>
      </c>
      <c r="AI141" s="1378">
        <f>AVERAGE(AH784:AI784)</f>
        <v>3792.5</v>
      </c>
      <c r="AJ141" s="1378">
        <f>AVERAGE(AI784:AJ784)</f>
        <v>3478</v>
      </c>
      <c r="AK141" s="1378">
        <f>AVERAGE(AJ784:AK784)</f>
        <v>3277.5</v>
      </c>
      <c r="AL141" s="1379">
        <f>+AVERAGE(AH784:AK784)</f>
        <v>3535</v>
      </c>
      <c r="AM141" s="1378">
        <f>AVERAGE(AL784:AM784)</f>
        <v>3148</v>
      </c>
      <c r="AN141" s="1378">
        <f>AVERAGE(AM784:AN784)</f>
        <v>3001.5</v>
      </c>
      <c r="AO141" s="1378">
        <f>AVERAGE(AN784:AO784)</f>
        <v>2830.5</v>
      </c>
      <c r="AP141" s="1378">
        <f>AVERAGE(AO784:AP784)</f>
        <v>2660</v>
      </c>
      <c r="AQ141" s="1379">
        <f>+AVERAGE(AM784:AP784)</f>
        <v>2830.75</v>
      </c>
      <c r="AR141" s="1378">
        <f>AVERAGE(AQ784:AR784)</f>
        <v>2420</v>
      </c>
      <c r="AS141" s="1378">
        <f>AVERAGE(AR784:AS784)</f>
        <v>2096.5</v>
      </c>
      <c r="AT141" s="1378">
        <f>AVERAGE(AS784:AT784)</f>
        <v>1811</v>
      </c>
      <c r="AU141" s="1378">
        <f>AVERAGE(AT784:AU784)</f>
        <v>1540</v>
      </c>
      <c r="AV141" s="1379">
        <f>+AVERAGE(AR784:AU784)</f>
        <v>1818.25</v>
      </c>
      <c r="AW141" s="1378">
        <f>AVERAGE(AV784:AW784)</f>
        <v>1374.5</v>
      </c>
      <c r="AX141" s="1378">
        <f>AVERAGE(AW784:AX784)</f>
        <v>1377.5</v>
      </c>
      <c r="AY141" s="1378">
        <f>AVERAGE(AX784:AY784)</f>
        <v>1431.5</v>
      </c>
      <c r="AZ141" s="1378">
        <f>AVERAGE(AY784:AZ784)</f>
        <v>1404</v>
      </c>
      <c r="BA141" s="1379">
        <f>+AVERAGE(AW784:AZ784)</f>
        <v>1390.75</v>
      </c>
      <c r="BB141" s="1378">
        <f>AVERAGE(BA784:BB784)</f>
        <v>1358.5</v>
      </c>
      <c r="BC141" s="1378">
        <f>AVERAGE(BB784:BC784)</f>
        <v>1378</v>
      </c>
      <c r="BD141" s="1378">
        <f>AVERAGE(BC784:BD784)</f>
        <v>1202</v>
      </c>
      <c r="BE141" s="1378">
        <f>AVERAGE(BD784:BE784)</f>
        <v>1063.5</v>
      </c>
      <c r="BF141" s="1379">
        <f>+AVERAGE(BB784:BE784)</f>
        <v>1220.75</v>
      </c>
      <c r="BG141" s="1378">
        <f>AVERAGE(BF784:BG784)</f>
        <v>1106</v>
      </c>
      <c r="BH141" s="1378">
        <f>AVERAGE(BG784:BH784)</f>
        <v>1147</v>
      </c>
      <c r="BI141" s="1378">
        <f>AVERAGE(BH784:BI784)</f>
        <v>1289.5</v>
      </c>
      <c r="BJ141" s="1378">
        <f>AVERAGE(BI784:BJ784)</f>
        <v>1470</v>
      </c>
      <c r="BK141" s="1379">
        <f>+AVERAGE(BG784:BJ784)</f>
        <v>1308.5</v>
      </c>
      <c r="BL141" s="1378">
        <f>AVERAGE(BK784:BL784)</f>
        <v>1485.5</v>
      </c>
      <c r="BM141" s="1378">
        <f>AVERAGE(BL784:BM784)</f>
        <v>1261</v>
      </c>
      <c r="BN141" s="1378">
        <f>AVERAGE(BM784:BN784)</f>
        <v>783</v>
      </c>
      <c r="BO141" s="1378">
        <f>AVERAGE(BN784:BO784)</f>
        <v>-175.5</v>
      </c>
      <c r="BP141" s="1379">
        <f>+AVERAGE(BL784:BO784)</f>
        <v>542.75</v>
      </c>
      <c r="BQ141" s="1378">
        <f>AVERAGE(BP784:BQ784)</f>
        <v>-814.5</v>
      </c>
      <c r="BR141" s="1378">
        <f>AVERAGE(BQ784:BR784)</f>
        <v>-986</v>
      </c>
      <c r="BS141" s="1378">
        <f>AVERAGE(BR784:BS784)</f>
        <v>-1210</v>
      </c>
      <c r="BT141" s="1378">
        <f>AVERAGE(BS784:BT784)</f>
        <v>-1290.5</v>
      </c>
      <c r="BU141" s="1379">
        <f>+AVERAGE(BQ784:BT784)</f>
        <v>-1138.25</v>
      </c>
      <c r="BV141" s="1378">
        <f>AVERAGE(BU784:BV784)</f>
        <v>-1331</v>
      </c>
      <c r="BW141" s="1378">
        <f>AVERAGE(BV784:BW784)</f>
        <v>-1435</v>
      </c>
      <c r="BX141" s="1378">
        <f>AVERAGE(BW784:BX784)</f>
        <v>-1451</v>
      </c>
      <c r="BY141" s="1378">
        <f>AVERAGE(BX784:BY784)</f>
        <v>-1412</v>
      </c>
      <c r="BZ141" s="1379">
        <f>+AVERAGE(BV784:BY784)</f>
        <v>-1423.5</v>
      </c>
      <c r="CA141" s="1378">
        <f t="shared" ref="CA141:CF141" si="445">AVERAGE(BZ784:CA784)</f>
        <v>-1520</v>
      </c>
      <c r="CB141" s="1378">
        <f t="shared" si="445"/>
        <v>-1672.5</v>
      </c>
      <c r="CC141" s="1378">
        <f t="shared" si="445"/>
        <v>-1781</v>
      </c>
      <c r="CD141" s="1378">
        <f t="shared" si="445"/>
        <v>-2021</v>
      </c>
      <c r="CE141" s="1379">
        <f t="shared" si="445"/>
        <v>-2200</v>
      </c>
      <c r="CF141" s="1378">
        <f t="shared" si="445"/>
        <v>-2368.5</v>
      </c>
      <c r="CG141" s="1378">
        <f t="shared" ref="CG141:CN141" si="446">AVERAGE(CF784:CG784)</f>
        <v>-2785</v>
      </c>
      <c r="CH141" s="1378">
        <f t="shared" si="446"/>
        <v>-3311</v>
      </c>
      <c r="CI141" s="1378">
        <f t="shared" si="446"/>
        <v>-3589.5</v>
      </c>
      <c r="CJ141" s="1379">
        <f t="shared" si="446"/>
        <v>-3590</v>
      </c>
      <c r="CK141" s="1378">
        <f t="shared" si="446"/>
        <v>-3628.5</v>
      </c>
      <c r="CL141" s="1378">
        <f t="shared" si="446"/>
        <v>-3564.5</v>
      </c>
      <c r="CM141" s="1378">
        <f t="shared" si="446"/>
        <v>1189.5</v>
      </c>
      <c r="CN141" s="1378">
        <f t="shared" si="446"/>
        <v>5599</v>
      </c>
      <c r="CO141" s="1379">
        <f>AVERAGE(CJ784,CO784)</f>
        <v>883.5</v>
      </c>
      <c r="CP141" s="1378">
        <f>AVERAGE(CO784:CP784)</f>
        <v>5262.5</v>
      </c>
      <c r="CQ141" s="1378">
        <f>AVERAGE(CP784:CQ784)</f>
        <v>5034.5</v>
      </c>
      <c r="CR141" s="1378">
        <f>AVERAGE(CQ784:CR784)</f>
        <v>4706.5</v>
      </c>
      <c r="CS141" s="1378">
        <f>AVERAGE(CR784:CS784)</f>
        <v>4089.7584999999999</v>
      </c>
      <c r="CT141" s="1379">
        <f>AVERAGE(CO784,CT784)</f>
        <v>4512.2584999999999</v>
      </c>
      <c r="CU141" s="1378">
        <f ca="1">AVERAGE(CT784:CU784)</f>
        <v>3588.6476898468118</v>
      </c>
      <c r="CV141" s="1378">
        <f ca="1">AVERAGE(CU784:CV784)</f>
        <v>3441.8922008391</v>
      </c>
      <c r="CW141" s="1378">
        <f ca="1">AVERAGE(CV784:CW784)</f>
        <v>3299.0304110589404</v>
      </c>
      <c r="CX141" s="1378">
        <f ca="1">AVERAGE(CW784:CX784)</f>
        <v>3160.2857792543928</v>
      </c>
      <c r="CY141" s="1379">
        <f ca="1">AVERAGE(CT784,CY784)</f>
        <v>3382.0168791877404</v>
      </c>
      <c r="CZ141" s="1379">
        <f ca="1">AVERAGE(CY784:CZ784)</f>
        <v>2685.8079048507279</v>
      </c>
      <c r="DA141" s="1379">
        <f ca="1">AVERAGE(CZ784:DA784)</f>
        <v>2225.3524215832404</v>
      </c>
      <c r="DB141"/>
      <c r="DC141"/>
      <c r="DD141" s="2317" t="s">
        <v>1743</v>
      </c>
      <c r="DE141" s="2286">
        <f t="shared" si="421"/>
        <v>0</v>
      </c>
      <c r="DF141" s="2286">
        <f t="shared" si="422"/>
        <v>0</v>
      </c>
      <c r="DG141" s="2286">
        <f t="shared" si="423"/>
        <v>0</v>
      </c>
      <c r="DH141" s="2286">
        <f t="shared" si="424"/>
        <v>0</v>
      </c>
      <c r="DI141" s="2286">
        <f t="shared" si="425"/>
        <v>3839.25</v>
      </c>
      <c r="DJ141" s="2286">
        <f t="shared" si="426"/>
        <v>3535</v>
      </c>
      <c r="DK141" s="2286">
        <f t="shared" si="427"/>
        <v>2830.75</v>
      </c>
      <c r="DL141" s="2286">
        <f t="shared" si="428"/>
        <v>1818.25</v>
      </c>
      <c r="DM141" s="2286">
        <f t="shared" si="429"/>
        <v>1390.75</v>
      </c>
      <c r="DN141" s="2286">
        <f t="shared" si="430"/>
        <v>1220.75</v>
      </c>
      <c r="DO141" s="2286">
        <f t="shared" si="431"/>
        <v>1308.5</v>
      </c>
      <c r="DP141" s="2286">
        <f t="shared" si="432"/>
        <v>542.75</v>
      </c>
      <c r="DQ141" s="2286">
        <f t="shared" si="433"/>
        <v>-1138.25</v>
      </c>
      <c r="DR141" s="2286">
        <f t="shared" si="434"/>
        <v>-1423.5</v>
      </c>
      <c r="DS141" s="2286">
        <f t="shared" si="435"/>
        <v>-2200</v>
      </c>
      <c r="DT141" s="2286">
        <f t="shared" si="436"/>
        <v>-3590</v>
      </c>
      <c r="DU141" s="2286">
        <f t="shared" si="437"/>
        <v>883.5</v>
      </c>
      <c r="DV141" s="2286">
        <f t="shared" si="438"/>
        <v>4512.2584999999999</v>
      </c>
      <c r="DW141" s="2286">
        <f t="shared" ca="1" si="439"/>
        <v>3382.0168791877404</v>
      </c>
      <c r="DX141" s="2286">
        <f t="shared" ca="1" si="440"/>
        <v>2685.8079048507279</v>
      </c>
      <c r="DY141" s="2286">
        <f t="shared" ca="1" si="441"/>
        <v>2225.3524215832404</v>
      </c>
      <c r="EA141"/>
      <c r="EB141"/>
      <c r="EC141"/>
      <c r="ED141"/>
      <c r="EE141"/>
      <c r="EF141"/>
      <c r="EG141" s="1466"/>
      <c r="EH141" s="1466"/>
      <c r="EI141" s="1466"/>
      <c r="EJ141"/>
      <c r="EK141"/>
      <c r="EL141"/>
      <c r="EM141" s="1466"/>
      <c r="EN141" s="1466"/>
      <c r="EO141" s="1466"/>
      <c r="EP141" s="1466"/>
      <c r="EQ141" s="1466"/>
      <c r="ER141" s="234"/>
    </row>
    <row r="142" spans="1:148" s="923" customFormat="1" ht="12.75" customHeight="1" x14ac:dyDescent="0.2">
      <c r="A142" s="1755"/>
      <c r="B142" s="220"/>
      <c r="C142" s="220"/>
      <c r="D142" s="220"/>
      <c r="E142" s="220"/>
      <c r="F142" s="220"/>
      <c r="G142" s="220"/>
      <c r="H142" s="220"/>
      <c r="I142" s="220"/>
      <c r="J142" s="220"/>
      <c r="K142" s="220"/>
      <c r="L142" s="220"/>
      <c r="M142" s="965"/>
      <c r="N142" s="220"/>
      <c r="O142" s="220"/>
      <c r="P142" s="220"/>
      <c r="Q142" s="220"/>
      <c r="R142" s="965"/>
      <c r="S142" s="220"/>
      <c r="T142" s="220"/>
      <c r="U142" s="220"/>
      <c r="V142" s="220"/>
      <c r="W142" s="965"/>
      <c r="X142" s="220"/>
      <c r="Y142" s="220"/>
      <c r="Z142" s="220"/>
      <c r="AA142" s="220"/>
      <c r="AB142" s="965"/>
      <c r="AC142" s="220"/>
      <c r="AD142" s="220"/>
      <c r="AE142" s="220"/>
      <c r="AF142" s="220"/>
      <c r="AG142" s="965"/>
      <c r="AH142" s="220"/>
      <c r="AI142" s="220"/>
      <c r="AJ142" s="220"/>
      <c r="AK142" s="220"/>
      <c r="AL142" s="965"/>
      <c r="AM142" s="220"/>
      <c r="AN142" s="220"/>
      <c r="AO142" s="220"/>
      <c r="AP142" s="220"/>
      <c r="AQ142" s="965"/>
      <c r="AR142" s="220"/>
      <c r="AS142" s="220"/>
      <c r="AT142" s="220"/>
      <c r="AU142" s="220"/>
      <c r="AV142" s="965"/>
      <c r="AW142" s="220"/>
      <c r="AX142" s="220"/>
      <c r="AY142" s="220"/>
      <c r="AZ142" s="220"/>
      <c r="BA142" s="965"/>
      <c r="BB142" s="220"/>
      <c r="BC142" s="220"/>
      <c r="BD142" s="220"/>
      <c r="BE142" s="220"/>
      <c r="BF142" s="965"/>
      <c r="BG142" s="220"/>
      <c r="BH142" s="220"/>
      <c r="BI142" s="220"/>
      <c r="BJ142" s="220"/>
      <c r="BK142" s="965"/>
      <c r="BL142" s="220"/>
      <c r="BM142" s="220"/>
      <c r="BN142" s="220"/>
      <c r="BO142" s="220"/>
      <c r="BP142" s="965"/>
      <c r="BQ142" s="220"/>
      <c r="BR142" s="220"/>
      <c r="BS142" s="220"/>
      <c r="BT142" s="220"/>
      <c r="BU142" s="965"/>
      <c r="BV142" s="220"/>
      <c r="BW142" s="220"/>
      <c r="BX142" s="220"/>
      <c r="BY142" s="220"/>
      <c r="BZ142" s="965"/>
      <c r="CA142" s="220"/>
      <c r="CB142" s="220"/>
      <c r="CC142" s="220"/>
      <c r="CD142" s="1792"/>
      <c r="CE142" s="965"/>
      <c r="CF142" s="220"/>
      <c r="CG142" s="220"/>
      <c r="CH142" s="220"/>
      <c r="CI142" s="1792"/>
      <c r="CJ142" s="965"/>
      <c r="CK142" s="220"/>
      <c r="CL142" s="220"/>
      <c r="CM142" s="220"/>
      <c r="CN142" s="1792"/>
      <c r="CO142" s="965"/>
      <c r="CP142" s="220"/>
      <c r="CQ142" s="220"/>
      <c r="CR142" s="220"/>
      <c r="CS142" s="220"/>
      <c r="CT142" s="965"/>
      <c r="CU142" s="220"/>
      <c r="CV142" s="220"/>
      <c r="CW142" s="220"/>
      <c r="CX142" s="220"/>
      <c r="CY142" s="965"/>
      <c r="CZ142" s="965"/>
      <c r="DA142" s="965"/>
      <c r="DB142"/>
      <c r="DC142"/>
      <c r="DD142" s="2312"/>
      <c r="DE142" s="2284"/>
      <c r="DF142" s="2284"/>
      <c r="DG142" s="2284"/>
      <c r="DH142" s="2284"/>
      <c r="DI142" s="2284"/>
      <c r="DJ142" s="2284"/>
      <c r="DK142" s="2284"/>
      <c r="DL142" s="2284"/>
      <c r="DM142" s="2284"/>
      <c r="DN142" s="2284"/>
      <c r="DO142" s="2284"/>
      <c r="DP142" s="2284"/>
      <c r="DQ142" s="2284"/>
      <c r="DR142" s="2284"/>
      <c r="DS142" s="2284"/>
      <c r="DT142" s="2284"/>
      <c r="DU142" s="2284"/>
      <c r="DV142" s="2284"/>
      <c r="DW142" s="2284"/>
      <c r="DX142" s="2284"/>
      <c r="DY142" s="2284"/>
      <c r="EA142"/>
      <c r="EB142"/>
      <c r="EC142"/>
      <c r="ED142"/>
      <c r="EE142"/>
      <c r="EF142"/>
      <c r="EG142" s="855"/>
      <c r="EH142" s="855"/>
      <c r="EI142" s="855"/>
      <c r="EJ142"/>
      <c r="EK142"/>
      <c r="EL142"/>
      <c r="EM142" s="855"/>
      <c r="EN142" s="855"/>
      <c r="EO142" s="855"/>
      <c r="EP142" s="855"/>
      <c r="EQ142" s="855"/>
      <c r="ER142" s="234"/>
    </row>
    <row r="143" spans="1:148" s="923" customFormat="1" ht="12.75" customHeight="1" x14ac:dyDescent="0.2">
      <c r="A143" s="2197" t="s">
        <v>1744</v>
      </c>
      <c r="B143" s="220"/>
      <c r="C143" s="220"/>
      <c r="D143" s="220"/>
      <c r="E143" s="220"/>
      <c r="F143" s="220"/>
      <c r="G143" s="220"/>
      <c r="H143" s="220"/>
      <c r="I143" s="220"/>
      <c r="J143" s="220"/>
      <c r="K143" s="220"/>
      <c r="L143" s="220"/>
      <c r="M143" s="965"/>
      <c r="N143" s="220"/>
      <c r="O143" s="220"/>
      <c r="P143" s="220"/>
      <c r="Q143" s="220"/>
      <c r="R143" s="965"/>
      <c r="S143" s="220"/>
      <c r="T143" s="220"/>
      <c r="U143" s="220"/>
      <c r="V143" s="220"/>
      <c r="W143" s="965"/>
      <c r="X143" s="220"/>
      <c r="Y143" s="220"/>
      <c r="Z143" s="220"/>
      <c r="AA143" s="220"/>
      <c r="AB143" s="965"/>
      <c r="AC143" s="220"/>
      <c r="AD143" s="220"/>
      <c r="AE143" s="220"/>
      <c r="AF143" s="220"/>
      <c r="AG143" s="965"/>
      <c r="AH143" s="220"/>
      <c r="AI143" s="220"/>
      <c r="AJ143" s="220"/>
      <c r="AK143" s="220"/>
      <c r="AL143" s="965"/>
      <c r="AM143" s="220"/>
      <c r="AN143" s="220"/>
      <c r="AO143" s="220"/>
      <c r="AP143" s="220"/>
      <c r="AQ143" s="965"/>
      <c r="AR143" s="220"/>
      <c r="AS143" s="220"/>
      <c r="AT143" s="220"/>
      <c r="AU143" s="220"/>
      <c r="AV143" s="965"/>
      <c r="AW143" s="220"/>
      <c r="AX143" s="220"/>
      <c r="AY143" s="220"/>
      <c r="AZ143" s="220"/>
      <c r="BA143" s="965"/>
      <c r="BB143" s="220"/>
      <c r="BC143" s="220"/>
      <c r="BD143" s="220"/>
      <c r="BE143" s="220"/>
      <c r="BF143" s="965"/>
      <c r="BG143" s="220"/>
      <c r="BH143" s="220"/>
      <c r="BI143" s="220"/>
      <c r="BJ143" s="220"/>
      <c r="BK143" s="965"/>
      <c r="BL143" s="220"/>
      <c r="BM143" s="220"/>
      <c r="BN143" s="220"/>
      <c r="BO143" s="220"/>
      <c r="BP143" s="965"/>
      <c r="BQ143" s="220"/>
      <c r="BR143" s="220"/>
      <c r="BS143" s="220"/>
      <c r="BT143" s="220"/>
      <c r="BU143" s="965"/>
      <c r="BV143" s="220"/>
      <c r="BW143" s="220"/>
      <c r="BX143" s="220"/>
      <c r="BY143" s="220"/>
      <c r="BZ143" s="965"/>
      <c r="CA143" s="220"/>
      <c r="CB143" s="220"/>
      <c r="CC143" s="220"/>
      <c r="CD143" s="1792"/>
      <c r="CE143" s="965"/>
      <c r="CF143" s="220"/>
      <c r="CG143" s="220"/>
      <c r="CH143" s="220"/>
      <c r="CI143" s="1792"/>
      <c r="CJ143" s="965"/>
      <c r="CK143" s="220"/>
      <c r="CL143" s="220"/>
      <c r="CM143" s="220"/>
      <c r="CN143" s="1792"/>
      <c r="CO143" s="965"/>
      <c r="CP143" s="220"/>
      <c r="CQ143" s="220"/>
      <c r="CR143" s="220"/>
      <c r="CS143" s="220"/>
      <c r="CT143" s="965"/>
      <c r="CU143" s="220"/>
      <c r="CV143" s="220"/>
      <c r="CW143" s="220"/>
      <c r="CX143" s="220"/>
      <c r="CY143" s="965"/>
      <c r="CZ143" s="965"/>
      <c r="DA143" s="965"/>
      <c r="DB143"/>
      <c r="DC143"/>
      <c r="DD143" s="2197" t="s">
        <v>1744</v>
      </c>
      <c r="DE143" s="2284"/>
      <c r="DF143" s="2284"/>
      <c r="DG143" s="2284"/>
      <c r="DH143" s="2284"/>
      <c r="DI143" s="2284"/>
      <c r="DJ143" s="2284"/>
      <c r="DK143" s="2284"/>
      <c r="DL143" s="2284"/>
      <c r="DM143" s="2284"/>
      <c r="DN143" s="2284"/>
      <c r="DO143" s="2284"/>
      <c r="DP143" s="2284"/>
      <c r="DQ143" s="2284"/>
      <c r="DR143" s="2284"/>
      <c r="DS143" s="2284"/>
      <c r="DT143" s="2284"/>
      <c r="DU143" s="2284"/>
      <c r="DV143" s="2284"/>
      <c r="DW143" s="2284"/>
      <c r="DX143" s="2284"/>
      <c r="DY143" s="2284"/>
      <c r="EA143"/>
      <c r="EB143"/>
      <c r="EC143"/>
      <c r="ED143"/>
      <c r="EE143"/>
      <c r="EF143"/>
      <c r="EG143" s="855"/>
      <c r="EH143" s="855"/>
      <c r="EI143" s="855"/>
      <c r="EJ143"/>
      <c r="EK143"/>
      <c r="EL143"/>
      <c r="EM143" s="855"/>
      <c r="EN143" s="855"/>
      <c r="EO143" s="855"/>
      <c r="EP143" s="855"/>
      <c r="EQ143" s="855"/>
      <c r="ER143" s="234"/>
    </row>
    <row r="144" spans="1:148" s="1193" customFormat="1" ht="12.75" customHeight="1" x14ac:dyDescent="0.2">
      <c r="A144" s="2199" t="s">
        <v>208</v>
      </c>
      <c r="B144" s="1873"/>
      <c r="C144" s="1873"/>
      <c r="D144" s="1873"/>
      <c r="E144" s="1873"/>
      <c r="F144" s="1873"/>
      <c r="G144" s="1873"/>
      <c r="H144" s="1873"/>
      <c r="I144" s="1873"/>
      <c r="J144" s="1873"/>
      <c r="K144" s="1873"/>
      <c r="L144" s="1873"/>
      <c r="M144" s="2200"/>
      <c r="N144" s="1873"/>
      <c r="O144" s="1873"/>
      <c r="P144" s="1873"/>
      <c r="Q144" s="1873"/>
      <c r="R144" s="2200"/>
      <c r="S144" s="1873"/>
      <c r="T144" s="1873"/>
      <c r="U144" s="1873"/>
      <c r="V144" s="1873"/>
      <c r="W144" s="2200"/>
      <c r="X144" s="1873"/>
      <c r="Y144" s="1873"/>
      <c r="Z144" s="1873"/>
      <c r="AA144" s="1873"/>
      <c r="AB144" s="2200"/>
      <c r="AC144" s="1873"/>
      <c r="AD144" s="1873"/>
      <c r="AE144" s="1873"/>
      <c r="AF144" s="1873"/>
      <c r="AG144" s="2200">
        <f>AG138/AG139</f>
        <v>6.6884843526283488E-2</v>
      </c>
      <c r="AH144" s="1873">
        <f t="shared" ref="AH144:CG144" si="447">AH138/AH139</f>
        <v>7.0438102893890672E-2</v>
      </c>
      <c r="AI144" s="1873">
        <f t="shared" si="447"/>
        <v>6.9151017214397495E-2</v>
      </c>
      <c r="AJ144" s="1873">
        <f t="shared" si="447"/>
        <v>6.6365433493363463E-2</v>
      </c>
      <c r="AK144" s="1873">
        <f t="shared" si="447"/>
        <v>6.6043669691796203E-2</v>
      </c>
      <c r="AL144" s="2200">
        <f t="shared" si="447"/>
        <v>6.6043669691796203E-2</v>
      </c>
      <c r="AM144" s="1873">
        <f t="shared" si="447"/>
        <v>5.611840366487534E-2</v>
      </c>
      <c r="AN144" s="1873">
        <f t="shared" si="447"/>
        <v>5.7044673539518899E-2</v>
      </c>
      <c r="AO144" s="1873">
        <f t="shared" si="447"/>
        <v>5.6821090350652671E-2</v>
      </c>
      <c r="AP144" s="1873">
        <f t="shared" si="447"/>
        <v>5.8441017090454357E-2</v>
      </c>
      <c r="AQ144" s="2200">
        <f t="shared" si="447"/>
        <v>5.8441017090454357E-2</v>
      </c>
      <c r="AR144" s="1873">
        <f t="shared" si="447"/>
        <v>6.9441024378231964E-2</v>
      </c>
      <c r="AS144" s="1873">
        <f t="shared" si="447"/>
        <v>7.3958082389785587E-2</v>
      </c>
      <c r="AT144" s="1873">
        <f t="shared" si="447"/>
        <v>7.44153082919915E-2</v>
      </c>
      <c r="AU144" s="1873">
        <f t="shared" si="447"/>
        <v>6.5357967667436484E-2</v>
      </c>
      <c r="AV144" s="2200">
        <f t="shared" si="447"/>
        <v>6.5357967667436484E-2</v>
      </c>
      <c r="AW144" s="1873">
        <f t="shared" si="447"/>
        <v>5.602625753759255E-2</v>
      </c>
      <c r="AX144" s="1873">
        <f t="shared" si="447"/>
        <v>4.9604983287754485E-2</v>
      </c>
      <c r="AY144" s="1873">
        <f t="shared" si="447"/>
        <v>4.6495752427184463E-2</v>
      </c>
      <c r="AZ144" s="1873">
        <f t="shared" si="447"/>
        <v>3.8589952636074232E-2</v>
      </c>
      <c r="BA144" s="2200">
        <f t="shared" si="447"/>
        <v>3.8589952636074232E-2</v>
      </c>
      <c r="BB144" s="1873">
        <f t="shared" si="447"/>
        <v>3.5728655347227807E-2</v>
      </c>
      <c r="BC144" s="1873">
        <f t="shared" si="447"/>
        <v>2.7533039647577091E-2</v>
      </c>
      <c r="BD144" s="1873">
        <f t="shared" si="447"/>
        <v>1.2553041018387543E-3</v>
      </c>
      <c r="BE144" s="1873">
        <f t="shared" si="447"/>
        <v>7.2620575829818439E-3</v>
      </c>
      <c r="BF144" s="2200">
        <f t="shared" si="447"/>
        <v>7.2620575829818439E-3</v>
      </c>
      <c r="BG144" s="1873">
        <f t="shared" si="447"/>
        <v>7.9211602826329483E-3</v>
      </c>
      <c r="BH144" s="1873">
        <f t="shared" si="447"/>
        <v>1.1257843963660204E-2</v>
      </c>
      <c r="BI144" s="1873">
        <f t="shared" si="447"/>
        <v>3.5538752362948962E-2</v>
      </c>
      <c r="BJ144" s="1873">
        <f t="shared" si="447"/>
        <v>3.6853160206224936E-2</v>
      </c>
      <c r="BK144" s="2200">
        <f t="shared" si="447"/>
        <v>3.6853160206224936E-2</v>
      </c>
      <c r="BL144" s="1873">
        <f t="shared" si="447"/>
        <v>3.7625811306556296E-2</v>
      </c>
      <c r="BM144" s="1873">
        <f t="shared" si="447"/>
        <v>3.8493492107449463E-2</v>
      </c>
      <c r="BN144" s="1873">
        <f t="shared" si="447"/>
        <v>4.0829259460438166E-2</v>
      </c>
      <c r="BO144" s="1873">
        <f t="shared" si="447"/>
        <v>4.2286121249888724E-2</v>
      </c>
      <c r="BP144" s="2200">
        <f t="shared" si="447"/>
        <v>4.2286121249888724E-2</v>
      </c>
      <c r="BQ144" s="1873">
        <f t="shared" si="447"/>
        <v>4.3516795178587253E-2</v>
      </c>
      <c r="BR144" s="1873">
        <f t="shared" si="447"/>
        <v>4.4663267100404434E-2</v>
      </c>
      <c r="BS144" s="1873">
        <f t="shared" si="447"/>
        <v>4.7672803056616878E-2</v>
      </c>
      <c r="BT144" s="1873">
        <f t="shared" si="447"/>
        <v>4.8332486879972915E-2</v>
      </c>
      <c r="BU144" s="2200">
        <f t="shared" si="447"/>
        <v>4.8332486879972915E-2</v>
      </c>
      <c r="BV144" s="1873">
        <f t="shared" si="447"/>
        <v>4.8613350532086423E-2</v>
      </c>
      <c r="BW144" s="1873">
        <f t="shared" si="447"/>
        <v>4.9569467070048868E-2</v>
      </c>
      <c r="BX144" s="1873">
        <f>BX138/BX139</f>
        <v>4.9604437573883789E-2</v>
      </c>
      <c r="BY144" s="1873">
        <f t="shared" si="447"/>
        <v>4.8967459324155194E-2</v>
      </c>
      <c r="BZ144" s="2200">
        <f t="shared" si="447"/>
        <v>4.8967459324155194E-2</v>
      </c>
      <c r="CA144" s="1873">
        <f>CA138/CA139</f>
        <v>5.1178971781986854E-2</v>
      </c>
      <c r="CB144" s="1873">
        <f t="shared" si="447"/>
        <v>5.2903618121009424E-2</v>
      </c>
      <c r="CC144" s="1873">
        <f t="shared" si="447"/>
        <v>5.4102259215219974E-2</v>
      </c>
      <c r="CD144" s="2201">
        <f t="shared" si="447"/>
        <v>5.6103218324151931E-2</v>
      </c>
      <c r="CE144" s="2200">
        <f t="shared" si="447"/>
        <v>5.6103218324151931E-2</v>
      </c>
      <c r="CF144" s="1873">
        <f>CF138/CF139</f>
        <v>5.7719748858447488E-2</v>
      </c>
      <c r="CG144" s="1873">
        <f t="shared" si="447"/>
        <v>5.794247943182617E-2</v>
      </c>
      <c r="CH144" s="1873">
        <f t="shared" ref="CH144:CL146" si="448">CH138/CH139</f>
        <v>5.8720970778994352E-2</v>
      </c>
      <c r="CI144" s="2201">
        <f t="shared" si="448"/>
        <v>5.8470247135164986E-2</v>
      </c>
      <c r="CJ144" s="2200">
        <f t="shared" si="448"/>
        <v>5.8470247135164986E-2</v>
      </c>
      <c r="CK144" s="1873">
        <f t="shared" si="448"/>
        <v>5.8731773482536456E-2</v>
      </c>
      <c r="CL144" s="1873">
        <f t="shared" si="448"/>
        <v>6.0369033293221019E-2</v>
      </c>
      <c r="CM144" s="1873">
        <f t="shared" ref="CM144:CQ146" si="449">CM138/CM139</f>
        <v>6.1237956975056088E-2</v>
      </c>
      <c r="CN144" s="2201">
        <f t="shared" si="449"/>
        <v>5.7382867960246095E-2</v>
      </c>
      <c r="CO144" s="2200">
        <f t="shared" si="449"/>
        <v>5.7382867960246095E-2</v>
      </c>
      <c r="CP144" s="1873">
        <f t="shared" si="449"/>
        <v>6.093189964157706E-2</v>
      </c>
      <c r="CQ144" s="1873">
        <f t="shared" si="449"/>
        <v>6.3441173613135143E-2</v>
      </c>
      <c r="CR144" s="1873">
        <f t="shared" ref="CR144:CT146" si="450">CR138/CR139</f>
        <v>6.6028921023359291E-2</v>
      </c>
      <c r="CS144" s="1873">
        <f t="shared" si="450"/>
        <v>7.2289682886345769E-2</v>
      </c>
      <c r="CT144" s="2200">
        <f t="shared" si="450"/>
        <v>7.2289682886345769E-2</v>
      </c>
      <c r="CU144" s="1873">
        <f t="shared" ref="CU144:CY146" ca="1" si="451">CU138/CU139</f>
        <v>7.3145162360665872E-2</v>
      </c>
      <c r="CV144" s="1873">
        <f t="shared" ca="1" si="451"/>
        <v>7.4131943322832405E-2</v>
      </c>
      <c r="CW144" s="1873">
        <f t="shared" ca="1" si="451"/>
        <v>7.6348105419966603E-2</v>
      </c>
      <c r="CX144" s="1873">
        <f t="shared" ca="1" si="451"/>
        <v>7.5224031029699337E-2</v>
      </c>
      <c r="CY144" s="2200">
        <f t="shared" ca="1" si="451"/>
        <v>7.8507709632361436E-2</v>
      </c>
      <c r="CZ144" s="2200">
        <f t="shared" ref="CZ144:DA146" ca="1" si="452">CZ138/CZ139</f>
        <v>8.1910645748235103E-2</v>
      </c>
      <c r="DA144" s="2200">
        <f t="shared" ca="1" si="452"/>
        <v>8.0815096237850687E-2</v>
      </c>
      <c r="DB144"/>
      <c r="DC144"/>
      <c r="DD144" s="2318" t="s">
        <v>208</v>
      </c>
      <c r="DE144" s="2319">
        <f t="shared" si="421"/>
        <v>0</v>
      </c>
      <c r="DF144" s="2319">
        <f t="shared" si="422"/>
        <v>0</v>
      </c>
      <c r="DG144" s="2319">
        <f t="shared" si="423"/>
        <v>0</v>
      </c>
      <c r="DH144" s="2319">
        <f t="shared" si="424"/>
        <v>0</v>
      </c>
      <c r="DI144" s="2319">
        <f t="shared" si="425"/>
        <v>6.6884843526283488E-2</v>
      </c>
      <c r="DJ144" s="2319">
        <f t="shared" si="426"/>
        <v>6.6043669691796203E-2</v>
      </c>
      <c r="DK144" s="2319">
        <f t="shared" si="427"/>
        <v>5.8441017090454357E-2</v>
      </c>
      <c r="DL144" s="2319">
        <f t="shared" si="428"/>
        <v>6.5357967667436484E-2</v>
      </c>
      <c r="DM144" s="2319">
        <f t="shared" si="429"/>
        <v>3.8589952636074232E-2</v>
      </c>
      <c r="DN144" s="2319">
        <f t="shared" si="430"/>
        <v>7.2620575829818439E-3</v>
      </c>
      <c r="DO144" s="2319">
        <f t="shared" si="431"/>
        <v>3.6853160206224936E-2</v>
      </c>
      <c r="DP144" s="2319">
        <f t="shared" si="432"/>
        <v>4.2286121249888724E-2</v>
      </c>
      <c r="DQ144" s="2319">
        <f t="shared" si="433"/>
        <v>4.8332486879972915E-2</v>
      </c>
      <c r="DR144" s="2319">
        <f t="shared" si="434"/>
        <v>4.8967459324155194E-2</v>
      </c>
      <c r="DS144" s="2319">
        <f t="shared" si="435"/>
        <v>5.6103218324151931E-2</v>
      </c>
      <c r="DT144" s="2319">
        <f t="shared" si="436"/>
        <v>5.8470247135164986E-2</v>
      </c>
      <c r="DU144" s="2319">
        <f t="shared" si="437"/>
        <v>5.7382867960246095E-2</v>
      </c>
      <c r="DV144" s="2319">
        <f t="shared" si="438"/>
        <v>7.2289682886345769E-2</v>
      </c>
      <c r="DW144" s="2319">
        <f t="shared" ca="1" si="439"/>
        <v>7.8507709632361436E-2</v>
      </c>
      <c r="DX144" s="2319">
        <f t="shared" ca="1" si="440"/>
        <v>8.1910645748235103E-2</v>
      </c>
      <c r="DY144" s="2319">
        <f t="shared" ca="1" si="441"/>
        <v>8.0815096237850687E-2</v>
      </c>
      <c r="EA144"/>
      <c r="EB144"/>
      <c r="EC144"/>
      <c r="ED144"/>
      <c r="EE144"/>
      <c r="EF144"/>
      <c r="EG144" s="243"/>
      <c r="EH144" s="243"/>
      <c r="EI144" s="243"/>
      <c r="EJ144"/>
      <c r="EK144"/>
      <c r="EL144"/>
      <c r="EM144" s="243"/>
      <c r="EN144" s="243"/>
      <c r="EO144" s="243"/>
      <c r="EP144" s="243"/>
      <c r="EQ144" s="243"/>
      <c r="ER144" s="234"/>
    </row>
    <row r="145" spans="1:148" s="1193" customFormat="1" ht="12.75" customHeight="1" x14ac:dyDescent="0.2">
      <c r="A145" s="2199" t="s">
        <v>1745</v>
      </c>
      <c r="B145" s="1873"/>
      <c r="C145" s="1873"/>
      <c r="D145" s="1873"/>
      <c r="E145" s="1873"/>
      <c r="F145" s="1873"/>
      <c r="G145" s="1873"/>
      <c r="H145" s="1873"/>
      <c r="I145" s="1873"/>
      <c r="J145" s="1873"/>
      <c r="K145" s="1873"/>
      <c r="L145" s="1873"/>
      <c r="M145" s="2200"/>
      <c r="N145" s="1873"/>
      <c r="O145" s="1873"/>
      <c r="P145" s="1873"/>
      <c r="Q145" s="1873"/>
      <c r="R145" s="2200"/>
      <c r="S145" s="1873"/>
      <c r="T145" s="1873"/>
      <c r="U145" s="1873"/>
      <c r="V145" s="1873"/>
      <c r="W145" s="2200"/>
      <c r="X145" s="1873"/>
      <c r="Y145" s="1873"/>
      <c r="Z145" s="1873"/>
      <c r="AA145" s="1873"/>
      <c r="AB145" s="2200"/>
      <c r="AC145" s="1873"/>
      <c r="AD145" s="1873"/>
      <c r="AE145" s="1873"/>
      <c r="AF145" s="1873"/>
      <c r="AG145" s="2200">
        <f>AG139/AG140</f>
        <v>1.1673481569914939</v>
      </c>
      <c r="AH145" s="1873">
        <f t="shared" ref="AH145:CG145" si="453">AH139/AH140</f>
        <v>1.164180850441598</v>
      </c>
      <c r="AI145" s="1873">
        <f t="shared" si="453"/>
        <v>1.2104421949920086</v>
      </c>
      <c r="AJ145" s="1873">
        <f t="shared" si="453"/>
        <v>1.2439838398032672</v>
      </c>
      <c r="AK145" s="1873">
        <f t="shared" si="453"/>
        <v>1.2982210557013707</v>
      </c>
      <c r="AL145" s="2200">
        <f t="shared" si="453"/>
        <v>1.307832422586521</v>
      </c>
      <c r="AM145" s="1873">
        <f t="shared" si="453"/>
        <v>1.3191167925624636</v>
      </c>
      <c r="AN145" s="1873">
        <f t="shared" si="453"/>
        <v>1.3651556910807483</v>
      </c>
      <c r="AO145" s="1873">
        <f t="shared" si="453"/>
        <v>1.4048061365134537</v>
      </c>
      <c r="AP145" s="1873">
        <f t="shared" si="453"/>
        <v>1.419358655780381</v>
      </c>
      <c r="AQ145" s="2200">
        <f t="shared" si="453"/>
        <v>1.4130466794286556</v>
      </c>
      <c r="AR145" s="1873">
        <f t="shared" si="453"/>
        <v>1.405920027696036</v>
      </c>
      <c r="AS145" s="1873">
        <f t="shared" si="453"/>
        <v>1.4101460763220472</v>
      </c>
      <c r="AT145" s="1873">
        <f t="shared" si="453"/>
        <v>1.4087303788341006</v>
      </c>
      <c r="AU145" s="1873">
        <f t="shared" si="453"/>
        <v>1.4391757146022601</v>
      </c>
      <c r="AV145" s="2200">
        <f t="shared" si="453"/>
        <v>1.454891639133113</v>
      </c>
      <c r="AW145" s="1873">
        <f t="shared" si="453"/>
        <v>1.4516343490304708</v>
      </c>
      <c r="AX145" s="1873">
        <f t="shared" si="453"/>
        <v>1.4529801324503311</v>
      </c>
      <c r="AY145" s="1873">
        <f t="shared" si="453"/>
        <v>1.4555089423713845</v>
      </c>
      <c r="AZ145" s="1873">
        <f t="shared" si="453"/>
        <v>1.4304437163325374</v>
      </c>
      <c r="BA145" s="2200">
        <f t="shared" si="453"/>
        <v>1.4259694964984637</v>
      </c>
      <c r="BB145" s="1873">
        <f t="shared" si="453"/>
        <v>1.4115976600215823</v>
      </c>
      <c r="BC145" s="1873">
        <f t="shared" si="453"/>
        <v>1.3531266120249901</v>
      </c>
      <c r="BD145" s="1873">
        <f t="shared" si="453"/>
        <v>1.3300411522633744</v>
      </c>
      <c r="BE145" s="1873">
        <f t="shared" si="453"/>
        <v>1.3464197530864197</v>
      </c>
      <c r="BF145" s="2200">
        <f t="shared" si="453"/>
        <v>1.2965197491604006</v>
      </c>
      <c r="BG145" s="1873">
        <f t="shared" si="453"/>
        <v>1.2861413368408465</v>
      </c>
      <c r="BH145" s="1873">
        <f t="shared" si="453"/>
        <v>1.2244266055045872</v>
      </c>
      <c r="BI145" s="1873">
        <f t="shared" si="453"/>
        <v>1.2135810965817848</v>
      </c>
      <c r="BJ145" s="1873">
        <f t="shared" si="453"/>
        <v>1.178708080126041</v>
      </c>
      <c r="BK145" s="2200">
        <f t="shared" si="453"/>
        <v>1.1898216517096445</v>
      </c>
      <c r="BL145" s="1873">
        <f t="shared" si="453"/>
        <v>1.1983317364594488</v>
      </c>
      <c r="BM145" s="1873">
        <f t="shared" si="453"/>
        <v>1.2344595749529941</v>
      </c>
      <c r="BN145" s="1873">
        <f t="shared" si="453"/>
        <v>1.2802503477051461</v>
      </c>
      <c r="BO145" s="1873">
        <f t="shared" si="453"/>
        <v>1.5628521739130434</v>
      </c>
      <c r="BP145" s="2200">
        <f t="shared" si="453"/>
        <v>1.4073795652446282</v>
      </c>
      <c r="BQ145" s="1873">
        <f t="shared" si="453"/>
        <v>1.8678917308169853</v>
      </c>
      <c r="BR145" s="1873">
        <f t="shared" si="453"/>
        <v>1.867958613893907</v>
      </c>
      <c r="BS145" s="1873">
        <f t="shared" si="453"/>
        <v>1.9400269541778976</v>
      </c>
      <c r="BT145" s="1873">
        <f t="shared" si="453"/>
        <v>1.9356107151634308</v>
      </c>
      <c r="BU145" s="2200">
        <f t="shared" si="453"/>
        <v>1.9379126512200122</v>
      </c>
      <c r="BV145" s="1873">
        <f t="shared" si="453"/>
        <v>1.9283326855810339</v>
      </c>
      <c r="BW145" s="1873">
        <f t="shared" si="453"/>
        <v>1.9986046511627906</v>
      </c>
      <c r="BX145" s="1873">
        <f>BX139/BX140</f>
        <v>3.4213269036322624</v>
      </c>
      <c r="BY145" s="1873">
        <f t="shared" si="453"/>
        <v>1.9261714630103963</v>
      </c>
      <c r="BZ145" s="2200">
        <f t="shared" si="453"/>
        <v>1.9536945059983188</v>
      </c>
      <c r="CA145" s="1873">
        <f>CA139/CA140</f>
        <v>1.9221338881046139</v>
      </c>
      <c r="CB145" s="1873">
        <f t="shared" si="453"/>
        <v>1.9497591700629864</v>
      </c>
      <c r="CC145" s="1873">
        <f t="shared" si="453"/>
        <v>1.9676829714118593</v>
      </c>
      <c r="CD145" s="2201">
        <f t="shared" si="453"/>
        <v>2.0122520420070011</v>
      </c>
      <c r="CE145" s="2200">
        <f t="shared" si="453"/>
        <v>2.0096139839766933</v>
      </c>
      <c r="CF145" s="1873">
        <f>CF139/CF140</f>
        <v>2.0509218612818261</v>
      </c>
      <c r="CG145" s="1873">
        <f t="shared" si="453"/>
        <v>2.1671746418774762</v>
      </c>
      <c r="CH145" s="1873">
        <f t="shared" si="448"/>
        <v>2.2990219656886324</v>
      </c>
      <c r="CI145" s="2201">
        <f t="shared" si="448"/>
        <v>2.3679607682876993</v>
      </c>
      <c r="CJ145" s="2200">
        <f t="shared" si="448"/>
        <v>2.3817823084511676</v>
      </c>
      <c r="CK145" s="1873">
        <f t="shared" si="448"/>
        <v>2.4166188642137181</v>
      </c>
      <c r="CL145" s="1873">
        <f t="shared" si="448"/>
        <v>2.3424947145877377</v>
      </c>
      <c r="CM145" s="1873">
        <f t="shared" si="449"/>
        <v>0.95753822823202328</v>
      </c>
      <c r="CN145" s="2201">
        <f t="shared" si="449"/>
        <v>0.68796548777013555</v>
      </c>
      <c r="CO145" s="2200">
        <f t="shared" si="449"/>
        <v>0.70024855012427512</v>
      </c>
      <c r="CP145" s="1873">
        <f t="shared" si="449"/>
        <v>0.77782169978154581</v>
      </c>
      <c r="CQ145" s="1873">
        <f t="shared" si="449"/>
        <v>0.86123080784838724</v>
      </c>
      <c r="CR145" s="1873">
        <f t="shared" si="450"/>
        <v>0.93418126649624877</v>
      </c>
      <c r="CS145" s="1873">
        <f t="shared" si="450"/>
        <v>0.96939637164854775</v>
      </c>
      <c r="CT145" s="2200">
        <f t="shared" si="450"/>
        <v>0.99549877493296346</v>
      </c>
      <c r="CU145" s="1873">
        <f t="shared" ca="1" si="451"/>
        <v>1.7553653585123721</v>
      </c>
      <c r="CV145" s="1873">
        <f t="shared" ca="1" si="451"/>
        <v>1.7596348342075041</v>
      </c>
      <c r="CW145" s="1873">
        <f t="shared" ca="1" si="451"/>
        <v>1.0407565226490074</v>
      </c>
      <c r="CX145" s="1873">
        <f t="shared" ca="1" si="451"/>
        <v>1.7757205003647605</v>
      </c>
      <c r="CY145" s="2200">
        <f t="shared" ca="1" si="451"/>
        <v>1.0504621308200977</v>
      </c>
      <c r="CZ145" s="2200">
        <f t="shared" ca="1" si="452"/>
        <v>1.1277810791201837</v>
      </c>
      <c r="DA145" s="2200">
        <f t="shared" ca="1" si="452"/>
        <v>1.1037676781322614</v>
      </c>
      <c r="DB145"/>
      <c r="DC145"/>
      <c r="DD145" s="2318" t="s">
        <v>1745</v>
      </c>
      <c r="DE145" s="2319">
        <f t="shared" si="421"/>
        <v>0</v>
      </c>
      <c r="DF145" s="2319">
        <f t="shared" si="422"/>
        <v>0</v>
      </c>
      <c r="DG145" s="2319">
        <f t="shared" si="423"/>
        <v>0</v>
      </c>
      <c r="DH145" s="2319">
        <f t="shared" si="424"/>
        <v>0</v>
      </c>
      <c r="DI145" s="2319">
        <f t="shared" si="425"/>
        <v>1.1673481569914939</v>
      </c>
      <c r="DJ145" s="2319">
        <f t="shared" si="426"/>
        <v>1.307832422586521</v>
      </c>
      <c r="DK145" s="2319">
        <f t="shared" si="427"/>
        <v>1.4130466794286556</v>
      </c>
      <c r="DL145" s="2319">
        <f t="shared" si="428"/>
        <v>1.454891639133113</v>
      </c>
      <c r="DM145" s="2319">
        <f t="shared" si="429"/>
        <v>1.4259694964984637</v>
      </c>
      <c r="DN145" s="2319">
        <f t="shared" si="430"/>
        <v>1.2965197491604006</v>
      </c>
      <c r="DO145" s="2319">
        <f t="shared" si="431"/>
        <v>1.1898216517096445</v>
      </c>
      <c r="DP145" s="2319">
        <f t="shared" si="432"/>
        <v>1.4073795652446282</v>
      </c>
      <c r="DQ145" s="2319">
        <f t="shared" si="433"/>
        <v>1.9379126512200122</v>
      </c>
      <c r="DR145" s="2319">
        <f t="shared" si="434"/>
        <v>1.9536945059983188</v>
      </c>
      <c r="DS145" s="2319">
        <f t="shared" si="435"/>
        <v>2.0096139839766933</v>
      </c>
      <c r="DT145" s="2319">
        <f t="shared" si="436"/>
        <v>2.3817823084511676</v>
      </c>
      <c r="DU145" s="2319">
        <f t="shared" si="437"/>
        <v>0.70024855012427512</v>
      </c>
      <c r="DV145" s="2319">
        <f t="shared" si="438"/>
        <v>0.99549877493296346</v>
      </c>
      <c r="DW145" s="2319">
        <f t="shared" ca="1" si="439"/>
        <v>1.0504621308200977</v>
      </c>
      <c r="DX145" s="2319">
        <f t="shared" ca="1" si="440"/>
        <v>1.1277810791201837</v>
      </c>
      <c r="DY145" s="2319">
        <f t="shared" ca="1" si="441"/>
        <v>1.1037676781322614</v>
      </c>
      <c r="EA145"/>
      <c r="EB145"/>
      <c r="EC145"/>
      <c r="ED145"/>
      <c r="EE145"/>
      <c r="EF145"/>
      <c r="EG145" s="243"/>
      <c r="EH145" s="243"/>
      <c r="EI145" s="243"/>
      <c r="EJ145"/>
      <c r="EK145"/>
      <c r="EL145"/>
      <c r="EM145" s="243"/>
      <c r="EN145" s="243"/>
      <c r="EO145" s="243"/>
      <c r="EP145" s="243"/>
      <c r="EQ145" s="243"/>
      <c r="ER145" s="234"/>
    </row>
    <row r="146" spans="1:148" s="1193" customFormat="1" ht="12.75" customHeight="1" x14ac:dyDescent="0.2">
      <c r="A146" s="2199" t="s">
        <v>203</v>
      </c>
      <c r="B146" s="1873"/>
      <c r="C146" s="1873"/>
      <c r="D146" s="1873"/>
      <c r="E146" s="1873"/>
      <c r="F146" s="1873"/>
      <c r="G146" s="1873"/>
      <c r="H146" s="1873"/>
      <c r="I146" s="1873"/>
      <c r="J146" s="1873"/>
      <c r="K146" s="1873"/>
      <c r="L146" s="1873"/>
      <c r="M146" s="2200"/>
      <c r="N146" s="1873"/>
      <c r="O146" s="1873"/>
      <c r="P146" s="1873"/>
      <c r="Q146" s="1873"/>
      <c r="R146" s="2200"/>
      <c r="S146" s="1873"/>
      <c r="T146" s="1873"/>
      <c r="U146" s="1873"/>
      <c r="V146" s="1873"/>
      <c r="W146" s="2200"/>
      <c r="X146" s="1873"/>
      <c r="Y146" s="1873"/>
      <c r="Z146" s="1873"/>
      <c r="AA146" s="1873"/>
      <c r="AB146" s="2200"/>
      <c r="AC146" s="1873"/>
      <c r="AD146" s="1873"/>
      <c r="AE146" s="1873"/>
      <c r="AF146" s="1873"/>
      <c r="AG146" s="2200">
        <f>AG140/AG141</f>
        <v>2.1817412254997719</v>
      </c>
      <c r="AH146" s="1873">
        <f t="shared" ref="AH146:CG146" si="454">AH140/AH141</f>
        <v>2.1336578060651443</v>
      </c>
      <c r="AI146" s="1873">
        <f t="shared" si="454"/>
        <v>2.2271588661832564</v>
      </c>
      <c r="AJ146" s="1873">
        <f t="shared" si="454"/>
        <v>2.4552903967797586</v>
      </c>
      <c r="AK146" s="1873">
        <f t="shared" si="454"/>
        <v>2.6155606407322654</v>
      </c>
      <c r="AL146" s="2200">
        <f t="shared" si="454"/>
        <v>2.4072135785007074</v>
      </c>
      <c r="AM146" s="1873">
        <f t="shared" si="454"/>
        <v>2.733481575603558</v>
      </c>
      <c r="AN146" s="1873">
        <f t="shared" si="454"/>
        <v>2.8407462935199068</v>
      </c>
      <c r="AO146" s="1873">
        <f t="shared" si="454"/>
        <v>2.9477124183006538</v>
      </c>
      <c r="AP146" s="1873">
        <f t="shared" si="454"/>
        <v>3.1770676691729323</v>
      </c>
      <c r="AQ146" s="2200">
        <f t="shared" si="454"/>
        <v>2.9987635785569196</v>
      </c>
      <c r="AR146" s="1873">
        <f t="shared" si="454"/>
        <v>3.5807851239669422</v>
      </c>
      <c r="AS146" s="1873">
        <f t="shared" si="454"/>
        <v>4.2122585261149537</v>
      </c>
      <c r="AT146" s="1873">
        <f t="shared" si="454"/>
        <v>4.977636664826063</v>
      </c>
      <c r="AU146" s="1873">
        <f t="shared" si="454"/>
        <v>5.861038961038961</v>
      </c>
      <c r="AV146" s="2200">
        <f t="shared" si="454"/>
        <v>4.9104908565928778</v>
      </c>
      <c r="AW146" s="1873">
        <f t="shared" si="454"/>
        <v>6.5660240087304471</v>
      </c>
      <c r="AX146" s="1873">
        <f t="shared" si="454"/>
        <v>6.5771324863883844</v>
      </c>
      <c r="AY146" s="1873">
        <f t="shared" si="454"/>
        <v>6.3276283618581903</v>
      </c>
      <c r="AZ146" s="1873">
        <f t="shared" si="454"/>
        <v>6.4127492877492873</v>
      </c>
      <c r="BA146" s="2200">
        <f t="shared" si="454"/>
        <v>6.4941578285097972</v>
      </c>
      <c r="BB146" s="1873">
        <f t="shared" si="454"/>
        <v>6.4803091645196904</v>
      </c>
      <c r="BC146" s="1873">
        <f t="shared" si="454"/>
        <v>6.3305515239477508</v>
      </c>
      <c r="BD146" s="1873">
        <f t="shared" si="454"/>
        <v>7.0757071547420969</v>
      </c>
      <c r="BE146" s="1873">
        <f t="shared" si="454"/>
        <v>7.6163610719322987</v>
      </c>
      <c r="BF146" s="2200">
        <f t="shared" si="454"/>
        <v>6.8906409993856235</v>
      </c>
      <c r="BG146" s="1873">
        <f t="shared" si="454"/>
        <v>7.5614828209764919</v>
      </c>
      <c r="BH146" s="1873">
        <f t="shared" si="454"/>
        <v>7.6024411508282475</v>
      </c>
      <c r="BI146" s="1873">
        <f t="shared" si="454"/>
        <v>6.7607599844901127</v>
      </c>
      <c r="BJ146" s="1873">
        <f t="shared" si="454"/>
        <v>6.0448979591836736</v>
      </c>
      <c r="BK146" s="2200">
        <f t="shared" si="454"/>
        <v>6.7275506304929307</v>
      </c>
      <c r="BL146" s="1873">
        <f t="shared" si="454"/>
        <v>5.9720632783574557</v>
      </c>
      <c r="BM146" s="1873">
        <f t="shared" si="454"/>
        <v>6.9591593973037273</v>
      </c>
      <c r="BN146" s="1873">
        <f t="shared" si="454"/>
        <v>11.019157088122606</v>
      </c>
      <c r="BO146" s="1873">
        <f t="shared" si="454"/>
        <v>-40.954415954415957</v>
      </c>
      <c r="BP146" s="2200">
        <f t="shared" si="454"/>
        <v>14.705665591893137</v>
      </c>
      <c r="BQ146" s="1873">
        <f t="shared" si="454"/>
        <v>-7.416206261510129</v>
      </c>
      <c r="BR146" s="1873">
        <f t="shared" si="454"/>
        <v>-6.1754563894523322</v>
      </c>
      <c r="BS146" s="1873">
        <f t="shared" si="454"/>
        <v>-4.9057851239669423</v>
      </c>
      <c r="BT146" s="1873">
        <f t="shared" si="454"/>
        <v>-4.7295621851995353</v>
      </c>
      <c r="BU146" s="2200">
        <f t="shared" si="454"/>
        <v>-5.3558093564682627</v>
      </c>
      <c r="BV146" s="1873">
        <f t="shared" si="454"/>
        <v>-4.832832456799399</v>
      </c>
      <c r="BW146" s="1873">
        <f t="shared" si="454"/>
        <v>-4.494773519163763</v>
      </c>
      <c r="BX146" s="1873">
        <f>BX140/BX141</f>
        <v>-4.4303928325292903</v>
      </c>
      <c r="BY146" s="1873">
        <f t="shared" si="454"/>
        <v>-4.7004249291784701</v>
      </c>
      <c r="BZ146" s="2200">
        <f t="shared" si="454"/>
        <v>-4.5967685282753772</v>
      </c>
      <c r="CA146" s="1873">
        <f>CA140/CA141</f>
        <v>-4.4273026315789474</v>
      </c>
      <c r="CB146" s="1873">
        <f t="shared" si="454"/>
        <v>-4.0343796711509716</v>
      </c>
      <c r="CC146" s="1873">
        <f t="shared" si="454"/>
        <v>-3.839696799550814</v>
      </c>
      <c r="CD146" s="2201">
        <f t="shared" si="454"/>
        <v>-3.3923800098960912</v>
      </c>
      <c r="CE146" s="2200">
        <f t="shared" si="454"/>
        <v>-3.1204545454545456</v>
      </c>
      <c r="CF146" s="1873">
        <f>CF140/CF141</f>
        <v>-2.8853704876504116</v>
      </c>
      <c r="CG146" s="1873">
        <f t="shared" si="454"/>
        <v>-2.356193895870736</v>
      </c>
      <c r="CH146" s="1873">
        <f t="shared" si="448"/>
        <v>-1.8837209302325582</v>
      </c>
      <c r="CI146" s="2201">
        <f t="shared" si="448"/>
        <v>-1.7042763616102521</v>
      </c>
      <c r="CJ146" s="2200">
        <f t="shared" si="448"/>
        <v>-1.6941504178272981</v>
      </c>
      <c r="CK146" s="1873">
        <f t="shared" si="448"/>
        <v>-1.6815488493867989</v>
      </c>
      <c r="CL146" s="1873">
        <f t="shared" si="448"/>
        <v>-1.7914153457707953</v>
      </c>
      <c r="CM146" s="1873">
        <f t="shared" si="449"/>
        <v>13.304749894913829</v>
      </c>
      <c r="CN146" s="2201">
        <f t="shared" si="449"/>
        <v>4.3884622253973928</v>
      </c>
      <c r="CO146" s="2200">
        <f t="shared" si="449"/>
        <v>27.323146576117715</v>
      </c>
      <c r="CP146" s="1873">
        <f t="shared" si="449"/>
        <v>4.5667458432304038</v>
      </c>
      <c r="CQ146" s="1873">
        <f t="shared" si="449"/>
        <v>4.7478399046578605</v>
      </c>
      <c r="CR146" s="1873">
        <f t="shared" si="450"/>
        <v>5.1117603314564963</v>
      </c>
      <c r="CS146" s="1873">
        <f t="shared" si="450"/>
        <v>5.7746095521288119</v>
      </c>
      <c r="CT146" s="2200">
        <f t="shared" si="450"/>
        <v>5.0966754231833127</v>
      </c>
      <c r="CU146" s="1873">
        <f t="shared" ca="1" si="451"/>
        <v>6.4321297839164968</v>
      </c>
      <c r="CV146" s="1873">
        <f t="shared" ca="1" si="451"/>
        <v>6.7359437332717649</v>
      </c>
      <c r="CW146" s="1873">
        <f t="shared" ca="1" si="451"/>
        <v>7.0596592056219283</v>
      </c>
      <c r="CX146" s="1873">
        <f t="shared" ca="1" si="451"/>
        <v>7.4136604774970936</v>
      </c>
      <c r="CY146" s="2200">
        <f t="shared" ca="1" si="451"/>
        <v>6.9424599572118515</v>
      </c>
      <c r="CZ146" s="2200">
        <f t="shared" ca="1" si="452"/>
        <v>8.805472596211283</v>
      </c>
      <c r="DA146" s="2200">
        <f t="shared" ca="1" si="452"/>
        <v>10.804739145306586</v>
      </c>
      <c r="DB146"/>
      <c r="DC146"/>
      <c r="DD146" s="2318" t="s">
        <v>203</v>
      </c>
      <c r="DE146" s="2319">
        <f t="shared" si="421"/>
        <v>0</v>
      </c>
      <c r="DF146" s="2319">
        <f t="shared" si="422"/>
        <v>0</v>
      </c>
      <c r="DG146" s="2319">
        <f t="shared" si="423"/>
        <v>0</v>
      </c>
      <c r="DH146" s="2319">
        <f t="shared" si="424"/>
        <v>0</v>
      </c>
      <c r="DI146" s="2319">
        <f t="shared" si="425"/>
        <v>2.1817412254997719</v>
      </c>
      <c r="DJ146" s="2319">
        <f t="shared" si="426"/>
        <v>2.4072135785007074</v>
      </c>
      <c r="DK146" s="2319">
        <f t="shared" si="427"/>
        <v>2.9987635785569196</v>
      </c>
      <c r="DL146" s="2319">
        <f t="shared" si="428"/>
        <v>4.9104908565928778</v>
      </c>
      <c r="DM146" s="2319">
        <f t="shared" si="429"/>
        <v>6.4941578285097972</v>
      </c>
      <c r="DN146" s="2319">
        <f t="shared" si="430"/>
        <v>6.8906409993856235</v>
      </c>
      <c r="DO146" s="2319">
        <f t="shared" si="431"/>
        <v>6.7275506304929307</v>
      </c>
      <c r="DP146" s="2319">
        <f t="shared" si="432"/>
        <v>14.705665591893137</v>
      </c>
      <c r="DQ146" s="2319">
        <f t="shared" si="433"/>
        <v>-5.3558093564682627</v>
      </c>
      <c r="DR146" s="2319">
        <f t="shared" si="434"/>
        <v>-4.5967685282753772</v>
      </c>
      <c r="DS146" s="2319">
        <f t="shared" si="435"/>
        <v>-3.1204545454545456</v>
      </c>
      <c r="DT146" s="2319">
        <f t="shared" si="436"/>
        <v>-1.6941504178272981</v>
      </c>
      <c r="DU146" s="2319">
        <f t="shared" si="437"/>
        <v>27.323146576117715</v>
      </c>
      <c r="DV146" s="2319">
        <f t="shared" si="438"/>
        <v>5.0966754231833127</v>
      </c>
      <c r="DW146" s="2319">
        <f t="shared" ca="1" si="439"/>
        <v>6.9424599572118515</v>
      </c>
      <c r="DX146" s="2319">
        <f t="shared" ca="1" si="440"/>
        <v>8.805472596211283</v>
      </c>
      <c r="DY146" s="2319">
        <f t="shared" ca="1" si="441"/>
        <v>10.804739145306586</v>
      </c>
      <c r="EA146"/>
      <c r="EB146"/>
      <c r="EC146"/>
      <c r="ED146"/>
      <c r="EE146"/>
      <c r="EF146"/>
      <c r="EG146" s="243"/>
      <c r="EH146" s="243"/>
      <c r="EI146" s="243"/>
      <c r="EJ146"/>
      <c r="EK146"/>
      <c r="EL146"/>
      <c r="EM146" s="243"/>
      <c r="EN146" s="243"/>
      <c r="EO146" s="243"/>
      <c r="EP146" s="243"/>
      <c r="EQ146" s="243"/>
      <c r="ER146" s="234"/>
    </row>
    <row r="147" spans="1:148" s="923" customFormat="1" ht="12.75" customHeight="1" x14ac:dyDescent="0.2">
      <c r="A147" s="1670"/>
      <c r="B147" s="221"/>
      <c r="C147" s="221"/>
      <c r="D147" s="221"/>
      <c r="E147" s="221"/>
      <c r="F147" s="221"/>
      <c r="G147" s="221"/>
      <c r="H147" s="221"/>
      <c r="I147" s="221"/>
      <c r="J147" s="221"/>
      <c r="K147" s="221"/>
      <c r="L147" s="221"/>
      <c r="M147" s="849"/>
      <c r="N147" s="221"/>
      <c r="O147" s="221"/>
      <c r="P147" s="221"/>
      <c r="Q147" s="221"/>
      <c r="R147" s="849"/>
      <c r="S147" s="221"/>
      <c r="T147" s="221"/>
      <c r="U147" s="221"/>
      <c r="V147" s="221"/>
      <c r="W147" s="849"/>
      <c r="X147" s="221"/>
      <c r="Y147" s="221"/>
      <c r="Z147" s="221"/>
      <c r="AA147" s="221"/>
      <c r="AB147" s="849"/>
      <c r="AC147" s="221"/>
      <c r="AD147" s="221"/>
      <c r="AE147" s="221"/>
      <c r="AF147" s="221"/>
      <c r="AG147" s="849"/>
      <c r="AH147" s="221"/>
      <c r="AI147" s="221"/>
      <c r="AJ147" s="221"/>
      <c r="AK147" s="221"/>
      <c r="AL147" s="849"/>
      <c r="AM147" s="221"/>
      <c r="AN147" s="221"/>
      <c r="AO147" s="221"/>
      <c r="AP147" s="221"/>
      <c r="AQ147" s="849"/>
      <c r="AR147" s="221"/>
      <c r="AS147" s="221"/>
      <c r="AT147" s="221"/>
      <c r="AU147" s="221"/>
      <c r="AV147" s="849"/>
      <c r="AW147" s="221"/>
      <c r="AX147" s="221"/>
      <c r="AY147" s="221"/>
      <c r="AZ147" s="221"/>
      <c r="BA147" s="849"/>
      <c r="BB147" s="221"/>
      <c r="BC147" s="221"/>
      <c r="BD147" s="221"/>
      <c r="BE147" s="221"/>
      <c r="BF147" s="849"/>
      <c r="BG147" s="221"/>
      <c r="BH147" s="221"/>
      <c r="BI147" s="221"/>
      <c r="BJ147" s="221"/>
      <c r="BK147" s="849"/>
      <c r="BL147" s="221"/>
      <c r="BM147" s="221"/>
      <c r="BN147" s="221"/>
      <c r="BO147" s="221"/>
      <c r="BP147" s="849"/>
      <c r="BQ147" s="221"/>
      <c r="BR147" s="221"/>
      <c r="BS147" s="221"/>
      <c r="BT147" s="221"/>
      <c r="BU147" s="849"/>
      <c r="BV147" s="221"/>
      <c r="BW147" s="221"/>
      <c r="BX147" s="221"/>
      <c r="BY147" s="221"/>
      <c r="BZ147" s="849"/>
      <c r="CA147" s="221"/>
      <c r="CB147" s="877"/>
      <c r="CC147" s="877"/>
      <c r="CD147" s="1794"/>
      <c r="CE147" s="849"/>
      <c r="CF147" s="221"/>
      <c r="CG147" s="877"/>
      <c r="CH147" s="877"/>
      <c r="CI147" s="1794"/>
      <c r="CJ147" s="849"/>
      <c r="CK147" s="877"/>
      <c r="CL147" s="877"/>
      <c r="CM147" s="877"/>
      <c r="CN147" s="1794"/>
      <c r="CO147" s="849"/>
      <c r="CP147" s="877"/>
      <c r="CQ147" s="877"/>
      <c r="CR147" s="877"/>
      <c r="CS147" s="877"/>
      <c r="CT147" s="849"/>
      <c r="CU147" s="877"/>
      <c r="CV147" s="877"/>
      <c r="CW147" s="877"/>
      <c r="CX147" s="877"/>
      <c r="CY147" s="849"/>
      <c r="CZ147" s="849"/>
      <c r="DA147" s="849"/>
      <c r="DB147"/>
      <c r="DC147"/>
      <c r="DD147" s="1670"/>
      <c r="DE147" s="849"/>
      <c r="DF147" s="849"/>
      <c r="DG147" s="849"/>
      <c r="DH147" s="849"/>
      <c r="DI147" s="849"/>
      <c r="DJ147" s="849"/>
      <c r="DK147" s="849"/>
      <c r="DL147" s="849"/>
      <c r="DM147" s="849"/>
      <c r="DN147" s="849"/>
      <c r="DO147" s="849"/>
      <c r="DP147" s="849"/>
      <c r="DQ147" s="849"/>
      <c r="DR147" s="849"/>
      <c r="DS147" s="849"/>
      <c r="DT147" s="849"/>
      <c r="DU147" s="849"/>
      <c r="DV147" s="849"/>
      <c r="DW147" s="849"/>
      <c r="DX147" s="849"/>
      <c r="DY147" s="849"/>
      <c r="EA147"/>
      <c r="EB147"/>
      <c r="EC147"/>
      <c r="ED147"/>
      <c r="EE147"/>
      <c r="EF147"/>
      <c r="EG147" s="855"/>
      <c r="EH147" s="855"/>
      <c r="EI147" s="855"/>
      <c r="EJ147"/>
      <c r="EK147"/>
      <c r="EL147"/>
      <c r="EM147" s="855"/>
      <c r="EN147" s="855"/>
      <c r="EO147" s="855"/>
      <c r="EP147" s="855"/>
      <c r="EQ147" s="855"/>
      <c r="ER147" s="234"/>
    </row>
    <row r="148" spans="1:148" ht="12.75" customHeight="1" x14ac:dyDescent="0.2">
      <c r="A148" s="1961" t="s">
        <v>1305</v>
      </c>
      <c r="B148" s="1873"/>
      <c r="C148" s="1873"/>
      <c r="D148" s="1873"/>
      <c r="E148" s="1873"/>
      <c r="F148" s="1873"/>
      <c r="G148" s="1873"/>
      <c r="H148" s="1873"/>
      <c r="I148" s="1873"/>
      <c r="J148" s="1873"/>
      <c r="K148" s="1873"/>
      <c r="L148" s="1873"/>
      <c r="M148" s="2200"/>
      <c r="N148" s="1873"/>
      <c r="O148" s="1873"/>
      <c r="P148" s="1873"/>
      <c r="Q148" s="1873"/>
      <c r="R148" s="2200"/>
      <c r="S148" s="1873"/>
      <c r="T148" s="1873"/>
      <c r="U148" s="1873"/>
      <c r="V148" s="1873"/>
      <c r="W148" s="2200"/>
      <c r="X148" s="1873"/>
      <c r="Y148" s="1873"/>
      <c r="Z148" s="1873"/>
      <c r="AA148" s="1873"/>
      <c r="AB148" s="2200"/>
      <c r="AC148" s="1873"/>
      <c r="AD148" s="1873"/>
      <c r="AE148" s="1873"/>
      <c r="AF148" s="1873"/>
      <c r="AG148" s="2200">
        <f>((AG98-AG91)*(1-AG638))/(AVERAGE(AG765-AG771-AG764,AB765-AB771-AB764))</f>
        <v>0.10753332238396431</v>
      </c>
      <c r="AH148" s="1873">
        <f>((AH98-AH91)*(1-AH638))*4/(AVERAGE(AH765-AH771-AH764,AG765-AG771-AG764))</f>
        <v>0.11183782818360423</v>
      </c>
      <c r="AI148" s="1873">
        <f>((AI98-AI91)*(1-AI638))*4/(AVERAGE(AI765-AI771-AI764,AH765-AH771-AH764))</f>
        <v>0.10125511661493533</v>
      </c>
      <c r="AJ148" s="1873">
        <f>((AJ98-AJ91)*(1-AJ638))*4/(AVERAGE(AJ765-AJ771-AJ764,AI765-AI771-AI764))</f>
        <v>0.10769251061006209</v>
      </c>
      <c r="AK148" s="1873">
        <f>((AK98-AK91)*(1-AK638))*4/(AVERAGE(AK765-AK771-AK764,AJ765-AJ771-AJ764))</f>
        <v>0.17488110053155057</v>
      </c>
      <c r="AL148" s="2200">
        <f>((AL98-AL91)*(1-AL638))/(AVERAGE(AL765-AL771-AL764,AG765-AG771-AG764))</f>
        <v>0.12411728448574437</v>
      </c>
      <c r="AM148" s="1873">
        <f>((AM98-AM91)*(1-AM638))*4/(AVERAGE(AM765-AM771-AM764,AL765-AL771-AL764))</f>
        <v>9.0328316107393919E-2</v>
      </c>
      <c r="AN148" s="1873">
        <f>((AN98-AN91)*(1-AN638))*4/(AVERAGE(AN765-AN771-AN764,AM765-AM771-AM764))</f>
        <v>0.16603007877775128</v>
      </c>
      <c r="AO148" s="1873">
        <f>((AO98-AO91)*(1-AO638))*4/(AVERAGE(AO765-AO771-AO764,AN765-AN771-AN764))</f>
        <v>0.14417546936969799</v>
      </c>
      <c r="AP148" s="1873">
        <f>((AP98-AP91)*(1-AP638))*4/(AVERAGE(AP765-AP771-AP764,AO765-AO771-AO764))</f>
        <v>0.21119981880980693</v>
      </c>
      <c r="AQ148" s="2200">
        <f>((AQ98-AQ91)*(1-AQ638))/(AVERAGE(AQ765-AQ771-AQ764,AL765-AL771-AL764))</f>
        <v>0.1523008893211428</v>
      </c>
      <c r="AR148" s="1873">
        <f>((AR98-AR91)*(1-AR638))*4/(AVERAGE(AR765-AR771-AR764,AQ765-AQ771-AQ764))</f>
        <v>0.15864637346488927</v>
      </c>
      <c r="AS148" s="1873">
        <f>((AS98-AS91)*(1-AS638))*4/(AVERAGE(AS765-AS771-AS764,AR765-AR771-AR764))</f>
        <v>0.2075014821727369</v>
      </c>
      <c r="AT148" s="1873">
        <f>((AT98-AT91)*(1-AT638))*4/(AVERAGE(AT765-AT771-AT764,AS765-AS771-AS764))</f>
        <v>0.12661789255149958</v>
      </c>
      <c r="AU148" s="1873">
        <f>((AU98-AU91)*(1-AU638))*4/(AVERAGE(AU765-AU771-AU764,AT765-AT771-AT764))</f>
        <v>0.2007127583749109</v>
      </c>
      <c r="AV148" s="2200">
        <f>((AV98-AV91)*(1-AV638))/(AVERAGE(AV765-AV771-AV764,AQ765-AQ771-AQ764))</f>
        <v>0.17481464184675002</v>
      </c>
      <c r="AW148" s="1873">
        <f>((AW98-AW91)*(1-AW638))*4/(AVERAGE(AW765-AW771-AW764,AV765-AV771-AV764))</f>
        <v>0.11937672972665581</v>
      </c>
      <c r="AX148" s="1873">
        <f>((AX98-AX91)*(1-AX638))*4/(AVERAGE(AX765-AX771-AX764,AW765-AW771-AW764))</f>
        <v>0.13636677169432918</v>
      </c>
      <c r="AY148" s="1873">
        <f>((AY98-AY91)*(1-AY638))*4/(AVERAGE(AY765-AY771-AY764,AX765-AX771-AX764))</f>
        <v>8.4554891475306704E-2</v>
      </c>
      <c r="AZ148" s="1873">
        <f>((AZ98-AZ91)*(1-AZ638))*4/(AVERAGE(AZ765-AZ771-AZ764,AY765-AY771-AY764))</f>
        <v>0.18892482209016978</v>
      </c>
      <c r="BA148" s="2200">
        <f>((BA98-BA91)*(1-BA638))/(AVERAGE(BA765-BA771-BA764,AV765-AV771-AV764))</f>
        <v>0.13904168322422772</v>
      </c>
      <c r="BB148" s="1873">
        <f>((BB98-BB91)*(1-BB638))*4/(AVERAGE(BB765-BB771-BB764,BA765-BA771-BA764))</f>
        <v>8.6347259486393255E-2</v>
      </c>
      <c r="BC148" s="1873">
        <f>((BC98-BC91)*(1-BC638))*4/(AVERAGE(BC765-BC771-BC764,BB765-BB771-BB764))</f>
        <v>8.9530495481611322E-2</v>
      </c>
      <c r="BD148" s="1873">
        <f>((BD98-BD91)*(1-BD638))*4/(AVERAGE(BD765-BD771-BD764,BC765-BC771-BC764))</f>
        <v>-3.1120331950207469E-2</v>
      </c>
      <c r="BE148" s="1873">
        <f>((BE98-BE91)*(1-BE638))*4/(AVERAGE(BE765-BE771-BE764,BD765-BD771-BD764))</f>
        <v>0.13352310892665331</v>
      </c>
      <c r="BF148" s="2200">
        <f>((BF98-BF91)*(1-BF638))/(AVERAGE(BF765-BF771-BF764,BA765-BA771-BA764))</f>
        <v>9.6915516520284392E-2</v>
      </c>
      <c r="BG148" s="1873">
        <f>((BG98-BG91)*(1-BG638))*4/(AVERAGE(BG765-BG771-BG764,BF765-BF771-BF764))</f>
        <v>8.2827500107624089E-2</v>
      </c>
      <c r="BH148" s="1873">
        <f>((BH98-BH91)*(1-BH638))*4/(AVERAGE(BH765-BH771-BH764,BG765-BG771-BG764))</f>
        <v>0.10278395245580968</v>
      </c>
      <c r="BI148" s="1873">
        <f>((BI98-BI91)*(1-BI638))*4/(AVERAGE(BI765-BI771-BI764,BH765-BH771-BH764))</f>
        <v>7.2632514283872684E-2</v>
      </c>
      <c r="BJ148" s="1873">
        <f>((BJ98-BJ91)*(1-BJ638))*4/(AVERAGE(BJ765-BJ771-BJ764,BI765-BI771-BI764))</f>
        <v>0.12849986690220941</v>
      </c>
      <c r="BK148" s="2200">
        <f>((BK98-BK91)*(1-BK638))/(AVERAGE(BK765-BK771-BK764,BF765-BF771-BF764))</f>
        <v>0.10221808227782596</v>
      </c>
      <c r="BL148" s="1873">
        <f>((BL98-BL91)*(1-BL638))*4/(AVERAGE(BL765-BL771-BL764,BK765-BK771-BK764))</f>
        <v>8.39849954187179E-2</v>
      </c>
      <c r="BM148" s="1873">
        <f>((BM98-BM91)*(1-BM638))*4/(AVERAGE(BM765-BM771-BM764,BL765-BL771-BL764))</f>
        <v>0.11564446415739678</v>
      </c>
      <c r="BN148" s="1873">
        <f>((BN98-BN91)*(1-BN638))*4/(AVERAGE(BN765-BN771-BN764,BM765-BM771-BM764))</f>
        <v>0.10615179213310054</v>
      </c>
      <c r="BO148" s="1873">
        <f>((BO98-BO91)*(1-BO638))*4/(AVERAGE(BO765-BO771-BO764,BN765-BN771-BN764))</f>
        <v>0.22001543209876545</v>
      </c>
      <c r="BP148" s="2200">
        <f>((BP98-BP91)*(1-BP638))/(AVERAGE(BP765-BP771-BP764,BK765-BK771-BK764))</f>
        <v>0.14688844753392916</v>
      </c>
      <c r="BQ148" s="1873">
        <f>((BQ98-BQ91)*(1-BQ638))*4/(AVERAGE(BQ765-BQ771-BQ764,BP765-BP771-BP764))</f>
        <v>0.2203529556585932</v>
      </c>
      <c r="BR148" s="1873">
        <f>((BR98-BR91)*(1-BR638))*4/(AVERAGE(BR765-BR771-BR764,BQ765-BQ771-BQ764))</f>
        <v>0.27462266928827211</v>
      </c>
      <c r="BS148" s="1873">
        <f>((BS98-BS91)*(1-BS638))*4/(AVERAGE(BS765-BS771-BS764,BR765-BR771-BR764))</f>
        <v>0.27988694576929873</v>
      </c>
      <c r="BT148" s="1873">
        <f>((BT98-BT91)*(1-BT638))*4/(AVERAGE(BT765-BT771-BT764,BS765-BS771-BS764))</f>
        <v>0.3357731937975118</v>
      </c>
      <c r="BU148" s="2200">
        <f>((BU98-BU91)*(1-BU638))/(AVERAGE(BU765-BU771-BU764,BP765-BP771-BP764))</f>
        <v>0.26705485919301503</v>
      </c>
      <c r="BV148" s="1873">
        <f>((BV98-BV91)*(1-BV638))*4/(AVERAGE(BV765-BV771-BV764,BU765-BU771-BU764))</f>
        <v>0.23821371218940915</v>
      </c>
      <c r="BW148" s="1873">
        <f>((BW98-BW91)*(1-BW638))*4/(AVERAGE(BW765-BW771-BW764,BV765-BV771-BV764))</f>
        <v>0.29410610037150392</v>
      </c>
      <c r="BX148" s="1873">
        <f>((BX98-BX91)*(1-BX638))*4/(AVERAGE(BX765-BX771-BX764,BW765-BW771-BW764))</f>
        <v>0.27708616308311196</v>
      </c>
      <c r="BY148" s="1873">
        <f>((BY98-BY91)*(1-BY638))*4/(AVERAGE(BY765-BY771-BY764,BX765-BX771-BX764))</f>
        <v>0.26068467000173545</v>
      </c>
      <c r="BZ148" s="2200">
        <f>((BZ98-BZ91)*(1-BZ638))/(AVERAGE(BZ765-BZ771-BZ764,BU765-BU771-BU764))</f>
        <v>0.26861443544523694</v>
      </c>
      <c r="CA148" s="1873">
        <f>((CA98-CA91)*(1-CA638))*4/(AVERAGE(CA765-CA771-CA764,BZ765-BZ771-BZ764))</f>
        <v>0.29588247817756014</v>
      </c>
      <c r="CB148" s="1873">
        <f>((CB98-CB91)*(1-CB638))*4/(AVERAGE(CB765-CB771-CB764,CA765-CA771-CA764))</f>
        <v>0.33296781223515576</v>
      </c>
      <c r="CC148" s="1873">
        <f>((CC98-CC91)*(1-CC638))*4/(AVERAGE(CC765-CC771-CC764,CB765-CB771-CB764))</f>
        <v>0.29700290041894939</v>
      </c>
      <c r="CD148" s="1873">
        <f>((CD98-CD91)*(1-CD638))*4/(AVERAGE(CD765-CD771-CD764,CC765-CC771-CC764))</f>
        <v>0.29937690971828723</v>
      </c>
      <c r="CE148" s="2200">
        <f>((CE98-CE91)*(1-CE638))/(AVERAGE(CE765-CE771-CE764,BZ765-BZ771-BZ764))</f>
        <v>0.29526298519714589</v>
      </c>
      <c r="CF148" s="1873">
        <f>((CF98-CF91)*(1-CF638))*4/(AVERAGE(CF765-CF771-CF764,CE765-CE771-CE764))</f>
        <v>0.32654350605422128</v>
      </c>
      <c r="CG148" s="1873">
        <f>((CG98-CG91)*(1-CG638))*4/(AVERAGE(CG765-CG771-CG764,CF765-CF771-CF764))</f>
        <v>0.38290713798030562</v>
      </c>
      <c r="CH148" s="1873">
        <f>((CH98-CH91)*(1-CH638))*4/(AVERAGE(CH765-CH771-CH764,CG765-CG771-CG764))</f>
        <v>0.40756320868691859</v>
      </c>
      <c r="CI148" s="1873">
        <f>((CI98-CI91)*(1-CI638))*4/(AVERAGE(CI765-CI771-CI764,CH765-CH771-CH764))</f>
        <v>0.43597632305460665</v>
      </c>
      <c r="CJ148" s="2200">
        <f>((CJ98-CJ91)*(1-CJ638))/(AVERAGE(CJ765-CJ771-CJ764,CE765-CE771-CE764))</f>
        <v>0.3901054210526691</v>
      </c>
      <c r="CK148" s="1873">
        <f>((CK98-CK91)*(1-CK638))*4/(AVERAGE(CK765-CK771-CK764,CJ765-CJ771-CJ764))</f>
        <v>0.50170475426590944</v>
      </c>
      <c r="CL148" s="1873">
        <f>((CL98-CL91)*(1-CL638))*4/(AVERAGE(CL765-CL771-CL764,CK765-CK771-CK764))</f>
        <v>0.51059431524547794</v>
      </c>
      <c r="CM148" s="1873">
        <f>((CM98-CM91)*(1-CM638))*4/(AVERAGE(CM765-CM771-CM764,CL765-CL771-CL764))</f>
        <v>8.3297731658232066E-2</v>
      </c>
      <c r="CN148" s="1873">
        <f>((CN98-CN91)*(1-CN638))*4/(AVERAGE(CN765-CN771-CN764,CM765-CM771-CM764))</f>
        <v>9.1184342850728684E-2</v>
      </c>
      <c r="CO148" s="2200">
        <f>((CO98-CO91)*(1-CO638))/(AVERAGE(CO765-CO771-CO764,CJ765-CJ771-CJ764))</f>
        <v>0.1236928384760279</v>
      </c>
      <c r="CP148" s="1873">
        <f>((CP98-CP91)*(1-CP638))*4/(AVERAGE(CP765-CP771-CP764,CO765-CO771-CO764))</f>
        <v>0.11097690413164539</v>
      </c>
      <c r="CQ148" s="1873">
        <f>((CQ98-CQ91)*(1-CQ638))*4/(AVERAGE(CQ765-CQ771-CQ764,CP765-CP771-CP764))</f>
        <v>0.11383112439833075</v>
      </c>
      <c r="CR148" s="1873">
        <f>((CR98-CR91)*(1-CR638))*4/(AVERAGE(CR765-CR771-CR764,CQ765-CQ771-CQ764))</f>
        <v>0.11187693746347166</v>
      </c>
      <c r="CS148" s="1873">
        <f>((CS98-CS91)*(1-CS638))*4/(AVERAGE(CS765-CS771-CS764,CR765-CR771-CR764))</f>
        <v>2.8073389132842037E-2</v>
      </c>
      <c r="CT148" s="2200">
        <f>((CT98-CT91)*(1-CT638))/(AVERAGE(CT765-CT771-CT764,CO765-CO771-CO764))</f>
        <v>7.8939956676678122E-2</v>
      </c>
      <c r="CU148" s="1873">
        <f ca="1">((CU98-CU91)*(1-CU638))*4/(AVERAGE(CU765-CU771-CU764,CT765-CT771-CT764))</f>
        <v>0.12882978837728404</v>
      </c>
      <c r="CV148" s="1873">
        <f ca="1">((CV98-CV91)*(1-CV638))*4/(AVERAGE(CV765-CV771-CV764,CU765-CU771-CU764))</f>
        <v>0.14455631170304634</v>
      </c>
      <c r="CW148" s="1873">
        <f ca="1">((CW98-CW91)*(1-CW638))*4/(AVERAGE(CW765-CW771-CW764,CV765-CV771-CV764))</f>
        <v>0.1405548620732836</v>
      </c>
      <c r="CX148" s="1873">
        <f ca="1">((CX98-CX91)*(1-CX638))*4/(AVERAGE(CX765-CX771-CX764,CW765-CW771-CW764))</f>
        <v>0.14603915332913339</v>
      </c>
      <c r="CY148" s="2200">
        <f ca="1">((CY98-CY91)*(1-CY638))/(AVERAGE(CY765-CY771-CY764,CT765-CT771-CT764))</f>
        <v>0.1403490750485038</v>
      </c>
      <c r="CZ148" s="2200">
        <f ca="1">((CZ98-CZ91)*(1-CZ638))/(AVERAGE(CZ765-CZ771-CZ764,CE765-CE771-CE764))</f>
        <v>0.26583565329913733</v>
      </c>
      <c r="DA148" s="2200">
        <f ca="1">((DA98-DA91)*(1-DA638))/(AVERAGE(DA765-DA771-DA764,CJ765-CJ771-CJ764))</f>
        <v>0.27944976184799186</v>
      </c>
      <c r="DD148" s="2387" t="str">
        <f>A148</f>
        <v>ROIC</v>
      </c>
      <c r="DE148" s="849"/>
      <c r="DF148" s="2319">
        <f>R148</f>
        <v>0</v>
      </c>
      <c r="DG148" s="2319">
        <f>W148</f>
        <v>0</v>
      </c>
      <c r="DH148" s="2319">
        <f>AB148</f>
        <v>0</v>
      </c>
      <c r="DI148" s="2319">
        <f>AG148</f>
        <v>0.10753332238396431</v>
      </c>
      <c r="DJ148" s="2319">
        <f>AL148</f>
        <v>0.12411728448574437</v>
      </c>
      <c r="DK148" s="2319">
        <f>AQ148</f>
        <v>0.1523008893211428</v>
      </c>
      <c r="DL148" s="2319">
        <f>AV148</f>
        <v>0.17481464184675002</v>
      </c>
      <c r="DM148" s="2319">
        <f>BA148</f>
        <v>0.13904168322422772</v>
      </c>
      <c r="DN148" s="2319">
        <f>BF148</f>
        <v>9.6915516520284392E-2</v>
      </c>
      <c r="DO148" s="2319">
        <f>BK148</f>
        <v>0.10221808227782596</v>
      </c>
      <c r="DP148" s="2319">
        <f>BP148</f>
        <v>0.14688844753392916</v>
      </c>
      <c r="DQ148" s="2319">
        <f>BU148</f>
        <v>0.26705485919301503</v>
      </c>
      <c r="DR148" s="2319">
        <f>BZ148</f>
        <v>0.26861443544523694</v>
      </c>
      <c r="DS148" s="2319">
        <f>CE148</f>
        <v>0.29526298519714589</v>
      </c>
      <c r="DT148" s="2319">
        <f>CJ148</f>
        <v>0.3901054210526691</v>
      </c>
      <c r="DU148" s="2319">
        <f>CO148</f>
        <v>0.1236928384760279</v>
      </c>
      <c r="DV148" s="2319">
        <f>CT148</f>
        <v>7.8939956676678122E-2</v>
      </c>
      <c r="DW148" s="2319">
        <f ca="1">CY148</f>
        <v>0.1403490750485038</v>
      </c>
      <c r="DX148" s="2319">
        <f ca="1">CZ148</f>
        <v>0.26583565329913733</v>
      </c>
      <c r="DY148" s="2319">
        <f ca="1">DA148</f>
        <v>0.27944976184799186</v>
      </c>
      <c r="DZ148" s="855"/>
      <c r="EK148"/>
      <c r="EL148"/>
    </row>
    <row r="149" spans="1:148" s="1193" customFormat="1" ht="12.75" customHeight="1" x14ac:dyDescent="0.2">
      <c r="A149" s="2203" t="s">
        <v>204</v>
      </c>
      <c r="B149" s="1873"/>
      <c r="C149" s="1873"/>
      <c r="D149" s="1873"/>
      <c r="E149" s="1873"/>
      <c r="F149" s="1873"/>
      <c r="G149" s="1873"/>
      <c r="H149" s="1873"/>
      <c r="I149" s="1873"/>
      <c r="J149" s="1873"/>
      <c r="K149" s="1873"/>
      <c r="L149" s="1873"/>
      <c r="M149" s="2200"/>
      <c r="N149" s="1873"/>
      <c r="O149" s="1873"/>
      <c r="P149" s="1873"/>
      <c r="Q149" s="1873"/>
      <c r="R149" s="2200"/>
      <c r="S149" s="1873"/>
      <c r="T149" s="1873"/>
      <c r="U149" s="1873"/>
      <c r="V149" s="1873"/>
      <c r="W149" s="2200"/>
      <c r="X149" s="1873"/>
      <c r="Y149" s="1873"/>
      <c r="Z149" s="1873"/>
      <c r="AA149" s="1873"/>
      <c r="AB149" s="2200"/>
      <c r="AC149" s="1873"/>
      <c r="AD149" s="1873"/>
      <c r="AE149" s="1873"/>
      <c r="AF149" s="1873"/>
      <c r="AG149" s="2200">
        <f t="shared" ref="AG149:CE149" si="455">IF(AG146*AG145*AG144&lt;0,"NM",AG146*AG145*AG144)</f>
        <v>0.17034577065833167</v>
      </c>
      <c r="AH149" s="1873">
        <f t="shared" si="455"/>
        <v>0.1749656807687508</v>
      </c>
      <c r="AI149" s="1873">
        <f t="shared" si="455"/>
        <v>0.1864205669083718</v>
      </c>
      <c r="AJ149" s="1873">
        <f t="shared" si="455"/>
        <v>0.20270270270270274</v>
      </c>
      <c r="AK149" s="1873">
        <f t="shared" si="455"/>
        <v>0.22425629290617846</v>
      </c>
      <c r="AL149" s="2200">
        <f t="shared" si="455"/>
        <v>0.20792079207920794</v>
      </c>
      <c r="AM149" s="1873">
        <f t="shared" si="455"/>
        <v>0.20235069885641677</v>
      </c>
      <c r="AN149" s="1873">
        <f t="shared" si="455"/>
        <v>0.22122272197234719</v>
      </c>
      <c r="AO149" s="1873">
        <f t="shared" si="455"/>
        <v>0.23529411764705882</v>
      </c>
      <c r="AP149" s="1873">
        <f t="shared" si="455"/>
        <v>0.26353383458646618</v>
      </c>
      <c r="AQ149" s="2200">
        <f t="shared" si="455"/>
        <v>0.24763755188554273</v>
      </c>
      <c r="AR149" s="1873">
        <f t="shared" si="455"/>
        <v>0.34958677685950418</v>
      </c>
      <c r="AS149" s="1873">
        <f t="shared" si="455"/>
        <v>0.43930360124016216</v>
      </c>
      <c r="AT149" s="1873">
        <f t="shared" si="455"/>
        <v>0.52181115405853118</v>
      </c>
      <c r="AU149" s="1873">
        <f t="shared" si="455"/>
        <v>0.55129870129870118</v>
      </c>
      <c r="AV149" s="2200">
        <f t="shared" si="455"/>
        <v>0.46693249003162374</v>
      </c>
      <c r="AW149" s="1873">
        <f t="shared" si="455"/>
        <v>0.53401236813386677</v>
      </c>
      <c r="AX149" s="1873">
        <f t="shared" si="455"/>
        <v>0.47404718693284931</v>
      </c>
      <c r="AY149" s="1873">
        <f t="shared" si="455"/>
        <v>0.42822214460356267</v>
      </c>
      <c r="AZ149" s="1873">
        <f t="shared" si="455"/>
        <v>0.35398860398860404</v>
      </c>
      <c r="BA149" s="2200">
        <f t="shared" si="455"/>
        <v>0.35736113607765596</v>
      </c>
      <c r="BB149" s="1873">
        <f t="shared" si="455"/>
        <v>0.32683106367316883</v>
      </c>
      <c r="BC149" s="1873">
        <f t="shared" si="455"/>
        <v>0.23584905660377362</v>
      </c>
      <c r="BD149" s="1873">
        <f t="shared" si="455"/>
        <v>1.1813643926788676E-2</v>
      </c>
      <c r="BE149" s="1873">
        <f t="shared" si="455"/>
        <v>7.4471086036671352E-2</v>
      </c>
      <c r="BF149" s="2200">
        <f t="shared" si="455"/>
        <v>6.4878148679090711E-2</v>
      </c>
      <c r="BG149" s="1873">
        <f t="shared" si="455"/>
        <v>7.7034358047016263E-2</v>
      </c>
      <c r="BH149" s="1873">
        <f t="shared" si="455"/>
        <v>0.10479511769834349</v>
      </c>
      <c r="BI149" s="1873">
        <f t="shared" si="455"/>
        <v>0.29158588600232654</v>
      </c>
      <c r="BJ149" s="1873">
        <f t="shared" si="455"/>
        <v>0.26258503401360545</v>
      </c>
      <c r="BK149" s="2200">
        <f t="shared" si="455"/>
        <v>0.29499426824608327</v>
      </c>
      <c r="BL149" s="1873">
        <f t="shared" si="455"/>
        <v>0.26926960619320095</v>
      </c>
      <c r="BM149" s="1873">
        <f t="shared" si="455"/>
        <v>0.33068992862807295</v>
      </c>
      <c r="BN149" s="1873">
        <f t="shared" si="455"/>
        <v>0.57598978288633462</v>
      </c>
      <c r="BO149" s="1873" t="str">
        <f t="shared" si="455"/>
        <v>NM</v>
      </c>
      <c r="BP149" s="2200">
        <f t="shared" si="455"/>
        <v>0.87517273146015662</v>
      </c>
      <c r="BQ149" s="1873" t="str">
        <f t="shared" si="455"/>
        <v>NM</v>
      </c>
      <c r="BR149" s="1873" t="str">
        <f t="shared" si="455"/>
        <v>NM</v>
      </c>
      <c r="BS149" s="1873" t="str">
        <f t="shared" si="455"/>
        <v>NM</v>
      </c>
      <c r="BT149" s="1873" t="str">
        <f t="shared" si="455"/>
        <v>NM</v>
      </c>
      <c r="BU149" s="2200" t="str">
        <f t="shared" si="455"/>
        <v>NM</v>
      </c>
      <c r="BV149" s="1873" t="str">
        <f t="shared" si="455"/>
        <v>NM</v>
      </c>
      <c r="BW149" s="1873" t="str">
        <f t="shared" si="455"/>
        <v>NM</v>
      </c>
      <c r="BX149" s="1873" t="str">
        <f>IF(BX146*BX145*BX144&lt;0,"NM",BX146*BX145*BX144)</f>
        <v>NM</v>
      </c>
      <c r="BY149" s="1873" t="str">
        <f t="shared" si="455"/>
        <v>NM</v>
      </c>
      <c r="BZ149" s="2200" t="str">
        <f t="shared" si="455"/>
        <v>NM</v>
      </c>
      <c r="CA149" s="1873" t="str">
        <f>IF(CA146*CA145*CA144&lt;0,"NM",CA146*CA145*CA144)</f>
        <v>NM</v>
      </c>
      <c r="CB149" s="1873" t="str">
        <f t="shared" si="455"/>
        <v>NM</v>
      </c>
      <c r="CC149" s="1873" t="str">
        <f t="shared" si="455"/>
        <v>NM</v>
      </c>
      <c r="CD149" s="1873" t="str">
        <f t="shared" si="455"/>
        <v>NM</v>
      </c>
      <c r="CE149" s="2200" t="str">
        <f t="shared" si="455"/>
        <v>NM</v>
      </c>
      <c r="CF149" s="1873" t="str">
        <f>IF(CF146*CF145*CF144&lt;0,"NM",CF146*CF145*CF144)</f>
        <v>NM</v>
      </c>
      <c r="CG149" s="1873" t="str">
        <f>IF(CG146*CG145*CG144&lt;0,"NM",CG146*CG145*CG144)</f>
        <v>NM</v>
      </c>
      <c r="CH149" s="1873" t="str">
        <f>IF(CH146*CH145*CH144&lt;0,"NM",CH146*CH145*CH144)</f>
        <v>NM</v>
      </c>
      <c r="CI149" s="1873" t="str">
        <f>IF(CI146*CI145*CI144&lt;0,"NM",CI146*CI145*CI144)</f>
        <v>NM</v>
      </c>
      <c r="CJ149" s="2200" t="str">
        <f>IF(CJ146*CJ145*CJ144&lt;0,"NM",CJ146*CJ145*CJ144)</f>
        <v>NM</v>
      </c>
      <c r="CK149" s="1873" t="str">
        <f t="shared" ref="CK149:CT149" si="456">IF(CK146*CK145*CK144&lt;0,"NM",CK146*CK145*CK144)</f>
        <v>NM</v>
      </c>
      <c r="CL149" s="1873" t="str">
        <f t="shared" si="456"/>
        <v>NM</v>
      </c>
      <c r="CM149" s="1873">
        <f t="shared" si="456"/>
        <v>0.78015973097940305</v>
      </c>
      <c r="CN149" s="1873">
        <f t="shared" si="456"/>
        <v>0.17324522236113596</v>
      </c>
      <c r="CO149" s="2200">
        <f t="shared" si="456"/>
        <v>1.0979060554612339</v>
      </c>
      <c r="CP149" s="1873">
        <f t="shared" si="456"/>
        <v>0.21643705463182897</v>
      </c>
      <c r="CQ149" s="1873">
        <f t="shared" si="456"/>
        <v>0.2594100705134571</v>
      </c>
      <c r="CR149" s="1873">
        <f t="shared" si="456"/>
        <v>0.31530861574418362</v>
      </c>
      <c r="CS149" s="1873">
        <f t="shared" si="456"/>
        <v>0.4046693710643306</v>
      </c>
      <c r="CT149" s="2200">
        <f t="shared" si="456"/>
        <v>0.36677863203094413</v>
      </c>
      <c r="CU149" s="1873">
        <f t="shared" ref="CU149:DA149" ca="1" si="457">IF(CU146*CU145*CU144&lt;0,"NM",CU146*CU145*CU144)</f>
        <v>0.825862849855725</v>
      </c>
      <c r="CV149" s="1873">
        <f t="shared" ca="1" si="457"/>
        <v>0.87867118931990773</v>
      </c>
      <c r="CW149" s="1873">
        <f t="shared" ca="1" si="457"/>
        <v>0.56095902882725901</v>
      </c>
      <c r="CX149" s="1873">
        <f t="shared" ca="1" si="457"/>
        <v>0.99029344335285474</v>
      </c>
      <c r="CY149" s="2200">
        <f t="shared" ca="1" si="457"/>
        <v>0.57254034020285416</v>
      </c>
      <c r="CZ149" s="2200">
        <f t="shared" ca="1" si="457"/>
        <v>0.8134255763228333</v>
      </c>
      <c r="DA149" s="2200">
        <f t="shared" ca="1" si="457"/>
        <v>0.96379452116325015</v>
      </c>
      <c r="DB149"/>
      <c r="DC149"/>
      <c r="DD149" s="2320" t="s">
        <v>204</v>
      </c>
      <c r="DE149" s="2319">
        <f t="shared" si="421"/>
        <v>0</v>
      </c>
      <c r="DF149" s="2319">
        <f t="shared" si="422"/>
        <v>0</v>
      </c>
      <c r="DG149" s="2319">
        <f t="shared" si="423"/>
        <v>0</v>
      </c>
      <c r="DH149" s="2319">
        <f t="shared" si="424"/>
        <v>0</v>
      </c>
      <c r="DI149" s="2319">
        <f t="shared" si="425"/>
        <v>0.17034577065833167</v>
      </c>
      <c r="DJ149" s="2319">
        <f t="shared" si="426"/>
        <v>0.20792079207920794</v>
      </c>
      <c r="DK149" s="2319">
        <f t="shared" si="427"/>
        <v>0.24763755188554273</v>
      </c>
      <c r="DL149" s="2319">
        <f t="shared" si="428"/>
        <v>0.46693249003162374</v>
      </c>
      <c r="DM149" s="2319">
        <f t="shared" si="429"/>
        <v>0.35736113607765596</v>
      </c>
      <c r="DN149" s="2319">
        <f t="shared" si="430"/>
        <v>6.4878148679090711E-2</v>
      </c>
      <c r="DO149" s="2319">
        <f t="shared" si="431"/>
        <v>0.29499426824608327</v>
      </c>
      <c r="DP149" s="2319">
        <f t="shared" si="432"/>
        <v>0.87517273146015662</v>
      </c>
      <c r="DQ149" s="2319" t="str">
        <f t="shared" si="433"/>
        <v>NM</v>
      </c>
      <c r="DR149" s="2319" t="str">
        <f t="shared" si="434"/>
        <v>NM</v>
      </c>
      <c r="DS149" s="2319" t="str">
        <f t="shared" si="435"/>
        <v>NM</v>
      </c>
      <c r="DT149" s="2319" t="str">
        <f t="shared" si="436"/>
        <v>NM</v>
      </c>
      <c r="DU149" s="2319">
        <f t="shared" si="437"/>
        <v>1.0979060554612339</v>
      </c>
      <c r="DV149" s="2319">
        <f t="shared" si="438"/>
        <v>0.36677863203094413</v>
      </c>
      <c r="DW149" s="2319">
        <f t="shared" ca="1" si="439"/>
        <v>0.57254034020285416</v>
      </c>
      <c r="DX149" s="2319">
        <f t="shared" ca="1" si="440"/>
        <v>0.8134255763228333</v>
      </c>
      <c r="DY149" s="2319">
        <f t="shared" ca="1" si="441"/>
        <v>0.96379452116325015</v>
      </c>
      <c r="EA149"/>
      <c r="EB149"/>
      <c r="EC149"/>
      <c r="ED149"/>
      <c r="EE149"/>
      <c r="EF149"/>
      <c r="EG149" s="243"/>
      <c r="EH149" s="243"/>
      <c r="EI149" s="243"/>
      <c r="EJ149"/>
      <c r="EK149"/>
      <c r="EL149"/>
      <c r="EM149" s="243"/>
      <c r="EN149" s="243"/>
      <c r="EO149" s="243"/>
      <c r="EP149" s="243"/>
      <c r="EQ149" s="243"/>
      <c r="ER149" s="234"/>
    </row>
    <row r="150" spans="1:148" s="1193" customFormat="1" ht="12.75" customHeight="1" x14ac:dyDescent="0.2">
      <c r="A150" s="2199" t="s">
        <v>205</v>
      </c>
      <c r="B150" s="1873"/>
      <c r="C150" s="1873"/>
      <c r="D150" s="1873"/>
      <c r="E150" s="1873"/>
      <c r="F150" s="1873"/>
      <c r="G150" s="1873"/>
      <c r="H150" s="1873"/>
      <c r="I150" s="1873"/>
      <c r="J150" s="1873"/>
      <c r="K150" s="1873"/>
      <c r="L150" s="1873"/>
      <c r="M150" s="1533"/>
      <c r="N150" s="1873"/>
      <c r="O150" s="1873"/>
      <c r="P150" s="1873"/>
      <c r="Q150" s="1873"/>
      <c r="R150" s="1533"/>
      <c r="S150" s="1873"/>
      <c r="T150" s="1873"/>
      <c r="U150" s="1873"/>
      <c r="V150" s="1873"/>
      <c r="W150" s="1533"/>
      <c r="X150" s="1873"/>
      <c r="Y150" s="1873"/>
      <c r="Z150" s="1873"/>
      <c r="AA150" s="1873"/>
      <c r="AB150" s="1533"/>
      <c r="AC150" s="1873"/>
      <c r="AD150" s="1873"/>
      <c r="AE150" s="1873"/>
      <c r="AF150" s="1873"/>
      <c r="AG150" s="1533">
        <f>AG144*AG145</f>
        <v>7.8077898821071481E-2</v>
      </c>
      <c r="AH150" s="1873">
        <f t="shared" ref="AH150:CE150" si="458">AH144*AH145</f>
        <v>8.2002690530502423E-2</v>
      </c>
      <c r="AI150" s="1873">
        <f t="shared" si="458"/>
        <v>8.3703309062925474E-2</v>
      </c>
      <c r="AJ150" s="1873">
        <f t="shared" si="458"/>
        <v>8.2557526787282634E-2</v>
      </c>
      <c r="AK150" s="1873">
        <f t="shared" si="458"/>
        <v>8.573928258967628E-2</v>
      </c>
      <c r="AL150" s="1533">
        <f t="shared" si="458"/>
        <v>8.6374052529525819E-2</v>
      </c>
      <c r="AM150" s="1873">
        <f t="shared" si="458"/>
        <v>7.4026728646135964E-2</v>
      </c>
      <c r="AN150" s="1873">
        <f t="shared" si="458"/>
        <v>7.7874860728317605E-2</v>
      </c>
      <c r="AO150" s="1873">
        <f t="shared" si="458"/>
        <v>7.9822616407982258E-2</v>
      </c>
      <c r="AP150" s="1873">
        <f t="shared" si="458"/>
        <v>8.2948763459945563E-2</v>
      </c>
      <c r="AQ150" s="1533">
        <f t="shared" si="458"/>
        <v>8.2579885142099838E-2</v>
      </c>
      <c r="AR150" s="1873">
        <f t="shared" si="458"/>
        <v>9.7628526917084985E-2</v>
      </c>
      <c r="AS150" s="1873">
        <f t="shared" si="458"/>
        <v>0.10429169969425885</v>
      </c>
      <c r="AT150" s="1873">
        <f t="shared" si="458"/>
        <v>0.10483110544123357</v>
      </c>
      <c r="AU150" s="1873">
        <f t="shared" si="458"/>
        <v>9.4061599822734321E-2</v>
      </c>
      <c r="AV150" s="1533">
        <f t="shared" si="458"/>
        <v>9.5088760710085665E-2</v>
      </c>
      <c r="AW150" s="1873">
        <f t="shared" si="458"/>
        <v>8.132963988919667E-2</v>
      </c>
      <c r="AX150" s="1873">
        <f t="shared" si="458"/>
        <v>7.2075055187637974E-2</v>
      </c>
      <c r="AY150" s="1873">
        <f t="shared" si="458"/>
        <v>6.7674983440052988E-2</v>
      </c>
      <c r="AZ150" s="1873">
        <f t="shared" si="458"/>
        <v>5.5200755261842621E-2</v>
      </c>
      <c r="BA150" s="1533">
        <f t="shared" si="458"/>
        <v>5.5028095330362334E-2</v>
      </c>
      <c r="BB150" s="1873">
        <f t="shared" si="458"/>
        <v>5.0434486283864363E-2</v>
      </c>
      <c r="BC150" s="1873">
        <f t="shared" si="458"/>
        <v>3.7255688657075715E-2</v>
      </c>
      <c r="BD150" s="1873">
        <f t="shared" si="458"/>
        <v>1.6696061140505571E-3</v>
      </c>
      <c r="BE150" s="1873">
        <f t="shared" si="458"/>
        <v>9.7777777777777759E-3</v>
      </c>
      <c r="BF150" s="1533">
        <f t="shared" si="458"/>
        <v>9.4154010758760055E-3</v>
      </c>
      <c r="BG150" s="1873">
        <f t="shared" si="458"/>
        <v>1.0187731675236157E-2</v>
      </c>
      <c r="BH150" s="1873">
        <f t="shared" si="458"/>
        <v>1.3784403669724769E-2</v>
      </c>
      <c r="BI150" s="1873">
        <f t="shared" si="458"/>
        <v>4.3129158063776096E-2</v>
      </c>
      <c r="BJ150" s="1873">
        <f t="shared" si="458"/>
        <v>4.3439117713256807E-2</v>
      </c>
      <c r="BK150" s="1533">
        <f t="shared" si="458"/>
        <v>4.3848687947290695E-2</v>
      </c>
      <c r="BL150" s="1873">
        <f t="shared" si="458"/>
        <v>4.508820379868117E-2</v>
      </c>
      <c r="BM150" s="1873">
        <f t="shared" si="458"/>
        <v>4.7518659905418495E-2</v>
      </c>
      <c r="BN150" s="1873">
        <f t="shared" si="458"/>
        <v>5.2271673620769586E-2</v>
      </c>
      <c r="BO150" s="1873">
        <f t="shared" si="458"/>
        <v>6.6086956521739126E-2</v>
      </c>
      <c r="BP150" s="1533">
        <f t="shared" si="458"/>
        <v>5.9512622940550021E-2</v>
      </c>
      <c r="BQ150" s="1873">
        <f t="shared" si="458"/>
        <v>8.1284661865739585E-2</v>
      </c>
      <c r="BR150" s="1873">
        <f t="shared" si="458"/>
        <v>8.3429134504844807E-2</v>
      </c>
      <c r="BS150" s="1873">
        <f t="shared" si="458"/>
        <v>9.2486522911051208E-2</v>
      </c>
      <c r="BT150" s="1873">
        <f t="shared" si="458"/>
        <v>9.3552879495371513E-2</v>
      </c>
      <c r="BU150" s="1533">
        <f t="shared" si="458"/>
        <v>9.3664137789624763E-2</v>
      </c>
      <c r="BV150" s="1873">
        <f t="shared" si="458"/>
        <v>9.3742712786630392E-2</v>
      </c>
      <c r="BW150" s="1873">
        <f t="shared" si="458"/>
        <v>9.9069767441860454E-2</v>
      </c>
      <c r="BX150" s="1873">
        <f>BX144*BX145</f>
        <v>0.16971299681107568</v>
      </c>
      <c r="BY150" s="1873">
        <f t="shared" si="458"/>
        <v>9.431972276631008E-2</v>
      </c>
      <c r="BZ150" s="1533">
        <f t="shared" si="458"/>
        <v>9.566745625429815E-2</v>
      </c>
      <c r="CA150" s="1873">
        <f>CA144*CA145</f>
        <v>9.8372836020506713E-2</v>
      </c>
      <c r="CB150" s="1612">
        <f t="shared" si="458"/>
        <v>0.1031493145609485</v>
      </c>
      <c r="CC150" s="1612">
        <f t="shared" si="458"/>
        <v>0.10645609417269869</v>
      </c>
      <c r="CD150" s="1618">
        <f t="shared" si="458"/>
        <v>0.11289381563593932</v>
      </c>
      <c r="CE150" s="1533">
        <f t="shared" si="458"/>
        <v>0.11274581209031319</v>
      </c>
      <c r="CF150" s="1873">
        <f>CF144*CF145</f>
        <v>0.11837869476148667</v>
      </c>
      <c r="CG150" s="1612">
        <f>CG144*CG145</f>
        <v>0.12557147211216091</v>
      </c>
      <c r="CH150" s="1612">
        <f>CH144*CH145</f>
        <v>0.13500080166746833</v>
      </c>
      <c r="CI150" s="1618">
        <f>CI144*CI145</f>
        <v>0.13845525132815692</v>
      </c>
      <c r="CJ150" s="1533">
        <f>CJ144*CJ145</f>
        <v>0.13926340019730352</v>
      </c>
      <c r="CK150" s="1612">
        <f t="shared" ref="CK150:CT150" si="459">CK144*CK145</f>
        <v>0.14193231172662463</v>
      </c>
      <c r="CL150" s="1612">
        <f t="shared" si="459"/>
        <v>0.14141414141414141</v>
      </c>
      <c r="CM150" s="1612">
        <f t="shared" si="459"/>
        <v>5.8637684822444081E-2</v>
      </c>
      <c r="CN150" s="1618">
        <f t="shared" si="459"/>
        <v>3.9477432745919985E-2</v>
      </c>
      <c r="CO150" s="1533">
        <f t="shared" si="459"/>
        <v>4.018227009113505E-2</v>
      </c>
      <c r="CP150" s="1612">
        <f t="shared" si="459"/>
        <v>4.7394153750130029E-2</v>
      </c>
      <c r="CQ150" s="1612">
        <f t="shared" si="459"/>
        <v>5.4637493201690167E-2</v>
      </c>
      <c r="CR150" s="1612">
        <f t="shared" si="459"/>
        <v>6.168298106698257E-2</v>
      </c>
      <c r="CS150" s="1612">
        <f t="shared" si="459"/>
        <v>7.0077356297647705E-2</v>
      </c>
      <c r="CT150" s="1533">
        <f t="shared" si="459"/>
        <v>7.1964290753649629E-2</v>
      </c>
      <c r="CU150" s="1612">
        <f t="shared" ref="CU150:DA150" ca="1" si="460">CU144*CU145</f>
        <v>0.12839648415067592</v>
      </c>
      <c r="CV150" s="1612">
        <f t="shared" ca="1" si="460"/>
        <v>0.13044514979835228</v>
      </c>
      <c r="CW150" s="1612">
        <f t="shared" ca="1" si="460"/>
        <v>7.9459788707724271E-2</v>
      </c>
      <c r="CX150" s="1612">
        <f t="shared" ca="1" si="460"/>
        <v>0.13357685401951197</v>
      </c>
      <c r="CY150" s="1533">
        <f t="shared" ca="1" si="460"/>
        <v>8.2469375946215895E-2</v>
      </c>
      <c r="CZ150" s="1533">
        <f t="shared" ca="1" si="460"/>
        <v>9.2377276453375665E-2</v>
      </c>
      <c r="DA150" s="1533">
        <f t="shared" ca="1" si="460"/>
        <v>8.9201091132487711E-2</v>
      </c>
      <c r="DB150"/>
      <c r="DC150"/>
      <c r="DD150" s="2318" t="s">
        <v>205</v>
      </c>
      <c r="DE150" s="2310">
        <f t="shared" si="421"/>
        <v>0</v>
      </c>
      <c r="DF150" s="2310">
        <f t="shared" si="422"/>
        <v>0</v>
      </c>
      <c r="DG150" s="2310">
        <f t="shared" si="423"/>
        <v>0</v>
      </c>
      <c r="DH150" s="2310">
        <f t="shared" si="424"/>
        <v>0</v>
      </c>
      <c r="DI150" s="2310">
        <f t="shared" si="425"/>
        <v>7.8077898821071481E-2</v>
      </c>
      <c r="DJ150" s="2310">
        <f t="shared" si="426"/>
        <v>8.6374052529525819E-2</v>
      </c>
      <c r="DK150" s="2310">
        <f t="shared" si="427"/>
        <v>8.2579885142099838E-2</v>
      </c>
      <c r="DL150" s="2310">
        <f t="shared" si="428"/>
        <v>9.5088760710085665E-2</v>
      </c>
      <c r="DM150" s="2310">
        <f t="shared" si="429"/>
        <v>5.5028095330362334E-2</v>
      </c>
      <c r="DN150" s="2310">
        <f t="shared" si="430"/>
        <v>9.4154010758760055E-3</v>
      </c>
      <c r="DO150" s="2310">
        <f t="shared" si="431"/>
        <v>4.3848687947290695E-2</v>
      </c>
      <c r="DP150" s="2310">
        <f t="shared" si="432"/>
        <v>5.9512622940550021E-2</v>
      </c>
      <c r="DQ150" s="2310">
        <f t="shared" si="433"/>
        <v>9.3664137789624763E-2</v>
      </c>
      <c r="DR150" s="2310">
        <f t="shared" si="434"/>
        <v>9.566745625429815E-2</v>
      </c>
      <c r="DS150" s="2310">
        <f t="shared" si="435"/>
        <v>0.11274581209031319</v>
      </c>
      <c r="DT150" s="2310">
        <f t="shared" si="436"/>
        <v>0.13926340019730352</v>
      </c>
      <c r="DU150" s="2310">
        <f t="shared" si="437"/>
        <v>4.018227009113505E-2</v>
      </c>
      <c r="DV150" s="2310">
        <f t="shared" si="438"/>
        <v>7.1964290753649629E-2</v>
      </c>
      <c r="DW150" s="2310">
        <f t="shared" ca="1" si="439"/>
        <v>8.2469375946215895E-2</v>
      </c>
      <c r="DX150" s="2310">
        <f t="shared" ca="1" si="440"/>
        <v>9.2377276453375665E-2</v>
      </c>
      <c r="DY150" s="2310">
        <f t="shared" ca="1" si="441"/>
        <v>8.9201091132487711E-2</v>
      </c>
      <c r="EA150"/>
      <c r="EB150"/>
      <c r="EC150"/>
      <c r="ED150"/>
      <c r="EE150"/>
      <c r="EF150"/>
      <c r="EG150" s="243"/>
      <c r="EH150" s="243"/>
      <c r="EI150" s="243"/>
      <c r="EJ150"/>
      <c r="EK150"/>
      <c r="EL150"/>
      <c r="EM150" s="243"/>
      <c r="EN150" s="243"/>
      <c r="EO150" s="243"/>
      <c r="EP150" s="243"/>
      <c r="EQ150" s="243"/>
      <c r="ER150" s="234"/>
    </row>
    <row r="151" spans="1:148" s="243" customFormat="1" ht="12.75" customHeight="1" x14ac:dyDescent="0.2">
      <c r="A151" s="2204" t="s">
        <v>206</v>
      </c>
      <c r="B151" s="1620"/>
      <c r="C151" s="1620"/>
      <c r="D151" s="1620"/>
      <c r="E151" s="1620"/>
      <c r="F151" s="1620"/>
      <c r="G151" s="1620"/>
      <c r="H151" s="1620"/>
      <c r="I151" s="1620"/>
      <c r="J151" s="1620"/>
      <c r="K151" s="1620"/>
      <c r="L151" s="1620"/>
      <c r="M151" s="1623"/>
      <c r="N151" s="1620"/>
      <c r="O151" s="1620"/>
      <c r="P151" s="1620"/>
      <c r="Q151" s="1620"/>
      <c r="R151" s="1623"/>
      <c r="S151" s="1620"/>
      <c r="T151" s="1620"/>
      <c r="U151" s="1620"/>
      <c r="V151" s="1620"/>
      <c r="W151" s="1623"/>
      <c r="X151" s="1620"/>
      <c r="Y151" s="1620"/>
      <c r="Z151" s="1620"/>
      <c r="AA151" s="1620"/>
      <c r="AB151" s="1623"/>
      <c r="AC151" s="1620"/>
      <c r="AD151" s="1620"/>
      <c r="AE151" s="1620"/>
      <c r="AF151" s="1620"/>
      <c r="AG151" s="1623">
        <f t="shared" ref="AG151:BL151" si="461">(AG136+(AG137*(1-AG50)))/AG140</f>
        <v>0.14205283110284422</v>
      </c>
      <c r="AH151" s="1620">
        <f t="shared" si="461"/>
        <v>4.3796795603497085E-2</v>
      </c>
      <c r="AI151" s="1620">
        <f t="shared" si="461"/>
        <v>7.9750037962727033E-2</v>
      </c>
      <c r="AJ151" s="1620">
        <f t="shared" si="461"/>
        <v>0.10852927153647336</v>
      </c>
      <c r="AK151" s="1620">
        <f t="shared" si="461"/>
        <v>0.15747074728172122</v>
      </c>
      <c r="AL151" s="1623">
        <f t="shared" si="461"/>
        <v>0.1597983285566611</v>
      </c>
      <c r="AM151" s="1620">
        <f t="shared" si="461"/>
        <v>0.16097522147843321</v>
      </c>
      <c r="AN151" s="1620">
        <f t="shared" si="461"/>
        <v>0.17095913898921591</v>
      </c>
      <c r="AO151" s="1620">
        <f t="shared" si="461"/>
        <v>0.17802624689281793</v>
      </c>
      <c r="AP151" s="1620">
        <f t="shared" si="461"/>
        <v>0.18042243521476747</v>
      </c>
      <c r="AQ151" s="1623">
        <f t="shared" si="461"/>
        <v>0.1781262135936815</v>
      </c>
      <c r="AR151" s="1620">
        <f t="shared" si="461"/>
        <v>0.179645721539438</v>
      </c>
      <c r="AS151" s="1620">
        <f t="shared" si="461"/>
        <v>0.18613944834723478</v>
      </c>
      <c r="AT151" s="1620">
        <f t="shared" si="461"/>
        <v>0.18247340862566697</v>
      </c>
      <c r="AU151" s="1620">
        <f t="shared" si="461"/>
        <v>0.18662358920108932</v>
      </c>
      <c r="AV151" s="1623">
        <f t="shared" si="461"/>
        <v>0.19299418982507824</v>
      </c>
      <c r="AW151" s="1620">
        <f t="shared" si="461"/>
        <v>0.18302152141487321</v>
      </c>
      <c r="AX151" s="1620">
        <f t="shared" si="461"/>
        <v>0.17585972578877027</v>
      </c>
      <c r="AY151" s="1620">
        <f t="shared" si="461"/>
        <v>0.17197254059696099</v>
      </c>
      <c r="AZ151" s="1620">
        <f t="shared" si="461"/>
        <v>0.15107428982296359</v>
      </c>
      <c r="BA151" s="1623">
        <f t="shared" si="461"/>
        <v>0.15422110592409574</v>
      </c>
      <c r="BB151" s="1620">
        <f t="shared" si="461"/>
        <v>0.14879290112849955</v>
      </c>
      <c r="BC151" s="1620">
        <f t="shared" si="461"/>
        <v>0.13079612540837968</v>
      </c>
      <c r="BD151" s="1620">
        <f t="shared" si="461"/>
        <v>0.12909611992945327</v>
      </c>
      <c r="BE151" s="1620">
        <f t="shared" si="461"/>
        <v>0.1202993667242372</v>
      </c>
      <c r="BF151" s="1623">
        <f t="shared" si="461"/>
        <v>0.11040169764251248</v>
      </c>
      <c r="BG151" s="1620">
        <f t="shared" si="461"/>
        <v>0.1134121149397799</v>
      </c>
      <c r="BH151" s="1620">
        <f t="shared" si="461"/>
        <v>0.11158809550127115</v>
      </c>
      <c r="BI151" s="1620">
        <f t="shared" si="461"/>
        <v>0.1133844590830138</v>
      </c>
      <c r="BJ151" s="1620">
        <f t="shared" si="461"/>
        <v>0.11078499705952823</v>
      </c>
      <c r="BK151" s="1623">
        <f t="shared" si="461"/>
        <v>0.11101780112642069</v>
      </c>
      <c r="BL151" s="1620">
        <f t="shared" si="461"/>
        <v>0.11110714342566233</v>
      </c>
      <c r="BM151" s="1620">
        <f t="shared" ref="BM151:CR151" si="462">(BM136+(BM137*(1-BM50)))/BM140</f>
        <v>0.11398408975889059</v>
      </c>
      <c r="BN151" s="1620">
        <f t="shared" si="462"/>
        <v>0.1214371812702828</v>
      </c>
      <c r="BO151" s="1620">
        <f t="shared" si="462"/>
        <v>0.15184347826086955</v>
      </c>
      <c r="BP151" s="1623">
        <f t="shared" si="462"/>
        <v>0.13603332706884672</v>
      </c>
      <c r="BQ151" s="1620">
        <f t="shared" si="462"/>
        <v>0.18760329228951741</v>
      </c>
      <c r="BR151" s="1620">
        <f t="shared" si="462"/>
        <v>0.19600487505510367</v>
      </c>
      <c r="BS151" s="1620">
        <f t="shared" si="462"/>
        <v>0.21443596561521089</v>
      </c>
      <c r="BT151" s="1620">
        <f t="shared" si="462"/>
        <v>0.22110294831137056</v>
      </c>
      <c r="BU151" s="1623">
        <f t="shared" si="462"/>
        <v>0.22147060322327367</v>
      </c>
      <c r="BV151" s="1620">
        <f t="shared" si="462"/>
        <v>0.21925274521291713</v>
      </c>
      <c r="BW151" s="1620">
        <f t="shared" si="462"/>
        <v>0.22689598255077079</v>
      </c>
      <c r="BX151" s="1620">
        <f t="shared" si="462"/>
        <v>0.24307534657709451</v>
      </c>
      <c r="BY151" s="1620">
        <f t="shared" si="462"/>
        <v>0.21263910114294324</v>
      </c>
      <c r="BZ151" s="1623">
        <f t="shared" si="462"/>
        <v>0.21528934353144238</v>
      </c>
      <c r="CA151" s="1620">
        <f t="shared" si="462"/>
        <v>0.21541066358660532</v>
      </c>
      <c r="CB151" s="1620">
        <f t="shared" si="462"/>
        <v>0.21902068992414345</v>
      </c>
      <c r="CC151" s="1620">
        <f t="shared" si="462"/>
        <v>0.22535795054874405</v>
      </c>
      <c r="CD151" s="1621">
        <f t="shared" si="462"/>
        <v>0.23400479571654376</v>
      </c>
      <c r="CE151" s="1623">
        <f t="shared" si="462"/>
        <v>0.23358936527997942</v>
      </c>
      <c r="CF151" s="1620">
        <f t="shared" si="462"/>
        <v>0.24811037740975139</v>
      </c>
      <c r="CG151" s="1620">
        <f t="shared" si="462"/>
        <v>0.26713128512004669</v>
      </c>
      <c r="CH151" s="1620">
        <f t="shared" si="462"/>
        <v>0.28874505573534703</v>
      </c>
      <c r="CI151" s="1621">
        <f t="shared" si="462"/>
        <v>0.30025037844558156</v>
      </c>
      <c r="CJ151" s="1623">
        <f t="shared" si="462"/>
        <v>0.30126688248649597</v>
      </c>
      <c r="CK151" s="1620">
        <f t="shared" si="462"/>
        <v>0.30592095175228462</v>
      </c>
      <c r="CL151" s="1620">
        <f t="shared" si="462"/>
        <v>0.30108503458963165</v>
      </c>
      <c r="CM151" s="1620">
        <f t="shared" si="462"/>
        <v>0.12202694763569082</v>
      </c>
      <c r="CN151" s="1621">
        <f t="shared" si="462"/>
        <v>9.4611735820093162E-2</v>
      </c>
      <c r="CO151" s="1623">
        <f t="shared" si="462"/>
        <v>9.459683378490337E-2</v>
      </c>
      <c r="CP151" s="1620">
        <f t="shared" si="462"/>
        <v>0.11067873079946508</v>
      </c>
      <c r="CQ151" s="1620">
        <f t="shared" si="462"/>
        <v>0.12542033624638319</v>
      </c>
      <c r="CR151" s="1620">
        <f t="shared" si="462"/>
        <v>0.13997862967637076</v>
      </c>
      <c r="CS151" s="1620">
        <f t="shared" ref="CS151:DA151" si="463">(CS136+(CS137*(1-CS50)))/CS140</f>
        <v>0.13854988764191417</v>
      </c>
      <c r="CT151" s="1623">
        <f t="shared" si="463"/>
        <v>0.14620398505959933</v>
      </c>
      <c r="CU151" s="1620">
        <f t="shared" ca="1" si="463"/>
        <v>0.26174505235944662</v>
      </c>
      <c r="CV151" s="1620">
        <f t="shared" ca="1" si="463"/>
        <v>0.26411247157069995</v>
      </c>
      <c r="CW151" s="1620">
        <f t="shared" ca="1" si="463"/>
        <v>0.15340280733398037</v>
      </c>
      <c r="CX151" s="1620">
        <f t="shared" ca="1" si="463"/>
        <v>0.26781655487879286</v>
      </c>
      <c r="CY151" s="1623">
        <f t="shared" ca="1" si="463"/>
        <v>0.15614203079952446</v>
      </c>
      <c r="CZ151" s="1621">
        <f t="shared" ca="1" si="463"/>
        <v>0.1728384058603839</v>
      </c>
      <c r="DA151" s="1621">
        <f t="shared" ca="1" si="463"/>
        <v>0.16953366644938314</v>
      </c>
      <c r="DB151"/>
      <c r="DC151"/>
      <c r="DD151" s="2321" t="s">
        <v>206</v>
      </c>
      <c r="DE151" s="2322">
        <f t="shared" si="421"/>
        <v>0</v>
      </c>
      <c r="DF151" s="2322">
        <f t="shared" si="422"/>
        <v>0</v>
      </c>
      <c r="DG151" s="2322">
        <f t="shared" si="423"/>
        <v>0</v>
      </c>
      <c r="DH151" s="2322">
        <f t="shared" si="424"/>
        <v>0</v>
      </c>
      <c r="DI151" s="2322">
        <f t="shared" si="425"/>
        <v>0.14205283110284422</v>
      </c>
      <c r="DJ151" s="2322">
        <f t="shared" si="426"/>
        <v>0.1597983285566611</v>
      </c>
      <c r="DK151" s="2322">
        <f t="shared" si="427"/>
        <v>0.1781262135936815</v>
      </c>
      <c r="DL151" s="2322">
        <f t="shared" si="428"/>
        <v>0.19299418982507824</v>
      </c>
      <c r="DM151" s="2322">
        <f t="shared" si="429"/>
        <v>0.15422110592409574</v>
      </c>
      <c r="DN151" s="2322">
        <f t="shared" si="430"/>
        <v>0.11040169764251248</v>
      </c>
      <c r="DO151" s="2322">
        <f t="shared" si="431"/>
        <v>0.11101780112642069</v>
      </c>
      <c r="DP151" s="2322">
        <f t="shared" si="432"/>
        <v>0.13603332706884672</v>
      </c>
      <c r="DQ151" s="2322">
        <f t="shared" si="433"/>
        <v>0.22147060322327367</v>
      </c>
      <c r="DR151" s="2322">
        <f t="shared" si="434"/>
        <v>0.21528934353144238</v>
      </c>
      <c r="DS151" s="2322">
        <f t="shared" si="435"/>
        <v>0.23358936527997942</v>
      </c>
      <c r="DT151" s="2322">
        <f t="shared" si="436"/>
        <v>0.30126688248649597</v>
      </c>
      <c r="DU151" s="2322">
        <f t="shared" si="437"/>
        <v>9.459683378490337E-2</v>
      </c>
      <c r="DV151" s="2322">
        <f t="shared" si="438"/>
        <v>0.14620398505959933</v>
      </c>
      <c r="DW151" s="2322">
        <f t="shared" ca="1" si="439"/>
        <v>0.15614203079952446</v>
      </c>
      <c r="DX151" s="2322">
        <f t="shared" ca="1" si="440"/>
        <v>0.1728384058603839</v>
      </c>
      <c r="DY151" s="2322">
        <f t="shared" ca="1" si="441"/>
        <v>0.16953366644938314</v>
      </c>
      <c r="EA151"/>
      <c r="EB151"/>
      <c r="EC151"/>
      <c r="ED151"/>
      <c r="EE151"/>
      <c r="EF151"/>
      <c r="EJ151"/>
      <c r="EK151"/>
      <c r="EL151"/>
      <c r="ER151" s="234"/>
    </row>
    <row r="152" spans="1:148" s="923" customFormat="1" ht="12.75" customHeight="1" x14ac:dyDescent="0.2">
      <c r="A152" s="865"/>
      <c r="B152" s="220"/>
      <c r="C152" s="220"/>
      <c r="D152" s="220"/>
      <c r="E152" s="220"/>
      <c r="F152" s="220"/>
      <c r="G152" s="220"/>
      <c r="H152" s="220"/>
      <c r="I152" s="220"/>
      <c r="J152" s="220"/>
      <c r="K152" s="220"/>
      <c r="L152" s="220"/>
      <c r="M152" s="220"/>
      <c r="N152" s="220"/>
      <c r="O152" s="220"/>
      <c r="P152" s="220"/>
      <c r="Q152" s="220"/>
      <c r="R152" s="220"/>
      <c r="S152" s="220"/>
      <c r="T152" s="220"/>
      <c r="U152" s="220"/>
      <c r="V152" s="220"/>
      <c r="W152" s="220"/>
      <c r="X152" s="220"/>
      <c r="Y152" s="220"/>
      <c r="Z152" s="220"/>
      <c r="AA152" s="220"/>
      <c r="AB152" s="220"/>
      <c r="AC152" s="220"/>
      <c r="AD152" s="220"/>
      <c r="AE152" s="220"/>
      <c r="AF152" s="220"/>
      <c r="AG152" s="220"/>
      <c r="AH152" s="220"/>
      <c r="AI152" s="220"/>
      <c r="AJ152" s="220"/>
      <c r="AK152" s="220"/>
      <c r="AL152" s="220"/>
      <c r="AM152" s="220"/>
      <c r="AN152" s="220"/>
      <c r="AO152" s="220"/>
      <c r="AP152" s="220"/>
      <c r="AQ152" s="220"/>
      <c r="AR152" s="220"/>
      <c r="AS152" s="220"/>
      <c r="AT152" s="220"/>
      <c r="AU152" s="220"/>
      <c r="AV152" s="220"/>
      <c r="AW152" s="220"/>
      <c r="AX152" s="220"/>
      <c r="AY152" s="220"/>
      <c r="AZ152" s="220"/>
      <c r="BA152" s="220"/>
      <c r="BB152" s="220"/>
      <c r="BC152" s="220"/>
      <c r="BD152" s="220"/>
      <c r="BE152" s="220"/>
      <c r="BF152" s="220"/>
      <c r="BG152" s="220"/>
      <c r="BH152" s="220"/>
      <c r="BI152" s="220"/>
      <c r="BJ152" s="220"/>
      <c r="BK152" s="220"/>
      <c r="BL152" s="220"/>
      <c r="BM152" s="220"/>
      <c r="BN152" s="220"/>
      <c r="BO152" s="220"/>
      <c r="BP152" s="220"/>
      <c r="BQ152" s="220"/>
      <c r="BR152" s="220"/>
      <c r="BS152" s="220"/>
      <c r="BT152" s="220"/>
      <c r="BU152" s="220"/>
      <c r="BV152" s="220"/>
      <c r="BW152" s="220"/>
      <c r="BX152" s="220"/>
      <c r="BY152" s="220"/>
      <c r="BZ152" s="220"/>
      <c r="CA152" s="220"/>
      <c r="CB152" s="220"/>
      <c r="CC152" s="220"/>
      <c r="CD152" s="220"/>
      <c r="CE152" s="220"/>
      <c r="CF152" s="220"/>
      <c r="CG152" s="220"/>
      <c r="CH152" s="220"/>
      <c r="CI152" s="220"/>
      <c r="CJ152" s="220"/>
      <c r="CK152" s="220"/>
      <c r="CL152" s="220"/>
      <c r="CM152" s="220"/>
      <c r="CN152" s="220"/>
      <c r="CO152" s="220"/>
      <c r="CP152" s="220"/>
      <c r="CQ152" s="220"/>
      <c r="CR152" s="220"/>
      <c r="CS152" s="220"/>
      <c r="CT152" s="220"/>
      <c r="CU152" s="220"/>
      <c r="CV152" s="220"/>
      <c r="CW152" s="220"/>
      <c r="CX152" s="220"/>
      <c r="CY152" s="220"/>
      <c r="CZ152" s="220"/>
      <c r="DA152" s="220"/>
      <c r="DB152"/>
      <c r="DC152"/>
      <c r="DD152" s="2323"/>
      <c r="DE152" s="2324"/>
      <c r="DF152" s="2324"/>
      <c r="DG152" s="2324"/>
      <c r="DH152" s="2324"/>
      <c r="DI152" s="2324"/>
      <c r="DJ152" s="2324"/>
      <c r="DK152" s="2324"/>
      <c r="DL152" s="2324"/>
      <c r="DM152" s="2324"/>
      <c r="DN152" s="2324"/>
      <c r="DO152" s="2324"/>
      <c r="DP152" s="2324"/>
      <c r="DQ152" s="2324"/>
      <c r="DR152" s="2324"/>
      <c r="DS152" s="2324"/>
      <c r="DT152" s="2324"/>
      <c r="DU152" s="2324"/>
      <c r="DV152" s="2324"/>
      <c r="DW152" s="2324"/>
      <c r="DX152" s="2324"/>
      <c r="DY152" s="2324"/>
      <c r="EA152"/>
      <c r="EB152"/>
      <c r="EC152"/>
      <c r="ED152"/>
      <c r="EE152"/>
      <c r="EF152"/>
      <c r="EJ152"/>
      <c r="EK152"/>
      <c r="EL152"/>
      <c r="ER152" s="212"/>
    </row>
    <row r="153" spans="1:148" s="923" customFormat="1" ht="12.75" customHeight="1" x14ac:dyDescent="0.2">
      <c r="A153" s="873" t="s">
        <v>930</v>
      </c>
      <c r="B153" s="963"/>
      <c r="C153" s="963"/>
      <c r="D153" s="963"/>
      <c r="E153" s="963"/>
      <c r="F153" s="963"/>
      <c r="G153" s="963"/>
      <c r="H153" s="963"/>
      <c r="I153" s="963" t="str">
        <f t="shared" ref="I153:AN153" si="464">I$5</f>
        <v>1Q00</v>
      </c>
      <c r="J153" s="963" t="str">
        <f t="shared" si="464"/>
        <v>2Q00</v>
      </c>
      <c r="K153" s="963" t="str">
        <f t="shared" si="464"/>
        <v>3Q00</v>
      </c>
      <c r="L153" s="963" t="str">
        <f t="shared" si="464"/>
        <v>4Q00</v>
      </c>
      <c r="M153" s="964">
        <f t="shared" si="464"/>
        <v>2000</v>
      </c>
      <c r="N153" s="963" t="str">
        <f t="shared" si="464"/>
        <v>1Q01</v>
      </c>
      <c r="O153" s="963" t="str">
        <f t="shared" si="464"/>
        <v>2Q01</v>
      </c>
      <c r="P153" s="963" t="str">
        <f t="shared" si="464"/>
        <v>3Q01</v>
      </c>
      <c r="Q153" s="963" t="str">
        <f t="shared" si="464"/>
        <v>4Q01</v>
      </c>
      <c r="R153" s="964">
        <f t="shared" si="464"/>
        <v>2001</v>
      </c>
      <c r="S153" s="963" t="str">
        <f t="shared" si="464"/>
        <v>1Q02</v>
      </c>
      <c r="T153" s="963" t="str">
        <f t="shared" si="464"/>
        <v>2Q02</v>
      </c>
      <c r="U153" s="963" t="str">
        <f t="shared" si="464"/>
        <v>3Q02</v>
      </c>
      <c r="V153" s="963" t="str">
        <f t="shared" si="464"/>
        <v>4Q02</v>
      </c>
      <c r="W153" s="964">
        <f t="shared" si="464"/>
        <v>2002</v>
      </c>
      <c r="X153" s="963" t="str">
        <f t="shared" si="464"/>
        <v>1Q03</v>
      </c>
      <c r="Y153" s="963" t="str">
        <f t="shared" si="464"/>
        <v>2Q03</v>
      </c>
      <c r="Z153" s="963" t="str">
        <f t="shared" si="464"/>
        <v>3Q03</v>
      </c>
      <c r="AA153" s="963" t="str">
        <f t="shared" si="464"/>
        <v>4Q03</v>
      </c>
      <c r="AB153" s="964">
        <f t="shared" si="464"/>
        <v>2003</v>
      </c>
      <c r="AC153" s="963" t="str">
        <f t="shared" si="464"/>
        <v>1Q04</v>
      </c>
      <c r="AD153" s="963" t="str">
        <f t="shared" si="464"/>
        <v>2Q04</v>
      </c>
      <c r="AE153" s="963" t="str">
        <f t="shared" si="464"/>
        <v>3Q04</v>
      </c>
      <c r="AF153" s="963" t="str">
        <f t="shared" si="464"/>
        <v>4Q04</v>
      </c>
      <c r="AG153" s="964" t="str">
        <f t="shared" si="464"/>
        <v>2004</v>
      </c>
      <c r="AH153" s="963" t="str">
        <f t="shared" si="464"/>
        <v>1Q05</v>
      </c>
      <c r="AI153" s="963" t="str">
        <f t="shared" si="464"/>
        <v>2Q05</v>
      </c>
      <c r="AJ153" s="963" t="str">
        <f t="shared" si="464"/>
        <v>3Q05</v>
      </c>
      <c r="AK153" s="963" t="str">
        <f t="shared" si="464"/>
        <v>4Q05</v>
      </c>
      <c r="AL153" s="964" t="str">
        <f t="shared" si="464"/>
        <v>2005</v>
      </c>
      <c r="AM153" s="963" t="str">
        <f t="shared" si="464"/>
        <v>1Q06</v>
      </c>
      <c r="AN153" s="963" t="str">
        <f t="shared" si="464"/>
        <v>2Q06</v>
      </c>
      <c r="AO153" s="963" t="str">
        <f t="shared" ref="AO153:BT153" si="465">AO$5</f>
        <v>3Q06</v>
      </c>
      <c r="AP153" s="963" t="str">
        <f t="shared" si="465"/>
        <v>4Q06</v>
      </c>
      <c r="AQ153" s="964" t="str">
        <f t="shared" si="465"/>
        <v>2006</v>
      </c>
      <c r="AR153" s="963" t="str">
        <f t="shared" si="465"/>
        <v>1Q07</v>
      </c>
      <c r="AS153" s="963" t="str">
        <f t="shared" si="465"/>
        <v>2Q07</v>
      </c>
      <c r="AT153" s="963" t="str">
        <f t="shared" si="465"/>
        <v>3Q07</v>
      </c>
      <c r="AU153" s="963" t="str">
        <f t="shared" si="465"/>
        <v>4Q07</v>
      </c>
      <c r="AV153" s="964" t="str">
        <f t="shared" si="465"/>
        <v>2007</v>
      </c>
      <c r="AW153" s="963" t="str">
        <f t="shared" si="465"/>
        <v>1Q08</v>
      </c>
      <c r="AX153" s="963" t="str">
        <f t="shared" si="465"/>
        <v>2Q08</v>
      </c>
      <c r="AY153" s="963" t="str">
        <f t="shared" si="465"/>
        <v>3Q08</v>
      </c>
      <c r="AZ153" s="963" t="str">
        <f t="shared" si="465"/>
        <v>4Q08</v>
      </c>
      <c r="BA153" s="964" t="str">
        <f t="shared" si="465"/>
        <v>2008</v>
      </c>
      <c r="BB153" s="963" t="str">
        <f t="shared" si="465"/>
        <v>1Q09</v>
      </c>
      <c r="BC153" s="963" t="str">
        <f t="shared" si="465"/>
        <v>2Q09</v>
      </c>
      <c r="BD153" s="963" t="str">
        <f t="shared" si="465"/>
        <v>3Q09</v>
      </c>
      <c r="BE153" s="963" t="str">
        <f t="shared" si="465"/>
        <v>4Q09</v>
      </c>
      <c r="BF153" s="964" t="str">
        <f t="shared" si="465"/>
        <v>2009</v>
      </c>
      <c r="BG153" s="963" t="str">
        <f t="shared" si="465"/>
        <v>1Q10</v>
      </c>
      <c r="BH153" s="963" t="str">
        <f t="shared" si="465"/>
        <v>2Q10</v>
      </c>
      <c r="BI153" s="963" t="str">
        <f t="shared" si="465"/>
        <v>3Q10</v>
      </c>
      <c r="BJ153" s="963" t="str">
        <f t="shared" si="465"/>
        <v>4Q10</v>
      </c>
      <c r="BK153" s="964" t="str">
        <f t="shared" si="465"/>
        <v>2010</v>
      </c>
      <c r="BL153" s="963" t="str">
        <f t="shared" si="465"/>
        <v>1Q11</v>
      </c>
      <c r="BM153" s="963" t="str">
        <f t="shared" si="465"/>
        <v>2Q11</v>
      </c>
      <c r="BN153" s="963" t="str">
        <f t="shared" si="465"/>
        <v>3Q11</v>
      </c>
      <c r="BO153" s="963" t="str">
        <f t="shared" si="465"/>
        <v>4Q11</v>
      </c>
      <c r="BP153" s="964">
        <f t="shared" si="465"/>
        <v>2011</v>
      </c>
      <c r="BQ153" s="963" t="str">
        <f t="shared" si="465"/>
        <v>1Q12</v>
      </c>
      <c r="BR153" s="963" t="str">
        <f t="shared" si="465"/>
        <v>2Q12</v>
      </c>
      <c r="BS153" s="963" t="str">
        <f t="shared" si="465"/>
        <v>3Q12</v>
      </c>
      <c r="BT153" s="963" t="str">
        <f t="shared" si="465"/>
        <v>4Q12</v>
      </c>
      <c r="BU153" s="964">
        <f t="shared" ref="BU153:DA153" si="466">BU$5</f>
        <v>2012</v>
      </c>
      <c r="BV153" s="963" t="str">
        <f t="shared" si="466"/>
        <v>1Q13</v>
      </c>
      <c r="BW153" s="963" t="str">
        <f t="shared" si="466"/>
        <v>2Q13</v>
      </c>
      <c r="BX153" s="963" t="str">
        <f t="shared" si="466"/>
        <v>3Q13</v>
      </c>
      <c r="BY153" s="963" t="str">
        <f t="shared" si="466"/>
        <v>4Q13</v>
      </c>
      <c r="BZ153" s="964">
        <f t="shared" si="466"/>
        <v>2013</v>
      </c>
      <c r="CA153" s="963" t="str">
        <f t="shared" si="466"/>
        <v>1Q14</v>
      </c>
      <c r="CB153" s="963" t="str">
        <f t="shared" si="466"/>
        <v>2Q14</v>
      </c>
      <c r="CC153" s="963" t="str">
        <f t="shared" si="466"/>
        <v>3Q14</v>
      </c>
      <c r="CD153" s="964" t="str">
        <f t="shared" si="466"/>
        <v>4Q14</v>
      </c>
      <c r="CE153" s="964">
        <f t="shared" si="466"/>
        <v>2014</v>
      </c>
      <c r="CF153" s="963" t="str">
        <f t="shared" si="466"/>
        <v>1Q15</v>
      </c>
      <c r="CG153" s="963" t="str">
        <f t="shared" si="466"/>
        <v>2Q15</v>
      </c>
      <c r="CH153" s="963" t="str">
        <f t="shared" si="466"/>
        <v>3Q15</v>
      </c>
      <c r="CI153" s="964" t="str">
        <f t="shared" si="466"/>
        <v>4Q15</v>
      </c>
      <c r="CJ153" s="964">
        <f t="shared" si="466"/>
        <v>2015</v>
      </c>
      <c r="CK153" s="963" t="str">
        <f t="shared" si="466"/>
        <v>1Q16</v>
      </c>
      <c r="CL153" s="963" t="str">
        <f t="shared" si="466"/>
        <v>2Q16</v>
      </c>
      <c r="CM153" s="963" t="str">
        <f t="shared" si="466"/>
        <v>3Q16</v>
      </c>
      <c r="CN153" s="964" t="str">
        <f t="shared" si="466"/>
        <v>4Q16</v>
      </c>
      <c r="CO153" s="964">
        <f t="shared" si="466"/>
        <v>2016</v>
      </c>
      <c r="CP153" s="963" t="str">
        <f t="shared" si="466"/>
        <v>1Q17</v>
      </c>
      <c r="CQ153" s="963" t="str">
        <f t="shared" si="466"/>
        <v>2Q17</v>
      </c>
      <c r="CR153" s="963" t="str">
        <f t="shared" si="466"/>
        <v>3Q17</v>
      </c>
      <c r="CS153" s="963" t="str">
        <f t="shared" si="466"/>
        <v>4Q17A</v>
      </c>
      <c r="CT153" s="964" t="str">
        <f t="shared" si="466"/>
        <v>2017A</v>
      </c>
      <c r="CU153" s="963" t="str">
        <f t="shared" si="466"/>
        <v>1Q18E</v>
      </c>
      <c r="CV153" s="963" t="str">
        <f t="shared" si="466"/>
        <v>2Q18E</v>
      </c>
      <c r="CW153" s="963" t="str">
        <f t="shared" si="466"/>
        <v>3Q18E</v>
      </c>
      <c r="CX153" s="963" t="str">
        <f t="shared" si="466"/>
        <v>4Q18E</v>
      </c>
      <c r="CY153" s="964" t="str">
        <f t="shared" si="466"/>
        <v>2018E</v>
      </c>
      <c r="CZ153" s="964" t="str">
        <f t="shared" si="466"/>
        <v>2019E</v>
      </c>
      <c r="DA153" s="964" t="str">
        <f t="shared" si="466"/>
        <v>2020E</v>
      </c>
      <c r="DB153"/>
      <c r="DC153"/>
      <c r="DD153" s="873" t="s">
        <v>930</v>
      </c>
      <c r="DE153" s="964">
        <f>M153</f>
        <v>2000</v>
      </c>
      <c r="DF153" s="964">
        <f>R153</f>
        <v>2001</v>
      </c>
      <c r="DG153" s="964">
        <f>W153</f>
        <v>2002</v>
      </c>
      <c r="DH153" s="964">
        <f>AB153</f>
        <v>2003</v>
      </c>
      <c r="DI153" s="964" t="str">
        <f>AG153</f>
        <v>2004</v>
      </c>
      <c r="DJ153" s="964" t="str">
        <f>AL153</f>
        <v>2005</v>
      </c>
      <c r="DK153" s="964" t="str">
        <f>AQ153</f>
        <v>2006</v>
      </c>
      <c r="DL153" s="964" t="str">
        <f>AV153</f>
        <v>2007</v>
      </c>
      <c r="DM153" s="964" t="str">
        <f>BA153</f>
        <v>2008</v>
      </c>
      <c r="DN153" s="964" t="str">
        <f>BF153</f>
        <v>2009</v>
      </c>
      <c r="DO153" s="964" t="str">
        <f>BK153</f>
        <v>2010</v>
      </c>
      <c r="DP153" s="964">
        <f>BP153</f>
        <v>2011</v>
      </c>
      <c r="DQ153" s="964">
        <f>BU153</f>
        <v>2012</v>
      </c>
      <c r="DR153" s="964">
        <f>BZ153</f>
        <v>2013</v>
      </c>
      <c r="DS153" s="964">
        <f>CE153</f>
        <v>2014</v>
      </c>
      <c r="DT153" s="964">
        <f>CJ153</f>
        <v>2015</v>
      </c>
      <c r="DU153" s="964">
        <f>CO153</f>
        <v>2016</v>
      </c>
      <c r="DV153" s="964" t="str">
        <f>CT153</f>
        <v>2017A</v>
      </c>
      <c r="DW153" s="964" t="str">
        <f>CY153</f>
        <v>2018E</v>
      </c>
      <c r="DX153" s="964" t="str">
        <f>CZ153</f>
        <v>2019E</v>
      </c>
      <c r="DY153" s="964" t="str">
        <f>DA153</f>
        <v>2020E</v>
      </c>
      <c r="EA153"/>
      <c r="EB153"/>
      <c r="EC153"/>
      <c r="ED153"/>
      <c r="EE153"/>
      <c r="EF153"/>
      <c r="EJ153"/>
      <c r="EK153"/>
      <c r="EL153"/>
      <c r="ER153" s="212"/>
    </row>
    <row r="154" spans="1:148" ht="12.75" customHeight="1" x14ac:dyDescent="0.2">
      <c r="A154" s="864"/>
      <c r="B154" s="653"/>
      <c r="C154" s="653"/>
      <c r="D154" s="653"/>
      <c r="E154" s="653"/>
      <c r="F154" s="653"/>
      <c r="G154" s="653"/>
      <c r="H154" s="653"/>
      <c r="I154" s="653"/>
      <c r="J154" s="653"/>
      <c r="K154" s="653"/>
      <c r="L154" s="653"/>
      <c r="M154" s="653"/>
      <c r="N154" s="653"/>
      <c r="O154" s="653"/>
      <c r="P154" s="653"/>
      <c r="Q154" s="653"/>
      <c r="R154" s="653"/>
      <c r="S154" s="653"/>
      <c r="T154" s="653"/>
      <c r="U154" s="653"/>
      <c r="V154" s="653"/>
      <c r="W154" s="653"/>
      <c r="X154" s="653"/>
      <c r="Y154" s="653"/>
      <c r="Z154" s="653"/>
      <c r="AA154" s="653"/>
      <c r="AB154" s="653"/>
      <c r="AC154" s="653"/>
      <c r="AD154" s="653"/>
      <c r="AE154" s="653"/>
      <c r="AF154" s="653"/>
      <c r="AG154" s="653"/>
      <c r="AH154" s="653"/>
      <c r="AI154" s="653"/>
      <c r="AJ154" s="653"/>
      <c r="AK154" s="653"/>
      <c r="AL154" s="653"/>
      <c r="AM154" s="653"/>
      <c r="AN154" s="653"/>
      <c r="AO154" s="653"/>
      <c r="AP154" s="653"/>
      <c r="AQ154" s="653"/>
      <c r="AR154" s="653"/>
      <c r="AS154" s="653"/>
      <c r="AT154" s="653"/>
      <c r="AU154" s="653"/>
      <c r="AV154" s="653"/>
      <c r="AW154" s="653"/>
      <c r="AX154" s="653"/>
      <c r="AY154" s="653"/>
      <c r="AZ154" s="653"/>
      <c r="BA154" s="653"/>
      <c r="BB154" s="653"/>
      <c r="BC154" s="653"/>
      <c r="BD154" s="653"/>
      <c r="BE154" s="653"/>
      <c r="BF154" s="653"/>
      <c r="BG154" s="653"/>
      <c r="BH154" s="653"/>
      <c r="BI154" s="653"/>
      <c r="BJ154" s="653"/>
      <c r="BK154" s="653"/>
      <c r="BL154" s="653"/>
      <c r="BM154" s="653"/>
      <c r="BN154" s="653"/>
      <c r="BO154" s="653"/>
      <c r="BP154" s="653"/>
      <c r="BQ154" s="653"/>
      <c r="BR154" s="653"/>
      <c r="BS154" s="653"/>
      <c r="BT154" s="653"/>
      <c r="BU154" s="653"/>
      <c r="BV154" s="653"/>
      <c r="BW154" s="653"/>
      <c r="BX154" s="653"/>
      <c r="BY154" s="653"/>
      <c r="BZ154" s="653"/>
      <c r="CA154" s="653"/>
      <c r="CB154" s="653"/>
      <c r="CC154" s="653"/>
      <c r="CD154" s="653"/>
      <c r="CE154" s="653"/>
      <c r="CF154" s="653"/>
      <c r="CG154" s="653"/>
      <c r="CH154" s="653"/>
      <c r="CI154" s="653"/>
      <c r="CJ154" s="653"/>
      <c r="CK154" s="653"/>
      <c r="CL154" s="653"/>
      <c r="CM154" s="653"/>
      <c r="CN154" s="653"/>
      <c r="CO154" s="653"/>
      <c r="CP154" s="653"/>
      <c r="CQ154" s="653"/>
      <c r="CR154" s="653"/>
      <c r="CS154" s="653"/>
      <c r="CT154" s="653"/>
      <c r="CU154" s="653"/>
      <c r="CV154" s="653"/>
      <c r="CW154" s="653"/>
      <c r="CX154" s="653"/>
      <c r="CY154" s="653"/>
      <c r="CZ154" s="653"/>
      <c r="DA154" s="653"/>
      <c r="DD154" s="864"/>
      <c r="DE154" s="653"/>
      <c r="DF154" s="653"/>
      <c r="DG154" s="653"/>
      <c r="DH154" s="653"/>
      <c r="DI154" s="653"/>
      <c r="DJ154" s="653"/>
      <c r="DK154" s="653"/>
      <c r="DL154" s="653"/>
      <c r="DM154" s="653"/>
      <c r="DN154" s="653"/>
      <c r="DO154" s="653"/>
      <c r="DP154" s="653"/>
      <c r="DQ154" s="653"/>
      <c r="DR154" s="653"/>
      <c r="DS154" s="653"/>
      <c r="DT154" s="653"/>
      <c r="DU154" s="653"/>
      <c r="DV154" s="653"/>
      <c r="DW154" s="653"/>
      <c r="DX154" s="653"/>
      <c r="DY154" s="653"/>
      <c r="EK154"/>
      <c r="EL154"/>
    </row>
    <row r="155" spans="1:148" s="923" customFormat="1" ht="12.75" customHeight="1" x14ac:dyDescent="0.2">
      <c r="A155" s="865"/>
      <c r="B155" s="220"/>
      <c r="C155" s="220"/>
      <c r="D155" s="220"/>
      <c r="E155" s="220"/>
      <c r="F155" s="220"/>
      <c r="G155" s="220"/>
      <c r="H155" s="220"/>
      <c r="I155" s="220"/>
      <c r="J155" s="220"/>
      <c r="K155" s="220"/>
      <c r="L155" s="220"/>
      <c r="M155" s="220"/>
      <c r="N155" s="220"/>
      <c r="O155" s="220"/>
      <c r="P155" s="220"/>
      <c r="Q155" s="220"/>
      <c r="R155" s="220"/>
      <c r="S155" s="220"/>
      <c r="T155" s="220"/>
      <c r="U155" s="220"/>
      <c r="V155" s="220"/>
      <c r="W155" s="220"/>
      <c r="X155" s="220"/>
      <c r="Y155" s="220"/>
      <c r="Z155" s="220"/>
      <c r="AA155" s="220"/>
      <c r="AB155" s="220"/>
      <c r="AC155" s="220"/>
      <c r="AD155" s="220"/>
      <c r="AE155" s="220"/>
      <c r="AF155" s="220"/>
      <c r="AG155" s="220"/>
      <c r="AH155" s="220"/>
      <c r="AI155" s="220"/>
      <c r="AJ155" s="220"/>
      <c r="AK155" s="220"/>
      <c r="AL155" s="220"/>
      <c r="AM155" s="220"/>
      <c r="AN155" s="220"/>
      <c r="AO155" s="220"/>
      <c r="AP155" s="220"/>
      <c r="AQ155" s="220"/>
      <c r="AR155" s="220"/>
      <c r="AS155" s="220"/>
      <c r="AT155" s="220"/>
      <c r="AU155" s="220"/>
      <c r="AV155" s="220"/>
      <c r="AW155" s="220"/>
      <c r="AX155" s="220"/>
      <c r="AY155" s="220"/>
      <c r="AZ155" s="220"/>
      <c r="BA155" s="220"/>
      <c r="BB155" s="220"/>
      <c r="BC155" s="220"/>
      <c r="BD155" s="220"/>
      <c r="BE155" s="220"/>
      <c r="BF155" s="220"/>
      <c r="BG155" s="220"/>
      <c r="BH155" s="220"/>
      <c r="BI155" s="220"/>
      <c r="BJ155" s="220"/>
      <c r="BK155" s="220"/>
      <c r="BL155" s="220"/>
      <c r="BM155" s="220"/>
      <c r="BN155" s="220"/>
      <c r="BO155" s="220"/>
      <c r="BP155" s="220"/>
      <c r="BQ155" s="220"/>
      <c r="BR155" s="220"/>
      <c r="BS155" s="220"/>
      <c r="BT155" s="220"/>
      <c r="BU155" s="220"/>
      <c r="BV155" s="220"/>
      <c r="BW155" s="220"/>
      <c r="BX155" s="220"/>
      <c r="BY155" s="220"/>
      <c r="BZ155" s="220"/>
      <c r="CA155" s="220"/>
      <c r="CB155" s="220"/>
      <c r="CC155" s="220"/>
      <c r="CD155" s="220"/>
      <c r="CE155" s="220"/>
      <c r="CF155" s="220"/>
      <c r="CG155" s="220"/>
      <c r="CH155" s="220"/>
      <c r="CI155" s="220"/>
      <c r="CJ155" s="220"/>
      <c r="CK155" s="220"/>
      <c r="CL155" s="220"/>
      <c r="CM155" s="220"/>
      <c r="CN155" s="220"/>
      <c r="CO155" s="220"/>
      <c r="CP155" s="220"/>
      <c r="CQ155" s="220"/>
      <c r="CR155" s="220"/>
      <c r="CS155" s="220"/>
      <c r="CT155" s="220"/>
      <c r="CU155" s="220"/>
      <c r="CV155" s="220"/>
      <c r="CW155" s="220"/>
      <c r="CX155" s="220"/>
      <c r="CY155" s="220"/>
      <c r="CZ155" s="220"/>
      <c r="DA155" s="220"/>
      <c r="DB155"/>
      <c r="DC155"/>
      <c r="DD155" s="2323"/>
      <c r="DE155" s="2324"/>
      <c r="DF155" s="2324"/>
      <c r="DG155" s="2324"/>
      <c r="DH155" s="2324"/>
      <c r="DI155" s="2324"/>
      <c r="DJ155" s="2324"/>
      <c r="DK155" s="2324"/>
      <c r="DL155" s="2324"/>
      <c r="DM155" s="2324"/>
      <c r="DN155" s="2324"/>
      <c r="DO155" s="2324"/>
      <c r="DP155" s="2324"/>
      <c r="DQ155" s="2324"/>
      <c r="DR155" s="2324"/>
      <c r="DS155" s="2324"/>
      <c r="DT155" s="2324"/>
      <c r="DU155" s="2324"/>
      <c r="DV155" s="2324"/>
      <c r="DW155" s="2324"/>
      <c r="DX155" s="2324"/>
      <c r="DY155" s="2324"/>
      <c r="EA155"/>
      <c r="EB155"/>
      <c r="EC155"/>
      <c r="ED155"/>
      <c r="EE155"/>
      <c r="EF155"/>
      <c r="EJ155"/>
      <c r="EK155"/>
      <c r="EL155"/>
      <c r="ER155" s="212"/>
    </row>
    <row r="156" spans="1:148" s="923" customFormat="1" ht="12.75" customHeight="1" x14ac:dyDescent="0.2">
      <c r="A156" s="873" t="s">
        <v>803</v>
      </c>
      <c r="B156" s="963"/>
      <c r="C156" s="963"/>
      <c r="D156" s="963"/>
      <c r="E156" s="963"/>
      <c r="F156" s="963"/>
      <c r="G156" s="963"/>
      <c r="H156" s="963"/>
      <c r="I156" s="963" t="str">
        <f t="shared" ref="I156:AN156" si="467">I$5</f>
        <v>1Q00</v>
      </c>
      <c r="J156" s="963" t="str">
        <f t="shared" si="467"/>
        <v>2Q00</v>
      </c>
      <c r="K156" s="963" t="str">
        <f t="shared" si="467"/>
        <v>3Q00</v>
      </c>
      <c r="L156" s="963" t="str">
        <f t="shared" si="467"/>
        <v>4Q00</v>
      </c>
      <c r="M156" s="649">
        <f t="shared" si="467"/>
        <v>2000</v>
      </c>
      <c r="N156" s="963" t="str">
        <f t="shared" si="467"/>
        <v>1Q01</v>
      </c>
      <c r="O156" s="963" t="str">
        <f t="shared" si="467"/>
        <v>2Q01</v>
      </c>
      <c r="P156" s="963" t="str">
        <f t="shared" si="467"/>
        <v>3Q01</v>
      </c>
      <c r="Q156" s="963" t="str">
        <f t="shared" si="467"/>
        <v>4Q01</v>
      </c>
      <c r="R156" s="649">
        <f t="shared" si="467"/>
        <v>2001</v>
      </c>
      <c r="S156" s="963" t="str">
        <f t="shared" si="467"/>
        <v>1Q02</v>
      </c>
      <c r="T156" s="963" t="str">
        <f t="shared" si="467"/>
        <v>2Q02</v>
      </c>
      <c r="U156" s="963" t="str">
        <f t="shared" si="467"/>
        <v>3Q02</v>
      </c>
      <c r="V156" s="963" t="str">
        <f t="shared" si="467"/>
        <v>4Q02</v>
      </c>
      <c r="W156" s="649">
        <f t="shared" si="467"/>
        <v>2002</v>
      </c>
      <c r="X156" s="963" t="str">
        <f t="shared" si="467"/>
        <v>1Q03</v>
      </c>
      <c r="Y156" s="963" t="str">
        <f t="shared" si="467"/>
        <v>2Q03</v>
      </c>
      <c r="Z156" s="963" t="str">
        <f t="shared" si="467"/>
        <v>3Q03</v>
      </c>
      <c r="AA156" s="963" t="str">
        <f t="shared" si="467"/>
        <v>4Q03</v>
      </c>
      <c r="AB156" s="649">
        <f t="shared" si="467"/>
        <v>2003</v>
      </c>
      <c r="AC156" s="963" t="str">
        <f t="shared" si="467"/>
        <v>1Q04</v>
      </c>
      <c r="AD156" s="963" t="str">
        <f t="shared" si="467"/>
        <v>2Q04</v>
      </c>
      <c r="AE156" s="963" t="str">
        <f t="shared" si="467"/>
        <v>3Q04</v>
      </c>
      <c r="AF156" s="963" t="str">
        <f t="shared" si="467"/>
        <v>4Q04</v>
      </c>
      <c r="AG156" s="649" t="str">
        <f t="shared" si="467"/>
        <v>2004</v>
      </c>
      <c r="AH156" s="963" t="str">
        <f t="shared" si="467"/>
        <v>1Q05</v>
      </c>
      <c r="AI156" s="963" t="str">
        <f t="shared" si="467"/>
        <v>2Q05</v>
      </c>
      <c r="AJ156" s="963" t="str">
        <f t="shared" si="467"/>
        <v>3Q05</v>
      </c>
      <c r="AK156" s="963" t="str">
        <f t="shared" si="467"/>
        <v>4Q05</v>
      </c>
      <c r="AL156" s="649" t="str">
        <f t="shared" si="467"/>
        <v>2005</v>
      </c>
      <c r="AM156" s="963" t="str">
        <f t="shared" si="467"/>
        <v>1Q06</v>
      </c>
      <c r="AN156" s="963" t="str">
        <f t="shared" si="467"/>
        <v>2Q06</v>
      </c>
      <c r="AO156" s="963" t="str">
        <f t="shared" ref="AO156:BT156" si="468">AO$5</f>
        <v>3Q06</v>
      </c>
      <c r="AP156" s="963" t="str">
        <f t="shared" si="468"/>
        <v>4Q06</v>
      </c>
      <c r="AQ156" s="649" t="str">
        <f t="shared" si="468"/>
        <v>2006</v>
      </c>
      <c r="AR156" s="963" t="str">
        <f t="shared" si="468"/>
        <v>1Q07</v>
      </c>
      <c r="AS156" s="963" t="str">
        <f t="shared" si="468"/>
        <v>2Q07</v>
      </c>
      <c r="AT156" s="963" t="str">
        <f t="shared" si="468"/>
        <v>3Q07</v>
      </c>
      <c r="AU156" s="963" t="str">
        <f t="shared" si="468"/>
        <v>4Q07</v>
      </c>
      <c r="AV156" s="649" t="str">
        <f t="shared" si="468"/>
        <v>2007</v>
      </c>
      <c r="AW156" s="963" t="str">
        <f t="shared" si="468"/>
        <v>1Q08</v>
      </c>
      <c r="AX156" s="963" t="str">
        <f t="shared" si="468"/>
        <v>2Q08</v>
      </c>
      <c r="AY156" s="963" t="str">
        <f t="shared" si="468"/>
        <v>3Q08</v>
      </c>
      <c r="AZ156" s="963" t="str">
        <f t="shared" si="468"/>
        <v>4Q08</v>
      </c>
      <c r="BA156" s="649" t="str">
        <f t="shared" si="468"/>
        <v>2008</v>
      </c>
      <c r="BB156" s="963" t="str">
        <f t="shared" si="468"/>
        <v>1Q09</v>
      </c>
      <c r="BC156" s="963" t="str">
        <f t="shared" si="468"/>
        <v>2Q09</v>
      </c>
      <c r="BD156" s="963" t="str">
        <f t="shared" si="468"/>
        <v>3Q09</v>
      </c>
      <c r="BE156" s="963" t="str">
        <f t="shared" si="468"/>
        <v>4Q09</v>
      </c>
      <c r="BF156" s="649" t="str">
        <f t="shared" si="468"/>
        <v>2009</v>
      </c>
      <c r="BG156" s="963" t="str">
        <f t="shared" si="468"/>
        <v>1Q10</v>
      </c>
      <c r="BH156" s="963" t="str">
        <f t="shared" si="468"/>
        <v>2Q10</v>
      </c>
      <c r="BI156" s="963" t="str">
        <f t="shared" si="468"/>
        <v>3Q10</v>
      </c>
      <c r="BJ156" s="963" t="str">
        <f t="shared" si="468"/>
        <v>4Q10</v>
      </c>
      <c r="BK156" s="649" t="str">
        <f t="shared" si="468"/>
        <v>2010</v>
      </c>
      <c r="BL156" s="963" t="str">
        <f t="shared" si="468"/>
        <v>1Q11</v>
      </c>
      <c r="BM156" s="963" t="str">
        <f t="shared" si="468"/>
        <v>2Q11</v>
      </c>
      <c r="BN156" s="963" t="str">
        <f t="shared" si="468"/>
        <v>3Q11</v>
      </c>
      <c r="BO156" s="963" t="str">
        <f t="shared" si="468"/>
        <v>4Q11</v>
      </c>
      <c r="BP156" s="649">
        <f t="shared" si="468"/>
        <v>2011</v>
      </c>
      <c r="BQ156" s="963" t="str">
        <f t="shared" si="468"/>
        <v>1Q12</v>
      </c>
      <c r="BR156" s="963" t="str">
        <f t="shared" si="468"/>
        <v>2Q12</v>
      </c>
      <c r="BS156" s="963" t="str">
        <f t="shared" si="468"/>
        <v>3Q12</v>
      </c>
      <c r="BT156" s="963" t="str">
        <f t="shared" si="468"/>
        <v>4Q12</v>
      </c>
      <c r="BU156" s="649">
        <f t="shared" ref="BU156:DA156" si="469">BU$5</f>
        <v>2012</v>
      </c>
      <c r="BV156" s="963" t="str">
        <f t="shared" si="469"/>
        <v>1Q13</v>
      </c>
      <c r="BW156" s="963" t="str">
        <f t="shared" si="469"/>
        <v>2Q13</v>
      </c>
      <c r="BX156" s="963" t="str">
        <f t="shared" si="469"/>
        <v>3Q13</v>
      </c>
      <c r="BY156" s="963" t="str">
        <f t="shared" si="469"/>
        <v>4Q13</v>
      </c>
      <c r="BZ156" s="649">
        <f t="shared" si="469"/>
        <v>2013</v>
      </c>
      <c r="CA156" s="1768" t="str">
        <f t="shared" si="469"/>
        <v>1Q14</v>
      </c>
      <c r="CB156" s="963" t="str">
        <f t="shared" si="469"/>
        <v>2Q14</v>
      </c>
      <c r="CC156" s="963" t="str">
        <f t="shared" si="469"/>
        <v>3Q14</v>
      </c>
      <c r="CD156" s="964" t="str">
        <f t="shared" si="469"/>
        <v>4Q14</v>
      </c>
      <c r="CE156" s="649">
        <f t="shared" si="469"/>
        <v>2014</v>
      </c>
      <c r="CF156" s="1768" t="str">
        <f t="shared" si="469"/>
        <v>1Q15</v>
      </c>
      <c r="CG156" s="963" t="str">
        <f t="shared" si="469"/>
        <v>2Q15</v>
      </c>
      <c r="CH156" s="963" t="str">
        <f t="shared" si="469"/>
        <v>3Q15</v>
      </c>
      <c r="CI156" s="964" t="str">
        <f t="shared" si="469"/>
        <v>4Q15</v>
      </c>
      <c r="CJ156" s="649">
        <f t="shared" si="469"/>
        <v>2015</v>
      </c>
      <c r="CK156" s="963" t="str">
        <f t="shared" si="469"/>
        <v>1Q16</v>
      </c>
      <c r="CL156" s="963" t="str">
        <f t="shared" si="469"/>
        <v>2Q16</v>
      </c>
      <c r="CM156" s="963" t="str">
        <f t="shared" si="469"/>
        <v>3Q16</v>
      </c>
      <c r="CN156" s="964" t="str">
        <f t="shared" si="469"/>
        <v>4Q16</v>
      </c>
      <c r="CO156" s="649">
        <f t="shared" si="469"/>
        <v>2016</v>
      </c>
      <c r="CP156" s="963" t="str">
        <f t="shared" si="469"/>
        <v>1Q17</v>
      </c>
      <c r="CQ156" s="963" t="str">
        <f t="shared" si="469"/>
        <v>2Q17</v>
      </c>
      <c r="CR156" s="963" t="str">
        <f t="shared" si="469"/>
        <v>3Q17</v>
      </c>
      <c r="CS156" s="963" t="str">
        <f t="shared" si="469"/>
        <v>4Q17A</v>
      </c>
      <c r="CT156" s="649" t="str">
        <f t="shared" si="469"/>
        <v>2017A</v>
      </c>
      <c r="CU156" s="963" t="str">
        <f t="shared" si="469"/>
        <v>1Q18E</v>
      </c>
      <c r="CV156" s="963" t="str">
        <f t="shared" si="469"/>
        <v>2Q18E</v>
      </c>
      <c r="CW156" s="963" t="str">
        <f t="shared" si="469"/>
        <v>3Q18E</v>
      </c>
      <c r="CX156" s="963" t="str">
        <f t="shared" si="469"/>
        <v>4Q18E</v>
      </c>
      <c r="CY156" s="649" t="str">
        <f t="shared" si="469"/>
        <v>2018E</v>
      </c>
      <c r="CZ156" s="649" t="str">
        <f t="shared" si="469"/>
        <v>2019E</v>
      </c>
      <c r="DA156" s="649" t="str">
        <f t="shared" si="469"/>
        <v>2020E</v>
      </c>
      <c r="DB156"/>
      <c r="DC156"/>
      <c r="DD156" s="873" t="s">
        <v>803</v>
      </c>
      <c r="DE156" s="649">
        <f t="shared" ref="DE156:DE193" si="470">M156</f>
        <v>2000</v>
      </c>
      <c r="DF156" s="649">
        <f t="shared" ref="DF156:DF193" si="471">R156</f>
        <v>2001</v>
      </c>
      <c r="DG156" s="649">
        <f t="shared" ref="DG156:DG193" si="472">W156</f>
        <v>2002</v>
      </c>
      <c r="DH156" s="649">
        <f t="shared" ref="DH156:DH193" si="473">AB156</f>
        <v>2003</v>
      </c>
      <c r="DI156" s="649" t="str">
        <f t="shared" ref="DI156:DI193" si="474">AG156</f>
        <v>2004</v>
      </c>
      <c r="DJ156" s="649" t="str">
        <f t="shared" ref="DJ156:DJ193" si="475">AL156</f>
        <v>2005</v>
      </c>
      <c r="DK156" s="649" t="str">
        <f t="shared" ref="DK156:DK193" si="476">AQ156</f>
        <v>2006</v>
      </c>
      <c r="DL156" s="649" t="str">
        <f t="shared" ref="DL156:DL193" si="477">AV156</f>
        <v>2007</v>
      </c>
      <c r="DM156" s="649" t="str">
        <f t="shared" ref="DM156:DM193" si="478">BA156</f>
        <v>2008</v>
      </c>
      <c r="DN156" s="649" t="str">
        <f t="shared" ref="DN156:DN193" si="479">BF156</f>
        <v>2009</v>
      </c>
      <c r="DO156" s="649" t="str">
        <f t="shared" ref="DO156:DO193" si="480">BK156</f>
        <v>2010</v>
      </c>
      <c r="DP156" s="649">
        <f t="shared" ref="DP156:DP193" si="481">BP156</f>
        <v>2011</v>
      </c>
      <c r="DQ156" s="649">
        <f t="shared" ref="DQ156:DQ193" si="482">BU156</f>
        <v>2012</v>
      </c>
      <c r="DR156" s="649">
        <f t="shared" ref="DR156:DR193" si="483">BZ156</f>
        <v>2013</v>
      </c>
      <c r="DS156" s="649">
        <f t="shared" ref="DS156:DS193" si="484">CE156</f>
        <v>2014</v>
      </c>
      <c r="DT156" s="649">
        <f t="shared" ref="DT156:DT193" si="485">CJ156</f>
        <v>2015</v>
      </c>
      <c r="DU156" s="649">
        <f t="shared" ref="DU156:DU193" si="486">CO156</f>
        <v>2016</v>
      </c>
      <c r="DV156" s="649" t="str">
        <f t="shared" ref="DV156:DV193" si="487">CT156</f>
        <v>2017A</v>
      </c>
      <c r="DW156" s="649" t="str">
        <f t="shared" ref="DW156:DW193" si="488">CY156</f>
        <v>2018E</v>
      </c>
      <c r="DX156" s="649" t="str">
        <f t="shared" ref="DX156:DX193" si="489">CZ156</f>
        <v>2019E</v>
      </c>
      <c r="DY156" s="649" t="str">
        <f t="shared" ref="DY156:DY193" si="490">DA156</f>
        <v>2020E</v>
      </c>
      <c r="EA156"/>
      <c r="EB156"/>
      <c r="EC156"/>
      <c r="ED156"/>
      <c r="EE156"/>
      <c r="EF156"/>
      <c r="EJ156"/>
      <c r="EK156"/>
      <c r="EL156"/>
      <c r="ER156" s="212"/>
    </row>
    <row r="157" spans="1:148" s="923" customFormat="1" ht="12.75" customHeight="1" x14ac:dyDescent="0.2">
      <c r="A157" s="1437"/>
      <c r="B157" s="854"/>
      <c r="C157" s="854"/>
      <c r="D157" s="854"/>
      <c r="E157" s="854"/>
      <c r="F157" s="854"/>
      <c r="G157" s="854"/>
      <c r="H157" s="854"/>
      <c r="I157" s="854"/>
      <c r="J157" s="854"/>
      <c r="K157" s="854"/>
      <c r="L157" s="854"/>
      <c r="M157" s="979"/>
      <c r="N157" s="854"/>
      <c r="O157" s="854"/>
      <c r="P157" s="854"/>
      <c r="Q157" s="854"/>
      <c r="R157" s="979"/>
      <c r="S157" s="854"/>
      <c r="T157" s="854"/>
      <c r="U157" s="854"/>
      <c r="V157" s="854"/>
      <c r="W157" s="979"/>
      <c r="X157" s="854"/>
      <c r="Y157" s="854"/>
      <c r="Z157" s="854"/>
      <c r="AA157" s="854"/>
      <c r="AB157" s="979"/>
      <c r="AC157" s="854"/>
      <c r="AD157" s="854"/>
      <c r="AE157" s="854"/>
      <c r="AF157" s="854"/>
      <c r="AG157" s="979"/>
      <c r="AH157" s="854"/>
      <c r="AI157" s="854"/>
      <c r="AJ157" s="854"/>
      <c r="AK157" s="854"/>
      <c r="AL157" s="979"/>
      <c r="AM157" s="854"/>
      <c r="AN157" s="854"/>
      <c r="AO157" s="854"/>
      <c r="AP157" s="854"/>
      <c r="AQ157" s="979"/>
      <c r="AR157" s="854"/>
      <c r="AS157" s="854"/>
      <c r="AT157" s="854"/>
      <c r="AU157" s="854"/>
      <c r="AV157" s="979"/>
      <c r="AW157" s="854"/>
      <c r="AX157" s="854"/>
      <c r="AY157" s="854"/>
      <c r="AZ157" s="854"/>
      <c r="BA157" s="979"/>
      <c r="BB157" s="854"/>
      <c r="BC157" s="854"/>
      <c r="BD157" s="854"/>
      <c r="BE157" s="854"/>
      <c r="BF157" s="979"/>
      <c r="BG157" s="854"/>
      <c r="BH157" s="854"/>
      <c r="BI157" s="854"/>
      <c r="BJ157" s="854"/>
      <c r="BK157" s="979"/>
      <c r="BL157" s="854"/>
      <c r="BM157" s="854"/>
      <c r="BN157" s="854"/>
      <c r="BO157" s="854"/>
      <c r="BP157" s="979"/>
      <c r="BQ157" s="854"/>
      <c r="BR157" s="854"/>
      <c r="BS157" s="854"/>
      <c r="BT157" s="854"/>
      <c r="BU157" s="979"/>
      <c r="BV157" s="854"/>
      <c r="BW157" s="854"/>
      <c r="BX157" s="854"/>
      <c r="BY157" s="854"/>
      <c r="BZ157" s="979"/>
      <c r="CA157" s="1769"/>
      <c r="CB157" s="1830"/>
      <c r="CC157" s="1830"/>
      <c r="CD157" s="1795"/>
      <c r="CE157" s="979"/>
      <c r="CF157" s="1769"/>
      <c r="CG157" s="1830"/>
      <c r="CH157" s="1830"/>
      <c r="CI157" s="1795"/>
      <c r="CJ157" s="979"/>
      <c r="CK157" s="1830"/>
      <c r="CL157" s="1830"/>
      <c r="CM157" s="1830"/>
      <c r="CN157" s="1795"/>
      <c r="CO157" s="979"/>
      <c r="CP157" s="1830"/>
      <c r="CQ157" s="1830"/>
      <c r="CR157" s="1830"/>
      <c r="CS157" s="1830"/>
      <c r="CT157" s="979"/>
      <c r="CU157" s="1830"/>
      <c r="CV157" s="1830"/>
      <c r="CW157" s="1830"/>
      <c r="CX157" s="1830"/>
      <c r="CY157" s="979"/>
      <c r="CZ157" s="979"/>
      <c r="DA157" s="979"/>
      <c r="DB157"/>
      <c r="DC157"/>
      <c r="DD157" s="1437"/>
      <c r="DE157" s="851">
        <f t="shared" si="470"/>
        <v>0</v>
      </c>
      <c r="DF157" s="851">
        <f t="shared" si="471"/>
        <v>0</v>
      </c>
      <c r="DG157" s="851">
        <f t="shared" si="472"/>
        <v>0</v>
      </c>
      <c r="DH157" s="851">
        <f t="shared" si="473"/>
        <v>0</v>
      </c>
      <c r="DI157" s="851">
        <f t="shared" si="474"/>
        <v>0</v>
      </c>
      <c r="DJ157" s="851">
        <f t="shared" si="475"/>
        <v>0</v>
      </c>
      <c r="DK157" s="851">
        <f t="shared" si="476"/>
        <v>0</v>
      </c>
      <c r="DL157" s="851">
        <f t="shared" si="477"/>
        <v>0</v>
      </c>
      <c r="DM157" s="851">
        <f t="shared" si="478"/>
        <v>0</v>
      </c>
      <c r="DN157" s="851">
        <f t="shared" si="479"/>
        <v>0</v>
      </c>
      <c r="DO157" s="851">
        <f t="shared" si="480"/>
        <v>0</v>
      </c>
      <c r="DP157" s="851">
        <f t="shared" si="481"/>
        <v>0</v>
      </c>
      <c r="DQ157" s="851">
        <f t="shared" si="482"/>
        <v>0</v>
      </c>
      <c r="DR157" s="851">
        <f t="shared" si="483"/>
        <v>0</v>
      </c>
      <c r="DS157" s="851">
        <f t="shared" si="484"/>
        <v>0</v>
      </c>
      <c r="DT157" s="851">
        <f t="shared" si="485"/>
        <v>0</v>
      </c>
      <c r="DU157" s="851">
        <f t="shared" si="486"/>
        <v>0</v>
      </c>
      <c r="DV157" s="851">
        <f t="shared" si="487"/>
        <v>0</v>
      </c>
      <c r="DW157" s="851">
        <f t="shared" si="488"/>
        <v>0</v>
      </c>
      <c r="DX157" s="851">
        <f t="shared" si="489"/>
        <v>0</v>
      </c>
      <c r="DY157" s="851">
        <f t="shared" si="490"/>
        <v>0</v>
      </c>
      <c r="EA157"/>
      <c r="EB157"/>
      <c r="EC157"/>
      <c r="ED157"/>
      <c r="EE157"/>
      <c r="EF157"/>
      <c r="EJ157"/>
      <c r="EK157"/>
      <c r="EL157"/>
      <c r="ER157" s="212"/>
    </row>
    <row r="158" spans="1:148" s="923" customFormat="1" ht="12.75" customHeight="1" x14ac:dyDescent="0.2">
      <c r="A158" s="504" t="s">
        <v>1617</v>
      </c>
      <c r="B158" s="599"/>
      <c r="C158" s="599"/>
      <c r="D158" s="599"/>
      <c r="E158" s="599"/>
      <c r="F158" s="599"/>
      <c r="G158" s="599"/>
      <c r="H158" s="599"/>
      <c r="I158" s="599"/>
      <c r="J158" s="599"/>
      <c r="K158" s="599"/>
      <c r="L158" s="599"/>
      <c r="M158" s="969"/>
      <c r="N158" s="599">
        <f>Rooms!I314</f>
        <v>69</v>
      </c>
      <c r="O158" s="599">
        <f>Rooms!J314</f>
        <v>62</v>
      </c>
      <c r="P158" s="599">
        <f>Rooms!K314</f>
        <v>59</v>
      </c>
      <c r="Q158" s="599">
        <f>Rooms!L314</f>
        <v>61</v>
      </c>
      <c r="R158" s="969">
        <f>Q158</f>
        <v>61</v>
      </c>
      <c r="S158" s="599">
        <f>Rooms!N314</f>
        <v>57</v>
      </c>
      <c r="T158" s="599">
        <f>Rooms!O314</f>
        <v>58</v>
      </c>
      <c r="U158" s="599">
        <f>Rooms!P314</f>
        <v>56</v>
      </c>
      <c r="V158" s="599">
        <f>Rooms!Q314</f>
        <v>51</v>
      </c>
      <c r="W158" s="969">
        <f>V158</f>
        <v>51</v>
      </c>
      <c r="X158" s="599">
        <f>Rooms!S314</f>
        <v>52</v>
      </c>
      <c r="Y158" s="599">
        <f>Rooms!T314</f>
        <v>46</v>
      </c>
      <c r="Z158" s="599">
        <f>Rooms!U314</f>
        <v>45</v>
      </c>
      <c r="AA158" s="599">
        <f>Rooms!V314</f>
        <v>43</v>
      </c>
      <c r="AB158" s="969">
        <f>AA158</f>
        <v>43</v>
      </c>
      <c r="AC158" s="599">
        <f>Rooms!X314</f>
        <v>49</v>
      </c>
      <c r="AD158" s="599">
        <f>Rooms!Y314</f>
        <v>43</v>
      </c>
      <c r="AE158" s="599">
        <f>Rooms!Z314</f>
        <v>37</v>
      </c>
      <c r="AF158" s="599">
        <f>Rooms!AA314</f>
        <v>33</v>
      </c>
      <c r="AG158" s="969">
        <f>AF158</f>
        <v>33</v>
      </c>
      <c r="AH158" s="599">
        <f>Rooms!AC314</f>
        <v>32</v>
      </c>
      <c r="AI158" s="599">
        <f>Rooms!AD314</f>
        <v>32</v>
      </c>
      <c r="AJ158" s="599">
        <f>Rooms!AE314</f>
        <v>45</v>
      </c>
      <c r="AK158" s="599">
        <f>Rooms!AF314</f>
        <v>46</v>
      </c>
      <c r="AL158" s="969">
        <f>AK158</f>
        <v>46</v>
      </c>
      <c r="AM158" s="599">
        <f>Rooms!AH314</f>
        <v>46</v>
      </c>
      <c r="AN158" s="599">
        <f>Rooms!AI314</f>
        <v>39</v>
      </c>
      <c r="AO158" s="599">
        <f>Rooms!AJ314</f>
        <v>37</v>
      </c>
      <c r="AP158" s="599">
        <f>Rooms!AK314</f>
        <v>40</v>
      </c>
      <c r="AQ158" s="969">
        <f>AP158</f>
        <v>40</v>
      </c>
      <c r="AR158" s="599">
        <f>Rooms!AM314</f>
        <v>39</v>
      </c>
      <c r="AS158" s="599">
        <f>Rooms!AN314</f>
        <v>41</v>
      </c>
      <c r="AT158" s="599">
        <f>Rooms!AO314</f>
        <v>35</v>
      </c>
      <c r="AU158" s="599">
        <f>Rooms!AP314</f>
        <v>34</v>
      </c>
      <c r="AV158" s="969">
        <f>AU158</f>
        <v>34</v>
      </c>
      <c r="AW158" s="599">
        <f>Rooms!AR314</f>
        <v>35</v>
      </c>
      <c r="AX158" s="599">
        <f>Rooms!AS314</f>
        <v>36</v>
      </c>
      <c r="AY158" s="599">
        <f>Rooms!AT314</f>
        <v>36</v>
      </c>
      <c r="AZ158" s="599">
        <f>Rooms!AU314</f>
        <v>37</v>
      </c>
      <c r="BA158" s="969">
        <f>AZ158</f>
        <v>37</v>
      </c>
      <c r="BB158" s="599">
        <f>Rooms!AW314</f>
        <v>37</v>
      </c>
      <c r="BC158" s="599">
        <f>Rooms!AX314</f>
        <v>39</v>
      </c>
      <c r="BD158" s="599">
        <f>Rooms!AY314</f>
        <v>39</v>
      </c>
      <c r="BE158" s="599">
        <f>Rooms!AZ314</f>
        <v>39</v>
      </c>
      <c r="BF158" s="969">
        <f>BE158</f>
        <v>39</v>
      </c>
      <c r="BG158" s="599">
        <f>Rooms!BB314</f>
        <v>41</v>
      </c>
      <c r="BH158" s="599">
        <f>Rooms!BC314</f>
        <v>40</v>
      </c>
      <c r="BI158" s="599">
        <f>Rooms!BD314</f>
        <v>40</v>
      </c>
      <c r="BJ158" s="599">
        <f>Rooms!BE314</f>
        <v>46</v>
      </c>
      <c r="BK158" s="969">
        <f>BJ158</f>
        <v>46</v>
      </c>
      <c r="BL158" s="599">
        <f>Rooms!BG314</f>
        <v>48</v>
      </c>
      <c r="BM158" s="599">
        <f>Rooms!BH314</f>
        <v>47</v>
      </c>
      <c r="BN158" s="599">
        <f>Rooms!BI314</f>
        <v>47</v>
      </c>
      <c r="BO158" s="599">
        <f>Rooms!BJ314</f>
        <v>46</v>
      </c>
      <c r="BP158" s="969">
        <f>BO158</f>
        <v>46</v>
      </c>
      <c r="BQ158" s="599">
        <f>Rooms!BL314</f>
        <v>46</v>
      </c>
      <c r="BR158" s="599">
        <f>Rooms!BM314</f>
        <v>44</v>
      </c>
      <c r="BS158" s="599">
        <f>Rooms!BN314</f>
        <v>43</v>
      </c>
      <c r="BT158" s="599">
        <f>Rooms!BO314</f>
        <v>41</v>
      </c>
      <c r="BU158" s="969">
        <f>BT158</f>
        <v>41</v>
      </c>
      <c r="BV158" s="599">
        <f>Rooms!BQ314</f>
        <v>41</v>
      </c>
      <c r="BW158" s="599">
        <f>Rooms!BR314</f>
        <v>39</v>
      </c>
      <c r="BX158" s="599">
        <f>Rooms!BS314</f>
        <v>40</v>
      </c>
      <c r="BY158" s="599">
        <f>Rooms!BT314</f>
        <v>40</v>
      </c>
      <c r="BZ158" s="982">
        <f>BY158</f>
        <v>40</v>
      </c>
      <c r="CA158" s="599">
        <f>Rooms!BV314</f>
        <v>39</v>
      </c>
      <c r="CB158" s="599">
        <f>Rooms!BW314</f>
        <v>48</v>
      </c>
      <c r="CC158" s="599">
        <f>Rooms!BX314</f>
        <v>46</v>
      </c>
      <c r="CD158" s="599">
        <f>Rooms!BY314</f>
        <v>47</v>
      </c>
      <c r="CE158" s="982">
        <f>CD158</f>
        <v>47</v>
      </c>
      <c r="CF158" s="599">
        <f>Rooms!CA314</f>
        <v>45</v>
      </c>
      <c r="CG158" s="599">
        <f>Rooms!CB314</f>
        <v>45</v>
      </c>
      <c r="CH158" s="599">
        <f>Rooms!CC314</f>
        <v>44</v>
      </c>
      <c r="CI158" s="599">
        <f>Rooms!CD314</f>
        <v>43</v>
      </c>
      <c r="CJ158" s="969">
        <f>CI158</f>
        <v>43</v>
      </c>
      <c r="CK158" s="599">
        <f>Rooms!CF314</f>
        <v>43</v>
      </c>
      <c r="CL158" s="599">
        <f>Rooms!CG314</f>
        <v>43</v>
      </c>
      <c r="CM158" s="599">
        <f>Rooms!CH314</f>
        <v>49</v>
      </c>
      <c r="CN158" s="3107">
        <f>SUM(Rooms!CH284:CH312)</f>
        <v>71</v>
      </c>
      <c r="CO158" s="969">
        <f>CN158</f>
        <v>71</v>
      </c>
      <c r="CP158" s="226">
        <f>CO158</f>
        <v>71</v>
      </c>
      <c r="CQ158" s="2880">
        <f>+CP158-1-1</f>
        <v>69</v>
      </c>
      <c r="CR158" s="3658">
        <v>68</v>
      </c>
      <c r="CS158" s="3658">
        <v>67</v>
      </c>
      <c r="CT158" s="969">
        <f t="shared" ref="CT158:CY158" si="491">CS158</f>
        <v>67</v>
      </c>
      <c r="CU158" s="3444">
        <f t="shared" si="491"/>
        <v>67</v>
      </c>
      <c r="CV158" s="3444">
        <f t="shared" si="491"/>
        <v>67</v>
      </c>
      <c r="CW158" s="3444">
        <f t="shared" si="491"/>
        <v>67</v>
      </c>
      <c r="CX158" s="3444">
        <f t="shared" si="491"/>
        <v>67</v>
      </c>
      <c r="CY158" s="3270">
        <f t="shared" si="491"/>
        <v>67</v>
      </c>
      <c r="CZ158" s="3270">
        <f>+CY158</f>
        <v>67</v>
      </c>
      <c r="DA158" s="3270">
        <f>+CZ158</f>
        <v>67</v>
      </c>
      <c r="DB158"/>
      <c r="DC158"/>
      <c r="DD158" s="2285" t="s">
        <v>1617</v>
      </c>
      <c r="DE158" s="2290">
        <f t="shared" si="470"/>
        <v>0</v>
      </c>
      <c r="DF158" s="2290">
        <f t="shared" si="471"/>
        <v>61</v>
      </c>
      <c r="DG158" s="2290">
        <f t="shared" si="472"/>
        <v>51</v>
      </c>
      <c r="DH158" s="2290">
        <f t="shared" si="473"/>
        <v>43</v>
      </c>
      <c r="DI158" s="2290">
        <f t="shared" si="474"/>
        <v>33</v>
      </c>
      <c r="DJ158" s="2290">
        <f t="shared" si="475"/>
        <v>46</v>
      </c>
      <c r="DK158" s="2290">
        <f t="shared" si="476"/>
        <v>40</v>
      </c>
      <c r="DL158" s="2290">
        <f t="shared" si="477"/>
        <v>34</v>
      </c>
      <c r="DM158" s="2290">
        <f t="shared" si="478"/>
        <v>37</v>
      </c>
      <c r="DN158" s="2290">
        <f t="shared" si="479"/>
        <v>39</v>
      </c>
      <c r="DO158" s="2290">
        <f t="shared" si="480"/>
        <v>46</v>
      </c>
      <c r="DP158" s="2290">
        <f t="shared" si="481"/>
        <v>46</v>
      </c>
      <c r="DQ158" s="2290">
        <f t="shared" si="482"/>
        <v>41</v>
      </c>
      <c r="DR158" s="2290">
        <f t="shared" si="483"/>
        <v>40</v>
      </c>
      <c r="DS158" s="2290">
        <f t="shared" si="484"/>
        <v>47</v>
      </c>
      <c r="DT158" s="2290">
        <f t="shared" si="485"/>
        <v>43</v>
      </c>
      <c r="DU158" s="2290">
        <f t="shared" si="486"/>
        <v>71</v>
      </c>
      <c r="DV158" s="2290">
        <f t="shared" si="487"/>
        <v>67</v>
      </c>
      <c r="DW158" s="2290">
        <f t="shared" si="488"/>
        <v>67</v>
      </c>
      <c r="DX158" s="2290">
        <f t="shared" si="489"/>
        <v>67</v>
      </c>
      <c r="DY158" s="2290">
        <f t="shared" si="490"/>
        <v>67</v>
      </c>
      <c r="EA158"/>
      <c r="EB158"/>
      <c r="EC158"/>
      <c r="ED158"/>
      <c r="EE158"/>
      <c r="EF158"/>
      <c r="EJ158"/>
      <c r="EK158"/>
      <c r="EL158"/>
      <c r="ER158" s="212"/>
    </row>
    <row r="159" spans="1:148" s="923" customFormat="1" ht="12.75" customHeight="1" x14ac:dyDescent="0.2">
      <c r="A159" s="1571" t="s">
        <v>1010</v>
      </c>
      <c r="B159" s="932"/>
      <c r="C159" s="932"/>
      <c r="D159" s="932"/>
      <c r="E159" s="932"/>
      <c r="F159" s="932"/>
      <c r="G159" s="932"/>
      <c r="H159" s="932"/>
      <c r="I159" s="932"/>
      <c r="J159" s="932"/>
      <c r="K159" s="932"/>
      <c r="L159" s="932"/>
      <c r="M159" s="974"/>
      <c r="N159" s="932"/>
      <c r="O159" s="932">
        <f>+O158-N158</f>
        <v>-7</v>
      </c>
      <c r="P159" s="932">
        <f>+P158-O158</f>
        <v>-3</v>
      </c>
      <c r="Q159" s="932">
        <f>+Q158-P158</f>
        <v>2</v>
      </c>
      <c r="R159" s="974">
        <f>SUM(N159:Q159)</f>
        <v>-8</v>
      </c>
      <c r="S159" s="932">
        <f>+S158-R158</f>
        <v>-4</v>
      </c>
      <c r="T159" s="932">
        <f>+T158-S158</f>
        <v>1</v>
      </c>
      <c r="U159" s="932">
        <f>+U158-T158</f>
        <v>-2</v>
      </c>
      <c r="V159" s="932">
        <f>+V158-U158</f>
        <v>-5</v>
      </c>
      <c r="W159" s="974">
        <f>SUM(S159:V159)</f>
        <v>-10</v>
      </c>
      <c r="X159" s="932">
        <f>+X158-W158</f>
        <v>1</v>
      </c>
      <c r="Y159" s="932">
        <f>+Y158-X158</f>
        <v>-6</v>
      </c>
      <c r="Z159" s="932">
        <f>+Z158-Y158</f>
        <v>-1</v>
      </c>
      <c r="AA159" s="932">
        <f>+AA158-Z158</f>
        <v>-2</v>
      </c>
      <c r="AB159" s="974">
        <f>SUM(X159:AA159)</f>
        <v>-8</v>
      </c>
      <c r="AC159" s="932">
        <f>+AC158-AB158</f>
        <v>6</v>
      </c>
      <c r="AD159" s="932">
        <f>+AD158-AC158</f>
        <v>-6</v>
      </c>
      <c r="AE159" s="932">
        <f>+AE158-AD158</f>
        <v>-6</v>
      </c>
      <c r="AF159" s="932">
        <f>+AF158-AE158</f>
        <v>-4</v>
      </c>
      <c r="AG159" s="974">
        <f>SUM(AC159:AF159)</f>
        <v>-10</v>
      </c>
      <c r="AH159" s="932">
        <f>+AH158-AG158</f>
        <v>-1</v>
      </c>
      <c r="AI159" s="932">
        <f>+AI158-AH158</f>
        <v>0</v>
      </c>
      <c r="AJ159" s="932">
        <f>+AJ158-AI158</f>
        <v>13</v>
      </c>
      <c r="AK159" s="932">
        <f>+AK158-AJ158</f>
        <v>1</v>
      </c>
      <c r="AL159" s="974">
        <f>SUM(AH159:AK159)</f>
        <v>13</v>
      </c>
      <c r="AM159" s="932">
        <f>+AM158-AL158</f>
        <v>0</v>
      </c>
      <c r="AN159" s="932">
        <f>+AN158-AM158</f>
        <v>-7</v>
      </c>
      <c r="AO159" s="932">
        <f>+AO158-AN158</f>
        <v>-2</v>
      </c>
      <c r="AP159" s="932">
        <f>+AP158-AO158</f>
        <v>3</v>
      </c>
      <c r="AQ159" s="974">
        <f>SUM(AM159:AP159)</f>
        <v>-6</v>
      </c>
      <c r="AR159" s="932">
        <f>+AR158-AQ158</f>
        <v>-1</v>
      </c>
      <c r="AS159" s="932">
        <f>+AS158-AR158</f>
        <v>2</v>
      </c>
      <c r="AT159" s="932">
        <f>+AT158-AS158</f>
        <v>-6</v>
      </c>
      <c r="AU159" s="932">
        <f>+AU158-AT158</f>
        <v>-1</v>
      </c>
      <c r="AV159" s="974">
        <f>SUM(AR159:AU159)</f>
        <v>-6</v>
      </c>
      <c r="AW159" s="932">
        <f>+AW158-AV158</f>
        <v>1</v>
      </c>
      <c r="AX159" s="932">
        <f>+AX158-AW158</f>
        <v>1</v>
      </c>
      <c r="AY159" s="932">
        <f>+AY158-AX158</f>
        <v>0</v>
      </c>
      <c r="AZ159" s="932">
        <f>+AZ158-AY158</f>
        <v>1</v>
      </c>
      <c r="BA159" s="974">
        <f>SUM(AW159:AZ159)</f>
        <v>3</v>
      </c>
      <c r="BB159" s="932">
        <f>+BB158-BA158</f>
        <v>0</v>
      </c>
      <c r="BC159" s="932">
        <f>+BC158-BB158</f>
        <v>2</v>
      </c>
      <c r="BD159" s="932">
        <f>+BD158-BC158</f>
        <v>0</v>
      </c>
      <c r="BE159" s="932">
        <f>+BE158-BD158</f>
        <v>0</v>
      </c>
      <c r="BF159" s="974">
        <f>SUM(BB159:BE159)</f>
        <v>2</v>
      </c>
      <c r="BG159" s="932">
        <f>+BG158-BF158</f>
        <v>2</v>
      </c>
      <c r="BH159" s="932">
        <f>+BH158-BG158</f>
        <v>-1</v>
      </c>
      <c r="BI159" s="932">
        <f>+BI158-BH158</f>
        <v>0</v>
      </c>
      <c r="BJ159" s="932">
        <f>+BJ158-BI158</f>
        <v>6</v>
      </c>
      <c r="BK159" s="974">
        <f>SUM(BG159:BJ159)</f>
        <v>7</v>
      </c>
      <c r="BL159" s="932">
        <f>+BL158-BK158</f>
        <v>2</v>
      </c>
      <c r="BM159" s="932">
        <f>+BM158-BL158</f>
        <v>-1</v>
      </c>
      <c r="BN159" s="932">
        <f>+BN158-BM158</f>
        <v>0</v>
      </c>
      <c r="BO159" s="932">
        <f>+BO158-BN158</f>
        <v>-1</v>
      </c>
      <c r="BP159" s="974">
        <f>SUM(BL159:BO159)</f>
        <v>0</v>
      </c>
      <c r="BQ159" s="932">
        <f>+BQ158-BP158</f>
        <v>0</v>
      </c>
      <c r="BR159" s="932">
        <f>+BR158-BQ158</f>
        <v>-2</v>
      </c>
      <c r="BS159" s="932">
        <f>+BS158-BR158</f>
        <v>-1</v>
      </c>
      <c r="BT159" s="932">
        <f>+BT158-BS158</f>
        <v>-2</v>
      </c>
      <c r="BU159" s="974">
        <f>SUM(BQ159:BT159)</f>
        <v>-5</v>
      </c>
      <c r="BV159" s="932">
        <f>+BV158-BU158</f>
        <v>0</v>
      </c>
      <c r="BW159" s="932">
        <f>+BW158-BV158</f>
        <v>-2</v>
      </c>
      <c r="BX159" s="932">
        <f>+BX158-BW158</f>
        <v>1</v>
      </c>
      <c r="BY159" s="932">
        <f>+BY158-BX158</f>
        <v>0</v>
      </c>
      <c r="BZ159" s="974">
        <f>SUM(BV159:BY159)</f>
        <v>-1</v>
      </c>
      <c r="CA159" s="932">
        <f>+CA158-BZ158</f>
        <v>-1</v>
      </c>
      <c r="CB159" s="931">
        <f>+CB158-CA158</f>
        <v>9</v>
      </c>
      <c r="CC159" s="931">
        <f>+CC158-CB158</f>
        <v>-2</v>
      </c>
      <c r="CD159" s="1778">
        <f>+CD158-CC158</f>
        <v>1</v>
      </c>
      <c r="CE159" s="974">
        <f>SUM(CA159:CD159)</f>
        <v>7</v>
      </c>
      <c r="CF159" s="932">
        <f>+CF158-CE158</f>
        <v>-2</v>
      </c>
      <c r="CG159" s="931">
        <f>+CG158-CF158</f>
        <v>0</v>
      </c>
      <c r="CH159" s="931">
        <f>+CH158-CG158</f>
        <v>-1</v>
      </c>
      <c r="CI159" s="1778">
        <f>+CI158-CH158</f>
        <v>-1</v>
      </c>
      <c r="CJ159" s="974">
        <f>SUM(CF159:CI159)</f>
        <v>-4</v>
      </c>
      <c r="CK159" s="932">
        <f>+CK158-CJ158</f>
        <v>0</v>
      </c>
      <c r="CL159" s="931">
        <f>+CL158-CK158</f>
        <v>0</v>
      </c>
      <c r="CM159" s="931">
        <f>+CM158-CL158</f>
        <v>6</v>
      </c>
      <c r="CN159" s="1778">
        <f>+CN158-CM158</f>
        <v>22</v>
      </c>
      <c r="CO159" s="974">
        <f>SUM(CK159:CN159)</f>
        <v>28</v>
      </c>
      <c r="CP159" s="931">
        <f>+CP158-CO158</f>
        <v>0</v>
      </c>
      <c r="CQ159" s="931">
        <f>+CQ158-CP158</f>
        <v>-2</v>
      </c>
      <c r="CR159" s="931">
        <f>+CR158-CQ158</f>
        <v>-1</v>
      </c>
      <c r="CS159" s="1778">
        <f>+CS158-CR158</f>
        <v>-1</v>
      </c>
      <c r="CT159" s="974">
        <f>SUM(CP159:CS159)</f>
        <v>-4</v>
      </c>
      <c r="CU159" s="931">
        <f>CU158-CT158</f>
        <v>0</v>
      </c>
      <c r="CV159" s="931">
        <f>CV158-CU158</f>
        <v>0</v>
      </c>
      <c r="CW159" s="931">
        <f>CW158-CV158</f>
        <v>0</v>
      </c>
      <c r="CX159" s="931">
        <f>CX158-CW158</f>
        <v>0</v>
      </c>
      <c r="CY159" s="974">
        <f>SUM(CU159:CX159)</f>
        <v>0</v>
      </c>
      <c r="CZ159" s="974">
        <f>+CZ158-CY158</f>
        <v>0</v>
      </c>
      <c r="DA159" s="974">
        <f>+DA158-CZ158</f>
        <v>0</v>
      </c>
      <c r="DB159"/>
      <c r="DC159"/>
      <c r="DD159" s="1571" t="s">
        <v>1010</v>
      </c>
      <c r="DE159" s="1701">
        <f t="shared" si="470"/>
        <v>0</v>
      </c>
      <c r="DF159" s="1701">
        <f t="shared" si="471"/>
        <v>-8</v>
      </c>
      <c r="DG159" s="1701">
        <f t="shared" si="472"/>
        <v>-10</v>
      </c>
      <c r="DH159" s="1701">
        <f t="shared" si="473"/>
        <v>-8</v>
      </c>
      <c r="DI159" s="1701">
        <f t="shared" si="474"/>
        <v>-10</v>
      </c>
      <c r="DJ159" s="1701">
        <f t="shared" si="475"/>
        <v>13</v>
      </c>
      <c r="DK159" s="1701">
        <f t="shared" si="476"/>
        <v>-6</v>
      </c>
      <c r="DL159" s="1701">
        <f t="shared" si="477"/>
        <v>-6</v>
      </c>
      <c r="DM159" s="1701">
        <f t="shared" si="478"/>
        <v>3</v>
      </c>
      <c r="DN159" s="1701">
        <f t="shared" si="479"/>
        <v>2</v>
      </c>
      <c r="DO159" s="1701">
        <f t="shared" si="480"/>
        <v>7</v>
      </c>
      <c r="DP159" s="1701">
        <f t="shared" si="481"/>
        <v>0</v>
      </c>
      <c r="DQ159" s="1701">
        <f t="shared" si="482"/>
        <v>-5</v>
      </c>
      <c r="DR159" s="1701">
        <f t="shared" si="483"/>
        <v>-1</v>
      </c>
      <c r="DS159" s="1701">
        <f t="shared" si="484"/>
        <v>7</v>
      </c>
      <c r="DT159" s="1701">
        <f t="shared" si="485"/>
        <v>-4</v>
      </c>
      <c r="DU159" s="1701">
        <f t="shared" si="486"/>
        <v>28</v>
      </c>
      <c r="DV159" s="1701">
        <f t="shared" si="487"/>
        <v>-4</v>
      </c>
      <c r="DW159" s="1701">
        <f t="shared" si="488"/>
        <v>0</v>
      </c>
      <c r="DX159" s="1701">
        <f t="shared" si="489"/>
        <v>0</v>
      </c>
      <c r="DY159" s="1701">
        <f t="shared" si="490"/>
        <v>0</v>
      </c>
      <c r="EA159"/>
      <c r="EB159"/>
      <c r="EC159"/>
      <c r="ED159"/>
      <c r="EE159"/>
      <c r="EF159"/>
      <c r="EJ159"/>
      <c r="EK159"/>
      <c r="EL159"/>
      <c r="ER159" s="212"/>
    </row>
    <row r="160" spans="1:148" s="874" customFormat="1" ht="12.75" customHeight="1" x14ac:dyDescent="0.2">
      <c r="A160" s="1675" t="s">
        <v>1011</v>
      </c>
      <c r="B160" s="1696"/>
      <c r="C160" s="1696"/>
      <c r="D160" s="1696"/>
      <c r="E160" s="1696"/>
      <c r="F160" s="1696"/>
      <c r="G160" s="1696"/>
      <c r="H160" s="1696"/>
      <c r="I160" s="1696"/>
      <c r="J160" s="1696"/>
      <c r="K160" s="1696"/>
      <c r="L160" s="1696"/>
      <c r="M160" s="1749"/>
      <c r="N160" s="1696"/>
      <c r="O160" s="1696">
        <f>O158/N158-1</f>
        <v>-0.10144927536231885</v>
      </c>
      <c r="P160" s="1696">
        <f>P158/O158-1</f>
        <v>-4.8387096774193505E-2</v>
      </c>
      <c r="Q160" s="1696">
        <f>Q158/P158-1</f>
        <v>3.3898305084745672E-2</v>
      </c>
      <c r="R160" s="1749"/>
      <c r="S160" s="1696">
        <f>S158/R158-1</f>
        <v>-6.557377049180324E-2</v>
      </c>
      <c r="T160" s="1696">
        <f>T158/S158-1</f>
        <v>1.7543859649122862E-2</v>
      </c>
      <c r="U160" s="1696">
        <f>U158/T158-1</f>
        <v>-3.4482758620689613E-2</v>
      </c>
      <c r="V160" s="1696">
        <f>V158/U158-1</f>
        <v>-8.9285714285714302E-2</v>
      </c>
      <c r="W160" s="1749">
        <f>W158/R158-1</f>
        <v>-0.16393442622950816</v>
      </c>
      <c r="X160" s="1696">
        <f>X158/W158-1</f>
        <v>1.9607843137254832E-2</v>
      </c>
      <c r="Y160" s="1696">
        <f>Y158/X158-1</f>
        <v>-0.11538461538461542</v>
      </c>
      <c r="Z160" s="1696">
        <f>Z158/Y158-1</f>
        <v>-2.1739130434782594E-2</v>
      </c>
      <c r="AA160" s="1696">
        <f>AA158/Z158-1</f>
        <v>-4.4444444444444398E-2</v>
      </c>
      <c r="AB160" s="1749">
        <f>AB158/W158-1</f>
        <v>-0.15686274509803921</v>
      </c>
      <c r="AC160" s="1696">
        <f>AC158/AB158-1</f>
        <v>0.13953488372093026</v>
      </c>
      <c r="AD160" s="1696">
        <f>AD158/AC158-1</f>
        <v>-0.12244897959183676</v>
      </c>
      <c r="AE160" s="1696">
        <f>AE158/AD158-1</f>
        <v>-0.13953488372093026</v>
      </c>
      <c r="AF160" s="1696">
        <f>AF158/AE158-1</f>
        <v>-0.10810810810810811</v>
      </c>
      <c r="AG160" s="1749">
        <f>AG158/AB158-1</f>
        <v>-0.23255813953488369</v>
      </c>
      <c r="AH160" s="1696">
        <f>AH158/AG158-1</f>
        <v>-3.0303030303030276E-2</v>
      </c>
      <c r="AI160" s="1696">
        <f>AI158/AH158-1</f>
        <v>0</v>
      </c>
      <c r="AJ160" s="1696">
        <f>AJ158/AI158-1</f>
        <v>0.40625</v>
      </c>
      <c r="AK160" s="1696">
        <f>AK158/AJ158-1</f>
        <v>2.2222222222222143E-2</v>
      </c>
      <c r="AL160" s="1749">
        <f>AL158/AG158-1</f>
        <v>0.39393939393939403</v>
      </c>
      <c r="AM160" s="1696">
        <f>AM158/AL158-1</f>
        <v>0</v>
      </c>
      <c r="AN160" s="1696">
        <f>AN158/AM158-1</f>
        <v>-0.15217391304347827</v>
      </c>
      <c r="AO160" s="1696">
        <f>AO158/AN158-1</f>
        <v>-5.1282051282051322E-2</v>
      </c>
      <c r="AP160" s="1696">
        <f>AP158/AO158-1</f>
        <v>8.1081081081081141E-2</v>
      </c>
      <c r="AQ160" s="1749">
        <f>AQ158/AL158-1</f>
        <v>-0.13043478260869568</v>
      </c>
      <c r="AR160" s="1696">
        <f>AR158/AQ158-1</f>
        <v>-2.5000000000000022E-2</v>
      </c>
      <c r="AS160" s="1696">
        <f>AS158/AR158-1</f>
        <v>5.1282051282051322E-2</v>
      </c>
      <c r="AT160" s="1696">
        <f>AT158/AS158-1</f>
        <v>-0.14634146341463417</v>
      </c>
      <c r="AU160" s="1696">
        <f>AU158/AT158-1</f>
        <v>-2.8571428571428581E-2</v>
      </c>
      <c r="AV160" s="1749">
        <f>AV158/AQ158-1</f>
        <v>-0.15000000000000002</v>
      </c>
      <c r="AW160" s="1696">
        <f>AW158/AV158-1</f>
        <v>2.9411764705882248E-2</v>
      </c>
      <c r="AX160" s="1696">
        <f>AX158/AW158-1</f>
        <v>2.857142857142847E-2</v>
      </c>
      <c r="AY160" s="1696">
        <f>AY158/AX158-1</f>
        <v>0</v>
      </c>
      <c r="AZ160" s="1696">
        <f>AZ158/AY158-1</f>
        <v>2.7777777777777679E-2</v>
      </c>
      <c r="BA160" s="1749">
        <f>BA158/AV158-1</f>
        <v>8.8235294117646967E-2</v>
      </c>
      <c r="BB160" s="1696">
        <f>BB158/BA158-1</f>
        <v>0</v>
      </c>
      <c r="BC160" s="1696">
        <f>BC158/BB158-1</f>
        <v>5.4054054054053946E-2</v>
      </c>
      <c r="BD160" s="1696">
        <f>BD158/BC158-1</f>
        <v>0</v>
      </c>
      <c r="BE160" s="1696">
        <f>BE158/BD158-1</f>
        <v>0</v>
      </c>
      <c r="BF160" s="1749">
        <f>BF158/BA158-1</f>
        <v>5.4054054054053946E-2</v>
      </c>
      <c r="BG160" s="1696">
        <f>BG158/BF158-1</f>
        <v>5.1282051282051322E-2</v>
      </c>
      <c r="BH160" s="1696">
        <f>BH158/BG158-1</f>
        <v>-2.4390243902439046E-2</v>
      </c>
      <c r="BI160" s="1696">
        <f>BI158/BH158-1</f>
        <v>0</v>
      </c>
      <c r="BJ160" s="1696">
        <f>BJ158/BI158-1</f>
        <v>0.14999999999999991</v>
      </c>
      <c r="BK160" s="1749">
        <f>BK158/BF158-1</f>
        <v>0.17948717948717952</v>
      </c>
      <c r="BL160" s="1696">
        <f>BL158/BK158-1</f>
        <v>4.3478260869565188E-2</v>
      </c>
      <c r="BM160" s="1696">
        <f>BM158/BL158-1</f>
        <v>-2.083333333333337E-2</v>
      </c>
      <c r="BN160" s="1696">
        <f>BN158/BM158-1</f>
        <v>0</v>
      </c>
      <c r="BO160" s="1696">
        <f>BO158/BN158-1</f>
        <v>-2.1276595744680882E-2</v>
      </c>
      <c r="BP160" s="1749">
        <f>BP158/BK158-1</f>
        <v>0</v>
      </c>
      <c r="BQ160" s="1696">
        <f>BQ158/BP158-1</f>
        <v>0</v>
      </c>
      <c r="BR160" s="1696">
        <f>BR158/BQ158-1</f>
        <v>-4.3478260869565188E-2</v>
      </c>
      <c r="BS160" s="1696">
        <f>BS158/BR158-1</f>
        <v>-2.2727272727272707E-2</v>
      </c>
      <c r="BT160" s="1696">
        <f>BT158/BS158-1</f>
        <v>-4.6511627906976716E-2</v>
      </c>
      <c r="BU160" s="1749">
        <f>BU158/BP158-1</f>
        <v>-0.10869565217391308</v>
      </c>
      <c r="BV160" s="1696">
        <f>BV158/BU158-1</f>
        <v>0</v>
      </c>
      <c r="BW160" s="1696">
        <f>BW158/BV158-1</f>
        <v>-4.8780487804878092E-2</v>
      </c>
      <c r="BX160" s="1696">
        <f>BX158/BW158-1</f>
        <v>2.564102564102555E-2</v>
      </c>
      <c r="BY160" s="1696">
        <f>BY158/BX158-1</f>
        <v>0</v>
      </c>
      <c r="BZ160" s="1284">
        <f>BZ158/BU158-1</f>
        <v>-2.4390243902439046E-2</v>
      </c>
      <c r="CA160" s="1696">
        <f>CA158/BZ158-1</f>
        <v>-2.5000000000000022E-2</v>
      </c>
      <c r="CB160" s="1696">
        <f>CB158/CA158-1</f>
        <v>0.23076923076923084</v>
      </c>
      <c r="CC160" s="1696">
        <f>CC158/CB158-1</f>
        <v>-4.166666666666663E-2</v>
      </c>
      <c r="CD160" s="1797">
        <f>CD158/CC158-1</f>
        <v>2.1739130434782705E-2</v>
      </c>
      <c r="CE160" s="1749">
        <f>CE158/BZ158-1</f>
        <v>0.17500000000000004</v>
      </c>
      <c r="CF160" s="1696">
        <f>CF158/CE158-1</f>
        <v>-4.2553191489361653E-2</v>
      </c>
      <c r="CG160" s="1696">
        <f>CG158/CF158-1</f>
        <v>0</v>
      </c>
      <c r="CH160" s="1696">
        <f>CH158/CG158-1</f>
        <v>-2.2222222222222254E-2</v>
      </c>
      <c r="CI160" s="1797">
        <f>CI158/CH158-1</f>
        <v>-2.2727272727272707E-2</v>
      </c>
      <c r="CJ160" s="1749">
        <f>CJ158/CE158-1</f>
        <v>-8.5106382978723416E-2</v>
      </c>
      <c r="CK160" s="1696">
        <f>CK158/CJ158-1</f>
        <v>0</v>
      </c>
      <c r="CL160" s="1696">
        <f>CL158/CK158-1</f>
        <v>0</v>
      </c>
      <c r="CM160" s="1696">
        <f>CM158/CL158-1</f>
        <v>0.13953488372093026</v>
      </c>
      <c r="CN160" s="1797">
        <f>CN158/CM158-1</f>
        <v>0.44897959183673475</v>
      </c>
      <c r="CO160" s="1749">
        <f>CO158/CJ158-1</f>
        <v>0.65116279069767447</v>
      </c>
      <c r="CP160" s="1696">
        <f>CP158/CO158-1</f>
        <v>0</v>
      </c>
      <c r="CQ160" s="1696">
        <f>CQ158/CP158-1</f>
        <v>-2.8169014084507005E-2</v>
      </c>
      <c r="CR160" s="1696">
        <f>CR158/CQ158-1</f>
        <v>-1.4492753623188359E-2</v>
      </c>
      <c r="CS160" s="1797">
        <f>CS158/CR158-1</f>
        <v>-1.4705882352941124E-2</v>
      </c>
      <c r="CT160" s="1749">
        <f t="shared" ref="CT160:CY160" si="492">CT158/CO158-1</f>
        <v>-5.633802816901412E-2</v>
      </c>
      <c r="CU160" s="1696">
        <f t="shared" si="492"/>
        <v>-5.633802816901412E-2</v>
      </c>
      <c r="CV160" s="1696">
        <f t="shared" si="492"/>
        <v>-2.8985507246376829E-2</v>
      </c>
      <c r="CW160" s="1696">
        <f t="shared" si="492"/>
        <v>-1.4705882352941124E-2</v>
      </c>
      <c r="CX160" s="1797">
        <f t="shared" si="492"/>
        <v>0</v>
      </c>
      <c r="CY160" s="1749">
        <f t="shared" si="492"/>
        <v>0</v>
      </c>
      <c r="CZ160" s="1749">
        <f>CZ158/CY158-1</f>
        <v>0</v>
      </c>
      <c r="DA160" s="1749">
        <f>DA158/CZ158-1</f>
        <v>0</v>
      </c>
      <c r="DB160"/>
      <c r="DC160"/>
      <c r="DD160" s="1675" t="s">
        <v>1011</v>
      </c>
      <c r="DE160" s="1749">
        <f t="shared" si="470"/>
        <v>0</v>
      </c>
      <c r="DF160" s="1749">
        <f t="shared" si="471"/>
        <v>0</v>
      </c>
      <c r="DG160" s="1749">
        <f t="shared" si="472"/>
        <v>-0.16393442622950816</v>
      </c>
      <c r="DH160" s="1749">
        <f t="shared" si="473"/>
        <v>-0.15686274509803921</v>
      </c>
      <c r="DI160" s="1749">
        <f t="shared" si="474"/>
        <v>-0.23255813953488369</v>
      </c>
      <c r="DJ160" s="1749">
        <f t="shared" si="475"/>
        <v>0.39393939393939403</v>
      </c>
      <c r="DK160" s="1749">
        <f t="shared" si="476"/>
        <v>-0.13043478260869568</v>
      </c>
      <c r="DL160" s="1749">
        <f t="shared" si="477"/>
        <v>-0.15000000000000002</v>
      </c>
      <c r="DM160" s="1749">
        <f t="shared" si="478"/>
        <v>8.8235294117646967E-2</v>
      </c>
      <c r="DN160" s="1749">
        <f t="shared" si="479"/>
        <v>5.4054054054053946E-2</v>
      </c>
      <c r="DO160" s="1749">
        <f t="shared" si="480"/>
        <v>0.17948717948717952</v>
      </c>
      <c r="DP160" s="1749">
        <f t="shared" si="481"/>
        <v>0</v>
      </c>
      <c r="DQ160" s="1749">
        <f t="shared" si="482"/>
        <v>-0.10869565217391308</v>
      </c>
      <c r="DR160" s="1749">
        <f t="shared" si="483"/>
        <v>-2.4390243902439046E-2</v>
      </c>
      <c r="DS160" s="1749">
        <f t="shared" si="484"/>
        <v>0.17500000000000004</v>
      </c>
      <c r="DT160" s="1749">
        <f t="shared" si="485"/>
        <v>-8.5106382978723416E-2</v>
      </c>
      <c r="DU160" s="1749">
        <f t="shared" si="486"/>
        <v>0.65116279069767447</v>
      </c>
      <c r="DV160" s="1749">
        <f t="shared" si="487"/>
        <v>-5.633802816901412E-2</v>
      </c>
      <c r="DW160" s="1749">
        <f t="shared" si="488"/>
        <v>0</v>
      </c>
      <c r="DX160" s="1749">
        <f t="shared" si="489"/>
        <v>0</v>
      </c>
      <c r="DY160" s="1749">
        <f t="shared" si="490"/>
        <v>0</v>
      </c>
      <c r="EA160"/>
      <c r="EB160"/>
      <c r="EC160"/>
      <c r="ED160"/>
      <c r="EE160"/>
      <c r="EF160"/>
      <c r="EJ160"/>
      <c r="EK160"/>
      <c r="EL160"/>
      <c r="ER160" s="872"/>
    </row>
    <row r="161" spans="1:148" s="923" customFormat="1" ht="12.75" customHeight="1" x14ac:dyDescent="0.2">
      <c r="A161" s="1676"/>
      <c r="B161" s="215"/>
      <c r="C161" s="215"/>
      <c r="D161" s="215"/>
      <c r="E161" s="215"/>
      <c r="F161" s="215"/>
      <c r="G161" s="215"/>
      <c r="H161" s="215"/>
      <c r="I161" s="215"/>
      <c r="J161" s="215"/>
      <c r="K161" s="215"/>
      <c r="L161" s="215"/>
      <c r="M161" s="920"/>
      <c r="N161" s="215"/>
      <c r="O161" s="215"/>
      <c r="P161" s="215"/>
      <c r="Q161" s="215"/>
      <c r="R161" s="920"/>
      <c r="S161" s="215"/>
      <c r="T161" s="215"/>
      <c r="U161" s="215"/>
      <c r="V161" s="215"/>
      <c r="W161" s="920"/>
      <c r="X161" s="215"/>
      <c r="Y161" s="215"/>
      <c r="Z161" s="215"/>
      <c r="AA161" s="215"/>
      <c r="AB161" s="920"/>
      <c r="AC161" s="215"/>
      <c r="AD161" s="215"/>
      <c r="AE161" s="215"/>
      <c r="AF161" s="215"/>
      <c r="AG161" s="920"/>
      <c r="AH161" s="215"/>
      <c r="AI161" s="215"/>
      <c r="AJ161" s="215"/>
      <c r="AK161" s="215"/>
      <c r="AL161" s="920"/>
      <c r="AM161" s="215"/>
      <c r="AN161" s="215"/>
      <c r="AO161" s="215"/>
      <c r="AP161" s="215"/>
      <c r="AQ161" s="920"/>
      <c r="AR161" s="215"/>
      <c r="AS161" s="215"/>
      <c r="AT161" s="215"/>
      <c r="AU161" s="215"/>
      <c r="AV161" s="920"/>
      <c r="AW161" s="215"/>
      <c r="AX161" s="215"/>
      <c r="AY161" s="215"/>
      <c r="AZ161" s="215"/>
      <c r="BA161" s="920"/>
      <c r="BB161" s="215"/>
      <c r="BC161" s="215"/>
      <c r="BD161" s="215"/>
      <c r="BE161" s="215"/>
      <c r="BF161" s="920"/>
      <c r="BG161" s="215"/>
      <c r="BH161" s="215"/>
      <c r="BI161" s="215"/>
      <c r="BJ161" s="215"/>
      <c r="BK161" s="920"/>
      <c r="BL161" s="215"/>
      <c r="BM161" s="215"/>
      <c r="BN161" s="215"/>
      <c r="BO161" s="215"/>
      <c r="BP161" s="920"/>
      <c r="BQ161" s="215"/>
      <c r="BR161" s="215"/>
      <c r="BS161" s="215"/>
      <c r="BT161" s="215"/>
      <c r="BU161" s="920"/>
      <c r="BV161" s="215"/>
      <c r="BW161" s="215"/>
      <c r="BX161" s="215"/>
      <c r="BY161" s="215"/>
      <c r="BZ161" s="968"/>
      <c r="CA161" s="215"/>
      <c r="CB161" s="941"/>
      <c r="CC161" s="871"/>
      <c r="CD161" s="1583"/>
      <c r="CE161" s="920"/>
      <c r="CF161" s="215"/>
      <c r="CG161" s="871"/>
      <c r="CH161" s="871"/>
      <c r="CI161" s="1583"/>
      <c r="CJ161" s="920"/>
      <c r="CK161" s="215"/>
      <c r="CL161" s="871"/>
      <c r="CM161" s="871"/>
      <c r="CN161" s="1583"/>
      <c r="CO161" s="920"/>
      <c r="CP161" s="871"/>
      <c r="CQ161" s="871"/>
      <c r="CR161" s="871"/>
      <c r="CS161" s="1583"/>
      <c r="CT161" s="920"/>
      <c r="CU161" s="871"/>
      <c r="CV161" s="871"/>
      <c r="CW161" s="871"/>
      <c r="CX161" s="871"/>
      <c r="CY161" s="968"/>
      <c r="CZ161" s="968"/>
      <c r="DA161" s="968"/>
      <c r="DB161"/>
      <c r="DC161"/>
      <c r="DD161" s="2285"/>
      <c r="DE161" s="2290">
        <f t="shared" si="470"/>
        <v>0</v>
      </c>
      <c r="DF161" s="2290">
        <f t="shared" si="471"/>
        <v>0</v>
      </c>
      <c r="DG161" s="2290">
        <f t="shared" si="472"/>
        <v>0</v>
      </c>
      <c r="DH161" s="2290">
        <f t="shared" si="473"/>
        <v>0</v>
      </c>
      <c r="DI161" s="2290">
        <f t="shared" si="474"/>
        <v>0</v>
      </c>
      <c r="DJ161" s="2290">
        <f t="shared" si="475"/>
        <v>0</v>
      </c>
      <c r="DK161" s="2290">
        <f t="shared" si="476"/>
        <v>0</v>
      </c>
      <c r="DL161" s="2290">
        <f t="shared" si="477"/>
        <v>0</v>
      </c>
      <c r="DM161" s="2290">
        <f t="shared" si="478"/>
        <v>0</v>
      </c>
      <c r="DN161" s="2290">
        <f t="shared" si="479"/>
        <v>0</v>
      </c>
      <c r="DO161" s="2290">
        <f t="shared" si="480"/>
        <v>0</v>
      </c>
      <c r="DP161" s="2290">
        <f t="shared" si="481"/>
        <v>0</v>
      </c>
      <c r="DQ161" s="2290">
        <f t="shared" si="482"/>
        <v>0</v>
      </c>
      <c r="DR161" s="2290">
        <f t="shared" si="483"/>
        <v>0</v>
      </c>
      <c r="DS161" s="2290">
        <f t="shared" si="484"/>
        <v>0</v>
      </c>
      <c r="DT161" s="2290">
        <f t="shared" si="485"/>
        <v>0</v>
      </c>
      <c r="DU161" s="2290">
        <f t="shared" si="486"/>
        <v>0</v>
      </c>
      <c r="DV161" s="2290">
        <f t="shared" si="487"/>
        <v>0</v>
      </c>
      <c r="DW161" s="2290">
        <f t="shared" si="488"/>
        <v>0</v>
      </c>
      <c r="DX161" s="2290">
        <f t="shared" si="489"/>
        <v>0</v>
      </c>
      <c r="DY161" s="2290">
        <f t="shared" si="490"/>
        <v>0</v>
      </c>
      <c r="EA161"/>
      <c r="EB161"/>
      <c r="EC161"/>
      <c r="ED161"/>
      <c r="EE161"/>
      <c r="EF161"/>
      <c r="EJ161"/>
      <c r="EK161"/>
      <c r="EL161"/>
      <c r="ER161" s="212"/>
    </row>
    <row r="162" spans="1:148" s="923" customFormat="1" ht="12.75" customHeight="1" x14ac:dyDescent="0.2">
      <c r="A162" s="504" t="s">
        <v>1013</v>
      </c>
      <c r="B162" s="215"/>
      <c r="C162" s="215"/>
      <c r="D162" s="215"/>
      <c r="E162" s="215"/>
      <c r="F162" s="215"/>
      <c r="G162" s="215"/>
      <c r="H162" s="215"/>
      <c r="I162" s="215"/>
      <c r="J162" s="215"/>
      <c r="K162" s="215"/>
      <c r="L162" s="215"/>
      <c r="M162" s="968">
        <f>Rooms!H743</f>
        <v>14785</v>
      </c>
      <c r="N162" s="215">
        <f>Rooms!I743</f>
        <v>13759</v>
      </c>
      <c r="O162" s="215">
        <f>Rooms!J743</f>
        <v>12510</v>
      </c>
      <c r="P162" s="215">
        <f>Rooms!K743</f>
        <v>10964</v>
      </c>
      <c r="Q162" s="215">
        <f>Rooms!L743</f>
        <v>12213</v>
      </c>
      <c r="R162" s="968">
        <f>Q162</f>
        <v>12213</v>
      </c>
      <c r="S162" s="215">
        <f>Rooms!N743</f>
        <v>11461</v>
      </c>
      <c r="T162" s="215">
        <f>Rooms!O743</f>
        <v>11537</v>
      </c>
      <c r="U162" s="215">
        <f>Rooms!P743</f>
        <v>11393</v>
      </c>
      <c r="V162" s="215">
        <f>Rooms!Q743</f>
        <v>10481</v>
      </c>
      <c r="W162" s="968">
        <f>V162</f>
        <v>10481</v>
      </c>
      <c r="X162" s="215">
        <f>Rooms!S743</f>
        <v>10650</v>
      </c>
      <c r="Y162" s="215">
        <f>Rooms!T743</f>
        <v>9935</v>
      </c>
      <c r="Z162" s="215">
        <f>Rooms!U743</f>
        <v>10013</v>
      </c>
      <c r="AA162" s="215">
        <f>Rooms!V743</f>
        <v>9178</v>
      </c>
      <c r="AB162" s="968">
        <f>AA162</f>
        <v>9178</v>
      </c>
      <c r="AC162" s="215">
        <f>Rooms!X743</f>
        <v>10990</v>
      </c>
      <c r="AD162" s="215">
        <f>Rooms!Y743</f>
        <v>10133</v>
      </c>
      <c r="AE162" s="215">
        <f>Rooms!Z743</f>
        <v>9252</v>
      </c>
      <c r="AF162" s="215">
        <f>Rooms!AA743</f>
        <v>7458</v>
      </c>
      <c r="AG162" s="968">
        <f>AF162</f>
        <v>7458</v>
      </c>
      <c r="AH162" s="215">
        <f>Rooms!AC743</f>
        <v>8156</v>
      </c>
      <c r="AI162" s="215">
        <f>Rooms!AD743</f>
        <v>7888</v>
      </c>
      <c r="AJ162" s="215">
        <f>Rooms!AE743</f>
        <v>12650</v>
      </c>
      <c r="AK162" s="215">
        <f>Rooms!AF743</f>
        <v>12920</v>
      </c>
      <c r="AL162" s="968">
        <f>AK162</f>
        <v>12920</v>
      </c>
      <c r="AM162" s="215">
        <f>Rooms!AH743</f>
        <v>13033</v>
      </c>
      <c r="AN162" s="215">
        <f>Rooms!AI743</f>
        <v>10796</v>
      </c>
      <c r="AO162" s="215">
        <f>Rooms!AJ743</f>
        <v>9997</v>
      </c>
      <c r="AP162" s="215">
        <f>Rooms!AK743</f>
        <v>10716</v>
      </c>
      <c r="AQ162" s="968">
        <f>AP162</f>
        <v>10716</v>
      </c>
      <c r="AR162" s="215">
        <f>Rooms!AM743</f>
        <v>11431</v>
      </c>
      <c r="AS162" s="215">
        <f>Rooms!AN743</f>
        <v>11116</v>
      </c>
      <c r="AT162" s="215">
        <f>Rooms!AO743</f>
        <v>9390</v>
      </c>
      <c r="AU162" s="215">
        <f>Rooms!AP743</f>
        <v>9045</v>
      </c>
      <c r="AV162" s="968">
        <f>AU162</f>
        <v>9045</v>
      </c>
      <c r="AW162" s="215">
        <f>Rooms!AR743</f>
        <v>9545</v>
      </c>
      <c r="AX162" s="215">
        <f>Rooms!AS743</f>
        <v>10049</v>
      </c>
      <c r="AY162" s="215">
        <f>Rooms!AT743</f>
        <v>10189</v>
      </c>
      <c r="AZ162" s="215">
        <f>Rooms!AU743</f>
        <v>10209</v>
      </c>
      <c r="BA162" s="968">
        <f>AZ162</f>
        <v>10209</v>
      </c>
      <c r="BB162" s="215">
        <f>Rooms!AW743</f>
        <v>10725</v>
      </c>
      <c r="BC162" s="215">
        <f>Rooms!AX743</f>
        <v>11062</v>
      </c>
      <c r="BD162" s="215">
        <f>Rooms!AY743</f>
        <v>11062</v>
      </c>
      <c r="BE162" s="215">
        <f>Rooms!AZ743</f>
        <v>11062</v>
      </c>
      <c r="BF162" s="968">
        <f>BE162</f>
        <v>11062</v>
      </c>
      <c r="BG162" s="215">
        <f>Rooms!BB743</f>
        <v>11563</v>
      </c>
      <c r="BH162" s="215">
        <f>Rooms!BC743</f>
        <v>11092</v>
      </c>
      <c r="BI162" s="215">
        <f>Rooms!BD743</f>
        <v>11092</v>
      </c>
      <c r="BJ162" s="215">
        <f>Rooms!BE743</f>
        <v>11943</v>
      </c>
      <c r="BK162" s="968">
        <f>BJ162</f>
        <v>11943</v>
      </c>
      <c r="BL162" s="215">
        <f>Rooms!BG743</f>
        <v>12323</v>
      </c>
      <c r="BM162" s="215">
        <f>Rooms!BH743</f>
        <v>12157</v>
      </c>
      <c r="BN162" s="215">
        <f>Rooms!BI743</f>
        <v>12157</v>
      </c>
      <c r="BO162" s="215">
        <f>Rooms!BJ743</f>
        <v>11513</v>
      </c>
      <c r="BP162" s="968">
        <f>BO162</f>
        <v>11513</v>
      </c>
      <c r="BQ162" s="215">
        <f>Rooms!BL743</f>
        <v>11513</v>
      </c>
      <c r="BR162" s="215">
        <f>Rooms!BM743</f>
        <v>10922</v>
      </c>
      <c r="BS162" s="215">
        <f>Rooms!BN743</f>
        <v>10686</v>
      </c>
      <c r="BT162" s="215">
        <f>Rooms!BO743</f>
        <v>10231</v>
      </c>
      <c r="BU162" s="968">
        <f>BT162</f>
        <v>10231</v>
      </c>
      <c r="BV162" s="215">
        <f>Rooms!BQ743</f>
        <v>10231</v>
      </c>
      <c r="BW162" s="215">
        <f>Rooms!BR743</f>
        <v>9957</v>
      </c>
      <c r="BX162" s="215">
        <f>Rooms!BS743</f>
        <v>10064</v>
      </c>
      <c r="BY162" s="215">
        <f>Rooms!BT743</f>
        <v>10502</v>
      </c>
      <c r="BZ162" s="968">
        <f>BY162</f>
        <v>10502</v>
      </c>
      <c r="CA162" s="215">
        <f>Rooms!BV743</f>
        <v>10329</v>
      </c>
      <c r="CB162" s="215">
        <f>Rooms!BW743</f>
        <v>11719</v>
      </c>
      <c r="CC162" s="215">
        <f>Rooms!BX743</f>
        <v>11206</v>
      </c>
      <c r="CD162" s="1788">
        <f>Rooms!BY743</f>
        <v>11501</v>
      </c>
      <c r="CE162" s="968">
        <f>CD162</f>
        <v>11501</v>
      </c>
      <c r="CF162" s="215">
        <f>Rooms!CA743</f>
        <v>11038</v>
      </c>
      <c r="CG162" s="215">
        <f>Rooms!CB743</f>
        <v>11038</v>
      </c>
      <c r="CH162" s="215">
        <f>Rooms!CC743</f>
        <v>10823</v>
      </c>
      <c r="CI162" s="1788">
        <f>Rooms!CD743</f>
        <v>10643</v>
      </c>
      <c r="CJ162" s="968">
        <f>CI162</f>
        <v>10643</v>
      </c>
      <c r="CK162" s="215">
        <f>Rooms!CF743</f>
        <v>10643</v>
      </c>
      <c r="CL162" s="215">
        <f>Rooms!CG743</f>
        <v>10643</v>
      </c>
      <c r="CM162" s="215">
        <f>Rooms!CH743</f>
        <v>11048</v>
      </c>
      <c r="CN162" s="1431">
        <f>Rooms!CI743</f>
        <v>20839</v>
      </c>
      <c r="CO162" s="968">
        <f>CN162</f>
        <v>20839</v>
      </c>
      <c r="CP162" s="215">
        <f>Rooms!CK743</f>
        <v>20837</v>
      </c>
      <c r="CQ162" s="215">
        <f>Rooms!CL743</f>
        <v>19631</v>
      </c>
      <c r="CR162" s="215">
        <f>Rooms!CM743</f>
        <v>19637</v>
      </c>
      <c r="CS162" s="1788">
        <f>Rooms!CN743</f>
        <v>18269</v>
      </c>
      <c r="CT162" s="968">
        <f>CS162</f>
        <v>18269</v>
      </c>
      <c r="CU162" s="215">
        <f>Rooms!CP743</f>
        <v>18269</v>
      </c>
      <c r="CV162" s="215">
        <f>Rooms!CQ743</f>
        <v>18269</v>
      </c>
      <c r="CW162" s="215">
        <f>Rooms!CR743</f>
        <v>18269</v>
      </c>
      <c r="CX162" s="215">
        <f>Rooms!CS743</f>
        <v>18269</v>
      </c>
      <c r="CY162" s="968">
        <f>CX162</f>
        <v>18269</v>
      </c>
      <c r="CZ162" s="968">
        <f>Rooms!CU743</f>
        <v>18269</v>
      </c>
      <c r="DA162" s="968">
        <f>Rooms!CV743</f>
        <v>18269</v>
      </c>
      <c r="DB162"/>
      <c r="DC162"/>
      <c r="DD162" s="2285" t="s">
        <v>1013</v>
      </c>
      <c r="DE162" s="2290">
        <f t="shared" si="470"/>
        <v>14785</v>
      </c>
      <c r="DF162" s="2290">
        <f t="shared" si="471"/>
        <v>12213</v>
      </c>
      <c r="DG162" s="2290">
        <f t="shared" si="472"/>
        <v>10481</v>
      </c>
      <c r="DH162" s="2290">
        <f t="shared" si="473"/>
        <v>9178</v>
      </c>
      <c r="DI162" s="2290">
        <f t="shared" si="474"/>
        <v>7458</v>
      </c>
      <c r="DJ162" s="2290">
        <f t="shared" si="475"/>
        <v>12920</v>
      </c>
      <c r="DK162" s="2290">
        <f t="shared" si="476"/>
        <v>10716</v>
      </c>
      <c r="DL162" s="2290">
        <f t="shared" si="477"/>
        <v>9045</v>
      </c>
      <c r="DM162" s="2290">
        <f t="shared" si="478"/>
        <v>10209</v>
      </c>
      <c r="DN162" s="2290">
        <f t="shared" si="479"/>
        <v>11062</v>
      </c>
      <c r="DO162" s="2290">
        <f t="shared" si="480"/>
        <v>11943</v>
      </c>
      <c r="DP162" s="2290">
        <f t="shared" si="481"/>
        <v>11513</v>
      </c>
      <c r="DQ162" s="2290">
        <f t="shared" si="482"/>
        <v>10231</v>
      </c>
      <c r="DR162" s="2290">
        <f t="shared" si="483"/>
        <v>10502</v>
      </c>
      <c r="DS162" s="2290">
        <f t="shared" si="484"/>
        <v>11501</v>
      </c>
      <c r="DT162" s="2290">
        <f t="shared" si="485"/>
        <v>10643</v>
      </c>
      <c r="DU162" s="2290">
        <f t="shared" si="486"/>
        <v>20839</v>
      </c>
      <c r="DV162" s="2290">
        <f t="shared" si="487"/>
        <v>18269</v>
      </c>
      <c r="DW162" s="2290">
        <f t="shared" si="488"/>
        <v>18269</v>
      </c>
      <c r="DX162" s="2290">
        <f t="shared" si="489"/>
        <v>18269</v>
      </c>
      <c r="DY162" s="2290">
        <f t="shared" si="490"/>
        <v>18269</v>
      </c>
      <c r="EA162"/>
      <c r="EB162"/>
      <c r="EC162"/>
      <c r="ED162"/>
      <c r="EE162"/>
      <c r="EF162"/>
      <c r="EJ162"/>
      <c r="EK162"/>
      <c r="EL162"/>
      <c r="ER162" s="212"/>
    </row>
    <row r="163" spans="1:148" s="923" customFormat="1" ht="12.75" customHeight="1" x14ac:dyDescent="0.2">
      <c r="A163" s="504" t="s">
        <v>1014</v>
      </c>
      <c r="B163" s="215"/>
      <c r="C163" s="215"/>
      <c r="D163" s="215"/>
      <c r="E163" s="215"/>
      <c r="F163" s="215"/>
      <c r="G163" s="215"/>
      <c r="H163" s="215"/>
      <c r="I163" s="215"/>
      <c r="J163" s="215"/>
      <c r="K163" s="215"/>
      <c r="L163" s="215"/>
      <c r="M163" s="969"/>
      <c r="N163" s="215">
        <f>AVERAGE(M162:N162)</f>
        <v>14272</v>
      </c>
      <c r="O163" s="215">
        <f>AVERAGE(N162:O162)</f>
        <v>13134.5</v>
      </c>
      <c r="P163" s="215">
        <f>AVERAGE(O162:P162)</f>
        <v>11737</v>
      </c>
      <c r="Q163" s="215">
        <f>AVERAGE(P162:Q162)</f>
        <v>11588.5</v>
      </c>
      <c r="R163" s="969">
        <f>AVERAGE(N163:Q163)</f>
        <v>12683</v>
      </c>
      <c r="S163" s="215">
        <f>AVERAGE(R162:S162)</f>
        <v>11837</v>
      </c>
      <c r="T163" s="215">
        <f>AVERAGE(S162:T162)</f>
        <v>11499</v>
      </c>
      <c r="U163" s="215">
        <f>AVERAGE(T162:U162)</f>
        <v>11465</v>
      </c>
      <c r="V163" s="215">
        <f>AVERAGE(U162:V162)</f>
        <v>10937</v>
      </c>
      <c r="W163" s="969">
        <f>AVERAGE(S163:V163)</f>
        <v>11434.5</v>
      </c>
      <c r="X163" s="215">
        <f>AVERAGE(W162:X162)</f>
        <v>10565.5</v>
      </c>
      <c r="Y163" s="215">
        <f>AVERAGE(X162:Y162)</f>
        <v>10292.5</v>
      </c>
      <c r="Z163" s="215">
        <f>AVERAGE(Y162:Z162)</f>
        <v>9974</v>
      </c>
      <c r="AA163" s="215">
        <f>AVERAGE(Z162:AA162)</f>
        <v>9595.5</v>
      </c>
      <c r="AB163" s="969">
        <f>AVERAGE(X163:AA163)</f>
        <v>10106.875</v>
      </c>
      <c r="AC163" s="215">
        <f>AVERAGE(AB162:AC162)</f>
        <v>10084</v>
      </c>
      <c r="AD163" s="215">
        <f>AVERAGE(AC162:AD162)</f>
        <v>10561.5</v>
      </c>
      <c r="AE163" s="215">
        <f>AVERAGE(AD162:AE162)</f>
        <v>9692.5</v>
      </c>
      <c r="AF163" s="215">
        <f>AVERAGE(AE162:AF162)</f>
        <v>8355</v>
      </c>
      <c r="AG163" s="969">
        <f>AVERAGE(AC163:AF163)</f>
        <v>9673.25</v>
      </c>
      <c r="AH163" s="215">
        <f>AVERAGE(AG162:AH162)</f>
        <v>7807</v>
      </c>
      <c r="AI163" s="215">
        <f>AVERAGE(AH162:AI162)</f>
        <v>8022</v>
      </c>
      <c r="AJ163" s="215">
        <f>AVERAGE(AI162:AJ162)</f>
        <v>10269</v>
      </c>
      <c r="AK163" s="215">
        <f>AVERAGE(AJ162:AK162)</f>
        <v>12785</v>
      </c>
      <c r="AL163" s="969">
        <f>AVERAGE(AH163:AK163)</f>
        <v>9720.75</v>
      </c>
      <c r="AM163" s="215">
        <f>AVERAGE(AL162:AM162)</f>
        <v>12976.5</v>
      </c>
      <c r="AN163" s="215">
        <f>AVERAGE(AM162:AN162)</f>
        <v>11914.5</v>
      </c>
      <c r="AO163" s="215">
        <f>AVERAGE(AN162:AO162)</f>
        <v>10396.5</v>
      </c>
      <c r="AP163" s="215">
        <f>AVERAGE(AO162:AP162)</f>
        <v>10356.5</v>
      </c>
      <c r="AQ163" s="969">
        <f>AVERAGE(AM163:AP163)</f>
        <v>11411</v>
      </c>
      <c r="AR163" s="215">
        <f>AVERAGE(AQ162:AR162)</f>
        <v>11073.5</v>
      </c>
      <c r="AS163" s="215">
        <f>AVERAGE(AR162:AS162)</f>
        <v>11273.5</v>
      </c>
      <c r="AT163" s="215">
        <f>AVERAGE(AS162:AT162)</f>
        <v>10253</v>
      </c>
      <c r="AU163" s="215">
        <f>AVERAGE(AT162:AU162)</f>
        <v>9217.5</v>
      </c>
      <c r="AV163" s="969">
        <f>AVERAGE(AR163:AU163)</f>
        <v>10454.375</v>
      </c>
      <c r="AW163" s="215">
        <f>AVERAGE(AV162:AW162)</f>
        <v>9295</v>
      </c>
      <c r="AX163" s="215">
        <f>AVERAGE(AW162:AX162)</f>
        <v>9797</v>
      </c>
      <c r="AY163" s="215">
        <f>AVERAGE(AX162:AY162)</f>
        <v>10119</v>
      </c>
      <c r="AZ163" s="215">
        <f>AVERAGE(AY162:AZ162)</f>
        <v>10199</v>
      </c>
      <c r="BA163" s="969">
        <f>AVERAGE(AW163:AZ163)</f>
        <v>9852.5</v>
      </c>
      <c r="BB163" s="215">
        <f>AVERAGE(BA162:BB162)</f>
        <v>10467</v>
      </c>
      <c r="BC163" s="215">
        <f>AVERAGE(BB162:BC162)</f>
        <v>10893.5</v>
      </c>
      <c r="BD163" s="215">
        <f>AVERAGE(BC162:BD162)</f>
        <v>11062</v>
      </c>
      <c r="BE163" s="215">
        <f>AVERAGE(BD162:BE162)</f>
        <v>11062</v>
      </c>
      <c r="BF163" s="969">
        <f>AVERAGE(BB163:BE163)</f>
        <v>10871.125</v>
      </c>
      <c r="BG163" s="215">
        <f>AVERAGE(BF162:BG162)</f>
        <v>11312.5</v>
      </c>
      <c r="BH163" s="215">
        <f>AVERAGE(BG162:BH162)</f>
        <v>11327.5</v>
      </c>
      <c r="BI163" s="215">
        <f>AVERAGE(BH162:BI162)</f>
        <v>11092</v>
      </c>
      <c r="BJ163" s="215">
        <f>AVERAGE(BI162:BJ162)</f>
        <v>11517.5</v>
      </c>
      <c r="BK163" s="969">
        <f>AVERAGE(BG163:BJ163)</f>
        <v>11312.375</v>
      </c>
      <c r="BL163" s="215">
        <f>AVERAGE(BK162:BL162)</f>
        <v>12133</v>
      </c>
      <c r="BM163" s="215">
        <f>AVERAGE(BL162:BM162)</f>
        <v>12240</v>
      </c>
      <c r="BN163" s="215">
        <f>AVERAGE(BM162:BN162)</f>
        <v>12157</v>
      </c>
      <c r="BO163" s="215">
        <f>AVERAGE(BN162:BO162)</f>
        <v>11835</v>
      </c>
      <c r="BP163" s="969">
        <f>AVERAGE(BL163:BO163)</f>
        <v>12091.25</v>
      </c>
      <c r="BQ163" s="215">
        <f>AVERAGE(BP162:BQ162)</f>
        <v>11513</v>
      </c>
      <c r="BR163" s="215">
        <f>AVERAGE(BQ162:BR162)</f>
        <v>11217.5</v>
      </c>
      <c r="BS163" s="215">
        <f>AVERAGE(BR162:BS162)</f>
        <v>10804</v>
      </c>
      <c r="BT163" s="215">
        <f>AVERAGE(BS162:BT162)</f>
        <v>10458.5</v>
      </c>
      <c r="BU163" s="969">
        <f>AVERAGE(BQ163:BT163)</f>
        <v>10998.25</v>
      </c>
      <c r="BV163" s="215">
        <f>AVERAGE(BU162:BV162)</f>
        <v>10231</v>
      </c>
      <c r="BW163" s="215">
        <f>AVERAGE(BV162:BW162)</f>
        <v>10094</v>
      </c>
      <c r="BX163" s="215">
        <f>AVERAGE(BW162:BX162)</f>
        <v>10010.5</v>
      </c>
      <c r="BY163" s="215">
        <f>AVERAGE(BX162:BY162)</f>
        <v>10283</v>
      </c>
      <c r="BZ163" s="969">
        <f>AVERAGE(BV163:BY163)</f>
        <v>10154.625</v>
      </c>
      <c r="CA163" s="215">
        <f>AVERAGE(BZ162:CA162)</f>
        <v>10415.5</v>
      </c>
      <c r="CB163" s="226">
        <f>AVERAGE(CA162:CB162)</f>
        <v>11024</v>
      </c>
      <c r="CC163" s="226">
        <f>AVERAGE(CB162:CC162)</f>
        <v>11462.5</v>
      </c>
      <c r="CD163" s="1796">
        <f>AVERAGE(CC162:CD162)</f>
        <v>11353.5</v>
      </c>
      <c r="CE163" s="969">
        <f>AVERAGE(CA163:CD163)</f>
        <v>11063.875</v>
      </c>
      <c r="CF163" s="215">
        <f>AVERAGE(CE162:CF162)</f>
        <v>11269.5</v>
      </c>
      <c r="CG163" s="215">
        <f>AVERAGE(CF162:CG162)</f>
        <v>11038</v>
      </c>
      <c r="CH163" s="226">
        <f>AVERAGE(CG162:CH162)</f>
        <v>10930.5</v>
      </c>
      <c r="CI163" s="1796">
        <f>AVERAGE(CH162:CI162)</f>
        <v>10733</v>
      </c>
      <c r="CJ163" s="969">
        <f>AVERAGE(CF163:CI163)</f>
        <v>10992.75</v>
      </c>
      <c r="CK163" s="215">
        <f>AVERAGE(CJ162:CK162)</f>
        <v>10643</v>
      </c>
      <c r="CL163" s="226">
        <f>AVERAGE(CK162:CL162)</f>
        <v>10643</v>
      </c>
      <c r="CM163" s="226">
        <f>AVERAGE(CL162:CM162)</f>
        <v>10845.5</v>
      </c>
      <c r="CN163" s="1807">
        <f>AVERAGE(CM162:CN162)</f>
        <v>15943.5</v>
      </c>
      <c r="CO163" s="969">
        <f>AVERAGE(CK163:CN163)</f>
        <v>12018.75</v>
      </c>
      <c r="CP163" s="226">
        <f>AVERAGE(CO162:CP162)</f>
        <v>20838</v>
      </c>
      <c r="CQ163" s="226">
        <f>AVERAGE(CP162:CQ162)</f>
        <v>20234</v>
      </c>
      <c r="CR163" s="226">
        <f>AVERAGE(CQ162:CR162)</f>
        <v>19634</v>
      </c>
      <c r="CS163" s="1796">
        <f>AVERAGE(CR162:CS162)</f>
        <v>18953</v>
      </c>
      <c r="CT163" s="969">
        <f>AVERAGE(CP163:CS163)</f>
        <v>19914.75</v>
      </c>
      <c r="CU163" s="226">
        <f>AVERAGE(CT162:CU162)</f>
        <v>18269</v>
      </c>
      <c r="CV163" s="226">
        <f>AVERAGE(CU162:CV162)</f>
        <v>18269</v>
      </c>
      <c r="CW163" s="226">
        <f>AVERAGE(CV162:CW162)</f>
        <v>18269</v>
      </c>
      <c r="CX163" s="226">
        <f>AVERAGE(CW162:CX162)</f>
        <v>18269</v>
      </c>
      <c r="CY163" s="969">
        <f>AVERAGE(CU163:CX163)</f>
        <v>18269</v>
      </c>
      <c r="CZ163" s="969">
        <f>AVERAGE(CY162:CZ162)</f>
        <v>18269</v>
      </c>
      <c r="DA163" s="969">
        <f>AVERAGE(CZ162:DA162)</f>
        <v>18269</v>
      </c>
      <c r="DB163"/>
      <c r="DC163"/>
      <c r="DD163" s="2285" t="s">
        <v>1014</v>
      </c>
      <c r="DE163" s="2290">
        <f t="shared" si="470"/>
        <v>0</v>
      </c>
      <c r="DF163" s="2290">
        <f t="shared" si="471"/>
        <v>12683</v>
      </c>
      <c r="DG163" s="2290">
        <f t="shared" si="472"/>
        <v>11434.5</v>
      </c>
      <c r="DH163" s="2290">
        <f t="shared" si="473"/>
        <v>10106.875</v>
      </c>
      <c r="DI163" s="2290">
        <f t="shared" si="474"/>
        <v>9673.25</v>
      </c>
      <c r="DJ163" s="2290">
        <f t="shared" si="475"/>
        <v>9720.75</v>
      </c>
      <c r="DK163" s="2290">
        <f t="shared" si="476"/>
        <v>11411</v>
      </c>
      <c r="DL163" s="2290">
        <f t="shared" si="477"/>
        <v>10454.375</v>
      </c>
      <c r="DM163" s="2290">
        <f t="shared" si="478"/>
        <v>9852.5</v>
      </c>
      <c r="DN163" s="2290">
        <f t="shared" si="479"/>
        <v>10871.125</v>
      </c>
      <c r="DO163" s="2290">
        <f t="shared" si="480"/>
        <v>11312.375</v>
      </c>
      <c r="DP163" s="2290">
        <f t="shared" si="481"/>
        <v>12091.25</v>
      </c>
      <c r="DQ163" s="2290">
        <f t="shared" si="482"/>
        <v>10998.25</v>
      </c>
      <c r="DR163" s="2290">
        <f t="shared" si="483"/>
        <v>10154.625</v>
      </c>
      <c r="DS163" s="2290">
        <f t="shared" si="484"/>
        <v>11063.875</v>
      </c>
      <c r="DT163" s="2290">
        <f t="shared" si="485"/>
        <v>10992.75</v>
      </c>
      <c r="DU163" s="2290">
        <f t="shared" si="486"/>
        <v>12018.75</v>
      </c>
      <c r="DV163" s="2290">
        <f t="shared" si="487"/>
        <v>19914.75</v>
      </c>
      <c r="DW163" s="2290">
        <f t="shared" si="488"/>
        <v>18269</v>
      </c>
      <c r="DX163" s="2290">
        <f t="shared" si="489"/>
        <v>18269</v>
      </c>
      <c r="DY163" s="2290">
        <f t="shared" si="490"/>
        <v>18269</v>
      </c>
      <c r="EA163"/>
      <c r="EB163"/>
      <c r="EC163"/>
      <c r="ED163"/>
      <c r="EE163"/>
      <c r="EF163"/>
      <c r="EJ163"/>
      <c r="EK163"/>
      <c r="EL163"/>
      <c r="ER163" s="212"/>
    </row>
    <row r="164" spans="1:148" s="874" customFormat="1" ht="12.75" customHeight="1" x14ac:dyDescent="0.2">
      <c r="A164" s="1675" t="s">
        <v>1011</v>
      </c>
      <c r="B164" s="1699"/>
      <c r="C164" s="1699"/>
      <c r="D164" s="1699"/>
      <c r="E164" s="1699"/>
      <c r="F164" s="1699"/>
      <c r="G164" s="1699"/>
      <c r="H164" s="1699"/>
      <c r="I164" s="1699"/>
      <c r="J164" s="1699"/>
      <c r="K164" s="1699"/>
      <c r="L164" s="1699"/>
      <c r="M164" s="1700"/>
      <c r="N164" s="1699"/>
      <c r="O164" s="1699">
        <f>O163/N163-1</f>
        <v>-7.9701513452914763E-2</v>
      </c>
      <c r="P164" s="1699">
        <f>P163/O163-1</f>
        <v>-0.10639917773801821</v>
      </c>
      <c r="Q164" s="1699">
        <f>Q163/P163-1</f>
        <v>-1.2652296157450782E-2</v>
      </c>
      <c r="R164" s="1700"/>
      <c r="S164" s="1699">
        <f>S163/R163-1</f>
        <v>-6.6703461326184654E-2</v>
      </c>
      <c r="T164" s="1699">
        <f>T163/S163-1</f>
        <v>-2.8554532398411769E-2</v>
      </c>
      <c r="U164" s="1699">
        <f>U163/T163-1</f>
        <v>-2.9567788503348513E-3</v>
      </c>
      <c r="V164" s="1699">
        <f>V163/U163-1</f>
        <v>-4.6053205407762809E-2</v>
      </c>
      <c r="W164" s="1700">
        <f>W163/R163-1</f>
        <v>-9.8438855160451033E-2</v>
      </c>
      <c r="X164" s="1699">
        <f>X163/W163-1</f>
        <v>-7.5998075998075953E-2</v>
      </c>
      <c r="Y164" s="1699">
        <f>Y163/X163-1</f>
        <v>-2.5838815011121063E-2</v>
      </c>
      <c r="Z164" s="1699">
        <f>Z163/Y163-1</f>
        <v>-3.0944862764148651E-2</v>
      </c>
      <c r="AA164" s="1699">
        <f>AA163/Z163-1</f>
        <v>-3.7948666532985786E-2</v>
      </c>
      <c r="AB164" s="1700">
        <f>AB163/W163-1</f>
        <v>-0.1161069570160479</v>
      </c>
      <c r="AC164" s="1699">
        <f>AC163/AB163-1</f>
        <v>-2.2633108651289868E-3</v>
      </c>
      <c r="AD164" s="1699">
        <f>AD163/AC163-1</f>
        <v>4.7352241174137166E-2</v>
      </c>
      <c r="AE164" s="1699">
        <f>AE163/AD163-1</f>
        <v>-8.2279979169625483E-2</v>
      </c>
      <c r="AF164" s="1699">
        <f>AF163/AE163-1</f>
        <v>-0.1379932937838535</v>
      </c>
      <c r="AG164" s="1700">
        <f>AG163/AB163-1</f>
        <v>-4.2903963885968732E-2</v>
      </c>
      <c r="AH164" s="1699">
        <f>AH163/AG163-1</f>
        <v>-0.19292895355749107</v>
      </c>
      <c r="AI164" s="1699">
        <f>AI163/AH163-1</f>
        <v>2.753938772896114E-2</v>
      </c>
      <c r="AJ164" s="1699">
        <f>AJ163/AI163-1</f>
        <v>0.28010471204188492</v>
      </c>
      <c r="AK164" s="1699">
        <f>AK163/AJ163-1</f>
        <v>0.24500925114422056</v>
      </c>
      <c r="AL164" s="1700">
        <f>AL163/AG163-1</f>
        <v>4.9104489184090827E-3</v>
      </c>
      <c r="AM164" s="1699">
        <f>AM163/AL163-1</f>
        <v>0.33492786050459067</v>
      </c>
      <c r="AN164" s="1699">
        <f>AN163/AM163-1</f>
        <v>-8.1840249682117672E-2</v>
      </c>
      <c r="AO164" s="1699">
        <f>AO163/AN163-1</f>
        <v>-0.12740778043560363</v>
      </c>
      <c r="AP164" s="1699">
        <f>AP163/AO163-1</f>
        <v>-3.8474486606069336E-3</v>
      </c>
      <c r="AQ164" s="1700">
        <f>AQ163/AL163-1</f>
        <v>0.17388061620759721</v>
      </c>
      <c r="AR164" s="1699">
        <f>AR163/AQ163-1</f>
        <v>-2.9576724213478234E-2</v>
      </c>
      <c r="AS164" s="1699">
        <f>AS163/AR163-1</f>
        <v>1.8061136948570811E-2</v>
      </c>
      <c r="AT164" s="1699">
        <f>AT163/AS163-1</f>
        <v>-9.052202066793813E-2</v>
      </c>
      <c r="AU164" s="1699">
        <f>AU163/AT163-1</f>
        <v>-0.10099483078123472</v>
      </c>
      <c r="AV164" s="1700">
        <f>AV163/AQ163-1</f>
        <v>-8.3833581631758802E-2</v>
      </c>
      <c r="AW164" s="1699">
        <f>AW163/AV163-1</f>
        <v>-0.11089854725892268</v>
      </c>
      <c r="AX164" s="1699">
        <f>AX163/AW163-1</f>
        <v>5.4007530930607839E-2</v>
      </c>
      <c r="AY164" s="1699">
        <f>AY163/AX163-1</f>
        <v>3.2867204246197712E-2</v>
      </c>
      <c r="AZ164" s="1699">
        <f>AZ163/AY163-1</f>
        <v>7.9059195572686036E-3</v>
      </c>
      <c r="BA164" s="1700">
        <f>BA163/AV163-1</f>
        <v>-5.757159084115504E-2</v>
      </c>
      <c r="BB164" s="1699">
        <f>BB163/BA163-1</f>
        <v>6.2369956863740139E-2</v>
      </c>
      <c r="BC164" s="1699">
        <f>BC163/BB163-1</f>
        <v>4.0747109964650807E-2</v>
      </c>
      <c r="BD164" s="1699">
        <f>BD163/BC163-1</f>
        <v>1.546793959700743E-2</v>
      </c>
      <c r="BE164" s="1699">
        <f>BE163/BD163-1</f>
        <v>0</v>
      </c>
      <c r="BF164" s="1700">
        <f>BF163/BA163-1</f>
        <v>0.10338746511037811</v>
      </c>
      <c r="BG164" s="1699">
        <f>BG163/BE163-1</f>
        <v>2.2645091303561848E-2</v>
      </c>
      <c r="BH164" s="1699">
        <f>BH163/BG163-1</f>
        <v>1.3259668508287525E-3</v>
      </c>
      <c r="BI164" s="1699">
        <f>BI163/BH163-1</f>
        <v>-2.0790112557934282E-2</v>
      </c>
      <c r="BJ164" s="1699">
        <f>BJ163/BI163-1</f>
        <v>3.8360980887125917E-2</v>
      </c>
      <c r="BK164" s="1700">
        <f>BK163/BF163-1</f>
        <v>4.0589175453322524E-2</v>
      </c>
      <c r="BL164" s="1699">
        <f>BL163/BK163-1</f>
        <v>7.2542238035779416E-2</v>
      </c>
      <c r="BM164" s="1699">
        <f>BM163/BL163-1</f>
        <v>8.8189235968021418E-3</v>
      </c>
      <c r="BN164" s="1699">
        <f>BN163/BM163-1</f>
        <v>-6.7810457516339628E-3</v>
      </c>
      <c r="BO164" s="1699">
        <f>BO163/BN163-1</f>
        <v>-2.6486797729703082E-2</v>
      </c>
      <c r="BP164" s="1700">
        <f>BP163/BK163-1</f>
        <v>6.8851589520326106E-2</v>
      </c>
      <c r="BQ164" s="1699">
        <f>BQ163/BP163-1</f>
        <v>-4.7823839553396086E-2</v>
      </c>
      <c r="BR164" s="1699">
        <f>BR163/BQ163-1</f>
        <v>-2.5666637713888663E-2</v>
      </c>
      <c r="BS164" s="1699">
        <f>BS163/BR163-1</f>
        <v>-3.686204591040787E-2</v>
      </c>
      <c r="BT164" s="1699">
        <f>BT163/BS163-1</f>
        <v>-3.1978896704924153E-2</v>
      </c>
      <c r="BU164" s="1700">
        <f>BU163/BP163-1</f>
        <v>-9.0395947482683758E-2</v>
      </c>
      <c r="BV164" s="1699">
        <f>BV163/BU163-1</f>
        <v>-6.976109835655675E-2</v>
      </c>
      <c r="BW164" s="1699">
        <f>BW163/BV163-1</f>
        <v>-1.3390675398299301E-2</v>
      </c>
      <c r="BX164" s="1699">
        <f>BX163/BW163-1</f>
        <v>-8.2722409352090631E-3</v>
      </c>
      <c r="BY164" s="1699">
        <f>BY163/BX163-1</f>
        <v>2.7221417511612778E-2</v>
      </c>
      <c r="BZ164" s="1700">
        <f>BZ163/BU163-1</f>
        <v>-7.670538494760526E-2</v>
      </c>
      <c r="CA164" s="1699">
        <f>CA163/BZ163-1</f>
        <v>2.5690264288440012E-2</v>
      </c>
      <c r="CB164" s="1699">
        <f>CB163/CA163-1</f>
        <v>5.8422543324852416E-2</v>
      </c>
      <c r="CC164" s="1699">
        <f>CC163/CB163-1</f>
        <v>3.977685050798252E-2</v>
      </c>
      <c r="CD164" s="1798">
        <f>CD163/CC163-1</f>
        <v>-9.5092693565975717E-3</v>
      </c>
      <c r="CE164" s="1700">
        <f>CE163/BZ163-1</f>
        <v>8.9540480323005545E-2</v>
      </c>
      <c r="CF164" s="1699">
        <f>CF163/CE163-1</f>
        <v>1.8585260589079278E-2</v>
      </c>
      <c r="CG164" s="1699">
        <f>CG163/CF163-1</f>
        <v>-2.0542171347442184E-2</v>
      </c>
      <c r="CH164" s="1699">
        <f>CH163/CG163-1</f>
        <v>-9.739083167240481E-3</v>
      </c>
      <c r="CI164" s="1798">
        <f>CI163/CH163-1</f>
        <v>-1.8068706829513781E-2</v>
      </c>
      <c r="CJ164" s="1700">
        <f>CJ163/CE163-1</f>
        <v>-6.4285794985934341E-3</v>
      </c>
      <c r="CK164" s="1699">
        <f>CK163/CJ163-1</f>
        <v>-3.1816424461576953E-2</v>
      </c>
      <c r="CL164" s="1699">
        <f>CL163/CK163-1</f>
        <v>0</v>
      </c>
      <c r="CM164" s="1699">
        <f>CM163/CL163-1</f>
        <v>1.9026590247110731E-2</v>
      </c>
      <c r="CN164" s="3286">
        <f>CN163/CM163-1</f>
        <v>0.47005670554607892</v>
      </c>
      <c r="CO164" s="1700">
        <f>CO163/CJ163-1</f>
        <v>9.3334243023811103E-2</v>
      </c>
      <c r="CP164" s="1699">
        <f>CP163/CO163-1</f>
        <v>0.73379095163806562</v>
      </c>
      <c r="CQ164" s="1699">
        <f>CQ163/CP163-1</f>
        <v>-2.8985507246376829E-2</v>
      </c>
      <c r="CR164" s="1699">
        <f>CR163/CQ163-1</f>
        <v>-2.9653059207274901E-2</v>
      </c>
      <c r="CS164" s="1798">
        <f>CS163/CR163-1</f>
        <v>-3.4684730569420341E-2</v>
      </c>
      <c r="CT164" s="1700">
        <f>CT163/CO163-1</f>
        <v>0.65697347893915747</v>
      </c>
      <c r="CU164" s="1699">
        <f>CU163/CT163-1</f>
        <v>-8.2639751942655604E-2</v>
      </c>
      <c r="CV164" s="1699">
        <f>CV163/CU163-1</f>
        <v>0</v>
      </c>
      <c r="CW164" s="1699">
        <f>CW163/CV163-1</f>
        <v>0</v>
      </c>
      <c r="CX164" s="1699">
        <f>CX163/CW163-1</f>
        <v>0</v>
      </c>
      <c r="CY164" s="1700">
        <f>CY163/CT163-1</f>
        <v>-8.2639751942655604E-2</v>
      </c>
      <c r="CZ164" s="1700">
        <f>CZ163/CY163-1</f>
        <v>0</v>
      </c>
      <c r="DA164" s="1700">
        <f>DA163/CZ163-1</f>
        <v>0</v>
      </c>
      <c r="DB164"/>
      <c r="DC164"/>
      <c r="DD164" s="1675" t="s">
        <v>1011</v>
      </c>
      <c r="DE164" s="1284">
        <f t="shared" si="470"/>
        <v>0</v>
      </c>
      <c r="DF164" s="1284">
        <f t="shared" si="471"/>
        <v>0</v>
      </c>
      <c r="DG164" s="1284">
        <f t="shared" si="472"/>
        <v>-9.8438855160451033E-2</v>
      </c>
      <c r="DH164" s="1284">
        <f t="shared" si="473"/>
        <v>-0.1161069570160479</v>
      </c>
      <c r="DI164" s="1284">
        <f t="shared" si="474"/>
        <v>-4.2903963885968732E-2</v>
      </c>
      <c r="DJ164" s="1284">
        <f t="shared" si="475"/>
        <v>4.9104489184090827E-3</v>
      </c>
      <c r="DK164" s="1284">
        <f t="shared" si="476"/>
        <v>0.17388061620759721</v>
      </c>
      <c r="DL164" s="1284">
        <f t="shared" si="477"/>
        <v>-8.3833581631758802E-2</v>
      </c>
      <c r="DM164" s="1284">
        <f t="shared" si="478"/>
        <v>-5.757159084115504E-2</v>
      </c>
      <c r="DN164" s="1284">
        <f t="shared" si="479"/>
        <v>0.10338746511037811</v>
      </c>
      <c r="DO164" s="1284">
        <f t="shared" si="480"/>
        <v>4.0589175453322524E-2</v>
      </c>
      <c r="DP164" s="1284">
        <f t="shared" si="481"/>
        <v>6.8851589520326106E-2</v>
      </c>
      <c r="DQ164" s="1284">
        <f t="shared" si="482"/>
        <v>-9.0395947482683758E-2</v>
      </c>
      <c r="DR164" s="1284">
        <f t="shared" si="483"/>
        <v>-7.670538494760526E-2</v>
      </c>
      <c r="DS164" s="1284">
        <f t="shared" si="484"/>
        <v>8.9540480323005545E-2</v>
      </c>
      <c r="DT164" s="1284">
        <f t="shared" si="485"/>
        <v>-6.4285794985934341E-3</v>
      </c>
      <c r="DU164" s="1284">
        <f t="shared" si="486"/>
        <v>9.3334243023811103E-2</v>
      </c>
      <c r="DV164" s="1284">
        <f t="shared" si="487"/>
        <v>0.65697347893915747</v>
      </c>
      <c r="DW164" s="1284">
        <f t="shared" si="488"/>
        <v>-8.2639751942655604E-2</v>
      </c>
      <c r="DX164" s="1284">
        <f t="shared" si="489"/>
        <v>0</v>
      </c>
      <c r="DY164" s="1284">
        <f t="shared" si="490"/>
        <v>0</v>
      </c>
      <c r="EA164"/>
      <c r="EB164"/>
      <c r="EC164"/>
      <c r="ED164"/>
      <c r="EE164"/>
      <c r="EF164"/>
      <c r="EJ164"/>
      <c r="EK164"/>
      <c r="EL164"/>
      <c r="ER164" s="872"/>
    </row>
    <row r="165" spans="1:148" s="923" customFormat="1" ht="12.75" customHeight="1" x14ac:dyDescent="0.2">
      <c r="A165" s="1571" t="s">
        <v>1012</v>
      </c>
      <c r="B165" s="2695"/>
      <c r="C165" s="2695"/>
      <c r="D165" s="2695"/>
      <c r="E165" s="2695"/>
      <c r="F165" s="2695"/>
      <c r="G165" s="2695"/>
      <c r="H165" s="2695"/>
      <c r="I165" s="2695"/>
      <c r="J165" s="2695"/>
      <c r="K165" s="2695"/>
      <c r="L165" s="2695"/>
      <c r="M165" s="2894"/>
      <c r="N165" s="2695">
        <f t="shared" ref="N165:AS165" si="493">N162/N158</f>
        <v>199.40579710144928</v>
      </c>
      <c r="O165" s="2695">
        <f t="shared" si="493"/>
        <v>201.7741935483871</v>
      </c>
      <c r="P165" s="2695">
        <f t="shared" si="493"/>
        <v>185.83050847457628</v>
      </c>
      <c r="Q165" s="2695">
        <f t="shared" si="493"/>
        <v>200.21311475409837</v>
      </c>
      <c r="R165" s="2894">
        <f t="shared" si="493"/>
        <v>200.21311475409837</v>
      </c>
      <c r="S165" s="2695">
        <f t="shared" si="493"/>
        <v>201.07017543859649</v>
      </c>
      <c r="T165" s="2695">
        <f t="shared" si="493"/>
        <v>198.91379310344828</v>
      </c>
      <c r="U165" s="2695">
        <f t="shared" si="493"/>
        <v>203.44642857142858</v>
      </c>
      <c r="V165" s="2695">
        <f t="shared" si="493"/>
        <v>205.50980392156862</v>
      </c>
      <c r="W165" s="2894">
        <f t="shared" si="493"/>
        <v>205.50980392156862</v>
      </c>
      <c r="X165" s="2695">
        <f t="shared" si="493"/>
        <v>204.80769230769232</v>
      </c>
      <c r="Y165" s="2695">
        <f t="shared" si="493"/>
        <v>215.97826086956522</v>
      </c>
      <c r="Z165" s="2695">
        <f t="shared" si="493"/>
        <v>222.51111111111112</v>
      </c>
      <c r="AA165" s="2695">
        <f t="shared" si="493"/>
        <v>213.44186046511629</v>
      </c>
      <c r="AB165" s="2894">
        <f t="shared" si="493"/>
        <v>213.44186046511629</v>
      </c>
      <c r="AC165" s="2695">
        <f t="shared" si="493"/>
        <v>224.28571428571428</v>
      </c>
      <c r="AD165" s="2695">
        <f t="shared" si="493"/>
        <v>235.65116279069767</v>
      </c>
      <c r="AE165" s="2695">
        <f t="shared" si="493"/>
        <v>250.05405405405406</v>
      </c>
      <c r="AF165" s="2695">
        <f t="shared" si="493"/>
        <v>226</v>
      </c>
      <c r="AG165" s="2894">
        <f t="shared" si="493"/>
        <v>226</v>
      </c>
      <c r="AH165" s="2695">
        <f t="shared" si="493"/>
        <v>254.875</v>
      </c>
      <c r="AI165" s="2695">
        <f t="shared" si="493"/>
        <v>246.5</v>
      </c>
      <c r="AJ165" s="2695">
        <f t="shared" si="493"/>
        <v>281.11111111111109</v>
      </c>
      <c r="AK165" s="2695">
        <f t="shared" si="493"/>
        <v>280.86956521739131</v>
      </c>
      <c r="AL165" s="2894">
        <f t="shared" si="493"/>
        <v>280.86956521739131</v>
      </c>
      <c r="AM165" s="2695">
        <f t="shared" si="493"/>
        <v>283.32608695652175</v>
      </c>
      <c r="AN165" s="2695">
        <f t="shared" si="493"/>
        <v>276.82051282051282</v>
      </c>
      <c r="AO165" s="2695">
        <f t="shared" si="493"/>
        <v>270.18918918918916</v>
      </c>
      <c r="AP165" s="2695">
        <f t="shared" si="493"/>
        <v>267.89999999999998</v>
      </c>
      <c r="AQ165" s="2894">
        <f t="shared" si="493"/>
        <v>267.89999999999998</v>
      </c>
      <c r="AR165" s="2695">
        <f t="shared" si="493"/>
        <v>293.10256410256409</v>
      </c>
      <c r="AS165" s="2695">
        <f t="shared" si="493"/>
        <v>271.1219512195122</v>
      </c>
      <c r="AT165" s="2695">
        <f t="shared" ref="AT165:BR165" si="494">AT162/AT158</f>
        <v>268.28571428571428</v>
      </c>
      <c r="AU165" s="2695">
        <f t="shared" si="494"/>
        <v>266.02941176470586</v>
      </c>
      <c r="AV165" s="2894">
        <f t="shared" si="494"/>
        <v>266.02941176470586</v>
      </c>
      <c r="AW165" s="2695">
        <f t="shared" si="494"/>
        <v>272.71428571428572</v>
      </c>
      <c r="AX165" s="2695">
        <f t="shared" si="494"/>
        <v>279.13888888888891</v>
      </c>
      <c r="AY165" s="2695">
        <f t="shared" si="494"/>
        <v>283.02777777777777</v>
      </c>
      <c r="AZ165" s="2695">
        <f t="shared" si="494"/>
        <v>275.91891891891891</v>
      </c>
      <c r="BA165" s="2894">
        <f t="shared" si="494"/>
        <v>275.91891891891891</v>
      </c>
      <c r="BB165" s="2695">
        <f t="shared" si="494"/>
        <v>289.86486486486484</v>
      </c>
      <c r="BC165" s="2695">
        <f t="shared" si="494"/>
        <v>283.64102564102564</v>
      </c>
      <c r="BD165" s="2695">
        <f t="shared" si="494"/>
        <v>283.64102564102564</v>
      </c>
      <c r="BE165" s="2695">
        <f t="shared" si="494"/>
        <v>283.64102564102564</v>
      </c>
      <c r="BF165" s="2894">
        <f t="shared" si="494"/>
        <v>283.64102564102564</v>
      </c>
      <c r="BG165" s="2695">
        <f t="shared" si="494"/>
        <v>282.02439024390242</v>
      </c>
      <c r="BH165" s="2695">
        <f t="shared" si="494"/>
        <v>277.3</v>
      </c>
      <c r="BI165" s="2695">
        <f t="shared" si="494"/>
        <v>277.3</v>
      </c>
      <c r="BJ165" s="2695">
        <f t="shared" si="494"/>
        <v>259.63043478260869</v>
      </c>
      <c r="BK165" s="2894">
        <f t="shared" si="494"/>
        <v>259.63043478260869</v>
      </c>
      <c r="BL165" s="2695">
        <f t="shared" si="494"/>
        <v>256.72916666666669</v>
      </c>
      <c r="BM165" s="2695">
        <f t="shared" si="494"/>
        <v>258.65957446808511</v>
      </c>
      <c r="BN165" s="2695">
        <f t="shared" si="494"/>
        <v>258.65957446808511</v>
      </c>
      <c r="BO165" s="2695">
        <f t="shared" si="494"/>
        <v>250.28260869565219</v>
      </c>
      <c r="BP165" s="2894">
        <f t="shared" si="494"/>
        <v>250.28260869565219</v>
      </c>
      <c r="BQ165" s="2695">
        <f t="shared" si="494"/>
        <v>250.28260869565219</v>
      </c>
      <c r="BR165" s="2695">
        <f t="shared" si="494"/>
        <v>248.22727272727272</v>
      </c>
      <c r="BS165" s="2695">
        <f t="shared" ref="BS165:CJ165" si="495">BS162/BS158</f>
        <v>248.51162790697674</v>
      </c>
      <c r="BT165" s="2695">
        <f t="shared" si="495"/>
        <v>249.53658536585365</v>
      </c>
      <c r="BU165" s="2894">
        <f t="shared" si="495"/>
        <v>249.53658536585365</v>
      </c>
      <c r="BV165" s="2695">
        <f t="shared" si="495"/>
        <v>249.53658536585365</v>
      </c>
      <c r="BW165" s="2695">
        <f t="shared" si="495"/>
        <v>255.30769230769232</v>
      </c>
      <c r="BX165" s="2695">
        <f t="shared" si="495"/>
        <v>251.6</v>
      </c>
      <c r="BY165" s="2695">
        <f t="shared" si="495"/>
        <v>262.55</v>
      </c>
      <c r="BZ165" s="2696">
        <f t="shared" si="495"/>
        <v>262.55</v>
      </c>
      <c r="CA165" s="2695">
        <f t="shared" si="495"/>
        <v>264.84615384615387</v>
      </c>
      <c r="CB165" s="2695">
        <f t="shared" si="495"/>
        <v>244.14583333333334</v>
      </c>
      <c r="CC165" s="2695">
        <f t="shared" si="495"/>
        <v>243.60869565217391</v>
      </c>
      <c r="CD165" s="2695">
        <f t="shared" si="495"/>
        <v>244.70212765957447</v>
      </c>
      <c r="CE165" s="2696">
        <f t="shared" si="495"/>
        <v>244.70212765957447</v>
      </c>
      <c r="CF165" s="2695">
        <f t="shared" si="495"/>
        <v>245.28888888888889</v>
      </c>
      <c r="CG165" s="2695">
        <f t="shared" si="495"/>
        <v>245.28888888888889</v>
      </c>
      <c r="CH165" s="2695">
        <f t="shared" si="495"/>
        <v>245.97727272727272</v>
      </c>
      <c r="CI165" s="2695">
        <f t="shared" si="495"/>
        <v>247.51162790697674</v>
      </c>
      <c r="CJ165" s="2894">
        <f t="shared" si="495"/>
        <v>247.51162790697674</v>
      </c>
      <c r="CK165" s="2695">
        <f t="shared" ref="CK165:DA165" si="496">CK162/CK158</f>
        <v>247.51162790697674</v>
      </c>
      <c r="CL165" s="2695">
        <f t="shared" si="496"/>
        <v>247.51162790697674</v>
      </c>
      <c r="CM165" s="2695">
        <f t="shared" si="496"/>
        <v>225.46938775510205</v>
      </c>
      <c r="CN165" s="2695">
        <f t="shared" si="496"/>
        <v>293.50704225352115</v>
      </c>
      <c r="CO165" s="1701">
        <f t="shared" si="496"/>
        <v>293.50704225352115</v>
      </c>
      <c r="CP165" s="2695">
        <f t="shared" si="496"/>
        <v>293.47887323943661</v>
      </c>
      <c r="CQ165" s="2695">
        <f t="shared" si="496"/>
        <v>284.50724637681162</v>
      </c>
      <c r="CR165" s="2695">
        <f t="shared" si="496"/>
        <v>288.77941176470586</v>
      </c>
      <c r="CS165" s="2695">
        <f t="shared" si="496"/>
        <v>272.67164179104475</v>
      </c>
      <c r="CT165" s="1701">
        <f t="shared" si="496"/>
        <v>272.67164179104475</v>
      </c>
      <c r="CU165" s="2695">
        <f>CU162/CU158</f>
        <v>272.67164179104475</v>
      </c>
      <c r="CV165" s="2695">
        <f>CV162/CV158</f>
        <v>272.67164179104475</v>
      </c>
      <c r="CW165" s="2695">
        <f>CW162/CW158</f>
        <v>272.67164179104475</v>
      </c>
      <c r="CX165" s="2695">
        <f>CX162/CX158</f>
        <v>272.67164179104475</v>
      </c>
      <c r="CY165" s="2894">
        <f>CY162/CY158</f>
        <v>272.67164179104475</v>
      </c>
      <c r="CZ165" s="2894">
        <f t="shared" si="496"/>
        <v>272.67164179104475</v>
      </c>
      <c r="DA165" s="2894">
        <f t="shared" si="496"/>
        <v>272.67164179104475</v>
      </c>
      <c r="DB165"/>
      <c r="DC165"/>
      <c r="DD165" s="1571" t="s">
        <v>1012</v>
      </c>
      <c r="DE165" s="1701">
        <f t="shared" si="470"/>
        <v>0</v>
      </c>
      <c r="DF165" s="1701">
        <f t="shared" si="471"/>
        <v>200.21311475409837</v>
      </c>
      <c r="DG165" s="1701">
        <f t="shared" si="472"/>
        <v>205.50980392156862</v>
      </c>
      <c r="DH165" s="1701">
        <f t="shared" si="473"/>
        <v>213.44186046511629</v>
      </c>
      <c r="DI165" s="1701">
        <f t="shared" si="474"/>
        <v>226</v>
      </c>
      <c r="DJ165" s="1701">
        <f t="shared" si="475"/>
        <v>280.86956521739131</v>
      </c>
      <c r="DK165" s="1701">
        <f t="shared" si="476"/>
        <v>267.89999999999998</v>
      </c>
      <c r="DL165" s="1701">
        <f t="shared" si="477"/>
        <v>266.02941176470586</v>
      </c>
      <c r="DM165" s="1701">
        <f t="shared" si="478"/>
        <v>275.91891891891891</v>
      </c>
      <c r="DN165" s="1701">
        <f t="shared" si="479"/>
        <v>283.64102564102564</v>
      </c>
      <c r="DO165" s="1701">
        <f t="shared" si="480"/>
        <v>259.63043478260869</v>
      </c>
      <c r="DP165" s="1701">
        <f t="shared" si="481"/>
        <v>250.28260869565219</v>
      </c>
      <c r="DQ165" s="1701">
        <f t="shared" si="482"/>
        <v>249.53658536585365</v>
      </c>
      <c r="DR165" s="1701">
        <f t="shared" si="483"/>
        <v>262.55</v>
      </c>
      <c r="DS165" s="1701">
        <f t="shared" si="484"/>
        <v>244.70212765957447</v>
      </c>
      <c r="DT165" s="1701">
        <f t="shared" si="485"/>
        <v>247.51162790697674</v>
      </c>
      <c r="DU165" s="1701">
        <f t="shared" si="486"/>
        <v>293.50704225352115</v>
      </c>
      <c r="DV165" s="1701">
        <f t="shared" si="487"/>
        <v>272.67164179104475</v>
      </c>
      <c r="DW165" s="1701">
        <f t="shared" si="488"/>
        <v>272.67164179104475</v>
      </c>
      <c r="DX165" s="1701">
        <f t="shared" si="489"/>
        <v>272.67164179104475</v>
      </c>
      <c r="DY165" s="1701">
        <f t="shared" si="490"/>
        <v>272.67164179104475</v>
      </c>
      <c r="EA165"/>
      <c r="EB165"/>
      <c r="EC165"/>
      <c r="ED165"/>
      <c r="EE165"/>
      <c r="EF165"/>
      <c r="EJ165"/>
      <c r="EK165"/>
      <c r="EL165"/>
      <c r="ER165" s="212"/>
    </row>
    <row r="166" spans="1:148" s="923" customFormat="1" ht="12.75" customHeight="1" x14ac:dyDescent="0.2">
      <c r="A166" s="1697"/>
      <c r="B166" s="940"/>
      <c r="C166" s="940"/>
      <c r="D166" s="940"/>
      <c r="E166" s="940"/>
      <c r="F166" s="940"/>
      <c r="G166" s="940"/>
      <c r="H166" s="940"/>
      <c r="I166" s="940"/>
      <c r="J166" s="940"/>
      <c r="K166" s="940"/>
      <c r="L166" s="940"/>
      <c r="M166" s="1701"/>
      <c r="N166" s="940"/>
      <c r="O166" s="940"/>
      <c r="P166" s="940"/>
      <c r="Q166" s="940"/>
      <c r="R166" s="1701"/>
      <c r="S166" s="940"/>
      <c r="T166" s="940"/>
      <c r="U166" s="940"/>
      <c r="V166" s="940"/>
      <c r="W166" s="1701"/>
      <c r="X166" s="940"/>
      <c r="Y166" s="940"/>
      <c r="Z166" s="940"/>
      <c r="AA166" s="940"/>
      <c r="AB166" s="1701"/>
      <c r="AC166" s="940"/>
      <c r="AD166" s="940"/>
      <c r="AE166" s="940"/>
      <c r="AF166" s="940"/>
      <c r="AG166" s="1701"/>
      <c r="AH166" s="940"/>
      <c r="AI166" s="940"/>
      <c r="AJ166" s="940"/>
      <c r="AK166" s="940"/>
      <c r="AL166" s="1701"/>
      <c r="AM166" s="940"/>
      <c r="AN166" s="940"/>
      <c r="AO166" s="940"/>
      <c r="AP166" s="940"/>
      <c r="AQ166" s="1701"/>
      <c r="AR166" s="940"/>
      <c r="AS166" s="940"/>
      <c r="AT166" s="940"/>
      <c r="AU166" s="940"/>
      <c r="AV166" s="1701"/>
      <c r="AW166" s="940"/>
      <c r="AX166" s="940"/>
      <c r="AY166" s="940"/>
      <c r="AZ166" s="940"/>
      <c r="BA166" s="1701"/>
      <c r="BB166" s="940"/>
      <c r="BC166" s="940"/>
      <c r="BD166" s="940"/>
      <c r="BE166" s="940"/>
      <c r="BF166" s="1701"/>
      <c r="BG166" s="940"/>
      <c r="BH166" s="940"/>
      <c r="BI166" s="940"/>
      <c r="BJ166" s="940"/>
      <c r="BK166" s="1701"/>
      <c r="BL166" s="940"/>
      <c r="BM166" s="940"/>
      <c r="BN166" s="940"/>
      <c r="BO166" s="940"/>
      <c r="BP166" s="1701"/>
      <c r="BQ166" s="940"/>
      <c r="BR166" s="940"/>
      <c r="BS166" s="940"/>
      <c r="BT166" s="940"/>
      <c r="BU166" s="1701"/>
      <c r="BV166" s="940"/>
      <c r="BW166" s="940"/>
      <c r="BX166" s="940"/>
      <c r="BY166" s="940"/>
      <c r="BZ166" s="1701"/>
      <c r="CA166" s="940"/>
      <c r="CB166" s="940"/>
      <c r="CC166" s="940"/>
      <c r="CD166" s="1799"/>
      <c r="CE166" s="1701"/>
      <c r="CF166" s="940"/>
      <c r="CG166" s="940"/>
      <c r="CH166" s="940"/>
      <c r="CI166" s="940"/>
      <c r="CJ166" s="1701"/>
      <c r="CK166" s="2924"/>
      <c r="CL166" s="2924"/>
      <c r="CM166" s="2924"/>
      <c r="CN166" s="2924"/>
      <c r="CO166" s="1701"/>
      <c r="CP166" s="2924"/>
      <c r="CQ166" s="2924"/>
      <c r="CR166" s="2924"/>
      <c r="CS166" s="2924"/>
      <c r="CT166" s="1701"/>
      <c r="CU166" s="2924"/>
      <c r="CV166" s="2924"/>
      <c r="CW166" s="2924"/>
      <c r="CX166" s="2924"/>
      <c r="CY166" s="1701"/>
      <c r="CZ166" s="1701"/>
      <c r="DA166" s="1799"/>
      <c r="DB166"/>
      <c r="DC166"/>
      <c r="DD166" s="1697"/>
      <c r="DE166" s="1701">
        <f t="shared" si="470"/>
        <v>0</v>
      </c>
      <c r="DF166" s="1701">
        <f t="shared" si="471"/>
        <v>0</v>
      </c>
      <c r="DG166" s="1701">
        <f t="shared" si="472"/>
        <v>0</v>
      </c>
      <c r="DH166" s="1701">
        <f t="shared" si="473"/>
        <v>0</v>
      </c>
      <c r="DI166" s="1701">
        <f t="shared" si="474"/>
        <v>0</v>
      </c>
      <c r="DJ166" s="1701">
        <f t="shared" si="475"/>
        <v>0</v>
      </c>
      <c r="DK166" s="1701">
        <f t="shared" si="476"/>
        <v>0</v>
      </c>
      <c r="DL166" s="1701">
        <f t="shared" si="477"/>
        <v>0</v>
      </c>
      <c r="DM166" s="1701">
        <f t="shared" si="478"/>
        <v>0</v>
      </c>
      <c r="DN166" s="1701">
        <f t="shared" si="479"/>
        <v>0</v>
      </c>
      <c r="DO166" s="1701">
        <f t="shared" si="480"/>
        <v>0</v>
      </c>
      <c r="DP166" s="1701">
        <f t="shared" si="481"/>
        <v>0</v>
      </c>
      <c r="DQ166" s="1701">
        <f t="shared" si="482"/>
        <v>0</v>
      </c>
      <c r="DR166" s="1701">
        <f t="shared" si="483"/>
        <v>0</v>
      </c>
      <c r="DS166" s="1701">
        <f t="shared" si="484"/>
        <v>0</v>
      </c>
      <c r="DT166" s="1701">
        <f t="shared" si="485"/>
        <v>0</v>
      </c>
      <c r="DU166" s="1701">
        <f t="shared" si="486"/>
        <v>0</v>
      </c>
      <c r="DV166" s="1701">
        <f t="shared" si="487"/>
        <v>0</v>
      </c>
      <c r="DW166" s="1701">
        <f t="shared" si="488"/>
        <v>0</v>
      </c>
      <c r="DX166" s="1701">
        <f t="shared" si="489"/>
        <v>0</v>
      </c>
      <c r="DY166" s="1701">
        <f t="shared" si="490"/>
        <v>0</v>
      </c>
      <c r="EA166"/>
      <c r="EB166"/>
      <c r="EC166"/>
      <c r="ED166"/>
      <c r="EE166"/>
      <c r="EF166"/>
      <c r="EJ166"/>
      <c r="EK166"/>
      <c r="EL166"/>
      <c r="ER166" s="212"/>
    </row>
    <row r="167" spans="1:148" s="923" customFormat="1" ht="12.75" customHeight="1" x14ac:dyDescent="0.2">
      <c r="A167" s="2285" t="s">
        <v>2473</v>
      </c>
      <c r="B167" s="599"/>
      <c r="C167" s="599"/>
      <c r="D167" s="599"/>
      <c r="E167" s="599"/>
      <c r="F167" s="599"/>
      <c r="G167" s="599"/>
      <c r="H167" s="599"/>
      <c r="I167" s="599"/>
      <c r="J167" s="599"/>
      <c r="K167" s="599"/>
      <c r="L167" s="599"/>
      <c r="M167" s="1565"/>
      <c r="N167" s="599">
        <f>N11</f>
        <v>171</v>
      </c>
      <c r="O167" s="599">
        <f>O11</f>
        <v>198</v>
      </c>
      <c r="P167" s="599">
        <f>P11</f>
        <v>143</v>
      </c>
      <c r="Q167" s="599">
        <v>114</v>
      </c>
      <c r="R167" s="1565">
        <f>R11</f>
        <v>803</v>
      </c>
      <c r="S167" s="599">
        <f>S11</f>
        <v>139</v>
      </c>
      <c r="T167" s="599">
        <f>T11</f>
        <v>165</v>
      </c>
      <c r="U167" s="599">
        <f>U11</f>
        <v>150</v>
      </c>
      <c r="V167" s="599">
        <f>V11</f>
        <v>197</v>
      </c>
      <c r="W167" s="1565">
        <f>+SUM(S167:V167)</f>
        <v>651</v>
      </c>
      <c r="X167" s="599">
        <f>X11</f>
        <v>137</v>
      </c>
      <c r="Y167" s="599">
        <f>Y11</f>
        <v>145</v>
      </c>
      <c r="Z167" s="599">
        <f>Z11</f>
        <v>132</v>
      </c>
      <c r="AA167" s="599">
        <f>AA11</f>
        <v>219</v>
      </c>
      <c r="AB167" s="1565">
        <f>+SUM(X167:AA167)</f>
        <v>633</v>
      </c>
      <c r="AC167" s="599">
        <f>AC11</f>
        <v>156</v>
      </c>
      <c r="AD167" s="599">
        <f>AD11</f>
        <v>182</v>
      </c>
      <c r="AE167" s="599">
        <f>AE11</f>
        <v>153</v>
      </c>
      <c r="AF167" s="599">
        <f>AF11</f>
        <v>239</v>
      </c>
      <c r="AG167" s="1565">
        <f>+SUM(AC167:AF167)</f>
        <v>730</v>
      </c>
      <c r="AH167" s="599">
        <f>AH11</f>
        <v>167</v>
      </c>
      <c r="AI167" s="599">
        <f>AI11</f>
        <v>180</v>
      </c>
      <c r="AJ167" s="599">
        <f>AJ11</f>
        <v>236</v>
      </c>
      <c r="AK167" s="599">
        <f>AK11</f>
        <v>361</v>
      </c>
      <c r="AL167" s="1565">
        <f>+SUM(AH167:AK167)</f>
        <v>944</v>
      </c>
      <c r="AM167" s="599">
        <f>AM11</f>
        <v>254</v>
      </c>
      <c r="AN167" s="599">
        <f>AN11</f>
        <v>272</v>
      </c>
      <c r="AO167" s="599">
        <f>AO11</f>
        <v>239</v>
      </c>
      <c r="AP167" s="599">
        <f>AP11</f>
        <v>354</v>
      </c>
      <c r="AQ167" s="1565">
        <f>+SUM(AM167:AP167)</f>
        <v>1119</v>
      </c>
      <c r="AR167" s="599">
        <f>AR11</f>
        <v>250</v>
      </c>
      <c r="AS167" s="599">
        <f>AS11</f>
        <v>312</v>
      </c>
      <c r="AT167" s="599">
        <f>AT11</f>
        <v>262</v>
      </c>
      <c r="AU167" s="599">
        <f>AU11</f>
        <v>416</v>
      </c>
      <c r="AV167" s="1565">
        <f>+SUM(AR167:AU167)</f>
        <v>1240</v>
      </c>
      <c r="AW167" s="599">
        <f>AW11</f>
        <v>270</v>
      </c>
      <c r="AX167" s="599">
        <f>AX11</f>
        <v>319</v>
      </c>
      <c r="AY167" s="599">
        <f>AY11</f>
        <v>260</v>
      </c>
      <c r="AZ167" s="599">
        <f>AZ11</f>
        <v>376</v>
      </c>
      <c r="BA167" s="1565">
        <f>+SUM(AW167:AZ167)</f>
        <v>1225</v>
      </c>
      <c r="BB167" s="599">
        <f>BB11</f>
        <v>220</v>
      </c>
      <c r="BC167" s="599">
        <f>BC11</f>
        <v>238</v>
      </c>
      <c r="BD167" s="599">
        <f>BD11</f>
        <v>226</v>
      </c>
      <c r="BE167" s="599">
        <f>BE11</f>
        <v>335</v>
      </c>
      <c r="BF167" s="1565">
        <f>+SUM(BB167:BE167)</f>
        <v>1019</v>
      </c>
      <c r="BG167" s="599">
        <f>BG11</f>
        <v>229</v>
      </c>
      <c r="BH167" s="599">
        <f>BH11</f>
        <v>255</v>
      </c>
      <c r="BI167" s="599">
        <f>BI11</f>
        <v>220</v>
      </c>
      <c r="BJ167" s="599">
        <f>BJ11</f>
        <v>342</v>
      </c>
      <c r="BK167" s="1565">
        <f>+SUM(BG167:BJ167)</f>
        <v>1046</v>
      </c>
      <c r="BL167" s="599">
        <f>BL11</f>
        <v>224</v>
      </c>
      <c r="BM167" s="599">
        <f>BM11</f>
        <v>249</v>
      </c>
      <c r="BN167" s="599">
        <f>BN11</f>
        <v>254</v>
      </c>
      <c r="BO167" s="599">
        <f>BO11</f>
        <v>356</v>
      </c>
      <c r="BP167" s="1565">
        <f>SUM(BL167:BO167)</f>
        <v>1083</v>
      </c>
      <c r="BQ167" s="599">
        <f>BQ11</f>
        <v>217</v>
      </c>
      <c r="BR167" s="599">
        <f>BR11</f>
        <v>264</v>
      </c>
      <c r="BS167" s="599">
        <f>BS11</f>
        <v>200</v>
      </c>
      <c r="BT167" s="599">
        <f>BT11</f>
        <v>308</v>
      </c>
      <c r="BU167" s="1565">
        <f>SUM(BQ167:BT167)</f>
        <v>989</v>
      </c>
      <c r="BV167" s="599">
        <f>BV11</f>
        <v>224</v>
      </c>
      <c r="BW167" s="599">
        <f>BW11</f>
        <v>246</v>
      </c>
      <c r="BX167" s="599">
        <f>BX11</f>
        <v>220</v>
      </c>
      <c r="BY167" s="1967">
        <f>BY11</f>
        <v>260</v>
      </c>
      <c r="BZ167" s="1705">
        <f>SUM(BV167:BY167)</f>
        <v>950</v>
      </c>
      <c r="CA167" s="1967">
        <f>CA11</f>
        <v>234</v>
      </c>
      <c r="CB167" s="1967">
        <f>CB11</f>
        <v>269</v>
      </c>
      <c r="CC167" s="1967">
        <f>CC11</f>
        <v>244</v>
      </c>
      <c r="CD167" s="1967">
        <f>CD11</f>
        <v>275</v>
      </c>
      <c r="CE167" s="1705">
        <f>SUM(CA167:CD167)</f>
        <v>1022</v>
      </c>
      <c r="CF167" s="1967">
        <f>CF11</f>
        <v>257</v>
      </c>
      <c r="CG167" s="1967">
        <f>CG11</f>
        <v>243</v>
      </c>
      <c r="CH167" s="2444">
        <f>CH11</f>
        <v>229</v>
      </c>
      <c r="CI167" s="2444">
        <f>CI11</f>
        <v>257</v>
      </c>
      <c r="CJ167" s="1565">
        <f>SUM(CF167:CI167)</f>
        <v>986</v>
      </c>
      <c r="CK167" s="946">
        <f>CK11</f>
        <v>247</v>
      </c>
      <c r="CL167" s="946">
        <f>CL11</f>
        <v>245</v>
      </c>
      <c r="CM167" s="946">
        <f>CM11</f>
        <v>249</v>
      </c>
      <c r="CN167" s="2443"/>
      <c r="CO167" s="2343"/>
      <c r="CP167" s="2443"/>
      <c r="CQ167" s="2443"/>
      <c r="CR167" s="2443"/>
      <c r="CS167" s="2443"/>
      <c r="CT167" s="2343"/>
      <c r="CU167" s="2443"/>
      <c r="CV167" s="2443"/>
      <c r="CW167" s="2443"/>
      <c r="CX167" s="2443"/>
      <c r="CY167" s="2343"/>
      <c r="CZ167" s="2343"/>
      <c r="DA167" s="2343"/>
      <c r="DB167"/>
      <c r="DC167"/>
      <c r="DD167" s="2285" t="s">
        <v>1015</v>
      </c>
      <c r="DE167" s="2292">
        <f t="shared" si="470"/>
        <v>0</v>
      </c>
      <c r="DF167" s="2292">
        <f t="shared" si="471"/>
        <v>803</v>
      </c>
      <c r="DG167" s="2292">
        <f t="shared" si="472"/>
        <v>651</v>
      </c>
      <c r="DH167" s="2292">
        <f t="shared" si="473"/>
        <v>633</v>
      </c>
      <c r="DI167" s="2292">
        <f t="shared" si="474"/>
        <v>730</v>
      </c>
      <c r="DJ167" s="2292">
        <f t="shared" si="475"/>
        <v>944</v>
      </c>
      <c r="DK167" s="2292">
        <f t="shared" si="476"/>
        <v>1119</v>
      </c>
      <c r="DL167" s="2292">
        <f t="shared" si="477"/>
        <v>1240</v>
      </c>
      <c r="DM167" s="2292">
        <f t="shared" si="478"/>
        <v>1225</v>
      </c>
      <c r="DN167" s="2292">
        <f t="shared" si="479"/>
        <v>1019</v>
      </c>
      <c r="DO167" s="2292">
        <f t="shared" si="480"/>
        <v>1046</v>
      </c>
      <c r="DP167" s="2292">
        <f t="shared" si="481"/>
        <v>1083</v>
      </c>
      <c r="DQ167" s="2292">
        <f t="shared" si="482"/>
        <v>989</v>
      </c>
      <c r="DR167" s="2292">
        <f t="shared" si="483"/>
        <v>950</v>
      </c>
      <c r="DS167" s="2292">
        <f t="shared" si="484"/>
        <v>1022</v>
      </c>
      <c r="DT167" s="2292">
        <f t="shared" si="485"/>
        <v>986</v>
      </c>
      <c r="DU167" s="2292">
        <f t="shared" si="486"/>
        <v>0</v>
      </c>
      <c r="DV167" s="2292">
        <f t="shared" si="487"/>
        <v>0</v>
      </c>
      <c r="DW167" s="2292">
        <f t="shared" si="488"/>
        <v>0</v>
      </c>
      <c r="DX167" s="2292">
        <f t="shared" si="489"/>
        <v>0</v>
      </c>
      <c r="DY167" s="2292">
        <f t="shared" si="490"/>
        <v>0</v>
      </c>
      <c r="EA167"/>
      <c r="EB167"/>
      <c r="EC167"/>
      <c r="ED167"/>
      <c r="EE167"/>
      <c r="EF167"/>
      <c r="EJ167"/>
      <c r="EK167"/>
      <c r="EL167"/>
      <c r="ER167" s="212"/>
    </row>
    <row r="168" spans="1:148" s="923" customFormat="1" ht="12.75" customHeight="1" x14ac:dyDescent="0.2">
      <c r="A168" s="2285" t="s">
        <v>2475</v>
      </c>
      <c r="B168" s="599"/>
      <c r="C168" s="599"/>
      <c r="D168" s="599"/>
      <c r="E168" s="599"/>
      <c r="F168" s="599"/>
      <c r="G168" s="599"/>
      <c r="H168" s="599"/>
      <c r="I168" s="2880">
        <v>843</v>
      </c>
      <c r="J168" s="2880">
        <v>971</v>
      </c>
      <c r="K168" s="2880">
        <v>926</v>
      </c>
      <c r="L168" s="2880">
        <v>919</v>
      </c>
      <c r="M168" s="2922">
        <v>3659</v>
      </c>
      <c r="N168" s="2880">
        <v>865</v>
      </c>
      <c r="O168" s="2880">
        <v>930</v>
      </c>
      <c r="P168" s="2880">
        <v>802</v>
      </c>
      <c r="Q168" s="2880">
        <v>746</v>
      </c>
      <c r="R168" s="2922">
        <v>3343</v>
      </c>
      <c r="S168" s="2880">
        <v>752</v>
      </c>
      <c r="T168" s="2880">
        <v>860</v>
      </c>
      <c r="U168" s="2880">
        <v>811</v>
      </c>
      <c r="V168" s="2880">
        <v>817</v>
      </c>
      <c r="W168" s="2922">
        <v>3240</v>
      </c>
      <c r="X168" s="2880">
        <v>732</v>
      </c>
      <c r="Y168" s="2880">
        <v>821</v>
      </c>
      <c r="Z168" s="2880">
        <v>735</v>
      </c>
      <c r="AA168" s="2880">
        <v>797</v>
      </c>
      <c r="AB168" s="2922">
        <v>3085</v>
      </c>
      <c r="AC168" s="2880">
        <v>769</v>
      </c>
      <c r="AD168" s="2880">
        <v>868</v>
      </c>
      <c r="AE168" s="2880">
        <v>811</v>
      </c>
      <c r="AF168" s="2880">
        <v>878</v>
      </c>
      <c r="AG168" s="2922">
        <v>3326</v>
      </c>
      <c r="AH168" s="2880">
        <v>813</v>
      </c>
      <c r="AI168" s="2880">
        <v>939</v>
      </c>
      <c r="AJ168" s="2880">
        <v>871</v>
      </c>
      <c r="AK168" s="2880">
        <v>894</v>
      </c>
      <c r="AL168" s="2922">
        <v>3517</v>
      </c>
      <c r="AM168" s="2880">
        <v>822</v>
      </c>
      <c r="AN168" s="2880">
        <v>674</v>
      </c>
      <c r="AO168" s="2880">
        <v>594</v>
      </c>
      <c r="AP168" s="2880">
        <v>602</v>
      </c>
      <c r="AQ168" s="2922">
        <v>2692</v>
      </c>
      <c r="AR168" s="2880">
        <v>559</v>
      </c>
      <c r="AS168" s="2880">
        <v>634</v>
      </c>
      <c r="AT168" s="2880">
        <v>605</v>
      </c>
      <c r="AU168" s="2880">
        <v>631</v>
      </c>
      <c r="AV168" s="2922">
        <v>2429</v>
      </c>
      <c r="AW168" s="2880">
        <v>560</v>
      </c>
      <c r="AX168" s="2880">
        <v>620</v>
      </c>
      <c r="AY168" s="2880">
        <v>575</v>
      </c>
      <c r="AZ168" s="2880">
        <v>504</v>
      </c>
      <c r="BA168" s="2922">
        <v>2259</v>
      </c>
      <c r="BB168" s="2880">
        <v>386</v>
      </c>
      <c r="BC168" s="2880">
        <v>394</v>
      </c>
      <c r="BD168" s="2880">
        <v>396</v>
      </c>
      <c r="BE168" s="2880">
        <v>430</v>
      </c>
      <c r="BF168" s="2922">
        <v>1606</v>
      </c>
      <c r="BG168" s="2880">
        <v>381</v>
      </c>
      <c r="BH168" s="2880">
        <v>437</v>
      </c>
      <c r="BI168" s="2880">
        <v>427</v>
      </c>
      <c r="BJ168" s="2880">
        <v>459</v>
      </c>
      <c r="BK168" s="2922">
        <v>1704</v>
      </c>
      <c r="BL168" s="2880">
        <v>410</v>
      </c>
      <c r="BM168" s="2880">
        <v>478</v>
      </c>
      <c r="BN168" s="2880">
        <v>441</v>
      </c>
      <c r="BO168" s="2880">
        <v>439</v>
      </c>
      <c r="BP168" s="2922">
        <v>1768</v>
      </c>
      <c r="BQ168" s="2880">
        <v>402</v>
      </c>
      <c r="BR168" s="2880">
        <v>453</v>
      </c>
      <c r="BS168" s="2880">
        <v>425</v>
      </c>
      <c r="BT168" s="2880">
        <v>418</v>
      </c>
      <c r="BU168" s="2922">
        <v>1698</v>
      </c>
      <c r="BV168" s="2880">
        <v>379</v>
      </c>
      <c r="BW168" s="2880">
        <v>419</v>
      </c>
      <c r="BX168" s="2880">
        <v>398</v>
      </c>
      <c r="BY168" s="3130">
        <v>416</v>
      </c>
      <c r="BZ168" s="3131">
        <v>1612</v>
      </c>
      <c r="CA168" s="3130">
        <v>364</v>
      </c>
      <c r="CB168" s="3130">
        <v>414</v>
      </c>
      <c r="CC168" s="3130">
        <v>393</v>
      </c>
      <c r="CD168" s="3130">
        <v>370</v>
      </c>
      <c r="CE168" s="3131">
        <v>1541</v>
      </c>
      <c r="CF168" s="2935">
        <v>316</v>
      </c>
      <c r="CG168" s="2935">
        <v>356</v>
      </c>
      <c r="CH168" s="2983">
        <v>312</v>
      </c>
      <c r="CI168" s="2983">
        <v>309</v>
      </c>
      <c r="CJ168" s="2922">
        <v>1293</v>
      </c>
      <c r="CK168" s="2983">
        <v>265</v>
      </c>
      <c r="CL168" s="2983">
        <v>291</v>
      </c>
      <c r="CM168" s="3008">
        <f>+CM171-CM167</f>
        <v>299</v>
      </c>
      <c r="CN168" s="3085"/>
      <c r="CO168" s="3092"/>
      <c r="CP168" s="2349"/>
      <c r="CQ168" s="2349"/>
      <c r="CR168" s="2349"/>
      <c r="CS168" s="2349"/>
      <c r="CT168" s="2293"/>
      <c r="CU168" s="2349"/>
      <c r="CV168" s="2349"/>
      <c r="CW168" s="2349"/>
      <c r="CX168" s="2349"/>
      <c r="CY168" s="2293"/>
      <c r="CZ168" s="2293"/>
      <c r="DA168" s="2293"/>
      <c r="DB168"/>
      <c r="DC168"/>
      <c r="DD168" s="2285"/>
      <c r="DE168" s="2292"/>
      <c r="DF168" s="2292"/>
      <c r="DG168" s="2292"/>
      <c r="DH168" s="2292"/>
      <c r="DI168" s="2292"/>
      <c r="DJ168" s="2292"/>
      <c r="DK168" s="2292"/>
      <c r="DL168" s="2292"/>
      <c r="DM168" s="2292"/>
      <c r="DN168" s="2292"/>
      <c r="DO168" s="2292"/>
      <c r="DP168" s="2292"/>
      <c r="DQ168" s="2292"/>
      <c r="DR168" s="2292"/>
      <c r="DS168" s="2292"/>
      <c r="DT168" s="2292"/>
      <c r="DU168" s="2292"/>
      <c r="DV168" s="2292"/>
      <c r="DW168" s="2292"/>
      <c r="DX168" s="2292"/>
      <c r="DY168" s="2292"/>
      <c r="EA168"/>
      <c r="EB168"/>
      <c r="EC168"/>
      <c r="ED168"/>
      <c r="EE168"/>
      <c r="EF168"/>
      <c r="EJ168"/>
      <c r="EK168"/>
      <c r="EL168"/>
      <c r="ER168" s="212"/>
    </row>
    <row r="169" spans="1:148" s="3289" customFormat="1" ht="12.75" customHeight="1" x14ac:dyDescent="0.2">
      <c r="A169" s="2344" t="s">
        <v>2577</v>
      </c>
      <c r="M169" s="2345"/>
      <c r="R169" s="2345"/>
      <c r="W169" s="2345"/>
      <c r="AB169" s="2345"/>
      <c r="AG169" s="2345"/>
      <c r="AL169" s="2345"/>
      <c r="AQ169" s="2345"/>
      <c r="AV169" s="2345"/>
      <c r="BA169" s="2345"/>
      <c r="BF169" s="2345"/>
      <c r="BK169" s="2345"/>
      <c r="BP169" s="2345"/>
      <c r="BU169" s="2345"/>
      <c r="BZ169" s="2369"/>
      <c r="CE169" s="2369"/>
      <c r="CF169" s="3037">
        <f>+CF171-CF168-CF167</f>
        <v>-11</v>
      </c>
      <c r="CG169" s="3037">
        <f t="shared" ref="CG169:CL169" si="497">+CG171-CG168-CG167</f>
        <v>-10</v>
      </c>
      <c r="CH169" s="3037">
        <f t="shared" si="497"/>
        <v>-6</v>
      </c>
      <c r="CI169" s="3037">
        <f t="shared" si="497"/>
        <v>-1</v>
      </c>
      <c r="CJ169" s="2345">
        <f>SUM(CF169:CI169)</f>
        <v>-28</v>
      </c>
      <c r="CK169" s="3037">
        <f t="shared" si="497"/>
        <v>-9</v>
      </c>
      <c r="CL169" s="3037">
        <f t="shared" si="497"/>
        <v>17</v>
      </c>
      <c r="CM169" s="3037"/>
      <c r="CN169" s="3037"/>
      <c r="CO169" s="2345"/>
      <c r="CP169" s="2710"/>
      <c r="CQ169" s="2710"/>
      <c r="CR169" s="2710"/>
      <c r="CS169" s="2710"/>
      <c r="CT169" s="2343"/>
      <c r="CU169" s="2710"/>
      <c r="CV169" s="2710"/>
      <c r="CW169" s="2710"/>
      <c r="CX169" s="2710"/>
      <c r="CY169" s="2345"/>
      <c r="CZ169" s="2345"/>
      <c r="DA169" s="2345"/>
      <c r="DB169" s="3290"/>
      <c r="DC169" s="3290"/>
      <c r="DD169" s="2344"/>
      <c r="DE169" s="2369"/>
      <c r="DF169" s="2369"/>
      <c r="DG169" s="2369"/>
      <c r="DH169" s="2369"/>
      <c r="DI169" s="2369"/>
      <c r="DJ169" s="2369"/>
      <c r="DK169" s="2369"/>
      <c r="DL169" s="2369"/>
      <c r="DM169" s="2369"/>
      <c r="DN169" s="2369"/>
      <c r="DO169" s="2369"/>
      <c r="DP169" s="2369"/>
      <c r="DQ169" s="2369"/>
      <c r="DR169" s="2369"/>
      <c r="DS169" s="2369"/>
      <c r="DT169" s="2369"/>
      <c r="DU169" s="2369"/>
      <c r="DV169" s="2369"/>
      <c r="DW169" s="2369"/>
      <c r="DX169" s="2369"/>
      <c r="DY169" s="2369"/>
      <c r="EA169"/>
      <c r="EB169"/>
      <c r="EC169"/>
      <c r="ED169"/>
      <c r="EE169"/>
      <c r="EF169"/>
      <c r="EJ169"/>
      <c r="EK169"/>
      <c r="EL169"/>
    </row>
    <row r="170" spans="1:148" s="923" customFormat="1" ht="3.95" customHeight="1" x14ac:dyDescent="0.2">
      <c r="A170" s="2285"/>
      <c r="B170" s="599"/>
      <c r="C170" s="599"/>
      <c r="D170" s="599"/>
      <c r="E170" s="599"/>
      <c r="F170" s="599"/>
      <c r="G170" s="599"/>
      <c r="H170" s="599"/>
      <c r="I170" s="599"/>
      <c r="J170" s="599"/>
      <c r="K170" s="599"/>
      <c r="L170" s="599"/>
      <c r="M170" s="3093"/>
      <c r="N170" s="2324" t="s">
        <v>2403</v>
      </c>
      <c r="O170" s="2324" t="s">
        <v>2403</v>
      </c>
      <c r="P170" s="2324" t="s">
        <v>2403</v>
      </c>
      <c r="Q170" s="2324" t="s">
        <v>2403</v>
      </c>
      <c r="R170" s="3093" t="s">
        <v>2403</v>
      </c>
      <c r="S170" s="2324" t="s">
        <v>2403</v>
      </c>
      <c r="T170" s="2324" t="s">
        <v>2403</v>
      </c>
      <c r="U170" s="2324" t="s">
        <v>2403</v>
      </c>
      <c r="V170" s="2324" t="s">
        <v>2403</v>
      </c>
      <c r="W170" s="3093" t="s">
        <v>2403</v>
      </c>
      <c r="X170" s="2324" t="s">
        <v>2403</v>
      </c>
      <c r="Y170" s="2324" t="s">
        <v>2403</v>
      </c>
      <c r="Z170" s="2324" t="s">
        <v>2403</v>
      </c>
      <c r="AA170" s="2324" t="s">
        <v>2403</v>
      </c>
      <c r="AB170" s="3093" t="s">
        <v>2403</v>
      </c>
      <c r="AC170" s="2324" t="s">
        <v>2403</v>
      </c>
      <c r="AD170" s="2324" t="s">
        <v>2403</v>
      </c>
      <c r="AE170" s="2324" t="s">
        <v>2403</v>
      </c>
      <c r="AF170" s="2324" t="s">
        <v>2403</v>
      </c>
      <c r="AG170" s="3093" t="s">
        <v>2403</v>
      </c>
      <c r="AH170" s="2324" t="s">
        <v>2403</v>
      </c>
      <c r="AI170" s="2324" t="s">
        <v>2403</v>
      </c>
      <c r="AJ170" s="2324" t="s">
        <v>2403</v>
      </c>
      <c r="AK170" s="2324" t="s">
        <v>2403</v>
      </c>
      <c r="AL170" s="3093" t="s">
        <v>2403</v>
      </c>
      <c r="AM170" s="2324" t="s">
        <v>2403</v>
      </c>
      <c r="AN170" s="2324" t="s">
        <v>2403</v>
      </c>
      <c r="AO170" s="2324" t="s">
        <v>2403</v>
      </c>
      <c r="AP170" s="2324" t="s">
        <v>2403</v>
      </c>
      <c r="AQ170" s="3093" t="s">
        <v>2403</v>
      </c>
      <c r="AR170" s="2324" t="s">
        <v>2403</v>
      </c>
      <c r="AS170" s="2324" t="s">
        <v>2403</v>
      </c>
      <c r="AT170" s="2324" t="s">
        <v>2403</v>
      </c>
      <c r="AU170" s="2324" t="s">
        <v>2403</v>
      </c>
      <c r="AV170" s="3093" t="s">
        <v>2403</v>
      </c>
      <c r="AW170" s="2324" t="s">
        <v>2403</v>
      </c>
      <c r="AX170" s="2324" t="s">
        <v>2403</v>
      </c>
      <c r="AY170" s="2324" t="s">
        <v>2403</v>
      </c>
      <c r="AZ170" s="2324" t="s">
        <v>2403</v>
      </c>
      <c r="BA170" s="3093" t="s">
        <v>2403</v>
      </c>
      <c r="BB170" s="2324" t="s">
        <v>2403</v>
      </c>
      <c r="BC170" s="2324" t="s">
        <v>2403</v>
      </c>
      <c r="BD170" s="2324" t="s">
        <v>2403</v>
      </c>
      <c r="BE170" s="2324" t="s">
        <v>2403</v>
      </c>
      <c r="BF170" s="3093" t="s">
        <v>2403</v>
      </c>
      <c r="BG170" s="2324" t="s">
        <v>2403</v>
      </c>
      <c r="BH170" s="2324" t="s">
        <v>2403</v>
      </c>
      <c r="BI170" s="2324" t="s">
        <v>2403</v>
      </c>
      <c r="BJ170" s="2324" t="s">
        <v>2403</v>
      </c>
      <c r="BK170" s="3093" t="s">
        <v>2403</v>
      </c>
      <c r="BL170" s="2324" t="s">
        <v>2403</v>
      </c>
      <c r="BM170" s="2324" t="s">
        <v>2403</v>
      </c>
      <c r="BN170" s="2324" t="s">
        <v>2403</v>
      </c>
      <c r="BO170" s="2324" t="s">
        <v>2403</v>
      </c>
      <c r="BP170" s="3093" t="s">
        <v>2403</v>
      </c>
      <c r="BQ170" s="2324" t="s">
        <v>2403</v>
      </c>
      <c r="BR170" s="2324" t="s">
        <v>2403</v>
      </c>
      <c r="BS170" s="2324" t="s">
        <v>2403</v>
      </c>
      <c r="BT170" s="2324" t="s">
        <v>2403</v>
      </c>
      <c r="BU170" s="3093" t="s">
        <v>2403</v>
      </c>
      <c r="BV170" s="2324" t="s">
        <v>2403</v>
      </c>
      <c r="BW170" s="2324" t="s">
        <v>2403</v>
      </c>
      <c r="BX170" s="2324" t="s">
        <v>2403</v>
      </c>
      <c r="BY170" s="2789" t="s">
        <v>2403</v>
      </c>
      <c r="BZ170" s="2286" t="s">
        <v>2403</v>
      </c>
      <c r="CA170" s="2789" t="s">
        <v>2403</v>
      </c>
      <c r="CB170" s="2789" t="s">
        <v>2403</v>
      </c>
      <c r="CC170" s="2789" t="s">
        <v>2403</v>
      </c>
      <c r="CD170" s="2789" t="s">
        <v>2403</v>
      </c>
      <c r="CE170" s="2286" t="s">
        <v>2403</v>
      </c>
      <c r="CF170" s="2789" t="s">
        <v>2403</v>
      </c>
      <c r="CG170" s="2789" t="s">
        <v>2403</v>
      </c>
      <c r="CH170" s="3091" t="s">
        <v>2403</v>
      </c>
      <c r="CI170" s="3091" t="s">
        <v>2403</v>
      </c>
      <c r="CJ170" s="3093" t="s">
        <v>2403</v>
      </c>
      <c r="CK170" s="3091" t="s">
        <v>2403</v>
      </c>
      <c r="CL170" s="3091" t="s">
        <v>2403</v>
      </c>
      <c r="CM170" s="3091" t="s">
        <v>2403</v>
      </c>
      <c r="CN170" s="3091"/>
      <c r="CO170" s="3093"/>
      <c r="CP170" s="3091"/>
      <c r="CQ170" s="3091"/>
      <c r="CR170" s="3091"/>
      <c r="CS170" s="3091"/>
      <c r="CT170" s="3093"/>
      <c r="CU170" s="3091"/>
      <c r="CV170" s="3091"/>
      <c r="CW170" s="3091"/>
      <c r="CX170" s="3091"/>
      <c r="CY170" s="3093"/>
      <c r="CZ170" s="3093"/>
      <c r="DA170" s="3093"/>
      <c r="DB170"/>
      <c r="DC170"/>
      <c r="DD170" s="2285"/>
      <c r="DE170" s="2292"/>
      <c r="DF170" s="2292"/>
      <c r="DG170" s="2292"/>
      <c r="DH170" s="2292"/>
      <c r="DI170" s="2292"/>
      <c r="DJ170" s="2292"/>
      <c r="DK170" s="2292"/>
      <c r="DL170" s="2292"/>
      <c r="DM170" s="2292"/>
      <c r="DN170" s="2292"/>
      <c r="DO170" s="2292"/>
      <c r="DP170" s="2292"/>
      <c r="DQ170" s="2292"/>
      <c r="DR170" s="2292"/>
      <c r="DS170" s="2292"/>
      <c r="DT170" s="2292"/>
      <c r="DU170" s="2292"/>
      <c r="DV170" s="2292"/>
      <c r="DW170" s="2292"/>
      <c r="DX170" s="2292"/>
      <c r="DY170" s="2292"/>
      <c r="EA170"/>
      <c r="EB170"/>
      <c r="EC170"/>
      <c r="ED170"/>
      <c r="EE170"/>
      <c r="EF170"/>
      <c r="EJ170"/>
      <c r="EK170"/>
      <c r="EL170"/>
      <c r="ER170" s="212"/>
    </row>
    <row r="171" spans="1:148" s="2845" customFormat="1" ht="12.75" customHeight="1" x14ac:dyDescent="0.2">
      <c r="A171" s="2285" t="s">
        <v>2478</v>
      </c>
      <c r="B171" s="599"/>
      <c r="C171" s="599"/>
      <c r="D171" s="599"/>
      <c r="E171" s="599"/>
      <c r="F171" s="599"/>
      <c r="G171" s="599"/>
      <c r="H171" s="599"/>
      <c r="I171" s="599"/>
      <c r="J171" s="599"/>
      <c r="K171" s="599"/>
      <c r="L171" s="599"/>
      <c r="M171" s="2343"/>
      <c r="N171" s="2324">
        <f t="shared" ref="N171:BY171" si="498">SUM(N167:N168)</f>
        <v>1036</v>
      </c>
      <c r="O171" s="2324">
        <f t="shared" si="498"/>
        <v>1128</v>
      </c>
      <c r="P171" s="2324">
        <f t="shared" si="498"/>
        <v>945</v>
      </c>
      <c r="Q171" s="2324">
        <f t="shared" si="498"/>
        <v>860</v>
      </c>
      <c r="R171" s="2343">
        <f t="shared" si="498"/>
        <v>4146</v>
      </c>
      <c r="S171" s="2324">
        <f t="shared" si="498"/>
        <v>891</v>
      </c>
      <c r="T171" s="2324">
        <f t="shared" si="498"/>
        <v>1025</v>
      </c>
      <c r="U171" s="2324">
        <f t="shared" si="498"/>
        <v>961</v>
      </c>
      <c r="V171" s="2324">
        <f t="shared" si="498"/>
        <v>1014</v>
      </c>
      <c r="W171" s="2343">
        <f t="shared" si="498"/>
        <v>3891</v>
      </c>
      <c r="X171" s="2324">
        <f t="shared" si="498"/>
        <v>869</v>
      </c>
      <c r="Y171" s="2324">
        <f t="shared" si="498"/>
        <v>966</v>
      </c>
      <c r="Z171" s="2324">
        <f t="shared" si="498"/>
        <v>867</v>
      </c>
      <c r="AA171" s="2324">
        <f t="shared" si="498"/>
        <v>1016</v>
      </c>
      <c r="AB171" s="2343">
        <f t="shared" si="498"/>
        <v>3718</v>
      </c>
      <c r="AC171" s="2324">
        <f t="shared" si="498"/>
        <v>925</v>
      </c>
      <c r="AD171" s="2324">
        <f t="shared" si="498"/>
        <v>1050</v>
      </c>
      <c r="AE171" s="2324">
        <f t="shared" si="498"/>
        <v>964</v>
      </c>
      <c r="AF171" s="2324">
        <f t="shared" si="498"/>
        <v>1117</v>
      </c>
      <c r="AG171" s="2343">
        <f t="shared" si="498"/>
        <v>4056</v>
      </c>
      <c r="AH171" s="2324">
        <f t="shared" si="498"/>
        <v>980</v>
      </c>
      <c r="AI171" s="2324">
        <f t="shared" si="498"/>
        <v>1119</v>
      </c>
      <c r="AJ171" s="2324">
        <f t="shared" si="498"/>
        <v>1107</v>
      </c>
      <c r="AK171" s="2324">
        <f t="shared" si="498"/>
        <v>1255</v>
      </c>
      <c r="AL171" s="2343">
        <f t="shared" si="498"/>
        <v>4461</v>
      </c>
      <c r="AM171" s="2324">
        <f t="shared" si="498"/>
        <v>1076</v>
      </c>
      <c r="AN171" s="2324">
        <f t="shared" si="498"/>
        <v>946</v>
      </c>
      <c r="AO171" s="2324">
        <f t="shared" si="498"/>
        <v>833</v>
      </c>
      <c r="AP171" s="2324">
        <f t="shared" si="498"/>
        <v>956</v>
      </c>
      <c r="AQ171" s="2343">
        <f t="shared" si="498"/>
        <v>3811</v>
      </c>
      <c r="AR171" s="2324">
        <f t="shared" si="498"/>
        <v>809</v>
      </c>
      <c r="AS171" s="2324">
        <f t="shared" si="498"/>
        <v>946</v>
      </c>
      <c r="AT171" s="2324">
        <f t="shared" si="498"/>
        <v>867</v>
      </c>
      <c r="AU171" s="2324">
        <f t="shared" si="498"/>
        <v>1047</v>
      </c>
      <c r="AV171" s="2343">
        <f t="shared" si="498"/>
        <v>3669</v>
      </c>
      <c r="AW171" s="2324">
        <f t="shared" si="498"/>
        <v>830</v>
      </c>
      <c r="AX171" s="2324">
        <f t="shared" si="498"/>
        <v>939</v>
      </c>
      <c r="AY171" s="2324">
        <f t="shared" si="498"/>
        <v>835</v>
      </c>
      <c r="AZ171" s="2324">
        <f t="shared" si="498"/>
        <v>880</v>
      </c>
      <c r="BA171" s="2343">
        <f t="shared" si="498"/>
        <v>3484</v>
      </c>
      <c r="BB171" s="2324">
        <f t="shared" si="498"/>
        <v>606</v>
      </c>
      <c r="BC171" s="2324">
        <f t="shared" si="498"/>
        <v>632</v>
      </c>
      <c r="BD171" s="2324">
        <f t="shared" si="498"/>
        <v>622</v>
      </c>
      <c r="BE171" s="2324">
        <f t="shared" si="498"/>
        <v>765</v>
      </c>
      <c r="BF171" s="2343">
        <f t="shared" si="498"/>
        <v>2625</v>
      </c>
      <c r="BG171" s="2324">
        <f t="shared" si="498"/>
        <v>610</v>
      </c>
      <c r="BH171" s="2324">
        <f t="shared" si="498"/>
        <v>692</v>
      </c>
      <c r="BI171" s="2324">
        <f t="shared" si="498"/>
        <v>647</v>
      </c>
      <c r="BJ171" s="2324">
        <f t="shared" si="498"/>
        <v>801</v>
      </c>
      <c r="BK171" s="2343">
        <f t="shared" si="498"/>
        <v>2750</v>
      </c>
      <c r="BL171" s="2324">
        <f t="shared" si="498"/>
        <v>634</v>
      </c>
      <c r="BM171" s="2324">
        <f t="shared" si="498"/>
        <v>727</v>
      </c>
      <c r="BN171" s="2324">
        <f t="shared" si="498"/>
        <v>695</v>
      </c>
      <c r="BO171" s="2324">
        <f t="shared" si="498"/>
        <v>795</v>
      </c>
      <c r="BP171" s="2343">
        <f t="shared" si="498"/>
        <v>2851</v>
      </c>
      <c r="BQ171" s="2324">
        <f t="shared" si="498"/>
        <v>619</v>
      </c>
      <c r="BR171" s="2324">
        <f t="shared" si="498"/>
        <v>717</v>
      </c>
      <c r="BS171" s="2324">
        <f t="shared" si="498"/>
        <v>625</v>
      </c>
      <c r="BT171" s="2324">
        <f t="shared" si="498"/>
        <v>726</v>
      </c>
      <c r="BU171" s="2343">
        <f t="shared" si="498"/>
        <v>2687</v>
      </c>
      <c r="BV171" s="2324">
        <f t="shared" si="498"/>
        <v>603</v>
      </c>
      <c r="BW171" s="2324">
        <f t="shared" si="498"/>
        <v>665</v>
      </c>
      <c r="BX171" s="2324">
        <f t="shared" si="498"/>
        <v>618</v>
      </c>
      <c r="BY171" s="2789">
        <f t="shared" si="498"/>
        <v>676</v>
      </c>
      <c r="BZ171" s="2286">
        <f t="shared" ref="BZ171:CE171" si="499">SUM(BZ167:BZ168)</f>
        <v>2562</v>
      </c>
      <c r="CA171" s="2789">
        <f t="shared" si="499"/>
        <v>598</v>
      </c>
      <c r="CB171" s="2789">
        <f t="shared" si="499"/>
        <v>683</v>
      </c>
      <c r="CC171" s="2789">
        <f t="shared" si="499"/>
        <v>637</v>
      </c>
      <c r="CD171" s="2789">
        <f t="shared" si="499"/>
        <v>645</v>
      </c>
      <c r="CE171" s="2286">
        <f t="shared" si="499"/>
        <v>2563</v>
      </c>
      <c r="CF171" s="3386">
        <v>562</v>
      </c>
      <c r="CG171" s="3386">
        <v>589</v>
      </c>
      <c r="CH171" s="3381">
        <v>535</v>
      </c>
      <c r="CI171" s="3381">
        <v>565</v>
      </c>
      <c r="CJ171" s="3387">
        <f>SUM(CJ167:CJ170)</f>
        <v>2251</v>
      </c>
      <c r="CK171" s="3381">
        <v>503</v>
      </c>
      <c r="CL171" s="3381">
        <v>553</v>
      </c>
      <c r="CM171" s="3381">
        <v>548</v>
      </c>
      <c r="CN171" s="3381">
        <v>536</v>
      </c>
      <c r="CO171" s="2343">
        <f>SUM(CK171:CN171)</f>
        <v>2140</v>
      </c>
      <c r="CP171" s="3381">
        <v>439</v>
      </c>
      <c r="CQ171" s="3381">
        <v>458</v>
      </c>
      <c r="CR171" s="3381">
        <v>452</v>
      </c>
      <c r="CS171" s="3381">
        <v>453</v>
      </c>
      <c r="CT171" s="2343">
        <f>SUM(CP171:CS171)</f>
        <v>1802</v>
      </c>
      <c r="CU171" s="2443">
        <f>+CP171*(1+CU172)</f>
        <v>406.07500000000005</v>
      </c>
      <c r="CV171" s="2443">
        <f>+CQ171*(1+CV172)</f>
        <v>439.68</v>
      </c>
      <c r="CW171" s="2443">
        <f>+CR171*(1+CW172)</f>
        <v>438.44</v>
      </c>
      <c r="CX171" s="2443">
        <f>+CS171*(1+CX172)</f>
        <v>439.40999999999997</v>
      </c>
      <c r="CY171" s="2343">
        <f>SUM(CU171:CX171)</f>
        <v>1723.605</v>
      </c>
      <c r="CZ171" s="2343">
        <f>+CY171*(1+CZ172)</f>
        <v>1740.84105</v>
      </c>
      <c r="DA171" s="2343">
        <f>+CZ171*(1+DA172)</f>
        <v>1601.5737660000002</v>
      </c>
      <c r="DB171" s="1062"/>
      <c r="DC171" s="1062"/>
      <c r="DD171" s="2285"/>
      <c r="DE171" s="2292"/>
      <c r="DF171" s="2292"/>
      <c r="DG171" s="2292"/>
      <c r="DH171" s="2292"/>
      <c r="DI171" s="2292"/>
      <c r="DJ171" s="2292"/>
      <c r="DK171" s="2292"/>
      <c r="DL171" s="2292"/>
      <c r="DM171" s="2292"/>
      <c r="DN171" s="2292"/>
      <c r="DO171" s="2292"/>
      <c r="DP171" s="2292"/>
      <c r="DQ171" s="2292"/>
      <c r="DR171" s="2292"/>
      <c r="DS171" s="2292"/>
      <c r="DT171" s="2292"/>
      <c r="DU171" s="2292"/>
      <c r="DV171" s="2292"/>
      <c r="DW171" s="2292"/>
      <c r="DX171" s="2292"/>
      <c r="DY171" s="2292"/>
      <c r="EA171"/>
      <c r="EB171"/>
      <c r="EC171"/>
      <c r="ED171"/>
      <c r="EE171"/>
      <c r="EF171"/>
      <c r="EJ171"/>
      <c r="EK171"/>
      <c r="EL171"/>
      <c r="EM171" s="1703"/>
      <c r="ER171" s="2631"/>
    </row>
    <row r="172" spans="1:148" s="1194" customFormat="1" ht="12.75" customHeight="1" x14ac:dyDescent="0.2">
      <c r="A172" s="3448" t="s">
        <v>1016</v>
      </c>
      <c r="B172" s="885"/>
      <c r="C172" s="885"/>
      <c r="D172" s="885"/>
      <c r="E172" s="885"/>
      <c r="F172" s="885"/>
      <c r="G172" s="885"/>
      <c r="H172" s="885"/>
      <c r="I172" s="885"/>
      <c r="J172" s="885"/>
      <c r="K172" s="885"/>
      <c r="L172" s="885"/>
      <c r="M172" s="1044"/>
      <c r="N172" s="885"/>
      <c r="O172" s="885"/>
      <c r="P172" s="885"/>
      <c r="Q172" s="885"/>
      <c r="R172" s="1044"/>
      <c r="S172" s="885">
        <f t="shared" ref="S172:CD172" si="500">S171/N171-1</f>
        <v>-0.13996138996138996</v>
      </c>
      <c r="T172" s="885">
        <f t="shared" si="500"/>
        <v>-9.1312056737588687E-2</v>
      </c>
      <c r="U172" s="885">
        <f t="shared" si="500"/>
        <v>1.6931216931217019E-2</v>
      </c>
      <c r="V172" s="885">
        <f t="shared" si="500"/>
        <v>0.17906976744186043</v>
      </c>
      <c r="W172" s="1044">
        <f t="shared" si="500"/>
        <v>-6.1505065123010128E-2</v>
      </c>
      <c r="X172" s="885">
        <f t="shared" si="500"/>
        <v>-2.4691358024691357E-2</v>
      </c>
      <c r="Y172" s="885">
        <f t="shared" si="500"/>
        <v>-5.7560975609756149E-2</v>
      </c>
      <c r="Z172" s="885">
        <f t="shared" si="500"/>
        <v>-9.7814776274713799E-2</v>
      </c>
      <c r="AA172" s="885">
        <f t="shared" si="500"/>
        <v>1.9723865877712132E-3</v>
      </c>
      <c r="AB172" s="1044">
        <f t="shared" si="500"/>
        <v>-4.4461578000513979E-2</v>
      </c>
      <c r="AC172" s="885">
        <f t="shared" si="500"/>
        <v>6.4441887226697414E-2</v>
      </c>
      <c r="AD172" s="885">
        <f t="shared" si="500"/>
        <v>8.6956521739130377E-2</v>
      </c>
      <c r="AE172" s="885">
        <f t="shared" si="500"/>
        <v>0.11188004613610159</v>
      </c>
      <c r="AF172" s="885">
        <f t="shared" si="500"/>
        <v>9.9409448818897683E-2</v>
      </c>
      <c r="AG172" s="1044">
        <f t="shared" si="500"/>
        <v>9.0909090909090828E-2</v>
      </c>
      <c r="AH172" s="885">
        <f t="shared" si="500"/>
        <v>5.9459459459459518E-2</v>
      </c>
      <c r="AI172" s="885">
        <f t="shared" si="500"/>
        <v>6.5714285714285614E-2</v>
      </c>
      <c r="AJ172" s="885">
        <f t="shared" si="500"/>
        <v>0.14834024896265552</v>
      </c>
      <c r="AK172" s="885">
        <f t="shared" si="500"/>
        <v>0.12354521038495969</v>
      </c>
      <c r="AL172" s="1044">
        <f t="shared" si="500"/>
        <v>9.9852071005917198E-2</v>
      </c>
      <c r="AM172" s="885">
        <f t="shared" si="500"/>
        <v>9.7959183673469452E-2</v>
      </c>
      <c r="AN172" s="885">
        <f t="shared" si="500"/>
        <v>-0.15460232350312775</v>
      </c>
      <c r="AO172" s="885">
        <f t="shared" si="500"/>
        <v>-0.2475158084914183</v>
      </c>
      <c r="AP172" s="885">
        <f t="shared" si="500"/>
        <v>-0.23824701195219122</v>
      </c>
      <c r="AQ172" s="1044">
        <f t="shared" si="500"/>
        <v>-0.14570724052902939</v>
      </c>
      <c r="AR172" s="885">
        <f t="shared" si="500"/>
        <v>-0.2481412639405205</v>
      </c>
      <c r="AS172" s="885">
        <f t="shared" si="500"/>
        <v>0</v>
      </c>
      <c r="AT172" s="885">
        <f t="shared" si="500"/>
        <v>4.081632653061229E-2</v>
      </c>
      <c r="AU172" s="885">
        <f t="shared" si="500"/>
        <v>9.5188284518828548E-2</v>
      </c>
      <c r="AV172" s="1044">
        <f t="shared" si="500"/>
        <v>-3.72605615324062E-2</v>
      </c>
      <c r="AW172" s="885">
        <f t="shared" si="500"/>
        <v>2.5957972805933149E-2</v>
      </c>
      <c r="AX172" s="885">
        <f t="shared" si="500"/>
        <v>-7.3995771670190003E-3</v>
      </c>
      <c r="AY172" s="885">
        <f t="shared" si="500"/>
        <v>-3.6908881199538612E-2</v>
      </c>
      <c r="AZ172" s="885">
        <f t="shared" si="500"/>
        <v>-0.15950334288443169</v>
      </c>
      <c r="BA172" s="1044">
        <f t="shared" si="500"/>
        <v>-5.0422458435541051E-2</v>
      </c>
      <c r="BB172" s="885">
        <f t="shared" si="500"/>
        <v>-0.26987951807228916</v>
      </c>
      <c r="BC172" s="885">
        <f t="shared" si="500"/>
        <v>-0.32694355697550581</v>
      </c>
      <c r="BD172" s="885">
        <f t="shared" si="500"/>
        <v>-0.25508982035928141</v>
      </c>
      <c r="BE172" s="885">
        <f t="shared" si="500"/>
        <v>-0.13068181818181823</v>
      </c>
      <c r="BF172" s="1044">
        <f t="shared" si="500"/>
        <v>-0.24655568312284726</v>
      </c>
      <c r="BG172" s="885">
        <f t="shared" si="500"/>
        <v>6.6006600660066805E-3</v>
      </c>
      <c r="BH172" s="885">
        <f t="shared" si="500"/>
        <v>9.4936708860759556E-2</v>
      </c>
      <c r="BI172" s="885">
        <f t="shared" si="500"/>
        <v>4.0192926045016009E-2</v>
      </c>
      <c r="BJ172" s="885">
        <f t="shared" si="500"/>
        <v>4.705882352941182E-2</v>
      </c>
      <c r="BK172" s="1044">
        <f t="shared" si="500"/>
        <v>4.7619047619047672E-2</v>
      </c>
      <c r="BL172" s="885">
        <f t="shared" si="500"/>
        <v>3.9344262295081922E-2</v>
      </c>
      <c r="BM172" s="885">
        <f t="shared" si="500"/>
        <v>5.0578034682080997E-2</v>
      </c>
      <c r="BN172" s="885">
        <f t="shared" si="500"/>
        <v>7.4188562596599672E-2</v>
      </c>
      <c r="BO172" s="885">
        <f t="shared" si="500"/>
        <v>-7.4906367041198685E-3</v>
      </c>
      <c r="BP172" s="1044">
        <f t="shared" si="500"/>
        <v>3.672727272727272E-2</v>
      </c>
      <c r="BQ172" s="885">
        <f t="shared" si="500"/>
        <v>-2.3659305993690816E-2</v>
      </c>
      <c r="BR172" s="885">
        <f t="shared" si="500"/>
        <v>-1.3755158184319161E-2</v>
      </c>
      <c r="BS172" s="885">
        <f t="shared" si="500"/>
        <v>-0.10071942446043169</v>
      </c>
      <c r="BT172" s="885">
        <f t="shared" si="500"/>
        <v>-8.679245283018866E-2</v>
      </c>
      <c r="BU172" s="1044">
        <f t="shared" si="500"/>
        <v>-5.7523675903191851E-2</v>
      </c>
      <c r="BV172" s="885">
        <f t="shared" si="500"/>
        <v>-2.5848142164781929E-2</v>
      </c>
      <c r="BW172" s="885">
        <f t="shared" si="500"/>
        <v>-7.2524407252440692E-2</v>
      </c>
      <c r="BX172" s="885">
        <f t="shared" si="500"/>
        <v>-1.1199999999999988E-2</v>
      </c>
      <c r="BY172" s="885">
        <f t="shared" si="500"/>
        <v>-6.8870523415977991E-2</v>
      </c>
      <c r="BZ172" s="1044">
        <f t="shared" si="500"/>
        <v>-4.652028284331966E-2</v>
      </c>
      <c r="CA172" s="885">
        <f t="shared" si="500"/>
        <v>-8.2918739635157168E-3</v>
      </c>
      <c r="CB172" s="885">
        <f t="shared" si="500"/>
        <v>2.7067669172932352E-2</v>
      </c>
      <c r="CC172" s="885">
        <f t="shared" si="500"/>
        <v>3.07443365695792E-2</v>
      </c>
      <c r="CD172" s="885">
        <f t="shared" si="500"/>
        <v>-4.585798816568043E-2</v>
      </c>
      <c r="CE172" s="1044">
        <f t="shared" ref="CE172:CL172" si="501">CE171/BZ171-1</f>
        <v>3.903200624510994E-4</v>
      </c>
      <c r="CF172" s="885">
        <f t="shared" si="501"/>
        <v>-6.020066889632103E-2</v>
      </c>
      <c r="CG172" s="885">
        <f t="shared" si="501"/>
        <v>-0.13762811127379204</v>
      </c>
      <c r="CH172" s="885">
        <f t="shared" si="501"/>
        <v>-0.16012558869701732</v>
      </c>
      <c r="CI172" s="885">
        <f t="shared" si="501"/>
        <v>-0.12403100775193798</v>
      </c>
      <c r="CJ172" s="1044">
        <f t="shared" si="501"/>
        <v>-0.12173234490831053</v>
      </c>
      <c r="CK172" s="885">
        <f t="shared" si="501"/>
        <v>-0.104982206405694</v>
      </c>
      <c r="CL172" s="885">
        <f t="shared" si="501"/>
        <v>-6.1120543293718188E-2</v>
      </c>
      <c r="CM172" s="885">
        <f>CM171/CH171-1</f>
        <v>2.4299065420560817E-2</v>
      </c>
      <c r="CN172" s="885">
        <f>CN171/CI171-1</f>
        <v>-5.1327433628318597E-2</v>
      </c>
      <c r="CO172" s="1044">
        <f>CO171/CJ171-1</f>
        <v>-4.93114171479343E-2</v>
      </c>
      <c r="CP172" s="885">
        <f>CP171/CK174-1</f>
        <v>-2.6607538802660757E-2</v>
      </c>
      <c r="CQ172" s="885">
        <f>CQ171/CL174-1</f>
        <v>-9.3069306930693041E-2</v>
      </c>
      <c r="CR172" s="885">
        <f>CR171/CM174-1</f>
        <v>-9.4188376753506997E-2</v>
      </c>
      <c r="CS172" s="885">
        <f>CS171/CN174-1</f>
        <v>-4.8319327731092487E-2</v>
      </c>
      <c r="CT172" s="2985">
        <f>CT171/CO174-1</f>
        <v>-6.6804764370792302E-2</v>
      </c>
      <c r="CU172" s="3634">
        <v>-7.4999999999999997E-2</v>
      </c>
      <c r="CV172" s="3634">
        <v>-0.04</v>
      </c>
      <c r="CW172" s="3634">
        <v>-0.03</v>
      </c>
      <c r="CX172" s="3634">
        <v>-0.03</v>
      </c>
      <c r="CY172" s="1044">
        <f>CY171/CT171-1</f>
        <v>-4.3504439511653725E-2</v>
      </c>
      <c r="CZ172" s="2908">
        <v>0.01</v>
      </c>
      <c r="DA172" s="2908">
        <v>-7.9999999999999849E-2</v>
      </c>
      <c r="DB172"/>
      <c r="DC172" s="537"/>
      <c r="DD172" s="3448" t="s">
        <v>1016</v>
      </c>
      <c r="DE172" s="1044">
        <f t="shared" si="470"/>
        <v>0</v>
      </c>
      <c r="DF172" s="1044">
        <f t="shared" si="471"/>
        <v>0</v>
      </c>
      <c r="DG172" s="1044">
        <f t="shared" si="472"/>
        <v>-6.1505065123010128E-2</v>
      </c>
      <c r="DH172" s="1044">
        <f t="shared" si="473"/>
        <v>-4.4461578000513979E-2</v>
      </c>
      <c r="DI172" s="1044">
        <f t="shared" si="474"/>
        <v>9.0909090909090828E-2</v>
      </c>
      <c r="DJ172" s="1044">
        <f t="shared" si="475"/>
        <v>9.9852071005917198E-2</v>
      </c>
      <c r="DK172" s="1044">
        <f t="shared" si="476"/>
        <v>-0.14570724052902939</v>
      </c>
      <c r="DL172" s="1044">
        <f t="shared" si="477"/>
        <v>-3.72605615324062E-2</v>
      </c>
      <c r="DM172" s="1044">
        <f t="shared" si="478"/>
        <v>-5.0422458435541051E-2</v>
      </c>
      <c r="DN172" s="1044">
        <f t="shared" si="479"/>
        <v>-0.24655568312284726</v>
      </c>
      <c r="DO172" s="1044">
        <f t="shared" si="480"/>
        <v>4.7619047619047672E-2</v>
      </c>
      <c r="DP172" s="1044">
        <f t="shared" si="481"/>
        <v>3.672727272727272E-2</v>
      </c>
      <c r="DQ172" s="1044">
        <f t="shared" si="482"/>
        <v>-5.7523675903191851E-2</v>
      </c>
      <c r="DR172" s="1044">
        <f t="shared" si="483"/>
        <v>-4.652028284331966E-2</v>
      </c>
      <c r="DS172" s="1044">
        <f t="shared" si="484"/>
        <v>3.903200624510994E-4</v>
      </c>
      <c r="DT172" s="1044">
        <f t="shared" si="485"/>
        <v>-0.12173234490831053</v>
      </c>
      <c r="DU172" s="1044">
        <f t="shared" si="486"/>
        <v>-4.93114171479343E-2</v>
      </c>
      <c r="DV172" s="1044">
        <f t="shared" si="487"/>
        <v>-6.6804764370792302E-2</v>
      </c>
      <c r="DW172" s="1044">
        <f t="shared" si="488"/>
        <v>-4.3504439511653725E-2</v>
      </c>
      <c r="DX172" s="1044">
        <f t="shared" si="489"/>
        <v>0.01</v>
      </c>
      <c r="DY172" s="1044">
        <f t="shared" si="490"/>
        <v>-7.9999999999999849E-2</v>
      </c>
      <c r="EA172"/>
      <c r="EB172"/>
      <c r="EC172"/>
      <c r="ED172"/>
      <c r="EE172"/>
      <c r="EF172"/>
      <c r="EJ172"/>
      <c r="EK172"/>
      <c r="EL172"/>
      <c r="ER172" s="732"/>
    </row>
    <row r="173" spans="1:148" s="923" customFormat="1" ht="12.75" customHeight="1" x14ac:dyDescent="0.2">
      <c r="A173" s="504"/>
      <c r="B173" s="852"/>
      <c r="C173" s="852"/>
      <c r="D173" s="852"/>
      <c r="E173" s="852"/>
      <c r="F173" s="852"/>
      <c r="G173" s="852"/>
      <c r="H173" s="852"/>
      <c r="I173" s="852"/>
      <c r="J173" s="852"/>
      <c r="K173" s="852"/>
      <c r="L173" s="852"/>
      <c r="M173" s="968"/>
      <c r="N173" s="852"/>
      <c r="O173" s="852"/>
      <c r="P173" s="852"/>
      <c r="Q173" s="852"/>
      <c r="R173" s="968"/>
      <c r="S173" s="852"/>
      <c r="T173" s="852"/>
      <c r="U173" s="852"/>
      <c r="V173" s="852"/>
      <c r="W173" s="968"/>
      <c r="X173" s="852"/>
      <c r="Y173" s="852"/>
      <c r="Z173" s="852"/>
      <c r="AA173" s="852"/>
      <c r="AB173" s="968"/>
      <c r="AC173" s="852"/>
      <c r="AD173" s="852"/>
      <c r="AE173" s="852"/>
      <c r="AF173" s="852"/>
      <c r="AG173" s="968"/>
      <c r="AH173" s="852"/>
      <c r="AI173" s="852"/>
      <c r="AJ173" s="852"/>
      <c r="AK173" s="852"/>
      <c r="AL173" s="968"/>
      <c r="AM173" s="852"/>
      <c r="AN173" s="852"/>
      <c r="AO173" s="852"/>
      <c r="AP173" s="852"/>
      <c r="AQ173" s="968"/>
      <c r="AR173" s="852"/>
      <c r="AS173" s="852"/>
      <c r="AT173" s="852"/>
      <c r="AU173" s="852"/>
      <c r="AV173" s="968"/>
      <c r="AW173" s="852"/>
      <c r="AX173" s="852"/>
      <c r="AY173" s="852"/>
      <c r="AZ173" s="852"/>
      <c r="BA173" s="968"/>
      <c r="BB173" s="852"/>
      <c r="BC173" s="852"/>
      <c r="BD173" s="852"/>
      <c r="BE173" s="852"/>
      <c r="BF173" s="968"/>
      <c r="BG173" s="852"/>
      <c r="BH173" s="852"/>
      <c r="BI173" s="852"/>
      <c r="BJ173" s="852"/>
      <c r="BK173" s="968"/>
      <c r="BL173" s="852"/>
      <c r="BM173" s="852"/>
      <c r="BN173" s="852"/>
      <c r="BO173" s="852"/>
      <c r="BP173" s="968"/>
      <c r="BQ173" s="852"/>
      <c r="BR173" s="852"/>
      <c r="BS173" s="852"/>
      <c r="BT173" s="852"/>
      <c r="BU173" s="968"/>
      <c r="BV173" s="852"/>
      <c r="BW173" s="852"/>
      <c r="BX173" s="852"/>
      <c r="BY173" s="852"/>
      <c r="BZ173" s="968"/>
      <c r="CA173" s="852"/>
      <c r="CB173" s="215"/>
      <c r="CC173" s="215"/>
      <c r="CD173" s="1788"/>
      <c r="CE173" s="968"/>
      <c r="CF173" s="852"/>
      <c r="CG173" s="215"/>
      <c r="CH173" s="215"/>
      <c r="CI173" s="215"/>
      <c r="CJ173" s="968"/>
      <c r="CK173" s="215"/>
      <c r="CL173" s="215"/>
      <c r="CM173" s="847"/>
      <c r="CN173" s="3132"/>
      <c r="CO173" s="3269"/>
      <c r="CP173" s="3066"/>
      <c r="CQ173" s="3066"/>
      <c r="CR173" s="3066"/>
      <c r="CS173" s="3066"/>
      <c r="CT173" s="3268"/>
      <c r="CU173" s="3066"/>
      <c r="CV173" s="3066"/>
      <c r="CW173" s="3066"/>
      <c r="CX173" s="3066"/>
      <c r="CY173" s="3065"/>
      <c r="CZ173" s="3065"/>
      <c r="DA173" s="3065"/>
      <c r="DB173"/>
      <c r="DC173"/>
      <c r="DD173" s="2285"/>
      <c r="DE173" s="2290">
        <f t="shared" si="470"/>
        <v>0</v>
      </c>
      <c r="DF173" s="2290">
        <f t="shared" si="471"/>
        <v>0</v>
      </c>
      <c r="DG173" s="2290">
        <f t="shared" si="472"/>
        <v>0</v>
      </c>
      <c r="DH173" s="2290">
        <f t="shared" si="473"/>
        <v>0</v>
      </c>
      <c r="DI173" s="2290">
        <f t="shared" si="474"/>
        <v>0</v>
      </c>
      <c r="DJ173" s="2290">
        <f t="shared" si="475"/>
        <v>0</v>
      </c>
      <c r="DK173" s="2290">
        <f t="shared" si="476"/>
        <v>0</v>
      </c>
      <c r="DL173" s="2290">
        <f t="shared" si="477"/>
        <v>0</v>
      </c>
      <c r="DM173" s="2290">
        <f t="shared" si="478"/>
        <v>0</v>
      </c>
      <c r="DN173" s="2290">
        <f t="shared" si="479"/>
        <v>0</v>
      </c>
      <c r="DO173" s="2290">
        <f t="shared" si="480"/>
        <v>0</v>
      </c>
      <c r="DP173" s="2290">
        <f t="shared" si="481"/>
        <v>0</v>
      </c>
      <c r="DQ173" s="2290">
        <f t="shared" si="482"/>
        <v>0</v>
      </c>
      <c r="DR173" s="2290">
        <f t="shared" si="483"/>
        <v>0</v>
      </c>
      <c r="DS173" s="2290">
        <f t="shared" si="484"/>
        <v>0</v>
      </c>
      <c r="DT173" s="2290">
        <f t="shared" si="485"/>
        <v>0</v>
      </c>
      <c r="DU173" s="2290">
        <f t="shared" si="486"/>
        <v>0</v>
      </c>
      <c r="DV173" s="2290">
        <f t="shared" si="487"/>
        <v>0</v>
      </c>
      <c r="DW173" s="2290">
        <f t="shared" si="488"/>
        <v>0</v>
      </c>
      <c r="DX173" s="2290">
        <f t="shared" si="489"/>
        <v>0</v>
      </c>
      <c r="DY173" s="2290">
        <f t="shared" si="490"/>
        <v>0</v>
      </c>
      <c r="EA173"/>
      <c r="EB173"/>
      <c r="EC173"/>
      <c r="ED173"/>
      <c r="EE173"/>
      <c r="EF173"/>
      <c r="EJ173"/>
      <c r="EK173"/>
      <c r="EL173"/>
      <c r="ER173" s="212"/>
    </row>
    <row r="174" spans="1:148" s="923" customFormat="1" ht="12.75" customHeight="1" x14ac:dyDescent="0.2">
      <c r="A174" s="1560" t="s">
        <v>2679</v>
      </c>
      <c r="B174" s="852"/>
      <c r="C174" s="852"/>
      <c r="D174" s="852"/>
      <c r="E174" s="852"/>
      <c r="F174" s="852"/>
      <c r="G174" s="852"/>
      <c r="H174" s="852"/>
      <c r="I174" s="852"/>
      <c r="J174" s="852"/>
      <c r="K174" s="852"/>
      <c r="L174" s="852"/>
      <c r="M174" s="968"/>
      <c r="N174" s="852"/>
      <c r="O174" s="852"/>
      <c r="P174" s="852"/>
      <c r="Q174" s="852"/>
      <c r="R174" s="968"/>
      <c r="S174" s="852"/>
      <c r="T174" s="852"/>
      <c r="U174" s="852"/>
      <c r="V174" s="852"/>
      <c r="W174" s="968"/>
      <c r="X174" s="852"/>
      <c r="Y174" s="852"/>
      <c r="Z174" s="852"/>
      <c r="AA174" s="852"/>
      <c r="AB174" s="968"/>
      <c r="AC174" s="852"/>
      <c r="AD174" s="852"/>
      <c r="AE174" s="852"/>
      <c r="AF174" s="852"/>
      <c r="AG174" s="968"/>
      <c r="AH174" s="852"/>
      <c r="AI174" s="852"/>
      <c r="AJ174" s="852"/>
      <c r="AK174" s="852"/>
      <c r="AL174" s="968"/>
      <c r="AM174" s="852"/>
      <c r="AN174" s="852"/>
      <c r="AO174" s="852"/>
      <c r="AP174" s="852"/>
      <c r="AQ174" s="968"/>
      <c r="AR174" s="852"/>
      <c r="AS174" s="852"/>
      <c r="AT174" s="852"/>
      <c r="AU174" s="852"/>
      <c r="AV174" s="968"/>
      <c r="AW174" s="852"/>
      <c r="AX174" s="852"/>
      <c r="AY174" s="852"/>
      <c r="AZ174" s="852"/>
      <c r="BA174" s="968"/>
      <c r="BB174" s="852"/>
      <c r="BC174" s="852"/>
      <c r="BD174" s="852"/>
      <c r="BE174" s="852"/>
      <c r="BF174" s="968"/>
      <c r="BG174" s="852"/>
      <c r="BH174" s="852"/>
      <c r="BI174" s="852"/>
      <c r="BJ174" s="852"/>
      <c r="BK174" s="968"/>
      <c r="BL174" s="852"/>
      <c r="BM174" s="852"/>
      <c r="BN174" s="852"/>
      <c r="BO174" s="852"/>
      <c r="BP174" s="968"/>
      <c r="BQ174" s="852"/>
      <c r="BR174" s="852"/>
      <c r="BS174" s="852"/>
      <c r="BT174" s="852"/>
      <c r="BU174" s="968"/>
      <c r="BV174" s="852"/>
      <c r="BW174" s="852"/>
      <c r="BX174" s="852"/>
      <c r="BY174" s="852"/>
      <c r="BZ174" s="968"/>
      <c r="CA174" s="852"/>
      <c r="CB174" s="215"/>
      <c r="CC174" s="215"/>
      <c r="CD174" s="215"/>
      <c r="CE174" s="968"/>
      <c r="CF174" s="2880">
        <v>528</v>
      </c>
      <c r="CG174" s="2880">
        <v>547</v>
      </c>
      <c r="CH174" s="2983">
        <v>489</v>
      </c>
      <c r="CI174" s="2983">
        <v>518</v>
      </c>
      <c r="CJ174" s="2343">
        <f>SUM(CF174:CI174)</f>
        <v>2082</v>
      </c>
      <c r="CK174" s="2880">
        <v>451</v>
      </c>
      <c r="CL174" s="2880">
        <v>505</v>
      </c>
      <c r="CM174" s="2983">
        <v>499</v>
      </c>
      <c r="CN174" s="2983">
        <v>476</v>
      </c>
      <c r="CO174" s="2343">
        <f>SUM(CK174:CN174)</f>
        <v>1931</v>
      </c>
      <c r="CP174" s="3443"/>
      <c r="CQ174" s="3443"/>
      <c r="CR174" s="3443"/>
      <c r="CS174" s="3443"/>
      <c r="CT174" s="3268"/>
      <c r="CU174" s="3443"/>
      <c r="CV174" s="3443"/>
      <c r="CW174" s="3443"/>
      <c r="CX174" s="3443"/>
      <c r="CY174" s="1616"/>
      <c r="CZ174" s="3065"/>
      <c r="DA174" s="3065"/>
      <c r="DB174"/>
      <c r="DC174"/>
      <c r="DD174" s="2285"/>
      <c r="DE174" s="2290"/>
      <c r="DF174" s="2290"/>
      <c r="DG174" s="2290"/>
      <c r="DH174" s="2290"/>
      <c r="DI174" s="2290"/>
      <c r="DJ174" s="2290"/>
      <c r="DK174" s="2290"/>
      <c r="DL174" s="2290"/>
      <c r="DM174" s="2290"/>
      <c r="DN174" s="2290"/>
      <c r="DO174" s="2290"/>
      <c r="DP174" s="2290"/>
      <c r="DQ174" s="2290"/>
      <c r="DR174" s="2290"/>
      <c r="DS174" s="2290"/>
      <c r="DT174" s="2290"/>
      <c r="DU174" s="2290"/>
      <c r="DV174" s="2290"/>
      <c r="DW174" s="2290"/>
      <c r="DX174" s="2290"/>
      <c r="DY174" s="2290"/>
      <c r="EA174"/>
      <c r="EB174"/>
      <c r="EC174"/>
      <c r="ED174"/>
      <c r="EE174"/>
      <c r="EF174"/>
      <c r="EJ174"/>
      <c r="EK174"/>
      <c r="EL174"/>
      <c r="ER174" s="212"/>
    </row>
    <row r="175" spans="1:148" s="923" customFormat="1" ht="12.75" customHeight="1" x14ac:dyDescent="0.2">
      <c r="A175" s="504"/>
      <c r="B175" s="852"/>
      <c r="C175" s="852"/>
      <c r="D175" s="852"/>
      <c r="E175" s="852"/>
      <c r="F175" s="852"/>
      <c r="G175" s="852"/>
      <c r="H175" s="852"/>
      <c r="I175" s="852"/>
      <c r="J175" s="852"/>
      <c r="K175" s="852"/>
      <c r="L175" s="852"/>
      <c r="M175" s="968"/>
      <c r="N175" s="852"/>
      <c r="O175" s="852"/>
      <c r="P175" s="852"/>
      <c r="Q175" s="852"/>
      <c r="R175" s="968"/>
      <c r="S175" s="852"/>
      <c r="T175" s="852"/>
      <c r="U175" s="852"/>
      <c r="V175" s="852"/>
      <c r="W175" s="968"/>
      <c r="X175" s="852"/>
      <c r="Y175" s="852"/>
      <c r="Z175" s="852"/>
      <c r="AA175" s="852"/>
      <c r="AB175" s="968"/>
      <c r="AC175" s="852"/>
      <c r="AD175" s="852"/>
      <c r="AE175" s="852"/>
      <c r="AF175" s="852"/>
      <c r="AG175" s="968"/>
      <c r="AH175" s="852"/>
      <c r="AI175" s="852"/>
      <c r="AJ175" s="852"/>
      <c r="AK175" s="852"/>
      <c r="AL175" s="968"/>
      <c r="AM175" s="852"/>
      <c r="AN175" s="852"/>
      <c r="AO175" s="852"/>
      <c r="AP175" s="852"/>
      <c r="AQ175" s="968"/>
      <c r="AR175" s="852"/>
      <c r="AS175" s="852"/>
      <c r="AT175" s="852"/>
      <c r="AU175" s="852"/>
      <c r="AV175" s="968"/>
      <c r="AW175" s="852"/>
      <c r="AX175" s="852"/>
      <c r="AY175" s="852"/>
      <c r="AZ175" s="852"/>
      <c r="BA175" s="968"/>
      <c r="BB175" s="852"/>
      <c r="BC175" s="852"/>
      <c r="BD175" s="852"/>
      <c r="BE175" s="852"/>
      <c r="BF175" s="968"/>
      <c r="BG175" s="852"/>
      <c r="BH175" s="852"/>
      <c r="BI175" s="852"/>
      <c r="BJ175" s="852"/>
      <c r="BK175" s="968"/>
      <c r="BL175" s="852"/>
      <c r="BM175" s="852"/>
      <c r="BN175" s="852"/>
      <c r="BO175" s="852"/>
      <c r="BP175" s="968"/>
      <c r="BQ175" s="852"/>
      <c r="BR175" s="852"/>
      <c r="BS175" s="852"/>
      <c r="BT175" s="852"/>
      <c r="BU175" s="968"/>
      <c r="BV175" s="852"/>
      <c r="BW175" s="852"/>
      <c r="BX175" s="852"/>
      <c r="BY175" s="852"/>
      <c r="BZ175" s="968"/>
      <c r="CA175" s="852"/>
      <c r="CB175" s="215"/>
      <c r="CC175" s="215"/>
      <c r="CD175" s="215"/>
      <c r="CE175" s="968"/>
      <c r="CF175" s="852"/>
      <c r="CG175" s="215"/>
      <c r="CH175" s="215"/>
      <c r="CI175" s="215"/>
      <c r="CJ175" s="968"/>
      <c r="CK175" s="215"/>
      <c r="CL175" s="215"/>
      <c r="CM175" s="847"/>
      <c r="CN175" s="3132"/>
      <c r="CO175" s="3269"/>
      <c r="CP175" s="3066"/>
      <c r="CQ175" s="3066"/>
      <c r="CR175" s="3066"/>
      <c r="CS175" s="3066"/>
      <c r="CT175" s="3268"/>
      <c r="CU175" s="3066"/>
      <c r="CV175" s="3066"/>
      <c r="CW175" s="3066"/>
      <c r="CX175" s="3066"/>
      <c r="CY175" s="3065"/>
      <c r="CZ175" s="3065"/>
      <c r="DA175" s="3065"/>
      <c r="DB175"/>
      <c r="DC175"/>
      <c r="DD175" s="2285"/>
      <c r="DE175" s="2290"/>
      <c r="DF175" s="2290"/>
      <c r="DG175" s="2290"/>
      <c r="DH175" s="2290"/>
      <c r="DI175" s="2290"/>
      <c r="DJ175" s="2290"/>
      <c r="DK175" s="2290"/>
      <c r="DL175" s="2290"/>
      <c r="DM175" s="2290"/>
      <c r="DN175" s="2290"/>
      <c r="DO175" s="2290"/>
      <c r="DP175" s="2290"/>
      <c r="DQ175" s="2290"/>
      <c r="DR175" s="2290"/>
      <c r="DS175" s="2290"/>
      <c r="DT175" s="2290"/>
      <c r="DU175" s="2290"/>
      <c r="DV175" s="2290"/>
      <c r="DW175" s="2290"/>
      <c r="DX175" s="2290"/>
      <c r="DY175" s="2290"/>
      <c r="EA175"/>
      <c r="EB175"/>
      <c r="EC175"/>
      <c r="ED175"/>
      <c r="EE175"/>
      <c r="EF175"/>
      <c r="EJ175"/>
      <c r="EK175"/>
      <c r="EL175"/>
      <c r="ER175" s="212"/>
    </row>
    <row r="176" spans="1:148" s="923" customFormat="1" ht="12.75" customHeight="1" x14ac:dyDescent="0.2">
      <c r="A176" s="2285" t="s">
        <v>2474</v>
      </c>
      <c r="B176" s="599"/>
      <c r="C176" s="599"/>
      <c r="D176" s="599"/>
      <c r="E176" s="599"/>
      <c r="F176" s="599"/>
      <c r="G176" s="599"/>
      <c r="H176" s="599"/>
      <c r="I176" s="599"/>
      <c r="J176" s="599"/>
      <c r="K176" s="599"/>
      <c r="L176" s="599"/>
      <c r="M176" s="661"/>
      <c r="N176" s="599">
        <f>N26</f>
        <v>187</v>
      </c>
      <c r="O176" s="599">
        <f>O26</f>
        <v>225</v>
      </c>
      <c r="P176" s="599">
        <f>P26</f>
        <v>186</v>
      </c>
      <c r="Q176" s="599">
        <v>117</v>
      </c>
      <c r="R176" s="661">
        <f>R26</f>
        <v>873</v>
      </c>
      <c r="S176" s="599">
        <f>S26</f>
        <v>117</v>
      </c>
      <c r="T176" s="599">
        <f>T26</f>
        <v>126</v>
      </c>
      <c r="U176" s="599">
        <f>U26</f>
        <v>123</v>
      </c>
      <c r="V176" s="599">
        <f>V26</f>
        <v>214</v>
      </c>
      <c r="W176" s="661">
        <f>+SUM(S176:V176)</f>
        <v>580</v>
      </c>
      <c r="X176" s="599">
        <f>X26</f>
        <v>110</v>
      </c>
      <c r="Y176" s="599">
        <f>Y26</f>
        <v>119</v>
      </c>
      <c r="Z176" s="599">
        <f>Z26</f>
        <v>118</v>
      </c>
      <c r="AA176" s="599">
        <f>AA26</f>
        <v>158</v>
      </c>
      <c r="AB176" s="661">
        <f>+SUM(X176:AA176)</f>
        <v>505</v>
      </c>
      <c r="AC176" s="599">
        <f>AC26</f>
        <v>132</v>
      </c>
      <c r="AD176" s="599">
        <f>AD26</f>
        <v>157</v>
      </c>
      <c r="AE176" s="599">
        <f>AE26</f>
        <v>139</v>
      </c>
      <c r="AF176" s="599">
        <f>AF26</f>
        <v>201</v>
      </c>
      <c r="AG176" s="661">
        <f>+SUM(AC176:AF176)</f>
        <v>629</v>
      </c>
      <c r="AH176" s="599">
        <f>AH26</f>
        <v>145</v>
      </c>
      <c r="AI176" s="599">
        <f>AI26</f>
        <v>138</v>
      </c>
      <c r="AJ176" s="599">
        <f>AJ26</f>
        <v>197</v>
      </c>
      <c r="AK176" s="599">
        <f>AK26</f>
        <v>298</v>
      </c>
      <c r="AL176" s="661">
        <f>+SUM(AH176:AK176)</f>
        <v>778</v>
      </c>
      <c r="AM176" s="599">
        <f>AM26</f>
        <v>208</v>
      </c>
      <c r="AN176" s="599">
        <f>AN26</f>
        <v>225</v>
      </c>
      <c r="AO176" s="599">
        <f>AO26</f>
        <v>201</v>
      </c>
      <c r="AP176" s="599">
        <f>AP26</f>
        <v>302</v>
      </c>
      <c r="AQ176" s="661">
        <f>+SUM(AM176:AP176)</f>
        <v>936</v>
      </c>
      <c r="AR176" s="599">
        <f>AR26</f>
        <v>219</v>
      </c>
      <c r="AS176" s="599">
        <f>AS26</f>
        <v>257</v>
      </c>
      <c r="AT176" s="599">
        <f>AT26</f>
        <v>235</v>
      </c>
      <c r="AU176" s="599">
        <f>AU26</f>
        <v>351</v>
      </c>
      <c r="AV176" s="661">
        <f>+SUM(AR176:AU176)</f>
        <v>1062</v>
      </c>
      <c r="AW176" s="599">
        <f>AW26</f>
        <v>244</v>
      </c>
      <c r="AX176" s="599">
        <f>AX26</f>
        <v>273</v>
      </c>
      <c r="AY176" s="599">
        <f>AY26</f>
        <v>240</v>
      </c>
      <c r="AZ176" s="599">
        <f>AZ26</f>
        <v>331</v>
      </c>
      <c r="BA176" s="661">
        <f>+SUM(AW176:AZ176)</f>
        <v>1088</v>
      </c>
      <c r="BB176" s="599">
        <f>BB26</f>
        <v>207</v>
      </c>
      <c r="BC176" s="599">
        <f>BC26</f>
        <v>217</v>
      </c>
      <c r="BD176" s="599">
        <f>BD26</f>
        <v>214</v>
      </c>
      <c r="BE176" s="599">
        <f>BE26</f>
        <v>313</v>
      </c>
      <c r="BF176" s="661">
        <f>+SUM(BB176:BE176)</f>
        <v>951</v>
      </c>
      <c r="BG176" s="599">
        <f>BG26</f>
        <v>217</v>
      </c>
      <c r="BH176" s="599">
        <f>BH26</f>
        <v>224</v>
      </c>
      <c r="BI176" s="599">
        <f>BI26</f>
        <v>213</v>
      </c>
      <c r="BJ176" s="599">
        <f>BJ26</f>
        <v>301</v>
      </c>
      <c r="BK176" s="661">
        <f>+SUM(BG176:BJ176)</f>
        <v>955</v>
      </c>
      <c r="BL176" s="599">
        <f>BL26</f>
        <v>204</v>
      </c>
      <c r="BM176" s="599">
        <f>BM26</f>
        <v>220</v>
      </c>
      <c r="BN176" s="599">
        <f>BN26</f>
        <v>219</v>
      </c>
      <c r="BO176" s="599">
        <f>BO26</f>
        <v>300</v>
      </c>
      <c r="BP176" s="661">
        <f>SUM(BL176:BO176)</f>
        <v>943</v>
      </c>
      <c r="BQ176" s="599">
        <f>BQ26</f>
        <v>195</v>
      </c>
      <c r="BR176" s="599">
        <f>BR26</f>
        <v>203</v>
      </c>
      <c r="BS176" s="599">
        <f>BS26</f>
        <v>174</v>
      </c>
      <c r="BT176" s="599">
        <f>BT26</f>
        <v>252</v>
      </c>
      <c r="BU176" s="661">
        <f>SUM(BQ176:BT176)</f>
        <v>824</v>
      </c>
      <c r="BV176" s="599">
        <f>BV26</f>
        <v>179</v>
      </c>
      <c r="BW176" s="599">
        <f>BW26</f>
        <v>181</v>
      </c>
      <c r="BX176" s="599">
        <f>BX26</f>
        <v>172</v>
      </c>
      <c r="BY176" s="599">
        <f>BY26</f>
        <v>197</v>
      </c>
      <c r="BZ176" s="968">
        <f>SUM(BV176:BY176)</f>
        <v>729</v>
      </c>
      <c r="CA176" s="599">
        <f>CA26</f>
        <v>185</v>
      </c>
      <c r="CB176" s="599">
        <f>CB26</f>
        <v>199</v>
      </c>
      <c r="CC176" s="599">
        <f>CC26</f>
        <v>189</v>
      </c>
      <c r="CD176" s="599">
        <f>CD26</f>
        <v>202</v>
      </c>
      <c r="CE176" s="968">
        <f>SUM(CA176:CD176)</f>
        <v>775</v>
      </c>
      <c r="CF176" s="599">
        <f>CF26</f>
        <v>194</v>
      </c>
      <c r="CG176" s="599">
        <f>CG26</f>
        <v>183</v>
      </c>
      <c r="CH176" s="946">
        <f>CH26</f>
        <v>175</v>
      </c>
      <c r="CI176" s="946">
        <f>CI26</f>
        <v>181</v>
      </c>
      <c r="CJ176" s="661">
        <f>SUM(CF176:CI176)</f>
        <v>733</v>
      </c>
      <c r="CK176" s="946">
        <f>CK26</f>
        <v>166</v>
      </c>
      <c r="CL176" s="946">
        <f>CL26</f>
        <v>173</v>
      </c>
      <c r="CM176" s="946">
        <f>CM26</f>
        <v>176</v>
      </c>
      <c r="CN176" s="946"/>
      <c r="CO176" s="2293"/>
      <c r="CP176" s="2349"/>
      <c r="CQ176" s="2349"/>
      <c r="CR176" s="2349"/>
      <c r="CS176" s="2349"/>
      <c r="CT176" s="2343"/>
      <c r="CU176" s="2349"/>
      <c r="CV176" s="2349"/>
      <c r="CW176" s="2349"/>
      <c r="CX176" s="2349"/>
      <c r="CY176" s="2293"/>
      <c r="CZ176" s="2293"/>
      <c r="DA176" s="2293"/>
      <c r="DB176"/>
      <c r="DC176"/>
      <c r="DD176" s="2285" t="s">
        <v>1913</v>
      </c>
      <c r="DE176" s="2290">
        <f t="shared" si="470"/>
        <v>0</v>
      </c>
      <c r="DF176" s="2290">
        <f t="shared" si="471"/>
        <v>873</v>
      </c>
      <c r="DG176" s="2290">
        <f t="shared" si="472"/>
        <v>580</v>
      </c>
      <c r="DH176" s="2290">
        <f t="shared" si="473"/>
        <v>505</v>
      </c>
      <c r="DI176" s="2290">
        <f t="shared" si="474"/>
        <v>629</v>
      </c>
      <c r="DJ176" s="2290">
        <f t="shared" si="475"/>
        <v>778</v>
      </c>
      <c r="DK176" s="2290">
        <f t="shared" si="476"/>
        <v>936</v>
      </c>
      <c r="DL176" s="2290">
        <f t="shared" si="477"/>
        <v>1062</v>
      </c>
      <c r="DM176" s="2290">
        <f t="shared" si="478"/>
        <v>1088</v>
      </c>
      <c r="DN176" s="2290">
        <f t="shared" si="479"/>
        <v>951</v>
      </c>
      <c r="DO176" s="2290">
        <f t="shared" si="480"/>
        <v>955</v>
      </c>
      <c r="DP176" s="2290">
        <f t="shared" si="481"/>
        <v>943</v>
      </c>
      <c r="DQ176" s="2290">
        <f t="shared" si="482"/>
        <v>824</v>
      </c>
      <c r="DR176" s="2290">
        <f t="shared" si="483"/>
        <v>729</v>
      </c>
      <c r="DS176" s="2290">
        <f t="shared" si="484"/>
        <v>775</v>
      </c>
      <c r="DT176" s="2290">
        <f t="shared" si="485"/>
        <v>733</v>
      </c>
      <c r="DU176" s="2290">
        <f t="shared" si="486"/>
        <v>0</v>
      </c>
      <c r="DV176" s="2290">
        <f t="shared" si="487"/>
        <v>0</v>
      </c>
      <c r="DW176" s="2290">
        <f t="shared" si="488"/>
        <v>0</v>
      </c>
      <c r="DX176" s="2290">
        <f t="shared" si="489"/>
        <v>0</v>
      </c>
      <c r="DY176" s="2290">
        <f t="shared" si="490"/>
        <v>0</v>
      </c>
      <c r="EA176"/>
      <c r="EB176"/>
      <c r="EC176"/>
      <c r="ED176"/>
      <c r="EE176"/>
      <c r="EF176"/>
      <c r="EJ176"/>
      <c r="EK176"/>
      <c r="EL176"/>
      <c r="ER176" s="212"/>
    </row>
    <row r="177" spans="1:148" s="923" customFormat="1" ht="12.75" customHeight="1" x14ac:dyDescent="0.2">
      <c r="A177" s="2285" t="s">
        <v>2476</v>
      </c>
      <c r="B177" s="599"/>
      <c r="C177" s="599"/>
      <c r="D177" s="599"/>
      <c r="E177" s="599"/>
      <c r="F177" s="599"/>
      <c r="G177" s="599"/>
      <c r="H177" s="599"/>
      <c r="I177" s="2880">
        <v>590</v>
      </c>
      <c r="J177" s="2880">
        <v>628</v>
      </c>
      <c r="K177" s="2880">
        <v>616</v>
      </c>
      <c r="L177" s="2880">
        <v>599</v>
      </c>
      <c r="M177" s="2922">
        <v>2433</v>
      </c>
      <c r="N177" s="2880">
        <v>596</v>
      </c>
      <c r="O177" s="2880">
        <v>618</v>
      </c>
      <c r="P177" s="2880">
        <v>576</v>
      </c>
      <c r="Q177" s="2880">
        <v>575</v>
      </c>
      <c r="R177" s="2922">
        <v>2365</v>
      </c>
      <c r="S177" s="2880">
        <v>564</v>
      </c>
      <c r="T177" s="2880">
        <v>606</v>
      </c>
      <c r="U177" s="2880">
        <v>589</v>
      </c>
      <c r="V177" s="2880">
        <v>618</v>
      </c>
      <c r="W177" s="2922">
        <v>2377</v>
      </c>
      <c r="X177" s="2880">
        <v>586</v>
      </c>
      <c r="Y177" s="2880">
        <v>618</v>
      </c>
      <c r="Z177" s="2880">
        <v>577</v>
      </c>
      <c r="AA177" s="2880">
        <v>611</v>
      </c>
      <c r="AB177" s="2922">
        <v>2392</v>
      </c>
      <c r="AC177" s="2880">
        <v>607</v>
      </c>
      <c r="AD177" s="2880">
        <v>640</v>
      </c>
      <c r="AE177" s="2880">
        <v>617</v>
      </c>
      <c r="AF177" s="2880">
        <v>655</v>
      </c>
      <c r="AG177" s="2922">
        <v>2519</v>
      </c>
      <c r="AH177" s="2880">
        <v>641</v>
      </c>
      <c r="AI177" s="2880">
        <v>675</v>
      </c>
      <c r="AJ177" s="2880">
        <v>646</v>
      </c>
      <c r="AK177" s="2880">
        <v>672</v>
      </c>
      <c r="AL177" s="2922">
        <v>2634</v>
      </c>
      <c r="AM177" s="2880">
        <v>640</v>
      </c>
      <c r="AN177" s="2880">
        <v>492</v>
      </c>
      <c r="AO177" s="2880">
        <v>443</v>
      </c>
      <c r="AP177" s="2880">
        <v>448</v>
      </c>
      <c r="AQ177" s="2922">
        <v>2023</v>
      </c>
      <c r="AR177" s="2880">
        <v>436</v>
      </c>
      <c r="AS177" s="2880">
        <v>461</v>
      </c>
      <c r="AT177" s="2880">
        <v>448</v>
      </c>
      <c r="AU177" s="2880">
        <v>460</v>
      </c>
      <c r="AV177" s="2922">
        <v>1805</v>
      </c>
      <c r="AW177" s="2880">
        <v>438</v>
      </c>
      <c r="AX177" s="2880">
        <v>454</v>
      </c>
      <c r="AY177" s="2880">
        <v>437</v>
      </c>
      <c r="AZ177" s="2880">
        <v>393</v>
      </c>
      <c r="BA177" s="2922">
        <v>1722</v>
      </c>
      <c r="BB177" s="2880">
        <v>334</v>
      </c>
      <c r="BC177" s="2880">
        <v>329</v>
      </c>
      <c r="BD177" s="2880">
        <v>330</v>
      </c>
      <c r="BE177" s="2880">
        <v>343</v>
      </c>
      <c r="BF177" s="2922">
        <v>1336</v>
      </c>
      <c r="BG177" s="2880">
        <v>329</v>
      </c>
      <c r="BH177" s="2880">
        <v>347</v>
      </c>
      <c r="BI177" s="2880">
        <v>352</v>
      </c>
      <c r="BJ177" s="2880">
        <v>367</v>
      </c>
      <c r="BK177" s="2922">
        <v>1395</v>
      </c>
      <c r="BL177" s="2880">
        <v>361</v>
      </c>
      <c r="BM177" s="2880">
        <v>381</v>
      </c>
      <c r="BN177" s="2880">
        <v>361</v>
      </c>
      <c r="BO177" s="2880">
        <v>346</v>
      </c>
      <c r="BP177" s="2922">
        <v>1449</v>
      </c>
      <c r="BQ177" s="2880">
        <v>349</v>
      </c>
      <c r="BR177" s="2880">
        <v>360</v>
      </c>
      <c r="BS177" s="2880">
        <v>348</v>
      </c>
      <c r="BT177" s="2880">
        <v>334</v>
      </c>
      <c r="BU177" s="2922">
        <v>1391</v>
      </c>
      <c r="BV177" s="2880">
        <v>320</v>
      </c>
      <c r="BW177" s="2880">
        <v>328</v>
      </c>
      <c r="BX177" s="2880">
        <v>318</v>
      </c>
      <c r="BY177" s="3130">
        <v>326</v>
      </c>
      <c r="BZ177" s="3131">
        <v>1292</v>
      </c>
      <c r="CA177" s="3130">
        <v>301</v>
      </c>
      <c r="CB177" s="3130">
        <v>314</v>
      </c>
      <c r="CC177" s="3130">
        <v>308</v>
      </c>
      <c r="CD177" s="3130">
        <v>288</v>
      </c>
      <c r="CE177" s="3131">
        <v>1211</v>
      </c>
      <c r="CF177" s="2935">
        <v>262</v>
      </c>
      <c r="CG177" s="2935">
        <v>265</v>
      </c>
      <c r="CH177" s="2983">
        <v>241</v>
      </c>
      <c r="CI177" s="2983">
        <v>237</v>
      </c>
      <c r="CJ177" s="2922">
        <v>1005</v>
      </c>
      <c r="CK177" s="2983">
        <v>217</v>
      </c>
      <c r="CL177" s="2983">
        <v>216</v>
      </c>
      <c r="CM177" s="3008">
        <f>+CM180-CM176</f>
        <v>207</v>
      </c>
      <c r="CN177" s="3085"/>
      <c r="CO177" s="3092"/>
      <c r="CP177" s="2349"/>
      <c r="CQ177" s="2349"/>
      <c r="CR177" s="2349"/>
      <c r="CS177" s="2349"/>
      <c r="CT177" s="2293"/>
      <c r="CU177" s="2349"/>
      <c r="CV177" s="2349"/>
      <c r="CW177" s="2349"/>
      <c r="CX177" s="2349"/>
      <c r="CY177" s="2293"/>
      <c r="CZ177" s="2293"/>
      <c r="DA177" s="2293"/>
      <c r="DB177"/>
      <c r="DC177"/>
      <c r="DD177" s="2285"/>
      <c r="DE177" s="2292"/>
      <c r="DF177" s="2292"/>
      <c r="DG177" s="2292"/>
      <c r="DH177" s="2292"/>
      <c r="DI177" s="2292"/>
      <c r="DJ177" s="2292"/>
      <c r="DK177" s="2292"/>
      <c r="DL177" s="2292"/>
      <c r="DM177" s="2292"/>
      <c r="DN177" s="2292"/>
      <c r="DO177" s="2292"/>
      <c r="DP177" s="2292"/>
      <c r="DQ177" s="2292"/>
      <c r="DR177" s="2292"/>
      <c r="DS177" s="2292"/>
      <c r="DT177" s="2292"/>
      <c r="DU177" s="2292"/>
      <c r="DV177" s="2292"/>
      <c r="DW177" s="2292"/>
      <c r="DX177" s="2292"/>
      <c r="DY177" s="2292"/>
      <c r="EA177"/>
      <c r="EB177"/>
      <c r="EC177"/>
      <c r="ED177"/>
      <c r="EE177"/>
      <c r="EF177"/>
      <c r="EJ177"/>
      <c r="EK177"/>
      <c r="EL177"/>
      <c r="ER177" s="212"/>
    </row>
    <row r="178" spans="1:148" s="3289" customFormat="1" ht="12.75" customHeight="1" x14ac:dyDescent="0.2">
      <c r="A178" s="2344" t="s">
        <v>2577</v>
      </c>
      <c r="M178" s="2345"/>
      <c r="R178" s="2345"/>
      <c r="W178" s="2345"/>
      <c r="AB178" s="2345"/>
      <c r="AG178" s="2345"/>
      <c r="AL178" s="2345"/>
      <c r="AQ178" s="2345"/>
      <c r="AV178" s="2345"/>
      <c r="BA178" s="2345"/>
      <c r="BF178" s="2345"/>
      <c r="BK178" s="2345"/>
      <c r="BP178" s="2345"/>
      <c r="BU178" s="2345"/>
      <c r="BZ178" s="2369"/>
      <c r="CE178" s="2369"/>
      <c r="CF178" s="3037">
        <f t="shared" ref="CF178:CM178" si="502">+CF180-CF177-CF176</f>
        <v>-20</v>
      </c>
      <c r="CG178" s="3037">
        <f t="shared" si="502"/>
        <v>-18</v>
      </c>
      <c r="CH178" s="3037">
        <f t="shared" si="502"/>
        <v>-19</v>
      </c>
      <c r="CI178" s="3037">
        <f t="shared" si="502"/>
        <v>-18</v>
      </c>
      <c r="CJ178" s="2345">
        <f>SUM(CF178:CI178)</f>
        <v>-75</v>
      </c>
      <c r="CK178" s="3037">
        <f t="shared" si="502"/>
        <v>-18</v>
      </c>
      <c r="CL178" s="3037">
        <f t="shared" si="502"/>
        <v>1</v>
      </c>
      <c r="CM178" s="3037">
        <f t="shared" si="502"/>
        <v>0</v>
      </c>
      <c r="CN178" s="3037"/>
      <c r="CO178" s="2345"/>
      <c r="CP178" s="2383"/>
      <c r="CQ178" s="3037"/>
      <c r="CR178" s="3037"/>
      <c r="CS178" s="3037"/>
      <c r="CT178" s="2345"/>
      <c r="CU178" s="2383"/>
      <c r="CV178" s="3037"/>
      <c r="CW178" s="3037"/>
      <c r="CX178" s="3037"/>
      <c r="CY178" s="2345"/>
      <c r="CZ178" s="2345"/>
      <c r="DA178" s="2345"/>
      <c r="DB178" s="3290"/>
      <c r="DC178" s="3290"/>
      <c r="DD178" s="2344"/>
      <c r="DE178" s="2369"/>
      <c r="DF178" s="2369"/>
      <c r="DG178" s="2369"/>
      <c r="DH178" s="2369"/>
      <c r="DI178" s="2369"/>
      <c r="DJ178" s="2369"/>
      <c r="DK178" s="2369"/>
      <c r="DL178" s="2369"/>
      <c r="DM178" s="2369"/>
      <c r="DN178" s="2369"/>
      <c r="DO178" s="2369"/>
      <c r="DP178" s="2369"/>
      <c r="DQ178" s="2369"/>
      <c r="DR178" s="2369"/>
      <c r="DS178" s="2369"/>
      <c r="DT178" s="2369"/>
      <c r="DU178" s="2369"/>
      <c r="DV178" s="2369"/>
      <c r="DW178" s="2369"/>
      <c r="DX178" s="2369"/>
      <c r="DY178" s="2369"/>
      <c r="EA178"/>
      <c r="EB178"/>
      <c r="EC178"/>
      <c r="ED178"/>
      <c r="EE178"/>
      <c r="EF178"/>
      <c r="EJ178"/>
      <c r="EK178"/>
      <c r="EL178"/>
    </row>
    <row r="179" spans="1:148" ht="3.95" customHeight="1" x14ac:dyDescent="0.2">
      <c r="A179" s="2288"/>
      <c r="B179" s="946"/>
      <c r="C179" s="946"/>
      <c r="D179" s="946"/>
      <c r="E179" s="946"/>
      <c r="F179" s="946"/>
      <c r="G179" s="946"/>
      <c r="H179" s="946"/>
      <c r="I179" s="2819" t="s">
        <v>2403</v>
      </c>
      <c r="J179" s="2819" t="s">
        <v>2403</v>
      </c>
      <c r="K179" s="2819" t="s">
        <v>2403</v>
      </c>
      <c r="L179" s="2819" t="s">
        <v>2403</v>
      </c>
      <c r="M179" s="2316" t="s">
        <v>2403</v>
      </c>
      <c r="N179" s="2819" t="s">
        <v>2403</v>
      </c>
      <c r="O179" s="2819" t="s">
        <v>2403</v>
      </c>
      <c r="P179" s="2819" t="s">
        <v>2403</v>
      </c>
      <c r="Q179" s="2819" t="s">
        <v>2403</v>
      </c>
      <c r="R179" s="2316" t="s">
        <v>2403</v>
      </c>
      <c r="S179" s="2819" t="s">
        <v>2403</v>
      </c>
      <c r="T179" s="2819" t="s">
        <v>2403</v>
      </c>
      <c r="U179" s="2819" t="s">
        <v>2403</v>
      </c>
      <c r="V179" s="2819" t="s">
        <v>2403</v>
      </c>
      <c r="W179" s="2316" t="s">
        <v>2403</v>
      </c>
      <c r="X179" s="2819" t="s">
        <v>2403</v>
      </c>
      <c r="Y179" s="2819" t="s">
        <v>2403</v>
      </c>
      <c r="Z179" s="2819" t="s">
        <v>2403</v>
      </c>
      <c r="AA179" s="2819" t="s">
        <v>2403</v>
      </c>
      <c r="AB179" s="2316" t="s">
        <v>2403</v>
      </c>
      <c r="AC179" s="2819" t="s">
        <v>2403</v>
      </c>
      <c r="AD179" s="2819" t="s">
        <v>2403</v>
      </c>
      <c r="AE179" s="2819" t="s">
        <v>2403</v>
      </c>
      <c r="AF179" s="2819" t="s">
        <v>2403</v>
      </c>
      <c r="AG179" s="2316" t="s">
        <v>2403</v>
      </c>
      <c r="AH179" s="2819" t="s">
        <v>2403</v>
      </c>
      <c r="AI179" s="2819" t="s">
        <v>2403</v>
      </c>
      <c r="AJ179" s="2819" t="s">
        <v>2403</v>
      </c>
      <c r="AK179" s="2819" t="s">
        <v>2403</v>
      </c>
      <c r="AL179" s="2316" t="s">
        <v>2403</v>
      </c>
      <c r="AM179" s="2819" t="s">
        <v>2403</v>
      </c>
      <c r="AN179" s="2819" t="s">
        <v>2403</v>
      </c>
      <c r="AO179" s="2819" t="s">
        <v>2403</v>
      </c>
      <c r="AP179" s="2819" t="s">
        <v>2403</v>
      </c>
      <c r="AQ179" s="2316" t="s">
        <v>2403</v>
      </c>
      <c r="AR179" s="2819" t="s">
        <v>2403</v>
      </c>
      <c r="AS179" s="2819" t="s">
        <v>2403</v>
      </c>
      <c r="AT179" s="2819" t="s">
        <v>2403</v>
      </c>
      <c r="AU179" s="2819" t="s">
        <v>2403</v>
      </c>
      <c r="AV179" s="2316" t="s">
        <v>2403</v>
      </c>
      <c r="AW179" s="2819" t="s">
        <v>2403</v>
      </c>
      <c r="AX179" s="2819" t="s">
        <v>2403</v>
      </c>
      <c r="AY179" s="2819" t="s">
        <v>2403</v>
      </c>
      <c r="AZ179" s="2819" t="s">
        <v>2403</v>
      </c>
      <c r="BA179" s="2316" t="s">
        <v>2403</v>
      </c>
      <c r="BB179" s="2819" t="s">
        <v>2403</v>
      </c>
      <c r="BC179" s="2819" t="s">
        <v>2403</v>
      </c>
      <c r="BD179" s="2819" t="s">
        <v>2403</v>
      </c>
      <c r="BE179" s="2819" t="s">
        <v>2403</v>
      </c>
      <c r="BF179" s="2316" t="s">
        <v>2403</v>
      </c>
      <c r="BG179" s="2819" t="s">
        <v>2403</v>
      </c>
      <c r="BH179" s="2819" t="s">
        <v>2403</v>
      </c>
      <c r="BI179" s="2819" t="s">
        <v>2403</v>
      </c>
      <c r="BJ179" s="2819" t="s">
        <v>2403</v>
      </c>
      <c r="BK179" s="2316" t="s">
        <v>2403</v>
      </c>
      <c r="BL179" s="2819" t="s">
        <v>2403</v>
      </c>
      <c r="BM179" s="2819" t="s">
        <v>2403</v>
      </c>
      <c r="BN179" s="2819" t="s">
        <v>2403</v>
      </c>
      <c r="BO179" s="2819" t="s">
        <v>2403</v>
      </c>
      <c r="BP179" s="2316" t="s">
        <v>2403</v>
      </c>
      <c r="BQ179" s="2819" t="s">
        <v>2403</v>
      </c>
      <c r="BR179" s="2819" t="s">
        <v>2403</v>
      </c>
      <c r="BS179" s="2819" t="s">
        <v>2403</v>
      </c>
      <c r="BT179" s="2819" t="s">
        <v>2403</v>
      </c>
      <c r="BU179" s="2316" t="s">
        <v>2403</v>
      </c>
      <c r="BV179" s="2819" t="s">
        <v>2403</v>
      </c>
      <c r="BW179" s="2819" t="s">
        <v>2403</v>
      </c>
      <c r="BX179" s="2819" t="s">
        <v>2403</v>
      </c>
      <c r="BY179" s="2819" t="s">
        <v>2403</v>
      </c>
      <c r="BZ179" s="2316" t="s">
        <v>2403</v>
      </c>
      <c r="CA179" s="2819" t="s">
        <v>2403</v>
      </c>
      <c r="CB179" s="2819" t="s">
        <v>2403</v>
      </c>
      <c r="CC179" s="2819" t="s">
        <v>2403</v>
      </c>
      <c r="CD179" s="2819" t="s">
        <v>2403</v>
      </c>
      <c r="CE179" s="2316" t="s">
        <v>2403</v>
      </c>
      <c r="CF179" s="2819" t="s">
        <v>2403</v>
      </c>
      <c r="CG179" s="2819" t="s">
        <v>2403</v>
      </c>
      <c r="CH179" s="2819" t="s">
        <v>2403</v>
      </c>
      <c r="CI179" s="2819" t="s">
        <v>2403</v>
      </c>
      <c r="CJ179" s="2316" t="s">
        <v>2403</v>
      </c>
      <c r="CK179" s="2819" t="s">
        <v>2403</v>
      </c>
      <c r="CL179" s="2350" t="s">
        <v>2403</v>
      </c>
      <c r="CM179" s="2819" t="s">
        <v>2403</v>
      </c>
      <c r="CN179" s="2819"/>
      <c r="CO179" s="2316"/>
      <c r="CP179" s="2819"/>
      <c r="CQ179" s="2819"/>
      <c r="CR179" s="2819"/>
      <c r="CS179" s="2819"/>
      <c r="CT179" s="2316"/>
      <c r="CU179" s="2819"/>
      <c r="CV179" s="2819"/>
      <c r="CW179" s="2819"/>
      <c r="CX179" s="2819"/>
      <c r="CY179" s="2316"/>
      <c r="CZ179" s="2316"/>
      <c r="DA179" s="2316"/>
      <c r="DB179" s="537"/>
      <c r="DC179" s="537"/>
      <c r="DD179" s="2288"/>
      <c r="DE179" s="2293"/>
      <c r="DF179" s="2293"/>
      <c r="DG179" s="2293"/>
      <c r="DH179" s="2293"/>
      <c r="DI179" s="2293"/>
      <c r="DJ179" s="2293"/>
      <c r="DK179" s="2293"/>
      <c r="DL179" s="2293"/>
      <c r="DM179" s="2293"/>
      <c r="DN179" s="2293"/>
      <c r="DO179" s="2293"/>
      <c r="DP179" s="2293"/>
      <c r="DQ179" s="2293"/>
      <c r="DR179" s="2293"/>
      <c r="DS179" s="2293"/>
      <c r="DT179" s="2293"/>
      <c r="DU179" s="2293"/>
      <c r="DV179" s="2293"/>
      <c r="DW179" s="2293"/>
      <c r="DX179" s="2293"/>
      <c r="DY179" s="2293"/>
      <c r="DZ179" s="855"/>
      <c r="EK179"/>
      <c r="EL179"/>
    </row>
    <row r="180" spans="1:148" s="923" customFormat="1" ht="12.75" customHeight="1" x14ac:dyDescent="0.2">
      <c r="A180" s="2285" t="s">
        <v>2477</v>
      </c>
      <c r="B180" s="599"/>
      <c r="C180" s="599"/>
      <c r="D180" s="599"/>
      <c r="E180" s="599"/>
      <c r="F180" s="599"/>
      <c r="G180" s="599"/>
      <c r="H180" s="599"/>
      <c r="I180" s="2443">
        <f t="shared" ref="I180:AN180" si="503">SUM(I176:I179)</f>
        <v>590</v>
      </c>
      <c r="J180" s="2443">
        <f t="shared" si="503"/>
        <v>628</v>
      </c>
      <c r="K180" s="2443">
        <f t="shared" si="503"/>
        <v>616</v>
      </c>
      <c r="L180" s="2443">
        <f t="shared" si="503"/>
        <v>599</v>
      </c>
      <c r="M180" s="2343">
        <f t="shared" si="503"/>
        <v>2433</v>
      </c>
      <c r="N180" s="2443">
        <f t="shared" si="503"/>
        <v>783</v>
      </c>
      <c r="O180" s="2443">
        <f t="shared" si="503"/>
        <v>843</v>
      </c>
      <c r="P180" s="2443">
        <f t="shared" si="503"/>
        <v>762</v>
      </c>
      <c r="Q180" s="2443">
        <f t="shared" si="503"/>
        <v>692</v>
      </c>
      <c r="R180" s="2343">
        <f t="shared" si="503"/>
        <v>3238</v>
      </c>
      <c r="S180" s="2443">
        <f t="shared" si="503"/>
        <v>681</v>
      </c>
      <c r="T180" s="2443">
        <f t="shared" si="503"/>
        <v>732</v>
      </c>
      <c r="U180" s="2443">
        <f t="shared" si="503"/>
        <v>712</v>
      </c>
      <c r="V180" s="2443">
        <f t="shared" si="503"/>
        <v>832</v>
      </c>
      <c r="W180" s="2343">
        <f t="shared" si="503"/>
        <v>2957</v>
      </c>
      <c r="X180" s="2443">
        <f t="shared" si="503"/>
        <v>696</v>
      </c>
      <c r="Y180" s="2443">
        <f t="shared" si="503"/>
        <v>737</v>
      </c>
      <c r="Z180" s="2443">
        <f t="shared" si="503"/>
        <v>695</v>
      </c>
      <c r="AA180" s="2443">
        <f t="shared" si="503"/>
        <v>769</v>
      </c>
      <c r="AB180" s="2343">
        <f t="shared" si="503"/>
        <v>2897</v>
      </c>
      <c r="AC180" s="2443">
        <f t="shared" si="503"/>
        <v>739</v>
      </c>
      <c r="AD180" s="2443">
        <f t="shared" si="503"/>
        <v>797</v>
      </c>
      <c r="AE180" s="2443">
        <f t="shared" si="503"/>
        <v>756</v>
      </c>
      <c r="AF180" s="2443">
        <f t="shared" si="503"/>
        <v>856</v>
      </c>
      <c r="AG180" s="2343">
        <f t="shared" si="503"/>
        <v>3148</v>
      </c>
      <c r="AH180" s="2443">
        <f t="shared" si="503"/>
        <v>786</v>
      </c>
      <c r="AI180" s="2443">
        <f t="shared" si="503"/>
        <v>813</v>
      </c>
      <c r="AJ180" s="2443">
        <f t="shared" si="503"/>
        <v>843</v>
      </c>
      <c r="AK180" s="2443">
        <f t="shared" si="503"/>
        <v>970</v>
      </c>
      <c r="AL180" s="2343">
        <f t="shared" si="503"/>
        <v>3412</v>
      </c>
      <c r="AM180" s="2443">
        <f t="shared" si="503"/>
        <v>848</v>
      </c>
      <c r="AN180" s="2443">
        <f t="shared" si="503"/>
        <v>717</v>
      </c>
      <c r="AO180" s="2443">
        <f t="shared" ref="AO180:BT180" si="504">SUM(AO176:AO179)</f>
        <v>644</v>
      </c>
      <c r="AP180" s="2443">
        <f t="shared" si="504"/>
        <v>750</v>
      </c>
      <c r="AQ180" s="2343">
        <f t="shared" si="504"/>
        <v>2959</v>
      </c>
      <c r="AR180" s="2443">
        <f t="shared" si="504"/>
        <v>655</v>
      </c>
      <c r="AS180" s="2443">
        <f t="shared" si="504"/>
        <v>718</v>
      </c>
      <c r="AT180" s="2443">
        <f t="shared" si="504"/>
        <v>683</v>
      </c>
      <c r="AU180" s="2443">
        <f t="shared" si="504"/>
        <v>811</v>
      </c>
      <c r="AV180" s="2343">
        <f t="shared" si="504"/>
        <v>2867</v>
      </c>
      <c r="AW180" s="2443">
        <f t="shared" si="504"/>
        <v>682</v>
      </c>
      <c r="AX180" s="2443">
        <f t="shared" si="504"/>
        <v>727</v>
      </c>
      <c r="AY180" s="2443">
        <f t="shared" si="504"/>
        <v>677</v>
      </c>
      <c r="AZ180" s="2443">
        <f t="shared" si="504"/>
        <v>724</v>
      </c>
      <c r="BA180" s="2343">
        <f t="shared" si="504"/>
        <v>2810</v>
      </c>
      <c r="BB180" s="2443">
        <f t="shared" si="504"/>
        <v>541</v>
      </c>
      <c r="BC180" s="2443">
        <f t="shared" si="504"/>
        <v>546</v>
      </c>
      <c r="BD180" s="2443">
        <f t="shared" si="504"/>
        <v>544</v>
      </c>
      <c r="BE180" s="2443">
        <f t="shared" si="504"/>
        <v>656</v>
      </c>
      <c r="BF180" s="2343">
        <f t="shared" si="504"/>
        <v>2287</v>
      </c>
      <c r="BG180" s="2443">
        <f t="shared" si="504"/>
        <v>546</v>
      </c>
      <c r="BH180" s="2443">
        <f t="shared" si="504"/>
        <v>571</v>
      </c>
      <c r="BI180" s="2443">
        <f t="shared" si="504"/>
        <v>565</v>
      </c>
      <c r="BJ180" s="2443">
        <f t="shared" si="504"/>
        <v>668</v>
      </c>
      <c r="BK180" s="2343">
        <f t="shared" si="504"/>
        <v>2350</v>
      </c>
      <c r="BL180" s="2443">
        <f t="shared" si="504"/>
        <v>565</v>
      </c>
      <c r="BM180" s="2443">
        <f t="shared" si="504"/>
        <v>601</v>
      </c>
      <c r="BN180" s="2443">
        <f t="shared" si="504"/>
        <v>580</v>
      </c>
      <c r="BO180" s="2443">
        <f t="shared" si="504"/>
        <v>646</v>
      </c>
      <c r="BP180" s="2343">
        <f t="shared" si="504"/>
        <v>2392</v>
      </c>
      <c r="BQ180" s="2443">
        <f t="shared" si="504"/>
        <v>544</v>
      </c>
      <c r="BR180" s="2443">
        <f t="shared" si="504"/>
        <v>563</v>
      </c>
      <c r="BS180" s="2443">
        <f t="shared" si="504"/>
        <v>522</v>
      </c>
      <c r="BT180" s="2443">
        <f t="shared" si="504"/>
        <v>586</v>
      </c>
      <c r="BU180" s="2343">
        <f t="shared" ref="BU180:CJ180" si="505">SUM(BU176:BU179)</f>
        <v>2215</v>
      </c>
      <c r="BV180" s="2443">
        <f t="shared" si="505"/>
        <v>499</v>
      </c>
      <c r="BW180" s="2443">
        <f t="shared" si="505"/>
        <v>509</v>
      </c>
      <c r="BX180" s="2443">
        <f t="shared" si="505"/>
        <v>490</v>
      </c>
      <c r="BY180" s="2443">
        <f t="shared" si="505"/>
        <v>523</v>
      </c>
      <c r="BZ180" s="2343">
        <f t="shared" si="505"/>
        <v>2021</v>
      </c>
      <c r="CA180" s="2443">
        <f t="shared" si="505"/>
        <v>486</v>
      </c>
      <c r="CB180" s="2443">
        <f t="shared" si="505"/>
        <v>513</v>
      </c>
      <c r="CC180" s="2443">
        <f t="shared" si="505"/>
        <v>497</v>
      </c>
      <c r="CD180" s="2443">
        <f t="shared" si="505"/>
        <v>490</v>
      </c>
      <c r="CE180" s="2343">
        <f t="shared" si="505"/>
        <v>1986</v>
      </c>
      <c r="CF180" s="3386">
        <v>436</v>
      </c>
      <c r="CG180" s="3386">
        <v>430</v>
      </c>
      <c r="CH180" s="3381">
        <v>397</v>
      </c>
      <c r="CI180" s="3381">
        <v>400</v>
      </c>
      <c r="CJ180" s="2343">
        <f t="shared" si="505"/>
        <v>1663</v>
      </c>
      <c r="CK180" s="3381">
        <v>365</v>
      </c>
      <c r="CL180" s="3381">
        <v>390</v>
      </c>
      <c r="CM180" s="3381">
        <v>383</v>
      </c>
      <c r="CN180" s="3381">
        <v>367</v>
      </c>
      <c r="CO180" s="2343">
        <f>SUM(CK180:CN180)</f>
        <v>1505</v>
      </c>
      <c r="CP180" s="3381">
        <v>358</v>
      </c>
      <c r="CQ180" s="3381">
        <v>355</v>
      </c>
      <c r="CR180" s="3659">
        <v>356</v>
      </c>
      <c r="CS180" s="3659">
        <v>358</v>
      </c>
      <c r="CT180" s="2343">
        <f>SUM(CP180:CS180)</f>
        <v>1427</v>
      </c>
      <c r="CU180" s="2443">
        <f>+CP180*(1+CU181)</f>
        <v>347.26</v>
      </c>
      <c r="CV180" s="2443">
        <f>+CQ180*(1+CV181)</f>
        <v>351.45</v>
      </c>
      <c r="CW180" s="2443">
        <f>+CR180*(1+CW181)</f>
        <v>356</v>
      </c>
      <c r="CX180" s="2443">
        <f>+CS180*(1+CX181)</f>
        <v>350.84</v>
      </c>
      <c r="CY180" s="2343">
        <f>SUM(CU180:CX180)</f>
        <v>1405.55</v>
      </c>
      <c r="CZ180" s="2343">
        <f>+CY180*(1+CZ181)</f>
        <v>1412.5777499999997</v>
      </c>
      <c r="DA180" s="2343">
        <f>+CZ180*(1+DA181)</f>
        <v>1341.9488632184955</v>
      </c>
      <c r="DB180"/>
      <c r="DC180"/>
      <c r="DD180" s="2285"/>
      <c r="DE180" s="2290"/>
      <c r="DF180" s="2290"/>
      <c r="DG180" s="2290"/>
      <c r="DH180" s="2290"/>
      <c r="DI180" s="2290"/>
      <c r="DJ180" s="2290"/>
      <c r="DK180" s="2290"/>
      <c r="DL180" s="2290"/>
      <c r="DM180" s="2290"/>
      <c r="DN180" s="2290"/>
      <c r="DO180" s="2290"/>
      <c r="DP180" s="2290"/>
      <c r="DQ180" s="2290"/>
      <c r="DR180" s="2290"/>
      <c r="DS180" s="2290"/>
      <c r="DT180" s="2290"/>
      <c r="DU180" s="2290"/>
      <c r="DV180" s="2290"/>
      <c r="DW180" s="2290"/>
      <c r="DX180" s="2290"/>
      <c r="DY180" s="2290"/>
      <c r="EA180"/>
      <c r="EB180"/>
      <c r="EC180"/>
      <c r="ED180"/>
      <c r="EE180"/>
      <c r="EF180"/>
      <c r="EJ180"/>
      <c r="EK180"/>
      <c r="EL180"/>
      <c r="EM180" s="1703"/>
      <c r="ER180" s="212"/>
    </row>
    <row r="181" spans="1:148" s="1194" customFormat="1" ht="12.75" customHeight="1" x14ac:dyDescent="0.2">
      <c r="A181" s="3448" t="s">
        <v>1016</v>
      </c>
      <c r="B181" s="885"/>
      <c r="C181" s="885"/>
      <c r="D181" s="885"/>
      <c r="E181" s="885"/>
      <c r="F181" s="885"/>
      <c r="G181" s="885"/>
      <c r="H181" s="885"/>
      <c r="I181" s="885"/>
      <c r="J181" s="885"/>
      <c r="K181" s="885"/>
      <c r="L181" s="885"/>
      <c r="M181" s="1044"/>
      <c r="N181" s="885"/>
      <c r="O181" s="885"/>
      <c r="P181" s="885"/>
      <c r="Q181" s="885"/>
      <c r="R181" s="1044"/>
      <c r="S181" s="885">
        <f t="shared" ref="S181:CD181" si="506">+S180/N180-1</f>
        <v>-0.13026819923371646</v>
      </c>
      <c r="T181" s="885">
        <f t="shared" si="506"/>
        <v>-0.1316725978647687</v>
      </c>
      <c r="U181" s="885">
        <f t="shared" si="506"/>
        <v>-6.5616797900262425E-2</v>
      </c>
      <c r="V181" s="885">
        <f t="shared" si="506"/>
        <v>0.20231213872832376</v>
      </c>
      <c r="W181" s="1044">
        <f t="shared" si="506"/>
        <v>-8.6781964175416948E-2</v>
      </c>
      <c r="X181" s="885">
        <f t="shared" si="506"/>
        <v>2.2026431718061623E-2</v>
      </c>
      <c r="Y181" s="885">
        <f t="shared" si="506"/>
        <v>6.830601092896238E-3</v>
      </c>
      <c r="Z181" s="885">
        <f t="shared" si="506"/>
        <v>-2.3876404494381998E-2</v>
      </c>
      <c r="AA181" s="885">
        <f t="shared" si="506"/>
        <v>-7.5721153846153855E-2</v>
      </c>
      <c r="AB181" s="1044">
        <f t="shared" si="506"/>
        <v>-2.0290835306053467E-2</v>
      </c>
      <c r="AC181" s="885">
        <f t="shared" si="506"/>
        <v>6.178160919540221E-2</v>
      </c>
      <c r="AD181" s="885">
        <f t="shared" si="506"/>
        <v>8.1411126187245664E-2</v>
      </c>
      <c r="AE181" s="885">
        <f t="shared" si="506"/>
        <v>8.7769784172661902E-2</v>
      </c>
      <c r="AF181" s="885">
        <f t="shared" si="506"/>
        <v>0.11313394018205458</v>
      </c>
      <c r="AG181" s="1044">
        <f t="shared" si="506"/>
        <v>8.6641353123921405E-2</v>
      </c>
      <c r="AH181" s="885">
        <f t="shared" si="506"/>
        <v>6.3599458728010871E-2</v>
      </c>
      <c r="AI181" s="885">
        <f t="shared" si="506"/>
        <v>2.0075282308657405E-2</v>
      </c>
      <c r="AJ181" s="885">
        <f t="shared" si="506"/>
        <v>0.11507936507936511</v>
      </c>
      <c r="AK181" s="885">
        <f t="shared" si="506"/>
        <v>0.13317757009345788</v>
      </c>
      <c r="AL181" s="1044">
        <f t="shared" si="506"/>
        <v>8.3862770012706589E-2</v>
      </c>
      <c r="AM181" s="885">
        <f t="shared" si="506"/>
        <v>7.8880407124682028E-2</v>
      </c>
      <c r="AN181" s="885">
        <f t="shared" si="506"/>
        <v>-0.11808118081180807</v>
      </c>
      <c r="AO181" s="885">
        <f t="shared" si="506"/>
        <v>-0.23606168446026099</v>
      </c>
      <c r="AP181" s="885">
        <f t="shared" si="506"/>
        <v>-0.22680412371134018</v>
      </c>
      <c r="AQ181" s="1044">
        <f t="shared" si="506"/>
        <v>-0.13276670574443139</v>
      </c>
      <c r="AR181" s="885">
        <f t="shared" si="506"/>
        <v>-0.22759433962264153</v>
      </c>
      <c r="AS181" s="885">
        <f t="shared" si="506"/>
        <v>1.3947001394700731E-3</v>
      </c>
      <c r="AT181" s="885">
        <f t="shared" si="506"/>
        <v>6.0559006211180044E-2</v>
      </c>
      <c r="AU181" s="885">
        <f t="shared" si="506"/>
        <v>8.1333333333333258E-2</v>
      </c>
      <c r="AV181" s="1044">
        <f t="shared" si="506"/>
        <v>-3.1091584994930699E-2</v>
      </c>
      <c r="AW181" s="885">
        <f t="shared" si="506"/>
        <v>4.1221374045801618E-2</v>
      </c>
      <c r="AX181" s="885">
        <f t="shared" si="506"/>
        <v>1.2534818941504211E-2</v>
      </c>
      <c r="AY181" s="885">
        <f t="shared" si="506"/>
        <v>-8.7847730600292273E-3</v>
      </c>
      <c r="AZ181" s="885">
        <f t="shared" si="506"/>
        <v>-0.10727496917385948</v>
      </c>
      <c r="BA181" s="1044">
        <f t="shared" si="506"/>
        <v>-1.988140913847225E-2</v>
      </c>
      <c r="BB181" s="885">
        <f t="shared" si="506"/>
        <v>-0.20674486803519065</v>
      </c>
      <c r="BC181" s="885">
        <f t="shared" si="506"/>
        <v>-0.2489683631361761</v>
      </c>
      <c r="BD181" s="885">
        <f t="shared" si="506"/>
        <v>-0.19645494830132937</v>
      </c>
      <c r="BE181" s="885">
        <f t="shared" si="506"/>
        <v>-9.392265193370164E-2</v>
      </c>
      <c r="BF181" s="1044">
        <f t="shared" si="506"/>
        <v>-0.18612099644128111</v>
      </c>
      <c r="BG181" s="885">
        <f t="shared" si="506"/>
        <v>9.2421441774490631E-3</v>
      </c>
      <c r="BH181" s="885">
        <f t="shared" si="506"/>
        <v>4.5787545787545847E-2</v>
      </c>
      <c r="BI181" s="885">
        <f t="shared" si="506"/>
        <v>3.8602941176470562E-2</v>
      </c>
      <c r="BJ181" s="885">
        <f t="shared" si="506"/>
        <v>1.8292682926829285E-2</v>
      </c>
      <c r="BK181" s="1044">
        <f t="shared" si="506"/>
        <v>2.7547004809794551E-2</v>
      </c>
      <c r="BL181" s="885">
        <f t="shared" si="506"/>
        <v>3.4798534798534897E-2</v>
      </c>
      <c r="BM181" s="885">
        <f t="shared" si="506"/>
        <v>5.2539404553415103E-2</v>
      </c>
      <c r="BN181" s="885">
        <f t="shared" si="506"/>
        <v>2.6548672566371723E-2</v>
      </c>
      <c r="BO181" s="885">
        <f t="shared" si="506"/>
        <v>-3.2934131736526928E-2</v>
      </c>
      <c r="BP181" s="1044">
        <f t="shared" si="506"/>
        <v>1.7872340425531874E-2</v>
      </c>
      <c r="BQ181" s="885">
        <f t="shared" si="506"/>
        <v>-3.7168141592920367E-2</v>
      </c>
      <c r="BR181" s="885">
        <f t="shared" si="506"/>
        <v>-6.3227953410981752E-2</v>
      </c>
      <c r="BS181" s="885">
        <f t="shared" si="506"/>
        <v>-9.9999999999999978E-2</v>
      </c>
      <c r="BT181" s="885">
        <f t="shared" si="506"/>
        <v>-9.2879256965944235E-2</v>
      </c>
      <c r="BU181" s="1044">
        <f t="shared" si="506"/>
        <v>-7.3996655518394627E-2</v>
      </c>
      <c r="BV181" s="885">
        <f t="shared" si="506"/>
        <v>-8.2720588235294157E-2</v>
      </c>
      <c r="BW181" s="885">
        <f t="shared" si="506"/>
        <v>-9.59147424511545E-2</v>
      </c>
      <c r="BX181" s="885">
        <f t="shared" si="506"/>
        <v>-6.1302681992337127E-2</v>
      </c>
      <c r="BY181" s="885">
        <f t="shared" si="506"/>
        <v>-0.10750853242320824</v>
      </c>
      <c r="BZ181" s="1044">
        <f t="shared" si="506"/>
        <v>-8.7584650112866869E-2</v>
      </c>
      <c r="CA181" s="885">
        <f t="shared" si="506"/>
        <v>-2.605210420841686E-2</v>
      </c>
      <c r="CB181" s="885">
        <f t="shared" si="506"/>
        <v>7.8585461689586467E-3</v>
      </c>
      <c r="CC181" s="885">
        <f t="shared" si="506"/>
        <v>1.4285714285714235E-2</v>
      </c>
      <c r="CD181" s="885">
        <f t="shared" si="506"/>
        <v>-6.3097514340344163E-2</v>
      </c>
      <c r="CE181" s="1044">
        <f t="shared" ref="CE181:CL181" si="507">+CE180/BZ180-1</f>
        <v>-1.7318159327065819E-2</v>
      </c>
      <c r="CF181" s="885">
        <f t="shared" si="507"/>
        <v>-0.10288065843621397</v>
      </c>
      <c r="CG181" s="885">
        <f t="shared" si="507"/>
        <v>-0.16179337231968816</v>
      </c>
      <c r="CH181" s="885">
        <f t="shared" si="507"/>
        <v>-0.20120724346076457</v>
      </c>
      <c r="CI181" s="885">
        <f t="shared" si="507"/>
        <v>-0.18367346938775508</v>
      </c>
      <c r="CJ181" s="1044">
        <f t="shared" si="507"/>
        <v>-0.16263846928499492</v>
      </c>
      <c r="CK181" s="885">
        <f t="shared" si="507"/>
        <v>-0.16284403669724767</v>
      </c>
      <c r="CL181" s="885">
        <f t="shared" si="507"/>
        <v>-9.3023255813953543E-2</v>
      </c>
      <c r="CM181" s="885">
        <f>+CM180/CH180-1</f>
        <v>-3.5264483627204024E-2</v>
      </c>
      <c r="CN181" s="885">
        <f>+CN180/CI180-1</f>
        <v>-8.2500000000000018E-2</v>
      </c>
      <c r="CO181" s="1044">
        <f>CO180/CJ180-1</f>
        <v>-9.5009019843656062E-2</v>
      </c>
      <c r="CP181" s="885">
        <f>+CP180/CK180-1</f>
        <v>-1.9178082191780854E-2</v>
      </c>
      <c r="CQ181" s="885">
        <f>+CQ180/CL180-1</f>
        <v>-8.9743589743589758E-2</v>
      </c>
      <c r="CR181" s="885">
        <f>+CR180/CM180-1</f>
        <v>-7.0496083550913857E-2</v>
      </c>
      <c r="CS181" s="885">
        <f>+CS180/CN180-1</f>
        <v>-2.4523160762942808E-2</v>
      </c>
      <c r="CT181" s="1044">
        <v>-2.5000000000000001E-2</v>
      </c>
      <c r="CU181" s="2884">
        <v>-0.03</v>
      </c>
      <c r="CV181" s="2884">
        <v>-0.01</v>
      </c>
      <c r="CW181" s="2884">
        <v>0</v>
      </c>
      <c r="CX181" s="2884">
        <v>-0.02</v>
      </c>
      <c r="CY181" s="1044">
        <f>CY180/CT180-1</f>
        <v>-1.5031534688156989E-2</v>
      </c>
      <c r="CZ181" s="2908">
        <v>5.0000000000000001E-3</v>
      </c>
      <c r="DA181" s="2908">
        <v>-4.999999949135836E-2</v>
      </c>
      <c r="DB181" s="537"/>
      <c r="DC181" s="537"/>
      <c r="DD181" s="3448" t="s">
        <v>1016</v>
      </c>
      <c r="DE181" s="1044">
        <f t="shared" si="470"/>
        <v>0</v>
      </c>
      <c r="DF181" s="1044">
        <f t="shared" si="471"/>
        <v>0</v>
      </c>
      <c r="DG181" s="1044">
        <f t="shared" si="472"/>
        <v>-8.6781964175416948E-2</v>
      </c>
      <c r="DH181" s="1044">
        <f t="shared" si="473"/>
        <v>-2.0290835306053467E-2</v>
      </c>
      <c r="DI181" s="1044">
        <f t="shared" si="474"/>
        <v>8.6641353123921405E-2</v>
      </c>
      <c r="DJ181" s="1044">
        <f t="shared" si="475"/>
        <v>8.3862770012706589E-2</v>
      </c>
      <c r="DK181" s="1044">
        <f t="shared" si="476"/>
        <v>-0.13276670574443139</v>
      </c>
      <c r="DL181" s="1044">
        <f t="shared" si="477"/>
        <v>-3.1091584994930699E-2</v>
      </c>
      <c r="DM181" s="1044">
        <f t="shared" si="478"/>
        <v>-1.988140913847225E-2</v>
      </c>
      <c r="DN181" s="1044">
        <f t="shared" si="479"/>
        <v>-0.18612099644128111</v>
      </c>
      <c r="DO181" s="1044">
        <f t="shared" si="480"/>
        <v>2.7547004809794551E-2</v>
      </c>
      <c r="DP181" s="1044">
        <f t="shared" si="481"/>
        <v>1.7872340425531874E-2</v>
      </c>
      <c r="DQ181" s="1044">
        <f t="shared" si="482"/>
        <v>-7.3996655518394627E-2</v>
      </c>
      <c r="DR181" s="1044">
        <f t="shared" si="483"/>
        <v>-8.7584650112866869E-2</v>
      </c>
      <c r="DS181" s="1044">
        <f t="shared" si="484"/>
        <v>-1.7318159327065819E-2</v>
      </c>
      <c r="DT181" s="1044">
        <f t="shared" si="485"/>
        <v>-0.16263846928499492</v>
      </c>
      <c r="DU181" s="1044">
        <f t="shared" si="486"/>
        <v>-9.5009019843656062E-2</v>
      </c>
      <c r="DV181" s="1044">
        <f t="shared" si="487"/>
        <v>-2.5000000000000001E-2</v>
      </c>
      <c r="DW181" s="1044">
        <f t="shared" si="488"/>
        <v>-1.5031534688156989E-2</v>
      </c>
      <c r="DX181" s="1044">
        <f t="shared" si="489"/>
        <v>5.0000000000000001E-3</v>
      </c>
      <c r="DY181" s="1044">
        <f t="shared" si="490"/>
        <v>-4.999999949135836E-2</v>
      </c>
      <c r="EA181"/>
      <c r="EB181"/>
      <c r="EC181"/>
      <c r="ED181"/>
      <c r="EE181"/>
      <c r="EF181"/>
      <c r="EJ181"/>
      <c r="EK181"/>
      <c r="EL181"/>
      <c r="ER181" s="732"/>
    </row>
    <row r="182" spans="1:148" s="923" customFormat="1" ht="12.75" customHeight="1" x14ac:dyDescent="0.2">
      <c r="A182" s="504"/>
      <c r="B182" s="215"/>
      <c r="C182" s="215"/>
      <c r="D182" s="215"/>
      <c r="E182" s="215"/>
      <c r="F182" s="215"/>
      <c r="G182" s="215"/>
      <c r="H182" s="215"/>
      <c r="I182" s="215"/>
      <c r="J182" s="215"/>
      <c r="K182" s="215"/>
      <c r="L182" s="215"/>
      <c r="M182" s="968"/>
      <c r="N182" s="215"/>
      <c r="O182" s="215"/>
      <c r="P182" s="215"/>
      <c r="Q182" s="215"/>
      <c r="R182" s="968"/>
      <c r="S182" s="215"/>
      <c r="T182" s="215"/>
      <c r="U182" s="215"/>
      <c r="V182" s="215"/>
      <c r="W182" s="968"/>
      <c r="X182" s="215"/>
      <c r="Y182" s="215"/>
      <c r="Z182" s="215"/>
      <c r="AA182" s="215"/>
      <c r="AB182" s="968"/>
      <c r="AC182" s="215"/>
      <c r="AD182" s="215"/>
      <c r="AE182" s="215"/>
      <c r="AF182" s="215"/>
      <c r="AG182" s="968"/>
      <c r="AH182" s="215"/>
      <c r="AI182" s="215"/>
      <c r="AJ182" s="215"/>
      <c r="AK182" s="215"/>
      <c r="AL182" s="968"/>
      <c r="AM182" s="215"/>
      <c r="AN182" s="215"/>
      <c r="AO182" s="215"/>
      <c r="AP182" s="215"/>
      <c r="AQ182" s="968"/>
      <c r="AR182" s="215"/>
      <c r="AS182" s="215"/>
      <c r="AT182" s="215"/>
      <c r="AU182" s="215"/>
      <c r="AV182" s="968"/>
      <c r="AW182" s="215"/>
      <c r="AX182" s="215"/>
      <c r="AY182" s="215"/>
      <c r="AZ182" s="215"/>
      <c r="BA182" s="968"/>
      <c r="BB182" s="215"/>
      <c r="BC182" s="215"/>
      <c r="BD182" s="215"/>
      <c r="BE182" s="215"/>
      <c r="BF182" s="968"/>
      <c r="BG182" s="215"/>
      <c r="BH182" s="215"/>
      <c r="BI182" s="215"/>
      <c r="BJ182" s="215"/>
      <c r="BK182" s="968"/>
      <c r="BL182" s="215"/>
      <c r="BM182" s="215"/>
      <c r="BN182" s="215"/>
      <c r="BO182" s="215"/>
      <c r="BP182" s="968"/>
      <c r="BQ182" s="215"/>
      <c r="BR182" s="215"/>
      <c r="BS182" s="215"/>
      <c r="BT182" s="215"/>
      <c r="BU182" s="968"/>
      <c r="BV182" s="215"/>
      <c r="BW182" s="215"/>
      <c r="BX182" s="215"/>
      <c r="BY182" s="215"/>
      <c r="BZ182" s="968"/>
      <c r="CA182" s="215"/>
      <c r="CB182" s="215"/>
      <c r="CC182" s="215"/>
      <c r="CD182" s="1788"/>
      <c r="CE182" s="968"/>
      <c r="CF182" s="215"/>
      <c r="CG182" s="215"/>
      <c r="CH182" s="215"/>
      <c r="CI182" s="1788"/>
      <c r="CJ182" s="968"/>
      <c r="CK182" s="847"/>
      <c r="CL182" s="847"/>
      <c r="CM182" s="1466"/>
      <c r="CN182" s="1431"/>
      <c r="CO182" s="661"/>
      <c r="CP182" s="847"/>
      <c r="CQ182" s="847"/>
      <c r="CR182" s="847"/>
      <c r="CS182" s="1431"/>
      <c r="CT182" s="661"/>
      <c r="CU182" s="847"/>
      <c r="CV182" s="847"/>
      <c r="CW182" s="884"/>
      <c r="CX182" s="847"/>
      <c r="CY182" s="968"/>
      <c r="CZ182" s="968"/>
      <c r="DA182" s="968"/>
      <c r="DB182"/>
      <c r="DC182"/>
      <c r="DD182" s="2285"/>
      <c r="DE182" s="2290">
        <f t="shared" si="470"/>
        <v>0</v>
      </c>
      <c r="DF182" s="2290">
        <f t="shared" si="471"/>
        <v>0</v>
      </c>
      <c r="DG182" s="2290">
        <f t="shared" si="472"/>
        <v>0</v>
      </c>
      <c r="DH182" s="2290">
        <f t="shared" si="473"/>
        <v>0</v>
      </c>
      <c r="DI182" s="2290">
        <f t="shared" si="474"/>
        <v>0</v>
      </c>
      <c r="DJ182" s="2290">
        <f t="shared" si="475"/>
        <v>0</v>
      </c>
      <c r="DK182" s="2290">
        <f t="shared" si="476"/>
        <v>0</v>
      </c>
      <c r="DL182" s="2290">
        <f t="shared" si="477"/>
        <v>0</v>
      </c>
      <c r="DM182" s="2290">
        <f t="shared" si="478"/>
        <v>0</v>
      </c>
      <c r="DN182" s="2290">
        <f t="shared" si="479"/>
        <v>0</v>
      </c>
      <c r="DO182" s="2290">
        <f t="shared" si="480"/>
        <v>0</v>
      </c>
      <c r="DP182" s="2290">
        <f t="shared" si="481"/>
        <v>0</v>
      </c>
      <c r="DQ182" s="2290">
        <f t="shared" si="482"/>
        <v>0</v>
      </c>
      <c r="DR182" s="2290">
        <f t="shared" si="483"/>
        <v>0</v>
      </c>
      <c r="DS182" s="2290">
        <f t="shared" si="484"/>
        <v>0</v>
      </c>
      <c r="DT182" s="2290">
        <f t="shared" si="485"/>
        <v>0</v>
      </c>
      <c r="DU182" s="2290">
        <f t="shared" si="486"/>
        <v>0</v>
      </c>
      <c r="DV182" s="2290">
        <f t="shared" si="487"/>
        <v>0</v>
      </c>
      <c r="DW182" s="2290">
        <f t="shared" si="488"/>
        <v>0</v>
      </c>
      <c r="DX182" s="2290">
        <f t="shared" si="489"/>
        <v>0</v>
      </c>
      <c r="DY182" s="2290">
        <f t="shared" si="490"/>
        <v>0</v>
      </c>
      <c r="EA182"/>
      <c r="EB182"/>
      <c r="EC182"/>
      <c r="ED182"/>
      <c r="EE182"/>
      <c r="EF182"/>
      <c r="EJ182"/>
      <c r="EK182"/>
      <c r="EL182"/>
      <c r="ER182" s="212"/>
    </row>
    <row r="183" spans="1:148" s="2764" customFormat="1" ht="12.75" customHeight="1" x14ac:dyDescent="0.2">
      <c r="A183" s="2291" t="s">
        <v>2505</v>
      </c>
      <c r="B183" s="3133"/>
      <c r="C183" s="3133"/>
      <c r="D183" s="3133"/>
      <c r="E183" s="3133"/>
      <c r="F183" s="3133"/>
      <c r="G183" s="3133"/>
      <c r="H183" s="3133"/>
      <c r="I183" s="3133"/>
      <c r="J183" s="3133"/>
      <c r="K183" s="3133"/>
      <c r="L183" s="3133"/>
      <c r="M183" s="1705"/>
      <c r="N183" s="3133">
        <f t="shared" ref="N183:AU183" si="508">+N167-N176</f>
        <v>-16</v>
      </c>
      <c r="O183" s="3133">
        <f t="shared" si="508"/>
        <v>-27</v>
      </c>
      <c r="P183" s="3133">
        <f t="shared" si="508"/>
        <v>-43</v>
      </c>
      <c r="Q183" s="3133">
        <f t="shared" si="508"/>
        <v>-3</v>
      </c>
      <c r="R183" s="1705">
        <f t="shared" si="508"/>
        <v>-70</v>
      </c>
      <c r="S183" s="3133">
        <f t="shared" si="508"/>
        <v>22</v>
      </c>
      <c r="T183" s="3133">
        <f t="shared" si="508"/>
        <v>39</v>
      </c>
      <c r="U183" s="3133">
        <f t="shared" si="508"/>
        <v>27</v>
      </c>
      <c r="V183" s="3133">
        <f t="shared" si="508"/>
        <v>-17</v>
      </c>
      <c r="W183" s="1705">
        <f t="shared" si="508"/>
        <v>71</v>
      </c>
      <c r="X183" s="3133">
        <f t="shared" si="508"/>
        <v>27</v>
      </c>
      <c r="Y183" s="3133">
        <f t="shared" si="508"/>
        <v>26</v>
      </c>
      <c r="Z183" s="3133">
        <f t="shared" si="508"/>
        <v>14</v>
      </c>
      <c r="AA183" s="3133">
        <f t="shared" si="508"/>
        <v>61</v>
      </c>
      <c r="AB183" s="1705">
        <f t="shared" si="508"/>
        <v>128</v>
      </c>
      <c r="AC183" s="3133">
        <f t="shared" si="508"/>
        <v>24</v>
      </c>
      <c r="AD183" s="3133">
        <f t="shared" si="508"/>
        <v>25</v>
      </c>
      <c r="AE183" s="3133">
        <f t="shared" si="508"/>
        <v>14</v>
      </c>
      <c r="AF183" s="3133">
        <f t="shared" si="508"/>
        <v>38</v>
      </c>
      <c r="AG183" s="1705">
        <f t="shared" si="508"/>
        <v>101</v>
      </c>
      <c r="AH183" s="3133">
        <f t="shared" si="508"/>
        <v>22</v>
      </c>
      <c r="AI183" s="3133">
        <f t="shared" si="508"/>
        <v>42</v>
      </c>
      <c r="AJ183" s="3133">
        <f t="shared" si="508"/>
        <v>39</v>
      </c>
      <c r="AK183" s="3133">
        <f t="shared" si="508"/>
        <v>63</v>
      </c>
      <c r="AL183" s="1705">
        <f t="shared" si="508"/>
        <v>166</v>
      </c>
      <c r="AM183" s="3133">
        <f t="shared" si="508"/>
        <v>46</v>
      </c>
      <c r="AN183" s="3133">
        <f t="shared" si="508"/>
        <v>47</v>
      </c>
      <c r="AO183" s="3133">
        <f t="shared" si="508"/>
        <v>38</v>
      </c>
      <c r="AP183" s="3133">
        <f t="shared" si="508"/>
        <v>52</v>
      </c>
      <c r="AQ183" s="1705">
        <f t="shared" si="508"/>
        <v>183</v>
      </c>
      <c r="AR183" s="3133">
        <f t="shared" si="508"/>
        <v>31</v>
      </c>
      <c r="AS183" s="3133">
        <f t="shared" si="508"/>
        <v>55</v>
      </c>
      <c r="AT183" s="3133">
        <f t="shared" si="508"/>
        <v>27</v>
      </c>
      <c r="AU183" s="3133">
        <f t="shared" si="508"/>
        <v>65</v>
      </c>
      <c r="AV183" s="1705">
        <f>SUM(AR183:AU183)</f>
        <v>178</v>
      </c>
      <c r="AW183" s="3133">
        <f t="shared" ref="AW183:BO183" si="509">+AW167-AW176</f>
        <v>26</v>
      </c>
      <c r="AX183" s="3133">
        <f t="shared" si="509"/>
        <v>46</v>
      </c>
      <c r="AY183" s="3133">
        <f t="shared" si="509"/>
        <v>20</v>
      </c>
      <c r="AZ183" s="3133">
        <f t="shared" si="509"/>
        <v>45</v>
      </c>
      <c r="BA183" s="1705">
        <f t="shared" si="509"/>
        <v>137</v>
      </c>
      <c r="BB183" s="3133">
        <f t="shared" si="509"/>
        <v>13</v>
      </c>
      <c r="BC183" s="3133">
        <f t="shared" si="509"/>
        <v>21</v>
      </c>
      <c r="BD183" s="3133">
        <f t="shared" si="509"/>
        <v>12</v>
      </c>
      <c r="BE183" s="3133">
        <f t="shared" si="509"/>
        <v>22</v>
      </c>
      <c r="BF183" s="1705">
        <f t="shared" si="509"/>
        <v>68</v>
      </c>
      <c r="BG183" s="3133">
        <f t="shared" si="509"/>
        <v>12</v>
      </c>
      <c r="BH183" s="3133">
        <f t="shared" si="509"/>
        <v>31</v>
      </c>
      <c r="BI183" s="3133">
        <f t="shared" si="509"/>
        <v>7</v>
      </c>
      <c r="BJ183" s="3133">
        <f t="shared" si="509"/>
        <v>41</v>
      </c>
      <c r="BK183" s="1705">
        <f t="shared" si="509"/>
        <v>91</v>
      </c>
      <c r="BL183" s="3133">
        <f t="shared" si="509"/>
        <v>20</v>
      </c>
      <c r="BM183" s="3133">
        <f t="shared" si="509"/>
        <v>29</v>
      </c>
      <c r="BN183" s="3133">
        <f t="shared" si="509"/>
        <v>35</v>
      </c>
      <c r="BO183" s="3133">
        <f t="shared" si="509"/>
        <v>56</v>
      </c>
      <c r="BP183" s="1705">
        <f>SUM(BL183:BO183)</f>
        <v>140</v>
      </c>
      <c r="BQ183" s="3133">
        <f t="shared" ref="BQ183:CM183" si="510">+BQ167-BQ176</f>
        <v>22</v>
      </c>
      <c r="BR183" s="3133">
        <f t="shared" si="510"/>
        <v>61</v>
      </c>
      <c r="BS183" s="3133">
        <f t="shared" si="510"/>
        <v>26</v>
      </c>
      <c r="BT183" s="3133">
        <f t="shared" si="510"/>
        <v>56</v>
      </c>
      <c r="BU183" s="1705">
        <f t="shared" si="510"/>
        <v>165</v>
      </c>
      <c r="BV183" s="3133">
        <f t="shared" si="510"/>
        <v>45</v>
      </c>
      <c r="BW183" s="3133">
        <f t="shared" si="510"/>
        <v>65</v>
      </c>
      <c r="BX183" s="3133">
        <f t="shared" si="510"/>
        <v>48</v>
      </c>
      <c r="BY183" s="3133">
        <f t="shared" si="510"/>
        <v>63</v>
      </c>
      <c r="BZ183" s="1705">
        <f t="shared" si="510"/>
        <v>221</v>
      </c>
      <c r="CA183" s="3133">
        <f t="shared" si="510"/>
        <v>49</v>
      </c>
      <c r="CB183" s="3133">
        <f t="shared" si="510"/>
        <v>70</v>
      </c>
      <c r="CC183" s="3133">
        <f t="shared" si="510"/>
        <v>55</v>
      </c>
      <c r="CD183" s="3134">
        <f t="shared" si="510"/>
        <v>73</v>
      </c>
      <c r="CE183" s="1705">
        <f t="shared" si="510"/>
        <v>247</v>
      </c>
      <c r="CF183" s="3133">
        <f t="shared" si="510"/>
        <v>63</v>
      </c>
      <c r="CG183" s="3133">
        <f t="shared" si="510"/>
        <v>60</v>
      </c>
      <c r="CH183" s="3133">
        <f t="shared" si="510"/>
        <v>54</v>
      </c>
      <c r="CI183" s="3134">
        <f t="shared" si="510"/>
        <v>76</v>
      </c>
      <c r="CJ183" s="1705">
        <f t="shared" si="510"/>
        <v>253</v>
      </c>
      <c r="CK183" s="3135">
        <f t="shared" si="510"/>
        <v>81</v>
      </c>
      <c r="CL183" s="3135">
        <f t="shared" si="510"/>
        <v>72</v>
      </c>
      <c r="CM183" s="3135">
        <f t="shared" si="510"/>
        <v>73</v>
      </c>
      <c r="CN183" s="3135"/>
      <c r="CO183" s="2292"/>
      <c r="CT183" s="2292"/>
      <c r="CY183" s="2292"/>
      <c r="CZ183" s="2292"/>
      <c r="DA183" s="2292"/>
      <c r="DB183" s="1062"/>
      <c r="DC183" s="1062"/>
      <c r="DD183" s="2291" t="s">
        <v>1343</v>
      </c>
      <c r="DE183" s="2292">
        <f t="shared" si="470"/>
        <v>0</v>
      </c>
      <c r="DF183" s="2292">
        <f t="shared" si="471"/>
        <v>-70</v>
      </c>
      <c r="DG183" s="2292">
        <f t="shared" si="472"/>
        <v>71</v>
      </c>
      <c r="DH183" s="2292">
        <f t="shared" si="473"/>
        <v>128</v>
      </c>
      <c r="DI183" s="2292">
        <f t="shared" si="474"/>
        <v>101</v>
      </c>
      <c r="DJ183" s="2292">
        <f t="shared" si="475"/>
        <v>166</v>
      </c>
      <c r="DK183" s="2292">
        <f t="shared" si="476"/>
        <v>183</v>
      </c>
      <c r="DL183" s="2292">
        <f t="shared" si="477"/>
        <v>178</v>
      </c>
      <c r="DM183" s="2292">
        <f t="shared" si="478"/>
        <v>137</v>
      </c>
      <c r="DN183" s="2292">
        <f t="shared" si="479"/>
        <v>68</v>
      </c>
      <c r="DO183" s="2292">
        <f t="shared" si="480"/>
        <v>91</v>
      </c>
      <c r="DP183" s="2292">
        <f t="shared" si="481"/>
        <v>140</v>
      </c>
      <c r="DQ183" s="2292">
        <f t="shared" si="482"/>
        <v>165</v>
      </c>
      <c r="DR183" s="2292">
        <f t="shared" si="483"/>
        <v>221</v>
      </c>
      <c r="DS183" s="2292">
        <f t="shared" si="484"/>
        <v>247</v>
      </c>
      <c r="DT183" s="2292">
        <f t="shared" si="485"/>
        <v>253</v>
      </c>
      <c r="DU183" s="2292">
        <f>CO188</f>
        <v>635</v>
      </c>
      <c r="DV183" s="2292">
        <f>CT188</f>
        <v>375</v>
      </c>
      <c r="DW183" s="2292">
        <f>CY188</f>
        <v>293.05500000000006</v>
      </c>
      <c r="DX183" s="2292">
        <f>CZ188</f>
        <v>303.2633000000003</v>
      </c>
      <c r="DY183" s="2292">
        <f>DA188</f>
        <v>234.62490278150472</v>
      </c>
      <c r="EA183"/>
      <c r="EB183"/>
      <c r="EC183"/>
      <c r="ED183"/>
      <c r="EE183"/>
      <c r="EF183"/>
      <c r="EJ183"/>
      <c r="EK183"/>
      <c r="EL183"/>
      <c r="ER183" s="2631"/>
    </row>
    <row r="184" spans="1:148" s="2764" customFormat="1" ht="12.75" customHeight="1" x14ac:dyDescent="0.2">
      <c r="A184" s="2291" t="s">
        <v>2506</v>
      </c>
      <c r="B184" s="3133"/>
      <c r="C184" s="3133"/>
      <c r="D184" s="3133"/>
      <c r="E184" s="3133"/>
      <c r="F184" s="3133"/>
      <c r="G184" s="3133"/>
      <c r="H184" s="3133"/>
      <c r="I184" s="3133"/>
      <c r="J184" s="3133"/>
      <c r="K184" s="3133"/>
      <c r="L184" s="3133"/>
      <c r="M184" s="3138"/>
      <c r="N184" s="3137">
        <f t="shared" ref="N184:AU184" si="511">+N168-N177</f>
        <v>269</v>
      </c>
      <c r="O184" s="3137">
        <f t="shared" si="511"/>
        <v>312</v>
      </c>
      <c r="P184" s="3137">
        <f t="shared" si="511"/>
        <v>226</v>
      </c>
      <c r="Q184" s="3137">
        <f t="shared" si="511"/>
        <v>171</v>
      </c>
      <c r="R184" s="3138">
        <f t="shared" si="511"/>
        <v>978</v>
      </c>
      <c r="S184" s="3137">
        <f t="shared" si="511"/>
        <v>188</v>
      </c>
      <c r="T184" s="3137">
        <f t="shared" si="511"/>
        <v>254</v>
      </c>
      <c r="U184" s="3137">
        <f t="shared" si="511"/>
        <v>222</v>
      </c>
      <c r="V184" s="3137">
        <f t="shared" si="511"/>
        <v>199</v>
      </c>
      <c r="W184" s="3138">
        <f t="shared" si="511"/>
        <v>863</v>
      </c>
      <c r="X184" s="3137">
        <f t="shared" si="511"/>
        <v>146</v>
      </c>
      <c r="Y184" s="3137">
        <f t="shared" si="511"/>
        <v>203</v>
      </c>
      <c r="Z184" s="3137">
        <f t="shared" si="511"/>
        <v>158</v>
      </c>
      <c r="AA184" s="3137">
        <f t="shared" si="511"/>
        <v>186</v>
      </c>
      <c r="AB184" s="3138">
        <f t="shared" si="511"/>
        <v>693</v>
      </c>
      <c r="AC184" s="3137">
        <f t="shared" si="511"/>
        <v>162</v>
      </c>
      <c r="AD184" s="3137">
        <f t="shared" si="511"/>
        <v>228</v>
      </c>
      <c r="AE184" s="3137">
        <f t="shared" si="511"/>
        <v>194</v>
      </c>
      <c r="AF184" s="3137">
        <f t="shared" si="511"/>
        <v>223</v>
      </c>
      <c r="AG184" s="3138">
        <f t="shared" si="511"/>
        <v>807</v>
      </c>
      <c r="AH184" s="3137">
        <f t="shared" si="511"/>
        <v>172</v>
      </c>
      <c r="AI184" s="3137">
        <f t="shared" si="511"/>
        <v>264</v>
      </c>
      <c r="AJ184" s="3137">
        <f t="shared" si="511"/>
        <v>225</v>
      </c>
      <c r="AK184" s="3137">
        <f t="shared" si="511"/>
        <v>222</v>
      </c>
      <c r="AL184" s="3138">
        <f t="shared" si="511"/>
        <v>883</v>
      </c>
      <c r="AM184" s="3137">
        <f t="shared" si="511"/>
        <v>182</v>
      </c>
      <c r="AN184" s="3137">
        <f t="shared" si="511"/>
        <v>182</v>
      </c>
      <c r="AO184" s="3137">
        <f t="shared" si="511"/>
        <v>151</v>
      </c>
      <c r="AP184" s="3137">
        <f t="shared" si="511"/>
        <v>154</v>
      </c>
      <c r="AQ184" s="3138">
        <f t="shared" si="511"/>
        <v>669</v>
      </c>
      <c r="AR184" s="3137">
        <f t="shared" si="511"/>
        <v>123</v>
      </c>
      <c r="AS184" s="3137">
        <f t="shared" si="511"/>
        <v>173</v>
      </c>
      <c r="AT184" s="3137">
        <f t="shared" si="511"/>
        <v>157</v>
      </c>
      <c r="AU184" s="3137">
        <f t="shared" si="511"/>
        <v>171</v>
      </c>
      <c r="AV184" s="3138">
        <f>SUM(AR184:AU184)</f>
        <v>624</v>
      </c>
      <c r="AW184" s="3137">
        <f t="shared" ref="AW184:BO184" si="512">+AW168-AW177</f>
        <v>122</v>
      </c>
      <c r="AX184" s="3137">
        <f t="shared" si="512"/>
        <v>166</v>
      </c>
      <c r="AY184" s="3137">
        <f t="shared" si="512"/>
        <v>138</v>
      </c>
      <c r="AZ184" s="3137">
        <f t="shared" si="512"/>
        <v>111</v>
      </c>
      <c r="BA184" s="3138">
        <f t="shared" si="512"/>
        <v>537</v>
      </c>
      <c r="BB184" s="3137">
        <f t="shared" si="512"/>
        <v>52</v>
      </c>
      <c r="BC184" s="3137">
        <f t="shared" si="512"/>
        <v>65</v>
      </c>
      <c r="BD184" s="3137">
        <f t="shared" si="512"/>
        <v>66</v>
      </c>
      <c r="BE184" s="3137">
        <f t="shared" si="512"/>
        <v>87</v>
      </c>
      <c r="BF184" s="3138">
        <f t="shared" si="512"/>
        <v>270</v>
      </c>
      <c r="BG184" s="3137">
        <f t="shared" si="512"/>
        <v>52</v>
      </c>
      <c r="BH184" s="3137">
        <f t="shared" si="512"/>
        <v>90</v>
      </c>
      <c r="BI184" s="3137">
        <f t="shared" si="512"/>
        <v>75</v>
      </c>
      <c r="BJ184" s="3137">
        <f t="shared" si="512"/>
        <v>92</v>
      </c>
      <c r="BK184" s="3138">
        <f t="shared" si="512"/>
        <v>309</v>
      </c>
      <c r="BL184" s="3137">
        <f t="shared" si="512"/>
        <v>49</v>
      </c>
      <c r="BM184" s="3137">
        <f t="shared" si="512"/>
        <v>97</v>
      </c>
      <c r="BN184" s="3137">
        <f t="shared" si="512"/>
        <v>80</v>
      </c>
      <c r="BO184" s="3137">
        <f t="shared" si="512"/>
        <v>93</v>
      </c>
      <c r="BP184" s="3138">
        <f>SUM(BL184:BO184)</f>
        <v>319</v>
      </c>
      <c r="BQ184" s="3137">
        <f t="shared" ref="BQ184:CM184" si="513">+BQ168-BQ177</f>
        <v>53</v>
      </c>
      <c r="BR184" s="3137">
        <f t="shared" si="513"/>
        <v>93</v>
      </c>
      <c r="BS184" s="3137">
        <f t="shared" si="513"/>
        <v>77</v>
      </c>
      <c r="BT184" s="3137">
        <f t="shared" si="513"/>
        <v>84</v>
      </c>
      <c r="BU184" s="3138">
        <f t="shared" si="513"/>
        <v>307</v>
      </c>
      <c r="BV184" s="3137">
        <f t="shared" si="513"/>
        <v>59</v>
      </c>
      <c r="BW184" s="3137">
        <f t="shared" si="513"/>
        <v>91</v>
      </c>
      <c r="BX184" s="3137">
        <f t="shared" si="513"/>
        <v>80</v>
      </c>
      <c r="BY184" s="3137">
        <f t="shared" si="513"/>
        <v>90</v>
      </c>
      <c r="BZ184" s="3138">
        <f t="shared" si="513"/>
        <v>320</v>
      </c>
      <c r="CA184" s="3137">
        <f t="shared" si="513"/>
        <v>63</v>
      </c>
      <c r="CB184" s="3137">
        <f t="shared" si="513"/>
        <v>100</v>
      </c>
      <c r="CC184" s="3137">
        <f t="shared" si="513"/>
        <v>85</v>
      </c>
      <c r="CD184" s="3139">
        <f t="shared" si="513"/>
        <v>82</v>
      </c>
      <c r="CE184" s="3138">
        <f t="shared" si="513"/>
        <v>330</v>
      </c>
      <c r="CF184" s="777">
        <f t="shared" si="513"/>
        <v>54</v>
      </c>
      <c r="CG184" s="777">
        <f t="shared" si="513"/>
        <v>91</v>
      </c>
      <c r="CH184" s="777">
        <f t="shared" si="513"/>
        <v>71</v>
      </c>
      <c r="CI184" s="273">
        <f t="shared" si="513"/>
        <v>72</v>
      </c>
      <c r="CJ184" s="631">
        <f t="shared" si="513"/>
        <v>288</v>
      </c>
      <c r="CK184" s="777">
        <f t="shared" si="513"/>
        <v>48</v>
      </c>
      <c r="CL184" s="777">
        <f t="shared" si="513"/>
        <v>75</v>
      </c>
      <c r="CM184" s="777">
        <f t="shared" si="513"/>
        <v>92</v>
      </c>
      <c r="CN184" s="2710"/>
      <c r="CO184" s="1565"/>
      <c r="CP184" s="3135"/>
      <c r="CQ184" s="3135"/>
      <c r="CR184" s="3135"/>
      <c r="CS184" s="3136"/>
      <c r="CT184" s="3136"/>
      <c r="CU184" s="3135"/>
      <c r="CV184" s="3135"/>
      <c r="CW184" s="3135"/>
      <c r="CX184" s="3135"/>
      <c r="CY184" s="1565"/>
      <c r="CZ184" s="1565"/>
      <c r="DA184" s="1565"/>
      <c r="DB184" s="1062"/>
      <c r="DC184" s="1062"/>
      <c r="DD184" s="2291"/>
      <c r="DE184" s="2292"/>
      <c r="DF184" s="2292"/>
      <c r="DG184" s="2292"/>
      <c r="DH184" s="2292"/>
      <c r="DI184" s="2292"/>
      <c r="DJ184" s="2292"/>
      <c r="DK184" s="2292"/>
      <c r="DL184" s="2292"/>
      <c r="DM184" s="2292"/>
      <c r="DN184" s="2292"/>
      <c r="DO184" s="2292"/>
      <c r="DP184" s="2292"/>
      <c r="DQ184" s="2292"/>
      <c r="DR184" s="2292"/>
      <c r="DS184" s="2292"/>
      <c r="DT184" s="2292"/>
      <c r="DU184" s="2292"/>
      <c r="DV184" s="2292"/>
      <c r="DW184" s="2292"/>
      <c r="DX184" s="2292"/>
      <c r="DY184" s="2292"/>
      <c r="EA184"/>
      <c r="EB184"/>
      <c r="EC184"/>
      <c r="ED184"/>
      <c r="EE184"/>
      <c r="EF184"/>
      <c r="EJ184"/>
      <c r="EK184"/>
      <c r="EL184"/>
      <c r="ER184" s="2631"/>
    </row>
    <row r="185" spans="1:148" s="3289" customFormat="1" ht="12.75" customHeight="1" x14ac:dyDescent="0.2">
      <c r="A185" s="2344" t="s">
        <v>2577</v>
      </c>
      <c r="M185" s="2345"/>
      <c r="R185" s="2345"/>
      <c r="W185" s="2345"/>
      <c r="AB185" s="2345"/>
      <c r="AG185" s="2345"/>
      <c r="AL185" s="2345"/>
      <c r="AQ185" s="2345"/>
      <c r="AV185" s="2345"/>
      <c r="BA185" s="2345"/>
      <c r="BF185" s="2345"/>
      <c r="BK185" s="2345"/>
      <c r="BP185" s="2345"/>
      <c r="BU185" s="2345"/>
      <c r="BZ185" s="2369"/>
      <c r="CE185" s="2369"/>
      <c r="CF185" s="3037">
        <f t="shared" ref="CF185:CL185" si="514">+CF188-CF184-CF183</f>
        <v>9</v>
      </c>
      <c r="CG185" s="3037">
        <f t="shared" si="514"/>
        <v>8</v>
      </c>
      <c r="CH185" s="3037">
        <f t="shared" si="514"/>
        <v>12</v>
      </c>
      <c r="CI185" s="3037">
        <f t="shared" si="514"/>
        <v>18</v>
      </c>
      <c r="CJ185" s="2345">
        <f t="shared" si="514"/>
        <v>47</v>
      </c>
      <c r="CK185" s="3037">
        <f t="shared" si="514"/>
        <v>9</v>
      </c>
      <c r="CL185" s="3037">
        <f t="shared" si="514"/>
        <v>18</v>
      </c>
      <c r="CM185" s="3037"/>
      <c r="CN185" s="3037"/>
      <c r="CO185" s="2345"/>
      <c r="CP185" s="3037"/>
      <c r="CQ185" s="3037"/>
      <c r="CR185" s="3037"/>
      <c r="CS185" s="3037"/>
      <c r="CT185" s="2345"/>
      <c r="CU185" s="3037"/>
      <c r="CV185" s="3037"/>
      <c r="CW185" s="3037"/>
      <c r="CX185" s="3037"/>
      <c r="CY185" s="2345"/>
      <c r="CZ185" s="2345"/>
      <c r="DA185" s="2345"/>
      <c r="DB185" s="3290"/>
      <c r="DC185" s="3290"/>
      <c r="DD185" s="2344"/>
      <c r="DE185" s="2369"/>
      <c r="DF185" s="2369"/>
      <c r="DG185" s="2369"/>
      <c r="DH185" s="2369"/>
      <c r="DI185" s="2369"/>
      <c r="DJ185" s="2369"/>
      <c r="DK185" s="2369"/>
      <c r="DL185" s="2369"/>
      <c r="DM185" s="2369"/>
      <c r="DN185" s="2369"/>
      <c r="DO185" s="2369"/>
      <c r="DP185" s="2369"/>
      <c r="DQ185" s="2369"/>
      <c r="DR185" s="2369"/>
      <c r="DS185" s="2369"/>
      <c r="DT185" s="2369"/>
      <c r="DU185" s="2369"/>
      <c r="DV185" s="2369"/>
      <c r="DW185" s="2369"/>
      <c r="DX185" s="2369"/>
      <c r="DY185" s="2369"/>
      <c r="EA185"/>
      <c r="EB185"/>
      <c r="EC185"/>
      <c r="ED185"/>
      <c r="EE185"/>
      <c r="EF185"/>
      <c r="EJ185"/>
      <c r="EK185"/>
      <c r="EL185"/>
    </row>
    <row r="186" spans="1:148" ht="3.95" customHeight="1" x14ac:dyDescent="0.2">
      <c r="A186" s="2288"/>
      <c r="B186" s="946"/>
      <c r="C186" s="946"/>
      <c r="D186" s="946"/>
      <c r="E186" s="946"/>
      <c r="F186" s="946"/>
      <c r="G186" s="946"/>
      <c r="H186" s="946"/>
      <c r="I186" s="2819" t="s">
        <v>2403</v>
      </c>
      <c r="J186" s="2819" t="s">
        <v>2403</v>
      </c>
      <c r="K186" s="2819" t="s">
        <v>2403</v>
      </c>
      <c r="L186" s="2819" t="s">
        <v>2403</v>
      </c>
      <c r="M186" s="2316" t="s">
        <v>2403</v>
      </c>
      <c r="N186" s="2819" t="s">
        <v>2403</v>
      </c>
      <c r="O186" s="2819" t="s">
        <v>2403</v>
      </c>
      <c r="P186" s="2819" t="s">
        <v>2403</v>
      </c>
      <c r="Q186" s="2819" t="s">
        <v>2403</v>
      </c>
      <c r="R186" s="2316" t="s">
        <v>2403</v>
      </c>
      <c r="S186" s="2819" t="s">
        <v>2403</v>
      </c>
      <c r="T186" s="2819" t="s">
        <v>2403</v>
      </c>
      <c r="U186" s="2819" t="s">
        <v>2403</v>
      </c>
      <c r="V186" s="2819" t="s">
        <v>2403</v>
      </c>
      <c r="W186" s="2316" t="s">
        <v>2403</v>
      </c>
      <c r="X186" s="2819" t="s">
        <v>2403</v>
      </c>
      <c r="Y186" s="2819" t="s">
        <v>2403</v>
      </c>
      <c r="Z186" s="2819" t="s">
        <v>2403</v>
      </c>
      <c r="AA186" s="2819" t="s">
        <v>2403</v>
      </c>
      <c r="AB186" s="2316" t="s">
        <v>2403</v>
      </c>
      <c r="AC186" s="2819" t="s">
        <v>2403</v>
      </c>
      <c r="AD186" s="2819" t="s">
        <v>2403</v>
      </c>
      <c r="AE186" s="2819" t="s">
        <v>2403</v>
      </c>
      <c r="AF186" s="2819" t="s">
        <v>2403</v>
      </c>
      <c r="AG186" s="2316" t="s">
        <v>2403</v>
      </c>
      <c r="AH186" s="2819" t="s">
        <v>2403</v>
      </c>
      <c r="AI186" s="2819" t="s">
        <v>2403</v>
      </c>
      <c r="AJ186" s="2819" t="s">
        <v>2403</v>
      </c>
      <c r="AK186" s="2819" t="s">
        <v>2403</v>
      </c>
      <c r="AL186" s="2316" t="s">
        <v>2403</v>
      </c>
      <c r="AM186" s="2819" t="s">
        <v>2403</v>
      </c>
      <c r="AN186" s="2819" t="s">
        <v>2403</v>
      </c>
      <c r="AO186" s="2819" t="s">
        <v>2403</v>
      </c>
      <c r="AP186" s="2819" t="s">
        <v>2403</v>
      </c>
      <c r="AQ186" s="2316" t="s">
        <v>2403</v>
      </c>
      <c r="AR186" s="2819" t="s">
        <v>2403</v>
      </c>
      <c r="AS186" s="2819" t="s">
        <v>2403</v>
      </c>
      <c r="AT186" s="2819" t="s">
        <v>2403</v>
      </c>
      <c r="AU186" s="2819" t="s">
        <v>2403</v>
      </c>
      <c r="AV186" s="2316" t="s">
        <v>2403</v>
      </c>
      <c r="AW186" s="2819" t="s">
        <v>2403</v>
      </c>
      <c r="AX186" s="2819" t="s">
        <v>2403</v>
      </c>
      <c r="AY186" s="2819" t="s">
        <v>2403</v>
      </c>
      <c r="AZ186" s="2819" t="s">
        <v>2403</v>
      </c>
      <c r="BA186" s="2316" t="s">
        <v>2403</v>
      </c>
      <c r="BB186" s="2819" t="s">
        <v>2403</v>
      </c>
      <c r="BC186" s="2819" t="s">
        <v>2403</v>
      </c>
      <c r="BD186" s="2819" t="s">
        <v>2403</v>
      </c>
      <c r="BE186" s="2819" t="s">
        <v>2403</v>
      </c>
      <c r="BF186" s="2316" t="s">
        <v>2403</v>
      </c>
      <c r="BG186" s="2819" t="s">
        <v>2403</v>
      </c>
      <c r="BH186" s="2819" t="s">
        <v>2403</v>
      </c>
      <c r="BI186" s="2819" t="s">
        <v>2403</v>
      </c>
      <c r="BJ186" s="2819" t="s">
        <v>2403</v>
      </c>
      <c r="BK186" s="2316" t="s">
        <v>2403</v>
      </c>
      <c r="BL186" s="2819" t="s">
        <v>2403</v>
      </c>
      <c r="BM186" s="2819" t="s">
        <v>2403</v>
      </c>
      <c r="BN186" s="2819" t="s">
        <v>2403</v>
      </c>
      <c r="BO186" s="2819" t="s">
        <v>2403</v>
      </c>
      <c r="BP186" s="2316" t="s">
        <v>2403</v>
      </c>
      <c r="BQ186" s="2819" t="s">
        <v>2403</v>
      </c>
      <c r="BR186" s="2819" t="s">
        <v>2403</v>
      </c>
      <c r="BS186" s="2819" t="s">
        <v>2403</v>
      </c>
      <c r="BT186" s="2819" t="s">
        <v>2403</v>
      </c>
      <c r="BU186" s="2316" t="s">
        <v>2403</v>
      </c>
      <c r="BV186" s="2819" t="s">
        <v>2403</v>
      </c>
      <c r="BW186" s="2819" t="s">
        <v>2403</v>
      </c>
      <c r="BX186" s="2819" t="s">
        <v>2403</v>
      </c>
      <c r="BY186" s="2819" t="s">
        <v>2403</v>
      </c>
      <c r="BZ186" s="2316" t="s">
        <v>2403</v>
      </c>
      <c r="CA186" s="2819" t="s">
        <v>2403</v>
      </c>
      <c r="CB186" s="2819" t="s">
        <v>2403</v>
      </c>
      <c r="CC186" s="2819" t="s">
        <v>2403</v>
      </c>
      <c r="CD186" s="2819" t="s">
        <v>2403</v>
      </c>
      <c r="CE186" s="2316" t="s">
        <v>2403</v>
      </c>
      <c r="CF186" s="2819" t="s">
        <v>2403</v>
      </c>
      <c r="CG186" s="2819" t="s">
        <v>2403</v>
      </c>
      <c r="CH186" s="2819" t="s">
        <v>2403</v>
      </c>
      <c r="CI186" s="2819" t="s">
        <v>2403</v>
      </c>
      <c r="CJ186" s="2316" t="s">
        <v>2403</v>
      </c>
      <c r="CK186" s="2819" t="s">
        <v>2403</v>
      </c>
      <c r="CL186" s="2350" t="s">
        <v>2403</v>
      </c>
      <c r="CM186" s="2819" t="s">
        <v>2403</v>
      </c>
      <c r="CN186" s="2819"/>
      <c r="CO186" s="2316"/>
      <c r="CP186" s="2819"/>
      <c r="CQ186" s="2819"/>
      <c r="CR186" s="2819"/>
      <c r="CS186" s="2819"/>
      <c r="CT186" s="2316"/>
      <c r="CU186" s="2819"/>
      <c r="CV186" s="2819"/>
      <c r="CW186" s="2819"/>
      <c r="CX186" s="2819"/>
      <c r="CY186" s="2316"/>
      <c r="CZ186" s="2316"/>
      <c r="DA186" s="2316"/>
      <c r="DB186" s="537"/>
      <c r="DC186" s="537"/>
      <c r="DD186" s="2288"/>
      <c r="DE186" s="2293"/>
      <c r="DF186" s="2293"/>
      <c r="DG186" s="2293"/>
      <c r="DH186" s="2293"/>
      <c r="DI186" s="2293"/>
      <c r="DJ186" s="2293"/>
      <c r="DK186" s="2293"/>
      <c r="DL186" s="2293"/>
      <c r="DM186" s="2293"/>
      <c r="DN186" s="2293"/>
      <c r="DO186" s="2293"/>
      <c r="DP186" s="2293"/>
      <c r="DQ186" s="2293"/>
      <c r="DR186" s="2293"/>
      <c r="DS186" s="2293"/>
      <c r="DT186" s="2293"/>
      <c r="DU186" s="2293"/>
      <c r="DV186" s="2293"/>
      <c r="DW186" s="2293"/>
      <c r="DX186" s="2293"/>
      <c r="DY186" s="2293"/>
      <c r="DZ186" s="855"/>
      <c r="EK186"/>
      <c r="EL186"/>
    </row>
    <row r="187" spans="1:148" ht="12.75" customHeight="1" x14ac:dyDescent="0.2">
      <c r="A187" s="3824" t="s">
        <v>2951</v>
      </c>
      <c r="B187" s="946"/>
      <c r="C187" s="946"/>
      <c r="D187" s="946"/>
      <c r="E187" s="946"/>
      <c r="F187" s="946"/>
      <c r="G187" s="946"/>
      <c r="H187" s="946"/>
      <c r="I187" s="2819"/>
      <c r="J187" s="2819"/>
      <c r="K187" s="2819"/>
      <c r="L187" s="2819"/>
      <c r="M187" s="2316"/>
      <c r="N187" s="2819"/>
      <c r="O187" s="2819"/>
      <c r="P187" s="2819"/>
      <c r="Q187" s="2819"/>
      <c r="R187" s="2316"/>
      <c r="S187" s="2819"/>
      <c r="T187" s="2819"/>
      <c r="U187" s="2819"/>
      <c r="V187" s="2819"/>
      <c r="W187" s="2316"/>
      <c r="X187" s="2819"/>
      <c r="Y187" s="2819"/>
      <c r="Z187" s="2819"/>
      <c r="AA187" s="2819"/>
      <c r="AB187" s="2316"/>
      <c r="AC187" s="2819"/>
      <c r="AD187" s="2819"/>
      <c r="AE187" s="2819"/>
      <c r="AF187" s="2819"/>
      <c r="AG187" s="2316"/>
      <c r="AH187" s="2819"/>
      <c r="AI187" s="2819"/>
      <c r="AJ187" s="2819"/>
      <c r="AK187" s="2819"/>
      <c r="AL187" s="2316"/>
      <c r="AM187" s="2819"/>
      <c r="AN187" s="2819"/>
      <c r="AO187" s="2819"/>
      <c r="AP187" s="2819"/>
      <c r="AQ187" s="2316"/>
      <c r="AR187" s="2819"/>
      <c r="AS187" s="2819"/>
      <c r="AT187" s="2819"/>
      <c r="AU187" s="2819"/>
      <c r="AV187" s="2316"/>
      <c r="AW187" s="2819"/>
      <c r="AX187" s="2819"/>
      <c r="AY187" s="2819"/>
      <c r="AZ187" s="2819"/>
      <c r="BA187" s="2316"/>
      <c r="BB187" s="2819"/>
      <c r="BC187" s="2819"/>
      <c r="BD187" s="2819"/>
      <c r="BE187" s="2819"/>
      <c r="BF187" s="2316"/>
      <c r="BG187" s="2819"/>
      <c r="BH187" s="2819"/>
      <c r="BI187" s="2819"/>
      <c r="BJ187" s="2819"/>
      <c r="BK187" s="2316"/>
      <c r="BL187" s="2819"/>
      <c r="BM187" s="2819"/>
      <c r="BN187" s="2819"/>
      <c r="BO187" s="2819"/>
      <c r="BP187" s="2316"/>
      <c r="BQ187" s="2819"/>
      <c r="BR187" s="2819"/>
      <c r="BS187" s="2819"/>
      <c r="BT187" s="2819"/>
      <c r="BU187" s="2316"/>
      <c r="BV187" s="2819"/>
      <c r="BW187" s="2819"/>
      <c r="BX187" s="2819"/>
      <c r="BY187" s="2819"/>
      <c r="BZ187" s="2316"/>
      <c r="CA187" s="2819"/>
      <c r="CB187" s="2819"/>
      <c r="CC187" s="2819"/>
      <c r="CD187" s="2819"/>
      <c r="CE187" s="2316"/>
      <c r="CF187" s="2819"/>
      <c r="CG187" s="2819"/>
      <c r="CH187" s="2819"/>
      <c r="CI187" s="2819"/>
      <c r="CJ187" s="2316"/>
      <c r="CK187" s="2819"/>
      <c r="CL187" s="2350"/>
      <c r="CM187" s="2819"/>
      <c r="CN187" s="2819"/>
      <c r="CO187" s="2316"/>
      <c r="CP187" s="2819"/>
      <c r="CQ187" s="2819"/>
      <c r="CR187" s="2819"/>
      <c r="CS187" s="2819"/>
      <c r="CT187" s="2316"/>
      <c r="CU187" s="2819">
        <f>+$CY$187/4</f>
        <v>-6.25</v>
      </c>
      <c r="CV187" s="2819">
        <f>+$CY$187/4</f>
        <v>-6.25</v>
      </c>
      <c r="CW187" s="2819">
        <f>+$CY$187/4</f>
        <v>-6.25</v>
      </c>
      <c r="CX187" s="2819">
        <f>+$CY$187/4</f>
        <v>-6.25</v>
      </c>
      <c r="CY187" s="3826">
        <v>-25</v>
      </c>
      <c r="CZ187" s="3825">
        <f>+CY187</f>
        <v>-25</v>
      </c>
      <c r="DA187" s="3825">
        <f>+CZ187</f>
        <v>-25</v>
      </c>
      <c r="DB187" s="537"/>
      <c r="DC187" s="537"/>
      <c r="DD187" s="3823"/>
      <c r="DE187" s="2293"/>
      <c r="DF187" s="2293"/>
      <c r="DG187" s="2293"/>
      <c r="DH187" s="2293"/>
      <c r="DI187" s="2293"/>
      <c r="DJ187" s="2293"/>
      <c r="DK187" s="2293"/>
      <c r="DL187" s="2293"/>
      <c r="DM187" s="2293"/>
      <c r="DN187" s="2293"/>
      <c r="DO187" s="2293"/>
      <c r="DP187" s="2293"/>
      <c r="DQ187" s="2293"/>
      <c r="DR187" s="2293"/>
      <c r="DS187" s="2293"/>
      <c r="DT187" s="2293"/>
      <c r="DU187" s="2293"/>
      <c r="DV187" s="2293"/>
      <c r="DW187" s="2293"/>
      <c r="DX187" s="2293"/>
      <c r="DY187" s="2293"/>
      <c r="DZ187" s="855"/>
      <c r="EJ187" s="3812"/>
      <c r="EK187" s="3812"/>
      <c r="EL187" s="3812"/>
    </row>
    <row r="188" spans="1:148" s="1466" customFormat="1" ht="12.75" customHeight="1" x14ac:dyDescent="0.2">
      <c r="A188" s="2206" t="s">
        <v>2507</v>
      </c>
      <c r="B188" s="3447"/>
      <c r="C188" s="3447"/>
      <c r="D188" s="3447"/>
      <c r="E188" s="3447"/>
      <c r="F188" s="3447"/>
      <c r="G188" s="3447"/>
      <c r="H188" s="3447"/>
      <c r="I188" s="3447"/>
      <c r="J188" s="3447"/>
      <c r="K188" s="3447"/>
      <c r="L188" s="3447"/>
      <c r="M188" s="1570"/>
      <c r="N188" s="3447">
        <f>+N184+N183</f>
        <v>253</v>
      </c>
      <c r="O188" s="3447">
        <f t="shared" ref="O188:BZ188" si="515">+O184+O183</f>
        <v>285</v>
      </c>
      <c r="P188" s="3447">
        <f t="shared" si="515"/>
        <v>183</v>
      </c>
      <c r="Q188" s="3447">
        <f t="shared" si="515"/>
        <v>168</v>
      </c>
      <c r="R188" s="1570">
        <f t="shared" si="515"/>
        <v>908</v>
      </c>
      <c r="S188" s="3447">
        <f t="shared" si="515"/>
        <v>210</v>
      </c>
      <c r="T188" s="3447">
        <f t="shared" si="515"/>
        <v>293</v>
      </c>
      <c r="U188" s="3447">
        <f t="shared" si="515"/>
        <v>249</v>
      </c>
      <c r="V188" s="3447">
        <f t="shared" si="515"/>
        <v>182</v>
      </c>
      <c r="W188" s="1570">
        <f t="shared" si="515"/>
        <v>934</v>
      </c>
      <c r="X188" s="3447">
        <f t="shared" si="515"/>
        <v>173</v>
      </c>
      <c r="Y188" s="3447">
        <f t="shared" si="515"/>
        <v>229</v>
      </c>
      <c r="Z188" s="3447">
        <f t="shared" si="515"/>
        <v>172</v>
      </c>
      <c r="AA188" s="3447">
        <f t="shared" si="515"/>
        <v>247</v>
      </c>
      <c r="AB188" s="1570">
        <f t="shared" si="515"/>
        <v>821</v>
      </c>
      <c r="AC188" s="3447">
        <f t="shared" si="515"/>
        <v>186</v>
      </c>
      <c r="AD188" s="3447">
        <f t="shared" si="515"/>
        <v>253</v>
      </c>
      <c r="AE188" s="3447">
        <f t="shared" si="515"/>
        <v>208</v>
      </c>
      <c r="AF188" s="3447">
        <f t="shared" si="515"/>
        <v>261</v>
      </c>
      <c r="AG188" s="1570">
        <f t="shared" si="515"/>
        <v>908</v>
      </c>
      <c r="AH188" s="3447">
        <f t="shared" si="515"/>
        <v>194</v>
      </c>
      <c r="AI188" s="3447">
        <f t="shared" si="515"/>
        <v>306</v>
      </c>
      <c r="AJ188" s="3447">
        <f t="shared" si="515"/>
        <v>264</v>
      </c>
      <c r="AK188" s="3447">
        <f t="shared" si="515"/>
        <v>285</v>
      </c>
      <c r="AL188" s="1570">
        <f t="shared" si="515"/>
        <v>1049</v>
      </c>
      <c r="AM188" s="3447">
        <f t="shared" si="515"/>
        <v>228</v>
      </c>
      <c r="AN188" s="3447">
        <f t="shared" si="515"/>
        <v>229</v>
      </c>
      <c r="AO188" s="3447">
        <f t="shared" si="515"/>
        <v>189</v>
      </c>
      <c r="AP188" s="3447">
        <f t="shared" si="515"/>
        <v>206</v>
      </c>
      <c r="AQ188" s="1570">
        <f t="shared" si="515"/>
        <v>852</v>
      </c>
      <c r="AR188" s="3447">
        <f t="shared" si="515"/>
        <v>154</v>
      </c>
      <c r="AS188" s="3447">
        <f t="shared" si="515"/>
        <v>228</v>
      </c>
      <c r="AT188" s="3447">
        <f t="shared" si="515"/>
        <v>184</v>
      </c>
      <c r="AU188" s="3447">
        <f t="shared" si="515"/>
        <v>236</v>
      </c>
      <c r="AV188" s="1570">
        <f t="shared" si="515"/>
        <v>802</v>
      </c>
      <c r="AW188" s="3447">
        <f t="shared" si="515"/>
        <v>148</v>
      </c>
      <c r="AX188" s="3447">
        <f t="shared" si="515"/>
        <v>212</v>
      </c>
      <c r="AY188" s="3447">
        <f t="shared" si="515"/>
        <v>158</v>
      </c>
      <c r="AZ188" s="3447">
        <f t="shared" si="515"/>
        <v>156</v>
      </c>
      <c r="BA188" s="1570">
        <f t="shared" si="515"/>
        <v>674</v>
      </c>
      <c r="BB188" s="3447">
        <f t="shared" si="515"/>
        <v>65</v>
      </c>
      <c r="BC188" s="3447">
        <f t="shared" si="515"/>
        <v>86</v>
      </c>
      <c r="BD188" s="3447">
        <f t="shared" si="515"/>
        <v>78</v>
      </c>
      <c r="BE188" s="3447">
        <f t="shared" si="515"/>
        <v>109</v>
      </c>
      <c r="BF188" s="1570">
        <f t="shared" si="515"/>
        <v>338</v>
      </c>
      <c r="BG188" s="3447">
        <f t="shared" si="515"/>
        <v>64</v>
      </c>
      <c r="BH188" s="3447">
        <f t="shared" si="515"/>
        <v>121</v>
      </c>
      <c r="BI188" s="3447">
        <f t="shared" si="515"/>
        <v>82</v>
      </c>
      <c r="BJ188" s="3447">
        <f t="shared" si="515"/>
        <v>133</v>
      </c>
      <c r="BK188" s="1570">
        <f t="shared" si="515"/>
        <v>400</v>
      </c>
      <c r="BL188" s="3447">
        <f t="shared" si="515"/>
        <v>69</v>
      </c>
      <c r="BM188" s="3447">
        <f t="shared" si="515"/>
        <v>126</v>
      </c>
      <c r="BN188" s="3447">
        <f t="shared" si="515"/>
        <v>115</v>
      </c>
      <c r="BO188" s="3447">
        <f t="shared" si="515"/>
        <v>149</v>
      </c>
      <c r="BP188" s="1570">
        <f t="shared" si="515"/>
        <v>459</v>
      </c>
      <c r="BQ188" s="3447">
        <f t="shared" si="515"/>
        <v>75</v>
      </c>
      <c r="BR188" s="3447">
        <f t="shared" si="515"/>
        <v>154</v>
      </c>
      <c r="BS188" s="3447">
        <f t="shared" si="515"/>
        <v>103</v>
      </c>
      <c r="BT188" s="3447">
        <f t="shared" si="515"/>
        <v>140</v>
      </c>
      <c r="BU188" s="1570">
        <f t="shared" si="515"/>
        <v>472</v>
      </c>
      <c r="BV188" s="3447">
        <f t="shared" si="515"/>
        <v>104</v>
      </c>
      <c r="BW188" s="3447">
        <f t="shared" si="515"/>
        <v>156</v>
      </c>
      <c r="BX188" s="3447">
        <f t="shared" si="515"/>
        <v>128</v>
      </c>
      <c r="BY188" s="3447">
        <f t="shared" si="515"/>
        <v>153</v>
      </c>
      <c r="BZ188" s="1570">
        <f t="shared" si="515"/>
        <v>541</v>
      </c>
      <c r="CA188" s="3447">
        <f>+CA184+CA183</f>
        <v>112</v>
      </c>
      <c r="CB188" s="3447">
        <f>+CB184+CB183</f>
        <v>170</v>
      </c>
      <c r="CC188" s="3447">
        <f>+CC184+CC183</f>
        <v>140</v>
      </c>
      <c r="CD188" s="3447">
        <f>+CD184+CD183</f>
        <v>155</v>
      </c>
      <c r="CE188" s="1570">
        <f>+CE184+CE183</f>
        <v>577</v>
      </c>
      <c r="CF188" s="3291">
        <v>126</v>
      </c>
      <c r="CG188" s="3291">
        <v>159</v>
      </c>
      <c r="CH188" s="3291">
        <v>137</v>
      </c>
      <c r="CI188" s="3291">
        <v>166</v>
      </c>
      <c r="CJ188" s="1570">
        <f>+SUM(CF188:CI188)</f>
        <v>588</v>
      </c>
      <c r="CK188" s="3291">
        <v>138</v>
      </c>
      <c r="CL188" s="3291">
        <v>165</v>
      </c>
      <c r="CM188" s="3291">
        <v>166</v>
      </c>
      <c r="CN188" s="3291">
        <v>169</v>
      </c>
      <c r="CO188" s="1565">
        <f t="shared" ref="CO188:CT188" si="516">+CO171-CO180</f>
        <v>635</v>
      </c>
      <c r="CP188" s="3291">
        <v>81</v>
      </c>
      <c r="CQ188" s="3291">
        <v>103</v>
      </c>
      <c r="CR188" s="3666">
        <v>94</v>
      </c>
      <c r="CS188" s="3666">
        <v>95</v>
      </c>
      <c r="CT188" s="1565">
        <f t="shared" si="516"/>
        <v>375</v>
      </c>
      <c r="CU188" s="3135">
        <f>+CU171-CU180+CU187</f>
        <v>52.565000000000055</v>
      </c>
      <c r="CV188" s="3135">
        <f>+CV171-CV180+CV187</f>
        <v>81.980000000000018</v>
      </c>
      <c r="CW188" s="3135">
        <f t="shared" ref="CW188:DA188" si="517">+CW171-CW180+CW187</f>
        <v>76.19</v>
      </c>
      <c r="CX188" s="3135">
        <f t="shared" si="517"/>
        <v>82.32</v>
      </c>
      <c r="CY188" s="1565">
        <f t="shared" si="517"/>
        <v>293.05500000000006</v>
      </c>
      <c r="CZ188" s="1565">
        <f t="shared" si="517"/>
        <v>303.2633000000003</v>
      </c>
      <c r="DA188" s="1565">
        <f t="shared" si="517"/>
        <v>234.62490278150472</v>
      </c>
      <c r="DB188" s="537"/>
      <c r="DC188" s="537"/>
      <c r="DD188" s="2206"/>
      <c r="DE188" s="1496"/>
      <c r="DF188" s="1496"/>
      <c r="DG188" s="1496"/>
      <c r="DH188" s="1496"/>
      <c r="DI188" s="1496"/>
      <c r="DJ188" s="1496"/>
      <c r="DK188" s="1496"/>
      <c r="DL188" s="1496"/>
      <c r="DM188" s="1496"/>
      <c r="DN188" s="1496"/>
      <c r="DO188" s="1496"/>
      <c r="DP188" s="1496"/>
      <c r="DQ188" s="1496"/>
      <c r="DR188" s="1496"/>
      <c r="DS188" s="1496"/>
      <c r="DT188" s="1496"/>
      <c r="DU188" s="1496"/>
      <c r="DV188" s="1496"/>
      <c r="DW188" s="1496"/>
      <c r="DX188" s="1496"/>
      <c r="DY188" s="1496"/>
      <c r="EA188"/>
      <c r="EB188"/>
      <c r="EC188"/>
      <c r="ED188"/>
      <c r="EE188"/>
      <c r="EF188"/>
      <c r="EJ188"/>
      <c r="EK188"/>
      <c r="EL188"/>
      <c r="EM188" s="1703"/>
      <c r="ER188" s="234"/>
    </row>
    <row r="189" spans="1:148" s="1194" customFormat="1" ht="12.75" customHeight="1" x14ac:dyDescent="0.2">
      <c r="A189" s="3448" t="s">
        <v>1016</v>
      </c>
      <c r="B189" s="885"/>
      <c r="C189" s="885"/>
      <c r="D189" s="885"/>
      <c r="E189" s="885"/>
      <c r="F189" s="885"/>
      <c r="G189" s="885"/>
      <c r="H189" s="885"/>
      <c r="I189" s="885"/>
      <c r="J189" s="885"/>
      <c r="K189" s="885"/>
      <c r="L189" s="885"/>
      <c r="M189" s="1044"/>
      <c r="N189" s="885"/>
      <c r="O189" s="885"/>
      <c r="P189" s="885"/>
      <c r="Q189" s="885"/>
      <c r="R189" s="1044"/>
      <c r="S189" s="885">
        <f t="shared" ref="S189:AX189" si="518">S188/N188-1</f>
        <v>-0.16996047430830041</v>
      </c>
      <c r="T189" s="885">
        <f t="shared" si="518"/>
        <v>2.8070175438596578E-2</v>
      </c>
      <c r="U189" s="885">
        <f t="shared" si="518"/>
        <v>0.36065573770491799</v>
      </c>
      <c r="V189" s="885">
        <f t="shared" si="518"/>
        <v>8.3333333333333259E-2</v>
      </c>
      <c r="W189" s="1044">
        <f t="shared" si="518"/>
        <v>2.8634361233480066E-2</v>
      </c>
      <c r="X189" s="885">
        <f t="shared" si="518"/>
        <v>-0.17619047619047623</v>
      </c>
      <c r="Y189" s="885">
        <f t="shared" si="518"/>
        <v>-0.21843003412969286</v>
      </c>
      <c r="Z189" s="885">
        <f t="shared" si="518"/>
        <v>-0.30923694779116462</v>
      </c>
      <c r="AA189" s="885">
        <f t="shared" si="518"/>
        <v>0.35714285714285721</v>
      </c>
      <c r="AB189" s="1044">
        <f t="shared" si="518"/>
        <v>-0.12098501070663814</v>
      </c>
      <c r="AC189" s="885">
        <f t="shared" si="518"/>
        <v>7.5144508670520249E-2</v>
      </c>
      <c r="AD189" s="885">
        <f t="shared" si="518"/>
        <v>0.10480349344978168</v>
      </c>
      <c r="AE189" s="885">
        <f t="shared" si="518"/>
        <v>0.20930232558139528</v>
      </c>
      <c r="AF189" s="885">
        <f t="shared" si="518"/>
        <v>5.6680161943319929E-2</v>
      </c>
      <c r="AG189" s="1044">
        <f t="shared" si="518"/>
        <v>0.10596833130328864</v>
      </c>
      <c r="AH189" s="885">
        <f t="shared" si="518"/>
        <v>4.3010752688172005E-2</v>
      </c>
      <c r="AI189" s="885">
        <f t="shared" si="518"/>
        <v>0.20948616600790504</v>
      </c>
      <c r="AJ189" s="885">
        <f t="shared" si="518"/>
        <v>0.26923076923076916</v>
      </c>
      <c r="AK189" s="885">
        <f t="shared" si="518"/>
        <v>9.1954022988505857E-2</v>
      </c>
      <c r="AL189" s="1044">
        <f t="shared" si="518"/>
        <v>0.15528634361233484</v>
      </c>
      <c r="AM189" s="885">
        <f t="shared" si="518"/>
        <v>0.17525773195876293</v>
      </c>
      <c r="AN189" s="885">
        <f t="shared" si="518"/>
        <v>-0.25163398692810457</v>
      </c>
      <c r="AO189" s="885">
        <f t="shared" si="518"/>
        <v>-0.28409090909090906</v>
      </c>
      <c r="AP189" s="885">
        <f t="shared" si="518"/>
        <v>-0.27719298245614032</v>
      </c>
      <c r="AQ189" s="1044">
        <f t="shared" si="518"/>
        <v>-0.18779790276453767</v>
      </c>
      <c r="AR189" s="885">
        <f t="shared" si="518"/>
        <v>-0.32456140350877194</v>
      </c>
      <c r="AS189" s="885">
        <f t="shared" si="518"/>
        <v>-4.366812227074246E-3</v>
      </c>
      <c r="AT189" s="885">
        <f t="shared" si="518"/>
        <v>-2.6455026455026509E-2</v>
      </c>
      <c r="AU189" s="885">
        <f t="shared" si="518"/>
        <v>0.14563106796116498</v>
      </c>
      <c r="AV189" s="1044">
        <f t="shared" si="518"/>
        <v>-5.868544600938963E-2</v>
      </c>
      <c r="AW189" s="885">
        <f t="shared" si="518"/>
        <v>-3.8961038961038974E-2</v>
      </c>
      <c r="AX189" s="885">
        <f t="shared" si="518"/>
        <v>-7.0175438596491224E-2</v>
      </c>
      <c r="AY189" s="885">
        <f t="shared" ref="AY189:BU189" si="519">AY188/AT188-1</f>
        <v>-0.14130434782608692</v>
      </c>
      <c r="AZ189" s="885">
        <f t="shared" si="519"/>
        <v>-0.33898305084745761</v>
      </c>
      <c r="BA189" s="1044">
        <f t="shared" si="519"/>
        <v>-0.15960099750623447</v>
      </c>
      <c r="BB189" s="885">
        <f t="shared" si="519"/>
        <v>-0.56081081081081074</v>
      </c>
      <c r="BC189" s="885">
        <f t="shared" si="519"/>
        <v>-0.59433962264150941</v>
      </c>
      <c r="BD189" s="885">
        <f t="shared" si="519"/>
        <v>-0.50632911392405067</v>
      </c>
      <c r="BE189" s="885">
        <f t="shared" si="519"/>
        <v>-0.30128205128205132</v>
      </c>
      <c r="BF189" s="1044">
        <f t="shared" si="519"/>
        <v>-0.49851632047477745</v>
      </c>
      <c r="BG189" s="885">
        <f t="shared" si="519"/>
        <v>-1.538461538461533E-2</v>
      </c>
      <c r="BH189" s="885">
        <f t="shared" si="519"/>
        <v>0.40697674418604657</v>
      </c>
      <c r="BI189" s="885">
        <f t="shared" si="519"/>
        <v>5.1282051282051322E-2</v>
      </c>
      <c r="BJ189" s="885">
        <f t="shared" si="519"/>
        <v>0.22018348623853212</v>
      </c>
      <c r="BK189" s="1044">
        <f t="shared" si="519"/>
        <v>0.18343195266272194</v>
      </c>
      <c r="BL189" s="885">
        <f t="shared" si="519"/>
        <v>7.8125E-2</v>
      </c>
      <c r="BM189" s="885">
        <f t="shared" si="519"/>
        <v>4.1322314049586861E-2</v>
      </c>
      <c r="BN189" s="885">
        <f t="shared" si="519"/>
        <v>0.40243902439024382</v>
      </c>
      <c r="BO189" s="885">
        <f t="shared" si="519"/>
        <v>0.12030075187969924</v>
      </c>
      <c r="BP189" s="1044">
        <f t="shared" si="519"/>
        <v>0.14749999999999996</v>
      </c>
      <c r="BQ189" s="885">
        <f t="shared" si="519"/>
        <v>8.6956521739130377E-2</v>
      </c>
      <c r="BR189" s="885">
        <f t="shared" si="519"/>
        <v>0.22222222222222232</v>
      </c>
      <c r="BS189" s="885">
        <f t="shared" si="519"/>
        <v>-0.10434782608695647</v>
      </c>
      <c r="BT189" s="885">
        <f t="shared" si="519"/>
        <v>-6.0402684563758413E-2</v>
      </c>
      <c r="BU189" s="1044">
        <f t="shared" si="519"/>
        <v>2.8322440087146017E-2</v>
      </c>
      <c r="BV189" s="885">
        <f t="shared" ref="BV189:CJ189" si="520">BV188/BQ188-1</f>
        <v>0.38666666666666671</v>
      </c>
      <c r="BW189" s="885">
        <f t="shared" si="520"/>
        <v>1.298701298701288E-2</v>
      </c>
      <c r="BX189" s="885">
        <f t="shared" si="520"/>
        <v>0.24271844660194164</v>
      </c>
      <c r="BY189" s="885">
        <f t="shared" si="520"/>
        <v>9.2857142857142749E-2</v>
      </c>
      <c r="BZ189" s="1044">
        <f t="shared" si="520"/>
        <v>0.14618644067796605</v>
      </c>
      <c r="CA189" s="885">
        <f t="shared" si="520"/>
        <v>7.6923076923076872E-2</v>
      </c>
      <c r="CB189" s="885">
        <f t="shared" si="520"/>
        <v>8.9743589743589647E-2</v>
      </c>
      <c r="CC189" s="885">
        <f t="shared" si="520"/>
        <v>9.375E-2</v>
      </c>
      <c r="CD189" s="885">
        <f t="shared" si="520"/>
        <v>1.3071895424836555E-2</v>
      </c>
      <c r="CE189" s="1044">
        <f t="shared" si="520"/>
        <v>6.6543438077633965E-2</v>
      </c>
      <c r="CF189" s="885">
        <f t="shared" si="520"/>
        <v>0.125</v>
      </c>
      <c r="CG189" s="885">
        <f t="shared" si="520"/>
        <v>-6.4705882352941169E-2</v>
      </c>
      <c r="CH189" s="885">
        <f t="shared" si="520"/>
        <v>-2.1428571428571463E-2</v>
      </c>
      <c r="CI189" s="885">
        <f t="shared" si="520"/>
        <v>7.0967741935483941E-2</v>
      </c>
      <c r="CJ189" s="1044">
        <f t="shared" si="520"/>
        <v>1.906412478336228E-2</v>
      </c>
      <c r="CK189" s="885">
        <f>CK188/CF188-1</f>
        <v>9.5238095238095344E-2</v>
      </c>
      <c r="CL189" s="885">
        <f>CL188/CG188-1</f>
        <v>3.7735849056603765E-2</v>
      </c>
      <c r="CM189" s="885">
        <f>CM188/CH188-1</f>
        <v>0.2116788321167884</v>
      </c>
      <c r="CN189" s="885">
        <f>CN188/CI188-1</f>
        <v>1.8072289156626509E-2</v>
      </c>
      <c r="CO189" s="1044">
        <f>CO188/CJ188-1</f>
        <v>7.9931972789115679E-2</v>
      </c>
      <c r="CP189" s="885">
        <f>CP188/CK191-1</f>
        <v>-5.8139534883720922E-2</v>
      </c>
      <c r="CQ189" s="885">
        <f>CQ188/CL191-1</f>
        <v>-0.10434782608695647</v>
      </c>
      <c r="CR189" s="885">
        <f>CR188/CM191-1</f>
        <v>-0.18965517241379315</v>
      </c>
      <c r="CS189" s="885">
        <f>CS188/CN191-1</f>
        <v>-0.12844036697247707</v>
      </c>
      <c r="CT189" s="2985">
        <f>CT188/CO191-1</f>
        <v>-0.11971830985915488</v>
      </c>
      <c r="CU189" s="885">
        <f>+CU188/CP188-1</f>
        <v>-0.35104938271604869</v>
      </c>
      <c r="CV189" s="885">
        <f>+CV188/CQ188-1</f>
        <v>-0.20407766990291243</v>
      </c>
      <c r="CW189" s="885">
        <f>+CW188/CR188-1</f>
        <v>-0.18946808510638302</v>
      </c>
      <c r="CX189" s="885">
        <f>+CX188/CS188-1</f>
        <v>-0.13347368421052641</v>
      </c>
      <c r="CY189" s="1044">
        <f>CY188/CT188-1</f>
        <v>-0.21851999999999983</v>
      </c>
      <c r="CZ189" s="1044">
        <f>+CZ188/CY188-1</f>
        <v>3.4834075514835972E-2</v>
      </c>
      <c r="DA189" s="1044">
        <f>+DA188/CZ188-1</f>
        <v>-0.22633268588218725</v>
      </c>
      <c r="DB189" s="537"/>
      <c r="DC189" s="537"/>
      <c r="DD189" s="3448" t="s">
        <v>1016</v>
      </c>
      <c r="DE189" s="1044">
        <f t="shared" si="470"/>
        <v>0</v>
      </c>
      <c r="DF189" s="1044">
        <f t="shared" si="471"/>
        <v>0</v>
      </c>
      <c r="DG189" s="1044">
        <f t="shared" si="472"/>
        <v>2.8634361233480066E-2</v>
      </c>
      <c r="DH189" s="1044">
        <f t="shared" si="473"/>
        <v>-0.12098501070663814</v>
      </c>
      <c r="DI189" s="1044">
        <f t="shared" si="474"/>
        <v>0.10596833130328864</v>
      </c>
      <c r="DJ189" s="1044">
        <f t="shared" si="475"/>
        <v>0.15528634361233484</v>
      </c>
      <c r="DK189" s="1044">
        <f t="shared" si="476"/>
        <v>-0.18779790276453767</v>
      </c>
      <c r="DL189" s="1044">
        <f t="shared" si="477"/>
        <v>-5.868544600938963E-2</v>
      </c>
      <c r="DM189" s="1044">
        <f t="shared" si="478"/>
        <v>-0.15960099750623447</v>
      </c>
      <c r="DN189" s="1044">
        <f t="shared" si="479"/>
        <v>-0.49851632047477745</v>
      </c>
      <c r="DO189" s="1044">
        <f t="shared" si="480"/>
        <v>0.18343195266272194</v>
      </c>
      <c r="DP189" s="1044">
        <f t="shared" si="481"/>
        <v>0.14749999999999996</v>
      </c>
      <c r="DQ189" s="1044">
        <f t="shared" si="482"/>
        <v>2.8322440087146017E-2</v>
      </c>
      <c r="DR189" s="1044">
        <f t="shared" si="483"/>
        <v>0.14618644067796605</v>
      </c>
      <c r="DS189" s="1044">
        <f t="shared" si="484"/>
        <v>6.6543438077633965E-2</v>
      </c>
      <c r="DT189" s="1044">
        <f t="shared" si="485"/>
        <v>1.906412478336228E-2</v>
      </c>
      <c r="DU189" s="1044">
        <f t="shared" si="486"/>
        <v>7.9931972789115679E-2</v>
      </c>
      <c r="DV189" s="1044">
        <f t="shared" si="487"/>
        <v>-0.11971830985915488</v>
      </c>
      <c r="DW189" s="1044">
        <f t="shared" si="488"/>
        <v>-0.21851999999999983</v>
      </c>
      <c r="DX189" s="1044">
        <f t="shared" si="489"/>
        <v>3.4834075514835972E-2</v>
      </c>
      <c r="DY189" s="1044">
        <f t="shared" si="490"/>
        <v>-0.22633268588218725</v>
      </c>
      <c r="EA189"/>
      <c r="EB189"/>
      <c r="EC189"/>
      <c r="ED189"/>
      <c r="EE189"/>
      <c r="EF189"/>
      <c r="EJ189"/>
      <c r="EK189"/>
      <c r="EL189"/>
      <c r="ER189" s="732"/>
    </row>
    <row r="190" spans="1:148" s="1195" customFormat="1" ht="12.75" customHeight="1" x14ac:dyDescent="0.2">
      <c r="A190" s="1675"/>
      <c r="B190" s="874"/>
      <c r="C190" s="874"/>
      <c r="D190" s="874"/>
      <c r="E190" s="874"/>
      <c r="F190" s="874"/>
      <c r="G190" s="874"/>
      <c r="H190" s="874"/>
      <c r="I190" s="874"/>
      <c r="J190" s="874"/>
      <c r="K190" s="874"/>
      <c r="L190" s="874"/>
      <c r="M190" s="1044"/>
      <c r="N190" s="874"/>
      <c r="O190" s="874"/>
      <c r="P190" s="874"/>
      <c r="Q190" s="874"/>
      <c r="R190" s="1044"/>
      <c r="S190" s="874"/>
      <c r="T190" s="874"/>
      <c r="U190" s="874"/>
      <c r="V190" s="874"/>
      <c r="W190" s="1044"/>
      <c r="X190" s="874"/>
      <c r="Y190" s="874"/>
      <c r="Z190" s="874"/>
      <c r="AA190" s="874"/>
      <c r="AB190" s="1044"/>
      <c r="AC190" s="874"/>
      <c r="AD190" s="874"/>
      <c r="AE190" s="874"/>
      <c r="AF190" s="874"/>
      <c r="AG190" s="1044"/>
      <c r="AH190" s="874"/>
      <c r="AI190" s="874"/>
      <c r="AJ190" s="874"/>
      <c r="AK190" s="874"/>
      <c r="AL190" s="1044"/>
      <c r="AM190" s="874"/>
      <c r="AN190" s="874"/>
      <c r="AO190" s="874"/>
      <c r="AP190" s="874"/>
      <c r="AQ190" s="1044"/>
      <c r="AR190" s="874"/>
      <c r="AS190" s="874"/>
      <c r="AT190" s="874"/>
      <c r="AU190" s="874"/>
      <c r="AV190" s="1044"/>
      <c r="AW190" s="874"/>
      <c r="AX190" s="874"/>
      <c r="AY190" s="874"/>
      <c r="AZ190" s="874"/>
      <c r="BA190" s="1044"/>
      <c r="BB190" s="874"/>
      <c r="BC190" s="874"/>
      <c r="BD190" s="874"/>
      <c r="BE190" s="874"/>
      <c r="BF190" s="1044"/>
      <c r="BG190" s="874"/>
      <c r="BH190" s="874"/>
      <c r="BI190" s="874"/>
      <c r="BJ190" s="874"/>
      <c r="BK190" s="1044"/>
      <c r="BL190" s="874"/>
      <c r="BM190" s="874"/>
      <c r="BN190" s="874"/>
      <c r="BO190" s="874"/>
      <c r="BP190" s="1044"/>
      <c r="BQ190" s="874"/>
      <c r="BR190" s="874"/>
      <c r="BS190" s="874"/>
      <c r="BT190" s="874"/>
      <c r="BU190" s="1044"/>
      <c r="BV190" s="874"/>
      <c r="BW190" s="874"/>
      <c r="BX190" s="874"/>
      <c r="BY190" s="874"/>
      <c r="BZ190" s="1044"/>
      <c r="CA190" s="874"/>
      <c r="CB190" s="874"/>
      <c r="CC190" s="874"/>
      <c r="CD190" s="874"/>
      <c r="CE190" s="1044"/>
      <c r="CF190" s="874"/>
      <c r="CG190" s="874"/>
      <c r="CH190" s="874"/>
      <c r="CI190" s="874"/>
      <c r="CJ190" s="1044"/>
      <c r="CK190" s="874"/>
      <c r="CL190" s="874"/>
      <c r="CM190" s="885"/>
      <c r="CN190" s="885"/>
      <c r="CO190" s="1044"/>
      <c r="CP190" s="3037"/>
      <c r="CQ190" s="3037"/>
      <c r="CR190" s="3037"/>
      <c r="CS190" s="3037"/>
      <c r="CT190" s="2345"/>
      <c r="CU190" s="3037"/>
      <c r="CV190" s="3037"/>
      <c r="CW190" s="3037"/>
      <c r="CX190" s="3037"/>
      <c r="CY190" s="2345"/>
      <c r="CZ190" s="3037"/>
      <c r="DA190" s="2345"/>
      <c r="DB190"/>
      <c r="DC190"/>
      <c r="DD190" s="1675"/>
      <c r="DE190" s="1640"/>
      <c r="DF190" s="1640"/>
      <c r="DG190" s="1640"/>
      <c r="DH190" s="1640"/>
      <c r="DI190" s="1640"/>
      <c r="DJ190" s="1640"/>
      <c r="DK190" s="1640"/>
      <c r="DL190" s="1640"/>
      <c r="DM190" s="1640"/>
      <c r="DN190" s="1640"/>
      <c r="DO190" s="1640"/>
      <c r="DP190" s="1640"/>
      <c r="DQ190" s="1640"/>
      <c r="DR190" s="1640"/>
      <c r="DS190" s="1640"/>
      <c r="DT190" s="1640"/>
      <c r="DU190" s="1640"/>
      <c r="DV190" s="1640"/>
      <c r="DW190" s="1640"/>
      <c r="DX190" s="1640"/>
      <c r="DY190" s="1640"/>
      <c r="EA190"/>
      <c r="EB190"/>
      <c r="EC190"/>
      <c r="ED190"/>
      <c r="EE190"/>
      <c r="EF190"/>
      <c r="EJ190"/>
      <c r="EK190"/>
      <c r="EL190"/>
      <c r="ER190" s="1582"/>
    </row>
    <row r="191" spans="1:148" s="1195" customFormat="1" ht="12.75" customHeight="1" x14ac:dyDescent="0.2">
      <c r="A191" s="1683" t="s">
        <v>2680</v>
      </c>
      <c r="B191" s="874"/>
      <c r="C191" s="874"/>
      <c r="D191" s="874"/>
      <c r="E191" s="874"/>
      <c r="F191" s="874"/>
      <c r="G191" s="874"/>
      <c r="H191" s="874"/>
      <c r="I191" s="874"/>
      <c r="J191" s="874"/>
      <c r="K191" s="874"/>
      <c r="L191" s="874"/>
      <c r="M191" s="1044"/>
      <c r="N191" s="874"/>
      <c r="O191" s="874"/>
      <c r="P191" s="874"/>
      <c r="Q191" s="874"/>
      <c r="R191" s="1044"/>
      <c r="S191" s="874"/>
      <c r="T191" s="874"/>
      <c r="U191" s="874"/>
      <c r="V191" s="874"/>
      <c r="W191" s="1044"/>
      <c r="X191" s="874"/>
      <c r="Y191" s="874"/>
      <c r="Z191" s="874"/>
      <c r="AA191" s="874"/>
      <c r="AB191" s="1044"/>
      <c r="AC191" s="874"/>
      <c r="AD191" s="874"/>
      <c r="AE191" s="874"/>
      <c r="AF191" s="874"/>
      <c r="AG191" s="1044"/>
      <c r="AH191" s="874"/>
      <c r="AI191" s="874"/>
      <c r="AJ191" s="874"/>
      <c r="AK191" s="874"/>
      <c r="AL191" s="1044"/>
      <c r="AM191" s="874"/>
      <c r="AN191" s="874"/>
      <c r="AO191" s="874"/>
      <c r="AP191" s="874"/>
      <c r="AQ191" s="1044"/>
      <c r="AR191" s="874"/>
      <c r="AS191" s="874"/>
      <c r="AT191" s="874"/>
      <c r="AU191" s="874"/>
      <c r="AV191" s="1044"/>
      <c r="AW191" s="874"/>
      <c r="AX191" s="874"/>
      <c r="AY191" s="874"/>
      <c r="AZ191" s="874"/>
      <c r="BA191" s="1044"/>
      <c r="BB191" s="874"/>
      <c r="BC191" s="874"/>
      <c r="BD191" s="874"/>
      <c r="BE191" s="874"/>
      <c r="BF191" s="1044"/>
      <c r="BG191" s="874"/>
      <c r="BH191" s="874"/>
      <c r="BI191" s="874"/>
      <c r="BJ191" s="874"/>
      <c r="BK191" s="1044"/>
      <c r="BL191" s="874"/>
      <c r="BM191" s="874"/>
      <c r="BN191" s="874"/>
      <c r="BO191" s="874"/>
      <c r="BP191" s="1044"/>
      <c r="BQ191" s="874"/>
      <c r="BR191" s="874"/>
      <c r="BS191" s="874"/>
      <c r="BT191" s="874"/>
      <c r="BU191" s="1044"/>
      <c r="BV191" s="874"/>
      <c r="BW191" s="874"/>
      <c r="BX191" s="874"/>
      <c r="BY191" s="874"/>
      <c r="BZ191" s="1044"/>
      <c r="CA191" s="874"/>
      <c r="CB191" s="874"/>
      <c r="CC191" s="874"/>
      <c r="CD191" s="874"/>
      <c r="CE191" s="1044"/>
      <c r="CF191" s="1730">
        <f>+CF174-CF180</f>
        <v>92</v>
      </c>
      <c r="CG191" s="1730">
        <f>+CG174-CG180</f>
        <v>117</v>
      </c>
      <c r="CH191" s="1730">
        <f>+CH174-CH180</f>
        <v>92</v>
      </c>
      <c r="CI191" s="1730">
        <f>+CI174-CI180</f>
        <v>118</v>
      </c>
      <c r="CJ191" s="1980">
        <f>SUM(CF191:CI191)</f>
        <v>419</v>
      </c>
      <c r="CK191" s="1730">
        <f>+CK174-CK180</f>
        <v>86</v>
      </c>
      <c r="CL191" s="1730">
        <f>+CL174-CL180</f>
        <v>115</v>
      </c>
      <c r="CM191" s="1730">
        <f>+CM174-CM180</f>
        <v>116</v>
      </c>
      <c r="CN191" s="1730">
        <f>+CN174-CN180</f>
        <v>109</v>
      </c>
      <c r="CO191" s="1980">
        <f>SUM(CK191:CN191)</f>
        <v>426</v>
      </c>
      <c r="CP191" s="874"/>
      <c r="CQ191" s="874"/>
      <c r="CR191" s="874"/>
      <c r="CS191" s="1603"/>
      <c r="CT191" s="1044"/>
      <c r="CU191" s="874"/>
      <c r="CV191" s="874"/>
      <c r="CW191" s="874"/>
      <c r="CX191" s="874"/>
      <c r="CY191" s="1044"/>
      <c r="CZ191" s="1640"/>
      <c r="DA191" s="1640"/>
      <c r="DB191"/>
      <c r="DC191"/>
      <c r="DD191" s="1675"/>
      <c r="DE191" s="1640"/>
      <c r="DF191" s="1640"/>
      <c r="DG191" s="1640"/>
      <c r="DH191" s="1640"/>
      <c r="DI191" s="1640"/>
      <c r="DJ191" s="1640"/>
      <c r="DK191" s="1640"/>
      <c r="DL191" s="1640"/>
      <c r="DM191" s="1640"/>
      <c r="DN191" s="1640"/>
      <c r="DO191" s="1640"/>
      <c r="DP191" s="1640"/>
      <c r="DQ191" s="1640"/>
      <c r="DR191" s="1640"/>
      <c r="DS191" s="1640"/>
      <c r="DT191" s="1640"/>
      <c r="DU191" s="1640"/>
      <c r="DV191" s="1640"/>
      <c r="DW191" s="1640"/>
      <c r="DX191" s="1640"/>
      <c r="DY191" s="1640"/>
      <c r="EA191"/>
      <c r="EB191"/>
      <c r="EC191"/>
      <c r="ED191"/>
      <c r="EE191"/>
      <c r="EF191"/>
      <c r="EJ191"/>
      <c r="EK191"/>
      <c r="EL191"/>
      <c r="ER191" s="1582"/>
    </row>
    <row r="192" spans="1:148" s="1195" customFormat="1" ht="12.75" customHeight="1" x14ac:dyDescent="0.2">
      <c r="A192" s="1675"/>
      <c r="B192" s="874"/>
      <c r="C192" s="874"/>
      <c r="D192" s="874"/>
      <c r="E192" s="874"/>
      <c r="F192" s="874"/>
      <c r="G192" s="874"/>
      <c r="H192" s="874"/>
      <c r="I192" s="874"/>
      <c r="J192" s="874"/>
      <c r="K192" s="874"/>
      <c r="L192" s="874"/>
      <c r="M192" s="1044"/>
      <c r="N192" s="874"/>
      <c r="O192" s="874"/>
      <c r="P192" s="874"/>
      <c r="Q192" s="874"/>
      <c r="R192" s="1044"/>
      <c r="S192" s="874"/>
      <c r="T192" s="874"/>
      <c r="U192" s="874"/>
      <c r="V192" s="874"/>
      <c r="W192" s="1044"/>
      <c r="X192" s="874"/>
      <c r="Y192" s="874"/>
      <c r="Z192" s="874"/>
      <c r="AA192" s="874"/>
      <c r="AB192" s="1044"/>
      <c r="AC192" s="874"/>
      <c r="AD192" s="874"/>
      <c r="AE192" s="874"/>
      <c r="AF192" s="874"/>
      <c r="AG192" s="1044"/>
      <c r="AH192" s="874"/>
      <c r="AI192" s="874"/>
      <c r="AJ192" s="874"/>
      <c r="AK192" s="874"/>
      <c r="AL192" s="1044"/>
      <c r="AM192" s="874"/>
      <c r="AN192" s="874"/>
      <c r="AO192" s="874"/>
      <c r="AP192" s="874"/>
      <c r="AQ192" s="1044"/>
      <c r="AR192" s="874"/>
      <c r="AS192" s="874"/>
      <c r="AT192" s="874"/>
      <c r="AU192" s="874"/>
      <c r="AV192" s="1044"/>
      <c r="AW192" s="874"/>
      <c r="AX192" s="874"/>
      <c r="AY192" s="874"/>
      <c r="AZ192" s="874"/>
      <c r="BA192" s="1044"/>
      <c r="BB192" s="874"/>
      <c r="BC192" s="874"/>
      <c r="BD192" s="874"/>
      <c r="BE192" s="874"/>
      <c r="BF192" s="1044"/>
      <c r="BG192" s="874"/>
      <c r="BH192" s="874"/>
      <c r="BI192" s="874"/>
      <c r="BJ192" s="874"/>
      <c r="BK192" s="1044"/>
      <c r="BL192" s="874"/>
      <c r="BM192" s="874"/>
      <c r="BN192" s="874"/>
      <c r="BO192" s="874"/>
      <c r="BP192" s="1044"/>
      <c r="BQ192" s="874"/>
      <c r="BR192" s="874"/>
      <c r="BS192" s="874"/>
      <c r="BT192" s="874"/>
      <c r="BU192" s="1044"/>
      <c r="BV192" s="874"/>
      <c r="BW192" s="874"/>
      <c r="BX192" s="874"/>
      <c r="BY192" s="874"/>
      <c r="BZ192" s="1044"/>
      <c r="CA192" s="874"/>
      <c r="CB192" s="874"/>
      <c r="CC192" s="874"/>
      <c r="CD192" s="874"/>
      <c r="CE192" s="1044"/>
      <c r="CF192" s="874"/>
      <c r="CG192" s="874"/>
      <c r="CH192" s="874"/>
      <c r="CI192" s="874"/>
      <c r="CJ192" s="1044"/>
      <c r="CK192" s="874"/>
      <c r="CL192" s="874"/>
      <c r="CM192" s="885"/>
      <c r="CN192" s="885"/>
      <c r="CO192" s="1044"/>
      <c r="CP192" s="874"/>
      <c r="CQ192" s="874"/>
      <c r="CR192" s="874"/>
      <c r="CS192" s="1603"/>
      <c r="CT192" s="1044"/>
      <c r="CU192" s="874"/>
      <c r="CV192" s="874"/>
      <c r="CW192" s="874"/>
      <c r="CX192" s="874"/>
      <c r="CY192" s="1044"/>
      <c r="CZ192" s="1640"/>
      <c r="DA192" s="1640"/>
      <c r="DB192"/>
      <c r="DC192"/>
      <c r="DD192" s="1675"/>
      <c r="DE192" s="1640"/>
      <c r="DF192" s="1640"/>
      <c r="DG192" s="1640"/>
      <c r="DH192" s="1640"/>
      <c r="DI192" s="1640"/>
      <c r="DJ192" s="1640"/>
      <c r="DK192" s="1640"/>
      <c r="DL192" s="1640"/>
      <c r="DM192" s="1640"/>
      <c r="DN192" s="1640"/>
      <c r="DO192" s="1640"/>
      <c r="DP192" s="1640"/>
      <c r="DQ192" s="1640"/>
      <c r="DR192" s="1640"/>
      <c r="DS192" s="1640"/>
      <c r="DT192" s="1640"/>
      <c r="DU192" s="1640"/>
      <c r="DV192" s="1640"/>
      <c r="DW192" s="1640"/>
      <c r="DX192" s="1640"/>
      <c r="DY192" s="1640"/>
      <c r="EA192"/>
      <c r="EB192"/>
      <c r="EC192"/>
      <c r="ED192"/>
      <c r="EE192"/>
      <c r="EF192"/>
      <c r="EJ192"/>
      <c r="EK192"/>
      <c r="EL192"/>
      <c r="ER192" s="1582"/>
    </row>
    <row r="193" spans="1:148" s="1193" customFormat="1" ht="12.75" customHeight="1" x14ac:dyDescent="0.2">
      <c r="A193" s="2264" t="s">
        <v>1156</v>
      </c>
      <c r="B193" s="1190"/>
      <c r="C193" s="1190"/>
      <c r="D193" s="1190"/>
      <c r="E193" s="1190"/>
      <c r="F193" s="1190"/>
      <c r="G193" s="1190"/>
      <c r="H193" s="1190"/>
      <c r="I193" s="1190"/>
      <c r="J193" s="1190"/>
      <c r="K193" s="1190"/>
      <c r="L193" s="1190"/>
      <c r="M193" s="1191"/>
      <c r="N193" s="1190">
        <f t="shared" ref="N193:AS193" si="521">(N167-N176)/N167</f>
        <v>-9.3567251461988299E-2</v>
      </c>
      <c r="O193" s="1190">
        <f t="shared" si="521"/>
        <v>-0.13636363636363635</v>
      </c>
      <c r="P193" s="1190">
        <f t="shared" si="521"/>
        <v>-0.30069930069930068</v>
      </c>
      <c r="Q193" s="1190">
        <f t="shared" si="521"/>
        <v>-2.6315789473684209E-2</v>
      </c>
      <c r="R193" s="1191">
        <f t="shared" si="521"/>
        <v>-8.717310087173101E-2</v>
      </c>
      <c r="S193" s="1190">
        <f t="shared" si="521"/>
        <v>0.15827338129496402</v>
      </c>
      <c r="T193" s="1190">
        <f t="shared" si="521"/>
        <v>0.23636363636363636</v>
      </c>
      <c r="U193" s="1190">
        <f t="shared" si="521"/>
        <v>0.18</v>
      </c>
      <c r="V193" s="1190">
        <f t="shared" si="521"/>
        <v>-8.6294416243654817E-2</v>
      </c>
      <c r="W193" s="1191">
        <f t="shared" si="521"/>
        <v>0.10906298003072197</v>
      </c>
      <c r="X193" s="1190">
        <f t="shared" si="521"/>
        <v>0.19708029197080293</v>
      </c>
      <c r="Y193" s="1190">
        <f t="shared" si="521"/>
        <v>0.1793103448275862</v>
      </c>
      <c r="Z193" s="1190">
        <f t="shared" si="521"/>
        <v>0.10606060606060606</v>
      </c>
      <c r="AA193" s="1190">
        <f t="shared" si="521"/>
        <v>0.27853881278538811</v>
      </c>
      <c r="AB193" s="1191">
        <f t="shared" si="521"/>
        <v>0.20221169036334913</v>
      </c>
      <c r="AC193" s="1190">
        <f t="shared" si="521"/>
        <v>0.15384615384615385</v>
      </c>
      <c r="AD193" s="1190">
        <f t="shared" si="521"/>
        <v>0.13736263736263737</v>
      </c>
      <c r="AE193" s="1190">
        <f t="shared" si="521"/>
        <v>9.1503267973856203E-2</v>
      </c>
      <c r="AF193" s="1190">
        <f t="shared" si="521"/>
        <v>0.15899581589958159</v>
      </c>
      <c r="AG193" s="1191">
        <f t="shared" si="521"/>
        <v>0.13835616438356163</v>
      </c>
      <c r="AH193" s="1190">
        <f t="shared" si="521"/>
        <v>0.1317365269461078</v>
      </c>
      <c r="AI193" s="1190">
        <f t="shared" si="521"/>
        <v>0.23333333333333334</v>
      </c>
      <c r="AJ193" s="1190">
        <f t="shared" si="521"/>
        <v>0.1652542372881356</v>
      </c>
      <c r="AK193" s="1190">
        <f t="shared" si="521"/>
        <v>0.17451523545706371</v>
      </c>
      <c r="AL193" s="1191">
        <f t="shared" si="521"/>
        <v>0.17584745762711865</v>
      </c>
      <c r="AM193" s="1190">
        <f t="shared" si="521"/>
        <v>0.18110236220472442</v>
      </c>
      <c r="AN193" s="1190">
        <f t="shared" si="521"/>
        <v>0.17279411764705882</v>
      </c>
      <c r="AO193" s="1190">
        <f t="shared" si="521"/>
        <v>0.15899581589958159</v>
      </c>
      <c r="AP193" s="1190">
        <f t="shared" si="521"/>
        <v>0.14689265536723164</v>
      </c>
      <c r="AQ193" s="1191">
        <f t="shared" si="521"/>
        <v>0.16353887399463807</v>
      </c>
      <c r="AR193" s="1190">
        <f t="shared" si="521"/>
        <v>0.124</v>
      </c>
      <c r="AS193" s="1190">
        <f t="shared" si="521"/>
        <v>0.17628205128205129</v>
      </c>
      <c r="AT193" s="1190">
        <f t="shared" ref="AT193:BY193" si="522">(AT167-AT176)/AT167</f>
        <v>0.10305343511450382</v>
      </c>
      <c r="AU193" s="1190">
        <f t="shared" si="522"/>
        <v>0.15625</v>
      </c>
      <c r="AV193" s="1191">
        <f t="shared" si="522"/>
        <v>0.1435483870967742</v>
      </c>
      <c r="AW193" s="1190">
        <f t="shared" si="522"/>
        <v>9.6296296296296297E-2</v>
      </c>
      <c r="AX193" s="1190">
        <f t="shared" si="522"/>
        <v>0.14420062695924765</v>
      </c>
      <c r="AY193" s="1190">
        <f t="shared" si="522"/>
        <v>7.6923076923076927E-2</v>
      </c>
      <c r="AZ193" s="1190">
        <f t="shared" si="522"/>
        <v>0.11968085106382979</v>
      </c>
      <c r="BA193" s="1191">
        <f t="shared" si="522"/>
        <v>0.11183673469387755</v>
      </c>
      <c r="BB193" s="1190">
        <f t="shared" si="522"/>
        <v>5.909090909090909E-2</v>
      </c>
      <c r="BC193" s="1190">
        <f t="shared" si="522"/>
        <v>8.8235294117647065E-2</v>
      </c>
      <c r="BD193" s="1190">
        <f t="shared" si="522"/>
        <v>5.3097345132743362E-2</v>
      </c>
      <c r="BE193" s="1190">
        <f t="shared" si="522"/>
        <v>6.5671641791044774E-2</v>
      </c>
      <c r="BF193" s="1191">
        <f t="shared" si="522"/>
        <v>6.6732090284592732E-2</v>
      </c>
      <c r="BG193" s="1190">
        <f t="shared" si="522"/>
        <v>5.2401746724890827E-2</v>
      </c>
      <c r="BH193" s="1190">
        <f t="shared" si="522"/>
        <v>0.12156862745098039</v>
      </c>
      <c r="BI193" s="1190">
        <f t="shared" si="522"/>
        <v>3.1818181818181815E-2</v>
      </c>
      <c r="BJ193" s="1190">
        <f t="shared" si="522"/>
        <v>0.11988304093567251</v>
      </c>
      <c r="BK193" s="1191">
        <f t="shared" si="522"/>
        <v>8.6998087954110903E-2</v>
      </c>
      <c r="BL193" s="1190">
        <f t="shared" si="522"/>
        <v>8.9285714285714288E-2</v>
      </c>
      <c r="BM193" s="1190">
        <f t="shared" si="522"/>
        <v>0.11646586345381527</v>
      </c>
      <c r="BN193" s="1190">
        <f t="shared" si="522"/>
        <v>0.13779527559055119</v>
      </c>
      <c r="BO193" s="1190">
        <f t="shared" si="522"/>
        <v>0.15730337078651685</v>
      </c>
      <c r="BP193" s="1191">
        <f t="shared" si="522"/>
        <v>0.12927054478301014</v>
      </c>
      <c r="BQ193" s="1190">
        <f t="shared" si="522"/>
        <v>0.10138248847926268</v>
      </c>
      <c r="BR193" s="1190">
        <f t="shared" si="522"/>
        <v>0.23106060606060605</v>
      </c>
      <c r="BS193" s="1190">
        <f t="shared" si="522"/>
        <v>0.13</v>
      </c>
      <c r="BT193" s="1190">
        <f t="shared" si="522"/>
        <v>0.18181818181818182</v>
      </c>
      <c r="BU193" s="1191">
        <f t="shared" si="522"/>
        <v>0.16683518705763398</v>
      </c>
      <c r="BV193" s="1190">
        <f t="shared" si="522"/>
        <v>0.20089285714285715</v>
      </c>
      <c r="BW193" s="1190">
        <f t="shared" si="522"/>
        <v>0.26422764227642276</v>
      </c>
      <c r="BX193" s="1190">
        <f t="shared" si="522"/>
        <v>0.21818181818181817</v>
      </c>
      <c r="BY193" s="1190">
        <f t="shared" si="522"/>
        <v>0.24230769230769231</v>
      </c>
      <c r="BZ193" s="1191">
        <f t="shared" ref="BZ193:CM193" si="523">(BZ167-BZ176)/BZ167</f>
        <v>0.23263157894736841</v>
      </c>
      <c r="CA193" s="1190">
        <f t="shared" si="523"/>
        <v>0.20940170940170941</v>
      </c>
      <c r="CB193" s="1190">
        <f t="shared" si="523"/>
        <v>0.26022304832713755</v>
      </c>
      <c r="CC193" s="1190">
        <f t="shared" si="523"/>
        <v>0.22540983606557377</v>
      </c>
      <c r="CD193" s="1190">
        <f t="shared" si="523"/>
        <v>0.26545454545454544</v>
      </c>
      <c r="CE193" s="1191">
        <f t="shared" si="523"/>
        <v>0.24168297455968688</v>
      </c>
      <c r="CF193" s="1190">
        <f t="shared" si="523"/>
        <v>0.24513618677042801</v>
      </c>
      <c r="CG193" s="1190">
        <f t="shared" si="523"/>
        <v>0.24691358024691357</v>
      </c>
      <c r="CH193" s="1190">
        <f t="shared" si="523"/>
        <v>0.23580786026200873</v>
      </c>
      <c r="CI193" s="1190">
        <f t="shared" si="523"/>
        <v>0.29571984435797666</v>
      </c>
      <c r="CJ193" s="1191">
        <f t="shared" si="523"/>
        <v>0.2565922920892495</v>
      </c>
      <c r="CK193" s="1190">
        <f t="shared" si="523"/>
        <v>0.32793522267206476</v>
      </c>
      <c r="CL193" s="1190">
        <f t="shared" si="523"/>
        <v>0.29387755102040819</v>
      </c>
      <c r="CM193" s="1192">
        <f t="shared" si="523"/>
        <v>0.29317269076305219</v>
      </c>
      <c r="CN193" s="1192">
        <f t="shared" ref="CN193:DA193" si="524">+CN188/CN171</f>
        <v>0.31529850746268656</v>
      </c>
      <c r="CO193" s="1191">
        <f t="shared" si="524"/>
        <v>0.29672897196261683</v>
      </c>
      <c r="CP193" s="1190">
        <f t="shared" si="524"/>
        <v>0.18451025056947609</v>
      </c>
      <c r="CQ193" s="1190">
        <f t="shared" si="524"/>
        <v>0.22489082969432314</v>
      </c>
      <c r="CR193" s="1190">
        <f t="shared" si="524"/>
        <v>0.20796460176991149</v>
      </c>
      <c r="CS193" s="1808">
        <f t="shared" si="524"/>
        <v>0.20971302428256069</v>
      </c>
      <c r="CT193" s="1191">
        <f t="shared" si="524"/>
        <v>0.2081021087680355</v>
      </c>
      <c r="CU193" s="1190">
        <f t="shared" si="524"/>
        <v>0.12944653081327354</v>
      </c>
      <c r="CV193" s="1190">
        <f t="shared" si="524"/>
        <v>0.18645378457059683</v>
      </c>
      <c r="CW193" s="1190">
        <f t="shared" si="524"/>
        <v>0.17377520299242769</v>
      </c>
      <c r="CX193" s="1190">
        <f t="shared" si="524"/>
        <v>0.18734211783983068</v>
      </c>
      <c r="CY193" s="3646">
        <f>+CY188/CY171</f>
        <v>0.17002445455890419</v>
      </c>
      <c r="CZ193" s="2263">
        <f t="shared" si="524"/>
        <v>0.17420504876077014</v>
      </c>
      <c r="DA193" s="2263">
        <f t="shared" si="524"/>
        <v>0.14649646976142133</v>
      </c>
      <c r="DB193"/>
      <c r="DC193"/>
      <c r="DD193" s="2264" t="s">
        <v>1156</v>
      </c>
      <c r="DE193" s="2263">
        <f t="shared" si="470"/>
        <v>0</v>
      </c>
      <c r="DF193" s="2263">
        <f t="shared" si="471"/>
        <v>-8.717310087173101E-2</v>
      </c>
      <c r="DG193" s="2263">
        <f t="shared" si="472"/>
        <v>0.10906298003072197</v>
      </c>
      <c r="DH193" s="2263">
        <f t="shared" si="473"/>
        <v>0.20221169036334913</v>
      </c>
      <c r="DI193" s="2263">
        <f t="shared" si="474"/>
        <v>0.13835616438356163</v>
      </c>
      <c r="DJ193" s="2263">
        <f t="shared" si="475"/>
        <v>0.17584745762711865</v>
      </c>
      <c r="DK193" s="2263">
        <f t="shared" si="476"/>
        <v>0.16353887399463807</v>
      </c>
      <c r="DL193" s="2263">
        <f t="shared" si="477"/>
        <v>0.1435483870967742</v>
      </c>
      <c r="DM193" s="2263">
        <f t="shared" si="478"/>
        <v>0.11183673469387755</v>
      </c>
      <c r="DN193" s="2263">
        <f t="shared" si="479"/>
        <v>6.6732090284592732E-2</v>
      </c>
      <c r="DO193" s="2263">
        <f t="shared" si="480"/>
        <v>8.6998087954110903E-2</v>
      </c>
      <c r="DP193" s="2263">
        <f t="shared" si="481"/>
        <v>0.12927054478301014</v>
      </c>
      <c r="DQ193" s="2263">
        <f t="shared" si="482"/>
        <v>0.16683518705763398</v>
      </c>
      <c r="DR193" s="2263">
        <f t="shared" si="483"/>
        <v>0.23263157894736841</v>
      </c>
      <c r="DS193" s="2263">
        <f t="shared" si="484"/>
        <v>0.24168297455968688</v>
      </c>
      <c r="DT193" s="2263">
        <f t="shared" si="485"/>
        <v>0.2565922920892495</v>
      </c>
      <c r="DU193" s="2263">
        <f t="shared" si="486"/>
        <v>0.29672897196261683</v>
      </c>
      <c r="DV193" s="2263">
        <f t="shared" si="487"/>
        <v>0.2081021087680355</v>
      </c>
      <c r="DW193" s="2263">
        <f t="shared" si="488"/>
        <v>0.17002445455890419</v>
      </c>
      <c r="DX193" s="2263">
        <f t="shared" si="489"/>
        <v>0.17420504876077014</v>
      </c>
      <c r="DY193" s="2263">
        <f t="shared" si="490"/>
        <v>0.14649646976142133</v>
      </c>
      <c r="EA193"/>
      <c r="EB193"/>
      <c r="EC193"/>
      <c r="ED193"/>
      <c r="EE193"/>
      <c r="EF193"/>
      <c r="EJ193"/>
      <c r="EK193"/>
      <c r="EL193"/>
      <c r="ER193" s="212"/>
    </row>
    <row r="194" spans="1:148" s="1193" customFormat="1" ht="12.75" customHeight="1" x14ac:dyDescent="0.2">
      <c r="A194" s="2264" t="s">
        <v>2010</v>
      </c>
      <c r="B194" s="2441"/>
      <c r="C194" s="2441"/>
      <c r="D194" s="2441"/>
      <c r="E194" s="2441"/>
      <c r="F194" s="2441"/>
      <c r="G194" s="2441"/>
      <c r="H194" s="2441"/>
      <c r="I194" s="2441"/>
      <c r="J194" s="2441"/>
      <c r="K194" s="2441"/>
      <c r="L194" s="2441"/>
      <c r="M194" s="1191"/>
      <c r="N194" s="2441"/>
      <c r="O194" s="2441"/>
      <c r="P194" s="2441"/>
      <c r="Q194" s="2441"/>
      <c r="R194" s="1191"/>
      <c r="S194" s="2441"/>
      <c r="T194" s="2441"/>
      <c r="U194" s="2441"/>
      <c r="V194" s="2441"/>
      <c r="W194" s="1191"/>
      <c r="X194" s="2441"/>
      <c r="Y194" s="2441"/>
      <c r="Z194" s="2441"/>
      <c r="AA194" s="2441"/>
      <c r="AB194" s="1191"/>
      <c r="AC194" s="2441"/>
      <c r="AD194" s="2441"/>
      <c r="AE194" s="2441"/>
      <c r="AF194" s="2441"/>
      <c r="AG194" s="1191"/>
      <c r="AH194" s="2441"/>
      <c r="AI194" s="2441"/>
      <c r="AJ194" s="2441"/>
      <c r="AK194" s="2441"/>
      <c r="AL194" s="1191"/>
      <c r="AM194" s="2441"/>
      <c r="AN194" s="2441"/>
      <c r="AO194" s="2441"/>
      <c r="AP194" s="2441"/>
      <c r="AQ194" s="1191"/>
      <c r="AR194" s="2441"/>
      <c r="AS194" s="2441"/>
      <c r="AT194" s="2441"/>
      <c r="AU194" s="2441"/>
      <c r="AV194" s="1191"/>
      <c r="AW194" s="2441"/>
      <c r="AX194" s="2441"/>
      <c r="AY194" s="2441"/>
      <c r="AZ194" s="2441"/>
      <c r="BA194" s="1191"/>
      <c r="BB194" s="2441"/>
      <c r="BC194" s="2441"/>
      <c r="BD194" s="2441"/>
      <c r="BE194" s="2441"/>
      <c r="BF194" s="1191"/>
      <c r="BG194" s="2441"/>
      <c r="BH194" s="2441"/>
      <c r="BI194" s="2441"/>
      <c r="BJ194" s="2441"/>
      <c r="BK194" s="1191"/>
      <c r="BL194" s="2441"/>
      <c r="BM194" s="2441"/>
      <c r="BN194" s="2441"/>
      <c r="BO194" s="2441"/>
      <c r="BP194" s="1191"/>
      <c r="BQ194" s="2441"/>
      <c r="BR194" s="2441"/>
      <c r="BS194" s="2441"/>
      <c r="BT194" s="2441"/>
      <c r="BU194" s="1191"/>
      <c r="BV194" s="2441">
        <v>36</v>
      </c>
      <c r="BW194" s="2441">
        <v>51</v>
      </c>
      <c r="BX194" s="2441">
        <v>34</v>
      </c>
      <c r="BY194" s="2441">
        <v>50</v>
      </c>
      <c r="BZ194" s="2442">
        <v>171</v>
      </c>
      <c r="CA194" s="1190"/>
      <c r="CB194" s="1190"/>
      <c r="CC194" s="1190"/>
      <c r="CD194" s="1190"/>
      <c r="CE194" s="1191"/>
      <c r="CF194" s="1190"/>
      <c r="CG194" s="1190"/>
      <c r="CH194" s="1190"/>
      <c r="CI194" s="1190"/>
      <c r="CJ194" s="1191"/>
      <c r="CK194" s="1190"/>
      <c r="CL194" s="1190"/>
      <c r="CM194" s="1192"/>
      <c r="CN194" s="1192"/>
      <c r="CO194" s="1191"/>
      <c r="CP194" s="1190"/>
      <c r="CQ194" s="1190"/>
      <c r="CR194" s="1190"/>
      <c r="CS194" s="1808"/>
      <c r="CT194" s="1191"/>
      <c r="CU194" s="1190"/>
      <c r="CV194" s="1190"/>
      <c r="CW194" s="1190"/>
      <c r="CX194" s="1808"/>
      <c r="CY194" s="2263"/>
      <c r="CZ194" s="2263"/>
      <c r="DA194" s="2263"/>
      <c r="DB194"/>
      <c r="DC194"/>
      <c r="DD194" s="2264"/>
      <c r="DE194" s="2263"/>
      <c r="DF194" s="2263"/>
      <c r="DG194" s="2263"/>
      <c r="DH194" s="2263"/>
      <c r="DI194" s="2263"/>
      <c r="DJ194" s="2263"/>
      <c r="DK194" s="2263"/>
      <c r="DL194" s="2263"/>
      <c r="DM194" s="2263"/>
      <c r="DN194" s="2263"/>
      <c r="DO194" s="2263"/>
      <c r="DP194" s="2263"/>
      <c r="DQ194" s="2263"/>
      <c r="DR194" s="2263"/>
      <c r="DS194" s="2263"/>
      <c r="DT194" s="2263"/>
      <c r="DU194" s="2263"/>
      <c r="DV194" s="2263"/>
      <c r="DW194" s="2263"/>
      <c r="DX194" s="2263"/>
      <c r="DY194" s="2263"/>
      <c r="EA194"/>
      <c r="EB194"/>
      <c r="EC194"/>
      <c r="ED194"/>
      <c r="EE194"/>
      <c r="EF194"/>
      <c r="EJ194"/>
      <c r="EK194"/>
      <c r="EL194"/>
      <c r="ER194" s="212"/>
    </row>
    <row r="195" spans="1:148" s="2008" customFormat="1" ht="12.75" customHeight="1" x14ac:dyDescent="0.2">
      <c r="A195" s="2007" t="s">
        <v>1782</v>
      </c>
      <c r="B195" s="1982"/>
      <c r="C195" s="1982"/>
      <c r="D195" s="1982"/>
      <c r="E195" s="1982"/>
      <c r="F195" s="1982"/>
      <c r="G195" s="1982"/>
      <c r="H195" s="1982"/>
      <c r="I195" s="1982" t="s">
        <v>673</v>
      </c>
      <c r="J195" s="1982" t="s">
        <v>673</v>
      </c>
      <c r="K195" s="1982" t="s">
        <v>673</v>
      </c>
      <c r="L195" s="1982" t="s">
        <v>673</v>
      </c>
      <c r="M195" s="2427" t="s">
        <v>673</v>
      </c>
      <c r="N195" s="1982" t="s">
        <v>673</v>
      </c>
      <c r="O195" s="1982" t="s">
        <v>673</v>
      </c>
      <c r="P195" s="1982" t="s">
        <v>673</v>
      </c>
      <c r="Q195" s="1982" t="s">
        <v>673</v>
      </c>
      <c r="R195" s="2427" t="s">
        <v>673</v>
      </c>
      <c r="S195" s="1982" t="s">
        <v>673</v>
      </c>
      <c r="T195" s="1982" t="s">
        <v>673</v>
      </c>
      <c r="U195" s="1982" t="s">
        <v>673</v>
      </c>
      <c r="V195" s="1982" t="s">
        <v>673</v>
      </c>
      <c r="W195" s="2427" t="s">
        <v>673</v>
      </c>
      <c r="X195" s="1982" t="s">
        <v>673</v>
      </c>
      <c r="Y195" s="1982" t="s">
        <v>673</v>
      </c>
      <c r="Z195" s="1982" t="s">
        <v>673</v>
      </c>
      <c r="AA195" s="1982" t="s">
        <v>673</v>
      </c>
      <c r="AB195" s="2427" t="s">
        <v>673</v>
      </c>
      <c r="AC195" s="1982" t="s">
        <v>673</v>
      </c>
      <c r="AD195" s="1982" t="s">
        <v>673</v>
      </c>
      <c r="AE195" s="1982" t="s">
        <v>673</v>
      </c>
      <c r="AF195" s="1982" t="s">
        <v>673</v>
      </c>
      <c r="AG195" s="2427" t="s">
        <v>673</v>
      </c>
      <c r="AH195" s="1982" t="s">
        <v>673</v>
      </c>
      <c r="AI195" s="1982" t="s">
        <v>673</v>
      </c>
      <c r="AJ195" s="1982" t="s">
        <v>673</v>
      </c>
      <c r="AK195" s="1982" t="s">
        <v>1898</v>
      </c>
      <c r="AL195" s="2427" t="s">
        <v>415</v>
      </c>
      <c r="AM195" s="1982" t="s">
        <v>406</v>
      </c>
      <c r="AN195" s="1982" t="s">
        <v>1887</v>
      </c>
      <c r="AO195" s="1982" t="s">
        <v>412</v>
      </c>
      <c r="AP195" s="1982" t="s">
        <v>398</v>
      </c>
      <c r="AQ195" s="2427" t="s">
        <v>409</v>
      </c>
      <c r="AR195" s="1982" t="s">
        <v>1885</v>
      </c>
      <c r="AS195" s="1982" t="s">
        <v>406</v>
      </c>
      <c r="AT195" s="1982" t="s">
        <v>405</v>
      </c>
      <c r="AU195" s="1982" t="s">
        <v>401</v>
      </c>
      <c r="AV195" s="2427" t="s">
        <v>402</v>
      </c>
      <c r="AW195" s="1982" t="s">
        <v>1885</v>
      </c>
      <c r="AX195" s="1982" t="s">
        <v>398</v>
      </c>
      <c r="AY195" s="1982" t="s">
        <v>1896</v>
      </c>
      <c r="AZ195" s="1982" t="s">
        <v>1904</v>
      </c>
      <c r="BA195" s="2427" t="s">
        <v>1905</v>
      </c>
      <c r="BB195" s="1982" t="s">
        <v>1902</v>
      </c>
      <c r="BC195" s="1982" t="s">
        <v>1900</v>
      </c>
      <c r="BD195" s="1982" t="s">
        <v>1897</v>
      </c>
      <c r="BE195" s="1982" t="s">
        <v>1896</v>
      </c>
      <c r="BF195" s="2427" t="s">
        <v>1898</v>
      </c>
      <c r="BG195" s="1982" t="s">
        <v>1889</v>
      </c>
      <c r="BH195" s="1982" t="s">
        <v>1886</v>
      </c>
      <c r="BI195" s="1982" t="s">
        <v>1888</v>
      </c>
      <c r="BJ195" s="1982" t="s">
        <v>1887</v>
      </c>
      <c r="BK195" s="2427" t="s">
        <v>2177</v>
      </c>
      <c r="BL195" s="1982" t="s">
        <v>2173</v>
      </c>
      <c r="BM195" s="1982" t="s">
        <v>2168</v>
      </c>
      <c r="BN195" s="1982" t="s">
        <v>2176</v>
      </c>
      <c r="BO195" s="1982" t="s">
        <v>2175</v>
      </c>
      <c r="BP195" s="2427" t="s">
        <v>2174</v>
      </c>
      <c r="BQ195" s="1982" t="s">
        <v>2173</v>
      </c>
      <c r="BR195" s="1982" t="s">
        <v>2172</v>
      </c>
      <c r="BS195" s="1982" t="s">
        <v>2171</v>
      </c>
      <c r="BT195" s="1982" t="s">
        <v>2170</v>
      </c>
      <c r="BU195" s="2427" t="s">
        <v>2169</v>
      </c>
      <c r="BV195" s="1982" t="s">
        <v>2168</v>
      </c>
      <c r="BW195" s="1982" t="s">
        <v>1909</v>
      </c>
      <c r="BX195" s="2162">
        <v>20</v>
      </c>
      <c r="BY195" s="2162">
        <v>40</v>
      </c>
      <c r="BZ195" s="2244">
        <v>161</v>
      </c>
      <c r="CA195" s="2413">
        <v>45</v>
      </c>
      <c r="CB195" s="2426" t="s">
        <v>396</v>
      </c>
      <c r="CC195" s="2162">
        <v>50</v>
      </c>
      <c r="CD195" s="2162">
        <v>65</v>
      </c>
      <c r="CE195" s="2427" t="s">
        <v>2277</v>
      </c>
      <c r="CF195" s="2162">
        <v>60</v>
      </c>
      <c r="CG195" s="2426" t="s">
        <v>2306</v>
      </c>
      <c r="CH195" s="2426" t="s">
        <v>2312</v>
      </c>
      <c r="CI195" s="2426" t="s">
        <v>2335</v>
      </c>
      <c r="CJ195" s="2427" t="s">
        <v>2336</v>
      </c>
      <c r="CK195" s="2426" t="s">
        <v>2397</v>
      </c>
      <c r="CL195" s="2921">
        <v>75</v>
      </c>
      <c r="CM195" s="2921">
        <v>70</v>
      </c>
      <c r="CN195" s="2921" t="s">
        <v>2569</v>
      </c>
      <c r="CO195" s="2427"/>
      <c r="CP195" s="2426" t="s">
        <v>2683</v>
      </c>
      <c r="CQ195" s="2426" t="s">
        <v>2787</v>
      </c>
      <c r="CR195" s="3632">
        <v>75</v>
      </c>
      <c r="CS195" s="3633">
        <v>90</v>
      </c>
      <c r="CT195" s="3669">
        <v>367</v>
      </c>
      <c r="CU195" s="44"/>
      <c r="CV195" s="2426"/>
      <c r="CW195" s="3632"/>
      <c r="CX195" s="3633"/>
      <c r="CY195" s="3669" t="s">
        <v>1357</v>
      </c>
      <c r="CZ195" s="1848" t="s">
        <v>2705</v>
      </c>
      <c r="DA195" s="1848"/>
      <c r="DB195"/>
      <c r="DC195"/>
      <c r="DD195" s="2325" t="s">
        <v>1782</v>
      </c>
      <c r="DE195" s="1849" t="str">
        <f>M195</f>
        <v>ND</v>
      </c>
      <c r="DF195" s="1849" t="str">
        <f>R195</f>
        <v>ND</v>
      </c>
      <c r="DG195" s="1849" t="str">
        <f>W195</f>
        <v>ND</v>
      </c>
      <c r="DH195" s="1849" t="str">
        <f>AB195</f>
        <v>ND</v>
      </c>
      <c r="DI195" s="1849" t="str">
        <f>AG195</f>
        <v>ND</v>
      </c>
      <c r="DJ195" s="1849" t="str">
        <f>AL195</f>
        <v>$158-163m</v>
      </c>
      <c r="DK195" s="1849" t="str">
        <f>AQ195</f>
        <v>$176-181m</v>
      </c>
      <c r="DL195" s="1849" t="str">
        <f>AV195</f>
        <v>~$178m</v>
      </c>
      <c r="DM195" s="1849" t="str">
        <f>BA195</f>
        <v>$142-147m</v>
      </c>
      <c r="DN195" s="1849" t="str">
        <f>BF195</f>
        <v>$55-60m</v>
      </c>
      <c r="DO195" s="1849" t="str">
        <f>BK195</f>
        <v>~$90</v>
      </c>
      <c r="DP195" s="1849" t="str">
        <f>BP195</f>
        <v>~$134</v>
      </c>
      <c r="DQ195" s="1849" t="str">
        <f>BU195</f>
        <v>~$164</v>
      </c>
      <c r="DR195" s="1849">
        <f>BZ195</f>
        <v>161</v>
      </c>
      <c r="DS195" s="1849" t="str">
        <f>CE195</f>
        <v>$239</v>
      </c>
      <c r="DT195" s="1849" t="str">
        <f>CJ195</f>
        <v>$247-252</v>
      </c>
      <c r="DU195" s="1849">
        <f>CO195</f>
        <v>0</v>
      </c>
      <c r="DV195" s="1849">
        <f>CT195</f>
        <v>367</v>
      </c>
      <c r="DW195" s="1849" t="str">
        <f t="shared" ref="DW195:DY196" si="525">CY195</f>
        <v>$285-295</v>
      </c>
      <c r="DX195" s="1849" t="str">
        <f t="shared" si="525"/>
        <v>$240-270m</v>
      </c>
      <c r="DY195" s="1849">
        <f t="shared" si="525"/>
        <v>0</v>
      </c>
      <c r="EA195"/>
      <c r="EB195"/>
      <c r="EC195"/>
      <c r="ED195"/>
      <c r="EE195"/>
      <c r="EF195"/>
      <c r="EJ195"/>
      <c r="EK195"/>
      <c r="EL195"/>
      <c r="ER195" s="1920"/>
    </row>
    <row r="196" spans="1:148" ht="12.75" customHeight="1" x14ac:dyDescent="0.2">
      <c r="A196" s="1436" t="s">
        <v>1341</v>
      </c>
      <c r="B196" s="932"/>
      <c r="C196" s="932"/>
      <c r="D196" s="932"/>
      <c r="E196" s="932"/>
      <c r="F196" s="932"/>
      <c r="G196" s="932"/>
      <c r="H196" s="932"/>
      <c r="I196" s="932"/>
      <c r="J196" s="932"/>
      <c r="K196" s="932"/>
      <c r="L196" s="932"/>
      <c r="M196" s="1468"/>
      <c r="N196" s="932"/>
      <c r="O196" s="932"/>
      <c r="P196" s="932"/>
      <c r="Q196" s="932"/>
      <c r="R196" s="1468"/>
      <c r="S196" s="932"/>
      <c r="T196" s="932"/>
      <c r="U196" s="932"/>
      <c r="V196" s="932"/>
      <c r="W196" s="1468"/>
      <c r="X196" s="932"/>
      <c r="Y196" s="932"/>
      <c r="Z196" s="932"/>
      <c r="AA196" s="932"/>
      <c r="AB196" s="1468"/>
      <c r="AC196" s="932"/>
      <c r="AD196" s="932"/>
      <c r="AE196" s="932"/>
      <c r="AF196" s="932"/>
      <c r="AG196" s="1468"/>
      <c r="AH196" s="932"/>
      <c r="AI196" s="932"/>
      <c r="AJ196" s="932"/>
      <c r="AK196" s="932"/>
      <c r="AL196" s="1468">
        <f>AL183-AL217</f>
        <v>0</v>
      </c>
      <c r="AM196" s="932"/>
      <c r="AN196" s="932"/>
      <c r="AO196" s="932"/>
      <c r="AP196" s="932"/>
      <c r="AQ196" s="1468">
        <f>AQ183-AQ217</f>
        <v>0</v>
      </c>
      <c r="AR196" s="932"/>
      <c r="AS196" s="932"/>
      <c r="AT196" s="932"/>
      <c r="AU196" s="932"/>
      <c r="AV196" s="1468">
        <f>AV183-AV217</f>
        <v>0</v>
      </c>
      <c r="AW196" s="932"/>
      <c r="AX196" s="932"/>
      <c r="AY196" s="932"/>
      <c r="AZ196" s="932"/>
      <c r="BA196" s="1468">
        <f>BA183-BA217</f>
        <v>0</v>
      </c>
      <c r="BB196" s="932"/>
      <c r="BC196" s="932"/>
      <c r="BD196" s="932"/>
      <c r="BE196" s="932"/>
      <c r="BF196" s="1468">
        <f>BF183-BF217</f>
        <v>0</v>
      </c>
      <c r="BG196" s="932"/>
      <c r="BH196" s="932"/>
      <c r="BI196" s="932"/>
      <c r="BJ196" s="932"/>
      <c r="BK196" s="1468">
        <f>BK183-BK217</f>
        <v>-2.7961017144040738</v>
      </c>
      <c r="BL196" s="932"/>
      <c r="BM196" s="932"/>
      <c r="BN196" s="932"/>
      <c r="BO196" s="932"/>
      <c r="BP196" s="1468">
        <f>BP183-BP217</f>
        <v>21.629680975980037</v>
      </c>
      <c r="BQ196" s="932"/>
      <c r="BR196" s="932"/>
      <c r="BS196" s="932"/>
      <c r="BT196" s="932"/>
      <c r="BU196" s="1468">
        <f>BU183-BU217</f>
        <v>22.669096852102115</v>
      </c>
      <c r="BV196" s="932"/>
      <c r="BW196" s="932"/>
      <c r="BX196" s="932"/>
      <c r="BY196" s="2163"/>
      <c r="BZ196" s="1468"/>
      <c r="CA196" s="973"/>
      <c r="CD196" s="1431"/>
      <c r="CE196" s="1468"/>
      <c r="CI196" s="1431"/>
      <c r="CJ196" s="1468"/>
      <c r="CN196" s="1431"/>
      <c r="CO196" s="1468"/>
      <c r="CS196" s="1431"/>
      <c r="CT196" s="1468"/>
      <c r="CX196" s="1431"/>
      <c r="CY196" s="661"/>
      <c r="CZ196" s="2922"/>
      <c r="DA196" s="2922"/>
      <c r="DB196" s="3437"/>
      <c r="DD196" s="2288" t="s">
        <v>1341</v>
      </c>
      <c r="DE196" s="2293">
        <f>M196</f>
        <v>0</v>
      </c>
      <c r="DF196" s="2293">
        <f>R196</f>
        <v>0</v>
      </c>
      <c r="DG196" s="2293">
        <f>W196</f>
        <v>0</v>
      </c>
      <c r="DH196" s="2293">
        <f>AB196</f>
        <v>0</v>
      </c>
      <c r="DI196" s="2293">
        <f>AG196</f>
        <v>0</v>
      </c>
      <c r="DJ196" s="2293">
        <f>AL196</f>
        <v>0</v>
      </c>
      <c r="DK196" s="2293">
        <f>AQ196</f>
        <v>0</v>
      </c>
      <c r="DL196" s="2293">
        <f>AV196</f>
        <v>0</v>
      </c>
      <c r="DM196" s="2293">
        <f>BA196</f>
        <v>0</v>
      </c>
      <c r="DN196" s="2293">
        <f>BF196</f>
        <v>0</v>
      </c>
      <c r="DO196" s="2293">
        <f>BK196</f>
        <v>-2.7961017144040738</v>
      </c>
      <c r="DP196" s="2293">
        <f>BP196</f>
        <v>21.629680975980037</v>
      </c>
      <c r="DQ196" s="2293">
        <f>BU196</f>
        <v>22.669096852102115</v>
      </c>
      <c r="DR196" s="2293">
        <f>BZ196</f>
        <v>0</v>
      </c>
      <c r="DS196" s="2293">
        <f>CE196</f>
        <v>0</v>
      </c>
      <c r="DT196" s="2293">
        <f>CJ196</f>
        <v>0</v>
      </c>
      <c r="DU196" s="2293">
        <f>CO196</f>
        <v>0</v>
      </c>
      <c r="DV196" s="2293">
        <f>CT196</f>
        <v>0</v>
      </c>
      <c r="DW196" s="2293">
        <f t="shared" si="525"/>
        <v>0</v>
      </c>
      <c r="DX196" s="2293">
        <f t="shared" si="525"/>
        <v>0</v>
      </c>
      <c r="DY196" s="2293">
        <f t="shared" si="525"/>
        <v>0</v>
      </c>
      <c r="DZ196" s="855"/>
      <c r="EK196"/>
      <c r="EL196"/>
    </row>
    <row r="197" spans="1:148" s="923" customFormat="1" ht="5.0999999999999996" customHeight="1" x14ac:dyDescent="0.2">
      <c r="A197" s="1678"/>
      <c r="B197" s="1679"/>
      <c r="C197" s="1679"/>
      <c r="D197" s="1679"/>
      <c r="E197" s="1679"/>
      <c r="F197" s="1679"/>
      <c r="G197" s="1679"/>
      <c r="H197" s="1679"/>
      <c r="I197" s="1679"/>
      <c r="J197" s="1679"/>
      <c r="K197" s="1679"/>
      <c r="L197" s="1679"/>
      <c r="M197" s="1000"/>
      <c r="N197" s="1679"/>
      <c r="O197" s="1679"/>
      <c r="P197" s="1679"/>
      <c r="Q197" s="1679"/>
      <c r="R197" s="1000"/>
      <c r="S197" s="1679"/>
      <c r="T197" s="1679"/>
      <c r="U197" s="1679"/>
      <c r="V197" s="1679"/>
      <c r="W197" s="1000"/>
      <c r="X197" s="1679"/>
      <c r="Y197" s="1679"/>
      <c r="Z197" s="1679"/>
      <c r="AA197" s="1679"/>
      <c r="AB197" s="1000"/>
      <c r="AC197" s="1679"/>
      <c r="AD197" s="1679"/>
      <c r="AE197" s="1679"/>
      <c r="AF197" s="1679"/>
      <c r="AG197" s="1000"/>
      <c r="AH197" s="1679"/>
      <c r="AI197" s="1679"/>
      <c r="AJ197" s="1679"/>
      <c r="AK197" s="1679"/>
      <c r="AL197" s="1000"/>
      <c r="AM197" s="1679"/>
      <c r="AN197" s="1679"/>
      <c r="AO197" s="1679"/>
      <c r="AP197" s="1679"/>
      <c r="AQ197" s="1000"/>
      <c r="AR197" s="1679"/>
      <c r="AS197" s="1679"/>
      <c r="AT197" s="1679"/>
      <c r="AU197" s="1679"/>
      <c r="AV197" s="1000"/>
      <c r="AW197" s="1679"/>
      <c r="AX197" s="1679"/>
      <c r="AY197" s="1679"/>
      <c r="AZ197" s="1679"/>
      <c r="BA197" s="1000"/>
      <c r="BB197" s="1679"/>
      <c r="BC197" s="1679"/>
      <c r="BD197" s="1679"/>
      <c r="BE197" s="1679"/>
      <c r="BF197" s="1000"/>
      <c r="BG197" s="1679"/>
      <c r="BH197" s="1679"/>
      <c r="BI197" s="1679"/>
      <c r="BJ197" s="1679"/>
      <c r="BK197" s="1000"/>
      <c r="BL197" s="1679"/>
      <c r="BM197" s="1679"/>
      <c r="BN197" s="1679"/>
      <c r="BO197" s="1679"/>
      <c r="BP197" s="1000"/>
      <c r="BQ197" s="1679"/>
      <c r="BR197" s="1679"/>
      <c r="BS197" s="1679"/>
      <c r="BT197" s="1679"/>
      <c r="BU197" s="1000"/>
      <c r="BV197" s="1679"/>
      <c r="BW197" s="1679"/>
      <c r="BX197" s="1679"/>
      <c r="BY197" s="1679"/>
      <c r="BZ197" s="1000"/>
      <c r="CA197" s="2167"/>
      <c r="CB197" s="1655"/>
      <c r="CC197" s="1655"/>
      <c r="CD197" s="2168"/>
      <c r="CE197" s="1000"/>
      <c r="CF197" s="1655"/>
      <c r="CG197" s="1655"/>
      <c r="CH197" s="1655"/>
      <c r="CI197" s="2168"/>
      <c r="CJ197" s="1000"/>
      <c r="CK197" s="1655"/>
      <c r="CL197" s="1655"/>
      <c r="CM197" s="1655"/>
      <c r="CN197" s="2168"/>
      <c r="CO197" s="1000"/>
      <c r="CP197" s="1655"/>
      <c r="CQ197" s="1655"/>
      <c r="CR197" s="1655"/>
      <c r="CS197" s="2168"/>
      <c r="CT197" s="1000"/>
      <c r="CU197" s="1655"/>
      <c r="CV197" s="1655"/>
      <c r="CW197" s="1655"/>
      <c r="CX197" s="2168"/>
      <c r="CY197" s="1000"/>
      <c r="CZ197" s="1000"/>
      <c r="DA197" s="1000"/>
      <c r="DB197"/>
      <c r="DC197"/>
      <c r="DD197" s="1678"/>
      <c r="DE197" s="1000"/>
      <c r="DF197" s="1000"/>
      <c r="DG197" s="1000"/>
      <c r="DH197" s="1000"/>
      <c r="DI197" s="1000"/>
      <c r="DJ197" s="1000"/>
      <c r="DK197" s="1000"/>
      <c r="DL197" s="1000"/>
      <c r="DM197" s="1000"/>
      <c r="DN197" s="1000"/>
      <c r="DO197" s="1000"/>
      <c r="DP197" s="1000"/>
      <c r="DQ197" s="1000"/>
      <c r="DR197" s="1000"/>
      <c r="DS197" s="1000"/>
      <c r="DT197" s="1000"/>
      <c r="DU197" s="1000"/>
      <c r="DV197" s="1000"/>
      <c r="DW197" s="1000"/>
      <c r="DX197" s="1000"/>
      <c r="DY197" s="1000"/>
      <c r="EA197"/>
      <c r="EB197"/>
      <c r="EC197"/>
      <c r="ED197"/>
      <c r="EE197"/>
      <c r="EF197"/>
      <c r="EJ197"/>
      <c r="EK197"/>
      <c r="EL197"/>
      <c r="ER197" s="212"/>
    </row>
    <row r="198" spans="1:148" s="923" customFormat="1" ht="12.75" hidden="1" customHeight="1" outlineLevel="1" x14ac:dyDescent="0.2">
      <c r="A198" s="883" t="s">
        <v>1344</v>
      </c>
      <c r="B198" s="215"/>
      <c r="C198" s="215"/>
      <c r="D198" s="215"/>
      <c r="E198" s="215"/>
      <c r="F198" s="215"/>
      <c r="G198" s="215"/>
      <c r="H198" s="215"/>
      <c r="I198" s="215"/>
      <c r="J198" s="215"/>
      <c r="K198" s="215"/>
      <c r="L198" s="215"/>
      <c r="M198" s="215"/>
      <c r="N198" s="215"/>
      <c r="O198" s="215"/>
      <c r="P198" s="215"/>
      <c r="Q198" s="215"/>
      <c r="R198" s="215"/>
      <c r="S198" s="215"/>
      <c r="T198" s="215"/>
      <c r="U198" s="215"/>
      <c r="V198" s="215"/>
      <c r="W198" s="215"/>
      <c r="X198" s="215"/>
      <c r="Y198" s="215"/>
      <c r="Z198" s="215"/>
      <c r="AA198" s="215"/>
      <c r="AB198" s="215"/>
      <c r="AC198" s="215"/>
      <c r="AD198" s="215"/>
      <c r="AE198" s="215"/>
      <c r="AF198" s="215"/>
      <c r="AG198" s="215"/>
      <c r="AH198" s="215"/>
      <c r="AI198" s="215"/>
      <c r="AJ198" s="215"/>
      <c r="AK198" s="215"/>
      <c r="AL198" s="215"/>
      <c r="AM198" s="215"/>
      <c r="AN198" s="215"/>
      <c r="AO198" s="215"/>
      <c r="AP198" s="215"/>
      <c r="AQ198" s="215"/>
      <c r="AR198" s="215"/>
      <c r="AS198" s="215"/>
      <c r="AT198" s="215"/>
      <c r="AU198" s="215"/>
      <c r="AV198" s="215"/>
      <c r="AW198" s="215"/>
      <c r="AX198" s="215"/>
      <c r="AY198" s="215"/>
      <c r="AZ198" s="215"/>
      <c r="BA198" s="215"/>
      <c r="BB198" s="215"/>
      <c r="BC198" s="215"/>
      <c r="BD198" s="215"/>
      <c r="BE198" s="215"/>
      <c r="BF198" s="215"/>
      <c r="BG198" s="215"/>
      <c r="BH198" s="215"/>
      <c r="BI198" s="215"/>
      <c r="BJ198" s="215"/>
      <c r="BK198" s="215"/>
      <c r="BL198" s="215"/>
      <c r="BM198" s="215"/>
      <c r="BN198" s="215"/>
      <c r="BO198" s="215"/>
      <c r="BP198" s="215"/>
      <c r="BQ198" s="215"/>
      <c r="BR198" s="215"/>
      <c r="BS198" s="215"/>
      <c r="BT198" s="215"/>
      <c r="BU198" s="215"/>
      <c r="BV198" s="215"/>
      <c r="BW198" s="215"/>
      <c r="BX198" s="215"/>
      <c r="BY198" s="215"/>
      <c r="BZ198" s="215"/>
      <c r="CA198" s="215"/>
      <c r="CB198" s="215"/>
      <c r="CC198" s="215"/>
      <c r="CD198" s="215"/>
      <c r="CE198" s="215"/>
      <c r="CF198" s="215"/>
      <c r="CG198" s="215"/>
      <c r="CH198" s="215"/>
      <c r="CI198" s="215"/>
      <c r="CJ198" s="215"/>
      <c r="CK198" s="215"/>
      <c r="CL198" s="215"/>
      <c r="CM198" s="215"/>
      <c r="CN198" s="215"/>
      <c r="CO198" s="215"/>
      <c r="CP198" s="215"/>
      <c r="CQ198" s="215"/>
      <c r="CR198" s="215"/>
      <c r="CS198" s="215"/>
      <c r="CT198" s="215"/>
      <c r="CU198" s="215"/>
      <c r="CV198" s="215"/>
      <c r="CW198" s="215"/>
      <c r="CX198" s="215"/>
      <c r="CY198" s="215"/>
      <c r="CZ198" s="215"/>
      <c r="DA198" s="215"/>
      <c r="DB198"/>
      <c r="DC198"/>
      <c r="DD198" s="2326" t="s">
        <v>1344</v>
      </c>
      <c r="DE198" s="2327"/>
      <c r="DF198" s="2327"/>
      <c r="DG198" s="2327"/>
      <c r="DH198" s="2327"/>
      <c r="DI198" s="2327"/>
      <c r="DJ198" s="2327"/>
      <c r="DK198" s="2327"/>
      <c r="DL198" s="2327"/>
      <c r="DM198" s="2327"/>
      <c r="DN198" s="2327"/>
      <c r="DO198" s="2327"/>
      <c r="DP198" s="2327"/>
      <c r="DQ198" s="2327"/>
      <c r="DR198" s="2327"/>
      <c r="DS198" s="2327"/>
      <c r="DT198" s="2327"/>
      <c r="DU198" s="2327"/>
      <c r="DV198" s="2327"/>
      <c r="DW198" s="2327"/>
      <c r="DX198" s="2327"/>
      <c r="DY198" s="2327"/>
      <c r="EA198"/>
      <c r="EB198"/>
      <c r="EC198"/>
      <c r="ED198"/>
      <c r="EE198"/>
      <c r="EF198"/>
      <c r="EJ198"/>
      <c r="EK198"/>
      <c r="EL198"/>
      <c r="ER198" s="212"/>
    </row>
    <row r="199" spans="1:148" s="923" customFormat="1" ht="12.75" hidden="1" customHeight="1" outlineLevel="1" x14ac:dyDescent="0.2">
      <c r="A199" s="865" t="s">
        <v>121</v>
      </c>
      <c r="B199" s="215"/>
      <c r="C199" s="215"/>
      <c r="D199" s="215"/>
      <c r="E199" s="215"/>
      <c r="F199" s="215"/>
      <c r="G199" s="215"/>
      <c r="H199" s="215"/>
      <c r="I199" s="215"/>
      <c r="J199" s="215"/>
      <c r="K199" s="215"/>
      <c r="L199" s="215"/>
      <c r="M199" s="215"/>
      <c r="N199" s="215"/>
      <c r="O199" s="215"/>
      <c r="P199" s="215"/>
      <c r="Q199" s="215"/>
      <c r="R199" s="215"/>
      <c r="S199" s="215"/>
      <c r="T199" s="215"/>
      <c r="U199" s="215"/>
      <c r="V199" s="215"/>
      <c r="W199" s="215"/>
      <c r="X199" s="215"/>
      <c r="Y199" s="215"/>
      <c r="Z199" s="215"/>
      <c r="AA199" s="215"/>
      <c r="AB199" s="215"/>
      <c r="AC199" s="215"/>
      <c r="AD199" s="215"/>
      <c r="AE199" s="215"/>
      <c r="AF199" s="215"/>
      <c r="AG199" s="215"/>
      <c r="AH199" s="215"/>
      <c r="AI199" s="215"/>
      <c r="AJ199" s="215"/>
      <c r="AK199" s="215"/>
      <c r="AL199" s="215">
        <v>747</v>
      </c>
      <c r="AM199" s="215"/>
      <c r="AN199" s="215"/>
      <c r="AO199" s="215"/>
      <c r="AP199" s="215"/>
      <c r="AQ199" s="215">
        <v>913</v>
      </c>
      <c r="AR199" s="215"/>
      <c r="AS199" s="215"/>
      <c r="AT199" s="215"/>
      <c r="AU199" s="215"/>
      <c r="AV199" s="215">
        <v>1021</v>
      </c>
      <c r="AW199" s="215"/>
      <c r="AX199" s="215"/>
      <c r="AY199" s="215"/>
      <c r="AZ199" s="215"/>
      <c r="BA199" s="215">
        <v>1015</v>
      </c>
      <c r="BB199" s="215"/>
      <c r="BC199" s="215"/>
      <c r="BD199" s="215"/>
      <c r="BE199" s="215"/>
      <c r="BF199" s="215">
        <v>831</v>
      </c>
      <c r="BG199" s="215"/>
      <c r="BH199" s="215"/>
      <c r="BI199" s="215"/>
      <c r="BJ199" s="215"/>
      <c r="BK199" s="215">
        <f>BK203*BK4*BK163/1000000</f>
        <v>830.14042060964255</v>
      </c>
      <c r="BL199" s="215"/>
      <c r="BM199" s="215"/>
      <c r="BN199" s="215"/>
      <c r="BO199" s="215"/>
      <c r="BP199" s="215">
        <f>BP203*BP4*BP163/1000000</f>
        <v>949.40769166024677</v>
      </c>
      <c r="BQ199" s="215"/>
      <c r="BR199" s="215"/>
      <c r="BS199" s="215"/>
      <c r="BT199" s="215"/>
      <c r="BU199" s="215">
        <f>BU203*BU4*BU163/1000000</f>
        <v>926.57460024164732</v>
      </c>
      <c r="BV199" s="215"/>
      <c r="BW199" s="215"/>
      <c r="BX199" s="215"/>
      <c r="BY199" s="215"/>
      <c r="BZ199" s="215">
        <f>BZ203*BZ4*BZ163/1000000</f>
        <v>922.91015667004751</v>
      </c>
      <c r="CA199" s="215"/>
      <c r="CB199" s="215"/>
      <c r="CC199" s="215"/>
      <c r="CD199" s="215"/>
      <c r="CE199" s="215">
        <f>CE203*CE4*CE163/1000000</f>
        <v>1067.1651135593456</v>
      </c>
      <c r="CF199" s="215"/>
      <c r="CG199" s="215"/>
      <c r="CH199" s="215"/>
      <c r="CI199" s="215"/>
      <c r="CJ199" s="215"/>
      <c r="CK199" s="215"/>
      <c r="CL199" s="215"/>
      <c r="CM199" s="215"/>
      <c r="CN199" s="215"/>
      <c r="CO199" s="215"/>
      <c r="CP199" s="215"/>
      <c r="CQ199" s="215"/>
      <c r="CR199" s="215"/>
      <c r="CS199" s="215"/>
      <c r="CT199" s="215"/>
      <c r="CU199" s="215"/>
      <c r="CV199" s="215"/>
      <c r="CW199" s="215"/>
      <c r="CX199" s="215"/>
      <c r="CY199" s="215"/>
      <c r="CZ199" s="215"/>
      <c r="DA199" s="215"/>
      <c r="DB199"/>
      <c r="DC199"/>
      <c r="DD199" s="2323" t="s">
        <v>121</v>
      </c>
      <c r="DE199" s="2327">
        <f>M199</f>
        <v>0</v>
      </c>
      <c r="DF199" s="2327">
        <f>R199</f>
        <v>0</v>
      </c>
      <c r="DG199" s="2327">
        <f>W199</f>
        <v>0</v>
      </c>
      <c r="DH199" s="2327">
        <f>AB199</f>
        <v>0</v>
      </c>
      <c r="DI199" s="2327">
        <f>AG199</f>
        <v>0</v>
      </c>
      <c r="DJ199" s="2327">
        <f>AL199</f>
        <v>747</v>
      </c>
      <c r="DK199" s="2327">
        <f>AQ199</f>
        <v>913</v>
      </c>
      <c r="DL199" s="2327">
        <f>AV199</f>
        <v>1021</v>
      </c>
      <c r="DM199" s="2327">
        <f>BA199</f>
        <v>1015</v>
      </c>
      <c r="DN199" s="2327">
        <f>BF199</f>
        <v>831</v>
      </c>
      <c r="DO199" s="2327">
        <f>BK199</f>
        <v>830.14042060964255</v>
      </c>
      <c r="DP199" s="2327">
        <f>BP199</f>
        <v>949.40769166024677</v>
      </c>
      <c r="DQ199" s="2327">
        <f>BU199</f>
        <v>926.57460024164732</v>
      </c>
      <c r="DR199" s="2327">
        <f>BZ199</f>
        <v>922.91015667004751</v>
      </c>
      <c r="DS199" s="2327">
        <f>CE199</f>
        <v>1067.1651135593456</v>
      </c>
      <c r="DT199" s="2327">
        <f>CJ199</f>
        <v>0</v>
      </c>
      <c r="DU199" s="2327">
        <f>CO199</f>
        <v>0</v>
      </c>
      <c r="DV199" s="2327">
        <f>CT199</f>
        <v>0</v>
      </c>
      <c r="DW199" s="2327">
        <f t="shared" ref="DW199:DY201" si="526">CY199</f>
        <v>0</v>
      </c>
      <c r="DX199" s="2327">
        <f t="shared" si="526"/>
        <v>0</v>
      </c>
      <c r="DY199" s="2327">
        <f t="shared" si="526"/>
        <v>0</v>
      </c>
      <c r="EA199"/>
      <c r="EB199"/>
      <c r="EC199"/>
      <c r="ED199"/>
      <c r="EE199"/>
      <c r="EF199"/>
      <c r="EJ199"/>
      <c r="EK199"/>
      <c r="EL199"/>
      <c r="ER199" s="212"/>
    </row>
    <row r="200" spans="1:148" s="923" customFormat="1" ht="12.75" hidden="1" customHeight="1" outlineLevel="1" x14ac:dyDescent="0.2">
      <c r="A200" s="865" t="s">
        <v>1578</v>
      </c>
      <c r="B200" s="214"/>
      <c r="C200" s="214"/>
      <c r="D200" s="214"/>
      <c r="E200" s="214"/>
      <c r="F200" s="214"/>
      <c r="G200" s="214"/>
      <c r="H200" s="214"/>
      <c r="I200" s="214"/>
      <c r="J200" s="214"/>
      <c r="K200" s="214"/>
      <c r="L200" s="214"/>
      <c r="M200" s="215"/>
      <c r="N200" s="214"/>
      <c r="O200" s="214"/>
      <c r="P200" s="214"/>
      <c r="Q200" s="214"/>
      <c r="R200" s="215"/>
      <c r="S200" s="214"/>
      <c r="T200" s="214"/>
      <c r="U200" s="214"/>
      <c r="V200" s="214"/>
      <c r="W200" s="215"/>
      <c r="X200" s="214"/>
      <c r="Y200" s="214"/>
      <c r="Z200" s="214"/>
      <c r="AA200" s="214"/>
      <c r="AB200" s="215"/>
      <c r="AC200" s="214"/>
      <c r="AD200" s="214"/>
      <c r="AE200" s="214"/>
      <c r="AF200" s="214"/>
      <c r="AG200" s="215"/>
      <c r="AH200" s="214"/>
      <c r="AI200" s="214"/>
      <c r="AJ200" s="214"/>
      <c r="AK200" s="214"/>
      <c r="AL200" s="215">
        <f>AL199-AL201</f>
        <v>706</v>
      </c>
      <c r="AM200" s="214"/>
      <c r="AN200" s="214"/>
      <c r="AO200" s="214"/>
      <c r="AP200" s="214"/>
      <c r="AQ200" s="215">
        <f>AQ199-AQ201</f>
        <v>849</v>
      </c>
      <c r="AR200" s="214"/>
      <c r="AS200" s="214"/>
      <c r="AT200" s="214"/>
      <c r="AU200" s="214"/>
      <c r="AV200" s="215">
        <f>AV199-AV201</f>
        <v>962</v>
      </c>
      <c r="AW200" s="214"/>
      <c r="AX200" s="214"/>
      <c r="AY200" s="214"/>
      <c r="AZ200" s="214"/>
      <c r="BA200" s="215">
        <f>BA199-BA201</f>
        <v>975</v>
      </c>
      <c r="BB200" s="214"/>
      <c r="BC200" s="214"/>
      <c r="BD200" s="214"/>
      <c r="BE200" s="214"/>
      <c r="BF200" s="215">
        <f>BF199-BF201</f>
        <v>851</v>
      </c>
      <c r="BG200" s="214"/>
      <c r="BH200" s="214"/>
      <c r="BI200" s="214"/>
      <c r="BJ200" s="214"/>
      <c r="BK200" s="215">
        <f>BK206*BK4*BK163/1000000</f>
        <v>841.26431889523849</v>
      </c>
      <c r="BL200" s="214"/>
      <c r="BM200" s="214"/>
      <c r="BN200" s="214">
        <v>6</v>
      </c>
      <c r="BO200" s="214"/>
      <c r="BP200" s="215">
        <f>BP206*BP4*BP163/1000000</f>
        <v>935.1541726362268</v>
      </c>
      <c r="BQ200" s="214"/>
      <c r="BR200" s="214"/>
      <c r="BS200" s="214"/>
      <c r="BT200" s="214"/>
      <c r="BU200" s="215">
        <f>BU206*BU4*BU163/1000000</f>
        <v>887.07516909374942</v>
      </c>
      <c r="BV200" s="214"/>
      <c r="BW200" s="214"/>
      <c r="BX200" s="214"/>
      <c r="BY200" s="214"/>
      <c r="BZ200" s="215">
        <f>BZ206*BZ4*BZ163/1000000</f>
        <v>858.79403416377659</v>
      </c>
      <c r="CA200" s="215"/>
      <c r="CB200" s="215"/>
      <c r="CC200" s="215"/>
      <c r="CD200" s="215"/>
      <c r="CE200" s="215">
        <f>CE206*CE4*CE163/1000000</f>
        <v>965.18546781824443</v>
      </c>
      <c r="CF200" s="215"/>
      <c r="CG200" s="215"/>
      <c r="CH200" s="215"/>
      <c r="CI200" s="215"/>
      <c r="CJ200" s="215"/>
      <c r="CK200" s="215"/>
      <c r="CL200" s="215"/>
      <c r="CM200" s="215"/>
      <c r="CN200" s="215"/>
      <c r="CO200" s="215"/>
      <c r="CP200" s="215"/>
      <c r="CQ200" s="215"/>
      <c r="CR200" s="215"/>
      <c r="CS200" s="215"/>
      <c r="CT200" s="215"/>
      <c r="CU200" s="215"/>
      <c r="CV200" s="215"/>
      <c r="CW200" s="215"/>
      <c r="CX200" s="215"/>
      <c r="CY200" s="215"/>
      <c r="CZ200" s="215"/>
      <c r="DA200" s="215"/>
      <c r="DB200"/>
      <c r="DC200"/>
      <c r="DD200" s="2323" t="s">
        <v>1578</v>
      </c>
      <c r="DE200" s="2327">
        <f>M200</f>
        <v>0</v>
      </c>
      <c r="DF200" s="2327">
        <f>R200</f>
        <v>0</v>
      </c>
      <c r="DG200" s="2327">
        <f>W200</f>
        <v>0</v>
      </c>
      <c r="DH200" s="2327">
        <f>AB200</f>
        <v>0</v>
      </c>
      <c r="DI200" s="2327">
        <f>AG200</f>
        <v>0</v>
      </c>
      <c r="DJ200" s="2327">
        <f>AL200</f>
        <v>706</v>
      </c>
      <c r="DK200" s="2327">
        <f>AQ200</f>
        <v>849</v>
      </c>
      <c r="DL200" s="2327">
        <f>AV200</f>
        <v>962</v>
      </c>
      <c r="DM200" s="2327">
        <f>BA200</f>
        <v>975</v>
      </c>
      <c r="DN200" s="2327">
        <f>BF200</f>
        <v>851</v>
      </c>
      <c r="DO200" s="2327">
        <f>BK200</f>
        <v>841.26431889523849</v>
      </c>
      <c r="DP200" s="2327">
        <f>BP200</f>
        <v>935.1541726362268</v>
      </c>
      <c r="DQ200" s="2327">
        <f>BU200</f>
        <v>887.07516909374942</v>
      </c>
      <c r="DR200" s="2327">
        <f>BZ200</f>
        <v>858.79403416377659</v>
      </c>
      <c r="DS200" s="2327">
        <f>CE200</f>
        <v>965.18546781824443</v>
      </c>
      <c r="DT200" s="2327">
        <f>CJ200</f>
        <v>0</v>
      </c>
      <c r="DU200" s="2327">
        <f>CO200</f>
        <v>0</v>
      </c>
      <c r="DV200" s="2327">
        <f>CT200</f>
        <v>0</v>
      </c>
      <c r="DW200" s="2327">
        <f t="shared" si="526"/>
        <v>0</v>
      </c>
      <c r="DX200" s="2327">
        <f t="shared" si="526"/>
        <v>0</v>
      </c>
      <c r="DY200" s="2327">
        <f t="shared" si="526"/>
        <v>0</v>
      </c>
      <c r="EA200"/>
      <c r="EB200"/>
      <c r="EC200"/>
      <c r="ED200"/>
      <c r="EE200"/>
      <c r="EF200"/>
      <c r="EJ200"/>
      <c r="EK200"/>
      <c r="EL200"/>
      <c r="ER200" s="212"/>
    </row>
    <row r="201" spans="1:148" s="923" customFormat="1" ht="12.75" hidden="1" customHeight="1" outlineLevel="1" x14ac:dyDescent="0.2">
      <c r="A201" s="865" t="s">
        <v>1579</v>
      </c>
      <c r="B201" s="215"/>
      <c r="C201" s="215"/>
      <c r="D201" s="215"/>
      <c r="E201" s="215"/>
      <c r="F201" s="215"/>
      <c r="G201" s="215"/>
      <c r="H201" s="215"/>
      <c r="I201" s="215"/>
      <c r="J201" s="215"/>
      <c r="K201" s="215"/>
      <c r="L201" s="215"/>
      <c r="M201" s="215"/>
      <c r="N201" s="215"/>
      <c r="O201" s="215"/>
      <c r="P201" s="215"/>
      <c r="Q201" s="215"/>
      <c r="R201" s="215"/>
      <c r="S201" s="215"/>
      <c r="T201" s="215"/>
      <c r="U201" s="215"/>
      <c r="V201" s="215"/>
      <c r="W201" s="215"/>
      <c r="X201" s="215"/>
      <c r="Y201" s="215"/>
      <c r="Z201" s="215"/>
      <c r="AA201" s="215"/>
      <c r="AB201" s="215"/>
      <c r="AC201" s="215"/>
      <c r="AD201" s="215"/>
      <c r="AE201" s="215"/>
      <c r="AF201" s="215"/>
      <c r="AG201" s="215"/>
      <c r="AH201" s="215"/>
      <c r="AI201" s="215"/>
      <c r="AJ201" s="215"/>
      <c r="AK201" s="215"/>
      <c r="AL201" s="215">
        <v>41</v>
      </c>
      <c r="AM201" s="215"/>
      <c r="AN201" s="215"/>
      <c r="AO201" s="215"/>
      <c r="AP201" s="215"/>
      <c r="AQ201" s="215">
        <v>64</v>
      </c>
      <c r="AR201" s="215"/>
      <c r="AS201" s="215"/>
      <c r="AT201" s="215"/>
      <c r="AU201" s="215"/>
      <c r="AV201" s="215">
        <v>59</v>
      </c>
      <c r="AW201" s="215"/>
      <c r="AX201" s="215"/>
      <c r="AY201" s="215"/>
      <c r="AZ201" s="215"/>
      <c r="BA201" s="215">
        <v>40</v>
      </c>
      <c r="BB201" s="215"/>
      <c r="BC201" s="215"/>
      <c r="BD201" s="215"/>
      <c r="BE201" s="215"/>
      <c r="BF201" s="215">
        <v>-20</v>
      </c>
      <c r="BG201" s="215"/>
      <c r="BH201" s="215"/>
      <c r="BI201" s="215"/>
      <c r="BJ201" s="215"/>
      <c r="BK201" s="215">
        <f>BK199-BK200</f>
        <v>-11.123898285595942</v>
      </c>
      <c r="BL201" s="215"/>
      <c r="BM201" s="215"/>
      <c r="BN201" s="215"/>
      <c r="BO201" s="215"/>
      <c r="BP201" s="215">
        <f>BP199-BP200</f>
        <v>14.253519024019965</v>
      </c>
      <c r="BQ201" s="215"/>
      <c r="BR201" s="215"/>
      <c r="BS201" s="215"/>
      <c r="BT201" s="215"/>
      <c r="BU201" s="215">
        <f>BU199-BU200</f>
        <v>39.499431147897894</v>
      </c>
      <c r="BV201" s="215"/>
      <c r="BW201" s="215"/>
      <c r="BX201" s="215"/>
      <c r="BY201" s="215"/>
      <c r="BZ201" s="215">
        <f>BZ199-BZ200</f>
        <v>64.116122506270926</v>
      </c>
      <c r="CA201" s="215"/>
      <c r="CB201" s="215"/>
      <c r="CC201" s="215"/>
      <c r="CD201" s="215"/>
      <c r="CE201" s="215">
        <f>CE199-CE200</f>
        <v>101.97964574110119</v>
      </c>
      <c r="CF201" s="215"/>
      <c r="CG201" s="215"/>
      <c r="CH201" s="215"/>
      <c r="CI201" s="215"/>
      <c r="CJ201" s="215"/>
      <c r="CK201" s="215"/>
      <c r="CL201" s="215"/>
      <c r="CM201" s="215"/>
      <c r="CN201" s="215"/>
      <c r="CO201" s="215"/>
      <c r="CP201" s="215"/>
      <c r="CQ201" s="215"/>
      <c r="CR201" s="215"/>
      <c r="CS201" s="215"/>
      <c r="CT201" s="215"/>
      <c r="CU201" s="215"/>
      <c r="CV201" s="215"/>
      <c r="CW201" s="215"/>
      <c r="CX201" s="215"/>
      <c r="CY201" s="215"/>
      <c r="CZ201" s="215"/>
      <c r="DA201" s="215"/>
      <c r="DB201"/>
      <c r="DC201"/>
      <c r="DD201" s="2323" t="s">
        <v>1579</v>
      </c>
      <c r="DE201" s="2327">
        <f>M201</f>
        <v>0</v>
      </c>
      <c r="DF201" s="2327">
        <f>R201</f>
        <v>0</v>
      </c>
      <c r="DG201" s="2327">
        <f>W201</f>
        <v>0</v>
      </c>
      <c r="DH201" s="2327">
        <f>AB201</f>
        <v>0</v>
      </c>
      <c r="DI201" s="2327">
        <f>AG201</f>
        <v>0</v>
      </c>
      <c r="DJ201" s="2327">
        <f>AL201</f>
        <v>41</v>
      </c>
      <c r="DK201" s="2327">
        <f>AQ201</f>
        <v>64</v>
      </c>
      <c r="DL201" s="2327">
        <f>AV201</f>
        <v>59</v>
      </c>
      <c r="DM201" s="2327">
        <f>BA201</f>
        <v>40</v>
      </c>
      <c r="DN201" s="2327">
        <f>BF201</f>
        <v>-20</v>
      </c>
      <c r="DO201" s="2327">
        <f>BK201</f>
        <v>-11.123898285595942</v>
      </c>
      <c r="DP201" s="2327">
        <f>BP201</f>
        <v>14.253519024019965</v>
      </c>
      <c r="DQ201" s="2327">
        <f>BU201</f>
        <v>39.499431147897894</v>
      </c>
      <c r="DR201" s="2327">
        <f>BZ201</f>
        <v>64.116122506270926</v>
      </c>
      <c r="DS201" s="2327">
        <f>CE201</f>
        <v>101.97964574110119</v>
      </c>
      <c r="DT201" s="2327">
        <f>CJ201</f>
        <v>0</v>
      </c>
      <c r="DU201" s="2327">
        <f>CO201</f>
        <v>0</v>
      </c>
      <c r="DV201" s="2327">
        <f>CT201</f>
        <v>0</v>
      </c>
      <c r="DW201" s="2327">
        <f t="shared" si="526"/>
        <v>0</v>
      </c>
      <c r="DX201" s="2327">
        <f t="shared" si="526"/>
        <v>0</v>
      </c>
      <c r="DY201" s="2327">
        <f t="shared" si="526"/>
        <v>0</v>
      </c>
      <c r="EA201"/>
      <c r="EB201"/>
      <c r="EC201"/>
      <c r="ED201"/>
      <c r="EE201"/>
      <c r="EF201"/>
      <c r="EJ201"/>
      <c r="EK201"/>
      <c r="EL201"/>
      <c r="ER201" s="212"/>
    </row>
    <row r="202" spans="1:148" s="923" customFormat="1" ht="12.75" hidden="1" customHeight="1" outlineLevel="1" x14ac:dyDescent="0.2">
      <c r="A202" s="865"/>
      <c r="B202" s="215"/>
      <c r="C202" s="215"/>
      <c r="D202" s="215"/>
      <c r="E202" s="215"/>
      <c r="F202" s="215"/>
      <c r="G202" s="215"/>
      <c r="H202" s="215"/>
      <c r="I202" s="215"/>
      <c r="J202" s="215"/>
      <c r="K202" s="215"/>
      <c r="L202" s="215"/>
      <c r="M202" s="215"/>
      <c r="N202" s="215"/>
      <c r="O202" s="215"/>
      <c r="P202" s="215"/>
      <c r="Q202" s="215"/>
      <c r="R202" s="215"/>
      <c r="S202" s="215"/>
      <c r="T202" s="215"/>
      <c r="U202" s="215"/>
      <c r="V202" s="215"/>
      <c r="W202" s="215"/>
      <c r="X202" s="215"/>
      <c r="Y202" s="215"/>
      <c r="Z202" s="215"/>
      <c r="AA202" s="215"/>
      <c r="AB202" s="215"/>
      <c r="AC202" s="215"/>
      <c r="AD202" s="215"/>
      <c r="AE202" s="215"/>
      <c r="AF202" s="215"/>
      <c r="AG202" s="215"/>
      <c r="AH202" s="215"/>
      <c r="AI202" s="215"/>
      <c r="AJ202" s="215"/>
      <c r="AK202" s="215"/>
      <c r="AL202" s="215"/>
      <c r="AM202" s="215"/>
      <c r="AN202" s="215"/>
      <c r="AO202" s="215"/>
      <c r="AP202" s="215"/>
      <c r="AQ202" s="215"/>
      <c r="AR202" s="215"/>
      <c r="AS202" s="215"/>
      <c r="AT202" s="215"/>
      <c r="AU202" s="215"/>
      <c r="AV202" s="215"/>
      <c r="AW202" s="215"/>
      <c r="AX202" s="215"/>
      <c r="AY202" s="215"/>
      <c r="AZ202" s="215"/>
      <c r="BA202" s="215"/>
      <c r="BB202" s="215"/>
      <c r="BC202" s="215"/>
      <c r="BD202" s="215"/>
      <c r="BE202" s="215"/>
      <c r="BF202" s="215"/>
      <c r="BG202" s="215"/>
      <c r="BH202" s="215"/>
      <c r="BI202" s="215"/>
      <c r="BJ202" s="215"/>
      <c r="BK202" s="215"/>
      <c r="BL202" s="215"/>
      <c r="BM202" s="215"/>
      <c r="BN202" s="215"/>
      <c r="BO202" s="215"/>
      <c r="BP202" s="215"/>
      <c r="BQ202" s="215"/>
      <c r="BR202" s="215"/>
      <c r="BS202" s="215"/>
      <c r="BT202" s="215"/>
      <c r="BU202" s="215"/>
      <c r="BV202" s="215"/>
      <c r="BW202" s="215"/>
      <c r="BX202" s="215"/>
      <c r="BY202" s="215"/>
      <c r="BZ202" s="215"/>
      <c r="CA202" s="215"/>
      <c r="CB202" s="215"/>
      <c r="CC202" s="215"/>
      <c r="CD202" s="215"/>
      <c r="CE202" s="215"/>
      <c r="CF202" s="215"/>
      <c r="CG202" s="215"/>
      <c r="CH202" s="215"/>
      <c r="CI202" s="215"/>
      <c r="CJ202" s="215"/>
      <c r="CK202" s="215"/>
      <c r="CL202" s="215"/>
      <c r="CM202" s="215"/>
      <c r="CN202" s="215"/>
      <c r="CO202" s="215"/>
      <c r="CP202" s="215"/>
      <c r="CQ202" s="215"/>
      <c r="CR202" s="215"/>
      <c r="CS202" s="215"/>
      <c r="CT202" s="215"/>
      <c r="CU202" s="215"/>
      <c r="CV202" s="215"/>
      <c r="CW202" s="215"/>
      <c r="CX202" s="215"/>
      <c r="CY202" s="215"/>
      <c r="CZ202" s="215"/>
      <c r="DA202" s="215"/>
      <c r="DB202"/>
      <c r="DC202"/>
      <c r="DD202" s="2323"/>
      <c r="DE202" s="2327"/>
      <c r="DF202" s="2327"/>
      <c r="DG202" s="2327"/>
      <c r="DH202" s="2327"/>
      <c r="DI202" s="2327"/>
      <c r="DJ202" s="2327"/>
      <c r="DK202" s="2327"/>
      <c r="DL202" s="2327"/>
      <c r="DM202" s="2327"/>
      <c r="DN202" s="2327"/>
      <c r="DO202" s="2327"/>
      <c r="DP202" s="2327"/>
      <c r="DQ202" s="2327"/>
      <c r="DR202" s="2327"/>
      <c r="DS202" s="2327"/>
      <c r="DT202" s="2327"/>
      <c r="DU202" s="2327"/>
      <c r="DV202" s="2327"/>
      <c r="DW202" s="2327"/>
      <c r="DX202" s="2327"/>
      <c r="DY202" s="2327"/>
      <c r="EA202"/>
      <c r="EB202"/>
      <c r="EC202"/>
      <c r="ED202"/>
      <c r="EE202"/>
      <c r="EF202"/>
      <c r="EJ202"/>
      <c r="EK202"/>
      <c r="EL202"/>
      <c r="ER202" s="212"/>
    </row>
    <row r="203" spans="1:148" s="923" customFormat="1" ht="12.75" hidden="1" customHeight="1" outlineLevel="1" x14ac:dyDescent="0.2">
      <c r="A203" s="865" t="s">
        <v>1580</v>
      </c>
      <c r="B203" s="215"/>
      <c r="C203" s="215"/>
      <c r="D203" s="215"/>
      <c r="E203" s="215"/>
      <c r="F203" s="215"/>
      <c r="G203" s="215"/>
      <c r="H203" s="215"/>
      <c r="I203" s="215"/>
      <c r="J203" s="215"/>
      <c r="K203" s="215"/>
      <c r="L203" s="215"/>
      <c r="M203" s="215"/>
      <c r="N203" s="215"/>
      <c r="O203" s="215"/>
      <c r="P203" s="215"/>
      <c r="Q203" s="215"/>
      <c r="R203" s="215"/>
      <c r="S203" s="215"/>
      <c r="T203" s="215"/>
      <c r="U203" s="215"/>
      <c r="V203" s="215"/>
      <c r="W203" s="215"/>
      <c r="X203" s="215"/>
      <c r="Y203" s="215"/>
      <c r="Z203" s="215"/>
      <c r="AA203" s="215"/>
      <c r="AB203" s="215"/>
      <c r="AC203" s="215"/>
      <c r="AD203" s="215"/>
      <c r="AE203" s="215"/>
      <c r="AF203" s="215"/>
      <c r="AG203" s="215"/>
      <c r="AH203" s="215"/>
      <c r="AI203" s="215"/>
      <c r="AJ203" s="215"/>
      <c r="AK203" s="215"/>
      <c r="AL203" s="215">
        <f>+(AL199*1000000)/(AL$163*AL$4)</f>
        <v>211.11517138058301</v>
      </c>
      <c r="AM203" s="215"/>
      <c r="AN203" s="215"/>
      <c r="AO203" s="215"/>
      <c r="AP203" s="215"/>
      <c r="AQ203" s="215">
        <f>+(AQ199*1000000)/(AQ$163*AQ$4)</f>
        <v>219.20689361262805</v>
      </c>
      <c r="AR203" s="215"/>
      <c r="AS203" s="215"/>
      <c r="AT203" s="215"/>
      <c r="AU203" s="215"/>
      <c r="AV203" s="215">
        <f>+(AV199*1000000)/(AV$163*AV$4)</f>
        <v>267.56838873415222</v>
      </c>
      <c r="AW203" s="215"/>
      <c r="AX203" s="215"/>
      <c r="AY203" s="215"/>
      <c r="AZ203" s="215"/>
      <c r="BA203" s="215">
        <f>+(BA199*1000000)/(BA$163*BA$4)</f>
        <v>279.18574034763441</v>
      </c>
      <c r="BB203" s="215"/>
      <c r="BC203" s="215"/>
      <c r="BD203" s="215"/>
      <c r="BE203" s="215"/>
      <c r="BF203" s="215">
        <f>+(BF199*1000000)/(BF$163*BF$4)</f>
        <v>210.00283162662862</v>
      </c>
      <c r="BG203" s="215"/>
      <c r="BH203" s="215"/>
      <c r="BI203" s="215"/>
      <c r="BJ203" s="215"/>
      <c r="BK203" s="215">
        <f>BF203*(1+BK204)</f>
        <v>201.60271836156346</v>
      </c>
      <c r="BL203" s="215"/>
      <c r="BM203" s="215"/>
      <c r="BN203" s="215"/>
      <c r="BO203" s="215"/>
      <c r="BP203" s="215">
        <f>BK203*(1+BP204)</f>
        <v>215.71490864687291</v>
      </c>
      <c r="BQ203" s="215"/>
      <c r="BR203" s="215"/>
      <c r="BS203" s="215"/>
      <c r="BT203" s="215"/>
      <c r="BU203" s="215">
        <f>BP203*(1+BU204)</f>
        <v>230.81495225215403</v>
      </c>
      <c r="BV203" s="215"/>
      <c r="BW203" s="215"/>
      <c r="BX203" s="215"/>
      <c r="BY203" s="215"/>
      <c r="BZ203" s="215">
        <f>BU203*(1+BZ204)</f>
        <v>246.97199890980482</v>
      </c>
      <c r="CA203" s="215"/>
      <c r="CB203" s="215"/>
      <c r="CC203" s="215"/>
      <c r="CD203" s="215"/>
      <c r="CE203" s="215">
        <f>BZ203*(1+CE204)</f>
        <v>264.26003883349119</v>
      </c>
      <c r="CF203" s="215"/>
      <c r="CG203" s="215"/>
      <c r="CH203" s="215"/>
      <c r="CI203" s="215"/>
      <c r="CJ203" s="215"/>
      <c r="CK203" s="215"/>
      <c r="CL203" s="215"/>
      <c r="CM203" s="215"/>
      <c r="CN203" s="215"/>
      <c r="CO203" s="215"/>
      <c r="CP203" s="215"/>
      <c r="CQ203" s="215"/>
      <c r="CR203" s="215"/>
      <c r="CS203" s="215"/>
      <c r="CT203" s="215"/>
      <c r="CU203" s="215"/>
      <c r="CV203" s="215"/>
      <c r="CW203" s="215"/>
      <c r="CX203" s="215"/>
      <c r="CY203" s="215"/>
      <c r="CZ203" s="215"/>
      <c r="DA203" s="215"/>
      <c r="DB203"/>
      <c r="DC203"/>
      <c r="DD203" s="2323" t="s">
        <v>1580</v>
      </c>
      <c r="DE203" s="2327">
        <f>M203</f>
        <v>0</v>
      </c>
      <c r="DF203" s="2327">
        <f>R203</f>
        <v>0</v>
      </c>
      <c r="DG203" s="2327">
        <f>W203</f>
        <v>0</v>
      </c>
      <c r="DH203" s="2327">
        <f>AB203</f>
        <v>0</v>
      </c>
      <c r="DI203" s="2327">
        <f>AG203</f>
        <v>0</v>
      </c>
      <c r="DJ203" s="2327">
        <f>AL203</f>
        <v>211.11517138058301</v>
      </c>
      <c r="DK203" s="2327">
        <f>AQ203</f>
        <v>219.20689361262805</v>
      </c>
      <c r="DL203" s="2327">
        <f>AV203</f>
        <v>267.56838873415222</v>
      </c>
      <c r="DM203" s="2327">
        <f>BA203</f>
        <v>279.18574034763441</v>
      </c>
      <c r="DN203" s="2327">
        <f>BF203</f>
        <v>210.00283162662862</v>
      </c>
      <c r="DO203" s="2327">
        <f>BK203</f>
        <v>201.60271836156346</v>
      </c>
      <c r="DP203" s="2327">
        <f>BP203</f>
        <v>215.71490864687291</v>
      </c>
      <c r="DQ203" s="2327">
        <f>BU203</f>
        <v>230.81495225215403</v>
      </c>
      <c r="DR203" s="2327">
        <f>BZ203</f>
        <v>246.97199890980482</v>
      </c>
      <c r="DS203" s="2327">
        <f>CE203</f>
        <v>264.26003883349119</v>
      </c>
      <c r="DT203" s="2327">
        <f>CJ203</f>
        <v>0</v>
      </c>
      <c r="DU203" s="2327">
        <f>CO203</f>
        <v>0</v>
      </c>
      <c r="DV203" s="2327">
        <f>CT203</f>
        <v>0</v>
      </c>
      <c r="DW203" s="2327">
        <f t="shared" ref="DW203:DY204" si="527">CY203</f>
        <v>0</v>
      </c>
      <c r="DX203" s="2327">
        <f t="shared" si="527"/>
        <v>0</v>
      </c>
      <c r="DY203" s="2327">
        <f t="shared" si="527"/>
        <v>0</v>
      </c>
      <c r="EA203"/>
      <c r="EB203"/>
      <c r="EC203"/>
      <c r="ED203"/>
      <c r="EE203"/>
      <c r="EF203"/>
      <c r="EJ203"/>
      <c r="EK203"/>
      <c r="EL203"/>
      <c r="ER203" s="212"/>
    </row>
    <row r="204" spans="1:148" s="1193" customFormat="1" ht="12.75" hidden="1" customHeight="1" outlineLevel="1" x14ac:dyDescent="0.2">
      <c r="A204" s="1860" t="s">
        <v>1621</v>
      </c>
      <c r="B204" s="1532"/>
      <c r="C204" s="1532"/>
      <c r="D204" s="1532"/>
      <c r="E204" s="1532"/>
      <c r="F204" s="1532"/>
      <c r="G204" s="1532"/>
      <c r="H204" s="1532"/>
      <c r="I204" s="1532"/>
      <c r="J204" s="1532"/>
      <c r="K204" s="1532"/>
      <c r="L204" s="1532"/>
      <c r="M204" s="1532"/>
      <c r="N204" s="1532"/>
      <c r="O204" s="1532"/>
      <c r="P204" s="1532"/>
      <c r="Q204" s="1532"/>
      <c r="R204" s="1532"/>
      <c r="S204" s="1532"/>
      <c r="T204" s="1532"/>
      <c r="U204" s="1532"/>
      <c r="V204" s="1532"/>
      <c r="W204" s="1532"/>
      <c r="X204" s="1532"/>
      <c r="Y204" s="1532"/>
      <c r="Z204" s="1532"/>
      <c r="AA204" s="1532"/>
      <c r="AB204" s="1532"/>
      <c r="AC204" s="1532"/>
      <c r="AD204" s="1532"/>
      <c r="AE204" s="1532"/>
      <c r="AF204" s="1532"/>
      <c r="AG204" s="1532"/>
      <c r="AH204" s="1532"/>
      <c r="AI204" s="1532"/>
      <c r="AJ204" s="1532"/>
      <c r="AK204" s="1532"/>
      <c r="AL204" s="1532"/>
      <c r="AM204" s="1532"/>
      <c r="AN204" s="1532"/>
      <c r="AO204" s="1532"/>
      <c r="AP204" s="1532"/>
      <c r="AQ204" s="1532">
        <f>AQ203/AL203-1</f>
        <v>3.8328473406858521E-2</v>
      </c>
      <c r="AR204" s="1532"/>
      <c r="AS204" s="1532"/>
      <c r="AT204" s="1532"/>
      <c r="AU204" s="1532"/>
      <c r="AV204" s="1532">
        <f>AV203/AQ203-1</f>
        <v>0.22062032048584346</v>
      </c>
      <c r="AW204" s="1532"/>
      <c r="AX204" s="1532"/>
      <c r="AY204" s="1532"/>
      <c r="AZ204" s="1532"/>
      <c r="BA204" s="1532">
        <f>BA203/AV203-1</f>
        <v>4.3418251567171495E-2</v>
      </c>
      <c r="BB204" s="1532"/>
      <c r="BC204" s="1532"/>
      <c r="BD204" s="1532"/>
      <c r="BE204" s="1532"/>
      <c r="BF204" s="1532">
        <f>BF203/BA203-1</f>
        <v>-0.24780244375970328</v>
      </c>
      <c r="BG204" s="1532"/>
      <c r="BH204" s="1532"/>
      <c r="BI204" s="1532"/>
      <c r="BJ204" s="1532"/>
      <c r="BK204" s="1532">
        <v>-0.04</v>
      </c>
      <c r="BL204" s="1532"/>
      <c r="BM204" s="1532"/>
      <c r="BN204" s="1532"/>
      <c r="BO204" s="1532"/>
      <c r="BP204" s="1532">
        <v>7.0000000000000007E-2</v>
      </c>
      <c r="BQ204" s="1532"/>
      <c r="BR204" s="1532"/>
      <c r="BS204" s="1532"/>
      <c r="BT204" s="1532"/>
      <c r="BU204" s="1532">
        <v>7.0000000000000007E-2</v>
      </c>
      <c r="BV204" s="1532"/>
      <c r="BW204" s="1532"/>
      <c r="BX204" s="1532"/>
      <c r="BY204" s="1532"/>
      <c r="BZ204" s="1532">
        <v>7.0000000000000007E-2</v>
      </c>
      <c r="CA204" s="1532"/>
      <c r="CB204" s="1532"/>
      <c r="CC204" s="1532"/>
      <c r="CD204" s="1532"/>
      <c r="CE204" s="1532">
        <v>7.0000000000000007E-2</v>
      </c>
      <c r="CF204" s="1532"/>
      <c r="CG204" s="1532"/>
      <c r="CH204" s="1532"/>
      <c r="CI204" s="1532"/>
      <c r="CJ204" s="1532"/>
      <c r="CK204" s="1532"/>
      <c r="CL204" s="1532"/>
      <c r="CM204" s="1532"/>
      <c r="CN204" s="1532"/>
      <c r="CO204" s="1532"/>
      <c r="CP204" s="1532"/>
      <c r="CQ204" s="1532"/>
      <c r="CR204" s="1532"/>
      <c r="CS204" s="1532"/>
      <c r="CT204" s="1532"/>
      <c r="CU204" s="1532"/>
      <c r="CV204" s="1532"/>
      <c r="CW204" s="1532"/>
      <c r="CX204" s="1532"/>
      <c r="DB204"/>
      <c r="DC204"/>
      <c r="DD204" s="2328" t="s">
        <v>1621</v>
      </c>
      <c r="DE204" s="2329">
        <f>M204</f>
        <v>0</v>
      </c>
      <c r="DF204" s="2329">
        <f>R204</f>
        <v>0</v>
      </c>
      <c r="DG204" s="2329">
        <f>W204</f>
        <v>0</v>
      </c>
      <c r="DH204" s="2329">
        <f>AB204</f>
        <v>0</v>
      </c>
      <c r="DI204" s="2329">
        <f>AG204</f>
        <v>0</v>
      </c>
      <c r="DJ204" s="2329">
        <f>AL204</f>
        <v>0</v>
      </c>
      <c r="DK204" s="2329">
        <f>AQ204</f>
        <v>3.8328473406858521E-2</v>
      </c>
      <c r="DL204" s="2329">
        <f>AV204</f>
        <v>0.22062032048584346</v>
      </c>
      <c r="DM204" s="2329">
        <f>BA204</f>
        <v>4.3418251567171495E-2</v>
      </c>
      <c r="DN204" s="2329">
        <f>BF204</f>
        <v>-0.24780244375970328</v>
      </c>
      <c r="DO204" s="2329">
        <f>BK204</f>
        <v>-0.04</v>
      </c>
      <c r="DP204" s="2329">
        <f>BP204</f>
        <v>7.0000000000000007E-2</v>
      </c>
      <c r="DQ204" s="2329">
        <f>BU204</f>
        <v>7.0000000000000007E-2</v>
      </c>
      <c r="DR204" s="2329">
        <f>BZ204</f>
        <v>7.0000000000000007E-2</v>
      </c>
      <c r="DS204" s="2329">
        <f>CE204</f>
        <v>7.0000000000000007E-2</v>
      </c>
      <c r="DT204" s="2329">
        <f>CJ204</f>
        <v>0</v>
      </c>
      <c r="DU204" s="2329">
        <f>CO204</f>
        <v>0</v>
      </c>
      <c r="DV204" s="2329">
        <f>CT204</f>
        <v>0</v>
      </c>
      <c r="DW204" s="2329">
        <f t="shared" si="527"/>
        <v>0</v>
      </c>
      <c r="DX204" s="2329">
        <f t="shared" si="527"/>
        <v>0</v>
      </c>
      <c r="DY204" s="2329">
        <f t="shared" si="527"/>
        <v>0</v>
      </c>
      <c r="EA204"/>
      <c r="EB204"/>
      <c r="EC204"/>
      <c r="ED204"/>
      <c r="EE204"/>
      <c r="EF204"/>
      <c r="EJ204"/>
      <c r="EK204"/>
      <c r="EL204"/>
      <c r="ER204" s="212"/>
    </row>
    <row r="205" spans="1:148" s="923" customFormat="1" ht="12.75" hidden="1" customHeight="1" outlineLevel="1" x14ac:dyDescent="0.2">
      <c r="A205" s="865"/>
      <c r="B205" s="215"/>
      <c r="C205" s="215"/>
      <c r="D205" s="215"/>
      <c r="E205" s="215"/>
      <c r="F205" s="215"/>
      <c r="G205" s="215"/>
      <c r="H205" s="215"/>
      <c r="I205" s="215"/>
      <c r="J205" s="215"/>
      <c r="K205" s="215"/>
      <c r="L205" s="215"/>
      <c r="M205" s="215"/>
      <c r="N205" s="215"/>
      <c r="O205" s="215"/>
      <c r="P205" s="215"/>
      <c r="Q205" s="215"/>
      <c r="R205" s="215"/>
      <c r="S205" s="215"/>
      <c r="T205" s="215"/>
      <c r="U205" s="215"/>
      <c r="V205" s="215"/>
      <c r="W205" s="215"/>
      <c r="X205" s="215"/>
      <c r="Y205" s="215"/>
      <c r="Z205" s="215"/>
      <c r="AA205" s="215"/>
      <c r="AB205" s="215"/>
      <c r="AC205" s="215"/>
      <c r="AD205" s="215"/>
      <c r="AE205" s="215"/>
      <c r="AF205" s="215"/>
      <c r="AG205" s="215"/>
      <c r="AH205" s="215"/>
      <c r="AI205" s="215"/>
      <c r="AJ205" s="215"/>
      <c r="AK205" s="215"/>
      <c r="AL205" s="215"/>
      <c r="AM205" s="215"/>
      <c r="AN205" s="215"/>
      <c r="AO205" s="215"/>
      <c r="AP205" s="215"/>
      <c r="AQ205" s="215"/>
      <c r="AR205" s="215"/>
      <c r="AS205" s="215"/>
      <c r="AT205" s="215"/>
      <c r="AU205" s="215"/>
      <c r="AV205" s="215"/>
      <c r="AW205" s="215"/>
      <c r="AX205" s="215"/>
      <c r="AY205" s="215"/>
      <c r="AZ205" s="215"/>
      <c r="BA205" s="215"/>
      <c r="BB205" s="215"/>
      <c r="BC205" s="215"/>
      <c r="BD205" s="215"/>
      <c r="BE205" s="215"/>
      <c r="BF205" s="215"/>
      <c r="BG205" s="215"/>
      <c r="BH205" s="215"/>
      <c r="BI205" s="215"/>
      <c r="BJ205" s="215"/>
      <c r="BK205" s="215"/>
      <c r="BL205" s="215"/>
      <c r="BM205" s="215"/>
      <c r="BN205" s="215"/>
      <c r="BO205" s="215"/>
      <c r="BP205" s="215"/>
      <c r="BQ205" s="215"/>
      <c r="BR205" s="215"/>
      <c r="BS205" s="215"/>
      <c r="BT205" s="215"/>
      <c r="BU205" s="215"/>
      <c r="BV205" s="215"/>
      <c r="BW205" s="215"/>
      <c r="BX205" s="215"/>
      <c r="BY205" s="215"/>
      <c r="BZ205" s="215"/>
      <c r="CA205" s="215"/>
      <c r="CB205" s="215"/>
      <c r="CC205" s="215"/>
      <c r="CD205" s="215"/>
      <c r="CE205" s="215"/>
      <c r="CF205" s="215"/>
      <c r="CG205" s="215"/>
      <c r="CH205" s="215"/>
      <c r="CI205" s="215"/>
      <c r="CJ205" s="215"/>
      <c r="CK205" s="215"/>
      <c r="CL205" s="215"/>
      <c r="CM205" s="215"/>
      <c r="CN205" s="215"/>
      <c r="CO205" s="215"/>
      <c r="CP205" s="215"/>
      <c r="CQ205" s="215"/>
      <c r="CR205" s="215"/>
      <c r="CS205" s="215"/>
      <c r="CT205" s="215"/>
      <c r="CU205" s="215"/>
      <c r="CV205" s="215"/>
      <c r="CW205" s="215"/>
      <c r="CX205" s="215"/>
      <c r="CY205" s="215"/>
      <c r="CZ205" s="215"/>
      <c r="DA205" s="215"/>
      <c r="DB205"/>
      <c r="DC205"/>
      <c r="DD205" s="2323"/>
      <c r="DE205" s="2327"/>
      <c r="DF205" s="2327"/>
      <c r="DG205" s="2327"/>
      <c r="DH205" s="2327"/>
      <c r="DI205" s="2327"/>
      <c r="DJ205" s="2327"/>
      <c r="DK205" s="2327"/>
      <c r="DL205" s="2327"/>
      <c r="DM205" s="2327"/>
      <c r="DN205" s="2327"/>
      <c r="DO205" s="2327"/>
      <c r="DP205" s="2327"/>
      <c r="DQ205" s="2327"/>
      <c r="DR205" s="2327"/>
      <c r="DS205" s="2327"/>
      <c r="DT205" s="2327"/>
      <c r="DU205" s="2327"/>
      <c r="DV205" s="2327"/>
      <c r="DW205" s="2327"/>
      <c r="DX205" s="2327"/>
      <c r="DY205" s="2327"/>
      <c r="EA205"/>
      <c r="EB205"/>
      <c r="EC205"/>
      <c r="ED205"/>
      <c r="EE205"/>
      <c r="EF205"/>
      <c r="EJ205"/>
      <c r="EK205"/>
      <c r="EL205"/>
      <c r="ER205" s="212"/>
    </row>
    <row r="206" spans="1:148" s="923" customFormat="1" ht="12.75" hidden="1" customHeight="1" outlineLevel="1" x14ac:dyDescent="0.2">
      <c r="A206" s="865" t="s">
        <v>1581</v>
      </c>
      <c r="B206" s="215"/>
      <c r="C206" s="215"/>
      <c r="D206" s="215"/>
      <c r="E206" s="215"/>
      <c r="F206" s="215"/>
      <c r="G206" s="215"/>
      <c r="H206" s="215"/>
      <c r="I206" s="215"/>
      <c r="J206" s="215"/>
      <c r="K206" s="215"/>
      <c r="L206" s="215"/>
      <c r="M206" s="215"/>
      <c r="N206" s="215"/>
      <c r="O206" s="215"/>
      <c r="P206" s="215"/>
      <c r="Q206" s="215"/>
      <c r="R206" s="215"/>
      <c r="S206" s="215"/>
      <c r="T206" s="215"/>
      <c r="U206" s="215"/>
      <c r="V206" s="215"/>
      <c r="W206" s="215"/>
      <c r="X206" s="215"/>
      <c r="Y206" s="215"/>
      <c r="Z206" s="215"/>
      <c r="AA206" s="215"/>
      <c r="AB206" s="215"/>
      <c r="AC206" s="215"/>
      <c r="AD206" s="215"/>
      <c r="AE206" s="215"/>
      <c r="AF206" s="215"/>
      <c r="AG206" s="215"/>
      <c r="AH206" s="215"/>
      <c r="AI206" s="215"/>
      <c r="AJ206" s="215"/>
      <c r="AK206" s="215"/>
      <c r="AL206" s="215">
        <f>+(AL200*1000000)/(AL$163*AL$4)</f>
        <v>199.5278594306447</v>
      </c>
      <c r="AM206" s="215"/>
      <c r="AN206" s="215"/>
      <c r="AO206" s="215"/>
      <c r="AP206" s="215"/>
      <c r="AQ206" s="215">
        <f>+(AQ200*1000000)/(AQ$163*AQ$4)</f>
        <v>203.84080249410866</v>
      </c>
      <c r="AR206" s="215"/>
      <c r="AS206" s="215"/>
      <c r="AT206" s="215"/>
      <c r="AU206" s="215"/>
      <c r="AV206" s="215">
        <f>+(AV200*1000000)/(AV$163*AV$4)</f>
        <v>252.10655236263904</v>
      </c>
      <c r="AW206" s="215"/>
      <c r="AX206" s="215"/>
      <c r="AY206" s="215"/>
      <c r="AZ206" s="215"/>
      <c r="BA206" s="215">
        <f>+(BA200*1000000)/(BA$163*BA$4)</f>
        <v>268.1833466393532</v>
      </c>
      <c r="BB206" s="215"/>
      <c r="BC206" s="215"/>
      <c r="BD206" s="215"/>
      <c r="BE206" s="215"/>
      <c r="BF206" s="215">
        <f>+(BF200*1000000)/(BF$163*BF$4)</f>
        <v>215.05705140103603</v>
      </c>
      <c r="BG206" s="215"/>
      <c r="BH206" s="215"/>
      <c r="BI206" s="215"/>
      <c r="BJ206" s="215"/>
      <c r="BK206" s="215">
        <f>BF206*(1+BK207)</f>
        <v>204.30419883098423</v>
      </c>
      <c r="BL206" s="215"/>
      <c r="BM206" s="215"/>
      <c r="BN206" s="215"/>
      <c r="BO206" s="215"/>
      <c r="BP206" s="215">
        <f>BK206*(1+BP207)</f>
        <v>212.47636678422361</v>
      </c>
      <c r="BQ206" s="215"/>
      <c r="BR206" s="215"/>
      <c r="BS206" s="215"/>
      <c r="BT206" s="215"/>
      <c r="BU206" s="215">
        <f>BP206*(1+BU207)</f>
        <v>220.97542145559257</v>
      </c>
      <c r="BV206" s="215"/>
      <c r="BW206" s="215"/>
      <c r="BX206" s="215"/>
      <c r="BY206" s="215"/>
      <c r="BZ206" s="215">
        <f>BU206*(1+BZ207)</f>
        <v>229.81443831381628</v>
      </c>
      <c r="CA206" s="215"/>
      <c r="CB206" s="215"/>
      <c r="CC206" s="215"/>
      <c r="CD206" s="215"/>
      <c r="CE206" s="215">
        <f>BZ206*(1+CE207)</f>
        <v>239.00701584636894</v>
      </c>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c r="DA206" s="215"/>
      <c r="DB206"/>
      <c r="DC206"/>
      <c r="DD206" s="2323" t="s">
        <v>1581</v>
      </c>
      <c r="DE206" s="2327">
        <f>M206</f>
        <v>0</v>
      </c>
      <c r="DF206" s="2327">
        <f>R206</f>
        <v>0</v>
      </c>
      <c r="DG206" s="2327">
        <f>W206</f>
        <v>0</v>
      </c>
      <c r="DH206" s="2327">
        <f>AB206</f>
        <v>0</v>
      </c>
      <c r="DI206" s="2327">
        <f>AG206</f>
        <v>0</v>
      </c>
      <c r="DJ206" s="2327">
        <f>AL206</f>
        <v>199.5278594306447</v>
      </c>
      <c r="DK206" s="2327">
        <f>AQ206</f>
        <v>203.84080249410866</v>
      </c>
      <c r="DL206" s="2327">
        <f>AV206</f>
        <v>252.10655236263904</v>
      </c>
      <c r="DM206" s="2327">
        <f>BA206</f>
        <v>268.1833466393532</v>
      </c>
      <c r="DN206" s="2327">
        <f>BF206</f>
        <v>215.05705140103603</v>
      </c>
      <c r="DO206" s="2327">
        <f>BK206</f>
        <v>204.30419883098423</v>
      </c>
      <c r="DP206" s="2327">
        <f>BP206</f>
        <v>212.47636678422361</v>
      </c>
      <c r="DQ206" s="2327">
        <f>BU206</f>
        <v>220.97542145559257</v>
      </c>
      <c r="DR206" s="2327">
        <f>BZ206</f>
        <v>229.81443831381628</v>
      </c>
      <c r="DS206" s="2327">
        <f>CE206</f>
        <v>239.00701584636894</v>
      </c>
      <c r="DT206" s="2327">
        <f>CJ206</f>
        <v>0</v>
      </c>
      <c r="DU206" s="2327">
        <f>CO206</f>
        <v>0</v>
      </c>
      <c r="DV206" s="2327">
        <f>CT206</f>
        <v>0</v>
      </c>
      <c r="DW206" s="2327">
        <f t="shared" ref="DW206:DY207" si="528">CY206</f>
        <v>0</v>
      </c>
      <c r="DX206" s="2327">
        <f t="shared" si="528"/>
        <v>0</v>
      </c>
      <c r="DY206" s="2327">
        <f t="shared" si="528"/>
        <v>0</v>
      </c>
      <c r="EA206"/>
      <c r="EB206"/>
      <c r="EC206"/>
      <c r="ED206"/>
      <c r="EE206"/>
      <c r="EF206"/>
      <c r="EJ206"/>
      <c r="EK206"/>
      <c r="EL206"/>
      <c r="ER206" s="212"/>
    </row>
    <row r="207" spans="1:148" s="1193" customFormat="1" ht="12.75" hidden="1" customHeight="1" outlineLevel="1" x14ac:dyDescent="0.2">
      <c r="A207" s="1860" t="s">
        <v>1621</v>
      </c>
      <c r="B207" s="1532"/>
      <c r="C207" s="1532"/>
      <c r="D207" s="1532"/>
      <c r="E207" s="1532"/>
      <c r="F207" s="1532"/>
      <c r="G207" s="1532"/>
      <c r="H207" s="1532"/>
      <c r="I207" s="1532"/>
      <c r="J207" s="1532"/>
      <c r="K207" s="1532"/>
      <c r="L207" s="1532"/>
      <c r="M207" s="1532"/>
      <c r="N207" s="1532"/>
      <c r="O207" s="1532"/>
      <c r="P207" s="1532"/>
      <c r="Q207" s="1532"/>
      <c r="R207" s="1532"/>
      <c r="S207" s="1532"/>
      <c r="T207" s="1532"/>
      <c r="U207" s="1532"/>
      <c r="V207" s="1532"/>
      <c r="W207" s="1532"/>
      <c r="X207" s="1532"/>
      <c r="Y207" s="1532"/>
      <c r="Z207" s="1532"/>
      <c r="AA207" s="1532"/>
      <c r="AB207" s="1532"/>
      <c r="AC207" s="1532"/>
      <c r="AD207" s="1532"/>
      <c r="AE207" s="1532"/>
      <c r="AF207" s="1532"/>
      <c r="AG207" s="1532"/>
      <c r="AH207" s="1532"/>
      <c r="AI207" s="1532"/>
      <c r="AJ207" s="1532"/>
      <c r="AK207" s="1532"/>
      <c r="AL207" s="1532"/>
      <c r="AM207" s="1532"/>
      <c r="AN207" s="1532"/>
      <c r="AO207" s="1532"/>
      <c r="AP207" s="1532"/>
      <c r="AQ207" s="1532">
        <f>AQ206/AL206-1</f>
        <v>2.1615743664924691E-2</v>
      </c>
      <c r="AR207" s="1532"/>
      <c r="AS207" s="1532"/>
      <c r="AT207" s="1532"/>
      <c r="AU207" s="1532"/>
      <c r="AV207" s="1532">
        <f>AV206/AQ206-1</f>
        <v>0.23678159268395405</v>
      </c>
      <c r="AW207" s="1532"/>
      <c r="AX207" s="1532"/>
      <c r="AY207" s="1532"/>
      <c r="AZ207" s="1532"/>
      <c r="BA207" s="1532">
        <f>BA206/AV206-1</f>
        <v>6.376983908608902E-2</v>
      </c>
      <c r="BB207" s="1532"/>
      <c r="BC207" s="1532"/>
      <c r="BD207" s="1532"/>
      <c r="BE207" s="1532"/>
      <c r="BF207" s="1532">
        <f>BF206/BA206-1</f>
        <v>-0.19809692102082754</v>
      </c>
      <c r="BG207" s="1532"/>
      <c r="BH207" s="1532"/>
      <c r="BI207" s="1532"/>
      <c r="BJ207" s="1532"/>
      <c r="BK207" s="1532">
        <v>-0.05</v>
      </c>
      <c r="BL207" s="1532"/>
      <c r="BM207" s="1532"/>
      <c r="BN207" s="1532"/>
      <c r="BO207" s="1532"/>
      <c r="BP207" s="1532">
        <v>0.04</v>
      </c>
      <c r="BQ207" s="1532"/>
      <c r="BR207" s="1532"/>
      <c r="BS207" s="1532"/>
      <c r="BT207" s="1532"/>
      <c r="BU207" s="1532">
        <v>0.04</v>
      </c>
      <c r="BV207" s="1532"/>
      <c r="BW207" s="1532"/>
      <c r="BX207" s="1532"/>
      <c r="BY207" s="1532"/>
      <c r="BZ207" s="1532">
        <v>0.04</v>
      </c>
      <c r="CA207" s="1532"/>
      <c r="CB207" s="1532"/>
      <c r="CC207" s="1532"/>
      <c r="CD207" s="1532"/>
      <c r="CE207" s="1532">
        <v>0.04</v>
      </c>
      <c r="CF207" s="1532"/>
      <c r="CG207" s="1532"/>
      <c r="CH207" s="1532"/>
      <c r="CI207" s="1532"/>
      <c r="CJ207" s="1532"/>
      <c r="CK207" s="1532"/>
      <c r="CL207" s="1532"/>
      <c r="CM207" s="1532"/>
      <c r="CN207" s="1532"/>
      <c r="CO207" s="1532"/>
      <c r="CP207" s="1532"/>
      <c r="CQ207" s="1532"/>
      <c r="CR207" s="1532"/>
      <c r="CS207" s="1532"/>
      <c r="CT207" s="1532"/>
      <c r="CU207" s="1532"/>
      <c r="CV207" s="1532"/>
      <c r="CW207" s="1532"/>
      <c r="CX207" s="1532"/>
      <c r="DB207"/>
      <c r="DC207"/>
      <c r="DD207" s="2328" t="s">
        <v>1621</v>
      </c>
      <c r="DE207" s="2329">
        <f>M207</f>
        <v>0</v>
      </c>
      <c r="DF207" s="2329">
        <f>R207</f>
        <v>0</v>
      </c>
      <c r="DG207" s="2329">
        <f>W207</f>
        <v>0</v>
      </c>
      <c r="DH207" s="2329">
        <f>AB207</f>
        <v>0</v>
      </c>
      <c r="DI207" s="2329">
        <f>AG207</f>
        <v>0</v>
      </c>
      <c r="DJ207" s="2329">
        <f>AL207</f>
        <v>0</v>
      </c>
      <c r="DK207" s="2329">
        <f>AQ207</f>
        <v>2.1615743664924691E-2</v>
      </c>
      <c r="DL207" s="2329">
        <f>AV207</f>
        <v>0.23678159268395405</v>
      </c>
      <c r="DM207" s="2329">
        <f>BA207</f>
        <v>6.376983908608902E-2</v>
      </c>
      <c r="DN207" s="2329">
        <f>BF207</f>
        <v>-0.19809692102082754</v>
      </c>
      <c r="DO207" s="2329">
        <f>BK207</f>
        <v>-0.05</v>
      </c>
      <c r="DP207" s="2329">
        <f>BP207</f>
        <v>0.04</v>
      </c>
      <c r="DQ207" s="2329">
        <f>BU207</f>
        <v>0.04</v>
      </c>
      <c r="DR207" s="2329">
        <f>BZ207</f>
        <v>0.04</v>
      </c>
      <c r="DS207" s="2329">
        <f>CE207</f>
        <v>0.04</v>
      </c>
      <c r="DT207" s="2329">
        <f>CJ207</f>
        <v>0</v>
      </c>
      <c r="DU207" s="2329">
        <f>CO207</f>
        <v>0</v>
      </c>
      <c r="DV207" s="2329">
        <f>CT207</f>
        <v>0</v>
      </c>
      <c r="DW207" s="2329">
        <f t="shared" si="528"/>
        <v>0</v>
      </c>
      <c r="DX207" s="2329">
        <f t="shared" si="528"/>
        <v>0</v>
      </c>
      <c r="DY207" s="2329">
        <f t="shared" si="528"/>
        <v>0</v>
      </c>
      <c r="EA207"/>
      <c r="EB207"/>
      <c r="EC207"/>
      <c r="ED207"/>
      <c r="EE207"/>
      <c r="EF207"/>
      <c r="EJ207"/>
      <c r="EK207"/>
      <c r="EL207"/>
      <c r="ER207" s="212"/>
    </row>
    <row r="208" spans="1:148" s="923" customFormat="1" ht="12.75" hidden="1" customHeight="1" outlineLevel="1" x14ac:dyDescent="0.2">
      <c r="A208" s="865"/>
      <c r="B208" s="215"/>
      <c r="C208" s="215"/>
      <c r="D208" s="215"/>
      <c r="E208" s="215"/>
      <c r="F208" s="215"/>
      <c r="G208" s="215"/>
      <c r="H208" s="215"/>
      <c r="I208" s="215"/>
      <c r="J208" s="215"/>
      <c r="K208" s="215"/>
      <c r="L208" s="215"/>
      <c r="M208" s="215"/>
      <c r="N208" s="215"/>
      <c r="O208" s="215"/>
      <c r="P208" s="215"/>
      <c r="Q208" s="215"/>
      <c r="R208" s="215"/>
      <c r="S208" s="215"/>
      <c r="T208" s="215"/>
      <c r="U208" s="215"/>
      <c r="V208" s="215"/>
      <c r="W208" s="215"/>
      <c r="X208" s="215"/>
      <c r="Y208" s="215"/>
      <c r="Z208" s="215"/>
      <c r="AA208" s="215"/>
      <c r="AB208" s="215"/>
      <c r="AC208" s="215"/>
      <c r="AD208" s="215"/>
      <c r="AE208" s="215"/>
      <c r="AF208" s="215"/>
      <c r="AG208" s="215"/>
      <c r="AH208" s="215"/>
      <c r="AI208" s="215"/>
      <c r="AJ208" s="215"/>
      <c r="AK208" s="215"/>
      <c r="AL208" s="215"/>
      <c r="AM208" s="215"/>
      <c r="AN208" s="215"/>
      <c r="AO208" s="215"/>
      <c r="AP208" s="215"/>
      <c r="AQ208" s="215"/>
      <c r="AR208" s="215"/>
      <c r="AS208" s="215"/>
      <c r="AT208" s="215"/>
      <c r="AU208" s="215"/>
      <c r="AV208" s="215"/>
      <c r="AW208" s="215"/>
      <c r="AX208" s="215"/>
      <c r="AY208" s="215"/>
      <c r="AZ208" s="215"/>
      <c r="BA208" s="215"/>
      <c r="BB208" s="215"/>
      <c r="BC208" s="215"/>
      <c r="BD208" s="215"/>
      <c r="BE208" s="215"/>
      <c r="BF208" s="215"/>
      <c r="BG208" s="215"/>
      <c r="BH208" s="215"/>
      <c r="BI208" s="215"/>
      <c r="BJ208" s="215"/>
      <c r="BK208" s="215"/>
      <c r="BL208" s="215"/>
      <c r="BM208" s="215"/>
      <c r="BN208" s="215"/>
      <c r="BO208" s="215"/>
      <c r="BP208" s="215"/>
      <c r="BQ208" s="215"/>
      <c r="BR208" s="215"/>
      <c r="BS208" s="215"/>
      <c r="BT208" s="215"/>
      <c r="BU208" s="215"/>
      <c r="BV208" s="215"/>
      <c r="BW208" s="215"/>
      <c r="BX208" s="215"/>
      <c r="BY208" s="215"/>
      <c r="BZ208" s="215"/>
      <c r="CA208" s="215"/>
      <c r="CB208" s="215"/>
      <c r="CC208" s="215"/>
      <c r="CD208" s="215"/>
      <c r="CE208" s="215"/>
      <c r="CF208" s="215"/>
      <c r="CG208" s="215"/>
      <c r="CH208" s="215"/>
      <c r="CI208" s="215"/>
      <c r="CJ208" s="215"/>
      <c r="CK208" s="215"/>
      <c r="CL208" s="215"/>
      <c r="CM208" s="215"/>
      <c r="CN208" s="215"/>
      <c r="CO208" s="215"/>
      <c r="CP208" s="215"/>
      <c r="CQ208" s="215"/>
      <c r="CR208" s="215"/>
      <c r="CS208" s="215"/>
      <c r="CT208" s="215"/>
      <c r="CU208" s="215"/>
      <c r="CV208" s="215"/>
      <c r="CW208" s="215"/>
      <c r="CX208" s="215"/>
      <c r="CY208" s="215"/>
      <c r="CZ208" s="215"/>
      <c r="DA208" s="215"/>
      <c r="DB208"/>
      <c r="DC208"/>
      <c r="DD208" s="2323"/>
      <c r="DE208" s="2327"/>
      <c r="DF208" s="2327"/>
      <c r="DG208" s="2327"/>
      <c r="DH208" s="2327"/>
      <c r="DI208" s="2327"/>
      <c r="DJ208" s="2327"/>
      <c r="DK208" s="2327"/>
      <c r="DL208" s="2327"/>
      <c r="DM208" s="2327"/>
      <c r="DN208" s="2327"/>
      <c r="DO208" s="2327"/>
      <c r="DP208" s="2327"/>
      <c r="DQ208" s="2327"/>
      <c r="DR208" s="2327"/>
      <c r="DS208" s="2327"/>
      <c r="DT208" s="2327"/>
      <c r="DU208" s="2327"/>
      <c r="DV208" s="2327"/>
      <c r="DW208" s="2327"/>
      <c r="DX208" s="2327"/>
      <c r="DY208" s="2327"/>
      <c r="EA208"/>
      <c r="EB208"/>
      <c r="EC208"/>
      <c r="ED208"/>
      <c r="EE208"/>
      <c r="EF208"/>
      <c r="EJ208"/>
      <c r="EK208"/>
      <c r="EL208"/>
      <c r="ER208" s="212"/>
    </row>
    <row r="209" spans="1:148" s="923" customFormat="1" ht="12.75" hidden="1" customHeight="1" outlineLevel="1" x14ac:dyDescent="0.2">
      <c r="A209" s="865" t="s">
        <v>1582</v>
      </c>
      <c r="B209" s="215"/>
      <c r="C209" s="215"/>
      <c r="D209" s="215"/>
      <c r="E209" s="215"/>
      <c r="F209" s="215"/>
      <c r="G209" s="215"/>
      <c r="H209" s="215"/>
      <c r="I209" s="215"/>
      <c r="J209" s="215"/>
      <c r="K209" s="215"/>
      <c r="L209" s="215"/>
      <c r="M209" s="215"/>
      <c r="N209" s="215"/>
      <c r="O209" s="215"/>
      <c r="P209" s="215"/>
      <c r="Q209" s="215"/>
      <c r="R209" s="215"/>
      <c r="S209" s="215"/>
      <c r="T209" s="215"/>
      <c r="U209" s="215"/>
      <c r="V209" s="215"/>
      <c r="W209" s="215"/>
      <c r="X209" s="215"/>
      <c r="Y209" s="215"/>
      <c r="Z209" s="215"/>
      <c r="AA209" s="215"/>
      <c r="AB209" s="215"/>
      <c r="AC209" s="215"/>
      <c r="AD209" s="215"/>
      <c r="AE209" s="215"/>
      <c r="AF209" s="215"/>
      <c r="AG209" s="215"/>
      <c r="AH209" s="215"/>
      <c r="AI209" s="215"/>
      <c r="AJ209" s="215"/>
      <c r="AK209" s="215"/>
      <c r="AL209" s="215">
        <v>197</v>
      </c>
      <c r="AM209" s="215"/>
      <c r="AN209" s="215"/>
      <c r="AO209" s="215"/>
      <c r="AP209" s="215"/>
      <c r="AQ209" s="215">
        <v>206</v>
      </c>
      <c r="AR209" s="215"/>
      <c r="AS209" s="215"/>
      <c r="AT209" s="215"/>
      <c r="AU209" s="215"/>
      <c r="AV209" s="215">
        <v>219</v>
      </c>
      <c r="AW209" s="215"/>
      <c r="AX209" s="215"/>
      <c r="AY209" s="215"/>
      <c r="AZ209" s="215"/>
      <c r="BA209" s="215">
        <v>210</v>
      </c>
      <c r="BB209" s="215"/>
      <c r="BC209" s="215"/>
      <c r="BD209" s="215"/>
      <c r="BE209" s="215"/>
      <c r="BF209" s="215">
        <v>188</v>
      </c>
      <c r="BG209" s="215"/>
      <c r="BH209" s="215"/>
      <c r="BI209" s="215"/>
      <c r="BJ209" s="215"/>
      <c r="BK209" s="215">
        <f>BF209*(1+BK210)</f>
        <v>204.92000000000002</v>
      </c>
      <c r="BL209" s="215"/>
      <c r="BM209" s="215"/>
      <c r="BN209" s="215"/>
      <c r="BO209" s="215"/>
      <c r="BP209" s="215">
        <f>BK209*(1+BP210)</f>
        <v>213.11680000000001</v>
      </c>
      <c r="BQ209" s="215"/>
      <c r="BR209" s="215"/>
      <c r="BS209" s="215"/>
      <c r="BT209" s="215"/>
      <c r="BU209" s="215">
        <f>BP209*(1+BU210)</f>
        <v>221.64147200000002</v>
      </c>
      <c r="BV209" s="215"/>
      <c r="BW209" s="215"/>
      <c r="BX209" s="215"/>
      <c r="BY209" s="215"/>
      <c r="BZ209" s="215">
        <f>BU209*(1+BZ210)</f>
        <v>230.50713088000003</v>
      </c>
      <c r="CA209" s="215"/>
      <c r="CB209" s="215"/>
      <c r="CC209" s="215"/>
      <c r="CD209" s="215"/>
      <c r="CE209" s="215">
        <f>BZ209*(1+CE210)</f>
        <v>239.72741611520004</v>
      </c>
      <c r="CF209" s="215"/>
      <c r="CG209" s="215"/>
      <c r="CH209" s="215"/>
      <c r="CI209" s="215"/>
      <c r="CJ209" s="215"/>
      <c r="CK209" s="215"/>
      <c r="CL209" s="215"/>
      <c r="CM209" s="215"/>
      <c r="CN209" s="215"/>
      <c r="CO209" s="215"/>
      <c r="CP209" s="215"/>
      <c r="CQ209" s="215"/>
      <c r="CR209" s="215"/>
      <c r="CS209" s="215"/>
      <c r="CT209" s="215"/>
      <c r="CU209" s="215"/>
      <c r="CV209" s="215"/>
      <c r="CW209" s="215"/>
      <c r="CX209" s="215"/>
      <c r="CY209" s="215"/>
      <c r="CZ209" s="215"/>
      <c r="DA209" s="215"/>
      <c r="DB209"/>
      <c r="DC209"/>
      <c r="DD209" s="2323" t="s">
        <v>1582</v>
      </c>
      <c r="DE209" s="2327">
        <f t="shared" ref="DE209:DE214" si="529">M209</f>
        <v>0</v>
      </c>
      <c r="DF209" s="2327">
        <f t="shared" ref="DF209:DF214" si="530">R209</f>
        <v>0</v>
      </c>
      <c r="DG209" s="2327">
        <f t="shared" ref="DG209:DG214" si="531">W209</f>
        <v>0</v>
      </c>
      <c r="DH209" s="2327">
        <f t="shared" ref="DH209:DH214" si="532">AB209</f>
        <v>0</v>
      </c>
      <c r="DI209" s="2327">
        <f t="shared" ref="DI209:DI214" si="533">AG209</f>
        <v>0</v>
      </c>
      <c r="DJ209" s="2327">
        <f t="shared" ref="DJ209:DJ214" si="534">AL209</f>
        <v>197</v>
      </c>
      <c r="DK209" s="2327">
        <f t="shared" ref="DK209:DK214" si="535">AQ209</f>
        <v>206</v>
      </c>
      <c r="DL209" s="2327">
        <f t="shared" ref="DL209:DL214" si="536">AV209</f>
        <v>219</v>
      </c>
      <c r="DM209" s="2327">
        <f t="shared" ref="DM209:DM214" si="537">BA209</f>
        <v>210</v>
      </c>
      <c r="DN209" s="2327">
        <f t="shared" ref="DN209:DN214" si="538">BF209</f>
        <v>188</v>
      </c>
      <c r="DO209" s="2327">
        <f t="shared" ref="DO209:DO214" si="539">BK209</f>
        <v>204.92000000000002</v>
      </c>
      <c r="DP209" s="2327">
        <f t="shared" ref="DP209:DP214" si="540">BP209</f>
        <v>213.11680000000001</v>
      </c>
      <c r="DQ209" s="2327">
        <f t="shared" ref="DQ209:DQ214" si="541">BU209</f>
        <v>221.64147200000002</v>
      </c>
      <c r="DR209" s="2327">
        <f t="shared" ref="DR209:DR214" si="542">BZ209</f>
        <v>230.50713088000003</v>
      </c>
      <c r="DS209" s="2327">
        <f t="shared" ref="DS209:DS214" si="543">CE209</f>
        <v>239.72741611520004</v>
      </c>
      <c r="DT209" s="2327">
        <f t="shared" ref="DT209:DT214" si="544">CJ209</f>
        <v>0</v>
      </c>
      <c r="DU209" s="2327">
        <f t="shared" ref="DU209:DU214" si="545">CO209</f>
        <v>0</v>
      </c>
      <c r="DV209" s="2327">
        <f t="shared" ref="DV209:DV214" si="546">CT209</f>
        <v>0</v>
      </c>
      <c r="DW209" s="2327">
        <f t="shared" ref="DW209:DW214" si="547">CY209</f>
        <v>0</v>
      </c>
      <c r="DX209" s="2327">
        <f t="shared" ref="DX209:DX214" si="548">CZ209</f>
        <v>0</v>
      </c>
      <c r="DY209" s="2327">
        <f t="shared" ref="DY209:DY214" si="549">DA209</f>
        <v>0</v>
      </c>
      <c r="EA209"/>
      <c r="EB209"/>
      <c r="EC209"/>
      <c r="ED209"/>
      <c r="EE209"/>
      <c r="EF209"/>
      <c r="EJ209"/>
      <c r="EK209"/>
      <c r="EL209"/>
      <c r="ER209" s="212"/>
    </row>
    <row r="210" spans="1:148" s="1193" customFormat="1" ht="12.75" hidden="1" customHeight="1" outlineLevel="1" x14ac:dyDescent="0.2">
      <c r="A210" s="1860" t="s">
        <v>1621</v>
      </c>
      <c r="B210" s="1532"/>
      <c r="C210" s="1532"/>
      <c r="D210" s="1532"/>
      <c r="E210" s="1532"/>
      <c r="F210" s="1532"/>
      <c r="G210" s="1532"/>
      <c r="H210" s="1532"/>
      <c r="I210" s="1532"/>
      <c r="J210" s="1532"/>
      <c r="K210" s="1532"/>
      <c r="L210" s="1532"/>
      <c r="N210" s="1532"/>
      <c r="O210" s="1532"/>
      <c r="P210" s="1532"/>
      <c r="Q210" s="1532"/>
      <c r="S210" s="1532"/>
      <c r="T210" s="1532"/>
      <c r="U210" s="1532"/>
      <c r="V210" s="1532"/>
      <c r="X210" s="1532"/>
      <c r="Y210" s="1532"/>
      <c r="Z210" s="1532"/>
      <c r="AA210" s="1532"/>
      <c r="AC210" s="1532"/>
      <c r="AD210" s="1532"/>
      <c r="AE210" s="1532"/>
      <c r="AF210" s="1532"/>
      <c r="AH210" s="1532"/>
      <c r="AI210" s="1532"/>
      <c r="AJ210" s="1532"/>
      <c r="AK210" s="1532"/>
      <c r="AM210" s="1532"/>
      <c r="AN210" s="1532"/>
      <c r="AO210" s="1532"/>
      <c r="AP210" s="1532"/>
      <c r="AQ210" s="1193">
        <f>AQ209/AL209-1</f>
        <v>4.5685279187817285E-2</v>
      </c>
      <c r="AR210" s="1532"/>
      <c r="AS210" s="1532"/>
      <c r="AT210" s="1532"/>
      <c r="AU210" s="1532"/>
      <c r="AV210" s="1193">
        <f>AV209/AQ209-1</f>
        <v>6.3106796116504826E-2</v>
      </c>
      <c r="AW210" s="1532"/>
      <c r="AX210" s="1532"/>
      <c r="AY210" s="1532"/>
      <c r="AZ210" s="1532"/>
      <c r="BA210" s="1193">
        <f>BA209/AV209-1</f>
        <v>-4.1095890410958957E-2</v>
      </c>
      <c r="BB210" s="1532"/>
      <c r="BC210" s="1532"/>
      <c r="BD210" s="1532"/>
      <c r="BE210" s="1532"/>
      <c r="BF210" s="1193">
        <f>BF209/BA209-1</f>
        <v>-0.10476190476190472</v>
      </c>
      <c r="BG210" s="1532"/>
      <c r="BH210" s="1532"/>
      <c r="BI210" s="1532"/>
      <c r="BJ210" s="1532"/>
      <c r="BK210" s="1193">
        <v>0.09</v>
      </c>
      <c r="BL210" s="1532"/>
      <c r="BM210" s="1532"/>
      <c r="BN210" s="1532"/>
      <c r="BO210" s="1532"/>
      <c r="BP210" s="1193">
        <v>0.04</v>
      </c>
      <c r="BQ210" s="1532"/>
      <c r="BR210" s="1532"/>
      <c r="BS210" s="1532"/>
      <c r="BT210" s="1532"/>
      <c r="BU210" s="1193">
        <v>0.04</v>
      </c>
      <c r="BV210" s="1532"/>
      <c r="BW210" s="1532"/>
      <c r="BX210" s="1532"/>
      <c r="BY210" s="1532"/>
      <c r="BZ210" s="1193">
        <v>0.04</v>
      </c>
      <c r="CE210" s="1193">
        <v>0.04</v>
      </c>
      <c r="DB210"/>
      <c r="DC210"/>
      <c r="DD210" s="2328" t="s">
        <v>1621</v>
      </c>
      <c r="DE210" s="2329">
        <f t="shared" si="529"/>
        <v>0</v>
      </c>
      <c r="DF210" s="2329">
        <f t="shared" si="530"/>
        <v>0</v>
      </c>
      <c r="DG210" s="2329">
        <f t="shared" si="531"/>
        <v>0</v>
      </c>
      <c r="DH210" s="2329">
        <f t="shared" si="532"/>
        <v>0</v>
      </c>
      <c r="DI210" s="2329">
        <f t="shared" si="533"/>
        <v>0</v>
      </c>
      <c r="DJ210" s="2329">
        <f t="shared" si="534"/>
        <v>0</v>
      </c>
      <c r="DK210" s="2329">
        <f t="shared" si="535"/>
        <v>4.5685279187817285E-2</v>
      </c>
      <c r="DL210" s="2329">
        <f t="shared" si="536"/>
        <v>6.3106796116504826E-2</v>
      </c>
      <c r="DM210" s="2329">
        <f t="shared" si="537"/>
        <v>-4.1095890410958957E-2</v>
      </c>
      <c r="DN210" s="2329">
        <f t="shared" si="538"/>
        <v>-0.10476190476190472</v>
      </c>
      <c r="DO210" s="2329">
        <f t="shared" si="539"/>
        <v>0.09</v>
      </c>
      <c r="DP210" s="2329">
        <f t="shared" si="540"/>
        <v>0.04</v>
      </c>
      <c r="DQ210" s="2329">
        <f t="shared" si="541"/>
        <v>0.04</v>
      </c>
      <c r="DR210" s="2329">
        <f t="shared" si="542"/>
        <v>0.04</v>
      </c>
      <c r="DS210" s="2329">
        <f t="shared" si="543"/>
        <v>0.04</v>
      </c>
      <c r="DT210" s="2329">
        <f t="shared" si="544"/>
        <v>0</v>
      </c>
      <c r="DU210" s="2329">
        <f t="shared" si="545"/>
        <v>0</v>
      </c>
      <c r="DV210" s="2329">
        <f t="shared" si="546"/>
        <v>0</v>
      </c>
      <c r="DW210" s="2329">
        <f t="shared" si="547"/>
        <v>0</v>
      </c>
      <c r="DX210" s="2329">
        <f t="shared" si="548"/>
        <v>0</v>
      </c>
      <c r="DY210" s="2329">
        <f t="shared" si="549"/>
        <v>0</v>
      </c>
      <c r="EA210"/>
      <c r="EB210"/>
      <c r="EC210"/>
      <c r="ED210"/>
      <c r="EE210"/>
      <c r="EF210"/>
      <c r="EJ210"/>
      <c r="EK210"/>
      <c r="EL210"/>
      <c r="ER210" s="212"/>
    </row>
    <row r="211" spans="1:148" s="923" customFormat="1" ht="12.75" hidden="1" customHeight="1" outlineLevel="1" x14ac:dyDescent="0.2">
      <c r="A211" s="865" t="s">
        <v>1583</v>
      </c>
      <c r="B211" s="214"/>
      <c r="C211" s="214"/>
      <c r="D211" s="214"/>
      <c r="E211" s="214"/>
      <c r="F211" s="214"/>
      <c r="G211" s="214"/>
      <c r="H211" s="214"/>
      <c r="I211" s="214"/>
      <c r="J211" s="214"/>
      <c r="K211" s="214"/>
      <c r="L211" s="214"/>
      <c r="M211" s="215"/>
      <c r="N211" s="214"/>
      <c r="O211" s="214"/>
      <c r="P211" s="214"/>
      <c r="Q211" s="214"/>
      <c r="R211" s="215"/>
      <c r="S211" s="214"/>
      <c r="T211" s="214"/>
      <c r="U211" s="214"/>
      <c r="V211" s="214"/>
      <c r="W211" s="215"/>
      <c r="X211" s="214"/>
      <c r="Y211" s="214"/>
      <c r="Z211" s="214"/>
      <c r="AA211" s="214"/>
      <c r="AB211" s="215"/>
      <c r="AC211" s="214"/>
      <c r="AD211" s="214"/>
      <c r="AE211" s="214"/>
      <c r="AF211" s="214"/>
      <c r="AG211" s="215"/>
      <c r="AH211" s="214"/>
      <c r="AI211" s="214"/>
      <c r="AJ211" s="214"/>
      <c r="AK211" s="214"/>
      <c r="AL211" s="215">
        <f>AL209-AL213</f>
        <v>72</v>
      </c>
      <c r="AM211" s="214"/>
      <c r="AN211" s="214"/>
      <c r="AO211" s="214"/>
      <c r="AP211" s="214"/>
      <c r="AQ211" s="215">
        <f>AQ209-AQ213</f>
        <v>87</v>
      </c>
      <c r="AR211" s="214"/>
      <c r="AS211" s="214"/>
      <c r="AT211" s="214"/>
      <c r="AU211" s="214"/>
      <c r="AV211" s="215">
        <f>AV209-AV213</f>
        <v>100</v>
      </c>
      <c r="AW211" s="214"/>
      <c r="AX211" s="214"/>
      <c r="AY211" s="214"/>
      <c r="AZ211" s="214"/>
      <c r="BA211" s="215">
        <f>BA209-BA213</f>
        <v>113</v>
      </c>
      <c r="BB211" s="214"/>
      <c r="BC211" s="214"/>
      <c r="BD211" s="214"/>
      <c r="BE211" s="214"/>
      <c r="BF211" s="215">
        <f>BF209-BF213</f>
        <v>100</v>
      </c>
      <c r="BG211" s="214"/>
      <c r="BH211" s="214"/>
      <c r="BI211" s="214"/>
      <c r="BJ211" s="214"/>
      <c r="BK211" s="215">
        <f>BF211*(1+BK212)</f>
        <v>100</v>
      </c>
      <c r="BL211" s="214"/>
      <c r="BM211" s="214"/>
      <c r="BN211" s="214"/>
      <c r="BO211" s="214"/>
      <c r="BP211" s="215">
        <f>BK211*(1+BP212)</f>
        <v>109.00000000000001</v>
      </c>
      <c r="BQ211" s="214"/>
      <c r="BR211" s="214"/>
      <c r="BS211" s="214"/>
      <c r="BT211" s="214"/>
      <c r="BU211" s="215">
        <f>BP211*(1+BU212)</f>
        <v>118.81000000000003</v>
      </c>
      <c r="BV211" s="214"/>
      <c r="BW211" s="214"/>
      <c r="BX211" s="214"/>
      <c r="BY211" s="214"/>
      <c r="BZ211" s="215">
        <f>BU211*(1+BZ212)</f>
        <v>129.50290000000004</v>
      </c>
      <c r="CA211" s="215"/>
      <c r="CB211" s="215"/>
      <c r="CC211" s="215"/>
      <c r="CD211" s="215"/>
      <c r="CE211" s="215">
        <f>BZ211*(1+CE212)</f>
        <v>141.15816100000006</v>
      </c>
      <c r="CF211" s="215"/>
      <c r="CG211" s="215"/>
      <c r="CH211" s="215"/>
      <c r="CI211" s="215"/>
      <c r="CJ211" s="215"/>
      <c r="CK211" s="215"/>
      <c r="CL211" s="215"/>
      <c r="CM211" s="215"/>
      <c r="CN211" s="215"/>
      <c r="CO211" s="215"/>
      <c r="CP211" s="215"/>
      <c r="CQ211" s="215"/>
      <c r="CR211" s="215"/>
      <c r="CS211" s="215"/>
      <c r="CT211" s="215"/>
      <c r="CU211" s="215"/>
      <c r="CV211" s="215"/>
      <c r="CW211" s="215"/>
      <c r="CX211" s="215"/>
      <c r="CY211" s="215"/>
      <c r="CZ211" s="215"/>
      <c r="DA211" s="215"/>
      <c r="DB211"/>
      <c r="DC211"/>
      <c r="DD211" s="2323" t="s">
        <v>1583</v>
      </c>
      <c r="DE211" s="2327">
        <f t="shared" si="529"/>
        <v>0</v>
      </c>
      <c r="DF211" s="2327">
        <f t="shared" si="530"/>
        <v>0</v>
      </c>
      <c r="DG211" s="2327">
        <f t="shared" si="531"/>
        <v>0</v>
      </c>
      <c r="DH211" s="2327">
        <f t="shared" si="532"/>
        <v>0</v>
      </c>
      <c r="DI211" s="2327">
        <f t="shared" si="533"/>
        <v>0</v>
      </c>
      <c r="DJ211" s="2327">
        <f t="shared" si="534"/>
        <v>72</v>
      </c>
      <c r="DK211" s="2327">
        <f t="shared" si="535"/>
        <v>87</v>
      </c>
      <c r="DL211" s="2327">
        <f t="shared" si="536"/>
        <v>100</v>
      </c>
      <c r="DM211" s="2327">
        <f t="shared" si="537"/>
        <v>113</v>
      </c>
      <c r="DN211" s="2327">
        <f t="shared" si="538"/>
        <v>100</v>
      </c>
      <c r="DO211" s="2327">
        <f t="shared" si="539"/>
        <v>100</v>
      </c>
      <c r="DP211" s="2327">
        <f t="shared" si="540"/>
        <v>109.00000000000001</v>
      </c>
      <c r="DQ211" s="2327">
        <f t="shared" si="541"/>
        <v>118.81000000000003</v>
      </c>
      <c r="DR211" s="2327">
        <f t="shared" si="542"/>
        <v>129.50290000000004</v>
      </c>
      <c r="DS211" s="2327">
        <f t="shared" si="543"/>
        <v>141.15816100000006</v>
      </c>
      <c r="DT211" s="2327">
        <f t="shared" si="544"/>
        <v>0</v>
      </c>
      <c r="DU211" s="2327">
        <f t="shared" si="545"/>
        <v>0</v>
      </c>
      <c r="DV211" s="2327">
        <f t="shared" si="546"/>
        <v>0</v>
      </c>
      <c r="DW211" s="2327">
        <f t="shared" si="547"/>
        <v>0</v>
      </c>
      <c r="DX211" s="2327">
        <f t="shared" si="548"/>
        <v>0</v>
      </c>
      <c r="DY211" s="2327">
        <f t="shared" si="549"/>
        <v>0</v>
      </c>
      <c r="EA211"/>
      <c r="EB211"/>
      <c r="EC211"/>
      <c r="ED211"/>
      <c r="EE211"/>
      <c r="EF211"/>
      <c r="EJ211"/>
      <c r="EK211"/>
      <c r="EL211"/>
      <c r="ER211" s="212"/>
    </row>
    <row r="212" spans="1:148" s="1193" customFormat="1" ht="12.75" hidden="1" customHeight="1" outlineLevel="1" x14ac:dyDescent="0.2">
      <c r="A212" s="1860" t="s">
        <v>1621</v>
      </c>
      <c r="B212" s="1532"/>
      <c r="C212" s="1532"/>
      <c r="D212" s="1532"/>
      <c r="E212" s="1532"/>
      <c r="F212" s="1532"/>
      <c r="G212" s="1532"/>
      <c r="H212" s="1532"/>
      <c r="I212" s="1532"/>
      <c r="J212" s="1532"/>
      <c r="K212" s="1532"/>
      <c r="L212" s="1532"/>
      <c r="N212" s="1532"/>
      <c r="O212" s="1532"/>
      <c r="P212" s="1532"/>
      <c r="Q212" s="1532"/>
      <c r="S212" s="1532"/>
      <c r="T212" s="1532"/>
      <c r="U212" s="1532"/>
      <c r="V212" s="1532"/>
      <c r="X212" s="1532"/>
      <c r="Y212" s="1532"/>
      <c r="Z212" s="1532"/>
      <c r="AA212" s="1532"/>
      <c r="AC212" s="1532"/>
      <c r="AD212" s="1532"/>
      <c r="AE212" s="1532"/>
      <c r="AF212" s="1532"/>
      <c r="AH212" s="1532"/>
      <c r="AI212" s="1532"/>
      <c r="AJ212" s="1532"/>
      <c r="AK212" s="1532"/>
      <c r="AM212" s="1532"/>
      <c r="AN212" s="1532"/>
      <c r="AO212" s="1532"/>
      <c r="AP212" s="1532"/>
      <c r="AQ212" s="1193">
        <f>AQ211/AL211-1</f>
        <v>0.20833333333333326</v>
      </c>
      <c r="AR212" s="1532"/>
      <c r="AS212" s="1532"/>
      <c r="AT212" s="1532"/>
      <c r="AU212" s="1532"/>
      <c r="AV212" s="1193">
        <f>AV211/AQ211-1</f>
        <v>0.14942528735632177</v>
      </c>
      <c r="AW212" s="1532"/>
      <c r="AX212" s="1532"/>
      <c r="AY212" s="1532"/>
      <c r="AZ212" s="1532"/>
      <c r="BA212" s="1193">
        <f>BA211/AV211-1</f>
        <v>0.12999999999999989</v>
      </c>
      <c r="BB212" s="1532"/>
      <c r="BC212" s="1532"/>
      <c r="BD212" s="1532"/>
      <c r="BE212" s="1532"/>
      <c r="BF212" s="1193">
        <f>BF211/BA211-1</f>
        <v>-0.11504424778761058</v>
      </c>
      <c r="BG212" s="1532"/>
      <c r="BH212" s="1532"/>
      <c r="BI212" s="1532"/>
      <c r="BJ212" s="1532"/>
      <c r="BK212" s="1193">
        <v>0</v>
      </c>
      <c r="BL212" s="1532"/>
      <c r="BM212" s="1532"/>
      <c r="BN212" s="1532"/>
      <c r="BO212" s="1532"/>
      <c r="BP212" s="1193">
        <v>0.09</v>
      </c>
      <c r="BQ212" s="1532"/>
      <c r="BR212" s="1532"/>
      <c r="BS212" s="1532"/>
      <c r="BT212" s="1532"/>
      <c r="BU212" s="1193">
        <v>0.09</v>
      </c>
      <c r="BV212" s="1532"/>
      <c r="BW212" s="1532"/>
      <c r="BX212" s="1532"/>
      <c r="BY212" s="1532"/>
      <c r="BZ212" s="1193">
        <v>0.09</v>
      </c>
      <c r="CE212" s="1193">
        <v>0.09</v>
      </c>
      <c r="DB212"/>
      <c r="DC212"/>
      <c r="DD212" s="2328" t="s">
        <v>1621</v>
      </c>
      <c r="DE212" s="2329">
        <f t="shared" si="529"/>
        <v>0</v>
      </c>
      <c r="DF212" s="2329">
        <f t="shared" si="530"/>
        <v>0</v>
      </c>
      <c r="DG212" s="2329">
        <f t="shared" si="531"/>
        <v>0</v>
      </c>
      <c r="DH212" s="2329">
        <f t="shared" si="532"/>
        <v>0</v>
      </c>
      <c r="DI212" s="2329">
        <f t="shared" si="533"/>
        <v>0</v>
      </c>
      <c r="DJ212" s="2329">
        <f t="shared" si="534"/>
        <v>0</v>
      </c>
      <c r="DK212" s="2329">
        <f t="shared" si="535"/>
        <v>0.20833333333333326</v>
      </c>
      <c r="DL212" s="2329">
        <f t="shared" si="536"/>
        <v>0.14942528735632177</v>
      </c>
      <c r="DM212" s="2329">
        <f t="shared" si="537"/>
        <v>0.12999999999999989</v>
      </c>
      <c r="DN212" s="2329">
        <f t="shared" si="538"/>
        <v>-0.11504424778761058</v>
      </c>
      <c r="DO212" s="2329">
        <f t="shared" si="539"/>
        <v>0</v>
      </c>
      <c r="DP212" s="2329">
        <f t="shared" si="540"/>
        <v>0.09</v>
      </c>
      <c r="DQ212" s="2329">
        <f t="shared" si="541"/>
        <v>0.09</v>
      </c>
      <c r="DR212" s="2329">
        <f t="shared" si="542"/>
        <v>0.09</v>
      </c>
      <c r="DS212" s="2329">
        <f t="shared" si="543"/>
        <v>0.09</v>
      </c>
      <c r="DT212" s="2329">
        <f t="shared" si="544"/>
        <v>0</v>
      </c>
      <c r="DU212" s="2329">
        <f t="shared" si="545"/>
        <v>0</v>
      </c>
      <c r="DV212" s="2329">
        <f t="shared" si="546"/>
        <v>0</v>
      </c>
      <c r="DW212" s="2329">
        <f t="shared" si="547"/>
        <v>0</v>
      </c>
      <c r="DX212" s="2329">
        <f t="shared" si="548"/>
        <v>0</v>
      </c>
      <c r="DY212" s="2329">
        <f t="shared" si="549"/>
        <v>0</v>
      </c>
      <c r="EA212"/>
      <c r="EB212"/>
      <c r="EC212"/>
      <c r="ED212"/>
      <c r="EE212"/>
      <c r="EF212"/>
      <c r="EJ212"/>
      <c r="EK212"/>
      <c r="EL212"/>
      <c r="ER212" s="212"/>
    </row>
    <row r="213" spans="1:148" s="923" customFormat="1" ht="12.75" hidden="1" customHeight="1" outlineLevel="1" x14ac:dyDescent="0.2">
      <c r="A213" s="865" t="s">
        <v>1613</v>
      </c>
      <c r="B213" s="215"/>
      <c r="C213" s="215"/>
      <c r="D213" s="215"/>
      <c r="E213" s="215"/>
      <c r="F213" s="215"/>
      <c r="G213" s="215"/>
      <c r="H213" s="215"/>
      <c r="I213" s="215"/>
      <c r="J213" s="215"/>
      <c r="K213" s="215"/>
      <c r="L213" s="215"/>
      <c r="M213" s="215"/>
      <c r="N213" s="215"/>
      <c r="O213" s="215"/>
      <c r="P213" s="215"/>
      <c r="Q213" s="215"/>
      <c r="R213" s="215"/>
      <c r="S213" s="215"/>
      <c r="T213" s="215"/>
      <c r="U213" s="215"/>
      <c r="V213" s="215"/>
      <c r="W213" s="215"/>
      <c r="X213" s="215"/>
      <c r="Y213" s="215"/>
      <c r="Z213" s="215"/>
      <c r="AA213" s="215"/>
      <c r="AB213" s="215"/>
      <c r="AC213" s="215"/>
      <c r="AD213" s="215"/>
      <c r="AE213" s="215"/>
      <c r="AF213" s="215"/>
      <c r="AG213" s="215"/>
      <c r="AH213" s="215"/>
      <c r="AI213" s="215"/>
      <c r="AJ213" s="215"/>
      <c r="AK213" s="215"/>
      <c r="AL213" s="215">
        <v>125</v>
      </c>
      <c r="AM213" s="215"/>
      <c r="AN213" s="215"/>
      <c r="AO213" s="215"/>
      <c r="AP213" s="215"/>
      <c r="AQ213" s="215">
        <v>119</v>
      </c>
      <c r="AR213" s="215"/>
      <c r="AS213" s="215"/>
      <c r="AT213" s="215"/>
      <c r="AU213" s="215"/>
      <c r="AV213" s="215">
        <v>119</v>
      </c>
      <c r="AW213" s="215"/>
      <c r="AX213" s="215"/>
      <c r="AY213" s="215"/>
      <c r="AZ213" s="215"/>
      <c r="BA213" s="215">
        <v>97</v>
      </c>
      <c r="BB213" s="215"/>
      <c r="BC213" s="215"/>
      <c r="BD213" s="215"/>
      <c r="BE213" s="215"/>
      <c r="BF213" s="215">
        <v>88</v>
      </c>
      <c r="BG213" s="215"/>
      <c r="BH213" s="215"/>
      <c r="BI213" s="215"/>
      <c r="BJ213" s="215"/>
      <c r="BK213" s="215">
        <f>BK209-BK211</f>
        <v>104.92000000000002</v>
      </c>
      <c r="BL213" s="215"/>
      <c r="BM213" s="215"/>
      <c r="BN213" s="215"/>
      <c r="BO213" s="215"/>
      <c r="BP213" s="215">
        <f>BP209-BP211</f>
        <v>104.1168</v>
      </c>
      <c r="BQ213" s="215"/>
      <c r="BR213" s="215"/>
      <c r="BS213" s="215"/>
      <c r="BT213" s="215"/>
      <c r="BU213" s="215">
        <f>BU209-BU211</f>
        <v>102.83147199999999</v>
      </c>
      <c r="BV213" s="215"/>
      <c r="BW213" s="215"/>
      <c r="BX213" s="215"/>
      <c r="BY213" s="215"/>
      <c r="BZ213" s="215">
        <f>BZ209-BZ211</f>
        <v>101.00423087999999</v>
      </c>
      <c r="CA213" s="215"/>
      <c r="CB213" s="215"/>
      <c r="CC213" s="215"/>
      <c r="CD213" s="215"/>
      <c r="CE213" s="215">
        <f>CE209-CE211</f>
        <v>98.569255115199979</v>
      </c>
      <c r="CF213" s="215"/>
      <c r="CG213" s="215"/>
      <c r="CH213" s="215"/>
      <c r="CI213" s="215"/>
      <c r="CJ213" s="215"/>
      <c r="CK213" s="215"/>
      <c r="CL213" s="215"/>
      <c r="CM213" s="215"/>
      <c r="CN213" s="215"/>
      <c r="CO213" s="215"/>
      <c r="CP213" s="215"/>
      <c r="CQ213" s="215"/>
      <c r="CR213" s="215"/>
      <c r="CS213" s="215"/>
      <c r="CT213" s="215"/>
      <c r="CU213" s="215"/>
      <c r="CV213" s="215"/>
      <c r="CW213" s="215"/>
      <c r="CX213" s="215"/>
      <c r="CY213" s="215"/>
      <c r="CZ213" s="215"/>
      <c r="DA213" s="215"/>
      <c r="DB213"/>
      <c r="DC213"/>
      <c r="DD213" s="2323" t="s">
        <v>1613</v>
      </c>
      <c r="DE213" s="2327">
        <f t="shared" si="529"/>
        <v>0</v>
      </c>
      <c r="DF213" s="2327">
        <f t="shared" si="530"/>
        <v>0</v>
      </c>
      <c r="DG213" s="2327">
        <f t="shared" si="531"/>
        <v>0</v>
      </c>
      <c r="DH213" s="2327">
        <f t="shared" si="532"/>
        <v>0</v>
      </c>
      <c r="DI213" s="2327">
        <f t="shared" si="533"/>
        <v>0</v>
      </c>
      <c r="DJ213" s="2327">
        <f t="shared" si="534"/>
        <v>125</v>
      </c>
      <c r="DK213" s="2327">
        <f t="shared" si="535"/>
        <v>119</v>
      </c>
      <c r="DL213" s="2327">
        <f t="shared" si="536"/>
        <v>119</v>
      </c>
      <c r="DM213" s="2327">
        <f t="shared" si="537"/>
        <v>97</v>
      </c>
      <c r="DN213" s="2327">
        <f t="shared" si="538"/>
        <v>88</v>
      </c>
      <c r="DO213" s="2327">
        <f t="shared" si="539"/>
        <v>104.92000000000002</v>
      </c>
      <c r="DP213" s="2327">
        <f t="shared" si="540"/>
        <v>104.1168</v>
      </c>
      <c r="DQ213" s="2327">
        <f t="shared" si="541"/>
        <v>102.83147199999999</v>
      </c>
      <c r="DR213" s="2327">
        <f t="shared" si="542"/>
        <v>101.00423087999999</v>
      </c>
      <c r="DS213" s="2327">
        <f t="shared" si="543"/>
        <v>98.569255115199979</v>
      </c>
      <c r="DT213" s="2327">
        <f t="shared" si="544"/>
        <v>0</v>
      </c>
      <c r="DU213" s="2327">
        <f t="shared" si="545"/>
        <v>0</v>
      </c>
      <c r="DV213" s="2327">
        <f t="shared" si="546"/>
        <v>0</v>
      </c>
      <c r="DW213" s="2327">
        <f t="shared" si="547"/>
        <v>0</v>
      </c>
      <c r="DX213" s="2327">
        <f t="shared" si="548"/>
        <v>0</v>
      </c>
      <c r="DY213" s="2327">
        <f t="shared" si="549"/>
        <v>0</v>
      </c>
      <c r="EA213"/>
      <c r="EB213"/>
      <c r="EC213"/>
      <c r="ED213"/>
      <c r="EE213"/>
      <c r="EF213"/>
      <c r="EJ213"/>
      <c r="EK213"/>
      <c r="EL213"/>
      <c r="ER213" s="212"/>
    </row>
    <row r="214" spans="1:148" s="1193" customFormat="1" ht="12.75" hidden="1" customHeight="1" outlineLevel="1" x14ac:dyDescent="0.2">
      <c r="A214" s="1860" t="s">
        <v>1621</v>
      </c>
      <c r="B214" s="1874"/>
      <c r="C214" s="1874"/>
      <c r="D214" s="1874"/>
      <c r="E214" s="1874"/>
      <c r="F214" s="1874"/>
      <c r="G214" s="1874"/>
      <c r="H214" s="1874"/>
      <c r="I214" s="1874"/>
      <c r="J214" s="1874"/>
      <c r="K214" s="1874"/>
      <c r="L214" s="1874"/>
      <c r="N214" s="1874"/>
      <c r="O214" s="1874"/>
      <c r="P214" s="1874"/>
      <c r="Q214" s="1874"/>
      <c r="S214" s="1874"/>
      <c r="T214" s="1874"/>
      <c r="U214" s="1874"/>
      <c r="V214" s="1874"/>
      <c r="X214" s="1874"/>
      <c r="Y214" s="1874"/>
      <c r="Z214" s="1874"/>
      <c r="AA214" s="1874"/>
      <c r="AC214" s="1874"/>
      <c r="AD214" s="1874"/>
      <c r="AE214" s="1874"/>
      <c r="AF214" s="1874"/>
      <c r="AH214" s="1874"/>
      <c r="AI214" s="1874"/>
      <c r="AJ214" s="1874"/>
      <c r="AK214" s="1874"/>
      <c r="AM214" s="1874"/>
      <c r="AN214" s="1874"/>
      <c r="AO214" s="1874"/>
      <c r="AP214" s="1874"/>
      <c r="AQ214" s="1193">
        <f>AQ213/AL213-1</f>
        <v>-4.8000000000000043E-2</v>
      </c>
      <c r="AR214" s="1874"/>
      <c r="AS214" s="1874"/>
      <c r="AT214" s="1874"/>
      <c r="AU214" s="1874"/>
      <c r="AV214" s="1193">
        <f>AV213/AQ213-1</f>
        <v>0</v>
      </c>
      <c r="AW214" s="1874"/>
      <c r="AX214" s="1874"/>
      <c r="AY214" s="1874"/>
      <c r="AZ214" s="1874"/>
      <c r="BA214" s="1193">
        <f>BA213/AV213-1</f>
        <v>-0.18487394957983194</v>
      </c>
      <c r="BB214" s="1874"/>
      <c r="BC214" s="1874"/>
      <c r="BD214" s="1874"/>
      <c r="BE214" s="1874"/>
      <c r="BF214" s="1193">
        <f>BF213/BA213-1</f>
        <v>-9.2783505154639179E-2</v>
      </c>
      <c r="BG214" s="1874"/>
      <c r="BH214" s="1874"/>
      <c r="BI214" s="1874"/>
      <c r="BJ214" s="1874"/>
      <c r="BK214" s="1193">
        <f>BK213/BF213-1</f>
        <v>0.19227272727272737</v>
      </c>
      <c r="BL214" s="1874"/>
      <c r="BM214" s="1874"/>
      <c r="BN214" s="1874"/>
      <c r="BO214" s="1874"/>
      <c r="BP214" s="1193">
        <f>BP213/BK213-1</f>
        <v>-7.6553564620664982E-3</v>
      </c>
      <c r="BQ214" s="1874"/>
      <c r="BR214" s="1874"/>
      <c r="BS214" s="1874"/>
      <c r="BT214" s="1874"/>
      <c r="BU214" s="1193">
        <f>BU213/BP213-1</f>
        <v>-1.2345058626465732E-2</v>
      </c>
      <c r="BV214" s="1874"/>
      <c r="BW214" s="1874"/>
      <c r="BX214" s="1874"/>
      <c r="BY214" s="1874"/>
      <c r="BZ214" s="1193">
        <f>BZ213/BU213-1</f>
        <v>-1.7769279039397512E-2</v>
      </c>
      <c r="CE214" s="1193">
        <f>CE213/BZ213-1</f>
        <v>-2.4107661071078645E-2</v>
      </c>
      <c r="DB214"/>
      <c r="DC214"/>
      <c r="DD214" s="2328" t="s">
        <v>1621</v>
      </c>
      <c r="DE214" s="2329">
        <f t="shared" si="529"/>
        <v>0</v>
      </c>
      <c r="DF214" s="2329">
        <f t="shared" si="530"/>
        <v>0</v>
      </c>
      <c r="DG214" s="2329">
        <f t="shared" si="531"/>
        <v>0</v>
      </c>
      <c r="DH214" s="2329">
        <f t="shared" si="532"/>
        <v>0</v>
      </c>
      <c r="DI214" s="2329">
        <f t="shared" si="533"/>
        <v>0</v>
      </c>
      <c r="DJ214" s="2329">
        <f t="shared" si="534"/>
        <v>0</v>
      </c>
      <c r="DK214" s="2329">
        <f t="shared" si="535"/>
        <v>-4.8000000000000043E-2</v>
      </c>
      <c r="DL214" s="2329">
        <f t="shared" si="536"/>
        <v>0</v>
      </c>
      <c r="DM214" s="2329">
        <f t="shared" si="537"/>
        <v>-0.18487394957983194</v>
      </c>
      <c r="DN214" s="2329">
        <f t="shared" si="538"/>
        <v>-9.2783505154639179E-2</v>
      </c>
      <c r="DO214" s="2329">
        <f t="shared" si="539"/>
        <v>0.19227272727272737</v>
      </c>
      <c r="DP214" s="2329">
        <f t="shared" si="540"/>
        <v>-7.6553564620664982E-3</v>
      </c>
      <c r="DQ214" s="2329">
        <f t="shared" si="541"/>
        <v>-1.2345058626465732E-2</v>
      </c>
      <c r="DR214" s="2329">
        <f t="shared" si="542"/>
        <v>-1.7769279039397512E-2</v>
      </c>
      <c r="DS214" s="2329">
        <f t="shared" si="543"/>
        <v>-2.4107661071078645E-2</v>
      </c>
      <c r="DT214" s="2329">
        <f t="shared" si="544"/>
        <v>0</v>
      </c>
      <c r="DU214" s="2329">
        <f t="shared" si="545"/>
        <v>0</v>
      </c>
      <c r="DV214" s="2329">
        <f t="shared" si="546"/>
        <v>0</v>
      </c>
      <c r="DW214" s="2329">
        <f t="shared" si="547"/>
        <v>0</v>
      </c>
      <c r="DX214" s="2329">
        <f t="shared" si="548"/>
        <v>0</v>
      </c>
      <c r="DY214" s="2329">
        <f t="shared" si="549"/>
        <v>0</v>
      </c>
      <c r="EA214"/>
      <c r="EB214"/>
      <c r="EC214"/>
      <c r="ED214"/>
      <c r="EE214"/>
      <c r="EF214"/>
      <c r="EJ214"/>
      <c r="EK214"/>
      <c r="EL214"/>
      <c r="ER214" s="212"/>
    </row>
    <row r="215" spans="1:148" s="923" customFormat="1" ht="12.75" hidden="1" customHeight="1" outlineLevel="1" x14ac:dyDescent="0.2">
      <c r="A215" s="865"/>
      <c r="B215" s="215"/>
      <c r="C215" s="215"/>
      <c r="D215" s="215"/>
      <c r="E215" s="215"/>
      <c r="F215" s="215"/>
      <c r="G215" s="215"/>
      <c r="H215" s="215"/>
      <c r="I215" s="215"/>
      <c r="J215" s="215"/>
      <c r="K215" s="215"/>
      <c r="L215" s="215"/>
      <c r="M215" s="215"/>
      <c r="N215" s="215"/>
      <c r="O215" s="215"/>
      <c r="P215" s="215"/>
      <c r="Q215" s="215"/>
      <c r="R215" s="215"/>
      <c r="S215" s="215"/>
      <c r="T215" s="215"/>
      <c r="U215" s="215"/>
      <c r="V215" s="215"/>
      <c r="W215" s="215"/>
      <c r="X215" s="215"/>
      <c r="Y215" s="215"/>
      <c r="Z215" s="215"/>
      <c r="AA215" s="215"/>
      <c r="AB215" s="215"/>
      <c r="AC215" s="215"/>
      <c r="AD215" s="215"/>
      <c r="AE215" s="215"/>
      <c r="AF215" s="215"/>
      <c r="AG215" s="215"/>
      <c r="AH215" s="215"/>
      <c r="AI215" s="215"/>
      <c r="AJ215" s="215"/>
      <c r="AK215" s="215"/>
      <c r="AL215" s="215"/>
      <c r="AM215" s="215"/>
      <c r="AN215" s="215"/>
      <c r="AO215" s="215"/>
      <c r="AP215" s="215"/>
      <c r="AQ215" s="215"/>
      <c r="AR215" s="215"/>
      <c r="AS215" s="215"/>
      <c r="AT215" s="215"/>
      <c r="AU215" s="215"/>
      <c r="AV215" s="215"/>
      <c r="AW215" s="215"/>
      <c r="AX215" s="215"/>
      <c r="AY215" s="215"/>
      <c r="AZ215" s="215"/>
      <c r="BA215" s="215"/>
      <c r="BB215" s="215"/>
      <c r="BC215" s="215"/>
      <c r="BD215" s="215"/>
      <c r="BE215" s="215"/>
      <c r="BF215" s="215"/>
      <c r="BG215" s="215"/>
      <c r="BH215" s="215"/>
      <c r="BI215" s="215"/>
      <c r="BJ215" s="215"/>
      <c r="BK215" s="215"/>
      <c r="BL215" s="215"/>
      <c r="BM215" s="215"/>
      <c r="BN215" s="215"/>
      <c r="BO215" s="215"/>
      <c r="BP215" s="215"/>
      <c r="BQ215" s="215"/>
      <c r="BR215" s="215"/>
      <c r="BS215" s="215"/>
      <c r="BT215" s="215"/>
      <c r="BU215" s="215"/>
      <c r="BV215" s="215"/>
      <c r="BW215" s="215"/>
      <c r="BX215" s="215"/>
      <c r="BY215" s="215"/>
      <c r="BZ215" s="215"/>
      <c r="CA215" s="215"/>
      <c r="CB215" s="215"/>
      <c r="CC215" s="215"/>
      <c r="CD215" s="215"/>
      <c r="CE215" s="215"/>
      <c r="CF215" s="215"/>
      <c r="CG215" s="215"/>
      <c r="CH215" s="215"/>
      <c r="CI215" s="215"/>
      <c r="CJ215" s="215"/>
      <c r="CK215" s="215"/>
      <c r="CL215" s="215"/>
      <c r="CM215" s="215"/>
      <c r="CN215" s="215"/>
      <c r="CO215" s="215"/>
      <c r="CP215" s="215"/>
      <c r="CQ215" s="215"/>
      <c r="CR215" s="215"/>
      <c r="CS215" s="215"/>
      <c r="CT215" s="215"/>
      <c r="CU215" s="215"/>
      <c r="CV215" s="215"/>
      <c r="CW215" s="215"/>
      <c r="CX215" s="215"/>
      <c r="CY215" s="215"/>
      <c r="CZ215" s="215"/>
      <c r="DA215" s="215"/>
      <c r="DB215"/>
      <c r="DC215"/>
      <c r="DD215" s="2323"/>
      <c r="DE215" s="2327"/>
      <c r="DF215" s="2327"/>
      <c r="DG215" s="2327"/>
      <c r="DH215" s="2327"/>
      <c r="DI215" s="2327"/>
      <c r="DJ215" s="2327"/>
      <c r="DK215" s="2327"/>
      <c r="DL215" s="2327"/>
      <c r="DM215" s="2327"/>
      <c r="DN215" s="2327"/>
      <c r="DO215" s="2327"/>
      <c r="DP215" s="2327"/>
      <c r="DQ215" s="2327"/>
      <c r="DR215" s="2327"/>
      <c r="DS215" s="2327"/>
      <c r="DT215" s="2327"/>
      <c r="DU215" s="2327"/>
      <c r="DV215" s="2327"/>
      <c r="DW215" s="2327"/>
      <c r="DX215" s="2327"/>
      <c r="DY215" s="2327"/>
      <c r="EA215"/>
      <c r="EB215"/>
      <c r="EC215"/>
      <c r="ED215"/>
      <c r="EE215"/>
      <c r="EF215"/>
      <c r="EJ215"/>
      <c r="EK215"/>
      <c r="EL215"/>
      <c r="ER215" s="212"/>
    </row>
    <row r="216" spans="1:148" s="923" customFormat="1" ht="12.75" hidden="1" customHeight="1" outlineLevel="1" x14ac:dyDescent="0.2">
      <c r="A216" s="865" t="s">
        <v>1614</v>
      </c>
      <c r="B216" s="215"/>
      <c r="C216" s="215"/>
      <c r="D216" s="215"/>
      <c r="E216" s="215"/>
      <c r="F216" s="215"/>
      <c r="G216" s="215"/>
      <c r="H216" s="215"/>
      <c r="I216" s="215"/>
      <c r="J216" s="215"/>
      <c r="K216" s="215"/>
      <c r="L216" s="215"/>
      <c r="M216" s="215"/>
      <c r="N216" s="215"/>
      <c r="O216" s="215"/>
      <c r="P216" s="215"/>
      <c r="Q216" s="215"/>
      <c r="R216" s="215"/>
      <c r="S216" s="215"/>
      <c r="T216" s="215"/>
      <c r="U216" s="215"/>
      <c r="V216" s="215"/>
      <c r="W216" s="215"/>
      <c r="X216" s="215"/>
      <c r="Y216" s="215"/>
      <c r="Z216" s="215"/>
      <c r="AA216" s="215"/>
      <c r="AB216" s="215"/>
      <c r="AC216" s="215"/>
      <c r="AD216" s="215"/>
      <c r="AE216" s="215"/>
      <c r="AF216" s="215"/>
      <c r="AG216" s="215"/>
      <c r="AH216" s="215"/>
      <c r="AI216" s="215"/>
      <c r="AJ216" s="215"/>
      <c r="AK216" s="215"/>
      <c r="AL216" s="215">
        <f>AL209+AL199</f>
        <v>944</v>
      </c>
      <c r="AM216" s="215"/>
      <c r="AN216" s="215"/>
      <c r="AO216" s="215"/>
      <c r="AP216" s="215"/>
      <c r="AQ216" s="215">
        <f>AQ209+AQ199</f>
        <v>1119</v>
      </c>
      <c r="AR216" s="215"/>
      <c r="AS216" s="215"/>
      <c r="AT216" s="215"/>
      <c r="AU216" s="215"/>
      <c r="AV216" s="215">
        <f>AV209+AV199</f>
        <v>1240</v>
      </c>
      <c r="AW216" s="215"/>
      <c r="AX216" s="215"/>
      <c r="AY216" s="215"/>
      <c r="AZ216" s="215"/>
      <c r="BA216" s="215">
        <f>BA209+BA199</f>
        <v>1225</v>
      </c>
      <c r="BB216" s="215"/>
      <c r="BC216" s="215"/>
      <c r="BD216" s="215"/>
      <c r="BE216" s="215"/>
      <c r="BF216" s="215">
        <f>BF209+BF199</f>
        <v>1019</v>
      </c>
      <c r="BG216" s="215"/>
      <c r="BH216" s="215"/>
      <c r="BI216" s="215"/>
      <c r="BJ216" s="215"/>
      <c r="BK216" s="215">
        <f>BK209+BK199</f>
        <v>1035.0604206096425</v>
      </c>
      <c r="BL216" s="215"/>
      <c r="BM216" s="215"/>
      <c r="BN216" s="215"/>
      <c r="BO216" s="215"/>
      <c r="BP216" s="215">
        <f>BP209+BP199</f>
        <v>1162.5244916602469</v>
      </c>
      <c r="BQ216" s="215"/>
      <c r="BR216" s="215"/>
      <c r="BS216" s="215"/>
      <c r="BT216" s="215"/>
      <c r="BU216" s="215">
        <f>BU209+BU199</f>
        <v>1148.2160722416475</v>
      </c>
      <c r="BV216" s="215"/>
      <c r="BW216" s="215"/>
      <c r="BX216" s="215"/>
      <c r="BY216" s="215"/>
      <c r="BZ216" s="215">
        <f>BZ209+BZ199</f>
        <v>1153.4172875500476</v>
      </c>
      <c r="CA216" s="215"/>
      <c r="CB216" s="215"/>
      <c r="CC216" s="215"/>
      <c r="CD216" s="215"/>
      <c r="CE216" s="215">
        <f>CE209+CE199</f>
        <v>1306.8925296745456</v>
      </c>
      <c r="CF216" s="215"/>
      <c r="CG216" s="215"/>
      <c r="CH216" s="215"/>
      <c r="CI216" s="215"/>
      <c r="CJ216" s="215"/>
      <c r="CK216" s="215"/>
      <c r="CL216" s="215"/>
      <c r="CM216" s="215"/>
      <c r="CN216" s="215"/>
      <c r="CO216" s="215"/>
      <c r="CP216" s="215"/>
      <c r="CQ216" s="215"/>
      <c r="CR216" s="215"/>
      <c r="CS216" s="215"/>
      <c r="CT216" s="215"/>
      <c r="CU216" s="215"/>
      <c r="CV216" s="215"/>
      <c r="CW216" s="215"/>
      <c r="CX216" s="215"/>
      <c r="CY216" s="215"/>
      <c r="CZ216" s="215"/>
      <c r="DA216" s="215"/>
      <c r="DB216"/>
      <c r="DC216"/>
      <c r="DD216" s="2323" t="s">
        <v>1614</v>
      </c>
      <c r="DE216" s="2327">
        <f>M216</f>
        <v>0</v>
      </c>
      <c r="DF216" s="2327">
        <f>R216</f>
        <v>0</v>
      </c>
      <c r="DG216" s="2327">
        <f>W216</f>
        <v>0</v>
      </c>
      <c r="DH216" s="2327">
        <f>AB216</f>
        <v>0</v>
      </c>
      <c r="DI216" s="2327">
        <f>AG216</f>
        <v>0</v>
      </c>
      <c r="DJ216" s="2327">
        <f>AL216</f>
        <v>944</v>
      </c>
      <c r="DK216" s="2327">
        <f>AQ216</f>
        <v>1119</v>
      </c>
      <c r="DL216" s="2327">
        <f>AV216</f>
        <v>1240</v>
      </c>
      <c r="DM216" s="2327">
        <f>BA216</f>
        <v>1225</v>
      </c>
      <c r="DN216" s="2327">
        <f>BF216</f>
        <v>1019</v>
      </c>
      <c r="DO216" s="2327">
        <f>BK216</f>
        <v>1035.0604206096425</v>
      </c>
      <c r="DP216" s="2327">
        <f>BP216</f>
        <v>1162.5244916602469</v>
      </c>
      <c r="DQ216" s="2327">
        <f>BU216</f>
        <v>1148.2160722416475</v>
      </c>
      <c r="DR216" s="2327">
        <f>BZ216</f>
        <v>1153.4172875500476</v>
      </c>
      <c r="DS216" s="2327">
        <f>CE216</f>
        <v>1306.8925296745456</v>
      </c>
      <c r="DT216" s="2327">
        <f>CJ216</f>
        <v>0</v>
      </c>
      <c r="DU216" s="2327">
        <f>CO216</f>
        <v>0</v>
      </c>
      <c r="DV216" s="2327">
        <f>CT216</f>
        <v>0</v>
      </c>
      <c r="DW216" s="2327">
        <f t="shared" ref="DW216:DY217" si="550">CY216</f>
        <v>0</v>
      </c>
      <c r="DX216" s="2327">
        <f t="shared" si="550"/>
        <v>0</v>
      </c>
      <c r="DY216" s="2327">
        <f t="shared" si="550"/>
        <v>0</v>
      </c>
      <c r="EA216"/>
      <c r="EB216"/>
      <c r="EC216"/>
      <c r="ED216"/>
      <c r="EE216"/>
      <c r="EF216"/>
      <c r="EJ216"/>
      <c r="EK216"/>
      <c r="EL216"/>
      <c r="ER216" s="212"/>
    </row>
    <row r="217" spans="1:148" s="923" customFormat="1" ht="12.75" hidden="1" customHeight="1" outlineLevel="1" x14ac:dyDescent="0.2">
      <c r="A217" s="865" t="s">
        <v>1615</v>
      </c>
      <c r="B217" s="215"/>
      <c r="C217" s="215"/>
      <c r="D217" s="215"/>
      <c r="E217" s="215"/>
      <c r="F217" s="215"/>
      <c r="G217" s="215"/>
      <c r="H217" s="215"/>
      <c r="I217" s="215"/>
      <c r="J217" s="215"/>
      <c r="K217" s="215"/>
      <c r="L217" s="215"/>
      <c r="M217" s="215"/>
      <c r="N217" s="215"/>
      <c r="O217" s="215"/>
      <c r="P217" s="215"/>
      <c r="Q217" s="215"/>
      <c r="R217" s="215"/>
      <c r="S217" s="215"/>
      <c r="T217" s="215"/>
      <c r="U217" s="215"/>
      <c r="V217" s="215"/>
      <c r="W217" s="215"/>
      <c r="X217" s="215"/>
      <c r="Y217" s="215"/>
      <c r="Z217" s="215"/>
      <c r="AA217" s="215"/>
      <c r="AB217" s="215"/>
      <c r="AC217" s="215"/>
      <c r="AD217" s="215"/>
      <c r="AE217" s="215"/>
      <c r="AF217" s="215"/>
      <c r="AG217" s="215"/>
      <c r="AH217" s="215"/>
      <c r="AI217" s="215"/>
      <c r="AJ217" s="215"/>
      <c r="AK217" s="215"/>
      <c r="AL217" s="215">
        <f>AL201+AL213</f>
        <v>166</v>
      </c>
      <c r="AM217" s="215"/>
      <c r="AN217" s="215"/>
      <c r="AO217" s="215"/>
      <c r="AP217" s="215"/>
      <c r="AQ217" s="215">
        <f>AQ201+AQ213</f>
        <v>183</v>
      </c>
      <c r="AR217" s="215"/>
      <c r="AS217" s="215"/>
      <c r="AT217" s="215"/>
      <c r="AU217" s="215"/>
      <c r="AV217" s="215">
        <f>AV201+AV213</f>
        <v>178</v>
      </c>
      <c r="AW217" s="215"/>
      <c r="AX217" s="215"/>
      <c r="AY217" s="215"/>
      <c r="AZ217" s="215"/>
      <c r="BA217" s="215">
        <f>BA201+BA213</f>
        <v>137</v>
      </c>
      <c r="BB217" s="215"/>
      <c r="BC217" s="215"/>
      <c r="BD217" s="215"/>
      <c r="BE217" s="215"/>
      <c r="BF217" s="215">
        <f>BF201+BF213</f>
        <v>68</v>
      </c>
      <c r="BG217" s="215"/>
      <c r="BH217" s="215"/>
      <c r="BI217" s="215">
        <f>18.5/380</f>
        <v>4.8684210526315788E-2</v>
      </c>
      <c r="BJ217" s="215"/>
      <c r="BK217" s="215">
        <f>BK201+BK213</f>
        <v>93.796101714404074</v>
      </c>
      <c r="BL217" s="215"/>
      <c r="BM217" s="215">
        <f>13.4/380</f>
        <v>3.5263157894736843E-2</v>
      </c>
      <c r="BN217" s="215"/>
      <c r="BO217" s="215"/>
      <c r="BP217" s="215">
        <f>BP201+BP213</f>
        <v>118.37031902401996</v>
      </c>
      <c r="BQ217" s="215"/>
      <c r="BR217" s="215"/>
      <c r="BS217" s="215"/>
      <c r="BT217" s="215"/>
      <c r="BU217" s="215">
        <f>BU201+BU213</f>
        <v>142.33090314789789</v>
      </c>
      <c r="BV217" s="215"/>
      <c r="BW217" s="215"/>
      <c r="BX217" s="215"/>
      <c r="BY217" s="215"/>
      <c r="BZ217" s="215">
        <f>BZ201+BZ213</f>
        <v>165.12035338627092</v>
      </c>
      <c r="CA217" s="215"/>
      <c r="CB217" s="215"/>
      <c r="CC217" s="215"/>
      <c r="CD217" s="215"/>
      <c r="CE217" s="215">
        <f>CE201+CE213</f>
        <v>200.54890085630117</v>
      </c>
      <c r="CF217" s="215"/>
      <c r="CG217" s="215"/>
      <c r="CH217" s="215"/>
      <c r="CI217" s="215"/>
      <c r="CJ217" s="215"/>
      <c r="CK217" s="215"/>
      <c r="CL217" s="215"/>
      <c r="CM217" s="215"/>
      <c r="CN217" s="215"/>
      <c r="CO217" s="215"/>
      <c r="CP217" s="215"/>
      <c r="CQ217" s="215"/>
      <c r="CR217" s="215"/>
      <c r="CS217" s="215"/>
      <c r="CT217" s="215"/>
      <c r="CU217" s="215"/>
      <c r="CV217" s="215"/>
      <c r="CW217" s="215"/>
      <c r="CX217" s="215"/>
      <c r="CY217" s="215"/>
      <c r="CZ217" s="215"/>
      <c r="DA217" s="215"/>
      <c r="DB217"/>
      <c r="DC217"/>
      <c r="DD217" s="2323" t="s">
        <v>1615</v>
      </c>
      <c r="DE217" s="2327">
        <f>M217</f>
        <v>0</v>
      </c>
      <c r="DF217" s="2327">
        <f>R217</f>
        <v>0</v>
      </c>
      <c r="DG217" s="2327">
        <f>W217</f>
        <v>0</v>
      </c>
      <c r="DH217" s="2327">
        <f>AB217</f>
        <v>0</v>
      </c>
      <c r="DI217" s="2327">
        <f>AG217</f>
        <v>0</v>
      </c>
      <c r="DJ217" s="2327">
        <f>AL217</f>
        <v>166</v>
      </c>
      <c r="DK217" s="2327">
        <f>AQ217</f>
        <v>183</v>
      </c>
      <c r="DL217" s="2327">
        <f>AV217</f>
        <v>178</v>
      </c>
      <c r="DM217" s="2327">
        <f>BA217</f>
        <v>137</v>
      </c>
      <c r="DN217" s="2327">
        <f>BF217</f>
        <v>68</v>
      </c>
      <c r="DO217" s="2327">
        <f>BK217</f>
        <v>93.796101714404074</v>
      </c>
      <c r="DP217" s="2327">
        <f>BP217</f>
        <v>118.37031902401996</v>
      </c>
      <c r="DQ217" s="2327">
        <f>BU217</f>
        <v>142.33090314789789</v>
      </c>
      <c r="DR217" s="2327">
        <f>BZ217</f>
        <v>165.12035338627092</v>
      </c>
      <c r="DS217" s="2327">
        <f>CE217</f>
        <v>200.54890085630117</v>
      </c>
      <c r="DT217" s="2327">
        <f>CJ217</f>
        <v>0</v>
      </c>
      <c r="DU217" s="2327">
        <f>CO217</f>
        <v>0</v>
      </c>
      <c r="DV217" s="2327">
        <f>CT217</f>
        <v>0</v>
      </c>
      <c r="DW217" s="2327">
        <f t="shared" si="550"/>
        <v>0</v>
      </c>
      <c r="DX217" s="2327">
        <f t="shared" si="550"/>
        <v>0</v>
      </c>
      <c r="DY217" s="2327">
        <f t="shared" si="550"/>
        <v>0</v>
      </c>
      <c r="EA217"/>
      <c r="EB217"/>
      <c r="EC217"/>
      <c r="ED217"/>
      <c r="EE217"/>
      <c r="EF217"/>
      <c r="EJ217"/>
      <c r="EK217"/>
      <c r="EL217"/>
      <c r="ER217" s="212"/>
    </row>
    <row r="218" spans="1:148" s="923" customFormat="1" ht="12.75" customHeight="1" collapsed="1" x14ac:dyDescent="0.2">
      <c r="A218" s="865"/>
      <c r="B218" s="215"/>
      <c r="C218" s="215"/>
      <c r="D218" s="215"/>
      <c r="E218" s="215"/>
      <c r="F218" s="215"/>
      <c r="G218" s="215"/>
      <c r="H218" s="215"/>
      <c r="I218" s="215"/>
      <c r="J218" s="215"/>
      <c r="K218" s="215"/>
      <c r="L218" s="215"/>
      <c r="M218" s="215"/>
      <c r="N218" s="215"/>
      <c r="O218" s="215"/>
      <c r="P218" s="215"/>
      <c r="Q218" s="215"/>
      <c r="R218" s="215"/>
      <c r="S218" s="215"/>
      <c r="T218" s="215"/>
      <c r="U218" s="215"/>
      <c r="V218" s="215"/>
      <c r="W218" s="215"/>
      <c r="X218" s="215"/>
      <c r="Y218" s="215"/>
      <c r="Z218" s="215"/>
      <c r="AA218" s="215"/>
      <c r="AB218" s="215"/>
      <c r="AC218" s="215"/>
      <c r="AD218" s="215"/>
      <c r="AE218" s="215"/>
      <c r="AF218" s="215"/>
      <c r="AG218" s="215"/>
      <c r="AH218" s="215"/>
      <c r="AI218" s="215"/>
      <c r="AJ218" s="215"/>
      <c r="AK218" s="215"/>
      <c r="AL218" s="215"/>
      <c r="AM218" s="215"/>
      <c r="AN218" s="215"/>
      <c r="AO218" s="215"/>
      <c r="AP218" s="215"/>
      <c r="AQ218" s="215"/>
      <c r="AR218" s="215"/>
      <c r="AS218" s="215"/>
      <c r="AT218" s="215"/>
      <c r="AU218" s="215"/>
      <c r="AV218" s="215"/>
      <c r="AW218" s="215"/>
      <c r="AX218" s="215"/>
      <c r="AY218" s="215"/>
      <c r="AZ218" s="215"/>
      <c r="BA218" s="215"/>
      <c r="BB218" s="215"/>
      <c r="BC218" s="215"/>
      <c r="BD218" s="215"/>
      <c r="BE218" s="215"/>
      <c r="BF218" s="215"/>
      <c r="BG218" s="215"/>
      <c r="BH218" s="215"/>
      <c r="BI218" s="215"/>
      <c r="BJ218" s="215"/>
      <c r="BK218" s="215"/>
      <c r="BL218" s="215"/>
      <c r="BM218" s="215"/>
      <c r="BN218" s="215"/>
      <c r="BO218" s="215"/>
      <c r="BP218" s="215"/>
      <c r="BQ218" s="215"/>
      <c r="BR218" s="215"/>
      <c r="BS218" s="215"/>
      <c r="BT218" s="215"/>
      <c r="BU218" s="215"/>
      <c r="BV218" s="215"/>
      <c r="BW218" s="215"/>
      <c r="BX218" s="215"/>
      <c r="BY218" s="215"/>
      <c r="BZ218" s="215"/>
      <c r="CA218" s="215"/>
      <c r="CB218" s="215"/>
      <c r="CC218" s="215"/>
      <c r="CD218" s="215"/>
      <c r="CE218" s="215"/>
      <c r="CF218" s="2679"/>
      <c r="CG218" s="2679"/>
      <c r="CH218" s="2679"/>
      <c r="CI218" s="2679"/>
      <c r="CJ218" s="215">
        <f>CJ191/CJ98*100</f>
        <v>24.388824214202561</v>
      </c>
      <c r="CK218" s="2900"/>
      <c r="CL218" s="2679"/>
      <c r="CM218" s="2679"/>
      <c r="CN218" s="2679"/>
      <c r="CO218" s="871"/>
      <c r="CP218" s="2679"/>
      <c r="CQ218" s="2679"/>
      <c r="CR218" s="2679"/>
      <c r="CS218" s="2679"/>
      <c r="CT218" s="871"/>
      <c r="CU218" s="2679"/>
      <c r="CV218" s="2679"/>
      <c r="CW218" s="2679"/>
      <c r="CX218" s="2679"/>
      <c r="CY218" s="3445"/>
      <c r="CZ218" s="215"/>
      <c r="DA218" s="215"/>
      <c r="DB218"/>
      <c r="DC218"/>
      <c r="DD218" s="2323"/>
      <c r="DE218" s="2327"/>
      <c r="DF218" s="2327"/>
      <c r="DG218" s="2327"/>
      <c r="DH218" s="2327"/>
      <c r="DI218" s="2327"/>
      <c r="DJ218" s="2327"/>
      <c r="DK218" s="2327"/>
      <c r="DL218" s="2327"/>
      <c r="DM218" s="2327"/>
      <c r="DN218" s="2327"/>
      <c r="DO218" s="2327"/>
      <c r="DP218" s="2327"/>
      <c r="DQ218" s="2327"/>
      <c r="DR218" s="2327"/>
      <c r="DS218" s="2327"/>
      <c r="DT218" s="2327"/>
      <c r="DU218" s="2327"/>
      <c r="DV218" s="2327"/>
      <c r="DW218" s="2327"/>
      <c r="DX218" s="2327"/>
      <c r="DY218" s="2327"/>
      <c r="EA218"/>
      <c r="EB218"/>
      <c r="EC218"/>
      <c r="ED218"/>
      <c r="EE218"/>
      <c r="EF218"/>
      <c r="EJ218"/>
      <c r="EK218"/>
      <c r="EL218"/>
      <c r="ER218" s="212"/>
    </row>
    <row r="219" spans="1:148" s="923" customFormat="1" ht="12.75" customHeight="1" x14ac:dyDescent="0.2">
      <c r="A219" s="865"/>
      <c r="B219" s="215"/>
      <c r="C219" s="215"/>
      <c r="D219" s="215"/>
      <c r="E219" s="215"/>
      <c r="F219" s="215"/>
      <c r="G219" s="215"/>
      <c r="H219" s="215"/>
      <c r="I219" s="215"/>
      <c r="J219" s="215"/>
      <c r="K219" s="215"/>
      <c r="L219" s="215"/>
      <c r="M219" s="2678"/>
      <c r="N219" s="215"/>
      <c r="O219" s="215"/>
      <c r="P219" s="215"/>
      <c r="Q219" s="215"/>
      <c r="R219" s="2678"/>
      <c r="S219" s="215"/>
      <c r="T219" s="215"/>
      <c r="U219" s="215"/>
      <c r="V219" s="215"/>
      <c r="W219" s="2678"/>
      <c r="X219" s="215"/>
      <c r="Y219" s="215"/>
      <c r="Z219" s="215"/>
      <c r="AA219" s="215"/>
      <c r="AB219" s="2678"/>
      <c r="AC219" s="215"/>
      <c r="AD219" s="215"/>
      <c r="AE219" s="215"/>
      <c r="AF219" s="215"/>
      <c r="AG219" s="2678"/>
      <c r="AH219" s="215"/>
      <c r="AI219" s="215"/>
      <c r="AJ219" s="215"/>
      <c r="AK219" s="215"/>
      <c r="AL219" s="2678"/>
      <c r="AM219" s="215"/>
      <c r="AN219" s="215"/>
      <c r="AO219" s="215"/>
      <c r="AP219" s="215"/>
      <c r="AQ219" s="2678"/>
      <c r="AR219" s="215"/>
      <c r="AS219" s="215"/>
      <c r="AT219" s="215"/>
      <c r="AU219" s="215"/>
      <c r="AV219" s="2678"/>
      <c r="AW219" s="215"/>
      <c r="AX219" s="215"/>
      <c r="AY219" s="215"/>
      <c r="AZ219" s="215"/>
      <c r="BA219" s="2678"/>
      <c r="BB219" s="215"/>
      <c r="BC219" s="215"/>
      <c r="BD219" s="215"/>
      <c r="BE219" s="215"/>
      <c r="BF219" s="2678"/>
      <c r="BG219" s="215"/>
      <c r="BH219" s="215"/>
      <c r="BI219" s="215"/>
      <c r="BJ219" s="215"/>
      <c r="BK219" s="2678"/>
      <c r="BL219" s="215"/>
      <c r="BM219" s="215"/>
      <c r="BN219" s="215"/>
      <c r="BO219" s="215"/>
      <c r="BP219" s="2678"/>
      <c r="BQ219" s="215"/>
      <c r="BR219" s="215"/>
      <c r="BS219" s="215"/>
      <c r="BT219" s="215"/>
      <c r="BU219" s="2678"/>
      <c r="BV219" s="215"/>
      <c r="BW219" s="215"/>
      <c r="BX219" s="215"/>
      <c r="BY219" s="215"/>
      <c r="BZ219" s="215"/>
      <c r="CA219" s="215"/>
      <c r="CB219" s="215"/>
      <c r="CC219" s="215"/>
      <c r="CD219" s="215"/>
      <c r="CE219" s="215"/>
      <c r="CF219" s="2676"/>
      <c r="CG219" s="2676"/>
      <c r="CH219" s="2676"/>
      <c r="CI219" s="2676"/>
      <c r="CJ219" s="2678"/>
      <c r="CK219" s="2676"/>
      <c r="CL219" s="2676"/>
      <c r="CM219" s="2676"/>
      <c r="CN219" s="2676"/>
      <c r="CO219" s="2678"/>
      <c r="CP219" s="2676"/>
      <c r="CQ219" s="2676"/>
      <c r="CR219" s="2676"/>
      <c r="CS219" s="2676"/>
      <c r="CT219" s="3446"/>
      <c r="CU219" s="2676"/>
      <c r="CV219" s="2676"/>
      <c r="CW219" s="2676"/>
      <c r="CX219" s="2676"/>
      <c r="CY219" s="215"/>
      <c r="CZ219" s="215"/>
      <c r="DA219" s="215"/>
      <c r="DB219"/>
      <c r="DC219"/>
      <c r="DD219" s="2323"/>
      <c r="DE219" s="2327"/>
      <c r="DF219" s="2327"/>
      <c r="DG219" s="2327"/>
      <c r="DH219" s="2327"/>
      <c r="DI219" s="2327"/>
      <c r="DJ219" s="2327"/>
      <c r="DK219" s="2327"/>
      <c r="DL219" s="2327"/>
      <c r="DM219" s="2327"/>
      <c r="DN219" s="2327"/>
      <c r="DO219" s="2327"/>
      <c r="DP219" s="2327"/>
      <c r="DQ219" s="2327"/>
      <c r="DR219" s="2327"/>
      <c r="DS219" s="2327"/>
      <c r="DT219" s="2327"/>
      <c r="DU219" s="2327"/>
      <c r="DV219" s="2327"/>
      <c r="DW219" s="2327"/>
      <c r="DX219" s="2327"/>
      <c r="DY219" s="2327"/>
      <c r="EA219"/>
      <c r="EB219"/>
      <c r="EC219"/>
      <c r="ED219"/>
      <c r="EE219"/>
      <c r="EF219"/>
      <c r="EJ219"/>
      <c r="EK219"/>
      <c r="EL219"/>
      <c r="ER219" s="212"/>
    </row>
    <row r="220" spans="1:148" s="923" customFormat="1" ht="12.75" customHeight="1" x14ac:dyDescent="0.2">
      <c r="A220" s="873" t="s">
        <v>806</v>
      </c>
      <c r="B220" s="963"/>
      <c r="C220" s="963"/>
      <c r="D220" s="963"/>
      <c r="E220" s="963"/>
      <c r="F220" s="963"/>
      <c r="G220" s="963"/>
      <c r="H220" s="963"/>
      <c r="I220" s="963" t="str">
        <f t="shared" ref="I220:AN220" si="551">I$5</f>
        <v>1Q00</v>
      </c>
      <c r="J220" s="963" t="str">
        <f t="shared" si="551"/>
        <v>2Q00</v>
      </c>
      <c r="K220" s="963" t="str">
        <f t="shared" si="551"/>
        <v>3Q00</v>
      </c>
      <c r="L220" s="963" t="str">
        <f t="shared" si="551"/>
        <v>4Q00</v>
      </c>
      <c r="M220" s="649">
        <f t="shared" si="551"/>
        <v>2000</v>
      </c>
      <c r="N220" s="963" t="str">
        <f t="shared" si="551"/>
        <v>1Q01</v>
      </c>
      <c r="O220" s="963" t="str">
        <f t="shared" si="551"/>
        <v>2Q01</v>
      </c>
      <c r="P220" s="963" t="str">
        <f t="shared" si="551"/>
        <v>3Q01</v>
      </c>
      <c r="Q220" s="963" t="str">
        <f t="shared" si="551"/>
        <v>4Q01</v>
      </c>
      <c r="R220" s="649">
        <f t="shared" si="551"/>
        <v>2001</v>
      </c>
      <c r="S220" s="963" t="str">
        <f t="shared" si="551"/>
        <v>1Q02</v>
      </c>
      <c r="T220" s="963" t="str">
        <f t="shared" si="551"/>
        <v>2Q02</v>
      </c>
      <c r="U220" s="963" t="str">
        <f t="shared" si="551"/>
        <v>3Q02</v>
      </c>
      <c r="V220" s="963" t="str">
        <f t="shared" si="551"/>
        <v>4Q02</v>
      </c>
      <c r="W220" s="649">
        <f t="shared" si="551"/>
        <v>2002</v>
      </c>
      <c r="X220" s="963" t="str">
        <f t="shared" si="551"/>
        <v>1Q03</v>
      </c>
      <c r="Y220" s="963" t="str">
        <f t="shared" si="551"/>
        <v>2Q03</v>
      </c>
      <c r="Z220" s="963" t="str">
        <f t="shared" si="551"/>
        <v>3Q03</v>
      </c>
      <c r="AA220" s="963" t="str">
        <f t="shared" si="551"/>
        <v>4Q03</v>
      </c>
      <c r="AB220" s="649">
        <f t="shared" si="551"/>
        <v>2003</v>
      </c>
      <c r="AC220" s="963" t="str">
        <f t="shared" si="551"/>
        <v>1Q04</v>
      </c>
      <c r="AD220" s="963" t="str">
        <f t="shared" si="551"/>
        <v>2Q04</v>
      </c>
      <c r="AE220" s="963" t="str">
        <f t="shared" si="551"/>
        <v>3Q04</v>
      </c>
      <c r="AF220" s="963" t="str">
        <f t="shared" si="551"/>
        <v>4Q04</v>
      </c>
      <c r="AG220" s="649" t="str">
        <f t="shared" si="551"/>
        <v>2004</v>
      </c>
      <c r="AH220" s="963" t="str">
        <f t="shared" si="551"/>
        <v>1Q05</v>
      </c>
      <c r="AI220" s="963" t="str">
        <f t="shared" si="551"/>
        <v>2Q05</v>
      </c>
      <c r="AJ220" s="963" t="str">
        <f t="shared" si="551"/>
        <v>3Q05</v>
      </c>
      <c r="AK220" s="963" t="str">
        <f t="shared" si="551"/>
        <v>4Q05</v>
      </c>
      <c r="AL220" s="649" t="str">
        <f t="shared" si="551"/>
        <v>2005</v>
      </c>
      <c r="AM220" s="963" t="str">
        <f t="shared" si="551"/>
        <v>1Q06</v>
      </c>
      <c r="AN220" s="963" t="str">
        <f t="shared" si="551"/>
        <v>2Q06</v>
      </c>
      <c r="AO220" s="963" t="str">
        <f t="shared" ref="AO220:BT220" si="552">AO$5</f>
        <v>3Q06</v>
      </c>
      <c r="AP220" s="963" t="str">
        <f t="shared" si="552"/>
        <v>4Q06</v>
      </c>
      <c r="AQ220" s="649" t="str">
        <f t="shared" si="552"/>
        <v>2006</v>
      </c>
      <c r="AR220" s="963" t="str">
        <f t="shared" si="552"/>
        <v>1Q07</v>
      </c>
      <c r="AS220" s="963" t="str">
        <f t="shared" si="552"/>
        <v>2Q07</v>
      </c>
      <c r="AT220" s="963" t="str">
        <f t="shared" si="552"/>
        <v>3Q07</v>
      </c>
      <c r="AU220" s="963" t="str">
        <f t="shared" si="552"/>
        <v>4Q07</v>
      </c>
      <c r="AV220" s="649" t="str">
        <f t="shared" si="552"/>
        <v>2007</v>
      </c>
      <c r="AW220" s="963" t="str">
        <f t="shared" si="552"/>
        <v>1Q08</v>
      </c>
      <c r="AX220" s="963" t="str">
        <f t="shared" si="552"/>
        <v>2Q08</v>
      </c>
      <c r="AY220" s="963" t="str">
        <f t="shared" si="552"/>
        <v>3Q08</v>
      </c>
      <c r="AZ220" s="963" t="str">
        <f t="shared" si="552"/>
        <v>4Q08</v>
      </c>
      <c r="BA220" s="649" t="str">
        <f t="shared" si="552"/>
        <v>2008</v>
      </c>
      <c r="BB220" s="963" t="str">
        <f t="shared" si="552"/>
        <v>1Q09</v>
      </c>
      <c r="BC220" s="963" t="str">
        <f t="shared" si="552"/>
        <v>2Q09</v>
      </c>
      <c r="BD220" s="963" t="str">
        <f t="shared" si="552"/>
        <v>3Q09</v>
      </c>
      <c r="BE220" s="963" t="str">
        <f t="shared" si="552"/>
        <v>4Q09</v>
      </c>
      <c r="BF220" s="649" t="str">
        <f t="shared" si="552"/>
        <v>2009</v>
      </c>
      <c r="BG220" s="963" t="str">
        <f t="shared" si="552"/>
        <v>1Q10</v>
      </c>
      <c r="BH220" s="963" t="str">
        <f t="shared" si="552"/>
        <v>2Q10</v>
      </c>
      <c r="BI220" s="963" t="str">
        <f t="shared" si="552"/>
        <v>3Q10</v>
      </c>
      <c r="BJ220" s="963" t="str">
        <f t="shared" si="552"/>
        <v>4Q10</v>
      </c>
      <c r="BK220" s="649" t="str">
        <f t="shared" si="552"/>
        <v>2010</v>
      </c>
      <c r="BL220" s="963" t="str">
        <f t="shared" si="552"/>
        <v>1Q11</v>
      </c>
      <c r="BM220" s="963" t="str">
        <f t="shared" si="552"/>
        <v>2Q11</v>
      </c>
      <c r="BN220" s="963" t="str">
        <f t="shared" si="552"/>
        <v>3Q11</v>
      </c>
      <c r="BO220" s="963" t="str">
        <f t="shared" si="552"/>
        <v>4Q11</v>
      </c>
      <c r="BP220" s="649">
        <f t="shared" si="552"/>
        <v>2011</v>
      </c>
      <c r="BQ220" s="963" t="str">
        <f t="shared" si="552"/>
        <v>1Q12</v>
      </c>
      <c r="BR220" s="963" t="str">
        <f t="shared" si="552"/>
        <v>2Q12</v>
      </c>
      <c r="BS220" s="963" t="str">
        <f t="shared" si="552"/>
        <v>3Q12</v>
      </c>
      <c r="BT220" s="963" t="str">
        <f t="shared" si="552"/>
        <v>4Q12</v>
      </c>
      <c r="BU220" s="649">
        <f t="shared" ref="BU220:DA220" si="553">BU$5</f>
        <v>2012</v>
      </c>
      <c r="BV220" s="963" t="str">
        <f t="shared" si="553"/>
        <v>1Q13</v>
      </c>
      <c r="BW220" s="963" t="str">
        <f t="shared" si="553"/>
        <v>2Q13</v>
      </c>
      <c r="BX220" s="963" t="str">
        <f t="shared" si="553"/>
        <v>3Q13</v>
      </c>
      <c r="BY220" s="963" t="str">
        <f t="shared" si="553"/>
        <v>4Q13</v>
      </c>
      <c r="BZ220" s="649">
        <f t="shared" si="553"/>
        <v>2013</v>
      </c>
      <c r="CA220" s="963" t="str">
        <f t="shared" si="553"/>
        <v>1Q14</v>
      </c>
      <c r="CB220" s="963" t="str">
        <f t="shared" si="553"/>
        <v>2Q14</v>
      </c>
      <c r="CC220" s="963" t="str">
        <f t="shared" si="553"/>
        <v>3Q14</v>
      </c>
      <c r="CD220" s="963" t="str">
        <f t="shared" si="553"/>
        <v>4Q14</v>
      </c>
      <c r="CE220" s="649">
        <f t="shared" si="553"/>
        <v>2014</v>
      </c>
      <c r="CF220" s="963" t="str">
        <f t="shared" si="553"/>
        <v>1Q15</v>
      </c>
      <c r="CG220" s="963" t="str">
        <f t="shared" si="553"/>
        <v>2Q15</v>
      </c>
      <c r="CH220" s="963" t="str">
        <f t="shared" si="553"/>
        <v>3Q15</v>
      </c>
      <c r="CI220" s="963" t="str">
        <f t="shared" si="553"/>
        <v>4Q15</v>
      </c>
      <c r="CJ220" s="649">
        <f t="shared" si="553"/>
        <v>2015</v>
      </c>
      <c r="CK220" s="963" t="str">
        <f t="shared" si="553"/>
        <v>1Q16</v>
      </c>
      <c r="CL220" s="963" t="str">
        <f t="shared" si="553"/>
        <v>2Q16</v>
      </c>
      <c r="CM220" s="963" t="str">
        <f t="shared" si="553"/>
        <v>3Q16</v>
      </c>
      <c r="CN220" s="963" t="str">
        <f t="shared" si="553"/>
        <v>4Q16</v>
      </c>
      <c r="CO220" s="649">
        <f t="shared" si="553"/>
        <v>2016</v>
      </c>
      <c r="CP220" s="963" t="str">
        <f t="shared" si="553"/>
        <v>1Q17</v>
      </c>
      <c r="CQ220" s="963" t="str">
        <f t="shared" si="553"/>
        <v>2Q17</v>
      </c>
      <c r="CR220" s="963" t="str">
        <f t="shared" si="553"/>
        <v>3Q17</v>
      </c>
      <c r="CS220" s="963" t="str">
        <f t="shared" si="553"/>
        <v>4Q17A</v>
      </c>
      <c r="CT220" s="649" t="str">
        <f t="shared" si="553"/>
        <v>2017A</v>
      </c>
      <c r="CU220" s="963" t="str">
        <f t="shared" si="553"/>
        <v>1Q18E</v>
      </c>
      <c r="CV220" s="963" t="str">
        <f t="shared" si="553"/>
        <v>2Q18E</v>
      </c>
      <c r="CW220" s="963" t="str">
        <f t="shared" si="553"/>
        <v>3Q18E</v>
      </c>
      <c r="CX220" s="963" t="str">
        <f t="shared" si="553"/>
        <v>4Q18E</v>
      </c>
      <c r="CY220" s="649" t="str">
        <f t="shared" si="553"/>
        <v>2018E</v>
      </c>
      <c r="CZ220" s="649" t="str">
        <f t="shared" si="553"/>
        <v>2019E</v>
      </c>
      <c r="DA220" s="649" t="str">
        <f t="shared" si="553"/>
        <v>2020E</v>
      </c>
      <c r="DB220"/>
      <c r="DC220"/>
      <c r="DD220" s="873" t="s">
        <v>806</v>
      </c>
      <c r="DE220" s="649">
        <f>M220</f>
        <v>2000</v>
      </c>
      <c r="DF220" s="649">
        <f>R220</f>
        <v>2001</v>
      </c>
      <c r="DG220" s="649">
        <f>W220</f>
        <v>2002</v>
      </c>
      <c r="DH220" s="649">
        <f>AB220</f>
        <v>2003</v>
      </c>
      <c r="DI220" s="649" t="str">
        <f>AG220</f>
        <v>2004</v>
      </c>
      <c r="DJ220" s="649" t="str">
        <f>AL220</f>
        <v>2005</v>
      </c>
      <c r="DK220" s="649" t="str">
        <f>AQ220</f>
        <v>2006</v>
      </c>
      <c r="DL220" s="649" t="str">
        <f>AV220</f>
        <v>2007</v>
      </c>
      <c r="DM220" s="649" t="str">
        <f>BA220</f>
        <v>2008</v>
      </c>
      <c r="DN220" s="649" t="str">
        <f>BF220</f>
        <v>2009</v>
      </c>
      <c r="DO220" s="649" t="str">
        <f>BK220</f>
        <v>2010</v>
      </c>
      <c r="DP220" s="649">
        <f>BP220</f>
        <v>2011</v>
      </c>
      <c r="DQ220" s="649">
        <f>BU220</f>
        <v>2012</v>
      </c>
      <c r="DR220" s="649">
        <f>BZ220</f>
        <v>2013</v>
      </c>
      <c r="DS220" s="649">
        <f>CE220</f>
        <v>2014</v>
      </c>
      <c r="DT220" s="649">
        <f>CJ220</f>
        <v>2015</v>
      </c>
      <c r="DU220" s="649">
        <f>CO220</f>
        <v>2016</v>
      </c>
      <c r="DV220" s="649" t="str">
        <f>CT220</f>
        <v>2017A</v>
      </c>
      <c r="DW220" s="649" t="str">
        <f>CY220</f>
        <v>2018E</v>
      </c>
      <c r="DX220" s="649" t="str">
        <f>CZ220</f>
        <v>2019E</v>
      </c>
      <c r="DY220" s="649" t="str">
        <f>DA220</f>
        <v>2020E</v>
      </c>
      <c r="EA220"/>
      <c r="EB220"/>
      <c r="EC220"/>
      <c r="ED220"/>
      <c r="EE220"/>
      <c r="EF220"/>
      <c r="EJ220"/>
      <c r="EK220"/>
      <c r="EL220"/>
      <c r="ER220" s="212"/>
    </row>
    <row r="221" spans="1:148" ht="12.75" customHeight="1" x14ac:dyDescent="0.2">
      <c r="A221" s="1437"/>
      <c r="B221" s="1223"/>
      <c r="C221" s="1223"/>
      <c r="D221" s="1223"/>
      <c r="E221" s="1223"/>
      <c r="F221" s="1223"/>
      <c r="G221" s="1223"/>
      <c r="H221" s="1223"/>
      <c r="I221" s="1223"/>
      <c r="J221" s="1223"/>
      <c r="K221" s="1223"/>
      <c r="L221" s="1223"/>
      <c r="M221" s="979"/>
      <c r="N221" s="1223"/>
      <c r="O221" s="1223"/>
      <c r="P221" s="1223"/>
      <c r="Q221" s="1223"/>
      <c r="R221" s="979"/>
      <c r="S221" s="1223"/>
      <c r="T221" s="1223"/>
      <c r="U221" s="1223"/>
      <c r="V221" s="1223"/>
      <c r="W221" s="979"/>
      <c r="X221" s="1223"/>
      <c r="Y221" s="1223"/>
      <c r="Z221" s="1223"/>
      <c r="AA221" s="1223"/>
      <c r="AB221" s="979"/>
      <c r="AC221" s="1223"/>
      <c r="AD221" s="1223"/>
      <c r="AE221" s="1223"/>
      <c r="AF221" s="1223"/>
      <c r="AG221" s="979"/>
      <c r="AH221" s="1223"/>
      <c r="AI221" s="1223"/>
      <c r="AJ221" s="1223"/>
      <c r="AK221" s="1223"/>
      <c r="AL221" s="979"/>
      <c r="AM221" s="1223"/>
      <c r="AN221" s="1223"/>
      <c r="AO221" s="1223"/>
      <c r="AP221" s="1223"/>
      <c r="AQ221" s="979"/>
      <c r="AR221" s="1223"/>
      <c r="AS221" s="1223"/>
      <c r="AT221" s="1223"/>
      <c r="AU221" s="1223"/>
      <c r="AV221" s="979"/>
      <c r="AW221" s="1223"/>
      <c r="AX221" s="1223"/>
      <c r="AY221" s="1223"/>
      <c r="AZ221" s="1223"/>
      <c r="BA221" s="979"/>
      <c r="BB221" s="1223"/>
      <c r="BC221" s="1223"/>
      <c r="BD221" s="1223"/>
      <c r="BE221" s="1223"/>
      <c r="BF221" s="979"/>
      <c r="BG221" s="1223"/>
      <c r="BH221" s="1223"/>
      <c r="BI221" s="1223"/>
      <c r="BJ221" s="1223"/>
      <c r="BK221" s="979"/>
      <c r="BL221" s="1223"/>
      <c r="BM221" s="1223"/>
      <c r="BN221" s="1223"/>
      <c r="BO221" s="1223"/>
      <c r="BP221" s="979"/>
      <c r="BQ221" s="1223"/>
      <c r="BR221" s="1223"/>
      <c r="BS221" s="1223"/>
      <c r="BT221" s="1223"/>
      <c r="BU221" s="979"/>
      <c r="BV221" s="1223"/>
      <c r="BW221" s="1223"/>
      <c r="BX221" s="1223"/>
      <c r="BY221" s="1223"/>
      <c r="BZ221" s="979"/>
      <c r="CA221" s="1769"/>
      <c r="CB221" s="1830"/>
      <c r="CC221" s="1830"/>
      <c r="CD221" s="1795"/>
      <c r="CE221" s="979"/>
      <c r="CF221" s="1830"/>
      <c r="CG221" s="1830"/>
      <c r="CH221" s="1830"/>
      <c r="CI221" s="1795"/>
      <c r="CJ221" s="979"/>
      <c r="CK221" s="1830"/>
      <c r="CL221" s="1830"/>
      <c r="CM221" s="1830"/>
      <c r="CN221" s="1795"/>
      <c r="CO221" s="979"/>
      <c r="CP221" s="1830"/>
      <c r="CQ221" s="1830"/>
      <c r="CR221" s="1830"/>
      <c r="CS221" s="1830"/>
      <c r="CT221" s="979"/>
      <c r="CU221" s="1830"/>
      <c r="CV221" s="1830"/>
      <c r="CW221" s="1830"/>
      <c r="CX221" s="1830"/>
      <c r="CY221" s="979"/>
      <c r="CZ221" s="979"/>
      <c r="DA221" s="979"/>
      <c r="DD221" s="1437"/>
      <c r="DE221" s="851"/>
      <c r="DF221" s="851"/>
      <c r="DG221" s="851"/>
      <c r="DH221" s="851"/>
      <c r="DI221" s="851"/>
      <c r="DJ221" s="851"/>
      <c r="DK221" s="851"/>
      <c r="DL221" s="851"/>
      <c r="DM221" s="851"/>
      <c r="DN221" s="851"/>
      <c r="DO221" s="851"/>
      <c r="DP221" s="851"/>
      <c r="DQ221" s="851"/>
      <c r="DR221" s="851"/>
      <c r="DS221" s="851"/>
      <c r="DT221" s="851"/>
      <c r="DU221" s="851"/>
      <c r="DV221" s="851"/>
      <c r="DW221" s="851"/>
      <c r="DX221" s="851"/>
      <c r="DY221" s="851"/>
      <c r="EK221"/>
      <c r="EL221"/>
    </row>
    <row r="222" spans="1:148" s="923" customFormat="1" ht="12.75" customHeight="1" x14ac:dyDescent="0.2">
      <c r="A222" s="1672" t="s">
        <v>2244</v>
      </c>
      <c r="B222" s="215"/>
      <c r="C222" s="215"/>
      <c r="D222" s="215"/>
      <c r="E222" s="215"/>
      <c r="F222" s="215"/>
      <c r="G222" s="215"/>
      <c r="H222" s="215"/>
      <c r="I222" s="215"/>
      <c r="J222" s="215"/>
      <c r="K222" s="215"/>
      <c r="L222" s="215"/>
      <c r="M222" s="968"/>
      <c r="N222" s="215"/>
      <c r="O222" s="215"/>
      <c r="P222" s="215"/>
      <c r="Q222" s="215"/>
      <c r="R222" s="968"/>
      <c r="S222" s="215"/>
      <c r="T222" s="215"/>
      <c r="U222" s="215"/>
      <c r="V222" s="215"/>
      <c r="W222" s="968"/>
      <c r="X222" s="215"/>
      <c r="Y222" s="215"/>
      <c r="Z222" s="215"/>
      <c r="AA222" s="215"/>
      <c r="AB222" s="968"/>
      <c r="AC222" s="215"/>
      <c r="AD222" s="215"/>
      <c r="AE222" s="215"/>
      <c r="AF222" s="215"/>
      <c r="AG222" s="968"/>
      <c r="AH222" s="215"/>
      <c r="AI222" s="215"/>
      <c r="AJ222" s="215"/>
      <c r="AK222" s="215"/>
      <c r="AL222" s="968"/>
      <c r="AM222" s="215"/>
      <c r="AN222" s="215"/>
      <c r="AO222" s="215"/>
      <c r="AP222" s="215"/>
      <c r="AQ222" s="968"/>
      <c r="AR222" s="215"/>
      <c r="AS222" s="215"/>
      <c r="AT222" s="215"/>
      <c r="AU222" s="215"/>
      <c r="AV222" s="968"/>
      <c r="AW222" s="215"/>
      <c r="AX222" s="215"/>
      <c r="AY222" s="215"/>
      <c r="AZ222" s="215"/>
      <c r="BA222" s="968"/>
      <c r="BB222" s="215"/>
      <c r="BC222" s="215"/>
      <c r="BD222" s="215"/>
      <c r="BE222" s="215"/>
      <c r="BF222" s="968"/>
      <c r="BG222" s="215"/>
      <c r="BH222" s="215"/>
      <c r="BI222" s="215"/>
      <c r="BJ222" s="215"/>
      <c r="BK222" s="968"/>
      <c r="BL222" s="215"/>
      <c r="BM222" s="215"/>
      <c r="BN222" s="215"/>
      <c r="BO222" s="215"/>
      <c r="BP222" s="968"/>
      <c r="BQ222" s="215"/>
      <c r="BR222" s="215"/>
      <c r="BS222" s="215"/>
      <c r="BT222" s="215"/>
      <c r="BU222" s="968"/>
      <c r="BV222" s="215"/>
      <c r="BW222" s="215"/>
      <c r="BX222" s="215"/>
      <c r="BY222" s="215"/>
      <c r="BZ222" s="968"/>
      <c r="CA222" s="188"/>
      <c r="CB222" s="215"/>
      <c r="CC222" s="215"/>
      <c r="CD222" s="1788"/>
      <c r="CE222" s="968"/>
      <c r="CF222" s="215"/>
      <c r="CG222" s="215"/>
      <c r="CH222" s="215"/>
      <c r="CI222" s="1788"/>
      <c r="CJ222" s="968"/>
      <c r="CK222" s="215"/>
      <c r="CL222" s="215"/>
      <c r="CM222" s="215"/>
      <c r="CN222" s="215"/>
      <c r="CO222" s="968"/>
      <c r="CP222" s="215"/>
      <c r="CQ222" s="215"/>
      <c r="CR222" s="215"/>
      <c r="CS222" s="215"/>
      <c r="CT222" s="968"/>
      <c r="CU222" s="215"/>
      <c r="CV222" s="215"/>
      <c r="CW222" s="215"/>
      <c r="CX222" s="215"/>
      <c r="CY222" s="968"/>
      <c r="CZ222" s="968"/>
      <c r="DA222" s="968"/>
      <c r="DB222"/>
      <c r="DC222"/>
      <c r="DD222" s="1672" t="s">
        <v>2244</v>
      </c>
      <c r="DE222" s="2290"/>
      <c r="DF222" s="2290"/>
      <c r="DG222" s="2290"/>
      <c r="DH222" s="2290"/>
      <c r="DI222" s="2290"/>
      <c r="DJ222" s="2290"/>
      <c r="DK222" s="2290"/>
      <c r="DL222" s="2290"/>
      <c r="DM222" s="2290"/>
      <c r="DN222" s="2290"/>
      <c r="DO222" s="2290"/>
      <c r="DP222" s="2290"/>
      <c r="DQ222" s="2290"/>
      <c r="DR222" s="2290"/>
      <c r="DS222" s="2290"/>
      <c r="DT222" s="2290"/>
      <c r="DU222" s="2290"/>
      <c r="DV222" s="2290"/>
      <c r="DW222" s="2290"/>
      <c r="DX222" s="2290"/>
      <c r="DY222" s="2290"/>
      <c r="EA222"/>
      <c r="EB222"/>
      <c r="EC222"/>
      <c r="ED222"/>
      <c r="EE222"/>
      <c r="EF222"/>
      <c r="EJ222"/>
      <c r="EK222"/>
      <c r="EL222"/>
      <c r="ER222" s="212"/>
    </row>
    <row r="223" spans="1:148" s="923" customFormat="1" ht="12.75" customHeight="1" x14ac:dyDescent="0.2">
      <c r="A223" s="2295" t="s">
        <v>2584</v>
      </c>
      <c r="B223" s="1703"/>
      <c r="C223" s="1703"/>
      <c r="D223" s="1703"/>
      <c r="E223" s="1703"/>
      <c r="F223" s="1703"/>
      <c r="G223" s="1703"/>
      <c r="H223" s="1703"/>
      <c r="I223" s="1703"/>
      <c r="J223" s="1703"/>
      <c r="K223" s="1703"/>
      <c r="L223" s="1703"/>
      <c r="M223" s="1704"/>
      <c r="N223" s="1703">
        <f t="shared" ref="N223:AS223" si="554">N330</f>
        <v>86.160752260160606</v>
      </c>
      <c r="O223" s="1703">
        <f t="shared" si="554"/>
        <v>94.452245479134461</v>
      </c>
      <c r="P223" s="1703">
        <f t="shared" si="554"/>
        <v>85</v>
      </c>
      <c r="Q223" s="1703">
        <f t="shared" si="554"/>
        <v>100</v>
      </c>
      <c r="R223" s="1704">
        <f t="shared" si="554"/>
        <v>365.61299773929505</v>
      </c>
      <c r="S223" s="1703">
        <f t="shared" si="554"/>
        <v>85</v>
      </c>
      <c r="T223" s="1703">
        <f t="shared" si="554"/>
        <v>91</v>
      </c>
      <c r="U223" s="1703">
        <f t="shared" si="554"/>
        <v>82</v>
      </c>
      <c r="V223" s="1703">
        <f t="shared" si="554"/>
        <v>121</v>
      </c>
      <c r="W223" s="1704">
        <f t="shared" si="554"/>
        <v>379</v>
      </c>
      <c r="X223" s="1703">
        <f t="shared" si="554"/>
        <v>92</v>
      </c>
      <c r="Y223" s="1703">
        <f t="shared" si="554"/>
        <v>88</v>
      </c>
      <c r="Z223" s="1703">
        <f t="shared" si="554"/>
        <v>86</v>
      </c>
      <c r="AA223" s="1703">
        <f t="shared" si="554"/>
        <v>122</v>
      </c>
      <c r="AB223" s="1704">
        <f t="shared" si="554"/>
        <v>388</v>
      </c>
      <c r="AC223" s="1703">
        <f t="shared" si="554"/>
        <v>99</v>
      </c>
      <c r="AD223" s="1703">
        <f t="shared" si="554"/>
        <v>106</v>
      </c>
      <c r="AE223" s="1703">
        <f t="shared" si="554"/>
        <v>97</v>
      </c>
      <c r="AF223" s="1703">
        <f t="shared" si="554"/>
        <v>133</v>
      </c>
      <c r="AG223" s="1704">
        <f t="shared" si="554"/>
        <v>435</v>
      </c>
      <c r="AH223" s="1703">
        <f t="shared" si="554"/>
        <v>111</v>
      </c>
      <c r="AI223" s="1703">
        <f t="shared" si="554"/>
        <v>123</v>
      </c>
      <c r="AJ223" s="1703">
        <f t="shared" si="554"/>
        <v>108</v>
      </c>
      <c r="AK223" s="1703">
        <f t="shared" si="554"/>
        <v>155</v>
      </c>
      <c r="AL223" s="1704">
        <f t="shared" si="554"/>
        <v>497</v>
      </c>
      <c r="AM223" s="1703">
        <f t="shared" si="554"/>
        <v>127</v>
      </c>
      <c r="AN223" s="1703">
        <f t="shared" si="554"/>
        <v>134</v>
      </c>
      <c r="AO223" s="1703">
        <f t="shared" si="554"/>
        <v>119</v>
      </c>
      <c r="AP223" s="1703">
        <f t="shared" si="554"/>
        <v>173</v>
      </c>
      <c r="AQ223" s="1704">
        <f t="shared" si="554"/>
        <v>553</v>
      </c>
      <c r="AR223" s="1703">
        <f t="shared" si="554"/>
        <v>134</v>
      </c>
      <c r="AS223" s="1703">
        <f t="shared" si="554"/>
        <v>148</v>
      </c>
      <c r="AT223" s="1703">
        <f t="shared" ref="AT223:BO223" si="555">AT330</f>
        <v>135</v>
      </c>
      <c r="AU223" s="1703">
        <f t="shared" si="555"/>
        <v>203</v>
      </c>
      <c r="AV223" s="1704">
        <f t="shared" si="555"/>
        <v>620</v>
      </c>
      <c r="AW223" s="1703">
        <f t="shared" si="555"/>
        <v>148</v>
      </c>
      <c r="AX223" s="1703">
        <f t="shared" si="555"/>
        <v>161</v>
      </c>
      <c r="AY223" s="1703">
        <f t="shared" si="555"/>
        <v>143</v>
      </c>
      <c r="AZ223" s="1703">
        <f t="shared" si="555"/>
        <v>183</v>
      </c>
      <c r="BA223" s="1704">
        <f t="shared" si="555"/>
        <v>635</v>
      </c>
      <c r="BB223" s="1703">
        <f t="shared" si="555"/>
        <v>125</v>
      </c>
      <c r="BC223" s="1703">
        <f t="shared" si="555"/>
        <v>126</v>
      </c>
      <c r="BD223" s="1703">
        <f t="shared" si="555"/>
        <v>116</v>
      </c>
      <c r="BE223" s="1703">
        <f t="shared" si="555"/>
        <v>163</v>
      </c>
      <c r="BF223" s="1704">
        <f t="shared" si="555"/>
        <v>530</v>
      </c>
      <c r="BG223" s="1703">
        <f t="shared" si="555"/>
        <v>111</v>
      </c>
      <c r="BH223" s="1703">
        <f t="shared" si="555"/>
        <v>122</v>
      </c>
      <c r="BI223" s="1703">
        <f t="shared" si="555"/>
        <v>109</v>
      </c>
      <c r="BJ223" s="1703">
        <f t="shared" si="555"/>
        <v>160</v>
      </c>
      <c r="BK223" s="1704">
        <f t="shared" si="555"/>
        <v>502</v>
      </c>
      <c r="BL223" s="1703">
        <f t="shared" si="555"/>
        <v>120</v>
      </c>
      <c r="BM223" s="1703">
        <f>BM330</f>
        <v>135</v>
      </c>
      <c r="BN223" s="1703">
        <f t="shared" si="555"/>
        <v>120</v>
      </c>
      <c r="BO223" s="1703">
        <f t="shared" si="555"/>
        <v>171</v>
      </c>
      <c r="BP223" s="1704">
        <f>SUM(BL223:BO223)</f>
        <v>546</v>
      </c>
      <c r="BQ223" s="1703">
        <f t="shared" ref="BQ223:CE223" si="556">BQ330</f>
        <v>124</v>
      </c>
      <c r="BR223" s="1703">
        <f t="shared" si="556"/>
        <v>141</v>
      </c>
      <c r="BS223" s="1703">
        <f>BS330</f>
        <v>134</v>
      </c>
      <c r="BT223" s="1703">
        <f t="shared" si="556"/>
        <v>182</v>
      </c>
      <c r="BU223" s="1704">
        <f t="shared" si="556"/>
        <v>581</v>
      </c>
      <c r="BV223" s="1703">
        <f>BV330</f>
        <v>153</v>
      </c>
      <c r="BW223" s="1703">
        <f>BW330</f>
        <v>166</v>
      </c>
      <c r="BX223" s="1703">
        <f>BX330</f>
        <v>150</v>
      </c>
      <c r="BY223" s="1703">
        <f>BY330</f>
        <v>152</v>
      </c>
      <c r="BZ223" s="1704">
        <f t="shared" si="556"/>
        <v>621</v>
      </c>
      <c r="CA223" s="1703">
        <f>CA330</f>
        <v>155</v>
      </c>
      <c r="CB223" s="1703">
        <f t="shared" si="556"/>
        <v>176</v>
      </c>
      <c r="CC223" s="1703">
        <f t="shared" si="556"/>
        <v>178</v>
      </c>
      <c r="CD223" s="1703">
        <f t="shared" si="556"/>
        <v>163</v>
      </c>
      <c r="CE223" s="1704">
        <f t="shared" si="556"/>
        <v>672</v>
      </c>
      <c r="CF223" s="1703">
        <f>CF330</f>
        <v>165</v>
      </c>
      <c r="CG223" s="1703">
        <f t="shared" ref="CG223:CL223" si="557">CG330</f>
        <v>191</v>
      </c>
      <c r="CH223" s="1703">
        <f t="shared" si="557"/>
        <v>170</v>
      </c>
      <c r="CI223" s="1703">
        <f t="shared" si="557"/>
        <v>172</v>
      </c>
      <c r="CJ223" s="1704">
        <f t="shared" si="557"/>
        <v>698</v>
      </c>
      <c r="CK223" s="1703">
        <f t="shared" si="557"/>
        <v>172</v>
      </c>
      <c r="CL223" s="1703">
        <f t="shared" si="557"/>
        <v>186</v>
      </c>
      <c r="CM223" s="1703">
        <f>CM330</f>
        <v>172</v>
      </c>
      <c r="CO223" s="1690"/>
      <c r="CP223" s="3399"/>
      <c r="CT223" s="1690"/>
      <c r="CU223" s="3399"/>
      <c r="CY223" s="1690"/>
      <c r="CZ223" s="1690"/>
      <c r="DA223" s="1690"/>
      <c r="DB223"/>
      <c r="DC223"/>
      <c r="DD223" s="2295" t="s">
        <v>1512</v>
      </c>
      <c r="DE223" s="2292">
        <f>M223</f>
        <v>0</v>
      </c>
      <c r="DF223" s="2292">
        <f>R223</f>
        <v>365.61299773929505</v>
      </c>
      <c r="DG223" s="2292">
        <f>W223</f>
        <v>379</v>
      </c>
      <c r="DH223" s="2292">
        <f>AB223</f>
        <v>388</v>
      </c>
      <c r="DI223" s="2292">
        <f>AG223</f>
        <v>435</v>
      </c>
      <c r="DJ223" s="2292">
        <f>AL223</f>
        <v>497</v>
      </c>
      <c r="DK223" s="2292">
        <f>AQ223</f>
        <v>553</v>
      </c>
      <c r="DL223" s="2292">
        <f>AV223</f>
        <v>620</v>
      </c>
      <c r="DM223" s="2292">
        <f>BA223</f>
        <v>635</v>
      </c>
      <c r="DN223" s="2292">
        <f>BF223</f>
        <v>530</v>
      </c>
      <c r="DO223" s="2292">
        <f>BK223</f>
        <v>502</v>
      </c>
      <c r="DP223" s="2292">
        <f>BP223</f>
        <v>546</v>
      </c>
      <c r="DQ223" s="2292">
        <f>BU223</f>
        <v>581</v>
      </c>
      <c r="DR223" s="2292">
        <f>BZ223</f>
        <v>621</v>
      </c>
      <c r="DS223" s="2292">
        <f>CE223</f>
        <v>672</v>
      </c>
      <c r="DT223" s="2292">
        <f>CJ223</f>
        <v>698</v>
      </c>
      <c r="DU223" s="2292">
        <f>CO226</f>
        <v>1072</v>
      </c>
      <c r="DV223" s="2292">
        <f>CT226</f>
        <v>1102</v>
      </c>
      <c r="DW223" s="2292">
        <f ca="1">CY226</f>
        <v>1183.2037229233629</v>
      </c>
      <c r="DX223" s="2292">
        <f ca="1">CZ226</f>
        <v>1258.9633173009652</v>
      </c>
      <c r="DY223" s="2292">
        <f ca="1">DA226</f>
        <v>1251.8826687223984</v>
      </c>
      <c r="EA223"/>
      <c r="EB223"/>
      <c r="EC223"/>
      <c r="ED223"/>
      <c r="EE223"/>
      <c r="EF223"/>
      <c r="EJ223"/>
      <c r="EK223"/>
      <c r="EL223"/>
      <c r="ER223" s="212"/>
    </row>
    <row r="224" spans="1:148" ht="12.75" customHeight="1" x14ac:dyDescent="0.2">
      <c r="A224" s="2308" t="s">
        <v>2573</v>
      </c>
      <c r="M224" s="661"/>
      <c r="R224" s="661"/>
      <c r="W224" s="661"/>
      <c r="AB224" s="661"/>
      <c r="AG224" s="661"/>
      <c r="AH224" s="2983">
        <v>24</v>
      </c>
      <c r="AI224" s="2983">
        <v>35</v>
      </c>
      <c r="AJ224" s="2983">
        <v>37</v>
      </c>
      <c r="AK224" s="2983">
        <v>41</v>
      </c>
      <c r="AL224" s="2922">
        <v>137</v>
      </c>
      <c r="AM224" s="2983">
        <v>43</v>
      </c>
      <c r="AN224" s="2983">
        <v>62</v>
      </c>
      <c r="AO224" s="2983">
        <v>65</v>
      </c>
      <c r="AP224" s="2983">
        <v>65</v>
      </c>
      <c r="AQ224" s="2922">
        <v>235</v>
      </c>
      <c r="AR224" s="2983">
        <v>62</v>
      </c>
      <c r="AS224" s="2983">
        <v>72</v>
      </c>
      <c r="AT224" s="2983">
        <v>70</v>
      </c>
      <c r="AU224" s="2983">
        <v>76</v>
      </c>
      <c r="AV224" s="2922">
        <v>280</v>
      </c>
      <c r="AW224" s="2983">
        <v>68</v>
      </c>
      <c r="AX224" s="2983">
        <v>75</v>
      </c>
      <c r="AY224" s="2983">
        <v>73</v>
      </c>
      <c r="AZ224" s="2983">
        <v>71</v>
      </c>
      <c r="BA224" s="2922">
        <v>287</v>
      </c>
      <c r="BB224" s="2983">
        <v>54</v>
      </c>
      <c r="BC224" s="2983">
        <v>60</v>
      </c>
      <c r="BD224" s="2983">
        <v>62</v>
      </c>
      <c r="BE224" s="2983">
        <v>65</v>
      </c>
      <c r="BF224" s="2922">
        <v>241</v>
      </c>
      <c r="BG224" s="2983">
        <v>60</v>
      </c>
      <c r="BH224" s="2983">
        <v>69</v>
      </c>
      <c r="BI224" s="2983">
        <v>67</v>
      </c>
      <c r="BJ224" s="2983">
        <v>74</v>
      </c>
      <c r="BK224" s="2922">
        <v>270</v>
      </c>
      <c r="BL224" s="2983">
        <v>67</v>
      </c>
      <c r="BM224" s="2983">
        <v>79</v>
      </c>
      <c r="BN224" s="2983">
        <v>81</v>
      </c>
      <c r="BO224" s="2983">
        <v>82</v>
      </c>
      <c r="BP224" s="2922">
        <v>309</v>
      </c>
      <c r="BQ224" s="2983">
        <v>76</v>
      </c>
      <c r="BR224" s="2983">
        <v>85</v>
      </c>
      <c r="BS224" s="2983">
        <v>83</v>
      </c>
      <c r="BT224" s="2983">
        <v>87</v>
      </c>
      <c r="BU224" s="2922">
        <v>331</v>
      </c>
      <c r="BV224" s="2983">
        <v>80</v>
      </c>
      <c r="BW224" s="2983">
        <v>92</v>
      </c>
      <c r="BX224" s="2983">
        <v>92</v>
      </c>
      <c r="BY224" s="2935">
        <v>94</v>
      </c>
      <c r="BZ224" s="2922">
        <v>358</v>
      </c>
      <c r="CA224" s="2983">
        <v>86</v>
      </c>
      <c r="CB224" s="2983">
        <v>98</v>
      </c>
      <c r="CC224" s="2983">
        <v>97</v>
      </c>
      <c r="CD224" s="2983">
        <v>96</v>
      </c>
      <c r="CE224" s="2922">
        <v>377</v>
      </c>
      <c r="CF224" s="2983">
        <v>85</v>
      </c>
      <c r="CG224" s="2983">
        <v>93</v>
      </c>
      <c r="CH224" s="2983">
        <v>95</v>
      </c>
      <c r="CI224" s="2983">
        <v>93</v>
      </c>
      <c r="CJ224" s="2922">
        <v>366</v>
      </c>
      <c r="CK224" s="2983">
        <v>85</v>
      </c>
      <c r="CL224" s="2983">
        <v>95</v>
      </c>
      <c r="CM224" s="3085">
        <f>266-CM223</f>
        <v>94</v>
      </c>
      <c r="CN224" s="3085"/>
      <c r="CO224" s="661"/>
      <c r="CT224" s="661"/>
      <c r="CY224" s="661"/>
      <c r="CZ224" s="661"/>
      <c r="DA224" s="661"/>
      <c r="DB224" s="537"/>
      <c r="DC224" s="537"/>
      <c r="DD224" s="2308"/>
      <c r="DE224" s="2293"/>
      <c r="DF224" s="2293"/>
      <c r="DG224" s="2293"/>
      <c r="DH224" s="2293"/>
      <c r="DI224" s="2293"/>
      <c r="DJ224" s="2293"/>
      <c r="DK224" s="2293"/>
      <c r="DL224" s="2293"/>
      <c r="DM224" s="2293"/>
      <c r="DN224" s="2293"/>
      <c r="DO224" s="2293"/>
      <c r="DP224" s="2293"/>
      <c r="DQ224" s="2293"/>
      <c r="DR224" s="2293"/>
      <c r="DS224" s="2293"/>
      <c r="DT224" s="2293"/>
      <c r="DU224" s="2293"/>
      <c r="DV224" s="2293"/>
      <c r="DW224" s="2293"/>
      <c r="DX224" s="2293"/>
      <c r="DY224" s="2293"/>
      <c r="DZ224" s="847"/>
      <c r="EK224"/>
      <c r="EL224"/>
    </row>
    <row r="225" spans="1:148" ht="3.95" customHeight="1" x14ac:dyDescent="0.2">
      <c r="A225" s="2308"/>
      <c r="M225" s="661"/>
      <c r="R225" s="661"/>
      <c r="W225" s="661"/>
      <c r="AB225" s="661"/>
      <c r="AG225" s="661"/>
      <c r="AH225" s="2983"/>
      <c r="AI225" s="2983"/>
      <c r="AJ225" s="2983"/>
      <c r="AK225" s="2983"/>
      <c r="AL225" s="2922"/>
      <c r="AM225" s="2983"/>
      <c r="AN225" s="2983"/>
      <c r="AO225" s="2983"/>
      <c r="AP225" s="2983"/>
      <c r="AQ225" s="2922"/>
      <c r="AR225" s="2983"/>
      <c r="AS225" s="2983"/>
      <c r="AT225" s="2983"/>
      <c r="AU225" s="2983"/>
      <c r="AV225" s="2922"/>
      <c r="AW225" s="2983"/>
      <c r="AX225" s="2983"/>
      <c r="AY225" s="2983"/>
      <c r="AZ225" s="2983"/>
      <c r="BA225" s="2922"/>
      <c r="BB225" s="2983"/>
      <c r="BC225" s="2983"/>
      <c r="BD225" s="2983"/>
      <c r="BE225" s="2983"/>
      <c r="BF225" s="2922"/>
      <c r="BG225" s="2983"/>
      <c r="BH225" s="2983"/>
      <c r="BI225" s="2983"/>
      <c r="BJ225" s="2983"/>
      <c r="BK225" s="2922"/>
      <c r="BL225" s="2983"/>
      <c r="BM225" s="2983"/>
      <c r="BN225" s="2983"/>
      <c r="BO225" s="2983"/>
      <c r="BP225" s="2922"/>
      <c r="BQ225" s="2983"/>
      <c r="BR225" s="2983"/>
      <c r="BS225" s="2983"/>
      <c r="BT225" s="2983"/>
      <c r="BU225" s="2922"/>
      <c r="BV225" s="2350"/>
      <c r="BW225" s="2350"/>
      <c r="BX225" s="2350"/>
      <c r="BY225" s="2350"/>
      <c r="BZ225" s="2289"/>
      <c r="CA225" s="2350"/>
      <c r="CB225" s="2350"/>
      <c r="CC225" s="2350"/>
      <c r="CD225" s="2350"/>
      <c r="CE225" s="2289"/>
      <c r="CF225" s="2350" t="s">
        <v>2403</v>
      </c>
      <c r="CG225" s="2350" t="s">
        <v>2403</v>
      </c>
      <c r="CH225" s="2350" t="s">
        <v>2403</v>
      </c>
      <c r="CI225" s="2350" t="s">
        <v>2403</v>
      </c>
      <c r="CJ225" s="2289" t="s">
        <v>2403</v>
      </c>
      <c r="CK225" s="2350" t="s">
        <v>2403</v>
      </c>
      <c r="CL225" s="2350" t="s">
        <v>2403</v>
      </c>
      <c r="CM225" s="2350" t="s">
        <v>2403</v>
      </c>
      <c r="CN225" s="3085"/>
      <c r="CO225" s="661"/>
      <c r="CT225" s="661"/>
      <c r="CY225" s="661"/>
      <c r="CZ225" s="661"/>
      <c r="DA225" s="661"/>
      <c r="DB225" s="537"/>
      <c r="DC225" s="537"/>
      <c r="DD225" s="2308"/>
      <c r="DE225" s="2293"/>
      <c r="DF225" s="2293"/>
      <c r="DG225" s="2293"/>
      <c r="DH225" s="2293"/>
      <c r="DI225" s="2293"/>
      <c r="DJ225" s="2293"/>
      <c r="DK225" s="2293"/>
      <c r="DL225" s="2293"/>
      <c r="DM225" s="2293"/>
      <c r="DN225" s="2293"/>
      <c r="DO225" s="2293"/>
      <c r="DP225" s="2293"/>
      <c r="DQ225" s="2293"/>
      <c r="DR225" s="2293"/>
      <c r="DS225" s="2293"/>
      <c r="DT225" s="2293"/>
      <c r="DU225" s="2293"/>
      <c r="DV225" s="2293"/>
      <c r="DW225" s="2293"/>
      <c r="DX225" s="2293"/>
      <c r="DY225" s="2293"/>
      <c r="DZ225" s="847"/>
      <c r="EK225"/>
      <c r="EL225"/>
    </row>
    <row r="226" spans="1:148" ht="12.75" customHeight="1" x14ac:dyDescent="0.2">
      <c r="A226" s="2308" t="s">
        <v>2572</v>
      </c>
      <c r="M226" s="661"/>
      <c r="R226" s="661"/>
      <c r="W226" s="661"/>
      <c r="AB226" s="661"/>
      <c r="AG226" s="661"/>
      <c r="AH226" s="2983"/>
      <c r="AI226" s="2983"/>
      <c r="AJ226" s="2983"/>
      <c r="AK226" s="2983"/>
      <c r="AL226" s="2922"/>
      <c r="AM226" s="2983"/>
      <c r="AN226" s="2983"/>
      <c r="AO226" s="2983"/>
      <c r="AP226" s="2983"/>
      <c r="AQ226" s="2922"/>
      <c r="AR226" s="2983"/>
      <c r="AS226" s="2983"/>
      <c r="AT226" s="2983"/>
      <c r="AU226" s="2983"/>
      <c r="AV226" s="2922"/>
      <c r="AW226" s="2983"/>
      <c r="AX226" s="2983"/>
      <c r="AY226" s="2983"/>
      <c r="AZ226" s="2983"/>
      <c r="BA226" s="2922"/>
      <c r="BB226" s="2983"/>
      <c r="BC226" s="2983"/>
      <c r="BD226" s="2983"/>
      <c r="BE226" s="2983"/>
      <c r="BF226" s="2922"/>
      <c r="BG226" s="2983"/>
      <c r="BH226" s="2983"/>
      <c r="BI226" s="2983"/>
      <c r="BJ226" s="2983"/>
      <c r="BK226" s="2922"/>
      <c r="BL226" s="2983"/>
      <c r="BM226" s="2983"/>
      <c r="BN226" s="2983"/>
      <c r="BO226" s="2983"/>
      <c r="BP226" s="2922"/>
      <c r="BQ226" s="2983"/>
      <c r="BR226" s="2983"/>
      <c r="BS226" s="2983"/>
      <c r="BT226" s="2983"/>
      <c r="BU226" s="2922"/>
      <c r="BV226" s="1703"/>
      <c r="BW226" s="1703"/>
      <c r="BX226" s="1703"/>
      <c r="BY226" s="1703"/>
      <c r="BZ226" s="1704"/>
      <c r="CA226" s="1703"/>
      <c r="CB226" s="1703"/>
      <c r="CC226" s="1703"/>
      <c r="CD226" s="1703"/>
      <c r="CE226" s="1704"/>
      <c r="CF226" s="1703">
        <f t="shared" ref="CF226:CM226" si="558">+CF223+CF224</f>
        <v>250</v>
      </c>
      <c r="CG226" s="1703">
        <f t="shared" si="558"/>
        <v>284</v>
      </c>
      <c r="CH226" s="1703">
        <f t="shared" si="558"/>
        <v>265</v>
      </c>
      <c r="CI226" s="1703">
        <f t="shared" si="558"/>
        <v>265</v>
      </c>
      <c r="CJ226" s="1704">
        <f t="shared" si="558"/>
        <v>1064</v>
      </c>
      <c r="CK226" s="1703">
        <f t="shared" si="558"/>
        <v>257</v>
      </c>
      <c r="CL226" s="1703">
        <f t="shared" si="558"/>
        <v>281</v>
      </c>
      <c r="CM226" s="1703">
        <f t="shared" si="558"/>
        <v>266</v>
      </c>
      <c r="CN226" s="3254">
        <f t="shared" ref="CN226:CS226" si="559">CN333</f>
        <v>268</v>
      </c>
      <c r="CO226" s="1704">
        <f t="shared" si="559"/>
        <v>1072</v>
      </c>
      <c r="CP226" s="1703">
        <f>CP333</f>
        <v>264</v>
      </c>
      <c r="CQ226" s="1703">
        <f t="shared" si="559"/>
        <v>285</v>
      </c>
      <c r="CR226" s="1703">
        <f t="shared" si="559"/>
        <v>269</v>
      </c>
      <c r="CS226" s="1703">
        <f t="shared" si="559"/>
        <v>284</v>
      </c>
      <c r="CT226" s="1704">
        <f>SUM(CP226:CS226)</f>
        <v>1102</v>
      </c>
      <c r="CU226" s="1703">
        <f t="shared" ref="CU226:DA226" ca="1" si="560">CU333</f>
        <v>281.59649328782893</v>
      </c>
      <c r="CV226" s="1703">
        <f t="shared" ca="1" si="560"/>
        <v>307.52592733844949</v>
      </c>
      <c r="CW226" s="1703">
        <f t="shared" ca="1" si="560"/>
        <v>288.93586495642586</v>
      </c>
      <c r="CX226" s="1703">
        <f t="shared" ca="1" si="560"/>
        <v>305.14543734065876</v>
      </c>
      <c r="CY226" s="1704">
        <f ca="1">SUM(CU226:CX226)</f>
        <v>1183.2037229233629</v>
      </c>
      <c r="CZ226" s="1704">
        <f t="shared" ca="1" si="560"/>
        <v>1258.9633173009652</v>
      </c>
      <c r="DA226" s="1704">
        <f t="shared" ca="1" si="560"/>
        <v>1251.8826687223984</v>
      </c>
      <c r="DB226" s="537"/>
      <c r="DC226" s="537"/>
      <c r="DD226" s="2308"/>
      <c r="DE226" s="2293"/>
      <c r="DF226" s="2293"/>
      <c r="DG226" s="2293"/>
      <c r="DH226" s="2293"/>
      <c r="DI226" s="2293"/>
      <c r="DJ226" s="2293"/>
      <c r="DK226" s="2293"/>
      <c r="DL226" s="2293"/>
      <c r="DM226" s="2293"/>
      <c r="DN226" s="2293"/>
      <c r="DO226" s="2293"/>
      <c r="DP226" s="2293"/>
      <c r="DQ226" s="2293"/>
      <c r="DR226" s="2293"/>
      <c r="DS226" s="2293"/>
      <c r="DT226" s="2293"/>
      <c r="DU226" s="2293"/>
      <c r="DV226" s="2293"/>
      <c r="DW226" s="2293"/>
      <c r="DX226" s="2293"/>
      <c r="DY226" s="2293"/>
      <c r="DZ226" s="847"/>
      <c r="EK226"/>
      <c r="EL226"/>
      <c r="EM226" s="1703"/>
    </row>
    <row r="227" spans="1:148" ht="12.75" customHeight="1" x14ac:dyDescent="0.2">
      <c r="A227" s="2308"/>
      <c r="M227" s="661"/>
      <c r="R227" s="661"/>
      <c r="W227" s="661"/>
      <c r="AB227" s="661"/>
      <c r="AG227" s="661"/>
      <c r="AH227" s="2983"/>
      <c r="AI227" s="2983"/>
      <c r="AJ227" s="2983"/>
      <c r="AK227" s="2983"/>
      <c r="AL227" s="2922"/>
      <c r="AM227" s="2983"/>
      <c r="AN227" s="2983"/>
      <c r="AO227" s="2983"/>
      <c r="AP227" s="2983"/>
      <c r="AQ227" s="2922"/>
      <c r="AR227" s="2983"/>
      <c r="AS227" s="2983"/>
      <c r="AT227" s="2983"/>
      <c r="AU227" s="2983"/>
      <c r="AV227" s="2922"/>
      <c r="AW227" s="2983"/>
      <c r="AX227" s="2983"/>
      <c r="AY227" s="2983"/>
      <c r="AZ227" s="2983"/>
      <c r="BA227" s="2922"/>
      <c r="BB227" s="2983"/>
      <c r="BC227" s="2983"/>
      <c r="BD227" s="2983"/>
      <c r="BE227" s="2983"/>
      <c r="BF227" s="2922"/>
      <c r="BG227" s="2983"/>
      <c r="BH227" s="2983"/>
      <c r="BI227" s="2983"/>
      <c r="BJ227" s="2983"/>
      <c r="BK227" s="2922"/>
      <c r="BL227" s="2983"/>
      <c r="BM227" s="2983"/>
      <c r="BN227" s="2983"/>
      <c r="BO227" s="2983"/>
      <c r="BP227" s="2922"/>
      <c r="BQ227" s="2983"/>
      <c r="BR227" s="2983"/>
      <c r="BS227" s="2983"/>
      <c r="BT227" s="2983"/>
      <c r="BU227" s="2922"/>
      <c r="BV227" s="2983"/>
      <c r="BW227" s="2983"/>
      <c r="BX227" s="2983"/>
      <c r="BY227" s="2935"/>
      <c r="BZ227" s="2922"/>
      <c r="CA227" s="2983"/>
      <c r="CB227" s="2983"/>
      <c r="CC227" s="2983"/>
      <c r="CD227" s="2983"/>
      <c r="CE227" s="2922"/>
      <c r="CF227" s="2983"/>
      <c r="CG227" s="2983"/>
      <c r="CH227" s="2983"/>
      <c r="CI227" s="2983"/>
      <c r="CJ227" s="2922"/>
      <c r="CK227" s="2983"/>
      <c r="CL227" s="2983"/>
      <c r="CM227" s="2983"/>
      <c r="CN227" s="3085"/>
      <c r="CO227" s="661"/>
      <c r="CT227" s="661"/>
      <c r="CY227" s="661"/>
      <c r="CZ227" s="661"/>
      <c r="DA227" s="661"/>
      <c r="DB227" s="537"/>
      <c r="DC227" s="537"/>
      <c r="DD227" s="2308"/>
      <c r="DE227" s="2293"/>
      <c r="DF227" s="2293"/>
      <c r="DG227" s="2293"/>
      <c r="DH227" s="2293"/>
      <c r="DI227" s="2293"/>
      <c r="DJ227" s="2293"/>
      <c r="DK227" s="2293"/>
      <c r="DL227" s="2293"/>
      <c r="DM227" s="2293"/>
      <c r="DN227" s="2293"/>
      <c r="DO227" s="2293"/>
      <c r="DP227" s="2293"/>
      <c r="DQ227" s="2293"/>
      <c r="DR227" s="2293"/>
      <c r="DS227" s="2293"/>
      <c r="DT227" s="2293"/>
      <c r="DU227" s="2293"/>
      <c r="DV227" s="2293"/>
      <c r="DW227" s="2293"/>
      <c r="DX227" s="2293"/>
      <c r="DY227" s="2293"/>
      <c r="DZ227" s="847"/>
      <c r="EK227"/>
      <c r="EL227"/>
    </row>
    <row r="228" spans="1:148" s="923" customFormat="1" ht="12.75" customHeight="1" x14ac:dyDescent="0.2">
      <c r="A228" s="2295" t="s">
        <v>2574</v>
      </c>
      <c r="B228" s="215"/>
      <c r="C228" s="215"/>
      <c r="D228" s="215"/>
      <c r="E228" s="215"/>
      <c r="F228" s="215"/>
      <c r="G228" s="215"/>
      <c r="H228" s="215"/>
      <c r="I228" s="215"/>
      <c r="J228" s="215"/>
      <c r="K228" s="215"/>
      <c r="L228" s="215"/>
      <c r="M228" s="968"/>
      <c r="N228" s="215">
        <f t="shared" ref="N228:AS228" si="561">N374</f>
        <v>51.839247739839394</v>
      </c>
      <c r="O228" s="215">
        <f t="shared" si="561"/>
        <v>56.547754520865546</v>
      </c>
      <c r="P228" s="215">
        <f t="shared" si="561"/>
        <v>55</v>
      </c>
      <c r="Q228" s="215">
        <f t="shared" si="561"/>
        <v>63</v>
      </c>
      <c r="R228" s="968">
        <f t="shared" si="561"/>
        <v>226.38700226070495</v>
      </c>
      <c r="S228" s="215">
        <f t="shared" si="561"/>
        <v>51</v>
      </c>
      <c r="T228" s="215">
        <f t="shared" si="561"/>
        <v>54</v>
      </c>
      <c r="U228" s="215">
        <f t="shared" si="561"/>
        <v>55</v>
      </c>
      <c r="V228" s="215">
        <f t="shared" si="561"/>
        <v>72</v>
      </c>
      <c r="W228" s="968">
        <f t="shared" si="561"/>
        <v>232</v>
      </c>
      <c r="X228" s="215">
        <f t="shared" si="561"/>
        <v>52</v>
      </c>
      <c r="Y228" s="215">
        <f t="shared" si="561"/>
        <v>56</v>
      </c>
      <c r="Z228" s="215">
        <f t="shared" si="561"/>
        <v>61</v>
      </c>
      <c r="AA228" s="215">
        <f t="shared" si="561"/>
        <v>76</v>
      </c>
      <c r="AB228" s="968">
        <f t="shared" si="561"/>
        <v>245</v>
      </c>
      <c r="AC228" s="215">
        <f t="shared" si="561"/>
        <v>61</v>
      </c>
      <c r="AD228" s="215">
        <f t="shared" si="561"/>
        <v>72</v>
      </c>
      <c r="AE228" s="215">
        <f t="shared" si="561"/>
        <v>74</v>
      </c>
      <c r="AF228" s="215">
        <f t="shared" si="561"/>
        <v>89</v>
      </c>
      <c r="AG228" s="968">
        <f t="shared" si="561"/>
        <v>296</v>
      </c>
      <c r="AH228" s="215">
        <f t="shared" si="561"/>
        <v>70</v>
      </c>
      <c r="AI228" s="215">
        <f t="shared" si="561"/>
        <v>78</v>
      </c>
      <c r="AJ228" s="215">
        <f t="shared" si="561"/>
        <v>78</v>
      </c>
      <c r="AK228" s="215">
        <f t="shared" si="561"/>
        <v>103</v>
      </c>
      <c r="AL228" s="968">
        <f t="shared" si="561"/>
        <v>329</v>
      </c>
      <c r="AM228" s="215">
        <f t="shared" si="561"/>
        <v>82</v>
      </c>
      <c r="AN228" s="215">
        <f t="shared" si="561"/>
        <v>93</v>
      </c>
      <c r="AO228" s="215">
        <f t="shared" si="561"/>
        <v>94</v>
      </c>
      <c r="AP228" s="215">
        <f t="shared" si="561"/>
        <v>121</v>
      </c>
      <c r="AQ228" s="968">
        <f t="shared" si="561"/>
        <v>390</v>
      </c>
      <c r="AR228" s="215">
        <f t="shared" si="561"/>
        <v>91</v>
      </c>
      <c r="AS228" s="215">
        <f t="shared" si="561"/>
        <v>101</v>
      </c>
      <c r="AT228" s="215">
        <f t="shared" ref="AT228:BO228" si="562">AT374</f>
        <v>111</v>
      </c>
      <c r="AU228" s="215">
        <f t="shared" si="562"/>
        <v>136</v>
      </c>
      <c r="AV228" s="968">
        <f t="shared" si="562"/>
        <v>439</v>
      </c>
      <c r="AW228" s="215">
        <f t="shared" si="562"/>
        <v>96</v>
      </c>
      <c r="AX228" s="215">
        <f t="shared" si="562"/>
        <v>110</v>
      </c>
      <c r="AY228" s="215">
        <f t="shared" si="562"/>
        <v>108</v>
      </c>
      <c r="AZ228" s="215">
        <f t="shared" si="562"/>
        <v>137</v>
      </c>
      <c r="BA228" s="968">
        <f t="shared" si="562"/>
        <v>451</v>
      </c>
      <c r="BB228" s="215">
        <f t="shared" si="562"/>
        <v>88</v>
      </c>
      <c r="BC228" s="215">
        <f t="shared" si="562"/>
        <v>93</v>
      </c>
      <c r="BD228" s="215">
        <f t="shared" si="562"/>
        <v>100</v>
      </c>
      <c r="BE228" s="215">
        <f t="shared" si="562"/>
        <v>119</v>
      </c>
      <c r="BF228" s="968">
        <f t="shared" si="562"/>
        <v>400</v>
      </c>
      <c r="BG228" s="215">
        <f t="shared" si="562"/>
        <v>105</v>
      </c>
      <c r="BH228" s="215">
        <f t="shared" si="562"/>
        <v>120</v>
      </c>
      <c r="BI228" s="215">
        <f t="shared" si="562"/>
        <v>124</v>
      </c>
      <c r="BJ228" s="215">
        <f t="shared" si="562"/>
        <v>156</v>
      </c>
      <c r="BK228" s="968">
        <f t="shared" si="562"/>
        <v>505</v>
      </c>
      <c r="BL228" s="215">
        <f t="shared" si="562"/>
        <v>117</v>
      </c>
      <c r="BM228" s="215">
        <f t="shared" si="562"/>
        <v>135</v>
      </c>
      <c r="BN228" s="215">
        <f t="shared" si="562"/>
        <v>139</v>
      </c>
      <c r="BO228" s="215">
        <f t="shared" si="562"/>
        <v>175</v>
      </c>
      <c r="BP228" s="968">
        <f>SUM(BL228:BO228)</f>
        <v>566</v>
      </c>
      <c r="BQ228" s="215">
        <f t="shared" ref="BQ228:CE228" si="563">BQ374</f>
        <v>126</v>
      </c>
      <c r="BR228" s="215">
        <f t="shared" si="563"/>
        <v>145</v>
      </c>
      <c r="BS228" s="215">
        <f>BS374</f>
        <v>149</v>
      </c>
      <c r="BT228" s="215">
        <f t="shared" si="563"/>
        <v>187</v>
      </c>
      <c r="BU228" s="968">
        <f t="shared" si="563"/>
        <v>607</v>
      </c>
      <c r="BV228" s="215">
        <f>BV374</f>
        <v>151</v>
      </c>
      <c r="BW228" s="215">
        <f>BW374</f>
        <v>177</v>
      </c>
      <c r="BX228" s="215">
        <f>BX374</f>
        <v>175</v>
      </c>
      <c r="BY228" s="1703">
        <f>BY374</f>
        <v>163</v>
      </c>
      <c r="BZ228" s="968">
        <f t="shared" si="563"/>
        <v>666</v>
      </c>
      <c r="CA228" s="215">
        <f>CA374</f>
        <v>163</v>
      </c>
      <c r="CB228" s="215">
        <f t="shared" si="563"/>
        <v>194</v>
      </c>
      <c r="CC228" s="215">
        <f t="shared" si="563"/>
        <v>203</v>
      </c>
      <c r="CD228" s="215">
        <f t="shared" si="563"/>
        <v>185</v>
      </c>
      <c r="CE228" s="968">
        <f t="shared" si="563"/>
        <v>745</v>
      </c>
      <c r="CF228" s="215">
        <f t="shared" ref="CF228:CL228" si="564">CF374</f>
        <v>204</v>
      </c>
      <c r="CG228" s="215">
        <f t="shared" si="564"/>
        <v>221</v>
      </c>
      <c r="CH228" s="215">
        <f t="shared" si="564"/>
        <v>227</v>
      </c>
      <c r="CI228" s="215">
        <f t="shared" si="564"/>
        <v>201</v>
      </c>
      <c r="CJ228" s="968">
        <f t="shared" si="564"/>
        <v>853</v>
      </c>
      <c r="CK228" s="215">
        <f t="shared" si="564"/>
        <v>207</v>
      </c>
      <c r="CL228" s="215">
        <f t="shared" si="564"/>
        <v>235</v>
      </c>
      <c r="CM228" s="215">
        <f>CM374</f>
        <v>242</v>
      </c>
      <c r="CO228" s="1690"/>
      <c r="CT228" s="1690"/>
      <c r="CY228" s="1690"/>
      <c r="CZ228" s="1690"/>
      <c r="DA228" s="1690"/>
      <c r="DB228"/>
      <c r="DC228"/>
      <c r="DD228" s="2295" t="s">
        <v>2163</v>
      </c>
      <c r="DE228" s="2290">
        <f>M228</f>
        <v>0</v>
      </c>
      <c r="DF228" s="2290">
        <f>R228</f>
        <v>226.38700226070495</v>
      </c>
      <c r="DG228" s="2290">
        <f>W228</f>
        <v>232</v>
      </c>
      <c r="DH228" s="2290">
        <f>AB228</f>
        <v>245</v>
      </c>
      <c r="DI228" s="2290">
        <f>AG228</f>
        <v>296</v>
      </c>
      <c r="DJ228" s="2290">
        <f>AL228</f>
        <v>329</v>
      </c>
      <c r="DK228" s="2290">
        <f>AQ228</f>
        <v>390</v>
      </c>
      <c r="DL228" s="2290">
        <f>AV228</f>
        <v>439</v>
      </c>
      <c r="DM228" s="2290">
        <f>BA228</f>
        <v>451</v>
      </c>
      <c r="DN228" s="2290">
        <f>BF228</f>
        <v>400</v>
      </c>
      <c r="DO228" s="2290">
        <f>BK228</f>
        <v>505</v>
      </c>
      <c r="DP228" s="2290">
        <f>BP228</f>
        <v>566</v>
      </c>
      <c r="DQ228" s="2290">
        <f>BU228</f>
        <v>607</v>
      </c>
      <c r="DR228" s="2290">
        <f>BZ228</f>
        <v>666</v>
      </c>
      <c r="DS228" s="2290">
        <f>CE228</f>
        <v>745</v>
      </c>
      <c r="DT228" s="2290">
        <f>CJ228</f>
        <v>853</v>
      </c>
      <c r="DU228" s="2290">
        <f>CO232</f>
        <v>1230</v>
      </c>
      <c r="DV228" s="2290">
        <f>CT232</f>
        <v>1618</v>
      </c>
      <c r="DW228" s="2290">
        <f>CY232</f>
        <v>1840.2667737863478</v>
      </c>
      <c r="DX228" s="2290">
        <f>CZ232</f>
        <v>2044.3369334218612</v>
      </c>
      <c r="DY228" s="2290">
        <f>DA232</f>
        <v>2085.2163877628686</v>
      </c>
      <c r="DZ228" s="215"/>
      <c r="EA228"/>
      <c r="EB228"/>
      <c r="EC228"/>
      <c r="ED228"/>
      <c r="EE228"/>
      <c r="EF228"/>
      <c r="EJ228"/>
      <c r="EK228"/>
      <c r="EL228"/>
      <c r="ER228" s="212"/>
    </row>
    <row r="229" spans="1:148" ht="12.75" customHeight="1" x14ac:dyDescent="0.2">
      <c r="A229" s="2308" t="s">
        <v>2575</v>
      </c>
      <c r="M229" s="661"/>
      <c r="R229" s="661"/>
      <c r="W229" s="661"/>
      <c r="AB229" s="661"/>
      <c r="AG229" s="661"/>
      <c r="AH229" s="2983">
        <v>30</v>
      </c>
      <c r="AI229" s="2983">
        <v>26</v>
      </c>
      <c r="AJ229" s="2983">
        <v>25</v>
      </c>
      <c r="AK229" s="2983">
        <v>23</v>
      </c>
      <c r="AL229" s="2922">
        <v>104</v>
      </c>
      <c r="AM229" s="2983">
        <v>25</v>
      </c>
      <c r="AN229" s="2983">
        <v>31</v>
      </c>
      <c r="AO229" s="2983">
        <v>31</v>
      </c>
      <c r="AP229" s="2983">
        <v>31</v>
      </c>
      <c r="AQ229" s="2922">
        <v>118</v>
      </c>
      <c r="AR229" s="2983">
        <v>33</v>
      </c>
      <c r="AS229" s="2983">
        <v>37</v>
      </c>
      <c r="AT229" s="2983">
        <v>39</v>
      </c>
      <c r="AU229" s="2983">
        <v>42</v>
      </c>
      <c r="AV229" s="2922">
        <v>151</v>
      </c>
      <c r="AW229" s="2983">
        <v>39</v>
      </c>
      <c r="AX229" s="2983">
        <v>44</v>
      </c>
      <c r="AY229" s="2983">
        <v>44</v>
      </c>
      <c r="AZ229" s="2983">
        <v>36</v>
      </c>
      <c r="BA229" s="2922">
        <v>163</v>
      </c>
      <c r="BB229" s="2983">
        <v>32</v>
      </c>
      <c r="BC229" s="2983">
        <v>34</v>
      </c>
      <c r="BD229" s="2983">
        <v>37</v>
      </c>
      <c r="BE229" s="2983">
        <v>35</v>
      </c>
      <c r="BF229" s="2922">
        <v>138</v>
      </c>
      <c r="BG229" s="2983">
        <v>35</v>
      </c>
      <c r="BH229" s="2983">
        <v>41</v>
      </c>
      <c r="BI229" s="2983">
        <v>43</v>
      </c>
      <c r="BJ229" s="2983">
        <v>42</v>
      </c>
      <c r="BK229" s="2922">
        <v>161</v>
      </c>
      <c r="BL229" s="2983">
        <v>43</v>
      </c>
      <c r="BM229" s="2983">
        <v>49</v>
      </c>
      <c r="BN229" s="2983">
        <v>48</v>
      </c>
      <c r="BO229" s="2983">
        <v>47</v>
      </c>
      <c r="BP229" s="2922">
        <v>187</v>
      </c>
      <c r="BQ229" s="2983">
        <v>45</v>
      </c>
      <c r="BR229" s="2983">
        <v>52</v>
      </c>
      <c r="BS229" s="2983">
        <v>53</v>
      </c>
      <c r="BT229" s="2983">
        <v>50</v>
      </c>
      <c r="BU229" s="2922">
        <v>200</v>
      </c>
      <c r="BV229" s="2983">
        <v>48</v>
      </c>
      <c r="BW229" s="2983">
        <v>56</v>
      </c>
      <c r="BX229" s="2983">
        <v>56</v>
      </c>
      <c r="BY229" s="2935">
        <v>54</v>
      </c>
      <c r="BZ229" s="2922">
        <v>214</v>
      </c>
      <c r="CA229" s="2983">
        <v>53</v>
      </c>
      <c r="CB229" s="2983">
        <v>62</v>
      </c>
      <c r="CC229" s="2983">
        <v>63</v>
      </c>
      <c r="CD229" s="2983">
        <v>58</v>
      </c>
      <c r="CE229" s="2922">
        <v>236</v>
      </c>
      <c r="CF229" s="2983">
        <v>58</v>
      </c>
      <c r="CG229" s="2983">
        <v>67</v>
      </c>
      <c r="CH229" s="2983">
        <v>68</v>
      </c>
      <c r="CI229" s="2983">
        <v>63</v>
      </c>
      <c r="CJ229" s="2293">
        <f>SUM(CF229:CI229)</f>
        <v>256</v>
      </c>
      <c r="CK229" s="2983">
        <v>65</v>
      </c>
      <c r="CL229" s="2983">
        <v>77</v>
      </c>
      <c r="CM229" s="2983">
        <v>73.985733863060148</v>
      </c>
      <c r="CN229" s="3085"/>
      <c r="CO229" s="661"/>
      <c r="CT229" s="661"/>
      <c r="CY229" s="661"/>
      <c r="CZ229" s="661"/>
      <c r="DA229" s="661"/>
      <c r="DB229" s="537"/>
      <c r="DC229" s="537"/>
      <c r="DD229" s="2308"/>
      <c r="DE229" s="2293"/>
      <c r="DF229" s="2293"/>
      <c r="DG229" s="2293"/>
      <c r="DH229" s="2293"/>
      <c r="DI229" s="2293"/>
      <c r="DJ229" s="2293"/>
      <c r="DK229" s="2293"/>
      <c r="DL229" s="2293"/>
      <c r="DM229" s="2293"/>
      <c r="DN229" s="2293"/>
      <c r="DO229" s="2293"/>
      <c r="DP229" s="2293"/>
      <c r="DQ229" s="2293"/>
      <c r="DR229" s="2293"/>
      <c r="DS229" s="2293"/>
      <c r="DT229" s="2293"/>
      <c r="DU229" s="2293"/>
      <c r="DV229" s="2293"/>
      <c r="DW229" s="2293"/>
      <c r="DX229" s="2293"/>
      <c r="DY229" s="2293"/>
      <c r="DZ229" s="847"/>
      <c r="EK229"/>
      <c r="EL229"/>
    </row>
    <row r="230" spans="1:148" ht="12.75" customHeight="1" x14ac:dyDescent="0.2">
      <c r="A230" s="2308" t="s">
        <v>2577</v>
      </c>
      <c r="M230" s="661"/>
      <c r="R230" s="661"/>
      <c r="W230" s="661"/>
      <c r="AB230" s="661"/>
      <c r="AG230" s="661"/>
      <c r="AH230" s="2983"/>
      <c r="AI230" s="2983"/>
      <c r="AJ230" s="2983"/>
      <c r="AK230" s="2983"/>
      <c r="AL230" s="2922"/>
      <c r="AM230" s="2983"/>
      <c r="AN230" s="2983"/>
      <c r="AO230" s="2983"/>
      <c r="AP230" s="2983"/>
      <c r="AQ230" s="2922"/>
      <c r="AR230" s="2983"/>
      <c r="AS230" s="2983"/>
      <c r="AT230" s="2983"/>
      <c r="AU230" s="2983"/>
      <c r="AV230" s="2922"/>
      <c r="AW230" s="2983"/>
      <c r="AX230" s="2983"/>
      <c r="AY230" s="2983"/>
      <c r="AZ230" s="2983"/>
      <c r="BA230" s="2922"/>
      <c r="BB230" s="2983"/>
      <c r="BC230" s="2983"/>
      <c r="BD230" s="2983"/>
      <c r="BE230" s="2983"/>
      <c r="BF230" s="2922"/>
      <c r="BG230" s="2983"/>
      <c r="BH230" s="2983"/>
      <c r="BI230" s="2983"/>
      <c r="BJ230" s="2983"/>
      <c r="BK230" s="2922"/>
      <c r="BL230" s="2983"/>
      <c r="BM230" s="2983"/>
      <c r="BN230" s="2983"/>
      <c r="BO230" s="2983"/>
      <c r="BP230" s="2922"/>
      <c r="BQ230" s="2983"/>
      <c r="BR230" s="2983"/>
      <c r="BS230" s="2983"/>
      <c r="BT230" s="2983"/>
      <c r="BU230" s="2922"/>
      <c r="BV230" s="2983"/>
      <c r="BW230" s="2983"/>
      <c r="BX230" s="2983"/>
      <c r="BY230" s="2935"/>
      <c r="BZ230" s="2922"/>
      <c r="CA230" s="2983"/>
      <c r="CB230" s="2983"/>
      <c r="CC230" s="2983"/>
      <c r="CD230" s="2983"/>
      <c r="CE230" s="2922"/>
      <c r="CF230" s="3008">
        <f>272-SUM(CF228:CF229)</f>
        <v>10</v>
      </c>
      <c r="CG230" s="3008">
        <f>296-SUM(CG228:CG229)</f>
        <v>8</v>
      </c>
      <c r="CH230" s="3008">
        <f>305-SUM(CH228:CH229)</f>
        <v>10</v>
      </c>
      <c r="CI230" s="3008">
        <f>273-SUM(CI228:CI229)</f>
        <v>9</v>
      </c>
      <c r="CJ230" s="2293">
        <f>SUM(CF230:CI230)</f>
        <v>37</v>
      </c>
      <c r="CK230" s="3008">
        <f>281-SUM(CK228:CK229)</f>
        <v>9</v>
      </c>
      <c r="CL230" s="3008">
        <f>323-SUM(CL228:CL229)</f>
        <v>11</v>
      </c>
      <c r="CM230" s="3008">
        <f>330-SUM(CM228:CM229)</f>
        <v>14.014266136939852</v>
      </c>
      <c r="CN230" s="3085"/>
      <c r="CO230" s="661"/>
      <c r="CT230" s="661"/>
      <c r="CY230" s="661"/>
      <c r="CZ230" s="661"/>
      <c r="DA230" s="661"/>
      <c r="DB230" s="537"/>
      <c r="DC230" s="537"/>
      <c r="DD230" s="2308"/>
      <c r="DE230" s="2293"/>
      <c r="DF230" s="2293"/>
      <c r="DG230" s="2293"/>
      <c r="DH230" s="2293"/>
      <c r="DI230" s="2293"/>
      <c r="DJ230" s="2293"/>
      <c r="DK230" s="2293"/>
      <c r="DL230" s="2293"/>
      <c r="DM230" s="2293"/>
      <c r="DN230" s="2293"/>
      <c r="DO230" s="2293"/>
      <c r="DP230" s="2293"/>
      <c r="DQ230" s="2293"/>
      <c r="DR230" s="2293"/>
      <c r="DS230" s="2293"/>
      <c r="DT230" s="2293"/>
      <c r="DU230" s="2293"/>
      <c r="DV230" s="2293"/>
      <c r="DW230" s="2293"/>
      <c r="DX230" s="2293"/>
      <c r="DY230" s="2293"/>
      <c r="DZ230" s="847"/>
      <c r="EK230"/>
      <c r="EL230"/>
    </row>
    <row r="231" spans="1:148" ht="3.95" customHeight="1" x14ac:dyDescent="0.2">
      <c r="A231" s="2308"/>
      <c r="M231" s="661"/>
      <c r="R231" s="661"/>
      <c r="W231" s="661"/>
      <c r="AB231" s="661"/>
      <c r="AG231" s="661"/>
      <c r="AH231" s="2983"/>
      <c r="AI231" s="2983"/>
      <c r="AJ231" s="2983"/>
      <c r="AK231" s="2983"/>
      <c r="AL231" s="2922"/>
      <c r="AM231" s="2983"/>
      <c r="AN231" s="2983"/>
      <c r="AO231" s="2983"/>
      <c r="AP231" s="2983"/>
      <c r="AQ231" s="2922"/>
      <c r="AR231" s="2983"/>
      <c r="AS231" s="2983"/>
      <c r="AT231" s="2983"/>
      <c r="AU231" s="2983"/>
      <c r="AV231" s="2922"/>
      <c r="AW231" s="2983"/>
      <c r="AX231" s="2983"/>
      <c r="AY231" s="2983"/>
      <c r="AZ231" s="2983"/>
      <c r="BA231" s="2922"/>
      <c r="BB231" s="2983"/>
      <c r="BC231" s="2983"/>
      <c r="BD231" s="2983"/>
      <c r="BE231" s="2983"/>
      <c r="BF231" s="2922"/>
      <c r="BG231" s="2983"/>
      <c r="BH231" s="2983"/>
      <c r="BI231" s="2983"/>
      <c r="BJ231" s="2983"/>
      <c r="BK231" s="2922"/>
      <c r="BL231" s="2983"/>
      <c r="BM231" s="2983"/>
      <c r="BN231" s="2983"/>
      <c r="BO231" s="2983"/>
      <c r="BP231" s="2922"/>
      <c r="BQ231" s="2983"/>
      <c r="BR231" s="2983"/>
      <c r="BS231" s="2983"/>
      <c r="BT231" s="2983"/>
      <c r="BU231" s="2922"/>
      <c r="BV231" s="2350"/>
      <c r="BW231" s="2350"/>
      <c r="BX231" s="2350"/>
      <c r="BY231" s="2350"/>
      <c r="BZ231" s="2289"/>
      <c r="CA231" s="2350"/>
      <c r="CB231" s="2350"/>
      <c r="CC231" s="2350"/>
      <c r="CD231" s="2350"/>
      <c r="CE231" s="2289"/>
      <c r="CF231" s="2350" t="s">
        <v>2403</v>
      </c>
      <c r="CG231" s="2350" t="s">
        <v>2403</v>
      </c>
      <c r="CH231" s="2350" t="s">
        <v>2403</v>
      </c>
      <c r="CI231" s="2350" t="s">
        <v>2403</v>
      </c>
      <c r="CJ231" s="2289" t="s">
        <v>2403</v>
      </c>
      <c r="CK231" s="2350" t="s">
        <v>2403</v>
      </c>
      <c r="CL231" s="2350" t="s">
        <v>2403</v>
      </c>
      <c r="CM231" s="2350" t="s">
        <v>2403</v>
      </c>
      <c r="CN231" s="3085"/>
      <c r="CO231" s="661"/>
      <c r="CT231" s="661"/>
      <c r="CY231" s="661"/>
      <c r="CZ231" s="661"/>
      <c r="DA231" s="661"/>
      <c r="DB231" s="537"/>
      <c r="DC231" s="537"/>
      <c r="DD231" s="2308"/>
      <c r="DE231" s="2293"/>
      <c r="DF231" s="2293"/>
      <c r="DG231" s="2293"/>
      <c r="DH231" s="2293"/>
      <c r="DI231" s="2293"/>
      <c r="DJ231" s="2293"/>
      <c r="DK231" s="2293"/>
      <c r="DL231" s="2293"/>
      <c r="DM231" s="2293"/>
      <c r="DN231" s="2293"/>
      <c r="DO231" s="2293"/>
      <c r="DP231" s="2293"/>
      <c r="DQ231" s="2293"/>
      <c r="DR231" s="2293"/>
      <c r="DS231" s="2293"/>
      <c r="DT231" s="2293"/>
      <c r="DU231" s="2293"/>
      <c r="DV231" s="2293"/>
      <c r="DW231" s="2293"/>
      <c r="DX231" s="2293"/>
      <c r="DY231" s="2293"/>
      <c r="DZ231" s="847"/>
      <c r="EK231"/>
      <c r="EL231"/>
    </row>
    <row r="232" spans="1:148" ht="12.75" customHeight="1" x14ac:dyDescent="0.2">
      <c r="A232" s="2308" t="s">
        <v>2576</v>
      </c>
      <c r="M232" s="661"/>
      <c r="R232" s="661"/>
      <c r="W232" s="661"/>
      <c r="AB232" s="661"/>
      <c r="AG232" s="661"/>
      <c r="AH232" s="2983"/>
      <c r="AI232" s="2983"/>
      <c r="AJ232" s="2983"/>
      <c r="AK232" s="2983"/>
      <c r="AL232" s="2922"/>
      <c r="AM232" s="2983"/>
      <c r="AN232" s="2983"/>
      <c r="AO232" s="2983"/>
      <c r="AP232" s="2983"/>
      <c r="AQ232" s="2922"/>
      <c r="AR232" s="2983"/>
      <c r="AS232" s="2983"/>
      <c r="AT232" s="2983"/>
      <c r="AU232" s="2983"/>
      <c r="AV232" s="2922"/>
      <c r="AW232" s="2983"/>
      <c r="AX232" s="2983"/>
      <c r="AY232" s="2983"/>
      <c r="AZ232" s="2983"/>
      <c r="BA232" s="2922"/>
      <c r="BB232" s="2983"/>
      <c r="BC232" s="2983"/>
      <c r="BD232" s="2983"/>
      <c r="BE232" s="2983"/>
      <c r="BF232" s="2922"/>
      <c r="BG232" s="2983"/>
      <c r="BH232" s="2983"/>
      <c r="BI232" s="2983"/>
      <c r="BJ232" s="2983"/>
      <c r="BK232" s="2922"/>
      <c r="BL232" s="2983"/>
      <c r="BM232" s="2983"/>
      <c r="BN232" s="2983"/>
      <c r="BO232" s="2983"/>
      <c r="BP232" s="2922"/>
      <c r="BQ232" s="2983"/>
      <c r="BR232" s="2983"/>
      <c r="BS232" s="2983"/>
      <c r="BT232" s="2983"/>
      <c r="BU232" s="2922"/>
      <c r="BV232" s="1703"/>
      <c r="BW232" s="1703"/>
      <c r="BX232" s="1703"/>
      <c r="BY232" s="1703"/>
      <c r="BZ232" s="1704"/>
      <c r="CA232" s="1703"/>
      <c r="CB232" s="1703"/>
      <c r="CC232" s="1703"/>
      <c r="CD232" s="1703"/>
      <c r="CE232" s="1704"/>
      <c r="CF232" s="1703">
        <f t="shared" ref="CF232:CL232" si="565">+CF228+CF229+CF230</f>
        <v>272</v>
      </c>
      <c r="CG232" s="1703">
        <f t="shared" si="565"/>
        <v>296</v>
      </c>
      <c r="CH232" s="1703">
        <f t="shared" si="565"/>
        <v>305</v>
      </c>
      <c r="CI232" s="1703">
        <f t="shared" si="565"/>
        <v>273</v>
      </c>
      <c r="CJ232" s="1704">
        <f t="shared" si="565"/>
        <v>1146</v>
      </c>
      <c r="CK232" s="215">
        <f>+CK228+CK229+CK230</f>
        <v>281</v>
      </c>
      <c r="CL232" s="1703">
        <f t="shared" si="565"/>
        <v>323</v>
      </c>
      <c r="CM232" s="1703">
        <f>+CM228+CM229+CM230</f>
        <v>330</v>
      </c>
      <c r="CN232" s="3255">
        <f>+CN378</f>
        <v>296</v>
      </c>
      <c r="CO232" s="968">
        <f>+CO378</f>
        <v>1230</v>
      </c>
      <c r="CP232" s="215">
        <f>+CP381</f>
        <v>365</v>
      </c>
      <c r="CQ232" s="215">
        <f>+CQ381</f>
        <v>416</v>
      </c>
      <c r="CR232" s="215">
        <f>+CR381</f>
        <v>426</v>
      </c>
      <c r="CS232" s="215">
        <f>+CS381</f>
        <v>411</v>
      </c>
      <c r="CT232" s="968">
        <f>SUM(CP232:CS232)</f>
        <v>1618</v>
      </c>
      <c r="CU232" s="215">
        <f t="shared" ref="CU232:DA232" si="566">+CU378</f>
        <v>415.69479869325869</v>
      </c>
      <c r="CV232" s="215">
        <f t="shared" si="566"/>
        <v>476.08049137620787</v>
      </c>
      <c r="CW232" s="215">
        <f t="shared" si="566"/>
        <v>484.10166607663564</v>
      </c>
      <c r="CX232" s="215">
        <f t="shared" si="566"/>
        <v>464.38981764024567</v>
      </c>
      <c r="CY232" s="968">
        <f>SUM(CU232:CX232)</f>
        <v>1840.2667737863478</v>
      </c>
      <c r="CZ232" s="968">
        <f t="shared" si="566"/>
        <v>2044.3369334218612</v>
      </c>
      <c r="DA232" s="968">
        <f t="shared" si="566"/>
        <v>2085.2163877628686</v>
      </c>
      <c r="DB232" s="537"/>
      <c r="DC232" s="537"/>
      <c r="DD232" s="2308"/>
      <c r="DE232" s="2293"/>
      <c r="DF232" s="2293"/>
      <c r="DG232" s="2293"/>
      <c r="DH232" s="2293"/>
      <c r="DI232" s="2293"/>
      <c r="DJ232" s="2293"/>
      <c r="DK232" s="2293"/>
      <c r="DL232" s="2293"/>
      <c r="DM232" s="2293"/>
      <c r="DN232" s="2293"/>
      <c r="DO232" s="2293"/>
      <c r="DP232" s="2293"/>
      <c r="DQ232" s="2293"/>
      <c r="DR232" s="2293"/>
      <c r="DS232" s="2293"/>
      <c r="DT232" s="2293"/>
      <c r="DU232" s="2293"/>
      <c r="DV232" s="2293"/>
      <c r="DW232" s="2293"/>
      <c r="DX232" s="2293"/>
      <c r="DY232" s="2293"/>
      <c r="DZ232" s="847"/>
      <c r="EK232"/>
      <c r="EL232"/>
      <c r="EM232" s="1703"/>
    </row>
    <row r="233" spans="1:148" ht="12.75" customHeight="1" x14ac:dyDescent="0.2">
      <c r="A233" s="2308"/>
      <c r="M233" s="661"/>
      <c r="R233" s="661"/>
      <c r="W233" s="661"/>
      <c r="AB233" s="661"/>
      <c r="AG233" s="661"/>
      <c r="AH233" s="2983"/>
      <c r="AI233" s="2983"/>
      <c r="AJ233" s="2983"/>
      <c r="AK233" s="2983"/>
      <c r="AL233" s="2922"/>
      <c r="AM233" s="2983"/>
      <c r="AN233" s="2983"/>
      <c r="AO233" s="2983"/>
      <c r="AP233" s="2983"/>
      <c r="AQ233" s="2922"/>
      <c r="AR233" s="2983"/>
      <c r="AS233" s="2983"/>
      <c r="AT233" s="2983"/>
      <c r="AU233" s="2983"/>
      <c r="AV233" s="2922"/>
      <c r="AW233" s="2983"/>
      <c r="AX233" s="2983"/>
      <c r="AY233" s="2983"/>
      <c r="AZ233" s="2983"/>
      <c r="BA233" s="2922"/>
      <c r="BB233" s="2983"/>
      <c r="BC233" s="2983"/>
      <c r="BD233" s="2983"/>
      <c r="BE233" s="2983"/>
      <c r="BF233" s="2922"/>
      <c r="BG233" s="2983"/>
      <c r="BH233" s="2983"/>
      <c r="BI233" s="2983"/>
      <c r="BJ233" s="2983"/>
      <c r="BK233" s="2922"/>
      <c r="BL233" s="2983"/>
      <c r="BM233" s="2983"/>
      <c r="BN233" s="2983"/>
      <c r="BO233" s="2983"/>
      <c r="BP233" s="2922"/>
      <c r="BQ233" s="2983"/>
      <c r="BR233" s="2983"/>
      <c r="BS233" s="2983"/>
      <c r="BT233" s="2983"/>
      <c r="BU233" s="2922"/>
      <c r="BV233" s="2983"/>
      <c r="BW233" s="2983"/>
      <c r="BX233" s="2983"/>
      <c r="BY233" s="2935"/>
      <c r="BZ233" s="2922"/>
      <c r="CA233" s="2983"/>
      <c r="CB233" s="2983"/>
      <c r="CC233" s="2983"/>
      <c r="CD233" s="2983"/>
      <c r="CE233" s="2922"/>
      <c r="CF233" s="2983"/>
      <c r="CG233" s="2983"/>
      <c r="CH233" s="2983"/>
      <c r="CI233" s="2983"/>
      <c r="CJ233" s="2922"/>
      <c r="CK233" s="2983"/>
      <c r="CL233" s="2983"/>
      <c r="CM233" s="2983"/>
      <c r="CN233" s="3085"/>
      <c r="CO233" s="661"/>
      <c r="CT233" s="661"/>
      <c r="CY233" s="661"/>
      <c r="CZ233" s="661"/>
      <c r="DA233" s="661"/>
      <c r="DB233" s="537"/>
      <c r="DC233" s="537"/>
      <c r="DD233" s="2308"/>
      <c r="DE233" s="2293"/>
      <c r="DF233" s="2293"/>
      <c r="DG233" s="2293"/>
      <c r="DH233" s="2293"/>
      <c r="DI233" s="2293"/>
      <c r="DJ233" s="2293"/>
      <c r="DK233" s="2293"/>
      <c r="DL233" s="2293"/>
      <c r="DM233" s="2293"/>
      <c r="DN233" s="2293"/>
      <c r="DO233" s="2293"/>
      <c r="DP233" s="2293"/>
      <c r="DQ233" s="2293"/>
      <c r="DR233" s="2293"/>
      <c r="DS233" s="2293"/>
      <c r="DT233" s="2293"/>
      <c r="DU233" s="2293"/>
      <c r="DV233" s="2293"/>
      <c r="DW233" s="2293"/>
      <c r="DX233" s="2293"/>
      <c r="DY233" s="2293"/>
      <c r="DZ233" s="847"/>
      <c r="EK233"/>
      <c r="EL233"/>
    </row>
    <row r="234" spans="1:148" s="923" customFormat="1" ht="12.75" customHeight="1" x14ac:dyDescent="0.2">
      <c r="A234" s="2295" t="s">
        <v>2578</v>
      </c>
      <c r="B234" s="215"/>
      <c r="C234" s="215"/>
      <c r="D234" s="215"/>
      <c r="E234" s="215"/>
      <c r="F234" s="215"/>
      <c r="G234" s="215"/>
      <c r="H234" s="215"/>
      <c r="I234" s="215"/>
      <c r="J234" s="215"/>
      <c r="K234" s="215"/>
      <c r="L234" s="215"/>
      <c r="M234" s="968"/>
      <c r="N234" s="215">
        <f t="shared" ref="N234:AS234" si="567">N343</f>
        <v>58</v>
      </c>
      <c r="O234" s="215">
        <f t="shared" si="567"/>
        <v>68</v>
      </c>
      <c r="P234" s="215">
        <f t="shared" si="567"/>
        <v>39</v>
      </c>
      <c r="Q234" s="215">
        <f t="shared" si="567"/>
        <v>37</v>
      </c>
      <c r="R234" s="968">
        <f t="shared" si="567"/>
        <v>202</v>
      </c>
      <c r="S234" s="215">
        <f t="shared" si="567"/>
        <v>32</v>
      </c>
      <c r="T234" s="215">
        <f t="shared" si="567"/>
        <v>52</v>
      </c>
      <c r="U234" s="215">
        <f t="shared" si="567"/>
        <v>25</v>
      </c>
      <c r="V234" s="215">
        <f t="shared" si="567"/>
        <v>53</v>
      </c>
      <c r="W234" s="968">
        <f t="shared" si="567"/>
        <v>162</v>
      </c>
      <c r="X234" s="215">
        <f t="shared" si="567"/>
        <v>29</v>
      </c>
      <c r="Y234" s="215">
        <f t="shared" si="567"/>
        <v>28</v>
      </c>
      <c r="Z234" s="215">
        <f t="shared" si="567"/>
        <v>18</v>
      </c>
      <c r="AA234" s="215">
        <f t="shared" si="567"/>
        <v>34</v>
      </c>
      <c r="AB234" s="968">
        <f t="shared" si="567"/>
        <v>109</v>
      </c>
      <c r="AC234" s="215">
        <f t="shared" si="567"/>
        <v>33</v>
      </c>
      <c r="AD234" s="215">
        <f t="shared" si="567"/>
        <v>36</v>
      </c>
      <c r="AE234" s="215">
        <f t="shared" si="567"/>
        <v>21</v>
      </c>
      <c r="AF234" s="215">
        <f t="shared" si="567"/>
        <v>52</v>
      </c>
      <c r="AG234" s="968">
        <f t="shared" si="567"/>
        <v>142</v>
      </c>
      <c r="AH234" s="215">
        <f t="shared" si="567"/>
        <v>50</v>
      </c>
      <c r="AI234" s="215">
        <f t="shared" si="567"/>
        <v>52</v>
      </c>
      <c r="AJ234" s="215">
        <f t="shared" si="567"/>
        <v>30</v>
      </c>
      <c r="AK234" s="215">
        <f t="shared" si="567"/>
        <v>69</v>
      </c>
      <c r="AL234" s="968">
        <f t="shared" si="567"/>
        <v>201</v>
      </c>
      <c r="AM234" s="215">
        <f t="shared" si="567"/>
        <v>59</v>
      </c>
      <c r="AN234" s="215">
        <f t="shared" si="567"/>
        <v>77</v>
      </c>
      <c r="AO234" s="215">
        <f t="shared" si="567"/>
        <v>49</v>
      </c>
      <c r="AP234" s="215">
        <f t="shared" si="567"/>
        <v>96</v>
      </c>
      <c r="AQ234" s="968">
        <f t="shared" si="567"/>
        <v>281</v>
      </c>
      <c r="AR234" s="215">
        <f t="shared" si="567"/>
        <v>71</v>
      </c>
      <c r="AS234" s="215">
        <f t="shared" si="567"/>
        <v>116</v>
      </c>
      <c r="AT234" s="215">
        <f t="shared" ref="AT234:BO234" si="568">AT343</f>
        <v>56</v>
      </c>
      <c r="AU234" s="215">
        <f t="shared" si="568"/>
        <v>126</v>
      </c>
      <c r="AV234" s="968">
        <f t="shared" si="568"/>
        <v>369</v>
      </c>
      <c r="AW234" s="215">
        <f t="shared" si="568"/>
        <v>74</v>
      </c>
      <c r="AX234" s="215">
        <f t="shared" si="568"/>
        <v>103</v>
      </c>
      <c r="AY234" s="215">
        <f t="shared" si="568"/>
        <v>52</v>
      </c>
      <c r="AZ234" s="215">
        <f t="shared" si="568"/>
        <v>82</v>
      </c>
      <c r="BA234" s="968">
        <f t="shared" si="568"/>
        <v>311</v>
      </c>
      <c r="BB234" s="215">
        <f t="shared" si="568"/>
        <v>43</v>
      </c>
      <c r="BC234" s="215">
        <f t="shared" si="568"/>
        <v>35</v>
      </c>
      <c r="BD234" s="215">
        <f t="shared" si="568"/>
        <v>17</v>
      </c>
      <c r="BE234" s="215">
        <f t="shared" si="568"/>
        <v>59</v>
      </c>
      <c r="BF234" s="968">
        <f t="shared" si="568"/>
        <v>154</v>
      </c>
      <c r="BG234" s="215">
        <f t="shared" si="568"/>
        <v>40</v>
      </c>
      <c r="BH234" s="215">
        <f t="shared" si="568"/>
        <v>46</v>
      </c>
      <c r="BI234" s="215">
        <f t="shared" si="568"/>
        <v>21</v>
      </c>
      <c r="BJ234" s="215">
        <f t="shared" si="568"/>
        <v>75</v>
      </c>
      <c r="BK234" s="968">
        <f t="shared" si="568"/>
        <v>182</v>
      </c>
      <c r="BL234" s="215">
        <f t="shared" si="568"/>
        <v>42</v>
      </c>
      <c r="BM234" s="215">
        <f>BM343</f>
        <v>50</v>
      </c>
      <c r="BN234" s="215">
        <f t="shared" si="568"/>
        <v>29</v>
      </c>
      <c r="BO234" s="215">
        <f t="shared" si="568"/>
        <v>74</v>
      </c>
      <c r="BP234" s="968">
        <f>SUM(BL234:BO234)</f>
        <v>195</v>
      </c>
      <c r="BQ234" s="215">
        <f t="shared" ref="BQ234:CE234" si="569">BQ343</f>
        <v>50</v>
      </c>
      <c r="BR234" s="215">
        <f t="shared" si="569"/>
        <v>56</v>
      </c>
      <c r="BS234" s="215">
        <f t="shared" si="569"/>
        <v>36</v>
      </c>
      <c r="BT234" s="215">
        <f t="shared" si="569"/>
        <v>90</v>
      </c>
      <c r="BU234" s="968">
        <f t="shared" si="569"/>
        <v>232</v>
      </c>
      <c r="BV234" s="215">
        <f t="shared" si="569"/>
        <v>66</v>
      </c>
      <c r="BW234" s="215">
        <f t="shared" si="569"/>
        <v>64</v>
      </c>
      <c r="BX234" s="215">
        <f t="shared" si="569"/>
        <v>53</v>
      </c>
      <c r="BY234" s="1703">
        <f t="shared" si="569"/>
        <v>73</v>
      </c>
      <c r="BZ234" s="968">
        <f t="shared" si="569"/>
        <v>256</v>
      </c>
      <c r="CA234" s="215">
        <f t="shared" si="569"/>
        <v>71</v>
      </c>
      <c r="CB234" s="215">
        <f t="shared" si="569"/>
        <v>82</v>
      </c>
      <c r="CC234" s="215">
        <f t="shared" si="569"/>
        <v>67</v>
      </c>
      <c r="CD234" s="215">
        <f t="shared" si="569"/>
        <v>82</v>
      </c>
      <c r="CE234" s="968">
        <f t="shared" si="569"/>
        <v>302</v>
      </c>
      <c r="CF234" s="215">
        <f t="shared" ref="CF234:CM234" si="570">CF343</f>
        <v>89</v>
      </c>
      <c r="CG234" s="215">
        <f t="shared" si="570"/>
        <v>81</v>
      </c>
      <c r="CH234" s="215">
        <f t="shared" si="570"/>
        <v>68</v>
      </c>
      <c r="CI234" s="215">
        <f t="shared" si="570"/>
        <v>81</v>
      </c>
      <c r="CJ234" s="968">
        <f t="shared" si="570"/>
        <v>319</v>
      </c>
      <c r="CK234" s="215">
        <f t="shared" si="570"/>
        <v>101</v>
      </c>
      <c r="CL234" s="215">
        <f t="shared" si="570"/>
        <v>94</v>
      </c>
      <c r="CM234" s="215">
        <f t="shared" si="570"/>
        <v>77</v>
      </c>
      <c r="CO234" s="1690"/>
      <c r="CT234" s="1690"/>
      <c r="CY234" s="1690"/>
      <c r="CZ234" s="1690"/>
      <c r="DA234" s="1690"/>
      <c r="DB234"/>
      <c r="DC234"/>
      <c r="DD234" s="2295" t="s">
        <v>126</v>
      </c>
      <c r="DE234" s="2290">
        <f>M234</f>
        <v>0</v>
      </c>
      <c r="DF234" s="2290">
        <f>R234</f>
        <v>202</v>
      </c>
      <c r="DG234" s="2290">
        <f>W234</f>
        <v>162</v>
      </c>
      <c r="DH234" s="2290">
        <f>AB234</f>
        <v>109</v>
      </c>
      <c r="DI234" s="2290">
        <f>AG234</f>
        <v>142</v>
      </c>
      <c r="DJ234" s="2290">
        <f>AL234</f>
        <v>201</v>
      </c>
      <c r="DK234" s="2290">
        <f>AQ234</f>
        <v>281</v>
      </c>
      <c r="DL234" s="2290">
        <f>AV234</f>
        <v>369</v>
      </c>
      <c r="DM234" s="2290">
        <f>BA234</f>
        <v>311</v>
      </c>
      <c r="DN234" s="2290">
        <f>BF234</f>
        <v>154</v>
      </c>
      <c r="DO234" s="2290">
        <f>BK234</f>
        <v>182</v>
      </c>
      <c r="DP234" s="2290">
        <f>BP234</f>
        <v>195</v>
      </c>
      <c r="DQ234" s="2290">
        <f>BU234</f>
        <v>232</v>
      </c>
      <c r="DR234" s="2290">
        <f>BZ234</f>
        <v>256</v>
      </c>
      <c r="DS234" s="2290">
        <f>CE234</f>
        <v>302</v>
      </c>
      <c r="DT234" s="2290">
        <f>CJ234</f>
        <v>319</v>
      </c>
      <c r="DU234" s="2290">
        <f>CO237</f>
        <v>562</v>
      </c>
      <c r="DV234" s="2290">
        <f>CT237</f>
        <v>607</v>
      </c>
      <c r="DW234" s="2290">
        <f>CY237</f>
        <v>620.28</v>
      </c>
      <c r="DX234" s="2290">
        <f>CZ237</f>
        <v>654.39539999999988</v>
      </c>
      <c r="DY234" s="2290">
        <f>DA237</f>
        <v>621.67562999999984</v>
      </c>
      <c r="DZ234" s="215"/>
      <c r="EA234"/>
      <c r="EB234"/>
      <c r="EC234"/>
      <c r="ED234"/>
      <c r="EE234"/>
      <c r="EF234"/>
      <c r="EJ234"/>
      <c r="EK234"/>
      <c r="EL234"/>
      <c r="ER234" s="212"/>
    </row>
    <row r="235" spans="1:148" ht="12.75" customHeight="1" x14ac:dyDescent="0.2">
      <c r="A235" s="2308" t="s">
        <v>2579</v>
      </c>
      <c r="M235" s="661"/>
      <c r="R235" s="661"/>
      <c r="W235" s="661"/>
      <c r="AB235" s="661"/>
      <c r="AG235" s="661"/>
      <c r="AH235" s="2983">
        <v>12</v>
      </c>
      <c r="AI235" s="2983">
        <v>20</v>
      </c>
      <c r="AJ235" s="2983">
        <v>22</v>
      </c>
      <c r="AK235" s="2983">
        <v>27</v>
      </c>
      <c r="AL235" s="2922">
        <v>81</v>
      </c>
      <c r="AM235" s="2983">
        <v>24</v>
      </c>
      <c r="AN235" s="2983">
        <v>32</v>
      </c>
      <c r="AO235" s="2983">
        <v>34</v>
      </c>
      <c r="AP235" s="2983">
        <v>42</v>
      </c>
      <c r="AQ235" s="2922">
        <v>132</v>
      </c>
      <c r="AR235" s="2983">
        <v>29</v>
      </c>
      <c r="AS235" s="2983">
        <v>34</v>
      </c>
      <c r="AT235" s="2983">
        <v>42</v>
      </c>
      <c r="AU235" s="2983">
        <v>50</v>
      </c>
      <c r="AV235" s="2922">
        <v>155</v>
      </c>
      <c r="AW235" s="2983">
        <v>37</v>
      </c>
      <c r="AX235" s="2983">
        <v>40</v>
      </c>
      <c r="AY235" s="2983">
        <v>44</v>
      </c>
      <c r="AZ235" s="2983">
        <v>48</v>
      </c>
      <c r="BA235" s="2922">
        <v>169</v>
      </c>
      <c r="BB235" s="2983">
        <v>25</v>
      </c>
      <c r="BC235" s="2983">
        <v>26</v>
      </c>
      <c r="BD235" s="2983">
        <v>25</v>
      </c>
      <c r="BE235" s="2983">
        <v>39</v>
      </c>
      <c r="BF235" s="2922">
        <v>115</v>
      </c>
      <c r="BG235" s="2983">
        <v>27</v>
      </c>
      <c r="BH235" s="2983">
        <v>31</v>
      </c>
      <c r="BI235" s="2983">
        <v>27</v>
      </c>
      <c r="BJ235" s="2983">
        <v>54</v>
      </c>
      <c r="BK235" s="2922">
        <v>139</v>
      </c>
      <c r="BL235" s="2983">
        <v>30</v>
      </c>
      <c r="BM235" s="2983">
        <v>32</v>
      </c>
      <c r="BN235" s="2983">
        <v>33</v>
      </c>
      <c r="BO235" s="2983">
        <v>51</v>
      </c>
      <c r="BP235" s="2922">
        <v>146</v>
      </c>
      <c r="BQ235" s="2983">
        <v>39</v>
      </c>
      <c r="BR235" s="2983">
        <v>41</v>
      </c>
      <c r="BS235" s="2983">
        <v>39</v>
      </c>
      <c r="BT235" s="2983">
        <v>59</v>
      </c>
      <c r="BU235" s="2922">
        <v>178</v>
      </c>
      <c r="BV235" s="2983">
        <v>44</v>
      </c>
      <c r="BW235" s="2983">
        <v>45</v>
      </c>
      <c r="BX235" s="2983">
        <v>44</v>
      </c>
      <c r="BY235" s="2935">
        <v>69</v>
      </c>
      <c r="BZ235" s="2922">
        <v>202</v>
      </c>
      <c r="CA235" s="2983">
        <v>49</v>
      </c>
      <c r="CB235" s="2983">
        <v>48</v>
      </c>
      <c r="CC235" s="2983">
        <v>46</v>
      </c>
      <c r="CD235" s="2983">
        <v>71</v>
      </c>
      <c r="CE235" s="2922">
        <v>214</v>
      </c>
      <c r="CF235" s="2983">
        <v>48</v>
      </c>
      <c r="CG235" s="2983">
        <v>46</v>
      </c>
      <c r="CH235" s="2983">
        <v>47</v>
      </c>
      <c r="CI235" s="2983">
        <v>69</v>
      </c>
      <c r="CJ235" s="2922">
        <v>210</v>
      </c>
      <c r="CK235" s="2983">
        <v>49</v>
      </c>
      <c r="CL235" s="2983">
        <v>42</v>
      </c>
      <c r="CM235" s="2983">
        <f>127-CM234</f>
        <v>50</v>
      </c>
      <c r="CN235" s="3085"/>
      <c r="CO235" s="661"/>
      <c r="CT235" s="661"/>
      <c r="CY235" s="661"/>
      <c r="CZ235" s="661"/>
      <c r="DA235" s="661"/>
      <c r="DB235" s="537"/>
      <c r="DC235" s="537"/>
      <c r="DD235" s="2308"/>
      <c r="DE235" s="2293"/>
      <c r="DF235" s="2293"/>
      <c r="DG235" s="2293"/>
      <c r="DH235" s="2293"/>
      <c r="DI235" s="2293"/>
      <c r="DJ235" s="2293"/>
      <c r="DK235" s="2293"/>
      <c r="DL235" s="2293"/>
      <c r="DM235" s="2293"/>
      <c r="DN235" s="2293"/>
      <c r="DO235" s="2293"/>
      <c r="DP235" s="2293"/>
      <c r="DQ235" s="2293"/>
      <c r="DR235" s="2293"/>
      <c r="DS235" s="2293"/>
      <c r="DT235" s="2293"/>
      <c r="DU235" s="2293"/>
      <c r="DV235" s="2293"/>
      <c r="DW235" s="2293"/>
      <c r="DX235" s="2293"/>
      <c r="DY235" s="2293"/>
      <c r="DZ235" s="847"/>
      <c r="EK235"/>
      <c r="EL235"/>
    </row>
    <row r="236" spans="1:148" ht="3.95" customHeight="1" x14ac:dyDescent="0.2">
      <c r="A236" s="2308"/>
      <c r="M236" s="661"/>
      <c r="R236" s="661"/>
      <c r="W236" s="661"/>
      <c r="AB236" s="661"/>
      <c r="AG236" s="661"/>
      <c r="AH236" s="2983"/>
      <c r="AI236" s="2983"/>
      <c r="AJ236" s="2983"/>
      <c r="AK236" s="2983"/>
      <c r="AL236" s="2922"/>
      <c r="AM236" s="2983"/>
      <c r="AN236" s="2983"/>
      <c r="AO236" s="2983"/>
      <c r="AP236" s="2983"/>
      <c r="AQ236" s="2922"/>
      <c r="AR236" s="2983"/>
      <c r="AS236" s="2983"/>
      <c r="AT236" s="2983"/>
      <c r="AU236" s="2983"/>
      <c r="AV236" s="2922"/>
      <c r="AW236" s="2983"/>
      <c r="AX236" s="2983"/>
      <c r="AY236" s="2983"/>
      <c r="AZ236" s="2983"/>
      <c r="BA236" s="2922"/>
      <c r="BB236" s="2983"/>
      <c r="BC236" s="2983"/>
      <c r="BD236" s="2983"/>
      <c r="BE236" s="2983"/>
      <c r="BF236" s="2922"/>
      <c r="BG236" s="2983"/>
      <c r="BH236" s="2983"/>
      <c r="BI236" s="2983"/>
      <c r="BJ236" s="2983"/>
      <c r="BK236" s="2922"/>
      <c r="BL236" s="2983"/>
      <c r="BM236" s="2983"/>
      <c r="BN236" s="2983"/>
      <c r="BO236" s="2983"/>
      <c r="BP236" s="2922"/>
      <c r="BQ236" s="2983"/>
      <c r="BR236" s="2983"/>
      <c r="BS236" s="2983"/>
      <c r="BT236" s="2983"/>
      <c r="BU236" s="2922"/>
      <c r="BV236" s="2350"/>
      <c r="BW236" s="2350"/>
      <c r="BX236" s="2350"/>
      <c r="BY236" s="2350"/>
      <c r="BZ236" s="2289"/>
      <c r="CA236" s="2350"/>
      <c r="CB236" s="2350"/>
      <c r="CC236" s="2350"/>
      <c r="CD236" s="2350"/>
      <c r="CE236" s="2289"/>
      <c r="CF236" s="2350" t="s">
        <v>2403</v>
      </c>
      <c r="CG236" s="2350" t="s">
        <v>2403</v>
      </c>
      <c r="CH236" s="2350" t="s">
        <v>2403</v>
      </c>
      <c r="CI236" s="2350" t="s">
        <v>2403</v>
      </c>
      <c r="CJ236" s="2289" t="s">
        <v>2403</v>
      </c>
      <c r="CK236" s="2350" t="s">
        <v>2403</v>
      </c>
      <c r="CL236" s="2350" t="s">
        <v>2403</v>
      </c>
      <c r="CM236" s="2350" t="s">
        <v>2403</v>
      </c>
      <c r="CN236" s="3085"/>
      <c r="CO236" s="661"/>
      <c r="CT236" s="661"/>
      <c r="CY236" s="661"/>
      <c r="CZ236" s="661"/>
      <c r="DA236" s="1431"/>
      <c r="DB236" s="537"/>
      <c r="DC236" s="537"/>
      <c r="DD236" s="2308"/>
      <c r="DE236" s="2293"/>
      <c r="DF236" s="2293"/>
      <c r="DG236" s="2293"/>
      <c r="DH236" s="2293"/>
      <c r="DI236" s="2293"/>
      <c r="DJ236" s="2293"/>
      <c r="DK236" s="2293"/>
      <c r="DL236" s="2293"/>
      <c r="DM236" s="2293"/>
      <c r="DN236" s="2293"/>
      <c r="DO236" s="2293"/>
      <c r="DP236" s="2293"/>
      <c r="DQ236" s="2293"/>
      <c r="DR236" s="2293"/>
      <c r="DS236" s="2293"/>
      <c r="DT236" s="2293"/>
      <c r="DU236" s="2293"/>
      <c r="DV236" s="2293"/>
      <c r="DW236" s="2293"/>
      <c r="DX236" s="2293"/>
      <c r="DY236" s="2293"/>
      <c r="DZ236" s="847"/>
      <c r="EK236"/>
      <c r="EL236"/>
    </row>
    <row r="237" spans="1:148" ht="12.75" customHeight="1" x14ac:dyDescent="0.2">
      <c r="A237" s="2308" t="s">
        <v>2580</v>
      </c>
      <c r="M237" s="661"/>
      <c r="R237" s="661"/>
      <c r="W237" s="661"/>
      <c r="AB237" s="661"/>
      <c r="AG237" s="661"/>
      <c r="AH237" s="2983"/>
      <c r="AI237" s="2983"/>
      <c r="AJ237" s="2983"/>
      <c r="AK237" s="2983"/>
      <c r="AL237" s="2922"/>
      <c r="AM237" s="2983"/>
      <c r="AN237" s="2983"/>
      <c r="AO237" s="2983"/>
      <c r="AP237" s="2983"/>
      <c r="AQ237" s="2922"/>
      <c r="AR237" s="2983"/>
      <c r="AS237" s="2983"/>
      <c r="AT237" s="2983"/>
      <c r="AU237" s="2983"/>
      <c r="AV237" s="2922"/>
      <c r="AW237" s="2983"/>
      <c r="AX237" s="2983"/>
      <c r="AY237" s="2983"/>
      <c r="AZ237" s="2983"/>
      <c r="BA237" s="2922"/>
      <c r="BB237" s="2983"/>
      <c r="BC237" s="2983"/>
      <c r="BD237" s="2983"/>
      <c r="BE237" s="2983"/>
      <c r="BF237" s="2922"/>
      <c r="BG237" s="2983"/>
      <c r="BH237" s="2983"/>
      <c r="BI237" s="2983"/>
      <c r="BJ237" s="2983"/>
      <c r="BK237" s="2922"/>
      <c r="BL237" s="2983"/>
      <c r="BM237" s="2983"/>
      <c r="BN237" s="2983"/>
      <c r="BO237" s="2983"/>
      <c r="BP237" s="2922"/>
      <c r="BQ237" s="2983"/>
      <c r="BR237" s="2983"/>
      <c r="BS237" s="2983"/>
      <c r="BT237" s="2983"/>
      <c r="BU237" s="2922"/>
      <c r="BV237" s="1703"/>
      <c r="BW237" s="1703"/>
      <c r="BX237" s="1703"/>
      <c r="BY237" s="1703"/>
      <c r="BZ237" s="1704"/>
      <c r="CA237" s="1703"/>
      <c r="CB237" s="1703"/>
      <c r="CC237" s="1703"/>
      <c r="CD237" s="1703"/>
      <c r="CE237" s="1704"/>
      <c r="CF237" s="1703">
        <f t="shared" ref="CF237:CL237" si="571">+CF233+CF234+CF235</f>
        <v>137</v>
      </c>
      <c r="CG237" s="1703">
        <f t="shared" si="571"/>
        <v>127</v>
      </c>
      <c r="CH237" s="1703">
        <f t="shared" si="571"/>
        <v>115</v>
      </c>
      <c r="CI237" s="1703">
        <f t="shared" si="571"/>
        <v>150</v>
      </c>
      <c r="CJ237" s="1704">
        <f t="shared" si="571"/>
        <v>529</v>
      </c>
      <c r="CK237" s="1703">
        <f t="shared" si="571"/>
        <v>150</v>
      </c>
      <c r="CL237" s="1703">
        <f t="shared" si="571"/>
        <v>136</v>
      </c>
      <c r="CM237" s="1703">
        <f>+CM233+CM234+CM235</f>
        <v>127</v>
      </c>
      <c r="CN237" s="3255">
        <f t="shared" ref="CN237:CS237" si="572">CN346</f>
        <v>149</v>
      </c>
      <c r="CO237" s="968">
        <f t="shared" si="572"/>
        <v>562</v>
      </c>
      <c r="CP237" s="215">
        <f t="shared" si="572"/>
        <v>153</v>
      </c>
      <c r="CQ237" s="215">
        <f t="shared" si="572"/>
        <v>148</v>
      </c>
      <c r="CR237" s="215">
        <f t="shared" si="572"/>
        <v>136</v>
      </c>
      <c r="CS237" s="215">
        <f t="shared" si="572"/>
        <v>170</v>
      </c>
      <c r="CT237" s="968">
        <f>SUM(CP237:CS237)</f>
        <v>607</v>
      </c>
      <c r="CU237" s="215">
        <f t="shared" ref="CU237:DA237" si="573">CU346</f>
        <v>156.06</v>
      </c>
      <c r="CV237" s="215">
        <f t="shared" si="573"/>
        <v>152.44</v>
      </c>
      <c r="CW237" s="215">
        <f t="shared" si="573"/>
        <v>140.08000000000001</v>
      </c>
      <c r="CX237" s="215">
        <f t="shared" si="573"/>
        <v>171.7</v>
      </c>
      <c r="CY237" s="968">
        <f>SUM(CU237:CX237)</f>
        <v>620.28</v>
      </c>
      <c r="CZ237" s="968">
        <f t="shared" si="573"/>
        <v>654.39539999999988</v>
      </c>
      <c r="DA237" s="968">
        <f t="shared" si="573"/>
        <v>621.67562999999984</v>
      </c>
      <c r="DB237" s="537"/>
      <c r="DC237" s="537"/>
      <c r="DD237" s="2308"/>
      <c r="DE237" s="2293"/>
      <c r="DF237" s="2293"/>
      <c r="DG237" s="2293"/>
      <c r="DH237" s="2293"/>
      <c r="DI237" s="2293"/>
      <c r="DJ237" s="2293"/>
      <c r="DK237" s="2293"/>
      <c r="DL237" s="2293"/>
      <c r="DM237" s="2293"/>
      <c r="DN237" s="2293"/>
      <c r="DO237" s="2293"/>
      <c r="DP237" s="2293"/>
      <c r="DQ237" s="2293"/>
      <c r="DR237" s="2293"/>
      <c r="DS237" s="2293"/>
      <c r="DT237" s="2293"/>
      <c r="DU237" s="2293"/>
      <c r="DV237" s="2293"/>
      <c r="DW237" s="2293"/>
      <c r="DX237" s="2293"/>
      <c r="DY237" s="2293"/>
      <c r="DZ237" s="847"/>
      <c r="EK237"/>
      <c r="EL237"/>
      <c r="EM237" s="1703"/>
    </row>
    <row r="238" spans="1:148" ht="12.75" customHeight="1" x14ac:dyDescent="0.2">
      <c r="A238" s="2308"/>
      <c r="M238" s="661"/>
      <c r="R238" s="661"/>
      <c r="W238" s="661"/>
      <c r="AB238" s="661"/>
      <c r="AG238" s="661"/>
      <c r="AH238" s="2983"/>
      <c r="AI238" s="2983"/>
      <c r="AJ238" s="2983"/>
      <c r="AK238" s="2983"/>
      <c r="AL238" s="2922"/>
      <c r="AM238" s="2983"/>
      <c r="AN238" s="2983"/>
      <c r="AO238" s="2983"/>
      <c r="AP238" s="2983"/>
      <c r="AQ238" s="2922"/>
      <c r="AR238" s="2983"/>
      <c r="AS238" s="2983"/>
      <c r="AT238" s="2983"/>
      <c r="AU238" s="2983"/>
      <c r="AV238" s="2922"/>
      <c r="AW238" s="2983"/>
      <c r="AX238" s="2983"/>
      <c r="AY238" s="2983"/>
      <c r="AZ238" s="2983"/>
      <c r="BA238" s="2922"/>
      <c r="BB238" s="2983"/>
      <c r="BC238" s="2983"/>
      <c r="BD238" s="2983"/>
      <c r="BE238" s="2983"/>
      <c r="BF238" s="2922"/>
      <c r="BG238" s="2983"/>
      <c r="BH238" s="2983"/>
      <c r="BI238" s="2983"/>
      <c r="BJ238" s="2983"/>
      <c r="BK238" s="2922"/>
      <c r="BL238" s="2983"/>
      <c r="BM238" s="2983"/>
      <c r="BN238" s="2983"/>
      <c r="BO238" s="2983"/>
      <c r="BP238" s="2922"/>
      <c r="BQ238" s="2983"/>
      <c r="BR238" s="2983"/>
      <c r="BS238" s="2983"/>
      <c r="BT238" s="2983"/>
      <c r="BU238" s="2922"/>
      <c r="BV238" s="2983"/>
      <c r="BW238" s="2983"/>
      <c r="BX238" s="2983"/>
      <c r="BY238" s="2935"/>
      <c r="BZ238" s="2922"/>
      <c r="CA238" s="2983"/>
      <c r="CB238" s="2983"/>
      <c r="CC238" s="2983"/>
      <c r="CD238" s="2983"/>
      <c r="CE238" s="2922"/>
      <c r="CF238" s="2983"/>
      <c r="CG238" s="2983"/>
      <c r="CH238" s="2983"/>
      <c r="CI238" s="2983"/>
      <c r="CJ238" s="2922"/>
      <c r="CK238" s="2983"/>
      <c r="CL238" s="2983"/>
      <c r="CM238" s="2983"/>
      <c r="CN238" s="3085"/>
      <c r="CO238" s="661"/>
      <c r="CT238" s="661"/>
      <c r="CY238" s="661"/>
      <c r="CZ238" s="661"/>
      <c r="DA238" s="661"/>
      <c r="DB238" s="537"/>
      <c r="DC238" s="537"/>
      <c r="DD238" s="2308"/>
      <c r="DE238" s="2293"/>
      <c r="DF238" s="2293"/>
      <c r="DG238" s="2293"/>
      <c r="DH238" s="2293"/>
      <c r="DI238" s="2293"/>
      <c r="DJ238" s="2293"/>
      <c r="DK238" s="2293"/>
      <c r="DL238" s="2293"/>
      <c r="DM238" s="2293"/>
      <c r="DN238" s="2293"/>
      <c r="DO238" s="2293"/>
      <c r="DP238" s="2293"/>
      <c r="DQ238" s="2293"/>
      <c r="DR238" s="2293"/>
      <c r="DS238" s="2293"/>
      <c r="DT238" s="2293"/>
      <c r="DU238" s="2293"/>
      <c r="DV238" s="2293"/>
      <c r="DW238" s="2293"/>
      <c r="DX238" s="2293"/>
      <c r="DY238" s="2293"/>
      <c r="DZ238" s="847"/>
      <c r="EK238"/>
      <c r="EL238"/>
    </row>
    <row r="239" spans="1:148" ht="12.75" customHeight="1" x14ac:dyDescent="0.2">
      <c r="A239" s="3820" t="s">
        <v>2950</v>
      </c>
      <c r="M239" s="661"/>
      <c r="R239" s="661"/>
      <c r="W239" s="661"/>
      <c r="AB239" s="661"/>
      <c r="AG239" s="661"/>
      <c r="AH239" s="2983"/>
      <c r="AI239" s="2983"/>
      <c r="AJ239" s="2983"/>
      <c r="AK239" s="2983"/>
      <c r="AL239" s="2922"/>
      <c r="AM239" s="2983"/>
      <c r="AN239" s="2983"/>
      <c r="AO239" s="2983"/>
      <c r="AP239" s="2983"/>
      <c r="AQ239" s="2922"/>
      <c r="AR239" s="2983"/>
      <c r="AS239" s="2983"/>
      <c r="AT239" s="2983"/>
      <c r="AU239" s="2983"/>
      <c r="AV239" s="2922"/>
      <c r="AW239" s="2983"/>
      <c r="AX239" s="2983"/>
      <c r="AY239" s="2983"/>
      <c r="AZ239" s="2983"/>
      <c r="BA239" s="2922"/>
      <c r="BB239" s="2983"/>
      <c r="BC239" s="2983"/>
      <c r="BD239" s="2983"/>
      <c r="BE239" s="2983"/>
      <c r="BF239" s="2922"/>
      <c r="BG239" s="2983"/>
      <c r="BH239" s="2983"/>
      <c r="BI239" s="2983"/>
      <c r="BJ239" s="2983"/>
      <c r="BK239" s="2922"/>
      <c r="BL239" s="2983"/>
      <c r="BM239" s="2983"/>
      <c r="BN239" s="2983"/>
      <c r="BO239" s="2983"/>
      <c r="BP239" s="2922"/>
      <c r="BQ239" s="2983"/>
      <c r="BR239" s="2983"/>
      <c r="BS239" s="2983"/>
      <c r="BT239" s="2983"/>
      <c r="BU239" s="2922"/>
      <c r="BV239" s="2983"/>
      <c r="BW239" s="2983"/>
      <c r="BX239" s="2983"/>
      <c r="BY239" s="2935"/>
      <c r="BZ239" s="2922"/>
      <c r="CA239" s="2983"/>
      <c r="CB239" s="2983"/>
      <c r="CC239" s="2983"/>
      <c r="CD239" s="2983"/>
      <c r="CE239" s="2922"/>
      <c r="CF239" s="2983"/>
      <c r="CG239" s="2983"/>
      <c r="CH239" s="2983"/>
      <c r="CI239" s="2983"/>
      <c r="CJ239" s="2922"/>
      <c r="CK239" s="2983"/>
      <c r="CL239" s="2983"/>
      <c r="CM239" s="2983"/>
      <c r="CN239" s="3085"/>
      <c r="CO239" s="661"/>
      <c r="CT239" s="661"/>
      <c r="CU239" s="847">
        <f>+$CY$239/4</f>
        <v>-6.25</v>
      </c>
      <c r="CV239" s="847">
        <f>+$CY$239/4</f>
        <v>-6.25</v>
      </c>
      <c r="CW239" s="847">
        <f>+$CY$239/4</f>
        <v>-6.25</v>
      </c>
      <c r="CX239" s="847">
        <f>+$CY$239/4</f>
        <v>-6.25</v>
      </c>
      <c r="CY239" s="3821">
        <v>-25</v>
      </c>
      <c r="CZ239" s="3822">
        <f>+CY239</f>
        <v>-25</v>
      </c>
      <c r="DA239" s="3822">
        <f>+CZ239</f>
        <v>-25</v>
      </c>
      <c r="DB239" s="537"/>
      <c r="DC239" s="537"/>
      <c r="DD239" s="3819"/>
      <c r="DE239" s="2293"/>
      <c r="DF239" s="2293"/>
      <c r="DG239" s="2293"/>
      <c r="DH239" s="2293"/>
      <c r="DI239" s="2293"/>
      <c r="DJ239" s="2293"/>
      <c r="DK239" s="2293"/>
      <c r="DL239" s="2293"/>
      <c r="DM239" s="2293"/>
      <c r="DN239" s="2293"/>
      <c r="DO239" s="2293"/>
      <c r="DP239" s="2293"/>
      <c r="DQ239" s="2293"/>
      <c r="DR239" s="2293"/>
      <c r="DS239" s="2293"/>
      <c r="DT239" s="2293"/>
      <c r="DU239" s="2293"/>
      <c r="DV239" s="2293"/>
      <c r="DW239" s="2293"/>
      <c r="DX239" s="2293"/>
      <c r="DY239" s="2293"/>
      <c r="DZ239" s="847"/>
      <c r="EJ239" s="3812"/>
      <c r="EK239" s="3812"/>
      <c r="EL239" s="3812"/>
    </row>
    <row r="240" spans="1:148" s="927" customFormat="1" ht="12.75" customHeight="1" x14ac:dyDescent="0.2">
      <c r="A240" s="1580" t="s">
        <v>2550</v>
      </c>
      <c r="B240" s="850"/>
      <c r="C240" s="850"/>
      <c r="D240" s="850"/>
      <c r="E240" s="850"/>
      <c r="F240" s="850"/>
      <c r="G240" s="850"/>
      <c r="H240" s="850"/>
      <c r="I240" s="850"/>
      <c r="J240" s="850"/>
      <c r="K240" s="850"/>
      <c r="L240" s="850"/>
      <c r="M240" s="246"/>
      <c r="N240" s="850"/>
      <c r="O240" s="850"/>
      <c r="P240" s="850"/>
      <c r="Q240" s="850"/>
      <c r="R240" s="246"/>
      <c r="S240" s="850"/>
      <c r="T240" s="850"/>
      <c r="U240" s="850"/>
      <c r="V240" s="850"/>
      <c r="W240" s="246"/>
      <c r="X240" s="850"/>
      <c r="Y240" s="850"/>
      <c r="Z240" s="850"/>
      <c r="AA240" s="850"/>
      <c r="AB240" s="246"/>
      <c r="AC240" s="850"/>
      <c r="AD240" s="850"/>
      <c r="AE240" s="850"/>
      <c r="AF240" s="850"/>
      <c r="AG240" s="246"/>
      <c r="AH240" s="2916">
        <v>10</v>
      </c>
      <c r="AI240" s="2916">
        <v>10</v>
      </c>
      <c r="AJ240" s="2916">
        <v>7</v>
      </c>
      <c r="AK240" s="2916">
        <v>13</v>
      </c>
      <c r="AL240" s="3260">
        <v>40</v>
      </c>
      <c r="AM240" s="2916">
        <v>10</v>
      </c>
      <c r="AN240" s="2916">
        <v>20</v>
      </c>
      <c r="AO240" s="2916">
        <v>26</v>
      </c>
      <c r="AP240" s="2916">
        <v>23</v>
      </c>
      <c r="AQ240" s="3260">
        <v>79</v>
      </c>
      <c r="AR240" s="2916">
        <v>23</v>
      </c>
      <c r="AS240" s="2916">
        <v>22</v>
      </c>
      <c r="AT240" s="2916">
        <v>31</v>
      </c>
      <c r="AU240" s="2916">
        <v>25</v>
      </c>
      <c r="AV240" s="3260">
        <v>101</v>
      </c>
      <c r="AW240" s="2916">
        <v>29</v>
      </c>
      <c r="AX240" s="2916">
        <v>24</v>
      </c>
      <c r="AY240" s="2916">
        <v>23</v>
      </c>
      <c r="AZ240" s="2916">
        <v>26</v>
      </c>
      <c r="BA240" s="3260">
        <v>102</v>
      </c>
      <c r="BB240" s="2916">
        <v>32</v>
      </c>
      <c r="BC240" s="2916">
        <v>30</v>
      </c>
      <c r="BD240" s="2916">
        <v>32</v>
      </c>
      <c r="BE240" s="2916">
        <v>42</v>
      </c>
      <c r="BF240" s="3260">
        <v>136</v>
      </c>
      <c r="BG240" s="2916">
        <v>29</v>
      </c>
      <c r="BH240" s="2916">
        <v>30</v>
      </c>
      <c r="BI240" s="2916">
        <v>31</v>
      </c>
      <c r="BJ240" s="2916">
        <v>29</v>
      </c>
      <c r="BK240" s="3260">
        <v>119</v>
      </c>
      <c r="BL240" s="2916">
        <v>32</v>
      </c>
      <c r="BM240" s="2916">
        <v>31</v>
      </c>
      <c r="BN240" s="2916">
        <v>33</v>
      </c>
      <c r="BO240" s="2916">
        <v>34</v>
      </c>
      <c r="BP240" s="3260">
        <v>130</v>
      </c>
      <c r="BQ240" s="2916">
        <v>36</v>
      </c>
      <c r="BR240" s="2916">
        <v>37</v>
      </c>
      <c r="BS240" s="2916">
        <v>37</v>
      </c>
      <c r="BT240" s="2916">
        <v>42</v>
      </c>
      <c r="BU240" s="3260">
        <v>152</v>
      </c>
      <c r="BV240" s="2916">
        <v>39</v>
      </c>
      <c r="BW240" s="2916">
        <v>37</v>
      </c>
      <c r="BX240" s="2916">
        <v>50</v>
      </c>
      <c r="BY240" s="2916">
        <v>41</v>
      </c>
      <c r="BZ240" s="3260">
        <v>167</v>
      </c>
      <c r="CA240" s="2916">
        <v>53</v>
      </c>
      <c r="CB240" s="2916">
        <v>48</v>
      </c>
      <c r="CC240" s="2916">
        <v>42</v>
      </c>
      <c r="CD240" s="2916">
        <v>63</v>
      </c>
      <c r="CE240" s="3260">
        <v>206</v>
      </c>
      <c r="CF240" s="2916">
        <v>0</v>
      </c>
      <c r="CG240" s="2916">
        <v>0</v>
      </c>
      <c r="CH240" s="2916">
        <v>0</v>
      </c>
      <c r="CI240" s="2916">
        <v>0</v>
      </c>
      <c r="CJ240" s="246">
        <f>SUM(CF240:CI240)</f>
        <v>0</v>
      </c>
      <c r="CK240" s="2916">
        <v>0</v>
      </c>
      <c r="CL240" s="2916">
        <v>0</v>
      </c>
      <c r="CM240" s="2916">
        <v>0</v>
      </c>
      <c r="CN240" s="2916">
        <v>0</v>
      </c>
      <c r="CO240" s="246">
        <f>SUM(CK240:CN240)</f>
        <v>0</v>
      </c>
      <c r="CP240" s="2916">
        <v>0</v>
      </c>
      <c r="CQ240" s="2916">
        <v>0</v>
      </c>
      <c r="CR240" s="2916">
        <v>0</v>
      </c>
      <c r="CS240" s="2916">
        <v>0</v>
      </c>
      <c r="CT240" s="246">
        <f>SUM(CP240:CS240)</f>
        <v>0</v>
      </c>
      <c r="CU240" s="2916">
        <v>0</v>
      </c>
      <c r="CV240" s="2916">
        <v>0</v>
      </c>
      <c r="CW240" s="2916">
        <v>0</v>
      </c>
      <c r="CX240" s="2916">
        <v>0</v>
      </c>
      <c r="CY240" s="3260">
        <f>SUM(CU240:CX240)</f>
        <v>0</v>
      </c>
      <c r="CZ240" s="3260">
        <v>0</v>
      </c>
      <c r="DA240" s="3260">
        <v>0</v>
      </c>
      <c r="DB240" s="537"/>
      <c r="DC240" s="537"/>
      <c r="DD240" s="1580"/>
      <c r="DE240" s="246"/>
      <c r="DF240" s="246"/>
      <c r="DG240" s="246"/>
      <c r="DH240" s="246"/>
      <c r="DI240" s="246"/>
      <c r="DJ240" s="246"/>
      <c r="DK240" s="246"/>
      <c r="DL240" s="246"/>
      <c r="DM240" s="246"/>
      <c r="DN240" s="246"/>
      <c r="DO240" s="246"/>
      <c r="DP240" s="246"/>
      <c r="DQ240" s="246"/>
      <c r="DR240" s="246"/>
      <c r="DS240" s="246"/>
      <c r="DT240" s="246"/>
      <c r="DU240" s="246"/>
      <c r="DV240" s="246"/>
      <c r="DW240" s="246"/>
      <c r="DX240" s="246"/>
      <c r="DY240" s="246"/>
      <c r="EA240"/>
      <c r="EB240"/>
      <c r="EC240"/>
      <c r="ED240"/>
      <c r="EE240"/>
      <c r="EF240"/>
      <c r="EJ240"/>
      <c r="EK240"/>
      <c r="EL240"/>
      <c r="ER240" s="1445"/>
    </row>
    <row r="241" spans="1:148" s="925" customFormat="1" ht="3.95" customHeight="1" x14ac:dyDescent="0.2">
      <c r="A241" s="1131"/>
      <c r="B241" s="216"/>
      <c r="C241" s="216"/>
      <c r="D241" s="216"/>
      <c r="E241" s="216"/>
      <c r="F241" s="216"/>
      <c r="G241" s="216"/>
      <c r="H241" s="216"/>
      <c r="I241" s="216"/>
      <c r="J241" s="216"/>
      <c r="K241" s="216"/>
      <c r="L241" s="216"/>
      <c r="M241" s="970"/>
      <c r="N241" s="216"/>
      <c r="O241" s="216"/>
      <c r="P241" s="216"/>
      <c r="Q241" s="216"/>
      <c r="R241" s="970"/>
      <c r="S241" s="216"/>
      <c r="T241" s="216"/>
      <c r="U241" s="216"/>
      <c r="V241" s="216"/>
      <c r="W241" s="970"/>
      <c r="X241" s="216"/>
      <c r="Y241" s="216"/>
      <c r="Z241" s="216"/>
      <c r="AA241" s="216"/>
      <c r="AB241" s="970"/>
      <c r="AC241" s="216"/>
      <c r="AD241" s="216"/>
      <c r="AE241" s="216"/>
      <c r="AF241" s="216"/>
      <c r="AG241" s="970"/>
      <c r="AH241" s="216"/>
      <c r="AI241" s="216"/>
      <c r="AJ241" s="216"/>
      <c r="AK241" s="216"/>
      <c r="AL241" s="970"/>
      <c r="AM241" s="216"/>
      <c r="AN241" s="216"/>
      <c r="AO241" s="216"/>
      <c r="AP241" s="216"/>
      <c r="AQ241" s="970"/>
      <c r="AR241" s="216"/>
      <c r="AS241" s="216"/>
      <c r="AT241" s="216"/>
      <c r="AU241" s="216"/>
      <c r="AV241" s="970"/>
      <c r="AW241" s="216"/>
      <c r="AX241" s="216"/>
      <c r="AY241" s="216"/>
      <c r="AZ241" s="216"/>
      <c r="BA241" s="970"/>
      <c r="BB241" s="216"/>
      <c r="BC241" s="216"/>
      <c r="BD241" s="216"/>
      <c r="BE241" s="216"/>
      <c r="BF241" s="970"/>
      <c r="BG241" s="216"/>
      <c r="BH241" s="216"/>
      <c r="BI241" s="216"/>
      <c r="BJ241" s="216"/>
      <c r="BK241" s="970"/>
      <c r="BL241" s="216"/>
      <c r="BM241" s="216"/>
      <c r="BN241" s="216"/>
      <c r="BO241" s="216"/>
      <c r="BP241" s="970"/>
      <c r="BQ241" s="216"/>
      <c r="BR241" s="216"/>
      <c r="BS241" s="216"/>
      <c r="BT241" s="216"/>
      <c r="BU241" s="970"/>
      <c r="BV241" s="216"/>
      <c r="BW241" s="216"/>
      <c r="BX241" s="216"/>
      <c r="BY241" s="216"/>
      <c r="BZ241" s="970"/>
      <c r="CA241" s="216"/>
      <c r="CB241" s="216"/>
      <c r="CC241" s="216"/>
      <c r="CD241" s="216"/>
      <c r="CE241" s="970"/>
      <c r="CF241" s="216"/>
      <c r="CG241" s="216"/>
      <c r="CH241" s="216"/>
      <c r="CI241" s="216"/>
      <c r="CJ241" s="970"/>
      <c r="CK241" s="216"/>
      <c r="CL241" s="216"/>
      <c r="CM241" s="216"/>
      <c r="CN241" s="216"/>
      <c r="CO241" s="970"/>
      <c r="CP241" s="216"/>
      <c r="CQ241" s="216"/>
      <c r="CR241" s="216"/>
      <c r="CS241" s="216"/>
      <c r="CT241" s="970"/>
      <c r="CU241" s="216"/>
      <c r="CV241" s="216"/>
      <c r="CW241" s="216"/>
      <c r="CX241" s="216"/>
      <c r="CY241" s="970"/>
      <c r="CZ241" s="970"/>
      <c r="DA241" s="970"/>
      <c r="DB241"/>
      <c r="DC241"/>
      <c r="DD241" s="1131"/>
      <c r="DE241" s="970"/>
      <c r="DF241" s="970"/>
      <c r="DG241" s="970"/>
      <c r="DH241" s="970"/>
      <c r="DI241" s="970"/>
      <c r="DJ241" s="970"/>
      <c r="DK241" s="970"/>
      <c r="DL241" s="970"/>
      <c r="DM241" s="970"/>
      <c r="DN241" s="970"/>
      <c r="DO241" s="970"/>
      <c r="DP241" s="970"/>
      <c r="DQ241" s="970"/>
      <c r="DR241" s="970"/>
      <c r="DS241" s="970"/>
      <c r="DT241" s="970"/>
      <c r="DU241" s="970"/>
      <c r="DV241" s="970"/>
      <c r="DW241" s="970"/>
      <c r="DX241" s="970"/>
      <c r="DY241" s="970"/>
      <c r="EA241"/>
      <c r="EB241"/>
      <c r="EC241"/>
      <c r="ED241"/>
      <c r="EE241"/>
      <c r="EF241"/>
      <c r="EJ241"/>
      <c r="EK241"/>
      <c r="EL241"/>
      <c r="ER241" s="1650"/>
    </row>
    <row r="242" spans="1:148" s="923" customFormat="1" ht="12.75" customHeight="1" x14ac:dyDescent="0.2">
      <c r="A242" s="1437" t="s">
        <v>2551</v>
      </c>
      <c r="B242" s="1659"/>
      <c r="C242" s="1659"/>
      <c r="D242" s="1659"/>
      <c r="E242" s="1659"/>
      <c r="F242" s="1659"/>
      <c r="G242" s="1659"/>
      <c r="H242" s="1659">
        <f>H374+H343+H330</f>
        <v>800</v>
      </c>
      <c r="I242" s="1659">
        <v>183</v>
      </c>
      <c r="J242" s="1659">
        <v>222</v>
      </c>
      <c r="K242" s="1659">
        <v>207</v>
      </c>
      <c r="L242" s="1659">
        <f>907-K242-J242-I242</f>
        <v>295</v>
      </c>
      <c r="M242" s="1706">
        <f t="shared" ref="M242:AG242" si="574">M374+M343+M330</f>
        <v>907</v>
      </c>
      <c r="N242" s="1659">
        <f t="shared" si="574"/>
        <v>196</v>
      </c>
      <c r="O242" s="1659">
        <f t="shared" si="574"/>
        <v>219</v>
      </c>
      <c r="P242" s="1659">
        <f t="shared" si="574"/>
        <v>179</v>
      </c>
      <c r="Q242" s="1659">
        <f t="shared" si="574"/>
        <v>200</v>
      </c>
      <c r="R242" s="1706">
        <f t="shared" si="574"/>
        <v>794</v>
      </c>
      <c r="S242" s="1659">
        <f t="shared" si="574"/>
        <v>168</v>
      </c>
      <c r="T242" s="1659">
        <f t="shared" si="574"/>
        <v>197</v>
      </c>
      <c r="U242" s="1659">
        <f t="shared" si="574"/>
        <v>162</v>
      </c>
      <c r="V242" s="1659">
        <f t="shared" si="574"/>
        <v>246</v>
      </c>
      <c r="W242" s="1706">
        <f t="shared" si="574"/>
        <v>773</v>
      </c>
      <c r="X242" s="1659">
        <f t="shared" si="574"/>
        <v>173</v>
      </c>
      <c r="Y242" s="1659">
        <f t="shared" si="574"/>
        <v>172</v>
      </c>
      <c r="Z242" s="1659">
        <f t="shared" si="574"/>
        <v>165</v>
      </c>
      <c r="AA242" s="1659">
        <f t="shared" si="574"/>
        <v>232</v>
      </c>
      <c r="AB242" s="1706">
        <f t="shared" si="574"/>
        <v>742</v>
      </c>
      <c r="AC242" s="1659">
        <f t="shared" si="574"/>
        <v>193</v>
      </c>
      <c r="AD242" s="1659">
        <f t="shared" si="574"/>
        <v>214</v>
      </c>
      <c r="AE242" s="1659">
        <f t="shared" si="574"/>
        <v>192</v>
      </c>
      <c r="AF242" s="1659">
        <f t="shared" si="574"/>
        <v>274</v>
      </c>
      <c r="AG242" s="1706">
        <f t="shared" si="574"/>
        <v>873</v>
      </c>
      <c r="AH242" s="1659">
        <f>SUM(AH223:AH240)</f>
        <v>307</v>
      </c>
      <c r="AI242" s="1659">
        <f>SUM(AI223:AI240)</f>
        <v>344</v>
      </c>
      <c r="AJ242" s="1659">
        <f>SUM(AJ223:AJ240)</f>
        <v>307</v>
      </c>
      <c r="AK242" s="1659">
        <f>SUM(AK223:AK240)</f>
        <v>431</v>
      </c>
      <c r="AL242" s="1706">
        <f>SUM(AH242:AK242)</f>
        <v>1389</v>
      </c>
      <c r="AM242" s="1659">
        <f>SUM(AM223:AM240)</f>
        <v>370</v>
      </c>
      <c r="AN242" s="1659">
        <f>SUM(AN223:AN240)</f>
        <v>449</v>
      </c>
      <c r="AO242" s="1659">
        <f>SUM(AO223:AO240)</f>
        <v>418</v>
      </c>
      <c r="AP242" s="1659">
        <f>SUM(AP223:AP240)</f>
        <v>551</v>
      </c>
      <c r="AQ242" s="1706">
        <f>SUM(AM242:AP242)</f>
        <v>1788</v>
      </c>
      <c r="AR242" s="1659">
        <f>SUM(AR223:AR240)</f>
        <v>443</v>
      </c>
      <c r="AS242" s="1659">
        <f>SUM(AS223:AS240)</f>
        <v>530</v>
      </c>
      <c r="AT242" s="1659">
        <f>SUM(AT223:AT240)</f>
        <v>484</v>
      </c>
      <c r="AU242" s="1659">
        <f>SUM(AU223:AU240)</f>
        <v>658</v>
      </c>
      <c r="AV242" s="1706">
        <f>SUM(AR242:AU242)</f>
        <v>2115</v>
      </c>
      <c r="AW242" s="1659">
        <f>SUM(AW223:AW240)</f>
        <v>491</v>
      </c>
      <c r="AX242" s="1659">
        <f>SUM(AX223:AX240)</f>
        <v>557</v>
      </c>
      <c r="AY242" s="1659">
        <f>SUM(AY223:AY240)</f>
        <v>487</v>
      </c>
      <c r="AZ242" s="1659">
        <f>SUM(AZ223:AZ240)</f>
        <v>583</v>
      </c>
      <c r="BA242" s="1706">
        <f>SUM(AW242:AZ242)</f>
        <v>2118</v>
      </c>
      <c r="BB242" s="1659">
        <f>SUM(BB223:BB240)</f>
        <v>399</v>
      </c>
      <c r="BC242" s="1659">
        <f>SUM(BC223:BC240)</f>
        <v>404</v>
      </c>
      <c r="BD242" s="1659">
        <f>SUM(BD223:BD240)</f>
        <v>389</v>
      </c>
      <c r="BE242" s="1659">
        <f>SUM(BE223:BE240)</f>
        <v>522</v>
      </c>
      <c r="BF242" s="1706">
        <f>SUM(BB242:BE242)</f>
        <v>1714</v>
      </c>
      <c r="BG242" s="1659">
        <f>SUM(BG223:BG240)</f>
        <v>407</v>
      </c>
      <c r="BH242" s="1659">
        <f>SUM(BH223:BH240)</f>
        <v>459</v>
      </c>
      <c r="BI242" s="1659">
        <f>SUM(BI223:BI240)</f>
        <v>422</v>
      </c>
      <c r="BJ242" s="1659">
        <f>SUM(BJ223:BJ240)</f>
        <v>590</v>
      </c>
      <c r="BK242" s="1706">
        <f>SUM(BG242:BJ242)</f>
        <v>1878</v>
      </c>
      <c r="BL242" s="1659">
        <f>SUM(BL223:BL240)</f>
        <v>451</v>
      </c>
      <c r="BM242" s="1659">
        <f>SUM(BM223:BM240)</f>
        <v>511</v>
      </c>
      <c r="BN242" s="1659">
        <f>SUM(BN223:BN240)</f>
        <v>483</v>
      </c>
      <c r="BO242" s="1659">
        <f>SUM(BO223:BO240)</f>
        <v>634</v>
      </c>
      <c r="BP242" s="1706">
        <f>SUM(BL242:BO242)</f>
        <v>2079</v>
      </c>
      <c r="BQ242" s="1659">
        <f>SUM(BQ223:BQ240)</f>
        <v>496</v>
      </c>
      <c r="BR242" s="1659">
        <f>SUM(BR223:BR240)</f>
        <v>557</v>
      </c>
      <c r="BS242" s="1659">
        <f>SUM(BS223:BS240)</f>
        <v>531</v>
      </c>
      <c r="BT242" s="1659">
        <f>SUM(BT223:BT240)</f>
        <v>697</v>
      </c>
      <c r="BU242" s="1706">
        <f>SUM(BQ242:BT242)</f>
        <v>2281</v>
      </c>
      <c r="BV242" s="1659">
        <f>SUM(BV223:BV240)</f>
        <v>581</v>
      </c>
      <c r="BW242" s="1659">
        <f>SUM(BW223:BW240)</f>
        <v>637</v>
      </c>
      <c r="BX242" s="1659">
        <f>SUM(BX223:BX240)</f>
        <v>620</v>
      </c>
      <c r="BY242" s="1659">
        <f>SUM(BY223:BY240)</f>
        <v>646</v>
      </c>
      <c r="BZ242" s="1706">
        <f>SUM(BV242:BY242)</f>
        <v>2484</v>
      </c>
      <c r="CA242" s="1659">
        <f>SUM(CA223:CA240)</f>
        <v>630</v>
      </c>
      <c r="CB242" s="1659">
        <f>SUM(CB223:CB240)</f>
        <v>708</v>
      </c>
      <c r="CC242" s="1659">
        <f>SUM(CC223:CC240)</f>
        <v>696</v>
      </c>
      <c r="CD242" s="1659">
        <f>SUM(CD223:CD240)</f>
        <v>718</v>
      </c>
      <c r="CE242" s="1706">
        <f>SUM(CA242:CD242)</f>
        <v>2752</v>
      </c>
      <c r="CF242" s="1659">
        <f>+CF226+CF232+CF237</f>
        <v>659</v>
      </c>
      <c r="CG242" s="1659">
        <f>+CG226+CG232+CG237</f>
        <v>707</v>
      </c>
      <c r="CH242" s="1659">
        <f>+CH226+CH232+CH237</f>
        <v>685</v>
      </c>
      <c r="CI242" s="1659">
        <f>+CI226+CI232+CI237</f>
        <v>688</v>
      </c>
      <c r="CJ242" s="1706">
        <f>SUM(CF242:CI242)</f>
        <v>2739</v>
      </c>
      <c r="CK242" s="1659">
        <f>+CK226+CK232+CK237</f>
        <v>688</v>
      </c>
      <c r="CL242" s="1659">
        <f>+CL226+CL232+CL237</f>
        <v>740</v>
      </c>
      <c r="CM242" s="1659">
        <f>+CM226+CM232+CM237</f>
        <v>723</v>
      </c>
      <c r="CN242" s="3242">
        <f>+CN226+CN232+CN237</f>
        <v>713</v>
      </c>
      <c r="CO242" s="1706">
        <f t="shared" ref="CO242:CT242" si="575">+CO226+CO232+CO237</f>
        <v>2864</v>
      </c>
      <c r="CP242" s="1659">
        <f t="shared" si="575"/>
        <v>782</v>
      </c>
      <c r="CQ242" s="1659">
        <f t="shared" si="575"/>
        <v>849</v>
      </c>
      <c r="CR242" s="1659">
        <f t="shared" si="575"/>
        <v>831</v>
      </c>
      <c r="CS242" s="1659">
        <f t="shared" si="575"/>
        <v>865</v>
      </c>
      <c r="CT242" s="1706">
        <f t="shared" si="575"/>
        <v>3327</v>
      </c>
      <c r="CU242" s="1659">
        <f ca="1">+CU226+CU232+CU237+CU239</f>
        <v>847.10129198108757</v>
      </c>
      <c r="CV242" s="1659">
        <f t="shared" ref="CV242:DA242" ca="1" si="576">+CV226+CV232+CV237+CV239</f>
        <v>929.79641871465742</v>
      </c>
      <c r="CW242" s="1659">
        <f t="shared" ca="1" si="576"/>
        <v>906.86753103306148</v>
      </c>
      <c r="CX242" s="1659">
        <f t="shared" ca="1" si="576"/>
        <v>934.98525498090453</v>
      </c>
      <c r="CY242" s="1706">
        <f t="shared" ca="1" si="576"/>
        <v>3618.7504967097102</v>
      </c>
      <c r="CZ242" s="1706">
        <f t="shared" ca="1" si="576"/>
        <v>3932.6956507228265</v>
      </c>
      <c r="DA242" s="1706">
        <f t="shared" ca="1" si="576"/>
        <v>3933.774686485267</v>
      </c>
      <c r="DB242"/>
      <c r="DC242"/>
      <c r="DD242" s="1437" t="s">
        <v>1943</v>
      </c>
      <c r="DE242" s="1706">
        <f t="shared" ref="DE242:DE252" si="577">M242</f>
        <v>907</v>
      </c>
      <c r="DF242" s="1706">
        <f t="shared" ref="DF242:DF252" si="578">R242</f>
        <v>794</v>
      </c>
      <c r="DG242" s="1706">
        <f t="shared" ref="DG242:DG252" si="579">W242</f>
        <v>773</v>
      </c>
      <c r="DH242" s="1706">
        <f t="shared" ref="DH242:DH252" si="580">AB242</f>
        <v>742</v>
      </c>
      <c r="DI242" s="1706">
        <f t="shared" ref="DI242:DI252" si="581">AG242</f>
        <v>873</v>
      </c>
      <c r="DJ242" s="1706">
        <f t="shared" ref="DJ242:DJ252" si="582">AL242</f>
        <v>1389</v>
      </c>
      <c r="DK242" s="1706">
        <f t="shared" ref="DK242:DK252" si="583">AQ242</f>
        <v>1788</v>
      </c>
      <c r="DL242" s="1706">
        <f t="shared" ref="DL242:DL252" si="584">AV242</f>
        <v>2115</v>
      </c>
      <c r="DM242" s="1706">
        <f t="shared" ref="DM242:DM252" si="585">BA242</f>
        <v>2118</v>
      </c>
      <c r="DN242" s="1706">
        <f t="shared" ref="DN242:DN252" si="586">BF242</f>
        <v>1714</v>
      </c>
      <c r="DO242" s="1706">
        <f t="shared" ref="DO242:DO252" si="587">BK242</f>
        <v>1878</v>
      </c>
      <c r="DP242" s="1706">
        <f t="shared" ref="DP242:DP252" si="588">BP242</f>
        <v>2079</v>
      </c>
      <c r="DQ242" s="1706">
        <f t="shared" ref="DQ242:DQ252" si="589">BU242</f>
        <v>2281</v>
      </c>
      <c r="DR242" s="1706">
        <f t="shared" ref="DR242:DR252" si="590">BZ242</f>
        <v>2484</v>
      </c>
      <c r="DS242" s="1706">
        <f t="shared" ref="DS242:DS252" si="591">CE242</f>
        <v>2752</v>
      </c>
      <c r="DT242" s="1706">
        <f t="shared" ref="DT242:DT252" si="592">CJ242</f>
        <v>2739</v>
      </c>
      <c r="DU242" s="1706">
        <f t="shared" ref="DU242:DU252" si="593">CO242</f>
        <v>2864</v>
      </c>
      <c r="DV242" s="1706">
        <f t="shared" ref="DV242:DV252" si="594">CT242</f>
        <v>3327</v>
      </c>
      <c r="DW242" s="1706">
        <f t="shared" ref="DW242:DW252" ca="1" si="595">CY242</f>
        <v>3618.7504967097102</v>
      </c>
      <c r="DX242" s="1706">
        <f t="shared" ref="DX242:DX252" ca="1" si="596">CZ242</f>
        <v>3932.6956507228265</v>
      </c>
      <c r="DY242" s="1706">
        <f t="shared" ref="DY242:DY252" ca="1" si="597">DA242</f>
        <v>3933.774686485267</v>
      </c>
      <c r="EA242"/>
      <c r="EB242"/>
      <c r="EC242"/>
      <c r="ED242"/>
      <c r="EE242"/>
      <c r="EF242"/>
      <c r="EJ242"/>
      <c r="EK242"/>
      <c r="EL242"/>
      <c r="EM242" s="1703"/>
      <c r="ER242" s="212"/>
    </row>
    <row r="243" spans="1:148" s="923" customFormat="1" ht="12.75" customHeight="1" x14ac:dyDescent="0.2">
      <c r="A243" s="1437" t="s">
        <v>2682</v>
      </c>
      <c r="B243" s="1659"/>
      <c r="C243" s="1659"/>
      <c r="D243" s="1659"/>
      <c r="E243" s="1659"/>
      <c r="F243" s="1659"/>
      <c r="G243" s="1659"/>
      <c r="H243" s="1659"/>
      <c r="I243" s="1659"/>
      <c r="J243" s="1659"/>
      <c r="K243" s="1659"/>
      <c r="L243" s="1659"/>
      <c r="M243" s="1706"/>
      <c r="N243" s="1659"/>
      <c r="O243" s="1659"/>
      <c r="P243" s="1659"/>
      <c r="Q243" s="1659"/>
      <c r="R243" s="1706"/>
      <c r="S243" s="1659"/>
      <c r="T243" s="1659"/>
      <c r="U243" s="1659"/>
      <c r="V243" s="1659"/>
      <c r="W243" s="1706"/>
      <c r="X243" s="1659"/>
      <c r="Y243" s="1659"/>
      <c r="Z243" s="1659"/>
      <c r="AA243" s="1659"/>
      <c r="AB243" s="1706"/>
      <c r="AC243" s="1659"/>
      <c r="AD243" s="1659"/>
      <c r="AE243" s="1659"/>
      <c r="AF243" s="1659"/>
      <c r="AG243" s="1706"/>
      <c r="AH243" s="1659"/>
      <c r="AI243" s="1659"/>
      <c r="AJ243" s="1659"/>
      <c r="AK243" s="1659"/>
      <c r="AL243" s="1706"/>
      <c r="AM243" s="1659"/>
      <c r="AN243" s="1659"/>
      <c r="AO243" s="1659"/>
      <c r="AP243" s="1659"/>
      <c r="AQ243" s="1706"/>
      <c r="AR243" s="1659"/>
      <c r="AS243" s="1659"/>
      <c r="AT243" s="1659"/>
      <c r="AU243" s="1659"/>
      <c r="AV243" s="1706"/>
      <c r="AW243" s="1659"/>
      <c r="AX243" s="1659"/>
      <c r="AY243" s="1659"/>
      <c r="AZ243" s="1659"/>
      <c r="BA243" s="1706"/>
      <c r="BB243" s="1659"/>
      <c r="BC243" s="1659"/>
      <c r="BD243" s="1659"/>
      <c r="BE243" s="1659"/>
      <c r="BF243" s="1706"/>
      <c r="BG243" s="1659"/>
      <c r="BH243" s="1659"/>
      <c r="BI243" s="1659"/>
      <c r="BJ243" s="1659"/>
      <c r="BK243" s="1706"/>
      <c r="BL243" s="1659"/>
      <c r="BM243" s="1659"/>
      <c r="BN243" s="1659"/>
      <c r="BO243" s="1659"/>
      <c r="BP243" s="1706"/>
      <c r="BQ243" s="1659"/>
      <c r="BR243" s="1659"/>
      <c r="BS243" s="1659"/>
      <c r="BT243" s="1659"/>
      <c r="BU243" s="1706"/>
      <c r="BV243" s="1659"/>
      <c r="BW243" s="1659"/>
      <c r="BX243" s="1659"/>
      <c r="BY243" s="1659"/>
      <c r="BZ243" s="1706"/>
      <c r="CA243" s="1659"/>
      <c r="CB243" s="1659"/>
      <c r="CC243" s="1659"/>
      <c r="CD243" s="1659"/>
      <c r="CE243" s="1706"/>
      <c r="CF243" s="1659">
        <f t="shared" ref="CF243:CO243" si="598">+CF242+CF379</f>
        <v>693</v>
      </c>
      <c r="CG243" s="1659">
        <f t="shared" si="598"/>
        <v>749</v>
      </c>
      <c r="CH243" s="1659">
        <f t="shared" si="598"/>
        <v>731</v>
      </c>
      <c r="CI243" s="1659">
        <f t="shared" si="598"/>
        <v>735</v>
      </c>
      <c r="CJ243" s="1706">
        <f t="shared" si="598"/>
        <v>2908</v>
      </c>
      <c r="CK243" s="1659">
        <f t="shared" si="598"/>
        <v>740</v>
      </c>
      <c r="CL243" s="1659">
        <f t="shared" si="598"/>
        <v>788</v>
      </c>
      <c r="CM243" s="1659">
        <f t="shared" si="598"/>
        <v>771</v>
      </c>
      <c r="CN243" s="3242">
        <f t="shared" si="598"/>
        <v>773</v>
      </c>
      <c r="CO243" s="1706">
        <f t="shared" si="598"/>
        <v>3072</v>
      </c>
      <c r="CP243" s="1659"/>
      <c r="CQ243" s="1659"/>
      <c r="CR243" s="1659"/>
      <c r="CS243" s="1659"/>
      <c r="CT243" s="1706"/>
      <c r="CU243" s="1659"/>
      <c r="CV243" s="1659"/>
      <c r="CW243" s="1659"/>
      <c r="CX243" s="1659"/>
      <c r="CY243" s="1706"/>
      <c r="CZ243" s="1706"/>
      <c r="DA243" s="1706"/>
      <c r="DB243"/>
      <c r="DC243"/>
      <c r="DD243" s="1437"/>
      <c r="DE243" s="1706"/>
      <c r="DF243" s="1706"/>
      <c r="DG243" s="1706"/>
      <c r="DH243" s="1706"/>
      <c r="DI243" s="1706"/>
      <c r="DJ243" s="1706"/>
      <c r="DK243" s="1706"/>
      <c r="DL243" s="1706"/>
      <c r="DM243" s="1706"/>
      <c r="DN243" s="1706"/>
      <c r="DO243" s="1706"/>
      <c r="DP243" s="1706"/>
      <c r="DQ243" s="1706"/>
      <c r="DR243" s="1706"/>
      <c r="DS243" s="1706"/>
      <c r="DT243" s="1706"/>
      <c r="DU243" s="1706"/>
      <c r="DV243" s="1706"/>
      <c r="DW243" s="1706"/>
      <c r="DX243" s="1706"/>
      <c r="DY243" s="1706"/>
      <c r="EA243"/>
      <c r="EB243"/>
      <c r="EC243"/>
      <c r="ED243"/>
      <c r="EE243"/>
      <c r="EF243"/>
      <c r="EJ243"/>
      <c r="EK243"/>
      <c r="EL243"/>
      <c r="EM243" s="1703"/>
      <c r="ER243" s="212"/>
    </row>
    <row r="244" spans="1:148" s="923" customFormat="1" ht="12.75" customHeight="1" x14ac:dyDescent="0.2">
      <c r="A244" s="1686" t="s">
        <v>2552</v>
      </c>
      <c r="B244" s="872"/>
      <c r="C244" s="872"/>
      <c r="D244" s="872"/>
      <c r="E244" s="872"/>
      <c r="F244" s="872"/>
      <c r="G244" s="872"/>
      <c r="H244" s="872"/>
      <c r="I244" s="872"/>
      <c r="J244" s="872"/>
      <c r="K244" s="872"/>
      <c r="L244" s="872"/>
      <c r="M244" s="1001"/>
      <c r="N244" s="872"/>
      <c r="O244" s="872"/>
      <c r="P244" s="872"/>
      <c r="Q244" s="872"/>
      <c r="R244" s="1001"/>
      <c r="S244" s="872">
        <f t="shared" ref="S244:AX244" si="599">S223/N223-1</f>
        <v>-1.3471937392743993E-2</v>
      </c>
      <c r="T244" s="872">
        <f t="shared" si="599"/>
        <v>-3.6550168411793926E-2</v>
      </c>
      <c r="U244" s="872">
        <f t="shared" si="599"/>
        <v>-3.5294117647058809E-2</v>
      </c>
      <c r="V244" s="872">
        <f t="shared" si="599"/>
        <v>0.20999999999999996</v>
      </c>
      <c r="W244" s="1001">
        <f t="shared" si="599"/>
        <v>3.6615225234007509E-2</v>
      </c>
      <c r="X244" s="872">
        <f t="shared" si="599"/>
        <v>8.2352941176470518E-2</v>
      </c>
      <c r="Y244" s="872">
        <f t="shared" si="599"/>
        <v>-3.2967032967032961E-2</v>
      </c>
      <c r="Z244" s="872">
        <f t="shared" si="599"/>
        <v>4.8780487804878092E-2</v>
      </c>
      <c r="AA244" s="872">
        <f t="shared" si="599"/>
        <v>8.2644628099173278E-3</v>
      </c>
      <c r="AB244" s="1001">
        <f t="shared" si="599"/>
        <v>2.3746701846965701E-2</v>
      </c>
      <c r="AC244" s="872">
        <f t="shared" si="599"/>
        <v>7.6086956521739024E-2</v>
      </c>
      <c r="AD244" s="872">
        <f t="shared" si="599"/>
        <v>0.20454545454545459</v>
      </c>
      <c r="AE244" s="872">
        <f t="shared" si="599"/>
        <v>0.12790697674418605</v>
      </c>
      <c r="AF244" s="872">
        <f t="shared" si="599"/>
        <v>9.0163934426229497E-2</v>
      </c>
      <c r="AG244" s="1001">
        <f t="shared" si="599"/>
        <v>0.12113402061855671</v>
      </c>
      <c r="AH244" s="872">
        <f t="shared" si="599"/>
        <v>0.1212121212121211</v>
      </c>
      <c r="AI244" s="872">
        <f t="shared" si="599"/>
        <v>0.16037735849056611</v>
      </c>
      <c r="AJ244" s="872">
        <f t="shared" si="599"/>
        <v>0.11340206185567014</v>
      </c>
      <c r="AK244" s="872">
        <f t="shared" si="599"/>
        <v>0.16541353383458657</v>
      </c>
      <c r="AL244" s="1001">
        <f t="shared" si="599"/>
        <v>0.14252873563218382</v>
      </c>
      <c r="AM244" s="872">
        <f t="shared" si="599"/>
        <v>0.14414414414414423</v>
      </c>
      <c r="AN244" s="872">
        <f t="shared" si="599"/>
        <v>8.9430894308943021E-2</v>
      </c>
      <c r="AO244" s="872">
        <f t="shared" si="599"/>
        <v>0.10185185185185186</v>
      </c>
      <c r="AP244" s="872">
        <f t="shared" si="599"/>
        <v>0.11612903225806459</v>
      </c>
      <c r="AQ244" s="1001">
        <f t="shared" si="599"/>
        <v>0.11267605633802824</v>
      </c>
      <c r="AR244" s="872">
        <f t="shared" si="599"/>
        <v>5.5118110236220375E-2</v>
      </c>
      <c r="AS244" s="872">
        <f t="shared" si="599"/>
        <v>0.10447761194029859</v>
      </c>
      <c r="AT244" s="872">
        <f t="shared" si="599"/>
        <v>0.13445378151260501</v>
      </c>
      <c r="AU244" s="872">
        <f t="shared" si="599"/>
        <v>0.17341040462427748</v>
      </c>
      <c r="AV244" s="1001">
        <f t="shared" si="599"/>
        <v>0.12115732368896936</v>
      </c>
      <c r="AW244" s="872">
        <f t="shared" si="599"/>
        <v>0.10447761194029859</v>
      </c>
      <c r="AX244" s="872">
        <f t="shared" si="599"/>
        <v>8.783783783783794E-2</v>
      </c>
      <c r="AY244" s="872">
        <f t="shared" ref="AY244:CD244" si="600">AY223/AT223-1</f>
        <v>5.9259259259259345E-2</v>
      </c>
      <c r="AZ244" s="872">
        <f t="shared" si="600"/>
        <v>-9.852216748768472E-2</v>
      </c>
      <c r="BA244" s="1001">
        <f t="shared" si="600"/>
        <v>2.4193548387096753E-2</v>
      </c>
      <c r="BB244" s="872">
        <f t="shared" si="600"/>
        <v>-0.15540540540540537</v>
      </c>
      <c r="BC244" s="872">
        <f t="shared" si="600"/>
        <v>-0.21739130434782605</v>
      </c>
      <c r="BD244" s="872">
        <f t="shared" si="600"/>
        <v>-0.18881118881118886</v>
      </c>
      <c r="BE244" s="872">
        <f t="shared" si="600"/>
        <v>-0.10928961748633881</v>
      </c>
      <c r="BF244" s="1001">
        <f t="shared" si="600"/>
        <v>-0.16535433070866146</v>
      </c>
      <c r="BG244" s="872">
        <f t="shared" si="600"/>
        <v>-0.11199999999999999</v>
      </c>
      <c r="BH244" s="872">
        <f t="shared" si="600"/>
        <v>-3.1746031746031744E-2</v>
      </c>
      <c r="BI244" s="872">
        <f t="shared" si="600"/>
        <v>-6.0344827586206851E-2</v>
      </c>
      <c r="BJ244" s="872">
        <f t="shared" si="600"/>
        <v>-1.8404907975460127E-2</v>
      </c>
      <c r="BK244" s="1001">
        <f t="shared" si="600"/>
        <v>-5.2830188679245271E-2</v>
      </c>
      <c r="BL244" s="872">
        <f t="shared" si="600"/>
        <v>8.1081081081081141E-2</v>
      </c>
      <c r="BM244" s="872">
        <f t="shared" si="600"/>
        <v>0.10655737704918034</v>
      </c>
      <c r="BN244" s="872">
        <f t="shared" si="600"/>
        <v>0.10091743119266061</v>
      </c>
      <c r="BO244" s="872">
        <f t="shared" si="600"/>
        <v>6.8750000000000089E-2</v>
      </c>
      <c r="BP244" s="1001">
        <f t="shared" si="600"/>
        <v>8.7649402390438169E-2</v>
      </c>
      <c r="BQ244" s="872">
        <f t="shared" si="600"/>
        <v>3.3333333333333437E-2</v>
      </c>
      <c r="BR244" s="872">
        <f t="shared" si="600"/>
        <v>4.4444444444444509E-2</v>
      </c>
      <c r="BS244" s="872">
        <f t="shared" si="600"/>
        <v>0.1166666666666667</v>
      </c>
      <c r="BT244" s="872">
        <f t="shared" si="600"/>
        <v>6.4327485380117011E-2</v>
      </c>
      <c r="BU244" s="1001">
        <f t="shared" si="600"/>
        <v>6.4102564102564097E-2</v>
      </c>
      <c r="BV244" s="872">
        <f t="shared" si="600"/>
        <v>0.2338709677419355</v>
      </c>
      <c r="BW244" s="872">
        <f t="shared" si="600"/>
        <v>0.17730496453900702</v>
      </c>
      <c r="BX244" s="872">
        <f t="shared" si="600"/>
        <v>0.11940298507462677</v>
      </c>
      <c r="BY244" s="872">
        <f t="shared" si="600"/>
        <v>-0.1648351648351648</v>
      </c>
      <c r="BZ244" s="1001">
        <f t="shared" si="600"/>
        <v>6.8846815834767705E-2</v>
      </c>
      <c r="CA244" s="872">
        <f t="shared" si="600"/>
        <v>1.3071895424836555E-2</v>
      </c>
      <c r="CB244" s="872">
        <f t="shared" si="600"/>
        <v>6.024096385542177E-2</v>
      </c>
      <c r="CC244" s="872">
        <f t="shared" si="600"/>
        <v>0.18666666666666676</v>
      </c>
      <c r="CD244" s="872">
        <f t="shared" si="600"/>
        <v>7.2368421052631637E-2</v>
      </c>
      <c r="CE244" s="1001">
        <f t="shared" ref="CE244:CM244" si="601">CE223/BZ223-1</f>
        <v>8.212560386473422E-2</v>
      </c>
      <c r="CF244" s="872">
        <f t="shared" si="601"/>
        <v>6.4516129032258007E-2</v>
      </c>
      <c r="CG244" s="872">
        <f t="shared" si="601"/>
        <v>8.5227272727272707E-2</v>
      </c>
      <c r="CH244" s="872">
        <f t="shared" si="601"/>
        <v>-4.49438202247191E-2</v>
      </c>
      <c r="CI244" s="872">
        <f t="shared" si="601"/>
        <v>5.5214723926380271E-2</v>
      </c>
      <c r="CJ244" s="1001">
        <f t="shared" si="601"/>
        <v>3.8690476190476275E-2</v>
      </c>
      <c r="CK244" s="872">
        <f t="shared" si="601"/>
        <v>4.2424242424242475E-2</v>
      </c>
      <c r="CL244" s="872">
        <f t="shared" si="601"/>
        <v>-2.6178010471204161E-2</v>
      </c>
      <c r="CM244" s="872">
        <f t="shared" si="601"/>
        <v>1.1764705882352899E-2</v>
      </c>
      <c r="CN244" s="872">
        <f>CN226/CI223-1</f>
        <v>0.55813953488372103</v>
      </c>
      <c r="CO244" s="1001">
        <f>CO226/CJ223-1</f>
        <v>0.53581661891117482</v>
      </c>
      <c r="CP244" s="872">
        <f t="shared" ref="CP244:CY244" si="602">CP226/CK226-1</f>
        <v>2.7237354085603016E-2</v>
      </c>
      <c r="CQ244" s="872">
        <f t="shared" si="602"/>
        <v>1.4234875444839812E-2</v>
      </c>
      <c r="CR244" s="872">
        <f t="shared" si="602"/>
        <v>1.1278195488721776E-2</v>
      </c>
      <c r="CS244" s="872">
        <f t="shared" si="602"/>
        <v>5.9701492537313383E-2</v>
      </c>
      <c r="CT244" s="1001">
        <f t="shared" si="602"/>
        <v>2.7985074626865725E-2</v>
      </c>
      <c r="CU244" s="872">
        <f t="shared" ca="1" si="602"/>
        <v>6.6653383666018584E-2</v>
      </c>
      <c r="CV244" s="872">
        <f t="shared" ca="1" si="602"/>
        <v>7.9038341538419266E-2</v>
      </c>
      <c r="CW244" s="872">
        <f t="shared" ca="1" si="602"/>
        <v>7.4111022142847149E-2</v>
      </c>
      <c r="CX244" s="872">
        <f t="shared" ca="1" si="602"/>
        <v>7.4455765284009656E-2</v>
      </c>
      <c r="CY244" s="1001">
        <f t="shared" ca="1" si="602"/>
        <v>7.3687588859675968E-2</v>
      </c>
      <c r="CZ244" s="1001">
        <f ca="1">CZ226/CY226-1</f>
        <v>6.4029205545788503E-2</v>
      </c>
      <c r="DA244" s="1001">
        <f ca="1">DA226/CZ226-1</f>
        <v>-5.6241897450567402E-3</v>
      </c>
      <c r="DB244"/>
      <c r="DC244"/>
      <c r="DD244" s="1686" t="s">
        <v>1017</v>
      </c>
      <c r="DE244" s="1001">
        <f t="shared" si="577"/>
        <v>0</v>
      </c>
      <c r="DF244" s="1001">
        <f t="shared" si="578"/>
        <v>0</v>
      </c>
      <c r="DG244" s="1001">
        <f t="shared" si="579"/>
        <v>3.6615225234007509E-2</v>
      </c>
      <c r="DH244" s="1001">
        <f t="shared" si="580"/>
        <v>2.3746701846965701E-2</v>
      </c>
      <c r="DI244" s="1001">
        <f t="shared" si="581"/>
        <v>0.12113402061855671</v>
      </c>
      <c r="DJ244" s="1001">
        <f t="shared" si="582"/>
        <v>0.14252873563218382</v>
      </c>
      <c r="DK244" s="1001">
        <f t="shared" si="583"/>
        <v>0.11267605633802824</v>
      </c>
      <c r="DL244" s="1001">
        <f t="shared" si="584"/>
        <v>0.12115732368896936</v>
      </c>
      <c r="DM244" s="1001">
        <f t="shared" si="585"/>
        <v>2.4193548387096753E-2</v>
      </c>
      <c r="DN244" s="1001">
        <f t="shared" si="586"/>
        <v>-0.16535433070866146</v>
      </c>
      <c r="DO244" s="1001">
        <f t="shared" si="587"/>
        <v>-5.2830188679245271E-2</v>
      </c>
      <c r="DP244" s="1001">
        <f t="shared" si="588"/>
        <v>8.7649402390438169E-2</v>
      </c>
      <c r="DQ244" s="1001">
        <f t="shared" si="589"/>
        <v>6.4102564102564097E-2</v>
      </c>
      <c r="DR244" s="1001">
        <f t="shared" si="590"/>
        <v>6.8846815834767705E-2</v>
      </c>
      <c r="DS244" s="1001">
        <f t="shared" si="591"/>
        <v>8.212560386473422E-2</v>
      </c>
      <c r="DT244" s="1001">
        <f t="shared" si="592"/>
        <v>3.8690476190476275E-2</v>
      </c>
      <c r="DU244" s="1001">
        <f t="shared" si="593"/>
        <v>0.53581661891117482</v>
      </c>
      <c r="DV244" s="1001">
        <f t="shared" si="594"/>
        <v>2.7985074626865725E-2</v>
      </c>
      <c r="DW244" s="1001">
        <f t="shared" ca="1" si="595"/>
        <v>7.3687588859675968E-2</v>
      </c>
      <c r="DX244" s="1001">
        <f t="shared" ca="1" si="596"/>
        <v>6.4029205545788503E-2</v>
      </c>
      <c r="DY244" s="1001">
        <f t="shared" ca="1" si="597"/>
        <v>-5.6241897450567402E-3</v>
      </c>
      <c r="EA244"/>
      <c r="EB244"/>
      <c r="EC244"/>
      <c r="ED244"/>
      <c r="EE244"/>
      <c r="EF244"/>
      <c r="EJ244"/>
      <c r="EK244"/>
      <c r="EL244"/>
      <c r="ER244" s="212"/>
    </row>
    <row r="245" spans="1:148" s="923" customFormat="1" ht="12.75" customHeight="1" x14ac:dyDescent="0.2">
      <c r="A245" s="1686" t="s">
        <v>2555</v>
      </c>
      <c r="B245" s="872"/>
      <c r="C245" s="872"/>
      <c r="D245" s="872"/>
      <c r="E245" s="872"/>
      <c r="F245" s="872"/>
      <c r="G245" s="872"/>
      <c r="H245" s="872"/>
      <c r="I245" s="872"/>
      <c r="J245" s="872"/>
      <c r="K245" s="872"/>
      <c r="L245" s="872"/>
      <c r="M245" s="1003"/>
      <c r="N245" s="872"/>
      <c r="O245" s="872"/>
      <c r="P245" s="872"/>
      <c r="Q245" s="872"/>
      <c r="R245" s="1003"/>
      <c r="S245" s="872"/>
      <c r="T245" s="872"/>
      <c r="U245" s="872"/>
      <c r="V245" s="872"/>
      <c r="W245" s="1003"/>
      <c r="X245" s="872"/>
      <c r="Y245" s="872"/>
      <c r="Z245" s="872"/>
      <c r="AA245" s="872"/>
      <c r="AB245" s="1003"/>
      <c r="AC245" s="872"/>
      <c r="AD245" s="872"/>
      <c r="AE245" s="872"/>
      <c r="AF245" s="872"/>
      <c r="AG245" s="1003"/>
      <c r="AH245" s="872"/>
      <c r="AI245" s="872"/>
      <c r="AJ245" s="872"/>
      <c r="AK245" s="872"/>
      <c r="AL245" s="1003"/>
      <c r="AM245" s="872">
        <f t="shared" ref="AM245:BR245" si="603">AM224/AH224-1</f>
        <v>0.79166666666666674</v>
      </c>
      <c r="AN245" s="872">
        <f t="shared" si="603"/>
        <v>0.77142857142857135</v>
      </c>
      <c r="AO245" s="872">
        <f t="shared" si="603"/>
        <v>0.7567567567567568</v>
      </c>
      <c r="AP245" s="872">
        <f t="shared" si="603"/>
        <v>0.58536585365853666</v>
      </c>
      <c r="AQ245" s="1003">
        <f t="shared" si="603"/>
        <v>0.71532846715328469</v>
      </c>
      <c r="AR245" s="872">
        <f t="shared" si="603"/>
        <v>0.44186046511627897</v>
      </c>
      <c r="AS245" s="872">
        <f t="shared" si="603"/>
        <v>0.16129032258064524</v>
      </c>
      <c r="AT245" s="872">
        <f t="shared" si="603"/>
        <v>7.6923076923076872E-2</v>
      </c>
      <c r="AU245" s="872">
        <f t="shared" si="603"/>
        <v>0.1692307692307693</v>
      </c>
      <c r="AV245" s="1003">
        <f t="shared" si="603"/>
        <v>0.1914893617021276</v>
      </c>
      <c r="AW245" s="872">
        <f t="shared" si="603"/>
        <v>9.6774193548387011E-2</v>
      </c>
      <c r="AX245" s="872">
        <f t="shared" si="603"/>
        <v>4.1666666666666741E-2</v>
      </c>
      <c r="AY245" s="872">
        <f t="shared" si="603"/>
        <v>4.2857142857142927E-2</v>
      </c>
      <c r="AZ245" s="872">
        <f t="shared" si="603"/>
        <v>-6.5789473684210509E-2</v>
      </c>
      <c r="BA245" s="1003">
        <f t="shared" si="603"/>
        <v>2.4999999999999911E-2</v>
      </c>
      <c r="BB245" s="872">
        <f t="shared" si="603"/>
        <v>-0.20588235294117652</v>
      </c>
      <c r="BC245" s="872">
        <f t="shared" si="603"/>
        <v>-0.19999999999999996</v>
      </c>
      <c r="BD245" s="872">
        <f t="shared" si="603"/>
        <v>-0.15068493150684936</v>
      </c>
      <c r="BE245" s="872">
        <f t="shared" si="603"/>
        <v>-8.4507042253521125E-2</v>
      </c>
      <c r="BF245" s="1003">
        <f t="shared" si="603"/>
        <v>-0.16027874564459932</v>
      </c>
      <c r="BG245" s="872">
        <f t="shared" si="603"/>
        <v>0.11111111111111116</v>
      </c>
      <c r="BH245" s="872">
        <f t="shared" si="603"/>
        <v>0.14999999999999991</v>
      </c>
      <c r="BI245" s="872">
        <f t="shared" si="603"/>
        <v>8.0645161290322509E-2</v>
      </c>
      <c r="BJ245" s="872">
        <f t="shared" si="603"/>
        <v>0.13846153846153841</v>
      </c>
      <c r="BK245" s="1003">
        <f t="shared" si="603"/>
        <v>0.1203319502074689</v>
      </c>
      <c r="BL245" s="872">
        <f t="shared" si="603"/>
        <v>0.1166666666666667</v>
      </c>
      <c r="BM245" s="872">
        <f t="shared" si="603"/>
        <v>0.14492753623188404</v>
      </c>
      <c r="BN245" s="872">
        <f t="shared" si="603"/>
        <v>0.20895522388059695</v>
      </c>
      <c r="BO245" s="872">
        <f t="shared" si="603"/>
        <v>0.10810810810810811</v>
      </c>
      <c r="BP245" s="1003">
        <f t="shared" si="603"/>
        <v>0.14444444444444438</v>
      </c>
      <c r="BQ245" s="872">
        <f t="shared" si="603"/>
        <v>0.13432835820895517</v>
      </c>
      <c r="BR245" s="872">
        <f t="shared" si="603"/>
        <v>7.5949367088607556E-2</v>
      </c>
      <c r="BS245" s="872">
        <f t="shared" ref="BS245:CM245" si="604">BS224/BN224-1</f>
        <v>2.4691358024691468E-2</v>
      </c>
      <c r="BT245" s="872">
        <f t="shared" si="604"/>
        <v>6.0975609756097615E-2</v>
      </c>
      <c r="BU245" s="1003">
        <f t="shared" si="604"/>
        <v>7.1197411003236288E-2</v>
      </c>
      <c r="BV245" s="872">
        <f t="shared" si="604"/>
        <v>5.2631578947368363E-2</v>
      </c>
      <c r="BW245" s="872">
        <f t="shared" si="604"/>
        <v>8.2352941176470518E-2</v>
      </c>
      <c r="BX245" s="872">
        <f t="shared" si="604"/>
        <v>0.10843373493975905</v>
      </c>
      <c r="BY245" s="872">
        <f t="shared" si="604"/>
        <v>8.0459770114942541E-2</v>
      </c>
      <c r="BZ245" s="1284">
        <f t="shared" si="604"/>
        <v>8.1570996978852062E-2</v>
      </c>
      <c r="CA245" s="872">
        <f t="shared" si="604"/>
        <v>7.4999999999999956E-2</v>
      </c>
      <c r="CB245" s="872">
        <f t="shared" si="604"/>
        <v>6.5217391304347894E-2</v>
      </c>
      <c r="CC245" s="872">
        <f t="shared" si="604"/>
        <v>5.4347826086956541E-2</v>
      </c>
      <c r="CD245" s="872">
        <f t="shared" si="604"/>
        <v>2.1276595744680771E-2</v>
      </c>
      <c r="CE245" s="1001">
        <f t="shared" si="604"/>
        <v>5.307262569832405E-2</v>
      </c>
      <c r="CF245" s="872">
        <f t="shared" si="604"/>
        <v>-1.1627906976744207E-2</v>
      </c>
      <c r="CG245" s="872">
        <f t="shared" si="604"/>
        <v>-5.1020408163265252E-2</v>
      </c>
      <c r="CH245" s="872">
        <f t="shared" si="604"/>
        <v>-2.0618556701030966E-2</v>
      </c>
      <c r="CI245" s="872">
        <f t="shared" si="604"/>
        <v>-3.125E-2</v>
      </c>
      <c r="CJ245" s="1003">
        <f t="shared" si="604"/>
        <v>-2.917771883289122E-2</v>
      </c>
      <c r="CK245" s="872">
        <f t="shared" si="604"/>
        <v>0</v>
      </c>
      <c r="CL245" s="872">
        <f t="shared" si="604"/>
        <v>2.1505376344086002E-2</v>
      </c>
      <c r="CM245" s="872">
        <f t="shared" si="604"/>
        <v>-1.0526315789473717E-2</v>
      </c>
      <c r="CN245" s="872"/>
      <c r="CO245" s="1003"/>
      <c r="CP245" s="872"/>
      <c r="CQ245" s="872"/>
      <c r="CR245" s="872"/>
      <c r="CS245" s="872"/>
      <c r="CT245" s="1003"/>
      <c r="CU245" s="872"/>
      <c r="CV245" s="872"/>
      <c r="CW245" s="872"/>
      <c r="CX245" s="872"/>
      <c r="CY245" s="1001"/>
      <c r="CZ245" s="1001"/>
      <c r="DA245" s="1001"/>
      <c r="DB245"/>
      <c r="DC245"/>
      <c r="DD245" s="1686" t="s">
        <v>1019</v>
      </c>
      <c r="DE245" s="1001">
        <f t="shared" si="577"/>
        <v>0</v>
      </c>
      <c r="DF245" s="1001">
        <f t="shared" si="578"/>
        <v>0</v>
      </c>
      <c r="DG245" s="1001">
        <f t="shared" si="579"/>
        <v>0</v>
      </c>
      <c r="DH245" s="1001">
        <f t="shared" si="580"/>
        <v>0</v>
      </c>
      <c r="DI245" s="1001">
        <f t="shared" si="581"/>
        <v>0</v>
      </c>
      <c r="DJ245" s="1001">
        <f t="shared" si="582"/>
        <v>0</v>
      </c>
      <c r="DK245" s="1001">
        <f t="shared" si="583"/>
        <v>0.71532846715328469</v>
      </c>
      <c r="DL245" s="1001">
        <f t="shared" si="584"/>
        <v>0.1914893617021276</v>
      </c>
      <c r="DM245" s="1001">
        <f t="shared" si="585"/>
        <v>2.4999999999999911E-2</v>
      </c>
      <c r="DN245" s="1001">
        <f t="shared" si="586"/>
        <v>-0.16027874564459932</v>
      </c>
      <c r="DO245" s="1001">
        <f t="shared" si="587"/>
        <v>0.1203319502074689</v>
      </c>
      <c r="DP245" s="1001">
        <f t="shared" si="588"/>
        <v>0.14444444444444438</v>
      </c>
      <c r="DQ245" s="1001">
        <f t="shared" si="589"/>
        <v>7.1197411003236288E-2</v>
      </c>
      <c r="DR245" s="1001">
        <f t="shared" si="590"/>
        <v>8.1570996978852062E-2</v>
      </c>
      <c r="DS245" s="1001">
        <f t="shared" si="591"/>
        <v>5.307262569832405E-2</v>
      </c>
      <c r="DT245" s="1001">
        <f t="shared" si="592"/>
        <v>-2.917771883289122E-2</v>
      </c>
      <c r="DU245" s="1001">
        <f>CO245</f>
        <v>0</v>
      </c>
      <c r="DV245" s="1001">
        <f>CT245</f>
        <v>0</v>
      </c>
      <c r="DW245" s="1001">
        <f>CY245</f>
        <v>0</v>
      </c>
      <c r="DX245" s="1001">
        <f>CZ245</f>
        <v>0</v>
      </c>
      <c r="DY245" s="1001">
        <f>DA245</f>
        <v>0</v>
      </c>
      <c r="EA245"/>
      <c r="EB245"/>
      <c r="EC245"/>
      <c r="ED245"/>
      <c r="EE245"/>
      <c r="EF245"/>
      <c r="EJ245"/>
      <c r="EK245"/>
      <c r="EL245"/>
      <c r="ER245" s="212"/>
    </row>
    <row r="246" spans="1:148" s="923" customFormat="1" ht="12.75" customHeight="1" x14ac:dyDescent="0.2">
      <c r="A246" s="1686" t="s">
        <v>2553</v>
      </c>
      <c r="B246" s="872"/>
      <c r="C246" s="872"/>
      <c r="D246" s="872"/>
      <c r="E246" s="872"/>
      <c r="F246" s="872"/>
      <c r="G246" s="872"/>
      <c r="H246" s="872"/>
      <c r="I246" s="872"/>
      <c r="J246" s="872"/>
      <c r="K246" s="872"/>
      <c r="L246" s="872"/>
      <c r="M246" s="1001"/>
      <c r="N246" s="872"/>
      <c r="O246" s="872"/>
      <c r="P246" s="872"/>
      <c r="Q246" s="872"/>
      <c r="R246" s="1001"/>
      <c r="S246" s="872">
        <f t="shared" ref="S246:AX246" si="605">S228/N228-1</f>
        <v>-1.6189427440213677E-2</v>
      </c>
      <c r="T246" s="872">
        <f t="shared" si="605"/>
        <v>-4.505491937660322E-2</v>
      </c>
      <c r="U246" s="872">
        <f t="shared" si="605"/>
        <v>0</v>
      </c>
      <c r="V246" s="872">
        <f t="shared" si="605"/>
        <v>0.14285714285714279</v>
      </c>
      <c r="W246" s="1001">
        <f t="shared" si="605"/>
        <v>2.4793816267027591E-2</v>
      </c>
      <c r="X246" s="872">
        <f t="shared" si="605"/>
        <v>1.9607843137254832E-2</v>
      </c>
      <c r="Y246" s="872">
        <f t="shared" si="605"/>
        <v>3.7037037037036979E-2</v>
      </c>
      <c r="Z246" s="872">
        <f t="shared" si="605"/>
        <v>0.10909090909090913</v>
      </c>
      <c r="AA246" s="872">
        <f t="shared" si="605"/>
        <v>5.555555555555558E-2</v>
      </c>
      <c r="AB246" s="1001">
        <f t="shared" si="605"/>
        <v>5.6034482758620774E-2</v>
      </c>
      <c r="AC246" s="872">
        <f t="shared" si="605"/>
        <v>0.17307692307692313</v>
      </c>
      <c r="AD246" s="872">
        <f t="shared" si="605"/>
        <v>0.28571428571428581</v>
      </c>
      <c r="AE246" s="872">
        <f t="shared" si="605"/>
        <v>0.21311475409836067</v>
      </c>
      <c r="AF246" s="872">
        <f t="shared" si="605"/>
        <v>0.17105263157894735</v>
      </c>
      <c r="AG246" s="1001">
        <f t="shared" si="605"/>
        <v>0.2081632653061225</v>
      </c>
      <c r="AH246" s="872">
        <f t="shared" si="605"/>
        <v>0.14754098360655732</v>
      </c>
      <c r="AI246" s="872">
        <f t="shared" si="605"/>
        <v>8.3333333333333259E-2</v>
      </c>
      <c r="AJ246" s="872">
        <f t="shared" si="605"/>
        <v>5.4054054054053946E-2</v>
      </c>
      <c r="AK246" s="872">
        <f t="shared" si="605"/>
        <v>0.15730337078651679</v>
      </c>
      <c r="AL246" s="1001">
        <f t="shared" si="605"/>
        <v>0.1114864864864864</v>
      </c>
      <c r="AM246" s="872">
        <f t="shared" si="605"/>
        <v>0.17142857142857149</v>
      </c>
      <c r="AN246" s="872">
        <f t="shared" si="605"/>
        <v>0.19230769230769229</v>
      </c>
      <c r="AO246" s="872">
        <f t="shared" si="605"/>
        <v>0.20512820512820507</v>
      </c>
      <c r="AP246" s="872">
        <f t="shared" si="605"/>
        <v>0.17475728155339798</v>
      </c>
      <c r="AQ246" s="1001">
        <f t="shared" si="605"/>
        <v>0.18541033434650456</v>
      </c>
      <c r="AR246" s="872">
        <f t="shared" si="605"/>
        <v>0.10975609756097571</v>
      </c>
      <c r="AS246" s="872">
        <f t="shared" si="605"/>
        <v>8.602150537634401E-2</v>
      </c>
      <c r="AT246" s="872">
        <f t="shared" si="605"/>
        <v>0.18085106382978733</v>
      </c>
      <c r="AU246" s="872">
        <f t="shared" si="605"/>
        <v>0.12396694214876036</v>
      </c>
      <c r="AV246" s="1001">
        <f t="shared" si="605"/>
        <v>0.12564102564102564</v>
      </c>
      <c r="AW246" s="872">
        <f t="shared" si="605"/>
        <v>5.4945054945054972E-2</v>
      </c>
      <c r="AX246" s="872">
        <f t="shared" si="605"/>
        <v>8.9108910891089188E-2</v>
      </c>
      <c r="AY246" s="872">
        <f t="shared" ref="AY246:CD246" si="606">AY228/AT228-1</f>
        <v>-2.7027027027026973E-2</v>
      </c>
      <c r="AZ246" s="872">
        <f t="shared" si="606"/>
        <v>7.3529411764705621E-3</v>
      </c>
      <c r="BA246" s="1001">
        <f t="shared" si="606"/>
        <v>2.7334851936218652E-2</v>
      </c>
      <c r="BB246" s="872">
        <f t="shared" si="606"/>
        <v>-8.333333333333337E-2</v>
      </c>
      <c r="BC246" s="872">
        <f t="shared" si="606"/>
        <v>-0.15454545454545454</v>
      </c>
      <c r="BD246" s="872">
        <f t="shared" si="606"/>
        <v>-7.407407407407407E-2</v>
      </c>
      <c r="BE246" s="872">
        <f t="shared" si="606"/>
        <v>-0.13138686131386856</v>
      </c>
      <c r="BF246" s="1001">
        <f t="shared" si="606"/>
        <v>-0.11308203991130816</v>
      </c>
      <c r="BG246" s="872">
        <f t="shared" si="606"/>
        <v>0.19318181818181812</v>
      </c>
      <c r="BH246" s="872">
        <f t="shared" si="606"/>
        <v>0.29032258064516125</v>
      </c>
      <c r="BI246" s="872">
        <f t="shared" si="606"/>
        <v>0.24</v>
      </c>
      <c r="BJ246" s="872">
        <f t="shared" si="606"/>
        <v>0.31092436974789917</v>
      </c>
      <c r="BK246" s="1001">
        <f t="shared" si="606"/>
        <v>0.26249999999999996</v>
      </c>
      <c r="BL246" s="872">
        <f t="shared" si="606"/>
        <v>0.11428571428571432</v>
      </c>
      <c r="BM246" s="872">
        <f t="shared" si="606"/>
        <v>0.125</v>
      </c>
      <c r="BN246" s="872">
        <f t="shared" si="606"/>
        <v>0.12096774193548376</v>
      </c>
      <c r="BO246" s="872">
        <f t="shared" si="606"/>
        <v>0.12179487179487181</v>
      </c>
      <c r="BP246" s="1001">
        <f t="shared" si="606"/>
        <v>0.1207920792079209</v>
      </c>
      <c r="BQ246" s="872">
        <f t="shared" si="606"/>
        <v>7.6923076923076872E-2</v>
      </c>
      <c r="BR246" s="872">
        <f t="shared" si="606"/>
        <v>7.4074074074074181E-2</v>
      </c>
      <c r="BS246" s="872">
        <f t="shared" si="606"/>
        <v>7.1942446043165464E-2</v>
      </c>
      <c r="BT246" s="872">
        <f t="shared" si="606"/>
        <v>6.8571428571428505E-2</v>
      </c>
      <c r="BU246" s="1001">
        <f t="shared" si="606"/>
        <v>7.2438162544169682E-2</v>
      </c>
      <c r="BV246" s="872">
        <f t="shared" si="606"/>
        <v>0.19841269841269837</v>
      </c>
      <c r="BW246" s="872">
        <f t="shared" si="606"/>
        <v>0.22068965517241379</v>
      </c>
      <c r="BX246" s="872">
        <f t="shared" si="606"/>
        <v>0.17449664429530198</v>
      </c>
      <c r="BY246" s="872">
        <f t="shared" si="606"/>
        <v>-0.12834224598930477</v>
      </c>
      <c r="BZ246" s="1001">
        <f t="shared" si="606"/>
        <v>9.7199341021416696E-2</v>
      </c>
      <c r="CA246" s="872">
        <f t="shared" si="606"/>
        <v>7.9470198675496651E-2</v>
      </c>
      <c r="CB246" s="872">
        <f t="shared" si="606"/>
        <v>9.6045197740112886E-2</v>
      </c>
      <c r="CC246" s="872">
        <f t="shared" si="606"/>
        <v>0.15999999999999992</v>
      </c>
      <c r="CD246" s="872">
        <f t="shared" si="606"/>
        <v>0.13496932515337434</v>
      </c>
      <c r="CE246" s="1001">
        <f t="shared" ref="CE246:CM246" si="607">CE228/BZ228-1</f>
        <v>0.11861861861861867</v>
      </c>
      <c r="CF246" s="872">
        <f t="shared" si="607"/>
        <v>0.25153374233128845</v>
      </c>
      <c r="CG246" s="872">
        <f t="shared" si="607"/>
        <v>0.13917525773195871</v>
      </c>
      <c r="CH246" s="872">
        <f t="shared" si="607"/>
        <v>0.11822660098522175</v>
      </c>
      <c r="CI246" s="872">
        <f t="shared" si="607"/>
        <v>8.6486486486486491E-2</v>
      </c>
      <c r="CJ246" s="1001">
        <f t="shared" si="607"/>
        <v>0.14496644295302019</v>
      </c>
      <c r="CK246" s="872">
        <f t="shared" si="607"/>
        <v>1.4705882352941124E-2</v>
      </c>
      <c r="CL246" s="872">
        <f t="shared" si="607"/>
        <v>6.3348416289592757E-2</v>
      </c>
      <c r="CM246" s="872">
        <f t="shared" si="607"/>
        <v>6.6079295154185091E-2</v>
      </c>
      <c r="CN246" s="872">
        <f>CN232/CI232-1</f>
        <v>8.4249084249084172E-2</v>
      </c>
      <c r="CO246" s="1001">
        <f>CO232/CJ232-1</f>
        <v>7.3298429319371694E-2</v>
      </c>
      <c r="CP246" s="3400">
        <f>CP232/CK381-1</f>
        <v>9.6096096096096151E-2</v>
      </c>
      <c r="CQ246" s="3400">
        <f>CQ232/CL381-1</f>
        <v>0.12129380053908356</v>
      </c>
      <c r="CR246" s="3400">
        <f>CR232/CM381-1</f>
        <v>0.12698412698412698</v>
      </c>
      <c r="CS246" s="3400">
        <f>CS232/CN381-1</f>
        <v>0.15449438202247201</v>
      </c>
      <c r="CT246" s="3402">
        <f>CT232/CO381-1</f>
        <v>0.12517385257301816</v>
      </c>
      <c r="CU246" s="872">
        <f>CU232/CP232-1</f>
        <v>0.13888985943358545</v>
      </c>
      <c r="CV246" s="872">
        <f>CV232/CQ232-1</f>
        <v>0.14442425811588433</v>
      </c>
      <c r="CW246" s="872">
        <f>CW232/CR232-1</f>
        <v>0.13638888750383948</v>
      </c>
      <c r="CX246" s="872">
        <f>CX232/CS232-1</f>
        <v>0.12990223270132772</v>
      </c>
      <c r="CY246" s="1001">
        <f>CY232/CT381-1</f>
        <v>0.13737130641925077</v>
      </c>
      <c r="CZ246" s="1001">
        <f>CZ232/CY232-1</f>
        <v>0.11089161774933265</v>
      </c>
      <c r="DA246" s="1001">
        <f>DA232/CZ232-1</f>
        <v>1.999643682638097E-2</v>
      </c>
      <c r="DB246"/>
      <c r="DC246"/>
      <c r="DD246" s="1686" t="s">
        <v>1018</v>
      </c>
      <c r="DE246" s="1001">
        <f t="shared" si="577"/>
        <v>0</v>
      </c>
      <c r="DF246" s="1001">
        <f t="shared" si="578"/>
        <v>0</v>
      </c>
      <c r="DG246" s="1001">
        <f t="shared" si="579"/>
        <v>2.4793816267027591E-2</v>
      </c>
      <c r="DH246" s="1001">
        <f t="shared" si="580"/>
        <v>5.6034482758620774E-2</v>
      </c>
      <c r="DI246" s="1001">
        <f t="shared" si="581"/>
        <v>0.2081632653061225</v>
      </c>
      <c r="DJ246" s="1001">
        <f t="shared" si="582"/>
        <v>0.1114864864864864</v>
      </c>
      <c r="DK246" s="1001">
        <f t="shared" si="583"/>
        <v>0.18541033434650456</v>
      </c>
      <c r="DL246" s="1001">
        <f t="shared" si="584"/>
        <v>0.12564102564102564</v>
      </c>
      <c r="DM246" s="1001">
        <f t="shared" si="585"/>
        <v>2.7334851936218652E-2</v>
      </c>
      <c r="DN246" s="1001">
        <f t="shared" si="586"/>
        <v>-0.11308203991130816</v>
      </c>
      <c r="DO246" s="1001">
        <f t="shared" si="587"/>
        <v>0.26249999999999996</v>
      </c>
      <c r="DP246" s="1001">
        <f t="shared" si="588"/>
        <v>0.1207920792079209</v>
      </c>
      <c r="DQ246" s="1001">
        <f t="shared" si="589"/>
        <v>7.2438162544169682E-2</v>
      </c>
      <c r="DR246" s="1001">
        <f t="shared" si="590"/>
        <v>9.7199341021416696E-2</v>
      </c>
      <c r="DS246" s="1001">
        <f t="shared" si="591"/>
        <v>0.11861861861861867</v>
      </c>
      <c r="DT246" s="1001">
        <f t="shared" si="592"/>
        <v>0.14496644295302019</v>
      </c>
      <c r="DU246" s="1001">
        <f t="shared" si="593"/>
        <v>7.3298429319371694E-2</v>
      </c>
      <c r="DV246" s="1001">
        <f t="shared" si="594"/>
        <v>0.12517385257301816</v>
      </c>
      <c r="DW246" s="1001">
        <f t="shared" si="595"/>
        <v>0.13737130641925077</v>
      </c>
      <c r="DX246" s="1001">
        <f t="shared" si="596"/>
        <v>0.11089161774933265</v>
      </c>
      <c r="DY246" s="1001">
        <f t="shared" si="597"/>
        <v>1.999643682638097E-2</v>
      </c>
      <c r="EA246"/>
      <c r="EB246"/>
      <c r="EC246"/>
      <c r="ED246"/>
      <c r="EE246"/>
      <c r="EF246"/>
      <c r="EJ246"/>
      <c r="EK246"/>
      <c r="EL246"/>
      <c r="ER246" s="212"/>
    </row>
    <row r="247" spans="1:148" s="923" customFormat="1" ht="12.75" customHeight="1" x14ac:dyDescent="0.2">
      <c r="A247" s="1686" t="s">
        <v>2557</v>
      </c>
      <c r="B247" s="872"/>
      <c r="C247" s="872"/>
      <c r="D247" s="872"/>
      <c r="E247" s="872"/>
      <c r="F247" s="872"/>
      <c r="G247" s="872"/>
      <c r="H247" s="872"/>
      <c r="I247" s="872"/>
      <c r="J247" s="872"/>
      <c r="K247" s="872"/>
      <c r="L247" s="872"/>
      <c r="M247" s="1003"/>
      <c r="N247" s="872"/>
      <c r="O247" s="872"/>
      <c r="P247" s="872"/>
      <c r="Q247" s="872"/>
      <c r="R247" s="1003"/>
      <c r="S247" s="872"/>
      <c r="T247" s="872"/>
      <c r="U247" s="872"/>
      <c r="V247" s="872"/>
      <c r="W247" s="1003"/>
      <c r="X247" s="872"/>
      <c r="Y247" s="872"/>
      <c r="Z247" s="872"/>
      <c r="AA247" s="872"/>
      <c r="AB247" s="1003"/>
      <c r="AC247" s="872"/>
      <c r="AD247" s="872"/>
      <c r="AE247" s="872"/>
      <c r="AF247" s="872"/>
      <c r="AG247" s="1003"/>
      <c r="AH247" s="872"/>
      <c r="AI247" s="872"/>
      <c r="AJ247" s="872"/>
      <c r="AK247" s="872"/>
      <c r="AL247" s="1003"/>
      <c r="AM247" s="872">
        <f t="shared" ref="AM247:BR247" si="608">AM229/AH229-1</f>
        <v>-0.16666666666666663</v>
      </c>
      <c r="AN247" s="872">
        <f t="shared" si="608"/>
        <v>0.19230769230769229</v>
      </c>
      <c r="AO247" s="872">
        <f t="shared" si="608"/>
        <v>0.24</v>
      </c>
      <c r="AP247" s="872">
        <f t="shared" si="608"/>
        <v>0.34782608695652173</v>
      </c>
      <c r="AQ247" s="1003">
        <f t="shared" si="608"/>
        <v>0.13461538461538458</v>
      </c>
      <c r="AR247" s="872">
        <f t="shared" si="608"/>
        <v>0.32000000000000006</v>
      </c>
      <c r="AS247" s="872">
        <f t="shared" si="608"/>
        <v>0.19354838709677424</v>
      </c>
      <c r="AT247" s="872">
        <f t="shared" si="608"/>
        <v>0.25806451612903225</v>
      </c>
      <c r="AU247" s="872">
        <f t="shared" si="608"/>
        <v>0.35483870967741926</v>
      </c>
      <c r="AV247" s="1003">
        <f t="shared" si="608"/>
        <v>0.27966101694915246</v>
      </c>
      <c r="AW247" s="872">
        <f t="shared" si="608"/>
        <v>0.18181818181818188</v>
      </c>
      <c r="AX247" s="872">
        <f t="shared" si="608"/>
        <v>0.18918918918918926</v>
      </c>
      <c r="AY247" s="872">
        <f t="shared" si="608"/>
        <v>0.12820512820512819</v>
      </c>
      <c r="AZ247" s="872">
        <f t="shared" si="608"/>
        <v>-0.1428571428571429</v>
      </c>
      <c r="BA247" s="1003">
        <f t="shared" si="608"/>
        <v>7.9470198675496651E-2</v>
      </c>
      <c r="BB247" s="872">
        <f t="shared" si="608"/>
        <v>-0.17948717948717952</v>
      </c>
      <c r="BC247" s="872">
        <f t="shared" si="608"/>
        <v>-0.22727272727272729</v>
      </c>
      <c r="BD247" s="872">
        <f t="shared" si="608"/>
        <v>-0.15909090909090906</v>
      </c>
      <c r="BE247" s="872">
        <f t="shared" si="608"/>
        <v>-2.777777777777779E-2</v>
      </c>
      <c r="BF247" s="1003">
        <f t="shared" si="608"/>
        <v>-0.15337423312883436</v>
      </c>
      <c r="BG247" s="872">
        <f t="shared" si="608"/>
        <v>9.375E-2</v>
      </c>
      <c r="BH247" s="872">
        <f t="shared" si="608"/>
        <v>0.20588235294117641</v>
      </c>
      <c r="BI247" s="872">
        <f t="shared" si="608"/>
        <v>0.16216216216216206</v>
      </c>
      <c r="BJ247" s="872">
        <f t="shared" si="608"/>
        <v>0.19999999999999996</v>
      </c>
      <c r="BK247" s="1003">
        <f t="shared" si="608"/>
        <v>0.16666666666666674</v>
      </c>
      <c r="BL247" s="872">
        <f t="shared" si="608"/>
        <v>0.22857142857142865</v>
      </c>
      <c r="BM247" s="872">
        <f t="shared" si="608"/>
        <v>0.19512195121951215</v>
      </c>
      <c r="BN247" s="872">
        <f t="shared" si="608"/>
        <v>0.11627906976744184</v>
      </c>
      <c r="BO247" s="872">
        <f t="shared" si="608"/>
        <v>0.11904761904761907</v>
      </c>
      <c r="BP247" s="1003">
        <f t="shared" si="608"/>
        <v>0.16149068322981375</v>
      </c>
      <c r="BQ247" s="872">
        <f t="shared" si="608"/>
        <v>4.6511627906976827E-2</v>
      </c>
      <c r="BR247" s="872">
        <f t="shared" si="608"/>
        <v>6.1224489795918435E-2</v>
      </c>
      <c r="BS247" s="872">
        <f t="shared" ref="BS247:CM247" si="609">BS229/BN229-1</f>
        <v>0.10416666666666674</v>
      </c>
      <c r="BT247" s="872">
        <f t="shared" si="609"/>
        <v>6.3829787234042534E-2</v>
      </c>
      <c r="BU247" s="1003">
        <f t="shared" si="609"/>
        <v>6.9518716577540163E-2</v>
      </c>
      <c r="BV247" s="872">
        <f t="shared" si="609"/>
        <v>6.6666666666666652E-2</v>
      </c>
      <c r="BW247" s="872">
        <f t="shared" si="609"/>
        <v>7.6923076923076872E-2</v>
      </c>
      <c r="BX247" s="872">
        <f t="shared" si="609"/>
        <v>5.6603773584905648E-2</v>
      </c>
      <c r="BY247" s="872">
        <f t="shared" si="609"/>
        <v>8.0000000000000071E-2</v>
      </c>
      <c r="BZ247" s="1284">
        <f t="shared" si="609"/>
        <v>7.0000000000000062E-2</v>
      </c>
      <c r="CA247" s="872">
        <f t="shared" si="609"/>
        <v>0.10416666666666674</v>
      </c>
      <c r="CB247" s="872">
        <f t="shared" si="609"/>
        <v>0.10714285714285721</v>
      </c>
      <c r="CC247" s="872">
        <f t="shared" si="609"/>
        <v>0.125</v>
      </c>
      <c r="CD247" s="872">
        <f t="shared" si="609"/>
        <v>7.4074074074074181E-2</v>
      </c>
      <c r="CE247" s="1001">
        <f t="shared" si="609"/>
        <v>0.10280373831775691</v>
      </c>
      <c r="CF247" s="872">
        <f t="shared" si="609"/>
        <v>9.4339622641509413E-2</v>
      </c>
      <c r="CG247" s="872">
        <f t="shared" si="609"/>
        <v>8.0645161290322509E-2</v>
      </c>
      <c r="CH247" s="872">
        <f t="shared" si="609"/>
        <v>7.9365079365079305E-2</v>
      </c>
      <c r="CI247" s="872">
        <f t="shared" si="609"/>
        <v>8.6206896551724199E-2</v>
      </c>
      <c r="CJ247" s="1003">
        <f t="shared" si="609"/>
        <v>8.4745762711864403E-2</v>
      </c>
      <c r="CK247" s="872">
        <f t="shared" si="609"/>
        <v>0.1206896551724137</v>
      </c>
      <c r="CL247" s="872">
        <f t="shared" si="609"/>
        <v>0.14925373134328357</v>
      </c>
      <c r="CM247" s="872">
        <f t="shared" si="609"/>
        <v>8.8025497986178536E-2</v>
      </c>
      <c r="CN247" s="872"/>
      <c r="CO247" s="1003"/>
      <c r="CP247" s="872"/>
      <c r="CQ247" s="872"/>
      <c r="CR247" s="872"/>
      <c r="CS247" s="872"/>
      <c r="CT247" s="1003"/>
      <c r="CU247" s="872"/>
      <c r="CV247" s="872"/>
      <c r="CW247" s="872"/>
      <c r="CX247" s="872"/>
      <c r="CY247" s="1001"/>
      <c r="CZ247" s="1001"/>
      <c r="DA247" s="1001"/>
      <c r="DB247"/>
      <c r="DC247"/>
      <c r="DD247" s="1686" t="s">
        <v>1019</v>
      </c>
      <c r="DE247" s="1001">
        <f t="shared" si="577"/>
        <v>0</v>
      </c>
      <c r="DF247" s="1001">
        <f t="shared" si="578"/>
        <v>0</v>
      </c>
      <c r="DG247" s="1001">
        <f t="shared" si="579"/>
        <v>0</v>
      </c>
      <c r="DH247" s="1001">
        <f t="shared" si="580"/>
        <v>0</v>
      </c>
      <c r="DI247" s="1001">
        <f t="shared" si="581"/>
        <v>0</v>
      </c>
      <c r="DJ247" s="1001">
        <f t="shared" si="582"/>
        <v>0</v>
      </c>
      <c r="DK247" s="1001">
        <f t="shared" si="583"/>
        <v>0.13461538461538458</v>
      </c>
      <c r="DL247" s="1001">
        <f t="shared" si="584"/>
        <v>0.27966101694915246</v>
      </c>
      <c r="DM247" s="1001">
        <f t="shared" si="585"/>
        <v>7.9470198675496651E-2</v>
      </c>
      <c r="DN247" s="1001">
        <f t="shared" si="586"/>
        <v>-0.15337423312883436</v>
      </c>
      <c r="DO247" s="1001">
        <f t="shared" si="587"/>
        <v>0.16666666666666674</v>
      </c>
      <c r="DP247" s="1001">
        <f t="shared" si="588"/>
        <v>0.16149068322981375</v>
      </c>
      <c r="DQ247" s="1001">
        <f t="shared" si="589"/>
        <v>6.9518716577540163E-2</v>
      </c>
      <c r="DR247" s="1001">
        <f t="shared" si="590"/>
        <v>7.0000000000000062E-2</v>
      </c>
      <c r="DS247" s="1001">
        <f t="shared" si="591"/>
        <v>0.10280373831775691</v>
      </c>
      <c r="DT247" s="1001">
        <f t="shared" si="592"/>
        <v>8.4745762711864403E-2</v>
      </c>
      <c r="DU247" s="1001">
        <f>CO247</f>
        <v>0</v>
      </c>
      <c r="DV247" s="1001">
        <f>CT247</f>
        <v>0</v>
      </c>
      <c r="DW247" s="1001">
        <f>CY247</f>
        <v>0</v>
      </c>
      <c r="DX247" s="1001">
        <f>CZ247</f>
        <v>0</v>
      </c>
      <c r="DY247" s="1001">
        <f>DA247</f>
        <v>0</v>
      </c>
      <c r="EA247"/>
      <c r="EB247"/>
      <c r="EC247"/>
      <c r="ED247"/>
      <c r="EE247"/>
      <c r="EF247"/>
      <c r="EJ247"/>
      <c r="EK247"/>
      <c r="EL247"/>
      <c r="ER247" s="212"/>
    </row>
    <row r="248" spans="1:148" s="923" customFormat="1" ht="12.75" customHeight="1" x14ac:dyDescent="0.2">
      <c r="A248" s="1686" t="s">
        <v>2554</v>
      </c>
      <c r="B248" s="872"/>
      <c r="C248" s="872"/>
      <c r="D248" s="872"/>
      <c r="E248" s="872"/>
      <c r="F248" s="872"/>
      <c r="G248" s="872"/>
      <c r="H248" s="872"/>
      <c r="I248" s="872"/>
      <c r="J248" s="872"/>
      <c r="K248" s="872"/>
      <c r="L248" s="872"/>
      <c r="M248" s="1003"/>
      <c r="N248" s="872"/>
      <c r="O248" s="872"/>
      <c r="P248" s="872"/>
      <c r="Q248" s="872"/>
      <c r="R248" s="1003"/>
      <c r="S248" s="872">
        <f t="shared" ref="S248:AX248" si="610">S234/N234-1</f>
        <v>-0.44827586206896552</v>
      </c>
      <c r="T248" s="872">
        <f t="shared" si="610"/>
        <v>-0.23529411764705888</v>
      </c>
      <c r="U248" s="872">
        <f t="shared" si="610"/>
        <v>-0.35897435897435892</v>
      </c>
      <c r="V248" s="872">
        <f t="shared" si="610"/>
        <v>0.43243243243243246</v>
      </c>
      <c r="W248" s="1003">
        <f t="shared" si="610"/>
        <v>-0.19801980198019797</v>
      </c>
      <c r="X248" s="872">
        <f t="shared" si="610"/>
        <v>-9.375E-2</v>
      </c>
      <c r="Y248" s="872">
        <f t="shared" si="610"/>
        <v>-0.46153846153846156</v>
      </c>
      <c r="Z248" s="872">
        <f t="shared" si="610"/>
        <v>-0.28000000000000003</v>
      </c>
      <c r="AA248" s="872">
        <f t="shared" si="610"/>
        <v>-0.35849056603773588</v>
      </c>
      <c r="AB248" s="1003">
        <f t="shared" si="610"/>
        <v>-0.3271604938271605</v>
      </c>
      <c r="AC248" s="872">
        <f t="shared" si="610"/>
        <v>0.13793103448275867</v>
      </c>
      <c r="AD248" s="872">
        <f t="shared" si="610"/>
        <v>0.28571428571428581</v>
      </c>
      <c r="AE248" s="872">
        <f t="shared" si="610"/>
        <v>0.16666666666666674</v>
      </c>
      <c r="AF248" s="872">
        <f t="shared" si="610"/>
        <v>0.52941176470588225</v>
      </c>
      <c r="AG248" s="1003">
        <f t="shared" si="610"/>
        <v>0.30275229357798161</v>
      </c>
      <c r="AH248" s="872">
        <f t="shared" si="610"/>
        <v>0.51515151515151514</v>
      </c>
      <c r="AI248" s="872">
        <f t="shared" si="610"/>
        <v>0.44444444444444442</v>
      </c>
      <c r="AJ248" s="872">
        <f t="shared" si="610"/>
        <v>0.4285714285714286</v>
      </c>
      <c r="AK248" s="872">
        <f t="shared" si="610"/>
        <v>0.32692307692307687</v>
      </c>
      <c r="AL248" s="1003">
        <f t="shared" si="610"/>
        <v>0.41549295774647876</v>
      </c>
      <c r="AM248" s="872">
        <f t="shared" si="610"/>
        <v>0.17999999999999994</v>
      </c>
      <c r="AN248" s="872">
        <f t="shared" si="610"/>
        <v>0.48076923076923084</v>
      </c>
      <c r="AO248" s="872">
        <f t="shared" si="610"/>
        <v>0.6333333333333333</v>
      </c>
      <c r="AP248" s="872">
        <f t="shared" si="610"/>
        <v>0.39130434782608692</v>
      </c>
      <c r="AQ248" s="1003">
        <f t="shared" si="610"/>
        <v>0.39800995024875618</v>
      </c>
      <c r="AR248" s="872">
        <f t="shared" si="610"/>
        <v>0.20338983050847448</v>
      </c>
      <c r="AS248" s="872">
        <f t="shared" si="610"/>
        <v>0.50649350649350655</v>
      </c>
      <c r="AT248" s="872">
        <f t="shared" si="610"/>
        <v>0.14285714285714279</v>
      </c>
      <c r="AU248" s="872">
        <f t="shared" si="610"/>
        <v>0.3125</v>
      </c>
      <c r="AV248" s="1003">
        <f t="shared" si="610"/>
        <v>0.31316725978647697</v>
      </c>
      <c r="AW248" s="872">
        <f t="shared" si="610"/>
        <v>4.2253521126760507E-2</v>
      </c>
      <c r="AX248" s="872">
        <f t="shared" si="610"/>
        <v>-0.11206896551724133</v>
      </c>
      <c r="AY248" s="872">
        <f t="shared" ref="AY248:CD248" si="611">AY234/AT234-1</f>
        <v>-7.1428571428571397E-2</v>
      </c>
      <c r="AZ248" s="872">
        <f t="shared" si="611"/>
        <v>-0.34920634920634919</v>
      </c>
      <c r="BA248" s="1003">
        <f t="shared" si="611"/>
        <v>-0.15718157181571812</v>
      </c>
      <c r="BB248" s="872">
        <f t="shared" si="611"/>
        <v>-0.41891891891891897</v>
      </c>
      <c r="BC248" s="872">
        <f t="shared" si="611"/>
        <v>-0.66019417475728148</v>
      </c>
      <c r="BD248" s="872">
        <f t="shared" si="611"/>
        <v>-0.67307692307692313</v>
      </c>
      <c r="BE248" s="872">
        <f t="shared" si="611"/>
        <v>-0.28048780487804881</v>
      </c>
      <c r="BF248" s="1003">
        <f t="shared" si="611"/>
        <v>-0.50482315112540199</v>
      </c>
      <c r="BG248" s="872">
        <f t="shared" si="611"/>
        <v>-6.9767441860465129E-2</v>
      </c>
      <c r="BH248" s="872">
        <f t="shared" si="611"/>
        <v>0.31428571428571428</v>
      </c>
      <c r="BI248" s="872">
        <f t="shared" si="611"/>
        <v>0.23529411764705888</v>
      </c>
      <c r="BJ248" s="872">
        <f t="shared" si="611"/>
        <v>0.27118644067796605</v>
      </c>
      <c r="BK248" s="1003">
        <f t="shared" si="611"/>
        <v>0.18181818181818188</v>
      </c>
      <c r="BL248" s="872">
        <f t="shared" si="611"/>
        <v>5.0000000000000044E-2</v>
      </c>
      <c r="BM248" s="872">
        <f t="shared" si="611"/>
        <v>8.6956521739130377E-2</v>
      </c>
      <c r="BN248" s="872">
        <f t="shared" si="611"/>
        <v>0.38095238095238093</v>
      </c>
      <c r="BO248" s="872">
        <f t="shared" si="611"/>
        <v>-1.3333333333333308E-2</v>
      </c>
      <c r="BP248" s="1003">
        <f t="shared" si="611"/>
        <v>7.1428571428571397E-2</v>
      </c>
      <c r="BQ248" s="872">
        <f t="shared" si="611"/>
        <v>0.19047619047619047</v>
      </c>
      <c r="BR248" s="872">
        <f t="shared" si="611"/>
        <v>0.12000000000000011</v>
      </c>
      <c r="BS248" s="872">
        <f t="shared" si="611"/>
        <v>0.24137931034482762</v>
      </c>
      <c r="BT248" s="872">
        <f t="shared" si="611"/>
        <v>0.21621621621621623</v>
      </c>
      <c r="BU248" s="1003">
        <f t="shared" si="611"/>
        <v>0.18974358974358974</v>
      </c>
      <c r="BV248" s="872">
        <f t="shared" si="611"/>
        <v>0.32000000000000006</v>
      </c>
      <c r="BW248" s="872">
        <f t="shared" si="611"/>
        <v>0.14285714285714279</v>
      </c>
      <c r="BX248" s="872">
        <f t="shared" si="611"/>
        <v>0.47222222222222232</v>
      </c>
      <c r="BY248" s="872">
        <f t="shared" si="611"/>
        <v>-0.18888888888888888</v>
      </c>
      <c r="BZ248" s="1284">
        <f t="shared" si="611"/>
        <v>0.10344827586206895</v>
      </c>
      <c r="CA248" s="872">
        <f t="shared" si="611"/>
        <v>7.575757575757569E-2</v>
      </c>
      <c r="CB248" s="872">
        <f t="shared" si="611"/>
        <v>0.28125</v>
      </c>
      <c r="CC248" s="872">
        <f t="shared" si="611"/>
        <v>0.26415094339622636</v>
      </c>
      <c r="CD248" s="872">
        <f t="shared" si="611"/>
        <v>0.12328767123287676</v>
      </c>
      <c r="CE248" s="1001">
        <f t="shared" ref="CE248:CM248" si="612">CE234/BZ234-1</f>
        <v>0.1796875</v>
      </c>
      <c r="CF248" s="872">
        <f t="shared" si="612"/>
        <v>0.25352112676056349</v>
      </c>
      <c r="CG248" s="872">
        <f t="shared" si="612"/>
        <v>-1.2195121951219523E-2</v>
      </c>
      <c r="CH248" s="872">
        <f t="shared" si="612"/>
        <v>1.4925373134328401E-2</v>
      </c>
      <c r="CI248" s="872">
        <f t="shared" si="612"/>
        <v>-1.2195121951219523E-2</v>
      </c>
      <c r="CJ248" s="1003">
        <f t="shared" si="612"/>
        <v>5.6291390728476776E-2</v>
      </c>
      <c r="CK248" s="872">
        <f t="shared" si="612"/>
        <v>0.13483146067415741</v>
      </c>
      <c r="CL248" s="872">
        <f t="shared" si="612"/>
        <v>0.16049382716049387</v>
      </c>
      <c r="CM248" s="872">
        <f t="shared" si="612"/>
        <v>0.13235294117647056</v>
      </c>
      <c r="CN248" s="872">
        <f t="shared" ref="CN248:CY248" si="613">CN237/CI237-1</f>
        <v>-6.6666666666667096E-3</v>
      </c>
      <c r="CO248" s="1003">
        <f t="shared" si="613"/>
        <v>6.2381852551984807E-2</v>
      </c>
      <c r="CP248" s="872">
        <f t="shared" si="613"/>
        <v>2.0000000000000018E-2</v>
      </c>
      <c r="CQ248" s="872">
        <f t="shared" si="613"/>
        <v>8.8235294117646967E-2</v>
      </c>
      <c r="CR248" s="872">
        <f t="shared" si="613"/>
        <v>7.0866141732283561E-2</v>
      </c>
      <c r="CS248" s="872">
        <f t="shared" si="613"/>
        <v>0.14093959731543615</v>
      </c>
      <c r="CT248" s="1003">
        <f t="shared" si="613"/>
        <v>8.0071174377224219E-2</v>
      </c>
      <c r="CU248" s="872">
        <f t="shared" si="613"/>
        <v>2.0000000000000018E-2</v>
      </c>
      <c r="CV248" s="872">
        <f t="shared" si="613"/>
        <v>3.0000000000000027E-2</v>
      </c>
      <c r="CW248" s="872">
        <f t="shared" si="613"/>
        <v>3.0000000000000027E-2</v>
      </c>
      <c r="CX248" s="872">
        <f t="shared" si="613"/>
        <v>1.0000000000000009E-2</v>
      </c>
      <c r="CY248" s="1001">
        <f t="shared" si="613"/>
        <v>2.1878088962108633E-2</v>
      </c>
      <c r="CZ248" s="1001">
        <f>CZ237/CY237-1</f>
        <v>5.4999999999999938E-2</v>
      </c>
      <c r="DA248" s="1001">
        <f>DA237/CZ237-1</f>
        <v>-5.0000000000000044E-2</v>
      </c>
      <c r="DB248"/>
      <c r="DC248"/>
      <c r="DD248" s="1686" t="s">
        <v>1019</v>
      </c>
      <c r="DE248" s="1001">
        <f t="shared" si="577"/>
        <v>0</v>
      </c>
      <c r="DF248" s="1001">
        <f t="shared" si="578"/>
        <v>0</v>
      </c>
      <c r="DG248" s="1001">
        <f t="shared" si="579"/>
        <v>-0.19801980198019797</v>
      </c>
      <c r="DH248" s="1001">
        <f t="shared" si="580"/>
        <v>-0.3271604938271605</v>
      </c>
      <c r="DI248" s="1001">
        <f t="shared" si="581"/>
        <v>0.30275229357798161</v>
      </c>
      <c r="DJ248" s="1001">
        <f t="shared" si="582"/>
        <v>0.41549295774647876</v>
      </c>
      <c r="DK248" s="1001">
        <f t="shared" si="583"/>
        <v>0.39800995024875618</v>
      </c>
      <c r="DL248" s="1001">
        <f t="shared" si="584"/>
        <v>0.31316725978647697</v>
      </c>
      <c r="DM248" s="1001">
        <f t="shared" si="585"/>
        <v>-0.15718157181571812</v>
      </c>
      <c r="DN248" s="1001">
        <f t="shared" si="586"/>
        <v>-0.50482315112540199</v>
      </c>
      <c r="DO248" s="1001">
        <f t="shared" si="587"/>
        <v>0.18181818181818188</v>
      </c>
      <c r="DP248" s="1001">
        <f t="shared" si="588"/>
        <v>7.1428571428571397E-2</v>
      </c>
      <c r="DQ248" s="1001">
        <f t="shared" si="589"/>
        <v>0.18974358974358974</v>
      </c>
      <c r="DR248" s="1001">
        <f t="shared" si="590"/>
        <v>0.10344827586206895</v>
      </c>
      <c r="DS248" s="1001">
        <f t="shared" si="591"/>
        <v>0.1796875</v>
      </c>
      <c r="DT248" s="1001">
        <f t="shared" si="592"/>
        <v>5.6291390728476776E-2</v>
      </c>
      <c r="DU248" s="1001">
        <f t="shared" si="593"/>
        <v>6.2381852551984807E-2</v>
      </c>
      <c r="DV248" s="1001">
        <f t="shared" si="594"/>
        <v>8.0071174377224219E-2</v>
      </c>
      <c r="DW248" s="1001">
        <f t="shared" si="595"/>
        <v>2.1878088962108633E-2</v>
      </c>
      <c r="DX248" s="1001">
        <f t="shared" si="596"/>
        <v>5.4999999999999938E-2</v>
      </c>
      <c r="DY248" s="1001">
        <f t="shared" si="597"/>
        <v>-5.0000000000000044E-2</v>
      </c>
      <c r="EA248"/>
      <c r="EB248"/>
      <c r="EC248"/>
      <c r="ED248"/>
      <c r="EE248"/>
      <c r="EF248"/>
      <c r="EJ248"/>
      <c r="EK248"/>
      <c r="EL248"/>
      <c r="ER248" s="212"/>
    </row>
    <row r="249" spans="1:148" s="923" customFormat="1" ht="12.75" customHeight="1" x14ac:dyDescent="0.2">
      <c r="A249" s="1686" t="s">
        <v>2556</v>
      </c>
      <c r="B249" s="872"/>
      <c r="C249" s="872"/>
      <c r="D249" s="872"/>
      <c r="E249" s="872"/>
      <c r="F249" s="872"/>
      <c r="G249" s="872"/>
      <c r="H249" s="872"/>
      <c r="I249" s="872"/>
      <c r="J249" s="872"/>
      <c r="K249" s="872"/>
      <c r="L249" s="872"/>
      <c r="M249" s="1003"/>
      <c r="N249" s="872"/>
      <c r="O249" s="872"/>
      <c r="P249" s="872"/>
      <c r="Q249" s="872"/>
      <c r="R249" s="1003"/>
      <c r="S249" s="872"/>
      <c r="T249" s="872"/>
      <c r="U249" s="872"/>
      <c r="V249" s="872"/>
      <c r="W249" s="1003"/>
      <c r="X249" s="872"/>
      <c r="Y249" s="872"/>
      <c r="Z249" s="872"/>
      <c r="AA249" s="872"/>
      <c r="AB249" s="1003"/>
      <c r="AC249" s="872"/>
      <c r="AD249" s="872"/>
      <c r="AE249" s="872"/>
      <c r="AF249" s="872"/>
      <c r="AG249" s="1003"/>
      <c r="AH249" s="872"/>
      <c r="AI249" s="872"/>
      <c r="AJ249" s="872"/>
      <c r="AK249" s="872"/>
      <c r="AL249" s="1003"/>
      <c r="AM249" s="872">
        <f t="shared" ref="AM249:BR249" si="614">AM235/AH235-1</f>
        <v>1</v>
      </c>
      <c r="AN249" s="872">
        <f t="shared" si="614"/>
        <v>0.60000000000000009</v>
      </c>
      <c r="AO249" s="872">
        <f t="shared" si="614"/>
        <v>0.54545454545454541</v>
      </c>
      <c r="AP249" s="872">
        <f t="shared" si="614"/>
        <v>0.55555555555555558</v>
      </c>
      <c r="AQ249" s="1003">
        <f t="shared" si="614"/>
        <v>0.62962962962962954</v>
      </c>
      <c r="AR249" s="872">
        <f t="shared" si="614"/>
        <v>0.20833333333333326</v>
      </c>
      <c r="AS249" s="872">
        <f t="shared" si="614"/>
        <v>6.25E-2</v>
      </c>
      <c r="AT249" s="872">
        <f t="shared" si="614"/>
        <v>0.23529411764705888</v>
      </c>
      <c r="AU249" s="872">
        <f t="shared" si="614"/>
        <v>0.19047619047619047</v>
      </c>
      <c r="AV249" s="1003">
        <f t="shared" si="614"/>
        <v>0.17424242424242431</v>
      </c>
      <c r="AW249" s="872">
        <f t="shared" si="614"/>
        <v>0.27586206896551735</v>
      </c>
      <c r="AX249" s="872">
        <f t="shared" si="614"/>
        <v>0.17647058823529416</v>
      </c>
      <c r="AY249" s="872">
        <f t="shared" si="614"/>
        <v>4.7619047619047672E-2</v>
      </c>
      <c r="AZ249" s="872">
        <f t="shared" si="614"/>
        <v>-4.0000000000000036E-2</v>
      </c>
      <c r="BA249" s="1003">
        <f t="shared" si="614"/>
        <v>9.0322580645161299E-2</v>
      </c>
      <c r="BB249" s="872">
        <f t="shared" si="614"/>
        <v>-0.32432432432432434</v>
      </c>
      <c r="BC249" s="872">
        <f t="shared" si="614"/>
        <v>-0.35</v>
      </c>
      <c r="BD249" s="872">
        <f t="shared" si="614"/>
        <v>-0.43181818181818177</v>
      </c>
      <c r="BE249" s="872">
        <f t="shared" si="614"/>
        <v>-0.1875</v>
      </c>
      <c r="BF249" s="1003">
        <f t="shared" si="614"/>
        <v>-0.31952662721893488</v>
      </c>
      <c r="BG249" s="872">
        <f t="shared" si="614"/>
        <v>8.0000000000000071E-2</v>
      </c>
      <c r="BH249" s="872">
        <f t="shared" si="614"/>
        <v>0.19230769230769229</v>
      </c>
      <c r="BI249" s="872">
        <f t="shared" si="614"/>
        <v>8.0000000000000071E-2</v>
      </c>
      <c r="BJ249" s="872">
        <f t="shared" si="614"/>
        <v>0.38461538461538458</v>
      </c>
      <c r="BK249" s="1003">
        <f t="shared" si="614"/>
        <v>0.20869565217391295</v>
      </c>
      <c r="BL249" s="872">
        <f t="shared" si="614"/>
        <v>0.11111111111111116</v>
      </c>
      <c r="BM249" s="872">
        <f t="shared" si="614"/>
        <v>3.2258064516129004E-2</v>
      </c>
      <c r="BN249" s="872">
        <f t="shared" si="614"/>
        <v>0.22222222222222232</v>
      </c>
      <c r="BO249" s="872">
        <f t="shared" si="614"/>
        <v>-5.555555555555558E-2</v>
      </c>
      <c r="BP249" s="1003">
        <f t="shared" si="614"/>
        <v>5.0359712230215736E-2</v>
      </c>
      <c r="BQ249" s="872">
        <f t="shared" si="614"/>
        <v>0.30000000000000004</v>
      </c>
      <c r="BR249" s="872">
        <f t="shared" si="614"/>
        <v>0.28125</v>
      </c>
      <c r="BS249" s="872">
        <f t="shared" ref="BS249:CM249" si="615">BS235/BN235-1</f>
        <v>0.18181818181818188</v>
      </c>
      <c r="BT249" s="872">
        <f t="shared" si="615"/>
        <v>0.15686274509803932</v>
      </c>
      <c r="BU249" s="1003">
        <f t="shared" si="615"/>
        <v>0.21917808219178081</v>
      </c>
      <c r="BV249" s="872">
        <f t="shared" si="615"/>
        <v>0.12820512820512819</v>
      </c>
      <c r="BW249" s="872">
        <f t="shared" si="615"/>
        <v>9.7560975609756184E-2</v>
      </c>
      <c r="BX249" s="872">
        <f t="shared" si="615"/>
        <v>0.12820512820512819</v>
      </c>
      <c r="BY249" s="872">
        <f t="shared" si="615"/>
        <v>0.16949152542372881</v>
      </c>
      <c r="BZ249" s="1284">
        <f t="shared" si="615"/>
        <v>0.13483146067415741</v>
      </c>
      <c r="CA249" s="872">
        <f t="shared" si="615"/>
        <v>0.11363636363636354</v>
      </c>
      <c r="CB249" s="872">
        <f t="shared" si="615"/>
        <v>6.6666666666666652E-2</v>
      </c>
      <c r="CC249" s="872">
        <f t="shared" si="615"/>
        <v>4.5454545454545414E-2</v>
      </c>
      <c r="CD249" s="872">
        <f t="shared" si="615"/>
        <v>2.8985507246376718E-2</v>
      </c>
      <c r="CE249" s="1001">
        <f t="shared" si="615"/>
        <v>5.9405940594059459E-2</v>
      </c>
      <c r="CF249" s="872">
        <f t="shared" si="615"/>
        <v>-2.0408163265306145E-2</v>
      </c>
      <c r="CG249" s="872">
        <f t="shared" si="615"/>
        <v>-4.166666666666663E-2</v>
      </c>
      <c r="CH249" s="872">
        <f t="shared" si="615"/>
        <v>2.1739130434782705E-2</v>
      </c>
      <c r="CI249" s="872">
        <f t="shared" si="615"/>
        <v>-2.8169014084507005E-2</v>
      </c>
      <c r="CJ249" s="1003">
        <f t="shared" si="615"/>
        <v>-1.8691588785046731E-2</v>
      </c>
      <c r="CK249" s="872">
        <f t="shared" si="615"/>
        <v>2.0833333333333259E-2</v>
      </c>
      <c r="CL249" s="872">
        <f t="shared" si="615"/>
        <v>-8.6956521739130488E-2</v>
      </c>
      <c r="CM249" s="872">
        <f t="shared" si="615"/>
        <v>6.3829787234042534E-2</v>
      </c>
      <c r="CN249" s="872"/>
      <c r="CO249" s="1003"/>
      <c r="CP249" s="872"/>
      <c r="CQ249" s="872"/>
      <c r="CR249" s="872"/>
      <c r="CS249" s="872"/>
      <c r="CT249" s="1003"/>
      <c r="CU249" s="872"/>
      <c r="CV249" s="872"/>
      <c r="CW249" s="872"/>
      <c r="CX249" s="872"/>
      <c r="CY249" s="1001"/>
      <c r="CZ249" s="1001"/>
      <c r="DA249" s="1001"/>
      <c r="DB249"/>
      <c r="DC249"/>
      <c r="DD249" s="1686" t="s">
        <v>1019</v>
      </c>
      <c r="DE249" s="1001">
        <f t="shared" si="577"/>
        <v>0</v>
      </c>
      <c r="DF249" s="1001">
        <f t="shared" si="578"/>
        <v>0</v>
      </c>
      <c r="DG249" s="1001">
        <f t="shared" si="579"/>
        <v>0</v>
      </c>
      <c r="DH249" s="1001">
        <f t="shared" si="580"/>
        <v>0</v>
      </c>
      <c r="DI249" s="1001">
        <f t="shared" si="581"/>
        <v>0</v>
      </c>
      <c r="DJ249" s="1001">
        <f t="shared" si="582"/>
        <v>0</v>
      </c>
      <c r="DK249" s="1001">
        <f t="shared" si="583"/>
        <v>0.62962962962962954</v>
      </c>
      <c r="DL249" s="1001">
        <f t="shared" si="584"/>
        <v>0.17424242424242431</v>
      </c>
      <c r="DM249" s="1001">
        <f t="shared" si="585"/>
        <v>9.0322580645161299E-2</v>
      </c>
      <c r="DN249" s="1001">
        <f t="shared" si="586"/>
        <v>-0.31952662721893488</v>
      </c>
      <c r="DO249" s="1001">
        <f t="shared" si="587"/>
        <v>0.20869565217391295</v>
      </c>
      <c r="DP249" s="1001">
        <f t="shared" si="588"/>
        <v>5.0359712230215736E-2</v>
      </c>
      <c r="DQ249" s="1001">
        <f t="shared" si="589"/>
        <v>0.21917808219178081</v>
      </c>
      <c r="DR249" s="1001">
        <f t="shared" si="590"/>
        <v>0.13483146067415741</v>
      </c>
      <c r="DS249" s="1001">
        <f t="shared" si="591"/>
        <v>5.9405940594059459E-2</v>
      </c>
      <c r="DT249" s="1001">
        <f t="shared" si="592"/>
        <v>-1.8691588785046731E-2</v>
      </c>
      <c r="DU249" s="1001">
        <f>CO249</f>
        <v>0</v>
      </c>
      <c r="DV249" s="1001">
        <f>CT249</f>
        <v>0</v>
      </c>
      <c r="DW249" s="1001">
        <f t="shared" ref="DW249:DY250" si="616">CY249</f>
        <v>0</v>
      </c>
      <c r="DX249" s="1001">
        <f t="shared" si="616"/>
        <v>0</v>
      </c>
      <c r="DY249" s="1001">
        <f t="shared" si="616"/>
        <v>0</v>
      </c>
      <c r="EA249"/>
      <c r="EB249"/>
      <c r="EC249"/>
      <c r="ED249"/>
      <c r="EE249"/>
      <c r="EF249"/>
      <c r="EJ249"/>
      <c r="EK249"/>
      <c r="EL249"/>
      <c r="ER249" s="212"/>
    </row>
    <row r="250" spans="1:148" s="923" customFormat="1" ht="12.75" customHeight="1" x14ac:dyDescent="0.2">
      <c r="A250" s="1686" t="s">
        <v>2558</v>
      </c>
      <c r="B250" s="872"/>
      <c r="C250" s="872"/>
      <c r="D250" s="872"/>
      <c r="E250" s="872"/>
      <c r="F250" s="872"/>
      <c r="G250" s="872"/>
      <c r="H250" s="872"/>
      <c r="I250" s="872"/>
      <c r="J250" s="872"/>
      <c r="K250" s="872"/>
      <c r="L250" s="872"/>
      <c r="M250" s="1003"/>
      <c r="N250" s="872"/>
      <c r="O250" s="872"/>
      <c r="P250" s="872"/>
      <c r="Q250" s="872"/>
      <c r="R250" s="1003"/>
      <c r="S250" s="872"/>
      <c r="T250" s="872"/>
      <c r="U250" s="872"/>
      <c r="V250" s="872"/>
      <c r="W250" s="1003"/>
      <c r="X250" s="872"/>
      <c r="Y250" s="872"/>
      <c r="Z250" s="872"/>
      <c r="AA250" s="872"/>
      <c r="AB250" s="1003"/>
      <c r="AC250" s="872"/>
      <c r="AD250" s="872"/>
      <c r="AE250" s="872"/>
      <c r="AF250" s="872"/>
      <c r="AG250" s="1003"/>
      <c r="AH250" s="872"/>
      <c r="AI250" s="872"/>
      <c r="AJ250" s="872"/>
      <c r="AK250" s="872"/>
      <c r="AL250" s="1003"/>
      <c r="AM250" s="872">
        <f t="shared" ref="AM250:CE250" si="617">AM240/AH240-1</f>
        <v>0</v>
      </c>
      <c r="AN250" s="872">
        <f t="shared" si="617"/>
        <v>1</v>
      </c>
      <c r="AO250" s="872">
        <f t="shared" si="617"/>
        <v>2.7142857142857144</v>
      </c>
      <c r="AP250" s="872">
        <f t="shared" si="617"/>
        <v>0.76923076923076916</v>
      </c>
      <c r="AQ250" s="1003">
        <f t="shared" si="617"/>
        <v>0.97500000000000009</v>
      </c>
      <c r="AR250" s="872">
        <f t="shared" si="617"/>
        <v>1.2999999999999998</v>
      </c>
      <c r="AS250" s="872">
        <f t="shared" si="617"/>
        <v>0.10000000000000009</v>
      </c>
      <c r="AT250" s="872">
        <f t="shared" si="617"/>
        <v>0.19230769230769229</v>
      </c>
      <c r="AU250" s="872">
        <f t="shared" si="617"/>
        <v>8.6956521739130377E-2</v>
      </c>
      <c r="AV250" s="1003">
        <f t="shared" si="617"/>
        <v>0.27848101265822778</v>
      </c>
      <c r="AW250" s="872">
        <f t="shared" si="617"/>
        <v>0.26086956521739135</v>
      </c>
      <c r="AX250" s="872">
        <f t="shared" si="617"/>
        <v>9.0909090909090828E-2</v>
      </c>
      <c r="AY250" s="872">
        <f t="shared" si="617"/>
        <v>-0.25806451612903225</v>
      </c>
      <c r="AZ250" s="872">
        <f t="shared" si="617"/>
        <v>4.0000000000000036E-2</v>
      </c>
      <c r="BA250" s="1003">
        <f t="shared" si="617"/>
        <v>9.9009900990099098E-3</v>
      </c>
      <c r="BB250" s="872">
        <f t="shared" si="617"/>
        <v>0.10344827586206895</v>
      </c>
      <c r="BC250" s="872">
        <f t="shared" si="617"/>
        <v>0.25</v>
      </c>
      <c r="BD250" s="872">
        <f t="shared" si="617"/>
        <v>0.39130434782608692</v>
      </c>
      <c r="BE250" s="872">
        <f t="shared" si="617"/>
        <v>0.61538461538461542</v>
      </c>
      <c r="BF250" s="1003">
        <f t="shared" si="617"/>
        <v>0.33333333333333326</v>
      </c>
      <c r="BG250" s="872">
        <f t="shared" si="617"/>
        <v>-9.375E-2</v>
      </c>
      <c r="BH250" s="872">
        <f t="shared" si="617"/>
        <v>0</v>
      </c>
      <c r="BI250" s="872">
        <f t="shared" si="617"/>
        <v>-3.125E-2</v>
      </c>
      <c r="BJ250" s="872">
        <f t="shared" si="617"/>
        <v>-0.30952380952380953</v>
      </c>
      <c r="BK250" s="1003">
        <f t="shared" si="617"/>
        <v>-0.125</v>
      </c>
      <c r="BL250" s="872">
        <f t="shared" si="617"/>
        <v>0.10344827586206895</v>
      </c>
      <c r="BM250" s="872">
        <f t="shared" si="617"/>
        <v>3.3333333333333437E-2</v>
      </c>
      <c r="BN250" s="872">
        <f t="shared" si="617"/>
        <v>6.4516129032258007E-2</v>
      </c>
      <c r="BO250" s="872">
        <f t="shared" si="617"/>
        <v>0.17241379310344818</v>
      </c>
      <c r="BP250" s="1003">
        <f t="shared" si="617"/>
        <v>9.243697478991586E-2</v>
      </c>
      <c r="BQ250" s="872">
        <f t="shared" si="617"/>
        <v>0.125</v>
      </c>
      <c r="BR250" s="872">
        <f t="shared" si="617"/>
        <v>0.19354838709677424</v>
      </c>
      <c r="BS250" s="872">
        <f t="shared" si="617"/>
        <v>0.1212121212121211</v>
      </c>
      <c r="BT250" s="872">
        <f t="shared" si="617"/>
        <v>0.23529411764705888</v>
      </c>
      <c r="BU250" s="1003">
        <f t="shared" si="617"/>
        <v>0.1692307692307693</v>
      </c>
      <c r="BV250" s="872">
        <f t="shared" si="617"/>
        <v>8.3333333333333259E-2</v>
      </c>
      <c r="BW250" s="872">
        <f t="shared" si="617"/>
        <v>0</v>
      </c>
      <c r="BX250" s="872">
        <f t="shared" si="617"/>
        <v>0.35135135135135132</v>
      </c>
      <c r="BY250" s="872">
        <f t="shared" si="617"/>
        <v>-2.3809523809523836E-2</v>
      </c>
      <c r="BZ250" s="1284">
        <f t="shared" si="617"/>
        <v>9.8684210526315708E-2</v>
      </c>
      <c r="CA250" s="872">
        <f t="shared" si="617"/>
        <v>0.35897435897435903</v>
      </c>
      <c r="CB250" s="872">
        <f t="shared" si="617"/>
        <v>0.29729729729729737</v>
      </c>
      <c r="CC250" s="872">
        <f t="shared" si="617"/>
        <v>-0.16000000000000003</v>
      </c>
      <c r="CD250" s="872">
        <f t="shared" si="617"/>
        <v>0.53658536585365857</v>
      </c>
      <c r="CE250" s="1001">
        <f t="shared" si="617"/>
        <v>0.23353293413173648</v>
      </c>
      <c r="CF250" s="872"/>
      <c r="CG250" s="872"/>
      <c r="CH250" s="872"/>
      <c r="CI250" s="872"/>
      <c r="CJ250" s="1003"/>
      <c r="CK250" s="872"/>
      <c r="CL250" s="872"/>
      <c r="CM250" s="872"/>
      <c r="CN250" s="872"/>
      <c r="CO250" s="1003"/>
      <c r="CP250" s="872"/>
      <c r="CQ250" s="872"/>
      <c r="CR250" s="872"/>
      <c r="CS250" s="872"/>
      <c r="CT250" s="1003"/>
      <c r="CU250" s="872"/>
      <c r="CV250" s="872"/>
      <c r="CW250" s="872"/>
      <c r="CX250" s="872"/>
      <c r="CY250" s="1001"/>
      <c r="CZ250" s="1001"/>
      <c r="DA250" s="1001"/>
      <c r="DB250"/>
      <c r="DC250"/>
      <c r="DD250" s="1686" t="s">
        <v>1019</v>
      </c>
      <c r="DE250" s="1001">
        <f t="shared" si="577"/>
        <v>0</v>
      </c>
      <c r="DF250" s="1001">
        <f t="shared" si="578"/>
        <v>0</v>
      </c>
      <c r="DG250" s="1001">
        <f t="shared" si="579"/>
        <v>0</v>
      </c>
      <c r="DH250" s="1001">
        <f t="shared" si="580"/>
        <v>0</v>
      </c>
      <c r="DI250" s="1001">
        <f t="shared" si="581"/>
        <v>0</v>
      </c>
      <c r="DJ250" s="1001">
        <f t="shared" si="582"/>
        <v>0</v>
      </c>
      <c r="DK250" s="1001">
        <f t="shared" si="583"/>
        <v>0.97500000000000009</v>
      </c>
      <c r="DL250" s="1001">
        <f t="shared" si="584"/>
        <v>0.27848101265822778</v>
      </c>
      <c r="DM250" s="1001">
        <f t="shared" si="585"/>
        <v>9.9009900990099098E-3</v>
      </c>
      <c r="DN250" s="1001">
        <f t="shared" si="586"/>
        <v>0.33333333333333326</v>
      </c>
      <c r="DO250" s="1001">
        <f t="shared" si="587"/>
        <v>-0.125</v>
      </c>
      <c r="DP250" s="1001">
        <f t="shared" si="588"/>
        <v>9.243697478991586E-2</v>
      </c>
      <c r="DQ250" s="1001">
        <f t="shared" si="589"/>
        <v>0.1692307692307693</v>
      </c>
      <c r="DR250" s="1001">
        <f t="shared" si="590"/>
        <v>9.8684210526315708E-2</v>
      </c>
      <c r="DS250" s="1001">
        <f t="shared" si="591"/>
        <v>0.23353293413173648</v>
      </c>
      <c r="DT250" s="1001">
        <f t="shared" si="592"/>
        <v>0</v>
      </c>
      <c r="DU250" s="1001">
        <f>CO250</f>
        <v>0</v>
      </c>
      <c r="DV250" s="1001">
        <f>CT250</f>
        <v>0</v>
      </c>
      <c r="DW250" s="1001">
        <f t="shared" si="616"/>
        <v>0</v>
      </c>
      <c r="DX250" s="1001">
        <f t="shared" si="616"/>
        <v>0</v>
      </c>
      <c r="DY250" s="1001">
        <f t="shared" si="616"/>
        <v>0</v>
      </c>
      <c r="EA250"/>
      <c r="EB250"/>
      <c r="EC250"/>
      <c r="ED250"/>
      <c r="EE250"/>
      <c r="EF250"/>
      <c r="EJ250"/>
      <c r="EK250"/>
      <c r="EL250"/>
      <c r="ER250" s="212"/>
    </row>
    <row r="251" spans="1:148" s="923" customFormat="1" ht="12.75" customHeight="1" x14ac:dyDescent="0.2">
      <c r="A251" s="1686" t="s">
        <v>1020</v>
      </c>
      <c r="B251" s="872"/>
      <c r="C251" s="872"/>
      <c r="D251" s="872"/>
      <c r="E251" s="872"/>
      <c r="F251" s="872"/>
      <c r="G251" s="872"/>
      <c r="H251" s="872"/>
      <c r="I251" s="872"/>
      <c r="J251" s="872"/>
      <c r="K251" s="872"/>
      <c r="L251" s="872"/>
      <c r="M251" s="1003"/>
      <c r="N251" s="872"/>
      <c r="O251" s="872"/>
      <c r="P251" s="872"/>
      <c r="Q251" s="872"/>
      <c r="R251" s="1003"/>
      <c r="S251" s="872">
        <f t="shared" ref="S251:AX251" si="618">S242/N242-1</f>
        <v>-0.1428571428571429</v>
      </c>
      <c r="T251" s="872">
        <f t="shared" si="618"/>
        <v>-0.1004566210045662</v>
      </c>
      <c r="U251" s="872">
        <f t="shared" si="618"/>
        <v>-9.4972067039106101E-2</v>
      </c>
      <c r="V251" s="872">
        <f t="shared" si="618"/>
        <v>0.22999999999999998</v>
      </c>
      <c r="W251" s="1003">
        <f t="shared" si="618"/>
        <v>-2.6448362720403074E-2</v>
      </c>
      <c r="X251" s="872">
        <f t="shared" si="618"/>
        <v>2.9761904761904656E-2</v>
      </c>
      <c r="Y251" s="872">
        <f t="shared" si="618"/>
        <v>-0.12690355329949243</v>
      </c>
      <c r="Z251" s="872">
        <f t="shared" si="618"/>
        <v>1.8518518518518601E-2</v>
      </c>
      <c r="AA251" s="872">
        <f t="shared" si="618"/>
        <v>-5.6910569105691033E-2</v>
      </c>
      <c r="AB251" s="1003">
        <f t="shared" si="618"/>
        <v>-4.0103492884864145E-2</v>
      </c>
      <c r="AC251" s="872">
        <f t="shared" si="618"/>
        <v>0.11560693641618491</v>
      </c>
      <c r="AD251" s="872">
        <f t="shared" si="618"/>
        <v>0.2441860465116279</v>
      </c>
      <c r="AE251" s="872">
        <f t="shared" si="618"/>
        <v>0.16363636363636358</v>
      </c>
      <c r="AF251" s="872">
        <f t="shared" si="618"/>
        <v>0.18103448275862077</v>
      </c>
      <c r="AG251" s="1003">
        <f t="shared" si="618"/>
        <v>0.17654986522911043</v>
      </c>
      <c r="AH251" s="872">
        <f t="shared" si="618"/>
        <v>0.59067357512953378</v>
      </c>
      <c r="AI251" s="872">
        <f t="shared" si="618"/>
        <v>0.60747663551401865</v>
      </c>
      <c r="AJ251" s="872">
        <f t="shared" si="618"/>
        <v>0.59895833333333326</v>
      </c>
      <c r="AK251" s="872">
        <f t="shared" si="618"/>
        <v>0.57299270072992692</v>
      </c>
      <c r="AL251" s="1003">
        <f t="shared" si="618"/>
        <v>0.59106529209621983</v>
      </c>
      <c r="AM251" s="872">
        <f t="shared" si="618"/>
        <v>0.20521172638436491</v>
      </c>
      <c r="AN251" s="872">
        <f t="shared" si="618"/>
        <v>0.30523255813953498</v>
      </c>
      <c r="AO251" s="872">
        <f t="shared" si="618"/>
        <v>0.36156351791530938</v>
      </c>
      <c r="AP251" s="872">
        <f t="shared" si="618"/>
        <v>0.27842227378190265</v>
      </c>
      <c r="AQ251" s="1003">
        <f t="shared" si="618"/>
        <v>0.28725701943844495</v>
      </c>
      <c r="AR251" s="872">
        <f t="shared" si="618"/>
        <v>0.19729729729729728</v>
      </c>
      <c r="AS251" s="872">
        <f t="shared" si="618"/>
        <v>0.18040089086859679</v>
      </c>
      <c r="AT251" s="872">
        <f t="shared" si="618"/>
        <v>0.15789473684210531</v>
      </c>
      <c r="AU251" s="872">
        <f t="shared" si="618"/>
        <v>0.19419237749546281</v>
      </c>
      <c r="AV251" s="1003">
        <f t="shared" si="618"/>
        <v>0.18288590604026855</v>
      </c>
      <c r="AW251" s="872">
        <f t="shared" si="618"/>
        <v>0.1083521444695259</v>
      </c>
      <c r="AX251" s="872">
        <f t="shared" si="618"/>
        <v>5.0943396226415194E-2</v>
      </c>
      <c r="AY251" s="872">
        <f t="shared" ref="AY251:CD251" si="619">AY242/AT242-1</f>
        <v>6.1983471074380514E-3</v>
      </c>
      <c r="AZ251" s="872">
        <f t="shared" si="619"/>
        <v>-0.11398176291793316</v>
      </c>
      <c r="BA251" s="1003">
        <f t="shared" si="619"/>
        <v>1.4184397163119478E-3</v>
      </c>
      <c r="BB251" s="872">
        <f t="shared" si="619"/>
        <v>-0.18737270875763745</v>
      </c>
      <c r="BC251" s="872">
        <f t="shared" si="619"/>
        <v>-0.27468581687612204</v>
      </c>
      <c r="BD251" s="872">
        <f t="shared" si="619"/>
        <v>-0.20123203285420943</v>
      </c>
      <c r="BE251" s="872">
        <f t="shared" si="619"/>
        <v>-0.10463121783876506</v>
      </c>
      <c r="BF251" s="1003">
        <f t="shared" si="619"/>
        <v>-0.19074598677998111</v>
      </c>
      <c r="BG251" s="872">
        <f t="shared" si="619"/>
        <v>2.0050125313283207E-2</v>
      </c>
      <c r="BH251" s="872">
        <f t="shared" si="619"/>
        <v>0.13613861386138604</v>
      </c>
      <c r="BI251" s="872">
        <f t="shared" si="619"/>
        <v>8.4832904884318827E-2</v>
      </c>
      <c r="BJ251" s="872">
        <f t="shared" si="619"/>
        <v>0.13026819923371646</v>
      </c>
      <c r="BK251" s="1003">
        <f t="shared" si="619"/>
        <v>9.5682613768961478E-2</v>
      </c>
      <c r="BL251" s="872">
        <f t="shared" si="619"/>
        <v>0.10810810810810811</v>
      </c>
      <c r="BM251" s="872">
        <f t="shared" si="619"/>
        <v>0.11328976034858385</v>
      </c>
      <c r="BN251" s="872">
        <f t="shared" si="619"/>
        <v>0.14454976303317535</v>
      </c>
      <c r="BO251" s="872">
        <f t="shared" si="619"/>
        <v>7.4576271186440612E-2</v>
      </c>
      <c r="BP251" s="1003">
        <f t="shared" si="619"/>
        <v>0.10702875399361012</v>
      </c>
      <c r="BQ251" s="872">
        <f t="shared" si="619"/>
        <v>9.9778270509977895E-2</v>
      </c>
      <c r="BR251" s="872">
        <f t="shared" si="619"/>
        <v>9.0019569471624372E-2</v>
      </c>
      <c r="BS251" s="872">
        <f t="shared" si="619"/>
        <v>9.9378881987577605E-2</v>
      </c>
      <c r="BT251" s="872">
        <f t="shared" si="619"/>
        <v>9.9369085173501626E-2</v>
      </c>
      <c r="BU251" s="1003">
        <f t="shared" si="619"/>
        <v>9.7162097162097227E-2</v>
      </c>
      <c r="BV251" s="872">
        <f t="shared" si="619"/>
        <v>0.1713709677419355</v>
      </c>
      <c r="BW251" s="872">
        <f t="shared" si="619"/>
        <v>0.14362657091561948</v>
      </c>
      <c r="BX251" s="872">
        <f t="shared" si="619"/>
        <v>0.16760828625235402</v>
      </c>
      <c r="BY251" s="872">
        <f t="shared" si="619"/>
        <v>-7.3170731707317027E-2</v>
      </c>
      <c r="BZ251" s="1001">
        <f t="shared" si="619"/>
        <v>8.8996054362121768E-2</v>
      </c>
      <c r="CA251" s="872">
        <f t="shared" si="619"/>
        <v>8.43373493975903E-2</v>
      </c>
      <c r="CB251" s="872">
        <f t="shared" si="619"/>
        <v>0.1114599686028257</v>
      </c>
      <c r="CC251" s="872">
        <f t="shared" si="619"/>
        <v>0.1225806451612903</v>
      </c>
      <c r="CD251" s="872">
        <f t="shared" si="619"/>
        <v>0.11145510835913308</v>
      </c>
      <c r="CE251" s="1001">
        <f t="shared" ref="CE251:CO251" si="620">CE242/BZ242-1</f>
        <v>0.10789049919484706</v>
      </c>
      <c r="CF251" s="872">
        <f t="shared" si="620"/>
        <v>4.603174603174609E-2</v>
      </c>
      <c r="CG251" s="872">
        <f t="shared" si="620"/>
        <v>-1.4124293785310327E-3</v>
      </c>
      <c r="CH251" s="872">
        <f t="shared" si="620"/>
        <v>-1.5804597701149392E-2</v>
      </c>
      <c r="CI251" s="872">
        <f t="shared" si="620"/>
        <v>-4.1782729805013963E-2</v>
      </c>
      <c r="CJ251" s="1003">
        <f t="shared" si="620"/>
        <v>-4.7238372093023617E-3</v>
      </c>
      <c r="CK251" s="872">
        <f t="shared" si="620"/>
        <v>4.4006069802731362E-2</v>
      </c>
      <c r="CL251" s="872">
        <f t="shared" si="620"/>
        <v>4.6676096181046622E-2</v>
      </c>
      <c r="CM251" s="872">
        <f t="shared" si="620"/>
        <v>5.5474452554744591E-2</v>
      </c>
      <c r="CN251" s="872">
        <f t="shared" si="620"/>
        <v>3.6337209302325535E-2</v>
      </c>
      <c r="CO251" s="1003">
        <f t="shared" si="620"/>
        <v>4.5637093829864916E-2</v>
      </c>
      <c r="CP251" s="3400">
        <f>CP242/CK243-1</f>
        <v>5.6756756756756843E-2</v>
      </c>
      <c r="CQ251" s="3400">
        <f>CQ242/CL243-1</f>
        <v>7.7411167512690282E-2</v>
      </c>
      <c r="CR251" s="3400">
        <f>CR242/CM243-1</f>
        <v>7.7821011673151697E-2</v>
      </c>
      <c r="CS251" s="3400">
        <f>CS242/CN243-1</f>
        <v>0.11901681759379046</v>
      </c>
      <c r="CT251" s="3401">
        <f>CT242/CO243-1</f>
        <v>8.30078125E-2</v>
      </c>
      <c r="CU251" s="872">
        <f ca="1">CU242/CP242-1</f>
        <v>8.3249733991160646E-2</v>
      </c>
      <c r="CV251" s="872">
        <f ca="1">CV242/CQ242-1</f>
        <v>9.5166570924213767E-2</v>
      </c>
      <c r="CW251" s="872">
        <f ca="1">CW242/CR242-1</f>
        <v>9.1296667909821272E-2</v>
      </c>
      <c r="CX251" s="872">
        <f ca="1">CX242/CS242-1</f>
        <v>8.0907809226479221E-2</v>
      </c>
      <c r="CY251" s="1003">
        <f ca="1">CY242/CT242-1</f>
        <v>8.7691763363303421E-2</v>
      </c>
      <c r="CZ251" s="1001">
        <f ca="1">CZ242/CY242-1</f>
        <v>8.675512564310961E-2</v>
      </c>
      <c r="DA251" s="1001">
        <f ca="1">DA242/CZ242-1</f>
        <v>2.7437560855791965E-4</v>
      </c>
      <c r="DB251"/>
      <c r="DC251"/>
      <c r="DD251" s="1686" t="s">
        <v>1020</v>
      </c>
      <c r="DE251" s="1001">
        <f t="shared" si="577"/>
        <v>0</v>
      </c>
      <c r="DF251" s="1001">
        <f t="shared" si="578"/>
        <v>0</v>
      </c>
      <c r="DG251" s="1001">
        <f t="shared" si="579"/>
        <v>-2.6448362720403074E-2</v>
      </c>
      <c r="DH251" s="1001">
        <f t="shared" si="580"/>
        <v>-4.0103492884864145E-2</v>
      </c>
      <c r="DI251" s="1001">
        <f t="shared" si="581"/>
        <v>0.17654986522911043</v>
      </c>
      <c r="DJ251" s="1001">
        <f t="shared" si="582"/>
        <v>0.59106529209621983</v>
      </c>
      <c r="DK251" s="1001">
        <f t="shared" si="583"/>
        <v>0.28725701943844495</v>
      </c>
      <c r="DL251" s="1001">
        <f t="shared" si="584"/>
        <v>0.18288590604026855</v>
      </c>
      <c r="DM251" s="1001">
        <f t="shared" si="585"/>
        <v>1.4184397163119478E-3</v>
      </c>
      <c r="DN251" s="1001">
        <f t="shared" si="586"/>
        <v>-0.19074598677998111</v>
      </c>
      <c r="DO251" s="1001">
        <f t="shared" si="587"/>
        <v>9.5682613768961478E-2</v>
      </c>
      <c r="DP251" s="1001">
        <f t="shared" si="588"/>
        <v>0.10702875399361012</v>
      </c>
      <c r="DQ251" s="1001">
        <f t="shared" si="589"/>
        <v>9.7162097162097227E-2</v>
      </c>
      <c r="DR251" s="1001">
        <f t="shared" si="590"/>
        <v>8.8996054362121768E-2</v>
      </c>
      <c r="DS251" s="1001">
        <f t="shared" si="591"/>
        <v>0.10789049919484706</v>
      </c>
      <c r="DT251" s="1001">
        <f t="shared" si="592"/>
        <v>-4.7238372093023617E-3</v>
      </c>
      <c r="DU251" s="1001">
        <f t="shared" si="593"/>
        <v>4.5637093829864916E-2</v>
      </c>
      <c r="DV251" s="1001">
        <f t="shared" si="594"/>
        <v>8.30078125E-2</v>
      </c>
      <c r="DW251" s="1001">
        <f t="shared" ca="1" si="595"/>
        <v>8.7691763363303421E-2</v>
      </c>
      <c r="DX251" s="1001">
        <f t="shared" ca="1" si="596"/>
        <v>8.675512564310961E-2</v>
      </c>
      <c r="DY251" s="1001">
        <f t="shared" ca="1" si="597"/>
        <v>2.7437560855791965E-4</v>
      </c>
      <c r="EA251"/>
      <c r="EB251"/>
      <c r="EC251"/>
      <c r="ED251"/>
      <c r="EE251"/>
      <c r="EF251"/>
      <c r="EJ251"/>
      <c r="EK251"/>
      <c r="EL251"/>
      <c r="ER251" s="212"/>
    </row>
    <row r="252" spans="1:148" s="1867" customFormat="1" ht="12.75" customHeight="1" x14ac:dyDescent="0.2">
      <c r="A252" s="1889" t="s">
        <v>358</v>
      </c>
      <c r="B252" s="1981"/>
      <c r="C252" s="1981"/>
      <c r="D252" s="1981"/>
      <c r="E252" s="1981"/>
      <c r="F252" s="1981"/>
      <c r="G252" s="1981"/>
      <c r="H252" s="1981"/>
      <c r="I252" s="1981"/>
      <c r="J252" s="1981"/>
      <c r="K252" s="1981"/>
      <c r="L252" s="1981"/>
      <c r="M252" s="2693"/>
      <c r="N252" s="1981"/>
      <c r="O252" s="1981"/>
      <c r="P252" s="1981"/>
      <c r="Q252" s="1981"/>
      <c r="R252" s="2693"/>
      <c r="S252" s="1981"/>
      <c r="T252" s="1981"/>
      <c r="U252" s="1981"/>
      <c r="V252" s="1981"/>
      <c r="W252" s="2693"/>
      <c r="X252" s="1981"/>
      <c r="Y252" s="1981"/>
      <c r="Z252" s="1981"/>
      <c r="AA252" s="1981"/>
      <c r="AB252" s="2693"/>
      <c r="AC252" s="1981"/>
      <c r="AD252" s="1981"/>
      <c r="AE252" s="1981"/>
      <c r="AF252" s="1981" t="s">
        <v>1134</v>
      </c>
      <c r="AG252" s="2693"/>
      <c r="AH252" s="1981"/>
      <c r="AI252" s="1981" t="s">
        <v>1186</v>
      </c>
      <c r="AJ252" s="1981" t="s">
        <v>1107</v>
      </c>
      <c r="AK252" s="1981" t="s">
        <v>1101</v>
      </c>
      <c r="AL252" s="2693" t="s">
        <v>1102</v>
      </c>
      <c r="AM252" s="1981" t="s">
        <v>1098</v>
      </c>
      <c r="AN252" s="1981" t="s">
        <v>1095</v>
      </c>
      <c r="AO252" s="1981" t="s">
        <v>1219</v>
      </c>
      <c r="AP252" s="1981" t="s">
        <v>1219</v>
      </c>
      <c r="AQ252" s="2693" t="s">
        <v>1220</v>
      </c>
      <c r="AR252" s="1981" t="s">
        <v>1216</v>
      </c>
      <c r="AS252" s="1981" t="s">
        <v>1213</v>
      </c>
      <c r="AT252" s="1981" t="s">
        <v>1067</v>
      </c>
      <c r="AU252" s="1981" t="s">
        <v>1064</v>
      </c>
      <c r="AV252" s="2693" t="s">
        <v>1004</v>
      </c>
      <c r="AW252" s="1981" t="s">
        <v>1061</v>
      </c>
      <c r="AX252" s="1981" t="s">
        <v>1058</v>
      </c>
      <c r="AY252" s="1981" t="s">
        <v>962</v>
      </c>
      <c r="AZ252" s="1981" t="s">
        <v>1111</v>
      </c>
      <c r="BA252" s="2693" t="s">
        <v>1112</v>
      </c>
      <c r="BB252" s="1981" t="s">
        <v>1118</v>
      </c>
      <c r="BC252" s="1981" t="s">
        <v>1186</v>
      </c>
      <c r="BD252" s="1981" t="s">
        <v>1187</v>
      </c>
      <c r="BE252" s="1981" t="s">
        <v>1188</v>
      </c>
      <c r="BF252" s="2693" t="s">
        <v>959</v>
      </c>
      <c r="BG252" s="1981" t="s">
        <v>960</v>
      </c>
      <c r="BH252" s="1981" t="s">
        <v>961</v>
      </c>
      <c r="BI252" s="1981" t="s">
        <v>1115</v>
      </c>
      <c r="BJ252" s="1981" t="s">
        <v>1113</v>
      </c>
      <c r="BK252" s="2693" t="s">
        <v>302</v>
      </c>
      <c r="BL252" s="1981" t="s">
        <v>1359</v>
      </c>
      <c r="BM252" s="1981" t="s">
        <v>1358</v>
      </c>
      <c r="BN252" s="1981" t="s">
        <v>1357</v>
      </c>
      <c r="BO252" s="1981" t="s">
        <v>1356</v>
      </c>
      <c r="BP252" s="2693" t="s">
        <v>303</v>
      </c>
      <c r="BQ252" s="1981" t="s">
        <v>1355</v>
      </c>
      <c r="BR252" s="1981" t="s">
        <v>1851</v>
      </c>
      <c r="BS252" s="1981" t="s">
        <v>1853</v>
      </c>
      <c r="BT252" s="1981" t="s">
        <v>1572</v>
      </c>
      <c r="BU252" s="2693" t="s">
        <v>301</v>
      </c>
      <c r="BV252" s="1981" t="s">
        <v>1760</v>
      </c>
      <c r="BW252" s="1981" t="s">
        <v>1912</v>
      </c>
      <c r="BX252" s="1981" t="s">
        <v>1994</v>
      </c>
      <c r="BY252" s="2160" t="s">
        <v>1994</v>
      </c>
      <c r="BZ252" s="2161" t="s">
        <v>1400</v>
      </c>
      <c r="CA252" s="1981" t="s">
        <v>1624</v>
      </c>
      <c r="CB252" s="2420" t="s">
        <v>393</v>
      </c>
      <c r="CC252" s="2420" t="s">
        <v>2129</v>
      </c>
      <c r="CD252" s="2420" t="s">
        <v>2129</v>
      </c>
      <c r="CE252" s="2421" t="s">
        <v>2274</v>
      </c>
      <c r="CF252" s="2420" t="s">
        <v>393</v>
      </c>
      <c r="CG252" s="2420" t="s">
        <v>2305</v>
      </c>
      <c r="CH252" s="2420" t="s">
        <v>2311</v>
      </c>
      <c r="CI252" s="2420" t="s">
        <v>2329</v>
      </c>
      <c r="CJ252" s="2693" t="s">
        <v>2330</v>
      </c>
      <c r="CK252" s="2420" t="s">
        <v>2396</v>
      </c>
      <c r="CL252" s="2420" t="s">
        <v>2422</v>
      </c>
      <c r="CM252" s="2977" t="s">
        <v>2444</v>
      </c>
      <c r="CN252" s="2977" t="s">
        <v>2570</v>
      </c>
      <c r="CO252" s="2693"/>
      <c r="CP252" s="2977" t="s">
        <v>2681</v>
      </c>
      <c r="CQ252" s="2977" t="s">
        <v>2786</v>
      </c>
      <c r="CR252" s="2420" t="s">
        <v>2874</v>
      </c>
      <c r="CS252" s="2420" t="s">
        <v>2902</v>
      </c>
      <c r="CT252" s="2693" t="s">
        <v>2903</v>
      </c>
      <c r="CU252" s="2977"/>
      <c r="CV252" s="2977"/>
      <c r="CW252" s="2420"/>
      <c r="CX252" s="2420"/>
      <c r="CY252" s="2693" t="s">
        <v>2948</v>
      </c>
      <c r="CZ252" s="1866"/>
      <c r="DA252" s="1866"/>
      <c r="DB252"/>
      <c r="DC252"/>
      <c r="DD252" s="2330" t="s">
        <v>358</v>
      </c>
      <c r="DE252" s="1866">
        <f t="shared" si="577"/>
        <v>0</v>
      </c>
      <c r="DF252" s="1866">
        <f t="shared" si="578"/>
        <v>0</v>
      </c>
      <c r="DG252" s="1866">
        <f t="shared" si="579"/>
        <v>0</v>
      </c>
      <c r="DH252" s="1866">
        <f t="shared" si="580"/>
        <v>0</v>
      </c>
      <c r="DI252" s="1866">
        <f t="shared" si="581"/>
        <v>0</v>
      </c>
      <c r="DJ252" s="1866" t="str">
        <f t="shared" si="582"/>
        <v>Approx. $1,020 million</v>
      </c>
      <c r="DK252" s="1866" t="str">
        <f t="shared" si="583"/>
        <v>$1.204b-$1.214b</v>
      </c>
      <c r="DL252" s="1866" t="str">
        <f t="shared" si="584"/>
        <v>$1.380b-$1.400b</v>
      </c>
      <c r="DM252" s="1866" t="str">
        <f t="shared" si="585"/>
        <v>$1.435b-$1.445b</v>
      </c>
      <c r="DN252" s="1866" t="str">
        <f t="shared" si="586"/>
        <v>$1.03b-$1.06b</v>
      </c>
      <c r="DO252" s="1866" t="str">
        <f t="shared" si="587"/>
        <v>$1166-1176</v>
      </c>
      <c r="DP252" s="1866" t="str">
        <f t="shared" si="588"/>
        <v>$1307-1317</v>
      </c>
      <c r="DQ252" s="1866" t="str">
        <f t="shared" si="589"/>
        <v>$1406-1416</v>
      </c>
      <c r="DR252" s="1866" t="str">
        <f t="shared" si="590"/>
        <v>$1525-1535</v>
      </c>
      <c r="DS252" s="1866" t="str">
        <f t="shared" si="591"/>
        <v>$1,714-$1,724</v>
      </c>
      <c r="DT252" s="1866" t="str">
        <f t="shared" si="592"/>
        <v>$1,876-$1,886</v>
      </c>
      <c r="DU252" s="1866">
        <f t="shared" si="593"/>
        <v>0</v>
      </c>
      <c r="DV252" s="1866" t="str">
        <f t="shared" si="594"/>
        <v>$3,287-3,297m</v>
      </c>
      <c r="DW252" s="1866" t="str">
        <f t="shared" si="595"/>
        <v>$3,535-3,620m</v>
      </c>
      <c r="DX252" s="1866">
        <f t="shared" si="596"/>
        <v>0</v>
      </c>
      <c r="DY252" s="1866">
        <f t="shared" si="597"/>
        <v>0</v>
      </c>
      <c r="EA252"/>
      <c r="EB252"/>
      <c r="EC252"/>
      <c r="ED252"/>
      <c r="EE252"/>
      <c r="EF252"/>
      <c r="EJ252"/>
      <c r="EK252"/>
      <c r="EL252"/>
      <c r="ER252" s="212"/>
    </row>
    <row r="253" spans="1:148" s="923" customFormat="1" ht="12.75" customHeight="1" x14ac:dyDescent="0.2">
      <c r="A253" s="2330" t="s">
        <v>2395</v>
      </c>
      <c r="B253" s="1659"/>
      <c r="C253" s="1659"/>
      <c r="D253" s="1659"/>
      <c r="E253" s="1659"/>
      <c r="F253" s="1659"/>
      <c r="G253" s="1659"/>
      <c r="H253" s="1659"/>
      <c r="I253" s="1659"/>
      <c r="J253" s="1659"/>
      <c r="K253" s="1659"/>
      <c r="L253" s="1659"/>
      <c r="M253" s="1706"/>
      <c r="N253" s="1659"/>
      <c r="O253" s="1659"/>
      <c r="P253" s="1659"/>
      <c r="Q253" s="1659"/>
      <c r="R253" s="1706"/>
      <c r="S253" s="1659"/>
      <c r="T253" s="1659"/>
      <c r="U253" s="1659"/>
      <c r="V253" s="1659"/>
      <c r="W253" s="1706"/>
      <c r="X253" s="1659"/>
      <c r="Y253" s="1659"/>
      <c r="Z253" s="1659"/>
      <c r="AA253" s="1659"/>
      <c r="AB253" s="1706"/>
      <c r="AC253" s="1659"/>
      <c r="AD253" s="1659"/>
      <c r="AE253" s="1659"/>
      <c r="AF253" s="1659"/>
      <c r="AG253" s="1706"/>
      <c r="AH253" s="1659"/>
      <c r="AI253" s="1659"/>
      <c r="AJ253" s="1659"/>
      <c r="AK253" s="1659"/>
      <c r="AL253" s="1706"/>
      <c r="AM253" s="1659"/>
      <c r="AN253" s="1659"/>
      <c r="AO253" s="1659"/>
      <c r="AP253" s="1659"/>
      <c r="AQ253" s="1706"/>
      <c r="AR253" s="1659"/>
      <c r="AS253" s="1659"/>
      <c r="AT253" s="1659"/>
      <c r="AU253" s="1659"/>
      <c r="AV253" s="1706"/>
      <c r="AW253" s="1659"/>
      <c r="AX253" s="1659"/>
      <c r="AY253" s="1659"/>
      <c r="AZ253" s="1659"/>
      <c r="BA253" s="1706"/>
      <c r="BB253" s="1659"/>
      <c r="BC253" s="1659"/>
      <c r="BD253" s="1659"/>
      <c r="BE253" s="1659"/>
      <c r="BF253" s="1706"/>
      <c r="BG253" s="1659"/>
      <c r="BH253" s="1659"/>
      <c r="BI253" s="1659"/>
      <c r="BJ253" s="1659"/>
      <c r="BK253" s="1706"/>
      <c r="BL253" s="1659"/>
      <c r="BM253" s="1659"/>
      <c r="BN253" s="1659"/>
      <c r="BO253" s="1659"/>
      <c r="BP253" s="1706"/>
      <c r="BQ253" s="1659"/>
      <c r="BR253" s="1659"/>
      <c r="BS253" s="1659"/>
      <c r="BT253" s="1659"/>
      <c r="BU253" s="1706"/>
      <c r="BV253" s="1659"/>
      <c r="BW253" s="1659"/>
      <c r="BX253" s="1659"/>
      <c r="BY253" s="1659"/>
      <c r="BZ253" s="1706"/>
      <c r="CA253" s="1659"/>
      <c r="CB253" s="1659"/>
      <c r="CC253" s="1659"/>
      <c r="CD253" s="1659"/>
      <c r="CE253" s="1706"/>
      <c r="CF253" s="1659"/>
      <c r="CG253" s="1659"/>
      <c r="CH253" s="1659"/>
      <c r="CI253" s="1659"/>
      <c r="CJ253" s="1706"/>
      <c r="CK253" s="1659"/>
      <c r="CL253" s="1659"/>
      <c r="CM253" s="1659"/>
      <c r="CN253" s="1659"/>
      <c r="CO253" s="3292">
        <v>2081</v>
      </c>
      <c r="CP253" s="3293"/>
      <c r="CQ253" s="3293"/>
      <c r="CR253" s="3293"/>
      <c r="CS253" s="3293"/>
      <c r="CT253" s="3292">
        <v>2302</v>
      </c>
      <c r="CU253" s="3293"/>
      <c r="CV253" s="3293"/>
      <c r="CW253" s="3293"/>
      <c r="CX253" s="3293"/>
      <c r="CY253" s="3292">
        <v>2552</v>
      </c>
      <c r="CZ253" s="1706"/>
      <c r="DA253" s="1706"/>
      <c r="DB253"/>
      <c r="DC253"/>
      <c r="DD253" s="1437"/>
      <c r="DE253" s="1706"/>
      <c r="DF253" s="1706"/>
      <c r="DG253" s="1706"/>
      <c r="DH253" s="1706"/>
      <c r="DI253" s="1706"/>
      <c r="DJ253" s="1706"/>
      <c r="DK253" s="1706"/>
      <c r="DL253" s="1706"/>
      <c r="DM253" s="1706"/>
      <c r="DN253" s="1706"/>
      <c r="DO253" s="1706"/>
      <c r="DP253" s="1706"/>
      <c r="DQ253" s="1706"/>
      <c r="DR253" s="1706"/>
      <c r="DS253" s="1706"/>
      <c r="DT253" s="1706"/>
      <c r="DU253" s="1706"/>
      <c r="DV253" s="1706"/>
      <c r="DW253" s="1706"/>
      <c r="DX253" s="1706"/>
      <c r="DY253" s="1706"/>
      <c r="EA253"/>
      <c r="EB253"/>
      <c r="EC253"/>
      <c r="ED253"/>
      <c r="EE253"/>
      <c r="EF253"/>
      <c r="EJ253"/>
      <c r="EK253"/>
      <c r="EL253"/>
      <c r="ER253" s="212"/>
    </row>
    <row r="254" spans="1:148" s="923" customFormat="1" ht="12.75" customHeight="1" x14ac:dyDescent="0.2">
      <c r="A254" s="1630" t="s">
        <v>1024</v>
      </c>
      <c r="B254" s="1659"/>
      <c r="C254" s="1659"/>
      <c r="D254" s="1659"/>
      <c r="E254" s="1659"/>
      <c r="F254" s="1659"/>
      <c r="G254" s="1659"/>
      <c r="H254" s="1659"/>
      <c r="I254" s="1659"/>
      <c r="J254" s="1659"/>
      <c r="K254" s="1659"/>
      <c r="L254" s="1659"/>
      <c r="M254" s="1706"/>
      <c r="N254" s="1659"/>
      <c r="O254" s="1659"/>
      <c r="P254" s="1659"/>
      <c r="Q254" s="1659"/>
      <c r="R254" s="1706"/>
      <c r="S254" s="1659"/>
      <c r="T254" s="1659"/>
      <c r="U254" s="1659"/>
      <c r="V254" s="1659"/>
      <c r="W254" s="1706"/>
      <c r="X254" s="1659"/>
      <c r="Y254" s="1659"/>
      <c r="Z254" s="1659"/>
      <c r="AA254" s="1659"/>
      <c r="AB254" s="1706"/>
      <c r="AC254" s="1659"/>
      <c r="AD254" s="1659"/>
      <c r="AE254" s="1659"/>
      <c r="AF254" s="1659"/>
      <c r="AG254" s="1706"/>
      <c r="AH254" s="1659"/>
      <c r="AI254" s="1659"/>
      <c r="AJ254" s="1659"/>
      <c r="AK254" s="1659"/>
      <c r="AL254" s="1706"/>
      <c r="AM254" s="1659"/>
      <c r="AN254" s="1659"/>
      <c r="AO254" s="1659"/>
      <c r="AP254" s="1659"/>
      <c r="AQ254" s="1706"/>
      <c r="AR254" s="1659"/>
      <c r="AS254" s="1659"/>
      <c r="AT254" s="1659"/>
      <c r="AU254" s="1659"/>
      <c r="AV254" s="1706"/>
      <c r="AW254" s="1659"/>
      <c r="AX254" s="1659"/>
      <c r="AY254" s="1659"/>
      <c r="AZ254" s="1659"/>
      <c r="BA254" s="1706"/>
      <c r="BB254" s="1659"/>
      <c r="BC254" s="1659"/>
      <c r="BD254" s="1659"/>
      <c r="BE254" s="1659"/>
      <c r="BF254" s="1706"/>
      <c r="BG254" s="1659"/>
      <c r="BH254" s="1659"/>
      <c r="BI254" s="1659"/>
      <c r="BJ254" s="1659"/>
      <c r="BK254" s="1706"/>
      <c r="BL254" s="1659"/>
      <c r="BM254" s="1659"/>
      <c r="BN254" s="1659"/>
      <c r="BO254" s="1659"/>
      <c r="BP254" s="1706"/>
      <c r="BQ254" s="1659"/>
      <c r="BR254" s="1659"/>
      <c r="BS254" s="1659"/>
      <c r="BT254" s="1659"/>
      <c r="BU254" s="1706"/>
      <c r="BV254" s="1659"/>
      <c r="BW254" s="1659"/>
      <c r="BX254" s="1659"/>
      <c r="BY254" s="1659"/>
      <c r="BZ254" s="1706"/>
      <c r="CA254" s="1659"/>
      <c r="CB254" s="1659"/>
      <c r="CC254" s="1659"/>
      <c r="CD254" s="1659"/>
      <c r="CE254" s="1706"/>
      <c r="CF254" s="1659"/>
      <c r="CG254" s="1659"/>
      <c r="CH254" s="1659"/>
      <c r="CI254" s="1659"/>
      <c r="CJ254" s="1706"/>
      <c r="CK254" s="1659"/>
      <c r="CL254" s="1659"/>
      <c r="CM254" s="1659"/>
      <c r="CN254" s="1659"/>
      <c r="CO254" s="1706"/>
      <c r="CP254" s="1659"/>
      <c r="CQ254" s="1659"/>
      <c r="CR254" s="1659"/>
      <c r="CS254" s="1659"/>
      <c r="CT254" s="1706"/>
      <c r="CU254" s="1659"/>
      <c r="CV254" s="1659"/>
      <c r="CW254" s="1659"/>
      <c r="CX254" s="1659"/>
      <c r="CY254" s="1706"/>
      <c r="CZ254" s="1706"/>
      <c r="DA254" s="1706"/>
      <c r="DB254"/>
      <c r="DC254"/>
      <c r="DD254" s="1630" t="s">
        <v>1024</v>
      </c>
      <c r="DE254" s="1706"/>
      <c r="DF254" s="1706"/>
      <c r="DG254" s="1706"/>
      <c r="DH254" s="1706"/>
      <c r="DI254" s="1706"/>
      <c r="DJ254" s="1706"/>
      <c r="DK254" s="1706"/>
      <c r="DL254" s="1706"/>
      <c r="DM254" s="1706"/>
      <c r="DN254" s="1706"/>
      <c r="DO254" s="1706"/>
      <c r="DP254" s="1706"/>
      <c r="DQ254" s="1706"/>
      <c r="DR254" s="1706"/>
      <c r="DS254" s="1706"/>
      <c r="DT254" s="1706"/>
      <c r="DU254" s="1706"/>
      <c r="DV254" s="1706"/>
      <c r="DW254" s="1706"/>
      <c r="DX254" s="1706"/>
      <c r="DY254" s="1706"/>
      <c r="EA254"/>
      <c r="EB254"/>
      <c r="EC254"/>
      <c r="ED254"/>
      <c r="EE254"/>
      <c r="EF254"/>
      <c r="EJ254"/>
      <c r="EK254"/>
      <c r="EL254"/>
      <c r="ER254" s="212"/>
    </row>
    <row r="255" spans="1:148" s="923" customFormat="1" ht="12.75" customHeight="1" x14ac:dyDescent="0.2">
      <c r="A255" s="507" t="s">
        <v>1025</v>
      </c>
      <c r="B255" s="1703"/>
      <c r="C255" s="1703"/>
      <c r="D255" s="1703"/>
      <c r="E255" s="1703"/>
      <c r="F255" s="1703"/>
      <c r="G255" s="1703"/>
      <c r="H255" s="1703"/>
      <c r="I255" s="1703"/>
      <c r="J255" s="1703"/>
      <c r="K255" s="1703"/>
      <c r="L255" s="1703"/>
      <c r="M255" s="1704"/>
      <c r="N255" s="1703"/>
      <c r="O255" s="1703"/>
      <c r="P255" s="1703"/>
      <c r="Q255" s="1703"/>
      <c r="R255" s="1704"/>
      <c r="S255" s="1703">
        <f t="shared" ref="S255:AX255" si="621">S223*1000000/S261</f>
        <v>386.90706492300552</v>
      </c>
      <c r="T255" s="1703">
        <f t="shared" si="621"/>
        <v>411.66784286050341</v>
      </c>
      <c r="U255" s="1703">
        <f t="shared" si="621"/>
        <v>369.19641249144547</v>
      </c>
      <c r="V255" s="1703">
        <f t="shared" si="621"/>
        <v>535.41481373316867</v>
      </c>
      <c r="W255" s="1704">
        <f t="shared" si="621"/>
        <v>1677.0430942551318</v>
      </c>
      <c r="X255" s="1703">
        <f t="shared" si="621"/>
        <v>404.09541922703573</v>
      </c>
      <c r="Y255" s="1703">
        <f t="shared" si="621"/>
        <v>384.76168822935296</v>
      </c>
      <c r="Z255" s="1703">
        <f t="shared" si="621"/>
        <v>372.70580077574812</v>
      </c>
      <c r="AA255" s="1703">
        <f t="shared" si="621"/>
        <v>522.7570722176041</v>
      </c>
      <c r="AB255" s="1704">
        <f t="shared" si="621"/>
        <v>1662.5388854133637</v>
      </c>
      <c r="AC255" s="1703">
        <f t="shared" si="621"/>
        <v>426.55498681557316</v>
      </c>
      <c r="AD255" s="1703">
        <f t="shared" si="621"/>
        <v>450.83553434643733</v>
      </c>
      <c r="AE255" s="1703">
        <f t="shared" si="621"/>
        <v>407.61097944295966</v>
      </c>
      <c r="AF255" s="1703">
        <f t="shared" si="621"/>
        <v>555.68554047730458</v>
      </c>
      <c r="AG255" s="1704">
        <f t="shared" si="621"/>
        <v>1817.4677451701316</v>
      </c>
      <c r="AH255" s="1703">
        <f t="shared" si="621"/>
        <v>465.15526128315804</v>
      </c>
      <c r="AI255" s="1703">
        <f t="shared" si="621"/>
        <v>496.34600562525475</v>
      </c>
      <c r="AJ255" s="1703">
        <f t="shared" si="621"/>
        <v>444.52127528214754</v>
      </c>
      <c r="AK255" s="1703">
        <f t="shared" si="621"/>
        <v>635.60277696903586</v>
      </c>
      <c r="AL255" s="1704">
        <f t="shared" si="621"/>
        <v>2038.0295493781343</v>
      </c>
      <c r="AM255" s="1703">
        <f t="shared" si="621"/>
        <v>520.03144757100267</v>
      </c>
      <c r="AN255" s="1703">
        <f t="shared" si="621"/>
        <v>543.44299526312375</v>
      </c>
      <c r="AO255" s="1703">
        <f t="shared" si="621"/>
        <v>478.71142149132686</v>
      </c>
      <c r="AP255" s="1703">
        <f t="shared" si="621"/>
        <v>697.6115876107408</v>
      </c>
      <c r="AQ255" s="1704">
        <f t="shared" si="621"/>
        <v>2229.9376182008073</v>
      </c>
      <c r="AR255" s="1703">
        <f t="shared" si="621"/>
        <v>540.34654762912874</v>
      </c>
      <c r="AS255" s="1703">
        <f t="shared" si="621"/>
        <v>594.57570194080756</v>
      </c>
      <c r="AT255" s="1703">
        <f t="shared" si="621"/>
        <v>536.76865271068175</v>
      </c>
      <c r="AU255" s="1703">
        <f t="shared" si="621"/>
        <v>802.81896234660428</v>
      </c>
      <c r="AV255" s="1704">
        <f t="shared" si="621"/>
        <v>2451.9593923886437</v>
      </c>
      <c r="AW255" s="1703">
        <f t="shared" si="621"/>
        <v>586.7381324283823</v>
      </c>
      <c r="AX255" s="1703">
        <f t="shared" si="621"/>
        <v>637.39404808564041</v>
      </c>
      <c r="AY255" s="1703">
        <f t="shared" ref="AY255:CD255" si="622">AY223*1000000/AY261</f>
        <v>561.74478716550652</v>
      </c>
      <c r="AZ255" s="1703">
        <f t="shared" si="622"/>
        <v>714.95825503303263</v>
      </c>
      <c r="BA255" s="1704">
        <f t="shared" si="622"/>
        <v>2480.8660762075178</v>
      </c>
      <c r="BB255" s="1703">
        <f t="shared" si="622"/>
        <v>482.10428879975314</v>
      </c>
      <c r="BC255" s="1703">
        <f t="shared" si="622"/>
        <v>483.33454806301762</v>
      </c>
      <c r="BD255" s="1703">
        <f t="shared" si="622"/>
        <v>443.73209292362071</v>
      </c>
      <c r="BE255" s="1703">
        <f t="shared" si="622"/>
        <v>616.18021192062997</v>
      </c>
      <c r="BF255" s="1704">
        <f t="shared" si="622"/>
        <v>2003.5307504167722</v>
      </c>
      <c r="BG255" s="1703">
        <f t="shared" si="622"/>
        <v>417.38581113856083</v>
      </c>
      <c r="BH255" s="1703">
        <f t="shared" si="622"/>
        <v>457.40851829634073</v>
      </c>
      <c r="BI255" s="1703">
        <f t="shared" si="622"/>
        <v>406.75587930172333</v>
      </c>
      <c r="BJ255" s="1703">
        <f t="shared" si="622"/>
        <v>595.19380998437612</v>
      </c>
      <c r="BK255" s="1704">
        <f t="shared" si="622"/>
        <v>1867.4205788259801</v>
      </c>
      <c r="BL255" s="1703">
        <f t="shared" si="622"/>
        <v>442.02151171357008</v>
      </c>
      <c r="BM255" s="1703">
        <f t="shared" si="622"/>
        <v>495.72938316576455</v>
      </c>
      <c r="BN255" s="1703">
        <f t="shared" si="622"/>
        <v>440.57068589512949</v>
      </c>
      <c r="BO255" s="1703">
        <f t="shared" si="622"/>
        <v>624.79904124404436</v>
      </c>
      <c r="BP255" s="1704">
        <f t="shared" si="622"/>
        <v>1994.972377305545</v>
      </c>
      <c r="BQ255" s="1703">
        <f t="shared" si="622"/>
        <v>455.26807579479157</v>
      </c>
      <c r="BR255" s="1703">
        <f t="shared" si="622"/>
        <v>519.81375183870284</v>
      </c>
      <c r="BS255" s="1703">
        <f t="shared" si="622"/>
        <v>495.27822439060452</v>
      </c>
      <c r="BT255" s="1703">
        <f t="shared" si="622"/>
        <v>650.44369552087312</v>
      </c>
      <c r="BU255" s="1704">
        <f t="shared" si="622"/>
        <v>2076.4164126243259</v>
      </c>
      <c r="BV255" s="1703">
        <f t="shared" si="622"/>
        <v>544.58282464077115</v>
      </c>
      <c r="BW255" s="1703">
        <f t="shared" si="622"/>
        <v>594.65171678816432</v>
      </c>
      <c r="BX255" s="1703">
        <f t="shared" si="622"/>
        <v>538.37733072519427</v>
      </c>
      <c r="BY255" s="1703">
        <f t="shared" si="622"/>
        <v>545.08420116475884</v>
      </c>
      <c r="BZ255" s="1704">
        <f t="shared" si="622"/>
        <v>2226.9558481797058</v>
      </c>
      <c r="CA255" s="1703">
        <f t="shared" si="622"/>
        <v>555.30278332085391</v>
      </c>
      <c r="CB255" s="1703">
        <f t="shared" si="622"/>
        <v>613.39643881544782</v>
      </c>
      <c r="CC255" s="1703">
        <f t="shared" si="622"/>
        <v>623.26021113815023</v>
      </c>
      <c r="CD255" s="1703">
        <f t="shared" si="622"/>
        <v>566.68648331056158</v>
      </c>
      <c r="CE255" s="1704">
        <f t="shared" ref="CE255:CM255" si="623">CE223*1000000/CE261</f>
        <v>2336.2780170840329</v>
      </c>
      <c r="CF255" s="1703">
        <f t="shared" si="623"/>
        <v>572.61445348288407</v>
      </c>
      <c r="CG255" s="1703">
        <f t="shared" si="623"/>
        <v>642.5654171965308</v>
      </c>
      <c r="CH255" s="1703">
        <f t="shared" si="623"/>
        <v>569.98397339180701</v>
      </c>
      <c r="CI255" s="1703">
        <f t="shared" si="623"/>
        <v>572.75103644627961</v>
      </c>
      <c r="CJ255" s="1704">
        <f t="shared" si="623"/>
        <v>2324.3036246482743</v>
      </c>
      <c r="CK255" s="1703">
        <f t="shared" si="623"/>
        <v>573.00671950321646</v>
      </c>
      <c r="CL255" s="1703">
        <f t="shared" si="623"/>
        <v>621.5725786239185</v>
      </c>
      <c r="CM255" s="1703">
        <f t="shared" si="623"/>
        <v>573.78279652394372</v>
      </c>
      <c r="CN255" s="1703">
        <f t="shared" ref="CN255:DA255" si="624">CN226*1000000/CN261</f>
        <v>513.85096788047974</v>
      </c>
      <c r="CO255" s="1704">
        <f t="shared" si="624"/>
        <v>2055.403871521919</v>
      </c>
      <c r="CP255" s="1703">
        <f>CP226*1000000/CP261</f>
        <v>504.86023594566632</v>
      </c>
      <c r="CQ255" s="1703">
        <f t="shared" si="624"/>
        <v>541.09985665600288</v>
      </c>
      <c r="CR255" s="1703">
        <f t="shared" si="624"/>
        <v>506.13762427654308</v>
      </c>
      <c r="CS255" s="1703">
        <f t="shared" si="624"/>
        <v>529.4822819194851</v>
      </c>
      <c r="CT255" s="1704">
        <f t="shared" si="624"/>
        <v>2054.5404037861713</v>
      </c>
      <c r="CU255" s="1703">
        <f ca="1">CU226*1000000/CU261</f>
        <v>518.77498473422759</v>
      </c>
      <c r="CV255" s="1703">
        <f ca="1">CV226*1000000/CV261</f>
        <v>559.58837590820031</v>
      </c>
      <c r="CW255" s="1703">
        <f ca="1">CW226*1000000/CW261</f>
        <v>521.01719750375173</v>
      </c>
      <c r="CX255" s="1703">
        <f ca="1">CX226*1000000/CX261</f>
        <v>545.16472276580782</v>
      </c>
      <c r="CY255" s="1704">
        <f ca="1">CY226*1000000/CY261</f>
        <v>2113.8803031253424</v>
      </c>
      <c r="CZ255" s="1704">
        <f t="shared" ca="1" si="624"/>
        <v>2155.5497154586078</v>
      </c>
      <c r="DA255" s="1704">
        <f t="shared" ca="1" si="624"/>
        <v>2114.9197961583995</v>
      </c>
      <c r="DB255"/>
      <c r="DC255"/>
      <c r="DD255" s="2295" t="s">
        <v>1025</v>
      </c>
      <c r="DE255" s="2292">
        <f>M255</f>
        <v>0</v>
      </c>
      <c r="DF255" s="2292">
        <f>R255</f>
        <v>0</v>
      </c>
      <c r="DG255" s="2292">
        <f>W255</f>
        <v>1677.0430942551318</v>
      </c>
      <c r="DH255" s="2292">
        <f>AB255</f>
        <v>1662.5388854133637</v>
      </c>
      <c r="DI255" s="2292">
        <f>AG255</f>
        <v>1817.4677451701316</v>
      </c>
      <c r="DJ255" s="2292">
        <f>AL255</f>
        <v>2038.0295493781343</v>
      </c>
      <c r="DK255" s="2292">
        <f>AQ255</f>
        <v>2229.9376182008073</v>
      </c>
      <c r="DL255" s="2292">
        <f>AV255</f>
        <v>2451.9593923886437</v>
      </c>
      <c r="DM255" s="2292">
        <f>BA255</f>
        <v>2480.8660762075178</v>
      </c>
      <c r="DN255" s="2292">
        <f>BF255</f>
        <v>2003.5307504167722</v>
      </c>
      <c r="DO255" s="2292">
        <f>BK255</f>
        <v>1867.4205788259801</v>
      </c>
      <c r="DP255" s="2292">
        <f>BP255</f>
        <v>1994.972377305545</v>
      </c>
      <c r="DQ255" s="2292">
        <f>BU255</f>
        <v>2076.4164126243259</v>
      </c>
      <c r="DR255" s="2292">
        <f>BZ255</f>
        <v>2226.9558481797058</v>
      </c>
      <c r="DS255" s="2292">
        <f>CE255</f>
        <v>2336.2780170840329</v>
      </c>
      <c r="DT255" s="2292">
        <f>CJ255</f>
        <v>2324.3036246482743</v>
      </c>
      <c r="DU255" s="2292">
        <f>CO255</f>
        <v>2055.403871521919</v>
      </c>
      <c r="DV255" s="2292">
        <f>CT255</f>
        <v>2054.5404037861713</v>
      </c>
      <c r="DW255" s="2292">
        <f t="shared" ref="DW255:DY258" ca="1" si="625">CY255</f>
        <v>2113.8803031253424</v>
      </c>
      <c r="DX255" s="2292">
        <f t="shared" ca="1" si="625"/>
        <v>2155.5497154586078</v>
      </c>
      <c r="DY255" s="2292">
        <f t="shared" ca="1" si="625"/>
        <v>2114.9197961583995</v>
      </c>
      <c r="EA255"/>
      <c r="EB255"/>
      <c r="EC255"/>
      <c r="ED255"/>
      <c r="EE255"/>
      <c r="EF255"/>
      <c r="EJ255"/>
      <c r="EK255"/>
      <c r="EL255"/>
      <c r="ER255" s="212"/>
    </row>
    <row r="256" spans="1:148" s="923" customFormat="1" ht="12.75" customHeight="1" x14ac:dyDescent="0.2">
      <c r="A256" s="507" t="s">
        <v>1026</v>
      </c>
      <c r="B256" s="1389"/>
      <c r="C256" s="1389"/>
      <c r="D256" s="1389"/>
      <c r="E256" s="1389"/>
      <c r="F256" s="1389"/>
      <c r="G256" s="1389"/>
      <c r="H256" s="1389"/>
      <c r="I256" s="1389"/>
      <c r="J256" s="1389"/>
      <c r="K256" s="1389"/>
      <c r="L256" s="1389"/>
      <c r="M256" s="1707"/>
      <c r="N256" s="1389"/>
      <c r="O256" s="1389"/>
      <c r="P256" s="1389"/>
      <c r="Q256" s="1389"/>
      <c r="R256" s="1707"/>
      <c r="S256" s="1389">
        <f t="shared" ref="S256:AX256" si="626">S228*1000000/S262</f>
        <v>248.97602507335029</v>
      </c>
      <c r="T256" s="1389">
        <f t="shared" si="626"/>
        <v>259.11583917543584</v>
      </c>
      <c r="U256" s="1389">
        <f t="shared" si="626"/>
        <v>257.16196060278764</v>
      </c>
      <c r="V256" s="1389">
        <f t="shared" si="626"/>
        <v>328.19166393173612</v>
      </c>
      <c r="W256" s="1707">
        <f t="shared" si="626"/>
        <v>1057.5064726689275</v>
      </c>
      <c r="X256" s="1389">
        <f t="shared" si="626"/>
        <v>231.02794105233227</v>
      </c>
      <c r="Y256" s="1389">
        <f t="shared" si="626"/>
        <v>242.70897893199381</v>
      </c>
      <c r="Z256" s="1389">
        <f t="shared" si="626"/>
        <v>258.3924600232977</v>
      </c>
      <c r="AA256" s="1389">
        <f t="shared" si="626"/>
        <v>317.13179329683538</v>
      </c>
      <c r="AB256" s="1707">
        <f t="shared" si="626"/>
        <v>1022.3327547069034</v>
      </c>
      <c r="AC256" s="1389">
        <f t="shared" si="626"/>
        <v>248.95723649304961</v>
      </c>
      <c r="AD256" s="1389">
        <f t="shared" si="626"/>
        <v>290.0968198136128</v>
      </c>
      <c r="AE256" s="1389">
        <f t="shared" si="626"/>
        <v>297.1171605235686</v>
      </c>
      <c r="AF256" s="1389">
        <f t="shared" si="626"/>
        <v>394.30254967547569</v>
      </c>
      <c r="AG256" s="1707">
        <f t="shared" si="626"/>
        <v>1311.3882551004585</v>
      </c>
      <c r="AH256" s="1389">
        <f t="shared" si="626"/>
        <v>306.49864702740098</v>
      </c>
      <c r="AI256" s="1389">
        <f t="shared" si="626"/>
        <v>348.64698152170996</v>
      </c>
      <c r="AJ256" s="1389">
        <f t="shared" si="626"/>
        <v>342.73812610126595</v>
      </c>
      <c r="AK256" s="1389">
        <f t="shared" si="626"/>
        <v>443.87368130731574</v>
      </c>
      <c r="AL256" s="1707">
        <f t="shared" si="626"/>
        <v>1417.8101082534647</v>
      </c>
      <c r="AM256" s="1389">
        <f t="shared" si="626"/>
        <v>346.15806759369485</v>
      </c>
      <c r="AN256" s="1389">
        <f t="shared" si="626"/>
        <v>389.52879581151831</v>
      </c>
      <c r="AO256" s="1389">
        <f t="shared" si="626"/>
        <v>390.53574025218637</v>
      </c>
      <c r="AP256" s="1389">
        <f t="shared" si="626"/>
        <v>497.25891161942025</v>
      </c>
      <c r="AQ256" s="1707">
        <f t="shared" si="626"/>
        <v>1602.735334971685</v>
      </c>
      <c r="AR256" s="1389">
        <f t="shared" si="626"/>
        <v>371.91433709334643</v>
      </c>
      <c r="AS256" s="1389">
        <f t="shared" si="626"/>
        <v>407.2859833133723</v>
      </c>
      <c r="AT256" s="1389">
        <f t="shared" si="626"/>
        <v>438.98329886062083</v>
      </c>
      <c r="AU256" s="1389">
        <f t="shared" si="626"/>
        <v>524.49507707378029</v>
      </c>
      <c r="AV256" s="1707">
        <f t="shared" si="626"/>
        <v>1693.0392561425701</v>
      </c>
      <c r="AW256" s="1389">
        <f t="shared" si="626"/>
        <v>366.7719862613327</v>
      </c>
      <c r="AX256" s="1389">
        <f t="shared" si="626"/>
        <v>411.09508255536701</v>
      </c>
      <c r="AY256" s="1389">
        <f t="shared" ref="AY256:CD256" si="627">AY228*1000000/AY262</f>
        <v>398.637251174688</v>
      </c>
      <c r="AZ256" s="1389">
        <f t="shared" si="627"/>
        <v>490.80545832990009</v>
      </c>
      <c r="BA256" s="1707">
        <f t="shared" si="627"/>
        <v>1615.7172387356566</v>
      </c>
      <c r="BB256" s="1389">
        <f t="shared" si="627"/>
        <v>310.13325157093067</v>
      </c>
      <c r="BC256" s="1389">
        <f t="shared" si="627"/>
        <v>321.19581547473086</v>
      </c>
      <c r="BD256" s="1389">
        <f t="shared" si="627"/>
        <v>334.99939700108541</v>
      </c>
      <c r="BE256" s="1389">
        <f t="shared" si="627"/>
        <v>391.10129523546601</v>
      </c>
      <c r="BF256" s="1707">
        <f t="shared" si="627"/>
        <v>1314.6262024721545</v>
      </c>
      <c r="BG256" s="1389">
        <f t="shared" si="627"/>
        <v>338.77087473866249</v>
      </c>
      <c r="BH256" s="1389">
        <f t="shared" si="627"/>
        <v>382.28857052746264</v>
      </c>
      <c r="BI256" s="1389">
        <f t="shared" si="627"/>
        <v>391.26716921358457</v>
      </c>
      <c r="BJ256" s="1389">
        <f t="shared" si="627"/>
        <v>485.53812252367777</v>
      </c>
      <c r="BK256" s="1707">
        <f t="shared" si="627"/>
        <v>1571.7740504772903</v>
      </c>
      <c r="BL256" s="1389">
        <f t="shared" si="627"/>
        <v>361.9511953670247</v>
      </c>
      <c r="BM256" s="1389">
        <f t="shared" si="627"/>
        <v>414.98367730869251</v>
      </c>
      <c r="BN256" s="1389">
        <f t="shared" si="627"/>
        <v>422.62214235981259</v>
      </c>
      <c r="BO256" s="1389">
        <f t="shared" si="627"/>
        <v>526.10060246034709</v>
      </c>
      <c r="BP256" s="1707">
        <f t="shared" si="627"/>
        <v>1701.5596628146081</v>
      </c>
      <c r="BQ256" s="1389">
        <f t="shared" si="627"/>
        <v>376.15645720324687</v>
      </c>
      <c r="BR256" s="1389">
        <f t="shared" si="627"/>
        <v>429.00169825499859</v>
      </c>
      <c r="BS256" s="1389">
        <f t="shared" si="627"/>
        <v>437.33618237799345</v>
      </c>
      <c r="BT256" s="1389">
        <f t="shared" si="627"/>
        <v>543.10890640519995</v>
      </c>
      <c r="BU256" s="1707">
        <f t="shared" si="627"/>
        <v>1762.9257015398734</v>
      </c>
      <c r="BV256" s="1389">
        <f t="shared" si="627"/>
        <v>436.73553205089269</v>
      </c>
      <c r="BW256" s="1389">
        <f t="shared" si="627"/>
        <v>503.9031139504296</v>
      </c>
      <c r="BX256" s="1389">
        <f t="shared" si="627"/>
        <v>491.4819162739492</v>
      </c>
      <c r="BY256" s="1389">
        <f t="shared" si="627"/>
        <v>452.28026948134828</v>
      </c>
      <c r="BZ256" s="1707">
        <f t="shared" si="627"/>
        <v>1847.9672360403556</v>
      </c>
      <c r="CA256" s="1389">
        <f t="shared" si="627"/>
        <v>447.72962624190035</v>
      </c>
      <c r="CB256" s="1389">
        <f t="shared" si="627"/>
        <v>521.0291668904764</v>
      </c>
      <c r="CC256" s="1389">
        <f t="shared" si="627"/>
        <v>535.26132881920819</v>
      </c>
      <c r="CD256" s="1389">
        <f t="shared" si="627"/>
        <v>476.03853596278151</v>
      </c>
      <c r="CE256" s="1707">
        <f t="shared" ref="CE256:CM256" si="628">CE228*1000000/CE262</f>
        <v>1917.0200502284986</v>
      </c>
      <c r="CF256" s="1389">
        <f t="shared" si="628"/>
        <v>514.0442430824512</v>
      </c>
      <c r="CG256" s="1389">
        <f t="shared" si="628"/>
        <v>543.65206267988492</v>
      </c>
      <c r="CH256" s="1389">
        <f t="shared" si="628"/>
        <v>545.89222115608914</v>
      </c>
      <c r="CI256" s="1389">
        <f t="shared" si="628"/>
        <v>477.99442102033976</v>
      </c>
      <c r="CJ256" s="1707">
        <f t="shared" si="628"/>
        <v>2028.5036872156707</v>
      </c>
      <c r="CK256" s="1389">
        <f t="shared" si="628"/>
        <v>483.4009004801315</v>
      </c>
      <c r="CL256" s="1389">
        <f t="shared" si="628"/>
        <v>533.89797777621266</v>
      </c>
      <c r="CM256" s="1389">
        <f t="shared" si="628"/>
        <v>540.01102336551833</v>
      </c>
      <c r="CN256" s="1389">
        <f t="shared" ref="CN256:DA256" si="629">CN232*1000000/CN262</f>
        <v>481.76691270416092</v>
      </c>
      <c r="CO256" s="1707">
        <f t="shared" si="629"/>
        <v>2001.9368331963444</v>
      </c>
      <c r="CP256" s="1389">
        <f t="shared" si="629"/>
        <v>584.77752019084573</v>
      </c>
      <c r="CQ256" s="1389">
        <f t="shared" ca="1" si="629"/>
        <v>655.64469101167867</v>
      </c>
      <c r="CR256" s="1389">
        <f t="shared" ca="1" si="629"/>
        <v>655.67512990371119</v>
      </c>
      <c r="CS256" s="1389">
        <f t="shared" ca="1" si="629"/>
        <v>619.71227859610292</v>
      </c>
      <c r="CT256" s="1707">
        <f t="shared" ca="1" si="629"/>
        <v>2439.6459045462152</v>
      </c>
      <c r="CU256" s="1389">
        <f>CU232*1000000/CU262</f>
        <v>615.84280504345963</v>
      </c>
      <c r="CV256" s="1389">
        <f ca="1">CV232*1000000/CV262</f>
        <v>697.54027108690195</v>
      </c>
      <c r="CW256" s="1389">
        <f ca="1">CW232*1000000/CW262</f>
        <v>693.57656054065217</v>
      </c>
      <c r="CX256" s="1389">
        <f ca="1">CX232*1000000/CX262</f>
        <v>654.21484852924186</v>
      </c>
      <c r="CY256" s="1707">
        <f ca="1">CY232*1000000/CY262</f>
        <v>2592.4983772979595</v>
      </c>
      <c r="CZ256" s="1707">
        <f t="shared" ca="1" si="629"/>
        <v>2690.3496010966637</v>
      </c>
      <c r="DA256" s="1707">
        <f t="shared" ca="1" si="629"/>
        <v>2650.5220095445638</v>
      </c>
      <c r="DB256"/>
      <c r="DC256"/>
      <c r="DD256" s="2295" t="s">
        <v>1026</v>
      </c>
      <c r="DE256" s="2331">
        <f>M256</f>
        <v>0</v>
      </c>
      <c r="DF256" s="2331">
        <f>R256</f>
        <v>0</v>
      </c>
      <c r="DG256" s="2331">
        <f>W256</f>
        <v>1057.5064726689275</v>
      </c>
      <c r="DH256" s="2331">
        <f>AB256</f>
        <v>1022.3327547069034</v>
      </c>
      <c r="DI256" s="2331">
        <f>AG256</f>
        <v>1311.3882551004585</v>
      </c>
      <c r="DJ256" s="2331">
        <f>AL256</f>
        <v>1417.8101082534647</v>
      </c>
      <c r="DK256" s="2331">
        <f>AQ256</f>
        <v>1602.735334971685</v>
      </c>
      <c r="DL256" s="2331">
        <f>AV256</f>
        <v>1693.0392561425701</v>
      </c>
      <c r="DM256" s="2331">
        <f>BA256</f>
        <v>1615.7172387356566</v>
      </c>
      <c r="DN256" s="2331">
        <f>BF256</f>
        <v>1314.6262024721545</v>
      </c>
      <c r="DO256" s="2331">
        <f>BK256</f>
        <v>1571.7740504772903</v>
      </c>
      <c r="DP256" s="2331">
        <f>BP256</f>
        <v>1701.5596628146081</v>
      </c>
      <c r="DQ256" s="2331">
        <f>BU256</f>
        <v>1762.9257015398734</v>
      </c>
      <c r="DR256" s="2331">
        <f>BZ256</f>
        <v>1847.9672360403556</v>
      </c>
      <c r="DS256" s="2331">
        <f>CE256</f>
        <v>1917.0200502284986</v>
      </c>
      <c r="DT256" s="2331">
        <f>CJ256</f>
        <v>2028.5036872156707</v>
      </c>
      <c r="DU256" s="2331">
        <f>CO256</f>
        <v>2001.9368331963444</v>
      </c>
      <c r="DV256" s="2331">
        <f ca="1">CT256</f>
        <v>2439.6459045462152</v>
      </c>
      <c r="DW256" s="2331">
        <f t="shared" ca="1" si="625"/>
        <v>2592.4983772979595</v>
      </c>
      <c r="DX256" s="2331">
        <f t="shared" ca="1" si="625"/>
        <v>2690.3496010966637</v>
      </c>
      <c r="DY256" s="2331">
        <f t="shared" ca="1" si="625"/>
        <v>2650.5220095445638</v>
      </c>
      <c r="EA256"/>
      <c r="EB256"/>
      <c r="EC256"/>
      <c r="ED256"/>
      <c r="EE256"/>
      <c r="EF256"/>
      <c r="EJ256"/>
      <c r="EK256"/>
      <c r="EL256"/>
      <c r="ER256" s="212"/>
    </row>
    <row r="257" spans="1:148" s="923" customFormat="1" ht="12.75" customHeight="1" x14ac:dyDescent="0.2">
      <c r="A257" s="1131" t="s">
        <v>1027</v>
      </c>
      <c r="B257" s="216"/>
      <c r="C257" s="216"/>
      <c r="D257" s="216"/>
      <c r="E257" s="216"/>
      <c r="F257" s="216"/>
      <c r="G257" s="216"/>
      <c r="H257" s="216"/>
      <c r="I257" s="216"/>
      <c r="J257" s="216"/>
      <c r="K257" s="216"/>
      <c r="L257" s="216"/>
      <c r="M257" s="970"/>
      <c r="N257" s="216"/>
      <c r="O257" s="216"/>
      <c r="P257" s="216"/>
      <c r="Q257" s="216"/>
      <c r="R257" s="970"/>
      <c r="S257" s="216">
        <f t="shared" ref="S257:AX257" si="630">S234*1000000/S261</f>
        <v>145.659130323955</v>
      </c>
      <c r="T257" s="216">
        <f t="shared" si="630"/>
        <v>235.23876734885908</v>
      </c>
      <c r="U257" s="216">
        <f t="shared" si="630"/>
        <v>112.559881857148</v>
      </c>
      <c r="V257" s="216">
        <f t="shared" si="630"/>
        <v>234.52053824675986</v>
      </c>
      <c r="W257" s="970">
        <f t="shared" si="630"/>
        <v>716.83636218820936</v>
      </c>
      <c r="X257" s="216">
        <f t="shared" si="630"/>
        <v>127.377903886783</v>
      </c>
      <c r="Y257" s="216">
        <f t="shared" si="630"/>
        <v>122.42417352752139</v>
      </c>
      <c r="Z257" s="216">
        <f t="shared" si="630"/>
        <v>78.008190860040301</v>
      </c>
      <c r="AA257" s="216">
        <f t="shared" si="630"/>
        <v>145.68639717539784</v>
      </c>
      <c r="AB257" s="970">
        <f t="shared" si="630"/>
        <v>467.05344976818725</v>
      </c>
      <c r="AC257" s="216">
        <f t="shared" si="630"/>
        <v>142.18499560519103</v>
      </c>
      <c r="AD257" s="216">
        <f t="shared" si="630"/>
        <v>153.11395506105418</v>
      </c>
      <c r="AE257" s="216">
        <f t="shared" si="630"/>
        <v>88.245675961877865</v>
      </c>
      <c r="AF257" s="216">
        <f t="shared" si="630"/>
        <v>217.26051206631459</v>
      </c>
      <c r="AG257" s="970">
        <f t="shared" si="630"/>
        <v>593.2883214118591</v>
      </c>
      <c r="AH257" s="216">
        <f t="shared" si="630"/>
        <v>209.5293969743955</v>
      </c>
      <c r="AI257" s="216">
        <f t="shared" si="630"/>
        <v>209.8373357114898</v>
      </c>
      <c r="AJ257" s="216">
        <f t="shared" si="630"/>
        <v>123.47813202281876</v>
      </c>
      <c r="AK257" s="216">
        <f t="shared" si="630"/>
        <v>282.94575232815146</v>
      </c>
      <c r="AL257" s="970">
        <f t="shared" si="630"/>
        <v>824.23327852113687</v>
      </c>
      <c r="AM257" s="216">
        <f t="shared" si="630"/>
        <v>241.58941265109576</v>
      </c>
      <c r="AN257" s="216">
        <f t="shared" si="630"/>
        <v>312.27694503925767</v>
      </c>
      <c r="AO257" s="216">
        <f t="shared" si="630"/>
        <v>197.11646767289929</v>
      </c>
      <c r="AP257" s="216">
        <f t="shared" si="630"/>
        <v>387.11394457012204</v>
      </c>
      <c r="AQ257" s="970">
        <f t="shared" si="630"/>
        <v>1133.1147752521281</v>
      </c>
      <c r="AR257" s="216">
        <f t="shared" si="630"/>
        <v>286.30302150498613</v>
      </c>
      <c r="AS257" s="216">
        <f t="shared" si="630"/>
        <v>466.0187934130654</v>
      </c>
      <c r="AT257" s="216">
        <f t="shared" si="630"/>
        <v>222.65958927257907</v>
      </c>
      <c r="AU257" s="216">
        <f t="shared" si="630"/>
        <v>498.30142490478886</v>
      </c>
      <c r="AV257" s="970">
        <f t="shared" si="630"/>
        <v>1459.3113157925959</v>
      </c>
      <c r="AW257" s="216">
        <f t="shared" si="630"/>
        <v>293.36906621419115</v>
      </c>
      <c r="AX257" s="216">
        <f t="shared" si="630"/>
        <v>407.77383200509917</v>
      </c>
      <c r="AY257" s="216">
        <f t="shared" ref="AY257:CD257" si="631">AY234*1000000/AY261</f>
        <v>204.27083169654782</v>
      </c>
      <c r="AZ257" s="216">
        <f t="shared" si="631"/>
        <v>320.36380826616761</v>
      </c>
      <c r="BA257" s="970">
        <f t="shared" si="631"/>
        <v>1215.0383459850991</v>
      </c>
      <c r="BB257" s="216">
        <f t="shared" si="631"/>
        <v>165.8438753471151</v>
      </c>
      <c r="BC257" s="216">
        <f t="shared" si="631"/>
        <v>134.25959668417156</v>
      </c>
      <c r="BD257" s="216">
        <f t="shared" si="631"/>
        <v>65.029703273289243</v>
      </c>
      <c r="BE257" s="216">
        <f t="shared" si="631"/>
        <v>223.03455523507463</v>
      </c>
      <c r="BF257" s="970">
        <f t="shared" si="631"/>
        <v>582.15799163053384</v>
      </c>
      <c r="BG257" s="216">
        <f t="shared" si="631"/>
        <v>150.40930131119308</v>
      </c>
      <c r="BH257" s="216">
        <f t="shared" si="631"/>
        <v>172.46550689862028</v>
      </c>
      <c r="BI257" s="216">
        <f t="shared" si="631"/>
        <v>78.365811608588899</v>
      </c>
      <c r="BJ257" s="216">
        <f t="shared" si="631"/>
        <v>278.99709843017632</v>
      </c>
      <c r="BK257" s="970">
        <f t="shared" si="631"/>
        <v>677.03295885722787</v>
      </c>
      <c r="BL257" s="216">
        <f t="shared" si="631"/>
        <v>154.70752909974951</v>
      </c>
      <c r="BM257" s="216">
        <f t="shared" si="631"/>
        <v>183.60347524657948</v>
      </c>
      <c r="BN257" s="216">
        <f t="shared" si="631"/>
        <v>106.47124909132296</v>
      </c>
      <c r="BO257" s="216">
        <f t="shared" si="631"/>
        <v>270.38087164946944</v>
      </c>
      <c r="BP257" s="970">
        <f t="shared" si="631"/>
        <v>712.49013475198035</v>
      </c>
      <c r="BQ257" s="216">
        <f t="shared" si="631"/>
        <v>183.57583701402888</v>
      </c>
      <c r="BR257" s="216">
        <f t="shared" si="631"/>
        <v>206.45085179409477</v>
      </c>
      <c r="BS257" s="216">
        <f t="shared" si="631"/>
        <v>133.05982147807285</v>
      </c>
      <c r="BT257" s="216">
        <f t="shared" si="631"/>
        <v>321.64798130153071</v>
      </c>
      <c r="BU257" s="970">
        <f t="shared" si="631"/>
        <v>829.137018466168</v>
      </c>
      <c r="BV257" s="216">
        <f t="shared" si="631"/>
        <v>234.91808121758754</v>
      </c>
      <c r="BW257" s="216">
        <f t="shared" si="631"/>
        <v>229.26331249664165</v>
      </c>
      <c r="BX257" s="216">
        <f t="shared" si="631"/>
        <v>190.22665685623531</v>
      </c>
      <c r="BY257" s="216">
        <f t="shared" si="631"/>
        <v>261.78385976991711</v>
      </c>
      <c r="BZ257" s="970">
        <f t="shared" si="631"/>
        <v>918.03654933012024</v>
      </c>
      <c r="CA257" s="216">
        <f t="shared" si="631"/>
        <v>254.3645007469718</v>
      </c>
      <c r="CB257" s="216">
        <f t="shared" si="631"/>
        <v>285.78697717537909</v>
      </c>
      <c r="CC257" s="216">
        <f t="shared" si="631"/>
        <v>234.59794464188798</v>
      </c>
      <c r="CD257" s="216">
        <f t="shared" si="631"/>
        <v>285.08154375132546</v>
      </c>
      <c r="CE257" s="970">
        <f t="shared" ref="CE257:CM257" si="632">CE234*1000000/CE261</f>
        <v>1049.9344660109791</v>
      </c>
      <c r="CF257" s="216">
        <f t="shared" si="632"/>
        <v>308.8647658180405</v>
      </c>
      <c r="CG257" s="216">
        <f t="shared" si="632"/>
        <v>272.50156436083245</v>
      </c>
      <c r="CH257" s="216">
        <f t="shared" si="632"/>
        <v>227.99358935672279</v>
      </c>
      <c r="CI257" s="216">
        <f t="shared" si="632"/>
        <v>269.72577879156194</v>
      </c>
      <c r="CJ257" s="970">
        <f t="shared" si="632"/>
        <v>1062.2533757346698</v>
      </c>
      <c r="CK257" s="216">
        <f t="shared" si="632"/>
        <v>336.47487598735387</v>
      </c>
      <c r="CL257" s="216">
        <f t="shared" si="632"/>
        <v>314.12807736907712</v>
      </c>
      <c r="CM257" s="216">
        <f t="shared" si="632"/>
        <v>256.86787983920738</v>
      </c>
      <c r="CN257" s="216">
        <f t="shared" ref="CN257:DA257" si="633">CN237*1000000/CN261</f>
        <v>285.68579930668466</v>
      </c>
      <c r="CO257" s="970">
        <f t="shared" si="633"/>
        <v>1077.5531490627973</v>
      </c>
      <c r="CP257" s="216">
        <f t="shared" si="633"/>
        <v>292.58945492305662</v>
      </c>
      <c r="CQ257" s="216">
        <f t="shared" si="633"/>
        <v>280.99220626346818</v>
      </c>
      <c r="CR257" s="216">
        <f t="shared" si="633"/>
        <v>255.89114089817789</v>
      </c>
      <c r="CS257" s="216">
        <f t="shared" si="633"/>
        <v>316.94361945884674</v>
      </c>
      <c r="CT257" s="970">
        <f t="shared" si="633"/>
        <v>1131.6751588912939</v>
      </c>
      <c r="CU257" s="216">
        <f>CU237*1000000/CU261</f>
        <v>287.50366587438884</v>
      </c>
      <c r="CV257" s="216">
        <f>CV237*1000000/CV261</f>
        <v>277.38686218012646</v>
      </c>
      <c r="CW257" s="216">
        <f>CW237*1000000/CW261</f>
        <v>252.59615671918129</v>
      </c>
      <c r="CX257" s="216">
        <f>CX237*1000000/CX261</f>
        <v>306.75465350114524</v>
      </c>
      <c r="CY257" s="970">
        <f>CY237*1000000/CY261</f>
        <v>1108.175751157195</v>
      </c>
      <c r="CZ257" s="970">
        <f t="shared" si="633"/>
        <v>1120.4312301104251</v>
      </c>
      <c r="DA257" s="970">
        <f t="shared" si="633"/>
        <v>1050.2534538784291</v>
      </c>
      <c r="DB257"/>
      <c r="DC257"/>
      <c r="DD257" s="1131" t="s">
        <v>1027</v>
      </c>
      <c r="DE257" s="970">
        <f>M257</f>
        <v>0</v>
      </c>
      <c r="DF257" s="970">
        <f>R257</f>
        <v>0</v>
      </c>
      <c r="DG257" s="970">
        <f>W257</f>
        <v>716.83636218820936</v>
      </c>
      <c r="DH257" s="970">
        <f>AB257</f>
        <v>467.05344976818725</v>
      </c>
      <c r="DI257" s="970">
        <f>AG257</f>
        <v>593.2883214118591</v>
      </c>
      <c r="DJ257" s="970">
        <f>AL257</f>
        <v>824.23327852113687</v>
      </c>
      <c r="DK257" s="970">
        <f>AQ257</f>
        <v>1133.1147752521281</v>
      </c>
      <c r="DL257" s="970">
        <f>AV257</f>
        <v>1459.3113157925959</v>
      </c>
      <c r="DM257" s="970">
        <f>BA257</f>
        <v>1215.0383459850991</v>
      </c>
      <c r="DN257" s="970">
        <f>BF257</f>
        <v>582.15799163053384</v>
      </c>
      <c r="DO257" s="970">
        <f>BK257</f>
        <v>677.03295885722787</v>
      </c>
      <c r="DP257" s="970">
        <f>BP257</f>
        <v>712.49013475198035</v>
      </c>
      <c r="DQ257" s="970">
        <f>BU257</f>
        <v>829.137018466168</v>
      </c>
      <c r="DR257" s="970">
        <f>BZ257</f>
        <v>918.03654933012024</v>
      </c>
      <c r="DS257" s="970">
        <f>CE257</f>
        <v>1049.9344660109791</v>
      </c>
      <c r="DT257" s="970">
        <f>CJ257</f>
        <v>1062.2533757346698</v>
      </c>
      <c r="DU257" s="970">
        <f>CO257</f>
        <v>1077.5531490627973</v>
      </c>
      <c r="DV257" s="970">
        <f>CT257</f>
        <v>1131.6751588912939</v>
      </c>
      <c r="DW257" s="970">
        <f t="shared" si="625"/>
        <v>1108.175751157195</v>
      </c>
      <c r="DX257" s="970">
        <f t="shared" si="625"/>
        <v>1120.4312301104251</v>
      </c>
      <c r="DY257" s="970">
        <f t="shared" si="625"/>
        <v>1050.2534538784291</v>
      </c>
      <c r="EA257"/>
      <c r="EB257"/>
      <c r="EC257"/>
      <c r="ED257"/>
      <c r="EE257"/>
      <c r="EF257"/>
      <c r="EJ257"/>
      <c r="EK257"/>
      <c r="EL257"/>
      <c r="ER257" s="212"/>
    </row>
    <row r="258" spans="1:148" s="923" customFormat="1" ht="12.75" customHeight="1" x14ac:dyDescent="0.2">
      <c r="A258" s="1437" t="s">
        <v>1943</v>
      </c>
      <c r="B258" s="1659"/>
      <c r="C258" s="1659"/>
      <c r="D258" s="1659"/>
      <c r="E258" s="1659"/>
      <c r="F258" s="1659"/>
      <c r="G258" s="1659"/>
      <c r="H258" s="1659"/>
      <c r="I258" s="1659"/>
      <c r="J258" s="1659"/>
      <c r="K258" s="1659"/>
      <c r="L258" s="1659"/>
      <c r="M258" s="1706"/>
      <c r="N258" s="1659"/>
      <c r="O258" s="1659"/>
      <c r="P258" s="1659"/>
      <c r="Q258" s="1659"/>
      <c r="R258" s="1706"/>
      <c r="S258" s="1659">
        <f t="shared" ref="S258:AX258" si="634">S10*1000000/S263</f>
        <v>395.73175040633168</v>
      </c>
      <c r="T258" s="1659">
        <f t="shared" si="634"/>
        <v>458.72307330487854</v>
      </c>
      <c r="U258" s="1659">
        <f t="shared" si="634"/>
        <v>371.5792346843985</v>
      </c>
      <c r="V258" s="1659">
        <f t="shared" si="634"/>
        <v>552.34105039101701</v>
      </c>
      <c r="W258" s="1706">
        <f t="shared" si="634"/>
        <v>1735.608259968521</v>
      </c>
      <c r="X258" s="1659">
        <f t="shared" si="634"/>
        <v>382.10933186085038</v>
      </c>
      <c r="Y258" s="1659">
        <f t="shared" si="634"/>
        <v>374.36716712882151</v>
      </c>
      <c r="Z258" s="1659">
        <f t="shared" si="634"/>
        <v>353.45529326078577</v>
      </c>
      <c r="AA258" s="1659">
        <f t="shared" si="634"/>
        <v>490.4592982203938</v>
      </c>
      <c r="AB258" s="1706">
        <f t="shared" si="634"/>
        <v>1568.6241348255699</v>
      </c>
      <c r="AC258" s="1659">
        <f t="shared" si="634"/>
        <v>404.51548267290417</v>
      </c>
      <c r="AD258" s="1659">
        <f t="shared" si="634"/>
        <v>442.77816400172145</v>
      </c>
      <c r="AE258" s="1659">
        <f t="shared" si="634"/>
        <v>394.22460947124625</v>
      </c>
      <c r="AF258" s="1659">
        <f t="shared" si="634"/>
        <v>589.17255660034539</v>
      </c>
      <c r="AG258" s="1706">
        <f t="shared" si="634"/>
        <v>1877.1811748616842</v>
      </c>
      <c r="AH258" s="1659">
        <f t="shared" si="634"/>
        <v>494.6297343131713</v>
      </c>
      <c r="AI258" s="1659">
        <f t="shared" si="634"/>
        <v>536.54781319653137</v>
      </c>
      <c r="AJ258" s="1659">
        <f t="shared" si="634"/>
        <v>459.04997906647088</v>
      </c>
      <c r="AK258" s="1659">
        <f t="shared" si="634"/>
        <v>687.10326090382443</v>
      </c>
      <c r="AL258" s="1706">
        <f t="shared" si="634"/>
        <v>2157.966510545039</v>
      </c>
      <c r="AM258" s="1659">
        <f t="shared" si="634"/>
        <v>557.05442920628059</v>
      </c>
      <c r="AN258" s="1659">
        <f t="shared" si="634"/>
        <v>626.38309095329737</v>
      </c>
      <c r="AO258" s="1659">
        <f t="shared" si="634"/>
        <v>535.48180077215659</v>
      </c>
      <c r="AP258" s="1659">
        <f t="shared" si="634"/>
        <v>793.77517437612323</v>
      </c>
      <c r="AQ258" s="1706">
        <f t="shared" si="634"/>
        <v>2491.2328549650638</v>
      </c>
      <c r="AR258" s="1659">
        <f t="shared" si="634"/>
        <v>600.80906247399366</v>
      </c>
      <c r="AS258" s="1659">
        <f t="shared" si="634"/>
        <v>734.55423626484207</v>
      </c>
      <c r="AT258" s="1659">
        <f t="shared" si="634"/>
        <v>598.77627577018097</v>
      </c>
      <c r="AU258" s="1659">
        <f t="shared" si="634"/>
        <v>907.9264911472286</v>
      </c>
      <c r="AV258" s="1706">
        <f t="shared" si="634"/>
        <v>2788.2129663618116</v>
      </c>
      <c r="AW258" s="1659">
        <f t="shared" si="634"/>
        <v>618.69509810597583</v>
      </c>
      <c r="AX258" s="1659">
        <f t="shared" si="634"/>
        <v>718.99709517483745</v>
      </c>
      <c r="AY258" s="1659">
        <f t="shared" ref="AY258:CD258" si="635">AY10*1000000/AY263</f>
        <v>576.6079845933391</v>
      </c>
      <c r="AZ258" s="1659">
        <f t="shared" si="635"/>
        <v>751.27267834316342</v>
      </c>
      <c r="BA258" s="1706">
        <f t="shared" si="635"/>
        <v>2610.7659991179089</v>
      </c>
      <c r="BB258" s="1659">
        <f t="shared" si="635"/>
        <v>471.42970264939811</v>
      </c>
      <c r="BC258" s="1659">
        <f t="shared" si="635"/>
        <v>461.62346064932609</v>
      </c>
      <c r="BD258" s="1659">
        <f t="shared" si="635"/>
        <v>416.12567352529885</v>
      </c>
      <c r="BE258" s="1659">
        <f t="shared" si="635"/>
        <v>599.50562761734307</v>
      </c>
      <c r="BF258" s="1706">
        <f t="shared" si="635"/>
        <v>1905.7598250357769</v>
      </c>
      <c r="BG258" s="1659">
        <f t="shared" si="635"/>
        <v>444.53319673198644</v>
      </c>
      <c r="BH258" s="1659">
        <f t="shared" si="635"/>
        <v>496.02234856248248</v>
      </c>
      <c r="BI258" s="1659">
        <f t="shared" si="635"/>
        <v>434.26746430543704</v>
      </c>
      <c r="BJ258" s="1659">
        <f t="shared" si="635"/>
        <v>662.58496254107263</v>
      </c>
      <c r="BK258" s="1706">
        <f t="shared" si="635"/>
        <v>2014.8683387757937</v>
      </c>
      <c r="BL258" s="1659">
        <f t="shared" si="635"/>
        <v>469.12201880523531</v>
      </c>
      <c r="BM258" s="1659">
        <f t="shared" si="635"/>
        <v>535.43939495348366</v>
      </c>
      <c r="BN258" s="1659">
        <f t="shared" si="635"/>
        <v>478.98375613074262</v>
      </c>
      <c r="BO258" s="1659">
        <f t="shared" si="635"/>
        <v>692.69895303501096</v>
      </c>
      <c r="BP258" s="1706">
        <f t="shared" si="635"/>
        <v>2155.6131705160938</v>
      </c>
      <c r="BQ258" s="1659">
        <f t="shared" si="635"/>
        <v>493.96213615572321</v>
      </c>
      <c r="BR258" s="1659">
        <f t="shared" si="635"/>
        <v>561.3505240092245</v>
      </c>
      <c r="BS258" s="1659">
        <f t="shared" si="635"/>
        <v>521.87797544065154</v>
      </c>
      <c r="BT258" s="1659">
        <f t="shared" si="635"/>
        <v>735.43195812363911</v>
      </c>
      <c r="BU258" s="1706">
        <f t="shared" si="635"/>
        <v>2275.1925501864216</v>
      </c>
      <c r="BV258" s="1659">
        <f t="shared" si="635"/>
        <v>590.39789626868526</v>
      </c>
      <c r="BW258" s="1659">
        <f t="shared" si="635"/>
        <v>645.60851378382108</v>
      </c>
      <c r="BX258" s="1659">
        <f t="shared" si="635"/>
        <v>595.57478481315809</v>
      </c>
      <c r="BY258" s="1659">
        <f t="shared" si="635"/>
        <v>606.95938377979269</v>
      </c>
      <c r="BZ258" s="1706">
        <f t="shared" si="635"/>
        <v>2413.7585803407733</v>
      </c>
      <c r="CA258" s="1659">
        <f t="shared" si="635"/>
        <v>604.80172143050379</v>
      </c>
      <c r="CB258" s="1659">
        <f t="shared" si="635"/>
        <v>685.60992738905486</v>
      </c>
      <c r="CC258" s="1659">
        <f t="shared" si="635"/>
        <v>673.83721717262119</v>
      </c>
      <c r="CD258" s="1659">
        <f t="shared" si="635"/>
        <v>635.84917657531628</v>
      </c>
      <c r="CE258" s="1706">
        <f t="shared" ref="CE258:CM258" si="636">CE10*1000000/CE263</f>
        <v>2541.917987285974</v>
      </c>
      <c r="CF258" s="1659">
        <f t="shared" si="636"/>
        <v>668.60825833388083</v>
      </c>
      <c r="CG258" s="1659">
        <f t="shared" si="636"/>
        <v>700.52688715975421</v>
      </c>
      <c r="CH258" s="1659">
        <f t="shared" si="636"/>
        <v>651.1811585983221</v>
      </c>
      <c r="CI258" s="1659">
        <f t="shared" si="636"/>
        <v>629.84523010160763</v>
      </c>
      <c r="CJ258" s="1706">
        <f t="shared" si="636"/>
        <v>2594.2964323568422</v>
      </c>
      <c r="CK258" s="1659">
        <f t="shared" si="636"/>
        <v>658.9903444185577</v>
      </c>
      <c r="CL258" s="1659">
        <f t="shared" si="636"/>
        <v>696.51068433865294</v>
      </c>
      <c r="CM258" s="1659">
        <f t="shared" si="636"/>
        <v>656.50136915967823</v>
      </c>
      <c r="CN258" s="3242">
        <f t="shared" ref="CN258:DA258" si="637">CN242*1000000/CN263</f>
        <v>627.66460350171701</v>
      </c>
      <c r="CO258" s="1706">
        <f t="shared" si="637"/>
        <v>2521.2221941499547</v>
      </c>
      <c r="CP258" s="1659">
        <f t="shared" si="637"/>
        <v>681.72743804736524</v>
      </c>
      <c r="CQ258" s="1659">
        <f t="shared" ca="1" si="637"/>
        <v>731.14334801648306</v>
      </c>
      <c r="CR258" s="1659">
        <f t="shared" ca="1" si="637"/>
        <v>703.52898945807101</v>
      </c>
      <c r="CS258" s="1659">
        <f t="shared" ca="1" si="637"/>
        <v>721.08330888041189</v>
      </c>
      <c r="CT258" s="1706">
        <f t="shared" ca="1" si="637"/>
        <v>2773.4614666417692</v>
      </c>
      <c r="CU258" s="1659">
        <f ca="1">CU242*1000000/CU263</f>
        <v>695.59286139129779</v>
      </c>
      <c r="CV258" s="1659">
        <f ca="1">CV242*1000000/CV263</f>
        <v>754.66160253719318</v>
      </c>
      <c r="CW258" s="1659">
        <f ca="1">CW242*1000000/CW263</f>
        <v>724.02293186475254</v>
      </c>
      <c r="CX258" s="1659">
        <f ca="1">CX242*1000000/CX263</f>
        <v>736.45607367690855</v>
      </c>
      <c r="CY258" s="1706">
        <f ca="1">CY242*1000000/CY263</f>
        <v>2850.3666429238228</v>
      </c>
      <c r="CZ258" s="1706">
        <f t="shared" ca="1" si="637"/>
        <v>2926.2553844937547</v>
      </c>
      <c r="DA258" s="1706">
        <f t="shared" ca="1" si="637"/>
        <v>2853.3562441521735</v>
      </c>
      <c r="DB258"/>
      <c r="DC258"/>
      <c r="DD258" s="1437" t="s">
        <v>1943</v>
      </c>
      <c r="DE258" s="1706">
        <f>M258</f>
        <v>0</v>
      </c>
      <c r="DF258" s="1706">
        <f>R258</f>
        <v>0</v>
      </c>
      <c r="DG258" s="1706">
        <f>W258</f>
        <v>1735.608259968521</v>
      </c>
      <c r="DH258" s="1706">
        <f>AB258</f>
        <v>1568.6241348255699</v>
      </c>
      <c r="DI258" s="1706">
        <f>AG258</f>
        <v>1877.1811748616842</v>
      </c>
      <c r="DJ258" s="1706">
        <f>AL258</f>
        <v>2157.966510545039</v>
      </c>
      <c r="DK258" s="1706">
        <f>AQ258</f>
        <v>2491.2328549650638</v>
      </c>
      <c r="DL258" s="1706">
        <f>AV258</f>
        <v>2788.2129663618116</v>
      </c>
      <c r="DM258" s="1706">
        <f>BA258</f>
        <v>2610.7659991179089</v>
      </c>
      <c r="DN258" s="1706">
        <f>BF258</f>
        <v>1905.7598250357769</v>
      </c>
      <c r="DO258" s="1706">
        <f>BK258</f>
        <v>2014.8683387757937</v>
      </c>
      <c r="DP258" s="1706">
        <f>BP258</f>
        <v>2155.6131705160938</v>
      </c>
      <c r="DQ258" s="1706">
        <f>BU258</f>
        <v>2275.1925501864216</v>
      </c>
      <c r="DR258" s="1706">
        <f>BZ258</f>
        <v>2413.7585803407733</v>
      </c>
      <c r="DS258" s="1706">
        <f>CE258</f>
        <v>2541.917987285974</v>
      </c>
      <c r="DT258" s="1706">
        <f>CJ258</f>
        <v>2594.2964323568422</v>
      </c>
      <c r="DU258" s="1706">
        <f>CO258</f>
        <v>2521.2221941499547</v>
      </c>
      <c r="DV258" s="1706">
        <f ca="1">CT258</f>
        <v>2773.4614666417692</v>
      </c>
      <c r="DW258" s="1706">
        <f t="shared" ca="1" si="625"/>
        <v>2850.3666429238228</v>
      </c>
      <c r="DX258" s="1706">
        <f t="shared" ca="1" si="625"/>
        <v>2926.2553844937547</v>
      </c>
      <c r="DY258" s="1706">
        <f t="shared" ca="1" si="625"/>
        <v>2853.3562441521735</v>
      </c>
      <c r="EA258"/>
      <c r="EB258"/>
      <c r="EC258"/>
      <c r="ED258"/>
      <c r="EE258"/>
      <c r="EF258"/>
      <c r="EJ258"/>
      <c r="EK258"/>
      <c r="EL258"/>
      <c r="EM258" s="1703"/>
      <c r="ER258" s="212"/>
    </row>
    <row r="259" spans="1:148" s="923" customFormat="1" ht="12.75" customHeight="1" x14ac:dyDescent="0.2">
      <c r="A259" s="1437"/>
      <c r="B259" s="1659"/>
      <c r="C259" s="1659"/>
      <c r="D259" s="1659"/>
      <c r="E259" s="1659"/>
      <c r="F259" s="1659"/>
      <c r="G259" s="1659"/>
      <c r="H259" s="1659"/>
      <c r="I259" s="1659"/>
      <c r="J259" s="1659"/>
      <c r="K259" s="1659"/>
      <c r="L259" s="1659"/>
      <c r="M259" s="1706"/>
      <c r="N259" s="1659"/>
      <c r="O259" s="1659"/>
      <c r="P259" s="1659"/>
      <c r="Q259" s="1659"/>
      <c r="R259" s="1706"/>
      <c r="S259" s="1659"/>
      <c r="T259" s="1659"/>
      <c r="U259" s="1659"/>
      <c r="V259" s="1659"/>
      <c r="W259" s="1706"/>
      <c r="X259" s="1659"/>
      <c r="Y259" s="1659"/>
      <c r="Z259" s="1659"/>
      <c r="AA259" s="1659"/>
      <c r="AB259" s="1706"/>
      <c r="AC259" s="1659"/>
      <c r="AD259" s="1659"/>
      <c r="AE259" s="1659"/>
      <c r="AF259" s="1659"/>
      <c r="AG259" s="1706"/>
      <c r="AH259" s="1659"/>
      <c r="AI259" s="1659"/>
      <c r="AJ259" s="1659"/>
      <c r="AK259" s="1659"/>
      <c r="AL259" s="1706"/>
      <c r="AM259" s="1659"/>
      <c r="AN259" s="1659"/>
      <c r="AO259" s="1659"/>
      <c r="AP259" s="1659"/>
      <c r="AQ259" s="1706"/>
      <c r="AR259" s="1659"/>
      <c r="AS259" s="1659"/>
      <c r="AT259" s="1659"/>
      <c r="AU259" s="1659"/>
      <c r="AV259" s="1706"/>
      <c r="AW259" s="1659"/>
      <c r="AX259" s="1659"/>
      <c r="AY259" s="1659"/>
      <c r="AZ259" s="1659"/>
      <c r="BA259" s="1706"/>
      <c r="BB259" s="1659"/>
      <c r="BC259" s="1659"/>
      <c r="BD259" s="1659"/>
      <c r="BE259" s="1659"/>
      <c r="BF259" s="1706"/>
      <c r="BG259" s="1659"/>
      <c r="BH259" s="1659"/>
      <c r="BI259" s="1659"/>
      <c r="BJ259" s="1659"/>
      <c r="BK259" s="1706"/>
      <c r="BL259" s="1659"/>
      <c r="BM259" s="1659"/>
      <c r="BN259" s="1659"/>
      <c r="BO259" s="1659"/>
      <c r="BP259" s="1706"/>
      <c r="BQ259" s="1659"/>
      <c r="BR259" s="1659"/>
      <c r="BS259" s="1659"/>
      <c r="BT259" s="1659"/>
      <c r="BU259" s="1706"/>
      <c r="BV259" s="1659"/>
      <c r="BW259" s="1659"/>
      <c r="BX259" s="1659"/>
      <c r="BY259" s="1659"/>
      <c r="BZ259" s="1706"/>
      <c r="CA259" s="1659"/>
      <c r="CB259" s="1659"/>
      <c r="CC259" s="1659"/>
      <c r="CD259" s="1659"/>
      <c r="CE259" s="1706"/>
      <c r="CF259" s="1659"/>
      <c r="CG259" s="1659"/>
      <c r="CH259" s="1659"/>
      <c r="CI259" s="1659"/>
      <c r="CJ259" s="1706"/>
      <c r="CK259" s="1659"/>
      <c r="CL259" s="1659"/>
      <c r="CM259" s="1659"/>
      <c r="CN259" s="1659"/>
      <c r="CO259" s="1706"/>
      <c r="CP259" s="1659"/>
      <c r="CQ259" s="1659"/>
      <c r="CR259" s="1659"/>
      <c r="CS259" s="1659"/>
      <c r="CT259" s="1706"/>
      <c r="CU259" s="1659"/>
      <c r="CV259" s="1659"/>
      <c r="CW259" s="1659"/>
      <c r="CX259" s="1659"/>
      <c r="CY259" s="1706"/>
      <c r="CZ259" s="1706"/>
      <c r="DA259" s="1706"/>
      <c r="DB259"/>
      <c r="DC259"/>
      <c r="DD259" s="1437"/>
      <c r="DE259" s="1706"/>
      <c r="DF259" s="1706"/>
      <c r="DG259" s="1706"/>
      <c r="DH259" s="1706"/>
      <c r="DI259" s="1706"/>
      <c r="DJ259" s="1706"/>
      <c r="DK259" s="1706"/>
      <c r="DL259" s="1706"/>
      <c r="DM259" s="1706"/>
      <c r="DN259" s="1706"/>
      <c r="DO259" s="1706"/>
      <c r="DP259" s="1706"/>
      <c r="DQ259" s="1706"/>
      <c r="DR259" s="1706"/>
      <c r="DS259" s="1706"/>
      <c r="DT259" s="1706"/>
      <c r="DU259" s="1706"/>
      <c r="DV259" s="1706"/>
      <c r="DW259" s="1706"/>
      <c r="DX259" s="1706"/>
      <c r="DY259" s="1706"/>
      <c r="EA259"/>
      <c r="EB259"/>
      <c r="EC259"/>
      <c r="ED259"/>
      <c r="EE259"/>
      <c r="EF259"/>
      <c r="EJ259"/>
      <c r="EK259"/>
      <c r="EL259"/>
      <c r="ER259" s="212"/>
    </row>
    <row r="260" spans="1:148" s="923" customFormat="1" ht="12.75" customHeight="1" x14ac:dyDescent="0.2">
      <c r="A260" s="1672" t="s">
        <v>1023</v>
      </c>
      <c r="B260" s="215"/>
      <c r="C260" s="215"/>
      <c r="D260" s="215"/>
      <c r="E260" s="215"/>
      <c r="F260" s="215"/>
      <c r="G260" s="215"/>
      <c r="H260" s="215"/>
      <c r="I260" s="215"/>
      <c r="J260" s="215"/>
      <c r="K260" s="215"/>
      <c r="L260" s="215"/>
      <c r="M260" s="968"/>
      <c r="N260" s="215"/>
      <c r="O260" s="215"/>
      <c r="P260" s="215"/>
      <c r="Q260" s="215"/>
      <c r="R260" s="968"/>
      <c r="S260" s="215"/>
      <c r="T260" s="215"/>
      <c r="U260" s="215"/>
      <c r="V260" s="215"/>
      <c r="W260" s="968"/>
      <c r="X260" s="215"/>
      <c r="Y260" s="215"/>
      <c r="Z260" s="215"/>
      <c r="AA260" s="215"/>
      <c r="AB260" s="968"/>
      <c r="AC260" s="215"/>
      <c r="AD260" s="215"/>
      <c r="AE260" s="215"/>
      <c r="AF260" s="215"/>
      <c r="AG260" s="968"/>
      <c r="AH260" s="215"/>
      <c r="AI260" s="215"/>
      <c r="AJ260" s="215"/>
      <c r="AK260" s="215"/>
      <c r="AL260" s="968"/>
      <c r="AM260" s="215"/>
      <c r="AN260" s="215"/>
      <c r="AO260" s="215"/>
      <c r="AP260" s="215"/>
      <c r="AQ260" s="968"/>
      <c r="AR260" s="215"/>
      <c r="AS260" s="215"/>
      <c r="AT260" s="215"/>
      <c r="AU260" s="215"/>
      <c r="AV260" s="968"/>
      <c r="AW260" s="215"/>
      <c r="AX260" s="215"/>
      <c r="AY260" s="215"/>
      <c r="AZ260" s="215"/>
      <c r="BA260" s="968"/>
      <c r="BB260" s="215"/>
      <c r="BC260" s="215"/>
      <c r="BD260" s="215"/>
      <c r="BE260" s="215"/>
      <c r="BF260" s="968"/>
      <c r="BG260" s="215"/>
      <c r="BH260" s="215"/>
      <c r="BI260" s="215"/>
      <c r="BJ260" s="215"/>
      <c r="BK260" s="968"/>
      <c r="BL260" s="215"/>
      <c r="BM260" s="215"/>
      <c r="BN260" s="215"/>
      <c r="BO260" s="215"/>
      <c r="BP260" s="968"/>
      <c r="BQ260" s="215"/>
      <c r="BR260" s="215"/>
      <c r="BS260" s="215"/>
      <c r="BT260" s="215"/>
      <c r="BU260" s="968"/>
      <c r="BV260" s="215"/>
      <c r="BW260" s="215"/>
      <c r="BX260" s="215"/>
      <c r="BY260" s="215"/>
      <c r="BZ260" s="968"/>
      <c r="CA260" s="215"/>
      <c r="CB260" s="215"/>
      <c r="CC260" s="215"/>
      <c r="CD260" s="215"/>
      <c r="CE260" s="968"/>
      <c r="CF260" s="215"/>
      <c r="CG260" s="215"/>
      <c r="CH260" s="215"/>
      <c r="CI260" s="215"/>
      <c r="CJ260" s="968"/>
      <c r="CK260" s="215"/>
      <c r="CL260" s="215"/>
      <c r="CM260" s="215"/>
      <c r="CN260" s="215"/>
      <c r="CO260" s="968"/>
      <c r="CP260" s="215"/>
      <c r="CQ260" s="215"/>
      <c r="CR260" s="215"/>
      <c r="CS260" s="215"/>
      <c r="CT260" s="968"/>
      <c r="CU260" s="215"/>
      <c r="CV260" s="215"/>
      <c r="CW260" s="215"/>
      <c r="CX260" s="215"/>
      <c r="CY260" s="968"/>
      <c r="CZ260" s="968"/>
      <c r="DA260" s="968"/>
      <c r="DB260"/>
      <c r="DC260"/>
      <c r="DD260" s="1672" t="s">
        <v>1023</v>
      </c>
      <c r="DE260" s="2290"/>
      <c r="DF260" s="2290"/>
      <c r="DG260" s="2290"/>
      <c r="DH260" s="2290"/>
      <c r="DI260" s="2290"/>
      <c r="DJ260" s="2290"/>
      <c r="DK260" s="2290"/>
      <c r="DL260" s="2290"/>
      <c r="DM260" s="2290"/>
      <c r="DN260" s="2290"/>
      <c r="DO260" s="2290"/>
      <c r="DP260" s="2290"/>
      <c r="DQ260" s="2290"/>
      <c r="DR260" s="2290"/>
      <c r="DS260" s="2290"/>
      <c r="DT260" s="2290"/>
      <c r="DU260" s="2290"/>
      <c r="DV260" s="2290"/>
      <c r="DW260" s="2290"/>
      <c r="DX260" s="2290"/>
      <c r="DY260" s="2290"/>
      <c r="EA260"/>
      <c r="EB260"/>
      <c r="EC260"/>
      <c r="ED260"/>
      <c r="EE260"/>
      <c r="EF260"/>
      <c r="EJ260"/>
      <c r="EK260"/>
      <c r="EL260"/>
      <c r="ER260" s="212"/>
    </row>
    <row r="261" spans="1:148" s="923" customFormat="1" ht="12.75" customHeight="1" x14ac:dyDescent="0.2">
      <c r="A261" s="507" t="s">
        <v>1616</v>
      </c>
      <c r="B261" s="944"/>
      <c r="C261" s="944"/>
      <c r="D261" s="944"/>
      <c r="E261" s="944"/>
      <c r="F261" s="944"/>
      <c r="G261" s="944"/>
      <c r="H261" s="944"/>
      <c r="I261" s="944"/>
      <c r="J261" s="944"/>
      <c r="K261" s="944"/>
      <c r="L261" s="944"/>
      <c r="M261" s="981">
        <f t="shared" ref="M261:AR261" si="638">M286/1</f>
        <v>210527</v>
      </c>
      <c r="N261" s="944">
        <f t="shared" si="638"/>
        <v>214965</v>
      </c>
      <c r="O261" s="944">
        <f t="shared" si="638"/>
        <v>218093</v>
      </c>
      <c r="P261" s="944">
        <f t="shared" si="638"/>
        <v>221743</v>
      </c>
      <c r="Q261" s="944">
        <f t="shared" si="638"/>
        <v>216291</v>
      </c>
      <c r="R261" s="981">
        <f t="shared" si="638"/>
        <v>216291</v>
      </c>
      <c r="S261" s="944">
        <f t="shared" si="638"/>
        <v>219691</v>
      </c>
      <c r="T261" s="944">
        <f t="shared" si="638"/>
        <v>221052</v>
      </c>
      <c r="U261" s="944">
        <f t="shared" si="638"/>
        <v>222104</v>
      </c>
      <c r="V261" s="944">
        <f t="shared" si="638"/>
        <v>225993</v>
      </c>
      <c r="W261" s="981">
        <f t="shared" si="638"/>
        <v>225993</v>
      </c>
      <c r="X261" s="944">
        <f t="shared" si="638"/>
        <v>227669</v>
      </c>
      <c r="Y261" s="944">
        <f t="shared" si="638"/>
        <v>228713</v>
      </c>
      <c r="Z261" s="944">
        <f t="shared" si="638"/>
        <v>230745</v>
      </c>
      <c r="AA261" s="944">
        <f t="shared" si="638"/>
        <v>233378</v>
      </c>
      <c r="AB261" s="981">
        <f t="shared" si="638"/>
        <v>233378</v>
      </c>
      <c r="AC261" s="944">
        <f t="shared" si="638"/>
        <v>232092</v>
      </c>
      <c r="AD261" s="944">
        <f t="shared" si="638"/>
        <v>235119</v>
      </c>
      <c r="AE261" s="944">
        <f t="shared" si="638"/>
        <v>237972</v>
      </c>
      <c r="AF261" s="944">
        <f t="shared" si="638"/>
        <v>239344</v>
      </c>
      <c r="AG261" s="981">
        <f t="shared" si="638"/>
        <v>239344</v>
      </c>
      <c r="AH261" s="944">
        <f t="shared" si="638"/>
        <v>238630</v>
      </c>
      <c r="AI261" s="944">
        <f t="shared" si="638"/>
        <v>247811</v>
      </c>
      <c r="AJ261" s="944">
        <f t="shared" si="638"/>
        <v>242958</v>
      </c>
      <c r="AK261" s="944">
        <f t="shared" si="638"/>
        <v>243863</v>
      </c>
      <c r="AL261" s="981">
        <f t="shared" si="638"/>
        <v>243863</v>
      </c>
      <c r="AM261" s="944">
        <f t="shared" si="638"/>
        <v>244216</v>
      </c>
      <c r="AN261" s="944">
        <f t="shared" si="638"/>
        <v>246576</v>
      </c>
      <c r="AO261" s="944">
        <f t="shared" si="638"/>
        <v>248584</v>
      </c>
      <c r="AP261" s="944">
        <f t="shared" si="638"/>
        <v>247989</v>
      </c>
      <c r="AQ261" s="981">
        <f t="shared" si="638"/>
        <v>247989</v>
      </c>
      <c r="AR261" s="944">
        <f t="shared" si="638"/>
        <v>247989</v>
      </c>
      <c r="AS261" s="944">
        <f t="shared" ref="AS261:CE261" si="639">AS286/1</f>
        <v>248917</v>
      </c>
      <c r="AT261" s="944">
        <f t="shared" si="639"/>
        <v>251505</v>
      </c>
      <c r="AU261" s="944">
        <f t="shared" si="639"/>
        <v>252859</v>
      </c>
      <c r="AV261" s="981">
        <f t="shared" si="639"/>
        <v>252859</v>
      </c>
      <c r="AW261" s="944">
        <f t="shared" si="639"/>
        <v>252242</v>
      </c>
      <c r="AX261" s="944">
        <f t="shared" si="639"/>
        <v>252591</v>
      </c>
      <c r="AY261" s="944">
        <f t="shared" si="639"/>
        <v>254564</v>
      </c>
      <c r="AZ261" s="944">
        <f t="shared" si="639"/>
        <v>255959</v>
      </c>
      <c r="BA261" s="981">
        <f t="shared" si="639"/>
        <v>255959</v>
      </c>
      <c r="BB261" s="944">
        <f t="shared" si="639"/>
        <v>259280</v>
      </c>
      <c r="BC261" s="944">
        <f t="shared" si="639"/>
        <v>260689</v>
      </c>
      <c r="BD261" s="944">
        <f t="shared" si="639"/>
        <v>261419</v>
      </c>
      <c r="BE261" s="944">
        <f t="shared" si="639"/>
        <v>264533</v>
      </c>
      <c r="BF261" s="981">
        <f t="shared" si="639"/>
        <v>264533</v>
      </c>
      <c r="BG261" s="944">
        <f t="shared" si="639"/>
        <v>265941</v>
      </c>
      <c r="BH261" s="944">
        <f t="shared" si="639"/>
        <v>266720</v>
      </c>
      <c r="BI261" s="944">
        <f t="shared" si="639"/>
        <v>267974</v>
      </c>
      <c r="BJ261" s="944">
        <f t="shared" si="639"/>
        <v>268820</v>
      </c>
      <c r="BK261" s="981">
        <f t="shared" si="639"/>
        <v>268820</v>
      </c>
      <c r="BL261" s="944">
        <f t="shared" si="639"/>
        <v>271480</v>
      </c>
      <c r="BM261" s="944">
        <f t="shared" si="639"/>
        <v>272326</v>
      </c>
      <c r="BN261" s="944">
        <f t="shared" si="639"/>
        <v>272374</v>
      </c>
      <c r="BO261" s="944">
        <f t="shared" si="639"/>
        <v>273688</v>
      </c>
      <c r="BP261" s="981">
        <f t="shared" si="639"/>
        <v>273688</v>
      </c>
      <c r="BQ261" s="944">
        <f t="shared" si="639"/>
        <v>272367</v>
      </c>
      <c r="BR261" s="944">
        <f t="shared" si="639"/>
        <v>271251</v>
      </c>
      <c r="BS261" s="944">
        <f>BS286/1</f>
        <v>270555</v>
      </c>
      <c r="BT261" s="944">
        <f t="shared" si="639"/>
        <v>279809</v>
      </c>
      <c r="BU261" s="981">
        <f t="shared" si="639"/>
        <v>279809</v>
      </c>
      <c r="BV261" s="944">
        <f>BV286/1</f>
        <v>280949</v>
      </c>
      <c r="BW261" s="944">
        <f>BW286/1</f>
        <v>279155</v>
      </c>
      <c r="BX261" s="944">
        <f>BX286/1</f>
        <v>278615</v>
      </c>
      <c r="BY261" s="944">
        <f>BY286/1</f>
        <v>278856</v>
      </c>
      <c r="BZ261" s="981">
        <f t="shared" si="639"/>
        <v>278856</v>
      </c>
      <c r="CA261" s="944">
        <f>CA286/1</f>
        <v>279127</v>
      </c>
      <c r="CB261" s="944">
        <f t="shared" si="639"/>
        <v>286927</v>
      </c>
      <c r="CC261" s="944">
        <f>CC286/1</f>
        <v>285595</v>
      </c>
      <c r="CD261" s="944">
        <f t="shared" si="639"/>
        <v>287637</v>
      </c>
      <c r="CE261" s="981">
        <f t="shared" si="639"/>
        <v>287637</v>
      </c>
      <c r="CF261" s="944">
        <f t="shared" ref="CF261:CM261" si="640">CF286/1</f>
        <v>288152</v>
      </c>
      <c r="CG261" s="944">
        <f t="shared" si="640"/>
        <v>297246</v>
      </c>
      <c r="CH261" s="944">
        <f t="shared" si="640"/>
        <v>298254</v>
      </c>
      <c r="CI261" s="944">
        <f t="shared" si="640"/>
        <v>300305</v>
      </c>
      <c r="CJ261" s="981">
        <f t="shared" si="640"/>
        <v>300305</v>
      </c>
      <c r="CK261" s="944">
        <f t="shared" si="640"/>
        <v>300171</v>
      </c>
      <c r="CL261" s="944">
        <f t="shared" si="640"/>
        <v>299241</v>
      </c>
      <c r="CM261" s="944">
        <f t="shared" si="640"/>
        <v>299765</v>
      </c>
      <c r="CN261" s="944">
        <f t="shared" ref="CN261:CT261" si="641">CN286/1</f>
        <v>521552</v>
      </c>
      <c r="CO261" s="981">
        <f t="shared" si="641"/>
        <v>521552</v>
      </c>
      <c r="CP261" s="944">
        <f t="shared" si="641"/>
        <v>522917</v>
      </c>
      <c r="CQ261" s="944">
        <f t="shared" si="641"/>
        <v>526705</v>
      </c>
      <c r="CR261" s="944">
        <f t="shared" si="641"/>
        <v>531476</v>
      </c>
      <c r="CS261" s="944">
        <f t="shared" si="641"/>
        <v>536373</v>
      </c>
      <c r="CT261" s="981">
        <f t="shared" si="641"/>
        <v>536373</v>
      </c>
      <c r="CU261" s="944">
        <f t="shared" ref="CU261:DA261" si="642">CU286/1</f>
        <v>542810.47000000009</v>
      </c>
      <c r="CV261" s="944">
        <f t="shared" si="642"/>
        <v>549557.39</v>
      </c>
      <c r="CW261" s="944">
        <f t="shared" si="642"/>
        <v>554561.09</v>
      </c>
      <c r="CX261" s="944">
        <f t="shared" si="642"/>
        <v>559730.71</v>
      </c>
      <c r="CY261" s="981">
        <f t="shared" si="642"/>
        <v>559730.71</v>
      </c>
      <c r="CZ261" s="981">
        <f t="shared" si="642"/>
        <v>584056.72959999996</v>
      </c>
      <c r="DA261" s="981">
        <f t="shared" si="642"/>
        <v>591929.14596400002</v>
      </c>
      <c r="DB261"/>
      <c r="DC261"/>
      <c r="DD261" s="2295" t="s">
        <v>1616</v>
      </c>
      <c r="DE261" s="2332">
        <f t="shared" ref="DE261:DE266" si="643">M261</f>
        <v>210527</v>
      </c>
      <c r="DF261" s="2332">
        <f t="shared" ref="DF261:DF266" si="644">R261</f>
        <v>216291</v>
      </c>
      <c r="DG261" s="2332">
        <f t="shared" ref="DG261:DG266" si="645">W261</f>
        <v>225993</v>
      </c>
      <c r="DH261" s="2332">
        <f t="shared" ref="DH261:DH266" si="646">AB261</f>
        <v>233378</v>
      </c>
      <c r="DI261" s="2332">
        <f t="shared" ref="DI261:DI266" si="647">AG261</f>
        <v>239344</v>
      </c>
      <c r="DJ261" s="2332">
        <f t="shared" ref="DJ261:DJ266" si="648">AL261</f>
        <v>243863</v>
      </c>
      <c r="DK261" s="2332">
        <f t="shared" ref="DK261:DK266" si="649">AQ261</f>
        <v>247989</v>
      </c>
      <c r="DL261" s="2332">
        <f t="shared" ref="DL261:DL266" si="650">AV261</f>
        <v>252859</v>
      </c>
      <c r="DM261" s="2332">
        <f t="shared" ref="DM261:DM266" si="651">BA261</f>
        <v>255959</v>
      </c>
      <c r="DN261" s="2332">
        <f t="shared" ref="DN261:DN266" si="652">BF261</f>
        <v>264533</v>
      </c>
      <c r="DO261" s="2332">
        <f t="shared" ref="DO261:DO266" si="653">BK261</f>
        <v>268820</v>
      </c>
      <c r="DP261" s="2332">
        <f t="shared" ref="DP261:DP266" si="654">BP261</f>
        <v>273688</v>
      </c>
      <c r="DQ261" s="2332">
        <f t="shared" ref="DQ261:DQ266" si="655">BU261</f>
        <v>279809</v>
      </c>
      <c r="DR261" s="2332">
        <f t="shared" ref="DR261:DR266" si="656">BZ261</f>
        <v>278856</v>
      </c>
      <c r="DS261" s="2332">
        <f t="shared" ref="DS261:DS266" si="657">CE261</f>
        <v>287637</v>
      </c>
      <c r="DT261" s="2332">
        <f t="shared" ref="DT261:DT266" si="658">CJ261</f>
        <v>300305</v>
      </c>
      <c r="DU261" s="2332">
        <f t="shared" ref="DU261:DU266" si="659">CO261</f>
        <v>521552</v>
      </c>
      <c r="DV261" s="2332">
        <f t="shared" ref="DV261:DV266" si="660">CT261</f>
        <v>536373</v>
      </c>
      <c r="DW261" s="2332">
        <f t="shared" ref="DW261:DY266" si="661">CY261</f>
        <v>559730.71</v>
      </c>
      <c r="DX261" s="2332">
        <f t="shared" si="661"/>
        <v>584056.72959999996</v>
      </c>
      <c r="DY261" s="2332">
        <f t="shared" si="661"/>
        <v>591929.14596400002</v>
      </c>
      <c r="EA261"/>
      <c r="EB261"/>
      <c r="EC261"/>
      <c r="ED261"/>
      <c r="EE261"/>
      <c r="EF261"/>
      <c r="EJ261"/>
      <c r="EK261"/>
      <c r="EL261"/>
      <c r="ER261" s="212"/>
    </row>
    <row r="262" spans="1:148" s="923" customFormat="1" ht="12.75" customHeight="1" x14ac:dyDescent="0.2">
      <c r="A262" s="1131" t="s">
        <v>1208</v>
      </c>
      <c r="B262" s="942"/>
      <c r="C262" s="942"/>
      <c r="D262" s="942"/>
      <c r="E262" s="942"/>
      <c r="F262" s="942"/>
      <c r="G262" s="942"/>
      <c r="H262" s="942"/>
      <c r="I262" s="942"/>
      <c r="J262" s="942"/>
      <c r="K262" s="942"/>
      <c r="L262" s="942"/>
      <c r="M262" s="980">
        <f t="shared" ref="M262:AR262" si="662">M358/1</f>
        <v>159053</v>
      </c>
      <c r="N262" s="942">
        <f t="shared" si="662"/>
        <v>167131</v>
      </c>
      <c r="O262" s="942">
        <f t="shared" si="662"/>
        <v>175544</v>
      </c>
      <c r="P262" s="942">
        <f t="shared" si="662"/>
        <v>186949</v>
      </c>
      <c r="Q262" s="942">
        <f t="shared" si="662"/>
        <v>200881</v>
      </c>
      <c r="R262" s="980">
        <f t="shared" si="662"/>
        <v>200881</v>
      </c>
      <c r="S262" s="942">
        <f t="shared" si="662"/>
        <v>204839</v>
      </c>
      <c r="T262" s="942">
        <f t="shared" si="662"/>
        <v>208401</v>
      </c>
      <c r="U262" s="942">
        <f t="shared" si="662"/>
        <v>213873</v>
      </c>
      <c r="V262" s="942">
        <f t="shared" si="662"/>
        <v>219384</v>
      </c>
      <c r="W262" s="980">
        <f t="shared" si="662"/>
        <v>219384</v>
      </c>
      <c r="X262" s="942">
        <f t="shared" si="662"/>
        <v>225081</v>
      </c>
      <c r="Y262" s="942">
        <f t="shared" si="662"/>
        <v>230729</v>
      </c>
      <c r="Z262" s="942">
        <f t="shared" si="662"/>
        <v>236075</v>
      </c>
      <c r="AA262" s="942">
        <f t="shared" si="662"/>
        <v>239648</v>
      </c>
      <c r="AB262" s="980">
        <f t="shared" si="662"/>
        <v>239648</v>
      </c>
      <c r="AC262" s="942">
        <f t="shared" si="662"/>
        <v>245022</v>
      </c>
      <c r="AD262" s="942">
        <f t="shared" si="662"/>
        <v>248193</v>
      </c>
      <c r="AE262" s="942">
        <f t="shared" si="662"/>
        <v>249060</v>
      </c>
      <c r="AF262" s="942">
        <f t="shared" si="662"/>
        <v>225715</v>
      </c>
      <c r="AG262" s="980">
        <f t="shared" si="662"/>
        <v>225715</v>
      </c>
      <c r="AH262" s="942">
        <f t="shared" si="662"/>
        <v>228386</v>
      </c>
      <c r="AI262" s="942">
        <f t="shared" si="662"/>
        <v>223722</v>
      </c>
      <c r="AJ262" s="942">
        <f t="shared" si="662"/>
        <v>227579</v>
      </c>
      <c r="AK262" s="942">
        <f t="shared" si="662"/>
        <v>232048</v>
      </c>
      <c r="AL262" s="980">
        <f t="shared" si="662"/>
        <v>232048</v>
      </c>
      <c r="AM262" s="942">
        <f t="shared" si="662"/>
        <v>236886</v>
      </c>
      <c r="AN262" s="942">
        <f t="shared" si="662"/>
        <v>238750</v>
      </c>
      <c r="AO262" s="942">
        <f t="shared" si="662"/>
        <v>240695</v>
      </c>
      <c r="AP262" s="942">
        <f t="shared" si="662"/>
        <v>243334</v>
      </c>
      <c r="AQ262" s="980">
        <f t="shared" si="662"/>
        <v>243334</v>
      </c>
      <c r="AR262" s="942">
        <f t="shared" si="662"/>
        <v>244680</v>
      </c>
      <c r="AS262" s="942">
        <f t="shared" ref="AS262:CE262" si="663">AS358/1</f>
        <v>247983</v>
      </c>
      <c r="AT262" s="942">
        <f t="shared" si="663"/>
        <v>252857</v>
      </c>
      <c r="AU262" s="942">
        <f t="shared" si="663"/>
        <v>259297</v>
      </c>
      <c r="AV262" s="980">
        <f t="shared" si="663"/>
        <v>259297</v>
      </c>
      <c r="AW262" s="942">
        <f t="shared" si="663"/>
        <v>261743</v>
      </c>
      <c r="AX262" s="942">
        <f t="shared" si="663"/>
        <v>267578</v>
      </c>
      <c r="AY262" s="942">
        <f t="shared" si="663"/>
        <v>270923</v>
      </c>
      <c r="AZ262" s="942">
        <f t="shared" si="663"/>
        <v>279133</v>
      </c>
      <c r="BA262" s="980">
        <f t="shared" si="663"/>
        <v>279133</v>
      </c>
      <c r="BB262" s="942">
        <f t="shared" si="663"/>
        <v>283749</v>
      </c>
      <c r="BC262" s="942">
        <f t="shared" si="663"/>
        <v>289543</v>
      </c>
      <c r="BD262" s="942">
        <f t="shared" si="663"/>
        <v>298508</v>
      </c>
      <c r="BE262" s="942">
        <f t="shared" si="663"/>
        <v>304269</v>
      </c>
      <c r="BF262" s="980">
        <f t="shared" si="663"/>
        <v>304269</v>
      </c>
      <c r="BG262" s="942">
        <f t="shared" si="663"/>
        <v>309944</v>
      </c>
      <c r="BH262" s="942">
        <f t="shared" si="663"/>
        <v>313899</v>
      </c>
      <c r="BI262" s="942">
        <f t="shared" si="663"/>
        <v>316919</v>
      </c>
      <c r="BJ262" s="942">
        <f t="shared" si="663"/>
        <v>321293</v>
      </c>
      <c r="BK262" s="980">
        <f t="shared" si="663"/>
        <v>321293</v>
      </c>
      <c r="BL262" s="942">
        <f t="shared" si="663"/>
        <v>323248</v>
      </c>
      <c r="BM262" s="942">
        <f t="shared" si="663"/>
        <v>325314</v>
      </c>
      <c r="BN262" s="942">
        <f t="shared" si="663"/>
        <v>328899</v>
      </c>
      <c r="BO262" s="942">
        <f t="shared" si="663"/>
        <v>332636</v>
      </c>
      <c r="BP262" s="980">
        <f t="shared" si="663"/>
        <v>332636</v>
      </c>
      <c r="BQ262" s="942">
        <f t="shared" si="663"/>
        <v>334967</v>
      </c>
      <c r="BR262" s="942">
        <f t="shared" si="663"/>
        <v>337994</v>
      </c>
      <c r="BS262" s="942">
        <f>BS358/1</f>
        <v>340699</v>
      </c>
      <c r="BT262" s="942">
        <f t="shared" si="663"/>
        <v>344314</v>
      </c>
      <c r="BU262" s="980">
        <f t="shared" si="663"/>
        <v>344314</v>
      </c>
      <c r="BV262" s="942">
        <f>BV358/1</f>
        <v>345747</v>
      </c>
      <c r="BW262" s="942">
        <f>BW358/1</f>
        <v>351258</v>
      </c>
      <c r="BX262" s="942">
        <f>BX358/1</f>
        <v>356066</v>
      </c>
      <c r="BY262" s="942">
        <f>BY358/1</f>
        <v>360396</v>
      </c>
      <c r="BZ262" s="980">
        <f t="shared" si="663"/>
        <v>360396</v>
      </c>
      <c r="CA262" s="942">
        <f>CA358/1</f>
        <v>364059</v>
      </c>
      <c r="CB262" s="942">
        <f t="shared" si="663"/>
        <v>372340</v>
      </c>
      <c r="CC262" s="942">
        <f t="shared" si="663"/>
        <v>379254</v>
      </c>
      <c r="CD262" s="942">
        <f t="shared" si="663"/>
        <v>388624</v>
      </c>
      <c r="CE262" s="980">
        <f t="shared" si="663"/>
        <v>388624</v>
      </c>
      <c r="CF262" s="942">
        <f t="shared" ref="CF262:CL262" si="664">CF358/1</f>
        <v>396853</v>
      </c>
      <c r="CG262" s="942">
        <f t="shared" si="664"/>
        <v>406510</v>
      </c>
      <c r="CH262" s="942">
        <f t="shared" si="664"/>
        <v>415833</v>
      </c>
      <c r="CI262" s="942">
        <f t="shared" si="664"/>
        <v>420507</v>
      </c>
      <c r="CJ262" s="980">
        <f t="shared" si="664"/>
        <v>420507</v>
      </c>
      <c r="CK262" s="942">
        <f t="shared" si="664"/>
        <v>428216</v>
      </c>
      <c r="CL262" s="942">
        <f t="shared" si="664"/>
        <v>440159</v>
      </c>
      <c r="CM262" s="942">
        <f t="shared" ref="CM262:CT262" si="665">CM358/1</f>
        <v>448139</v>
      </c>
      <c r="CN262" s="942">
        <f t="shared" si="665"/>
        <v>614405</v>
      </c>
      <c r="CO262" s="980">
        <f t="shared" si="665"/>
        <v>614405</v>
      </c>
      <c r="CP262" s="942">
        <f t="shared" si="665"/>
        <v>624169</v>
      </c>
      <c r="CQ262" s="942">
        <f t="shared" ca="1" si="665"/>
        <v>634490</v>
      </c>
      <c r="CR262" s="942">
        <f t="shared" ca="1" si="665"/>
        <v>649712</v>
      </c>
      <c r="CS262" s="942">
        <f t="shared" ca="1" si="665"/>
        <v>663211</v>
      </c>
      <c r="CT262" s="980">
        <f t="shared" ca="1" si="665"/>
        <v>663211</v>
      </c>
      <c r="CU262" s="942">
        <f t="shared" ref="CU262:DA262" si="666">CU358/1</f>
        <v>675001.47000000009</v>
      </c>
      <c r="CV262" s="942">
        <f t="shared" ca="1" si="666"/>
        <v>682513.27</v>
      </c>
      <c r="CW262" s="942">
        <f t="shared" ca="1" si="666"/>
        <v>697978.7</v>
      </c>
      <c r="CX262" s="942">
        <f t="shared" ca="1" si="666"/>
        <v>709842.98</v>
      </c>
      <c r="CY262" s="980">
        <f t="shared" ca="1" si="666"/>
        <v>709842.98</v>
      </c>
      <c r="CZ262" s="980">
        <f t="shared" ca="1" si="666"/>
        <v>759877.79900000012</v>
      </c>
      <c r="DA262" s="980">
        <f t="shared" ca="1" si="666"/>
        <v>786719.13693000004</v>
      </c>
      <c r="DB262"/>
      <c r="DC262"/>
      <c r="DD262" s="1131" t="s">
        <v>1208</v>
      </c>
      <c r="DE262" s="980">
        <f t="shared" si="643"/>
        <v>159053</v>
      </c>
      <c r="DF262" s="980">
        <f t="shared" si="644"/>
        <v>200881</v>
      </c>
      <c r="DG262" s="980">
        <f t="shared" si="645"/>
        <v>219384</v>
      </c>
      <c r="DH262" s="980">
        <f t="shared" si="646"/>
        <v>239648</v>
      </c>
      <c r="DI262" s="980">
        <f t="shared" si="647"/>
        <v>225715</v>
      </c>
      <c r="DJ262" s="980">
        <f t="shared" si="648"/>
        <v>232048</v>
      </c>
      <c r="DK262" s="980">
        <f t="shared" si="649"/>
        <v>243334</v>
      </c>
      <c r="DL262" s="980">
        <f t="shared" si="650"/>
        <v>259297</v>
      </c>
      <c r="DM262" s="980">
        <f t="shared" si="651"/>
        <v>279133</v>
      </c>
      <c r="DN262" s="980">
        <f t="shared" si="652"/>
        <v>304269</v>
      </c>
      <c r="DO262" s="980">
        <f t="shared" si="653"/>
        <v>321293</v>
      </c>
      <c r="DP262" s="980">
        <f t="shared" si="654"/>
        <v>332636</v>
      </c>
      <c r="DQ262" s="980">
        <f t="shared" si="655"/>
        <v>344314</v>
      </c>
      <c r="DR262" s="980">
        <f t="shared" si="656"/>
        <v>360396</v>
      </c>
      <c r="DS262" s="980">
        <f t="shared" si="657"/>
        <v>388624</v>
      </c>
      <c r="DT262" s="980">
        <f t="shared" si="658"/>
        <v>420507</v>
      </c>
      <c r="DU262" s="980">
        <f t="shared" si="659"/>
        <v>614405</v>
      </c>
      <c r="DV262" s="980">
        <f t="shared" ca="1" si="660"/>
        <v>663211</v>
      </c>
      <c r="DW262" s="980">
        <f t="shared" ca="1" si="661"/>
        <v>709842.98</v>
      </c>
      <c r="DX262" s="980">
        <f t="shared" ca="1" si="661"/>
        <v>759877.79900000012</v>
      </c>
      <c r="DY262" s="980">
        <f t="shared" ca="1" si="661"/>
        <v>786719.13693000004</v>
      </c>
      <c r="EA262"/>
      <c r="EB262"/>
      <c r="EC262"/>
      <c r="ED262"/>
      <c r="EE262"/>
      <c r="EF262"/>
      <c r="EJ262"/>
      <c r="EK262"/>
      <c r="EL262"/>
      <c r="ER262" s="212"/>
    </row>
    <row r="263" spans="1:148" s="923" customFormat="1" ht="12.75" customHeight="1" x14ac:dyDescent="0.2">
      <c r="A263" s="1560" t="s">
        <v>815</v>
      </c>
      <c r="B263" s="842"/>
      <c r="C263" s="842"/>
      <c r="D263" s="842"/>
      <c r="E263" s="842"/>
      <c r="F263" s="842"/>
      <c r="G263" s="842"/>
      <c r="H263" s="842"/>
      <c r="I263" s="842"/>
      <c r="J263" s="842"/>
      <c r="K263" s="842"/>
      <c r="L263" s="842"/>
      <c r="M263" s="971">
        <f>SUM(M261:M262)</f>
        <v>369580</v>
      </c>
      <c r="N263" s="842">
        <f t="shared" ref="N263:CE263" si="667">SUM(N261:N262)</f>
        <v>382096</v>
      </c>
      <c r="O263" s="842">
        <f t="shared" si="667"/>
        <v>393637</v>
      </c>
      <c r="P263" s="842">
        <f t="shared" si="667"/>
        <v>408692</v>
      </c>
      <c r="Q263" s="842">
        <f t="shared" si="667"/>
        <v>417172</v>
      </c>
      <c r="R263" s="971">
        <f t="shared" si="667"/>
        <v>417172</v>
      </c>
      <c r="S263" s="842">
        <f t="shared" si="667"/>
        <v>424530</v>
      </c>
      <c r="T263" s="842">
        <f t="shared" si="667"/>
        <v>429453</v>
      </c>
      <c r="U263" s="842">
        <f t="shared" si="667"/>
        <v>435977</v>
      </c>
      <c r="V263" s="842">
        <f t="shared" si="667"/>
        <v>445377</v>
      </c>
      <c r="W263" s="971">
        <f t="shared" si="667"/>
        <v>445377</v>
      </c>
      <c r="X263" s="842">
        <f t="shared" si="667"/>
        <v>452750</v>
      </c>
      <c r="Y263" s="842">
        <f t="shared" si="667"/>
        <v>459442</v>
      </c>
      <c r="Z263" s="842">
        <f t="shared" si="667"/>
        <v>466820</v>
      </c>
      <c r="AA263" s="842">
        <f t="shared" si="667"/>
        <v>473026</v>
      </c>
      <c r="AB263" s="971">
        <f t="shared" si="667"/>
        <v>473026</v>
      </c>
      <c r="AC263" s="842">
        <f t="shared" si="667"/>
        <v>477114</v>
      </c>
      <c r="AD263" s="842">
        <f t="shared" si="667"/>
        <v>483312</v>
      </c>
      <c r="AE263" s="842">
        <f t="shared" si="667"/>
        <v>487032</v>
      </c>
      <c r="AF263" s="842">
        <f t="shared" si="667"/>
        <v>465059</v>
      </c>
      <c r="AG263" s="971">
        <f t="shared" si="667"/>
        <v>465059</v>
      </c>
      <c r="AH263" s="842">
        <f t="shared" si="667"/>
        <v>467016</v>
      </c>
      <c r="AI263" s="842">
        <f t="shared" si="667"/>
        <v>471533</v>
      </c>
      <c r="AJ263" s="842">
        <f t="shared" si="667"/>
        <v>470537</v>
      </c>
      <c r="AK263" s="842">
        <f t="shared" si="667"/>
        <v>475911</v>
      </c>
      <c r="AL263" s="971">
        <f t="shared" si="667"/>
        <v>475911</v>
      </c>
      <c r="AM263" s="842">
        <f t="shared" si="667"/>
        <v>481102</v>
      </c>
      <c r="AN263" s="842">
        <f t="shared" si="667"/>
        <v>485326</v>
      </c>
      <c r="AO263" s="842">
        <f t="shared" si="667"/>
        <v>489279</v>
      </c>
      <c r="AP263" s="842">
        <f t="shared" si="667"/>
        <v>491323</v>
      </c>
      <c r="AQ263" s="971">
        <f t="shared" si="667"/>
        <v>491323</v>
      </c>
      <c r="AR263" s="842">
        <f t="shared" si="667"/>
        <v>492669</v>
      </c>
      <c r="AS263" s="842">
        <f t="shared" si="667"/>
        <v>496900</v>
      </c>
      <c r="AT263" s="842">
        <f t="shared" si="667"/>
        <v>504362</v>
      </c>
      <c r="AU263" s="842">
        <f t="shared" si="667"/>
        <v>512156</v>
      </c>
      <c r="AV263" s="971">
        <f t="shared" si="667"/>
        <v>512156</v>
      </c>
      <c r="AW263" s="842">
        <f t="shared" si="667"/>
        <v>513985</v>
      </c>
      <c r="AX263" s="842">
        <f t="shared" si="667"/>
        <v>520169</v>
      </c>
      <c r="AY263" s="842">
        <f t="shared" si="667"/>
        <v>525487</v>
      </c>
      <c r="AZ263" s="842">
        <f t="shared" si="667"/>
        <v>535092</v>
      </c>
      <c r="BA263" s="971">
        <f t="shared" si="667"/>
        <v>535092</v>
      </c>
      <c r="BB263" s="842">
        <f t="shared" si="667"/>
        <v>543029</v>
      </c>
      <c r="BC263" s="842">
        <f t="shared" si="667"/>
        <v>550232</v>
      </c>
      <c r="BD263" s="842">
        <f t="shared" si="667"/>
        <v>559927</v>
      </c>
      <c r="BE263" s="842">
        <f t="shared" si="667"/>
        <v>568802</v>
      </c>
      <c r="BF263" s="971">
        <f t="shared" si="667"/>
        <v>568802</v>
      </c>
      <c r="BG263" s="842">
        <f t="shared" si="667"/>
        <v>575885</v>
      </c>
      <c r="BH263" s="842">
        <f t="shared" si="667"/>
        <v>580619</v>
      </c>
      <c r="BI263" s="842">
        <f t="shared" si="667"/>
        <v>584893</v>
      </c>
      <c r="BJ263" s="842">
        <f t="shared" si="667"/>
        <v>590113</v>
      </c>
      <c r="BK263" s="971">
        <f t="shared" si="667"/>
        <v>590113</v>
      </c>
      <c r="BL263" s="842">
        <f t="shared" si="667"/>
        <v>594728</v>
      </c>
      <c r="BM263" s="842">
        <f t="shared" si="667"/>
        <v>597640</v>
      </c>
      <c r="BN263" s="842">
        <f t="shared" si="667"/>
        <v>601273</v>
      </c>
      <c r="BO263" s="842">
        <f t="shared" si="667"/>
        <v>606324</v>
      </c>
      <c r="BP263" s="971">
        <f t="shared" si="667"/>
        <v>606324</v>
      </c>
      <c r="BQ263" s="842">
        <f t="shared" si="667"/>
        <v>607334</v>
      </c>
      <c r="BR263" s="842">
        <f t="shared" si="667"/>
        <v>609245</v>
      </c>
      <c r="BS263" s="842">
        <f t="shared" si="667"/>
        <v>611254</v>
      </c>
      <c r="BT263" s="842">
        <f t="shared" si="667"/>
        <v>624123</v>
      </c>
      <c r="BU263" s="971">
        <f t="shared" si="667"/>
        <v>624123</v>
      </c>
      <c r="BV263" s="842">
        <f>SUM(BV261:BV262)</f>
        <v>626696</v>
      </c>
      <c r="BW263" s="842">
        <f>SUM(BW261:BW262)</f>
        <v>630413</v>
      </c>
      <c r="BX263" s="842">
        <f>SUM(BX261:BX262)</f>
        <v>634681</v>
      </c>
      <c r="BY263" s="842">
        <f>SUM(BY261:BY262)</f>
        <v>639252</v>
      </c>
      <c r="BZ263" s="971">
        <f t="shared" si="667"/>
        <v>639252</v>
      </c>
      <c r="CA263" s="842">
        <f>SUM(CA261:CA262)</f>
        <v>643186</v>
      </c>
      <c r="CB263" s="842">
        <f>SUM(CB261:CB262)</f>
        <v>659267</v>
      </c>
      <c r="CC263" s="842">
        <f>SUM(CC261:CC262)</f>
        <v>664849</v>
      </c>
      <c r="CD263" s="842">
        <f>SUM(CD261:CD262)</f>
        <v>676261</v>
      </c>
      <c r="CE263" s="971">
        <f t="shared" si="667"/>
        <v>676261</v>
      </c>
      <c r="CF263" s="842">
        <f t="shared" ref="CF263:CM263" si="668">SUM(CF261:CF262)</f>
        <v>685005</v>
      </c>
      <c r="CG263" s="842">
        <f t="shared" si="668"/>
        <v>703756</v>
      </c>
      <c r="CH263" s="842">
        <f t="shared" si="668"/>
        <v>714087</v>
      </c>
      <c r="CI263" s="842">
        <f t="shared" si="668"/>
        <v>720812</v>
      </c>
      <c r="CJ263" s="971">
        <f t="shared" si="668"/>
        <v>720812</v>
      </c>
      <c r="CK263" s="842">
        <f t="shared" si="668"/>
        <v>728387</v>
      </c>
      <c r="CL263" s="842">
        <f t="shared" si="668"/>
        <v>739400</v>
      </c>
      <c r="CM263" s="842">
        <f t="shared" si="668"/>
        <v>747904</v>
      </c>
      <c r="CN263" s="842">
        <f t="shared" ref="CN263:CT263" si="669">SUM(CN261:CN262)</f>
        <v>1135957</v>
      </c>
      <c r="CO263" s="971">
        <f t="shared" si="669"/>
        <v>1135957</v>
      </c>
      <c r="CP263" s="842">
        <f t="shared" si="669"/>
        <v>1147086</v>
      </c>
      <c r="CQ263" s="842">
        <f t="shared" ca="1" si="669"/>
        <v>1161195</v>
      </c>
      <c r="CR263" s="842">
        <f t="shared" ca="1" si="669"/>
        <v>1181188</v>
      </c>
      <c r="CS263" s="842">
        <f t="shared" ca="1" si="669"/>
        <v>1199584</v>
      </c>
      <c r="CT263" s="971">
        <f t="shared" ca="1" si="669"/>
        <v>1199584</v>
      </c>
      <c r="CU263" s="842">
        <f t="shared" ref="CU263:DA263" si="670">SUM(CU261:CU262)</f>
        <v>1217811.9400000002</v>
      </c>
      <c r="CV263" s="842">
        <f t="shared" ca="1" si="670"/>
        <v>1232070.6600000001</v>
      </c>
      <c r="CW263" s="842">
        <f t="shared" ca="1" si="670"/>
        <v>1252539.79</v>
      </c>
      <c r="CX263" s="842">
        <f t="shared" ca="1" si="670"/>
        <v>1269573.69</v>
      </c>
      <c r="CY263" s="971">
        <f t="shared" ca="1" si="670"/>
        <v>1269573.69</v>
      </c>
      <c r="CZ263" s="971">
        <f t="shared" ca="1" si="670"/>
        <v>1343934.5286000001</v>
      </c>
      <c r="DA263" s="971">
        <f t="shared" ca="1" si="670"/>
        <v>1378648.2828939999</v>
      </c>
      <c r="DB263"/>
      <c r="DC263"/>
      <c r="DD263" s="1560" t="s">
        <v>815</v>
      </c>
      <c r="DE263" s="971">
        <f t="shared" si="643"/>
        <v>369580</v>
      </c>
      <c r="DF263" s="971">
        <f t="shared" si="644"/>
        <v>417172</v>
      </c>
      <c r="DG263" s="971">
        <f t="shared" si="645"/>
        <v>445377</v>
      </c>
      <c r="DH263" s="971">
        <f t="shared" si="646"/>
        <v>473026</v>
      </c>
      <c r="DI263" s="971">
        <f t="shared" si="647"/>
        <v>465059</v>
      </c>
      <c r="DJ263" s="971">
        <f t="shared" si="648"/>
        <v>475911</v>
      </c>
      <c r="DK263" s="971">
        <f t="shared" si="649"/>
        <v>491323</v>
      </c>
      <c r="DL263" s="971">
        <f t="shared" si="650"/>
        <v>512156</v>
      </c>
      <c r="DM263" s="971">
        <f t="shared" si="651"/>
        <v>535092</v>
      </c>
      <c r="DN263" s="971">
        <f t="shared" si="652"/>
        <v>568802</v>
      </c>
      <c r="DO263" s="971">
        <f t="shared" si="653"/>
        <v>590113</v>
      </c>
      <c r="DP263" s="971">
        <f t="shared" si="654"/>
        <v>606324</v>
      </c>
      <c r="DQ263" s="971">
        <f t="shared" si="655"/>
        <v>624123</v>
      </c>
      <c r="DR263" s="971">
        <f t="shared" si="656"/>
        <v>639252</v>
      </c>
      <c r="DS263" s="971">
        <f t="shared" si="657"/>
        <v>676261</v>
      </c>
      <c r="DT263" s="971">
        <f t="shared" si="658"/>
        <v>720812</v>
      </c>
      <c r="DU263" s="971">
        <f t="shared" si="659"/>
        <v>1135957</v>
      </c>
      <c r="DV263" s="971">
        <f t="shared" ca="1" si="660"/>
        <v>1199584</v>
      </c>
      <c r="DW263" s="971">
        <f t="shared" ca="1" si="661"/>
        <v>1269573.69</v>
      </c>
      <c r="DX263" s="971">
        <f t="shared" ca="1" si="661"/>
        <v>1343934.5286000001</v>
      </c>
      <c r="DY263" s="971">
        <f t="shared" ca="1" si="661"/>
        <v>1378648.2828939999</v>
      </c>
      <c r="EA263"/>
      <c r="EB263"/>
      <c r="EC263"/>
      <c r="ED263"/>
      <c r="EE263"/>
      <c r="EF263"/>
      <c r="EJ263"/>
      <c r="EK263"/>
      <c r="EL263"/>
      <c r="ER263" s="212"/>
    </row>
    <row r="264" spans="1:148" s="930" customFormat="1" ht="12.75" customHeight="1" x14ac:dyDescent="0.2">
      <c r="A264" s="1686" t="s">
        <v>1021</v>
      </c>
      <c r="B264" s="872"/>
      <c r="C264" s="872"/>
      <c r="D264" s="872"/>
      <c r="E264" s="872"/>
      <c r="F264" s="872"/>
      <c r="G264" s="872"/>
      <c r="H264" s="872"/>
      <c r="I264" s="872"/>
      <c r="J264" s="872"/>
      <c r="K264" s="872"/>
      <c r="L264" s="872"/>
      <c r="M264" s="1001"/>
      <c r="N264" s="872"/>
      <c r="O264" s="872"/>
      <c r="P264" s="872"/>
      <c r="Q264" s="872"/>
      <c r="R264" s="1001"/>
      <c r="S264" s="872">
        <f>S261/N261-1</f>
        <v>2.1984974298141502E-2</v>
      </c>
      <c r="T264" s="872">
        <f t="shared" ref="T264:BU264" si="671">T261/O261-1</f>
        <v>1.3567606479804484E-2</v>
      </c>
      <c r="U264" s="872">
        <f t="shared" si="671"/>
        <v>1.6280108053017273E-3</v>
      </c>
      <c r="V264" s="872">
        <f t="shared" si="671"/>
        <v>4.4856235349598483E-2</v>
      </c>
      <c r="W264" s="1001">
        <f t="shared" si="671"/>
        <v>4.4856235349598483E-2</v>
      </c>
      <c r="X264" s="872">
        <f t="shared" si="671"/>
        <v>3.6314641928891112E-2</v>
      </c>
      <c r="Y264" s="872">
        <f t="shared" si="671"/>
        <v>3.4657003781915607E-2</v>
      </c>
      <c r="Z264" s="872">
        <f t="shared" si="671"/>
        <v>3.8905197565104688E-2</v>
      </c>
      <c r="AA264" s="872">
        <f t="shared" si="671"/>
        <v>3.2678003300987246E-2</v>
      </c>
      <c r="AB264" s="1001">
        <f t="shared" si="671"/>
        <v>3.2678003300987246E-2</v>
      </c>
      <c r="AC264" s="872">
        <f t="shared" si="671"/>
        <v>1.9427326513490994E-2</v>
      </c>
      <c r="AD264" s="872">
        <f t="shared" si="671"/>
        <v>2.8008901986332324E-2</v>
      </c>
      <c r="AE264" s="872">
        <f t="shared" si="671"/>
        <v>3.1320288630306115E-2</v>
      </c>
      <c r="AF264" s="872">
        <f t="shared" si="671"/>
        <v>2.5563677810247709E-2</v>
      </c>
      <c r="AG264" s="1001">
        <f t="shared" si="671"/>
        <v>2.5563677810247709E-2</v>
      </c>
      <c r="AH264" s="872">
        <f t="shared" si="671"/>
        <v>2.8169863674749607E-2</v>
      </c>
      <c r="AI264" s="872">
        <f t="shared" si="671"/>
        <v>5.3981175489858257E-2</v>
      </c>
      <c r="AJ264" s="872">
        <f t="shared" si="671"/>
        <v>2.095204477837731E-2</v>
      </c>
      <c r="AK264" s="872">
        <f t="shared" si="671"/>
        <v>1.8880774115916932E-2</v>
      </c>
      <c r="AL264" s="1001">
        <f t="shared" si="671"/>
        <v>1.8880774115916932E-2</v>
      </c>
      <c r="AM264" s="872">
        <f t="shared" si="671"/>
        <v>2.3408624229979358E-2</v>
      </c>
      <c r="AN264" s="872">
        <f t="shared" si="671"/>
        <v>-4.9836367231478329E-3</v>
      </c>
      <c r="AO264" s="872">
        <f t="shared" si="671"/>
        <v>2.3156265692012568E-2</v>
      </c>
      <c r="AP264" s="872">
        <f t="shared" si="671"/>
        <v>1.6919335856607987E-2</v>
      </c>
      <c r="AQ264" s="1001">
        <f t="shared" si="671"/>
        <v>1.6919335856607987E-2</v>
      </c>
      <c r="AR264" s="872">
        <f t="shared" si="671"/>
        <v>1.5449438202247201E-2</v>
      </c>
      <c r="AS264" s="872">
        <f t="shared" si="671"/>
        <v>9.4940302381416597E-3</v>
      </c>
      <c r="AT264" s="872">
        <f t="shared" si="671"/>
        <v>1.1750555144337538E-2</v>
      </c>
      <c r="AU264" s="872">
        <f t="shared" si="671"/>
        <v>1.9637967813088464E-2</v>
      </c>
      <c r="AV264" s="1001">
        <f t="shared" si="671"/>
        <v>1.9637967813088464E-2</v>
      </c>
      <c r="AW264" s="872">
        <f t="shared" si="671"/>
        <v>1.7149954231840958E-2</v>
      </c>
      <c r="AX264" s="872">
        <f t="shared" si="671"/>
        <v>1.4759940060341314E-2</v>
      </c>
      <c r="AY264" s="872">
        <f t="shared" si="671"/>
        <v>1.2162780064014722E-2</v>
      </c>
      <c r="AZ264" s="872">
        <f t="shared" si="671"/>
        <v>1.2259796961943126E-2</v>
      </c>
      <c r="BA264" s="1001">
        <f t="shared" si="671"/>
        <v>1.2259796961943126E-2</v>
      </c>
      <c r="BB264" s="872">
        <f t="shared" si="671"/>
        <v>2.7901776865074002E-2</v>
      </c>
      <c r="BC264" s="872">
        <f t="shared" si="671"/>
        <v>3.2059732927934848E-2</v>
      </c>
      <c r="BD264" s="872">
        <f t="shared" si="671"/>
        <v>2.692839521691992E-2</v>
      </c>
      <c r="BE264" s="872">
        <f t="shared" si="671"/>
        <v>3.3497552342367287E-2</v>
      </c>
      <c r="BF264" s="1001">
        <f t="shared" si="671"/>
        <v>3.3497552342367287E-2</v>
      </c>
      <c r="BG264" s="872">
        <f t="shared" si="671"/>
        <v>2.5690373341561212E-2</v>
      </c>
      <c r="BH264" s="872">
        <f t="shared" si="671"/>
        <v>2.313484650292108E-2</v>
      </c>
      <c r="BI264" s="872">
        <f t="shared" si="671"/>
        <v>2.5074688526847799E-2</v>
      </c>
      <c r="BJ264" s="872">
        <f t="shared" si="671"/>
        <v>1.6205917598182351E-2</v>
      </c>
      <c r="BK264" s="1001">
        <f t="shared" si="671"/>
        <v>1.6205917598182351E-2</v>
      </c>
      <c r="BL264" s="872">
        <f t="shared" si="671"/>
        <v>2.0827927999067519E-2</v>
      </c>
      <c r="BM264" s="872">
        <f t="shared" si="671"/>
        <v>2.1018296340731935E-2</v>
      </c>
      <c r="BN264" s="872">
        <f t="shared" si="671"/>
        <v>1.6419503384656808E-2</v>
      </c>
      <c r="BO264" s="872">
        <f t="shared" si="671"/>
        <v>1.810877166877467E-2</v>
      </c>
      <c r="BP264" s="1001">
        <f t="shared" si="671"/>
        <v>1.810877166877467E-2</v>
      </c>
      <c r="BQ264" s="872">
        <f t="shared" si="671"/>
        <v>3.2672756740828035E-3</v>
      </c>
      <c r="BR264" s="872">
        <f t="shared" si="671"/>
        <v>-3.9474747178014358E-3</v>
      </c>
      <c r="BS264" s="872">
        <f t="shared" si="671"/>
        <v>-6.6783173136936158E-3</v>
      </c>
      <c r="BT264" s="872">
        <f t="shared" si="671"/>
        <v>2.2364882640086625E-2</v>
      </c>
      <c r="BU264" s="1001">
        <f t="shared" si="671"/>
        <v>2.2364882640086625E-2</v>
      </c>
      <c r="BV264" s="872">
        <f t="shared" ref="BV264:BX266" si="672">BV261/BQ261-1</f>
        <v>3.1508956665087906E-2</v>
      </c>
      <c r="BW264" s="872">
        <f t="shared" si="672"/>
        <v>2.9139063081795147E-2</v>
      </c>
      <c r="BX264" s="872">
        <f t="shared" si="672"/>
        <v>2.9790615586479552E-2</v>
      </c>
      <c r="BY264" s="872">
        <f>BY261/BT261-1</f>
        <v>-3.405894735337367E-3</v>
      </c>
      <c r="BZ264" s="1001">
        <f t="shared" ref="BZ264:CH266" si="673">BZ261/BU261-1</f>
        <v>-3.405894735337367E-3</v>
      </c>
      <c r="CA264" s="872">
        <f t="shared" si="673"/>
        <v>-6.4851627875521789E-3</v>
      </c>
      <c r="CB264" s="872">
        <f t="shared" si="673"/>
        <v>2.784116351131094E-2</v>
      </c>
      <c r="CC264" s="872">
        <f t="shared" si="673"/>
        <v>2.5052491789745668E-2</v>
      </c>
      <c r="CD264" s="872">
        <f t="shared" si="673"/>
        <v>3.1489370858077237E-2</v>
      </c>
      <c r="CE264" s="1001">
        <f t="shared" si="673"/>
        <v>3.1489370858077237E-2</v>
      </c>
      <c r="CF264" s="872">
        <f t="shared" si="673"/>
        <v>3.2332952383681945E-2</v>
      </c>
      <c r="CG264" s="872">
        <f t="shared" si="673"/>
        <v>3.5963851432594396E-2</v>
      </c>
      <c r="CH264" s="872">
        <f t="shared" si="673"/>
        <v>4.4325005689875629E-2</v>
      </c>
      <c r="CI264" s="872">
        <f t="shared" ref="CI264:CK266" si="674">CI261/CD261-1</f>
        <v>4.4041621905387629E-2</v>
      </c>
      <c r="CJ264" s="1001">
        <f t="shared" si="674"/>
        <v>4.4041621905387629E-2</v>
      </c>
      <c r="CK264" s="872">
        <f t="shared" si="674"/>
        <v>4.1710624947944197E-2</v>
      </c>
      <c r="CL264" s="872">
        <f t="shared" ref="CL264:CO266" si="675">CL261/CG261-1</f>
        <v>6.7116126037018997E-3</v>
      </c>
      <c r="CM264" s="872">
        <f t="shared" si="675"/>
        <v>5.0661516693824016E-3</v>
      </c>
      <c r="CN264" s="872">
        <f t="shared" si="675"/>
        <v>0.73674098000366284</v>
      </c>
      <c r="CO264" s="1001">
        <f t="shared" si="675"/>
        <v>0.73674098000366284</v>
      </c>
      <c r="CP264" s="872">
        <f t="shared" ref="CP264:CR266" si="676">CP261/CK261-1</f>
        <v>0.74206369036315967</v>
      </c>
      <c r="CQ264" s="872">
        <f t="shared" si="676"/>
        <v>0.7601364786242526</v>
      </c>
      <c r="CR264" s="872">
        <f t="shared" si="676"/>
        <v>0.77297549747302052</v>
      </c>
      <c r="CS264" s="872">
        <f t="shared" ref="CS264:CT266" si="677">CS261/CN261-1</f>
        <v>2.8417108936405144E-2</v>
      </c>
      <c r="CT264" s="1001">
        <f t="shared" si="677"/>
        <v>2.8417108936405144E-2</v>
      </c>
      <c r="CU264" s="872">
        <f t="shared" ref="CU264:CY266" si="678">CU261/CP261-1</f>
        <v>3.804326499234123E-2</v>
      </c>
      <c r="CV264" s="872">
        <f t="shared" si="678"/>
        <v>4.3387455976305445E-2</v>
      </c>
      <c r="CW264" s="872">
        <f t="shared" si="678"/>
        <v>4.3435808954684685E-2</v>
      </c>
      <c r="CX264" s="872">
        <f t="shared" si="678"/>
        <v>4.3547512645118136E-2</v>
      </c>
      <c r="CY264" s="1001">
        <f t="shared" si="678"/>
        <v>4.3547512645118136E-2</v>
      </c>
      <c r="CZ264" s="1001">
        <f t="shared" ref="CZ264:DA266" si="679">CZ261/CY261-1</f>
        <v>4.346021964740876E-2</v>
      </c>
      <c r="DA264" s="1001">
        <f t="shared" si="679"/>
        <v>1.3478855674502022E-2</v>
      </c>
      <c r="DB264"/>
      <c r="DC264"/>
      <c r="DD264" s="1686" t="s">
        <v>1021</v>
      </c>
      <c r="DE264" s="1001">
        <f t="shared" si="643"/>
        <v>0</v>
      </c>
      <c r="DF264" s="1001">
        <f t="shared" si="644"/>
        <v>0</v>
      </c>
      <c r="DG264" s="1001">
        <f t="shared" si="645"/>
        <v>4.4856235349598483E-2</v>
      </c>
      <c r="DH264" s="1001">
        <f t="shared" si="646"/>
        <v>3.2678003300987246E-2</v>
      </c>
      <c r="DI264" s="1001">
        <f t="shared" si="647"/>
        <v>2.5563677810247709E-2</v>
      </c>
      <c r="DJ264" s="1001">
        <f t="shared" si="648"/>
        <v>1.8880774115916932E-2</v>
      </c>
      <c r="DK264" s="1001">
        <f t="shared" si="649"/>
        <v>1.6919335856607987E-2</v>
      </c>
      <c r="DL264" s="1001">
        <f t="shared" si="650"/>
        <v>1.9637967813088464E-2</v>
      </c>
      <c r="DM264" s="1001">
        <f t="shared" si="651"/>
        <v>1.2259796961943126E-2</v>
      </c>
      <c r="DN264" s="1001">
        <f t="shared" si="652"/>
        <v>3.3497552342367287E-2</v>
      </c>
      <c r="DO264" s="1001">
        <f t="shared" si="653"/>
        <v>1.6205917598182351E-2</v>
      </c>
      <c r="DP264" s="1001">
        <f t="shared" si="654"/>
        <v>1.810877166877467E-2</v>
      </c>
      <c r="DQ264" s="1001">
        <f t="shared" si="655"/>
        <v>2.2364882640086625E-2</v>
      </c>
      <c r="DR264" s="1001">
        <f t="shared" si="656"/>
        <v>-3.405894735337367E-3</v>
      </c>
      <c r="DS264" s="1001">
        <f t="shared" si="657"/>
        <v>3.1489370858077237E-2</v>
      </c>
      <c r="DT264" s="1001">
        <f t="shared" si="658"/>
        <v>4.4041621905387629E-2</v>
      </c>
      <c r="DU264" s="1001">
        <f t="shared" si="659"/>
        <v>0.73674098000366284</v>
      </c>
      <c r="DV264" s="1001">
        <f t="shared" si="660"/>
        <v>2.8417108936405144E-2</v>
      </c>
      <c r="DW264" s="1001">
        <f t="shared" si="661"/>
        <v>4.3547512645118136E-2</v>
      </c>
      <c r="DX264" s="1001">
        <f t="shared" si="661"/>
        <v>4.346021964740876E-2</v>
      </c>
      <c r="DY264" s="1001">
        <f t="shared" si="661"/>
        <v>1.3478855674502022E-2</v>
      </c>
      <c r="EA264"/>
      <c r="EB264"/>
      <c r="EC264"/>
      <c r="ED264"/>
      <c r="EE264"/>
      <c r="EF264"/>
      <c r="EJ264"/>
      <c r="EK264"/>
      <c r="EL264"/>
      <c r="ER264" s="1582"/>
    </row>
    <row r="265" spans="1:148" s="930" customFormat="1" ht="12.75" customHeight="1" x14ac:dyDescent="0.2">
      <c r="A265" s="1686" t="s">
        <v>1022</v>
      </c>
      <c r="B265" s="872"/>
      <c r="C265" s="872"/>
      <c r="D265" s="872"/>
      <c r="E265" s="872"/>
      <c r="F265" s="872"/>
      <c r="G265" s="872"/>
      <c r="H265" s="872"/>
      <c r="I265" s="872"/>
      <c r="J265" s="872"/>
      <c r="K265" s="872"/>
      <c r="L265" s="872"/>
      <c r="M265" s="1001"/>
      <c r="N265" s="872"/>
      <c r="O265" s="872"/>
      <c r="P265" s="872"/>
      <c r="Q265" s="872"/>
      <c r="R265" s="1001"/>
      <c r="S265" s="872">
        <f>S262/N262-1</f>
        <v>0.22561942428394488</v>
      </c>
      <c r="T265" s="872">
        <f t="shared" ref="T265:BU265" si="680">T262/O262-1</f>
        <v>0.18717244679396616</v>
      </c>
      <c r="U265" s="872">
        <f t="shared" si="680"/>
        <v>0.14401788723127695</v>
      </c>
      <c r="V265" s="872">
        <f t="shared" si="680"/>
        <v>9.210925871535891E-2</v>
      </c>
      <c r="W265" s="1001">
        <f t="shared" si="680"/>
        <v>9.210925871535891E-2</v>
      </c>
      <c r="X265" s="872">
        <f t="shared" si="680"/>
        <v>9.881907253989719E-2</v>
      </c>
      <c r="Y265" s="872">
        <f t="shared" si="680"/>
        <v>0.10713960105757647</v>
      </c>
      <c r="Z265" s="872">
        <f t="shared" si="680"/>
        <v>0.10380926998732898</v>
      </c>
      <c r="AA265" s="872">
        <f t="shared" si="680"/>
        <v>9.2367720526565389E-2</v>
      </c>
      <c r="AB265" s="1001">
        <f t="shared" si="680"/>
        <v>9.2367720526565389E-2</v>
      </c>
      <c r="AC265" s="872">
        <f t="shared" si="680"/>
        <v>8.8594772548549194E-2</v>
      </c>
      <c r="AD265" s="872">
        <f t="shared" si="680"/>
        <v>7.5690528715506078E-2</v>
      </c>
      <c r="AE265" s="872">
        <f t="shared" si="680"/>
        <v>5.5003706449221701E-2</v>
      </c>
      <c r="AF265" s="872">
        <f t="shared" si="680"/>
        <v>-5.8139437842168462E-2</v>
      </c>
      <c r="AG265" s="1001">
        <f t="shared" si="680"/>
        <v>-5.8139437842168462E-2</v>
      </c>
      <c r="AH265" s="872">
        <f t="shared" si="680"/>
        <v>-6.7895944037678291E-2</v>
      </c>
      <c r="AI265" s="872">
        <f t="shared" si="680"/>
        <v>-9.8596656634151625E-2</v>
      </c>
      <c r="AJ265" s="872">
        <f t="shared" si="680"/>
        <v>-8.6248293583875424E-2</v>
      </c>
      <c r="AK265" s="872">
        <f t="shared" si="680"/>
        <v>2.8057506147132427E-2</v>
      </c>
      <c r="AL265" s="1001">
        <f t="shared" si="680"/>
        <v>2.8057506147132427E-2</v>
      </c>
      <c r="AM265" s="872">
        <f t="shared" si="680"/>
        <v>3.7217692853327211E-2</v>
      </c>
      <c r="AN265" s="872">
        <f t="shared" si="680"/>
        <v>6.7172651773182768E-2</v>
      </c>
      <c r="AO265" s="872">
        <f t="shared" si="680"/>
        <v>5.7632734127489815E-2</v>
      </c>
      <c r="AP265" s="872">
        <f t="shared" si="680"/>
        <v>4.8636489002275463E-2</v>
      </c>
      <c r="AQ265" s="1001">
        <f t="shared" si="680"/>
        <v>4.8636489002275463E-2</v>
      </c>
      <c r="AR265" s="872">
        <f t="shared" si="680"/>
        <v>3.2901902180795917E-2</v>
      </c>
      <c r="AS265" s="872">
        <f t="shared" si="680"/>
        <v>3.8672251308900618E-2</v>
      </c>
      <c r="AT265" s="872">
        <f t="shared" si="680"/>
        <v>5.0528677371777464E-2</v>
      </c>
      <c r="AU265" s="872">
        <f t="shared" si="680"/>
        <v>6.5601190133725673E-2</v>
      </c>
      <c r="AV265" s="1001">
        <f t="shared" si="680"/>
        <v>6.5601190133725673E-2</v>
      </c>
      <c r="AW265" s="872">
        <f t="shared" si="680"/>
        <v>6.9735981690371096E-2</v>
      </c>
      <c r="AX265" s="872">
        <f t="shared" si="680"/>
        <v>7.9017513297282571E-2</v>
      </c>
      <c r="AY265" s="872">
        <f t="shared" si="680"/>
        <v>7.1447497992936704E-2</v>
      </c>
      <c r="AZ265" s="872">
        <f t="shared" si="680"/>
        <v>7.6499149623790563E-2</v>
      </c>
      <c r="BA265" s="1001">
        <f t="shared" si="680"/>
        <v>7.6499149623790563E-2</v>
      </c>
      <c r="BB265" s="872">
        <f t="shared" si="680"/>
        <v>8.4074836767363381E-2</v>
      </c>
      <c r="BC265" s="872">
        <f t="shared" si="680"/>
        <v>8.2088213530260301E-2</v>
      </c>
      <c r="BD265" s="872">
        <f t="shared" si="680"/>
        <v>0.10181859790420167</v>
      </c>
      <c r="BE265" s="872">
        <f t="shared" si="680"/>
        <v>9.0050262777958912E-2</v>
      </c>
      <c r="BF265" s="1001">
        <f t="shared" si="680"/>
        <v>9.0050262777958912E-2</v>
      </c>
      <c r="BG265" s="872">
        <f t="shared" si="680"/>
        <v>9.2317505964778723E-2</v>
      </c>
      <c r="BH265" s="872">
        <f t="shared" si="680"/>
        <v>8.4118766469919892E-2</v>
      </c>
      <c r="BI265" s="872">
        <f t="shared" si="680"/>
        <v>6.1676738981869761E-2</v>
      </c>
      <c r="BJ265" s="872">
        <f t="shared" si="680"/>
        <v>5.5950491177214845E-2</v>
      </c>
      <c r="BK265" s="1001">
        <f t="shared" si="680"/>
        <v>5.5950491177214845E-2</v>
      </c>
      <c r="BL265" s="872">
        <f t="shared" si="680"/>
        <v>4.2923883024030163E-2</v>
      </c>
      <c r="BM265" s="872">
        <f t="shared" si="680"/>
        <v>3.636520027142498E-2</v>
      </c>
      <c r="BN265" s="872">
        <f t="shared" si="680"/>
        <v>3.7801457154667206E-2</v>
      </c>
      <c r="BO265" s="872">
        <f t="shared" si="680"/>
        <v>3.5304223870423534E-2</v>
      </c>
      <c r="BP265" s="1001">
        <f t="shared" si="680"/>
        <v>3.5304223870423534E-2</v>
      </c>
      <c r="BQ265" s="872">
        <f t="shared" si="680"/>
        <v>3.625389793595013E-2</v>
      </c>
      <c r="BR265" s="872">
        <f t="shared" si="680"/>
        <v>3.8977726135364543E-2</v>
      </c>
      <c r="BS265" s="872">
        <f t="shared" si="680"/>
        <v>3.5877275394573971E-2</v>
      </c>
      <c r="BT265" s="872">
        <f t="shared" si="680"/>
        <v>3.5107444774468144E-2</v>
      </c>
      <c r="BU265" s="1001">
        <f t="shared" si="680"/>
        <v>3.5107444774468144E-2</v>
      </c>
      <c r="BV265" s="872">
        <f t="shared" si="672"/>
        <v>3.2182274671833433E-2</v>
      </c>
      <c r="BW265" s="872">
        <f t="shared" si="672"/>
        <v>3.9243300176926121E-2</v>
      </c>
      <c r="BX265" s="872">
        <f t="shared" si="672"/>
        <v>4.5104329628205653E-2</v>
      </c>
      <c r="BY265" s="872">
        <f>BY262/BT262-1</f>
        <v>4.6707365950847235E-2</v>
      </c>
      <c r="BZ265" s="1001">
        <f t="shared" si="673"/>
        <v>4.6707365950847235E-2</v>
      </c>
      <c r="CA265" s="872">
        <f t="shared" si="673"/>
        <v>5.296358319811878E-2</v>
      </c>
      <c r="CB265" s="872">
        <f t="shared" si="673"/>
        <v>6.0018561854819019E-2</v>
      </c>
      <c r="CC265" s="872">
        <f t="shared" si="673"/>
        <v>6.512275814034485E-2</v>
      </c>
      <c r="CD265" s="872">
        <f t="shared" si="673"/>
        <v>7.8324953662082919E-2</v>
      </c>
      <c r="CE265" s="1001">
        <f t="shared" si="673"/>
        <v>7.8324953662082919E-2</v>
      </c>
      <c r="CF265" s="872">
        <f t="shared" si="673"/>
        <v>9.0078805907833681E-2</v>
      </c>
      <c r="CG265" s="872">
        <f t="shared" si="673"/>
        <v>9.1770962023956626E-2</v>
      </c>
      <c r="CH265" s="872">
        <f t="shared" si="673"/>
        <v>9.6449872644718271E-2</v>
      </c>
      <c r="CI265" s="872">
        <f t="shared" si="674"/>
        <v>8.2040738605953401E-2</v>
      </c>
      <c r="CJ265" s="1001">
        <f t="shared" si="674"/>
        <v>8.2040738605953401E-2</v>
      </c>
      <c r="CK265" s="872">
        <f t="shared" si="674"/>
        <v>7.902926272448485E-2</v>
      </c>
      <c r="CL265" s="872">
        <f t="shared" si="675"/>
        <v>8.2775331480160474E-2</v>
      </c>
      <c r="CM265" s="872">
        <f t="shared" si="675"/>
        <v>7.7689841835544504E-2</v>
      </c>
      <c r="CN265" s="872">
        <f t="shared" si="675"/>
        <v>0.46110528481095447</v>
      </c>
      <c r="CO265" s="1001">
        <f t="shared" si="675"/>
        <v>0.46110528481095447</v>
      </c>
      <c r="CP265" s="872">
        <f t="shared" si="676"/>
        <v>0.45760317223083669</v>
      </c>
      <c r="CQ265" s="872">
        <f t="shared" ca="1" si="676"/>
        <v>0.44150182093289025</v>
      </c>
      <c r="CR265" s="872">
        <f t="shared" ca="1" si="676"/>
        <v>0.44980017360684976</v>
      </c>
      <c r="CS265" s="872">
        <f t="shared" ca="1" si="677"/>
        <v>7.9436202504862496E-2</v>
      </c>
      <c r="CT265" s="1001">
        <f t="shared" ca="1" si="677"/>
        <v>7.9436202504862496E-2</v>
      </c>
      <c r="CU265" s="872">
        <f t="shared" si="678"/>
        <v>8.1440234936371647E-2</v>
      </c>
      <c r="CV265" s="872">
        <f t="shared" ca="1" si="678"/>
        <v>7.568798562625112E-2</v>
      </c>
      <c r="CW265" s="872">
        <f t="shared" ca="1" si="678"/>
        <v>7.4289377447238181E-2</v>
      </c>
      <c r="CX265" s="872">
        <f t="shared" ca="1" si="678"/>
        <v>7.031243450425273E-2</v>
      </c>
      <c r="CY265" s="1001">
        <f t="shared" ca="1" si="678"/>
        <v>7.031243450425273E-2</v>
      </c>
      <c r="CZ265" s="1001">
        <f t="shared" ca="1" si="679"/>
        <v>7.0487164640270272E-2</v>
      </c>
      <c r="DA265" s="1001">
        <f t="shared" ca="1" si="679"/>
        <v>3.5323229557862046E-2</v>
      </c>
      <c r="DB265"/>
      <c r="DC265"/>
      <c r="DD265" s="1686" t="s">
        <v>1022</v>
      </c>
      <c r="DE265" s="1001">
        <f t="shared" si="643"/>
        <v>0</v>
      </c>
      <c r="DF265" s="1001">
        <f t="shared" si="644"/>
        <v>0</v>
      </c>
      <c r="DG265" s="1001">
        <f t="shared" si="645"/>
        <v>9.210925871535891E-2</v>
      </c>
      <c r="DH265" s="1001">
        <f t="shared" si="646"/>
        <v>9.2367720526565389E-2</v>
      </c>
      <c r="DI265" s="1001">
        <f t="shared" si="647"/>
        <v>-5.8139437842168462E-2</v>
      </c>
      <c r="DJ265" s="1001">
        <f t="shared" si="648"/>
        <v>2.8057506147132427E-2</v>
      </c>
      <c r="DK265" s="1001">
        <f t="shared" si="649"/>
        <v>4.8636489002275463E-2</v>
      </c>
      <c r="DL265" s="1001">
        <f t="shared" si="650"/>
        <v>6.5601190133725673E-2</v>
      </c>
      <c r="DM265" s="1001">
        <f t="shared" si="651"/>
        <v>7.6499149623790563E-2</v>
      </c>
      <c r="DN265" s="1001">
        <f t="shared" si="652"/>
        <v>9.0050262777958912E-2</v>
      </c>
      <c r="DO265" s="1001">
        <f t="shared" si="653"/>
        <v>5.5950491177214845E-2</v>
      </c>
      <c r="DP265" s="1001">
        <f t="shared" si="654"/>
        <v>3.5304223870423534E-2</v>
      </c>
      <c r="DQ265" s="1001">
        <f t="shared" si="655"/>
        <v>3.5107444774468144E-2</v>
      </c>
      <c r="DR265" s="1001">
        <f t="shared" si="656"/>
        <v>4.6707365950847235E-2</v>
      </c>
      <c r="DS265" s="1001">
        <f t="shared" si="657"/>
        <v>7.8324953662082919E-2</v>
      </c>
      <c r="DT265" s="1001">
        <f t="shared" si="658"/>
        <v>8.2040738605953401E-2</v>
      </c>
      <c r="DU265" s="1001">
        <f t="shared" si="659"/>
        <v>0.46110528481095447</v>
      </c>
      <c r="DV265" s="1001">
        <f t="shared" ca="1" si="660"/>
        <v>7.9436202504862496E-2</v>
      </c>
      <c r="DW265" s="1001">
        <f t="shared" ca="1" si="661"/>
        <v>7.031243450425273E-2</v>
      </c>
      <c r="DX265" s="1001">
        <f t="shared" ca="1" si="661"/>
        <v>7.0487164640270272E-2</v>
      </c>
      <c r="DY265" s="1001">
        <f t="shared" ca="1" si="661"/>
        <v>3.5323229557862046E-2</v>
      </c>
      <c r="EA265"/>
      <c r="EB265"/>
      <c r="EC265"/>
      <c r="ED265"/>
      <c r="EE265"/>
      <c r="EF265"/>
      <c r="EJ265"/>
      <c r="EK265"/>
      <c r="EL265"/>
      <c r="ER265" s="1582"/>
    </row>
    <row r="266" spans="1:148" s="923" customFormat="1" ht="12.75" customHeight="1" x14ac:dyDescent="0.2">
      <c r="A266" s="1686" t="s">
        <v>1020</v>
      </c>
      <c r="B266" s="872"/>
      <c r="C266" s="872"/>
      <c r="D266" s="872"/>
      <c r="E266" s="872"/>
      <c r="F266" s="872"/>
      <c r="G266" s="872"/>
      <c r="H266" s="872"/>
      <c r="I266" s="872"/>
      <c r="J266" s="872"/>
      <c r="K266" s="872"/>
      <c r="L266" s="872"/>
      <c r="M266" s="1001"/>
      <c r="N266" s="872"/>
      <c r="O266" s="872"/>
      <c r="P266" s="872"/>
      <c r="Q266" s="872"/>
      <c r="R266" s="1001"/>
      <c r="S266" s="872">
        <f>S263/N263-1</f>
        <v>0.11105586030735726</v>
      </c>
      <c r="T266" s="872">
        <f t="shared" ref="T266:AY266" si="681">T263/O263-1</f>
        <v>9.0987381775595289E-2</v>
      </c>
      <c r="U266" s="872">
        <f t="shared" si="681"/>
        <v>6.6761766807277745E-2</v>
      </c>
      <c r="V266" s="872">
        <f t="shared" si="681"/>
        <v>6.7610002588860185E-2</v>
      </c>
      <c r="W266" s="1001">
        <f t="shared" si="681"/>
        <v>6.7610002588860185E-2</v>
      </c>
      <c r="X266" s="872">
        <f t="shared" si="681"/>
        <v>6.6473511883730296E-2</v>
      </c>
      <c r="Y266" s="872">
        <f t="shared" si="681"/>
        <v>6.9830691600710759E-2</v>
      </c>
      <c r="Z266" s="872">
        <f t="shared" si="681"/>
        <v>7.0744557625746385E-2</v>
      </c>
      <c r="AA266" s="872">
        <f t="shared" si="681"/>
        <v>6.2079990659598572E-2</v>
      </c>
      <c r="AB266" s="1001">
        <f t="shared" si="681"/>
        <v>6.2079990659598572E-2</v>
      </c>
      <c r="AC266" s="872">
        <f t="shared" si="681"/>
        <v>5.3813362782992868E-2</v>
      </c>
      <c r="AD266" s="872">
        <f t="shared" si="681"/>
        <v>5.1954327205610218E-2</v>
      </c>
      <c r="AE266" s="872">
        <f t="shared" si="681"/>
        <v>4.329720234779999E-2</v>
      </c>
      <c r="AF266" s="872">
        <f t="shared" si="681"/>
        <v>-1.6842625986732251E-2</v>
      </c>
      <c r="AG266" s="1001">
        <f t="shared" si="681"/>
        <v>-1.6842625986732251E-2</v>
      </c>
      <c r="AH266" s="872">
        <f t="shared" si="681"/>
        <v>-2.1164753077880794E-2</v>
      </c>
      <c r="AI266" s="872">
        <f t="shared" si="681"/>
        <v>-2.4371420531664856E-2</v>
      </c>
      <c r="AJ266" s="872">
        <f t="shared" si="681"/>
        <v>-3.3868411110563601E-2</v>
      </c>
      <c r="AK266" s="872">
        <f t="shared" si="681"/>
        <v>2.3334673665061922E-2</v>
      </c>
      <c r="AL266" s="1001">
        <f t="shared" si="681"/>
        <v>2.3334673665061922E-2</v>
      </c>
      <c r="AM266" s="872">
        <f t="shared" si="681"/>
        <v>3.016170752179792E-2</v>
      </c>
      <c r="AN266" s="872">
        <f t="shared" si="681"/>
        <v>2.9251399159761826E-2</v>
      </c>
      <c r="AO266" s="872">
        <f t="shared" si="681"/>
        <v>3.9831086609554589E-2</v>
      </c>
      <c r="AP266" s="872">
        <f t="shared" si="681"/>
        <v>3.2384206290672068E-2</v>
      </c>
      <c r="AQ266" s="1001">
        <f t="shared" si="681"/>
        <v>3.2384206290672068E-2</v>
      </c>
      <c r="AR266" s="872">
        <f t="shared" si="681"/>
        <v>2.4042718591899437E-2</v>
      </c>
      <c r="AS266" s="872">
        <f t="shared" si="681"/>
        <v>2.3847887811491608E-2</v>
      </c>
      <c r="AT266" s="872">
        <f t="shared" si="681"/>
        <v>3.0826992370406314E-2</v>
      </c>
      <c r="AU266" s="872">
        <f t="shared" si="681"/>
        <v>4.2401841558404652E-2</v>
      </c>
      <c r="AV266" s="1001">
        <f t="shared" si="681"/>
        <v>4.2401841558404652E-2</v>
      </c>
      <c r="AW266" s="872">
        <f t="shared" si="681"/>
        <v>4.3266371539512294E-2</v>
      </c>
      <c r="AX266" s="872">
        <f t="shared" si="681"/>
        <v>4.6828335681223576E-2</v>
      </c>
      <c r="AY266" s="872">
        <f t="shared" si="681"/>
        <v>4.1884598760414171E-2</v>
      </c>
      <c r="AZ266" s="872">
        <f t="shared" ref="AZ266:BU266" si="682">AZ263/AU263-1</f>
        <v>4.4783230109576078E-2</v>
      </c>
      <c r="BA266" s="1001">
        <f t="shared" si="682"/>
        <v>4.4783230109576078E-2</v>
      </c>
      <c r="BB266" s="872">
        <f t="shared" si="682"/>
        <v>5.6507485627012466E-2</v>
      </c>
      <c r="BC266" s="872">
        <f t="shared" si="682"/>
        <v>5.7794678268024535E-2</v>
      </c>
      <c r="BD266" s="872">
        <f t="shared" si="682"/>
        <v>6.5539204585460809E-2</v>
      </c>
      <c r="BE266" s="872">
        <f t="shared" si="682"/>
        <v>6.2998512405343376E-2</v>
      </c>
      <c r="BF266" s="1001">
        <f t="shared" si="682"/>
        <v>6.2998512405343376E-2</v>
      </c>
      <c r="BG266" s="872">
        <f t="shared" si="682"/>
        <v>6.0505055899408688E-2</v>
      </c>
      <c r="BH266" s="872">
        <f t="shared" si="682"/>
        <v>5.5225795664374244E-2</v>
      </c>
      <c r="BI266" s="872">
        <f t="shared" si="682"/>
        <v>4.4587955215590558E-2</v>
      </c>
      <c r="BJ266" s="872">
        <f t="shared" si="682"/>
        <v>3.7466464604554828E-2</v>
      </c>
      <c r="BK266" s="1001">
        <f t="shared" si="682"/>
        <v>3.7466464604554828E-2</v>
      </c>
      <c r="BL266" s="872">
        <f t="shared" si="682"/>
        <v>3.2720074320393921E-2</v>
      </c>
      <c r="BM266" s="872">
        <f t="shared" si="682"/>
        <v>2.9315265260007051E-2</v>
      </c>
      <c r="BN266" s="872">
        <f t="shared" si="682"/>
        <v>2.8005122304421537E-2</v>
      </c>
      <c r="BO266" s="872">
        <f t="shared" si="682"/>
        <v>2.7471009789650447E-2</v>
      </c>
      <c r="BP266" s="1001">
        <f t="shared" si="682"/>
        <v>2.7471009789650447E-2</v>
      </c>
      <c r="BQ266" s="872">
        <f t="shared" si="682"/>
        <v>2.1196244333544056E-2</v>
      </c>
      <c r="BR266" s="872">
        <f t="shared" si="682"/>
        <v>1.9418044307609961E-2</v>
      </c>
      <c r="BS266" s="872">
        <f t="shared" si="682"/>
        <v>1.6599780798405961E-2</v>
      </c>
      <c r="BT266" s="872">
        <f t="shared" si="682"/>
        <v>2.9355592059690849E-2</v>
      </c>
      <c r="BU266" s="1001">
        <f t="shared" si="682"/>
        <v>2.9355592059690849E-2</v>
      </c>
      <c r="BV266" s="872">
        <f t="shared" si="672"/>
        <v>3.1880316267490327E-2</v>
      </c>
      <c r="BW266" s="872">
        <f t="shared" si="672"/>
        <v>3.47446429597289E-2</v>
      </c>
      <c r="BX266" s="872">
        <f t="shared" si="672"/>
        <v>3.8326129563160283E-2</v>
      </c>
      <c r="BY266" s="872">
        <f>BY263/BT263-1</f>
        <v>2.4240414149134137E-2</v>
      </c>
      <c r="BZ266" s="1001">
        <f t="shared" si="673"/>
        <v>2.4240414149134137E-2</v>
      </c>
      <c r="CA266" s="872">
        <f t="shared" si="673"/>
        <v>2.6312598133704457E-2</v>
      </c>
      <c r="CB266" s="872">
        <f t="shared" si="673"/>
        <v>4.57699952253523E-2</v>
      </c>
      <c r="CC266" s="872">
        <f t="shared" si="673"/>
        <v>4.7532539968897725E-2</v>
      </c>
      <c r="CD266" s="872">
        <f t="shared" si="673"/>
        <v>5.7894226377078306E-2</v>
      </c>
      <c r="CE266" s="1001">
        <f t="shared" si="673"/>
        <v>5.7894226377078306E-2</v>
      </c>
      <c r="CF266" s="872">
        <f t="shared" si="673"/>
        <v>6.5018517194093128E-2</v>
      </c>
      <c r="CG266" s="872">
        <f t="shared" si="673"/>
        <v>6.7482522255777999E-2</v>
      </c>
      <c r="CH266" s="872">
        <f t="shared" si="673"/>
        <v>7.4058921649878373E-2</v>
      </c>
      <c r="CI266" s="872">
        <f t="shared" si="674"/>
        <v>6.5878410850248592E-2</v>
      </c>
      <c r="CJ266" s="1001">
        <f t="shared" si="674"/>
        <v>6.5878410850248592E-2</v>
      </c>
      <c r="CK266" s="872">
        <f t="shared" si="674"/>
        <v>6.3330924591791238E-2</v>
      </c>
      <c r="CL266" s="872">
        <f t="shared" si="675"/>
        <v>5.06482360363536E-2</v>
      </c>
      <c r="CM266" s="872">
        <f t="shared" si="675"/>
        <v>4.7356974710364375E-2</v>
      </c>
      <c r="CN266" s="872">
        <f t="shared" si="675"/>
        <v>0.5759407446046958</v>
      </c>
      <c r="CO266" s="1001">
        <f t="shared" si="675"/>
        <v>0.5759407446046958</v>
      </c>
      <c r="CP266" s="872">
        <f t="shared" si="676"/>
        <v>0.57483041295355353</v>
      </c>
      <c r="CQ266" s="872">
        <f t="shared" ca="1" si="676"/>
        <v>0.57045577495266442</v>
      </c>
      <c r="CR266" s="872">
        <f t="shared" ca="1" si="676"/>
        <v>0.57933103713845635</v>
      </c>
      <c r="CS266" s="872">
        <f t="shared" ca="1" si="677"/>
        <v>5.6011803263679827E-2</v>
      </c>
      <c r="CT266" s="1001">
        <f t="shared" ca="1" si="677"/>
        <v>5.6011803263679827E-2</v>
      </c>
      <c r="CU266" s="872">
        <f t="shared" si="678"/>
        <v>6.1657050997048435E-2</v>
      </c>
      <c r="CV266" s="872">
        <f t="shared" ca="1" si="678"/>
        <v>6.1036828439667845E-2</v>
      </c>
      <c r="CW266" s="872">
        <f t="shared" ca="1" si="678"/>
        <v>6.0406802304120877E-2</v>
      </c>
      <c r="CX266" s="872">
        <f t="shared" ca="1" si="678"/>
        <v>5.8344967922212998E-2</v>
      </c>
      <c r="CY266" s="1001">
        <f t="shared" ca="1" si="678"/>
        <v>5.8344967922212998E-2</v>
      </c>
      <c r="CZ266" s="1001">
        <f t="shared" ca="1" si="679"/>
        <v>5.857150253326382E-2</v>
      </c>
      <c r="DA266" s="1001">
        <f t="shared" ca="1" si="679"/>
        <v>2.5829944506420066E-2</v>
      </c>
      <c r="DB266"/>
      <c r="DC266"/>
      <c r="DD266" s="1686" t="s">
        <v>1020</v>
      </c>
      <c r="DE266" s="1001">
        <f t="shared" si="643"/>
        <v>0</v>
      </c>
      <c r="DF266" s="1001">
        <f t="shared" si="644"/>
        <v>0</v>
      </c>
      <c r="DG266" s="1001">
        <f t="shared" si="645"/>
        <v>6.7610002588860185E-2</v>
      </c>
      <c r="DH266" s="1001">
        <f t="shared" si="646"/>
        <v>6.2079990659598572E-2</v>
      </c>
      <c r="DI266" s="1001">
        <f t="shared" si="647"/>
        <v>-1.6842625986732251E-2</v>
      </c>
      <c r="DJ266" s="1001">
        <f t="shared" si="648"/>
        <v>2.3334673665061922E-2</v>
      </c>
      <c r="DK266" s="1001">
        <f t="shared" si="649"/>
        <v>3.2384206290672068E-2</v>
      </c>
      <c r="DL266" s="1001">
        <f t="shared" si="650"/>
        <v>4.2401841558404652E-2</v>
      </c>
      <c r="DM266" s="1001">
        <f t="shared" si="651"/>
        <v>4.4783230109576078E-2</v>
      </c>
      <c r="DN266" s="1001">
        <f t="shared" si="652"/>
        <v>6.2998512405343376E-2</v>
      </c>
      <c r="DO266" s="1001">
        <f t="shared" si="653"/>
        <v>3.7466464604554828E-2</v>
      </c>
      <c r="DP266" s="1001">
        <f t="shared" si="654"/>
        <v>2.7471009789650447E-2</v>
      </c>
      <c r="DQ266" s="1001">
        <f t="shared" si="655"/>
        <v>2.9355592059690849E-2</v>
      </c>
      <c r="DR266" s="1001">
        <f t="shared" si="656"/>
        <v>2.4240414149134137E-2</v>
      </c>
      <c r="DS266" s="1001">
        <f t="shared" si="657"/>
        <v>5.7894226377078306E-2</v>
      </c>
      <c r="DT266" s="1001">
        <f t="shared" si="658"/>
        <v>6.5878410850248592E-2</v>
      </c>
      <c r="DU266" s="1001">
        <f t="shared" si="659"/>
        <v>0.5759407446046958</v>
      </c>
      <c r="DV266" s="1001">
        <f t="shared" ca="1" si="660"/>
        <v>5.6011803263679827E-2</v>
      </c>
      <c r="DW266" s="1001">
        <f t="shared" ca="1" si="661"/>
        <v>5.8344967922212998E-2</v>
      </c>
      <c r="DX266" s="1001">
        <f t="shared" ca="1" si="661"/>
        <v>5.857150253326382E-2</v>
      </c>
      <c r="DY266" s="1001">
        <f t="shared" ca="1" si="661"/>
        <v>2.5829944506420066E-2</v>
      </c>
      <c r="EA266"/>
      <c r="EB266"/>
      <c r="EC266"/>
      <c r="ED266"/>
      <c r="EE266"/>
      <c r="EF266"/>
      <c r="EJ266"/>
      <c r="EK266"/>
      <c r="EL266"/>
      <c r="ER266" s="212"/>
    </row>
    <row r="267" spans="1:148" s="923" customFormat="1" ht="12.75" customHeight="1" x14ac:dyDescent="0.2">
      <c r="A267" s="1686"/>
      <c r="B267" s="215"/>
      <c r="C267" s="215"/>
      <c r="D267" s="215"/>
      <c r="E267" s="215"/>
      <c r="F267" s="215"/>
      <c r="G267" s="215"/>
      <c r="H267" s="215"/>
      <c r="I267" s="215"/>
      <c r="J267" s="215"/>
      <c r="K267" s="215"/>
      <c r="L267" s="215"/>
      <c r="M267" s="968"/>
      <c r="N267" s="215"/>
      <c r="O267" s="215"/>
      <c r="P267" s="215"/>
      <c r="Q267" s="215"/>
      <c r="R267" s="968"/>
      <c r="S267" s="215"/>
      <c r="T267" s="215"/>
      <c r="U267" s="215"/>
      <c r="V267" s="215"/>
      <c r="W267" s="968"/>
      <c r="X267" s="215"/>
      <c r="Y267" s="215"/>
      <c r="Z267" s="215"/>
      <c r="AA267" s="215"/>
      <c r="AB267" s="968"/>
      <c r="AC267" s="215"/>
      <c r="AD267" s="215"/>
      <c r="AE267" s="215"/>
      <c r="AF267" s="215"/>
      <c r="AG267" s="968"/>
      <c r="AH267" s="215"/>
      <c r="AI267" s="215"/>
      <c r="AJ267" s="215"/>
      <c r="AK267" s="215"/>
      <c r="AL267" s="968"/>
      <c r="AM267" s="215"/>
      <c r="AN267" s="215"/>
      <c r="AO267" s="215"/>
      <c r="AP267" s="215"/>
      <c r="AQ267" s="968"/>
      <c r="AR267" s="215"/>
      <c r="AS267" s="215"/>
      <c r="AT267" s="215"/>
      <c r="AU267" s="215"/>
      <c r="AV267" s="968"/>
      <c r="AW267" s="215"/>
      <c r="AX267" s="215"/>
      <c r="AY267" s="215"/>
      <c r="AZ267" s="215"/>
      <c r="BA267" s="968"/>
      <c r="BB267" s="215"/>
      <c r="BC267" s="215"/>
      <c r="BD267" s="215"/>
      <c r="BE267" s="215"/>
      <c r="BF267" s="968"/>
      <c r="BG267" s="215"/>
      <c r="BH267" s="215"/>
      <c r="BI267" s="215"/>
      <c r="BJ267" s="215"/>
      <c r="BK267" s="968"/>
      <c r="BL267" s="215"/>
      <c r="BM267" s="215"/>
      <c r="BN267" s="215"/>
      <c r="BO267" s="215"/>
      <c r="BP267" s="968"/>
      <c r="BQ267" s="215"/>
      <c r="BR267" s="215"/>
      <c r="BS267" s="215"/>
      <c r="BT267" s="215"/>
      <c r="BU267" s="968"/>
      <c r="BV267" s="215"/>
      <c r="BW267" s="215"/>
      <c r="BX267" s="215"/>
      <c r="BY267" s="215"/>
      <c r="BZ267" s="968"/>
      <c r="CA267" s="215"/>
      <c r="CB267" s="215"/>
      <c r="CC267" s="215"/>
      <c r="CD267" s="215"/>
      <c r="CE267" s="968"/>
      <c r="CF267" s="215"/>
      <c r="CG267" s="215"/>
      <c r="CH267" s="215"/>
      <c r="CI267" s="215"/>
      <c r="CJ267" s="968"/>
      <c r="CK267" s="215"/>
      <c r="CL267" s="215"/>
      <c r="CM267" s="215"/>
      <c r="CN267" s="215"/>
      <c r="CO267" s="968"/>
      <c r="CP267" s="215"/>
      <c r="CQ267" s="215"/>
      <c r="CR267" s="215"/>
      <c r="CS267" s="215"/>
      <c r="CT267" s="968"/>
      <c r="CU267" s="215"/>
      <c r="CV267" s="215"/>
      <c r="CW267" s="215"/>
      <c r="CX267" s="215"/>
      <c r="CY267" s="968"/>
      <c r="CZ267" s="968"/>
      <c r="DA267" s="968"/>
      <c r="DB267"/>
      <c r="DC267"/>
      <c r="DD267" s="1686"/>
      <c r="DE267" s="2290"/>
      <c r="DF267" s="2290"/>
      <c r="DG267" s="2290"/>
      <c r="DH267" s="2290"/>
      <c r="DI267" s="2290"/>
      <c r="DJ267" s="2290"/>
      <c r="DK267" s="2290"/>
      <c r="DL267" s="2290"/>
      <c r="DM267" s="2290"/>
      <c r="DN267" s="2290"/>
      <c r="DO267" s="2290"/>
      <c r="DP267" s="2290"/>
      <c r="DQ267" s="2290"/>
      <c r="DR267" s="2290"/>
      <c r="DS267" s="2290"/>
      <c r="DT267" s="2290"/>
      <c r="DU267" s="2290"/>
      <c r="DV267" s="2290"/>
      <c r="DW267" s="2290"/>
      <c r="DX267" s="2290"/>
      <c r="DY267" s="2290"/>
      <c r="EA267"/>
      <c r="EB267"/>
      <c r="EC267"/>
      <c r="ED267"/>
      <c r="EE267"/>
      <c r="EF267"/>
      <c r="EJ267"/>
      <c r="EK267"/>
      <c r="EL267"/>
      <c r="ER267" s="212"/>
    </row>
    <row r="268" spans="1:148" s="923" customFormat="1" ht="12.75" customHeight="1" x14ac:dyDescent="0.2">
      <c r="A268" s="1672" t="s">
        <v>487</v>
      </c>
      <c r="B268" s="215"/>
      <c r="C268" s="215"/>
      <c r="D268" s="215"/>
      <c r="E268" s="215"/>
      <c r="F268" s="215"/>
      <c r="G268" s="215"/>
      <c r="H268" s="215"/>
      <c r="I268" s="215"/>
      <c r="J268" s="215"/>
      <c r="K268" s="215"/>
      <c r="L268" s="215"/>
      <c r="M268" s="968"/>
      <c r="N268" s="215"/>
      <c r="O268" s="215"/>
      <c r="P268" s="215"/>
      <c r="Q268" s="215"/>
      <c r="R268" s="968"/>
      <c r="S268" s="215"/>
      <c r="T268" s="215"/>
      <c r="U268" s="215"/>
      <c r="V268" s="215"/>
      <c r="W268" s="968"/>
      <c r="X268" s="215"/>
      <c r="Y268" s="215"/>
      <c r="Z268" s="215"/>
      <c r="AA268" s="215"/>
      <c r="AB268" s="968"/>
      <c r="AC268" s="215"/>
      <c r="AD268" s="215"/>
      <c r="AE268" s="215"/>
      <c r="AF268" s="215"/>
      <c r="AG268" s="968"/>
      <c r="AH268" s="215"/>
      <c r="AI268" s="215"/>
      <c r="AJ268" s="215"/>
      <c r="AK268" s="215"/>
      <c r="AL268" s="968"/>
      <c r="AM268" s="215"/>
      <c r="AN268" s="215"/>
      <c r="AO268" s="215"/>
      <c r="AP268" s="215"/>
      <c r="AQ268" s="968"/>
      <c r="AR268" s="215"/>
      <c r="AS268" s="215"/>
      <c r="AT268" s="215"/>
      <c r="AU268" s="215"/>
      <c r="AV268" s="968"/>
      <c r="AW268" s="215"/>
      <c r="AX268" s="215"/>
      <c r="AY268" s="215"/>
      <c r="AZ268" s="215"/>
      <c r="BA268" s="968"/>
      <c r="BB268" s="215"/>
      <c r="BC268" s="215"/>
      <c r="BD268" s="215"/>
      <c r="BE268" s="215"/>
      <c r="BF268" s="968"/>
      <c r="BG268" s="215"/>
      <c r="BH268" s="215"/>
      <c r="BI268" s="215"/>
      <c r="BJ268" s="215"/>
      <c r="BK268" s="968"/>
      <c r="BL268" s="215"/>
      <c r="BM268" s="215"/>
      <c r="BN268" s="215"/>
      <c r="BO268" s="215"/>
      <c r="BP268" s="968"/>
      <c r="BQ268" s="215"/>
      <c r="BR268" s="215"/>
      <c r="BS268" s="215"/>
      <c r="BT268" s="215"/>
      <c r="BU268" s="968"/>
      <c r="BV268" s="215"/>
      <c r="BW268" s="215"/>
      <c r="BX268" s="215"/>
      <c r="BY268" s="215"/>
      <c r="BZ268" s="968"/>
      <c r="CA268" s="215"/>
      <c r="CB268" s="215"/>
      <c r="CC268" s="215"/>
      <c r="CD268" s="215"/>
      <c r="CE268" s="968"/>
      <c r="CF268" s="215"/>
      <c r="CG268" s="215"/>
      <c r="CH268" s="215"/>
      <c r="CI268" s="215"/>
      <c r="CJ268" s="968"/>
      <c r="CK268" s="215"/>
      <c r="CL268" s="215"/>
      <c r="CM268" s="215"/>
      <c r="CN268" s="215"/>
      <c r="CO268" s="968"/>
      <c r="CP268" s="847"/>
      <c r="CQ268" s="215"/>
      <c r="CR268" s="215"/>
      <c r="CS268" s="215"/>
      <c r="CT268" s="968"/>
      <c r="CU268" s="847"/>
      <c r="CV268" s="215"/>
      <c r="CW268" s="215"/>
      <c r="CX268" s="215"/>
      <c r="CY268" s="968"/>
      <c r="CZ268" s="968"/>
      <c r="DA268" s="968"/>
      <c r="DB268"/>
      <c r="DC268"/>
      <c r="DD268" s="1672" t="s">
        <v>487</v>
      </c>
      <c r="DE268" s="2290"/>
      <c r="DF268" s="2290"/>
      <c r="DG268" s="2290"/>
      <c r="DH268" s="2290"/>
      <c r="DI268" s="2290"/>
      <c r="DJ268" s="2290"/>
      <c r="DK268" s="2290"/>
      <c r="DL268" s="2290"/>
      <c r="DM268" s="2290"/>
      <c r="DN268" s="2290"/>
      <c r="DO268" s="2290"/>
      <c r="DP268" s="2290"/>
      <c r="DQ268" s="2290"/>
      <c r="DR268" s="2290"/>
      <c r="DS268" s="2290"/>
      <c r="DT268" s="2290"/>
      <c r="DU268" s="2290"/>
      <c r="DV268" s="2290"/>
      <c r="DW268" s="2290"/>
      <c r="DX268" s="2290"/>
      <c r="DY268" s="2290"/>
      <c r="EA268"/>
      <c r="EB268"/>
      <c r="EC268"/>
      <c r="ED268"/>
      <c r="EE268"/>
      <c r="EF268"/>
      <c r="EJ268"/>
      <c r="EK268"/>
      <c r="EL268"/>
      <c r="ER268" s="212"/>
    </row>
    <row r="269" spans="1:148" s="923" customFormat="1" ht="12.75" customHeight="1" x14ac:dyDescent="0.2">
      <c r="A269" s="1673" t="s">
        <v>1716</v>
      </c>
      <c r="B269" s="2132"/>
      <c r="C269" s="2132"/>
      <c r="D269" s="2132"/>
      <c r="E269" s="2132"/>
      <c r="F269" s="2132"/>
      <c r="G269" s="2132"/>
      <c r="H269" s="2132"/>
      <c r="I269" s="2132"/>
      <c r="J269" s="2132"/>
      <c r="K269" s="2132"/>
      <c r="L269" s="2132"/>
      <c r="M269" s="2887"/>
      <c r="N269" s="2132"/>
      <c r="O269" s="2132"/>
      <c r="P269" s="2132"/>
      <c r="Q269" s="2132"/>
      <c r="R269" s="2887"/>
      <c r="S269" s="2132"/>
      <c r="T269" s="2132"/>
      <c r="U269" s="2132"/>
      <c r="V269" s="2132"/>
      <c r="W269" s="2887"/>
      <c r="X269" s="2132"/>
      <c r="Y269" s="2132"/>
      <c r="Z269" s="2132"/>
      <c r="AA269" s="2132"/>
      <c r="AB269" s="2887"/>
      <c r="AC269" s="2132"/>
      <c r="AD269" s="2132"/>
      <c r="AE269" s="2132"/>
      <c r="AF269" s="2132"/>
      <c r="AG269" s="2887"/>
      <c r="AH269" s="2132"/>
      <c r="AI269" s="2132"/>
      <c r="AJ269" s="2132"/>
      <c r="AK269" s="2132"/>
      <c r="AL269" s="2887"/>
      <c r="AM269" s="2132"/>
      <c r="AN269" s="2132"/>
      <c r="AO269" s="2132"/>
      <c r="AP269" s="2132"/>
      <c r="AQ269" s="2887"/>
      <c r="AR269" s="2132"/>
      <c r="AS269" s="2132"/>
      <c r="AT269" s="2132"/>
      <c r="AU269" s="2132"/>
      <c r="AV269" s="2887"/>
      <c r="AW269" s="2132"/>
      <c r="AX269" s="2132"/>
      <c r="AY269" s="2132"/>
      <c r="AZ269" s="2132"/>
      <c r="BA269" s="2887"/>
      <c r="BB269" s="2132"/>
      <c r="BC269" s="2132"/>
      <c r="BD269" s="2132"/>
      <c r="BE269" s="2132"/>
      <c r="BF269" s="2887"/>
      <c r="BG269" s="2132">
        <f>+RevPAR!AZ110</f>
        <v>-1.7999999999999999E-2</v>
      </c>
      <c r="BH269" s="2132">
        <f>+RevPAR!BA110</f>
        <v>6.3E-2</v>
      </c>
      <c r="BI269" s="2132">
        <f>+RevPAR!BB110</f>
        <v>7.1999999999999995E-2</v>
      </c>
      <c r="BJ269" s="2132">
        <f>+RevPAR!BC110</f>
        <v>7.4999999999999997E-2</v>
      </c>
      <c r="BK269" s="2887">
        <f>+RevPAR!BD110</f>
        <v>4.9000000000000002E-2</v>
      </c>
      <c r="BL269" s="2132">
        <f>+RevPAR!BE110</f>
        <v>5.8000000000000003E-2</v>
      </c>
      <c r="BM269" s="2132">
        <f>+RevPAR!BF110</f>
        <v>6.6000000000000003E-2</v>
      </c>
      <c r="BN269" s="2132">
        <f>+RevPAR!BG110</f>
        <v>6.9000000000000006E-2</v>
      </c>
      <c r="BO269" s="2132">
        <f>+RevPAR!BH110</f>
        <v>6.4000000000000001E-2</v>
      </c>
      <c r="BP269" s="2887">
        <f>+RevPAR!BI110</f>
        <v>6.5000000000000002E-2</v>
      </c>
      <c r="BQ269" s="2132">
        <f>+RevPAR!BJ110</f>
        <v>6.9000000000000006E-2</v>
      </c>
      <c r="BR269" s="2132">
        <f>+RevPAR!BK110</f>
        <v>6.5000000000000002E-2</v>
      </c>
      <c r="BS269" s="2132">
        <f>+RevPAR!BL110</f>
        <v>6.3E-2</v>
      </c>
      <c r="BT269" s="2132">
        <f>+RevPAR!BM110</f>
        <v>5.8999999999999997E-2</v>
      </c>
      <c r="BU269" s="2887">
        <f>+RevPAR!BN110</f>
        <v>6.4000000000000001E-2</v>
      </c>
      <c r="BV269" s="2132">
        <f>+RevPAR!BO110</f>
        <v>4.8000000000000001E-2</v>
      </c>
      <c r="BW269" s="2132">
        <f>+RevPAR!BP110</f>
        <v>5.1999999999999998E-2</v>
      </c>
      <c r="BX269" s="2132">
        <f>+RevPAR!BQ110</f>
        <v>5.1999999999999998E-2</v>
      </c>
      <c r="BY269" s="2132">
        <f>+RevPAR!BR110</f>
        <v>4.7E-2</v>
      </c>
      <c r="BZ269" s="1281">
        <f>+RevPAR!BS110</f>
        <v>0.05</v>
      </c>
      <c r="CA269" s="2132">
        <f>+RevPAR!BT110</f>
        <v>6.3E-2</v>
      </c>
      <c r="CB269" s="2132">
        <f>+RevPAR!BU110</f>
        <v>0.06</v>
      </c>
      <c r="CC269" s="2132">
        <f>+RevPAR!BV110</f>
        <v>8.6999999999999994E-2</v>
      </c>
      <c r="CD269" s="2132">
        <f>+RevPAR!BW110</f>
        <v>6.7000000000000004E-2</v>
      </c>
      <c r="CE269" s="1281">
        <f>+RevPAR!BX110</f>
        <v>7.0000000000000007E-2</v>
      </c>
      <c r="CF269" s="2132">
        <f>+RevPAR!BY110</f>
        <v>6.9000000000000006E-2</v>
      </c>
      <c r="CG269" s="2132">
        <f>+RevPAR!BZ110</f>
        <v>5.3999999999999999E-2</v>
      </c>
      <c r="CH269" s="2132">
        <f>+RevPAR!CA110</f>
        <v>4.2000000000000003E-2</v>
      </c>
      <c r="CI269" s="2132">
        <f>+RevPAR!CB110</f>
        <v>0.04</v>
      </c>
      <c r="CJ269" s="2887">
        <f>+RevPAR!CC110</f>
        <v>5.1999999999999998E-2</v>
      </c>
      <c r="CK269" s="2132">
        <f>+RevPAR!CD110</f>
        <v>2.4E-2</v>
      </c>
      <c r="CL269" s="2132">
        <f>+RevPAR!CE110</f>
        <v>3.2000000000000001E-2</v>
      </c>
      <c r="CM269" s="2132">
        <f>+RevPAR!CF110</f>
        <v>2.4E-2</v>
      </c>
      <c r="CN269" s="2132">
        <f>+RevPAR!CG110</f>
        <v>1.0999999999999999E-2</v>
      </c>
      <c r="CO269" s="2887">
        <f>+RevPAR!CH110</f>
        <v>2.3E-2</v>
      </c>
      <c r="CP269" s="2132">
        <f>+RevPAR!CI110</f>
        <v>3.1E-2</v>
      </c>
      <c r="CQ269" s="2132">
        <f>+RevPAR!CJ110</f>
        <v>8.9999999999999993E-3</v>
      </c>
      <c r="CR269" s="2132">
        <f>+RevPAR!CK110</f>
        <v>4.0000000000000001E-3</v>
      </c>
      <c r="CS269" s="2132">
        <f>+RevPAR!CL110</f>
        <v>3.9E-2</v>
      </c>
      <c r="CT269" s="2887">
        <f>+RevPAR!CM110</f>
        <v>2.1000000000000001E-2</v>
      </c>
      <c r="CU269" s="874">
        <f>+RevPAR!CN114</f>
        <v>1.2999999999999999E-2</v>
      </c>
      <c r="CV269" s="874">
        <f>+RevPAR!CO114</f>
        <v>2.3E-2</v>
      </c>
      <c r="CW269" s="874">
        <f>+RevPAR!CP114</f>
        <v>0.02</v>
      </c>
      <c r="CX269" s="874">
        <f>+RevPAR!CQ114</f>
        <v>1.7500000000000002E-2</v>
      </c>
      <c r="CY269" s="1042">
        <f>+RevPAR!CR114</f>
        <v>2.1410588210275749E-2</v>
      </c>
      <c r="CZ269" s="1042">
        <f>+RevPAR!CS114</f>
        <v>1.4999999999999999E-2</v>
      </c>
      <c r="DA269" s="1042">
        <f>+RevPAR!CT114</f>
        <v>-0.03</v>
      </c>
      <c r="DB269"/>
      <c r="DC269"/>
      <c r="DD269" s="2333" t="s">
        <v>1716</v>
      </c>
      <c r="DE269" s="1042">
        <f>M269</f>
        <v>0</v>
      </c>
      <c r="DF269" s="1042">
        <f>R269</f>
        <v>0</v>
      </c>
      <c r="DG269" s="1042">
        <f>W269</f>
        <v>0</v>
      </c>
      <c r="DH269" s="1042">
        <f>AB269</f>
        <v>0</v>
      </c>
      <c r="DI269" s="1042">
        <f>AG269</f>
        <v>0</v>
      </c>
      <c r="DJ269" s="1042">
        <f>AL269</f>
        <v>0</v>
      </c>
      <c r="DK269" s="1042">
        <f>AQ269</f>
        <v>0</v>
      </c>
      <c r="DL269" s="1042">
        <f>AV269</f>
        <v>0</v>
      </c>
      <c r="DM269" s="1042">
        <f>BA269</f>
        <v>0</v>
      </c>
      <c r="DN269" s="1042">
        <f>BF269</f>
        <v>0</v>
      </c>
      <c r="DO269" s="1042">
        <f>BK269</f>
        <v>4.9000000000000002E-2</v>
      </c>
      <c r="DP269" s="1042">
        <f>BP269</f>
        <v>6.5000000000000002E-2</v>
      </c>
      <c r="DQ269" s="1042">
        <f>BU269</f>
        <v>6.4000000000000001E-2</v>
      </c>
      <c r="DR269" s="1042">
        <f>BZ269</f>
        <v>0.05</v>
      </c>
      <c r="DS269" s="1042">
        <f>CE269</f>
        <v>7.0000000000000007E-2</v>
      </c>
      <c r="DT269" s="1042">
        <f>CJ269</f>
        <v>5.1999999999999998E-2</v>
      </c>
      <c r="DU269" s="1042">
        <f>CO269</f>
        <v>2.3E-2</v>
      </c>
      <c r="DV269" s="1042">
        <f>CT269</f>
        <v>2.1000000000000001E-2</v>
      </c>
      <c r="DW269" s="1042">
        <f>CY269</f>
        <v>2.1410588210275749E-2</v>
      </c>
      <c r="DX269" s="1042">
        <f>CZ269</f>
        <v>1.4999999999999999E-2</v>
      </c>
      <c r="DY269" s="1042">
        <f>DA269</f>
        <v>-0.03</v>
      </c>
      <c r="EA269"/>
      <c r="EB269"/>
      <c r="EC269"/>
      <c r="ED269"/>
      <c r="EE269"/>
      <c r="EF269"/>
      <c r="EJ269"/>
      <c r="EK269"/>
      <c r="EL269"/>
      <c r="ER269" s="212"/>
    </row>
    <row r="270" spans="1:148" s="923" customFormat="1" ht="12.75" customHeight="1" x14ac:dyDescent="0.2">
      <c r="A270" s="1673"/>
      <c r="B270" s="2132"/>
      <c r="C270" s="2132"/>
      <c r="D270" s="2132"/>
      <c r="E270" s="2132"/>
      <c r="F270" s="2132"/>
      <c r="G270" s="2132"/>
      <c r="H270" s="2132"/>
      <c r="I270" s="2132"/>
      <c r="J270" s="2132"/>
      <c r="K270" s="2132"/>
      <c r="L270" s="2132"/>
      <c r="M270" s="2887"/>
      <c r="N270" s="2132"/>
      <c r="O270" s="2132"/>
      <c r="P270" s="2132"/>
      <c r="Q270" s="2132"/>
      <c r="R270" s="2887"/>
      <c r="S270" s="2132"/>
      <c r="T270" s="2132"/>
      <c r="U270" s="2132"/>
      <c r="V270" s="2132"/>
      <c r="W270" s="2887"/>
      <c r="X270" s="2132"/>
      <c r="Y270" s="2132"/>
      <c r="Z270" s="2132"/>
      <c r="AA270" s="2132"/>
      <c r="AB270" s="2887"/>
      <c r="AC270" s="2132"/>
      <c r="AD270" s="2132"/>
      <c r="AE270" s="2132"/>
      <c r="AF270" s="2132"/>
      <c r="AG270" s="2887"/>
      <c r="AH270" s="2132"/>
      <c r="AI270" s="2132"/>
      <c r="AJ270" s="2132"/>
      <c r="AK270" s="2132"/>
      <c r="AL270" s="2887"/>
      <c r="AM270" s="2132"/>
      <c r="AN270" s="2132"/>
      <c r="AO270" s="2132"/>
      <c r="AP270" s="2132"/>
      <c r="AQ270" s="2887"/>
      <c r="AR270" s="2132"/>
      <c r="AS270" s="2132"/>
      <c r="AT270" s="2132"/>
      <c r="AU270" s="2132"/>
      <c r="AV270" s="2887"/>
      <c r="AW270" s="2132"/>
      <c r="AX270" s="2132"/>
      <c r="AY270" s="2132"/>
      <c r="AZ270" s="2132"/>
      <c r="BA270" s="2887"/>
      <c r="BB270" s="2132"/>
      <c r="BC270" s="2132"/>
      <c r="BD270" s="2132"/>
      <c r="BE270" s="2132"/>
      <c r="BF270" s="2887"/>
      <c r="BG270" s="2132"/>
      <c r="BH270" s="2132"/>
      <c r="BI270" s="2132"/>
      <c r="BJ270" s="2132"/>
      <c r="BK270" s="2887"/>
      <c r="BL270" s="2132"/>
      <c r="BM270" s="2132"/>
      <c r="BN270" s="2132"/>
      <c r="BO270" s="2132"/>
      <c r="BP270" s="2887"/>
      <c r="BQ270" s="2132"/>
      <c r="BR270" s="2132"/>
      <c r="BS270" s="2132"/>
      <c r="BT270" s="2132"/>
      <c r="BU270" s="2887"/>
      <c r="BV270" s="2132"/>
      <c r="BW270" s="2132"/>
      <c r="BX270" s="2132"/>
      <c r="BY270" s="2132"/>
      <c r="BZ270" s="1281"/>
      <c r="CA270" s="2132"/>
      <c r="CB270" s="874"/>
      <c r="CC270" s="874"/>
      <c r="CD270" s="2132"/>
      <c r="CE270" s="1281"/>
      <c r="CF270" s="2132"/>
      <c r="CG270" s="874"/>
      <c r="CH270" s="874"/>
      <c r="CI270" s="874"/>
      <c r="CJ270" s="2887"/>
      <c r="CK270" s="874"/>
      <c r="CL270" s="874"/>
      <c r="CM270" s="874"/>
      <c r="CN270" s="874"/>
      <c r="CO270" s="2887"/>
      <c r="CP270" s="874"/>
      <c r="CQ270" s="874"/>
      <c r="CR270" s="874"/>
      <c r="CS270" s="874"/>
      <c r="CT270" s="2887"/>
      <c r="CU270" s="874"/>
      <c r="CV270" s="874"/>
      <c r="CW270" s="874"/>
      <c r="CX270" s="874"/>
      <c r="CY270" s="1042"/>
      <c r="CZ270" s="1042"/>
      <c r="DA270" s="1042"/>
      <c r="DB270"/>
      <c r="DC270"/>
      <c r="DD270" s="2333"/>
      <c r="DE270" s="1042"/>
      <c r="DF270" s="1042"/>
      <c r="DG270" s="1042"/>
      <c r="DH270" s="1042"/>
      <c r="DI270" s="1042"/>
      <c r="DJ270" s="1042"/>
      <c r="DK270" s="1042"/>
      <c r="DL270" s="1042"/>
      <c r="DM270" s="1042"/>
      <c r="DN270" s="1042"/>
      <c r="DO270" s="1042"/>
      <c r="DP270" s="1042"/>
      <c r="DQ270" s="1042"/>
      <c r="DR270" s="1042"/>
      <c r="DS270" s="1042"/>
      <c r="DT270" s="1042"/>
      <c r="DU270" s="1042"/>
      <c r="DV270" s="1042"/>
      <c r="DW270" s="1042"/>
      <c r="DX270" s="1042"/>
      <c r="DY270" s="1042"/>
      <c r="EA270"/>
      <c r="EB270"/>
      <c r="EC270"/>
      <c r="ED270"/>
      <c r="EE270"/>
      <c r="EF270"/>
      <c r="EJ270"/>
      <c r="EK270"/>
      <c r="EL270"/>
      <c r="ER270" s="212"/>
    </row>
    <row r="271" spans="1:148" s="923" customFormat="1" ht="12.75" customHeight="1" x14ac:dyDescent="0.2">
      <c r="A271" s="1673" t="s">
        <v>804</v>
      </c>
      <c r="B271" s="2132"/>
      <c r="C271" s="2132"/>
      <c r="D271" s="2132"/>
      <c r="E271" s="2132"/>
      <c r="F271" s="2132"/>
      <c r="G271" s="2132"/>
      <c r="H271" s="2132"/>
      <c r="I271" s="2132"/>
      <c r="J271" s="2132"/>
      <c r="K271" s="2132"/>
      <c r="L271" s="2132"/>
      <c r="M271" s="2887"/>
      <c r="N271" s="2132"/>
      <c r="O271" s="2132"/>
      <c r="P271" s="2132"/>
      <c r="Q271" s="2132"/>
      <c r="R271" s="2887"/>
      <c r="S271" s="2132"/>
      <c r="T271" s="2132"/>
      <c r="U271" s="2132"/>
      <c r="V271" s="2132"/>
      <c r="W271" s="2887"/>
      <c r="X271" s="2132"/>
      <c r="Y271" s="2132"/>
      <c r="Z271" s="2132"/>
      <c r="AA271" s="2132"/>
      <c r="AB271" s="2887"/>
      <c r="AC271" s="2132"/>
      <c r="AD271" s="2132"/>
      <c r="AE271" s="2132"/>
      <c r="AF271" s="2132"/>
      <c r="AG271" s="2887"/>
      <c r="AH271" s="2132"/>
      <c r="AI271" s="2132"/>
      <c r="AJ271" s="2132"/>
      <c r="AK271" s="2132"/>
      <c r="AL271" s="2887"/>
      <c r="AM271" s="2132"/>
      <c r="AN271" s="2132"/>
      <c r="AO271" s="2132"/>
      <c r="AP271" s="2132"/>
      <c r="AQ271" s="2887"/>
      <c r="AR271" s="2132"/>
      <c r="AS271" s="2132"/>
      <c r="AT271" s="2132"/>
      <c r="AU271" s="2132"/>
      <c r="AV271" s="2887"/>
      <c r="AW271" s="2132"/>
      <c r="AX271" s="2132"/>
      <c r="AY271" s="2132"/>
      <c r="AZ271" s="2132"/>
      <c r="BA271" s="2887"/>
      <c r="BB271" s="2132"/>
      <c r="BC271" s="2132"/>
      <c r="BD271" s="2132"/>
      <c r="BE271" s="2132"/>
      <c r="BF271" s="2887"/>
      <c r="BG271" s="2132">
        <f>RevPAR!AZ224</f>
        <v>1.7999999999999999E-2</v>
      </c>
      <c r="BH271" s="2132">
        <f>RevPAR!BA224</f>
        <v>0.155</v>
      </c>
      <c r="BI271" s="2132">
        <f>RevPAR!BB224</f>
        <v>0.14199999999999999</v>
      </c>
      <c r="BJ271" s="2132">
        <f>RevPAR!BC224</f>
        <v>9.4E-2</v>
      </c>
      <c r="BK271" s="2887">
        <f>RevPAR!BD224</f>
        <v>0.106</v>
      </c>
      <c r="BL271" s="2132">
        <f>RevPAR!BE224</f>
        <v>0.14399999999999999</v>
      </c>
      <c r="BM271" s="2132">
        <f>RevPAR!BF224</f>
        <v>0.124</v>
      </c>
      <c r="BN271" s="2132">
        <f>RevPAR!BG224</f>
        <v>0.124</v>
      </c>
      <c r="BO271" s="2132">
        <f>RevPAR!BH224</f>
        <v>9.4E-2</v>
      </c>
      <c r="BP271" s="2887">
        <f>RevPAR!BI224</f>
        <v>9.9000000000000005E-2</v>
      </c>
      <c r="BQ271" s="2132">
        <f>RevPAR!BJ224</f>
        <v>7.5999999999999998E-2</v>
      </c>
      <c r="BR271" s="2132">
        <f>RevPAR!BK224</f>
        <v>6.9000000000000006E-2</v>
      </c>
      <c r="BS271" s="2132">
        <f>RevPAR!BL224</f>
        <v>0.03</v>
      </c>
      <c r="BT271" s="2132">
        <f>RevPAR!BM224</f>
        <v>3.4000000000000002E-2</v>
      </c>
      <c r="BU271" s="2887">
        <f>RevPAR!BN224</f>
        <v>5.2999999999999999E-2</v>
      </c>
      <c r="BV271" s="2132">
        <f>RevPAR!BO224</f>
        <v>6.0999999999999999E-2</v>
      </c>
      <c r="BW271" s="2132">
        <f>RevPAR!BP224</f>
        <v>4.3999999999999997E-2</v>
      </c>
      <c r="BX271" s="2132">
        <f>RevPAR!BQ224</f>
        <v>7.4999999999999997E-2</v>
      </c>
      <c r="BY271" s="2132">
        <f>RevPAR!BR224</f>
        <v>7.0999999999999994E-2</v>
      </c>
      <c r="BZ271" s="1281">
        <f>RevPAR!BS224</f>
        <v>6.2E-2</v>
      </c>
      <c r="CA271" s="2132">
        <f>RevPAR!BT224</f>
        <v>9.9000000000000005E-2</v>
      </c>
      <c r="CB271" s="2132">
        <f>RevPAR!BU224</f>
        <v>0.106</v>
      </c>
      <c r="CC271" s="2132">
        <f>RevPAR!BV224</f>
        <v>0.109</v>
      </c>
      <c r="CD271" s="2132">
        <f>RevPAR!BW224</f>
        <v>7.6999999999999999E-2</v>
      </c>
      <c r="CE271" s="1281">
        <f>RevPAR!BX224</f>
        <v>9.4E-2</v>
      </c>
      <c r="CF271" s="2132">
        <f>RevPAR!BY224</f>
        <v>5.7000000000000002E-2</v>
      </c>
      <c r="CG271" s="2132">
        <f>RevPAR!BZ224</f>
        <v>0.05</v>
      </c>
      <c r="CH271" s="2132">
        <f>RevPAR!CA224</f>
        <v>1.4999999999999999E-2</v>
      </c>
      <c r="CI271" s="2132">
        <f>RevPAR!CB224</f>
        <v>2.9000000000000001E-2</v>
      </c>
      <c r="CJ271" s="2887">
        <f>RevPAR!CC224</f>
        <v>4.1000000000000002E-2</v>
      </c>
      <c r="CK271" s="2132">
        <f>RevPAR!CD224</f>
        <v>0.04</v>
      </c>
      <c r="CL271" s="2132">
        <f>RevPAR!CE224</f>
        <v>-7.0000000000000001E-3</v>
      </c>
      <c r="CM271" s="3271">
        <f>RevPAR!CF224</f>
        <v>2.9000000000000001E-2</v>
      </c>
      <c r="CN271" s="3271">
        <f>RevPAR!CG224</f>
        <v>-2.5999999999999999E-2</v>
      </c>
      <c r="CO271" s="2887">
        <f>RevPAR!CH224</f>
        <v>-4.0000000000000001E-3</v>
      </c>
      <c r="CP271" s="2132">
        <f>RevPAR!CI224</f>
        <v>-1.6E-2</v>
      </c>
      <c r="CQ271" s="2132">
        <f>RevPAR!CJ224</f>
        <v>3.5000000000000003E-2</v>
      </c>
      <c r="CR271" s="2132">
        <f>RevPAR!CK224</f>
        <v>0</v>
      </c>
      <c r="CS271" s="2132">
        <f>RevPAR!CL224</f>
        <v>5.6000000000000001E-2</v>
      </c>
      <c r="CT271" s="2887">
        <f>RevPAR!CM224</f>
        <v>0.04</v>
      </c>
      <c r="CU271" s="874">
        <f>RevPAR!CN223</f>
        <v>0.03</v>
      </c>
      <c r="CV271" s="874">
        <f>RevPAR!CO223</f>
        <v>0.03</v>
      </c>
      <c r="CW271" s="874">
        <f>RevPAR!CP223</f>
        <v>0.02</v>
      </c>
      <c r="CX271" s="874">
        <f>RevPAR!CQ223</f>
        <v>0.02</v>
      </c>
      <c r="CY271" s="1042">
        <f>RevPAR!CR223</f>
        <v>2.5313026341666545E-2</v>
      </c>
      <c r="CZ271" s="1042">
        <f>RevPAR!CS223</f>
        <v>1.4999999999999999E-2</v>
      </c>
      <c r="DA271" s="1042">
        <f>RevPAR!CT223</f>
        <v>-0.03</v>
      </c>
      <c r="DB271"/>
      <c r="DC271"/>
      <c r="DD271" s="2333" t="s">
        <v>804</v>
      </c>
      <c r="DE271" s="1042">
        <f t="shared" ref="DE271:DE276" si="683">M271</f>
        <v>0</v>
      </c>
      <c r="DF271" s="1042">
        <f t="shared" ref="DF271:DF276" si="684">R271</f>
        <v>0</v>
      </c>
      <c r="DG271" s="1042">
        <f t="shared" ref="DG271:DG276" si="685">W271</f>
        <v>0</v>
      </c>
      <c r="DH271" s="1042">
        <f t="shared" ref="DH271:DH276" si="686">AB271</f>
        <v>0</v>
      </c>
      <c r="DI271" s="1042">
        <f t="shared" ref="DI271:DI276" si="687">AG271</f>
        <v>0</v>
      </c>
      <c r="DJ271" s="1042">
        <f t="shared" ref="DJ271:DJ276" si="688">AL271</f>
        <v>0</v>
      </c>
      <c r="DK271" s="1042">
        <f t="shared" ref="DK271:DK276" si="689">AQ271</f>
        <v>0</v>
      </c>
      <c r="DL271" s="1042">
        <f t="shared" ref="DL271:DL276" si="690">AV271</f>
        <v>0</v>
      </c>
      <c r="DM271" s="1042">
        <f t="shared" ref="DM271:DM276" si="691">BA271</f>
        <v>0</v>
      </c>
      <c r="DN271" s="1042">
        <f t="shared" ref="DN271:DN276" si="692">BF271</f>
        <v>0</v>
      </c>
      <c r="DO271" s="1042">
        <f t="shared" ref="DO271:DO276" si="693">BK271</f>
        <v>0.106</v>
      </c>
      <c r="DP271" s="1042">
        <f t="shared" ref="DP271:DP276" si="694">BP271</f>
        <v>9.9000000000000005E-2</v>
      </c>
      <c r="DQ271" s="1042">
        <f t="shared" ref="DQ271:DQ276" si="695">BU271</f>
        <v>5.2999999999999999E-2</v>
      </c>
      <c r="DR271" s="1042">
        <f t="shared" ref="DR271:DR276" si="696">BZ271</f>
        <v>6.2E-2</v>
      </c>
      <c r="DS271" s="1042">
        <f t="shared" ref="DS271:DS276" si="697">CE271</f>
        <v>9.4E-2</v>
      </c>
      <c r="DT271" s="1042">
        <f t="shared" ref="DT271:DT276" si="698">CJ271</f>
        <v>4.1000000000000002E-2</v>
      </c>
      <c r="DU271" s="1042">
        <f t="shared" ref="DU271:DU276" si="699">CO271</f>
        <v>-4.0000000000000001E-3</v>
      </c>
      <c r="DV271" s="1042">
        <f t="shared" ref="DV271:DV276" si="700">CT271</f>
        <v>0.04</v>
      </c>
      <c r="DW271" s="1042">
        <f t="shared" ref="DW271:DY276" si="701">CY271</f>
        <v>2.5313026341666545E-2</v>
      </c>
      <c r="DX271" s="1042">
        <f t="shared" si="701"/>
        <v>1.4999999999999999E-2</v>
      </c>
      <c r="DY271" s="1042">
        <f t="shared" si="701"/>
        <v>-0.03</v>
      </c>
      <c r="EA271"/>
      <c r="EB271"/>
      <c r="EC271"/>
      <c r="ED271"/>
      <c r="EE271"/>
      <c r="EF271"/>
      <c r="EJ271"/>
      <c r="EK271"/>
      <c r="EL271"/>
      <c r="ER271" s="212"/>
    </row>
    <row r="272" spans="1:148" s="923" customFormat="1" ht="12.75" customHeight="1" x14ac:dyDescent="0.2">
      <c r="A272" s="1673" t="s">
        <v>1930</v>
      </c>
      <c r="B272" s="2132"/>
      <c r="C272" s="2132"/>
      <c r="D272" s="2132"/>
      <c r="E272" s="2132"/>
      <c r="F272" s="2132"/>
      <c r="G272" s="2132"/>
      <c r="H272" s="2132"/>
      <c r="I272" s="2132"/>
      <c r="J272" s="2132"/>
      <c r="K272" s="2132"/>
      <c r="L272" s="2132"/>
      <c r="M272" s="2887"/>
      <c r="N272" s="2132"/>
      <c r="O272" s="2132"/>
      <c r="P272" s="2132"/>
      <c r="Q272" s="2132"/>
      <c r="R272" s="2887"/>
      <c r="S272" s="2132"/>
      <c r="T272" s="2132"/>
      <c r="U272" s="2132"/>
      <c r="V272" s="2132"/>
      <c r="W272" s="2887"/>
      <c r="X272" s="2132"/>
      <c r="Y272" s="2132"/>
      <c r="Z272" s="2132"/>
      <c r="AA272" s="2132"/>
      <c r="AB272" s="2887"/>
      <c r="AC272" s="2132"/>
      <c r="AD272" s="2132"/>
      <c r="AE272" s="2132"/>
      <c r="AF272" s="2132"/>
      <c r="AG272" s="2887"/>
      <c r="AH272" s="2132"/>
      <c r="AI272" s="2132"/>
      <c r="AJ272" s="2132"/>
      <c r="AK272" s="2132"/>
      <c r="AL272" s="2887"/>
      <c r="AM272" s="2132"/>
      <c r="AN272" s="2132"/>
      <c r="AO272" s="2132"/>
      <c r="AP272" s="2132"/>
      <c r="AQ272" s="2887"/>
      <c r="AR272" s="2132"/>
      <c r="AS272" s="2132"/>
      <c r="AT272" s="2132"/>
      <c r="AU272" s="2132"/>
      <c r="AV272" s="2887"/>
      <c r="AW272" s="2132"/>
      <c r="AX272" s="2132"/>
      <c r="AY272" s="2132"/>
      <c r="AZ272" s="2132"/>
      <c r="BA272" s="2887"/>
      <c r="BB272" s="2132"/>
      <c r="BC272" s="2132"/>
      <c r="BD272" s="2132"/>
      <c r="BE272" s="2132"/>
      <c r="BF272" s="2887"/>
      <c r="BG272" s="2132"/>
      <c r="BH272" s="2132"/>
      <c r="BI272" s="2132"/>
      <c r="BJ272" s="2132"/>
      <c r="BK272" s="2887"/>
      <c r="BL272" s="2132">
        <f>RevPAR!BE227</f>
        <v>7.1999999999999995E-2</v>
      </c>
      <c r="BM272" s="2132">
        <f>RevPAR!BF227</f>
        <v>9.0999999999999998E-2</v>
      </c>
      <c r="BN272" s="2132">
        <f>RevPAR!BG227</f>
        <v>5.8000000000000003E-2</v>
      </c>
      <c r="BO272" s="2132">
        <f>RevPAR!BH227</f>
        <v>1.6E-2</v>
      </c>
      <c r="BP272" s="2887">
        <f>RevPAR!BI227</f>
        <v>5.2999999999999999E-2</v>
      </c>
      <c r="BQ272" s="2132">
        <f>RevPAR!BJ227</f>
        <v>3.5000000000000003E-2</v>
      </c>
      <c r="BR272" s="2132">
        <f>RevPAR!BK227</f>
        <v>2.9000000000000001E-2</v>
      </c>
      <c r="BS272" s="2132">
        <f>RevPAR!BL227</f>
        <v>3.7999999999999999E-2</v>
      </c>
      <c r="BT272" s="2132">
        <f>RevPAR!BM227</f>
        <v>1.7999999999999999E-2</v>
      </c>
      <c r="BU272" s="2887">
        <f>RevPAR!BN227</f>
        <v>2.8000000000000001E-2</v>
      </c>
      <c r="BV272" s="2132">
        <f>RevPAR!BO227</f>
        <v>-1.7999999999999999E-2</v>
      </c>
      <c r="BW272" s="2132">
        <f>RevPAR!BP227</f>
        <v>1.2E-2</v>
      </c>
      <c r="BX272" s="2132">
        <f>RevPAR!BQ227</f>
        <v>2.1999999999999999E-2</v>
      </c>
      <c r="BY272" s="2132">
        <f>RevPAR!BR227</f>
        <v>3.3000000000000002E-2</v>
      </c>
      <c r="BZ272" s="1281">
        <f>RevPAR!BS227</f>
        <v>1.4999999999999999E-2</v>
      </c>
      <c r="CA272" s="2132">
        <f>RevPAR!BT227</f>
        <v>3.5999999999999997E-2</v>
      </c>
      <c r="CB272" s="2132">
        <f>RevPAR!BU227</f>
        <v>1.6E-2</v>
      </c>
      <c r="CC272" s="2132">
        <f>RevPAR!BV227</f>
        <v>3.2000000000000001E-2</v>
      </c>
      <c r="CD272" s="2132">
        <f>RevPAR!BW227</f>
        <v>2.7E-2</v>
      </c>
      <c r="CE272" s="1281">
        <f>RevPAR!BX227</f>
        <v>2.7E-2</v>
      </c>
      <c r="CF272" s="2132">
        <f>RevPAR!BY227</f>
        <v>7.0000000000000007E-2</v>
      </c>
      <c r="CG272" s="2132">
        <f>RevPAR!BZ227</f>
        <v>4.1000000000000002E-2</v>
      </c>
      <c r="CH272" s="2132">
        <f>RevPAR!CA227</f>
        <v>9.2999999999999999E-2</v>
      </c>
      <c r="CI272" s="2132">
        <f>RevPAR!CB227</f>
        <v>4.1000000000000002E-2</v>
      </c>
      <c r="CJ272" s="2887">
        <f>RevPAR!CC227</f>
        <v>6.2E-2</v>
      </c>
      <c r="CK272" s="2132">
        <f>RevPAR!CD227</f>
        <v>2.7E-2</v>
      </c>
      <c r="CL272" s="2132">
        <f>RevPAR!CE227</f>
        <v>3.4000000000000002E-2</v>
      </c>
      <c r="CM272" s="3271">
        <f>RevPAR!CF227</f>
        <v>7.0000000000000001E-3</v>
      </c>
      <c r="CN272" s="3271">
        <f>RevPAR!CG227</f>
        <v>1.7000000000000001E-2</v>
      </c>
      <c r="CO272" s="2887">
        <f>RevPAR!CH227</f>
        <v>1.4E-2</v>
      </c>
      <c r="CP272" s="2132">
        <f>RevPAR!CI227</f>
        <v>7.0000000000000007E-2</v>
      </c>
      <c r="CQ272" s="2132">
        <f>RevPAR!CJ227</f>
        <v>7.0000000000000007E-2</v>
      </c>
      <c r="CR272" s="2132">
        <f>RevPAR!CK227</f>
        <v>0.08</v>
      </c>
      <c r="CS272" s="2132">
        <f>RevPAR!CL227</f>
        <v>5.3999999999999999E-2</v>
      </c>
      <c r="CT272" s="2887">
        <f>RevPAR!CM227</f>
        <v>7.1999999999999995E-2</v>
      </c>
      <c r="CU272" s="874">
        <f>RevPAR!CN226</f>
        <v>0.04</v>
      </c>
      <c r="CV272" s="874">
        <f>RevPAR!CO226</f>
        <v>0.04</v>
      </c>
      <c r="CW272" s="874">
        <f>RevPAR!CP226</f>
        <v>0.04</v>
      </c>
      <c r="CX272" s="874">
        <f>RevPAR!CQ226</f>
        <v>0.04</v>
      </c>
      <c r="CY272" s="1042">
        <f>RevPAR!CR226</f>
        <v>4.0000000000000036E-2</v>
      </c>
      <c r="CZ272" s="1042">
        <f>RevPAR!CS226</f>
        <v>0.02</v>
      </c>
      <c r="DA272" s="1042">
        <f>RevPAR!CT226</f>
        <v>-0.03</v>
      </c>
      <c r="DB272"/>
      <c r="DC272"/>
      <c r="DD272" s="2333" t="s">
        <v>1930</v>
      </c>
      <c r="DE272" s="1042">
        <f t="shared" si="683"/>
        <v>0</v>
      </c>
      <c r="DF272" s="1042">
        <f t="shared" si="684"/>
        <v>0</v>
      </c>
      <c r="DG272" s="1042">
        <f t="shared" si="685"/>
        <v>0</v>
      </c>
      <c r="DH272" s="1042">
        <f t="shared" si="686"/>
        <v>0</v>
      </c>
      <c r="DI272" s="1042">
        <f t="shared" si="687"/>
        <v>0</v>
      </c>
      <c r="DJ272" s="1042">
        <f t="shared" si="688"/>
        <v>0</v>
      </c>
      <c r="DK272" s="1042">
        <f t="shared" si="689"/>
        <v>0</v>
      </c>
      <c r="DL272" s="1042">
        <f t="shared" si="690"/>
        <v>0</v>
      </c>
      <c r="DM272" s="1042">
        <f t="shared" si="691"/>
        <v>0</v>
      </c>
      <c r="DN272" s="1042">
        <f t="shared" si="692"/>
        <v>0</v>
      </c>
      <c r="DO272" s="1042">
        <f t="shared" si="693"/>
        <v>0</v>
      </c>
      <c r="DP272" s="1042">
        <f t="shared" si="694"/>
        <v>5.2999999999999999E-2</v>
      </c>
      <c r="DQ272" s="1042">
        <f t="shared" si="695"/>
        <v>2.8000000000000001E-2</v>
      </c>
      <c r="DR272" s="1042">
        <f t="shared" si="696"/>
        <v>1.4999999999999999E-2</v>
      </c>
      <c r="DS272" s="1042">
        <f t="shared" si="697"/>
        <v>2.7E-2</v>
      </c>
      <c r="DT272" s="1042">
        <f t="shared" si="698"/>
        <v>6.2E-2</v>
      </c>
      <c r="DU272" s="1042">
        <f t="shared" si="699"/>
        <v>1.4E-2</v>
      </c>
      <c r="DV272" s="1042">
        <f t="shared" si="700"/>
        <v>7.1999999999999995E-2</v>
      </c>
      <c r="DW272" s="1042">
        <f t="shared" si="701"/>
        <v>4.0000000000000036E-2</v>
      </c>
      <c r="DX272" s="1042">
        <f t="shared" si="701"/>
        <v>0.02</v>
      </c>
      <c r="DY272" s="1042">
        <f t="shared" si="701"/>
        <v>-0.03</v>
      </c>
      <c r="EA272"/>
      <c r="EB272"/>
      <c r="EC272"/>
      <c r="ED272"/>
      <c r="EE272"/>
      <c r="EF272"/>
      <c r="EJ272"/>
      <c r="EK272"/>
      <c r="EL272"/>
      <c r="ER272" s="212"/>
    </row>
    <row r="273" spans="1:148" s="923" customFormat="1" ht="12.75" customHeight="1" x14ac:dyDescent="0.2">
      <c r="A273" s="1673" t="s">
        <v>1645</v>
      </c>
      <c r="B273" s="2132"/>
      <c r="C273" s="2132"/>
      <c r="D273" s="2132"/>
      <c r="E273" s="2132"/>
      <c r="F273" s="2132"/>
      <c r="G273" s="2132"/>
      <c r="H273" s="2132"/>
      <c r="I273" s="2132"/>
      <c r="J273" s="2132"/>
      <c r="K273" s="2132"/>
      <c r="L273" s="2132"/>
      <c r="M273" s="2887"/>
      <c r="N273" s="2132"/>
      <c r="O273" s="2132"/>
      <c r="P273" s="2132"/>
      <c r="Q273" s="2132"/>
      <c r="R273" s="2887"/>
      <c r="S273" s="2132"/>
      <c r="T273" s="2132"/>
      <c r="U273" s="2132"/>
      <c r="V273" s="2132"/>
      <c r="W273" s="2887"/>
      <c r="X273" s="2132"/>
      <c r="Y273" s="2132"/>
      <c r="Z273" s="2132"/>
      <c r="AA273" s="2132"/>
      <c r="AB273" s="2887"/>
      <c r="AC273" s="2132"/>
      <c r="AD273" s="2132"/>
      <c r="AE273" s="2132"/>
      <c r="AF273" s="2132"/>
      <c r="AG273" s="2887"/>
      <c r="AH273" s="2132"/>
      <c r="AI273" s="2132"/>
      <c r="AJ273" s="2132"/>
      <c r="AK273" s="2132"/>
      <c r="AL273" s="2887"/>
      <c r="AM273" s="2132"/>
      <c r="AN273" s="2132"/>
      <c r="AO273" s="2132"/>
      <c r="AP273" s="2132"/>
      <c r="AQ273" s="2887"/>
      <c r="AR273" s="2132"/>
      <c r="AS273" s="2132"/>
      <c r="AT273" s="2132"/>
      <c r="AU273" s="2132"/>
      <c r="AV273" s="2887"/>
      <c r="AW273" s="2132"/>
      <c r="AX273" s="2132"/>
      <c r="AY273" s="2132"/>
      <c r="AZ273" s="2132"/>
      <c r="BA273" s="2887"/>
      <c r="BB273" s="2132"/>
      <c r="BC273" s="2132"/>
      <c r="BD273" s="2132"/>
      <c r="BE273" s="2132"/>
      <c r="BF273" s="2887"/>
      <c r="BG273" s="2132">
        <f>RevPAR!AZ236</f>
        <v>-0.11600000000000001</v>
      </c>
      <c r="BH273" s="2132">
        <f>RevPAR!BA236</f>
        <v>-0.02</v>
      </c>
      <c r="BI273" s="2132">
        <f>RevPAR!BB236</f>
        <v>-1.9E-2</v>
      </c>
      <c r="BJ273" s="2132">
        <f>RevPAR!BC236</f>
        <v>8.9999999999999993E-3</v>
      </c>
      <c r="BK273" s="2887">
        <f>RevPAR!BD236</f>
        <v>-2.3E-2</v>
      </c>
      <c r="BL273" s="2132">
        <f>RevPAR!BE236</f>
        <v>5.3999999999999999E-2</v>
      </c>
      <c r="BM273" s="2132">
        <f>RevPAR!BF236</f>
        <v>-0.159</v>
      </c>
      <c r="BN273" s="2132">
        <f>RevPAR!BG236</f>
        <v>-9.0999999999999998E-2</v>
      </c>
      <c r="BO273" s="2132">
        <f>RevPAR!BH236</f>
        <v>-8.5000000000000006E-2</v>
      </c>
      <c r="BP273" s="2887">
        <f>RevPAR!BI236</f>
        <v>-8.5000000000000006E-2</v>
      </c>
      <c r="BQ273" s="2132">
        <f>RevPAR!BJ236</f>
        <v>-5.7000000000000002E-2</v>
      </c>
      <c r="BR273" s="2132">
        <f>RevPAR!BK236</f>
        <v>0.114</v>
      </c>
      <c r="BS273" s="2132">
        <f>RevPAR!BL236</f>
        <v>0.13</v>
      </c>
      <c r="BT273" s="2132">
        <f>RevPAR!BM236</f>
        <v>0.10100000000000001</v>
      </c>
      <c r="BU273" s="2887">
        <f>RevPAR!BN236</f>
        <v>9.1999999999999998E-2</v>
      </c>
      <c r="BV273" s="2132">
        <f>RevPAR!BO236</f>
        <v>0.112</v>
      </c>
      <c r="BW273" s="2132">
        <f>RevPAR!BP236</f>
        <v>5.7000000000000002E-2</v>
      </c>
      <c r="BX273" s="2132">
        <f>RevPAR!BQ236</f>
        <v>-0.113</v>
      </c>
      <c r="BY273" s="2132">
        <f>RevPAR!BR236</f>
        <v>-0.107</v>
      </c>
      <c r="BZ273" s="1281">
        <f>RevPAR!BS236</f>
        <v>-1.4999999999999999E-2</v>
      </c>
      <c r="CA273" s="2132">
        <f>RevPAR!BT236</f>
        <v>4.0000000000000001E-3</v>
      </c>
      <c r="CB273" s="2132">
        <f>RevPAR!BU236</f>
        <v>4.9000000000000002E-2</v>
      </c>
      <c r="CC273" s="2132">
        <f>RevPAR!BV236</f>
        <v>0.15</v>
      </c>
      <c r="CD273" s="2132">
        <f>RevPAR!BW236</f>
        <v>0.14899999999999999</v>
      </c>
      <c r="CE273" s="1281">
        <f>RevPAR!BX236</f>
        <v>8.1000000000000003E-2</v>
      </c>
      <c r="CF273" s="2132">
        <f>RevPAR!BY236</f>
        <v>9.2999999999999999E-2</v>
      </c>
      <c r="CG273" s="2132">
        <f>RevPAR!BZ236</f>
        <v>8.0000000000000002E-3</v>
      </c>
      <c r="CH273" s="2132">
        <f>RevPAR!CA236</f>
        <v>3.9E-2</v>
      </c>
      <c r="CI273" s="2132">
        <f>RevPAR!CB236</f>
        <v>-6.4000000000000001E-2</v>
      </c>
      <c r="CJ273" s="2887">
        <f>RevPAR!CC236</f>
        <v>1.6E-2</v>
      </c>
      <c r="CK273" s="2132">
        <f>RevPAR!CD236</f>
        <v>-2.3E-2</v>
      </c>
      <c r="CL273" s="2132">
        <f>RevPAR!CE236</f>
        <v>-5.8999999999999997E-2</v>
      </c>
      <c r="CM273" s="3271">
        <f>RevPAR!CF236</f>
        <v>4.4999999999999998E-2</v>
      </c>
      <c r="CN273" s="3271">
        <f>RevPAR!CG236</f>
        <v>-1.0999999999999999E-2</v>
      </c>
      <c r="CO273" s="2887">
        <f>RevPAR!CH236</f>
        <v>-3.5000000000000003E-2</v>
      </c>
      <c r="CP273" s="2132">
        <f>RevPAR!CI236</f>
        <v>-3.0000000000000001E-3</v>
      </c>
      <c r="CQ273" s="2132">
        <f>RevPAR!CJ236</f>
        <v>2.4E-2</v>
      </c>
      <c r="CR273" s="2132">
        <f>RevPAR!CK236</f>
        <v>-7.0000000000000001E-3</v>
      </c>
      <c r="CS273" s="2132">
        <f>RevPAR!CL236</f>
        <v>5.7000000000000002E-2</v>
      </c>
      <c r="CT273" s="2887">
        <f>RevPAR!CM236</f>
        <v>0.02</v>
      </c>
      <c r="CU273" s="874">
        <f>RevPAR!CN235</f>
        <v>0</v>
      </c>
      <c r="CV273" s="874">
        <f>RevPAR!CO235</f>
        <v>-5.0000000000000001E-3</v>
      </c>
      <c r="CW273" s="874">
        <f>RevPAR!CP235</f>
        <v>0.01</v>
      </c>
      <c r="CX273" s="874">
        <f>RevPAR!CQ235</f>
        <v>0.01</v>
      </c>
      <c r="CY273" s="1042">
        <f>RevPAR!CR235</f>
        <v>3.7718266364545894E-3</v>
      </c>
      <c r="CZ273" s="1042">
        <f>RevPAR!CS235</f>
        <v>1.4999999999999999E-2</v>
      </c>
      <c r="DA273" s="1042">
        <f>RevPAR!CT235</f>
        <v>-0.03</v>
      </c>
      <c r="DB273"/>
      <c r="DC273"/>
      <c r="DD273" s="2333" t="s">
        <v>1645</v>
      </c>
      <c r="DE273" s="1042">
        <f t="shared" si="683"/>
        <v>0</v>
      </c>
      <c r="DF273" s="1042">
        <f t="shared" si="684"/>
        <v>0</v>
      </c>
      <c r="DG273" s="1042">
        <f t="shared" si="685"/>
        <v>0</v>
      </c>
      <c r="DH273" s="1042">
        <f t="shared" si="686"/>
        <v>0</v>
      </c>
      <c r="DI273" s="1042">
        <f t="shared" si="687"/>
        <v>0</v>
      </c>
      <c r="DJ273" s="1042">
        <f t="shared" si="688"/>
        <v>0</v>
      </c>
      <c r="DK273" s="1042">
        <f t="shared" si="689"/>
        <v>0</v>
      </c>
      <c r="DL273" s="1042">
        <f t="shared" si="690"/>
        <v>0</v>
      </c>
      <c r="DM273" s="1042">
        <f t="shared" si="691"/>
        <v>0</v>
      </c>
      <c r="DN273" s="1042">
        <f t="shared" si="692"/>
        <v>0</v>
      </c>
      <c r="DO273" s="1042">
        <f t="shared" si="693"/>
        <v>-2.3E-2</v>
      </c>
      <c r="DP273" s="1042">
        <f t="shared" si="694"/>
        <v>-8.5000000000000006E-2</v>
      </c>
      <c r="DQ273" s="1042">
        <f t="shared" si="695"/>
        <v>9.1999999999999998E-2</v>
      </c>
      <c r="DR273" s="1042">
        <f t="shared" si="696"/>
        <v>-1.4999999999999999E-2</v>
      </c>
      <c r="DS273" s="1042">
        <f t="shared" si="697"/>
        <v>8.1000000000000003E-2</v>
      </c>
      <c r="DT273" s="1042">
        <f t="shared" si="698"/>
        <v>1.6E-2</v>
      </c>
      <c r="DU273" s="1042">
        <f t="shared" si="699"/>
        <v>-3.5000000000000003E-2</v>
      </c>
      <c r="DV273" s="1042">
        <f t="shared" si="700"/>
        <v>0.02</v>
      </c>
      <c r="DW273" s="1042">
        <f t="shared" si="701"/>
        <v>3.7718266364545894E-3</v>
      </c>
      <c r="DX273" s="1042">
        <f t="shared" si="701"/>
        <v>1.4999999999999999E-2</v>
      </c>
      <c r="DY273" s="1042">
        <f t="shared" si="701"/>
        <v>-0.03</v>
      </c>
      <c r="EA273"/>
      <c r="EB273"/>
      <c r="EC273"/>
      <c r="ED273"/>
      <c r="EE273"/>
      <c r="EF273"/>
      <c r="EJ273"/>
      <c r="EK273"/>
      <c r="EL273"/>
      <c r="ER273" s="212"/>
    </row>
    <row r="274" spans="1:148" s="923" customFormat="1" ht="12.75" customHeight="1" x14ac:dyDescent="0.2">
      <c r="A274" s="1674" t="s">
        <v>808</v>
      </c>
      <c r="B274" s="2133"/>
      <c r="C274" s="2133"/>
      <c r="D274" s="2133"/>
      <c r="E274" s="2133"/>
      <c r="F274" s="2133"/>
      <c r="G274" s="2133"/>
      <c r="H274" s="2133"/>
      <c r="I274" s="2133"/>
      <c r="J274" s="2133"/>
      <c r="K274" s="2133"/>
      <c r="L274" s="2133"/>
      <c r="M274" s="2895"/>
      <c r="N274" s="2133"/>
      <c r="O274" s="2133"/>
      <c r="P274" s="2133"/>
      <c r="Q274" s="2133"/>
      <c r="R274" s="2895"/>
      <c r="S274" s="2133"/>
      <c r="T274" s="2133"/>
      <c r="U274" s="2133"/>
      <c r="V274" s="2133"/>
      <c r="W274" s="2895"/>
      <c r="X274" s="2133"/>
      <c r="Y274" s="2133"/>
      <c r="Z274" s="2133"/>
      <c r="AA274" s="2133"/>
      <c r="AB274" s="2895"/>
      <c r="AC274" s="2133"/>
      <c r="AD274" s="2133"/>
      <c r="AE274" s="2133"/>
      <c r="AF274" s="2133"/>
      <c r="AG274" s="2895"/>
      <c r="AH274" s="2133"/>
      <c r="AI274" s="2133"/>
      <c r="AJ274" s="2133"/>
      <c r="AK274" s="2133"/>
      <c r="AL274" s="2895"/>
      <c r="AM274" s="2133"/>
      <c r="AN274" s="2133"/>
      <c r="AO274" s="2133"/>
      <c r="AP274" s="2133"/>
      <c r="AQ274" s="2895"/>
      <c r="AR274" s="2133"/>
      <c r="AS274" s="2133"/>
      <c r="AT274" s="2133"/>
      <c r="AU274" s="2133"/>
      <c r="AV274" s="2895"/>
      <c r="AW274" s="2133"/>
      <c r="AX274" s="2133"/>
      <c r="AY274" s="2133"/>
      <c r="AZ274" s="2133"/>
      <c r="BA274" s="2895"/>
      <c r="BB274" s="2133"/>
      <c r="BC274" s="2133"/>
      <c r="BD274" s="2133"/>
      <c r="BE274" s="2133"/>
      <c r="BF274" s="2895"/>
      <c r="BG274" s="2133">
        <f>RevPAR!AZ239</f>
        <v>8.2000000000000003E-2</v>
      </c>
      <c r="BH274" s="2133">
        <f>RevPAR!BA239</f>
        <v>0.21</v>
      </c>
      <c r="BI274" s="2133">
        <f>RevPAR!BB239</f>
        <v>0.21</v>
      </c>
      <c r="BJ274" s="2133">
        <f>RevPAR!BC239</f>
        <v>0.13600000000000001</v>
      </c>
      <c r="BK274" s="2895">
        <f>RevPAR!BD239</f>
        <v>0.16500000000000001</v>
      </c>
      <c r="BL274" s="2133">
        <f>RevPAR!BE239</f>
        <v>0.17199999999999999</v>
      </c>
      <c r="BM274" s="2133">
        <f>RevPAR!BF239</f>
        <v>0.11799999999999999</v>
      </c>
      <c r="BN274" s="2133">
        <f>RevPAR!BG239</f>
        <v>8.5000000000000006E-2</v>
      </c>
      <c r="BO274" s="2133">
        <f>RevPAR!BH239</f>
        <v>8.4000000000000005E-2</v>
      </c>
      <c r="BP274" s="2895">
        <f>RevPAR!BI239</f>
        <v>0.10299999999999999</v>
      </c>
      <c r="BQ274" s="2133">
        <f>RevPAR!BJ239</f>
        <v>0.14000000000000001</v>
      </c>
      <c r="BR274" s="2133">
        <f>RevPAR!BK239</f>
        <v>0.111</v>
      </c>
      <c r="BS274" s="2133">
        <f>RevPAR!BL239</f>
        <v>6.8000000000000005E-2</v>
      </c>
      <c r="BT274" s="2133">
        <f>RevPAR!BM239</f>
        <v>3.4000000000000002E-2</v>
      </c>
      <c r="BU274" s="2895">
        <f>RevPAR!BN239</f>
        <v>7.5999999999999998E-2</v>
      </c>
      <c r="BV274" s="2133">
        <f>RevPAR!BO239</f>
        <v>3.3000000000000002E-2</v>
      </c>
      <c r="BW274" s="2133">
        <f>RevPAR!BP239</f>
        <v>2.5000000000000001E-2</v>
      </c>
      <c r="BX274" s="2133">
        <f>RevPAR!BQ239</f>
        <v>3.7999999999999999E-2</v>
      </c>
      <c r="BY274" s="2133">
        <f>RevPAR!BR239</f>
        <v>3.7999999999999999E-2</v>
      </c>
      <c r="BZ274" s="2134">
        <f>RevPAR!BS239</f>
        <v>3.4000000000000002E-2</v>
      </c>
      <c r="CA274" s="2133">
        <f>RevPAR!BT239</f>
        <v>6.4000000000000001E-2</v>
      </c>
      <c r="CB274" s="2133">
        <f>RevPAR!BU239</f>
        <v>5.6000000000000001E-2</v>
      </c>
      <c r="CC274" s="2133">
        <f>RevPAR!BV239</f>
        <v>4.9000000000000002E-2</v>
      </c>
      <c r="CD274" s="2133">
        <f>RevPAR!BW239</f>
        <v>2.9000000000000001E-2</v>
      </c>
      <c r="CE274" s="2134">
        <f>RevPAR!BX239</f>
        <v>0.05</v>
      </c>
      <c r="CF274" s="2133">
        <f>RevPAR!BY239</f>
        <v>6.2E-2</v>
      </c>
      <c r="CG274" s="2133">
        <f>RevPAR!BZ239</f>
        <v>5.7000000000000002E-2</v>
      </c>
      <c r="CH274" s="2133">
        <f>RevPAR!CA239</f>
        <v>4.9000000000000002E-2</v>
      </c>
      <c r="CI274" s="2133">
        <f>RevPAR!CB239</f>
        <v>4.7E-2</v>
      </c>
      <c r="CJ274" s="2895">
        <f>RevPAR!CC239</f>
        <v>5.5E-2</v>
      </c>
      <c r="CK274" s="2133">
        <f>RevPAR!CD239</f>
        <v>7.3999999999999996E-2</v>
      </c>
      <c r="CL274" s="2133">
        <f>RevPAR!CE239</f>
        <v>5.7000000000000002E-2</v>
      </c>
      <c r="CM274" s="3272">
        <f>RevPAR!CF239</f>
        <v>5.1999999999999998E-2</v>
      </c>
      <c r="CN274" s="3272">
        <f>RevPAR!CG239</f>
        <v>7.0000000000000001E-3</v>
      </c>
      <c r="CO274" s="2895">
        <f>RevPAR!CH239</f>
        <v>0.02</v>
      </c>
      <c r="CP274" s="2133">
        <f>RevPAR!CI239</f>
        <v>4.9000000000000002E-2</v>
      </c>
      <c r="CQ274" s="2133">
        <f>RevPAR!CJ239</f>
        <v>6.8000000000000005E-2</v>
      </c>
      <c r="CR274" s="2133">
        <f>RevPAR!CK239</f>
        <v>6.2E-2</v>
      </c>
      <c r="CS274" s="2133">
        <f>RevPAR!CL239</f>
        <v>7.1999999999999995E-2</v>
      </c>
      <c r="CT274" s="2895">
        <f>RevPAR!CM239</f>
        <v>6.8000000000000005E-2</v>
      </c>
      <c r="CU274" s="875">
        <f>RevPAR!CN238</f>
        <v>0.06</v>
      </c>
      <c r="CV274" s="875">
        <f>RevPAR!CO238</f>
        <v>7.0000000000000007E-2</v>
      </c>
      <c r="CW274" s="875">
        <f>RevPAR!CP238</f>
        <v>0.04</v>
      </c>
      <c r="CX274" s="875">
        <f>RevPAR!CQ238</f>
        <v>0.05</v>
      </c>
      <c r="CY274" s="1049">
        <f>RevPAR!CR238</f>
        <v>5.408083025315702E-2</v>
      </c>
      <c r="CZ274" s="1049">
        <f>RevPAR!CS238</f>
        <v>0.04</v>
      </c>
      <c r="DA274" s="1049">
        <f>RevPAR!CT238</f>
        <v>-0.02</v>
      </c>
      <c r="DB274"/>
      <c r="DC274"/>
      <c r="DD274" s="1674" t="s">
        <v>808</v>
      </c>
      <c r="DE274" s="1049">
        <f t="shared" si="683"/>
        <v>0</v>
      </c>
      <c r="DF274" s="1049">
        <f t="shared" si="684"/>
        <v>0</v>
      </c>
      <c r="DG274" s="1049">
        <f t="shared" si="685"/>
        <v>0</v>
      </c>
      <c r="DH274" s="1049">
        <f t="shared" si="686"/>
        <v>0</v>
      </c>
      <c r="DI274" s="1049">
        <f t="shared" si="687"/>
        <v>0</v>
      </c>
      <c r="DJ274" s="1049">
        <f t="shared" si="688"/>
        <v>0</v>
      </c>
      <c r="DK274" s="1049">
        <f t="shared" si="689"/>
        <v>0</v>
      </c>
      <c r="DL274" s="1049">
        <f t="shared" si="690"/>
        <v>0</v>
      </c>
      <c r="DM274" s="1049">
        <f t="shared" si="691"/>
        <v>0</v>
      </c>
      <c r="DN274" s="1049">
        <f t="shared" si="692"/>
        <v>0</v>
      </c>
      <c r="DO274" s="1049">
        <f t="shared" si="693"/>
        <v>0.16500000000000001</v>
      </c>
      <c r="DP274" s="1049">
        <f t="shared" si="694"/>
        <v>0.10299999999999999</v>
      </c>
      <c r="DQ274" s="1049">
        <f t="shared" si="695"/>
        <v>7.5999999999999998E-2</v>
      </c>
      <c r="DR274" s="1049">
        <f t="shared" si="696"/>
        <v>3.4000000000000002E-2</v>
      </c>
      <c r="DS274" s="1049">
        <f t="shared" si="697"/>
        <v>0.05</v>
      </c>
      <c r="DT274" s="1049">
        <f t="shared" si="698"/>
        <v>5.5E-2</v>
      </c>
      <c r="DU274" s="1049">
        <f t="shared" si="699"/>
        <v>0.02</v>
      </c>
      <c r="DV274" s="1049">
        <f t="shared" si="700"/>
        <v>6.8000000000000005E-2</v>
      </c>
      <c r="DW274" s="1049">
        <f t="shared" si="701"/>
        <v>5.408083025315702E-2</v>
      </c>
      <c r="DX274" s="1049">
        <f t="shared" si="701"/>
        <v>0.04</v>
      </c>
      <c r="DY274" s="1049">
        <f t="shared" si="701"/>
        <v>-0.02</v>
      </c>
      <c r="EA274"/>
      <c r="EB274"/>
      <c r="EC274"/>
      <c r="ED274"/>
      <c r="EE274"/>
      <c r="EF274"/>
      <c r="EJ274"/>
      <c r="EK274"/>
      <c r="EL274"/>
      <c r="ER274" s="212"/>
    </row>
    <row r="275" spans="1:148" s="926" customFormat="1" ht="12.75" customHeight="1" x14ac:dyDescent="0.2">
      <c r="A275" s="1673" t="s">
        <v>805</v>
      </c>
      <c r="B275" s="2132"/>
      <c r="C275" s="2132"/>
      <c r="D275" s="2132"/>
      <c r="E275" s="2132"/>
      <c r="F275" s="2132"/>
      <c r="G275" s="2132"/>
      <c r="H275" s="2132"/>
      <c r="I275" s="2132"/>
      <c r="J275" s="2132"/>
      <c r="K275" s="2132"/>
      <c r="L275" s="2132"/>
      <c r="M275" s="2887"/>
      <c r="N275" s="2132"/>
      <c r="O275" s="2132"/>
      <c r="P275" s="2132"/>
      <c r="Q275" s="2132"/>
      <c r="R275" s="2887"/>
      <c r="S275" s="2132"/>
      <c r="T275" s="2132"/>
      <c r="U275" s="2132"/>
      <c r="V275" s="2132"/>
      <c r="W275" s="2887"/>
      <c r="X275" s="2132"/>
      <c r="Y275" s="2132"/>
      <c r="Z275" s="2132"/>
      <c r="AA275" s="2132"/>
      <c r="AB275" s="2887"/>
      <c r="AC275" s="2132"/>
      <c r="AD275" s="2132"/>
      <c r="AE275" s="2132"/>
      <c r="AF275" s="2132"/>
      <c r="AG275" s="2887"/>
      <c r="AH275" s="2132"/>
      <c r="AI275" s="2132"/>
      <c r="AJ275" s="2132"/>
      <c r="AK275" s="2132"/>
      <c r="AL275" s="2887"/>
      <c r="AM275" s="2132"/>
      <c r="AN275" s="2132"/>
      <c r="AO275" s="2132"/>
      <c r="AP275" s="2132"/>
      <c r="AQ275" s="2887"/>
      <c r="AR275" s="2132"/>
      <c r="AS275" s="2132"/>
      <c r="AT275" s="2132"/>
      <c r="AU275" s="2132"/>
      <c r="AV275" s="2887"/>
      <c r="AW275" s="2132"/>
      <c r="AX275" s="2132"/>
      <c r="AY275" s="2132"/>
      <c r="AZ275" s="2132"/>
      <c r="BA275" s="2887"/>
      <c r="BB275" s="2132"/>
      <c r="BC275" s="2132"/>
      <c r="BD275" s="2132"/>
      <c r="BE275" s="2132"/>
      <c r="BF275" s="2887"/>
      <c r="BG275" s="2132">
        <f>RevPAR!AZ242</f>
        <v>1.2E-2</v>
      </c>
      <c r="BH275" s="2132">
        <f>RevPAR!BA242</f>
        <v>9.8000000000000004E-2</v>
      </c>
      <c r="BI275" s="2132">
        <f>RevPAR!BB242</f>
        <v>0.12</v>
      </c>
      <c r="BJ275" s="2132">
        <f>RevPAR!BC242</f>
        <v>0.10100000000000001</v>
      </c>
      <c r="BK275" s="2887">
        <f>RevPAR!BD242</f>
        <v>9.1999999999999998E-2</v>
      </c>
      <c r="BL275" s="2132">
        <f>RevPAR!BE242</f>
        <v>0.112</v>
      </c>
      <c r="BM275" s="2132">
        <f>RevPAR!BF242</f>
        <v>7.2999999999999995E-2</v>
      </c>
      <c r="BN275" s="2132">
        <f>RevPAR!BG242</f>
        <v>6.9000000000000006E-2</v>
      </c>
      <c r="BO275" s="2132">
        <f>RevPAR!BH242</f>
        <v>4.1000000000000002E-2</v>
      </c>
      <c r="BP275" s="2887">
        <f>RevPAR!BI242</f>
        <v>6.3E-2</v>
      </c>
      <c r="BQ275" s="2132">
        <f>RevPAR!BJ242</f>
        <v>5.8999999999999997E-2</v>
      </c>
      <c r="BR275" s="2132">
        <f>RevPAR!BK242</f>
        <v>7.1999999999999995E-2</v>
      </c>
      <c r="BS275" s="2132">
        <f>RevPAR!BL242</f>
        <v>0.05</v>
      </c>
      <c r="BT275" s="2132">
        <f>RevPAR!BM242</f>
        <v>3.2000000000000001E-2</v>
      </c>
      <c r="BU275" s="2887">
        <f>RevPAR!BN242</f>
        <v>5.0999999999999997E-2</v>
      </c>
      <c r="BV275" s="2132">
        <f>RevPAR!BO242</f>
        <v>4.1000000000000002E-2</v>
      </c>
      <c r="BW275" s="2132">
        <f>RevPAR!BP242</f>
        <v>2.8000000000000001E-2</v>
      </c>
      <c r="BX275" s="2132">
        <f>RevPAR!BQ242</f>
        <v>3.4000000000000002E-2</v>
      </c>
      <c r="BY275" s="2132">
        <f>RevPAR!BR242</f>
        <v>3.2000000000000001E-2</v>
      </c>
      <c r="BZ275" s="1281">
        <f>RevPAR!BS242</f>
        <v>3.4000000000000002E-2</v>
      </c>
      <c r="CA275" s="2132">
        <f>RevPAR!BT242</f>
        <v>5.7000000000000002E-2</v>
      </c>
      <c r="CB275" s="2132">
        <f>RevPAR!BU242</f>
        <v>4.5999999999999999E-2</v>
      </c>
      <c r="CC275" s="2132">
        <f>RevPAR!BV242</f>
        <v>5.6000000000000001E-2</v>
      </c>
      <c r="CD275" s="2132">
        <f>RevPAR!BW242</f>
        <v>4.5999999999999999E-2</v>
      </c>
      <c r="CE275" s="1281">
        <f>RevPAR!BX242</f>
        <v>5.0999999999999997E-2</v>
      </c>
      <c r="CF275" s="2132">
        <f>RevPAR!BY242</f>
        <v>6.7000000000000004E-2</v>
      </c>
      <c r="CG275" s="2132">
        <f>RevPAR!BZ242</f>
        <v>4.4999999999999998E-2</v>
      </c>
      <c r="CH275" s="2132">
        <f>RevPAR!CA242</f>
        <v>6.2E-2</v>
      </c>
      <c r="CI275" s="2132">
        <f>RevPAR!CB242</f>
        <v>0.03</v>
      </c>
      <c r="CJ275" s="2887">
        <f>RevPAR!CC242</f>
        <v>5.0999999999999997E-2</v>
      </c>
      <c r="CK275" s="2132">
        <f>RevPAR!CD242</f>
        <v>3.5000000000000003E-2</v>
      </c>
      <c r="CL275" s="2132">
        <f>RevPAR!CE242</f>
        <v>1.9E-2</v>
      </c>
      <c r="CM275" s="3271">
        <f>RevPAR!CF242</f>
        <v>2.9000000000000001E-2</v>
      </c>
      <c r="CN275" s="3271">
        <f>RevPAR!CG242</f>
        <v>2E-3</v>
      </c>
      <c r="CO275" s="2887">
        <f>RevPAR!CH242</f>
        <v>7.0000000000000001E-3</v>
      </c>
      <c r="CP275" s="2132">
        <f>RevPAR!CI242</f>
        <v>3.2000000000000001E-2</v>
      </c>
      <c r="CQ275" s="2132">
        <f>RevPAR!CJ242</f>
        <v>5.8000000000000003E-2</v>
      </c>
      <c r="CR275" s="2132">
        <f>RevPAR!CK242</f>
        <v>6.5000000000000002E-2</v>
      </c>
      <c r="CS275" s="2132">
        <f>RevPAR!CL242</f>
        <v>6.2E-2</v>
      </c>
      <c r="CT275" s="2887">
        <f>RevPAR!CM242</f>
        <v>5.8999999999999997E-2</v>
      </c>
      <c r="CU275" s="874">
        <f ca="1">RevPAR!CN241</f>
        <v>4.2600892396049098E-2</v>
      </c>
      <c r="CV275" s="874">
        <f ca="1">RevPAR!CO241</f>
        <v>4.7403907264118916E-2</v>
      </c>
      <c r="CW275" s="874">
        <f ca="1">RevPAR!CP241</f>
        <v>3.5651506744801734E-2</v>
      </c>
      <c r="CX275" s="874">
        <f ca="1">RevPAR!CQ241</f>
        <v>3.8766745159403523E-2</v>
      </c>
      <c r="CY275" s="1042">
        <f ca="1">RevPAR!CR241</f>
        <v>4.1105762891093314E-2</v>
      </c>
      <c r="CZ275" s="1042">
        <f ca="1">RevPAR!CS241</f>
        <v>2.7853990878207037E-2</v>
      </c>
      <c r="DA275" s="1042">
        <f ca="1">RevPAR!CT241</f>
        <v>-2.5477177589124517E-2</v>
      </c>
      <c r="DB275"/>
      <c r="DC275"/>
      <c r="DD275" s="2333" t="s">
        <v>805</v>
      </c>
      <c r="DE275" s="1042">
        <f t="shared" si="683"/>
        <v>0</v>
      </c>
      <c r="DF275" s="1042">
        <f t="shared" si="684"/>
        <v>0</v>
      </c>
      <c r="DG275" s="1042">
        <f t="shared" si="685"/>
        <v>0</v>
      </c>
      <c r="DH275" s="1042">
        <f t="shared" si="686"/>
        <v>0</v>
      </c>
      <c r="DI275" s="1042">
        <f t="shared" si="687"/>
        <v>0</v>
      </c>
      <c r="DJ275" s="1042">
        <f t="shared" si="688"/>
        <v>0</v>
      </c>
      <c r="DK275" s="1042">
        <f t="shared" si="689"/>
        <v>0</v>
      </c>
      <c r="DL275" s="1042">
        <f t="shared" si="690"/>
        <v>0</v>
      </c>
      <c r="DM275" s="1042">
        <f t="shared" si="691"/>
        <v>0</v>
      </c>
      <c r="DN275" s="1042">
        <f t="shared" si="692"/>
        <v>0</v>
      </c>
      <c r="DO275" s="1042">
        <f t="shared" si="693"/>
        <v>9.1999999999999998E-2</v>
      </c>
      <c r="DP275" s="1042">
        <f t="shared" si="694"/>
        <v>6.3E-2</v>
      </c>
      <c r="DQ275" s="1042">
        <f t="shared" si="695"/>
        <v>5.0999999999999997E-2</v>
      </c>
      <c r="DR275" s="1042">
        <f t="shared" si="696"/>
        <v>3.4000000000000002E-2</v>
      </c>
      <c r="DS275" s="1042">
        <f t="shared" si="697"/>
        <v>5.0999999999999997E-2</v>
      </c>
      <c r="DT275" s="1042">
        <f t="shared" si="698"/>
        <v>5.0999999999999997E-2</v>
      </c>
      <c r="DU275" s="1042">
        <f t="shared" si="699"/>
        <v>7.0000000000000001E-3</v>
      </c>
      <c r="DV275" s="1042">
        <f t="shared" si="700"/>
        <v>5.8999999999999997E-2</v>
      </c>
      <c r="DW275" s="1042">
        <f t="shared" ca="1" si="701"/>
        <v>4.1105762891093314E-2</v>
      </c>
      <c r="DX275" s="1042">
        <f t="shared" ca="1" si="701"/>
        <v>2.7853990878207037E-2</v>
      </c>
      <c r="DY275" s="1042">
        <f t="shared" ca="1" si="701"/>
        <v>-2.5477177589124517E-2</v>
      </c>
      <c r="EA275"/>
      <c r="EB275"/>
      <c r="EC275"/>
      <c r="ED275"/>
      <c r="EE275"/>
      <c r="EF275"/>
      <c r="EJ275"/>
      <c r="EK275"/>
      <c r="EL275"/>
      <c r="ER275" s="217"/>
    </row>
    <row r="276" spans="1:148" ht="12.75" customHeight="1" x14ac:dyDescent="0.2">
      <c r="A276" s="1437" t="s">
        <v>1044</v>
      </c>
      <c r="B276" s="3294"/>
      <c r="C276" s="3294"/>
      <c r="D276" s="3294"/>
      <c r="E276" s="3294"/>
      <c r="F276" s="3294"/>
      <c r="G276" s="3294"/>
      <c r="H276" s="3294"/>
      <c r="I276" s="3294"/>
      <c r="J276" s="3294"/>
      <c r="K276" s="3294"/>
      <c r="L276" s="3294"/>
      <c r="M276" s="3296"/>
      <c r="N276" s="3294"/>
      <c r="O276" s="3294"/>
      <c r="P276" s="3294"/>
      <c r="Q276" s="3294"/>
      <c r="R276" s="3296"/>
      <c r="S276" s="3294"/>
      <c r="T276" s="3294"/>
      <c r="U276" s="3294"/>
      <c r="V276" s="3294"/>
      <c r="W276" s="3296"/>
      <c r="X276" s="3294"/>
      <c r="Y276" s="3294"/>
      <c r="Z276" s="3294"/>
      <c r="AA276" s="3294"/>
      <c r="AB276" s="3296"/>
      <c r="AC276" s="3294"/>
      <c r="AD276" s="3294"/>
      <c r="AE276" s="3294"/>
      <c r="AF276" s="3294"/>
      <c r="AG276" s="3296"/>
      <c r="AH276" s="3294"/>
      <c r="AI276" s="3294"/>
      <c r="AJ276" s="3294"/>
      <c r="AK276" s="3294"/>
      <c r="AL276" s="3296"/>
      <c r="AM276" s="3294"/>
      <c r="AN276" s="3294"/>
      <c r="AO276" s="3294"/>
      <c r="AP276" s="3294"/>
      <c r="AQ276" s="3296"/>
      <c r="AR276" s="3294"/>
      <c r="AS276" s="3294"/>
      <c r="AT276" s="3294"/>
      <c r="AU276" s="3294"/>
      <c r="AV276" s="3296"/>
      <c r="AW276" s="3294"/>
      <c r="AX276" s="3294"/>
      <c r="AY276" s="3294"/>
      <c r="AZ276" s="3294"/>
      <c r="BA276" s="3296"/>
      <c r="BB276" s="3294"/>
      <c r="BC276" s="3294"/>
      <c r="BD276" s="3294"/>
      <c r="BE276" s="3294"/>
      <c r="BF276" s="3296"/>
      <c r="BG276" s="3294">
        <f>RevPAR!AZ13</f>
        <v>-1.2999999999999999E-2</v>
      </c>
      <c r="BH276" s="3294">
        <f>RevPAR!BA13</f>
        <v>7.0000000000000007E-2</v>
      </c>
      <c r="BI276" s="3294">
        <f>RevPAR!BB13</f>
        <v>8.2000000000000003E-2</v>
      </c>
      <c r="BJ276" s="3294">
        <f>RevPAR!BC13</f>
        <v>8.1000000000000003E-2</v>
      </c>
      <c r="BK276" s="3296">
        <f>RevPAR!BD13</f>
        <v>5.6186991869918705E-2</v>
      </c>
      <c r="BL276" s="3294">
        <f>RevPAR!BE13</f>
        <v>6.5000000000000002E-2</v>
      </c>
      <c r="BM276" s="3294">
        <f>RevPAR!BF13</f>
        <v>6.8000000000000005E-2</v>
      </c>
      <c r="BN276" s="3294">
        <f>RevPAR!BG13</f>
        <v>6.9000000000000006E-2</v>
      </c>
      <c r="BO276" s="3294">
        <f>RevPAR!BH13</f>
        <v>5.8999999999999997E-2</v>
      </c>
      <c r="BP276" s="3296">
        <f>RevPAR!BI13</f>
        <v>6.4094850948509488E-2</v>
      </c>
      <c r="BQ276" s="3294">
        <f>RevPAR!BJ13</f>
        <v>6.8000000000000005E-2</v>
      </c>
      <c r="BR276" s="3294">
        <f>RevPAR!BK13</f>
        <v>6.7000000000000004E-2</v>
      </c>
      <c r="BS276" s="3294">
        <f>RevPAR!BL13</f>
        <v>0.06</v>
      </c>
      <c r="BT276" s="3294">
        <f>RevPAR!BM13</f>
        <v>5.1999999999999998E-2</v>
      </c>
      <c r="BU276" s="3296">
        <f>RevPAR!BN13</f>
        <v>6.0999999999999999E-2</v>
      </c>
      <c r="BV276" s="3294">
        <f>RevPAR!BO13</f>
        <v>4.5999999999999999E-2</v>
      </c>
      <c r="BW276" s="3294">
        <f>RevPAR!BP13</f>
        <v>4.7E-2</v>
      </c>
      <c r="BX276" s="3294">
        <f>RevPAR!BQ13</f>
        <v>4.8000000000000001E-2</v>
      </c>
      <c r="BY276" s="3294">
        <f>RevPAR!BR13</f>
        <v>4.2999999999999997E-2</v>
      </c>
      <c r="BZ276" s="3297">
        <f>RevPAR!BS13</f>
        <v>4.5999999999999999E-2</v>
      </c>
      <c r="CA276" s="3294">
        <f>RevPAR!BT13</f>
        <v>6.2E-2</v>
      </c>
      <c r="CB276" s="3294">
        <f>RevPAR!BU13</f>
        <v>5.8000000000000003E-2</v>
      </c>
      <c r="CC276" s="3294">
        <f>RevPAR!BV13</f>
        <v>8.1000000000000003E-2</v>
      </c>
      <c r="CD276" s="3294">
        <f>RevPAR!BW13</f>
        <v>6.2E-2</v>
      </c>
      <c r="CE276" s="3297">
        <f>RevPAR!BX13</f>
        <v>6.6000000000000003E-2</v>
      </c>
      <c r="CF276" s="3294">
        <f>RevPAR!BY13</f>
        <v>6.8000000000000005E-2</v>
      </c>
      <c r="CG276" s="3294">
        <f>RevPAR!BZ13</f>
        <v>5.2999999999999999E-2</v>
      </c>
      <c r="CH276" s="3294">
        <f>RevPAR!CA13</f>
        <v>4.4999999999999998E-2</v>
      </c>
      <c r="CI276" s="3294">
        <f>RevPAR!CB13</f>
        <v>3.7999999999999999E-2</v>
      </c>
      <c r="CJ276" s="3296">
        <f>RevPAR!CC13</f>
        <v>5.1999999999999998E-2</v>
      </c>
      <c r="CK276" s="3294">
        <f>RevPAR!CD13</f>
        <v>2.5999999999999999E-2</v>
      </c>
      <c r="CL276" s="3294">
        <f>RevPAR!CE13</f>
        <v>2.9000000000000001E-2</v>
      </c>
      <c r="CM276" s="3295">
        <f>RevPAR!CF13</f>
        <v>2.5000000000000001E-2</v>
      </c>
      <c r="CN276" s="3295">
        <f>RevPAR!CG13</f>
        <v>8.0000000000000002E-3</v>
      </c>
      <c r="CO276" s="3296">
        <f>RevPAR!CH13</f>
        <v>2.3E-2</v>
      </c>
      <c r="CP276" s="3294">
        <f>RevPAR!CI13</f>
        <v>3.1E-2</v>
      </c>
      <c r="CQ276" s="3294">
        <f>RevPAR!CJ13</f>
        <v>2.1999999999999999E-2</v>
      </c>
      <c r="CR276" s="3294">
        <f>RevPAR!CK13</f>
        <v>2.1000000000000001E-2</v>
      </c>
      <c r="CS276" s="3294">
        <f>RevPAR!CL13</f>
        <v>4.5999999999999999E-2</v>
      </c>
      <c r="CT276" s="3296">
        <f>RevPAR!CM13</f>
        <v>3.1E-2</v>
      </c>
      <c r="CU276" s="1194">
        <f ca="1">RevPAR!CN13</f>
        <v>2.2527629952232269E-2</v>
      </c>
      <c r="CV276" s="1194">
        <f ca="1">RevPAR!CO13</f>
        <v>3.0760512924188702E-2</v>
      </c>
      <c r="CW276" s="1194">
        <f ca="1">RevPAR!CP13</f>
        <v>2.4422777964926656E-2</v>
      </c>
      <c r="CX276" s="1194">
        <f ca="1">RevPAR!CQ13</f>
        <v>2.4237957804574425E-2</v>
      </c>
      <c r="CY276" s="3298">
        <f ca="1">RevPAR!CR13</f>
        <v>2.5567757117218547E-2</v>
      </c>
      <c r="CZ276" s="3298">
        <f ca="1">RevPAR!CS13</f>
        <v>1.9215586405411891E-2</v>
      </c>
      <c r="DA276" s="3298">
        <f ca="1">RevPAR!CT13</f>
        <v>-2.8498836411974655E-2</v>
      </c>
      <c r="DD276" s="1437" t="s">
        <v>1044</v>
      </c>
      <c r="DE276" s="3298">
        <f t="shared" si="683"/>
        <v>0</v>
      </c>
      <c r="DF276" s="3298">
        <f t="shared" si="684"/>
        <v>0</v>
      </c>
      <c r="DG276" s="3298">
        <f t="shared" si="685"/>
        <v>0</v>
      </c>
      <c r="DH276" s="3298">
        <f t="shared" si="686"/>
        <v>0</v>
      </c>
      <c r="DI276" s="3298">
        <f t="shared" si="687"/>
        <v>0</v>
      </c>
      <c r="DJ276" s="3298">
        <f t="shared" si="688"/>
        <v>0</v>
      </c>
      <c r="DK276" s="3298">
        <f t="shared" si="689"/>
        <v>0</v>
      </c>
      <c r="DL276" s="3298">
        <f t="shared" si="690"/>
        <v>0</v>
      </c>
      <c r="DM276" s="3298">
        <f t="shared" si="691"/>
        <v>0</v>
      </c>
      <c r="DN276" s="3298">
        <f t="shared" si="692"/>
        <v>0</v>
      </c>
      <c r="DO276" s="3298">
        <f t="shared" si="693"/>
        <v>5.6186991869918705E-2</v>
      </c>
      <c r="DP276" s="3298">
        <f t="shared" si="694"/>
        <v>6.4094850948509488E-2</v>
      </c>
      <c r="DQ276" s="3298">
        <f t="shared" si="695"/>
        <v>6.0999999999999999E-2</v>
      </c>
      <c r="DR276" s="3298">
        <f t="shared" si="696"/>
        <v>4.5999999999999999E-2</v>
      </c>
      <c r="DS276" s="3298">
        <f t="shared" si="697"/>
        <v>6.6000000000000003E-2</v>
      </c>
      <c r="DT276" s="3298">
        <f t="shared" si="698"/>
        <v>5.1999999999999998E-2</v>
      </c>
      <c r="DU276" s="3298">
        <f t="shared" si="699"/>
        <v>2.3E-2</v>
      </c>
      <c r="DV276" s="3298">
        <f t="shared" si="700"/>
        <v>3.1E-2</v>
      </c>
      <c r="DW276" s="3298">
        <f t="shared" ca="1" si="701"/>
        <v>2.5567757117218547E-2</v>
      </c>
      <c r="DX276" s="3298">
        <f t="shared" ca="1" si="701"/>
        <v>1.9215586405411891E-2</v>
      </c>
      <c r="DY276" s="3298">
        <f t="shared" ca="1" si="701"/>
        <v>-2.8498836411974655E-2</v>
      </c>
      <c r="EK276"/>
      <c r="EL276"/>
    </row>
    <row r="277" spans="1:148" ht="12.75" customHeight="1" x14ac:dyDescent="0.2">
      <c r="A277" s="1606" t="s">
        <v>2585</v>
      </c>
      <c r="B277" s="2135"/>
      <c r="C277" s="2135"/>
      <c r="D277" s="2135"/>
      <c r="E277" s="2135"/>
      <c r="F277" s="2135"/>
      <c r="G277" s="2135"/>
      <c r="H277" s="2135"/>
      <c r="I277" s="2135"/>
      <c r="J277" s="2135"/>
      <c r="K277" s="2135"/>
      <c r="L277" s="2135"/>
      <c r="M277" s="2896"/>
      <c r="N277" s="2135"/>
      <c r="O277" s="2135"/>
      <c r="P277" s="2135"/>
      <c r="Q277" s="2135"/>
      <c r="R277" s="2896"/>
      <c r="S277" s="2135"/>
      <c r="T277" s="2135"/>
      <c r="U277" s="2135"/>
      <c r="V277" s="2135"/>
      <c r="W277" s="2896"/>
      <c r="X277" s="2135"/>
      <c r="Y277" s="2135"/>
      <c r="Z277" s="2135"/>
      <c r="AA277" s="2135"/>
      <c r="AB277" s="2896"/>
      <c r="AC277" s="2135"/>
      <c r="AD277" s="2135"/>
      <c r="AE277" s="2135"/>
      <c r="AF277" s="2135"/>
      <c r="AG277" s="2896"/>
      <c r="AH277" s="2135"/>
      <c r="AI277" s="2135"/>
      <c r="AJ277" s="2135"/>
      <c r="AK277" s="2135"/>
      <c r="AL277" s="2896"/>
      <c r="AM277" s="2135"/>
      <c r="AN277" s="2135"/>
      <c r="AO277" s="2135"/>
      <c r="AP277" s="2135"/>
      <c r="AQ277" s="2896"/>
      <c r="AR277" s="2135"/>
      <c r="AS277" s="2135"/>
      <c r="AT277" s="2135"/>
      <c r="AU277" s="2135"/>
      <c r="AV277" s="2896"/>
      <c r="AW277" s="2135"/>
      <c r="AX277" s="2135"/>
      <c r="AY277" s="2135"/>
      <c r="AZ277" s="2135"/>
      <c r="BA277" s="2896"/>
      <c r="BB277" s="2135"/>
      <c r="BC277" s="2135"/>
      <c r="BD277" s="2135"/>
      <c r="BE277" s="2135"/>
      <c r="BF277" s="2896"/>
      <c r="BG277" s="3299">
        <v>0.03</v>
      </c>
      <c r="BH277" s="3299">
        <v>0.11899999999999999</v>
      </c>
      <c r="BI277" s="3299">
        <v>0.111</v>
      </c>
      <c r="BJ277" s="3299">
        <v>0.10299999999999999</v>
      </c>
      <c r="BK277" s="3300">
        <v>9.0749999999999997E-2</v>
      </c>
      <c r="BL277" s="3299">
        <v>9.0999999999999998E-2</v>
      </c>
      <c r="BM277" s="3299">
        <v>8.2000000000000003E-2</v>
      </c>
      <c r="BN277" s="3299">
        <v>7.3999999999999996E-2</v>
      </c>
      <c r="BO277" s="3299">
        <v>5.8000000000000003E-2</v>
      </c>
      <c r="BP277" s="3300">
        <v>7.6249999999999998E-2</v>
      </c>
      <c r="BQ277" s="3299">
        <v>6.4000000000000001E-2</v>
      </c>
      <c r="BR277" s="3299">
        <v>6.9000000000000006E-2</v>
      </c>
      <c r="BS277" s="3299">
        <v>4.7E-2</v>
      </c>
      <c r="BT277" s="3299">
        <v>4.1000000000000002E-2</v>
      </c>
      <c r="BU277" s="3300">
        <v>0.05</v>
      </c>
      <c r="BV277" s="3299">
        <v>0.05</v>
      </c>
      <c r="BW277" s="3299">
        <v>4.3999999999999997E-2</v>
      </c>
      <c r="BX277" s="3299">
        <v>4.7E-2</v>
      </c>
      <c r="BY277" s="3299">
        <v>5.2999999999999999E-2</v>
      </c>
      <c r="BZ277" s="3300">
        <v>4.9000000000000002E-2</v>
      </c>
      <c r="CA277" s="3299">
        <v>6.3E-2</v>
      </c>
      <c r="CB277" s="3299">
        <v>5.2999999999999999E-2</v>
      </c>
      <c r="CC277" s="3299">
        <v>7.3999999999999996E-2</v>
      </c>
      <c r="CD277" s="3299">
        <v>4.3999999999999997E-2</v>
      </c>
      <c r="CE277" s="3300">
        <v>5.8000000000000003E-2</v>
      </c>
      <c r="CF277" s="3299">
        <v>5.1999999999999998E-2</v>
      </c>
      <c r="CG277" s="3299">
        <v>4.1000000000000002E-2</v>
      </c>
      <c r="CH277" s="3299">
        <v>5.3999999999999999E-2</v>
      </c>
      <c r="CI277" s="3299">
        <v>2.8000000000000001E-2</v>
      </c>
      <c r="CJ277" s="3300">
        <v>4.1000000000000002E-2</v>
      </c>
      <c r="CK277" s="3299">
        <v>0.01</v>
      </c>
      <c r="CL277" s="3299">
        <v>1.4E-2</v>
      </c>
      <c r="CM277" s="3299">
        <v>1.4999999999999999E-2</v>
      </c>
      <c r="CN277" s="1743"/>
      <c r="CO277" s="1744"/>
      <c r="CP277" s="1743"/>
      <c r="CQ277" s="1743"/>
      <c r="CR277" s="1743"/>
      <c r="CS277" s="1743"/>
      <c r="CT277" s="1744"/>
      <c r="CU277" s="1743"/>
      <c r="CV277" s="1743"/>
      <c r="CW277" s="1743"/>
      <c r="CX277" s="1743"/>
      <c r="CY277" s="1744"/>
      <c r="CZ277" s="1744"/>
      <c r="DA277" s="1744"/>
      <c r="DB277" s="374"/>
      <c r="DC277" s="374"/>
      <c r="DD277" s="1606"/>
      <c r="DE277" s="1744"/>
      <c r="DF277" s="1744"/>
      <c r="DG277" s="1744"/>
      <c r="DH277" s="1744"/>
      <c r="DI277" s="1744"/>
      <c r="DJ277" s="1744"/>
      <c r="DK277" s="1744"/>
      <c r="DL277" s="1744"/>
      <c r="DM277" s="1744"/>
      <c r="DN277" s="1744"/>
      <c r="DO277" s="1744"/>
      <c r="DP277" s="1744"/>
      <c r="DQ277" s="1744"/>
      <c r="DR277" s="1744"/>
      <c r="DS277" s="1744"/>
      <c r="DT277" s="1744"/>
      <c r="DU277" s="1744"/>
      <c r="DV277" s="1744"/>
      <c r="DW277" s="1744"/>
      <c r="DX277" s="1744"/>
      <c r="DY277" s="1744"/>
      <c r="DZ277" s="374"/>
      <c r="EK277"/>
      <c r="EL277"/>
    </row>
    <row r="278" spans="1:148" s="923" customFormat="1" ht="12.75" customHeight="1" x14ac:dyDescent="0.2">
      <c r="A278" s="865"/>
      <c r="B278" s="215"/>
      <c r="C278" s="215"/>
      <c r="D278" s="215"/>
      <c r="E278" s="215"/>
      <c r="F278" s="215"/>
      <c r="G278" s="215"/>
      <c r="H278" s="215"/>
      <c r="I278" s="215"/>
      <c r="J278" s="215"/>
      <c r="K278" s="215"/>
      <c r="L278" s="215"/>
      <c r="M278" s="215"/>
      <c r="N278" s="215"/>
      <c r="O278" s="215"/>
      <c r="P278" s="215"/>
      <c r="Q278" s="215"/>
      <c r="R278" s="215"/>
      <c r="S278" s="215"/>
      <c r="T278" s="215"/>
      <c r="U278" s="215"/>
      <c r="V278" s="215"/>
      <c r="W278" s="215"/>
      <c r="X278" s="215"/>
      <c r="Y278" s="215"/>
      <c r="Z278" s="215"/>
      <c r="AA278" s="215"/>
      <c r="AB278" s="215"/>
      <c r="AC278" s="215"/>
      <c r="AD278" s="215"/>
      <c r="AE278" s="215"/>
      <c r="AF278" s="215"/>
      <c r="AG278" s="215"/>
      <c r="AH278" s="215"/>
      <c r="AI278" s="215"/>
      <c r="AJ278" s="215"/>
      <c r="AK278" s="215"/>
      <c r="AL278" s="215"/>
      <c r="AM278" s="215"/>
      <c r="AN278" s="215"/>
      <c r="AO278" s="215"/>
      <c r="AP278" s="215"/>
      <c r="AQ278" s="215"/>
      <c r="AR278" s="215"/>
      <c r="AS278" s="215"/>
      <c r="AT278" s="215"/>
      <c r="AU278" s="215"/>
      <c r="AV278" s="215"/>
      <c r="AW278" s="215"/>
      <c r="AX278" s="215"/>
      <c r="AY278" s="215"/>
      <c r="AZ278" s="215"/>
      <c r="BA278" s="215"/>
      <c r="BB278" s="215"/>
      <c r="BC278" s="215"/>
      <c r="BD278" s="215"/>
      <c r="BE278" s="215"/>
      <c r="BF278" s="215"/>
      <c r="BG278" s="215"/>
      <c r="BH278" s="215"/>
      <c r="BI278" s="215"/>
      <c r="BJ278" s="215"/>
      <c r="BK278" s="215"/>
      <c r="BL278" s="215"/>
      <c r="BM278" s="215"/>
      <c r="BN278" s="215"/>
      <c r="BO278" s="215"/>
      <c r="BP278" s="215"/>
      <c r="BQ278" s="215"/>
      <c r="BR278" s="215"/>
      <c r="BS278" s="215"/>
      <c r="BT278" s="215"/>
      <c r="BU278" s="215"/>
      <c r="BV278" s="215"/>
      <c r="BW278" s="215"/>
      <c r="BX278" s="215"/>
      <c r="BY278" s="215"/>
      <c r="BZ278" s="215"/>
      <c r="CA278" s="215"/>
      <c r="CB278" s="215"/>
      <c r="CC278" s="215"/>
      <c r="CD278" s="215"/>
      <c r="CE278" s="215"/>
      <c r="CF278" s="847"/>
      <c r="CG278" s="847"/>
      <c r="CH278" s="847"/>
      <c r="CI278" s="215"/>
      <c r="CJ278" s="215"/>
      <c r="CK278" s="215"/>
      <c r="CL278" s="215"/>
      <c r="CM278" s="215"/>
      <c r="CN278" s="215"/>
      <c r="CO278" s="215"/>
      <c r="CP278" s="215"/>
      <c r="CQ278" s="215"/>
      <c r="CR278" s="215"/>
      <c r="CS278" s="215"/>
      <c r="CT278" s="215"/>
      <c r="CU278" s="215"/>
      <c r="CV278" s="215"/>
      <c r="CW278" s="215"/>
      <c r="CX278" s="215"/>
      <c r="CY278" s="215"/>
      <c r="CZ278" s="215"/>
      <c r="DA278" s="215"/>
      <c r="DB278"/>
      <c r="DC278"/>
      <c r="DD278" s="2323"/>
      <c r="DE278" s="2327"/>
      <c r="DF278" s="2327"/>
      <c r="DG278" s="2327"/>
      <c r="DH278" s="2327"/>
      <c r="DI278" s="2327"/>
      <c r="DJ278" s="2327"/>
      <c r="DK278" s="2327"/>
      <c r="DL278" s="2327"/>
      <c r="DM278" s="2327"/>
      <c r="DN278" s="2327"/>
      <c r="DO278" s="2327"/>
      <c r="DP278" s="2327"/>
      <c r="DQ278" s="2327"/>
      <c r="DR278" s="2327"/>
      <c r="DS278" s="2327"/>
      <c r="DT278" s="2327"/>
      <c r="DU278" s="2327"/>
      <c r="DV278" s="2327"/>
      <c r="DW278" s="2327"/>
      <c r="DX278" s="2327"/>
      <c r="DY278" s="2327"/>
      <c r="EA278"/>
      <c r="EB278"/>
      <c r="EC278"/>
      <c r="ED278"/>
      <c r="EE278"/>
      <c r="EF278"/>
      <c r="EJ278"/>
      <c r="EK278"/>
      <c r="EL278"/>
      <c r="ER278" s="212"/>
    </row>
    <row r="279" spans="1:148" s="923" customFormat="1" ht="12.75" customHeight="1" x14ac:dyDescent="0.2">
      <c r="A279" s="865"/>
      <c r="B279" s="215"/>
      <c r="C279" s="215"/>
      <c r="D279" s="215"/>
      <c r="E279" s="215"/>
      <c r="F279" s="215"/>
      <c r="G279" s="215"/>
      <c r="H279" s="215"/>
      <c r="I279" s="215"/>
      <c r="J279" s="215"/>
      <c r="K279" s="215"/>
      <c r="L279" s="215"/>
      <c r="M279" s="215"/>
      <c r="N279" s="215"/>
      <c r="O279" s="215"/>
      <c r="P279" s="215"/>
      <c r="Q279" s="215"/>
      <c r="R279" s="215"/>
      <c r="S279" s="215"/>
      <c r="T279" s="215"/>
      <c r="U279" s="215"/>
      <c r="V279" s="215"/>
      <c r="W279" s="215"/>
      <c r="X279" s="215"/>
      <c r="Y279" s="215"/>
      <c r="Z279" s="215"/>
      <c r="AA279" s="215"/>
      <c r="AB279" s="215"/>
      <c r="AC279" s="215"/>
      <c r="AD279" s="215"/>
      <c r="AE279" s="215"/>
      <c r="AF279" s="215"/>
      <c r="AG279" s="215"/>
      <c r="AH279" s="215"/>
      <c r="AI279" s="215"/>
      <c r="AJ279" s="215"/>
      <c r="AK279" s="215"/>
      <c r="AL279" s="215"/>
      <c r="AM279" s="215"/>
      <c r="AN279" s="215"/>
      <c r="AO279" s="215"/>
      <c r="AP279" s="215"/>
      <c r="AQ279" s="215"/>
      <c r="AR279" s="215"/>
      <c r="AS279" s="215"/>
      <c r="AT279" s="215"/>
      <c r="AU279" s="215"/>
      <c r="AV279" s="215"/>
      <c r="AW279" s="215"/>
      <c r="AX279" s="215"/>
      <c r="AY279" s="215"/>
      <c r="AZ279" s="215"/>
      <c r="BA279" s="215"/>
      <c r="BB279" s="215"/>
      <c r="BC279" s="215"/>
      <c r="BD279" s="215"/>
      <c r="BE279" s="215"/>
      <c r="BF279" s="215"/>
      <c r="BG279" s="215"/>
      <c r="BH279" s="215"/>
      <c r="BI279" s="215"/>
      <c r="BJ279" s="215"/>
      <c r="BK279" s="215"/>
      <c r="BL279" s="215"/>
      <c r="BM279" s="215"/>
      <c r="BN279" s="215"/>
      <c r="BO279" s="215"/>
      <c r="BP279" s="215"/>
      <c r="BQ279" s="215"/>
      <c r="BR279" s="215"/>
      <c r="BS279" s="215"/>
      <c r="BT279" s="215"/>
      <c r="BU279" s="215"/>
      <c r="BV279" s="215"/>
      <c r="BW279" s="215"/>
      <c r="BX279" s="215"/>
      <c r="BY279" s="215"/>
      <c r="BZ279" s="215"/>
      <c r="CA279" s="215"/>
      <c r="CB279" s="215"/>
      <c r="CC279" s="215"/>
      <c r="CD279" s="215"/>
      <c r="CE279" s="215"/>
      <c r="CF279" s="215"/>
      <c r="CG279" s="215"/>
      <c r="CH279" s="215"/>
      <c r="CI279" s="215"/>
      <c r="CJ279" s="215"/>
      <c r="CK279" s="215"/>
      <c r="CL279" s="215"/>
      <c r="CM279" s="215"/>
      <c r="CN279" s="215"/>
      <c r="CO279" s="215"/>
      <c r="CP279" s="215"/>
      <c r="CQ279" s="215"/>
      <c r="CR279" s="215"/>
      <c r="CS279" s="215"/>
      <c r="CT279" s="215"/>
      <c r="CU279" s="215"/>
      <c r="CV279" s="215"/>
      <c r="CW279" s="215"/>
      <c r="CX279" s="215"/>
      <c r="CY279" s="215"/>
      <c r="CZ279" s="215"/>
      <c r="DA279" s="215"/>
      <c r="DB279"/>
      <c r="DC279"/>
      <c r="DD279" s="2323"/>
      <c r="DE279" s="2327"/>
      <c r="DF279" s="2327"/>
      <c r="DG279" s="2327"/>
      <c r="DH279" s="2327"/>
      <c r="DI279" s="2327"/>
      <c r="DJ279" s="2327"/>
      <c r="DK279" s="2327"/>
      <c r="DL279" s="2327"/>
      <c r="DM279" s="2327"/>
      <c r="DN279" s="2327"/>
      <c r="DO279" s="2327"/>
      <c r="DP279" s="2327"/>
      <c r="DQ279" s="2327"/>
      <c r="DR279" s="2327"/>
      <c r="DS279" s="2327"/>
      <c r="DT279" s="2327"/>
      <c r="DU279" s="2327"/>
      <c r="DV279" s="2327"/>
      <c r="DW279" s="2327"/>
      <c r="DX279" s="2327"/>
      <c r="DY279" s="2327"/>
      <c r="EA279"/>
      <c r="EB279"/>
      <c r="EC279"/>
      <c r="ED279"/>
      <c r="EE279"/>
      <c r="EF279"/>
      <c r="EJ279"/>
      <c r="EK279"/>
      <c r="EL279"/>
      <c r="ER279" s="212"/>
    </row>
    <row r="280" spans="1:148" s="923" customFormat="1" ht="12.75" customHeight="1" x14ac:dyDescent="0.2">
      <c r="A280" s="873" t="s">
        <v>62</v>
      </c>
      <c r="B280" s="963"/>
      <c r="C280" s="963"/>
      <c r="D280" s="963"/>
      <c r="E280" s="963"/>
      <c r="F280" s="963"/>
      <c r="G280" s="963"/>
      <c r="H280" s="963"/>
      <c r="I280" s="963" t="str">
        <f t="shared" ref="I280:AN280" si="702">I$5</f>
        <v>1Q00</v>
      </c>
      <c r="J280" s="963" t="str">
        <f t="shared" si="702"/>
        <v>2Q00</v>
      </c>
      <c r="K280" s="963" t="str">
        <f t="shared" si="702"/>
        <v>3Q00</v>
      </c>
      <c r="L280" s="963" t="str">
        <f t="shared" si="702"/>
        <v>4Q00</v>
      </c>
      <c r="M280" s="649">
        <f t="shared" si="702"/>
        <v>2000</v>
      </c>
      <c r="N280" s="963" t="str">
        <f t="shared" si="702"/>
        <v>1Q01</v>
      </c>
      <c r="O280" s="963" t="str">
        <f t="shared" si="702"/>
        <v>2Q01</v>
      </c>
      <c r="P280" s="963" t="str">
        <f t="shared" si="702"/>
        <v>3Q01</v>
      </c>
      <c r="Q280" s="963" t="str">
        <f t="shared" si="702"/>
        <v>4Q01</v>
      </c>
      <c r="R280" s="649">
        <f t="shared" si="702"/>
        <v>2001</v>
      </c>
      <c r="S280" s="963" t="str">
        <f t="shared" si="702"/>
        <v>1Q02</v>
      </c>
      <c r="T280" s="963" t="str">
        <f t="shared" si="702"/>
        <v>2Q02</v>
      </c>
      <c r="U280" s="963" t="str">
        <f t="shared" si="702"/>
        <v>3Q02</v>
      </c>
      <c r="V280" s="963" t="str">
        <f t="shared" si="702"/>
        <v>4Q02</v>
      </c>
      <c r="W280" s="649">
        <f t="shared" si="702"/>
        <v>2002</v>
      </c>
      <c r="X280" s="963" t="str">
        <f t="shared" si="702"/>
        <v>1Q03</v>
      </c>
      <c r="Y280" s="963" t="str">
        <f t="shared" si="702"/>
        <v>2Q03</v>
      </c>
      <c r="Z280" s="963" t="str">
        <f t="shared" si="702"/>
        <v>3Q03</v>
      </c>
      <c r="AA280" s="963" t="str">
        <f t="shared" si="702"/>
        <v>4Q03</v>
      </c>
      <c r="AB280" s="649">
        <f t="shared" si="702"/>
        <v>2003</v>
      </c>
      <c r="AC280" s="963" t="str">
        <f t="shared" si="702"/>
        <v>1Q04</v>
      </c>
      <c r="AD280" s="963" t="str">
        <f t="shared" si="702"/>
        <v>2Q04</v>
      </c>
      <c r="AE280" s="963" t="str">
        <f t="shared" si="702"/>
        <v>3Q04</v>
      </c>
      <c r="AF280" s="963" t="str">
        <f t="shared" si="702"/>
        <v>4Q04</v>
      </c>
      <c r="AG280" s="649" t="str">
        <f t="shared" si="702"/>
        <v>2004</v>
      </c>
      <c r="AH280" s="963" t="str">
        <f t="shared" si="702"/>
        <v>1Q05</v>
      </c>
      <c r="AI280" s="963" t="str">
        <f t="shared" si="702"/>
        <v>2Q05</v>
      </c>
      <c r="AJ280" s="963" t="str">
        <f t="shared" si="702"/>
        <v>3Q05</v>
      </c>
      <c r="AK280" s="963" t="str">
        <f t="shared" si="702"/>
        <v>4Q05</v>
      </c>
      <c r="AL280" s="649" t="str">
        <f t="shared" si="702"/>
        <v>2005</v>
      </c>
      <c r="AM280" s="963" t="str">
        <f t="shared" si="702"/>
        <v>1Q06</v>
      </c>
      <c r="AN280" s="963" t="str">
        <f t="shared" si="702"/>
        <v>2Q06</v>
      </c>
      <c r="AO280" s="963" t="str">
        <f t="shared" ref="AO280:BT280" si="703">AO$5</f>
        <v>3Q06</v>
      </c>
      <c r="AP280" s="963" t="str">
        <f t="shared" si="703"/>
        <v>4Q06</v>
      </c>
      <c r="AQ280" s="649" t="str">
        <f t="shared" si="703"/>
        <v>2006</v>
      </c>
      <c r="AR280" s="963" t="str">
        <f t="shared" si="703"/>
        <v>1Q07</v>
      </c>
      <c r="AS280" s="963" t="str">
        <f t="shared" si="703"/>
        <v>2Q07</v>
      </c>
      <c r="AT280" s="963" t="str">
        <f t="shared" si="703"/>
        <v>3Q07</v>
      </c>
      <c r="AU280" s="963" t="str">
        <f t="shared" si="703"/>
        <v>4Q07</v>
      </c>
      <c r="AV280" s="649" t="str">
        <f t="shared" si="703"/>
        <v>2007</v>
      </c>
      <c r="AW280" s="963" t="str">
        <f t="shared" si="703"/>
        <v>1Q08</v>
      </c>
      <c r="AX280" s="963" t="str">
        <f t="shared" si="703"/>
        <v>2Q08</v>
      </c>
      <c r="AY280" s="963" t="str">
        <f t="shared" si="703"/>
        <v>3Q08</v>
      </c>
      <c r="AZ280" s="963" t="str">
        <f t="shared" si="703"/>
        <v>4Q08</v>
      </c>
      <c r="BA280" s="649" t="str">
        <f t="shared" si="703"/>
        <v>2008</v>
      </c>
      <c r="BB280" s="963" t="str">
        <f t="shared" si="703"/>
        <v>1Q09</v>
      </c>
      <c r="BC280" s="963" t="str">
        <f t="shared" si="703"/>
        <v>2Q09</v>
      </c>
      <c r="BD280" s="963" t="str">
        <f t="shared" si="703"/>
        <v>3Q09</v>
      </c>
      <c r="BE280" s="963" t="str">
        <f t="shared" si="703"/>
        <v>4Q09</v>
      </c>
      <c r="BF280" s="649" t="str">
        <f t="shared" si="703"/>
        <v>2009</v>
      </c>
      <c r="BG280" s="963" t="str">
        <f t="shared" si="703"/>
        <v>1Q10</v>
      </c>
      <c r="BH280" s="963" t="str">
        <f t="shared" si="703"/>
        <v>2Q10</v>
      </c>
      <c r="BI280" s="963" t="str">
        <f t="shared" si="703"/>
        <v>3Q10</v>
      </c>
      <c r="BJ280" s="963" t="str">
        <f t="shared" si="703"/>
        <v>4Q10</v>
      </c>
      <c r="BK280" s="649" t="str">
        <f t="shared" si="703"/>
        <v>2010</v>
      </c>
      <c r="BL280" s="963" t="str">
        <f t="shared" si="703"/>
        <v>1Q11</v>
      </c>
      <c r="BM280" s="963" t="str">
        <f t="shared" si="703"/>
        <v>2Q11</v>
      </c>
      <c r="BN280" s="963" t="str">
        <f t="shared" si="703"/>
        <v>3Q11</v>
      </c>
      <c r="BO280" s="963" t="str">
        <f t="shared" si="703"/>
        <v>4Q11</v>
      </c>
      <c r="BP280" s="649">
        <f t="shared" si="703"/>
        <v>2011</v>
      </c>
      <c r="BQ280" s="963" t="str">
        <f t="shared" si="703"/>
        <v>1Q12</v>
      </c>
      <c r="BR280" s="963" t="str">
        <f t="shared" si="703"/>
        <v>2Q12</v>
      </c>
      <c r="BS280" s="963" t="str">
        <f t="shared" si="703"/>
        <v>3Q12</v>
      </c>
      <c r="BT280" s="963" t="str">
        <f t="shared" si="703"/>
        <v>4Q12</v>
      </c>
      <c r="BU280" s="649">
        <f t="shared" ref="BU280:DA280" si="704">BU$5</f>
        <v>2012</v>
      </c>
      <c r="BV280" s="963" t="str">
        <f t="shared" si="704"/>
        <v>1Q13</v>
      </c>
      <c r="BW280" s="963" t="str">
        <f t="shared" si="704"/>
        <v>2Q13</v>
      </c>
      <c r="BX280" s="963" t="str">
        <f t="shared" si="704"/>
        <v>3Q13</v>
      </c>
      <c r="BY280" s="963" t="str">
        <f t="shared" si="704"/>
        <v>4Q13</v>
      </c>
      <c r="BZ280" s="649">
        <f t="shared" si="704"/>
        <v>2013</v>
      </c>
      <c r="CA280" s="1768" t="str">
        <f t="shared" si="704"/>
        <v>1Q14</v>
      </c>
      <c r="CB280" s="963" t="str">
        <f t="shared" si="704"/>
        <v>2Q14</v>
      </c>
      <c r="CC280" s="963" t="str">
        <f t="shared" si="704"/>
        <v>3Q14</v>
      </c>
      <c r="CD280" s="964" t="str">
        <f t="shared" si="704"/>
        <v>4Q14</v>
      </c>
      <c r="CE280" s="649">
        <f t="shared" si="704"/>
        <v>2014</v>
      </c>
      <c r="CF280" s="1768" t="str">
        <f t="shared" si="704"/>
        <v>1Q15</v>
      </c>
      <c r="CG280" s="963" t="str">
        <f t="shared" si="704"/>
        <v>2Q15</v>
      </c>
      <c r="CH280" s="963" t="str">
        <f t="shared" si="704"/>
        <v>3Q15</v>
      </c>
      <c r="CI280" s="964" t="str">
        <f t="shared" si="704"/>
        <v>4Q15</v>
      </c>
      <c r="CJ280" s="649">
        <f t="shared" si="704"/>
        <v>2015</v>
      </c>
      <c r="CK280" s="963" t="str">
        <f t="shared" si="704"/>
        <v>1Q16</v>
      </c>
      <c r="CL280" s="963" t="str">
        <f t="shared" si="704"/>
        <v>2Q16</v>
      </c>
      <c r="CM280" s="963" t="str">
        <f t="shared" si="704"/>
        <v>3Q16</v>
      </c>
      <c r="CN280" s="964" t="str">
        <f t="shared" si="704"/>
        <v>4Q16</v>
      </c>
      <c r="CO280" s="649">
        <f t="shared" si="704"/>
        <v>2016</v>
      </c>
      <c r="CP280" s="963" t="str">
        <f t="shared" si="704"/>
        <v>1Q17</v>
      </c>
      <c r="CQ280" s="963" t="str">
        <f t="shared" si="704"/>
        <v>2Q17</v>
      </c>
      <c r="CR280" s="963" t="str">
        <f t="shared" si="704"/>
        <v>3Q17</v>
      </c>
      <c r="CS280" s="963" t="str">
        <f t="shared" si="704"/>
        <v>4Q17A</v>
      </c>
      <c r="CT280" s="649" t="str">
        <f t="shared" si="704"/>
        <v>2017A</v>
      </c>
      <c r="CU280" s="963" t="str">
        <f t="shared" si="704"/>
        <v>1Q18E</v>
      </c>
      <c r="CV280" s="963" t="str">
        <f t="shared" si="704"/>
        <v>2Q18E</v>
      </c>
      <c r="CW280" s="963" t="str">
        <f t="shared" si="704"/>
        <v>3Q18E</v>
      </c>
      <c r="CX280" s="963" t="str">
        <f t="shared" si="704"/>
        <v>4Q18E</v>
      </c>
      <c r="CY280" s="649" t="str">
        <f t="shared" si="704"/>
        <v>2018E</v>
      </c>
      <c r="CZ280" s="649" t="str">
        <f t="shared" si="704"/>
        <v>2019E</v>
      </c>
      <c r="DA280" s="649" t="str">
        <f t="shared" si="704"/>
        <v>2020E</v>
      </c>
      <c r="DB280"/>
      <c r="DC280"/>
      <c r="DD280" s="873" t="s">
        <v>62</v>
      </c>
      <c r="DE280" s="649">
        <f>M280</f>
        <v>2000</v>
      </c>
      <c r="DF280" s="649">
        <f>R280</f>
        <v>2001</v>
      </c>
      <c r="DG280" s="649">
        <f>W280</f>
        <v>2002</v>
      </c>
      <c r="DH280" s="649">
        <f>AB280</f>
        <v>2003</v>
      </c>
      <c r="DI280" s="649" t="str">
        <f>AG280</f>
        <v>2004</v>
      </c>
      <c r="DJ280" s="649" t="str">
        <f>AL280</f>
        <v>2005</v>
      </c>
      <c r="DK280" s="649" t="str">
        <f>AQ280</f>
        <v>2006</v>
      </c>
      <c r="DL280" s="649" t="str">
        <f>AV280</f>
        <v>2007</v>
      </c>
      <c r="DM280" s="649" t="str">
        <f>BA280</f>
        <v>2008</v>
      </c>
      <c r="DN280" s="649" t="str">
        <f>BF280</f>
        <v>2009</v>
      </c>
      <c r="DO280" s="649" t="str">
        <f>BK280</f>
        <v>2010</v>
      </c>
      <c r="DP280" s="649">
        <f>BP280</f>
        <v>2011</v>
      </c>
      <c r="DQ280" s="649">
        <f>BU280</f>
        <v>2012</v>
      </c>
      <c r="DR280" s="649">
        <f>BZ280</f>
        <v>2013</v>
      </c>
      <c r="DS280" s="649">
        <f>CE280</f>
        <v>2014</v>
      </c>
      <c r="DT280" s="649">
        <f>CJ280</f>
        <v>2015</v>
      </c>
      <c r="DU280" s="649">
        <f>CO280</f>
        <v>2016</v>
      </c>
      <c r="DV280" s="649" t="str">
        <f>CT280</f>
        <v>2017A</v>
      </c>
      <c r="DW280" s="649" t="str">
        <f>CY280</f>
        <v>2018E</v>
      </c>
      <c r="DX280" s="649" t="str">
        <f>CZ280</f>
        <v>2019E</v>
      </c>
      <c r="DY280" s="649" t="str">
        <f>DA280</f>
        <v>2020E</v>
      </c>
      <c r="EA280"/>
      <c r="EB280"/>
      <c r="EC280"/>
      <c r="ED280"/>
      <c r="EE280"/>
      <c r="EF280"/>
      <c r="EJ280"/>
      <c r="EK280"/>
      <c r="EL280"/>
      <c r="ER280" s="212"/>
    </row>
    <row r="281" spans="1:148" s="923" customFormat="1" ht="12.75" customHeight="1" x14ac:dyDescent="0.2">
      <c r="A281" s="1672"/>
      <c r="B281" s="215"/>
      <c r="C281" s="215"/>
      <c r="D281" s="215"/>
      <c r="E281" s="215"/>
      <c r="F281" s="215"/>
      <c r="G281" s="215"/>
      <c r="H281" s="215"/>
      <c r="I281" s="215"/>
      <c r="J281" s="215"/>
      <c r="K281" s="215"/>
      <c r="L281" s="215"/>
      <c r="M281" s="1225"/>
      <c r="N281" s="215"/>
      <c r="O281" s="215"/>
      <c r="P281" s="215"/>
      <c r="Q281" s="215"/>
      <c r="R281" s="1225"/>
      <c r="S281" s="215"/>
      <c r="T281" s="215"/>
      <c r="U281" s="215"/>
      <c r="V281" s="215"/>
      <c r="W281" s="1225"/>
      <c r="X281" s="215"/>
      <c r="Y281" s="215"/>
      <c r="Z281" s="215"/>
      <c r="AA281" s="215"/>
      <c r="AB281" s="1225"/>
      <c r="AC281" s="215"/>
      <c r="AD281" s="215"/>
      <c r="AE281" s="215"/>
      <c r="AF281" s="215"/>
      <c r="AG281" s="1225"/>
      <c r="AH281" s="215"/>
      <c r="AI281" s="215"/>
      <c r="AJ281" s="215"/>
      <c r="AK281" s="215"/>
      <c r="AL281" s="1225"/>
      <c r="AM281" s="215"/>
      <c r="AN281" s="215"/>
      <c r="AO281" s="215"/>
      <c r="AP281" s="215"/>
      <c r="AQ281" s="1225"/>
      <c r="AR281" s="215"/>
      <c r="AS281" s="215"/>
      <c r="AT281" s="215"/>
      <c r="AU281" s="215"/>
      <c r="AV281" s="1225"/>
      <c r="AW281" s="215"/>
      <c r="AX281" s="215"/>
      <c r="AY281" s="215"/>
      <c r="AZ281" s="215"/>
      <c r="BA281" s="1225"/>
      <c r="BB281" s="215"/>
      <c r="BC281" s="215"/>
      <c r="BD281" s="215"/>
      <c r="BE281" s="215"/>
      <c r="BF281" s="1225"/>
      <c r="BG281" s="215"/>
      <c r="BH281" s="215"/>
      <c r="BI281" s="215"/>
      <c r="BJ281" s="215"/>
      <c r="BK281" s="1225"/>
      <c r="BL281" s="215"/>
      <c r="BM281" s="215"/>
      <c r="BN281" s="215"/>
      <c r="BO281" s="215"/>
      <c r="BP281" s="1225"/>
      <c r="BQ281" s="215"/>
      <c r="BR281" s="215"/>
      <c r="BS281" s="215"/>
      <c r="BT281" s="215"/>
      <c r="BU281" s="1225"/>
      <c r="BV281" s="215"/>
      <c r="BW281" s="215"/>
      <c r="BX281" s="215"/>
      <c r="BY281" s="215"/>
      <c r="BZ281" s="1225"/>
      <c r="CA281" s="1773"/>
      <c r="CB281" s="1832"/>
      <c r="CC281" s="1832"/>
      <c r="CD281" s="1803"/>
      <c r="CE281" s="1225"/>
      <c r="CF281" s="1773"/>
      <c r="CG281" s="1832"/>
      <c r="CH281" s="1832"/>
      <c r="CI281" s="1803"/>
      <c r="CJ281" s="1225"/>
      <c r="CK281" s="1832"/>
      <c r="CL281" s="1832"/>
      <c r="CM281" s="1832"/>
      <c r="CN281" s="1803"/>
      <c r="CO281" s="1225"/>
      <c r="CP281" s="1832"/>
      <c r="CQ281" s="1832"/>
      <c r="CR281" s="1832"/>
      <c r="CS281" s="1832"/>
      <c r="CT281" s="1225"/>
      <c r="CU281" s="1832"/>
      <c r="CV281" s="1832"/>
      <c r="CW281" s="1832"/>
      <c r="CX281" s="1832"/>
      <c r="CY281" s="1225"/>
      <c r="CZ281" s="1225"/>
      <c r="DA281" s="1225"/>
      <c r="DB281"/>
      <c r="DC281"/>
      <c r="DD281" s="1672"/>
      <c r="DE281" s="2334"/>
      <c r="DF281" s="2334"/>
      <c r="DG281" s="2334"/>
      <c r="DH281" s="2334"/>
      <c r="DI281" s="2334"/>
      <c r="DJ281" s="2334"/>
      <c r="DK281" s="2334"/>
      <c r="DL281" s="2334"/>
      <c r="DM281" s="2334"/>
      <c r="DN281" s="2334"/>
      <c r="DO281" s="2334"/>
      <c r="DP281" s="2334"/>
      <c r="DQ281" s="2334"/>
      <c r="DR281" s="2334"/>
      <c r="DS281" s="2334"/>
      <c r="DT281" s="2334"/>
      <c r="DU281" s="2334"/>
      <c r="DV281" s="2334"/>
      <c r="DW281" s="2334"/>
      <c r="DX281" s="2334"/>
      <c r="DY281" s="2334"/>
      <c r="EA281"/>
      <c r="EB281"/>
      <c r="EC281"/>
      <c r="ED281"/>
      <c r="EE281"/>
      <c r="EF281"/>
      <c r="EJ281"/>
      <c r="EK281"/>
      <c r="EL281"/>
      <c r="ER281" s="212"/>
    </row>
    <row r="282" spans="1:148" s="923" customFormat="1" ht="12.75" customHeight="1" x14ac:dyDescent="0.2">
      <c r="A282" s="504" t="s">
        <v>1028</v>
      </c>
      <c r="B282" s="215"/>
      <c r="C282" s="215"/>
      <c r="D282" s="215"/>
      <c r="E282" s="215"/>
      <c r="F282" s="215"/>
      <c r="G282" s="215"/>
      <c r="H282" s="215"/>
      <c r="I282" s="215"/>
      <c r="J282" s="215"/>
      <c r="K282" s="215"/>
      <c r="L282" s="215"/>
      <c r="M282" s="968"/>
      <c r="N282" s="215">
        <f>+Rooms!I349</f>
        <v>814</v>
      </c>
      <c r="O282" s="215">
        <f>+Rooms!J349</f>
        <v>826</v>
      </c>
      <c r="P282" s="215">
        <f>+Rooms!K349</f>
        <v>841</v>
      </c>
      <c r="Q282" s="215">
        <f>+Rooms!L349</f>
        <v>798</v>
      </c>
      <c r="R282" s="968">
        <f>Q282</f>
        <v>798</v>
      </c>
      <c r="S282" s="215">
        <f>+Rooms!N349</f>
        <v>810</v>
      </c>
      <c r="T282" s="215">
        <f>+Rooms!O349</f>
        <v>818</v>
      </c>
      <c r="U282" s="215">
        <f>+Rooms!P349</f>
        <v>821</v>
      </c>
      <c r="V282" s="215">
        <f>+Rooms!Q349</f>
        <v>838</v>
      </c>
      <c r="W282" s="968">
        <f>V282</f>
        <v>838</v>
      </c>
      <c r="X282" s="215">
        <f>+Rooms!S349</f>
        <v>841</v>
      </c>
      <c r="Y282" s="215">
        <f>+Rooms!T349</f>
        <v>841</v>
      </c>
      <c r="Z282" s="215">
        <f>+Rooms!U349</f>
        <v>845</v>
      </c>
      <c r="AA282" s="215">
        <f>+Rooms!V349</f>
        <v>858</v>
      </c>
      <c r="AB282" s="968">
        <f>AA282</f>
        <v>858</v>
      </c>
      <c r="AC282" s="215">
        <f>+Rooms!X349</f>
        <v>856</v>
      </c>
      <c r="AD282" s="215">
        <f>+Rooms!Y349</f>
        <v>872</v>
      </c>
      <c r="AE282" s="215">
        <f>+Rooms!Z349</f>
        <v>883</v>
      </c>
      <c r="AF282" s="215">
        <f>+Rooms!AA349</f>
        <v>889</v>
      </c>
      <c r="AG282" s="968">
        <f>AF282</f>
        <v>889</v>
      </c>
      <c r="AH282" s="215">
        <f>+Rooms!AC349</f>
        <v>891</v>
      </c>
      <c r="AI282" s="215">
        <f>+Rooms!AD349</f>
        <v>943</v>
      </c>
      <c r="AJ282" s="215">
        <f>+Rooms!AE349</f>
        <v>931</v>
      </c>
      <c r="AK282" s="215">
        <f>+Rooms!AF349</f>
        <v>934</v>
      </c>
      <c r="AL282" s="968">
        <f>AK282</f>
        <v>934</v>
      </c>
      <c r="AM282" s="215">
        <f>+Rooms!AH349</f>
        <v>936</v>
      </c>
      <c r="AN282" s="215">
        <f>+Rooms!AI349</f>
        <v>947</v>
      </c>
      <c r="AO282" s="215">
        <f>+Rooms!AJ349</f>
        <v>952</v>
      </c>
      <c r="AP282" s="215">
        <f>+Rooms!AK349</f>
        <v>947</v>
      </c>
      <c r="AQ282" s="968">
        <f>AP282</f>
        <v>947</v>
      </c>
      <c r="AR282" s="215">
        <f>+Rooms!AM349</f>
        <v>949</v>
      </c>
      <c r="AS282" s="215">
        <f>+Rooms!AN349</f>
        <v>950</v>
      </c>
      <c r="AT282" s="215">
        <f>+Rooms!AO349</f>
        <v>959</v>
      </c>
      <c r="AU282" s="215">
        <f>+Rooms!AP349</f>
        <v>962</v>
      </c>
      <c r="AV282" s="968">
        <f>AU282</f>
        <v>962</v>
      </c>
      <c r="AW282" s="215">
        <f>+Rooms!AR349</f>
        <v>958</v>
      </c>
      <c r="AX282" s="215">
        <f>+Rooms!AS349</f>
        <v>958</v>
      </c>
      <c r="AY282" s="215">
        <f>+Rooms!AT349</f>
        <v>961</v>
      </c>
      <c r="AZ282" s="215">
        <f>+Rooms!AU349</f>
        <v>968</v>
      </c>
      <c r="BA282" s="968">
        <f>AZ282</f>
        <v>968</v>
      </c>
      <c r="BB282" s="215">
        <f>+Rooms!AW349</f>
        <v>976</v>
      </c>
      <c r="BC282" s="215">
        <f>+Rooms!AX349</f>
        <v>984</v>
      </c>
      <c r="BD282" s="215">
        <f>+Rooms!AY349</f>
        <v>988</v>
      </c>
      <c r="BE282" s="215">
        <f>+Rooms!AZ349</f>
        <v>1003</v>
      </c>
      <c r="BF282" s="968">
        <f>BE282</f>
        <v>1003</v>
      </c>
      <c r="BG282" s="215">
        <f>+Rooms!BB349</f>
        <v>999</v>
      </c>
      <c r="BH282" s="215">
        <f>+Rooms!BC349</f>
        <v>1002</v>
      </c>
      <c r="BI282" s="215">
        <f>+Rooms!BD349</f>
        <v>1006</v>
      </c>
      <c r="BJ282" s="215">
        <f>+Rooms!BE349</f>
        <v>1005</v>
      </c>
      <c r="BK282" s="968">
        <f>BJ282</f>
        <v>1005</v>
      </c>
      <c r="BL282" s="215">
        <f>+Rooms!BG349</f>
        <v>1017</v>
      </c>
      <c r="BM282" s="215">
        <f>+Rooms!BH349</f>
        <v>1020</v>
      </c>
      <c r="BN282" s="215">
        <f>+Rooms!BI349</f>
        <v>1021</v>
      </c>
      <c r="BO282" s="215">
        <f>+Rooms!BJ349</f>
        <v>1021</v>
      </c>
      <c r="BP282" s="968">
        <f>BO282</f>
        <v>1021</v>
      </c>
      <c r="BQ282" s="215">
        <f>+Rooms!BL349</f>
        <v>1022</v>
      </c>
      <c r="BR282" s="215">
        <f>+Rooms!BM349</f>
        <v>1011</v>
      </c>
      <c r="BS282" s="215">
        <f>+Rooms!BN349</f>
        <v>1010</v>
      </c>
      <c r="BT282" s="215">
        <f>+BT286/BT289</f>
        <v>1043.8345451755283</v>
      </c>
      <c r="BU282" s="968">
        <f>BT282</f>
        <v>1043.8345451755283</v>
      </c>
      <c r="BV282" s="215">
        <f>+BV286/BV289</f>
        <v>1048.0873439829295</v>
      </c>
      <c r="BW282" s="215">
        <f>+BW286/BW289</f>
        <v>1041.3947816491773</v>
      </c>
      <c r="BX282" s="215">
        <f>+BX286/BX289</f>
        <v>1039.3802980035662</v>
      </c>
      <c r="BY282" s="215">
        <f>+BY286/BY289</f>
        <v>1040.2793545935517</v>
      </c>
      <c r="BZ282" s="968">
        <f>BY282</f>
        <v>1040.2793545935517</v>
      </c>
      <c r="CA282" s="215">
        <f>+CA286/CA289</f>
        <v>1041.290326941627</v>
      </c>
      <c r="CB282" s="215">
        <f>+CB286/CB289</f>
        <v>1070.3884240448979</v>
      </c>
      <c r="CC282" s="215">
        <f>+CC286/CC289</f>
        <v>1065.4193643857238</v>
      </c>
      <c r="CD282" s="1788">
        <f>+CD286/CD289</f>
        <v>1073.0370969863495</v>
      </c>
      <c r="CE282" s="968">
        <f>CD282</f>
        <v>1073.0370969863495</v>
      </c>
      <c r="CF282" s="215">
        <f>+CF286/CF289</f>
        <v>1074.9583175002192</v>
      </c>
      <c r="CG282" s="215">
        <f>+CG286/CG289</f>
        <v>1108.8837143024175</v>
      </c>
      <c r="CH282" s="215">
        <f>+CH286/CH289</f>
        <v>1112.6440837742248</v>
      </c>
      <c r="CI282" s="1788">
        <f>+CI286/CI289</f>
        <v>1120.2953911022771</v>
      </c>
      <c r="CJ282" s="968">
        <f>CI282</f>
        <v>1120.2953911022771</v>
      </c>
      <c r="CK282" s="215">
        <f>+CK286/CK289</f>
        <v>1119.795500716144</v>
      </c>
      <c r="CL282" s="215">
        <f>+CL286/CL289</f>
        <v>1116.3261122153694</v>
      </c>
      <c r="CM282" s="215">
        <f>+CM286/CM289</f>
        <v>1118.280907456666</v>
      </c>
      <c r="CN282" s="1788">
        <f>+CN286/CN289</f>
        <v>1945.6629154365555</v>
      </c>
      <c r="CO282" s="968">
        <f>CN282</f>
        <v>1945.6629154365555</v>
      </c>
      <c r="CP282" s="215">
        <f>+CP286/CP289</f>
        <v>1950.7550824296279</v>
      </c>
      <c r="CQ282" s="215">
        <f>+CQ286/CQ289</f>
        <v>1964.8863121510626</v>
      </c>
      <c r="CR282" s="215">
        <f>+CR286/CR289</f>
        <v>1982.6846482125634</v>
      </c>
      <c r="CS282" s="215">
        <f>+CS286/CS289</f>
        <v>2000.9530304580398</v>
      </c>
      <c r="CT282" s="968">
        <f>CS282</f>
        <v>2000.9530304580398</v>
      </c>
      <c r="CU282" s="215">
        <f t="shared" ref="CU282:DA282" si="705">+CU286/CU289</f>
        <v>2024.9681749656547</v>
      </c>
      <c r="CV282" s="215">
        <f t="shared" si="705"/>
        <v>2050.1377305179622</v>
      </c>
      <c r="CW282" s="215">
        <f t="shared" si="705"/>
        <v>2068.8041598097102</v>
      </c>
      <c r="CX282" s="215">
        <f t="shared" si="705"/>
        <v>2088.089557854199</v>
      </c>
      <c r="CY282" s="968">
        <f>CX282</f>
        <v>2088.089557854199</v>
      </c>
      <c r="CZ282" s="968">
        <f t="shared" si="705"/>
        <v>2178.8383886820029</v>
      </c>
      <c r="DA282" s="968">
        <f t="shared" si="705"/>
        <v>2208.2066368611122</v>
      </c>
      <c r="DB282"/>
      <c r="DC282"/>
      <c r="DD282" s="2285" t="s">
        <v>1028</v>
      </c>
      <c r="DE282" s="2290">
        <f>M282</f>
        <v>0</v>
      </c>
      <c r="DF282" s="2290">
        <f>R282</f>
        <v>798</v>
      </c>
      <c r="DG282" s="2290">
        <f>W282</f>
        <v>838</v>
      </c>
      <c r="DH282" s="2290">
        <f>AB282</f>
        <v>858</v>
      </c>
      <c r="DI282" s="2290">
        <f>AG282</f>
        <v>889</v>
      </c>
      <c r="DJ282" s="2290">
        <f>AL282</f>
        <v>934</v>
      </c>
      <c r="DK282" s="2290">
        <f>AQ282</f>
        <v>947</v>
      </c>
      <c r="DL282" s="2290">
        <f>AV282</f>
        <v>962</v>
      </c>
      <c r="DM282" s="2290">
        <f>BA282</f>
        <v>968</v>
      </c>
      <c r="DN282" s="2290">
        <f>BF282</f>
        <v>1003</v>
      </c>
      <c r="DO282" s="2290">
        <f>BK282</f>
        <v>1005</v>
      </c>
      <c r="DP282" s="2290">
        <f>BP282</f>
        <v>1021</v>
      </c>
      <c r="DQ282" s="2290">
        <f>BU282</f>
        <v>1043.8345451755283</v>
      </c>
      <c r="DR282" s="2290">
        <f>BZ282</f>
        <v>1040.2793545935517</v>
      </c>
      <c r="DS282" s="2290">
        <f>CE282</f>
        <v>1073.0370969863495</v>
      </c>
      <c r="DT282" s="2290">
        <f>CJ282</f>
        <v>1120.2953911022771</v>
      </c>
      <c r="DU282" s="2290">
        <f>CO282</f>
        <v>1945.6629154365555</v>
      </c>
      <c r="DV282" s="2290">
        <f>CT282</f>
        <v>2000.9530304580398</v>
      </c>
      <c r="DW282" s="2290">
        <f t="shared" ref="DW282:DY284" si="706">CY282</f>
        <v>2088.089557854199</v>
      </c>
      <c r="DX282" s="2290">
        <f t="shared" si="706"/>
        <v>2178.8383886820029</v>
      </c>
      <c r="DY282" s="2290">
        <f t="shared" si="706"/>
        <v>2208.2066368611122</v>
      </c>
      <c r="EA282"/>
      <c r="EB282"/>
      <c r="EC282"/>
      <c r="ED282"/>
      <c r="EE282"/>
      <c r="EF282"/>
      <c r="EJ282"/>
      <c r="EK282"/>
      <c r="EL282"/>
      <c r="ER282" s="212"/>
    </row>
    <row r="283" spans="1:148" s="923" customFormat="1" ht="12.75" customHeight="1" x14ac:dyDescent="0.2">
      <c r="A283" s="1571" t="s">
        <v>1010</v>
      </c>
      <c r="B283" s="940"/>
      <c r="C283" s="940"/>
      <c r="D283" s="940"/>
      <c r="E283" s="940"/>
      <c r="F283" s="940"/>
      <c r="G283" s="940"/>
      <c r="H283" s="940"/>
      <c r="I283" s="940"/>
      <c r="J283" s="940"/>
      <c r="K283" s="940"/>
      <c r="L283" s="940"/>
      <c r="M283" s="1701"/>
      <c r="N283" s="940">
        <f>+N282-M282</f>
        <v>814</v>
      </c>
      <c r="O283" s="940">
        <f>+O282-N282</f>
        <v>12</v>
      </c>
      <c r="P283" s="940">
        <f>+P282-O282</f>
        <v>15</v>
      </c>
      <c r="Q283" s="940">
        <f>+Q282-P282</f>
        <v>-43</v>
      </c>
      <c r="R283" s="1701">
        <f>SUM(N283:Q283)</f>
        <v>798</v>
      </c>
      <c r="S283" s="940">
        <f>+S282-R282</f>
        <v>12</v>
      </c>
      <c r="T283" s="940">
        <f>+T282-S282</f>
        <v>8</v>
      </c>
      <c r="U283" s="940">
        <f>+U282-T282</f>
        <v>3</v>
      </c>
      <c r="V283" s="940">
        <f>+V282-U282</f>
        <v>17</v>
      </c>
      <c r="W283" s="1701">
        <f>SUM(S283:V283)</f>
        <v>40</v>
      </c>
      <c r="X283" s="940">
        <f>+X282-W282</f>
        <v>3</v>
      </c>
      <c r="Y283" s="940">
        <f>+Y282-X282</f>
        <v>0</v>
      </c>
      <c r="Z283" s="940">
        <f>+Z282-Y282</f>
        <v>4</v>
      </c>
      <c r="AA283" s="940">
        <f>+AA282-Z282</f>
        <v>13</v>
      </c>
      <c r="AB283" s="1701">
        <f>SUM(X283:AA283)</f>
        <v>20</v>
      </c>
      <c r="AC283" s="940">
        <f>+AC282-AB282</f>
        <v>-2</v>
      </c>
      <c r="AD283" s="940">
        <f>+AD282-AC282</f>
        <v>16</v>
      </c>
      <c r="AE283" s="940">
        <f>+AE282-AD282</f>
        <v>11</v>
      </c>
      <c r="AF283" s="940">
        <f>+AF282-AE282</f>
        <v>6</v>
      </c>
      <c r="AG283" s="1701">
        <f>SUM(AC283:AF283)</f>
        <v>31</v>
      </c>
      <c r="AH283" s="940">
        <f>+AH282-AG282</f>
        <v>2</v>
      </c>
      <c r="AI283" s="940">
        <f>+AI282-AH282</f>
        <v>52</v>
      </c>
      <c r="AJ283" s="940">
        <f>+AJ282-AI282</f>
        <v>-12</v>
      </c>
      <c r="AK283" s="940">
        <f>+AK282-AJ282</f>
        <v>3</v>
      </c>
      <c r="AL283" s="1701">
        <f>SUM(AH283:AK283)</f>
        <v>45</v>
      </c>
      <c r="AM283" s="940">
        <f>+AM282-AL282</f>
        <v>2</v>
      </c>
      <c r="AN283" s="940">
        <f>+AN282-AM282</f>
        <v>11</v>
      </c>
      <c r="AO283" s="940">
        <f>+AO282-AN282</f>
        <v>5</v>
      </c>
      <c r="AP283" s="940">
        <f>+AP282-AO282</f>
        <v>-5</v>
      </c>
      <c r="AQ283" s="1701">
        <f>SUM(AM283:AP283)</f>
        <v>13</v>
      </c>
      <c r="AR283" s="940">
        <f>+AR282-AQ282</f>
        <v>2</v>
      </c>
      <c r="AS283" s="940">
        <f>+AS282-AR282</f>
        <v>1</v>
      </c>
      <c r="AT283" s="940">
        <f>+AT282-AS282</f>
        <v>9</v>
      </c>
      <c r="AU283" s="940">
        <f>+AU282-AT282</f>
        <v>3</v>
      </c>
      <c r="AV283" s="1701">
        <f>SUM(AR283:AU283)</f>
        <v>15</v>
      </c>
      <c r="AW283" s="940">
        <f>+AW282-AV282</f>
        <v>-4</v>
      </c>
      <c r="AX283" s="940">
        <f>+AX282-AW282</f>
        <v>0</v>
      </c>
      <c r="AY283" s="940">
        <f>+AY282-AX282</f>
        <v>3</v>
      </c>
      <c r="AZ283" s="940">
        <f>+AZ282-AY282</f>
        <v>7</v>
      </c>
      <c r="BA283" s="1701">
        <f>SUM(AW283:AZ283)</f>
        <v>6</v>
      </c>
      <c r="BB283" s="940">
        <f>+BB282-BA282</f>
        <v>8</v>
      </c>
      <c r="BC283" s="940">
        <f>+BC282-BB282</f>
        <v>8</v>
      </c>
      <c r="BD283" s="940">
        <f>+BD282-BC282</f>
        <v>4</v>
      </c>
      <c r="BE283" s="940">
        <f>+BE282-BD282</f>
        <v>15</v>
      </c>
      <c r="BF283" s="1701">
        <f>SUM(BB283:BE283)</f>
        <v>35</v>
      </c>
      <c r="BG283" s="940">
        <f>+BG282-BE282</f>
        <v>-4</v>
      </c>
      <c r="BH283" s="940">
        <f>+BH282-BG282</f>
        <v>3</v>
      </c>
      <c r="BI283" s="940">
        <f>+BI282-BH282</f>
        <v>4</v>
      </c>
      <c r="BJ283" s="940">
        <f>+BJ282-BI282</f>
        <v>-1</v>
      </c>
      <c r="BK283" s="1701">
        <f>SUM(BG283:BJ283)</f>
        <v>2</v>
      </c>
      <c r="BL283" s="940">
        <f>+BL282-BK282</f>
        <v>12</v>
      </c>
      <c r="BM283" s="940">
        <f>+BM282-BL282</f>
        <v>3</v>
      </c>
      <c r="BN283" s="940">
        <f>+BN282-BM282</f>
        <v>1</v>
      </c>
      <c r="BO283" s="940">
        <f>+BO282-BN282</f>
        <v>0</v>
      </c>
      <c r="BP283" s="1701">
        <f>SUM(BL283:BO283)</f>
        <v>16</v>
      </c>
      <c r="BQ283" s="940">
        <f>+BQ282-BP282</f>
        <v>1</v>
      </c>
      <c r="BR283" s="940">
        <f>+BR282-BQ282</f>
        <v>-11</v>
      </c>
      <c r="BS283" s="940">
        <f>+BS282-BR282</f>
        <v>-1</v>
      </c>
      <c r="BT283" s="940">
        <f>+BT282-BS282</f>
        <v>33.834545175528319</v>
      </c>
      <c r="BU283" s="1701">
        <f>SUM(BQ283:BT283)</f>
        <v>22.834545175528319</v>
      </c>
      <c r="BV283" s="940">
        <f>+BV282-BU282</f>
        <v>4.2527988074011773</v>
      </c>
      <c r="BW283" s="940">
        <f>+BW282-BV282</f>
        <v>-6.6925623337522211</v>
      </c>
      <c r="BX283" s="940">
        <f>+BX282-BW282</f>
        <v>-2.0144836456111079</v>
      </c>
      <c r="BY283" s="940">
        <f>+BY282-BX282</f>
        <v>0.89905658998554827</v>
      </c>
      <c r="BZ283" s="1701">
        <f>SUM(BV283:BY283)</f>
        <v>-3.5551905819766034</v>
      </c>
      <c r="CA283" s="940">
        <f>+CA282-BZ282</f>
        <v>1.0109723480752564</v>
      </c>
      <c r="CB283" s="940">
        <f>+CB282-CA282</f>
        <v>29.098097103270902</v>
      </c>
      <c r="CC283" s="940">
        <f>+CC282-CB282</f>
        <v>-4.9690596591740359</v>
      </c>
      <c r="CD283" s="1799">
        <f>+CD282-CC282</f>
        <v>7.6177326006256862</v>
      </c>
      <c r="CE283" s="1701">
        <f>SUM(CA283:CD283)</f>
        <v>32.757742392797809</v>
      </c>
      <c r="CF283" s="940">
        <f>+CF282-CE282</f>
        <v>1.9212205138696845</v>
      </c>
      <c r="CG283" s="940">
        <f>+CG282-CF282</f>
        <v>33.925396802198293</v>
      </c>
      <c r="CH283" s="940">
        <f>+CH282-CG282</f>
        <v>3.7603694718072802</v>
      </c>
      <c r="CI283" s="1799">
        <f>+CI282-CH282</f>
        <v>7.6513073280523258</v>
      </c>
      <c r="CJ283" s="1701">
        <f>SUM(CF283:CI283)</f>
        <v>47.258294115927583</v>
      </c>
      <c r="CK283" s="940">
        <f>+CK282-CJ282</f>
        <v>-0.49989038613307457</v>
      </c>
      <c r="CL283" s="940">
        <f>+CL282-CK282</f>
        <v>-3.4693885007745848</v>
      </c>
      <c r="CM283" s="940">
        <f>+CM282-CL282</f>
        <v>1.9547952412965515</v>
      </c>
      <c r="CN283" s="1799">
        <f>+CN282-CM282</f>
        <v>827.38200797988952</v>
      </c>
      <c r="CO283" s="1701">
        <f>SUM(CK283:CN283)</f>
        <v>825.36752433427841</v>
      </c>
      <c r="CP283" s="940">
        <f>+CP282-CO282</f>
        <v>5.0921669930723965</v>
      </c>
      <c r="CQ283" s="940">
        <f>+CQ282-CP282</f>
        <v>14.131229721434693</v>
      </c>
      <c r="CR283" s="940">
        <f>+CR282-CQ282</f>
        <v>17.798336061500777</v>
      </c>
      <c r="CS283" s="940">
        <f>+CS282-CR282</f>
        <v>18.26838224547646</v>
      </c>
      <c r="CT283" s="1701">
        <f>SUM(CP283:CS283)</f>
        <v>55.290115021484326</v>
      </c>
      <c r="CU283" s="940">
        <f>+CU282-CT282</f>
        <v>24.015144507614878</v>
      </c>
      <c r="CV283" s="940">
        <f>+CV282-CU282</f>
        <v>25.169555552307429</v>
      </c>
      <c r="CW283" s="940">
        <f>+CW282-CV282</f>
        <v>18.666429291748045</v>
      </c>
      <c r="CX283" s="940">
        <f>+CX282-CW282</f>
        <v>19.285398044488829</v>
      </c>
      <c r="CY283" s="1701">
        <f>SUM(CU283:CX283)</f>
        <v>87.136527396159181</v>
      </c>
      <c r="CZ283" s="1701">
        <f>+CZ282-CY282</f>
        <v>90.748830827803886</v>
      </c>
      <c r="DA283" s="1701">
        <f>+DA282-CZ282</f>
        <v>29.368248179109287</v>
      </c>
      <c r="DB283"/>
      <c r="DC283"/>
      <c r="DD283" s="1571" t="s">
        <v>1010</v>
      </c>
      <c r="DE283" s="1701">
        <f>M283</f>
        <v>0</v>
      </c>
      <c r="DF283" s="1701">
        <f>R283</f>
        <v>798</v>
      </c>
      <c r="DG283" s="1701">
        <f>W283</f>
        <v>40</v>
      </c>
      <c r="DH283" s="1701">
        <f>AB283</f>
        <v>20</v>
      </c>
      <c r="DI283" s="1701">
        <f>AG283</f>
        <v>31</v>
      </c>
      <c r="DJ283" s="1701">
        <f>AL283</f>
        <v>45</v>
      </c>
      <c r="DK283" s="1701">
        <f>AQ283</f>
        <v>13</v>
      </c>
      <c r="DL283" s="1701">
        <f>AV283</f>
        <v>15</v>
      </c>
      <c r="DM283" s="1701">
        <f>BA283</f>
        <v>6</v>
      </c>
      <c r="DN283" s="1701">
        <f>BF283</f>
        <v>35</v>
      </c>
      <c r="DO283" s="1701">
        <f>BK283</f>
        <v>2</v>
      </c>
      <c r="DP283" s="1701">
        <f>BP283</f>
        <v>16</v>
      </c>
      <c r="DQ283" s="1701">
        <f>BU283</f>
        <v>22.834545175528319</v>
      </c>
      <c r="DR283" s="1701">
        <f>BZ283</f>
        <v>-3.5551905819766034</v>
      </c>
      <c r="DS283" s="1701">
        <f>CE283</f>
        <v>32.757742392797809</v>
      </c>
      <c r="DT283" s="1701">
        <f>CJ283</f>
        <v>47.258294115927583</v>
      </c>
      <c r="DU283" s="1701">
        <f>CO283</f>
        <v>825.36752433427841</v>
      </c>
      <c r="DV283" s="1701">
        <f>CT283</f>
        <v>55.290115021484326</v>
      </c>
      <c r="DW283" s="1701">
        <f t="shared" si="706"/>
        <v>87.136527396159181</v>
      </c>
      <c r="DX283" s="1701">
        <f t="shared" si="706"/>
        <v>90.748830827803886</v>
      </c>
      <c r="DY283" s="1701">
        <f t="shared" si="706"/>
        <v>29.368248179109287</v>
      </c>
      <c r="EA283"/>
      <c r="EB283"/>
      <c r="EC283"/>
      <c r="ED283"/>
      <c r="EE283"/>
      <c r="EF283"/>
      <c r="EJ283"/>
      <c r="EK283"/>
      <c r="EL283"/>
      <c r="ER283" s="212"/>
    </row>
    <row r="284" spans="1:148" s="923" customFormat="1" ht="12.75" customHeight="1" x14ac:dyDescent="0.2">
      <c r="A284" s="1675" t="s">
        <v>1016</v>
      </c>
      <c r="B284" s="1696"/>
      <c r="C284" s="1696"/>
      <c r="D284" s="1696"/>
      <c r="E284" s="1696"/>
      <c r="F284" s="1696"/>
      <c r="G284" s="1696"/>
      <c r="H284" s="1696"/>
      <c r="I284" s="1696"/>
      <c r="J284" s="1696"/>
      <c r="K284" s="1696"/>
      <c r="L284" s="1696"/>
      <c r="M284" s="1284"/>
      <c r="N284" s="1696"/>
      <c r="O284" s="1696"/>
      <c r="P284" s="1696"/>
      <c r="Q284" s="1696"/>
      <c r="R284" s="1284"/>
      <c r="S284" s="1696">
        <f t="shared" ref="S284:AX284" si="707">S282/N282-1</f>
        <v>-4.9140049140049546E-3</v>
      </c>
      <c r="T284" s="1696">
        <f t="shared" si="707"/>
        <v>-9.6852300242130651E-3</v>
      </c>
      <c r="U284" s="1696">
        <f t="shared" si="707"/>
        <v>-2.3781212841854971E-2</v>
      </c>
      <c r="V284" s="1696">
        <f t="shared" si="707"/>
        <v>5.0125313283208017E-2</v>
      </c>
      <c r="W284" s="1284">
        <f t="shared" si="707"/>
        <v>5.0125313283208017E-2</v>
      </c>
      <c r="X284" s="1696">
        <f t="shared" si="707"/>
        <v>3.8271604938271642E-2</v>
      </c>
      <c r="Y284" s="1696">
        <f t="shared" si="707"/>
        <v>2.8117359413202925E-2</v>
      </c>
      <c r="Z284" s="1696">
        <f t="shared" si="707"/>
        <v>2.923264311814866E-2</v>
      </c>
      <c r="AA284" s="1696">
        <f t="shared" si="707"/>
        <v>2.3866348448687402E-2</v>
      </c>
      <c r="AB284" s="1284">
        <f t="shared" si="707"/>
        <v>2.3866348448687402E-2</v>
      </c>
      <c r="AC284" s="1696">
        <f t="shared" si="707"/>
        <v>1.7835909631391145E-2</v>
      </c>
      <c r="AD284" s="1696">
        <f t="shared" si="707"/>
        <v>3.6860879904875077E-2</v>
      </c>
      <c r="AE284" s="1696">
        <f t="shared" si="707"/>
        <v>4.4970414201183528E-2</v>
      </c>
      <c r="AF284" s="1696">
        <f t="shared" si="707"/>
        <v>3.6130536130536184E-2</v>
      </c>
      <c r="AG284" s="1284">
        <f t="shared" si="707"/>
        <v>3.6130536130536184E-2</v>
      </c>
      <c r="AH284" s="1696">
        <f t="shared" si="707"/>
        <v>4.0887850467289821E-2</v>
      </c>
      <c r="AI284" s="1696">
        <f t="shared" si="707"/>
        <v>8.1422018348623837E-2</v>
      </c>
      <c r="AJ284" s="1696">
        <f t="shared" si="707"/>
        <v>5.4360135900339834E-2</v>
      </c>
      <c r="AK284" s="1696">
        <f t="shared" si="707"/>
        <v>5.0618672665916797E-2</v>
      </c>
      <c r="AL284" s="1284">
        <f t="shared" si="707"/>
        <v>5.0618672665916797E-2</v>
      </c>
      <c r="AM284" s="1696">
        <f t="shared" si="707"/>
        <v>5.0505050505050608E-2</v>
      </c>
      <c r="AN284" s="1696">
        <f t="shared" si="707"/>
        <v>4.2417815482502785E-3</v>
      </c>
      <c r="AO284" s="1696">
        <f t="shared" si="707"/>
        <v>2.2556390977443552E-2</v>
      </c>
      <c r="AP284" s="1696">
        <f t="shared" si="707"/>
        <v>1.3918629550321304E-2</v>
      </c>
      <c r="AQ284" s="1284">
        <f t="shared" si="707"/>
        <v>1.3918629550321304E-2</v>
      </c>
      <c r="AR284" s="1696">
        <f t="shared" si="707"/>
        <v>1.388888888888884E-2</v>
      </c>
      <c r="AS284" s="1696">
        <f t="shared" si="707"/>
        <v>3.1678986272438703E-3</v>
      </c>
      <c r="AT284" s="1696">
        <f t="shared" si="707"/>
        <v>7.3529411764705621E-3</v>
      </c>
      <c r="AU284" s="1696">
        <f t="shared" si="707"/>
        <v>1.5839493136219573E-2</v>
      </c>
      <c r="AV284" s="1284">
        <f t="shared" si="707"/>
        <v>1.5839493136219573E-2</v>
      </c>
      <c r="AW284" s="1696">
        <f t="shared" si="707"/>
        <v>9.4836670179136995E-3</v>
      </c>
      <c r="AX284" s="1696">
        <f t="shared" si="707"/>
        <v>8.4210526315788847E-3</v>
      </c>
      <c r="AY284" s="1696">
        <f t="shared" ref="AY284:BU284" si="708">AY282/AT282-1</f>
        <v>2.0855057351407691E-3</v>
      </c>
      <c r="AZ284" s="1696">
        <f t="shared" si="708"/>
        <v>6.2370062370062929E-3</v>
      </c>
      <c r="BA284" s="1284">
        <f t="shared" si="708"/>
        <v>6.2370062370062929E-3</v>
      </c>
      <c r="BB284" s="1696">
        <f t="shared" si="708"/>
        <v>1.8789144050104456E-2</v>
      </c>
      <c r="BC284" s="1696">
        <f t="shared" si="708"/>
        <v>2.7139874739039671E-2</v>
      </c>
      <c r="BD284" s="1696">
        <f t="shared" si="708"/>
        <v>2.8095733610822071E-2</v>
      </c>
      <c r="BE284" s="1696">
        <f t="shared" si="708"/>
        <v>3.6157024793388448E-2</v>
      </c>
      <c r="BF284" s="1284">
        <f t="shared" si="708"/>
        <v>3.6157024793388448E-2</v>
      </c>
      <c r="BG284" s="1696">
        <f t="shared" si="708"/>
        <v>2.3565573770491843E-2</v>
      </c>
      <c r="BH284" s="1696">
        <f t="shared" si="708"/>
        <v>1.8292682926829285E-2</v>
      </c>
      <c r="BI284" s="1696">
        <f t="shared" si="708"/>
        <v>1.8218623481781382E-2</v>
      </c>
      <c r="BJ284" s="1696">
        <f t="shared" si="708"/>
        <v>1.9940179461614971E-3</v>
      </c>
      <c r="BK284" s="1284">
        <f t="shared" si="708"/>
        <v>1.9940179461614971E-3</v>
      </c>
      <c r="BL284" s="1696">
        <f t="shared" si="708"/>
        <v>1.8018018018018056E-2</v>
      </c>
      <c r="BM284" s="1696">
        <f t="shared" si="708"/>
        <v>1.7964071856287456E-2</v>
      </c>
      <c r="BN284" s="1696">
        <f t="shared" si="708"/>
        <v>1.491053677932408E-2</v>
      </c>
      <c r="BO284" s="1696">
        <f t="shared" si="708"/>
        <v>1.5920398009950265E-2</v>
      </c>
      <c r="BP284" s="1284">
        <f t="shared" si="708"/>
        <v>1.5920398009950265E-2</v>
      </c>
      <c r="BQ284" s="1696">
        <f t="shared" si="708"/>
        <v>4.9164208456244918E-3</v>
      </c>
      <c r="BR284" s="1696">
        <f t="shared" si="708"/>
        <v>-8.8235294117646745E-3</v>
      </c>
      <c r="BS284" s="1696">
        <f t="shared" si="708"/>
        <v>-1.0773751224289918E-2</v>
      </c>
      <c r="BT284" s="1696">
        <f t="shared" si="708"/>
        <v>2.2364882640086403E-2</v>
      </c>
      <c r="BU284" s="1284">
        <f t="shared" si="708"/>
        <v>2.2364882640086403E-2</v>
      </c>
      <c r="BV284" s="1696">
        <f t="shared" ref="BV284:CF284" si="709">BV282/BQ282-1</f>
        <v>2.5525776891320406E-2</v>
      </c>
      <c r="BW284" s="1696">
        <f t="shared" si="709"/>
        <v>3.0064076804329654E-2</v>
      </c>
      <c r="BX284" s="1696">
        <f t="shared" si="709"/>
        <v>2.9089403963926896E-2</v>
      </c>
      <c r="BY284" s="1696">
        <f t="shared" si="709"/>
        <v>-3.405894735337367E-3</v>
      </c>
      <c r="BZ284" s="1284">
        <f t="shared" si="709"/>
        <v>-3.405894735337367E-3</v>
      </c>
      <c r="CA284" s="1696">
        <f t="shared" si="709"/>
        <v>-6.4851627875521789E-3</v>
      </c>
      <c r="CB284" s="1696">
        <f t="shared" si="709"/>
        <v>2.784116351131094E-2</v>
      </c>
      <c r="CC284" s="1696">
        <f t="shared" si="709"/>
        <v>2.5052491789745668E-2</v>
      </c>
      <c r="CD284" s="1797">
        <f t="shared" si="709"/>
        <v>3.1489370858077459E-2</v>
      </c>
      <c r="CE284" s="1284">
        <f t="shared" si="709"/>
        <v>3.1489370858077459E-2</v>
      </c>
      <c r="CF284" s="1696">
        <f t="shared" si="709"/>
        <v>3.2332952383681945E-2</v>
      </c>
      <c r="CG284" s="1696">
        <f t="shared" ref="CG284:CO284" si="710">CG282/CB282-1</f>
        <v>3.5963851432594396E-2</v>
      </c>
      <c r="CH284" s="1696">
        <f t="shared" si="710"/>
        <v>4.4325005689875629E-2</v>
      </c>
      <c r="CI284" s="1797">
        <f t="shared" si="710"/>
        <v>4.4041621905387629E-2</v>
      </c>
      <c r="CJ284" s="1284">
        <f t="shared" si="710"/>
        <v>4.4041621905387629E-2</v>
      </c>
      <c r="CK284" s="1696">
        <f t="shared" si="710"/>
        <v>4.1710624947944197E-2</v>
      </c>
      <c r="CL284" s="1696">
        <f t="shared" si="710"/>
        <v>6.7116126037018997E-3</v>
      </c>
      <c r="CM284" s="1696">
        <f t="shared" si="710"/>
        <v>5.0661516693824016E-3</v>
      </c>
      <c r="CN284" s="1797">
        <f t="shared" si="710"/>
        <v>0.73674098000366284</v>
      </c>
      <c r="CO284" s="1284">
        <f t="shared" si="710"/>
        <v>0.73674098000366284</v>
      </c>
      <c r="CP284" s="1696">
        <f t="shared" ref="CP284:CY284" si="711">CP282/CK282-1</f>
        <v>0.74206369036315944</v>
      </c>
      <c r="CQ284" s="1696">
        <f t="shared" si="711"/>
        <v>0.7601364786242526</v>
      </c>
      <c r="CR284" s="1696">
        <f t="shared" si="711"/>
        <v>0.77297549747302075</v>
      </c>
      <c r="CS284" s="1696">
        <f t="shared" si="711"/>
        <v>2.8417108936405144E-2</v>
      </c>
      <c r="CT284" s="1284">
        <f t="shared" si="711"/>
        <v>2.8417108936405144E-2</v>
      </c>
      <c r="CU284" s="1696">
        <f t="shared" si="711"/>
        <v>3.804326499234123E-2</v>
      </c>
      <c r="CV284" s="1696">
        <f t="shared" si="711"/>
        <v>4.3387455976305445E-2</v>
      </c>
      <c r="CW284" s="1696">
        <f t="shared" si="711"/>
        <v>4.3435808954684463E-2</v>
      </c>
      <c r="CX284" s="1696">
        <f t="shared" si="711"/>
        <v>4.3547512645118358E-2</v>
      </c>
      <c r="CY284" s="1284">
        <f t="shared" si="711"/>
        <v>4.3547512645118358E-2</v>
      </c>
      <c r="CZ284" s="1284">
        <f>CZ282/BW282-1</f>
        <v>1.092230945532052</v>
      </c>
      <c r="DA284" s="1284">
        <f>DA282/BX282-1</f>
        <v>1.1245415572169484</v>
      </c>
      <c r="DB284"/>
      <c r="DC284"/>
      <c r="DD284" s="1675" t="s">
        <v>1016</v>
      </c>
      <c r="DE284" s="1284">
        <f>M284</f>
        <v>0</v>
      </c>
      <c r="DF284" s="1284">
        <f>R284</f>
        <v>0</v>
      </c>
      <c r="DG284" s="1284">
        <f>W284</f>
        <v>5.0125313283208017E-2</v>
      </c>
      <c r="DH284" s="1284">
        <f>AB284</f>
        <v>2.3866348448687402E-2</v>
      </c>
      <c r="DI284" s="1284">
        <f>AG284</f>
        <v>3.6130536130536184E-2</v>
      </c>
      <c r="DJ284" s="1284">
        <f>AL284</f>
        <v>5.0618672665916797E-2</v>
      </c>
      <c r="DK284" s="1284">
        <f>AQ284</f>
        <v>1.3918629550321304E-2</v>
      </c>
      <c r="DL284" s="1284">
        <f>AV284</f>
        <v>1.5839493136219573E-2</v>
      </c>
      <c r="DM284" s="1284">
        <f>BA284</f>
        <v>6.2370062370062929E-3</v>
      </c>
      <c r="DN284" s="1284">
        <f>BF284</f>
        <v>3.6157024793388448E-2</v>
      </c>
      <c r="DO284" s="1284">
        <f>BK284</f>
        <v>1.9940179461614971E-3</v>
      </c>
      <c r="DP284" s="1284">
        <f>BP284</f>
        <v>1.5920398009950265E-2</v>
      </c>
      <c r="DQ284" s="1284">
        <f>BU284</f>
        <v>2.2364882640086403E-2</v>
      </c>
      <c r="DR284" s="1284">
        <f>BZ284</f>
        <v>-3.405894735337367E-3</v>
      </c>
      <c r="DS284" s="1284">
        <f>CE284</f>
        <v>3.1489370858077459E-2</v>
      </c>
      <c r="DT284" s="1284">
        <f>CJ284</f>
        <v>4.4041621905387629E-2</v>
      </c>
      <c r="DU284" s="1284">
        <f>CO284</f>
        <v>0.73674098000366284</v>
      </c>
      <c r="DV284" s="1284">
        <f>CT284</f>
        <v>2.8417108936405144E-2</v>
      </c>
      <c r="DW284" s="1284">
        <f t="shared" si="706"/>
        <v>4.3547512645118358E-2</v>
      </c>
      <c r="DX284" s="1284">
        <f t="shared" si="706"/>
        <v>1.092230945532052</v>
      </c>
      <c r="DY284" s="1284">
        <f t="shared" si="706"/>
        <v>1.1245415572169484</v>
      </c>
      <c r="EA284"/>
      <c r="EB284"/>
      <c r="EC284"/>
      <c r="ED284"/>
      <c r="EE284"/>
      <c r="EF284"/>
      <c r="EJ284"/>
      <c r="EK284"/>
      <c r="EL284"/>
      <c r="ER284" s="212"/>
    </row>
    <row r="285" spans="1:148" s="923" customFormat="1" ht="12.75" customHeight="1" x14ac:dyDescent="0.2">
      <c r="A285" s="504"/>
      <c r="B285" s="215"/>
      <c r="C285" s="215"/>
      <c r="D285" s="215"/>
      <c r="E285" s="215"/>
      <c r="F285" s="215"/>
      <c r="G285" s="215"/>
      <c r="H285" s="215"/>
      <c r="I285" s="215"/>
      <c r="J285" s="215"/>
      <c r="K285" s="215"/>
      <c r="L285" s="215"/>
      <c r="M285" s="968"/>
      <c r="N285" s="215"/>
      <c r="O285" s="215"/>
      <c r="P285" s="215"/>
      <c r="Q285" s="215"/>
      <c r="R285" s="968"/>
      <c r="S285" s="215"/>
      <c r="T285" s="215"/>
      <c r="U285" s="215"/>
      <c r="V285" s="215"/>
      <c r="W285" s="968"/>
      <c r="X285" s="215"/>
      <c r="Y285" s="215"/>
      <c r="Z285" s="215"/>
      <c r="AA285" s="215"/>
      <c r="AB285" s="968"/>
      <c r="AC285" s="215"/>
      <c r="AD285" s="215"/>
      <c r="AE285" s="215"/>
      <c r="AF285" s="215"/>
      <c r="AG285" s="968"/>
      <c r="AH285" s="215"/>
      <c r="AI285" s="215"/>
      <c r="AJ285" s="215"/>
      <c r="AK285" s="215"/>
      <c r="AL285" s="968"/>
      <c r="AM285" s="215"/>
      <c r="AN285" s="215"/>
      <c r="AO285" s="215"/>
      <c r="AP285" s="215"/>
      <c r="AQ285" s="968"/>
      <c r="AR285" s="215"/>
      <c r="AS285" s="215"/>
      <c r="AT285" s="215"/>
      <c r="AU285" s="215"/>
      <c r="AV285" s="968"/>
      <c r="AW285" s="215"/>
      <c r="AX285" s="215"/>
      <c r="AY285" s="215"/>
      <c r="AZ285" s="215"/>
      <c r="BA285" s="968"/>
      <c r="BB285" s="215"/>
      <c r="BC285" s="215"/>
      <c r="BD285" s="215"/>
      <c r="BE285" s="215"/>
      <c r="BF285" s="968"/>
      <c r="BG285" s="215"/>
      <c r="BH285" s="215"/>
      <c r="BI285" s="215"/>
      <c r="BJ285" s="215"/>
      <c r="BK285" s="968"/>
      <c r="BL285" s="215"/>
      <c r="BM285" s="215"/>
      <c r="BN285" s="215"/>
      <c r="BO285" s="215"/>
      <c r="BP285" s="968"/>
      <c r="BQ285" s="215"/>
      <c r="BR285" s="215"/>
      <c r="BS285" s="215"/>
      <c r="BT285" s="215"/>
      <c r="BU285" s="968"/>
      <c r="BV285" s="215"/>
      <c r="BW285" s="215"/>
      <c r="BX285" s="215"/>
      <c r="BY285" s="215"/>
      <c r="BZ285" s="968"/>
      <c r="CA285" s="215"/>
      <c r="CB285" s="215"/>
      <c r="CC285" s="215"/>
      <c r="CD285" s="1788"/>
      <c r="CE285" s="968"/>
      <c r="CF285" s="215"/>
      <c r="CG285" s="215"/>
      <c r="CH285" s="215"/>
      <c r="CI285" s="1788"/>
      <c r="CJ285" s="968"/>
      <c r="CK285" s="215"/>
      <c r="CL285" s="215"/>
      <c r="CM285" s="215"/>
      <c r="CN285" s="1788"/>
      <c r="CO285" s="968"/>
      <c r="CP285" s="215"/>
      <c r="CQ285" s="215"/>
      <c r="CR285" s="215"/>
      <c r="CS285" s="215"/>
      <c r="CT285" s="968"/>
      <c r="CU285" s="215"/>
      <c r="CV285" s="215"/>
      <c r="CW285" s="215"/>
      <c r="CX285" s="215"/>
      <c r="CY285" s="968"/>
      <c r="CZ285" s="968"/>
      <c r="DA285" s="968"/>
      <c r="DB285"/>
      <c r="DC285"/>
      <c r="DD285" s="2285"/>
      <c r="DE285" s="2290"/>
      <c r="DF285" s="2290"/>
      <c r="DG285" s="2290"/>
      <c r="DH285" s="2290"/>
      <c r="DI285" s="2290"/>
      <c r="DJ285" s="2290"/>
      <c r="DK285" s="2290"/>
      <c r="DL285" s="2290"/>
      <c r="DM285" s="2290"/>
      <c r="DN285" s="2290"/>
      <c r="DO285" s="2290"/>
      <c r="DP285" s="2290"/>
      <c r="DQ285" s="2290"/>
      <c r="DR285" s="2290"/>
      <c r="DS285" s="2290"/>
      <c r="DT285" s="2290"/>
      <c r="DU285" s="2290"/>
      <c r="DV285" s="2290"/>
      <c r="DW285" s="2290"/>
      <c r="DX285" s="2290"/>
      <c r="DY285" s="2290"/>
      <c r="EA285"/>
      <c r="EB285"/>
      <c r="EC285"/>
      <c r="ED285"/>
      <c r="EE285"/>
      <c r="EF285"/>
      <c r="EJ285"/>
      <c r="EK285"/>
      <c r="EL285"/>
      <c r="ER285" s="212"/>
    </row>
    <row r="286" spans="1:148" s="923" customFormat="1" ht="12.75" customHeight="1" x14ac:dyDescent="0.2">
      <c r="A286" s="1680" t="s">
        <v>973</v>
      </c>
      <c r="B286" s="847"/>
      <c r="C286" s="847"/>
      <c r="D286" s="847"/>
      <c r="E286" s="847"/>
      <c r="F286" s="847"/>
      <c r="G286" s="847"/>
      <c r="H286" s="847"/>
      <c r="I286" s="847"/>
      <c r="J286" s="847"/>
      <c r="K286" s="847"/>
      <c r="L286" s="847"/>
      <c r="M286" s="661">
        <f>+Rooms!H877</f>
        <v>210527</v>
      </c>
      <c r="N286" s="847">
        <f>+Rooms!I877</f>
        <v>214965</v>
      </c>
      <c r="O286" s="847">
        <f>+Rooms!J877</f>
        <v>218093</v>
      </c>
      <c r="P286" s="847">
        <f>+Rooms!K877</f>
        <v>221743</v>
      </c>
      <c r="Q286" s="847">
        <f>+Rooms!L877</f>
        <v>216291</v>
      </c>
      <c r="R286" s="661">
        <f>Q286</f>
        <v>216291</v>
      </c>
      <c r="S286" s="847">
        <f>+Rooms!N877</f>
        <v>219691</v>
      </c>
      <c r="T286" s="847">
        <f>+Rooms!O877</f>
        <v>221052</v>
      </c>
      <c r="U286" s="847">
        <f>+Rooms!P877</f>
        <v>222104</v>
      </c>
      <c r="V286" s="847">
        <f>+Rooms!Q877</f>
        <v>225993</v>
      </c>
      <c r="W286" s="661">
        <f>V286</f>
        <v>225993</v>
      </c>
      <c r="X286" s="847">
        <f>+Rooms!S877</f>
        <v>227669</v>
      </c>
      <c r="Y286" s="847">
        <f>+Rooms!T877</f>
        <v>228713</v>
      </c>
      <c r="Z286" s="847">
        <f>+Rooms!U877</f>
        <v>230745</v>
      </c>
      <c r="AA286" s="847">
        <f>+Rooms!V877</f>
        <v>233378</v>
      </c>
      <c r="AB286" s="661">
        <f>AA286</f>
        <v>233378</v>
      </c>
      <c r="AC286" s="847">
        <f>+Rooms!X877</f>
        <v>232092</v>
      </c>
      <c r="AD286" s="847">
        <f>+Rooms!Y877</f>
        <v>235119</v>
      </c>
      <c r="AE286" s="847">
        <f>+Rooms!Z877</f>
        <v>237972</v>
      </c>
      <c r="AF286" s="847">
        <f>+Rooms!AA877</f>
        <v>239344</v>
      </c>
      <c r="AG286" s="661">
        <f>AF286</f>
        <v>239344</v>
      </c>
      <c r="AH286" s="847">
        <f>+Rooms!AC877</f>
        <v>238630</v>
      </c>
      <c r="AI286" s="847">
        <f>+Rooms!AD877</f>
        <v>247811</v>
      </c>
      <c r="AJ286" s="847">
        <f>+Rooms!AE877</f>
        <v>242958</v>
      </c>
      <c r="AK286" s="847">
        <f>+Rooms!AF877</f>
        <v>243863</v>
      </c>
      <c r="AL286" s="661">
        <f>AK286</f>
        <v>243863</v>
      </c>
      <c r="AM286" s="847">
        <f>+Rooms!AH877</f>
        <v>244216</v>
      </c>
      <c r="AN286" s="847">
        <f>+Rooms!AI877</f>
        <v>246576</v>
      </c>
      <c r="AO286" s="847">
        <f>+Rooms!AJ877</f>
        <v>248584</v>
      </c>
      <c r="AP286" s="847">
        <f>+Rooms!AK877</f>
        <v>247989</v>
      </c>
      <c r="AQ286" s="661">
        <f>AP286</f>
        <v>247989</v>
      </c>
      <c r="AR286" s="847">
        <f>+Rooms!AM877</f>
        <v>247989</v>
      </c>
      <c r="AS286" s="847">
        <f>+Rooms!AN877</f>
        <v>248917</v>
      </c>
      <c r="AT286" s="847">
        <f>+Rooms!AO877</f>
        <v>251505</v>
      </c>
      <c r="AU286" s="847">
        <f>+Rooms!AP877</f>
        <v>252859</v>
      </c>
      <c r="AV286" s="661">
        <f>AU286</f>
        <v>252859</v>
      </c>
      <c r="AW286" s="847">
        <f>+Rooms!AR877</f>
        <v>252242</v>
      </c>
      <c r="AX286" s="847">
        <f>+Rooms!AS877</f>
        <v>252591</v>
      </c>
      <c r="AY286" s="847">
        <f>+Rooms!AT877</f>
        <v>254564</v>
      </c>
      <c r="AZ286" s="847">
        <f>+Rooms!AU877</f>
        <v>255959</v>
      </c>
      <c r="BA286" s="661">
        <f>AZ286</f>
        <v>255959</v>
      </c>
      <c r="BB286" s="847">
        <f>+Rooms!AW877</f>
        <v>259280</v>
      </c>
      <c r="BC286" s="847">
        <f>+Rooms!AX877</f>
        <v>260689</v>
      </c>
      <c r="BD286" s="847">
        <f>+Rooms!AY877</f>
        <v>261419</v>
      </c>
      <c r="BE286" s="847">
        <f>+Rooms!AZ877</f>
        <v>264533</v>
      </c>
      <c r="BF286" s="661">
        <f>BE286</f>
        <v>264533</v>
      </c>
      <c r="BG286" s="847">
        <f>+Rooms!BB877</f>
        <v>265941</v>
      </c>
      <c r="BH286" s="847">
        <f>+Rooms!BC877</f>
        <v>266720</v>
      </c>
      <c r="BI286" s="847">
        <f>+Rooms!BD877</f>
        <v>267974</v>
      </c>
      <c r="BJ286" s="847">
        <f>+Rooms!BE877</f>
        <v>268820</v>
      </c>
      <c r="BK286" s="661">
        <f>BJ286</f>
        <v>268820</v>
      </c>
      <c r="BL286" s="847">
        <f>+Rooms!BG877</f>
        <v>271480</v>
      </c>
      <c r="BM286" s="847">
        <f>+Rooms!BH877</f>
        <v>272326</v>
      </c>
      <c r="BN286" s="847">
        <f>+Rooms!BI877</f>
        <v>272374</v>
      </c>
      <c r="BO286" s="847">
        <f>+Rooms!BJ877</f>
        <v>273688</v>
      </c>
      <c r="BP286" s="661">
        <f>+BO286</f>
        <v>273688</v>
      </c>
      <c r="BQ286" s="847">
        <f>+Rooms!BL877</f>
        <v>272367</v>
      </c>
      <c r="BR286" s="847">
        <f>+Rooms!BM877</f>
        <v>271251</v>
      </c>
      <c r="BS286" s="847">
        <f>+Rooms!BN877</f>
        <v>270555</v>
      </c>
      <c r="BT286" s="847">
        <f>+Rooms!BO877</f>
        <v>279809</v>
      </c>
      <c r="BU286" s="661">
        <f>+BT286</f>
        <v>279809</v>
      </c>
      <c r="BV286" s="847">
        <f>+Rooms!BQ877</f>
        <v>280949</v>
      </c>
      <c r="BW286" s="847">
        <f>+Rooms!BR877</f>
        <v>279155</v>
      </c>
      <c r="BX286" s="847">
        <f>+Rooms!BS877</f>
        <v>278615</v>
      </c>
      <c r="BY286" s="847">
        <f>+Rooms!BT877</f>
        <v>278856</v>
      </c>
      <c r="BZ286" s="661">
        <f>+BY286</f>
        <v>278856</v>
      </c>
      <c r="CA286" s="847">
        <f>+Rooms!BV877</f>
        <v>279127</v>
      </c>
      <c r="CB286" s="215">
        <f>+Rooms!BW877</f>
        <v>286927</v>
      </c>
      <c r="CC286" s="215">
        <f>+Rooms!BX877</f>
        <v>285595</v>
      </c>
      <c r="CD286" s="1788">
        <f>+Rooms!BY877</f>
        <v>287637</v>
      </c>
      <c r="CE286" s="661">
        <f>+CD286</f>
        <v>287637</v>
      </c>
      <c r="CF286" s="847">
        <f>+Rooms!CA877</f>
        <v>288152</v>
      </c>
      <c r="CG286" s="215">
        <f>+Rooms!CB877</f>
        <v>297246</v>
      </c>
      <c r="CH286" s="215">
        <f>+Rooms!CC877</f>
        <v>298254</v>
      </c>
      <c r="CI286" s="1788">
        <f>+Rooms!CD877</f>
        <v>300305</v>
      </c>
      <c r="CJ286" s="661">
        <f>+CI286</f>
        <v>300305</v>
      </c>
      <c r="CK286" s="215">
        <f>+Rooms!CF877</f>
        <v>300171</v>
      </c>
      <c r="CL286" s="215">
        <f>+Rooms!CG877</f>
        <v>299241</v>
      </c>
      <c r="CM286" s="215">
        <f>+Rooms!CH877</f>
        <v>299765</v>
      </c>
      <c r="CN286" s="1788">
        <f>+Rooms!CI877</f>
        <v>521552</v>
      </c>
      <c r="CO286" s="661">
        <f>+CN286</f>
        <v>521552</v>
      </c>
      <c r="CP286" s="215">
        <f>+Rooms!CK877</f>
        <v>522917</v>
      </c>
      <c r="CQ286" s="215">
        <f>+Rooms!CL877</f>
        <v>526705</v>
      </c>
      <c r="CR286" s="215">
        <f>+Rooms!CM877</f>
        <v>531476</v>
      </c>
      <c r="CS286" s="215">
        <f>+Rooms!CN877</f>
        <v>536373</v>
      </c>
      <c r="CT286" s="661">
        <f>+CS286</f>
        <v>536373</v>
      </c>
      <c r="CU286" s="215">
        <f>+Rooms!CP877</f>
        <v>542810.47000000009</v>
      </c>
      <c r="CV286" s="215">
        <f>+Rooms!CQ877</f>
        <v>549557.39</v>
      </c>
      <c r="CW286" s="215">
        <f>+Rooms!CR877</f>
        <v>554561.09</v>
      </c>
      <c r="CX286" s="215">
        <f>+Rooms!CS877</f>
        <v>559730.71</v>
      </c>
      <c r="CY286" s="661">
        <f>+CX286</f>
        <v>559730.71</v>
      </c>
      <c r="CZ286" s="661">
        <f>+Rooms!CU877</f>
        <v>584056.72959999996</v>
      </c>
      <c r="DA286" s="661">
        <f>+Rooms!CV877</f>
        <v>591929.14596400002</v>
      </c>
      <c r="DB286"/>
      <c r="DC286" s="544"/>
      <c r="DD286" s="2335" t="s">
        <v>973</v>
      </c>
      <c r="DE286" s="2293">
        <f>M286</f>
        <v>210527</v>
      </c>
      <c r="DF286" s="2293">
        <f>R286</f>
        <v>216291</v>
      </c>
      <c r="DG286" s="2293">
        <f>W286</f>
        <v>225993</v>
      </c>
      <c r="DH286" s="2293">
        <f>AB286</f>
        <v>233378</v>
      </c>
      <c r="DI286" s="2293">
        <f>AG286</f>
        <v>239344</v>
      </c>
      <c r="DJ286" s="2293">
        <f>AL286</f>
        <v>243863</v>
      </c>
      <c r="DK286" s="2293">
        <f>AQ286</f>
        <v>247989</v>
      </c>
      <c r="DL286" s="2293">
        <f>AV286</f>
        <v>252859</v>
      </c>
      <c r="DM286" s="2293">
        <f>BA286</f>
        <v>255959</v>
      </c>
      <c r="DN286" s="2293">
        <f>BF286</f>
        <v>264533</v>
      </c>
      <c r="DO286" s="2293">
        <f>BK286</f>
        <v>268820</v>
      </c>
      <c r="DP286" s="2293">
        <f>BP286</f>
        <v>273688</v>
      </c>
      <c r="DQ286" s="2293">
        <f>BU286</f>
        <v>279809</v>
      </c>
      <c r="DR286" s="2293">
        <f>BZ286</f>
        <v>278856</v>
      </c>
      <c r="DS286" s="2293">
        <f>CE286</f>
        <v>287637</v>
      </c>
      <c r="DT286" s="2293">
        <f>CJ286</f>
        <v>300305</v>
      </c>
      <c r="DU286" s="2293">
        <f>CO286</f>
        <v>521552</v>
      </c>
      <c r="DV286" s="2293">
        <f>CT286</f>
        <v>536373</v>
      </c>
      <c r="DW286" s="2293">
        <f t="shared" ref="DW286:DY289" si="712">CY286</f>
        <v>559730.71</v>
      </c>
      <c r="DX286" s="2293">
        <f t="shared" si="712"/>
        <v>584056.72959999996</v>
      </c>
      <c r="DY286" s="2293">
        <f t="shared" si="712"/>
        <v>591929.14596400002</v>
      </c>
      <c r="EA286"/>
      <c r="EB286"/>
      <c r="EC286"/>
      <c r="ED286"/>
      <c r="EE286"/>
      <c r="EF286"/>
      <c r="EJ286"/>
      <c r="EK286"/>
      <c r="EL286"/>
      <c r="ER286" s="212"/>
    </row>
    <row r="287" spans="1:148" s="923" customFormat="1" ht="12.75" customHeight="1" x14ac:dyDescent="0.2">
      <c r="A287" s="1680" t="s">
        <v>974</v>
      </c>
      <c r="B287" s="215"/>
      <c r="C287" s="215"/>
      <c r="D287" s="215"/>
      <c r="E287" s="215"/>
      <c r="F287" s="215"/>
      <c r="G287" s="215"/>
      <c r="H287" s="215"/>
      <c r="I287" s="215"/>
      <c r="J287" s="215"/>
      <c r="K287" s="215"/>
      <c r="L287" s="215"/>
      <c r="M287" s="969"/>
      <c r="N287" s="215">
        <f>AVERAGE(M286:N286)</f>
        <v>212746</v>
      </c>
      <c r="O287" s="215">
        <f>AVERAGE(N286:O286)</f>
        <v>216529</v>
      </c>
      <c r="P287" s="215">
        <f>AVERAGE(O286:P286)</f>
        <v>219918</v>
      </c>
      <c r="Q287" s="215">
        <f>AVERAGE(P286:Q286)</f>
        <v>219017</v>
      </c>
      <c r="R287" s="969">
        <f>AVERAGE(N287:Q287)</f>
        <v>217052.5</v>
      </c>
      <c r="S287" s="215">
        <f>AVERAGE(R286:S286)</f>
        <v>217991</v>
      </c>
      <c r="T287" s="215">
        <f>AVERAGE(S286:T286)</f>
        <v>220371.5</v>
      </c>
      <c r="U287" s="215">
        <f>AVERAGE(T286:U286)</f>
        <v>221578</v>
      </c>
      <c r="V287" s="215">
        <f>AVERAGE(U286:V286)</f>
        <v>224048.5</v>
      </c>
      <c r="W287" s="969">
        <f>AVERAGE(S287:V287)</f>
        <v>220997.25</v>
      </c>
      <c r="X287" s="215">
        <f>AVERAGE(W286:X286)</f>
        <v>226831</v>
      </c>
      <c r="Y287" s="215">
        <f>AVERAGE(X286:Y286)</f>
        <v>228191</v>
      </c>
      <c r="Z287" s="215">
        <f>AVERAGE(Y286:Z286)</f>
        <v>229729</v>
      </c>
      <c r="AA287" s="215">
        <f>AVERAGE(Z286:AA286)</f>
        <v>232061.5</v>
      </c>
      <c r="AB287" s="969">
        <f>AVERAGE(X287:AA287)</f>
        <v>229203.125</v>
      </c>
      <c r="AC287" s="215">
        <f>AVERAGE(AB286:AC286)</f>
        <v>232735</v>
      </c>
      <c r="AD287" s="215">
        <f>AVERAGE(AC286:AD286)</f>
        <v>233605.5</v>
      </c>
      <c r="AE287" s="215">
        <f>AVERAGE(AD286:AE286)</f>
        <v>236545.5</v>
      </c>
      <c r="AF287" s="215">
        <f>AVERAGE(AE286:AF286)</f>
        <v>238658</v>
      </c>
      <c r="AG287" s="969">
        <f>AVERAGE(AC287:AF287)</f>
        <v>235386</v>
      </c>
      <c r="AH287" s="215">
        <f>AVERAGE(AG286:AH286)</f>
        <v>238987</v>
      </c>
      <c r="AI287" s="215">
        <f>AVERAGE(AH286:AI286)</f>
        <v>243220.5</v>
      </c>
      <c r="AJ287" s="215">
        <f>AVERAGE(AI286:AJ286)</f>
        <v>245384.5</v>
      </c>
      <c r="AK287" s="215">
        <f>AVERAGE(AJ286:AK286)</f>
        <v>243410.5</v>
      </c>
      <c r="AL287" s="969">
        <f>AVERAGE(AH287:AK287)</f>
        <v>242750.625</v>
      </c>
      <c r="AM287" s="215">
        <f>AVERAGE(AL286:AM286)</f>
        <v>244039.5</v>
      </c>
      <c r="AN287" s="215">
        <f>AVERAGE(AM286:AN286)</f>
        <v>245396</v>
      </c>
      <c r="AO287" s="215">
        <f>AVERAGE(AN286:AO286)</f>
        <v>247580</v>
      </c>
      <c r="AP287" s="215">
        <f>AVERAGE(AO286:AP286)</f>
        <v>248286.5</v>
      </c>
      <c r="AQ287" s="969">
        <f>AVERAGE(AM287:AP287)</f>
        <v>246325.5</v>
      </c>
      <c r="AR287" s="215">
        <f>AVERAGE(AQ286:AR286)</f>
        <v>247989</v>
      </c>
      <c r="AS287" s="215">
        <f>AVERAGE(AR286:AS286)</f>
        <v>248453</v>
      </c>
      <c r="AT287" s="215">
        <f>AVERAGE(AS286:AT286)</f>
        <v>250211</v>
      </c>
      <c r="AU287" s="215">
        <f>AVERAGE(AT286:AU286)</f>
        <v>252182</v>
      </c>
      <c r="AV287" s="969">
        <f>AVERAGE(AR287:AU287)</f>
        <v>249708.75</v>
      </c>
      <c r="AW287" s="215">
        <f>AVERAGE(AV286:AW286)</f>
        <v>252550.5</v>
      </c>
      <c r="AX287" s="215">
        <f>AVERAGE(AW286:AX286)</f>
        <v>252416.5</v>
      </c>
      <c r="AY287" s="215">
        <f>AVERAGE(AX286:AY286)</f>
        <v>253577.5</v>
      </c>
      <c r="AZ287" s="215">
        <f>AVERAGE(AY286:AZ286)</f>
        <v>255261.5</v>
      </c>
      <c r="BA287" s="969">
        <f>AVERAGE(AW287:AZ287)</f>
        <v>253451.5</v>
      </c>
      <c r="BB287" s="215">
        <f>AVERAGE(BA286:BB286)</f>
        <v>257619.5</v>
      </c>
      <c r="BC287" s="215">
        <f>AVERAGE(BB286:BC286)</f>
        <v>259984.5</v>
      </c>
      <c r="BD287" s="215">
        <f>AVERAGE(BC286:BD286)</f>
        <v>261054</v>
      </c>
      <c r="BE287" s="215">
        <f>AVERAGE(BD286:BE286)</f>
        <v>262976</v>
      </c>
      <c r="BF287" s="969">
        <f>AVERAGE(BB287:BE287)</f>
        <v>260408.5</v>
      </c>
      <c r="BG287" s="215">
        <f>AVERAGE(BF286:BG286)</f>
        <v>265237</v>
      </c>
      <c r="BH287" s="215">
        <f>AVERAGE(BG286:BH286)</f>
        <v>266330.5</v>
      </c>
      <c r="BI287" s="215">
        <f>AVERAGE(BH286:BI286)</f>
        <v>267347</v>
      </c>
      <c r="BJ287" s="215">
        <f>AVERAGE(BI286:BJ286)</f>
        <v>268397</v>
      </c>
      <c r="BK287" s="969">
        <f>AVERAGE(BG287:BJ287)</f>
        <v>266827.875</v>
      </c>
      <c r="BL287" s="215">
        <f>AVERAGE(BK286:BL286)</f>
        <v>270150</v>
      </c>
      <c r="BM287" s="215">
        <f>AVERAGE(BL286:BM286)</f>
        <v>271903</v>
      </c>
      <c r="BN287" s="215">
        <f>AVERAGE(BM286:BN286)</f>
        <v>272350</v>
      </c>
      <c r="BO287" s="215">
        <f>AVERAGE(BN286:BO286)</f>
        <v>273031</v>
      </c>
      <c r="BP287" s="969">
        <f>AVERAGE(BL287:BO287)</f>
        <v>271858.5</v>
      </c>
      <c r="BQ287" s="215">
        <f>AVERAGE(BP286:BQ286)</f>
        <v>273027.5</v>
      </c>
      <c r="BR287" s="215">
        <f>AVERAGE(BQ286:BR286)</f>
        <v>271809</v>
      </c>
      <c r="BS287" s="215">
        <f>AVERAGE(BR286:BS286)</f>
        <v>270903</v>
      </c>
      <c r="BT287" s="215">
        <f>AVERAGE(BS286:BT286)</f>
        <v>275182</v>
      </c>
      <c r="BU287" s="969">
        <f>AVERAGE(BQ287:BT287)</f>
        <v>272730.375</v>
      </c>
      <c r="BV287" s="215">
        <f>AVERAGE(BU286:BV286)</f>
        <v>280379</v>
      </c>
      <c r="BW287" s="215">
        <f>AVERAGE(BV286:BW286)</f>
        <v>280052</v>
      </c>
      <c r="BX287" s="215">
        <f>AVERAGE(BW286:BX286)</f>
        <v>278885</v>
      </c>
      <c r="BY287" s="215">
        <f>AVERAGE(BX286:BY286)</f>
        <v>278735.5</v>
      </c>
      <c r="BZ287" s="969">
        <f>AVERAGE(BV287:BY287)</f>
        <v>279512.875</v>
      </c>
      <c r="CA287" s="215">
        <f>AVERAGE(BZ286:CA286)</f>
        <v>278991.5</v>
      </c>
      <c r="CB287" s="226">
        <f>AVERAGE(CA286:CB286)</f>
        <v>283027</v>
      </c>
      <c r="CC287" s="226">
        <f>AVERAGE(CB286:CC286)</f>
        <v>286261</v>
      </c>
      <c r="CD287" s="1796">
        <f>AVERAGE(CC286:CD286)</f>
        <v>286616</v>
      </c>
      <c r="CE287" s="969">
        <f>AVERAGE(CA287:CD287)</f>
        <v>283723.875</v>
      </c>
      <c r="CF287" s="215">
        <f>AVERAGE(CE286:CF286)</f>
        <v>287894.5</v>
      </c>
      <c r="CG287" s="226">
        <f>AVERAGE(CF286:CG286)</f>
        <v>292699</v>
      </c>
      <c r="CH287" s="226">
        <f>AVERAGE(CG286:CH286)</f>
        <v>297750</v>
      </c>
      <c r="CI287" s="1796">
        <f>AVERAGE(CH286:CI286)</f>
        <v>299279.5</v>
      </c>
      <c r="CJ287" s="969">
        <f>AVERAGE(CF287:CI287)</f>
        <v>294405.75</v>
      </c>
      <c r="CK287" s="226">
        <f>AVERAGE(CJ286:CK286)</f>
        <v>300238</v>
      </c>
      <c r="CL287" s="226">
        <f>AVERAGE(CK286:CL286)</f>
        <v>299706</v>
      </c>
      <c r="CM287" s="226">
        <f>AVERAGE(CL286:CM286)</f>
        <v>299503</v>
      </c>
      <c r="CN287" s="1796">
        <f>AVERAGE(CM286:CN286)</f>
        <v>410658.5</v>
      </c>
      <c r="CO287" s="969">
        <f>AVERAGE(CK287:CN287)</f>
        <v>327526.375</v>
      </c>
      <c r="CP287" s="226">
        <f>AVERAGE(CO286:CP286)</f>
        <v>522234.5</v>
      </c>
      <c r="CQ287" s="226">
        <f>AVERAGE(CP286:CQ286)</f>
        <v>524811</v>
      </c>
      <c r="CR287" s="226">
        <f>AVERAGE(CQ286:CR286)</f>
        <v>529090.5</v>
      </c>
      <c r="CS287" s="226">
        <f>AVERAGE(CR286:CS286)</f>
        <v>533924.5</v>
      </c>
      <c r="CT287" s="969">
        <f>AVERAGE(CP287:CS287)</f>
        <v>527515.125</v>
      </c>
      <c r="CU287" s="226">
        <f>AVERAGE(CT286:CU286)</f>
        <v>539591.7350000001</v>
      </c>
      <c r="CV287" s="226">
        <f>AVERAGE(CU286:CV286)</f>
        <v>546183.93000000005</v>
      </c>
      <c r="CW287" s="226">
        <f>AVERAGE(CV286:CW286)</f>
        <v>552059.24</v>
      </c>
      <c r="CX287" s="226">
        <f>AVERAGE(CW286:CX286)</f>
        <v>557145.89999999991</v>
      </c>
      <c r="CY287" s="969">
        <f>AVERAGE(CU287:CX287)</f>
        <v>548745.20124999993</v>
      </c>
      <c r="CZ287" s="969">
        <f>AVERAGE(CY286:CZ286)</f>
        <v>571893.71979999996</v>
      </c>
      <c r="DA287" s="969">
        <f>AVERAGE(CZ286:DA286)</f>
        <v>587992.93778200005</v>
      </c>
      <c r="DB287"/>
      <c r="DC287"/>
      <c r="DD287" s="2335" t="s">
        <v>974</v>
      </c>
      <c r="DE287" s="2290">
        <f>M287</f>
        <v>0</v>
      </c>
      <c r="DF287" s="2290">
        <f>R287</f>
        <v>217052.5</v>
      </c>
      <c r="DG287" s="2290">
        <f>W287</f>
        <v>220997.25</v>
      </c>
      <c r="DH287" s="2290">
        <f>AB287</f>
        <v>229203.125</v>
      </c>
      <c r="DI287" s="2290">
        <f>AG287</f>
        <v>235386</v>
      </c>
      <c r="DJ287" s="2290">
        <f>AL287</f>
        <v>242750.625</v>
      </c>
      <c r="DK287" s="2290">
        <f>AQ287</f>
        <v>246325.5</v>
      </c>
      <c r="DL287" s="2290">
        <f>AV287</f>
        <v>249708.75</v>
      </c>
      <c r="DM287" s="2290">
        <f>BA287</f>
        <v>253451.5</v>
      </c>
      <c r="DN287" s="2290">
        <f>BF287</f>
        <v>260408.5</v>
      </c>
      <c r="DO287" s="2290">
        <f>BK287</f>
        <v>266827.875</v>
      </c>
      <c r="DP287" s="2290">
        <f>BP287</f>
        <v>271858.5</v>
      </c>
      <c r="DQ287" s="2290">
        <f>BU287</f>
        <v>272730.375</v>
      </c>
      <c r="DR287" s="2290">
        <f>BZ287</f>
        <v>279512.875</v>
      </c>
      <c r="DS287" s="2290">
        <f>CE287</f>
        <v>283723.875</v>
      </c>
      <c r="DT287" s="2290">
        <f>CJ287</f>
        <v>294405.75</v>
      </c>
      <c r="DU287" s="2290">
        <f>CO287</f>
        <v>327526.375</v>
      </c>
      <c r="DV287" s="2290">
        <f>CT287</f>
        <v>527515.125</v>
      </c>
      <c r="DW287" s="2290">
        <f t="shared" si="712"/>
        <v>548745.20124999993</v>
      </c>
      <c r="DX287" s="2290">
        <f t="shared" si="712"/>
        <v>571893.71979999996</v>
      </c>
      <c r="DY287" s="2290">
        <f t="shared" si="712"/>
        <v>587992.93778200005</v>
      </c>
      <c r="EA287"/>
      <c r="EB287"/>
      <c r="EC287"/>
      <c r="ED287"/>
      <c r="EE287"/>
      <c r="EF287"/>
      <c r="EJ287"/>
      <c r="EK287"/>
      <c r="EL287"/>
      <c r="ER287" s="212"/>
    </row>
    <row r="288" spans="1:148" s="923" customFormat="1" ht="12.75" customHeight="1" x14ac:dyDescent="0.2">
      <c r="A288" s="1675" t="s">
        <v>1016</v>
      </c>
      <c r="B288" s="874"/>
      <c r="C288" s="874"/>
      <c r="D288" s="874"/>
      <c r="E288" s="874"/>
      <c r="F288" s="874"/>
      <c r="G288" s="874"/>
      <c r="H288" s="874"/>
      <c r="I288" s="874"/>
      <c r="J288" s="874"/>
      <c r="K288" s="874"/>
      <c r="L288" s="874"/>
      <c r="M288" s="1042"/>
      <c r="N288" s="874"/>
      <c r="O288" s="874"/>
      <c r="P288" s="874"/>
      <c r="Q288" s="874"/>
      <c r="R288" s="1042"/>
      <c r="S288" s="874">
        <f t="shared" ref="S288:AX288" si="713">S286/N286-1</f>
        <v>2.1984974298141502E-2</v>
      </c>
      <c r="T288" s="874">
        <f t="shared" si="713"/>
        <v>1.3567606479804484E-2</v>
      </c>
      <c r="U288" s="874">
        <f t="shared" si="713"/>
        <v>1.6280108053017273E-3</v>
      </c>
      <c r="V288" s="874">
        <f t="shared" si="713"/>
        <v>4.4856235349598483E-2</v>
      </c>
      <c r="W288" s="1042">
        <f t="shared" si="713"/>
        <v>4.4856235349598483E-2</v>
      </c>
      <c r="X288" s="874">
        <f t="shared" si="713"/>
        <v>3.6314641928891112E-2</v>
      </c>
      <c r="Y288" s="874">
        <f t="shared" si="713"/>
        <v>3.4657003781915607E-2</v>
      </c>
      <c r="Z288" s="874">
        <f t="shared" si="713"/>
        <v>3.8905197565104688E-2</v>
      </c>
      <c r="AA288" s="874">
        <f t="shared" si="713"/>
        <v>3.2678003300987246E-2</v>
      </c>
      <c r="AB288" s="1042">
        <f t="shared" si="713"/>
        <v>3.2678003300987246E-2</v>
      </c>
      <c r="AC288" s="874">
        <f t="shared" si="713"/>
        <v>1.9427326513490994E-2</v>
      </c>
      <c r="AD288" s="874">
        <f t="shared" si="713"/>
        <v>2.8008901986332324E-2</v>
      </c>
      <c r="AE288" s="874">
        <f t="shared" si="713"/>
        <v>3.1320288630306115E-2</v>
      </c>
      <c r="AF288" s="874">
        <f t="shared" si="713"/>
        <v>2.5563677810247709E-2</v>
      </c>
      <c r="AG288" s="1042">
        <f t="shared" si="713"/>
        <v>2.5563677810247709E-2</v>
      </c>
      <c r="AH288" s="874">
        <f t="shared" si="713"/>
        <v>2.8169863674749607E-2</v>
      </c>
      <c r="AI288" s="874">
        <f t="shared" si="713"/>
        <v>5.3981175489858257E-2</v>
      </c>
      <c r="AJ288" s="874">
        <f t="shared" si="713"/>
        <v>2.095204477837731E-2</v>
      </c>
      <c r="AK288" s="874">
        <f t="shared" si="713"/>
        <v>1.8880774115916932E-2</v>
      </c>
      <c r="AL288" s="1042">
        <f t="shared" si="713"/>
        <v>1.8880774115916932E-2</v>
      </c>
      <c r="AM288" s="874">
        <f t="shared" si="713"/>
        <v>2.3408624229979358E-2</v>
      </c>
      <c r="AN288" s="874">
        <f t="shared" si="713"/>
        <v>-4.9836367231478329E-3</v>
      </c>
      <c r="AO288" s="874">
        <f t="shared" si="713"/>
        <v>2.3156265692012568E-2</v>
      </c>
      <c r="AP288" s="874">
        <f t="shared" si="713"/>
        <v>1.6919335856607987E-2</v>
      </c>
      <c r="AQ288" s="1042">
        <f t="shared" si="713"/>
        <v>1.6919335856607987E-2</v>
      </c>
      <c r="AR288" s="874">
        <f t="shared" si="713"/>
        <v>1.5449438202247201E-2</v>
      </c>
      <c r="AS288" s="874">
        <f t="shared" si="713"/>
        <v>9.4940302381416597E-3</v>
      </c>
      <c r="AT288" s="874">
        <f t="shared" si="713"/>
        <v>1.1750555144337538E-2</v>
      </c>
      <c r="AU288" s="874">
        <f t="shared" si="713"/>
        <v>1.9637967813088464E-2</v>
      </c>
      <c r="AV288" s="1042">
        <f t="shared" si="713"/>
        <v>1.9637967813088464E-2</v>
      </c>
      <c r="AW288" s="874">
        <f t="shared" si="713"/>
        <v>1.7149954231840958E-2</v>
      </c>
      <c r="AX288" s="874">
        <f t="shared" si="713"/>
        <v>1.4759940060341314E-2</v>
      </c>
      <c r="AY288" s="874">
        <f t="shared" ref="AY288:BU288" si="714">AY286/AT286-1</f>
        <v>1.2162780064014722E-2</v>
      </c>
      <c r="AZ288" s="874">
        <f t="shared" si="714"/>
        <v>1.2259796961943126E-2</v>
      </c>
      <c r="BA288" s="1042">
        <f t="shared" si="714"/>
        <v>1.2259796961943126E-2</v>
      </c>
      <c r="BB288" s="874">
        <f t="shared" si="714"/>
        <v>2.7901776865074002E-2</v>
      </c>
      <c r="BC288" s="874">
        <f t="shared" si="714"/>
        <v>3.2059732927934848E-2</v>
      </c>
      <c r="BD288" s="874">
        <f t="shared" si="714"/>
        <v>2.692839521691992E-2</v>
      </c>
      <c r="BE288" s="874">
        <f t="shared" si="714"/>
        <v>3.3497552342367287E-2</v>
      </c>
      <c r="BF288" s="1042">
        <f t="shared" si="714"/>
        <v>3.3497552342367287E-2</v>
      </c>
      <c r="BG288" s="874">
        <f t="shared" si="714"/>
        <v>2.5690373341561212E-2</v>
      </c>
      <c r="BH288" s="874">
        <f t="shared" si="714"/>
        <v>2.313484650292108E-2</v>
      </c>
      <c r="BI288" s="874">
        <f t="shared" si="714"/>
        <v>2.5074688526847799E-2</v>
      </c>
      <c r="BJ288" s="874">
        <f t="shared" si="714"/>
        <v>1.6205917598182351E-2</v>
      </c>
      <c r="BK288" s="1042">
        <f t="shared" si="714"/>
        <v>1.6205917598182351E-2</v>
      </c>
      <c r="BL288" s="874">
        <f t="shared" si="714"/>
        <v>2.0827927999067519E-2</v>
      </c>
      <c r="BM288" s="874">
        <f t="shared" si="714"/>
        <v>2.1018296340731935E-2</v>
      </c>
      <c r="BN288" s="874">
        <f t="shared" si="714"/>
        <v>1.6419503384656808E-2</v>
      </c>
      <c r="BO288" s="874">
        <f t="shared" si="714"/>
        <v>1.810877166877467E-2</v>
      </c>
      <c r="BP288" s="1042">
        <f t="shared" si="714"/>
        <v>1.810877166877467E-2</v>
      </c>
      <c r="BQ288" s="874">
        <f t="shared" si="714"/>
        <v>3.2672756740828035E-3</v>
      </c>
      <c r="BR288" s="874">
        <f t="shared" si="714"/>
        <v>-3.9474747178014358E-3</v>
      </c>
      <c r="BS288" s="874">
        <f t="shared" si="714"/>
        <v>-6.6783173136936158E-3</v>
      </c>
      <c r="BT288" s="874">
        <f t="shared" si="714"/>
        <v>2.2364882640086625E-2</v>
      </c>
      <c r="BU288" s="1042">
        <f t="shared" si="714"/>
        <v>2.2364882640086625E-2</v>
      </c>
      <c r="BV288" s="874">
        <f t="shared" ref="BV288:CF288" si="715">BV286/BQ286-1</f>
        <v>3.1508956665087906E-2</v>
      </c>
      <c r="BW288" s="874">
        <f t="shared" si="715"/>
        <v>2.9139063081795147E-2</v>
      </c>
      <c r="BX288" s="874">
        <f t="shared" si="715"/>
        <v>2.9790615586479552E-2</v>
      </c>
      <c r="BY288" s="874">
        <f t="shared" si="715"/>
        <v>-3.405894735337367E-3</v>
      </c>
      <c r="BZ288" s="1042">
        <f t="shared" si="715"/>
        <v>-3.405894735337367E-3</v>
      </c>
      <c r="CA288" s="874">
        <f t="shared" si="715"/>
        <v>-6.4851627875521789E-3</v>
      </c>
      <c r="CB288" s="874">
        <f t="shared" si="715"/>
        <v>2.784116351131094E-2</v>
      </c>
      <c r="CC288" s="874">
        <f t="shared" si="715"/>
        <v>2.5052491789745668E-2</v>
      </c>
      <c r="CD288" s="1603">
        <f t="shared" si="715"/>
        <v>3.1489370858077237E-2</v>
      </c>
      <c r="CE288" s="1042">
        <f t="shared" si="715"/>
        <v>3.1489370858077237E-2</v>
      </c>
      <c r="CF288" s="874">
        <f t="shared" si="715"/>
        <v>3.2332952383681945E-2</v>
      </c>
      <c r="CG288" s="874">
        <f t="shared" ref="CG288:CO288" si="716">CG286/CB286-1</f>
        <v>3.5963851432594396E-2</v>
      </c>
      <c r="CH288" s="874">
        <f t="shared" si="716"/>
        <v>4.4325005689875629E-2</v>
      </c>
      <c r="CI288" s="1603">
        <f t="shared" si="716"/>
        <v>4.4041621905387629E-2</v>
      </c>
      <c r="CJ288" s="1042">
        <f t="shared" si="716"/>
        <v>4.4041621905387629E-2</v>
      </c>
      <c r="CK288" s="874">
        <f t="shared" si="716"/>
        <v>4.1710624947944197E-2</v>
      </c>
      <c r="CL288" s="874">
        <f t="shared" si="716"/>
        <v>6.7116126037018997E-3</v>
      </c>
      <c r="CM288" s="874">
        <f t="shared" si="716"/>
        <v>5.0661516693824016E-3</v>
      </c>
      <c r="CN288" s="1603">
        <f t="shared" si="716"/>
        <v>0.73674098000366284</v>
      </c>
      <c r="CO288" s="1042">
        <f t="shared" si="716"/>
        <v>0.73674098000366284</v>
      </c>
      <c r="CP288" s="874">
        <f t="shared" ref="CP288:CY288" si="717">CP286/CK286-1</f>
        <v>0.74206369036315967</v>
      </c>
      <c r="CQ288" s="874">
        <f t="shared" si="717"/>
        <v>0.7601364786242526</v>
      </c>
      <c r="CR288" s="874">
        <f t="shared" si="717"/>
        <v>0.77297549747302052</v>
      </c>
      <c r="CS288" s="874">
        <f t="shared" si="717"/>
        <v>2.8417108936405144E-2</v>
      </c>
      <c r="CT288" s="1042">
        <f t="shared" si="717"/>
        <v>2.8417108936405144E-2</v>
      </c>
      <c r="CU288" s="874">
        <f t="shared" si="717"/>
        <v>3.804326499234123E-2</v>
      </c>
      <c r="CV288" s="874">
        <f t="shared" si="717"/>
        <v>4.3387455976305445E-2</v>
      </c>
      <c r="CW288" s="874">
        <f t="shared" si="717"/>
        <v>4.3435808954684685E-2</v>
      </c>
      <c r="CX288" s="874">
        <f t="shared" si="717"/>
        <v>4.3547512645118136E-2</v>
      </c>
      <c r="CY288" s="1042">
        <f t="shared" si="717"/>
        <v>4.3547512645118136E-2</v>
      </c>
      <c r="CZ288" s="1042">
        <f>CZ286/BW286-1</f>
        <v>1.092230945532052</v>
      </c>
      <c r="DA288" s="1042">
        <f>DA286/BX286-1</f>
        <v>1.1245415572169484</v>
      </c>
      <c r="DB288"/>
      <c r="DC288"/>
      <c r="DD288" s="1675" t="s">
        <v>1016</v>
      </c>
      <c r="DE288" s="1042">
        <f>M288</f>
        <v>0</v>
      </c>
      <c r="DF288" s="1042">
        <f>R288</f>
        <v>0</v>
      </c>
      <c r="DG288" s="1042">
        <f>W288</f>
        <v>4.4856235349598483E-2</v>
      </c>
      <c r="DH288" s="1042">
        <f>AB288</f>
        <v>3.2678003300987246E-2</v>
      </c>
      <c r="DI288" s="1042">
        <f>AG288</f>
        <v>2.5563677810247709E-2</v>
      </c>
      <c r="DJ288" s="1042">
        <f>AL288</f>
        <v>1.8880774115916932E-2</v>
      </c>
      <c r="DK288" s="1042">
        <f>AQ288</f>
        <v>1.6919335856607987E-2</v>
      </c>
      <c r="DL288" s="1042">
        <f>AV288</f>
        <v>1.9637967813088464E-2</v>
      </c>
      <c r="DM288" s="1042">
        <f>BA288</f>
        <v>1.2259796961943126E-2</v>
      </c>
      <c r="DN288" s="1042">
        <f>BF288</f>
        <v>3.3497552342367287E-2</v>
      </c>
      <c r="DO288" s="1042">
        <f>BK288</f>
        <v>1.6205917598182351E-2</v>
      </c>
      <c r="DP288" s="1042">
        <f>BP288</f>
        <v>1.810877166877467E-2</v>
      </c>
      <c r="DQ288" s="1042">
        <f>BU288</f>
        <v>2.2364882640086625E-2</v>
      </c>
      <c r="DR288" s="1042">
        <f>BZ288</f>
        <v>-3.405894735337367E-3</v>
      </c>
      <c r="DS288" s="1042">
        <f>CE288</f>
        <v>3.1489370858077237E-2</v>
      </c>
      <c r="DT288" s="1042">
        <f>CJ288</f>
        <v>4.4041621905387629E-2</v>
      </c>
      <c r="DU288" s="1042">
        <f>CO288</f>
        <v>0.73674098000366284</v>
      </c>
      <c r="DV288" s="1042">
        <f>CT288</f>
        <v>2.8417108936405144E-2</v>
      </c>
      <c r="DW288" s="1042">
        <f t="shared" si="712"/>
        <v>4.3547512645118136E-2</v>
      </c>
      <c r="DX288" s="1042">
        <f t="shared" si="712"/>
        <v>1.092230945532052</v>
      </c>
      <c r="DY288" s="1042">
        <f t="shared" si="712"/>
        <v>1.1245415572169484</v>
      </c>
      <c r="EA288"/>
      <c r="EB288"/>
      <c r="EC288"/>
      <c r="ED288"/>
      <c r="EE288"/>
      <c r="EF288"/>
      <c r="EJ288"/>
      <c r="EK288"/>
      <c r="EL288"/>
      <c r="ER288" s="212"/>
    </row>
    <row r="289" spans="1:148" s="923" customFormat="1" ht="12.75" customHeight="1" x14ac:dyDescent="0.2">
      <c r="A289" s="1702" t="s">
        <v>1012</v>
      </c>
      <c r="B289" s="940"/>
      <c r="C289" s="940"/>
      <c r="D289" s="940"/>
      <c r="E289" s="940"/>
      <c r="F289" s="940"/>
      <c r="G289" s="940"/>
      <c r="H289" s="940"/>
      <c r="I289" s="940"/>
      <c r="J289" s="940"/>
      <c r="K289" s="940"/>
      <c r="L289" s="940"/>
      <c r="M289" s="1701"/>
      <c r="N289" s="940">
        <f t="shared" ref="N289:AS289" si="718">N286/N282</f>
        <v>264.08476658476661</v>
      </c>
      <c r="O289" s="940">
        <f t="shared" si="718"/>
        <v>264.03510895883778</v>
      </c>
      <c r="P289" s="940">
        <f t="shared" si="718"/>
        <v>263.66587395957191</v>
      </c>
      <c r="Q289" s="940">
        <f t="shared" si="718"/>
        <v>271.04135338345867</v>
      </c>
      <c r="R289" s="1701">
        <f t="shared" si="718"/>
        <v>271.04135338345867</v>
      </c>
      <c r="S289" s="940">
        <f t="shared" si="718"/>
        <v>271.22345679012346</v>
      </c>
      <c r="T289" s="940">
        <f t="shared" si="718"/>
        <v>270.23471882640587</v>
      </c>
      <c r="U289" s="940">
        <f t="shared" si="718"/>
        <v>270.52862362971985</v>
      </c>
      <c r="V289" s="940">
        <f t="shared" si="718"/>
        <v>269.68138424821001</v>
      </c>
      <c r="W289" s="1701">
        <f t="shared" si="718"/>
        <v>269.68138424821001</v>
      </c>
      <c r="X289" s="940">
        <f t="shared" si="718"/>
        <v>270.71224732461354</v>
      </c>
      <c r="Y289" s="940">
        <f t="shared" si="718"/>
        <v>271.95362663495837</v>
      </c>
      <c r="Z289" s="940">
        <f t="shared" si="718"/>
        <v>273.07100591715977</v>
      </c>
      <c r="AA289" s="940">
        <f t="shared" si="718"/>
        <v>272.002331002331</v>
      </c>
      <c r="AB289" s="1701">
        <f t="shared" si="718"/>
        <v>272.002331002331</v>
      </c>
      <c r="AC289" s="940">
        <f t="shared" si="718"/>
        <v>271.13551401869159</v>
      </c>
      <c r="AD289" s="940">
        <f t="shared" si="718"/>
        <v>269.63188073394497</v>
      </c>
      <c r="AE289" s="940">
        <f t="shared" si="718"/>
        <v>269.50396375990942</v>
      </c>
      <c r="AF289" s="940">
        <f t="shared" si="718"/>
        <v>269.22834645669292</v>
      </c>
      <c r="AG289" s="1701">
        <f t="shared" si="718"/>
        <v>269.22834645669292</v>
      </c>
      <c r="AH289" s="940">
        <f t="shared" si="718"/>
        <v>267.8226711560045</v>
      </c>
      <c r="AI289" s="940">
        <f t="shared" si="718"/>
        <v>262.79003181336162</v>
      </c>
      <c r="AJ289" s="940">
        <f t="shared" si="718"/>
        <v>260.96455424274973</v>
      </c>
      <c r="AK289" s="940">
        <f t="shared" si="718"/>
        <v>261.09528907922913</v>
      </c>
      <c r="AL289" s="1701">
        <f t="shared" si="718"/>
        <v>261.09528907922913</v>
      </c>
      <c r="AM289" s="940">
        <f t="shared" si="718"/>
        <v>260.91452991452991</v>
      </c>
      <c r="AN289" s="940">
        <f t="shared" si="718"/>
        <v>260.37592397043295</v>
      </c>
      <c r="AO289" s="940">
        <f t="shared" si="718"/>
        <v>261.11764705882354</v>
      </c>
      <c r="AP289" s="940">
        <f t="shared" si="718"/>
        <v>261.86800422386483</v>
      </c>
      <c r="AQ289" s="1701">
        <f t="shared" si="718"/>
        <v>261.86800422386483</v>
      </c>
      <c r="AR289" s="940">
        <f t="shared" si="718"/>
        <v>261.31612223393046</v>
      </c>
      <c r="AS289" s="940">
        <f t="shared" si="718"/>
        <v>262.01789473684209</v>
      </c>
      <c r="AT289" s="940">
        <f t="shared" ref="AT289:BP289" si="719">AT286/AT282</f>
        <v>262.2575599582899</v>
      </c>
      <c r="AU289" s="940">
        <f t="shared" si="719"/>
        <v>262.84719334719335</v>
      </c>
      <c r="AV289" s="1701">
        <f t="shared" si="719"/>
        <v>262.84719334719335</v>
      </c>
      <c r="AW289" s="940">
        <f t="shared" si="719"/>
        <v>263.30062630480165</v>
      </c>
      <c r="AX289" s="940">
        <f t="shared" si="719"/>
        <v>263.66492693110649</v>
      </c>
      <c r="AY289" s="940">
        <f t="shared" si="719"/>
        <v>264.89490114464098</v>
      </c>
      <c r="AZ289" s="940">
        <f t="shared" si="719"/>
        <v>264.42045454545456</v>
      </c>
      <c r="BA289" s="1701">
        <f t="shared" si="719"/>
        <v>264.42045454545456</v>
      </c>
      <c r="BB289" s="940">
        <f t="shared" si="719"/>
        <v>265.65573770491801</v>
      </c>
      <c r="BC289" s="940">
        <f t="shared" si="719"/>
        <v>264.92784552845529</v>
      </c>
      <c r="BD289" s="940">
        <f t="shared" si="719"/>
        <v>264.59412955465586</v>
      </c>
      <c r="BE289" s="940">
        <f t="shared" si="719"/>
        <v>263.74177467597207</v>
      </c>
      <c r="BF289" s="1701">
        <f t="shared" si="719"/>
        <v>263.74177467597207</v>
      </c>
      <c r="BG289" s="940">
        <f t="shared" si="719"/>
        <v>266.2072072072072</v>
      </c>
      <c r="BH289" s="940">
        <f t="shared" si="719"/>
        <v>266.18762475049903</v>
      </c>
      <c r="BI289" s="940">
        <f t="shared" si="719"/>
        <v>266.37574552683895</v>
      </c>
      <c r="BJ289" s="940">
        <f t="shared" si="719"/>
        <v>267.48258706467664</v>
      </c>
      <c r="BK289" s="1701">
        <f t="shared" si="719"/>
        <v>267.48258706467664</v>
      </c>
      <c r="BL289" s="940">
        <f t="shared" si="719"/>
        <v>266.94198623402161</v>
      </c>
      <c r="BM289" s="940">
        <f t="shared" si="719"/>
        <v>266.98627450980393</v>
      </c>
      <c r="BN289" s="940">
        <f t="shared" si="719"/>
        <v>266.77179236043094</v>
      </c>
      <c r="BO289" s="940">
        <f t="shared" si="719"/>
        <v>268.05876591576884</v>
      </c>
      <c r="BP289" s="1701">
        <f t="shared" si="719"/>
        <v>268.05876591576884</v>
      </c>
      <c r="BQ289" s="940">
        <f>+BP289</f>
        <v>268.05876591576884</v>
      </c>
      <c r="BR289" s="940">
        <f>+BQ289</f>
        <v>268.05876591576884</v>
      </c>
      <c r="BS289" s="940">
        <f>+BR289</f>
        <v>268.05876591576884</v>
      </c>
      <c r="BT289" s="940">
        <f>+BS289</f>
        <v>268.05876591576884</v>
      </c>
      <c r="BU289" s="1701">
        <f>BU286/BU282</f>
        <v>268.05876591576884</v>
      </c>
      <c r="BV289" s="940">
        <f>+BU289</f>
        <v>268.05876591576884</v>
      </c>
      <c r="BW289" s="940">
        <f>+BV289</f>
        <v>268.05876591576884</v>
      </c>
      <c r="BX289" s="940">
        <f>+BW289</f>
        <v>268.05876591576884</v>
      </c>
      <c r="BY289" s="940">
        <f>+BX289</f>
        <v>268.05876591576884</v>
      </c>
      <c r="BZ289" s="1701">
        <f>BZ286/BZ282</f>
        <v>268.05876591576884</v>
      </c>
      <c r="CA289" s="940">
        <f>+BZ289</f>
        <v>268.05876591576884</v>
      </c>
      <c r="CB289" s="940">
        <f>+CA289</f>
        <v>268.05876591576884</v>
      </c>
      <c r="CC289" s="940">
        <f>+CB289</f>
        <v>268.05876591576884</v>
      </c>
      <c r="CD289" s="1799">
        <f>+CC289</f>
        <v>268.05876591576884</v>
      </c>
      <c r="CE289" s="1701">
        <f>CE286/CE282</f>
        <v>268.05876591576884</v>
      </c>
      <c r="CF289" s="940">
        <f>+CE289</f>
        <v>268.05876591576884</v>
      </c>
      <c r="CG289" s="940">
        <f>+CF289</f>
        <v>268.05876591576884</v>
      </c>
      <c r="CH289" s="940">
        <f>+CG289</f>
        <v>268.05876591576884</v>
      </c>
      <c r="CI289" s="1799">
        <f>+CH289</f>
        <v>268.05876591576884</v>
      </c>
      <c r="CJ289" s="1701">
        <f>CJ286/CJ282</f>
        <v>268.05876591576884</v>
      </c>
      <c r="CK289" s="940">
        <f>+CJ289</f>
        <v>268.05876591576884</v>
      </c>
      <c r="CL289" s="940">
        <f>+CK289</f>
        <v>268.05876591576884</v>
      </c>
      <c r="CM289" s="940">
        <f>+CL289</f>
        <v>268.05876591576884</v>
      </c>
      <c r="CN289" s="1799">
        <f>+CM289</f>
        <v>268.05876591576884</v>
      </c>
      <c r="CO289" s="1701">
        <f>CO286/CO282</f>
        <v>268.05876591576884</v>
      </c>
      <c r="CP289" s="940">
        <f>+CO289</f>
        <v>268.05876591576884</v>
      </c>
      <c r="CQ289" s="940">
        <f>+CP289</f>
        <v>268.05876591576884</v>
      </c>
      <c r="CR289" s="940">
        <f>+CQ289</f>
        <v>268.05876591576884</v>
      </c>
      <c r="CS289" s="940">
        <f>+CR289</f>
        <v>268.05876591576884</v>
      </c>
      <c r="CT289" s="1701">
        <f>CT286/CT282</f>
        <v>268.05876591576884</v>
      </c>
      <c r="CU289" s="940">
        <f>+CT289</f>
        <v>268.05876591576884</v>
      </c>
      <c r="CV289" s="940">
        <f>+CU289</f>
        <v>268.05876591576884</v>
      </c>
      <c r="CW289" s="940">
        <f>+CV289</f>
        <v>268.05876591576884</v>
      </c>
      <c r="CX289" s="940">
        <f>+CW289</f>
        <v>268.05876591576884</v>
      </c>
      <c r="CY289" s="1701">
        <f>CY286/CY282</f>
        <v>268.05876591576884</v>
      </c>
      <c r="CZ289" s="1701">
        <f>+CY289</f>
        <v>268.05876591576884</v>
      </c>
      <c r="DA289" s="1701">
        <f>+CZ289</f>
        <v>268.05876591576884</v>
      </c>
      <c r="DB289"/>
      <c r="DC289"/>
      <c r="DD289" s="1702" t="s">
        <v>1012</v>
      </c>
      <c r="DE289" s="1701">
        <f>M289</f>
        <v>0</v>
      </c>
      <c r="DF289" s="1701">
        <f>R289</f>
        <v>271.04135338345867</v>
      </c>
      <c r="DG289" s="1701">
        <f>W289</f>
        <v>269.68138424821001</v>
      </c>
      <c r="DH289" s="1701">
        <f>AB289</f>
        <v>272.002331002331</v>
      </c>
      <c r="DI289" s="1701">
        <f>AG289</f>
        <v>269.22834645669292</v>
      </c>
      <c r="DJ289" s="1701">
        <f>AL289</f>
        <v>261.09528907922913</v>
      </c>
      <c r="DK289" s="1701">
        <f>AQ289</f>
        <v>261.86800422386483</v>
      </c>
      <c r="DL289" s="1701">
        <f>AV289</f>
        <v>262.84719334719335</v>
      </c>
      <c r="DM289" s="1701">
        <f>BA289</f>
        <v>264.42045454545456</v>
      </c>
      <c r="DN289" s="1701">
        <f>BF289</f>
        <v>263.74177467597207</v>
      </c>
      <c r="DO289" s="1701">
        <f>BK289</f>
        <v>267.48258706467664</v>
      </c>
      <c r="DP289" s="1701">
        <f>BP289</f>
        <v>268.05876591576884</v>
      </c>
      <c r="DQ289" s="1701">
        <f>BU289</f>
        <v>268.05876591576884</v>
      </c>
      <c r="DR289" s="1701">
        <f>BZ289</f>
        <v>268.05876591576884</v>
      </c>
      <c r="DS289" s="1701">
        <f>CE289</f>
        <v>268.05876591576884</v>
      </c>
      <c r="DT289" s="1701">
        <f>CJ289</f>
        <v>268.05876591576884</v>
      </c>
      <c r="DU289" s="1701">
        <f>CO289</f>
        <v>268.05876591576884</v>
      </c>
      <c r="DV289" s="1701">
        <f>CT289</f>
        <v>268.05876591576884</v>
      </c>
      <c r="DW289" s="1701">
        <f t="shared" si="712"/>
        <v>268.05876591576884</v>
      </c>
      <c r="DX289" s="1701">
        <f t="shared" si="712"/>
        <v>268.05876591576884</v>
      </c>
      <c r="DY289" s="1701">
        <f t="shared" si="712"/>
        <v>268.05876591576884</v>
      </c>
      <c r="EA289"/>
      <c r="EB289"/>
      <c r="EC289"/>
      <c r="ED289"/>
      <c r="EE289"/>
      <c r="EF289"/>
      <c r="EJ289"/>
      <c r="EK289"/>
      <c r="EL289"/>
      <c r="ER289" s="212"/>
    </row>
    <row r="290" spans="1:148" s="923" customFormat="1" ht="12.75" customHeight="1" x14ac:dyDescent="0.2">
      <c r="A290" s="1680"/>
      <c r="B290" s="243"/>
      <c r="C290" s="243"/>
      <c r="D290" s="243"/>
      <c r="E290" s="243"/>
      <c r="F290" s="243"/>
      <c r="G290" s="243"/>
      <c r="H290" s="243"/>
      <c r="I290" s="243"/>
      <c r="J290" s="243"/>
      <c r="K290" s="243"/>
      <c r="L290" s="243"/>
      <c r="M290" s="661"/>
      <c r="N290" s="243"/>
      <c r="O290" s="243"/>
      <c r="P290" s="243"/>
      <c r="Q290" s="243"/>
      <c r="R290" s="661"/>
      <c r="S290" s="243"/>
      <c r="T290" s="243"/>
      <c r="U290" s="243"/>
      <c r="V290" s="243"/>
      <c r="W290" s="661"/>
      <c r="X290" s="243"/>
      <c r="Y290" s="243"/>
      <c r="Z290" s="243"/>
      <c r="AA290" s="243"/>
      <c r="AB290" s="661"/>
      <c r="AC290" s="243"/>
      <c r="AD290" s="243"/>
      <c r="AE290" s="243"/>
      <c r="AF290" s="243"/>
      <c r="AG290" s="661"/>
      <c r="AH290" s="243"/>
      <c r="AI290" s="243"/>
      <c r="AJ290" s="243"/>
      <c r="AK290" s="243"/>
      <c r="AL290" s="661"/>
      <c r="AM290" s="243"/>
      <c r="AN290" s="243"/>
      <c r="AO290" s="243"/>
      <c r="AP290" s="243"/>
      <c r="AQ290" s="661"/>
      <c r="AR290" s="243"/>
      <c r="AS290" s="243"/>
      <c r="AT290" s="243"/>
      <c r="AU290" s="243"/>
      <c r="AV290" s="661"/>
      <c r="AW290" s="243"/>
      <c r="AX290" s="243"/>
      <c r="AY290" s="243"/>
      <c r="AZ290" s="243"/>
      <c r="BA290" s="661"/>
      <c r="BB290" s="243"/>
      <c r="BC290" s="243"/>
      <c r="BD290" s="243"/>
      <c r="BE290" s="243"/>
      <c r="BF290" s="661"/>
      <c r="BG290" s="243"/>
      <c r="BH290" s="243"/>
      <c r="BI290" s="243"/>
      <c r="BJ290" s="243"/>
      <c r="BK290" s="661"/>
      <c r="BL290" s="243"/>
      <c r="BM290" s="243"/>
      <c r="BN290" s="243"/>
      <c r="BO290" s="243"/>
      <c r="BP290" s="661"/>
      <c r="BQ290" s="243"/>
      <c r="BR290" s="243"/>
      <c r="BS290" s="243"/>
      <c r="BT290" s="243"/>
      <c r="BU290" s="661"/>
      <c r="BV290" s="243"/>
      <c r="BW290" s="243"/>
      <c r="BX290" s="243"/>
      <c r="BY290" s="243"/>
      <c r="BZ290" s="661"/>
      <c r="CA290" s="243"/>
      <c r="CB290" s="215"/>
      <c r="CC290" s="215"/>
      <c r="CD290" s="1788"/>
      <c r="CE290" s="661"/>
      <c r="CF290" s="243"/>
      <c r="CG290" s="215"/>
      <c r="CH290" s="215"/>
      <c r="CI290" s="1788"/>
      <c r="CJ290" s="661"/>
      <c r="CK290" s="215"/>
      <c r="CL290" s="215"/>
      <c r="CM290" s="215"/>
      <c r="CN290" s="1788"/>
      <c r="CO290" s="661"/>
      <c r="CP290" s="215"/>
      <c r="CQ290" s="215"/>
      <c r="CR290" s="215"/>
      <c r="CS290" s="215"/>
      <c r="CT290" s="661"/>
      <c r="CU290" s="215"/>
      <c r="CV290" s="215"/>
      <c r="CW290" s="215"/>
      <c r="CX290" s="215"/>
      <c r="CY290" s="661"/>
      <c r="CZ290" s="661"/>
      <c r="DA290" s="661"/>
      <c r="DB290"/>
      <c r="DC290"/>
      <c r="DD290" s="2335"/>
      <c r="DE290" s="2293"/>
      <c r="DF290" s="2293"/>
      <c r="DG290" s="2293"/>
      <c r="DH290" s="2293"/>
      <c r="DI290" s="2293"/>
      <c r="DJ290" s="2293"/>
      <c r="DK290" s="2293"/>
      <c r="DL290" s="2293"/>
      <c r="DM290" s="2293"/>
      <c r="DN290" s="2293"/>
      <c r="DO290" s="2293"/>
      <c r="DP290" s="2293"/>
      <c r="DQ290" s="2293"/>
      <c r="DR290" s="2293"/>
      <c r="DS290" s="2293"/>
      <c r="DT290" s="2293"/>
      <c r="DU290" s="2293"/>
      <c r="DV290" s="2293"/>
      <c r="DW290" s="2293"/>
      <c r="DX290" s="2293"/>
      <c r="DY290" s="2293"/>
      <c r="EA290"/>
      <c r="EB290"/>
      <c r="EC290"/>
      <c r="ED290"/>
      <c r="EE290"/>
      <c r="EF290"/>
      <c r="EJ290"/>
      <c r="EK290"/>
      <c r="EL290"/>
      <c r="ER290" s="212"/>
    </row>
    <row r="291" spans="1:148" s="923" customFormat="1" ht="12.75" customHeight="1" x14ac:dyDescent="0.2">
      <c r="A291" s="1681" t="s">
        <v>1029</v>
      </c>
      <c r="B291" s="215"/>
      <c r="C291" s="215"/>
      <c r="D291" s="215"/>
      <c r="E291" s="215"/>
      <c r="F291" s="215"/>
      <c r="G291" s="215"/>
      <c r="H291" s="215"/>
      <c r="I291" s="215"/>
      <c r="J291" s="215"/>
      <c r="K291" s="215"/>
      <c r="L291" s="215"/>
      <c r="M291" s="968"/>
      <c r="N291" s="215">
        <f>+Rooms!I871</f>
        <v>162880</v>
      </c>
      <c r="O291" s="215">
        <f>+Rooms!J871</f>
        <v>165025</v>
      </c>
      <c r="P291" s="215">
        <f>+Rooms!K871</f>
        <v>168075</v>
      </c>
      <c r="Q291" s="215">
        <f>+Rooms!L871</f>
        <v>161071</v>
      </c>
      <c r="R291" s="968">
        <f>+Rooms!M871</f>
        <v>161071</v>
      </c>
      <c r="S291" s="215">
        <f>+Rooms!N871</f>
        <v>164082</v>
      </c>
      <c r="T291" s="215">
        <f>+Rooms!O871</f>
        <v>165600</v>
      </c>
      <c r="U291" s="215">
        <f>+Rooms!P871</f>
        <v>165739</v>
      </c>
      <c r="V291" s="215">
        <f>+Rooms!Q871</f>
        <v>168251</v>
      </c>
      <c r="W291" s="968">
        <f>+Rooms!R871</f>
        <v>168251</v>
      </c>
      <c r="X291" s="215">
        <f>+Rooms!S871</f>
        <v>169140</v>
      </c>
      <c r="Y291" s="215">
        <f>+Rooms!T871</f>
        <v>169795</v>
      </c>
      <c r="Z291" s="215">
        <f>+Rooms!U871</f>
        <v>170751</v>
      </c>
      <c r="AA291" s="215">
        <f>+Rooms!V871</f>
        <v>172293</v>
      </c>
      <c r="AB291" s="968">
        <f>+Rooms!W871</f>
        <v>172293</v>
      </c>
      <c r="AC291" s="215">
        <f>+Rooms!X871</f>
        <v>171642</v>
      </c>
      <c r="AD291" s="215">
        <f>+Rooms!Y871</f>
        <v>173873</v>
      </c>
      <c r="AE291" s="215">
        <f>+Rooms!Z871</f>
        <v>176172</v>
      </c>
      <c r="AF291" s="215">
        <f>+Rooms!AA871</f>
        <v>177766</v>
      </c>
      <c r="AG291" s="968">
        <f>+Rooms!AB871</f>
        <v>177766</v>
      </c>
      <c r="AH291" s="215">
        <f>+Rooms!AC871</f>
        <v>176382</v>
      </c>
      <c r="AI291" s="215">
        <f>+Rooms!AD871</f>
        <v>176225</v>
      </c>
      <c r="AJ291" s="215">
        <f>+Rooms!AE871</f>
        <v>172892</v>
      </c>
      <c r="AK291" s="215">
        <f>+Rooms!AF871</f>
        <v>173365</v>
      </c>
      <c r="AL291" s="968">
        <f>+Rooms!AG871</f>
        <v>173365</v>
      </c>
      <c r="AM291" s="215">
        <f>+Rooms!AH871</f>
        <v>172967</v>
      </c>
      <c r="AN291" s="215">
        <f>+Rooms!AI871</f>
        <v>173218</v>
      </c>
      <c r="AO291" s="215">
        <f>+Rooms!AJ871</f>
        <v>174084</v>
      </c>
      <c r="AP291" s="215">
        <f>+Rooms!AK871</f>
        <v>173632</v>
      </c>
      <c r="AQ291" s="968">
        <f>+Rooms!AL871</f>
        <v>173632</v>
      </c>
      <c r="AR291" s="215">
        <f>+Rooms!AM871</f>
        <v>172720</v>
      </c>
      <c r="AS291" s="215">
        <f>+Rooms!AN871</f>
        <v>173286</v>
      </c>
      <c r="AT291" s="215">
        <f>+Rooms!AO871</f>
        <v>173576</v>
      </c>
      <c r="AU291" s="215">
        <f>+Rooms!AP871</f>
        <v>175136</v>
      </c>
      <c r="AV291" s="968">
        <f>+Rooms!AQ871</f>
        <v>175136</v>
      </c>
      <c r="AW291" s="215">
        <f>+Rooms!AR871</f>
        <v>175172</v>
      </c>
      <c r="AX291" s="215">
        <f>+Rooms!AS871</f>
        <v>175023</v>
      </c>
      <c r="AY291" s="215">
        <f>+Rooms!AT871</f>
        <v>175134</v>
      </c>
      <c r="AZ291" s="215">
        <f>+Rooms!AU871</f>
        <v>175410</v>
      </c>
      <c r="BA291" s="968">
        <f>+Rooms!AV871</f>
        <v>175410</v>
      </c>
      <c r="BB291" s="215">
        <f>+Rooms!AW871</f>
        <v>176137</v>
      </c>
      <c r="BC291" s="215">
        <f>+Rooms!AX871</f>
        <v>176272</v>
      </c>
      <c r="BD291" s="215">
        <f>+Rooms!AY871</f>
        <v>176496</v>
      </c>
      <c r="BE291" s="215">
        <f>+Rooms!AZ871</f>
        <v>178036</v>
      </c>
      <c r="BF291" s="968">
        <f>+Rooms!BA871</f>
        <v>178036</v>
      </c>
      <c r="BG291" s="215">
        <f>+Rooms!BB871</f>
        <v>178961</v>
      </c>
      <c r="BH291" s="215">
        <f>+Rooms!BC871</f>
        <v>179277</v>
      </c>
      <c r="BI291" s="215">
        <f>+Rooms!BD871</f>
        <v>179511</v>
      </c>
      <c r="BJ291" s="215">
        <f>+Rooms!BE871</f>
        <v>180796</v>
      </c>
      <c r="BK291" s="968">
        <f>+Rooms!BF871</f>
        <v>180796</v>
      </c>
      <c r="BL291" s="215">
        <f>+Rooms!BG871</f>
        <v>181628</v>
      </c>
      <c r="BM291" s="215">
        <f>+Rooms!BH871</f>
        <v>182268</v>
      </c>
      <c r="BN291" s="215">
        <f>+Rooms!BI871</f>
        <v>181257</v>
      </c>
      <c r="BO291" s="215">
        <f>+Rooms!BJ871</f>
        <v>180491</v>
      </c>
      <c r="BP291" s="968">
        <f>+Rooms!BK871</f>
        <v>180491</v>
      </c>
      <c r="BQ291" s="215">
        <f>+Rooms!BL871</f>
        <v>179935</v>
      </c>
      <c r="BR291" s="215">
        <f>+Rooms!BM871</f>
        <v>178362</v>
      </c>
      <c r="BS291" s="215">
        <f>+Rooms!BN871</f>
        <v>176629</v>
      </c>
      <c r="BT291" s="215">
        <f>+Rooms!BO871</f>
        <v>184714</v>
      </c>
      <c r="BU291" s="968">
        <f>+Rooms!BP871</f>
        <v>184714</v>
      </c>
      <c r="BV291" s="215">
        <f>+Rooms!BQ871</f>
        <v>183574</v>
      </c>
      <c r="BW291" s="215">
        <f>+Rooms!BR871</f>
        <v>181876</v>
      </c>
      <c r="BX291" s="215">
        <f>+Rooms!BS871</f>
        <v>180134</v>
      </c>
      <c r="BY291" s="215">
        <f>+Rooms!BT871</f>
        <v>178237</v>
      </c>
      <c r="BZ291" s="968">
        <f>+Rooms!BU871</f>
        <v>178237</v>
      </c>
      <c r="CA291" s="215">
        <f>+Rooms!BV871</f>
        <v>177284</v>
      </c>
      <c r="CB291" s="215">
        <f>+Rooms!BW871</f>
        <v>178779</v>
      </c>
      <c r="CC291" s="215">
        <f>+Rooms!BX871</f>
        <v>177321</v>
      </c>
      <c r="CD291" s="1788">
        <f>+Rooms!BY871</f>
        <v>176313</v>
      </c>
      <c r="CE291" s="968">
        <f>+Rooms!BZ871</f>
        <v>176313</v>
      </c>
      <c r="CF291" s="215">
        <f>+Rooms!CA871</f>
        <v>179062</v>
      </c>
      <c r="CG291" s="215">
        <f>+Rooms!CB871</f>
        <v>186235</v>
      </c>
      <c r="CH291" s="215">
        <f>+Rooms!CC871</f>
        <v>185638</v>
      </c>
      <c r="CI291" s="1788">
        <f>+Rooms!CD871</f>
        <v>185730</v>
      </c>
      <c r="CJ291" s="968">
        <f>+Rooms!CE871</f>
        <v>192558</v>
      </c>
      <c r="CK291" s="215">
        <f>+Rooms!CF871</f>
        <v>184949</v>
      </c>
      <c r="CL291" s="215">
        <f>+Rooms!CG871</f>
        <v>182285</v>
      </c>
      <c r="CM291" s="215">
        <f>+Rooms!CH871</f>
        <v>182664</v>
      </c>
      <c r="CN291" s="1788">
        <f>+Rooms!CI871</f>
        <v>250363</v>
      </c>
      <c r="CO291" s="968">
        <f>+Rooms!CJ871</f>
        <v>250363</v>
      </c>
      <c r="CP291" s="215">
        <f>+Rooms!CK871</f>
        <v>250074</v>
      </c>
      <c r="CQ291" s="215">
        <f>+Rooms!CL871</f>
        <v>250300</v>
      </c>
      <c r="CR291" s="215">
        <f>+Rooms!CM871</f>
        <v>252379</v>
      </c>
      <c r="CS291" s="215">
        <f>+Rooms!CN871</f>
        <v>251621</v>
      </c>
      <c r="CT291" s="968">
        <f>+Rooms!CO871</f>
        <v>251621</v>
      </c>
      <c r="CU291" s="215">
        <f>+Rooms!CP871</f>
        <v>256325.32</v>
      </c>
      <c r="CV291" s="215">
        <f>+Rooms!CQ871</f>
        <v>256568.09</v>
      </c>
      <c r="CW291" s="215">
        <f>+Rooms!CR871</f>
        <v>258718.27000000002</v>
      </c>
      <c r="CX291" s="215">
        <f>+Rooms!CS871</f>
        <v>257921.72999999998</v>
      </c>
      <c r="CY291" s="968">
        <f>+Rooms!CT871</f>
        <v>257921.72999999998</v>
      </c>
      <c r="CZ291" s="968">
        <f>+Rooms!CU871</f>
        <v>265674.05070000002</v>
      </c>
      <c r="DA291" s="968">
        <f>+Rooms!CV871</f>
        <v>267188.19348600006</v>
      </c>
      <c r="DB291"/>
      <c r="DC291"/>
      <c r="DD291" s="2336" t="s">
        <v>1029</v>
      </c>
      <c r="DE291" s="2290">
        <f>M291</f>
        <v>0</v>
      </c>
      <c r="DF291" s="2290">
        <f>R291</f>
        <v>161071</v>
      </c>
      <c r="DG291" s="2290">
        <f>W291</f>
        <v>168251</v>
      </c>
      <c r="DH291" s="2290">
        <f>AB291</f>
        <v>172293</v>
      </c>
      <c r="DI291" s="2290">
        <f>AG291</f>
        <v>177766</v>
      </c>
      <c r="DJ291" s="2290">
        <f>AL291</f>
        <v>173365</v>
      </c>
      <c r="DK291" s="2290">
        <f>AQ291</f>
        <v>173632</v>
      </c>
      <c r="DL291" s="2290">
        <f>AV291</f>
        <v>175136</v>
      </c>
      <c r="DM291" s="2290">
        <f>BA291</f>
        <v>175410</v>
      </c>
      <c r="DN291" s="2290">
        <f>BF291</f>
        <v>178036</v>
      </c>
      <c r="DO291" s="2290">
        <f>BK291</f>
        <v>180796</v>
      </c>
      <c r="DP291" s="2290">
        <f>BP291</f>
        <v>180491</v>
      </c>
      <c r="DQ291" s="2290">
        <f>BU291</f>
        <v>184714</v>
      </c>
      <c r="DR291" s="2290">
        <f>BZ291</f>
        <v>178237</v>
      </c>
      <c r="DS291" s="2290">
        <f>CE291</f>
        <v>176313</v>
      </c>
      <c r="DT291" s="2290">
        <f>CJ291</f>
        <v>192558</v>
      </c>
      <c r="DU291" s="2290">
        <f>CO291</f>
        <v>250363</v>
      </c>
      <c r="DV291" s="2290">
        <f>CT291</f>
        <v>251621</v>
      </c>
      <c r="DW291" s="2290">
        <f t="shared" ref="DW291:DY294" si="720">CY291</f>
        <v>257921.72999999998</v>
      </c>
      <c r="DX291" s="2290">
        <f t="shared" si="720"/>
        <v>265674.05070000002</v>
      </c>
      <c r="DY291" s="2290">
        <f t="shared" si="720"/>
        <v>267188.19348600006</v>
      </c>
      <c r="EA291"/>
      <c r="EB291"/>
      <c r="EC291"/>
      <c r="ED291"/>
      <c r="EE291"/>
      <c r="EF291"/>
      <c r="EJ291"/>
      <c r="EK291"/>
      <c r="EL291"/>
      <c r="ER291" s="212"/>
    </row>
    <row r="292" spans="1:148" s="923" customFormat="1" ht="12.75" customHeight="1" x14ac:dyDescent="0.2">
      <c r="A292" s="1681" t="s">
        <v>1030</v>
      </c>
      <c r="B292" s="215"/>
      <c r="C292" s="215"/>
      <c r="D292" s="215"/>
      <c r="E292" s="215"/>
      <c r="F292" s="215"/>
      <c r="G292" s="215"/>
      <c r="H292" s="215"/>
      <c r="I292" s="215"/>
      <c r="J292" s="215"/>
      <c r="K292" s="215"/>
      <c r="L292" s="215"/>
      <c r="M292" s="968"/>
      <c r="N292" s="215">
        <f>+Rooms!I874</f>
        <v>52085</v>
      </c>
      <c r="O292" s="215">
        <f>+Rooms!J874</f>
        <v>53068</v>
      </c>
      <c r="P292" s="215">
        <f>+Rooms!K874</f>
        <v>53668</v>
      </c>
      <c r="Q292" s="215">
        <f>+Rooms!L874</f>
        <v>55220</v>
      </c>
      <c r="R292" s="968">
        <f>+Rooms!M874</f>
        <v>55220</v>
      </c>
      <c r="S292" s="215">
        <f>+Rooms!N874</f>
        <v>55609</v>
      </c>
      <c r="T292" s="215">
        <f>+Rooms!O874</f>
        <v>55452</v>
      </c>
      <c r="U292" s="215">
        <f>+Rooms!P874</f>
        <v>56365</v>
      </c>
      <c r="V292" s="215">
        <f>+Rooms!Q874</f>
        <v>57742</v>
      </c>
      <c r="W292" s="968">
        <f>+Rooms!R874</f>
        <v>57742</v>
      </c>
      <c r="X292" s="215">
        <f>+Rooms!S874</f>
        <v>58529</v>
      </c>
      <c r="Y292" s="215">
        <f>+Rooms!T874</f>
        <v>58918</v>
      </c>
      <c r="Z292" s="215">
        <f>+Rooms!U874</f>
        <v>59994</v>
      </c>
      <c r="AA292" s="215">
        <f>+Rooms!V874</f>
        <v>61085</v>
      </c>
      <c r="AB292" s="968">
        <f>+Rooms!W874</f>
        <v>61085</v>
      </c>
      <c r="AC292" s="215">
        <f>+Rooms!X874</f>
        <v>60450</v>
      </c>
      <c r="AD292" s="215">
        <f>+Rooms!Y874</f>
        <v>61246</v>
      </c>
      <c r="AE292" s="215">
        <f>+Rooms!Z874</f>
        <v>61800</v>
      </c>
      <c r="AF292" s="215">
        <f>+Rooms!AA874</f>
        <v>61578</v>
      </c>
      <c r="AG292" s="968">
        <f>+Rooms!AB874</f>
        <v>61578</v>
      </c>
      <c r="AH292" s="215">
        <f>+Rooms!AC874</f>
        <v>62248</v>
      </c>
      <c r="AI292" s="215">
        <f>+Rooms!AD874</f>
        <v>71586</v>
      </c>
      <c r="AJ292" s="215">
        <f>+Rooms!AE874</f>
        <v>70066</v>
      </c>
      <c r="AK292" s="215">
        <f>+Rooms!AF874</f>
        <v>70498</v>
      </c>
      <c r="AL292" s="968">
        <f>+Rooms!AG874</f>
        <v>70498</v>
      </c>
      <c r="AM292" s="215">
        <f>+Rooms!AH874</f>
        <v>71249</v>
      </c>
      <c r="AN292" s="215">
        <f>+Rooms!AI874</f>
        <v>73358</v>
      </c>
      <c r="AO292" s="215">
        <f>+Rooms!AJ874</f>
        <v>74500</v>
      </c>
      <c r="AP292" s="215">
        <f>+Rooms!AK874</f>
        <v>74357</v>
      </c>
      <c r="AQ292" s="968">
        <f>+Rooms!AL874</f>
        <v>74357</v>
      </c>
      <c r="AR292" s="215">
        <f>+Rooms!AM874</f>
        <v>75269</v>
      </c>
      <c r="AS292" s="215">
        <f>+Rooms!AN874</f>
        <v>75631</v>
      </c>
      <c r="AT292" s="215">
        <f>+Rooms!AO874</f>
        <v>77929</v>
      </c>
      <c r="AU292" s="215">
        <f>+Rooms!AP874</f>
        <v>77723</v>
      </c>
      <c r="AV292" s="968">
        <f>+Rooms!AQ874</f>
        <v>77723</v>
      </c>
      <c r="AW292" s="215">
        <f>+Rooms!AR874</f>
        <v>77070</v>
      </c>
      <c r="AX292" s="215">
        <f>+Rooms!AS874</f>
        <v>77568</v>
      </c>
      <c r="AY292" s="215">
        <f>+Rooms!AT874</f>
        <v>79430</v>
      </c>
      <c r="AZ292" s="215">
        <f>+Rooms!AU874</f>
        <v>80549</v>
      </c>
      <c r="BA292" s="968">
        <f>+Rooms!AV874</f>
        <v>80549</v>
      </c>
      <c r="BB292" s="215">
        <f>+Rooms!AW874</f>
        <v>83143</v>
      </c>
      <c r="BC292" s="215">
        <f>+Rooms!AX874</f>
        <v>84417</v>
      </c>
      <c r="BD292" s="215">
        <f>+Rooms!AY874</f>
        <v>84923</v>
      </c>
      <c r="BE292" s="215">
        <f>+Rooms!AZ874</f>
        <v>86497</v>
      </c>
      <c r="BF292" s="968">
        <f>+Rooms!BA874</f>
        <v>86497</v>
      </c>
      <c r="BG292" s="215">
        <f>+Rooms!BB874</f>
        <v>86980</v>
      </c>
      <c r="BH292" s="215">
        <f>+Rooms!BC874</f>
        <v>87443</v>
      </c>
      <c r="BI292" s="215">
        <f>+Rooms!BD874</f>
        <v>88463</v>
      </c>
      <c r="BJ292" s="215">
        <f>+Rooms!BE874</f>
        <v>88024</v>
      </c>
      <c r="BK292" s="968">
        <f>+Rooms!BF874</f>
        <v>88024</v>
      </c>
      <c r="BL292" s="215">
        <f>+Rooms!BG874</f>
        <v>89852</v>
      </c>
      <c r="BM292" s="215">
        <f>+Rooms!BH874</f>
        <v>90058</v>
      </c>
      <c r="BN292" s="215">
        <f>+Rooms!BI874</f>
        <v>91117</v>
      </c>
      <c r="BO292" s="215">
        <f>+Rooms!BJ874</f>
        <v>93197</v>
      </c>
      <c r="BP292" s="968">
        <f>+Rooms!BK874</f>
        <v>93197</v>
      </c>
      <c r="BQ292" s="215">
        <f>+Rooms!BL874</f>
        <v>92432</v>
      </c>
      <c r="BR292" s="215">
        <f>+Rooms!BM874</f>
        <v>92889</v>
      </c>
      <c r="BS292" s="215">
        <f>+Rooms!BN874</f>
        <v>93926</v>
      </c>
      <c r="BT292" s="215">
        <f>+Rooms!BO874</f>
        <v>95095</v>
      </c>
      <c r="BU292" s="968">
        <f>+Rooms!BP874</f>
        <v>95095</v>
      </c>
      <c r="BV292" s="215">
        <f>+Rooms!BQ874</f>
        <v>97375</v>
      </c>
      <c r="BW292" s="215">
        <f>+Rooms!BR874</f>
        <v>97279</v>
      </c>
      <c r="BX292" s="215">
        <f>+Rooms!BS874</f>
        <v>98481</v>
      </c>
      <c r="BY292" s="215">
        <f>+Rooms!BT874</f>
        <v>100619</v>
      </c>
      <c r="BZ292" s="968">
        <f>+Rooms!BU874</f>
        <v>100619</v>
      </c>
      <c r="CA292" s="215">
        <f>+Rooms!BV874</f>
        <v>101843</v>
      </c>
      <c r="CB292" s="215">
        <f>+Rooms!BW874</f>
        <v>108148</v>
      </c>
      <c r="CC292" s="215">
        <f>+Rooms!BX874</f>
        <v>108274</v>
      </c>
      <c r="CD292" s="1788">
        <f>+Rooms!BY874</f>
        <v>111324</v>
      </c>
      <c r="CE292" s="968">
        <f>+Rooms!BZ874</f>
        <v>111324</v>
      </c>
      <c r="CF292" s="215">
        <f>+Rooms!CA874</f>
        <v>109090</v>
      </c>
      <c r="CG292" s="215">
        <f>+Rooms!CB874</f>
        <v>111011</v>
      </c>
      <c r="CH292" s="215">
        <f>+Rooms!CC874</f>
        <v>112616</v>
      </c>
      <c r="CI292" s="1788">
        <f>+Rooms!CD874</f>
        <v>114575</v>
      </c>
      <c r="CJ292" s="968">
        <f>+Rooms!CE874</f>
        <v>114575</v>
      </c>
      <c r="CK292" s="215">
        <f>+Rooms!CF874</f>
        <v>115222</v>
      </c>
      <c r="CL292" s="215">
        <f>+Rooms!CG874</f>
        <v>116956</v>
      </c>
      <c r="CM292" s="215">
        <f>+Rooms!CH874</f>
        <v>117101</v>
      </c>
      <c r="CN292" s="1788">
        <f>+Rooms!CI874</f>
        <v>271189</v>
      </c>
      <c r="CO292" s="968">
        <f>+Rooms!CJ874</f>
        <v>271189</v>
      </c>
      <c r="CP292" s="215">
        <f>+Rooms!CK874</f>
        <v>272843</v>
      </c>
      <c r="CQ292" s="215">
        <f>+Rooms!CL874</f>
        <v>276405</v>
      </c>
      <c r="CR292" s="215">
        <f>+Rooms!CM874</f>
        <v>279097</v>
      </c>
      <c r="CS292" s="215">
        <f>+Rooms!CN874</f>
        <v>284752</v>
      </c>
      <c r="CT292" s="968">
        <f>+Rooms!CO874</f>
        <v>284752</v>
      </c>
      <c r="CU292" s="215">
        <f>+Rooms!CP874</f>
        <v>286485.15000000008</v>
      </c>
      <c r="CV292" s="215">
        <f>+Rooms!CQ874</f>
        <v>292989.30000000005</v>
      </c>
      <c r="CW292" s="215">
        <f>+Rooms!CR874</f>
        <v>295842.81999999995</v>
      </c>
      <c r="CX292" s="215">
        <f>+Rooms!CS874</f>
        <v>301808.97999999992</v>
      </c>
      <c r="CY292" s="968">
        <f>+Rooms!CT874</f>
        <v>301808.97999999992</v>
      </c>
      <c r="CZ292" s="968">
        <f>+Rooms!CU874</f>
        <v>318382.67889999994</v>
      </c>
      <c r="DA292" s="968">
        <f>+Rooms!CV874</f>
        <v>324740.95247799996</v>
      </c>
      <c r="DB292"/>
      <c r="DC292"/>
      <c r="DD292" s="2336" t="s">
        <v>1030</v>
      </c>
      <c r="DE292" s="2290">
        <f>M292</f>
        <v>0</v>
      </c>
      <c r="DF292" s="2290">
        <f>R292</f>
        <v>55220</v>
      </c>
      <c r="DG292" s="2290">
        <f>W292</f>
        <v>57742</v>
      </c>
      <c r="DH292" s="2290">
        <f>AB292</f>
        <v>61085</v>
      </c>
      <c r="DI292" s="2290">
        <f>AG292</f>
        <v>61578</v>
      </c>
      <c r="DJ292" s="2290">
        <f>AL292</f>
        <v>70498</v>
      </c>
      <c r="DK292" s="2290">
        <f>AQ292</f>
        <v>74357</v>
      </c>
      <c r="DL292" s="2290">
        <f>AV292</f>
        <v>77723</v>
      </c>
      <c r="DM292" s="2290">
        <f>BA292</f>
        <v>80549</v>
      </c>
      <c r="DN292" s="2290">
        <f>BF292</f>
        <v>86497</v>
      </c>
      <c r="DO292" s="2290">
        <f>BK292</f>
        <v>88024</v>
      </c>
      <c r="DP292" s="2290">
        <f>BP292</f>
        <v>93197</v>
      </c>
      <c r="DQ292" s="2290">
        <f>BU292</f>
        <v>95095</v>
      </c>
      <c r="DR292" s="2290">
        <f>BZ292</f>
        <v>100619</v>
      </c>
      <c r="DS292" s="2290">
        <f>CE292</f>
        <v>111324</v>
      </c>
      <c r="DT292" s="2290">
        <f>CJ292</f>
        <v>114575</v>
      </c>
      <c r="DU292" s="2290">
        <f>CO292</f>
        <v>271189</v>
      </c>
      <c r="DV292" s="2290">
        <f>CT292</f>
        <v>284752</v>
      </c>
      <c r="DW292" s="2290">
        <f t="shared" si="720"/>
        <v>301808.97999999992</v>
      </c>
      <c r="DX292" s="2290">
        <f t="shared" si="720"/>
        <v>318382.67889999994</v>
      </c>
      <c r="DY292" s="2290">
        <f t="shared" si="720"/>
        <v>324740.95247799996</v>
      </c>
      <c r="EA292"/>
      <c r="EB292"/>
      <c r="EC292"/>
      <c r="ED292"/>
      <c r="EE292"/>
      <c r="EF292"/>
      <c r="EJ292"/>
      <c r="EK292"/>
      <c r="EL292"/>
      <c r="ER292" s="212"/>
    </row>
    <row r="293" spans="1:148" s="923" customFormat="1" ht="12.75" customHeight="1" x14ac:dyDescent="0.2">
      <c r="A293" s="1675" t="s">
        <v>1031</v>
      </c>
      <c r="B293" s="872"/>
      <c r="C293" s="872"/>
      <c r="D293" s="872"/>
      <c r="E293" s="872"/>
      <c r="F293" s="872"/>
      <c r="G293" s="872"/>
      <c r="H293" s="872"/>
      <c r="I293" s="872"/>
      <c r="J293" s="872"/>
      <c r="K293" s="872"/>
      <c r="L293" s="872"/>
      <c r="M293" s="1001"/>
      <c r="N293" s="872">
        <f t="shared" ref="N293:AS293" si="721">N291/SUM(N291:N292)</f>
        <v>0.75770474263252152</v>
      </c>
      <c r="O293" s="872">
        <f t="shared" si="721"/>
        <v>0.75667261214252635</v>
      </c>
      <c r="P293" s="872">
        <f t="shared" si="721"/>
        <v>0.75797206676197215</v>
      </c>
      <c r="Q293" s="872">
        <f t="shared" si="721"/>
        <v>0.74469580333902008</v>
      </c>
      <c r="R293" s="1001">
        <f t="shared" si="721"/>
        <v>0.74469580333902008</v>
      </c>
      <c r="S293" s="872">
        <f t="shared" si="721"/>
        <v>0.74687629443172454</v>
      </c>
      <c r="T293" s="872">
        <f t="shared" si="721"/>
        <v>0.74914499755713593</v>
      </c>
      <c r="U293" s="872">
        <f t="shared" si="721"/>
        <v>0.74622249036487409</v>
      </c>
      <c r="V293" s="872">
        <f t="shared" si="721"/>
        <v>0.74449651095387914</v>
      </c>
      <c r="W293" s="1001">
        <f t="shared" si="721"/>
        <v>0.74449651095387914</v>
      </c>
      <c r="X293" s="872">
        <f t="shared" si="721"/>
        <v>0.7429206435658785</v>
      </c>
      <c r="Y293" s="872">
        <f t="shared" si="721"/>
        <v>0.74239330514662483</v>
      </c>
      <c r="Z293" s="872">
        <f t="shared" si="721"/>
        <v>0.73999869986348565</v>
      </c>
      <c r="AA293" s="872">
        <f t="shared" si="721"/>
        <v>0.73825724789825953</v>
      </c>
      <c r="AB293" s="1001">
        <f t="shared" si="721"/>
        <v>0.73825724789825953</v>
      </c>
      <c r="AC293" s="872">
        <f t="shared" si="721"/>
        <v>0.73954293986867281</v>
      </c>
      <c r="AD293" s="872">
        <f t="shared" si="721"/>
        <v>0.73951063078696322</v>
      </c>
      <c r="AE293" s="872">
        <f t="shared" si="721"/>
        <v>0.74030558216933084</v>
      </c>
      <c r="AF293" s="872">
        <f t="shared" si="721"/>
        <v>0.74272177284577845</v>
      </c>
      <c r="AG293" s="1001">
        <f t="shared" si="721"/>
        <v>0.74272177284577845</v>
      </c>
      <c r="AH293" s="872">
        <f t="shared" si="721"/>
        <v>0.73914428194275661</v>
      </c>
      <c r="AI293" s="872">
        <f t="shared" si="721"/>
        <v>0.71112662472610177</v>
      </c>
      <c r="AJ293" s="872">
        <f t="shared" si="721"/>
        <v>0.71161270672297272</v>
      </c>
      <c r="AK293" s="872">
        <f t="shared" si="721"/>
        <v>0.71091145438217362</v>
      </c>
      <c r="AL293" s="1001">
        <f t="shared" si="721"/>
        <v>0.71091145438217362</v>
      </c>
      <c r="AM293" s="872">
        <f t="shared" si="721"/>
        <v>0.70825416844105216</v>
      </c>
      <c r="AN293" s="872">
        <f t="shared" si="721"/>
        <v>0.70249334890662518</v>
      </c>
      <c r="AO293" s="872">
        <f t="shared" si="721"/>
        <v>0.70030251343610206</v>
      </c>
      <c r="AP293" s="872">
        <f t="shared" si="721"/>
        <v>0.70016008774582739</v>
      </c>
      <c r="AQ293" s="1001">
        <f t="shared" si="721"/>
        <v>0.70016008774582739</v>
      </c>
      <c r="AR293" s="872">
        <f t="shared" si="721"/>
        <v>0.69648250527241129</v>
      </c>
      <c r="AS293" s="872">
        <f t="shared" si="721"/>
        <v>0.6961597640980729</v>
      </c>
      <c r="AT293" s="872">
        <f t="shared" ref="AT293:CG293" si="722">AT291/SUM(AT291:AT292)</f>
        <v>0.69014930120673545</v>
      </c>
      <c r="AU293" s="872">
        <f t="shared" si="722"/>
        <v>0.69262316152480241</v>
      </c>
      <c r="AV293" s="1001">
        <f t="shared" si="722"/>
        <v>0.69262316152480241</v>
      </c>
      <c r="AW293" s="872">
        <f t="shared" si="722"/>
        <v>0.69446008198476061</v>
      </c>
      <c r="AX293" s="872">
        <f t="shared" si="722"/>
        <v>0.69291067377697546</v>
      </c>
      <c r="AY293" s="872">
        <f t="shared" si="722"/>
        <v>0.68797630458352321</v>
      </c>
      <c r="AZ293" s="872">
        <f t="shared" si="722"/>
        <v>0.68530506838985927</v>
      </c>
      <c r="BA293" s="1001">
        <f t="shared" si="722"/>
        <v>0.68530506838985927</v>
      </c>
      <c r="BB293" s="872">
        <f t="shared" si="722"/>
        <v>0.67933122493057696</v>
      </c>
      <c r="BC293" s="872">
        <f t="shared" si="722"/>
        <v>0.67617736076320822</v>
      </c>
      <c r="BD293" s="872">
        <f t="shared" si="722"/>
        <v>0.67514602993661521</v>
      </c>
      <c r="BE293" s="872">
        <f t="shared" si="722"/>
        <v>0.67302000128528383</v>
      </c>
      <c r="BF293" s="1001">
        <f t="shared" si="722"/>
        <v>0.67302000128528383</v>
      </c>
      <c r="BG293" s="872">
        <f t="shared" si="722"/>
        <v>0.67293497429881066</v>
      </c>
      <c r="BH293" s="872">
        <f t="shared" si="722"/>
        <v>0.67215431913617274</v>
      </c>
      <c r="BI293" s="872">
        <f t="shared" si="722"/>
        <v>0.66988215274616192</v>
      </c>
      <c r="BJ293" s="872">
        <f t="shared" si="722"/>
        <v>0.67255412543709547</v>
      </c>
      <c r="BK293" s="1001">
        <f t="shared" si="722"/>
        <v>0.67255412543709547</v>
      </c>
      <c r="BL293" s="872">
        <f t="shared" si="722"/>
        <v>0.66902902607926917</v>
      </c>
      <c r="BM293" s="872">
        <f t="shared" si="722"/>
        <v>0.66930076452487097</v>
      </c>
      <c r="BN293" s="872">
        <f t="shared" si="722"/>
        <v>0.66547100677744575</v>
      </c>
      <c r="BO293" s="872">
        <f t="shared" si="722"/>
        <v>0.65947721493087019</v>
      </c>
      <c r="BP293" s="1001">
        <f t="shared" si="722"/>
        <v>0.65947721493087019</v>
      </c>
      <c r="BQ293" s="872">
        <f t="shared" si="722"/>
        <v>0.66063436466238568</v>
      </c>
      <c r="BR293" s="872">
        <f t="shared" si="722"/>
        <v>0.65755333620889878</v>
      </c>
      <c r="BS293" s="872">
        <f t="shared" si="722"/>
        <v>0.65283953355140356</v>
      </c>
      <c r="BT293" s="872">
        <f t="shared" si="722"/>
        <v>0.66014316909034376</v>
      </c>
      <c r="BU293" s="1001">
        <f t="shared" si="722"/>
        <v>0.66014316909034376</v>
      </c>
      <c r="BV293" s="872">
        <f>BV291/SUM(BV291:BV292)</f>
        <v>0.65340684608238508</v>
      </c>
      <c r="BW293" s="872">
        <f>BW291/SUM(BW291:BW292)</f>
        <v>0.65152334724436245</v>
      </c>
      <c r="BX293" s="872">
        <f>BX291/SUM(BX291:BX292)</f>
        <v>0.64653374728568092</v>
      </c>
      <c r="BY293" s="872">
        <f>BY291/SUM(BY291:BY292)</f>
        <v>0.63917218923028374</v>
      </c>
      <c r="BZ293" s="1001">
        <f t="shared" si="722"/>
        <v>0.63917218923028374</v>
      </c>
      <c r="CA293" s="872">
        <f>CA291/SUM(CA291:CA292)</f>
        <v>0.63513741056938244</v>
      </c>
      <c r="CB293" s="872">
        <f>CB291/SUM(CB291:CB292)</f>
        <v>0.62308182917606225</v>
      </c>
      <c r="CC293" s="872">
        <f>CC291/SUM(CC291:CC292)</f>
        <v>0.62088271853498833</v>
      </c>
      <c r="CD293" s="1785">
        <f>CD291/SUM(CD291:CD292)</f>
        <v>0.61297051491984689</v>
      </c>
      <c r="CE293" s="1001">
        <f t="shared" si="722"/>
        <v>0.61297051491984689</v>
      </c>
      <c r="CF293" s="872">
        <f>CF291/SUM(CF291:CF292)</f>
        <v>0.62141508648213439</v>
      </c>
      <c r="CG293" s="872">
        <f t="shared" si="722"/>
        <v>0.62653492393505716</v>
      </c>
      <c r="CH293" s="872">
        <f>CH291/SUM(CH291:CH292)</f>
        <v>0.62241579325004859</v>
      </c>
      <c r="CI293" s="1785">
        <f>CI291/SUM(CI291:CI292)</f>
        <v>0.61847122092539253</v>
      </c>
      <c r="CJ293" s="1001">
        <f>CJ291/SUM(CJ291:CJ292)</f>
        <v>0.62695314407764713</v>
      </c>
      <c r="CK293" s="872">
        <f>CK291/SUM(CK291:CK292)</f>
        <v>0.61614546375232782</v>
      </c>
      <c r="CL293" s="872">
        <f>CL291/SUM(CL291:CL292)</f>
        <v>0.60915783599172568</v>
      </c>
      <c r="CM293" s="872">
        <f t="shared" ref="CM293:CT293" si="723">CM291/SUM(CM291:CM292)</f>
        <v>0.60935732990842828</v>
      </c>
      <c r="CN293" s="1785">
        <f t="shared" si="723"/>
        <v>0.48003458907261404</v>
      </c>
      <c r="CO293" s="1001">
        <f t="shared" si="723"/>
        <v>0.48003458907261404</v>
      </c>
      <c r="CP293" s="872">
        <f t="shared" si="723"/>
        <v>0.47822885849953245</v>
      </c>
      <c r="CQ293" s="872">
        <f t="shared" si="723"/>
        <v>0.4752185758631492</v>
      </c>
      <c r="CR293" s="872">
        <f t="shared" si="723"/>
        <v>0.47486434006427386</v>
      </c>
      <c r="CS293" s="872">
        <f t="shared" si="723"/>
        <v>0.46911570865796748</v>
      </c>
      <c r="CT293" s="1001">
        <f t="shared" si="723"/>
        <v>0.46911570865796748</v>
      </c>
      <c r="CU293" s="872">
        <f t="shared" ref="CU293:DA293" si="724">CU291/SUM(CU291:CU292)</f>
        <v>0.47221882068708065</v>
      </c>
      <c r="CV293" s="872">
        <f t="shared" si="724"/>
        <v>0.4668631423553416</v>
      </c>
      <c r="CW293" s="872">
        <f t="shared" si="724"/>
        <v>0.4665279888280659</v>
      </c>
      <c r="CX293" s="872">
        <f t="shared" si="724"/>
        <v>0.46079610318326109</v>
      </c>
      <c r="CY293" s="1001">
        <f t="shared" si="724"/>
        <v>0.46079610318326109</v>
      </c>
      <c r="CZ293" s="1001">
        <f t="shared" si="724"/>
        <v>0.45487713305170013</v>
      </c>
      <c r="DA293" s="1001">
        <f t="shared" si="724"/>
        <v>0.45138543237445167</v>
      </c>
      <c r="DB293"/>
      <c r="DC293"/>
      <c r="DD293" s="1675" t="s">
        <v>1031</v>
      </c>
      <c r="DE293" s="1001">
        <f>M293</f>
        <v>0</v>
      </c>
      <c r="DF293" s="1001">
        <f>R293</f>
        <v>0.74469580333902008</v>
      </c>
      <c r="DG293" s="1001">
        <f>W293</f>
        <v>0.74449651095387914</v>
      </c>
      <c r="DH293" s="1001">
        <f>AB293</f>
        <v>0.73825724789825953</v>
      </c>
      <c r="DI293" s="1001">
        <f>AG293</f>
        <v>0.74272177284577845</v>
      </c>
      <c r="DJ293" s="1001">
        <f>AL293</f>
        <v>0.71091145438217362</v>
      </c>
      <c r="DK293" s="1001">
        <f>AQ293</f>
        <v>0.70016008774582739</v>
      </c>
      <c r="DL293" s="1001">
        <f>AV293</f>
        <v>0.69262316152480241</v>
      </c>
      <c r="DM293" s="1001">
        <f>BA293</f>
        <v>0.68530506838985927</v>
      </c>
      <c r="DN293" s="1001">
        <f>BF293</f>
        <v>0.67302000128528383</v>
      </c>
      <c r="DO293" s="1001">
        <f>BK293</f>
        <v>0.67255412543709547</v>
      </c>
      <c r="DP293" s="1001">
        <f>BP293</f>
        <v>0.65947721493087019</v>
      </c>
      <c r="DQ293" s="1001">
        <f>BU293</f>
        <v>0.66014316909034376</v>
      </c>
      <c r="DR293" s="1001">
        <f>BZ293</f>
        <v>0.63917218923028374</v>
      </c>
      <c r="DS293" s="1001">
        <f>CE293</f>
        <v>0.61297051491984689</v>
      </c>
      <c r="DT293" s="1001">
        <f>CJ293</f>
        <v>0.62695314407764713</v>
      </c>
      <c r="DU293" s="1001">
        <f>CO293</f>
        <v>0.48003458907261404</v>
      </c>
      <c r="DV293" s="1001">
        <f>CT293</f>
        <v>0.46911570865796748</v>
      </c>
      <c r="DW293" s="1001">
        <f t="shared" si="720"/>
        <v>0.46079610318326109</v>
      </c>
      <c r="DX293" s="1001">
        <f t="shared" si="720"/>
        <v>0.45487713305170013</v>
      </c>
      <c r="DY293" s="1001">
        <f t="shared" si="720"/>
        <v>0.45138543237445167</v>
      </c>
      <c r="EA293"/>
      <c r="EB293"/>
      <c r="EC293"/>
      <c r="ED293"/>
      <c r="EE293"/>
      <c r="EF293"/>
      <c r="EJ293"/>
      <c r="EK293"/>
      <c r="EL293"/>
      <c r="ER293" s="212"/>
    </row>
    <row r="294" spans="1:148" s="923" customFormat="1" ht="12.75" customHeight="1" x14ac:dyDescent="0.2">
      <c r="A294" s="1675" t="s">
        <v>1032</v>
      </c>
      <c r="B294" s="872"/>
      <c r="C294" s="872"/>
      <c r="D294" s="872"/>
      <c r="E294" s="872"/>
      <c r="F294" s="872"/>
      <c r="G294" s="872"/>
      <c r="H294" s="872"/>
      <c r="I294" s="872"/>
      <c r="J294" s="872"/>
      <c r="K294" s="872"/>
      <c r="L294" s="872"/>
      <c r="M294" s="1001"/>
      <c r="N294" s="872">
        <f t="shared" ref="N294:AS294" si="725">N292/SUM(N291:N292)</f>
        <v>0.24229525736747842</v>
      </c>
      <c r="O294" s="872">
        <f t="shared" si="725"/>
        <v>0.24332738785747365</v>
      </c>
      <c r="P294" s="872">
        <f t="shared" si="725"/>
        <v>0.24202793323802782</v>
      </c>
      <c r="Q294" s="872">
        <f t="shared" si="725"/>
        <v>0.25530419666097987</v>
      </c>
      <c r="R294" s="1001">
        <f t="shared" si="725"/>
        <v>0.25530419666097987</v>
      </c>
      <c r="S294" s="872">
        <f t="shared" si="725"/>
        <v>0.25312370556827546</v>
      </c>
      <c r="T294" s="872">
        <f t="shared" si="725"/>
        <v>0.25085500244286413</v>
      </c>
      <c r="U294" s="872">
        <f t="shared" si="725"/>
        <v>0.25377750963512591</v>
      </c>
      <c r="V294" s="872">
        <f t="shared" si="725"/>
        <v>0.25550348904612091</v>
      </c>
      <c r="W294" s="1001">
        <f t="shared" si="725"/>
        <v>0.25550348904612091</v>
      </c>
      <c r="X294" s="872">
        <f t="shared" si="725"/>
        <v>0.25707935643412144</v>
      </c>
      <c r="Y294" s="872">
        <f t="shared" si="725"/>
        <v>0.25760669485337517</v>
      </c>
      <c r="Z294" s="872">
        <f t="shared" si="725"/>
        <v>0.26000130013651435</v>
      </c>
      <c r="AA294" s="872">
        <f t="shared" si="725"/>
        <v>0.26174275210174053</v>
      </c>
      <c r="AB294" s="1001">
        <f t="shared" si="725"/>
        <v>0.26174275210174053</v>
      </c>
      <c r="AC294" s="872">
        <f t="shared" si="725"/>
        <v>0.26045706013132724</v>
      </c>
      <c r="AD294" s="872">
        <f t="shared" si="725"/>
        <v>0.26048936921303678</v>
      </c>
      <c r="AE294" s="872">
        <f t="shared" si="725"/>
        <v>0.25969441783066916</v>
      </c>
      <c r="AF294" s="872">
        <f t="shared" si="725"/>
        <v>0.25727822715422155</v>
      </c>
      <c r="AG294" s="1001">
        <f t="shared" si="725"/>
        <v>0.25727822715422155</v>
      </c>
      <c r="AH294" s="872">
        <f t="shared" si="725"/>
        <v>0.26085571805724345</v>
      </c>
      <c r="AI294" s="872">
        <f t="shared" si="725"/>
        <v>0.28887337527389828</v>
      </c>
      <c r="AJ294" s="872">
        <f t="shared" si="725"/>
        <v>0.28838729327702728</v>
      </c>
      <c r="AK294" s="872">
        <f t="shared" si="725"/>
        <v>0.28908854561782638</v>
      </c>
      <c r="AL294" s="1001">
        <f t="shared" si="725"/>
        <v>0.28908854561782638</v>
      </c>
      <c r="AM294" s="872">
        <f t="shared" si="725"/>
        <v>0.29174583155894784</v>
      </c>
      <c r="AN294" s="872">
        <f t="shared" si="725"/>
        <v>0.29750665109337487</v>
      </c>
      <c r="AO294" s="872">
        <f t="shared" si="725"/>
        <v>0.29969748656389794</v>
      </c>
      <c r="AP294" s="872">
        <f t="shared" si="725"/>
        <v>0.29983991225417256</v>
      </c>
      <c r="AQ294" s="1001">
        <f t="shared" si="725"/>
        <v>0.29983991225417256</v>
      </c>
      <c r="AR294" s="872">
        <f t="shared" si="725"/>
        <v>0.30351749472758871</v>
      </c>
      <c r="AS294" s="872">
        <f t="shared" si="725"/>
        <v>0.30384023590192716</v>
      </c>
      <c r="AT294" s="872">
        <f t="shared" ref="AT294:CD294" si="726">AT292/SUM(AT291:AT292)</f>
        <v>0.30985069879326455</v>
      </c>
      <c r="AU294" s="872">
        <f t="shared" si="726"/>
        <v>0.30737683847519764</v>
      </c>
      <c r="AV294" s="1001">
        <f t="shared" si="726"/>
        <v>0.30737683847519764</v>
      </c>
      <c r="AW294" s="872">
        <f t="shared" si="726"/>
        <v>0.30553991801523933</v>
      </c>
      <c r="AX294" s="872">
        <f t="shared" si="726"/>
        <v>0.30708932622302459</v>
      </c>
      <c r="AY294" s="872">
        <f t="shared" si="726"/>
        <v>0.31202369541647679</v>
      </c>
      <c r="AZ294" s="872">
        <f t="shared" si="726"/>
        <v>0.31469493161014067</v>
      </c>
      <c r="BA294" s="1001">
        <f t="shared" si="726"/>
        <v>0.31469493161014067</v>
      </c>
      <c r="BB294" s="872">
        <f t="shared" si="726"/>
        <v>0.32066877506942304</v>
      </c>
      <c r="BC294" s="872">
        <f t="shared" si="726"/>
        <v>0.32382263923679172</v>
      </c>
      <c r="BD294" s="872">
        <f t="shared" si="726"/>
        <v>0.32485397006338484</v>
      </c>
      <c r="BE294" s="872">
        <f t="shared" si="726"/>
        <v>0.32697999871471611</v>
      </c>
      <c r="BF294" s="1001">
        <f t="shared" si="726"/>
        <v>0.32697999871471611</v>
      </c>
      <c r="BG294" s="872">
        <f t="shared" si="726"/>
        <v>0.32706502570118934</v>
      </c>
      <c r="BH294" s="872">
        <f t="shared" si="726"/>
        <v>0.32784568086382726</v>
      </c>
      <c r="BI294" s="872">
        <f t="shared" si="726"/>
        <v>0.33011784725383808</v>
      </c>
      <c r="BJ294" s="872">
        <f t="shared" si="726"/>
        <v>0.32744587456290453</v>
      </c>
      <c r="BK294" s="1001">
        <f t="shared" si="726"/>
        <v>0.32744587456290453</v>
      </c>
      <c r="BL294" s="872">
        <f t="shared" si="726"/>
        <v>0.33097097392073083</v>
      </c>
      <c r="BM294" s="872">
        <f t="shared" si="726"/>
        <v>0.33069923547512908</v>
      </c>
      <c r="BN294" s="872">
        <f t="shared" si="726"/>
        <v>0.33452899322255431</v>
      </c>
      <c r="BO294" s="872">
        <f t="shared" si="726"/>
        <v>0.34052278506912981</v>
      </c>
      <c r="BP294" s="1001">
        <f t="shared" si="726"/>
        <v>0.34052278506912981</v>
      </c>
      <c r="BQ294" s="872">
        <f t="shared" si="726"/>
        <v>0.33936563533761432</v>
      </c>
      <c r="BR294" s="872">
        <f t="shared" si="726"/>
        <v>0.34244666379110122</v>
      </c>
      <c r="BS294" s="872">
        <f>BS292/SUM(BS291:BS292)</f>
        <v>0.34716046644859638</v>
      </c>
      <c r="BT294" s="872">
        <f t="shared" si="726"/>
        <v>0.33985683090965624</v>
      </c>
      <c r="BU294" s="1001">
        <f t="shared" si="726"/>
        <v>0.33985683090965624</v>
      </c>
      <c r="BV294" s="872">
        <f t="shared" ref="BV294:CA294" si="727">BV292/SUM(BV291:BV292)</f>
        <v>0.34659315391761492</v>
      </c>
      <c r="BW294" s="872">
        <f t="shared" si="727"/>
        <v>0.34847665275563755</v>
      </c>
      <c r="BX294" s="872">
        <f t="shared" si="727"/>
        <v>0.35346625271431903</v>
      </c>
      <c r="BY294" s="872">
        <f t="shared" si="727"/>
        <v>0.36082781076971626</v>
      </c>
      <c r="BZ294" s="1001">
        <f t="shared" si="727"/>
        <v>0.36082781076971626</v>
      </c>
      <c r="CA294" s="872">
        <f t="shared" si="727"/>
        <v>0.36486258943061761</v>
      </c>
      <c r="CB294" s="872">
        <f t="shared" si="726"/>
        <v>0.3769181708239378</v>
      </c>
      <c r="CC294" s="872">
        <f t="shared" si="726"/>
        <v>0.37911728146501167</v>
      </c>
      <c r="CD294" s="1785">
        <f t="shared" si="726"/>
        <v>0.38702948508015311</v>
      </c>
      <c r="CE294" s="1001">
        <f t="shared" ref="CE294:CJ294" si="728">CE292/SUM(CE291:CE292)</f>
        <v>0.38702948508015311</v>
      </c>
      <c r="CF294" s="872">
        <f t="shared" si="728"/>
        <v>0.37858491351786555</v>
      </c>
      <c r="CG294" s="872">
        <f t="shared" si="728"/>
        <v>0.37346507606494284</v>
      </c>
      <c r="CH294" s="872">
        <f t="shared" si="728"/>
        <v>0.37758420674995136</v>
      </c>
      <c r="CI294" s="1785">
        <f t="shared" si="728"/>
        <v>0.38152877907460747</v>
      </c>
      <c r="CJ294" s="1001">
        <f t="shared" si="728"/>
        <v>0.37304685592235287</v>
      </c>
      <c r="CK294" s="872">
        <f t="shared" ref="CK294:CT294" si="729">CK292/SUM(CK291:CK292)</f>
        <v>0.38385453624767218</v>
      </c>
      <c r="CL294" s="872">
        <f t="shared" si="729"/>
        <v>0.39084216400827426</v>
      </c>
      <c r="CM294" s="872">
        <f t="shared" si="729"/>
        <v>0.39064267009157172</v>
      </c>
      <c r="CN294" s="1785">
        <f t="shared" si="729"/>
        <v>0.51996541092738591</v>
      </c>
      <c r="CO294" s="1001">
        <f t="shared" si="729"/>
        <v>0.51996541092738591</v>
      </c>
      <c r="CP294" s="872">
        <f t="shared" si="729"/>
        <v>0.52177114150046755</v>
      </c>
      <c r="CQ294" s="872">
        <f t="shared" si="729"/>
        <v>0.5247814241368508</v>
      </c>
      <c r="CR294" s="872">
        <f t="shared" si="729"/>
        <v>0.5251356599357262</v>
      </c>
      <c r="CS294" s="872">
        <f t="shared" si="729"/>
        <v>0.53088429134203252</v>
      </c>
      <c r="CT294" s="1001">
        <f t="shared" si="729"/>
        <v>0.53088429134203252</v>
      </c>
      <c r="CU294" s="872">
        <f t="shared" ref="CU294:DA294" si="730">CU292/SUM(CU291:CU292)</f>
        <v>0.52778117931291935</v>
      </c>
      <c r="CV294" s="872">
        <f t="shared" si="730"/>
        <v>0.53313685764465846</v>
      </c>
      <c r="CW294" s="872">
        <f t="shared" si="730"/>
        <v>0.5334720111719341</v>
      </c>
      <c r="CX294" s="872">
        <f t="shared" si="730"/>
        <v>0.53920389681673875</v>
      </c>
      <c r="CY294" s="1001">
        <f t="shared" si="730"/>
        <v>0.53920389681673875</v>
      </c>
      <c r="CZ294" s="1001">
        <f t="shared" si="730"/>
        <v>0.54512286694829992</v>
      </c>
      <c r="DA294" s="1001">
        <f t="shared" si="730"/>
        <v>0.54861456762554839</v>
      </c>
      <c r="DB294"/>
      <c r="DC294"/>
      <c r="DD294" s="1675" t="s">
        <v>1032</v>
      </c>
      <c r="DE294" s="1001">
        <f>M294</f>
        <v>0</v>
      </c>
      <c r="DF294" s="1001">
        <f>R294</f>
        <v>0.25530419666097987</v>
      </c>
      <c r="DG294" s="1001">
        <f>W294</f>
        <v>0.25550348904612091</v>
      </c>
      <c r="DH294" s="1001">
        <f>AB294</f>
        <v>0.26174275210174053</v>
      </c>
      <c r="DI294" s="1001">
        <f>AG294</f>
        <v>0.25727822715422155</v>
      </c>
      <c r="DJ294" s="1001">
        <f>AL294</f>
        <v>0.28908854561782638</v>
      </c>
      <c r="DK294" s="1001">
        <f>AQ294</f>
        <v>0.29983991225417256</v>
      </c>
      <c r="DL294" s="1001">
        <f>AV294</f>
        <v>0.30737683847519764</v>
      </c>
      <c r="DM294" s="1001">
        <f>BA294</f>
        <v>0.31469493161014067</v>
      </c>
      <c r="DN294" s="1001">
        <f>BF294</f>
        <v>0.32697999871471611</v>
      </c>
      <c r="DO294" s="1001">
        <f>BK294</f>
        <v>0.32744587456290453</v>
      </c>
      <c r="DP294" s="1001">
        <f>BP294</f>
        <v>0.34052278506912981</v>
      </c>
      <c r="DQ294" s="1001">
        <f>BU294</f>
        <v>0.33985683090965624</v>
      </c>
      <c r="DR294" s="1001">
        <f>BZ294</f>
        <v>0.36082781076971626</v>
      </c>
      <c r="DS294" s="1001">
        <f>CE294</f>
        <v>0.38702948508015311</v>
      </c>
      <c r="DT294" s="1001">
        <f>CJ294</f>
        <v>0.37304685592235287</v>
      </c>
      <c r="DU294" s="1001">
        <f>CO294</f>
        <v>0.51996541092738591</v>
      </c>
      <c r="DV294" s="1001">
        <f>CT294</f>
        <v>0.53088429134203252</v>
      </c>
      <c r="DW294" s="1001">
        <f t="shared" si="720"/>
        <v>0.53920389681673875</v>
      </c>
      <c r="DX294" s="1001">
        <f t="shared" si="720"/>
        <v>0.54512286694829992</v>
      </c>
      <c r="DY294" s="1001">
        <f t="shared" si="720"/>
        <v>0.54861456762554839</v>
      </c>
      <c r="EA294"/>
      <c r="EB294"/>
      <c r="EC294"/>
      <c r="ED294"/>
      <c r="EE294"/>
      <c r="EF294"/>
      <c r="EJ294"/>
      <c r="EK294"/>
      <c r="EL294"/>
      <c r="ER294" s="212"/>
    </row>
    <row r="295" spans="1:148" s="923" customFormat="1" ht="3.75" customHeight="1" x14ac:dyDescent="0.2">
      <c r="A295" s="1675"/>
      <c r="B295" s="872"/>
      <c r="C295" s="872"/>
      <c r="D295" s="872"/>
      <c r="E295" s="872"/>
      <c r="F295" s="872"/>
      <c r="G295" s="872"/>
      <c r="H295" s="872"/>
      <c r="I295" s="872"/>
      <c r="J295" s="872"/>
      <c r="K295" s="872"/>
      <c r="L295" s="872"/>
      <c r="M295" s="1001"/>
      <c r="N295" s="872"/>
      <c r="O295" s="872"/>
      <c r="P295" s="872"/>
      <c r="Q295" s="872"/>
      <c r="R295" s="1001"/>
      <c r="S295" s="872"/>
      <c r="T295" s="872"/>
      <c r="U295" s="872"/>
      <c r="V295" s="872"/>
      <c r="W295" s="1001"/>
      <c r="X295" s="872"/>
      <c r="Y295" s="872"/>
      <c r="Z295" s="872"/>
      <c r="AA295" s="872"/>
      <c r="AB295" s="1001"/>
      <c r="AC295" s="872"/>
      <c r="AD295" s="872"/>
      <c r="AE295" s="872"/>
      <c r="AF295" s="872"/>
      <c r="AG295" s="1001"/>
      <c r="AH295" s="872"/>
      <c r="AI295" s="872"/>
      <c r="AJ295" s="872"/>
      <c r="AK295" s="872"/>
      <c r="AL295" s="1001"/>
      <c r="AM295" s="872"/>
      <c r="AN295" s="872"/>
      <c r="AO295" s="872"/>
      <c r="AP295" s="872"/>
      <c r="AQ295" s="1001"/>
      <c r="AR295" s="872"/>
      <c r="AS295" s="872"/>
      <c r="AT295" s="872"/>
      <c r="AU295" s="872"/>
      <c r="AV295" s="1001"/>
      <c r="AW295" s="872"/>
      <c r="AX295" s="872"/>
      <c r="AY295" s="872"/>
      <c r="AZ295" s="872"/>
      <c r="BA295" s="1001"/>
      <c r="BB295" s="872"/>
      <c r="BC295" s="872"/>
      <c r="BD295" s="872"/>
      <c r="BE295" s="872"/>
      <c r="BF295" s="1001"/>
      <c r="BG295" s="872"/>
      <c r="BH295" s="872"/>
      <c r="BI295" s="872"/>
      <c r="BJ295" s="872"/>
      <c r="BK295" s="1001"/>
      <c r="BL295" s="872"/>
      <c r="BM295" s="872"/>
      <c r="BN295" s="872"/>
      <c r="BO295" s="872"/>
      <c r="BP295" s="1001"/>
      <c r="BQ295" s="872"/>
      <c r="BR295" s="872"/>
      <c r="BS295" s="872"/>
      <c r="BT295" s="872"/>
      <c r="BU295" s="1001"/>
      <c r="BV295" s="872"/>
      <c r="BW295" s="872"/>
      <c r="BX295" s="872"/>
      <c r="BY295" s="872"/>
      <c r="BZ295" s="1001"/>
      <c r="CA295" s="872"/>
      <c r="CB295" s="872"/>
      <c r="CC295" s="872"/>
      <c r="CD295" s="1785"/>
      <c r="CE295" s="1001"/>
      <c r="CF295" s="872"/>
      <c r="CG295" s="872"/>
      <c r="CH295" s="872"/>
      <c r="CI295" s="1785"/>
      <c r="CJ295" s="1001"/>
      <c r="CK295" s="872"/>
      <c r="CL295" s="872"/>
      <c r="CM295" s="872"/>
      <c r="CN295" s="1785"/>
      <c r="CO295" s="1001"/>
      <c r="CP295" s="872"/>
      <c r="CQ295" s="872"/>
      <c r="CR295" s="872"/>
      <c r="CS295" s="872"/>
      <c r="CT295" s="1001"/>
      <c r="CU295" s="872"/>
      <c r="CV295" s="872"/>
      <c r="CW295" s="872"/>
      <c r="CX295" s="872"/>
      <c r="CY295" s="1001"/>
      <c r="CZ295" s="1001"/>
      <c r="DA295" s="1001"/>
      <c r="DB295"/>
      <c r="DC295"/>
      <c r="DD295" s="1675"/>
      <c r="DE295" s="1001"/>
      <c r="DF295" s="1001"/>
      <c r="DG295" s="1001"/>
      <c r="DH295" s="1001"/>
      <c r="DI295" s="1001"/>
      <c r="DJ295" s="1001"/>
      <c r="DK295" s="1001"/>
      <c r="DL295" s="1001"/>
      <c r="DM295" s="1001"/>
      <c r="DN295" s="1001"/>
      <c r="DO295" s="1001"/>
      <c r="DP295" s="1001"/>
      <c r="DQ295" s="1001"/>
      <c r="DR295" s="1001"/>
      <c r="DS295" s="1001"/>
      <c r="DT295" s="1001"/>
      <c r="DU295" s="1001"/>
      <c r="DV295" s="1001"/>
      <c r="DW295" s="1001"/>
      <c r="DX295" s="1001"/>
      <c r="DY295" s="1001"/>
      <c r="EA295"/>
      <c r="EB295"/>
      <c r="EC295"/>
      <c r="ED295"/>
      <c r="EE295"/>
      <c r="EF295"/>
      <c r="EJ295"/>
      <c r="EK295"/>
      <c r="EL295"/>
      <c r="ER295" s="212"/>
    </row>
    <row r="296" spans="1:148" s="923" customFormat="1" ht="12.75" customHeight="1" x14ac:dyDescent="0.2">
      <c r="A296" s="1675" t="s">
        <v>1033</v>
      </c>
      <c r="B296" s="1195"/>
      <c r="C296" s="1195"/>
      <c r="D296" s="1195"/>
      <c r="E296" s="1195"/>
      <c r="F296" s="1195"/>
      <c r="G296" s="1195"/>
      <c r="H296" s="1195"/>
      <c r="I296" s="1195"/>
      <c r="J296" s="1195"/>
      <c r="K296" s="1195"/>
      <c r="L296" s="1195"/>
      <c r="M296" s="1279"/>
      <c r="N296" s="1195"/>
      <c r="O296" s="1195"/>
      <c r="P296" s="1195"/>
      <c r="Q296" s="1195"/>
      <c r="R296" s="1279"/>
      <c r="S296" s="1195">
        <f>+Rooms!N872</f>
        <v>7.3796660117877444E-3</v>
      </c>
      <c r="T296" s="1195">
        <f>+Rooms!O872</f>
        <v>3.4843205574912606E-3</v>
      </c>
      <c r="U296" s="1195">
        <f>+Rooms!P872</f>
        <v>-1.3898557191729832E-2</v>
      </c>
      <c r="V296" s="1195">
        <f>+Rooms!Q872</f>
        <v>4.4576615281459731E-2</v>
      </c>
      <c r="W296" s="1279">
        <f>+Rooms!R872</f>
        <v>4.4576615281459731E-2</v>
      </c>
      <c r="X296" s="1195">
        <f>+Rooms!S872</f>
        <v>3.082605038943953E-2</v>
      </c>
      <c r="Y296" s="1195">
        <f>+Rooms!T872</f>
        <v>2.5332125603864775E-2</v>
      </c>
      <c r="Z296" s="1195">
        <f>+Rooms!U872</f>
        <v>3.024031760780499E-2</v>
      </c>
      <c r="AA296" s="1195">
        <f>+Rooms!V872</f>
        <v>2.4023631360289066E-2</v>
      </c>
      <c r="AB296" s="1279">
        <f>+Rooms!W872</f>
        <v>2.4023631360289066E-2</v>
      </c>
      <c r="AC296" s="1195">
        <f>+Rooms!X872</f>
        <v>1.4792479602695918E-2</v>
      </c>
      <c r="AD296" s="1195">
        <f>+Rooms!Y872</f>
        <v>2.4017197208398455E-2</v>
      </c>
      <c r="AE296" s="1195">
        <f>+Rooms!Z872</f>
        <v>3.1747983906390109E-2</v>
      </c>
      <c r="AF296" s="1195">
        <f>+Rooms!AA872</f>
        <v>3.1765655017905514E-2</v>
      </c>
      <c r="AG296" s="1279">
        <f>+Rooms!AB872</f>
        <v>3.1765655017905514E-2</v>
      </c>
      <c r="AH296" s="1195">
        <f>+Rooms!AC872</f>
        <v>2.7615618554899246E-2</v>
      </c>
      <c r="AI296" s="1195">
        <f>+Rooms!AD872</f>
        <v>1.3527114618140823E-2</v>
      </c>
      <c r="AJ296" s="1195">
        <f>+Rooms!AE872</f>
        <v>-1.8618168607951291E-2</v>
      </c>
      <c r="AK296" s="1195">
        <f>+Rooms!AF872</f>
        <v>-2.4757265168817488E-2</v>
      </c>
      <c r="AL296" s="1279">
        <f>+Rooms!AG872</f>
        <v>-2.4757265168817488E-2</v>
      </c>
      <c r="AM296" s="1195">
        <f>+Rooms!AH872</f>
        <v>-1.9361386082480059E-2</v>
      </c>
      <c r="AN296" s="1195">
        <f>+Rooms!AI872</f>
        <v>-1.7063413250106407E-2</v>
      </c>
      <c r="AO296" s="1195">
        <f>+Rooms!AJ872</f>
        <v>6.8944774772690121E-3</v>
      </c>
      <c r="AP296" s="1195">
        <f>+Rooms!AK872</f>
        <v>1.5401032503676859E-3</v>
      </c>
      <c r="AQ296" s="1279">
        <f>+Rooms!AL872</f>
        <v>1.5401032503676859E-3</v>
      </c>
      <c r="AR296" s="1195">
        <f>+Rooms!AM872</f>
        <v>-1.4280180612487037E-3</v>
      </c>
      <c r="AS296" s="1195">
        <f>+Rooms!AN872</f>
        <v>3.9256890161531999E-4</v>
      </c>
      <c r="AT296" s="1195">
        <f>+Rooms!AO872</f>
        <v>-2.9181314767583455E-3</v>
      </c>
      <c r="AU296" s="1195">
        <f>+Rooms!AP872</f>
        <v>8.6619977884261345E-3</v>
      </c>
      <c r="AV296" s="1279">
        <f>+Rooms!AQ872</f>
        <v>8.6619977884261345E-3</v>
      </c>
      <c r="AW296" s="1195">
        <f>+Rooms!AR872</f>
        <v>1.4196387216303785E-2</v>
      </c>
      <c r="AX296" s="1195">
        <f>+Rooms!AS872</f>
        <v>1.0023891139503416E-2</v>
      </c>
      <c r="AY296" s="1195">
        <f>+Rooms!AT872</f>
        <v>8.9758952850624851E-3</v>
      </c>
      <c r="AZ296" s="1195">
        <f>+Rooms!AU872</f>
        <v>1.564498446921192E-3</v>
      </c>
      <c r="BA296" s="1279">
        <f>+Rooms!AV872</f>
        <v>1.564498446921192E-3</v>
      </c>
      <c r="BB296" s="1195">
        <f>+Rooms!AW872</f>
        <v>5.5088712807982443E-3</v>
      </c>
      <c r="BC296" s="1195">
        <f>+Rooms!AX872</f>
        <v>7.1362049559200447E-3</v>
      </c>
      <c r="BD296" s="1195">
        <f>+Rooms!AY872</f>
        <v>7.7769022576998914E-3</v>
      </c>
      <c r="BE296" s="1195">
        <f>+Rooms!AZ872</f>
        <v>1.4970640214355013E-2</v>
      </c>
      <c r="BF296" s="1279">
        <f>+Rooms!BA872</f>
        <v>1.4970640214355013E-2</v>
      </c>
      <c r="BG296" s="1195">
        <f>+Rooms!BB872</f>
        <v>1.6032974332479855E-2</v>
      </c>
      <c r="BH296" s="1195">
        <f>+Rooms!BC872</f>
        <v>1.7047517472996265E-2</v>
      </c>
      <c r="BI296" s="1195">
        <f>+Rooms!BD872</f>
        <v>1.708254011422361E-2</v>
      </c>
      <c r="BJ296" s="1195">
        <f>+Rooms!BE872</f>
        <v>1.5502482643959592E-2</v>
      </c>
      <c r="BK296" s="1279">
        <f>+Rooms!BF872</f>
        <v>1.5502482643959592E-2</v>
      </c>
      <c r="BL296" s="1195">
        <f>+Rooms!BG872</f>
        <v>1.4902688295215238E-2</v>
      </c>
      <c r="BM296" s="1195">
        <f>+Rooms!BH872</f>
        <v>1.6683679445773869E-2</v>
      </c>
      <c r="BN296" s="1195">
        <f>+Rooms!BI872</f>
        <v>9.7264234503735558E-3</v>
      </c>
      <c r="BO296" s="1195">
        <f>+Rooms!BJ872</f>
        <v>-1.6869842253147693E-3</v>
      </c>
      <c r="BP296" s="1279">
        <f>+Rooms!BK872</f>
        <v>-1.6869842253147693E-3</v>
      </c>
      <c r="BQ296" s="1195">
        <f>+Rooms!BL872</f>
        <v>-9.3212500275288157E-3</v>
      </c>
      <c r="BR296" s="1195">
        <f>+Rooms!BM872</f>
        <v>-2.142998222397785E-2</v>
      </c>
      <c r="BS296" s="1195">
        <f>+Rooms!BN872</f>
        <v>-2.5532807008832759E-2</v>
      </c>
      <c r="BT296" s="1195">
        <f>+Rooms!BO872</f>
        <v>2.3397288507460257E-2</v>
      </c>
      <c r="BU296" s="1279">
        <f>+Rooms!BP872</f>
        <v>2.3397288507460257E-2</v>
      </c>
      <c r="BV296" s="1195">
        <f>+Rooms!BQ872</f>
        <v>2.022396976686025E-2</v>
      </c>
      <c r="BW296" s="1195">
        <f>+Rooms!BR872</f>
        <v>1.9701505926150276E-2</v>
      </c>
      <c r="BX296" s="1195">
        <f>+Rooms!BS872</f>
        <v>1.9843853500840725E-2</v>
      </c>
      <c r="BY296" s="1195">
        <f>+Rooms!BT872</f>
        <v>-3.5065019435451594E-2</v>
      </c>
      <c r="BZ296" s="1279">
        <f>+Rooms!BU872</f>
        <v>-3.5065019435451594E-2</v>
      </c>
      <c r="CA296" s="1195">
        <f>+Rooms!BV872</f>
        <v>-3.4264111475481251E-2</v>
      </c>
      <c r="CB296" s="1195">
        <f>+Rooms!BW872</f>
        <v>-1.702808506894804E-2</v>
      </c>
      <c r="CC296" s="1195">
        <f>+Rooms!BX872</f>
        <v>-1.5616152419865248E-2</v>
      </c>
      <c r="CD296" s="1804">
        <f>+Rooms!BY872</f>
        <v>-1.0794616157139059E-2</v>
      </c>
      <c r="CE296" s="1279">
        <f>+Rooms!BZ872</f>
        <v>-1.0794616157139059E-2</v>
      </c>
      <c r="CF296" s="1195">
        <f>+Rooms!CA872</f>
        <v>1.0029105841474761E-2</v>
      </c>
      <c r="CG296" s="1195">
        <f>+Rooms!CB872</f>
        <v>4.1705121966226555E-2</v>
      </c>
      <c r="CH296" s="1195">
        <f>+Rooms!CC872</f>
        <v>4.6903638034976103E-2</v>
      </c>
      <c r="CI296" s="1804">
        <f>+Rooms!CD872</f>
        <v>5.3410695751305859E-2</v>
      </c>
      <c r="CJ296" s="1279">
        <f>+Rooms!CE872</f>
        <v>9.2137278589780713E-2</v>
      </c>
      <c r="CK296" s="1195">
        <f>+Rooms!CF872</f>
        <v>3.2876880633523564E-2</v>
      </c>
      <c r="CL296" s="1195">
        <f>+Rooms!CG872</f>
        <v>-2.1209761860015552E-2</v>
      </c>
      <c r="CM296" s="1195">
        <f>+Rooms!CH872</f>
        <v>-1.6020426852260905E-2</v>
      </c>
      <c r="CN296" s="1804">
        <f>+Rooms!CI872</f>
        <v>0.34799440047380603</v>
      </c>
      <c r="CO296" s="1279">
        <f>+Rooms!CJ872</f>
        <v>0.30019526584197997</v>
      </c>
      <c r="CP296" s="1195">
        <f>+Rooms!CK872</f>
        <v>0.35212409907596154</v>
      </c>
      <c r="CQ296" s="1195">
        <f>+Rooms!CL872</f>
        <v>0.37312450283896093</v>
      </c>
      <c r="CR296" s="1195">
        <f>+Rooms!CM872</f>
        <v>0.38165703148951069</v>
      </c>
      <c r="CS296" s="1195">
        <f>+Rooms!CN872</f>
        <v>5.0247041296038741E-3</v>
      </c>
      <c r="CT296" s="1279">
        <f>+Rooms!CO872</f>
        <v>5.0247041296038741E-3</v>
      </c>
      <c r="CU296" s="1195">
        <f>+Rooms!CP872</f>
        <v>2.4997880627334323E-2</v>
      </c>
      <c r="CV296" s="1195">
        <f>+Rooms!CQ872</f>
        <v>2.5042309228925363E-2</v>
      </c>
      <c r="CW296" s="1195">
        <f>+Rooms!CR872</f>
        <v>2.5118056573645298E-2</v>
      </c>
      <c r="CX296" s="1195">
        <f>+Rooms!CS872</f>
        <v>2.5040557028228827E-2</v>
      </c>
      <c r="CY296" s="1279">
        <f>+Rooms!CT872</f>
        <v>2.5040557028228827E-2</v>
      </c>
      <c r="CZ296" s="1279">
        <f>+Rooms!CU872</f>
        <v>3.0056873067655143E-2</v>
      </c>
      <c r="DA296" s="1279">
        <f>+Rooms!CV872</f>
        <v>5.699249821390362E-3</v>
      </c>
      <c r="DB296"/>
      <c r="DC296"/>
      <c r="DD296" s="1675" t="s">
        <v>1033</v>
      </c>
      <c r="DE296" s="1279">
        <f>M296</f>
        <v>0</v>
      </c>
      <c r="DF296" s="1279">
        <f>R296</f>
        <v>0</v>
      </c>
      <c r="DG296" s="1279">
        <f>W296</f>
        <v>4.4576615281459731E-2</v>
      </c>
      <c r="DH296" s="1279">
        <f>AB296</f>
        <v>2.4023631360289066E-2</v>
      </c>
      <c r="DI296" s="1279">
        <f>AG296</f>
        <v>3.1765655017905514E-2</v>
      </c>
      <c r="DJ296" s="1279">
        <f>AL296</f>
        <v>-2.4757265168817488E-2</v>
      </c>
      <c r="DK296" s="1279">
        <f>AQ296</f>
        <v>1.5401032503676859E-3</v>
      </c>
      <c r="DL296" s="1279">
        <f>AV296</f>
        <v>8.6619977884261345E-3</v>
      </c>
      <c r="DM296" s="1279">
        <f>BA296</f>
        <v>1.564498446921192E-3</v>
      </c>
      <c r="DN296" s="1279">
        <f>BF296</f>
        <v>1.4970640214355013E-2</v>
      </c>
      <c r="DO296" s="1279">
        <f>BK296</f>
        <v>1.5502482643959592E-2</v>
      </c>
      <c r="DP296" s="1279">
        <f>BP296</f>
        <v>-1.6869842253147693E-3</v>
      </c>
      <c r="DQ296" s="1279">
        <f>BU296</f>
        <v>2.3397288507460257E-2</v>
      </c>
      <c r="DR296" s="1279">
        <f>BZ296</f>
        <v>-3.5065019435451594E-2</v>
      </c>
      <c r="DS296" s="1279">
        <f>CE296</f>
        <v>-1.0794616157139059E-2</v>
      </c>
      <c r="DT296" s="1279">
        <f>CJ296</f>
        <v>9.2137278589780713E-2</v>
      </c>
      <c r="DU296" s="1279">
        <f>CO296</f>
        <v>0.30019526584197997</v>
      </c>
      <c r="DV296" s="1279">
        <f>CT296</f>
        <v>5.0247041296038741E-3</v>
      </c>
      <c r="DW296" s="1279">
        <f t="shared" ref="DW296:DY297" si="731">CY296</f>
        <v>2.5040557028228827E-2</v>
      </c>
      <c r="DX296" s="1279">
        <f t="shared" si="731"/>
        <v>3.0056873067655143E-2</v>
      </c>
      <c r="DY296" s="1279">
        <f t="shared" si="731"/>
        <v>5.699249821390362E-3</v>
      </c>
      <c r="EA296"/>
      <c r="EB296"/>
      <c r="EC296"/>
      <c r="ED296"/>
      <c r="EE296"/>
      <c r="EF296"/>
      <c r="EJ296"/>
      <c r="EK296"/>
      <c r="EL296"/>
      <c r="ER296" s="212"/>
    </row>
    <row r="297" spans="1:148" s="923" customFormat="1" ht="12.75" customHeight="1" x14ac:dyDescent="0.2">
      <c r="A297" s="1675" t="s">
        <v>1034</v>
      </c>
      <c r="B297" s="1195"/>
      <c r="C297" s="1195"/>
      <c r="D297" s="1195"/>
      <c r="E297" s="1195"/>
      <c r="F297" s="1195"/>
      <c r="G297" s="1195"/>
      <c r="H297" s="1195"/>
      <c r="I297" s="1195"/>
      <c r="J297" s="1195"/>
      <c r="K297" s="1195"/>
      <c r="L297" s="1195"/>
      <c r="M297" s="1279"/>
      <c r="N297" s="1195"/>
      <c r="O297" s="1195"/>
      <c r="P297" s="1195"/>
      <c r="Q297" s="1195"/>
      <c r="R297" s="1279"/>
      <c r="S297" s="1195">
        <f>+Rooms!N875</f>
        <v>6.7658634923682515E-2</v>
      </c>
      <c r="T297" s="1195">
        <f>+Rooms!O875</f>
        <v>4.4923494384563112E-2</v>
      </c>
      <c r="U297" s="1195">
        <f>+Rooms!P875</f>
        <v>5.0253409853171283E-2</v>
      </c>
      <c r="V297" s="1195">
        <f>+Rooms!Q875</f>
        <v>4.5671858022455547E-2</v>
      </c>
      <c r="W297" s="1279">
        <f>+Rooms!R875</f>
        <v>4.5671858022455547E-2</v>
      </c>
      <c r="X297" s="1195">
        <f>+Rooms!S875</f>
        <v>5.2509485874588702E-2</v>
      </c>
      <c r="Y297" s="1195">
        <f>+Rooms!T875</f>
        <v>6.2504508403664394E-2</v>
      </c>
      <c r="Z297" s="1195">
        <f>+Rooms!U875</f>
        <v>6.4383926195334062E-2</v>
      </c>
      <c r="AA297" s="1195">
        <f>+Rooms!V875</f>
        <v>5.789546603858553E-2</v>
      </c>
      <c r="AB297" s="1279">
        <f>+Rooms!W875</f>
        <v>5.789546603858553E-2</v>
      </c>
      <c r="AC297" s="1195">
        <f>+Rooms!X875</f>
        <v>3.2821336431512638E-2</v>
      </c>
      <c r="AD297" s="1195">
        <f>+Rooms!Y875</f>
        <v>3.9512542856172894E-2</v>
      </c>
      <c r="AE297" s="1195">
        <f>+Rooms!Z875</f>
        <v>3.010301030103002E-2</v>
      </c>
      <c r="AF297" s="1195">
        <f>+Rooms!AA875</f>
        <v>8.0707211262993628E-3</v>
      </c>
      <c r="AG297" s="1279">
        <f>+Rooms!AB875</f>
        <v>8.0707211262993628E-3</v>
      </c>
      <c r="AH297" s="1195">
        <f>+Rooms!AC875</f>
        <v>2.9743589743589816E-2</v>
      </c>
      <c r="AI297" s="1195">
        <f>+Rooms!AD875</f>
        <v>0.16882735199033405</v>
      </c>
      <c r="AJ297" s="1195">
        <f>+Rooms!AE875</f>
        <v>0.13375404530744328</v>
      </c>
      <c r="AK297" s="1195">
        <f>+Rooms!AF875</f>
        <v>0.14485692942284589</v>
      </c>
      <c r="AL297" s="1279">
        <f>+Rooms!AG875</f>
        <v>0.14485692942284589</v>
      </c>
      <c r="AM297" s="1195">
        <f>+Rooms!AH875</f>
        <v>0.14459902326179153</v>
      </c>
      <c r="AN297" s="1195">
        <f>+Rooms!AI875</f>
        <v>2.4753443410722831E-2</v>
      </c>
      <c r="AO297" s="1195">
        <f>+Rooms!AJ875</f>
        <v>6.3283190135015488E-2</v>
      </c>
      <c r="AP297" s="1195">
        <f>+Rooms!AK875</f>
        <v>5.473914153593018E-2</v>
      </c>
      <c r="AQ297" s="1279">
        <f>+Rooms!AL875</f>
        <v>5.473914153593018E-2</v>
      </c>
      <c r="AR297" s="1195">
        <f>+Rooms!AM875</f>
        <v>5.6421844517116071E-2</v>
      </c>
      <c r="AS297" s="1195">
        <f>+Rooms!AN875</f>
        <v>3.0985032307314864E-2</v>
      </c>
      <c r="AT297" s="1195">
        <f>+Rooms!AO875</f>
        <v>4.6026845637583857E-2</v>
      </c>
      <c r="AU297" s="1195">
        <f>+Rooms!AP875</f>
        <v>4.526809849778779E-2</v>
      </c>
      <c r="AV297" s="1279">
        <f>+Rooms!AQ875</f>
        <v>4.526809849778779E-2</v>
      </c>
      <c r="AW297" s="1195">
        <f>+Rooms!AR875</f>
        <v>2.392751331889631E-2</v>
      </c>
      <c r="AX297" s="1195">
        <f>+Rooms!AS875</f>
        <v>2.5611191178220638E-2</v>
      </c>
      <c r="AY297" s="1195">
        <f>+Rooms!AT875</f>
        <v>1.9261122303635414E-2</v>
      </c>
      <c r="AZ297" s="1195">
        <f>+Rooms!AU875</f>
        <v>3.6359893467827975E-2</v>
      </c>
      <c r="BA297" s="1279">
        <f>+Rooms!AV875</f>
        <v>3.6359893467827975E-2</v>
      </c>
      <c r="BB297" s="1195">
        <f>+Rooms!AW875</f>
        <v>7.8798494874789071E-2</v>
      </c>
      <c r="BC297" s="1195">
        <f>+Rooms!AX875</f>
        <v>8.8296720297029729E-2</v>
      </c>
      <c r="BD297" s="1195">
        <f>+Rooms!AY875</f>
        <v>6.9155231021024832E-2</v>
      </c>
      <c r="BE297" s="1195">
        <f>+Rooms!AZ875</f>
        <v>7.3843250692125384E-2</v>
      </c>
      <c r="BF297" s="1279">
        <f>+Rooms!BA875</f>
        <v>7.3843250692125384E-2</v>
      </c>
      <c r="BG297" s="1195">
        <f>+Rooms!BB875</f>
        <v>4.614940524157185E-2</v>
      </c>
      <c r="BH297" s="1195">
        <f>+Rooms!BC875</f>
        <v>3.5845860430955945E-2</v>
      </c>
      <c r="BI297" s="1195">
        <f>+Rooms!BD875</f>
        <v>4.1684820366685083E-2</v>
      </c>
      <c r="BJ297" s="1195">
        <f>+Rooms!BE875</f>
        <v>1.7653791460975565E-2</v>
      </c>
      <c r="BK297" s="1279">
        <f>+Rooms!BF875</f>
        <v>1.7653791460975565E-2</v>
      </c>
      <c r="BL297" s="1195">
        <f>+Rooms!BG875</f>
        <v>3.3019084847091262E-2</v>
      </c>
      <c r="BM297" s="1195">
        <f>+Rooms!BH875</f>
        <v>2.9905195384421823E-2</v>
      </c>
      <c r="BN297" s="1195">
        <f>+Rooms!BI875</f>
        <v>3.000124345771682E-2</v>
      </c>
      <c r="BO297" s="1195">
        <f>+Rooms!BJ875</f>
        <v>5.8768063255475678E-2</v>
      </c>
      <c r="BP297" s="1279">
        <f>+Rooms!BK875</f>
        <v>5.8768063255475678E-2</v>
      </c>
      <c r="BQ297" s="1195">
        <f>+Rooms!BL875</f>
        <v>2.8713885055424493E-2</v>
      </c>
      <c r="BR297" s="1195">
        <f>+Rooms!BM875</f>
        <v>3.1435297252881522E-2</v>
      </c>
      <c r="BS297" s="1195">
        <f>+Rooms!BN875</f>
        <v>3.0828495231405739E-2</v>
      </c>
      <c r="BT297" s="1195">
        <f>+Rooms!BO875</f>
        <v>2.0365462407588186E-2</v>
      </c>
      <c r="BU297" s="1279">
        <f>+Rooms!BP875</f>
        <v>2.0365462407588186E-2</v>
      </c>
      <c r="BV297" s="1195">
        <f>+Rooms!BQ875</f>
        <v>5.3477150770296022E-2</v>
      </c>
      <c r="BW297" s="1195">
        <f>+Rooms!BR875</f>
        <v>4.7260709018290603E-2</v>
      </c>
      <c r="BX297" s="1195">
        <f>+Rooms!BS875</f>
        <v>4.8495624214807354E-2</v>
      </c>
      <c r="BY297" s="1195">
        <f>+Rooms!BT875</f>
        <v>5.8089279141910755E-2</v>
      </c>
      <c r="BZ297" s="1279">
        <f>+Rooms!BU875</f>
        <v>5.8089279141910755E-2</v>
      </c>
      <c r="CA297" s="1195">
        <f>+Rooms!BV875</f>
        <v>4.5884467265725259E-2</v>
      </c>
      <c r="CB297" s="1195">
        <f>+Rooms!BW875</f>
        <v>0.1117301781473905</v>
      </c>
      <c r="CC297" s="1195">
        <f>+Rooms!BX875</f>
        <v>9.9440501213432064E-2</v>
      </c>
      <c r="CD297" s="1804">
        <f>+Rooms!BY875</f>
        <v>0.10639143700493947</v>
      </c>
      <c r="CE297" s="1279">
        <f>+Rooms!BZ875</f>
        <v>0.10639143700493947</v>
      </c>
      <c r="CF297" s="1195">
        <f>+Rooms!CA875</f>
        <v>7.1158547961077234E-2</v>
      </c>
      <c r="CG297" s="1195">
        <f>+Rooms!CB875</f>
        <v>2.6472981469837675E-2</v>
      </c>
      <c r="CH297" s="1195">
        <f>+Rooms!CC875</f>
        <v>4.0101963536952612E-2</v>
      </c>
      <c r="CI297" s="1804">
        <f>+Rooms!CD875</f>
        <v>2.9203046962020807E-2</v>
      </c>
      <c r="CJ297" s="1279">
        <f>+Rooms!CE875</f>
        <v>2.9203046962020807E-2</v>
      </c>
      <c r="CK297" s="1195">
        <f>+Rooms!CF875</f>
        <v>5.6210468420570203E-2</v>
      </c>
      <c r="CL297" s="1195">
        <f>+Rooms!CG875</f>
        <v>5.3553251479583119E-2</v>
      </c>
      <c r="CM297" s="1195">
        <f>+Rooms!CH875</f>
        <v>3.9825602045890474E-2</v>
      </c>
      <c r="CN297" s="1804">
        <f>+Rooms!CI875</f>
        <v>1.3669125027274709</v>
      </c>
      <c r="CO297" s="1279">
        <f>+Rooms!CJ875</f>
        <v>1.3669125027274709</v>
      </c>
      <c r="CP297" s="1195">
        <f>+Rooms!CK875</f>
        <v>1.3679766016906494</v>
      </c>
      <c r="CQ297" s="1195">
        <f>+Rooms!CL875</f>
        <v>1.3633246691063308</v>
      </c>
      <c r="CR297" s="1195">
        <f>+Rooms!CM875</f>
        <v>1.383386990717415</v>
      </c>
      <c r="CS297" s="1195">
        <f>+Rooms!CN875</f>
        <v>5.0013090501458413E-2</v>
      </c>
      <c r="CT297" s="1279">
        <f>+Rooms!CO875</f>
        <v>5.0013090501458413E-2</v>
      </c>
      <c r="CU297" s="1195">
        <f>+Rooms!CP875</f>
        <v>0.05</v>
      </c>
      <c r="CV297" s="1195">
        <f>+Rooms!CQ875</f>
        <v>0.06</v>
      </c>
      <c r="CW297" s="1195">
        <f>+Rooms!CR875</f>
        <v>0.06</v>
      </c>
      <c r="CX297" s="1195">
        <f>+Rooms!CS875</f>
        <v>0.06</v>
      </c>
      <c r="CY297" s="1279">
        <f>+Rooms!CT875</f>
        <v>5.9901177164690456E-2</v>
      </c>
      <c r="CZ297" s="1279">
        <f>+Rooms!CU875</f>
        <v>5.5E-2</v>
      </c>
      <c r="DA297" s="1279">
        <f>+Rooms!CV875</f>
        <v>0.02</v>
      </c>
      <c r="DB297"/>
      <c r="DC297"/>
      <c r="DD297" s="1675" t="s">
        <v>1034</v>
      </c>
      <c r="DE297" s="1279">
        <f>M297</f>
        <v>0</v>
      </c>
      <c r="DF297" s="1279">
        <f>R297</f>
        <v>0</v>
      </c>
      <c r="DG297" s="1279">
        <f>W297</f>
        <v>4.5671858022455547E-2</v>
      </c>
      <c r="DH297" s="1279">
        <f>AB297</f>
        <v>5.789546603858553E-2</v>
      </c>
      <c r="DI297" s="1279">
        <f>AG297</f>
        <v>8.0707211262993628E-3</v>
      </c>
      <c r="DJ297" s="1279">
        <f>AL297</f>
        <v>0.14485692942284589</v>
      </c>
      <c r="DK297" s="1279">
        <f>AQ297</f>
        <v>5.473914153593018E-2</v>
      </c>
      <c r="DL297" s="1279">
        <f>AV297</f>
        <v>4.526809849778779E-2</v>
      </c>
      <c r="DM297" s="1279">
        <f>BA297</f>
        <v>3.6359893467827975E-2</v>
      </c>
      <c r="DN297" s="1279">
        <f>BF297</f>
        <v>7.3843250692125384E-2</v>
      </c>
      <c r="DO297" s="1279">
        <f>BK297</f>
        <v>1.7653791460975565E-2</v>
      </c>
      <c r="DP297" s="1279">
        <f>BP297</f>
        <v>5.8768063255475678E-2</v>
      </c>
      <c r="DQ297" s="1279">
        <f>BU297</f>
        <v>2.0365462407588186E-2</v>
      </c>
      <c r="DR297" s="1279">
        <f>BZ297</f>
        <v>5.8089279141910755E-2</v>
      </c>
      <c r="DS297" s="1279">
        <f>CE297</f>
        <v>0.10639143700493947</v>
      </c>
      <c r="DT297" s="1279">
        <f>CJ297</f>
        <v>2.9203046962020807E-2</v>
      </c>
      <c r="DU297" s="1279">
        <f>CO297</f>
        <v>1.3669125027274709</v>
      </c>
      <c r="DV297" s="1279">
        <f>CT297</f>
        <v>5.0013090501458413E-2</v>
      </c>
      <c r="DW297" s="1279">
        <f t="shared" si="731"/>
        <v>5.9901177164690456E-2</v>
      </c>
      <c r="DX297" s="1279">
        <f t="shared" si="731"/>
        <v>5.5E-2</v>
      </c>
      <c r="DY297" s="1279">
        <f t="shared" si="731"/>
        <v>0.02</v>
      </c>
      <c r="EA297"/>
      <c r="EB297"/>
      <c r="EC297"/>
      <c r="ED297"/>
      <c r="EE297"/>
      <c r="EF297"/>
      <c r="EJ297"/>
      <c r="EK297"/>
      <c r="EL297"/>
      <c r="ER297" s="212"/>
    </row>
    <row r="298" spans="1:148" x14ac:dyDescent="0.2">
      <c r="A298" s="1675"/>
      <c r="B298" s="874"/>
      <c r="C298" s="874"/>
      <c r="D298" s="874"/>
      <c r="E298" s="874"/>
      <c r="F298" s="874"/>
      <c r="G298" s="874"/>
      <c r="H298" s="874"/>
      <c r="I298" s="874"/>
      <c r="J298" s="874"/>
      <c r="K298" s="874"/>
      <c r="L298" s="874"/>
      <c r="M298" s="1042"/>
      <c r="N298" s="874"/>
      <c r="O298" s="874"/>
      <c r="P298" s="874"/>
      <c r="Q298" s="874"/>
      <c r="R298" s="1042"/>
      <c r="S298" s="874"/>
      <c r="T298" s="874"/>
      <c r="U298" s="874"/>
      <c r="V298" s="874"/>
      <c r="W298" s="1042"/>
      <c r="X298" s="874"/>
      <c r="Y298" s="874"/>
      <c r="Z298" s="874"/>
      <c r="AA298" s="874"/>
      <c r="AB298" s="1042"/>
      <c r="AC298" s="874"/>
      <c r="AD298" s="874"/>
      <c r="AE298" s="874"/>
      <c r="AF298" s="874"/>
      <c r="AG298" s="1042"/>
      <c r="AH298" s="874"/>
      <c r="AI298" s="874"/>
      <c r="AJ298" s="874"/>
      <c r="AK298" s="874"/>
      <c r="AL298" s="1042"/>
      <c r="AM298" s="874"/>
      <c r="AN298" s="874"/>
      <c r="AO298" s="874"/>
      <c r="AP298" s="874"/>
      <c r="AQ298" s="1042"/>
      <c r="AR298" s="874"/>
      <c r="AS298" s="874"/>
      <c r="AT298" s="874"/>
      <c r="AU298" s="874"/>
      <c r="AV298" s="1042"/>
      <c r="AW298" s="874"/>
      <c r="AX298" s="874"/>
      <c r="AY298" s="874"/>
      <c r="AZ298" s="874"/>
      <c r="BA298" s="1042"/>
      <c r="BB298" s="874"/>
      <c r="BC298" s="874"/>
      <c r="BD298" s="874"/>
      <c r="BE298" s="874"/>
      <c r="BF298" s="1042"/>
      <c r="BG298" s="874"/>
      <c r="BH298" s="874"/>
      <c r="BI298" s="874"/>
      <c r="BJ298" s="874"/>
      <c r="BK298" s="1042"/>
      <c r="BL298" s="874"/>
      <c r="BM298" s="874"/>
      <c r="BN298" s="874"/>
      <c r="BO298" s="874"/>
      <c r="BP298" s="1042"/>
      <c r="BQ298" s="874"/>
      <c r="BR298" s="874"/>
      <c r="BS298" s="874"/>
      <c r="BT298" s="874"/>
      <c r="BU298" s="1042"/>
      <c r="BV298" s="874"/>
      <c r="BW298" s="874"/>
      <c r="BX298" s="874"/>
      <c r="BY298" s="874"/>
      <c r="BZ298" s="1042"/>
      <c r="CA298" s="874"/>
      <c r="CB298" s="874"/>
      <c r="CC298" s="874"/>
      <c r="CD298" s="1603"/>
      <c r="CE298" s="1042"/>
      <c r="CF298" s="874"/>
      <c r="CG298" s="874"/>
      <c r="CH298" s="874"/>
      <c r="CI298" s="1603"/>
      <c r="CJ298" s="1042"/>
      <c r="CK298" s="874"/>
      <c r="CL298" s="874"/>
      <c r="CM298" s="874"/>
      <c r="CN298" s="1603"/>
      <c r="CO298" s="1042"/>
      <c r="CP298" s="874"/>
      <c r="CQ298" s="874"/>
      <c r="CR298" s="874"/>
      <c r="CS298" s="874"/>
      <c r="CT298" s="1042"/>
      <c r="CU298" s="874"/>
      <c r="CV298" s="874"/>
      <c r="CW298" s="874"/>
      <c r="CX298" s="874"/>
      <c r="CY298" s="1042"/>
      <c r="CZ298" s="1042"/>
      <c r="DA298" s="1042"/>
      <c r="DD298" s="1675"/>
      <c r="DE298" s="1042"/>
      <c r="DF298" s="1042"/>
      <c r="DG298" s="1042"/>
      <c r="DH298" s="1042"/>
      <c r="DI298" s="1042"/>
      <c r="DJ298" s="1042"/>
      <c r="DK298" s="1042"/>
      <c r="DL298" s="1042"/>
      <c r="DM298" s="1042"/>
      <c r="DN298" s="1042"/>
      <c r="DO298" s="1042"/>
      <c r="DP298" s="1042"/>
      <c r="DQ298" s="1042"/>
      <c r="DR298" s="1042"/>
      <c r="DS298" s="1042"/>
      <c r="DT298" s="1042"/>
      <c r="DU298" s="1042"/>
      <c r="DV298" s="1042"/>
      <c r="DW298" s="1042"/>
      <c r="DX298" s="1042"/>
      <c r="DY298" s="1042"/>
      <c r="EK298"/>
      <c r="EL298"/>
    </row>
    <row r="299" spans="1:148" hidden="1" outlineLevel="1" x14ac:dyDescent="0.2">
      <c r="A299" s="1683" t="s">
        <v>2472</v>
      </c>
      <c r="B299" s="874"/>
      <c r="C299" s="874"/>
      <c r="D299" s="874"/>
      <c r="E299" s="874"/>
      <c r="F299" s="874"/>
      <c r="G299" s="874"/>
      <c r="H299" s="874"/>
      <c r="I299" s="874"/>
      <c r="J299" s="874"/>
      <c r="K299" s="874"/>
      <c r="L299" s="874"/>
      <c r="M299" s="1042"/>
      <c r="N299" s="874"/>
      <c r="O299" s="874"/>
      <c r="P299" s="874"/>
      <c r="Q299" s="874"/>
      <c r="R299" s="1042"/>
      <c r="S299" s="874"/>
      <c r="T299" s="874"/>
      <c r="U299" s="874"/>
      <c r="V299" s="874"/>
      <c r="W299" s="1042"/>
      <c r="X299" s="874"/>
      <c r="Y299" s="874"/>
      <c r="Z299" s="874"/>
      <c r="AA299" s="874"/>
      <c r="AB299" s="1042"/>
      <c r="AC299" s="874"/>
      <c r="AD299" s="874"/>
      <c r="AE299" s="874"/>
      <c r="AF299" s="874"/>
      <c r="AG299" s="1042"/>
      <c r="AH299" s="874"/>
      <c r="AI299" s="874"/>
      <c r="AJ299" s="874"/>
      <c r="AK299" s="874"/>
      <c r="AL299" s="1042"/>
      <c r="AM299" s="874"/>
      <c r="AN299" s="874"/>
      <c r="AO299" s="874"/>
      <c r="AP299" s="874"/>
      <c r="AQ299" s="1042"/>
      <c r="AR299" s="874"/>
      <c r="AS299" s="874"/>
      <c r="AT299" s="874"/>
      <c r="AU299" s="874"/>
      <c r="AV299" s="1042"/>
      <c r="AW299" s="874"/>
      <c r="AX299" s="874"/>
      <c r="AY299" s="874"/>
      <c r="AZ299" s="874"/>
      <c r="BA299" s="1042"/>
      <c r="BB299" s="874"/>
      <c r="BC299" s="874"/>
      <c r="BD299" s="874"/>
      <c r="BE299" s="874"/>
      <c r="BF299" s="1042"/>
      <c r="BG299" s="874"/>
      <c r="BH299" s="874"/>
      <c r="BI299" s="874"/>
      <c r="BJ299" s="874"/>
      <c r="BK299" s="1042"/>
      <c r="BL299" s="874"/>
      <c r="BM299" s="874"/>
      <c r="BN299" s="874"/>
      <c r="BO299" s="874"/>
      <c r="BP299" s="1042"/>
      <c r="BQ299" s="874"/>
      <c r="BR299" s="874"/>
      <c r="BS299" s="874"/>
      <c r="BT299" s="874"/>
      <c r="BU299" s="1042"/>
      <c r="BV299" s="874"/>
      <c r="BW299" s="874"/>
      <c r="BX299" s="874"/>
      <c r="BY299" s="874"/>
      <c r="BZ299" s="1042"/>
      <c r="CA299" s="874"/>
      <c r="CB299" s="874"/>
      <c r="CC299" s="874"/>
      <c r="CD299" s="1603"/>
      <c r="CE299" s="1042"/>
      <c r="CF299" s="874"/>
      <c r="CG299" s="874"/>
      <c r="CH299" s="874"/>
      <c r="CI299" s="1603"/>
      <c r="CJ299" s="1042"/>
      <c r="CK299" s="874"/>
      <c r="CL299" s="874"/>
      <c r="CM299" s="874"/>
      <c r="CN299" s="1603"/>
      <c r="CO299" s="1042"/>
      <c r="CP299" s="874"/>
      <c r="CQ299" s="874"/>
      <c r="CR299" s="874"/>
      <c r="CS299" s="874"/>
      <c r="CT299" s="1042"/>
      <c r="CU299" s="874"/>
      <c r="CV299" s="874"/>
      <c r="CW299" s="874"/>
      <c r="CX299" s="874"/>
      <c r="CY299" s="1042"/>
      <c r="CZ299" s="1042"/>
      <c r="DA299" s="1042"/>
      <c r="DD299" s="1683" t="s">
        <v>373</v>
      </c>
      <c r="DE299" s="1042"/>
      <c r="DF299" s="1042"/>
      <c r="DG299" s="1042"/>
      <c r="DH299" s="1042"/>
      <c r="DI299" s="1042"/>
      <c r="DJ299" s="1042"/>
      <c r="DK299" s="1042"/>
      <c r="DL299" s="1042"/>
      <c r="DM299" s="1042"/>
      <c r="DN299" s="1042"/>
      <c r="DO299" s="1042"/>
      <c r="DP299" s="1042"/>
      <c r="DQ299" s="1042"/>
      <c r="DR299" s="1042"/>
      <c r="DS299" s="1042"/>
      <c r="DT299" s="1042"/>
      <c r="DU299" s="1042"/>
      <c r="DV299" s="1042"/>
      <c r="DW299" s="1042"/>
      <c r="DX299" s="1042"/>
      <c r="DY299" s="1042"/>
      <c r="EK299"/>
      <c r="EL299"/>
    </row>
    <row r="300" spans="1:148" hidden="1" outlineLevel="1" x14ac:dyDescent="0.2">
      <c r="A300" s="1682" t="s">
        <v>1929</v>
      </c>
      <c r="B300" s="885"/>
      <c r="C300" s="885"/>
      <c r="D300" s="885"/>
      <c r="E300" s="885"/>
      <c r="F300" s="885"/>
      <c r="G300" s="885"/>
      <c r="H300" s="885"/>
      <c r="I300" s="885"/>
      <c r="J300" s="885"/>
      <c r="K300" s="885"/>
      <c r="L300" s="885"/>
      <c r="M300" s="1044"/>
      <c r="N300" s="885"/>
      <c r="O300" s="885"/>
      <c r="P300" s="885"/>
      <c r="Q300" s="885"/>
      <c r="R300" s="1044"/>
      <c r="S300" s="885"/>
      <c r="T300" s="885"/>
      <c r="U300" s="885"/>
      <c r="V300" s="885"/>
      <c r="W300" s="1044"/>
      <c r="X300" s="885"/>
      <c r="Y300" s="885"/>
      <c r="Z300" s="885"/>
      <c r="AA300" s="885"/>
      <c r="AB300" s="1044"/>
      <c r="AC300" s="885"/>
      <c r="AD300" s="885"/>
      <c r="AE300" s="885"/>
      <c r="AF300" s="885"/>
      <c r="AG300" s="1044"/>
      <c r="AH300" s="885"/>
      <c r="AI300" s="885"/>
      <c r="AJ300" s="885"/>
      <c r="AK300" s="885"/>
      <c r="AL300" s="1044"/>
      <c r="AM300" s="885"/>
      <c r="AN300" s="885"/>
      <c r="AO300" s="885"/>
      <c r="AP300" s="885"/>
      <c r="AQ300" s="1044"/>
      <c r="AR300" s="885"/>
      <c r="AS300" s="885"/>
      <c r="AT300" s="885"/>
      <c r="AU300" s="885"/>
      <c r="AV300" s="1044"/>
      <c r="AW300" s="885"/>
      <c r="AX300" s="885"/>
      <c r="AY300" s="885"/>
      <c r="AZ300" s="885"/>
      <c r="BA300" s="1044"/>
      <c r="BB300" s="885">
        <f>+RevPAR!AU52</f>
        <v>-0.16933719463627031</v>
      </c>
      <c r="BC300" s="885">
        <f>+RevPAR!AV52</f>
        <v>-0.22610549196647317</v>
      </c>
      <c r="BD300" s="885">
        <f>+RevPAR!AW52</f>
        <v>-0.20205755432999983</v>
      </c>
      <c r="BE300" s="885">
        <f>+RevPAR!AX52</f>
        <v>-0.12779672480014967</v>
      </c>
      <c r="BF300" s="1044">
        <f>+RevPAR!AY52</f>
        <v>-0.17935525012444922</v>
      </c>
      <c r="BG300" s="885">
        <f>+RevPAR!AZ52</f>
        <v>-2.3530659257123995E-2</v>
      </c>
      <c r="BH300" s="885">
        <f>+RevPAR!BA52</f>
        <v>7.2785277487599304E-2</v>
      </c>
      <c r="BI300" s="885">
        <f>+RevPAR!BB52</f>
        <v>6.2139554503656401E-2</v>
      </c>
      <c r="BJ300" s="885">
        <f>+RevPAR!BC52</f>
        <v>6.0201111729011977E-2</v>
      </c>
      <c r="BK300" s="1044">
        <f>+RevPAR!BD52</f>
        <v>4.3925296516980739E-2</v>
      </c>
      <c r="BL300" s="885">
        <f>+RevPAR!BE52</f>
        <v>7.3717117474985702E-2</v>
      </c>
      <c r="BM300" s="885">
        <f>+RevPAR!BF52</f>
        <v>6.844765947709773E-2</v>
      </c>
      <c r="BN300" s="885">
        <f>+RevPAR!BG52</f>
        <v>7.5156073513218818E-2</v>
      </c>
      <c r="BO300" s="885">
        <f>+RevPAR!BH52</f>
        <v>7.4326877609191086E-2</v>
      </c>
      <c r="BP300" s="1044">
        <f>+RevPAR!BI52</f>
        <v>7.2875509004459743E-2</v>
      </c>
      <c r="BQ300" s="885">
        <f>+RevPAR!BJ52</f>
        <v>7.7095529419463002E-2</v>
      </c>
      <c r="BR300" s="885">
        <f>+RevPAR!BK52</f>
        <v>7.3436391627610079E-2</v>
      </c>
      <c r="BS300" s="885">
        <f>+RevPAR!BL52</f>
        <v>7.0665379622901384E-2</v>
      </c>
      <c r="BT300" s="885">
        <f>+RevPAR!BM52</f>
        <v>6.6348953793253299E-2</v>
      </c>
      <c r="BU300" s="1044">
        <f>+RevPAR!BN52</f>
        <v>7.1391668840104436E-2</v>
      </c>
      <c r="BV300" s="885">
        <f>+RevPAR!BO52</f>
        <v>6.657151493541566E-2</v>
      </c>
      <c r="BW300" s="885">
        <f>+RevPAR!BP52</f>
        <v>5.1690362435192254E-2</v>
      </c>
      <c r="BX300" s="885">
        <f>+RevPAR!BQ52</f>
        <v>5.4469429568541929E-2</v>
      </c>
      <c r="BY300" s="885">
        <f>+RevPAR!BR52</f>
        <v>2.5444166327453995E-2</v>
      </c>
      <c r="BZ300" s="1044">
        <f>+RevPAR!BS52</f>
        <v>5.1386117826483682E-2</v>
      </c>
      <c r="CA300" s="885">
        <f>+RevPAR!BT52</f>
        <v>5.8585214714253958E-2</v>
      </c>
      <c r="CB300" s="885">
        <f>+RevPAR!BU52</f>
        <v>5.9073363124311253E-2</v>
      </c>
      <c r="CC300" s="885">
        <f>+RevPAR!BV52</f>
        <v>8.8115579493632343E-2</v>
      </c>
      <c r="CD300" s="1640">
        <f>+RevPAR!BW52</f>
        <v>6.7468447384915822E-2</v>
      </c>
      <c r="CE300" s="1044">
        <f>+RevPAR!BX52</f>
        <v>6.8334686217032217E-2</v>
      </c>
      <c r="CF300" s="885">
        <f>+RevPAR!BY52</f>
        <v>5.4074287052217958E-2</v>
      </c>
      <c r="CG300" s="885">
        <f>+RevPAR!BZ52</f>
        <v>4.9956674123866937E-2</v>
      </c>
      <c r="CH300" s="885">
        <f>+RevPAR!CA52</f>
        <v>4.096736237033885E-2</v>
      </c>
      <c r="CI300" s="1640">
        <f>+RevPAR!CB52</f>
        <v>2.8803778452303336E-2</v>
      </c>
      <c r="CJ300" s="1044">
        <f>+RevPAR!CC52</f>
        <v>4.3263856337640863E-2</v>
      </c>
      <c r="CK300" s="885">
        <f>+RevPAR!CD52</f>
        <v>1.7598298902993394E-2</v>
      </c>
      <c r="CL300" s="885">
        <f>+RevPAR!CE52</f>
        <v>2.0411606614050969E-2</v>
      </c>
      <c r="CM300" s="885">
        <f>+RevPAR!CF52</f>
        <v>5.5214252518077829E-3</v>
      </c>
      <c r="CN300" s="1640"/>
      <c r="CO300" s="1044"/>
      <c r="CP300" s="885"/>
      <c r="CQ300" s="885"/>
      <c r="CR300" s="885"/>
      <c r="CS300" s="885"/>
      <c r="CT300" s="1044"/>
      <c r="CU300" s="885"/>
      <c r="CV300" s="885"/>
      <c r="CW300" s="885"/>
      <c r="CX300" s="885"/>
      <c r="CY300" s="1044"/>
      <c r="CZ300" s="1044"/>
      <c r="DA300" s="1044"/>
      <c r="DD300" s="2337" t="s">
        <v>1929</v>
      </c>
      <c r="DE300" s="1044">
        <f>M300</f>
        <v>0</v>
      </c>
      <c r="DF300" s="1044">
        <f>R300</f>
        <v>0</v>
      </c>
      <c r="DG300" s="1044">
        <f>W300</f>
        <v>0</v>
      </c>
      <c r="DH300" s="1044">
        <f>AB300</f>
        <v>0</v>
      </c>
      <c r="DI300" s="1044">
        <f>AG300</f>
        <v>0</v>
      </c>
      <c r="DJ300" s="1044">
        <f>AL300</f>
        <v>0</v>
      </c>
      <c r="DK300" s="1044">
        <f>AQ300</f>
        <v>0</v>
      </c>
      <c r="DL300" s="1044">
        <f>AV300</f>
        <v>0</v>
      </c>
      <c r="DM300" s="1044">
        <f>BA300</f>
        <v>0</v>
      </c>
      <c r="DN300" s="1044">
        <f>BF300</f>
        <v>-0.17935525012444922</v>
      </c>
      <c r="DO300" s="1044">
        <f>BK300</f>
        <v>4.3925296516980739E-2</v>
      </c>
      <c r="DP300" s="1044">
        <f>BP300</f>
        <v>7.2875509004459743E-2</v>
      </c>
      <c r="DQ300" s="1044">
        <f>BU300</f>
        <v>7.1391668840104436E-2</v>
      </c>
      <c r="DR300" s="1044">
        <f>BZ300</f>
        <v>5.1386117826483682E-2</v>
      </c>
      <c r="DS300" s="1044">
        <f>CE300</f>
        <v>6.8334686217032217E-2</v>
      </c>
      <c r="DT300" s="1044">
        <f>CJ300</f>
        <v>4.3263856337640863E-2</v>
      </c>
      <c r="DU300" s="1044">
        <f>CO300</f>
        <v>0</v>
      </c>
      <c r="DV300" s="1044">
        <f>CT300</f>
        <v>0</v>
      </c>
      <c r="DW300" s="1044">
        <f t="shared" ref="DW300:DY301" si="732">CY300</f>
        <v>0</v>
      </c>
      <c r="DX300" s="1044">
        <f t="shared" si="732"/>
        <v>0</v>
      </c>
      <c r="DY300" s="1044">
        <f t="shared" si="732"/>
        <v>0</v>
      </c>
      <c r="EK300"/>
      <c r="EL300"/>
    </row>
    <row r="301" spans="1:148" hidden="1" outlineLevel="1" x14ac:dyDescent="0.2">
      <c r="A301" s="1682" t="s">
        <v>1035</v>
      </c>
      <c r="B301" s="885"/>
      <c r="C301" s="885"/>
      <c r="D301" s="885"/>
      <c r="E301" s="885"/>
      <c r="F301" s="885"/>
      <c r="G301" s="885"/>
      <c r="H301" s="885"/>
      <c r="I301" s="885"/>
      <c r="J301" s="885"/>
      <c r="K301" s="885"/>
      <c r="L301" s="885"/>
      <c r="M301" s="1044"/>
      <c r="N301" s="885"/>
      <c r="O301" s="885"/>
      <c r="P301" s="885"/>
      <c r="Q301" s="885"/>
      <c r="R301" s="1044"/>
      <c r="S301" s="885"/>
      <c r="T301" s="885"/>
      <c r="U301" s="885"/>
      <c r="V301" s="885"/>
      <c r="W301" s="1044"/>
      <c r="X301" s="885"/>
      <c r="Y301" s="885"/>
      <c r="Z301" s="885"/>
      <c r="AA301" s="885"/>
      <c r="AB301" s="1044"/>
      <c r="AC301" s="885"/>
      <c r="AD301" s="885"/>
      <c r="AE301" s="885"/>
      <c r="AF301" s="885"/>
      <c r="AG301" s="1044"/>
      <c r="AH301" s="885"/>
      <c r="AI301" s="885"/>
      <c r="AJ301" s="885"/>
      <c r="AK301" s="885"/>
      <c r="AL301" s="1044"/>
      <c r="AM301" s="885"/>
      <c r="AN301" s="885"/>
      <c r="AO301" s="885"/>
      <c r="AP301" s="885"/>
      <c r="AQ301" s="1044"/>
      <c r="AR301" s="885"/>
      <c r="AS301" s="885"/>
      <c r="AT301" s="885"/>
      <c r="AU301" s="885"/>
      <c r="AV301" s="1044"/>
      <c r="AW301" s="885"/>
      <c r="AX301" s="885"/>
      <c r="AY301" s="885"/>
      <c r="AZ301" s="885"/>
      <c r="BA301" s="1044"/>
      <c r="BB301" s="885">
        <f>+RevPAR!AU53</f>
        <v>-0.24400922004310288</v>
      </c>
      <c r="BC301" s="885">
        <f>+RevPAR!AV53</f>
        <v>-0.28398451980228834</v>
      </c>
      <c r="BD301" s="885">
        <f>+RevPAR!AW53</f>
        <v>-0.28872819585745324</v>
      </c>
      <c r="BE301" s="885">
        <f>+RevPAR!AX53</f>
        <v>-0.11120613536212487</v>
      </c>
      <c r="BF301" s="1044">
        <f>+RevPAR!AY53</f>
        <v>-0.23561880751343722</v>
      </c>
      <c r="BG301" s="885">
        <f>+RevPAR!AZ53</f>
        <v>1.3916632040042121E-2</v>
      </c>
      <c r="BH301" s="885">
        <f>+RevPAR!BA53</f>
        <v>0.12962708340661133</v>
      </c>
      <c r="BI301" s="885">
        <f>+RevPAR!BB53</f>
        <v>8.5560832202623116E-2</v>
      </c>
      <c r="BJ301" s="885">
        <f>+RevPAR!BC53</f>
        <v>7.6472040279517595E-2</v>
      </c>
      <c r="BK301" s="1044">
        <f>+RevPAR!BD53</f>
        <v>7.6709430811526813E-2</v>
      </c>
      <c r="BL301" s="885">
        <f>+RevPAR!BE53</f>
        <v>5.6015485422537425E-2</v>
      </c>
      <c r="BM301" s="885">
        <f>+RevPAR!BF53</f>
        <v>0.1156075606572502</v>
      </c>
      <c r="BN301" s="885">
        <f>+RevPAR!BG53</f>
        <v>0.11188849001499435</v>
      </c>
      <c r="BO301" s="885">
        <f>+RevPAR!BH53</f>
        <v>5.2100737925700136E-2</v>
      </c>
      <c r="BP301" s="1044">
        <f>+RevPAR!BI53</f>
        <v>8.4119297737275556E-2</v>
      </c>
      <c r="BQ301" s="885">
        <f>+RevPAR!BJ53</f>
        <v>8.5173463028362928E-3</v>
      </c>
      <c r="BR301" s="885">
        <f>+RevPAR!BK53</f>
        <v>-2.0742204469527348E-2</v>
      </c>
      <c r="BS301" s="885">
        <f>+RevPAR!BL53</f>
        <v>-4.0069911203387765E-2</v>
      </c>
      <c r="BT301" s="885">
        <f>+RevPAR!BM53</f>
        <v>-2.4503021479060361E-2</v>
      </c>
      <c r="BU301" s="1044">
        <f>+RevPAR!BN53</f>
        <v>-2.0105325746568647E-2</v>
      </c>
      <c r="BV301" s="885">
        <f>+RevPAR!BO53</f>
        <v>0.12680237489397816</v>
      </c>
      <c r="BW301" s="885">
        <f>+RevPAR!BP53</f>
        <v>2.3432641754763006E-2</v>
      </c>
      <c r="BX301" s="885">
        <f>+RevPAR!BQ53</f>
        <v>4.5624495088355532E-2</v>
      </c>
      <c r="BY301" s="885">
        <f>+RevPAR!BR53</f>
        <v>4.2165169330725075E-2</v>
      </c>
      <c r="BZ301" s="1044">
        <f>+RevPAR!BS53</f>
        <v>6.1676203436584975E-2</v>
      </c>
      <c r="CA301" s="885">
        <f>+RevPAR!BT53</f>
        <v>4.2566315882085481E-2</v>
      </c>
      <c r="CB301" s="885">
        <f>+RevPAR!BU53</f>
        <v>5.3703243387558386E-2</v>
      </c>
      <c r="CC301" s="885">
        <f>+RevPAR!BV53</f>
        <v>7.4407497551105983E-2</v>
      </c>
      <c r="CD301" s="1640">
        <f>+RevPAR!BW53</f>
        <v>0.15275715779258975</v>
      </c>
      <c r="CE301" s="1044">
        <f>+RevPAR!BX53</f>
        <v>4.8049326678190285E-2</v>
      </c>
      <c r="CF301" s="885">
        <f>+RevPAR!BY53</f>
        <v>-2.7499606184035907E-2</v>
      </c>
      <c r="CG301" s="885">
        <f>+RevPAR!BZ53</f>
        <v>-8.03956979627094E-2</v>
      </c>
      <c r="CH301" s="885">
        <f>+RevPAR!CA53</f>
        <v>-7.6885541370996902E-2</v>
      </c>
      <c r="CI301" s="1640">
        <f>+RevPAR!CB53</f>
        <v>-7.2321786014943212E-2</v>
      </c>
      <c r="CJ301" s="1044">
        <f>+RevPAR!CC53</f>
        <v>-6.4756543436640279E-2</v>
      </c>
      <c r="CK301" s="885">
        <f>+RevPAR!CD53</f>
        <v>-0.10518278955847066</v>
      </c>
      <c r="CL301" s="885">
        <f>+RevPAR!CE53</f>
        <v>-7.3175550909931844E-2</v>
      </c>
      <c r="CM301" s="885">
        <f>+RevPAR!CF53</f>
        <v>-5.9001190227970568E-2</v>
      </c>
      <c r="CN301" s="1640"/>
      <c r="CO301" s="1044"/>
      <c r="CP301" s="885"/>
      <c r="CQ301" s="885"/>
      <c r="CR301" s="885"/>
      <c r="CS301" s="885"/>
      <c r="CT301" s="1044"/>
      <c r="CU301" s="885"/>
      <c r="CV301" s="885"/>
      <c r="CW301" s="885"/>
      <c r="CX301" s="885"/>
      <c r="CY301" s="1044"/>
      <c r="CZ301" s="1044"/>
      <c r="DA301" s="1044"/>
      <c r="DD301" s="2337" t="s">
        <v>1035</v>
      </c>
      <c r="DE301" s="1044">
        <f>M301</f>
        <v>0</v>
      </c>
      <c r="DF301" s="1044">
        <f>R301</f>
        <v>0</v>
      </c>
      <c r="DG301" s="1044">
        <f>W301</f>
        <v>0</v>
      </c>
      <c r="DH301" s="1044">
        <f>AB301</f>
        <v>0</v>
      </c>
      <c r="DI301" s="1044">
        <f>AG301</f>
        <v>0</v>
      </c>
      <c r="DJ301" s="1044">
        <f>AL301</f>
        <v>0</v>
      </c>
      <c r="DK301" s="1044">
        <f>AQ301</f>
        <v>0</v>
      </c>
      <c r="DL301" s="1044">
        <f>AV301</f>
        <v>0</v>
      </c>
      <c r="DM301" s="1044">
        <f>BA301</f>
        <v>0</v>
      </c>
      <c r="DN301" s="1044">
        <f>BF301</f>
        <v>-0.23561880751343722</v>
      </c>
      <c r="DO301" s="1044">
        <f>BK301</f>
        <v>7.6709430811526813E-2</v>
      </c>
      <c r="DP301" s="1044">
        <f>BP301</f>
        <v>8.4119297737275556E-2</v>
      </c>
      <c r="DQ301" s="1044">
        <f>BU301</f>
        <v>-2.0105325746568647E-2</v>
      </c>
      <c r="DR301" s="1044">
        <f>BZ301</f>
        <v>6.1676203436584975E-2</v>
      </c>
      <c r="DS301" s="1044">
        <f>CE301</f>
        <v>4.8049326678190285E-2</v>
      </c>
      <c r="DT301" s="1044">
        <f>CJ301</f>
        <v>-6.4756543436640279E-2</v>
      </c>
      <c r="DU301" s="1044">
        <f>CO301</f>
        <v>0</v>
      </c>
      <c r="DV301" s="1044">
        <f>CT301</f>
        <v>0</v>
      </c>
      <c r="DW301" s="1044">
        <f t="shared" si="732"/>
        <v>0</v>
      </c>
      <c r="DX301" s="1044">
        <f t="shared" si="732"/>
        <v>0</v>
      </c>
      <c r="DY301" s="1044">
        <f t="shared" si="732"/>
        <v>0</v>
      </c>
      <c r="EK301"/>
      <c r="EL301"/>
    </row>
    <row r="302" spans="1:148" hidden="1" outlineLevel="1" x14ac:dyDescent="0.2">
      <c r="A302" s="1675"/>
      <c r="B302" s="874"/>
      <c r="C302" s="874"/>
      <c r="D302" s="874"/>
      <c r="E302" s="874"/>
      <c r="F302" s="874"/>
      <c r="G302" s="874"/>
      <c r="H302" s="874"/>
      <c r="I302" s="874"/>
      <c r="J302" s="874"/>
      <c r="K302" s="874"/>
      <c r="L302" s="874"/>
      <c r="M302" s="1042"/>
      <c r="N302" s="874"/>
      <c r="O302" s="874"/>
      <c r="P302" s="874"/>
      <c r="Q302" s="874"/>
      <c r="R302" s="1042"/>
      <c r="S302" s="874"/>
      <c r="T302" s="874"/>
      <c r="U302" s="874"/>
      <c r="V302" s="874"/>
      <c r="W302" s="1042"/>
      <c r="X302" s="874"/>
      <c r="Y302" s="874"/>
      <c r="Z302" s="874"/>
      <c r="AA302" s="874"/>
      <c r="AB302" s="1042"/>
      <c r="AC302" s="874"/>
      <c r="AD302" s="874"/>
      <c r="AE302" s="874"/>
      <c r="AF302" s="874"/>
      <c r="AG302" s="1042"/>
      <c r="AH302" s="874"/>
      <c r="AI302" s="874"/>
      <c r="AJ302" s="874"/>
      <c r="AK302" s="874"/>
      <c r="AL302" s="1042"/>
      <c r="AM302" s="874"/>
      <c r="AN302" s="874"/>
      <c r="AO302" s="874"/>
      <c r="AP302" s="874"/>
      <c r="AQ302" s="1042"/>
      <c r="AR302" s="874"/>
      <c r="AS302" s="874"/>
      <c r="AT302" s="874"/>
      <c r="AU302" s="874"/>
      <c r="AV302" s="1042"/>
      <c r="AW302" s="874"/>
      <c r="AX302" s="874"/>
      <c r="AY302" s="874"/>
      <c r="AZ302" s="874"/>
      <c r="BA302" s="1042"/>
      <c r="BB302" s="874"/>
      <c r="BC302" s="874"/>
      <c r="BD302" s="874"/>
      <c r="BE302" s="874"/>
      <c r="BF302" s="1042"/>
      <c r="BG302" s="874"/>
      <c r="BH302" s="874"/>
      <c r="BI302" s="874"/>
      <c r="BJ302" s="874"/>
      <c r="BK302" s="1042"/>
      <c r="BL302" s="874"/>
      <c r="BM302" s="874"/>
      <c r="BN302" s="874"/>
      <c r="BO302" s="874"/>
      <c r="BP302" s="1042"/>
      <c r="BQ302" s="874"/>
      <c r="BR302" s="874"/>
      <c r="BS302" s="874"/>
      <c r="BT302" s="874"/>
      <c r="BU302" s="1042"/>
      <c r="BV302" s="874"/>
      <c r="BW302" s="874"/>
      <c r="BX302" s="874"/>
      <c r="BY302" s="874"/>
      <c r="BZ302" s="1042"/>
      <c r="CA302" s="874"/>
      <c r="CB302" s="874"/>
      <c r="CC302" s="874"/>
      <c r="CD302" s="1603"/>
      <c r="CE302" s="1042"/>
      <c r="CF302" s="874"/>
      <c r="CG302" s="874"/>
      <c r="CH302" s="874"/>
      <c r="CI302" s="1603"/>
      <c r="CJ302" s="1042"/>
      <c r="CK302" s="874"/>
      <c r="CL302" s="874"/>
      <c r="CM302" s="874"/>
      <c r="CN302" s="1603"/>
      <c r="CO302" s="1042"/>
      <c r="CP302" s="874"/>
      <c r="CQ302" s="874"/>
      <c r="CR302" s="874"/>
      <c r="CS302" s="874"/>
      <c r="CT302" s="1042"/>
      <c r="CU302" s="874"/>
      <c r="CV302" s="874"/>
      <c r="CW302" s="874"/>
      <c r="CX302" s="874"/>
      <c r="CY302" s="1042"/>
      <c r="CZ302" s="1042"/>
      <c r="DA302" s="1042"/>
      <c r="DD302" s="1675"/>
      <c r="DE302" s="1042"/>
      <c r="DF302" s="1042"/>
      <c r="DG302" s="1042"/>
      <c r="DH302" s="1042"/>
      <c r="DI302" s="1042"/>
      <c r="DJ302" s="1042"/>
      <c r="DK302" s="1042"/>
      <c r="DL302" s="1042"/>
      <c r="DM302" s="1042"/>
      <c r="DN302" s="1042"/>
      <c r="DO302" s="1042"/>
      <c r="DP302" s="1042"/>
      <c r="DQ302" s="1042"/>
      <c r="DR302" s="1042"/>
      <c r="DS302" s="1042"/>
      <c r="DT302" s="1042"/>
      <c r="DU302" s="1042"/>
      <c r="DV302" s="1042"/>
      <c r="DW302" s="1042"/>
      <c r="DX302" s="1042"/>
      <c r="DY302" s="1042"/>
      <c r="EK302"/>
      <c r="EL302"/>
    </row>
    <row r="303" spans="1:148" hidden="1" outlineLevel="1" x14ac:dyDescent="0.2">
      <c r="A303" s="1683" t="s">
        <v>777</v>
      </c>
      <c r="B303" s="874"/>
      <c r="C303" s="874"/>
      <c r="D303" s="874"/>
      <c r="E303" s="874"/>
      <c r="F303" s="874"/>
      <c r="G303" s="874"/>
      <c r="H303" s="874"/>
      <c r="I303" s="874"/>
      <c r="J303" s="874"/>
      <c r="K303" s="874"/>
      <c r="L303" s="874"/>
      <c r="M303" s="1042"/>
      <c r="N303" s="874"/>
      <c r="O303" s="874"/>
      <c r="P303" s="874"/>
      <c r="Q303" s="874"/>
      <c r="R303" s="1042"/>
      <c r="S303" s="874"/>
      <c r="T303" s="874"/>
      <c r="U303" s="874"/>
      <c r="V303" s="874"/>
      <c r="W303" s="1042"/>
      <c r="X303" s="874"/>
      <c r="Y303" s="874"/>
      <c r="Z303" s="874"/>
      <c r="AA303" s="874"/>
      <c r="AB303" s="1042"/>
      <c r="AC303" s="874"/>
      <c r="AD303" s="874"/>
      <c r="AE303" s="874"/>
      <c r="AF303" s="874"/>
      <c r="AG303" s="1042"/>
      <c r="AH303" s="874"/>
      <c r="AI303" s="874"/>
      <c r="AJ303" s="874"/>
      <c r="AK303" s="874"/>
      <c r="AL303" s="1042"/>
      <c r="AM303" s="874"/>
      <c r="AN303" s="874"/>
      <c r="AO303" s="874"/>
      <c r="AP303" s="874"/>
      <c r="AQ303" s="1042"/>
      <c r="AR303" s="874"/>
      <c r="AS303" s="874"/>
      <c r="AT303" s="874"/>
      <c r="AU303" s="874"/>
      <c r="AV303" s="1042"/>
      <c r="AW303" s="874"/>
      <c r="AX303" s="874"/>
      <c r="AY303" s="874"/>
      <c r="AZ303" s="874"/>
      <c r="BA303" s="1042"/>
      <c r="BB303" s="874"/>
      <c r="BC303" s="874"/>
      <c r="BD303" s="874"/>
      <c r="BE303" s="874"/>
      <c r="BF303" s="1042"/>
      <c r="BG303" s="874"/>
      <c r="BH303" s="874"/>
      <c r="BI303" s="874"/>
      <c r="BJ303" s="874"/>
      <c r="BK303" s="1042"/>
      <c r="BL303" s="874"/>
      <c r="BM303" s="874"/>
      <c r="BN303" s="874"/>
      <c r="BO303" s="874"/>
      <c r="BP303" s="1042"/>
      <c r="BQ303" s="874"/>
      <c r="BR303" s="874"/>
      <c r="BS303" s="874"/>
      <c r="BT303" s="874"/>
      <c r="BU303" s="1042"/>
      <c r="BV303" s="874"/>
      <c r="BW303" s="874"/>
      <c r="BX303" s="874"/>
      <c r="BY303" s="874"/>
      <c r="BZ303" s="1042"/>
      <c r="CA303" s="874"/>
      <c r="CB303" s="874"/>
      <c r="CC303" s="874"/>
      <c r="CD303" s="1603"/>
      <c r="CE303" s="1042"/>
      <c r="CF303" s="874"/>
      <c r="CG303" s="874"/>
      <c r="CH303" s="874"/>
      <c r="CI303" s="1603"/>
      <c r="CJ303" s="1042"/>
      <c r="CK303" s="874"/>
      <c r="CL303" s="874"/>
      <c r="CM303" s="874"/>
      <c r="CN303" s="1603"/>
      <c r="CO303" s="1042"/>
      <c r="CP303" s="874"/>
      <c r="CQ303" s="874"/>
      <c r="CR303" s="874"/>
      <c r="CS303" s="874"/>
      <c r="CT303" s="1042"/>
      <c r="CU303" s="874"/>
      <c r="CV303" s="874"/>
      <c r="CW303" s="874"/>
      <c r="CX303" s="874"/>
      <c r="CY303" s="1042"/>
      <c r="CZ303" s="1042"/>
      <c r="DA303" s="1042"/>
      <c r="DD303" s="1683" t="s">
        <v>777</v>
      </c>
      <c r="DE303" s="1042"/>
      <c r="DF303" s="1042"/>
      <c r="DG303" s="1042"/>
      <c r="DH303" s="1042"/>
      <c r="DI303" s="1042"/>
      <c r="DJ303" s="1042"/>
      <c r="DK303" s="1042"/>
      <c r="DL303" s="1042"/>
      <c r="DM303" s="1042"/>
      <c r="DN303" s="1042"/>
      <c r="DO303" s="1042"/>
      <c r="DP303" s="1042"/>
      <c r="DQ303" s="1042"/>
      <c r="DR303" s="1042"/>
      <c r="DS303" s="1042"/>
      <c r="DT303" s="1042"/>
      <c r="DU303" s="1042"/>
      <c r="DV303" s="1042"/>
      <c r="DW303" s="1042"/>
      <c r="DX303" s="1042"/>
      <c r="DY303" s="1042"/>
      <c r="EK303"/>
      <c r="EL303"/>
    </row>
    <row r="304" spans="1:148" hidden="1" outlineLevel="1" x14ac:dyDescent="0.2">
      <c r="A304" s="1711" t="s">
        <v>775</v>
      </c>
      <c r="B304" s="1214"/>
      <c r="C304" s="1214"/>
      <c r="D304" s="1214"/>
      <c r="E304" s="1214"/>
      <c r="F304" s="1214"/>
      <c r="G304" s="1214"/>
      <c r="H304" s="1214"/>
      <c r="I304" s="1214"/>
      <c r="J304" s="1214"/>
      <c r="K304" s="1214"/>
      <c r="L304" s="1214"/>
      <c r="M304" s="1042"/>
      <c r="N304" s="1214"/>
      <c r="O304" s="1214"/>
      <c r="P304" s="1214"/>
      <c r="Q304" s="1214"/>
      <c r="R304" s="1042"/>
      <c r="S304" s="1214"/>
      <c r="T304" s="1214"/>
      <c r="U304" s="1214"/>
      <c r="V304" s="1214"/>
      <c r="W304" s="1042"/>
      <c r="X304" s="1214"/>
      <c r="Y304" s="1214"/>
      <c r="Z304" s="1214"/>
      <c r="AA304" s="1214"/>
      <c r="AB304" s="1042"/>
      <c r="AC304" s="1214"/>
      <c r="AD304" s="1214"/>
      <c r="AE304" s="1214"/>
      <c r="AF304" s="1214"/>
      <c r="AG304" s="1042"/>
      <c r="AH304" s="1214"/>
      <c r="AI304" s="1214"/>
      <c r="AJ304" s="1214"/>
      <c r="AK304" s="1214"/>
      <c r="AL304" s="1042"/>
      <c r="AM304" s="1214"/>
      <c r="AN304" s="1214"/>
      <c r="AO304" s="1214"/>
      <c r="AP304" s="1214"/>
      <c r="AQ304" s="1042"/>
      <c r="AR304" s="1214"/>
      <c r="AS304" s="1214"/>
      <c r="AT304" s="1214"/>
      <c r="AU304" s="1214"/>
      <c r="AV304" s="1042"/>
      <c r="AW304" s="1214"/>
      <c r="AX304" s="1214"/>
      <c r="AY304" s="1214"/>
      <c r="AZ304" s="1214"/>
      <c r="BA304" s="1042"/>
      <c r="BB304" s="1214"/>
      <c r="BC304" s="1214"/>
      <c r="BD304" s="1214"/>
      <c r="BE304" s="1214"/>
      <c r="BF304" s="1042"/>
      <c r="BG304" s="1214"/>
      <c r="BH304" s="1214"/>
      <c r="BI304" s="1214"/>
      <c r="BJ304" s="1214"/>
      <c r="BK304" s="1042"/>
      <c r="BL304" s="1882">
        <v>1.4E-2</v>
      </c>
      <c r="BM304" s="1882">
        <v>0.02</v>
      </c>
      <c r="BN304" s="1882">
        <v>0.02</v>
      </c>
      <c r="BO304" s="1882">
        <v>0.04</v>
      </c>
      <c r="BP304" s="2390"/>
      <c r="BQ304" s="1882">
        <v>0.06</v>
      </c>
      <c r="BR304" s="1882">
        <v>0.08</v>
      </c>
      <c r="BS304" s="1882">
        <v>0.08</v>
      </c>
      <c r="BT304" s="1882">
        <v>0.06</v>
      </c>
      <c r="BU304" s="1042">
        <f>AVERAGE(BQ304:BT304)</f>
        <v>7.0000000000000007E-2</v>
      </c>
      <c r="BV304" s="1882">
        <v>0.01</v>
      </c>
      <c r="BW304" s="1882">
        <v>0.04</v>
      </c>
      <c r="BX304" s="1882">
        <v>0.03</v>
      </c>
      <c r="BY304" s="1882">
        <v>0.04</v>
      </c>
      <c r="BZ304" s="1042">
        <f>AVERAGE(BV304:BY304)</f>
        <v>0.03</v>
      </c>
      <c r="CA304" s="1882">
        <v>0.08</v>
      </c>
      <c r="CB304" s="1882">
        <v>0.03</v>
      </c>
      <c r="CC304" s="1882">
        <v>0.1</v>
      </c>
      <c r="CD304" s="3640">
        <v>0.06</v>
      </c>
      <c r="CE304" s="1042">
        <f>AVERAGE(CA304:CD304)</f>
        <v>6.7500000000000004E-2</v>
      </c>
      <c r="CF304" s="3643">
        <v>5.2999999999999999E-2</v>
      </c>
      <c r="CG304" s="3643">
        <v>0.06</v>
      </c>
      <c r="CH304" s="2242">
        <v>3.1E-2</v>
      </c>
      <c r="CI304" s="3640">
        <v>0.06</v>
      </c>
      <c r="CJ304" s="1042">
        <f>AVERAGE(CG304,CI304,-0.01)</f>
        <v>3.6666666666666667E-2</v>
      </c>
      <c r="CK304" s="3645" t="s">
        <v>2883</v>
      </c>
      <c r="CL304" s="3643">
        <v>7.0000000000000007E-2</v>
      </c>
      <c r="CM304" s="3643">
        <v>7.0000000000000007E-2</v>
      </c>
      <c r="CN304" s="3640">
        <v>-0.01</v>
      </c>
      <c r="CO304" s="1042">
        <f>AVERAGE(CL304:CN304)</f>
        <v>4.3333333333333335E-2</v>
      </c>
      <c r="CP304" s="3643">
        <v>7.6999999999999999E-2</v>
      </c>
      <c r="CQ304" s="3643">
        <v>1.4999999999999999E-2</v>
      </c>
      <c r="CR304" s="3643"/>
      <c r="CS304" s="3640"/>
      <c r="CT304" s="1603"/>
      <c r="CU304" s="3643"/>
      <c r="CV304" s="3643"/>
      <c r="CW304" s="3643"/>
      <c r="CX304" s="3640"/>
      <c r="CY304" s="1042"/>
      <c r="CZ304" s="1042"/>
      <c r="DA304" s="1042"/>
      <c r="DD304" s="2338" t="s">
        <v>775</v>
      </c>
      <c r="DE304" s="1042">
        <f>M304</f>
        <v>0</v>
      </c>
      <c r="DF304" s="1042">
        <f>R304</f>
        <v>0</v>
      </c>
      <c r="DG304" s="1042">
        <f>W304</f>
        <v>0</v>
      </c>
      <c r="DH304" s="1042">
        <f>AB304</f>
        <v>0</v>
      </c>
      <c r="DI304" s="1042">
        <f>AG304</f>
        <v>0</v>
      </c>
      <c r="DJ304" s="1042">
        <f>AL304</f>
        <v>0</v>
      </c>
      <c r="DK304" s="1042">
        <f>AQ304</f>
        <v>0</v>
      </c>
      <c r="DL304" s="1042">
        <f>AV304</f>
        <v>0</v>
      </c>
      <c r="DM304" s="1042">
        <f>BA304</f>
        <v>0</v>
      </c>
      <c r="DN304" s="1042">
        <f>BF304</f>
        <v>0</v>
      </c>
      <c r="DO304" s="1042">
        <f>BK304</f>
        <v>0</v>
      </c>
      <c r="DP304" s="1042">
        <f>BP304</f>
        <v>0</v>
      </c>
      <c r="DQ304" s="1042">
        <f>BU304</f>
        <v>7.0000000000000007E-2</v>
      </c>
      <c r="DR304" s="1042">
        <f>BZ304</f>
        <v>0.03</v>
      </c>
      <c r="DS304" s="1042">
        <f>CE304</f>
        <v>6.7500000000000004E-2</v>
      </c>
      <c r="DT304" s="1042">
        <f>CJ304</f>
        <v>3.6666666666666667E-2</v>
      </c>
      <c r="DU304" s="1042">
        <f>CO304</f>
        <v>4.3333333333333335E-2</v>
      </c>
      <c r="DV304" s="1042">
        <f>CT304</f>
        <v>0</v>
      </c>
      <c r="DW304" s="1042">
        <f t="shared" ref="DW304:DY305" si="733">CY304</f>
        <v>0</v>
      </c>
      <c r="DX304" s="1042">
        <f t="shared" si="733"/>
        <v>0</v>
      </c>
      <c r="DY304" s="1042">
        <f t="shared" si="733"/>
        <v>0</v>
      </c>
      <c r="EK304"/>
      <c r="EL304"/>
    </row>
    <row r="305" spans="1:148" hidden="1" outlineLevel="1" x14ac:dyDescent="0.2">
      <c r="A305" s="1711" t="s">
        <v>776</v>
      </c>
      <c r="B305" s="1214"/>
      <c r="C305" s="1214"/>
      <c r="D305" s="1214"/>
      <c r="E305" s="1214"/>
      <c r="F305" s="1214"/>
      <c r="G305" s="1214"/>
      <c r="H305" s="1214"/>
      <c r="I305" s="1214"/>
      <c r="J305" s="1214"/>
      <c r="K305" s="1214"/>
      <c r="L305" s="1214"/>
      <c r="M305" s="1042"/>
      <c r="N305" s="1214"/>
      <c r="O305" s="1214"/>
      <c r="P305" s="1214"/>
      <c r="Q305" s="1214"/>
      <c r="R305" s="1042"/>
      <c r="S305" s="1214"/>
      <c r="T305" s="1214"/>
      <c r="U305" s="1214"/>
      <c r="V305" s="1214"/>
      <c r="W305" s="1042"/>
      <c r="X305" s="1214"/>
      <c r="Y305" s="1214"/>
      <c r="Z305" s="1214"/>
      <c r="AA305" s="1214"/>
      <c r="AB305" s="1042"/>
      <c r="AC305" s="1214"/>
      <c r="AD305" s="1214"/>
      <c r="AE305" s="1214"/>
      <c r="AF305" s="1214"/>
      <c r="AG305" s="1042"/>
      <c r="AH305" s="1214"/>
      <c r="AI305" s="1214"/>
      <c r="AJ305" s="1214"/>
      <c r="AK305" s="1214"/>
      <c r="AL305" s="1042"/>
      <c r="AM305" s="1214"/>
      <c r="AN305" s="1214"/>
      <c r="AO305" s="1214"/>
      <c r="AP305" s="1214"/>
      <c r="AQ305" s="1042"/>
      <c r="AR305" s="1214"/>
      <c r="AS305" s="1214"/>
      <c r="AT305" s="1214"/>
      <c r="AU305" s="1214"/>
      <c r="AV305" s="1042"/>
      <c r="AW305" s="1214"/>
      <c r="AX305" s="1214"/>
      <c r="AY305" s="1214"/>
      <c r="AZ305" s="1214"/>
      <c r="BA305" s="1042"/>
      <c r="BB305" s="1214"/>
      <c r="BC305" s="1214"/>
      <c r="BD305" s="1214"/>
      <c r="BE305" s="1214"/>
      <c r="BF305" s="1042"/>
      <c r="BG305" s="1214"/>
      <c r="BH305" s="1214"/>
      <c r="BI305" s="1214"/>
      <c r="BJ305" s="1214"/>
      <c r="BK305" s="1042"/>
      <c r="BL305" s="1882" t="s">
        <v>958</v>
      </c>
      <c r="BM305" s="1882">
        <v>7.0000000000000007E-2</v>
      </c>
      <c r="BN305" s="1882" t="s">
        <v>958</v>
      </c>
      <c r="BO305" s="1882" t="s">
        <v>958</v>
      </c>
      <c r="BP305" s="2390"/>
      <c r="BQ305" s="1882" t="s">
        <v>958</v>
      </c>
      <c r="BR305" s="1882" t="s">
        <v>958</v>
      </c>
      <c r="BS305" s="1882">
        <v>0.06</v>
      </c>
      <c r="BT305" s="1882" t="s">
        <v>958</v>
      </c>
      <c r="BU305" s="2390"/>
      <c r="BV305" s="1882">
        <v>0.08</v>
      </c>
      <c r="BW305" s="1882">
        <v>0.06</v>
      </c>
      <c r="BX305" s="1882">
        <v>7.0000000000000007E-2</v>
      </c>
      <c r="BY305" s="1882">
        <v>7.0000000000000007E-2</v>
      </c>
      <c r="BZ305" s="2390"/>
      <c r="CA305" s="1882"/>
      <c r="CB305" s="1189"/>
      <c r="CC305" s="1882">
        <v>0.08</v>
      </c>
      <c r="CD305" s="1603"/>
      <c r="CE305" s="1042"/>
      <c r="CF305" s="3643"/>
      <c r="CG305" s="3643"/>
      <c r="CH305" s="3643"/>
      <c r="CI305" s="3640"/>
      <c r="CJ305" s="1042"/>
      <c r="CK305" s="874"/>
      <c r="CL305" s="874"/>
      <c r="CM305" s="874"/>
      <c r="CN305" s="1603"/>
      <c r="CO305" s="1042"/>
      <c r="CP305" s="874"/>
      <c r="CQ305" s="874"/>
      <c r="CR305" s="874"/>
      <c r="CS305" s="874"/>
      <c r="CT305" s="1042"/>
      <c r="CU305" s="874"/>
      <c r="CV305" s="874"/>
      <c r="CW305" s="874"/>
      <c r="CX305" s="874"/>
      <c r="CY305" s="1042"/>
      <c r="CZ305" s="1042"/>
      <c r="DA305" s="1042"/>
      <c r="DD305" s="2338" t="s">
        <v>776</v>
      </c>
      <c r="DE305" s="1042">
        <f>M305</f>
        <v>0</v>
      </c>
      <c r="DF305" s="1042">
        <f>R305</f>
        <v>0</v>
      </c>
      <c r="DG305" s="1042">
        <f>W305</f>
        <v>0</v>
      </c>
      <c r="DH305" s="1042">
        <f>AB305</f>
        <v>0</v>
      </c>
      <c r="DI305" s="1042">
        <f>AG305</f>
        <v>0</v>
      </c>
      <c r="DJ305" s="1042">
        <f>AL305</f>
        <v>0</v>
      </c>
      <c r="DK305" s="1042">
        <f>AQ305</f>
        <v>0</v>
      </c>
      <c r="DL305" s="1042">
        <f>AV305</f>
        <v>0</v>
      </c>
      <c r="DM305" s="1042">
        <f>BA305</f>
        <v>0</v>
      </c>
      <c r="DN305" s="1042">
        <f>BF305</f>
        <v>0</v>
      </c>
      <c r="DO305" s="1042">
        <f>BK305</f>
        <v>0</v>
      </c>
      <c r="DP305" s="1042">
        <f>BP305</f>
        <v>0</v>
      </c>
      <c r="DQ305" s="1042">
        <f>BU305</f>
        <v>0</v>
      </c>
      <c r="DR305" s="1042">
        <f>BZ305</f>
        <v>0</v>
      </c>
      <c r="DS305" s="1042">
        <f>CE305</f>
        <v>0</v>
      </c>
      <c r="DT305" s="1042">
        <f>CJ305</f>
        <v>0</v>
      </c>
      <c r="DU305" s="1042">
        <f>CO305</f>
        <v>0</v>
      </c>
      <c r="DV305" s="1042">
        <f>CT305</f>
        <v>0</v>
      </c>
      <c r="DW305" s="1042">
        <f t="shared" si="733"/>
        <v>0</v>
      </c>
      <c r="DX305" s="1042">
        <f t="shared" si="733"/>
        <v>0</v>
      </c>
      <c r="DY305" s="1042">
        <f t="shared" si="733"/>
        <v>0</v>
      </c>
      <c r="EK305"/>
      <c r="EL305"/>
    </row>
    <row r="306" spans="1:148" hidden="1" outlineLevel="1" x14ac:dyDescent="0.2">
      <c r="A306" s="1711"/>
      <c r="B306" s="1214"/>
      <c r="C306" s="1214"/>
      <c r="D306" s="1214"/>
      <c r="E306" s="1214"/>
      <c r="F306" s="1214"/>
      <c r="G306" s="1214"/>
      <c r="H306" s="1214"/>
      <c r="I306" s="1214"/>
      <c r="J306" s="1214"/>
      <c r="K306" s="1214"/>
      <c r="L306" s="1214"/>
      <c r="M306" s="1042"/>
      <c r="N306" s="1214"/>
      <c r="O306" s="1214"/>
      <c r="P306" s="1214"/>
      <c r="Q306" s="1214"/>
      <c r="R306" s="1042"/>
      <c r="S306" s="1214"/>
      <c r="T306" s="1214"/>
      <c r="U306" s="1214"/>
      <c r="V306" s="1214"/>
      <c r="W306" s="1042"/>
      <c r="X306" s="1214"/>
      <c r="Y306" s="1214"/>
      <c r="Z306" s="1214"/>
      <c r="AA306" s="1214"/>
      <c r="AB306" s="1042"/>
      <c r="AC306" s="1214"/>
      <c r="AD306" s="1214"/>
      <c r="AE306" s="1214"/>
      <c r="AF306" s="1214"/>
      <c r="AG306" s="1042"/>
      <c r="AH306" s="1214"/>
      <c r="AI306" s="1214"/>
      <c r="AJ306" s="1214"/>
      <c r="AK306" s="1214"/>
      <c r="AL306" s="1042"/>
      <c r="AM306" s="1214"/>
      <c r="AN306" s="1214"/>
      <c r="AO306" s="1214"/>
      <c r="AP306" s="1214"/>
      <c r="AQ306" s="1042"/>
      <c r="AR306" s="1214"/>
      <c r="AS306" s="1214"/>
      <c r="AT306" s="1214"/>
      <c r="AU306" s="1214"/>
      <c r="AV306" s="1042"/>
      <c r="AW306" s="1214"/>
      <c r="AX306" s="1214"/>
      <c r="AY306" s="1214"/>
      <c r="AZ306" s="1214"/>
      <c r="BA306" s="1042"/>
      <c r="BB306" s="1214"/>
      <c r="BC306" s="1214"/>
      <c r="BD306" s="1214"/>
      <c r="BE306" s="1214"/>
      <c r="BF306" s="1042"/>
      <c r="BG306" s="1214"/>
      <c r="BH306" s="1214"/>
      <c r="BI306" s="1214"/>
      <c r="BJ306" s="1214"/>
      <c r="BK306" s="1042"/>
      <c r="BL306" s="1882"/>
      <c r="BM306" s="1882"/>
      <c r="BN306" s="1882"/>
      <c r="BO306" s="1882"/>
      <c r="BP306" s="2390"/>
      <c r="BQ306" s="1882"/>
      <c r="BR306" s="1882"/>
      <c r="BS306" s="1882"/>
      <c r="BT306" s="1882"/>
      <c r="BU306" s="2390"/>
      <c r="BV306" s="1882"/>
      <c r="BW306" s="1882"/>
      <c r="BX306" s="1882"/>
      <c r="BY306" s="1882"/>
      <c r="BZ306" s="2390"/>
      <c r="CA306" s="1882"/>
      <c r="CB306" s="1189"/>
      <c r="CC306" s="1882"/>
      <c r="CD306" s="1603"/>
      <c r="CE306" s="1042"/>
      <c r="CF306" s="874"/>
      <c r="CG306" s="874"/>
      <c r="CH306" s="874"/>
      <c r="CI306" s="1603"/>
      <c r="CJ306" s="1042"/>
      <c r="CK306" s="874"/>
      <c r="CL306" s="874"/>
      <c r="CM306" s="874"/>
      <c r="CN306" s="1603"/>
      <c r="CO306" s="1042"/>
      <c r="CP306" s="874"/>
      <c r="CQ306" s="874"/>
      <c r="CR306" s="874"/>
      <c r="CS306" s="874"/>
      <c r="CT306" s="1042"/>
      <c r="CU306" s="874"/>
      <c r="CV306" s="874"/>
      <c r="CW306" s="874"/>
      <c r="CX306" s="874"/>
      <c r="CY306" s="1042"/>
      <c r="CZ306" s="1042"/>
      <c r="DA306" s="1042"/>
      <c r="DD306" s="2338"/>
      <c r="DE306" s="1042"/>
      <c r="DF306" s="1042"/>
      <c r="DG306" s="1042"/>
      <c r="DH306" s="1042"/>
      <c r="DI306" s="1042"/>
      <c r="DJ306" s="1042"/>
      <c r="DK306" s="1042"/>
      <c r="DL306" s="1042"/>
      <c r="DM306" s="1042"/>
      <c r="DN306" s="1042"/>
      <c r="DO306" s="1042"/>
      <c r="DP306" s="1042"/>
      <c r="DQ306" s="1042"/>
      <c r="DR306" s="1042"/>
      <c r="DS306" s="1042"/>
      <c r="DT306" s="1042"/>
      <c r="DU306" s="1042"/>
      <c r="DV306" s="1042"/>
      <c r="DW306" s="1042"/>
      <c r="DX306" s="1042"/>
      <c r="DY306" s="1042"/>
      <c r="EK306"/>
      <c r="EL306"/>
    </row>
    <row r="307" spans="1:148" hidden="1" outlineLevel="1" x14ac:dyDescent="0.2">
      <c r="A307" s="1683" t="s">
        <v>2877</v>
      </c>
      <c r="B307" s="1214"/>
      <c r="C307" s="1214"/>
      <c r="D307" s="1214"/>
      <c r="E307" s="1214"/>
      <c r="F307" s="1214"/>
      <c r="G307" s="1214"/>
      <c r="H307" s="1214"/>
      <c r="I307" s="1214"/>
      <c r="J307" s="1214"/>
      <c r="K307" s="1214"/>
      <c r="L307" s="1214"/>
      <c r="M307" s="1042"/>
      <c r="N307" s="1214"/>
      <c r="O307" s="1214"/>
      <c r="P307" s="1214"/>
      <c r="Q307" s="1214"/>
      <c r="R307" s="1042"/>
      <c r="S307" s="1214"/>
      <c r="T307" s="1214"/>
      <c r="U307" s="1214"/>
      <c r="V307" s="1214"/>
      <c r="W307" s="1042"/>
      <c r="X307" s="1214"/>
      <c r="Y307" s="1214"/>
      <c r="Z307" s="1214"/>
      <c r="AA307" s="1214"/>
      <c r="AB307" s="1042"/>
      <c r="AC307" s="1214"/>
      <c r="AD307" s="1214"/>
      <c r="AE307" s="1214"/>
      <c r="AF307" s="1214"/>
      <c r="AG307" s="1042"/>
      <c r="AH307" s="1214"/>
      <c r="AI307" s="1214"/>
      <c r="AJ307" s="1214"/>
      <c r="AK307" s="1214"/>
      <c r="AL307" s="1042"/>
      <c r="AM307" s="1214"/>
      <c r="AN307" s="1214"/>
      <c r="AO307" s="1214"/>
      <c r="AP307" s="1214"/>
      <c r="AQ307" s="1042"/>
      <c r="AR307" s="1214"/>
      <c r="AS307" s="1214"/>
      <c r="AT307" s="1214"/>
      <c r="AU307" s="1214"/>
      <c r="AV307" s="1042"/>
      <c r="AW307" s="1214"/>
      <c r="AX307" s="1214"/>
      <c r="AY307" s="1214"/>
      <c r="AZ307" s="1214"/>
      <c r="BA307" s="1042"/>
      <c r="BB307" s="1214"/>
      <c r="BC307" s="1214"/>
      <c r="BD307" s="1214"/>
      <c r="BE307" s="1214"/>
      <c r="BF307" s="1042"/>
      <c r="BG307" s="1214"/>
      <c r="BH307" s="1214"/>
      <c r="BI307" s="1214"/>
      <c r="BJ307" s="1214"/>
      <c r="BK307" s="1042"/>
      <c r="BL307" s="1882"/>
      <c r="BM307" s="1882"/>
      <c r="BN307" s="1882"/>
      <c r="BO307" s="1882"/>
      <c r="BP307" s="2390"/>
      <c r="BQ307" s="1882"/>
      <c r="BR307" s="1882"/>
      <c r="BS307" s="1882"/>
      <c r="BT307" s="1882"/>
      <c r="BU307" s="2390"/>
      <c r="BV307" s="1882"/>
      <c r="BW307" s="1882"/>
      <c r="BX307" s="1882"/>
      <c r="BY307" s="1882"/>
      <c r="BZ307" s="2390"/>
      <c r="CA307" s="1882"/>
      <c r="CB307" s="1189"/>
      <c r="CC307" s="1882"/>
      <c r="CD307" s="1603"/>
      <c r="CE307" s="1042"/>
      <c r="CF307" s="874"/>
      <c r="CG307" s="874"/>
      <c r="CH307" s="874"/>
      <c r="CI307" s="1603"/>
      <c r="CJ307" s="1042"/>
      <c r="CK307" s="874"/>
      <c r="CL307" s="874"/>
      <c r="CM307" s="874"/>
      <c r="CN307" s="1603"/>
      <c r="CO307" s="1042"/>
      <c r="CP307" s="874"/>
      <c r="CQ307" s="874"/>
      <c r="CR307" s="874"/>
      <c r="CS307" s="874"/>
      <c r="CT307" s="1042"/>
      <c r="CU307" s="874"/>
      <c r="CV307" s="874"/>
      <c r="CW307" s="874"/>
      <c r="CX307" s="874"/>
      <c r="CY307" s="1042"/>
      <c r="CZ307" s="1042"/>
      <c r="DA307" s="1042"/>
      <c r="DD307" s="2338"/>
      <c r="DE307" s="1042"/>
      <c r="DF307" s="1042"/>
      <c r="DG307" s="1042"/>
      <c r="DH307" s="1042"/>
      <c r="DI307" s="1042"/>
      <c r="DJ307" s="1042"/>
      <c r="DK307" s="1042"/>
      <c r="DL307" s="1042"/>
      <c r="DM307" s="1042"/>
      <c r="DN307" s="1042"/>
      <c r="DO307" s="1042"/>
      <c r="DP307" s="1042"/>
      <c r="DQ307" s="1042"/>
      <c r="DR307" s="1042"/>
      <c r="DS307" s="1042"/>
      <c r="DT307" s="1042"/>
      <c r="DU307" s="1042"/>
      <c r="DV307" s="1042"/>
      <c r="DW307" s="1042"/>
      <c r="DX307" s="1042"/>
      <c r="DY307" s="1042"/>
      <c r="EK307"/>
      <c r="EL307"/>
    </row>
    <row r="308" spans="1:148" hidden="1" outlineLevel="1" x14ac:dyDescent="0.2">
      <c r="A308" s="2338" t="s">
        <v>2878</v>
      </c>
      <c r="B308" s="1214"/>
      <c r="C308" s="1214"/>
      <c r="D308" s="1214"/>
      <c r="E308" s="1214"/>
      <c r="F308" s="1214"/>
      <c r="G308" s="1214"/>
      <c r="H308" s="1214"/>
      <c r="I308" s="1214"/>
      <c r="J308" s="1214"/>
      <c r="K308" s="1214"/>
      <c r="L308" s="1214"/>
      <c r="M308" s="1042"/>
      <c r="N308" s="1214"/>
      <c r="O308" s="1214"/>
      <c r="P308" s="1214"/>
      <c r="Q308" s="1214"/>
      <c r="R308" s="1042"/>
      <c r="S308" s="1214"/>
      <c r="T308" s="1214"/>
      <c r="U308" s="1214"/>
      <c r="V308" s="1214"/>
      <c r="W308" s="1042"/>
      <c r="X308" s="1214"/>
      <c r="Y308" s="1214"/>
      <c r="Z308" s="1214"/>
      <c r="AA308" s="1214"/>
      <c r="AB308" s="1042"/>
      <c r="AC308" s="1214"/>
      <c r="AD308" s="1214"/>
      <c r="AE308" s="1214"/>
      <c r="AF308" s="1214"/>
      <c r="AG308" s="1042"/>
      <c r="AH308" s="1214"/>
      <c r="AI308" s="1214"/>
      <c r="AJ308" s="1214"/>
      <c r="AK308" s="1214"/>
      <c r="AL308" s="1042"/>
      <c r="AM308" s="1214"/>
      <c r="AN308" s="1214"/>
      <c r="AO308" s="1214"/>
      <c r="AP308" s="1214"/>
      <c r="AQ308" s="1042"/>
      <c r="AR308" s="1214"/>
      <c r="AS308" s="1214"/>
      <c r="AT308" s="1214"/>
      <c r="AU308" s="1214"/>
      <c r="AV308" s="1042"/>
      <c r="AW308" s="1214"/>
      <c r="AX308" s="1214"/>
      <c r="AY308" s="1214"/>
      <c r="AZ308" s="1214"/>
      <c r="BA308" s="1042"/>
      <c r="BB308" s="1214"/>
      <c r="BC308" s="1214"/>
      <c r="BD308" s="1214"/>
      <c r="BE308" s="1214"/>
      <c r="BF308" s="1042"/>
      <c r="BG308" s="1214"/>
      <c r="BH308" s="1214"/>
      <c r="BI308" s="1214"/>
      <c r="BJ308" s="1214"/>
      <c r="BK308" s="1042"/>
      <c r="BL308" s="1882">
        <v>0.02</v>
      </c>
      <c r="BM308" s="1882">
        <v>0.18</v>
      </c>
      <c r="BN308" s="1882"/>
      <c r="BO308" s="1882">
        <v>0.09</v>
      </c>
      <c r="BP308" s="2390"/>
      <c r="BQ308" s="1882">
        <v>0.11</v>
      </c>
      <c r="BR308" s="1882"/>
      <c r="BS308" s="1882"/>
      <c r="BT308" s="1882"/>
      <c r="BU308" s="2390"/>
      <c r="BV308" s="1882">
        <v>0.04</v>
      </c>
      <c r="BW308" s="1882"/>
      <c r="BX308" s="1882"/>
      <c r="BY308" s="1882">
        <v>7.0000000000000007E-2</v>
      </c>
      <c r="BZ308" s="1616"/>
      <c r="CA308" s="3643">
        <v>0.04</v>
      </c>
      <c r="CB308" s="3643">
        <v>0.05</v>
      </c>
      <c r="CC308" s="3643"/>
      <c r="CD308" s="3640"/>
      <c r="CE308" s="1042"/>
      <c r="CF308" s="3643">
        <v>9.5000000000000001E-2</v>
      </c>
      <c r="CG308" s="3643"/>
      <c r="CH308" s="3643"/>
      <c r="CI308" s="3640"/>
      <c r="CJ308" s="1042"/>
      <c r="CK308" s="3643">
        <v>7.0000000000000007E-2</v>
      </c>
      <c r="CL308" s="3643"/>
      <c r="CM308" s="3643"/>
      <c r="CN308" s="3640"/>
      <c r="CO308" s="1042"/>
      <c r="CP308" s="3643">
        <v>1.6E-2</v>
      </c>
      <c r="CQ308" s="3645" t="s">
        <v>2885</v>
      </c>
      <c r="CR308" s="874"/>
      <c r="CS308" s="874"/>
      <c r="CT308" s="1042"/>
      <c r="CU308" s="3643"/>
      <c r="CV308" s="3645"/>
      <c r="CW308" s="874"/>
      <c r="CX308" s="874"/>
      <c r="CY308" s="1042"/>
      <c r="CZ308" s="1042"/>
      <c r="DA308" s="1042"/>
      <c r="DD308" s="2338"/>
      <c r="DE308" s="1042"/>
      <c r="DF308" s="1042"/>
      <c r="DG308" s="1042"/>
      <c r="DH308" s="1042"/>
      <c r="DI308" s="1042"/>
      <c r="DJ308" s="1042"/>
      <c r="DK308" s="1042"/>
      <c r="DL308" s="1042"/>
      <c r="DM308" s="1042"/>
      <c r="DN308" s="1042"/>
      <c r="DO308" s="1042"/>
      <c r="DP308" s="1042"/>
      <c r="DQ308" s="1042"/>
      <c r="DR308" s="1042"/>
      <c r="DS308" s="1042"/>
      <c r="DT308" s="1042"/>
      <c r="DU308" s="1042"/>
      <c r="DV308" s="1042"/>
      <c r="DW308" s="1042"/>
      <c r="DX308" s="1042"/>
      <c r="DY308" s="1042"/>
      <c r="EK308"/>
      <c r="EL308"/>
    </row>
    <row r="309" spans="1:148" hidden="1" outlineLevel="1" x14ac:dyDescent="0.2">
      <c r="A309" s="2338" t="s">
        <v>2879</v>
      </c>
      <c r="B309" s="1214"/>
      <c r="C309" s="1214"/>
      <c r="D309" s="1214"/>
      <c r="E309" s="1214"/>
      <c r="F309" s="1214"/>
      <c r="G309" s="1214"/>
      <c r="H309" s="1214"/>
      <c r="I309" s="1214"/>
      <c r="J309" s="1214"/>
      <c r="K309" s="1214"/>
      <c r="L309" s="1214"/>
      <c r="M309" s="1042"/>
      <c r="N309" s="1214"/>
      <c r="O309" s="1214"/>
      <c r="P309" s="1214"/>
      <c r="Q309" s="1214"/>
      <c r="R309" s="1042"/>
      <c r="S309" s="1214"/>
      <c r="T309" s="1214"/>
      <c r="U309" s="1214"/>
      <c r="V309" s="1214"/>
      <c r="W309" s="1042"/>
      <c r="X309" s="1214"/>
      <c r="Y309" s="1214"/>
      <c r="Z309" s="1214"/>
      <c r="AA309" s="1214"/>
      <c r="AB309" s="1042"/>
      <c r="AC309" s="1214"/>
      <c r="AD309" s="1214"/>
      <c r="AE309" s="1214"/>
      <c r="AF309" s="1214"/>
      <c r="AG309" s="1042"/>
      <c r="AH309" s="1214"/>
      <c r="AI309" s="1214"/>
      <c r="AJ309" s="1214"/>
      <c r="AK309" s="1214"/>
      <c r="AL309" s="1042"/>
      <c r="AM309" s="1214"/>
      <c r="AN309" s="1214"/>
      <c r="AO309" s="1214"/>
      <c r="AP309" s="1214"/>
      <c r="AQ309" s="1042"/>
      <c r="AR309" s="1214"/>
      <c r="AS309" s="1214"/>
      <c r="AT309" s="1214"/>
      <c r="AU309" s="1214"/>
      <c r="AV309" s="1042"/>
      <c r="AW309" s="1214"/>
      <c r="AX309" s="1214"/>
      <c r="AY309" s="1214"/>
      <c r="AZ309" s="1214"/>
      <c r="BA309" s="1042"/>
      <c r="BB309" s="1214"/>
      <c r="BC309" s="1214"/>
      <c r="BD309" s="1214"/>
      <c r="BE309" s="1214"/>
      <c r="BF309" s="1042"/>
      <c r="BG309" s="1214"/>
      <c r="BH309" s="1214"/>
      <c r="BI309" s="1214"/>
      <c r="BJ309" s="1214">
        <v>0.09</v>
      </c>
      <c r="BK309" s="1042"/>
      <c r="BL309" s="1882"/>
      <c r="BM309" s="1882"/>
      <c r="BN309" s="1882">
        <v>7.0000000000000007E-2</v>
      </c>
      <c r="BO309" s="1882">
        <v>0.09</v>
      </c>
      <c r="BP309" s="2390"/>
      <c r="BQ309" s="1882"/>
      <c r="BR309" s="1882">
        <v>0.08</v>
      </c>
      <c r="BS309" s="1882">
        <v>7.0000000000000007E-2</v>
      </c>
      <c r="BT309" s="1882">
        <v>0.06</v>
      </c>
      <c r="BU309" s="2390"/>
      <c r="BV309" s="1882"/>
      <c r="BW309" s="1882">
        <v>0.02</v>
      </c>
      <c r="BX309" s="1882" t="s">
        <v>1224</v>
      </c>
      <c r="BY309" s="1882">
        <v>0.04</v>
      </c>
      <c r="BZ309" s="2390"/>
      <c r="CA309" s="3643"/>
      <c r="CB309" s="3643"/>
      <c r="CC309" s="3643">
        <v>0.04</v>
      </c>
      <c r="CD309" s="3640">
        <v>0.05</v>
      </c>
      <c r="CE309" s="1042">
        <f>AVERAGE(CA309:CD309)</f>
        <v>4.4999999999999998E-2</v>
      </c>
      <c r="CF309" s="3643">
        <v>0.04</v>
      </c>
      <c r="CG309" s="3643">
        <v>7.0000000000000007E-2</v>
      </c>
      <c r="CH309" s="3643">
        <v>7.0000000000000007E-2</v>
      </c>
      <c r="CI309" s="3640">
        <v>7.0000000000000007E-2</v>
      </c>
      <c r="CJ309" s="1042">
        <f>AVERAGE(CF309:CI309)</f>
        <v>6.25E-2</v>
      </c>
      <c r="CK309" s="3643">
        <v>0.1</v>
      </c>
      <c r="CL309" s="3643">
        <v>7.0000000000000007E-2</v>
      </c>
      <c r="CM309" s="3643">
        <v>0.02</v>
      </c>
      <c r="CN309" s="3640">
        <v>0.03</v>
      </c>
      <c r="CO309" s="1042">
        <f>AVERAGE(CK309:CN309)</f>
        <v>5.5E-2</v>
      </c>
      <c r="CP309"/>
      <c r="CQ309" s="3645" t="s">
        <v>2886</v>
      </c>
      <c r="CR309" s="874"/>
      <c r="CS309" s="874"/>
      <c r="CT309" s="1616"/>
      <c r="CU309"/>
      <c r="CV309" s="3645"/>
      <c r="CW309" s="874"/>
      <c r="CX309" s="874"/>
      <c r="CY309" s="1042"/>
      <c r="CZ309" s="1042"/>
      <c r="DA309" s="1042"/>
      <c r="DD309" s="2338"/>
      <c r="DE309" s="1042"/>
      <c r="DF309" s="1042"/>
      <c r="DG309" s="1042"/>
      <c r="DH309" s="1042"/>
      <c r="DI309" s="1042"/>
      <c r="DJ309" s="1042"/>
      <c r="DK309" s="1042"/>
      <c r="DL309" s="1042"/>
      <c r="DM309" s="1042"/>
      <c r="DN309" s="1042"/>
      <c r="DO309" s="1042"/>
      <c r="DP309" s="1042"/>
      <c r="DQ309" s="1042"/>
      <c r="DR309" s="1042"/>
      <c r="DS309" s="1042"/>
      <c r="DT309" s="1042"/>
      <c r="DU309" s="1042"/>
      <c r="DV309" s="1042"/>
      <c r="DW309" s="1042"/>
      <c r="DX309" s="1042"/>
      <c r="DY309" s="1042"/>
      <c r="EK309"/>
      <c r="EL309"/>
    </row>
    <row r="310" spans="1:148" hidden="1" outlineLevel="1" x14ac:dyDescent="0.2">
      <c r="A310" s="3641" t="s">
        <v>2880</v>
      </c>
      <c r="B310" s="1214"/>
      <c r="C310" s="1214"/>
      <c r="D310" s="1214"/>
      <c r="E310" s="1214"/>
      <c r="F310" s="1214"/>
      <c r="G310" s="1214"/>
      <c r="H310" s="1214"/>
      <c r="I310" s="1214"/>
      <c r="J310" s="1214"/>
      <c r="K310" s="1214"/>
      <c r="L310" s="1214"/>
      <c r="M310" s="1042"/>
      <c r="N310" s="1214"/>
      <c r="O310" s="1214"/>
      <c r="P310" s="1214"/>
      <c r="Q310" s="1214"/>
      <c r="R310" s="1042"/>
      <c r="S310" s="1214"/>
      <c r="T310" s="1214"/>
      <c r="U310" s="1214"/>
      <c r="V310" s="1214"/>
      <c r="W310" s="1042"/>
      <c r="X310" s="1214"/>
      <c r="Y310" s="1214"/>
      <c r="Z310" s="1214"/>
      <c r="AA310" s="1214"/>
      <c r="AB310" s="1042"/>
      <c r="AC310" s="1214"/>
      <c r="AD310" s="1214"/>
      <c r="AE310" s="1214"/>
      <c r="AF310" s="1214"/>
      <c r="AG310" s="1042"/>
      <c r="AH310" s="1214"/>
      <c r="AI310" s="1214"/>
      <c r="AJ310" s="1214"/>
      <c r="AK310" s="1214"/>
      <c r="AL310" s="1042"/>
      <c r="AM310" s="1214"/>
      <c r="AN310" s="1214"/>
      <c r="AO310" s="1214"/>
      <c r="AP310" s="1214"/>
      <c r="AQ310" s="1042"/>
      <c r="AR310" s="1214"/>
      <c r="AS310" s="1214"/>
      <c r="AT310" s="1214"/>
      <c r="AU310" s="1214"/>
      <c r="AV310" s="1042"/>
      <c r="AW310" s="1214"/>
      <c r="AX310" s="1214"/>
      <c r="AY310" s="1214"/>
      <c r="AZ310" s="1214"/>
      <c r="BA310" s="1042"/>
      <c r="BB310" s="1214"/>
      <c r="BC310" s="1214"/>
      <c r="BD310" s="1214"/>
      <c r="BE310" s="1214"/>
      <c r="BF310" s="1042"/>
      <c r="BG310" s="1214"/>
      <c r="BH310" s="1214"/>
      <c r="BI310" s="1214"/>
      <c r="BJ310" s="1214"/>
      <c r="BK310" s="1042"/>
      <c r="BL310" s="1882"/>
      <c r="BM310" s="1882"/>
      <c r="BN310" s="1882"/>
      <c r="BO310" s="1882">
        <v>0.7</v>
      </c>
      <c r="BP310" s="2390"/>
      <c r="BQ310" s="1882"/>
      <c r="BR310" s="1882"/>
      <c r="BS310" s="1882"/>
      <c r="BT310" s="1882"/>
      <c r="BU310" s="2390"/>
      <c r="BV310" s="1882"/>
      <c r="BW310" s="1882">
        <v>0.5</v>
      </c>
      <c r="BX310" s="1882">
        <v>0.6</v>
      </c>
      <c r="BY310" s="1882"/>
      <c r="BZ310" s="2390"/>
      <c r="CA310" s="3643"/>
      <c r="CB310" s="3643"/>
      <c r="CC310" s="3643">
        <v>0.6</v>
      </c>
      <c r="CD310" s="3640"/>
      <c r="CE310" s="1042"/>
      <c r="CF310" s="3643"/>
      <c r="CG310" s="3643">
        <v>0.55000000000000004</v>
      </c>
      <c r="CH310" s="3643"/>
      <c r="CI310" s="3640"/>
      <c r="CJ310" s="1042"/>
      <c r="CK310" s="3643"/>
      <c r="CL310" s="3643"/>
      <c r="CM310" s="3643"/>
      <c r="CN310" s="3640"/>
      <c r="CO310" s="1042"/>
      <c r="CP310" s="3643"/>
      <c r="CQ310"/>
      <c r="CR310" s="874"/>
      <c r="CS310" s="874"/>
      <c r="CT310" s="1616"/>
      <c r="CU310" s="3643"/>
      <c r="CV310"/>
      <c r="CW310" s="874"/>
      <c r="CX310" s="874"/>
      <c r="CY310" s="1042"/>
      <c r="CZ310" s="1042"/>
      <c r="DA310" s="1042"/>
      <c r="DD310" s="2338"/>
      <c r="DE310" s="1042"/>
      <c r="DF310" s="1042"/>
      <c r="DG310" s="1042"/>
      <c r="DH310" s="1042"/>
      <c r="DI310" s="1042"/>
      <c r="DJ310" s="1042"/>
      <c r="DK310" s="1042"/>
      <c r="DL310" s="1042"/>
      <c r="DM310" s="1042"/>
      <c r="DN310" s="1042"/>
      <c r="DO310" s="1042"/>
      <c r="DP310" s="1042"/>
      <c r="DQ310" s="1042"/>
      <c r="DR310" s="1042"/>
      <c r="DS310" s="1042"/>
      <c r="DT310" s="1042"/>
      <c r="DU310" s="1042"/>
      <c r="DV310" s="1042"/>
      <c r="DW310" s="1042"/>
      <c r="DX310" s="1042"/>
      <c r="DY310" s="1042"/>
      <c r="EK310"/>
      <c r="EL310"/>
    </row>
    <row r="311" spans="1:148" hidden="1" outlineLevel="1" x14ac:dyDescent="0.2">
      <c r="A311" s="2338"/>
      <c r="B311" s="1214"/>
      <c r="C311" s="1214"/>
      <c r="D311" s="1214"/>
      <c r="E311" s="1214"/>
      <c r="F311" s="1214"/>
      <c r="G311" s="1214"/>
      <c r="H311" s="1214"/>
      <c r="I311" s="1214"/>
      <c r="J311" s="1214"/>
      <c r="K311" s="1214"/>
      <c r="L311" s="1214"/>
      <c r="M311" s="1042"/>
      <c r="N311" s="1214"/>
      <c r="O311" s="1214"/>
      <c r="P311" s="1214"/>
      <c r="Q311" s="1214"/>
      <c r="R311" s="1042"/>
      <c r="S311" s="1214"/>
      <c r="T311" s="1214"/>
      <c r="U311" s="1214"/>
      <c r="V311" s="1214"/>
      <c r="W311" s="1042"/>
      <c r="X311" s="1214"/>
      <c r="Y311" s="1214"/>
      <c r="Z311" s="1214"/>
      <c r="AA311" s="1214"/>
      <c r="AB311" s="1042"/>
      <c r="AC311" s="1214"/>
      <c r="AD311" s="1214"/>
      <c r="AE311" s="1214"/>
      <c r="AF311" s="1214"/>
      <c r="AG311" s="1042"/>
      <c r="AH311" s="1214"/>
      <c r="AI311" s="1214"/>
      <c r="AJ311" s="1214"/>
      <c r="AK311" s="1214"/>
      <c r="AL311" s="1042"/>
      <c r="AM311" s="1214"/>
      <c r="AN311" s="1214"/>
      <c r="AO311" s="1214"/>
      <c r="AP311" s="1214"/>
      <c r="AQ311" s="1042"/>
      <c r="AR311" s="1214"/>
      <c r="AS311" s="1214"/>
      <c r="AT311" s="1214"/>
      <c r="AU311" s="1214"/>
      <c r="AV311" s="1042"/>
      <c r="AW311" s="1214"/>
      <c r="AX311" s="1214"/>
      <c r="AY311" s="1214"/>
      <c r="AZ311" s="1214"/>
      <c r="BA311" s="1042"/>
      <c r="BB311" s="1214"/>
      <c r="BC311" s="1214"/>
      <c r="BD311" s="1214"/>
      <c r="BE311" s="1214"/>
      <c r="BF311" s="1042"/>
      <c r="BG311" s="1214"/>
      <c r="BH311" s="1214"/>
      <c r="BI311" s="1214"/>
      <c r="BJ311" s="1214"/>
      <c r="BK311" s="1042"/>
      <c r="BL311" s="1882"/>
      <c r="BM311" s="1882"/>
      <c r="BN311" s="1882"/>
      <c r="BO311" s="1882"/>
      <c r="BP311" s="2390"/>
      <c r="BQ311" s="1882"/>
      <c r="BR311" s="1882"/>
      <c r="BS311" s="1882"/>
      <c r="BT311" s="1882"/>
      <c r="BU311" s="2390"/>
      <c r="BV311" s="1882"/>
      <c r="BW311" s="1882"/>
      <c r="BX311" s="1882"/>
      <c r="BY311" s="1882"/>
      <c r="BZ311" s="2390"/>
      <c r="CA311" s="1882"/>
      <c r="CB311" s="1189"/>
      <c r="CC311" s="1882"/>
      <c r="CD311" s="1603"/>
      <c r="CE311" s="1042"/>
      <c r="CF311" s="874"/>
      <c r="CG311" s="874"/>
      <c r="CH311" s="874"/>
      <c r="CI311" s="1603"/>
      <c r="CJ311" s="1042"/>
      <c r="CK311" s="874"/>
      <c r="CL311" s="874"/>
      <c r="CM311" s="874"/>
      <c r="CN311" s="3640"/>
      <c r="CO311" s="1042"/>
      <c r="CP311" s="874"/>
      <c r="CQ311" s="874"/>
      <c r="CR311" s="874"/>
      <c r="CS311" s="874"/>
      <c r="CT311" s="1042"/>
      <c r="CU311" s="874"/>
      <c r="CV311" s="874"/>
      <c r="CW311" s="874"/>
      <c r="CX311" s="874"/>
      <c r="CY311" s="1042"/>
      <c r="CZ311" s="1042"/>
      <c r="DA311" s="1042"/>
      <c r="DD311" s="2338"/>
      <c r="DE311" s="1042"/>
      <c r="DF311" s="1042"/>
      <c r="DG311" s="1042"/>
      <c r="DH311" s="1042"/>
      <c r="DI311" s="1042"/>
      <c r="DJ311" s="1042"/>
      <c r="DK311" s="1042"/>
      <c r="DL311" s="1042"/>
      <c r="DM311" s="1042"/>
      <c r="DN311" s="1042"/>
      <c r="DO311" s="1042"/>
      <c r="DP311" s="1042"/>
      <c r="DQ311" s="1042"/>
      <c r="DR311" s="1042"/>
      <c r="DS311" s="1042"/>
      <c r="DT311" s="1042"/>
      <c r="DU311" s="1042"/>
      <c r="DV311" s="1042"/>
      <c r="DW311" s="1042"/>
      <c r="DX311" s="1042"/>
      <c r="DY311" s="1042"/>
      <c r="EK311"/>
      <c r="EL311"/>
    </row>
    <row r="312" spans="1:148" hidden="1" outlineLevel="1" x14ac:dyDescent="0.2">
      <c r="A312" s="1683" t="s">
        <v>2881</v>
      </c>
      <c r="B312" s="1214"/>
      <c r="C312" s="1214"/>
      <c r="D312" s="1214"/>
      <c r="E312" s="1214"/>
      <c r="F312" s="1214"/>
      <c r="G312" s="1214"/>
      <c r="H312" s="1214"/>
      <c r="I312" s="1214"/>
      <c r="J312" s="1214"/>
      <c r="K312" s="1214"/>
      <c r="L312" s="1214"/>
      <c r="M312" s="1042"/>
      <c r="N312" s="1214"/>
      <c r="O312" s="1214"/>
      <c r="P312" s="1214"/>
      <c r="Q312" s="1214"/>
      <c r="R312" s="1042"/>
      <c r="S312" s="1214"/>
      <c r="T312" s="1214"/>
      <c r="U312" s="1214"/>
      <c r="V312" s="1214"/>
      <c r="W312" s="1042"/>
      <c r="X312" s="1214"/>
      <c r="Y312" s="1214"/>
      <c r="Z312" s="1214"/>
      <c r="AA312" s="1214"/>
      <c r="AB312" s="1042"/>
      <c r="AC312" s="1214"/>
      <c r="AD312" s="1214"/>
      <c r="AE312" s="1214"/>
      <c r="AF312" s="1214"/>
      <c r="AG312" s="1042"/>
      <c r="AH312" s="1214"/>
      <c r="AI312" s="1214"/>
      <c r="AJ312" s="1214"/>
      <c r="AK312" s="1214"/>
      <c r="AL312" s="1042"/>
      <c r="AM312" s="1214"/>
      <c r="AN312" s="1214"/>
      <c r="AO312" s="1214"/>
      <c r="AP312" s="1214"/>
      <c r="AQ312" s="1042"/>
      <c r="AR312" s="1214"/>
      <c r="AS312" s="1214"/>
      <c r="AT312" s="1214"/>
      <c r="AU312" s="1214"/>
      <c r="AV312" s="1042"/>
      <c r="AW312" s="1214"/>
      <c r="AX312" s="1214"/>
      <c r="AY312" s="1214"/>
      <c r="AZ312" s="1214"/>
      <c r="BA312" s="1042"/>
      <c r="BB312" s="1214"/>
      <c r="BC312" s="1214"/>
      <c r="BD312" s="1214"/>
      <c r="BE312" s="1214"/>
      <c r="BF312" s="1042"/>
      <c r="BG312" s="1214"/>
      <c r="BH312" s="1214"/>
      <c r="BI312" s="1214"/>
      <c r="BJ312" s="1214"/>
      <c r="BK312" s="1042"/>
      <c r="BL312" s="1882"/>
      <c r="BM312" s="1882"/>
      <c r="BN312" s="1882"/>
      <c r="BO312" s="1882"/>
      <c r="BP312" s="2390"/>
      <c r="BQ312" s="1882"/>
      <c r="BR312" s="1882"/>
      <c r="BS312" s="1882"/>
      <c r="BT312" s="1882"/>
      <c r="BU312" s="2390"/>
      <c r="BV312" s="1882"/>
      <c r="BW312" s="1882"/>
      <c r="BX312" s="1882"/>
      <c r="BY312" s="1882"/>
      <c r="BZ312" s="2390"/>
      <c r="CA312" s="1882"/>
      <c r="CB312" s="1189"/>
      <c r="CC312" s="1882"/>
      <c r="CD312" s="1603"/>
      <c r="CE312" s="1042"/>
      <c r="CF312" s="874"/>
      <c r="CG312" s="874"/>
      <c r="CH312" s="874"/>
      <c r="CI312" s="1603"/>
      <c r="CJ312" s="1042"/>
      <c r="CK312" s="874"/>
      <c r="CL312" s="874"/>
      <c r="CM312" s="874"/>
      <c r="CN312" s="3640"/>
      <c r="CO312" s="1042"/>
      <c r="CP312" s="874"/>
      <c r="CQ312" s="874"/>
      <c r="CR312" s="874"/>
      <c r="CS312" s="874"/>
      <c r="CT312" s="1042"/>
      <c r="CU312" s="874"/>
      <c r="CV312" s="874"/>
      <c r="CW312" s="874"/>
      <c r="CX312" s="874"/>
      <c r="CY312" s="1042"/>
      <c r="CZ312" s="1042"/>
      <c r="DA312" s="1042"/>
      <c r="DD312" s="2338"/>
      <c r="DE312" s="1042"/>
      <c r="DF312" s="1042"/>
      <c r="DG312" s="1042"/>
      <c r="DH312" s="1042"/>
      <c r="DI312" s="1042"/>
      <c r="DJ312" s="1042"/>
      <c r="DK312" s="1042"/>
      <c r="DL312" s="1042"/>
      <c r="DM312" s="1042"/>
      <c r="DN312" s="1042"/>
      <c r="DO312" s="1042"/>
      <c r="DP312" s="1042"/>
      <c r="DQ312" s="1042"/>
      <c r="DR312" s="1042"/>
      <c r="DS312" s="1042"/>
      <c r="DT312" s="1042"/>
      <c r="DU312" s="1042"/>
      <c r="DV312" s="1042"/>
      <c r="DW312" s="1042"/>
      <c r="DX312" s="1042"/>
      <c r="DY312" s="1042"/>
      <c r="EK312"/>
      <c r="EL312"/>
    </row>
    <row r="313" spans="1:148" hidden="1" outlineLevel="1" x14ac:dyDescent="0.2">
      <c r="A313" s="2338" t="s">
        <v>2882</v>
      </c>
      <c r="B313" s="1214"/>
      <c r="C313" s="1214"/>
      <c r="D313" s="1214"/>
      <c r="E313" s="1214"/>
      <c r="F313" s="1214"/>
      <c r="G313" s="1214"/>
      <c r="H313" s="1214"/>
      <c r="I313" s="1214"/>
      <c r="J313" s="1214"/>
      <c r="K313" s="1214"/>
      <c r="L313" s="1214"/>
      <c r="M313" s="1042"/>
      <c r="N313" s="1214"/>
      <c r="O313" s="1214"/>
      <c r="P313" s="1214"/>
      <c r="Q313" s="1214"/>
      <c r="R313" s="1042"/>
      <c r="S313" s="1214"/>
      <c r="T313" s="1214"/>
      <c r="U313" s="1214"/>
      <c r="V313" s="1214"/>
      <c r="W313" s="1042"/>
      <c r="X313" s="1214"/>
      <c r="Y313" s="1214"/>
      <c r="Z313" s="1214"/>
      <c r="AA313" s="1214"/>
      <c r="AB313" s="1042"/>
      <c r="AC313" s="1214"/>
      <c r="AD313" s="1214"/>
      <c r="AE313" s="1214"/>
      <c r="AF313" s="1214"/>
      <c r="AG313" s="1042"/>
      <c r="AH313" s="1214"/>
      <c r="AI313" s="1214"/>
      <c r="AJ313" s="1214"/>
      <c r="AK313" s="1214"/>
      <c r="AL313" s="1042"/>
      <c r="AM313" s="1214"/>
      <c r="AN313" s="1214"/>
      <c r="AO313" s="1214"/>
      <c r="AP313" s="1214"/>
      <c r="AQ313" s="1042"/>
      <c r="AR313" s="1214"/>
      <c r="AS313" s="1214"/>
      <c r="AT313" s="1214"/>
      <c r="AU313" s="1214"/>
      <c r="AV313" s="1042"/>
      <c r="AW313" s="1214"/>
      <c r="AX313" s="1214"/>
      <c r="AY313" s="1214"/>
      <c r="AZ313" s="1214"/>
      <c r="BA313" s="1042"/>
      <c r="BB313" s="1214"/>
      <c r="BC313" s="1214"/>
      <c r="BD313" s="1214"/>
      <c r="BE313" s="1214"/>
      <c r="BF313" s="1042"/>
      <c r="BG313" s="1214"/>
      <c r="BH313" s="1214"/>
      <c r="BI313" s="1214"/>
      <c r="BJ313" s="1214"/>
      <c r="BK313" s="1042"/>
      <c r="BL313" s="1882"/>
      <c r="BM313" s="1882"/>
      <c r="BN313" s="1882"/>
      <c r="BO313" s="1882"/>
      <c r="BP313" s="2390"/>
      <c r="BQ313" s="1882"/>
      <c r="BR313" s="1882"/>
      <c r="BS313" s="1882"/>
      <c r="BT313" s="1882"/>
      <c r="BU313" s="2390"/>
      <c r="BV313" s="1882"/>
      <c r="BW313" s="1882"/>
      <c r="BX313" s="1882"/>
      <c r="BY313" s="1882"/>
      <c r="BZ313" t="s">
        <v>2888</v>
      </c>
      <c r="CA313" s="2242"/>
      <c r="CB313" s="2242"/>
      <c r="CC313" s="2242">
        <v>0.04</v>
      </c>
      <c r="CD313" s="3644" t="s">
        <v>2219</v>
      </c>
      <c r="CE313" s="1042"/>
      <c r="CF313" s="2434"/>
      <c r="CG313" s="2434"/>
      <c r="CH313" t="s">
        <v>2887</v>
      </c>
      <c r="CI313" s="2434"/>
      <c r="CJ313" s="1042"/>
      <c r="CK313" s="874"/>
      <c r="CL313" s="874"/>
      <c r="CM313" t="s">
        <v>2884</v>
      </c>
      <c r="CN313" s="3642" t="s">
        <v>2883</v>
      </c>
      <c r="CO313" s="1042"/>
      <c r="CP313" s="874"/>
      <c r="CQ313" s="874"/>
      <c r="CR313" s="874"/>
      <c r="CS313" s="874"/>
      <c r="CT313" s="1042"/>
      <c r="CU313" s="874"/>
      <c r="CV313" s="874"/>
      <c r="CW313" s="874"/>
      <c r="CX313" s="874"/>
      <c r="CY313" s="1042"/>
      <c r="CZ313" s="1042"/>
      <c r="DA313" s="1042"/>
      <c r="DD313" s="2338"/>
      <c r="DE313" s="1042"/>
      <c r="DF313" s="1042"/>
      <c r="DG313" s="1042"/>
      <c r="DH313" s="1042"/>
      <c r="DI313" s="1042"/>
      <c r="DJ313" s="1042"/>
      <c r="DK313" s="1042"/>
      <c r="DL313" s="1042"/>
      <c r="DM313" s="1042"/>
      <c r="DN313" s="1042"/>
      <c r="DO313" s="1042"/>
      <c r="DP313" s="1042"/>
      <c r="DQ313" s="1042"/>
      <c r="DR313" s="1042"/>
      <c r="DS313" s="1042"/>
      <c r="DT313" s="1042"/>
      <c r="DU313" s="1042"/>
      <c r="DV313" s="1042"/>
      <c r="DW313" s="1042"/>
      <c r="DX313" s="1042"/>
      <c r="DY313" s="1042"/>
      <c r="EK313"/>
      <c r="EL313"/>
    </row>
    <row r="314" spans="1:148" hidden="1" outlineLevel="1" x14ac:dyDescent="0.2">
      <c r="A314" s="3641" t="s">
        <v>2880</v>
      </c>
      <c r="B314" s="1214"/>
      <c r="C314" s="1214"/>
      <c r="D314" s="1214"/>
      <c r="E314" s="1214"/>
      <c r="F314" s="1214"/>
      <c r="G314" s="1214"/>
      <c r="H314" s="1214"/>
      <c r="I314" s="1214"/>
      <c r="J314" s="1214"/>
      <c r="K314" s="1214"/>
      <c r="L314" s="1214"/>
      <c r="M314" s="1042"/>
      <c r="N314" s="1214"/>
      <c r="O314" s="1214"/>
      <c r="P314" s="1214"/>
      <c r="Q314" s="1214"/>
      <c r="R314" s="1042"/>
      <c r="S314" s="1214"/>
      <c r="T314" s="1214"/>
      <c r="U314" s="1214"/>
      <c r="V314" s="1214"/>
      <c r="W314" s="1042"/>
      <c r="X314" s="1214"/>
      <c r="Y314" s="1214"/>
      <c r="Z314" s="1214"/>
      <c r="AA314" s="1214"/>
      <c r="AB314" s="1042"/>
      <c r="AC314" s="1214"/>
      <c r="AD314" s="1214"/>
      <c r="AE314" s="1214"/>
      <c r="AF314" s="1214"/>
      <c r="AG314" s="1042"/>
      <c r="AH314" s="1214"/>
      <c r="AI314" s="1214"/>
      <c r="AJ314" s="1214"/>
      <c r="AK314" s="1214"/>
      <c r="AL314" s="1042"/>
      <c r="AM314" s="1214"/>
      <c r="AN314" s="1214"/>
      <c r="AO314" s="1214"/>
      <c r="AP314" s="1214"/>
      <c r="AQ314" s="1042"/>
      <c r="AR314" s="1214"/>
      <c r="AS314" s="1214"/>
      <c r="AT314" s="1214"/>
      <c r="AU314" s="1214"/>
      <c r="AV314" s="1042"/>
      <c r="AW314" s="1214"/>
      <c r="AX314" s="1214"/>
      <c r="AY314" s="1214"/>
      <c r="AZ314" s="1214"/>
      <c r="BA314" s="1042"/>
      <c r="BB314" s="1214"/>
      <c r="BC314" s="1214"/>
      <c r="BD314" s="1214"/>
      <c r="BE314" s="1214"/>
      <c r="BF314" s="1042"/>
      <c r="BG314" s="1214"/>
      <c r="BH314" s="1214"/>
      <c r="BI314" s="1214"/>
      <c r="BJ314" s="1214"/>
      <c r="BK314" s="1042"/>
      <c r="BL314" s="1882"/>
      <c r="BM314" s="1882"/>
      <c r="BN314" s="1882"/>
      <c r="BO314" s="1882"/>
      <c r="BP314" s="2390"/>
      <c r="BQ314" s="1882"/>
      <c r="BR314" s="1882"/>
      <c r="BS314" s="1882"/>
      <c r="BT314" s="1882"/>
      <c r="BU314" s="2390"/>
      <c r="BV314" s="1882"/>
      <c r="BW314" s="1882"/>
      <c r="BX314" s="1882"/>
      <c r="BY314" s="1882"/>
      <c r="BZ314" s="2390"/>
      <c r="CA314" s="2242"/>
      <c r="CB314" s="2242"/>
      <c r="CC314" s="2242"/>
      <c r="CD314" s="2412"/>
      <c r="CE314" s="1042"/>
      <c r="CF314" s="2434"/>
      <c r="CG314" s="2434"/>
      <c r="CH314" s="2434"/>
      <c r="CI314" s="2434"/>
      <c r="CJ314" s="1042"/>
      <c r="CK314" s="874"/>
      <c r="CL314" s="874"/>
      <c r="CM314" s="874"/>
      <c r="CN314" s="3640">
        <v>0.8</v>
      </c>
      <c r="CO314" s="1042"/>
      <c r="CP314" s="874"/>
      <c r="CQ314" s="874"/>
      <c r="CR314" s="874"/>
      <c r="CS314" s="874"/>
      <c r="CT314" s="1042"/>
      <c r="CU314" s="874"/>
      <c r="CV314" s="874"/>
      <c r="CW314" s="874"/>
      <c r="CX314" s="874"/>
      <c r="CY314" s="1042"/>
      <c r="CZ314" s="1042"/>
      <c r="DA314" s="1042"/>
      <c r="DD314" s="2338"/>
      <c r="DE314" s="1042"/>
      <c r="DF314" s="1042"/>
      <c r="DG314" s="1042"/>
      <c r="DH314" s="1042"/>
      <c r="DI314" s="1042"/>
      <c r="DJ314" s="1042"/>
      <c r="DK314" s="1042"/>
      <c r="DL314" s="1042"/>
      <c r="DM314" s="1042"/>
      <c r="DN314" s="1042"/>
      <c r="DO314" s="1042"/>
      <c r="DP314" s="1042"/>
      <c r="DQ314" s="1042"/>
      <c r="DR314" s="1042"/>
      <c r="DS314" s="1042"/>
      <c r="DT314" s="1042"/>
      <c r="DU314" s="1042"/>
      <c r="DV314" s="1042"/>
      <c r="DW314" s="1042"/>
      <c r="DX314" s="1042"/>
      <c r="DY314" s="1042"/>
      <c r="EK314"/>
      <c r="EL314"/>
    </row>
    <row r="315" spans="1:148" collapsed="1" x14ac:dyDescent="0.2">
      <c r="A315" s="1675"/>
      <c r="B315" s="874"/>
      <c r="C315" s="874"/>
      <c r="D315" s="874"/>
      <c r="E315" s="874"/>
      <c r="F315" s="874"/>
      <c r="G315" s="874"/>
      <c r="H315" s="874"/>
      <c r="I315" s="874"/>
      <c r="J315" s="874"/>
      <c r="K315" s="874"/>
      <c r="L315" s="874"/>
      <c r="M315" s="1042"/>
      <c r="N315" s="874"/>
      <c r="O315" s="874"/>
      <c r="P315" s="874"/>
      <c r="Q315" s="874"/>
      <c r="R315" s="1042"/>
      <c r="S315" s="874"/>
      <c r="T315" s="874"/>
      <c r="U315" s="874"/>
      <c r="V315" s="874"/>
      <c r="W315" s="1042"/>
      <c r="X315" s="874"/>
      <c r="Y315" s="874"/>
      <c r="Z315" s="874"/>
      <c r="AA315" s="874"/>
      <c r="AB315" s="1042"/>
      <c r="AC315" s="874"/>
      <c r="AD315" s="874"/>
      <c r="AE315" s="874"/>
      <c r="AF315" s="874"/>
      <c r="AG315" s="1042"/>
      <c r="AH315" s="874"/>
      <c r="AI315" s="874"/>
      <c r="AJ315" s="874"/>
      <c r="AK315" s="874"/>
      <c r="AL315" s="1042"/>
      <c r="AM315" s="874"/>
      <c r="AN315" s="874"/>
      <c r="AO315" s="874"/>
      <c r="AP315" s="874"/>
      <c r="AQ315" s="1042"/>
      <c r="AR315" s="874"/>
      <c r="AS315" s="874"/>
      <c r="AT315" s="874"/>
      <c r="AU315" s="874"/>
      <c r="AV315" s="1042"/>
      <c r="AW315" s="874"/>
      <c r="AX315" s="874"/>
      <c r="AY315" s="874"/>
      <c r="AZ315" s="874"/>
      <c r="BA315" s="1042"/>
      <c r="BB315" s="874"/>
      <c r="BC315" s="874"/>
      <c r="BD315" s="874"/>
      <c r="BE315" s="874"/>
      <c r="BF315" s="1042"/>
      <c r="BG315" s="874"/>
      <c r="BH315" s="874"/>
      <c r="BI315" s="874"/>
      <c r="BJ315" s="874"/>
      <c r="BK315" s="1042"/>
      <c r="BL315" s="874"/>
      <c r="BM315" s="874"/>
      <c r="BN315" s="874"/>
      <c r="BO315" s="874"/>
      <c r="BP315" s="1042"/>
      <c r="BQ315" s="874"/>
      <c r="BR315" s="874"/>
      <c r="BS315" s="874"/>
      <c r="BT315" s="874"/>
      <c r="BU315" s="1042"/>
      <c r="BV315" s="874"/>
      <c r="BW315" s="874"/>
      <c r="BX315" s="874"/>
      <c r="BY315" s="874"/>
      <c r="BZ315" s="1042"/>
      <c r="CA315" s="874"/>
      <c r="CB315" s="874"/>
      <c r="CC315" s="874"/>
      <c r="CD315" s="1603"/>
      <c r="CE315" s="1042"/>
      <c r="CF315" s="874"/>
      <c r="CG315" s="874"/>
      <c r="CH315" s="874"/>
      <c r="CI315" s="1603"/>
      <c r="CJ315" s="1042"/>
      <c r="CK315" s="874"/>
      <c r="CL315" s="874"/>
      <c r="CM315" s="874"/>
      <c r="CN315" s="1603"/>
      <c r="CO315" s="1042"/>
      <c r="CP315" s="874"/>
      <c r="CQ315" s="874"/>
      <c r="CR315" s="874"/>
      <c r="CS315" s="874"/>
      <c r="CT315" s="1042"/>
      <c r="CU315" s="874"/>
      <c r="CV315" s="874"/>
      <c r="CW315" s="874"/>
      <c r="CX315" s="874"/>
      <c r="CY315" s="1042"/>
      <c r="CZ315" s="1042"/>
      <c r="DA315" s="1042"/>
      <c r="DD315" s="1675"/>
      <c r="DE315" s="1042"/>
      <c r="DF315" s="1042"/>
      <c r="DG315" s="1042"/>
      <c r="DH315" s="1042"/>
      <c r="DI315" s="1042"/>
      <c r="DJ315" s="1042"/>
      <c r="DK315" s="1042"/>
      <c r="DL315" s="1042"/>
      <c r="DM315" s="1042"/>
      <c r="DN315" s="1042"/>
      <c r="DO315" s="1042"/>
      <c r="DP315" s="1042"/>
      <c r="DQ315" s="1042"/>
      <c r="DR315" s="1042"/>
      <c r="DS315" s="1042"/>
      <c r="DT315" s="1042"/>
      <c r="DU315" s="1042"/>
      <c r="DV315" s="1042"/>
      <c r="DW315" s="1042"/>
      <c r="DX315" s="1042"/>
      <c r="DY315" s="1042"/>
      <c r="EK315"/>
      <c r="EL315"/>
    </row>
    <row r="316" spans="1:148" x14ac:dyDescent="0.2">
      <c r="A316" s="1683" t="s">
        <v>1042</v>
      </c>
      <c r="B316" s="874"/>
      <c r="C316" s="874"/>
      <c r="D316" s="874"/>
      <c r="E316" s="874"/>
      <c r="F316" s="874"/>
      <c r="G316" s="874"/>
      <c r="H316" s="874"/>
      <c r="I316" s="874"/>
      <c r="J316" s="874"/>
      <c r="K316" s="874"/>
      <c r="L316" s="874"/>
      <c r="M316" s="1042"/>
      <c r="N316" s="874"/>
      <c r="O316" s="874"/>
      <c r="P316" s="874"/>
      <c r="Q316" s="874"/>
      <c r="R316" s="1042"/>
      <c r="S316" s="874"/>
      <c r="T316" s="874"/>
      <c r="U316" s="874"/>
      <c r="V316" s="874"/>
      <c r="W316" s="1042"/>
      <c r="X316" s="874"/>
      <c r="Y316" s="874"/>
      <c r="Z316" s="874"/>
      <c r="AA316" s="874"/>
      <c r="AB316" s="1042"/>
      <c r="AC316" s="874"/>
      <c r="AD316" s="874"/>
      <c r="AE316" s="874"/>
      <c r="AF316" s="874"/>
      <c r="AG316" s="1042"/>
      <c r="AH316" s="874"/>
      <c r="AI316" s="874"/>
      <c r="AJ316" s="874"/>
      <c r="AK316" s="874"/>
      <c r="AL316" s="1042"/>
      <c r="AM316" s="874"/>
      <c r="AN316" s="874"/>
      <c r="AO316" s="874"/>
      <c r="AP316" s="874"/>
      <c r="AQ316" s="1042"/>
      <c r="AR316" s="874"/>
      <c r="AS316" s="874"/>
      <c r="AT316" s="874"/>
      <c r="AU316" s="874"/>
      <c r="AV316" s="1042"/>
      <c r="AW316" s="874"/>
      <c r="AX316" s="874"/>
      <c r="AY316" s="874"/>
      <c r="AZ316" s="874"/>
      <c r="BA316" s="1042"/>
      <c r="BB316" s="874"/>
      <c r="BC316" s="874"/>
      <c r="BD316" s="874"/>
      <c r="BE316" s="874"/>
      <c r="BF316" s="1042"/>
      <c r="BG316" s="874"/>
      <c r="BH316" s="874"/>
      <c r="BI316" s="874"/>
      <c r="BJ316" s="874"/>
      <c r="BK316" s="1042"/>
      <c r="BL316" s="874"/>
      <c r="BM316" s="874"/>
      <c r="BN316" s="874"/>
      <c r="BO316" s="874"/>
      <c r="BP316" s="1042"/>
      <c r="BQ316" s="874"/>
      <c r="BR316" s="874"/>
      <c r="BS316" s="874"/>
      <c r="BT316" s="874"/>
      <c r="BU316" s="1042"/>
      <c r="BV316" s="874"/>
      <c r="BW316" s="874"/>
      <c r="BX316" s="874"/>
      <c r="BY316" s="874"/>
      <c r="BZ316" s="1042"/>
      <c r="CA316" s="874"/>
      <c r="CB316" s="874"/>
      <c r="CC316" s="874"/>
      <c r="CD316" s="1603"/>
      <c r="CE316" s="1042"/>
      <c r="CF316" s="874"/>
      <c r="CG316" s="874"/>
      <c r="CH316" s="874"/>
      <c r="CI316" s="1603"/>
      <c r="CJ316" s="1042"/>
      <c r="CK316" s="874"/>
      <c r="CL316" s="874"/>
      <c r="CM316" s="874"/>
      <c r="CN316" s="1603"/>
      <c r="CO316" s="1042"/>
      <c r="CP316" s="874"/>
      <c r="CQ316" s="874"/>
      <c r="CR316" s="874"/>
      <c r="CS316" s="874"/>
      <c r="CT316" s="1042"/>
      <c r="CU316" s="874"/>
      <c r="CV316" s="874"/>
      <c r="CW316" s="874"/>
      <c r="CX316" s="874"/>
      <c r="CY316" s="1042"/>
      <c r="CZ316" s="1042"/>
      <c r="DA316" s="1042"/>
      <c r="DD316" s="1683" t="s">
        <v>1042</v>
      </c>
      <c r="DE316" s="1042"/>
      <c r="DF316" s="1042"/>
      <c r="DG316" s="1042"/>
      <c r="DH316" s="1042"/>
      <c r="DI316" s="1042"/>
      <c r="DJ316" s="1042"/>
      <c r="DK316" s="1042"/>
      <c r="DL316" s="1042"/>
      <c r="DM316" s="1042"/>
      <c r="DN316" s="1042"/>
      <c r="DO316" s="1042"/>
      <c r="DP316" s="1042"/>
      <c r="DQ316" s="1042"/>
      <c r="DR316" s="1042"/>
      <c r="DS316" s="1042"/>
      <c r="DT316" s="1042"/>
      <c r="DU316" s="1042"/>
      <c r="DV316" s="1042"/>
      <c r="DW316" s="1042"/>
      <c r="DX316" s="1042"/>
      <c r="DY316" s="1042"/>
      <c r="EK316"/>
      <c r="EL316"/>
    </row>
    <row r="317" spans="1:148" s="243" customFormat="1" ht="12.75" customHeight="1" x14ac:dyDescent="0.2">
      <c r="A317" s="1682" t="s">
        <v>1929</v>
      </c>
      <c r="B317" s="1192"/>
      <c r="C317" s="1192"/>
      <c r="D317" s="1192"/>
      <c r="E317" s="1192"/>
      <c r="F317" s="1192"/>
      <c r="G317" s="1192"/>
      <c r="H317" s="1192"/>
      <c r="I317" s="1192"/>
      <c r="J317" s="1192"/>
      <c r="K317" s="1192"/>
      <c r="L317" s="1192"/>
      <c r="M317" s="1280"/>
      <c r="N317" s="1192"/>
      <c r="O317" s="1192"/>
      <c r="P317" s="1192"/>
      <c r="Q317" s="1192"/>
      <c r="R317" s="1280"/>
      <c r="S317" s="1192"/>
      <c r="T317" s="1192"/>
      <c r="U317" s="1192"/>
      <c r="V317" s="1192"/>
      <c r="W317" s="1280"/>
      <c r="X317" s="1192"/>
      <c r="Y317" s="1192"/>
      <c r="Z317" s="1192"/>
      <c r="AA317" s="1192"/>
      <c r="AB317" s="1280"/>
      <c r="AC317" s="1192"/>
      <c r="AD317" s="1192"/>
      <c r="AE317" s="1192"/>
      <c r="AF317" s="1192"/>
      <c r="AG317" s="1280"/>
      <c r="AH317" s="1192"/>
      <c r="AI317" s="1192"/>
      <c r="AJ317" s="1192"/>
      <c r="AK317" s="1192"/>
      <c r="AL317" s="1280"/>
      <c r="AM317" s="1192"/>
      <c r="AN317" s="1192"/>
      <c r="AO317" s="1192"/>
      <c r="AP317" s="1192"/>
      <c r="AQ317" s="1280"/>
      <c r="AR317" s="1192"/>
      <c r="AS317" s="1192"/>
      <c r="AT317" s="1192"/>
      <c r="AU317" s="1192"/>
      <c r="AV317" s="1280"/>
      <c r="AW317" s="1192"/>
      <c r="AX317" s="1192"/>
      <c r="AY317" s="1192"/>
      <c r="AZ317" s="1192"/>
      <c r="BA317" s="1280"/>
      <c r="BB317" s="1192">
        <f>RevPAR!AU354</f>
        <v>-0.16529903885404762</v>
      </c>
      <c r="BC317" s="1192">
        <f>RevPAR!AV354</f>
        <v>-0.22388725646685759</v>
      </c>
      <c r="BD317" s="1192">
        <f>RevPAR!AW354</f>
        <v>-0.19864088052678941</v>
      </c>
      <c r="BE317" s="1192">
        <f>RevPAR!AX354</f>
        <v>-0.15422409851939367</v>
      </c>
      <c r="BF317" s="1280">
        <f>RevPAR!AY354</f>
        <v>-0.18469228180846209</v>
      </c>
      <c r="BG317" s="1192">
        <f>RevPAR!AZ354</f>
        <v>-8.6571958770019775E-3</v>
      </c>
      <c r="BH317" s="1192">
        <f>RevPAR!BA354</f>
        <v>8.7020224840021587E-2</v>
      </c>
      <c r="BI317" s="1192">
        <f>RevPAR!BB354</f>
        <v>7.86775434235647E-2</v>
      </c>
      <c r="BJ317" s="1192">
        <f>RevPAR!BC354</f>
        <v>7.1500531843457393E-2</v>
      </c>
      <c r="BK317" s="1280">
        <f>RevPAR!BD354</f>
        <v>5.8173904952637079E-2</v>
      </c>
      <c r="BL317" s="1192">
        <f>RevPAR!BE354</f>
        <v>8.2264031897697265E-2</v>
      </c>
      <c r="BM317" s="1192">
        <f>RevPAR!BF354</f>
        <v>8.330597457078226E-2</v>
      </c>
      <c r="BN317" s="1192">
        <f>RevPAR!BG354</f>
        <v>8.5001966822922492E-2</v>
      </c>
      <c r="BO317" s="1192">
        <f>RevPAR!BH354</f>
        <v>7.5037298752207438E-2</v>
      </c>
      <c r="BP317" s="1280">
        <f>RevPAR!BI354</f>
        <v>8.0979292728259322E-2</v>
      </c>
      <c r="BQ317" s="1192">
        <f>RevPAR!BJ354</f>
        <v>6.9870440912095821E-2</v>
      </c>
      <c r="BR317" s="1192">
        <f>RevPAR!BK354</f>
        <v>5.5355260478255008E-2</v>
      </c>
      <c r="BS317" s="1192">
        <f>RevPAR!BL354</f>
        <v>4.5901068202239825E-2</v>
      </c>
      <c r="BT317" s="1192">
        <f>RevPAR!BM354</f>
        <v>4.4128209372659377E-2</v>
      </c>
      <c r="BU317" s="1280">
        <f>RevPAR!BN354</f>
        <v>5.2963558276701406E-2</v>
      </c>
      <c r="BV317" s="1192">
        <f>RevPAR!BO354</f>
        <v>0.1287573230203154</v>
      </c>
      <c r="BW317" s="1192">
        <f>RevPAR!BP354</f>
        <v>0.1103787263770255</v>
      </c>
      <c r="BX317" s="1192">
        <f>RevPAR!BQ354</f>
        <v>0.12347427168021796</v>
      </c>
      <c r="BY317" s="1192">
        <f>RevPAR!BR354</f>
        <v>-0.18962151314150399</v>
      </c>
      <c r="BZ317" s="1280">
        <f>RevPAR!BS354</f>
        <v>2.8312891948179431E-2</v>
      </c>
      <c r="CA317" s="1192">
        <f>RevPAR!BT354</f>
        <v>8.8877897472134926E-3</v>
      </c>
      <c r="CB317" s="1192">
        <f>RevPAR!BU354</f>
        <v>4.0320244360823265E-2</v>
      </c>
      <c r="CC317" s="1192">
        <f>RevPAR!BV354</f>
        <v>7.2214163750274007E-2</v>
      </c>
      <c r="CD317" s="1805">
        <f>RevPAR!BW354</f>
        <v>6.1094515369769953E-2</v>
      </c>
      <c r="CE317" s="1280">
        <f>RevPAR!BX354</f>
        <v>4.5578841542244231E-2</v>
      </c>
      <c r="CF317" s="1192">
        <f>RevPAR!BY354</f>
        <v>6.8447475617831266E-2</v>
      </c>
      <c r="CG317" s="1192">
        <f>RevPAR!BZ354</f>
        <v>5.026134293275053E-2</v>
      </c>
      <c r="CH317" s="1192">
        <f>RevPAR!CA354</f>
        <v>6.8527223967311812E-2</v>
      </c>
      <c r="CI317" s="1805">
        <f>RevPAR!CB354</f>
        <v>6.2928649602940423E-2</v>
      </c>
      <c r="CJ317" s="1280">
        <f>RevPAR!CC354</f>
        <v>6.2292925881567207E-2</v>
      </c>
      <c r="CK317" s="1192">
        <f>RevPAR!CD354</f>
        <v>4.0899715645603907E-2</v>
      </c>
      <c r="CL317" s="1192">
        <f>RevPAR!CE354</f>
        <v>1.6048947825498372E-2</v>
      </c>
      <c r="CM317" s="1192">
        <f>RevPAR!CF354</f>
        <v>-1.1147275382829225E-2</v>
      </c>
      <c r="CN317" s="3188">
        <f>+RevPAR!CG358</f>
        <v>2.6036275709988788E-2</v>
      </c>
      <c r="CO317" s="1280">
        <f>RevPAR!CH354</f>
        <v>8.8641111783624327E-2</v>
      </c>
      <c r="CP317" s="1192">
        <f>+RevPAR!CI358</f>
        <v>2.3013267314979879E-2</v>
      </c>
      <c r="CQ317" s="1192">
        <f>+RevPAR!CJ358</f>
        <v>2.6668750635135963E-2</v>
      </c>
      <c r="CR317" s="1192">
        <f>+RevPAR!CK358</f>
        <v>3.5652718005923179E-2</v>
      </c>
      <c r="CS317" s="1192">
        <f>+RevPAR!CL358</f>
        <v>3.5854252477661497E-2</v>
      </c>
      <c r="CT317" s="2985">
        <f>RevPAR!CM358</f>
        <v>3.0352175770893997E-2</v>
      </c>
      <c r="CU317" s="1192">
        <f>+RevPAR!CN358</f>
        <v>3.8322853075489549E-2</v>
      </c>
      <c r="CV317" s="1192">
        <f>+RevPAR!CO358</f>
        <v>4.8618282341190255E-2</v>
      </c>
      <c r="CW317" s="1192">
        <f>+RevPAR!CP358</f>
        <v>4.5620417705118044E-2</v>
      </c>
      <c r="CX317" s="1192">
        <f>+RevPAR!CQ358</f>
        <v>4.2978766776222921E-2</v>
      </c>
      <c r="CY317" s="1044">
        <f>RevPAR!CR358</f>
        <v>4.4087007038769555E-2</v>
      </c>
      <c r="CZ317" s="1044">
        <f>+RevPAR!CS358</f>
        <v>4.7500160125603097E-2</v>
      </c>
      <c r="DA317" s="1044">
        <f>+RevPAR!CT358</f>
        <v>-2.4471727673251453E-2</v>
      </c>
      <c r="DB317"/>
      <c r="DC317"/>
      <c r="DD317" s="2337" t="s">
        <v>1929</v>
      </c>
      <c r="DE317" s="1044">
        <f>M317</f>
        <v>0</v>
      </c>
      <c r="DF317" s="1044">
        <f>R317</f>
        <v>0</v>
      </c>
      <c r="DG317" s="1044">
        <f>W317</f>
        <v>0</v>
      </c>
      <c r="DH317" s="1044">
        <f>AB317</f>
        <v>0</v>
      </c>
      <c r="DI317" s="1044">
        <f>AG317</f>
        <v>0</v>
      </c>
      <c r="DJ317" s="1044">
        <f>AL317</f>
        <v>0</v>
      </c>
      <c r="DK317" s="1044">
        <f>AQ317</f>
        <v>0</v>
      </c>
      <c r="DL317" s="1044">
        <f>AV317</f>
        <v>0</v>
      </c>
      <c r="DM317" s="1044">
        <f>BA317</f>
        <v>0</v>
      </c>
      <c r="DN317" s="1044">
        <f>BF317</f>
        <v>-0.18469228180846209</v>
      </c>
      <c r="DO317" s="1044">
        <f>BK317</f>
        <v>5.8173904952637079E-2</v>
      </c>
      <c r="DP317" s="1044">
        <f>BP317</f>
        <v>8.0979292728259322E-2</v>
      </c>
      <c r="DQ317" s="1044">
        <f>BU317</f>
        <v>5.2963558276701406E-2</v>
      </c>
      <c r="DR317" s="1044">
        <f>BZ317</f>
        <v>2.8312891948179431E-2</v>
      </c>
      <c r="DS317" s="1044">
        <f>CE317</f>
        <v>4.5578841542244231E-2</v>
      </c>
      <c r="DT317" s="1044">
        <f>CJ317</f>
        <v>6.2292925881567207E-2</v>
      </c>
      <c r="DU317" s="1044">
        <f>CO317</f>
        <v>8.8641111783624327E-2</v>
      </c>
      <c r="DV317" s="1044">
        <f>CT317</f>
        <v>3.0352175770893997E-2</v>
      </c>
      <c r="DW317" s="1044">
        <f t="shared" ref="DW317:DY318" si="734">CY317</f>
        <v>4.4087007038769555E-2</v>
      </c>
      <c r="DX317" s="1044">
        <f t="shared" si="734"/>
        <v>4.7500160125603097E-2</v>
      </c>
      <c r="DY317" s="1044">
        <f t="shared" si="734"/>
        <v>-2.4471727673251453E-2</v>
      </c>
      <c r="EA317"/>
      <c r="EB317"/>
      <c r="EC317"/>
      <c r="ED317"/>
      <c r="EE317"/>
      <c r="EF317"/>
      <c r="EJ317"/>
      <c r="EK317"/>
      <c r="EL317"/>
      <c r="ER317" s="234"/>
    </row>
    <row r="318" spans="1:148" s="243" customFormat="1" ht="12.75" customHeight="1" x14ac:dyDescent="0.2">
      <c r="A318" s="1682" t="s">
        <v>1035</v>
      </c>
      <c r="B318" s="885"/>
      <c r="C318" s="885"/>
      <c r="D318" s="885"/>
      <c r="E318" s="885"/>
      <c r="F318" s="885"/>
      <c r="G318" s="885"/>
      <c r="H318" s="885"/>
      <c r="I318" s="885"/>
      <c r="J318" s="885"/>
      <c r="K318" s="885"/>
      <c r="L318" s="885"/>
      <c r="M318" s="1044"/>
      <c r="N318" s="885"/>
      <c r="O318" s="885"/>
      <c r="P318" s="885"/>
      <c r="Q318" s="885"/>
      <c r="R318" s="1044"/>
      <c r="S318" s="885"/>
      <c r="T318" s="885"/>
      <c r="U318" s="885"/>
      <c r="V318" s="885"/>
      <c r="W318" s="1044"/>
      <c r="X318" s="885"/>
      <c r="Y318" s="885"/>
      <c r="Z318" s="885"/>
      <c r="AA318" s="885"/>
      <c r="AB318" s="1044"/>
      <c r="AC318" s="885"/>
      <c r="AD318" s="885"/>
      <c r="AE318" s="885"/>
      <c r="AF318" s="885"/>
      <c r="AG318" s="1044"/>
      <c r="AH318" s="885"/>
      <c r="AI318" s="885"/>
      <c r="AJ318" s="885"/>
      <c r="AK318" s="885"/>
      <c r="AL318" s="1044"/>
      <c r="AM318" s="885"/>
      <c r="AN318" s="885"/>
      <c r="AO318" s="885"/>
      <c r="AP318" s="885"/>
      <c r="AQ318" s="1044"/>
      <c r="AR318" s="885"/>
      <c r="AS318" s="885"/>
      <c r="AT318" s="885"/>
      <c r="AU318" s="885"/>
      <c r="AV318" s="1044"/>
      <c r="AW318" s="885"/>
      <c r="AX318" s="885"/>
      <c r="AY318" s="885"/>
      <c r="AZ318" s="885"/>
      <c r="BA318" s="1044"/>
      <c r="BB318" s="885">
        <f>+RevPAR!AU366</f>
        <v>-0.21349426770408009</v>
      </c>
      <c r="BC318" s="885">
        <f>+RevPAR!AV366</f>
        <v>-0.2866174608629638</v>
      </c>
      <c r="BD318" s="885">
        <f>+RevPAR!AW366</f>
        <v>-0.23080601095192887</v>
      </c>
      <c r="BE318" s="885">
        <f>+RevPAR!AX366</f>
        <v>-7.3063446884469196E-2</v>
      </c>
      <c r="BF318" s="1044">
        <f>+RevPAR!AY366</f>
        <v>-0.19374852298277179</v>
      </c>
      <c r="BG318" s="885">
        <f>+RevPAR!AZ366</f>
        <v>5.3553070183411267E-2</v>
      </c>
      <c r="BH318" s="885">
        <f>+RevPAR!BA366</f>
        <v>0.18424892759660838</v>
      </c>
      <c r="BI318" s="885">
        <f>+RevPAR!BB366</f>
        <v>0.1187763688578154</v>
      </c>
      <c r="BJ318" s="885">
        <f>+RevPAR!BC366</f>
        <v>8.4004770204099355E-2</v>
      </c>
      <c r="BK318" s="1044">
        <f>+RevPAR!BD366</f>
        <v>0.10734423899480494</v>
      </c>
      <c r="BL318" s="885">
        <f>+RevPAR!BE366</f>
        <v>0.12017891755240928</v>
      </c>
      <c r="BM318" s="885">
        <f>+RevPAR!BF366</f>
        <v>0.14906142613163897</v>
      </c>
      <c r="BN318" s="885">
        <f>+RevPAR!BG366</f>
        <v>0.18530844652389766</v>
      </c>
      <c r="BO318" s="885">
        <f>+RevPAR!BH366</f>
        <v>0.1253548108209297</v>
      </c>
      <c r="BP318" s="1044">
        <f>+RevPAR!BI366</f>
        <v>0.1449759002572189</v>
      </c>
      <c r="BQ318" s="885">
        <f>+RevPAR!BJ366</f>
        <v>3.5144928256505947E-2</v>
      </c>
      <c r="BR318" s="885">
        <f>+RevPAR!BK366</f>
        <v>2.5173177872633179E-2</v>
      </c>
      <c r="BS318" s="885">
        <f>+RevPAR!BL366</f>
        <v>-1.8346291189880071E-2</v>
      </c>
      <c r="BT318" s="885">
        <f>+RevPAR!BM366</f>
        <v>-6.8065637329599582E-3</v>
      </c>
      <c r="BU318" s="1044">
        <f>+RevPAR!BN366</f>
        <v>8.7913128015747743E-3</v>
      </c>
      <c r="BV318" s="885">
        <f>+RevPAR!BO366</f>
        <v>0.25921564278978848</v>
      </c>
      <c r="BW318" s="885">
        <f>+RevPAR!BP366</f>
        <v>0.16924377341766417</v>
      </c>
      <c r="BX318" s="885">
        <f>+RevPAR!BQ366</f>
        <v>0.22129024116439644</v>
      </c>
      <c r="BY318" s="885">
        <f>+RevPAR!BR366</f>
        <v>-8.9290786978556858E-2</v>
      </c>
      <c r="BZ318" s="1044">
        <f>+RevPAR!BS366</f>
        <v>0.14011471759832306</v>
      </c>
      <c r="CA318" s="885">
        <f>+RevPAR!BT366</f>
        <v>0.22656672613361151</v>
      </c>
      <c r="CB318" s="885">
        <f>+RevPAR!BU366</f>
        <v>0.28626515445635059</v>
      </c>
      <c r="CC318" s="885">
        <f>+RevPAR!BV366</f>
        <v>0.26928126927884333</v>
      </c>
      <c r="CD318" s="1640">
        <f>+RevPAR!BW366</f>
        <v>0.246615435971129</v>
      </c>
      <c r="CE318" s="1044">
        <f>+RevPAR!BX366</f>
        <v>0.25718214645998361</v>
      </c>
      <c r="CF318" s="885">
        <f>+RevPAR!BY366</f>
        <v>4.2853887033353022E-2</v>
      </c>
      <c r="CG318" s="885">
        <f>+RevPAR!BZ366</f>
        <v>-5.2747603714371816E-2</v>
      </c>
      <c r="CH318" s="885">
        <f>+RevPAR!CA366</f>
        <v>-3.7343999639904979E-2</v>
      </c>
      <c r="CI318" s="1640">
        <f>+RevPAR!CB366</f>
        <v>-4.6302876533595771E-2</v>
      </c>
      <c r="CJ318" s="1044">
        <f>+RevPAR!CC366</f>
        <v>-2.3385148213629886E-2</v>
      </c>
      <c r="CK318" s="885">
        <f>+RevPAR!CD366</f>
        <v>-4.8661311230743021E-2</v>
      </c>
      <c r="CL318" s="885">
        <f>+RevPAR!CE366</f>
        <v>-2.8186907849091947E-2</v>
      </c>
      <c r="CM318" s="885">
        <f>+RevPAR!CF366</f>
        <v>-3.4468685198168703E-2</v>
      </c>
      <c r="CN318" s="3188">
        <f>+RevPAR!CG370</f>
        <v>7.1884824147561588E-2</v>
      </c>
      <c r="CO318" s="1044">
        <f>+RevPAR!CH370</f>
        <v>-2.1970507032869069E-3</v>
      </c>
      <c r="CP318" s="885">
        <f ca="1">+RevPAR!CI370</f>
        <v>1.0493840235664909E-2</v>
      </c>
      <c r="CQ318" s="885">
        <f ca="1">+RevPAR!CJ370</f>
        <v>6.6158544400537922E-2</v>
      </c>
      <c r="CR318" s="885">
        <f ca="1">+RevPAR!CK370</f>
        <v>0.27667209603974707</v>
      </c>
      <c r="CS318" s="885">
        <f ca="1">+RevPAR!CL370</f>
        <v>9.2719751575725207E-2</v>
      </c>
      <c r="CT318" s="1044">
        <f ca="1">+RevPAR!CM370</f>
        <v>0.11304646904830018</v>
      </c>
      <c r="CU318" s="885">
        <f ca="1">+RevPAR!CN370</f>
        <v>9.4332636370147993E-2</v>
      </c>
      <c r="CV318" s="885">
        <f ca="1">+RevPAR!CO370</f>
        <v>0.10969863382397538</v>
      </c>
      <c r="CW318" s="885">
        <f ca="1">+RevPAR!CP370</f>
        <v>9.7697425855893805E-2</v>
      </c>
      <c r="CX318" s="885">
        <f ca="1">+RevPAR!CQ370</f>
        <v>0.10078765697901471</v>
      </c>
      <c r="CY318" s="1044">
        <f ca="1">+RevPAR!CR370</f>
        <v>0.10061506636961615</v>
      </c>
      <c r="CZ318" s="1044">
        <f ca="1">+RevPAR!CS370</f>
        <v>7.8558382477163846E-2</v>
      </c>
      <c r="DA318" s="1044">
        <f ca="1">+RevPAR!CT370</f>
        <v>1.0371632939449649E-2</v>
      </c>
      <c r="DB318"/>
      <c r="DC318"/>
      <c r="DD318" s="2337" t="s">
        <v>1035</v>
      </c>
      <c r="DE318" s="1044">
        <f>M318</f>
        <v>0</v>
      </c>
      <c r="DF318" s="1044">
        <f>R318</f>
        <v>0</v>
      </c>
      <c r="DG318" s="1044">
        <f>W318</f>
        <v>0</v>
      </c>
      <c r="DH318" s="1044">
        <f>AB318</f>
        <v>0</v>
      </c>
      <c r="DI318" s="1044">
        <f>AG318</f>
        <v>0</v>
      </c>
      <c r="DJ318" s="1044">
        <f>AL318</f>
        <v>0</v>
      </c>
      <c r="DK318" s="1044">
        <f>AQ318</f>
        <v>0</v>
      </c>
      <c r="DL318" s="1044">
        <f>AV318</f>
        <v>0</v>
      </c>
      <c r="DM318" s="1044">
        <f>BA318</f>
        <v>0</v>
      </c>
      <c r="DN318" s="1044">
        <f>BF318</f>
        <v>-0.19374852298277179</v>
      </c>
      <c r="DO318" s="1044">
        <f>BK318</f>
        <v>0.10734423899480494</v>
      </c>
      <c r="DP318" s="1044">
        <f>BP318</f>
        <v>0.1449759002572189</v>
      </c>
      <c r="DQ318" s="1044">
        <f>BU318</f>
        <v>8.7913128015747743E-3</v>
      </c>
      <c r="DR318" s="1044">
        <f>BZ318</f>
        <v>0.14011471759832306</v>
      </c>
      <c r="DS318" s="1044">
        <f>CE318</f>
        <v>0.25718214645998361</v>
      </c>
      <c r="DT318" s="1044">
        <f>CJ318</f>
        <v>-2.3385148213629886E-2</v>
      </c>
      <c r="DU318" s="1044">
        <f>CO318</f>
        <v>-2.1970507032869069E-3</v>
      </c>
      <c r="DV318" s="1044">
        <f ca="1">CT318</f>
        <v>0.11304646904830018</v>
      </c>
      <c r="DW318" s="1044">
        <f t="shared" ca="1" si="734"/>
        <v>0.10061506636961615</v>
      </c>
      <c r="DX318" s="1044">
        <f t="shared" ca="1" si="734"/>
        <v>7.8558382477163846E-2</v>
      </c>
      <c r="DY318" s="1044">
        <f t="shared" ca="1" si="734"/>
        <v>1.0371632939449649E-2</v>
      </c>
      <c r="EA318"/>
      <c r="EB318"/>
      <c r="EC318"/>
      <c r="ED318"/>
      <c r="EE318"/>
      <c r="EF318"/>
      <c r="EJ318"/>
      <c r="EK318"/>
      <c r="EL318"/>
      <c r="ER318" s="234"/>
    </row>
    <row r="319" spans="1:148" s="1193" customFormat="1" ht="12.75" customHeight="1" x14ac:dyDescent="0.2">
      <c r="A319" s="1684"/>
      <c r="B319" s="1043"/>
      <c r="C319" s="1043"/>
      <c r="D319" s="1043"/>
      <c r="E319" s="1043"/>
      <c r="F319" s="1043"/>
      <c r="G319" s="1043"/>
      <c r="H319" s="1043"/>
      <c r="I319" s="1043"/>
      <c r="J319" s="1043"/>
      <c r="K319" s="1043"/>
      <c r="L319" s="1043"/>
      <c r="M319" s="1281"/>
      <c r="N319" s="1043"/>
      <c r="O319" s="1043"/>
      <c r="P319" s="1043"/>
      <c r="Q319" s="1043"/>
      <c r="R319" s="1281"/>
      <c r="S319" s="1043"/>
      <c r="T319" s="1043"/>
      <c r="U319" s="1043"/>
      <c r="V319" s="1043"/>
      <c r="W319" s="1281"/>
      <c r="X319" s="1043"/>
      <c r="Y319" s="1043"/>
      <c r="Z319" s="1043"/>
      <c r="AA319" s="1043"/>
      <c r="AB319" s="1281"/>
      <c r="AC319" s="1043"/>
      <c r="AD319" s="1043"/>
      <c r="AE319" s="1043"/>
      <c r="AF319" s="1043"/>
      <c r="AG319" s="1281"/>
      <c r="AH319" s="1043"/>
      <c r="AI319" s="1043"/>
      <c r="AJ319" s="1043"/>
      <c r="AK319" s="1043"/>
      <c r="AL319" s="1281"/>
      <c r="AM319" s="1043"/>
      <c r="AN319" s="1043"/>
      <c r="AO319" s="1043"/>
      <c r="AP319" s="1043"/>
      <c r="AQ319" s="1281"/>
      <c r="AR319" s="1043"/>
      <c r="AS319" s="1043"/>
      <c r="AT319" s="1043"/>
      <c r="AU319" s="1043"/>
      <c r="AV319" s="1281"/>
      <c r="AW319" s="1043"/>
      <c r="AX319" s="1043"/>
      <c r="AY319" s="1043"/>
      <c r="AZ319" s="1043"/>
      <c r="BA319" s="1281"/>
      <c r="BB319" s="1043"/>
      <c r="BC319" s="1043"/>
      <c r="BD319" s="1043"/>
      <c r="BE319" s="1043"/>
      <c r="BF319" s="1281"/>
      <c r="BG319" s="1043"/>
      <c r="BH319" s="1043"/>
      <c r="BI319" s="1043"/>
      <c r="BJ319" s="1043"/>
      <c r="BK319" s="1281"/>
      <c r="BL319" s="1043"/>
      <c r="BM319" s="1043"/>
      <c r="BN319" s="1043"/>
      <c r="BO319" s="1043"/>
      <c r="BP319" s="1281"/>
      <c r="BQ319" s="1043"/>
      <c r="BR319" s="1043"/>
      <c r="BS319" s="1043"/>
      <c r="BT319" s="1043"/>
      <c r="BU319" s="1281"/>
      <c r="BV319" s="1043"/>
      <c r="BW319" s="1043"/>
      <c r="BX319" s="1043"/>
      <c r="BY319" s="1043"/>
      <c r="BZ319" s="1281"/>
      <c r="CA319" s="1043"/>
      <c r="CB319" s="874"/>
      <c r="CC319" s="874"/>
      <c r="CD319" s="1603"/>
      <c r="CE319" s="1281"/>
      <c r="CF319" s="1043"/>
      <c r="CG319" s="874"/>
      <c r="CH319" s="874"/>
      <c r="CI319" s="1603"/>
      <c r="CJ319" s="1281"/>
      <c r="CK319" s="874"/>
      <c r="CL319" s="874"/>
      <c r="CM319" s="874"/>
      <c r="CN319" s="1603"/>
      <c r="CO319" s="1281"/>
      <c r="CP319" s="874"/>
      <c r="CQ319" s="874"/>
      <c r="CR319" s="874"/>
      <c r="CS319" s="874"/>
      <c r="CT319" s="1281"/>
      <c r="CU319" s="874"/>
      <c r="CV319" s="874"/>
      <c r="CW319" s="874"/>
      <c r="CX319" s="874"/>
      <c r="CY319" s="1281"/>
      <c r="CZ319" s="1281"/>
      <c r="DA319" s="1281"/>
      <c r="DB319"/>
      <c r="DC319"/>
      <c r="DD319" s="2339"/>
      <c r="DE319" s="1042"/>
      <c r="DF319" s="1042"/>
      <c r="DG319" s="1042"/>
      <c r="DH319" s="1042"/>
      <c r="DI319" s="1042"/>
      <c r="DJ319" s="1042"/>
      <c r="DK319" s="1042"/>
      <c r="DL319" s="1042"/>
      <c r="DM319" s="1042"/>
      <c r="DN319" s="1042"/>
      <c r="DO319" s="1042"/>
      <c r="DP319" s="1042"/>
      <c r="DQ319" s="1042"/>
      <c r="DR319" s="1042"/>
      <c r="DS319" s="1042"/>
      <c r="DT319" s="1042"/>
      <c r="DU319" s="1042"/>
      <c r="DV319" s="1042"/>
      <c r="DW319" s="1042"/>
      <c r="DX319" s="1042"/>
      <c r="DY319" s="1042"/>
      <c r="EA319"/>
      <c r="EB319"/>
      <c r="EC319"/>
      <c r="ED319"/>
      <c r="EE319"/>
      <c r="EF319"/>
      <c r="EJ319"/>
      <c r="EK319"/>
      <c r="EL319"/>
      <c r="ER319" s="212"/>
    </row>
    <row r="320" spans="1:148" s="1193" customFormat="1" ht="12.75" customHeight="1" x14ac:dyDescent="0.2">
      <c r="A320" s="1685" t="s">
        <v>1043</v>
      </c>
      <c r="B320" s="1045"/>
      <c r="C320" s="1045"/>
      <c r="D320" s="1045"/>
      <c r="E320" s="1045"/>
      <c r="F320" s="1045"/>
      <c r="G320" s="1045"/>
      <c r="H320" s="1045"/>
      <c r="I320" s="1045"/>
      <c r="J320" s="1045"/>
      <c r="K320" s="1045"/>
      <c r="L320" s="1045"/>
      <c r="M320" s="1281"/>
      <c r="N320" s="1045"/>
      <c r="O320" s="1045"/>
      <c r="P320" s="1045"/>
      <c r="Q320" s="1045"/>
      <c r="R320" s="1281"/>
      <c r="S320" s="1045"/>
      <c r="T320" s="1045"/>
      <c r="U320" s="1045"/>
      <c r="V320" s="1045"/>
      <c r="W320" s="1281"/>
      <c r="X320" s="1045"/>
      <c r="Y320" s="1045"/>
      <c r="Z320" s="1045"/>
      <c r="AA320" s="1045"/>
      <c r="AB320" s="1281"/>
      <c r="AC320" s="1045"/>
      <c r="AD320" s="1045"/>
      <c r="AE320" s="1045"/>
      <c r="AF320" s="1045"/>
      <c r="AG320" s="1281"/>
      <c r="AH320" s="1045"/>
      <c r="AI320" s="1045"/>
      <c r="AJ320" s="1045"/>
      <c r="AK320" s="1045"/>
      <c r="AL320" s="1281"/>
      <c r="AM320" s="1045"/>
      <c r="AN320" s="1045"/>
      <c r="AO320" s="1045"/>
      <c r="AP320" s="1045"/>
      <c r="AQ320" s="1281"/>
      <c r="AR320" s="1045"/>
      <c r="AS320" s="1045"/>
      <c r="AT320" s="1045"/>
      <c r="AU320" s="1045"/>
      <c r="AV320" s="1281"/>
      <c r="AW320" s="1045"/>
      <c r="AX320" s="1045"/>
      <c r="AY320" s="1045"/>
      <c r="AZ320" s="1045"/>
      <c r="BA320" s="1281"/>
      <c r="BB320" s="1045"/>
      <c r="BC320" s="1045"/>
      <c r="BD320" s="1045"/>
      <c r="BE320" s="1045"/>
      <c r="BF320" s="1281"/>
      <c r="BG320" s="1045"/>
      <c r="BH320" s="1045"/>
      <c r="BI320" s="1045"/>
      <c r="BJ320" s="1045"/>
      <c r="BK320" s="1281"/>
      <c r="BL320" s="1045"/>
      <c r="BM320" s="1045"/>
      <c r="BN320" s="1045"/>
      <c r="BO320" s="1045"/>
      <c r="BP320" s="1281"/>
      <c r="BQ320" s="1045"/>
      <c r="BR320" s="1045"/>
      <c r="BS320" s="1045"/>
      <c r="BT320" s="1045"/>
      <c r="BU320" s="1281"/>
      <c r="BV320" s="1045"/>
      <c r="BW320" s="1045"/>
      <c r="BX320" s="1045"/>
      <c r="BY320" s="1043"/>
      <c r="BZ320" s="1281"/>
      <c r="CA320" s="1045"/>
      <c r="CB320" s="874"/>
      <c r="CC320" s="874"/>
      <c r="CD320" s="1603"/>
      <c r="CE320" s="1281"/>
      <c r="CF320" s="1045"/>
      <c r="CG320" s="874"/>
      <c r="CH320" s="874"/>
      <c r="CI320" s="1603"/>
      <c r="CJ320" s="1281"/>
      <c r="CK320" s="874"/>
      <c r="CL320" s="874"/>
      <c r="CM320" s="874"/>
      <c r="CN320" s="1603"/>
      <c r="CO320" s="1281"/>
      <c r="CP320" s="874"/>
      <c r="CQ320" s="874"/>
      <c r="CR320" s="874"/>
      <c r="CS320" s="874"/>
      <c r="CT320" s="1281"/>
      <c r="CU320" s="874"/>
      <c r="CV320" s="874"/>
      <c r="CW320" s="874"/>
      <c r="CX320" s="874"/>
      <c r="CY320" s="1281"/>
      <c r="CZ320" s="1281"/>
      <c r="DA320" s="1281"/>
      <c r="DB320"/>
      <c r="DC320"/>
      <c r="DD320" s="1685" t="s">
        <v>1043</v>
      </c>
      <c r="DE320" s="1042"/>
      <c r="DF320" s="1042"/>
      <c r="DG320" s="1042"/>
      <c r="DH320" s="1042"/>
      <c r="DI320" s="1042"/>
      <c r="DJ320" s="1042"/>
      <c r="DK320" s="1042"/>
      <c r="DL320" s="1042"/>
      <c r="DM320" s="1042"/>
      <c r="DN320" s="1042"/>
      <c r="DO320" s="1042"/>
      <c r="DP320" s="1042"/>
      <c r="DQ320" s="1042"/>
      <c r="DR320" s="1042"/>
      <c r="DS320" s="1042"/>
      <c r="DT320" s="1042"/>
      <c r="DU320" s="1042"/>
      <c r="DV320" s="1042"/>
      <c r="DW320" s="1042"/>
      <c r="DX320" s="1042"/>
      <c r="DY320" s="1042"/>
      <c r="EA320"/>
      <c r="EB320"/>
      <c r="EC320"/>
      <c r="ED320"/>
      <c r="EE320"/>
      <c r="EF320"/>
      <c r="EJ320"/>
      <c r="EK320"/>
      <c r="EL320"/>
      <c r="ER320" s="212"/>
    </row>
    <row r="321" spans="1:148" s="1193" customFormat="1" ht="12.75" customHeight="1" x14ac:dyDescent="0.2">
      <c r="A321" s="1682" t="s">
        <v>1929</v>
      </c>
      <c r="B321" s="1192"/>
      <c r="C321" s="1192"/>
      <c r="D321" s="1192"/>
      <c r="E321" s="1192"/>
      <c r="F321" s="1192"/>
      <c r="G321" s="1192"/>
      <c r="H321" s="1192"/>
      <c r="I321" s="1192"/>
      <c r="J321" s="1192"/>
      <c r="K321" s="1192"/>
      <c r="L321" s="1192"/>
      <c r="M321" s="1044"/>
      <c r="N321" s="1192"/>
      <c r="O321" s="1192"/>
      <c r="P321" s="1192"/>
      <c r="Q321" s="1192"/>
      <c r="R321" s="1044"/>
      <c r="S321" s="1192"/>
      <c r="T321" s="1192"/>
      <c r="U321" s="1192"/>
      <c r="V321" s="1192"/>
      <c r="W321" s="1044"/>
      <c r="X321" s="1192"/>
      <c r="Y321" s="1192"/>
      <c r="Z321" s="1192"/>
      <c r="AA321" s="1192"/>
      <c r="AB321" s="1044"/>
      <c r="AC321" s="1192"/>
      <c r="AD321" s="1192"/>
      <c r="AE321" s="1192"/>
      <c r="AF321" s="1192"/>
      <c r="AG321" s="1044"/>
      <c r="AH321" s="1192"/>
      <c r="AI321" s="1192"/>
      <c r="AJ321" s="1192"/>
      <c r="AK321" s="1192"/>
      <c r="AL321" s="1044"/>
      <c r="AM321" s="1192"/>
      <c r="AN321" s="1192"/>
      <c r="AO321" s="1192"/>
      <c r="AP321" s="1192"/>
      <c r="AQ321" s="1044"/>
      <c r="AR321" s="1192"/>
      <c r="AS321" s="1192"/>
      <c r="AT321" s="1192"/>
      <c r="AU321" s="1192"/>
      <c r="AV321" s="1044"/>
      <c r="AW321" s="1192">
        <f t="shared" ref="AW321:BR321" si="735">AW325/AW327</f>
        <v>0.68206065209956546</v>
      </c>
      <c r="AX321" s="1192">
        <f t="shared" si="735"/>
        <v>0.67675726442318307</v>
      </c>
      <c r="AY321" s="1192">
        <f t="shared" si="735"/>
        <v>0.66966655641554718</v>
      </c>
      <c r="AZ321" s="1192">
        <f t="shared" si="735"/>
        <v>0.66339037305739301</v>
      </c>
      <c r="BA321" s="1044">
        <f t="shared" si="735"/>
        <v>0.67241120805197263</v>
      </c>
      <c r="BB321" s="1192">
        <f t="shared" si="735"/>
        <v>0.6948158478491433</v>
      </c>
      <c r="BC321" s="1192">
        <f t="shared" si="735"/>
        <v>0.69491288190640044</v>
      </c>
      <c r="BD321" s="1192">
        <f t="shared" si="735"/>
        <v>0.67866497337644116</v>
      </c>
      <c r="BE321" s="1192">
        <f t="shared" si="735"/>
        <v>0.64263265812698223</v>
      </c>
      <c r="BF321" s="1044">
        <f t="shared" si="735"/>
        <v>0.67486689830969682</v>
      </c>
      <c r="BG321" s="1192">
        <f t="shared" si="735"/>
        <v>0.68175921492601754</v>
      </c>
      <c r="BH321" s="1192">
        <f t="shared" si="735"/>
        <v>0.67645343667604008</v>
      </c>
      <c r="BI321" s="1192">
        <f t="shared" si="735"/>
        <v>0.67065379378791101</v>
      </c>
      <c r="BJ321" s="1192">
        <f t="shared" si="735"/>
        <v>0.63996374103359854</v>
      </c>
      <c r="BK321" s="1044">
        <f t="shared" si="735"/>
        <v>0.66482274876856018</v>
      </c>
      <c r="BL321" s="1192">
        <f t="shared" si="735"/>
        <v>0.67424215068662285</v>
      </c>
      <c r="BM321" s="1192">
        <f t="shared" si="735"/>
        <v>0.66342450147582721</v>
      </c>
      <c r="BN321" s="1192">
        <f t="shared" si="735"/>
        <v>0.65083744400772592</v>
      </c>
      <c r="BO321" s="1192">
        <f t="shared" si="735"/>
        <v>0.6293580334803095</v>
      </c>
      <c r="BP321" s="1044">
        <f t="shared" si="735"/>
        <v>0.65219233705012103</v>
      </c>
      <c r="BQ321" s="1192">
        <f t="shared" si="735"/>
        <v>0.68144732777224615</v>
      </c>
      <c r="BR321" s="1192">
        <f t="shared" si="735"/>
        <v>0.66987250362376949</v>
      </c>
      <c r="BS321" s="1192">
        <f t="shared" ref="BS321:BX321" si="736">BS325/BS327</f>
        <v>0.66510274972527772</v>
      </c>
      <c r="BT321" s="1192">
        <f t="shared" si="736"/>
        <v>0.64094679751219696</v>
      </c>
      <c r="BU321" s="1044">
        <f t="shared" si="736"/>
        <v>0.66238850937406457</v>
      </c>
      <c r="BV321" s="1192">
        <f t="shared" si="736"/>
        <v>0.65724915953342911</v>
      </c>
      <c r="BW321" s="1192">
        <f t="shared" si="736"/>
        <v>0.65835057239764883</v>
      </c>
      <c r="BX321" s="1192">
        <f t="shared" si="736"/>
        <v>0.64625910578071011</v>
      </c>
      <c r="BY321" s="1192">
        <f t="shared" ref="BY321:CE321" si="737">BY325/BY327</f>
        <v>0.61366721143958958</v>
      </c>
      <c r="BZ321" s="1044">
        <f t="shared" si="737"/>
        <v>0.64405356591086005</v>
      </c>
      <c r="CA321" s="1192">
        <f t="shared" si="737"/>
        <v>0.61199097907396027</v>
      </c>
      <c r="CB321" s="1192">
        <f t="shared" si="737"/>
        <v>0.60914941509653664</v>
      </c>
      <c r="CC321" s="1192">
        <f t="shared" si="737"/>
        <v>0.6068071483761136</v>
      </c>
      <c r="CD321" s="1192">
        <f t="shared" si="737"/>
        <v>0.57483906456117562</v>
      </c>
      <c r="CE321" s="1044">
        <f t="shared" si="737"/>
        <v>0.60068106728025994</v>
      </c>
      <c r="CF321" s="1192">
        <f t="shared" ref="CF321:CK321" si="738">CF325/CF327</f>
        <v>0.61773241097706022</v>
      </c>
      <c r="CG321" s="1192">
        <f t="shared" si="738"/>
        <v>0.63343161715712548</v>
      </c>
      <c r="CH321" s="1192">
        <f t="shared" si="738"/>
        <v>0.63140551825710811</v>
      </c>
      <c r="CI321" s="1192">
        <f t="shared" si="738"/>
        <v>0.60110213591502148</v>
      </c>
      <c r="CJ321" s="1044">
        <f t="shared" si="738"/>
        <v>0.62122299209990006</v>
      </c>
      <c r="CK321" s="1192">
        <f t="shared" si="738"/>
        <v>0.63874127813405079</v>
      </c>
      <c r="CL321" s="1192">
        <f t="shared" ref="CL321:DA321" si="739">CL325/CL327</f>
        <v>0.64370471671665253</v>
      </c>
      <c r="CM321" s="1192">
        <f t="shared" si="739"/>
        <v>0.63694248909212869</v>
      </c>
      <c r="CN321" s="885">
        <f t="shared" si="739"/>
        <v>0.4866338231052153</v>
      </c>
      <c r="CO321" s="1044">
        <f t="shared" si="739"/>
        <v>0.58634770640972689</v>
      </c>
      <c r="CP321" s="1192">
        <f t="shared" ca="1" si="739"/>
        <v>0.50731973525027574</v>
      </c>
      <c r="CQ321" s="1192">
        <f t="shared" ca="1" si="739"/>
        <v>0.51611473562586663</v>
      </c>
      <c r="CR321" s="1192">
        <f t="shared" ca="1" si="739"/>
        <v>0.46498252003518842</v>
      </c>
      <c r="CS321" s="1192">
        <f t="shared" ca="1" si="739"/>
        <v>0.4689073968436635</v>
      </c>
      <c r="CT321" s="1044">
        <f t="shared" ca="1" si="739"/>
        <v>0.48824836695850604</v>
      </c>
      <c r="CU321" s="1192">
        <f ca="1">CU325/CU327</f>
        <v>0.49418603458101629</v>
      </c>
      <c r="CV321" s="1192">
        <f ca="1">CV325/CV327</f>
        <v>0.50196653328357976</v>
      </c>
      <c r="CW321" s="1192">
        <f ca="1">CW325/CW327</f>
        <v>0.45291395474867374</v>
      </c>
      <c r="CX321" s="1192">
        <f ca="1">CX325/CX327</f>
        <v>0.45549900028583457</v>
      </c>
      <c r="CY321" s="1044">
        <f ca="1">CY325/CY327</f>
        <v>0.47508526684777952</v>
      </c>
      <c r="CZ321" s="1044">
        <f t="shared" ca="1" si="739"/>
        <v>0.46780452425491947</v>
      </c>
      <c r="DA321" s="1044">
        <f t="shared" ca="1" si="739"/>
        <v>0.45907806833866949</v>
      </c>
      <c r="DB321"/>
      <c r="DC321"/>
      <c r="DD321" s="2337" t="s">
        <v>1929</v>
      </c>
      <c r="DE321" s="1044">
        <f>M321</f>
        <v>0</v>
      </c>
      <c r="DF321" s="1044">
        <f>R321</f>
        <v>0</v>
      </c>
      <c r="DG321" s="1044">
        <f>W321</f>
        <v>0</v>
      </c>
      <c r="DH321" s="1044">
        <f>AB321</f>
        <v>0</v>
      </c>
      <c r="DI321" s="1044">
        <f>AG321</f>
        <v>0</v>
      </c>
      <c r="DJ321" s="1044">
        <f>AL321</f>
        <v>0</v>
      </c>
      <c r="DK321" s="1044">
        <f>AQ321</f>
        <v>0</v>
      </c>
      <c r="DL321" s="1044">
        <f>AV321</f>
        <v>0</v>
      </c>
      <c r="DM321" s="1044">
        <f>BA321</f>
        <v>0.67241120805197263</v>
      </c>
      <c r="DN321" s="1044">
        <f>BF321</f>
        <v>0.67486689830969682</v>
      </c>
      <c r="DO321" s="1044">
        <f>BK321</f>
        <v>0.66482274876856018</v>
      </c>
      <c r="DP321" s="1044">
        <f>BP321</f>
        <v>0.65219233705012103</v>
      </c>
      <c r="DQ321" s="1044">
        <f>BU321</f>
        <v>0.66238850937406457</v>
      </c>
      <c r="DR321" s="1044">
        <f>BZ321</f>
        <v>0.64405356591086005</v>
      </c>
      <c r="DS321" s="1044">
        <f>CE321</f>
        <v>0.60068106728025994</v>
      </c>
      <c r="DT321" s="1044">
        <f>CJ321</f>
        <v>0.62122299209990006</v>
      </c>
      <c r="DU321" s="1044">
        <f>CO321</f>
        <v>0.58634770640972689</v>
      </c>
      <c r="DV321" s="1044">
        <f ca="1">CT321</f>
        <v>0.48824836695850604</v>
      </c>
      <c r="DW321" s="1044">
        <f t="shared" ref="DW321:DY322" ca="1" si="740">CY321</f>
        <v>0.47508526684777952</v>
      </c>
      <c r="DX321" s="1044">
        <f t="shared" ca="1" si="740"/>
        <v>0.46780452425491947</v>
      </c>
      <c r="DY321" s="1044">
        <f t="shared" ca="1" si="740"/>
        <v>0.45907806833866949</v>
      </c>
      <c r="EA321"/>
      <c r="EB321"/>
      <c r="EC321"/>
      <c r="ED321"/>
      <c r="EE321"/>
      <c r="EF321"/>
      <c r="EJ321"/>
      <c r="EK321"/>
      <c r="EL321"/>
      <c r="ER321" s="212"/>
    </row>
    <row r="322" spans="1:148" s="1193" customFormat="1" ht="12.75" customHeight="1" x14ac:dyDescent="0.2">
      <c r="A322" s="1682" t="s">
        <v>1035</v>
      </c>
      <c r="B322" s="1192"/>
      <c r="C322" s="1192"/>
      <c r="D322" s="1192"/>
      <c r="E322" s="1192"/>
      <c r="F322" s="1192"/>
      <c r="G322" s="1192"/>
      <c r="H322" s="1192"/>
      <c r="I322" s="1192"/>
      <c r="J322" s="1192"/>
      <c r="K322" s="1192"/>
      <c r="L322" s="1192"/>
      <c r="M322" s="1044"/>
      <c r="N322" s="1192"/>
      <c r="O322" s="1192"/>
      <c r="P322" s="1192"/>
      <c r="Q322" s="1192"/>
      <c r="R322" s="1044"/>
      <c r="S322" s="1192"/>
      <c r="T322" s="1192"/>
      <c r="U322" s="1192"/>
      <c r="V322" s="1192"/>
      <c r="W322" s="1044"/>
      <c r="X322" s="1192"/>
      <c r="Y322" s="1192"/>
      <c r="Z322" s="1192"/>
      <c r="AA322" s="1192"/>
      <c r="AB322" s="1044"/>
      <c r="AC322" s="1192"/>
      <c r="AD322" s="1192"/>
      <c r="AE322" s="1192"/>
      <c r="AF322" s="1192"/>
      <c r="AG322" s="1044"/>
      <c r="AH322" s="1192"/>
      <c r="AI322" s="1192"/>
      <c r="AJ322" s="1192"/>
      <c r="AK322" s="1192"/>
      <c r="AL322" s="1044"/>
      <c r="AM322" s="1192"/>
      <c r="AN322" s="1192"/>
      <c r="AO322" s="1192"/>
      <c r="AP322" s="1192"/>
      <c r="AQ322" s="1044"/>
      <c r="AR322" s="1192"/>
      <c r="AS322" s="1192"/>
      <c r="AT322" s="1192"/>
      <c r="AU322" s="1192"/>
      <c r="AV322" s="1044"/>
      <c r="AW322" s="1192">
        <f t="shared" ref="AW322:BR322" si="741">AW326/AW327</f>
        <v>0.31793934790043443</v>
      </c>
      <c r="AX322" s="1192">
        <f t="shared" si="741"/>
        <v>0.32324273557681693</v>
      </c>
      <c r="AY322" s="1192">
        <f t="shared" si="741"/>
        <v>0.33033344358445282</v>
      </c>
      <c r="AZ322" s="1192">
        <f t="shared" si="741"/>
        <v>0.33660962694260704</v>
      </c>
      <c r="BA322" s="1044">
        <f t="shared" si="741"/>
        <v>0.32758879194802754</v>
      </c>
      <c r="BB322" s="1192">
        <f t="shared" si="741"/>
        <v>0.30518415215085665</v>
      </c>
      <c r="BC322" s="1192">
        <f t="shared" si="741"/>
        <v>0.30508711809359956</v>
      </c>
      <c r="BD322" s="1192">
        <f t="shared" si="741"/>
        <v>0.32133502662355889</v>
      </c>
      <c r="BE322" s="1192">
        <f t="shared" si="741"/>
        <v>0.35736734187301772</v>
      </c>
      <c r="BF322" s="1044">
        <f t="shared" si="741"/>
        <v>0.32513310169030329</v>
      </c>
      <c r="BG322" s="1192">
        <f t="shared" si="741"/>
        <v>0.3182407850739824</v>
      </c>
      <c r="BH322" s="1192">
        <f t="shared" si="741"/>
        <v>0.32354656332395992</v>
      </c>
      <c r="BI322" s="1192">
        <f t="shared" si="741"/>
        <v>0.32934620621208899</v>
      </c>
      <c r="BJ322" s="1192">
        <f t="shared" si="741"/>
        <v>0.36003625896640157</v>
      </c>
      <c r="BK322" s="1044">
        <f t="shared" si="741"/>
        <v>0.33517725123143982</v>
      </c>
      <c r="BL322" s="1192">
        <f t="shared" si="741"/>
        <v>0.32575784931337715</v>
      </c>
      <c r="BM322" s="1192">
        <f t="shared" si="741"/>
        <v>0.33657549852417279</v>
      </c>
      <c r="BN322" s="1192">
        <f t="shared" si="741"/>
        <v>0.34916255599227408</v>
      </c>
      <c r="BO322" s="1192">
        <f t="shared" si="741"/>
        <v>0.3706419665196905</v>
      </c>
      <c r="BP322" s="1044">
        <f t="shared" si="741"/>
        <v>0.34780766294987897</v>
      </c>
      <c r="BQ322" s="1192">
        <f t="shared" si="741"/>
        <v>0.3185526722277538</v>
      </c>
      <c r="BR322" s="1192">
        <f t="shared" si="741"/>
        <v>0.33012749637623057</v>
      </c>
      <c r="BS322" s="1192">
        <f t="shared" ref="BS322:BX322" si="742">BS326/BS327</f>
        <v>0.33489725027472228</v>
      </c>
      <c r="BT322" s="1192">
        <f t="shared" si="742"/>
        <v>0.35905320248780315</v>
      </c>
      <c r="BU322" s="1044">
        <f t="shared" si="742"/>
        <v>0.33761149062593543</v>
      </c>
      <c r="BV322" s="1192">
        <f t="shared" si="742"/>
        <v>0.34275084046657089</v>
      </c>
      <c r="BW322" s="1192">
        <f t="shared" si="742"/>
        <v>0.34164942760235117</v>
      </c>
      <c r="BX322" s="1192">
        <f t="shared" si="742"/>
        <v>0.35374089421928989</v>
      </c>
      <c r="BY322" s="1192">
        <f t="shared" ref="BY322:CE322" si="743">BY326/BY327</f>
        <v>0.38633278856041037</v>
      </c>
      <c r="BZ322" s="1044">
        <f t="shared" si="743"/>
        <v>0.35594643408913995</v>
      </c>
      <c r="CA322" s="1192">
        <f t="shared" si="743"/>
        <v>0.38800902092603984</v>
      </c>
      <c r="CB322" s="1192">
        <f t="shared" si="743"/>
        <v>0.39085058490346331</v>
      </c>
      <c r="CC322" s="1192">
        <f t="shared" si="743"/>
        <v>0.39319285162388629</v>
      </c>
      <c r="CD322" s="1192">
        <f t="shared" si="743"/>
        <v>0.42516093543882438</v>
      </c>
      <c r="CE322" s="1044">
        <f t="shared" si="743"/>
        <v>0.39931893271974012</v>
      </c>
      <c r="CF322" s="1192">
        <f t="shared" ref="CF322:CK322" si="744">CF326/CF327</f>
        <v>0.38226758902293984</v>
      </c>
      <c r="CG322" s="1192">
        <f t="shared" si="744"/>
        <v>0.36656838284287446</v>
      </c>
      <c r="CH322" s="1192">
        <f t="shared" si="744"/>
        <v>0.36859448174289189</v>
      </c>
      <c r="CI322" s="1192">
        <f t="shared" si="744"/>
        <v>0.39889786408497857</v>
      </c>
      <c r="CJ322" s="1044">
        <f t="shared" si="744"/>
        <v>0.37877700790009994</v>
      </c>
      <c r="CK322" s="1192">
        <f t="shared" si="744"/>
        <v>0.36125872186594926</v>
      </c>
      <c r="CL322" s="1192">
        <f t="shared" ref="CL322:DA322" si="745">CL326/CL327</f>
        <v>0.35629528328334747</v>
      </c>
      <c r="CM322" s="1192">
        <f t="shared" si="745"/>
        <v>0.36305751090787131</v>
      </c>
      <c r="CN322" s="885">
        <f t="shared" si="745"/>
        <v>0.51336617689478459</v>
      </c>
      <c r="CO322" s="1044">
        <f t="shared" si="745"/>
        <v>0.41365229359027317</v>
      </c>
      <c r="CP322" s="1192">
        <f t="shared" ca="1" si="745"/>
        <v>0.49268026474972426</v>
      </c>
      <c r="CQ322" s="1192">
        <f t="shared" ca="1" si="745"/>
        <v>0.48388526437413326</v>
      </c>
      <c r="CR322" s="1192">
        <f t="shared" ca="1" si="745"/>
        <v>0.53501747996481153</v>
      </c>
      <c r="CS322" s="1192">
        <f t="shared" ca="1" si="745"/>
        <v>0.53109260315633644</v>
      </c>
      <c r="CT322" s="1044">
        <f t="shared" ca="1" si="745"/>
        <v>0.51175163304149396</v>
      </c>
      <c r="CU322" s="1192">
        <f ca="1">CU326/CU327</f>
        <v>0.50581396541898382</v>
      </c>
      <c r="CV322" s="1192">
        <f ca="1">CV326/CV327</f>
        <v>0.49803346671642029</v>
      </c>
      <c r="CW322" s="1192">
        <f ca="1">CW326/CW327</f>
        <v>0.5470860452513262</v>
      </c>
      <c r="CX322" s="1192">
        <f ca="1">CX326/CX327</f>
        <v>0.54450099971416555</v>
      </c>
      <c r="CY322" s="1044">
        <f ca="1">CY326/CY327</f>
        <v>0.52491473315222037</v>
      </c>
      <c r="CZ322" s="1044">
        <f t="shared" ca="1" si="745"/>
        <v>0.53219547574508064</v>
      </c>
      <c r="DA322" s="1044">
        <f t="shared" ca="1" si="745"/>
        <v>0.54092193166133062</v>
      </c>
      <c r="DB322"/>
      <c r="DC322"/>
      <c r="DD322" s="2337" t="s">
        <v>1035</v>
      </c>
      <c r="DE322" s="1044">
        <f>M322</f>
        <v>0</v>
      </c>
      <c r="DF322" s="1044">
        <f>R322</f>
        <v>0</v>
      </c>
      <c r="DG322" s="1044">
        <f>W322</f>
        <v>0</v>
      </c>
      <c r="DH322" s="1044">
        <f>AB322</f>
        <v>0</v>
      </c>
      <c r="DI322" s="1044">
        <f>AG322</f>
        <v>0</v>
      </c>
      <c r="DJ322" s="1044">
        <f>AL322</f>
        <v>0</v>
      </c>
      <c r="DK322" s="1044">
        <f>AQ322</f>
        <v>0</v>
      </c>
      <c r="DL322" s="1044">
        <f>AV322</f>
        <v>0</v>
      </c>
      <c r="DM322" s="1044">
        <f>BA322</f>
        <v>0.32758879194802754</v>
      </c>
      <c r="DN322" s="1044">
        <f>BF322</f>
        <v>0.32513310169030329</v>
      </c>
      <c r="DO322" s="1044">
        <f>BK322</f>
        <v>0.33517725123143982</v>
      </c>
      <c r="DP322" s="1044">
        <f>BP322</f>
        <v>0.34780766294987897</v>
      </c>
      <c r="DQ322" s="1044">
        <f>BU322</f>
        <v>0.33761149062593543</v>
      </c>
      <c r="DR322" s="1044">
        <f>BZ322</f>
        <v>0.35594643408913995</v>
      </c>
      <c r="DS322" s="1044">
        <f>CE322</f>
        <v>0.39931893271974012</v>
      </c>
      <c r="DT322" s="1044">
        <f>CJ322</f>
        <v>0.37877700790009994</v>
      </c>
      <c r="DU322" s="1044">
        <f>CO322</f>
        <v>0.41365229359027317</v>
      </c>
      <c r="DV322" s="1044">
        <f ca="1">CT322</f>
        <v>0.51175163304149396</v>
      </c>
      <c r="DW322" s="1044">
        <f t="shared" ca="1" si="740"/>
        <v>0.52491473315222037</v>
      </c>
      <c r="DX322" s="1044">
        <f t="shared" ca="1" si="740"/>
        <v>0.53219547574508064</v>
      </c>
      <c r="DY322" s="1044">
        <f t="shared" ca="1" si="740"/>
        <v>0.54092193166133062</v>
      </c>
      <c r="EA322"/>
      <c r="EB322"/>
      <c r="EC322"/>
      <c r="ED322"/>
      <c r="EE322"/>
      <c r="EF322"/>
      <c r="EJ322"/>
      <c r="EK322"/>
      <c r="EL322"/>
      <c r="ER322" s="212"/>
    </row>
    <row r="323" spans="1:148" s="1193" customFormat="1" ht="12.75" customHeight="1" x14ac:dyDescent="0.2">
      <c r="A323" s="1682"/>
      <c r="B323" s="1283"/>
      <c r="C323" s="1283"/>
      <c r="D323" s="1283"/>
      <c r="E323" s="1283"/>
      <c r="F323" s="1283"/>
      <c r="G323" s="1283"/>
      <c r="H323" s="1283"/>
      <c r="I323" s="1283"/>
      <c r="J323" s="1283"/>
      <c r="K323" s="1283"/>
      <c r="L323" s="1283"/>
      <c r="M323" s="1284"/>
      <c r="N323" s="1283"/>
      <c r="O323" s="1283"/>
      <c r="P323" s="1283"/>
      <c r="Q323" s="1283"/>
      <c r="R323" s="1284"/>
      <c r="S323" s="1283"/>
      <c r="T323" s="1283"/>
      <c r="U323" s="1283"/>
      <c r="V323" s="1283"/>
      <c r="W323" s="1284"/>
      <c r="X323" s="1283"/>
      <c r="Y323" s="1283"/>
      <c r="Z323" s="1283"/>
      <c r="AA323" s="1283"/>
      <c r="AB323" s="1284"/>
      <c r="AC323" s="1283"/>
      <c r="AD323" s="1283"/>
      <c r="AE323" s="1283"/>
      <c r="AF323" s="1283"/>
      <c r="AG323" s="1284"/>
      <c r="AH323" s="1283"/>
      <c r="AI323" s="1283"/>
      <c r="AJ323" s="1283"/>
      <c r="AK323" s="1283"/>
      <c r="AL323" s="1284"/>
      <c r="AM323" s="1283"/>
      <c r="AN323" s="1283"/>
      <c r="AO323" s="1283"/>
      <c r="AP323" s="1283"/>
      <c r="AQ323" s="1284"/>
      <c r="AR323" s="1283"/>
      <c r="AS323" s="1283"/>
      <c r="AT323" s="1283"/>
      <c r="AU323" s="1283"/>
      <c r="AV323" s="1284"/>
      <c r="AW323" s="1283"/>
      <c r="AX323" s="1283"/>
      <c r="AY323" s="1283"/>
      <c r="AZ323" s="1283"/>
      <c r="BA323" s="1284"/>
      <c r="BB323" s="1283"/>
      <c r="BC323" s="1283"/>
      <c r="BD323" s="1283"/>
      <c r="BE323" s="1283"/>
      <c r="BF323" s="1284"/>
      <c r="BG323" s="1283"/>
      <c r="BH323" s="1283"/>
      <c r="BI323" s="1283"/>
      <c r="BJ323" s="1283"/>
      <c r="BK323" s="1284"/>
      <c r="BL323" s="1283"/>
      <c r="BM323" s="1283"/>
      <c r="BN323" s="1283"/>
      <c r="BO323" s="1283"/>
      <c r="BP323" s="1284"/>
      <c r="BQ323" s="1283"/>
      <c r="BR323" s="1283"/>
      <c r="BS323" s="1283"/>
      <c r="BT323" s="1283"/>
      <c r="BU323" s="1284"/>
      <c r="BV323" s="1283"/>
      <c r="BW323" s="1283"/>
      <c r="BX323" s="1283"/>
      <c r="BY323" s="1283"/>
      <c r="BZ323" s="1284"/>
      <c r="CA323" s="1283"/>
      <c r="CB323" s="1696"/>
      <c r="CC323" s="1696"/>
      <c r="CD323" s="1797"/>
      <c r="CE323" s="1284"/>
      <c r="CF323" s="1283"/>
      <c r="CG323" s="1696"/>
      <c r="CH323" s="1696"/>
      <c r="CI323" s="1797"/>
      <c r="CJ323" s="1284"/>
      <c r="CK323" s="1696"/>
      <c r="CL323" s="1696"/>
      <c r="CM323" s="1696"/>
      <c r="CN323" s="1797"/>
      <c r="CO323" s="1284"/>
      <c r="CP323" s="1696"/>
      <c r="CQ323" s="1696"/>
      <c r="CR323" s="1696"/>
      <c r="CS323" s="1696"/>
      <c r="CT323" s="1284"/>
      <c r="CU323" s="1696"/>
      <c r="CV323" s="1696"/>
      <c r="CW323" s="1696"/>
      <c r="CX323" s="1696"/>
      <c r="CY323" s="1284"/>
      <c r="CZ323" s="1284"/>
      <c r="DA323" s="1284"/>
      <c r="DB323"/>
      <c r="DC323"/>
      <c r="DD323" s="2337"/>
      <c r="DE323" s="1284"/>
      <c r="DF323" s="1284"/>
      <c r="DG323" s="1284"/>
      <c r="DH323" s="1284"/>
      <c r="DI323" s="1284"/>
      <c r="DJ323" s="1284"/>
      <c r="DK323" s="1284"/>
      <c r="DL323" s="1284"/>
      <c r="DM323" s="1284"/>
      <c r="DN323" s="1284"/>
      <c r="DO323" s="1284"/>
      <c r="DP323" s="1284"/>
      <c r="DQ323" s="1284"/>
      <c r="DR323" s="1284"/>
      <c r="DS323" s="1284"/>
      <c r="DT323" s="1284"/>
      <c r="DU323" s="1284"/>
      <c r="DV323" s="1284"/>
      <c r="DW323" s="1284"/>
      <c r="DX323" s="1284"/>
      <c r="DY323" s="1284"/>
      <c r="EA323"/>
      <c r="EB323"/>
      <c r="EC323"/>
      <c r="ED323"/>
      <c r="EE323"/>
      <c r="EF323"/>
      <c r="EJ323"/>
      <c r="EK323"/>
      <c r="EL323"/>
      <c r="ER323" s="212"/>
    </row>
    <row r="324" spans="1:148" s="1193" customFormat="1" ht="12.75" customHeight="1" x14ac:dyDescent="0.2">
      <c r="A324" s="1683" t="s">
        <v>978</v>
      </c>
      <c r="B324" s="1283"/>
      <c r="C324" s="1283"/>
      <c r="D324" s="1283"/>
      <c r="E324" s="1283"/>
      <c r="F324" s="1283"/>
      <c r="G324" s="1283"/>
      <c r="H324" s="1283"/>
      <c r="I324" s="1283"/>
      <c r="J324" s="1283"/>
      <c r="K324" s="1283"/>
      <c r="L324" s="1283"/>
      <c r="M324" s="1284"/>
      <c r="N324" s="1283"/>
      <c r="O324" s="1283"/>
      <c r="P324" s="1283"/>
      <c r="Q324" s="1283"/>
      <c r="R324" s="1284"/>
      <c r="S324" s="1283"/>
      <c r="T324" s="1283"/>
      <c r="U324" s="1283"/>
      <c r="V324" s="1283"/>
      <c r="W324" s="1284"/>
      <c r="X324" s="1283"/>
      <c r="Y324" s="1283"/>
      <c r="Z324" s="1283"/>
      <c r="AA324" s="1283"/>
      <c r="AB324" s="1284"/>
      <c r="AC324" s="1283"/>
      <c r="AD324" s="1283"/>
      <c r="AE324" s="1283"/>
      <c r="AF324" s="1283"/>
      <c r="AG324" s="1284"/>
      <c r="AH324" s="1283"/>
      <c r="AI324" s="1283"/>
      <c r="AJ324" s="1283"/>
      <c r="AK324" s="1283"/>
      <c r="AL324" s="1284"/>
      <c r="AM324" s="1283"/>
      <c r="AN324" s="1283"/>
      <c r="AO324" s="1283"/>
      <c r="AP324" s="1283"/>
      <c r="AQ324" s="1284"/>
      <c r="AR324" s="1283"/>
      <c r="AS324" s="1283"/>
      <c r="AT324" s="1283"/>
      <c r="AU324" s="1283"/>
      <c r="AV324" s="1284"/>
      <c r="AW324" s="1283"/>
      <c r="AX324" s="1283"/>
      <c r="AY324" s="1283"/>
      <c r="AZ324" s="1283"/>
      <c r="BA324" s="1284"/>
      <c r="BB324" s="1283"/>
      <c r="BC324" s="1283"/>
      <c r="BD324" s="1283"/>
      <c r="BE324" s="1283"/>
      <c r="BF324" s="1284"/>
      <c r="BG324" s="1283"/>
      <c r="BH324" s="1283"/>
      <c r="BI324" s="1283"/>
      <c r="BJ324" s="1283"/>
      <c r="BK324" s="1284"/>
      <c r="BL324" s="1283"/>
      <c r="BM324" s="1283"/>
      <c r="BN324" s="1283"/>
      <c r="BO324" s="1283"/>
      <c r="BP324" s="1284"/>
      <c r="BQ324" s="1283"/>
      <c r="BR324" s="1283"/>
      <c r="BS324" s="1283"/>
      <c r="BT324" s="1283"/>
      <c r="BU324" s="1284"/>
      <c r="BV324" s="1283"/>
      <c r="BW324" s="1283"/>
      <c r="BX324" s="1283"/>
      <c r="BY324" s="1283"/>
      <c r="BZ324" s="1284"/>
      <c r="CA324" s="1283"/>
      <c r="CB324" s="1696"/>
      <c r="CC324" s="1696"/>
      <c r="CD324" s="1797"/>
      <c r="CE324" s="1284"/>
      <c r="CF324" s="1283"/>
      <c r="CG324" s="1696"/>
      <c r="CH324" s="1696"/>
      <c r="CI324" s="1797"/>
      <c r="CJ324" s="1284"/>
      <c r="CK324" s="1696"/>
      <c r="CL324" s="1696"/>
      <c r="CM324" s="1696"/>
      <c r="CN324" s="1797"/>
      <c r="CO324" s="1284"/>
      <c r="CP324" s="1696"/>
      <c r="CQ324" s="1696"/>
      <c r="CR324" s="1696"/>
      <c r="CS324" s="1696"/>
      <c r="CT324" s="1284"/>
      <c r="CU324" s="1696"/>
      <c r="CV324" s="1696"/>
      <c r="CW324" s="1696"/>
      <c r="CX324" s="1696"/>
      <c r="CY324" s="1284"/>
      <c r="CZ324" s="1284"/>
      <c r="DA324" s="1284"/>
      <c r="DB324"/>
      <c r="DC324"/>
      <c r="DD324" s="1683" t="s">
        <v>978</v>
      </c>
      <c r="DE324" s="1284"/>
      <c r="DF324" s="1284"/>
      <c r="DG324" s="1284"/>
      <c r="DH324" s="1284"/>
      <c r="DI324" s="1284"/>
      <c r="DJ324" s="1284"/>
      <c r="DK324" s="1284"/>
      <c r="DL324" s="1284"/>
      <c r="DM324" s="1284"/>
      <c r="DN324" s="1284"/>
      <c r="DO324" s="1284"/>
      <c r="DP324" s="1284"/>
      <c r="DQ324" s="1284"/>
      <c r="DR324" s="1284"/>
      <c r="DS324" s="1284"/>
      <c r="DT324" s="1284"/>
      <c r="DU324" s="1284"/>
      <c r="DV324" s="1284"/>
      <c r="DW324" s="1284"/>
      <c r="DX324" s="1284"/>
      <c r="DY324" s="1284"/>
      <c r="EA324"/>
      <c r="EB324"/>
      <c r="EC324"/>
      <c r="ED324"/>
      <c r="EE324"/>
      <c r="EF324"/>
      <c r="EJ324"/>
      <c r="EK324"/>
      <c r="EL324"/>
      <c r="ER324" s="212"/>
    </row>
    <row r="325" spans="1:148" s="1193" customFormat="1" ht="12.75" customHeight="1" x14ac:dyDescent="0.2">
      <c r="A325" s="1711" t="s">
        <v>975</v>
      </c>
      <c r="B325" s="1703"/>
      <c r="C325" s="1703"/>
      <c r="D325" s="1703"/>
      <c r="E325" s="1703"/>
      <c r="F325" s="1703"/>
      <c r="G325" s="1703"/>
      <c r="H325" s="1703"/>
      <c r="I325" s="1703"/>
      <c r="J325" s="1703"/>
      <c r="K325" s="1703"/>
      <c r="L325" s="1703"/>
      <c r="M325" s="1704"/>
      <c r="N325" s="1703"/>
      <c r="O325" s="1703"/>
      <c r="P325" s="1703"/>
      <c r="Q325" s="1703"/>
      <c r="R325" s="1704"/>
      <c r="S325" s="1703"/>
      <c r="T325" s="1703"/>
      <c r="U325" s="1703"/>
      <c r="V325" s="1703"/>
      <c r="W325" s="1704"/>
      <c r="X325" s="1703"/>
      <c r="Y325" s="1703"/>
      <c r="Z325" s="1703"/>
      <c r="AA325" s="1703"/>
      <c r="AB325" s="1704"/>
      <c r="AC325" s="1703"/>
      <c r="AD325" s="1703"/>
      <c r="AE325" s="1703"/>
      <c r="AF325" s="1703"/>
      <c r="AG325" s="1704"/>
      <c r="AH325" s="1703"/>
      <c r="AI325" s="1703"/>
      <c r="AJ325" s="1703"/>
      <c r="AK325" s="1703"/>
      <c r="AL325" s="1704"/>
      <c r="AM325" s="1703"/>
      <c r="AN325" s="1703"/>
      <c r="AO325" s="1703"/>
      <c r="AP325" s="1703"/>
      <c r="AQ325" s="1704"/>
      <c r="AR325" s="1703"/>
      <c r="AS325" s="1703"/>
      <c r="AT325" s="1703"/>
      <c r="AU325" s="1703"/>
      <c r="AV325" s="1704"/>
      <c r="AW325" s="1703">
        <f>RevPAR!AP353</f>
        <v>1605.6568038016801</v>
      </c>
      <c r="AX325" s="1703">
        <f>RevPAR!AQ353</f>
        <v>1785.1366099106403</v>
      </c>
      <c r="AY325" s="1703">
        <f>RevPAR!AR353</f>
        <v>1632.1600290340798</v>
      </c>
      <c r="AZ325" s="1703">
        <f>RevPAR!AS353</f>
        <v>2021.6445593221802</v>
      </c>
      <c r="BA325" s="1704">
        <f>SUM(AW325:AZ325)</f>
        <v>7044.5980020685802</v>
      </c>
      <c r="BB325" s="1703">
        <f>RevPAR!AU353</f>
        <v>1340.2432774038002</v>
      </c>
      <c r="BC325" s="1703">
        <f>RevPAR!AV353</f>
        <v>1385.4672718992001</v>
      </c>
      <c r="BD325" s="1703">
        <f>RevPAR!AW353</f>
        <v>1307.94632370612</v>
      </c>
      <c r="BE325" s="1703">
        <f>RevPAR!AX353</f>
        <v>1709.85824963408</v>
      </c>
      <c r="BF325" s="1704">
        <f>SUM(BB325:BE325)</f>
        <v>5743.5151226432008</v>
      </c>
      <c r="BG325" s="1703">
        <f>RevPAR!AZ353</f>
        <v>1328.6405288284805</v>
      </c>
      <c r="BH325" s="1703">
        <f>RevPAR!BA353</f>
        <v>1506.0309454083599</v>
      </c>
      <c r="BI325" s="1703">
        <f>RevPAR!BB353</f>
        <v>1410.8523273851999</v>
      </c>
      <c r="BJ325" s="1703">
        <f>RevPAR!BC353</f>
        <v>1832.11402385984</v>
      </c>
      <c r="BK325" s="1704">
        <f>SUM(BG325:BJ325)</f>
        <v>6077.6378254818801</v>
      </c>
      <c r="BL325" s="1703">
        <f>RevPAR!BE353</f>
        <v>1437.9398556726001</v>
      </c>
      <c r="BM325" s="1703">
        <f>RevPAR!BF353</f>
        <v>1631.4923210493598</v>
      </c>
      <c r="BN325" s="1703">
        <f>RevPAR!BG353</f>
        <v>1530.7775501096398</v>
      </c>
      <c r="BO325" s="1703">
        <f>RevPAR!BH353</f>
        <v>1969.5909112163197</v>
      </c>
      <c r="BP325" s="1704">
        <f>SUM(BL325:BO325)</f>
        <v>6569.8006380479192</v>
      </c>
      <c r="BQ325" s="1703">
        <f>RevPAR!BJ353</f>
        <v>1538.4093473935202</v>
      </c>
      <c r="BR325" s="1703">
        <f>RevPAR!BK353</f>
        <v>1721.8040034493199</v>
      </c>
      <c r="BS325" s="1703">
        <f>RevPAR!BL353</f>
        <v>1601.0418748396798</v>
      </c>
      <c r="BT325" s="1703">
        <f>RevPAR!BM353</f>
        <v>2056.5054313249602</v>
      </c>
      <c r="BU325" s="1704">
        <f>SUM(BQ325:BT325)</f>
        <v>6917.7606570074804</v>
      </c>
      <c r="BV325" s="1703">
        <f>RevPAR!BO353</f>
        <v>1736.4908166733403</v>
      </c>
      <c r="BW325" s="1703">
        <f>RevPAR!BP353</f>
        <v>1911.8545364209197</v>
      </c>
      <c r="BX325" s="1703">
        <f>RevPAR!BQ353</f>
        <v>1798.72935426504</v>
      </c>
      <c r="BY325" s="1703">
        <f>RevPAR!BR353</f>
        <v>1666.5477596533999</v>
      </c>
      <c r="BZ325" s="1704">
        <f>SUM(BV325:BY325)</f>
        <v>7113.6224670126994</v>
      </c>
      <c r="CA325" s="1703">
        <f>RevPAR!BT353</f>
        <v>1751.9243819499</v>
      </c>
      <c r="CB325" s="1713">
        <f>RevPAR!BU353</f>
        <v>1988.9409785117596</v>
      </c>
      <c r="CC325" s="1713">
        <f>RevPAR!BV353</f>
        <v>1928.6230903963601</v>
      </c>
      <c r="CD325" s="1806">
        <f>RevPAR!BW353</f>
        <v>1768.3646873700002</v>
      </c>
      <c r="CE325" s="1704">
        <f>SUM(CA325:CD325)</f>
        <v>7437.8531382280198</v>
      </c>
      <c r="CF325" s="1703">
        <f>RevPAR!BY353</f>
        <v>1871.8391833676999</v>
      </c>
      <c r="CG325" s="1703">
        <f>RevPAR!BZ353</f>
        <v>2088.9078231057397</v>
      </c>
      <c r="CH325" s="1703">
        <f>RevPAR!CA353</f>
        <v>2060.7862768604805</v>
      </c>
      <c r="CI325" s="1703">
        <f>RevPAR!CB353</f>
        <v>1879.6454891517201</v>
      </c>
      <c r="CJ325" s="1704">
        <f>SUM(CF325:CI325)</f>
        <v>7901.1787724856404</v>
      </c>
      <c r="CK325" s="1713">
        <f>RevPAR!CD353</f>
        <v>1948.3968737017383</v>
      </c>
      <c r="CL325" s="1713">
        <f>RevPAR!CE353</f>
        <v>2122.4325957710389</v>
      </c>
      <c r="CM325" s="1713">
        <f>RevPAR!CF353</f>
        <v>2037.8141247271615</v>
      </c>
      <c r="CN325" s="1806">
        <f>RevPAR!CG353</f>
        <v>2492.9044490800002</v>
      </c>
      <c r="CO325" s="1704">
        <f>SUM(CK325:CN325)</f>
        <v>8601.5480432799395</v>
      </c>
      <c r="CP325" s="1713">
        <f>RevPAR!CI353</f>
        <v>2512.1933892000002</v>
      </c>
      <c r="CQ325" s="1713">
        <f>RevPAR!CJ353</f>
        <v>2863.3343829999999</v>
      </c>
      <c r="CR325" s="1713">
        <f>RevPAR!CK353</f>
        <v>2848.4907262400002</v>
      </c>
      <c r="CS325" s="1713">
        <f>RevPAR!CL353</f>
        <v>2582.2856746000002</v>
      </c>
      <c r="CT325" s="1704">
        <f>SUM(CP325:CS325)</f>
        <v>10806.30417304</v>
      </c>
      <c r="CU325" s="1713">
        <f>RevPAR!CN353</f>
        <v>2608.4678073515279</v>
      </c>
      <c r="CV325" s="1713">
        <f>RevPAR!CO353</f>
        <v>3002.5447824699318</v>
      </c>
      <c r="CW325" s="1713">
        <f>RevPAR!CP353</f>
        <v>2978.4400630002237</v>
      </c>
      <c r="CX325" s="1713">
        <f>RevPAR!CQ353</f>
        <v>2693.2691283582153</v>
      </c>
      <c r="CY325" s="1704">
        <f>SUM(CU325:CX325)</f>
        <v>11282.721781179898</v>
      </c>
      <c r="CZ325" s="1704">
        <f>RevPAR!CS353</f>
        <v>11818.652872438573</v>
      </c>
      <c r="DA325" s="1704">
        <f>RevPAR!CT353</f>
        <v>11529.430017879566</v>
      </c>
      <c r="DB325"/>
      <c r="DC325"/>
      <c r="DD325" s="2338" t="s">
        <v>975</v>
      </c>
      <c r="DE325" s="2292">
        <f>M325</f>
        <v>0</v>
      </c>
      <c r="DF325" s="2292">
        <f>R325</f>
        <v>0</v>
      </c>
      <c r="DG325" s="2292">
        <f>W325</f>
        <v>0</v>
      </c>
      <c r="DH325" s="2292">
        <f>AB325</f>
        <v>0</v>
      </c>
      <c r="DI325" s="2292">
        <f>AG325</f>
        <v>0</v>
      </c>
      <c r="DJ325" s="2292">
        <f>AL325</f>
        <v>0</v>
      </c>
      <c r="DK325" s="2292">
        <f>AQ325</f>
        <v>0</v>
      </c>
      <c r="DL325" s="2292">
        <f>AV325</f>
        <v>0</v>
      </c>
      <c r="DM325" s="2292">
        <f>BA325</f>
        <v>7044.5980020685802</v>
      </c>
      <c r="DN325" s="2292">
        <f>BF325</f>
        <v>5743.5151226432008</v>
      </c>
      <c r="DO325" s="2292">
        <f>BK325</f>
        <v>6077.6378254818801</v>
      </c>
      <c r="DP325" s="2292">
        <f>BP325</f>
        <v>6569.8006380479192</v>
      </c>
      <c r="DQ325" s="2292">
        <f>BU325</f>
        <v>6917.7606570074804</v>
      </c>
      <c r="DR325" s="2292">
        <f>BZ325</f>
        <v>7113.6224670126994</v>
      </c>
      <c r="DS325" s="2292">
        <f>CE325</f>
        <v>7437.8531382280198</v>
      </c>
      <c r="DT325" s="2292">
        <f>CJ325</f>
        <v>7901.1787724856404</v>
      </c>
      <c r="DU325" s="2292">
        <f>CO325</f>
        <v>8601.5480432799395</v>
      </c>
      <c r="DV325" s="2292">
        <f>CT325</f>
        <v>10806.30417304</v>
      </c>
      <c r="DW325" s="2292">
        <f t="shared" ref="DW325:DY328" si="746">CY325</f>
        <v>11282.721781179898</v>
      </c>
      <c r="DX325" s="2292">
        <f t="shared" si="746"/>
        <v>11818.652872438573</v>
      </c>
      <c r="DY325" s="2292">
        <f t="shared" si="746"/>
        <v>11529.430017879566</v>
      </c>
      <c r="EA325"/>
      <c r="EB325"/>
      <c r="EC325"/>
      <c r="ED325"/>
      <c r="EE325"/>
      <c r="EF325"/>
      <c r="EJ325"/>
      <c r="EK325"/>
      <c r="EL325"/>
      <c r="ER325" s="212"/>
    </row>
    <row r="326" spans="1:148" s="1193" customFormat="1" ht="12.75" customHeight="1" x14ac:dyDescent="0.2">
      <c r="A326" s="1712" t="s">
        <v>2036</v>
      </c>
      <c r="B326" s="216"/>
      <c r="C326" s="216"/>
      <c r="D326" s="216"/>
      <c r="E326" s="216"/>
      <c r="F326" s="216"/>
      <c r="G326" s="216"/>
      <c r="H326" s="216"/>
      <c r="I326" s="216"/>
      <c r="J326" s="216"/>
      <c r="K326" s="216"/>
      <c r="L326" s="216"/>
      <c r="M326" s="970"/>
      <c r="N326" s="216"/>
      <c r="O326" s="216"/>
      <c r="P326" s="216"/>
      <c r="Q326" s="216"/>
      <c r="R326" s="970"/>
      <c r="S326" s="216"/>
      <c r="T326" s="216"/>
      <c r="U326" s="216"/>
      <c r="V326" s="216"/>
      <c r="W326" s="970"/>
      <c r="X326" s="216"/>
      <c r="Y326" s="216"/>
      <c r="Z326" s="216"/>
      <c r="AA326" s="216"/>
      <c r="AB326" s="970"/>
      <c r="AC326" s="216"/>
      <c r="AD326" s="216"/>
      <c r="AE326" s="216"/>
      <c r="AF326" s="216"/>
      <c r="AG326" s="970"/>
      <c r="AH326" s="216"/>
      <c r="AI326" s="216"/>
      <c r="AJ326" s="216"/>
      <c r="AK326" s="216"/>
      <c r="AL326" s="970"/>
      <c r="AM326" s="216"/>
      <c r="AN326" s="216"/>
      <c r="AO326" s="216"/>
      <c r="AP326" s="216"/>
      <c r="AQ326" s="970"/>
      <c r="AR326" s="216"/>
      <c r="AS326" s="216"/>
      <c r="AT326" s="216"/>
      <c r="AU326" s="216"/>
      <c r="AV326" s="970"/>
      <c r="AW326" s="216">
        <f>RevPAR!AP365</f>
        <v>748.46932685699085</v>
      </c>
      <c r="AX326" s="216">
        <f>RevPAR!AQ365</f>
        <v>852.64314326593819</v>
      </c>
      <c r="AY326" s="216">
        <f>RevPAR!AR365</f>
        <v>805.11269034788972</v>
      </c>
      <c r="AZ326" s="216">
        <f>RevPAR!AS365</f>
        <v>1025.7987582601181</v>
      </c>
      <c r="BA326" s="970">
        <f>SUM(AW326:AZ326)</f>
        <v>3432.0239187309371</v>
      </c>
      <c r="BB326" s="216">
        <f>RevPAR!AU365</f>
        <v>588.67541602069184</v>
      </c>
      <c r="BC326" s="216">
        <f>RevPAR!AV365</f>
        <v>608.26073052083871</v>
      </c>
      <c r="BD326" s="216">
        <f>RevPAR!AW365</f>
        <v>619.28784192191779</v>
      </c>
      <c r="BE326" s="216">
        <f>RevPAR!AX365</f>
        <v>950.8503651718255</v>
      </c>
      <c r="BF326" s="970">
        <f>SUM(BB326:BE326)</f>
        <v>2767.0743536352738</v>
      </c>
      <c r="BG326" s="216">
        <f>RevPAR!AZ365</f>
        <v>620.20079189009675</v>
      </c>
      <c r="BH326" s="216">
        <f>RevPAR!BA365</f>
        <v>720.33211781843283</v>
      </c>
      <c r="BI326" s="216">
        <f>RevPAR!BB365</f>
        <v>692.84460306319602</v>
      </c>
      <c r="BJ326" s="216">
        <f>RevPAR!BC365</f>
        <v>1030.7263315965686</v>
      </c>
      <c r="BK326" s="970">
        <f>SUM(BG326:BJ326)</f>
        <v>3064.1038443682942</v>
      </c>
      <c r="BL326" s="216">
        <f>RevPAR!BE365</f>
        <v>694.7358517245957</v>
      </c>
      <c r="BM326" s="216">
        <f>RevPAR!BF365</f>
        <v>827.70585058887218</v>
      </c>
      <c r="BN326" s="216">
        <f>RevPAR!BG365</f>
        <v>821.23456013930343</v>
      </c>
      <c r="BO326" s="216">
        <f>RevPAR!BH365</f>
        <v>1159.9328359020074</v>
      </c>
      <c r="BP326" s="970">
        <f>SUM(BL326:BO326)</f>
        <v>3503.6090983547788</v>
      </c>
      <c r="BQ326" s="216">
        <f>RevPAR!BJ365</f>
        <v>719.15229339067912</v>
      </c>
      <c r="BR326" s="216">
        <f>RevPAR!BK365</f>
        <v>848.54183719196499</v>
      </c>
      <c r="BS326" s="216">
        <f>RevPAR!BL365</f>
        <v>806.16795176379469</v>
      </c>
      <c r="BT326" s="216">
        <f>RevPAR!BM365</f>
        <v>1152.0376791284873</v>
      </c>
      <c r="BU326" s="970">
        <f>SUM(BQ326:BT326)</f>
        <v>3525.899761474926</v>
      </c>
      <c r="BV326" s="216">
        <f>RevPAR!BO365</f>
        <v>905.56781738569453</v>
      </c>
      <c r="BW326" s="216">
        <f>RevPAR!BP365</f>
        <v>992.15225962109048</v>
      </c>
      <c r="BX326" s="216">
        <f>RevPAR!BQ365</f>
        <v>984.56505222861233</v>
      </c>
      <c r="BY326" s="216">
        <f>RevPAR!BR365</f>
        <v>1049.1713281301545</v>
      </c>
      <c r="BZ326" s="970">
        <f>SUM(BV326:BY326)</f>
        <v>3931.4564573655516</v>
      </c>
      <c r="CA326" s="216">
        <f>RevPAR!BT365</f>
        <v>1110.7393530627314</v>
      </c>
      <c r="CB326" s="216">
        <f>RevPAR!BU365</f>
        <v>1276.1708794657393</v>
      </c>
      <c r="CC326" s="216">
        <f>RevPAR!BV365</f>
        <v>1249.6899791803237</v>
      </c>
      <c r="CD326" s="1782">
        <f>RevPAR!BW365</f>
        <v>1307.9131726253811</v>
      </c>
      <c r="CE326" s="970">
        <f>SUM(CA326:CD326)</f>
        <v>4944.5133843341755</v>
      </c>
      <c r="CF326" s="216">
        <f>RevPAR!BY365</f>
        <v>1158.3388518223812</v>
      </c>
      <c r="CG326" s="216">
        <f>RevPAR!BZ365</f>
        <v>1208.8559236438591</v>
      </c>
      <c r="CH326" s="216">
        <f>RevPAR!CA365</f>
        <v>1203.0215570478208</v>
      </c>
      <c r="CI326" s="1782">
        <f>RevPAR!CB365</f>
        <v>1247.3530304766446</v>
      </c>
      <c r="CJ326" s="970">
        <f>SUM(CF326:CI326)</f>
        <v>4817.5693629907055</v>
      </c>
      <c r="CK326" s="216">
        <f>RevPAR!CD365</f>
        <v>1101.9725644431908</v>
      </c>
      <c r="CL326" s="216">
        <f>RevPAR!CE365</f>
        <v>1174.7820131212807</v>
      </c>
      <c r="CM326" s="216">
        <f>RevPAR!CF365</f>
        <v>1161.5549857113288</v>
      </c>
      <c r="CN326" s="1782">
        <f>RevPAR!CG365</f>
        <v>2629.8476711338226</v>
      </c>
      <c r="CO326" s="970">
        <f>SUM(CK326:CN326)</f>
        <v>6068.1572344096221</v>
      </c>
      <c r="CP326" s="216">
        <f ca="1">RevPAR!CI365</f>
        <v>2439.7002877937825</v>
      </c>
      <c r="CQ326" s="216">
        <f ca="1">RevPAR!CJ365</f>
        <v>2684.5296583701356</v>
      </c>
      <c r="CR326" s="216">
        <f ca="1">RevPAR!CK365</f>
        <v>3277.5260668739325</v>
      </c>
      <c r="CS326" s="216">
        <f ca="1">RevPAR!CL365</f>
        <v>2924.7412820699742</v>
      </c>
      <c r="CT326" s="970">
        <f ca="1">SUM(CP326:CS326)</f>
        <v>11326.497295107823</v>
      </c>
      <c r="CU326" s="216">
        <f ca="1">RevPAR!CN365</f>
        <v>2669.843647894379</v>
      </c>
      <c r="CV326" s="216">
        <f ca="1">RevPAR!CO365</f>
        <v>2979.018894353283</v>
      </c>
      <c r="CW326" s="216">
        <f ca="1">RevPAR!CP365</f>
        <v>3597.7319267831081</v>
      </c>
      <c r="CX326" s="216">
        <f ca="1">RevPAR!CQ365</f>
        <v>3219.5191031596064</v>
      </c>
      <c r="CY326" s="970">
        <f ca="1">SUM(CU326:CX326)</f>
        <v>12466.113572190376</v>
      </c>
      <c r="CZ326" s="970">
        <f ca="1">RevPAR!CS365</f>
        <v>13445.43129019827</v>
      </c>
      <c r="DA326" s="970">
        <f ca="1">RevPAR!CT365</f>
        <v>13584.882368252798</v>
      </c>
      <c r="DB326"/>
      <c r="DC326"/>
      <c r="DD326" s="1712" t="s">
        <v>2036</v>
      </c>
      <c r="DE326" s="970">
        <f>M326</f>
        <v>0</v>
      </c>
      <c r="DF326" s="970">
        <f>R326</f>
        <v>0</v>
      </c>
      <c r="DG326" s="970">
        <f>W326</f>
        <v>0</v>
      </c>
      <c r="DH326" s="970">
        <f>AB326</f>
        <v>0</v>
      </c>
      <c r="DI326" s="970">
        <f>AG326</f>
        <v>0</v>
      </c>
      <c r="DJ326" s="970">
        <f>AL326</f>
        <v>0</v>
      </c>
      <c r="DK326" s="970">
        <f>AQ326</f>
        <v>0</v>
      </c>
      <c r="DL326" s="970">
        <f>AV326</f>
        <v>0</v>
      </c>
      <c r="DM326" s="970">
        <f>BA326</f>
        <v>3432.0239187309371</v>
      </c>
      <c r="DN326" s="970">
        <f>BF326</f>
        <v>2767.0743536352738</v>
      </c>
      <c r="DO326" s="970">
        <f>BK326</f>
        <v>3064.1038443682942</v>
      </c>
      <c r="DP326" s="970">
        <f>BP326</f>
        <v>3503.6090983547788</v>
      </c>
      <c r="DQ326" s="970">
        <f>BU326</f>
        <v>3525.899761474926</v>
      </c>
      <c r="DR326" s="970">
        <f>BZ326</f>
        <v>3931.4564573655516</v>
      </c>
      <c r="DS326" s="970">
        <f>CE326</f>
        <v>4944.5133843341755</v>
      </c>
      <c r="DT326" s="970">
        <f>CJ326</f>
        <v>4817.5693629907055</v>
      </c>
      <c r="DU326" s="970">
        <f>CO326</f>
        <v>6068.1572344096221</v>
      </c>
      <c r="DV326" s="970">
        <f ca="1">CT326</f>
        <v>11326.497295107823</v>
      </c>
      <c r="DW326" s="970">
        <f t="shared" ca="1" si="746"/>
        <v>12466.113572190376</v>
      </c>
      <c r="DX326" s="970">
        <f t="shared" ca="1" si="746"/>
        <v>13445.43129019827</v>
      </c>
      <c r="DY326" s="970">
        <f t="shared" ca="1" si="746"/>
        <v>13584.882368252798</v>
      </c>
      <c r="EA326"/>
      <c r="EB326"/>
      <c r="EC326"/>
      <c r="ED326"/>
      <c r="EE326"/>
      <c r="EF326"/>
      <c r="EJ326"/>
      <c r="EK326"/>
      <c r="EL326"/>
      <c r="ER326" s="212"/>
    </row>
    <row r="327" spans="1:148" s="1193" customFormat="1" ht="12.75" customHeight="1" x14ac:dyDescent="0.2">
      <c r="A327" s="1683" t="s">
        <v>1735</v>
      </c>
      <c r="B327" s="842"/>
      <c r="C327" s="842"/>
      <c r="D327" s="842"/>
      <c r="E327" s="842"/>
      <c r="F327" s="842"/>
      <c r="G327" s="842"/>
      <c r="H327" s="842"/>
      <c r="I327" s="842"/>
      <c r="J327" s="842"/>
      <c r="K327" s="842"/>
      <c r="L327" s="842"/>
      <c r="M327" s="971"/>
      <c r="N327" s="842"/>
      <c r="O327" s="842"/>
      <c r="P327" s="842"/>
      <c r="Q327" s="842"/>
      <c r="R327" s="971"/>
      <c r="S327" s="842"/>
      <c r="T327" s="842"/>
      <c r="U327" s="842"/>
      <c r="V327" s="842"/>
      <c r="W327" s="971"/>
      <c r="X327" s="842"/>
      <c r="Y327" s="842"/>
      <c r="Z327" s="842"/>
      <c r="AA327" s="842"/>
      <c r="AB327" s="971"/>
      <c r="AC327" s="842"/>
      <c r="AD327" s="842"/>
      <c r="AE327" s="842"/>
      <c r="AF327" s="842"/>
      <c r="AG327" s="971"/>
      <c r="AH327" s="842"/>
      <c r="AI327" s="842"/>
      <c r="AJ327" s="842"/>
      <c r="AK327" s="842"/>
      <c r="AL327" s="971"/>
      <c r="AM327" s="842"/>
      <c r="AN327" s="842"/>
      <c r="AO327" s="842"/>
      <c r="AP327" s="842"/>
      <c r="AQ327" s="971"/>
      <c r="AR327" s="842"/>
      <c r="AS327" s="842"/>
      <c r="AT327" s="842"/>
      <c r="AU327" s="842"/>
      <c r="AV327" s="971"/>
      <c r="AW327" s="842">
        <f t="shared" ref="AW327:CE327" si="747">SUM(AW325:AW326)</f>
        <v>2354.1261306586712</v>
      </c>
      <c r="AX327" s="842">
        <f t="shared" si="747"/>
        <v>2637.7797531765787</v>
      </c>
      <c r="AY327" s="842">
        <f t="shared" si="747"/>
        <v>2437.2727193819696</v>
      </c>
      <c r="AZ327" s="842">
        <f t="shared" si="747"/>
        <v>3047.4433175822983</v>
      </c>
      <c r="BA327" s="971">
        <f t="shared" si="747"/>
        <v>10476.621920799516</v>
      </c>
      <c r="BB327" s="842">
        <f t="shared" si="747"/>
        <v>1928.9186934244922</v>
      </c>
      <c r="BC327" s="842">
        <f t="shared" si="747"/>
        <v>1993.7280024200388</v>
      </c>
      <c r="BD327" s="842">
        <f t="shared" si="747"/>
        <v>1927.2341656280378</v>
      </c>
      <c r="BE327" s="842">
        <f t="shared" si="747"/>
        <v>2660.7086148059057</v>
      </c>
      <c r="BF327" s="971">
        <f t="shared" si="747"/>
        <v>8510.5894762784737</v>
      </c>
      <c r="BG327" s="842">
        <f t="shared" si="747"/>
        <v>1948.8413207185772</v>
      </c>
      <c r="BH327" s="842">
        <f t="shared" si="747"/>
        <v>2226.3630632267927</v>
      </c>
      <c r="BI327" s="842">
        <f t="shared" si="747"/>
        <v>2103.696930448396</v>
      </c>
      <c r="BJ327" s="842">
        <f t="shared" si="747"/>
        <v>2862.8403554564084</v>
      </c>
      <c r="BK327" s="971">
        <f t="shared" si="747"/>
        <v>9141.7416698501747</v>
      </c>
      <c r="BL327" s="842">
        <f t="shared" si="747"/>
        <v>2132.6757073971958</v>
      </c>
      <c r="BM327" s="842">
        <f t="shared" si="747"/>
        <v>2459.198171638232</v>
      </c>
      <c r="BN327" s="842">
        <f t="shared" si="747"/>
        <v>2352.0121102489434</v>
      </c>
      <c r="BO327" s="842">
        <f t="shared" si="747"/>
        <v>3129.5237471183273</v>
      </c>
      <c r="BP327" s="971">
        <f t="shared" si="747"/>
        <v>10073.409736402698</v>
      </c>
      <c r="BQ327" s="842">
        <f t="shared" si="747"/>
        <v>2257.5616407841994</v>
      </c>
      <c r="BR327" s="842">
        <f t="shared" si="747"/>
        <v>2570.3458406412847</v>
      </c>
      <c r="BS327" s="842">
        <f t="shared" si="747"/>
        <v>2407.2098266034745</v>
      </c>
      <c r="BT327" s="842">
        <f t="shared" si="747"/>
        <v>3208.5431104534473</v>
      </c>
      <c r="BU327" s="971">
        <f t="shared" si="747"/>
        <v>10443.660418482406</v>
      </c>
      <c r="BV327" s="842">
        <f>SUM(BV325:BV326)</f>
        <v>2642.0586340590348</v>
      </c>
      <c r="BW327" s="842">
        <f>SUM(BW325:BW326)</f>
        <v>2904.0067960420101</v>
      </c>
      <c r="BX327" s="842">
        <f>SUM(BX325:BX326)</f>
        <v>2783.2944064936523</v>
      </c>
      <c r="BY327" s="842">
        <f>SUM(BY325:BY326)</f>
        <v>2715.7190877835546</v>
      </c>
      <c r="BZ327" s="971">
        <f t="shared" si="747"/>
        <v>11045.078924378251</v>
      </c>
      <c r="CA327" s="842">
        <f>SUM(CA325:CA326)</f>
        <v>2862.6637350126312</v>
      </c>
      <c r="CB327" s="842">
        <f>SUM(CB325:CB326)</f>
        <v>3265.1118579774989</v>
      </c>
      <c r="CC327" s="842">
        <f>SUM(CC325:CC326)</f>
        <v>3178.313069576684</v>
      </c>
      <c r="CD327" s="1802">
        <f>SUM(CD325:CD326)</f>
        <v>3076.2778599953813</v>
      </c>
      <c r="CE327" s="971">
        <f t="shared" si="747"/>
        <v>12382.366522562195</v>
      </c>
      <c r="CF327" s="842">
        <f t="shared" ref="CF327:CL327" si="748">SUM(CF325:CF326)</f>
        <v>3030.1780351900811</v>
      </c>
      <c r="CG327" s="842">
        <f t="shared" si="748"/>
        <v>3297.7637467495988</v>
      </c>
      <c r="CH327" s="842">
        <f t="shared" si="748"/>
        <v>3263.8078339083013</v>
      </c>
      <c r="CI327" s="1802">
        <f t="shared" si="748"/>
        <v>3126.9985196283646</v>
      </c>
      <c r="CJ327" s="971">
        <f t="shared" si="748"/>
        <v>12718.748135476346</v>
      </c>
      <c r="CK327" s="842">
        <f t="shared" si="748"/>
        <v>3050.3694381449291</v>
      </c>
      <c r="CL327" s="842">
        <f t="shared" si="748"/>
        <v>3297.2146088923196</v>
      </c>
      <c r="CM327" s="842">
        <f t="shared" ref="CM327:CT327" si="749">SUM(CM325:CM326)</f>
        <v>3199.3691104384902</v>
      </c>
      <c r="CN327" s="1802">
        <f t="shared" si="749"/>
        <v>5122.7521202138232</v>
      </c>
      <c r="CO327" s="971">
        <f t="shared" si="749"/>
        <v>14669.705277689562</v>
      </c>
      <c r="CP327" s="842">
        <f t="shared" ca="1" si="749"/>
        <v>4951.8936769937827</v>
      </c>
      <c r="CQ327" s="842">
        <f t="shared" ca="1" si="749"/>
        <v>5547.864041370136</v>
      </c>
      <c r="CR327" s="842">
        <f t="shared" ca="1" si="749"/>
        <v>6126.0167931139331</v>
      </c>
      <c r="CS327" s="842">
        <f t="shared" ca="1" si="749"/>
        <v>5507.0269566699744</v>
      </c>
      <c r="CT327" s="971">
        <f t="shared" ca="1" si="749"/>
        <v>22132.801468147823</v>
      </c>
      <c r="CU327" s="842">
        <f t="shared" ref="CU327:DA327" ca="1" si="750">SUM(CU325:CU326)</f>
        <v>5278.3114552459065</v>
      </c>
      <c r="CV327" s="842">
        <f t="shared" ca="1" si="750"/>
        <v>5981.5636768232143</v>
      </c>
      <c r="CW327" s="842">
        <f t="shared" ca="1" si="750"/>
        <v>6576.1719897833318</v>
      </c>
      <c r="CX327" s="842">
        <f t="shared" ca="1" si="750"/>
        <v>5912.7882315178213</v>
      </c>
      <c r="CY327" s="971">
        <f t="shared" ca="1" si="750"/>
        <v>23748.835353370276</v>
      </c>
      <c r="CZ327" s="971">
        <f t="shared" ca="1" si="750"/>
        <v>25264.084162636842</v>
      </c>
      <c r="DA327" s="971">
        <f t="shared" ca="1" si="750"/>
        <v>25114.312386132362</v>
      </c>
      <c r="DB327"/>
      <c r="DC327"/>
      <c r="DD327" s="1683" t="s">
        <v>1735</v>
      </c>
      <c r="DE327" s="971">
        <f>M327</f>
        <v>0</v>
      </c>
      <c r="DF327" s="971">
        <f>R327</f>
        <v>0</v>
      </c>
      <c r="DG327" s="971">
        <f>W327</f>
        <v>0</v>
      </c>
      <c r="DH327" s="971">
        <f>AB327</f>
        <v>0</v>
      </c>
      <c r="DI327" s="971">
        <f>AG327</f>
        <v>0</v>
      </c>
      <c r="DJ327" s="971">
        <f>AL327</f>
        <v>0</v>
      </c>
      <c r="DK327" s="971">
        <f>AQ327</f>
        <v>0</v>
      </c>
      <c r="DL327" s="971">
        <f>AV327</f>
        <v>0</v>
      </c>
      <c r="DM327" s="971">
        <f>BA327</f>
        <v>10476.621920799516</v>
      </c>
      <c r="DN327" s="971">
        <f>BF327</f>
        <v>8510.5894762784737</v>
      </c>
      <c r="DO327" s="971">
        <f>BK327</f>
        <v>9141.7416698501747</v>
      </c>
      <c r="DP327" s="971">
        <f>BP327</f>
        <v>10073.409736402698</v>
      </c>
      <c r="DQ327" s="971">
        <f>BU327</f>
        <v>10443.660418482406</v>
      </c>
      <c r="DR327" s="971">
        <f>BZ327</f>
        <v>11045.078924378251</v>
      </c>
      <c r="DS327" s="971">
        <f>CE327</f>
        <v>12382.366522562195</v>
      </c>
      <c r="DT327" s="971">
        <f>CJ327</f>
        <v>12718.748135476346</v>
      </c>
      <c r="DU327" s="971">
        <f>CO327</f>
        <v>14669.705277689562</v>
      </c>
      <c r="DV327" s="971">
        <f ca="1">CT327</f>
        <v>22132.801468147823</v>
      </c>
      <c r="DW327" s="971">
        <f t="shared" ca="1" si="746"/>
        <v>23748.835353370276</v>
      </c>
      <c r="DX327" s="971">
        <f t="shared" ca="1" si="746"/>
        <v>25264.084162636842</v>
      </c>
      <c r="DY327" s="971">
        <f t="shared" ca="1" si="746"/>
        <v>25114.312386132362</v>
      </c>
      <c r="EA327"/>
      <c r="EB327"/>
      <c r="EC327"/>
      <c r="ED327"/>
      <c r="EE327"/>
      <c r="EF327"/>
      <c r="EJ327"/>
      <c r="EK327"/>
      <c r="EL327"/>
      <c r="ER327" s="212"/>
    </row>
    <row r="328" spans="1:148" s="1193" customFormat="1" ht="12.75" customHeight="1" x14ac:dyDescent="0.2">
      <c r="A328" s="1683"/>
      <c r="B328" s="872"/>
      <c r="C328" s="872"/>
      <c r="D328" s="872"/>
      <c r="E328" s="872"/>
      <c r="F328" s="872"/>
      <c r="G328" s="872"/>
      <c r="H328" s="872"/>
      <c r="I328" s="872"/>
      <c r="J328" s="872"/>
      <c r="K328" s="872"/>
      <c r="L328" s="872"/>
      <c r="M328" s="1001"/>
      <c r="N328" s="872"/>
      <c r="O328" s="872"/>
      <c r="P328" s="872"/>
      <c r="Q328" s="872"/>
      <c r="R328" s="1001"/>
      <c r="S328" s="872"/>
      <c r="T328" s="872"/>
      <c r="U328" s="872"/>
      <c r="V328" s="872"/>
      <c r="W328" s="1001"/>
      <c r="X328" s="872"/>
      <c r="Y328" s="872"/>
      <c r="Z328" s="872"/>
      <c r="AA328" s="872"/>
      <c r="AB328" s="1001"/>
      <c r="AC328" s="872"/>
      <c r="AD328" s="872"/>
      <c r="AE328" s="872"/>
      <c r="AF328" s="872"/>
      <c r="AG328" s="1001"/>
      <c r="AH328" s="872"/>
      <c r="AI328" s="872"/>
      <c r="AJ328" s="872"/>
      <c r="AK328" s="872"/>
      <c r="AL328" s="1001"/>
      <c r="AM328" s="872"/>
      <c r="AN328" s="872"/>
      <c r="AO328" s="872"/>
      <c r="AP328" s="872"/>
      <c r="AQ328" s="1001"/>
      <c r="AR328" s="872"/>
      <c r="AS328" s="872"/>
      <c r="AT328" s="872"/>
      <c r="AU328" s="872"/>
      <c r="AV328" s="1001"/>
      <c r="AW328" s="872"/>
      <c r="AX328" s="872"/>
      <c r="AY328" s="872"/>
      <c r="AZ328" s="872"/>
      <c r="BA328" s="1001"/>
      <c r="BB328" s="872">
        <f t="shared" ref="BB328:BU328" si="751">BB327/AW327-1</f>
        <v>-0.18062219848653915</v>
      </c>
      <c r="BC328" s="872">
        <f t="shared" si="751"/>
        <v>-0.24416433933914783</v>
      </c>
      <c r="BD328" s="872">
        <f t="shared" si="751"/>
        <v>-0.2092660988234688</v>
      </c>
      <c r="BE328" s="872">
        <f t="shared" si="751"/>
        <v>-0.12690464185014283</v>
      </c>
      <c r="BF328" s="1001">
        <f t="shared" si="751"/>
        <v>-0.18765900491434417</v>
      </c>
      <c r="BG328" s="872">
        <f t="shared" si="751"/>
        <v>1.0328391425724393E-2</v>
      </c>
      <c r="BH328" s="872">
        <f t="shared" si="751"/>
        <v>0.11668344956000798</v>
      </c>
      <c r="BI328" s="872">
        <f t="shared" si="751"/>
        <v>9.1562700562052957E-2</v>
      </c>
      <c r="BJ328" s="872">
        <f t="shared" si="751"/>
        <v>7.5969138268546565E-2</v>
      </c>
      <c r="BK328" s="1001">
        <f t="shared" si="751"/>
        <v>7.4160808170915526E-2</v>
      </c>
      <c r="BL328" s="872">
        <f t="shared" si="751"/>
        <v>9.4330094874443216E-2</v>
      </c>
      <c r="BM328" s="872">
        <f t="shared" si="751"/>
        <v>0.10458092494311244</v>
      </c>
      <c r="BN328" s="872">
        <f t="shared" si="751"/>
        <v>0.11803752537092871</v>
      </c>
      <c r="BO328" s="872">
        <f t="shared" si="751"/>
        <v>9.3153427557927104E-2</v>
      </c>
      <c r="BP328" s="1001">
        <f t="shared" si="751"/>
        <v>0.10191362873720244</v>
      </c>
      <c r="BQ328" s="872">
        <f t="shared" si="751"/>
        <v>5.8558332593106499E-2</v>
      </c>
      <c r="BR328" s="872">
        <f t="shared" si="751"/>
        <v>4.5196710978769872E-2</v>
      </c>
      <c r="BS328" s="872">
        <f t="shared" si="751"/>
        <v>2.3468295981132981E-2</v>
      </c>
      <c r="BT328" s="872">
        <f t="shared" si="751"/>
        <v>2.5249644904558055E-2</v>
      </c>
      <c r="BU328" s="1001">
        <f t="shared" si="751"/>
        <v>3.6755248894693393E-2</v>
      </c>
      <c r="BV328" s="872">
        <f t="shared" ref="BV328:CG328" si="752">BV327/BQ327-1</f>
        <v>0.1703151693972238</v>
      </c>
      <c r="BW328" s="872">
        <f t="shared" si="752"/>
        <v>0.12981169698062089</v>
      </c>
      <c r="BX328" s="872">
        <f t="shared" si="752"/>
        <v>0.15623257089342557</v>
      </c>
      <c r="BY328" s="872">
        <f t="shared" si="752"/>
        <v>-0.15359744460477087</v>
      </c>
      <c r="BZ328" s="1001">
        <f t="shared" si="752"/>
        <v>5.7586945744759976E-2</v>
      </c>
      <c r="CA328" s="872">
        <f t="shared" si="752"/>
        <v>8.3497428145520525E-2</v>
      </c>
      <c r="CB328" s="872">
        <f t="shared" si="752"/>
        <v>0.12434718211667195</v>
      </c>
      <c r="CC328" s="872">
        <f t="shared" si="752"/>
        <v>0.14192485788115738</v>
      </c>
      <c r="CD328" s="1785">
        <f t="shared" si="752"/>
        <v>0.13276732996198737</v>
      </c>
      <c r="CE328" s="1001">
        <f t="shared" si="752"/>
        <v>0.12107542257867765</v>
      </c>
      <c r="CF328" s="872">
        <f t="shared" si="752"/>
        <v>5.8516932369184094E-2</v>
      </c>
      <c r="CG328" s="872">
        <f t="shared" si="752"/>
        <v>1.0000235885433195E-2</v>
      </c>
      <c r="CH328" s="872">
        <f t="shared" ref="CH328:CO328" si="753">CH327/CC327-1</f>
        <v>2.6899415652279934E-2</v>
      </c>
      <c r="CI328" s="1785">
        <f t="shared" si="753"/>
        <v>1.6487671771320267E-2</v>
      </c>
      <c r="CJ328" s="1001">
        <f t="shared" si="753"/>
        <v>2.7166181222403774E-2</v>
      </c>
      <c r="CK328" s="872">
        <f t="shared" si="753"/>
        <v>6.6634378311640763E-3</v>
      </c>
      <c r="CL328" s="872">
        <f t="shared" si="753"/>
        <v>-1.6651825280711297E-4</v>
      </c>
      <c r="CM328" s="872">
        <f t="shared" si="753"/>
        <v>-1.9743418347227815E-2</v>
      </c>
      <c r="CN328" s="1785">
        <f t="shared" si="753"/>
        <v>0.63823298541972084</v>
      </c>
      <c r="CO328" s="1001">
        <f t="shared" si="753"/>
        <v>0.15339223022833659</v>
      </c>
      <c r="CP328" s="872">
        <f t="shared" ref="CP328:CY328" ca="1" si="754">CP327/CK327-1</f>
        <v>0.62337506240072305</v>
      </c>
      <c r="CQ328" s="872">
        <f t="shared" ca="1" si="754"/>
        <v>0.68259112597887861</v>
      </c>
      <c r="CR328" s="872">
        <f t="shared" ca="1" si="754"/>
        <v>0.91475774805937626</v>
      </c>
      <c r="CS328" s="872">
        <f t="shared" ca="1" si="754"/>
        <v>7.5013357554398308E-2</v>
      </c>
      <c r="CT328" s="1001">
        <f t="shared" ca="1" si="754"/>
        <v>0.50874206735485816</v>
      </c>
      <c r="CU328" s="872">
        <f t="shared" ca="1" si="754"/>
        <v>6.5917767937676564E-2</v>
      </c>
      <c r="CV328" s="872">
        <f t="shared" ca="1" si="754"/>
        <v>7.8174164366502596E-2</v>
      </c>
      <c r="CW328" s="872">
        <f t="shared" ca="1" si="754"/>
        <v>7.3482527370053008E-2</v>
      </c>
      <c r="CX328" s="872">
        <f t="shared" ca="1" si="754"/>
        <v>7.3680640759602456E-2</v>
      </c>
      <c r="CY328" s="1001">
        <f t="shared" ca="1" si="754"/>
        <v>7.3015333713996933E-2</v>
      </c>
      <c r="CZ328" s="1001">
        <f ca="1">CZ327/CY327-1</f>
        <v>6.380307862345469E-2</v>
      </c>
      <c r="DA328" s="1001">
        <f ca="1">DA327/CZ327-1</f>
        <v>-5.9282487954175345E-3</v>
      </c>
      <c r="DB328"/>
      <c r="DC328"/>
      <c r="DD328" s="1683"/>
      <c r="DE328" s="1001">
        <f>M328</f>
        <v>0</v>
      </c>
      <c r="DF328" s="1001">
        <f>R328</f>
        <v>0</v>
      </c>
      <c r="DG328" s="1001">
        <f>W328</f>
        <v>0</v>
      </c>
      <c r="DH328" s="1001">
        <f>AB328</f>
        <v>0</v>
      </c>
      <c r="DI328" s="1001">
        <f>AG328</f>
        <v>0</v>
      </c>
      <c r="DJ328" s="1001">
        <f>AL328</f>
        <v>0</v>
      </c>
      <c r="DK328" s="1001">
        <f>AQ328</f>
        <v>0</v>
      </c>
      <c r="DL328" s="1001">
        <f>AV328</f>
        <v>0</v>
      </c>
      <c r="DM328" s="1001">
        <f>BA328</f>
        <v>0</v>
      </c>
      <c r="DN328" s="1001">
        <f>BF328</f>
        <v>-0.18765900491434417</v>
      </c>
      <c r="DO328" s="1001">
        <f>BK328</f>
        <v>7.4160808170915526E-2</v>
      </c>
      <c r="DP328" s="1001">
        <f>BP328</f>
        <v>0.10191362873720244</v>
      </c>
      <c r="DQ328" s="1001">
        <f>BU328</f>
        <v>3.6755248894693393E-2</v>
      </c>
      <c r="DR328" s="1001">
        <f>BZ328</f>
        <v>5.7586945744759976E-2</v>
      </c>
      <c r="DS328" s="1001">
        <f>CE328</f>
        <v>0.12107542257867765</v>
      </c>
      <c r="DT328" s="1001">
        <f>CJ328</f>
        <v>2.7166181222403774E-2</v>
      </c>
      <c r="DU328" s="1001">
        <f>CO328</f>
        <v>0.15339223022833659</v>
      </c>
      <c r="DV328" s="1001">
        <f ca="1">CT328</f>
        <v>0.50874206735485816</v>
      </c>
      <c r="DW328" s="1001">
        <f t="shared" ca="1" si="746"/>
        <v>7.3015333713996933E-2</v>
      </c>
      <c r="DX328" s="1001">
        <f t="shared" ca="1" si="746"/>
        <v>6.380307862345469E-2</v>
      </c>
      <c r="DY328" s="1001">
        <f t="shared" ca="1" si="746"/>
        <v>-5.9282487954175345E-3</v>
      </c>
      <c r="EA328"/>
      <c r="EB328"/>
      <c r="EC328"/>
      <c r="ED328"/>
      <c r="EE328"/>
      <c r="EF328"/>
      <c r="EJ328"/>
      <c r="EK328"/>
      <c r="EL328"/>
      <c r="ER328" s="212"/>
    </row>
    <row r="329" spans="1:148" s="1193" customFormat="1" ht="12.75" customHeight="1" x14ac:dyDescent="0.2">
      <c r="B329" s="872"/>
      <c r="C329" s="872"/>
      <c r="D329" s="872"/>
      <c r="E329" s="872"/>
      <c r="F329" s="872"/>
      <c r="G329" s="872"/>
      <c r="H329" s="872"/>
      <c r="I329" s="872"/>
      <c r="J329" s="872"/>
      <c r="K329" s="872"/>
      <c r="L329" s="872"/>
      <c r="M329" s="1001"/>
      <c r="N329" s="872"/>
      <c r="O329" s="872"/>
      <c r="P329" s="872"/>
      <c r="Q329" s="872"/>
      <c r="R329" s="1001"/>
      <c r="S329" s="872"/>
      <c r="T329" s="872"/>
      <c r="U329" s="872"/>
      <c r="V329" s="872"/>
      <c r="W329" s="1001"/>
      <c r="X329" s="872"/>
      <c r="Y329" s="872"/>
      <c r="Z329" s="872"/>
      <c r="AA329" s="872"/>
      <c r="AB329" s="1001"/>
      <c r="AC329" s="872"/>
      <c r="AD329" s="872"/>
      <c r="AE329" s="872"/>
      <c r="AF329" s="872"/>
      <c r="AG329" s="1001"/>
      <c r="AH329" s="872"/>
      <c r="AI329" s="872"/>
      <c r="AJ329" s="872"/>
      <c r="AK329" s="872"/>
      <c r="AL329" s="1001"/>
      <c r="AM329" s="872"/>
      <c r="AN329" s="872"/>
      <c r="AO329" s="872"/>
      <c r="AP329" s="872"/>
      <c r="AQ329" s="1001"/>
      <c r="AR329" s="872"/>
      <c r="AS329" s="872"/>
      <c r="AT329" s="872"/>
      <c r="AU329" s="872"/>
      <c r="AV329" s="1001"/>
      <c r="AW329" s="872"/>
      <c r="AX329" s="872"/>
      <c r="AY329" s="872"/>
      <c r="AZ329" s="872"/>
      <c r="BA329" s="1001"/>
      <c r="BB329" s="872"/>
      <c r="BC329" s="872"/>
      <c r="BD329" s="872"/>
      <c r="BE329" s="872"/>
      <c r="BF329" s="1001"/>
      <c r="BG329" s="872"/>
      <c r="BH329" s="872"/>
      <c r="BI329" s="872"/>
      <c r="BJ329" s="872"/>
      <c r="BK329" s="1001"/>
      <c r="BL329" s="872"/>
      <c r="BM329" s="872"/>
      <c r="BN329" s="872"/>
      <c r="BO329" s="872"/>
      <c r="BP329" s="1001"/>
      <c r="BQ329" s="872"/>
      <c r="BR329" s="872"/>
      <c r="BS329" s="872"/>
      <c r="BT329" s="872"/>
      <c r="BU329" s="1001"/>
      <c r="BV329" s="872"/>
      <c r="BW329" s="872"/>
      <c r="BX329" s="872"/>
      <c r="BY329" s="872"/>
      <c r="BZ329" s="1001"/>
      <c r="CA329" s="872"/>
      <c r="CB329" s="872"/>
      <c r="CC329" s="872"/>
      <c r="CD329" s="1785"/>
      <c r="CE329" s="1001"/>
      <c r="CF329" s="872"/>
      <c r="CG329" s="872"/>
      <c r="CH329" s="872"/>
      <c r="CI329" s="1785"/>
      <c r="CJ329" s="1001"/>
      <c r="CK329" s="872"/>
      <c r="CL329" s="872"/>
      <c r="CM329" s="872"/>
      <c r="CN329" s="1785"/>
      <c r="CO329" s="1001"/>
      <c r="CP329" s="872"/>
      <c r="CQ329" s="872"/>
      <c r="CR329" s="872"/>
      <c r="CS329" s="872"/>
      <c r="CT329" s="3369"/>
      <c r="CU329" s="872"/>
      <c r="CV329" s="872"/>
      <c r="CW329" s="872"/>
      <c r="CX329" s="872"/>
      <c r="CY329" s="3369"/>
      <c r="CZ329" s="1001"/>
      <c r="DA329" s="1001"/>
      <c r="DB329"/>
      <c r="DC329"/>
      <c r="DD329" s="1683"/>
      <c r="DE329" s="1001"/>
      <c r="DF329" s="1001"/>
      <c r="DG329" s="1001"/>
      <c r="DH329" s="1001"/>
      <c r="DI329" s="1001"/>
      <c r="DJ329" s="1001"/>
      <c r="DK329" s="1001"/>
      <c r="DL329" s="1001"/>
      <c r="DM329" s="1001"/>
      <c r="DN329" s="1001"/>
      <c r="DO329" s="1001"/>
      <c r="DP329" s="1001"/>
      <c r="DQ329" s="1001"/>
      <c r="DR329" s="1001"/>
      <c r="DS329" s="1001"/>
      <c r="DT329" s="1001"/>
      <c r="DU329" s="1001"/>
      <c r="DV329" s="1001"/>
      <c r="DW329" s="1001"/>
      <c r="DX329" s="1001"/>
      <c r="DY329" s="1001"/>
      <c r="EA329"/>
      <c r="EB329"/>
      <c r="EC329"/>
      <c r="ED329"/>
      <c r="EE329"/>
      <c r="EF329"/>
      <c r="EJ329"/>
      <c r="EK329"/>
      <c r="EL329"/>
      <c r="ER329" s="212"/>
    </row>
    <row r="330" spans="1:148" s="2845" customFormat="1" ht="12.75" customHeight="1" x14ac:dyDescent="0.2">
      <c r="A330" s="3142" t="s">
        <v>2508</v>
      </c>
      <c r="B330" s="3152"/>
      <c r="C330" s="3152"/>
      <c r="D330" s="3152"/>
      <c r="E330" s="3152"/>
      <c r="F330" s="3152"/>
      <c r="G330" s="3152"/>
      <c r="H330" s="3152">
        <v>352</v>
      </c>
      <c r="I330" s="3152"/>
      <c r="J330" s="3152"/>
      <c r="K330" s="3152"/>
      <c r="L330" s="3152"/>
      <c r="M330" s="3143">
        <v>383</v>
      </c>
      <c r="N330" s="3152">
        <v>86.160752260160606</v>
      </c>
      <c r="O330" s="3152">
        <v>94.452245479134461</v>
      </c>
      <c r="P330" s="3152">
        <v>85</v>
      </c>
      <c r="Q330" s="3152">
        <v>100</v>
      </c>
      <c r="R330" s="3143">
        <f>SUM(N330:Q330)</f>
        <v>365.61299773929505</v>
      </c>
      <c r="S330" s="3152">
        <v>85</v>
      </c>
      <c r="T330" s="3152">
        <v>91</v>
      </c>
      <c r="U330" s="3152">
        <v>82</v>
      </c>
      <c r="V330" s="3152">
        <v>121</v>
      </c>
      <c r="W330" s="3143">
        <f>SUM(S330:V330)</f>
        <v>379</v>
      </c>
      <c r="X330" s="3152">
        <v>92</v>
      </c>
      <c r="Y330" s="3152">
        <v>88</v>
      </c>
      <c r="Z330" s="3152">
        <v>86</v>
      </c>
      <c r="AA330" s="3152">
        <v>122</v>
      </c>
      <c r="AB330" s="3143">
        <f>SUM(X330:AA330)</f>
        <v>388</v>
      </c>
      <c r="AC330" s="3152">
        <v>99</v>
      </c>
      <c r="AD330" s="3152">
        <v>106</v>
      </c>
      <c r="AE330" s="3152">
        <v>97</v>
      </c>
      <c r="AF330" s="3152">
        <v>133</v>
      </c>
      <c r="AG330" s="3143">
        <f>SUM(AC330:AF330)</f>
        <v>435</v>
      </c>
      <c r="AH330" s="3152">
        <v>111</v>
      </c>
      <c r="AI330" s="3152">
        <v>123</v>
      </c>
      <c r="AJ330" s="3152">
        <v>108</v>
      </c>
      <c r="AK330" s="3152">
        <v>155</v>
      </c>
      <c r="AL330" s="3143">
        <f>SUM(AH330:AK330)</f>
        <v>497</v>
      </c>
      <c r="AM330" s="3152">
        <v>127</v>
      </c>
      <c r="AN330" s="3152">
        <v>134</v>
      </c>
      <c r="AO330" s="3152">
        <v>119</v>
      </c>
      <c r="AP330" s="3152">
        <v>173</v>
      </c>
      <c r="AQ330" s="3143">
        <f>SUM(AM330:AP330)</f>
        <v>553</v>
      </c>
      <c r="AR330" s="3152">
        <v>134</v>
      </c>
      <c r="AS330" s="3152">
        <v>148</v>
      </c>
      <c r="AT330" s="3152">
        <v>135</v>
      </c>
      <c r="AU330" s="3152">
        <v>203</v>
      </c>
      <c r="AV330" s="3143">
        <f>SUM(AR330:AU330)</f>
        <v>620</v>
      </c>
      <c r="AW330" s="3152">
        <v>148</v>
      </c>
      <c r="AX330" s="3152">
        <v>161</v>
      </c>
      <c r="AY330" s="3152">
        <v>143</v>
      </c>
      <c r="AZ330" s="3152">
        <v>183</v>
      </c>
      <c r="BA330" s="3143">
        <f>SUM(AW330:AZ330)</f>
        <v>635</v>
      </c>
      <c r="BB330" s="3152">
        <v>125</v>
      </c>
      <c r="BC330" s="3152">
        <v>126</v>
      </c>
      <c r="BD330" s="3152">
        <v>116</v>
      </c>
      <c r="BE330" s="3152">
        <v>163</v>
      </c>
      <c r="BF330" s="3143">
        <f>SUM(BB330:BE330)</f>
        <v>530</v>
      </c>
      <c r="BG330" s="3152">
        <v>111</v>
      </c>
      <c r="BH330" s="3152">
        <v>122</v>
      </c>
      <c r="BI330" s="3152">
        <v>109</v>
      </c>
      <c r="BJ330" s="3152">
        <v>160</v>
      </c>
      <c r="BK330" s="3143">
        <f>SUM(BG330:BJ330)</f>
        <v>502</v>
      </c>
      <c r="BL330" s="3152">
        <v>120</v>
      </c>
      <c r="BM330" s="3152">
        <v>135</v>
      </c>
      <c r="BN330" s="3152">
        <v>120</v>
      </c>
      <c r="BO330" s="3152">
        <v>171</v>
      </c>
      <c r="BP330" s="3143">
        <f>SUM(BL330:BO330)</f>
        <v>546</v>
      </c>
      <c r="BQ330" s="3152">
        <v>124</v>
      </c>
      <c r="BR330" s="3152">
        <v>141</v>
      </c>
      <c r="BS330" s="3152">
        <v>134</v>
      </c>
      <c r="BT330" s="3152">
        <v>182</v>
      </c>
      <c r="BU330" s="3143">
        <f>+SUM(BQ330:BT330)</f>
        <v>581</v>
      </c>
      <c r="BV330" s="3152">
        <v>153</v>
      </c>
      <c r="BW330" s="3152">
        <v>166</v>
      </c>
      <c r="BX330" s="3152">
        <v>150</v>
      </c>
      <c r="BY330" s="3152">
        <v>152</v>
      </c>
      <c r="BZ330" s="3153">
        <f>+SUM(BV330:BY330)</f>
        <v>621</v>
      </c>
      <c r="CA330" s="3152">
        <v>155</v>
      </c>
      <c r="CB330" s="3152">
        <v>176</v>
      </c>
      <c r="CC330" s="3152">
        <v>178</v>
      </c>
      <c r="CD330" s="3152">
        <v>163</v>
      </c>
      <c r="CE330" s="3153">
        <f>+SUM(CA330:CD330)</f>
        <v>672</v>
      </c>
      <c r="CF330" s="3152">
        <v>165</v>
      </c>
      <c r="CG330" s="3152">
        <v>191</v>
      </c>
      <c r="CH330" s="3152">
        <v>170</v>
      </c>
      <c r="CI330" s="3152">
        <v>172</v>
      </c>
      <c r="CJ330" s="3143">
        <f>+SUM(CF330:CI330)</f>
        <v>698</v>
      </c>
      <c r="CK330" s="3164">
        <v>172</v>
      </c>
      <c r="CL330" s="3164">
        <v>186</v>
      </c>
      <c r="CM330" s="3164">
        <v>172</v>
      </c>
      <c r="CN330" s="3165"/>
      <c r="CO330" s="3166"/>
      <c r="CP330" s="3165"/>
      <c r="CQ330" s="3165"/>
      <c r="CR330" s="3165"/>
      <c r="CS330" s="3165"/>
      <c r="CT330" s="3166"/>
      <c r="CU330" s="3165"/>
      <c r="CV330" s="3165"/>
      <c r="CW330" s="3165"/>
      <c r="CX330" s="3165"/>
      <c r="CY330" s="3166"/>
      <c r="CZ330" s="3166"/>
      <c r="DA330" s="3166"/>
      <c r="DB330" s="3403"/>
      <c r="DC330" s="1062"/>
      <c r="DD330" s="3144" t="s">
        <v>1336</v>
      </c>
      <c r="DE330" s="3145">
        <f t="shared" ref="DE330:DE338" si="755">M330</f>
        <v>383</v>
      </c>
      <c r="DF330" s="3145">
        <f t="shared" ref="DF330:DF338" si="756">R330</f>
        <v>365.61299773929505</v>
      </c>
      <c r="DG330" s="3145">
        <f t="shared" ref="DG330:DG338" si="757">W330</f>
        <v>379</v>
      </c>
      <c r="DH330" s="3145">
        <f t="shared" ref="DH330:DH338" si="758">AB330</f>
        <v>388</v>
      </c>
      <c r="DI330" s="3145">
        <f t="shared" ref="DI330:DI338" si="759">AG330</f>
        <v>435</v>
      </c>
      <c r="DJ330" s="3145">
        <f t="shared" ref="DJ330:DJ338" si="760">AL330</f>
        <v>497</v>
      </c>
      <c r="DK330" s="3145">
        <f t="shared" ref="DK330:DK338" si="761">AQ330</f>
        <v>553</v>
      </c>
      <c r="DL330" s="3145">
        <f t="shared" ref="DL330:DL338" si="762">AV330</f>
        <v>620</v>
      </c>
      <c r="DM330" s="3145">
        <f t="shared" ref="DM330:DM338" si="763">BA330</f>
        <v>635</v>
      </c>
      <c r="DN330" s="3145">
        <f t="shared" ref="DN330:DN338" si="764">BF330</f>
        <v>530</v>
      </c>
      <c r="DO330" s="3145">
        <f t="shared" ref="DO330:DO338" si="765">BK330</f>
        <v>502</v>
      </c>
      <c r="DP330" s="3145">
        <f t="shared" ref="DP330:DP338" si="766">BP330</f>
        <v>546</v>
      </c>
      <c r="DQ330" s="3145">
        <f t="shared" ref="DQ330:DQ338" si="767">BU330</f>
        <v>581</v>
      </c>
      <c r="DR330" s="3145">
        <f t="shared" ref="DR330:DR338" si="768">BZ330</f>
        <v>621</v>
      </c>
      <c r="DS330" s="3145">
        <f t="shared" ref="DS330:DS338" si="769">CE330</f>
        <v>672</v>
      </c>
      <c r="DT330" s="3145">
        <f t="shared" ref="DT330:DT338" si="770">CJ330</f>
        <v>698</v>
      </c>
      <c r="DU330" s="3145">
        <f>CO333</f>
        <v>1072</v>
      </c>
      <c r="DV330" s="3145">
        <f>CT333</f>
        <v>1102</v>
      </c>
      <c r="DW330" s="3145">
        <f ca="1">CY333</f>
        <v>1183.2037229233629</v>
      </c>
      <c r="DX330" s="3145">
        <f ca="1">CZ333</f>
        <v>1258.9633173009652</v>
      </c>
      <c r="DY330" s="3145">
        <f ca="1">DA333</f>
        <v>1251.8826687223984</v>
      </c>
      <c r="DZ330" s="2792"/>
      <c r="EA330"/>
      <c r="EB330"/>
      <c r="EC330"/>
      <c r="ED330"/>
      <c r="EE330"/>
      <c r="EF330"/>
      <c r="EG330" s="3146"/>
      <c r="EH330" s="3147"/>
      <c r="EJ330"/>
      <c r="EK330"/>
      <c r="EL330"/>
      <c r="ER330" s="2631"/>
    </row>
    <row r="331" spans="1:148" s="3151" customFormat="1" ht="12.75" customHeight="1" x14ac:dyDescent="0.2">
      <c r="A331" s="3167" t="s">
        <v>2509</v>
      </c>
      <c r="B331" s="3168"/>
      <c r="C331" s="3168"/>
      <c r="D331" s="3168"/>
      <c r="E331" s="3168"/>
      <c r="F331" s="3168"/>
      <c r="G331" s="3168"/>
      <c r="H331" s="3168"/>
      <c r="I331" s="3168"/>
      <c r="J331" s="3168"/>
      <c r="K331" s="3168"/>
      <c r="L331" s="3168"/>
      <c r="M331" s="3171"/>
      <c r="N331" s="3168"/>
      <c r="O331" s="3168"/>
      <c r="P331" s="3168"/>
      <c r="Q331" s="3168"/>
      <c r="R331" s="3171"/>
      <c r="S331" s="3168"/>
      <c r="T331" s="3168"/>
      <c r="U331" s="3168"/>
      <c r="V331" s="3168"/>
      <c r="W331" s="3171"/>
      <c r="X331" s="3168"/>
      <c r="Y331" s="3168"/>
      <c r="Z331" s="3168"/>
      <c r="AA331" s="3168"/>
      <c r="AB331" s="3171"/>
      <c r="AC331" s="3168"/>
      <c r="AD331" s="3168"/>
      <c r="AE331" s="3168"/>
      <c r="AF331" s="3168"/>
      <c r="AG331" s="3171"/>
      <c r="AH331" s="3169">
        <v>24</v>
      </c>
      <c r="AI331" s="3169">
        <v>35</v>
      </c>
      <c r="AJ331" s="3169">
        <v>37</v>
      </c>
      <c r="AK331" s="3169">
        <v>41</v>
      </c>
      <c r="AL331" s="3171">
        <v>137</v>
      </c>
      <c r="AM331" s="3169">
        <v>43</v>
      </c>
      <c r="AN331" s="3169">
        <v>62</v>
      </c>
      <c r="AO331" s="3169">
        <v>65</v>
      </c>
      <c r="AP331" s="3169">
        <v>65</v>
      </c>
      <c r="AQ331" s="3171">
        <v>235</v>
      </c>
      <c r="AR331" s="3169">
        <v>62</v>
      </c>
      <c r="AS331" s="3169">
        <v>72</v>
      </c>
      <c r="AT331" s="3169">
        <v>70</v>
      </c>
      <c r="AU331" s="3169">
        <v>76</v>
      </c>
      <c r="AV331" s="3171">
        <v>280</v>
      </c>
      <c r="AW331" s="3169">
        <v>68</v>
      </c>
      <c r="AX331" s="3169">
        <v>75</v>
      </c>
      <c r="AY331" s="3169">
        <v>73</v>
      </c>
      <c r="AZ331" s="3169">
        <v>71</v>
      </c>
      <c r="BA331" s="3171">
        <v>287</v>
      </c>
      <c r="BB331" s="3169">
        <v>54</v>
      </c>
      <c r="BC331" s="3169">
        <v>60</v>
      </c>
      <c r="BD331" s="3169">
        <v>62</v>
      </c>
      <c r="BE331" s="3169">
        <v>65</v>
      </c>
      <c r="BF331" s="3171">
        <v>241</v>
      </c>
      <c r="BG331" s="3169">
        <v>60</v>
      </c>
      <c r="BH331" s="3169">
        <v>69</v>
      </c>
      <c r="BI331" s="3169">
        <v>67</v>
      </c>
      <c r="BJ331" s="3169">
        <v>74</v>
      </c>
      <c r="BK331" s="3171">
        <v>270</v>
      </c>
      <c r="BL331" s="3169">
        <v>67</v>
      </c>
      <c r="BM331" s="3169">
        <v>79</v>
      </c>
      <c r="BN331" s="3169">
        <v>81</v>
      </c>
      <c r="BO331" s="3169">
        <v>82</v>
      </c>
      <c r="BP331" s="3171">
        <v>309</v>
      </c>
      <c r="BQ331" s="3169">
        <v>76</v>
      </c>
      <c r="BR331" s="3169">
        <v>85</v>
      </c>
      <c r="BS331" s="3169">
        <v>83</v>
      </c>
      <c r="BT331" s="3169">
        <v>87</v>
      </c>
      <c r="BU331" s="3171">
        <v>331</v>
      </c>
      <c r="BV331" s="3169">
        <v>80</v>
      </c>
      <c r="BW331" s="3169">
        <v>92</v>
      </c>
      <c r="BX331" s="3169">
        <v>92</v>
      </c>
      <c r="BY331" s="3169">
        <v>94</v>
      </c>
      <c r="BZ331" s="3170">
        <v>358</v>
      </c>
      <c r="CA331" s="3169">
        <v>86</v>
      </c>
      <c r="CB331" s="3169">
        <v>98</v>
      </c>
      <c r="CC331" s="3169">
        <v>97</v>
      </c>
      <c r="CD331" s="3169">
        <v>96</v>
      </c>
      <c r="CE331" s="3170">
        <v>377</v>
      </c>
      <c r="CF331" s="3169">
        <v>85</v>
      </c>
      <c r="CG331" s="3169">
        <v>93</v>
      </c>
      <c r="CH331" s="3169">
        <v>95</v>
      </c>
      <c r="CI331" s="3169">
        <v>93</v>
      </c>
      <c r="CJ331" s="3171">
        <v>366</v>
      </c>
      <c r="CK331" s="3172">
        <v>85</v>
      </c>
      <c r="CL331" s="3172">
        <v>95</v>
      </c>
      <c r="CM331" s="3172">
        <f>266-CM330</f>
        <v>94</v>
      </c>
      <c r="CN331" s="3173"/>
      <c r="CO331" s="3148"/>
      <c r="CP331" s="3173"/>
      <c r="CQ331" s="3173"/>
      <c r="CR331" s="3173"/>
      <c r="CS331" s="3173"/>
      <c r="CT331" s="3148"/>
      <c r="CU331" s="3173"/>
      <c r="CV331" s="3173"/>
      <c r="CW331" s="3173"/>
      <c r="CX331" s="3173"/>
      <c r="CY331" s="3174"/>
      <c r="CZ331" s="3174"/>
      <c r="DA331" s="3174"/>
      <c r="DB331" s="3149"/>
      <c r="DC331" s="3149"/>
      <c r="DD331" s="3150"/>
      <c r="DE331" s="3148"/>
      <c r="DF331" s="3148"/>
      <c r="DG331" s="3148"/>
      <c r="DH331" s="3148"/>
      <c r="DI331" s="3148"/>
      <c r="DJ331" s="3148"/>
      <c r="DK331" s="3148"/>
      <c r="DL331" s="3148"/>
      <c r="DM331" s="3148"/>
      <c r="DN331" s="3148"/>
      <c r="DO331" s="3148"/>
      <c r="DP331" s="3148"/>
      <c r="DQ331" s="3148"/>
      <c r="DR331" s="3148"/>
      <c r="DS331" s="3148"/>
      <c r="DT331" s="3148"/>
      <c r="DU331" s="3148"/>
      <c r="DV331" s="3148"/>
      <c r="DW331" s="3148"/>
      <c r="DX331" s="3148"/>
      <c r="DY331" s="3148"/>
      <c r="EA331"/>
      <c r="EB331"/>
      <c r="EC331"/>
      <c r="ED331"/>
      <c r="EE331"/>
      <c r="EF331"/>
      <c r="EJ331"/>
      <c r="EK331"/>
      <c r="EL331"/>
    </row>
    <row r="332" spans="1:148" s="923" customFormat="1" ht="3.95" customHeight="1" x14ac:dyDescent="0.2">
      <c r="A332" s="3154"/>
      <c r="B332" s="3155"/>
      <c r="C332" s="3155"/>
      <c r="D332" s="3155"/>
      <c r="E332" s="3155"/>
      <c r="F332" s="3155"/>
      <c r="G332" s="3155"/>
      <c r="H332" s="3155"/>
      <c r="I332" s="3155"/>
      <c r="J332" s="3155"/>
      <c r="K332" s="3155"/>
      <c r="L332" s="3155"/>
      <c r="M332" s="3160" t="s">
        <v>2403</v>
      </c>
      <c r="N332" s="3156" t="s">
        <v>2403</v>
      </c>
      <c r="O332" s="3156" t="s">
        <v>2403</v>
      </c>
      <c r="P332" s="3156" t="s">
        <v>2403</v>
      </c>
      <c r="Q332" s="3156" t="s">
        <v>2403</v>
      </c>
      <c r="R332" s="3160" t="s">
        <v>2403</v>
      </c>
      <c r="S332" s="3156" t="s">
        <v>2403</v>
      </c>
      <c r="T332" s="3156" t="s">
        <v>2403</v>
      </c>
      <c r="U332" s="3156" t="s">
        <v>2403</v>
      </c>
      <c r="V332" s="3156" t="s">
        <v>2403</v>
      </c>
      <c r="W332" s="3160" t="s">
        <v>2403</v>
      </c>
      <c r="X332" s="3156" t="s">
        <v>2403</v>
      </c>
      <c r="Y332" s="3156" t="s">
        <v>2403</v>
      </c>
      <c r="Z332" s="3156" t="s">
        <v>2403</v>
      </c>
      <c r="AA332" s="3156" t="s">
        <v>2403</v>
      </c>
      <c r="AB332" s="3160" t="s">
        <v>2403</v>
      </c>
      <c r="AC332" s="3156" t="s">
        <v>2403</v>
      </c>
      <c r="AD332" s="3156" t="s">
        <v>2403</v>
      </c>
      <c r="AE332" s="3156" t="s">
        <v>2403</v>
      </c>
      <c r="AF332" s="3156" t="s">
        <v>2403</v>
      </c>
      <c r="AG332" s="3160" t="s">
        <v>2403</v>
      </c>
      <c r="AH332" s="3156" t="s">
        <v>2403</v>
      </c>
      <c r="AI332" s="3156" t="s">
        <v>2403</v>
      </c>
      <c r="AJ332" s="3156" t="s">
        <v>2403</v>
      </c>
      <c r="AK332" s="3156" t="s">
        <v>2403</v>
      </c>
      <c r="AL332" s="3160" t="s">
        <v>2403</v>
      </c>
      <c r="AM332" s="3156" t="s">
        <v>2403</v>
      </c>
      <c r="AN332" s="3156" t="s">
        <v>2403</v>
      </c>
      <c r="AO332" s="3156" t="s">
        <v>2403</v>
      </c>
      <c r="AP332" s="3156" t="s">
        <v>2403</v>
      </c>
      <c r="AQ332" s="3160" t="s">
        <v>2403</v>
      </c>
      <c r="AR332" s="3156" t="s">
        <v>2403</v>
      </c>
      <c r="AS332" s="3156" t="s">
        <v>2403</v>
      </c>
      <c r="AT332" s="3156" t="s">
        <v>2403</v>
      </c>
      <c r="AU332" s="3156" t="s">
        <v>2403</v>
      </c>
      <c r="AV332" s="3160" t="s">
        <v>2403</v>
      </c>
      <c r="AW332" s="3156" t="s">
        <v>2403</v>
      </c>
      <c r="AX332" s="3156" t="s">
        <v>2403</v>
      </c>
      <c r="AY332" s="3156" t="s">
        <v>2403</v>
      </c>
      <c r="AZ332" s="3156" t="s">
        <v>2403</v>
      </c>
      <c r="BA332" s="3160" t="s">
        <v>2403</v>
      </c>
      <c r="BB332" s="3156" t="s">
        <v>2403</v>
      </c>
      <c r="BC332" s="3156" t="s">
        <v>2403</v>
      </c>
      <c r="BD332" s="3156" t="s">
        <v>2403</v>
      </c>
      <c r="BE332" s="3156" t="s">
        <v>2403</v>
      </c>
      <c r="BF332" s="3160" t="s">
        <v>2403</v>
      </c>
      <c r="BG332" s="3156" t="s">
        <v>2403</v>
      </c>
      <c r="BH332" s="3156" t="s">
        <v>2403</v>
      </c>
      <c r="BI332" s="3156" t="s">
        <v>2403</v>
      </c>
      <c r="BJ332" s="3156" t="s">
        <v>2403</v>
      </c>
      <c r="BK332" s="3160" t="s">
        <v>2403</v>
      </c>
      <c r="BL332" s="3156" t="s">
        <v>2403</v>
      </c>
      <c r="BM332" s="3156" t="s">
        <v>2403</v>
      </c>
      <c r="BN332" s="3156" t="s">
        <v>2403</v>
      </c>
      <c r="BO332" s="3156" t="s">
        <v>2403</v>
      </c>
      <c r="BP332" s="3160" t="s">
        <v>2403</v>
      </c>
      <c r="BQ332" s="3156" t="s">
        <v>2403</v>
      </c>
      <c r="BR332" s="3156" t="s">
        <v>2403</v>
      </c>
      <c r="BS332" s="3156" t="s">
        <v>2403</v>
      </c>
      <c r="BT332" s="3156" t="s">
        <v>2403</v>
      </c>
      <c r="BU332" s="3160" t="s">
        <v>2403</v>
      </c>
      <c r="BV332" s="3156" t="s">
        <v>2403</v>
      </c>
      <c r="BW332" s="3156" t="s">
        <v>2403</v>
      </c>
      <c r="BX332" s="3156" t="s">
        <v>2403</v>
      </c>
      <c r="BY332" s="3157" t="s">
        <v>2403</v>
      </c>
      <c r="BZ332" s="3158" t="s">
        <v>2403</v>
      </c>
      <c r="CA332" s="3157" t="s">
        <v>2403</v>
      </c>
      <c r="CB332" s="3157" t="s">
        <v>2403</v>
      </c>
      <c r="CC332" s="3157" t="s">
        <v>2403</v>
      </c>
      <c r="CD332" s="3157" t="s">
        <v>2403</v>
      </c>
      <c r="CE332" s="3158" t="s">
        <v>2403</v>
      </c>
      <c r="CF332" s="3157" t="s">
        <v>2403</v>
      </c>
      <c r="CG332" s="3157" t="s">
        <v>2403</v>
      </c>
      <c r="CH332" s="3159" t="s">
        <v>2403</v>
      </c>
      <c r="CI332" s="3159" t="s">
        <v>2403</v>
      </c>
      <c r="CJ332" s="3160" t="s">
        <v>2403</v>
      </c>
      <c r="CK332" s="3159" t="s">
        <v>2403</v>
      </c>
      <c r="CL332" s="3159" t="s">
        <v>2403</v>
      </c>
      <c r="CM332" s="3159" t="s">
        <v>2403</v>
      </c>
      <c r="CN332" s="3159"/>
      <c r="CO332" s="3160"/>
      <c r="CP332" s="3159"/>
      <c r="CQ332" s="3159"/>
      <c r="CR332" s="3159"/>
      <c r="CS332" s="3159"/>
      <c r="CT332" s="3160"/>
      <c r="CU332" s="3159"/>
      <c r="CV332" s="3159"/>
      <c r="CW332" s="3159"/>
      <c r="CX332" s="3159"/>
      <c r="CY332" s="3160"/>
      <c r="CZ332" s="3160"/>
      <c r="DA332" s="3160"/>
      <c r="DB332"/>
      <c r="DC332"/>
      <c r="DD332" s="2285"/>
      <c r="DE332" s="2292"/>
      <c r="DF332" s="2292"/>
      <c r="DG332" s="2292"/>
      <c r="DH332" s="2292"/>
      <c r="DI332" s="2292"/>
      <c r="DJ332" s="2292"/>
      <c r="DK332" s="2292"/>
      <c r="DL332" s="2292"/>
      <c r="DM332" s="2292"/>
      <c r="DN332" s="2292"/>
      <c r="DO332" s="2292"/>
      <c r="DP332" s="2292"/>
      <c r="DQ332" s="2292"/>
      <c r="DR332" s="2292"/>
      <c r="DS332" s="2292"/>
      <c r="DT332" s="2292"/>
      <c r="DU332" s="2292"/>
      <c r="DV332" s="2292"/>
      <c r="DW332" s="2292"/>
      <c r="DX332" s="2292"/>
      <c r="DY332" s="2292"/>
      <c r="EA332"/>
      <c r="EB332"/>
      <c r="EC332"/>
      <c r="ED332"/>
      <c r="EE332"/>
      <c r="EF332"/>
      <c r="EJ332"/>
      <c r="EK332"/>
      <c r="EL332"/>
      <c r="ER332" s="212"/>
    </row>
    <row r="333" spans="1:148" s="923" customFormat="1" ht="12.75" customHeight="1" x14ac:dyDescent="0.2">
      <c r="A333" s="2298" t="s">
        <v>2510</v>
      </c>
      <c r="B333" s="3161"/>
      <c r="C333" s="3161"/>
      <c r="D333" s="3161"/>
      <c r="E333" s="3161"/>
      <c r="F333" s="3161"/>
      <c r="G333" s="3161"/>
      <c r="H333" s="3161"/>
      <c r="I333" s="3161"/>
      <c r="J333" s="3161"/>
      <c r="K333" s="3161"/>
      <c r="L333" s="3161"/>
      <c r="M333" s="3163">
        <f>+M330+M331</f>
        <v>383</v>
      </c>
      <c r="N333" s="3162">
        <f t="shared" ref="N333:BY333" si="771">+N330+N331</f>
        <v>86.160752260160606</v>
      </c>
      <c r="O333" s="3162">
        <f t="shared" si="771"/>
        <v>94.452245479134461</v>
      </c>
      <c r="P333" s="3162">
        <f t="shared" si="771"/>
        <v>85</v>
      </c>
      <c r="Q333" s="3162">
        <f t="shared" si="771"/>
        <v>100</v>
      </c>
      <c r="R333" s="3163">
        <f t="shared" si="771"/>
        <v>365.61299773929505</v>
      </c>
      <c r="S333" s="3162">
        <f t="shared" si="771"/>
        <v>85</v>
      </c>
      <c r="T333" s="3162">
        <f t="shared" si="771"/>
        <v>91</v>
      </c>
      <c r="U333" s="3162">
        <f t="shared" si="771"/>
        <v>82</v>
      </c>
      <c r="V333" s="3162">
        <f t="shared" si="771"/>
        <v>121</v>
      </c>
      <c r="W333" s="3163">
        <f t="shared" si="771"/>
        <v>379</v>
      </c>
      <c r="X333" s="3162">
        <f t="shared" si="771"/>
        <v>92</v>
      </c>
      <c r="Y333" s="3162">
        <f t="shared" si="771"/>
        <v>88</v>
      </c>
      <c r="Z333" s="3162">
        <f t="shared" si="771"/>
        <v>86</v>
      </c>
      <c r="AA333" s="3162">
        <f t="shared" si="771"/>
        <v>122</v>
      </c>
      <c r="AB333" s="3163">
        <f t="shared" si="771"/>
        <v>388</v>
      </c>
      <c r="AC333" s="3162">
        <f t="shared" si="771"/>
        <v>99</v>
      </c>
      <c r="AD333" s="3162">
        <f t="shared" si="771"/>
        <v>106</v>
      </c>
      <c r="AE333" s="3162">
        <f t="shared" si="771"/>
        <v>97</v>
      </c>
      <c r="AF333" s="3162">
        <f t="shared" si="771"/>
        <v>133</v>
      </c>
      <c r="AG333" s="3163">
        <f t="shared" si="771"/>
        <v>435</v>
      </c>
      <c r="AH333" s="3162">
        <f t="shared" si="771"/>
        <v>135</v>
      </c>
      <c r="AI333" s="3162">
        <f t="shared" si="771"/>
        <v>158</v>
      </c>
      <c r="AJ333" s="3162">
        <f t="shared" si="771"/>
        <v>145</v>
      </c>
      <c r="AK333" s="3162">
        <f t="shared" si="771"/>
        <v>196</v>
      </c>
      <c r="AL333" s="3163">
        <f t="shared" si="771"/>
        <v>634</v>
      </c>
      <c r="AM333" s="3162">
        <f t="shared" si="771"/>
        <v>170</v>
      </c>
      <c r="AN333" s="3162">
        <f t="shared" si="771"/>
        <v>196</v>
      </c>
      <c r="AO333" s="3162">
        <f t="shared" si="771"/>
        <v>184</v>
      </c>
      <c r="AP333" s="3162">
        <f t="shared" si="771"/>
        <v>238</v>
      </c>
      <c r="AQ333" s="3163">
        <f t="shared" si="771"/>
        <v>788</v>
      </c>
      <c r="AR333" s="3162">
        <f t="shared" si="771"/>
        <v>196</v>
      </c>
      <c r="AS333" s="3162">
        <f t="shared" si="771"/>
        <v>220</v>
      </c>
      <c r="AT333" s="3162">
        <f t="shared" si="771"/>
        <v>205</v>
      </c>
      <c r="AU333" s="3162">
        <f t="shared" si="771"/>
        <v>279</v>
      </c>
      <c r="AV333" s="3163">
        <f t="shared" si="771"/>
        <v>900</v>
      </c>
      <c r="AW333" s="3162">
        <f t="shared" si="771"/>
        <v>216</v>
      </c>
      <c r="AX333" s="3162">
        <f t="shared" si="771"/>
        <v>236</v>
      </c>
      <c r="AY333" s="3162">
        <f t="shared" si="771"/>
        <v>216</v>
      </c>
      <c r="AZ333" s="3162">
        <f t="shared" si="771"/>
        <v>254</v>
      </c>
      <c r="BA333" s="3163">
        <f t="shared" si="771"/>
        <v>922</v>
      </c>
      <c r="BB333" s="3162">
        <f t="shared" si="771"/>
        <v>179</v>
      </c>
      <c r="BC333" s="3162">
        <f t="shared" si="771"/>
        <v>186</v>
      </c>
      <c r="BD333" s="3162">
        <f t="shared" si="771"/>
        <v>178</v>
      </c>
      <c r="BE333" s="3162">
        <f t="shared" si="771"/>
        <v>228</v>
      </c>
      <c r="BF333" s="3163">
        <f t="shared" si="771"/>
        <v>771</v>
      </c>
      <c r="BG333" s="3162">
        <f t="shared" si="771"/>
        <v>171</v>
      </c>
      <c r="BH333" s="3162">
        <f t="shared" si="771"/>
        <v>191</v>
      </c>
      <c r="BI333" s="3162">
        <f t="shared" si="771"/>
        <v>176</v>
      </c>
      <c r="BJ333" s="3162">
        <f t="shared" si="771"/>
        <v>234</v>
      </c>
      <c r="BK333" s="3163">
        <f t="shared" si="771"/>
        <v>772</v>
      </c>
      <c r="BL333" s="3162">
        <f t="shared" si="771"/>
        <v>187</v>
      </c>
      <c r="BM333" s="3162">
        <f t="shared" si="771"/>
        <v>214</v>
      </c>
      <c r="BN333" s="3162">
        <f t="shared" si="771"/>
        <v>201</v>
      </c>
      <c r="BO333" s="3162">
        <f t="shared" si="771"/>
        <v>253</v>
      </c>
      <c r="BP333" s="3163">
        <f t="shared" si="771"/>
        <v>855</v>
      </c>
      <c r="BQ333" s="3162">
        <f t="shared" si="771"/>
        <v>200</v>
      </c>
      <c r="BR333" s="3162">
        <f t="shared" si="771"/>
        <v>226</v>
      </c>
      <c r="BS333" s="3162">
        <f t="shared" si="771"/>
        <v>217</v>
      </c>
      <c r="BT333" s="3162">
        <f t="shared" si="771"/>
        <v>269</v>
      </c>
      <c r="BU333" s="3163">
        <f t="shared" si="771"/>
        <v>912</v>
      </c>
      <c r="BV333" s="3162">
        <f t="shared" si="771"/>
        <v>233</v>
      </c>
      <c r="BW333" s="3162">
        <f t="shared" si="771"/>
        <v>258</v>
      </c>
      <c r="BX333" s="3162">
        <f t="shared" si="771"/>
        <v>242</v>
      </c>
      <c r="BY333" s="3162">
        <f t="shared" si="771"/>
        <v>246</v>
      </c>
      <c r="BZ333" s="3163">
        <f t="shared" ref="BZ333:CM333" si="772">+BZ330+BZ331</f>
        <v>979</v>
      </c>
      <c r="CA333" s="3162">
        <f t="shared" si="772"/>
        <v>241</v>
      </c>
      <c r="CB333" s="3162">
        <f t="shared" si="772"/>
        <v>274</v>
      </c>
      <c r="CC333" s="3162">
        <f t="shared" si="772"/>
        <v>275</v>
      </c>
      <c r="CD333" s="3162">
        <f t="shared" si="772"/>
        <v>259</v>
      </c>
      <c r="CE333" s="3163">
        <f t="shared" si="772"/>
        <v>1049</v>
      </c>
      <c r="CF333" s="3162">
        <f t="shared" si="772"/>
        <v>250</v>
      </c>
      <c r="CG333" s="3162">
        <f t="shared" si="772"/>
        <v>284</v>
      </c>
      <c r="CH333" s="3162">
        <f t="shared" si="772"/>
        <v>265</v>
      </c>
      <c r="CI333" s="3162">
        <f t="shared" si="772"/>
        <v>265</v>
      </c>
      <c r="CJ333" s="3163">
        <f t="shared" si="772"/>
        <v>1064</v>
      </c>
      <c r="CK333" s="3162">
        <f t="shared" si="772"/>
        <v>257</v>
      </c>
      <c r="CL333" s="3162">
        <f t="shared" si="772"/>
        <v>281</v>
      </c>
      <c r="CM333" s="3162">
        <f t="shared" si="772"/>
        <v>266</v>
      </c>
      <c r="CN333" s="3382">
        <v>268</v>
      </c>
      <c r="CO333" s="3163">
        <f>SUM(CK333:CN333)</f>
        <v>1072</v>
      </c>
      <c r="CP333" s="3382">
        <v>264</v>
      </c>
      <c r="CQ333" s="3623">
        <v>285</v>
      </c>
      <c r="CR333" s="3660">
        <v>269</v>
      </c>
      <c r="CS333" s="3660">
        <v>284</v>
      </c>
      <c r="CT333" s="3163">
        <f>+SUM(CP333:CS333)</f>
        <v>1102</v>
      </c>
      <c r="CU333" s="3162">
        <f ca="1">+CP333*(1+CU321*CU317+CU322*CU318)</f>
        <v>281.59649328782893</v>
      </c>
      <c r="CV333" s="3162">
        <f ca="1">+CQ333*(1+CV321*CV317+CV322*CV318)</f>
        <v>307.52592733844949</v>
      </c>
      <c r="CW333" s="3162">
        <f ca="1">+CR333*(1+CW321*CW317+CW322*CW318)</f>
        <v>288.93586495642586</v>
      </c>
      <c r="CX333" s="3162">
        <f ca="1">+CS333*(1+CX321*CX317+CX322*CX318)</f>
        <v>305.14543734065876</v>
      </c>
      <c r="CY333" s="3177">
        <f ca="1">+SUM(CU333:CX333)</f>
        <v>1183.2037229233629</v>
      </c>
      <c r="CZ333" s="3177">
        <f ca="1">+CY333*(1+CZ321*CZ317+CZ322*CZ318)</f>
        <v>1258.9633173009652</v>
      </c>
      <c r="DA333" s="3177">
        <f ca="1">+CZ333*(1+DA321*DA317+DA322*DA318)</f>
        <v>1251.8826687223984</v>
      </c>
      <c r="DB333"/>
      <c r="DC333"/>
      <c r="DD333" s="3140"/>
      <c r="DE333" s="3141"/>
      <c r="DF333" s="3141"/>
      <c r="DG333" s="3141"/>
      <c r="DH333" s="3141"/>
      <c r="DI333" s="3141"/>
      <c r="DJ333" s="3141"/>
      <c r="DK333" s="3141"/>
      <c r="DL333" s="3141"/>
      <c r="DM333" s="3141"/>
      <c r="DN333" s="3141"/>
      <c r="DO333" s="3141"/>
      <c r="DP333" s="3141"/>
      <c r="DQ333" s="3141"/>
      <c r="DR333" s="3141"/>
      <c r="DS333" s="3141"/>
      <c r="DT333" s="3141"/>
      <c r="DU333" s="3141"/>
      <c r="DV333" s="3141"/>
      <c r="DW333" s="3141"/>
      <c r="DX333" s="3141"/>
      <c r="DY333" s="3141"/>
      <c r="DZ333" s="1859"/>
      <c r="EA333"/>
      <c r="EB333"/>
      <c r="EC333"/>
      <c r="ED333"/>
      <c r="EE333"/>
      <c r="EF333"/>
      <c r="EG333" s="2973"/>
      <c r="EH333" s="2975"/>
      <c r="EJ333"/>
      <c r="EK333"/>
      <c r="EL333"/>
      <c r="ER333" s="212"/>
    </row>
    <row r="334" spans="1:148" s="923" customFormat="1" ht="12.75" customHeight="1" x14ac:dyDescent="0.2">
      <c r="A334" s="1675" t="s">
        <v>2514</v>
      </c>
      <c r="B334" s="996"/>
      <c r="C334" s="996"/>
      <c r="D334" s="996"/>
      <c r="E334" s="996"/>
      <c r="F334" s="996"/>
      <c r="G334" s="996"/>
      <c r="H334" s="996"/>
      <c r="I334" s="996"/>
      <c r="J334" s="996"/>
      <c r="K334" s="996"/>
      <c r="L334" s="996"/>
      <c r="M334" s="999"/>
      <c r="N334" s="996"/>
      <c r="O334" s="996"/>
      <c r="P334" s="996"/>
      <c r="Q334" s="996"/>
      <c r="R334" s="999">
        <f t="shared" ref="R334:CC334" si="773">+R333/M333-1</f>
        <v>-4.539687274335491E-2</v>
      </c>
      <c r="S334" s="996">
        <f t="shared" si="773"/>
        <v>-1.3471937392743993E-2</v>
      </c>
      <c r="T334" s="996">
        <f t="shared" si="773"/>
        <v>-3.6550168411793926E-2</v>
      </c>
      <c r="U334" s="996">
        <f t="shared" si="773"/>
        <v>-3.5294117647058809E-2</v>
      </c>
      <c r="V334" s="996">
        <f t="shared" si="773"/>
        <v>0.20999999999999996</v>
      </c>
      <c r="W334" s="999">
        <f t="shared" si="773"/>
        <v>3.6615225234007509E-2</v>
      </c>
      <c r="X334" s="996">
        <f t="shared" si="773"/>
        <v>8.2352941176470518E-2</v>
      </c>
      <c r="Y334" s="996">
        <f t="shared" si="773"/>
        <v>-3.2967032967032961E-2</v>
      </c>
      <c r="Z334" s="996">
        <f t="shared" si="773"/>
        <v>4.8780487804878092E-2</v>
      </c>
      <c r="AA334" s="996">
        <f t="shared" si="773"/>
        <v>8.2644628099173278E-3</v>
      </c>
      <c r="AB334" s="999">
        <f t="shared" si="773"/>
        <v>2.3746701846965701E-2</v>
      </c>
      <c r="AC334" s="996">
        <f t="shared" si="773"/>
        <v>7.6086956521739024E-2</v>
      </c>
      <c r="AD334" s="996">
        <f t="shared" si="773"/>
        <v>0.20454545454545459</v>
      </c>
      <c r="AE334" s="996">
        <f t="shared" si="773"/>
        <v>0.12790697674418605</v>
      </c>
      <c r="AF334" s="996">
        <f t="shared" si="773"/>
        <v>9.0163934426229497E-2</v>
      </c>
      <c r="AG334" s="999">
        <f t="shared" si="773"/>
        <v>0.12113402061855671</v>
      </c>
      <c r="AH334" s="996">
        <f t="shared" si="773"/>
        <v>0.36363636363636354</v>
      </c>
      <c r="AI334" s="996">
        <f t="shared" si="773"/>
        <v>0.49056603773584895</v>
      </c>
      <c r="AJ334" s="996">
        <f t="shared" si="773"/>
        <v>0.49484536082474229</v>
      </c>
      <c r="AK334" s="996">
        <f t="shared" si="773"/>
        <v>0.47368421052631571</v>
      </c>
      <c r="AL334" s="999">
        <f t="shared" si="773"/>
        <v>0.45747126436781604</v>
      </c>
      <c r="AM334" s="996">
        <f t="shared" si="773"/>
        <v>0.2592592592592593</v>
      </c>
      <c r="AN334" s="996">
        <f t="shared" si="773"/>
        <v>0.240506329113924</v>
      </c>
      <c r="AO334" s="996">
        <f t="shared" si="773"/>
        <v>0.2689655172413794</v>
      </c>
      <c r="AP334" s="996">
        <f t="shared" si="773"/>
        <v>0.21428571428571419</v>
      </c>
      <c r="AQ334" s="999">
        <f t="shared" si="773"/>
        <v>0.24290220820189279</v>
      </c>
      <c r="AR334" s="996">
        <f t="shared" si="773"/>
        <v>0.15294117647058814</v>
      </c>
      <c r="AS334" s="996">
        <f t="shared" si="773"/>
        <v>0.12244897959183665</v>
      </c>
      <c r="AT334" s="996">
        <f t="shared" si="773"/>
        <v>0.11413043478260865</v>
      </c>
      <c r="AU334" s="996">
        <f t="shared" si="773"/>
        <v>0.17226890756302526</v>
      </c>
      <c r="AV334" s="999">
        <f t="shared" si="773"/>
        <v>0.14213197969543145</v>
      </c>
      <c r="AW334" s="996">
        <f t="shared" si="773"/>
        <v>0.1020408163265305</v>
      </c>
      <c r="AX334" s="996">
        <f t="shared" si="773"/>
        <v>7.2727272727272751E-2</v>
      </c>
      <c r="AY334" s="996">
        <f t="shared" si="773"/>
        <v>5.3658536585365901E-2</v>
      </c>
      <c r="AZ334" s="996">
        <f t="shared" si="773"/>
        <v>-8.9605734767025047E-2</v>
      </c>
      <c r="BA334" s="999">
        <f t="shared" si="773"/>
        <v>2.4444444444444491E-2</v>
      </c>
      <c r="BB334" s="996">
        <f t="shared" si="773"/>
        <v>-0.17129629629629628</v>
      </c>
      <c r="BC334" s="996">
        <f t="shared" si="773"/>
        <v>-0.21186440677966101</v>
      </c>
      <c r="BD334" s="996">
        <f t="shared" si="773"/>
        <v>-0.17592592592592593</v>
      </c>
      <c r="BE334" s="996">
        <f t="shared" si="773"/>
        <v>-0.10236220472440949</v>
      </c>
      <c r="BF334" s="999">
        <f t="shared" si="773"/>
        <v>-0.16377440347071581</v>
      </c>
      <c r="BG334" s="996">
        <f t="shared" si="773"/>
        <v>-4.4692737430167551E-2</v>
      </c>
      <c r="BH334" s="996">
        <f t="shared" si="773"/>
        <v>2.6881720430107503E-2</v>
      </c>
      <c r="BI334" s="996">
        <f t="shared" si="773"/>
        <v>-1.1235955056179803E-2</v>
      </c>
      <c r="BJ334" s="996">
        <f t="shared" si="773"/>
        <v>2.6315789473684292E-2</v>
      </c>
      <c r="BK334" s="999">
        <f t="shared" si="773"/>
        <v>1.2970168612191912E-3</v>
      </c>
      <c r="BL334" s="996">
        <f t="shared" si="773"/>
        <v>9.3567251461988299E-2</v>
      </c>
      <c r="BM334" s="996">
        <f t="shared" si="773"/>
        <v>0.12041884816753923</v>
      </c>
      <c r="BN334" s="996">
        <f t="shared" si="773"/>
        <v>0.14204545454545459</v>
      </c>
      <c r="BO334" s="996">
        <f t="shared" si="773"/>
        <v>8.119658119658113E-2</v>
      </c>
      <c r="BP334" s="999">
        <f t="shared" si="773"/>
        <v>0.10751295336787559</v>
      </c>
      <c r="BQ334" s="996">
        <f t="shared" si="773"/>
        <v>6.9518716577540163E-2</v>
      </c>
      <c r="BR334" s="996">
        <f t="shared" si="773"/>
        <v>5.6074766355140193E-2</v>
      </c>
      <c r="BS334" s="996">
        <f t="shared" si="773"/>
        <v>7.9601990049751326E-2</v>
      </c>
      <c r="BT334" s="996">
        <f t="shared" si="773"/>
        <v>6.3241106719367668E-2</v>
      </c>
      <c r="BU334" s="999">
        <f t="shared" si="773"/>
        <v>6.6666666666666652E-2</v>
      </c>
      <c r="BV334" s="996">
        <f t="shared" si="773"/>
        <v>0.16500000000000004</v>
      </c>
      <c r="BW334" s="996">
        <f t="shared" si="773"/>
        <v>0.1415929203539823</v>
      </c>
      <c r="BX334" s="996">
        <f t="shared" si="773"/>
        <v>0.11520737327188946</v>
      </c>
      <c r="BY334" s="996">
        <f t="shared" si="773"/>
        <v>-8.5501858736059533E-2</v>
      </c>
      <c r="BZ334" s="999">
        <f t="shared" si="773"/>
        <v>7.3464912280701844E-2</v>
      </c>
      <c r="CA334" s="996">
        <f t="shared" si="773"/>
        <v>3.4334763948497882E-2</v>
      </c>
      <c r="CB334" s="996">
        <f t="shared" si="773"/>
        <v>6.2015503875969102E-2</v>
      </c>
      <c r="CC334" s="996">
        <f t="shared" si="773"/>
        <v>0.13636363636363646</v>
      </c>
      <c r="CD334" s="1800">
        <f t="shared" ref="CD334:CM334" si="774">+CD333/BY333-1</f>
        <v>5.2845528455284452E-2</v>
      </c>
      <c r="CE334" s="999">
        <f t="shared" si="774"/>
        <v>7.1501532175689553E-2</v>
      </c>
      <c r="CF334" s="996">
        <f t="shared" si="774"/>
        <v>3.7344398340249052E-2</v>
      </c>
      <c r="CG334" s="996">
        <f t="shared" si="774"/>
        <v>3.649635036496357E-2</v>
      </c>
      <c r="CH334" s="996">
        <f t="shared" si="774"/>
        <v>-3.6363636363636376E-2</v>
      </c>
      <c r="CI334" s="1800">
        <f t="shared" si="774"/>
        <v>2.316602316602312E-2</v>
      </c>
      <c r="CJ334" s="999">
        <f t="shared" si="774"/>
        <v>1.4299332697807365E-2</v>
      </c>
      <c r="CK334" s="996">
        <f t="shared" si="774"/>
        <v>2.8000000000000025E-2</v>
      </c>
      <c r="CL334" s="996">
        <f t="shared" si="774"/>
        <v>-1.0563380281690127E-2</v>
      </c>
      <c r="CM334" s="996">
        <f t="shared" si="774"/>
        <v>3.7735849056603765E-3</v>
      </c>
      <c r="CN334" s="1800">
        <f t="shared" ref="CN334:CT334" si="775">+CN333/CI333-1</f>
        <v>1.132075471698113E-2</v>
      </c>
      <c r="CO334" s="999">
        <f t="shared" si="775"/>
        <v>7.5187969924812581E-3</v>
      </c>
      <c r="CP334" s="996">
        <f t="shared" si="775"/>
        <v>2.7237354085603016E-2</v>
      </c>
      <c r="CQ334" s="996">
        <f t="shared" si="775"/>
        <v>1.4234875444839812E-2</v>
      </c>
      <c r="CR334" s="996">
        <f t="shared" si="775"/>
        <v>1.1278195488721776E-2</v>
      </c>
      <c r="CS334" s="996">
        <f t="shared" si="775"/>
        <v>5.9701492537313383E-2</v>
      </c>
      <c r="CT334" s="999">
        <f t="shared" si="775"/>
        <v>2.7985074626865725E-2</v>
      </c>
      <c r="CU334" s="996">
        <f ca="1">+CU333/CP333-1</f>
        <v>6.6653383666018584E-2</v>
      </c>
      <c r="CV334" s="996">
        <f ca="1">+CV333/CQ333-1</f>
        <v>7.9038341538419266E-2</v>
      </c>
      <c r="CW334" s="996">
        <f ca="1">+CW333/CR333-1</f>
        <v>7.4111022142847149E-2</v>
      </c>
      <c r="CX334" s="996">
        <f ca="1">+CX333/CS333-1</f>
        <v>7.4455765284009656E-2</v>
      </c>
      <c r="CY334" s="999">
        <f ca="1">+CY333/CT333-1</f>
        <v>7.3687588859675968E-2</v>
      </c>
      <c r="CZ334" s="999">
        <f ca="1">CZ333/CY333-1</f>
        <v>6.4029205545788503E-2</v>
      </c>
      <c r="DA334" s="999">
        <f ca="1">DA333/CZ333-1</f>
        <v>-5.6241897450567402E-3</v>
      </c>
      <c r="DB334"/>
      <c r="DC334"/>
      <c r="DD334" s="1675" t="s">
        <v>1016</v>
      </c>
      <c r="DE334" s="1001">
        <f t="shared" si="755"/>
        <v>0</v>
      </c>
      <c r="DF334" s="1001">
        <f t="shared" si="756"/>
        <v>-4.539687274335491E-2</v>
      </c>
      <c r="DG334" s="1001">
        <f t="shared" si="757"/>
        <v>3.6615225234007509E-2</v>
      </c>
      <c r="DH334" s="1001">
        <f t="shared" si="758"/>
        <v>2.3746701846965701E-2</v>
      </c>
      <c r="DI334" s="1001">
        <f t="shared" si="759"/>
        <v>0.12113402061855671</v>
      </c>
      <c r="DJ334" s="1001">
        <f t="shared" si="760"/>
        <v>0.45747126436781604</v>
      </c>
      <c r="DK334" s="1001">
        <f t="shared" si="761"/>
        <v>0.24290220820189279</v>
      </c>
      <c r="DL334" s="1001">
        <f t="shared" si="762"/>
        <v>0.14213197969543145</v>
      </c>
      <c r="DM334" s="1001">
        <f t="shared" si="763"/>
        <v>2.4444444444444491E-2</v>
      </c>
      <c r="DN334" s="1001">
        <f t="shared" si="764"/>
        <v>-0.16377440347071581</v>
      </c>
      <c r="DO334" s="1001">
        <f t="shared" si="765"/>
        <v>1.2970168612191912E-3</v>
      </c>
      <c r="DP334" s="1001">
        <f t="shared" si="766"/>
        <v>0.10751295336787559</v>
      </c>
      <c r="DQ334" s="1001">
        <f t="shared" si="767"/>
        <v>6.6666666666666652E-2</v>
      </c>
      <c r="DR334" s="1001">
        <f t="shared" si="768"/>
        <v>7.3464912280701844E-2</v>
      </c>
      <c r="DS334" s="1001">
        <f t="shared" si="769"/>
        <v>7.1501532175689553E-2</v>
      </c>
      <c r="DT334" s="1001">
        <f t="shared" si="770"/>
        <v>1.4299332697807365E-2</v>
      </c>
      <c r="DU334" s="1001">
        <f>CO334</f>
        <v>7.5187969924812581E-3</v>
      </c>
      <c r="DV334" s="1001">
        <f>CT334</f>
        <v>2.7985074626865725E-2</v>
      </c>
      <c r="DW334" s="1001">
        <f t="shared" ref="DW334:DY338" ca="1" si="776">CY334</f>
        <v>7.3687588859675968E-2</v>
      </c>
      <c r="DX334" s="1001">
        <f t="shared" ca="1" si="776"/>
        <v>6.4029205545788503E-2</v>
      </c>
      <c r="DY334" s="1001">
        <f t="shared" ca="1" si="776"/>
        <v>-5.6241897450567402E-3</v>
      </c>
      <c r="EA334"/>
      <c r="EB334"/>
      <c r="EC334"/>
      <c r="ED334"/>
      <c r="EE334"/>
      <c r="EF334"/>
      <c r="EJ334"/>
      <c r="EK334"/>
      <c r="EL334"/>
      <c r="ER334" s="212"/>
    </row>
    <row r="335" spans="1:148" s="923" customFormat="1" ht="12.75" hidden="1" customHeight="1" outlineLevel="1" x14ac:dyDescent="0.2">
      <c r="A335" s="504" t="s">
        <v>814</v>
      </c>
      <c r="B335" s="943"/>
      <c r="C335" s="943"/>
      <c r="D335" s="943"/>
      <c r="E335" s="943"/>
      <c r="F335" s="943"/>
      <c r="G335" s="943"/>
      <c r="H335" s="943"/>
      <c r="I335" s="943"/>
      <c r="J335" s="943"/>
      <c r="K335" s="943"/>
      <c r="L335" s="943"/>
      <c r="M335" s="974"/>
      <c r="N335" s="943"/>
      <c r="O335" s="943"/>
      <c r="P335" s="943"/>
      <c r="Q335" s="943"/>
      <c r="R335" s="974"/>
      <c r="S335" s="943"/>
      <c r="T335" s="943"/>
      <c r="U335" s="943"/>
      <c r="V335" s="943"/>
      <c r="W335" s="974"/>
      <c r="X335" s="943"/>
      <c r="Y335" s="943"/>
      <c r="Z335" s="943"/>
      <c r="AA335" s="943"/>
      <c r="AB335" s="974"/>
      <c r="AC335" s="943"/>
      <c r="AD335" s="943"/>
      <c r="AE335" s="943"/>
      <c r="AF335" s="943"/>
      <c r="AG335" s="974"/>
      <c r="AH335" s="943"/>
      <c r="AI335" s="943"/>
      <c r="AJ335" s="943"/>
      <c r="AK335" s="943"/>
      <c r="AL335" s="974"/>
      <c r="AM335" s="943">
        <f>AM470</f>
        <v>8</v>
      </c>
      <c r="AN335" s="943">
        <f>AN470</f>
        <v>8</v>
      </c>
      <c r="AO335" s="943">
        <f>AO470</f>
        <v>8</v>
      </c>
      <c r="AP335" s="943">
        <f>AP470</f>
        <v>10</v>
      </c>
      <c r="AQ335" s="974">
        <f>SUM(AM335:AP335)</f>
        <v>34</v>
      </c>
      <c r="AR335" s="943">
        <f>AR470</f>
        <v>10</v>
      </c>
      <c r="AS335" s="943">
        <f>AS470</f>
        <v>10</v>
      </c>
      <c r="AT335" s="943">
        <f>AT470</f>
        <v>10</v>
      </c>
      <c r="AU335" s="943">
        <f>AU470</f>
        <v>13</v>
      </c>
      <c r="AV335" s="974">
        <f>SUM(AR335:AU335)</f>
        <v>43</v>
      </c>
      <c r="AW335" s="943">
        <f>AW470</f>
        <v>11</v>
      </c>
      <c r="AX335" s="943">
        <f>AX470</f>
        <v>12</v>
      </c>
      <c r="AY335" s="943">
        <f>AY470</f>
        <v>12</v>
      </c>
      <c r="AZ335" s="943">
        <f>AZ470</f>
        <v>7</v>
      </c>
      <c r="BA335" s="974">
        <f>SUM(AW335:AZ335)</f>
        <v>42</v>
      </c>
      <c r="BB335" s="943">
        <f>BB470</f>
        <v>10</v>
      </c>
      <c r="BC335" s="943">
        <f>BC470</f>
        <v>11</v>
      </c>
      <c r="BD335" s="943">
        <f>BD470</f>
        <v>11</v>
      </c>
      <c r="BE335" s="943">
        <f>BE470</f>
        <v>15</v>
      </c>
      <c r="BF335" s="974">
        <f>SUM(BB335:BE335)</f>
        <v>47</v>
      </c>
      <c r="BG335" s="943">
        <f>BG470</f>
        <v>11</v>
      </c>
      <c r="BH335" s="943">
        <f>BH470</f>
        <v>12</v>
      </c>
      <c r="BI335" s="943">
        <f>BI470</f>
        <v>11</v>
      </c>
      <c r="BJ335" s="943">
        <f>BJ470</f>
        <v>16</v>
      </c>
      <c r="BK335" s="974">
        <f>SUM(BG335:BJ335)</f>
        <v>50</v>
      </c>
      <c r="BL335" s="943">
        <f>BL470</f>
        <v>13</v>
      </c>
      <c r="BM335" s="943">
        <f>BM470</f>
        <v>13</v>
      </c>
      <c r="BN335" s="943">
        <f>BN470</f>
        <v>14</v>
      </c>
      <c r="BO335" s="943">
        <v>10</v>
      </c>
      <c r="BP335" s="974">
        <f>SUM(BL335:BO335)</f>
        <v>50</v>
      </c>
      <c r="BQ335" s="943"/>
      <c r="BR335" s="943"/>
      <c r="BS335" s="943"/>
      <c r="BT335" s="943"/>
      <c r="BU335" s="974"/>
      <c r="BV335" s="943"/>
      <c r="BW335" s="943"/>
      <c r="BX335" s="943"/>
      <c r="BY335" s="943"/>
      <c r="BZ335" s="974"/>
      <c r="CA335" s="943"/>
      <c r="CB335" s="931"/>
      <c r="CC335" s="931"/>
      <c r="CD335" s="1778"/>
      <c r="CE335" s="974"/>
      <c r="CF335" s="943"/>
      <c r="CG335" s="931"/>
      <c r="CH335" s="931"/>
      <c r="CI335" s="1778"/>
      <c r="CJ335" s="974"/>
      <c r="CK335" s="931"/>
      <c r="CL335" s="931"/>
      <c r="CM335" s="931"/>
      <c r="CN335" s="1778"/>
      <c r="CO335" s="974"/>
      <c r="CP335" s="931"/>
      <c r="CQ335" s="931"/>
      <c r="CR335" s="931"/>
      <c r="CS335" s="931"/>
      <c r="CT335" s="974"/>
      <c r="CU335" s="931"/>
      <c r="CV335" s="931"/>
      <c r="CW335" s="931"/>
      <c r="CX335" s="931"/>
      <c r="CY335" s="974"/>
      <c r="CZ335" s="974"/>
      <c r="DA335" s="974"/>
      <c r="DB335"/>
      <c r="DC335"/>
      <c r="DD335" s="2285" t="s">
        <v>814</v>
      </c>
      <c r="DE335" s="1701">
        <f t="shared" si="755"/>
        <v>0</v>
      </c>
      <c r="DF335" s="1701">
        <f t="shared" si="756"/>
        <v>0</v>
      </c>
      <c r="DG335" s="1701">
        <f t="shared" si="757"/>
        <v>0</v>
      </c>
      <c r="DH335" s="1701">
        <f t="shared" si="758"/>
        <v>0</v>
      </c>
      <c r="DI335" s="1701">
        <f t="shared" si="759"/>
        <v>0</v>
      </c>
      <c r="DJ335" s="1701">
        <f t="shared" si="760"/>
        <v>0</v>
      </c>
      <c r="DK335" s="1701">
        <f t="shared" si="761"/>
        <v>34</v>
      </c>
      <c r="DL335" s="1701">
        <f t="shared" si="762"/>
        <v>43</v>
      </c>
      <c r="DM335" s="1701">
        <f t="shared" si="763"/>
        <v>42</v>
      </c>
      <c r="DN335" s="1701">
        <f t="shared" si="764"/>
        <v>47</v>
      </c>
      <c r="DO335" s="1701">
        <f t="shared" si="765"/>
        <v>50</v>
      </c>
      <c r="DP335" s="1701">
        <f t="shared" si="766"/>
        <v>50</v>
      </c>
      <c r="DQ335" s="1701">
        <f t="shared" si="767"/>
        <v>0</v>
      </c>
      <c r="DR335" s="1701">
        <f t="shared" si="768"/>
        <v>0</v>
      </c>
      <c r="DS335" s="1701">
        <f t="shared" si="769"/>
        <v>0</v>
      </c>
      <c r="DT335" s="1701">
        <f t="shared" si="770"/>
        <v>0</v>
      </c>
      <c r="DU335" s="1701">
        <f>CO335</f>
        <v>0</v>
      </c>
      <c r="DV335" s="1701">
        <f>CT335</f>
        <v>0</v>
      </c>
      <c r="DW335" s="1701">
        <f t="shared" si="776"/>
        <v>0</v>
      </c>
      <c r="DX335" s="1701">
        <f t="shared" si="776"/>
        <v>0</v>
      </c>
      <c r="DY335" s="1701">
        <f t="shared" si="776"/>
        <v>0</v>
      </c>
      <c r="EA335"/>
      <c r="EB335"/>
      <c r="EC335"/>
      <c r="ED335"/>
      <c r="EE335"/>
      <c r="EF335"/>
      <c r="EJ335"/>
      <c r="EK335"/>
      <c r="EL335"/>
      <c r="ER335" s="212"/>
    </row>
    <row r="336" spans="1:148" s="923" customFormat="1" ht="12.75" hidden="1" customHeight="1" outlineLevel="1" x14ac:dyDescent="0.2">
      <c r="A336" s="504" t="s">
        <v>1483</v>
      </c>
      <c r="B336" s="853"/>
      <c r="C336" s="853"/>
      <c r="D336" s="853"/>
      <c r="E336" s="853"/>
      <c r="F336" s="853"/>
      <c r="G336" s="853"/>
      <c r="H336" s="853"/>
      <c r="I336" s="853"/>
      <c r="J336" s="853"/>
      <c r="K336" s="853"/>
      <c r="L336" s="853"/>
      <c r="M336" s="993"/>
      <c r="N336" s="853"/>
      <c r="O336" s="853"/>
      <c r="P336" s="853"/>
      <c r="Q336" s="853"/>
      <c r="R336" s="993"/>
      <c r="S336" s="853"/>
      <c r="T336" s="853"/>
      <c r="U336" s="853"/>
      <c r="V336" s="853"/>
      <c r="W336" s="993"/>
      <c r="X336" s="853"/>
      <c r="Y336" s="853"/>
      <c r="Z336" s="853"/>
      <c r="AA336" s="853"/>
      <c r="AB336" s="993"/>
      <c r="AC336" s="853"/>
      <c r="AD336" s="853"/>
      <c r="AE336" s="853"/>
      <c r="AF336" s="853"/>
      <c r="AG336" s="993"/>
      <c r="AH336" s="853"/>
      <c r="AI336" s="853"/>
      <c r="AJ336" s="853"/>
      <c r="AK336" s="853"/>
      <c r="AL336" s="993"/>
      <c r="AM336" s="853">
        <f t="shared" ref="AM336:BP336" si="777">AM330-AM335</f>
        <v>119</v>
      </c>
      <c r="AN336" s="853">
        <f t="shared" si="777"/>
        <v>126</v>
      </c>
      <c r="AO336" s="853">
        <f t="shared" si="777"/>
        <v>111</v>
      </c>
      <c r="AP336" s="853">
        <f t="shared" si="777"/>
        <v>163</v>
      </c>
      <c r="AQ336" s="993">
        <f t="shared" si="777"/>
        <v>519</v>
      </c>
      <c r="AR336" s="853">
        <f t="shared" si="777"/>
        <v>124</v>
      </c>
      <c r="AS336" s="853">
        <f t="shared" si="777"/>
        <v>138</v>
      </c>
      <c r="AT336" s="853">
        <f t="shared" si="777"/>
        <v>125</v>
      </c>
      <c r="AU336" s="853">
        <f t="shared" si="777"/>
        <v>190</v>
      </c>
      <c r="AV336" s="993">
        <f t="shared" si="777"/>
        <v>577</v>
      </c>
      <c r="AW336" s="853">
        <f t="shared" si="777"/>
        <v>137</v>
      </c>
      <c r="AX336" s="853">
        <f t="shared" si="777"/>
        <v>149</v>
      </c>
      <c r="AY336" s="853">
        <f t="shared" si="777"/>
        <v>131</v>
      </c>
      <c r="AZ336" s="853">
        <f t="shared" si="777"/>
        <v>176</v>
      </c>
      <c r="BA336" s="993">
        <f t="shared" si="777"/>
        <v>593</v>
      </c>
      <c r="BB336" s="853">
        <f t="shared" si="777"/>
        <v>115</v>
      </c>
      <c r="BC336" s="853">
        <f t="shared" si="777"/>
        <v>115</v>
      </c>
      <c r="BD336" s="853">
        <f t="shared" si="777"/>
        <v>105</v>
      </c>
      <c r="BE336" s="853">
        <f t="shared" si="777"/>
        <v>148</v>
      </c>
      <c r="BF336" s="993">
        <f t="shared" si="777"/>
        <v>483</v>
      </c>
      <c r="BG336" s="853">
        <f t="shared" si="777"/>
        <v>100</v>
      </c>
      <c r="BH336" s="853">
        <f t="shared" si="777"/>
        <v>110</v>
      </c>
      <c r="BI336" s="853">
        <f t="shared" si="777"/>
        <v>98</v>
      </c>
      <c r="BJ336" s="853">
        <f t="shared" si="777"/>
        <v>144</v>
      </c>
      <c r="BK336" s="993">
        <f t="shared" si="777"/>
        <v>452</v>
      </c>
      <c r="BL336" s="853">
        <f t="shared" si="777"/>
        <v>107</v>
      </c>
      <c r="BM336" s="853">
        <f t="shared" si="777"/>
        <v>122</v>
      </c>
      <c r="BN336" s="853">
        <f t="shared" si="777"/>
        <v>106</v>
      </c>
      <c r="BO336" s="853">
        <f t="shared" si="777"/>
        <v>161</v>
      </c>
      <c r="BP336" s="993">
        <f t="shared" si="777"/>
        <v>496</v>
      </c>
      <c r="BQ336" s="853"/>
      <c r="BR336" s="853"/>
      <c r="BS336" s="853"/>
      <c r="BT336" s="853"/>
      <c r="BU336" s="993"/>
      <c r="BV336" s="853"/>
      <c r="BW336" s="853"/>
      <c r="BX336" s="853"/>
      <c r="BY336" s="853"/>
      <c r="BZ336" s="993"/>
      <c r="CA336" s="853"/>
      <c r="CB336" s="853"/>
      <c r="CC336" s="853"/>
      <c r="CD336" s="1807"/>
      <c r="CE336" s="993"/>
      <c r="CF336" s="853"/>
      <c r="CG336" s="853"/>
      <c r="CH336" s="853"/>
      <c r="CI336" s="1807"/>
      <c r="CJ336" s="993"/>
      <c r="CK336" s="853"/>
      <c r="CL336" s="853"/>
      <c r="CM336" s="853"/>
      <c r="CN336" s="1807"/>
      <c r="CO336" s="993"/>
      <c r="CP336" s="853"/>
      <c r="CQ336" s="853"/>
      <c r="CR336" s="853"/>
      <c r="CS336" s="853"/>
      <c r="CT336" s="993"/>
      <c r="CU336" s="853"/>
      <c r="CV336" s="853"/>
      <c r="CW336" s="853"/>
      <c r="CX336" s="853"/>
      <c r="CY336" s="993"/>
      <c r="CZ336" s="993"/>
      <c r="DA336" s="993"/>
      <c r="DB336"/>
      <c r="DC336"/>
      <c r="DD336" s="2285" t="s">
        <v>1483</v>
      </c>
      <c r="DE336" s="2293">
        <f t="shared" si="755"/>
        <v>0</v>
      </c>
      <c r="DF336" s="2293">
        <f t="shared" si="756"/>
        <v>0</v>
      </c>
      <c r="DG336" s="2293">
        <f t="shared" si="757"/>
        <v>0</v>
      </c>
      <c r="DH336" s="2293">
        <f t="shared" si="758"/>
        <v>0</v>
      </c>
      <c r="DI336" s="2293">
        <f t="shared" si="759"/>
        <v>0</v>
      </c>
      <c r="DJ336" s="2293">
        <f t="shared" si="760"/>
        <v>0</v>
      </c>
      <c r="DK336" s="2293">
        <f t="shared" si="761"/>
        <v>519</v>
      </c>
      <c r="DL336" s="2293">
        <f t="shared" si="762"/>
        <v>577</v>
      </c>
      <c r="DM336" s="2293">
        <f t="shared" si="763"/>
        <v>593</v>
      </c>
      <c r="DN336" s="2293">
        <f t="shared" si="764"/>
        <v>483</v>
      </c>
      <c r="DO336" s="2293">
        <f t="shared" si="765"/>
        <v>452</v>
      </c>
      <c r="DP336" s="2293">
        <f t="shared" si="766"/>
        <v>496</v>
      </c>
      <c r="DQ336" s="2293">
        <f t="shared" si="767"/>
        <v>0</v>
      </c>
      <c r="DR336" s="2293">
        <f t="shared" si="768"/>
        <v>0</v>
      </c>
      <c r="DS336" s="2293">
        <f t="shared" si="769"/>
        <v>0</v>
      </c>
      <c r="DT336" s="2293">
        <f t="shared" si="770"/>
        <v>0</v>
      </c>
      <c r="DU336" s="2293">
        <f>CO336</f>
        <v>0</v>
      </c>
      <c r="DV336" s="2293">
        <f>CT336</f>
        <v>0</v>
      </c>
      <c r="DW336" s="2293">
        <f t="shared" si="776"/>
        <v>0</v>
      </c>
      <c r="DX336" s="2293">
        <f t="shared" si="776"/>
        <v>0</v>
      </c>
      <c r="DY336" s="2293">
        <f t="shared" si="776"/>
        <v>0</v>
      </c>
      <c r="EA336"/>
      <c r="EB336"/>
      <c r="EC336"/>
      <c r="ED336"/>
      <c r="EE336"/>
      <c r="EF336"/>
      <c r="EJ336"/>
      <c r="EK336"/>
      <c r="EL336"/>
      <c r="ER336" s="212"/>
    </row>
    <row r="337" spans="1:148" s="923" customFormat="1" ht="12.75" hidden="1" customHeight="1" outlineLevel="1" x14ac:dyDescent="0.2">
      <c r="A337" s="1686" t="s">
        <v>742</v>
      </c>
      <c r="B337" s="872"/>
      <c r="C337" s="872"/>
      <c r="D337" s="872"/>
      <c r="E337" s="872"/>
      <c r="F337" s="872"/>
      <c r="G337" s="872"/>
      <c r="H337" s="872"/>
      <c r="I337" s="872"/>
      <c r="J337" s="872"/>
      <c r="K337" s="872"/>
      <c r="L337" s="872"/>
      <c r="M337" s="1001"/>
      <c r="N337" s="872"/>
      <c r="O337" s="872"/>
      <c r="P337" s="872"/>
      <c r="Q337" s="872"/>
      <c r="R337" s="1001"/>
      <c r="S337" s="872"/>
      <c r="T337" s="872"/>
      <c r="U337" s="872"/>
      <c r="V337" s="872"/>
      <c r="W337" s="1001"/>
      <c r="X337" s="872"/>
      <c r="Y337" s="872"/>
      <c r="Z337" s="872"/>
      <c r="AA337" s="872"/>
      <c r="AB337" s="1001"/>
      <c r="AC337" s="872"/>
      <c r="AD337" s="872"/>
      <c r="AE337" s="872"/>
      <c r="AF337" s="872"/>
      <c r="AG337" s="1001"/>
      <c r="AH337" s="872"/>
      <c r="AI337" s="872"/>
      <c r="AJ337" s="872"/>
      <c r="AK337" s="872"/>
      <c r="AL337" s="1001"/>
      <c r="AM337" s="872"/>
      <c r="AN337" s="872"/>
      <c r="AO337" s="872"/>
      <c r="AP337" s="872"/>
      <c r="AQ337" s="1001"/>
      <c r="AR337" s="872">
        <f>AR336/AM336-1</f>
        <v>4.2016806722689148E-2</v>
      </c>
      <c r="AS337" s="872">
        <f t="shared" ref="AS337:BP337" si="778">AS336/AN336-1</f>
        <v>9.5238095238095344E-2</v>
      </c>
      <c r="AT337" s="872">
        <f t="shared" si="778"/>
        <v>0.12612612612612617</v>
      </c>
      <c r="AU337" s="872">
        <f t="shared" si="778"/>
        <v>0.16564417177914104</v>
      </c>
      <c r="AV337" s="1001">
        <f t="shared" si="778"/>
        <v>0.11175337186897871</v>
      </c>
      <c r="AW337" s="872">
        <f t="shared" si="778"/>
        <v>0.10483870967741926</v>
      </c>
      <c r="AX337" s="872">
        <f t="shared" si="778"/>
        <v>7.9710144927536142E-2</v>
      </c>
      <c r="AY337" s="872">
        <f t="shared" si="778"/>
        <v>4.8000000000000043E-2</v>
      </c>
      <c r="AZ337" s="872">
        <f t="shared" si="778"/>
        <v>-7.3684210526315796E-2</v>
      </c>
      <c r="BA337" s="1001">
        <f t="shared" si="778"/>
        <v>2.7729636048526851E-2</v>
      </c>
      <c r="BB337" s="872">
        <f t="shared" si="778"/>
        <v>-0.16058394160583944</v>
      </c>
      <c r="BC337" s="872">
        <f t="shared" si="778"/>
        <v>-0.22818791946308725</v>
      </c>
      <c r="BD337" s="872">
        <f t="shared" si="778"/>
        <v>-0.19847328244274809</v>
      </c>
      <c r="BE337" s="872">
        <f t="shared" si="778"/>
        <v>-0.15909090909090906</v>
      </c>
      <c r="BF337" s="1001">
        <f t="shared" si="778"/>
        <v>-0.18549747048903875</v>
      </c>
      <c r="BG337" s="872">
        <f t="shared" si="778"/>
        <v>-0.13043478260869568</v>
      </c>
      <c r="BH337" s="872">
        <f t="shared" si="778"/>
        <v>-4.3478260869565188E-2</v>
      </c>
      <c r="BI337" s="872">
        <f t="shared" si="778"/>
        <v>-6.6666666666666652E-2</v>
      </c>
      <c r="BJ337" s="872">
        <f t="shared" si="778"/>
        <v>-2.7027027027026973E-2</v>
      </c>
      <c r="BK337" s="1001">
        <f t="shared" si="778"/>
        <v>-6.4182194616977273E-2</v>
      </c>
      <c r="BL337" s="872">
        <f t="shared" si="778"/>
        <v>7.0000000000000062E-2</v>
      </c>
      <c r="BM337" s="872">
        <f t="shared" si="778"/>
        <v>0.10909090909090913</v>
      </c>
      <c r="BN337" s="872">
        <f>BN336/BI336-1</f>
        <v>8.163265306122458E-2</v>
      </c>
      <c r="BO337" s="872">
        <f>BO336/BJ336-1</f>
        <v>0.11805555555555558</v>
      </c>
      <c r="BP337" s="1001">
        <f t="shared" si="778"/>
        <v>9.7345132743362761E-2</v>
      </c>
      <c r="BQ337" s="872"/>
      <c r="BR337" s="872"/>
      <c r="BS337" s="872"/>
      <c r="BT337" s="872"/>
      <c r="BU337" s="1001"/>
      <c r="BV337" s="872"/>
      <c r="BW337" s="872"/>
      <c r="BX337" s="872"/>
      <c r="BY337" s="872"/>
      <c r="BZ337" s="1001"/>
      <c r="CA337" s="872"/>
      <c r="CB337" s="872"/>
      <c r="CC337" s="872"/>
      <c r="CD337" s="1785"/>
      <c r="CE337" s="1001"/>
      <c r="CF337" s="872"/>
      <c r="CG337" s="872"/>
      <c r="CH337" s="872"/>
      <c r="CI337" s="1785"/>
      <c r="CJ337" s="1001"/>
      <c r="CK337" s="872"/>
      <c r="CL337" s="872"/>
      <c r="CM337" s="872"/>
      <c r="CN337" s="1785"/>
      <c r="CO337" s="1001"/>
      <c r="CP337" s="872"/>
      <c r="CQ337" s="872"/>
      <c r="CR337" s="872"/>
      <c r="CS337" s="872"/>
      <c r="CT337" s="1001"/>
      <c r="CU337" s="872"/>
      <c r="CV337" s="872"/>
      <c r="CW337" s="872"/>
      <c r="CX337" s="872"/>
      <c r="CY337" s="1001"/>
      <c r="CZ337" s="1001"/>
      <c r="DA337" s="1001"/>
      <c r="DB337"/>
      <c r="DC337"/>
      <c r="DD337" s="1686" t="s">
        <v>742</v>
      </c>
      <c r="DE337" s="1001">
        <f t="shared" si="755"/>
        <v>0</v>
      </c>
      <c r="DF337" s="1001">
        <f t="shared" si="756"/>
        <v>0</v>
      </c>
      <c r="DG337" s="1001">
        <f t="shared" si="757"/>
        <v>0</v>
      </c>
      <c r="DH337" s="1001">
        <f t="shared" si="758"/>
        <v>0</v>
      </c>
      <c r="DI337" s="1001">
        <f t="shared" si="759"/>
        <v>0</v>
      </c>
      <c r="DJ337" s="1001">
        <f t="shared" si="760"/>
        <v>0</v>
      </c>
      <c r="DK337" s="1001">
        <f t="shared" si="761"/>
        <v>0</v>
      </c>
      <c r="DL337" s="1001">
        <f t="shared" si="762"/>
        <v>0.11175337186897871</v>
      </c>
      <c r="DM337" s="1001">
        <f t="shared" si="763"/>
        <v>2.7729636048526851E-2</v>
      </c>
      <c r="DN337" s="1001">
        <f t="shared" si="764"/>
        <v>-0.18549747048903875</v>
      </c>
      <c r="DO337" s="1001">
        <f t="shared" si="765"/>
        <v>-6.4182194616977273E-2</v>
      </c>
      <c r="DP337" s="1001">
        <f t="shared" si="766"/>
        <v>9.7345132743362761E-2</v>
      </c>
      <c r="DQ337" s="1001">
        <f t="shared" si="767"/>
        <v>0</v>
      </c>
      <c r="DR337" s="1001">
        <f t="shared" si="768"/>
        <v>0</v>
      </c>
      <c r="DS337" s="1001">
        <f t="shared" si="769"/>
        <v>0</v>
      </c>
      <c r="DT337" s="1001">
        <f t="shared" si="770"/>
        <v>0</v>
      </c>
      <c r="DU337" s="1001">
        <f>CO337</f>
        <v>0</v>
      </c>
      <c r="DV337" s="1001">
        <f>CT337</f>
        <v>0</v>
      </c>
      <c r="DW337" s="1001">
        <f t="shared" si="776"/>
        <v>0</v>
      </c>
      <c r="DX337" s="1001">
        <f t="shared" si="776"/>
        <v>0</v>
      </c>
      <c r="DY337" s="1001">
        <f t="shared" si="776"/>
        <v>0</v>
      </c>
      <c r="EA337"/>
      <c r="EB337"/>
      <c r="EC337"/>
      <c r="ED337"/>
      <c r="EE337"/>
      <c r="EF337"/>
      <c r="EJ337"/>
      <c r="EK337"/>
      <c r="EL337"/>
      <c r="ER337" s="212"/>
    </row>
    <row r="338" spans="1:148" s="923" customFormat="1" ht="12.75" customHeight="1" collapsed="1" x14ac:dyDescent="0.2">
      <c r="A338" s="1717" t="s">
        <v>979</v>
      </c>
      <c r="B338" s="1190"/>
      <c r="C338" s="1190"/>
      <c r="D338" s="1190"/>
      <c r="E338" s="1190"/>
      <c r="F338" s="1190"/>
      <c r="G338" s="1190"/>
      <c r="H338" s="1190"/>
      <c r="I338" s="1190"/>
      <c r="J338" s="1190"/>
      <c r="K338" s="1190"/>
      <c r="L338" s="1190"/>
      <c r="M338" s="1191"/>
      <c r="N338" s="1190"/>
      <c r="O338" s="1190"/>
      <c r="P338" s="1190"/>
      <c r="Q338" s="1190"/>
      <c r="R338" s="1191"/>
      <c r="S338" s="1190"/>
      <c r="T338" s="1190"/>
      <c r="U338" s="1190"/>
      <c r="V338" s="1190"/>
      <c r="W338" s="1191"/>
      <c r="X338" s="1190"/>
      <c r="Y338" s="1190"/>
      <c r="Z338" s="1190"/>
      <c r="AA338" s="1190"/>
      <c r="AB338" s="1191"/>
      <c r="AC338" s="1190"/>
      <c r="AD338" s="1190"/>
      <c r="AE338" s="1190"/>
      <c r="AF338" s="1190"/>
      <c r="AG338" s="1191"/>
      <c r="AH338" s="1190"/>
      <c r="AI338" s="1190"/>
      <c r="AJ338" s="1190"/>
      <c r="AK338" s="1190"/>
      <c r="AL338" s="1191"/>
      <c r="AM338" s="1190"/>
      <c r="AN338" s="1190"/>
      <c r="AO338" s="1190"/>
      <c r="AP338" s="1190"/>
      <c r="AQ338" s="1191"/>
      <c r="AR338" s="1190"/>
      <c r="AS338" s="1190"/>
      <c r="AT338" s="1190"/>
      <c r="AU338" s="1190"/>
      <c r="AV338" s="1191"/>
      <c r="AW338" s="1190">
        <f t="shared" ref="AW338:CM338" si="779">AW330/AW327</f>
        <v>6.2868339156742822E-2</v>
      </c>
      <c r="AX338" s="1190">
        <f t="shared" si="779"/>
        <v>6.1036180070043293E-2</v>
      </c>
      <c r="AY338" s="1190">
        <f t="shared" si="779"/>
        <v>5.8672137452168732E-2</v>
      </c>
      <c r="AZ338" s="1190">
        <f t="shared" si="779"/>
        <v>6.00503375876352E-2</v>
      </c>
      <c r="BA338" s="1191">
        <f t="shared" si="779"/>
        <v>6.0611140193893756E-2</v>
      </c>
      <c r="BB338" s="1190">
        <f t="shared" si="779"/>
        <v>6.4803146149245996E-2</v>
      </c>
      <c r="BC338" s="1190">
        <f t="shared" si="779"/>
        <v>6.3198189445630465E-2</v>
      </c>
      <c r="BD338" s="1190">
        <f t="shared" si="779"/>
        <v>6.0189883548581902E-2</v>
      </c>
      <c r="BE338" s="1190">
        <f t="shared" si="779"/>
        <v>6.1261875536825959E-2</v>
      </c>
      <c r="BF338" s="1191">
        <f t="shared" si="779"/>
        <v>6.2275357244908416E-2</v>
      </c>
      <c r="BG338" s="1190">
        <f t="shared" si="779"/>
        <v>5.695692041211034E-2</v>
      </c>
      <c r="BH338" s="1190">
        <f t="shared" si="779"/>
        <v>5.4797890791081737E-2</v>
      </c>
      <c r="BI338" s="1190">
        <f t="shared" si="779"/>
        <v>5.1813547104794709E-2</v>
      </c>
      <c r="BJ338" s="1190">
        <f t="shared" si="779"/>
        <v>5.5888551275676004E-2</v>
      </c>
      <c r="BK338" s="1191">
        <f t="shared" si="779"/>
        <v>5.4912949646741371E-2</v>
      </c>
      <c r="BL338" s="1190">
        <f t="shared" si="779"/>
        <v>5.6267345093198855E-2</v>
      </c>
      <c r="BM338" s="1190">
        <f t="shared" si="779"/>
        <v>5.4895941919990823E-2</v>
      </c>
      <c r="BN338" s="1190">
        <f t="shared" si="779"/>
        <v>5.102014546485429E-2</v>
      </c>
      <c r="BO338" s="1190">
        <f t="shared" si="779"/>
        <v>5.4640901880823621E-2</v>
      </c>
      <c r="BP338" s="1191">
        <f t="shared" si="779"/>
        <v>5.4202103784868116E-2</v>
      </c>
      <c r="BQ338" s="1190">
        <f t="shared" si="779"/>
        <v>5.4926517956305571E-2</v>
      </c>
      <c r="BR338" s="1190">
        <f t="shared" si="779"/>
        <v>5.4856431290515137E-2</v>
      </c>
      <c r="BS338" s="1190">
        <f t="shared" si="779"/>
        <v>5.5666107091740878E-2</v>
      </c>
      <c r="BT338" s="1190">
        <f t="shared" si="779"/>
        <v>5.6723563852716583E-2</v>
      </c>
      <c r="BU338" s="1191">
        <f t="shared" si="779"/>
        <v>5.5631835651395733E-2</v>
      </c>
      <c r="BV338" s="1190">
        <f t="shared" si="779"/>
        <v>5.7909388545606871E-2</v>
      </c>
      <c r="BW338" s="1190">
        <f t="shared" si="779"/>
        <v>5.7162400661819456E-2</v>
      </c>
      <c r="BX338" s="1190">
        <f t="shared" si="779"/>
        <v>5.3892969299272758E-2</v>
      </c>
      <c r="BY338" s="1190">
        <f t="shared" si="779"/>
        <v>5.5970442850204888E-2</v>
      </c>
      <c r="BZ338" s="1191">
        <f t="shared" si="779"/>
        <v>5.6224134227719637E-2</v>
      </c>
      <c r="CA338" s="1190">
        <f t="shared" si="779"/>
        <v>5.4145374500060198E-2</v>
      </c>
      <c r="CB338" s="1190">
        <f t="shared" si="779"/>
        <v>5.3903206890136772E-2</v>
      </c>
      <c r="CC338" s="1190">
        <f t="shared" si="779"/>
        <v>5.6004552132967698E-2</v>
      </c>
      <c r="CD338" s="1808">
        <f t="shared" si="779"/>
        <v>5.2986110949108066E-2</v>
      </c>
      <c r="CE338" s="1191">
        <f t="shared" si="779"/>
        <v>5.4270724322005276E-2</v>
      </c>
      <c r="CF338" s="1190">
        <f t="shared" si="779"/>
        <v>5.4452246067333683E-2</v>
      </c>
      <c r="CG338" s="1190">
        <f t="shared" si="779"/>
        <v>5.7918036180807937E-2</v>
      </c>
      <c r="CH338" s="1190">
        <f t="shared" si="779"/>
        <v>5.2086399889674465E-2</v>
      </c>
      <c r="CI338" s="1808">
        <f t="shared" si="779"/>
        <v>5.5004822970124635E-2</v>
      </c>
      <c r="CJ338" s="1191">
        <f t="shared" si="779"/>
        <v>5.4879614924763842E-2</v>
      </c>
      <c r="CK338" s="1190">
        <f t="shared" si="779"/>
        <v>5.6386612667022121E-2</v>
      </c>
      <c r="CL338" s="1190">
        <f t="shared" si="779"/>
        <v>5.6411250726104735E-2</v>
      </c>
      <c r="CM338" s="1190">
        <f t="shared" si="779"/>
        <v>5.3760599062740375E-2</v>
      </c>
      <c r="CN338" s="1808">
        <f t="shared" ref="CN338:DA338" si="780">CN333/CN327</f>
        <v>5.2315629121015075E-2</v>
      </c>
      <c r="CO338" s="1191">
        <f t="shared" si="780"/>
        <v>7.3075769397382001E-2</v>
      </c>
      <c r="CP338" s="1190">
        <f t="shared" ca="1" si="780"/>
        <v>5.3312937882032695E-2</v>
      </c>
      <c r="CQ338" s="1190">
        <f t="shared" ca="1" si="780"/>
        <v>5.1371121908318176E-2</v>
      </c>
      <c r="CR338" s="1190">
        <f t="shared" ca="1" si="780"/>
        <v>4.3911077798933662E-2</v>
      </c>
      <c r="CS338" s="1190">
        <f t="shared" ca="1" si="780"/>
        <v>5.1570475727565894E-2</v>
      </c>
      <c r="CT338" s="1191">
        <f t="shared" ca="1" si="780"/>
        <v>4.9790353091357688E-2</v>
      </c>
      <c r="CU338" s="1190">
        <f t="shared" ca="1" si="780"/>
        <v>5.3349730434713402E-2</v>
      </c>
      <c r="CV338" s="1190">
        <f t="shared" ca="1" si="780"/>
        <v>5.1412296843051472E-2</v>
      </c>
      <c r="CW338" s="1190">
        <f t="shared" ca="1" si="780"/>
        <v>4.3936786538629681E-2</v>
      </c>
      <c r="CX338" s="1190">
        <f t="shared" ca="1" si="780"/>
        <v>5.1607706109631377E-2</v>
      </c>
      <c r="CY338" s="1191">
        <f ca="1">CY333/CY327</f>
        <v>4.9821547259809119E-2</v>
      </c>
      <c r="CZ338" s="1191">
        <f t="shared" ca="1" si="780"/>
        <v>4.9832137559249076E-2</v>
      </c>
      <c r="DA338" s="1191">
        <f t="shared" ca="1" si="780"/>
        <v>4.9847379831655825E-2</v>
      </c>
      <c r="DB338"/>
      <c r="DC338"/>
      <c r="DD338" s="1717" t="s">
        <v>979</v>
      </c>
      <c r="DE338" s="1042">
        <f t="shared" si="755"/>
        <v>0</v>
      </c>
      <c r="DF338" s="1042">
        <f t="shared" si="756"/>
        <v>0</v>
      </c>
      <c r="DG338" s="1042">
        <f t="shared" si="757"/>
        <v>0</v>
      </c>
      <c r="DH338" s="1042">
        <f t="shared" si="758"/>
        <v>0</v>
      </c>
      <c r="DI338" s="1042">
        <f t="shared" si="759"/>
        <v>0</v>
      </c>
      <c r="DJ338" s="1042">
        <f t="shared" si="760"/>
        <v>0</v>
      </c>
      <c r="DK338" s="1042">
        <f t="shared" si="761"/>
        <v>0</v>
      </c>
      <c r="DL338" s="1042">
        <f t="shared" si="762"/>
        <v>0</v>
      </c>
      <c r="DM338" s="1042">
        <f t="shared" si="763"/>
        <v>6.0611140193893756E-2</v>
      </c>
      <c r="DN338" s="1042">
        <f t="shared" si="764"/>
        <v>6.2275357244908416E-2</v>
      </c>
      <c r="DO338" s="1042">
        <f t="shared" si="765"/>
        <v>5.4912949646741371E-2</v>
      </c>
      <c r="DP338" s="1042">
        <f t="shared" si="766"/>
        <v>5.4202103784868116E-2</v>
      </c>
      <c r="DQ338" s="1042">
        <f t="shared" si="767"/>
        <v>5.5631835651395733E-2</v>
      </c>
      <c r="DR338" s="1042">
        <f t="shared" si="768"/>
        <v>5.6224134227719637E-2</v>
      </c>
      <c r="DS338" s="1042">
        <f t="shared" si="769"/>
        <v>5.4270724322005276E-2</v>
      </c>
      <c r="DT338" s="1042">
        <f t="shared" si="770"/>
        <v>5.4879614924763842E-2</v>
      </c>
      <c r="DU338" s="1042">
        <f>CO338</f>
        <v>7.3075769397382001E-2</v>
      </c>
      <c r="DV338" s="1042">
        <f ca="1">CT338</f>
        <v>4.9790353091357688E-2</v>
      </c>
      <c r="DW338" s="1042">
        <f t="shared" ca="1" si="776"/>
        <v>4.9821547259809119E-2</v>
      </c>
      <c r="DX338" s="1042">
        <f t="shared" ca="1" si="776"/>
        <v>4.9832137559249076E-2</v>
      </c>
      <c r="DY338" s="1042">
        <f t="shared" ca="1" si="776"/>
        <v>4.9847379831655825E-2</v>
      </c>
      <c r="EA338"/>
      <c r="EB338"/>
      <c r="EC338"/>
      <c r="ED338"/>
      <c r="EE338"/>
      <c r="EF338"/>
      <c r="EJ338"/>
      <c r="EK338"/>
      <c r="EL338"/>
      <c r="ER338" s="212"/>
    </row>
    <row r="339" spans="1:148" s="923" customFormat="1" ht="12.75" customHeight="1" x14ac:dyDescent="0.2">
      <c r="A339" s="1717"/>
      <c r="B339" s="947"/>
      <c r="C339" s="947"/>
      <c r="D339" s="947"/>
      <c r="E339" s="947"/>
      <c r="F339" s="947"/>
      <c r="G339" s="947"/>
      <c r="H339" s="947"/>
      <c r="I339" s="947"/>
      <c r="J339" s="947"/>
      <c r="K339" s="947"/>
      <c r="L339" s="947"/>
      <c r="M339" s="974"/>
      <c r="N339" s="947"/>
      <c r="O339" s="947"/>
      <c r="P339" s="947"/>
      <c r="Q339" s="947"/>
      <c r="R339" s="974"/>
      <c r="S339" s="947"/>
      <c r="T339" s="947"/>
      <c r="U339" s="947"/>
      <c r="V339" s="947"/>
      <c r="W339" s="974"/>
      <c r="X339" s="947"/>
      <c r="Y339" s="947"/>
      <c r="Z339" s="947"/>
      <c r="AA339" s="947"/>
      <c r="AB339" s="974"/>
      <c r="AC339" s="947"/>
      <c r="AD339" s="947"/>
      <c r="AE339" s="947"/>
      <c r="AF339" s="947"/>
      <c r="AG339" s="974"/>
      <c r="AH339" s="947"/>
      <c r="AI339" s="947"/>
      <c r="AJ339" s="947"/>
      <c r="AK339" s="947"/>
      <c r="AL339" s="974"/>
      <c r="AM339" s="947"/>
      <c r="AN339" s="947"/>
      <c r="AO339" s="947"/>
      <c r="AP339" s="947"/>
      <c r="AQ339" s="974"/>
      <c r="AR339" s="947"/>
      <c r="AS339" s="947"/>
      <c r="AT339" s="947"/>
      <c r="AU339" s="947"/>
      <c r="AV339" s="974"/>
      <c r="AW339" s="947"/>
      <c r="AX339" s="947"/>
      <c r="AY339" s="947"/>
      <c r="AZ339" s="947"/>
      <c r="BA339" s="974"/>
      <c r="BB339" s="947"/>
      <c r="BC339" s="947"/>
      <c r="BD339" s="947"/>
      <c r="BE339" s="947"/>
      <c r="BF339" s="974"/>
      <c r="BG339" s="947"/>
      <c r="BH339" s="947"/>
      <c r="BI339" s="947"/>
      <c r="BJ339" s="947"/>
      <c r="BK339" s="974"/>
      <c r="BL339" s="947"/>
      <c r="BM339" s="947"/>
      <c r="BN339" s="947"/>
      <c r="BO339" s="947"/>
      <c r="BP339" s="974"/>
      <c r="BQ339" s="947"/>
      <c r="BR339" s="947"/>
      <c r="BS339" s="947"/>
      <c r="BT339" s="947"/>
      <c r="BU339" s="974"/>
      <c r="BV339" s="947"/>
      <c r="BW339" s="947"/>
      <c r="BX339" s="947"/>
      <c r="BY339" s="947"/>
      <c r="BZ339" s="974"/>
      <c r="CA339" s="947"/>
      <c r="CB339" s="931"/>
      <c r="CC339" s="931"/>
      <c r="CD339" s="931"/>
      <c r="CE339" s="974"/>
      <c r="CF339" s="947"/>
      <c r="CG339" s="931"/>
      <c r="CH339" s="931"/>
      <c r="CI339" s="931"/>
      <c r="CJ339" s="974"/>
      <c r="CK339" s="931"/>
      <c r="CL339" s="931"/>
      <c r="CM339" s="931"/>
      <c r="CN339" s="931"/>
      <c r="CO339" s="974"/>
      <c r="CP339" s="931"/>
      <c r="CQ339" s="931"/>
      <c r="CR339" s="931"/>
      <c r="CS339" s="931"/>
      <c r="CT339" s="974"/>
      <c r="CU339" s="931"/>
      <c r="CV339" s="931"/>
      <c r="CW339" s="931"/>
      <c r="CX339" s="931"/>
      <c r="CY339" s="974"/>
      <c r="CZ339" s="974"/>
      <c r="DA339" s="974"/>
      <c r="DB339"/>
      <c r="DC339"/>
      <c r="DD339" s="1717"/>
      <c r="DE339" s="1701"/>
      <c r="DF339" s="1701"/>
      <c r="DG339" s="1701"/>
      <c r="DH339" s="1701"/>
      <c r="DI339" s="1701"/>
      <c r="DJ339" s="1701"/>
      <c r="DK339" s="1701"/>
      <c r="DL339" s="1701"/>
      <c r="DM339" s="1701"/>
      <c r="DN339" s="1701"/>
      <c r="DO339" s="1701"/>
      <c r="DP339" s="1701"/>
      <c r="DQ339" s="1701"/>
      <c r="DR339" s="1701"/>
      <c r="DS339" s="1701"/>
      <c r="DT339" s="1701"/>
      <c r="DU339" s="1701"/>
      <c r="DV339" s="1701"/>
      <c r="DW339" s="1701"/>
      <c r="DX339" s="1701"/>
      <c r="DY339" s="1701"/>
      <c r="EA339"/>
      <c r="EB339"/>
      <c r="EC339"/>
      <c r="ED339"/>
      <c r="EE339"/>
      <c r="EF339"/>
      <c r="EJ339"/>
      <c r="EK339"/>
      <c r="EL339"/>
      <c r="ER339" s="212"/>
    </row>
    <row r="340" spans="1:148" s="923" customFormat="1" ht="12.75" customHeight="1" x14ac:dyDescent="0.2">
      <c r="A340" s="1717" t="s">
        <v>2499</v>
      </c>
      <c r="B340" s="947"/>
      <c r="C340" s="947"/>
      <c r="D340" s="947"/>
      <c r="E340" s="947"/>
      <c r="F340" s="947"/>
      <c r="G340" s="947"/>
      <c r="H340" s="947"/>
      <c r="I340" s="947"/>
      <c r="J340" s="947"/>
      <c r="K340" s="947"/>
      <c r="L340" s="947"/>
      <c r="M340" s="974"/>
      <c r="N340" s="947"/>
      <c r="O340" s="947"/>
      <c r="P340" s="947"/>
      <c r="Q340" s="947"/>
      <c r="R340" s="974"/>
      <c r="S340" s="947"/>
      <c r="T340" s="947"/>
      <c r="U340" s="947"/>
      <c r="V340" s="947"/>
      <c r="W340" s="974"/>
      <c r="X340" s="947"/>
      <c r="Y340" s="947"/>
      <c r="Z340" s="947"/>
      <c r="AA340" s="947"/>
      <c r="AB340" s="974"/>
      <c r="AC340" s="947"/>
      <c r="AD340" s="947"/>
      <c r="AE340" s="947"/>
      <c r="AF340" s="947"/>
      <c r="AG340" s="974"/>
      <c r="AH340" s="947"/>
      <c r="AI340" s="947"/>
      <c r="AJ340" s="947"/>
      <c r="AK340" s="947"/>
      <c r="AL340" s="974"/>
      <c r="AM340" s="947"/>
      <c r="AN340" s="947"/>
      <c r="AO340" s="947"/>
      <c r="AP340" s="947"/>
      <c r="AQ340" s="974"/>
      <c r="AR340" s="947"/>
      <c r="AS340" s="947"/>
      <c r="AT340" s="947"/>
      <c r="AU340" s="947"/>
      <c r="AV340" s="974"/>
      <c r="AW340" s="947"/>
      <c r="AX340" s="947"/>
      <c r="AY340" s="947"/>
      <c r="AZ340" s="947"/>
      <c r="BA340" s="974"/>
      <c r="BB340" s="947"/>
      <c r="BC340" s="947"/>
      <c r="BD340" s="947"/>
      <c r="BE340" s="947"/>
      <c r="BF340" s="974"/>
      <c r="BG340" s="947"/>
      <c r="BH340" s="947"/>
      <c r="BI340" s="947"/>
      <c r="BJ340" s="947"/>
      <c r="BK340" s="974"/>
      <c r="BL340" s="947"/>
      <c r="BM340" s="947"/>
      <c r="BN340" s="947"/>
      <c r="BO340" s="947"/>
      <c r="BP340" s="974"/>
      <c r="BQ340" s="947"/>
      <c r="BR340" s="947"/>
      <c r="BS340" s="947"/>
      <c r="BT340" s="947"/>
      <c r="BU340" s="974"/>
      <c r="BV340" s="947"/>
      <c r="BW340" s="947"/>
      <c r="BX340" s="947"/>
      <c r="BY340" s="947"/>
      <c r="BZ340" s="974"/>
      <c r="CA340" s="947"/>
      <c r="CB340" s="931"/>
      <c r="CC340" s="931"/>
      <c r="CD340" s="931"/>
      <c r="CE340" s="974"/>
      <c r="CF340" s="947"/>
      <c r="CG340" s="931"/>
      <c r="CH340" s="931"/>
      <c r="CI340" s="931"/>
      <c r="CJ340" s="974"/>
      <c r="CK340" s="931"/>
      <c r="CL340" s="931"/>
      <c r="CM340" s="931"/>
      <c r="CN340" s="931"/>
      <c r="CO340" s="974"/>
      <c r="CP340" s="931"/>
      <c r="CQ340" s="931"/>
      <c r="CR340" s="931"/>
      <c r="CS340" s="931"/>
      <c r="CT340" s="974"/>
      <c r="CU340" s="931"/>
      <c r="CV340" s="931"/>
      <c r="CW340" s="931"/>
      <c r="CX340" s="931"/>
      <c r="CY340" s="974"/>
      <c r="CZ340" s="974"/>
      <c r="DA340" s="974"/>
      <c r="DB340"/>
      <c r="DC340"/>
      <c r="DD340" s="1717"/>
      <c r="DE340" s="1701"/>
      <c r="DF340" s="1701"/>
      <c r="DG340" s="1701"/>
      <c r="DH340" s="1701"/>
      <c r="DI340" s="1701"/>
      <c r="DJ340" s="1701"/>
      <c r="DK340" s="1701"/>
      <c r="DL340" s="1701"/>
      <c r="DM340" s="1701"/>
      <c r="DN340" s="1701"/>
      <c r="DO340" s="1701"/>
      <c r="DP340" s="1701"/>
      <c r="DQ340" s="1701"/>
      <c r="DR340" s="1701"/>
      <c r="DS340" s="1701"/>
      <c r="DT340" s="1701"/>
      <c r="DU340" s="1701"/>
      <c r="DV340" s="1701"/>
      <c r="DW340" s="1701"/>
      <c r="DX340" s="1701"/>
      <c r="DY340" s="1701"/>
      <c r="EA340"/>
      <c r="EB340"/>
      <c r="EC340"/>
      <c r="ED340"/>
      <c r="EE340"/>
      <c r="EF340"/>
      <c r="EJ340"/>
      <c r="EK340"/>
      <c r="EL340"/>
      <c r="ER340" s="212"/>
    </row>
    <row r="341" spans="1:148" s="923" customFormat="1" ht="12.75" customHeight="1" x14ac:dyDescent="0.2">
      <c r="A341" s="1717" t="s">
        <v>2500</v>
      </c>
      <c r="B341" s="947"/>
      <c r="C341" s="947"/>
      <c r="D341" s="947"/>
      <c r="E341" s="947"/>
      <c r="F341" s="947"/>
      <c r="G341" s="947"/>
      <c r="H341" s="947"/>
      <c r="I341" s="947"/>
      <c r="J341" s="947"/>
      <c r="K341" s="947"/>
      <c r="L341" s="947"/>
      <c r="M341" s="974"/>
      <c r="N341" s="947"/>
      <c r="O341" s="947"/>
      <c r="P341" s="947"/>
      <c r="Q341" s="947"/>
      <c r="R341" s="974"/>
      <c r="S341" s="947"/>
      <c r="T341" s="947"/>
      <c r="U341" s="947"/>
      <c r="V341" s="947"/>
      <c r="W341" s="974"/>
      <c r="X341" s="947"/>
      <c r="Y341" s="947"/>
      <c r="Z341" s="947"/>
      <c r="AA341" s="947"/>
      <c r="AB341" s="974"/>
      <c r="AC341" s="947"/>
      <c r="AD341" s="947"/>
      <c r="AE341" s="947"/>
      <c r="AF341" s="947"/>
      <c r="AG341" s="974"/>
      <c r="AH341" s="947"/>
      <c r="AI341" s="947"/>
      <c r="AJ341" s="947"/>
      <c r="AK341" s="947"/>
      <c r="AL341" s="974"/>
      <c r="AM341" s="947"/>
      <c r="AN341" s="947"/>
      <c r="AO341" s="947"/>
      <c r="AP341" s="947"/>
      <c r="AQ341" s="974"/>
      <c r="AR341" s="947"/>
      <c r="AS341" s="947"/>
      <c r="AT341" s="947"/>
      <c r="AU341" s="947"/>
      <c r="AV341" s="974"/>
      <c r="AW341" s="947"/>
      <c r="AX341" s="947"/>
      <c r="AY341" s="947"/>
      <c r="AZ341" s="947"/>
      <c r="BA341" s="974"/>
      <c r="BB341" s="947"/>
      <c r="BC341" s="947"/>
      <c r="BD341" s="947"/>
      <c r="BE341" s="947"/>
      <c r="BF341" s="974"/>
      <c r="BG341" s="947"/>
      <c r="BH341" s="947"/>
      <c r="BI341" s="947"/>
      <c r="BJ341" s="947"/>
      <c r="BK341" s="974"/>
      <c r="BL341" s="947"/>
      <c r="BM341" s="947"/>
      <c r="BN341" s="947"/>
      <c r="BO341" s="947"/>
      <c r="BP341" s="974"/>
      <c r="BQ341" s="947"/>
      <c r="BR341" s="947"/>
      <c r="BS341" s="947"/>
      <c r="BT341" s="947"/>
      <c r="BU341" s="974"/>
      <c r="BV341" s="947"/>
      <c r="BW341" s="947"/>
      <c r="BX341" s="947"/>
      <c r="BY341" s="947"/>
      <c r="BZ341" s="974"/>
      <c r="CA341" s="947"/>
      <c r="CB341" s="931"/>
      <c r="CC341" s="931"/>
      <c r="CD341" s="931"/>
      <c r="CE341" s="974"/>
      <c r="CF341" s="947"/>
      <c r="CG341" s="931"/>
      <c r="CH341" s="931"/>
      <c r="CI341" s="931"/>
      <c r="CJ341" s="974"/>
      <c r="CK341" s="931"/>
      <c r="CL341" s="931"/>
      <c r="CM341" s="931"/>
      <c r="CN341" s="931"/>
      <c r="CO341" s="974"/>
      <c r="CP341" s="931"/>
      <c r="CQ341" s="931"/>
      <c r="CR341" s="931"/>
      <c r="CS341" s="931"/>
      <c r="CT341" s="974"/>
      <c r="CU341" s="931"/>
      <c r="CV341" s="931"/>
      <c r="CW341" s="931"/>
      <c r="CX341" s="931"/>
      <c r="CY341" s="974"/>
      <c r="CZ341" s="974"/>
      <c r="DA341" s="974"/>
      <c r="DB341"/>
      <c r="DC341"/>
      <c r="DD341" s="1717"/>
      <c r="DE341" s="1701"/>
      <c r="DF341" s="1701"/>
      <c r="DG341" s="1701"/>
      <c r="DH341" s="1701"/>
      <c r="DI341" s="1701"/>
      <c r="DJ341" s="1701"/>
      <c r="DK341" s="1701"/>
      <c r="DL341" s="1701"/>
      <c r="DM341" s="1701"/>
      <c r="DN341" s="1701"/>
      <c r="DO341" s="1701"/>
      <c r="DP341" s="1701"/>
      <c r="DQ341" s="1701"/>
      <c r="DR341" s="1701"/>
      <c r="DS341" s="1701"/>
      <c r="DT341" s="1701"/>
      <c r="DU341" s="1701"/>
      <c r="DV341" s="1701"/>
      <c r="DW341" s="1701"/>
      <c r="DX341" s="1701"/>
      <c r="DY341" s="1701"/>
      <c r="EA341"/>
      <c r="EB341"/>
      <c r="EC341"/>
      <c r="ED341"/>
      <c r="EE341"/>
      <c r="EF341"/>
      <c r="EJ341"/>
      <c r="EK341"/>
      <c r="EL341"/>
      <c r="ER341" s="212"/>
    </row>
    <row r="342" spans="1:148" s="923" customFormat="1" ht="12.75" customHeight="1" x14ac:dyDescent="0.2">
      <c r="A342" s="1717" t="s">
        <v>2501</v>
      </c>
      <c r="B342" s="947"/>
      <c r="C342" s="947"/>
      <c r="D342" s="947"/>
      <c r="E342" s="947"/>
      <c r="F342" s="947"/>
      <c r="G342" s="947"/>
      <c r="H342" s="947"/>
      <c r="I342" s="947"/>
      <c r="J342" s="947"/>
      <c r="K342" s="947"/>
      <c r="L342" s="947"/>
      <c r="M342" s="974"/>
      <c r="N342" s="947"/>
      <c r="O342" s="947"/>
      <c r="P342" s="947"/>
      <c r="Q342" s="947"/>
      <c r="R342" s="974"/>
      <c r="S342" s="947"/>
      <c r="T342" s="947"/>
      <c r="U342" s="947"/>
      <c r="V342" s="947"/>
      <c r="W342" s="974"/>
      <c r="X342" s="947"/>
      <c r="Y342" s="947"/>
      <c r="Z342" s="947"/>
      <c r="AA342" s="947"/>
      <c r="AB342" s="974"/>
      <c r="AC342" s="947"/>
      <c r="AD342" s="947"/>
      <c r="AE342" s="947"/>
      <c r="AF342" s="947"/>
      <c r="AG342" s="974"/>
      <c r="AH342" s="947"/>
      <c r="AI342" s="947"/>
      <c r="AJ342" s="947"/>
      <c r="AK342" s="947"/>
      <c r="AL342" s="974"/>
      <c r="AM342" s="947"/>
      <c r="AN342" s="947"/>
      <c r="AO342" s="947"/>
      <c r="AP342" s="947"/>
      <c r="AQ342" s="974"/>
      <c r="AR342" s="947"/>
      <c r="AS342" s="947"/>
      <c r="AT342" s="947"/>
      <c r="AU342" s="947"/>
      <c r="AV342" s="974"/>
      <c r="AW342" s="947"/>
      <c r="AX342" s="947"/>
      <c r="AY342" s="947"/>
      <c r="AZ342" s="947"/>
      <c r="BA342" s="974"/>
      <c r="BB342" s="947"/>
      <c r="BC342" s="947"/>
      <c r="BD342" s="947"/>
      <c r="BE342" s="947"/>
      <c r="BF342" s="974"/>
      <c r="BG342" s="947"/>
      <c r="BH342" s="947"/>
      <c r="BI342" s="947"/>
      <c r="BJ342" s="947"/>
      <c r="BK342" s="974"/>
      <c r="BL342" s="947"/>
      <c r="BM342" s="947"/>
      <c r="BN342" s="947"/>
      <c r="BO342" s="947"/>
      <c r="BP342" s="974"/>
      <c r="BQ342" s="947"/>
      <c r="BR342" s="947"/>
      <c r="BS342" s="947"/>
      <c r="BT342" s="947"/>
      <c r="BU342" s="974"/>
      <c r="BV342" s="947"/>
      <c r="BW342" s="947"/>
      <c r="BX342" s="947"/>
      <c r="BY342" s="947"/>
      <c r="BZ342" s="974"/>
      <c r="CA342" s="947"/>
      <c r="CB342" s="931"/>
      <c r="CC342" s="931"/>
      <c r="CD342" s="931"/>
      <c r="CE342" s="974"/>
      <c r="CF342" s="947"/>
      <c r="CG342" s="931"/>
      <c r="CH342" s="931"/>
      <c r="CI342" s="931"/>
      <c r="CJ342" s="974"/>
      <c r="CK342" s="931"/>
      <c r="CL342" s="931"/>
      <c r="CM342" s="931"/>
      <c r="CN342" s="931"/>
      <c r="CO342" s="974"/>
      <c r="CP342" s="931"/>
      <c r="CQ342" s="931"/>
      <c r="CR342" s="931"/>
      <c r="CS342" s="931"/>
      <c r="CT342" s="974"/>
      <c r="CU342" s="931"/>
      <c r="CV342" s="931"/>
      <c r="CW342" s="931"/>
      <c r="CX342" s="931"/>
      <c r="CY342" s="974"/>
      <c r="CZ342" s="974"/>
      <c r="DA342" s="974"/>
      <c r="DB342"/>
      <c r="DC342"/>
      <c r="DD342" s="1717"/>
      <c r="DE342" s="1701"/>
      <c r="DF342" s="1701"/>
      <c r="DG342" s="1701"/>
      <c r="DH342" s="1701"/>
      <c r="DI342" s="1701"/>
      <c r="DJ342" s="1701"/>
      <c r="DK342" s="1701"/>
      <c r="DL342" s="1701"/>
      <c r="DM342" s="1701"/>
      <c r="DN342" s="1701"/>
      <c r="DO342" s="1701"/>
      <c r="DP342" s="1701"/>
      <c r="DQ342" s="1701"/>
      <c r="DR342" s="1701"/>
      <c r="DS342" s="1701"/>
      <c r="DT342" s="1701"/>
      <c r="DU342" s="1701"/>
      <c r="DV342" s="1701"/>
      <c r="DW342" s="1701"/>
      <c r="DX342" s="1701"/>
      <c r="DY342" s="1701"/>
      <c r="EA342"/>
      <c r="EB342"/>
      <c r="EC342"/>
      <c r="ED342"/>
      <c r="EE342"/>
      <c r="EF342"/>
      <c r="EJ342"/>
      <c r="EK342"/>
      <c r="EL342"/>
      <c r="ER342" s="212"/>
    </row>
    <row r="343" spans="1:148" s="2845" customFormat="1" ht="12.75" customHeight="1" x14ac:dyDescent="0.2">
      <c r="A343" s="3142" t="s">
        <v>2511</v>
      </c>
      <c r="B343" s="3152"/>
      <c r="C343" s="3152"/>
      <c r="D343" s="3152"/>
      <c r="E343" s="3152"/>
      <c r="F343" s="3152"/>
      <c r="G343" s="3152"/>
      <c r="H343" s="3152">
        <v>268</v>
      </c>
      <c r="I343" s="3152"/>
      <c r="J343" s="3152"/>
      <c r="K343" s="3152"/>
      <c r="L343" s="3152"/>
      <c r="M343" s="3153">
        <f>316-M472</f>
        <v>316</v>
      </c>
      <c r="N343" s="3152">
        <v>58</v>
      </c>
      <c r="O343" s="3152">
        <f>126-N343-O472</f>
        <v>68</v>
      </c>
      <c r="P343" s="3152">
        <f>165-O343-N343-P472</f>
        <v>39</v>
      </c>
      <c r="Q343" s="3152">
        <f>202-P343-O343-N343-Q472</f>
        <v>37</v>
      </c>
      <c r="R343" s="3153">
        <f>SUM(N343:Q343)</f>
        <v>202</v>
      </c>
      <c r="S343" s="3152">
        <v>32</v>
      </c>
      <c r="T343" s="3152">
        <v>52</v>
      </c>
      <c r="U343" s="3152">
        <v>25</v>
      </c>
      <c r="V343" s="3152">
        <v>53</v>
      </c>
      <c r="W343" s="3153">
        <f>SUM(S343:V343)</f>
        <v>162</v>
      </c>
      <c r="X343" s="3152">
        <v>29</v>
      </c>
      <c r="Y343" s="3152">
        <v>28</v>
      </c>
      <c r="Z343" s="3152">
        <v>18</v>
      </c>
      <c r="AA343" s="3152">
        <v>34</v>
      </c>
      <c r="AB343" s="3153">
        <f>SUM(X343:AA343)</f>
        <v>109</v>
      </c>
      <c r="AC343" s="3152">
        <v>33</v>
      </c>
      <c r="AD343" s="3152">
        <v>36</v>
      </c>
      <c r="AE343" s="3152">
        <v>21</v>
      </c>
      <c r="AF343" s="3152">
        <v>52</v>
      </c>
      <c r="AG343" s="3153">
        <f>SUM(AC343:AF343)</f>
        <v>142</v>
      </c>
      <c r="AH343" s="3152">
        <v>50</v>
      </c>
      <c r="AI343" s="3152">
        <v>52</v>
      </c>
      <c r="AJ343" s="3152">
        <v>30</v>
      </c>
      <c r="AK343" s="3152">
        <v>69</v>
      </c>
      <c r="AL343" s="3153">
        <f>SUM(AH343:AK343)</f>
        <v>201</v>
      </c>
      <c r="AM343" s="3152">
        <v>59</v>
      </c>
      <c r="AN343" s="3152">
        <v>77</v>
      </c>
      <c r="AO343" s="3152">
        <v>49</v>
      </c>
      <c r="AP343" s="3152">
        <v>96</v>
      </c>
      <c r="AQ343" s="3153">
        <f>SUM(AM343:AP343)</f>
        <v>281</v>
      </c>
      <c r="AR343" s="3152">
        <v>71</v>
      </c>
      <c r="AS343" s="3152">
        <v>116</v>
      </c>
      <c r="AT343" s="3152">
        <v>56</v>
      </c>
      <c r="AU343" s="3152">
        <v>126</v>
      </c>
      <c r="AV343" s="3153">
        <f>SUM(AR343:AU343)</f>
        <v>369</v>
      </c>
      <c r="AW343" s="3152">
        <v>74</v>
      </c>
      <c r="AX343" s="3152">
        <v>103</v>
      </c>
      <c r="AY343" s="3152">
        <v>52</v>
      </c>
      <c r="AZ343" s="3152">
        <v>82</v>
      </c>
      <c r="BA343" s="3153">
        <f>SUM(AW343:AZ343)</f>
        <v>311</v>
      </c>
      <c r="BB343" s="3152">
        <v>43</v>
      </c>
      <c r="BC343" s="3152">
        <v>35</v>
      </c>
      <c r="BD343" s="3152">
        <v>17</v>
      </c>
      <c r="BE343" s="3152">
        <v>59</v>
      </c>
      <c r="BF343" s="3153">
        <f>SUM(BB343:BE343)</f>
        <v>154</v>
      </c>
      <c r="BG343" s="3152">
        <v>40</v>
      </c>
      <c r="BH343" s="3152">
        <v>46</v>
      </c>
      <c r="BI343" s="3152">
        <v>21</v>
      </c>
      <c r="BJ343" s="3152">
        <v>75</v>
      </c>
      <c r="BK343" s="3153">
        <f>SUM(BG343:BJ343)</f>
        <v>182</v>
      </c>
      <c r="BL343" s="3152">
        <v>42</v>
      </c>
      <c r="BM343" s="3152">
        <v>50</v>
      </c>
      <c r="BN343" s="3152">
        <v>29</v>
      </c>
      <c r="BO343" s="3152">
        <v>74</v>
      </c>
      <c r="BP343" s="3153">
        <f>SUM(BL343:BO343)</f>
        <v>195</v>
      </c>
      <c r="BQ343" s="3152">
        <v>50</v>
      </c>
      <c r="BR343" s="3152">
        <v>56</v>
      </c>
      <c r="BS343" s="3152">
        <v>36</v>
      </c>
      <c r="BT343" s="3152">
        <v>90</v>
      </c>
      <c r="BU343" s="3153">
        <f>SUM(BQ343:BT343)</f>
        <v>232</v>
      </c>
      <c r="BV343" s="3152">
        <v>66</v>
      </c>
      <c r="BW343" s="3152">
        <v>64</v>
      </c>
      <c r="BX343" s="3152">
        <v>53</v>
      </c>
      <c r="BY343" s="3152">
        <v>73</v>
      </c>
      <c r="BZ343" s="3153">
        <f>SUM(BV343:BY343)</f>
        <v>256</v>
      </c>
      <c r="CA343" s="3152">
        <v>71</v>
      </c>
      <c r="CB343" s="3152">
        <v>82</v>
      </c>
      <c r="CC343" s="3152">
        <v>67</v>
      </c>
      <c r="CD343" s="3152">
        <v>82</v>
      </c>
      <c r="CE343" s="3153">
        <f>SUM(CA343:CD343)</f>
        <v>302</v>
      </c>
      <c r="CF343" s="3152">
        <v>89</v>
      </c>
      <c r="CG343" s="3152">
        <v>81</v>
      </c>
      <c r="CH343" s="3152">
        <v>68</v>
      </c>
      <c r="CI343" s="3152">
        <v>81</v>
      </c>
      <c r="CJ343" s="3153">
        <f>SUM(CF343:CI343)</f>
        <v>319</v>
      </c>
      <c r="CK343" s="3152">
        <v>101</v>
      </c>
      <c r="CL343" s="3152">
        <v>94</v>
      </c>
      <c r="CM343" s="3164">
        <v>77</v>
      </c>
      <c r="CN343" s="3165"/>
      <c r="CO343" s="3166"/>
      <c r="CP343" s="3165"/>
      <c r="CQ343" s="3165"/>
      <c r="CR343" s="3165"/>
      <c r="CS343" s="3165"/>
      <c r="CT343" s="3166"/>
      <c r="CU343" s="3165"/>
      <c r="CV343" s="3165"/>
      <c r="CW343" s="3165"/>
      <c r="CX343" s="3165"/>
      <c r="CY343" s="3166"/>
      <c r="CZ343" s="3166"/>
      <c r="DA343" s="3166"/>
      <c r="DB343" s="2584"/>
      <c r="DC343" s="2584"/>
      <c r="DD343" s="3142" t="s">
        <v>1337</v>
      </c>
      <c r="DE343" s="3143">
        <f>M343</f>
        <v>316</v>
      </c>
      <c r="DF343" s="3143">
        <f>R343</f>
        <v>202</v>
      </c>
      <c r="DG343" s="3143">
        <f>W343</f>
        <v>162</v>
      </c>
      <c r="DH343" s="3143">
        <f>AB343</f>
        <v>109</v>
      </c>
      <c r="DI343" s="3143">
        <f>AG343</f>
        <v>142</v>
      </c>
      <c r="DJ343" s="3143">
        <f>AL343</f>
        <v>201</v>
      </c>
      <c r="DK343" s="3143">
        <f>AQ343</f>
        <v>281</v>
      </c>
      <c r="DL343" s="3143">
        <f>AV343</f>
        <v>369</v>
      </c>
      <c r="DM343" s="3143">
        <f>BA343</f>
        <v>311</v>
      </c>
      <c r="DN343" s="3143">
        <f>BF343</f>
        <v>154</v>
      </c>
      <c r="DO343" s="3143">
        <f>BK343</f>
        <v>182</v>
      </c>
      <c r="DP343" s="3143">
        <f>BP343</f>
        <v>195</v>
      </c>
      <c r="DQ343" s="3143">
        <f>BU343</f>
        <v>232</v>
      </c>
      <c r="DR343" s="3143">
        <f>BZ343</f>
        <v>256</v>
      </c>
      <c r="DS343" s="3143">
        <f>CE343</f>
        <v>302</v>
      </c>
      <c r="DT343" s="3143">
        <f>CJ343</f>
        <v>319</v>
      </c>
      <c r="DU343" s="3143">
        <f>CO346</f>
        <v>562</v>
      </c>
      <c r="DV343" s="3143">
        <f>CT346</f>
        <v>607</v>
      </c>
      <c r="DW343" s="3143">
        <f>CY346</f>
        <v>620.28</v>
      </c>
      <c r="DX343" s="3143">
        <f>CZ346</f>
        <v>654.39539999999988</v>
      </c>
      <c r="DY343" s="3143">
        <f>DA346</f>
        <v>621.67562999999984</v>
      </c>
      <c r="EA343"/>
      <c r="EB343"/>
      <c r="EC343"/>
      <c r="ED343"/>
      <c r="EE343"/>
      <c r="EF343"/>
      <c r="EJ343"/>
      <c r="EK343"/>
      <c r="EL343"/>
      <c r="ER343" s="2631"/>
    </row>
    <row r="344" spans="1:148" s="3151" customFormat="1" ht="12.75" customHeight="1" x14ac:dyDescent="0.2">
      <c r="A344" s="3167" t="s">
        <v>2512</v>
      </c>
      <c r="B344" s="3168"/>
      <c r="C344" s="3168"/>
      <c r="D344" s="3168"/>
      <c r="E344" s="3168"/>
      <c r="F344" s="3168"/>
      <c r="G344" s="3168"/>
      <c r="H344" s="3168"/>
      <c r="I344" s="3168"/>
      <c r="J344" s="3168"/>
      <c r="K344" s="3168"/>
      <c r="L344" s="3168"/>
      <c r="M344" s="3171"/>
      <c r="N344" s="3168"/>
      <c r="O344" s="3168"/>
      <c r="P344" s="3168"/>
      <c r="Q344" s="3168"/>
      <c r="R344" s="3171"/>
      <c r="S344" s="3168"/>
      <c r="T344" s="3168"/>
      <c r="U344" s="3168"/>
      <c r="V344" s="3168"/>
      <c r="W344" s="3171"/>
      <c r="X344" s="3168"/>
      <c r="Y344" s="3168"/>
      <c r="Z344" s="3168"/>
      <c r="AA344" s="3168"/>
      <c r="AB344" s="3171"/>
      <c r="AC344" s="3168"/>
      <c r="AD344" s="3168"/>
      <c r="AE344" s="3168"/>
      <c r="AF344" s="3168"/>
      <c r="AG344" s="3171"/>
      <c r="AH344" s="3169">
        <v>12</v>
      </c>
      <c r="AI344" s="3169">
        <v>20</v>
      </c>
      <c r="AJ344" s="3169">
        <v>22</v>
      </c>
      <c r="AK344" s="3169">
        <v>27</v>
      </c>
      <c r="AL344" s="3171">
        <v>81</v>
      </c>
      <c r="AM344" s="3169">
        <v>24</v>
      </c>
      <c r="AN344" s="3169">
        <v>32</v>
      </c>
      <c r="AO344" s="3169">
        <v>34</v>
      </c>
      <c r="AP344" s="3169">
        <v>42</v>
      </c>
      <c r="AQ344" s="3171">
        <v>132</v>
      </c>
      <c r="AR344" s="3169">
        <v>29</v>
      </c>
      <c r="AS344" s="3169">
        <v>34</v>
      </c>
      <c r="AT344" s="3169">
        <v>42</v>
      </c>
      <c r="AU344" s="3169">
        <v>50</v>
      </c>
      <c r="AV344" s="3171">
        <v>155</v>
      </c>
      <c r="AW344" s="3169">
        <v>37</v>
      </c>
      <c r="AX344" s="3169">
        <v>40</v>
      </c>
      <c r="AY344" s="3169">
        <v>44</v>
      </c>
      <c r="AZ344" s="3169">
        <v>48</v>
      </c>
      <c r="BA344" s="3171">
        <v>169</v>
      </c>
      <c r="BB344" s="3169">
        <v>25</v>
      </c>
      <c r="BC344" s="3169">
        <v>26</v>
      </c>
      <c r="BD344" s="3169">
        <v>25</v>
      </c>
      <c r="BE344" s="3169">
        <v>39</v>
      </c>
      <c r="BF344" s="3171">
        <v>115</v>
      </c>
      <c r="BG344" s="3169">
        <v>27</v>
      </c>
      <c r="BH344" s="3169">
        <v>31</v>
      </c>
      <c r="BI344" s="3169">
        <v>27</v>
      </c>
      <c r="BJ344" s="3169">
        <v>54</v>
      </c>
      <c r="BK344" s="3171">
        <v>139</v>
      </c>
      <c r="BL344" s="3169">
        <v>30</v>
      </c>
      <c r="BM344" s="3169">
        <v>32</v>
      </c>
      <c r="BN344" s="3169">
        <v>33</v>
      </c>
      <c r="BO344" s="3169">
        <v>51</v>
      </c>
      <c r="BP344" s="3171">
        <v>146</v>
      </c>
      <c r="BQ344" s="3169">
        <v>39</v>
      </c>
      <c r="BR344" s="3169">
        <v>41</v>
      </c>
      <c r="BS344" s="3169">
        <v>39</v>
      </c>
      <c r="BT344" s="3169">
        <v>59</v>
      </c>
      <c r="BU344" s="3171">
        <v>178</v>
      </c>
      <c r="BV344" s="3169">
        <v>44</v>
      </c>
      <c r="BW344" s="3169">
        <v>45</v>
      </c>
      <c r="BX344" s="3169">
        <v>44</v>
      </c>
      <c r="BY344" s="3169">
        <v>69</v>
      </c>
      <c r="BZ344" s="3170">
        <v>202</v>
      </c>
      <c r="CA344" s="3169">
        <v>49</v>
      </c>
      <c r="CB344" s="3169">
        <v>48</v>
      </c>
      <c r="CC344" s="3169">
        <v>46</v>
      </c>
      <c r="CD344" s="3169">
        <v>71</v>
      </c>
      <c r="CE344" s="3170">
        <v>214</v>
      </c>
      <c r="CF344" s="3169">
        <v>48</v>
      </c>
      <c r="CG344" s="3169">
        <v>46</v>
      </c>
      <c r="CH344" s="3169">
        <v>47</v>
      </c>
      <c r="CI344" s="3169">
        <v>69</v>
      </c>
      <c r="CJ344" s="3171">
        <v>210</v>
      </c>
      <c r="CK344" s="3172">
        <v>49</v>
      </c>
      <c r="CL344" s="3172">
        <v>42</v>
      </c>
      <c r="CM344" s="3172">
        <f>127-CM343</f>
        <v>50</v>
      </c>
      <c r="CN344" s="3173"/>
      <c r="CO344" s="3148"/>
      <c r="CP344" s="3173"/>
      <c r="CQ344" s="3173"/>
      <c r="CR344" s="3173"/>
      <c r="CS344" s="3173"/>
      <c r="CT344" s="3148"/>
      <c r="CU344" s="3173"/>
      <c r="CV344" s="3173"/>
      <c r="CW344" s="3173"/>
      <c r="CX344" s="3173"/>
      <c r="CY344" s="3174"/>
      <c r="CZ344" s="3174"/>
      <c r="DA344" s="3174"/>
      <c r="DB344" s="3149"/>
      <c r="DC344" s="3149"/>
      <c r="DD344" s="3150"/>
      <c r="DE344" s="3148"/>
      <c r="DF344" s="3148"/>
      <c r="DG344" s="3148"/>
      <c r="DH344" s="3148"/>
      <c r="DI344" s="3148"/>
      <c r="DJ344" s="3148"/>
      <c r="DK344" s="3148"/>
      <c r="DL344" s="3148"/>
      <c r="DM344" s="3148"/>
      <c r="DN344" s="3148"/>
      <c r="DO344" s="3148"/>
      <c r="DP344" s="3148"/>
      <c r="DQ344" s="3148"/>
      <c r="DR344" s="3148"/>
      <c r="DS344" s="3148"/>
      <c r="DT344" s="3148"/>
      <c r="DU344" s="3148"/>
      <c r="DV344" s="3148"/>
      <c r="DW344" s="3148"/>
      <c r="DX344" s="3148"/>
      <c r="DY344" s="3148"/>
      <c r="EA344"/>
      <c r="EB344"/>
      <c r="EC344"/>
      <c r="ED344"/>
      <c r="EE344"/>
      <c r="EF344"/>
      <c r="EJ344"/>
      <c r="EK344"/>
      <c r="EL344"/>
    </row>
    <row r="345" spans="1:148" s="923" customFormat="1" ht="3.95" customHeight="1" x14ac:dyDescent="0.2">
      <c r="A345" s="3154"/>
      <c r="B345" s="3155"/>
      <c r="C345" s="3155"/>
      <c r="D345" s="3155"/>
      <c r="E345" s="3155"/>
      <c r="F345" s="3155"/>
      <c r="G345" s="3155"/>
      <c r="H345" s="3155"/>
      <c r="I345" s="3155"/>
      <c r="J345" s="3155"/>
      <c r="K345" s="3155"/>
      <c r="L345" s="3155"/>
      <c r="M345" s="3160" t="s">
        <v>2403</v>
      </c>
      <c r="N345" s="3156" t="s">
        <v>2403</v>
      </c>
      <c r="O345" s="3156" t="s">
        <v>2403</v>
      </c>
      <c r="P345" s="3156" t="s">
        <v>2403</v>
      </c>
      <c r="Q345" s="3156" t="s">
        <v>2403</v>
      </c>
      <c r="R345" s="3160" t="s">
        <v>2403</v>
      </c>
      <c r="S345" s="3156" t="s">
        <v>2403</v>
      </c>
      <c r="T345" s="3156" t="s">
        <v>2403</v>
      </c>
      <c r="U345" s="3156" t="s">
        <v>2403</v>
      </c>
      <c r="V345" s="3156" t="s">
        <v>2403</v>
      </c>
      <c r="W345" s="3160" t="s">
        <v>2403</v>
      </c>
      <c r="X345" s="3156" t="s">
        <v>2403</v>
      </c>
      <c r="Y345" s="3156" t="s">
        <v>2403</v>
      </c>
      <c r="Z345" s="3156" t="s">
        <v>2403</v>
      </c>
      <c r="AA345" s="3156" t="s">
        <v>2403</v>
      </c>
      <c r="AB345" s="3160" t="s">
        <v>2403</v>
      </c>
      <c r="AC345" s="3156" t="s">
        <v>2403</v>
      </c>
      <c r="AD345" s="3156" t="s">
        <v>2403</v>
      </c>
      <c r="AE345" s="3156" t="s">
        <v>2403</v>
      </c>
      <c r="AF345" s="3156" t="s">
        <v>2403</v>
      </c>
      <c r="AG345" s="3160" t="s">
        <v>2403</v>
      </c>
      <c r="AH345" s="3156" t="s">
        <v>2403</v>
      </c>
      <c r="AI345" s="3156" t="s">
        <v>2403</v>
      </c>
      <c r="AJ345" s="3156" t="s">
        <v>2403</v>
      </c>
      <c r="AK345" s="3156" t="s">
        <v>2403</v>
      </c>
      <c r="AL345" s="3160" t="s">
        <v>2403</v>
      </c>
      <c r="AM345" s="3156" t="s">
        <v>2403</v>
      </c>
      <c r="AN345" s="3156" t="s">
        <v>2403</v>
      </c>
      <c r="AO345" s="3156" t="s">
        <v>2403</v>
      </c>
      <c r="AP345" s="3156" t="s">
        <v>2403</v>
      </c>
      <c r="AQ345" s="3160" t="s">
        <v>2403</v>
      </c>
      <c r="AR345" s="3156" t="s">
        <v>2403</v>
      </c>
      <c r="AS345" s="3156" t="s">
        <v>2403</v>
      </c>
      <c r="AT345" s="3156" t="s">
        <v>2403</v>
      </c>
      <c r="AU345" s="3156" t="s">
        <v>2403</v>
      </c>
      <c r="AV345" s="3160" t="s">
        <v>2403</v>
      </c>
      <c r="AW345" s="3156" t="s">
        <v>2403</v>
      </c>
      <c r="AX345" s="3156" t="s">
        <v>2403</v>
      </c>
      <c r="AY345" s="3156" t="s">
        <v>2403</v>
      </c>
      <c r="AZ345" s="3156" t="s">
        <v>2403</v>
      </c>
      <c r="BA345" s="3160" t="s">
        <v>2403</v>
      </c>
      <c r="BB345" s="3156" t="s">
        <v>2403</v>
      </c>
      <c r="BC345" s="3156" t="s">
        <v>2403</v>
      </c>
      <c r="BD345" s="3156" t="s">
        <v>2403</v>
      </c>
      <c r="BE345" s="3156" t="s">
        <v>2403</v>
      </c>
      <c r="BF345" s="3160" t="s">
        <v>2403</v>
      </c>
      <c r="BG345" s="3156" t="s">
        <v>2403</v>
      </c>
      <c r="BH345" s="3156" t="s">
        <v>2403</v>
      </c>
      <c r="BI345" s="3156" t="s">
        <v>2403</v>
      </c>
      <c r="BJ345" s="3156" t="s">
        <v>2403</v>
      </c>
      <c r="BK345" s="3160" t="s">
        <v>2403</v>
      </c>
      <c r="BL345" s="3156" t="s">
        <v>2403</v>
      </c>
      <c r="BM345" s="3156" t="s">
        <v>2403</v>
      </c>
      <c r="BN345" s="3156" t="s">
        <v>2403</v>
      </c>
      <c r="BO345" s="3156" t="s">
        <v>2403</v>
      </c>
      <c r="BP345" s="3160" t="s">
        <v>2403</v>
      </c>
      <c r="BQ345" s="3156" t="s">
        <v>2403</v>
      </c>
      <c r="BR345" s="3156" t="s">
        <v>2403</v>
      </c>
      <c r="BS345" s="3156" t="s">
        <v>2403</v>
      </c>
      <c r="BT345" s="3156" t="s">
        <v>2403</v>
      </c>
      <c r="BU345" s="3160" t="s">
        <v>2403</v>
      </c>
      <c r="BV345" s="3156" t="s">
        <v>2403</v>
      </c>
      <c r="BW345" s="3156" t="s">
        <v>2403</v>
      </c>
      <c r="BX345" s="3156" t="s">
        <v>2403</v>
      </c>
      <c r="BY345" s="3157" t="s">
        <v>2403</v>
      </c>
      <c r="BZ345" s="3158" t="s">
        <v>2403</v>
      </c>
      <c r="CA345" s="3157" t="s">
        <v>2403</v>
      </c>
      <c r="CB345" s="3157" t="s">
        <v>2403</v>
      </c>
      <c r="CC345" s="3157" t="s">
        <v>2403</v>
      </c>
      <c r="CD345" s="3157" t="s">
        <v>2403</v>
      </c>
      <c r="CE345" s="3158" t="s">
        <v>2403</v>
      </c>
      <c r="CF345" s="3157" t="s">
        <v>2403</v>
      </c>
      <c r="CG345" s="3157" t="s">
        <v>2403</v>
      </c>
      <c r="CH345" s="3159" t="s">
        <v>2403</v>
      </c>
      <c r="CI345" s="3159" t="s">
        <v>2403</v>
      </c>
      <c r="CJ345" s="3160" t="s">
        <v>2403</v>
      </c>
      <c r="CK345" s="3159" t="s">
        <v>2403</v>
      </c>
      <c r="CL345" s="3159" t="s">
        <v>2403</v>
      </c>
      <c r="CM345" s="3159" t="s">
        <v>2403</v>
      </c>
      <c r="CN345" s="3159"/>
      <c r="CO345" s="3160"/>
      <c r="CP345" s="3159"/>
      <c r="CQ345" s="3159"/>
      <c r="CR345" s="3159"/>
      <c r="CS345" s="3159"/>
      <c r="CT345" s="3160"/>
      <c r="CU345" s="3159"/>
      <c r="CV345" s="3159"/>
      <c r="CW345" s="3159"/>
      <c r="CX345" s="3159"/>
      <c r="CY345" s="3160"/>
      <c r="CZ345" s="3160"/>
      <c r="DA345" s="3160"/>
      <c r="DB345"/>
      <c r="DC345"/>
      <c r="DD345" s="2285"/>
      <c r="DE345" s="2292"/>
      <c r="DF345" s="2292"/>
      <c r="DG345" s="2292"/>
      <c r="DH345" s="2292"/>
      <c r="DI345" s="2292"/>
      <c r="DJ345" s="2292"/>
      <c r="DK345" s="2292"/>
      <c r="DL345" s="2292"/>
      <c r="DM345" s="2292"/>
      <c r="DN345" s="2292"/>
      <c r="DO345" s="2292"/>
      <c r="DP345" s="2292"/>
      <c r="DQ345" s="2292"/>
      <c r="DR345" s="2292"/>
      <c r="DS345" s="2292"/>
      <c r="DT345" s="2292"/>
      <c r="DU345" s="2292"/>
      <c r="DV345" s="2292"/>
      <c r="DW345" s="2292"/>
      <c r="DX345" s="2292"/>
      <c r="DY345" s="2292"/>
      <c r="EA345"/>
      <c r="EB345"/>
      <c r="EC345"/>
      <c r="ED345"/>
      <c r="EE345"/>
      <c r="EF345"/>
      <c r="EJ345"/>
      <c r="EK345"/>
      <c r="EL345"/>
      <c r="ER345" s="212"/>
    </row>
    <row r="346" spans="1:148" s="926" customFormat="1" ht="12.75" customHeight="1" x14ac:dyDescent="0.2">
      <c r="A346" s="2298" t="s">
        <v>2513</v>
      </c>
      <c r="B346" s="3161"/>
      <c r="C346" s="3161"/>
      <c r="D346" s="3161"/>
      <c r="E346" s="3161"/>
      <c r="F346" s="3161"/>
      <c r="G346" s="3161"/>
      <c r="H346" s="3161"/>
      <c r="I346" s="3161"/>
      <c r="J346" s="3161"/>
      <c r="K346" s="3161"/>
      <c r="L346" s="3161"/>
      <c r="M346" s="3163">
        <f>+M343+M344</f>
        <v>316</v>
      </c>
      <c r="N346" s="3162">
        <f t="shared" ref="N346:BY346" si="781">+N343+N344</f>
        <v>58</v>
      </c>
      <c r="O346" s="3162">
        <f t="shared" si="781"/>
        <v>68</v>
      </c>
      <c r="P346" s="3162">
        <f t="shared" si="781"/>
        <v>39</v>
      </c>
      <c r="Q346" s="3162">
        <f t="shared" si="781"/>
        <v>37</v>
      </c>
      <c r="R346" s="3163">
        <f t="shared" si="781"/>
        <v>202</v>
      </c>
      <c r="S346" s="3162">
        <f t="shared" si="781"/>
        <v>32</v>
      </c>
      <c r="T346" s="3162">
        <f t="shared" si="781"/>
        <v>52</v>
      </c>
      <c r="U346" s="3162">
        <f t="shared" si="781"/>
        <v>25</v>
      </c>
      <c r="V346" s="3162">
        <f t="shared" si="781"/>
        <v>53</v>
      </c>
      <c r="W346" s="3163">
        <f t="shared" si="781"/>
        <v>162</v>
      </c>
      <c r="X346" s="3162">
        <f t="shared" si="781"/>
        <v>29</v>
      </c>
      <c r="Y346" s="3162">
        <f t="shared" si="781"/>
        <v>28</v>
      </c>
      <c r="Z346" s="3162">
        <f t="shared" si="781"/>
        <v>18</v>
      </c>
      <c r="AA346" s="3162">
        <f t="shared" si="781"/>
        <v>34</v>
      </c>
      <c r="AB346" s="3163">
        <f t="shared" si="781"/>
        <v>109</v>
      </c>
      <c r="AC346" s="3162">
        <f t="shared" si="781"/>
        <v>33</v>
      </c>
      <c r="AD346" s="3162">
        <f t="shared" si="781"/>
        <v>36</v>
      </c>
      <c r="AE346" s="3162">
        <f t="shared" si="781"/>
        <v>21</v>
      </c>
      <c r="AF346" s="3162">
        <f t="shared" si="781"/>
        <v>52</v>
      </c>
      <c r="AG346" s="3163">
        <f t="shared" si="781"/>
        <v>142</v>
      </c>
      <c r="AH346" s="3162">
        <f t="shared" si="781"/>
        <v>62</v>
      </c>
      <c r="AI346" s="3162">
        <f t="shared" si="781"/>
        <v>72</v>
      </c>
      <c r="AJ346" s="3162">
        <f t="shared" si="781"/>
        <v>52</v>
      </c>
      <c r="AK346" s="3162">
        <f t="shared" si="781"/>
        <v>96</v>
      </c>
      <c r="AL346" s="3163">
        <f t="shared" si="781"/>
        <v>282</v>
      </c>
      <c r="AM346" s="3162">
        <f t="shared" si="781"/>
        <v>83</v>
      </c>
      <c r="AN346" s="3162">
        <f t="shared" si="781"/>
        <v>109</v>
      </c>
      <c r="AO346" s="3162">
        <f t="shared" si="781"/>
        <v>83</v>
      </c>
      <c r="AP346" s="3162">
        <f t="shared" si="781"/>
        <v>138</v>
      </c>
      <c r="AQ346" s="3163">
        <f t="shared" si="781"/>
        <v>413</v>
      </c>
      <c r="AR346" s="3162">
        <f t="shared" si="781"/>
        <v>100</v>
      </c>
      <c r="AS346" s="3162">
        <f t="shared" si="781"/>
        <v>150</v>
      </c>
      <c r="AT346" s="3162">
        <f t="shared" si="781"/>
        <v>98</v>
      </c>
      <c r="AU346" s="3162">
        <f t="shared" si="781"/>
        <v>176</v>
      </c>
      <c r="AV346" s="3163">
        <f t="shared" si="781"/>
        <v>524</v>
      </c>
      <c r="AW346" s="3162">
        <f t="shared" si="781"/>
        <v>111</v>
      </c>
      <c r="AX346" s="3162">
        <f t="shared" si="781"/>
        <v>143</v>
      </c>
      <c r="AY346" s="3162">
        <f t="shared" si="781"/>
        <v>96</v>
      </c>
      <c r="AZ346" s="3162">
        <f t="shared" si="781"/>
        <v>130</v>
      </c>
      <c r="BA346" s="3163">
        <f t="shared" si="781"/>
        <v>480</v>
      </c>
      <c r="BB346" s="3162">
        <f t="shared" si="781"/>
        <v>68</v>
      </c>
      <c r="BC346" s="3162">
        <f t="shared" si="781"/>
        <v>61</v>
      </c>
      <c r="BD346" s="3162">
        <f t="shared" si="781"/>
        <v>42</v>
      </c>
      <c r="BE346" s="3162">
        <f t="shared" si="781"/>
        <v>98</v>
      </c>
      <c r="BF346" s="3163">
        <f t="shared" si="781"/>
        <v>269</v>
      </c>
      <c r="BG346" s="3162">
        <f t="shared" si="781"/>
        <v>67</v>
      </c>
      <c r="BH346" s="3162">
        <f t="shared" si="781"/>
        <v>77</v>
      </c>
      <c r="BI346" s="3162">
        <f t="shared" si="781"/>
        <v>48</v>
      </c>
      <c r="BJ346" s="3162">
        <f t="shared" si="781"/>
        <v>129</v>
      </c>
      <c r="BK346" s="3163">
        <f t="shared" si="781"/>
        <v>321</v>
      </c>
      <c r="BL346" s="3162">
        <f t="shared" si="781"/>
        <v>72</v>
      </c>
      <c r="BM346" s="3162">
        <f t="shared" si="781"/>
        <v>82</v>
      </c>
      <c r="BN346" s="3162">
        <f t="shared" si="781"/>
        <v>62</v>
      </c>
      <c r="BO346" s="3162">
        <f t="shared" si="781"/>
        <v>125</v>
      </c>
      <c r="BP346" s="3163">
        <f t="shared" si="781"/>
        <v>341</v>
      </c>
      <c r="BQ346" s="3162">
        <f t="shared" si="781"/>
        <v>89</v>
      </c>
      <c r="BR346" s="3162">
        <f t="shared" si="781"/>
        <v>97</v>
      </c>
      <c r="BS346" s="3162">
        <f t="shared" si="781"/>
        <v>75</v>
      </c>
      <c r="BT346" s="3162">
        <f t="shared" si="781"/>
        <v>149</v>
      </c>
      <c r="BU346" s="3163">
        <f t="shared" si="781"/>
        <v>410</v>
      </c>
      <c r="BV346" s="3162">
        <f t="shared" si="781"/>
        <v>110</v>
      </c>
      <c r="BW346" s="3162">
        <f t="shared" si="781"/>
        <v>109</v>
      </c>
      <c r="BX346" s="3162">
        <f t="shared" si="781"/>
        <v>97</v>
      </c>
      <c r="BY346" s="3162">
        <f t="shared" si="781"/>
        <v>142</v>
      </c>
      <c r="BZ346" s="3163">
        <f t="shared" ref="BZ346:CM346" si="782">+BZ343+BZ344</f>
        <v>458</v>
      </c>
      <c r="CA346" s="3162">
        <f t="shared" si="782"/>
        <v>120</v>
      </c>
      <c r="CB346" s="3162">
        <f t="shared" si="782"/>
        <v>130</v>
      </c>
      <c r="CC346" s="3162">
        <f t="shared" si="782"/>
        <v>113</v>
      </c>
      <c r="CD346" s="3162">
        <f t="shared" si="782"/>
        <v>153</v>
      </c>
      <c r="CE346" s="3163">
        <f t="shared" si="782"/>
        <v>516</v>
      </c>
      <c r="CF346" s="3162">
        <f t="shared" si="782"/>
        <v>137</v>
      </c>
      <c r="CG346" s="3162">
        <f t="shared" si="782"/>
        <v>127</v>
      </c>
      <c r="CH346" s="3162">
        <f t="shared" si="782"/>
        <v>115</v>
      </c>
      <c r="CI346" s="3162">
        <f t="shared" si="782"/>
        <v>150</v>
      </c>
      <c r="CJ346" s="3163">
        <f t="shared" si="782"/>
        <v>529</v>
      </c>
      <c r="CK346" s="3162">
        <f t="shared" si="782"/>
        <v>150</v>
      </c>
      <c r="CL346" s="3162">
        <f t="shared" si="782"/>
        <v>136</v>
      </c>
      <c r="CM346" s="3162">
        <f t="shared" si="782"/>
        <v>127</v>
      </c>
      <c r="CN346" s="3382">
        <v>149</v>
      </c>
      <c r="CO346" s="3163">
        <f>SUM(CK346:CN346)</f>
        <v>562</v>
      </c>
      <c r="CP346" s="3382">
        <v>153</v>
      </c>
      <c r="CQ346" s="3623">
        <v>148</v>
      </c>
      <c r="CR346" s="3660">
        <v>136</v>
      </c>
      <c r="CS346" s="3660">
        <v>170</v>
      </c>
      <c r="CT346" s="3177">
        <f>SUM(CP346:CS346)</f>
        <v>607</v>
      </c>
      <c r="CU346" s="3162">
        <f>CP346*(1+CU347)</f>
        <v>156.06</v>
      </c>
      <c r="CV346" s="3162">
        <f>CQ346*(1+CV347)</f>
        <v>152.44</v>
      </c>
      <c r="CW346" s="3162">
        <f>CR346*(1+CW347)</f>
        <v>140.08000000000001</v>
      </c>
      <c r="CX346" s="3162">
        <f>CS346*(1+CX347)</f>
        <v>171.7</v>
      </c>
      <c r="CY346" s="3177">
        <f>SUM(CU346:CX346)</f>
        <v>620.28</v>
      </c>
      <c r="CZ346" s="3177">
        <f>CY346*(1+CZ347)</f>
        <v>654.39539999999988</v>
      </c>
      <c r="DA346" s="3177">
        <f>CZ346*(1+DA347)</f>
        <v>621.67562999999984</v>
      </c>
      <c r="DB346" s="542"/>
      <c r="DC346" s="542"/>
      <c r="DD346" s="880"/>
      <c r="DE346" s="3141"/>
      <c r="DF346" s="3141"/>
      <c r="DG346" s="3141"/>
      <c r="DH346" s="3141"/>
      <c r="DI346" s="3141"/>
      <c r="DJ346" s="3141"/>
      <c r="DK346" s="3141"/>
      <c r="DL346" s="3141"/>
      <c r="DM346" s="3141"/>
      <c r="DN346" s="3141"/>
      <c r="DO346" s="3141"/>
      <c r="DP346" s="3141"/>
      <c r="DQ346" s="3141"/>
      <c r="DR346" s="3141"/>
      <c r="DS346" s="3141"/>
      <c r="DT346" s="3141"/>
      <c r="DU346" s="3141"/>
      <c r="DV346" s="3141"/>
      <c r="DW346" s="3141"/>
      <c r="DX346" s="3141"/>
      <c r="DY346" s="3141"/>
      <c r="EA346"/>
      <c r="EB346"/>
      <c r="EC346"/>
      <c r="ED346"/>
      <c r="EE346"/>
      <c r="EF346"/>
      <c r="EJ346"/>
      <c r="EK346"/>
      <c r="EL346"/>
      <c r="ER346" s="217"/>
    </row>
    <row r="347" spans="1:148" s="923" customFormat="1" ht="12.75" customHeight="1" x14ac:dyDescent="0.2">
      <c r="A347" s="1188" t="s">
        <v>2514</v>
      </c>
      <c r="B347" s="872"/>
      <c r="C347" s="872"/>
      <c r="D347" s="872"/>
      <c r="E347" s="872"/>
      <c r="F347" s="872"/>
      <c r="G347" s="872"/>
      <c r="H347" s="872"/>
      <c r="I347" s="872"/>
      <c r="J347" s="872"/>
      <c r="K347" s="872"/>
      <c r="L347" s="872"/>
      <c r="M347" s="1001"/>
      <c r="N347" s="872"/>
      <c r="O347" s="872"/>
      <c r="P347" s="872"/>
      <c r="Q347" s="872"/>
      <c r="R347" s="1001">
        <f t="shared" ref="R347:CC347" si="783">+R346/M346-1</f>
        <v>-0.36075949367088611</v>
      </c>
      <c r="S347" s="872">
        <f t="shared" si="783"/>
        <v>-0.44827586206896552</v>
      </c>
      <c r="T347" s="872">
        <f t="shared" si="783"/>
        <v>-0.23529411764705888</v>
      </c>
      <c r="U347" s="872">
        <f t="shared" si="783"/>
        <v>-0.35897435897435892</v>
      </c>
      <c r="V347" s="872">
        <f t="shared" si="783"/>
        <v>0.43243243243243246</v>
      </c>
      <c r="W347" s="1001">
        <f t="shared" si="783"/>
        <v>-0.19801980198019797</v>
      </c>
      <c r="X347" s="872">
        <f t="shared" si="783"/>
        <v>-9.375E-2</v>
      </c>
      <c r="Y347" s="872">
        <f t="shared" si="783"/>
        <v>-0.46153846153846156</v>
      </c>
      <c r="Z347" s="872">
        <f t="shared" si="783"/>
        <v>-0.28000000000000003</v>
      </c>
      <c r="AA347" s="872">
        <f t="shared" si="783"/>
        <v>-0.35849056603773588</v>
      </c>
      <c r="AB347" s="1001">
        <f t="shared" si="783"/>
        <v>-0.3271604938271605</v>
      </c>
      <c r="AC347" s="872">
        <f t="shared" si="783"/>
        <v>0.13793103448275867</v>
      </c>
      <c r="AD347" s="872">
        <f t="shared" si="783"/>
        <v>0.28571428571428581</v>
      </c>
      <c r="AE347" s="872">
        <f t="shared" si="783"/>
        <v>0.16666666666666674</v>
      </c>
      <c r="AF347" s="872">
        <f t="shared" si="783"/>
        <v>0.52941176470588225</v>
      </c>
      <c r="AG347" s="1001">
        <f t="shared" si="783"/>
        <v>0.30275229357798161</v>
      </c>
      <c r="AH347" s="872">
        <f t="shared" si="783"/>
        <v>0.8787878787878789</v>
      </c>
      <c r="AI347" s="872">
        <f t="shared" si="783"/>
        <v>1</v>
      </c>
      <c r="AJ347" s="872">
        <f t="shared" si="783"/>
        <v>1.4761904761904763</v>
      </c>
      <c r="AK347" s="872">
        <f t="shared" si="783"/>
        <v>0.84615384615384626</v>
      </c>
      <c r="AL347" s="1001">
        <f t="shared" si="783"/>
        <v>0.9859154929577465</v>
      </c>
      <c r="AM347" s="872">
        <f t="shared" si="783"/>
        <v>0.33870967741935476</v>
      </c>
      <c r="AN347" s="872">
        <f t="shared" si="783"/>
        <v>0.51388888888888884</v>
      </c>
      <c r="AO347" s="872">
        <f t="shared" si="783"/>
        <v>0.59615384615384626</v>
      </c>
      <c r="AP347" s="872">
        <f t="shared" si="783"/>
        <v>0.4375</v>
      </c>
      <c r="AQ347" s="1001">
        <f t="shared" si="783"/>
        <v>0.46453900709219864</v>
      </c>
      <c r="AR347" s="872">
        <f t="shared" si="783"/>
        <v>0.20481927710843384</v>
      </c>
      <c r="AS347" s="872">
        <f t="shared" si="783"/>
        <v>0.37614678899082565</v>
      </c>
      <c r="AT347" s="872">
        <f t="shared" si="783"/>
        <v>0.18072289156626509</v>
      </c>
      <c r="AU347" s="872">
        <f t="shared" si="783"/>
        <v>0.2753623188405796</v>
      </c>
      <c r="AV347" s="1001">
        <f t="shared" si="783"/>
        <v>0.26876513317191275</v>
      </c>
      <c r="AW347" s="872">
        <f t="shared" si="783"/>
        <v>0.1100000000000001</v>
      </c>
      <c r="AX347" s="872">
        <f t="shared" si="783"/>
        <v>-4.6666666666666634E-2</v>
      </c>
      <c r="AY347" s="872">
        <f t="shared" si="783"/>
        <v>-2.0408163265306145E-2</v>
      </c>
      <c r="AZ347" s="872">
        <f t="shared" si="783"/>
        <v>-0.26136363636363635</v>
      </c>
      <c r="BA347" s="1001">
        <f t="shared" si="783"/>
        <v>-8.3969465648854991E-2</v>
      </c>
      <c r="BB347" s="872">
        <f t="shared" si="783"/>
        <v>-0.38738738738738743</v>
      </c>
      <c r="BC347" s="872">
        <f t="shared" si="783"/>
        <v>-0.57342657342657344</v>
      </c>
      <c r="BD347" s="872">
        <f t="shared" si="783"/>
        <v>-0.5625</v>
      </c>
      <c r="BE347" s="872">
        <f t="shared" si="783"/>
        <v>-0.24615384615384617</v>
      </c>
      <c r="BF347" s="1001">
        <f t="shared" si="783"/>
        <v>-0.43958333333333333</v>
      </c>
      <c r="BG347" s="872">
        <f t="shared" si="783"/>
        <v>-1.4705882352941124E-2</v>
      </c>
      <c r="BH347" s="872">
        <f t="shared" si="783"/>
        <v>0.26229508196721318</v>
      </c>
      <c r="BI347" s="872">
        <f t="shared" si="783"/>
        <v>0.14285714285714279</v>
      </c>
      <c r="BJ347" s="872">
        <f t="shared" si="783"/>
        <v>0.31632653061224492</v>
      </c>
      <c r="BK347" s="1001">
        <f t="shared" si="783"/>
        <v>0.19330855018587356</v>
      </c>
      <c r="BL347" s="872">
        <f t="shared" si="783"/>
        <v>7.4626865671641784E-2</v>
      </c>
      <c r="BM347" s="872">
        <f t="shared" si="783"/>
        <v>6.4935064935064846E-2</v>
      </c>
      <c r="BN347" s="872">
        <f t="shared" si="783"/>
        <v>0.29166666666666674</v>
      </c>
      <c r="BO347" s="872">
        <f t="shared" si="783"/>
        <v>-3.1007751937984551E-2</v>
      </c>
      <c r="BP347" s="1001">
        <f t="shared" si="783"/>
        <v>6.230529595015577E-2</v>
      </c>
      <c r="BQ347" s="872">
        <f t="shared" si="783"/>
        <v>0.23611111111111116</v>
      </c>
      <c r="BR347" s="872">
        <f t="shared" si="783"/>
        <v>0.18292682926829262</v>
      </c>
      <c r="BS347" s="872">
        <f t="shared" si="783"/>
        <v>0.20967741935483875</v>
      </c>
      <c r="BT347" s="872">
        <f t="shared" si="783"/>
        <v>0.19199999999999995</v>
      </c>
      <c r="BU347" s="1001">
        <f t="shared" si="783"/>
        <v>0.20234604105571852</v>
      </c>
      <c r="BV347" s="872">
        <f t="shared" si="783"/>
        <v>0.23595505617977519</v>
      </c>
      <c r="BW347" s="872">
        <f t="shared" si="783"/>
        <v>0.12371134020618557</v>
      </c>
      <c r="BX347" s="872">
        <f t="shared" si="783"/>
        <v>0.29333333333333322</v>
      </c>
      <c r="BY347" s="872">
        <f t="shared" si="783"/>
        <v>-4.6979865771812124E-2</v>
      </c>
      <c r="BZ347" s="1001">
        <f t="shared" si="783"/>
        <v>0.11707317073170742</v>
      </c>
      <c r="CA347" s="872">
        <f t="shared" si="783"/>
        <v>9.0909090909090828E-2</v>
      </c>
      <c r="CB347" s="872">
        <f t="shared" si="783"/>
        <v>0.19266055045871555</v>
      </c>
      <c r="CC347" s="872">
        <f t="shared" si="783"/>
        <v>0.1649484536082475</v>
      </c>
      <c r="CD347" s="872">
        <f t="shared" ref="CD347:CL347" si="784">+CD346/BY346-1</f>
        <v>7.7464788732394263E-2</v>
      </c>
      <c r="CE347" s="1001">
        <f t="shared" si="784"/>
        <v>0.1266375545851528</v>
      </c>
      <c r="CF347" s="872">
        <f t="shared" si="784"/>
        <v>0.14166666666666661</v>
      </c>
      <c r="CG347" s="872">
        <f t="shared" si="784"/>
        <v>-2.3076923076923106E-2</v>
      </c>
      <c r="CH347" s="899">
        <f t="shared" si="784"/>
        <v>1.7699115044247815E-2</v>
      </c>
      <c r="CI347" s="899">
        <f t="shared" si="784"/>
        <v>-1.9607843137254943E-2</v>
      </c>
      <c r="CJ347" s="1001">
        <f t="shared" si="784"/>
        <v>2.5193798449612448E-2</v>
      </c>
      <c r="CK347" s="899">
        <f t="shared" si="784"/>
        <v>9.4890510948905105E-2</v>
      </c>
      <c r="CL347" s="899">
        <f t="shared" si="784"/>
        <v>7.0866141732283561E-2</v>
      </c>
      <c r="CM347" s="899">
        <f t="shared" ref="CM347:CS347" si="785">+CM346/CH346-1</f>
        <v>0.10434782608695659</v>
      </c>
      <c r="CN347" s="899">
        <f t="shared" si="785"/>
        <v>-6.6666666666667096E-3</v>
      </c>
      <c r="CO347" s="1001">
        <f t="shared" si="785"/>
        <v>6.2381852551984807E-2</v>
      </c>
      <c r="CP347" s="899">
        <f t="shared" si="785"/>
        <v>2.0000000000000018E-2</v>
      </c>
      <c r="CQ347" s="899">
        <f t="shared" si="785"/>
        <v>8.8235294117646967E-2</v>
      </c>
      <c r="CR347" s="899">
        <f t="shared" si="785"/>
        <v>7.0866141732283561E-2</v>
      </c>
      <c r="CS347" s="899">
        <f t="shared" si="785"/>
        <v>0.14093959731543615</v>
      </c>
      <c r="CT347" s="1003">
        <f>+CT346/CO346-1</f>
        <v>8.0071174377224219E-2</v>
      </c>
      <c r="CU347" s="997">
        <v>0.02</v>
      </c>
      <c r="CV347" s="997">
        <v>0.03</v>
      </c>
      <c r="CW347" s="997">
        <v>0.03</v>
      </c>
      <c r="CX347" s="997">
        <v>0.01</v>
      </c>
      <c r="CY347" s="1001">
        <f>+CY346/CT346-1</f>
        <v>2.1878088962108633E-2</v>
      </c>
      <c r="CZ347" s="998">
        <v>5.5E-2</v>
      </c>
      <c r="DA347" s="998">
        <v>-0.05</v>
      </c>
      <c r="DB347"/>
      <c r="DC347"/>
      <c r="DD347" s="1188" t="s">
        <v>1016</v>
      </c>
      <c r="DE347" s="1001">
        <f>M347</f>
        <v>0</v>
      </c>
      <c r="DF347" s="1001">
        <f>R347</f>
        <v>-0.36075949367088611</v>
      </c>
      <c r="DG347" s="1001">
        <f>W347</f>
        <v>-0.19801980198019797</v>
      </c>
      <c r="DH347" s="1001">
        <f>AB347</f>
        <v>-0.3271604938271605</v>
      </c>
      <c r="DI347" s="1001">
        <f>AG347</f>
        <v>0.30275229357798161</v>
      </c>
      <c r="DJ347" s="1001">
        <f>AL347</f>
        <v>0.9859154929577465</v>
      </c>
      <c r="DK347" s="1001">
        <f>AQ347</f>
        <v>0.46453900709219864</v>
      </c>
      <c r="DL347" s="1001">
        <f>AV347</f>
        <v>0.26876513317191275</v>
      </c>
      <c r="DM347" s="1001">
        <f>BA347</f>
        <v>-8.3969465648854991E-2</v>
      </c>
      <c r="DN347" s="1001">
        <f>BF347</f>
        <v>-0.43958333333333333</v>
      </c>
      <c r="DO347" s="1001">
        <f>BK347</f>
        <v>0.19330855018587356</v>
      </c>
      <c r="DP347" s="1001">
        <f>BP347</f>
        <v>6.230529595015577E-2</v>
      </c>
      <c r="DQ347" s="1001">
        <f>BU347</f>
        <v>0.20234604105571852</v>
      </c>
      <c r="DR347" s="1001">
        <f>BZ347</f>
        <v>0.11707317073170742</v>
      </c>
      <c r="DS347" s="1001">
        <f>CE347</f>
        <v>0.1266375545851528</v>
      </c>
      <c r="DT347" s="1001">
        <f>CJ347</f>
        <v>2.5193798449612448E-2</v>
      </c>
      <c r="DU347" s="1001">
        <f>CO347</f>
        <v>6.2381852551984807E-2</v>
      </c>
      <c r="DV347" s="1001">
        <f>CT347</f>
        <v>8.0071174377224219E-2</v>
      </c>
      <c r="DW347" s="1001">
        <f t="shared" ref="DW347:DY349" si="786">CY347</f>
        <v>2.1878088962108633E-2</v>
      </c>
      <c r="DX347" s="1001">
        <f t="shared" si="786"/>
        <v>5.5E-2</v>
      </c>
      <c r="DY347" s="1001">
        <f t="shared" si="786"/>
        <v>-0.05</v>
      </c>
      <c r="EA347"/>
      <c r="EB347"/>
      <c r="EC347"/>
      <c r="ED347"/>
      <c r="EE347"/>
      <c r="EF347"/>
      <c r="EJ347"/>
      <c r="EK347"/>
      <c r="EL347"/>
      <c r="ER347" s="212"/>
    </row>
    <row r="348" spans="1:148" s="923" customFormat="1" ht="12.75" customHeight="1" x14ac:dyDescent="0.2">
      <c r="A348" s="1717" t="s">
        <v>979</v>
      </c>
      <c r="B348" s="1190"/>
      <c r="C348" s="1190"/>
      <c r="D348" s="1190"/>
      <c r="E348" s="1190"/>
      <c r="F348" s="1190"/>
      <c r="G348" s="1190"/>
      <c r="H348" s="1190"/>
      <c r="I348" s="1190"/>
      <c r="J348" s="1190"/>
      <c r="K348" s="1190"/>
      <c r="L348" s="1190"/>
      <c r="M348" s="1191"/>
      <c r="N348" s="1190"/>
      <c r="O348" s="1190"/>
      <c r="P348" s="1190"/>
      <c r="Q348" s="1190"/>
      <c r="R348" s="1191"/>
      <c r="S348" s="1190"/>
      <c r="T348" s="1190"/>
      <c r="U348" s="1190"/>
      <c r="V348" s="1190"/>
      <c r="W348" s="1191"/>
      <c r="X348" s="1190"/>
      <c r="Y348" s="1190"/>
      <c r="Z348" s="1190"/>
      <c r="AA348" s="1190"/>
      <c r="AB348" s="1191"/>
      <c r="AC348" s="1190"/>
      <c r="AD348" s="1190"/>
      <c r="AE348" s="1190"/>
      <c r="AF348" s="1190"/>
      <c r="AG348" s="1191"/>
      <c r="AH348" s="1190"/>
      <c r="AI348" s="1190"/>
      <c r="AJ348" s="1190"/>
      <c r="AK348" s="1190"/>
      <c r="AL348" s="1191"/>
      <c r="AM348" s="1190"/>
      <c r="AN348" s="1190"/>
      <c r="AO348" s="1190"/>
      <c r="AP348" s="1190"/>
      <c r="AQ348" s="1191"/>
      <c r="AR348" s="1190"/>
      <c r="AS348" s="1190"/>
      <c r="AT348" s="1190"/>
      <c r="AU348" s="1190"/>
      <c r="AV348" s="1191"/>
      <c r="AW348" s="1190">
        <f t="shared" ref="AW348:CM348" si="787">AW343/AW327</f>
        <v>3.1434169578371411E-2</v>
      </c>
      <c r="AX348" s="1190">
        <f t="shared" si="787"/>
        <v>3.9047990976487319E-2</v>
      </c>
      <c r="AY348" s="1190">
        <f t="shared" si="787"/>
        <v>2.1335322709879541E-2</v>
      </c>
      <c r="AZ348" s="1190">
        <f t="shared" si="787"/>
        <v>2.6907801542000471E-2</v>
      </c>
      <c r="BA348" s="1191">
        <f t="shared" si="787"/>
        <v>2.9685141102836154E-2</v>
      </c>
      <c r="BB348" s="1190">
        <f t="shared" si="787"/>
        <v>2.2292282275340622E-2</v>
      </c>
      <c r="BC348" s="1190">
        <f t="shared" si="787"/>
        <v>1.7555052623786239E-2</v>
      </c>
      <c r="BD348" s="1190">
        <f t="shared" si="787"/>
        <v>8.8209312097059685E-3</v>
      </c>
      <c r="BE348" s="1190">
        <f t="shared" si="787"/>
        <v>2.2174543905967681E-2</v>
      </c>
      <c r="BF348" s="1191">
        <f t="shared" si="787"/>
        <v>1.809510380323754E-2</v>
      </c>
      <c r="BG348" s="1190">
        <f t="shared" si="787"/>
        <v>2.0525016364724445E-2</v>
      </c>
      <c r="BH348" s="1190">
        <f t="shared" si="787"/>
        <v>2.0661499806473443E-2</v>
      </c>
      <c r="BI348" s="1190">
        <f t="shared" si="787"/>
        <v>9.9824265064283376E-3</v>
      </c>
      <c r="BJ348" s="1190">
        <f t="shared" si="787"/>
        <v>2.6197758410473126E-2</v>
      </c>
      <c r="BK348" s="1191">
        <f t="shared" si="787"/>
        <v>1.990867895559149E-2</v>
      </c>
      <c r="BL348" s="1190">
        <f t="shared" si="787"/>
        <v>1.9693570782619598E-2</v>
      </c>
      <c r="BM348" s="1190">
        <f t="shared" si="787"/>
        <v>2.033183034073734E-2</v>
      </c>
      <c r="BN348" s="1190">
        <f t="shared" si="787"/>
        <v>1.2329868487339787E-2</v>
      </c>
      <c r="BO348" s="1190">
        <f t="shared" si="787"/>
        <v>2.3645770404566949E-2</v>
      </c>
      <c r="BP348" s="1191">
        <f t="shared" si="787"/>
        <v>1.9357894208881468E-2</v>
      </c>
      <c r="BQ348" s="1190">
        <f t="shared" si="787"/>
        <v>2.214778949851031E-2</v>
      </c>
      <c r="BR348" s="1190">
        <f t="shared" si="787"/>
        <v>2.1786951434530834E-2</v>
      </c>
      <c r="BS348" s="1190">
        <f t="shared" si="787"/>
        <v>1.4955073547034863E-2</v>
      </c>
      <c r="BT348" s="1190">
        <f t="shared" si="787"/>
        <v>2.8050113993101609E-2</v>
      </c>
      <c r="BU348" s="1191">
        <f t="shared" si="787"/>
        <v>2.2214433513121877E-2</v>
      </c>
      <c r="BV348" s="1190">
        <f t="shared" si="787"/>
        <v>2.4980520549085315E-2</v>
      </c>
      <c r="BW348" s="1190">
        <f t="shared" si="787"/>
        <v>2.203851591780991E-2</v>
      </c>
      <c r="BX348" s="1190">
        <f t="shared" si="787"/>
        <v>1.9042182485743041E-2</v>
      </c>
      <c r="BY348" s="1190">
        <f t="shared" si="787"/>
        <v>2.6880541632006295E-2</v>
      </c>
      <c r="BZ348" s="1191">
        <f t="shared" si="787"/>
        <v>2.317774293445447E-2</v>
      </c>
      <c r="CA348" s="1190">
        <f t="shared" si="787"/>
        <v>2.4802074770995317E-2</v>
      </c>
      <c r="CB348" s="1190">
        <f t="shared" si="787"/>
        <v>2.5113994119268269E-2</v>
      </c>
      <c r="CC348" s="1190">
        <f t="shared" si="787"/>
        <v>2.1080365128701324E-2</v>
      </c>
      <c r="CD348" s="1808">
        <f t="shared" si="787"/>
        <v>2.6655589557220007E-2</v>
      </c>
      <c r="CE348" s="1191">
        <f t="shared" si="787"/>
        <v>2.438952194232975E-2</v>
      </c>
      <c r="CF348" s="1190">
        <f t="shared" si="787"/>
        <v>2.937121151510726E-2</v>
      </c>
      <c r="CG348" s="1190">
        <f t="shared" si="787"/>
        <v>2.4562099113326925E-2</v>
      </c>
      <c r="CH348" s="1190">
        <f t="shared" si="787"/>
        <v>2.0834559955869785E-2</v>
      </c>
      <c r="CI348" s="1808">
        <f t="shared" si="787"/>
        <v>2.5903434073140091E-2</v>
      </c>
      <c r="CJ348" s="1191">
        <f t="shared" si="787"/>
        <v>2.508108475787918E-2</v>
      </c>
      <c r="CK348" s="2919">
        <f t="shared" si="787"/>
        <v>3.3110743484704851E-2</v>
      </c>
      <c r="CL348" s="1190">
        <f t="shared" si="787"/>
        <v>2.8508911657278736E-2</v>
      </c>
      <c r="CM348" s="1192">
        <f t="shared" si="787"/>
        <v>2.406724492925005E-2</v>
      </c>
      <c r="CN348" s="1808">
        <f t="shared" ref="CN348:DA348" si="788">CN346/CN327</f>
        <v>2.9085928130713604E-2</v>
      </c>
      <c r="CO348" s="1191">
        <f t="shared" si="788"/>
        <v>3.8310244777358844E-2</v>
      </c>
      <c r="CP348" s="1190">
        <f t="shared" ca="1" si="788"/>
        <v>3.089727081799622E-2</v>
      </c>
      <c r="CQ348" s="1190">
        <f t="shared" ca="1" si="788"/>
        <v>2.6676933482214352E-2</v>
      </c>
      <c r="CR348" s="1190">
        <f t="shared" ca="1" si="788"/>
        <v>2.2200396210613298E-2</v>
      </c>
      <c r="CS348" s="1190">
        <f t="shared" ca="1" si="788"/>
        <v>3.0869650963683812E-2</v>
      </c>
      <c r="CT348" s="1191">
        <f t="shared" ca="1" si="788"/>
        <v>2.7425357827998292E-2</v>
      </c>
      <c r="CU348" s="1190">
        <f t="shared" ca="1" si="788"/>
        <v>2.9566273480299859E-2</v>
      </c>
      <c r="CV348" s="1190">
        <f t="shared" ca="1" si="788"/>
        <v>2.5484974872149201E-2</v>
      </c>
      <c r="CW348" s="1190">
        <f t="shared" ca="1" si="788"/>
        <v>2.1301146049347061E-2</v>
      </c>
      <c r="CX348" s="1190">
        <f t="shared" ca="1" si="788"/>
        <v>2.903875350799167E-2</v>
      </c>
      <c r="CY348" s="1191">
        <f ca="1">CY346/CY327</f>
        <v>2.6118333415957342E-2</v>
      </c>
      <c r="CZ348" s="1191">
        <f t="shared" ca="1" si="788"/>
        <v>2.5902201551710628E-2</v>
      </c>
      <c r="DA348" s="1191">
        <f t="shared" ca="1" si="788"/>
        <v>2.4753838386723147E-2</v>
      </c>
      <c r="DB348"/>
      <c r="DC348"/>
      <c r="DD348" s="1717" t="s">
        <v>979</v>
      </c>
      <c r="DE348" s="1042">
        <f>M348</f>
        <v>0</v>
      </c>
      <c r="DF348" s="1042">
        <f>R348</f>
        <v>0</v>
      </c>
      <c r="DG348" s="1042">
        <f>W348</f>
        <v>0</v>
      </c>
      <c r="DH348" s="1042">
        <f>AB348</f>
        <v>0</v>
      </c>
      <c r="DI348" s="1042">
        <f>AG348</f>
        <v>0</v>
      </c>
      <c r="DJ348" s="1042">
        <f>AL348</f>
        <v>0</v>
      </c>
      <c r="DK348" s="1042">
        <f>AQ348</f>
        <v>0</v>
      </c>
      <c r="DL348" s="1042">
        <f>AV348</f>
        <v>0</v>
      </c>
      <c r="DM348" s="1042">
        <f>BA348</f>
        <v>2.9685141102836154E-2</v>
      </c>
      <c r="DN348" s="1042">
        <f>BF348</f>
        <v>1.809510380323754E-2</v>
      </c>
      <c r="DO348" s="1042">
        <f>BK348</f>
        <v>1.990867895559149E-2</v>
      </c>
      <c r="DP348" s="1042">
        <f>BP348</f>
        <v>1.9357894208881468E-2</v>
      </c>
      <c r="DQ348" s="1042">
        <f>BU348</f>
        <v>2.2214433513121877E-2</v>
      </c>
      <c r="DR348" s="1042">
        <f>BZ348</f>
        <v>2.317774293445447E-2</v>
      </c>
      <c r="DS348" s="1042">
        <f>CE348</f>
        <v>2.438952194232975E-2</v>
      </c>
      <c r="DT348" s="1042">
        <f>CJ348</f>
        <v>2.508108475787918E-2</v>
      </c>
      <c r="DU348" s="1042">
        <f>CO348</f>
        <v>3.8310244777358844E-2</v>
      </c>
      <c r="DV348" s="1042">
        <f ca="1">CT348</f>
        <v>2.7425357827998292E-2</v>
      </c>
      <c r="DW348" s="1042">
        <f t="shared" ca="1" si="786"/>
        <v>2.6118333415957342E-2</v>
      </c>
      <c r="DX348" s="1042">
        <f t="shared" ca="1" si="786"/>
        <v>2.5902201551710628E-2</v>
      </c>
      <c r="DY348" s="1042">
        <f t="shared" ca="1" si="786"/>
        <v>2.4753838386723147E-2</v>
      </c>
      <c r="EA348"/>
      <c r="EB348"/>
      <c r="EC348"/>
      <c r="ED348"/>
      <c r="EE348"/>
      <c r="EF348"/>
      <c r="EJ348"/>
      <c r="EK348"/>
      <c r="EL348"/>
      <c r="ER348" s="212"/>
    </row>
    <row r="349" spans="1:148" s="1859" customFormat="1" ht="12.75" customHeight="1" x14ac:dyDescent="0.2">
      <c r="A349" s="2674" t="s">
        <v>355</v>
      </c>
      <c r="B349" s="1971"/>
      <c r="C349" s="1971"/>
      <c r="D349" s="1971"/>
      <c r="E349" s="1971"/>
      <c r="F349" s="1971"/>
      <c r="G349" s="1971"/>
      <c r="H349" s="1971"/>
      <c r="I349" s="1971" t="s">
        <v>673</v>
      </c>
      <c r="J349" s="1971" t="s">
        <v>673</v>
      </c>
      <c r="K349" s="1971" t="s">
        <v>673</v>
      </c>
      <c r="L349" s="1971" t="s">
        <v>673</v>
      </c>
      <c r="M349" s="1972">
        <v>0.7</v>
      </c>
      <c r="N349" s="1971" t="s">
        <v>673</v>
      </c>
      <c r="O349" s="1971" t="s">
        <v>673</v>
      </c>
      <c r="P349" s="1971" t="s">
        <v>673</v>
      </c>
      <c r="Q349" s="1971" t="s">
        <v>673</v>
      </c>
      <c r="R349" s="1972">
        <v>0.52</v>
      </c>
      <c r="S349" s="1971" t="s">
        <v>673</v>
      </c>
      <c r="T349" s="1971" t="s">
        <v>673</v>
      </c>
      <c r="U349" s="1971" t="s">
        <v>673</v>
      </c>
      <c r="V349" s="1971" t="s">
        <v>673</v>
      </c>
      <c r="W349" s="1972">
        <v>0.35</v>
      </c>
      <c r="X349" s="1971" t="s">
        <v>673</v>
      </c>
      <c r="Y349" s="1971" t="s">
        <v>673</v>
      </c>
      <c r="Z349" s="1971" t="s">
        <v>673</v>
      </c>
      <c r="AA349" s="1971" t="s">
        <v>673</v>
      </c>
      <c r="AB349" s="1972">
        <v>0.28999999999999998</v>
      </c>
      <c r="AC349" s="1971" t="s">
        <v>673</v>
      </c>
      <c r="AD349" s="1971" t="s">
        <v>673</v>
      </c>
      <c r="AE349" s="1971" t="s">
        <v>673</v>
      </c>
      <c r="AF349" s="1971" t="s">
        <v>673</v>
      </c>
      <c r="AG349" s="1972">
        <v>0.32</v>
      </c>
      <c r="AH349" s="1971">
        <v>0.28000000000000003</v>
      </c>
      <c r="AI349" s="1971">
        <v>0.42</v>
      </c>
      <c r="AJ349" s="1971">
        <v>0.44</v>
      </c>
      <c r="AK349" s="1971" t="s">
        <v>673</v>
      </c>
      <c r="AL349" s="1972">
        <v>0.51</v>
      </c>
      <c r="AM349" s="1971">
        <v>0.49</v>
      </c>
      <c r="AN349" s="1971">
        <v>0.57999999999999996</v>
      </c>
      <c r="AO349" s="1971">
        <v>0.54</v>
      </c>
      <c r="AP349" s="1971">
        <v>0.67</v>
      </c>
      <c r="AQ349" s="1972">
        <v>0.62</v>
      </c>
      <c r="AR349" s="1971">
        <v>0.55000000000000004</v>
      </c>
      <c r="AS349" s="1971">
        <v>0.63</v>
      </c>
      <c r="AT349" s="1971">
        <v>0.59</v>
      </c>
      <c r="AU349" s="1971">
        <v>0.62</v>
      </c>
      <c r="AV349" s="1972">
        <v>0.67</v>
      </c>
      <c r="AW349" s="1971">
        <v>0.52</v>
      </c>
      <c r="AX349" s="1971">
        <v>0.57999999999999996</v>
      </c>
      <c r="AY349" s="1971">
        <v>0.55000000000000004</v>
      </c>
      <c r="AZ349" s="1971">
        <v>0.39</v>
      </c>
      <c r="BA349" s="1972">
        <v>0.56000000000000005</v>
      </c>
      <c r="BB349" s="1971">
        <v>0.25</v>
      </c>
      <c r="BC349" s="1971">
        <v>0.23</v>
      </c>
      <c r="BD349" s="1971">
        <v>0.2</v>
      </c>
      <c r="BE349" s="1971">
        <v>0.22</v>
      </c>
      <c r="BF349" s="1972">
        <v>0.25</v>
      </c>
      <c r="BG349" s="1971">
        <v>0.23</v>
      </c>
      <c r="BH349" s="1971">
        <v>0.25</v>
      </c>
      <c r="BI349" s="1971">
        <v>0.23</v>
      </c>
      <c r="BJ349" s="1971">
        <v>0.26</v>
      </c>
      <c r="BK349" s="1972">
        <v>0.27</v>
      </c>
      <c r="BL349" s="1971">
        <v>0.25</v>
      </c>
      <c r="BM349" s="1971">
        <v>0.25</v>
      </c>
      <c r="BN349" s="1971">
        <v>0.24</v>
      </c>
      <c r="BO349" s="1971">
        <v>0.27</v>
      </c>
      <c r="BP349" s="1972">
        <v>0.28999999999999998</v>
      </c>
      <c r="BQ349" s="1971">
        <v>0.28999999999999998</v>
      </c>
      <c r="BR349" s="1971">
        <v>0.3</v>
      </c>
      <c r="BS349" s="1971">
        <v>0.28000000000000003</v>
      </c>
      <c r="BT349" s="1971">
        <v>0.3</v>
      </c>
      <c r="BU349" s="1972">
        <v>0.33</v>
      </c>
      <c r="BV349" s="1971">
        <v>0.33</v>
      </c>
      <c r="BW349" s="1971">
        <v>0.33</v>
      </c>
      <c r="BX349" s="1971">
        <v>0.32</v>
      </c>
      <c r="BY349" s="1971">
        <v>0.32</v>
      </c>
      <c r="BZ349" s="1972">
        <v>0.39</v>
      </c>
      <c r="CA349" s="1971">
        <v>0.36</v>
      </c>
      <c r="CB349" s="1971">
        <v>0.4</v>
      </c>
      <c r="CC349" s="1971">
        <v>0.51</v>
      </c>
      <c r="CD349" s="1971">
        <v>0.4</v>
      </c>
      <c r="CE349" s="1972">
        <v>0.5</v>
      </c>
      <c r="CF349" s="1971">
        <v>0.48</v>
      </c>
      <c r="CG349" s="1971">
        <v>0.59</v>
      </c>
      <c r="CH349" s="1971">
        <v>0.64</v>
      </c>
      <c r="CI349" s="1971">
        <v>0.46</v>
      </c>
      <c r="CJ349" s="1972">
        <v>0.68</v>
      </c>
      <c r="CK349" s="1971">
        <v>0.63</v>
      </c>
      <c r="CL349" s="1971">
        <v>0.64</v>
      </c>
      <c r="CM349" s="1856"/>
      <c r="CN349" s="1858"/>
      <c r="CO349" s="1857"/>
      <c r="CP349" s="1856"/>
      <c r="CQ349" s="1856"/>
      <c r="CR349" s="1856"/>
      <c r="CS349" s="1856"/>
      <c r="CT349" s="1857"/>
      <c r="CU349" s="1856"/>
      <c r="CV349" s="1856"/>
      <c r="CW349" s="1856"/>
      <c r="CX349" s="1856"/>
      <c r="CY349" s="1857"/>
      <c r="CZ349" s="1857"/>
      <c r="DA349" s="1857"/>
      <c r="DB349"/>
      <c r="DC349"/>
      <c r="DD349" s="1891" t="s">
        <v>355</v>
      </c>
      <c r="DE349" s="2340">
        <f>M349</f>
        <v>0.7</v>
      </c>
      <c r="DF349" s="2340">
        <f>R349</f>
        <v>0.52</v>
      </c>
      <c r="DG349" s="2340">
        <f>W349</f>
        <v>0.35</v>
      </c>
      <c r="DH349" s="2340">
        <f>AB349</f>
        <v>0.28999999999999998</v>
      </c>
      <c r="DI349" s="2340">
        <f>AG349</f>
        <v>0.32</v>
      </c>
      <c r="DJ349" s="2340">
        <f>AL349</f>
        <v>0.51</v>
      </c>
      <c r="DK349" s="2340">
        <f>AQ349</f>
        <v>0.62</v>
      </c>
      <c r="DL349" s="2340">
        <f>AV349</f>
        <v>0.67</v>
      </c>
      <c r="DM349" s="2340">
        <f>BA349</f>
        <v>0.56000000000000005</v>
      </c>
      <c r="DN349" s="2340">
        <f>BF349</f>
        <v>0.25</v>
      </c>
      <c r="DO349" s="2340">
        <f>BK349</f>
        <v>0.27</v>
      </c>
      <c r="DP349" s="2340">
        <f>BP349</f>
        <v>0.28999999999999998</v>
      </c>
      <c r="DQ349" s="2340">
        <f>BU349</f>
        <v>0.33</v>
      </c>
      <c r="DR349" s="2340">
        <f>BZ349</f>
        <v>0.39</v>
      </c>
      <c r="DS349" s="2340">
        <f>CE349</f>
        <v>0.5</v>
      </c>
      <c r="DT349" s="2340">
        <f>CJ349</f>
        <v>0.68</v>
      </c>
      <c r="DU349" s="2340">
        <f>CO349</f>
        <v>0</v>
      </c>
      <c r="DV349" s="2340">
        <f>CT349</f>
        <v>0</v>
      </c>
      <c r="DW349" s="2340">
        <f t="shared" si="786"/>
        <v>0</v>
      </c>
      <c r="DX349" s="2340">
        <f t="shared" si="786"/>
        <v>0</v>
      </c>
      <c r="DY349" s="2340">
        <f t="shared" si="786"/>
        <v>0</v>
      </c>
      <c r="EA349"/>
      <c r="EB349"/>
      <c r="EC349"/>
      <c r="ED349"/>
      <c r="EE349"/>
      <c r="EF349"/>
      <c r="EJ349"/>
      <c r="EK349"/>
      <c r="EL349"/>
      <c r="ER349" s="212"/>
    </row>
    <row r="350" spans="1:148" s="923" customFormat="1" ht="12.75" customHeight="1" x14ac:dyDescent="0.2">
      <c r="A350" s="1717"/>
      <c r="B350" s="948"/>
      <c r="C350" s="948"/>
      <c r="D350" s="948"/>
      <c r="E350" s="948"/>
      <c r="F350" s="948"/>
      <c r="G350" s="948"/>
      <c r="H350" s="948"/>
      <c r="I350" s="948"/>
      <c r="J350" s="948"/>
      <c r="K350" s="948"/>
      <c r="L350" s="948"/>
      <c r="M350" s="2694"/>
      <c r="N350" s="948"/>
      <c r="O350" s="948"/>
      <c r="P350" s="948"/>
      <c r="Q350" s="948"/>
      <c r="R350" s="2694"/>
      <c r="S350" s="948"/>
      <c r="T350" s="948"/>
      <c r="U350" s="948"/>
      <c r="V350" s="948"/>
      <c r="W350" s="2694"/>
      <c r="X350" s="948"/>
      <c r="Y350" s="948"/>
      <c r="Z350" s="948"/>
      <c r="AA350" s="948"/>
      <c r="AB350" s="2694"/>
      <c r="AC350" s="948"/>
      <c r="AD350" s="948"/>
      <c r="AE350" s="948"/>
      <c r="AF350" s="948"/>
      <c r="AG350" s="2694"/>
      <c r="AH350" s="948"/>
      <c r="AI350" s="948"/>
      <c r="AJ350" s="948"/>
      <c r="AK350" s="948"/>
      <c r="AL350" s="2694"/>
      <c r="AM350" s="948"/>
      <c r="AN350" s="948"/>
      <c r="AO350" s="948"/>
      <c r="AP350" s="948"/>
      <c r="AQ350" s="2694"/>
      <c r="AR350" s="948"/>
      <c r="AS350" s="948"/>
      <c r="AT350" s="948"/>
      <c r="AU350" s="948"/>
      <c r="AV350" s="2694"/>
      <c r="AW350" s="948"/>
      <c r="AX350" s="948"/>
      <c r="AY350" s="948"/>
      <c r="AZ350" s="948"/>
      <c r="BA350" s="2694"/>
      <c r="BB350" s="948"/>
      <c r="BC350" s="948"/>
      <c r="BD350" s="948"/>
      <c r="BE350" s="948"/>
      <c r="BF350" s="2694"/>
      <c r="BG350" s="948"/>
      <c r="BH350" s="948"/>
      <c r="BI350" s="948"/>
      <c r="BJ350" s="948"/>
      <c r="BK350" s="2694"/>
      <c r="BL350" s="948"/>
      <c r="BM350" s="948"/>
      <c r="BN350" s="948"/>
      <c r="BO350" s="948"/>
      <c r="BP350" s="2694"/>
      <c r="BQ350" s="948"/>
      <c r="BR350" s="948"/>
      <c r="BS350" s="948"/>
      <c r="BT350" s="948"/>
      <c r="BU350" s="2694"/>
      <c r="BV350" s="948"/>
      <c r="BW350" s="948"/>
      <c r="BX350" s="948"/>
      <c r="BY350" s="948"/>
      <c r="BZ350" s="931"/>
      <c r="CA350" s="948"/>
      <c r="CB350" s="931"/>
      <c r="CC350" s="931"/>
      <c r="CD350" s="931"/>
      <c r="CE350" s="931"/>
      <c r="CF350" s="2683"/>
      <c r="CG350" s="2683"/>
      <c r="CH350" s="2683"/>
      <c r="CI350" s="2683"/>
      <c r="CJ350" s="2694"/>
      <c r="CK350" s="2683"/>
      <c r="CL350" s="2683"/>
      <c r="CM350" s="2683"/>
      <c r="CN350" s="2683"/>
      <c r="CO350" s="2694"/>
      <c r="CP350" s="2683"/>
      <c r="CQ350" s="2683"/>
      <c r="CR350" s="2683"/>
      <c r="CS350" s="2683"/>
      <c r="CT350" s="2694"/>
      <c r="CU350" s="2683"/>
      <c r="CV350" s="2683"/>
      <c r="CW350" s="2683"/>
      <c r="CX350" s="2683"/>
      <c r="CY350" s="931"/>
      <c r="CZ350" s="931"/>
      <c r="DA350" s="931"/>
      <c r="DB350"/>
      <c r="DC350"/>
      <c r="DD350" s="1717"/>
      <c r="DE350" s="940"/>
      <c r="DF350" s="940"/>
      <c r="DG350" s="940"/>
      <c r="DH350" s="940"/>
      <c r="DI350" s="940"/>
      <c r="DJ350" s="940"/>
      <c r="DK350" s="940"/>
      <c r="DL350" s="940"/>
      <c r="DM350" s="940"/>
      <c r="DN350" s="940"/>
      <c r="DO350" s="940"/>
      <c r="DP350" s="940"/>
      <c r="DQ350" s="940"/>
      <c r="DR350" s="940"/>
      <c r="DS350" s="940"/>
      <c r="DT350" s="940"/>
      <c r="DU350" s="940"/>
      <c r="DV350" s="940"/>
      <c r="DW350" s="940"/>
      <c r="DX350" s="940"/>
      <c r="DY350" s="940"/>
      <c r="EA350"/>
      <c r="EB350"/>
      <c r="EC350"/>
      <c r="ED350"/>
      <c r="EE350"/>
      <c r="EF350"/>
      <c r="EJ350"/>
      <c r="EK350"/>
      <c r="EL350"/>
      <c r="ER350" s="212"/>
    </row>
    <row r="351" spans="1:148" s="923" customFormat="1" ht="12.75" customHeight="1" x14ac:dyDescent="0.2">
      <c r="A351" s="865"/>
      <c r="B351" s="215"/>
      <c r="C351" s="215"/>
      <c r="D351" s="215"/>
      <c r="E351" s="215"/>
      <c r="F351" s="215"/>
      <c r="G351" s="215"/>
      <c r="H351" s="215"/>
      <c r="I351" s="215"/>
      <c r="J351" s="215"/>
      <c r="K351" s="215"/>
      <c r="L351" s="215"/>
      <c r="M351" s="2684"/>
      <c r="N351" s="215"/>
      <c r="O351" s="215"/>
      <c r="P351" s="215"/>
      <c r="Q351" s="215"/>
      <c r="R351" s="2684"/>
      <c r="S351" s="215"/>
      <c r="T351" s="215"/>
      <c r="U351" s="215"/>
      <c r="V351" s="215"/>
      <c r="W351" s="2684"/>
      <c r="X351" s="215"/>
      <c r="Y351" s="215"/>
      <c r="Z351" s="215"/>
      <c r="AA351" s="215"/>
      <c r="AB351" s="2684"/>
      <c r="AC351" s="215"/>
      <c r="AD351" s="215"/>
      <c r="AE351" s="215"/>
      <c r="AF351" s="215"/>
      <c r="AG351" s="2684"/>
      <c r="AH351" s="215"/>
      <c r="AI351" s="215"/>
      <c r="AJ351" s="215"/>
      <c r="AK351" s="215"/>
      <c r="AL351" s="2684"/>
      <c r="AM351" s="215"/>
      <c r="AN351" s="215"/>
      <c r="AO351" s="215"/>
      <c r="AP351" s="215"/>
      <c r="AQ351" s="2684"/>
      <c r="AR351" s="215"/>
      <c r="AS351" s="215"/>
      <c r="AT351" s="215"/>
      <c r="AU351" s="215"/>
      <c r="AV351" s="2684"/>
      <c r="AW351" s="215"/>
      <c r="AX351" s="215"/>
      <c r="AY351" s="215"/>
      <c r="AZ351" s="215"/>
      <c r="BA351" s="2684"/>
      <c r="BB351" s="215"/>
      <c r="BC351" s="215"/>
      <c r="BD351" s="215"/>
      <c r="BE351" s="215"/>
      <c r="BF351" s="2684"/>
      <c r="BG351" s="215"/>
      <c r="BH351" s="215"/>
      <c r="BI351" s="215"/>
      <c r="BJ351" s="215"/>
      <c r="BK351" s="2684"/>
      <c r="BL351" s="215"/>
      <c r="BM351" s="215"/>
      <c r="BN351" s="215"/>
      <c r="BO351" s="215"/>
      <c r="BP351" s="2684"/>
      <c r="BQ351" s="215"/>
      <c r="BR351" s="215"/>
      <c r="BS351" s="215"/>
      <c r="BT351" s="215"/>
      <c r="BU351" s="2684"/>
      <c r="BV351" s="215"/>
      <c r="BW351" s="215"/>
      <c r="BX351" s="215"/>
      <c r="BY351" s="215"/>
      <c r="BZ351" s="215"/>
      <c r="CA351" s="215"/>
      <c r="CB351" s="215"/>
      <c r="CC351" s="215"/>
      <c r="CD351" s="215"/>
      <c r="CE351" s="215"/>
      <c r="CF351" s="2684"/>
      <c r="CG351" s="2684"/>
      <c r="CH351" s="2684"/>
      <c r="CI351" s="2684"/>
      <c r="CJ351" s="2684"/>
      <c r="CK351" s="2684"/>
      <c r="CL351" s="2684"/>
      <c r="CM351" s="2684"/>
      <c r="CN351" s="2684"/>
      <c r="CO351" s="2684"/>
      <c r="CP351" s="2684"/>
      <c r="CQ351" s="2684"/>
      <c r="CR351" s="2684"/>
      <c r="CS351" s="2684"/>
      <c r="CT351" s="2684"/>
      <c r="CU351" s="2684"/>
      <c r="CV351" s="2684"/>
      <c r="CW351" s="2684"/>
      <c r="CX351" s="2684"/>
      <c r="CY351" s="215"/>
      <c r="CZ351" s="215"/>
      <c r="DA351" s="215"/>
      <c r="DB351"/>
      <c r="DC351"/>
      <c r="DD351" s="2323"/>
      <c r="DE351" s="2327"/>
      <c r="DF351" s="2327"/>
      <c r="DG351" s="2327"/>
      <c r="DH351" s="2327"/>
      <c r="DI351" s="2327"/>
      <c r="DJ351" s="2327"/>
      <c r="DK351" s="2327"/>
      <c r="DL351" s="2327"/>
      <c r="DM351" s="2327"/>
      <c r="DN351" s="2327"/>
      <c r="DO351" s="2327"/>
      <c r="DP351" s="2327"/>
      <c r="DQ351" s="2327"/>
      <c r="DR351" s="2327"/>
      <c r="DS351" s="2327"/>
      <c r="DT351" s="2327"/>
      <c r="DU351" s="2327"/>
      <c r="DV351" s="2327"/>
      <c r="DW351" s="2327"/>
      <c r="DX351" s="2327"/>
      <c r="DY351" s="2327"/>
      <c r="EA351"/>
      <c r="EB351"/>
      <c r="EC351"/>
      <c r="ED351"/>
      <c r="EE351"/>
      <c r="EF351"/>
      <c r="EJ351"/>
      <c r="EK351"/>
      <c r="EL351"/>
      <c r="ER351" s="212"/>
    </row>
    <row r="352" spans="1:148" s="923" customFormat="1" ht="12.75" customHeight="1" x14ac:dyDescent="0.2">
      <c r="A352" s="873" t="s">
        <v>1482</v>
      </c>
      <c r="B352" s="963"/>
      <c r="C352" s="963"/>
      <c r="D352" s="963"/>
      <c r="E352" s="963"/>
      <c r="F352" s="963"/>
      <c r="G352" s="963"/>
      <c r="H352" s="963"/>
      <c r="I352" s="963" t="str">
        <f t="shared" ref="I352:AN352" si="789">I$5</f>
        <v>1Q00</v>
      </c>
      <c r="J352" s="963" t="str">
        <f t="shared" si="789"/>
        <v>2Q00</v>
      </c>
      <c r="K352" s="963" t="str">
        <f t="shared" si="789"/>
        <v>3Q00</v>
      </c>
      <c r="L352" s="963" t="str">
        <f t="shared" si="789"/>
        <v>4Q00</v>
      </c>
      <c r="M352" s="649">
        <f t="shared" si="789"/>
        <v>2000</v>
      </c>
      <c r="N352" s="963" t="str">
        <f t="shared" si="789"/>
        <v>1Q01</v>
      </c>
      <c r="O352" s="963" t="str">
        <f t="shared" si="789"/>
        <v>2Q01</v>
      </c>
      <c r="P352" s="963" t="str">
        <f t="shared" si="789"/>
        <v>3Q01</v>
      </c>
      <c r="Q352" s="963" t="str">
        <f t="shared" si="789"/>
        <v>4Q01</v>
      </c>
      <c r="R352" s="649">
        <f t="shared" si="789"/>
        <v>2001</v>
      </c>
      <c r="S352" s="963" t="str">
        <f t="shared" si="789"/>
        <v>1Q02</v>
      </c>
      <c r="T352" s="963" t="str">
        <f t="shared" si="789"/>
        <v>2Q02</v>
      </c>
      <c r="U352" s="963" t="str">
        <f t="shared" si="789"/>
        <v>3Q02</v>
      </c>
      <c r="V352" s="963" t="str">
        <f t="shared" si="789"/>
        <v>4Q02</v>
      </c>
      <c r="W352" s="649">
        <f t="shared" si="789"/>
        <v>2002</v>
      </c>
      <c r="X352" s="963" t="str">
        <f t="shared" si="789"/>
        <v>1Q03</v>
      </c>
      <c r="Y352" s="963" t="str">
        <f t="shared" si="789"/>
        <v>2Q03</v>
      </c>
      <c r="Z352" s="963" t="str">
        <f t="shared" si="789"/>
        <v>3Q03</v>
      </c>
      <c r="AA352" s="963" t="str">
        <f t="shared" si="789"/>
        <v>4Q03</v>
      </c>
      <c r="AB352" s="649">
        <f t="shared" si="789"/>
        <v>2003</v>
      </c>
      <c r="AC352" s="963" t="str">
        <f t="shared" si="789"/>
        <v>1Q04</v>
      </c>
      <c r="AD352" s="963" t="str">
        <f t="shared" si="789"/>
        <v>2Q04</v>
      </c>
      <c r="AE352" s="963" t="str">
        <f t="shared" si="789"/>
        <v>3Q04</v>
      </c>
      <c r="AF352" s="963" t="str">
        <f t="shared" si="789"/>
        <v>4Q04</v>
      </c>
      <c r="AG352" s="649" t="str">
        <f t="shared" si="789"/>
        <v>2004</v>
      </c>
      <c r="AH352" s="963" t="str">
        <f t="shared" si="789"/>
        <v>1Q05</v>
      </c>
      <c r="AI352" s="963" t="str">
        <f t="shared" si="789"/>
        <v>2Q05</v>
      </c>
      <c r="AJ352" s="963" t="str">
        <f t="shared" si="789"/>
        <v>3Q05</v>
      </c>
      <c r="AK352" s="963" t="str">
        <f t="shared" si="789"/>
        <v>4Q05</v>
      </c>
      <c r="AL352" s="649" t="str">
        <f t="shared" si="789"/>
        <v>2005</v>
      </c>
      <c r="AM352" s="963" t="str">
        <f t="shared" si="789"/>
        <v>1Q06</v>
      </c>
      <c r="AN352" s="963" t="str">
        <f t="shared" si="789"/>
        <v>2Q06</v>
      </c>
      <c r="AO352" s="963" t="str">
        <f t="shared" ref="AO352:BT352" si="790">AO$5</f>
        <v>3Q06</v>
      </c>
      <c r="AP352" s="963" t="str">
        <f t="shared" si="790"/>
        <v>4Q06</v>
      </c>
      <c r="AQ352" s="649" t="str">
        <f t="shared" si="790"/>
        <v>2006</v>
      </c>
      <c r="AR352" s="963" t="str">
        <f t="shared" si="790"/>
        <v>1Q07</v>
      </c>
      <c r="AS352" s="963" t="str">
        <f t="shared" si="790"/>
        <v>2Q07</v>
      </c>
      <c r="AT352" s="963" t="str">
        <f t="shared" si="790"/>
        <v>3Q07</v>
      </c>
      <c r="AU352" s="963" t="str">
        <f t="shared" si="790"/>
        <v>4Q07</v>
      </c>
      <c r="AV352" s="649" t="str">
        <f t="shared" si="790"/>
        <v>2007</v>
      </c>
      <c r="AW352" s="963" t="str">
        <f t="shared" si="790"/>
        <v>1Q08</v>
      </c>
      <c r="AX352" s="963" t="str">
        <f t="shared" si="790"/>
        <v>2Q08</v>
      </c>
      <c r="AY352" s="963" t="str">
        <f t="shared" si="790"/>
        <v>3Q08</v>
      </c>
      <c r="AZ352" s="963" t="str">
        <f t="shared" si="790"/>
        <v>4Q08</v>
      </c>
      <c r="BA352" s="649" t="str">
        <f t="shared" si="790"/>
        <v>2008</v>
      </c>
      <c r="BB352" s="963" t="str">
        <f t="shared" si="790"/>
        <v>1Q09</v>
      </c>
      <c r="BC352" s="963" t="str">
        <f t="shared" si="790"/>
        <v>2Q09</v>
      </c>
      <c r="BD352" s="963" t="str">
        <f t="shared" si="790"/>
        <v>3Q09</v>
      </c>
      <c r="BE352" s="963" t="str">
        <f t="shared" si="790"/>
        <v>4Q09</v>
      </c>
      <c r="BF352" s="649" t="str">
        <f t="shared" si="790"/>
        <v>2009</v>
      </c>
      <c r="BG352" s="963" t="str">
        <f t="shared" si="790"/>
        <v>1Q10</v>
      </c>
      <c r="BH352" s="963" t="str">
        <f t="shared" si="790"/>
        <v>2Q10</v>
      </c>
      <c r="BI352" s="963" t="str">
        <f t="shared" si="790"/>
        <v>3Q10</v>
      </c>
      <c r="BJ352" s="963" t="str">
        <f t="shared" si="790"/>
        <v>4Q10</v>
      </c>
      <c r="BK352" s="649" t="str">
        <f t="shared" si="790"/>
        <v>2010</v>
      </c>
      <c r="BL352" s="963" t="str">
        <f t="shared" si="790"/>
        <v>1Q11</v>
      </c>
      <c r="BM352" s="963" t="str">
        <f t="shared" si="790"/>
        <v>2Q11</v>
      </c>
      <c r="BN352" s="963" t="str">
        <f t="shared" si="790"/>
        <v>3Q11</v>
      </c>
      <c r="BO352" s="963" t="str">
        <f t="shared" si="790"/>
        <v>4Q11</v>
      </c>
      <c r="BP352" s="649">
        <f t="shared" si="790"/>
        <v>2011</v>
      </c>
      <c r="BQ352" s="963" t="str">
        <f t="shared" si="790"/>
        <v>1Q12</v>
      </c>
      <c r="BR352" s="963" t="str">
        <f t="shared" si="790"/>
        <v>2Q12</v>
      </c>
      <c r="BS352" s="963" t="str">
        <f t="shared" si="790"/>
        <v>3Q12</v>
      </c>
      <c r="BT352" s="963" t="str">
        <f t="shared" si="790"/>
        <v>4Q12</v>
      </c>
      <c r="BU352" s="649">
        <f t="shared" ref="BU352:DA352" si="791">BU$5</f>
        <v>2012</v>
      </c>
      <c r="BV352" s="963" t="str">
        <f t="shared" si="791"/>
        <v>1Q13</v>
      </c>
      <c r="BW352" s="963" t="str">
        <f t="shared" si="791"/>
        <v>2Q13</v>
      </c>
      <c r="BX352" s="963" t="str">
        <f t="shared" si="791"/>
        <v>3Q13</v>
      </c>
      <c r="BY352" s="963" t="str">
        <f t="shared" si="791"/>
        <v>4Q13</v>
      </c>
      <c r="BZ352" s="649">
        <f t="shared" si="791"/>
        <v>2013</v>
      </c>
      <c r="CA352" s="963" t="str">
        <f t="shared" si="791"/>
        <v>1Q14</v>
      </c>
      <c r="CB352" s="963" t="str">
        <f t="shared" si="791"/>
        <v>2Q14</v>
      </c>
      <c r="CC352" s="963" t="str">
        <f t="shared" si="791"/>
        <v>3Q14</v>
      </c>
      <c r="CD352" s="964" t="str">
        <f t="shared" si="791"/>
        <v>4Q14</v>
      </c>
      <c r="CE352" s="649">
        <f t="shared" si="791"/>
        <v>2014</v>
      </c>
      <c r="CF352" s="963" t="str">
        <f t="shared" si="791"/>
        <v>1Q15</v>
      </c>
      <c r="CG352" s="963" t="str">
        <f t="shared" si="791"/>
        <v>2Q15</v>
      </c>
      <c r="CH352" s="963" t="str">
        <f t="shared" si="791"/>
        <v>3Q15</v>
      </c>
      <c r="CI352" s="964" t="str">
        <f t="shared" si="791"/>
        <v>4Q15</v>
      </c>
      <c r="CJ352" s="649">
        <f t="shared" si="791"/>
        <v>2015</v>
      </c>
      <c r="CK352" s="963" t="str">
        <f t="shared" si="791"/>
        <v>1Q16</v>
      </c>
      <c r="CL352" s="963" t="str">
        <f t="shared" si="791"/>
        <v>2Q16</v>
      </c>
      <c r="CM352" s="963" t="str">
        <f t="shared" si="791"/>
        <v>3Q16</v>
      </c>
      <c r="CN352" s="964" t="str">
        <f t="shared" si="791"/>
        <v>4Q16</v>
      </c>
      <c r="CO352" s="649">
        <f t="shared" si="791"/>
        <v>2016</v>
      </c>
      <c r="CP352" s="963" t="str">
        <f t="shared" si="791"/>
        <v>1Q17</v>
      </c>
      <c r="CQ352" s="963" t="str">
        <f t="shared" si="791"/>
        <v>2Q17</v>
      </c>
      <c r="CR352" s="963" t="str">
        <f t="shared" si="791"/>
        <v>3Q17</v>
      </c>
      <c r="CS352" s="963" t="str">
        <f t="shared" si="791"/>
        <v>4Q17A</v>
      </c>
      <c r="CT352" s="649" t="str">
        <f t="shared" si="791"/>
        <v>2017A</v>
      </c>
      <c r="CU352" s="963" t="str">
        <f t="shared" si="791"/>
        <v>1Q18E</v>
      </c>
      <c r="CV352" s="963" t="str">
        <f t="shared" si="791"/>
        <v>2Q18E</v>
      </c>
      <c r="CW352" s="963" t="str">
        <f t="shared" si="791"/>
        <v>3Q18E</v>
      </c>
      <c r="CX352" s="963" t="str">
        <f t="shared" si="791"/>
        <v>4Q18E</v>
      </c>
      <c r="CY352" s="649" t="str">
        <f t="shared" si="791"/>
        <v>2018E</v>
      </c>
      <c r="CZ352" s="649" t="str">
        <f t="shared" si="791"/>
        <v>2019E</v>
      </c>
      <c r="DA352" s="649" t="str">
        <f t="shared" si="791"/>
        <v>2020E</v>
      </c>
      <c r="DB352"/>
      <c r="DC352"/>
      <c r="DD352" s="873" t="s">
        <v>1482</v>
      </c>
      <c r="DE352" s="649">
        <f>M352</f>
        <v>2000</v>
      </c>
      <c r="DF352" s="649">
        <f>R352</f>
        <v>2001</v>
      </c>
      <c r="DG352" s="649">
        <f>W352</f>
        <v>2002</v>
      </c>
      <c r="DH352" s="649">
        <f>AB352</f>
        <v>2003</v>
      </c>
      <c r="DI352" s="649" t="str">
        <f>AG352</f>
        <v>2004</v>
      </c>
      <c r="DJ352" s="649" t="str">
        <f>AL352</f>
        <v>2005</v>
      </c>
      <c r="DK352" s="649" t="str">
        <f>AQ352</f>
        <v>2006</v>
      </c>
      <c r="DL352" s="649" t="str">
        <f>AV352</f>
        <v>2007</v>
      </c>
      <c r="DM352" s="649" t="str">
        <f>BA352</f>
        <v>2008</v>
      </c>
      <c r="DN352" s="649" t="str">
        <f>BF352</f>
        <v>2009</v>
      </c>
      <c r="DO352" s="649" t="str">
        <f>BK352</f>
        <v>2010</v>
      </c>
      <c r="DP352" s="649">
        <f>BP352</f>
        <v>2011</v>
      </c>
      <c r="DQ352" s="649">
        <f>BU352</f>
        <v>2012</v>
      </c>
      <c r="DR352" s="649">
        <f>BZ352</f>
        <v>2013</v>
      </c>
      <c r="DS352" s="649">
        <f>CE352</f>
        <v>2014</v>
      </c>
      <c r="DT352" s="649">
        <f>CJ352</f>
        <v>2015</v>
      </c>
      <c r="DU352" s="649">
        <f>CO352</f>
        <v>2016</v>
      </c>
      <c r="DV352" s="649" t="str">
        <f>CT352</f>
        <v>2017A</v>
      </c>
      <c r="DW352" s="649" t="str">
        <f>CY352</f>
        <v>2018E</v>
      </c>
      <c r="DX352" s="649" t="str">
        <f>CZ352</f>
        <v>2019E</v>
      </c>
      <c r="DY352" s="649" t="str">
        <f>DA352</f>
        <v>2020E</v>
      </c>
      <c r="EA352"/>
      <c r="EB352"/>
      <c r="EC352"/>
      <c r="ED352"/>
      <c r="EE352"/>
      <c r="EF352"/>
      <c r="EJ352"/>
      <c r="EK352"/>
      <c r="EL352"/>
      <c r="ER352" s="212"/>
    </row>
    <row r="353" spans="1:148" s="923" customFormat="1" ht="12.75" customHeight="1" x14ac:dyDescent="0.2">
      <c r="A353" s="1560"/>
      <c r="B353" s="215"/>
      <c r="C353" s="215"/>
      <c r="D353" s="215"/>
      <c r="E353" s="215"/>
      <c r="F353" s="215"/>
      <c r="G353" s="215"/>
      <c r="H353" s="215"/>
      <c r="I353" s="215"/>
      <c r="J353" s="215"/>
      <c r="K353" s="215"/>
      <c r="L353" s="215"/>
      <c r="M353" s="1225"/>
      <c r="N353" s="215"/>
      <c r="O353" s="215"/>
      <c r="P353" s="215"/>
      <c r="Q353" s="215"/>
      <c r="R353" s="1225"/>
      <c r="S353" s="215"/>
      <c r="T353" s="215"/>
      <c r="U353" s="215"/>
      <c r="V353" s="215"/>
      <c r="W353" s="1225"/>
      <c r="X353" s="215"/>
      <c r="Y353" s="215"/>
      <c r="Z353" s="215"/>
      <c r="AA353" s="215"/>
      <c r="AB353" s="1225"/>
      <c r="AC353" s="215"/>
      <c r="AD353" s="215"/>
      <c r="AE353" s="215"/>
      <c r="AF353" s="215"/>
      <c r="AG353" s="1225"/>
      <c r="AH353" s="215"/>
      <c r="AI353" s="215"/>
      <c r="AJ353" s="215"/>
      <c r="AK353" s="215"/>
      <c r="AL353" s="1225"/>
      <c r="AM353" s="215"/>
      <c r="AN353" s="215"/>
      <c r="AO353" s="215"/>
      <c r="AP353" s="215"/>
      <c r="AQ353" s="1225"/>
      <c r="AR353" s="215"/>
      <c r="AS353" s="215"/>
      <c r="AT353" s="215"/>
      <c r="AU353" s="215"/>
      <c r="AV353" s="1225"/>
      <c r="AW353" s="215"/>
      <c r="AX353" s="215"/>
      <c r="AY353" s="215"/>
      <c r="AZ353" s="215"/>
      <c r="BA353" s="1225"/>
      <c r="BB353" s="215"/>
      <c r="BC353" s="215"/>
      <c r="BD353" s="215"/>
      <c r="BE353" s="215"/>
      <c r="BF353" s="1225"/>
      <c r="BG353" s="215"/>
      <c r="BH353" s="215"/>
      <c r="BI353" s="215"/>
      <c r="BJ353" s="215"/>
      <c r="BK353" s="1225"/>
      <c r="BL353" s="215"/>
      <c r="BM353" s="215"/>
      <c r="BN353" s="215"/>
      <c r="BO353" s="215"/>
      <c r="BP353" s="1225"/>
      <c r="BQ353" s="215"/>
      <c r="BR353" s="215"/>
      <c r="BS353" s="215"/>
      <c r="BT353" s="215"/>
      <c r="BU353" s="1225"/>
      <c r="BV353" s="215"/>
      <c r="BW353" s="215"/>
      <c r="BX353" s="215"/>
      <c r="BY353" s="215"/>
      <c r="BZ353" s="1225"/>
      <c r="CA353" s="215"/>
      <c r="CB353" s="1832"/>
      <c r="CC353" s="1832"/>
      <c r="CD353" s="1803"/>
      <c r="CE353" s="1225"/>
      <c r="CF353" s="1832"/>
      <c r="CG353" s="1832"/>
      <c r="CH353" s="1832"/>
      <c r="CI353" s="1803"/>
      <c r="CJ353" s="1225"/>
      <c r="CK353" s="1832"/>
      <c r="CL353" s="1832"/>
      <c r="CM353" s="1832"/>
      <c r="CN353" s="1803"/>
      <c r="CO353" s="1225"/>
      <c r="CP353" s="1832"/>
      <c r="CQ353" s="1832"/>
      <c r="CR353" s="1832"/>
      <c r="CS353" s="1832"/>
      <c r="CT353" s="1225"/>
      <c r="CU353" s="1832"/>
      <c r="CV353" s="1832"/>
      <c r="CW353" s="1832"/>
      <c r="CX353" s="1832"/>
      <c r="CY353" s="1225"/>
      <c r="CZ353" s="1225"/>
      <c r="DA353" s="1225"/>
      <c r="DB353"/>
      <c r="DC353"/>
      <c r="DD353" s="1560"/>
      <c r="DE353" s="2334"/>
      <c r="DF353" s="2334"/>
      <c r="DG353" s="2334"/>
      <c r="DH353" s="2334"/>
      <c r="DI353" s="2334"/>
      <c r="DJ353" s="2334"/>
      <c r="DK353" s="2334"/>
      <c r="DL353" s="2334"/>
      <c r="DM353" s="2334"/>
      <c r="DN353" s="2334"/>
      <c r="DO353" s="2334"/>
      <c r="DP353" s="2334"/>
      <c r="DQ353" s="2334"/>
      <c r="DR353" s="2334"/>
      <c r="DS353" s="2334"/>
      <c r="DT353" s="2334"/>
      <c r="DU353" s="2334"/>
      <c r="DV353" s="2334"/>
      <c r="DW353" s="2334"/>
      <c r="DX353" s="2334"/>
      <c r="DY353" s="2334"/>
      <c r="EA353"/>
      <c r="EB353"/>
      <c r="EC353"/>
      <c r="ED353"/>
      <c r="EE353"/>
      <c r="EF353"/>
      <c r="EJ353"/>
      <c r="EK353"/>
      <c r="EL353"/>
      <c r="ER353" s="212"/>
    </row>
    <row r="354" spans="1:148" s="923" customFormat="1" ht="12.75" customHeight="1" x14ac:dyDescent="0.2">
      <c r="A354" s="504" t="s">
        <v>965</v>
      </c>
      <c r="B354" s="215"/>
      <c r="C354" s="215"/>
      <c r="D354" s="215"/>
      <c r="E354" s="215"/>
      <c r="F354" s="215"/>
      <c r="G354" s="215"/>
      <c r="H354" s="215"/>
      <c r="I354" s="215"/>
      <c r="J354" s="215"/>
      <c r="K354" s="215"/>
      <c r="L354" s="215"/>
      <c r="M354" s="968"/>
      <c r="N354" s="215">
        <f>+Rooms!I383</f>
        <v>1228</v>
      </c>
      <c r="O354" s="215">
        <f>+Rooms!J383</f>
        <v>1287</v>
      </c>
      <c r="P354" s="215">
        <f>+Rooms!K383</f>
        <v>1386</v>
      </c>
      <c r="Q354" s="215">
        <f>+Rooms!L383</f>
        <v>1482</v>
      </c>
      <c r="R354" s="968">
        <f>+Q354</f>
        <v>1482</v>
      </c>
      <c r="S354" s="215">
        <f>+Rooms!N383</f>
        <v>1508</v>
      </c>
      <c r="T354" s="215">
        <f>+Rooms!O383</f>
        <v>1535</v>
      </c>
      <c r="U354" s="215">
        <f>+Rooms!P383</f>
        <v>1572</v>
      </c>
      <c r="V354" s="215">
        <f>+Rooms!Q383</f>
        <v>1612</v>
      </c>
      <c r="W354" s="968">
        <f>V354</f>
        <v>1612</v>
      </c>
      <c r="X354" s="215">
        <f>+Rooms!S383</f>
        <v>1641</v>
      </c>
      <c r="Y354" s="215">
        <f>+Rooms!T383</f>
        <v>1694</v>
      </c>
      <c r="Z354" s="215">
        <f>+Rooms!U383</f>
        <v>1733</v>
      </c>
      <c r="AA354" s="215">
        <f>+Rooms!V383</f>
        <v>1765</v>
      </c>
      <c r="AB354" s="968">
        <f>AA354</f>
        <v>1765</v>
      </c>
      <c r="AC354" s="215">
        <f>+Rooms!X383</f>
        <v>1797</v>
      </c>
      <c r="AD354" s="215">
        <f>+Rooms!Y383</f>
        <v>1823</v>
      </c>
      <c r="AE354" s="215">
        <f>+Rooms!Z383</f>
        <v>1833</v>
      </c>
      <c r="AF354" s="215">
        <f>+Rooms!AA383</f>
        <v>1658</v>
      </c>
      <c r="AG354" s="968">
        <f>+AF354</f>
        <v>1658</v>
      </c>
      <c r="AH354" s="215">
        <f>+Rooms!AC383</f>
        <v>1671</v>
      </c>
      <c r="AI354" s="215">
        <f>+Rooms!AD383</f>
        <v>1647</v>
      </c>
      <c r="AJ354" s="215">
        <f>+Rooms!AE383</f>
        <v>1677</v>
      </c>
      <c r="AK354" s="215">
        <f>+Rooms!AF383</f>
        <v>1707</v>
      </c>
      <c r="AL354" s="968">
        <f>+AK354</f>
        <v>1707</v>
      </c>
      <c r="AM354" s="215">
        <f>+Rooms!AH383</f>
        <v>1731</v>
      </c>
      <c r="AN354" s="215">
        <f>+Rooms!AI383</f>
        <v>1745</v>
      </c>
      <c r="AO354" s="215">
        <f>+Rooms!AJ383</f>
        <v>1767</v>
      </c>
      <c r="AP354" s="215">
        <f>+Rooms!AK383</f>
        <v>1784</v>
      </c>
      <c r="AQ354" s="968">
        <f>+AP354</f>
        <v>1784</v>
      </c>
      <c r="AR354" s="215">
        <f>+Rooms!AM383</f>
        <v>1802</v>
      </c>
      <c r="AS354" s="215">
        <f>+Rooms!AN383</f>
        <v>1829</v>
      </c>
      <c r="AT354" s="215">
        <f>+Rooms!AO383</f>
        <v>1868</v>
      </c>
      <c r="AU354" s="215">
        <f>+Rooms!AP383</f>
        <v>1922</v>
      </c>
      <c r="AV354" s="968">
        <f>+AU354</f>
        <v>1922</v>
      </c>
      <c r="AW354" s="215">
        <f>+Rooms!AR383</f>
        <v>1942</v>
      </c>
      <c r="AX354" s="215">
        <f>+Rooms!AS383</f>
        <v>1987</v>
      </c>
      <c r="AY354" s="215">
        <f>+Rooms!AT383</f>
        <v>2017</v>
      </c>
      <c r="AZ354" s="215">
        <f>+Rooms!AU383</f>
        <v>2079</v>
      </c>
      <c r="BA354" s="968">
        <f>+AZ354</f>
        <v>2079</v>
      </c>
      <c r="BB354" s="215">
        <f>+Rooms!AW383</f>
        <v>2118</v>
      </c>
      <c r="BC354" s="215">
        <f>+Rooms!AX383</f>
        <v>2166</v>
      </c>
      <c r="BD354" s="215">
        <f>+Rooms!AY383</f>
        <v>2236</v>
      </c>
      <c r="BE354" s="215">
        <f>+Rooms!AZ383</f>
        <v>2279</v>
      </c>
      <c r="BF354" s="968">
        <f>+BE354</f>
        <v>2279</v>
      </c>
      <c r="BG354" s="215">
        <f>+Rooms!BB383</f>
        <v>2317</v>
      </c>
      <c r="BH354" s="215">
        <f>+Rooms!BC383</f>
        <v>2348</v>
      </c>
      <c r="BI354" s="215">
        <f>+Rooms!BD383</f>
        <v>2372</v>
      </c>
      <c r="BJ354" s="215">
        <f>+Rooms!BE383</f>
        <v>2391</v>
      </c>
      <c r="BK354" s="968">
        <f>+BJ354</f>
        <v>2391</v>
      </c>
      <c r="BL354" s="215">
        <f>+Rooms!BG383</f>
        <v>2398</v>
      </c>
      <c r="BM354" s="215">
        <f>+Rooms!BH383</f>
        <v>2417</v>
      </c>
      <c r="BN354" s="215">
        <f>+Rooms!BI383</f>
        <v>2441</v>
      </c>
      <c r="BO354" s="215">
        <f>+Rooms!BJ383</f>
        <v>2467</v>
      </c>
      <c r="BP354" s="968">
        <f>+BO354</f>
        <v>2467</v>
      </c>
      <c r="BQ354" s="215">
        <f>+Rooms!BL383</f>
        <v>2483</v>
      </c>
      <c r="BR354" s="215">
        <f>+Rooms!BM383</f>
        <v>2507</v>
      </c>
      <c r="BS354" s="215">
        <f>+Rooms!BN383</f>
        <v>2531</v>
      </c>
      <c r="BT354" s="215">
        <f>+BT358/BT361</f>
        <v>2557.8552740101964</v>
      </c>
      <c r="BU354" s="968">
        <f>+BT354</f>
        <v>2557.8552740101964</v>
      </c>
      <c r="BV354" s="215">
        <f>+BV358/BV361</f>
        <v>2568.5008086316657</v>
      </c>
      <c r="BW354" s="215">
        <f>+BW358/BW361</f>
        <v>2609.4411724131855</v>
      </c>
      <c r="BX354" s="215">
        <f>+BX358/BX361</f>
        <v>2645.159058288988</v>
      </c>
      <c r="BY354" s="215">
        <f>+BY358/BY361</f>
        <v>2677.3259563426955</v>
      </c>
      <c r="BZ354" s="968">
        <f>+BY354</f>
        <v>2677.3259563426955</v>
      </c>
      <c r="CA354" s="215">
        <f>+CA358/CA361</f>
        <v>2704.5378149040648</v>
      </c>
      <c r="CB354" s="215">
        <f>+CB358/CB361</f>
        <v>2766.0560788261778</v>
      </c>
      <c r="CC354" s="215">
        <f>+CC358/CC361</f>
        <v>2817.4191118846838</v>
      </c>
      <c r="CD354" s="1788">
        <f>+CD358/CD361</f>
        <v>2887.0273878115286</v>
      </c>
      <c r="CE354" s="968">
        <f>+CD354</f>
        <v>2887.0273878115286</v>
      </c>
      <c r="CF354" s="215">
        <f>+CF358/CF361</f>
        <v>2948.1593518032046</v>
      </c>
      <c r="CG354" s="215">
        <f>+CG358/CG361</f>
        <v>3019.8997061922692</v>
      </c>
      <c r="CH354" s="215">
        <f>+CH358/CH361</f>
        <v>3089.1588264127572</v>
      </c>
      <c r="CI354" s="1788">
        <f>+CI358/CI361</f>
        <v>3123.8812470832022</v>
      </c>
      <c r="CJ354" s="968">
        <f>+CI354</f>
        <v>3123.8812470832022</v>
      </c>
      <c r="CK354" s="215">
        <f>+CK358/CK361</f>
        <v>3181.1502117705068</v>
      </c>
      <c r="CL354" s="215">
        <f>+CL358/CL361</f>
        <v>3269.8729054091732</v>
      </c>
      <c r="CM354" s="215">
        <f>+CM358/CM361</f>
        <v>3329.1550870416404</v>
      </c>
      <c r="CN354" s="1788">
        <f>+CN358/CN361</f>
        <v>4564.3193992351016</v>
      </c>
      <c r="CO354" s="968">
        <f>+CN354</f>
        <v>4564.3193992351016</v>
      </c>
      <c r="CP354" s="215">
        <f>+CP358/CP361</f>
        <v>4636.8546400194891</v>
      </c>
      <c r="CQ354" s="215">
        <f ca="1">+CQ358/CQ361</f>
        <v>4713.5277473664437</v>
      </c>
      <c r="CR354" s="215">
        <f ca="1">+CR358/CR361</f>
        <v>4826.6096231570973</v>
      </c>
      <c r="CS354" s="215">
        <f ca="1">+CS358/CS361</f>
        <v>4926.8915993296132</v>
      </c>
      <c r="CT354" s="968">
        <f ca="1">+CS354</f>
        <v>4926.8915993296132</v>
      </c>
      <c r="CU354" s="215">
        <f t="shared" ref="CU354:DA354" si="792">+CU358/CU361</f>
        <v>5014.4811712684805</v>
      </c>
      <c r="CV354" s="215">
        <f t="shared" ca="1" si="792"/>
        <v>5070.2851677580502</v>
      </c>
      <c r="CW354" s="215">
        <f t="shared" ca="1" si="792"/>
        <v>5185.1754472422863</v>
      </c>
      <c r="CX354" s="215">
        <f t="shared" ca="1" si="792"/>
        <v>5273.3133422170295</v>
      </c>
      <c r="CY354" s="968">
        <f ca="1">+CX354</f>
        <v>5273.3133422170295</v>
      </c>
      <c r="CZ354" s="968">
        <f t="shared" ca="1" si="792"/>
        <v>5645.014247969616</v>
      </c>
      <c r="DA354" s="968">
        <f t="shared" ca="1" si="792"/>
        <v>5844.4143821080479</v>
      </c>
      <c r="DB354"/>
      <c r="DC354"/>
      <c r="DD354" s="2285" t="s">
        <v>965</v>
      </c>
      <c r="DE354" s="2290">
        <f>M354</f>
        <v>0</v>
      </c>
      <c r="DF354" s="2290">
        <f>R354</f>
        <v>1482</v>
      </c>
      <c r="DG354" s="2290">
        <f>W354</f>
        <v>1612</v>
      </c>
      <c r="DH354" s="2290">
        <f>AB354</f>
        <v>1765</v>
      </c>
      <c r="DI354" s="2290">
        <f>AG354</f>
        <v>1658</v>
      </c>
      <c r="DJ354" s="2290">
        <f>AL354</f>
        <v>1707</v>
      </c>
      <c r="DK354" s="2290">
        <f>AQ354</f>
        <v>1784</v>
      </c>
      <c r="DL354" s="2290">
        <f>AV354</f>
        <v>1922</v>
      </c>
      <c r="DM354" s="2290">
        <f>BA354</f>
        <v>2079</v>
      </c>
      <c r="DN354" s="2290">
        <f>BF354</f>
        <v>2279</v>
      </c>
      <c r="DO354" s="2290">
        <f>BK354</f>
        <v>2391</v>
      </c>
      <c r="DP354" s="2290">
        <f>BP354</f>
        <v>2467</v>
      </c>
      <c r="DQ354" s="2290">
        <f>BU354</f>
        <v>2557.8552740101964</v>
      </c>
      <c r="DR354" s="2290">
        <f>BZ354</f>
        <v>2677.3259563426955</v>
      </c>
      <c r="DS354" s="2290">
        <f>CE354</f>
        <v>2887.0273878115286</v>
      </c>
      <c r="DT354" s="2290">
        <f>CJ354</f>
        <v>3123.8812470832022</v>
      </c>
      <c r="DU354" s="2290">
        <f>CO354</f>
        <v>4564.3193992351016</v>
      </c>
      <c r="DV354" s="2290">
        <f ca="1">CT354</f>
        <v>4926.8915993296132</v>
      </c>
      <c r="DW354" s="2290">
        <f t="shared" ref="DW354:DY356" ca="1" si="793">CY354</f>
        <v>5273.3133422170295</v>
      </c>
      <c r="DX354" s="2290">
        <f t="shared" ca="1" si="793"/>
        <v>5645.014247969616</v>
      </c>
      <c r="DY354" s="2290">
        <f t="shared" ca="1" si="793"/>
        <v>5844.4143821080479</v>
      </c>
      <c r="EA354"/>
      <c r="EB354"/>
      <c r="EC354"/>
      <c r="ED354"/>
      <c r="EE354"/>
      <c r="EF354"/>
      <c r="EJ354"/>
      <c r="EK354"/>
      <c r="EL354"/>
      <c r="ER354" s="212"/>
    </row>
    <row r="355" spans="1:148" s="923" customFormat="1" ht="12.75" customHeight="1" x14ac:dyDescent="0.2">
      <c r="A355" s="1571" t="s">
        <v>964</v>
      </c>
      <c r="B355" s="940"/>
      <c r="C355" s="940"/>
      <c r="D355" s="940"/>
      <c r="E355" s="940"/>
      <c r="F355" s="940"/>
      <c r="G355" s="940"/>
      <c r="H355" s="940"/>
      <c r="I355" s="940"/>
      <c r="J355" s="940"/>
      <c r="K355" s="940"/>
      <c r="L355" s="940"/>
      <c r="M355" s="1701"/>
      <c r="N355" s="940"/>
      <c r="O355" s="940"/>
      <c r="P355" s="940"/>
      <c r="Q355" s="940"/>
      <c r="R355" s="1701"/>
      <c r="S355" s="940">
        <f>+S354-R354</f>
        <v>26</v>
      </c>
      <c r="T355" s="940">
        <f>+T354-S354</f>
        <v>27</v>
      </c>
      <c r="U355" s="940">
        <f>+U354-T354</f>
        <v>37</v>
      </c>
      <c r="V355" s="940">
        <f>+V354-U354</f>
        <v>40</v>
      </c>
      <c r="W355" s="1701">
        <f>SUM(S355:V355)</f>
        <v>130</v>
      </c>
      <c r="X355" s="940">
        <f>+X354-W354</f>
        <v>29</v>
      </c>
      <c r="Y355" s="940">
        <f>+Y354-X354</f>
        <v>53</v>
      </c>
      <c r="Z355" s="940">
        <f>+Z354-Y354</f>
        <v>39</v>
      </c>
      <c r="AA355" s="940">
        <f>+AA354-Z354</f>
        <v>32</v>
      </c>
      <c r="AB355" s="1701">
        <f>SUM(X355:AA355)</f>
        <v>153</v>
      </c>
      <c r="AC355" s="940">
        <f>+AC354-AB354</f>
        <v>32</v>
      </c>
      <c r="AD355" s="940">
        <f>+AD354-AC354</f>
        <v>26</v>
      </c>
      <c r="AE355" s="940">
        <f>+AE354-AD354</f>
        <v>10</v>
      </c>
      <c r="AF355" s="940">
        <f>+AF354-AE354</f>
        <v>-175</v>
      </c>
      <c r="AG355" s="1701">
        <f>SUM(AC355:AF355)</f>
        <v>-107</v>
      </c>
      <c r="AH355" s="940">
        <f>+AH354-AG354</f>
        <v>13</v>
      </c>
      <c r="AI355" s="940">
        <f>+AI354-AH354</f>
        <v>-24</v>
      </c>
      <c r="AJ355" s="940">
        <f>+AJ354-AI354</f>
        <v>30</v>
      </c>
      <c r="AK355" s="940">
        <f>+AK354-AJ354</f>
        <v>30</v>
      </c>
      <c r="AL355" s="1701">
        <f>SUM(AH355:AK355)</f>
        <v>49</v>
      </c>
      <c r="AM355" s="940">
        <f>+AM354-AL354</f>
        <v>24</v>
      </c>
      <c r="AN355" s="940">
        <f>+AN354-AM354</f>
        <v>14</v>
      </c>
      <c r="AO355" s="940">
        <f>+AO354-AN354</f>
        <v>22</v>
      </c>
      <c r="AP355" s="940">
        <f>+AP354-AO354</f>
        <v>17</v>
      </c>
      <c r="AQ355" s="1701">
        <f>SUM(AM355:AP355)</f>
        <v>77</v>
      </c>
      <c r="AR355" s="940">
        <f>+AR354-AQ354</f>
        <v>18</v>
      </c>
      <c r="AS355" s="940">
        <f>+AS354-AR354</f>
        <v>27</v>
      </c>
      <c r="AT355" s="940">
        <f>+AT354-AS354</f>
        <v>39</v>
      </c>
      <c r="AU355" s="940">
        <f>+AU354-AT354</f>
        <v>54</v>
      </c>
      <c r="AV355" s="1701">
        <f>SUM(AR355:AU355)</f>
        <v>138</v>
      </c>
      <c r="AW355" s="940">
        <f>+AW354-AV354</f>
        <v>20</v>
      </c>
      <c r="AX355" s="940">
        <f>+AX354-AW354</f>
        <v>45</v>
      </c>
      <c r="AY355" s="940">
        <f>+AY354-AX354</f>
        <v>30</v>
      </c>
      <c r="AZ355" s="940">
        <f>+AZ354-AY354</f>
        <v>62</v>
      </c>
      <c r="BA355" s="1701">
        <f>SUM(AW355:AZ355)</f>
        <v>157</v>
      </c>
      <c r="BB355" s="940">
        <f>+BB354-BA354</f>
        <v>39</v>
      </c>
      <c r="BC355" s="940">
        <f>+BC354-BB354</f>
        <v>48</v>
      </c>
      <c r="BD355" s="940">
        <f>+BD354-BC354</f>
        <v>70</v>
      </c>
      <c r="BE355" s="940">
        <f>+BE354-BD354</f>
        <v>43</v>
      </c>
      <c r="BF355" s="1701">
        <f>SUM(BB355:BE355)</f>
        <v>200</v>
      </c>
      <c r="BG355" s="940">
        <f>+BG354-BE354</f>
        <v>38</v>
      </c>
      <c r="BH355" s="940">
        <f>+BH354-BG354</f>
        <v>31</v>
      </c>
      <c r="BI355" s="940">
        <f>+BI354-BH354</f>
        <v>24</v>
      </c>
      <c r="BJ355" s="940">
        <f>+BJ354-BI354</f>
        <v>19</v>
      </c>
      <c r="BK355" s="1701">
        <f>SUM(BG355:BJ355)</f>
        <v>112</v>
      </c>
      <c r="BL355" s="940">
        <f>+BL354-BK354</f>
        <v>7</v>
      </c>
      <c r="BM355" s="940">
        <f>+BM354-BL354</f>
        <v>19</v>
      </c>
      <c r="BN355" s="940">
        <f>+BN354-BM354</f>
        <v>24</v>
      </c>
      <c r="BO355" s="940">
        <f>+BO354-BN354</f>
        <v>26</v>
      </c>
      <c r="BP355" s="1701">
        <f>SUM(BL355:BO355)</f>
        <v>76</v>
      </c>
      <c r="BQ355" s="940">
        <f>+BQ354-BP354</f>
        <v>16</v>
      </c>
      <c r="BR355" s="940">
        <f>+BR354-BQ354</f>
        <v>24</v>
      </c>
      <c r="BS355" s="940">
        <f>+BS354-BR354</f>
        <v>24</v>
      </c>
      <c r="BT355" s="940">
        <f>+BT354-BS354</f>
        <v>26.855274010196354</v>
      </c>
      <c r="BU355" s="1701">
        <f>SUM(BQ355:BT355)</f>
        <v>90.855274010196354</v>
      </c>
      <c r="BV355" s="940">
        <f>+BV354-BU354</f>
        <v>10.645534621469324</v>
      </c>
      <c r="BW355" s="940">
        <f>+BW354-BV354</f>
        <v>40.940363781519864</v>
      </c>
      <c r="BX355" s="940">
        <f>+BX354-BW354</f>
        <v>35.717885875802494</v>
      </c>
      <c r="BY355" s="940">
        <f>+BY354-BX354</f>
        <v>32.166898053707428</v>
      </c>
      <c r="BZ355" s="1701">
        <f>SUM(BV355:BY355)</f>
        <v>119.47068233249911</v>
      </c>
      <c r="CA355" s="940">
        <f>+CA354-BZ354</f>
        <v>27.211858561369354</v>
      </c>
      <c r="CB355" s="940">
        <f>+CB354-CA354</f>
        <v>61.518263922112965</v>
      </c>
      <c r="CC355" s="940">
        <f>+CC354-CB354</f>
        <v>51.363033058506062</v>
      </c>
      <c r="CD355" s="1799">
        <f>+CD354-CC354</f>
        <v>69.608275926844726</v>
      </c>
      <c r="CE355" s="1701">
        <f>SUM(CA355:CD355)</f>
        <v>209.70143146883311</v>
      </c>
      <c r="CF355" s="940">
        <f>+CF354-CE354</f>
        <v>61.131963991676002</v>
      </c>
      <c r="CG355" s="940">
        <f>+CG354-CF354</f>
        <v>71.740354389064578</v>
      </c>
      <c r="CH355" s="940">
        <f>+CH354-CG354</f>
        <v>69.259120220488057</v>
      </c>
      <c r="CI355" s="1799">
        <f>+CI354-CH354</f>
        <v>34.72242067044499</v>
      </c>
      <c r="CJ355" s="1701">
        <f>SUM(CF355:CI355)</f>
        <v>236.85385927167363</v>
      </c>
      <c r="CK355" s="940">
        <f>+CK354-CJ354</f>
        <v>57.26896468730456</v>
      </c>
      <c r="CL355" s="940">
        <f>+CL354-CK354</f>
        <v>88.722693638666442</v>
      </c>
      <c r="CM355" s="940">
        <f>+CM354-CL354</f>
        <v>59.2821816324672</v>
      </c>
      <c r="CN355" s="1799">
        <f>+CN354-CM354</f>
        <v>1235.1643121934612</v>
      </c>
      <c r="CO355" s="1701">
        <f>SUM(CK355:CN355)</f>
        <v>1440.4381521518994</v>
      </c>
      <c r="CP355" s="940">
        <f>+CP354-CO354</f>
        <v>72.535240784387497</v>
      </c>
      <c r="CQ355" s="940">
        <f ca="1">+CQ354-CP354</f>
        <v>76.673107346954566</v>
      </c>
      <c r="CR355" s="940">
        <f ca="1">+CR354-CQ354</f>
        <v>113.08187579065361</v>
      </c>
      <c r="CS355" s="940">
        <f ca="1">+CS354-CR354</f>
        <v>100.2819761725159</v>
      </c>
      <c r="CT355" s="1701">
        <f ca="1">SUM(CP355:CS355)</f>
        <v>362.57220009451157</v>
      </c>
      <c r="CU355" s="940">
        <f ca="1">+CU354-CT354</f>
        <v>87.589571938867266</v>
      </c>
      <c r="CV355" s="940">
        <f ca="1">+CV354-CU354</f>
        <v>55.803996489569727</v>
      </c>
      <c r="CW355" s="940">
        <f ca="1">+CW354-CV354</f>
        <v>114.89027948423609</v>
      </c>
      <c r="CX355" s="940">
        <f ca="1">+CX354-CW354</f>
        <v>88.137894974743176</v>
      </c>
      <c r="CY355" s="1701">
        <f ca="1">SUM(CU355:CX355)</f>
        <v>346.42174288741626</v>
      </c>
      <c r="CZ355" s="1701">
        <f ca="1">+CZ354-CY354</f>
        <v>371.70090575258655</v>
      </c>
      <c r="DA355" s="1701">
        <f ca="1">+DA354-CZ354</f>
        <v>199.40013413843189</v>
      </c>
      <c r="DB355"/>
      <c r="DC355"/>
      <c r="DD355" s="1571" t="s">
        <v>964</v>
      </c>
      <c r="DE355" s="1701">
        <f>M355</f>
        <v>0</v>
      </c>
      <c r="DF355" s="1701">
        <f>R355</f>
        <v>0</v>
      </c>
      <c r="DG355" s="1701">
        <f>W355</f>
        <v>130</v>
      </c>
      <c r="DH355" s="1701">
        <f>AB355</f>
        <v>153</v>
      </c>
      <c r="DI355" s="1701">
        <f>AG355</f>
        <v>-107</v>
      </c>
      <c r="DJ355" s="1701">
        <f>AL355</f>
        <v>49</v>
      </c>
      <c r="DK355" s="1701">
        <f>AQ355</f>
        <v>77</v>
      </c>
      <c r="DL355" s="1701">
        <f>AV355</f>
        <v>138</v>
      </c>
      <c r="DM355" s="1701">
        <f>BA355</f>
        <v>157</v>
      </c>
      <c r="DN355" s="1701">
        <f>BF355</f>
        <v>200</v>
      </c>
      <c r="DO355" s="1701">
        <f>BK355</f>
        <v>112</v>
      </c>
      <c r="DP355" s="1701">
        <f>BP355</f>
        <v>76</v>
      </c>
      <c r="DQ355" s="1701">
        <f>BU355</f>
        <v>90.855274010196354</v>
      </c>
      <c r="DR355" s="1701">
        <f>BZ355</f>
        <v>119.47068233249911</v>
      </c>
      <c r="DS355" s="1701">
        <f>CE355</f>
        <v>209.70143146883311</v>
      </c>
      <c r="DT355" s="1701">
        <f>CJ355</f>
        <v>236.85385927167363</v>
      </c>
      <c r="DU355" s="1701">
        <f>CO355</f>
        <v>1440.4381521518994</v>
      </c>
      <c r="DV355" s="1701">
        <f ca="1">CT355</f>
        <v>362.57220009451157</v>
      </c>
      <c r="DW355" s="1701">
        <f t="shared" ca="1" si="793"/>
        <v>346.42174288741626</v>
      </c>
      <c r="DX355" s="1701">
        <f t="shared" ca="1" si="793"/>
        <v>371.70090575258655</v>
      </c>
      <c r="DY355" s="1701">
        <f t="shared" ca="1" si="793"/>
        <v>199.40013413843189</v>
      </c>
      <c r="EA355"/>
      <c r="EB355"/>
      <c r="EC355"/>
      <c r="ED355"/>
      <c r="EE355"/>
      <c r="EF355"/>
      <c r="EJ355"/>
      <c r="EK355"/>
      <c r="EL355"/>
      <c r="ER355" s="212"/>
    </row>
    <row r="356" spans="1:148" s="923" customFormat="1" ht="12.75" customHeight="1" x14ac:dyDescent="0.2">
      <c r="A356" s="1675" t="s">
        <v>1016</v>
      </c>
      <c r="B356" s="1696"/>
      <c r="C356" s="1696"/>
      <c r="D356" s="1696"/>
      <c r="E356" s="1696"/>
      <c r="F356" s="1696"/>
      <c r="G356" s="1696"/>
      <c r="H356" s="1696"/>
      <c r="I356" s="1696"/>
      <c r="J356" s="1696"/>
      <c r="K356" s="1696"/>
      <c r="L356" s="1696"/>
      <c r="M356" s="1284"/>
      <c r="N356" s="1696"/>
      <c r="O356" s="1696"/>
      <c r="P356" s="1696"/>
      <c r="Q356" s="1696"/>
      <c r="R356" s="1284"/>
      <c r="S356" s="1696">
        <f t="shared" ref="S356:AX356" si="794">S354/N354-1</f>
        <v>0.22801302931596101</v>
      </c>
      <c r="T356" s="1696">
        <f t="shared" si="794"/>
        <v>0.19269619269619276</v>
      </c>
      <c r="U356" s="1696">
        <f t="shared" si="794"/>
        <v>0.13419913419913421</v>
      </c>
      <c r="V356" s="1696">
        <f t="shared" si="794"/>
        <v>8.7719298245614086E-2</v>
      </c>
      <c r="W356" s="1284">
        <f t="shared" si="794"/>
        <v>8.7719298245614086E-2</v>
      </c>
      <c r="X356" s="1696">
        <f t="shared" si="794"/>
        <v>8.8196286472148611E-2</v>
      </c>
      <c r="Y356" s="1696">
        <f t="shared" si="794"/>
        <v>0.10358306188925082</v>
      </c>
      <c r="Z356" s="1696">
        <f t="shared" si="794"/>
        <v>0.10241730279898209</v>
      </c>
      <c r="AA356" s="1696">
        <f t="shared" si="794"/>
        <v>9.4913151364764303E-2</v>
      </c>
      <c r="AB356" s="1284">
        <f t="shared" si="794"/>
        <v>9.4913151364764303E-2</v>
      </c>
      <c r="AC356" s="1696">
        <f t="shared" si="794"/>
        <v>9.5063985374771454E-2</v>
      </c>
      <c r="AD356" s="1696">
        <f t="shared" si="794"/>
        <v>7.6151121605666949E-2</v>
      </c>
      <c r="AE356" s="1696">
        <f t="shared" si="794"/>
        <v>5.7703404500865529E-2</v>
      </c>
      <c r="AF356" s="1696">
        <f t="shared" si="794"/>
        <v>-6.0623229461756356E-2</v>
      </c>
      <c r="AG356" s="1284">
        <f t="shared" si="794"/>
        <v>-6.0623229461756356E-2</v>
      </c>
      <c r="AH356" s="1696">
        <f t="shared" si="794"/>
        <v>-7.0116861435726263E-2</v>
      </c>
      <c r="AI356" s="1696">
        <f t="shared" si="794"/>
        <v>-9.654415798134941E-2</v>
      </c>
      <c r="AJ356" s="1696">
        <f t="shared" si="794"/>
        <v>-8.5106382978723416E-2</v>
      </c>
      <c r="AK356" s="1696">
        <f t="shared" si="794"/>
        <v>2.9553679131483657E-2</v>
      </c>
      <c r="AL356" s="1284">
        <f t="shared" si="794"/>
        <v>2.9553679131483657E-2</v>
      </c>
      <c r="AM356" s="1696">
        <f t="shared" si="794"/>
        <v>3.5906642728904758E-2</v>
      </c>
      <c r="AN356" s="1696">
        <f t="shared" si="794"/>
        <v>5.9502125075895584E-2</v>
      </c>
      <c r="AO356" s="1696">
        <f t="shared" si="794"/>
        <v>5.3667262969588458E-2</v>
      </c>
      <c r="AP356" s="1696">
        <f t="shared" si="794"/>
        <v>4.5108377270064448E-2</v>
      </c>
      <c r="AQ356" s="1284">
        <f t="shared" si="794"/>
        <v>4.5108377270064448E-2</v>
      </c>
      <c r="AR356" s="1696">
        <f t="shared" si="794"/>
        <v>4.1016753321779342E-2</v>
      </c>
      <c r="AS356" s="1696">
        <f t="shared" si="794"/>
        <v>4.8137535816618948E-2</v>
      </c>
      <c r="AT356" s="1696">
        <f t="shared" si="794"/>
        <v>5.7159026598754936E-2</v>
      </c>
      <c r="AU356" s="1696">
        <f t="shared" si="794"/>
        <v>7.7354260089686155E-2</v>
      </c>
      <c r="AV356" s="1284">
        <f t="shared" si="794"/>
        <v>7.7354260089686155E-2</v>
      </c>
      <c r="AW356" s="1696">
        <f t="shared" si="794"/>
        <v>7.7691453940066602E-2</v>
      </c>
      <c r="AX356" s="1696">
        <f t="shared" si="794"/>
        <v>8.6386003280481072E-2</v>
      </c>
      <c r="AY356" s="1696">
        <f t="shared" ref="AY356:BU356" si="795">AY354/AT354-1</f>
        <v>7.976445396145615E-2</v>
      </c>
      <c r="AZ356" s="1696">
        <f t="shared" si="795"/>
        <v>8.1685744016649409E-2</v>
      </c>
      <c r="BA356" s="1284">
        <f t="shared" si="795"/>
        <v>8.1685744016649409E-2</v>
      </c>
      <c r="BB356" s="1696">
        <f t="shared" si="795"/>
        <v>9.0628218331616939E-2</v>
      </c>
      <c r="BC356" s="1696">
        <f t="shared" si="795"/>
        <v>9.008555611474578E-2</v>
      </c>
      <c r="BD356" s="1696">
        <f t="shared" si="795"/>
        <v>0.10857709469509169</v>
      </c>
      <c r="BE356" s="1696">
        <f t="shared" si="795"/>
        <v>9.6200096200096175E-2</v>
      </c>
      <c r="BF356" s="1284">
        <f t="shared" si="795"/>
        <v>9.6200096200096175E-2</v>
      </c>
      <c r="BG356" s="1696">
        <f t="shared" si="795"/>
        <v>9.3956562795089793E-2</v>
      </c>
      <c r="BH356" s="1696">
        <f t="shared" si="795"/>
        <v>8.4025854108956688E-2</v>
      </c>
      <c r="BI356" s="1696">
        <f t="shared" si="795"/>
        <v>6.0822898032200312E-2</v>
      </c>
      <c r="BJ356" s="1696">
        <f t="shared" si="795"/>
        <v>4.9144361562088568E-2</v>
      </c>
      <c r="BK356" s="1284">
        <f t="shared" si="795"/>
        <v>4.9144361562088568E-2</v>
      </c>
      <c r="BL356" s="1696">
        <f t="shared" si="795"/>
        <v>3.4958998705222344E-2</v>
      </c>
      <c r="BM356" s="1696">
        <f t="shared" si="795"/>
        <v>2.9386712095400336E-2</v>
      </c>
      <c r="BN356" s="1696">
        <f t="shared" si="795"/>
        <v>2.9089376053963001E-2</v>
      </c>
      <c r="BO356" s="1696">
        <f t="shared" si="795"/>
        <v>3.178586365537428E-2</v>
      </c>
      <c r="BP356" s="1284">
        <f t="shared" si="795"/>
        <v>3.178586365537428E-2</v>
      </c>
      <c r="BQ356" s="1696">
        <f t="shared" si="795"/>
        <v>3.5446205170975853E-2</v>
      </c>
      <c r="BR356" s="1696">
        <f t="shared" si="795"/>
        <v>3.7236243276789427E-2</v>
      </c>
      <c r="BS356" s="1696">
        <f t="shared" si="795"/>
        <v>3.6870135190495645E-2</v>
      </c>
      <c r="BT356" s="1696">
        <f t="shared" si="795"/>
        <v>3.6828242403808886E-2</v>
      </c>
      <c r="BU356" s="1284">
        <f t="shared" si="795"/>
        <v>3.6828242403808886E-2</v>
      </c>
      <c r="BV356" s="1696">
        <f t="shared" ref="BV356:CF356" si="796">BV354/BQ354-1</f>
        <v>3.4434477902402616E-2</v>
      </c>
      <c r="BW356" s="1696">
        <f t="shared" si="796"/>
        <v>4.0862055210684201E-2</v>
      </c>
      <c r="BX356" s="1696">
        <f t="shared" si="796"/>
        <v>4.5104329628205431E-2</v>
      </c>
      <c r="BY356" s="1696">
        <f t="shared" si="796"/>
        <v>4.6707365950847235E-2</v>
      </c>
      <c r="BZ356" s="1284">
        <f t="shared" si="796"/>
        <v>4.6707365950847235E-2</v>
      </c>
      <c r="CA356" s="1696">
        <f t="shared" si="796"/>
        <v>5.2963583198119002E-2</v>
      </c>
      <c r="CB356" s="1696">
        <f t="shared" si="796"/>
        <v>6.0018561854819019E-2</v>
      </c>
      <c r="CC356" s="1696">
        <f t="shared" si="796"/>
        <v>6.5122758140344628E-2</v>
      </c>
      <c r="CD356" s="1797">
        <f t="shared" si="796"/>
        <v>7.8324953662082697E-2</v>
      </c>
      <c r="CE356" s="1284">
        <f t="shared" si="796"/>
        <v>7.8324953662082697E-2</v>
      </c>
      <c r="CF356" s="1696">
        <f t="shared" si="796"/>
        <v>9.0078805907833681E-2</v>
      </c>
      <c r="CG356" s="1696">
        <f t="shared" ref="CG356:CO356" si="797">CG354/CB354-1</f>
        <v>9.1770962023956626E-2</v>
      </c>
      <c r="CH356" s="1696">
        <f t="shared" si="797"/>
        <v>9.6449872644718493E-2</v>
      </c>
      <c r="CI356" s="1797">
        <f t="shared" si="797"/>
        <v>8.2040738605953178E-2</v>
      </c>
      <c r="CJ356" s="1284">
        <f t="shared" si="797"/>
        <v>8.2040738605953178E-2</v>
      </c>
      <c r="CK356" s="1696">
        <f t="shared" si="797"/>
        <v>7.902926272448485E-2</v>
      </c>
      <c r="CL356" s="1696">
        <f t="shared" si="797"/>
        <v>8.2775331480160474E-2</v>
      </c>
      <c r="CM356" s="1696">
        <f t="shared" si="797"/>
        <v>7.7689841835544504E-2</v>
      </c>
      <c r="CN356" s="1797">
        <f t="shared" si="797"/>
        <v>0.46110528481095447</v>
      </c>
      <c r="CO356" s="1284">
        <f t="shared" si="797"/>
        <v>0.46110528481095447</v>
      </c>
      <c r="CP356" s="1696">
        <f t="shared" ref="CP356:CY356" si="798">CP354/CK354-1</f>
        <v>0.45760317223083691</v>
      </c>
      <c r="CQ356" s="1696">
        <f t="shared" ca="1" si="798"/>
        <v>0.44150182093289025</v>
      </c>
      <c r="CR356" s="1696">
        <f t="shared" ca="1" si="798"/>
        <v>0.44980017360684976</v>
      </c>
      <c r="CS356" s="1696">
        <f t="shared" ca="1" si="798"/>
        <v>7.9436202504862496E-2</v>
      </c>
      <c r="CT356" s="1284">
        <f t="shared" ca="1" si="798"/>
        <v>7.9436202504862496E-2</v>
      </c>
      <c r="CU356" s="1696">
        <f t="shared" si="798"/>
        <v>8.1440234936371425E-2</v>
      </c>
      <c r="CV356" s="1696">
        <f t="shared" ca="1" si="798"/>
        <v>7.5687985626250898E-2</v>
      </c>
      <c r="CW356" s="1696">
        <f t="shared" ca="1" si="798"/>
        <v>7.4289377447237959E-2</v>
      </c>
      <c r="CX356" s="1696">
        <f t="shared" ca="1" si="798"/>
        <v>7.031243450425273E-2</v>
      </c>
      <c r="CY356" s="1284">
        <f t="shared" ca="1" si="798"/>
        <v>7.031243450425273E-2</v>
      </c>
      <c r="CZ356" s="1284">
        <f ca="1">CZ354/CY354-1</f>
        <v>7.0487164640270494E-2</v>
      </c>
      <c r="DA356" s="1284">
        <f ca="1">DA354/CZ354-1</f>
        <v>3.5323229557861824E-2</v>
      </c>
      <c r="DB356"/>
      <c r="DC356"/>
      <c r="DD356" s="1675" t="s">
        <v>1016</v>
      </c>
      <c r="DE356" s="1284">
        <f>M356</f>
        <v>0</v>
      </c>
      <c r="DF356" s="1284">
        <f>R356</f>
        <v>0</v>
      </c>
      <c r="DG356" s="1284">
        <f>W356</f>
        <v>8.7719298245614086E-2</v>
      </c>
      <c r="DH356" s="1284">
        <f>AB356</f>
        <v>9.4913151364764303E-2</v>
      </c>
      <c r="DI356" s="1284">
        <f>AG356</f>
        <v>-6.0623229461756356E-2</v>
      </c>
      <c r="DJ356" s="1284">
        <f>AL356</f>
        <v>2.9553679131483657E-2</v>
      </c>
      <c r="DK356" s="1284">
        <f>AQ356</f>
        <v>4.5108377270064448E-2</v>
      </c>
      <c r="DL356" s="1284">
        <f>AV356</f>
        <v>7.7354260089686155E-2</v>
      </c>
      <c r="DM356" s="1284">
        <f>BA356</f>
        <v>8.1685744016649409E-2</v>
      </c>
      <c r="DN356" s="1284">
        <f>BF356</f>
        <v>9.6200096200096175E-2</v>
      </c>
      <c r="DO356" s="1284">
        <f>BK356</f>
        <v>4.9144361562088568E-2</v>
      </c>
      <c r="DP356" s="1284">
        <f>BP356</f>
        <v>3.178586365537428E-2</v>
      </c>
      <c r="DQ356" s="1284">
        <f>BU356</f>
        <v>3.6828242403808886E-2</v>
      </c>
      <c r="DR356" s="1284">
        <f>BZ356</f>
        <v>4.6707365950847235E-2</v>
      </c>
      <c r="DS356" s="1284">
        <f>CE356</f>
        <v>7.8324953662082697E-2</v>
      </c>
      <c r="DT356" s="1284">
        <f>CJ356</f>
        <v>8.2040738605953178E-2</v>
      </c>
      <c r="DU356" s="1284">
        <f>CO356</f>
        <v>0.46110528481095447</v>
      </c>
      <c r="DV356" s="1284">
        <f ca="1">CT356</f>
        <v>7.9436202504862496E-2</v>
      </c>
      <c r="DW356" s="1284">
        <f t="shared" ca="1" si="793"/>
        <v>7.031243450425273E-2</v>
      </c>
      <c r="DX356" s="1284">
        <f t="shared" ca="1" si="793"/>
        <v>7.0487164640270494E-2</v>
      </c>
      <c r="DY356" s="1284">
        <f t="shared" ca="1" si="793"/>
        <v>3.5323229557861824E-2</v>
      </c>
      <c r="EA356"/>
      <c r="EB356"/>
      <c r="EC356"/>
      <c r="ED356"/>
      <c r="EE356"/>
      <c r="EF356"/>
      <c r="EJ356"/>
      <c r="EK356"/>
      <c r="EL356"/>
      <c r="ER356" s="212"/>
    </row>
    <row r="357" spans="1:148" s="923" customFormat="1" ht="12.75" customHeight="1" x14ac:dyDescent="0.2">
      <c r="A357" s="1675"/>
      <c r="B357" s="1696"/>
      <c r="C357" s="1696"/>
      <c r="D357" s="1696"/>
      <c r="E357" s="1696"/>
      <c r="F357" s="1696"/>
      <c r="G357" s="1696"/>
      <c r="H357" s="1696"/>
      <c r="I357" s="1696"/>
      <c r="J357" s="1696"/>
      <c r="K357" s="1696"/>
      <c r="L357" s="1696"/>
      <c r="M357" s="1284"/>
      <c r="N357" s="1696"/>
      <c r="O357" s="1696"/>
      <c r="P357" s="1696"/>
      <c r="Q357" s="1696"/>
      <c r="R357" s="1284"/>
      <c r="S357" s="1696"/>
      <c r="T357" s="1696"/>
      <c r="U357" s="1696"/>
      <c r="V357" s="1696"/>
      <c r="W357" s="1284"/>
      <c r="X357" s="1696"/>
      <c r="Y357" s="1696"/>
      <c r="Z357" s="1696"/>
      <c r="AA357" s="1696"/>
      <c r="AB357" s="1284"/>
      <c r="AC357" s="1696"/>
      <c r="AD357" s="1696"/>
      <c r="AE357" s="1696"/>
      <c r="AF357" s="1696"/>
      <c r="AG357" s="1284"/>
      <c r="AH357" s="1696"/>
      <c r="AI357" s="1696"/>
      <c r="AJ357" s="1696"/>
      <c r="AK357" s="1696"/>
      <c r="AL357" s="1284"/>
      <c r="AM357" s="1696"/>
      <c r="AN357" s="1696"/>
      <c r="AO357" s="1696"/>
      <c r="AP357" s="1696"/>
      <c r="AQ357" s="1284"/>
      <c r="AR357" s="1696"/>
      <c r="AS357" s="1696"/>
      <c r="AT357" s="1696"/>
      <c r="AU357" s="1696"/>
      <c r="AV357" s="1284"/>
      <c r="AW357" s="1696"/>
      <c r="AX357" s="1696"/>
      <c r="AY357" s="1696"/>
      <c r="AZ357" s="1696"/>
      <c r="BA357" s="1284"/>
      <c r="BB357" s="1696"/>
      <c r="BC357" s="1696"/>
      <c r="BD357" s="1696"/>
      <c r="BE357" s="1696"/>
      <c r="BF357" s="1284"/>
      <c r="BG357" s="1696"/>
      <c r="BH357" s="1696"/>
      <c r="BI357" s="1696"/>
      <c r="BJ357" s="1696"/>
      <c r="BK357" s="1284"/>
      <c r="BL357" s="1696"/>
      <c r="BM357" s="1696"/>
      <c r="BN357" s="1696"/>
      <c r="BO357" s="1696"/>
      <c r="BP357" s="1284"/>
      <c r="BQ357" s="1696"/>
      <c r="BR357" s="1696"/>
      <c r="BS357" s="1696"/>
      <c r="BT357" s="1696"/>
      <c r="BU357" s="1284"/>
      <c r="BV357" s="1696"/>
      <c r="BW357" s="1696"/>
      <c r="BX357" s="1696"/>
      <c r="BY357" s="1696"/>
      <c r="BZ357" s="1284"/>
      <c r="CA357" s="1696"/>
      <c r="CB357" s="1696"/>
      <c r="CC357" s="1696"/>
      <c r="CD357" s="1797"/>
      <c r="CE357" s="1284"/>
      <c r="CF357" s="1696"/>
      <c r="CG357" s="1696"/>
      <c r="CH357" s="1696"/>
      <c r="CI357" s="1797"/>
      <c r="CJ357" s="1284"/>
      <c r="CK357" s="1696"/>
      <c r="CL357" s="1696"/>
      <c r="CM357" s="1696"/>
      <c r="CN357" s="1797"/>
      <c r="CO357" s="1284"/>
      <c r="CP357" s="1696"/>
      <c r="CQ357" s="1696"/>
      <c r="CR357" s="1696"/>
      <c r="CS357" s="1696"/>
      <c r="CT357" s="1284"/>
      <c r="CU357" s="1696"/>
      <c r="CV357" s="1696"/>
      <c r="CW357" s="1696"/>
      <c r="CX357" s="1696"/>
      <c r="CY357" s="1284"/>
      <c r="CZ357" s="1284"/>
      <c r="DA357" s="1284"/>
      <c r="DB357"/>
      <c r="DC357"/>
      <c r="DD357" s="1675"/>
      <c r="DE357" s="1284"/>
      <c r="DF357" s="1284"/>
      <c r="DG357" s="1284"/>
      <c r="DH357" s="1284"/>
      <c r="DI357" s="1284"/>
      <c r="DJ357" s="1284"/>
      <c r="DK357" s="1284"/>
      <c r="DL357" s="1284"/>
      <c r="DM357" s="1284"/>
      <c r="DN357" s="1284"/>
      <c r="DO357" s="1284"/>
      <c r="DP357" s="1284"/>
      <c r="DQ357" s="1284"/>
      <c r="DR357" s="1284"/>
      <c r="DS357" s="1284"/>
      <c r="DT357" s="1284"/>
      <c r="DU357" s="1284"/>
      <c r="DV357" s="1284"/>
      <c r="DW357" s="1284"/>
      <c r="DX357" s="1284"/>
      <c r="DY357" s="1284"/>
      <c r="EA357"/>
      <c r="EB357"/>
      <c r="EC357"/>
      <c r="ED357"/>
      <c r="EE357"/>
      <c r="EF357"/>
      <c r="EJ357"/>
      <c r="EK357"/>
      <c r="EL357"/>
      <c r="ER357" s="212"/>
    </row>
    <row r="358" spans="1:148" s="923" customFormat="1" ht="12.75" customHeight="1" x14ac:dyDescent="0.2">
      <c r="A358" s="504" t="s">
        <v>967</v>
      </c>
      <c r="B358" s="847"/>
      <c r="C358" s="847"/>
      <c r="D358" s="847"/>
      <c r="E358" s="847"/>
      <c r="F358" s="847"/>
      <c r="G358" s="847"/>
      <c r="H358" s="847"/>
      <c r="I358" s="847"/>
      <c r="J358" s="847"/>
      <c r="K358" s="847"/>
      <c r="L358" s="847"/>
      <c r="M358" s="968">
        <f>+Rooms!H898</f>
        <v>159053</v>
      </c>
      <c r="N358" s="847">
        <f>+Rooms!I898</f>
        <v>167131</v>
      </c>
      <c r="O358" s="847">
        <f>+Rooms!J898</f>
        <v>175544</v>
      </c>
      <c r="P358" s="847">
        <f>+Rooms!K898</f>
        <v>186949</v>
      </c>
      <c r="Q358" s="847">
        <f>+Rooms!L898</f>
        <v>200881</v>
      </c>
      <c r="R358" s="968">
        <f>+Q358</f>
        <v>200881</v>
      </c>
      <c r="S358" s="847">
        <f>+Rooms!N898</f>
        <v>204839</v>
      </c>
      <c r="T358" s="847">
        <f>+Rooms!O898</f>
        <v>208401</v>
      </c>
      <c r="U358" s="847">
        <f>+Rooms!P898</f>
        <v>213873</v>
      </c>
      <c r="V358" s="847">
        <f>+Rooms!Q898</f>
        <v>219384</v>
      </c>
      <c r="W358" s="968">
        <f>V358</f>
        <v>219384</v>
      </c>
      <c r="X358" s="847">
        <f>+Rooms!S898</f>
        <v>225081</v>
      </c>
      <c r="Y358" s="847">
        <f>+Rooms!T898</f>
        <v>230729</v>
      </c>
      <c r="Z358" s="847">
        <f>+Rooms!U898</f>
        <v>236075</v>
      </c>
      <c r="AA358" s="847">
        <f>+Rooms!V898</f>
        <v>239648</v>
      </c>
      <c r="AB358" s="968">
        <f>AA358</f>
        <v>239648</v>
      </c>
      <c r="AC358" s="847">
        <f>+Rooms!X898</f>
        <v>245022</v>
      </c>
      <c r="AD358" s="847">
        <f>+Rooms!Y898</f>
        <v>248193</v>
      </c>
      <c r="AE358" s="847">
        <f>+Rooms!Z898</f>
        <v>249060</v>
      </c>
      <c r="AF358" s="847">
        <f>+Rooms!AA898</f>
        <v>225715</v>
      </c>
      <c r="AG358" s="968">
        <f>AF358</f>
        <v>225715</v>
      </c>
      <c r="AH358" s="847">
        <f>+Rooms!AC898</f>
        <v>228386</v>
      </c>
      <c r="AI358" s="847">
        <f>+Rooms!AD898</f>
        <v>223722</v>
      </c>
      <c r="AJ358" s="847">
        <f>+Rooms!AE898</f>
        <v>227579</v>
      </c>
      <c r="AK358" s="847">
        <f>+Rooms!AF898</f>
        <v>232048</v>
      </c>
      <c r="AL358" s="968">
        <f>AK358</f>
        <v>232048</v>
      </c>
      <c r="AM358" s="847">
        <f>+Rooms!AH898</f>
        <v>236886</v>
      </c>
      <c r="AN358" s="847">
        <f>+Rooms!AI898</f>
        <v>238750</v>
      </c>
      <c r="AO358" s="847">
        <f>+Rooms!AJ898</f>
        <v>240695</v>
      </c>
      <c r="AP358" s="847">
        <f>+Rooms!AK898</f>
        <v>243334</v>
      </c>
      <c r="AQ358" s="968">
        <f>AP358</f>
        <v>243334</v>
      </c>
      <c r="AR358" s="847">
        <f>+Rooms!AM898</f>
        <v>244680</v>
      </c>
      <c r="AS358" s="847">
        <f>+Rooms!AN898</f>
        <v>247983</v>
      </c>
      <c r="AT358" s="847">
        <f>+Rooms!AO898</f>
        <v>252857</v>
      </c>
      <c r="AU358" s="847">
        <f>+Rooms!AP898</f>
        <v>259297</v>
      </c>
      <c r="AV358" s="968">
        <f>AU358</f>
        <v>259297</v>
      </c>
      <c r="AW358" s="847">
        <f>+Rooms!AR898</f>
        <v>261743</v>
      </c>
      <c r="AX358" s="847">
        <f>+Rooms!AS898</f>
        <v>267578</v>
      </c>
      <c r="AY358" s="847">
        <f>+Rooms!AT898</f>
        <v>270923</v>
      </c>
      <c r="AZ358" s="847">
        <f>+Rooms!AU898</f>
        <v>279133</v>
      </c>
      <c r="BA358" s="968">
        <f>AZ358</f>
        <v>279133</v>
      </c>
      <c r="BB358" s="847">
        <f>+Rooms!AW898</f>
        <v>283749</v>
      </c>
      <c r="BC358" s="847">
        <f>+Rooms!AX898</f>
        <v>289543</v>
      </c>
      <c r="BD358" s="847">
        <f>+Rooms!AY898</f>
        <v>298508</v>
      </c>
      <c r="BE358" s="847">
        <f>+Rooms!AZ898</f>
        <v>304269</v>
      </c>
      <c r="BF358" s="968">
        <f>BE358</f>
        <v>304269</v>
      </c>
      <c r="BG358" s="847">
        <f>+Rooms!BB898</f>
        <v>309944</v>
      </c>
      <c r="BH358" s="847">
        <f>+Rooms!BC898</f>
        <v>313899</v>
      </c>
      <c r="BI358" s="847">
        <f>+Rooms!BD898</f>
        <v>316919</v>
      </c>
      <c r="BJ358" s="847">
        <f>+Rooms!BE898</f>
        <v>321293</v>
      </c>
      <c r="BK358" s="968">
        <f>BJ358</f>
        <v>321293</v>
      </c>
      <c r="BL358" s="847">
        <f>+Rooms!BG898</f>
        <v>323248</v>
      </c>
      <c r="BM358" s="847">
        <f>+Rooms!BH898</f>
        <v>325314</v>
      </c>
      <c r="BN358" s="847">
        <f>+Rooms!BI898</f>
        <v>328899</v>
      </c>
      <c r="BO358" s="847">
        <f>+Rooms!BJ898</f>
        <v>332636</v>
      </c>
      <c r="BP358" s="968">
        <f>BO358</f>
        <v>332636</v>
      </c>
      <c r="BQ358" s="847">
        <f>+Rooms!BL898</f>
        <v>334967</v>
      </c>
      <c r="BR358" s="847">
        <f>+Rooms!BM898</f>
        <v>337994</v>
      </c>
      <c r="BS358" s="847">
        <f>+Rooms!BN898</f>
        <v>340699</v>
      </c>
      <c r="BT358" s="847">
        <f>+Rooms!BO898</f>
        <v>344314</v>
      </c>
      <c r="BU358" s="968">
        <f>BT358</f>
        <v>344314</v>
      </c>
      <c r="BV358" s="847">
        <f>+Rooms!BQ898</f>
        <v>345747</v>
      </c>
      <c r="BW358" s="847">
        <f>+Rooms!BR898</f>
        <v>351258</v>
      </c>
      <c r="BX358" s="847">
        <f>+Rooms!BS898</f>
        <v>356066</v>
      </c>
      <c r="BY358" s="847">
        <f>+Rooms!BT898</f>
        <v>360396</v>
      </c>
      <c r="BZ358" s="968">
        <f>BY358</f>
        <v>360396</v>
      </c>
      <c r="CA358" s="847">
        <f>+Rooms!BV898</f>
        <v>364059</v>
      </c>
      <c r="CB358" s="215">
        <f>+Rooms!BW898</f>
        <v>372340</v>
      </c>
      <c r="CC358" s="215">
        <f>+Rooms!BX898</f>
        <v>379254</v>
      </c>
      <c r="CD358" s="1788">
        <f>+Rooms!BY898</f>
        <v>388624</v>
      </c>
      <c r="CE358" s="968">
        <f>CD358</f>
        <v>388624</v>
      </c>
      <c r="CF358" s="847">
        <f>+Rooms!CA898</f>
        <v>396853</v>
      </c>
      <c r="CG358" s="215">
        <f>+Rooms!CB898</f>
        <v>406510</v>
      </c>
      <c r="CH358" s="215">
        <f>+Rooms!CC898</f>
        <v>415833</v>
      </c>
      <c r="CI358" s="1788">
        <f>+Rooms!CD898</f>
        <v>420507</v>
      </c>
      <c r="CJ358" s="968">
        <f>CI358</f>
        <v>420507</v>
      </c>
      <c r="CK358" s="215">
        <f>+Rooms!CF898</f>
        <v>428216</v>
      </c>
      <c r="CL358" s="215">
        <f>+Rooms!CG898</f>
        <v>440159</v>
      </c>
      <c r="CM358" s="215">
        <f>+Rooms!CH898</f>
        <v>448139</v>
      </c>
      <c r="CN358" s="1788">
        <f>+Rooms!CI898</f>
        <v>614405</v>
      </c>
      <c r="CO358" s="968">
        <f>CN358</f>
        <v>614405</v>
      </c>
      <c r="CP358" s="215">
        <f>+Rooms!CK898</f>
        <v>624169</v>
      </c>
      <c r="CQ358" s="215">
        <f ca="1">+Rooms!CL898</f>
        <v>634490</v>
      </c>
      <c r="CR358" s="215">
        <f ca="1">+Rooms!CM898</f>
        <v>649712</v>
      </c>
      <c r="CS358" s="215">
        <f ca="1">+Rooms!CN898</f>
        <v>663211</v>
      </c>
      <c r="CT358" s="968">
        <f ca="1">CS358</f>
        <v>663211</v>
      </c>
      <c r="CU358" s="215">
        <f>+Rooms!CP898</f>
        <v>675001.47000000009</v>
      </c>
      <c r="CV358" s="215">
        <f ca="1">+Rooms!CQ898</f>
        <v>682513.27</v>
      </c>
      <c r="CW358" s="215">
        <f ca="1">+Rooms!CR898</f>
        <v>697978.7</v>
      </c>
      <c r="CX358" s="215">
        <f ca="1">+Rooms!CS898</f>
        <v>709842.98</v>
      </c>
      <c r="CY358" s="661">
        <f ca="1">CX358</f>
        <v>709842.98</v>
      </c>
      <c r="CZ358" s="661">
        <f ca="1">+Rooms!CU898</f>
        <v>759877.79900000012</v>
      </c>
      <c r="DA358" s="661">
        <f ca="1">+Rooms!CV898</f>
        <v>786719.13693000004</v>
      </c>
      <c r="DB358"/>
      <c r="DC358"/>
      <c r="DD358" s="2285" t="s">
        <v>967</v>
      </c>
      <c r="DE358" s="2293">
        <f>M358</f>
        <v>159053</v>
      </c>
      <c r="DF358" s="2293">
        <f>R358</f>
        <v>200881</v>
      </c>
      <c r="DG358" s="2293">
        <f>W358</f>
        <v>219384</v>
      </c>
      <c r="DH358" s="2293">
        <f>AB358</f>
        <v>239648</v>
      </c>
      <c r="DI358" s="2293">
        <f>AG358</f>
        <v>225715</v>
      </c>
      <c r="DJ358" s="2293">
        <f>AL358</f>
        <v>232048</v>
      </c>
      <c r="DK358" s="2293">
        <f>AQ358</f>
        <v>243334</v>
      </c>
      <c r="DL358" s="2293">
        <f>AV358</f>
        <v>259297</v>
      </c>
      <c r="DM358" s="2293">
        <f>BA358</f>
        <v>279133</v>
      </c>
      <c r="DN358" s="2293">
        <f>BF358</f>
        <v>304269</v>
      </c>
      <c r="DO358" s="2293">
        <f>BK358</f>
        <v>321293</v>
      </c>
      <c r="DP358" s="2293">
        <f>BP358</f>
        <v>332636</v>
      </c>
      <c r="DQ358" s="2293">
        <f>BU358</f>
        <v>344314</v>
      </c>
      <c r="DR358" s="2293">
        <f>BZ358</f>
        <v>360396</v>
      </c>
      <c r="DS358" s="2293">
        <f>CE358</f>
        <v>388624</v>
      </c>
      <c r="DT358" s="2293">
        <f>CJ358</f>
        <v>420507</v>
      </c>
      <c r="DU358" s="2293">
        <f>CO358</f>
        <v>614405</v>
      </c>
      <c r="DV358" s="2293">
        <f ca="1">CT358</f>
        <v>663211</v>
      </c>
      <c r="DW358" s="2293">
        <f t="shared" ref="DW358:DY361" ca="1" si="799">CY358</f>
        <v>709842.98</v>
      </c>
      <c r="DX358" s="2293">
        <f t="shared" ca="1" si="799"/>
        <v>759877.79900000012</v>
      </c>
      <c r="DY358" s="2293">
        <f t="shared" ca="1" si="799"/>
        <v>786719.13693000004</v>
      </c>
      <c r="EA358"/>
      <c r="EB358"/>
      <c r="EC358"/>
      <c r="ED358"/>
      <c r="EE358"/>
      <c r="EF358"/>
      <c r="EJ358"/>
      <c r="EK358"/>
      <c r="EL358"/>
      <c r="ER358" s="212"/>
    </row>
    <row r="359" spans="1:148" s="923" customFormat="1" ht="12.75" customHeight="1" x14ac:dyDescent="0.2">
      <c r="A359" s="1680" t="s">
        <v>966</v>
      </c>
      <c r="B359" s="215"/>
      <c r="C359" s="215"/>
      <c r="D359" s="215"/>
      <c r="E359" s="215"/>
      <c r="F359" s="215"/>
      <c r="G359" s="215"/>
      <c r="H359" s="215"/>
      <c r="I359" s="215"/>
      <c r="J359" s="215"/>
      <c r="K359" s="215"/>
      <c r="L359" s="215"/>
      <c r="M359" s="969"/>
      <c r="N359" s="215">
        <f>AVERAGE(M358:N358)</f>
        <v>163092</v>
      </c>
      <c r="O359" s="215">
        <f>AVERAGE(N358:O358)</f>
        <v>171337.5</v>
      </c>
      <c r="P359" s="215">
        <f>AVERAGE(O358:P358)</f>
        <v>181246.5</v>
      </c>
      <c r="Q359" s="215">
        <f>AVERAGE(P358:Q358)</f>
        <v>193915</v>
      </c>
      <c r="R359" s="969">
        <f>AVERAGE(N359:Q359)</f>
        <v>177397.75</v>
      </c>
      <c r="S359" s="215">
        <f>AVERAGE(R358:S358)</f>
        <v>202860</v>
      </c>
      <c r="T359" s="215">
        <f>AVERAGE(S358:T358)</f>
        <v>206620</v>
      </c>
      <c r="U359" s="215">
        <f>AVERAGE(T358:U358)</f>
        <v>211137</v>
      </c>
      <c r="V359" s="215">
        <f>AVERAGE(U358:V358)</f>
        <v>216628.5</v>
      </c>
      <c r="W359" s="969">
        <f>AVERAGE(S359:V359)</f>
        <v>209311.375</v>
      </c>
      <c r="X359" s="215">
        <f>AVERAGE(W358:X358)</f>
        <v>222232.5</v>
      </c>
      <c r="Y359" s="215">
        <f>AVERAGE(X358:Y358)</f>
        <v>227905</v>
      </c>
      <c r="Z359" s="215">
        <f>AVERAGE(Y358:Z358)</f>
        <v>233402</v>
      </c>
      <c r="AA359" s="215">
        <f>AVERAGE(Z358:AA358)</f>
        <v>237861.5</v>
      </c>
      <c r="AB359" s="969">
        <f>AVERAGE(X359:AA359)</f>
        <v>230350.25</v>
      </c>
      <c r="AC359" s="215">
        <f>AVERAGE(AB358:AC358)</f>
        <v>242335</v>
      </c>
      <c r="AD359" s="215">
        <f>AVERAGE(AC358:AD358)</f>
        <v>246607.5</v>
      </c>
      <c r="AE359" s="215">
        <f>AVERAGE(AD358:AE358)</f>
        <v>248626.5</v>
      </c>
      <c r="AF359" s="215">
        <f>AVERAGE(AE358:AF358)</f>
        <v>237387.5</v>
      </c>
      <c r="AG359" s="969">
        <f>AVERAGE(AC359:AF359)</f>
        <v>243739.125</v>
      </c>
      <c r="AH359" s="215">
        <f>AVERAGE(AG358:AH358)</f>
        <v>227050.5</v>
      </c>
      <c r="AI359" s="215">
        <f>AVERAGE(AH358:AI358)</f>
        <v>226054</v>
      </c>
      <c r="AJ359" s="215">
        <f>AVERAGE(AI358:AJ358)</f>
        <v>225650.5</v>
      </c>
      <c r="AK359" s="215">
        <f>AVERAGE(AJ358:AK358)</f>
        <v>229813.5</v>
      </c>
      <c r="AL359" s="969">
        <f>AVERAGE(AH359:AK359)</f>
        <v>227142.125</v>
      </c>
      <c r="AM359" s="215">
        <f>AVERAGE(AL358:AM358)</f>
        <v>234467</v>
      </c>
      <c r="AN359" s="215">
        <f>AVERAGE(AM358:AN358)</f>
        <v>237818</v>
      </c>
      <c r="AO359" s="215">
        <f>AVERAGE(AN358:AO358)</f>
        <v>239722.5</v>
      </c>
      <c r="AP359" s="215">
        <f>AVERAGE(AO358:AP358)</f>
        <v>242014.5</v>
      </c>
      <c r="AQ359" s="969">
        <f>AVERAGE(AM359:AP359)</f>
        <v>238505.5</v>
      </c>
      <c r="AR359" s="215">
        <f>AVERAGE(AQ358:AR358)</f>
        <v>244007</v>
      </c>
      <c r="AS359" s="215">
        <f>AVERAGE(AR358:AS358)</f>
        <v>246331.5</v>
      </c>
      <c r="AT359" s="215">
        <f>AVERAGE(AS358:AT358)</f>
        <v>250420</v>
      </c>
      <c r="AU359" s="215">
        <f>AVERAGE(AT358:AU358)</f>
        <v>256077</v>
      </c>
      <c r="AV359" s="969">
        <f>AVERAGE(AR359:AU359)</f>
        <v>249208.875</v>
      </c>
      <c r="AW359" s="215">
        <f>AVERAGE(AV358:AW358)</f>
        <v>260520</v>
      </c>
      <c r="AX359" s="215">
        <f>AVERAGE(AW358:AX358)</f>
        <v>264660.5</v>
      </c>
      <c r="AY359" s="215">
        <f>AVERAGE(AX358:AY358)</f>
        <v>269250.5</v>
      </c>
      <c r="AZ359" s="215">
        <f>AVERAGE(AY358:AZ358)</f>
        <v>275028</v>
      </c>
      <c r="BA359" s="969">
        <f>AVERAGE(AW359:AZ359)</f>
        <v>267364.75</v>
      </c>
      <c r="BB359" s="215">
        <f>AVERAGE(BA358:BB358)</f>
        <v>281441</v>
      </c>
      <c r="BC359" s="215">
        <f>AVERAGE(BB358:BC358)</f>
        <v>286646</v>
      </c>
      <c r="BD359" s="215">
        <f>AVERAGE(BC358:BD358)</f>
        <v>294025.5</v>
      </c>
      <c r="BE359" s="215">
        <f>AVERAGE(BD358:BE358)</f>
        <v>301388.5</v>
      </c>
      <c r="BF359" s="969">
        <f>AVERAGE(BB359:BE359)</f>
        <v>290875.25</v>
      </c>
      <c r="BG359" s="215">
        <f>AVERAGE(BF358:BG358)</f>
        <v>307106.5</v>
      </c>
      <c r="BH359" s="215">
        <f>AVERAGE(BG358:BH358)</f>
        <v>311921.5</v>
      </c>
      <c r="BI359" s="215">
        <f>AVERAGE(BH358:BI358)</f>
        <v>315409</v>
      </c>
      <c r="BJ359" s="215">
        <f>AVERAGE(BI358:BJ358)</f>
        <v>319106</v>
      </c>
      <c r="BK359" s="969">
        <f>AVERAGE(BG359:BJ359)</f>
        <v>313385.75</v>
      </c>
      <c r="BL359" s="215">
        <f>AVERAGE(BK358:BL358)</f>
        <v>322270.5</v>
      </c>
      <c r="BM359" s="215">
        <f>AVERAGE(BL358:BM358)</f>
        <v>324281</v>
      </c>
      <c r="BN359" s="215">
        <f>AVERAGE(BM358:BN358)</f>
        <v>327106.5</v>
      </c>
      <c r="BO359" s="215">
        <f>AVERAGE(BN358:BO358)</f>
        <v>330767.5</v>
      </c>
      <c r="BP359" s="969">
        <f>AVERAGE(BL359:BO359)</f>
        <v>326106.375</v>
      </c>
      <c r="BQ359" s="215">
        <f>AVERAGE(BP358:BQ358)</f>
        <v>333801.5</v>
      </c>
      <c r="BR359" s="215">
        <f>AVERAGE(BQ358:BR358)</f>
        <v>336480.5</v>
      </c>
      <c r="BS359" s="215">
        <f>AVERAGE(BR358:BS358)</f>
        <v>339346.5</v>
      </c>
      <c r="BT359" s="215">
        <f>AVERAGE(BS358:BT358)</f>
        <v>342506.5</v>
      </c>
      <c r="BU359" s="969">
        <f>AVERAGE(BQ359:BT359)</f>
        <v>338033.75</v>
      </c>
      <c r="BV359" s="215">
        <f>AVERAGE(BU358:BV358)</f>
        <v>345030.5</v>
      </c>
      <c r="BW359" s="215">
        <f>AVERAGE(BV358:BW358)</f>
        <v>348502.5</v>
      </c>
      <c r="BX359" s="215">
        <f>AVERAGE(BW358:BX358)</f>
        <v>353662</v>
      </c>
      <c r="BY359" s="215">
        <f>AVERAGE(BX358:BY358)</f>
        <v>358231</v>
      </c>
      <c r="BZ359" s="969">
        <f>AVERAGE(BV359:BY359)</f>
        <v>351356.5</v>
      </c>
      <c r="CA359" s="215">
        <f>AVERAGE(BZ358:CA358)</f>
        <v>362227.5</v>
      </c>
      <c r="CB359" s="226">
        <f>AVERAGE(CA358:CB358)</f>
        <v>368199.5</v>
      </c>
      <c r="CC359" s="226">
        <f>AVERAGE(CB358:CC358)</f>
        <v>375797</v>
      </c>
      <c r="CD359" s="1796">
        <f>AVERAGE(CC358:CD358)</f>
        <v>383939</v>
      </c>
      <c r="CE359" s="969">
        <f>AVERAGE(CA359:CD359)</f>
        <v>372540.75</v>
      </c>
      <c r="CF359" s="215">
        <f>AVERAGE(CE358:CF358)</f>
        <v>392738.5</v>
      </c>
      <c r="CG359" s="226">
        <f>AVERAGE(CF358:CG358)</f>
        <v>401681.5</v>
      </c>
      <c r="CH359" s="226">
        <f>AVERAGE(CG358:CH358)</f>
        <v>411171.5</v>
      </c>
      <c r="CI359" s="1796">
        <f>AVERAGE(CH358:CI358)</f>
        <v>418170</v>
      </c>
      <c r="CJ359" s="969">
        <f>AVERAGE(CF359:CI359)</f>
        <v>405940.375</v>
      </c>
      <c r="CK359" s="226">
        <f>AVERAGE(CJ358:CK358)</f>
        <v>424361.5</v>
      </c>
      <c r="CL359" s="226">
        <f>AVERAGE(CK358:CL358)</f>
        <v>434187.5</v>
      </c>
      <c r="CM359" s="226">
        <f>AVERAGE(CL358:CM358)</f>
        <v>444149</v>
      </c>
      <c r="CN359" s="1796">
        <f>AVERAGE(CM358:CN358)</f>
        <v>531272</v>
      </c>
      <c r="CO359" s="969">
        <f>AVERAGE(CK359:CN359)</f>
        <v>458492.5</v>
      </c>
      <c r="CP359" s="226">
        <f>AVERAGE(CO358:CP358)</f>
        <v>619287</v>
      </c>
      <c r="CQ359" s="226">
        <f ca="1">AVERAGE(CP358:CQ358)</f>
        <v>629329.5</v>
      </c>
      <c r="CR359" s="226">
        <f ca="1">AVERAGE(CQ358:CR358)</f>
        <v>642101</v>
      </c>
      <c r="CS359" s="226">
        <f ca="1">AVERAGE(CR358:CS358)</f>
        <v>656461.5</v>
      </c>
      <c r="CT359" s="969">
        <f ca="1">AVERAGE(CP359:CS359)</f>
        <v>636794.75</v>
      </c>
      <c r="CU359" s="226">
        <f ca="1">AVERAGE(CT358:CU358)</f>
        <v>669106.2350000001</v>
      </c>
      <c r="CV359" s="226">
        <f ca="1">AVERAGE(CU358:CV358)</f>
        <v>678757.37000000011</v>
      </c>
      <c r="CW359" s="226">
        <f ca="1">AVERAGE(CV358:CW358)</f>
        <v>690245.98499999999</v>
      </c>
      <c r="CX359" s="226">
        <f ca="1">AVERAGE(CW358:CX358)</f>
        <v>703910.84</v>
      </c>
      <c r="CY359" s="969">
        <f ca="1">AVERAGE(CU359:CX359)</f>
        <v>685505.10750000004</v>
      </c>
      <c r="CZ359" s="969">
        <f ca="1">AVERAGE(CY358:CZ358)</f>
        <v>734860.38950000005</v>
      </c>
      <c r="DA359" s="969">
        <f ca="1">AVERAGE(CZ358:DA358)</f>
        <v>773298.46796500008</v>
      </c>
      <c r="DB359"/>
      <c r="DC359"/>
      <c r="DD359" s="2335" t="s">
        <v>966</v>
      </c>
      <c r="DE359" s="2290">
        <f>M359</f>
        <v>0</v>
      </c>
      <c r="DF359" s="2290">
        <f>R359</f>
        <v>177397.75</v>
      </c>
      <c r="DG359" s="2290">
        <f>W359</f>
        <v>209311.375</v>
      </c>
      <c r="DH359" s="2290">
        <f>AB359</f>
        <v>230350.25</v>
      </c>
      <c r="DI359" s="2290">
        <f>AG359</f>
        <v>243739.125</v>
      </c>
      <c r="DJ359" s="2290">
        <f>AL359</f>
        <v>227142.125</v>
      </c>
      <c r="DK359" s="2290">
        <f>AQ359</f>
        <v>238505.5</v>
      </c>
      <c r="DL359" s="2290">
        <f>AV359</f>
        <v>249208.875</v>
      </c>
      <c r="DM359" s="2290">
        <f>BA359</f>
        <v>267364.75</v>
      </c>
      <c r="DN359" s="2290">
        <f>BF359</f>
        <v>290875.25</v>
      </c>
      <c r="DO359" s="2290">
        <f>BK359</f>
        <v>313385.75</v>
      </c>
      <c r="DP359" s="2290">
        <f>BP359</f>
        <v>326106.375</v>
      </c>
      <c r="DQ359" s="2290">
        <f>BU359</f>
        <v>338033.75</v>
      </c>
      <c r="DR359" s="2290">
        <f>BZ359</f>
        <v>351356.5</v>
      </c>
      <c r="DS359" s="2290">
        <f>CE359</f>
        <v>372540.75</v>
      </c>
      <c r="DT359" s="2290">
        <f>CJ359</f>
        <v>405940.375</v>
      </c>
      <c r="DU359" s="2290">
        <f>CO359</f>
        <v>458492.5</v>
      </c>
      <c r="DV359" s="2290">
        <f ca="1">CT359</f>
        <v>636794.75</v>
      </c>
      <c r="DW359" s="2290">
        <f t="shared" ca="1" si="799"/>
        <v>685505.10750000004</v>
      </c>
      <c r="DX359" s="2290">
        <f t="shared" ca="1" si="799"/>
        <v>734860.38950000005</v>
      </c>
      <c r="DY359" s="2290">
        <f t="shared" ca="1" si="799"/>
        <v>773298.46796500008</v>
      </c>
      <c r="EA359"/>
      <c r="EB359"/>
      <c r="EC359"/>
      <c r="ED359"/>
      <c r="EE359"/>
      <c r="EF359"/>
      <c r="EJ359"/>
      <c r="EK359"/>
      <c r="EL359"/>
      <c r="ER359" s="212"/>
    </row>
    <row r="360" spans="1:148" s="923" customFormat="1" ht="12.75" customHeight="1" x14ac:dyDescent="0.2">
      <c r="A360" s="1675" t="s">
        <v>1016</v>
      </c>
      <c r="B360" s="874"/>
      <c r="C360" s="874"/>
      <c r="D360" s="874"/>
      <c r="E360" s="874"/>
      <c r="F360" s="874"/>
      <c r="G360" s="874"/>
      <c r="H360" s="874"/>
      <c r="I360" s="874"/>
      <c r="J360" s="874"/>
      <c r="K360" s="874"/>
      <c r="L360" s="874"/>
      <c r="M360" s="1042"/>
      <c r="N360" s="874"/>
      <c r="O360" s="874"/>
      <c r="P360" s="874"/>
      <c r="Q360" s="874"/>
      <c r="R360" s="1042"/>
      <c r="S360" s="874">
        <f t="shared" ref="S360:AX360" si="800">S358/N358-1</f>
        <v>0.22561942428394488</v>
      </c>
      <c r="T360" s="874">
        <f t="shared" si="800"/>
        <v>0.18717244679396616</v>
      </c>
      <c r="U360" s="874">
        <f t="shared" si="800"/>
        <v>0.14401788723127695</v>
      </c>
      <c r="V360" s="874">
        <f t="shared" si="800"/>
        <v>9.210925871535891E-2</v>
      </c>
      <c r="W360" s="1042">
        <f t="shared" si="800"/>
        <v>9.210925871535891E-2</v>
      </c>
      <c r="X360" s="874">
        <f t="shared" si="800"/>
        <v>9.881907253989719E-2</v>
      </c>
      <c r="Y360" s="874">
        <f t="shared" si="800"/>
        <v>0.10713960105757647</v>
      </c>
      <c r="Z360" s="874">
        <f t="shared" si="800"/>
        <v>0.10380926998732898</v>
      </c>
      <c r="AA360" s="874">
        <f t="shared" si="800"/>
        <v>9.2367720526565389E-2</v>
      </c>
      <c r="AB360" s="1042">
        <f t="shared" si="800"/>
        <v>9.2367720526565389E-2</v>
      </c>
      <c r="AC360" s="874">
        <f t="shared" si="800"/>
        <v>8.8594772548549194E-2</v>
      </c>
      <c r="AD360" s="874">
        <f t="shared" si="800"/>
        <v>7.5690528715506078E-2</v>
      </c>
      <c r="AE360" s="874">
        <f t="shared" si="800"/>
        <v>5.5003706449221701E-2</v>
      </c>
      <c r="AF360" s="874">
        <f t="shared" si="800"/>
        <v>-5.8139437842168462E-2</v>
      </c>
      <c r="AG360" s="1042">
        <f t="shared" si="800"/>
        <v>-5.8139437842168462E-2</v>
      </c>
      <c r="AH360" s="874">
        <f t="shared" si="800"/>
        <v>-6.7895944037678291E-2</v>
      </c>
      <c r="AI360" s="874">
        <f t="shared" si="800"/>
        <v>-9.8596656634151625E-2</v>
      </c>
      <c r="AJ360" s="874">
        <f t="shared" si="800"/>
        <v>-8.6248293583875424E-2</v>
      </c>
      <c r="AK360" s="874">
        <f t="shared" si="800"/>
        <v>2.8057506147132427E-2</v>
      </c>
      <c r="AL360" s="1042">
        <f t="shared" si="800"/>
        <v>2.8057506147132427E-2</v>
      </c>
      <c r="AM360" s="874">
        <f t="shared" si="800"/>
        <v>3.7217692853327211E-2</v>
      </c>
      <c r="AN360" s="874">
        <f t="shared" si="800"/>
        <v>6.7172651773182768E-2</v>
      </c>
      <c r="AO360" s="874">
        <f t="shared" si="800"/>
        <v>5.7632734127489815E-2</v>
      </c>
      <c r="AP360" s="874">
        <f t="shared" si="800"/>
        <v>4.8636489002275463E-2</v>
      </c>
      <c r="AQ360" s="1042">
        <f t="shared" si="800"/>
        <v>4.8636489002275463E-2</v>
      </c>
      <c r="AR360" s="874">
        <f t="shared" si="800"/>
        <v>3.2901902180795917E-2</v>
      </c>
      <c r="AS360" s="874">
        <f t="shared" si="800"/>
        <v>3.8672251308900618E-2</v>
      </c>
      <c r="AT360" s="874">
        <f t="shared" si="800"/>
        <v>5.0528677371777464E-2</v>
      </c>
      <c r="AU360" s="874">
        <f t="shared" si="800"/>
        <v>6.5601190133725673E-2</v>
      </c>
      <c r="AV360" s="1042">
        <f t="shared" si="800"/>
        <v>6.5601190133725673E-2</v>
      </c>
      <c r="AW360" s="874">
        <f t="shared" si="800"/>
        <v>6.9735981690371096E-2</v>
      </c>
      <c r="AX360" s="874">
        <f t="shared" si="800"/>
        <v>7.9017513297282571E-2</v>
      </c>
      <c r="AY360" s="874">
        <f t="shared" ref="AY360:BU360" si="801">AY358/AT358-1</f>
        <v>7.1447497992936704E-2</v>
      </c>
      <c r="AZ360" s="874">
        <f t="shared" si="801"/>
        <v>7.6499149623790563E-2</v>
      </c>
      <c r="BA360" s="1042">
        <f t="shared" si="801"/>
        <v>7.6499149623790563E-2</v>
      </c>
      <c r="BB360" s="874">
        <f t="shared" si="801"/>
        <v>8.4074836767363381E-2</v>
      </c>
      <c r="BC360" s="874">
        <f t="shared" si="801"/>
        <v>8.2088213530260301E-2</v>
      </c>
      <c r="BD360" s="874">
        <f t="shared" si="801"/>
        <v>0.10181859790420167</v>
      </c>
      <c r="BE360" s="874">
        <f t="shared" si="801"/>
        <v>9.0050262777958912E-2</v>
      </c>
      <c r="BF360" s="1042">
        <f t="shared" si="801"/>
        <v>9.0050262777958912E-2</v>
      </c>
      <c r="BG360" s="874">
        <f t="shared" si="801"/>
        <v>9.2317505964778723E-2</v>
      </c>
      <c r="BH360" s="874">
        <f t="shared" si="801"/>
        <v>8.4118766469919892E-2</v>
      </c>
      <c r="BI360" s="874">
        <f t="shared" si="801"/>
        <v>6.1676738981869761E-2</v>
      </c>
      <c r="BJ360" s="874">
        <f t="shared" si="801"/>
        <v>5.5950491177214845E-2</v>
      </c>
      <c r="BK360" s="1042">
        <f t="shared" si="801"/>
        <v>5.5950491177214845E-2</v>
      </c>
      <c r="BL360" s="874">
        <f t="shared" si="801"/>
        <v>4.2923883024030163E-2</v>
      </c>
      <c r="BM360" s="874">
        <f t="shared" si="801"/>
        <v>3.636520027142498E-2</v>
      </c>
      <c r="BN360" s="874">
        <f t="shared" si="801"/>
        <v>3.7801457154667206E-2</v>
      </c>
      <c r="BO360" s="874">
        <f t="shared" si="801"/>
        <v>3.5304223870423534E-2</v>
      </c>
      <c r="BP360" s="1042">
        <f t="shared" si="801"/>
        <v>3.5304223870423534E-2</v>
      </c>
      <c r="BQ360" s="874">
        <f t="shared" si="801"/>
        <v>3.625389793595013E-2</v>
      </c>
      <c r="BR360" s="874">
        <f t="shared" si="801"/>
        <v>3.8977726135364543E-2</v>
      </c>
      <c r="BS360" s="874">
        <f t="shared" si="801"/>
        <v>3.5877275394573971E-2</v>
      </c>
      <c r="BT360" s="874">
        <f t="shared" si="801"/>
        <v>3.5107444774468144E-2</v>
      </c>
      <c r="BU360" s="1042">
        <f t="shared" si="801"/>
        <v>3.5107444774468144E-2</v>
      </c>
      <c r="BV360" s="874">
        <f t="shared" ref="BV360:CF360" si="802">BV358/BQ358-1</f>
        <v>3.2182274671833433E-2</v>
      </c>
      <c r="BW360" s="874">
        <f t="shared" si="802"/>
        <v>3.9243300176926121E-2</v>
      </c>
      <c r="BX360" s="874">
        <f t="shared" si="802"/>
        <v>4.5104329628205653E-2</v>
      </c>
      <c r="BY360" s="874">
        <f t="shared" si="802"/>
        <v>4.6707365950847235E-2</v>
      </c>
      <c r="BZ360" s="1042">
        <f t="shared" si="802"/>
        <v>4.6707365950847235E-2</v>
      </c>
      <c r="CA360" s="874">
        <f t="shared" si="802"/>
        <v>5.296358319811878E-2</v>
      </c>
      <c r="CB360" s="874">
        <f t="shared" si="802"/>
        <v>6.0018561854819019E-2</v>
      </c>
      <c r="CC360" s="874">
        <f t="shared" si="802"/>
        <v>6.512275814034485E-2</v>
      </c>
      <c r="CD360" s="1603">
        <f t="shared" si="802"/>
        <v>7.8324953662082919E-2</v>
      </c>
      <c r="CE360" s="1042">
        <f t="shared" si="802"/>
        <v>7.8324953662082919E-2</v>
      </c>
      <c r="CF360" s="874">
        <f t="shared" si="802"/>
        <v>9.0078805907833681E-2</v>
      </c>
      <c r="CG360" s="874">
        <f t="shared" ref="CG360:CO360" si="803">CG358/CB358-1</f>
        <v>9.1770962023956626E-2</v>
      </c>
      <c r="CH360" s="874">
        <f t="shared" si="803"/>
        <v>9.6449872644718271E-2</v>
      </c>
      <c r="CI360" s="1603">
        <f t="shared" si="803"/>
        <v>8.2040738605953401E-2</v>
      </c>
      <c r="CJ360" s="1042">
        <f t="shared" si="803"/>
        <v>8.2040738605953401E-2</v>
      </c>
      <c r="CK360" s="874">
        <f t="shared" si="803"/>
        <v>7.902926272448485E-2</v>
      </c>
      <c r="CL360" s="874">
        <f t="shared" si="803"/>
        <v>8.2775331480160474E-2</v>
      </c>
      <c r="CM360" s="874">
        <f t="shared" si="803"/>
        <v>7.7689841835544504E-2</v>
      </c>
      <c r="CN360" s="1603">
        <f t="shared" si="803"/>
        <v>0.46110528481095447</v>
      </c>
      <c r="CO360" s="1042">
        <f t="shared" si="803"/>
        <v>0.46110528481095447</v>
      </c>
      <c r="CP360" s="874">
        <f t="shared" ref="CP360:CY360" si="804">CP358/CK358-1</f>
        <v>0.45760317223083669</v>
      </c>
      <c r="CQ360" s="874">
        <f t="shared" ca="1" si="804"/>
        <v>0.44150182093289025</v>
      </c>
      <c r="CR360" s="874">
        <f t="shared" ca="1" si="804"/>
        <v>0.44980017360684976</v>
      </c>
      <c r="CS360" s="874">
        <f t="shared" ca="1" si="804"/>
        <v>7.9436202504862496E-2</v>
      </c>
      <c r="CT360" s="1042">
        <f t="shared" ca="1" si="804"/>
        <v>7.9436202504862496E-2</v>
      </c>
      <c r="CU360" s="874">
        <f t="shared" si="804"/>
        <v>8.1440234936371647E-2</v>
      </c>
      <c r="CV360" s="874">
        <f t="shared" ca="1" si="804"/>
        <v>7.568798562625112E-2</v>
      </c>
      <c r="CW360" s="874">
        <f t="shared" ca="1" si="804"/>
        <v>7.4289377447238181E-2</v>
      </c>
      <c r="CX360" s="874">
        <f t="shared" ca="1" si="804"/>
        <v>7.031243450425273E-2</v>
      </c>
      <c r="CY360" s="1042">
        <f t="shared" ca="1" si="804"/>
        <v>7.031243450425273E-2</v>
      </c>
      <c r="CZ360" s="1042">
        <f ca="1">CZ358/BW358-1</f>
        <v>1.1633038934344557</v>
      </c>
      <c r="DA360" s="1042">
        <f ca="1">DA358/BX358-1</f>
        <v>1.2094755942156792</v>
      </c>
      <c r="DB360"/>
      <c r="DC360"/>
      <c r="DD360" s="1675" t="s">
        <v>1016</v>
      </c>
      <c r="DE360" s="1042">
        <f>M360</f>
        <v>0</v>
      </c>
      <c r="DF360" s="1042">
        <f>R360</f>
        <v>0</v>
      </c>
      <c r="DG360" s="1042">
        <f>W360</f>
        <v>9.210925871535891E-2</v>
      </c>
      <c r="DH360" s="1042">
        <f>AB360</f>
        <v>9.2367720526565389E-2</v>
      </c>
      <c r="DI360" s="1042">
        <f>AG360</f>
        <v>-5.8139437842168462E-2</v>
      </c>
      <c r="DJ360" s="1042">
        <f>AL360</f>
        <v>2.8057506147132427E-2</v>
      </c>
      <c r="DK360" s="1042">
        <f>AQ360</f>
        <v>4.8636489002275463E-2</v>
      </c>
      <c r="DL360" s="1042">
        <f>AV360</f>
        <v>6.5601190133725673E-2</v>
      </c>
      <c r="DM360" s="1042">
        <f>BA360</f>
        <v>7.6499149623790563E-2</v>
      </c>
      <c r="DN360" s="1042">
        <f>BF360</f>
        <v>9.0050262777958912E-2</v>
      </c>
      <c r="DO360" s="1042">
        <f>BK360</f>
        <v>5.5950491177214845E-2</v>
      </c>
      <c r="DP360" s="1042">
        <f>BP360</f>
        <v>3.5304223870423534E-2</v>
      </c>
      <c r="DQ360" s="1042">
        <f>BU360</f>
        <v>3.5107444774468144E-2</v>
      </c>
      <c r="DR360" s="1042">
        <f>BZ360</f>
        <v>4.6707365950847235E-2</v>
      </c>
      <c r="DS360" s="1042">
        <f>CE360</f>
        <v>7.8324953662082919E-2</v>
      </c>
      <c r="DT360" s="1042">
        <f>CJ360</f>
        <v>8.2040738605953401E-2</v>
      </c>
      <c r="DU360" s="1042">
        <f>CO360</f>
        <v>0.46110528481095447</v>
      </c>
      <c r="DV360" s="1042">
        <f ca="1">CT360</f>
        <v>7.9436202504862496E-2</v>
      </c>
      <c r="DW360" s="1042">
        <f t="shared" ca="1" si="799"/>
        <v>7.031243450425273E-2</v>
      </c>
      <c r="DX360" s="1042">
        <f t="shared" ca="1" si="799"/>
        <v>1.1633038934344557</v>
      </c>
      <c r="DY360" s="1042">
        <f t="shared" ca="1" si="799"/>
        <v>1.2094755942156792</v>
      </c>
      <c r="EA360"/>
      <c r="EB360"/>
      <c r="EC360"/>
      <c r="ED360"/>
      <c r="EE360"/>
      <c r="EF360"/>
      <c r="EJ360"/>
      <c r="EK360"/>
      <c r="EL360"/>
      <c r="ER360" s="212"/>
    </row>
    <row r="361" spans="1:148" s="923" customFormat="1" ht="12.75" customHeight="1" x14ac:dyDescent="0.2">
      <c r="A361" s="1702" t="s">
        <v>1012</v>
      </c>
      <c r="B361" s="215"/>
      <c r="C361" s="215"/>
      <c r="D361" s="215"/>
      <c r="E361" s="215"/>
      <c r="F361" s="215"/>
      <c r="G361" s="215"/>
      <c r="H361" s="215"/>
      <c r="I361" s="215"/>
      <c r="J361" s="215"/>
      <c r="K361" s="215"/>
      <c r="L361" s="215"/>
      <c r="M361" s="968"/>
      <c r="N361" s="215">
        <f t="shared" ref="N361:AF361" si="805">N358/N354</f>
        <v>136.10016286644952</v>
      </c>
      <c r="O361" s="215">
        <f t="shared" si="805"/>
        <v>136.39782439782439</v>
      </c>
      <c r="P361" s="215">
        <f t="shared" si="805"/>
        <v>134.88383838383839</v>
      </c>
      <c r="Q361" s="215">
        <f t="shared" si="805"/>
        <v>135.54723346828609</v>
      </c>
      <c r="R361" s="968">
        <f t="shared" si="805"/>
        <v>135.54723346828609</v>
      </c>
      <c r="S361" s="215">
        <f t="shared" si="805"/>
        <v>135.83488063660477</v>
      </c>
      <c r="T361" s="215">
        <f t="shared" si="805"/>
        <v>135.76612377850162</v>
      </c>
      <c r="U361" s="215">
        <f t="shared" si="805"/>
        <v>136.05152671755727</v>
      </c>
      <c r="V361" s="215">
        <f t="shared" si="805"/>
        <v>136.09429280397023</v>
      </c>
      <c r="W361" s="968">
        <f t="shared" si="805"/>
        <v>136.09429280397023</v>
      </c>
      <c r="X361" s="215">
        <f t="shared" si="805"/>
        <v>137.16087751371114</v>
      </c>
      <c r="Y361" s="215">
        <f t="shared" si="805"/>
        <v>136.20365997638726</v>
      </c>
      <c r="Z361" s="215">
        <f t="shared" si="805"/>
        <v>136.22331217541836</v>
      </c>
      <c r="AA361" s="215">
        <f t="shared" si="805"/>
        <v>135.77790368271954</v>
      </c>
      <c r="AB361" s="968">
        <f t="shared" si="805"/>
        <v>135.77790368271954</v>
      </c>
      <c r="AC361" s="215">
        <f t="shared" si="805"/>
        <v>136.35058430717862</v>
      </c>
      <c r="AD361" s="215">
        <f t="shared" si="805"/>
        <v>136.1453647833242</v>
      </c>
      <c r="AE361" s="215">
        <f t="shared" si="805"/>
        <v>135.87561374795416</v>
      </c>
      <c r="AF361" s="215">
        <f t="shared" si="805"/>
        <v>136.13691194209892</v>
      </c>
      <c r="AG361" s="968">
        <f>+AF361</f>
        <v>136.13691194209892</v>
      </c>
      <c r="AH361" s="215">
        <f>AH358/AH354</f>
        <v>136.67624177139439</v>
      </c>
      <c r="AI361" s="215">
        <f>AI358/AI354</f>
        <v>135.8360655737705</v>
      </c>
      <c r="AJ361" s="215">
        <f>AJ358/AJ354</f>
        <v>135.70602265951104</v>
      </c>
      <c r="AK361" s="215">
        <f>AK358/AK354</f>
        <v>135.93907439953134</v>
      </c>
      <c r="AL361" s="968">
        <f>+AK361</f>
        <v>135.93907439953134</v>
      </c>
      <c r="AM361" s="215">
        <f>AM358/AM354</f>
        <v>136.84922010398614</v>
      </c>
      <c r="AN361" s="215">
        <f>AN358/AN354</f>
        <v>136.81948424068767</v>
      </c>
      <c r="AO361" s="215">
        <f>AO358/AO354</f>
        <v>136.21675155631013</v>
      </c>
      <c r="AP361" s="215">
        <f>AP358/AP354</f>
        <v>136.39798206278027</v>
      </c>
      <c r="AQ361" s="968">
        <f>+AP361</f>
        <v>136.39798206278027</v>
      </c>
      <c r="AR361" s="215">
        <f>AR358/AR354</f>
        <v>135.78246392896781</v>
      </c>
      <c r="AS361" s="215">
        <f>AS358/AS354</f>
        <v>135.58392564242754</v>
      </c>
      <c r="AT361" s="215">
        <f>AT358/AT354</f>
        <v>135.36241970021413</v>
      </c>
      <c r="AU361" s="215">
        <f>AU358/AU354</f>
        <v>134.90998959417274</v>
      </c>
      <c r="AV361" s="968">
        <f>+AU361</f>
        <v>134.90998959417274</v>
      </c>
      <c r="AW361" s="215">
        <f>AW358/AW354</f>
        <v>134.78012358393408</v>
      </c>
      <c r="AX361" s="215">
        <f>AX358/AX354</f>
        <v>134.66431806743836</v>
      </c>
      <c r="AY361" s="215">
        <f>AY358/AY354</f>
        <v>134.31978185423898</v>
      </c>
      <c r="AZ361" s="215">
        <f>AZ358/AZ354</f>
        <v>134.26310726310726</v>
      </c>
      <c r="BA361" s="968">
        <f>+AZ361</f>
        <v>134.26310726310726</v>
      </c>
      <c r="BB361" s="215">
        <f>BB358/BB354</f>
        <v>133.97025495750708</v>
      </c>
      <c r="BC361" s="215">
        <f>BC358/BC354</f>
        <v>133.67636195752539</v>
      </c>
      <c r="BD361" s="215">
        <f>BD358/BD354</f>
        <v>133.50089445438283</v>
      </c>
      <c r="BE361" s="215">
        <f>BE358/BE354</f>
        <v>133.50987275120667</v>
      </c>
      <c r="BF361" s="968">
        <f>+BE361</f>
        <v>133.50987275120667</v>
      </c>
      <c r="BG361" s="215">
        <f>BG358/BG354</f>
        <v>133.7695295640915</v>
      </c>
      <c r="BH361" s="215">
        <f>BH358/BH354</f>
        <v>133.68781942078365</v>
      </c>
      <c r="BI361" s="215">
        <f>BI358/BI354</f>
        <v>133.608347386172</v>
      </c>
      <c r="BJ361" s="215">
        <f>BJ358/BJ354</f>
        <v>134.37599330823923</v>
      </c>
      <c r="BK361" s="968">
        <f>+BJ361</f>
        <v>134.37599330823923</v>
      </c>
      <c r="BL361" s="215">
        <f>BL358/BL354</f>
        <v>134.79899916597165</v>
      </c>
      <c r="BM361" s="215">
        <f>BM358/BM354</f>
        <v>134.594124948283</v>
      </c>
      <c r="BN361" s="215">
        <f>BN358/BN354</f>
        <v>134.73945104465383</v>
      </c>
      <c r="BO361" s="215">
        <f>BO358/BO354</f>
        <v>134.83421159302796</v>
      </c>
      <c r="BP361" s="968">
        <f t="shared" ref="BP361:CG361" si="806">+BO361</f>
        <v>134.83421159302796</v>
      </c>
      <c r="BQ361" s="215">
        <f>BQ358/BQ354</f>
        <v>134.90414820781314</v>
      </c>
      <c r="BR361" s="215">
        <f>BR358/BR354</f>
        <v>134.82010370961308</v>
      </c>
      <c r="BS361" s="215">
        <f>BS358/BS354</f>
        <v>134.61043065981826</v>
      </c>
      <c r="BT361" s="215">
        <f t="shared" si="806"/>
        <v>134.61043065981826</v>
      </c>
      <c r="BU361" s="968">
        <f t="shared" si="806"/>
        <v>134.61043065981826</v>
      </c>
      <c r="BV361" s="215">
        <f t="shared" si="806"/>
        <v>134.61043065981826</v>
      </c>
      <c r="BW361" s="215">
        <f>+BV361</f>
        <v>134.61043065981826</v>
      </c>
      <c r="BX361" s="215">
        <f>+BW361</f>
        <v>134.61043065981826</v>
      </c>
      <c r="BY361" s="215">
        <f t="shared" si="806"/>
        <v>134.61043065981826</v>
      </c>
      <c r="BZ361" s="968">
        <f t="shared" si="806"/>
        <v>134.61043065981826</v>
      </c>
      <c r="CA361" s="215">
        <f>+BZ361</f>
        <v>134.61043065981826</v>
      </c>
      <c r="CB361" s="215">
        <f t="shared" si="806"/>
        <v>134.61043065981826</v>
      </c>
      <c r="CC361" s="215">
        <f t="shared" si="806"/>
        <v>134.61043065981826</v>
      </c>
      <c r="CD361" s="1788">
        <f t="shared" si="806"/>
        <v>134.61043065981826</v>
      </c>
      <c r="CE361" s="968">
        <f t="shared" si="806"/>
        <v>134.61043065981826</v>
      </c>
      <c r="CF361" s="215">
        <f>+CE361</f>
        <v>134.61043065981826</v>
      </c>
      <c r="CG361" s="215">
        <f t="shared" si="806"/>
        <v>134.61043065981826</v>
      </c>
      <c r="CH361" s="215">
        <f t="shared" ref="CH361:DA361" si="807">+CG361</f>
        <v>134.61043065981826</v>
      </c>
      <c r="CI361" s="1788">
        <f t="shared" si="807"/>
        <v>134.61043065981826</v>
      </c>
      <c r="CJ361" s="968">
        <f t="shared" si="807"/>
        <v>134.61043065981826</v>
      </c>
      <c r="CK361" s="215">
        <f t="shared" si="807"/>
        <v>134.61043065981826</v>
      </c>
      <c r="CL361" s="215">
        <f t="shared" si="807"/>
        <v>134.61043065981826</v>
      </c>
      <c r="CM361" s="215">
        <f t="shared" si="807"/>
        <v>134.61043065981826</v>
      </c>
      <c r="CN361" s="1788">
        <f t="shared" si="807"/>
        <v>134.61043065981826</v>
      </c>
      <c r="CO361" s="968">
        <f t="shared" si="807"/>
        <v>134.61043065981826</v>
      </c>
      <c r="CP361" s="215">
        <f t="shared" si="807"/>
        <v>134.61043065981826</v>
      </c>
      <c r="CQ361" s="215">
        <f t="shared" si="807"/>
        <v>134.61043065981826</v>
      </c>
      <c r="CR361" s="215">
        <f t="shared" si="807"/>
        <v>134.61043065981826</v>
      </c>
      <c r="CS361" s="215">
        <f t="shared" si="807"/>
        <v>134.61043065981826</v>
      </c>
      <c r="CT361" s="968">
        <f t="shared" si="807"/>
        <v>134.61043065981826</v>
      </c>
      <c r="CU361" s="215">
        <f>+CT361</f>
        <v>134.61043065981826</v>
      </c>
      <c r="CV361" s="215">
        <f>+CU361</f>
        <v>134.61043065981826</v>
      </c>
      <c r="CW361" s="215">
        <f>+CV361</f>
        <v>134.61043065981826</v>
      </c>
      <c r="CX361" s="215">
        <f>+CW361</f>
        <v>134.61043065981826</v>
      </c>
      <c r="CY361" s="968">
        <f t="shared" si="807"/>
        <v>134.61043065981826</v>
      </c>
      <c r="CZ361" s="968">
        <f t="shared" si="807"/>
        <v>134.61043065981826</v>
      </c>
      <c r="DA361" s="968">
        <f t="shared" si="807"/>
        <v>134.61043065981826</v>
      </c>
      <c r="DB361"/>
      <c r="DC361"/>
      <c r="DD361" s="1702" t="s">
        <v>1012</v>
      </c>
      <c r="DE361" s="2290">
        <f>M361</f>
        <v>0</v>
      </c>
      <c r="DF361" s="2290">
        <f>R361</f>
        <v>135.54723346828609</v>
      </c>
      <c r="DG361" s="2290">
        <f>W361</f>
        <v>136.09429280397023</v>
      </c>
      <c r="DH361" s="2290">
        <f>AB361</f>
        <v>135.77790368271954</v>
      </c>
      <c r="DI361" s="2290">
        <f>AG361</f>
        <v>136.13691194209892</v>
      </c>
      <c r="DJ361" s="2290">
        <f>AL361</f>
        <v>135.93907439953134</v>
      </c>
      <c r="DK361" s="2290">
        <f>AQ361</f>
        <v>136.39798206278027</v>
      </c>
      <c r="DL361" s="2290">
        <f>AV361</f>
        <v>134.90998959417274</v>
      </c>
      <c r="DM361" s="2290">
        <f>BA361</f>
        <v>134.26310726310726</v>
      </c>
      <c r="DN361" s="2290">
        <f>BF361</f>
        <v>133.50987275120667</v>
      </c>
      <c r="DO361" s="2290">
        <f>BK361</f>
        <v>134.37599330823923</v>
      </c>
      <c r="DP361" s="2290">
        <f>BP361</f>
        <v>134.83421159302796</v>
      </c>
      <c r="DQ361" s="2290">
        <f>BU361</f>
        <v>134.61043065981826</v>
      </c>
      <c r="DR361" s="2290">
        <f>BZ361</f>
        <v>134.61043065981826</v>
      </c>
      <c r="DS361" s="2290">
        <f>CE361</f>
        <v>134.61043065981826</v>
      </c>
      <c r="DT361" s="2290">
        <f>CJ361</f>
        <v>134.61043065981826</v>
      </c>
      <c r="DU361" s="2290">
        <f>CO361</f>
        <v>134.61043065981826</v>
      </c>
      <c r="DV361" s="2290">
        <f>CT361</f>
        <v>134.61043065981826</v>
      </c>
      <c r="DW361" s="2290">
        <f t="shared" si="799"/>
        <v>134.61043065981826</v>
      </c>
      <c r="DX361" s="2290">
        <f t="shared" si="799"/>
        <v>134.61043065981826</v>
      </c>
      <c r="DY361" s="2290">
        <f t="shared" si="799"/>
        <v>134.61043065981826</v>
      </c>
      <c r="EA361"/>
      <c r="EB361"/>
      <c r="EC361"/>
      <c r="ED361"/>
      <c r="EE361"/>
      <c r="EF361"/>
      <c r="EJ361"/>
      <c r="EK361"/>
      <c r="EL361"/>
      <c r="ER361" s="212"/>
    </row>
    <row r="362" spans="1:148" s="923" customFormat="1" ht="12.75" customHeight="1" x14ac:dyDescent="0.2">
      <c r="A362" s="504"/>
      <c r="B362" s="215"/>
      <c r="C362" s="215"/>
      <c r="D362" s="215"/>
      <c r="E362" s="215"/>
      <c r="F362" s="215"/>
      <c r="G362" s="215"/>
      <c r="H362" s="215"/>
      <c r="I362" s="215"/>
      <c r="J362" s="215"/>
      <c r="K362" s="215"/>
      <c r="L362" s="215"/>
      <c r="M362" s="968"/>
      <c r="N362" s="215"/>
      <c r="O362" s="215"/>
      <c r="P362" s="215"/>
      <c r="Q362" s="215"/>
      <c r="R362" s="968"/>
      <c r="S362" s="215"/>
      <c r="T362" s="215"/>
      <c r="U362" s="215"/>
      <c r="V362" s="215"/>
      <c r="W362" s="968"/>
      <c r="X362" s="215"/>
      <c r="Y362" s="215"/>
      <c r="Z362" s="215"/>
      <c r="AA362" s="215"/>
      <c r="AB362" s="968"/>
      <c r="AC362" s="215"/>
      <c r="AD362" s="215"/>
      <c r="AE362" s="215"/>
      <c r="AF362" s="215"/>
      <c r="AG362" s="968"/>
      <c r="AH362" s="215"/>
      <c r="AI362" s="215"/>
      <c r="AJ362" s="215"/>
      <c r="AK362" s="215"/>
      <c r="AL362" s="968"/>
      <c r="AM362" s="215"/>
      <c r="AN362" s="215"/>
      <c r="AO362" s="215"/>
      <c r="AP362" s="215"/>
      <c r="AQ362" s="968"/>
      <c r="AR362" s="215"/>
      <c r="AS362" s="215"/>
      <c r="AT362" s="215"/>
      <c r="AU362" s="215"/>
      <c r="AV362" s="968"/>
      <c r="AW362" s="215"/>
      <c r="AX362" s="215"/>
      <c r="AY362" s="215"/>
      <c r="AZ362" s="215"/>
      <c r="BA362" s="968"/>
      <c r="BB362" s="215"/>
      <c r="BC362" s="215"/>
      <c r="BD362" s="215"/>
      <c r="BE362" s="215"/>
      <c r="BF362" s="968"/>
      <c r="BG362" s="215"/>
      <c r="BH362" s="215"/>
      <c r="BI362" s="215"/>
      <c r="BJ362" s="215"/>
      <c r="BK362" s="968"/>
      <c r="BL362" s="215"/>
      <c r="BM362" s="215"/>
      <c r="BN362" s="215"/>
      <c r="BO362" s="215"/>
      <c r="BP362" s="968"/>
      <c r="BQ362" s="215"/>
      <c r="BR362" s="215"/>
      <c r="BS362" s="215"/>
      <c r="BT362" s="215"/>
      <c r="BU362" s="968"/>
      <c r="BV362" s="215"/>
      <c r="BW362" s="215"/>
      <c r="BX362" s="215"/>
      <c r="BY362" s="215"/>
      <c r="BZ362" s="968"/>
      <c r="CA362" s="215"/>
      <c r="CB362" s="215"/>
      <c r="CC362" s="215"/>
      <c r="CD362" s="1788"/>
      <c r="CE362" s="968"/>
      <c r="CF362" s="215"/>
      <c r="CG362" s="215"/>
      <c r="CH362" s="215"/>
      <c r="CI362" s="1788"/>
      <c r="CJ362" s="968"/>
      <c r="CK362" s="215"/>
      <c r="CL362" s="215"/>
      <c r="CM362" s="215"/>
      <c r="CN362" s="1788"/>
      <c r="CO362" s="968"/>
      <c r="CP362" s="215"/>
      <c r="CQ362" s="215"/>
      <c r="CR362" s="215"/>
      <c r="CS362" s="215"/>
      <c r="CT362" s="968"/>
      <c r="CU362" s="215"/>
      <c r="CV362" s="215"/>
      <c r="CW362" s="215"/>
      <c r="CX362" s="215"/>
      <c r="CY362" s="968"/>
      <c r="CZ362" s="968"/>
      <c r="DA362" s="968"/>
      <c r="DB362"/>
      <c r="DC362"/>
      <c r="DD362" s="2285"/>
      <c r="DE362" s="2290"/>
      <c r="DF362" s="2290"/>
      <c r="DG362" s="2290"/>
      <c r="DH362" s="2290"/>
      <c r="DI362" s="2290"/>
      <c r="DJ362" s="2290"/>
      <c r="DK362" s="2290"/>
      <c r="DL362" s="2290"/>
      <c r="DM362" s="2290"/>
      <c r="DN362" s="2290"/>
      <c r="DO362" s="2290"/>
      <c r="DP362" s="2290"/>
      <c r="DQ362" s="2290"/>
      <c r="DR362" s="2290"/>
      <c r="DS362" s="2290"/>
      <c r="DT362" s="2290"/>
      <c r="DU362" s="2290"/>
      <c r="DV362" s="2290"/>
      <c r="DW362" s="2290"/>
      <c r="DX362" s="2290"/>
      <c r="DY362" s="2290"/>
      <c r="EA362"/>
      <c r="EB362"/>
      <c r="EC362"/>
      <c r="ED362"/>
      <c r="EE362"/>
      <c r="EF362"/>
      <c r="EJ362"/>
      <c r="EK362"/>
      <c r="EL362"/>
      <c r="ER362" s="212"/>
    </row>
    <row r="363" spans="1:148" s="874" customFormat="1" ht="12.75" hidden="1" customHeight="1" outlineLevel="1" x14ac:dyDescent="0.2">
      <c r="A363" s="1675" t="s">
        <v>968</v>
      </c>
      <c r="M363" s="1042"/>
      <c r="R363" s="1042"/>
      <c r="W363" s="1042"/>
      <c r="AB363" s="1042"/>
      <c r="AG363" s="1042"/>
      <c r="AL363" s="1042"/>
      <c r="AQ363" s="1042"/>
      <c r="AV363" s="1042"/>
      <c r="BA363" s="1042"/>
      <c r="BF363" s="1042"/>
      <c r="BG363" s="874">
        <f>+RevPAR!AZ541</f>
        <v>-3.2355540421502828E-2</v>
      </c>
      <c r="BH363" s="874">
        <f>+RevPAR!BA541</f>
        <v>5.564184703966505E-2</v>
      </c>
      <c r="BI363" s="874">
        <f>+RevPAR!BB541</f>
        <v>6.5254574124400735E-2</v>
      </c>
      <c r="BJ363" s="874">
        <f>+RevPAR!BC541</f>
        <v>6.8461225850862215E-2</v>
      </c>
      <c r="BK363" s="1042">
        <f>+RevPAR!BD541</f>
        <v>4.138861579642527E-2</v>
      </c>
      <c r="BL363" s="874">
        <f>+RevPAR!BE541</f>
        <v>6.6281651054284296E-2</v>
      </c>
      <c r="BM363" s="874">
        <f>+RevPAR!BF541</f>
        <v>6.6859215262444038E-2</v>
      </c>
      <c r="BN363" s="874">
        <f>+RevPAR!BG541</f>
        <v>7.2314573928523737E-2</v>
      </c>
      <c r="BO363" s="874">
        <f>+RevPAR!BH541</f>
        <v>7.5455752579504237E-2</v>
      </c>
      <c r="BP363" s="1042">
        <f>+RevPAR!BI541</f>
        <v>7.0557732814636828E-2</v>
      </c>
      <c r="BQ363" s="874">
        <f>+RevPAR!BJ541</f>
        <v>7.4638289865718938E-2</v>
      </c>
      <c r="BR363" s="874">
        <f>+RevPAR!BK541</f>
        <v>7.3148333439620877E-2</v>
      </c>
      <c r="BS363" s="874">
        <f>+RevPAR!BL541</f>
        <v>6.7758077225945373E-2</v>
      </c>
      <c r="BT363" s="874">
        <f>+RevPAR!BM541</f>
        <v>6.6782800818485158E-2</v>
      </c>
      <c r="BU363" s="1042">
        <f>+RevPAR!BN541</f>
        <v>7.0203858239108935E-2</v>
      </c>
      <c r="BV363" s="874">
        <f>+RevPAR!BO541</f>
        <v>6.3947107639136053E-2</v>
      </c>
      <c r="BW363" s="874">
        <f>+RevPAR!BP541</f>
        <v>6.1894348889639156E-2</v>
      </c>
      <c r="BX363" s="874">
        <f>+RevPAR!BQ541</f>
        <v>4.3501832060146704E-2</v>
      </c>
      <c r="BY363" s="874">
        <f>+RevPAR!BR541</f>
        <v>1.3646915496021768E-2</v>
      </c>
      <c r="BZ363" s="1042">
        <f>+RevPAR!BS541</f>
        <v>4.8354728827465415E-2</v>
      </c>
      <c r="CA363" s="874">
        <f>+RevPAR!BT541</f>
        <v>6.0835814186267725E-2</v>
      </c>
      <c r="CB363" s="874">
        <f>+RevPAR!BU541</f>
        <v>6.7040300714398177E-2</v>
      </c>
      <c r="CC363" s="874">
        <f>+RevPAR!BV541</f>
        <v>9.0564412063531899E-2</v>
      </c>
      <c r="CD363" s="874">
        <f>+RevPAR!BW541</f>
        <v>7.9119104271402105E-2</v>
      </c>
      <c r="CE363" s="1042">
        <f>+RevPAR!BX541</f>
        <v>7.4716853359774682E-2</v>
      </c>
      <c r="CF363" s="874">
        <f>+RevPAR!BY541</f>
        <v>6.758014666489813E-2</v>
      </c>
      <c r="CG363" s="874">
        <f>+RevPAR!BZ541</f>
        <v>5.9636012607306693E-2</v>
      </c>
      <c r="CH363" s="874">
        <f>+RevPAR!CA541</f>
        <v>5.0397119335879058E-2</v>
      </c>
      <c r="CI363" s="874">
        <f>+RevPAR!CB541</f>
        <v>3.9334211363231703E-2</v>
      </c>
      <c r="CJ363" s="1042">
        <f>+RevPAR!CC541</f>
        <v>5.4094051708145643E-2</v>
      </c>
      <c r="CK363" s="874">
        <f>+RevPAR!CD541</f>
        <v>1.7789973767902898E-2</v>
      </c>
      <c r="CL363" s="874">
        <f>+RevPAR!CE541</f>
        <v>2.4762684274481365E-2</v>
      </c>
      <c r="CM363" s="874">
        <f>+RevPAR!CF541</f>
        <v>1.4048234902703221E-2</v>
      </c>
      <c r="CO363" s="1042"/>
      <c r="CT363" s="1042"/>
      <c r="CY363" s="1042"/>
      <c r="CZ363" s="1042"/>
      <c r="DA363" s="1042"/>
      <c r="DB363"/>
      <c r="DC363"/>
      <c r="DD363" s="1675" t="s">
        <v>968</v>
      </c>
      <c r="DE363" s="1042">
        <f>M363</f>
        <v>0</v>
      </c>
      <c r="DF363" s="1042">
        <f>R363</f>
        <v>0</v>
      </c>
      <c r="DG363" s="1042">
        <f>W363</f>
        <v>0</v>
      </c>
      <c r="DH363" s="1042">
        <f>AB363</f>
        <v>0</v>
      </c>
      <c r="DI363" s="1042">
        <f>AG363</f>
        <v>0</v>
      </c>
      <c r="DJ363" s="1042">
        <f>AL363</f>
        <v>0</v>
      </c>
      <c r="DK363" s="1042">
        <f>AQ363</f>
        <v>0</v>
      </c>
      <c r="DL363" s="1042">
        <f>AV363</f>
        <v>0</v>
      </c>
      <c r="DM363" s="1042">
        <f>BA363</f>
        <v>0</v>
      </c>
      <c r="DN363" s="1042">
        <f>BF363</f>
        <v>0</v>
      </c>
      <c r="DO363" s="1042">
        <f>BK363</f>
        <v>4.138861579642527E-2</v>
      </c>
      <c r="DP363" s="1042">
        <f>BP363</f>
        <v>7.0557732814636828E-2</v>
      </c>
      <c r="DQ363" s="1042">
        <f>BU363</f>
        <v>7.0203858239108935E-2</v>
      </c>
      <c r="DR363" s="1042">
        <f>BZ363</f>
        <v>4.8354728827465415E-2</v>
      </c>
      <c r="DS363" s="1042">
        <f>CE363</f>
        <v>7.4716853359774682E-2</v>
      </c>
      <c r="DT363" s="1042">
        <f>CJ363</f>
        <v>5.4094051708145643E-2</v>
      </c>
      <c r="DU363" s="1042">
        <f>CO363</f>
        <v>0</v>
      </c>
      <c r="DV363" s="1042">
        <f>CT363</f>
        <v>0</v>
      </c>
      <c r="DW363" s="1042">
        <f t="shared" ref="DW363:DY364" si="808">CY363</f>
        <v>0</v>
      </c>
      <c r="DX363" s="1042">
        <f t="shared" si="808"/>
        <v>0</v>
      </c>
      <c r="DY363" s="1042">
        <f t="shared" si="808"/>
        <v>0</v>
      </c>
      <c r="EA363"/>
      <c r="EB363"/>
      <c r="EC363"/>
      <c r="ED363"/>
      <c r="EE363"/>
      <c r="EF363"/>
      <c r="EJ363"/>
      <c r="EK363"/>
      <c r="EL363"/>
      <c r="ER363" s="872"/>
    </row>
    <row r="364" spans="1:148" s="1193" customFormat="1" ht="12.75" customHeight="1" collapsed="1" x14ac:dyDescent="0.2">
      <c r="A364" s="1675" t="s">
        <v>385</v>
      </c>
      <c r="B364" s="874"/>
      <c r="C364" s="874"/>
      <c r="D364" s="874"/>
      <c r="E364" s="874"/>
      <c r="F364" s="874"/>
      <c r="G364" s="874"/>
      <c r="H364" s="874"/>
      <c r="I364" s="874"/>
      <c r="J364" s="874"/>
      <c r="K364" s="874"/>
      <c r="L364" s="874"/>
      <c r="M364" s="1042"/>
      <c r="N364" s="874"/>
      <c r="O364" s="874"/>
      <c r="P364" s="874"/>
      <c r="Q364" s="874"/>
      <c r="R364" s="1042"/>
      <c r="S364" s="874"/>
      <c r="T364" s="874"/>
      <c r="U364" s="874"/>
      <c r="V364" s="874"/>
      <c r="W364" s="1042"/>
      <c r="X364" s="874"/>
      <c r="Y364" s="874"/>
      <c r="Z364" s="874"/>
      <c r="AA364" s="874"/>
      <c r="AB364" s="1042"/>
      <c r="AC364" s="874"/>
      <c r="AD364" s="874"/>
      <c r="AE364" s="874"/>
      <c r="AF364" s="874"/>
      <c r="AG364" s="1042"/>
      <c r="AH364" s="874"/>
      <c r="AI364" s="874"/>
      <c r="AJ364" s="874"/>
      <c r="AK364" s="874"/>
      <c r="AL364" s="1042"/>
      <c r="AM364" s="874"/>
      <c r="AN364" s="874"/>
      <c r="AO364" s="874"/>
      <c r="AP364" s="874"/>
      <c r="AQ364" s="1042"/>
      <c r="AR364" s="874"/>
      <c r="AS364" s="874"/>
      <c r="AT364" s="874"/>
      <c r="AU364" s="874"/>
      <c r="AV364" s="1042"/>
      <c r="AW364" s="874"/>
      <c r="AX364" s="874"/>
      <c r="AY364" s="874"/>
      <c r="AZ364" s="874"/>
      <c r="BA364" s="1042"/>
      <c r="BB364" s="874">
        <f>RevPAR!AU444</f>
        <v>-8.7834229818419374E-2</v>
      </c>
      <c r="BC364" s="874">
        <f>RevPAR!AV444</f>
        <v>-0.13575166408865247</v>
      </c>
      <c r="BD364" s="874">
        <f>RevPAR!AW444</f>
        <v>-0.10344981554619415</v>
      </c>
      <c r="BE364" s="874">
        <f>RevPAR!AX444</f>
        <v>-9.4538263423996294E-2</v>
      </c>
      <c r="BF364" s="1042">
        <f>RevPAR!AY444</f>
        <v>-0.10536690315329678</v>
      </c>
      <c r="BG364" s="874">
        <f>RevPAR!AZ444</f>
        <v>5.7968263221796157E-2</v>
      </c>
      <c r="BH364" s="874">
        <f>RevPAR!BA444</f>
        <v>0.15178768636449358</v>
      </c>
      <c r="BI364" s="874">
        <f>RevPAR!BB444</f>
        <v>0.13213042683117893</v>
      </c>
      <c r="BJ364" s="874">
        <f>RevPAR!BC444</f>
        <v>0.14186363606128594</v>
      </c>
      <c r="BK364" s="1042">
        <f>RevPAR!BD444</f>
        <v>0.12337693411002326</v>
      </c>
      <c r="BL364" s="874">
        <f>RevPAR!BE444</f>
        <v>0.12883334747279984</v>
      </c>
      <c r="BM364" s="874">
        <f>RevPAR!BF444</f>
        <v>0.11302335298049182</v>
      </c>
      <c r="BN364" s="874">
        <f>RevPAR!BG444</f>
        <v>0.11345030337206086</v>
      </c>
      <c r="BO364" s="874">
        <f>RevPAR!BH444</f>
        <v>0.10467730896100558</v>
      </c>
      <c r="BP364" s="1042">
        <f>RevPAR!BI444</f>
        <v>0.11386347545438169</v>
      </c>
      <c r="BQ364" s="874">
        <f>RevPAR!BJ444</f>
        <v>0.11291594183837805</v>
      </c>
      <c r="BR364" s="874">
        <f>RevPAR!BK444</f>
        <v>0.11543789473556165</v>
      </c>
      <c r="BS364" s="874">
        <f>RevPAR!BL444</f>
        <v>0.10921565029712132</v>
      </c>
      <c r="BT364" s="874">
        <f>RevPAR!BM444</f>
        <v>0.10518900513377449</v>
      </c>
      <c r="BU364" s="1042">
        <f>RevPAR!BN444</f>
        <v>0.1102882978882469</v>
      </c>
      <c r="BV364" s="874">
        <f>RevPAR!BO444</f>
        <v>0.19097150148916531</v>
      </c>
      <c r="BW364" s="874">
        <f>RevPAR!BP444</f>
        <v>0.18672388045264587</v>
      </c>
      <c r="BX364" s="874">
        <f>RevPAR!BQ444</f>
        <v>0.18662393614253969</v>
      </c>
      <c r="BY364" s="874">
        <f>RevPAR!BR444</f>
        <v>-0.12968118662044614</v>
      </c>
      <c r="BZ364" s="1042">
        <f>RevPAR!BS444</f>
        <v>9.2395541053313046E-2</v>
      </c>
      <c r="CA364" s="874">
        <f>RevPAR!BT444</f>
        <v>0.10240695153545065</v>
      </c>
      <c r="CB364" s="874">
        <f>RevPAR!BU444</f>
        <v>0.12002073104778233</v>
      </c>
      <c r="CC364" s="874">
        <f>RevPAR!BV444</f>
        <v>0.14275751353620225</v>
      </c>
      <c r="CD364" s="1603">
        <f>RevPAR!BW444</f>
        <v>0.13412277789025984</v>
      </c>
      <c r="CE364" s="1042">
        <f>RevPAR!BX444</f>
        <v>0.12538860169573907</v>
      </c>
      <c r="CF364" s="874">
        <f>RevPAR!BY444</f>
        <v>0.15298248046295448</v>
      </c>
      <c r="CG364" s="874">
        <f>RevPAR!BZ444</f>
        <v>0.17513477776009267</v>
      </c>
      <c r="CH364" s="874">
        <f>RevPAR!CA444</f>
        <v>0.17304379577233142</v>
      </c>
      <c r="CI364" s="1603">
        <f>RevPAR!CB444</f>
        <v>0.16051406650185096</v>
      </c>
      <c r="CJ364" s="1042">
        <f>RevPAR!CC444</f>
        <v>0.16605440341880184</v>
      </c>
      <c r="CK364" s="874">
        <f>RevPAR!CD444</f>
        <v>0.12479752383128084</v>
      </c>
      <c r="CL364" s="874">
        <f>RevPAR!CE444</f>
        <v>9.8167095540584226E-2</v>
      </c>
      <c r="CM364" s="874">
        <f>RevPAR!CF444</f>
        <v>7.6646712965784625E-2</v>
      </c>
      <c r="CN364" s="3205">
        <f>RevPAR!CG445</f>
        <v>8.2930843887454087E-2</v>
      </c>
      <c r="CO364" s="1042">
        <f>RevPAR!CH445</f>
        <v>9.7905680955898688E-2</v>
      </c>
      <c r="CP364" s="3206">
        <f>RevPAR!CI445</f>
        <v>6.7006566237011844E-2</v>
      </c>
      <c r="CQ364" s="3206">
        <f>RevPAR!CJ445</f>
        <v>5.7974369811573112E-2</v>
      </c>
      <c r="CR364" s="3206">
        <f>RevPAR!CK445</f>
        <v>6.4347497304730217E-2</v>
      </c>
      <c r="CS364" s="874">
        <f>RevPAR!CL444</f>
        <v>9.7506217821423435E-2</v>
      </c>
      <c r="CT364" s="1042">
        <f>RevPAR!CM445</f>
        <v>7.119955380551235E-2</v>
      </c>
      <c r="CU364" s="3927">
        <f>RevPAR!CN444+(130/$CT$381)-0.03</f>
        <v>0.13888985943358548</v>
      </c>
      <c r="CV364" s="3927">
        <f>RevPAR!CO444+(130/$CT$381)-0.03</f>
        <v>0.14442425811588436</v>
      </c>
      <c r="CW364" s="3927">
        <f>RevPAR!CP444+(130/$CT$381)-0.03</f>
        <v>0.13638888750383951</v>
      </c>
      <c r="CX364" s="3927">
        <f>RevPAR!CQ444+(130/$CT$381)-0.03</f>
        <v>0.12990223270132775</v>
      </c>
      <c r="CY364" s="1044">
        <f>AVERAGE(CU364:CX364)</f>
        <v>0.13740130943865927</v>
      </c>
      <c r="CZ364" s="3811">
        <f>RevPAR!CS444+50/CY378</f>
        <v>0.11089161774933254</v>
      </c>
      <c r="DA364" s="1042">
        <f>RevPAR!CT444</f>
        <v>1.999643682638097E-2</v>
      </c>
      <c r="DB364"/>
      <c r="DC364" s="374"/>
      <c r="DD364" s="1188" t="s">
        <v>385</v>
      </c>
      <c r="DE364" s="874">
        <f>M364</f>
        <v>0</v>
      </c>
      <c r="DF364" s="874">
        <f>R364</f>
        <v>0</v>
      </c>
      <c r="DG364" s="874">
        <f>W364</f>
        <v>0</v>
      </c>
      <c r="DH364" s="874">
        <f>AB364</f>
        <v>0</v>
      </c>
      <c r="DI364" s="874">
        <f>AG364</f>
        <v>0</v>
      </c>
      <c r="DJ364" s="874">
        <f>AL364</f>
        <v>0</v>
      </c>
      <c r="DK364" s="874">
        <f>AQ364</f>
        <v>0</v>
      </c>
      <c r="DL364" s="874">
        <f>AV364</f>
        <v>0</v>
      </c>
      <c r="DM364" s="874">
        <f>BA364</f>
        <v>0</v>
      </c>
      <c r="DN364" s="874">
        <f>BF364</f>
        <v>-0.10536690315329678</v>
      </c>
      <c r="DO364" s="874">
        <f>BK364</f>
        <v>0.12337693411002326</v>
      </c>
      <c r="DP364" s="874">
        <f>BP364</f>
        <v>0.11386347545438169</v>
      </c>
      <c r="DQ364" s="874">
        <f>BU364</f>
        <v>0.1102882978882469</v>
      </c>
      <c r="DR364" s="874">
        <f>BZ364</f>
        <v>9.2395541053313046E-2</v>
      </c>
      <c r="DS364" s="874">
        <f>CE364</f>
        <v>0.12538860169573907</v>
      </c>
      <c r="DT364" s="874">
        <f>CJ364</f>
        <v>0.16605440341880184</v>
      </c>
      <c r="DU364" s="874">
        <f>CO364</f>
        <v>9.7905680955898688E-2</v>
      </c>
      <c r="DV364" s="874">
        <f>CT364</f>
        <v>7.119955380551235E-2</v>
      </c>
      <c r="DW364" s="874">
        <f t="shared" si="808"/>
        <v>0.13740130943865927</v>
      </c>
      <c r="DX364" s="874">
        <f t="shared" si="808"/>
        <v>0.11089161774933254</v>
      </c>
      <c r="DY364" s="874">
        <f t="shared" si="808"/>
        <v>1.999643682638097E-2</v>
      </c>
      <c r="EA364"/>
      <c r="EB364"/>
      <c r="EC364"/>
      <c r="ED364"/>
      <c r="EE364"/>
      <c r="EF364"/>
      <c r="EJ364"/>
      <c r="EK364"/>
      <c r="EL364"/>
      <c r="ER364" s="212"/>
    </row>
    <row r="365" spans="1:148" s="923" customFormat="1" ht="12.75" customHeight="1" x14ac:dyDescent="0.2">
      <c r="A365" s="1675"/>
      <c r="B365" s="1004"/>
      <c r="C365" s="1004"/>
      <c r="D365" s="1004"/>
      <c r="E365" s="1004"/>
      <c r="F365" s="1004"/>
      <c r="G365" s="1004"/>
      <c r="H365" s="1004"/>
      <c r="I365" s="1004"/>
      <c r="J365" s="1004"/>
      <c r="K365" s="1004"/>
      <c r="L365" s="1004"/>
      <c r="M365" s="1050"/>
      <c r="N365" s="1004"/>
      <c r="O365" s="1004"/>
      <c r="P365" s="1004"/>
      <c r="Q365" s="1004"/>
      <c r="R365" s="1050"/>
      <c r="S365" s="1004"/>
      <c r="T365" s="1004"/>
      <c r="U365" s="1004"/>
      <c r="V365" s="1004"/>
      <c r="W365" s="1050"/>
      <c r="X365" s="1004"/>
      <c r="Y365" s="1004"/>
      <c r="Z365" s="1004"/>
      <c r="AA365" s="1004"/>
      <c r="AB365" s="1050"/>
      <c r="AC365" s="1004"/>
      <c r="AD365" s="1004"/>
      <c r="AE365" s="1004"/>
      <c r="AF365" s="1004"/>
      <c r="AG365" s="1050"/>
      <c r="AH365" s="1004"/>
      <c r="AI365" s="1004"/>
      <c r="AJ365" s="1004"/>
      <c r="AK365" s="1004"/>
      <c r="AL365" s="1050"/>
      <c r="AM365" s="1004"/>
      <c r="AN365" s="1004"/>
      <c r="AO365" s="1004"/>
      <c r="AP365" s="1004"/>
      <c r="AQ365" s="1050"/>
      <c r="AR365" s="1004"/>
      <c r="AS365" s="1004"/>
      <c r="AT365" s="1004"/>
      <c r="AU365" s="1004"/>
      <c r="AV365" s="1050"/>
      <c r="AW365" s="1004"/>
      <c r="AX365" s="1004"/>
      <c r="AY365" s="1004"/>
      <c r="AZ365" s="1004"/>
      <c r="BA365" s="1050"/>
      <c r="BB365" s="1004"/>
      <c r="BC365" s="1004"/>
      <c r="BD365" s="1004"/>
      <c r="BE365" s="1004"/>
      <c r="BF365" s="1050"/>
      <c r="BG365" s="1004"/>
      <c r="BH365" s="1004"/>
      <c r="BI365" s="1004"/>
      <c r="BJ365" s="1004"/>
      <c r="BK365" s="1050"/>
      <c r="BL365" s="1004"/>
      <c r="BM365" s="1004"/>
      <c r="BN365" s="1004"/>
      <c r="BO365" s="1004"/>
      <c r="BP365" s="1050"/>
      <c r="BQ365" s="1004"/>
      <c r="BR365" s="1004"/>
      <c r="BS365" s="1004"/>
      <c r="BT365" s="1004"/>
      <c r="BU365" s="1050"/>
      <c r="BV365" s="1004"/>
      <c r="BW365" s="1004"/>
      <c r="BX365" s="1004"/>
      <c r="BY365" s="1004"/>
      <c r="BZ365" s="1050"/>
      <c r="CA365" s="1004"/>
      <c r="CB365" s="1004"/>
      <c r="CC365" s="1004"/>
      <c r="CD365" s="1809"/>
      <c r="CE365" s="1050"/>
      <c r="CF365" s="1004"/>
      <c r="CG365" s="1004"/>
      <c r="CH365" s="1004"/>
      <c r="CI365" s="1809"/>
      <c r="CJ365" s="1050"/>
      <c r="CK365" s="1004"/>
      <c r="CL365" s="1004"/>
      <c r="CM365" s="1004"/>
      <c r="CN365" s="1809"/>
      <c r="CO365" s="1050"/>
      <c r="CP365" s="1004"/>
      <c r="CQ365" s="1004"/>
      <c r="CR365" s="1004"/>
      <c r="CS365" s="1004"/>
      <c r="CT365" s="1050"/>
      <c r="CU365"/>
      <c r="CV365" s="1004"/>
      <c r="CW365" s="1004"/>
      <c r="CX365" s="1004"/>
      <c r="CY365" s="1050"/>
      <c r="CZ365" s="1050"/>
      <c r="DA365" s="1050"/>
      <c r="DB365"/>
      <c r="DC365"/>
      <c r="DD365" s="1675"/>
      <c r="DE365" s="1001"/>
      <c r="DF365" s="1001"/>
      <c r="DG365" s="1001"/>
      <c r="DH365" s="1001"/>
      <c r="DI365" s="1001"/>
      <c r="DJ365" s="1001"/>
      <c r="DK365" s="1001"/>
      <c r="DL365" s="1001"/>
      <c r="DM365" s="1001"/>
      <c r="DN365" s="1001"/>
      <c r="DO365" s="1001"/>
      <c r="DP365" s="1001"/>
      <c r="DQ365" s="1001"/>
      <c r="DR365" s="1001"/>
      <c r="DS365" s="1001"/>
      <c r="DT365" s="1001"/>
      <c r="DU365" s="1001"/>
      <c r="DV365" s="1001"/>
      <c r="DW365" s="1001"/>
      <c r="DX365" s="1001"/>
      <c r="DY365" s="1001"/>
      <c r="EA365"/>
      <c r="EB365"/>
      <c r="EC365"/>
      <c r="ED365"/>
      <c r="EE365"/>
      <c r="EF365"/>
      <c r="EJ365"/>
      <c r="EK365"/>
      <c r="EL365"/>
      <c r="ER365" s="212"/>
    </row>
    <row r="366" spans="1:148" s="923" customFormat="1" ht="12.75" customHeight="1" x14ac:dyDescent="0.2">
      <c r="A366" s="1683" t="s">
        <v>977</v>
      </c>
      <c r="B366" s="1004"/>
      <c r="C366" s="1004"/>
      <c r="D366" s="1004"/>
      <c r="E366" s="1004"/>
      <c r="F366" s="1004"/>
      <c r="G366" s="1004"/>
      <c r="H366" s="1004"/>
      <c r="I366" s="1004"/>
      <c r="J366" s="1004"/>
      <c r="K366" s="1004"/>
      <c r="L366" s="1004"/>
      <c r="M366" s="1050"/>
      <c r="N366" s="1004"/>
      <c r="O366" s="1004"/>
      <c r="P366" s="1004"/>
      <c r="Q366" s="1004"/>
      <c r="R366" s="1050"/>
      <c r="S366" s="1004"/>
      <c r="T366" s="1004"/>
      <c r="U366" s="1004"/>
      <c r="V366" s="1004"/>
      <c r="W366" s="1050"/>
      <c r="X366" s="1004"/>
      <c r="Y366" s="1004"/>
      <c r="Z366" s="1004"/>
      <c r="AA366" s="1004"/>
      <c r="AB366" s="1050"/>
      <c r="AC366" s="1004"/>
      <c r="AD366" s="1004"/>
      <c r="AE366" s="1004"/>
      <c r="AF366" s="1004"/>
      <c r="AG366" s="1050"/>
      <c r="AH366" s="1004"/>
      <c r="AI366" s="1004"/>
      <c r="AJ366" s="1004"/>
      <c r="AK366" s="1004"/>
      <c r="AL366" s="1050"/>
      <c r="AM366" s="1004"/>
      <c r="AN366" s="1004"/>
      <c r="AO366" s="1004"/>
      <c r="AP366" s="1004"/>
      <c r="AQ366" s="1050"/>
      <c r="AR366" s="1004"/>
      <c r="AS366" s="1004"/>
      <c r="AT366" s="1004"/>
      <c r="AU366" s="1004"/>
      <c r="AV366" s="1050"/>
      <c r="AW366" s="1004"/>
      <c r="AX366" s="1004"/>
      <c r="AY366" s="1004"/>
      <c r="AZ366" s="1004"/>
      <c r="BA366" s="1050"/>
      <c r="BB366" s="1004"/>
      <c r="BC366" s="1004"/>
      <c r="BD366" s="1004"/>
      <c r="BE366" s="1004"/>
      <c r="BF366" s="1050"/>
      <c r="BG366" s="1004"/>
      <c r="BH366" s="1004"/>
      <c r="BI366" s="1004"/>
      <c r="BJ366" s="1004"/>
      <c r="BK366" s="1050"/>
      <c r="BL366" s="1004"/>
      <c r="BM366" s="1004"/>
      <c r="BN366" s="1004"/>
      <c r="BO366" s="1004"/>
      <c r="BP366" s="1050"/>
      <c r="BQ366" s="1004"/>
      <c r="BR366" s="1004"/>
      <c r="BS366" s="1004"/>
      <c r="BT366" s="1004"/>
      <c r="BU366" s="1050"/>
      <c r="BV366" s="1004"/>
      <c r="BW366" s="1004"/>
      <c r="BX366" s="1004"/>
      <c r="BY366" s="1004"/>
      <c r="BZ366" s="1050"/>
      <c r="CA366" s="1004"/>
      <c r="CB366" s="1004"/>
      <c r="CC366" s="1004"/>
      <c r="CD366" s="1809"/>
      <c r="CE366" s="1050"/>
      <c r="CF366" s="1004"/>
      <c r="CG366" s="1004"/>
      <c r="CH366" s="1004"/>
      <c r="CI366" s="1809"/>
      <c r="CJ366" s="1050"/>
      <c r="CK366" s="1004"/>
      <c r="CL366" s="1004"/>
      <c r="CM366" s="1004"/>
      <c r="CN366" s="1809"/>
      <c r="CO366" s="1050"/>
      <c r="CP366" s="1004"/>
      <c r="CQ366" s="1004"/>
      <c r="CR366" s="1004"/>
      <c r="CS366" s="1004"/>
      <c r="CT366" s="1050"/>
      <c r="CU366" s="1004"/>
      <c r="CV366" s="1004"/>
      <c r="CW366" s="1004"/>
      <c r="CX366" s="1004"/>
      <c r="CY366" s="1050"/>
      <c r="CZ366" s="1050"/>
      <c r="DA366" s="1050"/>
      <c r="DB366"/>
      <c r="DC366"/>
      <c r="DD366" s="1683" t="s">
        <v>977</v>
      </c>
      <c r="DE366" s="1001"/>
      <c r="DF366" s="1001"/>
      <c r="DG366" s="1001"/>
      <c r="DH366" s="1001"/>
      <c r="DI366" s="1001"/>
      <c r="DJ366" s="1001"/>
      <c r="DK366" s="1001"/>
      <c r="DL366" s="1001"/>
      <c r="DM366" s="1001"/>
      <c r="DN366" s="1001"/>
      <c r="DO366" s="1001"/>
      <c r="DP366" s="1001"/>
      <c r="DQ366" s="1001"/>
      <c r="DR366" s="1001"/>
      <c r="DS366" s="1001"/>
      <c r="DT366" s="1001"/>
      <c r="DU366" s="1001"/>
      <c r="DV366" s="1001"/>
      <c r="DW366" s="1001"/>
      <c r="DX366" s="1001"/>
      <c r="DY366" s="1001"/>
      <c r="EA366"/>
      <c r="EB366"/>
      <c r="EC366"/>
      <c r="ED366"/>
      <c r="EE366"/>
      <c r="EF366"/>
      <c r="EJ366"/>
      <c r="EK366"/>
      <c r="EL366"/>
      <c r="EM366" s="1703"/>
      <c r="ER366" s="212"/>
    </row>
    <row r="367" spans="1:148" s="923" customFormat="1" ht="12.75" customHeight="1" x14ac:dyDescent="0.2">
      <c r="A367" s="1711" t="s">
        <v>975</v>
      </c>
      <c r="B367" s="1713"/>
      <c r="C367" s="1713"/>
      <c r="D367" s="1713"/>
      <c r="E367" s="1713"/>
      <c r="F367" s="1713"/>
      <c r="G367" s="1713"/>
      <c r="H367" s="1713"/>
      <c r="I367" s="1713"/>
      <c r="J367" s="1713"/>
      <c r="K367" s="1713"/>
      <c r="L367" s="1713"/>
      <c r="M367" s="1710"/>
      <c r="N367" s="1713"/>
      <c r="O367" s="1713"/>
      <c r="P367" s="1713"/>
      <c r="Q367" s="1713"/>
      <c r="R367" s="1710"/>
      <c r="S367" s="1713"/>
      <c r="T367" s="1713"/>
      <c r="U367" s="1713"/>
      <c r="V367" s="1713"/>
      <c r="W367" s="1710"/>
      <c r="X367" s="1713"/>
      <c r="Y367" s="1713"/>
      <c r="Z367" s="1713"/>
      <c r="AA367" s="1713"/>
      <c r="AB367" s="1710"/>
      <c r="AC367" s="1713"/>
      <c r="AD367" s="1713"/>
      <c r="AE367" s="1713"/>
      <c r="AF367" s="1713"/>
      <c r="AG367" s="1710"/>
      <c r="AH367" s="1713"/>
      <c r="AI367" s="1713"/>
      <c r="AJ367" s="1713"/>
      <c r="AK367" s="1713"/>
      <c r="AL367" s="1710"/>
      <c r="AM367" s="1713"/>
      <c r="AN367" s="1713"/>
      <c r="AO367" s="1713"/>
      <c r="AP367" s="1713"/>
      <c r="AQ367" s="1710"/>
      <c r="AR367" s="1713">
        <f>RevPAR!AK442</f>
        <v>1541.0276936963855</v>
      </c>
      <c r="AS367" s="1713">
        <f>RevPAR!AL442</f>
        <v>1777.1767367331604</v>
      </c>
      <c r="AT367" s="1713">
        <f>RevPAR!AM442</f>
        <v>1788.8649743445601</v>
      </c>
      <c r="AU367" s="1713">
        <f>RevPAR!AN442</f>
        <v>2312.84177452725</v>
      </c>
      <c r="AV367" s="1710">
        <f>+SUM(AR367:AU367)</f>
        <v>7419.9111793013562</v>
      </c>
      <c r="AW367" s="1713">
        <f>RevPAR!AP442</f>
        <v>1702.4658537339599</v>
      </c>
      <c r="AX367" s="1713">
        <f>RevPAR!AQ442</f>
        <v>1934.9205440241601</v>
      </c>
      <c r="AY367" s="1713">
        <f>RevPAR!AR442</f>
        <v>1908.97893682272</v>
      </c>
      <c r="AZ367" s="1713">
        <f>RevPAR!AS442</f>
        <v>2334.8861216027099</v>
      </c>
      <c r="BA367" s="1710">
        <f>+SUM(AW367:AZ367)</f>
        <v>7881.2514561835496</v>
      </c>
      <c r="BB367" s="1713">
        <f>RevPAR!AU442</f>
        <v>1552.9310766790798</v>
      </c>
      <c r="BC367" s="1713">
        <f>RevPAR!AV442</f>
        <v>1672.2518602935597</v>
      </c>
      <c r="BD367" s="1713">
        <f>RevPAR!AW442</f>
        <v>1711.4954179268398</v>
      </c>
      <c r="BE367" s="1713">
        <f>RevPAR!AX442</f>
        <v>2114.1500423735997</v>
      </c>
      <c r="BF367" s="1710">
        <f>+SUM(BB367:BE367)</f>
        <v>7050.8283972730787</v>
      </c>
      <c r="BG367" s="1713">
        <f>RevPAR!AZ442</f>
        <v>1642.9517940973199</v>
      </c>
      <c r="BH367" s="1713">
        <f>RevPAR!BA442</f>
        <v>1926.0791011862395</v>
      </c>
      <c r="BI367" s="1713">
        <f>RevPAR!BB442</f>
        <v>1937.63603801712</v>
      </c>
      <c r="BJ367" s="1713">
        <f>RevPAR!BC442</f>
        <v>2414.0710545638403</v>
      </c>
      <c r="BK367" s="1710">
        <f>+SUM(BG367:BJ367)</f>
        <v>7920.7379878645197</v>
      </c>
      <c r="BL367" s="1713">
        <f>RevPAR!BE442</f>
        <v>1854.6187734673199</v>
      </c>
      <c r="BM367" s="1713">
        <f>RevPAR!BF442</f>
        <v>2143.7710193079602</v>
      </c>
      <c r="BN367" s="1713">
        <f>RevPAR!BG442</f>
        <v>2157.4614343548001</v>
      </c>
      <c r="BO367" s="1713">
        <f>RevPAR!BH442</f>
        <v>2666.7695161962401</v>
      </c>
      <c r="BP367" s="1710">
        <f>+SUM(BL367:BO367)</f>
        <v>8822.6207433263207</v>
      </c>
      <c r="BQ367" s="1713">
        <f>RevPAR!BJ442</f>
        <v>2064.03479902452</v>
      </c>
      <c r="BR367" s="1713">
        <f>RevPAR!BK442</f>
        <v>2391.2434325719801</v>
      </c>
      <c r="BS367" s="1713">
        <f>RevPAR!BL442</f>
        <v>2393.0899878988198</v>
      </c>
      <c r="BT367" s="1713">
        <f>RevPAR!BM442</f>
        <v>2947.284348526</v>
      </c>
      <c r="BU367" s="1710">
        <f>+SUM(BQ367:BT367)</f>
        <v>9795.6525680213199</v>
      </c>
      <c r="BV367" s="1713">
        <f>RevPAR!BO442</f>
        <v>2458.2066237201202</v>
      </c>
      <c r="BW367" s="1713">
        <f>RevPAR!BP442</f>
        <v>2837.745685408725</v>
      </c>
      <c r="BX367" s="1713">
        <f>RevPAR!BQ442</f>
        <v>2839.6978609838002</v>
      </c>
      <c r="BY367" s="1713">
        <f>RevPAR!BR442</f>
        <v>2565.0770169012799</v>
      </c>
      <c r="BZ367" s="1710">
        <f>+SUM(BV367:BY367)</f>
        <v>10700.727187013925</v>
      </c>
      <c r="CA367" s="1713">
        <f>RevPAR!BT442</f>
        <v>2709.9440702995503</v>
      </c>
      <c r="CB367" s="1713">
        <f>RevPAR!BU442</f>
        <v>3178.3339970991701</v>
      </c>
      <c r="CC367" s="1713">
        <f>RevPAR!BV442</f>
        <v>3245.0860668119199</v>
      </c>
      <c r="CD367" s="1806">
        <f>RevPAR!BW442</f>
        <v>2909.1122719105406</v>
      </c>
      <c r="CE367" s="1710">
        <f>+SUM(CA367:CD367)</f>
        <v>12042.476406121181</v>
      </c>
      <c r="CF367" s="1713">
        <f>RevPAR!BY442</f>
        <v>3124.5180360898503</v>
      </c>
      <c r="CG367" s="1713">
        <f>RevPAR!BZ442</f>
        <v>3734.9708153284801</v>
      </c>
      <c r="CH367" s="1713">
        <f>RevPAR!CA442</f>
        <v>3806.6280774209599</v>
      </c>
      <c r="CI367" s="1806">
        <f>RevPAR!CB442</f>
        <v>3376.06571258534</v>
      </c>
      <c r="CJ367" s="1710">
        <f>+SUM(CF367:CI367)</f>
        <v>14042.18264142463</v>
      </c>
      <c r="CK367" s="1713">
        <f>RevPAR!CD442</f>
        <v>3514.4501501600403</v>
      </c>
      <c r="CL367" s="1713">
        <f>RevPAR!CE442</f>
        <v>4101.6220521981249</v>
      </c>
      <c r="CM367" s="1713">
        <f>RevPAR!CF442</f>
        <v>4098.3936070385407</v>
      </c>
      <c r="CN367" s="1806">
        <f>RevPAR!CG442</f>
        <v>5225.4478678799996</v>
      </c>
      <c r="CO367" s="1710">
        <f>+SUM(CK367:CN367)</f>
        <v>16939.913677276705</v>
      </c>
      <c r="CP367" s="1713">
        <f>RevPAR!CI442</f>
        <v>5290.5251349</v>
      </c>
      <c r="CQ367" s="1713">
        <f>RevPAR!CJ442</f>
        <v>6150.0830509299985</v>
      </c>
      <c r="CR367" s="1713">
        <f>RevPAR!CK442</f>
        <v>6181.4739703200003</v>
      </c>
      <c r="CS367" s="1713">
        <f>RevPAR!CL442</f>
        <v>5734.9615258999993</v>
      </c>
      <c r="CT367" s="1710">
        <f>+SUM(CP367:CS367)</f>
        <v>23357.043682049996</v>
      </c>
      <c r="CU367" s="1713">
        <f>RevPAR!CN442</f>
        <v>5758.9680863700341</v>
      </c>
      <c r="CV367" s="1713">
        <f>RevPAR!CO442</f>
        <v>6728.6714978506016</v>
      </c>
      <c r="CW367" s="1713">
        <f>RevPAR!CP442</f>
        <v>6713.3451826402579</v>
      </c>
      <c r="CX367" s="1713">
        <f>RevPAR!CQ442</f>
        <v>6191.2128499378578</v>
      </c>
      <c r="CY367" s="1710">
        <f>+SUM(CU367:CX367)</f>
        <v>25392.197616798752</v>
      </c>
      <c r="CZ367" s="1710">
        <f>RevPAR!CS442</f>
        <v>27518.074145160655</v>
      </c>
      <c r="DA367" s="1710">
        <f>RevPAR!CT442</f>
        <v>28068.337576388029</v>
      </c>
      <c r="DB367"/>
      <c r="DC367"/>
      <c r="DD367" s="2338" t="s">
        <v>975</v>
      </c>
      <c r="DE367" s="2341">
        <f>M367</f>
        <v>0</v>
      </c>
      <c r="DF367" s="2341">
        <f>R367</f>
        <v>0</v>
      </c>
      <c r="DG367" s="2341">
        <f>W367</f>
        <v>0</v>
      </c>
      <c r="DH367" s="2341">
        <f>AB367</f>
        <v>0</v>
      </c>
      <c r="DI367" s="2341">
        <f>AG367</f>
        <v>0</v>
      </c>
      <c r="DJ367" s="2341">
        <f>AL367</f>
        <v>0</v>
      </c>
      <c r="DK367" s="2341">
        <f>AQ367</f>
        <v>0</v>
      </c>
      <c r="DL367" s="2341">
        <f>AV367</f>
        <v>7419.9111793013562</v>
      </c>
      <c r="DM367" s="2341">
        <f>BA367</f>
        <v>7881.2514561835496</v>
      </c>
      <c r="DN367" s="2341">
        <f>BF367</f>
        <v>7050.8283972730787</v>
      </c>
      <c r="DO367" s="2341">
        <f>BK367</f>
        <v>7920.7379878645197</v>
      </c>
      <c r="DP367" s="2341">
        <f>BP367</f>
        <v>8822.6207433263207</v>
      </c>
      <c r="DQ367" s="2341">
        <f>BU367</f>
        <v>9795.6525680213199</v>
      </c>
      <c r="DR367" s="2341">
        <f>BZ367</f>
        <v>10700.727187013925</v>
      </c>
      <c r="DS367" s="2341">
        <f>CE367</f>
        <v>12042.476406121181</v>
      </c>
      <c r="DT367" s="2341">
        <f>CJ367</f>
        <v>14042.18264142463</v>
      </c>
      <c r="DU367" s="2341">
        <f>CO367</f>
        <v>16939.913677276705</v>
      </c>
      <c r="DV367" s="2341">
        <f>CT367</f>
        <v>23357.043682049996</v>
      </c>
      <c r="DW367" s="2341">
        <f t="shared" ref="DW367:DY369" si="809">CY367</f>
        <v>25392.197616798752</v>
      </c>
      <c r="DX367" s="2341">
        <f t="shared" si="809"/>
        <v>27518.074145160655</v>
      </c>
      <c r="DY367" s="2341">
        <f t="shared" si="809"/>
        <v>28068.337576388029</v>
      </c>
      <c r="EA367"/>
      <c r="EB367"/>
      <c r="EC367"/>
      <c r="ED367"/>
      <c r="EE367"/>
      <c r="EF367"/>
      <c r="EJ367"/>
      <c r="EK367"/>
      <c r="EL367"/>
      <c r="ER367" s="212"/>
    </row>
    <row r="368" spans="1:148" s="923" customFormat="1" ht="12.75" customHeight="1" x14ac:dyDescent="0.2">
      <c r="A368" s="1712" t="s">
        <v>2036</v>
      </c>
      <c r="B368" s="850"/>
      <c r="C368" s="850"/>
      <c r="D368" s="850"/>
      <c r="E368" s="850"/>
      <c r="F368" s="850"/>
      <c r="G368" s="850"/>
      <c r="H368" s="850"/>
      <c r="I368" s="850"/>
      <c r="J368" s="850"/>
      <c r="K368" s="850"/>
      <c r="L368" s="850"/>
      <c r="M368" s="970"/>
      <c r="N368" s="850"/>
      <c r="O368" s="850"/>
      <c r="P368" s="850"/>
      <c r="Q368" s="850"/>
      <c r="R368" s="970"/>
      <c r="S368" s="850"/>
      <c r="T368" s="850"/>
      <c r="U368" s="850"/>
      <c r="V368" s="850"/>
      <c r="W368" s="970"/>
      <c r="X368" s="850"/>
      <c r="Y368" s="850"/>
      <c r="Z368" s="850"/>
      <c r="AA368" s="850"/>
      <c r="AB368" s="970"/>
      <c r="AC368" s="850"/>
      <c r="AD368" s="850"/>
      <c r="AE368" s="850"/>
      <c r="AF368" s="850"/>
      <c r="AG368" s="970"/>
      <c r="AH368" s="850"/>
      <c r="AI368" s="850"/>
      <c r="AJ368" s="850"/>
      <c r="AK368" s="850"/>
      <c r="AL368" s="970"/>
      <c r="AM368" s="850"/>
      <c r="AN368" s="850"/>
      <c r="AO368" s="850"/>
      <c r="AP368" s="850"/>
      <c r="AQ368" s="970"/>
      <c r="AR368" s="850">
        <f>RevPAR!AK452</f>
        <v>0</v>
      </c>
      <c r="AS368" s="850">
        <f>RevPAR!AL452</f>
        <v>0</v>
      </c>
      <c r="AT368" s="850">
        <f>RevPAR!AM452</f>
        <v>0</v>
      </c>
      <c r="AU368" s="850">
        <f>RevPAR!AN452</f>
        <v>0</v>
      </c>
      <c r="AV368" s="970">
        <f>SUM(AR368:AU368)</f>
        <v>0</v>
      </c>
      <c r="AW368" s="850">
        <f>RevPAR!AP452</f>
        <v>250.45827432623656</v>
      </c>
      <c r="AX368" s="850">
        <f>RevPAR!AQ452</f>
        <v>284.51269132146604</v>
      </c>
      <c r="AY368" s="850">
        <f>RevPAR!AR452</f>
        <v>263.10451331900936</v>
      </c>
      <c r="AZ368" s="850">
        <f>RevPAR!AS452</f>
        <v>335.43063436099561</v>
      </c>
      <c r="BA368" s="970">
        <f>SUM(AW368:AZ368)</f>
        <v>1133.5061133277075</v>
      </c>
      <c r="BB368" s="850">
        <f>RevPAR!AU452</f>
        <v>186.74985444951551</v>
      </c>
      <c r="BC368" s="850">
        <f>RevPAR!AV452</f>
        <v>191.26555734670208</v>
      </c>
      <c r="BD368" s="850">
        <f>RevPAR!AW452</f>
        <v>193.17407692784138</v>
      </c>
      <c r="BE368" s="850">
        <f>RevPAR!AX452</f>
        <v>290.45679533484156</v>
      </c>
      <c r="BF368" s="970">
        <f>SUM(BB368:BE368)</f>
        <v>861.64628405890051</v>
      </c>
      <c r="BG368" s="850">
        <f>RevPAR!AZ452</f>
        <v>196.27424484760562</v>
      </c>
      <c r="BH368" s="850">
        <f>RevPAR!BA452</f>
        <v>228.99021491350311</v>
      </c>
      <c r="BI368" s="850">
        <f>RevPAR!BB452</f>
        <v>222.96735951179295</v>
      </c>
      <c r="BJ368" s="850">
        <f>RevPAR!BC452</f>
        <v>335.40456290756447</v>
      </c>
      <c r="BK368" s="970">
        <f>SUM(BG368:BJ368)</f>
        <v>983.63638218046617</v>
      </c>
      <c r="BL368" s="850">
        <f>RevPAR!BE452</f>
        <v>225.37817857891702</v>
      </c>
      <c r="BM368" s="850">
        <f>RevPAR!BF452</f>
        <v>273.5133424210519</v>
      </c>
      <c r="BN368" s="850">
        <f>RevPAR!BG452</f>
        <v>277.16639280910181</v>
      </c>
      <c r="BO368" s="850">
        <f>RevPAR!BH452</f>
        <v>388.41009070937287</v>
      </c>
      <c r="BP368" s="970">
        <f>SUM(BL368:BO368)</f>
        <v>1164.4680045184436</v>
      </c>
      <c r="BQ368" s="850">
        <f>RevPAR!BJ452</f>
        <v>252.51590792255251</v>
      </c>
      <c r="BR368" s="850">
        <f>RevPAR!BK452</f>
        <v>296.01945747117213</v>
      </c>
      <c r="BS368" s="850">
        <f>RevPAR!BL452</f>
        <v>279.98639826577346</v>
      </c>
      <c r="BT368" s="850">
        <f>RevPAR!BM452</f>
        <v>398.47321846470203</v>
      </c>
      <c r="BU368" s="970">
        <f>SUM(BQ368:BT368)</f>
        <v>1226.9949821242001</v>
      </c>
      <c r="BV368" s="850">
        <f>RevPAR!BO452</f>
        <v>313.77207757021387</v>
      </c>
      <c r="BW368" s="850">
        <f>RevPAR!BP452</f>
        <v>346.32170564733417</v>
      </c>
      <c r="BX368" s="850">
        <f>RevPAR!BQ452</f>
        <v>341.64789079937543</v>
      </c>
      <c r="BY368" s="850">
        <f>RevPAR!BR452</f>
        <v>362.46683529649403</v>
      </c>
      <c r="BZ368" s="970">
        <f>SUM(BV368:BY368)</f>
        <v>1364.2085093134174</v>
      </c>
      <c r="CA368" s="850">
        <f>RevPAR!BT452</f>
        <v>420.73751104460212</v>
      </c>
      <c r="CB368" s="216">
        <f>RevPAR!BU452</f>
        <v>496.53184137449375</v>
      </c>
      <c r="CC368" s="216">
        <f>RevPAR!BV452</f>
        <v>514.25406053056645</v>
      </c>
      <c r="CD368" s="1782">
        <f>RevPAR!BW452</f>
        <v>569.82021086835675</v>
      </c>
      <c r="CE368" s="970">
        <f>SUM(CA368:CD368)</f>
        <v>2001.3436238180191</v>
      </c>
      <c r="CF368" s="850">
        <f>RevPAR!BY452</f>
        <v>429.85176606114055</v>
      </c>
      <c r="CG368" s="216">
        <f>RevPAR!BZ452</f>
        <v>432.83320488842776</v>
      </c>
      <c r="CH368" s="216">
        <f>RevPAR!CA452</f>
        <v>437.49062095010396</v>
      </c>
      <c r="CI368" s="1782">
        <f>RevPAR!CB452</f>
        <v>471.80987056909885</v>
      </c>
      <c r="CJ368" s="970">
        <f>SUM(CF368:CI368)</f>
        <v>1771.9854624687712</v>
      </c>
      <c r="CK368" s="216">
        <f>RevPAR!CD452</f>
        <v>428.89086076623016</v>
      </c>
      <c r="CL368" s="216">
        <f>RevPAR!CE452</f>
        <v>459.70260956873381</v>
      </c>
      <c r="CM368" s="216">
        <f>RevPAR!CF452</f>
        <v>470.19656407880177</v>
      </c>
      <c r="CN368" s="1782">
        <f>RevPAR!CG452</f>
        <v>636.37887384085423</v>
      </c>
      <c r="CO368" s="970">
        <f>SUM(CK368:CN368)</f>
        <v>1995.16890825462</v>
      </c>
      <c r="CP368" s="216">
        <f ca="1">RevPAR!CI452</f>
        <v>824.5877120802877</v>
      </c>
      <c r="CQ368" s="216">
        <f ca="1">RevPAR!CJ452</f>
        <v>903.77794357686457</v>
      </c>
      <c r="CR368" s="216">
        <f ca="1">RevPAR!CK452</f>
        <v>1140.8787914128654</v>
      </c>
      <c r="CS368" s="216">
        <f ca="1">RevPAR!CL452</f>
        <v>1018.5053566015667</v>
      </c>
      <c r="CT368" s="970">
        <f ca="1">SUM(CP368:CS368)</f>
        <v>3887.7498036715842</v>
      </c>
      <c r="CU368" s="216">
        <f ca="1">RevPAR!CN452</f>
        <v>930.60769718272877</v>
      </c>
      <c r="CV368" s="216">
        <f ca="1">RevPAR!CO452</f>
        <v>1018.2894907994265</v>
      </c>
      <c r="CW368" s="216">
        <f ca="1">RevPAR!CP452</f>
        <v>1286.146720877206</v>
      </c>
      <c r="CX368" s="216">
        <f ca="1">RevPAR!CQ452</f>
        <v>1153.0348387854076</v>
      </c>
      <c r="CY368" s="970">
        <f ca="1">SUM(CU368:CX368)</f>
        <v>4388.0787476447686</v>
      </c>
      <c r="CZ368" s="246">
        <f ca="1">RevPAR!CS452</f>
        <v>4956.778726040784</v>
      </c>
      <c r="DA368" s="246">
        <f ca="1">RevPAR!CT452</f>
        <v>5106.5381340227086</v>
      </c>
      <c r="DB368"/>
      <c r="DC368"/>
      <c r="DD368" s="1712" t="s">
        <v>2036</v>
      </c>
      <c r="DE368" s="246">
        <f>M368</f>
        <v>0</v>
      </c>
      <c r="DF368" s="246">
        <f>R368</f>
        <v>0</v>
      </c>
      <c r="DG368" s="246">
        <f>W368</f>
        <v>0</v>
      </c>
      <c r="DH368" s="246">
        <f>AB368</f>
        <v>0</v>
      </c>
      <c r="DI368" s="246">
        <f>AG368</f>
        <v>0</v>
      </c>
      <c r="DJ368" s="246">
        <f>AL368</f>
        <v>0</v>
      </c>
      <c r="DK368" s="246">
        <f>AQ368</f>
        <v>0</v>
      </c>
      <c r="DL368" s="246">
        <f>AV368</f>
        <v>0</v>
      </c>
      <c r="DM368" s="246">
        <f>BA368</f>
        <v>1133.5061133277075</v>
      </c>
      <c r="DN368" s="246">
        <f>BF368</f>
        <v>861.64628405890051</v>
      </c>
      <c r="DO368" s="246">
        <f>BK368</f>
        <v>983.63638218046617</v>
      </c>
      <c r="DP368" s="246">
        <f>BP368</f>
        <v>1164.4680045184436</v>
      </c>
      <c r="DQ368" s="246">
        <f>BU368</f>
        <v>1226.9949821242001</v>
      </c>
      <c r="DR368" s="246">
        <f>BZ368</f>
        <v>1364.2085093134174</v>
      </c>
      <c r="DS368" s="246">
        <f>CE368</f>
        <v>2001.3436238180191</v>
      </c>
      <c r="DT368" s="246">
        <f>CJ368</f>
        <v>1771.9854624687712</v>
      </c>
      <c r="DU368" s="246">
        <f>CO368</f>
        <v>1995.16890825462</v>
      </c>
      <c r="DV368" s="246">
        <f ca="1">CT368</f>
        <v>3887.7498036715842</v>
      </c>
      <c r="DW368" s="246">
        <f t="shared" ca="1" si="809"/>
        <v>4388.0787476447686</v>
      </c>
      <c r="DX368" s="246">
        <f t="shared" ca="1" si="809"/>
        <v>4956.778726040784</v>
      </c>
      <c r="DY368" s="246">
        <f t="shared" ca="1" si="809"/>
        <v>5106.5381340227086</v>
      </c>
      <c r="EA368"/>
      <c r="EB368"/>
      <c r="EC368"/>
      <c r="ED368"/>
      <c r="EE368"/>
      <c r="EF368"/>
      <c r="EJ368"/>
      <c r="EK368"/>
      <c r="EL368"/>
      <c r="ER368" s="212"/>
    </row>
    <row r="369" spans="1:148" s="923" customFormat="1" ht="12.75" customHeight="1" x14ac:dyDescent="0.2">
      <c r="A369" s="1683" t="s">
        <v>1735</v>
      </c>
      <c r="B369" s="1714"/>
      <c r="C369" s="1714"/>
      <c r="D369" s="1714"/>
      <c r="E369" s="1714"/>
      <c r="F369" s="1714"/>
      <c r="G369" s="1714"/>
      <c r="H369" s="1714"/>
      <c r="I369" s="1714"/>
      <c r="J369" s="1714"/>
      <c r="K369" s="1714"/>
      <c r="L369" s="1714"/>
      <c r="M369" s="1715"/>
      <c r="N369" s="1714"/>
      <c r="O369" s="1714"/>
      <c r="P369" s="1714"/>
      <c r="Q369" s="1714"/>
      <c r="R369" s="1715"/>
      <c r="S369" s="1714"/>
      <c r="T369" s="1714"/>
      <c r="U369" s="1714"/>
      <c r="V369" s="1714"/>
      <c r="W369" s="1715"/>
      <c r="X369" s="1714"/>
      <c r="Y369" s="1714"/>
      <c r="Z369" s="1714"/>
      <c r="AA369" s="1714"/>
      <c r="AB369" s="1715"/>
      <c r="AC369" s="1714"/>
      <c r="AD369" s="1714"/>
      <c r="AE369" s="1714"/>
      <c r="AF369" s="1714"/>
      <c r="AG369" s="1715"/>
      <c r="AH369" s="1714"/>
      <c r="AI369" s="1714"/>
      <c r="AJ369" s="1714"/>
      <c r="AK369" s="1714"/>
      <c r="AL369" s="1715"/>
      <c r="AM369" s="1714"/>
      <c r="AN369" s="1714"/>
      <c r="AO369" s="1714"/>
      <c r="AP369" s="1714"/>
      <c r="AQ369" s="1715"/>
      <c r="AR369" s="1714">
        <f t="shared" ref="AR369:CG369" si="810">SUM(AR367:AR368)</f>
        <v>1541.0276936963855</v>
      </c>
      <c r="AS369" s="1714">
        <f t="shared" si="810"/>
        <v>1777.1767367331604</v>
      </c>
      <c r="AT369" s="1714">
        <f t="shared" si="810"/>
        <v>1788.8649743445601</v>
      </c>
      <c r="AU369" s="1714">
        <f t="shared" si="810"/>
        <v>2312.84177452725</v>
      </c>
      <c r="AV369" s="1715">
        <f t="shared" si="810"/>
        <v>7419.9111793013562</v>
      </c>
      <c r="AW369" s="1714">
        <f t="shared" si="810"/>
        <v>1952.9241280601964</v>
      </c>
      <c r="AX369" s="1714">
        <f t="shared" si="810"/>
        <v>2219.4332353456261</v>
      </c>
      <c r="AY369" s="1714">
        <f t="shared" si="810"/>
        <v>2172.0834501417294</v>
      </c>
      <c r="AZ369" s="1714">
        <f t="shared" si="810"/>
        <v>2670.3167559637054</v>
      </c>
      <c r="BA369" s="1715">
        <f t="shared" si="810"/>
        <v>9014.7575695112573</v>
      </c>
      <c r="BB369" s="1714">
        <f t="shared" si="810"/>
        <v>1739.6809311285951</v>
      </c>
      <c r="BC369" s="1714">
        <f t="shared" si="810"/>
        <v>1863.5174176402618</v>
      </c>
      <c r="BD369" s="1714">
        <f t="shared" si="810"/>
        <v>1904.669494854681</v>
      </c>
      <c r="BE369" s="1714">
        <f t="shared" si="810"/>
        <v>2404.6068377084412</v>
      </c>
      <c r="BF369" s="1715">
        <f t="shared" si="810"/>
        <v>7912.4746813319789</v>
      </c>
      <c r="BG369" s="1714">
        <f t="shared" si="810"/>
        <v>1839.2260389449254</v>
      </c>
      <c r="BH369" s="1714">
        <f t="shared" si="810"/>
        <v>2155.0693160997425</v>
      </c>
      <c r="BI369" s="1714">
        <f t="shared" si="810"/>
        <v>2160.6033975289129</v>
      </c>
      <c r="BJ369" s="1714">
        <f t="shared" si="810"/>
        <v>2749.4756174714048</v>
      </c>
      <c r="BK369" s="1715">
        <f t="shared" si="810"/>
        <v>8904.374370044985</v>
      </c>
      <c r="BL369" s="1714">
        <f t="shared" si="810"/>
        <v>2079.9969520462369</v>
      </c>
      <c r="BM369" s="1714">
        <f t="shared" si="810"/>
        <v>2417.2843617290118</v>
      </c>
      <c r="BN369" s="1714">
        <f t="shared" si="810"/>
        <v>2434.6278271639021</v>
      </c>
      <c r="BO369" s="1714">
        <f t="shared" si="810"/>
        <v>3055.1796069056131</v>
      </c>
      <c r="BP369" s="1715">
        <f t="shared" si="810"/>
        <v>9987.0887478447639</v>
      </c>
      <c r="BQ369" s="1714">
        <f t="shared" si="810"/>
        <v>2316.5507069470723</v>
      </c>
      <c r="BR369" s="1714">
        <f t="shared" si="810"/>
        <v>2687.2628900431523</v>
      </c>
      <c r="BS369" s="1714">
        <f t="shared" si="810"/>
        <v>2673.0763861645933</v>
      </c>
      <c r="BT369" s="1714">
        <f t="shared" si="810"/>
        <v>3345.7575669907019</v>
      </c>
      <c r="BU369" s="1715">
        <f t="shared" si="810"/>
        <v>11022.647550145521</v>
      </c>
      <c r="BV369" s="1714">
        <f>SUM(BV367:BV368)</f>
        <v>2771.9787012903339</v>
      </c>
      <c r="BW369" s="1714">
        <f>SUM(BW367:BW368)</f>
        <v>3184.067391056059</v>
      </c>
      <c r="BX369" s="1714">
        <f>SUM(BX367:BX368)</f>
        <v>3181.3457517831757</v>
      </c>
      <c r="BY369" s="1714">
        <f>SUM(BY367:BY368)</f>
        <v>2927.543852197774</v>
      </c>
      <c r="BZ369" s="1715">
        <f t="shared" si="810"/>
        <v>12064.935696327342</v>
      </c>
      <c r="CA369" s="1714">
        <f>SUM(CA367:CA368)</f>
        <v>3130.6815813441526</v>
      </c>
      <c r="CB369" s="1714">
        <f>SUM(CB367:CB368)</f>
        <v>3674.8658384736636</v>
      </c>
      <c r="CC369" s="1714">
        <f>SUM(CC367:CC368)</f>
        <v>3759.3401273424861</v>
      </c>
      <c r="CD369" s="1810">
        <f>SUM(CD367:CD368)</f>
        <v>3478.9324827788973</v>
      </c>
      <c r="CE369" s="1715">
        <f t="shared" si="810"/>
        <v>14043.820029939199</v>
      </c>
      <c r="CF369" s="1714">
        <f>SUM(CF367:CF368)</f>
        <v>3554.3698021509908</v>
      </c>
      <c r="CG369" s="1714">
        <f t="shared" si="810"/>
        <v>4167.8040202169077</v>
      </c>
      <c r="CH369" s="1714">
        <f t="shared" ref="CH369:DA369" si="811">SUM(CH367:CH368)</f>
        <v>4244.1186983710641</v>
      </c>
      <c r="CI369" s="1810">
        <f t="shared" si="811"/>
        <v>3847.8755831544386</v>
      </c>
      <c r="CJ369" s="1715">
        <f t="shared" si="811"/>
        <v>15814.1681038934</v>
      </c>
      <c r="CK369" s="1714">
        <f t="shared" si="811"/>
        <v>3943.3410109262704</v>
      </c>
      <c r="CL369" s="1714">
        <f t="shared" si="811"/>
        <v>4561.3246617668592</v>
      </c>
      <c r="CM369" s="1714">
        <f t="shared" ref="CM369:CT369" si="812">SUM(CM367:CM368)</f>
        <v>4568.5901711173428</v>
      </c>
      <c r="CN369" s="1810">
        <f t="shared" si="812"/>
        <v>5861.8267417208535</v>
      </c>
      <c r="CO369" s="1715">
        <f t="shared" si="812"/>
        <v>18935.082585531323</v>
      </c>
      <c r="CP369" s="1714">
        <f t="shared" ca="1" si="812"/>
        <v>6115.1128469802879</v>
      </c>
      <c r="CQ369" s="1714">
        <f t="shared" ca="1" si="812"/>
        <v>7053.8609945068629</v>
      </c>
      <c r="CR369" s="1714">
        <f t="shared" ca="1" si="812"/>
        <v>7322.3527617328655</v>
      </c>
      <c r="CS369" s="1714">
        <f t="shared" ca="1" si="812"/>
        <v>6753.466882501566</v>
      </c>
      <c r="CT369" s="1715">
        <f t="shared" ca="1" si="812"/>
        <v>27244.793485721581</v>
      </c>
      <c r="CU369" s="1714">
        <f t="shared" ca="1" si="811"/>
        <v>6689.5757835527629</v>
      </c>
      <c r="CV369" s="1714">
        <f t="shared" ca="1" si="811"/>
        <v>7746.9609886500284</v>
      </c>
      <c r="CW369" s="1714">
        <f t="shared" ca="1" si="811"/>
        <v>7999.4919035174644</v>
      </c>
      <c r="CX369" s="1714">
        <f t="shared" ca="1" si="811"/>
        <v>7344.2476887232651</v>
      </c>
      <c r="CY369" s="1715">
        <f t="shared" ca="1" si="811"/>
        <v>29780.276364443522</v>
      </c>
      <c r="CZ369" s="1715">
        <f t="shared" ca="1" si="811"/>
        <v>32474.852871201438</v>
      </c>
      <c r="DA369" s="1715">
        <f t="shared" ca="1" si="811"/>
        <v>33174.875710410735</v>
      </c>
      <c r="DB369"/>
      <c r="DC369"/>
      <c r="DD369" s="1683" t="s">
        <v>1735</v>
      </c>
      <c r="DE369" s="1715">
        <f>M369</f>
        <v>0</v>
      </c>
      <c r="DF369" s="1715">
        <f>R369</f>
        <v>0</v>
      </c>
      <c r="DG369" s="1715">
        <f>W369</f>
        <v>0</v>
      </c>
      <c r="DH369" s="1715">
        <f>AB369</f>
        <v>0</v>
      </c>
      <c r="DI369" s="1715">
        <f>AG369</f>
        <v>0</v>
      </c>
      <c r="DJ369" s="1715">
        <f>AL369</f>
        <v>0</v>
      </c>
      <c r="DK369" s="1715">
        <f>AQ369</f>
        <v>0</v>
      </c>
      <c r="DL369" s="1715">
        <f>AV369</f>
        <v>7419.9111793013562</v>
      </c>
      <c r="DM369" s="1715">
        <f>BA369</f>
        <v>9014.7575695112573</v>
      </c>
      <c r="DN369" s="1715">
        <f>BF369</f>
        <v>7912.4746813319789</v>
      </c>
      <c r="DO369" s="1715">
        <f>BK369</f>
        <v>8904.374370044985</v>
      </c>
      <c r="DP369" s="1715">
        <f>BP369</f>
        <v>9987.0887478447639</v>
      </c>
      <c r="DQ369" s="1715">
        <f>BU369</f>
        <v>11022.647550145521</v>
      </c>
      <c r="DR369" s="1715">
        <f>BZ369</f>
        <v>12064.935696327342</v>
      </c>
      <c r="DS369" s="1715">
        <f>CE369</f>
        <v>14043.820029939199</v>
      </c>
      <c r="DT369" s="1715">
        <f>CJ369</f>
        <v>15814.1681038934</v>
      </c>
      <c r="DU369" s="1715">
        <f>CO369</f>
        <v>18935.082585531323</v>
      </c>
      <c r="DV369" s="1715">
        <f ca="1">CT369</f>
        <v>27244.793485721581</v>
      </c>
      <c r="DW369" s="1715">
        <f t="shared" ca="1" si="809"/>
        <v>29780.276364443522</v>
      </c>
      <c r="DX369" s="1715">
        <f t="shared" ca="1" si="809"/>
        <v>32474.852871201438</v>
      </c>
      <c r="DY369" s="1715">
        <f t="shared" ca="1" si="809"/>
        <v>33174.875710410735</v>
      </c>
      <c r="EA369"/>
      <c r="EB369"/>
      <c r="EC369"/>
      <c r="ED369"/>
      <c r="EE369"/>
      <c r="EF369"/>
      <c r="EJ369"/>
      <c r="EK369"/>
      <c r="EL369"/>
      <c r="ER369" s="212"/>
    </row>
    <row r="370" spans="1:148" s="923" customFormat="1" ht="12.75" customHeight="1" x14ac:dyDescent="0.2">
      <c r="A370" s="1675"/>
      <c r="B370" s="1004"/>
      <c r="C370" s="1004"/>
      <c r="D370" s="1004"/>
      <c r="E370" s="1004"/>
      <c r="F370" s="1004"/>
      <c r="G370" s="1004"/>
      <c r="H370" s="1004"/>
      <c r="I370" s="1004"/>
      <c r="J370" s="1004"/>
      <c r="K370" s="1004"/>
      <c r="L370" s="1004"/>
      <c r="M370" s="1050"/>
      <c r="N370" s="1004"/>
      <c r="O370" s="1004"/>
      <c r="P370" s="1004"/>
      <c r="Q370" s="1004"/>
      <c r="R370" s="1050"/>
      <c r="S370" s="1004"/>
      <c r="T370" s="1004"/>
      <c r="U370" s="1004"/>
      <c r="V370" s="1004"/>
      <c r="W370" s="1050"/>
      <c r="X370" s="1004"/>
      <c r="Y370" s="1004"/>
      <c r="Z370" s="1004"/>
      <c r="AA370" s="1004"/>
      <c r="AB370" s="1050"/>
      <c r="AC370" s="1004"/>
      <c r="AD370" s="1004"/>
      <c r="AE370" s="1004"/>
      <c r="AF370" s="1004"/>
      <c r="AG370" s="1050"/>
      <c r="AH370" s="1004"/>
      <c r="AI370" s="1004"/>
      <c r="AJ370" s="1004"/>
      <c r="AK370" s="1004"/>
      <c r="AL370" s="1050"/>
      <c r="AM370" s="1004"/>
      <c r="AN370" s="1004"/>
      <c r="AO370" s="1004"/>
      <c r="AP370" s="1004"/>
      <c r="AQ370" s="1050"/>
      <c r="AR370" s="1004"/>
      <c r="AS370" s="1004"/>
      <c r="AT370" s="1004"/>
      <c r="AU370" s="1004"/>
      <c r="AV370" s="1050"/>
      <c r="AW370" s="1004"/>
      <c r="AX370" s="1004"/>
      <c r="AY370" s="1004"/>
      <c r="AZ370" s="1004"/>
      <c r="BA370" s="1050"/>
      <c r="BB370" s="1004"/>
      <c r="BC370" s="1004"/>
      <c r="BD370" s="1004"/>
      <c r="BE370" s="1004"/>
      <c r="BF370" s="1050"/>
      <c r="BG370" s="1004"/>
      <c r="BH370" s="1004"/>
      <c r="BI370" s="1004"/>
      <c r="BJ370" s="1004"/>
      <c r="BK370" s="1050"/>
      <c r="BL370" s="1004"/>
      <c r="BM370" s="1004"/>
      <c r="BN370" s="1004"/>
      <c r="BO370" s="1004"/>
      <c r="BP370" s="1050"/>
      <c r="BQ370" s="1004"/>
      <c r="BR370" s="1004"/>
      <c r="BS370" s="1004"/>
      <c r="BT370" s="1004"/>
      <c r="BU370" s="1050"/>
      <c r="BV370" s="1004"/>
      <c r="BW370" s="1004"/>
      <c r="BX370" s="1004"/>
      <c r="BY370" s="1004"/>
      <c r="BZ370" s="1050"/>
      <c r="CA370" s="1004"/>
      <c r="CB370" s="1004"/>
      <c r="CC370" s="1004"/>
      <c r="CD370" s="1809"/>
      <c r="CE370" s="1050"/>
      <c r="CF370" s="1004"/>
      <c r="CG370" s="1004"/>
      <c r="CH370" s="1004"/>
      <c r="CI370" s="1809"/>
      <c r="CJ370" s="1050"/>
      <c r="CK370" s="1004"/>
      <c r="CL370" s="1004"/>
      <c r="CM370" s="1004"/>
      <c r="CN370" s="1809"/>
      <c r="CO370" s="1050"/>
      <c r="CP370" s="1004"/>
      <c r="CQ370" s="1004"/>
      <c r="CR370" s="1004"/>
      <c r="CS370" s="1004"/>
      <c r="CT370" s="1050"/>
      <c r="CU370" s="1004"/>
      <c r="CV370" s="1004"/>
      <c r="CW370" s="1004"/>
      <c r="CX370" s="1004"/>
      <c r="CY370" s="1050"/>
      <c r="CZ370" s="1050"/>
      <c r="DA370" s="1050"/>
      <c r="DB370"/>
      <c r="DC370"/>
      <c r="DD370" s="1675"/>
      <c r="DE370" s="1001"/>
      <c r="DF370" s="1001"/>
      <c r="DG370" s="1001"/>
      <c r="DH370" s="1001"/>
      <c r="DI370" s="1001"/>
      <c r="DJ370" s="1001"/>
      <c r="DK370" s="1001"/>
      <c r="DL370" s="1001"/>
      <c r="DM370" s="1001"/>
      <c r="DN370" s="1001"/>
      <c r="DO370" s="1001"/>
      <c r="DP370" s="1001"/>
      <c r="DQ370" s="1001"/>
      <c r="DR370" s="1001"/>
      <c r="DS370" s="1001"/>
      <c r="DT370" s="1001"/>
      <c r="DU370" s="1001"/>
      <c r="DV370" s="1001"/>
      <c r="DW370" s="1001"/>
      <c r="DX370" s="1001"/>
      <c r="DY370" s="1001"/>
      <c r="EA370"/>
      <c r="EB370"/>
      <c r="EC370"/>
      <c r="ED370"/>
      <c r="EE370"/>
      <c r="EF370"/>
      <c r="EJ370"/>
      <c r="EK370"/>
      <c r="EL370"/>
      <c r="ER370" s="212"/>
    </row>
    <row r="371" spans="1:148" s="923" customFormat="1" ht="12.75" customHeight="1" x14ac:dyDescent="0.2">
      <c r="A371" s="1708" t="s">
        <v>1209</v>
      </c>
      <c r="B371" s="1004"/>
      <c r="C371" s="1004"/>
      <c r="D371" s="1004"/>
      <c r="E371" s="1004"/>
      <c r="F371" s="1004"/>
      <c r="G371" s="1004"/>
      <c r="H371" s="1004"/>
      <c r="I371" s="1004"/>
      <c r="J371" s="1004"/>
      <c r="K371" s="1004"/>
      <c r="L371" s="1004"/>
      <c r="M371" s="1001"/>
      <c r="N371" s="1004"/>
      <c r="O371" s="1004"/>
      <c r="P371" s="1004"/>
      <c r="Q371" s="1004"/>
      <c r="R371" s="1001"/>
      <c r="S371" s="1004"/>
      <c r="T371" s="1004"/>
      <c r="U371" s="1004"/>
      <c r="V371" s="1004"/>
      <c r="W371" s="1001"/>
      <c r="X371" s="1004"/>
      <c r="Y371" s="1004"/>
      <c r="Z371" s="1004"/>
      <c r="AA371" s="1004"/>
      <c r="AB371" s="1001"/>
      <c r="AC371" s="1004"/>
      <c r="AD371" s="1004"/>
      <c r="AE371" s="1004"/>
      <c r="AF371" s="1004"/>
      <c r="AG371" s="1001"/>
      <c r="AH371" s="1004"/>
      <c r="AI371" s="1004"/>
      <c r="AJ371" s="1004"/>
      <c r="AK371" s="1004"/>
      <c r="AL371" s="1001"/>
      <c r="AM371" s="1004"/>
      <c r="AN371" s="1004"/>
      <c r="AO371" s="1004"/>
      <c r="AP371" s="1004"/>
      <c r="AQ371" s="1001"/>
      <c r="AR371" s="1004"/>
      <c r="AS371" s="1004"/>
      <c r="AT371" s="1004"/>
      <c r="AU371" s="1004"/>
      <c r="AV371" s="1001"/>
      <c r="AW371" s="1004"/>
      <c r="AX371" s="1004"/>
      <c r="AY371" s="1004"/>
      <c r="AZ371" s="1004"/>
      <c r="BA371" s="1001"/>
      <c r="BB371" s="1004"/>
      <c r="BC371" s="1004"/>
      <c r="BD371" s="1004"/>
      <c r="BE371" s="1004"/>
      <c r="BF371" s="1001"/>
      <c r="BG371" s="1004"/>
      <c r="BH371" s="1004"/>
      <c r="BI371" s="1004"/>
      <c r="BJ371" s="1004"/>
      <c r="BK371" s="1001"/>
      <c r="BL371" s="1004"/>
      <c r="BM371" s="1004"/>
      <c r="BN371" s="1004"/>
      <c r="BO371" s="1004"/>
      <c r="BP371" s="1001"/>
      <c r="BQ371" s="1004"/>
      <c r="BR371" s="1004"/>
      <c r="BS371" s="1004"/>
      <c r="BT371" s="1004"/>
      <c r="BU371" s="1001"/>
      <c r="BV371" s="1004"/>
      <c r="BW371" s="1004"/>
      <c r="BX371" s="1004"/>
      <c r="BY371" s="1004"/>
      <c r="BZ371" s="1001"/>
      <c r="CA371" s="1004"/>
      <c r="CB371" s="872"/>
      <c r="CC371" s="872"/>
      <c r="CD371" s="1785"/>
      <c r="CE371" s="1001"/>
      <c r="CF371" s="1004"/>
      <c r="CG371" s="872"/>
      <c r="CH371" s="872"/>
      <c r="CI371" s="1785"/>
      <c r="CJ371" s="1001"/>
      <c r="CK371" s="872"/>
      <c r="CL371" s="872"/>
      <c r="CM371" s="872"/>
      <c r="CN371" s="1785"/>
      <c r="CO371" s="1001"/>
      <c r="CP371" s="872"/>
      <c r="CQ371" s="872"/>
      <c r="CR371" s="872"/>
      <c r="CS371" s="872"/>
      <c r="CT371" s="1616"/>
      <c r="CU371" s="872"/>
      <c r="CV371" s="872"/>
      <c r="CW371" s="872"/>
      <c r="CX371" s="872"/>
      <c r="CY371" s="1050"/>
      <c r="CZ371" s="1050"/>
      <c r="DA371" s="1050"/>
      <c r="DB371"/>
      <c r="DC371"/>
      <c r="DD371" s="1708" t="s">
        <v>1209</v>
      </c>
      <c r="DE371" s="1001"/>
      <c r="DF371" s="1001"/>
      <c r="DG371" s="1001"/>
      <c r="DH371" s="1001"/>
      <c r="DI371" s="1001"/>
      <c r="DJ371" s="1001"/>
      <c r="DK371" s="1001"/>
      <c r="DL371" s="1001"/>
      <c r="DM371" s="1001"/>
      <c r="DN371" s="1001"/>
      <c r="DO371" s="1001"/>
      <c r="DP371" s="1001"/>
      <c r="DQ371" s="1001"/>
      <c r="DR371" s="1001"/>
      <c r="DS371" s="1001"/>
      <c r="DT371" s="1001"/>
      <c r="DU371" s="1001"/>
      <c r="DV371" s="1001"/>
      <c r="DW371" s="1001"/>
      <c r="DX371" s="1001"/>
      <c r="DY371" s="1001"/>
      <c r="EA371"/>
      <c r="EB371"/>
      <c r="EC371"/>
      <c r="ED371"/>
      <c r="EE371"/>
      <c r="EF371"/>
      <c r="EJ371"/>
      <c r="EK371"/>
      <c r="EL371"/>
      <c r="ER371" s="212"/>
    </row>
    <row r="372" spans="1:148" s="923" customFormat="1" ht="12.75" customHeight="1" x14ac:dyDescent="0.2">
      <c r="A372" s="1709" t="s">
        <v>1199</v>
      </c>
      <c r="B372" s="1485"/>
      <c r="C372" s="1485"/>
      <c r="D372" s="1485"/>
      <c r="E372" s="1485"/>
      <c r="F372" s="1485"/>
      <c r="G372" s="1485"/>
      <c r="H372" s="1485"/>
      <c r="I372" s="1485"/>
      <c r="J372" s="1485"/>
      <c r="K372" s="1485"/>
      <c r="L372" s="1485"/>
      <c r="M372" s="1565"/>
      <c r="N372" s="1485"/>
      <c r="O372" s="1485"/>
      <c r="P372" s="1485"/>
      <c r="Q372" s="1485"/>
      <c r="R372" s="1565"/>
      <c r="S372" s="1485"/>
      <c r="T372" s="1485"/>
      <c r="U372" s="1485"/>
      <c r="V372" s="1485"/>
      <c r="W372" s="1565"/>
      <c r="X372" s="1485"/>
      <c r="Y372" s="1485"/>
      <c r="Z372" s="1485"/>
      <c r="AA372" s="1485"/>
      <c r="AB372" s="1565"/>
      <c r="AC372" s="1485"/>
      <c r="AD372" s="1485"/>
      <c r="AE372" s="1485"/>
      <c r="AF372" s="1485"/>
      <c r="AG372" s="1565"/>
      <c r="AH372" s="1485"/>
      <c r="AI372" s="1485"/>
      <c r="AJ372" s="1485"/>
      <c r="AK372" s="1485"/>
      <c r="AL372" s="1565"/>
      <c r="AM372" s="1485"/>
      <c r="AN372" s="1485"/>
      <c r="AO372" s="1485"/>
      <c r="AP372" s="1485"/>
      <c r="AQ372" s="1565"/>
      <c r="AR372" s="1485"/>
      <c r="AS372" s="1485"/>
      <c r="AT372" s="1485"/>
      <c r="AU372" s="1485"/>
      <c r="AV372" s="1565"/>
      <c r="AW372" s="1485"/>
      <c r="AX372" s="1485"/>
      <c r="AY372" s="1485"/>
      <c r="AZ372" s="1485"/>
      <c r="BA372" s="1565"/>
      <c r="BB372" s="1485"/>
      <c r="BC372" s="1485"/>
      <c r="BD372" s="1485"/>
      <c r="BE372" s="1485"/>
      <c r="BF372" s="1565"/>
      <c r="BG372" s="1485">
        <v>14</v>
      </c>
      <c r="BH372" s="1485">
        <v>15</v>
      </c>
      <c r="BI372" s="1485">
        <v>15</v>
      </c>
      <c r="BJ372" s="1485">
        <v>20</v>
      </c>
      <c r="BK372" s="1565">
        <f>+SUM(BG372:BJ372)</f>
        <v>64</v>
      </c>
      <c r="BL372" s="1485">
        <v>14</v>
      </c>
      <c r="BM372" s="1485">
        <v>15</v>
      </c>
      <c r="BN372" s="1485">
        <v>15</v>
      </c>
      <c r="BO372" s="1485">
        <v>16</v>
      </c>
      <c r="BP372" s="1565">
        <f>+SUM(BL372:BO372)</f>
        <v>60</v>
      </c>
      <c r="BQ372" s="1485">
        <f>BL372</f>
        <v>14</v>
      </c>
      <c r="BR372" s="1485">
        <f>BM372</f>
        <v>15</v>
      </c>
      <c r="BS372" s="1485">
        <f>BN372</f>
        <v>15</v>
      </c>
      <c r="BT372" s="1485">
        <f>BO372</f>
        <v>16</v>
      </c>
      <c r="BU372" s="1565">
        <f>+SUM(BQ372:BT372)</f>
        <v>60</v>
      </c>
      <c r="BV372" s="1485">
        <v>16</v>
      </c>
      <c r="BW372" s="1485">
        <v>18</v>
      </c>
      <c r="BX372" s="1485">
        <v>16</v>
      </c>
      <c r="BY372" s="1485">
        <v>0</v>
      </c>
      <c r="BZ372" s="1565">
        <f>+SUM(BV372:BY372)</f>
        <v>50</v>
      </c>
      <c r="CA372" s="1485">
        <v>16</v>
      </c>
      <c r="CB372" s="1485">
        <v>14</v>
      </c>
      <c r="CC372" s="1485">
        <v>13</v>
      </c>
      <c r="CD372" s="1485">
        <v>12</v>
      </c>
      <c r="CE372" s="1565">
        <f>+SUM(CA372:CD372)</f>
        <v>55</v>
      </c>
      <c r="CF372" s="1485">
        <v>11</v>
      </c>
      <c r="CG372" s="1485">
        <v>10</v>
      </c>
      <c r="CH372" s="1485">
        <v>6</v>
      </c>
      <c r="CI372" s="2909">
        <f>CD372*0.5</f>
        <v>6</v>
      </c>
      <c r="CJ372" s="1565">
        <f>+SUM(CF372:CI372)</f>
        <v>33</v>
      </c>
      <c r="CK372" s="2710">
        <f>6-2</f>
        <v>4</v>
      </c>
      <c r="CL372" s="2710">
        <f>6-5</f>
        <v>1</v>
      </c>
      <c r="CM372" s="2710">
        <f>6-1</f>
        <v>5</v>
      </c>
      <c r="CN372" s="2710"/>
      <c r="CO372" s="1565"/>
      <c r="CP372" s="2710"/>
      <c r="CQ372" s="2710"/>
      <c r="CR372" s="2710"/>
      <c r="CS372" s="2710"/>
      <c r="CT372" s="1565"/>
      <c r="CU372" s="2710"/>
      <c r="CV372" s="2710"/>
      <c r="CW372" s="2710"/>
      <c r="CX372" s="2710"/>
      <c r="CY372" s="1468"/>
      <c r="CZ372" s="1468"/>
      <c r="DA372" s="1468"/>
      <c r="DB372"/>
      <c r="DC372"/>
      <c r="DD372" s="2342" t="s">
        <v>1199</v>
      </c>
      <c r="DE372" s="2343">
        <f t="shared" ref="DE372:DE384" si="813">M372</f>
        <v>0</v>
      </c>
      <c r="DF372" s="2343">
        <f t="shared" ref="DF372:DF384" si="814">R372</f>
        <v>0</v>
      </c>
      <c r="DG372" s="2343">
        <f t="shared" ref="DG372:DG384" si="815">W372</f>
        <v>0</v>
      </c>
      <c r="DH372" s="2343">
        <f t="shared" ref="DH372:DH384" si="816">AB372</f>
        <v>0</v>
      </c>
      <c r="DI372" s="2343">
        <f t="shared" ref="DI372:DI384" si="817">AG372</f>
        <v>0</v>
      </c>
      <c r="DJ372" s="2343">
        <f t="shared" ref="DJ372:DJ384" si="818">AL372</f>
        <v>0</v>
      </c>
      <c r="DK372" s="2343">
        <f t="shared" ref="DK372:DK384" si="819">AQ372</f>
        <v>0</v>
      </c>
      <c r="DL372" s="2343">
        <f t="shared" ref="DL372:DL384" si="820">AV372</f>
        <v>0</v>
      </c>
      <c r="DM372" s="2343">
        <f t="shared" ref="DM372:DM384" si="821">BA372</f>
        <v>0</v>
      </c>
      <c r="DN372" s="2343">
        <f t="shared" ref="DN372:DN384" si="822">BF372</f>
        <v>0</v>
      </c>
      <c r="DO372" s="2343">
        <f t="shared" ref="DO372:DO384" si="823">BK372</f>
        <v>64</v>
      </c>
      <c r="DP372" s="2343">
        <f t="shared" ref="DP372:DP384" si="824">BP372</f>
        <v>60</v>
      </c>
      <c r="DQ372" s="2343">
        <f t="shared" ref="DQ372:DQ384" si="825">BU372</f>
        <v>60</v>
      </c>
      <c r="DR372" s="2343">
        <f t="shared" ref="DR372:DR384" si="826">BZ372</f>
        <v>50</v>
      </c>
      <c r="DS372" s="2343">
        <f t="shared" ref="DS372:DS384" si="827">CE372</f>
        <v>55</v>
      </c>
      <c r="DT372" s="2343">
        <f t="shared" ref="DT372:DT384" si="828">CJ372</f>
        <v>33</v>
      </c>
      <c r="DU372" s="2343">
        <f>CO372</f>
        <v>0</v>
      </c>
      <c r="DV372" s="2343">
        <f>CT372</f>
        <v>0</v>
      </c>
      <c r="DW372" s="2343">
        <f>CY372</f>
        <v>0</v>
      </c>
      <c r="DX372" s="2343">
        <f>CZ372</f>
        <v>0</v>
      </c>
      <c r="DY372" s="2343">
        <f>DA372</f>
        <v>0</v>
      </c>
      <c r="EA372"/>
      <c r="EB372"/>
      <c r="EC372"/>
      <c r="ED372"/>
      <c r="EE372"/>
      <c r="EF372"/>
      <c r="EJ372"/>
      <c r="EK372"/>
      <c r="EL372"/>
      <c r="ER372" s="212"/>
    </row>
    <row r="373" spans="1:148" s="213" customFormat="1" ht="12.75" customHeight="1" x14ac:dyDescent="0.2">
      <c r="A373" s="2254" t="s">
        <v>972</v>
      </c>
      <c r="B373" s="2255"/>
      <c r="C373" s="2255"/>
      <c r="D373" s="2255"/>
      <c r="E373" s="2255"/>
      <c r="F373" s="2255"/>
      <c r="G373" s="2255"/>
      <c r="H373" s="2255"/>
      <c r="I373" s="2255"/>
      <c r="J373" s="2255"/>
      <c r="K373" s="2255"/>
      <c r="L373" s="2255"/>
      <c r="M373" s="631"/>
      <c r="N373" s="2255"/>
      <c r="O373" s="2255"/>
      <c r="P373" s="2255"/>
      <c r="Q373" s="2255"/>
      <c r="R373" s="631"/>
      <c r="S373" s="2255"/>
      <c r="T373" s="2255"/>
      <c r="U373" s="2255"/>
      <c r="V373" s="2255"/>
      <c r="W373" s="631"/>
      <c r="X373" s="2255"/>
      <c r="Y373" s="2255"/>
      <c r="Z373" s="2255"/>
      <c r="AA373" s="2255"/>
      <c r="AB373" s="631"/>
      <c r="AC373" s="2255"/>
      <c r="AD373" s="2255"/>
      <c r="AE373" s="2255"/>
      <c r="AF373" s="2255"/>
      <c r="AG373" s="631"/>
      <c r="AH373" s="2255"/>
      <c r="AI373" s="2255"/>
      <c r="AJ373" s="2255"/>
      <c r="AK373" s="2255"/>
      <c r="AL373" s="631"/>
      <c r="AM373" s="2255"/>
      <c r="AN373" s="2255"/>
      <c r="AO373" s="2255"/>
      <c r="AP373" s="2255"/>
      <c r="AQ373" s="631"/>
      <c r="AR373" s="2255"/>
      <c r="AS373" s="2255"/>
      <c r="AT373" s="2255"/>
      <c r="AU373" s="2255"/>
      <c r="AV373" s="631"/>
      <c r="AW373" s="2255"/>
      <c r="AX373" s="2255"/>
      <c r="AY373" s="2255"/>
      <c r="AZ373" s="2255"/>
      <c r="BA373" s="631"/>
      <c r="BB373" s="2255"/>
      <c r="BC373" s="2255"/>
      <c r="BD373" s="2255"/>
      <c r="BE373" s="2255"/>
      <c r="BF373" s="631"/>
      <c r="BG373" s="2255">
        <f t="shared" ref="BG373:BS373" si="829">+BG374-BG372</f>
        <v>91</v>
      </c>
      <c r="BH373" s="2255">
        <f t="shared" si="829"/>
        <v>105</v>
      </c>
      <c r="BI373" s="2255">
        <f t="shared" si="829"/>
        <v>109</v>
      </c>
      <c r="BJ373" s="2255">
        <f t="shared" si="829"/>
        <v>136</v>
      </c>
      <c r="BK373" s="631">
        <f t="shared" si="829"/>
        <v>441</v>
      </c>
      <c r="BL373" s="2255">
        <f t="shared" si="829"/>
        <v>103</v>
      </c>
      <c r="BM373" s="2255">
        <f t="shared" si="829"/>
        <v>120</v>
      </c>
      <c r="BN373" s="2255">
        <f t="shared" si="829"/>
        <v>124</v>
      </c>
      <c r="BO373" s="2255">
        <f t="shared" si="829"/>
        <v>159</v>
      </c>
      <c r="BP373" s="631">
        <f t="shared" si="829"/>
        <v>506</v>
      </c>
      <c r="BQ373" s="2255">
        <f t="shared" si="829"/>
        <v>112</v>
      </c>
      <c r="BR373" s="2255">
        <f t="shared" si="829"/>
        <v>130</v>
      </c>
      <c r="BS373" s="2255">
        <f t="shared" si="829"/>
        <v>134</v>
      </c>
      <c r="BT373" s="2255">
        <f>+BT374-BT372</f>
        <v>171</v>
      </c>
      <c r="BU373" s="631">
        <f>+SUM(BQ373:BT373)</f>
        <v>547</v>
      </c>
      <c r="BV373" s="2255">
        <f>+BV374-BV372</f>
        <v>135</v>
      </c>
      <c r="BW373" s="2255">
        <f>+BW374-BW372</f>
        <v>159</v>
      </c>
      <c r="BX373" s="2255">
        <f>+BX374-BX372</f>
        <v>159</v>
      </c>
      <c r="BY373" s="2255">
        <f>+BY374-BY372</f>
        <v>163</v>
      </c>
      <c r="BZ373" s="631">
        <f>+SUM(BV373:BY373)</f>
        <v>616</v>
      </c>
      <c r="CA373" s="2255">
        <f>+CA374-CA372</f>
        <v>147</v>
      </c>
      <c r="CB373" s="2255">
        <f>+CB374-CB372</f>
        <v>180</v>
      </c>
      <c r="CC373" s="2255">
        <f>+CC374-CC372</f>
        <v>190</v>
      </c>
      <c r="CD373" s="2255">
        <f>+CD374-CD372</f>
        <v>173</v>
      </c>
      <c r="CE373" s="631">
        <f>+SUM(CA373:CD373)</f>
        <v>690</v>
      </c>
      <c r="CF373" s="2255">
        <f>+CF374-CF372</f>
        <v>193</v>
      </c>
      <c r="CG373" s="2255">
        <f>+CG374-CG372</f>
        <v>211</v>
      </c>
      <c r="CH373" s="2255">
        <f>+CH374-CH372</f>
        <v>221</v>
      </c>
      <c r="CI373" s="2255">
        <f>+CI374-CI372</f>
        <v>195</v>
      </c>
      <c r="CJ373" s="631">
        <f>+SUM(CF373:CI373)</f>
        <v>820</v>
      </c>
      <c r="CK373" s="2255">
        <f>+CK374-CK372</f>
        <v>203</v>
      </c>
      <c r="CL373" s="2255">
        <f>+CL374-CL372</f>
        <v>234</v>
      </c>
      <c r="CM373" s="2255">
        <f>+CM374-CM372</f>
        <v>237</v>
      </c>
      <c r="CO373" s="3178"/>
      <c r="CT373" s="3178"/>
      <c r="CY373" s="3178"/>
      <c r="CZ373" s="3178"/>
      <c r="DA373" s="3178"/>
      <c r="DB373"/>
      <c r="DC373"/>
      <c r="DD373" s="2344" t="s">
        <v>972</v>
      </c>
      <c r="DE373" s="2345">
        <f t="shared" si="813"/>
        <v>0</v>
      </c>
      <c r="DF373" s="2345">
        <f t="shared" si="814"/>
        <v>0</v>
      </c>
      <c r="DG373" s="2345">
        <f t="shared" si="815"/>
        <v>0</v>
      </c>
      <c r="DH373" s="2345">
        <f t="shared" si="816"/>
        <v>0</v>
      </c>
      <c r="DI373" s="2345">
        <f t="shared" si="817"/>
        <v>0</v>
      </c>
      <c r="DJ373" s="2345">
        <f t="shared" si="818"/>
        <v>0</v>
      </c>
      <c r="DK373" s="2345">
        <f t="shared" si="819"/>
        <v>0</v>
      </c>
      <c r="DL373" s="2345">
        <f t="shared" si="820"/>
        <v>0</v>
      </c>
      <c r="DM373" s="2345">
        <f t="shared" si="821"/>
        <v>0</v>
      </c>
      <c r="DN373" s="2345">
        <f t="shared" si="822"/>
        <v>0</v>
      </c>
      <c r="DO373" s="2345">
        <f t="shared" si="823"/>
        <v>441</v>
      </c>
      <c r="DP373" s="2345">
        <f t="shared" si="824"/>
        <v>506</v>
      </c>
      <c r="DQ373" s="2345">
        <f t="shared" si="825"/>
        <v>547</v>
      </c>
      <c r="DR373" s="2345">
        <f t="shared" si="826"/>
        <v>616</v>
      </c>
      <c r="DS373" s="2345">
        <f t="shared" si="827"/>
        <v>690</v>
      </c>
      <c r="DT373" s="2345">
        <f t="shared" si="828"/>
        <v>820</v>
      </c>
      <c r="DU373" s="2345">
        <f>CO378</f>
        <v>1230</v>
      </c>
      <c r="DV373" s="2345">
        <f>CT378</f>
        <v>1381</v>
      </c>
      <c r="DW373" s="2345">
        <f>CY378</f>
        <v>1840.2667737863478</v>
      </c>
      <c r="DX373" s="2345">
        <f>CZ378</f>
        <v>2044.3369334218612</v>
      </c>
      <c r="DY373" s="2345">
        <f>DA378</f>
        <v>2085.2163877628686</v>
      </c>
      <c r="EA373"/>
      <c r="EB373"/>
      <c r="EC373"/>
      <c r="ED373"/>
      <c r="EE373"/>
      <c r="EF373"/>
      <c r="EJ373"/>
      <c r="EK373"/>
      <c r="EL373"/>
      <c r="ER373" s="212"/>
    </row>
    <row r="374" spans="1:148" s="2845" customFormat="1" ht="12.75" customHeight="1" x14ac:dyDescent="0.2">
      <c r="A374" s="3142" t="s">
        <v>2515</v>
      </c>
      <c r="B374" s="3152"/>
      <c r="C374" s="3152"/>
      <c r="D374" s="3152"/>
      <c r="E374" s="3152"/>
      <c r="F374" s="3152"/>
      <c r="G374" s="3152"/>
      <c r="H374" s="3152">
        <v>180</v>
      </c>
      <c r="I374" s="3152"/>
      <c r="J374" s="3152"/>
      <c r="K374" s="3152"/>
      <c r="L374" s="3152"/>
      <c r="M374" s="3143">
        <v>208</v>
      </c>
      <c r="N374" s="3152">
        <v>51.839247739839394</v>
      </c>
      <c r="O374" s="3152">
        <v>56.547754520865546</v>
      </c>
      <c r="P374" s="3152">
        <f>+U374/(1+0)</f>
        <v>55</v>
      </c>
      <c r="Q374" s="3152">
        <v>63</v>
      </c>
      <c r="R374" s="3143">
        <f>SUM(N374:Q374)</f>
        <v>226.38700226070495</v>
      </c>
      <c r="S374" s="3152">
        <v>51</v>
      </c>
      <c r="T374" s="3152">
        <v>54</v>
      </c>
      <c r="U374" s="3152">
        <v>55</v>
      </c>
      <c r="V374" s="3152">
        <v>72</v>
      </c>
      <c r="W374" s="3143">
        <f>SUM(S374:V374)</f>
        <v>232</v>
      </c>
      <c r="X374" s="3152">
        <v>52</v>
      </c>
      <c r="Y374" s="3152">
        <v>56</v>
      </c>
      <c r="Z374" s="3152">
        <v>61</v>
      </c>
      <c r="AA374" s="3152">
        <v>76</v>
      </c>
      <c r="AB374" s="3143">
        <f>SUM(X374:AA374)</f>
        <v>245</v>
      </c>
      <c r="AC374" s="3152">
        <v>61</v>
      </c>
      <c r="AD374" s="3152">
        <v>72</v>
      </c>
      <c r="AE374" s="3152">
        <v>74</v>
      </c>
      <c r="AF374" s="3152">
        <v>89</v>
      </c>
      <c r="AG374" s="3143">
        <f>SUM(AC374:AF374)</f>
        <v>296</v>
      </c>
      <c r="AH374" s="3152">
        <v>70</v>
      </c>
      <c r="AI374" s="3152">
        <v>78</v>
      </c>
      <c r="AJ374" s="3152">
        <v>78</v>
      </c>
      <c r="AK374" s="3152">
        <v>103</v>
      </c>
      <c r="AL374" s="3143">
        <f>SUM(AH374:AK374)</f>
        <v>329</v>
      </c>
      <c r="AM374" s="3152">
        <v>82</v>
      </c>
      <c r="AN374" s="3152">
        <v>93</v>
      </c>
      <c r="AO374" s="3152">
        <v>94</v>
      </c>
      <c r="AP374" s="3152">
        <v>121</v>
      </c>
      <c r="AQ374" s="3143">
        <f>SUM(AM374:AP374)</f>
        <v>390</v>
      </c>
      <c r="AR374" s="3152">
        <v>91</v>
      </c>
      <c r="AS374" s="3152">
        <v>101</v>
      </c>
      <c r="AT374" s="3152">
        <v>111</v>
      </c>
      <c r="AU374" s="3152">
        <v>136</v>
      </c>
      <c r="AV374" s="3143">
        <f>SUM(AR374:AU374)</f>
        <v>439</v>
      </c>
      <c r="AW374" s="3152">
        <v>96</v>
      </c>
      <c r="AX374" s="3152">
        <v>110</v>
      </c>
      <c r="AY374" s="3152">
        <v>108</v>
      </c>
      <c r="AZ374" s="3152">
        <v>137</v>
      </c>
      <c r="BA374" s="3143">
        <f>SUM(AW374:AZ374)</f>
        <v>451</v>
      </c>
      <c r="BB374" s="3152">
        <v>88</v>
      </c>
      <c r="BC374" s="3152">
        <v>93</v>
      </c>
      <c r="BD374" s="3152">
        <v>100</v>
      </c>
      <c r="BE374" s="3152">
        <v>119</v>
      </c>
      <c r="BF374" s="3143">
        <f>SUM(BB374:BE374)</f>
        <v>400</v>
      </c>
      <c r="BG374" s="3152">
        <v>105</v>
      </c>
      <c r="BH374" s="3152">
        <v>120</v>
      </c>
      <c r="BI374" s="3152">
        <v>124</v>
      </c>
      <c r="BJ374" s="3152">
        <v>156</v>
      </c>
      <c r="BK374" s="3143">
        <f>SUM(BG374:BJ374)</f>
        <v>505</v>
      </c>
      <c r="BL374" s="3152">
        <v>117</v>
      </c>
      <c r="BM374" s="3152">
        <v>135</v>
      </c>
      <c r="BN374" s="3152">
        <v>139</v>
      </c>
      <c r="BO374" s="3152">
        <v>175</v>
      </c>
      <c r="BP374" s="3143">
        <f>SUM(BL374:BO374)</f>
        <v>566</v>
      </c>
      <c r="BQ374" s="3152">
        <v>126</v>
      </c>
      <c r="BR374" s="3152">
        <v>145</v>
      </c>
      <c r="BS374" s="3152">
        <v>149</v>
      </c>
      <c r="BT374" s="3152">
        <v>187</v>
      </c>
      <c r="BU374" s="3143">
        <f>+SUM(BU372:BU373)</f>
        <v>607</v>
      </c>
      <c r="BV374" s="3152">
        <v>151</v>
      </c>
      <c r="BW374" s="3152">
        <v>177</v>
      </c>
      <c r="BX374" s="3152">
        <v>175</v>
      </c>
      <c r="BY374" s="3152">
        <v>163</v>
      </c>
      <c r="BZ374" s="3153">
        <f>+SUM(BZ372:BZ373)</f>
        <v>666</v>
      </c>
      <c r="CA374" s="3152">
        <v>163</v>
      </c>
      <c r="CB374" s="3152">
        <v>194</v>
      </c>
      <c r="CC374" s="3152">
        <v>203</v>
      </c>
      <c r="CD374" s="3152">
        <v>185</v>
      </c>
      <c r="CE374" s="3153">
        <f>+SUM(CE372:CE373)</f>
        <v>745</v>
      </c>
      <c r="CF374" s="3152">
        <v>204</v>
      </c>
      <c r="CG374" s="3152">
        <v>221</v>
      </c>
      <c r="CH374" s="3152">
        <v>227</v>
      </c>
      <c r="CI374" s="3152">
        <v>201</v>
      </c>
      <c r="CJ374" s="3143">
        <f>+SUM(CJ372:CJ373)</f>
        <v>853</v>
      </c>
      <c r="CK374" s="3152">
        <v>207</v>
      </c>
      <c r="CL374" s="3152">
        <v>235</v>
      </c>
      <c r="CM374" s="3152">
        <v>242</v>
      </c>
      <c r="CN374" s="3179"/>
      <c r="CO374" s="3143"/>
      <c r="CP374" s="3179"/>
      <c r="CQ374" s="3179"/>
      <c r="CR374" s="3179"/>
      <c r="CS374" s="3179"/>
      <c r="CT374" s="3143"/>
      <c r="CU374" s="3179"/>
      <c r="CV374" s="3179"/>
      <c r="CW374" s="3179"/>
      <c r="CX374" s="3179"/>
      <c r="CY374" s="3153"/>
      <c r="CZ374" s="3153"/>
      <c r="DA374" s="3153"/>
      <c r="DB374" s="1062"/>
      <c r="DC374" s="1062"/>
      <c r="DD374" s="3144" t="s">
        <v>680</v>
      </c>
      <c r="DE374" s="3145">
        <f t="shared" si="813"/>
        <v>208</v>
      </c>
      <c r="DF374" s="3145">
        <f t="shared" si="814"/>
        <v>226.38700226070495</v>
      </c>
      <c r="DG374" s="3145">
        <f t="shared" si="815"/>
        <v>232</v>
      </c>
      <c r="DH374" s="3145">
        <f t="shared" si="816"/>
        <v>245</v>
      </c>
      <c r="DI374" s="3145">
        <f t="shared" si="817"/>
        <v>296</v>
      </c>
      <c r="DJ374" s="3145">
        <f t="shared" si="818"/>
        <v>329</v>
      </c>
      <c r="DK374" s="3145">
        <f t="shared" si="819"/>
        <v>390</v>
      </c>
      <c r="DL374" s="3145">
        <f t="shared" si="820"/>
        <v>439</v>
      </c>
      <c r="DM374" s="3145">
        <f t="shared" si="821"/>
        <v>451</v>
      </c>
      <c r="DN374" s="3145">
        <f t="shared" si="822"/>
        <v>400</v>
      </c>
      <c r="DO374" s="3145">
        <f t="shared" si="823"/>
        <v>505</v>
      </c>
      <c r="DP374" s="3145">
        <f t="shared" si="824"/>
        <v>566</v>
      </c>
      <c r="DQ374" s="3145">
        <f t="shared" si="825"/>
        <v>607</v>
      </c>
      <c r="DR374" s="3145">
        <f t="shared" si="826"/>
        <v>666</v>
      </c>
      <c r="DS374" s="3145">
        <f t="shared" si="827"/>
        <v>745</v>
      </c>
      <c r="DT374" s="3145">
        <f t="shared" si="828"/>
        <v>853</v>
      </c>
      <c r="DU374" s="3145">
        <f>CO374</f>
        <v>0</v>
      </c>
      <c r="DV374" s="3145">
        <f>CT374</f>
        <v>0</v>
      </c>
      <c r="DW374" s="3145">
        <f>CY374</f>
        <v>0</v>
      </c>
      <c r="DX374" s="3145">
        <f>CZ374</f>
        <v>0</v>
      </c>
      <c r="DY374" s="3145">
        <f>DA374</f>
        <v>0</v>
      </c>
      <c r="EA374"/>
      <c r="EB374"/>
      <c r="EC374"/>
      <c r="ED374"/>
      <c r="EE374"/>
      <c r="EF374"/>
      <c r="EJ374"/>
      <c r="EK374"/>
      <c r="EL374"/>
      <c r="ER374" s="2631"/>
    </row>
    <row r="375" spans="1:148" s="923" customFormat="1" ht="12.75" customHeight="1" x14ac:dyDescent="0.2">
      <c r="A375" s="3154" t="s">
        <v>2582</v>
      </c>
      <c r="B375" s="3175"/>
      <c r="C375" s="3175"/>
      <c r="D375" s="3175"/>
      <c r="E375" s="3175"/>
      <c r="F375" s="3175"/>
      <c r="G375" s="3175"/>
      <c r="H375" s="3175"/>
      <c r="I375" s="3175"/>
      <c r="J375" s="3175"/>
      <c r="K375" s="3175"/>
      <c r="L375" s="3175"/>
      <c r="M375" s="3182"/>
      <c r="N375" s="3175"/>
      <c r="O375" s="3175"/>
      <c r="P375" s="3175"/>
      <c r="Q375" s="3175"/>
      <c r="R375" s="3182"/>
      <c r="S375" s="3175"/>
      <c r="T375" s="3175"/>
      <c r="U375" s="3175"/>
      <c r="V375" s="3175"/>
      <c r="W375" s="3182"/>
      <c r="X375" s="3175"/>
      <c r="Y375" s="3175"/>
      <c r="Z375" s="3175"/>
      <c r="AA375" s="3175"/>
      <c r="AB375" s="3182"/>
      <c r="AC375" s="3175"/>
      <c r="AD375" s="3175"/>
      <c r="AE375" s="3175"/>
      <c r="AF375" s="3175"/>
      <c r="AG375" s="3182"/>
      <c r="AH375" s="3180">
        <v>30</v>
      </c>
      <c r="AI375" s="3180">
        <v>26</v>
      </c>
      <c r="AJ375" s="3180">
        <v>25</v>
      </c>
      <c r="AK375" s="3180">
        <v>23</v>
      </c>
      <c r="AL375" s="3182">
        <v>104</v>
      </c>
      <c r="AM375" s="3180">
        <v>25</v>
      </c>
      <c r="AN375" s="3180">
        <v>31</v>
      </c>
      <c r="AO375" s="3180">
        <v>31</v>
      </c>
      <c r="AP375" s="3180">
        <v>31</v>
      </c>
      <c r="AQ375" s="3182">
        <v>118</v>
      </c>
      <c r="AR375" s="3180">
        <v>33</v>
      </c>
      <c r="AS375" s="3180">
        <v>37</v>
      </c>
      <c r="AT375" s="3180">
        <v>39</v>
      </c>
      <c r="AU375" s="3180">
        <v>42</v>
      </c>
      <c r="AV375" s="3182">
        <v>151</v>
      </c>
      <c r="AW375" s="3180">
        <v>39</v>
      </c>
      <c r="AX375" s="3180">
        <v>44</v>
      </c>
      <c r="AY375" s="3180">
        <v>44</v>
      </c>
      <c r="AZ375" s="3180">
        <v>36</v>
      </c>
      <c r="BA375" s="3182">
        <v>163</v>
      </c>
      <c r="BB375" s="3180">
        <v>32</v>
      </c>
      <c r="BC375" s="3180">
        <v>34</v>
      </c>
      <c r="BD375" s="3180">
        <v>37</v>
      </c>
      <c r="BE375" s="3180">
        <v>35</v>
      </c>
      <c r="BF375" s="3182">
        <v>138</v>
      </c>
      <c r="BG375" s="3180">
        <v>35</v>
      </c>
      <c r="BH375" s="3180">
        <v>41</v>
      </c>
      <c r="BI375" s="3180">
        <v>43</v>
      </c>
      <c r="BJ375" s="3180">
        <v>42</v>
      </c>
      <c r="BK375" s="3182">
        <v>161</v>
      </c>
      <c r="BL375" s="3180">
        <v>43</v>
      </c>
      <c r="BM375" s="3180">
        <v>49</v>
      </c>
      <c r="BN375" s="3180">
        <v>48</v>
      </c>
      <c r="BO375" s="3180">
        <v>47</v>
      </c>
      <c r="BP375" s="3182">
        <v>187</v>
      </c>
      <c r="BQ375" s="3180">
        <v>45</v>
      </c>
      <c r="BR375" s="3180">
        <v>52</v>
      </c>
      <c r="BS375" s="3180">
        <v>53</v>
      </c>
      <c r="BT375" s="3180">
        <v>50</v>
      </c>
      <c r="BU375" s="3182">
        <v>200</v>
      </c>
      <c r="BV375" s="3180">
        <v>48</v>
      </c>
      <c r="BW375" s="3180">
        <v>56</v>
      </c>
      <c r="BX375" s="3180">
        <v>56</v>
      </c>
      <c r="BY375" s="3180">
        <v>54</v>
      </c>
      <c r="BZ375" s="3181">
        <v>214</v>
      </c>
      <c r="CA375" s="3180">
        <v>53</v>
      </c>
      <c r="CB375" s="3180">
        <v>62</v>
      </c>
      <c r="CC375" s="3180">
        <v>63</v>
      </c>
      <c r="CD375" s="3180">
        <v>58</v>
      </c>
      <c r="CE375" s="3181">
        <v>236</v>
      </c>
      <c r="CF375" s="3273">
        <f t="shared" ref="CF375:CM376" si="830">CF229</f>
        <v>58</v>
      </c>
      <c r="CG375" s="3273">
        <f t="shared" si="830"/>
        <v>67</v>
      </c>
      <c r="CH375" s="3273">
        <f t="shared" si="830"/>
        <v>68</v>
      </c>
      <c r="CI375" s="3273">
        <f t="shared" si="830"/>
        <v>63</v>
      </c>
      <c r="CJ375" s="3182">
        <f t="shared" si="830"/>
        <v>256</v>
      </c>
      <c r="CK375" s="3273">
        <f t="shared" si="830"/>
        <v>65</v>
      </c>
      <c r="CL375" s="3273">
        <f t="shared" si="830"/>
        <v>77</v>
      </c>
      <c r="CM375" s="3273">
        <f t="shared" si="830"/>
        <v>73.985733863060148</v>
      </c>
      <c r="CN375" s="3183"/>
      <c r="CO375" s="3141"/>
      <c r="CP375" s="3183"/>
      <c r="CQ375" s="3183"/>
      <c r="CR375" s="3183"/>
      <c r="CS375" s="3183"/>
      <c r="CT375" s="3141"/>
      <c r="CU375" s="3183"/>
      <c r="CV375" s="3183"/>
      <c r="CW375" s="3183"/>
      <c r="CX375" s="3183"/>
      <c r="CY375" s="3176"/>
      <c r="CZ375" s="3176"/>
      <c r="DA375" s="3176"/>
      <c r="DB375"/>
      <c r="DC375"/>
      <c r="DD375" s="3140"/>
      <c r="DE375" s="3141"/>
      <c r="DF375" s="3141"/>
      <c r="DG375" s="3141"/>
      <c r="DH375" s="3141"/>
      <c r="DI375" s="3141"/>
      <c r="DJ375" s="3141"/>
      <c r="DK375" s="3141"/>
      <c r="DL375" s="3141"/>
      <c r="DM375" s="3141"/>
      <c r="DN375" s="3141"/>
      <c r="DO375" s="3141"/>
      <c r="DP375" s="3141"/>
      <c r="DQ375" s="3141"/>
      <c r="DR375" s="3141"/>
      <c r="DS375" s="3141"/>
      <c r="DT375" s="3141"/>
      <c r="DU375" s="3141"/>
      <c r="DV375" s="3141"/>
      <c r="DW375" s="3141"/>
      <c r="DX375" s="3141"/>
      <c r="DY375" s="3141"/>
      <c r="EA375"/>
      <c r="EB375"/>
      <c r="EC375"/>
      <c r="ED375"/>
      <c r="EE375"/>
      <c r="EF375"/>
      <c r="EJ375"/>
      <c r="EK375"/>
      <c r="EL375"/>
      <c r="ER375" s="212"/>
    </row>
    <row r="376" spans="1:148" s="923" customFormat="1" ht="12.75" customHeight="1" x14ac:dyDescent="0.2">
      <c r="A376" s="3154" t="s">
        <v>2577</v>
      </c>
      <c r="B376" s="3175"/>
      <c r="C376" s="3175"/>
      <c r="D376" s="3175"/>
      <c r="E376" s="3175"/>
      <c r="F376" s="3175"/>
      <c r="G376" s="3175"/>
      <c r="H376" s="3175"/>
      <c r="I376" s="3175"/>
      <c r="J376" s="3175"/>
      <c r="K376" s="3175"/>
      <c r="L376" s="3175"/>
      <c r="M376" s="3182"/>
      <c r="N376" s="3175"/>
      <c r="O376" s="3175"/>
      <c r="P376" s="3175"/>
      <c r="Q376" s="3175"/>
      <c r="R376" s="3182"/>
      <c r="S376" s="3175"/>
      <c r="T376" s="3175"/>
      <c r="U376" s="3175"/>
      <c r="V376" s="3175"/>
      <c r="W376" s="3182"/>
      <c r="X376" s="3175"/>
      <c r="Y376" s="3175"/>
      <c r="Z376" s="3175"/>
      <c r="AA376" s="3175"/>
      <c r="AB376" s="3182"/>
      <c r="AC376" s="3175"/>
      <c r="AD376" s="3175"/>
      <c r="AE376" s="3175"/>
      <c r="AF376" s="3175"/>
      <c r="AG376" s="3182"/>
      <c r="AH376" s="3180"/>
      <c r="AI376" s="3180"/>
      <c r="AJ376" s="3180"/>
      <c r="AK376" s="3180"/>
      <c r="AL376" s="3182"/>
      <c r="AM376" s="3180"/>
      <c r="AN376" s="3180"/>
      <c r="AO376" s="3180"/>
      <c r="AP376" s="3180"/>
      <c r="AQ376" s="3182"/>
      <c r="AR376" s="3180"/>
      <c r="AS376" s="3180"/>
      <c r="AT376" s="3180"/>
      <c r="AU376" s="3180"/>
      <c r="AV376" s="3182"/>
      <c r="AW376" s="3180"/>
      <c r="AX376" s="3180"/>
      <c r="AY376" s="3180"/>
      <c r="AZ376" s="3180"/>
      <c r="BA376" s="3182"/>
      <c r="BB376" s="3180"/>
      <c r="BC376" s="3180"/>
      <c r="BD376" s="3180"/>
      <c r="BE376" s="3180"/>
      <c r="BF376" s="3182"/>
      <c r="BG376" s="3180"/>
      <c r="BH376" s="3180"/>
      <c r="BI376" s="3180"/>
      <c r="BJ376" s="3180"/>
      <c r="BK376" s="3182"/>
      <c r="BL376" s="3180"/>
      <c r="BM376" s="3180"/>
      <c r="BN376" s="3180"/>
      <c r="BO376" s="3180"/>
      <c r="BP376" s="3182"/>
      <c r="BQ376" s="3180"/>
      <c r="BR376" s="3180"/>
      <c r="BS376" s="3180"/>
      <c r="BT376" s="3180"/>
      <c r="BU376" s="3182"/>
      <c r="BV376" s="3180"/>
      <c r="BW376" s="3180"/>
      <c r="BX376" s="3180"/>
      <c r="BY376" s="3180"/>
      <c r="BZ376" s="3181"/>
      <c r="CA376" s="3180"/>
      <c r="CB376" s="3180"/>
      <c r="CC376" s="3180"/>
      <c r="CD376" s="3180"/>
      <c r="CE376" s="3181"/>
      <c r="CF376" s="3273">
        <f t="shared" si="830"/>
        <v>10</v>
      </c>
      <c r="CG376" s="3273">
        <f t="shared" si="830"/>
        <v>8</v>
      </c>
      <c r="CH376" s="3273">
        <f t="shared" si="830"/>
        <v>10</v>
      </c>
      <c r="CI376" s="3273">
        <f t="shared" si="830"/>
        <v>9</v>
      </c>
      <c r="CJ376" s="3182">
        <f t="shared" si="830"/>
        <v>37</v>
      </c>
      <c r="CK376" s="3273">
        <f t="shared" si="830"/>
        <v>9</v>
      </c>
      <c r="CL376" s="3273">
        <f t="shared" si="830"/>
        <v>11</v>
      </c>
      <c r="CM376" s="3273">
        <f t="shared" si="830"/>
        <v>14.014266136939852</v>
      </c>
      <c r="CN376" s="3183"/>
      <c r="CO376" s="3141"/>
      <c r="CP376" s="3183"/>
      <c r="CQ376" s="3183"/>
      <c r="CR376" s="3183"/>
      <c r="CS376" s="3183"/>
      <c r="CT376" s="3141"/>
      <c r="CU376" s="3183"/>
      <c r="CV376" s="3183"/>
      <c r="CW376" s="3183"/>
      <c r="CX376" s="3183"/>
      <c r="CY376" s="3176"/>
      <c r="CZ376" s="3176"/>
      <c r="DA376" s="3176"/>
      <c r="DB376"/>
      <c r="DC376"/>
      <c r="DD376" s="3140"/>
      <c r="DE376" s="3141"/>
      <c r="DF376" s="3141"/>
      <c r="DG376" s="3141"/>
      <c r="DH376" s="3141"/>
      <c r="DI376" s="3141"/>
      <c r="DJ376" s="3141"/>
      <c r="DK376" s="3141"/>
      <c r="DL376" s="3141"/>
      <c r="DM376" s="3141"/>
      <c r="DN376" s="3141"/>
      <c r="DO376" s="3141"/>
      <c r="DP376" s="3141"/>
      <c r="DQ376" s="3141"/>
      <c r="DR376" s="3141"/>
      <c r="DS376" s="3141"/>
      <c r="DT376" s="3141"/>
      <c r="DU376" s="3141"/>
      <c r="DV376" s="3141"/>
      <c r="DW376" s="3141"/>
      <c r="DX376" s="3141"/>
      <c r="DY376" s="3141"/>
      <c r="EA376"/>
      <c r="EB376"/>
      <c r="EC376"/>
      <c r="ED376"/>
      <c r="EE376"/>
      <c r="EF376"/>
      <c r="EJ376"/>
      <c r="EK376"/>
      <c r="EL376"/>
      <c r="ER376" s="212"/>
    </row>
    <row r="377" spans="1:148" s="923" customFormat="1" ht="3.95" customHeight="1" x14ac:dyDescent="0.2">
      <c r="A377" s="3154"/>
      <c r="B377" s="3155"/>
      <c r="C377" s="3155"/>
      <c r="D377" s="3155"/>
      <c r="E377" s="3155"/>
      <c r="F377" s="3155"/>
      <c r="G377" s="3155"/>
      <c r="H377" s="3155"/>
      <c r="I377" s="3155"/>
      <c r="J377" s="3155"/>
      <c r="K377" s="3155"/>
      <c r="L377" s="3155"/>
      <c r="M377" s="3160" t="s">
        <v>2403</v>
      </c>
      <c r="N377" s="3156" t="s">
        <v>2403</v>
      </c>
      <c r="O377" s="3156" t="s">
        <v>2403</v>
      </c>
      <c r="P377" s="3156" t="s">
        <v>2403</v>
      </c>
      <c r="Q377" s="3156" t="s">
        <v>2403</v>
      </c>
      <c r="R377" s="3160" t="s">
        <v>2403</v>
      </c>
      <c r="S377" s="3156" t="s">
        <v>2403</v>
      </c>
      <c r="T377" s="3156" t="s">
        <v>2403</v>
      </c>
      <c r="U377" s="3156" t="s">
        <v>2403</v>
      </c>
      <c r="V377" s="3156" t="s">
        <v>2403</v>
      </c>
      <c r="W377" s="3160" t="s">
        <v>2403</v>
      </c>
      <c r="X377" s="3156" t="s">
        <v>2403</v>
      </c>
      <c r="Y377" s="3156" t="s">
        <v>2403</v>
      </c>
      <c r="Z377" s="3156" t="s">
        <v>2403</v>
      </c>
      <c r="AA377" s="3156" t="s">
        <v>2403</v>
      </c>
      <c r="AB377" s="3160" t="s">
        <v>2403</v>
      </c>
      <c r="AC377" s="3156" t="s">
        <v>2403</v>
      </c>
      <c r="AD377" s="3156" t="s">
        <v>2403</v>
      </c>
      <c r="AE377" s="3156" t="s">
        <v>2403</v>
      </c>
      <c r="AF377" s="3156" t="s">
        <v>2403</v>
      </c>
      <c r="AG377" s="3160" t="s">
        <v>2403</v>
      </c>
      <c r="AH377" s="3156" t="s">
        <v>2403</v>
      </c>
      <c r="AI377" s="3156" t="s">
        <v>2403</v>
      </c>
      <c r="AJ377" s="3156" t="s">
        <v>2403</v>
      </c>
      <c r="AK377" s="3156" t="s">
        <v>2403</v>
      </c>
      <c r="AL377" s="3160" t="s">
        <v>2403</v>
      </c>
      <c r="AM377" s="3156" t="s">
        <v>2403</v>
      </c>
      <c r="AN377" s="3156" t="s">
        <v>2403</v>
      </c>
      <c r="AO377" s="3156" t="s">
        <v>2403</v>
      </c>
      <c r="AP377" s="3156" t="s">
        <v>2403</v>
      </c>
      <c r="AQ377" s="3160" t="s">
        <v>2403</v>
      </c>
      <c r="AR377" s="3156" t="s">
        <v>2403</v>
      </c>
      <c r="AS377" s="3156" t="s">
        <v>2403</v>
      </c>
      <c r="AT377" s="3156" t="s">
        <v>2403</v>
      </c>
      <c r="AU377" s="3156" t="s">
        <v>2403</v>
      </c>
      <c r="AV377" s="3160" t="s">
        <v>2403</v>
      </c>
      <c r="AW377" s="3156" t="s">
        <v>2403</v>
      </c>
      <c r="AX377" s="3156" t="s">
        <v>2403</v>
      </c>
      <c r="AY377" s="3156" t="s">
        <v>2403</v>
      </c>
      <c r="AZ377" s="3156" t="s">
        <v>2403</v>
      </c>
      <c r="BA377" s="3160" t="s">
        <v>2403</v>
      </c>
      <c r="BB377" s="3156" t="s">
        <v>2403</v>
      </c>
      <c r="BC377" s="3156" t="s">
        <v>2403</v>
      </c>
      <c r="BD377" s="3156" t="s">
        <v>2403</v>
      </c>
      <c r="BE377" s="3156" t="s">
        <v>2403</v>
      </c>
      <c r="BF377" s="3160" t="s">
        <v>2403</v>
      </c>
      <c r="BG377" s="3156" t="s">
        <v>2403</v>
      </c>
      <c r="BH377" s="3156" t="s">
        <v>2403</v>
      </c>
      <c r="BI377" s="3156" t="s">
        <v>2403</v>
      </c>
      <c r="BJ377" s="3156" t="s">
        <v>2403</v>
      </c>
      <c r="BK377" s="3160" t="s">
        <v>2403</v>
      </c>
      <c r="BL377" s="3156" t="s">
        <v>2403</v>
      </c>
      <c r="BM377" s="3156" t="s">
        <v>2403</v>
      </c>
      <c r="BN377" s="3156" t="s">
        <v>2403</v>
      </c>
      <c r="BO377" s="3156" t="s">
        <v>2403</v>
      </c>
      <c r="BP377" s="3160" t="s">
        <v>2403</v>
      </c>
      <c r="BQ377" s="3156" t="s">
        <v>2403</v>
      </c>
      <c r="BR377" s="3156" t="s">
        <v>2403</v>
      </c>
      <c r="BS377" s="3156" t="s">
        <v>2403</v>
      </c>
      <c r="BT377" s="3156" t="s">
        <v>2403</v>
      </c>
      <c r="BU377" s="3160" t="s">
        <v>2403</v>
      </c>
      <c r="BV377" s="3156" t="s">
        <v>2403</v>
      </c>
      <c r="BW377" s="3156" t="s">
        <v>2403</v>
      </c>
      <c r="BX377" s="3156" t="s">
        <v>2403</v>
      </c>
      <c r="BY377" s="3157" t="s">
        <v>2403</v>
      </c>
      <c r="BZ377" s="3158" t="s">
        <v>2403</v>
      </c>
      <c r="CA377" s="3157" t="s">
        <v>2403</v>
      </c>
      <c r="CB377" s="3157" t="s">
        <v>2403</v>
      </c>
      <c r="CC377" s="3157" t="s">
        <v>2403</v>
      </c>
      <c r="CD377" s="3157" t="s">
        <v>2403</v>
      </c>
      <c r="CE377" s="3158" t="s">
        <v>2403</v>
      </c>
      <c r="CF377" s="3157" t="s">
        <v>2403</v>
      </c>
      <c r="CG377" s="3157" t="s">
        <v>2403</v>
      </c>
      <c r="CH377" s="3159" t="s">
        <v>2403</v>
      </c>
      <c r="CI377" s="3159" t="s">
        <v>2403</v>
      </c>
      <c r="CJ377" s="3160" t="s">
        <v>2403</v>
      </c>
      <c r="CK377" s="3159" t="s">
        <v>2403</v>
      </c>
      <c r="CL377" s="3159" t="s">
        <v>2403</v>
      </c>
      <c r="CM377" s="3159" t="s">
        <v>2403</v>
      </c>
      <c r="CN377" s="3159"/>
      <c r="CO377" s="3160"/>
      <c r="CP377" s="3183"/>
      <c r="CQ377" s="3183"/>
      <c r="CR377" s="3159"/>
      <c r="CS377" s="3159"/>
      <c r="CT377" s="3160"/>
      <c r="CU377" s="3183"/>
      <c r="CV377" s="3183"/>
      <c r="CW377" s="3159"/>
      <c r="CX377" s="3159"/>
      <c r="CY377" s="3160"/>
      <c r="CZ377" s="3160"/>
      <c r="DA377" s="3160"/>
      <c r="DB377"/>
      <c r="DC377"/>
      <c r="DD377" s="2285"/>
      <c r="DE377" s="2292"/>
      <c r="DF377" s="2292"/>
      <c r="DG377" s="2292"/>
      <c r="DH377" s="2292"/>
      <c r="DI377" s="2292"/>
      <c r="DJ377" s="2292"/>
      <c r="DK377" s="2292"/>
      <c r="DL377" s="2292"/>
      <c r="DM377" s="2292"/>
      <c r="DN377" s="2292"/>
      <c r="DO377" s="2292"/>
      <c r="DP377" s="2292"/>
      <c r="DQ377" s="2292"/>
      <c r="DR377" s="2292"/>
      <c r="DS377" s="2292"/>
      <c r="DT377" s="2292"/>
      <c r="DU377" s="2292"/>
      <c r="DV377" s="2292"/>
      <c r="DW377" s="2292"/>
      <c r="DX377" s="2292"/>
      <c r="DY377" s="2292"/>
      <c r="EA377"/>
      <c r="EB377"/>
      <c r="EC377"/>
      <c r="ED377"/>
      <c r="EE377"/>
      <c r="EF377"/>
      <c r="EJ377"/>
      <c r="EK377"/>
      <c r="EL377"/>
      <c r="ER377" s="212"/>
    </row>
    <row r="378" spans="1:148" s="923" customFormat="1" ht="12.75" customHeight="1" x14ac:dyDescent="0.2">
      <c r="A378" s="3140" t="s">
        <v>2516</v>
      </c>
      <c r="B378" s="3175"/>
      <c r="C378" s="3175"/>
      <c r="D378" s="3175"/>
      <c r="E378" s="3175"/>
      <c r="F378" s="3175"/>
      <c r="G378" s="3175"/>
      <c r="H378" s="3175"/>
      <c r="I378" s="3175"/>
      <c r="J378" s="3175"/>
      <c r="K378" s="3175"/>
      <c r="L378" s="3175"/>
      <c r="M378" s="3141">
        <f t="shared" ref="M378:BX378" si="831">+SUM(M374:M377)</f>
        <v>208</v>
      </c>
      <c r="N378" s="3395">
        <f t="shared" si="831"/>
        <v>51.839247739839394</v>
      </c>
      <c r="O378" s="3395">
        <f t="shared" si="831"/>
        <v>56.547754520865546</v>
      </c>
      <c r="P378" s="3395">
        <f t="shared" si="831"/>
        <v>55</v>
      </c>
      <c r="Q378" s="3395">
        <f t="shared" si="831"/>
        <v>63</v>
      </c>
      <c r="R378" s="3141">
        <f t="shared" si="831"/>
        <v>226.38700226070495</v>
      </c>
      <c r="S378" s="3395">
        <f t="shared" si="831"/>
        <v>51</v>
      </c>
      <c r="T378" s="3395">
        <f t="shared" si="831"/>
        <v>54</v>
      </c>
      <c r="U378" s="3395">
        <f t="shared" si="831"/>
        <v>55</v>
      </c>
      <c r="V378" s="3395">
        <f t="shared" si="831"/>
        <v>72</v>
      </c>
      <c r="W378" s="3141">
        <f t="shared" si="831"/>
        <v>232</v>
      </c>
      <c r="X378" s="3395">
        <f t="shared" si="831"/>
        <v>52</v>
      </c>
      <c r="Y378" s="3395">
        <f t="shared" si="831"/>
        <v>56</v>
      </c>
      <c r="Z378" s="3395">
        <f t="shared" si="831"/>
        <v>61</v>
      </c>
      <c r="AA378" s="3395">
        <f t="shared" si="831"/>
        <v>76</v>
      </c>
      <c r="AB378" s="3141">
        <f t="shared" si="831"/>
        <v>245</v>
      </c>
      <c r="AC378" s="3395">
        <f t="shared" si="831"/>
        <v>61</v>
      </c>
      <c r="AD378" s="3395">
        <f t="shared" si="831"/>
        <v>72</v>
      </c>
      <c r="AE378" s="3395">
        <f t="shared" si="831"/>
        <v>74</v>
      </c>
      <c r="AF378" s="3395">
        <f t="shared" si="831"/>
        <v>89</v>
      </c>
      <c r="AG378" s="3141">
        <f t="shared" si="831"/>
        <v>296</v>
      </c>
      <c r="AH378" s="3395">
        <f t="shared" si="831"/>
        <v>100</v>
      </c>
      <c r="AI378" s="3395">
        <f t="shared" si="831"/>
        <v>104</v>
      </c>
      <c r="AJ378" s="3395">
        <f t="shared" si="831"/>
        <v>103</v>
      </c>
      <c r="AK378" s="3395">
        <f t="shared" si="831"/>
        <v>126</v>
      </c>
      <c r="AL378" s="3141">
        <f t="shared" si="831"/>
        <v>433</v>
      </c>
      <c r="AM378" s="3395">
        <f t="shared" si="831"/>
        <v>107</v>
      </c>
      <c r="AN378" s="3395">
        <f t="shared" si="831"/>
        <v>124</v>
      </c>
      <c r="AO378" s="3395">
        <f t="shared" si="831"/>
        <v>125</v>
      </c>
      <c r="AP378" s="3395">
        <f t="shared" si="831"/>
        <v>152</v>
      </c>
      <c r="AQ378" s="3141">
        <f t="shared" si="831"/>
        <v>508</v>
      </c>
      <c r="AR378" s="3395">
        <f t="shared" si="831"/>
        <v>124</v>
      </c>
      <c r="AS378" s="3395">
        <f t="shared" si="831"/>
        <v>138</v>
      </c>
      <c r="AT378" s="3395">
        <f t="shared" si="831"/>
        <v>150</v>
      </c>
      <c r="AU378" s="3395">
        <f t="shared" si="831"/>
        <v>178</v>
      </c>
      <c r="AV378" s="3141">
        <f t="shared" si="831"/>
        <v>590</v>
      </c>
      <c r="AW378" s="3395">
        <f t="shared" si="831"/>
        <v>135</v>
      </c>
      <c r="AX378" s="3395">
        <f t="shared" si="831"/>
        <v>154</v>
      </c>
      <c r="AY378" s="3395">
        <f t="shared" si="831"/>
        <v>152</v>
      </c>
      <c r="AZ378" s="3395">
        <f t="shared" si="831"/>
        <v>173</v>
      </c>
      <c r="BA378" s="3141">
        <f t="shared" si="831"/>
        <v>614</v>
      </c>
      <c r="BB378" s="3395">
        <f t="shared" si="831"/>
        <v>120</v>
      </c>
      <c r="BC378" s="3395">
        <f t="shared" si="831"/>
        <v>127</v>
      </c>
      <c r="BD378" s="3395">
        <f t="shared" si="831"/>
        <v>137</v>
      </c>
      <c r="BE378" s="3395">
        <f t="shared" si="831"/>
        <v>154</v>
      </c>
      <c r="BF378" s="3141">
        <f t="shared" si="831"/>
        <v>538</v>
      </c>
      <c r="BG378" s="3395">
        <f t="shared" si="831"/>
        <v>140</v>
      </c>
      <c r="BH378" s="3395">
        <f t="shared" si="831"/>
        <v>161</v>
      </c>
      <c r="BI378" s="3395">
        <f t="shared" si="831"/>
        <v>167</v>
      </c>
      <c r="BJ378" s="3395">
        <f t="shared" si="831"/>
        <v>198</v>
      </c>
      <c r="BK378" s="3141">
        <f t="shared" si="831"/>
        <v>666</v>
      </c>
      <c r="BL378" s="3395">
        <f t="shared" si="831"/>
        <v>160</v>
      </c>
      <c r="BM378" s="3395">
        <f t="shared" si="831"/>
        <v>184</v>
      </c>
      <c r="BN378" s="3395">
        <f t="shared" si="831"/>
        <v>187</v>
      </c>
      <c r="BO378" s="3395">
        <f t="shared" si="831"/>
        <v>222</v>
      </c>
      <c r="BP378" s="3141">
        <f t="shared" si="831"/>
        <v>753</v>
      </c>
      <c r="BQ378" s="3395">
        <f t="shared" si="831"/>
        <v>171</v>
      </c>
      <c r="BR378" s="3395">
        <f t="shared" si="831"/>
        <v>197</v>
      </c>
      <c r="BS378" s="3395">
        <f t="shared" si="831"/>
        <v>202</v>
      </c>
      <c r="BT378" s="3395">
        <f t="shared" si="831"/>
        <v>237</v>
      </c>
      <c r="BU378" s="3141">
        <f t="shared" si="831"/>
        <v>807</v>
      </c>
      <c r="BV378" s="3395">
        <f t="shared" si="831"/>
        <v>199</v>
      </c>
      <c r="BW378" s="3395">
        <f t="shared" si="831"/>
        <v>233</v>
      </c>
      <c r="BX378" s="3395">
        <f t="shared" si="831"/>
        <v>231</v>
      </c>
      <c r="BY378" s="3395">
        <f t="shared" ref="BY378:CL378" si="832">+SUM(BY374:BY377)</f>
        <v>217</v>
      </c>
      <c r="BZ378" s="3141">
        <f t="shared" si="832"/>
        <v>880</v>
      </c>
      <c r="CA378" s="3395">
        <f t="shared" si="832"/>
        <v>216</v>
      </c>
      <c r="CB378" s="3395">
        <f t="shared" si="832"/>
        <v>256</v>
      </c>
      <c r="CC378" s="3395">
        <f t="shared" si="832"/>
        <v>266</v>
      </c>
      <c r="CD378" s="3395">
        <f t="shared" si="832"/>
        <v>243</v>
      </c>
      <c r="CE378" s="3141">
        <f t="shared" si="832"/>
        <v>981</v>
      </c>
      <c r="CF378" s="3395">
        <f t="shared" si="832"/>
        <v>272</v>
      </c>
      <c r="CG378" s="3395">
        <f t="shared" si="832"/>
        <v>296</v>
      </c>
      <c r="CH378" s="3395">
        <f t="shared" si="832"/>
        <v>305</v>
      </c>
      <c r="CI378" s="3395">
        <f t="shared" si="832"/>
        <v>273</v>
      </c>
      <c r="CJ378" s="3141">
        <f t="shared" si="832"/>
        <v>1146</v>
      </c>
      <c r="CK378" s="3395">
        <f t="shared" si="832"/>
        <v>281</v>
      </c>
      <c r="CL378" s="3395">
        <f t="shared" si="832"/>
        <v>323</v>
      </c>
      <c r="CM378" s="3395">
        <f>+SUM(CM374:CM377)</f>
        <v>330</v>
      </c>
      <c r="CN378" s="3396">
        <v>296</v>
      </c>
      <c r="CO378" s="3141">
        <f>SUM(CK378:CN378)</f>
        <v>1230</v>
      </c>
      <c r="CP378" s="3638">
        <f>+CP381-CP379</f>
        <v>315</v>
      </c>
      <c r="CQ378" s="3638">
        <f>+CQ381-CQ379</f>
        <v>349</v>
      </c>
      <c r="CR378" s="3638">
        <f>+CR381-CR379</f>
        <v>375</v>
      </c>
      <c r="CS378" s="3638">
        <f>+CS381-CS379</f>
        <v>342</v>
      </c>
      <c r="CT378" s="3176">
        <f>+SUM(CP378:CS378)</f>
        <v>1381</v>
      </c>
      <c r="CU378" s="3395">
        <f>+CP381*(1+CU364)</f>
        <v>415.69479869325869</v>
      </c>
      <c r="CV378" s="3395">
        <f>+CQ381*(1+CV364)</f>
        <v>476.08049137620787</v>
      </c>
      <c r="CW378" s="3395">
        <f>+CR381*(1+CW364)</f>
        <v>484.10166607663564</v>
      </c>
      <c r="CX378" s="3395">
        <f>+CS381*(1+CX364)</f>
        <v>464.38981764024567</v>
      </c>
      <c r="CY378" s="3176">
        <f>+SUM(CU378:CX378)</f>
        <v>1840.2667737863478</v>
      </c>
      <c r="CZ378" s="3176">
        <f>+CY378*(1+CZ364)</f>
        <v>2044.3369334218612</v>
      </c>
      <c r="DA378" s="3176">
        <f>+CZ378*(1+DA364)</f>
        <v>2085.2163877628686</v>
      </c>
      <c r="DB378"/>
      <c r="DC378"/>
      <c r="DD378" s="3140"/>
      <c r="DE378" s="3141"/>
      <c r="DF378" s="3141"/>
      <c r="DG378" s="3141"/>
      <c r="DH378" s="3141"/>
      <c r="DI378" s="3141"/>
      <c r="DJ378" s="3141"/>
      <c r="DK378" s="3141"/>
      <c r="DL378" s="3141"/>
      <c r="DM378" s="3141"/>
      <c r="DN378" s="3141"/>
      <c r="DO378" s="3141"/>
      <c r="DP378" s="3141"/>
      <c r="DQ378" s="3141"/>
      <c r="DR378" s="3141"/>
      <c r="DS378" s="3141"/>
      <c r="DT378" s="3141"/>
      <c r="DU378" s="3141"/>
      <c r="DV378" s="3141"/>
      <c r="DW378" s="3141"/>
      <c r="DX378" s="3141"/>
      <c r="DY378" s="3141"/>
      <c r="EA378"/>
      <c r="EB378"/>
      <c r="EC378"/>
      <c r="ED378"/>
      <c r="EE378"/>
      <c r="EF378"/>
      <c r="EJ378"/>
      <c r="EK378"/>
      <c r="EL378"/>
      <c r="EM378" s="1703"/>
      <c r="ER378" s="212"/>
    </row>
    <row r="379" spans="1:148" s="923" customFormat="1" ht="12.75" customHeight="1" x14ac:dyDescent="0.2">
      <c r="A379" s="3154" t="s">
        <v>2678</v>
      </c>
      <c r="B379" s="3175"/>
      <c r="C379" s="3175"/>
      <c r="D379" s="3175"/>
      <c r="E379" s="3175"/>
      <c r="F379" s="3175"/>
      <c r="G379" s="3175"/>
      <c r="H379" s="3175"/>
      <c r="I379" s="3175"/>
      <c r="J379" s="3175"/>
      <c r="K379" s="3175"/>
      <c r="L379" s="3175"/>
      <c r="M379" s="3141"/>
      <c r="N379" s="3395"/>
      <c r="O379" s="3395"/>
      <c r="P379" s="3395"/>
      <c r="Q379" s="3395"/>
      <c r="R379" s="3141"/>
      <c r="S379" s="3395"/>
      <c r="T379" s="3395"/>
      <c r="U379" s="3395"/>
      <c r="V379" s="3395"/>
      <c r="W379" s="3141"/>
      <c r="X379" s="3395"/>
      <c r="Y379" s="3395"/>
      <c r="Z379" s="3395"/>
      <c r="AA379" s="3395"/>
      <c r="AB379" s="3141"/>
      <c r="AC379" s="3395"/>
      <c r="AD379" s="3395"/>
      <c r="AE379" s="3395"/>
      <c r="AF379" s="3395"/>
      <c r="AG379" s="3141"/>
      <c r="AH379" s="3395"/>
      <c r="AI379" s="3395"/>
      <c r="AJ379" s="3395"/>
      <c r="AK379" s="3395"/>
      <c r="AL379" s="3141"/>
      <c r="AM379" s="3395"/>
      <c r="AN379" s="3395"/>
      <c r="AO379" s="3395"/>
      <c r="AP379" s="3395"/>
      <c r="AQ379" s="3141"/>
      <c r="AR379" s="3395"/>
      <c r="AS379" s="3395"/>
      <c r="AT379" s="3395"/>
      <c r="AU379" s="3395"/>
      <c r="AV379" s="3141"/>
      <c r="AW379" s="3395"/>
      <c r="AX379" s="3395"/>
      <c r="AY379" s="3395"/>
      <c r="AZ379" s="3395"/>
      <c r="BA379" s="3141"/>
      <c r="BB379" s="3395"/>
      <c r="BC379" s="3395"/>
      <c r="BD379" s="3395"/>
      <c r="BE379" s="3395"/>
      <c r="BF379" s="3141"/>
      <c r="BG379" s="3395"/>
      <c r="BH379" s="3395"/>
      <c r="BI379" s="3395"/>
      <c r="BJ379" s="3395"/>
      <c r="BK379" s="3141"/>
      <c r="BL379" s="3395"/>
      <c r="BM379" s="3395"/>
      <c r="BN379" s="3395"/>
      <c r="BO379" s="3395"/>
      <c r="BP379" s="3141"/>
      <c r="BQ379" s="3395"/>
      <c r="BR379" s="3395"/>
      <c r="BS379" s="3395"/>
      <c r="BT379" s="3395"/>
      <c r="BU379" s="3141"/>
      <c r="BV379" s="3395"/>
      <c r="BW379" s="3395"/>
      <c r="BX379" s="3395"/>
      <c r="BY379" s="3395"/>
      <c r="BZ379" s="3141"/>
      <c r="CA379" s="3395"/>
      <c r="CB379" s="3395"/>
      <c r="CC379" s="3395"/>
      <c r="CD379" s="3395"/>
      <c r="CE379" s="3141"/>
      <c r="CF379" s="3397">
        <f>+CF381-CF378</f>
        <v>34</v>
      </c>
      <c r="CG379" s="3397">
        <f>+CG381-CG378</f>
        <v>42</v>
      </c>
      <c r="CH379" s="3397">
        <f>+CH381-CH378</f>
        <v>46</v>
      </c>
      <c r="CI379" s="3397">
        <f>+CI381-CI378</f>
        <v>47</v>
      </c>
      <c r="CJ379" s="3398">
        <f>SUM(CF379:CI379)</f>
        <v>169</v>
      </c>
      <c r="CK379" s="3397">
        <f>+CK381-CK378</f>
        <v>52</v>
      </c>
      <c r="CL379" s="3397">
        <f>+CL381-CL378</f>
        <v>48</v>
      </c>
      <c r="CM379" s="3397">
        <f>+CM381-CM378</f>
        <v>48</v>
      </c>
      <c r="CN379" s="3397">
        <f>+CN381-CN378</f>
        <v>60</v>
      </c>
      <c r="CO379" s="3398">
        <f>SUM(CK379:CN379)</f>
        <v>208</v>
      </c>
      <c r="CP379" s="3639">
        <v>50</v>
      </c>
      <c r="CQ379" s="3639">
        <v>67</v>
      </c>
      <c r="CR379" s="3661">
        <v>51</v>
      </c>
      <c r="CS379" s="3639">
        <f>+CN379*1.15</f>
        <v>69</v>
      </c>
      <c r="CT379" s="3419">
        <f>SUM(CP379:CS379)</f>
        <v>237</v>
      </c>
      <c r="CU379" s="3639"/>
      <c r="CV379" s="3639"/>
      <c r="CW379" s="3639"/>
      <c r="CX379" s="3639"/>
      <c r="CY379" s="3176"/>
      <c r="CZ379" s="3176"/>
      <c r="DA379" s="3176"/>
      <c r="DB379"/>
      <c r="DC379"/>
      <c r="DD379" s="3140"/>
      <c r="DE379" s="3141"/>
      <c r="DF379" s="3141"/>
      <c r="DG379" s="3141"/>
      <c r="DH379" s="3141"/>
      <c r="DI379" s="3141"/>
      <c r="DJ379" s="3141"/>
      <c r="DK379" s="3141"/>
      <c r="DL379" s="3141"/>
      <c r="DM379" s="3141"/>
      <c r="DN379" s="3141"/>
      <c r="DO379" s="3141"/>
      <c r="DP379" s="3141"/>
      <c r="DQ379" s="3141"/>
      <c r="DR379" s="3141"/>
      <c r="DS379" s="3141"/>
      <c r="DT379" s="3141"/>
      <c r="DU379" s="3141"/>
      <c r="DV379" s="3141"/>
      <c r="DW379" s="3141"/>
      <c r="DX379" s="3141"/>
      <c r="DY379" s="3141"/>
      <c r="EA379"/>
      <c r="EB379"/>
      <c r="EC379"/>
      <c r="ED379"/>
      <c r="EE379"/>
      <c r="EF379"/>
      <c r="EJ379"/>
      <c r="EK379"/>
      <c r="EL379"/>
      <c r="ER379" s="212"/>
    </row>
    <row r="380" spans="1:148" s="923" customFormat="1" ht="3.95" customHeight="1" x14ac:dyDescent="0.2">
      <c r="A380" s="3154"/>
      <c r="B380" s="3155"/>
      <c r="C380" s="3155"/>
      <c r="D380" s="3155"/>
      <c r="E380" s="3155"/>
      <c r="F380" s="3155"/>
      <c r="G380" s="3155"/>
      <c r="H380" s="3155"/>
      <c r="I380" s="3155"/>
      <c r="J380" s="3155"/>
      <c r="K380" s="3155"/>
      <c r="L380" s="3155"/>
      <c r="M380" s="3160" t="s">
        <v>2403</v>
      </c>
      <c r="N380" s="3156" t="s">
        <v>2403</v>
      </c>
      <c r="O380" s="3156" t="s">
        <v>2403</v>
      </c>
      <c r="P380" s="3156" t="s">
        <v>2403</v>
      </c>
      <c r="Q380" s="3156" t="s">
        <v>2403</v>
      </c>
      <c r="R380" s="3160" t="s">
        <v>2403</v>
      </c>
      <c r="S380" s="3156" t="s">
        <v>2403</v>
      </c>
      <c r="T380" s="3156" t="s">
        <v>2403</v>
      </c>
      <c r="U380" s="3156" t="s">
        <v>2403</v>
      </c>
      <c r="V380" s="3156" t="s">
        <v>2403</v>
      </c>
      <c r="W380" s="3160" t="s">
        <v>2403</v>
      </c>
      <c r="X380" s="3156" t="s">
        <v>2403</v>
      </c>
      <c r="Y380" s="3156" t="s">
        <v>2403</v>
      </c>
      <c r="Z380" s="3156" t="s">
        <v>2403</v>
      </c>
      <c r="AA380" s="3156" t="s">
        <v>2403</v>
      </c>
      <c r="AB380" s="3160" t="s">
        <v>2403</v>
      </c>
      <c r="AC380" s="3156" t="s">
        <v>2403</v>
      </c>
      <c r="AD380" s="3156" t="s">
        <v>2403</v>
      </c>
      <c r="AE380" s="3156" t="s">
        <v>2403</v>
      </c>
      <c r="AF380" s="3156" t="s">
        <v>2403</v>
      </c>
      <c r="AG380" s="3160" t="s">
        <v>2403</v>
      </c>
      <c r="AH380" s="3156" t="s">
        <v>2403</v>
      </c>
      <c r="AI380" s="3156" t="s">
        <v>2403</v>
      </c>
      <c r="AJ380" s="3156" t="s">
        <v>2403</v>
      </c>
      <c r="AK380" s="3156" t="s">
        <v>2403</v>
      </c>
      <c r="AL380" s="3160" t="s">
        <v>2403</v>
      </c>
      <c r="AM380" s="3156" t="s">
        <v>2403</v>
      </c>
      <c r="AN380" s="3156" t="s">
        <v>2403</v>
      </c>
      <c r="AO380" s="3156" t="s">
        <v>2403</v>
      </c>
      <c r="AP380" s="3156" t="s">
        <v>2403</v>
      </c>
      <c r="AQ380" s="3160" t="s">
        <v>2403</v>
      </c>
      <c r="AR380" s="3156" t="s">
        <v>2403</v>
      </c>
      <c r="AS380" s="3156" t="s">
        <v>2403</v>
      </c>
      <c r="AT380" s="3156" t="s">
        <v>2403</v>
      </c>
      <c r="AU380" s="3156" t="s">
        <v>2403</v>
      </c>
      <c r="AV380" s="3160" t="s">
        <v>2403</v>
      </c>
      <c r="AW380" s="3156" t="s">
        <v>2403</v>
      </c>
      <c r="AX380" s="3156" t="s">
        <v>2403</v>
      </c>
      <c r="AY380" s="3156" t="s">
        <v>2403</v>
      </c>
      <c r="AZ380" s="3156" t="s">
        <v>2403</v>
      </c>
      <c r="BA380" s="3160" t="s">
        <v>2403</v>
      </c>
      <c r="BB380" s="3156" t="s">
        <v>2403</v>
      </c>
      <c r="BC380" s="3156" t="s">
        <v>2403</v>
      </c>
      <c r="BD380" s="3156" t="s">
        <v>2403</v>
      </c>
      <c r="BE380" s="3156" t="s">
        <v>2403</v>
      </c>
      <c r="BF380" s="3160" t="s">
        <v>2403</v>
      </c>
      <c r="BG380" s="3156" t="s">
        <v>2403</v>
      </c>
      <c r="BH380" s="3156" t="s">
        <v>2403</v>
      </c>
      <c r="BI380" s="3156" t="s">
        <v>2403</v>
      </c>
      <c r="BJ380" s="3156" t="s">
        <v>2403</v>
      </c>
      <c r="BK380" s="3160" t="s">
        <v>2403</v>
      </c>
      <c r="BL380" s="3156" t="s">
        <v>2403</v>
      </c>
      <c r="BM380" s="3156" t="s">
        <v>2403</v>
      </c>
      <c r="BN380" s="3156" t="s">
        <v>2403</v>
      </c>
      <c r="BO380" s="3156" t="s">
        <v>2403</v>
      </c>
      <c r="BP380" s="3160" t="s">
        <v>2403</v>
      </c>
      <c r="BQ380" s="3156" t="s">
        <v>2403</v>
      </c>
      <c r="BR380" s="3156" t="s">
        <v>2403</v>
      </c>
      <c r="BS380" s="3156" t="s">
        <v>2403</v>
      </c>
      <c r="BT380" s="3156" t="s">
        <v>2403</v>
      </c>
      <c r="BU380" s="3160" t="s">
        <v>2403</v>
      </c>
      <c r="BV380" s="3156" t="s">
        <v>2403</v>
      </c>
      <c r="BW380" s="3156" t="s">
        <v>2403</v>
      </c>
      <c r="BX380" s="3156" t="s">
        <v>2403</v>
      </c>
      <c r="BY380" s="3157" t="s">
        <v>2403</v>
      </c>
      <c r="BZ380" s="3158" t="s">
        <v>2403</v>
      </c>
      <c r="CA380" s="3157" t="s">
        <v>2403</v>
      </c>
      <c r="CB380" s="3157" t="s">
        <v>2403</v>
      </c>
      <c r="CC380" s="3157" t="s">
        <v>2403</v>
      </c>
      <c r="CD380" s="3157" t="s">
        <v>2403</v>
      </c>
      <c r="CE380" s="3158" t="s">
        <v>2403</v>
      </c>
      <c r="CF380" s="3157" t="s">
        <v>2403</v>
      </c>
      <c r="CG380" s="3157" t="s">
        <v>2403</v>
      </c>
      <c r="CH380" s="3159" t="s">
        <v>2403</v>
      </c>
      <c r="CI380" s="3159" t="s">
        <v>2403</v>
      </c>
      <c r="CJ380" s="3160" t="s">
        <v>2403</v>
      </c>
      <c r="CK380" s="3159" t="s">
        <v>2403</v>
      </c>
      <c r="CL380" s="3159" t="s">
        <v>2403</v>
      </c>
      <c r="CM380" s="3159" t="s">
        <v>2403</v>
      </c>
      <c r="CN380" s="3159" t="s">
        <v>2403</v>
      </c>
      <c r="CO380" s="3160" t="s">
        <v>2403</v>
      </c>
      <c r="CP380" s="7" t="s">
        <v>2403</v>
      </c>
      <c r="CQ380" s="3159" t="s">
        <v>2403</v>
      </c>
      <c r="CR380" s="3662" t="s">
        <v>2403</v>
      </c>
      <c r="CS380" s="3159" t="s">
        <v>2403</v>
      </c>
      <c r="CT380" s="3160" t="s">
        <v>2403</v>
      </c>
      <c r="CU380" s="7"/>
      <c r="CV380" s="3159"/>
      <c r="CW380" s="3159"/>
      <c r="CX380" s="3159"/>
      <c r="CY380" s="3160" t="s">
        <v>2403</v>
      </c>
      <c r="CZ380" s="3160" t="s">
        <v>2403</v>
      </c>
      <c r="DA380" s="3160" t="s">
        <v>2403</v>
      </c>
      <c r="DB380"/>
      <c r="DC380"/>
      <c r="DD380" s="2285"/>
      <c r="DE380" s="2292"/>
      <c r="DF380" s="2292"/>
      <c r="DG380" s="2292"/>
      <c r="DH380" s="2292"/>
      <c r="DI380" s="2292"/>
      <c r="DJ380" s="2292"/>
      <c r="DK380" s="2292"/>
      <c r="DL380" s="2292"/>
      <c r="DM380" s="2292"/>
      <c r="DN380" s="2292"/>
      <c r="DO380" s="2292"/>
      <c r="DP380" s="2292"/>
      <c r="DQ380" s="2292"/>
      <c r="DR380" s="2292"/>
      <c r="DS380" s="2292"/>
      <c r="DT380" s="2292"/>
      <c r="DU380" s="2292"/>
      <c r="DV380" s="2292"/>
      <c r="DW380" s="2292"/>
      <c r="DX380" s="2292"/>
      <c r="DY380" s="2292"/>
      <c r="EA380"/>
      <c r="EB380"/>
      <c r="EC380"/>
      <c r="ED380"/>
      <c r="EE380"/>
      <c r="EF380"/>
      <c r="EJ380"/>
      <c r="EK380"/>
      <c r="EL380"/>
      <c r="ER380" s="212"/>
    </row>
    <row r="381" spans="1:148" s="923" customFormat="1" ht="12.75" customHeight="1" x14ac:dyDescent="0.2">
      <c r="A381" s="2298" t="s">
        <v>2677</v>
      </c>
      <c r="B381" s="3161"/>
      <c r="C381" s="3161"/>
      <c r="D381" s="3161"/>
      <c r="E381" s="3161"/>
      <c r="F381" s="3161"/>
      <c r="G381" s="3161"/>
      <c r="H381" s="3161"/>
      <c r="I381" s="3161"/>
      <c r="J381" s="3161"/>
      <c r="K381" s="3161"/>
      <c r="L381" s="3161"/>
      <c r="M381" s="3163"/>
      <c r="N381" s="3162"/>
      <c r="O381" s="3162"/>
      <c r="P381" s="3162"/>
      <c r="Q381" s="3162"/>
      <c r="R381" s="3163"/>
      <c r="S381" s="3162"/>
      <c r="T381" s="3162"/>
      <c r="U381" s="3162"/>
      <c r="V381" s="3162"/>
      <c r="W381" s="3163"/>
      <c r="X381" s="3162"/>
      <c r="Y381" s="3162"/>
      <c r="Z381" s="3162"/>
      <c r="AA381" s="3162"/>
      <c r="AB381" s="3163"/>
      <c r="AC381" s="3162"/>
      <c r="AD381" s="3162"/>
      <c r="AE381" s="3162"/>
      <c r="AF381" s="3162"/>
      <c r="AG381" s="3163"/>
      <c r="AH381" s="3162"/>
      <c r="AI381" s="3162"/>
      <c r="AJ381" s="3162"/>
      <c r="AK381" s="3162"/>
      <c r="AL381" s="3163"/>
      <c r="AM381" s="3162"/>
      <c r="AN381" s="3162"/>
      <c r="AO381" s="3162"/>
      <c r="AP381" s="3162"/>
      <c r="AQ381" s="3163"/>
      <c r="AR381" s="3162"/>
      <c r="AS381" s="3162"/>
      <c r="AT381" s="3162"/>
      <c r="AU381" s="3162"/>
      <c r="AV381" s="3163"/>
      <c r="AW381" s="3162"/>
      <c r="AX381" s="3162"/>
      <c r="AY381" s="3162"/>
      <c r="AZ381" s="3162"/>
      <c r="BA381" s="3163"/>
      <c r="BB381" s="3162"/>
      <c r="BC381" s="3162"/>
      <c r="BD381" s="3162"/>
      <c r="BE381" s="3162"/>
      <c r="BF381" s="3163"/>
      <c r="BG381" s="3162"/>
      <c r="BH381" s="3162"/>
      <c r="BI381" s="3162"/>
      <c r="BJ381" s="3162"/>
      <c r="BK381" s="3163"/>
      <c r="BL381" s="3162"/>
      <c r="BM381" s="3162"/>
      <c r="BN381" s="3162"/>
      <c r="BO381" s="3162"/>
      <c r="BP381" s="3163"/>
      <c r="BQ381" s="3162"/>
      <c r="BR381" s="3162"/>
      <c r="BS381" s="3162"/>
      <c r="BT381" s="3162"/>
      <c r="BU381" s="3163"/>
      <c r="BV381" s="3162"/>
      <c r="BW381" s="3162"/>
      <c r="BX381" s="3162"/>
      <c r="BY381" s="3162"/>
      <c r="BZ381" s="3163"/>
      <c r="CA381" s="3162"/>
      <c r="CB381" s="3162"/>
      <c r="CC381" s="3162"/>
      <c r="CD381" s="3162"/>
      <c r="CE381" s="3163"/>
      <c r="CF381" s="3382">
        <v>306</v>
      </c>
      <c r="CG381" s="3382">
        <v>338</v>
      </c>
      <c r="CH381" s="3382">
        <v>351</v>
      </c>
      <c r="CI381" s="3382">
        <v>320</v>
      </c>
      <c r="CJ381" s="3163">
        <f>SUM(CF381:CI381)</f>
        <v>1315</v>
      </c>
      <c r="CK381" s="3382">
        <v>333</v>
      </c>
      <c r="CL381" s="3382">
        <v>371</v>
      </c>
      <c r="CM381" s="3382">
        <v>378</v>
      </c>
      <c r="CN381" s="3382">
        <v>356</v>
      </c>
      <c r="CO381" s="3163">
        <f>SUM(CK381:CN381)</f>
        <v>1438</v>
      </c>
      <c r="CP381" s="3382">
        <v>365</v>
      </c>
      <c r="CQ381" s="3382">
        <v>416</v>
      </c>
      <c r="CR381" s="3660">
        <v>426</v>
      </c>
      <c r="CS381" s="3660">
        <v>411</v>
      </c>
      <c r="CT381" s="3177">
        <f>+SUM(CP381:CS381)</f>
        <v>1618</v>
      </c>
      <c r="CU381" s="3382"/>
      <c r="CV381" s="3382"/>
      <c r="CW381" s="3418"/>
      <c r="CX381" s="3418"/>
      <c r="CY381" s="3177"/>
      <c r="CZ381" s="3177"/>
      <c r="DA381" s="3177"/>
      <c r="DB381"/>
      <c r="DC381"/>
      <c r="DD381" s="3140"/>
      <c r="DE381" s="3141"/>
      <c r="DF381" s="3141"/>
      <c r="DG381" s="3141"/>
      <c r="DH381" s="3141"/>
      <c r="DI381" s="3141"/>
      <c r="DJ381" s="3141"/>
      <c r="DK381" s="3141"/>
      <c r="DL381" s="3141"/>
      <c r="DM381" s="3141"/>
      <c r="DN381" s="3141"/>
      <c r="DO381" s="3141"/>
      <c r="DP381" s="3141"/>
      <c r="DQ381" s="3141"/>
      <c r="DR381" s="3141"/>
      <c r="DS381" s="3141"/>
      <c r="DT381" s="3141"/>
      <c r="DU381" s="3141"/>
      <c r="DV381" s="3141"/>
      <c r="DW381" s="3141"/>
      <c r="DX381" s="3141"/>
      <c r="DY381" s="3141"/>
      <c r="EA381"/>
      <c r="EB381"/>
      <c r="EC381"/>
      <c r="ED381"/>
      <c r="EE381"/>
      <c r="EF381"/>
      <c r="EJ381"/>
      <c r="EK381"/>
      <c r="EL381"/>
      <c r="ER381" s="212"/>
    </row>
    <row r="382" spans="1:148" s="923" customFormat="1" ht="12.75" customHeight="1" x14ac:dyDescent="0.2">
      <c r="A382" s="1675" t="s">
        <v>969</v>
      </c>
      <c r="B382" s="872"/>
      <c r="C382" s="872"/>
      <c r="D382" s="872"/>
      <c r="E382" s="872"/>
      <c r="F382" s="872"/>
      <c r="G382" s="872"/>
      <c r="H382" s="872"/>
      <c r="I382" s="872"/>
      <c r="J382" s="872"/>
      <c r="K382" s="872"/>
      <c r="L382" s="872"/>
      <c r="M382" s="1003"/>
      <c r="N382" s="872"/>
      <c r="O382" s="872"/>
      <c r="P382" s="872"/>
      <c r="Q382" s="872"/>
      <c r="R382" s="1003"/>
      <c r="S382" s="872"/>
      <c r="T382" s="872"/>
      <c r="U382" s="872"/>
      <c r="V382" s="872"/>
      <c r="W382" s="1003"/>
      <c r="X382" s="872"/>
      <c r="Y382" s="872"/>
      <c r="Z382" s="872"/>
      <c r="AA382" s="872"/>
      <c r="AB382" s="1003"/>
      <c r="AC382" s="872"/>
      <c r="AD382" s="872"/>
      <c r="AE382" s="872"/>
      <c r="AF382" s="872"/>
      <c r="AG382" s="1003"/>
      <c r="AH382" s="872"/>
      <c r="AI382" s="872"/>
      <c r="AJ382" s="872"/>
      <c r="AK382" s="872"/>
      <c r="AL382" s="1003"/>
      <c r="AM382" s="872"/>
      <c r="AN382" s="872"/>
      <c r="AO382" s="872"/>
      <c r="AP382" s="872"/>
      <c r="AQ382" s="1003"/>
      <c r="AR382" s="872"/>
      <c r="AS382" s="872"/>
      <c r="AT382" s="872"/>
      <c r="AU382" s="872"/>
      <c r="AV382" s="1003"/>
      <c r="AW382" s="872"/>
      <c r="AX382" s="872"/>
      <c r="AY382" s="872"/>
      <c r="AZ382" s="872"/>
      <c r="BA382" s="1003"/>
      <c r="BB382" s="872"/>
      <c r="BC382" s="872"/>
      <c r="BD382" s="872"/>
      <c r="BE382" s="872"/>
      <c r="BF382" s="1003">
        <f>BF374/BA374-1</f>
        <v>-0.11308203991130816</v>
      </c>
      <c r="BG382" s="872"/>
      <c r="BH382" s="872"/>
      <c r="BI382" s="872"/>
      <c r="BJ382" s="872"/>
      <c r="BK382" s="1003">
        <f>BK374/BF374-1</f>
        <v>0.26249999999999996</v>
      </c>
      <c r="BL382" s="872">
        <f t="shared" ref="BL382:BU383" si="833">+BL372/BG372-1</f>
        <v>0</v>
      </c>
      <c r="BM382" s="872">
        <f t="shared" si="833"/>
        <v>0</v>
      </c>
      <c r="BN382" s="872">
        <f t="shared" si="833"/>
        <v>0</v>
      </c>
      <c r="BO382" s="872">
        <f t="shared" si="833"/>
        <v>-0.19999999999999996</v>
      </c>
      <c r="BP382" s="1003">
        <f t="shared" si="833"/>
        <v>-6.25E-2</v>
      </c>
      <c r="BQ382" s="872">
        <f t="shared" si="833"/>
        <v>0</v>
      </c>
      <c r="BR382" s="872">
        <f t="shared" si="833"/>
        <v>0</v>
      </c>
      <c r="BS382" s="872">
        <f t="shared" si="833"/>
        <v>0</v>
      </c>
      <c r="BT382" s="872">
        <f t="shared" si="833"/>
        <v>0</v>
      </c>
      <c r="BU382" s="1003">
        <f t="shared" si="833"/>
        <v>0</v>
      </c>
      <c r="BV382" s="872">
        <f t="shared" ref="BV382:CC383" si="834">+BV372/BQ372-1</f>
        <v>0.14285714285714279</v>
      </c>
      <c r="BW382" s="872">
        <f t="shared" si="834"/>
        <v>0.19999999999999996</v>
      </c>
      <c r="BX382" s="872">
        <f t="shared" si="834"/>
        <v>6.6666666666666652E-2</v>
      </c>
      <c r="BY382" s="872">
        <f t="shared" si="834"/>
        <v>-1</v>
      </c>
      <c r="BZ382" s="1003">
        <f t="shared" si="834"/>
        <v>-0.16666666666666663</v>
      </c>
      <c r="CA382" s="872">
        <f t="shared" si="834"/>
        <v>0</v>
      </c>
      <c r="CB382" s="872">
        <f t="shared" si="834"/>
        <v>-0.22222222222222221</v>
      </c>
      <c r="CC382" s="872">
        <f t="shared" si="834"/>
        <v>-0.1875</v>
      </c>
      <c r="CD382" s="2251" t="s">
        <v>1665</v>
      </c>
      <c r="CE382" s="1003">
        <f t="shared" ref="CE382:CH383" si="835">+CE372/BZ372-1</f>
        <v>0.10000000000000009</v>
      </c>
      <c r="CF382" s="872">
        <f t="shared" si="835"/>
        <v>-0.3125</v>
      </c>
      <c r="CG382" s="872">
        <f t="shared" si="835"/>
        <v>-0.2857142857142857</v>
      </c>
      <c r="CH382" s="872">
        <f t="shared" si="835"/>
        <v>-0.53846153846153844</v>
      </c>
      <c r="CI382" s="2251" t="s">
        <v>1665</v>
      </c>
      <c r="CJ382" s="1003">
        <f t="shared" ref="CJ382:CM383" si="836">+CJ372/CE372-1</f>
        <v>-0.4</v>
      </c>
      <c r="CK382" s="872">
        <f t="shared" si="836"/>
        <v>-0.63636363636363635</v>
      </c>
      <c r="CL382" s="872">
        <f t="shared" si="836"/>
        <v>-0.9</v>
      </c>
      <c r="CM382" s="872">
        <f t="shared" si="836"/>
        <v>-0.16666666666666663</v>
      </c>
      <c r="CN382" s="2978"/>
      <c r="CO382" s="1003"/>
      <c r="CP382" s="872"/>
      <c r="CQ382" s="872"/>
      <c r="CR382" s="872"/>
      <c r="CS382" s="872"/>
      <c r="CT382" s="1003"/>
      <c r="CU382" s="872"/>
      <c r="CV382" s="872"/>
      <c r="CW382" s="872"/>
      <c r="CX382" s="872"/>
      <c r="CY382" s="3725"/>
      <c r="CZ382" s="3725"/>
      <c r="DA382" s="1011"/>
      <c r="DB382"/>
      <c r="DC382"/>
      <c r="DD382" s="1675" t="s">
        <v>969</v>
      </c>
      <c r="DE382" s="1003">
        <f t="shared" si="813"/>
        <v>0</v>
      </c>
      <c r="DF382" s="1003">
        <f t="shared" si="814"/>
        <v>0</v>
      </c>
      <c r="DG382" s="1003">
        <f t="shared" si="815"/>
        <v>0</v>
      </c>
      <c r="DH382" s="1003">
        <f t="shared" si="816"/>
        <v>0</v>
      </c>
      <c r="DI382" s="1003">
        <f t="shared" si="817"/>
        <v>0</v>
      </c>
      <c r="DJ382" s="1003">
        <f t="shared" si="818"/>
        <v>0</v>
      </c>
      <c r="DK382" s="1003">
        <f t="shared" si="819"/>
        <v>0</v>
      </c>
      <c r="DL382" s="1003">
        <f t="shared" si="820"/>
        <v>0</v>
      </c>
      <c r="DM382" s="1003">
        <f t="shared" si="821"/>
        <v>0</v>
      </c>
      <c r="DN382" s="1003">
        <f t="shared" si="822"/>
        <v>-0.11308203991130816</v>
      </c>
      <c r="DO382" s="1003">
        <f t="shared" si="823"/>
        <v>0.26249999999999996</v>
      </c>
      <c r="DP382" s="1003">
        <f t="shared" si="824"/>
        <v>-6.25E-2</v>
      </c>
      <c r="DQ382" s="1003">
        <f t="shared" si="825"/>
        <v>0</v>
      </c>
      <c r="DR382" s="1003">
        <f t="shared" si="826"/>
        <v>-0.16666666666666663</v>
      </c>
      <c r="DS382" s="1003">
        <f t="shared" si="827"/>
        <v>0.10000000000000009</v>
      </c>
      <c r="DT382" s="1003">
        <f t="shared" si="828"/>
        <v>-0.4</v>
      </c>
      <c r="DU382" s="1003">
        <f>CO382</f>
        <v>0</v>
      </c>
      <c r="DV382" s="1003">
        <f>CT382</f>
        <v>0</v>
      </c>
      <c r="DW382" s="1003">
        <f t="shared" ref="DW382:DY384" si="837">CY382</f>
        <v>0</v>
      </c>
      <c r="DX382" s="1003">
        <f t="shared" si="837"/>
        <v>0</v>
      </c>
      <c r="DY382" s="1003">
        <f t="shared" si="837"/>
        <v>0</v>
      </c>
      <c r="EA382"/>
      <c r="EB382"/>
      <c r="EC382"/>
      <c r="ED382"/>
      <c r="EE382"/>
      <c r="EF382"/>
      <c r="EJ382"/>
      <c r="EK382"/>
      <c r="EL382"/>
      <c r="ER382" s="212"/>
    </row>
    <row r="383" spans="1:148" s="923" customFormat="1" ht="12.75" customHeight="1" x14ac:dyDescent="0.2">
      <c r="A383" s="1675" t="s">
        <v>970</v>
      </c>
      <c r="B383" s="872"/>
      <c r="C383" s="872"/>
      <c r="D383" s="872"/>
      <c r="E383" s="872"/>
      <c r="F383" s="872"/>
      <c r="G383" s="872"/>
      <c r="H383" s="872"/>
      <c r="I383" s="872"/>
      <c r="J383" s="872"/>
      <c r="K383" s="872"/>
      <c r="L383" s="872"/>
      <c r="M383" s="1001"/>
      <c r="N383" s="872"/>
      <c r="O383" s="872"/>
      <c r="P383" s="872"/>
      <c r="Q383" s="872"/>
      <c r="R383" s="1001"/>
      <c r="S383" s="872"/>
      <c r="T383" s="872"/>
      <c r="U383" s="872"/>
      <c r="V383" s="872"/>
      <c r="W383" s="1001"/>
      <c r="X383" s="872"/>
      <c r="Y383" s="872"/>
      <c r="Z383" s="872"/>
      <c r="AA383" s="872"/>
      <c r="AB383" s="1001"/>
      <c r="AC383" s="872"/>
      <c r="AD383" s="872"/>
      <c r="AE383" s="872"/>
      <c r="AF383" s="872"/>
      <c r="AG383" s="1001"/>
      <c r="AH383" s="872"/>
      <c r="AI383" s="872"/>
      <c r="AJ383" s="872"/>
      <c r="AK383" s="872"/>
      <c r="AL383" s="1001"/>
      <c r="AM383" s="872"/>
      <c r="AN383" s="872"/>
      <c r="AO383" s="872"/>
      <c r="AP383" s="872"/>
      <c r="AQ383" s="1001"/>
      <c r="AR383" s="872"/>
      <c r="AS383" s="872"/>
      <c r="AT383" s="872"/>
      <c r="AU383" s="872"/>
      <c r="AV383" s="1001"/>
      <c r="AW383" s="872"/>
      <c r="AX383" s="872"/>
      <c r="AY383" s="872"/>
      <c r="AZ383" s="872"/>
      <c r="BA383" s="1001"/>
      <c r="BB383" s="872"/>
      <c r="BC383" s="872"/>
      <c r="BD383" s="872"/>
      <c r="BE383" s="872"/>
      <c r="BF383" s="1001"/>
      <c r="BG383" s="872"/>
      <c r="BH383" s="872"/>
      <c r="BI383" s="872"/>
      <c r="BJ383" s="872"/>
      <c r="BK383" s="1001"/>
      <c r="BL383" s="872">
        <f t="shared" si="833"/>
        <v>0.13186813186813184</v>
      </c>
      <c r="BM383" s="872">
        <f t="shared" si="833"/>
        <v>0.14285714285714279</v>
      </c>
      <c r="BN383" s="872">
        <f t="shared" si="833"/>
        <v>0.13761467889908263</v>
      </c>
      <c r="BO383" s="872">
        <f t="shared" si="833"/>
        <v>0.16911764705882359</v>
      </c>
      <c r="BP383" s="1001">
        <f t="shared" si="833"/>
        <v>0.14739229024943312</v>
      </c>
      <c r="BQ383" s="872">
        <f t="shared" si="833"/>
        <v>8.737864077669899E-2</v>
      </c>
      <c r="BR383" s="872">
        <f t="shared" si="833"/>
        <v>8.3333333333333259E-2</v>
      </c>
      <c r="BS383" s="872">
        <f t="shared" si="833"/>
        <v>8.0645161290322509E-2</v>
      </c>
      <c r="BT383" s="872">
        <f t="shared" si="833"/>
        <v>7.547169811320753E-2</v>
      </c>
      <c r="BU383" s="1001">
        <f t="shared" si="833"/>
        <v>8.10276679841897E-2</v>
      </c>
      <c r="BV383" s="872">
        <f t="shared" si="834"/>
        <v>0.20535714285714279</v>
      </c>
      <c r="BW383" s="872">
        <f t="shared" si="834"/>
        <v>0.22307692307692317</v>
      </c>
      <c r="BX383" s="872">
        <f t="shared" si="834"/>
        <v>0.18656716417910446</v>
      </c>
      <c r="BY383" s="872">
        <f t="shared" si="834"/>
        <v>-4.6783625730994149E-2</v>
      </c>
      <c r="BZ383" s="1001">
        <f t="shared" si="834"/>
        <v>0.12614259597806221</v>
      </c>
      <c r="CA383" s="872">
        <f t="shared" si="834"/>
        <v>8.8888888888888795E-2</v>
      </c>
      <c r="CB383" s="872">
        <f t="shared" si="834"/>
        <v>0.13207547169811318</v>
      </c>
      <c r="CC383" s="872">
        <f t="shared" si="834"/>
        <v>0.19496855345911945</v>
      </c>
      <c r="CD383" s="1785">
        <f>+CD373/BY373-1</f>
        <v>6.1349693251533832E-2</v>
      </c>
      <c r="CE383" s="1001">
        <f t="shared" si="835"/>
        <v>0.12012987012987009</v>
      </c>
      <c r="CF383" s="872">
        <f t="shared" si="835"/>
        <v>0.31292517006802711</v>
      </c>
      <c r="CG383" s="872">
        <f t="shared" si="835"/>
        <v>0.17222222222222228</v>
      </c>
      <c r="CH383" s="872">
        <f t="shared" si="835"/>
        <v>0.16315789473684217</v>
      </c>
      <c r="CI383" s="1785">
        <f>+CI373/CD373-1</f>
        <v>0.12716763005780352</v>
      </c>
      <c r="CJ383" s="1001">
        <f t="shared" si="836"/>
        <v>0.18840579710144922</v>
      </c>
      <c r="CK383" s="872">
        <f t="shared" si="836"/>
        <v>5.1813471502590636E-2</v>
      </c>
      <c r="CL383" s="872">
        <f t="shared" si="836"/>
        <v>0.1090047393364928</v>
      </c>
      <c r="CM383" s="872">
        <f t="shared" si="836"/>
        <v>7.2398190045248834E-2</v>
      </c>
      <c r="CN383" s="1785"/>
      <c r="CO383" s="1001"/>
      <c r="CP383" s="872"/>
      <c r="CQ383" s="872"/>
      <c r="CR383" s="872"/>
      <c r="CS383" s="872"/>
      <c r="CT383" s="1042"/>
      <c r="CU383" s="872"/>
      <c r="CV383" s="872"/>
      <c r="CW383" s="872"/>
      <c r="CX383" s="872"/>
      <c r="CY383" s="3727"/>
      <c r="CZ383" s="1001"/>
      <c r="DA383" s="1001"/>
      <c r="DB383"/>
      <c r="DC383"/>
      <c r="DD383" s="1675" t="s">
        <v>970</v>
      </c>
      <c r="DE383" s="1001">
        <f t="shared" si="813"/>
        <v>0</v>
      </c>
      <c r="DF383" s="1001">
        <f t="shared" si="814"/>
        <v>0</v>
      </c>
      <c r="DG383" s="1001">
        <f t="shared" si="815"/>
        <v>0</v>
      </c>
      <c r="DH383" s="1001">
        <f t="shared" si="816"/>
        <v>0</v>
      </c>
      <c r="DI383" s="1001">
        <f t="shared" si="817"/>
        <v>0</v>
      </c>
      <c r="DJ383" s="1001">
        <f t="shared" si="818"/>
        <v>0</v>
      </c>
      <c r="DK383" s="1001">
        <f t="shared" si="819"/>
        <v>0</v>
      </c>
      <c r="DL383" s="1001">
        <f t="shared" si="820"/>
        <v>0</v>
      </c>
      <c r="DM383" s="1001">
        <f t="shared" si="821"/>
        <v>0</v>
      </c>
      <c r="DN383" s="1001">
        <f t="shared" si="822"/>
        <v>0</v>
      </c>
      <c r="DO383" s="1001">
        <f t="shared" si="823"/>
        <v>0</v>
      </c>
      <c r="DP383" s="1001">
        <f t="shared" si="824"/>
        <v>0.14739229024943312</v>
      </c>
      <c r="DQ383" s="1001">
        <f t="shared" si="825"/>
        <v>8.10276679841897E-2</v>
      </c>
      <c r="DR383" s="1001">
        <f t="shared" si="826"/>
        <v>0.12614259597806221</v>
      </c>
      <c r="DS383" s="1001">
        <f t="shared" si="827"/>
        <v>0.12012987012987009</v>
      </c>
      <c r="DT383" s="1001">
        <f t="shared" si="828"/>
        <v>0.18840579710144922</v>
      </c>
      <c r="DU383" s="1001">
        <f>CO383</f>
        <v>0</v>
      </c>
      <c r="DV383" s="1001">
        <f>CT383</f>
        <v>0</v>
      </c>
      <c r="DW383" s="1001">
        <f t="shared" si="837"/>
        <v>0</v>
      </c>
      <c r="DX383" s="1001">
        <f t="shared" si="837"/>
        <v>0</v>
      </c>
      <c r="DY383" s="1001">
        <f t="shared" si="837"/>
        <v>0</v>
      </c>
      <c r="EA383"/>
      <c r="EB383"/>
      <c r="EC383"/>
      <c r="ED383"/>
      <c r="EE383"/>
      <c r="EF383"/>
      <c r="EJ383"/>
      <c r="EK383"/>
      <c r="EL383"/>
      <c r="ER383" s="212"/>
    </row>
    <row r="384" spans="1:148" s="923" customFormat="1" ht="12.75" customHeight="1" x14ac:dyDescent="0.2">
      <c r="A384" s="1675" t="s">
        <v>971</v>
      </c>
      <c r="B384" s="872"/>
      <c r="C384" s="872"/>
      <c r="D384" s="872"/>
      <c r="E384" s="872"/>
      <c r="F384" s="872"/>
      <c r="G384" s="872"/>
      <c r="H384" s="872"/>
      <c r="I384" s="872"/>
      <c r="J384" s="872"/>
      <c r="K384" s="872"/>
      <c r="L384" s="872"/>
      <c r="M384" s="1001"/>
      <c r="N384" s="872"/>
      <c r="O384" s="872"/>
      <c r="P384" s="872"/>
      <c r="Q384" s="872"/>
      <c r="R384" s="1001"/>
      <c r="S384" s="872">
        <f t="shared" ref="S384:CD384" si="838">+S378/N378-1</f>
        <v>-1.6189427440213677E-2</v>
      </c>
      <c r="T384" s="872">
        <f t="shared" si="838"/>
        <v>-4.505491937660322E-2</v>
      </c>
      <c r="U384" s="872">
        <f t="shared" si="838"/>
        <v>0</v>
      </c>
      <c r="V384" s="872">
        <f t="shared" si="838"/>
        <v>0.14285714285714279</v>
      </c>
      <c r="W384" s="1001">
        <f t="shared" si="838"/>
        <v>2.4793816267027591E-2</v>
      </c>
      <c r="X384" s="872">
        <f t="shared" si="838"/>
        <v>1.9607843137254832E-2</v>
      </c>
      <c r="Y384" s="872">
        <f t="shared" si="838"/>
        <v>3.7037037037036979E-2</v>
      </c>
      <c r="Z384" s="872">
        <f t="shared" si="838"/>
        <v>0.10909090909090913</v>
      </c>
      <c r="AA384" s="872">
        <f t="shared" si="838"/>
        <v>5.555555555555558E-2</v>
      </c>
      <c r="AB384" s="1001">
        <f t="shared" si="838"/>
        <v>5.6034482758620774E-2</v>
      </c>
      <c r="AC384" s="872">
        <f t="shared" si="838"/>
        <v>0.17307692307692313</v>
      </c>
      <c r="AD384" s="872">
        <f t="shared" si="838"/>
        <v>0.28571428571428581</v>
      </c>
      <c r="AE384" s="872">
        <f t="shared" si="838"/>
        <v>0.21311475409836067</v>
      </c>
      <c r="AF384" s="872">
        <f t="shared" si="838"/>
        <v>0.17105263157894735</v>
      </c>
      <c r="AG384" s="1001">
        <f t="shared" si="838"/>
        <v>0.2081632653061225</v>
      </c>
      <c r="AH384" s="872">
        <f t="shared" si="838"/>
        <v>0.63934426229508201</v>
      </c>
      <c r="AI384" s="872">
        <f t="shared" si="838"/>
        <v>0.44444444444444442</v>
      </c>
      <c r="AJ384" s="872">
        <f t="shared" si="838"/>
        <v>0.39189189189189189</v>
      </c>
      <c r="AK384" s="872">
        <f t="shared" si="838"/>
        <v>0.41573033707865159</v>
      </c>
      <c r="AL384" s="1001">
        <f t="shared" si="838"/>
        <v>0.46283783783783794</v>
      </c>
      <c r="AM384" s="872">
        <f t="shared" si="838"/>
        <v>7.0000000000000062E-2</v>
      </c>
      <c r="AN384" s="872">
        <f t="shared" si="838"/>
        <v>0.19230769230769229</v>
      </c>
      <c r="AO384" s="872">
        <f t="shared" si="838"/>
        <v>0.21359223300970864</v>
      </c>
      <c r="AP384" s="872">
        <f t="shared" si="838"/>
        <v>0.20634920634920628</v>
      </c>
      <c r="AQ384" s="1001">
        <f t="shared" si="838"/>
        <v>0.17321016166281744</v>
      </c>
      <c r="AR384" s="872">
        <f t="shared" si="838"/>
        <v>0.1588785046728971</v>
      </c>
      <c r="AS384" s="872">
        <f t="shared" si="838"/>
        <v>0.11290322580645151</v>
      </c>
      <c r="AT384" s="872">
        <f t="shared" si="838"/>
        <v>0.19999999999999996</v>
      </c>
      <c r="AU384" s="872">
        <f t="shared" si="838"/>
        <v>0.17105263157894735</v>
      </c>
      <c r="AV384" s="1001">
        <f t="shared" si="838"/>
        <v>0.1614173228346456</v>
      </c>
      <c r="AW384" s="872">
        <f t="shared" si="838"/>
        <v>8.870967741935476E-2</v>
      </c>
      <c r="AX384" s="872">
        <f t="shared" si="838"/>
        <v>0.11594202898550732</v>
      </c>
      <c r="AY384" s="872">
        <f t="shared" si="838"/>
        <v>1.3333333333333419E-2</v>
      </c>
      <c r="AZ384" s="872">
        <f t="shared" si="838"/>
        <v>-2.8089887640449396E-2</v>
      </c>
      <c r="BA384" s="1001">
        <f t="shared" si="838"/>
        <v>4.067796610169494E-2</v>
      </c>
      <c r="BB384" s="872">
        <f t="shared" si="838"/>
        <v>-0.11111111111111116</v>
      </c>
      <c r="BC384" s="872">
        <f t="shared" si="838"/>
        <v>-0.17532467532467533</v>
      </c>
      <c r="BD384" s="872">
        <f t="shared" si="838"/>
        <v>-9.8684210526315819E-2</v>
      </c>
      <c r="BE384" s="872">
        <f t="shared" si="838"/>
        <v>-0.10982658959537572</v>
      </c>
      <c r="BF384" s="1001">
        <f t="shared" si="838"/>
        <v>-0.12377850162866455</v>
      </c>
      <c r="BG384" s="872">
        <f t="shared" si="838"/>
        <v>0.16666666666666674</v>
      </c>
      <c r="BH384" s="872">
        <f t="shared" si="838"/>
        <v>0.26771653543307083</v>
      </c>
      <c r="BI384" s="872">
        <f t="shared" si="838"/>
        <v>0.21897810218978098</v>
      </c>
      <c r="BJ384" s="872">
        <f t="shared" si="838"/>
        <v>0.28571428571428581</v>
      </c>
      <c r="BK384" s="1001">
        <f t="shared" si="838"/>
        <v>0.237918215613383</v>
      </c>
      <c r="BL384" s="872">
        <f t="shared" si="838"/>
        <v>0.14285714285714279</v>
      </c>
      <c r="BM384" s="872">
        <f t="shared" si="838"/>
        <v>0.14285714285714279</v>
      </c>
      <c r="BN384" s="872">
        <f t="shared" si="838"/>
        <v>0.11976047904191622</v>
      </c>
      <c r="BO384" s="872">
        <f t="shared" si="838"/>
        <v>0.1212121212121211</v>
      </c>
      <c r="BP384" s="1001">
        <f t="shared" si="838"/>
        <v>0.13063063063063063</v>
      </c>
      <c r="BQ384" s="872">
        <f t="shared" si="838"/>
        <v>6.8750000000000089E-2</v>
      </c>
      <c r="BR384" s="872">
        <f t="shared" si="838"/>
        <v>7.0652173913043459E-2</v>
      </c>
      <c r="BS384" s="872">
        <f t="shared" si="838"/>
        <v>8.0213903743315607E-2</v>
      </c>
      <c r="BT384" s="872">
        <f t="shared" si="838"/>
        <v>6.7567567567567544E-2</v>
      </c>
      <c r="BU384" s="1001">
        <f t="shared" si="838"/>
        <v>7.1713147410358502E-2</v>
      </c>
      <c r="BV384" s="872">
        <f t="shared" si="838"/>
        <v>0.16374269005847952</v>
      </c>
      <c r="BW384" s="872">
        <f t="shared" si="838"/>
        <v>0.18274111675126914</v>
      </c>
      <c r="BX384" s="872">
        <f t="shared" si="838"/>
        <v>0.14356435643564347</v>
      </c>
      <c r="BY384" s="872">
        <f t="shared" si="838"/>
        <v>-8.4388185654008407E-2</v>
      </c>
      <c r="BZ384" s="1001">
        <f t="shared" si="838"/>
        <v>9.0458488228005063E-2</v>
      </c>
      <c r="CA384" s="872">
        <f t="shared" si="838"/>
        <v>8.5427135678391997E-2</v>
      </c>
      <c r="CB384" s="872">
        <f t="shared" si="838"/>
        <v>9.8712446351931327E-2</v>
      </c>
      <c r="CC384" s="872">
        <f t="shared" si="838"/>
        <v>0.1515151515151516</v>
      </c>
      <c r="CD384" s="1785">
        <f t="shared" si="838"/>
        <v>0.1198156682027649</v>
      </c>
      <c r="CE384" s="1001">
        <f t="shared" ref="CE384:CJ384" si="839">+CE378/BZ378-1</f>
        <v>0.11477272727272725</v>
      </c>
      <c r="CF384" s="872">
        <f t="shared" si="839"/>
        <v>0.2592592592592593</v>
      </c>
      <c r="CG384" s="872">
        <f t="shared" si="839"/>
        <v>0.15625</v>
      </c>
      <c r="CH384" s="872">
        <f t="shared" si="839"/>
        <v>0.14661654135338353</v>
      </c>
      <c r="CI384" s="1785">
        <f t="shared" si="839"/>
        <v>0.12345679012345689</v>
      </c>
      <c r="CJ384" s="1001">
        <f t="shared" si="839"/>
        <v>0.16819571865443428</v>
      </c>
      <c r="CK384" s="872">
        <f t="shared" ref="CK384:CT384" si="840">+CK381/CF381-1</f>
        <v>8.8235294117646967E-2</v>
      </c>
      <c r="CL384" s="3400">
        <f t="shared" si="840"/>
        <v>9.76331360946745E-2</v>
      </c>
      <c r="CM384" s="3400">
        <f t="shared" si="840"/>
        <v>7.6923076923076872E-2</v>
      </c>
      <c r="CN384" s="3436">
        <f t="shared" si="840"/>
        <v>0.11250000000000004</v>
      </c>
      <c r="CO384" s="3402">
        <f t="shared" si="840"/>
        <v>9.3536121673003736E-2</v>
      </c>
      <c r="CP384" s="3400">
        <f t="shared" si="840"/>
        <v>9.6096096096096151E-2</v>
      </c>
      <c r="CQ384" s="3400">
        <f t="shared" si="840"/>
        <v>0.12129380053908356</v>
      </c>
      <c r="CR384" s="3400">
        <f t="shared" si="840"/>
        <v>0.12698412698412698</v>
      </c>
      <c r="CS384" s="3400">
        <f t="shared" si="840"/>
        <v>0.15449438202247201</v>
      </c>
      <c r="CT384" s="3402">
        <f t="shared" si="840"/>
        <v>0.12517385257301816</v>
      </c>
      <c r="CU384" s="872">
        <f>+CU378/CP381-1</f>
        <v>0.13888985943358545</v>
      </c>
      <c r="CV384" s="872">
        <f>+CV378/CQ381-1</f>
        <v>0.14442425811588433</v>
      </c>
      <c r="CW384" s="872">
        <f>+CW378/CR381-1</f>
        <v>0.13638888750383948</v>
      </c>
      <c r="CX384" s="872">
        <f>+CX378/CS381-1</f>
        <v>0.12990223270132772</v>
      </c>
      <c r="CY384" s="1001">
        <f>+CY378/CT381-1</f>
        <v>0.13737130641925077</v>
      </c>
      <c r="CZ384" s="1001">
        <f>+CZ378/CY378-1</f>
        <v>0.11089161774933265</v>
      </c>
      <c r="DA384" s="1001">
        <f>+DA378/CZ378-1</f>
        <v>1.999643682638097E-2</v>
      </c>
      <c r="DB384"/>
      <c r="DC384"/>
      <c r="DD384" s="1675" t="s">
        <v>971</v>
      </c>
      <c r="DE384" s="1001">
        <f t="shared" si="813"/>
        <v>0</v>
      </c>
      <c r="DF384" s="1001">
        <f t="shared" si="814"/>
        <v>0</v>
      </c>
      <c r="DG384" s="1001">
        <f t="shared" si="815"/>
        <v>2.4793816267027591E-2</v>
      </c>
      <c r="DH384" s="1001">
        <f t="shared" si="816"/>
        <v>5.6034482758620774E-2</v>
      </c>
      <c r="DI384" s="1001">
        <f t="shared" si="817"/>
        <v>0.2081632653061225</v>
      </c>
      <c r="DJ384" s="1001">
        <f t="shared" si="818"/>
        <v>0.46283783783783794</v>
      </c>
      <c r="DK384" s="1001">
        <f t="shared" si="819"/>
        <v>0.17321016166281744</v>
      </c>
      <c r="DL384" s="1001">
        <f t="shared" si="820"/>
        <v>0.1614173228346456</v>
      </c>
      <c r="DM384" s="1001">
        <f t="shared" si="821"/>
        <v>4.067796610169494E-2</v>
      </c>
      <c r="DN384" s="1001">
        <f t="shared" si="822"/>
        <v>-0.12377850162866455</v>
      </c>
      <c r="DO384" s="1001">
        <f t="shared" si="823"/>
        <v>0.237918215613383</v>
      </c>
      <c r="DP384" s="1001">
        <f t="shared" si="824"/>
        <v>0.13063063063063063</v>
      </c>
      <c r="DQ384" s="1001">
        <f t="shared" si="825"/>
        <v>7.1713147410358502E-2</v>
      </c>
      <c r="DR384" s="1001">
        <f t="shared" si="826"/>
        <v>9.0458488228005063E-2</v>
      </c>
      <c r="DS384" s="1001">
        <f t="shared" si="827"/>
        <v>0.11477272727272725</v>
      </c>
      <c r="DT384" s="1001">
        <f t="shared" si="828"/>
        <v>0.16819571865443428</v>
      </c>
      <c r="DU384" s="1001">
        <f>CO384</f>
        <v>9.3536121673003736E-2</v>
      </c>
      <c r="DV384" s="1001">
        <f>CT384</f>
        <v>0.12517385257301816</v>
      </c>
      <c r="DW384" s="1001">
        <f t="shared" si="837"/>
        <v>0.13737130641925077</v>
      </c>
      <c r="DX384" s="1001">
        <f t="shared" si="837"/>
        <v>0.11089161774933265</v>
      </c>
      <c r="DY384" s="1001">
        <f t="shared" si="837"/>
        <v>1.999643682638097E-2</v>
      </c>
      <c r="EA384"/>
      <c r="EB384"/>
      <c r="EC384"/>
      <c r="ED384"/>
      <c r="EE384"/>
      <c r="EF384"/>
      <c r="EJ384"/>
      <c r="EK384"/>
      <c r="EL384"/>
      <c r="ER384" s="212"/>
    </row>
    <row r="385" spans="1:148" s="923" customFormat="1" ht="3.75" customHeight="1" x14ac:dyDescent="0.2">
      <c r="A385" s="44"/>
      <c r="B385" s="374"/>
      <c r="C385" s="374"/>
      <c r="D385" s="374"/>
      <c r="E385" s="374"/>
      <c r="F385" s="374"/>
      <c r="G385" s="374"/>
      <c r="H385" s="374"/>
      <c r="I385" s="374"/>
      <c r="J385" s="374"/>
      <c r="K385" s="374"/>
      <c r="L385" s="374"/>
      <c r="M385" s="1616"/>
      <c r="N385" s="374"/>
      <c r="O385" s="374"/>
      <c r="P385" s="374"/>
      <c r="Q385" s="374"/>
      <c r="R385" s="1616"/>
      <c r="S385" s="374"/>
      <c r="T385" s="374"/>
      <c r="U385" s="374"/>
      <c r="V385" s="374"/>
      <c r="W385" s="1616"/>
      <c r="X385" s="374"/>
      <c r="Y385" s="374"/>
      <c r="Z385" s="374"/>
      <c r="AA385" s="374"/>
      <c r="AB385" s="1616"/>
      <c r="AC385" s="374"/>
      <c r="AD385" s="374"/>
      <c r="AE385" s="374"/>
      <c r="AF385" s="374"/>
      <c r="AG385" s="1616"/>
      <c r="AH385" s="374"/>
      <c r="AI385" s="374"/>
      <c r="AJ385" s="374"/>
      <c r="AK385" s="374"/>
      <c r="AL385" s="1616"/>
      <c r="AM385" s="374"/>
      <c r="AN385" s="374"/>
      <c r="AO385" s="374"/>
      <c r="AP385" s="374"/>
      <c r="AQ385" s="1616"/>
      <c r="AR385" s="374"/>
      <c r="AS385" s="374"/>
      <c r="AT385" s="374"/>
      <c r="AU385" s="374"/>
      <c r="AV385" s="1616"/>
      <c r="AW385" s="374"/>
      <c r="AX385" s="374"/>
      <c r="AY385" s="374"/>
      <c r="AZ385" s="374"/>
      <c r="BA385" s="1616"/>
      <c r="BB385" s="374"/>
      <c r="BC385" s="374"/>
      <c r="BD385" s="374"/>
      <c r="BE385" s="374"/>
      <c r="BF385" s="1616"/>
      <c r="BG385" s="374"/>
      <c r="BH385" s="374"/>
      <c r="BI385" s="374"/>
      <c r="BJ385" s="374"/>
      <c r="BK385" s="1616"/>
      <c r="BL385" s="374"/>
      <c r="BM385" s="374"/>
      <c r="BN385" s="374"/>
      <c r="BO385" s="374"/>
      <c r="BP385" s="1616"/>
      <c r="BQ385" s="374"/>
      <c r="BR385" s="374"/>
      <c r="BS385" s="374"/>
      <c r="BT385" s="374"/>
      <c r="BU385" s="1616"/>
      <c r="BV385" s="374"/>
      <c r="BW385" s="374"/>
      <c r="BX385" s="374"/>
      <c r="BY385" s="374"/>
      <c r="BZ385" s="1616"/>
      <c r="CA385" s="374"/>
      <c r="CB385" s="374"/>
      <c r="CC385" s="374"/>
      <c r="CD385" s="1811"/>
      <c r="CE385" s="1616"/>
      <c r="CF385" s="374"/>
      <c r="CG385" s="374"/>
      <c r="CH385" s="374"/>
      <c r="CI385" s="1811"/>
      <c r="CJ385" s="1616"/>
      <c r="CK385" s="374"/>
      <c r="CL385" s="374"/>
      <c r="CM385" s="374"/>
      <c r="CN385" s="1811"/>
      <c r="CO385" s="1616"/>
      <c r="CP385" s="374"/>
      <c r="CQ385" s="374"/>
      <c r="CR385" s="374"/>
      <c r="CS385" s="374"/>
      <c r="CT385" s="1616"/>
      <c r="CU385" s="374"/>
      <c r="CV385" s="374"/>
      <c r="CW385" s="374"/>
      <c r="CX385" s="374"/>
      <c r="CY385" s="1616"/>
      <c r="CZ385" s="1616"/>
      <c r="DA385" s="1616"/>
      <c r="DB385"/>
      <c r="DC385"/>
      <c r="DD385" s="2306"/>
      <c r="DE385" s="2294"/>
      <c r="DF385" s="2294"/>
      <c r="DG385" s="2294"/>
      <c r="DH385" s="2294"/>
      <c r="DI385" s="2294"/>
      <c r="DJ385" s="2294"/>
      <c r="DK385" s="2294"/>
      <c r="DL385" s="2294"/>
      <c r="DM385" s="2294"/>
      <c r="DN385" s="2294"/>
      <c r="DO385" s="2294"/>
      <c r="DP385" s="2294"/>
      <c r="DQ385" s="2294"/>
      <c r="DR385" s="2294"/>
      <c r="DS385" s="2294"/>
      <c r="DT385" s="2294"/>
      <c r="DU385" s="2294"/>
      <c r="DV385" s="2294"/>
      <c r="DW385" s="2294"/>
      <c r="DX385" s="2294"/>
      <c r="DY385" s="2294"/>
      <c r="EA385"/>
      <c r="EB385"/>
      <c r="EC385"/>
      <c r="ED385"/>
      <c r="EE385"/>
      <c r="EF385"/>
      <c r="EJ385"/>
      <c r="EK385"/>
      <c r="EL385"/>
      <c r="ER385" s="212"/>
    </row>
    <row r="386" spans="1:148" s="2261" customFormat="1" ht="12.75" customHeight="1" x14ac:dyDescent="0.2">
      <c r="A386" s="2257" t="s">
        <v>976</v>
      </c>
      <c r="B386" s="2258"/>
      <c r="C386" s="2258"/>
      <c r="D386" s="2258"/>
      <c r="E386" s="2258"/>
      <c r="F386" s="2258"/>
      <c r="G386" s="2258"/>
      <c r="H386" s="2258"/>
      <c r="I386" s="2258"/>
      <c r="J386" s="2258"/>
      <c r="K386" s="2258"/>
      <c r="L386" s="2258"/>
      <c r="M386" s="2259"/>
      <c r="N386" s="2258"/>
      <c r="O386" s="2258"/>
      <c r="P386" s="2258"/>
      <c r="Q386" s="2258"/>
      <c r="R386" s="2259"/>
      <c r="S386" s="2258"/>
      <c r="T386" s="2258"/>
      <c r="U386" s="2258"/>
      <c r="V386" s="2258"/>
      <c r="W386" s="2259"/>
      <c r="X386" s="2258"/>
      <c r="Y386" s="2258"/>
      <c r="Z386" s="2258"/>
      <c r="AA386" s="2258"/>
      <c r="AB386" s="2259"/>
      <c r="AC386" s="2258"/>
      <c r="AD386" s="2258"/>
      <c r="AE386" s="2258"/>
      <c r="AF386" s="2258"/>
      <c r="AG386" s="2259"/>
      <c r="AH386" s="2258"/>
      <c r="AI386" s="2258"/>
      <c r="AJ386" s="2258"/>
      <c r="AK386" s="2258"/>
      <c r="AL386" s="2259"/>
      <c r="AM386" s="2258"/>
      <c r="AN386" s="2258"/>
      <c r="AO386" s="2258"/>
      <c r="AP386" s="2258"/>
      <c r="AQ386" s="2259"/>
      <c r="AR386" s="2258"/>
      <c r="AS386" s="2258"/>
      <c r="AT386" s="2258"/>
      <c r="AU386" s="2258"/>
      <c r="AV386" s="2259"/>
      <c r="AW386" s="2258"/>
      <c r="AX386" s="2258"/>
      <c r="AY386" s="2258"/>
      <c r="AZ386" s="2258"/>
      <c r="BA386" s="2259"/>
      <c r="BB386" s="2258"/>
      <c r="BC386" s="2258"/>
      <c r="BD386" s="2258"/>
      <c r="BE386" s="2258"/>
      <c r="BF386" s="2259"/>
      <c r="BG386" s="2258">
        <f t="shared" ref="BG386:CM386" si="841">BG374/BG369</f>
        <v>5.7089230892051417E-2</v>
      </c>
      <c r="BH386" s="2258">
        <f t="shared" si="841"/>
        <v>5.5682663709943549E-2</v>
      </c>
      <c r="BI386" s="2258">
        <f t="shared" si="841"/>
        <v>5.7391375086153752E-2</v>
      </c>
      <c r="BJ386" s="2258">
        <f t="shared" si="841"/>
        <v>5.6738091805108519E-2</v>
      </c>
      <c r="BK386" s="2259">
        <f t="shared" si="841"/>
        <v>5.6713698123347069E-2</v>
      </c>
      <c r="BL386" s="2258">
        <f t="shared" si="841"/>
        <v>5.6250082426755006E-2</v>
      </c>
      <c r="BM386" s="2258">
        <f t="shared" si="841"/>
        <v>5.5847794383379251E-2</v>
      </c>
      <c r="BN386" s="2258">
        <f t="shared" si="841"/>
        <v>5.7092915167211038E-2</v>
      </c>
      <c r="BO386" s="2258">
        <f t="shared" si="841"/>
        <v>5.7279774846771048E-2</v>
      </c>
      <c r="BP386" s="2259">
        <f t="shared" si="841"/>
        <v>5.6673172161621578E-2</v>
      </c>
      <c r="BQ386" s="2258">
        <f t="shared" si="841"/>
        <v>5.4391211736544473E-2</v>
      </c>
      <c r="BR386" s="2258">
        <f t="shared" si="841"/>
        <v>5.3958248944401405E-2</v>
      </c>
      <c r="BS386" s="2258">
        <f t="shared" si="841"/>
        <v>5.5741018390345919E-2</v>
      </c>
      <c r="BT386" s="2258">
        <f t="shared" si="841"/>
        <v>5.5891676625032555E-2</v>
      </c>
      <c r="BU386" s="2259">
        <f t="shared" si="841"/>
        <v>5.5068439523133117E-2</v>
      </c>
      <c r="BV386" s="2258">
        <f t="shared" si="841"/>
        <v>5.447372302309203E-2</v>
      </c>
      <c r="BW386" s="2258">
        <f t="shared" si="841"/>
        <v>5.5589275684675268E-2</v>
      </c>
      <c r="BX386" s="2258">
        <f t="shared" si="841"/>
        <v>5.5008167503299753E-2</v>
      </c>
      <c r="BY386" s="2258">
        <f t="shared" si="841"/>
        <v>5.5678072892958438E-2</v>
      </c>
      <c r="BZ386" s="2259">
        <f t="shared" si="841"/>
        <v>5.5201288822677726E-2</v>
      </c>
      <c r="CA386" s="2258">
        <f t="shared" si="841"/>
        <v>5.2065339691945371E-2</v>
      </c>
      <c r="CB386" s="2258">
        <f t="shared" si="841"/>
        <v>5.2791042864459209E-2</v>
      </c>
      <c r="CC386" s="2258">
        <f t="shared" si="841"/>
        <v>5.3998838392817272E-2</v>
      </c>
      <c r="CD386" s="2260">
        <f t="shared" si="841"/>
        <v>5.3177232072128613E-2</v>
      </c>
      <c r="CE386" s="2259">
        <f t="shared" si="841"/>
        <v>5.3048244595258129E-2</v>
      </c>
      <c r="CF386" s="2258">
        <f t="shared" si="841"/>
        <v>5.7394140552439347E-2</v>
      </c>
      <c r="CG386" s="2258">
        <f t="shared" si="841"/>
        <v>5.3025525895168735E-2</v>
      </c>
      <c r="CH386" s="2258">
        <f t="shared" si="841"/>
        <v>5.3485780236807445E-2</v>
      </c>
      <c r="CI386" s="2260">
        <f t="shared" si="841"/>
        <v>5.2236616194129337E-2</v>
      </c>
      <c r="CJ386" s="2259">
        <f t="shared" si="841"/>
        <v>5.3938973861672429E-2</v>
      </c>
      <c r="CK386" s="2258">
        <f t="shared" si="841"/>
        <v>5.2493557982036344E-2</v>
      </c>
      <c r="CL386" s="2258">
        <f t="shared" si="841"/>
        <v>5.1520121330054854E-2</v>
      </c>
      <c r="CM386" s="2258">
        <f t="shared" si="841"/>
        <v>5.2970389318334046E-2</v>
      </c>
      <c r="CN386" s="2260">
        <f t="shared" ref="CN386:DA386" si="842">CN378/CN369</f>
        <v>5.0496204176976991E-2</v>
      </c>
      <c r="CO386" s="2259">
        <f t="shared" si="842"/>
        <v>6.4958787184792519E-2</v>
      </c>
      <c r="CP386" s="2258">
        <f t="shared" ca="1" si="842"/>
        <v>5.1511723149238457E-2</v>
      </c>
      <c r="CQ386" s="2258">
        <f t="shared" ca="1" si="842"/>
        <v>4.9476449886350318E-2</v>
      </c>
      <c r="CR386" s="2258">
        <f t="shared" ca="1" si="842"/>
        <v>5.1213047527534673E-2</v>
      </c>
      <c r="CS386" s="2258">
        <f t="shared" ca="1" si="842"/>
        <v>5.0640657006275132E-2</v>
      </c>
      <c r="CT386" s="2259">
        <f t="shared" ca="1" si="842"/>
        <v>5.0688583883880527E-2</v>
      </c>
      <c r="CU386" s="2258">
        <f t="shared" ca="1" si="842"/>
        <v>6.2140681583322699E-2</v>
      </c>
      <c r="CV386" s="2258">
        <f t="shared" ca="1" si="842"/>
        <v>6.145383874705284E-2</v>
      </c>
      <c r="CW386" s="2258">
        <f t="shared" ca="1" si="842"/>
        <v>6.0516551790466944E-2</v>
      </c>
      <c r="CX386" s="2258">
        <f t="shared" ca="1" si="842"/>
        <v>6.3231775033036217E-2</v>
      </c>
      <c r="CY386" s="2259">
        <f t="shared" ca="1" si="842"/>
        <v>6.1794818532428193E-2</v>
      </c>
      <c r="CZ386" s="2259">
        <f t="shared" ca="1" si="842"/>
        <v>6.2951383999487506E-2</v>
      </c>
      <c r="DA386" s="2259">
        <f t="shared" ca="1" si="842"/>
        <v>6.2855288621578728E-2</v>
      </c>
      <c r="DB386"/>
      <c r="DC386"/>
      <c r="DD386" s="2257" t="s">
        <v>976</v>
      </c>
      <c r="DE386" s="2259">
        <f>M386</f>
        <v>0</v>
      </c>
      <c r="DF386" s="2259">
        <f>R386</f>
        <v>0</v>
      </c>
      <c r="DG386" s="2259">
        <f>W386</f>
        <v>0</v>
      </c>
      <c r="DH386" s="2259">
        <f>AB386</f>
        <v>0</v>
      </c>
      <c r="DI386" s="2259">
        <f>AG386</f>
        <v>0</v>
      </c>
      <c r="DJ386" s="2259">
        <f>AL386</f>
        <v>0</v>
      </c>
      <c r="DK386" s="2259">
        <f>AQ386</f>
        <v>0</v>
      </c>
      <c r="DL386" s="2259">
        <f>AV386</f>
        <v>0</v>
      </c>
      <c r="DM386" s="2259">
        <f>BA386</f>
        <v>0</v>
      </c>
      <c r="DN386" s="2259">
        <f>BF386</f>
        <v>0</v>
      </c>
      <c r="DO386" s="2259">
        <f>BK386</f>
        <v>5.6713698123347069E-2</v>
      </c>
      <c r="DP386" s="2259">
        <f>BP386</f>
        <v>5.6673172161621578E-2</v>
      </c>
      <c r="DQ386" s="2259">
        <f>BU386</f>
        <v>5.5068439523133117E-2</v>
      </c>
      <c r="DR386" s="2259">
        <f>BZ386</f>
        <v>5.5201288822677726E-2</v>
      </c>
      <c r="DS386" s="2259">
        <f>CE386</f>
        <v>5.3048244595258129E-2</v>
      </c>
      <c r="DT386" s="2259">
        <f>CJ386</f>
        <v>5.3938973861672429E-2</v>
      </c>
      <c r="DU386" s="2259">
        <f>CO386</f>
        <v>6.4958787184792519E-2</v>
      </c>
      <c r="DV386" s="2259">
        <f ca="1">CT386</f>
        <v>5.0688583883880527E-2</v>
      </c>
      <c r="DW386" s="2259">
        <f ca="1">CY386</f>
        <v>6.1794818532428193E-2</v>
      </c>
      <c r="DX386" s="2259">
        <f ca="1">CZ386</f>
        <v>6.2951383999487506E-2</v>
      </c>
      <c r="DY386" s="2259">
        <f ca="1">DA386</f>
        <v>6.2855288621578728E-2</v>
      </c>
      <c r="EA386"/>
      <c r="EB386"/>
      <c r="EC386"/>
      <c r="ED386"/>
      <c r="EE386"/>
      <c r="EF386"/>
      <c r="EJ386"/>
      <c r="EK386"/>
      <c r="EL386"/>
      <c r="ER386" s="212"/>
    </row>
    <row r="387" spans="1:148" s="923" customFormat="1" ht="12.75" customHeight="1" x14ac:dyDescent="0.2">
      <c r="A387" s="865"/>
      <c r="B387" s="950"/>
      <c r="C387" s="950"/>
      <c r="D387" s="950"/>
      <c r="E387" s="950"/>
      <c r="F387" s="950"/>
      <c r="G387" s="950"/>
      <c r="H387" s="950"/>
      <c r="I387" s="950"/>
      <c r="J387" s="950"/>
      <c r="K387" s="950"/>
      <c r="L387" s="950"/>
      <c r="M387" s="945"/>
      <c r="N387" s="950"/>
      <c r="O387" s="950"/>
      <c r="P387" s="950"/>
      <c r="Q387" s="950"/>
      <c r="R387" s="945"/>
      <c r="S387" s="950"/>
      <c r="T387" s="950"/>
      <c r="U387" s="950"/>
      <c r="V387" s="950"/>
      <c r="W387" s="945"/>
      <c r="X387" s="950"/>
      <c r="Y387" s="950"/>
      <c r="Z387" s="950"/>
      <c r="AA387" s="950"/>
      <c r="AB387" s="945"/>
      <c r="AC387" s="950"/>
      <c r="AD387" s="950"/>
      <c r="AE387" s="950"/>
      <c r="AF387" s="950"/>
      <c r="AG387" s="945"/>
      <c r="AH387" s="950"/>
      <c r="AI387" s="950"/>
      <c r="AJ387" s="950"/>
      <c r="AK387" s="950"/>
      <c r="AL387" s="945"/>
      <c r="AM387" s="950"/>
      <c r="AN387" s="950"/>
      <c r="AO387" s="950"/>
      <c r="AP387" s="950"/>
      <c r="AQ387" s="945"/>
      <c r="AR387" s="950"/>
      <c r="AS387" s="950"/>
      <c r="AT387" s="950"/>
      <c r="AU387" s="950"/>
      <c r="AV387" s="945"/>
      <c r="AW387" s="950"/>
      <c r="AX387" s="950"/>
      <c r="AY387" s="950"/>
      <c r="AZ387" s="950"/>
      <c r="BA387" s="945"/>
      <c r="BB387" s="950"/>
      <c r="BC387" s="950"/>
      <c r="BD387" s="950"/>
      <c r="BE387" s="950"/>
      <c r="BF387" s="945"/>
      <c r="BG387" s="950"/>
      <c r="BH387" s="950"/>
      <c r="BI387" s="950"/>
      <c r="BJ387" s="950"/>
      <c r="BK387" s="945"/>
      <c r="BL387" s="950"/>
      <c r="BM387" s="950"/>
      <c r="BN387" s="950"/>
      <c r="BO387" s="950"/>
      <c r="BP387" s="945"/>
      <c r="BQ387" s="950"/>
      <c r="BR387" s="950"/>
      <c r="BS387" s="950"/>
      <c r="BT387" s="950"/>
      <c r="BU387" s="945"/>
      <c r="BV387" s="950"/>
      <c r="BW387" s="950"/>
      <c r="BX387" s="950"/>
      <c r="BY387" s="950"/>
      <c r="BZ387" s="945"/>
      <c r="CA387" s="945"/>
      <c r="CB387" s="945"/>
      <c r="CC387" s="945"/>
      <c r="CD387" s="945"/>
      <c r="CE387" s="945"/>
      <c r="CF387" s="945"/>
      <c r="CG387" s="945"/>
      <c r="CH387" s="945"/>
      <c r="CI387" s="945"/>
      <c r="CJ387" s="945"/>
      <c r="CK387" s="945"/>
      <c r="CL387" s="945"/>
      <c r="CM387" s="945"/>
      <c r="CN387" s="945"/>
      <c r="CO387" s="945"/>
      <c r="CP387" s="945"/>
      <c r="CQ387" s="945"/>
      <c r="CR387" s="945"/>
      <c r="CS387" s="945"/>
      <c r="CT387" s="945"/>
      <c r="CU387" s="945"/>
      <c r="CV387" s="945"/>
      <c r="CW387" s="945"/>
      <c r="CX387" s="945"/>
      <c r="CY387" s="945"/>
      <c r="CZ387" s="945"/>
      <c r="DA387" s="945"/>
      <c r="DB387"/>
      <c r="DC387"/>
      <c r="DD387" s="2323"/>
      <c r="DE387" s="945"/>
      <c r="DF387" s="945"/>
      <c r="DG387" s="945"/>
      <c r="DH387" s="945"/>
      <c r="DI387" s="945"/>
      <c r="DJ387" s="945"/>
      <c r="DK387" s="945"/>
      <c r="DL387" s="945"/>
      <c r="DM387" s="945"/>
      <c r="DN387" s="945"/>
      <c r="DO387" s="945"/>
      <c r="DP387" s="945"/>
      <c r="DQ387" s="945"/>
      <c r="DR387" s="945"/>
      <c r="DS387" s="945"/>
      <c r="DT387" s="945"/>
      <c r="DU387" s="945"/>
      <c r="DV387" s="945"/>
      <c r="DW387" s="945"/>
      <c r="DX387" s="945"/>
      <c r="DY387" s="945"/>
      <c r="EA387"/>
      <c r="EB387"/>
      <c r="EC387"/>
      <c r="ED387"/>
      <c r="EE387"/>
      <c r="EF387"/>
      <c r="EJ387"/>
      <c r="EK387"/>
      <c r="EL387"/>
      <c r="ER387" s="212"/>
    </row>
    <row r="388" spans="1:148" s="923" customFormat="1" ht="12.75" hidden="1" customHeight="1" outlineLevel="1" x14ac:dyDescent="0.2">
      <c r="A388" s="865"/>
      <c r="B388" s="950"/>
      <c r="C388" s="950"/>
      <c r="D388" s="950"/>
      <c r="E388" s="950"/>
      <c r="F388" s="950"/>
      <c r="G388" s="950"/>
      <c r="H388" s="950"/>
      <c r="I388" s="950"/>
      <c r="J388" s="950"/>
      <c r="K388" s="950"/>
      <c r="L388" s="950"/>
      <c r="M388" s="945"/>
      <c r="N388" s="950"/>
      <c r="O388" s="950"/>
      <c r="P388" s="950"/>
      <c r="Q388" s="950"/>
      <c r="R388" s="945"/>
      <c r="S388" s="950"/>
      <c r="T388" s="950"/>
      <c r="U388" s="950"/>
      <c r="V388" s="950"/>
      <c r="W388" s="945"/>
      <c r="X388" s="950"/>
      <c r="Y388" s="950"/>
      <c r="Z388" s="950"/>
      <c r="AA388" s="950"/>
      <c r="AB388" s="945"/>
      <c r="AC388" s="950"/>
      <c r="AD388" s="950"/>
      <c r="AE388" s="950"/>
      <c r="AF388" s="950"/>
      <c r="AG388" s="945"/>
      <c r="AH388" s="950"/>
      <c r="AI388" s="950"/>
      <c r="AJ388" s="950"/>
      <c r="AK388" s="950"/>
      <c r="AL388" s="945"/>
      <c r="AM388" s="950"/>
      <c r="AN388" s="950"/>
      <c r="AO388" s="950"/>
      <c r="AP388" s="950"/>
      <c r="AQ388" s="945"/>
      <c r="AR388" s="950"/>
      <c r="AS388" s="950"/>
      <c r="AT388" s="950"/>
      <c r="AU388" s="950"/>
      <c r="AV388" s="945"/>
      <c r="AW388" s="950"/>
      <c r="AX388" s="950"/>
      <c r="AY388" s="950"/>
      <c r="AZ388" s="950"/>
      <c r="BA388" s="945"/>
      <c r="BB388" s="950"/>
      <c r="BC388" s="950"/>
      <c r="BD388" s="950"/>
      <c r="BE388" s="950"/>
      <c r="BF388" s="945"/>
      <c r="BG388" s="950"/>
      <c r="BH388" s="950"/>
      <c r="BI388" s="950"/>
      <c r="BJ388" s="950"/>
      <c r="BK388" s="945"/>
      <c r="BL388" s="950"/>
      <c r="BM388" s="950"/>
      <c r="BN388" s="950"/>
      <c r="BO388" s="950"/>
      <c r="BP388" s="945"/>
      <c r="BQ388" s="950"/>
      <c r="BR388" s="950"/>
      <c r="BS388" s="950"/>
      <c r="BT388" s="950"/>
      <c r="BU388" s="945"/>
      <c r="BV388" s="950"/>
      <c r="BW388" s="950"/>
      <c r="BX388" s="950"/>
      <c r="BY388" s="950"/>
      <c r="BZ388" s="945"/>
      <c r="CA388" s="945"/>
      <c r="CB388" s="945"/>
      <c r="CC388" s="945"/>
      <c r="CD388" s="945"/>
      <c r="CE388" s="945"/>
      <c r="CF388" s="945"/>
      <c r="CG388" s="945"/>
      <c r="CH388" s="945"/>
      <c r="CI388" s="945"/>
      <c r="CJ388" s="945"/>
      <c r="CK388" s="945"/>
      <c r="CL388" s="945"/>
      <c r="CM388" s="945"/>
      <c r="CN388" s="945"/>
      <c r="CO388" s="945"/>
      <c r="CP388" s="945"/>
      <c r="CQ388" s="945"/>
      <c r="CR388" s="945"/>
      <c r="CS388" s="945"/>
      <c r="CT388" s="945"/>
      <c r="CU388" s="945"/>
      <c r="CV388" s="945"/>
      <c r="CW388" s="945"/>
      <c r="CX388" s="945"/>
      <c r="CY388" s="945"/>
      <c r="CZ388" s="945"/>
      <c r="DA388" s="945"/>
      <c r="DB388"/>
      <c r="DC388"/>
      <c r="DD388" s="2323"/>
      <c r="DE388" s="945"/>
      <c r="DF388" s="945"/>
      <c r="DG388" s="945"/>
      <c r="DH388" s="945"/>
      <c r="DI388" s="945"/>
      <c r="DJ388" s="945"/>
      <c r="DK388" s="945"/>
      <c r="DL388" s="945"/>
      <c r="DM388" s="945"/>
      <c r="DN388" s="945"/>
      <c r="DO388" s="945"/>
      <c r="DP388" s="945"/>
      <c r="DQ388" s="945"/>
      <c r="DR388" s="945"/>
      <c r="DS388" s="945"/>
      <c r="DT388" s="945"/>
      <c r="DU388" s="945"/>
      <c r="DV388" s="945"/>
      <c r="DW388" s="945"/>
      <c r="DX388" s="945"/>
      <c r="DY388" s="945"/>
      <c r="EA388"/>
      <c r="EB388"/>
      <c r="EC388"/>
      <c r="ED388"/>
      <c r="EE388"/>
      <c r="EF388"/>
      <c r="EJ388"/>
      <c r="EK388"/>
      <c r="EL388"/>
      <c r="ER388" s="212"/>
    </row>
    <row r="389" spans="1:148" s="923" customFormat="1" ht="12.75" hidden="1" customHeight="1" outlineLevel="1" x14ac:dyDescent="0.2">
      <c r="A389" s="865"/>
      <c r="B389" s="215"/>
      <c r="C389" s="215"/>
      <c r="D389" s="215"/>
      <c r="E389" s="215"/>
      <c r="F389" s="215"/>
      <c r="G389" s="215"/>
      <c r="H389" s="215"/>
      <c r="I389" s="215"/>
      <c r="J389" s="215"/>
      <c r="K389" s="215"/>
      <c r="L389" s="215"/>
      <c r="M389" s="215"/>
      <c r="N389" s="215"/>
      <c r="O389" s="215"/>
      <c r="P389" s="215"/>
      <c r="Q389" s="215"/>
      <c r="R389" s="215"/>
      <c r="S389" s="215"/>
      <c r="T389" s="215"/>
      <c r="U389" s="215"/>
      <c r="V389" s="215"/>
      <c r="W389" s="215"/>
      <c r="X389" s="215"/>
      <c r="Y389" s="215"/>
      <c r="Z389" s="215"/>
      <c r="AA389" s="215"/>
      <c r="AB389" s="215"/>
      <c r="AC389" s="215"/>
      <c r="AD389" s="215"/>
      <c r="AE389" s="215"/>
      <c r="AF389" s="215"/>
      <c r="AG389" s="215"/>
      <c r="AH389" s="215"/>
      <c r="AI389" s="215"/>
      <c r="AJ389" s="215"/>
      <c r="AK389" s="215"/>
      <c r="AL389" s="215"/>
      <c r="AM389" s="215"/>
      <c r="AN389" s="215"/>
      <c r="AO389" s="215"/>
      <c r="AP389" s="215"/>
      <c r="AQ389" s="215"/>
      <c r="AR389" s="215"/>
      <c r="AS389" s="215"/>
      <c r="AT389" s="215"/>
      <c r="AU389" s="215"/>
      <c r="AV389" s="215"/>
      <c r="AW389" s="215"/>
      <c r="AX389" s="215"/>
      <c r="AY389" s="215"/>
      <c r="AZ389" s="215"/>
      <c r="BA389" s="215"/>
      <c r="BB389" s="215"/>
      <c r="BC389" s="215"/>
      <c r="BD389" s="215"/>
      <c r="BE389" s="215"/>
      <c r="BF389" s="215"/>
      <c r="BG389" s="215"/>
      <c r="BH389" s="215"/>
      <c r="BI389" s="215"/>
      <c r="BJ389" s="215"/>
      <c r="BK389" s="215"/>
      <c r="BL389" s="215"/>
      <c r="BM389" s="215"/>
      <c r="BN389" s="215"/>
      <c r="BO389" s="215"/>
      <c r="BP389" s="215"/>
      <c r="BQ389" s="215"/>
      <c r="BR389" s="215"/>
      <c r="BS389" s="215"/>
      <c r="BT389" s="215"/>
      <c r="BU389" s="215"/>
      <c r="BV389" s="215"/>
      <c r="BW389" s="215"/>
      <c r="BX389" s="215"/>
      <c r="BY389" s="215"/>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c r="DA389" s="215"/>
      <c r="DB389"/>
      <c r="DC389"/>
      <c r="DD389" s="2323"/>
      <c r="DE389" s="2327"/>
      <c r="DF389" s="2327"/>
      <c r="DG389" s="2327"/>
      <c r="DH389" s="2327"/>
      <c r="DI389" s="2327"/>
      <c r="DJ389" s="2327"/>
      <c r="DK389" s="2327"/>
      <c r="DL389" s="2327"/>
      <c r="DM389" s="2327"/>
      <c r="DN389" s="2327"/>
      <c r="DO389" s="2327"/>
      <c r="DP389" s="2327"/>
      <c r="DQ389" s="2327"/>
      <c r="DR389" s="2327"/>
      <c r="DS389" s="2327"/>
      <c r="DT389" s="2327"/>
      <c r="DU389" s="2327"/>
      <c r="DV389" s="2327"/>
      <c r="DW389" s="2327"/>
      <c r="DX389" s="2327"/>
      <c r="DY389" s="2327"/>
      <c r="EA389"/>
      <c r="EB389"/>
      <c r="EC389"/>
      <c r="ED389"/>
      <c r="EE389"/>
      <c r="EF389"/>
      <c r="EJ389"/>
      <c r="EK389"/>
      <c r="EL389"/>
      <c r="ER389" s="212"/>
    </row>
    <row r="390" spans="1:148" s="923" customFormat="1" ht="12.75" hidden="1" customHeight="1" outlineLevel="1" x14ac:dyDescent="0.2">
      <c r="A390" s="865"/>
      <c r="B390" s="215"/>
      <c r="C390" s="215"/>
      <c r="D390" s="215"/>
      <c r="E390" s="215"/>
      <c r="F390" s="215"/>
      <c r="G390" s="215"/>
      <c r="H390" s="215"/>
      <c r="I390" s="215"/>
      <c r="J390" s="215"/>
      <c r="K390" s="215"/>
      <c r="L390" s="215"/>
      <c r="M390" s="215"/>
      <c r="N390" s="215"/>
      <c r="O390" s="215"/>
      <c r="P390" s="215"/>
      <c r="Q390" s="215"/>
      <c r="R390" s="215"/>
      <c r="S390" s="215"/>
      <c r="T390" s="215"/>
      <c r="U390" s="215"/>
      <c r="V390" s="215"/>
      <c r="W390" s="215"/>
      <c r="X390" s="215"/>
      <c r="Y390" s="215"/>
      <c r="Z390" s="215"/>
      <c r="AA390" s="215"/>
      <c r="AB390" s="215"/>
      <c r="AC390" s="215"/>
      <c r="AD390" s="215"/>
      <c r="AE390" s="215"/>
      <c r="AF390" s="215"/>
      <c r="AG390" s="215"/>
      <c r="AH390" s="215"/>
      <c r="AI390" s="215"/>
      <c r="AJ390" s="215"/>
      <c r="AK390" s="215"/>
      <c r="AL390" s="215"/>
      <c r="AM390" s="215"/>
      <c r="AN390" s="215"/>
      <c r="AO390" s="215"/>
      <c r="AP390" s="215"/>
      <c r="AQ390" s="215"/>
      <c r="AR390" s="215"/>
      <c r="AS390" s="215"/>
      <c r="AT390" s="215"/>
      <c r="AU390" s="215"/>
      <c r="AV390" s="215"/>
      <c r="AW390" s="215"/>
      <c r="AX390" s="215"/>
      <c r="AY390" s="215"/>
      <c r="AZ390" s="215"/>
      <c r="BA390" s="215"/>
      <c r="BB390" s="215"/>
      <c r="BC390" s="215"/>
      <c r="BD390" s="215"/>
      <c r="BE390" s="215"/>
      <c r="BF390" s="215"/>
      <c r="BG390" s="215"/>
      <c r="BH390" s="215"/>
      <c r="BI390" s="215"/>
      <c r="BJ390" s="215"/>
      <c r="BK390" s="215"/>
      <c r="BL390" s="215"/>
      <c r="BM390" s="215"/>
      <c r="BN390" s="215"/>
      <c r="BO390" s="215"/>
      <c r="BP390" s="215"/>
      <c r="BQ390" s="215"/>
      <c r="BR390" s="215"/>
      <c r="BS390" s="215"/>
      <c r="BT390" s="215"/>
      <c r="BU390" s="215"/>
      <c r="BV390" s="215"/>
      <c r="BW390" s="215"/>
      <c r="BX390" s="215"/>
      <c r="BY390" s="215"/>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c r="DA390" s="215"/>
      <c r="DB390"/>
      <c r="DC390"/>
      <c r="DD390" s="2323"/>
      <c r="DE390" s="2327"/>
      <c r="DF390" s="2327"/>
      <c r="DG390" s="2327"/>
      <c r="DH390" s="2327"/>
      <c r="DI390" s="2327"/>
      <c r="DJ390" s="2327"/>
      <c r="DK390" s="2327"/>
      <c r="DL390" s="2327"/>
      <c r="DM390" s="2327"/>
      <c r="DN390" s="2327"/>
      <c r="DO390" s="2327"/>
      <c r="DP390" s="2327"/>
      <c r="DQ390" s="2327"/>
      <c r="DR390" s="2327"/>
      <c r="DS390" s="2327"/>
      <c r="DT390" s="2327"/>
      <c r="DU390" s="2327"/>
      <c r="DV390" s="2327"/>
      <c r="DW390" s="2327"/>
      <c r="DX390" s="2327"/>
      <c r="DY390" s="2327"/>
      <c r="EA390"/>
      <c r="EB390"/>
      <c r="EC390"/>
      <c r="ED390"/>
      <c r="EE390"/>
      <c r="EF390"/>
      <c r="EJ390"/>
      <c r="EK390"/>
      <c r="EL390"/>
      <c r="ER390" s="212"/>
    </row>
    <row r="391" spans="1:148" s="923" customFormat="1" ht="12.75" hidden="1" customHeight="1" outlineLevel="1" x14ac:dyDescent="0.2">
      <c r="A391" s="865"/>
      <c r="B391" s="215"/>
      <c r="C391" s="215"/>
      <c r="D391" s="215"/>
      <c r="E391" s="215"/>
      <c r="F391" s="215"/>
      <c r="G391" s="215"/>
      <c r="H391" s="215"/>
      <c r="I391" s="215"/>
      <c r="J391" s="215"/>
      <c r="K391" s="215"/>
      <c r="L391" s="215"/>
      <c r="M391" s="215"/>
      <c r="N391" s="215"/>
      <c r="O391" s="215"/>
      <c r="P391" s="215"/>
      <c r="Q391" s="215"/>
      <c r="R391" s="215"/>
      <c r="S391" s="215"/>
      <c r="T391" s="215"/>
      <c r="U391" s="215"/>
      <c r="V391" s="215"/>
      <c r="W391" s="215"/>
      <c r="X391" s="215"/>
      <c r="Y391" s="215"/>
      <c r="Z391" s="215"/>
      <c r="AA391" s="215"/>
      <c r="AB391" s="215"/>
      <c r="AC391" s="215"/>
      <c r="AD391" s="215"/>
      <c r="AE391" s="215"/>
      <c r="AF391" s="215"/>
      <c r="AG391" s="215"/>
      <c r="AH391" s="215"/>
      <c r="AI391" s="215"/>
      <c r="AJ391" s="215"/>
      <c r="AK391" s="215"/>
      <c r="AL391" s="215"/>
      <c r="AM391" s="215"/>
      <c r="AN391" s="215"/>
      <c r="AO391" s="215"/>
      <c r="AP391" s="215"/>
      <c r="AQ391" s="215"/>
      <c r="AR391" s="215"/>
      <c r="AS391" s="215"/>
      <c r="AT391" s="215"/>
      <c r="AU391" s="215"/>
      <c r="AV391" s="215"/>
      <c r="AW391" s="215"/>
      <c r="AX391" s="215"/>
      <c r="AY391" s="215"/>
      <c r="AZ391" s="215"/>
      <c r="BA391" s="215"/>
      <c r="BB391" s="215"/>
      <c r="BC391" s="215"/>
      <c r="BD391" s="215"/>
      <c r="BE391" s="215"/>
      <c r="BF391" s="215"/>
      <c r="BG391" s="215"/>
      <c r="BH391" s="215"/>
      <c r="BI391" s="215"/>
      <c r="BJ391" s="215"/>
      <c r="BK391" s="215"/>
      <c r="BL391" s="215"/>
      <c r="BM391" s="215"/>
      <c r="BN391" s="215"/>
      <c r="BO391" s="215"/>
      <c r="BP391" s="215"/>
      <c r="BQ391" s="215"/>
      <c r="BR391" s="215"/>
      <c r="BS391" s="215"/>
      <c r="BT391" s="215"/>
      <c r="BU391" s="215"/>
      <c r="BV391" s="215"/>
      <c r="BW391" s="215"/>
      <c r="BX391" s="215"/>
      <c r="BY391" s="215"/>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c r="DA391" s="215"/>
      <c r="DB391"/>
      <c r="DC391"/>
      <c r="DD391" s="2323"/>
      <c r="DE391" s="2327"/>
      <c r="DF391" s="2327"/>
      <c r="DG391" s="2327"/>
      <c r="DH391" s="2327"/>
      <c r="DI391" s="2327"/>
      <c r="DJ391" s="2327"/>
      <c r="DK391" s="2327"/>
      <c r="DL391" s="2327"/>
      <c r="DM391" s="2327"/>
      <c r="DN391" s="2327"/>
      <c r="DO391" s="2327"/>
      <c r="DP391" s="2327"/>
      <c r="DQ391" s="2327"/>
      <c r="DR391" s="2327"/>
      <c r="DS391" s="2327"/>
      <c r="DT391" s="2327"/>
      <c r="DU391" s="2327"/>
      <c r="DV391" s="2327"/>
      <c r="DW391" s="2327"/>
      <c r="DX391" s="2327"/>
      <c r="DY391" s="2327"/>
      <c r="EA391"/>
      <c r="EB391"/>
      <c r="EC391"/>
      <c r="ED391"/>
      <c r="EE391"/>
      <c r="EF391"/>
      <c r="EJ391"/>
      <c r="EK391"/>
      <c r="EL391"/>
      <c r="ER391" s="212"/>
    </row>
    <row r="392" spans="1:148" s="923" customFormat="1" ht="12.75" hidden="1" customHeight="1" outlineLevel="1" x14ac:dyDescent="0.2">
      <c r="A392" s="865"/>
      <c r="B392" s="215"/>
      <c r="C392" s="215"/>
      <c r="D392" s="215"/>
      <c r="E392" s="215"/>
      <c r="F392" s="215"/>
      <c r="G392" s="215"/>
      <c r="H392" s="215"/>
      <c r="I392" s="215"/>
      <c r="J392" s="215"/>
      <c r="K392" s="215"/>
      <c r="L392" s="215"/>
      <c r="M392" s="215"/>
      <c r="N392" s="215"/>
      <c r="O392" s="215"/>
      <c r="P392" s="215"/>
      <c r="Q392" s="215"/>
      <c r="R392" s="215"/>
      <c r="S392" s="215"/>
      <c r="T392" s="215"/>
      <c r="U392" s="215"/>
      <c r="V392" s="215"/>
      <c r="W392" s="215"/>
      <c r="X392" s="215"/>
      <c r="Y392" s="215"/>
      <c r="Z392" s="215"/>
      <c r="AA392" s="215"/>
      <c r="AB392" s="215"/>
      <c r="AC392" s="215"/>
      <c r="AD392" s="215"/>
      <c r="AE392" s="215"/>
      <c r="AF392" s="215"/>
      <c r="AG392" s="215"/>
      <c r="AH392" s="215"/>
      <c r="AI392" s="215"/>
      <c r="AJ392" s="215"/>
      <c r="AK392" s="215"/>
      <c r="AL392" s="215"/>
      <c r="AM392" s="215"/>
      <c r="AN392" s="215"/>
      <c r="AO392" s="215"/>
      <c r="AP392" s="215"/>
      <c r="AQ392" s="215"/>
      <c r="AR392" s="215"/>
      <c r="AS392" s="215"/>
      <c r="AT392" s="215"/>
      <c r="AU392" s="215"/>
      <c r="AV392" s="215"/>
      <c r="AW392" s="215"/>
      <c r="AX392" s="215"/>
      <c r="AY392" s="215"/>
      <c r="AZ392" s="215"/>
      <c r="BA392" s="215"/>
      <c r="BB392" s="215"/>
      <c r="BC392" s="215"/>
      <c r="BD392" s="215"/>
      <c r="BE392" s="215"/>
      <c r="BF392" s="215"/>
      <c r="BG392" s="215"/>
      <c r="BH392" s="215"/>
      <c r="BI392" s="215"/>
      <c r="BJ392" s="215"/>
      <c r="BK392" s="215"/>
      <c r="BL392" s="215"/>
      <c r="BM392" s="215"/>
      <c r="BN392" s="215"/>
      <c r="BO392" s="215"/>
      <c r="BP392" s="215"/>
      <c r="BQ392" s="215"/>
      <c r="BR392" s="215"/>
      <c r="BS392" s="215"/>
      <c r="BT392" s="215"/>
      <c r="BU392" s="215"/>
      <c r="BV392" s="215"/>
      <c r="BW392" s="215"/>
      <c r="BX392" s="215"/>
      <c r="BY392" s="215"/>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c r="DA392" s="215"/>
      <c r="DB392"/>
      <c r="DC392"/>
      <c r="DD392" s="2323"/>
      <c r="DE392" s="2327"/>
      <c r="DF392" s="2327"/>
      <c r="DG392" s="2327"/>
      <c r="DH392" s="2327"/>
      <c r="DI392" s="2327"/>
      <c r="DJ392" s="2327"/>
      <c r="DK392" s="2327"/>
      <c r="DL392" s="2327"/>
      <c r="DM392" s="2327"/>
      <c r="DN392" s="2327"/>
      <c r="DO392" s="2327"/>
      <c r="DP392" s="2327"/>
      <c r="DQ392" s="2327"/>
      <c r="DR392" s="2327"/>
      <c r="DS392" s="2327"/>
      <c r="DT392" s="2327"/>
      <c r="DU392" s="2327"/>
      <c r="DV392" s="2327"/>
      <c r="DW392" s="2327"/>
      <c r="DX392" s="2327"/>
      <c r="DY392" s="2327"/>
      <c r="EA392"/>
      <c r="EB392"/>
      <c r="EC392"/>
      <c r="ED392"/>
      <c r="EE392"/>
      <c r="EF392"/>
      <c r="EJ392"/>
      <c r="EK392"/>
      <c r="EL392"/>
      <c r="ER392" s="212"/>
    </row>
    <row r="393" spans="1:148" s="923" customFormat="1" ht="12.75" hidden="1" customHeight="1" outlineLevel="1" x14ac:dyDescent="0.2">
      <c r="A393" s="865"/>
      <c r="B393" s="215"/>
      <c r="C393" s="215"/>
      <c r="D393" s="215"/>
      <c r="E393" s="215"/>
      <c r="F393" s="215"/>
      <c r="G393" s="215"/>
      <c r="H393" s="215"/>
      <c r="I393" s="215"/>
      <c r="J393" s="215"/>
      <c r="K393" s="215"/>
      <c r="L393" s="215"/>
      <c r="M393" s="215"/>
      <c r="N393" s="215"/>
      <c r="O393" s="215"/>
      <c r="P393" s="215"/>
      <c r="Q393" s="215"/>
      <c r="R393" s="215"/>
      <c r="S393" s="215"/>
      <c r="T393" s="215"/>
      <c r="U393" s="215"/>
      <c r="V393" s="215"/>
      <c r="W393" s="215"/>
      <c r="X393" s="215"/>
      <c r="Y393" s="215"/>
      <c r="Z393" s="215"/>
      <c r="AA393" s="215"/>
      <c r="AB393" s="215"/>
      <c r="AC393" s="215"/>
      <c r="AD393" s="215"/>
      <c r="AE393" s="215"/>
      <c r="AF393" s="215"/>
      <c r="AG393" s="215"/>
      <c r="AH393" s="215"/>
      <c r="AI393" s="215"/>
      <c r="AJ393" s="215"/>
      <c r="AK393" s="215"/>
      <c r="AL393" s="215"/>
      <c r="AM393" s="215"/>
      <c r="AN393" s="215"/>
      <c r="AO393" s="215"/>
      <c r="AP393" s="215"/>
      <c r="AQ393" s="215"/>
      <c r="AR393" s="215"/>
      <c r="AS393" s="215"/>
      <c r="AT393" s="215"/>
      <c r="AU393" s="215"/>
      <c r="AV393" s="215"/>
      <c r="AW393" s="215"/>
      <c r="AX393" s="215"/>
      <c r="AY393" s="215"/>
      <c r="AZ393" s="215"/>
      <c r="BA393" s="215"/>
      <c r="BB393" s="215"/>
      <c r="BC393" s="215"/>
      <c r="BD393" s="215"/>
      <c r="BE393" s="215"/>
      <c r="BF393" s="215"/>
      <c r="BG393" s="215"/>
      <c r="BH393" s="215"/>
      <c r="BI393" s="215"/>
      <c r="BJ393" s="215"/>
      <c r="BK393" s="215"/>
      <c r="BL393" s="215"/>
      <c r="BM393" s="215"/>
      <c r="BN393" s="215"/>
      <c r="BO393" s="215"/>
      <c r="BP393" s="215"/>
      <c r="BQ393" s="215"/>
      <c r="BR393" s="215"/>
      <c r="BS393" s="215"/>
      <c r="BT393" s="215"/>
      <c r="BU393" s="215"/>
      <c r="BV393" s="215"/>
      <c r="BW393" s="215"/>
      <c r="BX393" s="215"/>
      <c r="BY393" s="215"/>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c r="DA393" s="215"/>
      <c r="DB393"/>
      <c r="DC393"/>
      <c r="DD393" s="2323"/>
      <c r="DE393" s="2327"/>
      <c r="DF393" s="2327"/>
      <c r="DG393" s="2327"/>
      <c r="DH393" s="2327"/>
      <c r="DI393" s="2327"/>
      <c r="DJ393" s="2327"/>
      <c r="DK393" s="2327"/>
      <c r="DL393" s="2327"/>
      <c r="DM393" s="2327"/>
      <c r="DN393" s="2327"/>
      <c r="DO393" s="2327"/>
      <c r="DP393" s="2327"/>
      <c r="DQ393" s="2327"/>
      <c r="DR393" s="2327"/>
      <c r="DS393" s="2327"/>
      <c r="DT393" s="2327"/>
      <c r="DU393" s="2327"/>
      <c r="DV393" s="2327"/>
      <c r="DW393" s="2327"/>
      <c r="DX393" s="2327"/>
      <c r="DY393" s="2327"/>
      <c r="EA393"/>
      <c r="EB393"/>
      <c r="EC393"/>
      <c r="ED393"/>
      <c r="EE393"/>
      <c r="EF393"/>
      <c r="EJ393"/>
      <c r="EK393"/>
      <c r="EL393"/>
      <c r="ER393" s="212"/>
    </row>
    <row r="394" spans="1:148" s="923" customFormat="1" ht="12.75" hidden="1" customHeight="1" outlineLevel="1" x14ac:dyDescent="0.2">
      <c r="A394" s="865"/>
      <c r="B394" s="215"/>
      <c r="C394" s="215"/>
      <c r="D394" s="215"/>
      <c r="E394" s="215"/>
      <c r="F394" s="215"/>
      <c r="G394" s="215"/>
      <c r="H394" s="215"/>
      <c r="I394" s="215"/>
      <c r="J394" s="215"/>
      <c r="K394" s="215"/>
      <c r="L394" s="215"/>
      <c r="M394" s="215"/>
      <c r="N394" s="215"/>
      <c r="O394" s="215"/>
      <c r="P394" s="215"/>
      <c r="Q394" s="215"/>
      <c r="R394" s="215"/>
      <c r="S394" s="215"/>
      <c r="T394" s="215"/>
      <c r="U394" s="215"/>
      <c r="V394" s="215"/>
      <c r="W394" s="215"/>
      <c r="X394" s="215"/>
      <c r="Y394" s="215"/>
      <c r="Z394" s="215"/>
      <c r="AA394" s="215"/>
      <c r="AB394" s="215"/>
      <c r="AC394" s="215"/>
      <c r="AD394" s="215"/>
      <c r="AE394" s="215"/>
      <c r="AF394" s="215"/>
      <c r="AG394" s="215"/>
      <c r="AH394" s="215"/>
      <c r="AI394" s="215"/>
      <c r="AJ394" s="215"/>
      <c r="AK394" s="215"/>
      <c r="AL394" s="215"/>
      <c r="AM394" s="215"/>
      <c r="AN394" s="215"/>
      <c r="AO394" s="215"/>
      <c r="AP394" s="215"/>
      <c r="AQ394" s="215"/>
      <c r="AR394" s="215"/>
      <c r="AS394" s="215"/>
      <c r="AT394" s="215"/>
      <c r="AU394" s="215"/>
      <c r="AV394" s="215"/>
      <c r="AW394" s="215"/>
      <c r="AX394" s="215"/>
      <c r="AY394" s="215"/>
      <c r="AZ394" s="215"/>
      <c r="BA394" s="215"/>
      <c r="BB394" s="215"/>
      <c r="BC394" s="215"/>
      <c r="BD394" s="215"/>
      <c r="BE394" s="215"/>
      <c r="BF394" s="215"/>
      <c r="BG394" s="215"/>
      <c r="BH394" s="215"/>
      <c r="BI394" s="215"/>
      <c r="BJ394" s="215"/>
      <c r="BK394" s="215"/>
      <c r="BL394" s="215"/>
      <c r="BM394" s="215"/>
      <c r="BN394" s="215"/>
      <c r="BO394" s="215"/>
      <c r="BP394" s="215"/>
      <c r="BQ394" s="215"/>
      <c r="BR394" s="215"/>
      <c r="BS394" s="215"/>
      <c r="BT394" s="215"/>
      <c r="BU394" s="215"/>
      <c r="BV394" s="215"/>
      <c r="BW394" s="215"/>
      <c r="BX394" s="215"/>
      <c r="BY394" s="215"/>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c r="DA394" s="215"/>
      <c r="DB394"/>
      <c r="DC394"/>
      <c r="DD394" s="2323"/>
      <c r="DE394" s="2327"/>
      <c r="DF394" s="2327"/>
      <c r="DG394" s="2327"/>
      <c r="DH394" s="2327"/>
      <c r="DI394" s="2327"/>
      <c r="DJ394" s="2327"/>
      <c r="DK394" s="2327"/>
      <c r="DL394" s="2327"/>
      <c r="DM394" s="2327"/>
      <c r="DN394" s="2327"/>
      <c r="DO394" s="2327"/>
      <c r="DP394" s="2327"/>
      <c r="DQ394" s="2327"/>
      <c r="DR394" s="2327"/>
      <c r="DS394" s="2327"/>
      <c r="DT394" s="2327"/>
      <c r="DU394" s="2327"/>
      <c r="DV394" s="2327"/>
      <c r="DW394" s="2327"/>
      <c r="DX394" s="2327"/>
      <c r="DY394" s="2327"/>
      <c r="EA394"/>
      <c r="EB394"/>
      <c r="EC394"/>
      <c r="ED394"/>
      <c r="EE394"/>
      <c r="EF394"/>
      <c r="EJ394"/>
      <c r="EK394"/>
      <c r="EL394"/>
      <c r="ER394" s="212"/>
    </row>
    <row r="395" spans="1:148" s="923" customFormat="1" ht="12.75" hidden="1" customHeight="1" outlineLevel="1" x14ac:dyDescent="0.2">
      <c r="A395" s="869"/>
      <c r="B395" s="942"/>
      <c r="C395" s="942"/>
      <c r="D395" s="942"/>
      <c r="E395" s="942"/>
      <c r="F395" s="942"/>
      <c r="G395" s="942"/>
      <c r="H395" s="942"/>
      <c r="I395" s="942"/>
      <c r="J395" s="942"/>
      <c r="K395" s="942"/>
      <c r="L395" s="942"/>
      <c r="M395" s="942"/>
      <c r="N395" s="942"/>
      <c r="O395" s="942"/>
      <c r="P395" s="942"/>
      <c r="Q395" s="942"/>
      <c r="R395" s="942"/>
      <c r="S395" s="942"/>
      <c r="T395" s="942"/>
      <c r="U395" s="942"/>
      <c r="V395" s="942"/>
      <c r="W395" s="942"/>
      <c r="X395" s="942"/>
      <c r="Y395" s="942"/>
      <c r="Z395" s="942"/>
      <c r="AA395" s="942"/>
      <c r="AB395" s="942"/>
      <c r="AC395" s="942"/>
      <c r="AD395" s="942"/>
      <c r="AE395" s="942"/>
      <c r="AF395" s="942"/>
      <c r="AG395" s="942"/>
      <c r="AH395" s="942"/>
      <c r="AI395" s="942"/>
      <c r="AJ395" s="942"/>
      <c r="AK395" s="942"/>
      <c r="AL395" s="942"/>
      <c r="AM395" s="942"/>
      <c r="AN395" s="942"/>
      <c r="AO395" s="942"/>
      <c r="AP395" s="942"/>
      <c r="AQ395" s="942"/>
      <c r="AR395" s="942"/>
      <c r="AS395" s="942"/>
      <c r="AT395" s="942"/>
      <c r="AU395" s="942"/>
      <c r="AV395" s="942"/>
      <c r="AW395" s="942"/>
      <c r="AX395" s="942"/>
      <c r="AY395" s="942"/>
      <c r="AZ395" s="942"/>
      <c r="BA395" s="942"/>
      <c r="BB395" s="942"/>
      <c r="BC395" s="942"/>
      <c r="BD395" s="942"/>
      <c r="BE395" s="942"/>
      <c r="BF395" s="942"/>
      <c r="BG395" s="942"/>
      <c r="BH395" s="942"/>
      <c r="BI395" s="942"/>
      <c r="BJ395" s="942"/>
      <c r="BK395" s="942"/>
      <c r="BL395" s="942"/>
      <c r="BM395" s="942"/>
      <c r="BN395" s="942"/>
      <c r="BO395" s="942"/>
      <c r="BP395" s="942"/>
      <c r="BQ395" s="942"/>
      <c r="BR395" s="942"/>
      <c r="BS395" s="942"/>
      <c r="BT395" s="942"/>
      <c r="BU395" s="942"/>
      <c r="BV395" s="942"/>
      <c r="BW395" s="942"/>
      <c r="BX395" s="942"/>
      <c r="BY395" s="942"/>
      <c r="BZ395" s="942"/>
      <c r="CA395" s="942"/>
      <c r="CB395" s="942"/>
      <c r="CC395" s="942"/>
      <c r="CD395" s="942"/>
      <c r="CE395" s="942"/>
      <c r="CF395" s="942"/>
      <c r="CG395" s="942"/>
      <c r="CH395" s="942"/>
      <c r="CI395" s="942"/>
      <c r="CJ395" s="942"/>
      <c r="CK395" s="942"/>
      <c r="CL395" s="942"/>
      <c r="CM395" s="942"/>
      <c r="CN395" s="942"/>
      <c r="CO395" s="942"/>
      <c r="CP395" s="942"/>
      <c r="CQ395" s="942"/>
      <c r="CR395" s="942"/>
      <c r="CS395" s="942"/>
      <c r="CT395" s="942"/>
      <c r="CU395" s="942"/>
      <c r="CV395" s="942"/>
      <c r="CW395" s="942"/>
      <c r="CX395" s="942"/>
      <c r="CY395" s="942"/>
      <c r="CZ395" s="942"/>
      <c r="DA395" s="942"/>
      <c r="DB395"/>
      <c r="DC395"/>
      <c r="DD395" s="2346"/>
      <c r="DE395" s="942"/>
      <c r="DF395" s="942"/>
      <c r="DG395" s="942"/>
      <c r="DH395" s="942"/>
      <c r="DI395" s="942"/>
      <c r="DJ395" s="942"/>
      <c r="DK395" s="942"/>
      <c r="DL395" s="942"/>
      <c r="DM395" s="942"/>
      <c r="DN395" s="942"/>
      <c r="DO395" s="942"/>
      <c r="DP395" s="942"/>
      <c r="DQ395" s="942"/>
      <c r="DR395" s="942"/>
      <c r="DS395" s="942"/>
      <c r="DT395" s="942"/>
      <c r="DU395" s="942"/>
      <c r="DV395" s="942"/>
      <c r="DW395" s="942"/>
      <c r="DX395" s="942"/>
      <c r="DY395" s="942"/>
      <c r="EA395"/>
      <c r="EB395"/>
      <c r="EC395"/>
      <c r="ED395"/>
      <c r="EE395"/>
      <c r="EF395"/>
      <c r="EJ395"/>
      <c r="EK395"/>
      <c r="EL395"/>
      <c r="ER395" s="212"/>
    </row>
    <row r="396" spans="1:148" s="923" customFormat="1" ht="12.75" hidden="1" customHeight="1" outlineLevel="1" x14ac:dyDescent="0.2">
      <c r="A396" s="867"/>
      <c r="B396" s="842"/>
      <c r="C396" s="842"/>
      <c r="D396" s="842"/>
      <c r="E396" s="842"/>
      <c r="F396" s="842"/>
      <c r="G396" s="842"/>
      <c r="H396" s="842"/>
      <c r="I396" s="842"/>
      <c r="J396" s="842"/>
      <c r="K396" s="842"/>
      <c r="L396" s="842"/>
      <c r="M396" s="842"/>
      <c r="N396" s="842"/>
      <c r="O396" s="842"/>
      <c r="P396" s="842"/>
      <c r="Q396" s="842"/>
      <c r="R396" s="842"/>
      <c r="S396" s="842"/>
      <c r="T396" s="842"/>
      <c r="U396" s="842"/>
      <c r="V396" s="842"/>
      <c r="W396" s="842"/>
      <c r="X396" s="842"/>
      <c r="Y396" s="842"/>
      <c r="Z396" s="842"/>
      <c r="AA396" s="842"/>
      <c r="AB396" s="842"/>
      <c r="AC396" s="842"/>
      <c r="AD396" s="842"/>
      <c r="AE396" s="842"/>
      <c r="AF396" s="842"/>
      <c r="AG396" s="842"/>
      <c r="AH396" s="842"/>
      <c r="AI396" s="842"/>
      <c r="AJ396" s="842"/>
      <c r="AK396" s="842"/>
      <c r="AL396" s="842"/>
      <c r="AM396" s="842"/>
      <c r="AN396" s="842"/>
      <c r="AO396" s="842"/>
      <c r="AP396" s="842"/>
      <c r="AQ396" s="842"/>
      <c r="AR396" s="842"/>
      <c r="AS396" s="842"/>
      <c r="AT396" s="842"/>
      <c r="AU396" s="842"/>
      <c r="AV396" s="842"/>
      <c r="AW396" s="842"/>
      <c r="AX396" s="842"/>
      <c r="AY396" s="842"/>
      <c r="AZ396" s="842"/>
      <c r="BA396" s="842"/>
      <c r="BB396" s="842"/>
      <c r="BC396" s="842"/>
      <c r="BD396" s="842"/>
      <c r="BE396" s="842"/>
      <c r="BF396" s="842"/>
      <c r="BG396" s="842"/>
      <c r="BH396" s="842"/>
      <c r="BI396" s="842"/>
      <c r="BJ396" s="842"/>
      <c r="BK396" s="842"/>
      <c r="BL396" s="842"/>
      <c r="BM396" s="842"/>
      <c r="BN396" s="842"/>
      <c r="BO396" s="842"/>
      <c r="BP396" s="842"/>
      <c r="BQ396" s="842"/>
      <c r="BR396" s="842"/>
      <c r="BS396" s="842"/>
      <c r="BT396" s="842"/>
      <c r="BU396" s="842"/>
      <c r="BV396" s="842"/>
      <c r="BW396" s="842"/>
      <c r="BX396" s="842"/>
      <c r="BY396" s="842"/>
      <c r="BZ396" s="842"/>
      <c r="CA396" s="842"/>
      <c r="CB396" s="842"/>
      <c r="CC396" s="842"/>
      <c r="CD396" s="842"/>
      <c r="CE396" s="842"/>
      <c r="CF396" s="842"/>
      <c r="CG396" s="842"/>
      <c r="CH396" s="842"/>
      <c r="CI396" s="842"/>
      <c r="CJ396" s="842"/>
      <c r="CK396" s="842"/>
      <c r="CL396" s="842"/>
      <c r="CM396" s="842"/>
      <c r="CN396" s="842"/>
      <c r="CO396" s="842"/>
      <c r="CP396" s="842"/>
      <c r="CQ396" s="842"/>
      <c r="CR396" s="842"/>
      <c r="CS396" s="842"/>
      <c r="CT396" s="842"/>
      <c r="CU396" s="842"/>
      <c r="CV396" s="842"/>
      <c r="CW396" s="842"/>
      <c r="CX396" s="842"/>
      <c r="CY396" s="842"/>
      <c r="CZ396" s="842"/>
      <c r="DA396" s="842"/>
      <c r="DB396"/>
      <c r="DC396"/>
      <c r="DD396" s="867"/>
      <c r="DE396" s="842"/>
      <c r="DF396" s="842"/>
      <c r="DG396" s="842"/>
      <c r="DH396" s="842"/>
      <c r="DI396" s="842"/>
      <c r="DJ396" s="842"/>
      <c r="DK396" s="842"/>
      <c r="DL396" s="842"/>
      <c r="DM396" s="842"/>
      <c r="DN396" s="842"/>
      <c r="DO396" s="842"/>
      <c r="DP396" s="842"/>
      <c r="DQ396" s="842"/>
      <c r="DR396" s="842"/>
      <c r="DS396" s="842"/>
      <c r="DT396" s="842"/>
      <c r="DU396" s="842"/>
      <c r="DV396" s="842"/>
      <c r="DW396" s="842"/>
      <c r="DX396" s="842"/>
      <c r="DY396" s="842"/>
      <c r="EA396"/>
      <c r="EB396"/>
      <c r="EC396"/>
      <c r="ED396"/>
      <c r="EE396"/>
      <c r="EF396"/>
      <c r="EJ396"/>
      <c r="EK396"/>
      <c r="EL396"/>
      <c r="ER396" s="212"/>
    </row>
    <row r="397" spans="1:148" s="923" customFormat="1" ht="12.75" hidden="1" customHeight="1" outlineLevel="1" x14ac:dyDescent="0.2">
      <c r="A397" s="865"/>
      <c r="B397" s="215"/>
      <c r="C397" s="215"/>
      <c r="D397" s="215"/>
      <c r="E397" s="215"/>
      <c r="F397" s="215"/>
      <c r="G397" s="215"/>
      <c r="H397" s="215"/>
      <c r="I397" s="215"/>
      <c r="J397" s="215"/>
      <c r="K397" s="215"/>
      <c r="L397" s="215"/>
      <c r="M397" s="215"/>
      <c r="N397" s="215"/>
      <c r="O397" s="215"/>
      <c r="P397" s="215"/>
      <c r="Q397" s="215"/>
      <c r="R397" s="215"/>
      <c r="S397" s="215"/>
      <c r="T397" s="215"/>
      <c r="U397" s="215"/>
      <c r="V397" s="215"/>
      <c r="W397" s="215"/>
      <c r="X397" s="215"/>
      <c r="Y397" s="215"/>
      <c r="Z397" s="215"/>
      <c r="AA397" s="215"/>
      <c r="AB397" s="215"/>
      <c r="AC397" s="215"/>
      <c r="AD397" s="215"/>
      <c r="AE397" s="215"/>
      <c r="AF397" s="215"/>
      <c r="AG397" s="215"/>
      <c r="AH397" s="215"/>
      <c r="AI397" s="215"/>
      <c r="AJ397" s="215"/>
      <c r="AK397" s="215"/>
      <c r="AL397" s="215"/>
      <c r="AM397" s="215"/>
      <c r="AN397" s="215"/>
      <c r="AO397" s="215"/>
      <c r="AP397" s="215"/>
      <c r="AQ397" s="215"/>
      <c r="AR397" s="215"/>
      <c r="AS397" s="215"/>
      <c r="AT397" s="215"/>
      <c r="AU397" s="215"/>
      <c r="AV397" s="215"/>
      <c r="AW397" s="215"/>
      <c r="AX397" s="215"/>
      <c r="AY397" s="215"/>
      <c r="AZ397" s="215"/>
      <c r="BA397" s="215"/>
      <c r="BB397" s="215"/>
      <c r="BC397" s="215"/>
      <c r="BD397" s="215"/>
      <c r="BE397" s="215"/>
      <c r="BF397" s="215"/>
      <c r="BG397" s="215"/>
      <c r="BH397" s="215"/>
      <c r="BI397" s="215"/>
      <c r="BJ397" s="215"/>
      <c r="BK397" s="215"/>
      <c r="BL397" s="215"/>
      <c r="BM397" s="215"/>
      <c r="BN397" s="215"/>
      <c r="BO397" s="215"/>
      <c r="BP397" s="215"/>
      <c r="BQ397" s="215"/>
      <c r="BR397" s="215"/>
      <c r="BS397" s="215"/>
      <c r="BT397" s="215"/>
      <c r="BU397" s="215"/>
      <c r="BV397" s="215"/>
      <c r="BW397" s="215"/>
      <c r="BX397" s="215"/>
      <c r="BY397" s="215"/>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c r="DA397" s="215"/>
      <c r="DB397"/>
      <c r="DC397"/>
      <c r="DD397" s="2323"/>
      <c r="DE397" s="2327"/>
      <c r="DF397" s="2327"/>
      <c r="DG397" s="2327"/>
      <c r="DH397" s="2327"/>
      <c r="DI397" s="2327"/>
      <c r="DJ397" s="2327"/>
      <c r="DK397" s="2327"/>
      <c r="DL397" s="2327"/>
      <c r="DM397" s="2327"/>
      <c r="DN397" s="2327"/>
      <c r="DO397" s="2327"/>
      <c r="DP397" s="2327"/>
      <c r="DQ397" s="2327"/>
      <c r="DR397" s="2327"/>
      <c r="DS397" s="2327"/>
      <c r="DT397" s="2327"/>
      <c r="DU397" s="2327"/>
      <c r="DV397" s="2327"/>
      <c r="DW397" s="2327"/>
      <c r="DX397" s="2327"/>
      <c r="DY397" s="2327"/>
      <c r="EA397"/>
      <c r="EB397"/>
      <c r="EC397"/>
      <c r="ED397"/>
      <c r="EE397"/>
      <c r="EF397"/>
      <c r="EJ397"/>
      <c r="EK397"/>
      <c r="EL397"/>
      <c r="ER397" s="212"/>
    </row>
    <row r="398" spans="1:148" s="923" customFormat="1" ht="12.75" hidden="1" customHeight="1" outlineLevel="1" x14ac:dyDescent="0.2">
      <c r="A398" s="865"/>
      <c r="B398" s="215"/>
      <c r="C398" s="215"/>
      <c r="D398" s="215"/>
      <c r="E398" s="215"/>
      <c r="F398" s="215"/>
      <c r="G398" s="215"/>
      <c r="H398" s="215"/>
      <c r="I398" s="215"/>
      <c r="J398" s="215"/>
      <c r="K398" s="215"/>
      <c r="L398" s="215"/>
      <c r="M398" s="215"/>
      <c r="N398" s="215"/>
      <c r="O398" s="215"/>
      <c r="P398" s="215"/>
      <c r="Q398" s="215"/>
      <c r="R398" s="215"/>
      <c r="S398" s="215"/>
      <c r="T398" s="215"/>
      <c r="U398" s="215"/>
      <c r="V398" s="215"/>
      <c r="W398" s="215"/>
      <c r="X398" s="215"/>
      <c r="Y398" s="215"/>
      <c r="Z398" s="215"/>
      <c r="AA398" s="215"/>
      <c r="AB398" s="215"/>
      <c r="AC398" s="215"/>
      <c r="AD398" s="215"/>
      <c r="AE398" s="215"/>
      <c r="AF398" s="215"/>
      <c r="AG398" s="215"/>
      <c r="AH398" s="215"/>
      <c r="AI398" s="215"/>
      <c r="AJ398" s="215"/>
      <c r="AK398" s="215"/>
      <c r="AL398" s="215"/>
      <c r="AM398" s="215"/>
      <c r="AN398" s="215"/>
      <c r="AO398" s="215"/>
      <c r="AP398" s="215"/>
      <c r="AQ398" s="215"/>
      <c r="AR398" s="215"/>
      <c r="AS398" s="215"/>
      <c r="AT398" s="215"/>
      <c r="AU398" s="215"/>
      <c r="AV398" s="215"/>
      <c r="AW398" s="215"/>
      <c r="AX398" s="215"/>
      <c r="AY398" s="215"/>
      <c r="AZ398" s="215"/>
      <c r="BA398" s="215"/>
      <c r="BB398" s="215"/>
      <c r="BC398" s="215"/>
      <c r="BD398" s="215"/>
      <c r="BE398" s="215"/>
      <c r="BF398" s="215"/>
      <c r="BG398" s="215"/>
      <c r="BH398" s="215"/>
      <c r="BI398" s="215"/>
      <c r="BJ398" s="215"/>
      <c r="BK398" s="215"/>
      <c r="BL398" s="215"/>
      <c r="BM398" s="215"/>
      <c r="BN398" s="215"/>
      <c r="BO398" s="215"/>
      <c r="BP398" s="215"/>
      <c r="BQ398" s="215"/>
      <c r="BR398" s="215"/>
      <c r="BS398" s="215"/>
      <c r="BT398" s="215"/>
      <c r="BU398" s="215"/>
      <c r="BV398" s="215"/>
      <c r="BW398" s="215"/>
      <c r="BX398" s="215"/>
      <c r="BY398" s="215"/>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c r="DA398" s="215"/>
      <c r="DB398"/>
      <c r="DC398"/>
      <c r="DD398" s="2323"/>
      <c r="DE398" s="2327"/>
      <c r="DF398" s="2327"/>
      <c r="DG398" s="2327"/>
      <c r="DH398" s="2327"/>
      <c r="DI398" s="2327"/>
      <c r="DJ398" s="2327"/>
      <c r="DK398" s="2327"/>
      <c r="DL398" s="2327"/>
      <c r="DM398" s="2327"/>
      <c r="DN398" s="2327"/>
      <c r="DO398" s="2327"/>
      <c r="DP398" s="2327"/>
      <c r="DQ398" s="2327"/>
      <c r="DR398" s="2327"/>
      <c r="DS398" s="2327"/>
      <c r="DT398" s="2327"/>
      <c r="DU398" s="2327"/>
      <c r="DV398" s="2327"/>
      <c r="DW398" s="2327"/>
      <c r="DX398" s="2327"/>
      <c r="DY398" s="2327"/>
      <c r="EA398"/>
      <c r="EB398"/>
      <c r="EC398"/>
      <c r="ED398"/>
      <c r="EE398"/>
      <c r="EF398"/>
      <c r="EJ398"/>
      <c r="EK398"/>
      <c r="EL398"/>
      <c r="ER398" s="212"/>
    </row>
    <row r="399" spans="1:148" s="923" customFormat="1" ht="12.75" hidden="1" customHeight="1" outlineLevel="1" x14ac:dyDescent="0.2">
      <c r="A399" s="870"/>
      <c r="B399" s="215"/>
      <c r="C399" s="215"/>
      <c r="D399" s="215"/>
      <c r="E399" s="215"/>
      <c r="F399" s="215"/>
      <c r="G399" s="215"/>
      <c r="H399" s="215"/>
      <c r="I399" s="215"/>
      <c r="J399" s="215"/>
      <c r="K399" s="215"/>
      <c r="L399" s="215"/>
      <c r="M399" s="215"/>
      <c r="N399" s="215"/>
      <c r="O399" s="215"/>
      <c r="P399" s="215"/>
      <c r="Q399" s="215"/>
      <c r="R399" s="215"/>
      <c r="S399" s="215"/>
      <c r="T399" s="215"/>
      <c r="U399" s="215"/>
      <c r="V399" s="215"/>
      <c r="W399" s="215"/>
      <c r="X399" s="215"/>
      <c r="Y399" s="215"/>
      <c r="Z399" s="215"/>
      <c r="AA399" s="215"/>
      <c r="AB399" s="215"/>
      <c r="AC399" s="215"/>
      <c r="AD399" s="215"/>
      <c r="AE399" s="215"/>
      <c r="AF399" s="215"/>
      <c r="AG399" s="215"/>
      <c r="AH399" s="215"/>
      <c r="AI399" s="215"/>
      <c r="AJ399" s="215"/>
      <c r="AK399" s="215"/>
      <c r="AL399" s="215"/>
      <c r="AM399" s="215"/>
      <c r="AN399" s="215"/>
      <c r="AO399" s="215"/>
      <c r="AP399" s="215"/>
      <c r="AQ399" s="215"/>
      <c r="AR399" s="215"/>
      <c r="AS399" s="215"/>
      <c r="AT399" s="215"/>
      <c r="AU399" s="215"/>
      <c r="AV399" s="215"/>
      <c r="AW399" s="215"/>
      <c r="AX399" s="215"/>
      <c r="AY399" s="215"/>
      <c r="AZ399" s="215"/>
      <c r="BA399" s="215"/>
      <c r="BB399" s="215"/>
      <c r="BC399" s="215"/>
      <c r="BD399" s="215"/>
      <c r="BE399" s="215"/>
      <c r="BF399" s="215"/>
      <c r="BG399" s="215"/>
      <c r="BH399" s="215"/>
      <c r="BI399" s="215"/>
      <c r="BJ399" s="215"/>
      <c r="BK399" s="215"/>
      <c r="BL399" s="215"/>
      <c r="BM399" s="215"/>
      <c r="BN399" s="215"/>
      <c r="BO399" s="215"/>
      <c r="BP399" s="215"/>
      <c r="BQ399" s="215"/>
      <c r="BR399" s="215"/>
      <c r="BS399" s="215"/>
      <c r="BT399" s="215"/>
      <c r="BU399" s="215"/>
      <c r="BV399" s="215"/>
      <c r="BW399" s="215"/>
      <c r="BX399" s="215"/>
      <c r="BY399" s="215"/>
      <c r="BZ399" s="215"/>
      <c r="CA399" s="215"/>
      <c r="CB399" s="215"/>
      <c r="CC399" s="215"/>
      <c r="CD399" s="215"/>
      <c r="CE399" s="215"/>
      <c r="CF399" s="215"/>
      <c r="CG399" s="215"/>
      <c r="CH399" s="215"/>
      <c r="CI399" s="215"/>
      <c r="CJ399" s="215"/>
      <c r="CK399" s="215"/>
      <c r="CL399" s="215"/>
      <c r="CM399" s="215"/>
      <c r="CN399" s="215"/>
      <c r="CO399" s="215"/>
      <c r="CP399" s="215"/>
      <c r="CQ399" s="215"/>
      <c r="CR399" s="215"/>
      <c r="CS399" s="215"/>
      <c r="CT399" s="215"/>
      <c r="CU399" s="215"/>
      <c r="CV399" s="215"/>
      <c r="CW399" s="215"/>
      <c r="CX399" s="215"/>
      <c r="CY399" s="215"/>
      <c r="CZ399" s="215"/>
      <c r="DA399" s="215"/>
      <c r="DB399"/>
      <c r="DC399"/>
      <c r="DD399" s="870"/>
      <c r="DE399" s="2327"/>
      <c r="DF399" s="2327"/>
      <c r="DG399" s="2327"/>
      <c r="DH399" s="2327"/>
      <c r="DI399" s="2327"/>
      <c r="DJ399" s="2327"/>
      <c r="DK399" s="2327"/>
      <c r="DL399" s="2327"/>
      <c r="DM399" s="2327"/>
      <c r="DN399" s="2327"/>
      <c r="DO399" s="2327"/>
      <c r="DP399" s="2327"/>
      <c r="DQ399" s="2327"/>
      <c r="DR399" s="2327"/>
      <c r="DS399" s="2327"/>
      <c r="DT399" s="2327"/>
      <c r="DU399" s="2327"/>
      <c r="DV399" s="2327"/>
      <c r="DW399" s="2327"/>
      <c r="DX399" s="2327"/>
      <c r="DY399" s="2327"/>
      <c r="EA399"/>
      <c r="EB399"/>
      <c r="EC399"/>
      <c r="ED399"/>
      <c r="EE399"/>
      <c r="EF399"/>
      <c r="EJ399"/>
      <c r="EK399"/>
      <c r="EL399"/>
      <c r="ER399" s="212"/>
    </row>
    <row r="400" spans="1:148" s="923" customFormat="1" ht="12.75" hidden="1" customHeight="1" outlineLevel="1" x14ac:dyDescent="0.2">
      <c r="A400" s="865"/>
      <c r="B400" s="215"/>
      <c r="C400" s="215"/>
      <c r="D400" s="215"/>
      <c r="E400" s="215"/>
      <c r="F400" s="215"/>
      <c r="G400" s="215"/>
      <c r="H400" s="215"/>
      <c r="I400" s="215"/>
      <c r="J400" s="215"/>
      <c r="K400" s="215"/>
      <c r="L400" s="215"/>
      <c r="M400" s="215"/>
      <c r="N400" s="215"/>
      <c r="O400" s="215"/>
      <c r="P400" s="215"/>
      <c r="Q400" s="215"/>
      <c r="R400" s="215"/>
      <c r="S400" s="215"/>
      <c r="T400" s="215"/>
      <c r="U400" s="215"/>
      <c r="V400" s="215"/>
      <c r="W400" s="215"/>
      <c r="X400" s="215"/>
      <c r="Y400" s="215"/>
      <c r="Z400" s="215"/>
      <c r="AA400" s="215"/>
      <c r="AB400" s="215"/>
      <c r="AC400" s="215"/>
      <c r="AD400" s="215"/>
      <c r="AE400" s="215"/>
      <c r="AF400" s="215"/>
      <c r="AG400" s="215"/>
      <c r="AH400" s="215"/>
      <c r="AI400" s="215"/>
      <c r="AJ400" s="215"/>
      <c r="AK400" s="215"/>
      <c r="AL400" s="215"/>
      <c r="AM400" s="215"/>
      <c r="AN400" s="215"/>
      <c r="AO400" s="215"/>
      <c r="AP400" s="215"/>
      <c r="AQ400" s="215"/>
      <c r="AR400" s="215"/>
      <c r="AS400" s="215"/>
      <c r="AT400" s="215"/>
      <c r="AU400" s="215"/>
      <c r="AV400" s="215"/>
      <c r="AW400" s="215"/>
      <c r="AX400" s="215"/>
      <c r="AY400" s="215"/>
      <c r="AZ400" s="215"/>
      <c r="BA400" s="215"/>
      <c r="BB400" s="215"/>
      <c r="BC400" s="215"/>
      <c r="BD400" s="215"/>
      <c r="BE400" s="215"/>
      <c r="BF400" s="215"/>
      <c r="BG400" s="215"/>
      <c r="BH400" s="215"/>
      <c r="BI400" s="215"/>
      <c r="BJ400" s="215"/>
      <c r="BK400" s="215"/>
      <c r="BL400" s="215"/>
      <c r="BM400" s="215"/>
      <c r="BN400" s="215"/>
      <c r="BO400" s="215"/>
      <c r="BP400" s="215"/>
      <c r="BQ400" s="215"/>
      <c r="BR400" s="215"/>
      <c r="BS400" s="215"/>
      <c r="BT400" s="215"/>
      <c r="BU400" s="215"/>
      <c r="BV400" s="215"/>
      <c r="BW400" s="215"/>
      <c r="BX400" s="215"/>
      <c r="BY400" s="215"/>
      <c r="BZ400" s="215"/>
      <c r="CA400" s="215"/>
      <c r="CB400" s="215"/>
      <c r="CC400" s="215"/>
      <c r="CD400" s="215"/>
      <c r="CE400" s="215"/>
      <c r="CF400" s="215"/>
      <c r="CG400" s="215"/>
      <c r="CH400" s="215"/>
      <c r="CI400" s="215"/>
      <c r="CJ400" s="215"/>
      <c r="CK400" s="215"/>
      <c r="CL400" s="215"/>
      <c r="CM400" s="215"/>
      <c r="CN400" s="215"/>
      <c r="CO400" s="215"/>
      <c r="CP400" s="215"/>
      <c r="CQ400" s="215"/>
      <c r="CR400" s="215"/>
      <c r="CS400" s="215"/>
      <c r="CT400" s="215"/>
      <c r="CU400" s="215"/>
      <c r="CV400" s="215"/>
      <c r="CW400" s="215"/>
      <c r="CX400" s="215"/>
      <c r="CY400" s="215"/>
      <c r="CZ400" s="215"/>
      <c r="DA400" s="215"/>
      <c r="DB400"/>
      <c r="DC400"/>
      <c r="DD400" s="2323"/>
      <c r="DE400" s="2327"/>
      <c r="DF400" s="2327"/>
      <c r="DG400" s="2327"/>
      <c r="DH400" s="2327"/>
      <c r="DI400" s="2327"/>
      <c r="DJ400" s="2327"/>
      <c r="DK400" s="2327"/>
      <c r="DL400" s="2327"/>
      <c r="DM400" s="2327"/>
      <c r="DN400" s="2327"/>
      <c r="DO400" s="2327"/>
      <c r="DP400" s="2327"/>
      <c r="DQ400" s="2327"/>
      <c r="DR400" s="2327"/>
      <c r="DS400" s="2327"/>
      <c r="DT400" s="2327"/>
      <c r="DU400" s="2327"/>
      <c r="DV400" s="2327"/>
      <c r="DW400" s="2327"/>
      <c r="DX400" s="2327"/>
      <c r="DY400" s="2327"/>
      <c r="EA400"/>
      <c r="EB400"/>
      <c r="EC400"/>
      <c r="ED400"/>
      <c r="EE400"/>
      <c r="EF400"/>
      <c r="EJ400"/>
      <c r="EK400"/>
      <c r="EL400"/>
      <c r="ER400" s="212"/>
    </row>
    <row r="401" spans="1:148" s="923" customFormat="1" ht="12.75" hidden="1" customHeight="1" outlineLevel="1" x14ac:dyDescent="0.2">
      <c r="A401" s="865"/>
      <c r="B401" s="215"/>
      <c r="C401" s="215"/>
      <c r="D401" s="215"/>
      <c r="E401" s="215"/>
      <c r="F401" s="215"/>
      <c r="G401" s="215"/>
      <c r="H401" s="215"/>
      <c r="I401" s="215"/>
      <c r="J401" s="215"/>
      <c r="K401" s="215"/>
      <c r="L401" s="215"/>
      <c r="M401" s="215"/>
      <c r="N401" s="215"/>
      <c r="O401" s="215"/>
      <c r="P401" s="215"/>
      <c r="Q401" s="215"/>
      <c r="R401" s="215"/>
      <c r="S401" s="215"/>
      <c r="T401" s="215"/>
      <c r="U401" s="215"/>
      <c r="V401" s="215"/>
      <c r="W401" s="215"/>
      <c r="X401" s="215"/>
      <c r="Y401" s="215"/>
      <c r="Z401" s="215"/>
      <c r="AA401" s="215"/>
      <c r="AB401" s="215"/>
      <c r="AC401" s="215"/>
      <c r="AD401" s="215"/>
      <c r="AE401" s="215"/>
      <c r="AF401" s="215"/>
      <c r="AG401" s="215"/>
      <c r="AH401" s="215"/>
      <c r="AI401" s="215"/>
      <c r="AJ401" s="215"/>
      <c r="AK401" s="215"/>
      <c r="AL401" s="215"/>
      <c r="AM401" s="215"/>
      <c r="AN401" s="215"/>
      <c r="AO401" s="215"/>
      <c r="AP401" s="215"/>
      <c r="AQ401" s="215"/>
      <c r="AR401" s="215"/>
      <c r="AS401" s="215"/>
      <c r="AT401" s="215"/>
      <c r="AU401" s="215"/>
      <c r="AV401" s="215"/>
      <c r="AW401" s="215"/>
      <c r="AX401" s="215"/>
      <c r="AY401" s="215"/>
      <c r="AZ401" s="215"/>
      <c r="BA401" s="215"/>
      <c r="BB401" s="215"/>
      <c r="BC401" s="215"/>
      <c r="BD401" s="215"/>
      <c r="BE401" s="215"/>
      <c r="BF401" s="215"/>
      <c r="BG401" s="215"/>
      <c r="BH401" s="215"/>
      <c r="BI401" s="215"/>
      <c r="BJ401" s="215"/>
      <c r="BK401" s="215"/>
      <c r="BL401" s="215"/>
      <c r="BM401" s="215"/>
      <c r="BN401" s="215"/>
      <c r="BO401" s="215"/>
      <c r="BP401" s="215"/>
      <c r="BQ401" s="215"/>
      <c r="BR401" s="215"/>
      <c r="BS401" s="215"/>
      <c r="BT401" s="215"/>
      <c r="BU401" s="215"/>
      <c r="BV401" s="215"/>
      <c r="BW401" s="215"/>
      <c r="BX401" s="215"/>
      <c r="BY401" s="215"/>
      <c r="BZ401" s="215"/>
      <c r="CA401" s="215"/>
      <c r="CB401" s="215"/>
      <c r="CC401" s="215"/>
      <c r="CD401" s="215"/>
      <c r="CE401" s="215"/>
      <c r="CF401" s="215"/>
      <c r="CG401" s="215"/>
      <c r="CH401" s="215"/>
      <c r="CI401" s="215"/>
      <c r="CJ401" s="215"/>
      <c r="CK401" s="215"/>
      <c r="CL401" s="215"/>
      <c r="CM401" s="215"/>
      <c r="CN401" s="215"/>
      <c r="CO401" s="215"/>
      <c r="CP401" s="215"/>
      <c r="CQ401" s="215"/>
      <c r="CR401" s="215"/>
      <c r="CS401" s="215"/>
      <c r="CT401" s="215"/>
      <c r="CU401" s="215"/>
      <c r="CV401" s="215"/>
      <c r="CW401" s="215"/>
      <c r="CX401" s="215"/>
      <c r="CY401" s="215"/>
      <c r="CZ401" s="215"/>
      <c r="DA401" s="215"/>
      <c r="DB401"/>
      <c r="DC401"/>
      <c r="DD401" s="2323"/>
      <c r="DE401" s="2327"/>
      <c r="DF401" s="2327"/>
      <c r="DG401" s="2327"/>
      <c r="DH401" s="2327"/>
      <c r="DI401" s="2327"/>
      <c r="DJ401" s="2327"/>
      <c r="DK401" s="2327"/>
      <c r="DL401" s="2327"/>
      <c r="DM401" s="2327"/>
      <c r="DN401" s="2327"/>
      <c r="DO401" s="2327"/>
      <c r="DP401" s="2327"/>
      <c r="DQ401" s="2327"/>
      <c r="DR401" s="2327"/>
      <c r="DS401" s="2327"/>
      <c r="DT401" s="2327"/>
      <c r="DU401" s="2327"/>
      <c r="DV401" s="2327"/>
      <c r="DW401" s="2327"/>
      <c r="DX401" s="2327"/>
      <c r="DY401" s="2327"/>
      <c r="EA401"/>
      <c r="EB401"/>
      <c r="EC401"/>
      <c r="ED401"/>
      <c r="EE401"/>
      <c r="EF401"/>
      <c r="EJ401"/>
      <c r="EK401"/>
      <c r="EL401"/>
      <c r="ER401" s="212"/>
    </row>
    <row r="402" spans="1:148" s="923" customFormat="1" ht="12.75" hidden="1" customHeight="1" outlineLevel="1" x14ac:dyDescent="0.2">
      <c r="A402" s="865"/>
      <c r="B402" s="215"/>
      <c r="C402" s="215"/>
      <c r="D402" s="215"/>
      <c r="E402" s="215"/>
      <c r="F402" s="215"/>
      <c r="G402" s="215"/>
      <c r="H402" s="215"/>
      <c r="I402" s="215"/>
      <c r="J402" s="215"/>
      <c r="K402" s="215"/>
      <c r="L402" s="215"/>
      <c r="M402" s="215"/>
      <c r="N402" s="215"/>
      <c r="O402" s="215"/>
      <c r="P402" s="215"/>
      <c r="Q402" s="215"/>
      <c r="R402" s="215"/>
      <c r="S402" s="215"/>
      <c r="T402" s="215"/>
      <c r="U402" s="215"/>
      <c r="V402" s="215"/>
      <c r="W402" s="215"/>
      <c r="X402" s="215"/>
      <c r="Y402" s="215"/>
      <c r="Z402" s="215"/>
      <c r="AA402" s="215"/>
      <c r="AB402" s="215"/>
      <c r="AC402" s="215"/>
      <c r="AD402" s="215"/>
      <c r="AE402" s="215"/>
      <c r="AF402" s="215"/>
      <c r="AG402" s="215"/>
      <c r="AH402" s="215"/>
      <c r="AI402" s="215"/>
      <c r="AJ402" s="215"/>
      <c r="AK402" s="215"/>
      <c r="AL402" s="215"/>
      <c r="AM402" s="215"/>
      <c r="AN402" s="215"/>
      <c r="AO402" s="215"/>
      <c r="AP402" s="215"/>
      <c r="AQ402" s="215"/>
      <c r="AR402" s="215"/>
      <c r="AS402" s="215"/>
      <c r="AT402" s="215"/>
      <c r="AU402" s="215"/>
      <c r="AV402" s="215"/>
      <c r="AW402" s="215"/>
      <c r="AX402" s="215"/>
      <c r="AY402" s="215"/>
      <c r="AZ402" s="215"/>
      <c r="BA402" s="215"/>
      <c r="BB402" s="215"/>
      <c r="BC402" s="215"/>
      <c r="BD402" s="215"/>
      <c r="BE402" s="215"/>
      <c r="BF402" s="215"/>
      <c r="BG402" s="215"/>
      <c r="BH402" s="215"/>
      <c r="BI402" s="215"/>
      <c r="BJ402" s="215"/>
      <c r="BK402" s="215"/>
      <c r="BL402" s="215"/>
      <c r="BM402" s="215"/>
      <c r="BN402" s="215"/>
      <c r="BO402" s="215"/>
      <c r="BP402" s="215"/>
      <c r="BQ402" s="215"/>
      <c r="BR402" s="215"/>
      <c r="BS402" s="215"/>
      <c r="BT402" s="215"/>
      <c r="BU402" s="215"/>
      <c r="BV402" s="215"/>
      <c r="BW402" s="215"/>
      <c r="BX402" s="215"/>
      <c r="BY402" s="215"/>
      <c r="BZ402" s="215"/>
      <c r="CA402" s="215"/>
      <c r="CB402" s="215"/>
      <c r="CC402" s="215"/>
      <c r="CD402" s="215"/>
      <c r="CE402" s="215"/>
      <c r="CF402" s="215"/>
      <c r="CG402" s="215"/>
      <c r="CH402" s="215"/>
      <c r="CI402" s="215"/>
      <c r="CJ402" s="215"/>
      <c r="CK402" s="215"/>
      <c r="CL402" s="215"/>
      <c r="CM402" s="215"/>
      <c r="CN402" s="215"/>
      <c r="CO402" s="215"/>
      <c r="CP402" s="215"/>
      <c r="CQ402" s="215"/>
      <c r="CR402" s="215"/>
      <c r="CS402" s="215"/>
      <c r="CT402" s="215"/>
      <c r="CU402" s="215"/>
      <c r="CV402" s="215"/>
      <c r="CW402" s="215"/>
      <c r="CX402" s="215"/>
      <c r="CY402" s="215"/>
      <c r="CZ402" s="215"/>
      <c r="DA402" s="215"/>
      <c r="DB402"/>
      <c r="DC402"/>
      <c r="DD402" s="2323"/>
      <c r="DE402" s="2327"/>
      <c r="DF402" s="2327"/>
      <c r="DG402" s="2327"/>
      <c r="DH402" s="2327"/>
      <c r="DI402" s="2327"/>
      <c r="DJ402" s="2327"/>
      <c r="DK402" s="2327"/>
      <c r="DL402" s="2327"/>
      <c r="DM402" s="2327"/>
      <c r="DN402" s="2327"/>
      <c r="DO402" s="2327"/>
      <c r="DP402" s="2327"/>
      <c r="DQ402" s="2327"/>
      <c r="DR402" s="2327"/>
      <c r="DS402" s="2327"/>
      <c r="DT402" s="2327"/>
      <c r="DU402" s="2327"/>
      <c r="DV402" s="2327"/>
      <c r="DW402" s="2327"/>
      <c r="DX402" s="2327"/>
      <c r="DY402" s="2327"/>
      <c r="EA402"/>
      <c r="EB402"/>
      <c r="EC402"/>
      <c r="ED402"/>
      <c r="EE402"/>
      <c r="EF402"/>
      <c r="EJ402"/>
      <c r="EK402"/>
      <c r="EL402"/>
      <c r="ER402" s="212"/>
    </row>
    <row r="403" spans="1:148" s="923" customFormat="1" ht="12.75" hidden="1" customHeight="1" outlineLevel="1" x14ac:dyDescent="0.2">
      <c r="A403" s="865"/>
      <c r="B403" s="215"/>
      <c r="C403" s="215"/>
      <c r="D403" s="215"/>
      <c r="E403" s="215"/>
      <c r="F403" s="215"/>
      <c r="G403" s="215"/>
      <c r="H403" s="215"/>
      <c r="I403" s="215"/>
      <c r="J403" s="215"/>
      <c r="K403" s="215"/>
      <c r="L403" s="215"/>
      <c r="M403" s="215"/>
      <c r="N403" s="215"/>
      <c r="O403" s="215"/>
      <c r="P403" s="215"/>
      <c r="Q403" s="215"/>
      <c r="R403" s="215"/>
      <c r="S403" s="215"/>
      <c r="T403" s="215"/>
      <c r="U403" s="215"/>
      <c r="V403" s="215"/>
      <c r="W403" s="215"/>
      <c r="X403" s="215"/>
      <c r="Y403" s="215"/>
      <c r="Z403" s="215"/>
      <c r="AA403" s="215"/>
      <c r="AB403" s="215"/>
      <c r="AC403" s="215"/>
      <c r="AD403" s="215"/>
      <c r="AE403" s="215"/>
      <c r="AF403" s="215"/>
      <c r="AG403" s="215"/>
      <c r="AH403" s="215"/>
      <c r="AI403" s="215"/>
      <c r="AJ403" s="215"/>
      <c r="AK403" s="215"/>
      <c r="AL403" s="215"/>
      <c r="AM403" s="215"/>
      <c r="AN403" s="215"/>
      <c r="AO403" s="215"/>
      <c r="AP403" s="215"/>
      <c r="AQ403" s="215"/>
      <c r="AR403" s="215"/>
      <c r="AS403" s="215"/>
      <c r="AT403" s="215"/>
      <c r="AU403" s="215"/>
      <c r="AV403" s="215"/>
      <c r="AW403" s="215"/>
      <c r="AX403" s="215"/>
      <c r="AY403" s="215"/>
      <c r="AZ403" s="215"/>
      <c r="BA403" s="215"/>
      <c r="BB403" s="215"/>
      <c r="BC403" s="215"/>
      <c r="BD403" s="215"/>
      <c r="BE403" s="215"/>
      <c r="BF403" s="215"/>
      <c r="BG403" s="215"/>
      <c r="BH403" s="215"/>
      <c r="BI403" s="215"/>
      <c r="BJ403" s="215"/>
      <c r="BK403" s="215"/>
      <c r="BL403" s="215"/>
      <c r="BM403" s="215"/>
      <c r="BN403" s="215"/>
      <c r="BO403" s="215"/>
      <c r="BP403" s="215"/>
      <c r="BQ403" s="215"/>
      <c r="BR403" s="215"/>
      <c r="BS403" s="215"/>
      <c r="BT403" s="215"/>
      <c r="BU403" s="215"/>
      <c r="BV403" s="215"/>
      <c r="BW403" s="215"/>
      <c r="BX403" s="215"/>
      <c r="BY403" s="215"/>
      <c r="BZ403" s="215"/>
      <c r="CA403" s="215"/>
      <c r="CB403" s="215"/>
      <c r="CC403" s="215"/>
      <c r="CD403" s="215"/>
      <c r="CE403" s="215"/>
      <c r="CF403" s="215"/>
      <c r="CG403" s="215"/>
      <c r="CH403" s="215"/>
      <c r="CI403" s="215"/>
      <c r="CJ403" s="215"/>
      <c r="CK403" s="215"/>
      <c r="CL403" s="215"/>
      <c r="CM403" s="215"/>
      <c r="CN403" s="215"/>
      <c r="CO403" s="215"/>
      <c r="CP403" s="215"/>
      <c r="CQ403" s="215"/>
      <c r="CR403" s="215"/>
      <c r="CS403" s="215"/>
      <c r="CT403" s="215"/>
      <c r="CU403" s="215"/>
      <c r="CV403" s="215"/>
      <c r="CW403" s="215"/>
      <c r="CX403" s="215"/>
      <c r="CY403" s="215"/>
      <c r="CZ403" s="215"/>
      <c r="DA403" s="215"/>
      <c r="DB403"/>
      <c r="DC403"/>
      <c r="DD403" s="2323"/>
      <c r="DE403" s="2327"/>
      <c r="DF403" s="2327"/>
      <c r="DG403" s="2327"/>
      <c r="DH403" s="2327"/>
      <c r="DI403" s="2327"/>
      <c r="DJ403" s="2327"/>
      <c r="DK403" s="2327"/>
      <c r="DL403" s="2327"/>
      <c r="DM403" s="2327"/>
      <c r="DN403" s="2327"/>
      <c r="DO403" s="2327"/>
      <c r="DP403" s="2327"/>
      <c r="DQ403" s="2327"/>
      <c r="DR403" s="2327"/>
      <c r="DS403" s="2327"/>
      <c r="DT403" s="2327"/>
      <c r="DU403" s="2327"/>
      <c r="DV403" s="2327"/>
      <c r="DW403" s="2327"/>
      <c r="DX403" s="2327"/>
      <c r="DY403" s="2327"/>
      <c r="EA403"/>
      <c r="EB403"/>
      <c r="EC403"/>
      <c r="ED403"/>
      <c r="EE403"/>
      <c r="EF403"/>
      <c r="EJ403"/>
      <c r="EK403"/>
      <c r="EL403"/>
      <c r="ER403" s="212"/>
    </row>
    <row r="404" spans="1:148" s="923" customFormat="1" ht="12.75" hidden="1" customHeight="1" outlineLevel="1" x14ac:dyDescent="0.2">
      <c r="A404" s="887"/>
      <c r="B404" s="2282"/>
      <c r="C404" s="2282"/>
      <c r="D404" s="2282"/>
      <c r="E404" s="2282"/>
      <c r="F404" s="2282"/>
      <c r="G404" s="2282"/>
      <c r="H404" s="2282"/>
      <c r="I404" s="2282">
        <f>I$3</f>
        <v>36609</v>
      </c>
      <c r="J404" s="2282">
        <f t="shared" ref="J404:BW404" si="843">J$3</f>
        <v>36693</v>
      </c>
      <c r="K404" s="2282">
        <f t="shared" si="843"/>
        <v>36777</v>
      </c>
      <c r="L404" s="2282">
        <f t="shared" si="843"/>
        <v>36889</v>
      </c>
      <c r="M404" s="2282">
        <f t="shared" si="843"/>
        <v>36889</v>
      </c>
      <c r="N404" s="2282">
        <f t="shared" si="843"/>
        <v>36973</v>
      </c>
      <c r="O404" s="2282">
        <f t="shared" si="843"/>
        <v>37057</v>
      </c>
      <c r="P404" s="2282">
        <f t="shared" si="843"/>
        <v>37141</v>
      </c>
      <c r="Q404" s="2282">
        <f t="shared" si="843"/>
        <v>37253</v>
      </c>
      <c r="R404" s="2282">
        <f t="shared" si="843"/>
        <v>37253</v>
      </c>
      <c r="S404" s="2282">
        <f t="shared" si="843"/>
        <v>37337</v>
      </c>
      <c r="T404" s="2282">
        <f t="shared" si="843"/>
        <v>37421</v>
      </c>
      <c r="U404" s="2282">
        <f t="shared" si="843"/>
        <v>37505</v>
      </c>
      <c r="V404" s="2282">
        <f t="shared" si="843"/>
        <v>37624</v>
      </c>
      <c r="W404" s="2282">
        <f t="shared" si="843"/>
        <v>37624</v>
      </c>
      <c r="X404" s="2282">
        <f t="shared" si="843"/>
        <v>37708</v>
      </c>
      <c r="Y404" s="2282">
        <f t="shared" si="843"/>
        <v>37792</v>
      </c>
      <c r="Z404" s="2282">
        <f t="shared" si="843"/>
        <v>37876</v>
      </c>
      <c r="AA404" s="2282">
        <f t="shared" si="843"/>
        <v>37988</v>
      </c>
      <c r="AB404" s="2282">
        <f t="shared" si="843"/>
        <v>37988</v>
      </c>
      <c r="AC404" s="2282">
        <f t="shared" si="843"/>
        <v>38072</v>
      </c>
      <c r="AD404" s="2282">
        <f t="shared" si="843"/>
        <v>38156</v>
      </c>
      <c r="AE404" s="2282">
        <f t="shared" si="843"/>
        <v>38240</v>
      </c>
      <c r="AF404" s="2282">
        <f t="shared" si="843"/>
        <v>38352</v>
      </c>
      <c r="AG404" s="2282">
        <f t="shared" si="843"/>
        <v>38352</v>
      </c>
      <c r="AH404" s="2282">
        <f t="shared" si="843"/>
        <v>38436</v>
      </c>
      <c r="AI404" s="2282">
        <f t="shared" si="843"/>
        <v>38520</v>
      </c>
      <c r="AJ404" s="2282">
        <f t="shared" si="843"/>
        <v>38604</v>
      </c>
      <c r="AK404" s="2282">
        <f t="shared" si="843"/>
        <v>38716</v>
      </c>
      <c r="AL404" s="2282">
        <f t="shared" si="843"/>
        <v>38716</v>
      </c>
      <c r="AM404" s="2282">
        <f t="shared" si="843"/>
        <v>38800</v>
      </c>
      <c r="AN404" s="2282">
        <f t="shared" si="843"/>
        <v>38884</v>
      </c>
      <c r="AO404" s="2282">
        <f t="shared" si="843"/>
        <v>38968</v>
      </c>
      <c r="AP404" s="2282">
        <f t="shared" si="843"/>
        <v>39081</v>
      </c>
      <c r="AQ404" s="2282">
        <f t="shared" si="843"/>
        <v>39081</v>
      </c>
      <c r="AR404" s="2282">
        <f t="shared" si="843"/>
        <v>39165</v>
      </c>
      <c r="AS404" s="2282">
        <f t="shared" si="843"/>
        <v>39249</v>
      </c>
      <c r="AT404" s="2282">
        <f t="shared" si="843"/>
        <v>39333</v>
      </c>
      <c r="AU404" s="2282">
        <f t="shared" si="843"/>
        <v>39446</v>
      </c>
      <c r="AV404" s="2282">
        <f t="shared" si="843"/>
        <v>39446</v>
      </c>
      <c r="AW404" s="2282">
        <f t="shared" si="843"/>
        <v>39530</v>
      </c>
      <c r="AX404" s="2282">
        <f t="shared" si="843"/>
        <v>39614</v>
      </c>
      <c r="AY404" s="2282">
        <f t="shared" si="843"/>
        <v>39698</v>
      </c>
      <c r="AZ404" s="2282">
        <f t="shared" si="843"/>
        <v>39815</v>
      </c>
      <c r="BA404" s="2282">
        <f t="shared" si="843"/>
        <v>39815</v>
      </c>
      <c r="BB404" s="2282">
        <f t="shared" si="843"/>
        <v>39899</v>
      </c>
      <c r="BC404" s="2282">
        <f t="shared" si="843"/>
        <v>39983</v>
      </c>
      <c r="BD404" s="2282">
        <f t="shared" si="843"/>
        <v>40067</v>
      </c>
      <c r="BE404" s="2282">
        <f t="shared" si="843"/>
        <v>40179</v>
      </c>
      <c r="BF404" s="2282">
        <f t="shared" si="843"/>
        <v>40179</v>
      </c>
      <c r="BG404" s="2282">
        <f t="shared" si="843"/>
        <v>40263</v>
      </c>
      <c r="BH404" s="2282">
        <f t="shared" si="843"/>
        <v>40347</v>
      </c>
      <c r="BI404" s="2282">
        <f t="shared" si="843"/>
        <v>40431</v>
      </c>
      <c r="BJ404" s="2282">
        <f t="shared" si="843"/>
        <v>40543</v>
      </c>
      <c r="BK404" s="2282">
        <f t="shared" si="843"/>
        <v>40543</v>
      </c>
      <c r="BL404" s="2282">
        <f t="shared" si="843"/>
        <v>40627</v>
      </c>
      <c r="BM404" s="2282">
        <f t="shared" si="843"/>
        <v>40711</v>
      </c>
      <c r="BN404" s="2282">
        <f t="shared" si="843"/>
        <v>40795</v>
      </c>
      <c r="BO404" s="2282">
        <f t="shared" si="843"/>
        <v>40907</v>
      </c>
      <c r="BP404" s="2282">
        <f t="shared" si="843"/>
        <v>40907</v>
      </c>
      <c r="BQ404" s="2282">
        <f t="shared" si="843"/>
        <v>40991</v>
      </c>
      <c r="BR404" s="2282">
        <f t="shared" si="843"/>
        <v>41075</v>
      </c>
      <c r="BS404" s="2282">
        <f t="shared" si="843"/>
        <v>41159</v>
      </c>
      <c r="BT404" s="2282">
        <f t="shared" si="843"/>
        <v>41271</v>
      </c>
      <c r="BU404" s="2282">
        <f t="shared" si="843"/>
        <v>41271</v>
      </c>
      <c r="BV404" s="2282">
        <f t="shared" si="843"/>
        <v>41364</v>
      </c>
      <c r="BW404" s="2282">
        <f t="shared" si="843"/>
        <v>41455</v>
      </c>
      <c r="BX404" s="2282">
        <f t="shared" ref="BX404:DA404" si="844">BX$3</f>
        <v>41547</v>
      </c>
      <c r="BY404" s="2282">
        <f t="shared" si="844"/>
        <v>41639</v>
      </c>
      <c r="BZ404" s="2282">
        <f t="shared" si="844"/>
        <v>41639</v>
      </c>
      <c r="CA404" s="2282">
        <f t="shared" si="844"/>
        <v>41729</v>
      </c>
      <c r="CB404" s="2282">
        <f t="shared" si="844"/>
        <v>41820</v>
      </c>
      <c r="CC404" s="2282">
        <f t="shared" si="844"/>
        <v>41912</v>
      </c>
      <c r="CD404" s="2282">
        <f t="shared" si="844"/>
        <v>42004</v>
      </c>
      <c r="CE404" s="2282">
        <f t="shared" si="844"/>
        <v>42004</v>
      </c>
      <c r="CF404" s="2282">
        <f t="shared" si="844"/>
        <v>42094</v>
      </c>
      <c r="CG404" s="2282">
        <f t="shared" si="844"/>
        <v>42185</v>
      </c>
      <c r="CH404" s="2282">
        <f t="shared" si="844"/>
        <v>42277</v>
      </c>
      <c r="CI404" s="2282">
        <f t="shared" si="844"/>
        <v>42369</v>
      </c>
      <c r="CJ404" s="2282">
        <f t="shared" si="844"/>
        <v>42369</v>
      </c>
      <c r="CK404" s="2282">
        <f t="shared" si="844"/>
        <v>42460</v>
      </c>
      <c r="CL404" s="2282">
        <f t="shared" si="844"/>
        <v>42551</v>
      </c>
      <c r="CM404" s="2282">
        <f t="shared" si="844"/>
        <v>42643</v>
      </c>
      <c r="CN404" s="2282">
        <f t="shared" si="844"/>
        <v>42735</v>
      </c>
      <c r="CO404" s="2282">
        <f t="shared" si="844"/>
        <v>42735</v>
      </c>
      <c r="CP404" s="2282">
        <f t="shared" si="844"/>
        <v>42825</v>
      </c>
      <c r="CQ404" s="2282">
        <f t="shared" si="844"/>
        <v>42916</v>
      </c>
      <c r="CR404" s="2282">
        <f t="shared" si="844"/>
        <v>43008</v>
      </c>
      <c r="CS404" s="2282">
        <f t="shared" si="844"/>
        <v>43100</v>
      </c>
      <c r="CT404" s="2282">
        <f t="shared" si="844"/>
        <v>43100</v>
      </c>
      <c r="CU404" s="2282">
        <f t="shared" si="844"/>
        <v>43190</v>
      </c>
      <c r="CV404" s="2282">
        <f t="shared" si="844"/>
        <v>43281</v>
      </c>
      <c r="CW404" s="2282">
        <f t="shared" si="844"/>
        <v>43373</v>
      </c>
      <c r="CX404" s="2282">
        <f t="shared" si="844"/>
        <v>43465</v>
      </c>
      <c r="CY404" s="2282">
        <f t="shared" si="844"/>
        <v>43465</v>
      </c>
      <c r="CZ404" s="2282">
        <f t="shared" si="844"/>
        <v>43830</v>
      </c>
      <c r="DA404" s="2282">
        <f t="shared" si="844"/>
        <v>44196</v>
      </c>
      <c r="DB404"/>
      <c r="DC404"/>
      <c r="DD404" s="2347"/>
      <c r="DE404" s="2348">
        <f>M404</f>
        <v>36889</v>
      </c>
      <c r="DF404" s="2348">
        <f>R404</f>
        <v>37253</v>
      </c>
      <c r="DG404" s="2348">
        <f>W404</f>
        <v>37624</v>
      </c>
      <c r="DH404" s="2348">
        <f>AB404</f>
        <v>37988</v>
      </c>
      <c r="DI404" s="2348">
        <f>AG404</f>
        <v>38352</v>
      </c>
      <c r="DJ404" s="2348">
        <f>AL404</f>
        <v>38716</v>
      </c>
      <c r="DK404" s="2348">
        <f>AQ404</f>
        <v>39081</v>
      </c>
      <c r="DL404" s="2348">
        <f>AV404</f>
        <v>39446</v>
      </c>
      <c r="DM404" s="2348">
        <f>BA404</f>
        <v>39815</v>
      </c>
      <c r="DN404" s="2348">
        <f>BF404</f>
        <v>40179</v>
      </c>
      <c r="DO404" s="2348">
        <f>BK404</f>
        <v>40543</v>
      </c>
      <c r="DP404" s="2348">
        <f>BP404</f>
        <v>40907</v>
      </c>
      <c r="DQ404" s="2348">
        <f>BU404</f>
        <v>41271</v>
      </c>
      <c r="DR404" s="2348">
        <f>BZ404</f>
        <v>41639</v>
      </c>
      <c r="DS404" s="2348">
        <f>CE404</f>
        <v>42004</v>
      </c>
      <c r="DT404" s="2348">
        <f>CJ404</f>
        <v>42369</v>
      </c>
      <c r="DU404" s="2348">
        <f>CO404</f>
        <v>42735</v>
      </c>
      <c r="DV404" s="2348">
        <f>CT404</f>
        <v>43100</v>
      </c>
      <c r="DW404" s="2348">
        <f t="shared" ref="DW404:DY407" si="845">CY404</f>
        <v>43465</v>
      </c>
      <c r="DX404" s="2348">
        <f t="shared" si="845"/>
        <v>43830</v>
      </c>
      <c r="DY404" s="2348">
        <f t="shared" si="845"/>
        <v>44196</v>
      </c>
      <c r="DZ404" s="2283"/>
      <c r="EA404"/>
      <c r="EB404"/>
      <c r="EC404"/>
      <c r="ED404"/>
      <c r="EE404"/>
      <c r="EF404"/>
      <c r="EJ404"/>
      <c r="EK404"/>
      <c r="EL404"/>
      <c r="ER404" s="212"/>
    </row>
    <row r="405" spans="1:148" s="923" customFormat="1" ht="12.75" hidden="1" customHeight="1" outlineLevel="1" x14ac:dyDescent="0.2">
      <c r="A405" s="880" t="s">
        <v>1371</v>
      </c>
      <c r="B405" s="936"/>
      <c r="C405" s="936"/>
      <c r="D405" s="936"/>
      <c r="E405" s="936"/>
      <c r="F405" s="936"/>
      <c r="G405" s="936"/>
      <c r="H405" s="936"/>
      <c r="I405" s="936" t="str">
        <f t="shared" ref="I405:AN405" si="846">I$5</f>
        <v>1Q00</v>
      </c>
      <c r="J405" s="936" t="str">
        <f t="shared" si="846"/>
        <v>2Q00</v>
      </c>
      <c r="K405" s="936" t="str">
        <f t="shared" si="846"/>
        <v>3Q00</v>
      </c>
      <c r="L405" s="936" t="str">
        <f t="shared" si="846"/>
        <v>4Q00</v>
      </c>
      <c r="M405" s="939">
        <f t="shared" si="846"/>
        <v>2000</v>
      </c>
      <c r="N405" s="936" t="str">
        <f t="shared" si="846"/>
        <v>1Q01</v>
      </c>
      <c r="O405" s="936" t="str">
        <f t="shared" si="846"/>
        <v>2Q01</v>
      </c>
      <c r="P405" s="936" t="str">
        <f t="shared" si="846"/>
        <v>3Q01</v>
      </c>
      <c r="Q405" s="936" t="str">
        <f t="shared" si="846"/>
        <v>4Q01</v>
      </c>
      <c r="R405" s="939">
        <f t="shared" si="846"/>
        <v>2001</v>
      </c>
      <c r="S405" s="936" t="str">
        <f t="shared" si="846"/>
        <v>1Q02</v>
      </c>
      <c r="T405" s="936" t="str">
        <f t="shared" si="846"/>
        <v>2Q02</v>
      </c>
      <c r="U405" s="936" t="str">
        <f t="shared" si="846"/>
        <v>3Q02</v>
      </c>
      <c r="V405" s="936" t="str">
        <f t="shared" si="846"/>
        <v>4Q02</v>
      </c>
      <c r="W405" s="939">
        <f t="shared" si="846"/>
        <v>2002</v>
      </c>
      <c r="X405" s="936" t="str">
        <f t="shared" si="846"/>
        <v>1Q03</v>
      </c>
      <c r="Y405" s="936" t="str">
        <f t="shared" si="846"/>
        <v>2Q03</v>
      </c>
      <c r="Z405" s="936" t="str">
        <f t="shared" si="846"/>
        <v>3Q03</v>
      </c>
      <c r="AA405" s="936" t="str">
        <f t="shared" si="846"/>
        <v>4Q03</v>
      </c>
      <c r="AB405" s="939">
        <f t="shared" si="846"/>
        <v>2003</v>
      </c>
      <c r="AC405" s="936" t="str">
        <f t="shared" si="846"/>
        <v>1Q04</v>
      </c>
      <c r="AD405" s="936" t="str">
        <f t="shared" si="846"/>
        <v>2Q04</v>
      </c>
      <c r="AE405" s="936" t="str">
        <f t="shared" si="846"/>
        <v>3Q04</v>
      </c>
      <c r="AF405" s="936" t="str">
        <f t="shared" si="846"/>
        <v>4Q04</v>
      </c>
      <c r="AG405" s="939" t="str">
        <f t="shared" si="846"/>
        <v>2004</v>
      </c>
      <c r="AH405" s="936" t="str">
        <f t="shared" si="846"/>
        <v>1Q05</v>
      </c>
      <c r="AI405" s="936" t="str">
        <f t="shared" si="846"/>
        <v>2Q05</v>
      </c>
      <c r="AJ405" s="936" t="str">
        <f t="shared" si="846"/>
        <v>3Q05</v>
      </c>
      <c r="AK405" s="936" t="str">
        <f t="shared" si="846"/>
        <v>4Q05</v>
      </c>
      <c r="AL405" s="939" t="str">
        <f t="shared" si="846"/>
        <v>2005</v>
      </c>
      <c r="AM405" s="936" t="str">
        <f t="shared" si="846"/>
        <v>1Q06</v>
      </c>
      <c r="AN405" s="936" t="str">
        <f t="shared" si="846"/>
        <v>2Q06</v>
      </c>
      <c r="AO405" s="936" t="str">
        <f t="shared" ref="AO405:BT405" si="847">AO$5</f>
        <v>3Q06</v>
      </c>
      <c r="AP405" s="936" t="str">
        <f t="shared" si="847"/>
        <v>4Q06</v>
      </c>
      <c r="AQ405" s="939" t="str">
        <f t="shared" si="847"/>
        <v>2006</v>
      </c>
      <c r="AR405" s="936" t="str">
        <f t="shared" si="847"/>
        <v>1Q07</v>
      </c>
      <c r="AS405" s="936" t="str">
        <f t="shared" si="847"/>
        <v>2Q07</v>
      </c>
      <c r="AT405" s="936" t="str">
        <f t="shared" si="847"/>
        <v>3Q07</v>
      </c>
      <c r="AU405" s="936" t="str">
        <f t="shared" si="847"/>
        <v>4Q07</v>
      </c>
      <c r="AV405" s="939" t="str">
        <f t="shared" si="847"/>
        <v>2007</v>
      </c>
      <c r="AW405" s="936" t="str">
        <f t="shared" si="847"/>
        <v>1Q08</v>
      </c>
      <c r="AX405" s="936" t="str">
        <f t="shared" si="847"/>
        <v>2Q08</v>
      </c>
      <c r="AY405" s="936" t="str">
        <f t="shared" si="847"/>
        <v>3Q08</v>
      </c>
      <c r="AZ405" s="936" t="str">
        <f t="shared" si="847"/>
        <v>4Q08</v>
      </c>
      <c r="BA405" s="939" t="str">
        <f t="shared" si="847"/>
        <v>2008</v>
      </c>
      <c r="BB405" s="936" t="str">
        <f t="shared" si="847"/>
        <v>1Q09</v>
      </c>
      <c r="BC405" s="936" t="str">
        <f t="shared" si="847"/>
        <v>2Q09</v>
      </c>
      <c r="BD405" s="936" t="str">
        <f t="shared" si="847"/>
        <v>3Q09</v>
      </c>
      <c r="BE405" s="936" t="str">
        <f t="shared" si="847"/>
        <v>4Q09</v>
      </c>
      <c r="BF405" s="939" t="str">
        <f t="shared" si="847"/>
        <v>2009</v>
      </c>
      <c r="BG405" s="936" t="str">
        <f t="shared" si="847"/>
        <v>1Q10</v>
      </c>
      <c r="BH405" s="936" t="str">
        <f t="shared" si="847"/>
        <v>2Q10</v>
      </c>
      <c r="BI405" s="936" t="str">
        <f t="shared" si="847"/>
        <v>3Q10</v>
      </c>
      <c r="BJ405" s="936" t="str">
        <f t="shared" si="847"/>
        <v>4Q10</v>
      </c>
      <c r="BK405" s="939" t="str">
        <f t="shared" si="847"/>
        <v>2010</v>
      </c>
      <c r="BL405" s="936" t="str">
        <f t="shared" si="847"/>
        <v>1Q11</v>
      </c>
      <c r="BM405" s="936" t="str">
        <f t="shared" si="847"/>
        <v>2Q11</v>
      </c>
      <c r="BN405" s="936" t="str">
        <f t="shared" si="847"/>
        <v>3Q11</v>
      </c>
      <c r="BO405" s="936" t="str">
        <f t="shared" si="847"/>
        <v>4Q11</v>
      </c>
      <c r="BP405" s="939">
        <f t="shared" si="847"/>
        <v>2011</v>
      </c>
      <c r="BQ405" s="936" t="str">
        <f t="shared" si="847"/>
        <v>1Q12</v>
      </c>
      <c r="BR405" s="936" t="str">
        <f t="shared" si="847"/>
        <v>2Q12</v>
      </c>
      <c r="BS405" s="936" t="str">
        <f t="shared" si="847"/>
        <v>3Q12</v>
      </c>
      <c r="BT405" s="936" t="str">
        <f t="shared" si="847"/>
        <v>4Q12</v>
      </c>
      <c r="BU405" s="939">
        <f t="shared" ref="BU405:DA405" si="848">BU$5</f>
        <v>2012</v>
      </c>
      <c r="BV405" s="936" t="str">
        <f t="shared" si="848"/>
        <v>1Q13</v>
      </c>
      <c r="BW405" s="936" t="str">
        <f t="shared" si="848"/>
        <v>2Q13</v>
      </c>
      <c r="BX405" s="936" t="str">
        <f t="shared" si="848"/>
        <v>3Q13</v>
      </c>
      <c r="BY405" s="936" t="str">
        <f t="shared" si="848"/>
        <v>4Q13</v>
      </c>
      <c r="BZ405" s="2409">
        <f t="shared" si="848"/>
        <v>2013</v>
      </c>
      <c r="CA405" s="939" t="str">
        <f t="shared" si="848"/>
        <v>1Q14</v>
      </c>
      <c r="CB405" s="939" t="str">
        <f t="shared" si="848"/>
        <v>2Q14</v>
      </c>
      <c r="CC405" s="939" t="str">
        <f t="shared" si="848"/>
        <v>3Q14</v>
      </c>
      <c r="CD405" s="939" t="str">
        <f t="shared" si="848"/>
        <v>4Q14</v>
      </c>
      <c r="CE405" s="939">
        <f t="shared" si="848"/>
        <v>2014</v>
      </c>
      <c r="CF405" s="939" t="str">
        <f t="shared" si="848"/>
        <v>1Q15</v>
      </c>
      <c r="CG405" s="939" t="str">
        <f t="shared" si="848"/>
        <v>2Q15</v>
      </c>
      <c r="CH405" s="939" t="str">
        <f t="shared" si="848"/>
        <v>3Q15</v>
      </c>
      <c r="CI405" s="939" t="str">
        <f t="shared" si="848"/>
        <v>4Q15</v>
      </c>
      <c r="CJ405" s="939">
        <f t="shared" si="848"/>
        <v>2015</v>
      </c>
      <c r="CK405" s="939" t="str">
        <f t="shared" si="848"/>
        <v>1Q16</v>
      </c>
      <c r="CL405" s="939" t="str">
        <f t="shared" si="848"/>
        <v>2Q16</v>
      </c>
      <c r="CM405" s="939" t="str">
        <f t="shared" si="848"/>
        <v>3Q16</v>
      </c>
      <c r="CN405" s="939" t="str">
        <f t="shared" si="848"/>
        <v>4Q16</v>
      </c>
      <c r="CO405" s="939">
        <f t="shared" si="848"/>
        <v>2016</v>
      </c>
      <c r="CP405" s="939" t="str">
        <f t="shared" si="848"/>
        <v>1Q17</v>
      </c>
      <c r="CQ405" s="939" t="str">
        <f t="shared" si="848"/>
        <v>2Q17</v>
      </c>
      <c r="CR405" s="939" t="str">
        <f t="shared" si="848"/>
        <v>3Q17</v>
      </c>
      <c r="CS405" s="939" t="str">
        <f t="shared" si="848"/>
        <v>4Q17A</v>
      </c>
      <c r="CT405" s="939" t="str">
        <f t="shared" si="848"/>
        <v>2017A</v>
      </c>
      <c r="CU405" s="939" t="str">
        <f t="shared" si="848"/>
        <v>1Q18E</v>
      </c>
      <c r="CV405" s="939" t="str">
        <f t="shared" si="848"/>
        <v>2Q18E</v>
      </c>
      <c r="CW405" s="939" t="str">
        <f t="shared" si="848"/>
        <v>3Q18E</v>
      </c>
      <c r="CX405" s="939" t="str">
        <f t="shared" si="848"/>
        <v>4Q18E</v>
      </c>
      <c r="CY405" s="939" t="str">
        <f t="shared" si="848"/>
        <v>2018E</v>
      </c>
      <c r="CZ405" s="939" t="str">
        <f t="shared" si="848"/>
        <v>2019E</v>
      </c>
      <c r="DA405" s="939" t="str">
        <f t="shared" si="848"/>
        <v>2020E</v>
      </c>
      <c r="DB405"/>
      <c r="DC405"/>
      <c r="DD405" s="880" t="s">
        <v>1371</v>
      </c>
      <c r="DE405" s="936">
        <f>M405</f>
        <v>2000</v>
      </c>
      <c r="DF405" s="936">
        <f>R405</f>
        <v>2001</v>
      </c>
      <c r="DG405" s="936">
        <f>W405</f>
        <v>2002</v>
      </c>
      <c r="DH405" s="936">
        <f>AB405</f>
        <v>2003</v>
      </c>
      <c r="DI405" s="936" t="str">
        <f>AG405</f>
        <v>2004</v>
      </c>
      <c r="DJ405" s="936" t="str">
        <f>AL405</f>
        <v>2005</v>
      </c>
      <c r="DK405" s="936" t="str">
        <f>AQ405</f>
        <v>2006</v>
      </c>
      <c r="DL405" s="936" t="str">
        <f>AV405</f>
        <v>2007</v>
      </c>
      <c r="DM405" s="936" t="str">
        <f>BA405</f>
        <v>2008</v>
      </c>
      <c r="DN405" s="936" t="str">
        <f>BF405</f>
        <v>2009</v>
      </c>
      <c r="DO405" s="936" t="str">
        <f>BK405</f>
        <v>2010</v>
      </c>
      <c r="DP405" s="936">
        <f>BP405</f>
        <v>2011</v>
      </c>
      <c r="DQ405" s="936">
        <f>BU405</f>
        <v>2012</v>
      </c>
      <c r="DR405" s="936">
        <f>BZ405</f>
        <v>2013</v>
      </c>
      <c r="DS405" s="936">
        <f>CE405</f>
        <v>2014</v>
      </c>
      <c r="DT405" s="936">
        <f>CJ405</f>
        <v>2015</v>
      </c>
      <c r="DU405" s="936">
        <f>CO405</f>
        <v>2016</v>
      </c>
      <c r="DV405" s="936" t="str">
        <f>CT405</f>
        <v>2017A</v>
      </c>
      <c r="DW405" s="936" t="str">
        <f t="shared" si="845"/>
        <v>2018E</v>
      </c>
      <c r="DX405" s="936" t="str">
        <f t="shared" si="845"/>
        <v>2019E</v>
      </c>
      <c r="DY405" s="936" t="str">
        <f t="shared" si="845"/>
        <v>2020E</v>
      </c>
      <c r="EA405"/>
      <c r="EB405"/>
      <c r="EC405"/>
      <c r="ED405"/>
      <c r="EE405"/>
      <c r="EF405"/>
      <c r="EJ405"/>
      <c r="EK405"/>
      <c r="EL405"/>
      <c r="ER405" s="212"/>
    </row>
    <row r="406" spans="1:148" s="923" customFormat="1" ht="12.75" hidden="1" customHeight="1" outlineLevel="1" x14ac:dyDescent="0.2">
      <c r="A406" s="865" t="s">
        <v>1330</v>
      </c>
      <c r="B406" s="215"/>
      <c r="C406" s="215"/>
      <c r="D406" s="215"/>
      <c r="E406" s="215"/>
      <c r="F406" s="215"/>
      <c r="G406" s="215"/>
      <c r="H406" s="215"/>
      <c r="I406" s="215"/>
      <c r="J406" s="215"/>
      <c r="K406" s="215"/>
      <c r="L406" s="215"/>
      <c r="M406" s="215">
        <v>47</v>
      </c>
      <c r="N406" s="215">
        <v>47</v>
      </c>
      <c r="O406" s="215">
        <v>49</v>
      </c>
      <c r="P406" s="215">
        <v>53</v>
      </c>
      <c r="Q406" s="215">
        <v>54</v>
      </c>
      <c r="R406" s="215">
        <f>Q406</f>
        <v>54</v>
      </c>
      <c r="S406" s="215">
        <v>51</v>
      </c>
      <c r="T406" s="215">
        <f>45+2+4+1</f>
        <v>52</v>
      </c>
      <c r="U406" s="215">
        <v>53</v>
      </c>
      <c r="V406" s="215">
        <f>45+2+4+2</f>
        <v>53</v>
      </c>
      <c r="W406" s="215">
        <f>V406</f>
        <v>53</v>
      </c>
      <c r="X406" s="215">
        <v>52</v>
      </c>
      <c r="Y406" s="215">
        <v>52</v>
      </c>
      <c r="Z406" s="215">
        <f>43+2+4+2</f>
        <v>51</v>
      </c>
      <c r="AA406" s="215">
        <v>49</v>
      </c>
      <c r="AB406" s="215">
        <f>AA406</f>
        <v>49</v>
      </c>
      <c r="AC406" s="215">
        <v>49</v>
      </c>
      <c r="AD406" s="215">
        <v>51</v>
      </c>
      <c r="AE406" s="215">
        <v>51</v>
      </c>
      <c r="AF406" s="215">
        <v>51</v>
      </c>
      <c r="AG406" s="215">
        <f>+AF406</f>
        <v>51</v>
      </c>
      <c r="AH406" s="215">
        <v>52</v>
      </c>
      <c r="AI406" s="215">
        <v>52</v>
      </c>
      <c r="AJ406" s="215">
        <v>52</v>
      </c>
      <c r="AK406" s="215">
        <v>52</v>
      </c>
      <c r="AL406" s="215">
        <f>+AK406</f>
        <v>52</v>
      </c>
      <c r="AM406" s="215">
        <v>52</v>
      </c>
      <c r="AN406" s="215">
        <v>56</v>
      </c>
      <c r="AO406" s="215">
        <v>57</v>
      </c>
      <c r="AP406" s="215">
        <v>57</v>
      </c>
      <c r="AQ406" s="215">
        <f>+AP406</f>
        <v>57</v>
      </c>
      <c r="AR406" s="215">
        <v>58</v>
      </c>
      <c r="AS406" s="215">
        <v>59</v>
      </c>
      <c r="AT406" s="215">
        <v>61</v>
      </c>
      <c r="AU406" s="215">
        <v>61</v>
      </c>
      <c r="AV406" s="215">
        <f>+AU406</f>
        <v>61</v>
      </c>
      <c r="AW406" s="215">
        <v>62</v>
      </c>
      <c r="AX406" s="215">
        <v>63</v>
      </c>
      <c r="AY406" s="215">
        <v>66</v>
      </c>
      <c r="AZ406" s="215">
        <v>67</v>
      </c>
      <c r="BA406" s="215">
        <f>+AZ406</f>
        <v>67</v>
      </c>
      <c r="BB406" s="215">
        <v>68</v>
      </c>
      <c r="BC406" s="215">
        <v>69</v>
      </c>
      <c r="BD406" s="215">
        <v>70</v>
      </c>
      <c r="BE406" s="215">
        <f>54+15</f>
        <v>69</v>
      </c>
      <c r="BF406" s="215">
        <f>+BE406</f>
        <v>69</v>
      </c>
      <c r="BG406" s="215">
        <v>70</v>
      </c>
      <c r="BH406" s="215">
        <v>70</v>
      </c>
      <c r="BI406" s="215">
        <v>70</v>
      </c>
      <c r="BJ406" s="215">
        <v>71</v>
      </c>
      <c r="BK406" s="215">
        <f>+BJ406</f>
        <v>71</v>
      </c>
      <c r="BL406" s="215">
        <v>71</v>
      </c>
      <c r="BM406" s="215">
        <v>71</v>
      </c>
      <c r="BN406" s="215">
        <v>71</v>
      </c>
      <c r="BO406" s="215">
        <f>+BN406</f>
        <v>71</v>
      </c>
      <c r="BP406" s="215">
        <f>+BO406</f>
        <v>71</v>
      </c>
      <c r="BQ406" s="215">
        <v>0</v>
      </c>
      <c r="BR406" s="215">
        <f>+BQ406</f>
        <v>0</v>
      </c>
      <c r="BS406" s="215">
        <f>+BR406</f>
        <v>0</v>
      </c>
      <c r="BT406" s="215">
        <f>+BS406</f>
        <v>0</v>
      </c>
      <c r="BU406" s="215">
        <f>+BT406</f>
        <v>0</v>
      </c>
      <c r="BV406" s="215"/>
      <c r="BW406" s="215"/>
      <c r="BX406" s="215"/>
      <c r="BY406" s="215"/>
      <c r="BZ406" s="215"/>
      <c r="CA406" s="215"/>
      <c r="CB406" s="215"/>
      <c r="CC406" s="215"/>
      <c r="CD406" s="215"/>
      <c r="CE406" s="215"/>
      <c r="CF406" s="215"/>
      <c r="CG406" s="215"/>
      <c r="CH406" s="215"/>
      <c r="CI406" s="215"/>
      <c r="CJ406" s="215"/>
      <c r="CK406" s="215"/>
      <c r="CL406" s="215"/>
      <c r="CM406" s="215"/>
      <c r="CN406" s="215"/>
      <c r="CO406" s="215"/>
      <c r="CP406" s="215"/>
      <c r="CQ406" s="215"/>
      <c r="CR406" s="215"/>
      <c r="CS406" s="215"/>
      <c r="CT406" s="215"/>
      <c r="CU406" s="215"/>
      <c r="CV406" s="215"/>
      <c r="CW406" s="215"/>
      <c r="CX406" s="215"/>
      <c r="CY406" s="215"/>
      <c r="CZ406" s="215"/>
      <c r="DA406" s="215"/>
      <c r="DB406"/>
      <c r="DC406"/>
      <c r="DD406" s="2323" t="s">
        <v>1330</v>
      </c>
      <c r="DE406" s="2327">
        <f>M406</f>
        <v>47</v>
      </c>
      <c r="DF406" s="2327">
        <f>R406</f>
        <v>54</v>
      </c>
      <c r="DG406" s="2327">
        <f>W406</f>
        <v>53</v>
      </c>
      <c r="DH406" s="2327">
        <f>AB406</f>
        <v>49</v>
      </c>
      <c r="DI406" s="2327">
        <f>AG406</f>
        <v>51</v>
      </c>
      <c r="DJ406" s="2327">
        <f>AL406</f>
        <v>52</v>
      </c>
      <c r="DK406" s="2327">
        <f>AQ406</f>
        <v>57</v>
      </c>
      <c r="DL406" s="2327">
        <f>AV406</f>
        <v>61</v>
      </c>
      <c r="DM406" s="2327">
        <f>BA406</f>
        <v>67</v>
      </c>
      <c r="DN406" s="2327">
        <f>BF406</f>
        <v>69</v>
      </c>
      <c r="DO406" s="2327">
        <f>BK406</f>
        <v>71</v>
      </c>
      <c r="DP406" s="2327">
        <f>BP406</f>
        <v>71</v>
      </c>
      <c r="DQ406" s="2327">
        <f>BU406</f>
        <v>0</v>
      </c>
      <c r="DR406" s="2327">
        <f>BZ406</f>
        <v>0</v>
      </c>
      <c r="DS406" s="2327">
        <f>CE406</f>
        <v>0</v>
      </c>
      <c r="DT406" s="2327">
        <f>CJ406</f>
        <v>0</v>
      </c>
      <c r="DU406" s="2327">
        <f>CO406</f>
        <v>0</v>
      </c>
      <c r="DV406" s="2327">
        <f>CT406</f>
        <v>0</v>
      </c>
      <c r="DW406" s="2327">
        <f t="shared" si="845"/>
        <v>0</v>
      </c>
      <c r="DX406" s="2327">
        <f t="shared" si="845"/>
        <v>0</v>
      </c>
      <c r="DY406" s="2327">
        <f t="shared" si="845"/>
        <v>0</v>
      </c>
      <c r="EA406"/>
      <c r="EB406"/>
      <c r="EC406"/>
      <c r="ED406"/>
      <c r="EE406"/>
      <c r="EF406"/>
      <c r="EJ406"/>
      <c r="EK406"/>
      <c r="EL406"/>
      <c r="ER406" s="212"/>
    </row>
    <row r="407" spans="1:148" s="923" customFormat="1" ht="12.75" hidden="1" customHeight="1" outlineLevel="1" x14ac:dyDescent="0.2">
      <c r="A407" s="865" t="s">
        <v>1618</v>
      </c>
      <c r="B407" s="215"/>
      <c r="C407" s="215"/>
      <c r="D407" s="215"/>
      <c r="E407" s="215"/>
      <c r="F407" s="215"/>
      <c r="G407" s="215"/>
      <c r="H407" s="215"/>
      <c r="I407" s="215"/>
      <c r="J407" s="215"/>
      <c r="K407" s="215"/>
      <c r="L407" s="215"/>
      <c r="M407" s="215"/>
      <c r="N407" s="215">
        <f>+N406-M406</f>
        <v>0</v>
      </c>
      <c r="O407" s="215">
        <f>+O406-N406</f>
        <v>2</v>
      </c>
      <c r="P407" s="215">
        <f>+P406-O406</f>
        <v>4</v>
      </c>
      <c r="Q407" s="215">
        <f>+Q406-P406</f>
        <v>1</v>
      </c>
      <c r="R407" s="215">
        <f>SUM(N407:Q407)</f>
        <v>7</v>
      </c>
      <c r="S407" s="215">
        <f>+S406-R406</f>
        <v>-3</v>
      </c>
      <c r="T407" s="215">
        <f>+T406-S406</f>
        <v>1</v>
      </c>
      <c r="U407" s="215">
        <f>+U406-T406</f>
        <v>1</v>
      </c>
      <c r="V407" s="215">
        <f>+V406-U406</f>
        <v>0</v>
      </c>
      <c r="W407" s="215">
        <f>SUM(S407:V407)</f>
        <v>-1</v>
      </c>
      <c r="X407" s="215">
        <f>+X406-W406</f>
        <v>-1</v>
      </c>
      <c r="Y407" s="215">
        <f>+Y406-X406</f>
        <v>0</v>
      </c>
      <c r="Z407" s="215">
        <f>+Z406-Y406</f>
        <v>-1</v>
      </c>
      <c r="AA407" s="215">
        <f>+AA406-Z406</f>
        <v>-2</v>
      </c>
      <c r="AB407" s="215">
        <f>SUM(X407:AA407)</f>
        <v>-4</v>
      </c>
      <c r="AC407" s="215">
        <f>+AC406-AB406</f>
        <v>0</v>
      </c>
      <c r="AD407" s="215">
        <f>+AD406-AC406</f>
        <v>2</v>
      </c>
      <c r="AE407" s="215">
        <f>+AE406-AD406</f>
        <v>0</v>
      </c>
      <c r="AF407" s="215">
        <f>+AF406-AE406</f>
        <v>0</v>
      </c>
      <c r="AG407" s="215">
        <f>SUM(AC407:AF407)</f>
        <v>2</v>
      </c>
      <c r="AH407" s="215">
        <f>+AH406-AG406</f>
        <v>1</v>
      </c>
      <c r="AI407" s="215">
        <f>+AI406-AH406</f>
        <v>0</v>
      </c>
      <c r="AJ407" s="215">
        <f>+AJ406-AI406</f>
        <v>0</v>
      </c>
      <c r="AK407" s="215">
        <f>+AK406-AJ406</f>
        <v>0</v>
      </c>
      <c r="AL407" s="215">
        <f>SUM(AH407:AK407)</f>
        <v>1</v>
      </c>
      <c r="AM407" s="215">
        <f>+AM406-AL406</f>
        <v>0</v>
      </c>
      <c r="AN407" s="215">
        <f>+AN406-AM406</f>
        <v>4</v>
      </c>
      <c r="AO407" s="215">
        <f>+AO406-AN406</f>
        <v>1</v>
      </c>
      <c r="AP407" s="215">
        <f>+AP406-AO406</f>
        <v>0</v>
      </c>
      <c r="AQ407" s="215">
        <f>SUM(AM407:AP407)</f>
        <v>5</v>
      </c>
      <c r="AR407" s="215">
        <f>+AR406-AQ406</f>
        <v>1</v>
      </c>
      <c r="AS407" s="215">
        <f>+AS406-AR406</f>
        <v>1</v>
      </c>
      <c r="AT407" s="215">
        <f>+AT406-AS406</f>
        <v>2</v>
      </c>
      <c r="AU407" s="215">
        <f>+AU406-AT406</f>
        <v>0</v>
      </c>
      <c r="AV407" s="215">
        <f>SUM(AR407:AU407)</f>
        <v>4</v>
      </c>
      <c r="AW407" s="215">
        <f>+AW406-AV406</f>
        <v>1</v>
      </c>
      <c r="AX407" s="215">
        <f>+AX406-AW406</f>
        <v>1</v>
      </c>
      <c r="AY407" s="215">
        <f>+AY406-AX406</f>
        <v>3</v>
      </c>
      <c r="AZ407" s="215">
        <f>+AZ406-AY406</f>
        <v>1</v>
      </c>
      <c r="BA407" s="215">
        <f>SUM(AW407:AZ407)</f>
        <v>6</v>
      </c>
      <c r="BB407" s="215">
        <f>+BB406-BA406</f>
        <v>1</v>
      </c>
      <c r="BC407" s="215">
        <f>+BC406-BB406</f>
        <v>1</v>
      </c>
      <c r="BD407" s="215">
        <f>+BD406-BC406</f>
        <v>1</v>
      </c>
      <c r="BE407" s="215">
        <f>+BE406-BD406</f>
        <v>-1</v>
      </c>
      <c r="BF407" s="215">
        <f>SUM(BB407:BE407)</f>
        <v>2</v>
      </c>
      <c r="BG407" s="215">
        <f>+BG406-BE406</f>
        <v>1</v>
      </c>
      <c r="BH407" s="215">
        <f>+BH406-BG406</f>
        <v>0</v>
      </c>
      <c r="BI407" s="215">
        <f>+BI406-BH406</f>
        <v>0</v>
      </c>
      <c r="BJ407" s="215">
        <f>+BJ406-BI406</f>
        <v>1</v>
      </c>
      <c r="BK407" s="215">
        <f>SUM(BG407:BJ407)</f>
        <v>2</v>
      </c>
      <c r="BL407" s="215">
        <f>+BL406-BK406</f>
        <v>0</v>
      </c>
      <c r="BM407" s="215">
        <f>+BM406-BL406</f>
        <v>0</v>
      </c>
      <c r="BN407" s="215">
        <f>+BN406-BM406</f>
        <v>0</v>
      </c>
      <c r="BO407" s="215">
        <f>+BO406-BN406</f>
        <v>0</v>
      </c>
      <c r="BP407" s="215">
        <f>SUM(BL407:BO407)</f>
        <v>0</v>
      </c>
      <c r="BQ407" s="215">
        <f>+BQ406-BP406</f>
        <v>-71</v>
      </c>
      <c r="BR407" s="215">
        <f>+BR406-BQ406</f>
        <v>0</v>
      </c>
      <c r="BS407" s="215">
        <f>+BS406-BR406</f>
        <v>0</v>
      </c>
      <c r="BT407" s="215">
        <f>+BT406-BS406</f>
        <v>0</v>
      </c>
      <c r="BU407" s="215">
        <f>SUM(BQ407:BT407)</f>
        <v>-71</v>
      </c>
      <c r="BV407" s="215"/>
      <c r="BW407" s="215"/>
      <c r="BX407" s="215"/>
      <c r="BY407" s="215"/>
      <c r="BZ407" s="215"/>
      <c r="CA407" s="215"/>
      <c r="CB407" s="215"/>
      <c r="CC407" s="215"/>
      <c r="CD407" s="215"/>
      <c r="CE407" s="215"/>
      <c r="CF407" s="215"/>
      <c r="CG407" s="215"/>
      <c r="CH407" s="215"/>
      <c r="CI407" s="215"/>
      <c r="CJ407" s="215"/>
      <c r="CK407" s="215"/>
      <c r="CL407" s="215"/>
      <c r="CM407" s="215"/>
      <c r="CN407" s="215"/>
      <c r="CO407" s="215"/>
      <c r="CP407" s="215"/>
      <c r="CQ407" s="215"/>
      <c r="CR407" s="215"/>
      <c r="CS407" s="215"/>
      <c r="CT407" s="215"/>
      <c r="CU407" s="215"/>
      <c r="CV407" s="215"/>
      <c r="CW407" s="215"/>
      <c r="CX407" s="215"/>
      <c r="CY407" s="215"/>
      <c r="CZ407" s="215"/>
      <c r="DA407" s="215"/>
      <c r="DB407"/>
      <c r="DC407"/>
      <c r="DD407" s="2323" t="s">
        <v>1618</v>
      </c>
      <c r="DE407" s="2327">
        <f>M407</f>
        <v>0</v>
      </c>
      <c r="DF407" s="2327">
        <f>R407</f>
        <v>7</v>
      </c>
      <c r="DG407" s="2327">
        <f>W407</f>
        <v>-1</v>
      </c>
      <c r="DH407" s="2327">
        <f>AB407</f>
        <v>-4</v>
      </c>
      <c r="DI407" s="2327">
        <f>AG407</f>
        <v>2</v>
      </c>
      <c r="DJ407" s="2327">
        <f>AL407</f>
        <v>1</v>
      </c>
      <c r="DK407" s="2327">
        <f>AQ407</f>
        <v>5</v>
      </c>
      <c r="DL407" s="2327">
        <f>AV407</f>
        <v>4</v>
      </c>
      <c r="DM407" s="2327">
        <f>BA407</f>
        <v>6</v>
      </c>
      <c r="DN407" s="2327">
        <f>BF407</f>
        <v>2</v>
      </c>
      <c r="DO407" s="2327">
        <f>BK407</f>
        <v>2</v>
      </c>
      <c r="DP407" s="2327">
        <f>BP407</f>
        <v>0</v>
      </c>
      <c r="DQ407" s="2327">
        <f>BU407</f>
        <v>-71</v>
      </c>
      <c r="DR407" s="2327">
        <f>BZ407</f>
        <v>0</v>
      </c>
      <c r="DS407" s="2327">
        <f>CE407</f>
        <v>0</v>
      </c>
      <c r="DT407" s="2327">
        <f>CJ407</f>
        <v>0</v>
      </c>
      <c r="DU407" s="2327">
        <f>CO407</f>
        <v>0</v>
      </c>
      <c r="DV407" s="2327">
        <f>CT407</f>
        <v>0</v>
      </c>
      <c r="DW407" s="2327">
        <f t="shared" si="845"/>
        <v>0</v>
      </c>
      <c r="DX407" s="2327">
        <f t="shared" si="845"/>
        <v>0</v>
      </c>
      <c r="DY407" s="2327">
        <f t="shared" si="845"/>
        <v>0</v>
      </c>
      <c r="EA407"/>
      <c r="EB407"/>
      <c r="EC407"/>
      <c r="ED407"/>
      <c r="EE407"/>
      <c r="EF407"/>
      <c r="EJ407"/>
      <c r="EK407"/>
      <c r="EL407"/>
      <c r="ER407" s="212"/>
    </row>
    <row r="408" spans="1:148" s="923" customFormat="1" ht="12.75" hidden="1" customHeight="1" outlineLevel="1" x14ac:dyDescent="0.2">
      <c r="A408" s="865"/>
      <c r="B408" s="215"/>
      <c r="C408" s="215"/>
      <c r="D408" s="215"/>
      <c r="E408" s="215"/>
      <c r="F408" s="215"/>
      <c r="G408" s="215"/>
      <c r="H408" s="215"/>
      <c r="I408" s="215"/>
      <c r="J408" s="215"/>
      <c r="K408" s="215"/>
      <c r="L408" s="215"/>
      <c r="M408" s="215"/>
      <c r="N408" s="215"/>
      <c r="O408" s="215"/>
      <c r="P408" s="215"/>
      <c r="Q408" s="215"/>
      <c r="R408" s="215"/>
      <c r="S408" s="215"/>
      <c r="T408" s="215"/>
      <c r="U408" s="215"/>
      <c r="V408" s="215"/>
      <c r="W408" s="215"/>
      <c r="X408" s="215"/>
      <c r="Y408" s="215"/>
      <c r="Z408" s="215"/>
      <c r="AA408" s="215"/>
      <c r="AB408" s="215"/>
      <c r="AC408" s="215"/>
      <c r="AD408" s="215"/>
      <c r="AE408" s="215"/>
      <c r="AF408" s="215"/>
      <c r="AG408" s="215"/>
      <c r="AH408" s="215"/>
      <c r="AI408" s="215"/>
      <c r="AJ408" s="215"/>
      <c r="AK408" s="215"/>
      <c r="AL408" s="215"/>
      <c r="AM408" s="215"/>
      <c r="AN408" s="215"/>
      <c r="AO408" s="215"/>
      <c r="AP408" s="215"/>
      <c r="AQ408" s="215"/>
      <c r="AR408" s="215"/>
      <c r="AS408" s="215"/>
      <c r="AT408" s="215"/>
      <c r="AU408" s="215"/>
      <c r="AV408" s="215"/>
      <c r="AW408" s="215"/>
      <c r="AX408" s="215"/>
      <c r="AY408" s="215"/>
      <c r="AZ408" s="215"/>
      <c r="BA408" s="215"/>
      <c r="BB408" s="215"/>
      <c r="BC408" s="215"/>
      <c r="BD408" s="215"/>
      <c r="BE408" s="215"/>
      <c r="BF408" s="215"/>
      <c r="BG408" s="215"/>
      <c r="BH408" s="215"/>
      <c r="BI408" s="215"/>
      <c r="BJ408" s="215"/>
      <c r="BK408" s="215"/>
      <c r="BL408" s="215"/>
      <c r="BM408" s="215"/>
      <c r="BN408" s="215"/>
      <c r="BO408" s="215"/>
      <c r="BP408" s="215"/>
      <c r="BQ408" s="215"/>
      <c r="BR408" s="215"/>
      <c r="BS408" s="215"/>
      <c r="BT408" s="215"/>
      <c r="BU408" s="215"/>
      <c r="BV408" s="215"/>
      <c r="BW408" s="215"/>
      <c r="BX408" s="215"/>
      <c r="BY408" s="215"/>
      <c r="BZ408" s="215"/>
      <c r="CA408" s="215"/>
      <c r="CB408" s="215"/>
      <c r="CC408" s="215"/>
      <c r="CD408" s="215"/>
      <c r="CE408" s="215"/>
      <c r="CF408" s="215"/>
      <c r="CG408" s="215"/>
      <c r="CH408" s="215"/>
      <c r="CI408" s="215"/>
      <c r="CJ408" s="215"/>
      <c r="CK408" s="215"/>
      <c r="CL408" s="215"/>
      <c r="CM408" s="215"/>
      <c r="CN408" s="215"/>
      <c r="CO408" s="215"/>
      <c r="CP408" s="215"/>
      <c r="CQ408" s="215"/>
      <c r="CR408" s="215"/>
      <c r="CS408" s="215"/>
      <c r="CT408" s="215"/>
      <c r="CU408" s="215"/>
      <c r="CV408" s="215"/>
      <c r="CW408" s="215"/>
      <c r="CX408" s="215"/>
      <c r="CY408" s="215"/>
      <c r="CZ408" s="215"/>
      <c r="DA408" s="215"/>
      <c r="DB408"/>
      <c r="DC408"/>
      <c r="DD408" s="2323"/>
      <c r="DE408" s="2327"/>
      <c r="DF408" s="2327"/>
      <c r="DG408" s="2327"/>
      <c r="DH408" s="2327"/>
      <c r="DI408" s="2327"/>
      <c r="DJ408" s="2327"/>
      <c r="DK408" s="2327"/>
      <c r="DL408" s="2327"/>
      <c r="DM408" s="2327"/>
      <c r="DN408" s="2327"/>
      <c r="DO408" s="2327"/>
      <c r="DP408" s="2327"/>
      <c r="DQ408" s="2327"/>
      <c r="DR408" s="2327"/>
      <c r="DS408" s="2327"/>
      <c r="DT408" s="2327"/>
      <c r="DU408" s="2327"/>
      <c r="DV408" s="2327"/>
      <c r="DW408" s="2327"/>
      <c r="DX408" s="2327"/>
      <c r="DY408" s="2327"/>
      <c r="EA408"/>
      <c r="EB408"/>
      <c r="EC408"/>
      <c r="ED408"/>
      <c r="EE408"/>
      <c r="EF408"/>
      <c r="EJ408"/>
      <c r="EK408"/>
      <c r="EL408"/>
      <c r="ER408" s="212"/>
    </row>
    <row r="409" spans="1:148" s="923" customFormat="1" ht="12.75" hidden="1" customHeight="1" outlineLevel="1" x14ac:dyDescent="0.2">
      <c r="A409" s="865" t="s">
        <v>1331</v>
      </c>
      <c r="B409" s="215"/>
      <c r="C409" s="215"/>
      <c r="D409" s="215"/>
      <c r="E409" s="215"/>
      <c r="F409" s="215"/>
      <c r="G409" s="215"/>
      <c r="H409" s="215"/>
      <c r="I409" s="215"/>
      <c r="J409" s="215"/>
      <c r="K409" s="215"/>
      <c r="L409" s="215"/>
      <c r="M409" s="215">
        <v>5617</v>
      </c>
      <c r="N409" s="215">
        <v>5617</v>
      </c>
      <c r="O409" s="215">
        <v>5840</v>
      </c>
      <c r="P409" s="215">
        <v>6255</v>
      </c>
      <c r="Q409" s="215">
        <v>6598</v>
      </c>
      <c r="R409" s="215">
        <f>Q409</f>
        <v>6598</v>
      </c>
      <c r="S409" s="215">
        <v>6776</v>
      </c>
      <c r="T409" s="215">
        <f>6526+146+143+199</f>
        <v>7014</v>
      </c>
      <c r="U409" s="215">
        <v>7217</v>
      </c>
      <c r="V409" s="215">
        <f>6973+146+204+248</f>
        <v>7571</v>
      </c>
      <c r="W409" s="215">
        <f>V409</f>
        <v>7571</v>
      </c>
      <c r="X409" s="215">
        <v>7875</v>
      </c>
      <c r="Y409" s="215">
        <v>8020</v>
      </c>
      <c r="Z409" s="215">
        <f>7392+256+228+248</f>
        <v>8124</v>
      </c>
      <c r="AA409" s="215">
        <v>8360</v>
      </c>
      <c r="AB409" s="215">
        <f>AA409</f>
        <v>8360</v>
      </c>
      <c r="AC409" s="215">
        <v>8816</v>
      </c>
      <c r="AD409" s="215">
        <v>9130</v>
      </c>
      <c r="AE409" s="215">
        <f>8537+328+261+248</f>
        <v>9374</v>
      </c>
      <c r="AF409" s="215">
        <v>9669</v>
      </c>
      <c r="AG409" s="215">
        <f>AF409</f>
        <v>9669</v>
      </c>
      <c r="AH409" s="215">
        <v>9732</v>
      </c>
      <c r="AI409" s="215">
        <v>10009</v>
      </c>
      <c r="AJ409" s="215">
        <v>10087</v>
      </c>
      <c r="AK409" s="215">
        <v>10334</v>
      </c>
      <c r="AL409" s="215">
        <f>AK409</f>
        <v>10334</v>
      </c>
      <c r="AM409" s="215">
        <v>10475</v>
      </c>
      <c r="AN409" s="215">
        <v>11008</v>
      </c>
      <c r="AO409" s="215">
        <v>11230</v>
      </c>
      <c r="AP409" s="215">
        <v>11743</v>
      </c>
      <c r="AQ409" s="215">
        <f>AP409</f>
        <v>11743</v>
      </c>
      <c r="AR409" s="215">
        <v>11621</v>
      </c>
      <c r="AS409" s="215">
        <v>11772</v>
      </c>
      <c r="AT409" s="215">
        <v>12060</v>
      </c>
      <c r="AU409" s="215">
        <v>12185</v>
      </c>
      <c r="AV409" s="215">
        <f>AU409</f>
        <v>12185</v>
      </c>
      <c r="AW409" s="215">
        <f>10168+2069</f>
        <v>12237</v>
      </c>
      <c r="AX409" s="215">
        <v>12471</v>
      </c>
      <c r="AY409" s="215">
        <v>12565</v>
      </c>
      <c r="AZ409" s="215">
        <v>12707</v>
      </c>
      <c r="BA409" s="215">
        <f>AZ409</f>
        <v>12707</v>
      </c>
      <c r="BB409" s="215">
        <v>12740</v>
      </c>
      <c r="BC409" s="215">
        <v>12801</v>
      </c>
      <c r="BD409" s="215">
        <v>12888</v>
      </c>
      <c r="BE409" s="215">
        <f>10579+2312</f>
        <v>12891</v>
      </c>
      <c r="BF409" s="215">
        <f>BE409</f>
        <v>12891</v>
      </c>
      <c r="BG409" s="215">
        <v>12892</v>
      </c>
      <c r="BH409" s="215">
        <v>12897</v>
      </c>
      <c r="BI409" s="215">
        <v>12866</v>
      </c>
      <c r="BJ409" s="215">
        <v>12963</v>
      </c>
      <c r="BK409" s="215">
        <f>BJ409</f>
        <v>12963</v>
      </c>
      <c r="BL409" s="215">
        <v>13045</v>
      </c>
      <c r="BM409" s="215">
        <v>13018</v>
      </c>
      <c r="BN409" s="215">
        <v>13018</v>
      </c>
      <c r="BO409" s="215">
        <f>+BO411*BO406</f>
        <v>13018</v>
      </c>
      <c r="BP409" s="215">
        <f>BO409</f>
        <v>13018</v>
      </c>
      <c r="BQ409" s="215">
        <f>+BQ411*BQ406</f>
        <v>0</v>
      </c>
      <c r="BR409" s="215">
        <f>+BR411*BR406</f>
        <v>0</v>
      </c>
      <c r="BS409" s="215">
        <f>+BS411*BS406</f>
        <v>0</v>
      </c>
      <c r="BT409" s="215">
        <f>+BT411*BT406</f>
        <v>0</v>
      </c>
      <c r="BU409" s="215">
        <f>BT409</f>
        <v>0</v>
      </c>
      <c r="BV409" s="215"/>
      <c r="BW409" s="215"/>
      <c r="BX409" s="215"/>
      <c r="BY409" s="215"/>
      <c r="BZ409" s="215"/>
      <c r="CA409" s="215"/>
      <c r="CB409" s="215"/>
      <c r="CC409" s="215"/>
      <c r="CD409" s="215"/>
      <c r="CE409" s="215"/>
      <c r="CF409" s="215"/>
      <c r="CG409" s="215"/>
      <c r="CH409" s="215"/>
      <c r="CI409" s="215"/>
      <c r="CJ409" s="215"/>
      <c r="CK409" s="215"/>
      <c r="CL409" s="215"/>
      <c r="CM409" s="215"/>
      <c r="CN409" s="215"/>
      <c r="CO409" s="215"/>
      <c r="CP409" s="215"/>
      <c r="CQ409" s="215"/>
      <c r="CR409" s="215"/>
      <c r="CS409" s="215"/>
      <c r="CT409" s="215"/>
      <c r="CU409" s="215"/>
      <c r="CV409" s="215"/>
      <c r="CW409" s="215"/>
      <c r="CX409" s="215"/>
      <c r="CY409" s="215"/>
      <c r="CZ409" s="215"/>
      <c r="DA409" s="215"/>
      <c r="DB409"/>
      <c r="DC409"/>
      <c r="DD409" s="2323" t="s">
        <v>1331</v>
      </c>
      <c r="DE409" s="2327">
        <f>M409</f>
        <v>5617</v>
      </c>
      <c r="DF409" s="2327">
        <f>R409</f>
        <v>6598</v>
      </c>
      <c r="DG409" s="2327">
        <f>W409</f>
        <v>7571</v>
      </c>
      <c r="DH409" s="2327">
        <f>AB409</f>
        <v>8360</v>
      </c>
      <c r="DI409" s="2327">
        <f>AG409</f>
        <v>9669</v>
      </c>
      <c r="DJ409" s="2327">
        <f>AL409</f>
        <v>10334</v>
      </c>
      <c r="DK409" s="2327">
        <f>AQ409</f>
        <v>11743</v>
      </c>
      <c r="DL409" s="2327">
        <f>AV409</f>
        <v>12185</v>
      </c>
      <c r="DM409" s="2327">
        <f>BA409</f>
        <v>12707</v>
      </c>
      <c r="DN409" s="2327">
        <f>BF409</f>
        <v>12891</v>
      </c>
      <c r="DO409" s="2327">
        <f>BK409</f>
        <v>12963</v>
      </c>
      <c r="DP409" s="2327">
        <f>BP409</f>
        <v>13018</v>
      </c>
      <c r="DQ409" s="2327">
        <f>BU409</f>
        <v>0</v>
      </c>
      <c r="DR409" s="2327">
        <f>BZ409</f>
        <v>0</v>
      </c>
      <c r="DS409" s="2327">
        <f>CE409</f>
        <v>0</v>
      </c>
      <c r="DT409" s="2327">
        <f>CJ409</f>
        <v>0</v>
      </c>
      <c r="DU409" s="2327">
        <f>CO409</f>
        <v>0</v>
      </c>
      <c r="DV409" s="2327">
        <f>CT409</f>
        <v>0</v>
      </c>
      <c r="DW409" s="2327">
        <f t="shared" ref="DW409:DY411" si="849">CY409</f>
        <v>0</v>
      </c>
      <c r="DX409" s="2327">
        <f t="shared" si="849"/>
        <v>0</v>
      </c>
      <c r="DY409" s="2327">
        <f t="shared" si="849"/>
        <v>0</v>
      </c>
      <c r="EA409"/>
      <c r="EB409"/>
      <c r="EC409"/>
      <c r="ED409"/>
      <c r="EE409"/>
      <c r="EF409"/>
      <c r="EJ409"/>
      <c r="EK409"/>
      <c r="EL409"/>
      <c r="ER409" s="212"/>
    </row>
    <row r="410" spans="1:148" s="923" customFormat="1" ht="12.75" hidden="1" customHeight="1" outlineLevel="1" x14ac:dyDescent="0.2">
      <c r="A410" s="865" t="s">
        <v>1618</v>
      </c>
      <c r="B410" s="215"/>
      <c r="C410" s="215"/>
      <c r="D410" s="215"/>
      <c r="E410" s="215"/>
      <c r="F410" s="215"/>
      <c r="G410" s="215"/>
      <c r="H410" s="215"/>
      <c r="I410" s="215"/>
      <c r="J410" s="215"/>
      <c r="K410" s="215"/>
      <c r="L410" s="215"/>
      <c r="M410" s="215"/>
      <c r="N410" s="215">
        <f>+N409-M409</f>
        <v>0</v>
      </c>
      <c r="O410" s="215">
        <f>+O409-N409</f>
        <v>223</v>
      </c>
      <c r="P410" s="215">
        <f>+P409-O409</f>
        <v>415</v>
      </c>
      <c r="Q410" s="215">
        <f>+Q409-P409</f>
        <v>343</v>
      </c>
      <c r="R410" s="215">
        <f>SUM(N410:Q410)</f>
        <v>981</v>
      </c>
      <c r="S410" s="215">
        <f>+S409-R409</f>
        <v>178</v>
      </c>
      <c r="T410" s="215">
        <f>+T409-S409</f>
        <v>238</v>
      </c>
      <c r="U410" s="215">
        <f>+U409-T409</f>
        <v>203</v>
      </c>
      <c r="V410" s="215">
        <f>+V409-U409</f>
        <v>354</v>
      </c>
      <c r="W410" s="215">
        <f>SUM(S410:V410)</f>
        <v>973</v>
      </c>
      <c r="X410" s="215">
        <f>+X409-W409</f>
        <v>304</v>
      </c>
      <c r="Y410" s="215">
        <f>+Y409-X409</f>
        <v>145</v>
      </c>
      <c r="Z410" s="215">
        <f>+Z409-Y409</f>
        <v>104</v>
      </c>
      <c r="AA410" s="215">
        <f>+AA409-Z409</f>
        <v>236</v>
      </c>
      <c r="AB410" s="215">
        <f>SUM(X410:AA410)</f>
        <v>789</v>
      </c>
      <c r="AC410" s="215">
        <f>+AC409-AB409</f>
        <v>456</v>
      </c>
      <c r="AD410" s="215">
        <f>+AD409-AC409</f>
        <v>314</v>
      </c>
      <c r="AE410" s="215">
        <f>+AE409-AD409</f>
        <v>244</v>
      </c>
      <c r="AF410" s="215">
        <f>+AF409-AE409</f>
        <v>295</v>
      </c>
      <c r="AG410" s="215">
        <f>SUM(AC410:AF410)</f>
        <v>1309</v>
      </c>
      <c r="AH410" s="215">
        <f>+AH409-AG409</f>
        <v>63</v>
      </c>
      <c r="AI410" s="215">
        <f>+AI409-AH409</f>
        <v>277</v>
      </c>
      <c r="AJ410" s="215">
        <f>+AJ409-AI409</f>
        <v>78</v>
      </c>
      <c r="AK410" s="215">
        <f>+AK409-AJ409</f>
        <v>247</v>
      </c>
      <c r="AL410" s="215">
        <f>SUM(AH410:AK410)</f>
        <v>665</v>
      </c>
      <c r="AM410" s="215">
        <f>+AM409-AL409</f>
        <v>141</v>
      </c>
      <c r="AN410" s="215">
        <f>+AN409-AM409</f>
        <v>533</v>
      </c>
      <c r="AO410" s="215">
        <f>+AO409-AN409</f>
        <v>222</v>
      </c>
      <c r="AP410" s="215">
        <f>+AP409-AO409</f>
        <v>513</v>
      </c>
      <c r="AQ410" s="215">
        <f>SUM(AM410:AP410)</f>
        <v>1409</v>
      </c>
      <c r="AR410" s="215">
        <f>+AR409-AQ409</f>
        <v>-122</v>
      </c>
      <c r="AS410" s="215">
        <f>+AS409-AR409</f>
        <v>151</v>
      </c>
      <c r="AT410" s="215">
        <f>+AT409-AS409</f>
        <v>288</v>
      </c>
      <c r="AU410" s="215">
        <f>+AU409-AT409</f>
        <v>125</v>
      </c>
      <c r="AV410" s="215">
        <f>SUM(AR410:AU410)</f>
        <v>442</v>
      </c>
      <c r="AW410" s="215">
        <f>+AW409-AV409</f>
        <v>52</v>
      </c>
      <c r="AX410" s="215">
        <f>+AX409-AW409</f>
        <v>234</v>
      </c>
      <c r="AY410" s="215">
        <f>+AY409-AX409</f>
        <v>94</v>
      </c>
      <c r="AZ410" s="215">
        <f>+AZ409-AY409</f>
        <v>142</v>
      </c>
      <c r="BA410" s="215">
        <f>SUM(AW410:AZ410)</f>
        <v>522</v>
      </c>
      <c r="BB410" s="215">
        <f>+BB409-BA409</f>
        <v>33</v>
      </c>
      <c r="BC410" s="215">
        <f>+BC409-BB409</f>
        <v>61</v>
      </c>
      <c r="BD410" s="215">
        <f>+BD409-BC409</f>
        <v>87</v>
      </c>
      <c r="BE410" s="215">
        <f>+BE409-BD409</f>
        <v>3</v>
      </c>
      <c r="BF410" s="215">
        <f>SUM(BB410:BE410)</f>
        <v>184</v>
      </c>
      <c r="BG410" s="215">
        <f>+BG409-BE409</f>
        <v>1</v>
      </c>
      <c r="BH410" s="215">
        <f>+BH409-BG409</f>
        <v>5</v>
      </c>
      <c r="BI410" s="215">
        <f>+BI409-BH409</f>
        <v>-31</v>
      </c>
      <c r="BJ410" s="215">
        <f>+BJ409-BI409</f>
        <v>97</v>
      </c>
      <c r="BK410" s="215">
        <f>SUM(BG410:BJ410)</f>
        <v>72</v>
      </c>
      <c r="BL410" s="215">
        <f>+BL409-BK409</f>
        <v>82</v>
      </c>
      <c r="BM410" s="215">
        <f>+BM409-BL409</f>
        <v>-27</v>
      </c>
      <c r="BN410" s="215">
        <f>+BN409-BM409</f>
        <v>0</v>
      </c>
      <c r="BO410" s="215">
        <f>+BO409-BN409</f>
        <v>0</v>
      </c>
      <c r="BP410" s="215">
        <f>SUM(BL410:BO410)</f>
        <v>55</v>
      </c>
      <c r="BQ410" s="215">
        <v>0</v>
      </c>
      <c r="BR410" s="215">
        <f>+BR409-BQ409</f>
        <v>0</v>
      </c>
      <c r="BS410" s="215">
        <f>+BS409-BR409</f>
        <v>0</v>
      </c>
      <c r="BT410" s="215">
        <f>+BT409-BS409</f>
        <v>0</v>
      </c>
      <c r="BU410" s="215">
        <f>SUM(BQ410:BT410)</f>
        <v>0</v>
      </c>
      <c r="BV410" s="215"/>
      <c r="BW410" s="215"/>
      <c r="BX410" s="215"/>
      <c r="BY410" s="215"/>
      <c r="BZ410" s="215"/>
      <c r="CA410" s="215"/>
      <c r="CB410" s="215"/>
      <c r="CC410" s="215"/>
      <c r="CD410" s="215"/>
      <c r="CE410" s="215"/>
      <c r="CF410" s="215"/>
      <c r="CG410" s="215"/>
      <c r="CH410" s="215"/>
      <c r="CI410" s="215"/>
      <c r="CJ410" s="215"/>
      <c r="CK410" s="215"/>
      <c r="CL410" s="215"/>
      <c r="CM410" s="215"/>
      <c r="CN410" s="215"/>
      <c r="CO410" s="215"/>
      <c r="CP410" s="215"/>
      <c r="CQ410" s="215"/>
      <c r="CR410" s="215"/>
      <c r="CS410" s="215"/>
      <c r="CT410" s="215"/>
      <c r="CU410" s="215"/>
      <c r="CV410" s="215"/>
      <c r="CW410" s="215"/>
      <c r="CX410" s="215"/>
      <c r="CY410" s="215"/>
      <c r="CZ410" s="215"/>
      <c r="DA410" s="215"/>
      <c r="DB410"/>
      <c r="DC410"/>
      <c r="DD410" s="2323" t="s">
        <v>1618</v>
      </c>
      <c r="DE410" s="2327">
        <f>M410</f>
        <v>0</v>
      </c>
      <c r="DF410" s="2327">
        <f>R410</f>
        <v>981</v>
      </c>
      <c r="DG410" s="2327">
        <f>W410</f>
        <v>973</v>
      </c>
      <c r="DH410" s="2327">
        <f>AB410</f>
        <v>789</v>
      </c>
      <c r="DI410" s="2327">
        <f>AG410</f>
        <v>1309</v>
      </c>
      <c r="DJ410" s="2327">
        <f>AL410</f>
        <v>665</v>
      </c>
      <c r="DK410" s="2327">
        <f>AQ410</f>
        <v>1409</v>
      </c>
      <c r="DL410" s="2327">
        <f>AV410</f>
        <v>442</v>
      </c>
      <c r="DM410" s="2327">
        <f>BA410</f>
        <v>522</v>
      </c>
      <c r="DN410" s="2327">
        <f>BF410</f>
        <v>184</v>
      </c>
      <c r="DO410" s="2327">
        <f>BK410</f>
        <v>72</v>
      </c>
      <c r="DP410" s="2327">
        <f>BP410</f>
        <v>55</v>
      </c>
      <c r="DQ410" s="2327">
        <f>BU410</f>
        <v>0</v>
      </c>
      <c r="DR410" s="2327">
        <f>BZ410</f>
        <v>0</v>
      </c>
      <c r="DS410" s="2327">
        <f>CE410</f>
        <v>0</v>
      </c>
      <c r="DT410" s="2327">
        <f>CJ410</f>
        <v>0</v>
      </c>
      <c r="DU410" s="2327">
        <f>CO410</f>
        <v>0</v>
      </c>
      <c r="DV410" s="2327">
        <f>CT410</f>
        <v>0</v>
      </c>
      <c r="DW410" s="2327">
        <f t="shared" si="849"/>
        <v>0</v>
      </c>
      <c r="DX410" s="2327">
        <f t="shared" si="849"/>
        <v>0</v>
      </c>
      <c r="DY410" s="2327">
        <f t="shared" si="849"/>
        <v>0</v>
      </c>
      <c r="EA410"/>
      <c r="EB410"/>
      <c r="EC410"/>
      <c r="ED410"/>
      <c r="EE410"/>
      <c r="EF410"/>
      <c r="EJ410"/>
      <c r="EK410"/>
      <c r="EL410"/>
      <c r="ER410" s="212"/>
    </row>
    <row r="411" spans="1:148" s="923" customFormat="1" ht="12.75" hidden="1" customHeight="1" outlineLevel="1" x14ac:dyDescent="0.2">
      <c r="A411" s="865" t="s">
        <v>1620</v>
      </c>
      <c r="B411" s="853"/>
      <c r="C411" s="853"/>
      <c r="D411" s="853"/>
      <c r="E411" s="853"/>
      <c r="F411" s="853"/>
      <c r="G411" s="853"/>
      <c r="H411" s="853"/>
      <c r="I411" s="853"/>
      <c r="J411" s="853"/>
      <c r="K411" s="853"/>
      <c r="L411" s="853"/>
      <c r="M411" s="853">
        <f t="shared" ref="M411:AF411" si="850">M409/M406</f>
        <v>119.51063829787235</v>
      </c>
      <c r="N411" s="853">
        <f t="shared" si="850"/>
        <v>119.51063829787235</v>
      </c>
      <c r="O411" s="853">
        <f t="shared" si="850"/>
        <v>119.18367346938776</v>
      </c>
      <c r="P411" s="853">
        <f t="shared" si="850"/>
        <v>118.01886792452831</v>
      </c>
      <c r="Q411" s="853">
        <f t="shared" si="850"/>
        <v>122.18518518518519</v>
      </c>
      <c r="R411" s="853">
        <f t="shared" si="850"/>
        <v>122.18518518518519</v>
      </c>
      <c r="S411" s="853">
        <f t="shared" si="850"/>
        <v>132.86274509803923</v>
      </c>
      <c r="T411" s="853">
        <f t="shared" si="850"/>
        <v>134.88461538461539</v>
      </c>
      <c r="U411" s="853">
        <f t="shared" si="850"/>
        <v>136.16981132075472</v>
      </c>
      <c r="V411" s="853">
        <f t="shared" si="850"/>
        <v>142.84905660377359</v>
      </c>
      <c r="W411" s="853">
        <f t="shared" si="850"/>
        <v>142.84905660377359</v>
      </c>
      <c r="X411" s="853">
        <f t="shared" si="850"/>
        <v>151.44230769230768</v>
      </c>
      <c r="Y411" s="853">
        <f t="shared" si="850"/>
        <v>154.23076923076923</v>
      </c>
      <c r="Z411" s="853">
        <f t="shared" si="850"/>
        <v>159.29411764705881</v>
      </c>
      <c r="AA411" s="853">
        <f t="shared" si="850"/>
        <v>170.61224489795919</v>
      </c>
      <c r="AB411" s="853">
        <f t="shared" si="850"/>
        <v>170.61224489795919</v>
      </c>
      <c r="AC411" s="853">
        <f t="shared" si="850"/>
        <v>179.91836734693877</v>
      </c>
      <c r="AD411" s="853">
        <f t="shared" si="850"/>
        <v>179.01960784313727</v>
      </c>
      <c r="AE411" s="853">
        <f t="shared" si="850"/>
        <v>183.80392156862746</v>
      </c>
      <c r="AF411" s="853">
        <f t="shared" si="850"/>
        <v>189.58823529411765</v>
      </c>
      <c r="AG411" s="853">
        <f>+AF411</f>
        <v>189.58823529411765</v>
      </c>
      <c r="AH411" s="853">
        <f>AH409/AH406</f>
        <v>187.15384615384616</v>
      </c>
      <c r="AI411" s="853">
        <f>AI409/AI406</f>
        <v>192.48076923076923</v>
      </c>
      <c r="AJ411" s="853">
        <f>AJ409/AJ406</f>
        <v>193.98076923076923</v>
      </c>
      <c r="AK411" s="853">
        <f>AK409/AK406</f>
        <v>198.73076923076923</v>
      </c>
      <c r="AL411" s="853">
        <f>+AK411</f>
        <v>198.73076923076923</v>
      </c>
      <c r="AM411" s="853">
        <f>AM409/AM406</f>
        <v>201.44230769230768</v>
      </c>
      <c r="AN411" s="853">
        <f>AN409/AN406</f>
        <v>196.57142857142858</v>
      </c>
      <c r="AO411" s="853">
        <f>AO409/AO406</f>
        <v>197.01754385964912</v>
      </c>
      <c r="AP411" s="853">
        <f>AP409/AP406</f>
        <v>206.01754385964912</v>
      </c>
      <c r="AQ411" s="853">
        <f>+AP411</f>
        <v>206.01754385964912</v>
      </c>
      <c r="AR411" s="853">
        <f>AR409/AR406</f>
        <v>200.36206896551724</v>
      </c>
      <c r="AS411" s="853">
        <f>AS409/AS406</f>
        <v>199.52542372881356</v>
      </c>
      <c r="AT411" s="853">
        <f>AT409/AT406</f>
        <v>197.70491803278688</v>
      </c>
      <c r="AU411" s="853">
        <f>AU409/AU406</f>
        <v>199.75409836065575</v>
      </c>
      <c r="AV411" s="853">
        <f>+AU411</f>
        <v>199.75409836065575</v>
      </c>
      <c r="AW411" s="853">
        <f>AW409/AW406</f>
        <v>197.37096774193549</v>
      </c>
      <c r="AX411" s="853">
        <f>AX409/AX406</f>
        <v>197.95238095238096</v>
      </c>
      <c r="AY411" s="853">
        <f>AY409/AY406</f>
        <v>190.37878787878788</v>
      </c>
      <c r="AZ411" s="853">
        <f>AZ409/AZ406</f>
        <v>189.65671641791045</v>
      </c>
      <c r="BA411" s="853">
        <f>+AZ411</f>
        <v>189.65671641791045</v>
      </c>
      <c r="BB411" s="853">
        <f>BB409/BB406</f>
        <v>187.35294117647058</v>
      </c>
      <c r="BC411" s="853">
        <f>BC409/BC406</f>
        <v>185.52173913043478</v>
      </c>
      <c r="BD411" s="853">
        <f>BD409/BD406</f>
        <v>184.11428571428573</v>
      </c>
      <c r="BE411" s="853">
        <f>BE409/BE406</f>
        <v>186.82608695652175</v>
      </c>
      <c r="BF411" s="853">
        <f>+BE411</f>
        <v>186.82608695652175</v>
      </c>
      <c r="BG411" s="853">
        <f>BG409/BG406</f>
        <v>184.17142857142858</v>
      </c>
      <c r="BH411" s="853">
        <f>BH409/BH406</f>
        <v>184.24285714285713</v>
      </c>
      <c r="BI411" s="853">
        <f>BI409/BI406</f>
        <v>183.8</v>
      </c>
      <c r="BJ411" s="853">
        <f>BJ409/BJ406</f>
        <v>182.57746478873239</v>
      </c>
      <c r="BK411" s="853">
        <f>+BJ411</f>
        <v>182.57746478873239</v>
      </c>
      <c r="BL411" s="853">
        <f>BL409/BL406</f>
        <v>183.73239436619718</v>
      </c>
      <c r="BM411" s="853">
        <f>BM409/BM406</f>
        <v>183.35211267605635</v>
      </c>
      <c r="BN411" s="853">
        <f>BN409/BN406</f>
        <v>183.35211267605635</v>
      </c>
      <c r="BO411" s="853">
        <f>+BN411</f>
        <v>183.35211267605635</v>
      </c>
      <c r="BP411" s="853">
        <f>+BO411</f>
        <v>183.35211267605635</v>
      </c>
      <c r="BQ411" s="853">
        <v>0</v>
      </c>
      <c r="BR411" s="853">
        <f>+BQ411</f>
        <v>0</v>
      </c>
      <c r="BS411" s="853">
        <f>+BR411</f>
        <v>0</v>
      </c>
      <c r="BT411" s="853">
        <f>+BS411</f>
        <v>0</v>
      </c>
      <c r="BU411" s="853">
        <f>+BT411</f>
        <v>0</v>
      </c>
      <c r="BV411" s="853"/>
      <c r="BW411" s="853"/>
      <c r="BX411" s="853"/>
      <c r="BY411" s="853"/>
      <c r="BZ411" s="853"/>
      <c r="CA411" s="853"/>
      <c r="CB411" s="853"/>
      <c r="CC411" s="853"/>
      <c r="CD411" s="853"/>
      <c r="CE411" s="853"/>
      <c r="CF411" s="853"/>
      <c r="CG411" s="853"/>
      <c r="CH411" s="853"/>
      <c r="CI411" s="853"/>
      <c r="CJ411" s="853"/>
      <c r="CK411" s="853"/>
      <c r="CL411" s="853"/>
      <c r="CM411" s="853"/>
      <c r="CN411" s="853"/>
      <c r="CO411" s="853"/>
      <c r="CP411" s="853"/>
      <c r="CQ411" s="853"/>
      <c r="CR411" s="853"/>
      <c r="CS411" s="853"/>
      <c r="CT411" s="853"/>
      <c r="CU411" s="853"/>
      <c r="CV411" s="853"/>
      <c r="CW411" s="853"/>
      <c r="CX411" s="853"/>
      <c r="CY411" s="853"/>
      <c r="CZ411" s="853"/>
      <c r="DA411" s="853"/>
      <c r="DB411"/>
      <c r="DC411"/>
      <c r="DD411" s="2323" t="s">
        <v>1620</v>
      </c>
      <c r="DE411" s="2349">
        <f>M411</f>
        <v>119.51063829787235</v>
      </c>
      <c r="DF411" s="2349">
        <f>R411</f>
        <v>122.18518518518519</v>
      </c>
      <c r="DG411" s="2349">
        <f>W411</f>
        <v>142.84905660377359</v>
      </c>
      <c r="DH411" s="2349">
        <f>AB411</f>
        <v>170.61224489795919</v>
      </c>
      <c r="DI411" s="2349">
        <f>AG411</f>
        <v>189.58823529411765</v>
      </c>
      <c r="DJ411" s="2349">
        <f>AL411</f>
        <v>198.73076923076923</v>
      </c>
      <c r="DK411" s="2349">
        <f>AQ411</f>
        <v>206.01754385964912</v>
      </c>
      <c r="DL411" s="2349">
        <f>AV411</f>
        <v>199.75409836065575</v>
      </c>
      <c r="DM411" s="2349">
        <f>BA411</f>
        <v>189.65671641791045</v>
      </c>
      <c r="DN411" s="2349">
        <f>BF411</f>
        <v>186.82608695652175</v>
      </c>
      <c r="DO411" s="2349">
        <f>BK411</f>
        <v>182.57746478873239</v>
      </c>
      <c r="DP411" s="2349">
        <f>BP411</f>
        <v>183.35211267605635</v>
      </c>
      <c r="DQ411" s="2349">
        <f>BU411</f>
        <v>0</v>
      </c>
      <c r="DR411" s="2349">
        <f>BZ411</f>
        <v>0</v>
      </c>
      <c r="DS411" s="2349">
        <f>CE411</f>
        <v>0</v>
      </c>
      <c r="DT411" s="2349">
        <f>CJ411</f>
        <v>0</v>
      </c>
      <c r="DU411" s="2349">
        <f>CO411</f>
        <v>0</v>
      </c>
      <c r="DV411" s="2349">
        <f>CT411</f>
        <v>0</v>
      </c>
      <c r="DW411" s="2349">
        <f t="shared" si="849"/>
        <v>0</v>
      </c>
      <c r="DX411" s="2349">
        <f t="shared" si="849"/>
        <v>0</v>
      </c>
      <c r="DY411" s="2349">
        <f t="shared" si="849"/>
        <v>0</v>
      </c>
      <c r="EA411"/>
      <c r="EB411"/>
      <c r="EC411"/>
      <c r="ED411"/>
      <c r="EE411"/>
      <c r="EF411"/>
      <c r="EJ411"/>
      <c r="EK411"/>
      <c r="EL411"/>
      <c r="ER411" s="212"/>
    </row>
    <row r="412" spans="1:148" s="923" customFormat="1" ht="12.75" hidden="1" customHeight="1" outlineLevel="1" x14ac:dyDescent="0.2">
      <c r="A412" s="865"/>
      <c r="B412" s="847"/>
      <c r="C412" s="847"/>
      <c r="D412" s="847"/>
      <c r="E412" s="847"/>
      <c r="F412" s="847"/>
      <c r="G412" s="847"/>
      <c r="H412" s="847"/>
      <c r="I412" s="847"/>
      <c r="J412" s="847"/>
      <c r="K412" s="847"/>
      <c r="L412" s="847"/>
      <c r="M412" s="847"/>
      <c r="N412" s="847"/>
      <c r="O412" s="847"/>
      <c r="P412" s="847"/>
      <c r="Q412" s="847"/>
      <c r="R412" s="847"/>
      <c r="S412" s="847"/>
      <c r="T412" s="847"/>
      <c r="U412" s="847"/>
      <c r="V412" s="847"/>
      <c r="W412" s="847"/>
      <c r="X412" s="847"/>
      <c r="Y412" s="847"/>
      <c r="Z412" s="847"/>
      <c r="AA412" s="847"/>
      <c r="AB412" s="847"/>
      <c r="AC412" s="847"/>
      <c r="AD412" s="847"/>
      <c r="AE412" s="847"/>
      <c r="AF412" s="847"/>
      <c r="AG412" s="847"/>
      <c r="AH412" s="847"/>
      <c r="AI412" s="847"/>
      <c r="AJ412" s="847"/>
      <c r="AK412" s="847"/>
      <c r="AL412" s="847"/>
      <c r="AM412" s="847"/>
      <c r="AN412" s="847"/>
      <c r="AO412" s="847"/>
      <c r="AP412" s="847"/>
      <c r="AQ412" s="847"/>
      <c r="AR412" s="847"/>
      <c r="AS412" s="847"/>
      <c r="AT412" s="847"/>
      <c r="AU412" s="847"/>
      <c r="AV412" s="847"/>
      <c r="AW412" s="847"/>
      <c r="AX412" s="847"/>
      <c r="AY412" s="847"/>
      <c r="AZ412" s="847"/>
      <c r="BA412" s="847"/>
      <c r="BB412" s="847"/>
      <c r="BC412" s="847"/>
      <c r="BD412" s="847"/>
      <c r="BE412" s="847"/>
      <c r="BF412" s="847"/>
      <c r="BG412" s="847"/>
      <c r="BH412" s="847"/>
      <c r="BI412" s="847"/>
      <c r="BJ412" s="847"/>
      <c r="BK412" s="847"/>
      <c r="BL412" s="847"/>
      <c r="BM412" s="847"/>
      <c r="BN412" s="847"/>
      <c r="BO412" s="847"/>
      <c r="BP412" s="847"/>
      <c r="BQ412" s="847"/>
      <c r="BR412" s="847"/>
      <c r="BS412" s="847"/>
      <c r="BT412" s="847"/>
      <c r="BU412" s="847"/>
      <c r="BV412" s="847"/>
      <c r="BW412" s="847"/>
      <c r="BX412" s="847"/>
      <c r="BY412" s="847"/>
      <c r="BZ412" s="847"/>
      <c r="CA412" s="847"/>
      <c r="CB412" s="847"/>
      <c r="CC412" s="847"/>
      <c r="CD412" s="847"/>
      <c r="CE412" s="847"/>
      <c r="CF412" s="847"/>
      <c r="CG412" s="847"/>
      <c r="CH412" s="847"/>
      <c r="CI412" s="847"/>
      <c r="CJ412" s="847"/>
      <c r="CK412" s="847"/>
      <c r="CL412" s="847"/>
      <c r="CM412" s="847"/>
      <c r="CN412" s="847"/>
      <c r="CO412" s="847"/>
      <c r="CP412" s="847"/>
      <c r="CQ412" s="847"/>
      <c r="CR412" s="847"/>
      <c r="CS412" s="847"/>
      <c r="CT412" s="847"/>
      <c r="CU412" s="847"/>
      <c r="CV412" s="847"/>
      <c r="CW412" s="847"/>
      <c r="CX412" s="847"/>
      <c r="CY412" s="847"/>
      <c r="CZ412" s="847"/>
      <c r="DA412" s="847"/>
      <c r="DB412"/>
      <c r="DC412"/>
      <c r="DD412" s="2323"/>
      <c r="DE412" s="2349"/>
      <c r="DF412" s="2349"/>
      <c r="DG412" s="2349"/>
      <c r="DH412" s="2349"/>
      <c r="DI412" s="2349"/>
      <c r="DJ412" s="2349"/>
      <c r="DK412" s="2349"/>
      <c r="DL412" s="2349"/>
      <c r="DM412" s="2349"/>
      <c r="DN412" s="2349"/>
      <c r="DO412" s="2349"/>
      <c r="DP412" s="2349"/>
      <c r="DQ412" s="2349"/>
      <c r="DR412" s="2349"/>
      <c r="DS412" s="2349"/>
      <c r="DT412" s="2349"/>
      <c r="DU412" s="2349"/>
      <c r="DV412" s="2349"/>
      <c r="DW412" s="2349"/>
      <c r="DX412" s="2349"/>
      <c r="DY412" s="2349"/>
      <c r="EA412"/>
      <c r="EB412"/>
      <c r="EC412"/>
      <c r="ED412"/>
      <c r="EE412"/>
      <c r="EF412"/>
      <c r="EJ412"/>
      <c r="EK412"/>
      <c r="EL412"/>
      <c r="ER412" s="212"/>
    </row>
    <row r="413" spans="1:148" s="923" customFormat="1" ht="12.75" hidden="1" customHeight="1" outlineLevel="1" x14ac:dyDescent="0.2">
      <c r="A413" s="865" t="s">
        <v>1332</v>
      </c>
      <c r="B413" s="847"/>
      <c r="C413" s="847"/>
      <c r="D413" s="847"/>
      <c r="E413" s="847"/>
      <c r="F413" s="847"/>
      <c r="G413" s="847"/>
      <c r="H413" s="847"/>
      <c r="I413" s="847"/>
      <c r="J413" s="847"/>
      <c r="K413" s="847"/>
      <c r="L413" s="847"/>
      <c r="M413" s="847"/>
      <c r="N413" s="847"/>
      <c r="O413" s="847"/>
      <c r="P413" s="847"/>
      <c r="Q413" s="847"/>
      <c r="R413" s="847"/>
      <c r="S413" s="847"/>
      <c r="T413" s="847"/>
      <c r="U413" s="847"/>
      <c r="V413" s="847"/>
      <c r="W413" s="847">
        <v>20</v>
      </c>
      <c r="X413" s="847"/>
      <c r="Y413" s="847"/>
      <c r="Z413" s="847"/>
      <c r="AA413" s="847"/>
      <c r="AB413" s="847">
        <v>22</v>
      </c>
      <c r="AC413" s="847"/>
      <c r="AD413" s="847"/>
      <c r="AE413" s="847"/>
      <c r="AF413" s="847"/>
      <c r="AG413" s="847">
        <v>24</v>
      </c>
      <c r="AH413" s="847"/>
      <c r="AI413" s="847"/>
      <c r="AJ413" s="847"/>
      <c r="AK413" s="847"/>
      <c r="AL413" s="847">
        <v>26</v>
      </c>
      <c r="AM413" s="847"/>
      <c r="AN413" s="847"/>
      <c r="AO413" s="847"/>
      <c r="AP413" s="847"/>
      <c r="AQ413" s="847">
        <v>27</v>
      </c>
      <c r="AR413" s="847"/>
      <c r="AS413" s="847"/>
      <c r="AT413" s="847"/>
      <c r="AU413" s="847"/>
      <c r="AV413" s="847">
        <v>28</v>
      </c>
      <c r="AW413" s="847"/>
      <c r="AX413" s="847"/>
      <c r="AY413" s="847"/>
      <c r="AZ413" s="847"/>
      <c r="BA413" s="847"/>
      <c r="BB413" s="847"/>
      <c r="BC413" s="847"/>
      <c r="BD413" s="847"/>
      <c r="BE413" s="847"/>
      <c r="BF413" s="847"/>
      <c r="BG413" s="847"/>
      <c r="BH413" s="847"/>
      <c r="BI413" s="847"/>
      <c r="BJ413" s="847"/>
      <c r="BK413" s="847"/>
      <c r="BL413" s="847"/>
      <c r="BM413" s="847"/>
      <c r="BN413" s="847"/>
      <c r="BO413" s="847"/>
      <c r="BP413" s="847"/>
      <c r="BQ413" s="847"/>
      <c r="BR413" s="847"/>
      <c r="BS413" s="847"/>
      <c r="BT413" s="847"/>
      <c r="BU413" s="847"/>
      <c r="BV413" s="847"/>
      <c r="BW413" s="847"/>
      <c r="BX413" s="847"/>
      <c r="BY413" s="847"/>
      <c r="BZ413" s="847"/>
      <c r="CA413" s="847"/>
      <c r="CB413" s="847"/>
      <c r="CC413" s="847"/>
      <c r="CD413" s="847"/>
      <c r="CE413" s="847"/>
      <c r="CF413" s="847"/>
      <c r="CG413" s="847"/>
      <c r="CH413" s="847"/>
      <c r="CI413" s="847"/>
      <c r="CJ413" s="847"/>
      <c r="CK413" s="847"/>
      <c r="CL413" s="847"/>
      <c r="CM413" s="847"/>
      <c r="CN413" s="847"/>
      <c r="CO413" s="847"/>
      <c r="CP413" s="847"/>
      <c r="CQ413" s="847"/>
      <c r="CR413" s="847"/>
      <c r="CS413" s="847"/>
      <c r="CT413" s="847"/>
      <c r="CU413" s="847"/>
      <c r="CV413" s="847"/>
      <c r="CW413" s="847"/>
      <c r="CX413" s="847"/>
      <c r="CY413" s="847"/>
      <c r="CZ413" s="847"/>
      <c r="DA413" s="847"/>
      <c r="DB413"/>
      <c r="DC413"/>
      <c r="DD413" s="2323" t="s">
        <v>1332</v>
      </c>
      <c r="DE413" s="2349">
        <f>M413</f>
        <v>0</v>
      </c>
      <c r="DF413" s="2349">
        <f>R413</f>
        <v>0</v>
      </c>
      <c r="DG413" s="2349">
        <f>W413</f>
        <v>20</v>
      </c>
      <c r="DH413" s="2349">
        <f>AB413</f>
        <v>22</v>
      </c>
      <c r="DI413" s="2349">
        <f>AG413</f>
        <v>24</v>
      </c>
      <c r="DJ413" s="2349">
        <f>AL413</f>
        <v>26</v>
      </c>
      <c r="DK413" s="2349">
        <f>AQ413</f>
        <v>27</v>
      </c>
      <c r="DL413" s="2349">
        <f>AV413</f>
        <v>28</v>
      </c>
      <c r="DM413" s="2349">
        <f>BA413</f>
        <v>0</v>
      </c>
      <c r="DN413" s="2349">
        <f>BF413</f>
        <v>0</v>
      </c>
      <c r="DO413" s="2349">
        <f>BK413</f>
        <v>0</v>
      </c>
      <c r="DP413" s="2349">
        <f>BP413</f>
        <v>0</v>
      </c>
      <c r="DQ413" s="2349">
        <f>BU413</f>
        <v>0</v>
      </c>
      <c r="DR413" s="2349">
        <f>BZ413</f>
        <v>0</v>
      </c>
      <c r="DS413" s="2349">
        <f>CE413</f>
        <v>0</v>
      </c>
      <c r="DT413" s="2349">
        <f>CJ413</f>
        <v>0</v>
      </c>
      <c r="DU413" s="2349">
        <f>CO413</f>
        <v>0</v>
      </c>
      <c r="DV413" s="2349">
        <f>CT413</f>
        <v>0</v>
      </c>
      <c r="DW413" s="2349">
        <f>CY413</f>
        <v>0</v>
      </c>
      <c r="DX413" s="2349">
        <f>CZ413</f>
        <v>0</v>
      </c>
      <c r="DY413" s="2349">
        <f>DA413</f>
        <v>0</v>
      </c>
      <c r="EA413"/>
      <c r="EB413"/>
      <c r="EC413"/>
      <c r="ED413"/>
      <c r="EE413"/>
      <c r="EF413"/>
      <c r="EJ413"/>
      <c r="EK413"/>
      <c r="EL413"/>
      <c r="ER413" s="212"/>
    </row>
    <row r="414" spans="1:148" s="923" customFormat="1" ht="12.75" hidden="1" customHeight="1" outlineLevel="1" x14ac:dyDescent="0.2">
      <c r="A414" s="865"/>
      <c r="B414" s="847"/>
      <c r="C414" s="847"/>
      <c r="D414" s="847"/>
      <c r="E414" s="847"/>
      <c r="F414" s="847"/>
      <c r="G414" s="847"/>
      <c r="H414" s="847"/>
      <c r="I414" s="847"/>
      <c r="J414" s="847"/>
      <c r="K414" s="847"/>
      <c r="L414" s="847"/>
      <c r="M414" s="847"/>
      <c r="N414" s="847"/>
      <c r="O414" s="847"/>
      <c r="P414" s="847"/>
      <c r="Q414" s="847"/>
      <c r="R414" s="847"/>
      <c r="S414" s="847"/>
      <c r="T414" s="847"/>
      <c r="U414" s="847"/>
      <c r="V414" s="847"/>
      <c r="W414" s="847"/>
      <c r="X414" s="847"/>
      <c r="Y414" s="847"/>
      <c r="Z414" s="847"/>
      <c r="AA414" s="847"/>
      <c r="AB414" s="847"/>
      <c r="AC414" s="847"/>
      <c r="AD414" s="847"/>
      <c r="AE414" s="847"/>
      <c r="AF414" s="847"/>
      <c r="AG414" s="847"/>
      <c r="AH414" s="847"/>
      <c r="AI414" s="847"/>
      <c r="AJ414" s="847"/>
      <c r="AK414" s="847"/>
      <c r="AL414" s="847"/>
      <c r="AM414" s="847"/>
      <c r="AN414" s="847"/>
      <c r="AO414" s="847"/>
      <c r="AP414" s="847"/>
      <c r="AQ414" s="847"/>
      <c r="AR414" s="847"/>
      <c r="AS414" s="847"/>
      <c r="AT414" s="847"/>
      <c r="AU414" s="847"/>
      <c r="AV414" s="847"/>
      <c r="AW414" s="847"/>
      <c r="AX414" s="847"/>
      <c r="AY414" s="847"/>
      <c r="AZ414" s="847"/>
      <c r="BA414" s="847"/>
      <c r="BB414" s="847"/>
      <c r="BC414" s="847"/>
      <c r="BD414" s="847"/>
      <c r="BE414" s="847"/>
      <c r="BF414" s="847"/>
      <c r="BG414" s="847"/>
      <c r="BH414" s="847"/>
      <c r="BI414" s="847"/>
      <c r="BJ414" s="847"/>
      <c r="BK414" s="847"/>
      <c r="BL414" s="847"/>
      <c r="BM414" s="847"/>
      <c r="BN414" s="847"/>
      <c r="BO414" s="847"/>
      <c r="BP414" s="847"/>
      <c r="BQ414" s="847"/>
      <c r="BR414" s="847"/>
      <c r="BS414" s="847"/>
      <c r="BT414" s="847"/>
      <c r="BU414" s="847"/>
      <c r="BV414" s="847"/>
      <c r="BW414" s="847"/>
      <c r="BX414" s="847"/>
      <c r="BY414" s="847"/>
      <c r="BZ414" s="847"/>
      <c r="CA414" s="847"/>
      <c r="CB414" s="847"/>
      <c r="CC414" s="847"/>
      <c r="CD414" s="847"/>
      <c r="CE414" s="847"/>
      <c r="CF414" s="847"/>
      <c r="CG414" s="847"/>
      <c r="CH414" s="847"/>
      <c r="CI414" s="847"/>
      <c r="CJ414" s="847"/>
      <c r="CK414" s="847"/>
      <c r="CL414" s="847"/>
      <c r="CM414" s="847"/>
      <c r="CN414" s="847"/>
      <c r="CO414" s="847"/>
      <c r="CP414" s="847"/>
      <c r="CQ414" s="847"/>
      <c r="CR414" s="847"/>
      <c r="CS414" s="847"/>
      <c r="CT414" s="847"/>
      <c r="CU414" s="847"/>
      <c r="CV414" s="847"/>
      <c r="CW414" s="847"/>
      <c r="CX414" s="847"/>
      <c r="CY414" s="847"/>
      <c r="CZ414" s="847"/>
      <c r="DA414" s="847"/>
      <c r="DB414"/>
      <c r="DC414"/>
      <c r="DD414" s="2323"/>
      <c r="DE414" s="2349"/>
      <c r="DF414" s="2349"/>
      <c r="DG414" s="2349"/>
      <c r="DH414" s="2349"/>
      <c r="DI414" s="2349"/>
      <c r="DJ414" s="2349"/>
      <c r="DK414" s="2349"/>
      <c r="DL414" s="2349"/>
      <c r="DM414" s="2349"/>
      <c r="DN414" s="2349"/>
      <c r="DO414" s="2349"/>
      <c r="DP414" s="2349"/>
      <c r="DQ414" s="2349"/>
      <c r="DR414" s="2349"/>
      <c r="DS414" s="2349"/>
      <c r="DT414" s="2349"/>
      <c r="DU414" s="2349"/>
      <c r="DV414" s="2349"/>
      <c r="DW414" s="2349"/>
      <c r="DX414" s="2349"/>
      <c r="DY414" s="2349"/>
      <c r="EA414"/>
      <c r="EB414"/>
      <c r="EC414"/>
      <c r="ED414"/>
      <c r="EE414"/>
      <c r="EF414"/>
      <c r="EJ414"/>
      <c r="EK414"/>
      <c r="EL414"/>
      <c r="ER414" s="212"/>
    </row>
    <row r="415" spans="1:148" s="923" customFormat="1" ht="12.75" hidden="1" customHeight="1" outlineLevel="1" x14ac:dyDescent="0.2">
      <c r="A415" s="865" t="s">
        <v>1333</v>
      </c>
      <c r="B415" s="847"/>
      <c r="C415" s="847"/>
      <c r="D415" s="847"/>
      <c r="E415" s="847"/>
      <c r="F415" s="847"/>
      <c r="G415" s="847"/>
      <c r="H415" s="847"/>
      <c r="I415" s="847"/>
      <c r="J415" s="847"/>
      <c r="K415" s="847"/>
      <c r="L415" s="847"/>
      <c r="M415" s="847"/>
      <c r="N415" s="847"/>
      <c r="O415" s="847"/>
      <c r="P415" s="847"/>
      <c r="Q415" s="847"/>
      <c r="R415" s="847"/>
      <c r="S415" s="847"/>
      <c r="T415" s="847"/>
      <c r="U415" s="847"/>
      <c r="V415" s="847"/>
      <c r="W415" s="847"/>
      <c r="X415" s="847"/>
      <c r="Y415" s="847"/>
      <c r="Z415" s="847"/>
      <c r="AA415" s="847"/>
      <c r="AB415" s="847"/>
      <c r="AC415" s="847"/>
      <c r="AD415" s="847"/>
      <c r="AE415" s="847"/>
      <c r="AF415" s="847"/>
      <c r="AG415" s="847"/>
      <c r="AH415" s="847"/>
      <c r="AI415" s="847"/>
      <c r="AJ415" s="847"/>
      <c r="AK415" s="847"/>
      <c r="AL415" s="847"/>
      <c r="AM415" s="847"/>
      <c r="AN415" s="847"/>
      <c r="AO415" s="847"/>
      <c r="AP415" s="847"/>
      <c r="AQ415" s="847"/>
      <c r="AR415" s="847"/>
      <c r="AS415" s="847"/>
      <c r="AT415" s="847"/>
      <c r="AU415" s="847"/>
      <c r="AV415" s="847"/>
      <c r="AW415" s="847"/>
      <c r="AX415" s="847"/>
      <c r="AY415" s="847"/>
      <c r="AZ415" s="847"/>
      <c r="BA415" s="847"/>
      <c r="BB415" s="847"/>
      <c r="BC415" s="847"/>
      <c r="BD415" s="847"/>
      <c r="BE415" s="847"/>
      <c r="BF415" s="847"/>
      <c r="BG415" s="847"/>
      <c r="BH415" s="847"/>
      <c r="BI415" s="847"/>
      <c r="BJ415" s="847"/>
      <c r="BK415" s="847"/>
      <c r="BL415" s="847"/>
      <c r="BM415" s="847"/>
      <c r="BN415" s="847"/>
      <c r="BO415" s="847"/>
      <c r="BP415" s="847"/>
      <c r="BQ415" s="847"/>
      <c r="BR415" s="847"/>
      <c r="BS415" s="847"/>
      <c r="BT415" s="847"/>
      <c r="BU415" s="847"/>
      <c r="BV415" s="847"/>
      <c r="BW415" s="847"/>
      <c r="BX415" s="847"/>
      <c r="BY415" s="847"/>
      <c r="BZ415" s="847"/>
      <c r="CA415" s="847"/>
      <c r="CB415" s="847"/>
      <c r="CC415" s="847"/>
      <c r="CD415" s="847"/>
      <c r="CE415" s="847"/>
      <c r="CF415" s="847"/>
      <c r="CG415" s="847"/>
      <c r="CH415" s="847"/>
      <c r="CI415" s="847"/>
      <c r="CJ415" s="847"/>
      <c r="CK415" s="847"/>
      <c r="CL415" s="847"/>
      <c r="CM415" s="847"/>
      <c r="CN415" s="847"/>
      <c r="CO415" s="847"/>
      <c r="CP415" s="847"/>
      <c r="CQ415" s="847"/>
      <c r="CR415" s="847"/>
      <c r="CS415" s="847"/>
      <c r="CT415" s="847"/>
      <c r="CU415" s="847"/>
      <c r="CV415" s="847"/>
      <c r="CW415" s="847"/>
      <c r="CX415" s="847"/>
      <c r="CY415" s="847"/>
      <c r="CZ415" s="847"/>
      <c r="DA415" s="847"/>
      <c r="DB415"/>
      <c r="DC415"/>
      <c r="DD415" s="2323" t="s">
        <v>1333</v>
      </c>
      <c r="DE415" s="2349">
        <f>M415</f>
        <v>0</v>
      </c>
      <c r="DF415" s="2349">
        <f>R415</f>
        <v>0</v>
      </c>
      <c r="DG415" s="2349">
        <f>W415</f>
        <v>0</v>
      </c>
      <c r="DH415" s="2349">
        <f>AB415</f>
        <v>0</v>
      </c>
      <c r="DI415" s="2349">
        <f>AG415</f>
        <v>0</v>
      </c>
      <c r="DJ415" s="2349">
        <f>AL415</f>
        <v>0</v>
      </c>
      <c r="DK415" s="2349">
        <f>AQ415</f>
        <v>0</v>
      </c>
      <c r="DL415" s="2349">
        <f>AV415</f>
        <v>0</v>
      </c>
      <c r="DM415" s="2349">
        <f>BA415</f>
        <v>0</v>
      </c>
      <c r="DN415" s="2349">
        <f>BF415</f>
        <v>0</v>
      </c>
      <c r="DO415" s="2349">
        <f>BK415</f>
        <v>0</v>
      </c>
      <c r="DP415" s="2349">
        <f>BP415</f>
        <v>0</v>
      </c>
      <c r="DQ415" s="2349">
        <f>BU415</f>
        <v>0</v>
      </c>
      <c r="DR415" s="2349">
        <f>BZ415</f>
        <v>0</v>
      </c>
      <c r="DS415" s="2349">
        <f>CE415</f>
        <v>0</v>
      </c>
      <c r="DT415" s="2349">
        <f>CJ415</f>
        <v>0</v>
      </c>
      <c r="DU415" s="2349">
        <f>CO415</f>
        <v>0</v>
      </c>
      <c r="DV415" s="2349">
        <f>CT415</f>
        <v>0</v>
      </c>
      <c r="DW415" s="2349">
        <f>CY415</f>
        <v>0</v>
      </c>
      <c r="DX415" s="2349">
        <f>CZ415</f>
        <v>0</v>
      </c>
      <c r="DY415" s="2349">
        <f>DA415</f>
        <v>0</v>
      </c>
      <c r="EA415"/>
      <c r="EB415"/>
      <c r="EC415"/>
      <c r="ED415"/>
      <c r="EE415"/>
      <c r="EF415"/>
      <c r="EJ415"/>
      <c r="EK415"/>
      <c r="EL415"/>
      <c r="ER415" s="212"/>
    </row>
    <row r="416" spans="1:148" s="923" customFormat="1" ht="12.75" hidden="1" customHeight="1" outlineLevel="1" x14ac:dyDescent="0.2">
      <c r="A416" s="865"/>
      <c r="B416" s="847"/>
      <c r="C416" s="847"/>
      <c r="D416" s="847"/>
      <c r="E416" s="847"/>
      <c r="F416" s="847"/>
      <c r="G416" s="847"/>
      <c r="H416" s="847"/>
      <c r="I416" s="847"/>
      <c r="J416" s="847"/>
      <c r="K416" s="847"/>
      <c r="L416" s="847"/>
      <c r="M416" s="847"/>
      <c r="N416" s="847"/>
      <c r="O416" s="847"/>
      <c r="P416" s="847"/>
      <c r="Q416" s="847"/>
      <c r="R416" s="847"/>
      <c r="S416" s="847"/>
      <c r="T416" s="847"/>
      <c r="U416" s="847"/>
      <c r="V416" s="847"/>
      <c r="W416" s="847"/>
      <c r="X416" s="847"/>
      <c r="Y416" s="847"/>
      <c r="Z416" s="847"/>
      <c r="AA416" s="847"/>
      <c r="AB416" s="847"/>
      <c r="AC416" s="847"/>
      <c r="AD416" s="847"/>
      <c r="AE416" s="847"/>
      <c r="AF416" s="847"/>
      <c r="AG416" s="847"/>
      <c r="AH416" s="847"/>
      <c r="AI416" s="847"/>
      <c r="AJ416" s="847"/>
      <c r="AK416" s="847"/>
      <c r="AL416" s="847"/>
      <c r="AM416" s="847"/>
      <c r="AN416" s="847"/>
      <c r="AO416" s="847"/>
      <c r="AP416" s="847"/>
      <c r="AQ416" s="847"/>
      <c r="AR416" s="847"/>
      <c r="AS416" s="847"/>
      <c r="AT416" s="847"/>
      <c r="AU416" s="847"/>
      <c r="AV416" s="847"/>
      <c r="AW416" s="847"/>
      <c r="AX416" s="847"/>
      <c r="AY416" s="847"/>
      <c r="AZ416" s="847"/>
      <c r="BA416" s="847"/>
      <c r="BB416" s="847"/>
      <c r="BC416" s="847"/>
      <c r="BD416" s="847"/>
      <c r="BE416" s="847"/>
      <c r="BF416" s="847"/>
      <c r="BG416" s="847"/>
      <c r="BH416" s="847"/>
      <c r="BI416" s="847"/>
      <c r="BJ416" s="847"/>
      <c r="BK416" s="847"/>
      <c r="BL416" s="847"/>
      <c r="BM416" s="847"/>
      <c r="BN416" s="847"/>
      <c r="BO416" s="847"/>
      <c r="BP416" s="847"/>
      <c r="BQ416" s="847"/>
      <c r="BR416" s="847"/>
      <c r="BS416" s="847"/>
      <c r="BT416" s="847"/>
      <c r="BU416" s="847"/>
      <c r="BV416" s="847"/>
      <c r="BW416" s="847"/>
      <c r="BX416" s="847"/>
      <c r="BY416" s="847"/>
      <c r="BZ416" s="847"/>
      <c r="CA416" s="847"/>
      <c r="CB416" s="847"/>
      <c r="CC416" s="847"/>
      <c r="CD416" s="847"/>
      <c r="CE416" s="847"/>
      <c r="CF416" s="847"/>
      <c r="CG416" s="847"/>
      <c r="CH416" s="847"/>
      <c r="CI416" s="847"/>
      <c r="CJ416" s="847"/>
      <c r="CK416" s="847"/>
      <c r="CL416" s="847"/>
      <c r="CM416" s="847"/>
      <c r="CN416" s="847"/>
      <c r="CO416" s="847"/>
      <c r="CP416" s="847"/>
      <c r="CQ416" s="847"/>
      <c r="CR416" s="847"/>
      <c r="CS416" s="847"/>
      <c r="CT416" s="847"/>
      <c r="CU416" s="847"/>
      <c r="CV416" s="847"/>
      <c r="CW416" s="847"/>
      <c r="CX416" s="847"/>
      <c r="CY416" s="847"/>
      <c r="CZ416" s="847"/>
      <c r="DA416" s="847"/>
      <c r="DB416"/>
      <c r="DC416"/>
      <c r="DD416" s="2323"/>
      <c r="DE416" s="2349"/>
      <c r="DF416" s="2349"/>
      <c r="DG416" s="2349"/>
      <c r="DH416" s="2349"/>
      <c r="DI416" s="2349"/>
      <c r="DJ416" s="2349"/>
      <c r="DK416" s="2349"/>
      <c r="DL416" s="2349"/>
      <c r="DM416" s="2349"/>
      <c r="DN416" s="2349"/>
      <c r="DO416" s="2349"/>
      <c r="DP416" s="2349"/>
      <c r="DQ416" s="2349"/>
      <c r="DR416" s="2349"/>
      <c r="DS416" s="2349"/>
      <c r="DT416" s="2349"/>
      <c r="DU416" s="2349"/>
      <c r="DV416" s="2349"/>
      <c r="DW416" s="2349"/>
      <c r="DX416" s="2349"/>
      <c r="DY416" s="2349"/>
      <c r="EA416"/>
      <c r="EB416"/>
      <c r="EC416"/>
      <c r="ED416"/>
      <c r="EE416"/>
      <c r="EF416"/>
      <c r="EJ416"/>
      <c r="EK416"/>
      <c r="EL416"/>
      <c r="ER416" s="212"/>
    </row>
    <row r="417" spans="1:148" s="923" customFormat="1" ht="12.75" hidden="1" customHeight="1" outlineLevel="1" x14ac:dyDescent="0.2">
      <c r="A417" s="865" t="s">
        <v>1334</v>
      </c>
      <c r="B417" s="889"/>
      <c r="C417" s="889"/>
      <c r="D417" s="889"/>
      <c r="E417" s="889"/>
      <c r="F417" s="889"/>
      <c r="G417" s="889"/>
      <c r="H417" s="889"/>
      <c r="I417" s="889"/>
      <c r="J417" s="889"/>
      <c r="K417" s="889"/>
      <c r="L417" s="889"/>
      <c r="M417" s="889"/>
      <c r="N417" s="889"/>
      <c r="O417" s="889"/>
      <c r="P417" s="889"/>
      <c r="Q417" s="889"/>
      <c r="R417" s="889"/>
      <c r="S417" s="889"/>
      <c r="T417" s="889"/>
      <c r="U417" s="889"/>
      <c r="V417" s="889"/>
      <c r="W417" s="889"/>
      <c r="X417" s="889"/>
      <c r="Y417" s="889"/>
      <c r="Z417" s="889"/>
      <c r="AA417" s="889"/>
      <c r="AB417" s="889"/>
      <c r="AC417" s="889"/>
      <c r="AD417" s="889"/>
      <c r="AE417" s="889"/>
      <c r="AF417" s="889"/>
      <c r="AG417" s="889"/>
      <c r="AH417" s="889">
        <v>-0.05</v>
      </c>
      <c r="AI417" s="889">
        <v>-0.01</v>
      </c>
      <c r="AJ417" s="889">
        <v>0</v>
      </c>
      <c r="AK417" s="889">
        <v>0.06</v>
      </c>
      <c r="AL417" s="889"/>
      <c r="AM417" s="889">
        <v>-0.1</v>
      </c>
      <c r="AN417" s="889">
        <v>0.4</v>
      </c>
      <c r="AO417" s="889">
        <v>0.03</v>
      </c>
      <c r="AP417" s="889">
        <v>0.33</v>
      </c>
      <c r="AQ417" s="889"/>
      <c r="AR417" s="889">
        <f t="shared" ref="AR417:BK417" si="851">+AR431/AM431-1</f>
        <v>5.1612903225806361E-2</v>
      </c>
      <c r="AS417" s="889">
        <f t="shared" si="851"/>
        <v>-0.23779193205944793</v>
      </c>
      <c r="AT417" s="889">
        <f t="shared" si="851"/>
        <v>-1.4084507042253502E-2</v>
      </c>
      <c r="AU417" s="889">
        <f t="shared" si="851"/>
        <v>-0.26209677419354838</v>
      </c>
      <c r="AV417" s="889">
        <f t="shared" si="851"/>
        <v>-0.14154411764705888</v>
      </c>
      <c r="AW417" s="889">
        <f t="shared" si="851"/>
        <v>2.1472392638036908E-2</v>
      </c>
      <c r="AX417" s="889">
        <f t="shared" si="851"/>
        <v>-6.9637883008356494E-2</v>
      </c>
      <c r="AY417" s="889">
        <f t="shared" si="851"/>
        <v>-0.12571428571428567</v>
      </c>
      <c r="AZ417" s="889">
        <f t="shared" si="851"/>
        <v>-0.71857923497267762</v>
      </c>
      <c r="BA417" s="889">
        <f t="shared" si="851"/>
        <v>-0.23197715917202</v>
      </c>
      <c r="BB417" s="889">
        <f t="shared" si="851"/>
        <v>-0.52852852852852861</v>
      </c>
      <c r="BC417" s="889">
        <f t="shared" si="851"/>
        <v>-0.3652694610778443</v>
      </c>
      <c r="BD417" s="889">
        <f t="shared" si="851"/>
        <v>-0.42483660130718959</v>
      </c>
      <c r="BE417" s="889">
        <f t="shared" si="851"/>
        <v>0.970873786407767</v>
      </c>
      <c r="BF417" s="889">
        <f t="shared" si="851"/>
        <v>-0.30483271375464682</v>
      </c>
      <c r="BG417" s="889">
        <f t="shared" si="851"/>
        <v>4.4585987261146487E-2</v>
      </c>
      <c r="BH417" s="889">
        <f t="shared" si="851"/>
        <v>-0.24056603773584906</v>
      </c>
      <c r="BI417" s="889">
        <f t="shared" si="851"/>
        <v>-6.8181818181818232E-2</v>
      </c>
      <c r="BJ417" s="889">
        <f t="shared" si="851"/>
        <v>-2.9556650246305383E-2</v>
      </c>
      <c r="BK417" s="889">
        <f t="shared" si="851"/>
        <v>-8.2887700534759357E-2</v>
      </c>
      <c r="BL417" s="889">
        <f>+BL431/BG431-1</f>
        <v>-0.1097560975609756</v>
      </c>
      <c r="BM417" s="889">
        <f>+BM431/BH431-1</f>
        <v>1.2422360248447228E-2</v>
      </c>
      <c r="BN417" s="889">
        <f>+BN431/BI431-1</f>
        <v>9.1463414634146423E-2</v>
      </c>
      <c r="BO417" s="889">
        <v>0</v>
      </c>
      <c r="BP417" s="889">
        <f>+BP431/BK431-1</f>
        <v>-1.4577259475219151E-3</v>
      </c>
      <c r="BQ417" s="889">
        <v>-1</v>
      </c>
      <c r="BR417" s="889">
        <v>-1</v>
      </c>
      <c r="BS417" s="889">
        <v>-1</v>
      </c>
      <c r="BT417" s="889">
        <v>-1</v>
      </c>
      <c r="BU417" s="889">
        <v>0</v>
      </c>
      <c r="BV417" s="889"/>
      <c r="BW417" s="889"/>
      <c r="BX417" s="889"/>
      <c r="BY417" s="889"/>
      <c r="BZ417" s="889"/>
      <c r="CA417" s="889"/>
      <c r="CB417" s="889"/>
      <c r="CC417" s="889"/>
      <c r="CD417" s="889"/>
      <c r="CE417" s="889"/>
      <c r="CF417" s="889"/>
      <c r="CG417" s="889"/>
      <c r="CH417" s="889"/>
      <c r="CI417" s="889"/>
      <c r="CJ417" s="889"/>
      <c r="CK417" s="889"/>
      <c r="CL417" s="889"/>
      <c r="CM417" s="889"/>
      <c r="CN417" s="889"/>
      <c r="CO417" s="889"/>
      <c r="CP417" s="889"/>
      <c r="CQ417" s="889"/>
      <c r="CR417" s="889"/>
      <c r="CS417" s="889"/>
      <c r="CT417" s="889"/>
      <c r="CU417" s="889"/>
      <c r="CV417" s="889"/>
      <c r="CW417" s="889"/>
      <c r="CX417" s="889"/>
      <c r="CY417" s="889"/>
      <c r="CZ417" s="889"/>
      <c r="DA417" s="889"/>
      <c r="DB417"/>
      <c r="DC417"/>
      <c r="DD417" s="2323" t="s">
        <v>1334</v>
      </c>
      <c r="DE417" s="2349">
        <f>M417</f>
        <v>0</v>
      </c>
      <c r="DF417" s="2349">
        <f>R417</f>
        <v>0</v>
      </c>
      <c r="DG417" s="2349">
        <f>W417</f>
        <v>0</v>
      </c>
      <c r="DH417" s="2349">
        <f>AB417</f>
        <v>0</v>
      </c>
      <c r="DI417" s="2349">
        <f>AG417</f>
        <v>0</v>
      </c>
      <c r="DJ417" s="2349">
        <f>AL417</f>
        <v>0</v>
      </c>
      <c r="DK417" s="2349">
        <f>AQ417</f>
        <v>0</v>
      </c>
      <c r="DL417" s="2349">
        <f>AV417</f>
        <v>-0.14154411764705888</v>
      </c>
      <c r="DM417" s="2349">
        <f>BA417</f>
        <v>-0.23197715917202</v>
      </c>
      <c r="DN417" s="2349">
        <f>BF417</f>
        <v>-0.30483271375464682</v>
      </c>
      <c r="DO417" s="2349">
        <f>BK417</f>
        <v>-8.2887700534759357E-2</v>
      </c>
      <c r="DP417" s="2349">
        <f>BP417</f>
        <v>-1.4577259475219151E-3</v>
      </c>
      <c r="DQ417" s="2349">
        <f>BU417</f>
        <v>0</v>
      </c>
      <c r="DR417" s="2349">
        <f>BZ417</f>
        <v>0</v>
      </c>
      <c r="DS417" s="2349">
        <f>CE417</f>
        <v>0</v>
      </c>
      <c r="DT417" s="2349">
        <f>CJ417</f>
        <v>0</v>
      </c>
      <c r="DU417" s="2349">
        <f>CO417</f>
        <v>0</v>
      </c>
      <c r="DV417" s="2349">
        <f>CT417</f>
        <v>0</v>
      </c>
      <c r="DW417" s="2349">
        <f>CY417</f>
        <v>0</v>
      </c>
      <c r="DX417" s="2349">
        <f>CZ417</f>
        <v>0</v>
      </c>
      <c r="DY417" s="2349">
        <f>DA417</f>
        <v>0</v>
      </c>
      <c r="EA417"/>
      <c r="EB417"/>
      <c r="EC417"/>
      <c r="ED417"/>
      <c r="EE417"/>
      <c r="EF417"/>
      <c r="EJ417"/>
      <c r="EK417"/>
      <c r="EL417"/>
      <c r="ER417" s="212"/>
    </row>
    <row r="418" spans="1:148" s="923" customFormat="1" ht="12.75" hidden="1" customHeight="1" outlineLevel="1" x14ac:dyDescent="0.2">
      <c r="A418" s="865"/>
      <c r="B418" s="765"/>
      <c r="C418" s="765"/>
      <c r="D418" s="765"/>
      <c r="E418" s="765"/>
      <c r="F418" s="765"/>
      <c r="G418" s="765"/>
      <c r="H418" s="765"/>
      <c r="I418" s="765"/>
      <c r="J418" s="765"/>
      <c r="K418" s="765"/>
      <c r="L418" s="765"/>
      <c r="M418" s="847"/>
      <c r="N418" s="765"/>
      <c r="O418" s="765"/>
      <c r="P418" s="765"/>
      <c r="Q418" s="765"/>
      <c r="R418" s="847"/>
      <c r="S418" s="765"/>
      <c r="T418" s="765"/>
      <c r="U418" s="765"/>
      <c r="V418" s="765"/>
      <c r="W418" s="847"/>
      <c r="X418" s="765"/>
      <c r="Y418" s="765"/>
      <c r="Z418" s="765"/>
      <c r="AA418" s="765"/>
      <c r="AB418" s="847"/>
      <c r="AC418" s="765"/>
      <c r="AD418" s="765"/>
      <c r="AE418" s="765"/>
      <c r="AF418" s="765"/>
      <c r="AG418" s="847"/>
      <c r="AH418" s="765"/>
      <c r="AI418" s="765"/>
      <c r="AJ418" s="765"/>
      <c r="AK418" s="765"/>
      <c r="AL418" s="847"/>
      <c r="AM418" s="765"/>
      <c r="AN418" s="765"/>
      <c r="AO418" s="765"/>
      <c r="AP418" s="765"/>
      <c r="AQ418" s="847"/>
      <c r="AR418" s="765"/>
      <c r="AS418" s="765"/>
      <c r="AT418" s="765"/>
      <c r="AU418" s="765"/>
      <c r="AV418" s="847"/>
      <c r="AW418" s="765"/>
      <c r="AX418" s="765"/>
      <c r="AY418" s="765"/>
      <c r="AZ418" s="765"/>
      <c r="BA418" s="847"/>
      <c r="BB418" s="765"/>
      <c r="BC418" s="765"/>
      <c r="BD418" s="765"/>
      <c r="BE418" s="765"/>
      <c r="BF418" s="847"/>
      <c r="BG418" s="765"/>
      <c r="BH418" s="765"/>
      <c r="BI418" s="765"/>
      <c r="BJ418" s="765"/>
      <c r="BK418" s="847"/>
      <c r="BL418" s="765"/>
      <c r="BM418" s="765"/>
      <c r="BN418" s="765"/>
      <c r="BO418" s="765"/>
      <c r="BP418" s="847"/>
      <c r="BQ418" s="765"/>
      <c r="BR418" s="765"/>
      <c r="BS418" s="765"/>
      <c r="BT418" s="765"/>
      <c r="BU418" s="847"/>
      <c r="BV418" s="765"/>
      <c r="BW418" s="765"/>
      <c r="BX418" s="765"/>
      <c r="BY418" s="765"/>
      <c r="BZ418" s="847"/>
      <c r="CA418" s="847"/>
      <c r="CB418" s="847"/>
      <c r="CC418" s="847"/>
      <c r="CD418" s="847"/>
      <c r="CE418" s="847"/>
      <c r="CF418" s="847"/>
      <c r="CG418" s="847"/>
      <c r="CH418" s="847"/>
      <c r="CI418" s="847"/>
      <c r="CJ418" s="847"/>
      <c r="CK418" s="847"/>
      <c r="CL418" s="847"/>
      <c r="CM418" s="847"/>
      <c r="CN418" s="847"/>
      <c r="CO418" s="847"/>
      <c r="CP418" s="847"/>
      <c r="CQ418" s="847"/>
      <c r="CR418" s="847"/>
      <c r="CS418" s="847"/>
      <c r="CT418" s="847"/>
      <c r="CU418" s="847"/>
      <c r="CV418" s="847"/>
      <c r="CW418" s="847"/>
      <c r="CX418" s="847"/>
      <c r="CY418" s="847"/>
      <c r="CZ418" s="847"/>
      <c r="DA418" s="847"/>
      <c r="DB418"/>
      <c r="DC418"/>
      <c r="DD418" s="2323"/>
      <c r="DE418" s="2349"/>
      <c r="DF418" s="2349"/>
      <c r="DG418" s="2349"/>
      <c r="DH418" s="2349"/>
      <c r="DI418" s="2349"/>
      <c r="DJ418" s="2349"/>
      <c r="DK418" s="2349"/>
      <c r="DL418" s="2349"/>
      <c r="DM418" s="2349"/>
      <c r="DN418" s="2349"/>
      <c r="DO418" s="2349"/>
      <c r="DP418" s="2349"/>
      <c r="DQ418" s="2349"/>
      <c r="DR418" s="2349"/>
      <c r="DS418" s="2349"/>
      <c r="DT418" s="2349"/>
      <c r="DU418" s="2349"/>
      <c r="DV418" s="2349"/>
      <c r="DW418" s="2349"/>
      <c r="DX418" s="2349"/>
      <c r="DY418" s="2349"/>
      <c r="EA418"/>
      <c r="EB418"/>
      <c r="EC418"/>
      <c r="ED418"/>
      <c r="EE418"/>
      <c r="EF418"/>
      <c r="EJ418"/>
      <c r="EK418"/>
      <c r="EL418"/>
      <c r="ER418" s="212"/>
    </row>
    <row r="419" spans="1:148" s="923" customFormat="1" ht="12.75" hidden="1" customHeight="1" outlineLevel="1" x14ac:dyDescent="0.2">
      <c r="A419" s="867" t="s">
        <v>577</v>
      </c>
      <c r="B419" s="765"/>
      <c r="C419" s="765"/>
      <c r="D419" s="765"/>
      <c r="E419" s="765"/>
      <c r="F419" s="765"/>
      <c r="G419" s="765"/>
      <c r="H419" s="765"/>
      <c r="I419" s="765"/>
      <c r="J419" s="765"/>
      <c r="K419" s="765"/>
      <c r="L419" s="765"/>
      <c r="M419" s="847"/>
      <c r="N419" s="765"/>
      <c r="O419" s="765"/>
      <c r="P419" s="765"/>
      <c r="Q419" s="765"/>
      <c r="R419" s="847"/>
      <c r="S419" s="765"/>
      <c r="T419" s="765"/>
      <c r="U419" s="765"/>
      <c r="V419" s="765"/>
      <c r="W419" s="847"/>
      <c r="X419" s="765"/>
      <c r="Y419" s="765"/>
      <c r="Z419" s="765"/>
      <c r="AA419" s="765"/>
      <c r="AB419" s="847"/>
      <c r="AC419" s="765"/>
      <c r="AD419" s="765"/>
      <c r="AE419" s="765"/>
      <c r="AF419" s="765"/>
      <c r="AG419" s="847"/>
      <c r="AH419" s="765"/>
      <c r="AI419" s="765"/>
      <c r="AJ419" s="765"/>
      <c r="AK419" s="765"/>
      <c r="AL419" s="847"/>
      <c r="AM419" s="765"/>
      <c r="AN419" s="765"/>
      <c r="AO419" s="765"/>
      <c r="AP419" s="765"/>
      <c r="AQ419" s="847"/>
      <c r="AR419" s="765"/>
      <c r="AS419" s="765"/>
      <c r="AT419" s="765"/>
      <c r="AU419" s="765"/>
      <c r="AV419" s="847"/>
      <c r="AW419" s="765"/>
      <c r="AX419" s="765"/>
      <c r="AY419" s="765"/>
      <c r="AZ419" s="765"/>
      <c r="BA419" s="847"/>
      <c r="BB419" s="765"/>
      <c r="BC419" s="765"/>
      <c r="BD419" s="765"/>
      <c r="BE419" s="765"/>
      <c r="BF419" s="847"/>
      <c r="BG419" s="765"/>
      <c r="BH419" s="765"/>
      <c r="BI419" s="765"/>
      <c r="BJ419" s="765"/>
      <c r="BK419" s="847"/>
      <c r="BL419" s="765"/>
      <c r="BM419" s="765"/>
      <c r="BN419" s="765"/>
      <c r="BO419" s="765"/>
      <c r="BP419" s="847"/>
      <c r="BQ419" s="765"/>
      <c r="BR419" s="765"/>
      <c r="BS419" s="765"/>
      <c r="BT419" s="765"/>
      <c r="BU419" s="847"/>
      <c r="BV419" s="765"/>
      <c r="BW419" s="765"/>
      <c r="BX419" s="765"/>
      <c r="BY419" s="765"/>
      <c r="BZ419" s="847"/>
      <c r="CA419" s="847"/>
      <c r="CB419" s="847"/>
      <c r="CC419" s="847"/>
      <c r="CD419" s="847"/>
      <c r="CE419" s="847"/>
      <c r="CF419" s="847"/>
      <c r="CG419" s="847"/>
      <c r="CH419" s="847"/>
      <c r="CI419" s="847"/>
      <c r="CJ419" s="847"/>
      <c r="CK419" s="847"/>
      <c r="CL419" s="847"/>
      <c r="CM419" s="847"/>
      <c r="CN419" s="847"/>
      <c r="CO419" s="847"/>
      <c r="CP419" s="847"/>
      <c r="CQ419" s="847"/>
      <c r="CR419" s="847"/>
      <c r="CS419" s="847"/>
      <c r="CT419" s="847"/>
      <c r="CU419" s="847"/>
      <c r="CV419" s="847"/>
      <c r="CW419" s="847"/>
      <c r="CX419" s="847"/>
      <c r="CY419" s="847"/>
      <c r="CZ419" s="847"/>
      <c r="DA419" s="847"/>
      <c r="DB419"/>
      <c r="DC419"/>
      <c r="DD419" s="867" t="s">
        <v>577</v>
      </c>
      <c r="DE419" s="2349">
        <f>M419</f>
        <v>0</v>
      </c>
      <c r="DF419" s="2349">
        <f>R419</f>
        <v>0</v>
      </c>
      <c r="DG419" s="2349">
        <f>W419</f>
        <v>0</v>
      </c>
      <c r="DH419" s="2349">
        <f>AB419</f>
        <v>0</v>
      </c>
      <c r="DI419" s="2349">
        <f>AG419</f>
        <v>0</v>
      </c>
      <c r="DJ419" s="2349">
        <f>AL419</f>
        <v>0</v>
      </c>
      <c r="DK419" s="2349">
        <f>AQ419</f>
        <v>0</v>
      </c>
      <c r="DL419" s="2349">
        <f>AV419</f>
        <v>0</v>
      </c>
      <c r="DM419" s="2349">
        <f>BA419</f>
        <v>0</v>
      </c>
      <c r="DN419" s="2349">
        <f>BF419</f>
        <v>0</v>
      </c>
      <c r="DO419" s="2349">
        <f>BK419</f>
        <v>0</v>
      </c>
      <c r="DP419" s="2349">
        <f>BP419</f>
        <v>0</v>
      </c>
      <c r="DQ419" s="2349">
        <f>BU419</f>
        <v>0</v>
      </c>
      <c r="DR419" s="2349">
        <f>BZ419</f>
        <v>0</v>
      </c>
      <c r="DS419" s="2349">
        <f>CE419</f>
        <v>0</v>
      </c>
      <c r="DT419" s="2349">
        <f>CJ419</f>
        <v>0</v>
      </c>
      <c r="DU419" s="2349">
        <f>CO419</f>
        <v>0</v>
      </c>
      <c r="DV419" s="2349">
        <f>CT419</f>
        <v>0</v>
      </c>
      <c r="DW419" s="2349">
        <f t="shared" ref="DW419:DY423" si="852">CY419</f>
        <v>0</v>
      </c>
      <c r="DX419" s="2349">
        <f t="shared" si="852"/>
        <v>0</v>
      </c>
      <c r="DY419" s="2349">
        <f t="shared" si="852"/>
        <v>0</v>
      </c>
      <c r="EA419"/>
      <c r="EB419"/>
      <c r="EC419"/>
      <c r="ED419"/>
      <c r="EE419"/>
      <c r="EF419"/>
      <c r="EJ419"/>
      <c r="EK419"/>
      <c r="EL419"/>
      <c r="ER419" s="212"/>
    </row>
    <row r="420" spans="1:148" s="923" customFormat="1" ht="12.75" hidden="1" customHeight="1" outlineLevel="1" x14ac:dyDescent="0.2">
      <c r="A420" s="865" t="s">
        <v>576</v>
      </c>
      <c r="B420" s="765"/>
      <c r="C420" s="765"/>
      <c r="D420" s="765"/>
      <c r="E420" s="765"/>
      <c r="F420" s="765"/>
      <c r="G420" s="765"/>
      <c r="H420" s="765"/>
      <c r="I420" s="765"/>
      <c r="J420" s="765"/>
      <c r="K420" s="765"/>
      <c r="L420" s="765"/>
      <c r="M420" s="847"/>
      <c r="N420" s="765"/>
      <c r="O420" s="765"/>
      <c r="P420" s="765"/>
      <c r="Q420" s="765"/>
      <c r="R420" s="847"/>
      <c r="S420" s="765"/>
      <c r="T420" s="765"/>
      <c r="U420" s="765"/>
      <c r="V420" s="765"/>
      <c r="W420" s="847"/>
      <c r="X420" s="765"/>
      <c r="Y420" s="765"/>
      <c r="Z420" s="765"/>
      <c r="AA420" s="765"/>
      <c r="AB420" s="847"/>
      <c r="AC420" s="765"/>
      <c r="AD420" s="765"/>
      <c r="AE420" s="765"/>
      <c r="AF420" s="765"/>
      <c r="AG420" s="847"/>
      <c r="AH420" s="765"/>
      <c r="AI420" s="765"/>
      <c r="AJ420" s="765"/>
      <c r="AK420" s="765"/>
      <c r="AL420" s="847"/>
      <c r="AM420" s="765">
        <v>288</v>
      </c>
      <c r="AN420" s="765">
        <v>291</v>
      </c>
      <c r="AO420" s="765">
        <f>+AQ420-AM420-AN420-AP420</f>
        <v>314</v>
      </c>
      <c r="AP420" s="765">
        <v>314</v>
      </c>
      <c r="AQ420" s="847">
        <v>1207</v>
      </c>
      <c r="AR420" s="765">
        <v>275</v>
      </c>
      <c r="AS420" s="765">
        <v>289</v>
      </c>
      <c r="AT420" s="765">
        <v>313</v>
      </c>
      <c r="AU420" s="765">
        <v>344</v>
      </c>
      <c r="AV420" s="847">
        <f>SUM(AR420:AU420)</f>
        <v>1221</v>
      </c>
      <c r="AW420" s="765">
        <v>285</v>
      </c>
      <c r="AX420" s="765">
        <v>291</v>
      </c>
      <c r="AY420" s="765">
        <v>283</v>
      </c>
      <c r="AZ420" s="765">
        <v>222</v>
      </c>
      <c r="BA420" s="847">
        <f>SUM(AW420:AZ420)</f>
        <v>1081</v>
      </c>
      <c r="BB420" s="765">
        <v>138</v>
      </c>
      <c r="BC420" s="765">
        <v>200</v>
      </c>
      <c r="BD420" s="765">
        <v>164</v>
      </c>
      <c r="BE420" s="765">
        <v>183</v>
      </c>
      <c r="BF420" s="847">
        <f>SUM(BB420:BE420)</f>
        <v>685</v>
      </c>
      <c r="BG420" s="765">
        <v>151</v>
      </c>
      <c r="BH420" s="765">
        <v>155</v>
      </c>
      <c r="BI420" s="765">
        <v>157</v>
      </c>
      <c r="BJ420" s="765">
        <v>189</v>
      </c>
      <c r="BK420" s="847">
        <f>SUM(BG420:BJ420)</f>
        <v>652</v>
      </c>
      <c r="BL420" s="765">
        <v>131</v>
      </c>
      <c r="BM420" s="765">
        <v>155</v>
      </c>
      <c r="BN420" s="765">
        <v>158</v>
      </c>
      <c r="BO420" s="765"/>
      <c r="BP420" s="847"/>
      <c r="BQ420" s="765"/>
      <c r="BR420" s="765"/>
      <c r="BS420" s="765"/>
      <c r="BT420" s="765"/>
      <c r="BU420" s="847"/>
      <c r="BV420" s="765"/>
      <c r="BW420" s="765"/>
      <c r="BX420" s="765"/>
      <c r="BY420" s="765"/>
      <c r="BZ420" s="847"/>
      <c r="CA420" s="847"/>
      <c r="CB420" s="847"/>
      <c r="CC420" s="847"/>
      <c r="CD420" s="847"/>
      <c r="CE420" s="847"/>
      <c r="CF420" s="847"/>
      <c r="CG420" s="847"/>
      <c r="CH420" s="847"/>
      <c r="CI420" s="847"/>
      <c r="CJ420" s="847"/>
      <c r="CK420" s="847"/>
      <c r="CL420" s="847"/>
      <c r="CM420" s="847"/>
      <c r="CN420" s="847"/>
      <c r="CO420" s="847"/>
      <c r="CP420" s="847"/>
      <c r="CQ420" s="847"/>
      <c r="CR420" s="847"/>
      <c r="CS420" s="847"/>
      <c r="CT420" s="847"/>
      <c r="CU420" s="847"/>
      <c r="CV420" s="847"/>
      <c r="CW420" s="847"/>
      <c r="CX420" s="847"/>
      <c r="CY420" s="847"/>
      <c r="CZ420" s="847"/>
      <c r="DA420" s="847"/>
      <c r="DB420"/>
      <c r="DC420"/>
      <c r="DD420" s="2323" t="s">
        <v>576</v>
      </c>
      <c r="DE420" s="2349">
        <f>M420</f>
        <v>0</v>
      </c>
      <c r="DF420" s="2349">
        <f>R420</f>
        <v>0</v>
      </c>
      <c r="DG420" s="2349">
        <f>W420</f>
        <v>0</v>
      </c>
      <c r="DH420" s="2349">
        <f>AB420</f>
        <v>0</v>
      </c>
      <c r="DI420" s="2349">
        <f>AG420</f>
        <v>0</v>
      </c>
      <c r="DJ420" s="2349">
        <f>AL420</f>
        <v>0</v>
      </c>
      <c r="DK420" s="2349">
        <f>AQ420</f>
        <v>1207</v>
      </c>
      <c r="DL420" s="2349">
        <f>AV420</f>
        <v>1221</v>
      </c>
      <c r="DM420" s="2349">
        <f>BA420</f>
        <v>1081</v>
      </c>
      <c r="DN420" s="2349">
        <f>BF420</f>
        <v>685</v>
      </c>
      <c r="DO420" s="2349">
        <f>BK420</f>
        <v>652</v>
      </c>
      <c r="DP420" s="2349">
        <f>BP420</f>
        <v>0</v>
      </c>
      <c r="DQ420" s="2349">
        <f>BU420</f>
        <v>0</v>
      </c>
      <c r="DR420" s="2349">
        <f>BZ420</f>
        <v>0</v>
      </c>
      <c r="DS420" s="2349">
        <f>CE420</f>
        <v>0</v>
      </c>
      <c r="DT420" s="2349">
        <f>CJ420</f>
        <v>0</v>
      </c>
      <c r="DU420" s="2349">
        <f>CO420</f>
        <v>0</v>
      </c>
      <c r="DV420" s="2349">
        <f>CT420</f>
        <v>0</v>
      </c>
      <c r="DW420" s="2349">
        <f t="shared" si="852"/>
        <v>0</v>
      </c>
      <c r="DX420" s="2349">
        <f t="shared" si="852"/>
        <v>0</v>
      </c>
      <c r="DY420" s="2349">
        <f t="shared" si="852"/>
        <v>0</v>
      </c>
      <c r="EA420"/>
      <c r="EB420"/>
      <c r="EC420"/>
      <c r="ED420"/>
      <c r="EE420"/>
      <c r="EF420"/>
      <c r="EJ420"/>
      <c r="EK420"/>
      <c r="EL420"/>
      <c r="ER420" s="212"/>
    </row>
    <row r="421" spans="1:148" s="923" customFormat="1" ht="12.75" hidden="1" customHeight="1" outlineLevel="1" x14ac:dyDescent="0.2">
      <c r="A421" s="865" t="s">
        <v>579</v>
      </c>
      <c r="B421" s="765"/>
      <c r="C421" s="765"/>
      <c r="D421" s="765"/>
      <c r="E421" s="765"/>
      <c r="F421" s="765"/>
      <c r="G421" s="765"/>
      <c r="H421" s="765"/>
      <c r="I421" s="765"/>
      <c r="J421" s="765"/>
      <c r="K421" s="765"/>
      <c r="L421" s="765"/>
      <c r="M421" s="847"/>
      <c r="N421" s="765"/>
      <c r="O421" s="765"/>
      <c r="P421" s="765"/>
      <c r="Q421" s="765"/>
      <c r="R421" s="847"/>
      <c r="S421" s="765"/>
      <c r="T421" s="765"/>
      <c r="U421" s="765"/>
      <c r="V421" s="765"/>
      <c r="W421" s="847"/>
      <c r="X421" s="765"/>
      <c r="Y421" s="765"/>
      <c r="Z421" s="765"/>
      <c r="AA421" s="765"/>
      <c r="AB421" s="847"/>
      <c r="AC421" s="765"/>
      <c r="AD421" s="765"/>
      <c r="AE421" s="765"/>
      <c r="AF421" s="765"/>
      <c r="AG421" s="847"/>
      <c r="AH421" s="765"/>
      <c r="AI421" s="765"/>
      <c r="AJ421" s="765"/>
      <c r="AK421" s="765"/>
      <c r="AL421" s="847"/>
      <c r="AM421" s="765">
        <v>8</v>
      </c>
      <c r="AN421" s="765">
        <v>11</v>
      </c>
      <c r="AO421" s="765">
        <f>+AQ421-AM421-AN421-AP421</f>
        <v>13</v>
      </c>
      <c r="AP421" s="765">
        <v>10</v>
      </c>
      <c r="AQ421" s="847">
        <v>42</v>
      </c>
      <c r="AR421" s="765">
        <v>9</v>
      </c>
      <c r="AS421" s="765">
        <v>6</v>
      </c>
      <c r="AT421" s="765">
        <v>12</v>
      </c>
      <c r="AU421" s="765">
        <v>17</v>
      </c>
      <c r="AV421" s="847">
        <f>SUM(AR421:AU421)</f>
        <v>44</v>
      </c>
      <c r="AW421" s="765">
        <v>8</v>
      </c>
      <c r="AX421" s="765">
        <v>8</v>
      </c>
      <c r="AY421" s="765">
        <v>18</v>
      </c>
      <c r="AZ421" s="765">
        <v>1</v>
      </c>
      <c r="BA421" s="847">
        <f>SUM(AW421:AZ421)</f>
        <v>35</v>
      </c>
      <c r="BB421" s="765">
        <v>10</v>
      </c>
      <c r="BC421" s="765">
        <v>9</v>
      </c>
      <c r="BD421" s="765">
        <v>7</v>
      </c>
      <c r="BE421" s="765">
        <v>6</v>
      </c>
      <c r="BF421" s="847">
        <f>SUM(BB421:BE421)</f>
        <v>32</v>
      </c>
      <c r="BG421" s="765">
        <v>8</v>
      </c>
      <c r="BH421" s="765">
        <v>8</v>
      </c>
      <c r="BI421" s="765">
        <v>5</v>
      </c>
      <c r="BJ421" s="765">
        <v>8</v>
      </c>
      <c r="BK421" s="847">
        <f>SUM(BG421:BJ421)</f>
        <v>29</v>
      </c>
      <c r="BL421" s="765">
        <v>10</v>
      </c>
      <c r="BM421" s="765">
        <v>5</v>
      </c>
      <c r="BN421" s="765">
        <v>4</v>
      </c>
      <c r="BO421" s="765"/>
      <c r="BP421" s="847"/>
      <c r="BQ421" s="765"/>
      <c r="BR421" s="765"/>
      <c r="BS421" s="765"/>
      <c r="BT421" s="765"/>
      <c r="BU421" s="847"/>
      <c r="BV421" s="765"/>
      <c r="BW421" s="765"/>
      <c r="BX421" s="765"/>
      <c r="BY421" s="765"/>
      <c r="BZ421" s="847"/>
      <c r="CA421" s="847"/>
      <c r="CB421" s="847"/>
      <c r="CC421" s="847"/>
      <c r="CD421" s="847"/>
      <c r="CE421" s="847"/>
      <c r="CF421" s="847"/>
      <c r="CG421" s="847"/>
      <c r="CH421" s="847"/>
      <c r="CI421" s="847"/>
      <c r="CJ421" s="847"/>
      <c r="CK421" s="847"/>
      <c r="CL421" s="847"/>
      <c r="CM421" s="847"/>
      <c r="CN421" s="847"/>
      <c r="CO421" s="847"/>
      <c r="CP421" s="847"/>
      <c r="CQ421" s="847"/>
      <c r="CR421" s="847"/>
      <c r="CS421" s="847"/>
      <c r="CT421" s="847"/>
      <c r="CU421" s="847"/>
      <c r="CV421" s="847"/>
      <c r="CW421" s="847"/>
      <c r="CX421" s="847"/>
      <c r="CY421" s="847"/>
      <c r="CZ421" s="847"/>
      <c r="DA421" s="847"/>
      <c r="DB421"/>
      <c r="DC421"/>
      <c r="DD421" s="2323" t="s">
        <v>579</v>
      </c>
      <c r="DE421" s="2349">
        <f>M421</f>
        <v>0</v>
      </c>
      <c r="DF421" s="2349">
        <f>R421</f>
        <v>0</v>
      </c>
      <c r="DG421" s="2349">
        <f>W421</f>
        <v>0</v>
      </c>
      <c r="DH421" s="2349">
        <f>AB421</f>
        <v>0</v>
      </c>
      <c r="DI421" s="2349">
        <f>AG421</f>
        <v>0</v>
      </c>
      <c r="DJ421" s="2349">
        <f>AL421</f>
        <v>0</v>
      </c>
      <c r="DK421" s="2349">
        <f>AQ421</f>
        <v>42</v>
      </c>
      <c r="DL421" s="2349">
        <f>AV421</f>
        <v>44</v>
      </c>
      <c r="DM421" s="2349">
        <f>BA421</f>
        <v>35</v>
      </c>
      <c r="DN421" s="2349">
        <f>BF421</f>
        <v>32</v>
      </c>
      <c r="DO421" s="2349">
        <f>BK421</f>
        <v>29</v>
      </c>
      <c r="DP421" s="2349">
        <f>BP421</f>
        <v>0</v>
      </c>
      <c r="DQ421" s="2349">
        <f>BU421</f>
        <v>0</v>
      </c>
      <c r="DR421" s="2349">
        <f>BZ421</f>
        <v>0</v>
      </c>
      <c r="DS421" s="2349">
        <f>CE421</f>
        <v>0</v>
      </c>
      <c r="DT421" s="2349">
        <f>CJ421</f>
        <v>0</v>
      </c>
      <c r="DU421" s="2349">
        <f>CO421</f>
        <v>0</v>
      </c>
      <c r="DV421" s="2349">
        <f>CT421</f>
        <v>0</v>
      </c>
      <c r="DW421" s="2349">
        <f t="shared" si="852"/>
        <v>0</v>
      </c>
      <c r="DX421" s="2349">
        <f t="shared" si="852"/>
        <v>0</v>
      </c>
      <c r="DY421" s="2349">
        <f t="shared" si="852"/>
        <v>0</v>
      </c>
      <c r="EA421"/>
      <c r="EB421"/>
      <c r="EC421"/>
      <c r="ED421"/>
      <c r="EE421"/>
      <c r="EF421"/>
      <c r="EJ421"/>
      <c r="EK421"/>
      <c r="EL421"/>
      <c r="ER421" s="212"/>
    </row>
    <row r="422" spans="1:148" s="923" customFormat="1" ht="12.75" hidden="1" customHeight="1" outlineLevel="1" x14ac:dyDescent="0.2">
      <c r="A422" s="865" t="s">
        <v>580</v>
      </c>
      <c r="B422" s="877"/>
      <c r="C422" s="877"/>
      <c r="D422" s="877"/>
      <c r="E422" s="877"/>
      <c r="F422" s="877"/>
      <c r="G422" s="877"/>
      <c r="H422" s="877"/>
      <c r="I422" s="877"/>
      <c r="J422" s="877"/>
      <c r="K422" s="877"/>
      <c r="L422" s="877"/>
      <c r="M422" s="850"/>
      <c r="N422" s="877"/>
      <c r="O422" s="877"/>
      <c r="P422" s="877"/>
      <c r="Q422" s="877"/>
      <c r="R422" s="850"/>
      <c r="S422" s="877"/>
      <c r="T422" s="877"/>
      <c r="U422" s="877"/>
      <c r="V422" s="877"/>
      <c r="W422" s="850"/>
      <c r="X422" s="877"/>
      <c r="Y422" s="877"/>
      <c r="Z422" s="877"/>
      <c r="AA422" s="877"/>
      <c r="AB422" s="850"/>
      <c r="AC422" s="877"/>
      <c r="AD422" s="877"/>
      <c r="AE422" s="877"/>
      <c r="AF422" s="877"/>
      <c r="AG422" s="850"/>
      <c r="AH422" s="877"/>
      <c r="AI422" s="877"/>
      <c r="AJ422" s="877"/>
      <c r="AK422" s="877"/>
      <c r="AL422" s="850"/>
      <c r="AM422" s="877">
        <v>2</v>
      </c>
      <c r="AN422" s="877">
        <v>1</v>
      </c>
      <c r="AO422" s="877">
        <f>+AQ422-AM422-AN422-AP422</f>
        <v>2</v>
      </c>
      <c r="AP422" s="877">
        <v>0</v>
      </c>
      <c r="AQ422" s="850">
        <v>5</v>
      </c>
      <c r="AR422" s="877">
        <v>0</v>
      </c>
      <c r="AS422" s="877">
        <v>0</v>
      </c>
      <c r="AT422" s="877">
        <v>6</v>
      </c>
      <c r="AU422" s="877">
        <v>-15</v>
      </c>
      <c r="AV422" s="850">
        <f>SUM(AR422:AU422)</f>
        <v>-9</v>
      </c>
      <c r="AW422" s="877">
        <v>12</v>
      </c>
      <c r="AX422" s="877">
        <v>27</v>
      </c>
      <c r="AY422" s="877">
        <v>-6</v>
      </c>
      <c r="AZ422" s="877">
        <v>-23</v>
      </c>
      <c r="BA422" s="850">
        <f>SUM(AW422:AZ422)</f>
        <v>10</v>
      </c>
      <c r="BB422" s="877">
        <v>-1</v>
      </c>
      <c r="BC422" s="877">
        <v>2</v>
      </c>
      <c r="BD422" s="877">
        <v>2</v>
      </c>
      <c r="BE422" s="877">
        <v>9</v>
      </c>
      <c r="BF422" s="850">
        <f>SUM(BB422:BE422)</f>
        <v>12</v>
      </c>
      <c r="BG422" s="877">
        <v>4</v>
      </c>
      <c r="BH422" s="877">
        <v>2</v>
      </c>
      <c r="BI422" s="877">
        <v>0</v>
      </c>
      <c r="BJ422" s="877">
        <v>1</v>
      </c>
      <c r="BK422" s="850">
        <f>SUM(BG422:BJ422)</f>
        <v>7</v>
      </c>
      <c r="BL422" s="877">
        <v>1</v>
      </c>
      <c r="BM422" s="877">
        <v>1</v>
      </c>
      <c r="BN422" s="877">
        <v>2</v>
      </c>
      <c r="BO422" s="877"/>
      <c r="BP422" s="850"/>
      <c r="BQ422" s="877"/>
      <c r="BR422" s="877"/>
      <c r="BS422" s="877"/>
      <c r="BT422" s="877"/>
      <c r="BU422" s="850"/>
      <c r="BV422" s="877"/>
      <c r="BW422" s="877"/>
      <c r="BX422" s="877"/>
      <c r="BY422" s="877"/>
      <c r="BZ422" s="850"/>
      <c r="CA422" s="850"/>
      <c r="CB422" s="850"/>
      <c r="CC422" s="850"/>
      <c r="CD422" s="850"/>
      <c r="CE422" s="850"/>
      <c r="CF422" s="850"/>
      <c r="CG422" s="850"/>
      <c r="CH422" s="850"/>
      <c r="CI422" s="850"/>
      <c r="CJ422" s="850"/>
      <c r="CK422" s="850"/>
      <c r="CL422" s="850"/>
      <c r="CM422" s="850"/>
      <c r="CN422" s="850"/>
      <c r="CO422" s="850"/>
      <c r="CP422" s="850"/>
      <c r="CQ422" s="850"/>
      <c r="CR422" s="850"/>
      <c r="CS422" s="850"/>
      <c r="CT422" s="850"/>
      <c r="CU422" s="850"/>
      <c r="CV422" s="850"/>
      <c r="CW422" s="850"/>
      <c r="CX422" s="850"/>
      <c r="CY422" s="850"/>
      <c r="CZ422" s="850"/>
      <c r="DA422" s="850"/>
      <c r="DB422"/>
      <c r="DC422"/>
      <c r="DD422" s="2323" t="s">
        <v>580</v>
      </c>
      <c r="DE422" s="850">
        <f>M422</f>
        <v>0</v>
      </c>
      <c r="DF422" s="850">
        <f>R422</f>
        <v>0</v>
      </c>
      <c r="DG422" s="850">
        <f>W422</f>
        <v>0</v>
      </c>
      <c r="DH422" s="850">
        <f>AB422</f>
        <v>0</v>
      </c>
      <c r="DI422" s="850">
        <f>AG422</f>
        <v>0</v>
      </c>
      <c r="DJ422" s="850">
        <f>AL422</f>
        <v>0</v>
      </c>
      <c r="DK422" s="850">
        <f>AQ422</f>
        <v>5</v>
      </c>
      <c r="DL422" s="850">
        <f>AV422</f>
        <v>-9</v>
      </c>
      <c r="DM422" s="850">
        <f>BA422</f>
        <v>10</v>
      </c>
      <c r="DN422" s="850">
        <f>BF422</f>
        <v>12</v>
      </c>
      <c r="DO422" s="850">
        <f>BK422</f>
        <v>7</v>
      </c>
      <c r="DP422" s="850">
        <f>BP422</f>
        <v>0</v>
      </c>
      <c r="DQ422" s="850">
        <f>BU422</f>
        <v>0</v>
      </c>
      <c r="DR422" s="850">
        <f>BZ422</f>
        <v>0</v>
      </c>
      <c r="DS422" s="850">
        <f>CE422</f>
        <v>0</v>
      </c>
      <c r="DT422" s="850">
        <f>CJ422</f>
        <v>0</v>
      </c>
      <c r="DU422" s="850">
        <f>CO422</f>
        <v>0</v>
      </c>
      <c r="DV422" s="850">
        <f>CT422</f>
        <v>0</v>
      </c>
      <c r="DW422" s="850">
        <f t="shared" si="852"/>
        <v>0</v>
      </c>
      <c r="DX422" s="850">
        <f t="shared" si="852"/>
        <v>0</v>
      </c>
      <c r="DY422" s="850">
        <f t="shared" si="852"/>
        <v>0</v>
      </c>
      <c r="EA422"/>
      <c r="EB422"/>
      <c r="EC422"/>
      <c r="ED422"/>
      <c r="EE422"/>
      <c r="EF422"/>
      <c r="EJ422"/>
      <c r="EK422"/>
      <c r="EL422"/>
      <c r="ER422" s="212"/>
    </row>
    <row r="423" spans="1:148" s="923" customFormat="1" ht="12.75" hidden="1" customHeight="1" outlineLevel="1" x14ac:dyDescent="0.2">
      <c r="A423" s="865" t="s">
        <v>1643</v>
      </c>
      <c r="B423" s="765"/>
      <c r="C423" s="765"/>
      <c r="D423" s="765"/>
      <c r="E423" s="765"/>
      <c r="F423" s="765"/>
      <c r="G423" s="765"/>
      <c r="H423" s="765"/>
      <c r="I423" s="765"/>
      <c r="J423" s="765"/>
      <c r="K423" s="765"/>
      <c r="L423" s="765"/>
      <c r="M423" s="847"/>
      <c r="N423" s="765"/>
      <c r="O423" s="765"/>
      <c r="P423" s="765"/>
      <c r="Q423" s="765"/>
      <c r="R423" s="847"/>
      <c r="S423" s="765"/>
      <c r="T423" s="765"/>
      <c r="U423" s="765"/>
      <c r="V423" s="765"/>
      <c r="W423" s="847">
        <v>757</v>
      </c>
      <c r="X423" s="765"/>
      <c r="Y423" s="765"/>
      <c r="Z423" s="765"/>
      <c r="AA423" s="765"/>
      <c r="AB423" s="847">
        <v>903</v>
      </c>
      <c r="AC423" s="765"/>
      <c r="AD423" s="765"/>
      <c r="AE423" s="765"/>
      <c r="AF423" s="765"/>
      <c r="AG423" s="847">
        <v>1177</v>
      </c>
      <c r="AH423" s="765"/>
      <c r="AI423" s="765"/>
      <c r="AJ423" s="765"/>
      <c r="AK423" s="765"/>
      <c r="AL423" s="847">
        <v>1236</v>
      </c>
      <c r="AM423" s="765">
        <f t="shared" ref="AM423:BN423" si="853">SUM(AM420:AM422)</f>
        <v>298</v>
      </c>
      <c r="AN423" s="765">
        <f t="shared" si="853"/>
        <v>303</v>
      </c>
      <c r="AO423" s="765">
        <f t="shared" si="853"/>
        <v>329</v>
      </c>
      <c r="AP423" s="765">
        <f t="shared" si="853"/>
        <v>324</v>
      </c>
      <c r="AQ423" s="847">
        <f t="shared" si="853"/>
        <v>1254</v>
      </c>
      <c r="AR423" s="765">
        <f t="shared" si="853"/>
        <v>284</v>
      </c>
      <c r="AS423" s="765">
        <f t="shared" si="853"/>
        <v>295</v>
      </c>
      <c r="AT423" s="765">
        <f t="shared" si="853"/>
        <v>331</v>
      </c>
      <c r="AU423" s="765">
        <f t="shared" si="853"/>
        <v>346</v>
      </c>
      <c r="AV423" s="847">
        <f t="shared" si="853"/>
        <v>1256</v>
      </c>
      <c r="AW423" s="765">
        <f t="shared" si="853"/>
        <v>305</v>
      </c>
      <c r="AX423" s="765">
        <f t="shared" si="853"/>
        <v>326</v>
      </c>
      <c r="AY423" s="765">
        <f t="shared" si="853"/>
        <v>295</v>
      </c>
      <c r="AZ423" s="765">
        <f t="shared" si="853"/>
        <v>200</v>
      </c>
      <c r="BA423" s="847">
        <f t="shared" si="853"/>
        <v>1126</v>
      </c>
      <c r="BB423" s="765">
        <f t="shared" si="853"/>
        <v>147</v>
      </c>
      <c r="BC423" s="765">
        <f t="shared" si="853"/>
        <v>211</v>
      </c>
      <c r="BD423" s="765">
        <f t="shared" si="853"/>
        <v>173</v>
      </c>
      <c r="BE423" s="765">
        <f t="shared" si="853"/>
        <v>198</v>
      </c>
      <c r="BF423" s="847">
        <f t="shared" si="853"/>
        <v>729</v>
      </c>
      <c r="BG423" s="765">
        <f t="shared" si="853"/>
        <v>163</v>
      </c>
      <c r="BH423" s="765">
        <f t="shared" si="853"/>
        <v>165</v>
      </c>
      <c r="BI423" s="765">
        <f t="shared" si="853"/>
        <v>162</v>
      </c>
      <c r="BJ423" s="765">
        <f t="shared" si="853"/>
        <v>198</v>
      </c>
      <c r="BK423" s="847">
        <f t="shared" si="853"/>
        <v>688</v>
      </c>
      <c r="BL423" s="765">
        <f t="shared" si="853"/>
        <v>142</v>
      </c>
      <c r="BM423" s="765">
        <f t="shared" si="853"/>
        <v>161</v>
      </c>
      <c r="BN423" s="765">
        <f t="shared" si="853"/>
        <v>164</v>
      </c>
      <c r="BO423" s="765"/>
      <c r="BP423" s="847"/>
      <c r="BQ423" s="765"/>
      <c r="BR423" s="765"/>
      <c r="BS423" s="765"/>
      <c r="BT423" s="765"/>
      <c r="BU423" s="847"/>
      <c r="BV423" s="765"/>
      <c r="BW423" s="765"/>
      <c r="BX423" s="765"/>
      <c r="BY423" s="765"/>
      <c r="BZ423" s="847"/>
      <c r="CA423" s="847"/>
      <c r="CB423" s="847"/>
      <c r="CC423" s="847"/>
      <c r="CD423" s="847"/>
      <c r="CE423" s="847"/>
      <c r="CF423" s="847"/>
      <c r="CG423" s="847"/>
      <c r="CH423" s="847"/>
      <c r="CI423" s="847"/>
      <c r="CJ423" s="847"/>
      <c r="CK423" s="847"/>
      <c r="CL423" s="847"/>
      <c r="CM423" s="847"/>
      <c r="CN423" s="847"/>
      <c r="CO423" s="847"/>
      <c r="CP423" s="847"/>
      <c r="CQ423" s="847"/>
      <c r="CR423" s="847"/>
      <c r="CS423" s="847"/>
      <c r="CT423" s="847"/>
      <c r="CU423" s="847"/>
      <c r="CV423" s="847"/>
      <c r="CW423" s="847"/>
      <c r="CX423" s="847"/>
      <c r="CY423" s="847"/>
      <c r="CZ423" s="847"/>
      <c r="DA423" s="847"/>
      <c r="DB423"/>
      <c r="DC423"/>
      <c r="DD423" s="2323" t="s">
        <v>1643</v>
      </c>
      <c r="DE423" s="2349">
        <f>M423</f>
        <v>0</v>
      </c>
      <c r="DF423" s="2349">
        <f>R423</f>
        <v>0</v>
      </c>
      <c r="DG423" s="2349">
        <f>W423</f>
        <v>757</v>
      </c>
      <c r="DH423" s="2349">
        <f>AB423</f>
        <v>903</v>
      </c>
      <c r="DI423" s="2349">
        <f>AG423</f>
        <v>1177</v>
      </c>
      <c r="DJ423" s="2349">
        <f>AL423</f>
        <v>1236</v>
      </c>
      <c r="DK423" s="2349">
        <f>AQ423</f>
        <v>1254</v>
      </c>
      <c r="DL423" s="2349">
        <f>AV423</f>
        <v>1256</v>
      </c>
      <c r="DM423" s="2349">
        <f>BA423</f>
        <v>1126</v>
      </c>
      <c r="DN423" s="2349">
        <f>BF423</f>
        <v>729</v>
      </c>
      <c r="DO423" s="2349">
        <f>BK423</f>
        <v>688</v>
      </c>
      <c r="DP423" s="2349">
        <f>BP423</f>
        <v>0</v>
      </c>
      <c r="DQ423" s="2349">
        <f>BU423</f>
        <v>0</v>
      </c>
      <c r="DR423" s="2349">
        <f>BZ423</f>
        <v>0</v>
      </c>
      <c r="DS423" s="2349">
        <f>CE423</f>
        <v>0</v>
      </c>
      <c r="DT423" s="2349">
        <f>CJ423</f>
        <v>0</v>
      </c>
      <c r="DU423" s="2349">
        <f>CO423</f>
        <v>0</v>
      </c>
      <c r="DV423" s="2349">
        <f>CT423</f>
        <v>0</v>
      </c>
      <c r="DW423" s="2349">
        <f t="shared" si="852"/>
        <v>0</v>
      </c>
      <c r="DX423" s="2349">
        <f t="shared" si="852"/>
        <v>0</v>
      </c>
      <c r="DY423" s="2349">
        <f t="shared" si="852"/>
        <v>0</v>
      </c>
      <c r="EA423"/>
      <c r="EB423"/>
      <c r="EC423"/>
      <c r="ED423"/>
      <c r="EE423"/>
      <c r="EF423"/>
      <c r="EJ423"/>
      <c r="EK423"/>
      <c r="EL423"/>
      <c r="ER423" s="212"/>
    </row>
    <row r="424" spans="1:148" s="923" customFormat="1" ht="12.75" hidden="1" customHeight="1" outlineLevel="1" x14ac:dyDescent="0.2">
      <c r="A424" s="865"/>
      <c r="B424" s="765"/>
      <c r="C424" s="765"/>
      <c r="D424" s="765"/>
      <c r="E424" s="765"/>
      <c r="F424" s="765"/>
      <c r="G424" s="765"/>
      <c r="H424" s="765"/>
      <c r="I424" s="765"/>
      <c r="J424" s="765"/>
      <c r="K424" s="765"/>
      <c r="L424" s="765"/>
      <c r="M424" s="847"/>
      <c r="N424" s="765"/>
      <c r="O424" s="765"/>
      <c r="P424" s="765"/>
      <c r="Q424" s="765"/>
      <c r="R424" s="847"/>
      <c r="S424" s="765"/>
      <c r="T424" s="765"/>
      <c r="U424" s="765"/>
      <c r="V424" s="765"/>
      <c r="W424" s="847"/>
      <c r="X424" s="765"/>
      <c r="Y424" s="765"/>
      <c r="Z424" s="765"/>
      <c r="AA424" s="765"/>
      <c r="AB424" s="847"/>
      <c r="AC424" s="765"/>
      <c r="AD424" s="765"/>
      <c r="AE424" s="765"/>
      <c r="AF424" s="765"/>
      <c r="AG424" s="847"/>
      <c r="AH424" s="765"/>
      <c r="AI424" s="765"/>
      <c r="AJ424" s="765"/>
      <c r="AK424" s="765"/>
      <c r="AL424" s="847"/>
      <c r="AM424" s="765"/>
      <c r="AN424" s="765"/>
      <c r="AO424" s="765"/>
      <c r="AP424" s="765"/>
      <c r="AQ424" s="847"/>
      <c r="AR424" s="765"/>
      <c r="AS424" s="765"/>
      <c r="AT424" s="765"/>
      <c r="AU424" s="765"/>
      <c r="AV424" s="847"/>
      <c r="AW424" s="765"/>
      <c r="AX424" s="765"/>
      <c r="AY424" s="765"/>
      <c r="AZ424" s="765"/>
      <c r="BA424" s="847"/>
      <c r="BB424" s="765"/>
      <c r="BC424" s="765"/>
      <c r="BD424" s="765"/>
      <c r="BE424" s="765"/>
      <c r="BF424" s="847"/>
      <c r="BG424" s="765"/>
      <c r="BH424" s="765"/>
      <c r="BI424" s="765"/>
      <c r="BJ424" s="765"/>
      <c r="BK424" s="847"/>
      <c r="BL424" s="765"/>
      <c r="BM424" s="765"/>
      <c r="BN424" s="765"/>
      <c r="BO424" s="765"/>
      <c r="BP424" s="847"/>
      <c r="BQ424" s="765"/>
      <c r="BR424" s="765"/>
      <c r="BS424" s="765"/>
      <c r="BT424" s="765"/>
      <c r="BU424" s="847"/>
      <c r="BV424" s="765"/>
      <c r="BW424" s="765"/>
      <c r="BX424" s="765"/>
      <c r="BY424" s="765"/>
      <c r="BZ424" s="847"/>
      <c r="CA424" s="847"/>
      <c r="CB424" s="847"/>
      <c r="CC424" s="847"/>
      <c r="CD424" s="847"/>
      <c r="CE424" s="847"/>
      <c r="CF424" s="847"/>
      <c r="CG424" s="847"/>
      <c r="CH424" s="847"/>
      <c r="CI424" s="847"/>
      <c r="CJ424" s="847"/>
      <c r="CK424" s="847"/>
      <c r="CL424" s="847"/>
      <c r="CM424" s="847"/>
      <c r="CN424" s="847"/>
      <c r="CO424" s="847"/>
      <c r="CP424" s="847"/>
      <c r="CQ424" s="847"/>
      <c r="CR424" s="847"/>
      <c r="CS424" s="847"/>
      <c r="CT424" s="847"/>
      <c r="CU424" s="847"/>
      <c r="CV424" s="847"/>
      <c r="CW424" s="847"/>
      <c r="CX424" s="847"/>
      <c r="CY424" s="847"/>
      <c r="CZ424" s="847"/>
      <c r="DA424" s="847"/>
      <c r="DB424"/>
      <c r="DC424"/>
      <c r="DD424" s="2323"/>
      <c r="DE424" s="2349"/>
      <c r="DF424" s="2349"/>
      <c r="DG424" s="2349"/>
      <c r="DH424" s="2349"/>
      <c r="DI424" s="2349"/>
      <c r="DJ424" s="2349"/>
      <c r="DK424" s="2349"/>
      <c r="DL424" s="2349"/>
      <c r="DM424" s="2349"/>
      <c r="DN424" s="2349"/>
      <c r="DO424" s="2349"/>
      <c r="DP424" s="2349"/>
      <c r="DQ424" s="2349"/>
      <c r="DR424" s="2349"/>
      <c r="DS424" s="2349"/>
      <c r="DT424" s="2349"/>
      <c r="DU424" s="2349"/>
      <c r="DV424" s="2349"/>
      <c r="DW424" s="2349"/>
      <c r="DX424" s="2349"/>
      <c r="DY424" s="2349"/>
      <c r="EA424"/>
      <c r="EB424"/>
      <c r="EC424"/>
      <c r="ED424"/>
      <c r="EE424"/>
      <c r="EF424"/>
      <c r="EJ424"/>
      <c r="EK424"/>
      <c r="EL424"/>
      <c r="ER424" s="212"/>
    </row>
    <row r="425" spans="1:148" s="923" customFormat="1" ht="12.75" hidden="1" customHeight="1" outlineLevel="1" x14ac:dyDescent="0.2">
      <c r="A425" s="867" t="s">
        <v>2243</v>
      </c>
      <c r="B425" s="765"/>
      <c r="C425" s="765"/>
      <c r="D425" s="765"/>
      <c r="E425" s="765"/>
      <c r="F425" s="765"/>
      <c r="G425" s="765"/>
      <c r="H425" s="765"/>
      <c r="I425" s="765"/>
      <c r="J425" s="765"/>
      <c r="K425" s="765"/>
      <c r="L425" s="765"/>
      <c r="M425" s="847"/>
      <c r="N425" s="765"/>
      <c r="O425" s="765"/>
      <c r="P425" s="765"/>
      <c r="Q425" s="765"/>
      <c r="R425" s="847"/>
      <c r="S425" s="765"/>
      <c r="T425" s="765"/>
      <c r="U425" s="765"/>
      <c r="V425" s="765"/>
      <c r="W425" s="847"/>
      <c r="X425" s="765"/>
      <c r="Y425" s="765"/>
      <c r="Z425" s="765"/>
      <c r="AA425" s="765"/>
      <c r="AB425" s="847"/>
      <c r="AC425" s="765"/>
      <c r="AD425" s="765"/>
      <c r="AE425" s="765"/>
      <c r="AF425" s="765"/>
      <c r="AG425" s="847"/>
      <c r="AH425" s="765"/>
      <c r="AI425" s="765"/>
      <c r="AJ425" s="765"/>
      <c r="AK425" s="765"/>
      <c r="AL425" s="847"/>
      <c r="AM425" s="765"/>
      <c r="AN425" s="765"/>
      <c r="AO425" s="765"/>
      <c r="AP425" s="765"/>
      <c r="AQ425" s="847"/>
      <c r="AR425" s="765"/>
      <c r="AS425" s="765"/>
      <c r="AT425" s="765"/>
      <c r="AU425" s="765"/>
      <c r="AV425" s="847"/>
      <c r="AW425" s="765"/>
      <c r="AX425" s="765"/>
      <c r="AY425" s="765"/>
      <c r="AZ425" s="765"/>
      <c r="BA425" s="847"/>
      <c r="BB425" s="765"/>
      <c r="BC425" s="765"/>
      <c r="BD425" s="765"/>
      <c r="BE425" s="765"/>
      <c r="BF425" s="847"/>
      <c r="BG425" s="765"/>
      <c r="BH425" s="765"/>
      <c r="BI425" s="765"/>
      <c r="BJ425" s="765"/>
      <c r="BK425" s="847"/>
      <c r="BL425" s="765"/>
      <c r="BM425" s="765"/>
      <c r="BN425" s="765"/>
      <c r="BO425" s="765"/>
      <c r="BP425" s="847"/>
      <c r="BQ425" s="765"/>
      <c r="BR425" s="765"/>
      <c r="BS425" s="765"/>
      <c r="BT425" s="765"/>
      <c r="BU425" s="847"/>
      <c r="BV425" s="765"/>
      <c r="BW425" s="765"/>
      <c r="BX425" s="765"/>
      <c r="BY425" s="765"/>
      <c r="BZ425" s="847"/>
      <c r="CA425" s="847"/>
      <c r="CB425" s="847"/>
      <c r="CC425" s="847"/>
      <c r="CD425" s="847"/>
      <c r="CE425" s="847"/>
      <c r="CF425" s="847"/>
      <c r="CG425" s="847"/>
      <c r="CH425" s="847"/>
      <c r="CI425" s="847"/>
      <c r="CJ425" s="847"/>
      <c r="CK425" s="847"/>
      <c r="CL425" s="847"/>
      <c r="CM425" s="847"/>
      <c r="CN425" s="847"/>
      <c r="CO425" s="847"/>
      <c r="CP425" s="847"/>
      <c r="CQ425" s="847"/>
      <c r="CR425" s="847"/>
      <c r="CS425" s="847"/>
      <c r="CT425" s="847"/>
      <c r="CU425" s="847"/>
      <c r="CV425" s="847"/>
      <c r="CW425" s="847"/>
      <c r="CX425" s="847"/>
      <c r="CY425" s="847"/>
      <c r="CZ425" s="847"/>
      <c r="DA425" s="847"/>
      <c r="DB425"/>
      <c r="DC425"/>
      <c r="DD425" s="867" t="s">
        <v>2243</v>
      </c>
      <c r="DE425" s="2349"/>
      <c r="DF425" s="2349"/>
      <c r="DG425" s="2349"/>
      <c r="DH425" s="2349"/>
      <c r="DI425" s="2349"/>
      <c r="DJ425" s="2349"/>
      <c r="DK425" s="2349"/>
      <c r="DL425" s="2349"/>
      <c r="DM425" s="2349"/>
      <c r="DN425" s="2349"/>
      <c r="DO425" s="2349"/>
      <c r="DP425" s="2349"/>
      <c r="DQ425" s="2349"/>
      <c r="DR425" s="2349"/>
      <c r="DS425" s="2349"/>
      <c r="DT425" s="2349"/>
      <c r="DU425" s="2349"/>
      <c r="DV425" s="2349"/>
      <c r="DW425" s="2349"/>
      <c r="DX425" s="2349"/>
      <c r="DY425" s="2349"/>
      <c r="EA425"/>
      <c r="EB425"/>
      <c r="EC425"/>
      <c r="ED425"/>
      <c r="EE425"/>
      <c r="EF425"/>
      <c r="EJ425"/>
      <c r="EK425"/>
      <c r="EL425"/>
      <c r="ER425" s="212"/>
    </row>
    <row r="426" spans="1:148" s="923" customFormat="1" ht="12.75" hidden="1" customHeight="1" outlineLevel="1" x14ac:dyDescent="0.2">
      <c r="A426" s="865" t="s">
        <v>576</v>
      </c>
      <c r="B426" s="765"/>
      <c r="C426" s="765"/>
      <c r="D426" s="765"/>
      <c r="E426" s="765"/>
      <c r="F426" s="765"/>
      <c r="G426" s="765"/>
      <c r="H426" s="765"/>
      <c r="I426" s="765"/>
      <c r="J426" s="765"/>
      <c r="K426" s="765"/>
      <c r="L426" s="765"/>
      <c r="M426" s="847"/>
      <c r="N426" s="765"/>
      <c r="O426" s="765"/>
      <c r="P426" s="765"/>
      <c r="Q426" s="765"/>
      <c r="R426" s="847"/>
      <c r="S426" s="765"/>
      <c r="T426" s="765"/>
      <c r="U426" s="765"/>
      <c r="V426" s="765"/>
      <c r="W426" s="847"/>
      <c r="X426" s="765"/>
      <c r="Y426" s="765"/>
      <c r="Z426" s="765"/>
      <c r="AA426" s="765"/>
      <c r="AB426" s="847"/>
      <c r="AC426" s="765"/>
      <c r="AD426" s="765"/>
      <c r="AE426" s="765"/>
      <c r="AF426" s="765"/>
      <c r="AG426" s="847"/>
      <c r="AH426" s="765"/>
      <c r="AI426" s="765"/>
      <c r="AJ426" s="765"/>
      <c r="AK426" s="765"/>
      <c r="AL426" s="847"/>
      <c r="AM426" s="765">
        <v>6</v>
      </c>
      <c r="AN426" s="765">
        <v>7</v>
      </c>
      <c r="AO426" s="765">
        <f>+AQ426-AM426-AN426-AP426</f>
        <v>5</v>
      </c>
      <c r="AP426" s="765">
        <v>10</v>
      </c>
      <c r="AQ426" s="847">
        <v>28</v>
      </c>
      <c r="AR426" s="765">
        <v>8</v>
      </c>
      <c r="AS426" s="765">
        <v>8</v>
      </c>
      <c r="AT426" s="765">
        <v>7</v>
      </c>
      <c r="AU426" s="765">
        <v>10</v>
      </c>
      <c r="AV426" s="847">
        <f>SUM(AR426:AU426)</f>
        <v>33</v>
      </c>
      <c r="AW426" s="765">
        <v>0</v>
      </c>
      <c r="AX426" s="765">
        <v>0</v>
      </c>
      <c r="AY426" s="765">
        <v>0</v>
      </c>
      <c r="AZ426" s="765">
        <v>0</v>
      </c>
      <c r="BA426" s="847">
        <f>SUM(AW426:AZ426)</f>
        <v>0</v>
      </c>
      <c r="BB426" s="765">
        <v>0</v>
      </c>
      <c r="BC426" s="765">
        <v>0</v>
      </c>
      <c r="BD426" s="765">
        <v>0</v>
      </c>
      <c r="BE426" s="765">
        <v>0</v>
      </c>
      <c r="BF426" s="847">
        <f>SUM(BB426:BE426)</f>
        <v>0</v>
      </c>
      <c r="BG426" s="765">
        <v>0</v>
      </c>
      <c r="BH426" s="765">
        <v>0</v>
      </c>
      <c r="BI426" s="765">
        <v>0</v>
      </c>
      <c r="BJ426" s="765">
        <v>0</v>
      </c>
      <c r="BK426" s="847">
        <f>SUM(BG426:BJ426)</f>
        <v>0</v>
      </c>
      <c r="BL426" s="765">
        <v>0</v>
      </c>
      <c r="BM426" s="765">
        <v>0</v>
      </c>
      <c r="BN426" s="765">
        <v>0</v>
      </c>
      <c r="BO426" s="765"/>
      <c r="BP426" s="847"/>
      <c r="BQ426" s="765"/>
      <c r="BR426" s="765"/>
      <c r="BS426" s="765"/>
      <c r="BT426" s="765"/>
      <c r="BU426" s="847"/>
      <c r="BV426" s="765"/>
      <c r="BW426" s="765"/>
      <c r="BX426" s="765"/>
      <c r="BY426" s="765"/>
      <c r="BZ426" s="847"/>
      <c r="CA426" s="847"/>
      <c r="CB426" s="847"/>
      <c r="CC426" s="847"/>
      <c r="CD426" s="847"/>
      <c r="CE426" s="847"/>
      <c r="CF426" s="847"/>
      <c r="CG426" s="847"/>
      <c r="CH426" s="847"/>
      <c r="CI426" s="847"/>
      <c r="CJ426" s="847"/>
      <c r="CK426" s="847"/>
      <c r="CL426" s="847"/>
      <c r="CM426" s="847"/>
      <c r="CN426" s="847"/>
      <c r="CO426" s="847"/>
      <c r="CP426" s="847"/>
      <c r="CQ426" s="847"/>
      <c r="CR426" s="847"/>
      <c r="CS426" s="847"/>
      <c r="CT426" s="847"/>
      <c r="CU426" s="847"/>
      <c r="CV426" s="847"/>
      <c r="CW426" s="847"/>
      <c r="CX426" s="847"/>
      <c r="CY426" s="847"/>
      <c r="CZ426" s="847"/>
      <c r="DA426" s="847"/>
      <c r="DB426"/>
      <c r="DC426"/>
      <c r="DD426" s="2323" t="s">
        <v>576</v>
      </c>
      <c r="DE426" s="2349">
        <f>M426</f>
        <v>0</v>
      </c>
      <c r="DF426" s="2349">
        <f>R426</f>
        <v>0</v>
      </c>
      <c r="DG426" s="2349">
        <f>W426</f>
        <v>0</v>
      </c>
      <c r="DH426" s="2349">
        <f>AB426</f>
        <v>0</v>
      </c>
      <c r="DI426" s="2349">
        <f>AG426</f>
        <v>0</v>
      </c>
      <c r="DJ426" s="2349">
        <f>AL426</f>
        <v>0</v>
      </c>
      <c r="DK426" s="2349">
        <f>AQ426</f>
        <v>28</v>
      </c>
      <c r="DL426" s="2349">
        <f>AV426</f>
        <v>33</v>
      </c>
      <c r="DM426" s="2349">
        <f>BA426</f>
        <v>0</v>
      </c>
      <c r="DN426" s="2349">
        <f>BF426</f>
        <v>0</v>
      </c>
      <c r="DO426" s="2349">
        <f>BK426</f>
        <v>0</v>
      </c>
      <c r="DP426" s="2349">
        <f>BP426</f>
        <v>0</v>
      </c>
      <c r="DQ426" s="2349">
        <f>BU426</f>
        <v>0</v>
      </c>
      <c r="DR426" s="2349">
        <f>BZ426</f>
        <v>0</v>
      </c>
      <c r="DS426" s="2349">
        <f>CE426</f>
        <v>0</v>
      </c>
      <c r="DT426" s="2349">
        <f>CJ426</f>
        <v>0</v>
      </c>
      <c r="DU426" s="2349">
        <f>CO426</f>
        <v>0</v>
      </c>
      <c r="DV426" s="2349">
        <f>CT426</f>
        <v>0</v>
      </c>
      <c r="DW426" s="2349">
        <f t="shared" ref="DW426:DY429" si="854">CY426</f>
        <v>0</v>
      </c>
      <c r="DX426" s="2349">
        <f t="shared" si="854"/>
        <v>0</v>
      </c>
      <c r="DY426" s="2349">
        <f t="shared" si="854"/>
        <v>0</v>
      </c>
      <c r="EA426"/>
      <c r="EB426"/>
      <c r="EC426"/>
      <c r="ED426"/>
      <c r="EE426"/>
      <c r="EF426"/>
      <c r="EJ426"/>
      <c r="EK426"/>
      <c r="EL426"/>
      <c r="ER426" s="212"/>
    </row>
    <row r="427" spans="1:148" s="923" customFormat="1" ht="12.75" hidden="1" customHeight="1" outlineLevel="1" x14ac:dyDescent="0.2">
      <c r="A427" s="865" t="s">
        <v>579</v>
      </c>
      <c r="B427" s="765"/>
      <c r="C427" s="765"/>
      <c r="D427" s="765"/>
      <c r="E427" s="765"/>
      <c r="F427" s="765"/>
      <c r="G427" s="765"/>
      <c r="H427" s="765"/>
      <c r="I427" s="765"/>
      <c r="J427" s="765"/>
      <c r="K427" s="765"/>
      <c r="L427" s="765"/>
      <c r="M427" s="847"/>
      <c r="N427" s="765"/>
      <c r="O427" s="765"/>
      <c r="P427" s="765"/>
      <c r="Q427" s="765"/>
      <c r="R427" s="847"/>
      <c r="S427" s="765"/>
      <c r="T427" s="765"/>
      <c r="U427" s="765"/>
      <c r="V427" s="765"/>
      <c r="W427" s="847"/>
      <c r="X427" s="765"/>
      <c r="Y427" s="765"/>
      <c r="Z427" s="765"/>
      <c r="AA427" s="765"/>
      <c r="AB427" s="847"/>
      <c r="AC427" s="765"/>
      <c r="AD427" s="765"/>
      <c r="AE427" s="765"/>
      <c r="AF427" s="765"/>
      <c r="AG427" s="847"/>
      <c r="AH427" s="765"/>
      <c r="AI427" s="765"/>
      <c r="AJ427" s="765"/>
      <c r="AK427" s="765"/>
      <c r="AL427" s="847"/>
      <c r="AM427" s="765">
        <v>1</v>
      </c>
      <c r="AN427" s="765">
        <v>18</v>
      </c>
      <c r="AO427" s="765">
        <f>+AQ427-AM427-AN427-AP427</f>
        <v>3</v>
      </c>
      <c r="AP427" s="765">
        <v>46</v>
      </c>
      <c r="AQ427" s="847">
        <v>68</v>
      </c>
      <c r="AR427" s="765">
        <v>18</v>
      </c>
      <c r="AS427" s="765">
        <v>21</v>
      </c>
      <c r="AT427" s="765">
        <v>7</v>
      </c>
      <c r="AU427" s="765">
        <v>8</v>
      </c>
      <c r="AV427" s="847">
        <f>SUM(AR427:AU427)</f>
        <v>54</v>
      </c>
      <c r="AW427" s="765">
        <v>5</v>
      </c>
      <c r="AX427" s="765">
        <v>6</v>
      </c>
      <c r="AY427" s="765">
        <v>6</v>
      </c>
      <c r="AZ427" s="765">
        <v>-23</v>
      </c>
      <c r="BA427" s="847">
        <f>SUM(AW427:AZ427)</f>
        <v>-6</v>
      </c>
      <c r="BB427" s="765">
        <v>10</v>
      </c>
      <c r="BC427" s="765">
        <v>1</v>
      </c>
      <c r="BD427" s="765">
        <v>3</v>
      </c>
      <c r="BE427" s="765">
        <v>5</v>
      </c>
      <c r="BF427" s="847">
        <f>SUM(BB427:BE427)</f>
        <v>19</v>
      </c>
      <c r="BG427" s="765">
        <v>1</v>
      </c>
      <c r="BH427" s="765">
        <v>-1</v>
      </c>
      <c r="BI427" s="765">
        <v>2</v>
      </c>
      <c r="BJ427" s="765">
        <v>3</v>
      </c>
      <c r="BK427" s="847">
        <f>SUM(BG427:BJ427)</f>
        <v>5</v>
      </c>
      <c r="BL427" s="765">
        <v>4</v>
      </c>
      <c r="BM427" s="765">
        <v>2</v>
      </c>
      <c r="BN427" s="765">
        <v>2</v>
      </c>
      <c r="BO427" s="765"/>
      <c r="BP427" s="847"/>
      <c r="BQ427" s="765"/>
      <c r="BR427" s="765"/>
      <c r="BS427" s="765"/>
      <c r="BT427" s="765"/>
      <c r="BU427" s="847"/>
      <c r="BV427" s="765"/>
      <c r="BW427" s="765"/>
      <c r="BX427" s="765"/>
      <c r="BY427" s="765"/>
      <c r="BZ427" s="847"/>
      <c r="CA427" s="847"/>
      <c r="CB427" s="847"/>
      <c r="CC427" s="847"/>
      <c r="CD427" s="847"/>
      <c r="CE427" s="847"/>
      <c r="CF427" s="847"/>
      <c r="CG427" s="847"/>
      <c r="CH427" s="847"/>
      <c r="CI427" s="847"/>
      <c r="CJ427" s="847"/>
      <c r="CK427" s="847"/>
      <c r="CL427" s="847"/>
      <c r="CM427" s="847"/>
      <c r="CN427" s="847"/>
      <c r="CO427" s="847"/>
      <c r="CP427" s="847"/>
      <c r="CQ427" s="847"/>
      <c r="CR427" s="847"/>
      <c r="CS427" s="847"/>
      <c r="CT427" s="847"/>
      <c r="CU427" s="847"/>
      <c r="CV427" s="847"/>
      <c r="CW427" s="847"/>
      <c r="CX427" s="847"/>
      <c r="CY427" s="847"/>
      <c r="CZ427" s="847"/>
      <c r="DA427" s="847"/>
      <c r="DB427"/>
      <c r="DC427"/>
      <c r="DD427" s="2323" t="s">
        <v>579</v>
      </c>
      <c r="DE427" s="2349">
        <f>M427</f>
        <v>0</v>
      </c>
      <c r="DF427" s="2349">
        <f>R427</f>
        <v>0</v>
      </c>
      <c r="DG427" s="2349">
        <f>W427</f>
        <v>0</v>
      </c>
      <c r="DH427" s="2349">
        <f>AB427</f>
        <v>0</v>
      </c>
      <c r="DI427" s="2349">
        <f>AG427</f>
        <v>0</v>
      </c>
      <c r="DJ427" s="2349">
        <f>AL427</f>
        <v>0</v>
      </c>
      <c r="DK427" s="2349">
        <f>AQ427</f>
        <v>68</v>
      </c>
      <c r="DL427" s="2349">
        <f>AV427</f>
        <v>54</v>
      </c>
      <c r="DM427" s="2349">
        <f>BA427</f>
        <v>-6</v>
      </c>
      <c r="DN427" s="2349">
        <f>BF427</f>
        <v>19</v>
      </c>
      <c r="DO427" s="2349">
        <f>BK427</f>
        <v>5</v>
      </c>
      <c r="DP427" s="2349">
        <f>BP427</f>
        <v>0</v>
      </c>
      <c r="DQ427" s="2349">
        <f>BU427</f>
        <v>0</v>
      </c>
      <c r="DR427" s="2349">
        <f>BZ427</f>
        <v>0</v>
      </c>
      <c r="DS427" s="2349">
        <f>CE427</f>
        <v>0</v>
      </c>
      <c r="DT427" s="2349">
        <f>CJ427</f>
        <v>0</v>
      </c>
      <c r="DU427" s="2349">
        <f>CO427</f>
        <v>0</v>
      </c>
      <c r="DV427" s="2349">
        <f>CT427</f>
        <v>0</v>
      </c>
      <c r="DW427" s="2349">
        <f t="shared" si="854"/>
        <v>0</v>
      </c>
      <c r="DX427" s="2349">
        <f t="shared" si="854"/>
        <v>0</v>
      </c>
      <c r="DY427" s="2349">
        <f t="shared" si="854"/>
        <v>0</v>
      </c>
      <c r="EA427"/>
      <c r="EB427"/>
      <c r="EC427"/>
      <c r="ED427"/>
      <c r="EE427"/>
      <c r="EF427"/>
      <c r="EJ427"/>
      <c r="EK427"/>
      <c r="EL427"/>
      <c r="ER427" s="212"/>
    </row>
    <row r="428" spans="1:148" s="923" customFormat="1" ht="12.75" hidden="1" customHeight="1" outlineLevel="1" x14ac:dyDescent="0.2">
      <c r="A428" s="865" t="s">
        <v>580</v>
      </c>
      <c r="B428" s="877"/>
      <c r="C428" s="877"/>
      <c r="D428" s="877"/>
      <c r="E428" s="877"/>
      <c r="F428" s="877"/>
      <c r="G428" s="877"/>
      <c r="H428" s="877"/>
      <c r="I428" s="877"/>
      <c r="J428" s="877"/>
      <c r="K428" s="877"/>
      <c r="L428" s="877"/>
      <c r="M428" s="850"/>
      <c r="N428" s="877"/>
      <c r="O428" s="877"/>
      <c r="P428" s="877"/>
      <c r="Q428" s="877"/>
      <c r="R428" s="850"/>
      <c r="S428" s="877"/>
      <c r="T428" s="877"/>
      <c r="U428" s="877"/>
      <c r="V428" s="877"/>
      <c r="W428" s="850"/>
      <c r="X428" s="877"/>
      <c r="Y428" s="877"/>
      <c r="Z428" s="877"/>
      <c r="AA428" s="877"/>
      <c r="AB428" s="850"/>
      <c r="AC428" s="877"/>
      <c r="AD428" s="877"/>
      <c r="AE428" s="877"/>
      <c r="AF428" s="877"/>
      <c r="AG428" s="850"/>
      <c r="AH428" s="877"/>
      <c r="AI428" s="877"/>
      <c r="AJ428" s="877"/>
      <c r="AK428" s="877"/>
      <c r="AL428" s="850"/>
      <c r="AM428" s="877">
        <v>5</v>
      </c>
      <c r="AN428" s="877">
        <v>143</v>
      </c>
      <c r="AO428" s="877">
        <f>+AQ428-AM428-AN428-AP428</f>
        <v>18</v>
      </c>
      <c r="AP428" s="877">
        <v>116</v>
      </c>
      <c r="AQ428" s="850">
        <v>282</v>
      </c>
      <c r="AR428" s="877">
        <v>16</v>
      </c>
      <c r="AS428" s="877">
        <v>35</v>
      </c>
      <c r="AT428" s="877">
        <v>5</v>
      </c>
      <c r="AU428" s="877">
        <v>2</v>
      </c>
      <c r="AV428" s="850">
        <f>SUM(AR428:AU428)</f>
        <v>58</v>
      </c>
      <c r="AW428" s="877">
        <v>23</v>
      </c>
      <c r="AX428" s="877">
        <v>2</v>
      </c>
      <c r="AY428" s="877">
        <v>5</v>
      </c>
      <c r="AZ428" s="877">
        <v>-74</v>
      </c>
      <c r="BA428" s="850">
        <f>SUM(AW428:AZ428)</f>
        <v>-44</v>
      </c>
      <c r="BB428" s="877">
        <v>0</v>
      </c>
      <c r="BC428" s="877">
        <v>0</v>
      </c>
      <c r="BD428" s="877">
        <v>0</v>
      </c>
      <c r="BE428" s="877">
        <v>0</v>
      </c>
      <c r="BF428" s="850">
        <f>SUM(BB428:BE428)</f>
        <v>0</v>
      </c>
      <c r="BG428" s="877">
        <v>0</v>
      </c>
      <c r="BH428" s="877">
        <v>-3</v>
      </c>
      <c r="BI428" s="877">
        <v>0</v>
      </c>
      <c r="BJ428" s="877">
        <v>-4</v>
      </c>
      <c r="BK428" s="850">
        <f>SUM(BG428:BJ428)</f>
        <v>-7</v>
      </c>
      <c r="BL428" s="877">
        <v>0</v>
      </c>
      <c r="BM428" s="877">
        <v>0</v>
      </c>
      <c r="BN428" s="877">
        <v>13</v>
      </c>
      <c r="BO428" s="877"/>
      <c r="BP428" s="850"/>
      <c r="BQ428" s="877"/>
      <c r="BR428" s="877"/>
      <c r="BS428" s="877"/>
      <c r="BT428" s="877"/>
      <c r="BU428" s="850"/>
      <c r="BV428" s="877"/>
      <c r="BW428" s="877"/>
      <c r="BX428" s="877"/>
      <c r="BY428" s="877"/>
      <c r="BZ428" s="850"/>
      <c r="CA428" s="850"/>
      <c r="CB428" s="850"/>
      <c r="CC428" s="850"/>
      <c r="CD428" s="850"/>
      <c r="CE428" s="850"/>
      <c r="CF428" s="850"/>
      <c r="CG428" s="850"/>
      <c r="CH428" s="850"/>
      <c r="CI428" s="850"/>
      <c r="CJ428" s="850"/>
      <c r="CK428" s="850"/>
      <c r="CL428" s="850"/>
      <c r="CM428" s="850"/>
      <c r="CN428" s="850"/>
      <c r="CO428" s="850"/>
      <c r="CP428" s="850"/>
      <c r="CQ428" s="850"/>
      <c r="CR428" s="850"/>
      <c r="CS428" s="850"/>
      <c r="CT428" s="850"/>
      <c r="CU428" s="850"/>
      <c r="CV428" s="850"/>
      <c r="CW428" s="850"/>
      <c r="CX428" s="850"/>
      <c r="CY428" s="850"/>
      <c r="CZ428" s="850"/>
      <c r="DA428" s="850"/>
      <c r="DB428"/>
      <c r="DC428"/>
      <c r="DD428" s="2323" t="s">
        <v>580</v>
      </c>
      <c r="DE428" s="850">
        <f>M428</f>
        <v>0</v>
      </c>
      <c r="DF428" s="850">
        <f>R428</f>
        <v>0</v>
      </c>
      <c r="DG428" s="850">
        <f>W428</f>
        <v>0</v>
      </c>
      <c r="DH428" s="850">
        <f>AB428</f>
        <v>0</v>
      </c>
      <c r="DI428" s="850">
        <f>AG428</f>
        <v>0</v>
      </c>
      <c r="DJ428" s="850">
        <f>AL428</f>
        <v>0</v>
      </c>
      <c r="DK428" s="850">
        <f>AQ428</f>
        <v>282</v>
      </c>
      <c r="DL428" s="850">
        <f>AV428</f>
        <v>58</v>
      </c>
      <c r="DM428" s="850">
        <f>BA428</f>
        <v>-44</v>
      </c>
      <c r="DN428" s="850">
        <f>BF428</f>
        <v>0</v>
      </c>
      <c r="DO428" s="850">
        <f>BK428</f>
        <v>-7</v>
      </c>
      <c r="DP428" s="850">
        <f>BP428</f>
        <v>0</v>
      </c>
      <c r="DQ428" s="850">
        <f>BU428</f>
        <v>0</v>
      </c>
      <c r="DR428" s="850">
        <f>BZ428</f>
        <v>0</v>
      </c>
      <c r="DS428" s="850">
        <f>CE428</f>
        <v>0</v>
      </c>
      <c r="DT428" s="850">
        <f>CJ428</f>
        <v>0</v>
      </c>
      <c r="DU428" s="850">
        <f>CO428</f>
        <v>0</v>
      </c>
      <c r="DV428" s="850">
        <f>CT428</f>
        <v>0</v>
      </c>
      <c r="DW428" s="850">
        <f t="shared" si="854"/>
        <v>0</v>
      </c>
      <c r="DX428" s="850">
        <f t="shared" si="854"/>
        <v>0</v>
      </c>
      <c r="DY428" s="850">
        <f t="shared" si="854"/>
        <v>0</v>
      </c>
      <c r="EA428"/>
      <c r="EB428"/>
      <c r="EC428"/>
      <c r="ED428"/>
      <c r="EE428"/>
      <c r="EF428"/>
      <c r="EJ428"/>
      <c r="EK428"/>
      <c r="EL428"/>
      <c r="ER428" s="212"/>
    </row>
    <row r="429" spans="1:148" s="923" customFormat="1" ht="12.75" hidden="1" customHeight="1" outlineLevel="1" x14ac:dyDescent="0.2">
      <c r="A429" s="865" t="s">
        <v>0</v>
      </c>
      <c r="B429" s="765"/>
      <c r="C429" s="765"/>
      <c r="D429" s="765"/>
      <c r="E429" s="765"/>
      <c r="F429" s="765"/>
      <c r="G429" s="765"/>
      <c r="H429" s="765"/>
      <c r="I429" s="765"/>
      <c r="J429" s="765"/>
      <c r="K429" s="765"/>
      <c r="L429" s="765"/>
      <c r="M429" s="847"/>
      <c r="N429" s="765"/>
      <c r="O429" s="765"/>
      <c r="P429" s="765"/>
      <c r="Q429" s="765"/>
      <c r="R429" s="847"/>
      <c r="S429" s="765"/>
      <c r="T429" s="765"/>
      <c r="U429" s="765"/>
      <c r="V429" s="765"/>
      <c r="W429" s="847"/>
      <c r="X429" s="765"/>
      <c r="Y429" s="765"/>
      <c r="Z429" s="765"/>
      <c r="AA429" s="765"/>
      <c r="AB429" s="847"/>
      <c r="AC429" s="765"/>
      <c r="AD429" s="765"/>
      <c r="AE429" s="765"/>
      <c r="AF429" s="765"/>
      <c r="AG429" s="847"/>
      <c r="AH429" s="765"/>
      <c r="AI429" s="765"/>
      <c r="AJ429" s="765"/>
      <c r="AK429" s="765"/>
      <c r="AL429" s="847"/>
      <c r="AM429" s="765">
        <f t="shared" ref="AM429:BN429" si="855">SUM(AM426:AM428)</f>
        <v>12</v>
      </c>
      <c r="AN429" s="765">
        <f t="shared" si="855"/>
        <v>168</v>
      </c>
      <c r="AO429" s="765">
        <f t="shared" si="855"/>
        <v>26</v>
      </c>
      <c r="AP429" s="765">
        <f t="shared" si="855"/>
        <v>172</v>
      </c>
      <c r="AQ429" s="847">
        <f t="shared" si="855"/>
        <v>378</v>
      </c>
      <c r="AR429" s="765">
        <f t="shared" si="855"/>
        <v>42</v>
      </c>
      <c r="AS429" s="765">
        <f t="shared" si="855"/>
        <v>64</v>
      </c>
      <c r="AT429" s="765">
        <f t="shared" si="855"/>
        <v>19</v>
      </c>
      <c r="AU429" s="765">
        <f t="shared" si="855"/>
        <v>20</v>
      </c>
      <c r="AV429" s="847">
        <f t="shared" si="855"/>
        <v>145</v>
      </c>
      <c r="AW429" s="765">
        <f t="shared" si="855"/>
        <v>28</v>
      </c>
      <c r="AX429" s="765">
        <f t="shared" si="855"/>
        <v>8</v>
      </c>
      <c r="AY429" s="765">
        <f t="shared" si="855"/>
        <v>11</v>
      </c>
      <c r="AZ429" s="765">
        <f t="shared" si="855"/>
        <v>-97</v>
      </c>
      <c r="BA429" s="847">
        <f t="shared" si="855"/>
        <v>-50</v>
      </c>
      <c r="BB429" s="765">
        <f t="shared" si="855"/>
        <v>10</v>
      </c>
      <c r="BC429" s="765">
        <f t="shared" si="855"/>
        <v>1</v>
      </c>
      <c r="BD429" s="765">
        <f t="shared" si="855"/>
        <v>3</v>
      </c>
      <c r="BE429" s="765">
        <f t="shared" si="855"/>
        <v>5</v>
      </c>
      <c r="BF429" s="847">
        <f t="shared" si="855"/>
        <v>19</v>
      </c>
      <c r="BG429" s="765">
        <f t="shared" si="855"/>
        <v>1</v>
      </c>
      <c r="BH429" s="765">
        <f t="shared" si="855"/>
        <v>-4</v>
      </c>
      <c r="BI429" s="765">
        <f t="shared" si="855"/>
        <v>2</v>
      </c>
      <c r="BJ429" s="765">
        <f t="shared" si="855"/>
        <v>-1</v>
      </c>
      <c r="BK429" s="847">
        <f t="shared" si="855"/>
        <v>-2</v>
      </c>
      <c r="BL429" s="765">
        <f t="shared" si="855"/>
        <v>4</v>
      </c>
      <c r="BM429" s="765">
        <f t="shared" si="855"/>
        <v>2</v>
      </c>
      <c r="BN429" s="765">
        <f t="shared" si="855"/>
        <v>15</v>
      </c>
      <c r="BO429" s="765"/>
      <c r="BP429" s="847"/>
      <c r="BQ429" s="765"/>
      <c r="BR429" s="765"/>
      <c r="BS429" s="765"/>
      <c r="BT429" s="765"/>
      <c r="BU429" s="847"/>
      <c r="BV429" s="765"/>
      <c r="BW429" s="765"/>
      <c r="BX429" s="765"/>
      <c r="BY429" s="765"/>
      <c r="BZ429" s="847"/>
      <c r="CA429" s="847"/>
      <c r="CB429" s="847"/>
      <c r="CC429" s="847"/>
      <c r="CD429" s="847"/>
      <c r="CE429" s="847"/>
      <c r="CF429" s="847"/>
      <c r="CG429" s="847"/>
      <c r="CH429" s="847"/>
      <c r="CI429" s="847"/>
      <c r="CJ429" s="847"/>
      <c r="CK429" s="847"/>
      <c r="CL429" s="847"/>
      <c r="CM429" s="847"/>
      <c r="CN429" s="847"/>
      <c r="CO429" s="847"/>
      <c r="CP429" s="847"/>
      <c r="CQ429" s="847"/>
      <c r="CR429" s="847"/>
      <c r="CS429" s="847"/>
      <c r="CT429" s="847"/>
      <c r="CU429" s="847"/>
      <c r="CV429" s="847"/>
      <c r="CW429" s="847"/>
      <c r="CX429" s="847"/>
      <c r="CY429" s="847"/>
      <c r="CZ429" s="847"/>
      <c r="DA429" s="847"/>
      <c r="DB429"/>
      <c r="DC429"/>
      <c r="DD429" s="2323" t="s">
        <v>0</v>
      </c>
      <c r="DE429" s="2349">
        <f>M429</f>
        <v>0</v>
      </c>
      <c r="DF429" s="2349">
        <f>R429</f>
        <v>0</v>
      </c>
      <c r="DG429" s="2349">
        <f>W429</f>
        <v>0</v>
      </c>
      <c r="DH429" s="2349">
        <f>AB429</f>
        <v>0</v>
      </c>
      <c r="DI429" s="2349">
        <f>AG429</f>
        <v>0</v>
      </c>
      <c r="DJ429" s="2349">
        <f>AL429</f>
        <v>0</v>
      </c>
      <c r="DK429" s="2349">
        <f>AQ429</f>
        <v>378</v>
      </c>
      <c r="DL429" s="2349">
        <f>AV429</f>
        <v>145</v>
      </c>
      <c r="DM429" s="2349">
        <f>BA429</f>
        <v>-50</v>
      </c>
      <c r="DN429" s="2349">
        <f>BF429</f>
        <v>19</v>
      </c>
      <c r="DO429" s="2349">
        <f>BK429</f>
        <v>-2</v>
      </c>
      <c r="DP429" s="2349">
        <f>BP429</f>
        <v>0</v>
      </c>
      <c r="DQ429" s="2349">
        <f>BU429</f>
        <v>0</v>
      </c>
      <c r="DR429" s="2349">
        <f>BZ429</f>
        <v>0</v>
      </c>
      <c r="DS429" s="2349">
        <f>CE429</f>
        <v>0</v>
      </c>
      <c r="DT429" s="2349">
        <f>CJ429</f>
        <v>0</v>
      </c>
      <c r="DU429" s="2349">
        <f>CO429</f>
        <v>0</v>
      </c>
      <c r="DV429" s="2349">
        <f>CT429</f>
        <v>0</v>
      </c>
      <c r="DW429" s="2349">
        <f t="shared" si="854"/>
        <v>0</v>
      </c>
      <c r="DX429" s="2349">
        <f t="shared" si="854"/>
        <v>0</v>
      </c>
      <c r="DY429" s="2349">
        <f t="shared" si="854"/>
        <v>0</v>
      </c>
      <c r="EA429"/>
      <c r="EB429"/>
      <c r="EC429"/>
      <c r="ED429"/>
      <c r="EE429"/>
      <c r="EF429"/>
      <c r="EJ429"/>
      <c r="EK429"/>
      <c r="EL429"/>
      <c r="ER429" s="212"/>
    </row>
    <row r="430" spans="1:148" s="923" customFormat="1" ht="12.75" hidden="1" customHeight="1" outlineLevel="1" x14ac:dyDescent="0.2">
      <c r="A430" s="865"/>
      <c r="B430" s="765"/>
      <c r="C430" s="765"/>
      <c r="D430" s="765"/>
      <c r="E430" s="765"/>
      <c r="F430" s="765"/>
      <c r="G430" s="765"/>
      <c r="H430" s="765"/>
      <c r="I430" s="765"/>
      <c r="J430" s="765"/>
      <c r="K430" s="765"/>
      <c r="L430" s="765"/>
      <c r="M430" s="847"/>
      <c r="N430" s="765"/>
      <c r="O430" s="765"/>
      <c r="P430" s="765"/>
      <c r="Q430" s="765"/>
      <c r="R430" s="847"/>
      <c r="S430" s="765"/>
      <c r="T430" s="765"/>
      <c r="U430" s="765"/>
      <c r="V430" s="765"/>
      <c r="W430" s="847"/>
      <c r="X430" s="765"/>
      <c r="Y430" s="765"/>
      <c r="Z430" s="765"/>
      <c r="AA430" s="765"/>
      <c r="AB430" s="847"/>
      <c r="AC430" s="765"/>
      <c r="AD430" s="765"/>
      <c r="AE430" s="765"/>
      <c r="AF430" s="765"/>
      <c r="AG430" s="847"/>
      <c r="AH430" s="765"/>
      <c r="AI430" s="765"/>
      <c r="AJ430" s="765"/>
      <c r="AK430" s="765"/>
      <c r="AL430" s="847"/>
      <c r="AM430" s="765"/>
      <c r="AN430" s="765"/>
      <c r="AO430" s="765"/>
      <c r="AP430" s="765"/>
      <c r="AQ430" s="847"/>
      <c r="AR430" s="765"/>
      <c r="AS430" s="765"/>
      <c r="AT430" s="765"/>
      <c r="AU430" s="765"/>
      <c r="AV430" s="847"/>
      <c r="AW430" s="765"/>
      <c r="AX430" s="765"/>
      <c r="AY430" s="765"/>
      <c r="AZ430" s="765"/>
      <c r="BA430" s="847"/>
      <c r="BB430" s="765"/>
      <c r="BC430" s="765"/>
      <c r="BD430" s="765"/>
      <c r="BE430" s="765"/>
      <c r="BF430" s="847"/>
      <c r="BG430" s="765"/>
      <c r="BH430" s="765"/>
      <c r="BI430" s="765"/>
      <c r="BJ430" s="765"/>
      <c r="BK430" s="847"/>
      <c r="BL430" s="765"/>
      <c r="BM430" s="765"/>
      <c r="BN430" s="765"/>
      <c r="BO430" s="765"/>
      <c r="BP430" s="847"/>
      <c r="BQ430" s="765"/>
      <c r="BR430" s="765"/>
      <c r="BS430" s="765"/>
      <c r="BT430" s="765"/>
      <c r="BU430" s="847"/>
      <c r="BV430" s="765"/>
      <c r="BW430" s="765"/>
      <c r="BX430" s="765"/>
      <c r="BY430" s="765"/>
      <c r="BZ430" s="765"/>
      <c r="CA430" s="847"/>
      <c r="CB430" s="847"/>
      <c r="CC430" s="847"/>
      <c r="CD430" s="847"/>
      <c r="CE430" s="847"/>
      <c r="CF430" s="847"/>
      <c r="CG430" s="847"/>
      <c r="CH430" s="847"/>
      <c r="CI430" s="847"/>
      <c r="CJ430" s="847"/>
      <c r="CK430" s="847"/>
      <c r="CL430" s="847"/>
      <c r="CM430" s="847"/>
      <c r="CN430" s="847"/>
      <c r="CO430" s="847"/>
      <c r="CP430" s="847"/>
      <c r="CQ430" s="847"/>
      <c r="CR430" s="847"/>
      <c r="CS430" s="847"/>
      <c r="CT430" s="847"/>
      <c r="CU430" s="847"/>
      <c r="CV430" s="847"/>
      <c r="CW430" s="847"/>
      <c r="CX430" s="847"/>
      <c r="CY430" s="847"/>
      <c r="CZ430" s="847"/>
      <c r="DA430" s="847"/>
      <c r="DB430"/>
      <c r="DC430"/>
      <c r="DD430" s="2323"/>
      <c r="DE430" s="2349"/>
      <c r="DF430" s="2349"/>
      <c r="DG430" s="2349"/>
      <c r="DH430" s="2349"/>
      <c r="DI430" s="2349"/>
      <c r="DJ430" s="2349"/>
      <c r="DK430" s="2349"/>
      <c r="DL430" s="2349"/>
      <c r="DM430" s="2349"/>
      <c r="DN430" s="2349"/>
      <c r="DO430" s="2349"/>
      <c r="DP430" s="2349"/>
      <c r="DQ430" s="2349"/>
      <c r="DR430" s="2349"/>
      <c r="DS430" s="2349"/>
      <c r="DT430" s="2349"/>
      <c r="DU430" s="2349"/>
      <c r="DV430" s="2349"/>
      <c r="DW430" s="2349"/>
      <c r="DX430" s="2349"/>
      <c r="DY430" s="2349"/>
      <c r="EA430"/>
      <c r="EB430"/>
      <c r="EC430"/>
      <c r="ED430"/>
      <c r="EE430"/>
      <c r="EF430"/>
      <c r="EJ430"/>
      <c r="EK430"/>
      <c r="EL430"/>
      <c r="ER430" s="212"/>
    </row>
    <row r="431" spans="1:148" s="923" customFormat="1" ht="12.75" hidden="1" customHeight="1" outlineLevel="1" x14ac:dyDescent="0.2">
      <c r="A431" s="865" t="s">
        <v>1</v>
      </c>
      <c r="B431" s="889"/>
      <c r="C431" s="889"/>
      <c r="D431" s="889"/>
      <c r="E431" s="889"/>
      <c r="F431" s="889"/>
      <c r="G431" s="889"/>
      <c r="H431" s="889"/>
      <c r="I431" s="889"/>
      <c r="J431" s="889"/>
      <c r="K431" s="889"/>
      <c r="L431" s="889"/>
      <c r="M431" s="889"/>
      <c r="N431" s="889"/>
      <c r="O431" s="889"/>
      <c r="P431" s="889"/>
      <c r="Q431" s="889"/>
      <c r="R431" s="889"/>
      <c r="S431" s="889"/>
      <c r="T431" s="889"/>
      <c r="U431" s="889"/>
      <c r="V431" s="889"/>
      <c r="W431" s="889"/>
      <c r="X431" s="889"/>
      <c r="Y431" s="889"/>
      <c r="Z431" s="889"/>
      <c r="AA431" s="889"/>
      <c r="AB431" s="889"/>
      <c r="AC431" s="889"/>
      <c r="AD431" s="889"/>
      <c r="AE431" s="889"/>
      <c r="AF431" s="889"/>
      <c r="AG431" s="889"/>
      <c r="AH431" s="889"/>
      <c r="AI431" s="889"/>
      <c r="AJ431" s="889"/>
      <c r="AK431" s="889"/>
      <c r="AL431" s="889"/>
      <c r="AM431" s="889">
        <f t="shared" ref="AM431:BK431" si="856">+AM429+AM423</f>
        <v>310</v>
      </c>
      <c r="AN431" s="889">
        <f t="shared" si="856"/>
        <v>471</v>
      </c>
      <c r="AO431" s="889">
        <f t="shared" si="856"/>
        <v>355</v>
      </c>
      <c r="AP431" s="889">
        <f t="shared" si="856"/>
        <v>496</v>
      </c>
      <c r="AQ431" s="889">
        <f t="shared" si="856"/>
        <v>1632</v>
      </c>
      <c r="AR431" s="889">
        <f t="shared" si="856"/>
        <v>326</v>
      </c>
      <c r="AS431" s="889">
        <f t="shared" si="856"/>
        <v>359</v>
      </c>
      <c r="AT431" s="889">
        <f t="shared" si="856"/>
        <v>350</v>
      </c>
      <c r="AU431" s="889">
        <f t="shared" si="856"/>
        <v>366</v>
      </c>
      <c r="AV431" s="889">
        <f t="shared" si="856"/>
        <v>1401</v>
      </c>
      <c r="AW431" s="889">
        <f t="shared" si="856"/>
        <v>333</v>
      </c>
      <c r="AX431" s="889">
        <f t="shared" si="856"/>
        <v>334</v>
      </c>
      <c r="AY431" s="889">
        <f t="shared" si="856"/>
        <v>306</v>
      </c>
      <c r="AZ431" s="889">
        <f t="shared" si="856"/>
        <v>103</v>
      </c>
      <c r="BA431" s="889">
        <f t="shared" si="856"/>
        <v>1076</v>
      </c>
      <c r="BB431" s="889">
        <f t="shared" si="856"/>
        <v>157</v>
      </c>
      <c r="BC431" s="889">
        <f t="shared" si="856"/>
        <v>212</v>
      </c>
      <c r="BD431" s="889">
        <f t="shared" si="856"/>
        <v>176</v>
      </c>
      <c r="BE431" s="889">
        <f t="shared" si="856"/>
        <v>203</v>
      </c>
      <c r="BF431" s="889">
        <f t="shared" si="856"/>
        <v>748</v>
      </c>
      <c r="BG431" s="889">
        <f t="shared" si="856"/>
        <v>164</v>
      </c>
      <c r="BH431" s="889">
        <f t="shared" si="856"/>
        <v>161</v>
      </c>
      <c r="BI431" s="889">
        <f t="shared" si="856"/>
        <v>164</v>
      </c>
      <c r="BJ431" s="889">
        <f t="shared" si="856"/>
        <v>197</v>
      </c>
      <c r="BK431" s="889">
        <f t="shared" si="856"/>
        <v>686</v>
      </c>
      <c r="BL431" s="889">
        <f>+BL429+BL423</f>
        <v>146</v>
      </c>
      <c r="BM431" s="889">
        <f>+BM429+BM423</f>
        <v>163</v>
      </c>
      <c r="BN431" s="889">
        <f>+BN429+BN423</f>
        <v>179</v>
      </c>
      <c r="BO431" s="889">
        <f>+BJ431*(1+BO417)</f>
        <v>197</v>
      </c>
      <c r="BP431" s="889">
        <f>SUM(BL431:BO431)</f>
        <v>685</v>
      </c>
      <c r="BQ431" s="889">
        <f>+BL431*(1+BQ417)</f>
        <v>0</v>
      </c>
      <c r="BR431" s="889">
        <f>+BM431*(1+BR417)</f>
        <v>0</v>
      </c>
      <c r="BS431" s="889">
        <f>+BN431*(1+BS417)</f>
        <v>0</v>
      </c>
      <c r="BT431" s="889">
        <f>+BO431*(1+BT417)</f>
        <v>0</v>
      </c>
      <c r="BU431" s="889">
        <f>SUM(BQ431:BT431)</f>
        <v>0</v>
      </c>
      <c r="BV431" s="889"/>
      <c r="BW431" s="889"/>
      <c r="BX431" s="889"/>
      <c r="BY431" s="889"/>
      <c r="BZ431" s="889"/>
      <c r="CA431" s="889"/>
      <c r="CB431" s="889"/>
      <c r="CC431" s="889"/>
      <c r="CD431" s="889"/>
      <c r="CE431" s="889"/>
      <c r="CF431" s="889"/>
      <c r="CG431" s="889"/>
      <c r="CH431" s="889"/>
      <c r="CI431" s="889"/>
      <c r="CJ431" s="889"/>
      <c r="CK431" s="889"/>
      <c r="CL431" s="889"/>
      <c r="CM431" s="889"/>
      <c r="CN431" s="889"/>
      <c r="CO431" s="889"/>
      <c r="CP431" s="889"/>
      <c r="CQ431" s="889"/>
      <c r="CR431" s="889"/>
      <c r="CS431" s="889"/>
      <c r="CT431" s="889"/>
      <c r="CU431" s="889"/>
      <c r="CV431" s="889"/>
      <c r="CW431" s="889"/>
      <c r="CX431" s="889"/>
      <c r="CY431" s="889"/>
      <c r="CZ431" s="889"/>
      <c r="DA431" s="889"/>
      <c r="DB431"/>
      <c r="DC431"/>
      <c r="DD431" s="2323" t="s">
        <v>1</v>
      </c>
      <c r="DE431" s="2349">
        <f>M431</f>
        <v>0</v>
      </c>
      <c r="DF431" s="2349">
        <f>R431</f>
        <v>0</v>
      </c>
      <c r="DG431" s="2349">
        <f>W431</f>
        <v>0</v>
      </c>
      <c r="DH431" s="2349">
        <f>AB431</f>
        <v>0</v>
      </c>
      <c r="DI431" s="2349">
        <f>AG431</f>
        <v>0</v>
      </c>
      <c r="DJ431" s="2349">
        <f>AL431</f>
        <v>0</v>
      </c>
      <c r="DK431" s="2349">
        <f>AQ431</f>
        <v>1632</v>
      </c>
      <c r="DL431" s="2349">
        <f>AV431</f>
        <v>1401</v>
      </c>
      <c r="DM431" s="2349">
        <f>BA431</f>
        <v>1076</v>
      </c>
      <c r="DN431" s="2349">
        <f>BF431</f>
        <v>748</v>
      </c>
      <c r="DO431" s="2349">
        <f>BK431</f>
        <v>686</v>
      </c>
      <c r="DP431" s="2349">
        <f>BP431</f>
        <v>685</v>
      </c>
      <c r="DQ431" s="2349">
        <f>BU431</f>
        <v>0</v>
      </c>
      <c r="DR431" s="2349">
        <f>BZ431</f>
        <v>0</v>
      </c>
      <c r="DS431" s="2349">
        <f>CE431</f>
        <v>0</v>
      </c>
      <c r="DT431" s="2349">
        <f>CJ431</f>
        <v>0</v>
      </c>
      <c r="DU431" s="2349">
        <f>CO431</f>
        <v>0</v>
      </c>
      <c r="DV431" s="2349">
        <f>CT431</f>
        <v>0</v>
      </c>
      <c r="DW431" s="2349">
        <f>CY431</f>
        <v>0</v>
      </c>
      <c r="DX431" s="2349">
        <f>CZ431</f>
        <v>0</v>
      </c>
      <c r="DY431" s="2349">
        <f>DA431</f>
        <v>0</v>
      </c>
      <c r="EA431"/>
      <c r="EB431"/>
      <c r="EC431"/>
      <c r="ED431"/>
      <c r="EE431"/>
      <c r="EF431"/>
      <c r="EJ431"/>
      <c r="EK431"/>
      <c r="EL431"/>
      <c r="ER431" s="212"/>
    </row>
    <row r="432" spans="1:148" s="923" customFormat="1" ht="12.75" hidden="1" customHeight="1" outlineLevel="1" x14ac:dyDescent="0.2">
      <c r="A432" s="865"/>
      <c r="B432" s="847"/>
      <c r="C432" s="847"/>
      <c r="D432" s="847"/>
      <c r="E432" s="847"/>
      <c r="F432" s="847"/>
      <c r="G432" s="847"/>
      <c r="H432" s="847"/>
      <c r="I432" s="847"/>
      <c r="J432" s="847"/>
      <c r="K432" s="847"/>
      <c r="L432" s="847"/>
      <c r="M432" s="847"/>
      <c r="N432" s="847"/>
      <c r="O432" s="847"/>
      <c r="P432" s="847"/>
      <c r="Q432" s="847"/>
      <c r="R432" s="847"/>
      <c r="S432" s="847"/>
      <c r="T432" s="847"/>
      <c r="U432" s="847"/>
      <c r="V432" s="847"/>
      <c r="W432" s="847"/>
      <c r="X432" s="847"/>
      <c r="Y432" s="847"/>
      <c r="Z432" s="847"/>
      <c r="AA432" s="847"/>
      <c r="AB432" s="847"/>
      <c r="AC432" s="847"/>
      <c r="AD432" s="847"/>
      <c r="AE432" s="847"/>
      <c r="AF432" s="847"/>
      <c r="AG432" s="847"/>
      <c r="AH432" s="847"/>
      <c r="AI432" s="847"/>
      <c r="AJ432" s="847"/>
      <c r="AK432" s="847"/>
      <c r="AL432" s="847"/>
      <c r="AM432" s="847"/>
      <c r="AN432" s="847"/>
      <c r="AO432" s="847"/>
      <c r="AP432" s="847"/>
      <c r="AQ432" s="847"/>
      <c r="AR432" s="847"/>
      <c r="AS432" s="847"/>
      <c r="AT432" s="847"/>
      <c r="AU432" s="847"/>
      <c r="AV432" s="847"/>
      <c r="AW432" s="847"/>
      <c r="AX432" s="847"/>
      <c r="AY432" s="847"/>
      <c r="AZ432" s="847"/>
      <c r="BA432" s="847"/>
      <c r="BB432" s="847"/>
      <c r="BC432" s="847"/>
      <c r="BD432" s="847"/>
      <c r="BE432" s="847"/>
      <c r="BF432" s="847"/>
      <c r="BG432" s="847"/>
      <c r="BH432" s="847"/>
      <c r="BI432" s="847"/>
      <c r="BJ432" s="847"/>
      <c r="BK432" s="847"/>
      <c r="BL432" s="847"/>
      <c r="BM432" s="847"/>
      <c r="BN432" s="847"/>
      <c r="BO432" s="847"/>
      <c r="BP432" s="847"/>
      <c r="BQ432" s="847"/>
      <c r="BR432" s="847"/>
      <c r="BS432" s="847"/>
      <c r="BT432" s="847"/>
      <c r="BU432" s="847"/>
      <c r="BV432" s="847"/>
      <c r="BW432" s="847"/>
      <c r="BX432" s="847"/>
      <c r="BY432" s="847"/>
      <c r="BZ432" s="847"/>
      <c r="CA432" s="847"/>
      <c r="CB432" s="847"/>
      <c r="CC432" s="847"/>
      <c r="CD432" s="847"/>
      <c r="CE432" s="847"/>
      <c r="CF432" s="847"/>
      <c r="CG432" s="847"/>
      <c r="CH432" s="847"/>
      <c r="CI432" s="847"/>
      <c r="CJ432" s="847"/>
      <c r="CK432" s="847"/>
      <c r="CL432" s="847"/>
      <c r="CM432" s="847"/>
      <c r="CN432" s="847"/>
      <c r="CO432" s="847"/>
      <c r="CP432" s="847"/>
      <c r="CQ432" s="847"/>
      <c r="CR432" s="847"/>
      <c r="CS432" s="847"/>
      <c r="CT432" s="847"/>
      <c r="CU432" s="847"/>
      <c r="CV432" s="847"/>
      <c r="CW432" s="847"/>
      <c r="CX432" s="847"/>
      <c r="CY432" s="847"/>
      <c r="CZ432" s="847"/>
      <c r="DA432" s="847"/>
      <c r="DB432"/>
      <c r="DC432"/>
      <c r="DD432" s="2323"/>
      <c r="DE432" s="2349"/>
      <c r="DF432" s="2349"/>
      <c r="DG432" s="2349"/>
      <c r="DH432" s="2349"/>
      <c r="DI432" s="2349"/>
      <c r="DJ432" s="2349"/>
      <c r="DK432" s="2349"/>
      <c r="DL432" s="2349"/>
      <c r="DM432" s="2349"/>
      <c r="DN432" s="2349"/>
      <c r="DO432" s="2349"/>
      <c r="DP432" s="2349"/>
      <c r="DQ432" s="2349"/>
      <c r="DR432" s="2349"/>
      <c r="DS432" s="2349"/>
      <c r="DT432" s="2349"/>
      <c r="DU432" s="2349"/>
      <c r="DV432" s="2349"/>
      <c r="DW432" s="2349"/>
      <c r="DX432" s="2349"/>
      <c r="DY432" s="2349"/>
      <c r="EA432"/>
      <c r="EB432"/>
      <c r="EC432"/>
      <c r="ED432"/>
      <c r="EE432"/>
      <c r="EF432"/>
      <c r="EJ432"/>
      <c r="EK432"/>
      <c r="EL432"/>
      <c r="ER432" s="212"/>
    </row>
    <row r="433" spans="1:148" s="923" customFormat="1" ht="12.75" hidden="1" customHeight="1" outlineLevel="1" x14ac:dyDescent="0.2">
      <c r="A433" s="865" t="s">
        <v>2</v>
      </c>
      <c r="B433" s="946"/>
      <c r="C433" s="946"/>
      <c r="D433" s="946"/>
      <c r="E433" s="946"/>
      <c r="F433" s="946"/>
      <c r="G433" s="946"/>
      <c r="H433" s="946"/>
      <c r="I433" s="946"/>
      <c r="J433" s="946"/>
      <c r="K433" s="946"/>
      <c r="L433" s="946"/>
      <c r="M433" s="946"/>
      <c r="N433" s="946"/>
      <c r="O433" s="946"/>
      <c r="P433" s="946"/>
      <c r="Q433" s="946"/>
      <c r="R433" s="946"/>
      <c r="S433" s="946">
        <f t="shared" ref="S433:BK433" si="857">+S436/N436-1</f>
        <v>-6.8524031448397027E-2</v>
      </c>
      <c r="T433" s="946">
        <f t="shared" si="857"/>
        <v>8.6851408458225476E-2</v>
      </c>
      <c r="U433" s="946">
        <f t="shared" si="857"/>
        <v>-8.5370565414868982E-2</v>
      </c>
      <c r="V433" s="946">
        <f t="shared" si="857"/>
        <v>0.14436794058486746</v>
      </c>
      <c r="W433" s="946">
        <f t="shared" si="857"/>
        <v>2.0667385407447059E-2</v>
      </c>
      <c r="X433" s="946">
        <f t="shared" si="857"/>
        <v>0.10227685888241367</v>
      </c>
      <c r="Y433" s="946">
        <f t="shared" si="857"/>
        <v>-9.4235460399875404E-2</v>
      </c>
      <c r="Z433" s="946">
        <f t="shared" si="857"/>
        <v>0.15854828368498275</v>
      </c>
      <c r="AA433" s="946">
        <f t="shared" si="857"/>
        <v>0.1946985215081023</v>
      </c>
      <c r="AB433" s="946">
        <f t="shared" si="857"/>
        <v>9.5973287018082498E-2</v>
      </c>
      <c r="AC433" s="946">
        <f t="shared" si="857"/>
        <v>0.35407202520515813</v>
      </c>
      <c r="AD433" s="946">
        <f t="shared" si="857"/>
        <v>0.20286630698778185</v>
      </c>
      <c r="AE433" s="946">
        <f t="shared" si="857"/>
        <v>-1.1638225752474973E-4</v>
      </c>
      <c r="AF433" s="946">
        <f t="shared" si="857"/>
        <v>-9.4584118469225542E-2</v>
      </c>
      <c r="AG433" s="946">
        <f t="shared" si="857"/>
        <v>8.2468560414262537E-2</v>
      </c>
      <c r="AH433" s="946">
        <f t="shared" si="857"/>
        <v>6.5495153642715742E-2</v>
      </c>
      <c r="AI433" s="946">
        <f t="shared" si="857"/>
        <v>0.17290648746127446</v>
      </c>
      <c r="AJ433" s="946">
        <f t="shared" si="857"/>
        <v>0.30752498872415623</v>
      </c>
      <c r="AK433" s="946">
        <f t="shared" si="857"/>
        <v>0.18183693111508314</v>
      </c>
      <c r="AL433" s="946">
        <f t="shared" si="857"/>
        <v>0.17995579660875483</v>
      </c>
      <c r="AM433" s="946">
        <f t="shared" si="857"/>
        <v>-0.31757297208079938</v>
      </c>
      <c r="AN433" s="946">
        <f t="shared" si="857"/>
        <v>-0.19326648882347541</v>
      </c>
      <c r="AO433" s="946">
        <f t="shared" si="857"/>
        <v>-0.2597679917656549</v>
      </c>
      <c r="AP433" s="946">
        <f t="shared" si="857"/>
        <v>1.4739869170443454E-2</v>
      </c>
      <c r="AQ433" s="946">
        <f t="shared" si="857"/>
        <v>-0.18177140280242166</v>
      </c>
      <c r="AR433" s="946">
        <f t="shared" si="857"/>
        <v>0.22790697674418614</v>
      </c>
      <c r="AS433" s="946">
        <f t="shared" si="857"/>
        <v>0.23391431829288156</v>
      </c>
      <c r="AT433" s="946">
        <f t="shared" si="857"/>
        <v>4.8512690385852597E-2</v>
      </c>
      <c r="AU433" s="946">
        <f t="shared" si="857"/>
        <v>-5.6743025177498629E-2</v>
      </c>
      <c r="AV433" s="946">
        <f t="shared" si="857"/>
        <v>8.7868970663639079E-2</v>
      </c>
      <c r="AW433" s="946">
        <f t="shared" si="857"/>
        <v>-0.22348484848484851</v>
      </c>
      <c r="AX433" s="946">
        <f t="shared" si="857"/>
        <v>-0.16831683168316836</v>
      </c>
      <c r="AY433" s="946">
        <f t="shared" si="857"/>
        <v>-5.017921146953408E-2</v>
      </c>
      <c r="AZ433" s="946">
        <f t="shared" si="857"/>
        <v>-0.31491712707182318</v>
      </c>
      <c r="BA433" s="946">
        <f t="shared" si="857"/>
        <v>-0.19701986754966883</v>
      </c>
      <c r="BB433" s="946">
        <f t="shared" si="857"/>
        <v>-0.3902439024390244</v>
      </c>
      <c r="BC433" s="946">
        <f t="shared" si="857"/>
        <v>-0.27777777777777779</v>
      </c>
      <c r="BD433" s="946">
        <f t="shared" si="857"/>
        <v>-0.47924528301886793</v>
      </c>
      <c r="BE433" s="946">
        <f t="shared" si="857"/>
        <v>-0.25403225806451613</v>
      </c>
      <c r="BF433" s="946">
        <f t="shared" si="857"/>
        <v>-0.35051546391752575</v>
      </c>
      <c r="BG433" s="946">
        <f t="shared" si="857"/>
        <v>0.17599999999999993</v>
      </c>
      <c r="BH433" s="946">
        <f t="shared" si="857"/>
        <v>-0.18681318681318682</v>
      </c>
      <c r="BI433" s="946">
        <f t="shared" si="857"/>
        <v>-2.1739130434782594E-2</v>
      </c>
      <c r="BJ433" s="946">
        <f>+BJ436/BE436-1</f>
        <v>5.9459459459459518E-2</v>
      </c>
      <c r="BK433" s="946">
        <f t="shared" si="857"/>
        <v>-6.3492063492063266E-3</v>
      </c>
      <c r="BL433" s="946">
        <f>+BL436/BG436-1</f>
        <v>-2.7210884353741527E-2</v>
      </c>
      <c r="BM433" s="946">
        <f>+BM436/BH436-1</f>
        <v>3.3783783783783772E-2</v>
      </c>
      <c r="BN433" s="946">
        <f>+BN436/BI436-1</f>
        <v>8.8888888888888795E-2</v>
      </c>
      <c r="BO433" s="946">
        <f>BK417</f>
        <v>-8.2887700534759357E-2</v>
      </c>
      <c r="BP433" s="946">
        <f>+BP436/BK436-1</f>
        <v>2.2364217252396124E-2</v>
      </c>
      <c r="BQ433" s="946">
        <f>$BP$417</f>
        <v>-1.4577259475219151E-3</v>
      </c>
      <c r="BR433" s="946">
        <f>$BP$417</f>
        <v>-1.4577259475219151E-3</v>
      </c>
      <c r="BS433" s="946">
        <f>$BP$417</f>
        <v>-1.4577259475219151E-3</v>
      </c>
      <c r="BT433" s="946">
        <f>$BP$417</f>
        <v>-1.4577259475219151E-3</v>
      </c>
      <c r="BU433" s="946">
        <f>+BU436/BP436-1</f>
        <v>-1</v>
      </c>
      <c r="BV433" s="946"/>
      <c r="BW433" s="946"/>
      <c r="BX433" s="946"/>
      <c r="BY433" s="946"/>
      <c r="BZ433" s="946"/>
      <c r="CA433" s="946"/>
      <c r="CB433" s="946"/>
      <c r="CC433" s="946"/>
      <c r="CD433" s="946"/>
      <c r="CE433" s="946"/>
      <c r="CF433" s="946"/>
      <c r="CG433" s="946"/>
      <c r="CH433" s="946"/>
      <c r="CI433" s="946"/>
      <c r="CJ433" s="946"/>
      <c r="CK433" s="946"/>
      <c r="CL433" s="946"/>
      <c r="CM433" s="946"/>
      <c r="CN433" s="946"/>
      <c r="CO433" s="946"/>
      <c r="CP433" s="946"/>
      <c r="CQ433" s="946"/>
      <c r="CR433" s="946"/>
      <c r="CS433" s="946"/>
      <c r="CT433" s="946"/>
      <c r="CU433" s="946"/>
      <c r="CV433" s="946"/>
      <c r="CW433" s="946"/>
      <c r="CX433" s="946"/>
      <c r="CY433" s="946"/>
      <c r="CZ433" s="946"/>
      <c r="DA433" s="946"/>
      <c r="DB433"/>
      <c r="DC433"/>
      <c r="DD433" s="2323" t="s">
        <v>2</v>
      </c>
      <c r="DE433" s="2349">
        <f>M433</f>
        <v>0</v>
      </c>
      <c r="DF433" s="2349">
        <f>R433</f>
        <v>0</v>
      </c>
      <c r="DG433" s="2349">
        <f>W433</f>
        <v>2.0667385407447059E-2</v>
      </c>
      <c r="DH433" s="2349">
        <f>AB433</f>
        <v>9.5973287018082498E-2</v>
      </c>
      <c r="DI433" s="2349">
        <f>AG433</f>
        <v>8.2468560414262537E-2</v>
      </c>
      <c r="DJ433" s="2349">
        <f>AL433</f>
        <v>0.17995579660875483</v>
      </c>
      <c r="DK433" s="2349">
        <f>AQ433</f>
        <v>-0.18177140280242166</v>
      </c>
      <c r="DL433" s="2349">
        <f>AV433</f>
        <v>8.7868970663639079E-2</v>
      </c>
      <c r="DM433" s="2349">
        <f>BA433</f>
        <v>-0.19701986754966883</v>
      </c>
      <c r="DN433" s="2349">
        <f>BF433</f>
        <v>-0.35051546391752575</v>
      </c>
      <c r="DO433" s="2349">
        <f>BK433</f>
        <v>-6.3492063492063266E-3</v>
      </c>
      <c r="DP433" s="2349">
        <f>BP433</f>
        <v>2.2364217252396124E-2</v>
      </c>
      <c r="DQ433" s="2349">
        <f>BU433</f>
        <v>-1</v>
      </c>
      <c r="DR433" s="2349">
        <f>BZ433</f>
        <v>0</v>
      </c>
      <c r="DS433" s="2349">
        <f>CE433</f>
        <v>0</v>
      </c>
      <c r="DT433" s="2349">
        <f>CJ433</f>
        <v>0</v>
      </c>
      <c r="DU433" s="2349">
        <f>CO433</f>
        <v>0</v>
      </c>
      <c r="DV433" s="2349">
        <f>CT433</f>
        <v>0</v>
      </c>
      <c r="DW433" s="2349">
        <f t="shared" ref="DW433:DY434" si="858">CY433</f>
        <v>0</v>
      </c>
      <c r="DX433" s="2349">
        <f t="shared" si="858"/>
        <v>0</v>
      </c>
      <c r="DY433" s="2349">
        <f t="shared" si="858"/>
        <v>0</v>
      </c>
      <c r="EA433"/>
      <c r="EB433"/>
      <c r="EC433"/>
      <c r="ED433"/>
      <c r="EE433"/>
      <c r="EF433"/>
      <c r="EJ433"/>
      <c r="EK433"/>
      <c r="EL433"/>
      <c r="ER433" s="212"/>
    </row>
    <row r="434" spans="1:148" s="923" customFormat="1" ht="12.75" hidden="1" customHeight="1" outlineLevel="1" x14ac:dyDescent="0.2">
      <c r="A434" s="865" t="s">
        <v>3</v>
      </c>
      <c r="B434" s="845"/>
      <c r="C434" s="845"/>
      <c r="D434" s="845"/>
      <c r="E434" s="845"/>
      <c r="F434" s="845"/>
      <c r="G434" s="845"/>
      <c r="H434" s="845"/>
      <c r="I434" s="845"/>
      <c r="J434" s="845"/>
      <c r="K434" s="845"/>
      <c r="L434" s="845"/>
      <c r="M434" s="845"/>
      <c r="N434" s="845"/>
      <c r="O434" s="845"/>
      <c r="P434" s="845"/>
      <c r="Q434" s="845"/>
      <c r="R434" s="845"/>
      <c r="S434" s="845">
        <f t="shared" ref="S434:AF434" si="859">S437/N437-1</f>
        <v>-5.5555555555555469E-2</v>
      </c>
      <c r="T434" s="845">
        <f t="shared" si="859"/>
        <v>6.9672131147541005E-2</v>
      </c>
      <c r="U434" s="845">
        <f t="shared" si="859"/>
        <v>-9.4405594405594373E-2</v>
      </c>
      <c r="V434" s="845">
        <f t="shared" si="859"/>
        <v>0.11578947368421044</v>
      </c>
      <c r="W434" s="845">
        <f t="shared" si="859"/>
        <v>9.5328884652050583E-3</v>
      </c>
      <c r="X434" s="845">
        <f t="shared" si="859"/>
        <v>7.2398190045248834E-2</v>
      </c>
      <c r="Y434" s="845">
        <f t="shared" si="859"/>
        <v>-0.10344827586206895</v>
      </c>
      <c r="Z434" s="845">
        <f t="shared" si="859"/>
        <v>0.14285714285714302</v>
      </c>
      <c r="AA434" s="845">
        <f t="shared" si="859"/>
        <v>0.18867924528301883</v>
      </c>
      <c r="AB434" s="845">
        <f t="shared" si="859"/>
        <v>8.1208687440982086E-2</v>
      </c>
      <c r="AC434" s="845">
        <f t="shared" si="859"/>
        <v>0.34177215189873422</v>
      </c>
      <c r="AD434" s="845">
        <f t="shared" si="859"/>
        <v>0.20085470085470103</v>
      </c>
      <c r="AE434" s="845">
        <f t="shared" si="859"/>
        <v>1.0135135135135309E-2</v>
      </c>
      <c r="AF434" s="845">
        <f t="shared" si="859"/>
        <v>-7.6719576719576743E-2</v>
      </c>
      <c r="AG434" s="845">
        <f>+AG437/AB437-1</f>
        <v>8.9082969432314529E-2</v>
      </c>
      <c r="AH434" s="845">
        <f>AH437/AC437-1</f>
        <v>8.8050314465408785E-2</v>
      </c>
      <c r="AI434" s="845">
        <f>AI437/AD437-1</f>
        <v>0.19217081850533813</v>
      </c>
      <c r="AJ434" s="845">
        <f>AJ437/AE437-1</f>
        <v>0.31438127090301005</v>
      </c>
      <c r="AK434" s="845">
        <f>AK437/AF437-1</f>
        <v>0.18338108882521476</v>
      </c>
      <c r="AL434" s="845">
        <f>+AL437/AG437-1</f>
        <v>0.19246190858059342</v>
      </c>
      <c r="AM434" s="845">
        <f>AM437/AH437-1</f>
        <v>3.9855491329479769</v>
      </c>
      <c r="AN434" s="845">
        <f>AN437/AI437-1</f>
        <v>4.2522388059701486</v>
      </c>
      <c r="AO434" s="845">
        <f>AO437/AJ437-1</f>
        <v>3.566641221374045</v>
      </c>
      <c r="AP434" s="845">
        <f>AP437/AK437-1</f>
        <v>3.4324062953995158</v>
      </c>
      <c r="AQ434" s="845">
        <f>+AQ437/AL437-1</f>
        <v>3.7812870208473432</v>
      </c>
      <c r="AR434" s="845">
        <f>AR437/AM437-1</f>
        <v>0.10144927536231885</v>
      </c>
      <c r="AS434" s="845">
        <f>AS437/AN437-1</f>
        <v>2.3017902813299296E-2</v>
      </c>
      <c r="AT434" s="845">
        <f>AT437/AO437-1</f>
        <v>7.2608639932244534E-2</v>
      </c>
      <c r="AU434" s="845">
        <f>AU437/AP437-1</f>
        <v>0.22911608853962306</v>
      </c>
      <c r="AV434" s="845">
        <f>+AV437/AQ437-1</f>
        <v>0.1076301752384865</v>
      </c>
      <c r="AW434" s="845">
        <f>AW437/AR437-1</f>
        <v>0.10526315789473695</v>
      </c>
      <c r="AX434" s="845">
        <f>AX437/AS437-1</f>
        <v>9.7222222222222321E-2</v>
      </c>
      <c r="AY434" s="845">
        <f>AY437/AT437-1</f>
        <v>5.1948051948051965E-2</v>
      </c>
      <c r="AZ434" s="845">
        <f>AZ437/AU437-1</f>
        <v>2.2222222222222143E-2</v>
      </c>
      <c r="BA434" s="845">
        <f>+BA437/AV437-1</f>
        <v>6.6666666666666652E-2</v>
      </c>
      <c r="BB434" s="845">
        <f>BB437/AW437-1</f>
        <v>-0.16666666666666663</v>
      </c>
      <c r="BC434" s="845">
        <f>BC437/AX437-1</f>
        <v>1.2658227848101333E-2</v>
      </c>
      <c r="BD434" s="845">
        <f>BD437/AY437-1</f>
        <v>1.2345679012345734E-2</v>
      </c>
      <c r="BE434" s="845">
        <f>BE437/AZ437-1</f>
        <v>6.5217391304347894E-2</v>
      </c>
      <c r="BF434" s="845">
        <f>+BF437/BA437-1</f>
        <v>-1.7857142857142905E-2</v>
      </c>
      <c r="BG434" s="845">
        <f>BG437/BB437-1</f>
        <v>0.18571428571428572</v>
      </c>
      <c r="BH434" s="845">
        <f>BH437/BC437-1</f>
        <v>5.0000000000000044E-2</v>
      </c>
      <c r="BI434" s="845">
        <f>BI437/BD437-1</f>
        <v>4.8780487804878092E-2</v>
      </c>
      <c r="BJ434" s="845">
        <f>BJ437/BE437-1</f>
        <v>0</v>
      </c>
      <c r="BK434" s="845">
        <f>+BK437/BF437-1</f>
        <v>6.3636363636363713E-2</v>
      </c>
      <c r="BL434" s="845">
        <f>BL437/BG437-1</f>
        <v>6.024096385542177E-2</v>
      </c>
      <c r="BM434" s="845">
        <f>BM437/BH437-1</f>
        <v>7.1428571428571397E-2</v>
      </c>
      <c r="BN434" s="845">
        <f>BN437/BI437-1</f>
        <v>0.12790697674418605</v>
      </c>
      <c r="BO434" s="845">
        <f>BN434</f>
        <v>0.12790697674418605</v>
      </c>
      <c r="BP434" s="845">
        <f>+BP437/BK437-1</f>
        <v>9.8389982110912211E-2</v>
      </c>
      <c r="BQ434" s="845">
        <v>-1</v>
      </c>
      <c r="BR434" s="845">
        <f>BQ434</f>
        <v>-1</v>
      </c>
      <c r="BS434" s="845">
        <f>BR434</f>
        <v>-1</v>
      </c>
      <c r="BT434" s="845">
        <f>BS434</f>
        <v>-1</v>
      </c>
      <c r="BU434" s="845">
        <f>+BU437/BP437-1</f>
        <v>-1</v>
      </c>
      <c r="BV434" s="845"/>
      <c r="BW434" s="845"/>
      <c r="BX434" s="845"/>
      <c r="BY434" s="845"/>
      <c r="BZ434" s="845"/>
      <c r="CA434" s="845"/>
      <c r="CB434" s="845"/>
      <c r="CC434" s="845"/>
      <c r="CD434" s="845"/>
      <c r="CE434" s="845"/>
      <c r="CF434" s="845"/>
      <c r="CG434" s="845"/>
      <c r="CH434" s="845"/>
      <c r="CI434" s="845"/>
      <c r="CJ434" s="845"/>
      <c r="CK434" s="845"/>
      <c r="CL434" s="845"/>
      <c r="CM434" s="845"/>
      <c r="CN434" s="845"/>
      <c r="CO434" s="845"/>
      <c r="CP434" s="845"/>
      <c r="CQ434" s="845"/>
      <c r="CR434" s="845"/>
      <c r="CS434" s="845"/>
      <c r="CT434" s="845"/>
      <c r="CU434" s="845"/>
      <c r="CV434" s="845"/>
      <c r="CW434" s="845"/>
      <c r="CX434" s="845"/>
      <c r="CY434" s="845"/>
      <c r="CZ434" s="845"/>
      <c r="DA434" s="845"/>
      <c r="DB434"/>
      <c r="DC434"/>
      <c r="DD434" s="2323" t="s">
        <v>3</v>
      </c>
      <c r="DE434" s="2349">
        <f>M434</f>
        <v>0</v>
      </c>
      <c r="DF434" s="2349">
        <f>R434</f>
        <v>0</v>
      </c>
      <c r="DG434" s="2349">
        <f>W434</f>
        <v>9.5328884652050583E-3</v>
      </c>
      <c r="DH434" s="2349">
        <f>AB434</f>
        <v>8.1208687440982086E-2</v>
      </c>
      <c r="DI434" s="2349">
        <f>AG434</f>
        <v>8.9082969432314529E-2</v>
      </c>
      <c r="DJ434" s="2349">
        <f>AL434</f>
        <v>0.19246190858059342</v>
      </c>
      <c r="DK434" s="2349">
        <f>AQ434</f>
        <v>3.7812870208473432</v>
      </c>
      <c r="DL434" s="2349">
        <f>AV434</f>
        <v>0.1076301752384865</v>
      </c>
      <c r="DM434" s="2349">
        <f>BA434</f>
        <v>6.6666666666666652E-2</v>
      </c>
      <c r="DN434" s="2349">
        <f>BF434</f>
        <v>-1.7857142857142905E-2</v>
      </c>
      <c r="DO434" s="2349">
        <f>BK434</f>
        <v>6.3636363636363713E-2</v>
      </c>
      <c r="DP434" s="2349">
        <f>BP434</f>
        <v>9.8389982110912211E-2</v>
      </c>
      <c r="DQ434" s="2349">
        <f>BU434</f>
        <v>-1</v>
      </c>
      <c r="DR434" s="2349">
        <f>BZ434</f>
        <v>0</v>
      </c>
      <c r="DS434" s="2349">
        <f>CE434</f>
        <v>0</v>
      </c>
      <c r="DT434" s="2349">
        <f>CJ434</f>
        <v>0</v>
      </c>
      <c r="DU434" s="2349">
        <f>CO434</f>
        <v>0</v>
      </c>
      <c r="DV434" s="2349">
        <f>CT434</f>
        <v>0</v>
      </c>
      <c r="DW434" s="2349">
        <f t="shared" si="858"/>
        <v>0</v>
      </c>
      <c r="DX434" s="2349">
        <f t="shared" si="858"/>
        <v>0</v>
      </c>
      <c r="DY434" s="2349">
        <f t="shared" si="858"/>
        <v>0</v>
      </c>
      <c r="EA434"/>
      <c r="EB434"/>
      <c r="EC434"/>
      <c r="ED434"/>
      <c r="EE434"/>
      <c r="EF434"/>
      <c r="EJ434"/>
      <c r="EK434"/>
      <c r="EL434"/>
      <c r="ER434" s="212"/>
    </row>
    <row r="435" spans="1:148" s="923" customFormat="1" ht="12.75" hidden="1" customHeight="1" outlineLevel="1" x14ac:dyDescent="0.2">
      <c r="A435" s="865"/>
      <c r="B435" s="847"/>
      <c r="C435" s="847"/>
      <c r="D435" s="847"/>
      <c r="E435" s="847"/>
      <c r="F435" s="847"/>
      <c r="G435" s="847"/>
      <c r="H435" s="847"/>
      <c r="I435" s="847"/>
      <c r="J435" s="847"/>
      <c r="K435" s="847"/>
      <c r="L435" s="847"/>
      <c r="M435" s="847"/>
      <c r="N435" s="847"/>
      <c r="O435" s="847"/>
      <c r="P435" s="847"/>
      <c r="Q435" s="847"/>
      <c r="R435" s="847"/>
      <c r="S435" s="847"/>
      <c r="T435" s="847"/>
      <c r="U435" s="847"/>
      <c r="V435" s="847"/>
      <c r="W435" s="847"/>
      <c r="X435" s="847"/>
      <c r="Y435" s="847"/>
      <c r="Z435" s="847"/>
      <c r="AA435" s="847"/>
      <c r="AB435" s="847"/>
      <c r="AC435" s="847"/>
      <c r="AD435" s="847"/>
      <c r="AE435" s="847"/>
      <c r="AF435" s="847"/>
      <c r="AG435" s="847"/>
      <c r="AH435" s="847"/>
      <c r="AI435" s="847"/>
      <c r="AJ435" s="847"/>
      <c r="AK435" s="847"/>
      <c r="AL435" s="847"/>
      <c r="AM435" s="847"/>
      <c r="AN435" s="847"/>
      <c r="AO435" s="847"/>
      <c r="AP435" s="847"/>
      <c r="AQ435" s="847"/>
      <c r="AR435" s="847"/>
      <c r="AS435" s="847"/>
      <c r="AT435" s="847"/>
      <c r="AU435" s="847"/>
      <c r="AV435" s="847"/>
      <c r="AW435" s="847"/>
      <c r="AX435" s="847"/>
      <c r="AY435" s="847"/>
      <c r="AZ435" s="847"/>
      <c r="BA435" s="847"/>
      <c r="BB435" s="847"/>
      <c r="BC435" s="847"/>
      <c r="BD435" s="847"/>
      <c r="BE435" s="847"/>
      <c r="BF435" s="847"/>
      <c r="BG435" s="847"/>
      <c r="BH435" s="847"/>
      <c r="BI435" s="847"/>
      <c r="BJ435" s="847"/>
      <c r="BK435" s="847"/>
      <c r="BL435" s="847"/>
      <c r="BM435" s="847"/>
      <c r="BN435" s="847"/>
      <c r="BO435" s="847"/>
      <c r="BP435" s="847"/>
      <c r="BQ435" s="847"/>
      <c r="BR435" s="847"/>
      <c r="BS435" s="847"/>
      <c r="BT435" s="847"/>
      <c r="BU435" s="847"/>
      <c r="BV435" s="847"/>
      <c r="BW435" s="847"/>
      <c r="BX435" s="847"/>
      <c r="BY435" s="847"/>
      <c r="BZ435" s="847"/>
      <c r="CA435" s="847"/>
      <c r="CB435" s="847"/>
      <c r="CC435" s="847"/>
      <c r="CD435" s="847"/>
      <c r="CE435" s="847"/>
      <c r="CF435" s="847"/>
      <c r="CG435" s="847"/>
      <c r="CH435" s="847"/>
      <c r="CI435" s="847"/>
      <c r="CJ435" s="847"/>
      <c r="CK435" s="847"/>
      <c r="CL435" s="847"/>
      <c r="CM435" s="847"/>
      <c r="CN435" s="847"/>
      <c r="CO435" s="847"/>
      <c r="CP435" s="847"/>
      <c r="CQ435" s="847"/>
      <c r="CR435" s="847"/>
      <c r="CS435" s="847"/>
      <c r="CT435" s="847"/>
      <c r="CU435" s="847"/>
      <c r="CV435" s="847"/>
      <c r="CW435" s="847"/>
      <c r="CX435" s="847"/>
      <c r="CY435" s="847"/>
      <c r="CZ435" s="847"/>
      <c r="DA435" s="847"/>
      <c r="DB435"/>
      <c r="DC435"/>
      <c r="DD435" s="2323"/>
      <c r="DE435" s="2349"/>
      <c r="DF435" s="2349"/>
      <c r="DG435" s="2349"/>
      <c r="DH435" s="2349"/>
      <c r="DI435" s="2349"/>
      <c r="DJ435" s="2349"/>
      <c r="DK435" s="2349"/>
      <c r="DL435" s="2349"/>
      <c r="DM435" s="2349"/>
      <c r="DN435" s="2349"/>
      <c r="DO435" s="2349"/>
      <c r="DP435" s="2349"/>
      <c r="DQ435" s="2349"/>
      <c r="DR435" s="2349"/>
      <c r="DS435" s="2349"/>
      <c r="DT435" s="2349"/>
      <c r="DU435" s="2349"/>
      <c r="DV435" s="2349"/>
      <c r="DW435" s="2349"/>
      <c r="DX435" s="2349"/>
      <c r="DY435" s="2349"/>
      <c r="EA435"/>
      <c r="EB435"/>
      <c r="EC435"/>
      <c r="ED435"/>
      <c r="EE435"/>
      <c r="EF435"/>
      <c r="EJ435"/>
      <c r="EK435"/>
      <c r="EL435"/>
      <c r="ER435" s="212"/>
    </row>
    <row r="436" spans="1:148" s="923" customFormat="1" ht="12.75" hidden="1" customHeight="1" outlineLevel="1" x14ac:dyDescent="0.2">
      <c r="A436" s="865" t="s">
        <v>4</v>
      </c>
      <c r="B436" s="889"/>
      <c r="C436" s="889"/>
      <c r="D436" s="889"/>
      <c r="E436" s="889" t="s">
        <v>5</v>
      </c>
      <c r="F436" s="889" t="s">
        <v>6</v>
      </c>
      <c r="G436" s="889"/>
      <c r="H436" s="889"/>
      <c r="I436" s="889">
        <f>+I441-I437-I438</f>
        <v>157.24</v>
      </c>
      <c r="J436" s="889">
        <f>+J441-J437-J438</f>
        <v>176.44</v>
      </c>
      <c r="K436" s="889">
        <f>+K441-K437-K438</f>
        <v>179.32</v>
      </c>
      <c r="L436" s="889">
        <f>+L441-L437-L438</f>
        <v>240.76</v>
      </c>
      <c r="M436" s="889">
        <f>SUM(I436:L436)</f>
        <v>753.76</v>
      </c>
      <c r="N436" s="889">
        <f>+N441-N437-N438</f>
        <v>212.67999999999998</v>
      </c>
      <c r="O436" s="889">
        <f>+O441-O437-O438</f>
        <v>219.16</v>
      </c>
      <c r="P436" s="889">
        <f>+P441-P437-P438</f>
        <v>259.48</v>
      </c>
      <c r="Q436" s="889">
        <f>+Q441-Q437-Q438</f>
        <v>258.52000000000004</v>
      </c>
      <c r="R436" s="889">
        <f>SUM(N436:Q436)</f>
        <v>949.83999999999992</v>
      </c>
      <c r="S436" s="889">
        <f>+S441-S437-S438</f>
        <v>198.1063089915549</v>
      </c>
      <c r="T436" s="889">
        <f>+T441-T437-T438</f>
        <v>238.19435467770469</v>
      </c>
      <c r="U436" s="889">
        <f>+U441-U437-U438</f>
        <v>237.32804568614981</v>
      </c>
      <c r="V436" s="889">
        <f>+V441-V437-V438</f>
        <v>295.84199999999998</v>
      </c>
      <c r="W436" s="889">
        <f>SUM(S436:V436)</f>
        <v>969.47070935540944</v>
      </c>
      <c r="X436" s="889">
        <f>+X441-X437-X438</f>
        <v>218.36799999999999</v>
      </c>
      <c r="Y436" s="889">
        <f>+Y441-Y437-Y438</f>
        <v>215.74799999999999</v>
      </c>
      <c r="Z436" s="889">
        <f>+Z441-Z437-Z438</f>
        <v>274.95600000000002</v>
      </c>
      <c r="AA436" s="889">
        <f>+AA441-AA437-AA438</f>
        <v>353.44200000000001</v>
      </c>
      <c r="AB436" s="889">
        <f>SUM(X436:AA436)</f>
        <v>1062.5140000000001</v>
      </c>
      <c r="AC436" s="889">
        <f>+AC441-AC437-AC438</f>
        <v>295.68599999999998</v>
      </c>
      <c r="AD436" s="889">
        <f>+AD441-AD437-AD438</f>
        <v>259.51599999999996</v>
      </c>
      <c r="AE436" s="889">
        <f>+AE441-AE437-AE438</f>
        <v>274.92400000000004</v>
      </c>
      <c r="AF436" s="889">
        <f>+AF441-AF437-AF438</f>
        <v>320.012</v>
      </c>
      <c r="AG436" s="889">
        <f>SUM(AC436:AF436)</f>
        <v>1150.1379999999999</v>
      </c>
      <c r="AH436" s="889">
        <f>+AH441-AH437-AH438</f>
        <v>315.05200000000002</v>
      </c>
      <c r="AI436" s="889">
        <f>+AI441-AI437-AI438</f>
        <v>304.38800000000003</v>
      </c>
      <c r="AJ436" s="889">
        <f>+AJ441-AJ437-AJ438</f>
        <v>359.46999999999997</v>
      </c>
      <c r="AK436" s="889">
        <f>+AK441-AK437-AK438</f>
        <v>378.202</v>
      </c>
      <c r="AL436" s="889">
        <f>SUM(AH436:AK436)</f>
        <v>1357.1120000000001</v>
      </c>
      <c r="AM436" s="889">
        <v>215</v>
      </c>
      <c r="AN436" s="889">
        <f>+AN441-AN437-AN438-AN439-AN440</f>
        <v>245.56</v>
      </c>
      <c r="AO436" s="889">
        <f>+AO441-AO437-AO438-AO439-AO440</f>
        <v>266.09120000000001</v>
      </c>
      <c r="AP436" s="889">
        <f>+AP441-AP437-AP438-AP439-AP440</f>
        <v>383.77664800000002</v>
      </c>
      <c r="AQ436" s="889">
        <f>SUM(AM436:AP436)</f>
        <v>1110.427848</v>
      </c>
      <c r="AR436" s="889">
        <v>264</v>
      </c>
      <c r="AS436" s="889">
        <v>303</v>
      </c>
      <c r="AT436" s="889">
        <v>279</v>
      </c>
      <c r="AU436" s="889">
        <v>362</v>
      </c>
      <c r="AV436" s="889">
        <f>SUM(AR436:AU436)</f>
        <v>1208</v>
      </c>
      <c r="AW436" s="889">
        <v>205</v>
      </c>
      <c r="AX436" s="889">
        <v>252</v>
      </c>
      <c r="AY436" s="889">
        <v>265</v>
      </c>
      <c r="AZ436" s="889">
        <v>248</v>
      </c>
      <c r="BA436" s="889">
        <f>SUM(AW436:AZ436)</f>
        <v>970</v>
      </c>
      <c r="BB436" s="889">
        <v>125</v>
      </c>
      <c r="BC436" s="889">
        <v>182</v>
      </c>
      <c r="BD436" s="889">
        <v>138</v>
      </c>
      <c r="BE436" s="889">
        <v>185</v>
      </c>
      <c r="BF436" s="889">
        <f>SUM(BB436:BE436)</f>
        <v>630</v>
      </c>
      <c r="BG436" s="889">
        <v>147</v>
      </c>
      <c r="BH436" s="889">
        <v>148</v>
      </c>
      <c r="BI436" s="889">
        <v>135</v>
      </c>
      <c r="BJ436" s="889">
        <v>196</v>
      </c>
      <c r="BK436" s="889">
        <f>SUM(BG436:BJ436)</f>
        <v>626</v>
      </c>
      <c r="BL436" s="889">
        <v>143</v>
      </c>
      <c r="BM436" s="889">
        <v>153</v>
      </c>
      <c r="BN436" s="889">
        <v>147</v>
      </c>
      <c r="BO436" s="889">
        <f>BO431</f>
        <v>197</v>
      </c>
      <c r="BP436" s="889">
        <f>SUM(BL436:BO436)</f>
        <v>640</v>
      </c>
      <c r="BQ436" s="889">
        <f>BQ431</f>
        <v>0</v>
      </c>
      <c r="BR436" s="889">
        <f>BR431</f>
        <v>0</v>
      </c>
      <c r="BS436" s="889">
        <f>BS431</f>
        <v>0</v>
      </c>
      <c r="BT436" s="889">
        <f>BT431</f>
        <v>0</v>
      </c>
      <c r="BU436" s="889">
        <f>SUM(BQ436:BT436)</f>
        <v>0</v>
      </c>
      <c r="BV436" s="889"/>
      <c r="BW436" s="889"/>
      <c r="BX436" s="889"/>
      <c r="BY436" s="889"/>
      <c r="BZ436" s="889"/>
      <c r="CA436" s="889"/>
      <c r="CB436" s="889"/>
      <c r="CC436" s="889"/>
      <c r="CD436" s="889"/>
      <c r="CE436" s="889"/>
      <c r="CF436" s="889"/>
      <c r="CG436" s="889"/>
      <c r="CH436" s="889"/>
      <c r="CI436" s="889"/>
      <c r="CJ436" s="889"/>
      <c r="CK436" s="889"/>
      <c r="CL436" s="889"/>
      <c r="CM436" s="889"/>
      <c r="CN436" s="889"/>
      <c r="CO436" s="889"/>
      <c r="CP436" s="889"/>
      <c r="CQ436" s="889"/>
      <c r="CR436" s="889"/>
      <c r="CS436" s="889"/>
      <c r="CT436" s="889"/>
      <c r="CU436" s="889"/>
      <c r="CV436" s="889"/>
      <c r="CW436" s="889"/>
      <c r="CX436" s="889"/>
      <c r="CY436" s="889"/>
      <c r="CZ436" s="889"/>
      <c r="DA436" s="889"/>
      <c r="DB436"/>
      <c r="DC436"/>
      <c r="DD436" s="2323" t="s">
        <v>4</v>
      </c>
      <c r="DE436" s="2349">
        <f t="shared" ref="DE436:DE442" si="860">M436</f>
        <v>753.76</v>
      </c>
      <c r="DF436" s="2349">
        <f t="shared" ref="DF436:DF442" si="861">R436</f>
        <v>949.83999999999992</v>
      </c>
      <c r="DG436" s="2349">
        <f t="shared" ref="DG436:DG442" si="862">W436</f>
        <v>969.47070935540944</v>
      </c>
      <c r="DH436" s="2349">
        <f t="shared" ref="DH436:DH442" si="863">AB436</f>
        <v>1062.5140000000001</v>
      </c>
      <c r="DI436" s="2349">
        <f t="shared" ref="DI436:DI442" si="864">AG436</f>
        <v>1150.1379999999999</v>
      </c>
      <c r="DJ436" s="2349">
        <f t="shared" ref="DJ436:DJ442" si="865">AL436</f>
        <v>1357.1120000000001</v>
      </c>
      <c r="DK436" s="2349">
        <f t="shared" ref="DK436:DK442" si="866">AQ436</f>
        <v>1110.427848</v>
      </c>
      <c r="DL436" s="2349">
        <f t="shared" ref="DL436:DL442" si="867">AV436</f>
        <v>1208</v>
      </c>
      <c r="DM436" s="2349">
        <f t="shared" ref="DM436:DM442" si="868">BA436</f>
        <v>970</v>
      </c>
      <c r="DN436" s="2349">
        <f t="shared" ref="DN436:DN442" si="869">BF436</f>
        <v>630</v>
      </c>
      <c r="DO436" s="2349">
        <f t="shared" ref="DO436:DO442" si="870">BK436</f>
        <v>626</v>
      </c>
      <c r="DP436" s="2349">
        <f t="shared" ref="DP436:DP442" si="871">BP436</f>
        <v>640</v>
      </c>
      <c r="DQ436" s="2349">
        <f t="shared" ref="DQ436:DQ442" si="872">BU436</f>
        <v>0</v>
      </c>
      <c r="DR436" s="2349">
        <f t="shared" ref="DR436:DR442" si="873">BZ436</f>
        <v>0</v>
      </c>
      <c r="DS436" s="2349">
        <f t="shared" ref="DS436:DS442" si="874">CE436</f>
        <v>0</v>
      </c>
      <c r="DT436" s="2349">
        <f t="shared" ref="DT436:DT442" si="875">CJ436</f>
        <v>0</v>
      </c>
      <c r="DU436" s="2349">
        <f t="shared" ref="DU436:DU442" si="876">CO436</f>
        <v>0</v>
      </c>
      <c r="DV436" s="2349">
        <f t="shared" ref="DV436:DV442" si="877">CT436</f>
        <v>0</v>
      </c>
      <c r="DW436" s="2349">
        <f t="shared" ref="DW436:DW442" si="878">CY436</f>
        <v>0</v>
      </c>
      <c r="DX436" s="2349">
        <f t="shared" ref="DX436:DX442" si="879">CZ436</f>
        <v>0</v>
      </c>
      <c r="DY436" s="2349">
        <f t="shared" ref="DY436:DY442" si="880">DA436</f>
        <v>0</v>
      </c>
      <c r="EA436"/>
      <c r="EB436"/>
      <c r="EC436"/>
      <c r="ED436"/>
      <c r="EE436"/>
      <c r="EF436"/>
      <c r="EJ436"/>
      <c r="EK436"/>
      <c r="EL436"/>
      <c r="ER436" s="212"/>
    </row>
    <row r="437" spans="1:148" s="923" customFormat="1" ht="12.75" hidden="1" customHeight="1" outlineLevel="1" x14ac:dyDescent="0.2">
      <c r="A437" s="865" t="s">
        <v>7</v>
      </c>
      <c r="B437" s="847"/>
      <c r="C437" s="847"/>
      <c r="D437" s="847"/>
      <c r="E437" s="847" t="s">
        <v>2076</v>
      </c>
      <c r="F437" s="847" t="s">
        <v>2077</v>
      </c>
      <c r="G437" s="847"/>
      <c r="H437" s="847"/>
      <c r="I437" s="847">
        <f>+I441*0.04</f>
        <v>6.92</v>
      </c>
      <c r="J437" s="847">
        <f>+J441*0.04</f>
        <v>7.72</v>
      </c>
      <c r="K437" s="847">
        <f>+K441*0.04</f>
        <v>7.84</v>
      </c>
      <c r="L437" s="847">
        <f>+L441*0.04</f>
        <v>10.4</v>
      </c>
      <c r="M437" s="847">
        <f>SUM(I437:L437)</f>
        <v>32.880000000000003</v>
      </c>
      <c r="N437" s="847">
        <f>+N441*0.04</f>
        <v>9.36</v>
      </c>
      <c r="O437" s="847">
        <f>+O441*0.04</f>
        <v>9.76</v>
      </c>
      <c r="P437" s="847">
        <f>+P441*0.04</f>
        <v>11.44</v>
      </c>
      <c r="Q437" s="847">
        <f>+Q441*0.04</f>
        <v>11.4</v>
      </c>
      <c r="R437" s="847">
        <f>SUM(N437:Q437)</f>
        <v>41.959999999999994</v>
      </c>
      <c r="S437" s="847">
        <f>+S441*0.04</f>
        <v>8.84</v>
      </c>
      <c r="T437" s="847">
        <f>+T441*0.04</f>
        <v>10.44</v>
      </c>
      <c r="U437" s="847">
        <f>+U441*0.04</f>
        <v>10.36</v>
      </c>
      <c r="V437" s="847">
        <f>+V441*0.04</f>
        <v>12.72</v>
      </c>
      <c r="W437" s="847">
        <f>SUM(S437:V437)</f>
        <v>42.36</v>
      </c>
      <c r="X437" s="847">
        <f>+X441*0.04</f>
        <v>9.48</v>
      </c>
      <c r="Y437" s="847">
        <f>+Y441*0.04</f>
        <v>9.36</v>
      </c>
      <c r="Z437" s="847">
        <f>+Z441*0.04</f>
        <v>11.84</v>
      </c>
      <c r="AA437" s="847">
        <f>+AA441*0.04</f>
        <v>15.120000000000001</v>
      </c>
      <c r="AB437" s="847">
        <f>SUM(X437:AA437)</f>
        <v>45.8</v>
      </c>
      <c r="AC437" s="847">
        <f>+AC441*0.04</f>
        <v>12.72</v>
      </c>
      <c r="AD437" s="847">
        <f>+AD441*0.04</f>
        <v>11.24</v>
      </c>
      <c r="AE437" s="847">
        <f>+AE441*0.04</f>
        <v>11.96</v>
      </c>
      <c r="AF437" s="847">
        <f>+AF441*0.04</f>
        <v>13.96</v>
      </c>
      <c r="AG437" s="847">
        <f>SUM(AC437:AF437)</f>
        <v>49.88</v>
      </c>
      <c r="AH437" s="847">
        <f>+AH441*0.04</f>
        <v>13.84</v>
      </c>
      <c r="AI437" s="847">
        <f>+AI441*0.04</f>
        <v>13.4</v>
      </c>
      <c r="AJ437" s="847">
        <f>+AJ441*0.04</f>
        <v>15.72</v>
      </c>
      <c r="AK437" s="847">
        <f>+AK441*0.04</f>
        <v>16.52</v>
      </c>
      <c r="AL437" s="847">
        <f>SUM(AH437:AK437)</f>
        <v>59.480000000000004</v>
      </c>
      <c r="AM437" s="847">
        <v>69</v>
      </c>
      <c r="AN437" s="847">
        <f>AM437*1.02</f>
        <v>70.38</v>
      </c>
      <c r="AO437" s="847">
        <f>AN437*1.02</f>
        <v>71.787599999999998</v>
      </c>
      <c r="AP437" s="847">
        <f>AO437*1.02</f>
        <v>73.223352000000006</v>
      </c>
      <c r="AQ437" s="847">
        <f>SUM(AM437:AP437)</f>
        <v>284.39095199999997</v>
      </c>
      <c r="AR437" s="847">
        <v>76</v>
      </c>
      <c r="AS437" s="847">
        <v>72</v>
      </c>
      <c r="AT437" s="847">
        <v>77</v>
      </c>
      <c r="AU437" s="847">
        <v>90</v>
      </c>
      <c r="AV437" s="847">
        <f>SUM(AR437:AU437)</f>
        <v>315</v>
      </c>
      <c r="AW437" s="847">
        <v>84</v>
      </c>
      <c r="AX437" s="847">
        <v>79</v>
      </c>
      <c r="AY437" s="847">
        <v>81</v>
      </c>
      <c r="AZ437" s="847">
        <v>92</v>
      </c>
      <c r="BA437" s="847">
        <f>SUM(AW437:AZ437)</f>
        <v>336</v>
      </c>
      <c r="BB437" s="847">
        <v>70</v>
      </c>
      <c r="BC437" s="847">
        <v>80</v>
      </c>
      <c r="BD437" s="847">
        <v>82</v>
      </c>
      <c r="BE437" s="847">
        <v>98</v>
      </c>
      <c r="BF437" s="847">
        <f>SUM(BB437:BE437)</f>
        <v>330</v>
      </c>
      <c r="BG437" s="847">
        <v>83</v>
      </c>
      <c r="BH437" s="847">
        <v>84</v>
      </c>
      <c r="BI437" s="847">
        <v>86</v>
      </c>
      <c r="BJ437" s="847">
        <v>98</v>
      </c>
      <c r="BK437" s="847">
        <f>SUM(BG437:BJ437)</f>
        <v>351</v>
      </c>
      <c r="BL437" s="847">
        <v>88</v>
      </c>
      <c r="BM437" s="847">
        <v>90</v>
      </c>
      <c r="BN437" s="847">
        <v>97</v>
      </c>
      <c r="BO437" s="847">
        <f>BJ437*(1+BO434)</f>
        <v>110.53488372093024</v>
      </c>
      <c r="BP437" s="847">
        <f>SUM(BL437:BO437)</f>
        <v>385.53488372093022</v>
      </c>
      <c r="BQ437" s="847">
        <f>BL437*(1+BQ434)</f>
        <v>0</v>
      </c>
      <c r="BR437" s="847">
        <f>BM437*(1+BR434)</f>
        <v>0</v>
      </c>
      <c r="BS437" s="847">
        <f>BN437*(1+BS434)</f>
        <v>0</v>
      </c>
      <c r="BT437" s="847">
        <f>BO437*(1+BT434)</f>
        <v>0</v>
      </c>
      <c r="BU437" s="847">
        <f>SUM(BQ437:BT437)</f>
        <v>0</v>
      </c>
      <c r="BV437" s="847"/>
      <c r="BW437" s="847"/>
      <c r="BX437" s="847"/>
      <c r="BY437" s="847"/>
      <c r="BZ437" s="847"/>
      <c r="CA437" s="847"/>
      <c r="CB437" s="847"/>
      <c r="CC437" s="847"/>
      <c r="CD437" s="847"/>
      <c r="CE437" s="847"/>
      <c r="CF437" s="847"/>
      <c r="CG437" s="847"/>
      <c r="CH437" s="847"/>
      <c r="CI437" s="847"/>
      <c r="CJ437" s="847"/>
      <c r="CK437" s="847"/>
      <c r="CL437" s="847"/>
      <c r="CM437" s="847"/>
      <c r="CN437" s="847"/>
      <c r="CO437" s="847"/>
      <c r="CP437" s="847"/>
      <c r="CQ437" s="847"/>
      <c r="CR437" s="847"/>
      <c r="CS437" s="847"/>
      <c r="CT437" s="847"/>
      <c r="CU437" s="847"/>
      <c r="CV437" s="847"/>
      <c r="CW437" s="847"/>
      <c r="CX437" s="847"/>
      <c r="CY437" s="847"/>
      <c r="CZ437" s="847"/>
      <c r="DA437" s="847"/>
      <c r="DB437"/>
      <c r="DC437"/>
      <c r="DD437" s="2323" t="s">
        <v>7</v>
      </c>
      <c r="DE437" s="2349">
        <f t="shared" si="860"/>
        <v>32.880000000000003</v>
      </c>
      <c r="DF437" s="2349">
        <f t="shared" si="861"/>
        <v>41.959999999999994</v>
      </c>
      <c r="DG437" s="2349">
        <f t="shared" si="862"/>
        <v>42.36</v>
      </c>
      <c r="DH437" s="2349">
        <f t="shared" si="863"/>
        <v>45.8</v>
      </c>
      <c r="DI437" s="2349">
        <f t="shared" si="864"/>
        <v>49.88</v>
      </c>
      <c r="DJ437" s="2349">
        <f t="shared" si="865"/>
        <v>59.480000000000004</v>
      </c>
      <c r="DK437" s="2349">
        <f t="shared" si="866"/>
        <v>284.39095199999997</v>
      </c>
      <c r="DL437" s="2349">
        <f t="shared" si="867"/>
        <v>315</v>
      </c>
      <c r="DM437" s="2349">
        <f t="shared" si="868"/>
        <v>336</v>
      </c>
      <c r="DN437" s="2349">
        <f t="shared" si="869"/>
        <v>330</v>
      </c>
      <c r="DO437" s="2349">
        <f t="shared" si="870"/>
        <v>351</v>
      </c>
      <c r="DP437" s="2349">
        <f t="shared" si="871"/>
        <v>385.53488372093022</v>
      </c>
      <c r="DQ437" s="2349">
        <f t="shared" si="872"/>
        <v>0</v>
      </c>
      <c r="DR437" s="2349">
        <f t="shared" si="873"/>
        <v>0</v>
      </c>
      <c r="DS437" s="2349">
        <f t="shared" si="874"/>
        <v>0</v>
      </c>
      <c r="DT437" s="2349">
        <f t="shared" si="875"/>
        <v>0</v>
      </c>
      <c r="DU437" s="2349">
        <f t="shared" si="876"/>
        <v>0</v>
      </c>
      <c r="DV437" s="2349">
        <f t="shared" si="877"/>
        <v>0</v>
      </c>
      <c r="DW437" s="2349">
        <f t="shared" si="878"/>
        <v>0</v>
      </c>
      <c r="DX437" s="2349">
        <f t="shared" si="879"/>
        <v>0</v>
      </c>
      <c r="DY437" s="2349">
        <f t="shared" si="880"/>
        <v>0</v>
      </c>
      <c r="EA437"/>
      <c r="EB437"/>
      <c r="EC437"/>
      <c r="ED437"/>
      <c r="EE437"/>
      <c r="EF437"/>
      <c r="EJ437"/>
      <c r="EK437"/>
      <c r="EL437"/>
      <c r="ER437" s="212"/>
    </row>
    <row r="438" spans="1:148" s="923" customFormat="1" ht="12.75" hidden="1" customHeight="1" outlineLevel="1" x14ac:dyDescent="0.2">
      <c r="A438" s="865" t="s">
        <v>2078</v>
      </c>
      <c r="B438" s="889"/>
      <c r="C438" s="889"/>
      <c r="D438" s="889"/>
      <c r="E438" s="889">
        <v>0.13300000000000001</v>
      </c>
      <c r="F438" s="889">
        <v>7.4999999999999997E-2</v>
      </c>
      <c r="G438" s="889">
        <f>+E438+F438</f>
        <v>0.20800000000000002</v>
      </c>
      <c r="H438" s="889"/>
      <c r="I438" s="889">
        <f>+$G$438*AVERAGE(H762:I762)/4</f>
        <v>8.8400000000000016</v>
      </c>
      <c r="J438" s="889">
        <f>+$G$438*AVERAGE(I762:J762)/4</f>
        <v>8.8400000000000016</v>
      </c>
      <c r="K438" s="889">
        <f>+$G$438*AVERAGE(J762:K762)/4</f>
        <v>8.8400000000000016</v>
      </c>
      <c r="L438" s="889">
        <f>+$G$438*AVERAGE(K762:L762)/4</f>
        <v>8.8400000000000016</v>
      </c>
      <c r="M438" s="847">
        <f>SUM(I438:L438)</f>
        <v>35.360000000000007</v>
      </c>
      <c r="N438" s="889">
        <f>+$G$438*AVERAGE(M762:N762)/4</f>
        <v>11.96</v>
      </c>
      <c r="O438" s="889">
        <f>+$G$438*AVERAGE(N762:O762)/4</f>
        <v>15.080000000000002</v>
      </c>
      <c r="P438" s="889">
        <f>+$G$438*AVERAGE(O762:P762)/4</f>
        <v>15.080000000000002</v>
      </c>
      <c r="Q438" s="889">
        <f>+$G$438*AVERAGE(P762:Q762)/4</f>
        <v>15.080000000000002</v>
      </c>
      <c r="R438" s="847">
        <f>SUM(N438:Q438)</f>
        <v>57.2</v>
      </c>
      <c r="S438" s="889">
        <f>+$G$438*AVERAGE(R762:S762)/4</f>
        <v>14.05369100844511</v>
      </c>
      <c r="T438" s="889">
        <f>+$G$438*AVERAGE(S762:T762)/4</f>
        <v>12.365645322295295</v>
      </c>
      <c r="U438" s="889">
        <f>+$G$438*AVERAGE(T762:U762)/4</f>
        <v>11.311954313850189</v>
      </c>
      <c r="V438" s="889">
        <f>+$G$438*AVERAGE(U762:V762)/4</f>
        <v>9.4380000000000006</v>
      </c>
      <c r="W438" s="847">
        <f>SUM(S438:V438)</f>
        <v>47.169290644590596</v>
      </c>
      <c r="X438" s="889">
        <f>+$G$438*AVERAGE(W762:X762)/4</f>
        <v>9.152000000000001</v>
      </c>
      <c r="Y438" s="889">
        <f>+$G$438*AVERAGE(X762:Y762)/4</f>
        <v>8.8920000000000012</v>
      </c>
      <c r="Z438" s="889">
        <f>+$G$438*AVERAGE(Y762:Z762)/4</f>
        <v>9.2040000000000006</v>
      </c>
      <c r="AA438" s="889">
        <f>+$G$438*AVERAGE(Z762:AA762)/4</f>
        <v>9.4380000000000006</v>
      </c>
      <c r="AB438" s="847">
        <f>SUM(X438:AA438)</f>
        <v>36.686000000000007</v>
      </c>
      <c r="AC438" s="889">
        <f>+$G$438*AVERAGE(AB762:AC762)/4</f>
        <v>9.5940000000000012</v>
      </c>
      <c r="AD438" s="889">
        <f>+$G$438*AVERAGE(AC762:AD762)/4</f>
        <v>10.244000000000002</v>
      </c>
      <c r="AE438" s="889">
        <f>+$G$438*AVERAGE(AD762:AE762)/4</f>
        <v>12.116000000000001</v>
      </c>
      <c r="AF438" s="889">
        <f>+$G$438*AVERAGE(AE762:AF762)/4</f>
        <v>15.028</v>
      </c>
      <c r="AG438" s="847">
        <f>SUM(AC438:AF438)</f>
        <v>46.981999999999999</v>
      </c>
      <c r="AH438" s="889">
        <f>+$G$438*AVERAGE(AG762:AH762)/4</f>
        <v>17.108000000000001</v>
      </c>
      <c r="AI438" s="889">
        <f>+$G$438*AVERAGE(AH762:AI762)/4</f>
        <v>17.212</v>
      </c>
      <c r="AJ438" s="889">
        <f>+$G$438*AVERAGE(AI762:AJ762)/4</f>
        <v>17.810000000000002</v>
      </c>
      <c r="AK438" s="889">
        <f>+$G$438*AVERAGE(AJ762:AK762)/4</f>
        <v>18.278000000000002</v>
      </c>
      <c r="AL438" s="847">
        <f>SUM(AH438:AK438)</f>
        <v>70.408000000000001</v>
      </c>
      <c r="AM438" s="889">
        <v>19</v>
      </c>
      <c r="AN438" s="889">
        <v>12</v>
      </c>
      <c r="AO438" s="889">
        <f>+AQ438-AP438-AN438-AM438</f>
        <v>33</v>
      </c>
      <c r="AP438" s="889">
        <f>67-AP439</f>
        <v>30</v>
      </c>
      <c r="AQ438" s="847">
        <f>171-AQ439</f>
        <v>94</v>
      </c>
      <c r="AR438" s="889">
        <v>23</v>
      </c>
      <c r="AS438" s="889">
        <f>69-AS439</f>
        <v>24</v>
      </c>
      <c r="AT438" s="889">
        <v>28</v>
      </c>
      <c r="AU438" s="889">
        <f>75-AU439</f>
        <v>39</v>
      </c>
      <c r="AV438" s="847">
        <f>SUM(AR438:AU438)</f>
        <v>114</v>
      </c>
      <c r="AW438" s="889">
        <v>27</v>
      </c>
      <c r="AX438" s="889">
        <f>49-AX439</f>
        <v>21</v>
      </c>
      <c r="AY438" s="889">
        <v>31</v>
      </c>
      <c r="AZ438" s="889">
        <v>43</v>
      </c>
      <c r="BA438" s="847">
        <f>SUM(AW438:AZ438)</f>
        <v>122</v>
      </c>
      <c r="BB438" s="889">
        <v>26</v>
      </c>
      <c r="BC438" s="889">
        <f>14+12</f>
        <v>26</v>
      </c>
      <c r="BD438" s="889">
        <v>24</v>
      </c>
      <c r="BE438" s="889">
        <v>74</v>
      </c>
      <c r="BF438" s="847">
        <f>SUM(BB438:BE438)</f>
        <v>150</v>
      </c>
      <c r="BG438" s="889">
        <f>9+36</f>
        <v>45</v>
      </c>
      <c r="BH438" s="889">
        <f>10+33</f>
        <v>43</v>
      </c>
      <c r="BI438" s="889">
        <f>11+30</f>
        <v>41</v>
      </c>
      <c r="BJ438" s="889">
        <f>10+48</f>
        <v>58</v>
      </c>
      <c r="BK438" s="847">
        <f>SUM(BG438:BJ438)</f>
        <v>187</v>
      </c>
      <c r="BL438" s="889">
        <f>7+32</f>
        <v>39</v>
      </c>
      <c r="BM438" s="889">
        <f>7+30</f>
        <v>37</v>
      </c>
      <c r="BN438" s="889">
        <f>8+29</f>
        <v>37</v>
      </c>
      <c r="BO438" s="889">
        <f>+$G$438*AVERAGE(BN506,BO506)*(BO4/$BP$4)-5</f>
        <v>57.283200000000001</v>
      </c>
      <c r="BP438" s="847">
        <f>SUM(BL438:BO438)</f>
        <v>170.28319999999999</v>
      </c>
      <c r="BQ438" s="889">
        <v>0</v>
      </c>
      <c r="BR438" s="889">
        <f>+$G$438*AVERAGE(BQ506,BR506)*(BR4/$BP$4)</f>
        <v>0</v>
      </c>
      <c r="BS438" s="889">
        <f>+$G$438*AVERAGE(BR506,BS506)*(BS4/$BP$4)</f>
        <v>0</v>
      </c>
      <c r="BT438" s="889">
        <v>0</v>
      </c>
      <c r="BU438" s="847">
        <f>SUM(BQ438:BT438)</f>
        <v>0</v>
      </c>
      <c r="BV438" s="889"/>
      <c r="BW438" s="889"/>
      <c r="BX438" s="889"/>
      <c r="BY438" s="889"/>
      <c r="BZ438" s="847"/>
      <c r="CA438" s="847"/>
      <c r="CB438" s="847"/>
      <c r="CC438" s="847"/>
      <c r="CD438" s="847"/>
      <c r="CE438" s="847"/>
      <c r="CF438" s="847"/>
      <c r="CG438" s="847"/>
      <c r="CH438" s="847"/>
      <c r="CI438" s="847"/>
      <c r="CJ438" s="847"/>
      <c r="CK438" s="847"/>
      <c r="CL438" s="847"/>
      <c r="CM438" s="847"/>
      <c r="CN438" s="847"/>
      <c r="CO438" s="847"/>
      <c r="CP438" s="847"/>
      <c r="CQ438" s="847"/>
      <c r="CR438" s="847"/>
      <c r="CS438" s="847"/>
      <c r="CT438" s="847"/>
      <c r="CU438" s="847"/>
      <c r="CV438" s="847"/>
      <c r="CW438" s="847"/>
      <c r="CX438" s="847"/>
      <c r="CY438" s="847"/>
      <c r="CZ438" s="847"/>
      <c r="DA438" s="847"/>
      <c r="DB438"/>
      <c r="DC438"/>
      <c r="DD438" s="2323" t="s">
        <v>2078</v>
      </c>
      <c r="DE438" s="2349">
        <f t="shared" si="860"/>
        <v>35.360000000000007</v>
      </c>
      <c r="DF438" s="2349">
        <f t="shared" si="861"/>
        <v>57.2</v>
      </c>
      <c r="DG438" s="2349">
        <f t="shared" si="862"/>
        <v>47.169290644590596</v>
      </c>
      <c r="DH438" s="2349">
        <f t="shared" si="863"/>
        <v>36.686000000000007</v>
      </c>
      <c r="DI438" s="2349">
        <f t="shared" si="864"/>
        <v>46.981999999999999</v>
      </c>
      <c r="DJ438" s="2349">
        <f t="shared" si="865"/>
        <v>70.408000000000001</v>
      </c>
      <c r="DK438" s="2349">
        <f t="shared" si="866"/>
        <v>94</v>
      </c>
      <c r="DL438" s="2349">
        <f t="shared" si="867"/>
        <v>114</v>
      </c>
      <c r="DM438" s="2349">
        <f t="shared" si="868"/>
        <v>122</v>
      </c>
      <c r="DN438" s="2349">
        <f t="shared" si="869"/>
        <v>150</v>
      </c>
      <c r="DO438" s="2349">
        <f t="shared" si="870"/>
        <v>187</v>
      </c>
      <c r="DP438" s="2349">
        <f t="shared" si="871"/>
        <v>170.28319999999999</v>
      </c>
      <c r="DQ438" s="2349">
        <f t="shared" si="872"/>
        <v>0</v>
      </c>
      <c r="DR438" s="2349">
        <f t="shared" si="873"/>
        <v>0</v>
      </c>
      <c r="DS438" s="2349">
        <f t="shared" si="874"/>
        <v>0</v>
      </c>
      <c r="DT438" s="2349">
        <f t="shared" si="875"/>
        <v>0</v>
      </c>
      <c r="DU438" s="2349">
        <f t="shared" si="876"/>
        <v>0</v>
      </c>
      <c r="DV438" s="2349">
        <f t="shared" si="877"/>
        <v>0</v>
      </c>
      <c r="DW438" s="2349">
        <f t="shared" si="878"/>
        <v>0</v>
      </c>
      <c r="DX438" s="2349">
        <f t="shared" si="879"/>
        <v>0</v>
      </c>
      <c r="DY438" s="2349">
        <f t="shared" si="880"/>
        <v>0</v>
      </c>
      <c r="EA438"/>
      <c r="EB438"/>
      <c r="EC438"/>
      <c r="ED438"/>
      <c r="EE438"/>
      <c r="EF438"/>
      <c r="EJ438"/>
      <c r="EK438"/>
      <c r="EL438"/>
      <c r="ER438" s="212"/>
    </row>
    <row r="439" spans="1:148" s="923" customFormat="1" ht="12.75" hidden="1" customHeight="1" outlineLevel="1" x14ac:dyDescent="0.2">
      <c r="A439" s="865" t="s">
        <v>2079</v>
      </c>
      <c r="B439" s="847"/>
      <c r="C439" s="847"/>
      <c r="D439" s="847"/>
      <c r="E439" s="847"/>
      <c r="F439" s="847"/>
      <c r="G439" s="847"/>
      <c r="H439" s="847"/>
      <c r="I439" s="847"/>
      <c r="J439" s="847"/>
      <c r="K439" s="847"/>
      <c r="L439" s="847"/>
      <c r="M439" s="847"/>
      <c r="N439" s="847"/>
      <c r="O439" s="847"/>
      <c r="P439" s="847"/>
      <c r="Q439" s="847"/>
      <c r="R439" s="847"/>
      <c r="S439" s="847"/>
      <c r="T439" s="847"/>
      <c r="U439" s="847"/>
      <c r="V439" s="847"/>
      <c r="W439" s="847"/>
      <c r="X439" s="847"/>
      <c r="Y439" s="847"/>
      <c r="Z439" s="847"/>
      <c r="AA439" s="847"/>
      <c r="AB439" s="847"/>
      <c r="AC439" s="847"/>
      <c r="AD439" s="847"/>
      <c r="AE439" s="847"/>
      <c r="AF439" s="847"/>
      <c r="AG439" s="847"/>
      <c r="AH439" s="847"/>
      <c r="AI439" s="847"/>
      <c r="AJ439" s="847"/>
      <c r="AK439" s="847"/>
      <c r="AL439" s="847"/>
      <c r="AM439" s="847">
        <v>0</v>
      </c>
      <c r="AN439" s="847">
        <v>40</v>
      </c>
      <c r="AO439" s="847">
        <v>0</v>
      </c>
      <c r="AP439" s="847">
        <v>37</v>
      </c>
      <c r="AQ439" s="847">
        <f>SUM(AM439:AP439)</f>
        <v>77</v>
      </c>
      <c r="AR439" s="847">
        <v>0</v>
      </c>
      <c r="AS439" s="847">
        <v>45</v>
      </c>
      <c r="AT439" s="847">
        <v>0</v>
      </c>
      <c r="AU439" s="847">
        <v>36</v>
      </c>
      <c r="AV439" s="847">
        <f>SUM(AR439:AU439)</f>
        <v>81</v>
      </c>
      <c r="AW439" s="847">
        <v>0</v>
      </c>
      <c r="AX439" s="847">
        <v>28</v>
      </c>
      <c r="AY439" s="847">
        <v>0</v>
      </c>
      <c r="AZ439" s="847">
        <v>0</v>
      </c>
      <c r="BA439" s="847">
        <f>SUM(AW439:AZ439)</f>
        <v>28</v>
      </c>
      <c r="BB439" s="847">
        <v>0</v>
      </c>
      <c r="BC439" s="847">
        <v>0</v>
      </c>
      <c r="BD439" s="847">
        <v>0</v>
      </c>
      <c r="BE439" s="847">
        <v>0</v>
      </c>
      <c r="BF439" s="847">
        <f>SUM(BB439:BE439)</f>
        <v>0</v>
      </c>
      <c r="BG439" s="847">
        <v>0</v>
      </c>
      <c r="BH439" s="847">
        <v>0</v>
      </c>
      <c r="BI439" s="847">
        <v>0</v>
      </c>
      <c r="BJ439" s="847">
        <v>0</v>
      </c>
      <c r="BK439" s="847">
        <f>SUM(BG439:BJ439)</f>
        <v>0</v>
      </c>
      <c r="BL439" s="847">
        <f>-BL505*BL513</f>
        <v>0</v>
      </c>
      <c r="BM439" s="847">
        <f>-BM505*BM513</f>
        <v>0</v>
      </c>
      <c r="BN439" s="847">
        <f>-BN505*BN513</f>
        <v>0</v>
      </c>
      <c r="BO439" s="847">
        <f>-BO505*BO513</f>
        <v>26.999000000000002</v>
      </c>
      <c r="BP439" s="847">
        <f>SUM(BL439:BO439)</f>
        <v>26.999000000000002</v>
      </c>
      <c r="BQ439" s="847">
        <f>-BQ505*BQ513</f>
        <v>0</v>
      </c>
      <c r="BR439" s="847">
        <f>-BR505*BR513</f>
        <v>0</v>
      </c>
      <c r="BS439" s="847">
        <f>-BS505*BS513</f>
        <v>0</v>
      </c>
      <c r="BT439" s="847">
        <f>-BT505*BT513</f>
        <v>0</v>
      </c>
      <c r="BU439" s="847">
        <f>SUM(BQ439:BT439)</f>
        <v>0</v>
      </c>
      <c r="BV439" s="847"/>
      <c r="BW439" s="847"/>
      <c r="BX439" s="847"/>
      <c r="BY439" s="847"/>
      <c r="BZ439" s="847"/>
      <c r="CA439" s="847"/>
      <c r="CB439" s="847"/>
      <c r="CC439" s="847"/>
      <c r="CD439" s="847"/>
      <c r="CE439" s="847"/>
      <c r="CF439" s="847"/>
      <c r="CG439" s="847"/>
      <c r="CH439" s="847"/>
      <c r="CI439" s="847"/>
      <c r="CJ439" s="847"/>
      <c r="CK439" s="847"/>
      <c r="CL439" s="847"/>
      <c r="CM439" s="847"/>
      <c r="CN439" s="847"/>
      <c r="CO439" s="847"/>
      <c r="CP439" s="847"/>
      <c r="CQ439" s="847"/>
      <c r="CR439" s="847"/>
      <c r="CS439" s="847"/>
      <c r="CT439" s="847"/>
      <c r="CU439" s="847"/>
      <c r="CV439" s="847"/>
      <c r="CW439" s="847"/>
      <c r="CX439" s="847"/>
      <c r="CY439" s="847"/>
      <c r="CZ439" s="847"/>
      <c r="DA439" s="847"/>
      <c r="DB439"/>
      <c r="DC439"/>
      <c r="DD439" s="2323" t="s">
        <v>2079</v>
      </c>
      <c r="DE439" s="2349">
        <f t="shared" si="860"/>
        <v>0</v>
      </c>
      <c r="DF439" s="2349">
        <f t="shared" si="861"/>
        <v>0</v>
      </c>
      <c r="DG439" s="2349">
        <f t="shared" si="862"/>
        <v>0</v>
      </c>
      <c r="DH439" s="2349">
        <f t="shared" si="863"/>
        <v>0</v>
      </c>
      <c r="DI439" s="2349">
        <f t="shared" si="864"/>
        <v>0</v>
      </c>
      <c r="DJ439" s="2349">
        <f t="shared" si="865"/>
        <v>0</v>
      </c>
      <c r="DK439" s="2349">
        <f t="shared" si="866"/>
        <v>77</v>
      </c>
      <c r="DL439" s="2349">
        <f t="shared" si="867"/>
        <v>81</v>
      </c>
      <c r="DM439" s="2349">
        <f t="shared" si="868"/>
        <v>28</v>
      </c>
      <c r="DN439" s="2349">
        <f t="shared" si="869"/>
        <v>0</v>
      </c>
      <c r="DO439" s="2349">
        <f t="shared" si="870"/>
        <v>0</v>
      </c>
      <c r="DP439" s="2349">
        <f t="shared" si="871"/>
        <v>26.999000000000002</v>
      </c>
      <c r="DQ439" s="2349">
        <f t="shared" si="872"/>
        <v>0</v>
      </c>
      <c r="DR439" s="2349">
        <f t="shared" si="873"/>
        <v>0</v>
      </c>
      <c r="DS439" s="2349">
        <f t="shared" si="874"/>
        <v>0</v>
      </c>
      <c r="DT439" s="2349">
        <f t="shared" si="875"/>
        <v>0</v>
      </c>
      <c r="DU439" s="2349">
        <f t="shared" si="876"/>
        <v>0</v>
      </c>
      <c r="DV439" s="2349">
        <f t="shared" si="877"/>
        <v>0</v>
      </c>
      <c r="DW439" s="2349">
        <f t="shared" si="878"/>
        <v>0</v>
      </c>
      <c r="DX439" s="2349">
        <f t="shared" si="879"/>
        <v>0</v>
      </c>
      <c r="DY439" s="2349">
        <f t="shared" si="880"/>
        <v>0</v>
      </c>
      <c r="EA439"/>
      <c r="EB439"/>
      <c r="EC439"/>
      <c r="ED439"/>
      <c r="EE439"/>
      <c r="EF439"/>
      <c r="EJ439"/>
      <c r="EK439"/>
      <c r="EL439"/>
      <c r="ER439" s="212"/>
    </row>
    <row r="440" spans="1:148" s="923" customFormat="1" ht="12.75" hidden="1" customHeight="1" outlineLevel="1" x14ac:dyDescent="0.2">
      <c r="A440" s="865" t="s">
        <v>1582</v>
      </c>
      <c r="B440" s="850"/>
      <c r="C440" s="850"/>
      <c r="D440" s="850"/>
      <c r="E440" s="850"/>
      <c r="F440" s="850"/>
      <c r="G440" s="850"/>
      <c r="H440" s="850"/>
      <c r="I440" s="850"/>
      <c r="J440" s="850"/>
      <c r="K440" s="850"/>
      <c r="L440" s="850"/>
      <c r="M440" s="850"/>
      <c r="N440" s="850"/>
      <c r="O440" s="850"/>
      <c r="P440" s="850"/>
      <c r="Q440" s="850"/>
      <c r="R440" s="850"/>
      <c r="S440" s="850"/>
      <c r="T440" s="850"/>
      <c r="U440" s="850"/>
      <c r="V440" s="850"/>
      <c r="W440" s="850"/>
      <c r="X440" s="850"/>
      <c r="Y440" s="850"/>
      <c r="Z440" s="850"/>
      <c r="AA440" s="850"/>
      <c r="AB440" s="850"/>
      <c r="AC440" s="850"/>
      <c r="AD440" s="850"/>
      <c r="AE440" s="850"/>
      <c r="AF440" s="850"/>
      <c r="AG440" s="850"/>
      <c r="AH440" s="850"/>
      <c r="AI440" s="850"/>
      <c r="AJ440" s="850"/>
      <c r="AK440" s="850"/>
      <c r="AL440" s="850"/>
      <c r="AM440" s="850">
        <f>+AM441-(SUM(AM436:AM439))</f>
        <v>3</v>
      </c>
      <c r="AN440" s="850">
        <f>+AM440*1.02</f>
        <v>3.06</v>
      </c>
      <c r="AO440" s="850">
        <f>+AN440*1.02</f>
        <v>3.1212</v>
      </c>
      <c r="AP440" s="850">
        <v>2</v>
      </c>
      <c r="AQ440" s="850">
        <f>SUM(AM440:AP440)</f>
        <v>11.1812</v>
      </c>
      <c r="AR440" s="850">
        <f>+AR441-(SUM(AR436:AR439))</f>
        <v>6</v>
      </c>
      <c r="AS440" s="850">
        <f>+AS441-(SUM(AS436:AS439))</f>
        <v>9</v>
      </c>
      <c r="AT440" s="850">
        <f>+AT441-(SUM(AT436:AT439))</f>
        <v>5</v>
      </c>
      <c r="AU440" s="850">
        <f>+AU441-(SUM(AU436:AU439))</f>
        <v>9</v>
      </c>
      <c r="AV440" s="850">
        <f>SUM(AR440:AU440)</f>
        <v>29</v>
      </c>
      <c r="AW440" s="850">
        <f>+AW441-(SUM(AW436:AW439))</f>
        <v>10</v>
      </c>
      <c r="AX440" s="850">
        <f>+AX441-(SUM(AX436:AX439))</f>
        <v>8</v>
      </c>
      <c r="AY440" s="850">
        <f>+AY441-(SUM(AY436:AY439))</f>
        <v>7</v>
      </c>
      <c r="AZ440" s="850">
        <v>3</v>
      </c>
      <c r="BA440" s="850">
        <f>SUM(AW440:AZ440)</f>
        <v>28</v>
      </c>
      <c r="BB440" s="850">
        <f>5</f>
        <v>5</v>
      </c>
      <c r="BC440" s="850">
        <f>7</f>
        <v>7</v>
      </c>
      <c r="BD440" s="850">
        <v>7</v>
      </c>
      <c r="BE440" s="850">
        <v>7</v>
      </c>
      <c r="BF440" s="850">
        <f>SUM(BB440:BE440)</f>
        <v>26</v>
      </c>
      <c r="BG440" s="850">
        <v>10</v>
      </c>
      <c r="BH440" s="850">
        <f>1+13</f>
        <v>14</v>
      </c>
      <c r="BI440" s="850">
        <f>2+11</f>
        <v>13</v>
      </c>
      <c r="BJ440" s="850">
        <f>2+18</f>
        <v>20</v>
      </c>
      <c r="BK440" s="850">
        <f>SUM(BG440:BJ440)</f>
        <v>57</v>
      </c>
      <c r="BL440" s="850">
        <f>1+5</f>
        <v>6</v>
      </c>
      <c r="BM440" s="850">
        <f>2+6</f>
        <v>8</v>
      </c>
      <c r="BN440" s="850">
        <f>1+4</f>
        <v>5</v>
      </c>
      <c r="BO440" s="850">
        <v>12</v>
      </c>
      <c r="BP440" s="850">
        <f>SUM(BL440:BO440)</f>
        <v>31</v>
      </c>
      <c r="BQ440" s="850">
        <f>+BL440*(1+BQ434)</f>
        <v>0</v>
      </c>
      <c r="BR440" s="850">
        <f>+BM440*(1+BR434)</f>
        <v>0</v>
      </c>
      <c r="BS440" s="850">
        <f>+BN440*(1+BS434)</f>
        <v>0</v>
      </c>
      <c r="BT440" s="850">
        <f>+BO440*(1+BT434)</f>
        <v>0</v>
      </c>
      <c r="BU440" s="850">
        <f>SUM(BQ440:BT440)</f>
        <v>0</v>
      </c>
      <c r="BV440" s="850"/>
      <c r="BW440" s="850"/>
      <c r="BX440" s="850"/>
      <c r="BY440" s="850"/>
      <c r="BZ440" s="850"/>
      <c r="CA440" s="850"/>
      <c r="CB440" s="850"/>
      <c r="CC440" s="850"/>
      <c r="CD440" s="850"/>
      <c r="CE440" s="850"/>
      <c r="CF440" s="850"/>
      <c r="CG440" s="850"/>
      <c r="CH440" s="850"/>
      <c r="CI440" s="850"/>
      <c r="CJ440" s="850"/>
      <c r="CK440" s="850"/>
      <c r="CL440" s="850"/>
      <c r="CM440" s="850"/>
      <c r="CN440" s="850"/>
      <c r="CO440" s="850"/>
      <c r="CP440" s="850"/>
      <c r="CQ440" s="850"/>
      <c r="CR440" s="850"/>
      <c r="CS440" s="850"/>
      <c r="CT440" s="850"/>
      <c r="CU440" s="850"/>
      <c r="CV440" s="850"/>
      <c r="CW440" s="850"/>
      <c r="CX440" s="850"/>
      <c r="CY440" s="850"/>
      <c r="CZ440" s="850"/>
      <c r="DA440" s="850"/>
      <c r="DB440"/>
      <c r="DC440"/>
      <c r="DD440" s="2323" t="s">
        <v>1582</v>
      </c>
      <c r="DE440" s="850">
        <f t="shared" si="860"/>
        <v>0</v>
      </c>
      <c r="DF440" s="850">
        <f t="shared" si="861"/>
        <v>0</v>
      </c>
      <c r="DG440" s="850">
        <f t="shared" si="862"/>
        <v>0</v>
      </c>
      <c r="DH440" s="850">
        <f t="shared" si="863"/>
        <v>0</v>
      </c>
      <c r="DI440" s="850">
        <f t="shared" si="864"/>
        <v>0</v>
      </c>
      <c r="DJ440" s="850">
        <f t="shared" si="865"/>
        <v>0</v>
      </c>
      <c r="DK440" s="850">
        <f t="shared" si="866"/>
        <v>11.1812</v>
      </c>
      <c r="DL440" s="850">
        <f t="shared" si="867"/>
        <v>29</v>
      </c>
      <c r="DM440" s="850">
        <f t="shared" si="868"/>
        <v>28</v>
      </c>
      <c r="DN440" s="850">
        <f t="shared" si="869"/>
        <v>26</v>
      </c>
      <c r="DO440" s="850">
        <f t="shared" si="870"/>
        <v>57</v>
      </c>
      <c r="DP440" s="850">
        <f t="shared" si="871"/>
        <v>31</v>
      </c>
      <c r="DQ440" s="850">
        <f t="shared" si="872"/>
        <v>0</v>
      </c>
      <c r="DR440" s="850">
        <f t="shared" si="873"/>
        <v>0</v>
      </c>
      <c r="DS440" s="850">
        <f t="shared" si="874"/>
        <v>0</v>
      </c>
      <c r="DT440" s="850">
        <f t="shared" si="875"/>
        <v>0</v>
      </c>
      <c r="DU440" s="850">
        <f t="shared" si="876"/>
        <v>0</v>
      </c>
      <c r="DV440" s="850">
        <f t="shared" si="877"/>
        <v>0</v>
      </c>
      <c r="DW440" s="850">
        <f t="shared" si="878"/>
        <v>0</v>
      </c>
      <c r="DX440" s="850">
        <f t="shared" si="879"/>
        <v>0</v>
      </c>
      <c r="DY440" s="850">
        <f t="shared" si="880"/>
        <v>0</v>
      </c>
      <c r="EA440"/>
      <c r="EB440"/>
      <c r="EC440"/>
      <c r="ED440"/>
      <c r="EE440"/>
      <c r="EF440"/>
      <c r="EJ440"/>
      <c r="EK440"/>
      <c r="EL440"/>
      <c r="ER440" s="212"/>
    </row>
    <row r="441" spans="1:148" s="923" customFormat="1" ht="12.75" hidden="1" customHeight="1" outlineLevel="1" x14ac:dyDescent="0.2">
      <c r="A441" s="867" t="s">
        <v>122</v>
      </c>
      <c r="B441" s="852"/>
      <c r="C441" s="852"/>
      <c r="D441" s="852"/>
      <c r="E441" s="852"/>
      <c r="F441" s="852"/>
      <c r="G441" s="852"/>
      <c r="H441" s="852"/>
      <c r="I441" s="852">
        <f>I13</f>
        <v>173</v>
      </c>
      <c r="J441" s="852">
        <f>J13</f>
        <v>193</v>
      </c>
      <c r="K441" s="852">
        <f>K13</f>
        <v>196</v>
      </c>
      <c r="L441" s="852">
        <f>L13</f>
        <v>260</v>
      </c>
      <c r="M441" s="852">
        <f>+SUM(M436:M438)</f>
        <v>822</v>
      </c>
      <c r="N441" s="852">
        <f t="shared" ref="N441:V441" si="881">N13</f>
        <v>234</v>
      </c>
      <c r="O441" s="852">
        <f t="shared" si="881"/>
        <v>244</v>
      </c>
      <c r="P441" s="852">
        <f t="shared" si="881"/>
        <v>286</v>
      </c>
      <c r="Q441" s="852">
        <f t="shared" si="881"/>
        <v>285</v>
      </c>
      <c r="R441" s="852">
        <f t="shared" si="881"/>
        <v>934</v>
      </c>
      <c r="S441" s="852">
        <f t="shared" si="881"/>
        <v>221</v>
      </c>
      <c r="T441" s="852">
        <f t="shared" si="881"/>
        <v>261</v>
      </c>
      <c r="U441" s="852">
        <f t="shared" si="881"/>
        <v>259</v>
      </c>
      <c r="V441" s="852">
        <f t="shared" si="881"/>
        <v>318</v>
      </c>
      <c r="W441" s="852">
        <f>+SUM(W436:W438)</f>
        <v>1059</v>
      </c>
      <c r="X441" s="852">
        <f>X13</f>
        <v>237</v>
      </c>
      <c r="Y441" s="852">
        <f>Y13</f>
        <v>234</v>
      </c>
      <c r="Z441" s="852">
        <f>Z13</f>
        <v>296</v>
      </c>
      <c r="AA441" s="852">
        <f>AA13</f>
        <v>378</v>
      </c>
      <c r="AB441" s="852">
        <f>+SUM(AB436:AB438)</f>
        <v>1145</v>
      </c>
      <c r="AC441" s="852">
        <f>AC13</f>
        <v>318</v>
      </c>
      <c r="AD441" s="852">
        <f>AD13</f>
        <v>281</v>
      </c>
      <c r="AE441" s="852">
        <f>AE13</f>
        <v>299</v>
      </c>
      <c r="AF441" s="852">
        <f>AF13</f>
        <v>349</v>
      </c>
      <c r="AG441" s="852">
        <f>+SUM(AG436:AG438)</f>
        <v>1247</v>
      </c>
      <c r="AH441" s="852">
        <f>AH13</f>
        <v>346</v>
      </c>
      <c r="AI441" s="852">
        <f>AI13</f>
        <v>335</v>
      </c>
      <c r="AJ441" s="852">
        <f>AJ13</f>
        <v>393</v>
      </c>
      <c r="AK441" s="852">
        <f>AK13</f>
        <v>413</v>
      </c>
      <c r="AL441" s="852">
        <f>+SUM(AL436:AL438)</f>
        <v>1487</v>
      </c>
      <c r="AM441" s="852">
        <f>AM13</f>
        <v>306</v>
      </c>
      <c r="AN441" s="852">
        <f>AN13</f>
        <v>371</v>
      </c>
      <c r="AO441" s="852">
        <f>AO13</f>
        <v>374</v>
      </c>
      <c r="AP441" s="852">
        <f>AP13</f>
        <v>526</v>
      </c>
      <c r="AQ441" s="852">
        <f>+SUM(AQ436:AQ440)</f>
        <v>1577</v>
      </c>
      <c r="AR441" s="852">
        <f>AR13</f>
        <v>369</v>
      </c>
      <c r="AS441" s="852">
        <f>AS13</f>
        <v>453</v>
      </c>
      <c r="AT441" s="852">
        <f>AT13</f>
        <v>389</v>
      </c>
      <c r="AU441" s="852">
        <f>AU13</f>
        <v>536</v>
      </c>
      <c r="AV441" s="852">
        <f>+SUM(AV436:AV440)</f>
        <v>1747</v>
      </c>
      <c r="AW441" s="852">
        <f>AW13</f>
        <v>326</v>
      </c>
      <c r="AX441" s="852">
        <f>AX13</f>
        <v>388</v>
      </c>
      <c r="AY441" s="852">
        <f>AY13</f>
        <v>384</v>
      </c>
      <c r="AZ441" s="852">
        <f>SUM(AZ436:AZ440)</f>
        <v>386</v>
      </c>
      <c r="BA441" s="852">
        <f>+SUM(BA436:BA440)</f>
        <v>1484</v>
      </c>
      <c r="BB441" s="852">
        <f>SUM(BB436:BB440)</f>
        <v>226</v>
      </c>
      <c r="BC441" s="852">
        <f>SUM(BC436:BC440)</f>
        <v>295</v>
      </c>
      <c r="BD441" s="852">
        <f>SUM(BD436:BD440)</f>
        <v>251</v>
      </c>
      <c r="BE441" s="852">
        <f>SUM(BE436:BE440)</f>
        <v>364</v>
      </c>
      <c r="BF441" s="852">
        <f>+SUM(BF436:BF440)</f>
        <v>1136</v>
      </c>
      <c r="BG441" s="852">
        <f>SUM(BG436:BG440)</f>
        <v>285</v>
      </c>
      <c r="BH441" s="852">
        <f>SUM(BH436:BH440)</f>
        <v>289</v>
      </c>
      <c r="BI441" s="852">
        <f>SUM(BI436:BI440)</f>
        <v>275</v>
      </c>
      <c r="BJ441" s="852">
        <f>SUM(BJ436:BJ440)</f>
        <v>372</v>
      </c>
      <c r="BK441" s="852">
        <f>+SUM(BK436:BK440)</f>
        <v>1221</v>
      </c>
      <c r="BL441" s="852">
        <f>SUM(BL436:BL440)</f>
        <v>276</v>
      </c>
      <c r="BM441" s="852">
        <f>SUM(BM436:BM440)</f>
        <v>288</v>
      </c>
      <c r="BN441" s="852">
        <f>+SUM(BN436:BN440)</f>
        <v>286</v>
      </c>
      <c r="BO441" s="852">
        <v>238</v>
      </c>
      <c r="BP441" s="852">
        <f t="shared" ref="BP441:BU441" si="882">+SUM(BP436:BP440)</f>
        <v>1253.8170837209304</v>
      </c>
      <c r="BQ441" s="852">
        <f t="shared" si="882"/>
        <v>0</v>
      </c>
      <c r="BR441" s="852">
        <f t="shared" si="882"/>
        <v>0</v>
      </c>
      <c r="BS441" s="852">
        <f t="shared" si="882"/>
        <v>0</v>
      </c>
      <c r="BT441" s="852">
        <f t="shared" si="882"/>
        <v>0</v>
      </c>
      <c r="BU441" s="852">
        <f t="shared" si="882"/>
        <v>0</v>
      </c>
      <c r="BV441" s="852"/>
      <c r="BW441" s="852"/>
      <c r="BX441" s="852"/>
      <c r="BY441" s="852"/>
      <c r="BZ441" s="852"/>
      <c r="CA441" s="852"/>
      <c r="CB441" s="852"/>
      <c r="CC441" s="852"/>
      <c r="CD441" s="852"/>
      <c r="CE441" s="852"/>
      <c r="CF441" s="852"/>
      <c r="CG441" s="852"/>
      <c r="CH441" s="852"/>
      <c r="CI441" s="852"/>
      <c r="CJ441" s="852"/>
      <c r="CK441" s="852"/>
      <c r="CL441" s="852"/>
      <c r="CM441" s="852"/>
      <c r="CN441" s="852"/>
      <c r="CO441" s="852"/>
      <c r="CP441" s="852"/>
      <c r="CQ441" s="852"/>
      <c r="CR441" s="852"/>
      <c r="CS441" s="852"/>
      <c r="CT441" s="852"/>
      <c r="CU441" s="852"/>
      <c r="CV441" s="852"/>
      <c r="CW441" s="852"/>
      <c r="CX441" s="852"/>
      <c r="CY441" s="852"/>
      <c r="CZ441" s="852"/>
      <c r="DA441" s="852"/>
      <c r="DB441"/>
      <c r="DC441"/>
      <c r="DD441" s="867" t="s">
        <v>122</v>
      </c>
      <c r="DE441" s="852">
        <f t="shared" si="860"/>
        <v>822</v>
      </c>
      <c r="DF441" s="852">
        <f t="shared" si="861"/>
        <v>934</v>
      </c>
      <c r="DG441" s="852">
        <f t="shared" si="862"/>
        <v>1059</v>
      </c>
      <c r="DH441" s="852">
        <f t="shared" si="863"/>
        <v>1145</v>
      </c>
      <c r="DI441" s="852">
        <f t="shared" si="864"/>
        <v>1247</v>
      </c>
      <c r="DJ441" s="852">
        <f t="shared" si="865"/>
        <v>1487</v>
      </c>
      <c r="DK441" s="852">
        <f t="shared" si="866"/>
        <v>1577</v>
      </c>
      <c r="DL441" s="852">
        <f t="shared" si="867"/>
        <v>1747</v>
      </c>
      <c r="DM441" s="852">
        <f t="shared" si="868"/>
        <v>1484</v>
      </c>
      <c r="DN441" s="852">
        <f t="shared" si="869"/>
        <v>1136</v>
      </c>
      <c r="DO441" s="852">
        <f t="shared" si="870"/>
        <v>1221</v>
      </c>
      <c r="DP441" s="852">
        <f t="shared" si="871"/>
        <v>1253.8170837209304</v>
      </c>
      <c r="DQ441" s="852">
        <f t="shared" si="872"/>
        <v>0</v>
      </c>
      <c r="DR441" s="852">
        <f t="shared" si="873"/>
        <v>0</v>
      </c>
      <c r="DS441" s="852">
        <f t="shared" si="874"/>
        <v>0</v>
      </c>
      <c r="DT441" s="852">
        <f t="shared" si="875"/>
        <v>0</v>
      </c>
      <c r="DU441" s="852">
        <f t="shared" si="876"/>
        <v>0</v>
      </c>
      <c r="DV441" s="852">
        <f t="shared" si="877"/>
        <v>0</v>
      </c>
      <c r="DW441" s="852">
        <f t="shared" si="878"/>
        <v>0</v>
      </c>
      <c r="DX441" s="852">
        <f t="shared" si="879"/>
        <v>0</v>
      </c>
      <c r="DY441" s="852">
        <f t="shared" si="880"/>
        <v>0</v>
      </c>
      <c r="EA441"/>
      <c r="EB441"/>
      <c r="EC441"/>
      <c r="ED441"/>
      <c r="EE441"/>
      <c r="EF441"/>
      <c r="EJ441"/>
      <c r="EK441"/>
      <c r="EL441"/>
      <c r="ER441" s="212"/>
    </row>
    <row r="442" spans="1:148" s="923" customFormat="1" ht="12.75" hidden="1" customHeight="1" outlineLevel="1" x14ac:dyDescent="0.2">
      <c r="A442" s="865" t="s">
        <v>2080</v>
      </c>
      <c r="B442" s="847"/>
      <c r="C442" s="847"/>
      <c r="D442" s="847"/>
      <c r="E442" s="847"/>
      <c r="F442" s="847"/>
      <c r="G442" s="847"/>
      <c r="H442" s="847"/>
      <c r="I442" s="847"/>
      <c r="J442" s="847"/>
      <c r="K442" s="847"/>
      <c r="L442" s="847"/>
      <c r="M442" s="853"/>
      <c r="N442" s="847"/>
      <c r="O442" s="847"/>
      <c r="P442" s="847"/>
      <c r="Q442" s="847"/>
      <c r="R442" s="853">
        <f t="shared" ref="R442:AW442" si="883">R441/M441-1</f>
        <v>0.13625304136253047</v>
      </c>
      <c r="S442" s="847">
        <f t="shared" si="883"/>
        <v>-5.555555555555558E-2</v>
      </c>
      <c r="T442" s="847">
        <f t="shared" si="883"/>
        <v>6.9672131147541005E-2</v>
      </c>
      <c r="U442" s="847">
        <f t="shared" si="883"/>
        <v>-9.4405594405594373E-2</v>
      </c>
      <c r="V442" s="847">
        <f t="shared" si="883"/>
        <v>0.11578947368421044</v>
      </c>
      <c r="W442" s="853">
        <f t="shared" si="883"/>
        <v>0.13383297644539605</v>
      </c>
      <c r="X442" s="847">
        <f t="shared" si="883"/>
        <v>7.2398190045248834E-2</v>
      </c>
      <c r="Y442" s="847">
        <f t="shared" si="883"/>
        <v>-0.10344827586206895</v>
      </c>
      <c r="Z442" s="847">
        <f t="shared" si="883"/>
        <v>0.14285714285714279</v>
      </c>
      <c r="AA442" s="847">
        <f t="shared" si="883"/>
        <v>0.18867924528301883</v>
      </c>
      <c r="AB442" s="853">
        <f t="shared" si="883"/>
        <v>8.1208687440982086E-2</v>
      </c>
      <c r="AC442" s="847">
        <f t="shared" si="883"/>
        <v>0.34177215189873422</v>
      </c>
      <c r="AD442" s="847">
        <f t="shared" si="883"/>
        <v>0.20085470085470081</v>
      </c>
      <c r="AE442" s="847">
        <f t="shared" si="883"/>
        <v>1.0135135135135087E-2</v>
      </c>
      <c r="AF442" s="847">
        <f t="shared" si="883"/>
        <v>-7.6719576719576743E-2</v>
      </c>
      <c r="AG442" s="853">
        <f t="shared" si="883"/>
        <v>8.9082969432314307E-2</v>
      </c>
      <c r="AH442" s="847">
        <f t="shared" si="883"/>
        <v>8.8050314465408785E-2</v>
      </c>
      <c r="AI442" s="847">
        <f t="shared" si="883"/>
        <v>0.19217081850533813</v>
      </c>
      <c r="AJ442" s="847">
        <f t="shared" si="883"/>
        <v>0.31438127090301005</v>
      </c>
      <c r="AK442" s="847">
        <f t="shared" si="883"/>
        <v>0.18338108882521498</v>
      </c>
      <c r="AL442" s="853">
        <f t="shared" si="883"/>
        <v>0.19246190858059342</v>
      </c>
      <c r="AM442" s="847">
        <f t="shared" si="883"/>
        <v>-0.11560693641618502</v>
      </c>
      <c r="AN442" s="847">
        <f t="shared" si="883"/>
        <v>0.10746268656716418</v>
      </c>
      <c r="AO442" s="847">
        <f t="shared" si="883"/>
        <v>-4.8346055979643809E-2</v>
      </c>
      <c r="AP442" s="847">
        <f t="shared" si="883"/>
        <v>0.27360774818401934</v>
      </c>
      <c r="AQ442" s="853">
        <f t="shared" si="883"/>
        <v>6.0524546065904516E-2</v>
      </c>
      <c r="AR442" s="847">
        <f t="shared" si="883"/>
        <v>0.20588235294117641</v>
      </c>
      <c r="AS442" s="847">
        <f t="shared" si="883"/>
        <v>0.22102425876010789</v>
      </c>
      <c r="AT442" s="847">
        <f t="shared" si="883"/>
        <v>4.0106951871657692E-2</v>
      </c>
      <c r="AU442" s="847">
        <f t="shared" si="883"/>
        <v>1.9011406844106515E-2</v>
      </c>
      <c r="AV442" s="853">
        <f t="shared" si="883"/>
        <v>0.10779961953075468</v>
      </c>
      <c r="AW442" s="847">
        <f t="shared" si="883"/>
        <v>-0.11653116531165308</v>
      </c>
      <c r="AX442" s="847">
        <f t="shared" ref="AX442:BL442" si="884">AX441/AS441-1</f>
        <v>-0.14348785871964675</v>
      </c>
      <c r="AY442" s="847">
        <f t="shared" si="884"/>
        <v>-1.2853470437018011E-2</v>
      </c>
      <c r="AZ442" s="847">
        <f t="shared" si="884"/>
        <v>-0.27985074626865669</v>
      </c>
      <c r="BA442" s="853">
        <f t="shared" si="884"/>
        <v>-0.15054378935317692</v>
      </c>
      <c r="BB442" s="847">
        <f t="shared" si="884"/>
        <v>-0.30674846625766872</v>
      </c>
      <c r="BC442" s="847">
        <f t="shared" si="884"/>
        <v>-0.23969072164948457</v>
      </c>
      <c r="BD442" s="847">
        <f t="shared" si="884"/>
        <v>-0.34635416666666663</v>
      </c>
      <c r="BE442" s="847">
        <f t="shared" si="884"/>
        <v>-5.6994818652849721E-2</v>
      </c>
      <c r="BF442" s="853">
        <f t="shared" si="884"/>
        <v>-0.23450134770889486</v>
      </c>
      <c r="BG442" s="847">
        <f t="shared" si="884"/>
        <v>0.26106194690265494</v>
      </c>
      <c r="BH442" s="847">
        <f t="shared" si="884"/>
        <v>-2.033898305084747E-2</v>
      </c>
      <c r="BI442" s="847">
        <f t="shared" si="884"/>
        <v>9.5617529880478003E-2</v>
      </c>
      <c r="BJ442" s="847">
        <f t="shared" si="884"/>
        <v>2.19780219780219E-2</v>
      </c>
      <c r="BK442" s="853">
        <f t="shared" si="884"/>
        <v>7.4823943661971759E-2</v>
      </c>
      <c r="BL442" s="847">
        <f t="shared" si="884"/>
        <v>-3.157894736842104E-2</v>
      </c>
      <c r="BM442" s="847">
        <f t="shared" ref="BM442:BU442" si="885">BM441/BH441-1</f>
        <v>-3.4602076124568004E-3</v>
      </c>
      <c r="BN442" s="847">
        <f t="shared" si="885"/>
        <v>4.0000000000000036E-2</v>
      </c>
      <c r="BO442" s="847">
        <f t="shared" si="885"/>
        <v>-0.36021505376344087</v>
      </c>
      <c r="BP442" s="853">
        <f t="shared" si="885"/>
        <v>2.68772184446604E-2</v>
      </c>
      <c r="BQ442" s="847">
        <f t="shared" si="885"/>
        <v>-1</v>
      </c>
      <c r="BR442" s="847">
        <f t="shared" si="885"/>
        <v>-1</v>
      </c>
      <c r="BS442" s="847">
        <f t="shared" si="885"/>
        <v>-1</v>
      </c>
      <c r="BT442" s="847">
        <f t="shared" si="885"/>
        <v>-1</v>
      </c>
      <c r="BU442" s="853">
        <f t="shared" si="885"/>
        <v>-1</v>
      </c>
      <c r="BV442" s="847"/>
      <c r="BW442" s="847"/>
      <c r="BX442" s="847"/>
      <c r="BY442" s="847"/>
      <c r="BZ442" s="853"/>
      <c r="CA442" s="853"/>
      <c r="CB442" s="853"/>
      <c r="CC442" s="853"/>
      <c r="CD442" s="853"/>
      <c r="CE442" s="853"/>
      <c r="CF442" s="853"/>
      <c r="CG442" s="853"/>
      <c r="CH442" s="853"/>
      <c r="CI442" s="853"/>
      <c r="CJ442" s="853"/>
      <c r="CK442" s="853"/>
      <c r="CL442" s="853"/>
      <c r="CM442" s="853"/>
      <c r="CN442" s="853"/>
      <c r="CO442" s="853"/>
      <c r="CP442" s="853"/>
      <c r="CQ442" s="853"/>
      <c r="CR442" s="853"/>
      <c r="CS442" s="853"/>
      <c r="CT442" s="853"/>
      <c r="CU442" s="853"/>
      <c r="CV442" s="853"/>
      <c r="CW442" s="853"/>
      <c r="CX442" s="853"/>
      <c r="CY442" s="853"/>
      <c r="CZ442" s="853"/>
      <c r="DA442" s="853"/>
      <c r="DB442"/>
      <c r="DC442"/>
      <c r="DD442" s="2323" t="s">
        <v>2080</v>
      </c>
      <c r="DE442" s="2349">
        <f t="shared" si="860"/>
        <v>0</v>
      </c>
      <c r="DF442" s="2349">
        <f t="shared" si="861"/>
        <v>0.13625304136253047</v>
      </c>
      <c r="DG442" s="2349">
        <f t="shared" si="862"/>
        <v>0.13383297644539605</v>
      </c>
      <c r="DH442" s="2349">
        <f t="shared" si="863"/>
        <v>8.1208687440982086E-2</v>
      </c>
      <c r="DI442" s="2349">
        <f t="shared" si="864"/>
        <v>8.9082969432314307E-2</v>
      </c>
      <c r="DJ442" s="2349">
        <f t="shared" si="865"/>
        <v>0.19246190858059342</v>
      </c>
      <c r="DK442" s="2349">
        <f t="shared" si="866"/>
        <v>6.0524546065904516E-2</v>
      </c>
      <c r="DL442" s="2349">
        <f t="shared" si="867"/>
        <v>0.10779961953075468</v>
      </c>
      <c r="DM442" s="2349">
        <f t="shared" si="868"/>
        <v>-0.15054378935317692</v>
      </c>
      <c r="DN442" s="2349">
        <f t="shared" si="869"/>
        <v>-0.23450134770889486</v>
      </c>
      <c r="DO442" s="2349">
        <f t="shared" si="870"/>
        <v>7.4823943661971759E-2</v>
      </c>
      <c r="DP442" s="2349">
        <f t="shared" si="871"/>
        <v>2.68772184446604E-2</v>
      </c>
      <c r="DQ442" s="2349">
        <f t="shared" si="872"/>
        <v>-1</v>
      </c>
      <c r="DR442" s="2349">
        <f t="shared" si="873"/>
        <v>0</v>
      </c>
      <c r="DS442" s="2349">
        <f t="shared" si="874"/>
        <v>0</v>
      </c>
      <c r="DT442" s="2349">
        <f t="shared" si="875"/>
        <v>0</v>
      </c>
      <c r="DU442" s="2349">
        <f t="shared" si="876"/>
        <v>0</v>
      </c>
      <c r="DV442" s="2349">
        <f t="shared" si="877"/>
        <v>0</v>
      </c>
      <c r="DW442" s="2349">
        <f t="shared" si="878"/>
        <v>0</v>
      </c>
      <c r="DX442" s="2349">
        <f t="shared" si="879"/>
        <v>0</v>
      </c>
      <c r="DY442" s="2349">
        <f t="shared" si="880"/>
        <v>0</v>
      </c>
      <c r="EA442"/>
      <c r="EB442"/>
      <c r="EC442"/>
      <c r="ED442"/>
      <c r="EE442"/>
      <c r="EF442"/>
      <c r="EJ442"/>
      <c r="EK442"/>
      <c r="EL442"/>
      <c r="ER442" s="212"/>
    </row>
    <row r="443" spans="1:148" s="923" customFormat="1" ht="12.75" hidden="1" customHeight="1" outlineLevel="1" x14ac:dyDescent="0.2">
      <c r="A443" s="865"/>
      <c r="B443" s="847"/>
      <c r="C443" s="847"/>
      <c r="D443" s="847"/>
      <c r="E443" s="847"/>
      <c r="F443" s="847"/>
      <c r="G443" s="847"/>
      <c r="H443" s="847"/>
      <c r="I443" s="847"/>
      <c r="J443" s="847"/>
      <c r="K443" s="847"/>
      <c r="L443" s="847"/>
      <c r="M443" s="847"/>
      <c r="N443" s="847"/>
      <c r="O443" s="847"/>
      <c r="P443" s="847"/>
      <c r="Q443" s="847"/>
      <c r="R443" s="847"/>
      <c r="S443" s="847"/>
      <c r="T443" s="847"/>
      <c r="U443" s="847"/>
      <c r="V443" s="847"/>
      <c r="W443" s="847"/>
      <c r="X443" s="847"/>
      <c r="Y443" s="847"/>
      <c r="Z443" s="847"/>
      <c r="AA443" s="847"/>
      <c r="AB443" s="847"/>
      <c r="AC443" s="847"/>
      <c r="AD443" s="847"/>
      <c r="AE443" s="847"/>
      <c r="AF443" s="847"/>
      <c r="AG443" s="847"/>
      <c r="AH443" s="847"/>
      <c r="AI443" s="847"/>
      <c r="AJ443" s="847"/>
      <c r="AK443" s="847"/>
      <c r="AL443" s="847"/>
      <c r="AM443" s="847"/>
      <c r="AN443" s="847"/>
      <c r="AO443" s="847"/>
      <c r="AP443" s="847"/>
      <c r="AQ443" s="847"/>
      <c r="AR443" s="847"/>
      <c r="AS443" s="847"/>
      <c r="AT443" s="847"/>
      <c r="AU443" s="847"/>
      <c r="AV443" s="847"/>
      <c r="AW443" s="847"/>
      <c r="AX443" s="847"/>
      <c r="AY443" s="847"/>
      <c r="AZ443" s="847"/>
      <c r="BA443" s="847"/>
      <c r="BB443" s="847"/>
      <c r="BC443" s="847"/>
      <c r="BD443" s="847"/>
      <c r="BE443" s="847"/>
      <c r="BF443" s="847"/>
      <c r="BG443" s="847"/>
      <c r="BH443" s="847"/>
      <c r="BI443" s="847"/>
      <c r="BJ443" s="847"/>
      <c r="BK443" s="847"/>
      <c r="BL443" s="847"/>
      <c r="BM443" s="847"/>
      <c r="BN443" s="847"/>
      <c r="BO443" s="847"/>
      <c r="BP443" s="847"/>
      <c r="BQ443" s="847"/>
      <c r="BR443" s="847"/>
      <c r="BS443" s="847"/>
      <c r="BT443" s="847"/>
      <c r="BU443" s="847"/>
      <c r="BV443" s="847"/>
      <c r="BW443" s="847"/>
      <c r="BX443" s="847"/>
      <c r="BY443" s="847"/>
      <c r="BZ443" s="847"/>
      <c r="CA443" s="847"/>
      <c r="CB443" s="847"/>
      <c r="CC443" s="847"/>
      <c r="CD443" s="847"/>
      <c r="CE443" s="847"/>
      <c r="CF443" s="847"/>
      <c r="CG443" s="847"/>
      <c r="CH443" s="847"/>
      <c r="CI443" s="847"/>
      <c r="CJ443" s="847"/>
      <c r="CK443" s="847"/>
      <c r="CL443" s="847"/>
      <c r="CM443" s="847"/>
      <c r="CN443" s="847"/>
      <c r="CO443" s="847"/>
      <c r="CP443" s="847"/>
      <c r="CQ443" s="847"/>
      <c r="CR443" s="847"/>
      <c r="CS443" s="847"/>
      <c r="CT443" s="847"/>
      <c r="CU443" s="847"/>
      <c r="CV443" s="847"/>
      <c r="CW443" s="847"/>
      <c r="CX443" s="847"/>
      <c r="CY443" s="847"/>
      <c r="CZ443" s="847"/>
      <c r="DA443" s="847"/>
      <c r="DB443"/>
      <c r="DC443"/>
      <c r="DD443" s="2323"/>
      <c r="DE443" s="2349"/>
      <c r="DF443" s="2349"/>
      <c r="DG443" s="2349"/>
      <c r="DH443" s="2349"/>
      <c r="DI443" s="2349"/>
      <c r="DJ443" s="2349"/>
      <c r="DK443" s="2349"/>
      <c r="DL443" s="2349"/>
      <c r="DM443" s="2349"/>
      <c r="DN443" s="2349"/>
      <c r="DO443" s="2349"/>
      <c r="DP443" s="2349"/>
      <c r="DQ443" s="2349"/>
      <c r="DR443" s="2349"/>
      <c r="DS443" s="2349"/>
      <c r="DT443" s="2349"/>
      <c r="DU443" s="2349"/>
      <c r="DV443" s="2349"/>
      <c r="DW443" s="2349"/>
      <c r="DX443" s="2349"/>
      <c r="DY443" s="2349"/>
      <c r="EA443"/>
      <c r="EB443"/>
      <c r="EC443"/>
      <c r="ED443"/>
      <c r="EE443"/>
      <c r="EF443"/>
      <c r="EJ443"/>
      <c r="EK443"/>
      <c r="EL443"/>
      <c r="ER443" s="212"/>
    </row>
    <row r="444" spans="1:148" s="923" customFormat="1" ht="12.75" hidden="1" customHeight="1" outlineLevel="1" x14ac:dyDescent="0.2">
      <c r="A444" s="865" t="s">
        <v>2081</v>
      </c>
      <c r="B444" s="847"/>
      <c r="C444" s="847"/>
      <c r="D444" s="847"/>
      <c r="E444" s="847"/>
      <c r="F444" s="847"/>
      <c r="G444" s="847"/>
      <c r="H444" s="847"/>
      <c r="I444" s="847">
        <f>+I445*I436</f>
        <v>62.896000000000008</v>
      </c>
      <c r="J444" s="847">
        <f>+J445*J436</f>
        <v>70.576000000000008</v>
      </c>
      <c r="K444" s="847">
        <f>+K445*K436</f>
        <v>71.727999999999994</v>
      </c>
      <c r="L444" s="847">
        <f>+L445*L436</f>
        <v>96.304000000000002</v>
      </c>
      <c r="M444" s="847">
        <f>SUM(I444:L444)</f>
        <v>301.50400000000002</v>
      </c>
      <c r="N444" s="847">
        <f>+N445*N436</f>
        <v>85.072000000000003</v>
      </c>
      <c r="O444" s="847">
        <f>+O445*O436</f>
        <v>87.664000000000001</v>
      </c>
      <c r="P444" s="847">
        <f>+P445*P436</f>
        <v>103.79200000000002</v>
      </c>
      <c r="Q444" s="847">
        <f>+Q445*Q436</f>
        <v>103.40800000000002</v>
      </c>
      <c r="R444" s="847">
        <f>SUM(N444:Q444)</f>
        <v>379.93600000000004</v>
      </c>
      <c r="S444" s="847">
        <f>+S445*S436</f>
        <v>79.242523596621965</v>
      </c>
      <c r="T444" s="847">
        <f>+T445*T436</f>
        <v>95.277741871081886</v>
      </c>
      <c r="U444" s="847">
        <f>+U445*U436</f>
        <v>94.931218274459923</v>
      </c>
      <c r="V444" s="847">
        <f>+V445*V436</f>
        <v>118.3368</v>
      </c>
      <c r="W444" s="847">
        <f>SUM(S444:V444)</f>
        <v>387.78828374216374</v>
      </c>
      <c r="X444" s="847">
        <f>+X445*X436</f>
        <v>87.347200000000001</v>
      </c>
      <c r="Y444" s="847">
        <f>+Y445*Y436</f>
        <v>86.299199999999999</v>
      </c>
      <c r="Z444" s="847">
        <f>+Z445*Z436</f>
        <v>109.98240000000001</v>
      </c>
      <c r="AA444" s="847">
        <f>+AA445*AA436</f>
        <v>141.3768</v>
      </c>
      <c r="AB444" s="847">
        <f>SUM(X444:AA444)</f>
        <v>425.00560000000002</v>
      </c>
      <c r="AC444" s="847">
        <f>+AC445*AC436</f>
        <v>118.2744</v>
      </c>
      <c r="AD444" s="847">
        <f>+AD445*AD436</f>
        <v>103.8064</v>
      </c>
      <c r="AE444" s="847">
        <f>+AE445*AE436</f>
        <v>109.96960000000001</v>
      </c>
      <c r="AF444" s="847">
        <f>+AF445*AF436</f>
        <v>128.00480000000002</v>
      </c>
      <c r="AG444" s="847">
        <f>SUM(AC444:AF444)</f>
        <v>460.05520000000001</v>
      </c>
      <c r="AH444" s="847">
        <f>+AH445*AH436</f>
        <v>126.02080000000001</v>
      </c>
      <c r="AI444" s="847">
        <f>+AI445*AI436</f>
        <v>121.75520000000002</v>
      </c>
      <c r="AJ444" s="847">
        <f>+AJ445*AJ436</f>
        <v>143.78799999999998</v>
      </c>
      <c r="AK444" s="847">
        <f>+AK445*AK436</f>
        <v>151.2808</v>
      </c>
      <c r="AL444" s="847">
        <f>SUM(AH444:AK444)</f>
        <v>542.84479999999996</v>
      </c>
      <c r="AM444" s="847">
        <f>+AM445*AM436</f>
        <v>86</v>
      </c>
      <c r="AN444" s="847">
        <f>+AN445*AN436</f>
        <v>98.224000000000004</v>
      </c>
      <c r="AO444" s="847">
        <f>+AO445*AO436</f>
        <v>106.43648000000002</v>
      </c>
      <c r="AP444" s="847">
        <f>+AP445*AP436</f>
        <v>153.51065920000002</v>
      </c>
      <c r="AQ444" s="847">
        <f>SUM(AM444:AP444)</f>
        <v>444.17113920000003</v>
      </c>
      <c r="AR444" s="847">
        <f>+AR445*AR$436</f>
        <v>105.60000000000001</v>
      </c>
      <c r="AS444" s="847">
        <f>+AS445*AS436</f>
        <v>119.685</v>
      </c>
      <c r="AT444" s="847">
        <f>+AT445*AT436</f>
        <v>110.205</v>
      </c>
      <c r="AU444" s="847">
        <f>+AU445*AU436</f>
        <v>142.99</v>
      </c>
      <c r="AV444" s="847">
        <f>SUM(AR444:AU444)</f>
        <v>478.48</v>
      </c>
      <c r="AW444" s="847">
        <f>+AW445*AW436</f>
        <v>82</v>
      </c>
      <c r="AX444" s="847">
        <f>+AX445*AX436</f>
        <v>100.80000000000001</v>
      </c>
      <c r="AY444" s="847">
        <f>+AY445*AY436</f>
        <v>106</v>
      </c>
      <c r="AZ444" s="847">
        <f>+AZ445*AZ436</f>
        <v>99.2</v>
      </c>
      <c r="BA444" s="847">
        <f>SUM(AW444:AZ444)</f>
        <v>388</v>
      </c>
      <c r="BB444" s="847">
        <f>+BB445*BB436</f>
        <v>50</v>
      </c>
      <c r="BC444" s="847">
        <f>+BC445*BC436</f>
        <v>72.8</v>
      </c>
      <c r="BD444" s="847">
        <f>+BD445*BD436</f>
        <v>55.2</v>
      </c>
      <c r="BE444" s="847">
        <f>+BE445*BE436</f>
        <v>74</v>
      </c>
      <c r="BF444" s="847">
        <f>SUM(BB444:BE444)</f>
        <v>252</v>
      </c>
      <c r="BG444" s="847">
        <f>+BG445*BG436</f>
        <v>73.5</v>
      </c>
      <c r="BH444" s="847">
        <f>+BH445*BH436</f>
        <v>74</v>
      </c>
      <c r="BI444" s="847">
        <f>+BI445*BI436</f>
        <v>67.5</v>
      </c>
      <c r="BJ444" s="847">
        <f>+BJ445*BJ436</f>
        <v>107.80000000000001</v>
      </c>
      <c r="BK444" s="847">
        <f>SUM(BG444:BJ444)</f>
        <v>322.8</v>
      </c>
      <c r="BL444" s="847">
        <f>+BL445*BL436</f>
        <v>71.5</v>
      </c>
      <c r="BM444" s="847">
        <f>+BM445*BM436</f>
        <v>76.5</v>
      </c>
      <c r="BN444" s="847">
        <f>+BN445*BN436</f>
        <v>73.5</v>
      </c>
      <c r="BO444" s="847">
        <f>+BO445*BO436</f>
        <v>86.68</v>
      </c>
      <c r="BP444" s="847">
        <f>SUM(BL444:BO444)</f>
        <v>308.18</v>
      </c>
      <c r="BQ444" s="847">
        <f>+BQ445*BQ436</f>
        <v>0</v>
      </c>
      <c r="BR444" s="847">
        <f>+BR445*BR436</f>
        <v>0</v>
      </c>
      <c r="BS444" s="847">
        <f>+BS445*BS436</f>
        <v>0</v>
      </c>
      <c r="BT444" s="847">
        <f>+BT445*BT436</f>
        <v>0</v>
      </c>
      <c r="BU444" s="847">
        <f>SUM(BQ444:BT444)</f>
        <v>0</v>
      </c>
      <c r="BV444" s="847"/>
      <c r="BW444" s="847"/>
      <c r="BX444" s="847"/>
      <c r="BY444" s="847"/>
      <c r="BZ444" s="847"/>
      <c r="CA444" s="847"/>
      <c r="CB444" s="847"/>
      <c r="CC444" s="847"/>
      <c r="CD444" s="847"/>
      <c r="CE444" s="847"/>
      <c r="CF444" s="847"/>
      <c r="CG444" s="847"/>
      <c r="CH444" s="847"/>
      <c r="CI444" s="847"/>
      <c r="CJ444" s="847"/>
      <c r="CK444" s="847"/>
      <c r="CL444" s="847"/>
      <c r="CM444" s="847"/>
      <c r="CN444" s="847"/>
      <c r="CO444" s="847"/>
      <c r="CP444" s="847"/>
      <c r="CQ444" s="847"/>
      <c r="CR444" s="847"/>
      <c r="CS444" s="847"/>
      <c r="CT444" s="847"/>
      <c r="CU444" s="847"/>
      <c r="CV444" s="847"/>
      <c r="CW444" s="847"/>
      <c r="CX444" s="847"/>
      <c r="CY444" s="847"/>
      <c r="CZ444" s="847"/>
      <c r="DA444" s="847"/>
      <c r="DB444"/>
      <c r="DC444"/>
      <c r="DD444" s="2323" t="s">
        <v>2081</v>
      </c>
      <c r="DE444" s="2349">
        <f t="shared" ref="DE444:DE453" si="886">M444</f>
        <v>301.50400000000002</v>
      </c>
      <c r="DF444" s="2349">
        <f t="shared" ref="DF444:DF453" si="887">R444</f>
        <v>379.93600000000004</v>
      </c>
      <c r="DG444" s="2349">
        <f t="shared" ref="DG444:DG453" si="888">W444</f>
        <v>387.78828374216374</v>
      </c>
      <c r="DH444" s="2349">
        <f t="shared" ref="DH444:DH453" si="889">AB444</f>
        <v>425.00560000000002</v>
      </c>
      <c r="DI444" s="2349">
        <f t="shared" ref="DI444:DI453" si="890">AG444</f>
        <v>460.05520000000001</v>
      </c>
      <c r="DJ444" s="2349">
        <f t="shared" ref="DJ444:DJ453" si="891">AL444</f>
        <v>542.84479999999996</v>
      </c>
      <c r="DK444" s="2349">
        <f t="shared" ref="DK444:DK453" si="892">AQ444</f>
        <v>444.17113920000003</v>
      </c>
      <c r="DL444" s="2349">
        <f t="shared" ref="DL444:DL453" si="893">AV444</f>
        <v>478.48</v>
      </c>
      <c r="DM444" s="2349">
        <f t="shared" ref="DM444:DM453" si="894">BA444</f>
        <v>388</v>
      </c>
      <c r="DN444" s="2349">
        <f t="shared" ref="DN444:DN453" si="895">BF444</f>
        <v>252</v>
      </c>
      <c r="DO444" s="2349">
        <f t="shared" ref="DO444:DO453" si="896">BK444</f>
        <v>322.8</v>
      </c>
      <c r="DP444" s="2349">
        <f t="shared" ref="DP444:DP453" si="897">BP444</f>
        <v>308.18</v>
      </c>
      <c r="DQ444" s="2349">
        <f t="shared" ref="DQ444:DQ453" si="898">BU444</f>
        <v>0</v>
      </c>
      <c r="DR444" s="2349">
        <f t="shared" ref="DR444:DR453" si="899">BZ444</f>
        <v>0</v>
      </c>
      <c r="DS444" s="2349">
        <f t="shared" ref="DS444:DS453" si="900">CE444</f>
        <v>0</v>
      </c>
      <c r="DT444" s="2349">
        <f t="shared" ref="DT444:DT453" si="901">CJ444</f>
        <v>0</v>
      </c>
      <c r="DU444" s="2349">
        <f t="shared" ref="DU444:DU453" si="902">CO444</f>
        <v>0</v>
      </c>
      <c r="DV444" s="2349">
        <f t="shared" ref="DV444:DV453" si="903">CT444</f>
        <v>0</v>
      </c>
      <c r="DW444" s="2349">
        <f t="shared" ref="DW444:DW453" si="904">CY444</f>
        <v>0</v>
      </c>
      <c r="DX444" s="2349">
        <f t="shared" ref="DX444:DX453" si="905">CZ444</f>
        <v>0</v>
      </c>
      <c r="DY444" s="2349">
        <f t="shared" ref="DY444:DY453" si="906">DA444</f>
        <v>0</v>
      </c>
      <c r="EA444"/>
      <c r="EB444"/>
      <c r="EC444"/>
      <c r="ED444"/>
      <c r="EE444"/>
      <c r="EF444"/>
      <c r="EJ444"/>
      <c r="EK444"/>
      <c r="EL444"/>
      <c r="ER444" s="212"/>
    </row>
    <row r="445" spans="1:148" s="923" customFormat="1" ht="12.75" hidden="1" customHeight="1" outlineLevel="1" x14ac:dyDescent="0.2">
      <c r="A445" s="865" t="s">
        <v>2082</v>
      </c>
      <c r="B445" s="889"/>
      <c r="C445" s="889"/>
      <c r="D445" s="889"/>
      <c r="E445" s="889"/>
      <c r="F445" s="889"/>
      <c r="G445" s="889"/>
      <c r="H445" s="889"/>
      <c r="I445" s="889">
        <v>0.4</v>
      </c>
      <c r="J445" s="889">
        <v>0.4</v>
      </c>
      <c r="K445" s="889">
        <v>0.4</v>
      </c>
      <c r="L445" s="889">
        <v>0.4</v>
      </c>
      <c r="M445" s="889">
        <f>+M444/M436</f>
        <v>0.4</v>
      </c>
      <c r="N445" s="889">
        <v>0.4</v>
      </c>
      <c r="O445" s="889">
        <v>0.4</v>
      </c>
      <c r="P445" s="889">
        <v>0.4</v>
      </c>
      <c r="Q445" s="889">
        <v>0.4</v>
      </c>
      <c r="R445" s="889">
        <f>+R444/R436</f>
        <v>0.40000000000000008</v>
      </c>
      <c r="S445" s="889">
        <v>0.4</v>
      </c>
      <c r="T445" s="889">
        <v>0.4</v>
      </c>
      <c r="U445" s="889">
        <v>0.4</v>
      </c>
      <c r="V445" s="889">
        <v>0.4</v>
      </c>
      <c r="W445" s="889">
        <f>W444/W436</f>
        <v>0.39999999999999997</v>
      </c>
      <c r="X445" s="889">
        <v>0.4</v>
      </c>
      <c r="Y445" s="889">
        <v>0.4</v>
      </c>
      <c r="Z445" s="889">
        <v>0.4</v>
      </c>
      <c r="AA445" s="889">
        <v>0.4</v>
      </c>
      <c r="AB445" s="889">
        <f>AB444/AB436</f>
        <v>0.39999999999999997</v>
      </c>
      <c r="AC445" s="889">
        <v>0.4</v>
      </c>
      <c r="AD445" s="889">
        <v>0.4</v>
      </c>
      <c r="AE445" s="889">
        <v>0.4</v>
      </c>
      <c r="AF445" s="889">
        <v>0.4</v>
      </c>
      <c r="AG445" s="889">
        <f>AG444/AG436</f>
        <v>0.4</v>
      </c>
      <c r="AH445" s="889">
        <v>0.4</v>
      </c>
      <c r="AI445" s="889">
        <v>0.4</v>
      </c>
      <c r="AJ445" s="889">
        <v>0.4</v>
      </c>
      <c r="AK445" s="889">
        <v>0.4</v>
      </c>
      <c r="AL445" s="889">
        <f>AL444/AL436</f>
        <v>0.39999999999999997</v>
      </c>
      <c r="AM445" s="889">
        <v>0.4</v>
      </c>
      <c r="AN445" s="889">
        <v>0.4</v>
      </c>
      <c r="AO445" s="889">
        <v>0.4</v>
      </c>
      <c r="AP445" s="889">
        <v>0.4</v>
      </c>
      <c r="AQ445" s="889">
        <f>AQ444/AQ436</f>
        <v>0.4</v>
      </c>
      <c r="AR445" s="889">
        <v>0.4</v>
      </c>
      <c r="AS445" s="889">
        <v>0.39500000000000002</v>
      </c>
      <c r="AT445" s="889">
        <f>+AS445</f>
        <v>0.39500000000000002</v>
      </c>
      <c r="AU445" s="889">
        <f>+AT445</f>
        <v>0.39500000000000002</v>
      </c>
      <c r="AV445" s="889">
        <f>AV444/AV436</f>
        <v>0.39609271523178807</v>
      </c>
      <c r="AW445" s="889">
        <v>0.4</v>
      </c>
      <c r="AX445" s="889">
        <v>0.4</v>
      </c>
      <c r="AY445" s="889">
        <f>+AX445</f>
        <v>0.4</v>
      </c>
      <c r="AZ445" s="889">
        <f>+AY445</f>
        <v>0.4</v>
      </c>
      <c r="BA445" s="889">
        <f>BA444/BA436</f>
        <v>0.4</v>
      </c>
      <c r="BB445" s="889">
        <f>+BA445</f>
        <v>0.4</v>
      </c>
      <c r="BC445" s="889">
        <f>+BB445</f>
        <v>0.4</v>
      </c>
      <c r="BD445" s="889">
        <f>+BC445</f>
        <v>0.4</v>
      </c>
      <c r="BE445" s="889">
        <f>+BD445</f>
        <v>0.4</v>
      </c>
      <c r="BF445" s="889">
        <f>BF444/BF436</f>
        <v>0.4</v>
      </c>
      <c r="BG445" s="889">
        <v>0.5</v>
      </c>
      <c r="BH445" s="889">
        <f>+BG445</f>
        <v>0.5</v>
      </c>
      <c r="BI445" s="889">
        <f>+BH445</f>
        <v>0.5</v>
      </c>
      <c r="BJ445" s="889">
        <v>0.55000000000000004</v>
      </c>
      <c r="BK445" s="889">
        <f>BK444/BK436</f>
        <v>0.51565495207667733</v>
      </c>
      <c r="BL445" s="889">
        <v>0.5</v>
      </c>
      <c r="BM445" s="889">
        <f>+BL445</f>
        <v>0.5</v>
      </c>
      <c r="BN445" s="889">
        <f>+BM445</f>
        <v>0.5</v>
      </c>
      <c r="BO445" s="889">
        <v>0.44</v>
      </c>
      <c r="BP445" s="889">
        <f>BP444/BP436</f>
        <v>0.48153125000000002</v>
      </c>
      <c r="BQ445" s="889">
        <v>0</v>
      </c>
      <c r="BR445" s="889">
        <f>+BQ445</f>
        <v>0</v>
      </c>
      <c r="BS445" s="889">
        <f>+BR445</f>
        <v>0</v>
      </c>
      <c r="BT445" s="889">
        <f>+BS445</f>
        <v>0</v>
      </c>
      <c r="BU445" s="889"/>
      <c r="BV445" s="889"/>
      <c r="BW445" s="889"/>
      <c r="BX445" s="889"/>
      <c r="BY445" s="889"/>
      <c r="BZ445" s="889"/>
      <c r="CA445" s="889"/>
      <c r="CB445" s="889"/>
      <c r="CC445" s="889"/>
      <c r="CD445" s="889"/>
      <c r="CE445" s="889"/>
      <c r="CF445" s="889"/>
      <c r="CG445" s="889"/>
      <c r="CH445" s="889"/>
      <c r="CI445" s="889"/>
      <c r="CJ445" s="889"/>
      <c r="CK445" s="889"/>
      <c r="CL445" s="889"/>
      <c r="CM445" s="889"/>
      <c r="CN445" s="889"/>
      <c r="CO445" s="889"/>
      <c r="CP445" s="889"/>
      <c r="CQ445" s="889"/>
      <c r="CR445" s="889"/>
      <c r="CS445" s="889"/>
      <c r="CT445" s="889"/>
      <c r="CU445" s="889"/>
      <c r="CV445" s="889"/>
      <c r="CW445" s="889"/>
      <c r="CX445" s="889"/>
      <c r="CY445" s="889"/>
      <c r="CZ445" s="889"/>
      <c r="DA445" s="889"/>
      <c r="DB445"/>
      <c r="DC445"/>
      <c r="DD445" s="2323" t="s">
        <v>2082</v>
      </c>
      <c r="DE445" s="2349">
        <f t="shared" si="886"/>
        <v>0.4</v>
      </c>
      <c r="DF445" s="2349">
        <f t="shared" si="887"/>
        <v>0.40000000000000008</v>
      </c>
      <c r="DG445" s="2349">
        <f t="shared" si="888"/>
        <v>0.39999999999999997</v>
      </c>
      <c r="DH445" s="2349">
        <f t="shared" si="889"/>
        <v>0.39999999999999997</v>
      </c>
      <c r="DI445" s="2349">
        <f t="shared" si="890"/>
        <v>0.4</v>
      </c>
      <c r="DJ445" s="2349">
        <f t="shared" si="891"/>
        <v>0.39999999999999997</v>
      </c>
      <c r="DK445" s="2349">
        <f t="shared" si="892"/>
        <v>0.4</v>
      </c>
      <c r="DL445" s="2349">
        <f t="shared" si="893"/>
        <v>0.39609271523178807</v>
      </c>
      <c r="DM445" s="2349">
        <f t="shared" si="894"/>
        <v>0.4</v>
      </c>
      <c r="DN445" s="2349">
        <f t="shared" si="895"/>
        <v>0.4</v>
      </c>
      <c r="DO445" s="2349">
        <f t="shared" si="896"/>
        <v>0.51565495207667733</v>
      </c>
      <c r="DP445" s="2349">
        <f t="shared" si="897"/>
        <v>0.48153125000000002</v>
      </c>
      <c r="DQ445" s="2349">
        <f t="shared" si="898"/>
        <v>0</v>
      </c>
      <c r="DR445" s="2349">
        <f t="shared" si="899"/>
        <v>0</v>
      </c>
      <c r="DS445" s="2349">
        <f t="shared" si="900"/>
        <v>0</v>
      </c>
      <c r="DT445" s="2349">
        <f t="shared" si="901"/>
        <v>0</v>
      </c>
      <c r="DU445" s="2349">
        <f t="shared" si="902"/>
        <v>0</v>
      </c>
      <c r="DV445" s="2349">
        <f t="shared" si="903"/>
        <v>0</v>
      </c>
      <c r="DW445" s="2349">
        <f t="shared" si="904"/>
        <v>0</v>
      </c>
      <c r="DX445" s="2349">
        <f t="shared" si="905"/>
        <v>0</v>
      </c>
      <c r="DY445" s="2349">
        <f t="shared" si="906"/>
        <v>0</v>
      </c>
      <c r="EA445"/>
      <c r="EB445"/>
      <c r="EC445"/>
      <c r="ED445"/>
      <c r="EE445"/>
      <c r="EF445"/>
      <c r="EJ445"/>
      <c r="EK445"/>
      <c r="EL445"/>
      <c r="ER445" s="212"/>
    </row>
    <row r="446" spans="1:148" s="923" customFormat="1" ht="12.75" hidden="1" customHeight="1" outlineLevel="1" x14ac:dyDescent="0.2">
      <c r="A446" s="865" t="s">
        <v>2083</v>
      </c>
      <c r="B446" s="847"/>
      <c r="C446" s="847"/>
      <c r="D446" s="847"/>
      <c r="E446" s="847"/>
      <c r="F446" s="847"/>
      <c r="G446" s="847"/>
      <c r="H446" s="847"/>
      <c r="I446" s="847">
        <f>+I455-I444</f>
        <v>74.103999999999985</v>
      </c>
      <c r="J446" s="847">
        <f>+J455-J444</f>
        <v>87.423999999999992</v>
      </c>
      <c r="K446" s="847">
        <f>+K455-K444</f>
        <v>91.272000000000006</v>
      </c>
      <c r="L446" s="847">
        <f>+L455-L444</f>
        <v>129.696</v>
      </c>
      <c r="M446" s="847">
        <f>SUM(I446:L446)</f>
        <v>382.49599999999998</v>
      </c>
      <c r="N446" s="847">
        <f>+N455-N444</f>
        <v>105.928</v>
      </c>
      <c r="O446" s="847">
        <f>+O455-O444</f>
        <v>117.336</v>
      </c>
      <c r="P446" s="847">
        <f>+P455-P444</f>
        <v>144.20799999999997</v>
      </c>
      <c r="Q446" s="847">
        <f>+Q455-Q444</f>
        <v>154.59199999999998</v>
      </c>
      <c r="R446" s="847">
        <f>SUM(N446:Q446)</f>
        <v>522.06399999999996</v>
      </c>
      <c r="S446" s="847">
        <f>+S455-S444</f>
        <v>115.75747640337804</v>
      </c>
      <c r="T446" s="847">
        <f>+T455-T444</f>
        <v>131.7222581289181</v>
      </c>
      <c r="U446" s="847">
        <f>+U455-U444</f>
        <v>138.06878172554008</v>
      </c>
      <c r="V446" s="847">
        <f>+V455-V444</f>
        <v>164.66320000000002</v>
      </c>
      <c r="W446" s="847">
        <f>SUM(S446:V446)</f>
        <v>550.21171625783631</v>
      </c>
      <c r="X446" s="847">
        <f>+X455-X444</f>
        <v>120.6528</v>
      </c>
      <c r="Y446" s="847">
        <f>+Y455-Y444</f>
        <v>128.70080000000002</v>
      </c>
      <c r="Z446" s="847">
        <f>+Z455-Z444</f>
        <v>155.01759999999999</v>
      </c>
      <c r="AA446" s="847">
        <f>+AA455-AA444</f>
        <v>181.6232</v>
      </c>
      <c r="AB446" s="847">
        <f>SUM(X446:AA446)</f>
        <v>585.99440000000004</v>
      </c>
      <c r="AC446" s="847">
        <f>+AC455-AC444</f>
        <v>133.72559999999999</v>
      </c>
      <c r="AD446" s="847">
        <f>+AD455-AD444</f>
        <v>141.1936</v>
      </c>
      <c r="AE446" s="847">
        <f>+AE455-AE444</f>
        <v>139.03039999999999</v>
      </c>
      <c r="AF446" s="847">
        <f>+AF455-AF444</f>
        <v>164.99519999999998</v>
      </c>
      <c r="AG446" s="847">
        <f>SUM(AC446:AF446)</f>
        <v>578.94479999999999</v>
      </c>
      <c r="AH446" s="847">
        <f>+AH455-AH444</f>
        <v>145.97919999999999</v>
      </c>
      <c r="AI446" s="847">
        <f>+AI455-AI444</f>
        <v>147.2448</v>
      </c>
      <c r="AJ446" s="847">
        <f>+AJ455-AJ444</f>
        <v>186.21200000000002</v>
      </c>
      <c r="AK446" s="847">
        <f>+AK455-AK444</f>
        <v>205.7192</v>
      </c>
      <c r="AL446" s="847">
        <f>SUM(AH446:AK446)</f>
        <v>685.15520000000004</v>
      </c>
      <c r="AM446" s="847">
        <f>+AM447*AM$436</f>
        <v>86</v>
      </c>
      <c r="AN446" s="847">
        <f>+AN447*AN$436</f>
        <v>130.14680000000001</v>
      </c>
      <c r="AO446" s="847">
        <f>+AO447*AO$436</f>
        <v>109.097392</v>
      </c>
      <c r="AP446" s="847">
        <f>+AP447*AP$436</f>
        <v>161.18619215999999</v>
      </c>
      <c r="AQ446" s="847">
        <f>SUM(AM446:AP446)</f>
        <v>486.43038416000002</v>
      </c>
      <c r="AR446" s="847">
        <f>+AR447*AR$436</f>
        <v>118.8</v>
      </c>
      <c r="AS446" s="847">
        <f>+AS447*AS$436</f>
        <v>121.2</v>
      </c>
      <c r="AT446" s="847">
        <f>+AT447*AT$436</f>
        <v>139.5</v>
      </c>
      <c r="AU446" s="847">
        <f>+AU447*AU$436</f>
        <v>144.80000000000001</v>
      </c>
      <c r="AV446" s="847">
        <f>SUM(AR446:AU446)</f>
        <v>524.29999999999995</v>
      </c>
      <c r="AW446" s="847">
        <f>+AW447*AW436</f>
        <v>127.1</v>
      </c>
      <c r="AX446" s="847">
        <f>+AX447*AX436</f>
        <v>141.12</v>
      </c>
      <c r="AY446" s="847">
        <f>+AY447*AY436</f>
        <v>102.02500000000001</v>
      </c>
      <c r="AZ446" s="847">
        <f>+AZ447*AZ436</f>
        <v>109.12</v>
      </c>
      <c r="BA446" s="847">
        <f>SUM(AW446:AZ446)</f>
        <v>479.36500000000001</v>
      </c>
      <c r="BB446" s="847">
        <f>+BB447*BB436</f>
        <v>100</v>
      </c>
      <c r="BC446" s="847">
        <f>+BC447*BC436</f>
        <v>91</v>
      </c>
      <c r="BD446" s="847">
        <f>+BD447*BD436</f>
        <v>69</v>
      </c>
      <c r="BE446" s="847">
        <f>+BE447*BE436</f>
        <v>92.5</v>
      </c>
      <c r="BF446" s="847">
        <f>SUM(BB446:BE446)</f>
        <v>352.5</v>
      </c>
      <c r="BG446" s="847">
        <f>+BG447*BG436</f>
        <v>73.5</v>
      </c>
      <c r="BH446" s="847">
        <f>+BH447*BH436</f>
        <v>74</v>
      </c>
      <c r="BI446" s="847">
        <f>+BI447*BI436</f>
        <v>67.5</v>
      </c>
      <c r="BJ446" s="847">
        <f>+BJ447*BJ436</f>
        <v>98</v>
      </c>
      <c r="BK446" s="847">
        <f>SUM(BG446:BJ446)</f>
        <v>313</v>
      </c>
      <c r="BL446" s="847">
        <f>+BL447*BL436</f>
        <v>50.05</v>
      </c>
      <c r="BM446" s="847">
        <f>+BM447*BM436</f>
        <v>53.55</v>
      </c>
      <c r="BN446" s="847">
        <f>+BN447*BN436</f>
        <v>51.449999999999996</v>
      </c>
      <c r="BO446" s="847">
        <f>+BO447*BO436</f>
        <v>68.949999999999989</v>
      </c>
      <c r="BP446" s="847">
        <f>SUM(BL446:BO446)</f>
        <v>223.99999999999997</v>
      </c>
      <c r="BQ446" s="847">
        <f>+BQ447*BQ436</f>
        <v>0</v>
      </c>
      <c r="BR446" s="847">
        <f>+BR447*BR436</f>
        <v>0</v>
      </c>
      <c r="BS446" s="847">
        <f>+BS447*BS436</f>
        <v>0</v>
      </c>
      <c r="BT446" s="847">
        <f>+BT447*BT436</f>
        <v>0</v>
      </c>
      <c r="BU446" s="847">
        <f>SUM(BQ446:BT446)</f>
        <v>0</v>
      </c>
      <c r="BV446" s="847"/>
      <c r="BW446" s="847"/>
      <c r="BX446" s="847"/>
      <c r="BY446" s="847"/>
      <c r="BZ446" s="847"/>
      <c r="CA446" s="847"/>
      <c r="CB446" s="847"/>
      <c r="CC446" s="847"/>
      <c r="CD446" s="847"/>
      <c r="CE446" s="847"/>
      <c r="CF446" s="847"/>
      <c r="CG446" s="847"/>
      <c r="CH446" s="847"/>
      <c r="CI446" s="847"/>
      <c r="CJ446" s="847"/>
      <c r="CK446" s="847"/>
      <c r="CL446" s="847"/>
      <c r="CM446" s="847"/>
      <c r="CN446" s="847"/>
      <c r="CO446" s="847"/>
      <c r="CP446" s="847"/>
      <c r="CQ446" s="847"/>
      <c r="CR446" s="847"/>
      <c r="CS446" s="847"/>
      <c r="CT446" s="847"/>
      <c r="CU446" s="847"/>
      <c r="CV446" s="847"/>
      <c r="CW446" s="847"/>
      <c r="CX446" s="847"/>
      <c r="CY446" s="847"/>
      <c r="CZ446" s="847"/>
      <c r="DA446" s="847"/>
      <c r="DB446"/>
      <c r="DC446"/>
      <c r="DD446" s="2323" t="s">
        <v>2083</v>
      </c>
      <c r="DE446" s="2349">
        <f t="shared" si="886"/>
        <v>382.49599999999998</v>
      </c>
      <c r="DF446" s="2349">
        <f t="shared" si="887"/>
        <v>522.06399999999996</v>
      </c>
      <c r="DG446" s="2349">
        <f t="shared" si="888"/>
        <v>550.21171625783631</v>
      </c>
      <c r="DH446" s="2349">
        <f t="shared" si="889"/>
        <v>585.99440000000004</v>
      </c>
      <c r="DI446" s="2349">
        <f t="shared" si="890"/>
        <v>578.94479999999999</v>
      </c>
      <c r="DJ446" s="2349">
        <f t="shared" si="891"/>
        <v>685.15520000000004</v>
      </c>
      <c r="DK446" s="2349">
        <f t="shared" si="892"/>
        <v>486.43038416000002</v>
      </c>
      <c r="DL446" s="2349">
        <f t="shared" si="893"/>
        <v>524.29999999999995</v>
      </c>
      <c r="DM446" s="2349">
        <f t="shared" si="894"/>
        <v>479.36500000000001</v>
      </c>
      <c r="DN446" s="2349">
        <f t="shared" si="895"/>
        <v>352.5</v>
      </c>
      <c r="DO446" s="2349">
        <f t="shared" si="896"/>
        <v>313</v>
      </c>
      <c r="DP446" s="2349">
        <f t="shared" si="897"/>
        <v>223.99999999999997</v>
      </c>
      <c r="DQ446" s="2349">
        <f t="shared" si="898"/>
        <v>0</v>
      </c>
      <c r="DR446" s="2349">
        <f t="shared" si="899"/>
        <v>0</v>
      </c>
      <c r="DS446" s="2349">
        <f t="shared" si="900"/>
        <v>0</v>
      </c>
      <c r="DT446" s="2349">
        <f t="shared" si="901"/>
        <v>0</v>
      </c>
      <c r="DU446" s="2349">
        <f t="shared" si="902"/>
        <v>0</v>
      </c>
      <c r="DV446" s="2349">
        <f t="shared" si="903"/>
        <v>0</v>
      </c>
      <c r="DW446" s="2349">
        <f t="shared" si="904"/>
        <v>0</v>
      </c>
      <c r="DX446" s="2349">
        <f t="shared" si="905"/>
        <v>0</v>
      </c>
      <c r="DY446" s="2349">
        <f t="shared" si="906"/>
        <v>0</v>
      </c>
      <c r="EA446"/>
      <c r="EB446"/>
      <c r="EC446"/>
      <c r="ED446"/>
      <c r="EE446"/>
      <c r="EF446"/>
      <c r="EJ446"/>
      <c r="EK446"/>
      <c r="EL446"/>
      <c r="ER446" s="212"/>
    </row>
    <row r="447" spans="1:148" s="923" customFormat="1" ht="12.75" hidden="1" customHeight="1" outlineLevel="1" x14ac:dyDescent="0.2">
      <c r="A447" s="865" t="s">
        <v>2082</v>
      </c>
      <c r="B447" s="847"/>
      <c r="C447" s="847"/>
      <c r="D447" s="847"/>
      <c r="E447" s="847"/>
      <c r="F447" s="847"/>
      <c r="G447" s="847"/>
      <c r="H447" s="847"/>
      <c r="I447" s="847">
        <f t="shared" ref="I447:AL447" si="907">+I446/I436</f>
        <v>0.47127957262782993</v>
      </c>
      <c r="J447" s="847">
        <f t="shared" si="907"/>
        <v>0.49548855134890046</v>
      </c>
      <c r="K447" s="847">
        <f t="shared" si="907"/>
        <v>0.50898951594914121</v>
      </c>
      <c r="L447" s="847">
        <f t="shared" si="907"/>
        <v>0.5386941352384117</v>
      </c>
      <c r="M447" s="889">
        <f t="shared" si="907"/>
        <v>0.50745064742092971</v>
      </c>
      <c r="N447" s="847">
        <f t="shared" si="907"/>
        <v>0.49806281737822083</v>
      </c>
      <c r="O447" s="847">
        <f t="shared" si="907"/>
        <v>0.53538966964774592</v>
      </c>
      <c r="P447" s="847">
        <f t="shared" si="907"/>
        <v>0.55575766918452274</v>
      </c>
      <c r="Q447" s="847">
        <f t="shared" si="907"/>
        <v>0.5979885502088812</v>
      </c>
      <c r="R447" s="889">
        <f t="shared" si="907"/>
        <v>0.54963362250484293</v>
      </c>
      <c r="S447" s="847">
        <f t="shared" si="907"/>
        <v>0.58431998956839215</v>
      </c>
      <c r="T447" s="847">
        <f t="shared" si="907"/>
        <v>0.55300327460383547</v>
      </c>
      <c r="U447" s="847">
        <f t="shared" si="907"/>
        <v>0.58176344614629594</v>
      </c>
      <c r="V447" s="847">
        <f t="shared" si="907"/>
        <v>0.55659169421515553</v>
      </c>
      <c r="W447" s="889">
        <f t="shared" si="907"/>
        <v>0.5675382566469348</v>
      </c>
      <c r="X447" s="847">
        <f t="shared" si="907"/>
        <v>0.55252051582649475</v>
      </c>
      <c r="Y447" s="847">
        <f t="shared" si="907"/>
        <v>0.59653299219459754</v>
      </c>
      <c r="Z447" s="847">
        <f t="shared" si="907"/>
        <v>0.56379057012758393</v>
      </c>
      <c r="AA447" s="847">
        <f t="shared" si="907"/>
        <v>0.51386988529942679</v>
      </c>
      <c r="AB447" s="889">
        <f t="shared" si="907"/>
        <v>0.55151687413059969</v>
      </c>
      <c r="AC447" s="847">
        <f t="shared" si="907"/>
        <v>0.45225543312838618</v>
      </c>
      <c r="AD447" s="847">
        <f t="shared" si="907"/>
        <v>0.54406510581235845</v>
      </c>
      <c r="AE447" s="847">
        <f t="shared" si="907"/>
        <v>0.50570484934018112</v>
      </c>
      <c r="AF447" s="847">
        <f t="shared" si="907"/>
        <v>0.51559066535004927</v>
      </c>
      <c r="AG447" s="889">
        <f t="shared" si="907"/>
        <v>0.50336985648678678</v>
      </c>
      <c r="AH447" s="847">
        <f t="shared" si="907"/>
        <v>0.46334954229777936</v>
      </c>
      <c r="AI447" s="847">
        <f t="shared" si="907"/>
        <v>0.48374048911257994</v>
      </c>
      <c r="AJ447" s="847">
        <f t="shared" si="907"/>
        <v>0.51801819345147027</v>
      </c>
      <c r="AK447" s="847">
        <f t="shared" si="907"/>
        <v>0.54394001089364941</v>
      </c>
      <c r="AL447" s="889">
        <f t="shared" si="907"/>
        <v>0.50486267898301684</v>
      </c>
      <c r="AM447" s="847">
        <v>0.4</v>
      </c>
      <c r="AN447" s="847">
        <v>0.53</v>
      </c>
      <c r="AO447" s="847">
        <v>0.41</v>
      </c>
      <c r="AP447" s="847">
        <v>0.42</v>
      </c>
      <c r="AQ447" s="889">
        <f>+AQ446/AQ436</f>
        <v>0.43805672294342529</v>
      </c>
      <c r="AR447" s="847">
        <v>0.45</v>
      </c>
      <c r="AS447" s="847">
        <v>0.4</v>
      </c>
      <c r="AT447" s="847">
        <v>0.5</v>
      </c>
      <c r="AU447" s="847">
        <v>0.4</v>
      </c>
      <c r="AV447" s="889">
        <f>+AV446/AV436</f>
        <v>0.434023178807947</v>
      </c>
      <c r="AW447" s="847">
        <v>0.62</v>
      </c>
      <c r="AX447" s="847">
        <v>0.56000000000000005</v>
      </c>
      <c r="AY447" s="847">
        <v>0.38500000000000001</v>
      </c>
      <c r="AZ447" s="847">
        <v>0.44</v>
      </c>
      <c r="BA447" s="889">
        <f>+BA446/BA436</f>
        <v>0.49419072164948452</v>
      </c>
      <c r="BB447" s="847">
        <v>0.8</v>
      </c>
      <c r="BC447" s="847">
        <v>0.5</v>
      </c>
      <c r="BD447" s="847">
        <v>0.5</v>
      </c>
      <c r="BE447" s="847">
        <v>0.5</v>
      </c>
      <c r="BF447" s="889">
        <f>+BF446/BF436</f>
        <v>0.55952380952380953</v>
      </c>
      <c r="BG447" s="847">
        <f>BE447</f>
        <v>0.5</v>
      </c>
      <c r="BH447" s="847">
        <f>BG447</f>
        <v>0.5</v>
      </c>
      <c r="BI447" s="847">
        <f>BH447</f>
        <v>0.5</v>
      </c>
      <c r="BJ447" s="847">
        <f>BI447</f>
        <v>0.5</v>
      </c>
      <c r="BK447" s="889">
        <f>+BK446/BK436</f>
        <v>0.5</v>
      </c>
      <c r="BL447" s="847">
        <v>0.35</v>
      </c>
      <c r="BM447" s="847">
        <v>0.35</v>
      </c>
      <c r="BN447" s="847">
        <v>0.35</v>
      </c>
      <c r="BO447" s="847">
        <v>0.35</v>
      </c>
      <c r="BP447" s="889">
        <f>+BP446/BP436</f>
        <v>0.35</v>
      </c>
      <c r="BQ447" s="847">
        <v>0</v>
      </c>
      <c r="BR447" s="847">
        <f>BQ447</f>
        <v>0</v>
      </c>
      <c r="BS447" s="847">
        <f>BR447</f>
        <v>0</v>
      </c>
      <c r="BT447" s="847">
        <f>BS447</f>
        <v>0</v>
      </c>
      <c r="BU447" s="889"/>
      <c r="BV447" s="847"/>
      <c r="BW447" s="847"/>
      <c r="BX447" s="847"/>
      <c r="BY447" s="847"/>
      <c r="BZ447" s="889"/>
      <c r="CA447" s="889"/>
      <c r="CB447" s="889"/>
      <c r="CC447" s="889"/>
      <c r="CD447" s="889"/>
      <c r="CE447" s="889"/>
      <c r="CF447" s="889"/>
      <c r="CG447" s="889"/>
      <c r="CH447" s="889"/>
      <c r="CI447" s="889"/>
      <c r="CJ447" s="889"/>
      <c r="CK447" s="889"/>
      <c r="CL447" s="889"/>
      <c r="CM447" s="889"/>
      <c r="CN447" s="889"/>
      <c r="CO447" s="889"/>
      <c r="CP447" s="889"/>
      <c r="CQ447" s="889"/>
      <c r="CR447" s="889"/>
      <c r="CS447" s="889"/>
      <c r="CT447" s="889"/>
      <c r="CU447" s="889"/>
      <c r="CV447" s="889"/>
      <c r="CW447" s="889"/>
      <c r="CX447" s="889"/>
      <c r="CY447" s="889"/>
      <c r="CZ447" s="889"/>
      <c r="DA447" s="889"/>
      <c r="DB447"/>
      <c r="DC447"/>
      <c r="DD447" s="2323" t="s">
        <v>2082</v>
      </c>
      <c r="DE447" s="2349">
        <f t="shared" si="886"/>
        <v>0.50745064742092971</v>
      </c>
      <c r="DF447" s="2349">
        <f t="shared" si="887"/>
        <v>0.54963362250484293</v>
      </c>
      <c r="DG447" s="2349">
        <f t="shared" si="888"/>
        <v>0.5675382566469348</v>
      </c>
      <c r="DH447" s="2349">
        <f t="shared" si="889"/>
        <v>0.55151687413059969</v>
      </c>
      <c r="DI447" s="2349">
        <f t="shared" si="890"/>
        <v>0.50336985648678678</v>
      </c>
      <c r="DJ447" s="2349">
        <f t="shared" si="891"/>
        <v>0.50486267898301684</v>
      </c>
      <c r="DK447" s="2349">
        <f t="shared" si="892"/>
        <v>0.43805672294342529</v>
      </c>
      <c r="DL447" s="2349">
        <f t="shared" si="893"/>
        <v>0.434023178807947</v>
      </c>
      <c r="DM447" s="2349">
        <f t="shared" si="894"/>
        <v>0.49419072164948452</v>
      </c>
      <c r="DN447" s="2349">
        <f t="shared" si="895"/>
        <v>0.55952380952380953</v>
      </c>
      <c r="DO447" s="2349">
        <f t="shared" si="896"/>
        <v>0.5</v>
      </c>
      <c r="DP447" s="2349">
        <f t="shared" si="897"/>
        <v>0.35</v>
      </c>
      <c r="DQ447" s="2349">
        <f t="shared" si="898"/>
        <v>0</v>
      </c>
      <c r="DR447" s="2349">
        <f t="shared" si="899"/>
        <v>0</v>
      </c>
      <c r="DS447" s="2349">
        <f t="shared" si="900"/>
        <v>0</v>
      </c>
      <c r="DT447" s="2349">
        <f t="shared" si="901"/>
        <v>0</v>
      </c>
      <c r="DU447" s="2349">
        <f t="shared" si="902"/>
        <v>0</v>
      </c>
      <c r="DV447" s="2349">
        <f t="shared" si="903"/>
        <v>0</v>
      </c>
      <c r="DW447" s="2349">
        <f t="shared" si="904"/>
        <v>0</v>
      </c>
      <c r="DX447" s="2349">
        <f t="shared" si="905"/>
        <v>0</v>
      </c>
      <c r="DY447" s="2349">
        <f t="shared" si="906"/>
        <v>0</v>
      </c>
      <c r="EA447"/>
      <c r="EB447"/>
      <c r="EC447"/>
      <c r="ED447"/>
      <c r="EE447"/>
      <c r="EF447"/>
      <c r="EJ447"/>
      <c r="EK447"/>
      <c r="EL447"/>
      <c r="ER447" s="212"/>
    </row>
    <row r="448" spans="1:148" s="923" customFormat="1" ht="12.75" hidden="1" customHeight="1" outlineLevel="1" x14ac:dyDescent="0.2">
      <c r="A448" s="865" t="s">
        <v>2084</v>
      </c>
      <c r="B448" s="847"/>
      <c r="C448" s="847"/>
      <c r="D448" s="847"/>
      <c r="E448" s="847"/>
      <c r="F448" s="847"/>
      <c r="G448" s="847"/>
      <c r="H448" s="847"/>
      <c r="I448" s="847"/>
      <c r="J448" s="847"/>
      <c r="K448" s="847"/>
      <c r="L448" s="847"/>
      <c r="M448" s="847"/>
      <c r="N448" s="847"/>
      <c r="O448" s="847"/>
      <c r="P448" s="847"/>
      <c r="Q448" s="847"/>
      <c r="R448" s="847"/>
      <c r="S448" s="847"/>
      <c r="T448" s="847"/>
      <c r="U448" s="847"/>
      <c r="V448" s="847"/>
      <c r="W448" s="847">
        <v>17</v>
      </c>
      <c r="X448" s="847"/>
      <c r="Y448" s="847"/>
      <c r="Z448" s="847"/>
      <c r="AA448" s="847"/>
      <c r="AB448" s="847">
        <v>21</v>
      </c>
      <c r="AC448" s="847"/>
      <c r="AD448" s="847"/>
      <c r="AE448" s="847"/>
      <c r="AF448" s="847"/>
      <c r="AG448" s="847">
        <v>21</v>
      </c>
      <c r="AH448" s="847">
        <f>+$AL$448/$AL$438*AH438</f>
        <v>5.8316100443131464</v>
      </c>
      <c r="AI448" s="847">
        <f>+$AL$448/$AL$438*AI438</f>
        <v>5.8670605612998523</v>
      </c>
      <c r="AJ448" s="847">
        <f>+$AL$448/$AL$438*AJ438</f>
        <v>6.0709010339734126</v>
      </c>
      <c r="AK448" s="847">
        <f>+$AL$448/$AL$438*AK438</f>
        <v>6.2304283604135904</v>
      </c>
      <c r="AL448" s="847">
        <v>24</v>
      </c>
      <c r="AM448" s="847">
        <f>+$AQ$448/$AQ$438*AM438</f>
        <v>4.2446808510638299</v>
      </c>
      <c r="AN448" s="847">
        <f>+$AQ$448/$AQ$438*AN438</f>
        <v>2.6808510638297873</v>
      </c>
      <c r="AO448" s="847">
        <f>+$AQ$448/$AQ$438*AO438</f>
        <v>7.3723404255319149</v>
      </c>
      <c r="AP448" s="847">
        <f>+$AQ$448/$AQ$438*AP438</f>
        <v>6.7021276595744679</v>
      </c>
      <c r="AQ448" s="847">
        <v>21</v>
      </c>
      <c r="AR448" s="847">
        <f>+$AV$448/$AV$438*AR438</f>
        <v>4.8421052631578947</v>
      </c>
      <c r="AS448" s="847">
        <f>+$AV$448/$AV$438*AS438</f>
        <v>5.0526315789473681</v>
      </c>
      <c r="AT448" s="847">
        <f>+$AV$448/$AV$438*AT438</f>
        <v>5.8947368421052628</v>
      </c>
      <c r="AU448" s="847">
        <f>+$AV$448/$AV$438*AU438</f>
        <v>8.2105263157894726</v>
      </c>
      <c r="AV448" s="847">
        <v>24</v>
      </c>
      <c r="AW448" s="847">
        <f>AW449*AW438</f>
        <v>5.67</v>
      </c>
      <c r="AX448" s="847">
        <f>AX449*AX438</f>
        <v>4.41</v>
      </c>
      <c r="AY448" s="847">
        <f>AY449*AY438</f>
        <v>6.51</v>
      </c>
      <c r="AZ448" s="847">
        <f>AZ449*AZ438</f>
        <v>9.0299999999999994</v>
      </c>
      <c r="BA448" s="847">
        <f>SUM(AW448:AZ448)</f>
        <v>25.619999999999997</v>
      </c>
      <c r="BB448" s="847">
        <f>BB449*BB438</f>
        <v>6.5</v>
      </c>
      <c r="BC448" s="847">
        <f>BC449*BC438</f>
        <v>6.5</v>
      </c>
      <c r="BD448" s="847">
        <f>BD449*BD438</f>
        <v>6</v>
      </c>
      <c r="BE448" s="847">
        <f>BE449*BE438</f>
        <v>18.5</v>
      </c>
      <c r="BF448" s="847">
        <f>SUM(BB448:BE448)</f>
        <v>37.5</v>
      </c>
      <c r="BG448" s="847">
        <f>BG449*BG438</f>
        <v>11.25</v>
      </c>
      <c r="BH448" s="847">
        <f>BH449*BH438</f>
        <v>10.75</v>
      </c>
      <c r="BI448" s="847">
        <f>BI449*BI438</f>
        <v>10.25</v>
      </c>
      <c r="BJ448" s="847">
        <f>BJ449*BJ438</f>
        <v>14.5</v>
      </c>
      <c r="BK448" s="847">
        <f>SUM(BG448:BJ448)</f>
        <v>46.75</v>
      </c>
      <c r="BL448" s="847">
        <f>BL449*BL438</f>
        <v>23.4</v>
      </c>
      <c r="BM448" s="847">
        <f>BM449*BM438</f>
        <v>20.350000000000001</v>
      </c>
      <c r="BN448" s="847">
        <f>BN449*BN438</f>
        <v>22.2</v>
      </c>
      <c r="BO448" s="847">
        <f>BO449*BO438</f>
        <v>31.505760000000002</v>
      </c>
      <c r="BP448" s="847">
        <f>SUM(BL448:BO448)</f>
        <v>97.455759999999998</v>
      </c>
      <c r="BQ448" s="847">
        <f>BQ449*BQ438</f>
        <v>0</v>
      </c>
      <c r="BR448" s="847">
        <f>BR449*BR438</f>
        <v>0</v>
      </c>
      <c r="BS448" s="847">
        <f>BS449*BS438</f>
        <v>0</v>
      </c>
      <c r="BT448" s="847">
        <f>BT449*BT438</f>
        <v>0</v>
      </c>
      <c r="BU448" s="847">
        <f>SUM(BQ448:BT448)</f>
        <v>0</v>
      </c>
      <c r="BV448" s="847"/>
      <c r="BW448" s="847"/>
      <c r="BX448" s="847"/>
      <c r="BY448" s="847"/>
      <c r="BZ448" s="847"/>
      <c r="CA448" s="847"/>
      <c r="CB448" s="847"/>
      <c r="CC448" s="847"/>
      <c r="CD448" s="847"/>
      <c r="CE448" s="847"/>
      <c r="CF448" s="847"/>
      <c r="CG448" s="847"/>
      <c r="CH448" s="847"/>
      <c r="CI448" s="847"/>
      <c r="CJ448" s="847"/>
      <c r="CK448" s="847"/>
      <c r="CL448" s="847"/>
      <c r="CM448" s="847"/>
      <c r="CN448" s="847"/>
      <c r="CO448" s="847"/>
      <c r="CP448" s="847"/>
      <c r="CQ448" s="847"/>
      <c r="CR448" s="847"/>
      <c r="CS448" s="847"/>
      <c r="CT448" s="847"/>
      <c r="CU448" s="847"/>
      <c r="CV448" s="847"/>
      <c r="CW448" s="847"/>
      <c r="CX448" s="847"/>
      <c r="CY448" s="847"/>
      <c r="CZ448" s="847"/>
      <c r="DA448" s="847"/>
      <c r="DB448"/>
      <c r="DC448"/>
      <c r="DD448" s="2323" t="s">
        <v>2084</v>
      </c>
      <c r="DE448" s="2349">
        <f t="shared" si="886"/>
        <v>0</v>
      </c>
      <c r="DF448" s="2349">
        <f t="shared" si="887"/>
        <v>0</v>
      </c>
      <c r="DG448" s="2349">
        <f t="shared" si="888"/>
        <v>17</v>
      </c>
      <c r="DH448" s="2349">
        <f t="shared" si="889"/>
        <v>21</v>
      </c>
      <c r="DI448" s="2349">
        <f t="shared" si="890"/>
        <v>21</v>
      </c>
      <c r="DJ448" s="2349">
        <f t="shared" si="891"/>
        <v>24</v>
      </c>
      <c r="DK448" s="2349">
        <f t="shared" si="892"/>
        <v>21</v>
      </c>
      <c r="DL448" s="2349">
        <f t="shared" si="893"/>
        <v>24</v>
      </c>
      <c r="DM448" s="2349">
        <f t="shared" si="894"/>
        <v>25.619999999999997</v>
      </c>
      <c r="DN448" s="2349">
        <f t="shared" si="895"/>
        <v>37.5</v>
      </c>
      <c r="DO448" s="2349">
        <f t="shared" si="896"/>
        <v>46.75</v>
      </c>
      <c r="DP448" s="2349">
        <f t="shared" si="897"/>
        <v>97.455759999999998</v>
      </c>
      <c r="DQ448" s="2349">
        <f t="shared" si="898"/>
        <v>0</v>
      </c>
      <c r="DR448" s="2349">
        <f t="shared" si="899"/>
        <v>0</v>
      </c>
      <c r="DS448" s="2349">
        <f t="shared" si="900"/>
        <v>0</v>
      </c>
      <c r="DT448" s="2349">
        <f t="shared" si="901"/>
        <v>0</v>
      </c>
      <c r="DU448" s="2349">
        <f t="shared" si="902"/>
        <v>0</v>
      </c>
      <c r="DV448" s="2349">
        <f t="shared" si="903"/>
        <v>0</v>
      </c>
      <c r="DW448" s="2349">
        <f t="shared" si="904"/>
        <v>0</v>
      </c>
      <c r="DX448" s="2349">
        <f t="shared" si="905"/>
        <v>0</v>
      </c>
      <c r="DY448" s="2349">
        <f t="shared" si="906"/>
        <v>0</v>
      </c>
      <c r="EA448"/>
      <c r="EB448"/>
      <c r="EC448"/>
      <c r="ED448"/>
      <c r="EE448"/>
      <c r="EF448"/>
      <c r="EJ448"/>
      <c r="EK448"/>
      <c r="EL448"/>
      <c r="ER448" s="212"/>
    </row>
    <row r="449" spans="1:148" s="923" customFormat="1" ht="12.75" hidden="1" customHeight="1" outlineLevel="1" x14ac:dyDescent="0.2">
      <c r="A449" s="865" t="s">
        <v>2085</v>
      </c>
      <c r="B449" s="847"/>
      <c r="C449" s="847"/>
      <c r="D449" s="847"/>
      <c r="E449" s="847"/>
      <c r="F449" s="847"/>
      <c r="G449" s="847"/>
      <c r="H449" s="847"/>
      <c r="I449" s="847"/>
      <c r="J449" s="847"/>
      <c r="K449" s="847"/>
      <c r="L449" s="847"/>
      <c r="M449" s="889"/>
      <c r="N449" s="847"/>
      <c r="O449" s="847"/>
      <c r="P449" s="847"/>
      <c r="Q449" s="847"/>
      <c r="R449" s="889"/>
      <c r="S449" s="847"/>
      <c r="T449" s="847"/>
      <c r="U449" s="847"/>
      <c r="V449" s="847"/>
      <c r="W449" s="889"/>
      <c r="X449" s="847"/>
      <c r="Y449" s="847"/>
      <c r="Z449" s="847"/>
      <c r="AA449" s="847"/>
      <c r="AB449" s="889"/>
      <c r="AC449" s="847"/>
      <c r="AD449" s="847"/>
      <c r="AE449" s="847"/>
      <c r="AF449" s="847"/>
      <c r="AG449" s="889"/>
      <c r="AH449" s="847">
        <f t="shared" ref="AH449:AV449" si="908">+AH448/AH438</f>
        <v>0.34087035564140439</v>
      </c>
      <c r="AI449" s="847">
        <f t="shared" si="908"/>
        <v>0.34087035564140439</v>
      </c>
      <c r="AJ449" s="847">
        <f t="shared" si="908"/>
        <v>0.34087035564140439</v>
      </c>
      <c r="AK449" s="847">
        <f t="shared" si="908"/>
        <v>0.34087035564140439</v>
      </c>
      <c r="AL449" s="889">
        <f t="shared" si="908"/>
        <v>0.34087035564140439</v>
      </c>
      <c r="AM449" s="847">
        <f t="shared" si="908"/>
        <v>0.22340425531914895</v>
      </c>
      <c r="AN449" s="847">
        <f t="shared" si="908"/>
        <v>0.22340425531914895</v>
      </c>
      <c r="AO449" s="847">
        <f t="shared" si="908"/>
        <v>0.22340425531914893</v>
      </c>
      <c r="AP449" s="847">
        <f t="shared" si="908"/>
        <v>0.22340425531914893</v>
      </c>
      <c r="AQ449" s="889">
        <f t="shared" si="908"/>
        <v>0.22340425531914893</v>
      </c>
      <c r="AR449" s="847">
        <f t="shared" si="908"/>
        <v>0.21052631578947367</v>
      </c>
      <c r="AS449" s="847">
        <f t="shared" si="908"/>
        <v>0.21052631578947367</v>
      </c>
      <c r="AT449" s="847">
        <f t="shared" si="908"/>
        <v>0.21052631578947367</v>
      </c>
      <c r="AU449" s="847">
        <f t="shared" si="908"/>
        <v>0.21052631578947364</v>
      </c>
      <c r="AV449" s="889">
        <f t="shared" si="908"/>
        <v>0.21052631578947367</v>
      </c>
      <c r="AW449" s="847">
        <v>0.21</v>
      </c>
      <c r="AX449" s="847">
        <f>AW449</f>
        <v>0.21</v>
      </c>
      <c r="AY449" s="847">
        <f>AX449</f>
        <v>0.21</v>
      </c>
      <c r="AZ449" s="847">
        <f>AY449</f>
        <v>0.21</v>
      </c>
      <c r="BA449" s="889">
        <f>+BA448/BA438</f>
        <v>0.21</v>
      </c>
      <c r="BB449" s="847">
        <v>0.25</v>
      </c>
      <c r="BC449" s="847">
        <f>BB449</f>
        <v>0.25</v>
      </c>
      <c r="BD449" s="847">
        <f>BC449</f>
        <v>0.25</v>
      </c>
      <c r="BE449" s="847">
        <f>BD449</f>
        <v>0.25</v>
      </c>
      <c r="BF449" s="889">
        <f>+BF448/BF438</f>
        <v>0.25</v>
      </c>
      <c r="BG449" s="847">
        <v>0.25</v>
      </c>
      <c r="BH449" s="847">
        <f>BG449</f>
        <v>0.25</v>
      </c>
      <c r="BI449" s="847">
        <f>BH449</f>
        <v>0.25</v>
      </c>
      <c r="BJ449" s="847">
        <f>BI449</f>
        <v>0.25</v>
      </c>
      <c r="BK449" s="889">
        <f>+BK448/BK438</f>
        <v>0.25</v>
      </c>
      <c r="BL449" s="847">
        <v>0.6</v>
      </c>
      <c r="BM449" s="847">
        <v>0.55000000000000004</v>
      </c>
      <c r="BN449" s="847">
        <v>0.6</v>
      </c>
      <c r="BO449" s="847">
        <v>0.55000000000000004</v>
      </c>
      <c r="BP449" s="889">
        <f>+BP448/BP438</f>
        <v>0.5723157657361384</v>
      </c>
      <c r="BQ449" s="847">
        <v>0</v>
      </c>
      <c r="BR449" s="847">
        <f>BQ449</f>
        <v>0</v>
      </c>
      <c r="BS449" s="847">
        <f>BR449</f>
        <v>0</v>
      </c>
      <c r="BT449" s="847">
        <f>BS449</f>
        <v>0</v>
      </c>
      <c r="BU449" s="889"/>
      <c r="BV449" s="847"/>
      <c r="BW449" s="847"/>
      <c r="BX449" s="847"/>
      <c r="BY449" s="847"/>
      <c r="BZ449" s="889"/>
      <c r="CA449" s="889"/>
      <c r="CB449" s="889"/>
      <c r="CC449" s="889"/>
      <c r="CD449" s="889"/>
      <c r="CE449" s="889"/>
      <c r="CF449" s="889"/>
      <c r="CG449" s="889"/>
      <c r="CH449" s="889"/>
      <c r="CI449" s="889"/>
      <c r="CJ449" s="889"/>
      <c r="CK449" s="889"/>
      <c r="CL449" s="889"/>
      <c r="CM449" s="889"/>
      <c r="CN449" s="889"/>
      <c r="CO449" s="889"/>
      <c r="CP449" s="889"/>
      <c r="CQ449" s="889"/>
      <c r="CR449" s="889"/>
      <c r="CS449" s="889"/>
      <c r="CT449" s="889"/>
      <c r="CU449" s="889"/>
      <c r="CV449" s="889"/>
      <c r="CW449" s="889"/>
      <c r="CX449" s="889"/>
      <c r="CY449" s="889"/>
      <c r="CZ449" s="889"/>
      <c r="DA449" s="889"/>
      <c r="DB449"/>
      <c r="DC449"/>
      <c r="DD449" s="2323" t="s">
        <v>2085</v>
      </c>
      <c r="DE449" s="2349">
        <f t="shared" si="886"/>
        <v>0</v>
      </c>
      <c r="DF449" s="2349">
        <f t="shared" si="887"/>
        <v>0</v>
      </c>
      <c r="DG449" s="2349">
        <f t="shared" si="888"/>
        <v>0</v>
      </c>
      <c r="DH449" s="2349">
        <f t="shared" si="889"/>
        <v>0</v>
      </c>
      <c r="DI449" s="2349">
        <f t="shared" si="890"/>
        <v>0</v>
      </c>
      <c r="DJ449" s="2349">
        <f t="shared" si="891"/>
        <v>0.34087035564140439</v>
      </c>
      <c r="DK449" s="2349">
        <f t="shared" si="892"/>
        <v>0.22340425531914893</v>
      </c>
      <c r="DL449" s="2349">
        <f t="shared" si="893"/>
        <v>0.21052631578947367</v>
      </c>
      <c r="DM449" s="2349">
        <f t="shared" si="894"/>
        <v>0.21</v>
      </c>
      <c r="DN449" s="2349">
        <f t="shared" si="895"/>
        <v>0.25</v>
      </c>
      <c r="DO449" s="2349">
        <f t="shared" si="896"/>
        <v>0.25</v>
      </c>
      <c r="DP449" s="2349">
        <f t="shared" si="897"/>
        <v>0.5723157657361384</v>
      </c>
      <c r="DQ449" s="2349">
        <f t="shared" si="898"/>
        <v>0</v>
      </c>
      <c r="DR449" s="2349">
        <f t="shared" si="899"/>
        <v>0</v>
      </c>
      <c r="DS449" s="2349">
        <f t="shared" si="900"/>
        <v>0</v>
      </c>
      <c r="DT449" s="2349">
        <f t="shared" si="901"/>
        <v>0</v>
      </c>
      <c r="DU449" s="2349">
        <f t="shared" si="902"/>
        <v>0</v>
      </c>
      <c r="DV449" s="2349">
        <f t="shared" si="903"/>
        <v>0</v>
      </c>
      <c r="DW449" s="2349">
        <f t="shared" si="904"/>
        <v>0</v>
      </c>
      <c r="DX449" s="2349">
        <f t="shared" si="905"/>
        <v>0</v>
      </c>
      <c r="DY449" s="2349">
        <f t="shared" si="906"/>
        <v>0</v>
      </c>
      <c r="EA449"/>
      <c r="EB449"/>
      <c r="EC449"/>
      <c r="ED449"/>
      <c r="EE449"/>
      <c r="EF449"/>
      <c r="EJ449"/>
      <c r="EK449"/>
      <c r="EL449"/>
      <c r="ER449" s="212"/>
    </row>
    <row r="450" spans="1:148" s="923" customFormat="1" ht="12.75" hidden="1" customHeight="1" outlineLevel="1" x14ac:dyDescent="0.2">
      <c r="A450" s="865" t="s">
        <v>2086</v>
      </c>
      <c r="B450" s="847"/>
      <c r="C450" s="847"/>
      <c r="D450" s="847"/>
      <c r="E450" s="847"/>
      <c r="F450" s="847"/>
      <c r="G450" s="847"/>
      <c r="H450" s="847"/>
      <c r="I450" s="847"/>
      <c r="J450" s="847"/>
      <c r="K450" s="847"/>
      <c r="L450" s="847"/>
      <c r="M450" s="847"/>
      <c r="N450" s="847"/>
      <c r="O450" s="847"/>
      <c r="P450" s="847"/>
      <c r="Q450" s="847"/>
      <c r="R450" s="847"/>
      <c r="S450" s="847"/>
      <c r="T450" s="847"/>
      <c r="U450" s="847"/>
      <c r="V450" s="847"/>
      <c r="W450" s="847"/>
      <c r="X450" s="847"/>
      <c r="Y450" s="847"/>
      <c r="Z450" s="847"/>
      <c r="AA450" s="847"/>
      <c r="AB450" s="847"/>
      <c r="AC450" s="847"/>
      <c r="AD450" s="847"/>
      <c r="AE450" s="847"/>
      <c r="AF450" s="847"/>
      <c r="AG450" s="847"/>
      <c r="AH450" s="847"/>
      <c r="AI450" s="847"/>
      <c r="AJ450" s="847"/>
      <c r="AK450" s="847"/>
      <c r="AL450" s="847"/>
      <c r="AM450" s="847">
        <f>+$AQ$450/$AQ$439*AM439</f>
        <v>0</v>
      </c>
      <c r="AN450" s="847">
        <f>+$AQ$450/$AQ$439*AN439</f>
        <v>10.909090909090908</v>
      </c>
      <c r="AO450" s="847">
        <f>+$AQ$450/$AQ$439*AO439</f>
        <v>0</v>
      </c>
      <c r="AP450" s="847">
        <f>+$AQ$450/$AQ$439*AP439</f>
        <v>10.09090909090909</v>
      </c>
      <c r="AQ450" s="847">
        <f>-129+AQ438+AQ439-AQ448</f>
        <v>21</v>
      </c>
      <c r="AR450" s="847">
        <f>+$AV$450/$AV$439*AR439</f>
        <v>0</v>
      </c>
      <c r="AS450" s="847">
        <f>+$AV$450/$AV$439*AS439</f>
        <v>17.222222222222221</v>
      </c>
      <c r="AT450" s="847">
        <f>+$AV$450/$AV$439*AT439</f>
        <v>0</v>
      </c>
      <c r="AU450" s="847">
        <f>+AV$450/AV$439*AU439</f>
        <v>13.777777777777777</v>
      </c>
      <c r="AV450" s="847">
        <f>-140+AV438+AV439-AV448</f>
        <v>31</v>
      </c>
      <c r="AW450" s="847">
        <f>AW439*AW451</f>
        <v>0</v>
      </c>
      <c r="AX450" s="847">
        <f>AX439*AX451</f>
        <v>10.64</v>
      </c>
      <c r="AY450" s="847">
        <f>AY439*AY451</f>
        <v>0</v>
      </c>
      <c r="AZ450" s="847">
        <f>AZ439*AZ451</f>
        <v>0</v>
      </c>
      <c r="BA450" s="847">
        <f>SUM(AW450:AZ450)</f>
        <v>10.64</v>
      </c>
      <c r="BB450" s="847">
        <f>BB439*BB451</f>
        <v>0</v>
      </c>
      <c r="BC450" s="847">
        <f>BC439*BC451</f>
        <v>0</v>
      </c>
      <c r="BD450" s="847">
        <f>BD439*BD451</f>
        <v>0</v>
      </c>
      <c r="BE450" s="847">
        <f>BE439*BE451</f>
        <v>0</v>
      </c>
      <c r="BF450" s="847">
        <f>SUM(BB450:BE450)</f>
        <v>0</v>
      </c>
      <c r="BG450" s="847">
        <f>BG439*BG451</f>
        <v>0</v>
      </c>
      <c r="BH450" s="847">
        <f>BH439*BH451</f>
        <v>0</v>
      </c>
      <c r="BI450" s="847">
        <f>BI439*BI451</f>
        <v>0</v>
      </c>
      <c r="BJ450" s="847">
        <f>BJ439*BJ451</f>
        <v>0</v>
      </c>
      <c r="BK450" s="847">
        <f>SUM(BG450:BJ450)</f>
        <v>0</v>
      </c>
      <c r="BL450" s="847">
        <f>BL439*BL451</f>
        <v>0</v>
      </c>
      <c r="BM450" s="847">
        <f>BM439*BM451</f>
        <v>0</v>
      </c>
      <c r="BN450" s="847">
        <f>BN439*BN451</f>
        <v>0</v>
      </c>
      <c r="BO450" s="847">
        <f>BO439*BO451</f>
        <v>24.299100000000003</v>
      </c>
      <c r="BP450" s="847">
        <f>SUM(BL450:BO450)</f>
        <v>24.299100000000003</v>
      </c>
      <c r="BQ450" s="847">
        <f>BQ439*BQ451</f>
        <v>0</v>
      </c>
      <c r="BR450" s="847">
        <f>BR439*BR451</f>
        <v>0</v>
      </c>
      <c r="BS450" s="847">
        <f>BS439*BS451</f>
        <v>0</v>
      </c>
      <c r="BT450" s="847">
        <f>BT439*BT451</f>
        <v>0</v>
      </c>
      <c r="BU450" s="847">
        <f>SUM(BQ450:BT450)</f>
        <v>0</v>
      </c>
      <c r="BV450" s="847"/>
      <c r="BW450" s="847"/>
      <c r="BX450" s="847"/>
      <c r="BY450" s="847"/>
      <c r="BZ450" s="847"/>
      <c r="CA450" s="847"/>
      <c r="CB450" s="847"/>
      <c r="CC450" s="847"/>
      <c r="CD450" s="847"/>
      <c r="CE450" s="847"/>
      <c r="CF450" s="847"/>
      <c r="CG450" s="847"/>
      <c r="CH450" s="847"/>
      <c r="CI450" s="847"/>
      <c r="CJ450" s="847"/>
      <c r="CK450" s="847"/>
      <c r="CL450" s="847"/>
      <c r="CM450" s="847"/>
      <c r="CN450" s="847"/>
      <c r="CO450" s="847"/>
      <c r="CP450" s="847"/>
      <c r="CQ450" s="847"/>
      <c r="CR450" s="847"/>
      <c r="CS450" s="847"/>
      <c r="CT450" s="847"/>
      <c r="CU450" s="847"/>
      <c r="CV450" s="847"/>
      <c r="CW450" s="847"/>
      <c r="CX450" s="847"/>
      <c r="CY450" s="847"/>
      <c r="CZ450" s="847"/>
      <c r="DA450" s="847"/>
      <c r="DB450"/>
      <c r="DC450"/>
      <c r="DD450" s="2323" t="s">
        <v>2086</v>
      </c>
      <c r="DE450" s="2349">
        <f t="shared" si="886"/>
        <v>0</v>
      </c>
      <c r="DF450" s="2349">
        <f t="shared" si="887"/>
        <v>0</v>
      </c>
      <c r="DG450" s="2349">
        <f t="shared" si="888"/>
        <v>0</v>
      </c>
      <c r="DH450" s="2349">
        <f t="shared" si="889"/>
        <v>0</v>
      </c>
      <c r="DI450" s="2349">
        <f t="shared" si="890"/>
        <v>0</v>
      </c>
      <c r="DJ450" s="2349">
        <f t="shared" si="891"/>
        <v>0</v>
      </c>
      <c r="DK450" s="2349">
        <f t="shared" si="892"/>
        <v>21</v>
      </c>
      <c r="DL450" s="2349">
        <f t="shared" si="893"/>
        <v>31</v>
      </c>
      <c r="DM450" s="2349">
        <f t="shared" si="894"/>
        <v>10.64</v>
      </c>
      <c r="DN450" s="2349">
        <f t="shared" si="895"/>
        <v>0</v>
      </c>
      <c r="DO450" s="2349">
        <f t="shared" si="896"/>
        <v>0</v>
      </c>
      <c r="DP450" s="2349">
        <f t="shared" si="897"/>
        <v>24.299100000000003</v>
      </c>
      <c r="DQ450" s="2349">
        <f t="shared" si="898"/>
        <v>0</v>
      </c>
      <c r="DR450" s="2349">
        <f t="shared" si="899"/>
        <v>0</v>
      </c>
      <c r="DS450" s="2349">
        <f t="shared" si="900"/>
        <v>0</v>
      </c>
      <c r="DT450" s="2349">
        <f t="shared" si="901"/>
        <v>0</v>
      </c>
      <c r="DU450" s="2349">
        <f t="shared" si="902"/>
        <v>0</v>
      </c>
      <c r="DV450" s="2349">
        <f t="shared" si="903"/>
        <v>0</v>
      </c>
      <c r="DW450" s="2349">
        <f t="shared" si="904"/>
        <v>0</v>
      </c>
      <c r="DX450" s="2349">
        <f t="shared" si="905"/>
        <v>0</v>
      </c>
      <c r="DY450" s="2349">
        <f t="shared" si="906"/>
        <v>0</v>
      </c>
      <c r="EA450"/>
      <c r="EB450"/>
      <c r="EC450"/>
      <c r="ED450"/>
      <c r="EE450"/>
      <c r="EF450"/>
      <c r="EJ450"/>
      <c r="EK450"/>
      <c r="EL450"/>
      <c r="ER450" s="212"/>
    </row>
    <row r="451" spans="1:148" s="923" customFormat="1" ht="12.75" hidden="1" customHeight="1" outlineLevel="1" x14ac:dyDescent="0.2">
      <c r="A451" s="865" t="s">
        <v>2087</v>
      </c>
      <c r="B451" s="889"/>
      <c r="C451" s="889"/>
      <c r="D451" s="889"/>
      <c r="E451" s="889"/>
      <c r="F451" s="889"/>
      <c r="G451" s="889"/>
      <c r="H451" s="889"/>
      <c r="I451" s="889"/>
      <c r="J451" s="889"/>
      <c r="K451" s="889"/>
      <c r="L451" s="889"/>
      <c r="M451" s="889"/>
      <c r="N451" s="889"/>
      <c r="O451" s="889"/>
      <c r="P451" s="889"/>
      <c r="Q451" s="889"/>
      <c r="R451" s="889"/>
      <c r="S451" s="889"/>
      <c r="T451" s="889"/>
      <c r="U451" s="889"/>
      <c r="V451" s="889"/>
      <c r="W451" s="889"/>
      <c r="X451" s="889"/>
      <c r="Y451" s="889"/>
      <c r="Z451" s="889"/>
      <c r="AA451" s="889"/>
      <c r="AB451" s="889"/>
      <c r="AC451" s="889"/>
      <c r="AD451" s="889"/>
      <c r="AE451" s="889"/>
      <c r="AF451" s="889"/>
      <c r="AG451" s="889"/>
      <c r="AH451" s="889"/>
      <c r="AI451" s="889"/>
      <c r="AJ451" s="889"/>
      <c r="AK451" s="889"/>
      <c r="AL451" s="889"/>
      <c r="AM451" s="889"/>
      <c r="AN451" s="889">
        <f>+AN450/AN439</f>
        <v>0.27272727272727271</v>
      </c>
      <c r="AO451" s="889"/>
      <c r="AP451" s="889">
        <f>+AP450/AP439</f>
        <v>0.27272727272727271</v>
      </c>
      <c r="AQ451" s="889">
        <f>+AQ450/AQ439</f>
        <v>0.27272727272727271</v>
      </c>
      <c r="AR451" s="889">
        <v>0.38</v>
      </c>
      <c r="AS451" s="889">
        <f>AR451</f>
        <v>0.38</v>
      </c>
      <c r="AT451" s="889">
        <f>AS451</f>
        <v>0.38</v>
      </c>
      <c r="AU451" s="889">
        <f>AT451</f>
        <v>0.38</v>
      </c>
      <c r="AV451" s="889">
        <f>+AV450/AV439</f>
        <v>0.38271604938271603</v>
      </c>
      <c r="AW451" s="889">
        <v>0.38</v>
      </c>
      <c r="AX451" s="889">
        <f>AW451</f>
        <v>0.38</v>
      </c>
      <c r="AY451" s="889">
        <f>AX451</f>
        <v>0.38</v>
      </c>
      <c r="AZ451" s="889">
        <f>AY451</f>
        <v>0.38</v>
      </c>
      <c r="BA451" s="889">
        <f>+BA450/BA439</f>
        <v>0.38</v>
      </c>
      <c r="BB451" s="889">
        <v>0.5</v>
      </c>
      <c r="BC451" s="889">
        <f>BB451</f>
        <v>0.5</v>
      </c>
      <c r="BD451" s="889">
        <f>BC451</f>
        <v>0.5</v>
      </c>
      <c r="BE451" s="889">
        <f>BD451</f>
        <v>0.5</v>
      </c>
      <c r="BF451" s="889"/>
      <c r="BG451" s="889">
        <v>0.9</v>
      </c>
      <c r="BH451" s="889">
        <f>BG451</f>
        <v>0.9</v>
      </c>
      <c r="BI451" s="889">
        <f>BH451</f>
        <v>0.9</v>
      </c>
      <c r="BJ451" s="889">
        <f>BI451</f>
        <v>0.9</v>
      </c>
      <c r="BK451" s="889"/>
      <c r="BL451" s="889">
        <f>BJ451</f>
        <v>0.9</v>
      </c>
      <c r="BM451" s="889">
        <f>BL451</f>
        <v>0.9</v>
      </c>
      <c r="BN451" s="889">
        <f>BM451</f>
        <v>0.9</v>
      </c>
      <c r="BO451" s="889">
        <f>BN451</f>
        <v>0.9</v>
      </c>
      <c r="BP451" s="889"/>
      <c r="BQ451" s="889">
        <v>0</v>
      </c>
      <c r="BR451" s="889">
        <f>BQ451</f>
        <v>0</v>
      </c>
      <c r="BS451" s="889">
        <f>BR451</f>
        <v>0</v>
      </c>
      <c r="BT451" s="889">
        <f>BS451</f>
        <v>0</v>
      </c>
      <c r="BU451" s="889"/>
      <c r="BV451" s="889"/>
      <c r="BW451" s="889"/>
      <c r="BX451" s="889"/>
      <c r="BY451" s="889"/>
      <c r="BZ451" s="889"/>
      <c r="CA451" s="889"/>
      <c r="CB451" s="889"/>
      <c r="CC451" s="889"/>
      <c r="CD451" s="889"/>
      <c r="CE451" s="889"/>
      <c r="CF451" s="889"/>
      <c r="CG451" s="889"/>
      <c r="CH451" s="889"/>
      <c r="CI451" s="889"/>
      <c r="CJ451" s="889"/>
      <c r="CK451" s="889"/>
      <c r="CL451" s="889"/>
      <c r="CM451" s="889"/>
      <c r="CN451" s="889"/>
      <c r="CO451" s="889"/>
      <c r="CP451" s="889"/>
      <c r="CQ451" s="889"/>
      <c r="CR451" s="889"/>
      <c r="CS451" s="889"/>
      <c r="CT451" s="889"/>
      <c r="CU451" s="889"/>
      <c r="CV451" s="889"/>
      <c r="CW451" s="889"/>
      <c r="CX451" s="889"/>
      <c r="CY451" s="889"/>
      <c r="CZ451" s="889"/>
      <c r="DA451" s="889"/>
      <c r="DB451"/>
      <c r="DC451"/>
      <c r="DD451" s="2323" t="s">
        <v>2087</v>
      </c>
      <c r="DE451" s="2349">
        <f t="shared" si="886"/>
        <v>0</v>
      </c>
      <c r="DF451" s="2349">
        <f t="shared" si="887"/>
        <v>0</v>
      </c>
      <c r="DG451" s="2349">
        <f t="shared" si="888"/>
        <v>0</v>
      </c>
      <c r="DH451" s="2349">
        <f t="shared" si="889"/>
        <v>0</v>
      </c>
      <c r="DI451" s="2349">
        <f t="shared" si="890"/>
        <v>0</v>
      </c>
      <c r="DJ451" s="2349">
        <f t="shared" si="891"/>
        <v>0</v>
      </c>
      <c r="DK451" s="2349">
        <f t="shared" si="892"/>
        <v>0.27272727272727271</v>
      </c>
      <c r="DL451" s="2349">
        <f t="shared" si="893"/>
        <v>0.38271604938271603</v>
      </c>
      <c r="DM451" s="2349">
        <f t="shared" si="894"/>
        <v>0.38</v>
      </c>
      <c r="DN451" s="2349">
        <f t="shared" si="895"/>
        <v>0</v>
      </c>
      <c r="DO451" s="2349">
        <f t="shared" si="896"/>
        <v>0</v>
      </c>
      <c r="DP451" s="2349">
        <f t="shared" si="897"/>
        <v>0</v>
      </c>
      <c r="DQ451" s="2349">
        <f t="shared" si="898"/>
        <v>0</v>
      </c>
      <c r="DR451" s="2349">
        <f t="shared" si="899"/>
        <v>0</v>
      </c>
      <c r="DS451" s="2349">
        <f t="shared" si="900"/>
        <v>0</v>
      </c>
      <c r="DT451" s="2349">
        <f t="shared" si="901"/>
        <v>0</v>
      </c>
      <c r="DU451" s="2349">
        <f t="shared" si="902"/>
        <v>0</v>
      </c>
      <c r="DV451" s="2349">
        <f t="shared" si="903"/>
        <v>0</v>
      </c>
      <c r="DW451" s="2349">
        <f t="shared" si="904"/>
        <v>0</v>
      </c>
      <c r="DX451" s="2349">
        <f t="shared" si="905"/>
        <v>0</v>
      </c>
      <c r="DY451" s="2349">
        <f t="shared" si="906"/>
        <v>0</v>
      </c>
      <c r="EA451"/>
      <c r="EB451"/>
      <c r="EC451"/>
      <c r="ED451"/>
      <c r="EE451"/>
      <c r="EF451"/>
      <c r="EJ451"/>
      <c r="EK451"/>
      <c r="EL451"/>
      <c r="ER451" s="212"/>
    </row>
    <row r="452" spans="1:148" s="923" customFormat="1" ht="12.75" hidden="1" customHeight="1" outlineLevel="1" x14ac:dyDescent="0.2">
      <c r="A452" s="865" t="s">
        <v>2088</v>
      </c>
      <c r="B452" s="847"/>
      <c r="C452" s="847"/>
      <c r="D452" s="847"/>
      <c r="E452" s="847"/>
      <c r="F452" s="847"/>
      <c r="G452" s="847"/>
      <c r="H452" s="847"/>
      <c r="I452" s="847"/>
      <c r="J452" s="847"/>
      <c r="K452" s="847"/>
      <c r="L452" s="847"/>
      <c r="M452" s="847"/>
      <c r="N452" s="847"/>
      <c r="O452" s="847"/>
      <c r="P452" s="847"/>
      <c r="Q452" s="847"/>
      <c r="R452" s="847"/>
      <c r="S452" s="847"/>
      <c r="T452" s="847"/>
      <c r="U452" s="847"/>
      <c r="V452" s="847"/>
      <c r="W452" s="847"/>
      <c r="X452" s="847"/>
      <c r="Y452" s="847"/>
      <c r="Z452" s="847"/>
      <c r="AA452" s="847"/>
      <c r="AB452" s="847"/>
      <c r="AC452" s="847"/>
      <c r="AD452" s="847"/>
      <c r="AE452" s="847"/>
      <c r="AF452" s="847"/>
      <c r="AG452" s="847"/>
      <c r="AH452" s="847"/>
      <c r="AI452" s="847"/>
      <c r="AJ452" s="847"/>
      <c r="AK452" s="847"/>
      <c r="AL452" s="847"/>
      <c r="AM452" s="847">
        <f>+AM455-AM446-AM444-AM448-AM450</f>
        <v>63.755319148936167</v>
      </c>
      <c r="AN452" s="847">
        <f>+AN455-AN446-AN444-AN448-AN450</f>
        <v>47.039258027079292</v>
      </c>
      <c r="AO452" s="847">
        <f>+AO455-AO446-AO444-AO448-AO450</f>
        <v>75.093787574468053</v>
      </c>
      <c r="AP452" s="847">
        <f>+AP455-AP446-AP444-AP448-AP450</f>
        <v>61.510111889516423</v>
      </c>
      <c r="AQ452" s="847">
        <f>SUM(AM452:AP452)</f>
        <v>247.39847663999993</v>
      </c>
      <c r="AR452" s="847">
        <f>+AR455-AR446-AR444-AR448-AR450</f>
        <v>82.75789473684209</v>
      </c>
      <c r="AS452" s="847">
        <f>+AS455-AS446-AS444-AS448-AS450</f>
        <v>67.840146198830411</v>
      </c>
      <c r="AT452" s="847">
        <f>+AT455-AT446-AT444-AT448-AT450</f>
        <v>88.400263157894742</v>
      </c>
      <c r="AU452" s="847">
        <f>+AU455-AU446-AU444-AU448-AU450</f>
        <v>100.22169590643273</v>
      </c>
      <c r="AV452" s="847">
        <f>SUM(AR452:AU452)</f>
        <v>339.21999999999997</v>
      </c>
      <c r="AW452" s="847">
        <f>+AW455-AW446-AW444-AW448-AW450</f>
        <v>98.23</v>
      </c>
      <c r="AX452" s="847">
        <f>+AX455-AX446-AX444-AX448-AX450</f>
        <v>54.029999999999987</v>
      </c>
      <c r="AY452" s="847">
        <f>+AY455-AY446-AY444-AY448-AY450</f>
        <v>122.46499999999999</v>
      </c>
      <c r="AZ452" s="847">
        <f>+AZ455-AZ446-AZ444-AZ448-AZ450</f>
        <v>158.65</v>
      </c>
      <c r="BA452" s="847">
        <f>SUM(AW452:AZ452)</f>
        <v>433.375</v>
      </c>
      <c r="BB452" s="847">
        <f>+BB455-BB446-BB444-BB448-BB450</f>
        <v>63.5</v>
      </c>
      <c r="BC452" s="847">
        <f>+BC455-BC446-BC444-BC448-BC450</f>
        <v>108.7</v>
      </c>
      <c r="BD452" s="847">
        <f>+BD455-BD446-BD444-BD448-BD450</f>
        <v>107.8</v>
      </c>
      <c r="BE452" s="847">
        <f>+BE455-BE446-BE444-BE448-BE450</f>
        <v>118</v>
      </c>
      <c r="BF452" s="847">
        <f>SUM(BB452:BE452)</f>
        <v>398</v>
      </c>
      <c r="BG452" s="847">
        <f>+BG455-BG446-BG444-BG448-BG450</f>
        <v>-158.25</v>
      </c>
      <c r="BH452" s="847">
        <f>+BH455-BH446-BH444-BH448-BH450</f>
        <v>-158.75</v>
      </c>
      <c r="BI452" s="847">
        <f>+BI455-BI446-BI444-BI448-BI450</f>
        <v>-145.25</v>
      </c>
      <c r="BJ452" s="847">
        <f>+BJ455-BJ446-BJ444-BJ448-BJ450</f>
        <v>-220.3</v>
      </c>
      <c r="BK452" s="847">
        <f>SUM(BG452:BJ452)</f>
        <v>-682.55</v>
      </c>
      <c r="BL452" s="847">
        <f>+BL455-BL446-BL444-BL448-BL450</f>
        <v>-144.94999999999999</v>
      </c>
      <c r="BM452" s="847">
        <f>+BM455-BM446-BM444-BM448-BM450</f>
        <v>-150.4</v>
      </c>
      <c r="BN452" s="847">
        <f>+BN455-BN446-BN444-BN448-BN450</f>
        <v>-147.14999999999998</v>
      </c>
      <c r="BO452" s="847">
        <f>+BO453*(BO437+BO440)</f>
        <v>122.53488372093024</v>
      </c>
      <c r="BP452" s="847">
        <f>SUM(BL452:BO452)</f>
        <v>-319.96511627906978</v>
      </c>
      <c r="BQ452" s="847">
        <f>+BQ453*(BQ437+BQ440)</f>
        <v>0</v>
      </c>
      <c r="BR452" s="847">
        <f>+BR453*(BR437+BR440)</f>
        <v>0</v>
      </c>
      <c r="BS452" s="847">
        <f>+BS453*(BS437+BS440)</f>
        <v>0</v>
      </c>
      <c r="BT452" s="847">
        <f>+BT453*(BT437+BT440)</f>
        <v>0</v>
      </c>
      <c r="BU452" s="847">
        <f>SUM(BQ452:BT452)</f>
        <v>0</v>
      </c>
      <c r="BV452" s="847"/>
      <c r="BW452" s="847"/>
      <c r="BX452" s="847"/>
      <c r="BY452" s="847"/>
      <c r="BZ452" s="847"/>
      <c r="CA452" s="847"/>
      <c r="CB452" s="847"/>
      <c r="CC452" s="847"/>
      <c r="CD452" s="847"/>
      <c r="CE452" s="847"/>
      <c r="CF452" s="847"/>
      <c r="CG452" s="847"/>
      <c r="CH452" s="847"/>
      <c r="CI452" s="847"/>
      <c r="CJ452" s="847"/>
      <c r="CK452" s="847"/>
      <c r="CL452" s="847"/>
      <c r="CM452" s="847"/>
      <c r="CN452" s="847"/>
      <c r="CO452" s="847"/>
      <c r="CP452" s="847"/>
      <c r="CQ452" s="847"/>
      <c r="CR452" s="847"/>
      <c r="CS452" s="847"/>
      <c r="CT452" s="847"/>
      <c r="CU452" s="847"/>
      <c r="CV452" s="847"/>
      <c r="CW452" s="847"/>
      <c r="CX452" s="847"/>
      <c r="CY452" s="847"/>
      <c r="CZ452" s="847"/>
      <c r="DA452" s="847"/>
      <c r="DB452"/>
      <c r="DC452"/>
      <c r="DD452" s="2323" t="s">
        <v>2088</v>
      </c>
      <c r="DE452" s="2349">
        <f t="shared" si="886"/>
        <v>0</v>
      </c>
      <c r="DF452" s="2349">
        <f t="shared" si="887"/>
        <v>0</v>
      </c>
      <c r="DG452" s="2349">
        <f t="shared" si="888"/>
        <v>0</v>
      </c>
      <c r="DH452" s="2349">
        <f t="shared" si="889"/>
        <v>0</v>
      </c>
      <c r="DI452" s="2349">
        <f t="shared" si="890"/>
        <v>0</v>
      </c>
      <c r="DJ452" s="2349">
        <f t="shared" si="891"/>
        <v>0</v>
      </c>
      <c r="DK452" s="2349">
        <f t="shared" si="892"/>
        <v>247.39847663999993</v>
      </c>
      <c r="DL452" s="2349">
        <f t="shared" si="893"/>
        <v>339.21999999999997</v>
      </c>
      <c r="DM452" s="2349">
        <f t="shared" si="894"/>
        <v>433.375</v>
      </c>
      <c r="DN452" s="2349">
        <f t="shared" si="895"/>
        <v>398</v>
      </c>
      <c r="DO452" s="2349">
        <f t="shared" si="896"/>
        <v>-682.55</v>
      </c>
      <c r="DP452" s="2349">
        <f t="shared" si="897"/>
        <v>-319.96511627906978</v>
      </c>
      <c r="DQ452" s="2349">
        <f t="shared" si="898"/>
        <v>0</v>
      </c>
      <c r="DR452" s="2349">
        <f t="shared" si="899"/>
        <v>0</v>
      </c>
      <c r="DS452" s="2349">
        <f t="shared" si="900"/>
        <v>0</v>
      </c>
      <c r="DT452" s="2349">
        <f t="shared" si="901"/>
        <v>0</v>
      </c>
      <c r="DU452" s="2349">
        <f t="shared" si="902"/>
        <v>0</v>
      </c>
      <c r="DV452" s="2349">
        <f t="shared" si="903"/>
        <v>0</v>
      </c>
      <c r="DW452" s="2349">
        <f t="shared" si="904"/>
        <v>0</v>
      </c>
      <c r="DX452" s="2349">
        <f t="shared" si="905"/>
        <v>0</v>
      </c>
      <c r="DY452" s="2349">
        <f t="shared" si="906"/>
        <v>0</v>
      </c>
      <c r="EA452"/>
      <c r="EB452"/>
      <c r="EC452"/>
      <c r="ED452"/>
      <c r="EE452"/>
      <c r="EF452"/>
      <c r="EJ452"/>
      <c r="EK452"/>
      <c r="EL452"/>
      <c r="ER452" s="212"/>
    </row>
    <row r="453" spans="1:148" s="923" customFormat="1" ht="12.75" hidden="1" customHeight="1" outlineLevel="1" x14ac:dyDescent="0.2">
      <c r="A453" s="865" t="s">
        <v>2089</v>
      </c>
      <c r="B453" s="889"/>
      <c r="C453" s="889"/>
      <c r="D453" s="889"/>
      <c r="E453" s="889"/>
      <c r="F453" s="889"/>
      <c r="G453" s="889"/>
      <c r="H453" s="889"/>
      <c r="I453" s="889"/>
      <c r="J453" s="889"/>
      <c r="K453" s="889"/>
      <c r="L453" s="889"/>
      <c r="M453" s="889"/>
      <c r="N453" s="889"/>
      <c r="O453" s="889"/>
      <c r="P453" s="889"/>
      <c r="Q453" s="889"/>
      <c r="R453" s="889"/>
      <c r="S453" s="889"/>
      <c r="T453" s="889"/>
      <c r="U453" s="889"/>
      <c r="V453" s="889"/>
      <c r="W453" s="889"/>
      <c r="X453" s="889"/>
      <c r="Y453" s="889"/>
      <c r="Z453" s="889"/>
      <c r="AA453" s="889"/>
      <c r="AB453" s="889"/>
      <c r="AC453" s="889"/>
      <c r="AD453" s="889"/>
      <c r="AE453" s="889"/>
      <c r="AF453" s="889"/>
      <c r="AG453" s="889"/>
      <c r="AH453" s="889"/>
      <c r="AI453" s="889"/>
      <c r="AJ453" s="889"/>
      <c r="AK453" s="889"/>
      <c r="AL453" s="889"/>
      <c r="AM453" s="889">
        <f t="shared" ref="AM453:BK453" si="909">+AM452/(SUM(AM437)+AM440)</f>
        <v>0.88549054373522451</v>
      </c>
      <c r="AN453" s="889">
        <f t="shared" si="909"/>
        <v>0.64051277269988149</v>
      </c>
      <c r="AO453" s="889">
        <f t="shared" si="909"/>
        <v>1.0024695039096616</v>
      </c>
      <c r="AP453" s="889">
        <f t="shared" si="909"/>
        <v>0.81769969370038731</v>
      </c>
      <c r="AQ453" s="889">
        <f t="shared" si="909"/>
        <v>0.83701551369426697</v>
      </c>
      <c r="AR453" s="889">
        <f t="shared" si="909"/>
        <v>1.0092426187419767</v>
      </c>
      <c r="AS453" s="889">
        <f t="shared" si="909"/>
        <v>0.83753266912136315</v>
      </c>
      <c r="AT453" s="889">
        <f t="shared" si="909"/>
        <v>1.0780519897304237</v>
      </c>
      <c r="AU453" s="889">
        <f t="shared" si="909"/>
        <v>1.0123403626912397</v>
      </c>
      <c r="AV453" s="889">
        <f t="shared" si="909"/>
        <v>0.98610465116279056</v>
      </c>
      <c r="AW453" s="889">
        <f t="shared" si="909"/>
        <v>1.0450000000000002</v>
      </c>
      <c r="AX453" s="889">
        <f t="shared" si="909"/>
        <v>0.6210344827586205</v>
      </c>
      <c r="AY453" s="889">
        <f t="shared" si="909"/>
        <v>1.3916477272727272</v>
      </c>
      <c r="AZ453" s="889">
        <f t="shared" si="909"/>
        <v>1.6700000000000002</v>
      </c>
      <c r="BA453" s="889">
        <f t="shared" si="909"/>
        <v>1.1905906593406594</v>
      </c>
      <c r="BB453" s="889">
        <f t="shared" si="909"/>
        <v>0.84666666666666668</v>
      </c>
      <c r="BC453" s="889">
        <f t="shared" si="909"/>
        <v>1.2494252873563219</v>
      </c>
      <c r="BD453" s="889">
        <f t="shared" si="909"/>
        <v>1.2112359550561798</v>
      </c>
      <c r="BE453" s="889">
        <f t="shared" si="909"/>
        <v>1.1238095238095238</v>
      </c>
      <c r="BF453" s="889">
        <f t="shared" si="909"/>
        <v>1.1179775280898876</v>
      </c>
      <c r="BG453" s="889">
        <f t="shared" si="909"/>
        <v>-1.7016129032258065</v>
      </c>
      <c r="BH453" s="889">
        <f t="shared" si="909"/>
        <v>-1.6198979591836735</v>
      </c>
      <c r="BI453" s="889">
        <f t="shared" si="909"/>
        <v>-1.4671717171717171</v>
      </c>
      <c r="BJ453" s="889">
        <f t="shared" si="909"/>
        <v>-1.8669491525423729</v>
      </c>
      <c r="BK453" s="889">
        <f t="shared" si="909"/>
        <v>-1.6729166666666666</v>
      </c>
      <c r="BL453" s="889">
        <v>1</v>
      </c>
      <c r="BM453" s="889">
        <f>BL453</f>
        <v>1</v>
      </c>
      <c r="BN453" s="889">
        <f>BM453</f>
        <v>1</v>
      </c>
      <c r="BO453" s="889">
        <f>BN453</f>
        <v>1</v>
      </c>
      <c r="BP453" s="889">
        <f>+BP452/(SUM(BP437)+BP440)</f>
        <v>-0.76815923175702083</v>
      </c>
      <c r="BQ453" s="889">
        <v>0</v>
      </c>
      <c r="BR453" s="889">
        <f>BQ453</f>
        <v>0</v>
      </c>
      <c r="BS453" s="889">
        <f>BR453</f>
        <v>0</v>
      </c>
      <c r="BT453" s="889">
        <f>BS453</f>
        <v>0</v>
      </c>
      <c r="BU453" s="889"/>
      <c r="BV453" s="889"/>
      <c r="BW453" s="889"/>
      <c r="BX453" s="889"/>
      <c r="BY453" s="889"/>
      <c r="BZ453" s="889"/>
      <c r="CA453" s="889"/>
      <c r="CB453" s="889"/>
      <c r="CC453" s="889"/>
      <c r="CD453" s="889"/>
      <c r="CE453" s="889"/>
      <c r="CF453" s="889"/>
      <c r="CG453" s="889"/>
      <c r="CH453" s="889"/>
      <c r="CI453" s="889"/>
      <c r="CJ453" s="889"/>
      <c r="CK453" s="889"/>
      <c r="CL453" s="889"/>
      <c r="CM453" s="889"/>
      <c r="CN453" s="889"/>
      <c r="CO453" s="889"/>
      <c r="CP453" s="889"/>
      <c r="CQ453" s="889"/>
      <c r="CR453" s="889"/>
      <c r="CS453" s="889"/>
      <c r="CT453" s="889"/>
      <c r="CU453" s="889"/>
      <c r="CV453" s="889"/>
      <c r="CW453" s="889"/>
      <c r="CX453" s="889"/>
      <c r="CY453" s="889"/>
      <c r="CZ453" s="889"/>
      <c r="DA453" s="889"/>
      <c r="DB453"/>
      <c r="DC453"/>
      <c r="DD453" s="2323" t="s">
        <v>2089</v>
      </c>
      <c r="DE453" s="2349">
        <f t="shared" si="886"/>
        <v>0</v>
      </c>
      <c r="DF453" s="2349">
        <f t="shared" si="887"/>
        <v>0</v>
      </c>
      <c r="DG453" s="2349">
        <f t="shared" si="888"/>
        <v>0</v>
      </c>
      <c r="DH453" s="2349">
        <f t="shared" si="889"/>
        <v>0</v>
      </c>
      <c r="DI453" s="2349">
        <f t="shared" si="890"/>
        <v>0</v>
      </c>
      <c r="DJ453" s="2349">
        <f t="shared" si="891"/>
        <v>0</v>
      </c>
      <c r="DK453" s="2349">
        <f t="shared" si="892"/>
        <v>0.83701551369426697</v>
      </c>
      <c r="DL453" s="2349">
        <f t="shared" si="893"/>
        <v>0.98610465116279056</v>
      </c>
      <c r="DM453" s="2349">
        <f t="shared" si="894"/>
        <v>1.1905906593406594</v>
      </c>
      <c r="DN453" s="2349">
        <f t="shared" si="895"/>
        <v>1.1179775280898876</v>
      </c>
      <c r="DO453" s="2349">
        <f t="shared" si="896"/>
        <v>-1.6729166666666666</v>
      </c>
      <c r="DP453" s="2349">
        <f t="shared" si="897"/>
        <v>-0.76815923175702083</v>
      </c>
      <c r="DQ453" s="2349">
        <f t="shared" si="898"/>
        <v>0</v>
      </c>
      <c r="DR453" s="2349">
        <f t="shared" si="899"/>
        <v>0</v>
      </c>
      <c r="DS453" s="2349">
        <f t="shared" si="900"/>
        <v>0</v>
      </c>
      <c r="DT453" s="2349">
        <f t="shared" si="901"/>
        <v>0</v>
      </c>
      <c r="DU453" s="2349">
        <f t="shared" si="902"/>
        <v>0</v>
      </c>
      <c r="DV453" s="2349">
        <f t="shared" si="903"/>
        <v>0</v>
      </c>
      <c r="DW453" s="2349">
        <f t="shared" si="904"/>
        <v>0</v>
      </c>
      <c r="DX453" s="2349">
        <f t="shared" si="905"/>
        <v>0</v>
      </c>
      <c r="DY453" s="2349">
        <f t="shared" si="906"/>
        <v>0</v>
      </c>
      <c r="EA453"/>
      <c r="EB453"/>
      <c r="EC453"/>
      <c r="ED453"/>
      <c r="EE453"/>
      <c r="EF453"/>
      <c r="EJ453"/>
      <c r="EK453"/>
      <c r="EL453"/>
      <c r="ER453" s="212"/>
    </row>
    <row r="454" spans="1:148" s="923" customFormat="1" ht="4.5" hidden="1" customHeight="1" outlineLevel="1" x14ac:dyDescent="0.2">
      <c r="A454" s="865"/>
      <c r="B454" s="765"/>
      <c r="C454" s="765"/>
      <c r="D454" s="765"/>
      <c r="E454" s="765"/>
      <c r="F454" s="765"/>
      <c r="G454" s="765"/>
      <c r="H454" s="765"/>
      <c r="I454" s="765" t="s">
        <v>1328</v>
      </c>
      <c r="J454" s="765" t="s">
        <v>1328</v>
      </c>
      <c r="K454" s="765" t="s">
        <v>1328</v>
      </c>
      <c r="L454" s="765" t="s">
        <v>1328</v>
      </c>
      <c r="M454" s="765" t="s">
        <v>1328</v>
      </c>
      <c r="N454" s="765" t="s">
        <v>1328</v>
      </c>
      <c r="O454" s="765" t="s">
        <v>1328</v>
      </c>
      <c r="P454" s="765" t="s">
        <v>1328</v>
      </c>
      <c r="Q454" s="765" t="s">
        <v>1328</v>
      </c>
      <c r="R454" s="765" t="s">
        <v>1328</v>
      </c>
      <c r="S454" s="765" t="s">
        <v>1328</v>
      </c>
      <c r="T454" s="765" t="s">
        <v>1328</v>
      </c>
      <c r="U454" s="765" t="s">
        <v>1328</v>
      </c>
      <c r="V454" s="765" t="s">
        <v>1328</v>
      </c>
      <c r="W454" s="765" t="s">
        <v>1328</v>
      </c>
      <c r="X454" s="765" t="s">
        <v>1328</v>
      </c>
      <c r="Y454" s="765" t="s">
        <v>1328</v>
      </c>
      <c r="Z454" s="765" t="s">
        <v>1328</v>
      </c>
      <c r="AA454" s="765" t="s">
        <v>1328</v>
      </c>
      <c r="AB454" s="765" t="s">
        <v>1328</v>
      </c>
      <c r="AC454" s="765" t="s">
        <v>1328</v>
      </c>
      <c r="AD454" s="765" t="s">
        <v>1328</v>
      </c>
      <c r="AE454" s="765" t="s">
        <v>1328</v>
      </c>
      <c r="AF454" s="765" t="s">
        <v>1328</v>
      </c>
      <c r="AG454" s="765" t="s">
        <v>1328</v>
      </c>
      <c r="AH454" s="765" t="s">
        <v>1328</v>
      </c>
      <c r="AI454" s="765" t="s">
        <v>1328</v>
      </c>
      <c r="AJ454" s="765" t="s">
        <v>1328</v>
      </c>
      <c r="AK454" s="765" t="s">
        <v>1328</v>
      </c>
      <c r="AL454" s="765" t="s">
        <v>1328</v>
      </c>
      <c r="AM454" s="765" t="s">
        <v>1328</v>
      </c>
      <c r="AN454" s="765" t="s">
        <v>1328</v>
      </c>
      <c r="AO454" s="765" t="s">
        <v>1328</v>
      </c>
      <c r="AP454" s="765" t="s">
        <v>1328</v>
      </c>
      <c r="AQ454" s="765" t="s">
        <v>1328</v>
      </c>
      <c r="AR454" s="765" t="s">
        <v>1328</v>
      </c>
      <c r="AS454" s="765" t="s">
        <v>1328</v>
      </c>
      <c r="AT454" s="765" t="s">
        <v>1328</v>
      </c>
      <c r="AU454" s="765" t="s">
        <v>1328</v>
      </c>
      <c r="AV454" s="765" t="s">
        <v>1328</v>
      </c>
      <c r="AW454" s="765" t="s">
        <v>1328</v>
      </c>
      <c r="AX454" s="765" t="s">
        <v>1328</v>
      </c>
      <c r="AY454" s="765" t="s">
        <v>1328</v>
      </c>
      <c r="AZ454" s="765" t="s">
        <v>1328</v>
      </c>
      <c r="BA454" s="765" t="s">
        <v>1328</v>
      </c>
      <c r="BB454" s="765" t="s">
        <v>1328</v>
      </c>
      <c r="BC454" s="765" t="s">
        <v>1328</v>
      </c>
      <c r="BD454" s="765" t="s">
        <v>1328</v>
      </c>
      <c r="BE454" s="765" t="s">
        <v>1328</v>
      </c>
      <c r="BF454" s="765" t="s">
        <v>1328</v>
      </c>
      <c r="BG454" s="765" t="s">
        <v>1328</v>
      </c>
      <c r="BH454" s="765" t="s">
        <v>1328</v>
      </c>
      <c r="BI454" s="765" t="s">
        <v>1328</v>
      </c>
      <c r="BJ454" s="765" t="s">
        <v>1328</v>
      </c>
      <c r="BK454" s="765" t="s">
        <v>1328</v>
      </c>
      <c r="BL454" s="765" t="s">
        <v>1328</v>
      </c>
      <c r="BM454" s="765" t="s">
        <v>1328</v>
      </c>
      <c r="BN454" s="765" t="s">
        <v>1328</v>
      </c>
      <c r="BO454" s="765" t="s">
        <v>1328</v>
      </c>
      <c r="BP454" s="765" t="s">
        <v>1328</v>
      </c>
      <c r="BQ454" s="765" t="s">
        <v>1328</v>
      </c>
      <c r="BR454" s="765" t="s">
        <v>1328</v>
      </c>
      <c r="BS454" s="765" t="s">
        <v>1328</v>
      </c>
      <c r="BT454" s="765" t="s">
        <v>1328</v>
      </c>
      <c r="BU454" s="765" t="s">
        <v>1328</v>
      </c>
      <c r="BV454" s="765"/>
      <c r="BW454" s="765"/>
      <c r="BX454" s="765"/>
      <c r="BY454" s="765"/>
      <c r="BZ454" s="765"/>
      <c r="CA454" s="765"/>
      <c r="CB454" s="765"/>
      <c r="CC454" s="765"/>
      <c r="CD454" s="765"/>
      <c r="CE454" s="765"/>
      <c r="CF454" s="765"/>
      <c r="CG454" s="765"/>
      <c r="CH454" s="765"/>
      <c r="CI454" s="765"/>
      <c r="CJ454" s="765"/>
      <c r="CK454" s="765"/>
      <c r="CL454" s="765"/>
      <c r="CM454" s="765"/>
      <c r="CN454" s="765"/>
      <c r="CO454" s="765"/>
      <c r="CP454" s="765"/>
      <c r="CQ454" s="765"/>
      <c r="CR454" s="765"/>
      <c r="CS454" s="765"/>
      <c r="CT454" s="765"/>
      <c r="CU454" s="765"/>
      <c r="CV454" s="765"/>
      <c r="CW454" s="765"/>
      <c r="CX454" s="765"/>
      <c r="CY454" s="765"/>
      <c r="CZ454" s="765"/>
      <c r="DA454" s="765"/>
      <c r="DB454"/>
      <c r="DC454"/>
      <c r="DD454" s="2323"/>
      <c r="DE454" s="2350"/>
      <c r="DF454" s="2350"/>
      <c r="DG454" s="2350"/>
      <c r="DH454" s="2350"/>
      <c r="DI454" s="2350"/>
      <c r="DJ454" s="2350"/>
      <c r="DK454" s="2350"/>
      <c r="DL454" s="2350"/>
      <c r="DM454" s="2350"/>
      <c r="DN454" s="2350"/>
      <c r="DO454" s="2350"/>
      <c r="DP454" s="2350"/>
      <c r="DQ454" s="2350"/>
      <c r="DR454" s="2350"/>
      <c r="DS454" s="2350"/>
      <c r="DT454" s="2350"/>
      <c r="DU454" s="2350"/>
      <c r="DV454" s="2350"/>
      <c r="DW454" s="2350"/>
      <c r="DX454" s="2350"/>
      <c r="DY454" s="2350"/>
      <c r="EA454"/>
      <c r="EB454"/>
      <c r="EC454"/>
      <c r="ED454"/>
      <c r="EE454"/>
      <c r="EF454"/>
      <c r="EJ454"/>
      <c r="EK454"/>
      <c r="EL454"/>
      <c r="ER454" s="212"/>
    </row>
    <row r="455" spans="1:148" s="923" customFormat="1" ht="12.75" hidden="1" customHeight="1" outlineLevel="1" x14ac:dyDescent="0.2">
      <c r="A455" s="867" t="s">
        <v>797</v>
      </c>
      <c r="B455" s="852"/>
      <c r="C455" s="852"/>
      <c r="D455" s="852"/>
      <c r="E455" s="852"/>
      <c r="F455" s="852"/>
      <c r="G455" s="852"/>
      <c r="H455" s="852"/>
      <c r="I455" s="852">
        <f>I27</f>
        <v>137</v>
      </c>
      <c r="J455" s="852">
        <f>J27</f>
        <v>158</v>
      </c>
      <c r="K455" s="852">
        <f>K27</f>
        <v>163</v>
      </c>
      <c r="L455" s="852">
        <f>L27</f>
        <v>226</v>
      </c>
      <c r="M455" s="852">
        <f>+M446+M444</f>
        <v>684</v>
      </c>
      <c r="N455" s="852">
        <f>N27</f>
        <v>191</v>
      </c>
      <c r="O455" s="852">
        <f>O27</f>
        <v>205</v>
      </c>
      <c r="P455" s="852">
        <f>P27</f>
        <v>248</v>
      </c>
      <c r="Q455" s="852">
        <f>Q27</f>
        <v>258</v>
      </c>
      <c r="R455" s="852">
        <f>+R446+R444</f>
        <v>902</v>
      </c>
      <c r="S455" s="852">
        <f>S27</f>
        <v>195</v>
      </c>
      <c r="T455" s="852">
        <f>T27</f>
        <v>227</v>
      </c>
      <c r="U455" s="852">
        <f>U27</f>
        <v>233</v>
      </c>
      <c r="V455" s="852">
        <f>V27</f>
        <v>283</v>
      </c>
      <c r="W455" s="852">
        <f>+W446+W444</f>
        <v>938</v>
      </c>
      <c r="X455" s="852">
        <f>X27</f>
        <v>208</v>
      </c>
      <c r="Y455" s="852">
        <f>Y27</f>
        <v>215</v>
      </c>
      <c r="Z455" s="852">
        <f>Z27</f>
        <v>265</v>
      </c>
      <c r="AA455" s="852">
        <f>AA27</f>
        <v>323</v>
      </c>
      <c r="AB455" s="852">
        <f>+AB446+AB444</f>
        <v>1011</v>
      </c>
      <c r="AC455" s="852">
        <f>AC27</f>
        <v>252</v>
      </c>
      <c r="AD455" s="852">
        <f>AD27</f>
        <v>245</v>
      </c>
      <c r="AE455" s="852">
        <f>AE27</f>
        <v>249</v>
      </c>
      <c r="AF455" s="852">
        <f>AF27</f>
        <v>293</v>
      </c>
      <c r="AG455" s="852">
        <f>+AG446+AG444</f>
        <v>1039</v>
      </c>
      <c r="AH455" s="852">
        <f>AH27</f>
        <v>272</v>
      </c>
      <c r="AI455" s="852">
        <f>AI27</f>
        <v>269</v>
      </c>
      <c r="AJ455" s="852">
        <f>AJ27</f>
        <v>330</v>
      </c>
      <c r="AK455" s="852">
        <f>AK27</f>
        <v>357</v>
      </c>
      <c r="AL455" s="852">
        <f>+AL446+AL444</f>
        <v>1228</v>
      </c>
      <c r="AM455" s="852">
        <f>AM27</f>
        <v>240</v>
      </c>
      <c r="AN455" s="852">
        <f>AN27</f>
        <v>289</v>
      </c>
      <c r="AO455" s="852">
        <f>AO27</f>
        <v>298</v>
      </c>
      <c r="AP455" s="852">
        <f>AP27</f>
        <v>393</v>
      </c>
      <c r="AQ455" s="852">
        <f>+AQ446+AQ444+AQ452+AQ448+AQ450</f>
        <v>1220</v>
      </c>
      <c r="AR455" s="852">
        <f>AR27</f>
        <v>312</v>
      </c>
      <c r="AS455" s="852">
        <f>AS27</f>
        <v>331</v>
      </c>
      <c r="AT455" s="852">
        <f>AT27</f>
        <v>344</v>
      </c>
      <c r="AU455" s="852">
        <f>AU27</f>
        <v>410</v>
      </c>
      <c r="AV455" s="852">
        <f>+AV446+AV444+AV452+AV448+AV450</f>
        <v>1397</v>
      </c>
      <c r="AW455" s="852">
        <f>AW27</f>
        <v>313</v>
      </c>
      <c r="AX455" s="852">
        <f>AX27</f>
        <v>311</v>
      </c>
      <c r="AY455" s="852">
        <f>AY27</f>
        <v>337</v>
      </c>
      <c r="AZ455" s="852">
        <f>AZ27+3</f>
        <v>376</v>
      </c>
      <c r="BA455" s="852">
        <f>+BA446+BA444+BA452+BA448+BA450</f>
        <v>1337</v>
      </c>
      <c r="BB455" s="852">
        <f>BB27</f>
        <v>220</v>
      </c>
      <c r="BC455" s="852">
        <f>BC27</f>
        <v>279</v>
      </c>
      <c r="BD455" s="852">
        <f>BD27</f>
        <v>238</v>
      </c>
      <c r="BE455" s="852">
        <f>BE27</f>
        <v>303</v>
      </c>
      <c r="BF455" s="852">
        <f>+BF446+BF444+BF452+BF448+BF450</f>
        <v>1040</v>
      </c>
      <c r="BG455" s="852">
        <f>BG27</f>
        <v>0</v>
      </c>
      <c r="BH455" s="852">
        <f>BH27</f>
        <v>0</v>
      </c>
      <c r="BI455" s="852">
        <f>BI27</f>
        <v>0</v>
      </c>
      <c r="BJ455" s="852">
        <f>BJ27</f>
        <v>0</v>
      </c>
      <c r="BK455" s="852">
        <f>+BK446+BK444+BK452+BK448+BK450</f>
        <v>0</v>
      </c>
      <c r="BL455" s="852">
        <f>BL27</f>
        <v>0</v>
      </c>
      <c r="BM455" s="852">
        <f>BM27</f>
        <v>0</v>
      </c>
      <c r="BN455" s="852">
        <f>BN27</f>
        <v>0</v>
      </c>
      <c r="BO455" s="852">
        <v>209</v>
      </c>
      <c r="BP455" s="852">
        <f t="shared" ref="BP455:BU455" si="910">+BP446+BP444+BP452+BP448+BP450</f>
        <v>333.96974372093018</v>
      </c>
      <c r="BQ455" s="852">
        <f t="shared" si="910"/>
        <v>0</v>
      </c>
      <c r="BR455" s="852">
        <f t="shared" si="910"/>
        <v>0</v>
      </c>
      <c r="BS455" s="852">
        <f t="shared" si="910"/>
        <v>0</v>
      </c>
      <c r="BT455" s="852">
        <f t="shared" si="910"/>
        <v>0</v>
      </c>
      <c r="BU455" s="852">
        <f t="shared" si="910"/>
        <v>0</v>
      </c>
      <c r="BV455" s="852"/>
      <c r="BW455" s="852"/>
      <c r="BX455" s="852"/>
      <c r="BY455" s="852"/>
      <c r="BZ455" s="852"/>
      <c r="CA455" s="852"/>
      <c r="CB455" s="852"/>
      <c r="CC455" s="852"/>
      <c r="CD455" s="852"/>
      <c r="CE455" s="852"/>
      <c r="CF455" s="852"/>
      <c r="CG455" s="852"/>
      <c r="CH455" s="852"/>
      <c r="CI455" s="852"/>
      <c r="CJ455" s="852"/>
      <c r="CK455" s="852"/>
      <c r="CL455" s="852"/>
      <c r="CM455" s="852"/>
      <c r="CN455" s="852"/>
      <c r="CO455" s="852"/>
      <c r="CP455" s="852"/>
      <c r="CQ455" s="852"/>
      <c r="CR455" s="852"/>
      <c r="CS455" s="852"/>
      <c r="CT455" s="852"/>
      <c r="CU455" s="852"/>
      <c r="CV455" s="852"/>
      <c r="CW455" s="852"/>
      <c r="CX455" s="852"/>
      <c r="CY455" s="852"/>
      <c r="CZ455" s="852"/>
      <c r="DA455" s="852"/>
      <c r="DB455"/>
      <c r="DC455"/>
      <c r="DD455" s="867" t="s">
        <v>797</v>
      </c>
      <c r="DE455" s="852">
        <f>M455</f>
        <v>684</v>
      </c>
      <c r="DF455" s="852">
        <f>R455</f>
        <v>902</v>
      </c>
      <c r="DG455" s="852">
        <f>W455</f>
        <v>938</v>
      </c>
      <c r="DH455" s="852">
        <f>AB455</f>
        <v>1011</v>
      </c>
      <c r="DI455" s="852">
        <f>AG455</f>
        <v>1039</v>
      </c>
      <c r="DJ455" s="852">
        <f>AL455</f>
        <v>1228</v>
      </c>
      <c r="DK455" s="852">
        <f>AQ455</f>
        <v>1220</v>
      </c>
      <c r="DL455" s="852">
        <f>AV455</f>
        <v>1397</v>
      </c>
      <c r="DM455" s="852">
        <f>BA455</f>
        <v>1337</v>
      </c>
      <c r="DN455" s="852">
        <f>BF455</f>
        <v>1040</v>
      </c>
      <c r="DO455" s="852">
        <f>BK455</f>
        <v>0</v>
      </c>
      <c r="DP455" s="852">
        <f>BP455</f>
        <v>333.96974372093018</v>
      </c>
      <c r="DQ455" s="852">
        <f>BU455</f>
        <v>0</v>
      </c>
      <c r="DR455" s="852">
        <f>BZ455</f>
        <v>0</v>
      </c>
      <c r="DS455" s="852">
        <f>CE455</f>
        <v>0</v>
      </c>
      <c r="DT455" s="852">
        <f>CJ455</f>
        <v>0</v>
      </c>
      <c r="DU455" s="852">
        <f>CO455</f>
        <v>0</v>
      </c>
      <c r="DV455" s="852">
        <f>CT455</f>
        <v>0</v>
      </c>
      <c r="DW455" s="852">
        <f>CY455</f>
        <v>0</v>
      </c>
      <c r="DX455" s="852">
        <f>CZ455</f>
        <v>0</v>
      </c>
      <c r="DY455" s="852">
        <f>DA455</f>
        <v>0</v>
      </c>
      <c r="EA455"/>
      <c r="EB455"/>
      <c r="EC455"/>
      <c r="ED455"/>
      <c r="EE455"/>
      <c r="EF455"/>
      <c r="EJ455"/>
      <c r="EK455"/>
      <c r="EL455"/>
      <c r="ER455" s="212"/>
    </row>
    <row r="456" spans="1:148" s="923" customFormat="1" ht="12.75" hidden="1" customHeight="1" outlineLevel="1" x14ac:dyDescent="0.2">
      <c r="A456" s="865"/>
      <c r="B456" s="847"/>
      <c r="C456" s="847"/>
      <c r="D456" s="847"/>
      <c r="E456" s="847"/>
      <c r="F456" s="847"/>
      <c r="G456" s="847"/>
      <c r="H456" s="847"/>
      <c r="I456" s="847"/>
      <c r="J456" s="847"/>
      <c r="K456" s="847"/>
      <c r="L456" s="847"/>
      <c r="M456" s="847"/>
      <c r="N456" s="847"/>
      <c r="O456" s="847"/>
      <c r="P456" s="847"/>
      <c r="Q456" s="847"/>
      <c r="R456" s="847"/>
      <c r="S456" s="847"/>
      <c r="T456" s="847"/>
      <c r="U456" s="847"/>
      <c r="V456" s="847"/>
      <c r="W456" s="847"/>
      <c r="X456" s="847"/>
      <c r="Y456" s="847"/>
      <c r="Z456" s="847"/>
      <c r="AA456" s="847"/>
      <c r="AB456" s="847"/>
      <c r="AC456" s="847"/>
      <c r="AD456" s="847"/>
      <c r="AE456" s="847"/>
      <c r="AF456" s="847"/>
      <c r="AG456" s="847"/>
      <c r="AH456" s="847"/>
      <c r="AI456" s="847"/>
      <c r="AJ456" s="847"/>
      <c r="AK456" s="847"/>
      <c r="AL456" s="847"/>
      <c r="AM456" s="847"/>
      <c r="AN456" s="847"/>
      <c r="AO456" s="847"/>
      <c r="AP456" s="847"/>
      <c r="AQ456" s="847"/>
      <c r="AR456" s="847"/>
      <c r="AS456" s="847"/>
      <c r="AT456" s="847"/>
      <c r="AU456" s="847"/>
      <c r="AV456" s="847"/>
      <c r="AW456" s="847"/>
      <c r="AX456" s="847"/>
      <c r="AY456" s="847"/>
      <c r="AZ456" s="847"/>
      <c r="BA456" s="847"/>
      <c r="BB456" s="847"/>
      <c r="BC456" s="847"/>
      <c r="BD456" s="847"/>
      <c r="BE456" s="847"/>
      <c r="BF456" s="847"/>
      <c r="BG456" s="847"/>
      <c r="BH456" s="847"/>
      <c r="BI456" s="847"/>
      <c r="BJ456" s="847"/>
      <c r="BK456" s="847"/>
      <c r="BL456" s="847"/>
      <c r="BM456" s="847"/>
      <c r="BN456" s="847"/>
      <c r="BO456" s="847"/>
      <c r="BP456" s="847"/>
      <c r="BQ456" s="847"/>
      <c r="BR456" s="847"/>
      <c r="BS456" s="847"/>
      <c r="BT456" s="847"/>
      <c r="BU456" s="847"/>
      <c r="BV456" s="847"/>
      <c r="BW456" s="847"/>
      <c r="BX456" s="847"/>
      <c r="BY456" s="847"/>
      <c r="BZ456" s="847"/>
      <c r="CA456" s="847"/>
      <c r="CB456" s="847"/>
      <c r="CC456" s="847"/>
      <c r="CD456" s="847"/>
      <c r="CE456" s="847"/>
      <c r="CF456" s="847"/>
      <c r="CG456" s="847"/>
      <c r="CH456" s="847"/>
      <c r="CI456" s="847"/>
      <c r="CJ456" s="847"/>
      <c r="CK456" s="847"/>
      <c r="CL456" s="847"/>
      <c r="CM456" s="847"/>
      <c r="CN456" s="847"/>
      <c r="CO456" s="847"/>
      <c r="CP456" s="847"/>
      <c r="CQ456" s="847"/>
      <c r="CR456" s="847"/>
      <c r="CS456" s="847"/>
      <c r="CT456" s="847"/>
      <c r="CU456" s="847"/>
      <c r="CV456" s="847"/>
      <c r="CW456" s="847"/>
      <c r="CX456" s="847"/>
      <c r="CY456" s="847"/>
      <c r="CZ456" s="847"/>
      <c r="DA456" s="847"/>
      <c r="DB456"/>
      <c r="DC456"/>
      <c r="DD456" s="2323"/>
      <c r="DE456" s="2349"/>
      <c r="DF456" s="2349"/>
      <c r="DG456" s="2349"/>
      <c r="DH456" s="2349"/>
      <c r="DI456" s="2349"/>
      <c r="DJ456" s="2349"/>
      <c r="DK456" s="2349"/>
      <c r="DL456" s="2349"/>
      <c r="DM456" s="2349"/>
      <c r="DN456" s="2349"/>
      <c r="DO456" s="2349"/>
      <c r="DP456" s="2349"/>
      <c r="DQ456" s="2349"/>
      <c r="DR456" s="2349"/>
      <c r="DS456" s="2349"/>
      <c r="DT456" s="2349"/>
      <c r="DU456" s="2349"/>
      <c r="DV456" s="2349"/>
      <c r="DW456" s="2349"/>
      <c r="DX456" s="2349"/>
      <c r="DY456" s="2349"/>
      <c r="EA456"/>
      <c r="EB456"/>
      <c r="EC456"/>
      <c r="ED456"/>
      <c r="EE456"/>
      <c r="EF456"/>
      <c r="EJ456"/>
      <c r="EK456"/>
      <c r="EL456"/>
      <c r="ER456" s="212"/>
    </row>
    <row r="457" spans="1:148" s="923" customFormat="1" ht="12.75" hidden="1" customHeight="1" outlineLevel="1" x14ac:dyDescent="0.2">
      <c r="A457" s="867" t="s">
        <v>1863</v>
      </c>
      <c r="B457" s="852"/>
      <c r="C457" s="852"/>
      <c r="D457" s="852"/>
      <c r="E457" s="852"/>
      <c r="F457" s="852"/>
      <c r="G457" s="852"/>
      <c r="H457" s="852"/>
      <c r="I457" s="852"/>
      <c r="J457" s="852"/>
      <c r="K457" s="852"/>
      <c r="L457" s="852"/>
      <c r="M457" s="852"/>
      <c r="N457" s="852">
        <f>N441-N455+N461</f>
        <v>43</v>
      </c>
      <c r="O457" s="852">
        <f>O441-O455+O461</f>
        <v>39</v>
      </c>
      <c r="P457" s="852">
        <f>P441-P455+P461</f>
        <v>38</v>
      </c>
      <c r="Q457" s="852">
        <f>Q441-Q455+Q461</f>
        <v>27</v>
      </c>
      <c r="R457" s="852">
        <f>SUM(N457:Q457)</f>
        <v>147</v>
      </c>
      <c r="S457" s="852">
        <f t="shared" ref="S457:AX457" si="911">S441-S455+S461</f>
        <v>26</v>
      </c>
      <c r="T457" s="852">
        <f t="shared" si="911"/>
        <v>34</v>
      </c>
      <c r="U457" s="852">
        <f t="shared" si="911"/>
        <v>26</v>
      </c>
      <c r="V457" s="852">
        <f t="shared" si="911"/>
        <v>35</v>
      </c>
      <c r="W457" s="852">
        <f t="shared" si="911"/>
        <v>121</v>
      </c>
      <c r="X457" s="852">
        <f t="shared" si="911"/>
        <v>29</v>
      </c>
      <c r="Y457" s="852">
        <f t="shared" si="911"/>
        <v>19</v>
      </c>
      <c r="Z457" s="852">
        <f t="shared" si="911"/>
        <v>31</v>
      </c>
      <c r="AA457" s="852">
        <f t="shared" si="911"/>
        <v>55</v>
      </c>
      <c r="AB457" s="852">
        <f t="shared" si="911"/>
        <v>134</v>
      </c>
      <c r="AC457" s="852">
        <f t="shared" si="911"/>
        <v>66</v>
      </c>
      <c r="AD457" s="852">
        <f t="shared" si="911"/>
        <v>36</v>
      </c>
      <c r="AE457" s="852">
        <f t="shared" si="911"/>
        <v>50</v>
      </c>
      <c r="AF457" s="852">
        <f t="shared" si="911"/>
        <v>56</v>
      </c>
      <c r="AG457" s="852">
        <f t="shared" si="911"/>
        <v>208</v>
      </c>
      <c r="AH457" s="852">
        <f t="shared" si="911"/>
        <v>74</v>
      </c>
      <c r="AI457" s="852">
        <f t="shared" si="911"/>
        <v>66</v>
      </c>
      <c r="AJ457" s="852">
        <f t="shared" si="911"/>
        <v>63</v>
      </c>
      <c r="AK457" s="852">
        <f t="shared" si="911"/>
        <v>56</v>
      </c>
      <c r="AL457" s="852">
        <f t="shared" si="911"/>
        <v>259</v>
      </c>
      <c r="AM457" s="852">
        <f t="shared" si="911"/>
        <v>66</v>
      </c>
      <c r="AN457" s="852">
        <f t="shared" si="911"/>
        <v>82</v>
      </c>
      <c r="AO457" s="852">
        <f t="shared" si="911"/>
        <v>76</v>
      </c>
      <c r="AP457" s="852">
        <f t="shared" si="911"/>
        <v>133</v>
      </c>
      <c r="AQ457" s="852">
        <f t="shared" si="911"/>
        <v>357</v>
      </c>
      <c r="AR457" s="852">
        <f t="shared" si="911"/>
        <v>57</v>
      </c>
      <c r="AS457" s="852">
        <f t="shared" si="911"/>
        <v>122</v>
      </c>
      <c r="AT457" s="852">
        <f t="shared" si="911"/>
        <v>45</v>
      </c>
      <c r="AU457" s="852">
        <f t="shared" si="911"/>
        <v>126</v>
      </c>
      <c r="AV457" s="852">
        <f t="shared" si="911"/>
        <v>350</v>
      </c>
      <c r="AW457" s="852">
        <f t="shared" si="911"/>
        <v>13</v>
      </c>
      <c r="AX457" s="852">
        <f t="shared" si="911"/>
        <v>77</v>
      </c>
      <c r="AY457" s="852">
        <f t="shared" ref="AY457:BU457" si="912">AY441-AY455+AY461</f>
        <v>47</v>
      </c>
      <c r="AZ457" s="852">
        <f t="shared" si="912"/>
        <v>10</v>
      </c>
      <c r="BA457" s="852">
        <f t="shared" si="912"/>
        <v>147</v>
      </c>
      <c r="BB457" s="852">
        <f t="shared" si="912"/>
        <v>6</v>
      </c>
      <c r="BC457" s="852">
        <f t="shared" si="912"/>
        <v>16</v>
      </c>
      <c r="BD457" s="852">
        <f t="shared" si="912"/>
        <v>13</v>
      </c>
      <c r="BE457" s="852">
        <f t="shared" si="912"/>
        <v>61</v>
      </c>
      <c r="BF457" s="852">
        <f t="shared" si="912"/>
        <v>96</v>
      </c>
      <c r="BG457" s="852">
        <f t="shared" si="912"/>
        <v>285</v>
      </c>
      <c r="BH457" s="852">
        <f t="shared" si="912"/>
        <v>289</v>
      </c>
      <c r="BI457" s="852">
        <f t="shared" si="912"/>
        <v>275</v>
      </c>
      <c r="BJ457" s="852">
        <f t="shared" si="912"/>
        <v>372</v>
      </c>
      <c r="BK457" s="852">
        <f t="shared" si="912"/>
        <v>1221</v>
      </c>
      <c r="BL457" s="852">
        <f t="shared" si="912"/>
        <v>274</v>
      </c>
      <c r="BM457" s="852">
        <f t="shared" si="912"/>
        <v>288</v>
      </c>
      <c r="BN457" s="852">
        <f t="shared" si="912"/>
        <v>286</v>
      </c>
      <c r="BO457" s="852">
        <f t="shared" si="912"/>
        <v>29</v>
      </c>
      <c r="BP457" s="852">
        <f t="shared" si="912"/>
        <v>917.84734000000026</v>
      </c>
      <c r="BQ457" s="852">
        <f>BQ441-BQ455+BQ461</f>
        <v>0</v>
      </c>
      <c r="BR457" s="852">
        <f t="shared" si="912"/>
        <v>0</v>
      </c>
      <c r="BS457" s="852">
        <f t="shared" si="912"/>
        <v>0</v>
      </c>
      <c r="BT457" s="852">
        <f t="shared" si="912"/>
        <v>0</v>
      </c>
      <c r="BU457" s="852">
        <f t="shared" si="912"/>
        <v>0</v>
      </c>
      <c r="BV457" s="852"/>
      <c r="BW457" s="852"/>
      <c r="BX457" s="852"/>
      <c r="BY457" s="852"/>
      <c r="BZ457" s="852"/>
      <c r="CA457" s="852"/>
      <c r="CB457" s="852"/>
      <c r="CC457" s="852"/>
      <c r="CD457" s="852"/>
      <c r="CE457" s="852"/>
      <c r="CF457" s="852"/>
      <c r="CG457" s="852"/>
      <c r="CH457" s="852"/>
      <c r="CI457" s="852"/>
      <c r="CJ457" s="852"/>
      <c r="CK457" s="852"/>
      <c r="CL457" s="852"/>
      <c r="CM457" s="852"/>
      <c r="CN457" s="852"/>
      <c r="CO457" s="852"/>
      <c r="CP457" s="852"/>
      <c r="CQ457" s="852"/>
      <c r="CR457" s="852"/>
      <c r="CS457" s="852"/>
      <c r="CT457" s="852"/>
      <c r="CU457" s="852"/>
      <c r="CV457" s="852"/>
      <c r="CW457" s="852"/>
      <c r="CX457" s="852"/>
      <c r="CY457" s="852"/>
      <c r="CZ457" s="852"/>
      <c r="DA457" s="852"/>
      <c r="DB457"/>
      <c r="DC457"/>
      <c r="DD457" s="867" t="s">
        <v>1863</v>
      </c>
      <c r="DE457" s="852">
        <f>M457</f>
        <v>0</v>
      </c>
      <c r="DF457" s="852">
        <f>R457</f>
        <v>147</v>
      </c>
      <c r="DG457" s="852">
        <f>W457</f>
        <v>121</v>
      </c>
      <c r="DH457" s="852">
        <f>AB457</f>
        <v>134</v>
      </c>
      <c r="DI457" s="852">
        <f>AG457</f>
        <v>208</v>
      </c>
      <c r="DJ457" s="852">
        <f>AL457</f>
        <v>259</v>
      </c>
      <c r="DK457" s="852">
        <f>AQ457</f>
        <v>357</v>
      </c>
      <c r="DL457" s="852">
        <f>AV457</f>
        <v>350</v>
      </c>
      <c r="DM457" s="852">
        <f>BA457</f>
        <v>147</v>
      </c>
      <c r="DN457" s="852">
        <f>BF457</f>
        <v>96</v>
      </c>
      <c r="DO457" s="852">
        <f>BK457</f>
        <v>1221</v>
      </c>
      <c r="DP457" s="852">
        <f>BP457</f>
        <v>917.84734000000026</v>
      </c>
      <c r="DQ457" s="852">
        <f>BU457</f>
        <v>0</v>
      </c>
      <c r="DR457" s="852">
        <f>BZ457</f>
        <v>0</v>
      </c>
      <c r="DS457" s="852">
        <f>CE457</f>
        <v>0</v>
      </c>
      <c r="DT457" s="852">
        <f>CJ457</f>
        <v>0</v>
      </c>
      <c r="DU457" s="852">
        <f>CO457</f>
        <v>0</v>
      </c>
      <c r="DV457" s="852">
        <f>CT457</f>
        <v>0</v>
      </c>
      <c r="DW457" s="852">
        <f t="shared" ref="DW457:DY459" si="913">CY457</f>
        <v>0</v>
      </c>
      <c r="DX457" s="852">
        <f t="shared" si="913"/>
        <v>0</v>
      </c>
      <c r="DY457" s="852">
        <f t="shared" si="913"/>
        <v>0</v>
      </c>
      <c r="EA457"/>
      <c r="EB457"/>
      <c r="EC457"/>
      <c r="ED457"/>
      <c r="EE457"/>
      <c r="EF457"/>
      <c r="EJ457"/>
      <c r="EK457"/>
      <c r="EL457"/>
      <c r="ER457" s="212"/>
    </row>
    <row r="458" spans="1:148" s="923" customFormat="1" ht="12.75" hidden="1" customHeight="1" outlineLevel="1" x14ac:dyDescent="0.2">
      <c r="A458" s="865" t="s">
        <v>1329</v>
      </c>
      <c r="B458" s="847"/>
      <c r="C458" s="847"/>
      <c r="D458" s="847"/>
      <c r="E458" s="847"/>
      <c r="F458" s="847"/>
      <c r="G458" s="847"/>
      <c r="H458" s="847"/>
      <c r="I458" s="847"/>
      <c r="J458" s="847"/>
      <c r="K458" s="847"/>
      <c r="L458" s="847"/>
      <c r="M458" s="847"/>
      <c r="N458" s="847">
        <f t="shared" ref="N458:AS458" si="914">N457/N441</f>
        <v>0.18376068376068377</v>
      </c>
      <c r="O458" s="847">
        <f t="shared" si="914"/>
        <v>0.1598360655737705</v>
      </c>
      <c r="P458" s="847">
        <f t="shared" si="914"/>
        <v>0.13286713286713286</v>
      </c>
      <c r="Q458" s="847">
        <f t="shared" si="914"/>
        <v>9.4736842105263161E-2</v>
      </c>
      <c r="R458" s="847">
        <f t="shared" si="914"/>
        <v>0.15738758029978586</v>
      </c>
      <c r="S458" s="847">
        <f t="shared" si="914"/>
        <v>0.11764705882352941</v>
      </c>
      <c r="T458" s="847">
        <f t="shared" si="914"/>
        <v>0.13026819923371646</v>
      </c>
      <c r="U458" s="847">
        <f t="shared" si="914"/>
        <v>0.10038610038610038</v>
      </c>
      <c r="V458" s="847">
        <f t="shared" si="914"/>
        <v>0.11006289308176101</v>
      </c>
      <c r="W458" s="847">
        <f t="shared" si="914"/>
        <v>0.11425873465533522</v>
      </c>
      <c r="X458" s="847">
        <f t="shared" si="914"/>
        <v>0.12236286919831224</v>
      </c>
      <c r="Y458" s="847">
        <f t="shared" si="914"/>
        <v>8.11965811965812E-2</v>
      </c>
      <c r="Z458" s="847">
        <f t="shared" si="914"/>
        <v>0.10472972972972973</v>
      </c>
      <c r="AA458" s="847">
        <f t="shared" si="914"/>
        <v>0.14550264550264549</v>
      </c>
      <c r="AB458" s="847">
        <f t="shared" si="914"/>
        <v>0.11703056768558952</v>
      </c>
      <c r="AC458" s="847">
        <f t="shared" si="914"/>
        <v>0.20754716981132076</v>
      </c>
      <c r="AD458" s="847">
        <f t="shared" si="914"/>
        <v>0.12811387900355872</v>
      </c>
      <c r="AE458" s="847">
        <f t="shared" si="914"/>
        <v>0.16722408026755853</v>
      </c>
      <c r="AF458" s="847">
        <f t="shared" si="914"/>
        <v>0.16045845272206305</v>
      </c>
      <c r="AG458" s="847">
        <f t="shared" si="914"/>
        <v>0.16680032076984763</v>
      </c>
      <c r="AH458" s="847">
        <f t="shared" si="914"/>
        <v>0.2138728323699422</v>
      </c>
      <c r="AI458" s="847">
        <f t="shared" si="914"/>
        <v>0.19701492537313434</v>
      </c>
      <c r="AJ458" s="847">
        <f t="shared" si="914"/>
        <v>0.16030534351145037</v>
      </c>
      <c r="AK458" s="847">
        <f t="shared" si="914"/>
        <v>0.13559322033898305</v>
      </c>
      <c r="AL458" s="847">
        <f t="shared" si="914"/>
        <v>0.17417619367854742</v>
      </c>
      <c r="AM458" s="847">
        <f t="shared" si="914"/>
        <v>0.21568627450980393</v>
      </c>
      <c r="AN458" s="847">
        <f t="shared" si="914"/>
        <v>0.22102425876010781</v>
      </c>
      <c r="AO458" s="847">
        <f t="shared" si="914"/>
        <v>0.20320855614973263</v>
      </c>
      <c r="AP458" s="847">
        <f t="shared" si="914"/>
        <v>0.25285171102661597</v>
      </c>
      <c r="AQ458" s="847">
        <f t="shared" si="914"/>
        <v>0.22637920101458464</v>
      </c>
      <c r="AR458" s="847">
        <f t="shared" si="914"/>
        <v>0.15447154471544716</v>
      </c>
      <c r="AS458" s="847">
        <f t="shared" si="914"/>
        <v>0.26931567328918321</v>
      </c>
      <c r="AT458" s="847">
        <f t="shared" ref="AT458:BP458" si="915">AT457/AT441</f>
        <v>0.11568123393316196</v>
      </c>
      <c r="AU458" s="847">
        <f t="shared" si="915"/>
        <v>0.23507462686567165</v>
      </c>
      <c r="AV458" s="847">
        <f t="shared" si="915"/>
        <v>0.2003434459072696</v>
      </c>
      <c r="AW458" s="847">
        <f t="shared" si="915"/>
        <v>3.9877300613496931E-2</v>
      </c>
      <c r="AX458" s="847">
        <f t="shared" si="915"/>
        <v>0.19845360824742267</v>
      </c>
      <c r="AY458" s="847">
        <f t="shared" si="915"/>
        <v>0.12239583333333333</v>
      </c>
      <c r="AZ458" s="847">
        <f t="shared" si="915"/>
        <v>2.5906735751295335E-2</v>
      </c>
      <c r="BA458" s="847">
        <f t="shared" si="915"/>
        <v>9.9056603773584911E-2</v>
      </c>
      <c r="BB458" s="847">
        <f t="shared" si="915"/>
        <v>2.6548672566371681E-2</v>
      </c>
      <c r="BC458" s="847">
        <f t="shared" si="915"/>
        <v>5.4237288135593219E-2</v>
      </c>
      <c r="BD458" s="847">
        <f t="shared" si="915"/>
        <v>5.1792828685258967E-2</v>
      </c>
      <c r="BE458" s="847">
        <f t="shared" si="915"/>
        <v>0.16758241758241757</v>
      </c>
      <c r="BF458" s="847">
        <f t="shared" si="915"/>
        <v>8.4507042253521125E-2</v>
      </c>
      <c r="BG458" s="847">
        <f t="shared" si="915"/>
        <v>1</v>
      </c>
      <c r="BH458" s="847">
        <f t="shared" si="915"/>
        <v>1</v>
      </c>
      <c r="BI458" s="847">
        <f t="shared" si="915"/>
        <v>1</v>
      </c>
      <c r="BJ458" s="847">
        <f t="shared" si="915"/>
        <v>1</v>
      </c>
      <c r="BK458" s="847">
        <f t="shared" si="915"/>
        <v>1</v>
      </c>
      <c r="BL458" s="847">
        <f t="shared" si="915"/>
        <v>0.99275362318840576</v>
      </c>
      <c r="BM458" s="847">
        <f t="shared" si="915"/>
        <v>1</v>
      </c>
      <c r="BN458" s="847">
        <f t="shared" si="915"/>
        <v>1</v>
      </c>
      <c r="BO458" s="847">
        <f t="shared" si="915"/>
        <v>0.12184873949579832</v>
      </c>
      <c r="BP458" s="847">
        <f t="shared" si="915"/>
        <v>0.73204245812006419</v>
      </c>
      <c r="BQ458" s="847"/>
      <c r="BR458" s="847"/>
      <c r="BS458" s="847"/>
      <c r="BT458" s="847"/>
      <c r="BU458" s="847"/>
      <c r="BV458" s="847"/>
      <c r="BW458" s="847"/>
      <c r="BX458" s="847"/>
      <c r="BY458" s="847"/>
      <c r="BZ458" s="847"/>
      <c r="CA458" s="847"/>
      <c r="CB458" s="847"/>
      <c r="CC458" s="847"/>
      <c r="CD458" s="847"/>
      <c r="CE458" s="847"/>
      <c r="CF458" s="847"/>
      <c r="CG458" s="847"/>
      <c r="CH458" s="847"/>
      <c r="CI458" s="847"/>
      <c r="CJ458" s="847"/>
      <c r="CK458" s="847"/>
      <c r="CL458" s="847"/>
      <c r="CM458" s="847"/>
      <c r="CN458" s="847"/>
      <c r="CO458" s="847"/>
      <c r="CP458" s="847"/>
      <c r="CQ458" s="847"/>
      <c r="CR458" s="847"/>
      <c r="CS458" s="847"/>
      <c r="CT458" s="847"/>
      <c r="CU458" s="847"/>
      <c r="CV458" s="847"/>
      <c r="CW458" s="847"/>
      <c r="CX458" s="847"/>
      <c r="CY458" s="847"/>
      <c r="CZ458" s="847"/>
      <c r="DA458" s="847"/>
      <c r="DB458"/>
      <c r="DC458"/>
      <c r="DD458" s="2323" t="s">
        <v>1329</v>
      </c>
      <c r="DE458" s="2349">
        <f>M458</f>
        <v>0</v>
      </c>
      <c r="DF458" s="2349">
        <f>R458</f>
        <v>0.15738758029978586</v>
      </c>
      <c r="DG458" s="2349">
        <f>W458</f>
        <v>0.11425873465533522</v>
      </c>
      <c r="DH458" s="2349">
        <f>AB458</f>
        <v>0.11703056768558952</v>
      </c>
      <c r="DI458" s="2349">
        <f>AG458</f>
        <v>0.16680032076984763</v>
      </c>
      <c r="DJ458" s="2349">
        <f>AL458</f>
        <v>0.17417619367854742</v>
      </c>
      <c r="DK458" s="2349">
        <f>AQ458</f>
        <v>0.22637920101458464</v>
      </c>
      <c r="DL458" s="2349">
        <f>AV458</f>
        <v>0.2003434459072696</v>
      </c>
      <c r="DM458" s="2349">
        <f>BA458</f>
        <v>9.9056603773584911E-2</v>
      </c>
      <c r="DN458" s="2349">
        <f>BF458</f>
        <v>8.4507042253521125E-2</v>
      </c>
      <c r="DO458" s="2349">
        <f>BK458</f>
        <v>1</v>
      </c>
      <c r="DP458" s="2349">
        <f>BP458</f>
        <v>0.73204245812006419</v>
      </c>
      <c r="DQ458" s="2349">
        <f>BU458</f>
        <v>0</v>
      </c>
      <c r="DR458" s="2349">
        <f>BZ458</f>
        <v>0</v>
      </c>
      <c r="DS458" s="2349">
        <f>CE458</f>
        <v>0</v>
      </c>
      <c r="DT458" s="2349">
        <f>CJ458</f>
        <v>0</v>
      </c>
      <c r="DU458" s="2349">
        <f>CO458</f>
        <v>0</v>
      </c>
      <c r="DV458" s="2349">
        <f>CT458</f>
        <v>0</v>
      </c>
      <c r="DW458" s="2349">
        <f t="shared" si="913"/>
        <v>0</v>
      </c>
      <c r="DX458" s="2349">
        <f t="shared" si="913"/>
        <v>0</v>
      </c>
      <c r="DY458" s="2349">
        <f t="shared" si="913"/>
        <v>0</v>
      </c>
      <c r="EA458"/>
      <c r="EB458"/>
      <c r="EC458"/>
      <c r="ED458"/>
      <c r="EE458"/>
      <c r="EF458"/>
      <c r="EJ458"/>
      <c r="EK458"/>
      <c r="EL458"/>
      <c r="ER458" s="212"/>
    </row>
    <row r="459" spans="1:148" s="923" customFormat="1" ht="12.75" hidden="1" customHeight="1" outlineLevel="1" x14ac:dyDescent="0.2">
      <c r="A459" s="865" t="s">
        <v>1340</v>
      </c>
      <c r="B459" s="847"/>
      <c r="C459" s="847"/>
      <c r="D459" s="847"/>
      <c r="E459" s="847"/>
      <c r="F459" s="847"/>
      <c r="G459" s="847"/>
      <c r="H459" s="847"/>
      <c r="I459" s="847"/>
      <c r="J459" s="847"/>
      <c r="K459" s="847"/>
      <c r="L459" s="847"/>
      <c r="M459" s="847"/>
      <c r="N459" s="847"/>
      <c r="O459" s="847"/>
      <c r="P459" s="847"/>
      <c r="Q459" s="847"/>
      <c r="R459" s="847"/>
      <c r="S459" s="847">
        <f t="shared" ref="S459:AX459" si="916">S457/N457-1</f>
        <v>-0.39534883720930236</v>
      </c>
      <c r="T459" s="847">
        <f t="shared" si="916"/>
        <v>-0.12820512820512819</v>
      </c>
      <c r="U459" s="847">
        <f t="shared" si="916"/>
        <v>-0.31578947368421051</v>
      </c>
      <c r="V459" s="847">
        <f t="shared" si="916"/>
        <v>0.29629629629629628</v>
      </c>
      <c r="W459" s="847">
        <f t="shared" si="916"/>
        <v>-0.1768707482993197</v>
      </c>
      <c r="X459" s="847">
        <f t="shared" si="916"/>
        <v>0.11538461538461542</v>
      </c>
      <c r="Y459" s="847">
        <f t="shared" si="916"/>
        <v>-0.44117647058823528</v>
      </c>
      <c r="Z459" s="847">
        <f t="shared" si="916"/>
        <v>0.19230769230769229</v>
      </c>
      <c r="AA459" s="847">
        <f t="shared" si="916"/>
        <v>0.5714285714285714</v>
      </c>
      <c r="AB459" s="847">
        <f t="shared" si="916"/>
        <v>0.10743801652892571</v>
      </c>
      <c r="AC459" s="847">
        <f t="shared" si="916"/>
        <v>1.2758620689655173</v>
      </c>
      <c r="AD459" s="847">
        <f t="shared" si="916"/>
        <v>0.89473684210526305</v>
      </c>
      <c r="AE459" s="847">
        <f t="shared" si="916"/>
        <v>0.61290322580645151</v>
      </c>
      <c r="AF459" s="847">
        <f t="shared" si="916"/>
        <v>1.8181818181818077E-2</v>
      </c>
      <c r="AG459" s="847">
        <f t="shared" si="916"/>
        <v>0.55223880597014929</v>
      </c>
      <c r="AH459" s="847">
        <f t="shared" si="916"/>
        <v>0.1212121212121211</v>
      </c>
      <c r="AI459" s="847">
        <f t="shared" si="916"/>
        <v>0.83333333333333326</v>
      </c>
      <c r="AJ459" s="847">
        <f t="shared" si="916"/>
        <v>0.26</v>
      </c>
      <c r="AK459" s="847">
        <f t="shared" si="916"/>
        <v>0</v>
      </c>
      <c r="AL459" s="847">
        <f t="shared" si="916"/>
        <v>0.24519230769230771</v>
      </c>
      <c r="AM459" s="847">
        <f t="shared" si="916"/>
        <v>-0.10810810810810811</v>
      </c>
      <c r="AN459" s="847">
        <f t="shared" si="916"/>
        <v>0.24242424242424243</v>
      </c>
      <c r="AO459" s="847">
        <f t="shared" si="916"/>
        <v>0.20634920634920628</v>
      </c>
      <c r="AP459" s="847">
        <f t="shared" si="916"/>
        <v>1.375</v>
      </c>
      <c r="AQ459" s="847">
        <f t="shared" si="916"/>
        <v>0.37837837837837829</v>
      </c>
      <c r="AR459" s="847">
        <f t="shared" si="916"/>
        <v>-0.13636363636363635</v>
      </c>
      <c r="AS459" s="847">
        <f t="shared" si="916"/>
        <v>0.48780487804878048</v>
      </c>
      <c r="AT459" s="847">
        <f t="shared" si="916"/>
        <v>-0.40789473684210531</v>
      </c>
      <c r="AU459" s="847">
        <f t="shared" si="916"/>
        <v>-5.2631578947368474E-2</v>
      </c>
      <c r="AV459" s="847">
        <f t="shared" si="916"/>
        <v>-1.9607843137254943E-2</v>
      </c>
      <c r="AW459" s="847">
        <f t="shared" si="916"/>
        <v>-0.77192982456140347</v>
      </c>
      <c r="AX459" s="847">
        <f t="shared" si="916"/>
        <v>-0.36885245901639341</v>
      </c>
      <c r="AY459" s="847">
        <f t="shared" ref="AY459:BL459" si="917">AY457/AT457-1</f>
        <v>4.4444444444444509E-2</v>
      </c>
      <c r="AZ459" s="847">
        <f t="shared" si="917"/>
        <v>-0.92063492063492069</v>
      </c>
      <c r="BA459" s="847">
        <f t="shared" si="917"/>
        <v>-0.58000000000000007</v>
      </c>
      <c r="BB459" s="847">
        <f t="shared" si="917"/>
        <v>-0.53846153846153844</v>
      </c>
      <c r="BC459" s="847">
        <f t="shared" si="917"/>
        <v>-0.79220779220779214</v>
      </c>
      <c r="BD459" s="847">
        <f t="shared" si="917"/>
        <v>-0.72340425531914887</v>
      </c>
      <c r="BE459" s="847">
        <f t="shared" si="917"/>
        <v>5.0999999999999996</v>
      </c>
      <c r="BF459" s="847">
        <f t="shared" si="917"/>
        <v>-0.34693877551020413</v>
      </c>
      <c r="BG459" s="847">
        <f t="shared" si="917"/>
        <v>46.5</v>
      </c>
      <c r="BH459" s="847">
        <f t="shared" si="917"/>
        <v>17.0625</v>
      </c>
      <c r="BI459" s="847">
        <f t="shared" si="917"/>
        <v>20.153846153846153</v>
      </c>
      <c r="BJ459" s="847">
        <f t="shared" si="917"/>
        <v>5.0983606557377046</v>
      </c>
      <c r="BK459" s="847">
        <f t="shared" si="917"/>
        <v>11.71875</v>
      </c>
      <c r="BL459" s="847">
        <f t="shared" si="917"/>
        <v>-3.8596491228070184E-2</v>
      </c>
      <c r="BM459" s="847">
        <f>BM457/BH457-1</f>
        <v>-3.4602076124568004E-3</v>
      </c>
      <c r="BN459" s="847">
        <f>BN457/BI457-1</f>
        <v>4.0000000000000036E-2</v>
      </c>
      <c r="BO459" s="847">
        <f>BO457/BJ457-1</f>
        <v>-0.92204301075268813</v>
      </c>
      <c r="BP459" s="847">
        <f>BP457/BK457-1</f>
        <v>-0.24828227682227666</v>
      </c>
      <c r="BQ459" s="847"/>
      <c r="BR459" s="847"/>
      <c r="BS459" s="847"/>
      <c r="BT459" s="847"/>
      <c r="BU459" s="847"/>
      <c r="BV459" s="847"/>
      <c r="BW459" s="847"/>
      <c r="BX459" s="847"/>
      <c r="BY459" s="847"/>
      <c r="BZ459" s="847"/>
      <c r="CA459" s="847"/>
      <c r="CB459" s="847"/>
      <c r="CC459" s="847"/>
      <c r="CD459" s="847"/>
      <c r="CE459" s="847"/>
      <c r="CF459" s="847"/>
      <c r="CG459" s="847"/>
      <c r="CH459" s="847"/>
      <c r="CI459" s="847"/>
      <c r="CJ459" s="847"/>
      <c r="CK459" s="847"/>
      <c r="CL459" s="847"/>
      <c r="CM459" s="847"/>
      <c r="CN459" s="847"/>
      <c r="CO459" s="847"/>
      <c r="CP459" s="847"/>
      <c r="CQ459" s="847"/>
      <c r="CR459" s="847"/>
      <c r="CS459" s="847"/>
      <c r="CT459" s="847"/>
      <c r="CU459" s="847"/>
      <c r="CV459" s="847"/>
      <c r="CW459" s="847"/>
      <c r="CX459" s="847"/>
      <c r="CY459" s="847"/>
      <c r="CZ459" s="847"/>
      <c r="DA459" s="847"/>
      <c r="DB459"/>
      <c r="DC459"/>
      <c r="DD459" s="2323" t="s">
        <v>1340</v>
      </c>
      <c r="DE459" s="2349">
        <f>M459</f>
        <v>0</v>
      </c>
      <c r="DF459" s="2349">
        <f>R459</f>
        <v>0</v>
      </c>
      <c r="DG459" s="2349">
        <f>W459</f>
        <v>-0.1768707482993197</v>
      </c>
      <c r="DH459" s="2349">
        <f>AB459</f>
        <v>0.10743801652892571</v>
      </c>
      <c r="DI459" s="2349">
        <f>AG459</f>
        <v>0.55223880597014929</v>
      </c>
      <c r="DJ459" s="2349">
        <f>AL459</f>
        <v>0.24519230769230771</v>
      </c>
      <c r="DK459" s="2349">
        <f>AQ459</f>
        <v>0.37837837837837829</v>
      </c>
      <c r="DL459" s="2349">
        <f>AV459</f>
        <v>-1.9607843137254943E-2</v>
      </c>
      <c r="DM459" s="2349">
        <f>BA459</f>
        <v>-0.58000000000000007</v>
      </c>
      <c r="DN459" s="2349">
        <f>BF459</f>
        <v>-0.34693877551020413</v>
      </c>
      <c r="DO459" s="2349">
        <f>BK459</f>
        <v>11.71875</v>
      </c>
      <c r="DP459" s="2349">
        <f>BP459</f>
        <v>-0.24828227682227666</v>
      </c>
      <c r="DQ459" s="2349">
        <f>BU459</f>
        <v>0</v>
      </c>
      <c r="DR459" s="2349">
        <f>BZ459</f>
        <v>0</v>
      </c>
      <c r="DS459" s="2349">
        <f>CE459</f>
        <v>0</v>
      </c>
      <c r="DT459" s="2349">
        <f>CJ459</f>
        <v>0</v>
      </c>
      <c r="DU459" s="2349">
        <f>CO459</f>
        <v>0</v>
      </c>
      <c r="DV459" s="2349">
        <f>CT459</f>
        <v>0</v>
      </c>
      <c r="DW459" s="2349">
        <f t="shared" si="913"/>
        <v>0</v>
      </c>
      <c r="DX459" s="2349">
        <f t="shared" si="913"/>
        <v>0</v>
      </c>
      <c r="DY459" s="2349">
        <f t="shared" si="913"/>
        <v>0</v>
      </c>
      <c r="EA459"/>
      <c r="EB459"/>
      <c r="EC459"/>
      <c r="ED459"/>
      <c r="EE459"/>
      <c r="EF459"/>
      <c r="EJ459"/>
      <c r="EK459"/>
      <c r="EL459"/>
      <c r="ER459" s="212"/>
    </row>
    <row r="460" spans="1:148" s="923" customFormat="1" ht="12.75" hidden="1" customHeight="1" outlineLevel="1" x14ac:dyDescent="0.2">
      <c r="A460" s="865"/>
      <c r="B460" s="847"/>
      <c r="C460" s="847"/>
      <c r="D460" s="847"/>
      <c r="E460" s="847"/>
      <c r="F460" s="847"/>
      <c r="G460" s="847"/>
      <c r="H460" s="847"/>
      <c r="I460" s="847"/>
      <c r="J460" s="847"/>
      <c r="K460" s="847"/>
      <c r="L460" s="847"/>
      <c r="M460" s="847"/>
      <c r="N460" s="847"/>
      <c r="O460" s="847"/>
      <c r="P460" s="847"/>
      <c r="Q460" s="847"/>
      <c r="R460" s="847"/>
      <c r="S460" s="847"/>
      <c r="T460" s="847"/>
      <c r="U460" s="847"/>
      <c r="V460" s="847"/>
      <c r="W460" s="847"/>
      <c r="X460" s="847"/>
      <c r="Y460" s="847"/>
      <c r="Z460" s="847"/>
      <c r="AA460" s="847"/>
      <c r="AB460" s="847"/>
      <c r="AC460" s="847"/>
      <c r="AD460" s="847"/>
      <c r="AE460" s="847"/>
      <c r="AF460" s="847"/>
      <c r="AG460" s="847"/>
      <c r="AH460" s="847"/>
      <c r="AI460" s="847"/>
      <c r="AJ460" s="847"/>
      <c r="AK460" s="847"/>
      <c r="AL460" s="847"/>
      <c r="AM460" s="847"/>
      <c r="AN460" s="847"/>
      <c r="AO460" s="847"/>
      <c r="AP460" s="847"/>
      <c r="AQ460" s="847"/>
      <c r="AR460" s="847"/>
      <c r="AS460" s="847"/>
      <c r="AT460" s="847"/>
      <c r="AU460" s="847"/>
      <c r="AV460" s="847"/>
      <c r="AW460" s="847"/>
      <c r="AX460" s="847"/>
      <c r="AY460" s="847"/>
      <c r="AZ460" s="847"/>
      <c r="BA460" s="847"/>
      <c r="BB460" s="847"/>
      <c r="BC460" s="847"/>
      <c r="BD460" s="847"/>
      <c r="BE460" s="847"/>
      <c r="BF460" s="847"/>
      <c r="BG460" s="847"/>
      <c r="BH460" s="847"/>
      <c r="BI460" s="847"/>
      <c r="BJ460" s="847"/>
      <c r="BK460" s="847"/>
      <c r="BL460" s="847"/>
      <c r="BM460" s="847"/>
      <c r="BN460" s="847"/>
      <c r="BO460" s="847"/>
      <c r="BP460" s="847"/>
      <c r="BQ460" s="847"/>
      <c r="BR460" s="847"/>
      <c r="BS460" s="847"/>
      <c r="BT460" s="847"/>
      <c r="BU460" s="847"/>
      <c r="BV460" s="847"/>
      <c r="BW460" s="847"/>
      <c r="BX460" s="847"/>
      <c r="BY460" s="847"/>
      <c r="BZ460" s="847"/>
      <c r="CA460" s="847"/>
      <c r="CB460" s="847"/>
      <c r="CC460" s="847"/>
      <c r="CD460" s="847"/>
      <c r="CE460" s="847"/>
      <c r="CF460" s="847"/>
      <c r="CG460" s="847"/>
      <c r="CH460" s="847"/>
      <c r="CI460" s="847"/>
      <c r="CJ460" s="847"/>
      <c r="CK460" s="847"/>
      <c r="CL460" s="847"/>
      <c r="CM460" s="847"/>
      <c r="CN460" s="847"/>
      <c r="CO460" s="847"/>
      <c r="CP460" s="847"/>
      <c r="CQ460" s="847"/>
      <c r="CR460" s="847"/>
      <c r="CS460" s="847"/>
      <c r="CT460" s="847"/>
      <c r="CU460" s="847"/>
      <c r="CV460" s="847"/>
      <c r="CW460" s="847"/>
      <c r="CX460" s="847"/>
      <c r="CY460" s="847"/>
      <c r="CZ460" s="847"/>
      <c r="DA460" s="847"/>
      <c r="DB460"/>
      <c r="DC460"/>
      <c r="DD460" s="2323"/>
      <c r="DE460" s="2349"/>
      <c r="DF460" s="2349"/>
      <c r="DG460" s="2349"/>
      <c r="DH460" s="2349"/>
      <c r="DI460" s="2349"/>
      <c r="DJ460" s="2349"/>
      <c r="DK460" s="2349"/>
      <c r="DL460" s="2349"/>
      <c r="DM460" s="2349"/>
      <c r="DN460" s="2349"/>
      <c r="DO460" s="2349"/>
      <c r="DP460" s="2349"/>
      <c r="DQ460" s="2349"/>
      <c r="DR460" s="2349"/>
      <c r="DS460" s="2349"/>
      <c r="DT460" s="2349"/>
      <c r="DU460" s="2349"/>
      <c r="DV460" s="2349"/>
      <c r="DW460" s="2349"/>
      <c r="DX460" s="2349"/>
      <c r="DY460" s="2349"/>
      <c r="EA460"/>
      <c r="EB460"/>
      <c r="EC460"/>
      <c r="ED460"/>
      <c r="EE460"/>
      <c r="EF460"/>
      <c r="EJ460"/>
      <c r="EK460"/>
      <c r="EL460"/>
      <c r="ER460" s="212"/>
    </row>
    <row r="461" spans="1:148" s="923" customFormat="1" ht="12.75" hidden="1" customHeight="1" outlineLevel="1" x14ac:dyDescent="0.2">
      <c r="A461" s="865" t="s">
        <v>798</v>
      </c>
      <c r="B461" s="853"/>
      <c r="C461" s="853"/>
      <c r="D461" s="853"/>
      <c r="E461" s="853"/>
      <c r="F461" s="853"/>
      <c r="G461" s="853"/>
      <c r="H461" s="853"/>
      <c r="I461" s="853"/>
      <c r="J461" s="853"/>
      <c r="K461" s="853"/>
      <c r="L461" s="853"/>
      <c r="M461" s="853"/>
      <c r="N461" s="853">
        <f>+N630</f>
        <v>0</v>
      </c>
      <c r="O461" s="853">
        <f>+O630</f>
        <v>0</v>
      </c>
      <c r="P461" s="853">
        <f>+P630</f>
        <v>0</v>
      </c>
      <c r="Q461" s="853">
        <f>+Q630</f>
        <v>0</v>
      </c>
      <c r="R461" s="853">
        <f>SUM(N461:Q461)</f>
        <v>0</v>
      </c>
      <c r="S461" s="853">
        <f>+S630</f>
        <v>0</v>
      </c>
      <c r="T461" s="853">
        <f>+T630</f>
        <v>0</v>
      </c>
      <c r="U461" s="853">
        <f>+U630</f>
        <v>0</v>
      </c>
      <c r="V461" s="853">
        <f>+V630</f>
        <v>0</v>
      </c>
      <c r="W461" s="853">
        <f>SUM(S461:V461)</f>
        <v>0</v>
      </c>
      <c r="X461" s="853">
        <f>+X630</f>
        <v>0</v>
      </c>
      <c r="Y461" s="853">
        <f>+Y630</f>
        <v>0</v>
      </c>
      <c r="Z461" s="853">
        <f>+Z630</f>
        <v>0</v>
      </c>
      <c r="AA461" s="853">
        <f>+AA630</f>
        <v>0</v>
      </c>
      <c r="AB461" s="853">
        <f>SUM(X461:AA461)</f>
        <v>0</v>
      </c>
      <c r="AC461" s="853">
        <f>+AC630</f>
        <v>0</v>
      </c>
      <c r="AD461" s="853">
        <f>+AD630</f>
        <v>0</v>
      </c>
      <c r="AE461" s="853">
        <f>+AE630</f>
        <v>0</v>
      </c>
      <c r="AF461" s="853">
        <f>+AF630</f>
        <v>0</v>
      </c>
      <c r="AG461" s="853">
        <f>SUM(AC461:AF461)</f>
        <v>0</v>
      </c>
      <c r="AH461" s="853">
        <f>+AH630</f>
        <v>0</v>
      </c>
      <c r="AI461" s="853">
        <f>+AI630</f>
        <v>0</v>
      </c>
      <c r="AJ461" s="853">
        <f>+AJ630</f>
        <v>0</v>
      </c>
      <c r="AK461" s="853">
        <f>+AK630</f>
        <v>0</v>
      </c>
      <c r="AL461" s="853">
        <f>SUM(AH461:AK461)</f>
        <v>0</v>
      </c>
      <c r="AM461" s="853">
        <f>+AM630</f>
        <v>0</v>
      </c>
      <c r="AN461" s="853">
        <f>+AN630</f>
        <v>0</v>
      </c>
      <c r="AO461" s="853">
        <f>+AO630</f>
        <v>0</v>
      </c>
      <c r="AP461" s="853">
        <f>+AP630</f>
        <v>0</v>
      </c>
      <c r="AQ461" s="853">
        <f>SUM(AM461:AP461)</f>
        <v>0</v>
      </c>
      <c r="AR461" s="853">
        <f>+AR630</f>
        <v>0</v>
      </c>
      <c r="AS461" s="853">
        <f>+AS630</f>
        <v>0</v>
      </c>
      <c r="AT461" s="853">
        <f>+AT630</f>
        <v>0</v>
      </c>
      <c r="AU461" s="853">
        <f>+AU630</f>
        <v>0</v>
      </c>
      <c r="AV461" s="853">
        <f>SUM(AR461:AU461)</f>
        <v>0</v>
      </c>
      <c r="AW461" s="853">
        <f>+AW630</f>
        <v>0</v>
      </c>
      <c r="AX461" s="853">
        <f>+AX630</f>
        <v>0</v>
      </c>
      <c r="AY461" s="853">
        <f>+AY630</f>
        <v>0</v>
      </c>
      <c r="AZ461" s="853">
        <f>+AZ630</f>
        <v>0</v>
      </c>
      <c r="BA461" s="853">
        <f>SUM(AW461:AZ461)</f>
        <v>0</v>
      </c>
      <c r="BB461" s="853">
        <f>+BB630</f>
        <v>0</v>
      </c>
      <c r="BC461" s="853">
        <f>+BC630</f>
        <v>0</v>
      </c>
      <c r="BD461" s="853">
        <f>+BD630</f>
        <v>0</v>
      </c>
      <c r="BE461" s="853">
        <f>+BE630</f>
        <v>0</v>
      </c>
      <c r="BF461" s="853">
        <f>SUM(BB461:BE461)</f>
        <v>0</v>
      </c>
      <c r="BG461" s="853">
        <f>+BG630</f>
        <v>0</v>
      </c>
      <c r="BH461" s="853">
        <f>+BH630</f>
        <v>0</v>
      </c>
      <c r="BI461" s="853">
        <f>+BI630</f>
        <v>0</v>
      </c>
      <c r="BJ461" s="853">
        <f>+BJ630</f>
        <v>0</v>
      </c>
      <c r="BK461" s="853">
        <f>SUM(BG461:BJ461)</f>
        <v>0</v>
      </c>
      <c r="BL461" s="853">
        <f>+BL630-2</f>
        <v>-2</v>
      </c>
      <c r="BM461" s="853">
        <f>+BM630</f>
        <v>0</v>
      </c>
      <c r="BN461" s="853">
        <f>+BN630</f>
        <v>0</v>
      </c>
      <c r="BO461" s="853">
        <f>+BO630</f>
        <v>0</v>
      </c>
      <c r="BP461" s="853">
        <f>SUM(BL461:BO461)</f>
        <v>-2</v>
      </c>
      <c r="BQ461" s="853">
        <f>+BQ630</f>
        <v>0</v>
      </c>
      <c r="BR461" s="853">
        <f>+BR630</f>
        <v>0</v>
      </c>
      <c r="BS461" s="853">
        <f>+BS630</f>
        <v>0</v>
      </c>
      <c r="BT461" s="853">
        <f>+BT630</f>
        <v>0</v>
      </c>
      <c r="BU461" s="853">
        <f>SUM(BQ461:BT461)</f>
        <v>0</v>
      </c>
      <c r="BV461" s="853"/>
      <c r="BW461" s="853"/>
      <c r="BX461" s="853"/>
      <c r="BY461" s="853"/>
      <c r="BZ461" s="853"/>
      <c r="CA461" s="853"/>
      <c r="CB461" s="853"/>
      <c r="CC461" s="853"/>
      <c r="CD461" s="853"/>
      <c r="CE461" s="853"/>
      <c r="CF461" s="853"/>
      <c r="CG461" s="853"/>
      <c r="CH461" s="853"/>
      <c r="CI461" s="853"/>
      <c r="CJ461" s="853"/>
      <c r="CK461" s="853"/>
      <c r="CL461" s="853"/>
      <c r="CM461" s="853"/>
      <c r="CN461" s="853"/>
      <c r="CO461" s="853"/>
      <c r="CP461" s="853"/>
      <c r="CQ461" s="853"/>
      <c r="CR461" s="853"/>
      <c r="CS461" s="853"/>
      <c r="CT461" s="853"/>
      <c r="CU461" s="853"/>
      <c r="CV461" s="853"/>
      <c r="CW461" s="853"/>
      <c r="CX461" s="853"/>
      <c r="CY461" s="853"/>
      <c r="CZ461" s="853"/>
      <c r="DA461" s="853"/>
      <c r="DB461"/>
      <c r="DC461"/>
      <c r="DD461" s="2323" t="s">
        <v>798</v>
      </c>
      <c r="DE461" s="2349">
        <f>M461</f>
        <v>0</v>
      </c>
      <c r="DF461" s="2349">
        <f>R461</f>
        <v>0</v>
      </c>
      <c r="DG461" s="2349">
        <f>W461</f>
        <v>0</v>
      </c>
      <c r="DH461" s="2349">
        <f>AB461</f>
        <v>0</v>
      </c>
      <c r="DI461" s="2349">
        <f>AG461</f>
        <v>0</v>
      </c>
      <c r="DJ461" s="2349">
        <f>AL461</f>
        <v>0</v>
      </c>
      <c r="DK461" s="2349">
        <f>AQ461</f>
        <v>0</v>
      </c>
      <c r="DL461" s="2349">
        <f>AV461</f>
        <v>0</v>
      </c>
      <c r="DM461" s="2349">
        <f>BA461</f>
        <v>0</v>
      </c>
      <c r="DN461" s="2349">
        <f>BF461</f>
        <v>0</v>
      </c>
      <c r="DO461" s="2349">
        <f>BK461</f>
        <v>0</v>
      </c>
      <c r="DP461" s="2349">
        <f>BP461</f>
        <v>-2</v>
      </c>
      <c r="DQ461" s="2349">
        <f>BU461</f>
        <v>0</v>
      </c>
      <c r="DR461" s="2349">
        <f>BZ461</f>
        <v>0</v>
      </c>
      <c r="DS461" s="2349">
        <f>CE461</f>
        <v>0</v>
      </c>
      <c r="DT461" s="2349">
        <f>CJ461</f>
        <v>0</v>
      </c>
      <c r="DU461" s="2349">
        <f>CO461</f>
        <v>0</v>
      </c>
      <c r="DV461" s="2349">
        <f>CT461</f>
        <v>0</v>
      </c>
      <c r="DW461" s="2349">
        <f>CY461</f>
        <v>0</v>
      </c>
      <c r="DX461" s="2349">
        <f>CZ461</f>
        <v>0</v>
      </c>
      <c r="DY461" s="2349">
        <f>DA461</f>
        <v>0</v>
      </c>
      <c r="EA461"/>
      <c r="EB461"/>
      <c r="EC461"/>
      <c r="ED461"/>
      <c r="EE461"/>
      <c r="EF461"/>
      <c r="EJ461"/>
      <c r="EK461"/>
      <c r="EL461"/>
      <c r="ER461" s="212"/>
    </row>
    <row r="462" spans="1:148" s="923" customFormat="1" ht="12.75" hidden="1" customHeight="1" outlineLevel="1" x14ac:dyDescent="0.2">
      <c r="A462" s="865"/>
      <c r="B462" s="847"/>
      <c r="C462" s="847"/>
      <c r="D462" s="847"/>
      <c r="E462" s="847"/>
      <c r="F462" s="847"/>
      <c r="G462" s="847"/>
      <c r="H462" s="847"/>
      <c r="I462" s="847"/>
      <c r="J462" s="847"/>
      <c r="K462" s="847"/>
      <c r="L462" s="847"/>
      <c r="M462" s="847"/>
      <c r="N462" s="847"/>
      <c r="O462" s="847"/>
      <c r="P462" s="847"/>
      <c r="Q462" s="847"/>
      <c r="R462" s="847"/>
      <c r="S462" s="847"/>
      <c r="T462" s="847"/>
      <c r="U462" s="847"/>
      <c r="V462" s="847"/>
      <c r="W462" s="847"/>
      <c r="X462" s="847"/>
      <c r="Y462" s="847"/>
      <c r="Z462" s="847"/>
      <c r="AA462" s="847"/>
      <c r="AB462" s="847"/>
      <c r="AC462" s="847"/>
      <c r="AD462" s="847"/>
      <c r="AE462" s="847"/>
      <c r="AF462" s="847"/>
      <c r="AG462" s="847"/>
      <c r="AH462" s="847"/>
      <c r="AI462" s="847"/>
      <c r="AJ462" s="847"/>
      <c r="AK462" s="847"/>
      <c r="AL462" s="847"/>
      <c r="AM462" s="847"/>
      <c r="AN462" s="847"/>
      <c r="AO462" s="847"/>
      <c r="AP462" s="847"/>
      <c r="AQ462" s="847"/>
      <c r="AR462" s="847"/>
      <c r="AS462" s="847"/>
      <c r="AT462" s="847"/>
      <c r="AU462" s="847"/>
      <c r="AV462" s="847"/>
      <c r="AW462" s="847"/>
      <c r="AX462" s="847"/>
      <c r="AY462" s="847"/>
      <c r="AZ462" s="847"/>
      <c r="BA462" s="847"/>
      <c r="BB462" s="847"/>
      <c r="BC462" s="847"/>
      <c r="BD462" s="847"/>
      <c r="BE462" s="847"/>
      <c r="BF462" s="847"/>
      <c r="BG462" s="847"/>
      <c r="BH462" s="847"/>
      <c r="BI462" s="847"/>
      <c r="BJ462" s="847"/>
      <c r="BK462" s="847"/>
      <c r="BL462" s="847"/>
      <c r="BM462" s="847"/>
      <c r="BN462" s="847"/>
      <c r="BO462" s="847"/>
      <c r="BP462" s="847"/>
      <c r="BQ462" s="847"/>
      <c r="BR462" s="847"/>
      <c r="BS462" s="847"/>
      <c r="BT462" s="847"/>
      <c r="BU462" s="847"/>
      <c r="BV462" s="847"/>
      <c r="BW462" s="847"/>
      <c r="BX462" s="847"/>
      <c r="BY462" s="847"/>
      <c r="BZ462" s="847"/>
      <c r="CA462" s="847"/>
      <c r="CB462" s="847"/>
      <c r="CC462" s="847"/>
      <c r="CD462" s="847"/>
      <c r="CE462" s="847"/>
      <c r="CF462" s="847"/>
      <c r="CG462" s="847"/>
      <c r="CH462" s="847"/>
      <c r="CI462" s="847"/>
      <c r="CJ462" s="847"/>
      <c r="CK462" s="847"/>
      <c r="CL462" s="847"/>
      <c r="CM462" s="847"/>
      <c r="CN462" s="847"/>
      <c r="CO462" s="847"/>
      <c r="CP462" s="847"/>
      <c r="CQ462" s="847"/>
      <c r="CR462" s="847"/>
      <c r="CS462" s="847"/>
      <c r="CT462" s="847"/>
      <c r="CU462" s="847"/>
      <c r="CV462" s="847"/>
      <c r="CW462" s="847"/>
      <c r="CX462" s="847"/>
      <c r="CY462" s="847"/>
      <c r="CZ462" s="847"/>
      <c r="DA462" s="847"/>
      <c r="DB462"/>
      <c r="DC462"/>
      <c r="DD462" s="2323"/>
      <c r="DE462" s="2349"/>
      <c r="DF462" s="2349"/>
      <c r="DG462" s="2349"/>
      <c r="DH462" s="2349"/>
      <c r="DI462" s="2349"/>
      <c r="DJ462" s="2349"/>
      <c r="DK462" s="2349"/>
      <c r="DL462" s="2349"/>
      <c r="DM462" s="2349"/>
      <c r="DN462" s="2349"/>
      <c r="DO462" s="2349"/>
      <c r="DP462" s="2349"/>
      <c r="DQ462" s="2349"/>
      <c r="DR462" s="2349"/>
      <c r="DS462" s="2349"/>
      <c r="DT462" s="2349"/>
      <c r="DU462" s="2349"/>
      <c r="DV462" s="2349"/>
      <c r="DW462" s="2349"/>
      <c r="DX462" s="2349"/>
      <c r="DY462" s="2349"/>
      <c r="EA462"/>
      <c r="EB462"/>
      <c r="EC462"/>
      <c r="ED462"/>
      <c r="EE462"/>
      <c r="EF462"/>
      <c r="EJ462"/>
      <c r="EK462"/>
      <c r="EL462"/>
      <c r="ER462" s="212"/>
    </row>
    <row r="463" spans="1:148" s="923" customFormat="1" ht="12.75" hidden="1" customHeight="1" outlineLevel="1" x14ac:dyDescent="0.2">
      <c r="A463" s="888" t="s">
        <v>799</v>
      </c>
      <c r="B463" s="1845"/>
      <c r="C463" s="1845"/>
      <c r="D463" s="1845"/>
      <c r="E463" s="1845"/>
      <c r="F463" s="1845"/>
      <c r="G463" s="1845"/>
      <c r="H463" s="1845"/>
      <c r="I463" s="1845"/>
      <c r="J463" s="1845"/>
      <c r="K463" s="1845"/>
      <c r="L463" s="1845"/>
      <c r="M463" s="1845"/>
      <c r="N463" s="1845">
        <f t="shared" ref="N463:AS463" si="918">N441-N455</f>
        <v>43</v>
      </c>
      <c r="O463" s="1845">
        <f t="shared" si="918"/>
        <v>39</v>
      </c>
      <c r="P463" s="1845">
        <f t="shared" si="918"/>
        <v>38</v>
      </c>
      <c r="Q463" s="1845">
        <f t="shared" si="918"/>
        <v>27</v>
      </c>
      <c r="R463" s="1845">
        <f t="shared" si="918"/>
        <v>32</v>
      </c>
      <c r="S463" s="1845">
        <f t="shared" si="918"/>
        <v>26</v>
      </c>
      <c r="T463" s="1845">
        <f t="shared" si="918"/>
        <v>34</v>
      </c>
      <c r="U463" s="1845">
        <f t="shared" si="918"/>
        <v>26</v>
      </c>
      <c r="V463" s="1845">
        <f t="shared" si="918"/>
        <v>35</v>
      </c>
      <c r="W463" s="1845">
        <f t="shared" si="918"/>
        <v>121</v>
      </c>
      <c r="X463" s="1845">
        <f t="shared" si="918"/>
        <v>29</v>
      </c>
      <c r="Y463" s="1845">
        <f t="shared" si="918"/>
        <v>19</v>
      </c>
      <c r="Z463" s="1845">
        <f t="shared" si="918"/>
        <v>31</v>
      </c>
      <c r="AA463" s="1845">
        <f t="shared" si="918"/>
        <v>55</v>
      </c>
      <c r="AB463" s="1845">
        <f t="shared" si="918"/>
        <v>134</v>
      </c>
      <c r="AC463" s="1845">
        <f t="shared" si="918"/>
        <v>66</v>
      </c>
      <c r="AD463" s="1845">
        <f t="shared" si="918"/>
        <v>36</v>
      </c>
      <c r="AE463" s="1845">
        <f t="shared" si="918"/>
        <v>50</v>
      </c>
      <c r="AF463" s="1845">
        <f t="shared" si="918"/>
        <v>56</v>
      </c>
      <c r="AG463" s="1845">
        <f t="shared" si="918"/>
        <v>208</v>
      </c>
      <c r="AH463" s="1845">
        <f t="shared" si="918"/>
        <v>74</v>
      </c>
      <c r="AI463" s="1845">
        <f t="shared" si="918"/>
        <v>66</v>
      </c>
      <c r="AJ463" s="1845">
        <f t="shared" si="918"/>
        <v>63</v>
      </c>
      <c r="AK463" s="1845">
        <f t="shared" si="918"/>
        <v>56</v>
      </c>
      <c r="AL463" s="1845">
        <f t="shared" si="918"/>
        <v>259</v>
      </c>
      <c r="AM463" s="1845">
        <f t="shared" si="918"/>
        <v>66</v>
      </c>
      <c r="AN463" s="1845">
        <f t="shared" si="918"/>
        <v>82</v>
      </c>
      <c r="AO463" s="1845">
        <f t="shared" si="918"/>
        <v>76</v>
      </c>
      <c r="AP463" s="1845">
        <f t="shared" si="918"/>
        <v>133</v>
      </c>
      <c r="AQ463" s="1845">
        <f t="shared" si="918"/>
        <v>357</v>
      </c>
      <c r="AR463" s="1845">
        <f t="shared" si="918"/>
        <v>57</v>
      </c>
      <c r="AS463" s="1845">
        <f t="shared" si="918"/>
        <v>122</v>
      </c>
      <c r="AT463" s="1845">
        <f t="shared" ref="AT463:BU463" si="919">AT441-AT455</f>
        <v>45</v>
      </c>
      <c r="AU463" s="1845">
        <f t="shared" si="919"/>
        <v>126</v>
      </c>
      <c r="AV463" s="1845">
        <f t="shared" si="919"/>
        <v>350</v>
      </c>
      <c r="AW463" s="1845">
        <f t="shared" si="919"/>
        <v>13</v>
      </c>
      <c r="AX463" s="1845">
        <f t="shared" si="919"/>
        <v>77</v>
      </c>
      <c r="AY463" s="1845">
        <f t="shared" si="919"/>
        <v>47</v>
      </c>
      <c r="AZ463" s="1845">
        <f t="shared" si="919"/>
        <v>10</v>
      </c>
      <c r="BA463" s="1845">
        <f t="shared" si="919"/>
        <v>147</v>
      </c>
      <c r="BB463" s="1845">
        <f t="shared" si="919"/>
        <v>6</v>
      </c>
      <c r="BC463" s="1845">
        <f t="shared" si="919"/>
        <v>16</v>
      </c>
      <c r="BD463" s="1845">
        <f t="shared" si="919"/>
        <v>13</v>
      </c>
      <c r="BE463" s="1845">
        <f t="shared" si="919"/>
        <v>61</v>
      </c>
      <c r="BF463" s="1845">
        <f t="shared" si="919"/>
        <v>96</v>
      </c>
      <c r="BG463" s="1845">
        <f t="shared" si="919"/>
        <v>285</v>
      </c>
      <c r="BH463" s="1845">
        <f t="shared" si="919"/>
        <v>289</v>
      </c>
      <c r="BI463" s="1845">
        <f t="shared" si="919"/>
        <v>275</v>
      </c>
      <c r="BJ463" s="1845">
        <f t="shared" si="919"/>
        <v>372</v>
      </c>
      <c r="BK463" s="1845">
        <f t="shared" si="919"/>
        <v>1221</v>
      </c>
      <c r="BL463" s="1845">
        <f>BL441-BL455</f>
        <v>276</v>
      </c>
      <c r="BM463" s="1845">
        <f>BM441-BM455</f>
        <v>288</v>
      </c>
      <c r="BN463" s="1845">
        <f>BN441-BN455</f>
        <v>286</v>
      </c>
      <c r="BO463" s="1845">
        <f>BO441-BO455</f>
        <v>29</v>
      </c>
      <c r="BP463" s="1845">
        <f t="shared" si="919"/>
        <v>919.84734000000026</v>
      </c>
      <c r="BQ463" s="1845">
        <f t="shared" si="919"/>
        <v>0</v>
      </c>
      <c r="BR463" s="1845">
        <f t="shared" si="919"/>
        <v>0</v>
      </c>
      <c r="BS463" s="1845">
        <f t="shared" si="919"/>
        <v>0</v>
      </c>
      <c r="BT463" s="1845">
        <f t="shared" si="919"/>
        <v>0</v>
      </c>
      <c r="BU463" s="1845">
        <f t="shared" si="919"/>
        <v>0</v>
      </c>
      <c r="BV463" s="1845"/>
      <c r="BW463" s="1845"/>
      <c r="BX463" s="1845"/>
      <c r="BY463" s="1845"/>
      <c r="BZ463" s="1845"/>
      <c r="CA463" s="1845"/>
      <c r="CB463" s="1845"/>
      <c r="CC463" s="1845"/>
      <c r="CD463" s="1845"/>
      <c r="CE463" s="1845"/>
      <c r="CF463" s="1845"/>
      <c r="CG463" s="1845"/>
      <c r="CH463" s="1845"/>
      <c r="CI463" s="1845"/>
      <c r="CJ463" s="1845"/>
      <c r="CK463" s="1845"/>
      <c r="CL463" s="1845"/>
      <c r="CM463" s="1845"/>
      <c r="CN463" s="1845"/>
      <c r="CO463" s="1845"/>
      <c r="CP463" s="1845"/>
      <c r="CQ463" s="1845"/>
      <c r="CR463" s="1845"/>
      <c r="CS463" s="1845"/>
      <c r="CT463" s="1845"/>
      <c r="CU463" s="1845"/>
      <c r="CV463" s="1845"/>
      <c r="CW463" s="1845"/>
      <c r="CX463" s="1845"/>
      <c r="CY463" s="1845"/>
      <c r="CZ463" s="1845"/>
      <c r="DA463" s="1845"/>
      <c r="DB463"/>
      <c r="DC463"/>
      <c r="DD463" s="888" t="s">
        <v>799</v>
      </c>
      <c r="DE463" s="1845">
        <f>M463</f>
        <v>0</v>
      </c>
      <c r="DF463" s="1845">
        <f>R463</f>
        <v>32</v>
      </c>
      <c r="DG463" s="1845">
        <f>W463</f>
        <v>121</v>
      </c>
      <c r="DH463" s="1845">
        <f>AB463</f>
        <v>134</v>
      </c>
      <c r="DI463" s="1845">
        <f>AG463</f>
        <v>208</v>
      </c>
      <c r="DJ463" s="1845">
        <f>AL463</f>
        <v>259</v>
      </c>
      <c r="DK463" s="1845">
        <f>AQ463</f>
        <v>357</v>
      </c>
      <c r="DL463" s="1845">
        <f>AV463</f>
        <v>350</v>
      </c>
      <c r="DM463" s="1845">
        <f>BA463</f>
        <v>147</v>
      </c>
      <c r="DN463" s="1845">
        <f>BF463</f>
        <v>96</v>
      </c>
      <c r="DO463" s="1845">
        <f>BK463</f>
        <v>1221</v>
      </c>
      <c r="DP463" s="1845">
        <f>BP463</f>
        <v>919.84734000000026</v>
      </c>
      <c r="DQ463" s="1845">
        <f>BU463</f>
        <v>0</v>
      </c>
      <c r="DR463" s="1845">
        <f>BZ463</f>
        <v>0</v>
      </c>
      <c r="DS463" s="1845">
        <f>CE463</f>
        <v>0</v>
      </c>
      <c r="DT463" s="1845">
        <f>CJ463</f>
        <v>0</v>
      </c>
      <c r="DU463" s="1845">
        <f>CO463</f>
        <v>0</v>
      </c>
      <c r="DV463" s="1845">
        <f>CT463</f>
        <v>0</v>
      </c>
      <c r="DW463" s="1845">
        <f>CY463</f>
        <v>0</v>
      </c>
      <c r="DX463" s="1845">
        <f>CZ463</f>
        <v>0</v>
      </c>
      <c r="DY463" s="1845">
        <f>DA463</f>
        <v>0</v>
      </c>
      <c r="EA463"/>
      <c r="EB463"/>
      <c r="EC463"/>
      <c r="ED463"/>
      <c r="EE463"/>
      <c r="EF463"/>
      <c r="EJ463"/>
      <c r="EK463"/>
      <c r="EL463"/>
      <c r="ER463" s="212"/>
    </row>
    <row r="464" spans="1:148" s="923" customFormat="1" ht="12.75" hidden="1" customHeight="1" outlineLevel="1" x14ac:dyDescent="0.2">
      <c r="A464" s="865"/>
      <c r="B464" s="847"/>
      <c r="C464" s="847"/>
      <c r="D464" s="847"/>
      <c r="E464" s="847"/>
      <c r="F464" s="847"/>
      <c r="G464" s="847"/>
      <c r="H464" s="847"/>
      <c r="I464" s="847"/>
      <c r="J464" s="847"/>
      <c r="K464" s="847"/>
      <c r="L464" s="847"/>
      <c r="M464" s="847"/>
      <c r="N464" s="847"/>
      <c r="O464" s="847"/>
      <c r="P464" s="847"/>
      <c r="Q464" s="847"/>
      <c r="R464" s="847"/>
      <c r="S464" s="847"/>
      <c r="T464" s="847"/>
      <c r="U464" s="847"/>
      <c r="V464" s="847"/>
      <c r="W464" s="847"/>
      <c r="X464" s="847"/>
      <c r="Y464" s="847"/>
      <c r="Z464" s="847"/>
      <c r="AA464" s="847"/>
      <c r="AB464" s="847"/>
      <c r="AC464" s="847"/>
      <c r="AD464" s="847"/>
      <c r="AE464" s="847"/>
      <c r="AF464" s="847"/>
      <c r="AG464" s="847"/>
      <c r="AH464" s="847"/>
      <c r="AI464" s="847"/>
      <c r="AJ464" s="847"/>
      <c r="AK464" s="847"/>
      <c r="AL464" s="847"/>
      <c r="AM464" s="847"/>
      <c r="AN464" s="847"/>
      <c r="AO464" s="847"/>
      <c r="AP464" s="847"/>
      <c r="AQ464" s="847"/>
      <c r="AR464" s="847"/>
      <c r="AS464" s="847"/>
      <c r="AT464" s="847"/>
      <c r="AU464" s="847"/>
      <c r="AV464" s="847"/>
      <c r="AW464" s="847">
        <f>+AW463/AW441</f>
        <v>3.9877300613496931E-2</v>
      </c>
      <c r="AX464" s="847">
        <f>+AX463/AX441</f>
        <v>0.19845360824742267</v>
      </c>
      <c r="AY464" s="847">
        <f>+AY463/AY441</f>
        <v>0.12239583333333333</v>
      </c>
      <c r="AZ464" s="847">
        <f>+AZ463/AZ441</f>
        <v>2.5906735751295335E-2</v>
      </c>
      <c r="BA464" s="847"/>
      <c r="BB464" s="847">
        <f>+BB463/BB441</f>
        <v>2.6548672566371681E-2</v>
      </c>
      <c r="BC464" s="847">
        <f>+BC463/BC441</f>
        <v>5.4237288135593219E-2</v>
      </c>
      <c r="BD464" s="847">
        <f>+BD463/BD441</f>
        <v>5.1792828685258967E-2</v>
      </c>
      <c r="BE464" s="847">
        <f>+BE463/BE441</f>
        <v>0.16758241758241757</v>
      </c>
      <c r="BF464" s="847"/>
      <c r="BG464" s="847"/>
      <c r="BH464" s="847"/>
      <c r="BI464" s="847"/>
      <c r="BJ464" s="847"/>
      <c r="BK464" s="847"/>
      <c r="BL464" s="847"/>
      <c r="BM464" s="847"/>
      <c r="BN464" s="847"/>
      <c r="BO464" s="847"/>
      <c r="BP464" s="847"/>
      <c r="BQ464" s="847"/>
      <c r="BR464" s="847"/>
      <c r="BS464" s="847"/>
      <c r="BT464" s="847"/>
      <c r="BU464" s="847"/>
      <c r="BV464" s="847"/>
      <c r="BW464" s="847"/>
      <c r="BX464" s="847"/>
      <c r="BY464" s="847"/>
      <c r="BZ464" s="847"/>
      <c r="CA464" s="847"/>
      <c r="CB464" s="847"/>
      <c r="CC464" s="847"/>
      <c r="CD464" s="847"/>
      <c r="CE464" s="847"/>
      <c r="CF464" s="847"/>
      <c r="CG464" s="847"/>
      <c r="CH464" s="847"/>
      <c r="CI464" s="847"/>
      <c r="CJ464" s="847"/>
      <c r="CK464" s="847"/>
      <c r="CL464" s="847"/>
      <c r="CM464" s="847"/>
      <c r="CN464" s="847"/>
      <c r="CO464" s="847"/>
      <c r="CP464" s="847"/>
      <c r="CQ464" s="847"/>
      <c r="CR464" s="847"/>
      <c r="CS464" s="847"/>
      <c r="CT464" s="847"/>
      <c r="CU464" s="847"/>
      <c r="CV464" s="847"/>
      <c r="CW464" s="847"/>
      <c r="CX464" s="847"/>
      <c r="CY464" s="847"/>
      <c r="CZ464" s="847"/>
      <c r="DA464" s="847"/>
      <c r="DB464"/>
      <c r="DC464"/>
      <c r="DD464" s="2323"/>
      <c r="DE464" s="2349"/>
      <c r="DF464" s="2349"/>
      <c r="DG464" s="2349"/>
      <c r="DH464" s="2349"/>
      <c r="DI464" s="2349"/>
      <c r="DJ464" s="2349"/>
      <c r="DK464" s="2349"/>
      <c r="DL464" s="2349"/>
      <c r="DM464" s="2349"/>
      <c r="DN464" s="2349"/>
      <c r="DO464" s="2349"/>
      <c r="DP464" s="2349"/>
      <c r="DQ464" s="2349"/>
      <c r="DR464" s="2349"/>
      <c r="DS464" s="2349"/>
      <c r="DT464" s="2349"/>
      <c r="DU464" s="2349"/>
      <c r="DV464" s="2349"/>
      <c r="DW464" s="2349"/>
      <c r="DX464" s="2349"/>
      <c r="DY464" s="2349"/>
      <c r="EA464"/>
      <c r="EB464"/>
      <c r="EC464"/>
      <c r="ED464"/>
      <c r="EE464"/>
      <c r="EF464"/>
      <c r="EJ464"/>
      <c r="EK464"/>
      <c r="EL464"/>
      <c r="ER464" s="212"/>
    </row>
    <row r="465" spans="1:148" s="923" customFormat="1" ht="12.75" hidden="1" customHeight="1" outlineLevel="1" x14ac:dyDescent="0.2">
      <c r="A465" s="865" t="s">
        <v>578</v>
      </c>
      <c r="B465" s="847"/>
      <c r="C465" s="847"/>
      <c r="D465" s="847"/>
      <c r="E465" s="847"/>
      <c r="F465" s="847"/>
      <c r="G465" s="847"/>
      <c r="H465" s="847"/>
      <c r="I465" s="847"/>
      <c r="J465" s="847"/>
      <c r="K465" s="847"/>
      <c r="L465" s="847"/>
      <c r="M465" s="847"/>
      <c r="N465" s="847"/>
      <c r="O465" s="847"/>
      <c r="P465" s="847"/>
      <c r="Q465" s="847"/>
      <c r="R465" s="847"/>
      <c r="S465" s="847"/>
      <c r="T465" s="847"/>
      <c r="U465" s="847"/>
      <c r="V465" s="847"/>
      <c r="W465" s="847"/>
      <c r="X465" s="847"/>
      <c r="Y465" s="847"/>
      <c r="Z465" s="847"/>
      <c r="AA465" s="847"/>
      <c r="AB465" s="847"/>
      <c r="AC465" s="847"/>
      <c r="AD465" s="847"/>
      <c r="AE465" s="847"/>
      <c r="AF465" s="847"/>
      <c r="AG465" s="847"/>
      <c r="AH465" s="847"/>
      <c r="AI465" s="847"/>
      <c r="AJ465" s="847"/>
      <c r="AK465" s="847"/>
      <c r="AL465" s="847"/>
      <c r="AM465" s="847"/>
      <c r="AN465" s="847"/>
      <c r="AO465" s="847"/>
      <c r="AP465" s="847"/>
      <c r="AQ465" s="847"/>
      <c r="AR465" s="847"/>
      <c r="AS465" s="847"/>
      <c r="AT465" s="847"/>
      <c r="AU465" s="847"/>
      <c r="AV465" s="847">
        <f t="shared" ref="AV465:BU465" si="920">+AV436-AV444-AV446</f>
        <v>205.22000000000003</v>
      </c>
      <c r="AW465" s="847">
        <f t="shared" si="920"/>
        <v>-4.0999999999999943</v>
      </c>
      <c r="AX465" s="847">
        <f t="shared" si="920"/>
        <v>10.079999999999984</v>
      </c>
      <c r="AY465" s="847">
        <f t="shared" si="920"/>
        <v>56.974999999999994</v>
      </c>
      <c r="AZ465" s="847">
        <f t="shared" si="920"/>
        <v>39.680000000000007</v>
      </c>
      <c r="BA465" s="847">
        <f t="shared" si="920"/>
        <v>102.63499999999999</v>
      </c>
      <c r="BB465" s="847">
        <f t="shared" si="920"/>
        <v>-25</v>
      </c>
      <c r="BC465" s="847">
        <f t="shared" si="920"/>
        <v>18.200000000000003</v>
      </c>
      <c r="BD465" s="847">
        <f t="shared" si="920"/>
        <v>13.799999999999997</v>
      </c>
      <c r="BE465" s="847">
        <f t="shared" si="920"/>
        <v>18.5</v>
      </c>
      <c r="BF465" s="847">
        <f t="shared" si="920"/>
        <v>25.5</v>
      </c>
      <c r="BG465" s="847">
        <f t="shared" si="920"/>
        <v>0</v>
      </c>
      <c r="BH465" s="847">
        <f t="shared" si="920"/>
        <v>0</v>
      </c>
      <c r="BI465" s="847">
        <f t="shared" si="920"/>
        <v>0</v>
      </c>
      <c r="BJ465" s="847">
        <f t="shared" si="920"/>
        <v>-9.8000000000000114</v>
      </c>
      <c r="BK465" s="847">
        <f t="shared" si="920"/>
        <v>-9.8000000000000114</v>
      </c>
      <c r="BL465" s="847">
        <f t="shared" si="920"/>
        <v>21.450000000000003</v>
      </c>
      <c r="BM465" s="847">
        <f t="shared" si="920"/>
        <v>22.950000000000003</v>
      </c>
      <c r="BN465" s="847">
        <f t="shared" si="920"/>
        <v>22.050000000000004</v>
      </c>
      <c r="BO465" s="847">
        <f t="shared" si="920"/>
        <v>41.370000000000005</v>
      </c>
      <c r="BP465" s="847">
        <f t="shared" si="920"/>
        <v>107.82000000000002</v>
      </c>
      <c r="BQ465" s="847">
        <f t="shared" si="920"/>
        <v>0</v>
      </c>
      <c r="BR465" s="847">
        <f t="shared" si="920"/>
        <v>0</v>
      </c>
      <c r="BS465" s="847">
        <f t="shared" si="920"/>
        <v>0</v>
      </c>
      <c r="BT465" s="847">
        <f t="shared" si="920"/>
        <v>0</v>
      </c>
      <c r="BU465" s="847">
        <f t="shared" si="920"/>
        <v>0</v>
      </c>
      <c r="BV465" s="847"/>
      <c r="BW465" s="847"/>
      <c r="BX465" s="847"/>
      <c r="BY465" s="847"/>
      <c r="BZ465" s="847"/>
      <c r="CA465" s="847"/>
      <c r="CB465" s="847"/>
      <c r="CC465" s="847"/>
      <c r="CD465" s="847"/>
      <c r="CE465" s="847"/>
      <c r="CF465" s="847"/>
      <c r="CG465" s="847"/>
      <c r="CH465" s="847"/>
      <c r="CI465" s="847"/>
      <c r="CJ465" s="847"/>
      <c r="CK465" s="847"/>
      <c r="CL465" s="847"/>
      <c r="CM465" s="847"/>
      <c r="CN465" s="847"/>
      <c r="CO465" s="847"/>
      <c r="CP465" s="847"/>
      <c r="CQ465" s="847"/>
      <c r="CR465" s="847"/>
      <c r="CS465" s="847"/>
      <c r="CT465" s="847"/>
      <c r="CU465" s="847"/>
      <c r="CV465" s="847"/>
      <c r="CW465" s="847"/>
      <c r="CX465" s="847"/>
      <c r="CY465" s="847"/>
      <c r="CZ465" s="847"/>
      <c r="DA465" s="847"/>
      <c r="DB465"/>
      <c r="DC465"/>
      <c r="DD465" s="2323" t="s">
        <v>578</v>
      </c>
      <c r="DE465" s="2349">
        <f>M465</f>
        <v>0</v>
      </c>
      <c r="DF465" s="2349">
        <f>R465</f>
        <v>0</v>
      </c>
      <c r="DG465" s="2349">
        <f>W465</f>
        <v>0</v>
      </c>
      <c r="DH465" s="2349">
        <f>AB465</f>
        <v>0</v>
      </c>
      <c r="DI465" s="2349">
        <f>AG465</f>
        <v>0</v>
      </c>
      <c r="DJ465" s="2349">
        <f>AL465</f>
        <v>0</v>
      </c>
      <c r="DK465" s="2349">
        <f>AQ465</f>
        <v>0</v>
      </c>
      <c r="DL465" s="2349">
        <f>AV465</f>
        <v>205.22000000000003</v>
      </c>
      <c r="DM465" s="2349">
        <f>BA465</f>
        <v>102.63499999999999</v>
      </c>
      <c r="DN465" s="2349">
        <f>BF465</f>
        <v>25.5</v>
      </c>
      <c r="DO465" s="2349">
        <f>BK465</f>
        <v>-9.8000000000000114</v>
      </c>
      <c r="DP465" s="2349">
        <f>BP465</f>
        <v>107.82000000000002</v>
      </c>
      <c r="DQ465" s="2349">
        <f>BU465</f>
        <v>0</v>
      </c>
      <c r="DR465" s="2349">
        <f>BZ465</f>
        <v>0</v>
      </c>
      <c r="DS465" s="2349">
        <f>CE465</f>
        <v>0</v>
      </c>
      <c r="DT465" s="2349">
        <f>CJ465</f>
        <v>0</v>
      </c>
      <c r="DU465" s="2349">
        <f>CO465</f>
        <v>0</v>
      </c>
      <c r="DV465" s="2349">
        <f>CT465</f>
        <v>0</v>
      </c>
      <c r="DW465" s="2349">
        <f t="shared" ref="DW465:DY466" si="921">CY465</f>
        <v>0</v>
      </c>
      <c r="DX465" s="2349">
        <f t="shared" si="921"/>
        <v>0</v>
      </c>
      <c r="DY465" s="2349">
        <f t="shared" si="921"/>
        <v>0</v>
      </c>
      <c r="EA465"/>
      <c r="EB465"/>
      <c r="EC465"/>
      <c r="ED465"/>
      <c r="EE465"/>
      <c r="EF465"/>
      <c r="EJ465"/>
      <c r="EK465"/>
      <c r="EL465"/>
      <c r="ER465" s="212"/>
    </row>
    <row r="466" spans="1:148" s="923" customFormat="1" ht="12.75" hidden="1" customHeight="1" outlineLevel="1" x14ac:dyDescent="0.2">
      <c r="A466" s="865" t="s">
        <v>581</v>
      </c>
      <c r="B466" s="847"/>
      <c r="C466" s="847"/>
      <c r="D466" s="847"/>
      <c r="E466" s="847"/>
      <c r="F466" s="847"/>
      <c r="G466" s="847"/>
      <c r="H466" s="847"/>
      <c r="I466" s="847"/>
      <c r="J466" s="847"/>
      <c r="K466" s="847"/>
      <c r="L466" s="847"/>
      <c r="M466" s="847"/>
      <c r="N466" s="847"/>
      <c r="O466" s="847"/>
      <c r="P466" s="847"/>
      <c r="Q466" s="847"/>
      <c r="R466" s="847"/>
      <c r="S466" s="847"/>
      <c r="T466" s="847"/>
      <c r="U466" s="847"/>
      <c r="V466" s="847"/>
      <c r="W466" s="847"/>
      <c r="X466" s="847"/>
      <c r="Y466" s="847"/>
      <c r="Z466" s="847"/>
      <c r="AA466" s="847"/>
      <c r="AB466" s="847"/>
      <c r="AC466" s="847"/>
      <c r="AD466" s="847"/>
      <c r="AE466" s="847"/>
      <c r="AF466" s="847"/>
      <c r="AG466" s="847"/>
      <c r="AH466" s="847"/>
      <c r="AI466" s="847"/>
      <c r="AJ466" s="847"/>
      <c r="AK466" s="847"/>
      <c r="AL466" s="847"/>
      <c r="AM466" s="847"/>
      <c r="AN466" s="847"/>
      <c r="AO466" s="847"/>
      <c r="AP466" s="847"/>
      <c r="AQ466" s="847"/>
      <c r="AR466" s="847"/>
      <c r="AS466" s="847"/>
      <c r="AT466" s="847"/>
      <c r="AU466" s="847"/>
      <c r="AV466" s="847">
        <f t="shared" ref="AV466:BU466" si="922">+AV438+AV439-AV448-AV450</f>
        <v>140</v>
      </c>
      <c r="AW466" s="847">
        <f t="shared" si="922"/>
        <v>21.33</v>
      </c>
      <c r="AX466" s="847">
        <f t="shared" si="922"/>
        <v>33.950000000000003</v>
      </c>
      <c r="AY466" s="847">
        <f t="shared" si="922"/>
        <v>24.490000000000002</v>
      </c>
      <c r="AZ466" s="847">
        <f t="shared" si="922"/>
        <v>33.97</v>
      </c>
      <c r="BA466" s="847">
        <f t="shared" si="922"/>
        <v>113.74</v>
      </c>
      <c r="BB466" s="847">
        <f t="shared" si="922"/>
        <v>19.5</v>
      </c>
      <c r="BC466" s="847">
        <f t="shared" si="922"/>
        <v>19.5</v>
      </c>
      <c r="BD466" s="847">
        <f t="shared" si="922"/>
        <v>18</v>
      </c>
      <c r="BE466" s="847">
        <f t="shared" si="922"/>
        <v>55.5</v>
      </c>
      <c r="BF466" s="847">
        <f t="shared" si="922"/>
        <v>112.5</v>
      </c>
      <c r="BG466" s="847">
        <f t="shared" si="922"/>
        <v>33.75</v>
      </c>
      <c r="BH466" s="847">
        <f t="shared" si="922"/>
        <v>32.25</v>
      </c>
      <c r="BI466" s="847">
        <f t="shared" si="922"/>
        <v>30.75</v>
      </c>
      <c r="BJ466" s="847">
        <f t="shared" si="922"/>
        <v>43.5</v>
      </c>
      <c r="BK466" s="847">
        <f t="shared" si="922"/>
        <v>140.25</v>
      </c>
      <c r="BL466" s="847">
        <f t="shared" si="922"/>
        <v>15.600000000000001</v>
      </c>
      <c r="BM466" s="847">
        <f t="shared" si="922"/>
        <v>16.649999999999999</v>
      </c>
      <c r="BN466" s="847">
        <f t="shared" si="922"/>
        <v>14.8</v>
      </c>
      <c r="BO466" s="847">
        <f t="shared" si="922"/>
        <v>28.477339999999998</v>
      </c>
      <c r="BP466" s="847">
        <f t="shared" si="922"/>
        <v>75.527339999999981</v>
      </c>
      <c r="BQ466" s="847">
        <f t="shared" si="922"/>
        <v>0</v>
      </c>
      <c r="BR466" s="847">
        <f t="shared" si="922"/>
        <v>0</v>
      </c>
      <c r="BS466" s="847">
        <f t="shared" si="922"/>
        <v>0</v>
      </c>
      <c r="BT466" s="847">
        <f t="shared" si="922"/>
        <v>0</v>
      </c>
      <c r="BU466" s="847">
        <f t="shared" si="922"/>
        <v>0</v>
      </c>
      <c r="BV466" s="847"/>
      <c r="BW466" s="847"/>
      <c r="BX466" s="847"/>
      <c r="BY466" s="847"/>
      <c r="BZ466" s="847"/>
      <c r="CA466" s="847"/>
      <c r="CB466" s="847"/>
      <c r="CC466" s="847"/>
      <c r="CD466" s="847"/>
      <c r="CE466" s="847"/>
      <c r="CF466" s="847"/>
      <c r="CG466" s="847"/>
      <c r="CH466" s="847"/>
      <c r="CI466" s="847"/>
      <c r="CJ466" s="847"/>
      <c r="CK466" s="847"/>
      <c r="CL466" s="847"/>
      <c r="CM466" s="847"/>
      <c r="CN466" s="847"/>
      <c r="CO466" s="847"/>
      <c r="CP466" s="847"/>
      <c r="CQ466" s="847"/>
      <c r="CR466" s="847"/>
      <c r="CS466" s="847"/>
      <c r="CT466" s="847"/>
      <c r="CU466" s="847"/>
      <c r="CV466" s="847"/>
      <c r="CW466" s="847"/>
      <c r="CX466" s="847"/>
      <c r="CY466" s="847"/>
      <c r="CZ466" s="847"/>
      <c r="DA466" s="847"/>
      <c r="DB466"/>
      <c r="DC466"/>
      <c r="DD466" s="2323" t="s">
        <v>581</v>
      </c>
      <c r="DE466" s="2349">
        <f>M466</f>
        <v>0</v>
      </c>
      <c r="DF466" s="2349">
        <f>R466</f>
        <v>0</v>
      </c>
      <c r="DG466" s="2349">
        <f>W466</f>
        <v>0</v>
      </c>
      <c r="DH466" s="2349">
        <f>AB466</f>
        <v>0</v>
      </c>
      <c r="DI466" s="2349">
        <f>AG466</f>
        <v>0</v>
      </c>
      <c r="DJ466" s="2349">
        <f>AL466</f>
        <v>0</v>
      </c>
      <c r="DK466" s="2349">
        <f>AQ466</f>
        <v>0</v>
      </c>
      <c r="DL466" s="2349">
        <f>AV466</f>
        <v>140</v>
      </c>
      <c r="DM466" s="2349">
        <f>BA466</f>
        <v>113.74</v>
      </c>
      <c r="DN466" s="2349">
        <f>BF466</f>
        <v>112.5</v>
      </c>
      <c r="DO466" s="2349">
        <f>BK466</f>
        <v>140.25</v>
      </c>
      <c r="DP466" s="2349">
        <f>BP466</f>
        <v>75.527339999999981</v>
      </c>
      <c r="DQ466" s="2349">
        <f>BU466</f>
        <v>0</v>
      </c>
      <c r="DR466" s="2349">
        <f>BZ466</f>
        <v>0</v>
      </c>
      <c r="DS466" s="2349">
        <f>CE466</f>
        <v>0</v>
      </c>
      <c r="DT466" s="2349">
        <f>CJ466</f>
        <v>0</v>
      </c>
      <c r="DU466" s="2349">
        <f>CO466</f>
        <v>0</v>
      </c>
      <c r="DV466" s="2349">
        <f>CT466</f>
        <v>0</v>
      </c>
      <c r="DW466" s="2349">
        <f t="shared" si="921"/>
        <v>0</v>
      </c>
      <c r="DX466" s="2349">
        <f t="shared" si="921"/>
        <v>0</v>
      </c>
      <c r="DY466" s="2349">
        <f t="shared" si="921"/>
        <v>0</v>
      </c>
      <c r="EA466"/>
      <c r="EB466"/>
      <c r="EC466"/>
      <c r="ED466"/>
      <c r="EE466"/>
      <c r="EF466"/>
      <c r="EJ466"/>
      <c r="EK466"/>
      <c r="EL466"/>
      <c r="ER466" s="212"/>
    </row>
    <row r="467" spans="1:148" s="923" customFormat="1" ht="12.75" hidden="1" customHeight="1" outlineLevel="1" x14ac:dyDescent="0.2">
      <c r="A467" s="865"/>
      <c r="B467" s="847"/>
      <c r="C467" s="847"/>
      <c r="D467" s="847"/>
      <c r="E467" s="847"/>
      <c r="F467" s="847"/>
      <c r="G467" s="847"/>
      <c r="H467" s="847"/>
      <c r="I467" s="847"/>
      <c r="J467" s="847"/>
      <c r="K467" s="847"/>
      <c r="L467" s="847"/>
      <c r="M467" s="847"/>
      <c r="N467" s="847"/>
      <c r="O467" s="847"/>
      <c r="P467" s="847"/>
      <c r="Q467" s="847"/>
      <c r="R467" s="847"/>
      <c r="S467" s="847"/>
      <c r="T467" s="847"/>
      <c r="U467" s="847"/>
      <c r="V467" s="847"/>
      <c r="W467" s="847"/>
      <c r="X467" s="847"/>
      <c r="Y467" s="847"/>
      <c r="Z467" s="847"/>
      <c r="AA467" s="847"/>
      <c r="AB467" s="847"/>
      <c r="AC467" s="847"/>
      <c r="AD467" s="847"/>
      <c r="AE467" s="847"/>
      <c r="AF467" s="847"/>
      <c r="AG467" s="847"/>
      <c r="AH467" s="847"/>
      <c r="AI467" s="847"/>
      <c r="AJ467" s="847"/>
      <c r="AK467" s="847"/>
      <c r="AL467" s="847"/>
      <c r="AM467" s="847"/>
      <c r="AN467" s="847"/>
      <c r="AO467" s="847"/>
      <c r="AP467" s="847"/>
      <c r="AQ467" s="847"/>
      <c r="AR467" s="847"/>
      <c r="AS467" s="847"/>
      <c r="AT467" s="847"/>
      <c r="AU467" s="847"/>
      <c r="AV467" s="847"/>
      <c r="AW467" s="847"/>
      <c r="AX467" s="847"/>
      <c r="AY467" s="847"/>
      <c r="AZ467" s="847"/>
      <c r="BA467" s="847"/>
      <c r="BB467" s="847"/>
      <c r="BC467" s="847"/>
      <c r="BD467" s="847"/>
      <c r="BE467" s="847"/>
      <c r="BF467" s="847"/>
      <c r="BG467" s="847"/>
      <c r="BH467" s="847"/>
      <c r="BI467" s="847"/>
      <c r="BJ467" s="847"/>
      <c r="BK467" s="847"/>
      <c r="BL467" s="847"/>
      <c r="BM467" s="847"/>
      <c r="BN467" s="847"/>
      <c r="BO467" s="847"/>
      <c r="BP467" s="847"/>
      <c r="BQ467" s="847"/>
      <c r="BR467" s="847"/>
      <c r="BS467" s="847"/>
      <c r="BT467" s="847"/>
      <c r="BU467" s="847"/>
      <c r="BV467" s="847"/>
      <c r="BW467" s="847"/>
      <c r="BX467" s="847"/>
      <c r="BY467" s="847"/>
      <c r="BZ467" s="847"/>
      <c r="CA467" s="847"/>
      <c r="CB467" s="847"/>
      <c r="CC467" s="847"/>
      <c r="CD467" s="847"/>
      <c r="CE467" s="847"/>
      <c r="CF467" s="847"/>
      <c r="CG467" s="847"/>
      <c r="CH467" s="847"/>
      <c r="CI467" s="847"/>
      <c r="CJ467" s="847"/>
      <c r="CK467" s="847"/>
      <c r="CL467" s="847"/>
      <c r="CM467" s="847"/>
      <c r="CN467" s="847"/>
      <c r="CO467" s="847"/>
      <c r="CP467" s="847"/>
      <c r="CQ467" s="847"/>
      <c r="CR467" s="847"/>
      <c r="CS467" s="847"/>
      <c r="CT467" s="847"/>
      <c r="CU467" s="847"/>
      <c r="CV467" s="847"/>
      <c r="CW467" s="847"/>
      <c r="CX467" s="847"/>
      <c r="CY467" s="847"/>
      <c r="CZ467" s="847"/>
      <c r="DA467" s="847"/>
      <c r="DB467"/>
      <c r="DC467"/>
      <c r="DD467" s="2323"/>
      <c r="DE467" s="2349"/>
      <c r="DF467" s="2349"/>
      <c r="DG467" s="2349"/>
      <c r="DH467" s="2349"/>
      <c r="DI467" s="2349"/>
      <c r="DJ467" s="2349"/>
      <c r="DK467" s="2349"/>
      <c r="DL467" s="2349"/>
      <c r="DM467" s="2349"/>
      <c r="DN467" s="2349"/>
      <c r="DO467" s="2349"/>
      <c r="DP467" s="2349"/>
      <c r="DQ467" s="2349"/>
      <c r="DR467" s="2349"/>
      <c r="DS467" s="2349"/>
      <c r="DT467" s="2349"/>
      <c r="DU467" s="2349"/>
      <c r="DV467" s="2349"/>
      <c r="DW467" s="2349"/>
      <c r="DX467" s="2349"/>
      <c r="DY467" s="2349"/>
      <c r="EA467"/>
      <c r="EB467"/>
      <c r="EC467"/>
      <c r="ED467"/>
      <c r="EE467"/>
      <c r="EF467"/>
      <c r="EJ467"/>
      <c r="EK467"/>
      <c r="EL467"/>
      <c r="ER467" s="212"/>
    </row>
    <row r="468" spans="1:148" s="923" customFormat="1" ht="12.75" hidden="1" customHeight="1" outlineLevel="1" x14ac:dyDescent="0.2">
      <c r="A468" s="865" t="s">
        <v>800</v>
      </c>
      <c r="B468" s="847"/>
      <c r="C468" s="847"/>
      <c r="D468" s="847"/>
      <c r="E468" s="847"/>
      <c r="F468" s="847"/>
      <c r="G468" s="847"/>
      <c r="H468" s="847"/>
      <c r="I468" s="847"/>
      <c r="J468" s="847"/>
      <c r="K468" s="847"/>
      <c r="L468" s="847"/>
      <c r="M468" s="847"/>
      <c r="N468" s="847"/>
      <c r="O468" s="847"/>
      <c r="P468" s="847"/>
      <c r="Q468" s="847"/>
      <c r="R468" s="847"/>
      <c r="S468" s="847"/>
      <c r="T468" s="847"/>
      <c r="U468" s="847"/>
      <c r="V468" s="847"/>
      <c r="W468" s="847"/>
      <c r="X468" s="847"/>
      <c r="Y468" s="847"/>
      <c r="Z468" s="847"/>
      <c r="AA468" s="847"/>
      <c r="AB468" s="847"/>
      <c r="AC468" s="847"/>
      <c r="AD468" s="847"/>
      <c r="AE468" s="847"/>
      <c r="AF468" s="847"/>
      <c r="AG468" s="847"/>
      <c r="AH468" s="847"/>
      <c r="AI468" s="847"/>
      <c r="AJ468" s="847"/>
      <c r="AK468" s="847"/>
      <c r="AL468" s="847"/>
      <c r="AM468" s="847"/>
      <c r="AN468" s="847"/>
      <c r="AO468" s="847"/>
      <c r="AP468" s="847"/>
      <c r="AQ468" s="847"/>
      <c r="AR468" s="847"/>
      <c r="AS468" s="847"/>
      <c r="AT468" s="847"/>
      <c r="AU468" s="847"/>
      <c r="AV468" s="847"/>
      <c r="AW468" s="847"/>
      <c r="AX468" s="847"/>
      <c r="AY468" s="847"/>
      <c r="AZ468" s="847"/>
      <c r="BA468" s="847"/>
      <c r="BB468" s="847"/>
      <c r="BC468" s="847"/>
      <c r="BD468" s="847"/>
      <c r="BE468" s="847"/>
      <c r="BF468" s="847"/>
      <c r="BG468" s="847"/>
      <c r="BH468" s="847"/>
      <c r="BI468" s="847"/>
      <c r="BJ468" s="847"/>
      <c r="BK468" s="847"/>
      <c r="BL468" s="847"/>
      <c r="BM468" s="847"/>
      <c r="BN468" s="847"/>
      <c r="BO468" s="847"/>
      <c r="BP468" s="847"/>
      <c r="BQ468" s="847"/>
      <c r="BR468" s="847"/>
      <c r="BS468" s="847"/>
      <c r="BT468" s="847"/>
      <c r="BU468" s="847"/>
      <c r="BV468" s="847"/>
      <c r="BW468" s="847"/>
      <c r="BX468" s="847"/>
      <c r="BY468" s="847"/>
      <c r="BZ468" s="847"/>
      <c r="CA468" s="847"/>
      <c r="CB468" s="847"/>
      <c r="CC468" s="847"/>
      <c r="CD468" s="847"/>
      <c r="CE468" s="847"/>
      <c r="CF468" s="847"/>
      <c r="CG468" s="847"/>
      <c r="CH468" s="847"/>
      <c r="CI468" s="847"/>
      <c r="CJ468" s="847"/>
      <c r="CK468" s="847"/>
      <c r="CL468" s="847"/>
      <c r="CM468" s="847"/>
      <c r="CN468" s="847"/>
      <c r="CO468" s="847"/>
      <c r="CP468" s="847"/>
      <c r="CQ468" s="847"/>
      <c r="CR468" s="847"/>
      <c r="CS468" s="847"/>
      <c r="CT468" s="847"/>
      <c r="CU468" s="847"/>
      <c r="CV468" s="847"/>
      <c r="CW468" s="847"/>
      <c r="CX468" s="847"/>
      <c r="CY468" s="847"/>
      <c r="CZ468" s="847"/>
      <c r="DA468" s="847"/>
      <c r="DB468"/>
      <c r="DC468"/>
      <c r="DD468" s="2323" t="s">
        <v>800</v>
      </c>
      <c r="DE468" s="2349"/>
      <c r="DF468" s="2349"/>
      <c r="DG468" s="2349"/>
      <c r="DH468" s="2349"/>
      <c r="DI468" s="2349"/>
      <c r="DJ468" s="2349"/>
      <c r="DK468" s="2349"/>
      <c r="DL468" s="2349"/>
      <c r="DM468" s="2349"/>
      <c r="DN468" s="2349"/>
      <c r="DO468" s="2349"/>
      <c r="DP468" s="2349"/>
      <c r="DQ468" s="2349"/>
      <c r="DR468" s="2349"/>
      <c r="DS468" s="2349"/>
      <c r="DT468" s="2349"/>
      <c r="DU468" s="2349"/>
      <c r="DV468" s="2349"/>
      <c r="DW468" s="2349"/>
      <c r="DX468" s="2349"/>
      <c r="DY468" s="2349"/>
      <c r="EA468"/>
      <c r="EB468"/>
      <c r="EC468"/>
      <c r="ED468"/>
      <c r="EE468"/>
      <c r="EF468"/>
      <c r="EJ468"/>
      <c r="EK468"/>
      <c r="EL468"/>
      <c r="ER468" s="212"/>
    </row>
    <row r="469" spans="1:148" s="923" customFormat="1" ht="12.75" hidden="1" customHeight="1" outlineLevel="1" x14ac:dyDescent="0.2">
      <c r="A469" s="865" t="s">
        <v>801</v>
      </c>
      <c r="B469" s="847"/>
      <c r="C469" s="847"/>
      <c r="D469" s="847"/>
      <c r="E469" s="847"/>
      <c r="F469" s="847"/>
      <c r="G469" s="847"/>
      <c r="H469" s="847"/>
      <c r="I469" s="847"/>
      <c r="J469" s="847"/>
      <c r="K469" s="847"/>
      <c r="L469" s="847"/>
      <c r="M469" s="847"/>
      <c r="N469" s="847"/>
      <c r="O469" s="847"/>
      <c r="P469" s="847"/>
      <c r="Q469" s="847"/>
      <c r="R469" s="847"/>
      <c r="S469" s="847"/>
      <c r="T469" s="847"/>
      <c r="U469" s="847"/>
      <c r="V469" s="847"/>
      <c r="W469" s="847"/>
      <c r="X469" s="847">
        <f t="shared" ref="X469:BC469" si="923">+X441-X455</f>
        <v>29</v>
      </c>
      <c r="Y469" s="847">
        <f t="shared" si="923"/>
        <v>19</v>
      </c>
      <c r="Z469" s="847">
        <f t="shared" si="923"/>
        <v>31</v>
      </c>
      <c r="AA469" s="847">
        <f t="shared" si="923"/>
        <v>55</v>
      </c>
      <c r="AB469" s="847">
        <f t="shared" si="923"/>
        <v>134</v>
      </c>
      <c r="AC469" s="847">
        <f t="shared" si="923"/>
        <v>66</v>
      </c>
      <c r="AD469" s="847">
        <f t="shared" si="923"/>
        <v>36</v>
      </c>
      <c r="AE469" s="847">
        <f t="shared" si="923"/>
        <v>50</v>
      </c>
      <c r="AF469" s="847">
        <f t="shared" si="923"/>
        <v>56</v>
      </c>
      <c r="AG469" s="847">
        <f t="shared" si="923"/>
        <v>208</v>
      </c>
      <c r="AH469" s="847">
        <f t="shared" si="923"/>
        <v>74</v>
      </c>
      <c r="AI469" s="847">
        <f t="shared" si="923"/>
        <v>66</v>
      </c>
      <c r="AJ469" s="847">
        <f t="shared" si="923"/>
        <v>63</v>
      </c>
      <c r="AK469" s="847">
        <f t="shared" si="923"/>
        <v>56</v>
      </c>
      <c r="AL469" s="847">
        <f t="shared" si="923"/>
        <v>259</v>
      </c>
      <c r="AM469" s="847">
        <f t="shared" si="923"/>
        <v>66</v>
      </c>
      <c r="AN469" s="847">
        <f t="shared" si="923"/>
        <v>82</v>
      </c>
      <c r="AO469" s="847">
        <f t="shared" si="923"/>
        <v>76</v>
      </c>
      <c r="AP469" s="847">
        <f t="shared" si="923"/>
        <v>133</v>
      </c>
      <c r="AQ469" s="847">
        <f t="shared" si="923"/>
        <v>357</v>
      </c>
      <c r="AR469" s="847">
        <f t="shared" si="923"/>
        <v>57</v>
      </c>
      <c r="AS469" s="847">
        <f t="shared" si="923"/>
        <v>122</v>
      </c>
      <c r="AT469" s="847">
        <f t="shared" si="923"/>
        <v>45</v>
      </c>
      <c r="AU469" s="847">
        <f t="shared" si="923"/>
        <v>126</v>
      </c>
      <c r="AV469" s="847">
        <f t="shared" si="923"/>
        <v>350</v>
      </c>
      <c r="AW469" s="847">
        <f t="shared" si="923"/>
        <v>13</v>
      </c>
      <c r="AX469" s="847">
        <f t="shared" si="923"/>
        <v>77</v>
      </c>
      <c r="AY469" s="847">
        <f t="shared" si="923"/>
        <v>47</v>
      </c>
      <c r="AZ469" s="847">
        <f t="shared" si="923"/>
        <v>10</v>
      </c>
      <c r="BA469" s="847">
        <f t="shared" si="923"/>
        <v>147</v>
      </c>
      <c r="BB469" s="847">
        <f t="shared" si="923"/>
        <v>6</v>
      </c>
      <c r="BC469" s="847">
        <f t="shared" si="923"/>
        <v>16</v>
      </c>
      <c r="BD469" s="847">
        <f t="shared" ref="BD469:BU469" si="924">+BD441-BD455</f>
        <v>13</v>
      </c>
      <c r="BE469" s="847">
        <f t="shared" si="924"/>
        <v>61</v>
      </c>
      <c r="BF469" s="847">
        <f t="shared" si="924"/>
        <v>96</v>
      </c>
      <c r="BG469" s="847">
        <f t="shared" si="924"/>
        <v>285</v>
      </c>
      <c r="BH469" s="847">
        <f t="shared" si="924"/>
        <v>289</v>
      </c>
      <c r="BI469" s="847">
        <f t="shared" si="924"/>
        <v>275</v>
      </c>
      <c r="BJ469" s="847">
        <f t="shared" si="924"/>
        <v>372</v>
      </c>
      <c r="BK469" s="847">
        <f t="shared" si="924"/>
        <v>1221</v>
      </c>
      <c r="BL469" s="847">
        <f t="shared" si="924"/>
        <v>276</v>
      </c>
      <c r="BM469" s="847">
        <f t="shared" si="924"/>
        <v>288</v>
      </c>
      <c r="BN469" s="847">
        <f t="shared" si="924"/>
        <v>286</v>
      </c>
      <c r="BO469" s="847">
        <f t="shared" si="924"/>
        <v>29</v>
      </c>
      <c r="BP469" s="847">
        <f t="shared" si="924"/>
        <v>919.84734000000026</v>
      </c>
      <c r="BQ469" s="847">
        <f t="shared" si="924"/>
        <v>0</v>
      </c>
      <c r="BR469" s="847">
        <f t="shared" si="924"/>
        <v>0</v>
      </c>
      <c r="BS469" s="847">
        <f t="shared" si="924"/>
        <v>0</v>
      </c>
      <c r="BT469" s="847">
        <f t="shared" si="924"/>
        <v>0</v>
      </c>
      <c r="BU469" s="847">
        <f t="shared" si="924"/>
        <v>0</v>
      </c>
      <c r="BV469" s="847"/>
      <c r="BW469" s="847"/>
      <c r="BX469" s="847"/>
      <c r="BY469" s="847"/>
      <c r="BZ469" s="847"/>
      <c r="CA469" s="847"/>
      <c r="CB469" s="847"/>
      <c r="CC469" s="847"/>
      <c r="CD469" s="847"/>
      <c r="CE469" s="847"/>
      <c r="CF469" s="847"/>
      <c r="CG469" s="847"/>
      <c r="CH469" s="847"/>
      <c r="CI469" s="847"/>
      <c r="CJ469" s="847"/>
      <c r="CK469" s="847"/>
      <c r="CL469" s="847"/>
      <c r="CM469" s="847"/>
      <c r="CN469" s="847"/>
      <c r="CO469" s="847"/>
      <c r="CP469" s="847"/>
      <c r="CQ469" s="847"/>
      <c r="CR469" s="847"/>
      <c r="CS469" s="847"/>
      <c r="CT469" s="847"/>
      <c r="CU469" s="847"/>
      <c r="CV469" s="847"/>
      <c r="CW469" s="847"/>
      <c r="CX469" s="847"/>
      <c r="CY469" s="847"/>
      <c r="CZ469" s="847"/>
      <c r="DA469" s="847"/>
      <c r="DB469"/>
      <c r="DC469"/>
      <c r="DD469" s="2323" t="s">
        <v>801</v>
      </c>
      <c r="DE469" s="2349">
        <f t="shared" ref="DE469:DE474" si="925">M469</f>
        <v>0</v>
      </c>
      <c r="DF469" s="2349">
        <f t="shared" ref="DF469:DF474" si="926">R469</f>
        <v>0</v>
      </c>
      <c r="DG469" s="2349">
        <f t="shared" ref="DG469:DG474" si="927">W469</f>
        <v>0</v>
      </c>
      <c r="DH469" s="2349">
        <f t="shared" ref="DH469:DH474" si="928">AB469</f>
        <v>134</v>
      </c>
      <c r="DI469" s="2349">
        <f t="shared" ref="DI469:DI474" si="929">AG469</f>
        <v>208</v>
      </c>
      <c r="DJ469" s="2349">
        <f t="shared" ref="DJ469:DJ474" si="930">AL469</f>
        <v>259</v>
      </c>
      <c r="DK469" s="2349">
        <f t="shared" ref="DK469:DK474" si="931">AQ469</f>
        <v>357</v>
      </c>
      <c r="DL469" s="2349">
        <f t="shared" ref="DL469:DL474" si="932">AV469</f>
        <v>350</v>
      </c>
      <c r="DM469" s="2349">
        <f t="shared" ref="DM469:DM474" si="933">BA469</f>
        <v>147</v>
      </c>
      <c r="DN469" s="2349">
        <f t="shared" ref="DN469:DN474" si="934">BF469</f>
        <v>96</v>
      </c>
      <c r="DO469" s="2349">
        <f t="shared" ref="DO469:DO474" si="935">BK469</f>
        <v>1221</v>
      </c>
      <c r="DP469" s="2349">
        <f t="shared" ref="DP469:DP474" si="936">BP469</f>
        <v>919.84734000000026</v>
      </c>
      <c r="DQ469" s="2349">
        <f t="shared" ref="DQ469:DQ474" si="937">BU469</f>
        <v>0</v>
      </c>
      <c r="DR469" s="2349">
        <f t="shared" ref="DR469:DR474" si="938">BZ469</f>
        <v>0</v>
      </c>
      <c r="DS469" s="2349">
        <f t="shared" ref="DS469:DS474" si="939">CE469</f>
        <v>0</v>
      </c>
      <c r="DT469" s="2349">
        <f t="shared" ref="DT469:DT474" si="940">CJ469</f>
        <v>0</v>
      </c>
      <c r="DU469" s="2349">
        <f t="shared" ref="DU469:DU474" si="941">CO469</f>
        <v>0</v>
      </c>
      <c r="DV469" s="2349">
        <f t="shared" ref="DV469:DV474" si="942">CT469</f>
        <v>0</v>
      </c>
      <c r="DW469" s="2349">
        <f t="shared" ref="DW469:DW474" si="943">CY469</f>
        <v>0</v>
      </c>
      <c r="DX469" s="2349">
        <f t="shared" ref="DX469:DX474" si="944">CZ469</f>
        <v>0</v>
      </c>
      <c r="DY469" s="2349">
        <f t="shared" ref="DY469:DY474" si="945">DA469</f>
        <v>0</v>
      </c>
      <c r="EA469"/>
      <c r="EB469"/>
      <c r="EC469"/>
      <c r="ED469"/>
      <c r="EE469"/>
      <c r="EF469"/>
      <c r="EJ469"/>
      <c r="EK469"/>
      <c r="EL469"/>
      <c r="ER469" s="212"/>
    </row>
    <row r="470" spans="1:148" s="923" customFormat="1" ht="12.75" hidden="1" customHeight="1" outlineLevel="1" x14ac:dyDescent="0.2">
      <c r="A470" s="865" t="s">
        <v>867</v>
      </c>
      <c r="B470" s="847"/>
      <c r="C470" s="847"/>
      <c r="D470" s="847"/>
      <c r="E470" s="847"/>
      <c r="F470" s="847"/>
      <c r="G470" s="847"/>
      <c r="H470" s="847"/>
      <c r="I470" s="847"/>
      <c r="J470" s="847"/>
      <c r="K470" s="847"/>
      <c r="L470" s="847"/>
      <c r="M470" s="847"/>
      <c r="N470" s="847"/>
      <c r="O470" s="847"/>
      <c r="P470" s="847"/>
      <c r="Q470" s="847"/>
      <c r="R470" s="847"/>
      <c r="S470" s="847"/>
      <c r="T470" s="847"/>
      <c r="U470" s="847"/>
      <c r="V470" s="847"/>
      <c r="W470" s="847"/>
      <c r="X470" s="847"/>
      <c r="Y470" s="847"/>
      <c r="Z470" s="847"/>
      <c r="AA470" s="847"/>
      <c r="AB470" s="847"/>
      <c r="AC470" s="847"/>
      <c r="AD470" s="847"/>
      <c r="AE470" s="847"/>
      <c r="AF470" s="847"/>
      <c r="AG470" s="847"/>
      <c r="AH470" s="847"/>
      <c r="AI470" s="847"/>
      <c r="AJ470" s="847"/>
      <c r="AK470" s="847"/>
      <c r="AL470" s="847"/>
      <c r="AM470" s="847">
        <v>8</v>
      </c>
      <c r="AN470" s="847">
        <v>8</v>
      </c>
      <c r="AO470" s="847">
        <f>34-AP470-AM470-AN470</f>
        <v>8</v>
      </c>
      <c r="AP470" s="847">
        <v>10</v>
      </c>
      <c r="AQ470" s="847">
        <f>+SUM(AM470:AP470)</f>
        <v>34</v>
      </c>
      <c r="AR470" s="847">
        <v>10</v>
      </c>
      <c r="AS470" s="847">
        <v>10</v>
      </c>
      <c r="AT470" s="847">
        <v>10</v>
      </c>
      <c r="AU470" s="847">
        <v>13</v>
      </c>
      <c r="AV470" s="847">
        <f>+SUM(AR470:AU470)</f>
        <v>43</v>
      </c>
      <c r="AW470" s="847">
        <v>11</v>
      </c>
      <c r="AX470" s="847">
        <v>12</v>
      </c>
      <c r="AY470" s="847">
        <v>12</v>
      </c>
      <c r="AZ470" s="847">
        <v>7</v>
      </c>
      <c r="BA470" s="847">
        <f>+SUM(AW470:AZ470)</f>
        <v>42</v>
      </c>
      <c r="BB470" s="847">
        <v>10</v>
      </c>
      <c r="BC470" s="847">
        <v>11</v>
      </c>
      <c r="BD470" s="847">
        <v>11</v>
      </c>
      <c r="BE470" s="847">
        <v>15</v>
      </c>
      <c r="BF470" s="847">
        <f>+SUM(BB470:BE470)</f>
        <v>47</v>
      </c>
      <c r="BG470" s="847">
        <v>11</v>
      </c>
      <c r="BH470" s="847">
        <v>12</v>
      </c>
      <c r="BI470" s="847">
        <v>11</v>
      </c>
      <c r="BJ470" s="847">
        <v>16</v>
      </c>
      <c r="BK470" s="847">
        <f>+SUM(BG470:BJ470)</f>
        <v>50</v>
      </c>
      <c r="BL470" s="847">
        <v>13</v>
      </c>
      <c r="BM470" s="847">
        <v>13</v>
      </c>
      <c r="BN470" s="847">
        <v>14</v>
      </c>
      <c r="BO470" s="847">
        <v>19</v>
      </c>
      <c r="BP470" s="847">
        <f>+SUM(BL470:BO470)</f>
        <v>59</v>
      </c>
      <c r="BQ470" s="847">
        <v>0</v>
      </c>
      <c r="BR470" s="847">
        <f>BM470*(BQ470/BL470)</f>
        <v>0</v>
      </c>
      <c r="BS470" s="847">
        <f>BN470*(BR470/BM470)</f>
        <v>0</v>
      </c>
      <c r="BT470" s="847">
        <f>BO470*(BS470/BN470)</f>
        <v>0</v>
      </c>
      <c r="BU470" s="847">
        <f>+SUM(BQ470:BT470)</f>
        <v>0</v>
      </c>
      <c r="BV470" s="847"/>
      <c r="BW470" s="847"/>
      <c r="BX470" s="847"/>
      <c r="BY470" s="847"/>
      <c r="BZ470" s="847"/>
      <c r="CA470" s="847"/>
      <c r="CB470" s="847"/>
      <c r="CC470" s="847"/>
      <c r="CD470" s="847"/>
      <c r="CE470" s="847"/>
      <c r="CF470" s="847"/>
      <c r="CG470" s="847"/>
      <c r="CH470" s="847"/>
      <c r="CI470" s="847"/>
      <c r="CJ470" s="847"/>
      <c r="CK470" s="847"/>
      <c r="CL470" s="847"/>
      <c r="CM470" s="847"/>
      <c r="CN470" s="847"/>
      <c r="CO470" s="847"/>
      <c r="CP470" s="847"/>
      <c r="CQ470" s="847"/>
      <c r="CR470" s="847"/>
      <c r="CS470" s="847"/>
      <c r="CT470" s="847"/>
      <c r="CU470" s="847"/>
      <c r="CV470" s="847"/>
      <c r="CW470" s="847"/>
      <c r="CX470" s="847"/>
      <c r="CY470" s="847"/>
      <c r="CZ470" s="847"/>
      <c r="DA470" s="847"/>
      <c r="DB470"/>
      <c r="DC470"/>
      <c r="DD470" s="2323" t="s">
        <v>867</v>
      </c>
      <c r="DE470" s="2349">
        <f t="shared" si="925"/>
        <v>0</v>
      </c>
      <c r="DF470" s="2349">
        <f t="shared" si="926"/>
        <v>0</v>
      </c>
      <c r="DG470" s="2349">
        <f t="shared" si="927"/>
        <v>0</v>
      </c>
      <c r="DH470" s="2349">
        <f t="shared" si="928"/>
        <v>0</v>
      </c>
      <c r="DI470" s="2349">
        <f t="shared" si="929"/>
        <v>0</v>
      </c>
      <c r="DJ470" s="2349">
        <f t="shared" si="930"/>
        <v>0</v>
      </c>
      <c r="DK470" s="2349">
        <f t="shared" si="931"/>
        <v>34</v>
      </c>
      <c r="DL470" s="2349">
        <f t="shared" si="932"/>
        <v>43</v>
      </c>
      <c r="DM470" s="2349">
        <f t="shared" si="933"/>
        <v>42</v>
      </c>
      <c r="DN470" s="2349">
        <f t="shared" si="934"/>
        <v>47</v>
      </c>
      <c r="DO470" s="2349">
        <f t="shared" si="935"/>
        <v>50</v>
      </c>
      <c r="DP470" s="2349">
        <f t="shared" si="936"/>
        <v>59</v>
      </c>
      <c r="DQ470" s="2349">
        <f t="shared" si="937"/>
        <v>0</v>
      </c>
      <c r="DR470" s="2349">
        <f t="shared" si="938"/>
        <v>0</v>
      </c>
      <c r="DS470" s="2349">
        <f t="shared" si="939"/>
        <v>0</v>
      </c>
      <c r="DT470" s="2349">
        <f t="shared" si="940"/>
        <v>0</v>
      </c>
      <c r="DU470" s="2349">
        <f t="shared" si="941"/>
        <v>0</v>
      </c>
      <c r="DV470" s="2349">
        <f t="shared" si="942"/>
        <v>0</v>
      </c>
      <c r="DW470" s="2349">
        <f t="shared" si="943"/>
        <v>0</v>
      </c>
      <c r="DX470" s="2349">
        <f t="shared" si="944"/>
        <v>0</v>
      </c>
      <c r="DY470" s="2349">
        <f t="shared" si="945"/>
        <v>0</v>
      </c>
      <c r="EA470"/>
      <c r="EB470"/>
      <c r="EC470"/>
      <c r="ED470"/>
      <c r="EE470"/>
      <c r="EF470"/>
      <c r="EJ470"/>
      <c r="EK470"/>
      <c r="EL470"/>
      <c r="ER470" s="212"/>
    </row>
    <row r="471" spans="1:148" s="923" customFormat="1" ht="12.75" hidden="1" customHeight="1" outlineLevel="1" x14ac:dyDescent="0.2">
      <c r="A471" s="865" t="s">
        <v>868</v>
      </c>
      <c r="B471" s="889"/>
      <c r="C471" s="889"/>
      <c r="D471" s="889"/>
      <c r="E471" s="889"/>
      <c r="F471" s="889"/>
      <c r="G471" s="889"/>
      <c r="H471" s="889"/>
      <c r="I471" s="889"/>
      <c r="J471" s="889"/>
      <c r="K471" s="889"/>
      <c r="L471" s="889"/>
      <c r="M471" s="889"/>
      <c r="N471" s="889"/>
      <c r="O471" s="889"/>
      <c r="P471" s="889"/>
      <c r="Q471" s="889"/>
      <c r="R471" s="889"/>
      <c r="S471" s="889"/>
      <c r="T471" s="889"/>
      <c r="U471" s="889"/>
      <c r="V471" s="889"/>
      <c r="W471" s="889"/>
      <c r="X471" s="889">
        <f t="shared" ref="X471:AL471" si="946">+X648</f>
        <v>0</v>
      </c>
      <c r="Y471" s="889">
        <f t="shared" si="946"/>
        <v>32</v>
      </c>
      <c r="Z471" s="889">
        <f t="shared" si="946"/>
        <v>0</v>
      </c>
      <c r="AA471" s="889">
        <f t="shared" si="946"/>
        <v>32</v>
      </c>
      <c r="AB471" s="889">
        <f t="shared" si="946"/>
        <v>64</v>
      </c>
      <c r="AC471" s="889">
        <f t="shared" si="946"/>
        <v>0</v>
      </c>
      <c r="AD471" s="889">
        <f t="shared" si="946"/>
        <v>27</v>
      </c>
      <c r="AE471" s="889">
        <f t="shared" si="946"/>
        <v>0</v>
      </c>
      <c r="AF471" s="889">
        <f t="shared" si="946"/>
        <v>37</v>
      </c>
      <c r="AG471" s="889">
        <f t="shared" si="946"/>
        <v>64</v>
      </c>
      <c r="AH471" s="889">
        <f t="shared" si="946"/>
        <v>0</v>
      </c>
      <c r="AI471" s="889">
        <f t="shared" si="946"/>
        <v>29</v>
      </c>
      <c r="AJ471" s="889">
        <f t="shared" si="946"/>
        <v>0</v>
      </c>
      <c r="AK471" s="889">
        <f t="shared" si="946"/>
        <v>40</v>
      </c>
      <c r="AL471" s="889">
        <f t="shared" si="946"/>
        <v>69</v>
      </c>
      <c r="AM471" s="889">
        <v>0</v>
      </c>
      <c r="AN471" s="889">
        <v>0</v>
      </c>
      <c r="AO471" s="889">
        <v>0</v>
      </c>
      <c r="AP471" s="889">
        <v>0</v>
      </c>
      <c r="AQ471" s="889">
        <f>+SUM(AM471:AP471)</f>
        <v>0</v>
      </c>
      <c r="AR471" s="889">
        <v>0</v>
      </c>
      <c r="AS471" s="889">
        <v>0</v>
      </c>
      <c r="AT471" s="889">
        <v>0</v>
      </c>
      <c r="AU471" s="889">
        <v>0</v>
      </c>
      <c r="AV471" s="889">
        <f>+SUM(AR471:AU471)</f>
        <v>0</v>
      </c>
      <c r="AW471" s="889">
        <v>0</v>
      </c>
      <c r="AX471" s="889">
        <v>0</v>
      </c>
      <c r="AY471" s="889">
        <v>0</v>
      </c>
      <c r="AZ471" s="889">
        <v>0</v>
      </c>
      <c r="BA471" s="889">
        <f>+SUM(AW471:AZ471)</f>
        <v>0</v>
      </c>
      <c r="BB471" s="889">
        <v>0</v>
      </c>
      <c r="BC471" s="889">
        <v>0</v>
      </c>
      <c r="BD471" s="889">
        <v>0</v>
      </c>
      <c r="BE471" s="889">
        <v>0</v>
      </c>
      <c r="BF471" s="889">
        <f>+SUM(BB471:BE471)</f>
        <v>0</v>
      </c>
      <c r="BG471" s="889">
        <v>0</v>
      </c>
      <c r="BH471" s="889">
        <v>0</v>
      </c>
      <c r="BI471" s="889">
        <v>0</v>
      </c>
      <c r="BJ471" s="889">
        <v>0</v>
      </c>
      <c r="BK471" s="889">
        <f>+SUM(BG471:BJ471)</f>
        <v>0</v>
      </c>
      <c r="BL471" s="889">
        <v>0</v>
      </c>
      <c r="BM471" s="889">
        <v>0</v>
      </c>
      <c r="BN471" s="889">
        <v>0</v>
      </c>
      <c r="BO471" s="889">
        <v>0</v>
      </c>
      <c r="BP471" s="889">
        <f>+SUM(BL471:BO471)</f>
        <v>0</v>
      </c>
      <c r="BQ471" s="889">
        <v>0</v>
      </c>
      <c r="BR471" s="889">
        <v>0</v>
      </c>
      <c r="BS471" s="889">
        <v>0</v>
      </c>
      <c r="BT471" s="889">
        <v>0</v>
      </c>
      <c r="BU471" s="889">
        <f>+SUM(BQ471:BT471)</f>
        <v>0</v>
      </c>
      <c r="BV471" s="889"/>
      <c r="BW471" s="889"/>
      <c r="BX471" s="889"/>
      <c r="BY471" s="889"/>
      <c r="BZ471" s="889"/>
      <c r="CA471" s="889"/>
      <c r="CB471" s="889"/>
      <c r="CC471" s="889"/>
      <c r="CD471" s="889"/>
      <c r="CE471" s="889"/>
      <c r="CF471" s="889"/>
      <c r="CG471" s="889"/>
      <c r="CH471" s="889"/>
      <c r="CI471" s="889"/>
      <c r="CJ471" s="889"/>
      <c r="CK471" s="889"/>
      <c r="CL471" s="889"/>
      <c r="CM471" s="889"/>
      <c r="CN471" s="889"/>
      <c r="CO471" s="889"/>
      <c r="CP471" s="889"/>
      <c r="CQ471" s="889"/>
      <c r="CR471" s="889"/>
      <c r="CS471" s="889"/>
      <c r="CT471" s="889"/>
      <c r="CU471" s="889"/>
      <c r="CV471" s="889"/>
      <c r="CW471" s="889"/>
      <c r="CX471" s="889"/>
      <c r="CY471" s="889"/>
      <c r="CZ471" s="889"/>
      <c r="DA471" s="889"/>
      <c r="DB471"/>
      <c r="DC471"/>
      <c r="DD471" s="2323" t="s">
        <v>868</v>
      </c>
      <c r="DE471" s="2349">
        <f t="shared" si="925"/>
        <v>0</v>
      </c>
      <c r="DF471" s="2349">
        <f t="shared" si="926"/>
        <v>0</v>
      </c>
      <c r="DG471" s="2349">
        <f t="shared" si="927"/>
        <v>0</v>
      </c>
      <c r="DH471" s="2349">
        <f t="shared" si="928"/>
        <v>64</v>
      </c>
      <c r="DI471" s="2349">
        <f t="shared" si="929"/>
        <v>64</v>
      </c>
      <c r="DJ471" s="2349">
        <f t="shared" si="930"/>
        <v>69</v>
      </c>
      <c r="DK471" s="2349">
        <f t="shared" si="931"/>
        <v>0</v>
      </c>
      <c r="DL471" s="2349">
        <f t="shared" si="932"/>
        <v>0</v>
      </c>
      <c r="DM471" s="2349">
        <f t="shared" si="933"/>
        <v>0</v>
      </c>
      <c r="DN471" s="2349">
        <f t="shared" si="934"/>
        <v>0</v>
      </c>
      <c r="DO471" s="2349">
        <f t="shared" si="935"/>
        <v>0</v>
      </c>
      <c r="DP471" s="2349">
        <f t="shared" si="936"/>
        <v>0</v>
      </c>
      <c r="DQ471" s="2349">
        <f t="shared" si="937"/>
        <v>0</v>
      </c>
      <c r="DR471" s="2349">
        <f t="shared" si="938"/>
        <v>0</v>
      </c>
      <c r="DS471" s="2349">
        <f t="shared" si="939"/>
        <v>0</v>
      </c>
      <c r="DT471" s="2349">
        <f t="shared" si="940"/>
        <v>0</v>
      </c>
      <c r="DU471" s="2349">
        <f t="shared" si="941"/>
        <v>0</v>
      </c>
      <c r="DV471" s="2349">
        <f t="shared" si="942"/>
        <v>0</v>
      </c>
      <c r="DW471" s="2349">
        <f t="shared" si="943"/>
        <v>0</v>
      </c>
      <c r="DX471" s="2349">
        <f t="shared" si="944"/>
        <v>0</v>
      </c>
      <c r="DY471" s="2349">
        <f t="shared" si="945"/>
        <v>0</v>
      </c>
      <c r="EA471"/>
      <c r="EB471"/>
      <c r="EC471"/>
      <c r="ED471"/>
      <c r="EE471"/>
      <c r="EF471"/>
      <c r="EJ471"/>
      <c r="EK471"/>
      <c r="EL471"/>
      <c r="ER471" s="212"/>
    </row>
    <row r="472" spans="1:148" s="923" customFormat="1" ht="12.75" hidden="1" customHeight="1" outlineLevel="1" x14ac:dyDescent="0.2">
      <c r="A472" s="865" t="s">
        <v>869</v>
      </c>
      <c r="B472" s="850"/>
      <c r="C472" s="850"/>
      <c r="D472" s="850"/>
      <c r="E472" s="850"/>
      <c r="F472" s="850"/>
      <c r="G472" s="850"/>
      <c r="H472" s="850"/>
      <c r="I472" s="850"/>
      <c r="J472" s="850"/>
      <c r="K472" s="850"/>
      <c r="L472" s="850"/>
      <c r="M472" s="850"/>
      <c r="N472" s="850"/>
      <c r="O472" s="850"/>
      <c r="P472" s="850"/>
      <c r="Q472" s="850"/>
      <c r="R472" s="850"/>
      <c r="S472" s="850"/>
      <c r="T472" s="850"/>
      <c r="U472" s="850"/>
      <c r="V472" s="850"/>
      <c r="W472" s="850"/>
      <c r="X472" s="850">
        <f t="shared" ref="X472:AF472" si="947">+X473-X469-X471</f>
        <v>-11</v>
      </c>
      <c r="Y472" s="850">
        <f t="shared" si="947"/>
        <v>-7</v>
      </c>
      <c r="Z472" s="850">
        <f t="shared" si="947"/>
        <v>-8</v>
      </c>
      <c r="AA472" s="850">
        <f t="shared" si="947"/>
        <v>-23</v>
      </c>
      <c r="AB472" s="850">
        <f t="shared" si="947"/>
        <v>-49</v>
      </c>
      <c r="AC472" s="850">
        <f t="shared" si="947"/>
        <v>-16</v>
      </c>
      <c r="AD472" s="850">
        <f t="shared" si="947"/>
        <v>-12</v>
      </c>
      <c r="AE472" s="850">
        <f t="shared" si="947"/>
        <v>-16</v>
      </c>
      <c r="AF472" s="850">
        <f t="shared" si="947"/>
        <v>-25</v>
      </c>
      <c r="AG472" s="850">
        <f>+SUM(AC472:AF472)</f>
        <v>-69</v>
      </c>
      <c r="AH472" s="850">
        <f>+AH473-AH469-AH471</f>
        <v>-11</v>
      </c>
      <c r="AI472" s="850">
        <f>+AI473-AI469-AI471</f>
        <v>-15</v>
      </c>
      <c r="AJ472" s="850">
        <f>+AJ473-AJ469-AJ471</f>
        <v>-13</v>
      </c>
      <c r="AK472" s="850">
        <f>+AK473-AK469-AK471</f>
        <v>-18</v>
      </c>
      <c r="AL472" s="850">
        <f>+SUM(AH472:AK472)</f>
        <v>-57</v>
      </c>
      <c r="AM472" s="850">
        <f>+AM473-AM471-AM469</f>
        <v>-15</v>
      </c>
      <c r="AN472" s="850">
        <f>+AN473-AN471-AN469</f>
        <v>-14</v>
      </c>
      <c r="AO472" s="850">
        <f>+AO473-AO471-AO469</f>
        <v>-15</v>
      </c>
      <c r="AP472" s="850">
        <f>+AP473-AP471-AP469</f>
        <v>-31</v>
      </c>
      <c r="AQ472" s="850">
        <f>+SUM(AM472:AP472)</f>
        <v>-75</v>
      </c>
      <c r="AR472" s="850">
        <f>+AR473-AR469-AR471-AR470</f>
        <v>-23</v>
      </c>
      <c r="AS472" s="850">
        <f>+AS473-AS469-AS471-AS470</f>
        <v>-24</v>
      </c>
      <c r="AT472" s="850">
        <f>+AT473-AT469-AT471-AT470</f>
        <v>-22</v>
      </c>
      <c r="AU472" s="850">
        <f>+AU473-AU469-AU471-AU470</f>
        <v>-29</v>
      </c>
      <c r="AV472" s="850">
        <f>+SUM(AR472:AU472)</f>
        <v>-98</v>
      </c>
      <c r="AW472" s="850">
        <f>+AW473-AW469-AW471-AW470</f>
        <v>-27</v>
      </c>
      <c r="AX472" s="850">
        <f>+AX473-AX469-AX471-AX470</f>
        <v>-25</v>
      </c>
      <c r="AY472" s="850">
        <f>+AY473-AY469-AY471-AY470</f>
        <v>-27</v>
      </c>
      <c r="AZ472" s="850">
        <f>+AZ473-AZ469-AZ471-AZ470</f>
        <v>-25</v>
      </c>
      <c r="BA472" s="850">
        <f>+SUM(AW472:AZ472)</f>
        <v>-104</v>
      </c>
      <c r="BB472" s="850">
        <f>+BB473-BB469-BB471-BB470</f>
        <v>-17</v>
      </c>
      <c r="BC472" s="850">
        <f>+BC473-BC469-BC471-BC470</f>
        <v>-15</v>
      </c>
      <c r="BD472" s="850">
        <f>+BD473-BD469-BD471-BD470</f>
        <v>-15</v>
      </c>
      <c r="BE472" s="850">
        <f>+BE473-BE469-BE471-BE470</f>
        <v>-11</v>
      </c>
      <c r="BF472" s="850">
        <f>+SUM(BB472:BE472)</f>
        <v>-58</v>
      </c>
      <c r="BG472" s="850">
        <f>+BG473-BG469-BG471-BG470</f>
        <v>-266</v>
      </c>
      <c r="BH472" s="850">
        <f>+BH473-BH469-BH471-BH470</f>
        <v>-268</v>
      </c>
      <c r="BI472" s="850">
        <f>+BI473-BI469-BI471-BI470</f>
        <v>-247</v>
      </c>
      <c r="BJ472" s="850">
        <f>+BJ473-BJ469-BJ471-BJ470</f>
        <v>-348</v>
      </c>
      <c r="BK472" s="850">
        <f>+SUM(BG472:BJ472)</f>
        <v>-1129</v>
      </c>
      <c r="BL472" s="850">
        <f>+BL473-BL469-BL471-BL470</f>
        <v>-254</v>
      </c>
      <c r="BM472" s="850">
        <f>+BM473-BM469-BM471-BM470</f>
        <v>-237</v>
      </c>
      <c r="BN472" s="850">
        <f>+BN473-BN469-BN471-BN470</f>
        <v>-278</v>
      </c>
      <c r="BO472" s="850">
        <v>-20</v>
      </c>
      <c r="BP472" s="850">
        <f>+SUM(BL472:BO472)</f>
        <v>-789</v>
      </c>
      <c r="BQ472" s="850"/>
      <c r="BR472" s="850"/>
      <c r="BS472" s="850"/>
      <c r="BT472" s="850"/>
      <c r="BU472" s="850"/>
      <c r="BV472" s="850"/>
      <c r="BW472" s="850"/>
      <c r="BX472" s="850"/>
      <c r="BY472" s="850"/>
      <c r="BZ472" s="850"/>
      <c r="CA472" s="850"/>
      <c r="CB472" s="850"/>
      <c r="CC472" s="850"/>
      <c r="CD472" s="850"/>
      <c r="CE472" s="850"/>
      <c r="CF472" s="850"/>
      <c r="CG472" s="850"/>
      <c r="CH472" s="850"/>
      <c r="CI472" s="850"/>
      <c r="CJ472" s="850"/>
      <c r="CK472" s="850"/>
      <c r="CL472" s="850"/>
      <c r="CM472" s="850"/>
      <c r="CN472" s="850"/>
      <c r="CO472" s="850"/>
      <c r="CP472" s="850"/>
      <c r="CQ472" s="850"/>
      <c r="CR472" s="850"/>
      <c r="CS472" s="850"/>
      <c r="CT472" s="850"/>
      <c r="CU472" s="850"/>
      <c r="CV472" s="850"/>
      <c r="CW472" s="850"/>
      <c r="CX472" s="850"/>
      <c r="CY472" s="850"/>
      <c r="CZ472" s="850"/>
      <c r="DA472" s="850"/>
      <c r="DB472"/>
      <c r="DC472"/>
      <c r="DD472" s="2323" t="s">
        <v>869</v>
      </c>
      <c r="DE472" s="850">
        <f t="shared" si="925"/>
        <v>0</v>
      </c>
      <c r="DF472" s="850">
        <f t="shared" si="926"/>
        <v>0</v>
      </c>
      <c r="DG472" s="850">
        <f t="shared" si="927"/>
        <v>0</v>
      </c>
      <c r="DH472" s="850">
        <f t="shared" si="928"/>
        <v>-49</v>
      </c>
      <c r="DI472" s="850">
        <f t="shared" si="929"/>
        <v>-69</v>
      </c>
      <c r="DJ472" s="850">
        <f t="shared" si="930"/>
        <v>-57</v>
      </c>
      <c r="DK472" s="850">
        <f t="shared" si="931"/>
        <v>-75</v>
      </c>
      <c r="DL472" s="850">
        <f t="shared" si="932"/>
        <v>-98</v>
      </c>
      <c r="DM472" s="850">
        <f t="shared" si="933"/>
        <v>-104</v>
      </c>
      <c r="DN472" s="850">
        <f t="shared" si="934"/>
        <v>-58</v>
      </c>
      <c r="DO472" s="850">
        <f t="shared" si="935"/>
        <v>-1129</v>
      </c>
      <c r="DP472" s="850">
        <f t="shared" si="936"/>
        <v>-789</v>
      </c>
      <c r="DQ472" s="850">
        <f t="shared" si="937"/>
        <v>0</v>
      </c>
      <c r="DR472" s="850">
        <f t="shared" si="938"/>
        <v>0</v>
      </c>
      <c r="DS472" s="850">
        <f t="shared" si="939"/>
        <v>0</v>
      </c>
      <c r="DT472" s="850">
        <f t="shared" si="940"/>
        <v>0</v>
      </c>
      <c r="DU472" s="850">
        <f t="shared" si="941"/>
        <v>0</v>
      </c>
      <c r="DV472" s="850">
        <f t="shared" si="942"/>
        <v>0</v>
      </c>
      <c r="DW472" s="850">
        <f t="shared" si="943"/>
        <v>0</v>
      </c>
      <c r="DX472" s="850">
        <f t="shared" si="944"/>
        <v>0</v>
      </c>
      <c r="DY472" s="850">
        <f t="shared" si="945"/>
        <v>0</v>
      </c>
      <c r="EA472"/>
      <c r="EB472"/>
      <c r="EC472"/>
      <c r="ED472"/>
      <c r="EE472"/>
      <c r="EF472"/>
      <c r="EJ472"/>
      <c r="EK472"/>
      <c r="EL472"/>
      <c r="ER472" s="212"/>
    </row>
    <row r="473" spans="1:148" s="923" customFormat="1" ht="12.75" hidden="1" customHeight="1" outlineLevel="1" x14ac:dyDescent="0.2">
      <c r="A473" s="865" t="s">
        <v>870</v>
      </c>
      <c r="B473" s="847"/>
      <c r="C473" s="847"/>
      <c r="D473" s="847"/>
      <c r="E473" s="847"/>
      <c r="F473" s="847"/>
      <c r="G473" s="847"/>
      <c r="H473" s="847"/>
      <c r="I473" s="847"/>
      <c r="J473" s="847"/>
      <c r="K473" s="847"/>
      <c r="L473" s="847"/>
      <c r="M473" s="847"/>
      <c r="N473" s="847"/>
      <c r="O473" s="847"/>
      <c r="P473" s="847"/>
      <c r="Q473" s="847"/>
      <c r="R473" s="847"/>
      <c r="S473" s="847"/>
      <c r="T473" s="847"/>
      <c r="U473" s="847"/>
      <c r="V473" s="847"/>
      <c r="W473" s="847"/>
      <c r="X473" s="847">
        <f>62-Y473</f>
        <v>18</v>
      </c>
      <c r="Y473" s="847">
        <v>44</v>
      </c>
      <c r="Z473" s="847">
        <f>149-AA473-Y473-X473</f>
        <v>23</v>
      </c>
      <c r="AA473" s="847">
        <v>64</v>
      </c>
      <c r="AB473" s="847">
        <f>+SUM(X473:AA473)</f>
        <v>149</v>
      </c>
      <c r="AC473" s="847">
        <f>101-AD473</f>
        <v>50</v>
      </c>
      <c r="AD473" s="847">
        <v>51</v>
      </c>
      <c r="AE473" s="847">
        <v>34</v>
      </c>
      <c r="AF473" s="847">
        <f>203-AE473-AD473-AC473</f>
        <v>68</v>
      </c>
      <c r="AG473" s="847">
        <f>+SUM(AG469:AG472)</f>
        <v>203</v>
      </c>
      <c r="AH473" s="847">
        <v>63</v>
      </c>
      <c r="AI473" s="847">
        <v>80</v>
      </c>
      <c r="AJ473" s="847">
        <v>50</v>
      </c>
      <c r="AK473" s="847">
        <v>78</v>
      </c>
      <c r="AL473" s="847">
        <f>+SUM(AL469:AL472)</f>
        <v>271</v>
      </c>
      <c r="AM473" s="847">
        <v>51</v>
      </c>
      <c r="AN473" s="847">
        <v>68</v>
      </c>
      <c r="AO473" s="847">
        <v>61</v>
      </c>
      <c r="AP473" s="847">
        <f>282-AM473-AN473-AO473</f>
        <v>102</v>
      </c>
      <c r="AQ473" s="847">
        <f>+SUM(AQ469:AQ472)</f>
        <v>316</v>
      </c>
      <c r="AR473" s="847">
        <f>+AR482-AR476-AR480</f>
        <v>44</v>
      </c>
      <c r="AS473" s="847">
        <f>+AS482-AS476-AS480</f>
        <v>108</v>
      </c>
      <c r="AT473" s="847">
        <f>+AT482-AT476-AT480</f>
        <v>33</v>
      </c>
      <c r="AU473" s="847">
        <f>+AU482-AU476-AU480</f>
        <v>110</v>
      </c>
      <c r="AV473" s="847">
        <f>+SUM(AV469:AV472)</f>
        <v>295</v>
      </c>
      <c r="AW473" s="847">
        <f>+AW482-AW476-AW480</f>
        <v>-3</v>
      </c>
      <c r="AX473" s="847">
        <f>+AX482-AX476-AX480</f>
        <v>64</v>
      </c>
      <c r="AY473" s="847">
        <f>+AY482-AY476-AY480</f>
        <v>32</v>
      </c>
      <c r="AZ473" s="847">
        <f>+AZ482-AZ476-AZ480</f>
        <v>-8</v>
      </c>
      <c r="BA473" s="847">
        <f>+SUM(BA469:BA472)</f>
        <v>85</v>
      </c>
      <c r="BB473" s="847">
        <f>+BB482-BB476-BB480</f>
        <v>-1</v>
      </c>
      <c r="BC473" s="847">
        <f>+BC482-BC476-BC480</f>
        <v>12</v>
      </c>
      <c r="BD473" s="847">
        <f>+BD482-BD476-BD480</f>
        <v>9</v>
      </c>
      <c r="BE473" s="847">
        <f>+BE482-BE476-BE480</f>
        <v>65</v>
      </c>
      <c r="BF473" s="847">
        <f>+SUM(BF469:BF472)</f>
        <v>85</v>
      </c>
      <c r="BG473" s="847">
        <f>+BG482-BG476-BG480</f>
        <v>30</v>
      </c>
      <c r="BH473" s="847">
        <f>+BH482-BH476-BH480</f>
        <v>33</v>
      </c>
      <c r="BI473" s="847">
        <f>+BI482-BI476-BI480</f>
        <v>39</v>
      </c>
      <c r="BJ473" s="847">
        <f>+BJ482-BJ476-BJ480</f>
        <v>40</v>
      </c>
      <c r="BK473" s="847">
        <f>+SUM(BK469:BK472)</f>
        <v>142</v>
      </c>
      <c r="BL473" s="847">
        <f>+BL482-BL476-BL480</f>
        <v>35</v>
      </c>
      <c r="BM473" s="847">
        <f>+BM482-BM476-BM480</f>
        <v>64</v>
      </c>
      <c r="BN473" s="847">
        <f>+BN482-BN476-BN480</f>
        <v>22</v>
      </c>
      <c r="BO473" s="847">
        <f t="shared" ref="BO473:BU473" si="948">+SUM(BO469:BO472)</f>
        <v>28</v>
      </c>
      <c r="BP473" s="847">
        <f t="shared" si="948"/>
        <v>189.84734000000026</v>
      </c>
      <c r="BQ473" s="847">
        <f t="shared" si="948"/>
        <v>0</v>
      </c>
      <c r="BR473" s="847">
        <f t="shared" si="948"/>
        <v>0</v>
      </c>
      <c r="BS473" s="847">
        <f t="shared" si="948"/>
        <v>0</v>
      </c>
      <c r="BT473" s="847">
        <f t="shared" si="948"/>
        <v>0</v>
      </c>
      <c r="BU473" s="847">
        <f t="shared" si="948"/>
        <v>0</v>
      </c>
      <c r="BV473" s="847"/>
      <c r="BW473" s="847"/>
      <c r="BX473" s="847"/>
      <c r="BY473" s="847"/>
      <c r="BZ473" s="847"/>
      <c r="CA473" s="847"/>
      <c r="CB473" s="847"/>
      <c r="CC473" s="847"/>
      <c r="CD473" s="847"/>
      <c r="CE473" s="847"/>
      <c r="CF473" s="847"/>
      <c r="CG473" s="847"/>
      <c r="CH473" s="847"/>
      <c r="CI473" s="847"/>
      <c r="CJ473" s="847"/>
      <c r="CK473" s="847"/>
      <c r="CL473" s="847"/>
      <c r="CM473" s="847"/>
      <c r="CN473" s="847"/>
      <c r="CO473" s="847"/>
      <c r="CP473" s="847"/>
      <c r="CQ473" s="847"/>
      <c r="CR473" s="847"/>
      <c r="CS473" s="847"/>
      <c r="CT473" s="847"/>
      <c r="CU473" s="847"/>
      <c r="CV473" s="847"/>
      <c r="CW473" s="847"/>
      <c r="CX473" s="847"/>
      <c r="CY473" s="847"/>
      <c r="CZ473" s="847"/>
      <c r="DA473" s="847"/>
      <c r="DB473"/>
      <c r="DC473"/>
      <c r="DD473" s="2323" t="s">
        <v>870</v>
      </c>
      <c r="DE473" s="2349">
        <f t="shared" si="925"/>
        <v>0</v>
      </c>
      <c r="DF473" s="2349">
        <f t="shared" si="926"/>
        <v>0</v>
      </c>
      <c r="DG473" s="2349">
        <f t="shared" si="927"/>
        <v>0</v>
      </c>
      <c r="DH473" s="2349">
        <f t="shared" si="928"/>
        <v>149</v>
      </c>
      <c r="DI473" s="2349">
        <f t="shared" si="929"/>
        <v>203</v>
      </c>
      <c r="DJ473" s="2349">
        <f t="shared" si="930"/>
        <v>271</v>
      </c>
      <c r="DK473" s="2349">
        <f t="shared" si="931"/>
        <v>316</v>
      </c>
      <c r="DL473" s="2349">
        <f t="shared" si="932"/>
        <v>295</v>
      </c>
      <c r="DM473" s="2349">
        <f t="shared" si="933"/>
        <v>85</v>
      </c>
      <c r="DN473" s="2349">
        <f t="shared" si="934"/>
        <v>85</v>
      </c>
      <c r="DO473" s="2349">
        <f t="shared" si="935"/>
        <v>142</v>
      </c>
      <c r="DP473" s="2349">
        <f t="shared" si="936"/>
        <v>189.84734000000026</v>
      </c>
      <c r="DQ473" s="2349">
        <f t="shared" si="937"/>
        <v>0</v>
      </c>
      <c r="DR473" s="2349">
        <f t="shared" si="938"/>
        <v>0</v>
      </c>
      <c r="DS473" s="2349">
        <f t="shared" si="939"/>
        <v>0</v>
      </c>
      <c r="DT473" s="2349">
        <f t="shared" si="940"/>
        <v>0</v>
      </c>
      <c r="DU473" s="2349">
        <f t="shared" si="941"/>
        <v>0</v>
      </c>
      <c r="DV473" s="2349">
        <f t="shared" si="942"/>
        <v>0</v>
      </c>
      <c r="DW473" s="2349">
        <f t="shared" si="943"/>
        <v>0</v>
      </c>
      <c r="DX473" s="2349">
        <f t="shared" si="944"/>
        <v>0</v>
      </c>
      <c r="DY473" s="2349">
        <f t="shared" si="945"/>
        <v>0</v>
      </c>
      <c r="EA473"/>
      <c r="EB473"/>
      <c r="EC473"/>
      <c r="ED473"/>
      <c r="EE473"/>
      <c r="EF473"/>
      <c r="EJ473"/>
      <c r="EK473"/>
      <c r="EL473"/>
      <c r="ER473" s="212"/>
    </row>
    <row r="474" spans="1:148" s="923" customFormat="1" ht="12.75" hidden="1" customHeight="1" outlineLevel="1" x14ac:dyDescent="0.2">
      <c r="A474" s="865" t="s">
        <v>871</v>
      </c>
      <c r="B474" s="889"/>
      <c r="C474" s="889"/>
      <c r="D474" s="889"/>
      <c r="E474" s="889"/>
      <c r="F474" s="889"/>
      <c r="G474" s="889"/>
      <c r="H474" s="889"/>
      <c r="I474" s="889"/>
      <c r="J474" s="889"/>
      <c r="K474" s="889"/>
      <c r="L474" s="889"/>
      <c r="M474" s="889"/>
      <c r="N474" s="889"/>
      <c r="O474" s="889"/>
      <c r="P474" s="889"/>
      <c r="Q474" s="889"/>
      <c r="R474" s="889"/>
      <c r="S474" s="889"/>
      <c r="T474" s="889"/>
      <c r="U474" s="889"/>
      <c r="V474" s="889"/>
      <c r="W474" s="889"/>
      <c r="X474" s="889"/>
      <c r="Y474" s="889"/>
      <c r="Z474" s="889"/>
      <c r="AA474" s="889"/>
      <c r="AB474" s="889"/>
      <c r="AC474" s="889"/>
      <c r="AD474" s="889"/>
      <c r="AE474" s="889"/>
      <c r="AF474" s="889"/>
      <c r="AG474" s="889"/>
      <c r="AH474" s="889"/>
      <c r="AI474" s="889"/>
      <c r="AJ474" s="889"/>
      <c r="AK474" s="889"/>
      <c r="AL474" s="889"/>
      <c r="AM474" s="889"/>
      <c r="AN474" s="889"/>
      <c r="AO474" s="889"/>
      <c r="AP474" s="889"/>
      <c r="AQ474" s="889"/>
      <c r="AR474" s="889"/>
      <c r="AS474" s="889"/>
      <c r="AT474" s="889"/>
      <c r="AU474" s="889"/>
      <c r="AV474" s="889"/>
      <c r="AW474" s="889"/>
      <c r="AX474" s="889"/>
      <c r="AY474" s="889"/>
      <c r="AZ474" s="889"/>
      <c r="BA474" s="889"/>
      <c r="BB474" s="889"/>
      <c r="BC474" s="889"/>
      <c r="BD474" s="889"/>
      <c r="BE474" s="889"/>
      <c r="BF474" s="889"/>
      <c r="BG474" s="889"/>
      <c r="BH474" s="889"/>
      <c r="BI474" s="889"/>
      <c r="BJ474" s="889"/>
      <c r="BK474" s="889"/>
      <c r="BL474" s="889"/>
      <c r="BM474" s="889"/>
      <c r="BN474" s="889"/>
      <c r="BO474" s="889"/>
      <c r="BP474" s="889"/>
      <c r="BQ474" s="889"/>
      <c r="BR474" s="889">
        <f>BQ474</f>
        <v>0</v>
      </c>
      <c r="BS474" s="889">
        <f>BR474</f>
        <v>0</v>
      </c>
      <c r="BT474" s="889">
        <f>BS474</f>
        <v>0</v>
      </c>
      <c r="BU474" s="889"/>
      <c r="BV474" s="889"/>
      <c r="BW474" s="889"/>
      <c r="BX474" s="889"/>
      <c r="BY474" s="889"/>
      <c r="BZ474" s="889"/>
      <c r="CA474" s="889"/>
      <c r="CB474" s="889"/>
      <c r="CC474" s="889"/>
      <c r="CD474" s="889"/>
      <c r="CE474" s="889"/>
      <c r="CF474" s="889"/>
      <c r="CG474" s="889"/>
      <c r="CH474" s="889"/>
      <c r="CI474" s="889"/>
      <c r="CJ474" s="889"/>
      <c r="CK474" s="889"/>
      <c r="CL474" s="889"/>
      <c r="CM474" s="889"/>
      <c r="CN474" s="889"/>
      <c r="CO474" s="889"/>
      <c r="CP474" s="889"/>
      <c r="CQ474" s="889"/>
      <c r="CR474" s="889"/>
      <c r="CS474" s="889"/>
      <c r="CT474" s="889"/>
      <c r="CU474" s="889"/>
      <c r="CV474" s="889"/>
      <c r="CW474" s="889"/>
      <c r="CX474" s="889"/>
      <c r="CY474" s="889"/>
      <c r="CZ474" s="889"/>
      <c r="DA474" s="889"/>
      <c r="DB474"/>
      <c r="DC474"/>
      <c r="DD474" s="2323" t="s">
        <v>871</v>
      </c>
      <c r="DE474" s="2349">
        <f t="shared" si="925"/>
        <v>0</v>
      </c>
      <c r="DF474" s="2349">
        <f t="shared" si="926"/>
        <v>0</v>
      </c>
      <c r="DG474" s="2349">
        <f t="shared" si="927"/>
        <v>0</v>
      </c>
      <c r="DH474" s="2349">
        <f t="shared" si="928"/>
        <v>0</v>
      </c>
      <c r="DI474" s="2349">
        <f t="shared" si="929"/>
        <v>0</v>
      </c>
      <c r="DJ474" s="2349">
        <f t="shared" si="930"/>
        <v>0</v>
      </c>
      <c r="DK474" s="2349">
        <f t="shared" si="931"/>
        <v>0</v>
      </c>
      <c r="DL474" s="2349">
        <f t="shared" si="932"/>
        <v>0</v>
      </c>
      <c r="DM474" s="2349">
        <f t="shared" si="933"/>
        <v>0</v>
      </c>
      <c r="DN474" s="2349">
        <f t="shared" si="934"/>
        <v>0</v>
      </c>
      <c r="DO474" s="2349">
        <f t="shared" si="935"/>
        <v>0</v>
      </c>
      <c r="DP474" s="2349">
        <f t="shared" si="936"/>
        <v>0</v>
      </c>
      <c r="DQ474" s="2349">
        <f t="shared" si="937"/>
        <v>0</v>
      </c>
      <c r="DR474" s="2349">
        <f t="shared" si="938"/>
        <v>0</v>
      </c>
      <c r="DS474" s="2349">
        <f t="shared" si="939"/>
        <v>0</v>
      </c>
      <c r="DT474" s="2349">
        <f t="shared" si="940"/>
        <v>0</v>
      </c>
      <c r="DU474" s="2349">
        <f t="shared" si="941"/>
        <v>0</v>
      </c>
      <c r="DV474" s="2349">
        <f t="shared" si="942"/>
        <v>0</v>
      </c>
      <c r="DW474" s="2349">
        <f t="shared" si="943"/>
        <v>0</v>
      </c>
      <c r="DX474" s="2349">
        <f t="shared" si="944"/>
        <v>0</v>
      </c>
      <c r="DY474" s="2349">
        <f t="shared" si="945"/>
        <v>0</v>
      </c>
      <c r="EA474"/>
      <c r="EB474"/>
      <c r="EC474"/>
      <c r="ED474"/>
      <c r="EE474"/>
      <c r="EF474"/>
      <c r="EJ474"/>
      <c r="EK474"/>
      <c r="EL474"/>
      <c r="ER474" s="212"/>
    </row>
    <row r="475" spans="1:148" s="923" customFormat="1" ht="12.75" hidden="1" customHeight="1" outlineLevel="1" x14ac:dyDescent="0.2">
      <c r="A475" s="865"/>
      <c r="B475" s="847"/>
      <c r="C475" s="847"/>
      <c r="D475" s="847"/>
      <c r="E475" s="847"/>
      <c r="F475" s="847"/>
      <c r="G475" s="847"/>
      <c r="H475" s="847"/>
      <c r="I475" s="847"/>
      <c r="J475" s="847"/>
      <c r="K475" s="847"/>
      <c r="L475" s="847"/>
      <c r="M475" s="847"/>
      <c r="N475" s="847"/>
      <c r="O475" s="847"/>
      <c r="P475" s="847"/>
      <c r="Q475" s="847"/>
      <c r="R475" s="847"/>
      <c r="S475" s="847"/>
      <c r="T475" s="847"/>
      <c r="U475" s="847"/>
      <c r="V475" s="847"/>
      <c r="W475" s="847"/>
      <c r="X475" s="847"/>
      <c r="Y475" s="847"/>
      <c r="Z475" s="847"/>
      <c r="AA475" s="847"/>
      <c r="AB475" s="847"/>
      <c r="AC475" s="847"/>
      <c r="AD475" s="847"/>
      <c r="AE475" s="847"/>
      <c r="AF475" s="847"/>
      <c r="AG475" s="847"/>
      <c r="AH475" s="847"/>
      <c r="AI475" s="847"/>
      <c r="AJ475" s="847"/>
      <c r="AK475" s="847"/>
      <c r="AL475" s="847"/>
      <c r="AM475" s="847"/>
      <c r="AN475" s="847"/>
      <c r="AO475" s="847"/>
      <c r="AP475" s="847"/>
      <c r="AQ475" s="847"/>
      <c r="AR475" s="847"/>
      <c r="AS475" s="847"/>
      <c r="AT475" s="847"/>
      <c r="AU475" s="847"/>
      <c r="AV475" s="847"/>
      <c r="AW475" s="847"/>
      <c r="AX475" s="847"/>
      <c r="AY475" s="847"/>
      <c r="AZ475" s="847"/>
      <c r="BA475" s="847"/>
      <c r="BB475" s="847"/>
      <c r="BC475" s="847"/>
      <c r="BD475" s="847"/>
      <c r="BE475" s="847"/>
      <c r="BF475" s="847"/>
      <c r="BG475" s="847"/>
      <c r="BH475" s="847"/>
      <c r="BI475" s="847"/>
      <c r="BJ475" s="847"/>
      <c r="BK475" s="847"/>
      <c r="BL475" s="847"/>
      <c r="BM475" s="847"/>
      <c r="BN475" s="847"/>
      <c r="BO475" s="847"/>
      <c r="BP475" s="847"/>
      <c r="BQ475" s="847"/>
      <c r="BR475" s="847"/>
      <c r="BS475" s="847"/>
      <c r="BT475" s="847"/>
      <c r="BU475" s="847"/>
      <c r="BV475" s="847"/>
      <c r="BW475" s="847"/>
      <c r="BX475" s="847"/>
      <c r="BY475" s="847"/>
      <c r="BZ475" s="847"/>
      <c r="CA475" s="847"/>
      <c r="CB475" s="847"/>
      <c r="CC475" s="847"/>
      <c r="CD475" s="847"/>
      <c r="CE475" s="847"/>
      <c r="CF475" s="847"/>
      <c r="CG475" s="847"/>
      <c r="CH475" s="847"/>
      <c r="CI475" s="847"/>
      <c r="CJ475" s="847"/>
      <c r="CK475" s="847"/>
      <c r="CL475" s="847"/>
      <c r="CM475" s="847"/>
      <c r="CN475" s="847"/>
      <c r="CO475" s="847"/>
      <c r="CP475" s="847"/>
      <c r="CQ475" s="847"/>
      <c r="CR475" s="847"/>
      <c r="CS475" s="847"/>
      <c r="CT475" s="847"/>
      <c r="CU475" s="847"/>
      <c r="CV475" s="847"/>
      <c r="CW475" s="847"/>
      <c r="CX475" s="847"/>
      <c r="CY475" s="847"/>
      <c r="CZ475" s="847"/>
      <c r="DA475" s="847"/>
      <c r="DB475"/>
      <c r="DC475"/>
      <c r="DD475" s="2323"/>
      <c r="DE475" s="2349"/>
      <c r="DF475" s="2349"/>
      <c r="DG475" s="2349"/>
      <c r="DH475" s="2349"/>
      <c r="DI475" s="2349"/>
      <c r="DJ475" s="2349"/>
      <c r="DK475" s="2349"/>
      <c r="DL475" s="2349"/>
      <c r="DM475" s="2349"/>
      <c r="DN475" s="2349"/>
      <c r="DO475" s="2349"/>
      <c r="DP475" s="2349"/>
      <c r="DQ475" s="2349"/>
      <c r="DR475" s="2349"/>
      <c r="DS475" s="2349"/>
      <c r="DT475" s="2349"/>
      <c r="DU475" s="2349"/>
      <c r="DV475" s="2349"/>
      <c r="DW475" s="2349"/>
      <c r="DX475" s="2349"/>
      <c r="DY475" s="2349"/>
      <c r="EA475"/>
      <c r="EB475"/>
      <c r="EC475"/>
      <c r="ED475"/>
      <c r="EE475"/>
      <c r="EF475"/>
      <c r="EJ475"/>
      <c r="EK475"/>
      <c r="EL475"/>
      <c r="ER475" s="212"/>
    </row>
    <row r="476" spans="1:148" s="923" customFormat="1" ht="12.75" hidden="1" customHeight="1" outlineLevel="1" x14ac:dyDescent="0.2">
      <c r="A476" s="865" t="s">
        <v>2241</v>
      </c>
      <c r="B476" s="889"/>
      <c r="C476" s="889"/>
      <c r="D476" s="889"/>
      <c r="E476" s="889"/>
      <c r="F476" s="889"/>
      <c r="G476" s="889"/>
      <c r="H476" s="889"/>
      <c r="I476" s="889"/>
      <c r="J476" s="889"/>
      <c r="K476" s="889"/>
      <c r="L476" s="889"/>
      <c r="M476" s="853"/>
      <c r="N476" s="889"/>
      <c r="O476" s="889"/>
      <c r="P476" s="889"/>
      <c r="Q476" s="889"/>
      <c r="R476" s="853"/>
      <c r="S476" s="889"/>
      <c r="T476" s="889"/>
      <c r="U476" s="889"/>
      <c r="V476" s="889"/>
      <c r="W476" s="853"/>
      <c r="X476" s="889"/>
      <c r="Y476" s="889"/>
      <c r="Z476" s="889"/>
      <c r="AA476" s="889"/>
      <c r="AB476" s="853"/>
      <c r="AC476" s="889"/>
      <c r="AD476" s="889"/>
      <c r="AE476" s="889"/>
      <c r="AF476" s="889"/>
      <c r="AG476" s="853"/>
      <c r="AH476" s="889">
        <f>+AH42</f>
        <v>-5</v>
      </c>
      <c r="AI476" s="889">
        <f>+AI42</f>
        <v>6</v>
      </c>
      <c r="AJ476" s="889">
        <f>+AJ42</f>
        <v>17</v>
      </c>
      <c r="AK476" s="889">
        <f>+AK42</f>
        <v>18</v>
      </c>
      <c r="AL476" s="853">
        <f>SUM(AH476:AK476)</f>
        <v>36</v>
      </c>
      <c r="AM476" s="889">
        <v>-1</v>
      </c>
      <c r="AN476" s="889">
        <v>2</v>
      </c>
      <c r="AO476" s="889">
        <v>0</v>
      </c>
      <c r="AP476" s="889">
        <v>-3</v>
      </c>
      <c r="AQ476" s="853">
        <f>SUM(AM476:AP476)</f>
        <v>-2</v>
      </c>
      <c r="AR476" s="889">
        <v>0</v>
      </c>
      <c r="AS476" s="889">
        <v>-1</v>
      </c>
      <c r="AT476" s="889">
        <v>5</v>
      </c>
      <c r="AU476" s="889">
        <v>6</v>
      </c>
      <c r="AV476" s="853">
        <f>SUM(AR476:AU476)</f>
        <v>10</v>
      </c>
      <c r="AW476" s="889">
        <v>5</v>
      </c>
      <c r="AX476" s="889">
        <v>2</v>
      </c>
      <c r="AY476" s="889">
        <v>2</v>
      </c>
      <c r="AZ476" s="889">
        <v>2</v>
      </c>
      <c r="BA476" s="853">
        <f>SUM(AW476:AZ476)</f>
        <v>11</v>
      </c>
      <c r="BB476" s="889">
        <v>-1</v>
      </c>
      <c r="BC476" s="889">
        <v>-1</v>
      </c>
      <c r="BD476" s="889">
        <v>-4</v>
      </c>
      <c r="BE476" s="889">
        <v>-3</v>
      </c>
      <c r="BF476" s="853">
        <f>SUM(BB476:BE476)</f>
        <v>-9</v>
      </c>
      <c r="BG476" s="889">
        <v>-5</v>
      </c>
      <c r="BH476" s="889">
        <v>-3</v>
      </c>
      <c r="BI476" s="889">
        <v>-2</v>
      </c>
      <c r="BJ476" s="889">
        <v>2</v>
      </c>
      <c r="BK476" s="853">
        <f>SUM(BG476:BJ476)</f>
        <v>-8</v>
      </c>
      <c r="BL476" s="889">
        <v>0</v>
      </c>
      <c r="BM476" s="889">
        <v>0</v>
      </c>
      <c r="BN476" s="889">
        <v>0</v>
      </c>
      <c r="BO476" s="889">
        <f>BJ476*1.03</f>
        <v>2.06</v>
      </c>
      <c r="BP476" s="853">
        <f>SUM(BL476:BO476)</f>
        <v>2.06</v>
      </c>
      <c r="BQ476" s="889">
        <f>BL476*1.03</f>
        <v>0</v>
      </c>
      <c r="BR476" s="889">
        <f>BM476*1.03</f>
        <v>0</v>
      </c>
      <c r="BS476" s="889">
        <f>BN476*1.03</f>
        <v>0</v>
      </c>
      <c r="BT476" s="889">
        <v>0</v>
      </c>
      <c r="BU476" s="853">
        <f>SUM(BQ476:BT476)</f>
        <v>0</v>
      </c>
      <c r="BV476" s="889"/>
      <c r="BW476" s="889"/>
      <c r="BX476" s="889"/>
      <c r="BY476" s="889"/>
      <c r="BZ476" s="853"/>
      <c r="CA476" s="853"/>
      <c r="CB476" s="853"/>
      <c r="CC476" s="853"/>
      <c r="CD476" s="853"/>
      <c r="CE476" s="853"/>
      <c r="CF476" s="853"/>
      <c r="CG476" s="853"/>
      <c r="CH476" s="853"/>
      <c r="CI476" s="853"/>
      <c r="CJ476" s="853"/>
      <c r="CK476" s="853"/>
      <c r="CL476" s="853"/>
      <c r="CM476" s="853"/>
      <c r="CN476" s="853"/>
      <c r="CO476" s="853"/>
      <c r="CP476" s="853"/>
      <c r="CQ476" s="853"/>
      <c r="CR476" s="853"/>
      <c r="CS476" s="853"/>
      <c r="CT476" s="853"/>
      <c r="CU476" s="853"/>
      <c r="CV476" s="853"/>
      <c r="CW476" s="853"/>
      <c r="CX476" s="853"/>
      <c r="CY476" s="853"/>
      <c r="CZ476" s="853"/>
      <c r="DA476" s="853"/>
      <c r="DB476"/>
      <c r="DC476"/>
      <c r="DD476" s="2323" t="s">
        <v>2241</v>
      </c>
      <c r="DE476" s="2349">
        <f>M476</f>
        <v>0</v>
      </c>
      <c r="DF476" s="2349">
        <f>R476</f>
        <v>0</v>
      </c>
      <c r="DG476" s="2349">
        <f>W476</f>
        <v>0</v>
      </c>
      <c r="DH476" s="2349">
        <f>AB476</f>
        <v>0</v>
      </c>
      <c r="DI476" s="2349">
        <f>AG476</f>
        <v>0</v>
      </c>
      <c r="DJ476" s="2349">
        <f>AL476</f>
        <v>36</v>
      </c>
      <c r="DK476" s="2349">
        <f>AQ476</f>
        <v>-2</v>
      </c>
      <c r="DL476" s="2349">
        <f>AV476</f>
        <v>10</v>
      </c>
      <c r="DM476" s="2349">
        <f>BA476</f>
        <v>11</v>
      </c>
      <c r="DN476" s="2349">
        <f>BF476</f>
        <v>-9</v>
      </c>
      <c r="DO476" s="2349">
        <f>BK476</f>
        <v>-8</v>
      </c>
      <c r="DP476" s="2349">
        <f>BP476</f>
        <v>2.06</v>
      </c>
      <c r="DQ476" s="2349">
        <f>BU476</f>
        <v>0</v>
      </c>
      <c r="DR476" s="2349">
        <f>BZ476</f>
        <v>0</v>
      </c>
      <c r="DS476" s="2349">
        <f>CE476</f>
        <v>0</v>
      </c>
      <c r="DT476" s="2349">
        <f>CJ476</f>
        <v>0</v>
      </c>
      <c r="DU476" s="2349">
        <f>CO476</f>
        <v>0</v>
      </c>
      <c r="DV476" s="2349">
        <f>CT476</f>
        <v>0</v>
      </c>
      <c r="DW476" s="2349">
        <f t="shared" ref="DW476:DY478" si="949">CY476</f>
        <v>0</v>
      </c>
      <c r="DX476" s="2349">
        <f t="shared" si="949"/>
        <v>0</v>
      </c>
      <c r="DY476" s="2349">
        <f t="shared" si="949"/>
        <v>0</v>
      </c>
      <c r="EA476"/>
      <c r="EB476"/>
      <c r="EC476"/>
      <c r="ED476"/>
      <c r="EE476"/>
      <c r="EF476"/>
      <c r="EJ476"/>
      <c r="EK476"/>
      <c r="EL476"/>
      <c r="ER476" s="212"/>
    </row>
    <row r="477" spans="1:148" s="923" customFormat="1" ht="12.75" hidden="1" customHeight="1" outlineLevel="1" x14ac:dyDescent="0.2">
      <c r="A477" s="865" t="s">
        <v>2242</v>
      </c>
      <c r="B477" s="847"/>
      <c r="C477" s="847"/>
      <c r="D477" s="847"/>
      <c r="E477" s="847"/>
      <c r="F477" s="847"/>
      <c r="G477" s="847"/>
      <c r="H477" s="847"/>
      <c r="I477" s="847"/>
      <c r="J477" s="847"/>
      <c r="K477" s="847"/>
      <c r="L477" s="847"/>
      <c r="M477" s="847"/>
      <c r="N477" s="847"/>
      <c r="O477" s="847"/>
      <c r="P477" s="847"/>
      <c r="Q477" s="847"/>
      <c r="R477" s="847"/>
      <c r="S477" s="847"/>
      <c r="T477" s="847"/>
      <c r="U477" s="847"/>
      <c r="V477" s="847"/>
      <c r="W477" s="847"/>
      <c r="X477" s="847"/>
      <c r="Y477" s="847"/>
      <c r="Z477" s="847"/>
      <c r="AA477" s="847"/>
      <c r="AB477" s="847"/>
      <c r="AC477" s="847"/>
      <c r="AD477" s="847"/>
      <c r="AE477" s="847"/>
      <c r="AF477" s="847"/>
      <c r="AG477" s="847"/>
      <c r="AH477" s="847">
        <v>0.25</v>
      </c>
      <c r="AI477" s="847">
        <v>0.25</v>
      </c>
      <c r="AJ477" s="847">
        <v>0.25</v>
      </c>
      <c r="AK477" s="847">
        <v>0.25</v>
      </c>
      <c r="AL477" s="847">
        <f>+AL478/AL476</f>
        <v>0.25</v>
      </c>
      <c r="AM477" s="847">
        <f>+AM476/AM42</f>
        <v>0.33333333333333331</v>
      </c>
      <c r="AN477" s="847">
        <f>+AN476/AN42</f>
        <v>0.33333333333333331</v>
      </c>
      <c r="AO477" s="847">
        <f>+AO476/AO42</f>
        <v>0</v>
      </c>
      <c r="AP477" s="847">
        <f>+AP476/AP42</f>
        <v>-3</v>
      </c>
      <c r="AQ477" s="847">
        <f>+AQ478/AQ476</f>
        <v>1.3333333333333333</v>
      </c>
      <c r="AR477" s="847">
        <f>+AR476/AR42</f>
        <v>0</v>
      </c>
      <c r="AS477" s="847">
        <f>+AS476/AS42</f>
        <v>1</v>
      </c>
      <c r="AT477" s="847">
        <f>+AT476/AT42</f>
        <v>0.625</v>
      </c>
      <c r="AU477" s="847">
        <f>+AU476/AU42</f>
        <v>1</v>
      </c>
      <c r="AV477" s="847">
        <f>+AV478/AV476</f>
        <v>0.8125</v>
      </c>
      <c r="AW477" s="847">
        <f>+AW476/AW42</f>
        <v>0.18518518518518517</v>
      </c>
      <c r="AX477" s="847">
        <f>+AX476/AX42</f>
        <v>-0.66666666666666663</v>
      </c>
      <c r="AY477" s="847">
        <f>+AY476/AY42</f>
        <v>1</v>
      </c>
      <c r="AZ477" s="847">
        <f>+AZ476/AZ42</f>
        <v>-0.18181818181818182</v>
      </c>
      <c r="BA477" s="847">
        <f>+BA478/BA476</f>
        <v>0.11172329354147535</v>
      </c>
      <c r="BB477" s="847">
        <f>+BB476/BB42</f>
        <v>2.9411764705882353E-2</v>
      </c>
      <c r="BC477" s="847">
        <f>+BC476/BC42</f>
        <v>0.25</v>
      </c>
      <c r="BD477" s="847">
        <f>+BD476/BD42</f>
        <v>0.33333333333333331</v>
      </c>
      <c r="BE477" s="847">
        <f>+BE476/BE42</f>
        <v>0.3</v>
      </c>
      <c r="BF477" s="847">
        <f>+BF478/BF476</f>
        <v>0.27919389978213505</v>
      </c>
      <c r="BG477" s="847">
        <f>+BG476/BG42</f>
        <v>0.83333333333333337</v>
      </c>
      <c r="BH477" s="847">
        <f>+BH476/BH42</f>
        <v>3</v>
      </c>
      <c r="BI477" s="847">
        <f>+BI476/BI42</f>
        <v>0.66666666666666663</v>
      </c>
      <c r="BJ477" s="847">
        <f>+BJ476/BJ42</f>
        <v>-0.18181818181818182</v>
      </c>
      <c r="BK477" s="847">
        <f>+BK478/BK476</f>
        <v>1.8579545454545456</v>
      </c>
      <c r="BL477" s="847">
        <f>+BL476/BL42</f>
        <v>0</v>
      </c>
      <c r="BM477" s="847"/>
      <c r="BN477" s="847">
        <f>+BN476/BN42</f>
        <v>0</v>
      </c>
      <c r="BO477" s="847"/>
      <c r="BP477" s="847">
        <f>+BP478/BP476</f>
        <v>0</v>
      </c>
      <c r="BQ477" s="847"/>
      <c r="BR477" s="847"/>
      <c r="BS477" s="847"/>
      <c r="BT477" s="847"/>
      <c r="BU477" s="847"/>
      <c r="BV477" s="847"/>
      <c r="BW477" s="847"/>
      <c r="BX477" s="847"/>
      <c r="BY477" s="847"/>
      <c r="BZ477" s="847"/>
      <c r="CA477" s="847"/>
      <c r="CB477" s="847"/>
      <c r="CC477" s="847"/>
      <c r="CD477" s="847"/>
      <c r="CE477" s="847"/>
      <c r="CF477" s="847"/>
      <c r="CG477" s="847"/>
      <c r="CH477" s="847"/>
      <c r="CI477" s="847"/>
      <c r="CJ477" s="847"/>
      <c r="CK477" s="847"/>
      <c r="CL477" s="847"/>
      <c r="CM477" s="847"/>
      <c r="CN477" s="847"/>
      <c r="CO477" s="847"/>
      <c r="CP477" s="847"/>
      <c r="CQ477" s="847"/>
      <c r="CR477" s="847"/>
      <c r="CS477" s="847"/>
      <c r="CT477" s="847"/>
      <c r="CU477" s="847"/>
      <c r="CV477" s="847"/>
      <c r="CW477" s="847"/>
      <c r="CX477" s="847"/>
      <c r="CY477" s="847"/>
      <c r="CZ477" s="847"/>
      <c r="DA477" s="847"/>
      <c r="DB477"/>
      <c r="DC477"/>
      <c r="DD477" s="2323" t="s">
        <v>2242</v>
      </c>
      <c r="DE477" s="2349">
        <f>M477</f>
        <v>0</v>
      </c>
      <c r="DF477" s="2349">
        <f>R477</f>
        <v>0</v>
      </c>
      <c r="DG477" s="2349">
        <f>W477</f>
        <v>0</v>
      </c>
      <c r="DH477" s="2349">
        <f>AB477</f>
        <v>0</v>
      </c>
      <c r="DI477" s="2349">
        <f>AG477</f>
        <v>0</v>
      </c>
      <c r="DJ477" s="2349">
        <f>AL477</f>
        <v>0.25</v>
      </c>
      <c r="DK477" s="2349">
        <f>AQ477</f>
        <v>1.3333333333333333</v>
      </c>
      <c r="DL477" s="2349">
        <f>AV477</f>
        <v>0.8125</v>
      </c>
      <c r="DM477" s="2349">
        <f>BA477</f>
        <v>0.11172329354147535</v>
      </c>
      <c r="DN477" s="2349">
        <f>BF477</f>
        <v>0.27919389978213505</v>
      </c>
      <c r="DO477" s="2349">
        <f>BK477</f>
        <v>1.8579545454545456</v>
      </c>
      <c r="DP477" s="2349">
        <f>BP477</f>
        <v>0</v>
      </c>
      <c r="DQ477" s="2349">
        <f>BU477</f>
        <v>0</v>
      </c>
      <c r="DR477" s="2349">
        <f>BZ477</f>
        <v>0</v>
      </c>
      <c r="DS477" s="2349">
        <f>CE477</f>
        <v>0</v>
      </c>
      <c r="DT477" s="2349">
        <f>CJ477</f>
        <v>0</v>
      </c>
      <c r="DU477" s="2349">
        <f>CO477</f>
        <v>0</v>
      </c>
      <c r="DV477" s="2349">
        <f>CT477</f>
        <v>0</v>
      </c>
      <c r="DW477" s="2349">
        <f t="shared" si="949"/>
        <v>0</v>
      </c>
      <c r="DX477" s="2349">
        <f t="shared" si="949"/>
        <v>0</v>
      </c>
      <c r="DY477" s="2349">
        <f t="shared" si="949"/>
        <v>0</v>
      </c>
      <c r="EA477"/>
      <c r="EB477"/>
      <c r="EC477"/>
      <c r="ED477"/>
      <c r="EE477"/>
      <c r="EF477"/>
      <c r="EJ477"/>
      <c r="EK477"/>
      <c r="EL477"/>
      <c r="ER477" s="212"/>
    </row>
    <row r="478" spans="1:148" s="923" customFormat="1" ht="12.75" hidden="1" customHeight="1" outlineLevel="1" x14ac:dyDescent="0.2">
      <c r="A478" s="865" t="s">
        <v>1789</v>
      </c>
      <c r="B478" s="847"/>
      <c r="C478" s="847"/>
      <c r="D478" s="847"/>
      <c r="E478" s="847"/>
      <c r="F478" s="847"/>
      <c r="G478" s="847"/>
      <c r="H478" s="847"/>
      <c r="I478" s="847"/>
      <c r="J478" s="847"/>
      <c r="K478" s="847"/>
      <c r="L478" s="847"/>
      <c r="M478" s="847"/>
      <c r="N478" s="847"/>
      <c r="O478" s="847"/>
      <c r="P478" s="847"/>
      <c r="Q478" s="847"/>
      <c r="R478" s="847"/>
      <c r="S478" s="847"/>
      <c r="T478" s="847"/>
      <c r="U478" s="847"/>
      <c r="V478" s="847"/>
      <c r="W478" s="847"/>
      <c r="X478" s="847"/>
      <c r="Y478" s="847"/>
      <c r="Z478" s="847"/>
      <c r="AA478" s="847"/>
      <c r="AB478" s="847"/>
      <c r="AC478" s="847"/>
      <c r="AD478" s="847"/>
      <c r="AE478" s="847"/>
      <c r="AF478" s="847"/>
      <c r="AG478" s="847"/>
      <c r="AH478" s="847">
        <f>+AH477*AH476</f>
        <v>-1.25</v>
      </c>
      <c r="AI478" s="847">
        <f>+AI477*AI476</f>
        <v>1.5</v>
      </c>
      <c r="AJ478" s="847">
        <f>+AJ477*AJ476</f>
        <v>4.25</v>
      </c>
      <c r="AK478" s="847">
        <f>+AK477*AK476</f>
        <v>4.5</v>
      </c>
      <c r="AL478" s="847">
        <f>SUM(AH478:AK478)</f>
        <v>9</v>
      </c>
      <c r="AM478" s="847">
        <f>+AM477*AM476</f>
        <v>-0.33333333333333331</v>
      </c>
      <c r="AN478" s="847">
        <f>+AN477*AN476</f>
        <v>0.66666666666666663</v>
      </c>
      <c r="AO478" s="847">
        <f>+AO477*AO476</f>
        <v>0</v>
      </c>
      <c r="AP478" s="847">
        <v>-3</v>
      </c>
      <c r="AQ478" s="847">
        <f>SUM(AM478:AP478)</f>
        <v>-2.6666666666666665</v>
      </c>
      <c r="AR478" s="847">
        <f>+AR477*AR476</f>
        <v>0</v>
      </c>
      <c r="AS478" s="847">
        <f>+AS477*AS476</f>
        <v>-1</v>
      </c>
      <c r="AT478" s="847">
        <f>+AT477*AT476</f>
        <v>3.125</v>
      </c>
      <c r="AU478" s="847">
        <f>+AU477*AU476</f>
        <v>6</v>
      </c>
      <c r="AV478" s="847">
        <f>SUM(AR478:AU478)</f>
        <v>8.125</v>
      </c>
      <c r="AW478" s="847">
        <f>+AW477*AW476</f>
        <v>0.92592592592592582</v>
      </c>
      <c r="AX478" s="847">
        <f>+AX477*AX476</f>
        <v>-1.3333333333333333</v>
      </c>
      <c r="AY478" s="847">
        <f>+AY477*AY476</f>
        <v>2</v>
      </c>
      <c r="AZ478" s="847">
        <f>+AZ477*AZ476</f>
        <v>-0.36363636363636365</v>
      </c>
      <c r="BA478" s="847">
        <f>SUM(AW478:AZ478)</f>
        <v>1.2289562289562288</v>
      </c>
      <c r="BB478" s="847">
        <f>+BB477*BB476</f>
        <v>-2.9411764705882353E-2</v>
      </c>
      <c r="BC478" s="847">
        <f>+BC477*BC476</f>
        <v>-0.25</v>
      </c>
      <c r="BD478" s="847">
        <f>+BD477*BD476</f>
        <v>-1.3333333333333333</v>
      </c>
      <c r="BE478" s="847">
        <f>+BE477*BE476</f>
        <v>-0.89999999999999991</v>
      </c>
      <c r="BF478" s="847">
        <f>SUM(BB478:BE478)</f>
        <v>-2.5127450980392156</v>
      </c>
      <c r="BG478" s="847">
        <f>+BG477*BG476</f>
        <v>-4.166666666666667</v>
      </c>
      <c r="BH478" s="847">
        <f>+BH477*BH476</f>
        <v>-9</v>
      </c>
      <c r="BI478" s="847">
        <f>+BI477*BI476</f>
        <v>-1.3333333333333333</v>
      </c>
      <c r="BJ478" s="847">
        <f>+BJ477*BJ476</f>
        <v>-0.36363636363636365</v>
      </c>
      <c r="BK478" s="847">
        <f>SUM(BG478:BJ478)</f>
        <v>-14.863636363636365</v>
      </c>
      <c r="BL478" s="847">
        <f>+BL477*BL476</f>
        <v>0</v>
      </c>
      <c r="BM478" s="847">
        <f>+BM477*BM476</f>
        <v>0</v>
      </c>
      <c r="BN478" s="847">
        <f>+BN477*BN476</f>
        <v>0</v>
      </c>
      <c r="BO478" s="847">
        <f>+BO477*BO476</f>
        <v>0</v>
      </c>
      <c r="BP478" s="847">
        <f>SUM(BL478:BO478)</f>
        <v>0</v>
      </c>
      <c r="BQ478" s="847">
        <f>+BQ477*BQ476</f>
        <v>0</v>
      </c>
      <c r="BR478" s="847">
        <f>+BR477*BR476</f>
        <v>0</v>
      </c>
      <c r="BS478" s="847">
        <f>+BS477*BS476</f>
        <v>0</v>
      </c>
      <c r="BT478" s="847">
        <f>+BT477*BT476</f>
        <v>0</v>
      </c>
      <c r="BU478" s="847">
        <f>SUM(BQ478:BT478)</f>
        <v>0</v>
      </c>
      <c r="BV478" s="847"/>
      <c r="BW478" s="847"/>
      <c r="BX478" s="847"/>
      <c r="BY478" s="847"/>
      <c r="BZ478" s="847"/>
      <c r="CA478" s="847"/>
      <c r="CB478" s="847"/>
      <c r="CC478" s="847"/>
      <c r="CD478" s="847"/>
      <c r="CE478" s="847"/>
      <c r="CF478" s="847"/>
      <c r="CG478" s="847"/>
      <c r="CH478" s="847"/>
      <c r="CI478" s="847"/>
      <c r="CJ478" s="847"/>
      <c r="CK478" s="847"/>
      <c r="CL478" s="847"/>
      <c r="CM478" s="847"/>
      <c r="CN478" s="847"/>
      <c r="CO478" s="847"/>
      <c r="CP478" s="847"/>
      <c r="CQ478" s="847"/>
      <c r="CR478" s="847"/>
      <c r="CS478" s="847"/>
      <c r="CT478" s="847"/>
      <c r="CU478" s="847"/>
      <c r="CV478" s="847"/>
      <c r="CW478" s="847"/>
      <c r="CX478" s="847"/>
      <c r="CY478" s="847"/>
      <c r="CZ478" s="847"/>
      <c r="DA478" s="847"/>
      <c r="DB478"/>
      <c r="DC478"/>
      <c r="DD478" s="2323" t="s">
        <v>1789</v>
      </c>
      <c r="DE478" s="2349">
        <f>M478</f>
        <v>0</v>
      </c>
      <c r="DF478" s="2349">
        <f>R478</f>
        <v>0</v>
      </c>
      <c r="DG478" s="2349">
        <f>W478</f>
        <v>0</v>
      </c>
      <c r="DH478" s="2349">
        <f>AB478</f>
        <v>0</v>
      </c>
      <c r="DI478" s="2349">
        <f>AG478</f>
        <v>0</v>
      </c>
      <c r="DJ478" s="2349">
        <f>AL478</f>
        <v>9</v>
      </c>
      <c r="DK478" s="2349">
        <f>AQ478</f>
        <v>-2.6666666666666665</v>
      </c>
      <c r="DL478" s="2349">
        <f>AV478</f>
        <v>8.125</v>
      </c>
      <c r="DM478" s="2349">
        <f>BA478</f>
        <v>1.2289562289562288</v>
      </c>
      <c r="DN478" s="2349">
        <f>BF478</f>
        <v>-2.5127450980392156</v>
      </c>
      <c r="DO478" s="2349">
        <f>BK478</f>
        <v>-14.863636363636365</v>
      </c>
      <c r="DP478" s="2349">
        <f>BP478</f>
        <v>0</v>
      </c>
      <c r="DQ478" s="2349">
        <f>BU478</f>
        <v>0</v>
      </c>
      <c r="DR478" s="2349">
        <f>BZ478</f>
        <v>0</v>
      </c>
      <c r="DS478" s="2349">
        <f>CE478</f>
        <v>0</v>
      </c>
      <c r="DT478" s="2349">
        <f>CJ478</f>
        <v>0</v>
      </c>
      <c r="DU478" s="2349">
        <f>CO478</f>
        <v>0</v>
      </c>
      <c r="DV478" s="2349">
        <f>CT478</f>
        <v>0</v>
      </c>
      <c r="DW478" s="2349">
        <f t="shared" si="949"/>
        <v>0</v>
      </c>
      <c r="DX478" s="2349">
        <f t="shared" si="949"/>
        <v>0</v>
      </c>
      <c r="DY478" s="2349">
        <f t="shared" si="949"/>
        <v>0</v>
      </c>
      <c r="EA478"/>
      <c r="EB478"/>
      <c r="EC478"/>
      <c r="ED478"/>
      <c r="EE478"/>
      <c r="EF478"/>
      <c r="EJ478"/>
      <c r="EK478"/>
      <c r="EL478"/>
      <c r="ER478" s="212"/>
    </row>
    <row r="479" spans="1:148" s="923" customFormat="1" ht="12.75" hidden="1" customHeight="1" outlineLevel="1" x14ac:dyDescent="0.2">
      <c r="A479" s="865"/>
      <c r="B479" s="847"/>
      <c r="C479" s="847"/>
      <c r="D479" s="847"/>
      <c r="E479" s="847"/>
      <c r="F479" s="847"/>
      <c r="G479" s="847"/>
      <c r="H479" s="847"/>
      <c r="I479" s="847"/>
      <c r="J479" s="847"/>
      <c r="K479" s="847"/>
      <c r="L479" s="847"/>
      <c r="M479" s="847"/>
      <c r="N479" s="847"/>
      <c r="O479" s="847"/>
      <c r="P479" s="847"/>
      <c r="Q479" s="847"/>
      <c r="R479" s="847"/>
      <c r="S479" s="847"/>
      <c r="T479" s="847"/>
      <c r="U479" s="847"/>
      <c r="V479" s="847"/>
      <c r="W479" s="847"/>
      <c r="X479" s="847"/>
      <c r="Y479" s="847"/>
      <c r="Z479" s="847"/>
      <c r="AA479" s="847"/>
      <c r="AB479" s="847"/>
      <c r="AC479" s="847"/>
      <c r="AD479" s="847"/>
      <c r="AE479" s="847"/>
      <c r="AF479" s="847"/>
      <c r="AG479" s="847"/>
      <c r="AH479" s="847"/>
      <c r="AI479" s="847"/>
      <c r="AJ479" s="847"/>
      <c r="AK479" s="847"/>
      <c r="AL479" s="847"/>
      <c r="AM479" s="847"/>
      <c r="AN479" s="847"/>
      <c r="AO479" s="847"/>
      <c r="AP479" s="847"/>
      <c r="AQ479" s="847"/>
      <c r="AR479" s="847"/>
      <c r="AS479" s="847"/>
      <c r="AT479" s="847"/>
      <c r="AU479" s="847"/>
      <c r="AV479" s="847"/>
      <c r="AW479" s="847"/>
      <c r="AX479" s="847"/>
      <c r="AY479" s="847"/>
      <c r="AZ479" s="847"/>
      <c r="BA479" s="847"/>
      <c r="BB479" s="847"/>
      <c r="BC479" s="847"/>
      <c r="BD479" s="847"/>
      <c r="BE479" s="847"/>
      <c r="BF479" s="847"/>
      <c r="BG479" s="847"/>
      <c r="BH479" s="847"/>
      <c r="BI479" s="847"/>
      <c r="BJ479" s="847"/>
      <c r="BK479" s="847"/>
      <c r="BL479" s="847"/>
      <c r="BM479" s="847"/>
      <c r="BN479" s="847"/>
      <c r="BO479" s="847"/>
      <c r="BP479" s="847"/>
      <c r="BQ479" s="847"/>
      <c r="BR479" s="847"/>
      <c r="BS479" s="847"/>
      <c r="BT479" s="847"/>
      <c r="BU479" s="847"/>
      <c r="BV479" s="847"/>
      <c r="BW479" s="847"/>
      <c r="BX479" s="847"/>
      <c r="BY479" s="847"/>
      <c r="BZ479" s="847"/>
      <c r="CA479" s="847"/>
      <c r="CB479" s="847"/>
      <c r="CC479" s="847"/>
      <c r="CD479" s="847"/>
      <c r="CE479" s="847"/>
      <c r="CF479" s="847"/>
      <c r="CG479" s="847"/>
      <c r="CH479" s="847"/>
      <c r="CI479" s="847"/>
      <c r="CJ479" s="847"/>
      <c r="CK479" s="847"/>
      <c r="CL479" s="847"/>
      <c r="CM479" s="847"/>
      <c r="CN479" s="847"/>
      <c r="CO479" s="847"/>
      <c r="CP479" s="847"/>
      <c r="CQ479" s="847"/>
      <c r="CR479" s="847"/>
      <c r="CS479" s="847"/>
      <c r="CT479" s="847"/>
      <c r="CU479" s="847"/>
      <c r="CV479" s="847"/>
      <c r="CW479" s="847"/>
      <c r="CX479" s="847"/>
      <c r="CY479" s="847"/>
      <c r="CZ479" s="847"/>
      <c r="DA479" s="847"/>
      <c r="DB479"/>
      <c r="DC479"/>
      <c r="DD479" s="2323"/>
      <c r="DE479" s="2349"/>
      <c r="DF479" s="2349"/>
      <c r="DG479" s="2349"/>
      <c r="DH479" s="2349"/>
      <c r="DI479" s="2349"/>
      <c r="DJ479" s="2349"/>
      <c r="DK479" s="2349"/>
      <c r="DL479" s="2349"/>
      <c r="DM479" s="2349"/>
      <c r="DN479" s="2349"/>
      <c r="DO479" s="2349"/>
      <c r="DP479" s="2349"/>
      <c r="DQ479" s="2349"/>
      <c r="DR479" s="2349"/>
      <c r="DS479" s="2349"/>
      <c r="DT479" s="2349"/>
      <c r="DU479" s="2349"/>
      <c r="DV479" s="2349"/>
      <c r="DW479" s="2349"/>
      <c r="DX479" s="2349"/>
      <c r="DY479" s="2349"/>
      <c r="EA479"/>
      <c r="EB479"/>
      <c r="EC479"/>
      <c r="ED479"/>
      <c r="EE479"/>
      <c r="EF479"/>
      <c r="EJ479"/>
      <c r="EK479"/>
      <c r="EL479"/>
      <c r="ER479" s="212"/>
    </row>
    <row r="480" spans="1:148" s="923" customFormat="1" ht="12.75" hidden="1" customHeight="1" outlineLevel="1" x14ac:dyDescent="0.2">
      <c r="A480" s="865" t="s">
        <v>1790</v>
      </c>
      <c r="B480" s="847"/>
      <c r="C480" s="847"/>
      <c r="D480" s="847"/>
      <c r="E480" s="847"/>
      <c r="F480" s="847"/>
      <c r="G480" s="847"/>
      <c r="H480" s="847"/>
      <c r="I480" s="847"/>
      <c r="J480" s="847"/>
      <c r="K480" s="847"/>
      <c r="L480" s="847"/>
      <c r="M480" s="847"/>
      <c r="N480" s="847"/>
      <c r="O480" s="847"/>
      <c r="P480" s="847"/>
      <c r="Q480" s="847"/>
      <c r="R480" s="847"/>
      <c r="S480" s="847"/>
      <c r="T480" s="847"/>
      <c r="U480" s="847"/>
      <c r="V480" s="847"/>
      <c r="W480" s="847"/>
      <c r="X480" s="847"/>
      <c r="Y480" s="847"/>
      <c r="Z480" s="847"/>
      <c r="AA480" s="847"/>
      <c r="AB480" s="847"/>
      <c r="AC480" s="847"/>
      <c r="AD480" s="847"/>
      <c r="AE480" s="847"/>
      <c r="AF480" s="847"/>
      <c r="AG480" s="847"/>
      <c r="AH480" s="847"/>
      <c r="AI480" s="847"/>
      <c r="AJ480" s="847"/>
      <c r="AK480" s="847"/>
      <c r="AL480" s="847"/>
      <c r="AM480" s="847">
        <f>+AM49</f>
        <v>1</v>
      </c>
      <c r="AN480" s="847">
        <f>+AN49</f>
        <v>0</v>
      </c>
      <c r="AO480" s="847">
        <f>+AO49</f>
        <v>0</v>
      </c>
      <c r="AP480" s="847">
        <f>+AP49</f>
        <v>-1</v>
      </c>
      <c r="AQ480" s="847">
        <f>SUM(AM480:AP480)</f>
        <v>0</v>
      </c>
      <c r="AR480" s="847">
        <f>+AR49</f>
        <v>0</v>
      </c>
      <c r="AS480" s="847">
        <f>+AS49</f>
        <v>0</v>
      </c>
      <c r="AT480" s="847">
        <f>+AT49</f>
        <v>1</v>
      </c>
      <c r="AU480" s="847">
        <f>+AU49</f>
        <v>0</v>
      </c>
      <c r="AV480" s="847">
        <f>+SUM(AR480:AU480)</f>
        <v>1</v>
      </c>
      <c r="AW480" s="847">
        <v>2</v>
      </c>
      <c r="AX480" s="847">
        <v>4</v>
      </c>
      <c r="AY480" s="847">
        <v>15</v>
      </c>
      <c r="AZ480" s="847">
        <v>4</v>
      </c>
      <c r="BA480" s="847">
        <f>+SUM(AW480:AZ480)</f>
        <v>25</v>
      </c>
      <c r="BB480" s="847">
        <v>3</v>
      </c>
      <c r="BC480" s="847">
        <v>4</v>
      </c>
      <c r="BD480" s="847">
        <v>4</v>
      </c>
      <c r="BE480" s="847">
        <v>0</v>
      </c>
      <c r="BF480" s="847">
        <f>+SUM(BB480:BE480)</f>
        <v>11</v>
      </c>
      <c r="BG480" s="847">
        <v>0</v>
      </c>
      <c r="BH480" s="847">
        <v>0</v>
      </c>
      <c r="BI480" s="847">
        <v>0</v>
      </c>
      <c r="BJ480" s="847">
        <v>0</v>
      </c>
      <c r="BK480" s="847">
        <f>+SUM(BG480:BJ480)</f>
        <v>0</v>
      </c>
      <c r="BL480" s="847">
        <v>0</v>
      </c>
      <c r="BM480" s="847">
        <v>0</v>
      </c>
      <c r="BN480" s="847">
        <v>0</v>
      </c>
      <c r="BO480" s="847">
        <f>+BO49/(1-0.35)</f>
        <v>0</v>
      </c>
      <c r="BP480" s="847">
        <f>+SUM(BL480:BO480)</f>
        <v>0</v>
      </c>
      <c r="BQ480" s="847">
        <f>+BQ49/(1-0.35)</f>
        <v>0</v>
      </c>
      <c r="BR480" s="847">
        <f>+BR49/(1-0.35)</f>
        <v>0</v>
      </c>
      <c r="BS480" s="847">
        <f>+BS49/(1-0.35)</f>
        <v>0</v>
      </c>
      <c r="BT480" s="847">
        <f>+BT49/(1-0.35)</f>
        <v>0</v>
      </c>
      <c r="BU480" s="847">
        <f>+SUM(BQ480:BT480)</f>
        <v>0</v>
      </c>
      <c r="BV480" s="847"/>
      <c r="BW480" s="847"/>
      <c r="BX480" s="847"/>
      <c r="BY480" s="847"/>
      <c r="BZ480" s="847"/>
      <c r="CA480" s="847"/>
      <c r="CB480" s="847"/>
      <c r="CC480" s="847"/>
      <c r="CD480" s="847"/>
      <c r="CE480" s="847"/>
      <c r="CF480" s="847"/>
      <c r="CG480" s="847"/>
      <c r="CH480" s="847"/>
      <c r="CI480" s="847"/>
      <c r="CJ480" s="847"/>
      <c r="CK480" s="847"/>
      <c r="CL480" s="847"/>
      <c r="CM480" s="847"/>
      <c r="CN480" s="847"/>
      <c r="CO480" s="847"/>
      <c r="CP480" s="847"/>
      <c r="CQ480" s="847"/>
      <c r="CR480" s="847"/>
      <c r="CS480" s="847"/>
      <c r="CT480" s="847"/>
      <c r="CU480" s="847"/>
      <c r="CV480" s="847"/>
      <c r="CW480" s="847"/>
      <c r="CX480" s="847"/>
      <c r="CY480" s="847"/>
      <c r="CZ480" s="847"/>
      <c r="DA480" s="847"/>
      <c r="DB480"/>
      <c r="DC480"/>
      <c r="DD480" s="2323" t="s">
        <v>1790</v>
      </c>
      <c r="DE480" s="2349">
        <f>M480</f>
        <v>0</v>
      </c>
      <c r="DF480" s="2349">
        <f>R480</f>
        <v>0</v>
      </c>
      <c r="DG480" s="2349">
        <f>W480</f>
        <v>0</v>
      </c>
      <c r="DH480" s="2349">
        <f>AB480</f>
        <v>0</v>
      </c>
      <c r="DI480" s="2349">
        <f>AG480</f>
        <v>0</v>
      </c>
      <c r="DJ480" s="2349">
        <f>AL480</f>
        <v>0</v>
      </c>
      <c r="DK480" s="2349">
        <f>AQ480</f>
        <v>0</v>
      </c>
      <c r="DL480" s="2349">
        <f>AV480</f>
        <v>1</v>
      </c>
      <c r="DM480" s="2349">
        <f>BA480</f>
        <v>25</v>
      </c>
      <c r="DN480" s="2349">
        <f>BF480</f>
        <v>11</v>
      </c>
      <c r="DO480" s="2349">
        <f>BK480</f>
        <v>0</v>
      </c>
      <c r="DP480" s="2349">
        <f>BP480</f>
        <v>0</v>
      </c>
      <c r="DQ480" s="2349">
        <f>BU480</f>
        <v>0</v>
      </c>
      <c r="DR480" s="2349">
        <f>BZ480</f>
        <v>0</v>
      </c>
      <c r="DS480" s="2349">
        <f>CE480</f>
        <v>0</v>
      </c>
      <c r="DT480" s="2349">
        <f>CJ480</f>
        <v>0</v>
      </c>
      <c r="DU480" s="2349">
        <f>CO480</f>
        <v>0</v>
      </c>
      <c r="DV480" s="2349">
        <f>CT480</f>
        <v>0</v>
      </c>
      <c r="DW480" s="2349">
        <f>CY480</f>
        <v>0</v>
      </c>
      <c r="DX480" s="2349">
        <f>CZ480</f>
        <v>0</v>
      </c>
      <c r="DY480" s="2349">
        <f>DA480</f>
        <v>0</v>
      </c>
      <c r="EA480"/>
      <c r="EB480"/>
      <c r="EC480"/>
      <c r="ED480"/>
      <c r="EE480"/>
      <c r="EF480"/>
      <c r="EJ480"/>
      <c r="EK480"/>
      <c r="EL480"/>
      <c r="ER480" s="212"/>
    </row>
    <row r="481" spans="1:148" s="923" customFormat="1" hidden="1" outlineLevel="1" x14ac:dyDescent="0.2">
      <c r="A481" s="865"/>
      <c r="B481" s="765"/>
      <c r="C481" s="765"/>
      <c r="D481" s="765"/>
      <c r="E481" s="765"/>
      <c r="F481" s="765"/>
      <c r="G481" s="765"/>
      <c r="H481" s="765"/>
      <c r="I481" s="765"/>
      <c r="J481" s="765"/>
      <c r="K481" s="765"/>
      <c r="L481" s="765"/>
      <c r="M481" s="765"/>
      <c r="N481" s="765"/>
      <c r="O481" s="765"/>
      <c r="P481" s="765"/>
      <c r="Q481" s="765"/>
      <c r="R481" s="765"/>
      <c r="S481" s="765"/>
      <c r="T481" s="765"/>
      <c r="U481" s="765"/>
      <c r="V481" s="765"/>
      <c r="W481" s="765"/>
      <c r="X481" s="765"/>
      <c r="Y481" s="765"/>
      <c r="Z481" s="765"/>
      <c r="AA481" s="765"/>
      <c r="AB481" s="765"/>
      <c r="AC481" s="765"/>
      <c r="AD481" s="765"/>
      <c r="AE481" s="765"/>
      <c r="AF481" s="765"/>
      <c r="AG481" s="765"/>
      <c r="AH481" s="765"/>
      <c r="AI481" s="765"/>
      <c r="AJ481" s="765"/>
      <c r="AK481" s="765"/>
      <c r="AL481" s="765"/>
      <c r="AM481" s="765"/>
      <c r="AN481" s="765"/>
      <c r="AO481" s="765"/>
      <c r="AP481" s="765"/>
      <c r="AQ481" s="765"/>
      <c r="AR481" s="765"/>
      <c r="AS481" s="765"/>
      <c r="AT481" s="765"/>
      <c r="AU481" s="765"/>
      <c r="AV481" s="765"/>
      <c r="AW481" s="765"/>
      <c r="AX481" s="765"/>
      <c r="AY481" s="765"/>
      <c r="AZ481" s="765"/>
      <c r="BA481" s="765"/>
      <c r="BB481" s="765"/>
      <c r="BC481" s="765"/>
      <c r="BD481" s="765"/>
      <c r="BE481" s="765"/>
      <c r="BF481" s="765"/>
      <c r="BG481" s="765"/>
      <c r="BH481" s="765"/>
      <c r="BI481" s="765"/>
      <c r="BJ481" s="765"/>
      <c r="BK481" s="765"/>
      <c r="BL481" s="765"/>
      <c r="BM481" s="765"/>
      <c r="BN481" s="765"/>
      <c r="BO481" s="765"/>
      <c r="BP481" s="765"/>
      <c r="BQ481" s="765"/>
      <c r="BR481" s="765"/>
      <c r="BS481" s="765"/>
      <c r="BT481" s="765"/>
      <c r="BU481" s="765"/>
      <c r="BV481" s="765"/>
      <c r="BW481" s="765"/>
      <c r="BX481" s="765"/>
      <c r="BY481" s="765"/>
      <c r="BZ481" s="765"/>
      <c r="CA481" s="765"/>
      <c r="CB481" s="765"/>
      <c r="CC481" s="765"/>
      <c r="CD481" s="765"/>
      <c r="CE481" s="765"/>
      <c r="CF481" s="765"/>
      <c r="CG481" s="765"/>
      <c r="CH481" s="765"/>
      <c r="CI481" s="765"/>
      <c r="CJ481" s="765"/>
      <c r="CK481" s="765"/>
      <c r="CL481" s="765"/>
      <c r="CM481" s="765"/>
      <c r="CN481" s="765"/>
      <c r="CO481" s="765"/>
      <c r="CP481" s="765"/>
      <c r="CQ481" s="765"/>
      <c r="CR481" s="765"/>
      <c r="CS481" s="765"/>
      <c r="CT481" s="765"/>
      <c r="CU481" s="765"/>
      <c r="CV481" s="765"/>
      <c r="CW481" s="765"/>
      <c r="CX481" s="765"/>
      <c r="CY481" s="765"/>
      <c r="CZ481" s="765"/>
      <c r="DA481" s="765"/>
      <c r="DB481"/>
      <c r="DC481"/>
      <c r="DD481" s="2323"/>
      <c r="DE481" s="2350"/>
      <c r="DF481" s="2350"/>
      <c r="DG481" s="2350"/>
      <c r="DH481" s="2350"/>
      <c r="DI481" s="2350"/>
      <c r="DJ481" s="2350"/>
      <c r="DK481" s="2350"/>
      <c r="DL481" s="2350"/>
      <c r="DM481" s="2350"/>
      <c r="DN481" s="2350"/>
      <c r="DO481" s="2350"/>
      <c r="DP481" s="2350"/>
      <c r="DQ481" s="2350"/>
      <c r="DR481" s="2350"/>
      <c r="DS481" s="2350"/>
      <c r="DT481" s="2350"/>
      <c r="DU481" s="2350"/>
      <c r="DV481" s="2350"/>
      <c r="DW481" s="2350"/>
      <c r="DX481" s="2350"/>
      <c r="DY481" s="2350"/>
      <c r="EA481"/>
      <c r="EB481"/>
      <c r="EC481"/>
      <c r="ED481"/>
      <c r="EE481"/>
      <c r="EF481"/>
      <c r="EJ481"/>
      <c r="EK481"/>
      <c r="EL481"/>
      <c r="ER481" s="212"/>
    </row>
    <row r="482" spans="1:148" s="923" customFormat="1" ht="12.75" hidden="1" customHeight="1" outlineLevel="1" x14ac:dyDescent="0.2">
      <c r="A482" s="890" t="s">
        <v>1791</v>
      </c>
      <c r="B482" s="1846"/>
      <c r="C482" s="1846"/>
      <c r="D482" s="1846"/>
      <c r="E482" s="1846"/>
      <c r="F482" s="1846"/>
      <c r="G482" s="1846"/>
      <c r="H482" s="1846"/>
      <c r="I482" s="1846"/>
      <c r="J482" s="1846"/>
      <c r="K482" s="1846"/>
      <c r="L482" s="1846"/>
      <c r="M482" s="1846"/>
      <c r="N482" s="1846"/>
      <c r="O482" s="1846"/>
      <c r="P482" s="1846"/>
      <c r="Q482" s="1846"/>
      <c r="R482" s="1846"/>
      <c r="S482" s="1846"/>
      <c r="T482" s="1846"/>
      <c r="U482" s="1846"/>
      <c r="V482" s="1846"/>
      <c r="W482" s="1846">
        <f>183-44</f>
        <v>139</v>
      </c>
      <c r="X482" s="1846"/>
      <c r="Y482" s="1846"/>
      <c r="Z482" s="1846"/>
      <c r="AA482" s="1846"/>
      <c r="AB482" s="1846">
        <v>149</v>
      </c>
      <c r="AC482" s="1846"/>
      <c r="AD482" s="1846"/>
      <c r="AE482" s="1846"/>
      <c r="AF482" s="1846"/>
      <c r="AG482" s="1846">
        <v>203</v>
      </c>
      <c r="AH482" s="1846">
        <f>+AH476+AH480+AH473</f>
        <v>58</v>
      </c>
      <c r="AI482" s="1846">
        <f>+AI476+AI480+AI473</f>
        <v>86</v>
      </c>
      <c r="AJ482" s="1846">
        <f>+AJ476+AJ480+AJ473</f>
        <v>67</v>
      </c>
      <c r="AK482" s="1846">
        <f>+AK476+AK480+AK473</f>
        <v>96</v>
      </c>
      <c r="AL482" s="1846">
        <v>271</v>
      </c>
      <c r="AM482" s="1846">
        <f>+AM476+AM480+AM473</f>
        <v>51</v>
      </c>
      <c r="AN482" s="1846">
        <f>+AN476+AN480+AN473</f>
        <v>70</v>
      </c>
      <c r="AO482" s="1846">
        <f>+AO476+AO480+AO473</f>
        <v>61</v>
      </c>
      <c r="AP482" s="1846">
        <f>+AP476+AP480+AP473</f>
        <v>98</v>
      </c>
      <c r="AQ482" s="1846">
        <f>SUM(AM482:AP482)</f>
        <v>280</v>
      </c>
      <c r="AR482" s="1846">
        <v>44</v>
      </c>
      <c r="AS482" s="1846">
        <v>107</v>
      </c>
      <c r="AT482" s="1846">
        <v>39</v>
      </c>
      <c r="AU482" s="1846">
        <v>116</v>
      </c>
      <c r="AV482" s="1846">
        <f>+AV476+AV480+AV473</f>
        <v>306</v>
      </c>
      <c r="AW482" s="1846">
        <v>4</v>
      </c>
      <c r="AX482" s="1846">
        <v>70</v>
      </c>
      <c r="AY482" s="1846">
        <v>49</v>
      </c>
      <c r="AZ482" s="1846">
        <v>-2</v>
      </c>
      <c r="BA482" s="1846">
        <f>+BA473+BA476+BA480</f>
        <v>121</v>
      </c>
      <c r="BB482" s="1846">
        <v>1</v>
      </c>
      <c r="BC482" s="1846">
        <f>-35+50</f>
        <v>15</v>
      </c>
      <c r="BD482" s="1846">
        <v>9</v>
      </c>
      <c r="BE482" s="1846">
        <v>62</v>
      </c>
      <c r="BF482" s="1846">
        <f>+BF473+BF476+BF480</f>
        <v>87</v>
      </c>
      <c r="BG482" s="1846">
        <v>25</v>
      </c>
      <c r="BH482" s="1846">
        <v>30</v>
      </c>
      <c r="BI482" s="1846">
        <v>37</v>
      </c>
      <c r="BJ482" s="1846">
        <v>42</v>
      </c>
      <c r="BK482" s="1846">
        <f>+BK473+BK476+BK480</f>
        <v>134</v>
      </c>
      <c r="BL482" s="1846">
        <v>35</v>
      </c>
      <c r="BM482" s="1846">
        <v>64</v>
      </c>
      <c r="BN482" s="1846">
        <v>22</v>
      </c>
      <c r="BO482" s="1846">
        <f t="shared" ref="BO482:BU482" si="950">+BO473+BO476+BO480</f>
        <v>30.06</v>
      </c>
      <c r="BP482" s="1846">
        <f t="shared" si="950"/>
        <v>191.90734000000026</v>
      </c>
      <c r="BQ482" s="1846">
        <f t="shared" si="950"/>
        <v>0</v>
      </c>
      <c r="BR482" s="1846">
        <f t="shared" si="950"/>
        <v>0</v>
      </c>
      <c r="BS482" s="1846">
        <f t="shared" si="950"/>
        <v>0</v>
      </c>
      <c r="BT482" s="1846">
        <f t="shared" si="950"/>
        <v>0</v>
      </c>
      <c r="BU482" s="1846">
        <f t="shared" si="950"/>
        <v>0</v>
      </c>
      <c r="BV482" s="1846"/>
      <c r="BW482" s="1846"/>
      <c r="BX482" s="1846"/>
      <c r="BY482" s="1846"/>
      <c r="BZ482" s="1846"/>
      <c r="CA482" s="1846"/>
      <c r="CB482" s="1846"/>
      <c r="CC482" s="1846"/>
      <c r="CD482" s="1846"/>
      <c r="CE482" s="1846"/>
      <c r="CF482" s="1846"/>
      <c r="CG482" s="1846"/>
      <c r="CH482" s="1846"/>
      <c r="CI482" s="1846"/>
      <c r="CJ482" s="1846"/>
      <c r="CK482" s="1846"/>
      <c r="CL482" s="1846"/>
      <c r="CM482" s="1846"/>
      <c r="CN482" s="1846"/>
      <c r="CO482" s="1846"/>
      <c r="CP482" s="1846"/>
      <c r="CQ482" s="1846"/>
      <c r="CR482" s="1846"/>
      <c r="CS482" s="1846"/>
      <c r="CT482" s="1846"/>
      <c r="CU482" s="1846"/>
      <c r="CV482" s="1846"/>
      <c r="CW482" s="1846"/>
      <c r="CX482" s="1846"/>
      <c r="CY482" s="1846"/>
      <c r="CZ482" s="1846"/>
      <c r="DA482" s="1846"/>
      <c r="DB482"/>
      <c r="DC482"/>
      <c r="DD482" s="890" t="s">
        <v>1791</v>
      </c>
      <c r="DE482" s="852">
        <f>M482</f>
        <v>0</v>
      </c>
      <c r="DF482" s="852">
        <f>R482</f>
        <v>0</v>
      </c>
      <c r="DG482" s="852">
        <f>W482</f>
        <v>139</v>
      </c>
      <c r="DH482" s="852">
        <f>AB482</f>
        <v>149</v>
      </c>
      <c r="DI482" s="852">
        <f>AG482</f>
        <v>203</v>
      </c>
      <c r="DJ482" s="852">
        <f>AL482</f>
        <v>271</v>
      </c>
      <c r="DK482" s="852">
        <f>AQ482</f>
        <v>280</v>
      </c>
      <c r="DL482" s="852">
        <f>AV482</f>
        <v>306</v>
      </c>
      <c r="DM482" s="852">
        <f>BA482</f>
        <v>121</v>
      </c>
      <c r="DN482" s="852">
        <f>BF482</f>
        <v>87</v>
      </c>
      <c r="DO482" s="852">
        <f>BK482</f>
        <v>134</v>
      </c>
      <c r="DP482" s="852">
        <f>BP482</f>
        <v>191.90734000000026</v>
      </c>
      <c r="DQ482" s="852">
        <f>BU482</f>
        <v>0</v>
      </c>
      <c r="DR482" s="852">
        <f>BZ482</f>
        <v>0</v>
      </c>
      <c r="DS482" s="852">
        <f>CE482</f>
        <v>0</v>
      </c>
      <c r="DT482" s="852">
        <f>CJ482</f>
        <v>0</v>
      </c>
      <c r="DU482" s="852">
        <f>CO482</f>
        <v>0</v>
      </c>
      <c r="DV482" s="852">
        <f>CT482</f>
        <v>0</v>
      </c>
      <c r="DW482" s="852">
        <f t="shared" ref="DW482:DY483" si="951">CY482</f>
        <v>0</v>
      </c>
      <c r="DX482" s="852">
        <f t="shared" si="951"/>
        <v>0</v>
      </c>
      <c r="DY482" s="852">
        <f t="shared" si="951"/>
        <v>0</v>
      </c>
      <c r="EA482"/>
      <c r="EB482"/>
      <c r="EC482"/>
      <c r="ED482"/>
      <c r="EE482"/>
      <c r="EF482"/>
      <c r="EJ482"/>
      <c r="EK482"/>
      <c r="EL482"/>
      <c r="ER482" s="212"/>
    </row>
    <row r="483" spans="1:148" s="923" customFormat="1" ht="12.75" hidden="1" customHeight="1" outlineLevel="1" x14ac:dyDescent="0.2">
      <c r="A483" s="865" t="s">
        <v>1338</v>
      </c>
      <c r="B483" s="853"/>
      <c r="C483" s="853"/>
      <c r="D483" s="853"/>
      <c r="E483" s="853"/>
      <c r="F483" s="853"/>
      <c r="G483" s="853"/>
      <c r="H483" s="853"/>
      <c r="I483" s="853"/>
      <c r="J483" s="853"/>
      <c r="K483" s="853"/>
      <c r="L483" s="853"/>
      <c r="M483" s="853"/>
      <c r="N483" s="853"/>
      <c r="O483" s="853"/>
      <c r="P483" s="853"/>
      <c r="Q483" s="853"/>
      <c r="R483" s="853"/>
      <c r="S483" s="853"/>
      <c r="T483" s="853"/>
      <c r="U483" s="853"/>
      <c r="V483" s="853"/>
      <c r="W483" s="853"/>
      <c r="X483" s="853"/>
      <c r="Y483" s="853"/>
      <c r="Z483" s="853"/>
      <c r="AA483" s="853"/>
      <c r="AB483" s="853"/>
      <c r="AC483" s="853"/>
      <c r="AD483" s="853"/>
      <c r="AE483" s="853"/>
      <c r="AF483" s="853"/>
      <c r="AG483" s="853"/>
      <c r="AH483" s="853"/>
      <c r="AI483" s="853"/>
      <c r="AJ483" s="853"/>
      <c r="AK483" s="853"/>
      <c r="AL483" s="853"/>
      <c r="AM483" s="853">
        <f t="shared" ref="AM483:BL483" si="952">+AM482/AH482-1</f>
        <v>-0.12068965517241381</v>
      </c>
      <c r="AN483" s="853">
        <f t="shared" si="952"/>
        <v>-0.18604651162790697</v>
      </c>
      <c r="AO483" s="853">
        <f t="shared" si="952"/>
        <v>-8.9552238805970186E-2</v>
      </c>
      <c r="AP483" s="853">
        <f t="shared" si="952"/>
        <v>2.0833333333333259E-2</v>
      </c>
      <c r="AQ483" s="853">
        <f t="shared" si="952"/>
        <v>3.3210332103321027E-2</v>
      </c>
      <c r="AR483" s="853">
        <f t="shared" si="952"/>
        <v>-0.13725490196078427</v>
      </c>
      <c r="AS483" s="853">
        <f t="shared" si="952"/>
        <v>0.52857142857142847</v>
      </c>
      <c r="AT483" s="853">
        <f t="shared" si="952"/>
        <v>-0.36065573770491799</v>
      </c>
      <c r="AU483" s="853">
        <f t="shared" si="952"/>
        <v>0.18367346938775508</v>
      </c>
      <c r="AV483" s="853">
        <f t="shared" si="952"/>
        <v>9.2857142857142749E-2</v>
      </c>
      <c r="AW483" s="853">
        <f t="shared" si="952"/>
        <v>-0.90909090909090906</v>
      </c>
      <c r="AX483" s="853">
        <f t="shared" si="952"/>
        <v>-0.34579439252336452</v>
      </c>
      <c r="AY483" s="853">
        <f t="shared" si="952"/>
        <v>0.25641025641025639</v>
      </c>
      <c r="AZ483" s="853">
        <f t="shared" si="952"/>
        <v>-1.0172413793103448</v>
      </c>
      <c r="BA483" s="853">
        <f t="shared" si="952"/>
        <v>-0.60457516339869288</v>
      </c>
      <c r="BB483" s="853">
        <f t="shared" si="952"/>
        <v>-0.75</v>
      </c>
      <c r="BC483" s="853">
        <f t="shared" si="952"/>
        <v>-0.7857142857142857</v>
      </c>
      <c r="BD483" s="853">
        <f t="shared" si="952"/>
        <v>-0.81632653061224492</v>
      </c>
      <c r="BE483" s="853">
        <f t="shared" si="952"/>
        <v>-32</v>
      </c>
      <c r="BF483" s="853">
        <f t="shared" si="952"/>
        <v>-0.28099173553719003</v>
      </c>
      <c r="BG483" s="853">
        <f t="shared" si="952"/>
        <v>24</v>
      </c>
      <c r="BH483" s="853">
        <f t="shared" si="952"/>
        <v>1</v>
      </c>
      <c r="BI483" s="853">
        <f t="shared" si="952"/>
        <v>3.1111111111111107</v>
      </c>
      <c r="BJ483" s="853">
        <f t="shared" si="952"/>
        <v>-0.32258064516129037</v>
      </c>
      <c r="BK483" s="853">
        <f t="shared" si="952"/>
        <v>0.54022988505747116</v>
      </c>
      <c r="BL483" s="853">
        <f t="shared" si="952"/>
        <v>0.39999999999999991</v>
      </c>
      <c r="BM483" s="853">
        <f t="shared" ref="BM483:BU483" si="953">+BM482/BH482-1</f>
        <v>1.1333333333333333</v>
      </c>
      <c r="BN483" s="853">
        <f t="shared" si="953"/>
        <v>-0.40540540540540537</v>
      </c>
      <c r="BO483" s="853">
        <f t="shared" si="953"/>
        <v>-0.28428571428571436</v>
      </c>
      <c r="BP483" s="853">
        <f t="shared" si="953"/>
        <v>0.43214432835821093</v>
      </c>
      <c r="BQ483" s="853">
        <f t="shared" si="953"/>
        <v>-1</v>
      </c>
      <c r="BR483" s="853">
        <f t="shared" si="953"/>
        <v>-1</v>
      </c>
      <c r="BS483" s="853">
        <f t="shared" si="953"/>
        <v>-1</v>
      </c>
      <c r="BT483" s="853">
        <f t="shared" si="953"/>
        <v>-1</v>
      </c>
      <c r="BU483" s="853">
        <f t="shared" si="953"/>
        <v>-1</v>
      </c>
      <c r="BV483" s="853"/>
      <c r="BW483" s="853"/>
      <c r="BX483" s="853"/>
      <c r="BY483" s="853"/>
      <c r="BZ483" s="853"/>
      <c r="CA483" s="853"/>
      <c r="CB483" s="853"/>
      <c r="CC483" s="853"/>
      <c r="CD483" s="853"/>
      <c r="CE483" s="853"/>
      <c r="CF483" s="853"/>
      <c r="CG483" s="853"/>
      <c r="CH483" s="853"/>
      <c r="CI483" s="853"/>
      <c r="CJ483" s="853"/>
      <c r="CK483" s="853"/>
      <c r="CL483" s="853"/>
      <c r="CM483" s="853"/>
      <c r="CN483" s="853"/>
      <c r="CO483" s="853"/>
      <c r="CP483" s="853"/>
      <c r="CQ483" s="853"/>
      <c r="CR483" s="853"/>
      <c r="CS483" s="853"/>
      <c r="CT483" s="853"/>
      <c r="CU483" s="853"/>
      <c r="CV483" s="853"/>
      <c r="CW483" s="853"/>
      <c r="CX483" s="853"/>
      <c r="CY483" s="853"/>
      <c r="CZ483" s="853"/>
      <c r="DA483" s="853"/>
      <c r="DB483"/>
      <c r="DC483"/>
      <c r="DD483" s="2323" t="s">
        <v>1338</v>
      </c>
      <c r="DE483" s="2349">
        <f>M483</f>
        <v>0</v>
      </c>
      <c r="DF483" s="2349">
        <f>R483</f>
        <v>0</v>
      </c>
      <c r="DG483" s="2349">
        <f>W483</f>
        <v>0</v>
      </c>
      <c r="DH483" s="2349">
        <f>AB483</f>
        <v>0</v>
      </c>
      <c r="DI483" s="2349">
        <f>AG483</f>
        <v>0</v>
      </c>
      <c r="DJ483" s="2349">
        <f>AL483</f>
        <v>0</v>
      </c>
      <c r="DK483" s="2349">
        <f>AQ483</f>
        <v>3.3210332103321027E-2</v>
      </c>
      <c r="DL483" s="2349">
        <f>AV483</f>
        <v>9.2857142857142749E-2</v>
      </c>
      <c r="DM483" s="2349">
        <f>BA483</f>
        <v>-0.60457516339869288</v>
      </c>
      <c r="DN483" s="2349">
        <f>BF483</f>
        <v>-0.28099173553719003</v>
      </c>
      <c r="DO483" s="2349">
        <f>BK483</f>
        <v>0.54022988505747116</v>
      </c>
      <c r="DP483" s="2349">
        <f>BP483</f>
        <v>0.43214432835821093</v>
      </c>
      <c r="DQ483" s="2349">
        <f>BU483</f>
        <v>-1</v>
      </c>
      <c r="DR483" s="2349">
        <f>BZ483</f>
        <v>0</v>
      </c>
      <c r="DS483" s="2349">
        <f>CE483</f>
        <v>0</v>
      </c>
      <c r="DT483" s="2349">
        <f>CJ483</f>
        <v>0</v>
      </c>
      <c r="DU483" s="2349">
        <f>CO483</f>
        <v>0</v>
      </c>
      <c r="DV483" s="2349">
        <f>CT483</f>
        <v>0</v>
      </c>
      <c r="DW483" s="2349">
        <f t="shared" si="951"/>
        <v>0</v>
      </c>
      <c r="DX483" s="2349">
        <f t="shared" si="951"/>
        <v>0</v>
      </c>
      <c r="DY483" s="2349">
        <f t="shared" si="951"/>
        <v>0</v>
      </c>
      <c r="EA483"/>
      <c r="EB483"/>
      <c r="EC483"/>
      <c r="ED483"/>
      <c r="EE483"/>
      <c r="EF483"/>
      <c r="EJ483"/>
      <c r="EK483"/>
      <c r="EL483"/>
      <c r="ER483" s="212"/>
    </row>
    <row r="484" spans="1:148" s="923" customFormat="1" ht="12.75" hidden="1" customHeight="1" outlineLevel="1" x14ac:dyDescent="0.2">
      <c r="A484" s="865"/>
      <c r="B484" s="847"/>
      <c r="C484" s="847"/>
      <c r="D484" s="847"/>
      <c r="E484" s="847"/>
      <c r="F484" s="847"/>
      <c r="G484" s="847"/>
      <c r="H484" s="847"/>
      <c r="I484" s="847"/>
      <c r="J484" s="847"/>
      <c r="K484" s="847"/>
      <c r="L484" s="847"/>
      <c r="M484" s="847"/>
      <c r="N484" s="847"/>
      <c r="O484" s="847"/>
      <c r="P484" s="847"/>
      <c r="Q484" s="847"/>
      <c r="R484" s="847"/>
      <c r="S484" s="847"/>
      <c r="T484" s="847"/>
      <c r="U484" s="847"/>
      <c r="V484" s="847"/>
      <c r="W484" s="847"/>
      <c r="X484" s="847"/>
      <c r="Y484" s="847"/>
      <c r="Z484" s="847"/>
      <c r="AA484" s="847"/>
      <c r="AB484" s="847"/>
      <c r="AC484" s="847"/>
      <c r="AD484" s="847"/>
      <c r="AE484" s="847"/>
      <c r="AF484" s="847"/>
      <c r="AG484" s="847"/>
      <c r="AH484" s="847"/>
      <c r="AI484" s="847"/>
      <c r="AJ484" s="847"/>
      <c r="AK484" s="847"/>
      <c r="AL484" s="847"/>
      <c r="AM484" s="847"/>
      <c r="AN484" s="847"/>
      <c r="AO484" s="847"/>
      <c r="AP484" s="847"/>
      <c r="AQ484" s="847"/>
      <c r="AR484" s="847"/>
      <c r="AS484" s="847"/>
      <c r="AT484" s="847"/>
      <c r="AU484" s="847"/>
      <c r="AV484" s="847"/>
      <c r="AW484" s="847"/>
      <c r="AX484" s="847"/>
      <c r="AY484" s="847"/>
      <c r="AZ484" s="847"/>
      <c r="BA484" s="847"/>
      <c r="BB484" s="847"/>
      <c r="BC484" s="847"/>
      <c r="BD484" s="847"/>
      <c r="BE484" s="847"/>
      <c r="BF484" s="847"/>
      <c r="BG484" s="847"/>
      <c r="BH484" s="847"/>
      <c r="BI484" s="847"/>
      <c r="BJ484" s="847"/>
      <c r="BK484" s="847"/>
      <c r="BL484" s="847"/>
      <c r="BM484" s="847"/>
      <c r="BN484" s="847"/>
      <c r="BO484" s="847"/>
      <c r="BP484" s="847"/>
      <c r="BQ484" s="847"/>
      <c r="BR484" s="847"/>
      <c r="BS484" s="847"/>
      <c r="BT484" s="847"/>
      <c r="BU484" s="847"/>
      <c r="BV484" s="847"/>
      <c r="BW484" s="847"/>
      <c r="BX484" s="847"/>
      <c r="BY484" s="847"/>
      <c r="BZ484" s="847"/>
      <c r="CA484" s="847"/>
      <c r="CB484" s="847"/>
      <c r="CC484" s="847"/>
      <c r="CD484" s="847"/>
      <c r="CE484" s="847"/>
      <c r="CF484" s="847"/>
      <c r="CG484" s="847"/>
      <c r="CH484" s="847"/>
      <c r="CI484" s="847"/>
      <c r="CJ484" s="847"/>
      <c r="CK484" s="847"/>
      <c r="CL484" s="847"/>
      <c r="CM484" s="847"/>
      <c r="CN484" s="847"/>
      <c r="CO484" s="847"/>
      <c r="CP484" s="847"/>
      <c r="CQ484" s="847"/>
      <c r="CR484" s="847"/>
      <c r="CS484" s="847"/>
      <c r="CT484" s="847"/>
      <c r="CU484" s="847"/>
      <c r="CV484" s="847"/>
      <c r="CW484" s="847"/>
      <c r="CX484" s="847"/>
      <c r="CY484" s="847"/>
      <c r="CZ484" s="847"/>
      <c r="DA484" s="847"/>
      <c r="DB484"/>
      <c r="DC484"/>
      <c r="DD484" s="2323"/>
      <c r="DE484" s="2349"/>
      <c r="DF484" s="2349"/>
      <c r="DG484" s="2349"/>
      <c r="DH484" s="2349"/>
      <c r="DI484" s="2349"/>
      <c r="DJ484" s="2349"/>
      <c r="DK484" s="2349"/>
      <c r="DL484" s="2349"/>
      <c r="DM484" s="2349"/>
      <c r="DN484" s="2349"/>
      <c r="DO484" s="2349"/>
      <c r="DP484" s="2349"/>
      <c r="DQ484" s="2349"/>
      <c r="DR484" s="2349"/>
      <c r="DS484" s="2349"/>
      <c r="DT484" s="2349"/>
      <c r="DU484" s="2349"/>
      <c r="DV484" s="2349"/>
      <c r="DW484" s="2349"/>
      <c r="DX484" s="2349"/>
      <c r="DY484" s="2349"/>
      <c r="EA484"/>
      <c r="EB484"/>
      <c r="EC484"/>
      <c r="ED484"/>
      <c r="EE484"/>
      <c r="EF484"/>
      <c r="EJ484"/>
      <c r="EK484"/>
      <c r="EL484"/>
      <c r="ER484" s="212"/>
    </row>
    <row r="485" spans="1:148" s="923" customFormat="1" ht="12.75" hidden="1" customHeight="1" outlineLevel="1" x14ac:dyDescent="0.2">
      <c r="A485" s="867" t="s">
        <v>1632</v>
      </c>
      <c r="B485" s="847"/>
      <c r="C485" s="847"/>
      <c r="D485" s="847"/>
      <c r="E485" s="847"/>
      <c r="F485" s="847"/>
      <c r="G485" s="847"/>
      <c r="H485" s="847"/>
      <c r="I485" s="847"/>
      <c r="J485" s="847"/>
      <c r="K485" s="847"/>
      <c r="L485" s="847"/>
      <c r="M485" s="847"/>
      <c r="N485" s="847"/>
      <c r="O485" s="847"/>
      <c r="P485" s="847"/>
      <c r="Q485" s="847"/>
      <c r="R485" s="847"/>
      <c r="S485" s="847"/>
      <c r="T485" s="847"/>
      <c r="U485" s="847"/>
      <c r="V485" s="847"/>
      <c r="W485" s="847"/>
      <c r="X485" s="847"/>
      <c r="Y485" s="847"/>
      <c r="Z485" s="847"/>
      <c r="AA485" s="847"/>
      <c r="AB485" s="847"/>
      <c r="AC485" s="847"/>
      <c r="AD485" s="847"/>
      <c r="AE485" s="847"/>
      <c r="AF485" s="847"/>
      <c r="AG485" s="847"/>
      <c r="AH485" s="847"/>
      <c r="AI485" s="847"/>
      <c r="AJ485" s="847"/>
      <c r="AK485" s="847"/>
      <c r="AL485" s="847"/>
      <c r="AM485" s="847"/>
      <c r="AN485" s="847"/>
      <c r="AO485" s="847"/>
      <c r="AP485" s="847"/>
      <c r="AQ485" s="847"/>
      <c r="AR485" s="847"/>
      <c r="AS485" s="847"/>
      <c r="AT485" s="847"/>
      <c r="AU485" s="847"/>
      <c r="AV485" s="847"/>
      <c r="AW485" s="847"/>
      <c r="AX485" s="847"/>
      <c r="AY485" s="847"/>
      <c r="AZ485" s="847"/>
      <c r="BA485" s="847"/>
      <c r="BB485" s="847"/>
      <c r="BC485" s="847"/>
      <c r="BD485" s="847"/>
      <c r="BE485" s="847"/>
      <c r="BF485" s="847"/>
      <c r="BG485" s="847"/>
      <c r="BH485" s="847"/>
      <c r="BI485" s="847"/>
      <c r="BJ485" s="847"/>
      <c r="BK485" s="847"/>
      <c r="BL485" s="847"/>
      <c r="BM485" s="847"/>
      <c r="BN485" s="847"/>
      <c r="BO485" s="847"/>
      <c r="BP485" s="847"/>
      <c r="BQ485" s="847"/>
      <c r="BR485" s="847"/>
      <c r="BS485" s="847"/>
      <c r="BT485" s="847"/>
      <c r="BU485" s="847"/>
      <c r="BV485" s="847"/>
      <c r="BW485" s="847"/>
      <c r="BX485" s="847"/>
      <c r="BY485" s="847"/>
      <c r="BZ485" s="847"/>
      <c r="CA485" s="847"/>
      <c r="CB485" s="847"/>
      <c r="CC485" s="847"/>
      <c r="CD485" s="847"/>
      <c r="CE485" s="847"/>
      <c r="CF485" s="847"/>
      <c r="CG485" s="847"/>
      <c r="CH485" s="847"/>
      <c r="CI485" s="847"/>
      <c r="CJ485" s="847"/>
      <c r="CK485" s="847"/>
      <c r="CL485" s="847"/>
      <c r="CM485" s="847"/>
      <c r="CN485" s="847"/>
      <c r="CO485" s="847"/>
      <c r="CP485" s="847"/>
      <c r="CQ485" s="847"/>
      <c r="CR485" s="847"/>
      <c r="CS485" s="847"/>
      <c r="CT485" s="847"/>
      <c r="CU485" s="847"/>
      <c r="CV485" s="847"/>
      <c r="CW485" s="847"/>
      <c r="CX485" s="847"/>
      <c r="CY485" s="847"/>
      <c r="CZ485" s="847"/>
      <c r="DA485" s="847"/>
      <c r="DB485"/>
      <c r="DC485"/>
      <c r="DD485" s="867" t="s">
        <v>1632</v>
      </c>
      <c r="DE485" s="2349"/>
      <c r="DF485" s="2349"/>
      <c r="DG485" s="2349"/>
      <c r="DH485" s="2349"/>
      <c r="DI485" s="2349"/>
      <c r="DJ485" s="2349"/>
      <c r="DK485" s="2349"/>
      <c r="DL485" s="2349"/>
      <c r="DM485" s="2349"/>
      <c r="DN485" s="2349"/>
      <c r="DO485" s="2349"/>
      <c r="DP485" s="2349"/>
      <c r="DQ485" s="2349"/>
      <c r="DR485" s="2349"/>
      <c r="DS485" s="2349"/>
      <c r="DT485" s="2349"/>
      <c r="DU485" s="2349"/>
      <c r="DV485" s="2349"/>
      <c r="DW485" s="2349"/>
      <c r="DX485" s="2349"/>
      <c r="DY485" s="2349"/>
      <c r="EA485"/>
      <c r="EB485"/>
      <c r="EC485"/>
      <c r="ED485"/>
      <c r="EE485"/>
      <c r="EF485"/>
      <c r="EJ485"/>
      <c r="EK485"/>
      <c r="EL485"/>
      <c r="ER485" s="212"/>
    </row>
    <row r="486" spans="1:148" s="923" customFormat="1" ht="12.75" hidden="1" customHeight="1" outlineLevel="1" x14ac:dyDescent="0.2">
      <c r="A486" s="865" t="s">
        <v>583</v>
      </c>
      <c r="B486" s="853"/>
      <c r="C486" s="853"/>
      <c r="D486" s="853"/>
      <c r="E486" s="853"/>
      <c r="F486" s="853"/>
      <c r="G486" s="853"/>
      <c r="H486" s="853"/>
      <c r="I486" s="853"/>
      <c r="J486" s="853"/>
      <c r="K486" s="853"/>
      <c r="L486" s="853"/>
      <c r="M486" s="847"/>
      <c r="N486" s="853"/>
      <c r="O486" s="853"/>
      <c r="P486" s="853"/>
      <c r="Q486" s="853"/>
      <c r="R486" s="847"/>
      <c r="S486" s="853"/>
      <c r="T486" s="853"/>
      <c r="U486" s="853"/>
      <c r="V486" s="853"/>
      <c r="W486" s="847"/>
      <c r="X486" s="853"/>
      <c r="Y486" s="853"/>
      <c r="Z486" s="853"/>
      <c r="AA486" s="853"/>
      <c r="AB486" s="847"/>
      <c r="AC486" s="853"/>
      <c r="AD486" s="853"/>
      <c r="AE486" s="853"/>
      <c r="AF486" s="853"/>
      <c r="AG486" s="847"/>
      <c r="AH486" s="853"/>
      <c r="AI486" s="853"/>
      <c r="AJ486" s="853"/>
      <c r="AK486" s="853"/>
      <c r="AL486" s="847"/>
      <c r="AM486" s="853"/>
      <c r="AN486" s="853"/>
      <c r="AO486" s="853"/>
      <c r="AP486" s="853"/>
      <c r="AQ486" s="847"/>
      <c r="AR486" s="853"/>
      <c r="AS486" s="853"/>
      <c r="AT486" s="853"/>
      <c r="AU486" s="853"/>
      <c r="AV486" s="847">
        <f t="shared" ref="AV486:BP486" si="954">+AV482</f>
        <v>306</v>
      </c>
      <c r="AW486" s="853">
        <f t="shared" si="954"/>
        <v>4</v>
      </c>
      <c r="AX486" s="853">
        <f t="shared" si="954"/>
        <v>70</v>
      </c>
      <c r="AY486" s="853">
        <f t="shared" si="954"/>
        <v>49</v>
      </c>
      <c r="AZ486" s="853">
        <f t="shared" si="954"/>
        <v>-2</v>
      </c>
      <c r="BA486" s="847">
        <f t="shared" si="954"/>
        <v>121</v>
      </c>
      <c r="BB486" s="853">
        <f t="shared" si="954"/>
        <v>1</v>
      </c>
      <c r="BC486" s="853">
        <f t="shared" si="954"/>
        <v>15</v>
      </c>
      <c r="BD486" s="853">
        <f t="shared" si="954"/>
        <v>9</v>
      </c>
      <c r="BE486" s="853">
        <f t="shared" si="954"/>
        <v>62</v>
      </c>
      <c r="BF486" s="847">
        <f t="shared" si="954"/>
        <v>87</v>
      </c>
      <c r="BG486" s="853">
        <f t="shared" si="954"/>
        <v>25</v>
      </c>
      <c r="BH486" s="853">
        <f t="shared" si="954"/>
        <v>30</v>
      </c>
      <c r="BI486" s="853">
        <f t="shared" si="954"/>
        <v>37</v>
      </c>
      <c r="BJ486" s="853">
        <f t="shared" si="954"/>
        <v>42</v>
      </c>
      <c r="BK486" s="847">
        <f t="shared" si="954"/>
        <v>134</v>
      </c>
      <c r="BL486" s="853">
        <f t="shared" si="954"/>
        <v>35</v>
      </c>
      <c r="BM486" s="853">
        <f t="shared" si="954"/>
        <v>64</v>
      </c>
      <c r="BN486" s="853">
        <f>+BN482</f>
        <v>22</v>
      </c>
      <c r="BO486" s="853">
        <f t="shared" si="954"/>
        <v>30.06</v>
      </c>
      <c r="BP486" s="847">
        <f t="shared" si="954"/>
        <v>191.90734000000026</v>
      </c>
      <c r="BQ486" s="853">
        <f>+BQ482</f>
        <v>0</v>
      </c>
      <c r="BR486" s="853">
        <f>+BR482</f>
        <v>0</v>
      </c>
      <c r="BS486" s="853">
        <f>+BS482</f>
        <v>0</v>
      </c>
      <c r="BT486" s="853">
        <f>+BT482</f>
        <v>0</v>
      </c>
      <c r="BU486" s="847">
        <f>+BU482</f>
        <v>0</v>
      </c>
      <c r="BV486" s="853"/>
      <c r="BW486" s="853"/>
      <c r="BX486" s="853"/>
      <c r="BY486" s="853"/>
      <c r="BZ486" s="847"/>
      <c r="CA486" s="847"/>
      <c r="CB486" s="847"/>
      <c r="CC486" s="847"/>
      <c r="CD486" s="847"/>
      <c r="CE486" s="847"/>
      <c r="CF486" s="847"/>
      <c r="CG486" s="847"/>
      <c r="CH486" s="847"/>
      <c r="CI486" s="847"/>
      <c r="CJ486" s="847"/>
      <c r="CK486" s="847"/>
      <c r="CL486" s="847"/>
      <c r="CM486" s="847"/>
      <c r="CN486" s="847"/>
      <c r="CO486" s="847"/>
      <c r="CP486" s="847"/>
      <c r="CQ486" s="847"/>
      <c r="CR486" s="847"/>
      <c r="CS486" s="847"/>
      <c r="CT486" s="847"/>
      <c r="CU486" s="847"/>
      <c r="CV486" s="847"/>
      <c r="CW486" s="847"/>
      <c r="CX486" s="847"/>
      <c r="CY486" s="847"/>
      <c r="CZ486" s="847"/>
      <c r="DA486" s="847"/>
      <c r="DB486"/>
      <c r="DC486"/>
      <c r="DD486" s="2323" t="s">
        <v>583</v>
      </c>
      <c r="DE486" s="2349">
        <f>M486</f>
        <v>0</v>
      </c>
      <c r="DF486" s="2349">
        <f>R486</f>
        <v>0</v>
      </c>
      <c r="DG486" s="2349">
        <f>W486</f>
        <v>0</v>
      </c>
      <c r="DH486" s="2349">
        <f>AB486</f>
        <v>0</v>
      </c>
      <c r="DI486" s="2349">
        <f>AG486</f>
        <v>0</v>
      </c>
      <c r="DJ486" s="2349">
        <f>AL486</f>
        <v>0</v>
      </c>
      <c r="DK486" s="2349">
        <f>AQ486</f>
        <v>0</v>
      </c>
      <c r="DL486" s="2349">
        <f>AV486</f>
        <v>306</v>
      </c>
      <c r="DM486" s="2349">
        <f>BA486</f>
        <v>121</v>
      </c>
      <c r="DN486" s="2349">
        <f>BF486</f>
        <v>87</v>
      </c>
      <c r="DO486" s="2349">
        <f>BK486</f>
        <v>134</v>
      </c>
      <c r="DP486" s="2349">
        <f>BP486</f>
        <v>191.90734000000026</v>
      </c>
      <c r="DQ486" s="2349">
        <f>BU486</f>
        <v>0</v>
      </c>
      <c r="DR486" s="2349">
        <f>BZ486</f>
        <v>0</v>
      </c>
      <c r="DS486" s="2349">
        <f>CE486</f>
        <v>0</v>
      </c>
      <c r="DT486" s="2349">
        <f>CJ486</f>
        <v>0</v>
      </c>
      <c r="DU486" s="2349">
        <f>CO486</f>
        <v>0</v>
      </c>
      <c r="DV486" s="2349">
        <f>CT486</f>
        <v>0</v>
      </c>
      <c r="DW486" s="2349">
        <f t="shared" ref="DW486:DY489" si="955">CY486</f>
        <v>0</v>
      </c>
      <c r="DX486" s="2349">
        <f t="shared" si="955"/>
        <v>0</v>
      </c>
      <c r="DY486" s="2349">
        <f t="shared" si="955"/>
        <v>0</v>
      </c>
      <c r="EA486"/>
      <c r="EB486"/>
      <c r="EC486"/>
      <c r="ED486"/>
      <c r="EE486"/>
      <c r="EF486"/>
      <c r="EJ486"/>
      <c r="EK486"/>
      <c r="EL486"/>
      <c r="ER486" s="212"/>
    </row>
    <row r="487" spans="1:148" s="923" customFormat="1" ht="12.75" hidden="1" customHeight="1" outlineLevel="1" x14ac:dyDescent="0.2">
      <c r="A487" s="865" t="s">
        <v>798</v>
      </c>
      <c r="B487" s="847"/>
      <c r="C487" s="847"/>
      <c r="D487" s="847"/>
      <c r="E487" s="847"/>
      <c r="F487" s="847"/>
      <c r="G487" s="847"/>
      <c r="H487" s="847"/>
      <c r="I487" s="847"/>
      <c r="J487" s="847"/>
      <c r="K487" s="847"/>
      <c r="L487" s="847"/>
      <c r="M487" s="847"/>
      <c r="N487" s="847"/>
      <c r="O487" s="847"/>
      <c r="P487" s="847"/>
      <c r="Q487" s="847"/>
      <c r="R487" s="847"/>
      <c r="S487" s="847"/>
      <c r="T487" s="847"/>
      <c r="U487" s="847"/>
      <c r="V487" s="847"/>
      <c r="W487" s="847"/>
      <c r="X487" s="847"/>
      <c r="Y487" s="847"/>
      <c r="Z487" s="847"/>
      <c r="AA487" s="847"/>
      <c r="AB487" s="847"/>
      <c r="AC487" s="847"/>
      <c r="AD487" s="847"/>
      <c r="AE487" s="847"/>
      <c r="AF487" s="847"/>
      <c r="AG487" s="847"/>
      <c r="AH487" s="847"/>
      <c r="AI487" s="847"/>
      <c r="AJ487" s="847"/>
      <c r="AK487" s="847"/>
      <c r="AL487" s="847"/>
      <c r="AM487" s="847"/>
      <c r="AN487" s="847"/>
      <c r="AO487" s="847"/>
      <c r="AP487" s="847"/>
      <c r="AQ487" s="847"/>
      <c r="AR487" s="847"/>
      <c r="AS487" s="847"/>
      <c r="AT487" s="847"/>
      <c r="AU487" s="847"/>
      <c r="AV487" s="847">
        <f>+AV461</f>
        <v>0</v>
      </c>
      <c r="AW487" s="847">
        <f>+AW4/$BA$4*BA487</f>
        <v>0</v>
      </c>
      <c r="AX487" s="847">
        <f>+AX4/$BA$4*BF487</f>
        <v>0</v>
      </c>
      <c r="AY487" s="847">
        <f>+AY4/$BA$4*BK487</f>
        <v>0</v>
      </c>
      <c r="AZ487" s="847">
        <f>+AZ4/$BA$4*BP487</f>
        <v>-0.63414634146341464</v>
      </c>
      <c r="BA487" s="847">
        <f>+BA461</f>
        <v>0</v>
      </c>
      <c r="BB487" s="847">
        <f>+BB4/$BA$4*BZ487</f>
        <v>0</v>
      </c>
      <c r="BC487" s="847">
        <f t="shared" ref="BC487:BU487" si="956">+BC461</f>
        <v>0</v>
      </c>
      <c r="BD487" s="847">
        <f t="shared" si="956"/>
        <v>0</v>
      </c>
      <c r="BE487" s="847">
        <f t="shared" si="956"/>
        <v>0</v>
      </c>
      <c r="BF487" s="847">
        <f t="shared" si="956"/>
        <v>0</v>
      </c>
      <c r="BG487" s="847">
        <f t="shared" si="956"/>
        <v>0</v>
      </c>
      <c r="BH487" s="847">
        <f t="shared" si="956"/>
        <v>0</v>
      </c>
      <c r="BI487" s="847">
        <f t="shared" si="956"/>
        <v>0</v>
      </c>
      <c r="BJ487" s="847">
        <f t="shared" si="956"/>
        <v>0</v>
      </c>
      <c r="BK487" s="847">
        <f t="shared" si="956"/>
        <v>0</v>
      </c>
      <c r="BL487" s="847">
        <f t="shared" si="956"/>
        <v>-2</v>
      </c>
      <c r="BM487" s="847">
        <f t="shared" si="956"/>
        <v>0</v>
      </c>
      <c r="BN487" s="847">
        <f t="shared" si="956"/>
        <v>0</v>
      </c>
      <c r="BO487" s="847">
        <f t="shared" si="956"/>
        <v>0</v>
      </c>
      <c r="BP487" s="847">
        <f t="shared" si="956"/>
        <v>-2</v>
      </c>
      <c r="BQ487" s="847">
        <f t="shared" si="956"/>
        <v>0</v>
      </c>
      <c r="BR487" s="847">
        <f t="shared" si="956"/>
        <v>0</v>
      </c>
      <c r="BS487" s="847">
        <f t="shared" si="956"/>
        <v>0</v>
      </c>
      <c r="BT487" s="847">
        <f t="shared" si="956"/>
        <v>0</v>
      </c>
      <c r="BU487" s="847">
        <f t="shared" si="956"/>
        <v>0</v>
      </c>
      <c r="BV487" s="847"/>
      <c r="BW487" s="847"/>
      <c r="BX487" s="847"/>
      <c r="BY487" s="847"/>
      <c r="BZ487" s="847"/>
      <c r="CA487" s="847"/>
      <c r="CB487" s="847"/>
      <c r="CC487" s="847"/>
      <c r="CD487" s="847"/>
      <c r="CE487" s="847"/>
      <c r="CF487" s="847"/>
      <c r="CG487" s="847"/>
      <c r="CH487" s="847"/>
      <c r="CI487" s="847"/>
      <c r="CJ487" s="847"/>
      <c r="CK487" s="847"/>
      <c r="CL487" s="847"/>
      <c r="CM487" s="847"/>
      <c r="CN487" s="847"/>
      <c r="CO487" s="847"/>
      <c r="CP487" s="847"/>
      <c r="CQ487" s="847"/>
      <c r="CR487" s="847"/>
      <c r="CS487" s="847"/>
      <c r="CT487" s="847"/>
      <c r="CU487" s="847"/>
      <c r="CV487" s="847"/>
      <c r="CW487" s="847"/>
      <c r="CX487" s="847"/>
      <c r="CY487" s="847"/>
      <c r="CZ487" s="847"/>
      <c r="DA487" s="847"/>
      <c r="DB487"/>
      <c r="DC487"/>
      <c r="DD487" s="2323" t="s">
        <v>798</v>
      </c>
      <c r="DE487" s="2349">
        <f>M487</f>
        <v>0</v>
      </c>
      <c r="DF487" s="2349">
        <f>R487</f>
        <v>0</v>
      </c>
      <c r="DG487" s="2349">
        <f>W487</f>
        <v>0</v>
      </c>
      <c r="DH487" s="2349">
        <f>AB487</f>
        <v>0</v>
      </c>
      <c r="DI487" s="2349">
        <f>AG487</f>
        <v>0</v>
      </c>
      <c r="DJ487" s="2349">
        <f>AL487</f>
        <v>0</v>
      </c>
      <c r="DK487" s="2349">
        <f>AQ487</f>
        <v>0</v>
      </c>
      <c r="DL487" s="2349">
        <f>AV487</f>
        <v>0</v>
      </c>
      <c r="DM487" s="2349">
        <f>BA487</f>
        <v>0</v>
      </c>
      <c r="DN487" s="2349">
        <f>BF487</f>
        <v>0</v>
      </c>
      <c r="DO487" s="2349">
        <f>BK487</f>
        <v>0</v>
      </c>
      <c r="DP487" s="2349">
        <f>BP487</f>
        <v>-2</v>
      </c>
      <c r="DQ487" s="2349">
        <f>BU487</f>
        <v>0</v>
      </c>
      <c r="DR487" s="2349">
        <f>BZ487</f>
        <v>0</v>
      </c>
      <c r="DS487" s="2349">
        <f>CE487</f>
        <v>0</v>
      </c>
      <c r="DT487" s="2349">
        <f>CJ487</f>
        <v>0</v>
      </c>
      <c r="DU487" s="2349">
        <f>CO487</f>
        <v>0</v>
      </c>
      <c r="DV487" s="2349">
        <f>CT487</f>
        <v>0</v>
      </c>
      <c r="DW487" s="2349">
        <f t="shared" si="955"/>
        <v>0</v>
      </c>
      <c r="DX487" s="2349">
        <f t="shared" si="955"/>
        <v>0</v>
      </c>
      <c r="DY487" s="2349">
        <f t="shared" si="955"/>
        <v>0</v>
      </c>
      <c r="EA487"/>
      <c r="EB487"/>
      <c r="EC487"/>
      <c r="ED487"/>
      <c r="EE487"/>
      <c r="EF487"/>
      <c r="EJ487"/>
      <c r="EK487"/>
      <c r="EL487"/>
      <c r="ER487" s="212"/>
    </row>
    <row r="488" spans="1:148" s="923" customFormat="1" ht="12.75" hidden="1" customHeight="1" outlineLevel="1" x14ac:dyDescent="0.2">
      <c r="A488" s="865" t="s">
        <v>1633</v>
      </c>
      <c r="B488" s="952"/>
      <c r="C488" s="952"/>
      <c r="D488" s="952"/>
      <c r="E488" s="952"/>
      <c r="F488" s="952"/>
      <c r="G488" s="952"/>
      <c r="H488" s="952"/>
      <c r="I488" s="952"/>
      <c r="J488" s="952"/>
      <c r="K488" s="952"/>
      <c r="L488" s="952"/>
      <c r="M488" s="952"/>
      <c r="N488" s="952"/>
      <c r="O488" s="952"/>
      <c r="P488" s="952"/>
      <c r="Q488" s="952"/>
      <c r="R488" s="952">
        <v>17</v>
      </c>
      <c r="S488" s="952"/>
      <c r="T488" s="952"/>
      <c r="U488" s="952"/>
      <c r="V488" s="952"/>
      <c r="W488" s="952">
        <v>26</v>
      </c>
      <c r="X488" s="952"/>
      <c r="Y488" s="952"/>
      <c r="Z488" s="952"/>
      <c r="AA488" s="952"/>
      <c r="AB488" s="952">
        <v>22</v>
      </c>
      <c r="AC488" s="952"/>
      <c r="AD488" s="952"/>
      <c r="AE488" s="952"/>
      <c r="AF488" s="952"/>
      <c r="AG488" s="952">
        <v>21</v>
      </c>
      <c r="AH488" s="952"/>
      <c r="AI488" s="952"/>
      <c r="AJ488" s="952"/>
      <c r="AK488" s="952"/>
      <c r="AL488" s="952">
        <v>20</v>
      </c>
      <c r="AM488" s="952"/>
      <c r="AN488" s="952"/>
      <c r="AO488" s="952"/>
      <c r="AP488" s="952"/>
      <c r="AQ488" s="952">
        <v>19</v>
      </c>
      <c r="AR488" s="952"/>
      <c r="AS488" s="952"/>
      <c r="AT488" s="952"/>
      <c r="AU488" s="952"/>
      <c r="AV488" s="952">
        <v>19</v>
      </c>
      <c r="AW488" s="952">
        <f>+AW4/$BA$4*BA488</f>
        <v>4.5528455284552845</v>
      </c>
      <c r="AX488" s="952">
        <f>+AX4/$BA$4*BF488</f>
        <v>4.5528455284552845</v>
      </c>
      <c r="AY488" s="952">
        <f>+AY4/$BA$4*BK488</f>
        <v>4.5528455284552845</v>
      </c>
      <c r="AZ488" s="952">
        <f>+AZ4/$BA$4*BP488</f>
        <v>6.3414634146341466</v>
      </c>
      <c r="BA488" s="952">
        <v>20</v>
      </c>
      <c r="BB488" s="952">
        <f>+BB4/$BA$4*BZ488</f>
        <v>0</v>
      </c>
      <c r="BC488" s="952">
        <f>+AX488*1.03</f>
        <v>4.6894308943089431</v>
      </c>
      <c r="BD488" s="952">
        <f>+AY488*1.03</f>
        <v>4.6894308943089431</v>
      </c>
      <c r="BE488" s="952">
        <f>+AZ488*1.03</f>
        <v>6.5317073170731712</v>
      </c>
      <c r="BF488" s="952">
        <v>20</v>
      </c>
      <c r="BG488" s="952">
        <f>+BB488*1.03</f>
        <v>0</v>
      </c>
      <c r="BH488" s="952">
        <f>+BC488*1.03</f>
        <v>4.8301138211382115</v>
      </c>
      <c r="BI488" s="952">
        <f>+BD488*1.03</f>
        <v>4.8301138211382115</v>
      </c>
      <c r="BJ488" s="952">
        <f>+BE488*1.03</f>
        <v>6.7276585365853663</v>
      </c>
      <c r="BK488" s="952">
        <v>20</v>
      </c>
      <c r="BL488" s="952">
        <f>+BG488*1.03</f>
        <v>0</v>
      </c>
      <c r="BM488" s="952">
        <f>+BH488*1.03</f>
        <v>4.9750172357723583</v>
      </c>
      <c r="BN488" s="952">
        <f>+BI488*1.03</f>
        <v>4.9750172357723583</v>
      </c>
      <c r="BO488" s="952">
        <f>+BJ488*1.03</f>
        <v>6.9294882926829278</v>
      </c>
      <c r="BP488" s="952">
        <v>20</v>
      </c>
      <c r="BQ488" s="952">
        <v>0</v>
      </c>
      <c r="BR488" s="952">
        <v>0</v>
      </c>
      <c r="BS488" s="952">
        <v>0</v>
      </c>
      <c r="BT488" s="952">
        <v>0</v>
      </c>
      <c r="BU488" s="952">
        <f>SUM(BQ488:BT488)</f>
        <v>0</v>
      </c>
      <c r="BV488" s="952"/>
      <c r="BW488" s="952"/>
      <c r="BX488" s="952"/>
      <c r="BY488" s="952"/>
      <c r="BZ488" s="952"/>
      <c r="CA488" s="952"/>
      <c r="CB488" s="952"/>
      <c r="CC488" s="952"/>
      <c r="CD488" s="952"/>
      <c r="CE488" s="952"/>
      <c r="CF488" s="952"/>
      <c r="CG488" s="952"/>
      <c r="CH488" s="952"/>
      <c r="CI488" s="952"/>
      <c r="CJ488" s="952"/>
      <c r="CK488" s="952"/>
      <c r="CL488" s="952"/>
      <c r="CM488" s="952"/>
      <c r="CN488" s="952"/>
      <c r="CO488" s="952"/>
      <c r="CP488" s="952"/>
      <c r="CQ488" s="952"/>
      <c r="CR488" s="952"/>
      <c r="CS488" s="952"/>
      <c r="CT488" s="952"/>
      <c r="CU488" s="952"/>
      <c r="CV488" s="952"/>
      <c r="CW488" s="952"/>
      <c r="CX488" s="952"/>
      <c r="CY488" s="952"/>
      <c r="CZ488" s="952"/>
      <c r="DA488" s="952"/>
      <c r="DB488"/>
      <c r="DC488"/>
      <c r="DD488" s="2323" t="s">
        <v>1633</v>
      </c>
      <c r="DE488" s="850">
        <f>M488</f>
        <v>0</v>
      </c>
      <c r="DF488" s="850">
        <f>R488</f>
        <v>17</v>
      </c>
      <c r="DG488" s="850">
        <f>W488</f>
        <v>26</v>
      </c>
      <c r="DH488" s="850">
        <f>AB488</f>
        <v>22</v>
      </c>
      <c r="DI488" s="850">
        <f>AG488</f>
        <v>21</v>
      </c>
      <c r="DJ488" s="850">
        <f>AL488</f>
        <v>20</v>
      </c>
      <c r="DK488" s="850">
        <f>AQ488</f>
        <v>19</v>
      </c>
      <c r="DL488" s="850">
        <f>AV488</f>
        <v>19</v>
      </c>
      <c r="DM488" s="850">
        <f>BA488</f>
        <v>20</v>
      </c>
      <c r="DN488" s="850">
        <f>BF488</f>
        <v>20</v>
      </c>
      <c r="DO488" s="850">
        <f>BK488</f>
        <v>20</v>
      </c>
      <c r="DP488" s="850">
        <f>BP488</f>
        <v>20</v>
      </c>
      <c r="DQ488" s="850">
        <f>BU488</f>
        <v>0</v>
      </c>
      <c r="DR488" s="850">
        <f>BZ488</f>
        <v>0</v>
      </c>
      <c r="DS488" s="850">
        <f>CE488</f>
        <v>0</v>
      </c>
      <c r="DT488" s="850">
        <f>CJ488</f>
        <v>0</v>
      </c>
      <c r="DU488" s="850">
        <f>CO488</f>
        <v>0</v>
      </c>
      <c r="DV488" s="850">
        <f>CT488</f>
        <v>0</v>
      </c>
      <c r="DW488" s="850">
        <f t="shared" si="955"/>
        <v>0</v>
      </c>
      <c r="DX488" s="850">
        <f t="shared" si="955"/>
        <v>0</v>
      </c>
      <c r="DY488" s="850">
        <f t="shared" si="955"/>
        <v>0</v>
      </c>
      <c r="EA488"/>
      <c r="EB488"/>
      <c r="EC488"/>
      <c r="ED488"/>
      <c r="EE488"/>
      <c r="EF488"/>
      <c r="EJ488"/>
      <c r="EK488"/>
      <c r="EL488"/>
      <c r="ER488" s="212"/>
    </row>
    <row r="489" spans="1:148" s="923" customFormat="1" hidden="1" outlineLevel="1" x14ac:dyDescent="0.2">
      <c r="A489" s="867" t="s">
        <v>1863</v>
      </c>
      <c r="B489" s="852"/>
      <c r="C489" s="852"/>
      <c r="D489" s="852"/>
      <c r="E489" s="852"/>
      <c r="F489" s="852"/>
      <c r="G489" s="852"/>
      <c r="H489" s="852"/>
      <c r="I489" s="852"/>
      <c r="J489" s="852"/>
      <c r="K489" s="852"/>
      <c r="L489" s="852"/>
      <c r="M489" s="852"/>
      <c r="N489" s="852"/>
      <c r="O489" s="852"/>
      <c r="P489" s="852"/>
      <c r="Q489" s="852"/>
      <c r="R489" s="852"/>
      <c r="S489" s="852"/>
      <c r="T489" s="852"/>
      <c r="U489" s="852"/>
      <c r="V489" s="852"/>
      <c r="W489" s="852"/>
      <c r="X489" s="852"/>
      <c r="Y489" s="852"/>
      <c r="Z489" s="852"/>
      <c r="AA489" s="852"/>
      <c r="AB489" s="852"/>
      <c r="AC489" s="852"/>
      <c r="AD489" s="852"/>
      <c r="AE489" s="852"/>
      <c r="AF489" s="852"/>
      <c r="AG489" s="852"/>
      <c r="AH489" s="852"/>
      <c r="AI489" s="852"/>
      <c r="AJ489" s="852"/>
      <c r="AK489" s="852"/>
      <c r="AL489" s="852"/>
      <c r="AM489" s="852"/>
      <c r="AN489" s="852"/>
      <c r="AO489" s="852"/>
      <c r="AP489" s="852"/>
      <c r="AQ489" s="852"/>
      <c r="AR489" s="852"/>
      <c r="AS489" s="852"/>
      <c r="AT489" s="852"/>
      <c r="AU489" s="852"/>
      <c r="AV489" s="852">
        <f t="shared" ref="AV489:BU489" si="957">+SUM(AV486:AV488)</f>
        <v>325</v>
      </c>
      <c r="AW489" s="852">
        <f t="shared" si="957"/>
        <v>8.5528455284552845</v>
      </c>
      <c r="AX489" s="852">
        <f t="shared" si="957"/>
        <v>74.552845528455279</v>
      </c>
      <c r="AY489" s="852">
        <f t="shared" si="957"/>
        <v>53.552845528455286</v>
      </c>
      <c r="AZ489" s="852">
        <f t="shared" si="957"/>
        <v>3.7073170731707319</v>
      </c>
      <c r="BA489" s="852">
        <f t="shared" si="957"/>
        <v>141</v>
      </c>
      <c r="BB489" s="852">
        <f t="shared" si="957"/>
        <v>1</v>
      </c>
      <c r="BC489" s="852">
        <f t="shared" si="957"/>
        <v>19.689430894308941</v>
      </c>
      <c r="BD489" s="852">
        <f t="shared" si="957"/>
        <v>13.689430894308943</v>
      </c>
      <c r="BE489" s="852">
        <f t="shared" si="957"/>
        <v>68.53170731707317</v>
      </c>
      <c r="BF489" s="852">
        <f t="shared" si="957"/>
        <v>107</v>
      </c>
      <c r="BG489" s="852">
        <f t="shared" si="957"/>
        <v>25</v>
      </c>
      <c r="BH489" s="852">
        <f t="shared" si="957"/>
        <v>34.830113821138212</v>
      </c>
      <c r="BI489" s="852">
        <f t="shared" si="957"/>
        <v>41.830113821138212</v>
      </c>
      <c r="BJ489" s="852">
        <f t="shared" si="957"/>
        <v>48.727658536585366</v>
      </c>
      <c r="BK489" s="852">
        <f t="shared" si="957"/>
        <v>154</v>
      </c>
      <c r="BL489" s="852">
        <f t="shared" si="957"/>
        <v>33</v>
      </c>
      <c r="BM489" s="852">
        <f t="shared" si="957"/>
        <v>68.975017235772356</v>
      </c>
      <c r="BN489" s="852">
        <f t="shared" si="957"/>
        <v>26.975017235772359</v>
      </c>
      <c r="BO489" s="852">
        <f t="shared" si="957"/>
        <v>36.989488292682928</v>
      </c>
      <c r="BP489" s="852">
        <f t="shared" si="957"/>
        <v>209.90734000000026</v>
      </c>
      <c r="BQ489" s="852">
        <f>+SUM(BQ486:BQ488)</f>
        <v>0</v>
      </c>
      <c r="BR489" s="852">
        <f>+SUM(BR486:BR488)</f>
        <v>0</v>
      </c>
      <c r="BS489" s="852">
        <f>+SUM(BS486:BS488)</f>
        <v>0</v>
      </c>
      <c r="BT489" s="852">
        <f>+SUM(BT486:BT488)</f>
        <v>0</v>
      </c>
      <c r="BU489" s="852">
        <f t="shared" si="957"/>
        <v>0</v>
      </c>
      <c r="BV489" s="852"/>
      <c r="BW489" s="852"/>
      <c r="BX489" s="852"/>
      <c r="BY489" s="852"/>
      <c r="BZ489" s="852"/>
      <c r="CA489" s="852"/>
      <c r="CB489" s="852"/>
      <c r="CC489" s="852"/>
      <c r="CD489" s="852"/>
      <c r="CE489" s="852"/>
      <c r="CF489" s="852"/>
      <c r="CG489" s="852"/>
      <c r="CH489" s="852"/>
      <c r="CI489" s="852"/>
      <c r="CJ489" s="852"/>
      <c r="CK489" s="852"/>
      <c r="CL489" s="852"/>
      <c r="CM489" s="852"/>
      <c r="CN489" s="852"/>
      <c r="CO489" s="852"/>
      <c r="CP489" s="852"/>
      <c r="CQ489" s="852"/>
      <c r="CR489" s="852"/>
      <c r="CS489" s="852"/>
      <c r="CT489" s="852"/>
      <c r="CU489" s="852"/>
      <c r="CV489" s="852"/>
      <c r="CW489" s="852"/>
      <c r="CX489" s="852"/>
      <c r="CY489" s="852"/>
      <c r="CZ489" s="852"/>
      <c r="DA489" s="852"/>
      <c r="DB489"/>
      <c r="DC489"/>
      <c r="DD489" s="867" t="s">
        <v>1863</v>
      </c>
      <c r="DE489" s="852">
        <f>M489</f>
        <v>0</v>
      </c>
      <c r="DF489" s="852">
        <f>R489</f>
        <v>0</v>
      </c>
      <c r="DG489" s="852">
        <f>W489</f>
        <v>0</v>
      </c>
      <c r="DH489" s="852">
        <f>AB489</f>
        <v>0</v>
      </c>
      <c r="DI489" s="852">
        <f>AG489</f>
        <v>0</v>
      </c>
      <c r="DJ489" s="852">
        <f>AL489</f>
        <v>0</v>
      </c>
      <c r="DK489" s="852">
        <f>AQ489</f>
        <v>0</v>
      </c>
      <c r="DL489" s="852">
        <f>AV489</f>
        <v>325</v>
      </c>
      <c r="DM489" s="852">
        <f>BA489</f>
        <v>141</v>
      </c>
      <c r="DN489" s="852">
        <f>BF489</f>
        <v>107</v>
      </c>
      <c r="DO489" s="852">
        <f>BK489</f>
        <v>154</v>
      </c>
      <c r="DP489" s="852">
        <f>BP489</f>
        <v>209.90734000000026</v>
      </c>
      <c r="DQ489" s="852">
        <f>BU489</f>
        <v>0</v>
      </c>
      <c r="DR489" s="852">
        <f>BZ489</f>
        <v>0</v>
      </c>
      <c r="DS489" s="852">
        <f>CE489</f>
        <v>0</v>
      </c>
      <c r="DT489" s="852">
        <f>CJ489</f>
        <v>0</v>
      </c>
      <c r="DU489" s="852">
        <f>CO489</f>
        <v>0</v>
      </c>
      <c r="DV489" s="852">
        <f>CT489</f>
        <v>0</v>
      </c>
      <c r="DW489" s="852">
        <f t="shared" si="955"/>
        <v>0</v>
      </c>
      <c r="DX489" s="852">
        <f t="shared" si="955"/>
        <v>0</v>
      </c>
      <c r="DY489" s="852">
        <f t="shared" si="955"/>
        <v>0</v>
      </c>
      <c r="EA489"/>
      <c r="EB489"/>
      <c r="EC489"/>
      <c r="ED489"/>
      <c r="EE489"/>
      <c r="EF489"/>
      <c r="EJ489"/>
      <c r="EK489"/>
      <c r="EL489"/>
      <c r="ER489" s="212"/>
    </row>
    <row r="490" spans="1:148" s="923" customFormat="1" ht="12.75" hidden="1" customHeight="1" outlineLevel="1" x14ac:dyDescent="0.2">
      <c r="A490" s="865"/>
      <c r="B490" s="847"/>
      <c r="C490" s="847"/>
      <c r="D490" s="847"/>
      <c r="E490" s="847"/>
      <c r="F490" s="847"/>
      <c r="G490" s="847"/>
      <c r="H490" s="847"/>
      <c r="I490" s="847"/>
      <c r="J490" s="847"/>
      <c r="K490" s="847"/>
      <c r="L490" s="847"/>
      <c r="M490" s="847"/>
      <c r="N490" s="847"/>
      <c r="O490" s="847"/>
      <c r="P490" s="847"/>
      <c r="Q490" s="847"/>
      <c r="R490" s="847"/>
      <c r="S490" s="847"/>
      <c r="T490" s="847"/>
      <c r="U490" s="847"/>
      <c r="V490" s="847"/>
      <c r="W490" s="847"/>
      <c r="X490" s="847"/>
      <c r="Y490" s="847"/>
      <c r="Z490" s="847"/>
      <c r="AA490" s="847"/>
      <c r="AB490" s="847"/>
      <c r="AC490" s="847"/>
      <c r="AD490" s="847"/>
      <c r="AE490" s="847"/>
      <c r="AF490" s="847"/>
      <c r="AG490" s="847"/>
      <c r="AH490" s="847"/>
      <c r="AI490" s="847"/>
      <c r="AJ490" s="847"/>
      <c r="AK490" s="847"/>
      <c r="AL490" s="847"/>
      <c r="AM490" s="847"/>
      <c r="AN490" s="847"/>
      <c r="AO490" s="847"/>
      <c r="AP490" s="847"/>
      <c r="AQ490" s="847"/>
      <c r="AR490" s="847"/>
      <c r="AS490" s="847"/>
      <c r="AT490" s="847"/>
      <c r="AU490" s="847"/>
      <c r="AV490" s="847"/>
      <c r="AW490" s="847"/>
      <c r="AX490" s="847"/>
      <c r="AY490" s="847"/>
      <c r="AZ490" s="847"/>
      <c r="BA490" s="847"/>
      <c r="BB490" s="847"/>
      <c r="BC490" s="847"/>
      <c r="BD490" s="847"/>
      <c r="BE490" s="847"/>
      <c r="BF490" s="847"/>
      <c r="BG490" s="847"/>
      <c r="BH490" s="847"/>
      <c r="BI490" s="847"/>
      <c r="BJ490" s="847"/>
      <c r="BK490" s="847"/>
      <c r="BL490" s="847"/>
      <c r="BM490" s="847"/>
      <c r="BN490" s="847"/>
      <c r="BO490" s="847"/>
      <c r="BP490" s="847"/>
      <c r="BQ490" s="847"/>
      <c r="BR490" s="847"/>
      <c r="BS490" s="847"/>
      <c r="BT490" s="847"/>
      <c r="BU490" s="847"/>
      <c r="BV490" s="847"/>
      <c r="BW490" s="847"/>
      <c r="BX490" s="847"/>
      <c r="BY490" s="847"/>
      <c r="BZ490" s="847"/>
      <c r="CA490" s="847"/>
      <c r="CB490" s="847"/>
      <c r="CC490" s="847"/>
      <c r="CD490" s="847"/>
      <c r="CE490" s="847"/>
      <c r="CF490" s="847"/>
      <c r="CG490" s="847"/>
      <c r="CH490" s="847"/>
      <c r="CI490" s="847"/>
      <c r="CJ490" s="847"/>
      <c r="CK490" s="847"/>
      <c r="CL490" s="847"/>
      <c r="CM490" s="847"/>
      <c r="CN490" s="847"/>
      <c r="CO490" s="847"/>
      <c r="CP490" s="847"/>
      <c r="CQ490" s="847"/>
      <c r="CR490" s="847"/>
      <c r="CS490" s="847"/>
      <c r="CT490" s="847"/>
      <c r="CU490" s="847"/>
      <c r="CV490" s="847"/>
      <c r="CW490" s="847"/>
      <c r="CX490" s="847"/>
      <c r="CY490" s="847"/>
      <c r="CZ490" s="847"/>
      <c r="DA490" s="847"/>
      <c r="DB490"/>
      <c r="DC490"/>
      <c r="DD490" s="2323"/>
      <c r="DE490" s="2349"/>
      <c r="DF490" s="2349"/>
      <c r="DG490" s="2349"/>
      <c r="DH490" s="2349"/>
      <c r="DI490" s="2349"/>
      <c r="DJ490" s="2349"/>
      <c r="DK490" s="2349"/>
      <c r="DL490" s="2349"/>
      <c r="DM490" s="2349"/>
      <c r="DN490" s="2349"/>
      <c r="DO490" s="2349"/>
      <c r="DP490" s="2349"/>
      <c r="DQ490" s="2349"/>
      <c r="DR490" s="2349"/>
      <c r="DS490" s="2349"/>
      <c r="DT490" s="2349"/>
      <c r="DU490" s="2349"/>
      <c r="DV490" s="2349"/>
      <c r="DW490" s="2349"/>
      <c r="DX490" s="2349"/>
      <c r="DY490" s="2349"/>
      <c r="EA490"/>
      <c r="EB490"/>
      <c r="EC490"/>
      <c r="ED490"/>
      <c r="EE490"/>
      <c r="EF490"/>
      <c r="EJ490"/>
      <c r="EK490"/>
      <c r="EL490"/>
      <c r="ER490" s="212"/>
    </row>
    <row r="491" spans="1:148" s="923" customFormat="1" ht="12.75" hidden="1" customHeight="1" outlineLevel="1" x14ac:dyDescent="0.2">
      <c r="A491" s="866" t="s">
        <v>1634</v>
      </c>
      <c r="B491" s="847"/>
      <c r="C491" s="847"/>
      <c r="D491" s="847"/>
      <c r="E491" s="847"/>
      <c r="F491" s="847"/>
      <c r="G491" s="847"/>
      <c r="H491" s="847"/>
      <c r="I491" s="847"/>
      <c r="J491" s="847"/>
      <c r="K491" s="847"/>
      <c r="L491" s="847"/>
      <c r="M491" s="847"/>
      <c r="N491" s="847"/>
      <c r="O491" s="847"/>
      <c r="P491" s="847"/>
      <c r="Q491" s="847"/>
      <c r="R491" s="847"/>
      <c r="S491" s="847"/>
      <c r="T491" s="847"/>
      <c r="U491" s="847"/>
      <c r="V491" s="847"/>
      <c r="W491" s="847"/>
      <c r="X491" s="847"/>
      <c r="Y491" s="847"/>
      <c r="Z491" s="847"/>
      <c r="AA491" s="847"/>
      <c r="AB491" s="847"/>
      <c r="AC491" s="847"/>
      <c r="AD491" s="847"/>
      <c r="AE491" s="847"/>
      <c r="AF491" s="847"/>
      <c r="AG491" s="847"/>
      <c r="AH491" s="847"/>
      <c r="AI491" s="847"/>
      <c r="AJ491" s="847"/>
      <c r="AK491" s="847"/>
      <c r="AL491" s="847"/>
      <c r="AM491" s="847"/>
      <c r="AN491" s="847"/>
      <c r="AO491" s="847"/>
      <c r="AP491" s="847"/>
      <c r="AQ491" s="847"/>
      <c r="AR491" s="847"/>
      <c r="AS491" s="847"/>
      <c r="AT491" s="847"/>
      <c r="AU491" s="847"/>
      <c r="AV491" s="847"/>
      <c r="AW491" s="847"/>
      <c r="AX491" s="847"/>
      <c r="AY491" s="847"/>
      <c r="AZ491" s="847"/>
      <c r="BA491" s="847"/>
      <c r="BB491" s="847"/>
      <c r="BC491" s="847"/>
      <c r="BD491" s="847"/>
      <c r="BE491" s="847"/>
      <c r="BF491" s="847"/>
      <c r="BG491" s="847"/>
      <c r="BH491" s="847"/>
      <c r="BI491" s="847"/>
      <c r="BJ491" s="847"/>
      <c r="BK491" s="847"/>
      <c r="BL491" s="847"/>
      <c r="BM491" s="847"/>
      <c r="BN491" s="847"/>
      <c r="BO491" s="847"/>
      <c r="BP491" s="847"/>
      <c r="BQ491" s="847"/>
      <c r="BR491" s="847"/>
      <c r="BS491" s="847"/>
      <c r="BT491" s="847"/>
      <c r="BU491" s="847"/>
      <c r="BV491" s="847"/>
      <c r="BW491" s="847"/>
      <c r="BX491" s="847"/>
      <c r="BY491" s="847"/>
      <c r="BZ491" s="847"/>
      <c r="CA491" s="847"/>
      <c r="CB491" s="847"/>
      <c r="CC491" s="847"/>
      <c r="CD491" s="847"/>
      <c r="CE491" s="847"/>
      <c r="CF491" s="847"/>
      <c r="CG491" s="847"/>
      <c r="CH491" s="847"/>
      <c r="CI491" s="847"/>
      <c r="CJ491" s="847"/>
      <c r="CK491" s="847"/>
      <c r="CL491" s="847"/>
      <c r="CM491" s="847"/>
      <c r="CN491" s="847"/>
      <c r="CO491" s="847"/>
      <c r="CP491" s="847"/>
      <c r="CQ491" s="847"/>
      <c r="CR491" s="847"/>
      <c r="CS491" s="847"/>
      <c r="CT491" s="847"/>
      <c r="CU491" s="847"/>
      <c r="CV491" s="847"/>
      <c r="CW491" s="847"/>
      <c r="CX491" s="847"/>
      <c r="CY491" s="847"/>
      <c r="CZ491" s="847"/>
      <c r="DA491" s="847"/>
      <c r="DB491"/>
      <c r="DC491"/>
      <c r="DD491" s="866" t="s">
        <v>1634</v>
      </c>
      <c r="DE491" s="2349"/>
      <c r="DF491" s="2349"/>
      <c r="DG491" s="2349"/>
      <c r="DH491" s="2349"/>
      <c r="DI491" s="2349"/>
      <c r="DJ491" s="2349"/>
      <c r="DK491" s="2349"/>
      <c r="DL491" s="2349"/>
      <c r="DM491" s="2349"/>
      <c r="DN491" s="2349"/>
      <c r="DO491" s="2349"/>
      <c r="DP491" s="2349"/>
      <c r="DQ491" s="2349"/>
      <c r="DR491" s="2349"/>
      <c r="DS491" s="2349"/>
      <c r="DT491" s="2349"/>
      <c r="DU491" s="2349"/>
      <c r="DV491" s="2349"/>
      <c r="DW491" s="2349"/>
      <c r="DX491" s="2349"/>
      <c r="DY491" s="2349"/>
      <c r="EA491"/>
      <c r="EB491"/>
      <c r="EC491"/>
      <c r="ED491"/>
      <c r="EE491"/>
      <c r="EF491"/>
      <c r="EJ491"/>
      <c r="EK491"/>
      <c r="EL491"/>
      <c r="ER491" s="212"/>
    </row>
    <row r="492" spans="1:148" s="923" customFormat="1" ht="12.75" hidden="1" customHeight="1" outlineLevel="1" x14ac:dyDescent="0.2">
      <c r="A492" s="865" t="s">
        <v>2028</v>
      </c>
      <c r="B492" s="847"/>
      <c r="C492" s="847"/>
      <c r="D492" s="847"/>
      <c r="E492" s="847"/>
      <c r="F492" s="847"/>
      <c r="G492" s="847"/>
      <c r="H492" s="847"/>
      <c r="I492" s="847">
        <f>H496</f>
        <v>587</v>
      </c>
      <c r="J492" s="847">
        <f>I496</f>
        <v>611.60400000000004</v>
      </c>
      <c r="K492" s="847">
        <f>J496</f>
        <v>628.52800000000002</v>
      </c>
      <c r="L492" s="847">
        <f>K496</f>
        <v>644.30000000000007</v>
      </c>
      <c r="M492" s="847">
        <f>H496</f>
        <v>587</v>
      </c>
      <c r="N492" s="847">
        <f>M496</f>
        <v>913.99999999999989</v>
      </c>
      <c r="O492" s="847">
        <f>N496</f>
        <v>916.42799999999988</v>
      </c>
      <c r="P492" s="847">
        <f>O496</f>
        <v>916.2639999999999</v>
      </c>
      <c r="Q492" s="847">
        <f>P496</f>
        <v>899.97199999999987</v>
      </c>
      <c r="R492" s="847">
        <f>M496</f>
        <v>913.99999999999989</v>
      </c>
      <c r="S492" s="847">
        <f>R496</f>
        <v>1167</v>
      </c>
      <c r="T492" s="847">
        <f>S496</f>
        <v>1137.757476403378</v>
      </c>
      <c r="U492" s="847">
        <f>T496</f>
        <v>1092.4797345322961</v>
      </c>
      <c r="V492" s="847">
        <f>U496</f>
        <v>1047.5485162578361</v>
      </c>
      <c r="W492" s="847">
        <f>R496</f>
        <v>1167</v>
      </c>
      <c r="X492" s="847">
        <f>W496</f>
        <v>1174.0000000000002</v>
      </c>
      <c r="Y492" s="847">
        <f>X496</f>
        <v>1120.6528000000003</v>
      </c>
      <c r="Z492" s="847">
        <f>Y496</f>
        <v>1101.3536000000004</v>
      </c>
      <c r="AA492" s="847">
        <f>Z496</f>
        <v>1041.3712000000003</v>
      </c>
      <c r="AB492" s="847">
        <f>W496</f>
        <v>1174.0000000000002</v>
      </c>
      <c r="AC492" s="847">
        <f>AB496</f>
        <v>1190</v>
      </c>
      <c r="AD492" s="847">
        <f>AC496</f>
        <v>1127.9756</v>
      </c>
      <c r="AE492" s="847">
        <f>AD496</f>
        <v>1080.4192</v>
      </c>
      <c r="AF492" s="847">
        <f>AE496</f>
        <v>1026.6995999999999</v>
      </c>
      <c r="AG492" s="847">
        <f>AB496</f>
        <v>1190</v>
      </c>
      <c r="AH492" s="847">
        <f>AG496</f>
        <v>1090</v>
      </c>
      <c r="AI492" s="847">
        <f>AH496</f>
        <v>1027.7292</v>
      </c>
      <c r="AJ492" s="847">
        <f>AI496</f>
        <v>969.72399999999993</v>
      </c>
      <c r="AK492" s="847">
        <f>AJ496</f>
        <v>889.68599999999992</v>
      </c>
      <c r="AL492" s="847"/>
      <c r="AM492" s="847">
        <f>AL496</f>
        <v>1116</v>
      </c>
      <c r="AN492" s="847">
        <f>AM496</f>
        <v>1069</v>
      </c>
      <c r="AO492" s="847">
        <f>AN496</f>
        <v>1080</v>
      </c>
      <c r="AP492" s="847">
        <f>AO496</f>
        <v>1152</v>
      </c>
      <c r="AQ492" s="847"/>
      <c r="AR492" s="847">
        <f>AQ496</f>
        <v>1166</v>
      </c>
      <c r="AS492" s="847">
        <f>AR496</f>
        <v>1138</v>
      </c>
      <c r="AT492" s="847">
        <f>AS496</f>
        <v>1249</v>
      </c>
      <c r="AU492" s="847">
        <f>AT496</f>
        <v>1462</v>
      </c>
      <c r="AV492" s="847"/>
      <c r="AW492" s="847">
        <f>AV496</f>
        <v>1536</v>
      </c>
      <c r="AX492" s="847">
        <f>AW496</f>
        <v>1695</v>
      </c>
      <c r="AY492" s="847">
        <f>AX496</f>
        <v>1799</v>
      </c>
      <c r="AZ492" s="847">
        <f>AY496</f>
        <v>1869</v>
      </c>
      <c r="BA492" s="847">
        <f>AV496</f>
        <v>1536</v>
      </c>
      <c r="BB492" s="847">
        <f>BA496</f>
        <v>1959</v>
      </c>
      <c r="BC492" s="847">
        <f>BB496</f>
        <v>1973</v>
      </c>
      <c r="BD492" s="847">
        <f>BC496</f>
        <v>1980</v>
      </c>
      <c r="BE492" s="847">
        <f>BD496</f>
        <v>1447</v>
      </c>
      <c r="BF492" s="847"/>
      <c r="BG492" s="847">
        <f>BE496</f>
        <v>1426</v>
      </c>
      <c r="BH492" s="847">
        <f>BG496</f>
        <v>1485</v>
      </c>
      <c r="BI492" s="847">
        <f>BH496</f>
        <v>1450</v>
      </c>
      <c r="BJ492" s="847">
        <f>BI496</f>
        <v>1437</v>
      </c>
      <c r="BK492" s="847"/>
      <c r="BL492" s="847">
        <f>BJ496</f>
        <v>1472</v>
      </c>
      <c r="BM492" s="847">
        <f>BL496</f>
        <v>1442</v>
      </c>
      <c r="BN492" s="847">
        <f>BM496</f>
        <v>1346</v>
      </c>
      <c r="BO492" s="847">
        <f>BN496</f>
        <v>1011</v>
      </c>
      <c r="BP492" s="847">
        <f>BK496</f>
        <v>1472</v>
      </c>
      <c r="BQ492" s="847">
        <v>0</v>
      </c>
      <c r="BR492" s="847">
        <f>BQ496</f>
        <v>0</v>
      </c>
      <c r="BS492" s="847">
        <f>BR496</f>
        <v>0</v>
      </c>
      <c r="BT492" s="847">
        <f>BS496</f>
        <v>0</v>
      </c>
      <c r="BU492" s="847">
        <v>0</v>
      </c>
      <c r="BV492" s="847"/>
      <c r="BW492" s="847"/>
      <c r="BX492" s="847"/>
      <c r="BY492" s="847"/>
      <c r="BZ492" s="847"/>
      <c r="CA492" s="847"/>
      <c r="CB492" s="847"/>
      <c r="CC492" s="847"/>
      <c r="CD492" s="847"/>
      <c r="CE492" s="847"/>
      <c r="CF492" s="847"/>
      <c r="CG492" s="847"/>
      <c r="CH492" s="847"/>
      <c r="CI492" s="847"/>
      <c r="CJ492" s="847"/>
      <c r="CK492" s="847"/>
      <c r="CL492" s="847"/>
      <c r="CM492" s="847"/>
      <c r="CN492" s="847"/>
      <c r="CO492" s="847"/>
      <c r="CP492" s="847"/>
      <c r="CQ492" s="847"/>
      <c r="CR492" s="847"/>
      <c r="CS492" s="847"/>
      <c r="CT492" s="847"/>
      <c r="CU492" s="847"/>
      <c r="CV492" s="847"/>
      <c r="CW492" s="847"/>
      <c r="CX492" s="847"/>
      <c r="CY492" s="847"/>
      <c r="CZ492" s="847"/>
      <c r="DA492" s="847"/>
      <c r="DB492"/>
      <c r="DC492"/>
      <c r="DD492" s="2323" t="s">
        <v>2028</v>
      </c>
      <c r="DE492" s="2349">
        <f>M492</f>
        <v>587</v>
      </c>
      <c r="DF492" s="2349">
        <f>R492</f>
        <v>913.99999999999989</v>
      </c>
      <c r="DG492" s="2349">
        <f>W492</f>
        <v>1167</v>
      </c>
      <c r="DH492" s="2349">
        <f>AB492</f>
        <v>1174.0000000000002</v>
      </c>
      <c r="DI492" s="2349">
        <f>AG492</f>
        <v>1190</v>
      </c>
      <c r="DJ492" s="2349">
        <f>AL492</f>
        <v>0</v>
      </c>
      <c r="DK492" s="2349">
        <f>AQ492</f>
        <v>0</v>
      </c>
      <c r="DL492" s="2349">
        <f>AV492</f>
        <v>0</v>
      </c>
      <c r="DM492" s="2349">
        <f>BA492</f>
        <v>1536</v>
      </c>
      <c r="DN492" s="2349">
        <f>BF492</f>
        <v>0</v>
      </c>
      <c r="DO492" s="2349">
        <f>BK492</f>
        <v>0</v>
      </c>
      <c r="DP492" s="2349">
        <f>BP492</f>
        <v>1472</v>
      </c>
      <c r="DQ492" s="2349">
        <f>BU492</f>
        <v>0</v>
      </c>
      <c r="DR492" s="2349">
        <f>BZ492</f>
        <v>0</v>
      </c>
      <c r="DS492" s="2349">
        <f>CE492</f>
        <v>0</v>
      </c>
      <c r="DT492" s="2349">
        <f>CJ492</f>
        <v>0</v>
      </c>
      <c r="DU492" s="2349">
        <f>CO492</f>
        <v>0</v>
      </c>
      <c r="DV492" s="2349">
        <f>CT492</f>
        <v>0</v>
      </c>
      <c r="DW492" s="2349">
        <f t="shared" ref="DW492:DY496" si="958">CY492</f>
        <v>0</v>
      </c>
      <c r="DX492" s="2349">
        <f t="shared" si="958"/>
        <v>0</v>
      </c>
      <c r="DY492" s="2349">
        <f t="shared" si="958"/>
        <v>0</v>
      </c>
      <c r="EA492"/>
      <c r="EB492"/>
      <c r="EC492"/>
      <c r="ED492"/>
      <c r="EE492"/>
      <c r="EF492"/>
      <c r="EJ492"/>
      <c r="EK492"/>
      <c r="EL492"/>
      <c r="ER492" s="212"/>
    </row>
    <row r="493" spans="1:148" s="923" customFormat="1" ht="12.75" hidden="1" customHeight="1" outlineLevel="1" x14ac:dyDescent="0.2">
      <c r="A493" s="865" t="s">
        <v>2029</v>
      </c>
      <c r="B493" s="845"/>
      <c r="C493" s="845"/>
      <c r="D493" s="845"/>
      <c r="E493" s="845"/>
      <c r="F493" s="845"/>
      <c r="G493" s="845"/>
      <c r="H493" s="845"/>
      <c r="I493" s="845">
        <v>87.5</v>
      </c>
      <c r="J493" s="845">
        <v>87.5</v>
      </c>
      <c r="K493" s="845">
        <v>87.5</v>
      </c>
      <c r="L493" s="845">
        <v>87.5</v>
      </c>
      <c r="M493" s="889">
        <f>SUM(I493:L493)</f>
        <v>350</v>
      </c>
      <c r="N493" s="845">
        <v>87.5</v>
      </c>
      <c r="O493" s="845">
        <v>87.5</v>
      </c>
      <c r="P493" s="845">
        <v>87.5</v>
      </c>
      <c r="Q493" s="845">
        <v>87.5</v>
      </c>
      <c r="R493" s="889">
        <f>SUM(N493:Q493)</f>
        <v>350</v>
      </c>
      <c r="S493" s="845">
        <v>50</v>
      </c>
      <c r="T493" s="845">
        <v>50</v>
      </c>
      <c r="U493" s="845">
        <v>50</v>
      </c>
      <c r="V493" s="845">
        <v>50</v>
      </c>
      <c r="W493" s="889">
        <f>SUM(S493:V493)</f>
        <v>200</v>
      </c>
      <c r="X493" s="845">
        <v>34</v>
      </c>
      <c r="Y493" s="845">
        <v>67</v>
      </c>
      <c r="Z493" s="845">
        <v>50</v>
      </c>
      <c r="AA493" s="845">
        <f>200-Z493-Y493-X493</f>
        <v>49</v>
      </c>
      <c r="AB493" s="889">
        <f>SUM(X493:AA493)</f>
        <v>200</v>
      </c>
      <c r="AC493" s="845">
        <f>+(75+150)/4</f>
        <v>56.25</v>
      </c>
      <c r="AD493" s="845">
        <f>+(75+150)/4</f>
        <v>56.25</v>
      </c>
      <c r="AE493" s="845">
        <f>+(75+150)/4</f>
        <v>56.25</v>
      </c>
      <c r="AF493" s="845">
        <f>+(75+150)/4</f>
        <v>56.25</v>
      </c>
      <c r="AG493" s="889">
        <f>SUM(AC493:AF493)</f>
        <v>225</v>
      </c>
      <c r="AH493" s="845">
        <f>255/4</f>
        <v>63.75</v>
      </c>
      <c r="AI493" s="845">
        <f>255/4</f>
        <v>63.75</v>
      </c>
      <c r="AJ493" s="845">
        <f>255/4</f>
        <v>63.75</v>
      </c>
      <c r="AK493" s="845">
        <f>255/4</f>
        <v>63.75</v>
      </c>
      <c r="AL493" s="889">
        <f>SUM(AH493:AK493)</f>
        <v>255</v>
      </c>
      <c r="AM493" s="845">
        <v>12.5</v>
      </c>
      <c r="AN493" s="845">
        <v>10</v>
      </c>
      <c r="AO493" s="845">
        <v>25</v>
      </c>
      <c r="AP493" s="845">
        <v>25</v>
      </c>
      <c r="AQ493" s="889">
        <f>SUM(AM493:AP493)</f>
        <v>72.5</v>
      </c>
      <c r="AR493" s="845">
        <f>100/4</f>
        <v>25</v>
      </c>
      <c r="AS493" s="845">
        <f>100/4</f>
        <v>25</v>
      </c>
      <c r="AT493" s="845">
        <f>100/4</f>
        <v>25</v>
      </c>
      <c r="AU493" s="845">
        <f>100/4</f>
        <v>25</v>
      </c>
      <c r="AV493" s="889">
        <f>SUM(AR493:AU493)</f>
        <v>100</v>
      </c>
      <c r="AW493" s="845">
        <v>50</v>
      </c>
      <c r="AX493" s="845">
        <v>50</v>
      </c>
      <c r="AY493" s="845">
        <v>75</v>
      </c>
      <c r="AZ493" s="845">
        <v>75</v>
      </c>
      <c r="BA493" s="889">
        <f>SUM(AW493:AZ493)</f>
        <v>250</v>
      </c>
      <c r="BB493" s="845">
        <v>100</v>
      </c>
      <c r="BC493" s="845">
        <v>90</v>
      </c>
      <c r="BD493" s="845">
        <v>90</v>
      </c>
      <c r="BE493" s="845">
        <v>100</v>
      </c>
      <c r="BF493" s="889">
        <f>SUM(BB493:BE493)</f>
        <v>380</v>
      </c>
      <c r="BG493" s="845">
        <v>75</v>
      </c>
      <c r="BH493" s="845">
        <v>75</v>
      </c>
      <c r="BI493" s="845">
        <v>75</v>
      </c>
      <c r="BJ493" s="845">
        <v>75</v>
      </c>
      <c r="BK493" s="889">
        <f>SUM(BG493:BJ493)</f>
        <v>300</v>
      </c>
      <c r="BL493" s="845">
        <v>0</v>
      </c>
      <c r="BM493" s="845">
        <v>0</v>
      </c>
      <c r="BN493" s="845">
        <v>0</v>
      </c>
      <c r="BO493" s="845">
        <v>0</v>
      </c>
      <c r="BP493" s="889">
        <f>SUM(BL493:BO493)</f>
        <v>0</v>
      </c>
      <c r="BQ493" s="845">
        <v>0</v>
      </c>
      <c r="BR493" s="845">
        <v>0</v>
      </c>
      <c r="BS493" s="845">
        <v>0</v>
      </c>
      <c r="BT493" s="845">
        <v>0</v>
      </c>
      <c r="BU493" s="889">
        <f>SUM(BQ493:BT493)</f>
        <v>0</v>
      </c>
      <c r="BV493" s="845"/>
      <c r="BW493" s="845"/>
      <c r="BX493" s="845"/>
      <c r="BY493" s="845"/>
      <c r="BZ493" s="889"/>
      <c r="CA493" s="889"/>
      <c r="CB493" s="889"/>
      <c r="CC493" s="889"/>
      <c r="CD493" s="889"/>
      <c r="CE493" s="889"/>
      <c r="CF493" s="889"/>
      <c r="CG493" s="889"/>
      <c r="CH493" s="889"/>
      <c r="CI493" s="889"/>
      <c r="CJ493" s="889"/>
      <c r="CK493" s="889"/>
      <c r="CL493" s="889"/>
      <c r="CM493" s="889"/>
      <c r="CN493" s="889"/>
      <c r="CO493" s="889"/>
      <c r="CP493" s="889"/>
      <c r="CQ493" s="889"/>
      <c r="CR493" s="889"/>
      <c r="CS493" s="889"/>
      <c r="CT493" s="889"/>
      <c r="CU493" s="889"/>
      <c r="CV493" s="889"/>
      <c r="CW493" s="889"/>
      <c r="CX493" s="889"/>
      <c r="CY493" s="889"/>
      <c r="CZ493" s="889"/>
      <c r="DA493" s="889"/>
      <c r="DB493"/>
      <c r="DC493"/>
      <c r="DD493" s="2323" t="s">
        <v>2029</v>
      </c>
      <c r="DE493" s="2349">
        <f>M493</f>
        <v>350</v>
      </c>
      <c r="DF493" s="2349">
        <f>R493</f>
        <v>350</v>
      </c>
      <c r="DG493" s="2349">
        <f>W493</f>
        <v>200</v>
      </c>
      <c r="DH493" s="2349">
        <f>AB493</f>
        <v>200</v>
      </c>
      <c r="DI493" s="2349">
        <f>AG493</f>
        <v>225</v>
      </c>
      <c r="DJ493" s="2349">
        <f>AL493</f>
        <v>255</v>
      </c>
      <c r="DK493" s="2349">
        <f>AQ493</f>
        <v>72.5</v>
      </c>
      <c r="DL493" s="2349">
        <f>AV493</f>
        <v>100</v>
      </c>
      <c r="DM493" s="2349">
        <f>BA493</f>
        <v>250</v>
      </c>
      <c r="DN493" s="2349">
        <f>BF493</f>
        <v>380</v>
      </c>
      <c r="DO493" s="2349">
        <f>BK493</f>
        <v>300</v>
      </c>
      <c r="DP493" s="2349">
        <f>BP493</f>
        <v>0</v>
      </c>
      <c r="DQ493" s="2349">
        <f>BU493</f>
        <v>0</v>
      </c>
      <c r="DR493" s="2349">
        <f>BZ493</f>
        <v>0</v>
      </c>
      <c r="DS493" s="2349">
        <f>CE493</f>
        <v>0</v>
      </c>
      <c r="DT493" s="2349">
        <f>CJ493</f>
        <v>0</v>
      </c>
      <c r="DU493" s="2349">
        <f>CO493</f>
        <v>0</v>
      </c>
      <c r="DV493" s="2349">
        <f>CT493</f>
        <v>0</v>
      </c>
      <c r="DW493" s="2349">
        <f t="shared" si="958"/>
        <v>0</v>
      </c>
      <c r="DX493" s="2349">
        <f t="shared" si="958"/>
        <v>0</v>
      </c>
      <c r="DY493" s="2349">
        <f t="shared" si="958"/>
        <v>0</v>
      </c>
      <c r="EA493"/>
      <c r="EB493"/>
      <c r="EC493"/>
      <c r="ED493"/>
      <c r="EE493"/>
      <c r="EF493"/>
      <c r="EJ493"/>
      <c r="EK493"/>
      <c r="EL493"/>
      <c r="ER493" s="212"/>
    </row>
    <row r="494" spans="1:148" s="923" customFormat="1" ht="12.75" hidden="1" customHeight="1" outlineLevel="1" x14ac:dyDescent="0.2">
      <c r="A494" s="865" t="s">
        <v>2030</v>
      </c>
      <c r="B494" s="946"/>
      <c r="C494" s="946"/>
      <c r="D494" s="946"/>
      <c r="E494" s="946"/>
      <c r="F494" s="946"/>
      <c r="G494" s="946"/>
      <c r="H494" s="946"/>
      <c r="I494" s="946">
        <f>+-I444</f>
        <v>-62.896000000000008</v>
      </c>
      <c r="J494" s="946">
        <f>+-J444</f>
        <v>-70.576000000000008</v>
      </c>
      <c r="K494" s="946">
        <f>+-K444</f>
        <v>-71.727999999999994</v>
      </c>
      <c r="L494" s="946">
        <f>+-L444</f>
        <v>-96.304000000000002</v>
      </c>
      <c r="M494" s="946">
        <f>SUM(I494:L494)</f>
        <v>-301.50400000000002</v>
      </c>
      <c r="N494" s="946">
        <f>+-N444</f>
        <v>-85.072000000000003</v>
      </c>
      <c r="O494" s="946">
        <f>+-O444</f>
        <v>-87.664000000000001</v>
      </c>
      <c r="P494" s="946">
        <f>+-P444</f>
        <v>-103.79200000000002</v>
      </c>
      <c r="Q494" s="946">
        <f>+-Q444</f>
        <v>-103.40800000000002</v>
      </c>
      <c r="R494" s="946">
        <f>SUM(N494:Q494)</f>
        <v>-379.93600000000004</v>
      </c>
      <c r="S494" s="946">
        <f>+-S444</f>
        <v>-79.242523596621965</v>
      </c>
      <c r="T494" s="946">
        <f>+-T444</f>
        <v>-95.277741871081886</v>
      </c>
      <c r="U494" s="946">
        <f>+-U444</f>
        <v>-94.931218274459923</v>
      </c>
      <c r="V494" s="946">
        <f>+-V444</f>
        <v>-118.3368</v>
      </c>
      <c r="W494" s="946">
        <f>SUM(S494:V494)</f>
        <v>-387.78828374216374</v>
      </c>
      <c r="X494" s="946">
        <f>+-X444</f>
        <v>-87.347200000000001</v>
      </c>
      <c r="Y494" s="946">
        <f>+-Y444</f>
        <v>-86.299199999999999</v>
      </c>
      <c r="Z494" s="946">
        <f>+-Z444</f>
        <v>-109.98240000000001</v>
      </c>
      <c r="AA494" s="946">
        <f>+-AA444</f>
        <v>-141.3768</v>
      </c>
      <c r="AB494" s="946">
        <f>SUM(X494:AA494)</f>
        <v>-425.00560000000002</v>
      </c>
      <c r="AC494" s="946">
        <f>+-AC444</f>
        <v>-118.2744</v>
      </c>
      <c r="AD494" s="946">
        <f>+-AD444</f>
        <v>-103.8064</v>
      </c>
      <c r="AE494" s="946">
        <f>+-AE444</f>
        <v>-109.96960000000001</v>
      </c>
      <c r="AF494" s="946">
        <f>+-AF444</f>
        <v>-128.00480000000002</v>
      </c>
      <c r="AG494" s="946">
        <f>SUM(AC494:AF494)</f>
        <v>-460.05520000000001</v>
      </c>
      <c r="AH494" s="946">
        <f>+-AH444</f>
        <v>-126.02080000000001</v>
      </c>
      <c r="AI494" s="946">
        <f>+-AI444</f>
        <v>-121.75520000000002</v>
      </c>
      <c r="AJ494" s="946">
        <f>+-AJ444</f>
        <v>-143.78799999999998</v>
      </c>
      <c r="AK494" s="946">
        <f>+-AK444</f>
        <v>-151.2808</v>
      </c>
      <c r="AL494" s="946">
        <f>SUM(AH494:AK494)</f>
        <v>-542.84479999999996</v>
      </c>
      <c r="AM494" s="946">
        <f>+-AM444</f>
        <v>-86</v>
      </c>
      <c r="AN494" s="946">
        <f>+-AN444</f>
        <v>-98.224000000000004</v>
      </c>
      <c r="AO494" s="946">
        <f>+-AO444</f>
        <v>-106.43648000000002</v>
      </c>
      <c r="AP494" s="946">
        <f>+-AP444</f>
        <v>-153.51065920000002</v>
      </c>
      <c r="AQ494" s="946">
        <f>SUM(AM494:AP494)</f>
        <v>-444.17113920000003</v>
      </c>
      <c r="AR494" s="946">
        <f>+-AR444</f>
        <v>-105.60000000000001</v>
      </c>
      <c r="AS494" s="946">
        <f>+-AS444</f>
        <v>-119.685</v>
      </c>
      <c r="AT494" s="946">
        <f>+-AT444</f>
        <v>-110.205</v>
      </c>
      <c r="AU494" s="946">
        <f>+-AU444</f>
        <v>-142.99</v>
      </c>
      <c r="AV494" s="946">
        <f>SUM(AR494:AU494)</f>
        <v>-478.48</v>
      </c>
      <c r="AW494" s="946">
        <f>+-AW444</f>
        <v>-82</v>
      </c>
      <c r="AX494" s="946">
        <f>+-AX444</f>
        <v>-100.80000000000001</v>
      </c>
      <c r="AY494" s="946">
        <f>+-AY444</f>
        <v>-106</v>
      </c>
      <c r="AZ494" s="946">
        <f>+-AZ444</f>
        <v>-99.2</v>
      </c>
      <c r="BA494" s="946">
        <f>SUM(AW494:AZ494)</f>
        <v>-388</v>
      </c>
      <c r="BB494" s="946">
        <f>-BB444</f>
        <v>-50</v>
      </c>
      <c r="BC494" s="946">
        <f>-BC444</f>
        <v>-72.8</v>
      </c>
      <c r="BD494" s="946">
        <f>-BD444</f>
        <v>-55.2</v>
      </c>
      <c r="BE494" s="946">
        <f>-BE444</f>
        <v>-74</v>
      </c>
      <c r="BF494" s="946">
        <f>SUM(BB494:BE494)</f>
        <v>-252</v>
      </c>
      <c r="BG494" s="946">
        <f>-BG444</f>
        <v>-73.5</v>
      </c>
      <c r="BH494" s="946">
        <f>-BH444</f>
        <v>-74</v>
      </c>
      <c r="BI494" s="946">
        <f>-BI444</f>
        <v>-67.5</v>
      </c>
      <c r="BJ494" s="946">
        <f>-BJ444</f>
        <v>-107.80000000000001</v>
      </c>
      <c r="BK494" s="946">
        <f>SUM(BG494:BJ494)</f>
        <v>-322.8</v>
      </c>
      <c r="BL494" s="946">
        <f>-BL444</f>
        <v>-71.5</v>
      </c>
      <c r="BM494" s="946">
        <f>-BM444</f>
        <v>-76.5</v>
      </c>
      <c r="BN494" s="946">
        <f>-BN444</f>
        <v>-73.5</v>
      </c>
      <c r="BO494" s="946">
        <f>-BO444</f>
        <v>-86.68</v>
      </c>
      <c r="BP494" s="946">
        <f>SUM(BL494:BO494)</f>
        <v>-308.18</v>
      </c>
      <c r="BQ494" s="946">
        <f>-BQ444</f>
        <v>0</v>
      </c>
      <c r="BR494" s="946">
        <f>-BR444</f>
        <v>0</v>
      </c>
      <c r="BS494" s="946">
        <f>-BS444</f>
        <v>0</v>
      </c>
      <c r="BT494" s="946">
        <f>-BT444</f>
        <v>0</v>
      </c>
      <c r="BU494" s="946">
        <f>SUM(BQ494:BT494)</f>
        <v>0</v>
      </c>
      <c r="BV494" s="946"/>
      <c r="BW494" s="946"/>
      <c r="BX494" s="946"/>
      <c r="BY494" s="946"/>
      <c r="BZ494" s="946"/>
      <c r="CA494" s="946"/>
      <c r="CB494" s="946"/>
      <c r="CC494" s="946"/>
      <c r="CD494" s="946"/>
      <c r="CE494" s="946"/>
      <c r="CF494" s="946"/>
      <c r="CG494" s="946"/>
      <c r="CH494" s="946"/>
      <c r="CI494" s="946"/>
      <c r="CJ494" s="946"/>
      <c r="CK494" s="946"/>
      <c r="CL494" s="946"/>
      <c r="CM494" s="946"/>
      <c r="CN494" s="946"/>
      <c r="CO494" s="946"/>
      <c r="CP494" s="946"/>
      <c r="CQ494" s="946"/>
      <c r="CR494" s="946"/>
      <c r="CS494" s="946"/>
      <c r="CT494" s="946"/>
      <c r="CU494" s="946"/>
      <c r="CV494" s="946"/>
      <c r="CW494" s="946"/>
      <c r="CX494" s="946"/>
      <c r="CY494" s="946"/>
      <c r="CZ494" s="946"/>
      <c r="DA494" s="946"/>
      <c r="DB494"/>
      <c r="DC494"/>
      <c r="DD494" s="2323" t="s">
        <v>2030</v>
      </c>
      <c r="DE494" s="2349">
        <f>M494</f>
        <v>-301.50400000000002</v>
      </c>
      <c r="DF494" s="2349">
        <f>R494</f>
        <v>-379.93600000000004</v>
      </c>
      <c r="DG494" s="2349">
        <f>W494</f>
        <v>-387.78828374216374</v>
      </c>
      <c r="DH494" s="2349">
        <f>AB494</f>
        <v>-425.00560000000002</v>
      </c>
      <c r="DI494" s="2349">
        <f>AG494</f>
        <v>-460.05520000000001</v>
      </c>
      <c r="DJ494" s="2349">
        <f>AL494</f>
        <v>-542.84479999999996</v>
      </c>
      <c r="DK494" s="2349">
        <f>AQ494</f>
        <v>-444.17113920000003</v>
      </c>
      <c r="DL494" s="2349">
        <f>AV494</f>
        <v>-478.48</v>
      </c>
      <c r="DM494" s="2349">
        <f>BA494</f>
        <v>-388</v>
      </c>
      <c r="DN494" s="2349">
        <f>BF494</f>
        <v>-252</v>
      </c>
      <c r="DO494" s="2349">
        <f>BK494</f>
        <v>-322.8</v>
      </c>
      <c r="DP494" s="2349">
        <f>BP494</f>
        <v>-308.18</v>
      </c>
      <c r="DQ494" s="2349">
        <f>BU494</f>
        <v>0</v>
      </c>
      <c r="DR494" s="2349">
        <f>BZ494</f>
        <v>0</v>
      </c>
      <c r="DS494" s="2349">
        <f>CE494</f>
        <v>0</v>
      </c>
      <c r="DT494" s="2349">
        <f>CJ494</f>
        <v>0</v>
      </c>
      <c r="DU494" s="2349">
        <f>CO494</f>
        <v>0</v>
      </c>
      <c r="DV494" s="2349">
        <f>CT494</f>
        <v>0</v>
      </c>
      <c r="DW494" s="2349">
        <f t="shared" si="958"/>
        <v>0</v>
      </c>
      <c r="DX494" s="2349">
        <f t="shared" si="958"/>
        <v>0</v>
      </c>
      <c r="DY494" s="2349">
        <f t="shared" si="958"/>
        <v>0</v>
      </c>
      <c r="EA494"/>
      <c r="EB494"/>
      <c r="EC494"/>
      <c r="ED494"/>
      <c r="EE494"/>
      <c r="EF494"/>
      <c r="EJ494"/>
      <c r="EK494"/>
      <c r="EL494"/>
      <c r="ER494" s="212"/>
    </row>
    <row r="495" spans="1:148" s="923" customFormat="1" ht="12.75" hidden="1" customHeight="1" outlineLevel="1" x14ac:dyDescent="0.2">
      <c r="A495" s="865" t="s">
        <v>2031</v>
      </c>
      <c r="B495" s="952"/>
      <c r="C495" s="952"/>
      <c r="D495" s="952"/>
      <c r="E495" s="952"/>
      <c r="F495" s="952"/>
      <c r="G495" s="952"/>
      <c r="H495" s="952"/>
      <c r="I495" s="952">
        <v>0</v>
      </c>
      <c r="J495" s="952">
        <v>0</v>
      </c>
      <c r="K495" s="952">
        <v>0</v>
      </c>
      <c r="L495" s="952">
        <f>L496-SUM(L492:L494)</f>
        <v>278.50399999999991</v>
      </c>
      <c r="M495" s="952">
        <f>SUM(I495:L495)</f>
        <v>278.50399999999991</v>
      </c>
      <c r="N495" s="952">
        <v>0</v>
      </c>
      <c r="O495" s="952">
        <v>0</v>
      </c>
      <c r="P495" s="952">
        <v>0</v>
      </c>
      <c r="Q495" s="952">
        <f>Q496-SUM(Q492:Q494)</f>
        <v>282.93600000000015</v>
      </c>
      <c r="R495" s="952">
        <f>SUM(N495:Q495)</f>
        <v>282.93600000000015</v>
      </c>
      <c r="S495" s="952">
        <v>0</v>
      </c>
      <c r="T495" s="952">
        <v>0</v>
      </c>
      <c r="U495" s="952">
        <v>0</v>
      </c>
      <c r="V495" s="952">
        <f>V496-SUM(V492:V494)</f>
        <v>194.78828374216391</v>
      </c>
      <c r="W495" s="952">
        <f>SUM(S495:V495)</f>
        <v>194.78828374216391</v>
      </c>
      <c r="X495" s="952">
        <v>0</v>
      </c>
      <c r="Y495" s="952">
        <v>0</v>
      </c>
      <c r="Z495" s="952">
        <v>0</v>
      </c>
      <c r="AA495" s="952">
        <f>AA496-SUM(AA492:AA494)</f>
        <v>241.00559999999973</v>
      </c>
      <c r="AB495" s="952">
        <f>SUM(X495:AA495)</f>
        <v>241.00559999999973</v>
      </c>
      <c r="AC495" s="952">
        <v>0</v>
      </c>
      <c r="AD495" s="952">
        <v>0</v>
      </c>
      <c r="AE495" s="952">
        <v>0</v>
      </c>
      <c r="AF495" s="952">
        <f>AF496-SUM(AF492:AF494)</f>
        <v>135.05520000000013</v>
      </c>
      <c r="AG495" s="952">
        <f>SUM(AC495:AF495)</f>
        <v>135.05520000000013</v>
      </c>
      <c r="AH495" s="952">
        <v>0</v>
      </c>
      <c r="AI495" s="952">
        <v>0</v>
      </c>
      <c r="AJ495" s="952">
        <v>0</v>
      </c>
      <c r="AK495" s="952">
        <f>AK496-SUM(AK492:AK494)</f>
        <v>313.84480000000008</v>
      </c>
      <c r="AL495" s="952">
        <f>SUM(AH495:AK495)</f>
        <v>313.84480000000008</v>
      </c>
      <c r="AM495" s="952">
        <f>AM496-SUM(AM492:AM494)</f>
        <v>26.5</v>
      </c>
      <c r="AN495" s="952">
        <f>AN496-SUM(AN492:AN494)</f>
        <v>99.224000000000046</v>
      </c>
      <c r="AO495" s="952">
        <f>AO496-SUM(AO492:AO494)</f>
        <v>153.43648000000007</v>
      </c>
      <c r="AP495" s="952">
        <f>AP496-SUM(AP492:AP494)</f>
        <v>142.51065919999996</v>
      </c>
      <c r="AQ495" s="952">
        <f>SUM(AM495:AP495)</f>
        <v>421.67113920000008</v>
      </c>
      <c r="AR495" s="952">
        <f>AR496-SUM(AR492:AR494)</f>
        <v>52.599999999999909</v>
      </c>
      <c r="AS495" s="952">
        <f>AS496-SUM(AS492:AS494)</f>
        <v>205.68499999999995</v>
      </c>
      <c r="AT495" s="952">
        <f>AT496-SUM(AT492:AT494)</f>
        <v>298.20499999999993</v>
      </c>
      <c r="AU495" s="952">
        <f>AU496-SUM(AU492:AU494)</f>
        <v>191.99</v>
      </c>
      <c r="AV495" s="952">
        <f>SUM(AR495:AU495)</f>
        <v>748.47999999999979</v>
      </c>
      <c r="AW495" s="952">
        <f>AW496-SUM(AW492:AW494)</f>
        <v>191</v>
      </c>
      <c r="AX495" s="952">
        <f>AX496-SUM(AX492:AX494)</f>
        <v>154.79999999999995</v>
      </c>
      <c r="AY495" s="952">
        <f>AY496-SUM(AY492:AY494)</f>
        <v>101</v>
      </c>
      <c r="AZ495" s="952">
        <f>AZ496-SUM(AZ492:AZ494)</f>
        <v>114.20000000000005</v>
      </c>
      <c r="BA495" s="952">
        <f>SUM(AW495:AZ495)</f>
        <v>561</v>
      </c>
      <c r="BB495" s="952">
        <f>BB496-SUM(BB492:BB494)</f>
        <v>-36</v>
      </c>
      <c r="BC495" s="952">
        <f>BC496-SUM(BC492:BC494)</f>
        <v>-10.200000000000045</v>
      </c>
      <c r="BD495" s="952">
        <f>BD496-SUM(BD492:BD494)</f>
        <v>-567.79999999999995</v>
      </c>
      <c r="BE495" s="952">
        <f>BE496-SUM(BE492:BE494)</f>
        <v>-47</v>
      </c>
      <c r="BF495" s="952">
        <f>SUM(BB495:BE495)</f>
        <v>-661</v>
      </c>
      <c r="BG495" s="952">
        <f>BG496-SUM(BG492:BG494)</f>
        <v>57.5</v>
      </c>
      <c r="BH495" s="952">
        <f>BH496-SUM(BH492:BH494)</f>
        <v>-36</v>
      </c>
      <c r="BI495" s="952">
        <f>BI496-SUM(BI492:BI494)</f>
        <v>-20.5</v>
      </c>
      <c r="BJ495" s="952">
        <f>BJ496-SUM(BJ492:BJ494)</f>
        <v>67.799999999999955</v>
      </c>
      <c r="BK495" s="952">
        <f>SUM(BG495:BJ495)</f>
        <v>68.799999999999955</v>
      </c>
      <c r="BL495" s="952">
        <f>BL496-SUM(BL492:BL494)</f>
        <v>41.5</v>
      </c>
      <c r="BM495" s="952">
        <f>BM496-SUM(BM492:BM494)</f>
        <v>-19.5</v>
      </c>
      <c r="BN495" s="952">
        <f>BN496-SUM(BN492:BN494)</f>
        <v>-261.5</v>
      </c>
      <c r="BO495" s="952">
        <v>0</v>
      </c>
      <c r="BP495" s="952">
        <f>SUM(BL495:BO495)</f>
        <v>-239.5</v>
      </c>
      <c r="BQ495" s="952">
        <v>0</v>
      </c>
      <c r="BR495" s="952">
        <v>0</v>
      </c>
      <c r="BS495" s="952">
        <v>0</v>
      </c>
      <c r="BT495" s="952">
        <v>0</v>
      </c>
      <c r="BU495" s="952">
        <f>SUM(BQ495:BT495)</f>
        <v>0</v>
      </c>
      <c r="BV495" s="952"/>
      <c r="BW495" s="952"/>
      <c r="BX495" s="952"/>
      <c r="BY495" s="952"/>
      <c r="BZ495" s="952"/>
      <c r="CA495" s="952"/>
      <c r="CB495" s="952"/>
      <c r="CC495" s="952"/>
      <c r="CD495" s="952"/>
      <c r="CE495" s="952"/>
      <c r="CF495" s="952"/>
      <c r="CG495" s="952"/>
      <c r="CH495" s="952"/>
      <c r="CI495" s="952"/>
      <c r="CJ495" s="952"/>
      <c r="CK495" s="952"/>
      <c r="CL495" s="952"/>
      <c r="CM495" s="952"/>
      <c r="CN495" s="952"/>
      <c r="CO495" s="952"/>
      <c r="CP495" s="952"/>
      <c r="CQ495" s="952"/>
      <c r="CR495" s="952"/>
      <c r="CS495" s="952"/>
      <c r="CT495" s="952"/>
      <c r="CU495" s="952"/>
      <c r="CV495" s="952"/>
      <c r="CW495" s="952"/>
      <c r="CX495" s="952"/>
      <c r="CY495" s="952"/>
      <c r="CZ495" s="952"/>
      <c r="DA495" s="952"/>
      <c r="DB495"/>
      <c r="DC495"/>
      <c r="DD495" s="2323" t="s">
        <v>2031</v>
      </c>
      <c r="DE495" s="850">
        <f>M495</f>
        <v>278.50399999999991</v>
      </c>
      <c r="DF495" s="850">
        <f>R495</f>
        <v>282.93600000000015</v>
      </c>
      <c r="DG495" s="850">
        <f>W495</f>
        <v>194.78828374216391</v>
      </c>
      <c r="DH495" s="850">
        <f>AB495</f>
        <v>241.00559999999973</v>
      </c>
      <c r="DI495" s="850">
        <f>AG495</f>
        <v>135.05520000000013</v>
      </c>
      <c r="DJ495" s="850">
        <f>AL495</f>
        <v>313.84480000000008</v>
      </c>
      <c r="DK495" s="850">
        <f>AQ495</f>
        <v>421.67113920000008</v>
      </c>
      <c r="DL495" s="850">
        <f>AV495</f>
        <v>748.47999999999979</v>
      </c>
      <c r="DM495" s="850">
        <f>BA495</f>
        <v>561</v>
      </c>
      <c r="DN495" s="850">
        <f>BF495</f>
        <v>-661</v>
      </c>
      <c r="DO495" s="850">
        <f>BK495</f>
        <v>68.799999999999955</v>
      </c>
      <c r="DP495" s="850">
        <f>BP495</f>
        <v>-239.5</v>
      </c>
      <c r="DQ495" s="850">
        <f>BU495</f>
        <v>0</v>
      </c>
      <c r="DR495" s="850">
        <f>BZ495</f>
        <v>0</v>
      </c>
      <c r="DS495" s="850">
        <f>CE495</f>
        <v>0</v>
      </c>
      <c r="DT495" s="850">
        <f>CJ495</f>
        <v>0</v>
      </c>
      <c r="DU495" s="850">
        <f>CO495</f>
        <v>0</v>
      </c>
      <c r="DV495" s="850">
        <f>CT495</f>
        <v>0</v>
      </c>
      <c r="DW495" s="850">
        <f t="shared" si="958"/>
        <v>0</v>
      </c>
      <c r="DX495" s="850">
        <f t="shared" si="958"/>
        <v>0</v>
      </c>
      <c r="DY495" s="850">
        <f t="shared" si="958"/>
        <v>0</v>
      </c>
      <c r="EA495"/>
      <c r="EB495"/>
      <c r="EC495"/>
      <c r="ED495"/>
      <c r="EE495"/>
      <c r="EF495"/>
      <c r="EJ495"/>
      <c r="EK495"/>
      <c r="EL495"/>
      <c r="ER495" s="212"/>
    </row>
    <row r="496" spans="1:148" s="923" customFormat="1" ht="12.75" hidden="1" customHeight="1" outlineLevel="1" x14ac:dyDescent="0.2">
      <c r="A496" s="867" t="s">
        <v>2032</v>
      </c>
      <c r="B496" s="852"/>
      <c r="C496" s="852" t="s">
        <v>2033</v>
      </c>
      <c r="D496" s="852"/>
      <c r="E496" s="852"/>
      <c r="F496" s="852"/>
      <c r="G496" s="852"/>
      <c r="H496" s="852">
        <f>+H500-H498</f>
        <v>587</v>
      </c>
      <c r="I496" s="852">
        <f>SUM(I492:I495)</f>
        <v>611.60400000000004</v>
      </c>
      <c r="J496" s="852">
        <f>SUM(J492:J495)</f>
        <v>628.52800000000002</v>
      </c>
      <c r="K496" s="852">
        <f>SUM(K492:K495)</f>
        <v>644.30000000000007</v>
      </c>
      <c r="L496" s="852">
        <f>+L500-L498</f>
        <v>914</v>
      </c>
      <c r="M496" s="852">
        <f>SUM(M492:M495)</f>
        <v>913.99999999999989</v>
      </c>
      <c r="N496" s="852">
        <f>SUM(N492:N495)</f>
        <v>916.42799999999988</v>
      </c>
      <c r="O496" s="852">
        <f>SUM(O492:O495)</f>
        <v>916.2639999999999</v>
      </c>
      <c r="P496" s="852">
        <f>SUM(P492:P495)</f>
        <v>899.97199999999987</v>
      </c>
      <c r="Q496" s="852">
        <f>+Q500-Q498</f>
        <v>1167</v>
      </c>
      <c r="R496" s="852">
        <f>SUM(R492:R495)</f>
        <v>1167</v>
      </c>
      <c r="S496" s="852">
        <f>SUM(S492:S495)</f>
        <v>1137.757476403378</v>
      </c>
      <c r="T496" s="852">
        <f>SUM(T492:T495)</f>
        <v>1092.4797345322961</v>
      </c>
      <c r="U496" s="852">
        <f>SUM(U492:U495)</f>
        <v>1047.5485162578361</v>
      </c>
      <c r="V496" s="852">
        <f>+V500-V498</f>
        <v>1174</v>
      </c>
      <c r="W496" s="852">
        <f>SUM(W492:W495)</f>
        <v>1174.0000000000002</v>
      </c>
      <c r="X496" s="852">
        <f>SUM(X492:X495)</f>
        <v>1120.6528000000003</v>
      </c>
      <c r="Y496" s="852">
        <f>SUM(Y492:Y495)</f>
        <v>1101.3536000000004</v>
      </c>
      <c r="Z496" s="852">
        <f>SUM(Z492:Z495)</f>
        <v>1041.3712000000003</v>
      </c>
      <c r="AA496" s="852">
        <f>+AA500-AA498</f>
        <v>1190</v>
      </c>
      <c r="AB496" s="852">
        <f>SUM(AB492:AB495)</f>
        <v>1190</v>
      </c>
      <c r="AC496" s="852">
        <f>SUM(AC492:AC495)</f>
        <v>1127.9756</v>
      </c>
      <c r="AD496" s="852">
        <f>SUM(AD492:AD495)</f>
        <v>1080.4192</v>
      </c>
      <c r="AE496" s="852">
        <f>SUM(AE492:AE495)</f>
        <v>1026.6995999999999</v>
      </c>
      <c r="AF496" s="852">
        <f>+AF500-AF498</f>
        <v>1090</v>
      </c>
      <c r="AG496" s="852">
        <f>AF496</f>
        <v>1090</v>
      </c>
      <c r="AH496" s="852">
        <f>SUM(AH492:AH495)</f>
        <v>1027.7292</v>
      </c>
      <c r="AI496" s="852">
        <f>SUM(AI492:AI495)</f>
        <v>969.72399999999993</v>
      </c>
      <c r="AJ496" s="852">
        <f>SUM(AJ492:AJ495)</f>
        <v>889.68599999999992</v>
      </c>
      <c r="AK496" s="852">
        <v>1116</v>
      </c>
      <c r="AL496" s="852">
        <f>AK496</f>
        <v>1116</v>
      </c>
      <c r="AM496" s="852">
        <v>1069</v>
      </c>
      <c r="AN496" s="852">
        <v>1080</v>
      </c>
      <c r="AO496" s="852">
        <v>1152</v>
      </c>
      <c r="AP496" s="852">
        <v>1166</v>
      </c>
      <c r="AQ496" s="852">
        <f>AP496</f>
        <v>1166</v>
      </c>
      <c r="AR496" s="852">
        <v>1138</v>
      </c>
      <c r="AS496" s="852">
        <v>1249</v>
      </c>
      <c r="AT496" s="852">
        <v>1462</v>
      </c>
      <c r="AU496" s="852">
        <v>1536</v>
      </c>
      <c r="AV496" s="852">
        <f>AU496</f>
        <v>1536</v>
      </c>
      <c r="AW496" s="852">
        <v>1695</v>
      </c>
      <c r="AX496" s="852">
        <v>1799</v>
      </c>
      <c r="AY496" s="852">
        <v>1869</v>
      </c>
      <c r="AZ496" s="852">
        <v>1959</v>
      </c>
      <c r="BA496" s="852">
        <f>AZ496</f>
        <v>1959</v>
      </c>
      <c r="BB496" s="852">
        <v>1973</v>
      </c>
      <c r="BC496" s="852">
        <v>1980</v>
      </c>
      <c r="BD496" s="852">
        <v>1447</v>
      </c>
      <c r="BE496" s="852">
        <v>1426</v>
      </c>
      <c r="BF496" s="852">
        <f>BE496</f>
        <v>1426</v>
      </c>
      <c r="BG496" s="852">
        <v>1485</v>
      </c>
      <c r="BH496" s="852">
        <v>1450</v>
      </c>
      <c r="BI496" s="852">
        <v>1437</v>
      </c>
      <c r="BJ496" s="852">
        <v>1472</v>
      </c>
      <c r="BK496" s="852">
        <f>BJ496</f>
        <v>1472</v>
      </c>
      <c r="BL496" s="852">
        <v>1442</v>
      </c>
      <c r="BM496" s="852">
        <v>1346</v>
      </c>
      <c r="BN496" s="852">
        <v>1011</v>
      </c>
      <c r="BO496" s="852">
        <f>SUM(BO492:BO495)</f>
        <v>924.31999999999994</v>
      </c>
      <c r="BP496" s="852">
        <f>BO496</f>
        <v>924.31999999999994</v>
      </c>
      <c r="BQ496" s="852">
        <f>SUM(BQ492:BQ495)</f>
        <v>0</v>
      </c>
      <c r="BR496" s="852">
        <f>SUM(BR492:BR495)</f>
        <v>0</v>
      </c>
      <c r="BS496" s="852">
        <f>SUM(BS492:BS495)</f>
        <v>0</v>
      </c>
      <c r="BT496" s="852">
        <f>SUM(BT492:BT495)</f>
        <v>0</v>
      </c>
      <c r="BU496" s="852">
        <f>BT496</f>
        <v>0</v>
      </c>
      <c r="BV496" s="852"/>
      <c r="BW496" s="852"/>
      <c r="BX496" s="852"/>
      <c r="BY496" s="852"/>
      <c r="BZ496" s="852"/>
      <c r="CA496" s="852"/>
      <c r="CB496" s="852"/>
      <c r="CC496" s="852"/>
      <c r="CD496" s="852"/>
      <c r="CE496" s="852"/>
      <c r="CF496" s="852"/>
      <c r="CG496" s="852"/>
      <c r="CH496" s="852"/>
      <c r="CI496" s="852"/>
      <c r="CJ496" s="852"/>
      <c r="CK496" s="852"/>
      <c r="CL496" s="852"/>
      <c r="CM496" s="852"/>
      <c r="CN496" s="852"/>
      <c r="CO496" s="852"/>
      <c r="CP496" s="852"/>
      <c r="CQ496" s="852"/>
      <c r="CR496" s="852"/>
      <c r="CS496" s="852"/>
      <c r="CT496" s="852"/>
      <c r="CU496" s="852"/>
      <c r="CV496" s="852"/>
      <c r="CW496" s="852"/>
      <c r="CX496" s="852"/>
      <c r="CY496" s="852"/>
      <c r="CZ496" s="852"/>
      <c r="DA496" s="852"/>
      <c r="DB496"/>
      <c r="DC496"/>
      <c r="DD496" s="867" t="s">
        <v>2032</v>
      </c>
      <c r="DE496" s="852">
        <f>M496</f>
        <v>913.99999999999989</v>
      </c>
      <c r="DF496" s="852">
        <f>R496</f>
        <v>1167</v>
      </c>
      <c r="DG496" s="852">
        <f>W496</f>
        <v>1174.0000000000002</v>
      </c>
      <c r="DH496" s="852">
        <f>AB496</f>
        <v>1190</v>
      </c>
      <c r="DI496" s="852">
        <f>AG496</f>
        <v>1090</v>
      </c>
      <c r="DJ496" s="852">
        <f>AL496</f>
        <v>1116</v>
      </c>
      <c r="DK496" s="852">
        <f>AQ496</f>
        <v>1166</v>
      </c>
      <c r="DL496" s="852">
        <f>AV496</f>
        <v>1536</v>
      </c>
      <c r="DM496" s="852">
        <f>BA496</f>
        <v>1959</v>
      </c>
      <c r="DN496" s="852">
        <f>BF496</f>
        <v>1426</v>
      </c>
      <c r="DO496" s="852">
        <f>BK496</f>
        <v>1472</v>
      </c>
      <c r="DP496" s="852">
        <f>BP496</f>
        <v>924.31999999999994</v>
      </c>
      <c r="DQ496" s="852">
        <f>BU496</f>
        <v>0</v>
      </c>
      <c r="DR496" s="852">
        <f>BZ496</f>
        <v>0</v>
      </c>
      <c r="DS496" s="852">
        <f>CE496</f>
        <v>0</v>
      </c>
      <c r="DT496" s="852">
        <f>CJ496</f>
        <v>0</v>
      </c>
      <c r="DU496" s="852">
        <f>CO496</f>
        <v>0</v>
      </c>
      <c r="DV496" s="852">
        <f>CT496</f>
        <v>0</v>
      </c>
      <c r="DW496" s="852">
        <f t="shared" si="958"/>
        <v>0</v>
      </c>
      <c r="DX496" s="852">
        <f t="shared" si="958"/>
        <v>0</v>
      </c>
      <c r="DY496" s="852">
        <f t="shared" si="958"/>
        <v>0</v>
      </c>
      <c r="EA496"/>
      <c r="EB496"/>
      <c r="EC496"/>
      <c r="ED496"/>
      <c r="EE496"/>
      <c r="EF496"/>
      <c r="EJ496"/>
      <c r="EK496"/>
      <c r="EL496"/>
      <c r="ER496" s="212"/>
    </row>
    <row r="497" spans="1:148" s="923" customFormat="1" ht="12.75" hidden="1" customHeight="1" outlineLevel="1" x14ac:dyDescent="0.2">
      <c r="A497" s="865"/>
      <c r="B497" s="847"/>
      <c r="C497" s="847"/>
      <c r="D497" s="847"/>
      <c r="E497" s="847"/>
      <c r="F497" s="847"/>
      <c r="G497" s="847"/>
      <c r="H497" s="847"/>
      <c r="I497" s="847"/>
      <c r="J497" s="847"/>
      <c r="K497" s="847"/>
      <c r="L497" s="847"/>
      <c r="M497" s="847"/>
      <c r="N497" s="847"/>
      <c r="O497" s="847"/>
      <c r="P497" s="847"/>
      <c r="Q497" s="847"/>
      <c r="R497" s="847"/>
      <c r="S497" s="847"/>
      <c r="T497" s="847"/>
      <c r="U497" s="847"/>
      <c r="V497" s="847"/>
      <c r="W497" s="847"/>
      <c r="X497" s="847"/>
      <c r="Y497" s="847"/>
      <c r="Z497" s="847"/>
      <c r="AA497" s="847"/>
      <c r="AB497" s="847"/>
      <c r="AC497" s="847"/>
      <c r="AD497" s="847"/>
      <c r="AE497" s="847"/>
      <c r="AF497" s="847"/>
      <c r="AG497" s="847"/>
      <c r="AH497" s="847"/>
      <c r="AI497" s="847"/>
      <c r="AJ497" s="847"/>
      <c r="AK497" s="847"/>
      <c r="AL497" s="847"/>
      <c r="AM497" s="847"/>
      <c r="AN497" s="847"/>
      <c r="AO497" s="847"/>
      <c r="AP497" s="847"/>
      <c r="AQ497" s="847"/>
      <c r="AR497" s="847"/>
      <c r="AS497" s="847"/>
      <c r="AT497" s="847"/>
      <c r="AU497" s="847"/>
      <c r="AV497" s="847"/>
      <c r="AW497" s="847"/>
      <c r="AX497" s="847"/>
      <c r="AY497" s="847"/>
      <c r="AZ497" s="847"/>
      <c r="BA497" s="847"/>
      <c r="BB497" s="847"/>
      <c r="BC497" s="847"/>
      <c r="BD497" s="847"/>
      <c r="BE497" s="847"/>
      <c r="BF497" s="847"/>
      <c r="BG497" s="847"/>
      <c r="BH497" s="847"/>
      <c r="BI497" s="847"/>
      <c r="BJ497" s="847"/>
      <c r="BK497" s="847"/>
      <c r="BL497" s="847"/>
      <c r="BM497" s="847"/>
      <c r="BN497" s="847"/>
      <c r="BO497" s="847"/>
      <c r="BP497" s="847"/>
      <c r="BQ497" s="847"/>
      <c r="BR497" s="847"/>
      <c r="BS497" s="847"/>
      <c r="BT497" s="847"/>
      <c r="BU497" s="847"/>
      <c r="BV497" s="847"/>
      <c r="BW497" s="847"/>
      <c r="BX497" s="847"/>
      <c r="BY497" s="847"/>
      <c r="BZ497" s="847"/>
      <c r="CA497" s="847"/>
      <c r="CB497" s="847"/>
      <c r="CC497" s="847"/>
      <c r="CD497" s="847"/>
      <c r="CE497" s="847"/>
      <c r="CF497" s="847"/>
      <c r="CG497" s="847"/>
      <c r="CH497" s="847"/>
      <c r="CI497" s="847"/>
      <c r="CJ497" s="847"/>
      <c r="CK497" s="847"/>
      <c r="CL497" s="847"/>
      <c r="CM497" s="847"/>
      <c r="CN497" s="847"/>
      <c r="CO497" s="847"/>
      <c r="CP497" s="847"/>
      <c r="CQ497" s="847"/>
      <c r="CR497" s="847"/>
      <c r="CS497" s="847"/>
      <c r="CT497" s="847"/>
      <c r="CU497" s="847"/>
      <c r="CV497" s="847"/>
      <c r="CW497" s="847"/>
      <c r="CX497" s="847"/>
      <c r="CY497" s="847"/>
      <c r="CZ497" s="847"/>
      <c r="DA497" s="847"/>
      <c r="DB497"/>
      <c r="DC497"/>
      <c r="DD497" s="2323"/>
      <c r="DE497" s="2349"/>
      <c r="DF497" s="2349"/>
      <c r="DG497" s="2349"/>
      <c r="DH497" s="2349"/>
      <c r="DI497" s="2349"/>
      <c r="DJ497" s="2349"/>
      <c r="DK497" s="2349"/>
      <c r="DL497" s="2349"/>
      <c r="DM497" s="2349"/>
      <c r="DN497" s="2349"/>
      <c r="DO497" s="2349"/>
      <c r="DP497" s="2349"/>
      <c r="DQ497" s="2349"/>
      <c r="DR497" s="2349"/>
      <c r="DS497" s="2349"/>
      <c r="DT497" s="2349"/>
      <c r="DU497" s="2349"/>
      <c r="DV497" s="2349"/>
      <c r="DW497" s="2349"/>
      <c r="DX497" s="2349"/>
      <c r="DY497" s="2349"/>
      <c r="EA497"/>
      <c r="EB497"/>
      <c r="EC497"/>
      <c r="ED497"/>
      <c r="EE497"/>
      <c r="EF497"/>
      <c r="EJ497"/>
      <c r="EK497"/>
      <c r="EL497"/>
      <c r="ER497" s="212"/>
    </row>
    <row r="498" spans="1:148" s="923" customFormat="1" ht="12.75" hidden="1" customHeight="1" outlineLevel="1" x14ac:dyDescent="0.2">
      <c r="A498" s="865" t="s">
        <v>1184</v>
      </c>
      <c r="B498" s="845"/>
      <c r="C498" s="845"/>
      <c r="D498" s="845"/>
      <c r="E498" s="845"/>
      <c r="F498" s="845"/>
      <c r="G498" s="845"/>
      <c r="H498" s="845">
        <v>93</v>
      </c>
      <c r="I498" s="845">
        <v>117</v>
      </c>
      <c r="J498" s="845">
        <v>110</v>
      </c>
      <c r="K498" s="845">
        <v>104</v>
      </c>
      <c r="L498" s="845">
        <v>97</v>
      </c>
      <c r="M498" s="847">
        <f>+L498</f>
        <v>97</v>
      </c>
      <c r="N498" s="845">
        <v>110</v>
      </c>
      <c r="O498" s="845">
        <v>104</v>
      </c>
      <c r="P498" s="845">
        <v>101</v>
      </c>
      <c r="Q498" s="845">
        <v>96</v>
      </c>
      <c r="R498" s="847">
        <f>+Q498</f>
        <v>96</v>
      </c>
      <c r="S498" s="845">
        <v>99</v>
      </c>
      <c r="T498" s="845">
        <v>94</v>
      </c>
      <c r="U498" s="845">
        <v>86</v>
      </c>
      <c r="V498" s="845">
        <f>+Q498</f>
        <v>96</v>
      </c>
      <c r="W498" s="847">
        <f>+V498</f>
        <v>96</v>
      </c>
      <c r="X498" s="845">
        <f>+S498</f>
        <v>99</v>
      </c>
      <c r="Y498" s="845">
        <f>+T498</f>
        <v>94</v>
      </c>
      <c r="Z498" s="845">
        <f>+U498</f>
        <v>86</v>
      </c>
      <c r="AA498" s="845">
        <f>+V498</f>
        <v>96</v>
      </c>
      <c r="AB498" s="847">
        <f>+AA498</f>
        <v>96</v>
      </c>
      <c r="AC498" s="845">
        <f>+X498</f>
        <v>99</v>
      </c>
      <c r="AD498" s="845">
        <f>+Y498</f>
        <v>94</v>
      </c>
      <c r="AE498" s="845">
        <f>+Z498</f>
        <v>86</v>
      </c>
      <c r="AF498" s="845">
        <f>+AA498</f>
        <v>96</v>
      </c>
      <c r="AG498" s="847">
        <f>+AF498</f>
        <v>96</v>
      </c>
      <c r="AH498" s="845">
        <f>+AC498</f>
        <v>99</v>
      </c>
      <c r="AI498" s="845">
        <f>+AD498</f>
        <v>94</v>
      </c>
      <c r="AJ498" s="845">
        <f>+AE498</f>
        <v>86</v>
      </c>
      <c r="AK498" s="845">
        <f>+AK500-AK496</f>
        <v>48</v>
      </c>
      <c r="AL498" s="847">
        <f>+AK498</f>
        <v>48</v>
      </c>
      <c r="AM498" s="845">
        <f>+AM500-AM496</f>
        <v>69</v>
      </c>
      <c r="AN498" s="845">
        <f>+AN500-AN496</f>
        <v>44</v>
      </c>
      <c r="AO498" s="845">
        <f>+AO500-AO496</f>
        <v>32</v>
      </c>
      <c r="AP498" s="845">
        <f>+AP500-AP496</f>
        <v>42</v>
      </c>
      <c r="AQ498" s="847">
        <f>+AP498</f>
        <v>42</v>
      </c>
      <c r="AR498" s="845">
        <f>+AR500-AR496</f>
        <v>34</v>
      </c>
      <c r="AS498" s="845">
        <f>+AS500-AS496</f>
        <v>42</v>
      </c>
      <c r="AT498" s="845">
        <f>+AT500-AT496</f>
        <v>37</v>
      </c>
      <c r="AU498" s="845">
        <f>+AU500-AU496</f>
        <v>21</v>
      </c>
      <c r="AV498" s="847">
        <f>+AU498</f>
        <v>21</v>
      </c>
      <c r="AW498" s="845">
        <f>+AW500-AW496</f>
        <v>23</v>
      </c>
      <c r="AX498" s="845">
        <f>+AX500-AX496</f>
        <v>25</v>
      </c>
      <c r="AY498" s="845">
        <f>+AY500-AY496</f>
        <v>23</v>
      </c>
      <c r="AZ498" s="845">
        <f>+AZ500-AZ496</f>
        <v>22</v>
      </c>
      <c r="BA498" s="847">
        <f>+AZ498</f>
        <v>22</v>
      </c>
      <c r="BB498" s="845">
        <f>+BB500-BB496</f>
        <v>21</v>
      </c>
      <c r="BC498" s="845">
        <f>+BC500-BC496</f>
        <v>21</v>
      </c>
      <c r="BD498" s="845">
        <f>+BD500-BD496</f>
        <v>18</v>
      </c>
      <c r="BE498" s="845">
        <f>+BE500-BE496</f>
        <v>18</v>
      </c>
      <c r="BF498" s="847">
        <f>+BE498</f>
        <v>18</v>
      </c>
      <c r="BG498" s="845">
        <f>+BG500-BG496</f>
        <v>18</v>
      </c>
      <c r="BH498" s="845">
        <f>+BH500-BH496</f>
        <v>17</v>
      </c>
      <c r="BI498" s="845">
        <f>+BI500-BI496</f>
        <v>18</v>
      </c>
      <c r="BJ498" s="845">
        <f>+BJ500-BJ496</f>
        <v>17</v>
      </c>
      <c r="BK498" s="847">
        <f>+BJ498</f>
        <v>17</v>
      </c>
      <c r="BL498" s="845">
        <f>+BL500-BL496</f>
        <v>17</v>
      </c>
      <c r="BM498" s="845">
        <f>+BM500-BM496</f>
        <v>19</v>
      </c>
      <c r="BN498" s="845">
        <f>+BN500-BN496</f>
        <v>18</v>
      </c>
      <c r="BO498" s="845">
        <f>+BO499*BJ500</f>
        <v>14.89</v>
      </c>
      <c r="BP498" s="847">
        <f>+BO498</f>
        <v>14.89</v>
      </c>
      <c r="BQ498" s="845">
        <f>BP498</f>
        <v>14.89</v>
      </c>
      <c r="BR498" s="845">
        <f>BQ498</f>
        <v>14.89</v>
      </c>
      <c r="BS498" s="845">
        <f>BR498</f>
        <v>14.89</v>
      </c>
      <c r="BT498" s="845">
        <f>BS498</f>
        <v>14.89</v>
      </c>
      <c r="BU498" s="847">
        <f>+BT498</f>
        <v>14.89</v>
      </c>
      <c r="BV498" s="845"/>
      <c r="BW498" s="845"/>
      <c r="BX498" s="845"/>
      <c r="BY498" s="845"/>
      <c r="BZ498" s="847"/>
      <c r="CA498" s="847"/>
      <c r="CB498" s="847"/>
      <c r="CC498" s="847"/>
      <c r="CD498" s="847"/>
      <c r="CE498" s="847"/>
      <c r="CF498" s="847"/>
      <c r="CG498" s="847"/>
      <c r="CH498" s="847"/>
      <c r="CI498" s="847"/>
      <c r="CJ498" s="847"/>
      <c r="CK498" s="847"/>
      <c r="CL498" s="847"/>
      <c r="CM498" s="847"/>
      <c r="CN498" s="847"/>
      <c r="CO498" s="847"/>
      <c r="CP498" s="847"/>
      <c r="CQ498" s="847"/>
      <c r="CR498" s="847"/>
      <c r="CS498" s="847"/>
      <c r="CT498" s="847"/>
      <c r="CU498" s="847"/>
      <c r="CV498" s="847"/>
      <c r="CW498" s="847"/>
      <c r="CX498" s="847"/>
      <c r="CY498" s="847"/>
      <c r="CZ498" s="847"/>
      <c r="DA498" s="847"/>
      <c r="DB498"/>
      <c r="DC498"/>
      <c r="DD498" s="2323" t="s">
        <v>1184</v>
      </c>
      <c r="DE498" s="2349">
        <f>M498</f>
        <v>97</v>
      </c>
      <c r="DF498" s="2349">
        <f>R498</f>
        <v>96</v>
      </c>
      <c r="DG498" s="2349">
        <f>W498</f>
        <v>96</v>
      </c>
      <c r="DH498" s="2349">
        <f>AB498</f>
        <v>96</v>
      </c>
      <c r="DI498" s="2349">
        <f>AG498</f>
        <v>96</v>
      </c>
      <c r="DJ498" s="2349">
        <f>AL498</f>
        <v>48</v>
      </c>
      <c r="DK498" s="2349">
        <f>AQ498</f>
        <v>42</v>
      </c>
      <c r="DL498" s="2349">
        <f>AV498</f>
        <v>21</v>
      </c>
      <c r="DM498" s="2349">
        <f>BA498</f>
        <v>22</v>
      </c>
      <c r="DN498" s="2349">
        <f>BF498</f>
        <v>18</v>
      </c>
      <c r="DO498" s="2349">
        <f>BK498</f>
        <v>17</v>
      </c>
      <c r="DP498" s="2349">
        <f>BP498</f>
        <v>14.89</v>
      </c>
      <c r="DQ498" s="2349">
        <f>BU498</f>
        <v>14.89</v>
      </c>
      <c r="DR498" s="2349">
        <f>BZ498</f>
        <v>0</v>
      </c>
      <c r="DS498" s="2349">
        <f>CE498</f>
        <v>0</v>
      </c>
      <c r="DT498" s="2349">
        <f>CJ498</f>
        <v>0</v>
      </c>
      <c r="DU498" s="2349">
        <f>CO498</f>
        <v>0</v>
      </c>
      <c r="DV498" s="2349">
        <f>CT498</f>
        <v>0</v>
      </c>
      <c r="DW498" s="2349">
        <f t="shared" ref="DW498:DY500" si="959">CY498</f>
        <v>0</v>
      </c>
      <c r="DX498" s="2349">
        <f t="shared" si="959"/>
        <v>0</v>
      </c>
      <c r="DY498" s="2349">
        <f t="shared" si="959"/>
        <v>0</v>
      </c>
      <c r="EA498"/>
      <c r="EB498"/>
      <c r="EC498"/>
      <c r="ED498"/>
      <c r="EE498"/>
      <c r="EF498"/>
      <c r="EJ498"/>
      <c r="EK498"/>
      <c r="EL498"/>
      <c r="ER498" s="212"/>
    </row>
    <row r="499" spans="1:148" s="923" customFormat="1" ht="12.75" hidden="1" customHeight="1" outlineLevel="1" x14ac:dyDescent="0.2">
      <c r="A499" s="865" t="s">
        <v>2034</v>
      </c>
      <c r="B499" s="845"/>
      <c r="C499" s="845"/>
      <c r="D499" s="845"/>
      <c r="E499" s="845"/>
      <c r="F499" s="845"/>
      <c r="G499" s="845"/>
      <c r="H499" s="845">
        <f t="shared" ref="H499:AM499" si="960">+H498/H500</f>
        <v>0.13676470588235295</v>
      </c>
      <c r="I499" s="845">
        <f t="shared" si="960"/>
        <v>0.16058105637630316</v>
      </c>
      <c r="J499" s="845">
        <f t="shared" si="960"/>
        <v>0.14894492828978725</v>
      </c>
      <c r="K499" s="845">
        <f t="shared" si="960"/>
        <v>0.13898169183482559</v>
      </c>
      <c r="L499" s="845">
        <f t="shared" si="960"/>
        <v>9.5944609297725025E-2</v>
      </c>
      <c r="M499" s="845">
        <f t="shared" si="960"/>
        <v>9.5944609297725025E-2</v>
      </c>
      <c r="N499" s="845">
        <f t="shared" si="960"/>
        <v>0.10716777016994861</v>
      </c>
      <c r="O499" s="845">
        <f t="shared" si="960"/>
        <v>0.10193440129221458</v>
      </c>
      <c r="P499" s="845">
        <f t="shared" si="960"/>
        <v>0.10090192333052274</v>
      </c>
      <c r="Q499" s="845">
        <f t="shared" si="960"/>
        <v>7.6009501187648459E-2</v>
      </c>
      <c r="R499" s="845">
        <f t="shared" si="960"/>
        <v>7.6009501187648459E-2</v>
      </c>
      <c r="S499" s="845">
        <f t="shared" si="960"/>
        <v>8.0048030344560775E-2</v>
      </c>
      <c r="T499" s="845">
        <f t="shared" si="960"/>
        <v>7.9225963380701397E-2</v>
      </c>
      <c r="U499" s="845">
        <f t="shared" si="960"/>
        <v>7.5867948099751656E-2</v>
      </c>
      <c r="V499" s="845">
        <f t="shared" si="960"/>
        <v>7.5590551181102361E-2</v>
      </c>
      <c r="W499" s="845">
        <f t="shared" si="960"/>
        <v>7.5590551181102361E-2</v>
      </c>
      <c r="X499" s="845">
        <f t="shared" si="960"/>
        <v>8.1170641349734923E-2</v>
      </c>
      <c r="Y499" s="845">
        <f t="shared" si="960"/>
        <v>7.8637818968378875E-2</v>
      </c>
      <c r="Z499" s="845">
        <f t="shared" si="960"/>
        <v>7.6283658833931525E-2</v>
      </c>
      <c r="AA499" s="845">
        <f t="shared" si="960"/>
        <v>7.4650077760497674E-2</v>
      </c>
      <c r="AB499" s="845">
        <f t="shared" si="960"/>
        <v>7.4650077760497674E-2</v>
      </c>
      <c r="AC499" s="845">
        <f t="shared" si="960"/>
        <v>8.0686201094789495E-2</v>
      </c>
      <c r="AD499" s="845">
        <f t="shared" si="960"/>
        <v>8.0039563385884693E-2</v>
      </c>
      <c r="AE499" s="845">
        <f t="shared" si="960"/>
        <v>7.7289503833739143E-2</v>
      </c>
      <c r="AF499" s="845">
        <f t="shared" si="960"/>
        <v>8.0944350758853284E-2</v>
      </c>
      <c r="AG499" s="845">
        <f t="shared" si="960"/>
        <v>8.0944350758853284E-2</v>
      </c>
      <c r="AH499" s="845">
        <f t="shared" si="960"/>
        <v>8.7864945720764143E-2</v>
      </c>
      <c r="AI499" s="845">
        <f t="shared" si="960"/>
        <v>8.836878739221829E-2</v>
      </c>
      <c r="AJ499" s="845">
        <f t="shared" si="960"/>
        <v>8.8143111615827233E-2</v>
      </c>
      <c r="AK499" s="845">
        <f t="shared" si="960"/>
        <v>4.1237113402061855E-2</v>
      </c>
      <c r="AL499" s="845">
        <f t="shared" si="960"/>
        <v>4.1237113402061855E-2</v>
      </c>
      <c r="AM499" s="845">
        <f t="shared" si="960"/>
        <v>6.0632688927943761E-2</v>
      </c>
      <c r="AN499" s="845">
        <f t="shared" ref="AN499:BN499" si="961">+AN498/AN500</f>
        <v>3.9145907473309607E-2</v>
      </c>
      <c r="AO499" s="845">
        <f t="shared" si="961"/>
        <v>2.7027027027027029E-2</v>
      </c>
      <c r="AP499" s="845">
        <f t="shared" si="961"/>
        <v>3.4768211920529798E-2</v>
      </c>
      <c r="AQ499" s="845">
        <f t="shared" si="961"/>
        <v>3.4768211920529798E-2</v>
      </c>
      <c r="AR499" s="845">
        <f t="shared" si="961"/>
        <v>2.9010238907849831E-2</v>
      </c>
      <c r="AS499" s="845">
        <f t="shared" si="961"/>
        <v>3.2532920216886134E-2</v>
      </c>
      <c r="AT499" s="845">
        <f t="shared" si="961"/>
        <v>2.4683122081387593E-2</v>
      </c>
      <c r="AU499" s="845">
        <f t="shared" si="961"/>
        <v>1.348747591522158E-2</v>
      </c>
      <c r="AV499" s="845">
        <f t="shared" si="961"/>
        <v>1.348747591522158E-2</v>
      </c>
      <c r="AW499" s="845">
        <f t="shared" si="961"/>
        <v>1.3387660069848661E-2</v>
      </c>
      <c r="AX499" s="845">
        <f t="shared" si="961"/>
        <v>1.3706140350877192E-2</v>
      </c>
      <c r="AY499" s="845">
        <f t="shared" si="961"/>
        <v>1.2156448202959831E-2</v>
      </c>
      <c r="AZ499" s="845">
        <f t="shared" si="961"/>
        <v>1.110550227158001E-2</v>
      </c>
      <c r="BA499" s="845">
        <f t="shared" si="961"/>
        <v>1.110550227158001E-2</v>
      </c>
      <c r="BB499" s="845">
        <f t="shared" si="961"/>
        <v>1.053159478435306E-2</v>
      </c>
      <c r="BC499" s="845">
        <f t="shared" si="961"/>
        <v>1.0494752623688156E-2</v>
      </c>
      <c r="BD499" s="845">
        <f t="shared" si="961"/>
        <v>1.2286689419795221E-2</v>
      </c>
      <c r="BE499" s="845">
        <f t="shared" si="961"/>
        <v>1.2465373961218837E-2</v>
      </c>
      <c r="BF499" s="845">
        <f t="shared" si="961"/>
        <v>1.2465373961218837E-2</v>
      </c>
      <c r="BG499" s="845">
        <f t="shared" si="961"/>
        <v>1.1976047904191617E-2</v>
      </c>
      <c r="BH499" s="845">
        <f t="shared" si="961"/>
        <v>1.1588275391956374E-2</v>
      </c>
      <c r="BI499" s="845">
        <f t="shared" si="961"/>
        <v>1.2371134020618556E-2</v>
      </c>
      <c r="BJ499" s="845">
        <f t="shared" si="961"/>
        <v>1.1417058428475487E-2</v>
      </c>
      <c r="BK499" s="845">
        <f t="shared" si="961"/>
        <v>1.1417058428475487E-2</v>
      </c>
      <c r="BL499" s="845">
        <f t="shared" si="961"/>
        <v>1.1651816312542838E-2</v>
      </c>
      <c r="BM499" s="845">
        <f t="shared" si="961"/>
        <v>1.391941391941392E-2</v>
      </c>
      <c r="BN499" s="845">
        <f t="shared" si="961"/>
        <v>1.7492711370262391E-2</v>
      </c>
      <c r="BO499" s="845">
        <v>0.01</v>
      </c>
      <c r="BP499" s="845">
        <f>+BP498/BP500</f>
        <v>1.5853749427710524E-2</v>
      </c>
      <c r="BQ499" s="845"/>
      <c r="BR499" s="845"/>
      <c r="BS499" s="845"/>
      <c r="BT499" s="845"/>
      <c r="BU499" s="845"/>
      <c r="BV499" s="845"/>
      <c r="BW499" s="845"/>
      <c r="BX499" s="845"/>
      <c r="BY499" s="845"/>
      <c r="BZ499" s="845"/>
      <c r="CA499" s="845"/>
      <c r="CB499" s="845"/>
      <c r="CC499" s="845"/>
      <c r="CD499" s="845"/>
      <c r="CE499" s="845"/>
      <c r="CF499" s="845"/>
      <c r="CG499" s="845"/>
      <c r="CH499" s="845"/>
      <c r="CI499" s="845"/>
      <c r="CJ499" s="845"/>
      <c r="CK499" s="845"/>
      <c r="CL499" s="845"/>
      <c r="CM499" s="845"/>
      <c r="CN499" s="845"/>
      <c r="CO499" s="845"/>
      <c r="CP499" s="845"/>
      <c r="CQ499" s="845"/>
      <c r="CR499" s="845"/>
      <c r="CS499" s="845"/>
      <c r="CT499" s="845"/>
      <c r="CU499" s="845"/>
      <c r="CV499" s="845"/>
      <c r="CW499" s="845"/>
      <c r="CX499" s="845"/>
      <c r="CY499" s="845"/>
      <c r="CZ499" s="845"/>
      <c r="DA499" s="845"/>
      <c r="DB499"/>
      <c r="DC499"/>
      <c r="DD499" s="2323" t="s">
        <v>2034</v>
      </c>
      <c r="DE499" s="2349">
        <f>M499</f>
        <v>9.5944609297725025E-2</v>
      </c>
      <c r="DF499" s="2349">
        <f>R499</f>
        <v>7.6009501187648459E-2</v>
      </c>
      <c r="DG499" s="2349">
        <f>W499</f>
        <v>7.5590551181102361E-2</v>
      </c>
      <c r="DH499" s="2349">
        <f>AB499</f>
        <v>7.4650077760497674E-2</v>
      </c>
      <c r="DI499" s="2349">
        <f>AG499</f>
        <v>8.0944350758853284E-2</v>
      </c>
      <c r="DJ499" s="2349">
        <f>AL499</f>
        <v>4.1237113402061855E-2</v>
      </c>
      <c r="DK499" s="2349">
        <f>AQ499</f>
        <v>3.4768211920529798E-2</v>
      </c>
      <c r="DL499" s="2349">
        <f>AV499</f>
        <v>1.348747591522158E-2</v>
      </c>
      <c r="DM499" s="2349">
        <f>BA499</f>
        <v>1.110550227158001E-2</v>
      </c>
      <c r="DN499" s="2349">
        <f>BF499</f>
        <v>1.2465373961218837E-2</v>
      </c>
      <c r="DO499" s="2349">
        <f>BK499</f>
        <v>1.1417058428475487E-2</v>
      </c>
      <c r="DP499" s="2349">
        <f>BP499</f>
        <v>1.5853749427710524E-2</v>
      </c>
      <c r="DQ499" s="2349">
        <f>BU499</f>
        <v>0</v>
      </c>
      <c r="DR499" s="2349">
        <f>BZ499</f>
        <v>0</v>
      </c>
      <c r="DS499" s="2349">
        <f>CE499</f>
        <v>0</v>
      </c>
      <c r="DT499" s="2349">
        <f>CJ499</f>
        <v>0</v>
      </c>
      <c r="DU499" s="2349">
        <f>CO499</f>
        <v>0</v>
      </c>
      <c r="DV499" s="2349">
        <f>CT499</f>
        <v>0</v>
      </c>
      <c r="DW499" s="2349">
        <f t="shared" si="959"/>
        <v>0</v>
      </c>
      <c r="DX499" s="2349">
        <f t="shared" si="959"/>
        <v>0</v>
      </c>
      <c r="DY499" s="2349">
        <f t="shared" si="959"/>
        <v>0</v>
      </c>
      <c r="EA499"/>
      <c r="EB499"/>
      <c r="EC499"/>
      <c r="ED499"/>
      <c r="EE499"/>
      <c r="EF499"/>
      <c r="EJ499"/>
      <c r="EK499"/>
      <c r="EL499"/>
      <c r="ER499" s="212"/>
    </row>
    <row r="500" spans="1:148" s="923" customFormat="1" ht="12.75" hidden="1" customHeight="1" outlineLevel="1" x14ac:dyDescent="0.2">
      <c r="A500" s="865" t="s">
        <v>1655</v>
      </c>
      <c r="B500" s="847"/>
      <c r="C500" s="847"/>
      <c r="D500" s="847"/>
      <c r="E500" s="847"/>
      <c r="F500" s="847"/>
      <c r="G500" s="847"/>
      <c r="H500" s="847">
        <f>+H747</f>
        <v>680</v>
      </c>
      <c r="I500" s="847">
        <f>+I498+I496</f>
        <v>728.60400000000004</v>
      </c>
      <c r="J500" s="847">
        <f>+J498+J496</f>
        <v>738.52800000000002</v>
      </c>
      <c r="K500" s="847">
        <f>+K498+K496</f>
        <v>748.30000000000007</v>
      </c>
      <c r="L500" s="847">
        <f>+L747</f>
        <v>1011</v>
      </c>
      <c r="M500" s="847">
        <f>+L500</f>
        <v>1011</v>
      </c>
      <c r="N500" s="847">
        <f>+N498+N496</f>
        <v>1026.4279999999999</v>
      </c>
      <c r="O500" s="847">
        <f>+O498+O496</f>
        <v>1020.2639999999999</v>
      </c>
      <c r="P500" s="847">
        <f>+P498+P496</f>
        <v>1000.9719999999999</v>
      </c>
      <c r="Q500" s="847">
        <f>+Q747</f>
        <v>1263</v>
      </c>
      <c r="R500" s="847">
        <f>+Q500</f>
        <v>1263</v>
      </c>
      <c r="S500" s="847">
        <f>+S498+S496</f>
        <v>1236.757476403378</v>
      </c>
      <c r="T500" s="847">
        <f>+T498+T496</f>
        <v>1186.4797345322961</v>
      </c>
      <c r="U500" s="847">
        <f>+U498+U496</f>
        <v>1133.5485162578361</v>
      </c>
      <c r="V500" s="847">
        <f>+V747</f>
        <v>1270</v>
      </c>
      <c r="W500" s="847">
        <f>+V500</f>
        <v>1270</v>
      </c>
      <c r="X500" s="847">
        <f>+X498+X496</f>
        <v>1219.6528000000003</v>
      </c>
      <c r="Y500" s="847">
        <f>+Y498+Y496</f>
        <v>1195.3536000000004</v>
      </c>
      <c r="Z500" s="847">
        <f>+Z498+Z496</f>
        <v>1127.3712000000003</v>
      </c>
      <c r="AA500" s="847">
        <f>+AA747</f>
        <v>1286</v>
      </c>
      <c r="AB500" s="847">
        <f>+AA500</f>
        <v>1286</v>
      </c>
      <c r="AC500" s="847">
        <f>+AC498+AC496</f>
        <v>1226.9756</v>
      </c>
      <c r="AD500" s="847">
        <f>+AD498+AD496</f>
        <v>1174.4192</v>
      </c>
      <c r="AE500" s="847">
        <f>+AE498+AE496</f>
        <v>1112.6995999999999</v>
      </c>
      <c r="AF500" s="847">
        <f>+AF747</f>
        <v>1186</v>
      </c>
      <c r="AG500" s="847">
        <f>+AF500</f>
        <v>1186</v>
      </c>
      <c r="AH500" s="847">
        <f>+AH498+AH496</f>
        <v>1126.7292</v>
      </c>
      <c r="AI500" s="847">
        <f>+AI498+AI496</f>
        <v>1063.7239999999999</v>
      </c>
      <c r="AJ500" s="847">
        <f>+AJ498+AJ496</f>
        <v>975.68599999999992</v>
      </c>
      <c r="AK500" s="847">
        <f>+AK747</f>
        <v>1164</v>
      </c>
      <c r="AL500" s="847">
        <f>+AK500</f>
        <v>1164</v>
      </c>
      <c r="AM500" s="847">
        <f>+AM747</f>
        <v>1138</v>
      </c>
      <c r="AN500" s="847">
        <f>+AN747</f>
        <v>1124</v>
      </c>
      <c r="AO500" s="847">
        <f>+AO747</f>
        <v>1184</v>
      </c>
      <c r="AP500" s="847">
        <f>+AP747</f>
        <v>1208</v>
      </c>
      <c r="AQ500" s="847">
        <f>+AP500</f>
        <v>1208</v>
      </c>
      <c r="AR500" s="847">
        <f>+AR747</f>
        <v>1172</v>
      </c>
      <c r="AS500" s="847">
        <f>+AS747</f>
        <v>1291</v>
      </c>
      <c r="AT500" s="847">
        <f>+AT747</f>
        <v>1499</v>
      </c>
      <c r="AU500" s="847">
        <f>+AU747</f>
        <v>1557</v>
      </c>
      <c r="AV500" s="847">
        <f>+AU500</f>
        <v>1557</v>
      </c>
      <c r="AW500" s="847">
        <f>+AW747</f>
        <v>1718</v>
      </c>
      <c r="AX500" s="847">
        <f>+AX747</f>
        <v>1824</v>
      </c>
      <c r="AY500" s="847">
        <f>+AY747</f>
        <v>1892</v>
      </c>
      <c r="AZ500" s="847">
        <f>+AZ747</f>
        <v>1981</v>
      </c>
      <c r="BA500" s="847">
        <f>+AZ500</f>
        <v>1981</v>
      </c>
      <c r="BB500" s="847">
        <f>+BB747</f>
        <v>1994</v>
      </c>
      <c r="BC500" s="847">
        <f>+BC747</f>
        <v>2001</v>
      </c>
      <c r="BD500" s="847">
        <f>+BD747</f>
        <v>1465</v>
      </c>
      <c r="BE500" s="847">
        <f>+BE747</f>
        <v>1444</v>
      </c>
      <c r="BF500" s="847">
        <f>+BE500</f>
        <v>1444</v>
      </c>
      <c r="BG500" s="847">
        <f>+BG747</f>
        <v>1503</v>
      </c>
      <c r="BH500" s="847">
        <f>+BH747</f>
        <v>1467</v>
      </c>
      <c r="BI500" s="847">
        <f>+BI747</f>
        <v>1455</v>
      </c>
      <c r="BJ500" s="847">
        <f>+BJ747</f>
        <v>1489</v>
      </c>
      <c r="BK500" s="847">
        <f>+BJ500</f>
        <v>1489</v>
      </c>
      <c r="BL500" s="847">
        <f>+BL747</f>
        <v>1459</v>
      </c>
      <c r="BM500" s="847">
        <f>+BM747</f>
        <v>1365</v>
      </c>
      <c r="BN500" s="847">
        <f>+BN747</f>
        <v>1029</v>
      </c>
      <c r="BO500" s="847">
        <f>+BO498+BO496</f>
        <v>939.20999999999992</v>
      </c>
      <c r="BP500" s="847">
        <f>+BO500</f>
        <v>939.20999999999992</v>
      </c>
      <c r="BQ500" s="847">
        <f>BQ498</f>
        <v>14.89</v>
      </c>
      <c r="BR500" s="847">
        <f>BQ500</f>
        <v>14.89</v>
      </c>
      <c r="BS500" s="847">
        <f>BR500</f>
        <v>14.89</v>
      </c>
      <c r="BT500" s="847">
        <f>BS500</f>
        <v>14.89</v>
      </c>
      <c r="BU500" s="847">
        <f>+BT500</f>
        <v>14.89</v>
      </c>
      <c r="BV500" s="847"/>
      <c r="BW500" s="847"/>
      <c r="BX500" s="847"/>
      <c r="BY500" s="847"/>
      <c r="BZ500" s="847"/>
      <c r="CA500" s="847"/>
      <c r="CB500" s="847"/>
      <c r="CC500" s="847"/>
      <c r="CD500" s="847"/>
      <c r="CE500" s="847"/>
      <c r="CF500" s="847"/>
      <c r="CG500" s="847"/>
      <c r="CH500" s="847"/>
      <c r="CI500" s="847"/>
      <c r="CJ500" s="847"/>
      <c r="CK500" s="847"/>
      <c r="CL500" s="847"/>
      <c r="CM500" s="847"/>
      <c r="CN500" s="847"/>
      <c r="CO500" s="847"/>
      <c r="CP500" s="847"/>
      <c r="CQ500" s="847"/>
      <c r="CR500" s="847"/>
      <c r="CS500" s="847"/>
      <c r="CT500" s="847"/>
      <c r="CU500" s="847"/>
      <c r="CV500" s="847"/>
      <c r="CW500" s="847"/>
      <c r="CX500" s="847"/>
      <c r="CY500" s="847"/>
      <c r="CZ500" s="847"/>
      <c r="DA500" s="847"/>
      <c r="DB500"/>
      <c r="DC500"/>
      <c r="DD500" s="2323" t="s">
        <v>1655</v>
      </c>
      <c r="DE500" s="2349">
        <f>M500</f>
        <v>1011</v>
      </c>
      <c r="DF500" s="2349">
        <f>R500</f>
        <v>1263</v>
      </c>
      <c r="DG500" s="2349">
        <f>W500</f>
        <v>1270</v>
      </c>
      <c r="DH500" s="2349">
        <f>AB500</f>
        <v>1286</v>
      </c>
      <c r="DI500" s="2349">
        <f>AG500</f>
        <v>1186</v>
      </c>
      <c r="DJ500" s="2349">
        <f>AL500</f>
        <v>1164</v>
      </c>
      <c r="DK500" s="2349">
        <f>AQ500</f>
        <v>1208</v>
      </c>
      <c r="DL500" s="2349">
        <f>AV500</f>
        <v>1557</v>
      </c>
      <c r="DM500" s="2349">
        <f>BA500</f>
        <v>1981</v>
      </c>
      <c r="DN500" s="2349">
        <f>BF500</f>
        <v>1444</v>
      </c>
      <c r="DO500" s="2349">
        <f>BK500</f>
        <v>1489</v>
      </c>
      <c r="DP500" s="2349">
        <f>BP500</f>
        <v>939.20999999999992</v>
      </c>
      <c r="DQ500" s="2349">
        <f>BU500</f>
        <v>14.89</v>
      </c>
      <c r="DR500" s="2349">
        <f>BZ500</f>
        <v>0</v>
      </c>
      <c r="DS500" s="2349">
        <f>CE500</f>
        <v>0</v>
      </c>
      <c r="DT500" s="2349">
        <f>CJ500</f>
        <v>0</v>
      </c>
      <c r="DU500" s="2349">
        <f>CO500</f>
        <v>0</v>
      </c>
      <c r="DV500" s="2349">
        <f>CT500</f>
        <v>0</v>
      </c>
      <c r="DW500" s="2349">
        <f t="shared" si="959"/>
        <v>0</v>
      </c>
      <c r="DX500" s="2349">
        <f t="shared" si="959"/>
        <v>0</v>
      </c>
      <c r="DY500" s="2349">
        <f t="shared" si="959"/>
        <v>0</v>
      </c>
      <c r="EA500"/>
      <c r="EB500"/>
      <c r="EC500"/>
      <c r="ED500"/>
      <c r="EE500"/>
      <c r="EF500"/>
      <c r="EJ500"/>
      <c r="EK500"/>
      <c r="EL500"/>
      <c r="ER500" s="212"/>
    </row>
    <row r="501" spans="1:148" s="923" customFormat="1" ht="12.75" hidden="1" customHeight="1" outlineLevel="1" x14ac:dyDescent="0.2">
      <c r="A501" s="865"/>
      <c r="B501" s="847"/>
      <c r="C501" s="847"/>
      <c r="D501" s="847"/>
      <c r="E501" s="847"/>
      <c r="F501" s="847"/>
      <c r="G501" s="847"/>
      <c r="H501" s="847"/>
      <c r="I501" s="847"/>
      <c r="J501" s="847"/>
      <c r="K501" s="847"/>
      <c r="L501" s="847"/>
      <c r="M501" s="847"/>
      <c r="N501" s="847"/>
      <c r="O501" s="847"/>
      <c r="P501" s="847"/>
      <c r="Q501" s="847"/>
      <c r="R501" s="847"/>
      <c r="S501" s="847"/>
      <c r="T501" s="847"/>
      <c r="U501" s="847"/>
      <c r="V501" s="847"/>
      <c r="W501" s="847"/>
      <c r="X501" s="847"/>
      <c r="Y501" s="847"/>
      <c r="Z501" s="847"/>
      <c r="AA501" s="847"/>
      <c r="AB501" s="847"/>
      <c r="AC501" s="847"/>
      <c r="AD501" s="847"/>
      <c r="AE501" s="847"/>
      <c r="AF501" s="847"/>
      <c r="AG501" s="847"/>
      <c r="AH501" s="847"/>
      <c r="AI501" s="847"/>
      <c r="AJ501" s="847"/>
      <c r="AK501" s="847"/>
      <c r="AL501" s="847"/>
      <c r="AM501" s="847"/>
      <c r="AN501" s="847"/>
      <c r="AO501" s="847"/>
      <c r="AP501" s="847"/>
      <c r="AQ501" s="847"/>
      <c r="AR501" s="847"/>
      <c r="AS501" s="847"/>
      <c r="AT501" s="847"/>
      <c r="AU501" s="847"/>
      <c r="AV501" s="847"/>
      <c r="AW501" s="847"/>
      <c r="AX501" s="847"/>
      <c r="AY501" s="847"/>
      <c r="AZ501" s="847"/>
      <c r="BA501" s="847"/>
      <c r="BB501" s="847"/>
      <c r="BC501" s="847"/>
      <c r="BD501" s="847"/>
      <c r="BE501" s="847"/>
      <c r="BF501" s="847"/>
      <c r="BG501" s="847"/>
      <c r="BH501" s="847"/>
      <c r="BI501" s="847"/>
      <c r="BJ501" s="847"/>
      <c r="BK501" s="847"/>
      <c r="BL501" s="847"/>
      <c r="BM501" s="847"/>
      <c r="BN501" s="847"/>
      <c r="BO501" s="847"/>
      <c r="BP501" s="847"/>
      <c r="BQ501" s="847"/>
      <c r="BR501" s="847"/>
      <c r="BS501" s="847"/>
      <c r="BT501" s="847"/>
      <c r="BU501" s="847"/>
      <c r="BV501" s="847"/>
      <c r="BW501" s="847"/>
      <c r="BX501" s="847"/>
      <c r="BY501" s="847"/>
      <c r="BZ501" s="847"/>
      <c r="CA501" s="847"/>
      <c r="CB501" s="847"/>
      <c r="CC501" s="847"/>
      <c r="CD501" s="847"/>
      <c r="CE501" s="847"/>
      <c r="CF501" s="847"/>
      <c r="CG501" s="847"/>
      <c r="CH501" s="847"/>
      <c r="CI501" s="847"/>
      <c r="CJ501" s="847"/>
      <c r="CK501" s="847"/>
      <c r="CL501" s="847"/>
      <c r="CM501" s="847"/>
      <c r="CN501" s="847"/>
      <c r="CO501" s="847"/>
      <c r="CP501" s="847"/>
      <c r="CQ501" s="847"/>
      <c r="CR501" s="847"/>
      <c r="CS501" s="847"/>
      <c r="CT501" s="847"/>
      <c r="CU501" s="847"/>
      <c r="CV501" s="847"/>
      <c r="CW501" s="847"/>
      <c r="CX501" s="847"/>
      <c r="CY501" s="847"/>
      <c r="CZ501" s="847"/>
      <c r="DA501" s="847"/>
      <c r="DB501"/>
      <c r="DC501"/>
      <c r="DD501" s="2323"/>
      <c r="DE501" s="2349"/>
      <c r="DF501" s="2349"/>
      <c r="DG501" s="2349"/>
      <c r="DH501" s="2349"/>
      <c r="DI501" s="2349"/>
      <c r="DJ501" s="2349"/>
      <c r="DK501" s="2349"/>
      <c r="DL501" s="2349"/>
      <c r="DM501" s="2349"/>
      <c r="DN501" s="2349"/>
      <c r="DO501" s="2349"/>
      <c r="DP501" s="2349"/>
      <c r="DQ501" s="2349"/>
      <c r="DR501" s="2349"/>
      <c r="DS501" s="2349"/>
      <c r="DT501" s="2349"/>
      <c r="DU501" s="2349"/>
      <c r="DV501" s="2349"/>
      <c r="DW501" s="2349"/>
      <c r="DX501" s="2349"/>
      <c r="DY501" s="2349"/>
      <c r="EA501"/>
      <c r="EB501"/>
      <c r="EC501"/>
      <c r="ED501"/>
      <c r="EE501"/>
      <c r="EF501"/>
      <c r="EJ501"/>
      <c r="EK501"/>
      <c r="EL501"/>
      <c r="ER501" s="212"/>
    </row>
    <row r="502" spans="1:148" s="923" customFormat="1" ht="12.75" hidden="1" customHeight="1" outlineLevel="1" x14ac:dyDescent="0.2">
      <c r="A502" s="892" t="s">
        <v>1656</v>
      </c>
      <c r="B502" s="847"/>
      <c r="C502" s="847"/>
      <c r="D502" s="847"/>
      <c r="E502" s="847"/>
      <c r="F502" s="847"/>
      <c r="G502" s="847"/>
      <c r="H502" s="847"/>
      <c r="I502" s="847"/>
      <c r="J502" s="847"/>
      <c r="K502" s="847"/>
      <c r="L502" s="847"/>
      <c r="M502" s="847"/>
      <c r="N502" s="847"/>
      <c r="O502" s="847"/>
      <c r="P502" s="847"/>
      <c r="Q502" s="847"/>
      <c r="R502" s="847"/>
      <c r="S502" s="847"/>
      <c r="T502" s="847"/>
      <c r="U502" s="847"/>
      <c r="V502" s="847"/>
      <c r="W502" s="847"/>
      <c r="X502" s="847"/>
      <c r="Y502" s="847"/>
      <c r="Z502" s="847"/>
      <c r="AA502" s="847"/>
      <c r="AB502" s="847"/>
      <c r="AC502" s="847"/>
      <c r="AD502" s="847"/>
      <c r="AE502" s="847"/>
      <c r="AF502" s="847"/>
      <c r="AG502" s="847"/>
      <c r="AH502" s="847"/>
      <c r="AI502" s="847"/>
      <c r="AJ502" s="847"/>
      <c r="AK502" s="847"/>
      <c r="AL502" s="847"/>
      <c r="AM502" s="847"/>
      <c r="AN502" s="847"/>
      <c r="AO502" s="847"/>
      <c r="AP502" s="847"/>
      <c r="AQ502" s="847"/>
      <c r="AR502" s="847"/>
      <c r="AS502" s="847"/>
      <c r="AT502" s="847"/>
      <c r="AU502" s="847"/>
      <c r="AV502" s="847"/>
      <c r="AW502" s="847"/>
      <c r="AX502" s="847"/>
      <c r="AY502" s="847"/>
      <c r="AZ502" s="847"/>
      <c r="BA502" s="847"/>
      <c r="BB502" s="847"/>
      <c r="BC502" s="847"/>
      <c r="BD502" s="847"/>
      <c r="BE502" s="847"/>
      <c r="BF502" s="847"/>
      <c r="BG502" s="847"/>
      <c r="BH502" s="847"/>
      <c r="BI502" s="847"/>
      <c r="BJ502" s="847"/>
      <c r="BK502" s="847"/>
      <c r="BL502" s="847"/>
      <c r="BM502" s="847"/>
      <c r="BN502" s="847"/>
      <c r="BO502" s="847"/>
      <c r="BP502" s="847"/>
      <c r="BQ502" s="847"/>
      <c r="BR502" s="847"/>
      <c r="BS502" s="847"/>
      <c r="BT502" s="847"/>
      <c r="BU502" s="847"/>
      <c r="BV502" s="847"/>
      <c r="BW502" s="847"/>
      <c r="BX502" s="847"/>
      <c r="BY502" s="847"/>
      <c r="BZ502" s="847"/>
      <c r="CA502" s="847"/>
      <c r="CB502" s="847"/>
      <c r="CC502" s="847"/>
      <c r="CD502" s="847"/>
      <c r="CE502" s="847"/>
      <c r="CF502" s="847"/>
      <c r="CG502" s="847"/>
      <c r="CH502" s="847"/>
      <c r="CI502" s="847"/>
      <c r="CJ502" s="847"/>
      <c r="CK502" s="847"/>
      <c r="CL502" s="847"/>
      <c r="CM502" s="847"/>
      <c r="CN502" s="847"/>
      <c r="CO502" s="847"/>
      <c r="CP502" s="847"/>
      <c r="CQ502" s="847"/>
      <c r="CR502" s="847"/>
      <c r="CS502" s="847"/>
      <c r="CT502" s="847"/>
      <c r="CU502" s="847"/>
      <c r="CV502" s="847"/>
      <c r="CW502" s="847"/>
      <c r="CX502" s="847"/>
      <c r="CY502" s="847"/>
      <c r="CZ502" s="847"/>
      <c r="DA502" s="847"/>
      <c r="DB502"/>
      <c r="DC502"/>
      <c r="DD502" s="892" t="s">
        <v>1656</v>
      </c>
      <c r="DE502" s="2349">
        <f t="shared" ref="DE502:DE507" si="962">M502</f>
        <v>0</v>
      </c>
      <c r="DF502" s="2349">
        <f t="shared" ref="DF502:DF507" si="963">R502</f>
        <v>0</v>
      </c>
      <c r="DG502" s="2349">
        <f t="shared" ref="DG502:DG507" si="964">W502</f>
        <v>0</v>
      </c>
      <c r="DH502" s="2349">
        <f t="shared" ref="DH502:DH507" si="965">AB502</f>
        <v>0</v>
      </c>
      <c r="DI502" s="2349">
        <f t="shared" ref="DI502:DI507" si="966">AG502</f>
        <v>0</v>
      </c>
      <c r="DJ502" s="2349">
        <f t="shared" ref="DJ502:DJ507" si="967">AL502</f>
        <v>0</v>
      </c>
      <c r="DK502" s="2349">
        <f t="shared" ref="DK502:DK507" si="968">AQ502</f>
        <v>0</v>
      </c>
      <c r="DL502" s="2349">
        <f t="shared" ref="DL502:DL507" si="969">AV502</f>
        <v>0</v>
      </c>
      <c r="DM502" s="2349">
        <f t="shared" ref="DM502:DM507" si="970">BA502</f>
        <v>0</v>
      </c>
      <c r="DN502" s="2349">
        <f t="shared" ref="DN502:DN507" si="971">BF502</f>
        <v>0</v>
      </c>
      <c r="DO502" s="2349">
        <f t="shared" ref="DO502:DO507" si="972">BK502</f>
        <v>0</v>
      </c>
      <c r="DP502" s="2349">
        <f t="shared" ref="DP502:DP507" si="973">BP502</f>
        <v>0</v>
      </c>
      <c r="DQ502" s="2349">
        <f t="shared" ref="DQ502:DQ507" si="974">BU502</f>
        <v>0</v>
      </c>
      <c r="DR502" s="2349">
        <f t="shared" ref="DR502:DR507" si="975">BZ502</f>
        <v>0</v>
      </c>
      <c r="DS502" s="2349">
        <f t="shared" ref="DS502:DS507" si="976">CE502</f>
        <v>0</v>
      </c>
      <c r="DT502" s="2349">
        <f t="shared" ref="DT502:DT507" si="977">CJ502</f>
        <v>0</v>
      </c>
      <c r="DU502" s="2349">
        <f t="shared" ref="DU502:DU507" si="978">CO502</f>
        <v>0</v>
      </c>
      <c r="DV502" s="2349">
        <f t="shared" ref="DV502:DV507" si="979">CT502</f>
        <v>0</v>
      </c>
      <c r="DW502" s="2349">
        <f t="shared" ref="DW502:DW507" si="980">CY502</f>
        <v>0</v>
      </c>
      <c r="DX502" s="2349">
        <f t="shared" ref="DX502:DX507" si="981">CZ502</f>
        <v>0</v>
      </c>
      <c r="DY502" s="2349">
        <f t="shared" ref="DY502:DY507" si="982">DA502</f>
        <v>0</v>
      </c>
      <c r="EA502"/>
      <c r="EB502"/>
      <c r="EC502"/>
      <c r="ED502"/>
      <c r="EE502"/>
      <c r="EF502"/>
      <c r="EJ502"/>
      <c r="EK502"/>
      <c r="EL502"/>
      <c r="ER502" s="212"/>
    </row>
    <row r="503" spans="1:148" s="923" customFormat="1" ht="12.75" hidden="1" customHeight="1" outlineLevel="1" x14ac:dyDescent="0.2">
      <c r="A503" s="893" t="s">
        <v>1657</v>
      </c>
      <c r="B503" s="765"/>
      <c r="C503" s="765"/>
      <c r="D503" s="765"/>
      <c r="E503" s="765"/>
      <c r="F503" s="765"/>
      <c r="G503" s="765"/>
      <c r="H503" s="765"/>
      <c r="I503" s="765"/>
      <c r="J503" s="765"/>
      <c r="K503" s="765"/>
      <c r="L503" s="765"/>
      <c r="M503" s="765"/>
      <c r="N503" s="765">
        <f>M506</f>
        <v>170</v>
      </c>
      <c r="O503" s="765">
        <f>N506</f>
        <v>182.43799999999999</v>
      </c>
      <c r="P503" s="765">
        <f>O506</f>
        <v>192.14400000000001</v>
      </c>
      <c r="Q503" s="765">
        <f>P506</f>
        <v>212.96199999999999</v>
      </c>
      <c r="R503" s="765">
        <f>M506</f>
        <v>170</v>
      </c>
      <c r="S503" s="765">
        <f>R506</f>
        <v>290</v>
      </c>
      <c r="T503" s="765">
        <f>S506</f>
        <v>250.52657724788872</v>
      </c>
      <c r="U503" s="765">
        <f>T506</f>
        <v>225.07516591731491</v>
      </c>
      <c r="V503" s="765">
        <f>U506</f>
        <v>210</v>
      </c>
      <c r="W503" s="765">
        <f>R506</f>
        <v>290</v>
      </c>
      <c r="X503" s="765">
        <f>W506</f>
        <v>153</v>
      </c>
      <c r="Y503" s="765">
        <f>X506</f>
        <v>199</v>
      </c>
      <c r="Z503" s="765">
        <f>Y506</f>
        <v>143</v>
      </c>
      <c r="AA503" s="765">
        <f>Z506</f>
        <v>211</v>
      </c>
      <c r="AB503" s="765">
        <f>W506</f>
        <v>153</v>
      </c>
      <c r="AC503" s="765">
        <f>AB506</f>
        <v>152</v>
      </c>
      <c r="AD503" s="765">
        <f>AC506</f>
        <v>217</v>
      </c>
      <c r="AE503" s="765">
        <f>AD506</f>
        <v>177</v>
      </c>
      <c r="AF503" s="765">
        <f>AE506</f>
        <v>289</v>
      </c>
      <c r="AG503" s="765">
        <f>AB506</f>
        <v>152</v>
      </c>
      <c r="AH503" s="765">
        <f>AG506</f>
        <v>289</v>
      </c>
      <c r="AI503" s="765">
        <f>AH506</f>
        <v>369</v>
      </c>
      <c r="AJ503" s="765">
        <f>AI506</f>
        <v>293</v>
      </c>
      <c r="AK503" s="765">
        <f>AJ506</f>
        <v>392</v>
      </c>
      <c r="AL503" s="765">
        <f>AG506</f>
        <v>289</v>
      </c>
      <c r="AM503" s="765">
        <f>AL506</f>
        <v>311</v>
      </c>
      <c r="AN503" s="765">
        <f>AM506</f>
        <v>363</v>
      </c>
      <c r="AO503" s="765">
        <f>AN506</f>
        <v>220</v>
      </c>
      <c r="AP503" s="765">
        <f>AO506</f>
        <v>357</v>
      </c>
      <c r="AQ503" s="765">
        <f>AL506</f>
        <v>311</v>
      </c>
      <c r="AR503" s="765">
        <f>AQ506</f>
        <v>316</v>
      </c>
      <c r="AS503" s="765">
        <f>AR506</f>
        <v>401</v>
      </c>
      <c r="AT503" s="765">
        <f>AS506</f>
        <v>286</v>
      </c>
      <c r="AU503" s="765">
        <f>AT506</f>
        <v>421</v>
      </c>
      <c r="AV503" s="765">
        <f>AQ506</f>
        <v>316</v>
      </c>
      <c r="AW503" s="765">
        <f>AV506</f>
        <v>408</v>
      </c>
      <c r="AX503" s="765">
        <f>AW506</f>
        <v>512</v>
      </c>
      <c r="AY503" s="765">
        <f>AX506</f>
        <v>382</v>
      </c>
      <c r="AZ503" s="765">
        <f>AY506</f>
        <v>503</v>
      </c>
      <c r="BA503" s="765">
        <f>AV506</f>
        <v>408</v>
      </c>
      <c r="BB503" s="765">
        <f>BA506</f>
        <v>607</v>
      </c>
      <c r="BC503" s="765">
        <f>BB506</f>
        <v>354</v>
      </c>
      <c r="BD503" s="765">
        <f>BC506</f>
        <v>399</v>
      </c>
      <c r="BE503" s="765">
        <f>BD506</f>
        <v>438</v>
      </c>
      <c r="BF503" s="765">
        <f>BA506</f>
        <v>607</v>
      </c>
      <c r="BG503" s="765">
        <f>BF506</f>
        <v>452</v>
      </c>
      <c r="BH503" s="765">
        <f>BG506</f>
        <v>1268</v>
      </c>
      <c r="BI503" s="765">
        <f>BH506</f>
        <v>1230</v>
      </c>
      <c r="BJ503" s="765">
        <f>BI506</f>
        <v>1295</v>
      </c>
      <c r="BK503" s="765">
        <f>BF506</f>
        <v>452</v>
      </c>
      <c r="BL503" s="765">
        <f>BK506</f>
        <v>1264</v>
      </c>
      <c r="BM503" s="765">
        <f>BL506</f>
        <v>1216</v>
      </c>
      <c r="BN503" s="765">
        <f>BM506</f>
        <v>1127</v>
      </c>
      <c r="BO503" s="765">
        <f>BN506</f>
        <v>1102</v>
      </c>
      <c r="BP503" s="765">
        <f>BK506</f>
        <v>1264</v>
      </c>
      <c r="BQ503" s="765">
        <v>0</v>
      </c>
      <c r="BR503" s="765">
        <f>BQ506</f>
        <v>0</v>
      </c>
      <c r="BS503" s="765">
        <f>BR506</f>
        <v>0</v>
      </c>
      <c r="BT503" s="765">
        <f>BS506</f>
        <v>0</v>
      </c>
      <c r="BU503" s="765">
        <v>0</v>
      </c>
      <c r="BV503" s="765"/>
      <c r="BW503" s="765"/>
      <c r="BX503" s="765"/>
      <c r="BY503" s="765"/>
      <c r="BZ503" s="765"/>
      <c r="CA503" s="765"/>
      <c r="CB503" s="765"/>
      <c r="CC503" s="765"/>
      <c r="CD503" s="765"/>
      <c r="CE503" s="765"/>
      <c r="CF503" s="765"/>
      <c r="CG503" s="765"/>
      <c r="CH503" s="765"/>
      <c r="CI503" s="765"/>
      <c r="CJ503" s="765"/>
      <c r="CK503" s="765"/>
      <c r="CL503" s="765"/>
      <c r="CM503" s="765"/>
      <c r="CN503" s="765"/>
      <c r="CO503" s="765"/>
      <c r="CP503" s="765"/>
      <c r="CQ503" s="765"/>
      <c r="CR503" s="765"/>
      <c r="CS503" s="765"/>
      <c r="CT503" s="765"/>
      <c r="CU503" s="765"/>
      <c r="CV503" s="765"/>
      <c r="CW503" s="765"/>
      <c r="CX503" s="765"/>
      <c r="CY503" s="765"/>
      <c r="CZ503" s="765"/>
      <c r="DA503" s="765"/>
      <c r="DB503"/>
      <c r="DC503"/>
      <c r="DD503" s="2351" t="s">
        <v>1657</v>
      </c>
      <c r="DE503" s="2350">
        <f t="shared" si="962"/>
        <v>0</v>
      </c>
      <c r="DF503" s="2350">
        <f t="shared" si="963"/>
        <v>170</v>
      </c>
      <c r="DG503" s="2350">
        <f t="shared" si="964"/>
        <v>290</v>
      </c>
      <c r="DH503" s="2350">
        <f t="shared" si="965"/>
        <v>153</v>
      </c>
      <c r="DI503" s="2350">
        <f t="shared" si="966"/>
        <v>152</v>
      </c>
      <c r="DJ503" s="2350">
        <f t="shared" si="967"/>
        <v>289</v>
      </c>
      <c r="DK503" s="2350">
        <f t="shared" si="968"/>
        <v>311</v>
      </c>
      <c r="DL503" s="2350">
        <f t="shared" si="969"/>
        <v>316</v>
      </c>
      <c r="DM503" s="2350">
        <f t="shared" si="970"/>
        <v>408</v>
      </c>
      <c r="DN503" s="2350">
        <f t="shared" si="971"/>
        <v>607</v>
      </c>
      <c r="DO503" s="2350">
        <f t="shared" si="972"/>
        <v>452</v>
      </c>
      <c r="DP503" s="2350">
        <f t="shared" si="973"/>
        <v>1264</v>
      </c>
      <c r="DQ503" s="2350">
        <f t="shared" si="974"/>
        <v>0</v>
      </c>
      <c r="DR503" s="2350">
        <f t="shared" si="975"/>
        <v>0</v>
      </c>
      <c r="DS503" s="2350">
        <f t="shared" si="976"/>
        <v>0</v>
      </c>
      <c r="DT503" s="2350">
        <f t="shared" si="977"/>
        <v>0</v>
      </c>
      <c r="DU503" s="2350">
        <f t="shared" si="978"/>
        <v>0</v>
      </c>
      <c r="DV503" s="2350">
        <f t="shared" si="979"/>
        <v>0</v>
      </c>
      <c r="DW503" s="2350">
        <f t="shared" si="980"/>
        <v>0</v>
      </c>
      <c r="DX503" s="2350">
        <f t="shared" si="981"/>
        <v>0</v>
      </c>
      <c r="DY503" s="2350">
        <f t="shared" si="982"/>
        <v>0</v>
      </c>
      <c r="EA503"/>
      <c r="EB503"/>
      <c r="EC503"/>
      <c r="ED503"/>
      <c r="EE503"/>
      <c r="EF503"/>
      <c r="EJ503"/>
      <c r="EK503"/>
      <c r="EL503"/>
      <c r="ER503" s="212"/>
    </row>
    <row r="504" spans="1:148" s="923" customFormat="1" ht="12.75" hidden="1" customHeight="1" outlineLevel="1" x14ac:dyDescent="0.2">
      <c r="A504" s="893" t="s">
        <v>1658</v>
      </c>
      <c r="B504" s="765"/>
      <c r="C504" s="765"/>
      <c r="D504" s="765"/>
      <c r="E504" s="765"/>
      <c r="F504" s="765"/>
      <c r="G504" s="765"/>
      <c r="H504" s="765"/>
      <c r="I504" s="765"/>
      <c r="J504" s="765"/>
      <c r="K504" s="765"/>
      <c r="L504" s="765"/>
      <c r="M504" s="765"/>
      <c r="N504" s="765">
        <f>+N511*N436</f>
        <v>74.437999999999988</v>
      </c>
      <c r="O504" s="765">
        <f>+O511*O436</f>
        <v>76.705999999999989</v>
      </c>
      <c r="P504" s="765">
        <f>+P511*P436</f>
        <v>90.817999999999998</v>
      </c>
      <c r="Q504" s="765">
        <f>+Q506-Q503-Q505</f>
        <v>77.038000000000011</v>
      </c>
      <c r="R504" s="765">
        <f>SUM(N504:Q504)</f>
        <v>319</v>
      </c>
      <c r="S504" s="765">
        <f>+S506-S505-S503</f>
        <v>49.526577247888724</v>
      </c>
      <c r="T504" s="765">
        <f>+T506-T505-T503</f>
        <v>59.548588669426181</v>
      </c>
      <c r="U504" s="765">
        <f>+U506-U505-U503</f>
        <v>62.924834082685095</v>
      </c>
      <c r="V504" s="765">
        <f>+V506-V505-V503</f>
        <v>78</v>
      </c>
      <c r="W504" s="765">
        <f>SUM(S504:V504)</f>
        <v>250</v>
      </c>
      <c r="X504" s="765">
        <f>+X506-X505-X503</f>
        <v>46</v>
      </c>
      <c r="Y504" s="765">
        <f>+Y506-Y505-Y503</f>
        <v>74</v>
      </c>
      <c r="Z504" s="765">
        <f>+Z506-Z505-Z503</f>
        <v>68</v>
      </c>
      <c r="AA504" s="765">
        <f>+AA506-AA505-AA503</f>
        <v>92</v>
      </c>
      <c r="AB504" s="765">
        <f>SUM(X504:AA504)</f>
        <v>280</v>
      </c>
      <c r="AC504" s="765">
        <f>+AC506-AC505-AC503</f>
        <v>65</v>
      </c>
      <c r="AD504" s="765">
        <f>+AD506-AD505-AD503</f>
        <v>110</v>
      </c>
      <c r="AE504" s="765">
        <f>+AE506-AE505-AE503</f>
        <v>112</v>
      </c>
      <c r="AF504" s="765">
        <f>+AF506-AF505-AF503</f>
        <v>181</v>
      </c>
      <c r="AG504" s="765">
        <f>SUM(AC504:AF504)</f>
        <v>468</v>
      </c>
      <c r="AH504" s="765">
        <f>+AH506-AH505-AH503</f>
        <v>80</v>
      </c>
      <c r="AI504" s="765">
        <f>+AI506-AI505-AI503</f>
        <v>120</v>
      </c>
      <c r="AJ504" s="765">
        <f>+AJ506-AJ505-AJ503</f>
        <v>99</v>
      </c>
      <c r="AK504" s="765">
        <f>+AK506-AK505-AK503</f>
        <v>149</v>
      </c>
      <c r="AL504" s="765">
        <f>SUM(AH504:AK504)</f>
        <v>448</v>
      </c>
      <c r="AM504" s="765">
        <f>+AM506-AM505-AM503</f>
        <v>52</v>
      </c>
      <c r="AN504" s="765">
        <f>+AN506-AN505-AN503</f>
        <v>107</v>
      </c>
      <c r="AO504" s="765">
        <f>+AO506-AO505-AO503</f>
        <v>137</v>
      </c>
      <c r="AP504" s="765">
        <f>+AP506-AP505-AP503</f>
        <v>239</v>
      </c>
      <c r="AQ504" s="765">
        <f>SUM(AM504:AP504)</f>
        <v>535</v>
      </c>
      <c r="AR504" s="765">
        <f>+AR506-AR505-AR503</f>
        <v>85</v>
      </c>
      <c r="AS504" s="765">
        <f>+AS506-AS505-AS503</f>
        <v>155</v>
      </c>
      <c r="AT504" s="765">
        <f>+AT506-AT505-AT503</f>
        <v>135</v>
      </c>
      <c r="AU504" s="765">
        <f>+AU506-AU505-AU503</f>
        <v>237</v>
      </c>
      <c r="AV504" s="765">
        <f>SUM(AR504:AU504)</f>
        <v>612</v>
      </c>
      <c r="AW504" s="765">
        <f>+AW506-AW505-AW503</f>
        <v>104</v>
      </c>
      <c r="AX504" s="765">
        <f>+AX506-AX505-AX503</f>
        <v>170</v>
      </c>
      <c r="AY504" s="765">
        <f>+AY506-AY505-AY503</f>
        <v>121</v>
      </c>
      <c r="AZ504" s="765">
        <f>+AZ506-AZ505-AZ503</f>
        <v>104</v>
      </c>
      <c r="BA504" s="765">
        <f>SUM(AW504:AZ504)</f>
        <v>499</v>
      </c>
      <c r="BB504" s="765">
        <f>+BB506-BB505-BB503</f>
        <v>31</v>
      </c>
      <c r="BC504" s="765">
        <f>+BC506-BC505-BC503</f>
        <v>45</v>
      </c>
      <c r="BD504" s="765">
        <f>+BD506-BD505-BD503</f>
        <v>39</v>
      </c>
      <c r="BE504" s="765">
        <f>+BE506-BE505-BE503</f>
        <v>176</v>
      </c>
      <c r="BF504" s="765">
        <f>SUM(BB504:BE504)</f>
        <v>291</v>
      </c>
      <c r="BG504" s="765">
        <f>+BG506-BG505-BG503</f>
        <v>816</v>
      </c>
      <c r="BH504" s="765">
        <f>+BH506-BH505-BH503</f>
        <v>-38</v>
      </c>
      <c r="BI504" s="765">
        <f>+BI506-BI505-BI503</f>
        <v>65</v>
      </c>
      <c r="BJ504" s="765">
        <f>+BJ506-BJ505-BJ503</f>
        <v>-31</v>
      </c>
      <c r="BK504" s="765">
        <f>SUM(BG504:BJ504)</f>
        <v>812</v>
      </c>
      <c r="BL504" s="765">
        <f>+BL506-BL505-BL503</f>
        <v>-48</v>
      </c>
      <c r="BM504" s="765">
        <f>+BM506-BM505-BM503</f>
        <v>-89</v>
      </c>
      <c r="BN504" s="765">
        <f>+BN506-BN505-BN503</f>
        <v>-25</v>
      </c>
      <c r="BO504" s="765">
        <f>+BO511*BO436</f>
        <v>128.05000000000001</v>
      </c>
      <c r="BP504" s="765">
        <f>SUM(BL504:BO504)</f>
        <v>-33.949999999999989</v>
      </c>
      <c r="BQ504" s="765">
        <f>+BQ511*BQ436</f>
        <v>0</v>
      </c>
      <c r="BR504" s="765">
        <f>+BR511*BR436</f>
        <v>0</v>
      </c>
      <c r="BS504" s="765">
        <f>+BS511*BS436</f>
        <v>0</v>
      </c>
      <c r="BT504" s="765">
        <f>+BT511*BT436</f>
        <v>0</v>
      </c>
      <c r="BU504" s="765">
        <f>SUM(BQ504:BT504)</f>
        <v>0</v>
      </c>
      <c r="BV504" s="765"/>
      <c r="BW504" s="765"/>
      <c r="BX504" s="765"/>
      <c r="BY504" s="765"/>
      <c r="BZ504" s="765"/>
      <c r="CA504" s="765"/>
      <c r="CB504" s="765"/>
      <c r="CC504" s="765"/>
      <c r="CD504" s="765"/>
      <c r="CE504" s="765"/>
      <c r="CF504" s="765"/>
      <c r="CG504" s="765"/>
      <c r="CH504" s="765"/>
      <c r="CI504" s="765"/>
      <c r="CJ504" s="765"/>
      <c r="CK504" s="765"/>
      <c r="CL504" s="765"/>
      <c r="CM504" s="765"/>
      <c r="CN504" s="765"/>
      <c r="CO504" s="765"/>
      <c r="CP504" s="765"/>
      <c r="CQ504" s="765"/>
      <c r="CR504" s="765"/>
      <c r="CS504" s="765"/>
      <c r="CT504" s="765"/>
      <c r="CU504" s="765"/>
      <c r="CV504" s="765"/>
      <c r="CW504" s="765"/>
      <c r="CX504" s="765"/>
      <c r="CY504" s="765"/>
      <c r="CZ504" s="765"/>
      <c r="DA504" s="765"/>
      <c r="DB504"/>
      <c r="DC504"/>
      <c r="DD504" s="2351" t="s">
        <v>1658</v>
      </c>
      <c r="DE504" s="2350">
        <f t="shared" si="962"/>
        <v>0</v>
      </c>
      <c r="DF504" s="2350">
        <f t="shared" si="963"/>
        <v>319</v>
      </c>
      <c r="DG504" s="2350">
        <f t="shared" si="964"/>
        <v>250</v>
      </c>
      <c r="DH504" s="2350">
        <f t="shared" si="965"/>
        <v>280</v>
      </c>
      <c r="DI504" s="2350">
        <f t="shared" si="966"/>
        <v>468</v>
      </c>
      <c r="DJ504" s="2350">
        <f t="shared" si="967"/>
        <v>448</v>
      </c>
      <c r="DK504" s="2350">
        <f t="shared" si="968"/>
        <v>535</v>
      </c>
      <c r="DL504" s="2350">
        <f t="shared" si="969"/>
        <v>612</v>
      </c>
      <c r="DM504" s="2350">
        <f t="shared" si="970"/>
        <v>499</v>
      </c>
      <c r="DN504" s="2350">
        <f t="shared" si="971"/>
        <v>291</v>
      </c>
      <c r="DO504" s="2350">
        <f t="shared" si="972"/>
        <v>812</v>
      </c>
      <c r="DP504" s="2350">
        <f t="shared" si="973"/>
        <v>-33.949999999999989</v>
      </c>
      <c r="DQ504" s="2350">
        <f t="shared" si="974"/>
        <v>0</v>
      </c>
      <c r="DR504" s="2350">
        <f t="shared" si="975"/>
        <v>0</v>
      </c>
      <c r="DS504" s="2350">
        <f t="shared" si="976"/>
        <v>0</v>
      </c>
      <c r="DT504" s="2350">
        <f t="shared" si="977"/>
        <v>0</v>
      </c>
      <c r="DU504" s="2350">
        <f t="shared" si="978"/>
        <v>0</v>
      </c>
      <c r="DV504" s="2350">
        <f t="shared" si="979"/>
        <v>0</v>
      </c>
      <c r="DW504" s="2350">
        <f t="shared" si="980"/>
        <v>0</v>
      </c>
      <c r="DX504" s="2350">
        <f t="shared" si="981"/>
        <v>0</v>
      </c>
      <c r="DY504" s="2350">
        <f t="shared" si="982"/>
        <v>0</v>
      </c>
      <c r="EA504"/>
      <c r="EB504"/>
      <c r="EC504"/>
      <c r="ED504"/>
      <c r="EE504"/>
      <c r="EF504"/>
      <c r="EJ504"/>
      <c r="EK504"/>
      <c r="EL504"/>
      <c r="ER504" s="212"/>
    </row>
    <row r="505" spans="1:148" s="923" customFormat="1" ht="12.75" hidden="1" customHeight="1" outlineLevel="1" x14ac:dyDescent="0.2">
      <c r="A505" s="893" t="s">
        <v>1659</v>
      </c>
      <c r="B505" s="881"/>
      <c r="C505" s="881"/>
      <c r="D505" s="881"/>
      <c r="E505" s="881"/>
      <c r="F505" s="881"/>
      <c r="G505" s="881"/>
      <c r="H505" s="881"/>
      <c r="I505" s="881"/>
      <c r="J505" s="881"/>
      <c r="K505" s="881"/>
      <c r="L505" s="881"/>
      <c r="M505" s="881"/>
      <c r="N505" s="881">
        <v>-62</v>
      </c>
      <c r="O505" s="881">
        <v>-67</v>
      </c>
      <c r="P505" s="881">
        <f>-199-O505-N505</f>
        <v>-70</v>
      </c>
      <c r="Q505" s="881">
        <f>-199-P505-O505-N505</f>
        <v>0</v>
      </c>
      <c r="R505" s="881">
        <f>SUM(N505:Q505)</f>
        <v>-199</v>
      </c>
      <c r="S505" s="881">
        <f>-174-T505</f>
        <v>-89</v>
      </c>
      <c r="T505" s="881">
        <v>-85</v>
      </c>
      <c r="U505" s="881">
        <f>-252-T505-S505</f>
        <v>-78</v>
      </c>
      <c r="V505" s="881">
        <f>-387-U505-T505-S505</f>
        <v>-135</v>
      </c>
      <c r="W505" s="881">
        <f>SUM(S505:V505)</f>
        <v>-387</v>
      </c>
      <c r="X505" s="881">
        <v>0</v>
      </c>
      <c r="Y505" s="881">
        <v>-130</v>
      </c>
      <c r="Z505" s="881">
        <v>0</v>
      </c>
      <c r="AA505" s="881">
        <f>-281-Y505</f>
        <v>-151</v>
      </c>
      <c r="AB505" s="881">
        <f>SUM(X505:AA505)</f>
        <v>-281</v>
      </c>
      <c r="AC505" s="881">
        <v>0</v>
      </c>
      <c r="AD505" s="881">
        <v>-150</v>
      </c>
      <c r="AE505" s="881">
        <v>0</v>
      </c>
      <c r="AF505" s="881">
        <f>-331-AD505</f>
        <v>-181</v>
      </c>
      <c r="AG505" s="881">
        <f>SUM(AC505:AF505)</f>
        <v>-331</v>
      </c>
      <c r="AH505" s="881">
        <v>0</v>
      </c>
      <c r="AI505" s="881">
        <v>-196</v>
      </c>
      <c r="AJ505" s="881">
        <v>0</v>
      </c>
      <c r="AK505" s="881">
        <v>-230</v>
      </c>
      <c r="AL505" s="881">
        <f>SUM(AH505:AK505)</f>
        <v>-426</v>
      </c>
      <c r="AM505" s="881">
        <v>0</v>
      </c>
      <c r="AN505" s="881">
        <v>-250</v>
      </c>
      <c r="AO505" s="881">
        <v>0</v>
      </c>
      <c r="AP505" s="881">
        <v>-280</v>
      </c>
      <c r="AQ505" s="881">
        <f>SUM(AM505:AP505)</f>
        <v>-530</v>
      </c>
      <c r="AR505" s="881">
        <v>0</v>
      </c>
      <c r="AS505" s="881">
        <v>-270</v>
      </c>
      <c r="AT505" s="881">
        <v>0</v>
      </c>
      <c r="AU505" s="881">
        <v>-250</v>
      </c>
      <c r="AV505" s="881">
        <f>SUM(AR505:AU505)</f>
        <v>-520</v>
      </c>
      <c r="AW505" s="881">
        <v>0</v>
      </c>
      <c r="AX505" s="881">
        <v>-300</v>
      </c>
      <c r="AY505" s="881">
        <v>0</v>
      </c>
      <c r="AZ505" s="881">
        <v>0</v>
      </c>
      <c r="BA505" s="881">
        <f>SUM(AW505:AZ505)</f>
        <v>-300</v>
      </c>
      <c r="BB505" s="881">
        <v>-284</v>
      </c>
      <c r="BC505" s="881">
        <v>0</v>
      </c>
      <c r="BD505" s="881">
        <v>0</v>
      </c>
      <c r="BE505" s="881">
        <f>-380+218</f>
        <v>-162</v>
      </c>
      <c r="BF505" s="881">
        <f>SUM(BB505:BE505)</f>
        <v>-446</v>
      </c>
      <c r="BG505" s="881">
        <v>0</v>
      </c>
      <c r="BH505" s="881">
        <v>0</v>
      </c>
      <c r="BI505" s="881">
        <v>0</v>
      </c>
      <c r="BJ505" s="881">
        <v>0</v>
      </c>
      <c r="BK505" s="881">
        <f>SUM(BG505:BJ505)</f>
        <v>0</v>
      </c>
      <c r="BL505" s="881">
        <v>0</v>
      </c>
      <c r="BM505" s="881">
        <v>0</v>
      </c>
      <c r="BN505" s="881">
        <v>0</v>
      </c>
      <c r="BO505" s="881">
        <f>-BO507*BO503</f>
        <v>-385.7</v>
      </c>
      <c r="BP505" s="881">
        <f>SUM(BL505:BO505)</f>
        <v>-385.7</v>
      </c>
      <c r="BQ505" s="881">
        <f>-BQ507*BQ503</f>
        <v>0</v>
      </c>
      <c r="BR505" s="881">
        <f>-BR507*BR503</f>
        <v>0</v>
      </c>
      <c r="BS505" s="881">
        <f>-BS507*BS503</f>
        <v>0</v>
      </c>
      <c r="BT505" s="881">
        <v>0</v>
      </c>
      <c r="BU505" s="881">
        <f>SUM(BQ505:BT505)</f>
        <v>0</v>
      </c>
      <c r="BV505" s="881"/>
      <c r="BW505" s="881"/>
      <c r="BX505" s="881"/>
      <c r="BY505" s="881"/>
      <c r="BZ505" s="881"/>
      <c r="CA505" s="881"/>
      <c r="CB505" s="881"/>
      <c r="CC505" s="881"/>
      <c r="CD505" s="881"/>
      <c r="CE505" s="881"/>
      <c r="CF505" s="881"/>
      <c r="CG505" s="881"/>
      <c r="CH505" s="881"/>
      <c r="CI505" s="881"/>
      <c r="CJ505" s="881"/>
      <c r="CK505" s="881"/>
      <c r="CL505" s="881"/>
      <c r="CM505" s="881"/>
      <c r="CN505" s="881"/>
      <c r="CO505" s="881"/>
      <c r="CP505" s="881"/>
      <c r="CQ505" s="881"/>
      <c r="CR505" s="881"/>
      <c r="CS505" s="881"/>
      <c r="CT505" s="881"/>
      <c r="CU505" s="881"/>
      <c r="CV505" s="881"/>
      <c r="CW505" s="881"/>
      <c r="CX505" s="881"/>
      <c r="CY505" s="881"/>
      <c r="CZ505" s="881"/>
      <c r="DA505" s="881"/>
      <c r="DB505"/>
      <c r="DC505"/>
      <c r="DD505" s="2351" t="s">
        <v>1659</v>
      </c>
      <c r="DE505" s="877">
        <f t="shared" si="962"/>
        <v>0</v>
      </c>
      <c r="DF505" s="877">
        <f t="shared" si="963"/>
        <v>-199</v>
      </c>
      <c r="DG505" s="877">
        <f t="shared" si="964"/>
        <v>-387</v>
      </c>
      <c r="DH505" s="877">
        <f t="shared" si="965"/>
        <v>-281</v>
      </c>
      <c r="DI505" s="877">
        <f t="shared" si="966"/>
        <v>-331</v>
      </c>
      <c r="DJ505" s="877">
        <f t="shared" si="967"/>
        <v>-426</v>
      </c>
      <c r="DK505" s="877">
        <f t="shared" si="968"/>
        <v>-530</v>
      </c>
      <c r="DL505" s="877">
        <f t="shared" si="969"/>
        <v>-520</v>
      </c>
      <c r="DM505" s="877">
        <f t="shared" si="970"/>
        <v>-300</v>
      </c>
      <c r="DN505" s="877">
        <f t="shared" si="971"/>
        <v>-446</v>
      </c>
      <c r="DO505" s="877">
        <f t="shared" si="972"/>
        <v>0</v>
      </c>
      <c r="DP505" s="877">
        <f t="shared" si="973"/>
        <v>-385.7</v>
      </c>
      <c r="DQ505" s="877">
        <f t="shared" si="974"/>
        <v>0</v>
      </c>
      <c r="DR505" s="877">
        <f t="shared" si="975"/>
        <v>0</v>
      </c>
      <c r="DS505" s="877">
        <f t="shared" si="976"/>
        <v>0</v>
      </c>
      <c r="DT505" s="877">
        <f t="shared" si="977"/>
        <v>0</v>
      </c>
      <c r="DU505" s="877">
        <f t="shared" si="978"/>
        <v>0</v>
      </c>
      <c r="DV505" s="877">
        <f t="shared" si="979"/>
        <v>0</v>
      </c>
      <c r="DW505" s="877">
        <f t="shared" si="980"/>
        <v>0</v>
      </c>
      <c r="DX505" s="877">
        <f t="shared" si="981"/>
        <v>0</v>
      </c>
      <c r="DY505" s="877">
        <f t="shared" si="982"/>
        <v>0</v>
      </c>
      <c r="EA505"/>
      <c r="EB505"/>
      <c r="EC505"/>
      <c r="ED505"/>
      <c r="EE505"/>
      <c r="EF505"/>
      <c r="EJ505"/>
      <c r="EK505"/>
      <c r="EL505"/>
      <c r="ER505" s="212"/>
    </row>
    <row r="506" spans="1:148" s="923" customFormat="1" ht="12.75" hidden="1" customHeight="1" outlineLevel="1" x14ac:dyDescent="0.2">
      <c r="A506" s="894" t="s">
        <v>1660</v>
      </c>
      <c r="B506" s="854"/>
      <c r="C506" s="854"/>
      <c r="D506" s="854"/>
      <c r="E506" s="854"/>
      <c r="F506" s="854"/>
      <c r="G506" s="854"/>
      <c r="H506" s="854"/>
      <c r="I506" s="854">
        <f>+J506</f>
        <v>170</v>
      </c>
      <c r="J506" s="854">
        <f>+K506</f>
        <v>170</v>
      </c>
      <c r="K506" s="854">
        <f>+L506</f>
        <v>170</v>
      </c>
      <c r="L506" s="854">
        <f>+M506</f>
        <v>170</v>
      </c>
      <c r="M506" s="854">
        <f>M762</f>
        <v>170</v>
      </c>
      <c r="N506" s="854">
        <f>SUM(N503:N505)</f>
        <v>182.43799999999999</v>
      </c>
      <c r="O506" s="854">
        <f>SUM(O503:O505)</f>
        <v>192.14400000000001</v>
      </c>
      <c r="P506" s="854">
        <f>SUM(P503:P505)</f>
        <v>212.96199999999999</v>
      </c>
      <c r="Q506" s="854">
        <f>Q762</f>
        <v>290</v>
      </c>
      <c r="R506" s="854">
        <f>+Q506</f>
        <v>290</v>
      </c>
      <c r="S506" s="854">
        <f>S762</f>
        <v>250.52657724788872</v>
      </c>
      <c r="T506" s="854">
        <f>T762</f>
        <v>225.07516591731491</v>
      </c>
      <c r="U506" s="854">
        <f>U762</f>
        <v>210</v>
      </c>
      <c r="V506" s="854">
        <f>V762</f>
        <v>153</v>
      </c>
      <c r="W506" s="854">
        <f>SUM(W503:W505)</f>
        <v>153</v>
      </c>
      <c r="X506" s="854">
        <f>X762</f>
        <v>199</v>
      </c>
      <c r="Y506" s="854">
        <f>Y762</f>
        <v>143</v>
      </c>
      <c r="Z506" s="854">
        <f>Z762</f>
        <v>211</v>
      </c>
      <c r="AA506" s="854">
        <f>AA762</f>
        <v>152</v>
      </c>
      <c r="AB506" s="854">
        <f>SUM(AB503:AB505)</f>
        <v>152</v>
      </c>
      <c r="AC506" s="854">
        <f>AC762</f>
        <v>217</v>
      </c>
      <c r="AD506" s="854">
        <f>AD762</f>
        <v>177</v>
      </c>
      <c r="AE506" s="854">
        <f>AE762</f>
        <v>289</v>
      </c>
      <c r="AF506" s="854">
        <f>AF762</f>
        <v>289</v>
      </c>
      <c r="AG506" s="854">
        <f>SUM(AG503:AG505)</f>
        <v>289</v>
      </c>
      <c r="AH506" s="854">
        <f>AH762</f>
        <v>369</v>
      </c>
      <c r="AI506" s="854">
        <f>AI762</f>
        <v>293</v>
      </c>
      <c r="AJ506" s="854">
        <f>AJ762</f>
        <v>392</v>
      </c>
      <c r="AK506" s="854">
        <f>AK762</f>
        <v>311</v>
      </c>
      <c r="AL506" s="854">
        <f>SUM(AL503:AL505)</f>
        <v>311</v>
      </c>
      <c r="AM506" s="854">
        <f>AM762</f>
        <v>363</v>
      </c>
      <c r="AN506" s="854">
        <f>AN762</f>
        <v>220</v>
      </c>
      <c r="AO506" s="854">
        <f>AO762</f>
        <v>357</v>
      </c>
      <c r="AP506" s="854">
        <f>AP762</f>
        <v>316</v>
      </c>
      <c r="AQ506" s="854">
        <f>SUM(AQ503:AQ505)</f>
        <v>316</v>
      </c>
      <c r="AR506" s="854">
        <f>AR762</f>
        <v>401</v>
      </c>
      <c r="AS506" s="854">
        <f>AS762</f>
        <v>286</v>
      </c>
      <c r="AT506" s="854">
        <f>AT762</f>
        <v>421</v>
      </c>
      <c r="AU506" s="854">
        <f>AU762</f>
        <v>408</v>
      </c>
      <c r="AV506" s="854">
        <f>SUM(AV503:AV505)</f>
        <v>408</v>
      </c>
      <c r="AW506" s="854">
        <f>AW762</f>
        <v>512</v>
      </c>
      <c r="AX506" s="854">
        <f>AX762</f>
        <v>382</v>
      </c>
      <c r="AY506" s="854">
        <f>AY762</f>
        <v>503</v>
      </c>
      <c r="AZ506" s="854">
        <f>AZ762</f>
        <v>607</v>
      </c>
      <c r="BA506" s="854">
        <f>SUM(BA503:BA505)</f>
        <v>607</v>
      </c>
      <c r="BB506" s="854">
        <f>BB762</f>
        <v>354</v>
      </c>
      <c r="BC506" s="854">
        <f>BC762</f>
        <v>399</v>
      </c>
      <c r="BD506" s="854">
        <f>BD762</f>
        <v>438</v>
      </c>
      <c r="BE506" s="854">
        <f>BE762</f>
        <v>452</v>
      </c>
      <c r="BF506" s="854">
        <f>SUM(BF503:BF505)</f>
        <v>452</v>
      </c>
      <c r="BG506" s="854">
        <f>BG762</f>
        <v>1268</v>
      </c>
      <c r="BH506" s="854">
        <f>BH762</f>
        <v>1230</v>
      </c>
      <c r="BI506" s="854">
        <f>BI762</f>
        <v>1295</v>
      </c>
      <c r="BJ506" s="854">
        <f>BJ762</f>
        <v>1264</v>
      </c>
      <c r="BK506" s="854">
        <f>SUM(BK503:BK505)</f>
        <v>1264</v>
      </c>
      <c r="BL506" s="854">
        <f>BL762</f>
        <v>1216</v>
      </c>
      <c r="BM506" s="854">
        <f>BM762</f>
        <v>1127</v>
      </c>
      <c r="BN506" s="854">
        <f>BN762</f>
        <v>1102</v>
      </c>
      <c r="BO506" s="854">
        <f>SUM(BO503:BO505)</f>
        <v>844.34999999999991</v>
      </c>
      <c r="BP506" s="854">
        <f>SUM(BP503:BP505)</f>
        <v>844.34999999999991</v>
      </c>
      <c r="BQ506" s="854">
        <v>0</v>
      </c>
      <c r="BR506" s="854">
        <f>SUM(BR503:BR505)</f>
        <v>0</v>
      </c>
      <c r="BS506" s="854">
        <f>SUM(BS503:BS505)</f>
        <v>0</v>
      </c>
      <c r="BT506" s="854">
        <f>SUM(BT503:BT505)</f>
        <v>0</v>
      </c>
      <c r="BU506" s="854">
        <f>SUM(BU503:BU505)</f>
        <v>0</v>
      </c>
      <c r="BV506" s="854"/>
      <c r="BW506" s="854"/>
      <c r="BX506" s="854"/>
      <c r="BY506" s="854"/>
      <c r="BZ506" s="854"/>
      <c r="CA506" s="854"/>
      <c r="CB506" s="854"/>
      <c r="CC506" s="854"/>
      <c r="CD506" s="854"/>
      <c r="CE506" s="854"/>
      <c r="CF506" s="854"/>
      <c r="CG506" s="854"/>
      <c r="CH506" s="854"/>
      <c r="CI506" s="854"/>
      <c r="CJ506" s="854"/>
      <c r="CK506" s="854"/>
      <c r="CL506" s="854"/>
      <c r="CM506" s="854"/>
      <c r="CN506" s="854"/>
      <c r="CO506" s="854"/>
      <c r="CP506" s="854"/>
      <c r="CQ506" s="854"/>
      <c r="CR506" s="854"/>
      <c r="CS506" s="854"/>
      <c r="CT506" s="854"/>
      <c r="CU506" s="854"/>
      <c r="CV506" s="854"/>
      <c r="CW506" s="854"/>
      <c r="CX506" s="854"/>
      <c r="CY506" s="854"/>
      <c r="CZ506" s="854"/>
      <c r="DA506" s="854"/>
      <c r="DB506"/>
      <c r="DC506"/>
      <c r="DD506" s="894" t="s">
        <v>1660</v>
      </c>
      <c r="DE506" s="854">
        <f t="shared" si="962"/>
        <v>170</v>
      </c>
      <c r="DF506" s="854">
        <f t="shared" si="963"/>
        <v>290</v>
      </c>
      <c r="DG506" s="854">
        <f t="shared" si="964"/>
        <v>153</v>
      </c>
      <c r="DH506" s="854">
        <f t="shared" si="965"/>
        <v>152</v>
      </c>
      <c r="DI506" s="854">
        <f t="shared" si="966"/>
        <v>289</v>
      </c>
      <c r="DJ506" s="854">
        <f t="shared" si="967"/>
        <v>311</v>
      </c>
      <c r="DK506" s="854">
        <f t="shared" si="968"/>
        <v>316</v>
      </c>
      <c r="DL506" s="854">
        <f t="shared" si="969"/>
        <v>408</v>
      </c>
      <c r="DM506" s="854">
        <f t="shared" si="970"/>
        <v>607</v>
      </c>
      <c r="DN506" s="854">
        <f t="shared" si="971"/>
        <v>452</v>
      </c>
      <c r="DO506" s="854">
        <f t="shared" si="972"/>
        <v>1264</v>
      </c>
      <c r="DP506" s="854">
        <f t="shared" si="973"/>
        <v>844.34999999999991</v>
      </c>
      <c r="DQ506" s="854">
        <f t="shared" si="974"/>
        <v>0</v>
      </c>
      <c r="DR506" s="854">
        <f t="shared" si="975"/>
        <v>0</v>
      </c>
      <c r="DS506" s="854">
        <f t="shared" si="976"/>
        <v>0</v>
      </c>
      <c r="DT506" s="854">
        <f t="shared" si="977"/>
        <v>0</v>
      </c>
      <c r="DU506" s="854">
        <f t="shared" si="978"/>
        <v>0</v>
      </c>
      <c r="DV506" s="854">
        <f t="shared" si="979"/>
        <v>0</v>
      </c>
      <c r="DW506" s="854">
        <f t="shared" si="980"/>
        <v>0</v>
      </c>
      <c r="DX506" s="854">
        <f t="shared" si="981"/>
        <v>0</v>
      </c>
      <c r="DY506" s="854">
        <f t="shared" si="982"/>
        <v>0</v>
      </c>
      <c r="EA506"/>
      <c r="EB506"/>
      <c r="EC506"/>
      <c r="ED506"/>
      <c r="EE506"/>
      <c r="EF506"/>
      <c r="EJ506"/>
      <c r="EK506"/>
      <c r="EL506"/>
      <c r="ER506" s="212"/>
    </row>
    <row r="507" spans="1:148" s="923" customFormat="1" ht="12.75" hidden="1" customHeight="1" outlineLevel="1" x14ac:dyDescent="0.2">
      <c r="A507" s="893" t="s">
        <v>1661</v>
      </c>
      <c r="B507" s="765"/>
      <c r="C507" s="765"/>
      <c r="D507" s="765"/>
      <c r="E507" s="765"/>
      <c r="F507" s="765"/>
      <c r="G507" s="765"/>
      <c r="H507" s="765"/>
      <c r="I507" s="765"/>
      <c r="J507" s="765"/>
      <c r="K507" s="765"/>
      <c r="L507" s="765"/>
      <c r="M507" s="953"/>
      <c r="N507" s="765"/>
      <c r="O507" s="765"/>
      <c r="P507" s="765"/>
      <c r="Q507" s="765"/>
      <c r="R507" s="953"/>
      <c r="S507" s="765"/>
      <c r="T507" s="765"/>
      <c r="U507" s="765"/>
      <c r="V507" s="765"/>
      <c r="W507" s="953"/>
      <c r="X507" s="765"/>
      <c r="Y507" s="765"/>
      <c r="Z507" s="765"/>
      <c r="AA507" s="765"/>
      <c r="AB507" s="953"/>
      <c r="AC507" s="765"/>
      <c r="AD507" s="765"/>
      <c r="AE507" s="765"/>
      <c r="AF507" s="765"/>
      <c r="AG507" s="953"/>
      <c r="AH507" s="765"/>
      <c r="AI507" s="765"/>
      <c r="AJ507" s="765"/>
      <c r="AK507" s="765"/>
      <c r="AL507" s="953"/>
      <c r="AM507" s="765"/>
      <c r="AN507" s="765"/>
      <c r="AO507" s="765"/>
      <c r="AP507" s="765"/>
      <c r="AQ507" s="953"/>
      <c r="AR507" s="765"/>
      <c r="AS507" s="765"/>
      <c r="AT507" s="765"/>
      <c r="AU507" s="765"/>
      <c r="AV507" s="953">
        <f t="shared" ref="AV507:BK507" si="983">-AV505/AV504</f>
        <v>0.84967320261437906</v>
      </c>
      <c r="AW507" s="765">
        <f t="shared" si="983"/>
        <v>0</v>
      </c>
      <c r="AX507" s="765">
        <f t="shared" si="983"/>
        <v>1.7647058823529411</v>
      </c>
      <c r="AY507" s="765">
        <f t="shared" si="983"/>
        <v>0</v>
      </c>
      <c r="AZ507" s="765">
        <f t="shared" si="983"/>
        <v>0</v>
      </c>
      <c r="BA507" s="953">
        <f t="shared" si="983"/>
        <v>0.60120240480961928</v>
      </c>
      <c r="BB507" s="765">
        <f t="shared" si="983"/>
        <v>9.1612903225806459</v>
      </c>
      <c r="BC507" s="765">
        <f t="shared" si="983"/>
        <v>0</v>
      </c>
      <c r="BD507" s="765">
        <f t="shared" si="983"/>
        <v>0</v>
      </c>
      <c r="BE507" s="765">
        <f t="shared" si="983"/>
        <v>0.92045454545454541</v>
      </c>
      <c r="BF507" s="953">
        <f t="shared" si="983"/>
        <v>1.5326460481099657</v>
      </c>
      <c r="BG507" s="765">
        <f t="shared" si="983"/>
        <v>0</v>
      </c>
      <c r="BH507" s="765">
        <f t="shared" si="983"/>
        <v>0</v>
      </c>
      <c r="BI507" s="765">
        <f t="shared" si="983"/>
        <v>0</v>
      </c>
      <c r="BJ507" s="765">
        <f t="shared" si="983"/>
        <v>0</v>
      </c>
      <c r="BK507" s="953">
        <f t="shared" si="983"/>
        <v>0</v>
      </c>
      <c r="BL507" s="765"/>
      <c r="BM507" s="765"/>
      <c r="BN507" s="765"/>
      <c r="BO507" s="765">
        <v>0.35</v>
      </c>
      <c r="BP507" s="953">
        <f>-BP505/BP504</f>
        <v>-11.360824742268045</v>
      </c>
      <c r="BQ507" s="765"/>
      <c r="BR507" s="765"/>
      <c r="BS507" s="765"/>
      <c r="BT507" s="765"/>
      <c r="BU507" s="953"/>
      <c r="BV507" s="765"/>
      <c r="BW507" s="765"/>
      <c r="BX507" s="765"/>
      <c r="BY507" s="765"/>
      <c r="BZ507" s="953"/>
      <c r="CA507" s="953"/>
      <c r="CB507" s="953"/>
      <c r="CC507" s="953"/>
      <c r="CD507" s="953"/>
      <c r="CE507" s="953"/>
      <c r="CF507" s="953"/>
      <c r="CG507" s="953"/>
      <c r="CH507" s="953"/>
      <c r="CI507" s="953"/>
      <c r="CJ507" s="953"/>
      <c r="CK507" s="953"/>
      <c r="CL507" s="953"/>
      <c r="CM507" s="953"/>
      <c r="CN507" s="953"/>
      <c r="CO507" s="953"/>
      <c r="CP507" s="953"/>
      <c r="CQ507" s="953"/>
      <c r="CR507" s="953"/>
      <c r="CS507" s="953"/>
      <c r="CT507" s="953"/>
      <c r="CU507" s="953"/>
      <c r="CV507" s="953"/>
      <c r="CW507" s="953"/>
      <c r="CX507" s="953"/>
      <c r="CY507" s="953"/>
      <c r="CZ507" s="953"/>
      <c r="DA507" s="953"/>
      <c r="DB507"/>
      <c r="DC507"/>
      <c r="DD507" s="2351" t="s">
        <v>1661</v>
      </c>
      <c r="DE507" s="2350">
        <f t="shared" si="962"/>
        <v>0</v>
      </c>
      <c r="DF507" s="2350">
        <f t="shared" si="963"/>
        <v>0</v>
      </c>
      <c r="DG507" s="2350">
        <f t="shared" si="964"/>
        <v>0</v>
      </c>
      <c r="DH507" s="2350">
        <f t="shared" si="965"/>
        <v>0</v>
      </c>
      <c r="DI507" s="2350">
        <f t="shared" si="966"/>
        <v>0</v>
      </c>
      <c r="DJ507" s="2350">
        <f t="shared" si="967"/>
        <v>0</v>
      </c>
      <c r="DK507" s="2350">
        <f t="shared" si="968"/>
        <v>0</v>
      </c>
      <c r="DL507" s="2350">
        <f t="shared" si="969"/>
        <v>0.84967320261437906</v>
      </c>
      <c r="DM507" s="2350">
        <f t="shared" si="970"/>
        <v>0.60120240480961928</v>
      </c>
      <c r="DN507" s="2350">
        <f t="shared" si="971"/>
        <v>1.5326460481099657</v>
      </c>
      <c r="DO507" s="2350">
        <f t="shared" si="972"/>
        <v>0</v>
      </c>
      <c r="DP507" s="2350">
        <f t="shared" si="973"/>
        <v>-11.360824742268045</v>
      </c>
      <c r="DQ507" s="2350">
        <f t="shared" si="974"/>
        <v>0</v>
      </c>
      <c r="DR507" s="2350">
        <f t="shared" si="975"/>
        <v>0</v>
      </c>
      <c r="DS507" s="2350">
        <f t="shared" si="976"/>
        <v>0</v>
      </c>
      <c r="DT507" s="2350">
        <f t="shared" si="977"/>
        <v>0</v>
      </c>
      <c r="DU507" s="2350">
        <f t="shared" si="978"/>
        <v>0</v>
      </c>
      <c r="DV507" s="2350">
        <f t="shared" si="979"/>
        <v>0</v>
      </c>
      <c r="DW507" s="2350">
        <f t="shared" si="980"/>
        <v>0</v>
      </c>
      <c r="DX507" s="2350">
        <f t="shared" si="981"/>
        <v>0</v>
      </c>
      <c r="DY507" s="2350">
        <f t="shared" si="982"/>
        <v>0</v>
      </c>
      <c r="EA507"/>
      <c r="EB507"/>
      <c r="EC507"/>
      <c r="ED507"/>
      <c r="EE507"/>
      <c r="EF507"/>
      <c r="EJ507"/>
      <c r="EK507"/>
      <c r="EL507"/>
      <c r="ER507" s="212"/>
    </row>
    <row r="508" spans="1:148" s="923" customFormat="1" ht="12.75" hidden="1" customHeight="1" outlineLevel="1" x14ac:dyDescent="0.2">
      <c r="A508" s="865"/>
      <c r="B508" s="765"/>
      <c r="C508" s="765"/>
      <c r="D508" s="765"/>
      <c r="E508" s="765"/>
      <c r="F508" s="765"/>
      <c r="G508" s="765"/>
      <c r="H508" s="765"/>
      <c r="I508" s="765"/>
      <c r="J508" s="765"/>
      <c r="K508" s="765"/>
      <c r="L508" s="765"/>
      <c r="M508" s="765"/>
      <c r="N508" s="765"/>
      <c r="O508" s="765"/>
      <c r="P508" s="765"/>
      <c r="Q508" s="765"/>
      <c r="R508" s="765"/>
      <c r="S508" s="765"/>
      <c r="T508" s="765"/>
      <c r="U508" s="765"/>
      <c r="V508" s="765"/>
      <c r="W508" s="765"/>
      <c r="X508" s="765"/>
      <c r="Y508" s="765"/>
      <c r="Z508" s="765"/>
      <c r="AA508" s="765"/>
      <c r="AB508" s="765"/>
      <c r="AC508" s="765"/>
      <c r="AD508" s="765"/>
      <c r="AE508" s="765"/>
      <c r="AF508" s="765"/>
      <c r="AG508" s="765"/>
      <c r="AH508" s="765"/>
      <c r="AI508" s="765"/>
      <c r="AJ508" s="765"/>
      <c r="AK508" s="765"/>
      <c r="AL508" s="765"/>
      <c r="AM508" s="765"/>
      <c r="AN508" s="765"/>
      <c r="AO508" s="765"/>
      <c r="AP508" s="765"/>
      <c r="AQ508" s="765"/>
      <c r="AR508" s="765"/>
      <c r="AS508" s="765"/>
      <c r="AT508" s="765"/>
      <c r="AU508" s="765"/>
      <c r="AV508" s="765"/>
      <c r="AW508" s="765"/>
      <c r="AX508" s="765"/>
      <c r="AY508" s="765"/>
      <c r="AZ508" s="765"/>
      <c r="BA508" s="765"/>
      <c r="BB508" s="765"/>
      <c r="BC508" s="765"/>
      <c r="BD508" s="765"/>
      <c r="BE508" s="765"/>
      <c r="BF508" s="765"/>
      <c r="BG508" s="765"/>
      <c r="BH508" s="765"/>
      <c r="BI508" s="765"/>
      <c r="BJ508" s="765"/>
      <c r="BK508" s="765"/>
      <c r="BL508" s="765"/>
      <c r="BM508" s="765"/>
      <c r="BN508" s="765"/>
      <c r="BO508" s="765"/>
      <c r="BP508" s="765"/>
      <c r="BQ508" s="765"/>
      <c r="BR508" s="765"/>
      <c r="BS508" s="765"/>
      <c r="BT508" s="765"/>
      <c r="BU508" s="765"/>
      <c r="BV508" s="765"/>
      <c r="BW508" s="765"/>
      <c r="BX508" s="765"/>
      <c r="BY508" s="765"/>
      <c r="BZ508" s="765"/>
      <c r="CA508" s="765"/>
      <c r="CB508" s="765"/>
      <c r="CC508" s="765"/>
      <c r="CD508" s="765"/>
      <c r="CE508" s="765"/>
      <c r="CF508" s="765"/>
      <c r="CG508" s="765"/>
      <c r="CH508" s="765"/>
      <c r="CI508" s="765"/>
      <c r="CJ508" s="765"/>
      <c r="CK508" s="765"/>
      <c r="CL508" s="765"/>
      <c r="CM508" s="765"/>
      <c r="CN508" s="765"/>
      <c r="CO508" s="765"/>
      <c r="CP508" s="765"/>
      <c r="CQ508" s="765"/>
      <c r="CR508" s="765"/>
      <c r="CS508" s="765"/>
      <c r="CT508" s="765"/>
      <c r="CU508" s="765"/>
      <c r="CV508" s="765"/>
      <c r="CW508" s="765"/>
      <c r="CX508" s="765"/>
      <c r="CY508" s="765"/>
      <c r="CZ508" s="765"/>
      <c r="DA508" s="765"/>
      <c r="DB508"/>
      <c r="DC508"/>
      <c r="DD508" s="2323"/>
      <c r="DE508" s="2350"/>
      <c r="DF508" s="2350"/>
      <c r="DG508" s="2350"/>
      <c r="DH508" s="2350"/>
      <c r="DI508" s="2350"/>
      <c r="DJ508" s="2350"/>
      <c r="DK508" s="2350"/>
      <c r="DL508" s="2350"/>
      <c r="DM508" s="2350"/>
      <c r="DN508" s="2350"/>
      <c r="DO508" s="2350"/>
      <c r="DP508" s="2350"/>
      <c r="DQ508" s="2350"/>
      <c r="DR508" s="2350"/>
      <c r="DS508" s="2350"/>
      <c r="DT508" s="2350"/>
      <c r="DU508" s="2350"/>
      <c r="DV508" s="2350"/>
      <c r="DW508" s="2350"/>
      <c r="DX508" s="2350"/>
      <c r="DY508" s="2350"/>
      <c r="EA508"/>
      <c r="EB508"/>
      <c r="EC508"/>
      <c r="ED508"/>
      <c r="EE508"/>
      <c r="EF508"/>
      <c r="EJ508"/>
      <c r="EK508"/>
      <c r="EL508"/>
      <c r="ER508" s="212"/>
    </row>
    <row r="509" spans="1:148" s="923" customFormat="1" ht="12.75" hidden="1" customHeight="1" outlineLevel="1" x14ac:dyDescent="0.2">
      <c r="A509" s="865" t="s">
        <v>1662</v>
      </c>
      <c r="B509" s="765"/>
      <c r="C509" s="765"/>
      <c r="D509" s="765"/>
      <c r="E509" s="765"/>
      <c r="F509" s="765"/>
      <c r="G509" s="765"/>
      <c r="H509" s="765"/>
      <c r="I509" s="765"/>
      <c r="J509" s="765"/>
      <c r="K509" s="765"/>
      <c r="L509" s="765"/>
      <c r="M509" s="765"/>
      <c r="N509" s="765"/>
      <c r="O509" s="765"/>
      <c r="P509" s="765"/>
      <c r="Q509" s="765"/>
      <c r="R509" s="765"/>
      <c r="S509" s="765"/>
      <c r="T509" s="765"/>
      <c r="U509" s="765"/>
      <c r="V509" s="765"/>
      <c r="W509" s="765"/>
      <c r="X509" s="765"/>
      <c r="Y509" s="765"/>
      <c r="Z509" s="765"/>
      <c r="AA509" s="765"/>
      <c r="AB509" s="765"/>
      <c r="AC509" s="765"/>
      <c r="AD509" s="765"/>
      <c r="AE509" s="765"/>
      <c r="AF509" s="765"/>
      <c r="AG509" s="765"/>
      <c r="AH509" s="765"/>
      <c r="AI509" s="765"/>
      <c r="AJ509" s="765"/>
      <c r="AK509" s="765"/>
      <c r="AL509" s="765"/>
      <c r="AM509" s="765"/>
      <c r="AN509" s="765"/>
      <c r="AO509" s="765"/>
      <c r="AP509" s="765"/>
      <c r="AQ509" s="765"/>
      <c r="AR509" s="765"/>
      <c r="AS509" s="765"/>
      <c r="AT509" s="765"/>
      <c r="AU509" s="765"/>
      <c r="AV509" s="765">
        <v>0.8</v>
      </c>
      <c r="AW509" s="765"/>
      <c r="AX509" s="765"/>
      <c r="AY509" s="765"/>
      <c r="AZ509" s="765">
        <v>0.7</v>
      </c>
      <c r="BA509" s="765"/>
      <c r="BB509" s="765"/>
      <c r="BC509" s="765"/>
      <c r="BD509" s="765"/>
      <c r="BE509" s="765"/>
      <c r="BF509" s="765"/>
      <c r="BG509" s="765"/>
      <c r="BH509" s="765"/>
      <c r="BI509" s="765"/>
      <c r="BJ509" s="765"/>
      <c r="BK509" s="765"/>
      <c r="BL509" s="765"/>
      <c r="BM509" s="765"/>
      <c r="BN509" s="765"/>
      <c r="BO509" s="765"/>
      <c r="BP509" s="765"/>
      <c r="BQ509" s="765"/>
      <c r="BR509" s="765"/>
      <c r="BS509" s="765"/>
      <c r="BT509" s="765"/>
      <c r="BU509" s="765"/>
      <c r="BV509" s="765"/>
      <c r="BW509" s="765"/>
      <c r="BX509" s="765"/>
      <c r="BY509" s="765"/>
      <c r="BZ509" s="765"/>
      <c r="CA509" s="765"/>
      <c r="CB509" s="765"/>
      <c r="CC509" s="765"/>
      <c r="CD509" s="765"/>
      <c r="CE509" s="765"/>
      <c r="CF509" s="765"/>
      <c r="CG509" s="765"/>
      <c r="CH509" s="765"/>
      <c r="CI509" s="765"/>
      <c r="CJ509" s="765"/>
      <c r="CK509" s="765"/>
      <c r="CL509" s="765"/>
      <c r="CM509" s="765"/>
      <c r="CN509" s="765"/>
      <c r="CO509" s="765"/>
      <c r="CP509" s="765"/>
      <c r="CQ509" s="765"/>
      <c r="CR509" s="765"/>
      <c r="CS509" s="765"/>
      <c r="CT509" s="765"/>
      <c r="CU509" s="765"/>
      <c r="CV509" s="765"/>
      <c r="CW509" s="765"/>
      <c r="CX509" s="765"/>
      <c r="CY509" s="765"/>
      <c r="CZ509" s="765"/>
      <c r="DA509" s="765"/>
      <c r="DB509"/>
      <c r="DC509"/>
      <c r="DD509" s="2323" t="s">
        <v>1662</v>
      </c>
      <c r="DE509" s="2350">
        <f>M509</f>
        <v>0</v>
      </c>
      <c r="DF509" s="2350">
        <f>R509</f>
        <v>0</v>
      </c>
      <c r="DG509" s="2350">
        <f>W509</f>
        <v>0</v>
      </c>
      <c r="DH509" s="2350">
        <f>AB509</f>
        <v>0</v>
      </c>
      <c r="DI509" s="2350">
        <f>AG509</f>
        <v>0</v>
      </c>
      <c r="DJ509" s="2350">
        <f>AL509</f>
        <v>0</v>
      </c>
      <c r="DK509" s="2350">
        <f>AQ509</f>
        <v>0</v>
      </c>
      <c r="DL509" s="2350">
        <f>AV509</f>
        <v>0.8</v>
      </c>
      <c r="DM509" s="2350">
        <f>BA509</f>
        <v>0</v>
      </c>
      <c r="DN509" s="2350">
        <f>BF509</f>
        <v>0</v>
      </c>
      <c r="DO509" s="2350">
        <f>BK509</f>
        <v>0</v>
      </c>
      <c r="DP509" s="2350">
        <f>BP509</f>
        <v>0</v>
      </c>
      <c r="DQ509" s="2350">
        <f>BU509</f>
        <v>0</v>
      </c>
      <c r="DR509" s="2350">
        <f>BZ509</f>
        <v>0</v>
      </c>
      <c r="DS509" s="2350">
        <f>CE509</f>
        <v>0</v>
      </c>
      <c r="DT509" s="2350">
        <f>CJ509</f>
        <v>0</v>
      </c>
      <c r="DU509" s="2350">
        <f>CO509</f>
        <v>0</v>
      </c>
      <c r="DV509" s="2350">
        <f>CT509</f>
        <v>0</v>
      </c>
      <c r="DW509" s="2350">
        <f>CY509</f>
        <v>0</v>
      </c>
      <c r="DX509" s="2350">
        <f>CZ509</f>
        <v>0</v>
      </c>
      <c r="DY509" s="2350">
        <f>DA509</f>
        <v>0</v>
      </c>
      <c r="EA509"/>
      <c r="EB509"/>
      <c r="EC509"/>
      <c r="ED509"/>
      <c r="EE509"/>
      <c r="EF509"/>
      <c r="EJ509"/>
      <c r="EK509"/>
      <c r="EL509"/>
      <c r="ER509" s="212"/>
    </row>
    <row r="510" spans="1:148" s="923" customFormat="1" ht="12.75" hidden="1" customHeight="1" outlineLevel="1" x14ac:dyDescent="0.2">
      <c r="A510" s="865"/>
      <c r="B510" s="765"/>
      <c r="C510" s="765"/>
      <c r="D510" s="765"/>
      <c r="E510" s="765"/>
      <c r="F510" s="765"/>
      <c r="G510" s="765"/>
      <c r="H510" s="765"/>
      <c r="I510" s="765"/>
      <c r="J510" s="765"/>
      <c r="K510" s="765"/>
      <c r="L510" s="765"/>
      <c r="M510" s="765"/>
      <c r="N510" s="765"/>
      <c r="O510" s="765"/>
      <c r="P510" s="765"/>
      <c r="Q510" s="765"/>
      <c r="R510" s="765"/>
      <c r="S510" s="765"/>
      <c r="T510" s="765"/>
      <c r="U510" s="765"/>
      <c r="V510" s="765"/>
      <c r="W510" s="765"/>
      <c r="X510" s="765"/>
      <c r="Y510" s="765"/>
      <c r="Z510" s="765"/>
      <c r="AA510" s="765"/>
      <c r="AB510" s="765"/>
      <c r="AC510" s="765"/>
      <c r="AD510" s="765"/>
      <c r="AE510" s="765"/>
      <c r="AF510" s="765"/>
      <c r="AG510" s="765"/>
      <c r="AH510" s="765"/>
      <c r="AI510" s="765"/>
      <c r="AJ510" s="765"/>
      <c r="AK510" s="765"/>
      <c r="AL510" s="765"/>
      <c r="AM510" s="765"/>
      <c r="AN510" s="765"/>
      <c r="AO510" s="765"/>
      <c r="AP510" s="765"/>
      <c r="AQ510" s="765"/>
      <c r="AR510" s="765"/>
      <c r="AS510" s="765"/>
      <c r="AT510" s="765"/>
      <c r="AU510" s="765"/>
      <c r="AV510" s="765"/>
      <c r="AW510" s="765"/>
      <c r="AX510" s="765"/>
      <c r="AY510" s="765"/>
      <c r="AZ510" s="765"/>
      <c r="BA510" s="765"/>
      <c r="BB510" s="765"/>
      <c r="BC510" s="765"/>
      <c r="BD510" s="765"/>
      <c r="BE510" s="765"/>
      <c r="BF510" s="765"/>
      <c r="BG510" s="765"/>
      <c r="BH510" s="765"/>
      <c r="BI510" s="765"/>
      <c r="BJ510" s="765"/>
      <c r="BK510" s="765"/>
      <c r="BL510" s="765"/>
      <c r="BM510" s="765"/>
      <c r="BN510" s="765"/>
      <c r="BO510" s="765"/>
      <c r="BP510" s="765"/>
      <c r="BQ510" s="765"/>
      <c r="BR510" s="765"/>
      <c r="BS510" s="765"/>
      <c r="BT510" s="765"/>
      <c r="BU510" s="765"/>
      <c r="BV510" s="765"/>
      <c r="BW510" s="765"/>
      <c r="BX510" s="765"/>
      <c r="BY510" s="765"/>
      <c r="BZ510" s="765"/>
      <c r="CA510" s="765"/>
      <c r="CB510" s="765"/>
      <c r="CC510" s="765"/>
      <c r="CD510" s="765"/>
      <c r="CE510" s="765"/>
      <c r="CF510" s="765"/>
      <c r="CG510" s="765"/>
      <c r="CH510" s="765"/>
      <c r="CI510" s="765"/>
      <c r="CJ510" s="765"/>
      <c r="CK510" s="765"/>
      <c r="CL510" s="765"/>
      <c r="CM510" s="765"/>
      <c r="CN510" s="765"/>
      <c r="CO510" s="765"/>
      <c r="CP510" s="765"/>
      <c r="CQ510" s="765"/>
      <c r="CR510" s="765"/>
      <c r="CS510" s="765"/>
      <c r="CT510" s="765"/>
      <c r="CU510" s="765"/>
      <c r="CV510" s="765"/>
      <c r="CW510" s="765"/>
      <c r="CX510" s="765"/>
      <c r="CY510" s="765"/>
      <c r="CZ510" s="765"/>
      <c r="DA510" s="765"/>
      <c r="DB510"/>
      <c r="DC510"/>
      <c r="DD510" s="2323"/>
      <c r="DE510" s="2350"/>
      <c r="DF510" s="2350"/>
      <c r="DG510" s="2350"/>
      <c r="DH510" s="2350"/>
      <c r="DI510" s="2350"/>
      <c r="DJ510" s="2350"/>
      <c r="DK510" s="2350"/>
      <c r="DL510" s="2350"/>
      <c r="DM510" s="2350"/>
      <c r="DN510" s="2350"/>
      <c r="DO510" s="2350"/>
      <c r="DP510" s="2350"/>
      <c r="DQ510" s="2350"/>
      <c r="DR510" s="2350"/>
      <c r="DS510" s="2350"/>
      <c r="DT510" s="2350"/>
      <c r="DU510" s="2350"/>
      <c r="DV510" s="2350"/>
      <c r="DW510" s="2350"/>
      <c r="DX510" s="2350"/>
      <c r="DY510" s="2350"/>
      <c r="EA510"/>
      <c r="EB510"/>
      <c r="EC510"/>
      <c r="ED510"/>
      <c r="EE510"/>
      <c r="EF510"/>
      <c r="EJ510"/>
      <c r="EK510"/>
      <c r="EL510"/>
      <c r="ER510" s="212"/>
    </row>
    <row r="511" spans="1:148" s="923" customFormat="1" ht="12.75" hidden="1" customHeight="1" outlineLevel="1" x14ac:dyDescent="0.2">
      <c r="A511" s="865" t="s">
        <v>1663</v>
      </c>
      <c r="B511" s="845"/>
      <c r="C511" s="845"/>
      <c r="D511" s="845"/>
      <c r="E511" s="845"/>
      <c r="F511" s="845"/>
      <c r="G511" s="845"/>
      <c r="H511" s="845"/>
      <c r="I511" s="845">
        <v>0.13</v>
      </c>
      <c r="J511" s="845">
        <v>0.13</v>
      </c>
      <c r="K511" s="845">
        <v>0.13</v>
      </c>
      <c r="L511" s="845">
        <v>0.13</v>
      </c>
      <c r="M511" s="845"/>
      <c r="N511" s="845">
        <v>0.35</v>
      </c>
      <c r="O511" s="845">
        <v>0.35</v>
      </c>
      <c r="P511" s="845">
        <v>0.35</v>
      </c>
      <c r="Q511" s="845">
        <f>Q504/Q436</f>
        <v>0.29799628655423177</v>
      </c>
      <c r="R511" s="845">
        <f>R504/R436</f>
        <v>0.33584603722732254</v>
      </c>
      <c r="S511" s="845">
        <v>0.25</v>
      </c>
      <c r="T511" s="845">
        <v>0.25</v>
      </c>
      <c r="U511" s="845">
        <f>+U504/U436</f>
        <v>0.26513863500944557</v>
      </c>
      <c r="V511" s="845">
        <f>+V504/V436</f>
        <v>0.26365424787555519</v>
      </c>
      <c r="W511" s="845">
        <f>W504/W436</f>
        <v>0.25787266968201883</v>
      </c>
      <c r="X511" s="845">
        <f>+X504/X436</f>
        <v>0.21065357561547479</v>
      </c>
      <c r="Y511" s="845">
        <f>+Y504/Y436</f>
        <v>0.34299275080186142</v>
      </c>
      <c r="Z511" s="845">
        <f>+Z504/Z436</f>
        <v>0.24731229724028569</v>
      </c>
      <c r="AA511" s="845">
        <f>+AA504/AA436</f>
        <v>0.26029730479116797</v>
      </c>
      <c r="AB511" s="845">
        <f>AB504/AB436</f>
        <v>0.2635259394229158</v>
      </c>
      <c r="AC511" s="845">
        <v>0.25</v>
      </c>
      <c r="AD511" s="845">
        <v>0.25</v>
      </c>
      <c r="AE511" s="845">
        <v>0.25</v>
      </c>
      <c r="AF511" s="845">
        <v>0.25</v>
      </c>
      <c r="AG511" s="845">
        <f>AG504/AG436</f>
        <v>0.40690769281599254</v>
      </c>
      <c r="AH511" s="845">
        <v>0.4</v>
      </c>
      <c r="AI511" s="845">
        <v>0.4</v>
      </c>
      <c r="AJ511" s="845">
        <v>0.4</v>
      </c>
      <c r="AK511" s="845">
        <v>0.4</v>
      </c>
      <c r="AL511" s="845">
        <f>AL504/AL436</f>
        <v>0.33011276887979768</v>
      </c>
      <c r="AM511" s="845">
        <v>0.35</v>
      </c>
      <c r="AN511" s="845">
        <v>0.35</v>
      </c>
      <c r="AO511" s="845">
        <v>0.35</v>
      </c>
      <c r="AP511" s="845">
        <v>0.35</v>
      </c>
      <c r="AQ511" s="845">
        <f>AQ504/AQ436</f>
        <v>0.48179627425914484</v>
      </c>
      <c r="AR511" s="845">
        <f>+$AQ$511</f>
        <v>0.48179627425914484</v>
      </c>
      <c r="AS511" s="845">
        <f>+$AQ$511</f>
        <v>0.48179627425914484</v>
      </c>
      <c r="AT511" s="845">
        <f>+$AQ$511</f>
        <v>0.48179627425914484</v>
      </c>
      <c r="AU511" s="845">
        <f>+$AQ$511</f>
        <v>0.48179627425914484</v>
      </c>
      <c r="AV511" s="845">
        <f>AV504/AV436</f>
        <v>0.50662251655629142</v>
      </c>
      <c r="AW511" s="845">
        <f>+AW504/AW436</f>
        <v>0.50731707317073171</v>
      </c>
      <c r="AX511" s="845">
        <f>+AX504/AX436</f>
        <v>0.67460317460317465</v>
      </c>
      <c r="AY511" s="845">
        <f>+AY504/AY436</f>
        <v>0.45660377358490567</v>
      </c>
      <c r="AZ511" s="845">
        <f>+AZ504/AZ436</f>
        <v>0.41935483870967744</v>
      </c>
      <c r="BA511" s="845">
        <f>BA504/BA436</f>
        <v>0.5144329896907216</v>
      </c>
      <c r="BB511" s="845">
        <f>+BB504/BB436</f>
        <v>0.248</v>
      </c>
      <c r="BC511" s="845">
        <f>+BC504/BC436</f>
        <v>0.24725274725274726</v>
      </c>
      <c r="BD511" s="845">
        <f>+BD504/BD436</f>
        <v>0.28260869565217389</v>
      </c>
      <c r="BE511" s="845">
        <f>+BE504/BE436</f>
        <v>0.9513513513513514</v>
      </c>
      <c r="BF511" s="845">
        <f>BF504/BF436</f>
        <v>0.46190476190476193</v>
      </c>
      <c r="BG511" s="845">
        <f>+BG504/BG436</f>
        <v>5.5510204081632653</v>
      </c>
      <c r="BH511" s="845">
        <f>+BH504/BH436</f>
        <v>-0.25675675675675674</v>
      </c>
      <c r="BI511" s="845">
        <f>+BI504/BI436</f>
        <v>0.48148148148148145</v>
      </c>
      <c r="BJ511" s="845">
        <f>+BJ504/BJ436</f>
        <v>-0.15816326530612246</v>
      </c>
      <c r="BK511" s="845">
        <f>BK504/BK436</f>
        <v>1.2971246006389776</v>
      </c>
      <c r="BL511" s="845">
        <f>+BL504/BL436</f>
        <v>-0.33566433566433568</v>
      </c>
      <c r="BM511" s="845">
        <f>+BM504/BM436</f>
        <v>-0.5816993464052288</v>
      </c>
      <c r="BN511" s="845">
        <f>+BN504/BN436</f>
        <v>-0.17006802721088435</v>
      </c>
      <c r="BO511" s="845">
        <v>0.65</v>
      </c>
      <c r="BP511" s="845">
        <f>BP504/BP436</f>
        <v>-5.3046874999999979E-2</v>
      </c>
      <c r="BQ511" s="845">
        <v>0</v>
      </c>
      <c r="BR511" s="845">
        <v>0</v>
      </c>
      <c r="BS511" s="845">
        <v>0</v>
      </c>
      <c r="BT511" s="845">
        <v>0</v>
      </c>
      <c r="BU511" s="845"/>
      <c r="BV511" s="845"/>
      <c r="BW511" s="845"/>
      <c r="BX511" s="845"/>
      <c r="BY511" s="845"/>
      <c r="BZ511" s="845"/>
      <c r="CA511" s="845"/>
      <c r="CB511" s="845"/>
      <c r="CC511" s="845"/>
      <c r="CD511" s="845"/>
      <c r="CE511" s="845"/>
      <c r="CF511" s="845"/>
      <c r="CG511" s="845"/>
      <c r="CH511" s="845"/>
      <c r="CI511" s="845"/>
      <c r="CJ511" s="845"/>
      <c r="CK511" s="845"/>
      <c r="CL511" s="845"/>
      <c r="CM511" s="845"/>
      <c r="CN511" s="845"/>
      <c r="CO511" s="845"/>
      <c r="CP511" s="845"/>
      <c r="CQ511" s="845"/>
      <c r="CR511" s="845"/>
      <c r="CS511" s="845"/>
      <c r="CT511" s="845"/>
      <c r="CU511" s="845"/>
      <c r="CV511" s="845"/>
      <c r="CW511" s="845"/>
      <c r="CX511" s="845"/>
      <c r="CY511" s="845"/>
      <c r="CZ511" s="845"/>
      <c r="DA511" s="845"/>
      <c r="DB511"/>
      <c r="DC511"/>
      <c r="DD511" s="2323" t="s">
        <v>1663</v>
      </c>
      <c r="DE511" s="2349">
        <f>M511</f>
        <v>0</v>
      </c>
      <c r="DF511" s="2349">
        <f>R511</f>
        <v>0.33584603722732254</v>
      </c>
      <c r="DG511" s="2349">
        <f>W511</f>
        <v>0.25787266968201883</v>
      </c>
      <c r="DH511" s="2349">
        <f>AB511</f>
        <v>0.2635259394229158</v>
      </c>
      <c r="DI511" s="2349">
        <f>AG511</f>
        <v>0.40690769281599254</v>
      </c>
      <c r="DJ511" s="2349">
        <f>AL511</f>
        <v>0.33011276887979768</v>
      </c>
      <c r="DK511" s="2349">
        <f>AQ511</f>
        <v>0.48179627425914484</v>
      </c>
      <c r="DL511" s="2349">
        <f>AV511</f>
        <v>0.50662251655629142</v>
      </c>
      <c r="DM511" s="2349">
        <f>BA511</f>
        <v>0.5144329896907216</v>
      </c>
      <c r="DN511" s="2349">
        <f>BF511</f>
        <v>0.46190476190476193</v>
      </c>
      <c r="DO511" s="2349">
        <f>BK511</f>
        <v>1.2971246006389776</v>
      </c>
      <c r="DP511" s="2349">
        <f>BP511</f>
        <v>-5.3046874999999979E-2</v>
      </c>
      <c r="DQ511" s="2349">
        <f>BU511</f>
        <v>0</v>
      </c>
      <c r="DR511" s="2349">
        <f>BZ511</f>
        <v>0</v>
      </c>
      <c r="DS511" s="2349">
        <f>CE511</f>
        <v>0</v>
      </c>
      <c r="DT511" s="2349">
        <f>CJ511</f>
        <v>0</v>
      </c>
      <c r="DU511" s="2349">
        <f>CO511</f>
        <v>0</v>
      </c>
      <c r="DV511" s="2349">
        <f>CT511</f>
        <v>0</v>
      </c>
      <c r="DW511" s="2349">
        <f>CY511</f>
        <v>0</v>
      </c>
      <c r="DX511" s="2349">
        <f>CZ511</f>
        <v>0</v>
      </c>
      <c r="DY511" s="2349">
        <f>DA511</f>
        <v>0</v>
      </c>
      <c r="EA511"/>
      <c r="EB511"/>
      <c r="EC511"/>
      <c r="ED511"/>
      <c r="EE511"/>
      <c r="EF511"/>
      <c r="EJ511"/>
      <c r="EK511"/>
      <c r="EL511"/>
      <c r="ER511" s="212"/>
    </row>
    <row r="512" spans="1:148" s="923" customFormat="1" ht="12.75" hidden="1" customHeight="1" outlineLevel="1" x14ac:dyDescent="0.2">
      <c r="A512" s="865"/>
      <c r="B512" s="847"/>
      <c r="C512" s="847"/>
      <c r="D512" s="847"/>
      <c r="E512" s="847"/>
      <c r="F512" s="847"/>
      <c r="G512" s="847"/>
      <c r="H512" s="847"/>
      <c r="I512" s="847"/>
      <c r="J512" s="847"/>
      <c r="K512" s="847"/>
      <c r="L512" s="847"/>
      <c r="M512" s="847"/>
      <c r="N512" s="847"/>
      <c r="O512" s="847"/>
      <c r="P512" s="847"/>
      <c r="Q512" s="847"/>
      <c r="R512" s="847"/>
      <c r="S512" s="847"/>
      <c r="T512" s="847"/>
      <c r="U512" s="847"/>
      <c r="V512" s="847"/>
      <c r="W512" s="847"/>
      <c r="X512" s="847"/>
      <c r="Y512" s="847"/>
      <c r="Z512" s="847"/>
      <c r="AA512" s="847"/>
      <c r="AB512" s="847"/>
      <c r="AC512" s="847"/>
      <c r="AD512" s="847"/>
      <c r="AE512" s="847"/>
      <c r="AF512" s="847"/>
      <c r="AG512" s="847"/>
      <c r="AH512" s="847"/>
      <c r="AI512" s="847"/>
      <c r="AJ512" s="847"/>
      <c r="AK512" s="847"/>
      <c r="AL512" s="847"/>
      <c r="AM512" s="847"/>
      <c r="AN512" s="847"/>
      <c r="AO512" s="847"/>
      <c r="AP512" s="847"/>
      <c r="AQ512" s="847"/>
      <c r="AR512" s="847"/>
      <c r="AS512" s="847"/>
      <c r="AT512" s="847"/>
      <c r="AU512" s="847"/>
      <c r="AV512" s="847"/>
      <c r="AW512" s="847"/>
      <c r="AX512" s="847"/>
      <c r="AY512" s="847"/>
      <c r="AZ512" s="847"/>
      <c r="BA512" s="847"/>
      <c r="BB512" s="847"/>
      <c r="BC512" s="847"/>
      <c r="BD512" s="847"/>
      <c r="BE512" s="847"/>
      <c r="BF512" s="847"/>
      <c r="BG512" s="847"/>
      <c r="BH512" s="847"/>
      <c r="BI512" s="847"/>
      <c r="BJ512" s="847"/>
      <c r="BK512" s="847"/>
      <c r="BL512" s="847"/>
      <c r="BM512" s="847"/>
      <c r="BN512" s="847"/>
      <c r="BO512" s="847"/>
      <c r="BP512" s="847"/>
      <c r="BQ512" s="847"/>
      <c r="BR512" s="847"/>
      <c r="BS512" s="847"/>
      <c r="BT512" s="847"/>
      <c r="BU512" s="847"/>
      <c r="BV512" s="847"/>
      <c r="BW512" s="847"/>
      <c r="BX512" s="847"/>
      <c r="BY512" s="847"/>
      <c r="BZ512" s="847"/>
      <c r="CA512" s="847"/>
      <c r="CB512" s="847"/>
      <c r="CC512" s="847"/>
      <c r="CD512" s="847"/>
      <c r="CE512" s="847"/>
      <c r="CF512" s="847"/>
      <c r="CG512" s="847"/>
      <c r="CH512" s="847"/>
      <c r="CI512" s="847"/>
      <c r="CJ512" s="847"/>
      <c r="CK512" s="847"/>
      <c r="CL512" s="847"/>
      <c r="CM512" s="847"/>
      <c r="CN512" s="847"/>
      <c r="CO512" s="847"/>
      <c r="CP512" s="847"/>
      <c r="CQ512" s="847"/>
      <c r="CR512" s="847"/>
      <c r="CS512" s="847"/>
      <c r="CT512" s="847"/>
      <c r="CU512" s="847"/>
      <c r="CV512" s="847"/>
      <c r="CW512" s="847"/>
      <c r="CX512" s="847"/>
      <c r="CY512" s="847"/>
      <c r="CZ512" s="847"/>
      <c r="DA512" s="847"/>
      <c r="DB512"/>
      <c r="DC512"/>
      <c r="DD512" s="2323"/>
      <c r="DE512" s="2349"/>
      <c r="DF512" s="2349"/>
      <c r="DG512" s="2349"/>
      <c r="DH512" s="2349"/>
      <c r="DI512" s="2349"/>
      <c r="DJ512" s="2349"/>
      <c r="DK512" s="2349"/>
      <c r="DL512" s="2349"/>
      <c r="DM512" s="2349"/>
      <c r="DN512" s="2349"/>
      <c r="DO512" s="2349"/>
      <c r="DP512" s="2349"/>
      <c r="DQ512" s="2349"/>
      <c r="DR512" s="2349"/>
      <c r="DS512" s="2349"/>
      <c r="DT512" s="2349"/>
      <c r="DU512" s="2349"/>
      <c r="DV512" s="2349"/>
      <c r="DW512" s="2349"/>
      <c r="DX512" s="2349"/>
      <c r="DY512" s="2349"/>
      <c r="EA512"/>
      <c r="EB512"/>
      <c r="EC512"/>
      <c r="ED512"/>
      <c r="EE512"/>
      <c r="EF512"/>
      <c r="EJ512"/>
      <c r="EK512"/>
      <c r="EL512"/>
      <c r="ER512" s="212"/>
    </row>
    <row r="513" spans="1:148" s="923" customFormat="1" ht="12.75" hidden="1" customHeight="1" outlineLevel="1" x14ac:dyDescent="0.2">
      <c r="A513" s="865" t="s">
        <v>1664</v>
      </c>
      <c r="B513" s="847"/>
      <c r="C513" s="847"/>
      <c r="D513" s="847"/>
      <c r="E513" s="847"/>
      <c r="F513" s="847"/>
      <c r="G513" s="847"/>
      <c r="H513" s="847"/>
      <c r="I513" s="847"/>
      <c r="J513" s="847"/>
      <c r="K513" s="847"/>
      <c r="L513" s="847"/>
      <c r="M513" s="847"/>
      <c r="N513" s="847">
        <f>N648/-N505</f>
        <v>0.21774193548387097</v>
      </c>
      <c r="O513" s="847">
        <f>O648/-O505</f>
        <v>0.19402985074626866</v>
      </c>
      <c r="P513" s="847">
        <f>P648/-P505</f>
        <v>0.18571428571428572</v>
      </c>
      <c r="Q513" s="847">
        <v>0</v>
      </c>
      <c r="R513" s="847">
        <f t="shared" ref="R513:W513" si="984">R648/-R505</f>
        <v>0.20100502512562815</v>
      </c>
      <c r="S513" s="847">
        <f t="shared" si="984"/>
        <v>0.15168539325842698</v>
      </c>
      <c r="T513" s="847">
        <f t="shared" si="984"/>
        <v>0.17647058823529413</v>
      </c>
      <c r="U513" s="847">
        <f t="shared" si="984"/>
        <v>0.23076923076923078</v>
      </c>
      <c r="V513" s="847">
        <f t="shared" si="984"/>
        <v>9.6296296296296297E-2</v>
      </c>
      <c r="W513" s="847">
        <f t="shared" si="984"/>
        <v>0.15374677002583978</v>
      </c>
      <c r="X513" s="847" t="s">
        <v>1665</v>
      </c>
      <c r="Y513" s="847">
        <f>Y648/-Y505</f>
        <v>0.24615384615384617</v>
      </c>
      <c r="Z513" s="847" t="s">
        <v>1665</v>
      </c>
      <c r="AA513" s="847">
        <f>AA648/-AA505</f>
        <v>0.2119205298013245</v>
      </c>
      <c r="AB513" s="847">
        <f>AB648/-AB505</f>
        <v>0.22775800711743771</v>
      </c>
      <c r="AC513" s="847" t="s">
        <v>1665</v>
      </c>
      <c r="AD513" s="847">
        <f>AD648/-AD505</f>
        <v>0.18</v>
      </c>
      <c r="AE513" s="847" t="s">
        <v>1665</v>
      </c>
      <c r="AF513" s="847">
        <f>AF648/-AF505</f>
        <v>0.20441988950276244</v>
      </c>
      <c r="AG513" s="847">
        <f>AG648/-AG505</f>
        <v>0.19335347432024169</v>
      </c>
      <c r="AH513" s="847" t="s">
        <v>1665</v>
      </c>
      <c r="AI513" s="847">
        <f>AI648/-AI505</f>
        <v>0.14795918367346939</v>
      </c>
      <c r="AJ513" s="847" t="s">
        <v>1665</v>
      </c>
      <c r="AK513" s="847">
        <f>AK648/-AK505</f>
        <v>0.17391304347826086</v>
      </c>
      <c r="AL513" s="847">
        <f>AL648/-AL505</f>
        <v>0.1619718309859155</v>
      </c>
      <c r="AM513" s="847">
        <v>0.2</v>
      </c>
      <c r="AN513" s="847">
        <f>AN439/-AN505</f>
        <v>0.16</v>
      </c>
      <c r="AO513" s="847">
        <v>0.2</v>
      </c>
      <c r="AP513" s="847">
        <f>AP439/-AP505</f>
        <v>0.13214285714285715</v>
      </c>
      <c r="AQ513" s="847">
        <f>AQ439/-AQ505</f>
        <v>0.14528301886792452</v>
      </c>
      <c r="AR513" s="847"/>
      <c r="AS513" s="847">
        <f>AS439/-AS505</f>
        <v>0.16666666666666666</v>
      </c>
      <c r="AT513" s="847"/>
      <c r="AU513" s="847">
        <f>AU439/-AU505</f>
        <v>0.14399999999999999</v>
      </c>
      <c r="AV513" s="847">
        <f>AV439/-AV505</f>
        <v>0.15576923076923077</v>
      </c>
      <c r="AW513" s="847"/>
      <c r="AX513" s="847">
        <f>AX439/-AX505</f>
        <v>9.3333333333333338E-2</v>
      </c>
      <c r="AY513" s="847"/>
      <c r="AZ513" s="847"/>
      <c r="BA513" s="847">
        <f>BA439/-BA505</f>
        <v>9.3333333333333338E-2</v>
      </c>
      <c r="BB513" s="847">
        <f>BB439/-BB505</f>
        <v>0</v>
      </c>
      <c r="BC513" s="847"/>
      <c r="BD513" s="847"/>
      <c r="BE513" s="847">
        <f>BE439/-BE505</f>
        <v>0</v>
      </c>
      <c r="BF513" s="847" t="s">
        <v>1666</v>
      </c>
      <c r="BG513" s="847"/>
      <c r="BH513" s="847">
        <f>BG513</f>
        <v>0</v>
      </c>
      <c r="BI513" s="847">
        <f>BH513</f>
        <v>0</v>
      </c>
      <c r="BJ513" s="847">
        <v>0</v>
      </c>
      <c r="BK513" s="847"/>
      <c r="BL513" s="847">
        <v>7.0000000000000007E-2</v>
      </c>
      <c r="BM513" s="847">
        <f>BL513</f>
        <v>7.0000000000000007E-2</v>
      </c>
      <c r="BN513" s="847">
        <f>BM513</f>
        <v>7.0000000000000007E-2</v>
      </c>
      <c r="BO513" s="847">
        <f>BN513</f>
        <v>7.0000000000000007E-2</v>
      </c>
      <c r="BP513" s="847">
        <f>BP439/-BP505</f>
        <v>7.0000000000000007E-2</v>
      </c>
      <c r="BQ513" s="847">
        <v>7.0000000000000007E-2</v>
      </c>
      <c r="BR513" s="847">
        <f>BQ513</f>
        <v>7.0000000000000007E-2</v>
      </c>
      <c r="BS513" s="847">
        <f>BR513</f>
        <v>7.0000000000000007E-2</v>
      </c>
      <c r="BT513" s="847">
        <f>BS513</f>
        <v>7.0000000000000007E-2</v>
      </c>
      <c r="BU513" s="847"/>
      <c r="BV513" s="847"/>
      <c r="BW513" s="847"/>
      <c r="BX513" s="847"/>
      <c r="BY513" s="847"/>
      <c r="BZ513" s="847"/>
      <c r="CA513" s="847"/>
      <c r="CB513" s="847"/>
      <c r="CC513" s="847"/>
      <c r="CD513" s="847"/>
      <c r="CE513" s="847"/>
      <c r="CF513" s="847"/>
      <c r="CG513" s="847"/>
      <c r="CH513" s="847"/>
      <c r="CI513" s="847"/>
      <c r="CJ513" s="847"/>
      <c r="CK513" s="847"/>
      <c r="CL513" s="847"/>
      <c r="CM513" s="847"/>
      <c r="CN513" s="847"/>
      <c r="CO513" s="847"/>
      <c r="CP513" s="847"/>
      <c r="CQ513" s="847"/>
      <c r="CR513" s="847"/>
      <c r="CS513" s="847"/>
      <c r="CT513" s="847"/>
      <c r="CU513" s="847"/>
      <c r="CV513" s="847"/>
      <c r="CW513" s="847"/>
      <c r="CX513" s="847"/>
      <c r="CY513" s="847"/>
      <c r="CZ513" s="847"/>
      <c r="DA513" s="847"/>
      <c r="DB513"/>
      <c r="DC513"/>
      <c r="DD513" s="2323" t="s">
        <v>1664</v>
      </c>
      <c r="DE513" s="2349">
        <f>M513</f>
        <v>0</v>
      </c>
      <c r="DF513" s="2349">
        <f>R513</f>
        <v>0.20100502512562815</v>
      </c>
      <c r="DG513" s="2349">
        <f>W513</f>
        <v>0.15374677002583978</v>
      </c>
      <c r="DH513" s="2349">
        <f>AB513</f>
        <v>0.22775800711743771</v>
      </c>
      <c r="DI513" s="2349">
        <f>AG513</f>
        <v>0.19335347432024169</v>
      </c>
      <c r="DJ513" s="2349">
        <f>AL513</f>
        <v>0.1619718309859155</v>
      </c>
      <c r="DK513" s="2349">
        <f>AQ513</f>
        <v>0.14528301886792452</v>
      </c>
      <c r="DL513" s="2349">
        <f>AV513</f>
        <v>0.15576923076923077</v>
      </c>
      <c r="DM513" s="2349">
        <f>BA513</f>
        <v>9.3333333333333338E-2</v>
      </c>
      <c r="DN513" s="2349" t="str">
        <f>BF513</f>
        <v>N.M.</v>
      </c>
      <c r="DO513" s="2349">
        <f>BK513</f>
        <v>0</v>
      </c>
      <c r="DP513" s="2349">
        <f>BP513</f>
        <v>7.0000000000000007E-2</v>
      </c>
      <c r="DQ513" s="2349">
        <f>BU513</f>
        <v>0</v>
      </c>
      <c r="DR513" s="2349">
        <f>BZ513</f>
        <v>0</v>
      </c>
      <c r="DS513" s="2349">
        <f>CE513</f>
        <v>0</v>
      </c>
      <c r="DT513" s="2349">
        <f>CJ513</f>
        <v>0</v>
      </c>
      <c r="DU513" s="2349">
        <f>CO513</f>
        <v>0</v>
      </c>
      <c r="DV513" s="2349">
        <f>CT513</f>
        <v>0</v>
      </c>
      <c r="DW513" s="2349">
        <f t="shared" ref="DW513:DY514" si="985">CY513</f>
        <v>0</v>
      </c>
      <c r="DX513" s="2349">
        <f t="shared" si="985"/>
        <v>0</v>
      </c>
      <c r="DY513" s="2349">
        <f t="shared" si="985"/>
        <v>0</v>
      </c>
      <c r="EA513"/>
      <c r="EB513"/>
      <c r="EC513"/>
      <c r="ED513"/>
      <c r="EE513"/>
      <c r="EF513"/>
      <c r="EJ513"/>
      <c r="EK513"/>
      <c r="EL513"/>
      <c r="ER513" s="212"/>
    </row>
    <row r="514" spans="1:148" s="923" customFormat="1" ht="12.75" hidden="1" customHeight="1" outlineLevel="1" x14ac:dyDescent="0.2">
      <c r="A514" s="865" t="s">
        <v>1667</v>
      </c>
      <c r="B514" s="765"/>
      <c r="C514" s="765"/>
      <c r="D514" s="765"/>
      <c r="E514" s="765"/>
      <c r="F514" s="765"/>
      <c r="G514" s="765"/>
      <c r="H514" s="765"/>
      <c r="I514" s="765"/>
      <c r="J514" s="765"/>
      <c r="K514" s="765"/>
      <c r="L514" s="765"/>
      <c r="M514" s="847"/>
      <c r="N514" s="765"/>
      <c r="O514" s="765"/>
      <c r="P514" s="765"/>
      <c r="Q514" s="765"/>
      <c r="R514" s="847"/>
      <c r="S514" s="765"/>
      <c r="T514" s="765"/>
      <c r="U514" s="765"/>
      <c r="V514" s="765"/>
      <c r="W514" s="847"/>
      <c r="X514" s="765"/>
      <c r="Y514" s="765"/>
      <c r="Z514" s="765"/>
      <c r="AA514" s="765"/>
      <c r="AB514" s="847"/>
      <c r="AC514" s="765"/>
      <c r="AD514" s="765"/>
      <c r="AE514" s="765"/>
      <c r="AF514" s="765"/>
      <c r="AG514" s="847"/>
      <c r="AH514" s="765"/>
      <c r="AI514" s="765"/>
      <c r="AJ514" s="765"/>
      <c r="AK514" s="765"/>
      <c r="AL514" s="847"/>
      <c r="AM514" s="765"/>
      <c r="AN514" s="765"/>
      <c r="AO514" s="765"/>
      <c r="AP514" s="765"/>
      <c r="AQ514" s="847"/>
      <c r="AR514" s="765"/>
      <c r="AS514" s="765">
        <f>AS450/-AS505</f>
        <v>6.3786008230452676E-2</v>
      </c>
      <c r="AT514" s="765"/>
      <c r="AU514" s="765">
        <f>AU450/-AU505</f>
        <v>5.5111111111111104E-2</v>
      </c>
      <c r="AV514" s="847"/>
      <c r="AW514" s="765"/>
      <c r="AX514" s="765">
        <f>AX450/-AX505</f>
        <v>3.5466666666666667E-2</v>
      </c>
      <c r="AY514" s="765"/>
      <c r="AZ514" s="765"/>
      <c r="BA514" s="847"/>
      <c r="BB514" s="765"/>
      <c r="BC514" s="765"/>
      <c r="BD514" s="765"/>
      <c r="BE514" s="765"/>
      <c r="BF514" s="847"/>
      <c r="BG514" s="765"/>
      <c r="BH514" s="765"/>
      <c r="BI514" s="765"/>
      <c r="BJ514" s="765"/>
      <c r="BK514" s="847"/>
      <c r="BL514" s="765"/>
      <c r="BM514" s="765"/>
      <c r="BN514" s="765"/>
      <c r="BO514" s="765"/>
      <c r="BP514" s="847"/>
      <c r="BQ514" s="765"/>
      <c r="BR514" s="765"/>
      <c r="BS514" s="765"/>
      <c r="BT514" s="765"/>
      <c r="BU514" s="847"/>
      <c r="BV514" s="765"/>
      <c r="BW514" s="765"/>
      <c r="BX514" s="765"/>
      <c r="BY514" s="765"/>
      <c r="BZ514" s="847"/>
      <c r="CA514" s="847"/>
      <c r="CB514" s="847"/>
      <c r="CC514" s="847"/>
      <c r="CD514" s="847"/>
      <c r="CE514" s="847"/>
      <c r="CF514" s="847"/>
      <c r="CG514" s="847"/>
      <c r="CH514" s="847"/>
      <c r="CI514" s="847"/>
      <c r="CJ514" s="847"/>
      <c r="CK514" s="847"/>
      <c r="CL514" s="847"/>
      <c r="CM514" s="847"/>
      <c r="CN514" s="847"/>
      <c r="CO514" s="847"/>
      <c r="CP514" s="847"/>
      <c r="CQ514" s="847"/>
      <c r="CR514" s="847"/>
      <c r="CS514" s="847"/>
      <c r="CT514" s="847"/>
      <c r="CU514" s="847"/>
      <c r="CV514" s="847"/>
      <c r="CW514" s="847"/>
      <c r="CX514" s="847"/>
      <c r="CY514" s="847"/>
      <c r="CZ514" s="847"/>
      <c r="DA514" s="847"/>
      <c r="DB514"/>
      <c r="DC514"/>
      <c r="DD514" s="2323" t="s">
        <v>1667</v>
      </c>
      <c r="DE514" s="2349">
        <f>M514</f>
        <v>0</v>
      </c>
      <c r="DF514" s="2349">
        <f>R514</f>
        <v>0</v>
      </c>
      <c r="DG514" s="2349">
        <f>W514</f>
        <v>0</v>
      </c>
      <c r="DH514" s="2349">
        <f>AB514</f>
        <v>0</v>
      </c>
      <c r="DI514" s="2349">
        <f>AG514</f>
        <v>0</v>
      </c>
      <c r="DJ514" s="2349">
        <f>AL514</f>
        <v>0</v>
      </c>
      <c r="DK514" s="2349">
        <f>AQ514</f>
        <v>0</v>
      </c>
      <c r="DL514" s="2349">
        <f>AV514</f>
        <v>0</v>
      </c>
      <c r="DM514" s="2349">
        <f>BA514</f>
        <v>0</v>
      </c>
      <c r="DN514" s="2349">
        <f>BF514</f>
        <v>0</v>
      </c>
      <c r="DO514" s="2349">
        <f>BK514</f>
        <v>0</v>
      </c>
      <c r="DP514" s="2349">
        <f>BP514</f>
        <v>0</v>
      </c>
      <c r="DQ514" s="2349">
        <f>BU514</f>
        <v>0</v>
      </c>
      <c r="DR514" s="2349">
        <f>BZ514</f>
        <v>0</v>
      </c>
      <c r="DS514" s="2349">
        <f>CE514</f>
        <v>0</v>
      </c>
      <c r="DT514" s="2349">
        <f>CJ514</f>
        <v>0</v>
      </c>
      <c r="DU514" s="2349">
        <f>CO514</f>
        <v>0</v>
      </c>
      <c r="DV514" s="2349">
        <f>CT514</f>
        <v>0</v>
      </c>
      <c r="DW514" s="2349">
        <f t="shared" si="985"/>
        <v>0</v>
      </c>
      <c r="DX514" s="2349">
        <f t="shared" si="985"/>
        <v>0</v>
      </c>
      <c r="DY514" s="2349">
        <f t="shared" si="985"/>
        <v>0</v>
      </c>
      <c r="EA514"/>
      <c r="EB514"/>
      <c r="EC514"/>
      <c r="ED514"/>
      <c r="EE514"/>
      <c r="EF514"/>
      <c r="EJ514"/>
      <c r="EK514"/>
      <c r="EL514"/>
      <c r="ER514" s="212"/>
    </row>
    <row r="515" spans="1:148" s="923" customFormat="1" ht="12.75" hidden="1" customHeight="1" outlineLevel="1" x14ac:dyDescent="0.2">
      <c r="A515" s="865"/>
      <c r="B515" s="765"/>
      <c r="C515" s="765"/>
      <c r="D515" s="765"/>
      <c r="E515" s="765"/>
      <c r="F515" s="765"/>
      <c r="G515" s="765"/>
      <c r="H515" s="765"/>
      <c r="I515" s="765"/>
      <c r="J515" s="765"/>
      <c r="K515" s="765"/>
      <c r="L515" s="765"/>
      <c r="M515" s="847"/>
      <c r="N515" s="765"/>
      <c r="O515" s="765"/>
      <c r="P515" s="765"/>
      <c r="Q515" s="765"/>
      <c r="R515" s="847"/>
      <c r="S515" s="765"/>
      <c r="T515" s="765"/>
      <c r="U515" s="765"/>
      <c r="V515" s="765"/>
      <c r="W515" s="847"/>
      <c r="X515" s="765"/>
      <c r="Y515" s="765"/>
      <c r="Z515" s="765"/>
      <c r="AA515" s="765"/>
      <c r="AB515" s="847"/>
      <c r="AC515" s="765"/>
      <c r="AD515" s="765"/>
      <c r="AE515" s="765"/>
      <c r="AF515" s="765"/>
      <c r="AG515" s="847"/>
      <c r="AH515" s="765"/>
      <c r="AI515" s="765"/>
      <c r="AJ515" s="765"/>
      <c r="AK515" s="765"/>
      <c r="AL515" s="847"/>
      <c r="AM515" s="765"/>
      <c r="AN515" s="765"/>
      <c r="AO515" s="765"/>
      <c r="AP515" s="765"/>
      <c r="AQ515" s="847"/>
      <c r="AR515" s="765"/>
      <c r="AS515" s="765"/>
      <c r="AT515" s="765"/>
      <c r="AU515" s="765"/>
      <c r="AV515" s="847"/>
      <c r="AW515" s="765"/>
      <c r="AX515" s="765"/>
      <c r="AY515" s="765"/>
      <c r="AZ515" s="765"/>
      <c r="BA515" s="847"/>
      <c r="BB515" s="765"/>
      <c r="BC515" s="765"/>
      <c r="BD515" s="765"/>
      <c r="BE515" s="765"/>
      <c r="BF515" s="847"/>
      <c r="BG515" s="765"/>
      <c r="BH515" s="765"/>
      <c r="BI515" s="765"/>
      <c r="BJ515" s="765"/>
      <c r="BK515" s="847"/>
      <c r="BL515" s="765"/>
      <c r="BM515" s="765"/>
      <c r="BN515" s="765"/>
      <c r="BO515" s="765"/>
      <c r="BP515" s="847"/>
      <c r="BQ515" s="765"/>
      <c r="BR515" s="765"/>
      <c r="BS515" s="765"/>
      <c r="BT515" s="765"/>
      <c r="BU515" s="847"/>
      <c r="BV515" s="765"/>
      <c r="BW515" s="765"/>
      <c r="BX515" s="765"/>
      <c r="BY515" s="765"/>
      <c r="BZ515" s="847"/>
      <c r="CA515" s="847"/>
      <c r="CB515" s="847"/>
      <c r="CC515" s="847"/>
      <c r="CD515" s="847"/>
      <c r="CE515" s="847"/>
      <c r="CF515" s="847"/>
      <c r="CG515" s="847"/>
      <c r="CH515" s="847"/>
      <c r="CI515" s="847"/>
      <c r="CJ515" s="847"/>
      <c r="CK515" s="847"/>
      <c r="CL515" s="847"/>
      <c r="CM515" s="847"/>
      <c r="CN515" s="847"/>
      <c r="CO515" s="847"/>
      <c r="CP515" s="847"/>
      <c r="CQ515" s="847"/>
      <c r="CR515" s="847"/>
      <c r="CS515" s="847"/>
      <c r="CT515" s="847"/>
      <c r="CU515" s="847"/>
      <c r="CV515" s="847"/>
      <c r="CW515" s="847"/>
      <c r="CX515" s="847"/>
      <c r="CY515" s="847"/>
      <c r="CZ515" s="847"/>
      <c r="DA515" s="847"/>
      <c r="DB515"/>
      <c r="DC515"/>
      <c r="DD515" s="2323"/>
      <c r="DE515" s="2349"/>
      <c r="DF515" s="2349"/>
      <c r="DG515" s="2349"/>
      <c r="DH515" s="2349"/>
      <c r="DI515" s="2349"/>
      <c r="DJ515" s="2349"/>
      <c r="DK515" s="2349"/>
      <c r="DL515" s="2349"/>
      <c r="DM515" s="2349"/>
      <c r="DN515" s="2349"/>
      <c r="DO515" s="2349"/>
      <c r="DP515" s="2349"/>
      <c r="DQ515" s="2349"/>
      <c r="DR515" s="2349"/>
      <c r="DS515" s="2349"/>
      <c r="DT515" s="2349"/>
      <c r="DU515" s="2349"/>
      <c r="DV515" s="2349"/>
      <c r="DW515" s="2349"/>
      <c r="DX515" s="2349"/>
      <c r="DY515" s="2349"/>
      <c r="EA515"/>
      <c r="EB515"/>
      <c r="EC515"/>
      <c r="ED515"/>
      <c r="EE515"/>
      <c r="EF515"/>
      <c r="EJ515"/>
      <c r="EK515"/>
      <c r="EL515"/>
      <c r="ER515" s="212"/>
    </row>
    <row r="516" spans="1:148" s="923" customFormat="1" ht="12.75" hidden="1" customHeight="1" outlineLevel="1" x14ac:dyDescent="0.2">
      <c r="A516" s="865" t="s">
        <v>1668</v>
      </c>
      <c r="B516" s="765"/>
      <c r="C516" s="765"/>
      <c r="D516" s="765"/>
      <c r="E516" s="765"/>
      <c r="F516" s="765"/>
      <c r="G516" s="765"/>
      <c r="H516" s="765"/>
      <c r="I516" s="765"/>
      <c r="J516" s="765"/>
      <c r="K516" s="765"/>
      <c r="L516" s="765"/>
      <c r="M516" s="847"/>
      <c r="N516" s="765"/>
      <c r="O516" s="765"/>
      <c r="P516" s="765"/>
      <c r="Q516" s="765"/>
      <c r="R516" s="847"/>
      <c r="S516" s="765"/>
      <c r="T516" s="765"/>
      <c r="U516" s="765"/>
      <c r="V516" s="765"/>
      <c r="W516" s="847"/>
      <c r="X516" s="765"/>
      <c r="Y516" s="765"/>
      <c r="Z516" s="765"/>
      <c r="AA516" s="765"/>
      <c r="AB516" s="847"/>
      <c r="AC516" s="765"/>
      <c r="AD516" s="765"/>
      <c r="AE516" s="765"/>
      <c r="AF516" s="765"/>
      <c r="AG516" s="847"/>
      <c r="AH516" s="765"/>
      <c r="AI516" s="765"/>
      <c r="AJ516" s="765"/>
      <c r="AK516" s="765"/>
      <c r="AL516" s="847"/>
      <c r="AM516" s="765"/>
      <c r="AN516" s="765"/>
      <c r="AO516" s="765"/>
      <c r="AP516" s="765"/>
      <c r="AQ516" s="847"/>
      <c r="AR516" s="765"/>
      <c r="AS516" s="765">
        <v>7.6999999999999999E-2</v>
      </c>
      <c r="AT516" s="765"/>
      <c r="AU516" s="765">
        <v>7.4999999999999997E-2</v>
      </c>
      <c r="AV516" s="847"/>
      <c r="AW516" s="765"/>
      <c r="AX516" s="765"/>
      <c r="AY516" s="765"/>
      <c r="AZ516" s="765"/>
      <c r="BA516" s="847"/>
      <c r="BB516" s="765"/>
      <c r="BC516" s="765"/>
      <c r="BD516" s="765"/>
      <c r="BE516" s="765"/>
      <c r="BF516" s="847"/>
      <c r="BG516" s="765"/>
      <c r="BH516" s="765"/>
      <c r="BI516" s="765"/>
      <c r="BJ516" s="765"/>
      <c r="BK516" s="847"/>
      <c r="BL516" s="765"/>
      <c r="BM516" s="765"/>
      <c r="BN516" s="765"/>
      <c r="BO516" s="765"/>
      <c r="BP516" s="847"/>
      <c r="BQ516" s="765"/>
      <c r="BR516" s="765"/>
      <c r="BS516" s="765"/>
      <c r="BT516" s="765"/>
      <c r="BU516" s="847"/>
      <c r="BV516" s="765"/>
      <c r="BW516" s="765"/>
      <c r="BX516" s="765"/>
      <c r="BY516" s="765"/>
      <c r="BZ516" s="847"/>
      <c r="CA516" s="847"/>
      <c r="CB516" s="847"/>
      <c r="CC516" s="847"/>
      <c r="CD516" s="847"/>
      <c r="CE516" s="847"/>
      <c r="CF516" s="847"/>
      <c r="CG516" s="847"/>
      <c r="CH516" s="847"/>
      <c r="CI516" s="847"/>
      <c r="CJ516" s="847"/>
      <c r="CK516" s="847"/>
      <c r="CL516" s="847"/>
      <c r="CM516" s="847"/>
      <c r="CN516" s="847"/>
      <c r="CO516" s="847"/>
      <c r="CP516" s="847"/>
      <c r="CQ516" s="847"/>
      <c r="CR516" s="847"/>
      <c r="CS516" s="847"/>
      <c r="CT516" s="847"/>
      <c r="CU516" s="847"/>
      <c r="CV516" s="847"/>
      <c r="CW516" s="847"/>
      <c r="CX516" s="847"/>
      <c r="CY516" s="847"/>
      <c r="CZ516" s="847"/>
      <c r="DA516" s="847"/>
      <c r="DB516"/>
      <c r="DC516"/>
      <c r="DD516" s="2323" t="s">
        <v>1668</v>
      </c>
      <c r="DE516" s="2349">
        <f>M516</f>
        <v>0</v>
      </c>
      <c r="DF516" s="2349">
        <f>R516</f>
        <v>0</v>
      </c>
      <c r="DG516" s="2349">
        <f>W516</f>
        <v>0</v>
      </c>
      <c r="DH516" s="2349">
        <f>AB516</f>
        <v>0</v>
      </c>
      <c r="DI516" s="2349">
        <f>AG516</f>
        <v>0</v>
      </c>
      <c r="DJ516" s="2349">
        <f>AL516</f>
        <v>0</v>
      </c>
      <c r="DK516" s="2349">
        <f>AQ516</f>
        <v>0</v>
      </c>
      <c r="DL516" s="2349">
        <f>AV516</f>
        <v>0</v>
      </c>
      <c r="DM516" s="2349">
        <f>BA516</f>
        <v>0</v>
      </c>
      <c r="DN516" s="2349">
        <f>BF516</f>
        <v>0</v>
      </c>
      <c r="DO516" s="2349">
        <f>BK516</f>
        <v>0</v>
      </c>
      <c r="DP516" s="2349">
        <f>BP516</f>
        <v>0</v>
      </c>
      <c r="DQ516" s="2349">
        <f>BU516</f>
        <v>0</v>
      </c>
      <c r="DR516" s="2349">
        <f>BZ516</f>
        <v>0</v>
      </c>
      <c r="DS516" s="2349">
        <f>CE516</f>
        <v>0</v>
      </c>
      <c r="DT516" s="2349">
        <f>CJ516</f>
        <v>0</v>
      </c>
      <c r="DU516" s="2349">
        <f>CO516</f>
        <v>0</v>
      </c>
      <c r="DV516" s="2349">
        <f>CT516</f>
        <v>0</v>
      </c>
      <c r="DW516" s="2349">
        <f>CY516</f>
        <v>0</v>
      </c>
      <c r="DX516" s="2349">
        <f>CZ516</f>
        <v>0</v>
      </c>
      <c r="DY516" s="2349">
        <f>DA516</f>
        <v>0</v>
      </c>
      <c r="EA516"/>
      <c r="EB516"/>
      <c r="EC516"/>
      <c r="ED516"/>
      <c r="EE516"/>
      <c r="EF516"/>
      <c r="EJ516"/>
      <c r="EK516"/>
      <c r="EL516"/>
      <c r="ER516" s="212"/>
    </row>
    <row r="517" spans="1:148" s="923" customFormat="1" ht="12.75" hidden="1" customHeight="1" outlineLevel="1" x14ac:dyDescent="0.2">
      <c r="A517" s="865"/>
      <c r="B517" s="765"/>
      <c r="C517" s="765"/>
      <c r="D517" s="765"/>
      <c r="E517" s="765"/>
      <c r="F517" s="765"/>
      <c r="G517" s="765"/>
      <c r="H517" s="765"/>
      <c r="I517" s="765"/>
      <c r="J517" s="765"/>
      <c r="K517" s="765"/>
      <c r="L517" s="765"/>
      <c r="M517" s="847"/>
      <c r="N517" s="765"/>
      <c r="O517" s="765"/>
      <c r="P517" s="765"/>
      <c r="Q517" s="765"/>
      <c r="R517" s="847"/>
      <c r="S517" s="765"/>
      <c r="T517" s="765"/>
      <c r="U517" s="765"/>
      <c r="V517" s="765"/>
      <c r="W517" s="847"/>
      <c r="X517" s="765"/>
      <c r="Y517" s="765"/>
      <c r="Z517" s="765"/>
      <c r="AA517" s="765"/>
      <c r="AB517" s="847"/>
      <c r="AC517" s="765"/>
      <c r="AD517" s="765"/>
      <c r="AE517" s="765"/>
      <c r="AF517" s="765"/>
      <c r="AG517" s="847"/>
      <c r="AH517" s="765"/>
      <c r="AI517" s="765"/>
      <c r="AJ517" s="765"/>
      <c r="AK517" s="765"/>
      <c r="AL517" s="847"/>
      <c r="AM517" s="765"/>
      <c r="AN517" s="765"/>
      <c r="AO517" s="765"/>
      <c r="AP517" s="765"/>
      <c r="AQ517" s="847"/>
      <c r="AR517" s="765"/>
      <c r="AS517" s="765"/>
      <c r="AT517" s="765"/>
      <c r="AU517" s="765"/>
      <c r="AV517" s="847"/>
      <c r="AW517" s="765"/>
      <c r="AX517" s="765"/>
      <c r="AY517" s="765"/>
      <c r="AZ517" s="765"/>
      <c r="BA517" s="847"/>
      <c r="BB517" s="765"/>
      <c r="BC517" s="765"/>
      <c r="BD517" s="765"/>
      <c r="BE517" s="765"/>
      <c r="BF517" s="847"/>
      <c r="BG517" s="765"/>
      <c r="BH517" s="765"/>
      <c r="BI517" s="765"/>
      <c r="BJ517" s="765"/>
      <c r="BK517" s="847"/>
      <c r="BL517" s="765"/>
      <c r="BM517" s="765"/>
      <c r="BN517" s="765"/>
      <c r="BO517" s="765"/>
      <c r="BP517" s="847"/>
      <c r="BQ517" s="765"/>
      <c r="BR517" s="765"/>
      <c r="BS517" s="765"/>
      <c r="BT517" s="765"/>
      <c r="BU517" s="847"/>
      <c r="BV517" s="765"/>
      <c r="BW517" s="765"/>
      <c r="BX517" s="765"/>
      <c r="BY517" s="765"/>
      <c r="BZ517" s="847"/>
      <c r="CA517" s="847"/>
      <c r="CB517" s="847"/>
      <c r="CC517" s="847"/>
      <c r="CD517" s="847"/>
      <c r="CE517" s="847"/>
      <c r="CF517" s="847"/>
      <c r="CG517" s="847"/>
      <c r="CH517" s="847"/>
      <c r="CI517" s="847"/>
      <c r="CJ517" s="847"/>
      <c r="CK517" s="847"/>
      <c r="CL517" s="847"/>
      <c r="CM517" s="847"/>
      <c r="CN517" s="847"/>
      <c r="CO517" s="847"/>
      <c r="CP517" s="847"/>
      <c r="CQ517" s="847"/>
      <c r="CR517" s="847"/>
      <c r="CS517" s="847"/>
      <c r="CT517" s="847"/>
      <c r="CU517" s="847"/>
      <c r="CV517" s="847"/>
      <c r="CW517" s="847"/>
      <c r="CX517" s="847"/>
      <c r="CY517" s="847"/>
      <c r="CZ517" s="847"/>
      <c r="DA517" s="847"/>
      <c r="DB517"/>
      <c r="DC517"/>
      <c r="DD517" s="2323"/>
      <c r="DE517" s="2349"/>
      <c r="DF517" s="2349"/>
      <c r="DG517" s="2349"/>
      <c r="DH517" s="2349"/>
      <c r="DI517" s="2349"/>
      <c r="DJ517" s="2349"/>
      <c r="DK517" s="2349"/>
      <c r="DL517" s="2349"/>
      <c r="DM517" s="2349"/>
      <c r="DN517" s="2349"/>
      <c r="DO517" s="2349"/>
      <c r="DP517" s="2349"/>
      <c r="DQ517" s="2349"/>
      <c r="DR517" s="2349"/>
      <c r="DS517" s="2349"/>
      <c r="DT517" s="2349"/>
      <c r="DU517" s="2349"/>
      <c r="DV517" s="2349"/>
      <c r="DW517" s="2349"/>
      <c r="DX517" s="2349"/>
      <c r="DY517" s="2349"/>
      <c r="EA517"/>
      <c r="EB517"/>
      <c r="EC517"/>
      <c r="ED517"/>
      <c r="EE517"/>
      <c r="EF517"/>
      <c r="EJ517"/>
      <c r="EK517"/>
      <c r="EL517"/>
      <c r="ER517" s="212"/>
    </row>
    <row r="518" spans="1:148" s="923" customFormat="1" ht="12.75" hidden="1" customHeight="1" outlineLevel="1" x14ac:dyDescent="0.2">
      <c r="A518" s="866" t="s">
        <v>1669</v>
      </c>
      <c r="B518" s="765"/>
      <c r="C518" s="765"/>
      <c r="D518" s="765"/>
      <c r="E518" s="765"/>
      <c r="F518" s="765"/>
      <c r="G518" s="765"/>
      <c r="H518" s="765"/>
      <c r="I518" s="765"/>
      <c r="J518" s="765"/>
      <c r="K518" s="765"/>
      <c r="L518" s="765"/>
      <c r="M518" s="847"/>
      <c r="N518" s="765"/>
      <c r="O518" s="765"/>
      <c r="P518" s="765"/>
      <c r="Q518" s="765"/>
      <c r="R518" s="847"/>
      <c r="S518" s="765"/>
      <c r="T518" s="765"/>
      <c r="U518" s="765"/>
      <c r="V518" s="765"/>
      <c r="W518" s="847"/>
      <c r="X518" s="765"/>
      <c r="Y518" s="765"/>
      <c r="Z518" s="765"/>
      <c r="AA518" s="765"/>
      <c r="AB518" s="847"/>
      <c r="AC518" s="765"/>
      <c r="AD518" s="765"/>
      <c r="AE518" s="765"/>
      <c r="AF518" s="765"/>
      <c r="AG518" s="847"/>
      <c r="AH518" s="765"/>
      <c r="AI518" s="765"/>
      <c r="AJ518" s="765"/>
      <c r="AK518" s="765"/>
      <c r="AL518" s="847"/>
      <c r="AM518" s="765"/>
      <c r="AN518" s="765"/>
      <c r="AO518" s="765"/>
      <c r="AP518" s="765"/>
      <c r="AQ518" s="847"/>
      <c r="AR518" s="765"/>
      <c r="AS518" s="765"/>
      <c r="AT518" s="765"/>
      <c r="AU518" s="765"/>
      <c r="AV518" s="847"/>
      <c r="AW518" s="765"/>
      <c r="AX518" s="765"/>
      <c r="AY518" s="765"/>
      <c r="AZ518" s="765"/>
      <c r="BA518" s="847"/>
      <c r="BB518" s="765"/>
      <c r="BC518" s="765"/>
      <c r="BD518" s="765"/>
      <c r="BE518" s="765"/>
      <c r="BF518" s="847"/>
      <c r="BG518" s="765"/>
      <c r="BH518" s="765"/>
      <c r="BI518" s="765"/>
      <c r="BJ518" s="765"/>
      <c r="BK518" s="847"/>
      <c r="BL518" s="765"/>
      <c r="BM518" s="765"/>
      <c r="BN518" s="765"/>
      <c r="BO518" s="765"/>
      <c r="BP518" s="847"/>
      <c r="BQ518" s="765"/>
      <c r="BR518" s="765"/>
      <c r="BS518" s="765"/>
      <c r="BT518" s="765"/>
      <c r="BU518" s="847"/>
      <c r="BV518" s="765"/>
      <c r="BW518" s="765"/>
      <c r="BX518" s="765"/>
      <c r="BY518" s="765"/>
      <c r="BZ518" s="847"/>
      <c r="CA518" s="847"/>
      <c r="CB518" s="847"/>
      <c r="CC518" s="847"/>
      <c r="CD518" s="847"/>
      <c r="CE518" s="847"/>
      <c r="CF518" s="847"/>
      <c r="CG518" s="847"/>
      <c r="CH518" s="847"/>
      <c r="CI518" s="847"/>
      <c r="CJ518" s="847"/>
      <c r="CK518" s="847"/>
      <c r="CL518" s="847"/>
      <c r="CM518" s="847"/>
      <c r="CN518" s="847"/>
      <c r="CO518" s="847"/>
      <c r="CP518" s="847"/>
      <c r="CQ518" s="847"/>
      <c r="CR518" s="847"/>
      <c r="CS518" s="847"/>
      <c r="CT518" s="847"/>
      <c r="CU518" s="847"/>
      <c r="CV518" s="847"/>
      <c r="CW518" s="847"/>
      <c r="CX518" s="847"/>
      <c r="CY518" s="847"/>
      <c r="CZ518" s="847"/>
      <c r="DA518" s="847"/>
      <c r="DB518"/>
      <c r="DC518"/>
      <c r="DD518" s="866" t="s">
        <v>1669</v>
      </c>
      <c r="DE518" s="2349"/>
      <c r="DF518" s="2349"/>
      <c r="DG518" s="2349"/>
      <c r="DH518" s="2349"/>
      <c r="DI518" s="2349"/>
      <c r="DJ518" s="2349"/>
      <c r="DK518" s="2349"/>
      <c r="DL518" s="2349"/>
      <c r="DM518" s="2349"/>
      <c r="DN518" s="2349"/>
      <c r="DO518" s="2349"/>
      <c r="DP518" s="2349"/>
      <c r="DQ518" s="2349"/>
      <c r="DR518" s="2349"/>
      <c r="DS518" s="2349"/>
      <c r="DT518" s="2349"/>
      <c r="DU518" s="2349"/>
      <c r="DV518" s="2349"/>
      <c r="DW518" s="2349"/>
      <c r="DX518" s="2349"/>
      <c r="DY518" s="2349"/>
      <c r="EA518"/>
      <c r="EB518"/>
      <c r="EC518"/>
      <c r="ED518"/>
      <c r="EE518"/>
      <c r="EF518"/>
      <c r="EJ518"/>
      <c r="EK518"/>
      <c r="EL518"/>
      <c r="ER518" s="212"/>
    </row>
    <row r="519" spans="1:148" s="923" customFormat="1" ht="12.75" hidden="1" customHeight="1" outlineLevel="1" x14ac:dyDescent="0.2">
      <c r="A519" s="865" t="s">
        <v>1863</v>
      </c>
      <c r="B519" s="765"/>
      <c r="C519" s="765"/>
      <c r="D519" s="765"/>
      <c r="E519" s="765"/>
      <c r="F519" s="765"/>
      <c r="G519" s="765"/>
      <c r="H519" s="765">
        <f>H489</f>
        <v>0</v>
      </c>
      <c r="I519" s="765">
        <f>I489</f>
        <v>0</v>
      </c>
      <c r="J519" s="765">
        <f>J489</f>
        <v>0</v>
      </c>
      <c r="K519" s="765">
        <f>K489</f>
        <v>0</v>
      </c>
      <c r="L519" s="765">
        <f>L489</f>
        <v>0</v>
      </c>
      <c r="M519" s="765">
        <f>SUM(I519:L519)</f>
        <v>0</v>
      </c>
      <c r="N519" s="765">
        <f>N489</f>
        <v>0</v>
      </c>
      <c r="O519" s="765">
        <f>O489</f>
        <v>0</v>
      </c>
      <c r="P519" s="765">
        <f>P489</f>
        <v>0</v>
      </c>
      <c r="Q519" s="765">
        <f>Q489</f>
        <v>0</v>
      </c>
      <c r="R519" s="765">
        <f>SUM(N519:Q519)</f>
        <v>0</v>
      </c>
      <c r="S519" s="765">
        <f>S489</f>
        <v>0</v>
      </c>
      <c r="T519" s="765">
        <f>T489</f>
        <v>0</v>
      </c>
      <c r="U519" s="765">
        <f>U489</f>
        <v>0</v>
      </c>
      <c r="V519" s="765">
        <f>V489</f>
        <v>0</v>
      </c>
      <c r="W519" s="765">
        <f>SUM(S519:V519)</f>
        <v>0</v>
      </c>
      <c r="X519" s="765">
        <f>X489</f>
        <v>0</v>
      </c>
      <c r="Y519" s="765">
        <f>Y489</f>
        <v>0</v>
      </c>
      <c r="Z519" s="765">
        <f>Z489</f>
        <v>0</v>
      </c>
      <c r="AA519" s="765">
        <f>AA489</f>
        <v>0</v>
      </c>
      <c r="AB519" s="765">
        <f>SUM(X519:AA519)</f>
        <v>0</v>
      </c>
      <c r="AC519" s="765">
        <f>AC489</f>
        <v>0</v>
      </c>
      <c r="AD519" s="765">
        <f>AD489</f>
        <v>0</v>
      </c>
      <c r="AE519" s="765">
        <f>AE489</f>
        <v>0</v>
      </c>
      <c r="AF519" s="765">
        <f>AF489</f>
        <v>0</v>
      </c>
      <c r="AG519" s="765">
        <f>SUM(AC519:AF519)</f>
        <v>0</v>
      </c>
      <c r="AH519" s="765">
        <f>AH489</f>
        <v>0</v>
      </c>
      <c r="AI519" s="765">
        <f>AI489</f>
        <v>0</v>
      </c>
      <c r="AJ519" s="765">
        <f>AJ489</f>
        <v>0</v>
      </c>
      <c r="AK519" s="765">
        <f>AK489</f>
        <v>0</v>
      </c>
      <c r="AL519" s="765">
        <f>SUM(AH519:AK519)</f>
        <v>0</v>
      </c>
      <c r="AM519" s="765">
        <f>AM489</f>
        <v>0</v>
      </c>
      <c r="AN519" s="765">
        <f>AN489</f>
        <v>0</v>
      </c>
      <c r="AO519" s="765">
        <f>AO489</f>
        <v>0</v>
      </c>
      <c r="AP519" s="765">
        <f>AP489</f>
        <v>0</v>
      </c>
      <c r="AQ519" s="765">
        <f>SUM(AM519:AP519)</f>
        <v>0</v>
      </c>
      <c r="AR519" s="765">
        <f>AR489</f>
        <v>0</v>
      </c>
      <c r="AS519" s="765">
        <f>AS489</f>
        <v>0</v>
      </c>
      <c r="AT519" s="765">
        <f>AT489</f>
        <v>0</v>
      </c>
      <c r="AU519" s="765">
        <f>AU489</f>
        <v>0</v>
      </c>
      <c r="AV519" s="765">
        <f>SUM(AR519:AU519)</f>
        <v>0</v>
      </c>
      <c r="AW519" s="765">
        <f>AW489</f>
        <v>8.5528455284552845</v>
      </c>
      <c r="AX519" s="765">
        <f>AX489</f>
        <v>74.552845528455279</v>
      </c>
      <c r="AY519" s="765">
        <f>AY489</f>
        <v>53.552845528455286</v>
      </c>
      <c r="AZ519" s="765">
        <f>AZ489</f>
        <v>3.7073170731707319</v>
      </c>
      <c r="BA519" s="765">
        <f>SUM(AW519:AZ519)</f>
        <v>140.36585365853659</v>
      </c>
      <c r="BB519" s="765">
        <f>BB489</f>
        <v>1</v>
      </c>
      <c r="BC519" s="765">
        <f>BC489</f>
        <v>19.689430894308941</v>
      </c>
      <c r="BD519" s="765">
        <f>BD489</f>
        <v>13.689430894308943</v>
      </c>
      <c r="BE519" s="765">
        <f>BE489</f>
        <v>68.53170731707317</v>
      </c>
      <c r="BF519" s="765">
        <f>SUM(BB519:BE519)</f>
        <v>102.91056910569105</v>
      </c>
      <c r="BG519" s="765">
        <f>BG489</f>
        <v>25</v>
      </c>
      <c r="BH519" s="765">
        <f>BH489</f>
        <v>34.830113821138212</v>
      </c>
      <c r="BI519" s="765">
        <f>BI489</f>
        <v>41.830113821138212</v>
      </c>
      <c r="BJ519" s="765">
        <f>BJ489</f>
        <v>48.727658536585366</v>
      </c>
      <c r="BK519" s="765">
        <f>SUM(BG519:BJ519)</f>
        <v>150.38788617886178</v>
      </c>
      <c r="BL519" s="765">
        <f>BL489</f>
        <v>33</v>
      </c>
      <c r="BM519" s="765">
        <f>BM489</f>
        <v>68.975017235772356</v>
      </c>
      <c r="BN519" s="765">
        <f>BN489</f>
        <v>26.975017235772359</v>
      </c>
      <c r="BO519" s="765">
        <f>BO489</f>
        <v>36.989488292682928</v>
      </c>
      <c r="BP519" s="765">
        <f>SUM(BL519:BO519)</f>
        <v>165.93952276422763</v>
      </c>
      <c r="BQ519" s="765">
        <f>BQ489</f>
        <v>0</v>
      </c>
      <c r="BR519" s="765">
        <f>BR489</f>
        <v>0</v>
      </c>
      <c r="BS519" s="765">
        <f>BS489</f>
        <v>0</v>
      </c>
      <c r="BT519" s="765">
        <f>BT489</f>
        <v>0</v>
      </c>
      <c r="BU519" s="765">
        <f>SUM(BQ519:BT519)</f>
        <v>0</v>
      </c>
      <c r="BV519" s="765"/>
      <c r="BW519" s="765"/>
      <c r="BX519" s="765"/>
      <c r="BY519" s="765"/>
      <c r="BZ519" s="765"/>
      <c r="CA519" s="765"/>
      <c r="CB519" s="765"/>
      <c r="CC519" s="765"/>
      <c r="CD519" s="765"/>
      <c r="CE519" s="765"/>
      <c r="CF519" s="765"/>
      <c r="CG519" s="765"/>
      <c r="CH519" s="765"/>
      <c r="CI519" s="765"/>
      <c r="CJ519" s="765"/>
      <c r="CK519" s="765"/>
      <c r="CL519" s="765"/>
      <c r="CM519" s="765"/>
      <c r="CN519" s="765"/>
      <c r="CO519" s="765"/>
      <c r="CP519" s="765"/>
      <c r="CQ519" s="765"/>
      <c r="CR519" s="765"/>
      <c r="CS519" s="765"/>
      <c r="CT519" s="765"/>
      <c r="CU519" s="765"/>
      <c r="CV519" s="765"/>
      <c r="CW519" s="765"/>
      <c r="CX519" s="765"/>
      <c r="CY519" s="765"/>
      <c r="CZ519" s="765"/>
      <c r="DA519" s="765"/>
      <c r="DB519"/>
      <c r="DC519"/>
      <c r="DD519" s="2323" t="s">
        <v>1863</v>
      </c>
      <c r="DE519" s="2350">
        <f>M519</f>
        <v>0</v>
      </c>
      <c r="DF519" s="2350">
        <f>R519</f>
        <v>0</v>
      </c>
      <c r="DG519" s="2350">
        <f>W519</f>
        <v>0</v>
      </c>
      <c r="DH519" s="2350">
        <f>AB519</f>
        <v>0</v>
      </c>
      <c r="DI519" s="2350">
        <f>AG519</f>
        <v>0</v>
      </c>
      <c r="DJ519" s="2350">
        <f>AL519</f>
        <v>0</v>
      </c>
      <c r="DK519" s="2350">
        <f>AQ519</f>
        <v>0</v>
      </c>
      <c r="DL519" s="2350">
        <f>AV519</f>
        <v>0</v>
      </c>
      <c r="DM519" s="2350">
        <f>BA519</f>
        <v>140.36585365853659</v>
      </c>
      <c r="DN519" s="2350">
        <f>BF519</f>
        <v>102.91056910569105</v>
      </c>
      <c r="DO519" s="2350">
        <f>BK519</f>
        <v>150.38788617886178</v>
      </c>
      <c r="DP519" s="2350">
        <f>BP519</f>
        <v>165.93952276422763</v>
      </c>
      <c r="DQ519" s="2350">
        <f>BU519</f>
        <v>0</v>
      </c>
      <c r="DR519" s="2350">
        <f>BZ519</f>
        <v>0</v>
      </c>
      <c r="DS519" s="2350">
        <f>CE519</f>
        <v>0</v>
      </c>
      <c r="DT519" s="2350">
        <f>CJ519</f>
        <v>0</v>
      </c>
      <c r="DU519" s="2350">
        <f>CO519</f>
        <v>0</v>
      </c>
      <c r="DV519" s="2350">
        <f>CT519</f>
        <v>0</v>
      </c>
      <c r="DW519" s="2350">
        <f t="shared" ref="DW519:DY523" si="986">CY519</f>
        <v>0</v>
      </c>
      <c r="DX519" s="2350">
        <f t="shared" si="986"/>
        <v>0</v>
      </c>
      <c r="DY519" s="2350">
        <f t="shared" si="986"/>
        <v>0</v>
      </c>
      <c r="EA519"/>
      <c r="EB519"/>
      <c r="EC519"/>
      <c r="ED519"/>
      <c r="EE519"/>
      <c r="EF519"/>
      <c r="EJ519"/>
      <c r="EK519"/>
      <c r="EL519"/>
      <c r="ER519" s="212"/>
    </row>
    <row r="520" spans="1:148" s="923" customFormat="1" ht="12.75" hidden="1" customHeight="1" outlineLevel="1" x14ac:dyDescent="0.2">
      <c r="A520" s="865" t="s">
        <v>1670</v>
      </c>
      <c r="B520" s="765"/>
      <c r="C520" s="765"/>
      <c r="D520" s="765"/>
      <c r="E520" s="765"/>
      <c r="F520" s="765"/>
      <c r="G520" s="765"/>
      <c r="H520" s="765">
        <f>-H493</f>
        <v>0</v>
      </c>
      <c r="I520" s="765">
        <f>-I493</f>
        <v>-87.5</v>
      </c>
      <c r="J520" s="765">
        <f>-J493</f>
        <v>-87.5</v>
      </c>
      <c r="K520" s="765">
        <f>-K493</f>
        <v>-87.5</v>
      </c>
      <c r="L520" s="765">
        <f>-L493</f>
        <v>-87.5</v>
      </c>
      <c r="M520" s="765">
        <f>SUM(I520:L520)</f>
        <v>-350</v>
      </c>
      <c r="N520" s="765">
        <f>-N493</f>
        <v>-87.5</v>
      </c>
      <c r="O520" s="765">
        <f>-O493</f>
        <v>-87.5</v>
      </c>
      <c r="P520" s="765">
        <f>-P493</f>
        <v>-87.5</v>
      </c>
      <c r="Q520" s="765">
        <f>-Q493</f>
        <v>-87.5</v>
      </c>
      <c r="R520" s="765">
        <f>SUM(N520:Q520)</f>
        <v>-350</v>
      </c>
      <c r="S520" s="765">
        <f>-S493</f>
        <v>-50</v>
      </c>
      <c r="T520" s="765">
        <f>-T493</f>
        <v>-50</v>
      </c>
      <c r="U520" s="765">
        <f>-U493</f>
        <v>-50</v>
      </c>
      <c r="V520" s="765">
        <f>-V493</f>
        <v>-50</v>
      </c>
      <c r="W520" s="765">
        <f>SUM(S520:V520)</f>
        <v>-200</v>
      </c>
      <c r="X520" s="765">
        <f>-X493</f>
        <v>-34</v>
      </c>
      <c r="Y520" s="765">
        <f>-Y493</f>
        <v>-67</v>
      </c>
      <c r="Z520" s="765">
        <f>-Z493</f>
        <v>-50</v>
      </c>
      <c r="AA520" s="765">
        <f>-AA493</f>
        <v>-49</v>
      </c>
      <c r="AB520" s="765">
        <f>SUM(X520:AA520)</f>
        <v>-200</v>
      </c>
      <c r="AC520" s="765">
        <f>-AC493</f>
        <v>-56.25</v>
      </c>
      <c r="AD520" s="765">
        <f>-AD493</f>
        <v>-56.25</v>
      </c>
      <c r="AE520" s="765">
        <f>-AE493</f>
        <v>-56.25</v>
      </c>
      <c r="AF520" s="765">
        <f>-AF493</f>
        <v>-56.25</v>
      </c>
      <c r="AG520" s="765">
        <f>SUM(AC520:AF520)</f>
        <v>-225</v>
      </c>
      <c r="AH520" s="765">
        <f>-AH493</f>
        <v>-63.75</v>
      </c>
      <c r="AI520" s="765">
        <f>-AI493</f>
        <v>-63.75</v>
      </c>
      <c r="AJ520" s="765">
        <f>-AJ493</f>
        <v>-63.75</v>
      </c>
      <c r="AK520" s="765">
        <f>-AK493</f>
        <v>-63.75</v>
      </c>
      <c r="AL520" s="765">
        <f>SUM(AH520:AK520)</f>
        <v>-255</v>
      </c>
      <c r="AM520" s="765">
        <f>-AM493</f>
        <v>-12.5</v>
      </c>
      <c r="AN520" s="765">
        <f>-AN493</f>
        <v>-10</v>
      </c>
      <c r="AO520" s="765">
        <f>-AO493</f>
        <v>-25</v>
      </c>
      <c r="AP520" s="765">
        <f>-AP493</f>
        <v>-25</v>
      </c>
      <c r="AQ520" s="765">
        <f>SUM(AM520:AP520)</f>
        <v>-72.5</v>
      </c>
      <c r="AR520" s="765">
        <f>-AR493</f>
        <v>-25</v>
      </c>
      <c r="AS520" s="765">
        <f>-AS493</f>
        <v>-25</v>
      </c>
      <c r="AT520" s="765">
        <f>-AT493</f>
        <v>-25</v>
      </c>
      <c r="AU520" s="765">
        <f>-AU493</f>
        <v>-25</v>
      </c>
      <c r="AV520" s="765">
        <f>SUM(AR520:AU520)</f>
        <v>-100</v>
      </c>
      <c r="AW520" s="765">
        <f>-AW493</f>
        <v>-50</v>
      </c>
      <c r="AX520" s="765">
        <f>-AX493</f>
        <v>-50</v>
      </c>
      <c r="AY520" s="765">
        <f>-AY493</f>
        <v>-75</v>
      </c>
      <c r="AZ520" s="765">
        <f>-AZ493</f>
        <v>-75</v>
      </c>
      <c r="BA520" s="765">
        <f>SUM(AW520:AZ520)</f>
        <v>-250</v>
      </c>
      <c r="BB520" s="765">
        <f>-BB493</f>
        <v>-100</v>
      </c>
      <c r="BC520" s="765">
        <f>-BC493</f>
        <v>-90</v>
      </c>
      <c r="BD520" s="765">
        <f>-BD493</f>
        <v>-90</v>
      </c>
      <c r="BE520" s="765">
        <f>-BE493</f>
        <v>-100</v>
      </c>
      <c r="BF520" s="765">
        <f>SUM(BB520:BE520)</f>
        <v>-380</v>
      </c>
      <c r="BG520" s="765">
        <f>-BG493</f>
        <v>-75</v>
      </c>
      <c r="BH520" s="765">
        <f>-BH493</f>
        <v>-75</v>
      </c>
      <c r="BI520" s="765">
        <f>-BI493</f>
        <v>-75</v>
      </c>
      <c r="BJ520" s="765">
        <f>-BJ493</f>
        <v>-75</v>
      </c>
      <c r="BK520" s="765">
        <f>SUM(BG520:BJ520)</f>
        <v>-300</v>
      </c>
      <c r="BL520" s="765">
        <f>-BL493</f>
        <v>0</v>
      </c>
      <c r="BM520" s="765">
        <f>-BM493</f>
        <v>0</v>
      </c>
      <c r="BN520" s="765">
        <f>-BN493</f>
        <v>0</v>
      </c>
      <c r="BO520" s="765">
        <f>-BO493</f>
        <v>0</v>
      </c>
      <c r="BP520" s="765">
        <f>SUM(BL520:BO520)</f>
        <v>0</v>
      </c>
      <c r="BQ520" s="765">
        <f>-BQ493</f>
        <v>0</v>
      </c>
      <c r="BR520" s="765">
        <f>-BR493</f>
        <v>0</v>
      </c>
      <c r="BS520" s="765">
        <f>-BS493</f>
        <v>0</v>
      </c>
      <c r="BT520" s="765">
        <f>-BT493</f>
        <v>0</v>
      </c>
      <c r="BU520" s="765">
        <f>SUM(BQ520:BT520)</f>
        <v>0</v>
      </c>
      <c r="BV520" s="765"/>
      <c r="BW520" s="765"/>
      <c r="BX520" s="765"/>
      <c r="BY520" s="765"/>
      <c r="BZ520" s="765"/>
      <c r="CA520" s="765"/>
      <c r="CB520" s="765"/>
      <c r="CC520" s="765"/>
      <c r="CD520" s="765"/>
      <c r="CE520" s="765"/>
      <c r="CF520" s="765"/>
      <c r="CG520" s="765"/>
      <c r="CH520" s="765"/>
      <c r="CI520" s="765"/>
      <c r="CJ520" s="765"/>
      <c r="CK520" s="765"/>
      <c r="CL520" s="765"/>
      <c r="CM520" s="765"/>
      <c r="CN520" s="765"/>
      <c r="CO520" s="765"/>
      <c r="CP520" s="765"/>
      <c r="CQ520" s="765"/>
      <c r="CR520" s="765"/>
      <c r="CS520" s="765"/>
      <c r="CT520" s="765"/>
      <c r="CU520" s="765"/>
      <c r="CV520" s="765"/>
      <c r="CW520" s="765"/>
      <c r="CX520" s="765"/>
      <c r="CY520" s="765"/>
      <c r="CZ520" s="765"/>
      <c r="DA520" s="765"/>
      <c r="DB520"/>
      <c r="DC520"/>
      <c r="DD520" s="2323" t="s">
        <v>1670</v>
      </c>
      <c r="DE520" s="2350">
        <f>M520</f>
        <v>-350</v>
      </c>
      <c r="DF520" s="2350">
        <f>R520</f>
        <v>-350</v>
      </c>
      <c r="DG520" s="2350">
        <f>W520</f>
        <v>-200</v>
      </c>
      <c r="DH520" s="2350">
        <f>AB520</f>
        <v>-200</v>
      </c>
      <c r="DI520" s="2350">
        <f>AG520</f>
        <v>-225</v>
      </c>
      <c r="DJ520" s="2350">
        <f>AL520</f>
        <v>-255</v>
      </c>
      <c r="DK520" s="2350">
        <f>AQ520</f>
        <v>-72.5</v>
      </c>
      <c r="DL520" s="2350">
        <f>AV520</f>
        <v>-100</v>
      </c>
      <c r="DM520" s="2350">
        <f>BA520</f>
        <v>-250</v>
      </c>
      <c r="DN520" s="2350">
        <f>BF520</f>
        <v>-380</v>
      </c>
      <c r="DO520" s="2350">
        <f>BK520</f>
        <v>-300</v>
      </c>
      <c r="DP520" s="2350">
        <f>BP520</f>
        <v>0</v>
      </c>
      <c r="DQ520" s="2350">
        <f>BU520</f>
        <v>0</v>
      </c>
      <c r="DR520" s="2350">
        <f>BZ520</f>
        <v>0</v>
      </c>
      <c r="DS520" s="2350">
        <f>CE520</f>
        <v>0</v>
      </c>
      <c r="DT520" s="2350">
        <f>CJ520</f>
        <v>0</v>
      </c>
      <c r="DU520" s="2350">
        <f>CO520</f>
        <v>0</v>
      </c>
      <c r="DV520" s="2350">
        <f>CT520</f>
        <v>0</v>
      </c>
      <c r="DW520" s="2350">
        <f t="shared" si="986"/>
        <v>0</v>
      </c>
      <c r="DX520" s="2350">
        <f t="shared" si="986"/>
        <v>0</v>
      </c>
      <c r="DY520" s="2350">
        <f t="shared" si="986"/>
        <v>0</v>
      </c>
      <c r="EA520"/>
      <c r="EB520"/>
      <c r="EC520"/>
      <c r="ED520"/>
      <c r="EE520"/>
      <c r="EF520"/>
      <c r="EJ520"/>
      <c r="EK520"/>
      <c r="EL520"/>
      <c r="ER520" s="212"/>
    </row>
    <row r="521" spans="1:148" s="923" customFormat="1" ht="12.75" hidden="1" customHeight="1" outlineLevel="1" x14ac:dyDescent="0.2">
      <c r="A521" s="865" t="s">
        <v>584</v>
      </c>
      <c r="B521" s="765"/>
      <c r="C521" s="765"/>
      <c r="D521" s="765"/>
      <c r="E521" s="765"/>
      <c r="F521" s="765"/>
      <c r="G521" s="765"/>
      <c r="H521" s="765">
        <f>-H496+H492</f>
        <v>-587</v>
      </c>
      <c r="I521" s="765">
        <f>-I496+I492</f>
        <v>-24.604000000000042</v>
      </c>
      <c r="J521" s="765">
        <f>-J496+J492</f>
        <v>-16.923999999999978</v>
      </c>
      <c r="K521" s="765">
        <f>-K496+K492</f>
        <v>-15.772000000000048</v>
      </c>
      <c r="L521" s="765">
        <f>-L496+L492</f>
        <v>-269.69999999999993</v>
      </c>
      <c r="M521" s="765">
        <f>SUM(I521:L521)</f>
        <v>-327</v>
      </c>
      <c r="N521" s="765">
        <f>-N496+N492</f>
        <v>-2.4279999999999973</v>
      </c>
      <c r="O521" s="765">
        <f>-O496+O492</f>
        <v>0.16399999999998727</v>
      </c>
      <c r="P521" s="765">
        <f>-P496+P492</f>
        <v>16.29200000000003</v>
      </c>
      <c r="Q521" s="765">
        <f>-Q496+Q492</f>
        <v>-267.02800000000013</v>
      </c>
      <c r="R521" s="765">
        <f>SUM(N521:Q521)</f>
        <v>-253.00000000000011</v>
      </c>
      <c r="S521" s="765">
        <f>-S496+S492</f>
        <v>29.24252359662205</v>
      </c>
      <c r="T521" s="765">
        <f>-T496+T492</f>
        <v>45.277741871081844</v>
      </c>
      <c r="U521" s="765">
        <f>-U496+U492</f>
        <v>44.93121827445998</v>
      </c>
      <c r="V521" s="765">
        <f>-V496+V492</f>
        <v>-126.45148374216387</v>
      </c>
      <c r="W521" s="765">
        <f>SUM(S521:V521)</f>
        <v>-7</v>
      </c>
      <c r="X521" s="765">
        <f>-X496+X492</f>
        <v>53.34719999999993</v>
      </c>
      <c r="Y521" s="765">
        <f>-Y496+Y492</f>
        <v>19.299199999999928</v>
      </c>
      <c r="Z521" s="765">
        <f>-Z496+Z492</f>
        <v>59.982400000000098</v>
      </c>
      <c r="AA521" s="765">
        <f>-AA496+AA492</f>
        <v>-148.62879999999973</v>
      </c>
      <c r="AB521" s="765">
        <f>SUM(X521:AA521)</f>
        <v>-15.999999999999773</v>
      </c>
      <c r="AC521" s="765">
        <f>-AC496+AC492</f>
        <v>62.024400000000014</v>
      </c>
      <c r="AD521" s="765">
        <f>-AD496+AD492</f>
        <v>47.55639999999994</v>
      </c>
      <c r="AE521" s="765">
        <f>-AE496+AE492</f>
        <v>53.719600000000128</v>
      </c>
      <c r="AF521" s="765">
        <f>-AF496+AF492</f>
        <v>-63.300400000000081</v>
      </c>
      <c r="AG521" s="765">
        <f>SUM(AC521:AF521)</f>
        <v>100</v>
      </c>
      <c r="AH521" s="765">
        <f>-AH496+AH492</f>
        <v>62.270800000000008</v>
      </c>
      <c r="AI521" s="765">
        <f>-AI496+AI492</f>
        <v>58.005200000000059</v>
      </c>
      <c r="AJ521" s="765">
        <f>-AJ496+AJ492</f>
        <v>80.038000000000011</v>
      </c>
      <c r="AK521" s="765">
        <f>-AK496+AK492</f>
        <v>-226.31400000000008</v>
      </c>
      <c r="AL521" s="765">
        <f>SUM(AH521:AK521)</f>
        <v>-26</v>
      </c>
      <c r="AM521" s="765">
        <f>-AM496+AM492</f>
        <v>47</v>
      </c>
      <c r="AN521" s="765">
        <f>-AN496+AN492</f>
        <v>-11</v>
      </c>
      <c r="AO521" s="765">
        <f>-AO496+AO492</f>
        <v>-72</v>
      </c>
      <c r="AP521" s="765">
        <f>-AP496+AP492</f>
        <v>-14</v>
      </c>
      <c r="AQ521" s="765">
        <f>SUM(AM521:AP521)</f>
        <v>-50</v>
      </c>
      <c r="AR521" s="765">
        <f>-AR496+AR492</f>
        <v>28</v>
      </c>
      <c r="AS521" s="765">
        <f>-AS496+AS492</f>
        <v>-111</v>
      </c>
      <c r="AT521" s="765">
        <f>-AT496+AT492</f>
        <v>-213</v>
      </c>
      <c r="AU521" s="765">
        <f>-AU496+AU492</f>
        <v>-74</v>
      </c>
      <c r="AV521" s="765">
        <f>SUM(AR521:AU521)</f>
        <v>-370</v>
      </c>
      <c r="AW521" s="765">
        <f>-AW496+AW492</f>
        <v>-159</v>
      </c>
      <c r="AX521" s="765">
        <f>-AX496+AX492</f>
        <v>-104</v>
      </c>
      <c r="AY521" s="765">
        <f>-AY496+AY492</f>
        <v>-70</v>
      </c>
      <c r="AZ521" s="765">
        <f>-AZ496+AZ492</f>
        <v>-90</v>
      </c>
      <c r="BA521" s="765">
        <f>SUM(AW521:AZ521)</f>
        <v>-423</v>
      </c>
      <c r="BB521" s="765">
        <f>-BB496+BB492</f>
        <v>-14</v>
      </c>
      <c r="BC521" s="765">
        <f>-BC496+BC492</f>
        <v>-7</v>
      </c>
      <c r="BD521" s="765">
        <f>-BD496+BD492</f>
        <v>533</v>
      </c>
      <c r="BE521" s="765">
        <f>-BE496+BE492</f>
        <v>21</v>
      </c>
      <c r="BF521" s="765">
        <f>SUM(BB521:BE521)</f>
        <v>533</v>
      </c>
      <c r="BG521" s="765">
        <f>-BG496+BG492</f>
        <v>-59</v>
      </c>
      <c r="BH521" s="765">
        <f>-BH496+BH492</f>
        <v>35</v>
      </c>
      <c r="BI521" s="765">
        <f>-BI496+BI492</f>
        <v>13</v>
      </c>
      <c r="BJ521" s="765">
        <f>-BJ496+BJ492</f>
        <v>-35</v>
      </c>
      <c r="BK521" s="765">
        <f>SUM(BG521:BJ521)</f>
        <v>-46</v>
      </c>
      <c r="BL521" s="765">
        <f>-BL496+BL492</f>
        <v>30</v>
      </c>
      <c r="BM521" s="765">
        <f>-BM496+BM492</f>
        <v>96</v>
      </c>
      <c r="BN521" s="765">
        <f>-BN496+BN492</f>
        <v>335</v>
      </c>
      <c r="BO521" s="765">
        <f>-BO496+BO492</f>
        <v>86.680000000000064</v>
      </c>
      <c r="BP521" s="765">
        <f>SUM(BL521:BO521)</f>
        <v>547.68000000000006</v>
      </c>
      <c r="BQ521" s="765">
        <f>-BQ496+BQ492</f>
        <v>0</v>
      </c>
      <c r="BR521" s="765">
        <f>-BR496+BR492</f>
        <v>0</v>
      </c>
      <c r="BS521" s="765">
        <f>-BS496+BS492</f>
        <v>0</v>
      </c>
      <c r="BT521" s="765">
        <f>-BT496+BT492</f>
        <v>0</v>
      </c>
      <c r="BU521" s="765">
        <f>SUM(BQ521:BT521)</f>
        <v>0</v>
      </c>
      <c r="BV521" s="765"/>
      <c r="BW521" s="765"/>
      <c r="BX521" s="765"/>
      <c r="BY521" s="765"/>
      <c r="BZ521" s="765"/>
      <c r="CA521" s="765"/>
      <c r="CB521" s="765"/>
      <c r="CC521" s="765"/>
      <c r="CD521" s="765"/>
      <c r="CE521" s="765"/>
      <c r="CF521" s="765"/>
      <c r="CG521" s="765"/>
      <c r="CH521" s="765"/>
      <c r="CI521" s="765"/>
      <c r="CJ521" s="765"/>
      <c r="CK521" s="765"/>
      <c r="CL521" s="765"/>
      <c r="CM521" s="765"/>
      <c r="CN521" s="765"/>
      <c r="CO521" s="765"/>
      <c r="CP521" s="765"/>
      <c r="CQ521" s="765"/>
      <c r="CR521" s="765"/>
      <c r="CS521" s="765"/>
      <c r="CT521" s="765"/>
      <c r="CU521" s="765"/>
      <c r="CV521" s="765"/>
      <c r="CW521" s="765"/>
      <c r="CX521" s="765"/>
      <c r="CY521" s="765"/>
      <c r="CZ521" s="765"/>
      <c r="DA521" s="765"/>
      <c r="DB521"/>
      <c r="DC521"/>
      <c r="DD521" s="2323" t="s">
        <v>584</v>
      </c>
      <c r="DE521" s="2350">
        <f>M521</f>
        <v>-327</v>
      </c>
      <c r="DF521" s="2350">
        <f>R521</f>
        <v>-253.00000000000011</v>
      </c>
      <c r="DG521" s="2350">
        <f>W521</f>
        <v>-7</v>
      </c>
      <c r="DH521" s="2350">
        <f>AB521</f>
        <v>-15.999999999999773</v>
      </c>
      <c r="DI521" s="2350">
        <f>AG521</f>
        <v>100</v>
      </c>
      <c r="DJ521" s="2350">
        <f>AL521</f>
        <v>-26</v>
      </c>
      <c r="DK521" s="2350">
        <f>AQ521</f>
        <v>-50</v>
      </c>
      <c r="DL521" s="2350">
        <f>AV521</f>
        <v>-370</v>
      </c>
      <c r="DM521" s="2350">
        <f>BA521</f>
        <v>-423</v>
      </c>
      <c r="DN521" s="2350">
        <f>BF521</f>
        <v>533</v>
      </c>
      <c r="DO521" s="2350">
        <f>BK521</f>
        <v>-46</v>
      </c>
      <c r="DP521" s="2350">
        <f>BP521</f>
        <v>547.68000000000006</v>
      </c>
      <c r="DQ521" s="2350">
        <f>BU521</f>
        <v>0</v>
      </c>
      <c r="DR521" s="2350">
        <f>BZ521</f>
        <v>0</v>
      </c>
      <c r="DS521" s="2350">
        <f>CE521</f>
        <v>0</v>
      </c>
      <c r="DT521" s="2350">
        <f>CJ521</f>
        <v>0</v>
      </c>
      <c r="DU521" s="2350">
        <f>CO521</f>
        <v>0</v>
      </c>
      <c r="DV521" s="2350">
        <f>CT521</f>
        <v>0</v>
      </c>
      <c r="DW521" s="2350">
        <f t="shared" si="986"/>
        <v>0</v>
      </c>
      <c r="DX521" s="2350">
        <f t="shared" si="986"/>
        <v>0</v>
      </c>
      <c r="DY521" s="2350">
        <f t="shared" si="986"/>
        <v>0</v>
      </c>
      <c r="EA521"/>
      <c r="EB521"/>
      <c r="EC521"/>
      <c r="ED521"/>
      <c r="EE521"/>
      <c r="EF521"/>
      <c r="EJ521"/>
      <c r="EK521"/>
      <c r="EL521"/>
      <c r="ER521" s="212"/>
    </row>
    <row r="522" spans="1:148" s="923" customFormat="1" ht="12.75" hidden="1" customHeight="1" outlineLevel="1" x14ac:dyDescent="0.2">
      <c r="A522" s="865" t="s">
        <v>585</v>
      </c>
      <c r="B522" s="877"/>
      <c r="C522" s="877"/>
      <c r="D522" s="877"/>
      <c r="E522" s="877"/>
      <c r="F522" s="877"/>
      <c r="G522" s="877"/>
      <c r="H522" s="877">
        <f>-H504-H505</f>
        <v>0</v>
      </c>
      <c r="I522" s="877">
        <f>-I504-I505</f>
        <v>0</v>
      </c>
      <c r="J522" s="877">
        <f>-J504-J505</f>
        <v>0</v>
      </c>
      <c r="K522" s="877">
        <f>-K504-K505</f>
        <v>0</v>
      </c>
      <c r="L522" s="877">
        <f>-L504-L505</f>
        <v>0</v>
      </c>
      <c r="M522" s="877">
        <f>SUM(I522:L522)</f>
        <v>0</v>
      </c>
      <c r="N522" s="877">
        <f>-N504-N505</f>
        <v>-12.437999999999988</v>
      </c>
      <c r="O522" s="877">
        <f>-O504-O505</f>
        <v>-9.7059999999999889</v>
      </c>
      <c r="P522" s="877">
        <f>-P504-P505</f>
        <v>-20.817999999999998</v>
      </c>
      <c r="Q522" s="877">
        <f>-Q504-Q505</f>
        <v>-77.038000000000011</v>
      </c>
      <c r="R522" s="877">
        <f>SUM(N522:Q522)</f>
        <v>-119.99999999999999</v>
      </c>
      <c r="S522" s="877">
        <f>-S504-S505</f>
        <v>39.473422752111276</v>
      </c>
      <c r="T522" s="877">
        <f>-T504-T505</f>
        <v>25.451411330573819</v>
      </c>
      <c r="U522" s="877">
        <f>-U504-U505</f>
        <v>15.075165917314905</v>
      </c>
      <c r="V522" s="877">
        <f>-V504-V505</f>
        <v>57</v>
      </c>
      <c r="W522" s="877">
        <f>SUM(S522:V522)</f>
        <v>137</v>
      </c>
      <c r="X522" s="877">
        <f>-X504-X505</f>
        <v>-46</v>
      </c>
      <c r="Y522" s="877">
        <f>-Y504-Y505</f>
        <v>56</v>
      </c>
      <c r="Z522" s="877">
        <f>-Z504-Z505</f>
        <v>-68</v>
      </c>
      <c r="AA522" s="877">
        <f>-AA504-AA505</f>
        <v>59</v>
      </c>
      <c r="AB522" s="877">
        <f>SUM(X522:AA522)</f>
        <v>1</v>
      </c>
      <c r="AC522" s="877">
        <f>-AC504-AC505</f>
        <v>-65</v>
      </c>
      <c r="AD522" s="877">
        <f>-AD504-AD505</f>
        <v>40</v>
      </c>
      <c r="AE522" s="877">
        <f>-AE504-AE505</f>
        <v>-112</v>
      </c>
      <c r="AF522" s="877">
        <f>-AF504-AF505</f>
        <v>0</v>
      </c>
      <c r="AG522" s="877">
        <f>SUM(AC522:AF522)</f>
        <v>-137</v>
      </c>
      <c r="AH522" s="877">
        <f>-AH504-AH505</f>
        <v>-80</v>
      </c>
      <c r="AI522" s="877">
        <f>-AI504-AI505</f>
        <v>76</v>
      </c>
      <c r="AJ522" s="877">
        <f>-AJ504-AJ505</f>
        <v>-99</v>
      </c>
      <c r="AK522" s="877">
        <f>-AK504-AK505</f>
        <v>81</v>
      </c>
      <c r="AL522" s="877">
        <f>SUM(AH522:AK522)</f>
        <v>-22</v>
      </c>
      <c r="AM522" s="877">
        <f>-AM504-AM505</f>
        <v>-52</v>
      </c>
      <c r="AN522" s="877">
        <f>-AN504-AN505</f>
        <v>143</v>
      </c>
      <c r="AO522" s="877">
        <f>-AO504-AO505</f>
        <v>-137</v>
      </c>
      <c r="AP522" s="877">
        <f>-AP504-AP505</f>
        <v>41</v>
      </c>
      <c r="AQ522" s="877">
        <f>SUM(AM522:AP522)</f>
        <v>-5</v>
      </c>
      <c r="AR522" s="877">
        <f>-AR504-AR505</f>
        <v>-85</v>
      </c>
      <c r="AS522" s="877">
        <f>-AS504-AS505</f>
        <v>115</v>
      </c>
      <c r="AT522" s="877">
        <f>-AT504-AT505</f>
        <v>-135</v>
      </c>
      <c r="AU522" s="877">
        <f>-AU504-AU505</f>
        <v>13</v>
      </c>
      <c r="AV522" s="877">
        <f>SUM(AR522:AU522)</f>
        <v>-92</v>
      </c>
      <c r="AW522" s="877">
        <f>-AW504-AW505</f>
        <v>-104</v>
      </c>
      <c r="AX522" s="877">
        <f>-AX504-AX505</f>
        <v>130</v>
      </c>
      <c r="AY522" s="877">
        <f>-AY504-AY505</f>
        <v>-121</v>
      </c>
      <c r="AZ522" s="877">
        <f>-AZ504-AZ505</f>
        <v>-104</v>
      </c>
      <c r="BA522" s="877">
        <f>SUM(AW522:AZ522)</f>
        <v>-199</v>
      </c>
      <c r="BB522" s="877">
        <f>-BB504-BB505</f>
        <v>253</v>
      </c>
      <c r="BC522" s="877">
        <f>-BC504-BC505</f>
        <v>-45</v>
      </c>
      <c r="BD522" s="877">
        <f>-BD504-BD505</f>
        <v>-39</v>
      </c>
      <c r="BE522" s="877">
        <f>-BE504-BE505</f>
        <v>-14</v>
      </c>
      <c r="BF522" s="877">
        <f>SUM(BB522:BE522)</f>
        <v>155</v>
      </c>
      <c r="BG522" s="877">
        <f>-BG504-BG505</f>
        <v>-816</v>
      </c>
      <c r="BH522" s="877">
        <f>-BH504-BH505</f>
        <v>38</v>
      </c>
      <c r="BI522" s="877">
        <f>-BI504-BI505</f>
        <v>-65</v>
      </c>
      <c r="BJ522" s="877">
        <f>-BJ504-BJ505</f>
        <v>31</v>
      </c>
      <c r="BK522" s="877">
        <f>SUM(BG522:BJ522)</f>
        <v>-812</v>
      </c>
      <c r="BL522" s="877">
        <f>-BL504-BL505</f>
        <v>48</v>
      </c>
      <c r="BM522" s="877">
        <f>-BM504-BM505</f>
        <v>89</v>
      </c>
      <c r="BN522" s="877">
        <f>-BN504-BN505</f>
        <v>25</v>
      </c>
      <c r="BO522" s="877">
        <f>-BO504-BO505</f>
        <v>257.64999999999998</v>
      </c>
      <c r="BP522" s="877">
        <f>SUM(BL522:BO522)</f>
        <v>419.65</v>
      </c>
      <c r="BQ522" s="877">
        <f>-BQ504-BQ505</f>
        <v>0</v>
      </c>
      <c r="BR522" s="877">
        <f>-BR504-BR505</f>
        <v>0</v>
      </c>
      <c r="BS522" s="877">
        <f>-BS504-BS505</f>
        <v>0</v>
      </c>
      <c r="BT522" s="877">
        <f>-BT504-BT505</f>
        <v>0</v>
      </c>
      <c r="BU522" s="877">
        <f>SUM(BQ522:BT522)</f>
        <v>0</v>
      </c>
      <c r="BV522" s="877"/>
      <c r="BW522" s="877"/>
      <c r="BX522" s="877"/>
      <c r="BY522" s="877"/>
      <c r="BZ522" s="877"/>
      <c r="CA522" s="877"/>
      <c r="CB522" s="877"/>
      <c r="CC522" s="877"/>
      <c r="CD522" s="877"/>
      <c r="CE522" s="877"/>
      <c r="CF522" s="877"/>
      <c r="CG522" s="877"/>
      <c r="CH522" s="877"/>
      <c r="CI522" s="877"/>
      <c r="CJ522" s="877"/>
      <c r="CK522" s="877"/>
      <c r="CL522" s="877"/>
      <c r="CM522" s="877"/>
      <c r="CN522" s="877"/>
      <c r="CO522" s="877"/>
      <c r="CP522" s="877"/>
      <c r="CQ522" s="877"/>
      <c r="CR522" s="877"/>
      <c r="CS522" s="877"/>
      <c r="CT522" s="877"/>
      <c r="CU522" s="877"/>
      <c r="CV522" s="877"/>
      <c r="CW522" s="877"/>
      <c r="CX522" s="877"/>
      <c r="CY522" s="877"/>
      <c r="CZ522" s="877"/>
      <c r="DA522" s="877"/>
      <c r="DB522"/>
      <c r="DC522"/>
      <c r="DD522" s="2323" t="s">
        <v>585</v>
      </c>
      <c r="DE522" s="877">
        <f>M522</f>
        <v>0</v>
      </c>
      <c r="DF522" s="877">
        <f>R522</f>
        <v>-119.99999999999999</v>
      </c>
      <c r="DG522" s="877">
        <f>W522</f>
        <v>137</v>
      </c>
      <c r="DH522" s="877">
        <f>AB522</f>
        <v>1</v>
      </c>
      <c r="DI522" s="877">
        <f>AG522</f>
        <v>-137</v>
      </c>
      <c r="DJ522" s="877">
        <f>AL522</f>
        <v>-22</v>
      </c>
      <c r="DK522" s="877">
        <f>AQ522</f>
        <v>-5</v>
      </c>
      <c r="DL522" s="877">
        <f>AV522</f>
        <v>-92</v>
      </c>
      <c r="DM522" s="877">
        <f>BA522</f>
        <v>-199</v>
      </c>
      <c r="DN522" s="877">
        <f>BF522</f>
        <v>155</v>
      </c>
      <c r="DO522" s="877">
        <f>BK522</f>
        <v>-812</v>
      </c>
      <c r="DP522" s="877">
        <f>BP522</f>
        <v>419.65</v>
      </c>
      <c r="DQ522" s="877">
        <f>BU522</f>
        <v>0</v>
      </c>
      <c r="DR522" s="877">
        <f>BZ522</f>
        <v>0</v>
      </c>
      <c r="DS522" s="877">
        <f>CE522</f>
        <v>0</v>
      </c>
      <c r="DT522" s="877">
        <f>CJ522</f>
        <v>0</v>
      </c>
      <c r="DU522" s="877">
        <f>CO522</f>
        <v>0</v>
      </c>
      <c r="DV522" s="877">
        <f>CT522</f>
        <v>0</v>
      </c>
      <c r="DW522" s="877">
        <f t="shared" si="986"/>
        <v>0</v>
      </c>
      <c r="DX522" s="877">
        <f t="shared" si="986"/>
        <v>0</v>
      </c>
      <c r="DY522" s="877">
        <f t="shared" si="986"/>
        <v>0</v>
      </c>
      <c r="EA522"/>
      <c r="EB522"/>
      <c r="EC522"/>
      <c r="ED522"/>
      <c r="EE522"/>
      <c r="EF522"/>
      <c r="EJ522"/>
      <c r="EK522"/>
      <c r="EL522"/>
      <c r="ER522" s="212"/>
    </row>
    <row r="523" spans="1:148" s="923" customFormat="1" ht="12.75" hidden="1" customHeight="1" outlineLevel="1" x14ac:dyDescent="0.2">
      <c r="A523" s="867" t="s">
        <v>1671</v>
      </c>
      <c r="B523" s="854"/>
      <c r="C523" s="854"/>
      <c r="D523" s="854"/>
      <c r="E523" s="854"/>
      <c r="F523" s="854"/>
      <c r="G523" s="854"/>
      <c r="H523" s="854">
        <f>SUM(H519:H522)</f>
        <v>-587</v>
      </c>
      <c r="I523" s="854">
        <f>SUM(I519:I522)</f>
        <v>-112.10400000000004</v>
      </c>
      <c r="J523" s="854">
        <f>SUM(J519:J522)</f>
        <v>-104.42399999999998</v>
      </c>
      <c r="K523" s="854">
        <f>SUM(K519:K522)</f>
        <v>-103.27200000000005</v>
      </c>
      <c r="L523" s="854">
        <f>SUM(L519:L522)</f>
        <v>-357.19999999999993</v>
      </c>
      <c r="M523" s="854">
        <f>SUM(I523:L523)</f>
        <v>-677</v>
      </c>
      <c r="N523" s="854">
        <f>SUM(N519:N522)</f>
        <v>-102.36599999999999</v>
      </c>
      <c r="O523" s="854">
        <f>SUM(O519:O522)</f>
        <v>-97.042000000000002</v>
      </c>
      <c r="P523" s="854">
        <f>SUM(P519:P522)</f>
        <v>-92.025999999999968</v>
      </c>
      <c r="Q523" s="854">
        <f>SUM(Q519:Q522)</f>
        <v>-431.56600000000014</v>
      </c>
      <c r="R523" s="854">
        <f>SUM(N523:Q523)</f>
        <v>-723.00000000000011</v>
      </c>
      <c r="S523" s="854">
        <f>SUM(S519:S522)</f>
        <v>18.715946348733326</v>
      </c>
      <c r="T523" s="854">
        <f>SUM(T519:T522)</f>
        <v>20.729153201655663</v>
      </c>
      <c r="U523" s="854">
        <f>SUM(U519:U522)</f>
        <v>10.006384191774885</v>
      </c>
      <c r="V523" s="854">
        <f>SUM(V519:V522)</f>
        <v>-119.45148374216387</v>
      </c>
      <c r="W523" s="854">
        <f>SUM(S523:V523)</f>
        <v>-70</v>
      </c>
      <c r="X523" s="854">
        <f>SUM(X519:X522)</f>
        <v>-26.65280000000007</v>
      </c>
      <c r="Y523" s="854">
        <f>SUM(Y519:Y522)</f>
        <v>8.299199999999928</v>
      </c>
      <c r="Z523" s="854">
        <f>SUM(Z519:Z522)</f>
        <v>-58.017599999999902</v>
      </c>
      <c r="AA523" s="854">
        <f>SUM(AA519:AA522)</f>
        <v>-138.62879999999973</v>
      </c>
      <c r="AB523" s="854">
        <f>SUM(X523:AA523)</f>
        <v>-214.99999999999977</v>
      </c>
      <c r="AC523" s="854">
        <f>SUM(AC519:AC522)</f>
        <v>-59.225599999999986</v>
      </c>
      <c r="AD523" s="854">
        <f>SUM(AD519:AD522)</f>
        <v>31.30639999999994</v>
      </c>
      <c r="AE523" s="854">
        <f>SUM(AE519:AE522)</f>
        <v>-114.53039999999987</v>
      </c>
      <c r="AF523" s="854">
        <f>SUM(AF519:AF522)</f>
        <v>-119.55040000000008</v>
      </c>
      <c r="AG523" s="854">
        <f>SUM(AC523:AF523)</f>
        <v>-262</v>
      </c>
      <c r="AH523" s="854">
        <f>SUM(AH519:AH522)</f>
        <v>-81.479199999999992</v>
      </c>
      <c r="AI523" s="854">
        <f>SUM(AI519:AI522)</f>
        <v>70.255200000000059</v>
      </c>
      <c r="AJ523" s="854">
        <f>SUM(AJ519:AJ522)</f>
        <v>-82.711999999999989</v>
      </c>
      <c r="AK523" s="854">
        <f>SUM(AK519:AK522)</f>
        <v>-209.06400000000008</v>
      </c>
      <c r="AL523" s="854">
        <f>SUM(AH523:AK523)</f>
        <v>-303</v>
      </c>
      <c r="AM523" s="854">
        <f>SUM(AM519:AM522)</f>
        <v>-17.5</v>
      </c>
      <c r="AN523" s="854">
        <f>SUM(AN519:AN522)</f>
        <v>122</v>
      </c>
      <c r="AO523" s="854">
        <f>SUM(AO519:AO522)</f>
        <v>-234</v>
      </c>
      <c r="AP523" s="854">
        <f>SUM(AP519:AP522)</f>
        <v>2</v>
      </c>
      <c r="AQ523" s="854">
        <f>SUM(AM523:AP523)</f>
        <v>-127.5</v>
      </c>
      <c r="AR523" s="854">
        <f>SUM(AR519:AR522)</f>
        <v>-82</v>
      </c>
      <c r="AS523" s="854">
        <f>SUM(AS519:AS522)</f>
        <v>-21</v>
      </c>
      <c r="AT523" s="854">
        <f>SUM(AT519:AT522)</f>
        <v>-373</v>
      </c>
      <c r="AU523" s="854">
        <f>SUM(AU519:AU522)</f>
        <v>-86</v>
      </c>
      <c r="AV523" s="854">
        <f>SUM(AR523:AU523)</f>
        <v>-562</v>
      </c>
      <c r="AW523" s="854">
        <f>SUM(AW519:AW522)</f>
        <v>-304.44715447154471</v>
      </c>
      <c r="AX523" s="854">
        <f>SUM(AX519:AX522)</f>
        <v>50.552845528455279</v>
      </c>
      <c r="AY523" s="854">
        <f>SUM(AY519:AY522)</f>
        <v>-212.44715447154471</v>
      </c>
      <c r="AZ523" s="854">
        <f>SUM(AZ519:AZ522)</f>
        <v>-265.29268292682929</v>
      </c>
      <c r="BA523" s="854">
        <f>SUM(AW523:AZ523)</f>
        <v>-731.63414634146341</v>
      </c>
      <c r="BB523" s="854">
        <f>SUM(BB519:BB522)</f>
        <v>140</v>
      </c>
      <c r="BC523" s="854">
        <f>SUM(BC519:BC522)</f>
        <v>-122.31056910569106</v>
      </c>
      <c r="BD523" s="854">
        <f>SUM(BD519:BD522)</f>
        <v>417.68943089430894</v>
      </c>
      <c r="BE523" s="854">
        <f>SUM(BE519:BE522)</f>
        <v>-24.46829268292683</v>
      </c>
      <c r="BF523" s="854">
        <f>SUM(BB523:BE523)</f>
        <v>410.91056910569102</v>
      </c>
      <c r="BG523" s="854">
        <f>SUM(BG519:BG522)</f>
        <v>-925</v>
      </c>
      <c r="BH523" s="854">
        <f>SUM(BH519:BH522)</f>
        <v>32.830113821138212</v>
      </c>
      <c r="BI523" s="854">
        <f>SUM(BI519:BI522)</f>
        <v>-85.169886178861788</v>
      </c>
      <c r="BJ523" s="854">
        <f>SUM(BJ519:BJ522)</f>
        <v>-30.272341463414634</v>
      </c>
      <c r="BK523" s="854">
        <f>SUM(BG523:BJ523)</f>
        <v>-1007.6121138211382</v>
      </c>
      <c r="BL523" s="854">
        <f>SUM(BL519:BL522)</f>
        <v>111</v>
      </c>
      <c r="BM523" s="854">
        <f>SUM(BM519:BM522)</f>
        <v>253.97501723577236</v>
      </c>
      <c r="BN523" s="854">
        <f>SUM(BN519:BN522)</f>
        <v>386.97501723577238</v>
      </c>
      <c r="BO523" s="854">
        <f>SUM(BO519:BO522)</f>
        <v>381.31948829268299</v>
      </c>
      <c r="BP523" s="854">
        <f>SUM(BL523:BO523)</f>
        <v>1133.2695227642278</v>
      </c>
      <c r="BQ523" s="854">
        <f>SUM(BQ519:BQ522)</f>
        <v>0</v>
      </c>
      <c r="BR523" s="854">
        <f>SUM(BR519:BR522)</f>
        <v>0</v>
      </c>
      <c r="BS523" s="854">
        <f>SUM(BS519:BS522)</f>
        <v>0</v>
      </c>
      <c r="BT523" s="854">
        <f>SUM(BT519:BT522)</f>
        <v>0</v>
      </c>
      <c r="BU523" s="854">
        <f>SUM(BQ523:BT523)</f>
        <v>0</v>
      </c>
      <c r="BV523" s="854"/>
      <c r="BW523" s="854"/>
      <c r="BX523" s="854"/>
      <c r="BY523" s="854"/>
      <c r="BZ523" s="854"/>
      <c r="CA523" s="854"/>
      <c r="CB523" s="854"/>
      <c r="CC523" s="854"/>
      <c r="CD523" s="854"/>
      <c r="CE523" s="854"/>
      <c r="CF523" s="854"/>
      <c r="CG523" s="854"/>
      <c r="CH523" s="854"/>
      <c r="CI523" s="854"/>
      <c r="CJ523" s="854"/>
      <c r="CK523" s="854"/>
      <c r="CL523" s="854"/>
      <c r="CM523" s="854"/>
      <c r="CN523" s="854"/>
      <c r="CO523" s="854"/>
      <c r="CP523" s="854"/>
      <c r="CQ523" s="854"/>
      <c r="CR523" s="854"/>
      <c r="CS523" s="854"/>
      <c r="CT523" s="854"/>
      <c r="CU523" s="854"/>
      <c r="CV523" s="854"/>
      <c r="CW523" s="854"/>
      <c r="CX523" s="854"/>
      <c r="CY523" s="854"/>
      <c r="CZ523" s="854"/>
      <c r="DA523" s="854"/>
      <c r="DB523"/>
      <c r="DC523"/>
      <c r="DD523" s="867" t="s">
        <v>1671</v>
      </c>
      <c r="DE523" s="854">
        <f>M523</f>
        <v>-677</v>
      </c>
      <c r="DF523" s="854">
        <f>R523</f>
        <v>-723.00000000000011</v>
      </c>
      <c r="DG523" s="854">
        <f>W523</f>
        <v>-70</v>
      </c>
      <c r="DH523" s="854">
        <f>AB523</f>
        <v>-214.99999999999977</v>
      </c>
      <c r="DI523" s="854">
        <f>AG523</f>
        <v>-262</v>
      </c>
      <c r="DJ523" s="854">
        <f>AL523</f>
        <v>-303</v>
      </c>
      <c r="DK523" s="854">
        <f>AQ523</f>
        <v>-127.5</v>
      </c>
      <c r="DL523" s="854">
        <f>AV523</f>
        <v>-562</v>
      </c>
      <c r="DM523" s="854">
        <f>BA523</f>
        <v>-731.63414634146341</v>
      </c>
      <c r="DN523" s="854">
        <f>BF523</f>
        <v>410.91056910569102</v>
      </c>
      <c r="DO523" s="854">
        <f>BK523</f>
        <v>-1007.6121138211382</v>
      </c>
      <c r="DP523" s="854">
        <f>BP523</f>
        <v>1133.2695227642278</v>
      </c>
      <c r="DQ523" s="854">
        <f>BU523</f>
        <v>0</v>
      </c>
      <c r="DR523" s="854">
        <f>BZ523</f>
        <v>0</v>
      </c>
      <c r="DS523" s="854">
        <f>CE523</f>
        <v>0</v>
      </c>
      <c r="DT523" s="854">
        <f>CJ523</f>
        <v>0</v>
      </c>
      <c r="DU523" s="854">
        <f>CO523</f>
        <v>0</v>
      </c>
      <c r="DV523" s="854">
        <f>CT523</f>
        <v>0</v>
      </c>
      <c r="DW523" s="854">
        <f t="shared" si="986"/>
        <v>0</v>
      </c>
      <c r="DX523" s="854">
        <f t="shared" si="986"/>
        <v>0</v>
      </c>
      <c r="DY523" s="854">
        <f t="shared" si="986"/>
        <v>0</v>
      </c>
      <c r="EA523"/>
      <c r="EB523"/>
      <c r="EC523"/>
      <c r="ED523"/>
      <c r="EE523"/>
      <c r="EF523"/>
      <c r="EJ523"/>
      <c r="EK523"/>
      <c r="EL523"/>
      <c r="ER523" s="212"/>
    </row>
    <row r="524" spans="1:148" s="923" customFormat="1" ht="12.75" hidden="1" customHeight="1" outlineLevel="1" x14ac:dyDescent="0.2">
      <c r="A524" s="865"/>
      <c r="B524" s="1847"/>
      <c r="C524" s="1847"/>
      <c r="D524" s="1847"/>
      <c r="E524" s="1847"/>
      <c r="F524" s="1847"/>
      <c r="G524" s="1847"/>
      <c r="H524" s="1847"/>
      <c r="I524" s="1847"/>
      <c r="J524" s="1847"/>
      <c r="K524" s="1847"/>
      <c r="L524" s="1847"/>
      <c r="M524" s="847"/>
      <c r="N524" s="1847"/>
      <c r="O524" s="1847"/>
      <c r="P524" s="1847"/>
      <c r="Q524" s="1847"/>
      <c r="R524" s="847"/>
      <c r="S524" s="1847"/>
      <c r="T524" s="1847"/>
      <c r="U524" s="1847"/>
      <c r="V524" s="1847"/>
      <c r="W524" s="847"/>
      <c r="X524" s="1847"/>
      <c r="Y524" s="1847"/>
      <c r="Z524" s="1847"/>
      <c r="AA524" s="1847"/>
      <c r="AB524" s="847"/>
      <c r="AC524" s="1847"/>
      <c r="AD524" s="1847"/>
      <c r="AE524" s="1847"/>
      <c r="AF524" s="1847"/>
      <c r="AG524" s="847"/>
      <c r="AH524" s="1847"/>
      <c r="AI524" s="1847"/>
      <c r="AJ524" s="1847"/>
      <c r="AK524" s="1847"/>
      <c r="AL524" s="847"/>
      <c r="AM524" s="1847"/>
      <c r="AN524" s="1847"/>
      <c r="AO524" s="1847"/>
      <c r="AP524" s="1847"/>
      <c r="AQ524" s="847"/>
      <c r="AR524" s="1847"/>
      <c r="AS524" s="1847"/>
      <c r="AT524" s="1847"/>
      <c r="AU524" s="1847"/>
      <c r="AV524" s="847"/>
      <c r="AW524" s="1847"/>
      <c r="AX524" s="1847"/>
      <c r="AY524" s="1847"/>
      <c r="AZ524" s="1847"/>
      <c r="BA524" s="847"/>
      <c r="BB524" s="1847"/>
      <c r="BC524" s="1847"/>
      <c r="BD524" s="1847"/>
      <c r="BE524" s="1847"/>
      <c r="BF524" s="847"/>
      <c r="BG524" s="1847"/>
      <c r="BH524" s="1847"/>
      <c r="BI524" s="1847"/>
      <c r="BJ524" s="1847"/>
      <c r="BK524" s="847"/>
      <c r="BL524" s="1847"/>
      <c r="BM524" s="1847"/>
      <c r="BN524" s="1847"/>
      <c r="BO524" s="1847"/>
      <c r="BP524" s="847"/>
      <c r="BQ524" s="1847"/>
      <c r="BR524" s="1847"/>
      <c r="BS524" s="1847"/>
      <c r="BT524" s="1847"/>
      <c r="BU524" s="847"/>
      <c r="BV524" s="1847"/>
      <c r="BW524" s="1847"/>
      <c r="BX524" s="1847"/>
      <c r="BY524" s="1847"/>
      <c r="BZ524" s="847"/>
      <c r="CA524" s="847"/>
      <c r="CB524" s="847"/>
      <c r="CC524" s="847"/>
      <c r="CD524" s="847"/>
      <c r="CE524" s="847"/>
      <c r="CF524" s="847"/>
      <c r="CG524" s="847"/>
      <c r="CH524" s="847"/>
      <c r="CI524" s="847"/>
      <c r="CJ524" s="847"/>
      <c r="CK524" s="847"/>
      <c r="CL524" s="847"/>
      <c r="CM524" s="847"/>
      <c r="CN524" s="847"/>
      <c r="CO524" s="847"/>
      <c r="CP524" s="847"/>
      <c r="CQ524" s="847"/>
      <c r="CR524" s="847"/>
      <c r="CS524" s="847"/>
      <c r="CT524" s="847"/>
      <c r="CU524" s="847"/>
      <c r="CV524" s="847"/>
      <c r="CW524" s="847"/>
      <c r="CX524" s="847"/>
      <c r="CY524" s="847"/>
      <c r="CZ524" s="847"/>
      <c r="DA524" s="847"/>
      <c r="DB524"/>
      <c r="DC524"/>
      <c r="DD524" s="2323"/>
      <c r="DE524" s="2349"/>
      <c r="DF524" s="2349"/>
      <c r="DG524" s="2349"/>
      <c r="DH524" s="2349"/>
      <c r="DI524" s="2349"/>
      <c r="DJ524" s="2349"/>
      <c r="DK524" s="2349"/>
      <c r="DL524" s="2349"/>
      <c r="DM524" s="2349"/>
      <c r="DN524" s="2349"/>
      <c r="DO524" s="2349"/>
      <c r="DP524" s="2349"/>
      <c r="DQ524" s="2349"/>
      <c r="DR524" s="2349"/>
      <c r="DS524" s="2349"/>
      <c r="DT524" s="2349"/>
      <c r="DU524" s="2349"/>
      <c r="DV524" s="2349"/>
      <c r="DW524" s="2349"/>
      <c r="DX524" s="2349"/>
      <c r="DY524" s="2349"/>
      <c r="EA524"/>
      <c r="EB524"/>
      <c r="EC524"/>
      <c r="ED524"/>
      <c r="EE524"/>
      <c r="EF524"/>
      <c r="EJ524"/>
      <c r="EK524"/>
      <c r="EL524"/>
      <c r="ER524" s="212"/>
    </row>
    <row r="525" spans="1:148" s="923" customFormat="1" ht="12.75" hidden="1" customHeight="1" outlineLevel="1" x14ac:dyDescent="0.2">
      <c r="A525" s="866" t="s">
        <v>1672</v>
      </c>
      <c r="B525" s="1847"/>
      <c r="C525" s="1847"/>
      <c r="D525" s="1847"/>
      <c r="E525" s="1847"/>
      <c r="F525" s="1847"/>
      <c r="G525" s="1847"/>
      <c r="H525" s="1847"/>
      <c r="I525" s="1847"/>
      <c r="J525" s="1847"/>
      <c r="K525" s="1847"/>
      <c r="L525" s="1847"/>
      <c r="M525" s="847"/>
      <c r="N525" s="1847"/>
      <c r="O525" s="1847"/>
      <c r="P525" s="1847"/>
      <c r="Q525" s="1847"/>
      <c r="R525" s="847"/>
      <c r="S525" s="1847"/>
      <c r="T525" s="1847"/>
      <c r="U525" s="1847"/>
      <c r="V525" s="1847"/>
      <c r="W525" s="847"/>
      <c r="X525" s="1847"/>
      <c r="Y525" s="1847"/>
      <c r="Z525" s="1847"/>
      <c r="AA525" s="1847"/>
      <c r="AB525" s="847"/>
      <c r="AC525" s="1847"/>
      <c r="AD525" s="1847"/>
      <c r="AE525" s="1847"/>
      <c r="AF525" s="1847"/>
      <c r="AG525" s="847"/>
      <c r="AH525" s="1847"/>
      <c r="AI525" s="1847"/>
      <c r="AJ525" s="1847"/>
      <c r="AK525" s="1847"/>
      <c r="AL525" s="847"/>
      <c r="AM525" s="1847"/>
      <c r="AN525" s="1847"/>
      <c r="AO525" s="1847"/>
      <c r="AP525" s="1847"/>
      <c r="AQ525" s="847"/>
      <c r="AR525" s="1847"/>
      <c r="AS525" s="1847"/>
      <c r="AT525" s="1847"/>
      <c r="AU525" s="1847"/>
      <c r="AV525" s="847"/>
      <c r="AW525" s="1847"/>
      <c r="AX525" s="1847"/>
      <c r="AY525" s="1847"/>
      <c r="AZ525" s="1847"/>
      <c r="BA525" s="847"/>
      <c r="BB525" s="1847"/>
      <c r="BC525" s="1847"/>
      <c r="BD525" s="1847"/>
      <c r="BE525" s="1847"/>
      <c r="BF525" s="847"/>
      <c r="BG525" s="1847"/>
      <c r="BH525" s="1847"/>
      <c r="BI525" s="1847"/>
      <c r="BJ525" s="1847"/>
      <c r="BK525" s="847"/>
      <c r="BL525" s="1847"/>
      <c r="BM525" s="1847"/>
      <c r="BN525" s="1847"/>
      <c r="BO525" s="1847"/>
      <c r="BP525" s="847"/>
      <c r="BQ525" s="1847"/>
      <c r="BR525" s="1847"/>
      <c r="BS525" s="1847"/>
      <c r="BT525" s="1847"/>
      <c r="BU525" s="847"/>
      <c r="BV525" s="1847"/>
      <c r="BW525" s="1847"/>
      <c r="BX525" s="1847"/>
      <c r="BY525" s="1847"/>
      <c r="BZ525" s="847"/>
      <c r="CA525" s="847"/>
      <c r="CB525" s="847"/>
      <c r="CC525" s="847"/>
      <c r="CD525" s="847"/>
      <c r="CE525" s="847"/>
      <c r="CF525" s="847"/>
      <c r="CG525" s="847"/>
      <c r="CH525" s="847"/>
      <c r="CI525" s="847"/>
      <c r="CJ525" s="847"/>
      <c r="CK525" s="847"/>
      <c r="CL525" s="847"/>
      <c r="CM525" s="847"/>
      <c r="CN525" s="847"/>
      <c r="CO525" s="847"/>
      <c r="CP525" s="847"/>
      <c r="CQ525" s="847"/>
      <c r="CR525" s="847"/>
      <c r="CS525" s="847"/>
      <c r="CT525" s="847"/>
      <c r="CU525" s="847"/>
      <c r="CV525" s="847"/>
      <c r="CW525" s="847"/>
      <c r="CX525" s="847"/>
      <c r="CY525" s="847"/>
      <c r="CZ525" s="847"/>
      <c r="DA525" s="847"/>
      <c r="DB525"/>
      <c r="DC525"/>
      <c r="DD525" s="866" t="s">
        <v>1672</v>
      </c>
      <c r="DE525" s="2349"/>
      <c r="DF525" s="2349"/>
      <c r="DG525" s="2349"/>
      <c r="DH525" s="2349"/>
      <c r="DI525" s="2349"/>
      <c r="DJ525" s="2349"/>
      <c r="DK525" s="2349"/>
      <c r="DL525" s="2349"/>
      <c r="DM525" s="2349"/>
      <c r="DN525" s="2349"/>
      <c r="DO525" s="2349"/>
      <c r="DP525" s="2349"/>
      <c r="DQ525" s="2349"/>
      <c r="DR525" s="2349"/>
      <c r="DS525" s="2349"/>
      <c r="DT525" s="2349"/>
      <c r="DU525" s="2349"/>
      <c r="DV525" s="2349"/>
      <c r="DW525" s="2349"/>
      <c r="DX525" s="2349"/>
      <c r="DY525" s="2349"/>
      <c r="EA525"/>
      <c r="EB525"/>
      <c r="EC525"/>
      <c r="ED525"/>
      <c r="EE525"/>
      <c r="EF525"/>
      <c r="EJ525"/>
      <c r="EK525"/>
      <c r="EL525"/>
      <c r="ER525" s="212"/>
    </row>
    <row r="526" spans="1:148" s="923" customFormat="1" ht="12.75" hidden="1" customHeight="1" outlineLevel="1" x14ac:dyDescent="0.2">
      <c r="A526" s="865" t="s">
        <v>1673</v>
      </c>
      <c r="B526" s="765"/>
      <c r="C526" s="765"/>
      <c r="D526" s="765"/>
      <c r="E526" s="765"/>
      <c r="F526" s="765"/>
      <c r="G526" s="765"/>
      <c r="H526" s="765"/>
      <c r="I526" s="765">
        <f t="shared" ref="I526:AN526" si="987">+I158+I282+I354+I406</f>
        <v>0</v>
      </c>
      <c r="J526" s="765">
        <f t="shared" si="987"/>
        <v>0</v>
      </c>
      <c r="K526" s="765">
        <f t="shared" si="987"/>
        <v>0</v>
      </c>
      <c r="L526" s="765">
        <f t="shared" si="987"/>
        <v>0</v>
      </c>
      <c r="M526" s="765">
        <f t="shared" si="987"/>
        <v>47</v>
      </c>
      <c r="N526" s="765">
        <f t="shared" si="987"/>
        <v>2158</v>
      </c>
      <c r="O526" s="765">
        <f t="shared" si="987"/>
        <v>2224</v>
      </c>
      <c r="P526" s="765">
        <f t="shared" si="987"/>
        <v>2339</v>
      </c>
      <c r="Q526" s="765">
        <f t="shared" si="987"/>
        <v>2395</v>
      </c>
      <c r="R526" s="765">
        <f t="shared" si="987"/>
        <v>2395</v>
      </c>
      <c r="S526" s="765">
        <f t="shared" si="987"/>
        <v>2426</v>
      </c>
      <c r="T526" s="765">
        <f t="shared" si="987"/>
        <v>2463</v>
      </c>
      <c r="U526" s="765">
        <f t="shared" si="987"/>
        <v>2502</v>
      </c>
      <c r="V526" s="765">
        <f t="shared" si="987"/>
        <v>2554</v>
      </c>
      <c r="W526" s="765">
        <f t="shared" si="987"/>
        <v>2554</v>
      </c>
      <c r="X526" s="765">
        <f t="shared" si="987"/>
        <v>2586</v>
      </c>
      <c r="Y526" s="765">
        <f t="shared" si="987"/>
        <v>2633</v>
      </c>
      <c r="Z526" s="765">
        <f t="shared" si="987"/>
        <v>2674</v>
      </c>
      <c r="AA526" s="765">
        <f t="shared" si="987"/>
        <v>2715</v>
      </c>
      <c r="AB526" s="765">
        <f t="shared" si="987"/>
        <v>2715</v>
      </c>
      <c r="AC526" s="765">
        <f t="shared" si="987"/>
        <v>2751</v>
      </c>
      <c r="AD526" s="765">
        <f t="shared" si="987"/>
        <v>2789</v>
      </c>
      <c r="AE526" s="765">
        <f t="shared" si="987"/>
        <v>2804</v>
      </c>
      <c r="AF526" s="765">
        <f t="shared" si="987"/>
        <v>2631</v>
      </c>
      <c r="AG526" s="765">
        <f t="shared" si="987"/>
        <v>2631</v>
      </c>
      <c r="AH526" s="765">
        <f t="shared" si="987"/>
        <v>2646</v>
      </c>
      <c r="AI526" s="765">
        <f t="shared" si="987"/>
        <v>2674</v>
      </c>
      <c r="AJ526" s="765">
        <f t="shared" si="987"/>
        <v>2705</v>
      </c>
      <c r="AK526" s="765">
        <f t="shared" si="987"/>
        <v>2739</v>
      </c>
      <c r="AL526" s="765">
        <f t="shared" si="987"/>
        <v>2739</v>
      </c>
      <c r="AM526" s="765">
        <f t="shared" si="987"/>
        <v>2765</v>
      </c>
      <c r="AN526" s="765">
        <f t="shared" si="987"/>
        <v>2787</v>
      </c>
      <c r="AO526" s="765">
        <f t="shared" ref="AO526:BU526" si="988">+AO158+AO282+AO354+AO406</f>
        <v>2813</v>
      </c>
      <c r="AP526" s="765">
        <f t="shared" si="988"/>
        <v>2828</v>
      </c>
      <c r="AQ526" s="765">
        <f t="shared" si="988"/>
        <v>2828</v>
      </c>
      <c r="AR526" s="765">
        <f t="shared" si="988"/>
        <v>2848</v>
      </c>
      <c r="AS526" s="765">
        <f t="shared" si="988"/>
        <v>2879</v>
      </c>
      <c r="AT526" s="765">
        <f t="shared" si="988"/>
        <v>2923</v>
      </c>
      <c r="AU526" s="765">
        <f t="shared" si="988"/>
        <v>2979</v>
      </c>
      <c r="AV526" s="765">
        <f t="shared" si="988"/>
        <v>2979</v>
      </c>
      <c r="AW526" s="765">
        <f t="shared" si="988"/>
        <v>2997</v>
      </c>
      <c r="AX526" s="765">
        <f t="shared" si="988"/>
        <v>3044</v>
      </c>
      <c r="AY526" s="765">
        <f t="shared" si="988"/>
        <v>3080</v>
      </c>
      <c r="AZ526" s="765">
        <f t="shared" si="988"/>
        <v>3151</v>
      </c>
      <c r="BA526" s="765">
        <f t="shared" si="988"/>
        <v>3151</v>
      </c>
      <c r="BB526" s="765">
        <f t="shared" si="988"/>
        <v>3199</v>
      </c>
      <c r="BC526" s="765">
        <f t="shared" si="988"/>
        <v>3258</v>
      </c>
      <c r="BD526" s="765">
        <f t="shared" si="988"/>
        <v>3333</v>
      </c>
      <c r="BE526" s="765">
        <f t="shared" si="988"/>
        <v>3390</v>
      </c>
      <c r="BF526" s="765">
        <f t="shared" si="988"/>
        <v>3390</v>
      </c>
      <c r="BG526" s="765">
        <f t="shared" si="988"/>
        <v>3427</v>
      </c>
      <c r="BH526" s="765">
        <f t="shared" si="988"/>
        <v>3460</v>
      </c>
      <c r="BI526" s="765">
        <f t="shared" si="988"/>
        <v>3488</v>
      </c>
      <c r="BJ526" s="765">
        <f t="shared" si="988"/>
        <v>3513</v>
      </c>
      <c r="BK526" s="765">
        <f t="shared" si="988"/>
        <v>3513</v>
      </c>
      <c r="BL526" s="765">
        <f t="shared" si="988"/>
        <v>3534</v>
      </c>
      <c r="BM526" s="765">
        <f t="shared" si="988"/>
        <v>3555</v>
      </c>
      <c r="BN526" s="765">
        <f t="shared" si="988"/>
        <v>3580</v>
      </c>
      <c r="BO526" s="765">
        <f t="shared" si="988"/>
        <v>3605</v>
      </c>
      <c r="BP526" s="765">
        <f t="shared" si="988"/>
        <v>3605</v>
      </c>
      <c r="BQ526" s="765">
        <f t="shared" si="988"/>
        <v>3551</v>
      </c>
      <c r="BR526" s="765">
        <f t="shared" si="988"/>
        <v>3562</v>
      </c>
      <c r="BS526" s="765">
        <f t="shared" si="988"/>
        <v>3584</v>
      </c>
      <c r="BT526" s="765">
        <f t="shared" si="988"/>
        <v>3642.6898191857244</v>
      </c>
      <c r="BU526" s="765">
        <f t="shared" si="988"/>
        <v>3642.6898191857244</v>
      </c>
      <c r="BV526" s="765"/>
      <c r="BW526" s="765"/>
      <c r="BX526" s="765"/>
      <c r="BY526" s="765"/>
      <c r="BZ526" s="765"/>
      <c r="CA526" s="765"/>
      <c r="CB526" s="765"/>
      <c r="CC526" s="765"/>
      <c r="CD526" s="765"/>
      <c r="CE526" s="765"/>
      <c r="CF526" s="765"/>
      <c r="CG526" s="765"/>
      <c r="CH526" s="765"/>
      <c r="CI526" s="765"/>
      <c r="CJ526" s="765"/>
      <c r="CK526" s="765"/>
      <c r="CL526" s="765"/>
      <c r="CM526" s="765"/>
      <c r="CN526" s="765"/>
      <c r="CO526" s="765"/>
      <c r="CP526" s="765"/>
      <c r="CQ526" s="765"/>
      <c r="CR526" s="765"/>
      <c r="CS526" s="765"/>
      <c r="CT526" s="765"/>
      <c r="CU526" s="765"/>
      <c r="CV526" s="765"/>
      <c r="CW526" s="765"/>
      <c r="CX526" s="765"/>
      <c r="CY526" s="765"/>
      <c r="CZ526" s="765"/>
      <c r="DA526" s="765"/>
      <c r="DB526"/>
      <c r="DC526"/>
      <c r="DD526" s="2323" t="s">
        <v>1673</v>
      </c>
      <c r="DE526" s="2350">
        <f>M526</f>
        <v>47</v>
      </c>
      <c r="DF526" s="2350">
        <f>R526</f>
        <v>2395</v>
      </c>
      <c r="DG526" s="2350">
        <f>W526</f>
        <v>2554</v>
      </c>
      <c r="DH526" s="2350">
        <f>AB526</f>
        <v>2715</v>
      </c>
      <c r="DI526" s="2350">
        <f>AG526</f>
        <v>2631</v>
      </c>
      <c r="DJ526" s="2350">
        <f>AL526</f>
        <v>2739</v>
      </c>
      <c r="DK526" s="2350">
        <f>AQ526</f>
        <v>2828</v>
      </c>
      <c r="DL526" s="2350">
        <f>AV526</f>
        <v>2979</v>
      </c>
      <c r="DM526" s="2350">
        <f>BA526</f>
        <v>3151</v>
      </c>
      <c r="DN526" s="2350">
        <f>BF526</f>
        <v>3390</v>
      </c>
      <c r="DO526" s="2350">
        <f>BK526</f>
        <v>3513</v>
      </c>
      <c r="DP526" s="2350">
        <f>BP526</f>
        <v>3605</v>
      </c>
      <c r="DQ526" s="2350">
        <f>BU526</f>
        <v>3642.6898191857244</v>
      </c>
      <c r="DR526" s="2350">
        <f>BZ526</f>
        <v>0</v>
      </c>
      <c r="DS526" s="2350">
        <f>CE526</f>
        <v>0</v>
      </c>
      <c r="DT526" s="2350">
        <f>CJ526</f>
        <v>0</v>
      </c>
      <c r="DU526" s="2350">
        <f>CO526</f>
        <v>0</v>
      </c>
      <c r="DV526" s="2350">
        <f>CT526</f>
        <v>0</v>
      </c>
      <c r="DW526" s="2350">
        <f t="shared" ref="DW526:DY528" si="989">CY526</f>
        <v>0</v>
      </c>
      <c r="DX526" s="2350">
        <f t="shared" si="989"/>
        <v>0</v>
      </c>
      <c r="DY526" s="2350">
        <f t="shared" si="989"/>
        <v>0</v>
      </c>
      <c r="EA526"/>
      <c r="EB526"/>
      <c r="EC526"/>
      <c r="ED526"/>
      <c r="EE526"/>
      <c r="EF526"/>
      <c r="EJ526"/>
      <c r="EK526"/>
      <c r="EL526"/>
      <c r="ER526" s="212"/>
    </row>
    <row r="527" spans="1:148" s="923" customFormat="1" ht="12.75" hidden="1" customHeight="1" outlineLevel="1" x14ac:dyDescent="0.2">
      <c r="A527" s="865" t="s">
        <v>1674</v>
      </c>
      <c r="B527" s="765"/>
      <c r="C527" s="765"/>
      <c r="D527" s="765"/>
      <c r="E527" s="765"/>
      <c r="F527" s="765"/>
      <c r="G527" s="765"/>
      <c r="H527" s="765"/>
      <c r="I527" s="765">
        <f t="shared" ref="I527:AN527" si="990">+I162+I286+I358+I409</f>
        <v>0</v>
      </c>
      <c r="J527" s="765">
        <f t="shared" si="990"/>
        <v>0</v>
      </c>
      <c r="K527" s="765">
        <f t="shared" si="990"/>
        <v>0</v>
      </c>
      <c r="L527" s="765">
        <f t="shared" si="990"/>
        <v>0</v>
      </c>
      <c r="M527" s="765">
        <f t="shared" si="990"/>
        <v>389982</v>
      </c>
      <c r="N527" s="765">
        <f t="shared" si="990"/>
        <v>401472</v>
      </c>
      <c r="O527" s="765">
        <f t="shared" si="990"/>
        <v>411987</v>
      </c>
      <c r="P527" s="765">
        <f t="shared" si="990"/>
        <v>425911</v>
      </c>
      <c r="Q527" s="765">
        <f t="shared" si="990"/>
        <v>435983</v>
      </c>
      <c r="R527" s="765">
        <f t="shared" si="990"/>
        <v>435983</v>
      </c>
      <c r="S527" s="765">
        <f t="shared" si="990"/>
        <v>442767</v>
      </c>
      <c r="T527" s="765">
        <f t="shared" si="990"/>
        <v>448004</v>
      </c>
      <c r="U527" s="765">
        <f t="shared" si="990"/>
        <v>454587</v>
      </c>
      <c r="V527" s="765">
        <f t="shared" si="990"/>
        <v>463429</v>
      </c>
      <c r="W527" s="765">
        <f t="shared" si="990"/>
        <v>463429</v>
      </c>
      <c r="X527" s="765">
        <f t="shared" si="990"/>
        <v>471275</v>
      </c>
      <c r="Y527" s="765">
        <f t="shared" si="990"/>
        <v>477397</v>
      </c>
      <c r="Z527" s="765">
        <f t="shared" si="990"/>
        <v>484957</v>
      </c>
      <c r="AA527" s="765">
        <f t="shared" si="990"/>
        <v>490564</v>
      </c>
      <c r="AB527" s="765">
        <f t="shared" si="990"/>
        <v>490564</v>
      </c>
      <c r="AC527" s="765">
        <f t="shared" si="990"/>
        <v>496920</v>
      </c>
      <c r="AD527" s="765">
        <f t="shared" si="990"/>
        <v>502575</v>
      </c>
      <c r="AE527" s="765">
        <f t="shared" si="990"/>
        <v>505658</v>
      </c>
      <c r="AF527" s="765">
        <f t="shared" si="990"/>
        <v>482186</v>
      </c>
      <c r="AG527" s="765">
        <f t="shared" si="990"/>
        <v>482186</v>
      </c>
      <c r="AH527" s="765">
        <f t="shared" si="990"/>
        <v>484904</v>
      </c>
      <c r="AI527" s="765">
        <f t="shared" si="990"/>
        <v>489430</v>
      </c>
      <c r="AJ527" s="765">
        <f t="shared" si="990"/>
        <v>493274</v>
      </c>
      <c r="AK527" s="765">
        <f t="shared" si="990"/>
        <v>499165</v>
      </c>
      <c r="AL527" s="765">
        <f t="shared" si="990"/>
        <v>499165</v>
      </c>
      <c r="AM527" s="765">
        <f t="shared" si="990"/>
        <v>504610</v>
      </c>
      <c r="AN527" s="765">
        <f t="shared" si="990"/>
        <v>507130</v>
      </c>
      <c r="AO527" s="765">
        <f t="shared" ref="AO527:BU527" si="991">+AO162+AO286+AO358+AO409</f>
        <v>510506</v>
      </c>
      <c r="AP527" s="765">
        <f t="shared" si="991"/>
        <v>513782</v>
      </c>
      <c r="AQ527" s="765">
        <f t="shared" si="991"/>
        <v>513782</v>
      </c>
      <c r="AR527" s="765">
        <f t="shared" si="991"/>
        <v>515721</v>
      </c>
      <c r="AS527" s="765">
        <f t="shared" si="991"/>
        <v>519788</v>
      </c>
      <c r="AT527" s="765">
        <f t="shared" si="991"/>
        <v>525812</v>
      </c>
      <c r="AU527" s="765">
        <f t="shared" si="991"/>
        <v>533386</v>
      </c>
      <c r="AV527" s="765">
        <f t="shared" si="991"/>
        <v>533386</v>
      </c>
      <c r="AW527" s="765">
        <f t="shared" si="991"/>
        <v>535767</v>
      </c>
      <c r="AX527" s="765">
        <f t="shared" si="991"/>
        <v>542689</v>
      </c>
      <c r="AY527" s="765">
        <f t="shared" si="991"/>
        <v>548241</v>
      </c>
      <c r="AZ527" s="765">
        <f t="shared" si="991"/>
        <v>558008</v>
      </c>
      <c r="BA527" s="765">
        <f t="shared" si="991"/>
        <v>558008</v>
      </c>
      <c r="BB527" s="765">
        <f t="shared" si="991"/>
        <v>566494</v>
      </c>
      <c r="BC527" s="765">
        <f t="shared" si="991"/>
        <v>574095</v>
      </c>
      <c r="BD527" s="765">
        <f t="shared" si="991"/>
        <v>583877</v>
      </c>
      <c r="BE527" s="765">
        <f t="shared" si="991"/>
        <v>592755</v>
      </c>
      <c r="BF527" s="765">
        <f t="shared" si="991"/>
        <v>592755</v>
      </c>
      <c r="BG527" s="765">
        <f t="shared" si="991"/>
        <v>600340</v>
      </c>
      <c r="BH527" s="765">
        <f t="shared" si="991"/>
        <v>604608</v>
      </c>
      <c r="BI527" s="765">
        <f t="shared" si="991"/>
        <v>608851</v>
      </c>
      <c r="BJ527" s="765">
        <f t="shared" si="991"/>
        <v>615019</v>
      </c>
      <c r="BK527" s="765">
        <f t="shared" si="991"/>
        <v>615019</v>
      </c>
      <c r="BL527" s="765">
        <f t="shared" si="991"/>
        <v>620096</v>
      </c>
      <c r="BM527" s="765">
        <f t="shared" si="991"/>
        <v>622815</v>
      </c>
      <c r="BN527" s="765">
        <f t="shared" si="991"/>
        <v>626448</v>
      </c>
      <c r="BO527" s="765">
        <f t="shared" si="991"/>
        <v>630855</v>
      </c>
      <c r="BP527" s="765">
        <f t="shared" si="991"/>
        <v>630855</v>
      </c>
      <c r="BQ527" s="765">
        <f t="shared" si="991"/>
        <v>618847</v>
      </c>
      <c r="BR527" s="765">
        <f t="shared" si="991"/>
        <v>620167</v>
      </c>
      <c r="BS527" s="765">
        <f t="shared" si="991"/>
        <v>621940</v>
      </c>
      <c r="BT527" s="765">
        <f t="shared" si="991"/>
        <v>634354</v>
      </c>
      <c r="BU527" s="765">
        <f t="shared" si="991"/>
        <v>634354</v>
      </c>
      <c r="BV527" s="765"/>
      <c r="BW527" s="765"/>
      <c r="BX527" s="765"/>
      <c r="BY527" s="765"/>
      <c r="BZ527" s="765"/>
      <c r="CA527" s="765"/>
      <c r="CB527" s="765"/>
      <c r="CC527" s="765"/>
      <c r="CD527" s="765"/>
      <c r="CE527" s="765"/>
      <c r="CF527" s="765"/>
      <c r="CG527" s="765"/>
      <c r="CH527" s="765"/>
      <c r="CI527" s="765"/>
      <c r="CJ527" s="765"/>
      <c r="CK527" s="765"/>
      <c r="CL527" s="765"/>
      <c r="CM527" s="765"/>
      <c r="CN527" s="765"/>
      <c r="CO527" s="765"/>
      <c r="CP527" s="765"/>
      <c r="CQ527" s="765"/>
      <c r="CR527" s="765"/>
      <c r="CS527" s="765"/>
      <c r="CT527" s="765"/>
      <c r="CU527" s="765"/>
      <c r="CV527" s="765"/>
      <c r="CW527" s="765"/>
      <c r="CX527" s="765"/>
      <c r="CY527" s="765"/>
      <c r="CZ527" s="765"/>
      <c r="DA527" s="765"/>
      <c r="DB527"/>
      <c r="DC527"/>
      <c r="DD527" s="2323" t="s">
        <v>1674</v>
      </c>
      <c r="DE527" s="2350">
        <f>M527</f>
        <v>389982</v>
      </c>
      <c r="DF527" s="2350">
        <f>R527</f>
        <v>435983</v>
      </c>
      <c r="DG527" s="2350">
        <f>W527</f>
        <v>463429</v>
      </c>
      <c r="DH527" s="2350">
        <f>AB527</f>
        <v>490564</v>
      </c>
      <c r="DI527" s="2350">
        <f>AG527</f>
        <v>482186</v>
      </c>
      <c r="DJ527" s="2350">
        <f>AL527</f>
        <v>499165</v>
      </c>
      <c r="DK527" s="2350">
        <f>AQ527</f>
        <v>513782</v>
      </c>
      <c r="DL527" s="2350">
        <f>AV527</f>
        <v>533386</v>
      </c>
      <c r="DM527" s="2350">
        <f>BA527</f>
        <v>558008</v>
      </c>
      <c r="DN527" s="2350">
        <f>BF527</f>
        <v>592755</v>
      </c>
      <c r="DO527" s="2350">
        <f>BK527</f>
        <v>615019</v>
      </c>
      <c r="DP527" s="2350">
        <f>BP527</f>
        <v>630855</v>
      </c>
      <c r="DQ527" s="2350">
        <f>BU527</f>
        <v>634354</v>
      </c>
      <c r="DR527" s="2350">
        <f>BZ527</f>
        <v>0</v>
      </c>
      <c r="DS527" s="2350">
        <f>CE527</f>
        <v>0</v>
      </c>
      <c r="DT527" s="2350">
        <f>CJ527</f>
        <v>0</v>
      </c>
      <c r="DU527" s="2350">
        <f>CO527</f>
        <v>0</v>
      </c>
      <c r="DV527" s="2350">
        <f>CT527</f>
        <v>0</v>
      </c>
      <c r="DW527" s="2350">
        <f t="shared" si="989"/>
        <v>0</v>
      </c>
      <c r="DX527" s="2350">
        <f t="shared" si="989"/>
        <v>0</v>
      </c>
      <c r="DY527" s="2350">
        <f t="shared" si="989"/>
        <v>0</v>
      </c>
      <c r="EA527"/>
      <c r="EB527"/>
      <c r="EC527"/>
      <c r="ED527"/>
      <c r="EE527"/>
      <c r="EF527"/>
      <c r="EJ527"/>
      <c r="EK527"/>
      <c r="EL527"/>
      <c r="ER527" s="212"/>
    </row>
    <row r="528" spans="1:148" s="923" customFormat="1" ht="12.75" hidden="1" customHeight="1" outlineLevel="1" x14ac:dyDescent="0.2">
      <c r="A528" s="865" t="s">
        <v>1675</v>
      </c>
      <c r="B528" s="765"/>
      <c r="C528" s="765"/>
      <c r="D528" s="765"/>
      <c r="E528" s="765"/>
      <c r="F528" s="765"/>
      <c r="G528" s="765"/>
      <c r="H528" s="765"/>
      <c r="I528" s="765"/>
      <c r="J528" s="765"/>
      <c r="K528" s="765"/>
      <c r="L528" s="765"/>
      <c r="M528" s="765"/>
      <c r="N528" s="765">
        <f>(N527-N409)/(N526-N406)</f>
        <v>187.52013263855991</v>
      </c>
      <c r="O528" s="765">
        <f>(O527-O409)/(O526-O406)</f>
        <v>186.73425287356321</v>
      </c>
      <c r="P528" s="765">
        <f>(P527-P409)/(P526-P406)</f>
        <v>183.57655293088365</v>
      </c>
      <c r="Q528" s="765">
        <f>(Q527-Q409)/(Q526-Q406)</f>
        <v>183.41947885519008</v>
      </c>
      <c r="R528" s="765">
        <f>AVERAGE(N528:Q528)</f>
        <v>185.3126043245492</v>
      </c>
      <c r="S528" s="765">
        <f>(S527-S409)/(S526-S406)</f>
        <v>183.57515789473683</v>
      </c>
      <c r="T528" s="765">
        <f>(T527-T409)/(T526-T406)</f>
        <v>182.90750725839899</v>
      </c>
      <c r="U528" s="765">
        <f>(U527-U409)/(U526-U406)</f>
        <v>182.67456104532462</v>
      </c>
      <c r="V528" s="765">
        <f>(V527-V409)/(V526-V406)</f>
        <v>182.2702918832467</v>
      </c>
      <c r="W528" s="765">
        <f>AVERAGE(S528:V528)</f>
        <v>182.85687952042679</v>
      </c>
      <c r="X528" s="765">
        <f>(X527-X409)/(X526-X406)</f>
        <v>182.87292817679557</v>
      </c>
      <c r="Y528" s="765">
        <f>(Y527-Y409)/(Y526-Y406)</f>
        <v>181.85858194498257</v>
      </c>
      <c r="Z528" s="765">
        <f>(Z527-Z409)/(Z526-Z406)</f>
        <v>181.78917270301181</v>
      </c>
      <c r="AA528" s="765">
        <f>(AA527-AA409)/(AA526-AA406)</f>
        <v>180.87171792948237</v>
      </c>
      <c r="AB528" s="765">
        <f>AVERAGE(X528:AA528)</f>
        <v>181.84810018856808</v>
      </c>
      <c r="AC528" s="765">
        <f>(AC527-AC409)/(AC526-AC406)</f>
        <v>180.64544781643227</v>
      </c>
      <c r="AD528" s="765">
        <f>(AD527-AD409)/(AD526-AD406)</f>
        <v>180.22096420745069</v>
      </c>
      <c r="AE528" s="765">
        <f>(AE527-AE409)/(AE526-AE406)</f>
        <v>180.27025063567018</v>
      </c>
      <c r="AF528" s="765">
        <f>(AF527-AF409)/(AF526-AF406)</f>
        <v>183.14612403100776</v>
      </c>
      <c r="AG528" s="765">
        <f>AVERAGE(AC528:AF528)</f>
        <v>181.07069667264022</v>
      </c>
      <c r="AH528" s="765">
        <f>(AH527-AH409)/(AH526-AH406)</f>
        <v>183.18118735543561</v>
      </c>
      <c r="AI528" s="765">
        <f>(AI527-AI409)/(AI526-AI406)</f>
        <v>182.84553775743706</v>
      </c>
      <c r="AJ528" s="765">
        <f>(AJ527-AJ409)/(AJ526-AJ406)</f>
        <v>182.12853373539389</v>
      </c>
      <c r="AK528" s="765">
        <f>(AK527-AK409)/(AK526-AK406)</f>
        <v>181.92445106066245</v>
      </c>
      <c r="AL528" s="765">
        <f>AVERAGE(AH528:AK528)</f>
        <v>182.51992747723227</v>
      </c>
      <c r="AM528" s="765">
        <f>(AM527-AM409)/(AM526-AM406)</f>
        <v>182.13601179506082</v>
      </c>
      <c r="AN528" s="765">
        <f>(AN527-AN409)/(AN526-AN406)</f>
        <v>181.66312705968511</v>
      </c>
      <c r="AO528" s="765">
        <f>(AO527-AO409)/(AO526-AO406)</f>
        <v>181.15965166908563</v>
      </c>
      <c r="AP528" s="765">
        <f>(AP527-AP409)/(AP526-AP406)</f>
        <v>181.17610970768675</v>
      </c>
      <c r="AQ528" s="765">
        <f>AVERAGE(AM528:AP528)</f>
        <v>181.53372505787956</v>
      </c>
      <c r="AR528" s="765">
        <f>(AR527-AR409)/(AR526-AR406)</f>
        <v>180.68100358422939</v>
      </c>
      <c r="AS528" s="765">
        <f>(AS527-AS409)/(AS526-AS406)</f>
        <v>180.14751773049645</v>
      </c>
      <c r="AT528" s="765">
        <f>(AT527-AT409)/(AT526-AT406)</f>
        <v>179.50803633822503</v>
      </c>
      <c r="AU528" s="765">
        <f>(AU527-AU409)/(AU526-AU406)</f>
        <v>178.61583276216587</v>
      </c>
      <c r="AV528" s="765">
        <f>AVERAGE(AR528:AU528)</f>
        <v>179.73809760377918</v>
      </c>
      <c r="AW528" s="765">
        <f>(AW527-AW409)/(AW526-AW406)</f>
        <v>178.37478705281092</v>
      </c>
      <c r="AX528" s="765">
        <f>(AX527-AX409)/(AX526-AX406)</f>
        <v>177.86581683998659</v>
      </c>
      <c r="AY528" s="765">
        <f>(AY527-AY409)/(AY526-AY406)</f>
        <v>177.72926343729264</v>
      </c>
      <c r="AZ528" s="765">
        <f>(AZ527-AZ409)/(AZ526-AZ406)</f>
        <v>176.81614785992218</v>
      </c>
      <c r="BA528" s="765">
        <f>AVERAGE(AW528:AZ528)</f>
        <v>177.69650379750306</v>
      </c>
      <c r="BB528" s="765">
        <f>(BB527-BB409)/(BB526-BB406)</f>
        <v>176.86170552539124</v>
      </c>
      <c r="BC528" s="765">
        <f>(BC527-BC409)/(BC526-BC406)</f>
        <v>176.00940733772342</v>
      </c>
      <c r="BD528" s="765">
        <f>(BD527-BD409)/(BD526-BD406)</f>
        <v>174.98896720809071</v>
      </c>
      <c r="BE528" s="765">
        <f>(BE527-BE409)/(BE526-BE406)</f>
        <v>174.6052393857272</v>
      </c>
      <c r="BF528" s="765">
        <f>AVERAGE(BB528:BE528)</f>
        <v>175.61632986423314</v>
      </c>
      <c r="BG528" s="765">
        <f>(BG527-BG409)/(BG526-BG406)</f>
        <v>174.99195710455763</v>
      </c>
      <c r="BH528" s="765">
        <f>(BH527-BH409)/(BH526-BH406)</f>
        <v>174.54601769911505</v>
      </c>
      <c r="BI528" s="765">
        <f>(BI527-BI409)/(BI526-BI406)</f>
        <v>174.36658864833237</v>
      </c>
      <c r="BJ528" s="765">
        <f>(BJ527-BJ409)/(BJ526-BJ406)</f>
        <v>174.91458454386984</v>
      </c>
      <c r="BK528" s="765">
        <f>AVERAGE(BG528:BJ528)</f>
        <v>174.70478699896873</v>
      </c>
      <c r="BL528" s="765">
        <f>(BL527-BL409)/(BL526-BL406)</f>
        <v>175.29627490615073</v>
      </c>
      <c r="BM528" s="765">
        <f>(BM527-BM409)/(BM526-BM406)</f>
        <v>175.02784156142366</v>
      </c>
      <c r="BN528" s="765">
        <f>(BN527-BN409)/(BN526-BN406)</f>
        <v>174.81618694784839</v>
      </c>
      <c r="BO528" s="765">
        <f>(BO527-BO409)/(BO526-BO406)</f>
        <v>174.82654216185625</v>
      </c>
      <c r="BP528" s="765">
        <f>AVERAGE(BL528:BO528)</f>
        <v>174.99171139431974</v>
      </c>
      <c r="BQ528" s="765">
        <f>(BQ527-BQ409)/(BQ526-BQ406)</f>
        <v>174.27400732188116</v>
      </c>
      <c r="BR528" s="765">
        <f>(BR527-BR409)/(BR526-BR406)</f>
        <v>174.1064008983717</v>
      </c>
      <c r="BS528" s="765">
        <f>(BS527-BS409)/(BS526-BS406)</f>
        <v>173.53236607142858</v>
      </c>
      <c r="BT528" s="765">
        <f>(BT527-BT409)/(BT526-BT406)</f>
        <v>174.14439095497886</v>
      </c>
      <c r="BU528" s="765">
        <f>AVERAGE(BQ528:BT528)</f>
        <v>174.01429131166509</v>
      </c>
      <c r="BV528" s="765"/>
      <c r="BW528" s="765"/>
      <c r="BX528" s="765"/>
      <c r="BY528" s="765"/>
      <c r="BZ528" s="765"/>
      <c r="CA528" s="765"/>
      <c r="CB528" s="765"/>
      <c r="CC528" s="765"/>
      <c r="CD528" s="765"/>
      <c r="CE528" s="765"/>
      <c r="CF528" s="765"/>
      <c r="CG528" s="765"/>
      <c r="CH528" s="765"/>
      <c r="CI528" s="765"/>
      <c r="CJ528" s="765"/>
      <c r="CK528" s="765"/>
      <c r="CL528" s="765"/>
      <c r="CM528" s="765"/>
      <c r="CN528" s="765"/>
      <c r="CO528" s="765"/>
      <c r="CP528" s="765"/>
      <c r="CQ528" s="765"/>
      <c r="CR528" s="765"/>
      <c r="CS528" s="765"/>
      <c r="CT528" s="765"/>
      <c r="CU528" s="765"/>
      <c r="CV528" s="765"/>
      <c r="CW528" s="765"/>
      <c r="CX528" s="765"/>
      <c r="CY528" s="765"/>
      <c r="CZ528" s="765"/>
      <c r="DA528" s="765"/>
      <c r="DB528"/>
      <c r="DC528"/>
      <c r="DD528" s="2323" t="s">
        <v>1675</v>
      </c>
      <c r="DE528" s="2350">
        <f>M528</f>
        <v>0</v>
      </c>
      <c r="DF528" s="2350">
        <f>R528</f>
        <v>185.3126043245492</v>
      </c>
      <c r="DG528" s="2350">
        <f>W528</f>
        <v>182.85687952042679</v>
      </c>
      <c r="DH528" s="2350">
        <f>AB528</f>
        <v>181.84810018856808</v>
      </c>
      <c r="DI528" s="2350">
        <f>AG528</f>
        <v>181.07069667264022</v>
      </c>
      <c r="DJ528" s="2350">
        <f>AL528</f>
        <v>182.51992747723227</v>
      </c>
      <c r="DK528" s="2350">
        <f>AQ528</f>
        <v>181.53372505787956</v>
      </c>
      <c r="DL528" s="2350">
        <f>AV528</f>
        <v>179.73809760377918</v>
      </c>
      <c r="DM528" s="2350">
        <f>BA528</f>
        <v>177.69650379750306</v>
      </c>
      <c r="DN528" s="2350">
        <f>BF528</f>
        <v>175.61632986423314</v>
      </c>
      <c r="DO528" s="2350">
        <f>BK528</f>
        <v>174.70478699896873</v>
      </c>
      <c r="DP528" s="2350">
        <f>BP528</f>
        <v>174.99171139431974</v>
      </c>
      <c r="DQ528" s="2350">
        <f>BU528</f>
        <v>174.01429131166509</v>
      </c>
      <c r="DR528" s="2350">
        <f>BZ528</f>
        <v>0</v>
      </c>
      <c r="DS528" s="2350">
        <f>CE528</f>
        <v>0</v>
      </c>
      <c r="DT528" s="2350">
        <f>CJ528</f>
        <v>0</v>
      </c>
      <c r="DU528" s="2350">
        <f>CO528</f>
        <v>0</v>
      </c>
      <c r="DV528" s="2350">
        <f>CT528</f>
        <v>0</v>
      </c>
      <c r="DW528" s="2350">
        <f t="shared" si="989"/>
        <v>0</v>
      </c>
      <c r="DX528" s="2350">
        <f t="shared" si="989"/>
        <v>0</v>
      </c>
      <c r="DY528" s="2350">
        <f t="shared" si="989"/>
        <v>0</v>
      </c>
      <c r="EA528"/>
      <c r="EB528"/>
      <c r="EC528"/>
      <c r="ED528"/>
      <c r="EE528"/>
      <c r="EF528"/>
      <c r="EJ528"/>
      <c r="EK528"/>
      <c r="EL528"/>
      <c r="ER528" s="212"/>
    </row>
    <row r="529" spans="1:148" s="923" customFormat="1" ht="12.75" hidden="1" customHeight="1" outlineLevel="1" x14ac:dyDescent="0.2">
      <c r="A529" s="865"/>
      <c r="B529" s="1847"/>
      <c r="C529" s="1847"/>
      <c r="D529" s="1847"/>
      <c r="E529" s="1847"/>
      <c r="F529" s="1847"/>
      <c r="G529" s="1847"/>
      <c r="H529" s="1847"/>
      <c r="I529" s="1847"/>
      <c r="J529" s="1847"/>
      <c r="K529" s="1847"/>
      <c r="L529" s="1847"/>
      <c r="M529" s="847"/>
      <c r="N529" s="1847"/>
      <c r="O529" s="1847"/>
      <c r="P529" s="1847"/>
      <c r="Q529" s="1847"/>
      <c r="R529" s="847"/>
      <c r="S529" s="1847"/>
      <c r="T529" s="1847"/>
      <c r="U529" s="1847"/>
      <c r="V529" s="1847"/>
      <c r="W529" s="847"/>
      <c r="X529" s="1847"/>
      <c r="Y529" s="1847"/>
      <c r="Z529" s="1847"/>
      <c r="AA529" s="1847"/>
      <c r="AB529" s="847"/>
      <c r="AC529" s="1847"/>
      <c r="AD529" s="1847"/>
      <c r="AE529" s="1847"/>
      <c r="AF529" s="1847"/>
      <c r="AG529" s="847"/>
      <c r="AH529" s="1847"/>
      <c r="AI529" s="1847"/>
      <c r="AJ529" s="1847"/>
      <c r="AK529" s="1847"/>
      <c r="AL529" s="847"/>
      <c r="AM529" s="1847"/>
      <c r="AN529" s="1847"/>
      <c r="AO529" s="1847"/>
      <c r="AP529" s="1847"/>
      <c r="AQ529" s="847"/>
      <c r="AR529" s="1847"/>
      <c r="AS529" s="1847"/>
      <c r="AT529" s="1847"/>
      <c r="AU529" s="1847"/>
      <c r="AV529" s="847"/>
      <c r="AW529" s="1847"/>
      <c r="AX529" s="1847"/>
      <c r="AY529" s="1847"/>
      <c r="AZ529" s="1847"/>
      <c r="BA529" s="847"/>
      <c r="BB529" s="1847"/>
      <c r="BC529" s="1847"/>
      <c r="BD529" s="1847"/>
      <c r="BE529" s="1847"/>
      <c r="BF529" s="847"/>
      <c r="BG529" s="1847"/>
      <c r="BH529" s="1847"/>
      <c r="BI529" s="1847"/>
      <c r="BJ529" s="1847"/>
      <c r="BK529" s="847"/>
      <c r="BL529" s="1847"/>
      <c r="BM529" s="1847"/>
      <c r="BN529" s="1847"/>
      <c r="BO529" s="1847"/>
      <c r="BP529" s="847"/>
      <c r="BQ529" s="1847"/>
      <c r="BR529" s="1847"/>
      <c r="BS529" s="1847"/>
      <c r="BT529" s="1847"/>
      <c r="BU529" s="847"/>
      <c r="BV529" s="1847"/>
      <c r="BW529" s="1847"/>
      <c r="BX529" s="1847"/>
      <c r="BY529" s="1847"/>
      <c r="BZ529" s="847"/>
      <c r="CA529" s="847"/>
      <c r="CB529" s="847"/>
      <c r="CC529" s="847"/>
      <c r="CD529" s="847"/>
      <c r="CE529" s="847"/>
      <c r="CF529" s="847"/>
      <c r="CG529" s="847"/>
      <c r="CH529" s="847"/>
      <c r="CI529" s="847"/>
      <c r="CJ529" s="847"/>
      <c r="CK529" s="847"/>
      <c r="CL529" s="847"/>
      <c r="CM529" s="847"/>
      <c r="CN529" s="847"/>
      <c r="CO529" s="847"/>
      <c r="CP529" s="847"/>
      <c r="CQ529" s="847"/>
      <c r="CR529" s="847"/>
      <c r="CS529" s="847"/>
      <c r="CT529" s="847"/>
      <c r="CU529" s="847"/>
      <c r="CV529" s="847"/>
      <c r="CW529" s="847"/>
      <c r="CX529" s="847"/>
      <c r="CY529" s="847"/>
      <c r="CZ529" s="847"/>
      <c r="DA529" s="847"/>
      <c r="DB529"/>
      <c r="DC529"/>
      <c r="DD529" s="2323"/>
      <c r="DE529" s="2349"/>
      <c r="DF529" s="2349"/>
      <c r="DG529" s="2349"/>
      <c r="DH529" s="2349"/>
      <c r="DI529" s="2349"/>
      <c r="DJ529" s="2349"/>
      <c r="DK529" s="2349"/>
      <c r="DL529" s="2349"/>
      <c r="DM529" s="2349"/>
      <c r="DN529" s="2349"/>
      <c r="DO529" s="2349"/>
      <c r="DP529" s="2349"/>
      <c r="DQ529" s="2349"/>
      <c r="DR529" s="2349"/>
      <c r="DS529" s="2349"/>
      <c r="DT529" s="2349"/>
      <c r="DU529" s="2349"/>
      <c r="DV529" s="2349"/>
      <c r="DW529" s="2349"/>
      <c r="DX529" s="2349"/>
      <c r="DY529" s="2349"/>
      <c r="EA529"/>
      <c r="EB529"/>
      <c r="EC529"/>
      <c r="ED529"/>
      <c r="EE529"/>
      <c r="EF529"/>
      <c r="EJ529"/>
      <c r="EK529"/>
      <c r="EL529"/>
      <c r="ER529" s="212"/>
    </row>
    <row r="530" spans="1:148" s="923" customFormat="1" ht="12.75" hidden="1" customHeight="1" outlineLevel="1" x14ac:dyDescent="0.2">
      <c r="A530" s="865" t="s">
        <v>1676</v>
      </c>
      <c r="B530" s="765"/>
      <c r="C530" s="765"/>
      <c r="D530" s="765"/>
      <c r="E530" s="765"/>
      <c r="F530" s="765"/>
      <c r="G530" s="765"/>
      <c r="H530" s="765"/>
      <c r="I530" s="765"/>
      <c r="J530" s="765"/>
      <c r="K530" s="765"/>
      <c r="L530" s="765"/>
      <c r="M530" s="765"/>
      <c r="N530" s="765"/>
      <c r="O530" s="765"/>
      <c r="P530" s="765"/>
      <c r="Q530" s="765"/>
      <c r="R530" s="765"/>
      <c r="S530" s="765">
        <f t="shared" ref="S530:V531" si="992">+S526-R526</f>
        <v>31</v>
      </c>
      <c r="T530" s="765">
        <f t="shared" si="992"/>
        <v>37</v>
      </c>
      <c r="U530" s="765">
        <f t="shared" si="992"/>
        <v>39</v>
      </c>
      <c r="V530" s="765">
        <f t="shared" si="992"/>
        <v>52</v>
      </c>
      <c r="W530" s="765">
        <f>+W526-R526</f>
        <v>159</v>
      </c>
      <c r="X530" s="765">
        <f t="shared" ref="X530:AA531" si="993">+X526-W526</f>
        <v>32</v>
      </c>
      <c r="Y530" s="765">
        <f t="shared" si="993"/>
        <v>47</v>
      </c>
      <c r="Z530" s="765">
        <f t="shared" si="993"/>
        <v>41</v>
      </c>
      <c r="AA530" s="765">
        <f t="shared" si="993"/>
        <v>41</v>
      </c>
      <c r="AB530" s="765">
        <f>+AB526-W526</f>
        <v>161</v>
      </c>
      <c r="AC530" s="765">
        <f t="shared" ref="AC530:AF531" si="994">+AC526-AB526</f>
        <v>36</v>
      </c>
      <c r="AD530" s="765">
        <f t="shared" si="994"/>
        <v>38</v>
      </c>
      <c r="AE530" s="765">
        <f t="shared" si="994"/>
        <v>15</v>
      </c>
      <c r="AF530" s="765">
        <f t="shared" si="994"/>
        <v>-173</v>
      </c>
      <c r="AG530" s="765">
        <f>+AG526-AB526</f>
        <v>-84</v>
      </c>
      <c r="AH530" s="765">
        <f t="shared" ref="AH530:AK531" si="995">+AH526-AG526</f>
        <v>15</v>
      </c>
      <c r="AI530" s="765">
        <f t="shared" si="995"/>
        <v>28</v>
      </c>
      <c r="AJ530" s="765">
        <f t="shared" si="995"/>
        <v>31</v>
      </c>
      <c r="AK530" s="765">
        <f t="shared" si="995"/>
        <v>34</v>
      </c>
      <c r="AL530" s="765">
        <f>+AL526-AG526</f>
        <v>108</v>
      </c>
      <c r="AM530" s="765">
        <f t="shared" ref="AM530:AP531" si="996">+AM526-AL526</f>
        <v>26</v>
      </c>
      <c r="AN530" s="765">
        <f t="shared" si="996"/>
        <v>22</v>
      </c>
      <c r="AO530" s="765">
        <f t="shared" si="996"/>
        <v>26</v>
      </c>
      <c r="AP530" s="765">
        <f t="shared" si="996"/>
        <v>15</v>
      </c>
      <c r="AQ530" s="765">
        <f>+AQ526-AL526</f>
        <v>89</v>
      </c>
      <c r="AR530" s="765">
        <f t="shared" ref="AR530:AU531" si="997">+AR526-AQ526</f>
        <v>20</v>
      </c>
      <c r="AS530" s="765">
        <f t="shared" si="997"/>
        <v>31</v>
      </c>
      <c r="AT530" s="765">
        <f t="shared" si="997"/>
        <v>44</v>
      </c>
      <c r="AU530" s="765">
        <f t="shared" si="997"/>
        <v>56</v>
      </c>
      <c r="AV530" s="765">
        <f>+AV526-AQ526</f>
        <v>151</v>
      </c>
      <c r="AW530" s="765">
        <f t="shared" ref="AW530:AZ531" si="998">+AW526-AV526</f>
        <v>18</v>
      </c>
      <c r="AX530" s="765">
        <f t="shared" si="998"/>
        <v>47</v>
      </c>
      <c r="AY530" s="765">
        <f t="shared" si="998"/>
        <v>36</v>
      </c>
      <c r="AZ530" s="765">
        <f t="shared" si="998"/>
        <v>71</v>
      </c>
      <c r="BA530" s="765">
        <f>+BA526-AV526</f>
        <v>172</v>
      </c>
      <c r="BB530" s="765">
        <f t="shared" ref="BB530:BE531" si="999">+BB526-BA526</f>
        <v>48</v>
      </c>
      <c r="BC530" s="765">
        <f t="shared" si="999"/>
        <v>59</v>
      </c>
      <c r="BD530" s="765">
        <f t="shared" si="999"/>
        <v>75</v>
      </c>
      <c r="BE530" s="765">
        <f t="shared" si="999"/>
        <v>57</v>
      </c>
      <c r="BF530" s="765">
        <f>+BF526-BA526</f>
        <v>239</v>
      </c>
      <c r="BG530" s="765">
        <f>+BG526-BE526</f>
        <v>37</v>
      </c>
      <c r="BH530" s="765">
        <f t="shared" ref="BH530:BJ531" si="1000">+BH526-BG526</f>
        <v>33</v>
      </c>
      <c r="BI530" s="765">
        <f t="shared" si="1000"/>
        <v>28</v>
      </c>
      <c r="BJ530" s="765">
        <f t="shared" si="1000"/>
        <v>25</v>
      </c>
      <c r="BK530" s="765">
        <f>+BK526-BF526</f>
        <v>123</v>
      </c>
      <c r="BL530" s="765">
        <f t="shared" ref="BL530:BO531" si="1001">+BL526-BK526</f>
        <v>21</v>
      </c>
      <c r="BM530" s="765">
        <f>+BM526-BL526</f>
        <v>21</v>
      </c>
      <c r="BN530" s="765">
        <f t="shared" si="1001"/>
        <v>25</v>
      </c>
      <c r="BO530" s="765">
        <f t="shared" si="1001"/>
        <v>25</v>
      </c>
      <c r="BP530" s="765">
        <f>+BP526-BK526</f>
        <v>92</v>
      </c>
      <c r="BQ530" s="765">
        <f t="shared" ref="BQ530:BT531" si="1002">+BQ526-BP526</f>
        <v>-54</v>
      </c>
      <c r="BR530" s="765">
        <f t="shared" si="1002"/>
        <v>11</v>
      </c>
      <c r="BS530" s="765">
        <f t="shared" si="1002"/>
        <v>22</v>
      </c>
      <c r="BT530" s="765">
        <f t="shared" si="1002"/>
        <v>58.689819185724446</v>
      </c>
      <c r="BU530" s="765">
        <f>+BU526-BP526</f>
        <v>37.689819185724446</v>
      </c>
      <c r="BV530" s="765"/>
      <c r="BW530" s="765"/>
      <c r="BX530" s="765"/>
      <c r="BY530" s="765"/>
      <c r="BZ530" s="765"/>
      <c r="CA530" s="765"/>
      <c r="CB530" s="765"/>
      <c r="CC530" s="765"/>
      <c r="CD530" s="765"/>
      <c r="CE530" s="765"/>
      <c r="CF530" s="765"/>
      <c r="CG530" s="765"/>
      <c r="CH530" s="765"/>
      <c r="CI530" s="765"/>
      <c r="CJ530" s="765"/>
      <c r="CK530" s="765"/>
      <c r="CL530" s="765"/>
      <c r="CM530" s="765"/>
      <c r="CN530" s="765"/>
      <c r="CO530" s="765"/>
      <c r="CP530" s="765"/>
      <c r="CQ530" s="765"/>
      <c r="CR530" s="765"/>
      <c r="CS530" s="765"/>
      <c r="CT530" s="765"/>
      <c r="CU530" s="765"/>
      <c r="CV530" s="765"/>
      <c r="CW530" s="765"/>
      <c r="CX530" s="765"/>
      <c r="CY530" s="765"/>
      <c r="CZ530" s="765"/>
      <c r="DA530" s="765"/>
      <c r="DB530"/>
      <c r="DC530"/>
      <c r="DD530" s="2323" t="s">
        <v>1676</v>
      </c>
      <c r="DE530" s="2350">
        <f>M530</f>
        <v>0</v>
      </c>
      <c r="DF530" s="2350">
        <f>R530</f>
        <v>0</v>
      </c>
      <c r="DG530" s="2350">
        <f>W530</f>
        <v>159</v>
      </c>
      <c r="DH530" s="2350">
        <f>AB530</f>
        <v>161</v>
      </c>
      <c r="DI530" s="2350">
        <f>AG530</f>
        <v>-84</v>
      </c>
      <c r="DJ530" s="2350">
        <f>AL530</f>
        <v>108</v>
      </c>
      <c r="DK530" s="2350">
        <f>AQ530</f>
        <v>89</v>
      </c>
      <c r="DL530" s="2350">
        <f>AV530</f>
        <v>151</v>
      </c>
      <c r="DM530" s="2350">
        <f>BA530</f>
        <v>172</v>
      </c>
      <c r="DN530" s="2350">
        <f>BF530</f>
        <v>239</v>
      </c>
      <c r="DO530" s="2350">
        <f>BK530</f>
        <v>123</v>
      </c>
      <c r="DP530" s="2350">
        <f>BP530</f>
        <v>92</v>
      </c>
      <c r="DQ530" s="2350">
        <f>BU530</f>
        <v>37.689819185724446</v>
      </c>
      <c r="DR530" s="2350">
        <f>BZ530</f>
        <v>0</v>
      </c>
      <c r="DS530" s="2350">
        <f>CE530</f>
        <v>0</v>
      </c>
      <c r="DT530" s="2350">
        <f>CJ530</f>
        <v>0</v>
      </c>
      <c r="DU530" s="2350">
        <f>CO530</f>
        <v>0</v>
      </c>
      <c r="DV530" s="2350">
        <f>CT530</f>
        <v>0</v>
      </c>
      <c r="DW530" s="2350">
        <f t="shared" ref="DW530:DY531" si="1003">CY530</f>
        <v>0</v>
      </c>
      <c r="DX530" s="2350">
        <f t="shared" si="1003"/>
        <v>0</v>
      </c>
      <c r="DY530" s="2350">
        <f t="shared" si="1003"/>
        <v>0</v>
      </c>
      <c r="EA530"/>
      <c r="EB530"/>
      <c r="EC530"/>
      <c r="ED530"/>
      <c r="EE530"/>
      <c r="EF530"/>
      <c r="EJ530"/>
      <c r="EK530"/>
      <c r="EL530"/>
      <c r="ER530" s="212"/>
    </row>
    <row r="531" spans="1:148" s="923" customFormat="1" ht="12.75" hidden="1" customHeight="1" outlineLevel="1" x14ac:dyDescent="0.2">
      <c r="A531" s="865" t="s">
        <v>1677</v>
      </c>
      <c r="B531" s="765"/>
      <c r="C531" s="765"/>
      <c r="D531" s="765"/>
      <c r="E531" s="765"/>
      <c r="F531" s="765"/>
      <c r="G531" s="765"/>
      <c r="H531" s="765"/>
      <c r="I531" s="765"/>
      <c r="J531" s="765"/>
      <c r="K531" s="765"/>
      <c r="L531" s="765"/>
      <c r="M531" s="765"/>
      <c r="N531" s="765"/>
      <c r="O531" s="765"/>
      <c r="P531" s="765"/>
      <c r="Q531" s="765"/>
      <c r="R531" s="765"/>
      <c r="S531" s="765">
        <f t="shared" si="992"/>
        <v>6784</v>
      </c>
      <c r="T531" s="765">
        <f t="shared" si="992"/>
        <v>5237</v>
      </c>
      <c r="U531" s="765">
        <f t="shared" si="992"/>
        <v>6583</v>
      </c>
      <c r="V531" s="765">
        <f t="shared" si="992"/>
        <v>8842</v>
      </c>
      <c r="W531" s="765">
        <f>+W527-R527</f>
        <v>27446</v>
      </c>
      <c r="X531" s="765">
        <f t="shared" si="993"/>
        <v>7846</v>
      </c>
      <c r="Y531" s="765">
        <f t="shared" si="993"/>
        <v>6122</v>
      </c>
      <c r="Z531" s="765">
        <f t="shared" si="993"/>
        <v>7560</v>
      </c>
      <c r="AA531" s="765">
        <f t="shared" si="993"/>
        <v>5607</v>
      </c>
      <c r="AB531" s="765">
        <f>+AB527-W527</f>
        <v>27135</v>
      </c>
      <c r="AC531" s="765">
        <f t="shared" si="994"/>
        <v>6356</v>
      </c>
      <c r="AD531" s="765">
        <f t="shared" si="994"/>
        <v>5655</v>
      </c>
      <c r="AE531" s="765">
        <f t="shared" si="994"/>
        <v>3083</v>
      </c>
      <c r="AF531" s="765">
        <f t="shared" si="994"/>
        <v>-23472</v>
      </c>
      <c r="AG531" s="765">
        <f>+AG527-AB527</f>
        <v>-8378</v>
      </c>
      <c r="AH531" s="765">
        <f t="shared" si="995"/>
        <v>2718</v>
      </c>
      <c r="AI531" s="765">
        <f t="shared" si="995"/>
        <v>4526</v>
      </c>
      <c r="AJ531" s="765">
        <f t="shared" si="995"/>
        <v>3844</v>
      </c>
      <c r="AK531" s="765">
        <f t="shared" si="995"/>
        <v>5891</v>
      </c>
      <c r="AL531" s="765">
        <f>+AL527-AG527</f>
        <v>16979</v>
      </c>
      <c r="AM531" s="765">
        <f t="shared" si="996"/>
        <v>5445</v>
      </c>
      <c r="AN531" s="765">
        <f t="shared" si="996"/>
        <v>2520</v>
      </c>
      <c r="AO531" s="765">
        <f t="shared" si="996"/>
        <v>3376</v>
      </c>
      <c r="AP531" s="765">
        <f t="shared" si="996"/>
        <v>3276</v>
      </c>
      <c r="AQ531" s="765">
        <f>+AQ527-AL527</f>
        <v>14617</v>
      </c>
      <c r="AR531" s="765">
        <f t="shared" si="997"/>
        <v>1939</v>
      </c>
      <c r="AS531" s="765">
        <f t="shared" si="997"/>
        <v>4067</v>
      </c>
      <c r="AT531" s="765">
        <f t="shared" si="997"/>
        <v>6024</v>
      </c>
      <c r="AU531" s="765">
        <f t="shared" si="997"/>
        <v>7574</v>
      </c>
      <c r="AV531" s="765">
        <f>+AV527-AQ527</f>
        <v>19604</v>
      </c>
      <c r="AW531" s="765">
        <f t="shared" si="998"/>
        <v>2381</v>
      </c>
      <c r="AX531" s="765">
        <f t="shared" si="998"/>
        <v>6922</v>
      </c>
      <c r="AY531" s="765">
        <f t="shared" si="998"/>
        <v>5552</v>
      </c>
      <c r="AZ531" s="765">
        <f t="shared" si="998"/>
        <v>9767</v>
      </c>
      <c r="BA531" s="765">
        <f>+BA527-AV527</f>
        <v>24622</v>
      </c>
      <c r="BB531" s="765">
        <f t="shared" si="999"/>
        <v>8486</v>
      </c>
      <c r="BC531" s="765">
        <f t="shared" si="999"/>
        <v>7601</v>
      </c>
      <c r="BD531" s="765">
        <f t="shared" si="999"/>
        <v>9782</v>
      </c>
      <c r="BE531" s="765">
        <f t="shared" si="999"/>
        <v>8878</v>
      </c>
      <c r="BF531" s="765">
        <f>+BF527-BA527</f>
        <v>34747</v>
      </c>
      <c r="BG531" s="765">
        <f>+BG527-BE527</f>
        <v>7585</v>
      </c>
      <c r="BH531" s="765">
        <f t="shared" si="1000"/>
        <v>4268</v>
      </c>
      <c r="BI531" s="765">
        <f t="shared" si="1000"/>
        <v>4243</v>
      </c>
      <c r="BJ531" s="765">
        <f t="shared" si="1000"/>
        <v>6168</v>
      </c>
      <c r="BK531" s="765">
        <f>+BK527-BF527</f>
        <v>22264</v>
      </c>
      <c r="BL531" s="765">
        <f t="shared" si="1001"/>
        <v>5077</v>
      </c>
      <c r="BM531" s="765">
        <f>+BM527-BL527</f>
        <v>2719</v>
      </c>
      <c r="BN531" s="765">
        <f t="shared" si="1001"/>
        <v>3633</v>
      </c>
      <c r="BO531" s="765">
        <f t="shared" si="1001"/>
        <v>4407</v>
      </c>
      <c r="BP531" s="765">
        <f>+BP527-BK527</f>
        <v>15836</v>
      </c>
      <c r="BQ531" s="765">
        <f t="shared" si="1002"/>
        <v>-12008</v>
      </c>
      <c r="BR531" s="765">
        <f t="shared" si="1002"/>
        <v>1320</v>
      </c>
      <c r="BS531" s="765">
        <f t="shared" si="1002"/>
        <v>1773</v>
      </c>
      <c r="BT531" s="765">
        <f t="shared" si="1002"/>
        <v>12414</v>
      </c>
      <c r="BU531" s="765">
        <f>+BU527-BP527</f>
        <v>3499</v>
      </c>
      <c r="BV531" s="765"/>
      <c r="BW531" s="765"/>
      <c r="BX531" s="765"/>
      <c r="BY531" s="765"/>
      <c r="BZ531" s="765"/>
      <c r="CA531" s="765"/>
      <c r="CB531" s="765"/>
      <c r="CC531" s="765"/>
      <c r="CD531" s="765"/>
      <c r="CE531" s="765"/>
      <c r="CF531" s="765"/>
      <c r="CG531" s="765"/>
      <c r="CH531" s="765"/>
      <c r="CI531" s="765"/>
      <c r="CJ531" s="765"/>
      <c r="CK531" s="765"/>
      <c r="CL531" s="765"/>
      <c r="CM531" s="765"/>
      <c r="CN531" s="765"/>
      <c r="CO531" s="765"/>
      <c r="CP531" s="765"/>
      <c r="CQ531" s="765"/>
      <c r="CR531" s="765"/>
      <c r="CS531" s="765"/>
      <c r="CT531" s="765"/>
      <c r="CU531" s="765"/>
      <c r="CV531" s="765"/>
      <c r="CW531" s="765"/>
      <c r="CX531" s="765"/>
      <c r="CY531" s="765"/>
      <c r="CZ531" s="765"/>
      <c r="DA531" s="765"/>
      <c r="DB531"/>
      <c r="DC531"/>
      <c r="DD531" s="2323" t="s">
        <v>1677</v>
      </c>
      <c r="DE531" s="2350">
        <f>M531</f>
        <v>0</v>
      </c>
      <c r="DF531" s="2350">
        <f>R531</f>
        <v>0</v>
      </c>
      <c r="DG531" s="2350">
        <f>W531</f>
        <v>27446</v>
      </c>
      <c r="DH531" s="2350">
        <f>AB531</f>
        <v>27135</v>
      </c>
      <c r="DI531" s="2350">
        <f>AG531</f>
        <v>-8378</v>
      </c>
      <c r="DJ531" s="2350">
        <f>AL531</f>
        <v>16979</v>
      </c>
      <c r="DK531" s="2350">
        <f>AQ531</f>
        <v>14617</v>
      </c>
      <c r="DL531" s="2350">
        <f>AV531</f>
        <v>19604</v>
      </c>
      <c r="DM531" s="2350">
        <f>BA531</f>
        <v>24622</v>
      </c>
      <c r="DN531" s="2350">
        <f>BF531</f>
        <v>34747</v>
      </c>
      <c r="DO531" s="2350">
        <f>BK531</f>
        <v>22264</v>
      </c>
      <c r="DP531" s="2350">
        <f>BP531</f>
        <v>15836</v>
      </c>
      <c r="DQ531" s="2350">
        <f>BU531</f>
        <v>3499</v>
      </c>
      <c r="DR531" s="2350">
        <f>BZ531</f>
        <v>0</v>
      </c>
      <c r="DS531" s="2350">
        <f>CE531</f>
        <v>0</v>
      </c>
      <c r="DT531" s="2350">
        <f>CJ531</f>
        <v>0</v>
      </c>
      <c r="DU531" s="2350">
        <f>CO531</f>
        <v>0</v>
      </c>
      <c r="DV531" s="2350">
        <f>CT531</f>
        <v>0</v>
      </c>
      <c r="DW531" s="2350">
        <f t="shared" si="1003"/>
        <v>0</v>
      </c>
      <c r="DX531" s="2350">
        <f t="shared" si="1003"/>
        <v>0</v>
      </c>
      <c r="DY531" s="2350">
        <f t="shared" si="1003"/>
        <v>0</v>
      </c>
      <c r="EA531"/>
      <c r="EB531"/>
      <c r="EC531"/>
      <c r="ED531"/>
      <c r="EE531"/>
      <c r="EF531"/>
      <c r="EJ531"/>
      <c r="EK531"/>
      <c r="EL531"/>
      <c r="ER531" s="212"/>
    </row>
    <row r="532" spans="1:148" s="923" customFormat="1" ht="12.75" hidden="1" customHeight="1" outlineLevel="1" x14ac:dyDescent="0.2">
      <c r="A532" s="865"/>
      <c r="B532" s="847"/>
      <c r="C532" s="847"/>
      <c r="D532" s="847"/>
      <c r="E532" s="847"/>
      <c r="F532" s="847"/>
      <c r="G532" s="847"/>
      <c r="H532" s="847"/>
      <c r="I532" s="847"/>
      <c r="J532" s="847"/>
      <c r="K532" s="847"/>
      <c r="L532" s="847"/>
      <c r="M532" s="847"/>
      <c r="N532" s="847"/>
      <c r="O532" s="847"/>
      <c r="P532" s="847"/>
      <c r="Q532" s="847"/>
      <c r="R532" s="847"/>
      <c r="S532" s="847"/>
      <c r="T532" s="847"/>
      <c r="U532" s="847"/>
      <c r="V532" s="847"/>
      <c r="W532" s="847"/>
      <c r="X532" s="847"/>
      <c r="Y532" s="847"/>
      <c r="Z532" s="847"/>
      <c r="AA532" s="847"/>
      <c r="AB532" s="847"/>
      <c r="AC532" s="847"/>
      <c r="AD532" s="847"/>
      <c r="AE532" s="847"/>
      <c r="AF532" s="847"/>
      <c r="AG532" s="847"/>
      <c r="AH532" s="847"/>
      <c r="AI532" s="847"/>
      <c r="AJ532" s="847"/>
      <c r="AK532" s="847"/>
      <c r="AL532" s="847"/>
      <c r="AM532" s="847"/>
      <c r="AN532" s="847"/>
      <c r="AO532" s="847"/>
      <c r="AP532" s="847"/>
      <c r="AQ532" s="847">
        <f>+AQ531-AL531</f>
        <v>-2362</v>
      </c>
      <c r="AR532" s="847"/>
      <c r="AS532" s="847"/>
      <c r="AT532" s="847"/>
      <c r="AU532" s="847"/>
      <c r="AV532" s="847">
        <f>+AV531-AQ531</f>
        <v>4987</v>
      </c>
      <c r="AW532" s="847"/>
      <c r="AX532" s="847"/>
      <c r="AY532" s="847"/>
      <c r="AZ532" s="847"/>
      <c r="BA532" s="847">
        <f>+BA531-AV531</f>
        <v>5018</v>
      </c>
      <c r="BB532" s="847"/>
      <c r="BC532" s="847"/>
      <c r="BD532" s="847"/>
      <c r="BE532" s="847"/>
      <c r="BF532" s="847">
        <f>+BF531-BA531</f>
        <v>10125</v>
      </c>
      <c r="BG532" s="847"/>
      <c r="BH532" s="847"/>
      <c r="BI532" s="847"/>
      <c r="BJ532" s="847"/>
      <c r="BK532" s="847">
        <f>+BK531-BF531</f>
        <v>-12483</v>
      </c>
      <c r="BL532" s="847"/>
      <c r="BM532" s="847"/>
      <c r="BN532" s="847"/>
      <c r="BO532" s="847"/>
      <c r="BP532" s="847">
        <f>+BP531-BK531</f>
        <v>-6428</v>
      </c>
      <c r="BQ532" s="847"/>
      <c r="BR532" s="847"/>
      <c r="BS532" s="847"/>
      <c r="BT532" s="847"/>
      <c r="BU532" s="847">
        <f>+BU531-BP531</f>
        <v>-12337</v>
      </c>
      <c r="BV532" s="847"/>
      <c r="BW532" s="847"/>
      <c r="BX532" s="847"/>
      <c r="BY532" s="847"/>
      <c r="BZ532" s="847"/>
      <c r="CA532" s="847"/>
      <c r="CB532" s="847"/>
      <c r="CC532" s="847"/>
      <c r="CD532" s="847"/>
      <c r="CE532" s="847"/>
      <c r="CF532" s="847"/>
      <c r="CG532" s="847"/>
      <c r="CH532" s="847"/>
      <c r="CI532" s="847"/>
      <c r="CJ532" s="847"/>
      <c r="CK532" s="847"/>
      <c r="CL532" s="847"/>
      <c r="CM532" s="847"/>
      <c r="CN532" s="847"/>
      <c r="CO532" s="847"/>
      <c r="CP532" s="847"/>
      <c r="CQ532" s="847"/>
      <c r="CR532" s="847"/>
      <c r="CS532" s="847"/>
      <c r="CT532" s="847"/>
      <c r="CU532" s="847"/>
      <c r="CV532" s="847"/>
      <c r="CW532" s="847"/>
      <c r="CX532" s="847"/>
      <c r="CY532" s="847"/>
      <c r="CZ532" s="847"/>
      <c r="DA532" s="847"/>
      <c r="DB532"/>
      <c r="DC532"/>
      <c r="DD532" s="2323"/>
      <c r="DE532" s="2349"/>
      <c r="DF532" s="2349"/>
      <c r="DG532" s="2349"/>
      <c r="DH532" s="2349"/>
      <c r="DI532" s="2349"/>
      <c r="DJ532" s="2349"/>
      <c r="DK532" s="2349"/>
      <c r="DL532" s="2349"/>
      <c r="DM532" s="2349"/>
      <c r="DN532" s="2349"/>
      <c r="DO532" s="2349"/>
      <c r="DP532" s="2349"/>
      <c r="DQ532" s="2349"/>
      <c r="DR532" s="2349"/>
      <c r="DS532" s="2349"/>
      <c r="DT532" s="2349"/>
      <c r="DU532" s="2349"/>
      <c r="DV532" s="2349"/>
      <c r="DW532" s="2349"/>
      <c r="DX532" s="2349"/>
      <c r="DY532" s="2349"/>
      <c r="EA532"/>
      <c r="EB532"/>
      <c r="EC532"/>
      <c r="ED532"/>
      <c r="EE532"/>
      <c r="EF532"/>
      <c r="EJ532"/>
      <c r="EK532"/>
      <c r="EL532"/>
      <c r="ER532" s="212"/>
    </row>
    <row r="533" spans="1:148" s="923" customFormat="1" ht="12.75" hidden="1" customHeight="1" outlineLevel="1" x14ac:dyDescent="0.2">
      <c r="A533" s="870" t="s">
        <v>1678</v>
      </c>
      <c r="B533" s="847"/>
      <c r="C533" s="847"/>
      <c r="D533" s="847"/>
      <c r="E533" s="847"/>
      <c r="F533" s="847"/>
      <c r="G533" s="847"/>
      <c r="H533" s="847"/>
      <c r="I533" s="847"/>
      <c r="J533" s="847"/>
      <c r="K533" s="847"/>
      <c r="L533" s="847"/>
      <c r="M533" s="847"/>
      <c r="N533" s="847"/>
      <c r="O533" s="847"/>
      <c r="P533" s="847"/>
      <c r="Q533" s="847"/>
      <c r="R533" s="847"/>
      <c r="S533" s="847"/>
      <c r="T533" s="847"/>
      <c r="U533" s="847"/>
      <c r="V533" s="847"/>
      <c r="W533" s="847"/>
      <c r="X533" s="847"/>
      <c r="Y533" s="847"/>
      <c r="Z533" s="847"/>
      <c r="AA533" s="847"/>
      <c r="AB533" s="847"/>
      <c r="AC533" s="847"/>
      <c r="AD533" s="847"/>
      <c r="AE533" s="847"/>
      <c r="AF533" s="847"/>
      <c r="AG533" s="847"/>
      <c r="AH533" s="847"/>
      <c r="AI533" s="847"/>
      <c r="AJ533" s="847"/>
      <c r="AK533" s="847"/>
      <c r="AL533" s="847"/>
      <c r="AM533" s="847"/>
      <c r="AN533" s="847"/>
      <c r="AO533" s="847"/>
      <c r="AP533" s="847"/>
      <c r="AQ533" s="847"/>
      <c r="AR533" s="847"/>
      <c r="AS533" s="847"/>
      <c r="AT533" s="847"/>
      <c r="AU533" s="847"/>
      <c r="AV533" s="847"/>
      <c r="AW533" s="847"/>
      <c r="AX533" s="847"/>
      <c r="AY533" s="847"/>
      <c r="AZ533" s="847"/>
      <c r="BA533" s="847"/>
      <c r="BB533" s="847"/>
      <c r="BC533" s="847"/>
      <c r="BD533" s="847"/>
      <c r="BE533" s="847"/>
      <c r="BF533" s="847"/>
      <c r="BG533" s="847"/>
      <c r="BH533" s="847"/>
      <c r="BI533" s="847"/>
      <c r="BJ533" s="847"/>
      <c r="BK533" s="847"/>
      <c r="BL533" s="847"/>
      <c r="BM533" s="847"/>
      <c r="BN533" s="847"/>
      <c r="BO533" s="847"/>
      <c r="BP533" s="847"/>
      <c r="BQ533" s="847"/>
      <c r="BR533" s="847"/>
      <c r="BS533" s="847"/>
      <c r="BT533" s="847"/>
      <c r="BU533" s="847"/>
      <c r="BV533" s="847"/>
      <c r="BW533" s="847"/>
      <c r="BX533" s="847"/>
      <c r="BY533" s="847"/>
      <c r="BZ533" s="847"/>
      <c r="CA533" s="847"/>
      <c r="CB533" s="847"/>
      <c r="CC533" s="847"/>
      <c r="CD533" s="847"/>
      <c r="CE533" s="847"/>
      <c r="CF533" s="847"/>
      <c r="CG533" s="847"/>
      <c r="CH533" s="847"/>
      <c r="CI533" s="847"/>
      <c r="CJ533" s="847"/>
      <c r="CK533" s="847"/>
      <c r="CL533" s="847"/>
      <c r="CM533" s="847"/>
      <c r="CN533" s="847"/>
      <c r="CO533" s="847"/>
      <c r="CP533" s="847"/>
      <c r="CQ533" s="847"/>
      <c r="CR533" s="847"/>
      <c r="CS533" s="847"/>
      <c r="CT533" s="847"/>
      <c r="CU533" s="847"/>
      <c r="CV533" s="847"/>
      <c r="CW533" s="847"/>
      <c r="CX533" s="847"/>
      <c r="CY533" s="847"/>
      <c r="CZ533" s="847"/>
      <c r="DA533" s="847"/>
      <c r="DB533"/>
      <c r="DC533"/>
      <c r="DD533" s="870" t="s">
        <v>1678</v>
      </c>
      <c r="DE533" s="2349">
        <f t="shared" ref="DE533:DE540" si="1004">M533</f>
        <v>0</v>
      </c>
      <c r="DF533" s="2349">
        <f t="shared" ref="DF533:DF540" si="1005">R533</f>
        <v>0</v>
      </c>
      <c r="DG533" s="2349">
        <f t="shared" ref="DG533:DG540" si="1006">W533</f>
        <v>0</v>
      </c>
      <c r="DH533" s="2349">
        <f t="shared" ref="DH533:DH540" si="1007">AB533</f>
        <v>0</v>
      </c>
      <c r="DI533" s="2349">
        <f t="shared" ref="DI533:DI540" si="1008">AG533</f>
        <v>0</v>
      </c>
      <c r="DJ533" s="2349">
        <f t="shared" ref="DJ533:DJ540" si="1009">AL533</f>
        <v>0</v>
      </c>
      <c r="DK533" s="2349">
        <f t="shared" ref="DK533:DK540" si="1010">AQ533</f>
        <v>0</v>
      </c>
      <c r="DL533" s="2349">
        <f t="shared" ref="DL533:DL540" si="1011">AV533</f>
        <v>0</v>
      </c>
      <c r="DM533" s="2349">
        <f t="shared" ref="DM533:DM540" si="1012">BA533</f>
        <v>0</v>
      </c>
      <c r="DN533" s="2349">
        <f t="shared" ref="DN533:DN540" si="1013">BF533</f>
        <v>0</v>
      </c>
      <c r="DO533" s="2349">
        <f t="shared" ref="DO533:DO540" si="1014">BK533</f>
        <v>0</v>
      </c>
      <c r="DP533" s="2349">
        <f t="shared" ref="DP533:DP540" si="1015">BP533</f>
        <v>0</v>
      </c>
      <c r="DQ533" s="2349">
        <f t="shared" ref="DQ533:DQ540" si="1016">BU533</f>
        <v>0</v>
      </c>
      <c r="DR533" s="2349">
        <f t="shared" ref="DR533:DR540" si="1017">BZ533</f>
        <v>0</v>
      </c>
      <c r="DS533" s="2349">
        <f t="shared" ref="DS533:DS540" si="1018">CE533</f>
        <v>0</v>
      </c>
      <c r="DT533" s="2349">
        <f t="shared" ref="DT533:DT540" si="1019">CJ533</f>
        <v>0</v>
      </c>
      <c r="DU533" s="2349">
        <f t="shared" ref="DU533:DU540" si="1020">CO533</f>
        <v>0</v>
      </c>
      <c r="DV533" s="2349">
        <f t="shared" ref="DV533:DV540" si="1021">CT533</f>
        <v>0</v>
      </c>
      <c r="DW533" s="2349">
        <f t="shared" ref="DW533:DW540" si="1022">CY533</f>
        <v>0</v>
      </c>
      <c r="DX533" s="2349">
        <f t="shared" ref="DX533:DX540" si="1023">CZ533</f>
        <v>0</v>
      </c>
      <c r="DY533" s="2349">
        <f t="shared" ref="DY533:DY540" si="1024">DA533</f>
        <v>0</v>
      </c>
      <c r="EA533"/>
      <c r="EB533"/>
      <c r="EC533"/>
      <c r="ED533"/>
      <c r="EE533"/>
      <c r="EF533"/>
      <c r="EJ533"/>
      <c r="EK533"/>
      <c r="EL533"/>
      <c r="ER533" s="212"/>
    </row>
    <row r="534" spans="1:148" s="923" customFormat="1" ht="12.75" hidden="1" customHeight="1" outlineLevel="1" x14ac:dyDescent="0.2">
      <c r="A534" s="865" t="s">
        <v>1679</v>
      </c>
      <c r="B534" s="847"/>
      <c r="C534" s="847"/>
      <c r="D534" s="847"/>
      <c r="E534" s="847"/>
      <c r="F534" s="847"/>
      <c r="G534" s="847"/>
      <c r="H534" s="847"/>
      <c r="I534" s="847"/>
      <c r="J534" s="847"/>
      <c r="K534" s="847"/>
      <c r="L534" s="847"/>
      <c r="M534" s="847"/>
      <c r="N534" s="847"/>
      <c r="O534" s="847"/>
      <c r="P534" s="847"/>
      <c r="Q534" s="847"/>
      <c r="R534" s="847"/>
      <c r="S534" s="847"/>
      <c r="T534" s="847"/>
      <c r="U534" s="847"/>
      <c r="V534" s="847"/>
      <c r="W534" s="847"/>
      <c r="X534" s="847"/>
      <c r="Y534" s="847"/>
      <c r="Z534" s="847"/>
      <c r="AA534" s="847"/>
      <c r="AB534" s="847"/>
      <c r="AC534" s="847"/>
      <c r="AD534" s="847"/>
      <c r="AE534" s="847"/>
      <c r="AF534" s="847"/>
      <c r="AG534" s="847"/>
      <c r="AH534" s="847">
        <f>+AH535+AH536</f>
        <v>16</v>
      </c>
      <c r="AI534" s="847">
        <f>+AI535+AI536</f>
        <v>28</v>
      </c>
      <c r="AJ534" s="847">
        <f>+AJ535+AJ536</f>
        <v>31</v>
      </c>
      <c r="AK534" s="847">
        <f>+AK535+AK536</f>
        <v>34</v>
      </c>
      <c r="AL534" s="847">
        <f t="shared" ref="AL534:AL539" si="1025">+SUM(AH534:AK534)</f>
        <v>109</v>
      </c>
      <c r="AM534" s="847"/>
      <c r="AN534" s="847"/>
      <c r="AO534" s="847"/>
      <c r="AP534" s="847"/>
      <c r="AQ534" s="847"/>
      <c r="AR534" s="847"/>
      <c r="AS534" s="847"/>
      <c r="AT534" s="847"/>
      <c r="AU534" s="847"/>
      <c r="AV534" s="847"/>
      <c r="AW534" s="847"/>
      <c r="AX534" s="847"/>
      <c r="AY534" s="847"/>
      <c r="AZ534" s="847"/>
      <c r="BA534" s="847"/>
      <c r="BB534" s="847"/>
      <c r="BC534" s="847"/>
      <c r="BD534" s="847"/>
      <c r="BE534" s="847"/>
      <c r="BF534" s="847"/>
      <c r="BG534" s="847"/>
      <c r="BH534" s="847"/>
      <c r="BI534" s="847"/>
      <c r="BJ534" s="847"/>
      <c r="BK534" s="847"/>
      <c r="BL534" s="847"/>
      <c r="BM534" s="847"/>
      <c r="BN534" s="847"/>
      <c r="BO534" s="847"/>
      <c r="BP534" s="847"/>
      <c r="BQ534" s="847"/>
      <c r="BR534" s="847"/>
      <c r="BS534" s="847"/>
      <c r="BT534" s="847"/>
      <c r="BU534" s="847"/>
      <c r="BV534" s="847"/>
      <c r="BW534" s="847"/>
      <c r="BX534" s="847"/>
      <c r="BY534" s="847"/>
      <c r="BZ534" s="847"/>
      <c r="CA534" s="847"/>
      <c r="CB534" s="847"/>
      <c r="CC534" s="847"/>
      <c r="CD534" s="847"/>
      <c r="CE534" s="847"/>
      <c r="CF534" s="847"/>
      <c r="CG534" s="847"/>
      <c r="CH534" s="847"/>
      <c r="CI534" s="847"/>
      <c r="CJ534" s="847"/>
      <c r="CK534" s="847"/>
      <c r="CL534" s="847"/>
      <c r="CM534" s="847"/>
      <c r="CN534" s="847"/>
      <c r="CO534" s="847"/>
      <c r="CP534" s="847"/>
      <c r="CQ534" s="847"/>
      <c r="CR534" s="847"/>
      <c r="CS534" s="847"/>
      <c r="CT534" s="847"/>
      <c r="CU534" s="847"/>
      <c r="CV534" s="847"/>
      <c r="CW534" s="847"/>
      <c r="CX534" s="847"/>
      <c r="CY534" s="847"/>
      <c r="CZ534" s="847"/>
      <c r="DA534" s="847"/>
      <c r="DB534"/>
      <c r="DC534"/>
      <c r="DD534" s="2323" t="s">
        <v>1679</v>
      </c>
      <c r="DE534" s="2349">
        <f t="shared" si="1004"/>
        <v>0</v>
      </c>
      <c r="DF534" s="2349">
        <f t="shared" si="1005"/>
        <v>0</v>
      </c>
      <c r="DG534" s="2349">
        <f t="shared" si="1006"/>
        <v>0</v>
      </c>
      <c r="DH534" s="2349">
        <f t="shared" si="1007"/>
        <v>0</v>
      </c>
      <c r="DI534" s="2349">
        <f t="shared" si="1008"/>
        <v>0</v>
      </c>
      <c r="DJ534" s="2349">
        <f t="shared" si="1009"/>
        <v>109</v>
      </c>
      <c r="DK534" s="2349">
        <f t="shared" si="1010"/>
        <v>0</v>
      </c>
      <c r="DL534" s="2349">
        <f t="shared" si="1011"/>
        <v>0</v>
      </c>
      <c r="DM534" s="2349">
        <f t="shared" si="1012"/>
        <v>0</v>
      </c>
      <c r="DN534" s="2349">
        <f t="shared" si="1013"/>
        <v>0</v>
      </c>
      <c r="DO534" s="2349">
        <f t="shared" si="1014"/>
        <v>0</v>
      </c>
      <c r="DP534" s="2349">
        <f t="shared" si="1015"/>
        <v>0</v>
      </c>
      <c r="DQ534" s="2349">
        <f t="shared" si="1016"/>
        <v>0</v>
      </c>
      <c r="DR534" s="2349">
        <f t="shared" si="1017"/>
        <v>0</v>
      </c>
      <c r="DS534" s="2349">
        <f t="shared" si="1018"/>
        <v>0</v>
      </c>
      <c r="DT534" s="2349">
        <f t="shared" si="1019"/>
        <v>0</v>
      </c>
      <c r="DU534" s="2349">
        <f t="shared" si="1020"/>
        <v>0</v>
      </c>
      <c r="DV534" s="2349">
        <f t="shared" si="1021"/>
        <v>0</v>
      </c>
      <c r="DW534" s="2349">
        <f t="shared" si="1022"/>
        <v>0</v>
      </c>
      <c r="DX534" s="2349">
        <f t="shared" si="1023"/>
        <v>0</v>
      </c>
      <c r="DY534" s="2349">
        <f t="shared" si="1024"/>
        <v>0</v>
      </c>
      <c r="EA534"/>
      <c r="EB534"/>
      <c r="EC534"/>
      <c r="ED534"/>
      <c r="EE534"/>
      <c r="EF534"/>
      <c r="EJ534"/>
      <c r="EK534"/>
      <c r="EL534"/>
      <c r="ER534" s="212"/>
    </row>
    <row r="535" spans="1:148" s="923" customFormat="1" ht="12.75" hidden="1" customHeight="1" outlineLevel="1" x14ac:dyDescent="0.2">
      <c r="A535" s="865" t="s">
        <v>1680</v>
      </c>
      <c r="B535" s="847"/>
      <c r="C535" s="847"/>
      <c r="D535" s="847"/>
      <c r="E535" s="847"/>
      <c r="F535" s="847"/>
      <c r="G535" s="847"/>
      <c r="H535" s="847"/>
      <c r="I535" s="847"/>
      <c r="J535" s="847"/>
      <c r="K535" s="847"/>
      <c r="L535" s="847"/>
      <c r="M535" s="847"/>
      <c r="N535" s="847"/>
      <c r="O535" s="847"/>
      <c r="P535" s="847"/>
      <c r="Q535" s="847"/>
      <c r="R535" s="847"/>
      <c r="S535" s="847"/>
      <c r="T535" s="847"/>
      <c r="U535" s="847"/>
      <c r="V535" s="847"/>
      <c r="W535" s="847"/>
      <c r="X535" s="847"/>
      <c r="Y535" s="847"/>
      <c r="Z535" s="847"/>
      <c r="AA535" s="847"/>
      <c r="AB535" s="847"/>
      <c r="AC535" s="847"/>
      <c r="AD535" s="847"/>
      <c r="AE535" s="847"/>
      <c r="AF535" s="847"/>
      <c r="AG535" s="847"/>
      <c r="AH535" s="847">
        <f>27</f>
        <v>27</v>
      </c>
      <c r="AI535" s="847">
        <f>34</f>
        <v>34</v>
      </c>
      <c r="AJ535" s="847">
        <f>35</f>
        <v>35</v>
      </c>
      <c r="AK535" s="847">
        <f>134-AJ535-AI535-AH535</f>
        <v>38</v>
      </c>
      <c r="AL535" s="847">
        <f t="shared" si="1025"/>
        <v>134</v>
      </c>
      <c r="AM535" s="847"/>
      <c r="AN535" s="847"/>
      <c r="AO535" s="847"/>
      <c r="AP535" s="847"/>
      <c r="AQ535" s="847"/>
      <c r="AR535" s="847"/>
      <c r="AS535" s="847"/>
      <c r="AT535" s="847"/>
      <c r="AU535" s="847"/>
      <c r="AV535" s="847"/>
      <c r="AW535" s="847"/>
      <c r="AX535" s="847"/>
      <c r="AY535" s="847"/>
      <c r="AZ535" s="847"/>
      <c r="BA535" s="847"/>
      <c r="BB535" s="847"/>
      <c r="BC535" s="847"/>
      <c r="BD535" s="847"/>
      <c r="BE535" s="847"/>
      <c r="BF535" s="847"/>
      <c r="BG535" s="847"/>
      <c r="BH535" s="847"/>
      <c r="BI535" s="847"/>
      <c r="BJ535" s="847"/>
      <c r="BK535" s="847"/>
      <c r="BL535" s="847"/>
      <c r="BM535" s="847"/>
      <c r="BN535" s="847"/>
      <c r="BO535" s="847"/>
      <c r="BP535" s="847"/>
      <c r="BQ535" s="847"/>
      <c r="BR535" s="847"/>
      <c r="BS535" s="847"/>
      <c r="BT535" s="847"/>
      <c r="BU535" s="847"/>
      <c r="BV535" s="847"/>
      <c r="BW535" s="847"/>
      <c r="BX535" s="847"/>
      <c r="BY535" s="847"/>
      <c r="BZ535" s="847"/>
      <c r="CA535" s="847"/>
      <c r="CB535" s="847"/>
      <c r="CC535" s="847"/>
      <c r="CD535" s="847"/>
      <c r="CE535" s="847"/>
      <c r="CF535" s="847"/>
      <c r="CG535" s="847"/>
      <c r="CH535" s="847"/>
      <c r="CI535" s="847"/>
      <c r="CJ535" s="847"/>
      <c r="CK535" s="847"/>
      <c r="CL535" s="847"/>
      <c r="CM535" s="847"/>
      <c r="CN535" s="847"/>
      <c r="CO535" s="847"/>
      <c r="CP535" s="847"/>
      <c r="CQ535" s="847"/>
      <c r="CR535" s="847"/>
      <c r="CS535" s="847"/>
      <c r="CT535" s="847"/>
      <c r="CU535" s="847"/>
      <c r="CV535" s="847"/>
      <c r="CW535" s="847"/>
      <c r="CX535" s="847"/>
      <c r="CY535" s="847"/>
      <c r="CZ535" s="847"/>
      <c r="DA535" s="847"/>
      <c r="DB535"/>
      <c r="DC535"/>
      <c r="DD535" s="2323" t="s">
        <v>1680</v>
      </c>
      <c r="DE535" s="2349">
        <f t="shared" si="1004"/>
        <v>0</v>
      </c>
      <c r="DF535" s="2349">
        <f t="shared" si="1005"/>
        <v>0</v>
      </c>
      <c r="DG535" s="2349">
        <f t="shared" si="1006"/>
        <v>0</v>
      </c>
      <c r="DH535" s="2349">
        <f t="shared" si="1007"/>
        <v>0</v>
      </c>
      <c r="DI535" s="2349">
        <f t="shared" si="1008"/>
        <v>0</v>
      </c>
      <c r="DJ535" s="2349">
        <f t="shared" si="1009"/>
        <v>134</v>
      </c>
      <c r="DK535" s="2349">
        <f t="shared" si="1010"/>
        <v>0</v>
      </c>
      <c r="DL535" s="2349">
        <f t="shared" si="1011"/>
        <v>0</v>
      </c>
      <c r="DM535" s="2349">
        <f t="shared" si="1012"/>
        <v>0</v>
      </c>
      <c r="DN535" s="2349">
        <f t="shared" si="1013"/>
        <v>0</v>
      </c>
      <c r="DO535" s="2349">
        <f t="shared" si="1014"/>
        <v>0</v>
      </c>
      <c r="DP535" s="2349">
        <f t="shared" si="1015"/>
        <v>0</v>
      </c>
      <c r="DQ535" s="2349">
        <f t="shared" si="1016"/>
        <v>0</v>
      </c>
      <c r="DR535" s="2349">
        <f t="shared" si="1017"/>
        <v>0</v>
      </c>
      <c r="DS535" s="2349">
        <f t="shared" si="1018"/>
        <v>0</v>
      </c>
      <c r="DT535" s="2349">
        <f t="shared" si="1019"/>
        <v>0</v>
      </c>
      <c r="DU535" s="2349">
        <f t="shared" si="1020"/>
        <v>0</v>
      </c>
      <c r="DV535" s="2349">
        <f t="shared" si="1021"/>
        <v>0</v>
      </c>
      <c r="DW535" s="2349">
        <f t="shared" si="1022"/>
        <v>0</v>
      </c>
      <c r="DX535" s="2349">
        <f t="shared" si="1023"/>
        <v>0</v>
      </c>
      <c r="DY535" s="2349">
        <f t="shared" si="1024"/>
        <v>0</v>
      </c>
      <c r="EA535"/>
      <c r="EB535"/>
      <c r="EC535"/>
      <c r="ED535"/>
      <c r="EE535"/>
      <c r="EF535"/>
      <c r="EJ535"/>
      <c r="EK535"/>
      <c r="EL535"/>
      <c r="ER535" s="212"/>
    </row>
    <row r="536" spans="1:148" s="923" customFormat="1" ht="12.75" hidden="1" customHeight="1" outlineLevel="1" x14ac:dyDescent="0.2">
      <c r="A536" s="865" t="s">
        <v>1681</v>
      </c>
      <c r="B536" s="215"/>
      <c r="C536" s="215"/>
      <c r="D536" s="215"/>
      <c r="E536" s="215"/>
      <c r="F536" s="215"/>
      <c r="G536" s="215"/>
      <c r="H536" s="215"/>
      <c r="I536" s="215"/>
      <c r="J536" s="215"/>
      <c r="K536" s="215"/>
      <c r="L536" s="215"/>
      <c r="M536" s="215"/>
      <c r="N536" s="215"/>
      <c r="O536" s="215"/>
      <c r="P536" s="215"/>
      <c r="Q536" s="215"/>
      <c r="R536" s="215"/>
      <c r="S536" s="215"/>
      <c r="T536" s="215"/>
      <c r="U536" s="215"/>
      <c r="V536" s="215"/>
      <c r="W536" s="215"/>
      <c r="X536" s="215"/>
      <c r="Y536" s="215"/>
      <c r="Z536" s="215"/>
      <c r="AA536" s="215"/>
      <c r="AB536" s="215"/>
      <c r="AC536" s="215"/>
      <c r="AD536" s="215"/>
      <c r="AE536" s="215"/>
      <c r="AF536" s="215"/>
      <c r="AG536" s="215"/>
      <c r="AH536" s="215">
        <f>-11</f>
        <v>-11</v>
      </c>
      <c r="AI536" s="215">
        <v>-6</v>
      </c>
      <c r="AJ536" s="215">
        <v>-4</v>
      </c>
      <c r="AK536" s="215">
        <v>-4</v>
      </c>
      <c r="AL536" s="215">
        <f t="shared" si="1025"/>
        <v>-25</v>
      </c>
      <c r="AM536" s="215"/>
      <c r="AN536" s="215"/>
      <c r="AO536" s="215"/>
      <c r="AP536" s="215"/>
      <c r="AQ536" s="215"/>
      <c r="AR536" s="215"/>
      <c r="AS536" s="215"/>
      <c r="AT536" s="215"/>
      <c r="AU536" s="215"/>
      <c r="AV536" s="215"/>
      <c r="AW536" s="215"/>
      <c r="AX536" s="215"/>
      <c r="AY536" s="215"/>
      <c r="AZ536" s="215"/>
      <c r="BA536" s="215"/>
      <c r="BB536" s="215"/>
      <c r="BC536" s="215"/>
      <c r="BD536" s="215"/>
      <c r="BE536" s="215"/>
      <c r="BF536" s="215"/>
      <c r="BG536" s="215"/>
      <c r="BH536" s="215"/>
      <c r="BI536" s="215"/>
      <c r="BJ536" s="215"/>
      <c r="BK536" s="215"/>
      <c r="BL536" s="215"/>
      <c r="BM536" s="215"/>
      <c r="BN536" s="215"/>
      <c r="BO536" s="215"/>
      <c r="BP536" s="215"/>
      <c r="BQ536" s="215"/>
      <c r="BR536" s="215"/>
      <c r="BS536" s="215"/>
      <c r="BT536" s="215"/>
      <c r="BU536" s="215"/>
      <c r="BV536" s="215"/>
      <c r="BW536" s="215"/>
      <c r="BX536" s="215"/>
      <c r="BY536" s="215"/>
      <c r="BZ536" s="215"/>
      <c r="CA536" s="215"/>
      <c r="CB536" s="215"/>
      <c r="CC536" s="215"/>
      <c r="CD536" s="215"/>
      <c r="CE536" s="215"/>
      <c r="CF536" s="215"/>
      <c r="CG536" s="215"/>
      <c r="CH536" s="215"/>
      <c r="CI536" s="215"/>
      <c r="CJ536" s="215"/>
      <c r="CK536" s="215"/>
      <c r="CL536" s="215"/>
      <c r="CM536" s="215"/>
      <c r="CN536" s="215"/>
      <c r="CO536" s="215"/>
      <c r="CP536" s="215"/>
      <c r="CQ536" s="215"/>
      <c r="CR536" s="215"/>
      <c r="CS536" s="215"/>
      <c r="CT536" s="215"/>
      <c r="CU536" s="215"/>
      <c r="CV536" s="215"/>
      <c r="CW536" s="215"/>
      <c r="CX536" s="215"/>
      <c r="CY536" s="215"/>
      <c r="CZ536" s="215"/>
      <c r="DA536" s="215"/>
      <c r="DB536"/>
      <c r="DC536"/>
      <c r="DD536" s="2323" t="s">
        <v>1681</v>
      </c>
      <c r="DE536" s="2327">
        <f t="shared" si="1004"/>
        <v>0</v>
      </c>
      <c r="DF536" s="2327">
        <f t="shared" si="1005"/>
        <v>0</v>
      </c>
      <c r="DG536" s="2327">
        <f t="shared" si="1006"/>
        <v>0</v>
      </c>
      <c r="DH536" s="2327">
        <f t="shared" si="1007"/>
        <v>0</v>
      </c>
      <c r="DI536" s="2327">
        <f t="shared" si="1008"/>
        <v>0</v>
      </c>
      <c r="DJ536" s="2327">
        <f t="shared" si="1009"/>
        <v>-25</v>
      </c>
      <c r="DK536" s="2327">
        <f t="shared" si="1010"/>
        <v>0</v>
      </c>
      <c r="DL536" s="2327">
        <f t="shared" si="1011"/>
        <v>0</v>
      </c>
      <c r="DM536" s="2327">
        <f t="shared" si="1012"/>
        <v>0</v>
      </c>
      <c r="DN536" s="2327">
        <f t="shared" si="1013"/>
        <v>0</v>
      </c>
      <c r="DO536" s="2327">
        <f t="shared" si="1014"/>
        <v>0</v>
      </c>
      <c r="DP536" s="2327">
        <f t="shared" si="1015"/>
        <v>0</v>
      </c>
      <c r="DQ536" s="2327">
        <f t="shared" si="1016"/>
        <v>0</v>
      </c>
      <c r="DR536" s="2327">
        <f t="shared" si="1017"/>
        <v>0</v>
      </c>
      <c r="DS536" s="2327">
        <f t="shared" si="1018"/>
        <v>0</v>
      </c>
      <c r="DT536" s="2327">
        <f t="shared" si="1019"/>
        <v>0</v>
      </c>
      <c r="DU536" s="2327">
        <f t="shared" si="1020"/>
        <v>0</v>
      </c>
      <c r="DV536" s="2327">
        <f t="shared" si="1021"/>
        <v>0</v>
      </c>
      <c r="DW536" s="2327">
        <f t="shared" si="1022"/>
        <v>0</v>
      </c>
      <c r="DX536" s="2327">
        <f t="shared" si="1023"/>
        <v>0</v>
      </c>
      <c r="DY536" s="2327">
        <f t="shared" si="1024"/>
        <v>0</v>
      </c>
      <c r="EA536"/>
      <c r="EB536"/>
      <c r="EC536"/>
      <c r="ED536"/>
      <c r="EE536"/>
      <c r="EF536"/>
      <c r="EJ536"/>
      <c r="EK536"/>
      <c r="EL536"/>
      <c r="ER536" s="212"/>
    </row>
    <row r="537" spans="1:148" s="923" customFormat="1" ht="12.75" hidden="1" customHeight="1" outlineLevel="1" x14ac:dyDescent="0.2">
      <c r="A537" s="865" t="s">
        <v>1682</v>
      </c>
      <c r="B537" s="215"/>
      <c r="C537" s="215"/>
      <c r="D537" s="215"/>
      <c r="E537" s="215"/>
      <c r="F537" s="215"/>
      <c r="G537" s="215"/>
      <c r="H537" s="215"/>
      <c r="I537" s="215"/>
      <c r="J537" s="215"/>
      <c r="K537" s="215"/>
      <c r="L537" s="215"/>
      <c r="M537" s="229"/>
      <c r="N537" s="215"/>
      <c r="O537" s="215"/>
      <c r="P537" s="215"/>
      <c r="Q537" s="215"/>
      <c r="R537" s="229"/>
      <c r="S537" s="215"/>
      <c r="T537" s="215"/>
      <c r="U537" s="215"/>
      <c r="V537" s="215"/>
      <c r="W537" s="229"/>
      <c r="X537" s="215"/>
      <c r="Y537" s="215"/>
      <c r="Z537" s="215"/>
      <c r="AA537" s="215"/>
      <c r="AB537" s="229"/>
      <c r="AC537" s="215"/>
      <c r="AD537" s="215"/>
      <c r="AE537" s="215"/>
      <c r="AF537" s="215"/>
      <c r="AG537" s="229"/>
      <c r="AH537" s="215">
        <f>+AH538+AH539</f>
        <v>3059</v>
      </c>
      <c r="AI537" s="215">
        <f>+AI538+AI539</f>
        <v>4986</v>
      </c>
      <c r="AJ537" s="215">
        <f>+AJ538+AJ539</f>
        <v>3510</v>
      </c>
      <c r="AK537" s="215">
        <f>+AK538+AK539</f>
        <v>5301</v>
      </c>
      <c r="AL537" s="229">
        <f t="shared" si="1025"/>
        <v>16856</v>
      </c>
      <c r="AM537" s="215">
        <f>+AM531</f>
        <v>5445</v>
      </c>
      <c r="AN537" s="215">
        <f>+AN531</f>
        <v>2520</v>
      </c>
      <c r="AO537" s="215">
        <f>+AO531</f>
        <v>3376</v>
      </c>
      <c r="AP537" s="215">
        <f>+AP531</f>
        <v>3276</v>
      </c>
      <c r="AQ537" s="229">
        <f>+SUM(AM537:AP537)</f>
        <v>14617</v>
      </c>
      <c r="AR537" s="215">
        <f>+AR531</f>
        <v>1939</v>
      </c>
      <c r="AS537" s="215">
        <f>+AS531</f>
        <v>4067</v>
      </c>
      <c r="AT537" s="215">
        <f>+AT531</f>
        <v>6024</v>
      </c>
      <c r="AU537" s="215">
        <f>+AU531</f>
        <v>7574</v>
      </c>
      <c r="AV537" s="229">
        <f>+SUM(AR537:AU537)</f>
        <v>19604</v>
      </c>
      <c r="AW537" s="215">
        <f>+AW531</f>
        <v>2381</v>
      </c>
      <c r="AX537" s="215">
        <f>+AX531</f>
        <v>6922</v>
      </c>
      <c r="AY537" s="215">
        <f>+AY531</f>
        <v>5552</v>
      </c>
      <c r="AZ537" s="215">
        <f>+AZ531</f>
        <v>9767</v>
      </c>
      <c r="BA537" s="229">
        <f>+SUM(AW537:AZ537)</f>
        <v>24622</v>
      </c>
      <c r="BB537" s="215">
        <f>+BB531</f>
        <v>8486</v>
      </c>
      <c r="BC537" s="215">
        <f>+BC531</f>
        <v>7601</v>
      </c>
      <c r="BD537" s="215">
        <f>+BD531</f>
        <v>9782</v>
      </c>
      <c r="BE537" s="215">
        <f>+BE531</f>
        <v>8878</v>
      </c>
      <c r="BF537" s="229">
        <f>+SUM(BB537:BE537)</f>
        <v>34747</v>
      </c>
      <c r="BG537" s="215">
        <f>+BG531</f>
        <v>7585</v>
      </c>
      <c r="BH537" s="215">
        <f>+BH531</f>
        <v>4268</v>
      </c>
      <c r="BI537" s="215">
        <f>+BI531</f>
        <v>4243</v>
      </c>
      <c r="BJ537" s="215">
        <f>+BJ531</f>
        <v>6168</v>
      </c>
      <c r="BK537" s="229">
        <f>+SUM(BG537:BJ537)</f>
        <v>22264</v>
      </c>
      <c r="BL537" s="215">
        <f>+BL531</f>
        <v>5077</v>
      </c>
      <c r="BM537" s="215">
        <f>+BM531</f>
        <v>2719</v>
      </c>
      <c r="BN537" s="215">
        <f>+BN531</f>
        <v>3633</v>
      </c>
      <c r="BO537" s="215">
        <f>+BO531</f>
        <v>4407</v>
      </c>
      <c r="BP537" s="229">
        <f>+SUM(BL537:BO537)</f>
        <v>15836</v>
      </c>
      <c r="BQ537" s="215"/>
      <c r="BR537" s="215"/>
      <c r="BS537" s="215"/>
      <c r="BT537" s="215"/>
      <c r="BU537" s="229">
        <f>+BU531</f>
        <v>3499</v>
      </c>
      <c r="BV537" s="215"/>
      <c r="BW537" s="215"/>
      <c r="BX537" s="215"/>
      <c r="BY537" s="215"/>
      <c r="BZ537" s="229"/>
      <c r="CA537" s="229"/>
      <c r="CB537" s="229"/>
      <c r="CC537" s="229"/>
      <c r="CD537" s="229"/>
      <c r="CE537" s="229"/>
      <c r="CF537" s="229"/>
      <c r="CG537" s="229"/>
      <c r="CH537" s="229"/>
      <c r="CI537" s="229"/>
      <c r="CJ537" s="229"/>
      <c r="CK537" s="229"/>
      <c r="CL537" s="229"/>
      <c r="CM537" s="229"/>
      <c r="CN537" s="229"/>
      <c r="CO537" s="229"/>
      <c r="CP537" s="229"/>
      <c r="CQ537" s="229"/>
      <c r="CR537" s="229"/>
      <c r="CS537" s="229"/>
      <c r="CT537" s="229"/>
      <c r="CU537" s="229"/>
      <c r="CV537" s="229"/>
      <c r="CW537" s="229"/>
      <c r="CX537" s="229"/>
      <c r="CY537" s="229"/>
      <c r="CZ537" s="229"/>
      <c r="DA537" s="229"/>
      <c r="DB537"/>
      <c r="DC537"/>
      <c r="DD537" s="2323" t="s">
        <v>1682</v>
      </c>
      <c r="DE537" s="2324">
        <f t="shared" si="1004"/>
        <v>0</v>
      </c>
      <c r="DF537" s="2324">
        <f t="shared" si="1005"/>
        <v>0</v>
      </c>
      <c r="DG537" s="2324">
        <f t="shared" si="1006"/>
        <v>0</v>
      </c>
      <c r="DH537" s="2324">
        <f t="shared" si="1007"/>
        <v>0</v>
      </c>
      <c r="DI537" s="2324">
        <f t="shared" si="1008"/>
        <v>0</v>
      </c>
      <c r="DJ537" s="2324">
        <f t="shared" si="1009"/>
        <v>16856</v>
      </c>
      <c r="DK537" s="2324">
        <f t="shared" si="1010"/>
        <v>14617</v>
      </c>
      <c r="DL537" s="2324">
        <f t="shared" si="1011"/>
        <v>19604</v>
      </c>
      <c r="DM537" s="2324">
        <f t="shared" si="1012"/>
        <v>24622</v>
      </c>
      <c r="DN537" s="2324">
        <f t="shared" si="1013"/>
        <v>34747</v>
      </c>
      <c r="DO537" s="2324">
        <f t="shared" si="1014"/>
        <v>22264</v>
      </c>
      <c r="DP537" s="2324">
        <f t="shared" si="1015"/>
        <v>15836</v>
      </c>
      <c r="DQ537" s="2324">
        <f t="shared" si="1016"/>
        <v>3499</v>
      </c>
      <c r="DR537" s="2324">
        <f t="shared" si="1017"/>
        <v>0</v>
      </c>
      <c r="DS537" s="2324">
        <f t="shared" si="1018"/>
        <v>0</v>
      </c>
      <c r="DT537" s="2324">
        <f t="shared" si="1019"/>
        <v>0</v>
      </c>
      <c r="DU537" s="2324">
        <f t="shared" si="1020"/>
        <v>0</v>
      </c>
      <c r="DV537" s="2324">
        <f t="shared" si="1021"/>
        <v>0</v>
      </c>
      <c r="DW537" s="2324">
        <f t="shared" si="1022"/>
        <v>0</v>
      </c>
      <c r="DX537" s="2324">
        <f t="shared" si="1023"/>
        <v>0</v>
      </c>
      <c r="DY537" s="2324">
        <f t="shared" si="1024"/>
        <v>0</v>
      </c>
      <c r="EA537"/>
      <c r="EB537"/>
      <c r="EC537"/>
      <c r="ED537"/>
      <c r="EE537"/>
      <c r="EF537"/>
      <c r="EJ537"/>
      <c r="EK537"/>
      <c r="EL537"/>
      <c r="ER537" s="212"/>
    </row>
    <row r="538" spans="1:148" s="923" customFormat="1" ht="12.75" hidden="1" customHeight="1" outlineLevel="1" x14ac:dyDescent="0.2">
      <c r="A538" s="865" t="s">
        <v>1680</v>
      </c>
      <c r="B538" s="215"/>
      <c r="C538" s="215"/>
      <c r="D538" s="215"/>
      <c r="E538" s="215"/>
      <c r="F538" s="215"/>
      <c r="G538" s="215"/>
      <c r="H538" s="215"/>
      <c r="I538" s="215"/>
      <c r="J538" s="215"/>
      <c r="K538" s="215"/>
      <c r="L538" s="215"/>
      <c r="M538" s="214"/>
      <c r="N538" s="215"/>
      <c r="O538" s="215"/>
      <c r="P538" s="215"/>
      <c r="Q538" s="215"/>
      <c r="R538" s="214"/>
      <c r="S538" s="215"/>
      <c r="T538" s="215"/>
      <c r="U538" s="215"/>
      <c r="V538" s="215"/>
      <c r="W538" s="214"/>
      <c r="X538" s="215"/>
      <c r="Y538" s="215"/>
      <c r="Z538" s="215"/>
      <c r="AA538" s="215"/>
      <c r="AB538" s="214"/>
      <c r="AC538" s="215"/>
      <c r="AD538" s="215"/>
      <c r="AE538" s="215"/>
      <c r="AF538" s="215"/>
      <c r="AG538" s="214"/>
      <c r="AH538" s="215">
        <f>4525</f>
        <v>4525</v>
      </c>
      <c r="AI538" s="215">
        <f>5932</f>
        <v>5932</v>
      </c>
      <c r="AJ538" s="215">
        <f>5174</f>
        <v>5174</v>
      </c>
      <c r="AK538" s="215">
        <f>21611-AJ538-AI538-AH538</f>
        <v>5980</v>
      </c>
      <c r="AL538" s="214">
        <f t="shared" si="1025"/>
        <v>21611</v>
      </c>
      <c r="AM538" s="215">
        <f>+AM537*(1-AM540)</f>
        <v>7078.5</v>
      </c>
      <c r="AN538" s="215">
        <f>+AN537*(1-AN540)</f>
        <v>3276</v>
      </c>
      <c r="AO538" s="215">
        <v>6281</v>
      </c>
      <c r="AP538" s="215">
        <f>+AP537*(1-AP540)</f>
        <v>4258.8</v>
      </c>
      <c r="AQ538" s="214">
        <f>+SUM(AM538:AP538)</f>
        <v>20894.3</v>
      </c>
      <c r="AR538" s="215">
        <f>+AR537*(1-AR540)</f>
        <v>2520.7000000000003</v>
      </c>
      <c r="AS538" s="215">
        <f>+AS537*(1-AS540)</f>
        <v>5287.1</v>
      </c>
      <c r="AT538" s="215">
        <f>+AT537*(1-AT540)</f>
        <v>7831.2</v>
      </c>
      <c r="AU538" s="215">
        <f>+AU537*(1-AU540)</f>
        <v>9846.2000000000007</v>
      </c>
      <c r="AV538" s="214">
        <f>+SUM(AR538:AU538)</f>
        <v>25485.200000000001</v>
      </c>
      <c r="AW538" s="215">
        <f>+AW537*(1-AW540)</f>
        <v>3095.3</v>
      </c>
      <c r="AX538" s="215">
        <f>+AX537*(1-AX540)</f>
        <v>8998.6</v>
      </c>
      <c r="AY538" s="215">
        <f>+AY537*(1-AY540)</f>
        <v>7217.6</v>
      </c>
      <c r="AZ538" s="215">
        <f>+AZ537*(1-AZ540)</f>
        <v>12697.1</v>
      </c>
      <c r="BA538" s="214">
        <f>+SUM(AW538:AZ538)</f>
        <v>32008.6</v>
      </c>
      <c r="BB538" s="215">
        <f>+BB537*(1-BB540)</f>
        <v>11031.800000000001</v>
      </c>
      <c r="BC538" s="215">
        <f>+BC537*(1-BC540)</f>
        <v>9881.3000000000011</v>
      </c>
      <c r="BD538" s="215">
        <f>+BD537*(1-BD540)</f>
        <v>12716.6</v>
      </c>
      <c r="BE538" s="215">
        <f>+BE537*(1-BE540)</f>
        <v>11541.4</v>
      </c>
      <c r="BF538" s="214">
        <f>+SUM(BB538:BE538)</f>
        <v>45171.100000000006</v>
      </c>
      <c r="BG538" s="215">
        <f>+BG537*(1-BG540)</f>
        <v>9860.5</v>
      </c>
      <c r="BH538" s="215">
        <f>+BH537*(1-BH540)</f>
        <v>5548.4000000000005</v>
      </c>
      <c r="BI538" s="215">
        <f>+BI537*(1-BI540)</f>
        <v>5515.9000000000005</v>
      </c>
      <c r="BJ538" s="215">
        <f>+BJ537*(1-BJ540)</f>
        <v>8018.4000000000005</v>
      </c>
      <c r="BK538" s="214">
        <f>+SUM(BG538:BJ538)</f>
        <v>28943.200000000004</v>
      </c>
      <c r="BL538" s="215">
        <f>+BL537*(1-BL540)</f>
        <v>6600.1</v>
      </c>
      <c r="BM538" s="215">
        <f>+BM537*(1-BM540)</f>
        <v>3534.7000000000003</v>
      </c>
      <c r="BN538" s="215">
        <f>+BN537*(1-BN540)</f>
        <v>4722.9000000000005</v>
      </c>
      <c r="BO538" s="215">
        <f>+BO537*(1-BO540)</f>
        <v>5729.1</v>
      </c>
      <c r="BP538" s="214">
        <f>+SUM(BL538:BO538)</f>
        <v>20586.800000000003</v>
      </c>
      <c r="BQ538" s="215"/>
      <c r="BR538" s="215"/>
      <c r="BS538" s="215"/>
      <c r="BT538" s="215"/>
      <c r="BU538" s="214">
        <f>+BU537*(1-BU540)</f>
        <v>4548.7</v>
      </c>
      <c r="BV538" s="215"/>
      <c r="BW538" s="215"/>
      <c r="BX538" s="215"/>
      <c r="BY538" s="215"/>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c r="DA538" s="214"/>
      <c r="DB538"/>
      <c r="DC538"/>
      <c r="DD538" s="2323" t="s">
        <v>1680</v>
      </c>
      <c r="DE538" s="2327">
        <f t="shared" si="1004"/>
        <v>0</v>
      </c>
      <c r="DF538" s="2327">
        <f t="shared" si="1005"/>
        <v>0</v>
      </c>
      <c r="DG538" s="2327">
        <f t="shared" si="1006"/>
        <v>0</v>
      </c>
      <c r="DH538" s="2327">
        <f t="shared" si="1007"/>
        <v>0</v>
      </c>
      <c r="DI538" s="2327">
        <f t="shared" si="1008"/>
        <v>0</v>
      </c>
      <c r="DJ538" s="2327">
        <f t="shared" si="1009"/>
        <v>21611</v>
      </c>
      <c r="DK538" s="2327">
        <f t="shared" si="1010"/>
        <v>20894.3</v>
      </c>
      <c r="DL538" s="2327">
        <f t="shared" si="1011"/>
        <v>25485.200000000001</v>
      </c>
      <c r="DM538" s="2327">
        <f t="shared" si="1012"/>
        <v>32008.6</v>
      </c>
      <c r="DN538" s="2327">
        <f t="shared" si="1013"/>
        <v>45171.100000000006</v>
      </c>
      <c r="DO538" s="2327">
        <f t="shared" si="1014"/>
        <v>28943.200000000004</v>
      </c>
      <c r="DP538" s="2327">
        <f t="shared" si="1015"/>
        <v>20586.800000000003</v>
      </c>
      <c r="DQ538" s="2327">
        <f t="shared" si="1016"/>
        <v>4548.7</v>
      </c>
      <c r="DR538" s="2327">
        <f t="shared" si="1017"/>
        <v>0</v>
      </c>
      <c r="DS538" s="2327">
        <f t="shared" si="1018"/>
        <v>0</v>
      </c>
      <c r="DT538" s="2327">
        <f t="shared" si="1019"/>
        <v>0</v>
      </c>
      <c r="DU538" s="2327">
        <f t="shared" si="1020"/>
        <v>0</v>
      </c>
      <c r="DV538" s="2327">
        <f t="shared" si="1021"/>
        <v>0</v>
      </c>
      <c r="DW538" s="2327">
        <f t="shared" si="1022"/>
        <v>0</v>
      </c>
      <c r="DX538" s="2327">
        <f t="shared" si="1023"/>
        <v>0</v>
      </c>
      <c r="DY538" s="2327">
        <f t="shared" si="1024"/>
        <v>0</v>
      </c>
      <c r="EA538"/>
      <c r="EB538"/>
      <c r="EC538"/>
      <c r="ED538"/>
      <c r="EE538"/>
      <c r="EF538"/>
      <c r="EJ538"/>
      <c r="EK538"/>
      <c r="EL538"/>
      <c r="ER538" s="212"/>
    </row>
    <row r="539" spans="1:148" s="923" customFormat="1" ht="12.75" hidden="1" customHeight="1" outlineLevel="1" x14ac:dyDescent="0.2">
      <c r="A539" s="865" t="s">
        <v>1681</v>
      </c>
      <c r="B539" s="215"/>
      <c r="C539" s="215"/>
      <c r="D539" s="215"/>
      <c r="E539" s="215"/>
      <c r="F539" s="215"/>
      <c r="G539" s="215"/>
      <c r="H539" s="215"/>
      <c r="I539" s="215"/>
      <c r="J539" s="215"/>
      <c r="K539" s="215"/>
      <c r="L539" s="215"/>
      <c r="M539" s="599"/>
      <c r="N539" s="215"/>
      <c r="O539" s="215"/>
      <c r="P539" s="215"/>
      <c r="Q539" s="215"/>
      <c r="R539" s="599"/>
      <c r="S539" s="215"/>
      <c r="T539" s="215"/>
      <c r="U539" s="215"/>
      <c r="V539" s="215"/>
      <c r="W539" s="599"/>
      <c r="X539" s="215"/>
      <c r="Y539" s="215"/>
      <c r="Z539" s="215"/>
      <c r="AA539" s="215"/>
      <c r="AB539" s="599"/>
      <c r="AC539" s="215"/>
      <c r="AD539" s="215"/>
      <c r="AE539" s="215"/>
      <c r="AF539" s="215"/>
      <c r="AG539" s="599"/>
      <c r="AH539" s="215">
        <v>-1466</v>
      </c>
      <c r="AI539" s="215">
        <f>-670-276</f>
        <v>-946</v>
      </c>
      <c r="AJ539" s="215">
        <v>-1664</v>
      </c>
      <c r="AK539" s="215">
        <f>-4755-AJ539-AI539-AH539</f>
        <v>-679</v>
      </c>
      <c r="AL539" s="599">
        <f t="shared" si="1025"/>
        <v>-4755</v>
      </c>
      <c r="AM539" s="215">
        <f>+AM537-AM538</f>
        <v>-1633.5</v>
      </c>
      <c r="AN539" s="215">
        <v>-2170</v>
      </c>
      <c r="AO539" s="215">
        <v>-2792</v>
      </c>
      <c r="AP539" s="215">
        <f>+AP537-AP538</f>
        <v>-982.80000000000018</v>
      </c>
      <c r="AQ539" s="599">
        <f>+SUM(AM539:AP539)</f>
        <v>-7578.3</v>
      </c>
      <c r="AR539" s="215">
        <f>+AR537-AR538</f>
        <v>-581.70000000000027</v>
      </c>
      <c r="AS539" s="215">
        <f>+AS537-AS538</f>
        <v>-1220.1000000000004</v>
      </c>
      <c r="AT539" s="215">
        <f>+AT537-AT538</f>
        <v>-1807.1999999999998</v>
      </c>
      <c r="AU539" s="215">
        <f>+AU537-AU538</f>
        <v>-2272.2000000000007</v>
      </c>
      <c r="AV539" s="599">
        <f>+SUM(AR539:AU539)</f>
        <v>-5881.2000000000007</v>
      </c>
      <c r="AW539" s="215">
        <f>+AW537-AW538</f>
        <v>-714.30000000000018</v>
      </c>
      <c r="AX539" s="215">
        <f>+AX537-AX538</f>
        <v>-2076.6000000000004</v>
      </c>
      <c r="AY539" s="215">
        <f>+AY537-AY538</f>
        <v>-1665.6000000000004</v>
      </c>
      <c r="AZ539" s="215">
        <f>+AZ537-AZ538</f>
        <v>-2930.1000000000004</v>
      </c>
      <c r="BA539" s="599">
        <f>+SUM(AW539:AZ539)</f>
        <v>-7386.6000000000013</v>
      </c>
      <c r="BB539" s="215">
        <f>+BB537-BB538</f>
        <v>-2545.8000000000011</v>
      </c>
      <c r="BC539" s="215">
        <f>+BC537-BC538</f>
        <v>-2280.3000000000011</v>
      </c>
      <c r="BD539" s="215">
        <f>+BD537-BD538</f>
        <v>-2934.6000000000004</v>
      </c>
      <c r="BE539" s="215">
        <f>+BE537-BE538</f>
        <v>-2663.3999999999996</v>
      </c>
      <c r="BF539" s="599">
        <f>+SUM(BB539:BE539)</f>
        <v>-10424.100000000002</v>
      </c>
      <c r="BG539" s="215">
        <f>+BG537-BG538</f>
        <v>-2275.5</v>
      </c>
      <c r="BH539" s="215">
        <f>+BH537-BH538</f>
        <v>-1280.4000000000005</v>
      </c>
      <c r="BI539" s="215">
        <f>+BI537-BI538</f>
        <v>-1272.9000000000005</v>
      </c>
      <c r="BJ539" s="215">
        <f>+BJ537-BJ538</f>
        <v>-1850.4000000000005</v>
      </c>
      <c r="BK539" s="599">
        <f>+SUM(BG539:BJ539)</f>
        <v>-6679.2000000000016</v>
      </c>
      <c r="BL539" s="215">
        <f>+BL537-BL538</f>
        <v>-1523.1000000000004</v>
      </c>
      <c r="BM539" s="215">
        <f>+BM537-BM538</f>
        <v>-815.70000000000027</v>
      </c>
      <c r="BN539" s="215">
        <f>+BN537-BN538</f>
        <v>-1089.9000000000005</v>
      </c>
      <c r="BO539" s="215">
        <f>+BO537-BO538</f>
        <v>-1322.1000000000004</v>
      </c>
      <c r="BP539" s="599">
        <f>+SUM(BL539:BO539)</f>
        <v>-4750.8000000000011</v>
      </c>
      <c r="BQ539" s="215"/>
      <c r="BR539" s="215"/>
      <c r="BS539" s="215"/>
      <c r="BT539" s="215"/>
      <c r="BU539" s="599">
        <f>+BU537-BU538</f>
        <v>-1049.6999999999998</v>
      </c>
      <c r="BV539" s="215"/>
      <c r="BW539" s="215"/>
      <c r="BX539" s="215"/>
      <c r="BY539" s="215"/>
      <c r="BZ539" s="599"/>
      <c r="CA539" s="599"/>
      <c r="CB539" s="599"/>
      <c r="CC539" s="599"/>
      <c r="CD539" s="599"/>
      <c r="CE539" s="599"/>
      <c r="CF539" s="599"/>
      <c r="CG539" s="599"/>
      <c r="CH539" s="599"/>
      <c r="CI539" s="599"/>
      <c r="CJ539" s="599"/>
      <c r="CK539" s="599"/>
      <c r="CL539" s="599"/>
      <c r="CM539" s="599"/>
      <c r="CN539" s="599"/>
      <c r="CO539" s="599"/>
      <c r="CP539" s="599"/>
      <c r="CQ539" s="599"/>
      <c r="CR539" s="599"/>
      <c r="CS539" s="599"/>
      <c r="CT539" s="599"/>
      <c r="CU539" s="599"/>
      <c r="CV539" s="599"/>
      <c r="CW539" s="599"/>
      <c r="CX539" s="599"/>
      <c r="CY539" s="599"/>
      <c r="CZ539" s="599"/>
      <c r="DA539" s="599"/>
      <c r="DB539"/>
      <c r="DC539"/>
      <c r="DD539" s="2323" t="s">
        <v>1681</v>
      </c>
      <c r="DE539" s="2327">
        <f t="shared" si="1004"/>
        <v>0</v>
      </c>
      <c r="DF539" s="2327">
        <f t="shared" si="1005"/>
        <v>0</v>
      </c>
      <c r="DG539" s="2327">
        <f t="shared" si="1006"/>
        <v>0</v>
      </c>
      <c r="DH539" s="2327">
        <f t="shared" si="1007"/>
        <v>0</v>
      </c>
      <c r="DI539" s="2327">
        <f t="shared" si="1008"/>
        <v>0</v>
      </c>
      <c r="DJ539" s="2327">
        <f t="shared" si="1009"/>
        <v>-4755</v>
      </c>
      <c r="DK539" s="2327">
        <f t="shared" si="1010"/>
        <v>-7578.3</v>
      </c>
      <c r="DL539" s="2327">
        <f t="shared" si="1011"/>
        <v>-5881.2000000000007</v>
      </c>
      <c r="DM539" s="2327">
        <f t="shared" si="1012"/>
        <v>-7386.6000000000013</v>
      </c>
      <c r="DN539" s="2327">
        <f t="shared" si="1013"/>
        <v>-10424.100000000002</v>
      </c>
      <c r="DO539" s="2327">
        <f t="shared" si="1014"/>
        <v>-6679.2000000000016</v>
      </c>
      <c r="DP539" s="2327">
        <f t="shared" si="1015"/>
        <v>-4750.8000000000011</v>
      </c>
      <c r="DQ539" s="2327">
        <f t="shared" si="1016"/>
        <v>-1049.6999999999998</v>
      </c>
      <c r="DR539" s="2327">
        <f t="shared" si="1017"/>
        <v>0</v>
      </c>
      <c r="DS539" s="2327">
        <f t="shared" si="1018"/>
        <v>0</v>
      </c>
      <c r="DT539" s="2327">
        <f t="shared" si="1019"/>
        <v>0</v>
      </c>
      <c r="DU539" s="2327">
        <f t="shared" si="1020"/>
        <v>0</v>
      </c>
      <c r="DV539" s="2327">
        <f t="shared" si="1021"/>
        <v>0</v>
      </c>
      <c r="DW539" s="2327">
        <f t="shared" si="1022"/>
        <v>0</v>
      </c>
      <c r="DX539" s="2327">
        <f t="shared" si="1023"/>
        <v>0</v>
      </c>
      <c r="DY539" s="2327">
        <f t="shared" si="1024"/>
        <v>0</v>
      </c>
      <c r="EA539"/>
      <c r="EB539"/>
      <c r="EC539"/>
      <c r="ED539"/>
      <c r="EE539"/>
      <c r="EF539"/>
      <c r="EJ539"/>
      <c r="EK539"/>
      <c r="EL539"/>
      <c r="ER539" s="212"/>
    </row>
    <row r="540" spans="1:148" s="923" customFormat="1" ht="12.75" hidden="1" customHeight="1" outlineLevel="1" x14ac:dyDescent="0.2">
      <c r="A540" s="865" t="s">
        <v>163</v>
      </c>
      <c r="B540" s="215"/>
      <c r="C540" s="215"/>
      <c r="D540" s="215"/>
      <c r="E540" s="215"/>
      <c r="F540" s="215"/>
      <c r="G540" s="215"/>
      <c r="H540" s="215"/>
      <c r="I540" s="215"/>
      <c r="J540" s="215"/>
      <c r="K540" s="215"/>
      <c r="L540" s="215"/>
      <c r="M540" s="214"/>
      <c r="N540" s="215"/>
      <c r="O540" s="215"/>
      <c r="P540" s="215"/>
      <c r="Q540" s="215"/>
      <c r="R540" s="214"/>
      <c r="S540" s="215"/>
      <c r="T540" s="215"/>
      <c r="U540" s="215"/>
      <c r="V540" s="215"/>
      <c r="W540" s="214"/>
      <c r="X540" s="215"/>
      <c r="Y540" s="215"/>
      <c r="Z540" s="215"/>
      <c r="AA540" s="215"/>
      <c r="AB540" s="214"/>
      <c r="AC540" s="215"/>
      <c r="AD540" s="215"/>
      <c r="AE540" s="215"/>
      <c r="AF540" s="215"/>
      <c r="AG540" s="214"/>
      <c r="AH540" s="215">
        <f>+AH539/AH538</f>
        <v>-0.32397790055248621</v>
      </c>
      <c r="AI540" s="215">
        <f>+AI539/AI538</f>
        <v>-0.15947403910991234</v>
      </c>
      <c r="AJ540" s="215">
        <f>+AJ539/AJ538</f>
        <v>-0.32160804020100503</v>
      </c>
      <c r="AK540" s="215">
        <f>+AK539/AK538</f>
        <v>-0.11354515050167224</v>
      </c>
      <c r="AL540" s="214">
        <f>+AL539/AL538</f>
        <v>-0.22002683818425803</v>
      </c>
      <c r="AM540" s="215">
        <v>-0.3</v>
      </c>
      <c r="AN540" s="215">
        <v>-0.3</v>
      </c>
      <c r="AO540" s="215">
        <v>-0.3</v>
      </c>
      <c r="AP540" s="215">
        <v>-0.3</v>
      </c>
      <c r="AQ540" s="214"/>
      <c r="AR540" s="215">
        <v>-0.3</v>
      </c>
      <c r="AS540" s="215">
        <v>-0.3</v>
      </c>
      <c r="AT540" s="215">
        <v>-0.3</v>
      </c>
      <c r="AU540" s="215">
        <v>-0.3</v>
      </c>
      <c r="AV540" s="214"/>
      <c r="AW540" s="215">
        <v>-0.3</v>
      </c>
      <c r="AX540" s="215">
        <v>-0.3</v>
      </c>
      <c r="AY540" s="215">
        <v>-0.3</v>
      </c>
      <c r="AZ540" s="215">
        <v>-0.3</v>
      </c>
      <c r="BA540" s="214"/>
      <c r="BB540" s="215">
        <v>-0.3</v>
      </c>
      <c r="BC540" s="215">
        <v>-0.3</v>
      </c>
      <c r="BD540" s="215">
        <v>-0.3</v>
      </c>
      <c r="BE540" s="215">
        <v>-0.3</v>
      </c>
      <c r="BF540" s="214"/>
      <c r="BG540" s="215">
        <v>-0.3</v>
      </c>
      <c r="BH540" s="215">
        <v>-0.3</v>
      </c>
      <c r="BI540" s="215">
        <v>-0.3</v>
      </c>
      <c r="BJ540" s="215">
        <v>-0.3</v>
      </c>
      <c r="BK540" s="214"/>
      <c r="BL540" s="215">
        <v>-0.3</v>
      </c>
      <c r="BM540" s="215">
        <v>-0.3</v>
      </c>
      <c r="BN540" s="215">
        <v>-0.3</v>
      </c>
      <c r="BO540" s="215">
        <v>-0.3</v>
      </c>
      <c r="BP540" s="214"/>
      <c r="BQ540" s="215"/>
      <c r="BR540" s="215"/>
      <c r="BS540" s="215"/>
      <c r="BT540" s="215"/>
      <c r="BU540" s="214">
        <v>-0.3</v>
      </c>
      <c r="BV540" s="215"/>
      <c r="BW540" s="215"/>
      <c r="BX540" s="215"/>
      <c r="BY540" s="215"/>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c r="DA540" s="214"/>
      <c r="DB540"/>
      <c r="DC540"/>
      <c r="DD540" s="2323" t="s">
        <v>163</v>
      </c>
      <c r="DE540" s="2327">
        <f t="shared" si="1004"/>
        <v>0</v>
      </c>
      <c r="DF540" s="2327">
        <f t="shared" si="1005"/>
        <v>0</v>
      </c>
      <c r="DG540" s="2327">
        <f t="shared" si="1006"/>
        <v>0</v>
      </c>
      <c r="DH540" s="2327">
        <f t="shared" si="1007"/>
        <v>0</v>
      </c>
      <c r="DI540" s="2327">
        <f t="shared" si="1008"/>
        <v>0</v>
      </c>
      <c r="DJ540" s="2327">
        <f t="shared" si="1009"/>
        <v>-0.22002683818425803</v>
      </c>
      <c r="DK540" s="2327">
        <f t="shared" si="1010"/>
        <v>0</v>
      </c>
      <c r="DL540" s="2327">
        <f t="shared" si="1011"/>
        <v>0</v>
      </c>
      <c r="DM540" s="2327">
        <f t="shared" si="1012"/>
        <v>0</v>
      </c>
      <c r="DN540" s="2327">
        <f t="shared" si="1013"/>
        <v>0</v>
      </c>
      <c r="DO540" s="2327">
        <f t="shared" si="1014"/>
        <v>0</v>
      </c>
      <c r="DP540" s="2327">
        <f t="shared" si="1015"/>
        <v>0</v>
      </c>
      <c r="DQ540" s="2327">
        <f t="shared" si="1016"/>
        <v>-0.3</v>
      </c>
      <c r="DR540" s="2327">
        <f t="shared" si="1017"/>
        <v>0</v>
      </c>
      <c r="DS540" s="2327">
        <f t="shared" si="1018"/>
        <v>0</v>
      </c>
      <c r="DT540" s="2327">
        <f t="shared" si="1019"/>
        <v>0</v>
      </c>
      <c r="DU540" s="2327">
        <f t="shared" si="1020"/>
        <v>0</v>
      </c>
      <c r="DV540" s="2327">
        <f t="shared" si="1021"/>
        <v>0</v>
      </c>
      <c r="DW540" s="2327">
        <f t="shared" si="1022"/>
        <v>0</v>
      </c>
      <c r="DX540" s="2327">
        <f t="shared" si="1023"/>
        <v>0</v>
      </c>
      <c r="DY540" s="2327">
        <f t="shared" si="1024"/>
        <v>0</v>
      </c>
      <c r="EA540"/>
      <c r="EB540"/>
      <c r="EC540"/>
      <c r="ED540"/>
      <c r="EE540"/>
      <c r="EF540"/>
      <c r="EJ540"/>
      <c r="EK540"/>
      <c r="EL540"/>
      <c r="ER540" s="212"/>
    </row>
    <row r="541" spans="1:148" s="923" customFormat="1" ht="12.75" hidden="1" customHeight="1" outlineLevel="1" x14ac:dyDescent="0.2">
      <c r="A541" s="865"/>
      <c r="B541" s="215"/>
      <c r="C541" s="215"/>
      <c r="D541" s="215"/>
      <c r="E541" s="215"/>
      <c r="F541" s="215"/>
      <c r="G541" s="215"/>
      <c r="H541" s="215"/>
      <c r="I541" s="215"/>
      <c r="J541" s="215"/>
      <c r="K541" s="215"/>
      <c r="L541" s="215"/>
      <c r="M541" s="215"/>
      <c r="N541" s="215"/>
      <c r="O541" s="215"/>
      <c r="P541" s="215"/>
      <c r="Q541" s="215"/>
      <c r="R541" s="215"/>
      <c r="S541" s="215"/>
      <c r="T541" s="215"/>
      <c r="U541" s="215"/>
      <c r="V541" s="215"/>
      <c r="W541" s="215"/>
      <c r="X541" s="215"/>
      <c r="Y541" s="215"/>
      <c r="Z541" s="215"/>
      <c r="AA541" s="215"/>
      <c r="AB541" s="215"/>
      <c r="AC541" s="215"/>
      <c r="AD541" s="215"/>
      <c r="AE541" s="215"/>
      <c r="AF541" s="215"/>
      <c r="AG541" s="215"/>
      <c r="AH541" s="215"/>
      <c r="AI541" s="215"/>
      <c r="AJ541" s="215"/>
      <c r="AK541" s="215"/>
      <c r="AL541" s="215"/>
      <c r="AM541" s="215"/>
      <c r="AN541" s="215"/>
      <c r="AO541" s="215"/>
      <c r="AP541" s="215"/>
      <c r="AQ541" s="215"/>
      <c r="AR541" s="215"/>
      <c r="AS541" s="215"/>
      <c r="AT541" s="215"/>
      <c r="AU541" s="215"/>
      <c r="AV541" s="215"/>
      <c r="AW541" s="215"/>
      <c r="AX541" s="215"/>
      <c r="AY541" s="215"/>
      <c r="AZ541" s="215"/>
      <c r="BA541" s="215"/>
      <c r="BB541" s="215"/>
      <c r="BC541" s="215"/>
      <c r="BD541" s="215"/>
      <c r="BE541" s="215"/>
      <c r="BF541" s="215"/>
      <c r="BG541" s="215"/>
      <c r="BH541" s="215"/>
      <c r="BI541" s="215"/>
      <c r="BJ541" s="215"/>
      <c r="BK541" s="215"/>
      <c r="BL541" s="215"/>
      <c r="BM541" s="215"/>
      <c r="BN541" s="215"/>
      <c r="BO541" s="215"/>
      <c r="BP541" s="215"/>
      <c r="BQ541" s="215"/>
      <c r="BR541" s="215"/>
      <c r="BS541" s="215"/>
      <c r="BT541" s="215"/>
      <c r="BU541" s="215"/>
      <c r="BV541" s="215"/>
      <c r="BW541" s="215"/>
      <c r="BX541" s="215"/>
      <c r="BY541" s="215"/>
      <c r="BZ541" s="215"/>
      <c r="CA541" s="215"/>
      <c r="CB541" s="215"/>
      <c r="CC541" s="215"/>
      <c r="CD541" s="215"/>
      <c r="CE541" s="215"/>
      <c r="CF541" s="215"/>
      <c r="CG541" s="215"/>
      <c r="CH541" s="215"/>
      <c r="CI541" s="215"/>
      <c r="CJ541" s="215"/>
      <c r="CK541" s="215"/>
      <c r="CL541" s="215"/>
      <c r="CM541" s="215"/>
      <c r="CN541" s="215"/>
      <c r="CO541" s="215"/>
      <c r="CP541" s="215"/>
      <c r="CQ541" s="215"/>
      <c r="CR541" s="215"/>
      <c r="CS541" s="215"/>
      <c r="CT541" s="215"/>
      <c r="CU541" s="215"/>
      <c r="CV541" s="215"/>
      <c r="CW541" s="215"/>
      <c r="CX541" s="215"/>
      <c r="CY541" s="215"/>
      <c r="CZ541" s="215"/>
      <c r="DA541" s="215"/>
      <c r="DB541"/>
      <c r="DC541"/>
      <c r="DD541" s="2323"/>
      <c r="DE541" s="2327"/>
      <c r="DF541" s="2327"/>
      <c r="DG541" s="2327"/>
      <c r="DH541" s="2327"/>
      <c r="DI541" s="2327"/>
      <c r="DJ541" s="2327"/>
      <c r="DK541" s="2327"/>
      <c r="DL541" s="2327"/>
      <c r="DM541" s="2327"/>
      <c r="DN541" s="2327"/>
      <c r="DO541" s="2327"/>
      <c r="DP541" s="2327"/>
      <c r="DQ541" s="2327"/>
      <c r="DR541" s="2327"/>
      <c r="DS541" s="2327"/>
      <c r="DT541" s="2327"/>
      <c r="DU541" s="2327"/>
      <c r="DV541" s="2327"/>
      <c r="DW541" s="2327"/>
      <c r="DX541" s="2327"/>
      <c r="DY541" s="2327"/>
      <c r="EA541"/>
      <c r="EB541"/>
      <c r="EC541"/>
      <c r="ED541"/>
      <c r="EE541"/>
      <c r="EF541"/>
      <c r="EJ541"/>
      <c r="EK541"/>
      <c r="EL541"/>
      <c r="ER541" s="212"/>
    </row>
    <row r="542" spans="1:148" s="923" customFormat="1" ht="12.75" hidden="1" customHeight="1" outlineLevel="1" x14ac:dyDescent="0.2">
      <c r="A542" s="867" t="s">
        <v>164</v>
      </c>
      <c r="B542" s="215"/>
      <c r="C542" s="215"/>
      <c r="D542" s="215"/>
      <c r="E542" s="215"/>
      <c r="F542" s="215"/>
      <c r="G542" s="215"/>
      <c r="H542" s="215"/>
      <c r="I542" s="215"/>
      <c r="J542" s="215"/>
      <c r="K542" s="215"/>
      <c r="L542" s="215"/>
      <c r="M542" s="215"/>
      <c r="N542" s="215"/>
      <c r="O542" s="215"/>
      <c r="P542" s="215"/>
      <c r="Q542" s="215"/>
      <c r="R542" s="215"/>
      <c r="S542" s="215"/>
      <c r="T542" s="215"/>
      <c r="U542" s="215"/>
      <c r="V542" s="215"/>
      <c r="W542" s="215"/>
      <c r="X542" s="215"/>
      <c r="Y542" s="215"/>
      <c r="Z542" s="215"/>
      <c r="AA542" s="215"/>
      <c r="AB542" s="215"/>
      <c r="AC542" s="215"/>
      <c r="AD542" s="215"/>
      <c r="AE542" s="215"/>
      <c r="AF542" s="215"/>
      <c r="AG542" s="215"/>
      <c r="AH542" s="215"/>
      <c r="AI542" s="215"/>
      <c r="AJ542" s="215"/>
      <c r="AK542" s="215"/>
      <c r="AL542" s="215"/>
      <c r="AM542" s="215"/>
      <c r="AN542" s="215"/>
      <c r="AO542" s="215"/>
      <c r="AP542" s="215"/>
      <c r="AQ542" s="215"/>
      <c r="AR542" s="215"/>
      <c r="AS542" s="215"/>
      <c r="AT542" s="215"/>
      <c r="AU542" s="215"/>
      <c r="AV542" s="215"/>
      <c r="AW542" s="215"/>
      <c r="AX542" s="215"/>
      <c r="AY542" s="215"/>
      <c r="AZ542" s="215"/>
      <c r="BA542" s="215"/>
      <c r="BB542" s="215"/>
      <c r="BC542" s="215"/>
      <c r="BD542" s="215"/>
      <c r="BE542" s="215"/>
      <c r="BF542" s="215"/>
      <c r="BG542" s="215"/>
      <c r="BH542" s="215"/>
      <c r="BI542" s="215"/>
      <c r="BJ542" s="215"/>
      <c r="BK542" s="215"/>
      <c r="BL542" s="215"/>
      <c r="BM542" s="215"/>
      <c r="BN542" s="215"/>
      <c r="BO542" s="215"/>
      <c r="BP542" s="215"/>
      <c r="BQ542" s="215"/>
      <c r="BR542" s="215"/>
      <c r="BS542" s="215"/>
      <c r="BT542" s="215"/>
      <c r="BU542" s="215"/>
      <c r="BV542" s="215"/>
      <c r="BW542" s="215"/>
      <c r="BX542" s="215"/>
      <c r="BY542" s="215"/>
      <c r="BZ542" s="215"/>
      <c r="CA542" s="215"/>
      <c r="CB542" s="215"/>
      <c r="CC542" s="215"/>
      <c r="CD542" s="215"/>
      <c r="CE542" s="215"/>
      <c r="CF542" s="215"/>
      <c r="CG542" s="215"/>
      <c r="CH542" s="215"/>
      <c r="CI542" s="215"/>
      <c r="CJ542" s="215"/>
      <c r="CK542" s="215"/>
      <c r="CL542" s="215"/>
      <c r="CM542" s="215"/>
      <c r="CN542" s="215"/>
      <c r="CO542" s="215"/>
      <c r="CP542" s="215"/>
      <c r="CQ542" s="215"/>
      <c r="CR542" s="215"/>
      <c r="CS542" s="215"/>
      <c r="CT542" s="215"/>
      <c r="CU542" s="215"/>
      <c r="CV542" s="215"/>
      <c r="CW542" s="215"/>
      <c r="CX542" s="215"/>
      <c r="CY542" s="215"/>
      <c r="CZ542" s="215"/>
      <c r="DA542" s="215"/>
      <c r="DB542"/>
      <c r="DC542"/>
      <c r="DD542" s="867" t="s">
        <v>164</v>
      </c>
      <c r="DE542" s="2327"/>
      <c r="DF542" s="2327"/>
      <c r="DG542" s="2327"/>
      <c r="DH542" s="2327"/>
      <c r="DI542" s="2327"/>
      <c r="DJ542" s="2327"/>
      <c r="DK542" s="2327"/>
      <c r="DL542" s="2327"/>
      <c r="DM542" s="2327"/>
      <c r="DN542" s="2327"/>
      <c r="DO542" s="2327"/>
      <c r="DP542" s="2327"/>
      <c r="DQ542" s="2327"/>
      <c r="DR542" s="2327"/>
      <c r="DS542" s="2327"/>
      <c r="DT542" s="2327"/>
      <c r="DU542" s="2327"/>
      <c r="DV542" s="2327"/>
      <c r="DW542" s="2327"/>
      <c r="DX542" s="2327"/>
      <c r="DY542" s="2327"/>
      <c r="EA542"/>
      <c r="EB542"/>
      <c r="EC542"/>
      <c r="ED542"/>
      <c r="EE542"/>
      <c r="EF542"/>
      <c r="EJ542"/>
      <c r="EK542"/>
      <c r="EL542"/>
      <c r="ER542" s="212"/>
    </row>
    <row r="543" spans="1:148" s="923" customFormat="1" ht="12.75" hidden="1" customHeight="1" outlineLevel="1" x14ac:dyDescent="0.2">
      <c r="A543" s="865" t="s">
        <v>165</v>
      </c>
      <c r="B543" s="215"/>
      <c r="C543" s="215"/>
      <c r="D543" s="215"/>
      <c r="E543" s="215"/>
      <c r="F543" s="215"/>
      <c r="G543" s="215"/>
      <c r="H543" s="215"/>
      <c r="I543" s="215">
        <v>6</v>
      </c>
      <c r="J543" s="215">
        <v>7</v>
      </c>
      <c r="K543" s="215">
        <v>8</v>
      </c>
      <c r="L543" s="215">
        <f>33-K543-J543-I543</f>
        <v>12</v>
      </c>
      <c r="M543" s="215">
        <f>SUM(I543:L543)</f>
        <v>33</v>
      </c>
      <c r="N543" s="215">
        <v>8</v>
      </c>
      <c r="O543" s="215">
        <v>8</v>
      </c>
      <c r="P543" s="215">
        <v>8</v>
      </c>
      <c r="Q543" s="215">
        <f>35-P543-O543-N543</f>
        <v>11</v>
      </c>
      <c r="R543" s="215">
        <f>SUM(N543:Q543)</f>
        <v>35</v>
      </c>
      <c r="S543" s="215">
        <v>8</v>
      </c>
      <c r="T543" s="215">
        <v>9</v>
      </c>
      <c r="U543" s="215">
        <v>8</v>
      </c>
      <c r="V543" s="215"/>
      <c r="W543" s="215">
        <f>SUM(S543:V543)</f>
        <v>25</v>
      </c>
      <c r="X543" s="215"/>
      <c r="Y543" s="215"/>
      <c r="Z543" s="215"/>
      <c r="AA543" s="215"/>
      <c r="AB543" s="215">
        <f>SUM(X543:AA543)</f>
        <v>0</v>
      </c>
      <c r="AC543" s="215"/>
      <c r="AD543" s="215"/>
      <c r="AE543" s="215"/>
      <c r="AF543" s="215"/>
      <c r="AG543" s="215">
        <f>SUM(AC543:AF543)</f>
        <v>0</v>
      </c>
      <c r="AH543" s="215"/>
      <c r="AI543" s="215"/>
      <c r="AJ543" s="215"/>
      <c r="AK543" s="215"/>
      <c r="AL543" s="215">
        <f>SUM(AH543:AK543)</f>
        <v>0</v>
      </c>
      <c r="AM543" s="215"/>
      <c r="AN543" s="215"/>
      <c r="AO543" s="215"/>
      <c r="AP543" s="215"/>
      <c r="AQ543" s="215">
        <f>SUM(AM543:AP543)</f>
        <v>0</v>
      </c>
      <c r="AR543" s="215"/>
      <c r="AS543" s="215"/>
      <c r="AT543" s="215"/>
      <c r="AU543" s="215"/>
      <c r="AV543" s="215">
        <f>SUM(AR543:AU543)</f>
        <v>0</v>
      </c>
      <c r="AW543" s="215"/>
      <c r="AX543" s="215"/>
      <c r="AY543" s="215"/>
      <c r="AZ543" s="215"/>
      <c r="BA543" s="215">
        <f>SUM(AW543:AZ543)</f>
        <v>0</v>
      </c>
      <c r="BB543" s="215"/>
      <c r="BC543" s="215"/>
      <c r="BD543" s="215"/>
      <c r="BE543" s="215"/>
      <c r="BF543" s="215">
        <f>SUM(BB543:BE543)</f>
        <v>0</v>
      </c>
      <c r="BG543" s="215"/>
      <c r="BH543" s="215"/>
      <c r="BI543" s="215"/>
      <c r="BJ543" s="215"/>
      <c r="BK543" s="215">
        <f>SUM(BG543:BJ543)</f>
        <v>0</v>
      </c>
      <c r="BL543" s="215"/>
      <c r="BM543" s="215"/>
      <c r="BN543" s="215"/>
      <c r="BO543" s="215"/>
      <c r="BP543" s="215">
        <f>SUM(BL543:BO543)</f>
        <v>0</v>
      </c>
      <c r="BQ543" s="215"/>
      <c r="BR543" s="215"/>
      <c r="BS543" s="215"/>
      <c r="BT543" s="215"/>
      <c r="BU543" s="215"/>
      <c r="BV543" s="215"/>
      <c r="BW543" s="215"/>
      <c r="BX543" s="215"/>
      <c r="BY543" s="215"/>
      <c r="BZ543" s="215"/>
      <c r="CA543" s="215"/>
      <c r="CB543" s="215"/>
      <c r="CC543" s="215"/>
      <c r="CD543" s="215"/>
      <c r="CE543" s="215"/>
      <c r="CF543" s="215"/>
      <c r="CG543" s="215"/>
      <c r="CH543" s="215"/>
      <c r="CI543" s="215"/>
      <c r="CJ543" s="215"/>
      <c r="CK543" s="215"/>
      <c r="CL543" s="215"/>
      <c r="CM543" s="215"/>
      <c r="CN543" s="215"/>
      <c r="CO543" s="215"/>
      <c r="CP543" s="215"/>
      <c r="CQ543" s="215"/>
      <c r="CR543" s="215"/>
      <c r="CS543" s="215"/>
      <c r="CT543" s="215"/>
      <c r="CU543" s="215"/>
      <c r="CV543" s="215"/>
      <c r="CW543" s="215"/>
      <c r="CX543" s="215"/>
      <c r="CY543" s="215"/>
      <c r="CZ543" s="215"/>
      <c r="DA543" s="215"/>
      <c r="DB543"/>
      <c r="DC543"/>
      <c r="DD543" s="2323" t="s">
        <v>165</v>
      </c>
      <c r="DE543" s="2327">
        <f>M543</f>
        <v>33</v>
      </c>
      <c r="DF543" s="2327">
        <f>R543</f>
        <v>35</v>
      </c>
      <c r="DG543" s="2327">
        <f>W543</f>
        <v>25</v>
      </c>
      <c r="DH543" s="2327">
        <f>AB543</f>
        <v>0</v>
      </c>
      <c r="DI543" s="2327">
        <f>AG543</f>
        <v>0</v>
      </c>
      <c r="DJ543" s="2327">
        <f>AL543</f>
        <v>0</v>
      </c>
      <c r="DK543" s="2327">
        <f>AQ543</f>
        <v>0</v>
      </c>
      <c r="DL543" s="2327">
        <f>AV543</f>
        <v>0</v>
      </c>
      <c r="DM543" s="2327">
        <f>BA543</f>
        <v>0</v>
      </c>
      <c r="DN543" s="2327">
        <f>BF543</f>
        <v>0</v>
      </c>
      <c r="DO543" s="2327">
        <f>BK543</f>
        <v>0</v>
      </c>
      <c r="DP543" s="2327">
        <f>BP543</f>
        <v>0</v>
      </c>
      <c r="DQ543" s="2327">
        <f>BU543</f>
        <v>0</v>
      </c>
      <c r="DR543" s="2327">
        <f>BZ543</f>
        <v>0</v>
      </c>
      <c r="DS543" s="2327">
        <f>CE543</f>
        <v>0</v>
      </c>
      <c r="DT543" s="2327">
        <f>CJ543</f>
        <v>0</v>
      </c>
      <c r="DU543" s="2327">
        <f>CO543</f>
        <v>0</v>
      </c>
      <c r="DV543" s="2327">
        <f>CT543</f>
        <v>0</v>
      </c>
      <c r="DW543" s="2327">
        <f t="shared" ref="DW543:DY546" si="1026">CY543</f>
        <v>0</v>
      </c>
      <c r="DX543" s="2327">
        <f t="shared" si="1026"/>
        <v>0</v>
      </c>
      <c r="DY543" s="2327">
        <f t="shared" si="1026"/>
        <v>0</v>
      </c>
      <c r="EA543"/>
      <c r="EB543"/>
      <c r="EC543"/>
      <c r="ED543"/>
      <c r="EE543"/>
      <c r="EF543"/>
      <c r="EJ543"/>
      <c r="EK543"/>
      <c r="EL543"/>
      <c r="ER543" s="212"/>
    </row>
    <row r="544" spans="1:148" s="923" customFormat="1" ht="12.75" hidden="1" customHeight="1" outlineLevel="1" x14ac:dyDescent="0.2">
      <c r="A544" s="865" t="s">
        <v>166</v>
      </c>
      <c r="B544" s="215"/>
      <c r="C544" s="215"/>
      <c r="D544" s="215"/>
      <c r="E544" s="215"/>
      <c r="F544" s="215"/>
      <c r="G544" s="215"/>
      <c r="H544" s="215"/>
      <c r="I544" s="215">
        <f>+I543-I545</f>
        <v>6</v>
      </c>
      <c r="J544" s="215">
        <f>+J543-J545</f>
        <v>7</v>
      </c>
      <c r="K544" s="215">
        <f>+K543-K545</f>
        <v>8</v>
      </c>
      <c r="L544" s="215">
        <f>+L543-L545</f>
        <v>12</v>
      </c>
      <c r="M544" s="215">
        <f>SUM(I544:L544)</f>
        <v>33</v>
      </c>
      <c r="N544" s="215">
        <f>+N543-N545</f>
        <v>8</v>
      </c>
      <c r="O544" s="215">
        <f>+O543-O545</f>
        <v>8</v>
      </c>
      <c r="P544" s="215">
        <f>+P543-P545</f>
        <v>8</v>
      </c>
      <c r="Q544" s="215">
        <f>+Q543-Q545</f>
        <v>11</v>
      </c>
      <c r="R544" s="215">
        <f>SUM(N544:Q544)</f>
        <v>35</v>
      </c>
      <c r="S544" s="215">
        <f>+S543-S545</f>
        <v>8</v>
      </c>
      <c r="T544" s="215">
        <f>+T543-T545</f>
        <v>9</v>
      </c>
      <c r="U544" s="215">
        <f>+U543-U545</f>
        <v>8</v>
      </c>
      <c r="V544" s="215"/>
      <c r="W544" s="215">
        <f>SUM(S544:V544)</f>
        <v>25</v>
      </c>
      <c r="X544" s="215"/>
      <c r="Y544" s="215"/>
      <c r="Z544" s="215"/>
      <c r="AA544" s="215"/>
      <c r="AB544" s="215">
        <f>SUM(X544:AA544)</f>
        <v>0</v>
      </c>
      <c r="AC544" s="215"/>
      <c r="AD544" s="215"/>
      <c r="AE544" s="215"/>
      <c r="AF544" s="215"/>
      <c r="AG544" s="215">
        <f>SUM(AC544:AF544)</f>
        <v>0</v>
      </c>
      <c r="AH544" s="215"/>
      <c r="AI544" s="215"/>
      <c r="AJ544" s="215"/>
      <c r="AK544" s="215"/>
      <c r="AL544" s="215">
        <f>SUM(AH544:AK544)</f>
        <v>0</v>
      </c>
      <c r="AM544" s="215"/>
      <c r="AN544" s="215"/>
      <c r="AO544" s="215"/>
      <c r="AP544" s="215"/>
      <c r="AQ544" s="215">
        <f>SUM(AM544:AP544)</f>
        <v>0</v>
      </c>
      <c r="AR544" s="215"/>
      <c r="AS544" s="215"/>
      <c r="AT544" s="215"/>
      <c r="AU544" s="215"/>
      <c r="AV544" s="215">
        <f>SUM(AR544:AU544)</f>
        <v>0</v>
      </c>
      <c r="AW544" s="215"/>
      <c r="AX544" s="215"/>
      <c r="AY544" s="215"/>
      <c r="AZ544" s="215"/>
      <c r="BA544" s="215">
        <f>SUM(AW544:AZ544)</f>
        <v>0</v>
      </c>
      <c r="BB544" s="215"/>
      <c r="BC544" s="215"/>
      <c r="BD544" s="215"/>
      <c r="BE544" s="215"/>
      <c r="BF544" s="215">
        <f>SUM(BB544:BE544)</f>
        <v>0</v>
      </c>
      <c r="BG544" s="215"/>
      <c r="BH544" s="215"/>
      <c r="BI544" s="215"/>
      <c r="BJ544" s="215"/>
      <c r="BK544" s="215">
        <f>SUM(BG544:BJ544)</f>
        <v>0</v>
      </c>
      <c r="BL544" s="215"/>
      <c r="BM544" s="215"/>
      <c r="BN544" s="215"/>
      <c r="BO544" s="215"/>
      <c r="BP544" s="215">
        <f>SUM(BL544:BO544)</f>
        <v>0</v>
      </c>
      <c r="BQ544" s="215"/>
      <c r="BR544" s="215"/>
      <c r="BS544" s="215"/>
      <c r="BT544" s="215"/>
      <c r="BU544" s="215"/>
      <c r="BV544" s="215"/>
      <c r="BW544" s="215"/>
      <c r="BX544" s="215"/>
      <c r="BY544" s="215"/>
      <c r="BZ544" s="215"/>
      <c r="CA544" s="215"/>
      <c r="CB544" s="215"/>
      <c r="CC544" s="215"/>
      <c r="CD544" s="215"/>
      <c r="CE544" s="215"/>
      <c r="CF544" s="215"/>
      <c r="CG544" s="215"/>
      <c r="CH544" s="215"/>
      <c r="CI544" s="215"/>
      <c r="CJ544" s="215"/>
      <c r="CK544" s="215"/>
      <c r="CL544" s="215"/>
      <c r="CM544" s="215"/>
      <c r="CN544" s="215"/>
      <c r="CO544" s="215"/>
      <c r="CP544" s="215"/>
      <c r="CQ544" s="215"/>
      <c r="CR544" s="215"/>
      <c r="CS544" s="215"/>
      <c r="CT544" s="215"/>
      <c r="CU544" s="215"/>
      <c r="CV544" s="215"/>
      <c r="CW544" s="215"/>
      <c r="CX544" s="215"/>
      <c r="CY544" s="215"/>
      <c r="CZ544" s="215"/>
      <c r="DA544" s="215"/>
      <c r="DB544"/>
      <c r="DC544"/>
      <c r="DD544" s="2323" t="s">
        <v>166</v>
      </c>
      <c r="DE544" s="2327">
        <f>M544</f>
        <v>33</v>
      </c>
      <c r="DF544" s="2327">
        <f>R544</f>
        <v>35</v>
      </c>
      <c r="DG544" s="2327">
        <f>W544</f>
        <v>25</v>
      </c>
      <c r="DH544" s="2327">
        <f>AB544</f>
        <v>0</v>
      </c>
      <c r="DI544" s="2327">
        <f>AG544</f>
        <v>0</v>
      </c>
      <c r="DJ544" s="2327">
        <f>AL544</f>
        <v>0</v>
      </c>
      <c r="DK544" s="2327">
        <f>AQ544</f>
        <v>0</v>
      </c>
      <c r="DL544" s="2327">
        <f>AV544</f>
        <v>0</v>
      </c>
      <c r="DM544" s="2327">
        <f>BA544</f>
        <v>0</v>
      </c>
      <c r="DN544" s="2327">
        <f>BF544</f>
        <v>0</v>
      </c>
      <c r="DO544" s="2327">
        <f>BK544</f>
        <v>0</v>
      </c>
      <c r="DP544" s="2327">
        <f>BP544</f>
        <v>0</v>
      </c>
      <c r="DQ544" s="2327">
        <f>BU544</f>
        <v>0</v>
      </c>
      <c r="DR544" s="2327">
        <f>BZ544</f>
        <v>0</v>
      </c>
      <c r="DS544" s="2327">
        <f>CE544</f>
        <v>0</v>
      </c>
      <c r="DT544" s="2327">
        <f>CJ544</f>
        <v>0</v>
      </c>
      <c r="DU544" s="2327">
        <f>CO544</f>
        <v>0</v>
      </c>
      <c r="DV544" s="2327">
        <f>CT544</f>
        <v>0</v>
      </c>
      <c r="DW544" s="2327">
        <f t="shared" si="1026"/>
        <v>0</v>
      </c>
      <c r="DX544" s="2327">
        <f t="shared" si="1026"/>
        <v>0</v>
      </c>
      <c r="DY544" s="2327">
        <f t="shared" si="1026"/>
        <v>0</v>
      </c>
      <c r="EA544"/>
      <c r="EB544"/>
      <c r="EC544"/>
      <c r="ED544"/>
      <c r="EE544"/>
      <c r="EF544"/>
      <c r="EJ544"/>
      <c r="EK544"/>
      <c r="EL544"/>
      <c r="ER544" s="212"/>
    </row>
    <row r="545" spans="1:148" s="923" customFormat="1" ht="12.75" hidden="1" customHeight="1" outlineLevel="1" x14ac:dyDescent="0.2">
      <c r="A545" s="865" t="s">
        <v>167</v>
      </c>
      <c r="B545" s="215"/>
      <c r="C545" s="215"/>
      <c r="D545" s="215"/>
      <c r="E545" s="215"/>
      <c r="F545" s="215"/>
      <c r="G545" s="215"/>
      <c r="H545" s="215"/>
      <c r="I545" s="215">
        <v>0</v>
      </c>
      <c r="J545" s="215">
        <v>0</v>
      </c>
      <c r="K545" s="215">
        <v>0</v>
      </c>
      <c r="L545" s="215">
        <v>0</v>
      </c>
      <c r="M545" s="215">
        <f>SUM(I545:L545)</f>
        <v>0</v>
      </c>
      <c r="N545" s="215">
        <v>0</v>
      </c>
      <c r="O545" s="215">
        <v>0</v>
      </c>
      <c r="P545" s="215">
        <v>0</v>
      </c>
      <c r="Q545" s="215">
        <v>0</v>
      </c>
      <c r="R545" s="215">
        <f>SUM(N545:Q545)</f>
        <v>0</v>
      </c>
      <c r="S545" s="215">
        <v>0</v>
      </c>
      <c r="T545" s="215">
        <v>0</v>
      </c>
      <c r="U545" s="215">
        <v>0</v>
      </c>
      <c r="V545" s="215"/>
      <c r="W545" s="215">
        <f>SUM(S545:V545)</f>
        <v>0</v>
      </c>
      <c r="X545" s="215"/>
      <c r="Y545" s="215"/>
      <c r="Z545" s="215"/>
      <c r="AA545" s="215"/>
      <c r="AB545" s="215">
        <f>SUM(X545:AA545)</f>
        <v>0</v>
      </c>
      <c r="AC545" s="215"/>
      <c r="AD545" s="215"/>
      <c r="AE545" s="215"/>
      <c r="AF545" s="215"/>
      <c r="AG545" s="215">
        <f>SUM(AC545:AF545)</f>
        <v>0</v>
      </c>
      <c r="AH545" s="215"/>
      <c r="AI545" s="215"/>
      <c r="AJ545" s="215"/>
      <c r="AK545" s="215"/>
      <c r="AL545" s="215">
        <f>SUM(AH545:AK545)</f>
        <v>0</v>
      </c>
      <c r="AM545" s="215"/>
      <c r="AN545" s="215"/>
      <c r="AO545" s="215"/>
      <c r="AP545" s="215"/>
      <c r="AQ545" s="215">
        <f>SUM(AM545:AP545)</f>
        <v>0</v>
      </c>
      <c r="AR545" s="215"/>
      <c r="AS545" s="215"/>
      <c r="AT545" s="215"/>
      <c r="AU545" s="215"/>
      <c r="AV545" s="215">
        <f>SUM(AR545:AU545)</f>
        <v>0</v>
      </c>
      <c r="AW545" s="215"/>
      <c r="AX545" s="215"/>
      <c r="AY545" s="215"/>
      <c r="AZ545" s="215"/>
      <c r="BA545" s="215">
        <f>SUM(AW545:AZ545)</f>
        <v>0</v>
      </c>
      <c r="BB545" s="215"/>
      <c r="BC545" s="215"/>
      <c r="BD545" s="215"/>
      <c r="BE545" s="215"/>
      <c r="BF545" s="215">
        <f>SUM(BB545:BE545)</f>
        <v>0</v>
      </c>
      <c r="BG545" s="215"/>
      <c r="BH545" s="215"/>
      <c r="BI545" s="215"/>
      <c r="BJ545" s="215"/>
      <c r="BK545" s="215">
        <f>SUM(BG545:BJ545)</f>
        <v>0</v>
      </c>
      <c r="BL545" s="215"/>
      <c r="BM545" s="215"/>
      <c r="BN545" s="215"/>
      <c r="BO545" s="215"/>
      <c r="BP545" s="215">
        <f>SUM(BL545:BO545)</f>
        <v>0</v>
      </c>
      <c r="BQ545" s="215"/>
      <c r="BR545" s="215"/>
      <c r="BS545" s="215"/>
      <c r="BT545" s="215"/>
      <c r="BU545" s="215"/>
      <c r="BV545" s="215"/>
      <c r="BW545" s="215"/>
      <c r="BX545" s="215"/>
      <c r="BY545" s="215"/>
      <c r="BZ545" s="215"/>
      <c r="CA545" s="215"/>
      <c r="CB545" s="215"/>
      <c r="CC545" s="215"/>
      <c r="CD545" s="215"/>
      <c r="CE545" s="215"/>
      <c r="CF545" s="215"/>
      <c r="CG545" s="215"/>
      <c r="CH545" s="215"/>
      <c r="CI545" s="215"/>
      <c r="CJ545" s="215"/>
      <c r="CK545" s="215"/>
      <c r="CL545" s="215"/>
      <c r="CM545" s="215"/>
      <c r="CN545" s="215"/>
      <c r="CO545" s="215"/>
      <c r="CP545" s="215"/>
      <c r="CQ545" s="215"/>
      <c r="CR545" s="215"/>
      <c r="CS545" s="215"/>
      <c r="CT545" s="215"/>
      <c r="CU545" s="215"/>
      <c r="CV545" s="215"/>
      <c r="CW545" s="215"/>
      <c r="CX545" s="215"/>
      <c r="CY545" s="215"/>
      <c r="CZ545" s="215"/>
      <c r="DA545" s="215"/>
      <c r="DB545"/>
      <c r="DC545"/>
      <c r="DD545" s="2323" t="s">
        <v>167</v>
      </c>
      <c r="DE545" s="2327">
        <f>M545</f>
        <v>0</v>
      </c>
      <c r="DF545" s="2327">
        <f>R545</f>
        <v>0</v>
      </c>
      <c r="DG545" s="2327">
        <f>W545</f>
        <v>0</v>
      </c>
      <c r="DH545" s="2327">
        <f>AB545</f>
        <v>0</v>
      </c>
      <c r="DI545" s="2327">
        <f>AG545</f>
        <v>0</v>
      </c>
      <c r="DJ545" s="2327">
        <f>AL545</f>
        <v>0</v>
      </c>
      <c r="DK545" s="2327">
        <f>AQ545</f>
        <v>0</v>
      </c>
      <c r="DL545" s="2327">
        <f>AV545</f>
        <v>0</v>
      </c>
      <c r="DM545" s="2327">
        <f>BA545</f>
        <v>0</v>
      </c>
      <c r="DN545" s="2327">
        <f>BF545</f>
        <v>0</v>
      </c>
      <c r="DO545" s="2327">
        <f>BK545</f>
        <v>0</v>
      </c>
      <c r="DP545" s="2327">
        <f>BP545</f>
        <v>0</v>
      </c>
      <c r="DQ545" s="2327">
        <f>BU545</f>
        <v>0</v>
      </c>
      <c r="DR545" s="2327">
        <f>BZ545</f>
        <v>0</v>
      </c>
      <c r="DS545" s="2327">
        <f>CE545</f>
        <v>0</v>
      </c>
      <c r="DT545" s="2327">
        <f>CJ545</f>
        <v>0</v>
      </c>
      <c r="DU545" s="2327">
        <f>CO545</f>
        <v>0</v>
      </c>
      <c r="DV545" s="2327">
        <f>CT545</f>
        <v>0</v>
      </c>
      <c r="DW545" s="2327">
        <f t="shared" si="1026"/>
        <v>0</v>
      </c>
      <c r="DX545" s="2327">
        <f t="shared" si="1026"/>
        <v>0</v>
      </c>
      <c r="DY545" s="2327">
        <f t="shared" si="1026"/>
        <v>0</v>
      </c>
      <c r="EA545"/>
      <c r="EB545"/>
      <c r="EC545"/>
      <c r="ED545"/>
      <c r="EE545"/>
      <c r="EF545"/>
      <c r="EJ545"/>
      <c r="EK545"/>
      <c r="EL545"/>
      <c r="ER545" s="212"/>
    </row>
    <row r="546" spans="1:148" s="923" customFormat="1" ht="12.75" hidden="1" customHeight="1" outlineLevel="1" x14ac:dyDescent="0.2">
      <c r="A546" s="865" t="s">
        <v>1931</v>
      </c>
      <c r="B546" s="215"/>
      <c r="C546" s="215"/>
      <c r="D546" s="215"/>
      <c r="E546" s="215"/>
      <c r="F546" s="215"/>
      <c r="G546" s="215"/>
      <c r="H546" s="215"/>
      <c r="I546" s="215">
        <v>74</v>
      </c>
      <c r="J546" s="215">
        <v>68</v>
      </c>
      <c r="K546" s="215">
        <v>64</v>
      </c>
      <c r="L546" s="215">
        <f>300-K546-J546-I546</f>
        <v>94</v>
      </c>
      <c r="M546" s="215">
        <f>SUM(I546:L546)</f>
        <v>300</v>
      </c>
      <c r="N546" s="215">
        <v>76</v>
      </c>
      <c r="O546" s="215">
        <v>75</v>
      </c>
      <c r="P546" s="215">
        <v>74</v>
      </c>
      <c r="Q546" s="215">
        <f>332-P546-O546-N546</f>
        <v>107</v>
      </c>
      <c r="R546" s="215">
        <f>SUM(N546:Q546)</f>
        <v>332</v>
      </c>
      <c r="S546" s="215">
        <v>82</v>
      </c>
      <c r="T546" s="215">
        <v>77</v>
      </c>
      <c r="U546" s="215">
        <v>77</v>
      </c>
      <c r="V546" s="215"/>
      <c r="W546" s="215">
        <f>SUM(S546:V546)</f>
        <v>236</v>
      </c>
      <c r="X546" s="215"/>
      <c r="Y546" s="215"/>
      <c r="Z546" s="215"/>
      <c r="AA546" s="215"/>
      <c r="AB546" s="215">
        <f>SUM(X546:AA546)</f>
        <v>0</v>
      </c>
      <c r="AC546" s="215"/>
      <c r="AD546" s="215"/>
      <c r="AE546" s="215"/>
      <c r="AF546" s="215"/>
      <c r="AG546" s="215">
        <f>SUM(AC546:AF546)</f>
        <v>0</v>
      </c>
      <c r="AH546" s="215"/>
      <c r="AI546" s="215"/>
      <c r="AJ546" s="215"/>
      <c r="AK546" s="215"/>
      <c r="AL546" s="215">
        <f>SUM(AH546:AK546)</f>
        <v>0</v>
      </c>
      <c r="AM546" s="215"/>
      <c r="AN546" s="215"/>
      <c r="AO546" s="215"/>
      <c r="AP546" s="215"/>
      <c r="AQ546" s="215">
        <f>SUM(AM546:AP546)</f>
        <v>0</v>
      </c>
      <c r="AR546" s="215"/>
      <c r="AS546" s="215"/>
      <c r="AT546" s="215"/>
      <c r="AU546" s="215"/>
      <c r="AV546" s="215">
        <f>SUM(AR546:AU546)</f>
        <v>0</v>
      </c>
      <c r="AW546" s="215"/>
      <c r="AX546" s="215"/>
      <c r="AY546" s="215"/>
      <c r="AZ546" s="215"/>
      <c r="BA546" s="215">
        <f>SUM(AW546:AZ546)</f>
        <v>0</v>
      </c>
      <c r="BB546" s="215"/>
      <c r="BC546" s="215"/>
      <c r="BD546" s="215"/>
      <c r="BE546" s="215"/>
      <c r="BF546" s="215">
        <f>SUM(BB546:BE546)</f>
        <v>0</v>
      </c>
      <c r="BG546" s="215"/>
      <c r="BH546" s="215"/>
      <c r="BI546" s="215"/>
      <c r="BJ546" s="215"/>
      <c r="BK546" s="215">
        <f>SUM(BG546:BJ546)</f>
        <v>0</v>
      </c>
      <c r="BL546" s="215"/>
      <c r="BM546" s="215"/>
      <c r="BN546" s="215"/>
      <c r="BO546" s="215"/>
      <c r="BP546" s="215">
        <f>SUM(BL546:BO546)</f>
        <v>0</v>
      </c>
      <c r="BQ546" s="215"/>
      <c r="BR546" s="215"/>
      <c r="BS546" s="215"/>
      <c r="BT546" s="215"/>
      <c r="BU546" s="215"/>
      <c r="BV546" s="215"/>
      <c r="BW546" s="215"/>
      <c r="BX546" s="215"/>
      <c r="BY546" s="215"/>
      <c r="BZ546" s="215"/>
      <c r="CA546" s="215"/>
      <c r="CB546" s="215"/>
      <c r="CC546" s="215"/>
      <c r="CD546" s="215"/>
      <c r="CE546" s="215"/>
      <c r="CF546" s="215"/>
      <c r="CG546" s="215"/>
      <c r="CH546" s="215"/>
      <c r="CI546" s="215"/>
      <c r="CJ546" s="215"/>
      <c r="CK546" s="215"/>
      <c r="CL546" s="215"/>
      <c r="CM546" s="215"/>
      <c r="CN546" s="215"/>
      <c r="CO546" s="215"/>
      <c r="CP546" s="215"/>
      <c r="CQ546" s="215"/>
      <c r="CR546" s="215"/>
      <c r="CS546" s="215"/>
      <c r="CT546" s="215"/>
      <c r="CU546" s="215"/>
      <c r="CV546" s="215"/>
      <c r="CW546" s="215"/>
      <c r="CX546" s="215"/>
      <c r="CY546" s="215"/>
      <c r="CZ546" s="215"/>
      <c r="DA546" s="215"/>
      <c r="DB546"/>
      <c r="DC546"/>
      <c r="DD546" s="2323" t="s">
        <v>1931</v>
      </c>
      <c r="DE546" s="2327">
        <f>M546</f>
        <v>300</v>
      </c>
      <c r="DF546" s="2327">
        <f>R546</f>
        <v>332</v>
      </c>
      <c r="DG546" s="2327">
        <f>W546</f>
        <v>236</v>
      </c>
      <c r="DH546" s="2327">
        <f>AB546</f>
        <v>0</v>
      </c>
      <c r="DI546" s="2327">
        <f>AG546</f>
        <v>0</v>
      </c>
      <c r="DJ546" s="2327">
        <f>AL546</f>
        <v>0</v>
      </c>
      <c r="DK546" s="2327">
        <f>AQ546</f>
        <v>0</v>
      </c>
      <c r="DL546" s="2327">
        <f>AV546</f>
        <v>0</v>
      </c>
      <c r="DM546" s="2327">
        <f>BA546</f>
        <v>0</v>
      </c>
      <c r="DN546" s="2327">
        <f>BF546</f>
        <v>0</v>
      </c>
      <c r="DO546" s="2327">
        <f>BK546</f>
        <v>0</v>
      </c>
      <c r="DP546" s="2327">
        <f>BP546</f>
        <v>0</v>
      </c>
      <c r="DQ546" s="2327">
        <f>BU546</f>
        <v>0</v>
      </c>
      <c r="DR546" s="2327">
        <f>BZ546</f>
        <v>0</v>
      </c>
      <c r="DS546" s="2327">
        <f>CE546</f>
        <v>0</v>
      </c>
      <c r="DT546" s="2327">
        <f>CJ546</f>
        <v>0</v>
      </c>
      <c r="DU546" s="2327">
        <f>CO546</f>
        <v>0</v>
      </c>
      <c r="DV546" s="2327">
        <f>CT546</f>
        <v>0</v>
      </c>
      <c r="DW546" s="2327">
        <f t="shared" si="1026"/>
        <v>0</v>
      </c>
      <c r="DX546" s="2327">
        <f t="shared" si="1026"/>
        <v>0</v>
      </c>
      <c r="DY546" s="2327">
        <f t="shared" si="1026"/>
        <v>0</v>
      </c>
      <c r="EA546"/>
      <c r="EB546"/>
      <c r="EC546"/>
      <c r="ED546"/>
      <c r="EE546"/>
      <c r="EF546"/>
      <c r="EJ546"/>
      <c r="EK546"/>
      <c r="EL546"/>
      <c r="ER546" s="212"/>
    </row>
    <row r="547" spans="1:148" s="923" customFormat="1" ht="4.5" hidden="1" customHeight="1" outlineLevel="1" x14ac:dyDescent="0.2">
      <c r="A547" s="865"/>
      <c r="B547" s="220"/>
      <c r="C547" s="220"/>
      <c r="D547" s="220"/>
      <c r="E547" s="220"/>
      <c r="F547" s="220"/>
      <c r="G547" s="220"/>
      <c r="H547" s="220"/>
      <c r="I547" s="220" t="s">
        <v>1328</v>
      </c>
      <c r="J547" s="220" t="s">
        <v>1328</v>
      </c>
      <c r="K547" s="220" t="s">
        <v>1328</v>
      </c>
      <c r="L547" s="220" t="s">
        <v>1328</v>
      </c>
      <c r="M547" s="220" t="s">
        <v>1328</v>
      </c>
      <c r="N547" s="220" t="s">
        <v>1328</v>
      </c>
      <c r="O547" s="220" t="s">
        <v>1328</v>
      </c>
      <c r="P547" s="220" t="s">
        <v>1328</v>
      </c>
      <c r="Q547" s="220" t="s">
        <v>1328</v>
      </c>
      <c r="R547" s="220" t="s">
        <v>1328</v>
      </c>
      <c r="S547" s="220" t="s">
        <v>1328</v>
      </c>
      <c r="T547" s="220" t="s">
        <v>1328</v>
      </c>
      <c r="U547" s="220" t="s">
        <v>1328</v>
      </c>
      <c r="V547" s="220" t="s">
        <v>1328</v>
      </c>
      <c r="W547" s="220" t="s">
        <v>1328</v>
      </c>
      <c r="X547" s="220" t="s">
        <v>1328</v>
      </c>
      <c r="Y547" s="220" t="s">
        <v>1328</v>
      </c>
      <c r="Z547" s="220" t="s">
        <v>1328</v>
      </c>
      <c r="AA547" s="220" t="s">
        <v>1328</v>
      </c>
      <c r="AB547" s="220" t="s">
        <v>1328</v>
      </c>
      <c r="AC547" s="220" t="s">
        <v>1328</v>
      </c>
      <c r="AD547" s="220" t="s">
        <v>1328</v>
      </c>
      <c r="AE547" s="220" t="s">
        <v>1328</v>
      </c>
      <c r="AF547" s="220" t="s">
        <v>1328</v>
      </c>
      <c r="AG547" s="220" t="s">
        <v>1328</v>
      </c>
      <c r="AH547" s="220" t="s">
        <v>1328</v>
      </c>
      <c r="AI547" s="220" t="s">
        <v>1328</v>
      </c>
      <c r="AJ547" s="220" t="s">
        <v>1328</v>
      </c>
      <c r="AK547" s="220" t="s">
        <v>1328</v>
      </c>
      <c r="AL547" s="220" t="s">
        <v>1328</v>
      </c>
      <c r="AM547" s="220" t="s">
        <v>1328</v>
      </c>
      <c r="AN547" s="220" t="s">
        <v>1328</v>
      </c>
      <c r="AO547" s="220" t="s">
        <v>1328</v>
      </c>
      <c r="AP547" s="220" t="s">
        <v>1328</v>
      </c>
      <c r="AQ547" s="220" t="s">
        <v>1328</v>
      </c>
      <c r="AR547" s="220" t="s">
        <v>1328</v>
      </c>
      <c r="AS547" s="220" t="s">
        <v>1328</v>
      </c>
      <c r="AT547" s="220" t="s">
        <v>1328</v>
      </c>
      <c r="AU547" s="220" t="s">
        <v>1328</v>
      </c>
      <c r="AV547" s="220" t="s">
        <v>1328</v>
      </c>
      <c r="AW547" s="220" t="s">
        <v>1328</v>
      </c>
      <c r="AX547" s="220" t="s">
        <v>1328</v>
      </c>
      <c r="AY547" s="220" t="s">
        <v>1328</v>
      </c>
      <c r="AZ547" s="220" t="s">
        <v>1328</v>
      </c>
      <c r="BA547" s="220" t="s">
        <v>1328</v>
      </c>
      <c r="BB547" s="220" t="s">
        <v>1328</v>
      </c>
      <c r="BC547" s="220" t="s">
        <v>1328</v>
      </c>
      <c r="BD547" s="220" t="s">
        <v>1328</v>
      </c>
      <c r="BE547" s="220" t="s">
        <v>1328</v>
      </c>
      <c r="BF547" s="220" t="s">
        <v>1328</v>
      </c>
      <c r="BG547" s="220" t="s">
        <v>1328</v>
      </c>
      <c r="BH547" s="220" t="s">
        <v>1328</v>
      </c>
      <c r="BI547" s="220" t="s">
        <v>1328</v>
      </c>
      <c r="BJ547" s="220" t="s">
        <v>1328</v>
      </c>
      <c r="BK547" s="220" t="s">
        <v>1328</v>
      </c>
      <c r="BL547" s="220" t="s">
        <v>1328</v>
      </c>
      <c r="BM547" s="220" t="s">
        <v>1328</v>
      </c>
      <c r="BN547" s="220" t="s">
        <v>1328</v>
      </c>
      <c r="BO547" s="220" t="s">
        <v>1328</v>
      </c>
      <c r="BP547" s="220" t="s">
        <v>1328</v>
      </c>
      <c r="BQ547" s="220"/>
      <c r="BR547" s="220"/>
      <c r="BS547" s="220"/>
      <c r="BT547" s="220"/>
      <c r="BU547" s="220" t="s">
        <v>1328</v>
      </c>
      <c r="BV547" s="220"/>
      <c r="BW547" s="220"/>
      <c r="BX547" s="220"/>
      <c r="BY547" s="220"/>
      <c r="BZ547" s="220"/>
      <c r="CA547" s="220"/>
      <c r="CB547" s="220"/>
      <c r="CC547" s="220"/>
      <c r="CD547" s="220"/>
      <c r="CE547" s="220"/>
      <c r="CF547" s="220"/>
      <c r="CG547" s="220"/>
      <c r="CH547" s="220"/>
      <c r="CI547" s="220"/>
      <c r="CJ547" s="220"/>
      <c r="CK547" s="220"/>
      <c r="CL547" s="220"/>
      <c r="CM547" s="220"/>
      <c r="CN547" s="220"/>
      <c r="CO547" s="220"/>
      <c r="CP547" s="220"/>
      <c r="CQ547" s="220"/>
      <c r="CR547" s="220"/>
      <c r="CS547" s="220"/>
      <c r="CT547" s="220"/>
      <c r="CU547" s="220"/>
      <c r="CV547" s="220"/>
      <c r="CW547" s="220"/>
      <c r="CX547" s="220"/>
      <c r="CY547" s="220"/>
      <c r="CZ547" s="220"/>
      <c r="DA547" s="220"/>
      <c r="DB547"/>
      <c r="DC547"/>
      <c r="DD547" s="2323"/>
      <c r="DE547" s="2324"/>
      <c r="DF547" s="2324"/>
      <c r="DG547" s="2324"/>
      <c r="DH547" s="2324"/>
      <c r="DI547" s="2324"/>
      <c r="DJ547" s="2324"/>
      <c r="DK547" s="2324"/>
      <c r="DL547" s="2324"/>
      <c r="DM547" s="2324"/>
      <c r="DN547" s="2324"/>
      <c r="DO547" s="2324"/>
      <c r="DP547" s="2324"/>
      <c r="DQ547" s="2324"/>
      <c r="DR547" s="2324"/>
      <c r="DS547" s="2324"/>
      <c r="DT547" s="2324"/>
      <c r="DU547" s="2324"/>
      <c r="DV547" s="2324"/>
      <c r="DW547" s="2324"/>
      <c r="DX547" s="2324"/>
      <c r="DY547" s="2324"/>
      <c r="EA547"/>
      <c r="EB547"/>
      <c r="EC547"/>
      <c r="ED547"/>
      <c r="EE547"/>
      <c r="EF547"/>
      <c r="EJ547"/>
      <c r="EK547"/>
      <c r="EL547"/>
      <c r="ER547" s="212"/>
    </row>
    <row r="548" spans="1:148" s="923" customFormat="1" ht="12.75" hidden="1" customHeight="1" outlineLevel="1" x14ac:dyDescent="0.2">
      <c r="A548" s="865" t="s">
        <v>1614</v>
      </c>
      <c r="B548" s="215"/>
      <c r="C548" s="215"/>
      <c r="D548" s="215"/>
      <c r="E548" s="215"/>
      <c r="F548" s="215"/>
      <c r="G548" s="215"/>
      <c r="H548" s="215"/>
      <c r="I548" s="215">
        <v>80</v>
      </c>
      <c r="J548" s="215">
        <v>75</v>
      </c>
      <c r="K548" s="215">
        <v>72</v>
      </c>
      <c r="L548" s="215">
        <v>106</v>
      </c>
      <c r="M548" s="223">
        <f>SUM(I548:L548)</f>
        <v>333</v>
      </c>
      <c r="N548" s="215">
        <v>84</v>
      </c>
      <c r="O548" s="215">
        <v>83</v>
      </c>
      <c r="P548" s="215">
        <v>82</v>
      </c>
      <c r="Q548" s="215">
        <v>118</v>
      </c>
      <c r="R548" s="223">
        <f>SUM(N548:Q548)</f>
        <v>367</v>
      </c>
      <c r="S548" s="215">
        <v>90</v>
      </c>
      <c r="T548" s="215">
        <v>86</v>
      </c>
      <c r="U548" s="215">
        <v>85</v>
      </c>
      <c r="V548" s="215">
        <v>0</v>
      </c>
      <c r="W548" s="223">
        <f>SUM(S548:V548)</f>
        <v>261</v>
      </c>
      <c r="X548" s="215">
        <v>0</v>
      </c>
      <c r="Y548" s="215">
        <v>0</v>
      </c>
      <c r="Z548" s="215">
        <v>0</v>
      </c>
      <c r="AA548" s="215">
        <v>0</v>
      </c>
      <c r="AB548" s="223">
        <f>SUM(X548:AA548)</f>
        <v>0</v>
      </c>
      <c r="AC548" s="215">
        <v>0</v>
      </c>
      <c r="AD548" s="215">
        <v>0</v>
      </c>
      <c r="AE548" s="215">
        <v>0</v>
      </c>
      <c r="AF548" s="215">
        <v>0</v>
      </c>
      <c r="AG548" s="223">
        <f>SUM(AC548:AF548)</f>
        <v>0</v>
      </c>
      <c r="AH548" s="215">
        <v>0</v>
      </c>
      <c r="AI548" s="215">
        <v>0</v>
      </c>
      <c r="AJ548" s="215">
        <v>0</v>
      </c>
      <c r="AK548" s="215">
        <v>0</v>
      </c>
      <c r="AL548" s="223">
        <f>SUM(AH548:AK548)</f>
        <v>0</v>
      </c>
      <c r="AM548" s="215">
        <v>0</v>
      </c>
      <c r="AN548" s="215">
        <v>0</v>
      </c>
      <c r="AO548" s="215">
        <v>0</v>
      </c>
      <c r="AP548" s="215">
        <v>0</v>
      </c>
      <c r="AQ548" s="223">
        <f>SUM(AM548:AP548)</f>
        <v>0</v>
      </c>
      <c r="AR548" s="215">
        <v>0</v>
      </c>
      <c r="AS548" s="215">
        <v>0</v>
      </c>
      <c r="AT548" s="215">
        <v>0</v>
      </c>
      <c r="AU548" s="215">
        <v>0</v>
      </c>
      <c r="AV548" s="223">
        <f>SUM(AR548:AU548)</f>
        <v>0</v>
      </c>
      <c r="AW548" s="215">
        <v>0</v>
      </c>
      <c r="AX548" s="215">
        <v>0</v>
      </c>
      <c r="AY548" s="215">
        <v>0</v>
      </c>
      <c r="AZ548" s="215">
        <v>0</v>
      </c>
      <c r="BA548" s="223">
        <f>SUM(AW548:AZ548)</f>
        <v>0</v>
      </c>
      <c r="BB548" s="215">
        <v>0</v>
      </c>
      <c r="BC548" s="215">
        <v>0</v>
      </c>
      <c r="BD548" s="215">
        <v>0</v>
      </c>
      <c r="BE548" s="215">
        <v>0</v>
      </c>
      <c r="BF548" s="223">
        <f>SUM(BB548:BE548)</f>
        <v>0</v>
      </c>
      <c r="BG548" s="215">
        <v>0</v>
      </c>
      <c r="BH548" s="215">
        <v>0</v>
      </c>
      <c r="BI548" s="215">
        <v>0</v>
      </c>
      <c r="BJ548" s="215">
        <v>0</v>
      </c>
      <c r="BK548" s="223">
        <f>SUM(BG548:BJ548)</f>
        <v>0</v>
      </c>
      <c r="BL548" s="215">
        <v>0</v>
      </c>
      <c r="BM548" s="215">
        <v>0</v>
      </c>
      <c r="BN548" s="215">
        <v>0</v>
      </c>
      <c r="BO548" s="215">
        <v>0</v>
      </c>
      <c r="BP548" s="223">
        <f>SUM(BL548:BO548)</f>
        <v>0</v>
      </c>
      <c r="BQ548" s="215"/>
      <c r="BR548" s="215"/>
      <c r="BS548" s="215"/>
      <c r="BT548" s="215"/>
      <c r="BU548" s="223">
        <v>0</v>
      </c>
      <c r="BV548" s="215"/>
      <c r="BW548" s="215"/>
      <c r="BX548" s="215"/>
      <c r="BY548" s="215"/>
      <c r="BZ548" s="223"/>
      <c r="CA548" s="223"/>
      <c r="CB548" s="223"/>
      <c r="CC548" s="223"/>
      <c r="CD548" s="223"/>
      <c r="CE548" s="223"/>
      <c r="CF548" s="223"/>
      <c r="CG548" s="223"/>
      <c r="CH548" s="223"/>
      <c r="CI548" s="223"/>
      <c r="CJ548" s="223"/>
      <c r="CK548" s="223"/>
      <c r="CL548" s="223"/>
      <c r="CM548" s="223"/>
      <c r="CN548" s="223"/>
      <c r="CO548" s="223"/>
      <c r="CP548" s="223"/>
      <c r="CQ548" s="223"/>
      <c r="CR548" s="223"/>
      <c r="CS548" s="223"/>
      <c r="CT548" s="223"/>
      <c r="CU548" s="223"/>
      <c r="CV548" s="223"/>
      <c r="CW548" s="223"/>
      <c r="CX548" s="223"/>
      <c r="CY548" s="223"/>
      <c r="CZ548" s="223"/>
      <c r="DA548" s="223"/>
      <c r="DB548"/>
      <c r="DC548"/>
      <c r="DD548" s="2323" t="s">
        <v>1614</v>
      </c>
      <c r="DE548" s="2327">
        <f>M548</f>
        <v>333</v>
      </c>
      <c r="DF548" s="2327">
        <f>R548</f>
        <v>367</v>
      </c>
      <c r="DG548" s="2327">
        <f>W548</f>
        <v>261</v>
      </c>
      <c r="DH548" s="2327">
        <f>AB548</f>
        <v>0</v>
      </c>
      <c r="DI548" s="2327">
        <f>AG548</f>
        <v>0</v>
      </c>
      <c r="DJ548" s="2327">
        <f>AL548</f>
        <v>0</v>
      </c>
      <c r="DK548" s="2327">
        <f>AQ548</f>
        <v>0</v>
      </c>
      <c r="DL548" s="2327">
        <f>AV548</f>
        <v>0</v>
      </c>
      <c r="DM548" s="2327">
        <f>BA548</f>
        <v>0</v>
      </c>
      <c r="DN548" s="2327">
        <f>BF548</f>
        <v>0</v>
      </c>
      <c r="DO548" s="2327">
        <f>BK548</f>
        <v>0</v>
      </c>
      <c r="DP548" s="2327">
        <f>BP548</f>
        <v>0</v>
      </c>
      <c r="DQ548" s="2327">
        <f>BU548</f>
        <v>0</v>
      </c>
      <c r="DR548" s="2327">
        <f>BZ548</f>
        <v>0</v>
      </c>
      <c r="DS548" s="2327">
        <f>CE548</f>
        <v>0</v>
      </c>
      <c r="DT548" s="2327">
        <f>CJ548</f>
        <v>0</v>
      </c>
      <c r="DU548" s="2327">
        <f>CO548</f>
        <v>0</v>
      </c>
      <c r="DV548" s="2327">
        <f>CT548</f>
        <v>0</v>
      </c>
      <c r="DW548" s="2327">
        <f t="shared" ref="DW548:DY549" si="1027">CY548</f>
        <v>0</v>
      </c>
      <c r="DX548" s="2327">
        <f t="shared" si="1027"/>
        <v>0</v>
      </c>
      <c r="DY548" s="2327">
        <f t="shared" si="1027"/>
        <v>0</v>
      </c>
      <c r="EA548"/>
      <c r="EB548"/>
      <c r="EC548"/>
      <c r="ED548"/>
      <c r="EE548"/>
      <c r="EF548"/>
      <c r="EJ548"/>
      <c r="EK548"/>
      <c r="EL548"/>
      <c r="ER548" s="212"/>
    </row>
    <row r="549" spans="1:148" s="923" customFormat="1" ht="12.75" hidden="1" customHeight="1" outlineLevel="1" x14ac:dyDescent="0.2">
      <c r="A549" s="865" t="s">
        <v>2245</v>
      </c>
      <c r="B549" s="954"/>
      <c r="C549" s="954"/>
      <c r="D549" s="954"/>
      <c r="E549" s="954"/>
      <c r="F549" s="954"/>
      <c r="G549" s="954"/>
      <c r="H549" s="954"/>
      <c r="I549" s="954"/>
      <c r="J549" s="954"/>
      <c r="K549" s="954"/>
      <c r="L549" s="954"/>
      <c r="M549" s="215"/>
      <c r="N549" s="954">
        <f t="shared" ref="N549:U549" si="1028">+N548/I548-1</f>
        <v>5.0000000000000044E-2</v>
      </c>
      <c r="O549" s="954">
        <f t="shared" si="1028"/>
        <v>0.10666666666666669</v>
      </c>
      <c r="P549" s="954">
        <f t="shared" si="1028"/>
        <v>0.13888888888888884</v>
      </c>
      <c r="Q549" s="954">
        <f t="shared" si="1028"/>
        <v>0.1132075471698113</v>
      </c>
      <c r="R549" s="215">
        <f t="shared" si="1028"/>
        <v>0.10210210210210202</v>
      </c>
      <c r="S549" s="954">
        <f t="shared" si="1028"/>
        <v>7.1428571428571397E-2</v>
      </c>
      <c r="T549" s="954">
        <f t="shared" si="1028"/>
        <v>3.6144578313253017E-2</v>
      </c>
      <c r="U549" s="954">
        <f t="shared" si="1028"/>
        <v>3.6585365853658569E-2</v>
      </c>
      <c r="V549" s="954">
        <v>0</v>
      </c>
      <c r="W549" s="215">
        <f>+W548/R548-1</f>
        <v>-0.28882833787465945</v>
      </c>
      <c r="X549" s="954">
        <v>0</v>
      </c>
      <c r="Y549" s="954">
        <v>0</v>
      </c>
      <c r="Z549" s="954">
        <v>0</v>
      </c>
      <c r="AA549" s="954">
        <v>0</v>
      </c>
      <c r="AB549" s="215">
        <f>+AB548/W548-1</f>
        <v>-1</v>
      </c>
      <c r="AC549" s="954"/>
      <c r="AD549" s="954"/>
      <c r="AE549" s="954"/>
      <c r="AF549" s="954"/>
      <c r="AG549" s="215"/>
      <c r="AH549" s="954"/>
      <c r="AI549" s="954"/>
      <c r="AJ549" s="954"/>
      <c r="AK549" s="954"/>
      <c r="AL549" s="215"/>
      <c r="AM549" s="954"/>
      <c r="AN549" s="954"/>
      <c r="AO549" s="954"/>
      <c r="AP549" s="954"/>
      <c r="AQ549" s="215" t="s">
        <v>1666</v>
      </c>
      <c r="AR549" s="954"/>
      <c r="AS549" s="954"/>
      <c r="AT549" s="954"/>
      <c r="AU549" s="954"/>
      <c r="AV549" s="215" t="s">
        <v>1666</v>
      </c>
      <c r="AW549" s="954"/>
      <c r="AX549" s="954"/>
      <c r="AY549" s="954"/>
      <c r="AZ549" s="954"/>
      <c r="BA549" s="215" t="s">
        <v>1666</v>
      </c>
      <c r="BB549" s="954"/>
      <c r="BC549" s="954"/>
      <c r="BD549" s="954"/>
      <c r="BE549" s="954"/>
      <c r="BF549" s="215" t="s">
        <v>1666</v>
      </c>
      <c r="BG549" s="954"/>
      <c r="BH549" s="954"/>
      <c r="BI549" s="954"/>
      <c r="BJ549" s="954"/>
      <c r="BK549" s="215" t="s">
        <v>1666</v>
      </c>
      <c r="BL549" s="954"/>
      <c r="BM549" s="954"/>
      <c r="BN549" s="954"/>
      <c r="BO549" s="954"/>
      <c r="BP549" s="215" t="s">
        <v>1666</v>
      </c>
      <c r="BQ549" s="954"/>
      <c r="BR549" s="954"/>
      <c r="BS549" s="954"/>
      <c r="BT549" s="954"/>
      <c r="BU549" s="215"/>
      <c r="BV549" s="954"/>
      <c r="BW549" s="954"/>
      <c r="BX549" s="954"/>
      <c r="BY549" s="954"/>
      <c r="BZ549" s="215"/>
      <c r="CA549" s="215"/>
      <c r="CB549" s="215"/>
      <c r="CC549" s="215"/>
      <c r="CD549" s="215"/>
      <c r="CE549" s="215"/>
      <c r="CF549" s="215"/>
      <c r="CG549" s="215"/>
      <c r="CH549" s="215"/>
      <c r="CI549" s="215"/>
      <c r="CJ549" s="215"/>
      <c r="CK549" s="215"/>
      <c r="CL549" s="215"/>
      <c r="CM549" s="215"/>
      <c r="CN549" s="215"/>
      <c r="CO549" s="215"/>
      <c r="CP549" s="215"/>
      <c r="CQ549" s="215"/>
      <c r="CR549" s="215"/>
      <c r="CS549" s="215"/>
      <c r="CT549" s="215"/>
      <c r="CU549" s="215"/>
      <c r="CV549" s="215"/>
      <c r="CW549" s="215"/>
      <c r="CX549" s="215"/>
      <c r="CY549" s="215"/>
      <c r="CZ549" s="215"/>
      <c r="DA549" s="215"/>
      <c r="DB549"/>
      <c r="DC549"/>
      <c r="DD549" s="2323" t="s">
        <v>2245</v>
      </c>
      <c r="DE549" s="2327">
        <f>M549</f>
        <v>0</v>
      </c>
      <c r="DF549" s="2327">
        <f>R549</f>
        <v>0.10210210210210202</v>
      </c>
      <c r="DG549" s="2327">
        <f>W549</f>
        <v>-0.28882833787465945</v>
      </c>
      <c r="DH549" s="2327">
        <f>AB549</f>
        <v>-1</v>
      </c>
      <c r="DI549" s="2327">
        <f>AG549</f>
        <v>0</v>
      </c>
      <c r="DJ549" s="2327">
        <f>AL549</f>
        <v>0</v>
      </c>
      <c r="DK549" s="2327" t="str">
        <f>AQ549</f>
        <v>N.M.</v>
      </c>
      <c r="DL549" s="2327" t="str">
        <f>AV549</f>
        <v>N.M.</v>
      </c>
      <c r="DM549" s="2327" t="str">
        <f>BA549</f>
        <v>N.M.</v>
      </c>
      <c r="DN549" s="2327" t="str">
        <f>BF549</f>
        <v>N.M.</v>
      </c>
      <c r="DO549" s="2327" t="str">
        <f>BK549</f>
        <v>N.M.</v>
      </c>
      <c r="DP549" s="2327" t="str">
        <f>BP549</f>
        <v>N.M.</v>
      </c>
      <c r="DQ549" s="2327">
        <f>BU549</f>
        <v>0</v>
      </c>
      <c r="DR549" s="2327">
        <f>BZ549</f>
        <v>0</v>
      </c>
      <c r="DS549" s="2327">
        <f>CE549</f>
        <v>0</v>
      </c>
      <c r="DT549" s="2327">
        <f>CJ549</f>
        <v>0</v>
      </c>
      <c r="DU549" s="2327">
        <f>CO549</f>
        <v>0</v>
      </c>
      <c r="DV549" s="2327">
        <f>CT549</f>
        <v>0</v>
      </c>
      <c r="DW549" s="2327">
        <f t="shared" si="1027"/>
        <v>0</v>
      </c>
      <c r="DX549" s="2327">
        <f t="shared" si="1027"/>
        <v>0</v>
      </c>
      <c r="DY549" s="2327">
        <f t="shared" si="1027"/>
        <v>0</v>
      </c>
      <c r="EA549"/>
      <c r="EB549"/>
      <c r="EC549"/>
      <c r="ED549"/>
      <c r="EE549"/>
      <c r="EF549"/>
      <c r="EJ549"/>
      <c r="EK549"/>
      <c r="EL549"/>
      <c r="ER549" s="212"/>
    </row>
    <row r="550" spans="1:148" s="923" customFormat="1" ht="12.75" hidden="1" customHeight="1" outlineLevel="1" x14ac:dyDescent="0.2">
      <c r="A550" s="865"/>
      <c r="B550" s="215"/>
      <c r="C550" s="215"/>
      <c r="D550" s="215"/>
      <c r="E550" s="215"/>
      <c r="F550" s="215"/>
      <c r="G550" s="215"/>
      <c r="H550" s="215"/>
      <c r="I550" s="215"/>
      <c r="J550" s="215"/>
      <c r="K550" s="215"/>
      <c r="L550" s="215"/>
      <c r="M550" s="215"/>
      <c r="N550" s="215"/>
      <c r="O550" s="215"/>
      <c r="P550" s="215"/>
      <c r="Q550" s="215"/>
      <c r="R550" s="215"/>
      <c r="S550" s="215"/>
      <c r="T550" s="215"/>
      <c r="U550" s="215"/>
      <c r="V550" s="215"/>
      <c r="W550" s="215"/>
      <c r="X550" s="215"/>
      <c r="Y550" s="215"/>
      <c r="Z550" s="215"/>
      <c r="AA550" s="215"/>
      <c r="AB550" s="215"/>
      <c r="AC550" s="215"/>
      <c r="AD550" s="215"/>
      <c r="AE550" s="215"/>
      <c r="AF550" s="215"/>
      <c r="AG550" s="215"/>
      <c r="AH550" s="215"/>
      <c r="AI550" s="215"/>
      <c r="AJ550" s="215"/>
      <c r="AK550" s="215"/>
      <c r="AL550" s="215"/>
      <c r="AM550" s="215"/>
      <c r="AN550" s="215"/>
      <c r="AO550" s="215"/>
      <c r="AP550" s="215"/>
      <c r="AQ550" s="215"/>
      <c r="AR550" s="215"/>
      <c r="AS550" s="215"/>
      <c r="AT550" s="215"/>
      <c r="AU550" s="215"/>
      <c r="AV550" s="215"/>
      <c r="AW550" s="215"/>
      <c r="AX550" s="215"/>
      <c r="AY550" s="215"/>
      <c r="AZ550" s="215"/>
      <c r="BA550" s="215"/>
      <c r="BB550" s="215"/>
      <c r="BC550" s="215"/>
      <c r="BD550" s="215"/>
      <c r="BE550" s="215"/>
      <c r="BF550" s="215"/>
      <c r="BG550" s="215"/>
      <c r="BH550" s="215"/>
      <c r="BI550" s="215"/>
      <c r="BJ550" s="215"/>
      <c r="BK550" s="215"/>
      <c r="BL550" s="215"/>
      <c r="BM550" s="215"/>
      <c r="BN550" s="215"/>
      <c r="BO550" s="215"/>
      <c r="BP550" s="215"/>
      <c r="BQ550" s="215"/>
      <c r="BR550" s="215"/>
      <c r="BS550" s="215"/>
      <c r="BT550" s="215"/>
      <c r="BU550" s="215"/>
      <c r="BV550" s="215"/>
      <c r="BW550" s="215"/>
      <c r="BX550" s="215"/>
      <c r="BY550" s="215"/>
      <c r="BZ550" s="215"/>
      <c r="CA550" s="215"/>
      <c r="CB550" s="215"/>
      <c r="CC550" s="215"/>
      <c r="CD550" s="215"/>
      <c r="CE550" s="215"/>
      <c r="CF550" s="215"/>
      <c r="CG550" s="215"/>
      <c r="CH550" s="215"/>
      <c r="CI550" s="215"/>
      <c r="CJ550" s="215"/>
      <c r="CK550" s="215"/>
      <c r="CL550" s="215"/>
      <c r="CM550" s="215"/>
      <c r="CN550" s="215"/>
      <c r="CO550" s="215"/>
      <c r="CP550" s="215"/>
      <c r="CQ550" s="215"/>
      <c r="CR550" s="215"/>
      <c r="CS550" s="215"/>
      <c r="CT550" s="215"/>
      <c r="CU550" s="215"/>
      <c r="CV550" s="215"/>
      <c r="CW550" s="215"/>
      <c r="CX550" s="215"/>
      <c r="CY550" s="215"/>
      <c r="CZ550" s="215"/>
      <c r="DA550" s="215"/>
      <c r="DB550"/>
      <c r="DC550"/>
      <c r="DD550" s="2323"/>
      <c r="DE550" s="2327"/>
      <c r="DF550" s="2327"/>
      <c r="DG550" s="2327"/>
      <c r="DH550" s="2327"/>
      <c r="DI550" s="2327"/>
      <c r="DJ550" s="2327"/>
      <c r="DK550" s="2327"/>
      <c r="DL550" s="2327"/>
      <c r="DM550" s="2327"/>
      <c r="DN550" s="2327"/>
      <c r="DO550" s="2327"/>
      <c r="DP550" s="2327"/>
      <c r="DQ550" s="2327"/>
      <c r="DR550" s="2327"/>
      <c r="DS550" s="2327"/>
      <c r="DT550" s="2327"/>
      <c r="DU550" s="2327"/>
      <c r="DV550" s="2327"/>
      <c r="DW550" s="2327"/>
      <c r="DX550" s="2327"/>
      <c r="DY550" s="2327"/>
      <c r="EA550"/>
      <c r="EB550"/>
      <c r="EC550"/>
      <c r="ED550"/>
      <c r="EE550"/>
      <c r="EF550"/>
      <c r="EJ550"/>
      <c r="EK550"/>
      <c r="EL550"/>
      <c r="ER550" s="212"/>
    </row>
    <row r="551" spans="1:148" s="923" customFormat="1" ht="12.75" hidden="1" customHeight="1" outlineLevel="1" x14ac:dyDescent="0.2">
      <c r="A551" s="865" t="s">
        <v>706</v>
      </c>
      <c r="B551" s="215"/>
      <c r="C551" s="215"/>
      <c r="D551" s="215"/>
      <c r="E551" s="215"/>
      <c r="F551" s="215"/>
      <c r="G551" s="215"/>
      <c r="H551" s="215"/>
      <c r="I551" s="215"/>
      <c r="J551" s="215"/>
      <c r="K551" s="215"/>
      <c r="L551" s="215"/>
      <c r="M551" s="215"/>
      <c r="N551" s="215"/>
      <c r="O551" s="215"/>
      <c r="P551" s="215"/>
      <c r="Q551" s="215"/>
      <c r="R551" s="215"/>
      <c r="S551" s="215"/>
      <c r="T551" s="215"/>
      <c r="U551" s="215"/>
      <c r="V551" s="215"/>
      <c r="W551" s="215"/>
      <c r="X551" s="215"/>
      <c r="Y551" s="215"/>
      <c r="Z551" s="215"/>
      <c r="AA551" s="215"/>
      <c r="AB551" s="215"/>
      <c r="AC551" s="215"/>
      <c r="AD551" s="215"/>
      <c r="AE551" s="215"/>
      <c r="AF551" s="215"/>
      <c r="AG551" s="215"/>
      <c r="AH551" s="215"/>
      <c r="AI551" s="215"/>
      <c r="AJ551" s="215"/>
      <c r="AK551" s="215"/>
      <c r="AL551" s="215"/>
      <c r="AM551" s="215"/>
      <c r="AN551" s="215"/>
      <c r="AO551" s="215"/>
      <c r="AP551" s="215"/>
      <c r="AQ551" s="215"/>
      <c r="AR551" s="215"/>
      <c r="AS551" s="215"/>
      <c r="AT551" s="215"/>
      <c r="AU551" s="215"/>
      <c r="AV551" s="215"/>
      <c r="AW551" s="215"/>
      <c r="AX551" s="215"/>
      <c r="AY551" s="215"/>
      <c r="AZ551" s="215"/>
      <c r="BA551" s="215"/>
      <c r="BB551" s="215"/>
      <c r="BC551" s="215"/>
      <c r="BD551" s="215"/>
      <c r="BE551" s="215"/>
      <c r="BF551" s="215"/>
      <c r="BG551" s="215"/>
      <c r="BH551" s="215"/>
      <c r="BI551" s="215"/>
      <c r="BJ551" s="215"/>
      <c r="BK551" s="215"/>
      <c r="BL551" s="215"/>
      <c r="BM551" s="215"/>
      <c r="BN551" s="215"/>
      <c r="BO551" s="215"/>
      <c r="BP551" s="215"/>
      <c r="BQ551" s="215"/>
      <c r="BR551" s="215"/>
      <c r="BS551" s="215"/>
      <c r="BT551" s="215"/>
      <c r="BU551" s="215"/>
      <c r="BV551" s="215"/>
      <c r="BW551" s="215"/>
      <c r="BX551" s="215"/>
      <c r="BY551" s="215"/>
      <c r="BZ551" s="215"/>
      <c r="CA551" s="215"/>
      <c r="CB551" s="215"/>
      <c r="CC551" s="215"/>
      <c r="CD551" s="215"/>
      <c r="CE551" s="215"/>
      <c r="CF551" s="215"/>
      <c r="CG551" s="215"/>
      <c r="CH551" s="215"/>
      <c r="CI551" s="215"/>
      <c r="CJ551" s="215"/>
      <c r="CK551" s="215"/>
      <c r="CL551" s="215"/>
      <c r="CM551" s="215"/>
      <c r="CN551" s="215"/>
      <c r="CO551" s="215"/>
      <c r="CP551" s="215"/>
      <c r="CQ551" s="215"/>
      <c r="CR551" s="215"/>
      <c r="CS551" s="215"/>
      <c r="CT551" s="215"/>
      <c r="CU551" s="215"/>
      <c r="CV551" s="215"/>
      <c r="CW551" s="215"/>
      <c r="CX551" s="215"/>
      <c r="CY551" s="215"/>
      <c r="CZ551" s="215"/>
      <c r="DA551" s="215"/>
      <c r="DB551"/>
      <c r="DC551"/>
      <c r="DD551" s="2323" t="s">
        <v>706</v>
      </c>
      <c r="DE551" s="2327">
        <f>M551</f>
        <v>0</v>
      </c>
      <c r="DF551" s="2327">
        <f>R551</f>
        <v>0</v>
      </c>
      <c r="DG551" s="2327">
        <f>W551</f>
        <v>0</v>
      </c>
      <c r="DH551" s="2327">
        <f>AB551</f>
        <v>0</v>
      </c>
      <c r="DI551" s="2327">
        <f>AG551</f>
        <v>0</v>
      </c>
      <c r="DJ551" s="2327">
        <f>AL551</f>
        <v>0</v>
      </c>
      <c r="DK551" s="2327">
        <f>AQ551</f>
        <v>0</v>
      </c>
      <c r="DL551" s="2327">
        <f>AV551</f>
        <v>0</v>
      </c>
      <c r="DM551" s="2327">
        <f>BA551</f>
        <v>0</v>
      </c>
      <c r="DN551" s="2327">
        <f>BF551</f>
        <v>0</v>
      </c>
      <c r="DO551" s="2327">
        <f>BK551</f>
        <v>0</v>
      </c>
      <c r="DP551" s="2327">
        <f>BP551</f>
        <v>0</v>
      </c>
      <c r="DQ551" s="2327">
        <f>BU551</f>
        <v>0</v>
      </c>
      <c r="DR551" s="2327">
        <f>BZ551</f>
        <v>0</v>
      </c>
      <c r="DS551" s="2327">
        <f>CE551</f>
        <v>0</v>
      </c>
      <c r="DT551" s="2327">
        <f>CJ551</f>
        <v>0</v>
      </c>
      <c r="DU551" s="2327">
        <f>CO551</f>
        <v>0</v>
      </c>
      <c r="DV551" s="2327">
        <f>CT551</f>
        <v>0</v>
      </c>
      <c r="DW551" s="2327">
        <f t="shared" ref="DW551:DY553" si="1029">CY551</f>
        <v>0</v>
      </c>
      <c r="DX551" s="2327">
        <f t="shared" si="1029"/>
        <v>0</v>
      </c>
      <c r="DY551" s="2327">
        <f t="shared" si="1029"/>
        <v>0</v>
      </c>
      <c r="EA551"/>
      <c r="EB551"/>
      <c r="EC551"/>
      <c r="ED551"/>
      <c r="EE551"/>
      <c r="EF551"/>
      <c r="EJ551"/>
      <c r="EK551"/>
      <c r="EL551"/>
      <c r="ER551" s="212"/>
    </row>
    <row r="552" spans="1:148" s="923" customFormat="1" ht="12.75" hidden="1" customHeight="1" outlineLevel="1" x14ac:dyDescent="0.2">
      <c r="A552" s="865" t="s">
        <v>187</v>
      </c>
      <c r="B552" s="215"/>
      <c r="C552" s="215"/>
      <c r="D552" s="215"/>
      <c r="E552" s="215"/>
      <c r="F552" s="215"/>
      <c r="G552" s="215"/>
      <c r="H552" s="215"/>
      <c r="I552" s="215"/>
      <c r="J552" s="215"/>
      <c r="K552" s="215"/>
      <c r="L552" s="215"/>
      <c r="M552" s="215"/>
      <c r="N552" s="215"/>
      <c r="O552" s="215"/>
      <c r="P552" s="215"/>
      <c r="Q552" s="215"/>
      <c r="R552" s="215"/>
      <c r="S552" s="215"/>
      <c r="T552" s="215"/>
      <c r="U552" s="215"/>
      <c r="V552" s="215"/>
      <c r="W552" s="215"/>
      <c r="X552" s="215"/>
      <c r="Y552" s="215"/>
      <c r="Z552" s="215"/>
      <c r="AA552" s="215"/>
      <c r="AB552" s="215"/>
      <c r="AC552" s="215"/>
      <c r="AD552" s="215"/>
      <c r="AE552" s="215"/>
      <c r="AF552" s="215"/>
      <c r="AG552" s="215"/>
      <c r="AH552" s="215"/>
      <c r="AI552" s="215"/>
      <c r="AJ552" s="215"/>
      <c r="AK552" s="215"/>
      <c r="AL552" s="215"/>
      <c r="AM552" s="215"/>
      <c r="AN552" s="215"/>
      <c r="AO552" s="215"/>
      <c r="AP552" s="215"/>
      <c r="AQ552" s="215"/>
      <c r="AR552" s="215"/>
      <c r="AS552" s="215"/>
      <c r="AT552" s="215"/>
      <c r="AU552" s="215"/>
      <c r="AV552" s="215"/>
      <c r="AW552" s="215"/>
      <c r="AX552" s="215"/>
      <c r="AY552" s="215"/>
      <c r="AZ552" s="215"/>
      <c r="BA552" s="215"/>
      <c r="BB552" s="215"/>
      <c r="BC552" s="215"/>
      <c r="BD552" s="215"/>
      <c r="BE552" s="215"/>
      <c r="BF552" s="215"/>
      <c r="BG552" s="215"/>
      <c r="BH552" s="215"/>
      <c r="BI552" s="215"/>
      <c r="BJ552" s="215"/>
      <c r="BK552" s="215"/>
      <c r="BL552" s="215"/>
      <c r="BM552" s="215"/>
      <c r="BN552" s="215"/>
      <c r="BO552" s="215"/>
      <c r="BP552" s="215"/>
      <c r="BQ552" s="215"/>
      <c r="BR552" s="215"/>
      <c r="BS552" s="215"/>
      <c r="BT552" s="215"/>
      <c r="BU552" s="215"/>
      <c r="BV552" s="215"/>
      <c r="BW552" s="215"/>
      <c r="BX552" s="215"/>
      <c r="BY552" s="215"/>
      <c r="BZ552" s="215"/>
      <c r="CA552" s="215"/>
      <c r="CB552" s="215"/>
      <c r="CC552" s="215"/>
      <c r="CD552" s="215"/>
      <c r="CE552" s="215"/>
      <c r="CF552" s="215"/>
      <c r="CG552" s="215"/>
      <c r="CH552" s="215"/>
      <c r="CI552" s="215"/>
      <c r="CJ552" s="215"/>
      <c r="CK552" s="215"/>
      <c r="CL552" s="215"/>
      <c r="CM552" s="215"/>
      <c r="CN552" s="215"/>
      <c r="CO552" s="215"/>
      <c r="CP552" s="215"/>
      <c r="CQ552" s="215"/>
      <c r="CR552" s="215"/>
      <c r="CS552" s="215"/>
      <c r="CT552" s="215"/>
      <c r="CU552" s="215"/>
      <c r="CV552" s="215"/>
      <c r="CW552" s="215"/>
      <c r="CX552" s="215"/>
      <c r="CY552" s="215"/>
      <c r="CZ552" s="215"/>
      <c r="DA552" s="215"/>
      <c r="DB552"/>
      <c r="DC552"/>
      <c r="DD552" s="2323" t="s">
        <v>187</v>
      </c>
      <c r="DE552" s="2327">
        <f>M552</f>
        <v>0</v>
      </c>
      <c r="DF552" s="2327">
        <f>R552</f>
        <v>0</v>
      </c>
      <c r="DG552" s="2327">
        <f>W552</f>
        <v>0</v>
      </c>
      <c r="DH552" s="2327">
        <f>AB552</f>
        <v>0</v>
      </c>
      <c r="DI552" s="2327">
        <f>AG552</f>
        <v>0</v>
      </c>
      <c r="DJ552" s="2327">
        <f>AL552</f>
        <v>0</v>
      </c>
      <c r="DK552" s="2327">
        <f>AQ552</f>
        <v>0</v>
      </c>
      <c r="DL552" s="2327">
        <f>AV552</f>
        <v>0</v>
      </c>
      <c r="DM552" s="2327">
        <f>BA552</f>
        <v>0</v>
      </c>
      <c r="DN552" s="2327">
        <f>BF552</f>
        <v>0</v>
      </c>
      <c r="DO552" s="2327">
        <f>BK552</f>
        <v>0</v>
      </c>
      <c r="DP552" s="2327">
        <f>BP552</f>
        <v>0</v>
      </c>
      <c r="DQ552" s="2327">
        <f>BU552</f>
        <v>0</v>
      </c>
      <c r="DR552" s="2327">
        <f>BZ552</f>
        <v>0</v>
      </c>
      <c r="DS552" s="2327">
        <f>CE552</f>
        <v>0</v>
      </c>
      <c r="DT552" s="2327">
        <f>CJ552</f>
        <v>0</v>
      </c>
      <c r="DU552" s="2327">
        <f>CO552</f>
        <v>0</v>
      </c>
      <c r="DV552" s="2327">
        <f>CT552</f>
        <v>0</v>
      </c>
      <c r="DW552" s="2327">
        <f t="shared" si="1029"/>
        <v>0</v>
      </c>
      <c r="DX552" s="2327">
        <f t="shared" si="1029"/>
        <v>0</v>
      </c>
      <c r="DY552" s="2327">
        <f t="shared" si="1029"/>
        <v>0</v>
      </c>
      <c r="EA552"/>
      <c r="EB552"/>
      <c r="EC552"/>
      <c r="ED552"/>
      <c r="EE552"/>
      <c r="EF552"/>
      <c r="EJ552"/>
      <c r="EK552"/>
      <c r="EL552"/>
      <c r="ER552" s="212"/>
    </row>
    <row r="553" spans="1:148" s="923" customFormat="1" ht="12.75" hidden="1" customHeight="1" outlineLevel="1" x14ac:dyDescent="0.2">
      <c r="A553" s="865" t="s">
        <v>188</v>
      </c>
      <c r="B553" s="215"/>
      <c r="C553" s="215"/>
      <c r="D553" s="215"/>
      <c r="E553" s="215"/>
      <c r="F553" s="215"/>
      <c r="G553" s="215"/>
      <c r="H553" s="215"/>
      <c r="I553" s="215">
        <v>78</v>
      </c>
      <c r="J553" s="215">
        <v>78</v>
      </c>
      <c r="K553" s="215">
        <v>77</v>
      </c>
      <c r="L553" s="215">
        <v>118</v>
      </c>
      <c r="M553" s="226">
        <f>SUM(I553:L553)</f>
        <v>351</v>
      </c>
      <c r="N553" s="215">
        <v>83</v>
      </c>
      <c r="O553" s="215">
        <v>78</v>
      </c>
      <c r="P553" s="215">
        <v>79</v>
      </c>
      <c r="Q553" s="215">
        <v>110</v>
      </c>
      <c r="R553" s="226">
        <f>SUM(N553:Q553)</f>
        <v>350</v>
      </c>
      <c r="S553" s="215">
        <v>84</v>
      </c>
      <c r="T553" s="215">
        <v>81</v>
      </c>
      <c r="U553" s="215">
        <v>79</v>
      </c>
      <c r="V553" s="215">
        <v>0</v>
      </c>
      <c r="W553" s="226">
        <f>SUM(S553:V553)</f>
        <v>244</v>
      </c>
      <c r="X553" s="215">
        <v>0</v>
      </c>
      <c r="Y553" s="215">
        <v>0</v>
      </c>
      <c r="Z553" s="215">
        <v>0</v>
      </c>
      <c r="AA553" s="215">
        <v>0</v>
      </c>
      <c r="AB553" s="226">
        <f>SUM(X553:AA553)</f>
        <v>0</v>
      </c>
      <c r="AC553" s="215">
        <f>+AC555</f>
        <v>0</v>
      </c>
      <c r="AD553" s="215">
        <f>+AD555</f>
        <v>0</v>
      </c>
      <c r="AE553" s="215">
        <f>+AE555</f>
        <v>0</v>
      </c>
      <c r="AF553" s="215">
        <f>+AF555</f>
        <v>0</v>
      </c>
      <c r="AG553" s="226">
        <f>SUM(AC553:AF553)</f>
        <v>0</v>
      </c>
      <c r="AH553" s="215">
        <f>+AH555</f>
        <v>0</v>
      </c>
      <c r="AI553" s="215">
        <f>+AI555</f>
        <v>0</v>
      </c>
      <c r="AJ553" s="215">
        <f>+AJ555</f>
        <v>0</v>
      </c>
      <c r="AK553" s="215">
        <f>+AK555</f>
        <v>0</v>
      </c>
      <c r="AL553" s="226">
        <f>SUM(AH553:AK553)</f>
        <v>0</v>
      </c>
      <c r="AM553" s="215">
        <f>+AM555</f>
        <v>0</v>
      </c>
      <c r="AN553" s="215">
        <f>+AN555</f>
        <v>0</v>
      </c>
      <c r="AO553" s="215">
        <f>+AO555</f>
        <v>0</v>
      </c>
      <c r="AP553" s="215">
        <f>+AP555</f>
        <v>0</v>
      </c>
      <c r="AQ553" s="226">
        <f>SUM(AM553:AP553)</f>
        <v>0</v>
      </c>
      <c r="AR553" s="215">
        <f>+AR555</f>
        <v>0</v>
      </c>
      <c r="AS553" s="215">
        <f>+AS555</f>
        <v>0</v>
      </c>
      <c r="AT553" s="215">
        <f>+AT555</f>
        <v>0</v>
      </c>
      <c r="AU553" s="215">
        <f>+AU555</f>
        <v>0</v>
      </c>
      <c r="AV553" s="226">
        <f>SUM(AR553:AU553)</f>
        <v>0</v>
      </c>
      <c r="AW553" s="215">
        <f>+AW555</f>
        <v>0</v>
      </c>
      <c r="AX553" s="215">
        <f>+AX555</f>
        <v>0</v>
      </c>
      <c r="AY553" s="215">
        <f>+AY555</f>
        <v>0</v>
      </c>
      <c r="AZ553" s="215">
        <f>+AZ555</f>
        <v>0</v>
      </c>
      <c r="BA553" s="226">
        <f>SUM(AW553:AZ553)</f>
        <v>0</v>
      </c>
      <c r="BB553" s="215">
        <f>+BB555</f>
        <v>0</v>
      </c>
      <c r="BC553" s="215">
        <f>+BC555</f>
        <v>0</v>
      </c>
      <c r="BD553" s="215">
        <f>+BD555</f>
        <v>0</v>
      </c>
      <c r="BE553" s="215">
        <f>+BE555</f>
        <v>0</v>
      </c>
      <c r="BF553" s="226">
        <f>SUM(BB553:BE553)</f>
        <v>0</v>
      </c>
      <c r="BG553" s="215">
        <f>+BG555</f>
        <v>0</v>
      </c>
      <c r="BH553" s="215">
        <f>+BH555</f>
        <v>0</v>
      </c>
      <c r="BI553" s="215">
        <f>+BI555</f>
        <v>0</v>
      </c>
      <c r="BJ553" s="215">
        <f>+BJ555</f>
        <v>0</v>
      </c>
      <c r="BK553" s="226">
        <f>SUM(BG553:BJ553)</f>
        <v>0</v>
      </c>
      <c r="BL553" s="215">
        <f>+BL555</f>
        <v>0</v>
      </c>
      <c r="BM553" s="215">
        <f>+BM555</f>
        <v>0</v>
      </c>
      <c r="BN553" s="215">
        <f>+BN555</f>
        <v>0</v>
      </c>
      <c r="BO553" s="215">
        <f>+BO555</f>
        <v>0</v>
      </c>
      <c r="BP553" s="226">
        <f>SUM(BL553:BO553)</f>
        <v>0</v>
      </c>
      <c r="BQ553" s="215"/>
      <c r="BR553" s="215"/>
      <c r="BS553" s="215"/>
      <c r="BT553" s="215"/>
      <c r="BU553" s="226">
        <f>+BU555</f>
        <v>0</v>
      </c>
      <c r="BV553" s="215"/>
      <c r="BW553" s="215"/>
      <c r="BX553" s="215"/>
      <c r="BY553" s="215"/>
      <c r="BZ553" s="226"/>
      <c r="CA553" s="226"/>
      <c r="CB553" s="226"/>
      <c r="CC553" s="226"/>
      <c r="CD553" s="226"/>
      <c r="CE553" s="226"/>
      <c r="CF553" s="226"/>
      <c r="CG553" s="226"/>
      <c r="CH553" s="226"/>
      <c r="CI553" s="226"/>
      <c r="CJ553" s="226"/>
      <c r="CK553" s="226"/>
      <c r="CL553" s="226"/>
      <c r="CM553" s="226"/>
      <c r="CN553" s="226"/>
      <c r="CO553" s="226"/>
      <c r="CP553" s="226"/>
      <c r="CQ553" s="226"/>
      <c r="CR553" s="226"/>
      <c r="CS553" s="226"/>
      <c r="CT553" s="226"/>
      <c r="CU553" s="226"/>
      <c r="CV553" s="226"/>
      <c r="CW553" s="226"/>
      <c r="CX553" s="226"/>
      <c r="CY553" s="226"/>
      <c r="CZ553" s="226"/>
      <c r="DA553" s="226"/>
      <c r="DB553"/>
      <c r="DC553"/>
      <c r="DD553" s="2323" t="s">
        <v>188</v>
      </c>
      <c r="DE553" s="2327">
        <f>M553</f>
        <v>351</v>
      </c>
      <c r="DF553" s="2327">
        <f>R553</f>
        <v>350</v>
      </c>
      <c r="DG553" s="2327">
        <f>W553</f>
        <v>244</v>
      </c>
      <c r="DH553" s="2327">
        <f>AB553</f>
        <v>0</v>
      </c>
      <c r="DI553" s="2327">
        <f>AG553</f>
        <v>0</v>
      </c>
      <c r="DJ553" s="2327">
        <f>AL553</f>
        <v>0</v>
      </c>
      <c r="DK553" s="2327">
        <f>AQ553</f>
        <v>0</v>
      </c>
      <c r="DL553" s="2327">
        <f>AV553</f>
        <v>0</v>
      </c>
      <c r="DM553" s="2327">
        <f>BA553</f>
        <v>0</v>
      </c>
      <c r="DN553" s="2327">
        <f>BF553</f>
        <v>0</v>
      </c>
      <c r="DO553" s="2327">
        <f>BK553</f>
        <v>0</v>
      </c>
      <c r="DP553" s="2327">
        <f>BP553</f>
        <v>0</v>
      </c>
      <c r="DQ553" s="2327">
        <f>BU553</f>
        <v>0</v>
      </c>
      <c r="DR553" s="2327">
        <f>BZ553</f>
        <v>0</v>
      </c>
      <c r="DS553" s="2327">
        <f>CE553</f>
        <v>0</v>
      </c>
      <c r="DT553" s="2327">
        <f>CJ553</f>
        <v>0</v>
      </c>
      <c r="DU553" s="2327">
        <f>CO553</f>
        <v>0</v>
      </c>
      <c r="DV553" s="2327">
        <f>CT553</f>
        <v>0</v>
      </c>
      <c r="DW553" s="2327">
        <f t="shared" si="1029"/>
        <v>0</v>
      </c>
      <c r="DX553" s="2327">
        <f t="shared" si="1029"/>
        <v>0</v>
      </c>
      <c r="DY553" s="2327">
        <f t="shared" si="1029"/>
        <v>0</v>
      </c>
      <c r="EA553"/>
      <c r="EB553"/>
      <c r="EC553"/>
      <c r="ED553"/>
      <c r="EE553"/>
      <c r="EF553"/>
      <c r="EJ553"/>
      <c r="EK553"/>
      <c r="EL553"/>
      <c r="ER553" s="212"/>
    </row>
    <row r="554" spans="1:148" s="923" customFormat="1" ht="4.5" hidden="1" customHeight="1" outlineLevel="1" x14ac:dyDescent="0.2">
      <c r="A554" s="865"/>
      <c r="B554" s="220"/>
      <c r="C554" s="220"/>
      <c r="D554" s="220"/>
      <c r="E554" s="220"/>
      <c r="F554" s="220"/>
      <c r="G554" s="220"/>
      <c r="H554" s="220"/>
      <c r="I554" s="220" t="s">
        <v>1328</v>
      </c>
      <c r="J554" s="220" t="s">
        <v>1328</v>
      </c>
      <c r="K554" s="220" t="s">
        <v>1328</v>
      </c>
      <c r="L554" s="220" t="s">
        <v>1328</v>
      </c>
      <c r="M554" s="220" t="s">
        <v>1328</v>
      </c>
      <c r="N554" s="220" t="s">
        <v>1328</v>
      </c>
      <c r="O554" s="220" t="s">
        <v>1328</v>
      </c>
      <c r="P554" s="220" t="s">
        <v>1328</v>
      </c>
      <c r="Q554" s="220" t="s">
        <v>1328</v>
      </c>
      <c r="R554" s="220" t="s">
        <v>1328</v>
      </c>
      <c r="S554" s="220" t="s">
        <v>1328</v>
      </c>
      <c r="T554" s="220" t="s">
        <v>1328</v>
      </c>
      <c r="U554" s="220" t="s">
        <v>1328</v>
      </c>
      <c r="V554" s="220" t="s">
        <v>1328</v>
      </c>
      <c r="W554" s="220" t="s">
        <v>1328</v>
      </c>
      <c r="X554" s="220" t="s">
        <v>1328</v>
      </c>
      <c r="Y554" s="220" t="s">
        <v>1328</v>
      </c>
      <c r="Z554" s="220" t="s">
        <v>1328</v>
      </c>
      <c r="AA554" s="220" t="s">
        <v>1328</v>
      </c>
      <c r="AB554" s="220" t="s">
        <v>1328</v>
      </c>
      <c r="AC554" s="220" t="s">
        <v>1328</v>
      </c>
      <c r="AD554" s="220" t="s">
        <v>1328</v>
      </c>
      <c r="AE554" s="220" t="s">
        <v>1328</v>
      </c>
      <c r="AF554" s="220" t="s">
        <v>1328</v>
      </c>
      <c r="AG554" s="220" t="s">
        <v>1328</v>
      </c>
      <c r="AH554" s="220" t="s">
        <v>1328</v>
      </c>
      <c r="AI554" s="220" t="s">
        <v>1328</v>
      </c>
      <c r="AJ554" s="220" t="s">
        <v>1328</v>
      </c>
      <c r="AK554" s="220" t="s">
        <v>1328</v>
      </c>
      <c r="AL554" s="220" t="s">
        <v>1328</v>
      </c>
      <c r="AM554" s="220" t="s">
        <v>1328</v>
      </c>
      <c r="AN554" s="220" t="s">
        <v>1328</v>
      </c>
      <c r="AO554" s="220" t="s">
        <v>1328</v>
      </c>
      <c r="AP554" s="220" t="s">
        <v>1328</v>
      </c>
      <c r="AQ554" s="220" t="s">
        <v>1328</v>
      </c>
      <c r="AR554" s="220" t="s">
        <v>1328</v>
      </c>
      <c r="AS554" s="220" t="s">
        <v>1328</v>
      </c>
      <c r="AT554" s="220" t="s">
        <v>1328</v>
      </c>
      <c r="AU554" s="220" t="s">
        <v>1328</v>
      </c>
      <c r="AV554" s="220" t="s">
        <v>1328</v>
      </c>
      <c r="AW554" s="220" t="s">
        <v>1328</v>
      </c>
      <c r="AX554" s="220" t="s">
        <v>1328</v>
      </c>
      <c r="AY554" s="220" t="s">
        <v>1328</v>
      </c>
      <c r="AZ554" s="220" t="s">
        <v>1328</v>
      </c>
      <c r="BA554" s="220" t="s">
        <v>1328</v>
      </c>
      <c r="BB554" s="220" t="s">
        <v>1328</v>
      </c>
      <c r="BC554" s="220" t="s">
        <v>1328</v>
      </c>
      <c r="BD554" s="220" t="s">
        <v>1328</v>
      </c>
      <c r="BE554" s="220" t="s">
        <v>1328</v>
      </c>
      <c r="BF554" s="220" t="s">
        <v>1328</v>
      </c>
      <c r="BG554" s="220" t="s">
        <v>1328</v>
      </c>
      <c r="BH554" s="220" t="s">
        <v>1328</v>
      </c>
      <c r="BI554" s="220" t="s">
        <v>1328</v>
      </c>
      <c r="BJ554" s="220" t="s">
        <v>1328</v>
      </c>
      <c r="BK554" s="220" t="s">
        <v>1328</v>
      </c>
      <c r="BL554" s="220" t="s">
        <v>1328</v>
      </c>
      <c r="BM554" s="220" t="s">
        <v>1328</v>
      </c>
      <c r="BN554" s="220" t="s">
        <v>1328</v>
      </c>
      <c r="BO554" s="220" t="s">
        <v>1328</v>
      </c>
      <c r="BP554" s="220" t="s">
        <v>1328</v>
      </c>
      <c r="BQ554" s="220"/>
      <c r="BR554" s="220"/>
      <c r="BS554" s="220"/>
      <c r="BT554" s="220"/>
      <c r="BU554" s="220" t="s">
        <v>1328</v>
      </c>
      <c r="BV554" s="220"/>
      <c r="BW554" s="220"/>
      <c r="BX554" s="220"/>
      <c r="BY554" s="220"/>
      <c r="BZ554" s="220"/>
      <c r="CA554" s="220"/>
      <c r="CB554" s="220"/>
      <c r="CC554" s="220"/>
      <c r="CD554" s="220"/>
      <c r="CE554" s="220"/>
      <c r="CF554" s="220"/>
      <c r="CG554" s="220"/>
      <c r="CH554" s="220"/>
      <c r="CI554" s="220"/>
      <c r="CJ554" s="220"/>
      <c r="CK554" s="220"/>
      <c r="CL554" s="220"/>
      <c r="CM554" s="220"/>
      <c r="CN554" s="220"/>
      <c r="CO554" s="220"/>
      <c r="CP554" s="220"/>
      <c r="CQ554" s="220"/>
      <c r="CR554" s="220"/>
      <c r="CS554" s="220"/>
      <c r="CT554" s="220"/>
      <c r="CU554" s="220"/>
      <c r="CV554" s="220"/>
      <c r="CW554" s="220"/>
      <c r="CX554" s="220"/>
      <c r="CY554" s="220"/>
      <c r="CZ554" s="220"/>
      <c r="DA554" s="220"/>
      <c r="DB554"/>
      <c r="DC554"/>
      <c r="DD554" s="2323"/>
      <c r="DE554" s="2324"/>
      <c r="DF554" s="2324"/>
      <c r="DG554" s="2324"/>
      <c r="DH554" s="2324"/>
      <c r="DI554" s="2324"/>
      <c r="DJ554" s="2324"/>
      <c r="DK554" s="2324"/>
      <c r="DL554" s="2324"/>
      <c r="DM554" s="2324"/>
      <c r="DN554" s="2324"/>
      <c r="DO554" s="2324"/>
      <c r="DP554" s="2324"/>
      <c r="DQ554" s="2324"/>
      <c r="DR554" s="2324"/>
      <c r="DS554" s="2324"/>
      <c r="DT554" s="2324"/>
      <c r="DU554" s="2324"/>
      <c r="DV554" s="2324"/>
      <c r="DW554" s="2324"/>
      <c r="DX554" s="2324"/>
      <c r="DY554" s="2324"/>
      <c r="EA554"/>
      <c r="EB554"/>
      <c r="EC554"/>
      <c r="ED554"/>
      <c r="EE554"/>
      <c r="EF554"/>
      <c r="EJ554"/>
      <c r="EK554"/>
      <c r="EL554"/>
      <c r="ER554" s="212"/>
    </row>
    <row r="555" spans="1:148" s="923" customFormat="1" ht="12.75" hidden="1" customHeight="1" outlineLevel="1" x14ac:dyDescent="0.2">
      <c r="A555" s="865" t="s">
        <v>189</v>
      </c>
      <c r="B555" s="215"/>
      <c r="C555" s="215"/>
      <c r="D555" s="215"/>
      <c r="E555" s="215"/>
      <c r="F555" s="215"/>
      <c r="G555" s="215"/>
      <c r="H555" s="215"/>
      <c r="I555" s="215">
        <v>78</v>
      </c>
      <c r="J555" s="215">
        <v>78</v>
      </c>
      <c r="K555" s="215">
        <v>77</v>
      </c>
      <c r="L555" s="215">
        <v>118</v>
      </c>
      <c r="M555" s="226">
        <f>SUM(I555:L555)</f>
        <v>351</v>
      </c>
      <c r="N555" s="215">
        <v>83</v>
      </c>
      <c r="O555" s="215">
        <v>78</v>
      </c>
      <c r="P555" s="215">
        <v>79</v>
      </c>
      <c r="Q555" s="215">
        <v>110</v>
      </c>
      <c r="R555" s="226">
        <f>SUM(N555:Q555)</f>
        <v>350</v>
      </c>
      <c r="S555" s="215">
        <v>84</v>
      </c>
      <c r="T555" s="215">
        <v>81</v>
      </c>
      <c r="U555" s="215">
        <v>79</v>
      </c>
      <c r="V555" s="215">
        <v>0</v>
      </c>
      <c r="W555" s="226">
        <f>SUM(S555:V555)</f>
        <v>244</v>
      </c>
      <c r="X555" s="215">
        <v>0</v>
      </c>
      <c r="Y555" s="215">
        <v>0</v>
      </c>
      <c r="Z555" s="215">
        <v>0</v>
      </c>
      <c r="AA555" s="215">
        <v>0</v>
      </c>
      <c r="AB555" s="226">
        <f>SUM(X555:AA555)</f>
        <v>0</v>
      </c>
      <c r="AC555" s="215">
        <f>+AC548-AC558</f>
        <v>0</v>
      </c>
      <c r="AD555" s="215">
        <f>+AD548-AD558</f>
        <v>0</v>
      </c>
      <c r="AE555" s="215">
        <f>+AE548-AE558</f>
        <v>0</v>
      </c>
      <c r="AF555" s="215">
        <f>+AF548-AF558</f>
        <v>0</v>
      </c>
      <c r="AG555" s="226">
        <f>SUM(AC555:AF555)</f>
        <v>0</v>
      </c>
      <c r="AH555" s="215">
        <f>+AH548-AH558</f>
        <v>0</v>
      </c>
      <c r="AI555" s="215">
        <f>+AI548-AI558</f>
        <v>0</v>
      </c>
      <c r="AJ555" s="215">
        <f>+AJ548-AJ558</f>
        <v>0</v>
      </c>
      <c r="AK555" s="215">
        <f>+AK548-AK558</f>
        <v>0</v>
      </c>
      <c r="AL555" s="226">
        <f>SUM(AH555:AK555)</f>
        <v>0</v>
      </c>
      <c r="AM555" s="215">
        <f>+AM548-AM558</f>
        <v>0</v>
      </c>
      <c r="AN555" s="215">
        <f>+AN548-AN558</f>
        <v>0</v>
      </c>
      <c r="AO555" s="215">
        <f>+AO548-AO558</f>
        <v>0</v>
      </c>
      <c r="AP555" s="215">
        <f>+AP548-AP558</f>
        <v>0</v>
      </c>
      <c r="AQ555" s="226">
        <f>SUM(AM555:AP555)</f>
        <v>0</v>
      </c>
      <c r="AR555" s="215">
        <f>+AR548-AR558</f>
        <v>0</v>
      </c>
      <c r="AS555" s="215">
        <f>+AS548-AS558</f>
        <v>0</v>
      </c>
      <c r="AT555" s="215">
        <f>+AT548-AT558</f>
        <v>0</v>
      </c>
      <c r="AU555" s="215">
        <f>+AU548-AU558</f>
        <v>0</v>
      </c>
      <c r="AV555" s="226">
        <f>SUM(AR555:AU555)</f>
        <v>0</v>
      </c>
      <c r="AW555" s="215">
        <f>+AW548-AW558</f>
        <v>0</v>
      </c>
      <c r="AX555" s="215">
        <f>+AX548-AX558</f>
        <v>0</v>
      </c>
      <c r="AY555" s="215">
        <f>+AY548-AY558</f>
        <v>0</v>
      </c>
      <c r="AZ555" s="215">
        <f>+AZ548-AZ558</f>
        <v>0</v>
      </c>
      <c r="BA555" s="226">
        <f>SUM(AW555:AZ555)</f>
        <v>0</v>
      </c>
      <c r="BB555" s="215">
        <f>+BB548-BB558</f>
        <v>0</v>
      </c>
      <c r="BC555" s="215">
        <f>+BC548-BC558</f>
        <v>0</v>
      </c>
      <c r="BD555" s="215">
        <f>+BD548-BD558</f>
        <v>0</v>
      </c>
      <c r="BE555" s="215">
        <f>+BE548-BE558</f>
        <v>0</v>
      </c>
      <c r="BF555" s="226">
        <f>SUM(BB555:BE555)</f>
        <v>0</v>
      </c>
      <c r="BG555" s="215">
        <f>+BG548-BG558</f>
        <v>0</v>
      </c>
      <c r="BH555" s="215">
        <f>+BH548-BH558</f>
        <v>0</v>
      </c>
      <c r="BI555" s="215">
        <f>+BI548-BI558</f>
        <v>0</v>
      </c>
      <c r="BJ555" s="215">
        <f>+BJ548-BJ558</f>
        <v>0</v>
      </c>
      <c r="BK555" s="226">
        <f>SUM(BG555:BJ555)</f>
        <v>0</v>
      </c>
      <c r="BL555" s="215">
        <f>+BL548-BL558</f>
        <v>0</v>
      </c>
      <c r="BM555" s="215">
        <f>+BM548-BM558</f>
        <v>0</v>
      </c>
      <c r="BN555" s="215">
        <f>+BN548-BN558</f>
        <v>0</v>
      </c>
      <c r="BO555" s="215">
        <f>+BO548-BO558</f>
        <v>0</v>
      </c>
      <c r="BP555" s="226">
        <f>SUM(BL555:BO555)</f>
        <v>0</v>
      </c>
      <c r="BQ555" s="215"/>
      <c r="BR555" s="215"/>
      <c r="BS555" s="215"/>
      <c r="BT555" s="215"/>
      <c r="BU555" s="226">
        <f>+BU548-BU558</f>
        <v>0</v>
      </c>
      <c r="BV555" s="215"/>
      <c r="BW555" s="215"/>
      <c r="BX555" s="215"/>
      <c r="BY555" s="215"/>
      <c r="BZ555" s="226"/>
      <c r="CA555" s="226"/>
      <c r="CB555" s="226"/>
      <c r="CC555" s="226"/>
      <c r="CD555" s="226"/>
      <c r="CE555" s="226"/>
      <c r="CF555" s="226"/>
      <c r="CG555" s="226"/>
      <c r="CH555" s="226"/>
      <c r="CI555" s="226"/>
      <c r="CJ555" s="226"/>
      <c r="CK555" s="226"/>
      <c r="CL555" s="226"/>
      <c r="CM555" s="226"/>
      <c r="CN555" s="226"/>
      <c r="CO555" s="226"/>
      <c r="CP555" s="226"/>
      <c r="CQ555" s="226"/>
      <c r="CR555" s="226"/>
      <c r="CS555" s="226"/>
      <c r="CT555" s="226"/>
      <c r="CU555" s="226"/>
      <c r="CV555" s="226"/>
      <c r="CW555" s="226"/>
      <c r="CX555" s="226"/>
      <c r="CY555" s="226"/>
      <c r="CZ555" s="226"/>
      <c r="DA555" s="226"/>
      <c r="DB555"/>
      <c r="DC555"/>
      <c r="DD555" s="2323" t="s">
        <v>189</v>
      </c>
      <c r="DE555" s="2327">
        <f>M555</f>
        <v>351</v>
      </c>
      <c r="DF555" s="2327">
        <f>R555</f>
        <v>350</v>
      </c>
      <c r="DG555" s="2327">
        <f>W555</f>
        <v>244</v>
      </c>
      <c r="DH555" s="2327">
        <f>AB555</f>
        <v>0</v>
      </c>
      <c r="DI555" s="2327">
        <f>AG555</f>
        <v>0</v>
      </c>
      <c r="DJ555" s="2327">
        <f>AL555</f>
        <v>0</v>
      </c>
      <c r="DK555" s="2327">
        <f>AQ555</f>
        <v>0</v>
      </c>
      <c r="DL555" s="2327">
        <f>AV555</f>
        <v>0</v>
      </c>
      <c r="DM555" s="2327">
        <f>BA555</f>
        <v>0</v>
      </c>
      <c r="DN555" s="2327">
        <f>BF555</f>
        <v>0</v>
      </c>
      <c r="DO555" s="2327">
        <f>BK555</f>
        <v>0</v>
      </c>
      <c r="DP555" s="2327">
        <f>BP555</f>
        <v>0</v>
      </c>
      <c r="DQ555" s="2327">
        <f>BU555</f>
        <v>0</v>
      </c>
      <c r="DR555" s="2327">
        <f>BZ555</f>
        <v>0</v>
      </c>
      <c r="DS555" s="2327">
        <f>CE555</f>
        <v>0</v>
      </c>
      <c r="DT555" s="2327">
        <f>CJ555</f>
        <v>0</v>
      </c>
      <c r="DU555" s="2327">
        <f>CO555</f>
        <v>0</v>
      </c>
      <c r="DV555" s="2327">
        <f>CT555</f>
        <v>0</v>
      </c>
      <c r="DW555" s="2327">
        <f t="shared" ref="DW555:DY556" si="1030">CY555</f>
        <v>0</v>
      </c>
      <c r="DX555" s="2327">
        <f t="shared" si="1030"/>
        <v>0</v>
      </c>
      <c r="DY555" s="2327">
        <f t="shared" si="1030"/>
        <v>0</v>
      </c>
      <c r="EA555"/>
      <c r="EB555"/>
      <c r="EC555"/>
      <c r="ED555"/>
      <c r="EE555"/>
      <c r="EF555"/>
      <c r="EJ555"/>
      <c r="EK555"/>
      <c r="EL555"/>
      <c r="ER555" s="212"/>
    </row>
    <row r="556" spans="1:148" s="923" customFormat="1" ht="12.75" hidden="1" customHeight="1" outlineLevel="1" x14ac:dyDescent="0.2">
      <c r="A556" s="865" t="s">
        <v>190</v>
      </c>
      <c r="B556" s="954"/>
      <c r="C556" s="954"/>
      <c r="D556" s="954"/>
      <c r="E556" s="954"/>
      <c r="F556" s="954"/>
      <c r="G556" s="954"/>
      <c r="H556" s="954"/>
      <c r="I556" s="954"/>
      <c r="J556" s="954"/>
      <c r="K556" s="954"/>
      <c r="L556" s="954"/>
      <c r="M556" s="215"/>
      <c r="N556" s="954">
        <f t="shared" ref="N556:T556" si="1031">N553/I553-1</f>
        <v>6.4102564102564097E-2</v>
      </c>
      <c r="O556" s="954">
        <f t="shared" si="1031"/>
        <v>0</v>
      </c>
      <c r="P556" s="954">
        <f t="shared" si="1031"/>
        <v>2.5974025974025983E-2</v>
      </c>
      <c r="Q556" s="954">
        <f t="shared" si="1031"/>
        <v>-6.7796610169491567E-2</v>
      </c>
      <c r="R556" s="215">
        <f t="shared" si="1031"/>
        <v>-2.8490028490028019E-3</v>
      </c>
      <c r="S556" s="954">
        <f t="shared" si="1031"/>
        <v>1.2048192771084265E-2</v>
      </c>
      <c r="T556" s="954">
        <f t="shared" si="1031"/>
        <v>3.8461538461538547E-2</v>
      </c>
      <c r="U556" s="954">
        <f>+U549</f>
        <v>3.6585365853658569E-2</v>
      </c>
      <c r="V556" s="954">
        <f>+V549</f>
        <v>0</v>
      </c>
      <c r="W556" s="215">
        <f>W553/R553-1</f>
        <v>-0.30285714285714282</v>
      </c>
      <c r="X556" s="954">
        <f>+X549</f>
        <v>0</v>
      </c>
      <c r="Y556" s="954">
        <f>+Y549</f>
        <v>0</v>
      </c>
      <c r="Z556" s="954">
        <f>+Z549</f>
        <v>0</v>
      </c>
      <c r="AA556" s="954">
        <f>+AA549</f>
        <v>0</v>
      </c>
      <c r="AB556" s="215">
        <f>AB553/W553-1</f>
        <v>-1</v>
      </c>
      <c r="AC556" s="954">
        <f>+AC549</f>
        <v>0</v>
      </c>
      <c r="AD556" s="954">
        <f>+AD549</f>
        <v>0</v>
      </c>
      <c r="AE556" s="954">
        <f>+AE549</f>
        <v>0</v>
      </c>
      <c r="AF556" s="954">
        <f>+AF549</f>
        <v>0</v>
      </c>
      <c r="AG556" s="215" t="s">
        <v>1666</v>
      </c>
      <c r="AH556" s="954">
        <f>+AH549</f>
        <v>0</v>
      </c>
      <c r="AI556" s="954">
        <f>+AI549</f>
        <v>0</v>
      </c>
      <c r="AJ556" s="954">
        <f>+AJ549</f>
        <v>0</v>
      </c>
      <c r="AK556" s="954">
        <f>+AK549</f>
        <v>0</v>
      </c>
      <c r="AL556" s="215" t="s">
        <v>1666</v>
      </c>
      <c r="AM556" s="954">
        <f>+AM549</f>
        <v>0</v>
      </c>
      <c r="AN556" s="954">
        <f>+AN549</f>
        <v>0</v>
      </c>
      <c r="AO556" s="954">
        <f>+AO549</f>
        <v>0</v>
      </c>
      <c r="AP556" s="954">
        <f>+AP549</f>
        <v>0</v>
      </c>
      <c r="AQ556" s="215" t="s">
        <v>1666</v>
      </c>
      <c r="AR556" s="954">
        <f>+AR549</f>
        <v>0</v>
      </c>
      <c r="AS556" s="954">
        <f>+AS549</f>
        <v>0</v>
      </c>
      <c r="AT556" s="954">
        <f>+AT549</f>
        <v>0</v>
      </c>
      <c r="AU556" s="954">
        <f>+AU549</f>
        <v>0</v>
      </c>
      <c r="AV556" s="215" t="s">
        <v>1666</v>
      </c>
      <c r="AW556" s="954">
        <f>+AW549</f>
        <v>0</v>
      </c>
      <c r="AX556" s="954">
        <f>+AX549</f>
        <v>0</v>
      </c>
      <c r="AY556" s="954">
        <f>+AY549</f>
        <v>0</v>
      </c>
      <c r="AZ556" s="954">
        <f>+AZ549</f>
        <v>0</v>
      </c>
      <c r="BA556" s="215" t="s">
        <v>1666</v>
      </c>
      <c r="BB556" s="954">
        <f>+BB549</f>
        <v>0</v>
      </c>
      <c r="BC556" s="954">
        <f>+BC549</f>
        <v>0</v>
      </c>
      <c r="BD556" s="954">
        <f>+BD549</f>
        <v>0</v>
      </c>
      <c r="BE556" s="954">
        <f>+BE549</f>
        <v>0</v>
      </c>
      <c r="BF556" s="215" t="s">
        <v>1666</v>
      </c>
      <c r="BG556" s="954">
        <f>+BG549</f>
        <v>0</v>
      </c>
      <c r="BH556" s="954">
        <f>+BH549</f>
        <v>0</v>
      </c>
      <c r="BI556" s="954">
        <f>+BI549</f>
        <v>0</v>
      </c>
      <c r="BJ556" s="954">
        <f>+BJ549</f>
        <v>0</v>
      </c>
      <c r="BK556" s="215" t="s">
        <v>1666</v>
      </c>
      <c r="BL556" s="954">
        <f>+BL549</f>
        <v>0</v>
      </c>
      <c r="BM556" s="954">
        <f>+BM549</f>
        <v>0</v>
      </c>
      <c r="BN556" s="954">
        <f>+BN549</f>
        <v>0</v>
      </c>
      <c r="BO556" s="954">
        <f>+BO549</f>
        <v>0</v>
      </c>
      <c r="BP556" s="215" t="s">
        <v>1666</v>
      </c>
      <c r="BQ556" s="954"/>
      <c r="BR556" s="954"/>
      <c r="BS556" s="954"/>
      <c r="BT556" s="954"/>
      <c r="BU556" s="215">
        <f>+BU549</f>
        <v>0</v>
      </c>
      <c r="BV556" s="954"/>
      <c r="BW556" s="954"/>
      <c r="BX556" s="954"/>
      <c r="BY556" s="954"/>
      <c r="BZ556" s="215"/>
      <c r="CA556" s="215"/>
      <c r="CB556" s="215"/>
      <c r="CC556" s="215"/>
      <c r="CD556" s="215"/>
      <c r="CE556" s="215"/>
      <c r="CF556" s="215"/>
      <c r="CG556" s="215"/>
      <c r="CH556" s="215"/>
      <c r="CI556" s="215"/>
      <c r="CJ556" s="215"/>
      <c r="CK556" s="215"/>
      <c r="CL556" s="215"/>
      <c r="CM556" s="215"/>
      <c r="CN556" s="215"/>
      <c r="CO556" s="215"/>
      <c r="CP556" s="215"/>
      <c r="CQ556" s="215"/>
      <c r="CR556" s="215"/>
      <c r="CS556" s="215"/>
      <c r="CT556" s="215"/>
      <c r="CU556" s="215"/>
      <c r="CV556" s="215"/>
      <c r="CW556" s="215"/>
      <c r="CX556" s="215"/>
      <c r="CY556" s="215"/>
      <c r="CZ556" s="215"/>
      <c r="DA556" s="215"/>
      <c r="DB556"/>
      <c r="DC556"/>
      <c r="DD556" s="2323" t="s">
        <v>190</v>
      </c>
      <c r="DE556" s="2327">
        <f>M556</f>
        <v>0</v>
      </c>
      <c r="DF556" s="2327">
        <f>R556</f>
        <v>-2.8490028490028019E-3</v>
      </c>
      <c r="DG556" s="2327">
        <f>W556</f>
        <v>-0.30285714285714282</v>
      </c>
      <c r="DH556" s="2327">
        <f>AB556</f>
        <v>-1</v>
      </c>
      <c r="DI556" s="2327" t="str">
        <f>AG556</f>
        <v>N.M.</v>
      </c>
      <c r="DJ556" s="2327" t="str">
        <f>AL556</f>
        <v>N.M.</v>
      </c>
      <c r="DK556" s="2327" t="str">
        <f>AQ556</f>
        <v>N.M.</v>
      </c>
      <c r="DL556" s="2327" t="str">
        <f>AV556</f>
        <v>N.M.</v>
      </c>
      <c r="DM556" s="2327" t="str">
        <f>BA556</f>
        <v>N.M.</v>
      </c>
      <c r="DN556" s="2327" t="str">
        <f>BF556</f>
        <v>N.M.</v>
      </c>
      <c r="DO556" s="2327" t="str">
        <f>BK556</f>
        <v>N.M.</v>
      </c>
      <c r="DP556" s="2327" t="str">
        <f>BP556</f>
        <v>N.M.</v>
      </c>
      <c r="DQ556" s="2327">
        <f>BU556</f>
        <v>0</v>
      </c>
      <c r="DR556" s="2327">
        <f>BZ556</f>
        <v>0</v>
      </c>
      <c r="DS556" s="2327">
        <f>CE556</f>
        <v>0</v>
      </c>
      <c r="DT556" s="2327">
        <f>CJ556</f>
        <v>0</v>
      </c>
      <c r="DU556" s="2327">
        <f>CO556</f>
        <v>0</v>
      </c>
      <c r="DV556" s="2327">
        <f>CT556</f>
        <v>0</v>
      </c>
      <c r="DW556" s="2327">
        <f t="shared" si="1030"/>
        <v>0</v>
      </c>
      <c r="DX556" s="2327">
        <f t="shared" si="1030"/>
        <v>0</v>
      </c>
      <c r="DY556" s="2327">
        <f t="shared" si="1030"/>
        <v>0</v>
      </c>
      <c r="EA556"/>
      <c r="EB556"/>
      <c r="EC556"/>
      <c r="ED556"/>
      <c r="EE556"/>
      <c r="EF556"/>
      <c r="EJ556"/>
      <c r="EK556"/>
      <c r="EL556"/>
      <c r="ER556" s="212"/>
    </row>
    <row r="557" spans="1:148" s="923" customFormat="1" ht="12.75" hidden="1" customHeight="1" outlineLevel="1" x14ac:dyDescent="0.2">
      <c r="A557" s="865"/>
      <c r="B557" s="215"/>
      <c r="C557" s="215"/>
      <c r="D557" s="215"/>
      <c r="E557" s="215"/>
      <c r="F557" s="215"/>
      <c r="G557" s="215"/>
      <c r="H557" s="215"/>
      <c r="I557" s="215"/>
      <c r="J557" s="215"/>
      <c r="K557" s="215"/>
      <c r="L557" s="215"/>
      <c r="M557" s="215"/>
      <c r="N557" s="215"/>
      <c r="O557" s="215"/>
      <c r="P557" s="215"/>
      <c r="Q557" s="215"/>
      <c r="R557" s="215"/>
      <c r="S557" s="215"/>
      <c r="T557" s="215"/>
      <c r="U557" s="215"/>
      <c r="V557" s="215"/>
      <c r="W557" s="215"/>
      <c r="X557" s="215"/>
      <c r="Y557" s="215"/>
      <c r="Z557" s="215"/>
      <c r="AA557" s="215"/>
      <c r="AB557" s="215"/>
      <c r="AC557" s="215"/>
      <c r="AD557" s="215"/>
      <c r="AE557" s="215"/>
      <c r="AF557" s="215"/>
      <c r="AG557" s="215"/>
      <c r="AH557" s="215"/>
      <c r="AI557" s="215"/>
      <c r="AJ557" s="215"/>
      <c r="AK557" s="215"/>
      <c r="AL557" s="215"/>
      <c r="AM557" s="215"/>
      <c r="AN557" s="215"/>
      <c r="AO557" s="215"/>
      <c r="AP557" s="215"/>
      <c r="AQ557" s="215"/>
      <c r="AR557" s="215"/>
      <c r="AS557" s="215"/>
      <c r="AT557" s="215"/>
      <c r="AU557" s="215"/>
      <c r="AV557" s="215"/>
      <c r="AW557" s="215"/>
      <c r="AX557" s="215"/>
      <c r="AY557" s="215"/>
      <c r="AZ557" s="215"/>
      <c r="BA557" s="215"/>
      <c r="BB557" s="215"/>
      <c r="BC557" s="215"/>
      <c r="BD557" s="215"/>
      <c r="BE557" s="215"/>
      <c r="BF557" s="215"/>
      <c r="BG557" s="215"/>
      <c r="BH557" s="215"/>
      <c r="BI557" s="215"/>
      <c r="BJ557" s="215"/>
      <c r="BK557" s="215"/>
      <c r="BL557" s="215"/>
      <c r="BM557" s="215"/>
      <c r="BN557" s="215"/>
      <c r="BO557" s="215"/>
      <c r="BP557" s="215"/>
      <c r="BQ557" s="215"/>
      <c r="BR557" s="215"/>
      <c r="BS557" s="215"/>
      <c r="BT557" s="215"/>
      <c r="BU557" s="215"/>
      <c r="BV557" s="215"/>
      <c r="BW557" s="215"/>
      <c r="BX557" s="215"/>
      <c r="BY557" s="215"/>
      <c r="BZ557" s="215"/>
      <c r="CA557" s="215"/>
      <c r="CB557" s="215"/>
      <c r="CC557" s="215"/>
      <c r="CD557" s="215"/>
      <c r="CE557" s="215"/>
      <c r="CF557" s="215"/>
      <c r="CG557" s="215"/>
      <c r="CH557" s="215"/>
      <c r="CI557" s="215"/>
      <c r="CJ557" s="215"/>
      <c r="CK557" s="215"/>
      <c r="CL557" s="215"/>
      <c r="CM557" s="215"/>
      <c r="CN557" s="215"/>
      <c r="CO557" s="215"/>
      <c r="CP557" s="215"/>
      <c r="CQ557" s="215"/>
      <c r="CR557" s="215"/>
      <c r="CS557" s="215"/>
      <c r="CT557" s="215"/>
      <c r="CU557" s="215"/>
      <c r="CV557" s="215"/>
      <c r="CW557" s="215"/>
      <c r="CX557" s="215"/>
      <c r="CY557" s="215"/>
      <c r="CZ557" s="215"/>
      <c r="DA557" s="215"/>
      <c r="DB557"/>
      <c r="DC557"/>
      <c r="DD557" s="2323"/>
      <c r="DE557" s="2327"/>
      <c r="DF557" s="2327"/>
      <c r="DG557" s="2327"/>
      <c r="DH557" s="2327"/>
      <c r="DI557" s="2327"/>
      <c r="DJ557" s="2327"/>
      <c r="DK557" s="2327"/>
      <c r="DL557" s="2327"/>
      <c r="DM557" s="2327"/>
      <c r="DN557" s="2327"/>
      <c r="DO557" s="2327"/>
      <c r="DP557" s="2327"/>
      <c r="DQ557" s="2327"/>
      <c r="DR557" s="2327"/>
      <c r="DS557" s="2327"/>
      <c r="DT557" s="2327"/>
      <c r="DU557" s="2327"/>
      <c r="DV557" s="2327"/>
      <c r="DW557" s="2327"/>
      <c r="DX557" s="2327"/>
      <c r="DY557" s="2327"/>
      <c r="EA557"/>
      <c r="EB557"/>
      <c r="EC557"/>
      <c r="ED557"/>
      <c r="EE557"/>
      <c r="EF557"/>
      <c r="EJ557"/>
      <c r="EK557"/>
      <c r="EL557"/>
      <c r="ER557" s="212"/>
    </row>
    <row r="558" spans="1:148" s="923" customFormat="1" ht="12.75" hidden="1" customHeight="1" outlineLevel="1" x14ac:dyDescent="0.2">
      <c r="A558" s="865" t="s">
        <v>1343</v>
      </c>
      <c r="B558" s="215"/>
      <c r="C558" s="215"/>
      <c r="D558" s="215"/>
      <c r="E558" s="215"/>
      <c r="F558" s="215"/>
      <c r="G558" s="215"/>
      <c r="H558" s="215"/>
      <c r="I558" s="215">
        <f>I548-I555</f>
        <v>2</v>
      </c>
      <c r="J558" s="215">
        <f>J548-J555</f>
        <v>-3</v>
      </c>
      <c r="K558" s="215">
        <f>K548-K555</f>
        <v>-5</v>
      </c>
      <c r="L558" s="215">
        <f>L548-L555</f>
        <v>-12</v>
      </c>
      <c r="M558" s="226">
        <f>SUM(I558:L558)</f>
        <v>-18</v>
      </c>
      <c r="N558" s="215">
        <f>N548-N555</f>
        <v>1</v>
      </c>
      <c r="O558" s="215">
        <f>O548-O555</f>
        <v>5</v>
      </c>
      <c r="P558" s="215">
        <f>P548-P555</f>
        <v>3</v>
      </c>
      <c r="Q558" s="215">
        <f>Q548-Q555</f>
        <v>8</v>
      </c>
      <c r="R558" s="226">
        <f>SUM(N558:Q558)</f>
        <v>17</v>
      </c>
      <c r="S558" s="215">
        <f>S548-S555</f>
        <v>6</v>
      </c>
      <c r="T558" s="215">
        <f>T548-T555</f>
        <v>5</v>
      </c>
      <c r="U558" s="215">
        <f>U548-U555</f>
        <v>6</v>
      </c>
      <c r="V558" s="215">
        <f>V548-V555</f>
        <v>0</v>
      </c>
      <c r="W558" s="226">
        <f>SUM(S558:V558)</f>
        <v>17</v>
      </c>
      <c r="X558" s="215">
        <f>X548-X555</f>
        <v>0</v>
      </c>
      <c r="Y558" s="215">
        <f>+Y559*Y548</f>
        <v>0</v>
      </c>
      <c r="Z558" s="215">
        <f>+Z559*Z548</f>
        <v>0</v>
      </c>
      <c r="AA558" s="215">
        <f>+AA559*AA548</f>
        <v>0</v>
      </c>
      <c r="AB558" s="226">
        <f>SUM(X558:AA558)</f>
        <v>0</v>
      </c>
      <c r="AC558" s="215">
        <f>+AC559*AC548</f>
        <v>0</v>
      </c>
      <c r="AD558" s="215">
        <f>+AD559*AD548</f>
        <v>0</v>
      </c>
      <c r="AE558" s="215">
        <f>+AE559*AE548</f>
        <v>0</v>
      </c>
      <c r="AF558" s="215">
        <f>+AF559*AF548</f>
        <v>0</v>
      </c>
      <c r="AG558" s="226">
        <f>SUM(AC558:AF558)</f>
        <v>0</v>
      </c>
      <c r="AH558" s="215">
        <f>+AH559*AH548</f>
        <v>0</v>
      </c>
      <c r="AI558" s="215">
        <f>+AI559*AI548</f>
        <v>0</v>
      </c>
      <c r="AJ558" s="215">
        <f>+AJ559*AJ548</f>
        <v>0</v>
      </c>
      <c r="AK558" s="215">
        <f>+AK559*AK548</f>
        <v>0</v>
      </c>
      <c r="AL558" s="226">
        <f>SUM(AH558:AK558)</f>
        <v>0</v>
      </c>
      <c r="AM558" s="215">
        <f>+AM559*AM548</f>
        <v>0</v>
      </c>
      <c r="AN558" s="215">
        <f>+AN559*AN548</f>
        <v>0</v>
      </c>
      <c r="AO558" s="215">
        <f>+AO559*AO548</f>
        <v>0</v>
      </c>
      <c r="AP558" s="215">
        <f>+AP559*AP548</f>
        <v>0</v>
      </c>
      <c r="AQ558" s="226">
        <f>SUM(AM558:AP558)</f>
        <v>0</v>
      </c>
      <c r="AR558" s="215">
        <f>+AR559*AR548</f>
        <v>0</v>
      </c>
      <c r="AS558" s="215">
        <f>+AS559*AS548</f>
        <v>0</v>
      </c>
      <c r="AT558" s="215">
        <f>+AT559*AT548</f>
        <v>0</v>
      </c>
      <c r="AU558" s="215">
        <f>+AU559*AU548</f>
        <v>0</v>
      </c>
      <c r="AV558" s="226">
        <f>SUM(AR558:AU558)</f>
        <v>0</v>
      </c>
      <c r="AW558" s="215">
        <f>+AW559*AW548</f>
        <v>0</v>
      </c>
      <c r="AX558" s="215">
        <f>+AX559*AX548</f>
        <v>0</v>
      </c>
      <c r="AY558" s="215">
        <f>+AY559*AY548</f>
        <v>0</v>
      </c>
      <c r="AZ558" s="215">
        <f>+AZ559*AZ548</f>
        <v>0</v>
      </c>
      <c r="BA558" s="226">
        <f>SUM(AW558:AZ558)</f>
        <v>0</v>
      </c>
      <c r="BB558" s="215">
        <f>+BB559*BB548</f>
        <v>0</v>
      </c>
      <c r="BC558" s="215">
        <f>+BC559*BC548</f>
        <v>0</v>
      </c>
      <c r="BD558" s="215">
        <f>+BD559*BD548</f>
        <v>0</v>
      </c>
      <c r="BE558" s="215">
        <f>+BE559*BE548</f>
        <v>0</v>
      </c>
      <c r="BF558" s="226">
        <f>SUM(BB558:BE558)</f>
        <v>0</v>
      </c>
      <c r="BG558" s="215">
        <f>+BG559*BG548</f>
        <v>0</v>
      </c>
      <c r="BH558" s="215">
        <f>+BH559*BH548</f>
        <v>0</v>
      </c>
      <c r="BI558" s="215">
        <f>+BI559*BI548</f>
        <v>0</v>
      </c>
      <c r="BJ558" s="215">
        <f>+BJ559*BJ548</f>
        <v>0</v>
      </c>
      <c r="BK558" s="226">
        <f>SUM(BG558:BJ558)</f>
        <v>0</v>
      </c>
      <c r="BL558" s="215">
        <f>+BL559*BL548</f>
        <v>0</v>
      </c>
      <c r="BM558" s="215">
        <f>+BM559*BM548</f>
        <v>0</v>
      </c>
      <c r="BN558" s="215">
        <f>+BN559*BN548</f>
        <v>0</v>
      </c>
      <c r="BO558" s="215">
        <f>+BO559*BO548</f>
        <v>0</v>
      </c>
      <c r="BP558" s="226">
        <f>SUM(BL558:BO558)</f>
        <v>0</v>
      </c>
      <c r="BQ558" s="215"/>
      <c r="BR558" s="215"/>
      <c r="BS558" s="215"/>
      <c r="BT558" s="215"/>
      <c r="BU558" s="226">
        <f>+BU559*BU548</f>
        <v>0</v>
      </c>
      <c r="BV558" s="215"/>
      <c r="BW558" s="215"/>
      <c r="BX558" s="215"/>
      <c r="BY558" s="215"/>
      <c r="BZ558" s="226"/>
      <c r="CA558" s="226"/>
      <c r="CB558" s="226"/>
      <c r="CC558" s="226"/>
      <c r="CD558" s="226"/>
      <c r="CE558" s="226"/>
      <c r="CF558" s="226"/>
      <c r="CG558" s="226"/>
      <c r="CH558" s="226"/>
      <c r="CI558" s="226"/>
      <c r="CJ558" s="226"/>
      <c r="CK558" s="226"/>
      <c r="CL558" s="226"/>
      <c r="CM558" s="226"/>
      <c r="CN558" s="226"/>
      <c r="CO558" s="226"/>
      <c r="CP558" s="226"/>
      <c r="CQ558" s="226"/>
      <c r="CR558" s="226"/>
      <c r="CS558" s="226"/>
      <c r="CT558" s="226"/>
      <c r="CU558" s="226"/>
      <c r="CV558" s="226"/>
      <c r="CW558" s="226"/>
      <c r="CX558" s="226"/>
      <c r="CY558" s="226"/>
      <c r="CZ558" s="226"/>
      <c r="DA558" s="226"/>
      <c r="DB558"/>
      <c r="DC558"/>
      <c r="DD558" s="2323" t="s">
        <v>1343</v>
      </c>
      <c r="DE558" s="2327">
        <f>M558</f>
        <v>-18</v>
      </c>
      <c r="DF558" s="2327">
        <f>R558</f>
        <v>17</v>
      </c>
      <c r="DG558" s="2327">
        <f>W558</f>
        <v>17</v>
      </c>
      <c r="DH558" s="2327">
        <f>AB558</f>
        <v>0</v>
      </c>
      <c r="DI558" s="2327">
        <f>AG558</f>
        <v>0</v>
      </c>
      <c r="DJ558" s="2327">
        <f>AL558</f>
        <v>0</v>
      </c>
      <c r="DK558" s="2327">
        <f>AQ558</f>
        <v>0</v>
      </c>
      <c r="DL558" s="2327">
        <f>AV558</f>
        <v>0</v>
      </c>
      <c r="DM558" s="2327">
        <f>BA558</f>
        <v>0</v>
      </c>
      <c r="DN558" s="2327">
        <f>BF558</f>
        <v>0</v>
      </c>
      <c r="DO558" s="2327">
        <f>BK558</f>
        <v>0</v>
      </c>
      <c r="DP558" s="2327">
        <f>BP558</f>
        <v>0</v>
      </c>
      <c r="DQ558" s="2327">
        <f>BU558</f>
        <v>0</v>
      </c>
      <c r="DR558" s="2327">
        <f>BZ558</f>
        <v>0</v>
      </c>
      <c r="DS558" s="2327">
        <f>CE558</f>
        <v>0</v>
      </c>
      <c r="DT558" s="2327">
        <f>CJ558</f>
        <v>0</v>
      </c>
      <c r="DU558" s="2327">
        <f>CO558</f>
        <v>0</v>
      </c>
      <c r="DV558" s="2327">
        <f>CT558</f>
        <v>0</v>
      </c>
      <c r="DW558" s="2327">
        <f t="shared" ref="DW558:DY559" si="1032">CY558</f>
        <v>0</v>
      </c>
      <c r="DX558" s="2327">
        <f t="shared" si="1032"/>
        <v>0</v>
      </c>
      <c r="DY558" s="2327">
        <f t="shared" si="1032"/>
        <v>0</v>
      </c>
      <c r="EA558"/>
      <c r="EB558"/>
      <c r="EC558"/>
      <c r="ED558"/>
      <c r="EE558"/>
      <c r="EF558"/>
      <c r="EJ558"/>
      <c r="EK558"/>
      <c r="EL558"/>
      <c r="ER558" s="212"/>
    </row>
    <row r="559" spans="1:148" s="923" customFormat="1" ht="12.75" hidden="1" customHeight="1" outlineLevel="1" x14ac:dyDescent="0.2">
      <c r="A559" s="865" t="s">
        <v>801</v>
      </c>
      <c r="B559" s="954"/>
      <c r="C559" s="954"/>
      <c r="D559" s="954"/>
      <c r="E559" s="954"/>
      <c r="F559" s="954"/>
      <c r="G559" s="954"/>
      <c r="H559" s="954"/>
      <c r="I559" s="954">
        <f t="shared" ref="I559:U559" si="1033">I558/I548</f>
        <v>2.5000000000000001E-2</v>
      </c>
      <c r="J559" s="954">
        <f t="shared" si="1033"/>
        <v>-0.04</v>
      </c>
      <c r="K559" s="954">
        <f t="shared" si="1033"/>
        <v>-6.9444444444444448E-2</v>
      </c>
      <c r="L559" s="954">
        <f t="shared" si="1033"/>
        <v>-0.11320754716981132</v>
      </c>
      <c r="M559" s="223">
        <f t="shared" si="1033"/>
        <v>-5.4054054054054057E-2</v>
      </c>
      <c r="N559" s="954">
        <f t="shared" si="1033"/>
        <v>1.1904761904761904E-2</v>
      </c>
      <c r="O559" s="954">
        <f t="shared" si="1033"/>
        <v>6.0240963855421686E-2</v>
      </c>
      <c r="P559" s="954">
        <f t="shared" si="1033"/>
        <v>3.6585365853658534E-2</v>
      </c>
      <c r="Q559" s="954">
        <f t="shared" si="1033"/>
        <v>6.7796610169491525E-2</v>
      </c>
      <c r="R559" s="223">
        <f t="shared" si="1033"/>
        <v>4.632152588555858E-2</v>
      </c>
      <c r="S559" s="954">
        <f t="shared" si="1033"/>
        <v>6.6666666666666666E-2</v>
      </c>
      <c r="T559" s="954">
        <f t="shared" si="1033"/>
        <v>5.8139534883720929E-2</v>
      </c>
      <c r="U559" s="954">
        <f t="shared" si="1033"/>
        <v>7.0588235294117646E-2</v>
      </c>
      <c r="V559" s="954">
        <v>0</v>
      </c>
      <c r="W559" s="223">
        <f>W558/W548</f>
        <v>6.5134099616858232E-2</v>
      </c>
      <c r="X559" s="954">
        <v>0</v>
      </c>
      <c r="Y559" s="954">
        <v>0</v>
      </c>
      <c r="Z559" s="954">
        <v>0</v>
      </c>
      <c r="AA559" s="954">
        <v>0</v>
      </c>
      <c r="AB559" s="223"/>
      <c r="AC559" s="954">
        <v>0</v>
      </c>
      <c r="AD559" s="954">
        <v>0</v>
      </c>
      <c r="AE559" s="954">
        <v>0</v>
      </c>
      <c r="AF559" s="954">
        <v>0</v>
      </c>
      <c r="AG559" s="223" t="s">
        <v>1666</v>
      </c>
      <c r="AH559" s="954">
        <v>0</v>
      </c>
      <c r="AI559" s="954">
        <v>0</v>
      </c>
      <c r="AJ559" s="954">
        <v>0</v>
      </c>
      <c r="AK559" s="954">
        <v>0</v>
      </c>
      <c r="AL559" s="223" t="s">
        <v>1666</v>
      </c>
      <c r="AM559" s="954">
        <v>0</v>
      </c>
      <c r="AN559" s="954">
        <v>0</v>
      </c>
      <c r="AO559" s="954">
        <v>0</v>
      </c>
      <c r="AP559" s="954">
        <v>0</v>
      </c>
      <c r="AQ559" s="223" t="s">
        <v>1666</v>
      </c>
      <c r="AR559" s="954">
        <v>0</v>
      </c>
      <c r="AS559" s="954">
        <v>0</v>
      </c>
      <c r="AT559" s="954">
        <v>0</v>
      </c>
      <c r="AU559" s="954">
        <v>0</v>
      </c>
      <c r="AV559" s="223" t="s">
        <v>1666</v>
      </c>
      <c r="AW559" s="954">
        <v>0</v>
      </c>
      <c r="AX559" s="954">
        <v>0</v>
      </c>
      <c r="AY559" s="954">
        <v>0</v>
      </c>
      <c r="AZ559" s="954">
        <v>0</v>
      </c>
      <c r="BA559" s="223" t="s">
        <v>1666</v>
      </c>
      <c r="BB559" s="954">
        <v>0</v>
      </c>
      <c r="BC559" s="954">
        <v>0</v>
      </c>
      <c r="BD559" s="954">
        <v>0</v>
      </c>
      <c r="BE559" s="954">
        <v>0</v>
      </c>
      <c r="BF559" s="223" t="s">
        <v>1666</v>
      </c>
      <c r="BG559" s="954">
        <v>0</v>
      </c>
      <c r="BH559" s="954">
        <v>0</v>
      </c>
      <c r="BI559" s="954">
        <v>0</v>
      </c>
      <c r="BJ559" s="954">
        <v>0</v>
      </c>
      <c r="BK559" s="223" t="s">
        <v>1666</v>
      </c>
      <c r="BL559" s="954">
        <v>0</v>
      </c>
      <c r="BM559" s="954">
        <v>0</v>
      </c>
      <c r="BN559" s="954">
        <v>0</v>
      </c>
      <c r="BO559" s="954">
        <v>0</v>
      </c>
      <c r="BP559" s="223" t="s">
        <v>1666</v>
      </c>
      <c r="BQ559" s="954"/>
      <c r="BR559" s="954"/>
      <c r="BS559" s="954"/>
      <c r="BT559" s="954"/>
      <c r="BU559" s="223">
        <v>0</v>
      </c>
      <c r="BV559" s="954"/>
      <c r="BW559" s="954"/>
      <c r="BX559" s="954"/>
      <c r="BY559" s="954"/>
      <c r="BZ559" s="223"/>
      <c r="CA559" s="223"/>
      <c r="CB559" s="223"/>
      <c r="CC559" s="223"/>
      <c r="CD559" s="223"/>
      <c r="CE559" s="223"/>
      <c r="CF559" s="223"/>
      <c r="CG559" s="223"/>
      <c r="CH559" s="223"/>
      <c r="CI559" s="223"/>
      <c r="CJ559" s="223"/>
      <c r="CK559" s="223"/>
      <c r="CL559" s="223"/>
      <c r="CM559" s="223"/>
      <c r="CN559" s="223"/>
      <c r="CO559" s="223"/>
      <c r="CP559" s="223"/>
      <c r="CQ559" s="223"/>
      <c r="CR559" s="223"/>
      <c r="CS559" s="223"/>
      <c r="CT559" s="223"/>
      <c r="CU559" s="223"/>
      <c r="CV559" s="223"/>
      <c r="CW559" s="223"/>
      <c r="CX559" s="223"/>
      <c r="CY559" s="223"/>
      <c r="CZ559" s="223"/>
      <c r="DA559" s="223"/>
      <c r="DB559"/>
      <c r="DC559"/>
      <c r="DD559" s="2323" t="s">
        <v>801</v>
      </c>
      <c r="DE559" s="2327">
        <f>M559</f>
        <v>-5.4054054054054057E-2</v>
      </c>
      <c r="DF559" s="2327">
        <f>R559</f>
        <v>4.632152588555858E-2</v>
      </c>
      <c r="DG559" s="2327">
        <f>W559</f>
        <v>6.5134099616858232E-2</v>
      </c>
      <c r="DH559" s="2327">
        <f>AB559</f>
        <v>0</v>
      </c>
      <c r="DI559" s="2327" t="str">
        <f>AG559</f>
        <v>N.M.</v>
      </c>
      <c r="DJ559" s="2327" t="str">
        <f>AL559</f>
        <v>N.M.</v>
      </c>
      <c r="DK559" s="2327" t="str">
        <f>AQ559</f>
        <v>N.M.</v>
      </c>
      <c r="DL559" s="2327" t="str">
        <f>AV559</f>
        <v>N.M.</v>
      </c>
      <c r="DM559" s="2327" t="str">
        <f>BA559</f>
        <v>N.M.</v>
      </c>
      <c r="DN559" s="2327" t="str">
        <f>BF559</f>
        <v>N.M.</v>
      </c>
      <c r="DO559" s="2327" t="str">
        <f>BK559</f>
        <v>N.M.</v>
      </c>
      <c r="DP559" s="2327" t="str">
        <f>BP559</f>
        <v>N.M.</v>
      </c>
      <c r="DQ559" s="2327">
        <f>BU559</f>
        <v>0</v>
      </c>
      <c r="DR559" s="2327">
        <f>BZ559</f>
        <v>0</v>
      </c>
      <c r="DS559" s="2327">
        <f>CE559</f>
        <v>0</v>
      </c>
      <c r="DT559" s="2327">
        <f>CJ559</f>
        <v>0</v>
      </c>
      <c r="DU559" s="2327">
        <f>CO559</f>
        <v>0</v>
      </c>
      <c r="DV559" s="2327">
        <f>CT559</f>
        <v>0</v>
      </c>
      <c r="DW559" s="2327">
        <f t="shared" si="1032"/>
        <v>0</v>
      </c>
      <c r="DX559" s="2327">
        <f t="shared" si="1032"/>
        <v>0</v>
      </c>
      <c r="DY559" s="2327">
        <f t="shared" si="1032"/>
        <v>0</v>
      </c>
      <c r="EA559"/>
      <c r="EB559"/>
      <c r="EC559"/>
      <c r="ED559"/>
      <c r="EE559"/>
      <c r="EF559"/>
      <c r="EJ559"/>
      <c r="EK559"/>
      <c r="EL559"/>
      <c r="ER559" s="212"/>
    </row>
    <row r="560" spans="1:148" s="923" customFormat="1" ht="12.75" hidden="1" customHeight="1" outlineLevel="1" x14ac:dyDescent="0.2">
      <c r="A560" s="865"/>
      <c r="B560" s="215"/>
      <c r="C560" s="215"/>
      <c r="D560" s="215"/>
      <c r="E560" s="215"/>
      <c r="F560" s="215"/>
      <c r="G560" s="215"/>
      <c r="H560" s="215"/>
      <c r="I560" s="215"/>
      <c r="J560" s="215"/>
      <c r="K560" s="215"/>
      <c r="L560" s="215"/>
      <c r="M560" s="215"/>
      <c r="N560" s="215"/>
      <c r="O560" s="215"/>
      <c r="P560" s="215"/>
      <c r="Q560" s="215"/>
      <c r="R560" s="215"/>
      <c r="S560" s="215"/>
      <c r="T560" s="215"/>
      <c r="U560" s="215"/>
      <c r="V560" s="215"/>
      <c r="W560" s="215"/>
      <c r="X560" s="215"/>
      <c r="Y560" s="215"/>
      <c r="Z560" s="215"/>
      <c r="AA560" s="215"/>
      <c r="AB560" s="215"/>
      <c r="AC560" s="215"/>
      <c r="AD560" s="215"/>
      <c r="AE560" s="215"/>
      <c r="AF560" s="215"/>
      <c r="AG560" s="215"/>
      <c r="AH560" s="215"/>
      <c r="AI560" s="215"/>
      <c r="AJ560" s="215"/>
      <c r="AK560" s="215"/>
      <c r="AL560" s="215"/>
      <c r="AM560" s="215"/>
      <c r="AN560" s="215"/>
      <c r="AO560" s="215"/>
      <c r="AP560" s="215"/>
      <c r="AQ560" s="215"/>
      <c r="AR560" s="215"/>
      <c r="AS560" s="215"/>
      <c r="AT560" s="215"/>
      <c r="AU560" s="215"/>
      <c r="AV560" s="215"/>
      <c r="AW560" s="215"/>
      <c r="AX560" s="215"/>
      <c r="AY560" s="215"/>
      <c r="AZ560" s="215"/>
      <c r="BA560" s="215"/>
      <c r="BB560" s="215"/>
      <c r="BC560" s="215"/>
      <c r="BD560" s="215"/>
      <c r="BE560" s="215"/>
      <c r="BF560" s="215"/>
      <c r="BG560" s="215"/>
      <c r="BH560" s="215"/>
      <c r="BI560" s="215"/>
      <c r="BJ560" s="215"/>
      <c r="BK560" s="215"/>
      <c r="BL560" s="215"/>
      <c r="BM560" s="215"/>
      <c r="BN560" s="215"/>
      <c r="BO560" s="215"/>
      <c r="BP560" s="215"/>
      <c r="BQ560" s="215"/>
      <c r="BR560" s="215"/>
      <c r="BS560" s="215"/>
      <c r="BT560" s="215"/>
      <c r="BU560" s="215"/>
      <c r="BV560" s="215"/>
      <c r="BW560" s="215"/>
      <c r="BX560" s="215"/>
      <c r="BY560" s="215"/>
      <c r="BZ560" s="215"/>
      <c r="CA560" s="215"/>
      <c r="CB560" s="215"/>
      <c r="CC560" s="215"/>
      <c r="CD560" s="215"/>
      <c r="CE560" s="215"/>
      <c r="CF560" s="215"/>
      <c r="CG560" s="215"/>
      <c r="CH560" s="215"/>
      <c r="CI560" s="215"/>
      <c r="CJ560" s="215"/>
      <c r="CK560" s="215"/>
      <c r="CL560" s="215"/>
      <c r="CM560" s="215"/>
      <c r="CN560" s="215"/>
      <c r="CO560" s="215"/>
      <c r="CP560" s="215"/>
      <c r="CQ560" s="215"/>
      <c r="CR560" s="215"/>
      <c r="CS560" s="215"/>
      <c r="CT560" s="215"/>
      <c r="CU560" s="215"/>
      <c r="CV560" s="215"/>
      <c r="CW560" s="215"/>
      <c r="CX560" s="215"/>
      <c r="CY560" s="215"/>
      <c r="CZ560" s="215"/>
      <c r="DA560" s="215"/>
      <c r="DB560"/>
      <c r="DC560"/>
      <c r="DD560" s="2323"/>
      <c r="DE560" s="2327"/>
      <c r="DF560" s="2327"/>
      <c r="DG560" s="2327"/>
      <c r="DH560" s="2327"/>
      <c r="DI560" s="2327"/>
      <c r="DJ560" s="2327"/>
      <c r="DK560" s="2327"/>
      <c r="DL560" s="2327"/>
      <c r="DM560" s="2327"/>
      <c r="DN560" s="2327"/>
      <c r="DO560" s="2327"/>
      <c r="DP560" s="2327"/>
      <c r="DQ560" s="2327"/>
      <c r="DR560" s="2327"/>
      <c r="DS560" s="2327"/>
      <c r="DT560" s="2327"/>
      <c r="DU560" s="2327"/>
      <c r="DV560" s="2327"/>
      <c r="DW560" s="2327"/>
      <c r="DX560" s="2327"/>
      <c r="DY560" s="2327"/>
      <c r="EA560"/>
      <c r="EB560"/>
      <c r="EC560"/>
      <c r="ED560"/>
      <c r="EE560"/>
      <c r="EF560"/>
      <c r="EJ560"/>
      <c r="EK560"/>
      <c r="EL560"/>
      <c r="ER560" s="212"/>
    </row>
    <row r="561" spans="1:148" s="923" customFormat="1" ht="12.75" hidden="1" customHeight="1" outlineLevel="1" x14ac:dyDescent="0.2">
      <c r="A561" s="865" t="s">
        <v>798</v>
      </c>
      <c r="B561" s="215"/>
      <c r="C561" s="215"/>
      <c r="D561" s="215"/>
      <c r="E561" s="215"/>
      <c r="F561" s="215"/>
      <c r="G561" s="215"/>
      <c r="H561" s="215"/>
      <c r="I561" s="215">
        <v>6.4615384615384617</v>
      </c>
      <c r="J561" s="215">
        <v>6.4615384615384617</v>
      </c>
      <c r="K561" s="215">
        <v>6.4615384615384617</v>
      </c>
      <c r="L561" s="215">
        <v>8.6153846153846168</v>
      </c>
      <c r="M561" s="599">
        <f>SUM(I561:L561)</f>
        <v>28.000000000000004</v>
      </c>
      <c r="N561" s="215">
        <v>7.384615384615385</v>
      </c>
      <c r="O561" s="215">
        <v>7.384615384615385</v>
      </c>
      <c r="P561" s="215">
        <v>7.384615384615385</v>
      </c>
      <c r="Q561" s="215">
        <v>9.8461538461538467</v>
      </c>
      <c r="R561" s="599">
        <f>SUM(N561:Q561)</f>
        <v>32</v>
      </c>
      <c r="S561" s="215">
        <v>5.12</v>
      </c>
      <c r="T561" s="215">
        <v>6.1702564102564104</v>
      </c>
      <c r="U561" s="215">
        <v>6.1702564102564104</v>
      </c>
      <c r="V561" s="215">
        <v>8.7411965811965811</v>
      </c>
      <c r="W561" s="599">
        <f>+V561+U561+T561+S561</f>
        <v>26.201709401709405</v>
      </c>
      <c r="X561" s="215">
        <v>0</v>
      </c>
      <c r="Y561" s="215">
        <v>0</v>
      </c>
      <c r="Z561" s="215">
        <v>0</v>
      </c>
      <c r="AA561" s="215">
        <v>0</v>
      </c>
      <c r="AB561" s="599">
        <f>SUM(X561:AA561)</f>
        <v>0</v>
      </c>
      <c r="AC561" s="215">
        <v>0</v>
      </c>
      <c r="AD561" s="215">
        <v>0</v>
      </c>
      <c r="AE561" s="215">
        <v>0</v>
      </c>
      <c r="AF561" s="215">
        <v>0</v>
      </c>
      <c r="AG561" s="599">
        <f>SUM(AC561:AF561)</f>
        <v>0</v>
      </c>
      <c r="AH561" s="215">
        <v>0</v>
      </c>
      <c r="AI561" s="215">
        <v>0</v>
      </c>
      <c r="AJ561" s="215">
        <v>0</v>
      </c>
      <c r="AK561" s="215">
        <v>0</v>
      </c>
      <c r="AL561" s="599">
        <f>SUM(AH561:AK561)</f>
        <v>0</v>
      </c>
      <c r="AM561" s="215">
        <v>0</v>
      </c>
      <c r="AN561" s="215">
        <v>0</v>
      </c>
      <c r="AO561" s="215">
        <v>0</v>
      </c>
      <c r="AP561" s="215">
        <v>0</v>
      </c>
      <c r="AQ561" s="599">
        <f>SUM(AM561:AP561)</f>
        <v>0</v>
      </c>
      <c r="AR561" s="215">
        <v>0</v>
      </c>
      <c r="AS561" s="215">
        <v>0</v>
      </c>
      <c r="AT561" s="215">
        <v>0</v>
      </c>
      <c r="AU561" s="215">
        <v>0</v>
      </c>
      <c r="AV561" s="599">
        <f>SUM(AR561:AU561)</f>
        <v>0</v>
      </c>
      <c r="AW561" s="215">
        <v>0</v>
      </c>
      <c r="AX561" s="215">
        <v>0</v>
      </c>
      <c r="AY561" s="215">
        <v>0</v>
      </c>
      <c r="AZ561" s="215">
        <v>0</v>
      </c>
      <c r="BA561" s="599">
        <f>SUM(AW561:AZ561)</f>
        <v>0</v>
      </c>
      <c r="BB561" s="215">
        <v>0</v>
      </c>
      <c r="BC561" s="215">
        <v>0</v>
      </c>
      <c r="BD561" s="215">
        <v>0</v>
      </c>
      <c r="BE561" s="215">
        <v>0</v>
      </c>
      <c r="BF561" s="599">
        <f>SUM(BB561:BE561)</f>
        <v>0</v>
      </c>
      <c r="BG561" s="215">
        <v>0</v>
      </c>
      <c r="BH561" s="215">
        <v>0</v>
      </c>
      <c r="BI561" s="215">
        <v>0</v>
      </c>
      <c r="BJ561" s="215">
        <v>0</v>
      </c>
      <c r="BK561" s="599">
        <f>SUM(BG561:BJ561)</f>
        <v>0</v>
      </c>
      <c r="BL561" s="215">
        <v>0</v>
      </c>
      <c r="BM561" s="215">
        <v>0</v>
      </c>
      <c r="BN561" s="215">
        <v>0</v>
      </c>
      <c r="BO561" s="215">
        <v>0</v>
      </c>
      <c r="BP561" s="599">
        <f>SUM(BL561:BO561)</f>
        <v>0</v>
      </c>
      <c r="BQ561" s="215"/>
      <c r="BR561" s="215"/>
      <c r="BS561" s="215"/>
      <c r="BT561" s="215"/>
      <c r="BU561" s="599">
        <v>0</v>
      </c>
      <c r="BV561" s="215"/>
      <c r="BW561" s="215"/>
      <c r="BX561" s="215"/>
      <c r="BY561" s="215"/>
      <c r="BZ561" s="599"/>
      <c r="CA561" s="599"/>
      <c r="CB561" s="599"/>
      <c r="CC561" s="599"/>
      <c r="CD561" s="599"/>
      <c r="CE561" s="599"/>
      <c r="CF561" s="599"/>
      <c r="CG561" s="599"/>
      <c r="CH561" s="599"/>
      <c r="CI561" s="599"/>
      <c r="CJ561" s="599"/>
      <c r="CK561" s="599"/>
      <c r="CL561" s="599"/>
      <c r="CM561" s="599"/>
      <c r="CN561" s="599"/>
      <c r="CO561" s="599"/>
      <c r="CP561" s="599"/>
      <c r="CQ561" s="599"/>
      <c r="CR561" s="599"/>
      <c r="CS561" s="599"/>
      <c r="CT561" s="599"/>
      <c r="CU561" s="599"/>
      <c r="CV561" s="599"/>
      <c r="CW561" s="599"/>
      <c r="CX561" s="599"/>
      <c r="CY561" s="599"/>
      <c r="CZ561" s="599"/>
      <c r="DA561" s="599"/>
      <c r="DB561"/>
      <c r="DC561"/>
      <c r="DD561" s="2323" t="s">
        <v>798</v>
      </c>
      <c r="DE561" s="2327">
        <f>M561</f>
        <v>28.000000000000004</v>
      </c>
      <c r="DF561" s="2327">
        <f>R561</f>
        <v>32</v>
      </c>
      <c r="DG561" s="2327">
        <f>W561</f>
        <v>26.201709401709405</v>
      </c>
      <c r="DH561" s="2327">
        <f>AB561</f>
        <v>0</v>
      </c>
      <c r="DI561" s="2327">
        <f>AG561</f>
        <v>0</v>
      </c>
      <c r="DJ561" s="2327">
        <f>AL561</f>
        <v>0</v>
      </c>
      <c r="DK561" s="2327">
        <f>AQ561</f>
        <v>0</v>
      </c>
      <c r="DL561" s="2327">
        <f>AV561</f>
        <v>0</v>
      </c>
      <c r="DM561" s="2327">
        <f>BA561</f>
        <v>0</v>
      </c>
      <c r="DN561" s="2327">
        <f>BF561</f>
        <v>0</v>
      </c>
      <c r="DO561" s="2327">
        <f>BK561</f>
        <v>0</v>
      </c>
      <c r="DP561" s="2327">
        <f>BP561</f>
        <v>0</v>
      </c>
      <c r="DQ561" s="2327">
        <f>BU561</f>
        <v>0</v>
      </c>
      <c r="DR561" s="2327">
        <f>BZ561</f>
        <v>0</v>
      </c>
      <c r="DS561" s="2327">
        <f>CE561</f>
        <v>0</v>
      </c>
      <c r="DT561" s="2327">
        <f>CJ561</f>
        <v>0</v>
      </c>
      <c r="DU561" s="2327">
        <f>CO561</f>
        <v>0</v>
      </c>
      <c r="DV561" s="2327">
        <f>CT561</f>
        <v>0</v>
      </c>
      <c r="DW561" s="2327">
        <f>CY561</f>
        <v>0</v>
      </c>
      <c r="DX561" s="2327">
        <f>CZ561</f>
        <v>0</v>
      </c>
      <c r="DY561" s="2327">
        <f>DA561</f>
        <v>0</v>
      </c>
      <c r="EA561"/>
      <c r="EB561"/>
      <c r="EC561"/>
      <c r="ED561"/>
      <c r="EE561"/>
      <c r="EF561"/>
      <c r="EJ561"/>
      <c r="EK561"/>
      <c r="EL561"/>
      <c r="ER561" s="212"/>
    </row>
    <row r="562" spans="1:148" s="923" customFormat="1" ht="12.75" hidden="1" customHeight="1" outlineLevel="1" x14ac:dyDescent="0.2">
      <c r="A562" s="865"/>
      <c r="B562" s="215"/>
      <c r="C562" s="215"/>
      <c r="D562" s="215"/>
      <c r="E562" s="215"/>
      <c r="F562" s="215"/>
      <c r="G562" s="215"/>
      <c r="H562" s="215"/>
      <c r="I562" s="215"/>
      <c r="J562" s="215"/>
      <c r="K562" s="215"/>
      <c r="L562" s="215"/>
      <c r="M562" s="215"/>
      <c r="N562" s="215"/>
      <c r="O562" s="215"/>
      <c r="P562" s="215"/>
      <c r="Q562" s="215"/>
      <c r="R562" s="215"/>
      <c r="S562" s="215"/>
      <c r="T562" s="215"/>
      <c r="U562" s="215"/>
      <c r="V562" s="215"/>
      <c r="W562" s="215"/>
      <c r="X562" s="215"/>
      <c r="Y562" s="215"/>
      <c r="Z562" s="215"/>
      <c r="AA562" s="215"/>
      <c r="AB562" s="215"/>
      <c r="AC562" s="215"/>
      <c r="AD562" s="215"/>
      <c r="AE562" s="215"/>
      <c r="AF562" s="215"/>
      <c r="AG562" s="215"/>
      <c r="AH562" s="215"/>
      <c r="AI562" s="215"/>
      <c r="AJ562" s="215"/>
      <c r="AK562" s="215"/>
      <c r="AL562" s="215"/>
      <c r="AM562" s="215"/>
      <c r="AN562" s="215"/>
      <c r="AO562" s="215"/>
      <c r="AP562" s="215"/>
      <c r="AQ562" s="215"/>
      <c r="AR562" s="215"/>
      <c r="AS562" s="215"/>
      <c r="AT562" s="215"/>
      <c r="AU562" s="215"/>
      <c r="AV562" s="215"/>
      <c r="AW562" s="215"/>
      <c r="AX562" s="215"/>
      <c r="AY562" s="215"/>
      <c r="AZ562" s="215"/>
      <c r="BA562" s="215"/>
      <c r="BB562" s="215"/>
      <c r="BC562" s="215"/>
      <c r="BD562" s="215"/>
      <c r="BE562" s="215"/>
      <c r="BF562" s="215"/>
      <c r="BG562" s="215"/>
      <c r="BH562" s="215"/>
      <c r="BI562" s="215"/>
      <c r="BJ562" s="215"/>
      <c r="BK562" s="215"/>
      <c r="BL562" s="215"/>
      <c r="BM562" s="215"/>
      <c r="BN562" s="215"/>
      <c r="BO562" s="215"/>
      <c r="BP562" s="215"/>
      <c r="BQ562" s="215"/>
      <c r="BR562" s="215"/>
      <c r="BS562" s="215"/>
      <c r="BT562" s="215"/>
      <c r="BU562" s="215"/>
      <c r="BV562" s="215"/>
      <c r="BW562" s="215"/>
      <c r="BX562" s="215"/>
      <c r="BY562" s="215"/>
      <c r="BZ562" s="215"/>
      <c r="CA562" s="215"/>
      <c r="CB562" s="215"/>
      <c r="CC562" s="215"/>
      <c r="CD562" s="215"/>
      <c r="CE562" s="215"/>
      <c r="CF562" s="215"/>
      <c r="CG562" s="215"/>
      <c r="CH562" s="215"/>
      <c r="CI562" s="215"/>
      <c r="CJ562" s="215"/>
      <c r="CK562" s="215"/>
      <c r="CL562" s="215"/>
      <c r="CM562" s="215"/>
      <c r="CN562" s="215"/>
      <c r="CO562" s="215"/>
      <c r="CP562" s="215"/>
      <c r="CQ562" s="215"/>
      <c r="CR562" s="215"/>
      <c r="CS562" s="215"/>
      <c r="CT562" s="215"/>
      <c r="CU562" s="215"/>
      <c r="CV562" s="215"/>
      <c r="CW562" s="215"/>
      <c r="CX562" s="215"/>
      <c r="CY562" s="215"/>
      <c r="CZ562" s="215"/>
      <c r="DA562" s="215"/>
      <c r="DB562"/>
      <c r="DC562"/>
      <c r="DD562" s="2323"/>
      <c r="DE562" s="2327"/>
      <c r="DF562" s="2327"/>
      <c r="DG562" s="2327"/>
      <c r="DH562" s="2327"/>
      <c r="DI562" s="2327"/>
      <c r="DJ562" s="2327"/>
      <c r="DK562" s="2327"/>
      <c r="DL562" s="2327"/>
      <c r="DM562" s="2327"/>
      <c r="DN562" s="2327"/>
      <c r="DO562" s="2327"/>
      <c r="DP562" s="2327"/>
      <c r="DQ562" s="2327"/>
      <c r="DR562" s="2327"/>
      <c r="DS562" s="2327"/>
      <c r="DT562" s="2327"/>
      <c r="DU562" s="2327"/>
      <c r="DV562" s="2327"/>
      <c r="DW562" s="2327"/>
      <c r="DX562" s="2327"/>
      <c r="DY562" s="2327"/>
      <c r="EA562"/>
      <c r="EB562"/>
      <c r="EC562"/>
      <c r="ED562"/>
      <c r="EE562"/>
      <c r="EF562"/>
      <c r="EJ562"/>
      <c r="EK562"/>
      <c r="EL562"/>
      <c r="ER562" s="212"/>
    </row>
    <row r="563" spans="1:148" s="923" customFormat="1" ht="12.75" hidden="1" customHeight="1" outlineLevel="1" x14ac:dyDescent="0.2">
      <c r="A563" s="865" t="s">
        <v>1863</v>
      </c>
      <c r="B563" s="226"/>
      <c r="C563" s="226"/>
      <c r="D563" s="226"/>
      <c r="E563" s="226"/>
      <c r="F563" s="226"/>
      <c r="G563" s="226"/>
      <c r="H563" s="226"/>
      <c r="I563" s="226">
        <f t="shared" ref="I563:AN563" si="1034">+I558+I561</f>
        <v>8.4615384615384617</v>
      </c>
      <c r="J563" s="226">
        <f t="shared" si="1034"/>
        <v>3.4615384615384617</v>
      </c>
      <c r="K563" s="226">
        <f t="shared" si="1034"/>
        <v>1.4615384615384617</v>
      </c>
      <c r="L563" s="226">
        <f t="shared" si="1034"/>
        <v>-3.3846153846153832</v>
      </c>
      <c r="M563" s="226">
        <f t="shared" si="1034"/>
        <v>10.000000000000004</v>
      </c>
      <c r="N563" s="226">
        <f t="shared" si="1034"/>
        <v>8.384615384615385</v>
      </c>
      <c r="O563" s="226">
        <f t="shared" si="1034"/>
        <v>12.384615384615385</v>
      </c>
      <c r="P563" s="226">
        <f t="shared" si="1034"/>
        <v>10.384615384615385</v>
      </c>
      <c r="Q563" s="226">
        <f t="shared" si="1034"/>
        <v>17.846153846153847</v>
      </c>
      <c r="R563" s="226">
        <f t="shared" si="1034"/>
        <v>49</v>
      </c>
      <c r="S563" s="226">
        <f t="shared" si="1034"/>
        <v>11.120000000000001</v>
      </c>
      <c r="T563" s="226">
        <f t="shared" si="1034"/>
        <v>11.17025641025641</v>
      </c>
      <c r="U563" s="226">
        <f t="shared" si="1034"/>
        <v>12.17025641025641</v>
      </c>
      <c r="V563" s="226">
        <f t="shared" si="1034"/>
        <v>8.7411965811965811</v>
      </c>
      <c r="W563" s="226">
        <f t="shared" si="1034"/>
        <v>43.201709401709408</v>
      </c>
      <c r="X563" s="226">
        <f t="shared" si="1034"/>
        <v>0</v>
      </c>
      <c r="Y563" s="226">
        <f t="shared" si="1034"/>
        <v>0</v>
      </c>
      <c r="Z563" s="226">
        <f t="shared" si="1034"/>
        <v>0</v>
      </c>
      <c r="AA563" s="226">
        <f t="shared" si="1034"/>
        <v>0</v>
      </c>
      <c r="AB563" s="226">
        <f t="shared" si="1034"/>
        <v>0</v>
      </c>
      <c r="AC563" s="226">
        <f t="shared" si="1034"/>
        <v>0</v>
      </c>
      <c r="AD563" s="226">
        <f t="shared" si="1034"/>
        <v>0</v>
      </c>
      <c r="AE563" s="226">
        <f t="shared" si="1034"/>
        <v>0</v>
      </c>
      <c r="AF563" s="226">
        <f t="shared" si="1034"/>
        <v>0</v>
      </c>
      <c r="AG563" s="226">
        <f t="shared" si="1034"/>
        <v>0</v>
      </c>
      <c r="AH563" s="226">
        <f t="shared" si="1034"/>
        <v>0</v>
      </c>
      <c r="AI563" s="226">
        <f t="shared" si="1034"/>
        <v>0</v>
      </c>
      <c r="AJ563" s="226">
        <f t="shared" si="1034"/>
        <v>0</v>
      </c>
      <c r="AK563" s="226">
        <f t="shared" si="1034"/>
        <v>0</v>
      </c>
      <c r="AL563" s="226">
        <f t="shared" si="1034"/>
        <v>0</v>
      </c>
      <c r="AM563" s="226">
        <f t="shared" si="1034"/>
        <v>0</v>
      </c>
      <c r="AN563" s="226">
        <f t="shared" si="1034"/>
        <v>0</v>
      </c>
      <c r="AO563" s="226">
        <f t="shared" ref="AO563:BU563" si="1035">+AO558+AO561</f>
        <v>0</v>
      </c>
      <c r="AP563" s="226">
        <f t="shared" si="1035"/>
        <v>0</v>
      </c>
      <c r="AQ563" s="226">
        <f t="shared" si="1035"/>
        <v>0</v>
      </c>
      <c r="AR563" s="226">
        <f t="shared" si="1035"/>
        <v>0</v>
      </c>
      <c r="AS563" s="226">
        <f t="shared" si="1035"/>
        <v>0</v>
      </c>
      <c r="AT563" s="226">
        <f t="shared" si="1035"/>
        <v>0</v>
      </c>
      <c r="AU563" s="226">
        <f t="shared" si="1035"/>
        <v>0</v>
      </c>
      <c r="AV563" s="226">
        <f t="shared" si="1035"/>
        <v>0</v>
      </c>
      <c r="AW563" s="226">
        <f t="shared" si="1035"/>
        <v>0</v>
      </c>
      <c r="AX563" s="226">
        <f t="shared" si="1035"/>
        <v>0</v>
      </c>
      <c r="AY563" s="226">
        <f t="shared" si="1035"/>
        <v>0</v>
      </c>
      <c r="AZ563" s="226">
        <f t="shared" si="1035"/>
        <v>0</v>
      </c>
      <c r="BA563" s="226">
        <f t="shared" si="1035"/>
        <v>0</v>
      </c>
      <c r="BB563" s="226">
        <f t="shared" si="1035"/>
        <v>0</v>
      </c>
      <c r="BC563" s="226">
        <f t="shared" si="1035"/>
        <v>0</v>
      </c>
      <c r="BD563" s="226">
        <f t="shared" si="1035"/>
        <v>0</v>
      </c>
      <c r="BE563" s="226">
        <f t="shared" si="1035"/>
        <v>0</v>
      </c>
      <c r="BF563" s="226">
        <f t="shared" si="1035"/>
        <v>0</v>
      </c>
      <c r="BG563" s="226">
        <f t="shared" si="1035"/>
        <v>0</v>
      </c>
      <c r="BH563" s="226">
        <f t="shared" si="1035"/>
        <v>0</v>
      </c>
      <c r="BI563" s="226">
        <f t="shared" si="1035"/>
        <v>0</v>
      </c>
      <c r="BJ563" s="226">
        <f t="shared" si="1035"/>
        <v>0</v>
      </c>
      <c r="BK563" s="226">
        <f t="shared" si="1035"/>
        <v>0</v>
      </c>
      <c r="BL563" s="226">
        <f t="shared" si="1035"/>
        <v>0</v>
      </c>
      <c r="BM563" s="226">
        <f t="shared" si="1035"/>
        <v>0</v>
      </c>
      <c r="BN563" s="226">
        <f t="shared" si="1035"/>
        <v>0</v>
      </c>
      <c r="BO563" s="226">
        <f t="shared" si="1035"/>
        <v>0</v>
      </c>
      <c r="BP563" s="226">
        <f t="shared" si="1035"/>
        <v>0</v>
      </c>
      <c r="BQ563" s="226"/>
      <c r="BR563" s="226"/>
      <c r="BS563" s="226"/>
      <c r="BT563" s="226"/>
      <c r="BU563" s="226">
        <f t="shared" si="1035"/>
        <v>0</v>
      </c>
      <c r="BV563" s="226"/>
      <c r="BW563" s="226"/>
      <c r="BX563" s="226"/>
      <c r="BY563" s="226"/>
      <c r="BZ563" s="226"/>
      <c r="CA563" s="226"/>
      <c r="CB563" s="226"/>
      <c r="CC563" s="226"/>
      <c r="CD563" s="226"/>
      <c r="CE563" s="226"/>
      <c r="CF563" s="226"/>
      <c r="CG563" s="226"/>
      <c r="CH563" s="226"/>
      <c r="CI563" s="226"/>
      <c r="CJ563" s="226"/>
      <c r="CK563" s="226"/>
      <c r="CL563" s="226"/>
      <c r="CM563" s="226"/>
      <c r="CN563" s="226"/>
      <c r="CO563" s="226"/>
      <c r="CP563" s="226"/>
      <c r="CQ563" s="226"/>
      <c r="CR563" s="226"/>
      <c r="CS563" s="226"/>
      <c r="CT563" s="226"/>
      <c r="CU563" s="226"/>
      <c r="CV563" s="226"/>
      <c r="CW563" s="226"/>
      <c r="CX563" s="226"/>
      <c r="CY563" s="226"/>
      <c r="CZ563" s="226"/>
      <c r="DA563" s="226"/>
      <c r="DB563"/>
      <c r="DC563"/>
      <c r="DD563" s="2323" t="s">
        <v>1863</v>
      </c>
      <c r="DE563" s="2327">
        <f>M563</f>
        <v>10.000000000000004</v>
      </c>
      <c r="DF563" s="2327">
        <f>R563</f>
        <v>49</v>
      </c>
      <c r="DG563" s="2327">
        <f>W563</f>
        <v>43.201709401709408</v>
      </c>
      <c r="DH563" s="2327">
        <f>AB563</f>
        <v>0</v>
      </c>
      <c r="DI563" s="2327">
        <f>AG563</f>
        <v>0</v>
      </c>
      <c r="DJ563" s="2327">
        <f>AL563</f>
        <v>0</v>
      </c>
      <c r="DK563" s="2327">
        <f>AQ563</f>
        <v>0</v>
      </c>
      <c r="DL563" s="2327">
        <f>AV563</f>
        <v>0</v>
      </c>
      <c r="DM563" s="2327">
        <f>BA563</f>
        <v>0</v>
      </c>
      <c r="DN563" s="2327">
        <f>BF563</f>
        <v>0</v>
      </c>
      <c r="DO563" s="2327">
        <f>BK563</f>
        <v>0</v>
      </c>
      <c r="DP563" s="2327">
        <f>BP563</f>
        <v>0</v>
      </c>
      <c r="DQ563" s="2327">
        <f>BU563</f>
        <v>0</v>
      </c>
      <c r="DR563" s="2327">
        <f>BZ563</f>
        <v>0</v>
      </c>
      <c r="DS563" s="2327">
        <f>CE563</f>
        <v>0</v>
      </c>
      <c r="DT563" s="2327">
        <f>CJ563</f>
        <v>0</v>
      </c>
      <c r="DU563" s="2327">
        <f>CO563</f>
        <v>0</v>
      </c>
      <c r="DV563" s="2327">
        <f>CT563</f>
        <v>0</v>
      </c>
      <c r="DW563" s="2327">
        <f t="shared" ref="DW563:DY565" si="1036">CY563</f>
        <v>0</v>
      </c>
      <c r="DX563" s="2327">
        <f t="shared" si="1036"/>
        <v>0</v>
      </c>
      <c r="DY563" s="2327">
        <f t="shared" si="1036"/>
        <v>0</v>
      </c>
      <c r="EA563"/>
      <c r="EB563"/>
      <c r="EC563"/>
      <c r="ED563"/>
      <c r="EE563"/>
      <c r="EF563"/>
      <c r="EJ563"/>
      <c r="EK563"/>
      <c r="EL563"/>
      <c r="ER563" s="212"/>
    </row>
    <row r="564" spans="1:148" s="923" customFormat="1" ht="12.75" hidden="1" customHeight="1" outlineLevel="1" x14ac:dyDescent="0.2">
      <c r="A564" s="865" t="s">
        <v>1329</v>
      </c>
      <c r="B564" s="215"/>
      <c r="C564" s="215"/>
      <c r="D564" s="215"/>
      <c r="E564" s="215"/>
      <c r="F564" s="215"/>
      <c r="G564" s="215"/>
      <c r="H564" s="215"/>
      <c r="I564" s="215">
        <f t="shared" ref="I564:U564" si="1037">+I563/I548</f>
        <v>0.10576923076923077</v>
      </c>
      <c r="J564" s="215">
        <f t="shared" si="1037"/>
        <v>4.6153846153846156E-2</v>
      </c>
      <c r="K564" s="215">
        <f t="shared" si="1037"/>
        <v>2.02991452991453E-2</v>
      </c>
      <c r="L564" s="215">
        <f t="shared" si="1037"/>
        <v>-3.1930333817126254E-2</v>
      </c>
      <c r="M564" s="215">
        <f t="shared" si="1037"/>
        <v>3.003003003003004E-2</v>
      </c>
      <c r="N564" s="215">
        <f t="shared" si="1037"/>
        <v>9.9816849816849823E-2</v>
      </c>
      <c r="O564" s="215">
        <f t="shared" si="1037"/>
        <v>0.14921223354958296</v>
      </c>
      <c r="P564" s="215">
        <f t="shared" si="1037"/>
        <v>0.12664165103189495</v>
      </c>
      <c r="Q564" s="215">
        <f t="shared" si="1037"/>
        <v>0.15123859191655803</v>
      </c>
      <c r="R564" s="215">
        <f t="shared" si="1037"/>
        <v>0.1335149863760218</v>
      </c>
      <c r="S564" s="215">
        <f t="shared" si="1037"/>
        <v>0.12355555555555557</v>
      </c>
      <c r="T564" s="215">
        <f t="shared" si="1037"/>
        <v>0.12988670244484199</v>
      </c>
      <c r="U564" s="215">
        <f t="shared" si="1037"/>
        <v>0.14317948717948717</v>
      </c>
      <c r="V564" s="215">
        <v>0</v>
      </c>
      <c r="W564" s="215">
        <f>+W563/W548</f>
        <v>0.16552379081114715</v>
      </c>
      <c r="X564" s="215">
        <v>0</v>
      </c>
      <c r="Y564" s="215">
        <v>0</v>
      </c>
      <c r="Z564" s="215">
        <v>0</v>
      </c>
      <c r="AA564" s="215">
        <v>0</v>
      </c>
      <c r="AB564" s="215"/>
      <c r="AC564" s="215" t="s">
        <v>1666</v>
      </c>
      <c r="AD564" s="215"/>
      <c r="AE564" s="215"/>
      <c r="AF564" s="215"/>
      <c r="AG564" s="215"/>
      <c r="AH564" s="215" t="s">
        <v>1666</v>
      </c>
      <c r="AI564" s="215"/>
      <c r="AJ564" s="215"/>
      <c r="AK564" s="215"/>
      <c r="AL564" s="215"/>
      <c r="AM564" s="215"/>
      <c r="AN564" s="215"/>
      <c r="AO564" s="215"/>
      <c r="AP564" s="215"/>
      <c r="AQ564" s="215"/>
      <c r="AR564" s="215"/>
      <c r="AS564" s="215"/>
      <c r="AT564" s="215"/>
      <c r="AU564" s="215"/>
      <c r="AV564" s="215"/>
      <c r="AW564" s="215"/>
      <c r="AX564" s="215"/>
      <c r="AY564" s="215"/>
      <c r="AZ564" s="215"/>
      <c r="BA564" s="215"/>
      <c r="BB564" s="215"/>
      <c r="BC564" s="215"/>
      <c r="BD564" s="215"/>
      <c r="BE564" s="215"/>
      <c r="BF564" s="215"/>
      <c r="BG564" s="215"/>
      <c r="BH564" s="215"/>
      <c r="BI564" s="215"/>
      <c r="BJ564" s="215"/>
      <c r="BK564" s="215"/>
      <c r="BL564" s="215"/>
      <c r="BM564" s="215"/>
      <c r="BN564" s="215"/>
      <c r="BO564" s="215"/>
      <c r="BP564" s="215"/>
      <c r="BQ564" s="215"/>
      <c r="BR564" s="215"/>
      <c r="BS564" s="215"/>
      <c r="BT564" s="215"/>
      <c r="BU564" s="215"/>
      <c r="BV564" s="215"/>
      <c r="BW564" s="215"/>
      <c r="BX564" s="215"/>
      <c r="BY564" s="215"/>
      <c r="BZ564" s="215"/>
      <c r="CA564" s="215"/>
      <c r="CB564" s="215"/>
      <c r="CC564" s="215"/>
      <c r="CD564" s="215"/>
      <c r="CE564" s="215"/>
      <c r="CF564" s="215"/>
      <c r="CG564" s="215"/>
      <c r="CH564" s="215"/>
      <c r="CI564" s="215"/>
      <c r="CJ564" s="215"/>
      <c r="CK564" s="215"/>
      <c r="CL564" s="215"/>
      <c r="CM564" s="215"/>
      <c r="CN564" s="215"/>
      <c r="CO564" s="215"/>
      <c r="CP564" s="215"/>
      <c r="CQ564" s="215"/>
      <c r="CR564" s="215"/>
      <c r="CS564" s="215"/>
      <c r="CT564" s="215"/>
      <c r="CU564" s="215"/>
      <c r="CV564" s="215"/>
      <c r="CW564" s="215"/>
      <c r="CX564" s="215"/>
      <c r="CY564" s="215"/>
      <c r="CZ564" s="215"/>
      <c r="DA564" s="215"/>
      <c r="DB564"/>
      <c r="DC564"/>
      <c r="DD564" s="2323" t="s">
        <v>1329</v>
      </c>
      <c r="DE564" s="2327">
        <f>M564</f>
        <v>3.003003003003004E-2</v>
      </c>
      <c r="DF564" s="2327">
        <f>R564</f>
        <v>0.1335149863760218</v>
      </c>
      <c r="DG564" s="2327">
        <f>W564</f>
        <v>0.16552379081114715</v>
      </c>
      <c r="DH564" s="2327">
        <f>AB564</f>
        <v>0</v>
      </c>
      <c r="DI564" s="2327">
        <f>AG564</f>
        <v>0</v>
      </c>
      <c r="DJ564" s="2327">
        <f>AL564</f>
        <v>0</v>
      </c>
      <c r="DK564" s="2327">
        <f>AQ564</f>
        <v>0</v>
      </c>
      <c r="DL564" s="2327">
        <f>AV564</f>
        <v>0</v>
      </c>
      <c r="DM564" s="2327">
        <f>BA564</f>
        <v>0</v>
      </c>
      <c r="DN564" s="2327">
        <f>BF564</f>
        <v>0</v>
      </c>
      <c r="DO564" s="2327">
        <f>BK564</f>
        <v>0</v>
      </c>
      <c r="DP564" s="2327">
        <f>BP564</f>
        <v>0</v>
      </c>
      <c r="DQ564" s="2327">
        <f>BU564</f>
        <v>0</v>
      </c>
      <c r="DR564" s="2327">
        <f>BZ564</f>
        <v>0</v>
      </c>
      <c r="DS564" s="2327">
        <f>CE564</f>
        <v>0</v>
      </c>
      <c r="DT564" s="2327">
        <f>CJ564</f>
        <v>0</v>
      </c>
      <c r="DU564" s="2327">
        <f>CO564</f>
        <v>0</v>
      </c>
      <c r="DV564" s="2327">
        <f>CT564</f>
        <v>0</v>
      </c>
      <c r="DW564" s="2327">
        <f t="shared" si="1036"/>
        <v>0</v>
      </c>
      <c r="DX564" s="2327">
        <f t="shared" si="1036"/>
        <v>0</v>
      </c>
      <c r="DY564" s="2327">
        <f t="shared" si="1036"/>
        <v>0</v>
      </c>
      <c r="EA564"/>
      <c r="EB564"/>
      <c r="EC564"/>
      <c r="ED564"/>
      <c r="EE564"/>
      <c r="EF564"/>
      <c r="EJ564"/>
      <c r="EK564"/>
      <c r="EL564"/>
      <c r="ER564" s="212"/>
    </row>
    <row r="565" spans="1:148" s="923" customFormat="1" ht="12.75" hidden="1" customHeight="1" outlineLevel="1" x14ac:dyDescent="0.2">
      <c r="A565" s="865" t="s">
        <v>1340</v>
      </c>
      <c r="B565" s="215"/>
      <c r="C565" s="215"/>
      <c r="D565" s="215"/>
      <c r="E565" s="215"/>
      <c r="F565" s="215"/>
      <c r="G565" s="215"/>
      <c r="H565" s="215"/>
      <c r="I565" s="215"/>
      <c r="J565" s="215"/>
      <c r="K565" s="215"/>
      <c r="L565" s="215"/>
      <c r="M565" s="215"/>
      <c r="N565" s="215">
        <f t="shared" ref="N565:W565" si="1038">+N563/I563-1</f>
        <v>-9.0909090909090384E-3</v>
      </c>
      <c r="O565" s="215">
        <f t="shared" si="1038"/>
        <v>2.5777777777777779</v>
      </c>
      <c r="P565" s="215">
        <f t="shared" si="1038"/>
        <v>6.1052631578947363</v>
      </c>
      <c r="Q565" s="215">
        <f t="shared" si="1038"/>
        <v>-6.2727272727272751</v>
      </c>
      <c r="R565" s="215">
        <f t="shared" si="1038"/>
        <v>3.8999999999999986</v>
      </c>
      <c r="S565" s="215">
        <f t="shared" si="1038"/>
        <v>0.32623853211009179</v>
      </c>
      <c r="T565" s="215">
        <f t="shared" si="1038"/>
        <v>-9.8053830227743277E-2</v>
      </c>
      <c r="U565" s="215">
        <f t="shared" si="1038"/>
        <v>0.17195061728395067</v>
      </c>
      <c r="V565" s="215">
        <f t="shared" si="1038"/>
        <v>-0.51019157088122613</v>
      </c>
      <c r="W565" s="215">
        <f t="shared" si="1038"/>
        <v>-0.11833246118960394</v>
      </c>
      <c r="X565" s="215">
        <v>0</v>
      </c>
      <c r="Y565" s="215">
        <v>0</v>
      </c>
      <c r="Z565" s="215">
        <v>0</v>
      </c>
      <c r="AA565" s="215">
        <v>0</v>
      </c>
      <c r="AB565" s="215"/>
      <c r="AC565" s="215" t="s">
        <v>1666</v>
      </c>
      <c r="AD565" s="215"/>
      <c r="AE565" s="215"/>
      <c r="AF565" s="215"/>
      <c r="AG565" s="215"/>
      <c r="AH565" s="215" t="s">
        <v>1666</v>
      </c>
      <c r="AI565" s="215"/>
      <c r="AJ565" s="215"/>
      <c r="AK565" s="215"/>
      <c r="AL565" s="215"/>
      <c r="AM565" s="215"/>
      <c r="AN565" s="215"/>
      <c r="AO565" s="215"/>
      <c r="AP565" s="215"/>
      <c r="AQ565" s="215"/>
      <c r="AR565" s="215"/>
      <c r="AS565" s="215"/>
      <c r="AT565" s="215"/>
      <c r="AU565" s="215"/>
      <c r="AV565" s="215"/>
      <c r="AW565" s="215"/>
      <c r="AX565" s="215"/>
      <c r="AY565" s="215"/>
      <c r="AZ565" s="215"/>
      <c r="BA565" s="215"/>
      <c r="BB565" s="215"/>
      <c r="BC565" s="215"/>
      <c r="BD565" s="215"/>
      <c r="BE565" s="215"/>
      <c r="BF565" s="215"/>
      <c r="BG565" s="215"/>
      <c r="BH565" s="215"/>
      <c r="BI565" s="215"/>
      <c r="BJ565" s="215"/>
      <c r="BK565" s="215"/>
      <c r="BL565" s="215"/>
      <c r="BM565" s="215"/>
      <c r="BN565" s="215"/>
      <c r="BO565" s="215"/>
      <c r="BP565" s="215"/>
      <c r="BQ565" s="215"/>
      <c r="BR565" s="215"/>
      <c r="BS565" s="215"/>
      <c r="BT565" s="215"/>
      <c r="BU565" s="215"/>
      <c r="BV565" s="215"/>
      <c r="BW565" s="215"/>
      <c r="BX565" s="215"/>
      <c r="BY565" s="215"/>
      <c r="BZ565" s="215"/>
      <c r="CA565" s="215"/>
      <c r="CB565" s="215"/>
      <c r="CC565" s="215"/>
      <c r="CD565" s="215"/>
      <c r="CE565" s="215"/>
      <c r="CF565" s="215"/>
      <c r="CG565" s="215"/>
      <c r="CH565" s="215"/>
      <c r="CI565" s="215"/>
      <c r="CJ565" s="215"/>
      <c r="CK565" s="215"/>
      <c r="CL565" s="215"/>
      <c r="CM565" s="215"/>
      <c r="CN565" s="215"/>
      <c r="CO565" s="215"/>
      <c r="CP565" s="215"/>
      <c r="CQ565" s="215"/>
      <c r="CR565" s="215"/>
      <c r="CS565" s="215"/>
      <c r="CT565" s="215"/>
      <c r="CU565" s="215"/>
      <c r="CV565" s="215"/>
      <c r="CW565" s="215"/>
      <c r="CX565" s="215"/>
      <c r="CY565" s="215"/>
      <c r="CZ565" s="215"/>
      <c r="DA565" s="215"/>
      <c r="DB565"/>
      <c r="DC565"/>
      <c r="DD565" s="2323" t="s">
        <v>1340</v>
      </c>
      <c r="DE565" s="2327">
        <f>M565</f>
        <v>0</v>
      </c>
      <c r="DF565" s="2327">
        <f>R565</f>
        <v>3.8999999999999986</v>
      </c>
      <c r="DG565" s="2327">
        <f>W565</f>
        <v>-0.11833246118960394</v>
      </c>
      <c r="DH565" s="2327">
        <f>AB565</f>
        <v>0</v>
      </c>
      <c r="DI565" s="2327">
        <f>AG565</f>
        <v>0</v>
      </c>
      <c r="DJ565" s="2327">
        <f>AL565</f>
        <v>0</v>
      </c>
      <c r="DK565" s="2327">
        <f>AQ565</f>
        <v>0</v>
      </c>
      <c r="DL565" s="2327">
        <f>AV565</f>
        <v>0</v>
      </c>
      <c r="DM565" s="2327">
        <f>BA565</f>
        <v>0</v>
      </c>
      <c r="DN565" s="2327">
        <f>BF565</f>
        <v>0</v>
      </c>
      <c r="DO565" s="2327">
        <f>BK565</f>
        <v>0</v>
      </c>
      <c r="DP565" s="2327">
        <f>BP565</f>
        <v>0</v>
      </c>
      <c r="DQ565" s="2327">
        <f>BU565</f>
        <v>0</v>
      </c>
      <c r="DR565" s="2327">
        <f>BZ565</f>
        <v>0</v>
      </c>
      <c r="DS565" s="2327">
        <f>CE565</f>
        <v>0</v>
      </c>
      <c r="DT565" s="2327">
        <f>CJ565</f>
        <v>0</v>
      </c>
      <c r="DU565" s="2327">
        <f>CO565</f>
        <v>0</v>
      </c>
      <c r="DV565" s="2327">
        <f>CT565</f>
        <v>0</v>
      </c>
      <c r="DW565" s="2327">
        <f t="shared" si="1036"/>
        <v>0</v>
      </c>
      <c r="DX565" s="2327">
        <f t="shared" si="1036"/>
        <v>0</v>
      </c>
      <c r="DY565" s="2327">
        <f t="shared" si="1036"/>
        <v>0</v>
      </c>
      <c r="EA565"/>
      <c r="EB565"/>
      <c r="EC565"/>
      <c r="ED565"/>
      <c r="EE565"/>
      <c r="EF565"/>
      <c r="EJ565"/>
      <c r="EK565"/>
      <c r="EL565"/>
      <c r="ER565" s="212"/>
    </row>
    <row r="566" spans="1:148" s="923" customFormat="1" ht="12.75" hidden="1" customHeight="1" outlineLevel="1" x14ac:dyDescent="0.2">
      <c r="A566" s="865"/>
      <c r="B566" s="215"/>
      <c r="C566" s="215"/>
      <c r="D566" s="215"/>
      <c r="E566" s="215"/>
      <c r="F566" s="215"/>
      <c r="G566" s="215"/>
      <c r="H566" s="215"/>
      <c r="I566" s="215"/>
      <c r="J566" s="215"/>
      <c r="K566" s="215"/>
      <c r="L566" s="215"/>
      <c r="M566" s="215"/>
      <c r="N566" s="215"/>
      <c r="O566" s="215"/>
      <c r="P566" s="215"/>
      <c r="Q566" s="215"/>
      <c r="R566" s="215"/>
      <c r="S566" s="215"/>
      <c r="T566" s="215"/>
      <c r="U566" s="215"/>
      <c r="V566" s="215"/>
      <c r="W566" s="215"/>
      <c r="X566" s="215"/>
      <c r="Y566" s="215"/>
      <c r="Z566" s="215"/>
      <c r="AA566" s="215"/>
      <c r="AB566" s="215"/>
      <c r="AC566" s="215"/>
      <c r="AD566" s="215"/>
      <c r="AE566" s="215"/>
      <c r="AF566" s="215"/>
      <c r="AG566" s="215"/>
      <c r="AH566" s="215"/>
      <c r="AI566" s="215"/>
      <c r="AJ566" s="215"/>
      <c r="AK566" s="215"/>
      <c r="AL566" s="215"/>
      <c r="AM566" s="215"/>
      <c r="AN566" s="215"/>
      <c r="AO566" s="215"/>
      <c r="AP566" s="215"/>
      <c r="AQ566" s="215"/>
      <c r="AR566" s="215"/>
      <c r="AS566" s="215"/>
      <c r="AT566" s="215"/>
      <c r="AU566" s="215"/>
      <c r="AV566" s="215"/>
      <c r="AW566" s="215"/>
      <c r="AX566" s="215"/>
      <c r="AY566" s="215"/>
      <c r="AZ566" s="215"/>
      <c r="BA566" s="215"/>
      <c r="BB566" s="215"/>
      <c r="BC566" s="215"/>
      <c r="BD566" s="215"/>
      <c r="BE566" s="215"/>
      <c r="BF566" s="215"/>
      <c r="BG566" s="215"/>
      <c r="BH566" s="215"/>
      <c r="BI566" s="215"/>
      <c r="BJ566" s="215"/>
      <c r="BK566" s="215"/>
      <c r="BL566" s="215"/>
      <c r="BM566" s="215"/>
      <c r="BN566" s="215"/>
      <c r="BO566" s="215"/>
      <c r="BP566" s="215"/>
      <c r="BQ566" s="215"/>
      <c r="BR566" s="215"/>
      <c r="BS566" s="215"/>
      <c r="BT566" s="215"/>
      <c r="BU566" s="215"/>
      <c r="BV566" s="215"/>
      <c r="BW566" s="215"/>
      <c r="BX566" s="215"/>
      <c r="BY566" s="215"/>
      <c r="BZ566" s="215"/>
      <c r="CA566" s="215"/>
      <c r="CB566" s="215"/>
      <c r="CC566" s="215"/>
      <c r="CD566" s="215"/>
      <c r="CE566" s="215"/>
      <c r="CF566" s="215"/>
      <c r="CG566" s="215"/>
      <c r="CH566" s="215"/>
      <c r="CI566" s="215"/>
      <c r="CJ566" s="215"/>
      <c r="CK566" s="215"/>
      <c r="CL566" s="215"/>
      <c r="CM566" s="215"/>
      <c r="CN566" s="215"/>
      <c r="CO566" s="215"/>
      <c r="CP566" s="215"/>
      <c r="CQ566" s="215"/>
      <c r="CR566" s="215"/>
      <c r="CS566" s="215"/>
      <c r="CT566" s="215"/>
      <c r="CU566" s="215"/>
      <c r="CV566" s="215"/>
      <c r="CW566" s="215"/>
      <c r="CX566" s="215"/>
      <c r="CY566" s="215"/>
      <c r="CZ566" s="215"/>
      <c r="DA566" s="215"/>
      <c r="DB566"/>
      <c r="DC566"/>
      <c r="DD566" s="2323"/>
      <c r="DE566" s="2327"/>
      <c r="DF566" s="2327"/>
      <c r="DG566" s="2327"/>
      <c r="DH566" s="2327"/>
      <c r="DI566" s="2327"/>
      <c r="DJ566" s="2327"/>
      <c r="DK566" s="2327"/>
      <c r="DL566" s="2327"/>
      <c r="DM566" s="2327"/>
      <c r="DN566" s="2327"/>
      <c r="DO566" s="2327"/>
      <c r="DP566" s="2327"/>
      <c r="DQ566" s="2327"/>
      <c r="DR566" s="2327"/>
      <c r="DS566" s="2327"/>
      <c r="DT566" s="2327"/>
      <c r="DU566" s="2327"/>
      <c r="DV566" s="2327"/>
      <c r="DW566" s="2327"/>
      <c r="DX566" s="2327"/>
      <c r="DY566" s="2327"/>
      <c r="EA566"/>
      <c r="EB566"/>
      <c r="EC566"/>
      <c r="ED566"/>
      <c r="EE566"/>
      <c r="EF566"/>
      <c r="EJ566"/>
      <c r="EK566"/>
      <c r="EL566"/>
      <c r="ER566" s="212"/>
    </row>
    <row r="567" spans="1:148" s="923" customFormat="1" ht="12.75" hidden="1" customHeight="1" outlineLevel="1" x14ac:dyDescent="0.2">
      <c r="A567" s="865"/>
      <c r="B567" s="215"/>
      <c r="C567" s="215"/>
      <c r="D567" s="215"/>
      <c r="E567" s="215"/>
      <c r="F567" s="215"/>
      <c r="G567" s="215"/>
      <c r="H567" s="215"/>
      <c r="I567" s="215"/>
      <c r="J567" s="215"/>
      <c r="K567" s="215"/>
      <c r="L567" s="215"/>
      <c r="M567" s="215"/>
      <c r="N567" s="215"/>
      <c r="O567" s="215"/>
      <c r="P567" s="215"/>
      <c r="Q567" s="215"/>
      <c r="R567" s="215"/>
      <c r="S567" s="215"/>
      <c r="T567" s="215"/>
      <c r="U567" s="215"/>
      <c r="V567" s="215"/>
      <c r="W567" s="215"/>
      <c r="X567" s="215"/>
      <c r="Y567" s="215"/>
      <c r="Z567" s="215"/>
      <c r="AA567" s="215"/>
      <c r="AB567" s="215"/>
      <c r="AC567" s="215"/>
      <c r="AD567" s="215"/>
      <c r="AE567" s="215"/>
      <c r="AF567" s="215"/>
      <c r="AG567" s="215"/>
      <c r="AH567" s="215"/>
      <c r="AI567" s="215"/>
      <c r="AJ567" s="215"/>
      <c r="AK567" s="215"/>
      <c r="AL567" s="215"/>
      <c r="AM567" s="215"/>
      <c r="AN567" s="215"/>
      <c r="AO567" s="215"/>
      <c r="AP567" s="215"/>
      <c r="AQ567" s="215"/>
      <c r="AR567" s="215"/>
      <c r="AS567" s="215"/>
      <c r="AT567" s="215"/>
      <c r="AU567" s="215"/>
      <c r="AV567" s="215"/>
      <c r="AW567" s="215"/>
      <c r="AX567" s="215"/>
      <c r="AY567" s="215"/>
      <c r="AZ567" s="215"/>
      <c r="BA567" s="215"/>
      <c r="BB567" s="215"/>
      <c r="BC567" s="215"/>
      <c r="BD567" s="215"/>
      <c r="BE567" s="215"/>
      <c r="BF567" s="215"/>
      <c r="BG567" s="215"/>
      <c r="BH567" s="215"/>
      <c r="BI567" s="215"/>
      <c r="BJ567" s="215"/>
      <c r="BK567" s="215"/>
      <c r="BL567" s="215"/>
      <c r="BM567" s="215"/>
      <c r="BN567" s="215"/>
      <c r="BO567" s="215"/>
      <c r="BP567" s="215"/>
      <c r="BQ567" s="215"/>
      <c r="BR567" s="215"/>
      <c r="BS567" s="215"/>
      <c r="BT567" s="215"/>
      <c r="BU567" s="215"/>
      <c r="BV567" s="215"/>
      <c r="BW567" s="215"/>
      <c r="BX567" s="215"/>
      <c r="BY567" s="215"/>
      <c r="BZ567" s="215"/>
      <c r="CA567" s="215"/>
      <c r="CB567" s="215"/>
      <c r="CC567" s="215"/>
      <c r="CD567" s="215"/>
      <c r="CE567" s="215"/>
      <c r="CF567" s="215"/>
      <c r="CG567" s="215"/>
      <c r="CH567" s="215"/>
      <c r="CI567" s="215"/>
      <c r="CJ567" s="215"/>
      <c r="CK567" s="215"/>
      <c r="CL567" s="215"/>
      <c r="CM567" s="215"/>
      <c r="CN567" s="215"/>
      <c r="CO567" s="215"/>
      <c r="CP567" s="215"/>
      <c r="CQ567" s="215"/>
      <c r="CR567" s="215"/>
      <c r="CS567" s="215"/>
      <c r="CT567" s="215"/>
      <c r="CU567" s="215"/>
      <c r="CV567" s="215"/>
      <c r="CW567" s="215"/>
      <c r="CX567" s="215"/>
      <c r="CY567" s="215"/>
      <c r="CZ567" s="215"/>
      <c r="DA567" s="215"/>
      <c r="DB567"/>
      <c r="DC567"/>
      <c r="DD567" s="2323"/>
      <c r="DE567" s="2327"/>
      <c r="DF567" s="2327"/>
      <c r="DG567" s="2327"/>
      <c r="DH567" s="2327"/>
      <c r="DI567" s="2327"/>
      <c r="DJ567" s="2327"/>
      <c r="DK567" s="2327"/>
      <c r="DL567" s="2327"/>
      <c r="DM567" s="2327"/>
      <c r="DN567" s="2327"/>
      <c r="DO567" s="2327"/>
      <c r="DP567" s="2327"/>
      <c r="DQ567" s="2327"/>
      <c r="DR567" s="2327"/>
      <c r="DS567" s="2327"/>
      <c r="DT567" s="2327"/>
      <c r="DU567" s="2327"/>
      <c r="DV567" s="2327"/>
      <c r="DW567" s="2327"/>
      <c r="DX567" s="2327"/>
      <c r="DY567" s="2327"/>
      <c r="EA567"/>
      <c r="EB567"/>
      <c r="EC567"/>
      <c r="ED567"/>
      <c r="EE567"/>
      <c r="EF567"/>
      <c r="EJ567"/>
      <c r="EK567"/>
      <c r="EL567"/>
      <c r="ER567" s="212"/>
    </row>
    <row r="568" spans="1:148" s="923" customFormat="1" ht="12.75" hidden="1" customHeight="1" outlineLevel="1" x14ac:dyDescent="0.2">
      <c r="A568" s="867" t="s">
        <v>191</v>
      </c>
      <c r="B568" s="215"/>
      <c r="C568" s="215"/>
      <c r="D568" s="215"/>
      <c r="E568" s="215"/>
      <c r="F568" s="215"/>
      <c r="G568" s="215"/>
      <c r="H568" s="215"/>
      <c r="I568" s="215"/>
      <c r="J568" s="215"/>
      <c r="K568" s="215"/>
      <c r="L568" s="215"/>
      <c r="M568" s="215"/>
      <c r="N568" s="215"/>
      <c r="O568" s="215"/>
      <c r="P568" s="215"/>
      <c r="Q568" s="215"/>
      <c r="R568" s="215"/>
      <c r="S568" s="215"/>
      <c r="T568" s="215"/>
      <c r="U568" s="215"/>
      <c r="V568" s="215"/>
      <c r="W568" s="215"/>
      <c r="X568" s="215"/>
      <c r="Y568" s="215"/>
      <c r="Z568" s="215"/>
      <c r="AA568" s="215"/>
      <c r="AB568" s="215"/>
      <c r="AC568" s="215"/>
      <c r="AD568" s="215"/>
      <c r="AE568" s="215"/>
      <c r="AF568" s="215"/>
      <c r="AG568" s="215"/>
      <c r="AH568" s="215"/>
      <c r="AI568" s="215"/>
      <c r="AJ568" s="215"/>
      <c r="AK568" s="215"/>
      <c r="AL568" s="215"/>
      <c r="AM568" s="215"/>
      <c r="AN568" s="215"/>
      <c r="AO568" s="215"/>
      <c r="AP568" s="215"/>
      <c r="AQ568" s="215"/>
      <c r="AR568" s="215"/>
      <c r="AS568" s="215"/>
      <c r="AT568" s="215"/>
      <c r="AU568" s="215"/>
      <c r="AV568" s="215"/>
      <c r="AW568" s="215"/>
      <c r="AX568" s="215"/>
      <c r="AY568" s="215"/>
      <c r="AZ568" s="215"/>
      <c r="BA568" s="215"/>
      <c r="BB568" s="215"/>
      <c r="BC568" s="215"/>
      <c r="BD568" s="215"/>
      <c r="BE568" s="215"/>
      <c r="BF568" s="215"/>
      <c r="BG568" s="215"/>
      <c r="BH568" s="215"/>
      <c r="BI568" s="215"/>
      <c r="BJ568" s="215"/>
      <c r="BK568" s="215"/>
      <c r="BL568" s="215"/>
      <c r="BM568" s="215"/>
      <c r="BN568" s="215"/>
      <c r="BO568" s="215"/>
      <c r="BP568" s="215"/>
      <c r="BQ568" s="215"/>
      <c r="BR568" s="215"/>
      <c r="BS568" s="215"/>
      <c r="BT568" s="215"/>
      <c r="BU568" s="215"/>
      <c r="BV568" s="215"/>
      <c r="BW568" s="215"/>
      <c r="BX568" s="215"/>
      <c r="BY568" s="215"/>
      <c r="BZ568" s="215"/>
      <c r="CA568" s="215"/>
      <c r="CB568" s="215"/>
      <c r="CC568" s="215"/>
      <c r="CD568" s="215"/>
      <c r="CE568" s="215"/>
      <c r="CF568" s="215"/>
      <c r="CG568" s="215"/>
      <c r="CH568" s="215"/>
      <c r="CI568" s="215"/>
      <c r="CJ568" s="215"/>
      <c r="CK568" s="215"/>
      <c r="CL568" s="215"/>
      <c r="CM568" s="215"/>
      <c r="CN568" s="215"/>
      <c r="CO568" s="215"/>
      <c r="CP568" s="215"/>
      <c r="CQ568" s="215"/>
      <c r="CR568" s="215"/>
      <c r="CS568" s="215"/>
      <c r="CT568" s="215"/>
      <c r="CU568" s="215"/>
      <c r="CV568" s="215"/>
      <c r="CW568" s="215"/>
      <c r="CX568" s="215"/>
      <c r="CY568" s="215"/>
      <c r="CZ568" s="215"/>
      <c r="DA568" s="215"/>
      <c r="DB568"/>
      <c r="DC568"/>
      <c r="DD568" s="867" t="s">
        <v>191</v>
      </c>
      <c r="DE568" s="2327"/>
      <c r="DF568" s="2327"/>
      <c r="DG568" s="2327"/>
      <c r="DH568" s="2327"/>
      <c r="DI568" s="2327"/>
      <c r="DJ568" s="2327"/>
      <c r="DK568" s="2327"/>
      <c r="DL568" s="2327"/>
      <c r="DM568" s="2327"/>
      <c r="DN568" s="2327"/>
      <c r="DO568" s="2327"/>
      <c r="DP568" s="2327"/>
      <c r="DQ568" s="2327"/>
      <c r="DR568" s="2327"/>
      <c r="DS568" s="2327"/>
      <c r="DT568" s="2327"/>
      <c r="DU568" s="2327"/>
      <c r="DV568" s="2327"/>
      <c r="DW568" s="2327"/>
      <c r="DX568" s="2327"/>
      <c r="DY568" s="2327"/>
      <c r="EA568"/>
      <c r="EB568"/>
      <c r="EC568"/>
      <c r="ED568"/>
      <c r="EE568"/>
      <c r="EF568"/>
      <c r="EJ568"/>
      <c r="EK568"/>
      <c r="EL568"/>
      <c r="ER568" s="212"/>
    </row>
    <row r="569" spans="1:148" s="923" customFormat="1" ht="12.75" hidden="1" customHeight="1" outlineLevel="1" x14ac:dyDescent="0.2">
      <c r="A569" s="865" t="s">
        <v>1614</v>
      </c>
      <c r="B569" s="215"/>
      <c r="C569" s="215"/>
      <c r="D569" s="215"/>
      <c r="E569" s="215"/>
      <c r="F569" s="215"/>
      <c r="G569" s="215"/>
      <c r="H569" s="215"/>
      <c r="I569" s="215">
        <v>307</v>
      </c>
      <c r="J569" s="215">
        <v>381</v>
      </c>
      <c r="K569" s="215">
        <v>356</v>
      </c>
      <c r="L569" s="215">
        <v>456</v>
      </c>
      <c r="M569" s="223">
        <f>SUM(I569:L569)</f>
        <v>1500</v>
      </c>
      <c r="N569" s="215">
        <v>361</v>
      </c>
      <c r="O569" s="215">
        <v>397</v>
      </c>
      <c r="P569" s="215">
        <v>385</v>
      </c>
      <c r="Q569" s="215">
        <v>494</v>
      </c>
      <c r="R569" s="223">
        <f>SUM(N569:Q569)</f>
        <v>1637</v>
      </c>
      <c r="S569" s="215">
        <v>376</v>
      </c>
      <c r="T569" s="215">
        <v>375</v>
      </c>
      <c r="U569" s="215">
        <v>351</v>
      </c>
      <c r="V569" s="215">
        <v>0</v>
      </c>
      <c r="W569" s="223">
        <f>SUM(S569:V569)</f>
        <v>1102</v>
      </c>
      <c r="X569" s="215">
        <v>0</v>
      </c>
      <c r="Y569" s="215">
        <v>0</v>
      </c>
      <c r="Z569" s="215">
        <v>0</v>
      </c>
      <c r="AA569" s="215">
        <v>0</v>
      </c>
      <c r="AB569" s="223">
        <f>SUM(X569:AA569)</f>
        <v>0</v>
      </c>
      <c r="AC569" s="215">
        <v>0</v>
      </c>
      <c r="AD569" s="215">
        <v>0</v>
      </c>
      <c r="AE569" s="215">
        <v>0</v>
      </c>
      <c r="AF569" s="215">
        <v>0</v>
      </c>
      <c r="AG569" s="223">
        <f>SUM(AC569:AF569)</f>
        <v>0</v>
      </c>
      <c r="AH569" s="215">
        <v>0</v>
      </c>
      <c r="AI569" s="215">
        <v>0</v>
      </c>
      <c r="AJ569" s="215">
        <v>0</v>
      </c>
      <c r="AK569" s="215">
        <v>0</v>
      </c>
      <c r="AL569" s="223">
        <f>SUM(AH569:AK569)</f>
        <v>0</v>
      </c>
      <c r="AM569" s="215">
        <v>0</v>
      </c>
      <c r="AN569" s="215">
        <v>0</v>
      </c>
      <c r="AO569" s="215">
        <v>0</v>
      </c>
      <c r="AP569" s="215">
        <v>0</v>
      </c>
      <c r="AQ569" s="223">
        <f>SUM(AM569:AP569)</f>
        <v>0</v>
      </c>
      <c r="AR569" s="215">
        <v>0</v>
      </c>
      <c r="AS569" s="215">
        <v>0</v>
      </c>
      <c r="AT569" s="215">
        <v>0</v>
      </c>
      <c r="AU569" s="215">
        <v>0</v>
      </c>
      <c r="AV569" s="223">
        <f>SUM(AR569:AU569)</f>
        <v>0</v>
      </c>
      <c r="AW569" s="215">
        <v>0</v>
      </c>
      <c r="AX569" s="215">
        <v>0</v>
      </c>
      <c r="AY569" s="215">
        <v>0</v>
      </c>
      <c r="AZ569" s="215">
        <v>0</v>
      </c>
      <c r="BA569" s="223">
        <f>SUM(AW569:AZ569)</f>
        <v>0</v>
      </c>
      <c r="BB569" s="215">
        <v>0</v>
      </c>
      <c r="BC569" s="215">
        <v>0</v>
      </c>
      <c r="BD569" s="215">
        <v>0</v>
      </c>
      <c r="BE569" s="215">
        <v>0</v>
      </c>
      <c r="BF569" s="223">
        <f>SUM(BB569:BE569)</f>
        <v>0</v>
      </c>
      <c r="BG569" s="215">
        <v>0</v>
      </c>
      <c r="BH569" s="215">
        <v>0</v>
      </c>
      <c r="BI569" s="215">
        <v>0</v>
      </c>
      <c r="BJ569" s="215">
        <v>0</v>
      </c>
      <c r="BK569" s="223">
        <f>SUM(BG569:BJ569)</f>
        <v>0</v>
      </c>
      <c r="BL569" s="215">
        <v>0</v>
      </c>
      <c r="BM569" s="215">
        <v>0</v>
      </c>
      <c r="BN569" s="215">
        <v>0</v>
      </c>
      <c r="BO569" s="215">
        <v>0</v>
      </c>
      <c r="BP569" s="223">
        <f>SUM(BL569:BO569)</f>
        <v>0</v>
      </c>
      <c r="BQ569" s="215"/>
      <c r="BR569" s="215"/>
      <c r="BS569" s="215"/>
      <c r="BT569" s="215"/>
      <c r="BU569" s="223">
        <v>0</v>
      </c>
      <c r="BV569" s="215"/>
      <c r="BW569" s="215"/>
      <c r="BX569" s="215"/>
      <c r="BY569" s="215"/>
      <c r="BZ569" s="223"/>
      <c r="CA569" s="223"/>
      <c r="CB569" s="223"/>
      <c r="CC569" s="223"/>
      <c r="CD569" s="223"/>
      <c r="CE569" s="223"/>
      <c r="CF569" s="223"/>
      <c r="CG569" s="223"/>
      <c r="CH569" s="223"/>
      <c r="CI569" s="223"/>
      <c r="CJ569" s="223"/>
      <c r="CK569" s="223"/>
      <c r="CL569" s="223"/>
      <c r="CM569" s="223"/>
      <c r="CN569" s="223"/>
      <c r="CO569" s="223"/>
      <c r="CP569" s="223"/>
      <c r="CQ569" s="223"/>
      <c r="CR569" s="223"/>
      <c r="CS569" s="223"/>
      <c r="CT569" s="223"/>
      <c r="CU569" s="223"/>
      <c r="CV569" s="223"/>
      <c r="CW569" s="223"/>
      <c r="CX569" s="223"/>
      <c r="CY569" s="223"/>
      <c r="CZ569" s="223"/>
      <c r="DA569" s="223"/>
      <c r="DB569"/>
      <c r="DC569"/>
      <c r="DD569" s="2323" t="s">
        <v>1614</v>
      </c>
      <c r="DE569" s="2327">
        <f>M569</f>
        <v>1500</v>
      </c>
      <c r="DF569" s="2327">
        <f>R569</f>
        <v>1637</v>
      </c>
      <c r="DG569" s="2327">
        <f>W569</f>
        <v>1102</v>
      </c>
      <c r="DH569" s="2327">
        <f>AB569</f>
        <v>0</v>
      </c>
      <c r="DI569" s="2327">
        <f>AG569</f>
        <v>0</v>
      </c>
      <c r="DJ569" s="2327">
        <f>AL569</f>
        <v>0</v>
      </c>
      <c r="DK569" s="2327">
        <f>AQ569</f>
        <v>0</v>
      </c>
      <c r="DL569" s="2327">
        <f>AV569</f>
        <v>0</v>
      </c>
      <c r="DM569" s="2327">
        <f>BA569</f>
        <v>0</v>
      </c>
      <c r="DN569" s="2327">
        <f>BF569</f>
        <v>0</v>
      </c>
      <c r="DO569" s="2327">
        <f>BK569</f>
        <v>0</v>
      </c>
      <c r="DP569" s="2327">
        <f>BP569</f>
        <v>0</v>
      </c>
      <c r="DQ569" s="2327">
        <f>BU569</f>
        <v>0</v>
      </c>
      <c r="DR569" s="2327">
        <f>BZ569</f>
        <v>0</v>
      </c>
      <c r="DS569" s="2327">
        <f>CE569</f>
        <v>0</v>
      </c>
      <c r="DT569" s="2327">
        <f>CJ569</f>
        <v>0</v>
      </c>
      <c r="DU569" s="2327">
        <f>CO569</f>
        <v>0</v>
      </c>
      <c r="DV569" s="2327">
        <f>CT569</f>
        <v>0</v>
      </c>
      <c r="DW569" s="2327">
        <f t="shared" ref="DW569:DY570" si="1039">CY569</f>
        <v>0</v>
      </c>
      <c r="DX569" s="2327">
        <f t="shared" si="1039"/>
        <v>0</v>
      </c>
      <c r="DY569" s="2327">
        <f t="shared" si="1039"/>
        <v>0</v>
      </c>
      <c r="EA569"/>
      <c r="EB569"/>
      <c r="EC569"/>
      <c r="ED569"/>
      <c r="EE569"/>
      <c r="EF569"/>
      <c r="EJ569"/>
      <c r="EK569"/>
      <c r="EL569"/>
      <c r="ER569" s="212"/>
    </row>
    <row r="570" spans="1:148" s="923" customFormat="1" ht="12.75" hidden="1" customHeight="1" outlineLevel="1" x14ac:dyDescent="0.2">
      <c r="A570" s="865" t="s">
        <v>1340</v>
      </c>
      <c r="B570" s="215"/>
      <c r="C570" s="215"/>
      <c r="D570" s="215"/>
      <c r="E570" s="215"/>
      <c r="F570" s="215"/>
      <c r="G570" s="215"/>
      <c r="H570" s="215"/>
      <c r="I570" s="215"/>
      <c r="J570" s="215"/>
      <c r="K570" s="215"/>
      <c r="L570" s="215"/>
      <c r="M570" s="215"/>
      <c r="N570" s="215">
        <f t="shared" ref="N570:X570" si="1040">N569/I569-1</f>
        <v>0.17589576547231278</v>
      </c>
      <c r="O570" s="215">
        <f t="shared" si="1040"/>
        <v>4.1994750656167978E-2</v>
      </c>
      <c r="P570" s="215">
        <f t="shared" si="1040"/>
        <v>8.1460674157303403E-2</v>
      </c>
      <c r="Q570" s="215">
        <f t="shared" si="1040"/>
        <v>8.3333333333333259E-2</v>
      </c>
      <c r="R570" s="215">
        <f t="shared" si="1040"/>
        <v>9.1333333333333266E-2</v>
      </c>
      <c r="S570" s="215">
        <f t="shared" si="1040"/>
        <v>4.1551246537396169E-2</v>
      </c>
      <c r="T570" s="215">
        <f t="shared" si="1040"/>
        <v>-5.5415617128463435E-2</v>
      </c>
      <c r="U570" s="215">
        <f t="shared" si="1040"/>
        <v>-8.8311688311688341E-2</v>
      </c>
      <c r="V570" s="215">
        <f t="shared" si="1040"/>
        <v>-1</v>
      </c>
      <c r="W570" s="215">
        <f t="shared" si="1040"/>
        <v>-0.32681734880879654</v>
      </c>
      <c r="X570" s="215">
        <f t="shared" si="1040"/>
        <v>-1</v>
      </c>
      <c r="Y570" s="215"/>
      <c r="Z570" s="215"/>
      <c r="AA570" s="215"/>
      <c r="AB570" s="215"/>
      <c r="AC570" s="215"/>
      <c r="AD570" s="215"/>
      <c r="AE570" s="215"/>
      <c r="AF570" s="215"/>
      <c r="AG570" s="215"/>
      <c r="AH570" s="215"/>
      <c r="AI570" s="215"/>
      <c r="AJ570" s="215"/>
      <c r="AK570" s="215"/>
      <c r="AL570" s="215"/>
      <c r="AM570" s="215"/>
      <c r="AN570" s="215"/>
      <c r="AO570" s="215"/>
      <c r="AP570" s="215"/>
      <c r="AQ570" s="215"/>
      <c r="AR570" s="215"/>
      <c r="AS570" s="215"/>
      <c r="AT570" s="215"/>
      <c r="AU570" s="215"/>
      <c r="AV570" s="215"/>
      <c r="AW570" s="215"/>
      <c r="AX570" s="215"/>
      <c r="AY570" s="215"/>
      <c r="AZ570" s="215"/>
      <c r="BA570" s="215"/>
      <c r="BB570" s="215"/>
      <c r="BC570" s="215"/>
      <c r="BD570" s="215"/>
      <c r="BE570" s="215"/>
      <c r="BF570" s="215"/>
      <c r="BG570" s="215"/>
      <c r="BH570" s="215"/>
      <c r="BI570" s="215"/>
      <c r="BJ570" s="215"/>
      <c r="BK570" s="215"/>
      <c r="BL570" s="215"/>
      <c r="BM570" s="215"/>
      <c r="BN570" s="215"/>
      <c r="BO570" s="215"/>
      <c r="BP570" s="215"/>
      <c r="BQ570" s="215"/>
      <c r="BR570" s="215"/>
      <c r="BS570" s="215"/>
      <c r="BT570" s="215"/>
      <c r="BU570" s="215"/>
      <c r="BV570" s="215"/>
      <c r="BW570" s="215"/>
      <c r="BX570" s="215"/>
      <c r="BY570" s="215"/>
      <c r="BZ570" s="215"/>
      <c r="CA570" s="215"/>
      <c r="CB570" s="215"/>
      <c r="CC570" s="215"/>
      <c r="CD570" s="215"/>
      <c r="CE570" s="215"/>
      <c r="CF570" s="215"/>
      <c r="CG570" s="215"/>
      <c r="CH570" s="215"/>
      <c r="CI570" s="215"/>
      <c r="CJ570" s="215"/>
      <c r="CK570" s="215"/>
      <c r="CL570" s="215"/>
      <c r="CM570" s="215"/>
      <c r="CN570" s="215"/>
      <c r="CO570" s="215"/>
      <c r="CP570" s="215"/>
      <c r="CQ570" s="215"/>
      <c r="CR570" s="215"/>
      <c r="CS570" s="215"/>
      <c r="CT570" s="215"/>
      <c r="CU570" s="215"/>
      <c r="CV570" s="215"/>
      <c r="CW570" s="215"/>
      <c r="CX570" s="215"/>
      <c r="CY570" s="215"/>
      <c r="CZ570" s="215"/>
      <c r="DA570" s="215"/>
      <c r="DB570"/>
      <c r="DC570"/>
      <c r="DD570" s="2323" t="s">
        <v>1340</v>
      </c>
      <c r="DE570" s="2327">
        <f>M570</f>
        <v>0</v>
      </c>
      <c r="DF570" s="2327">
        <f>R570</f>
        <v>9.1333333333333266E-2</v>
      </c>
      <c r="DG570" s="2327">
        <f>W570</f>
        <v>-0.32681734880879654</v>
      </c>
      <c r="DH570" s="2327">
        <f>AB570</f>
        <v>0</v>
      </c>
      <c r="DI570" s="2327">
        <f>AG570</f>
        <v>0</v>
      </c>
      <c r="DJ570" s="2327">
        <f>AL570</f>
        <v>0</v>
      </c>
      <c r="DK570" s="2327">
        <f>AQ570</f>
        <v>0</v>
      </c>
      <c r="DL570" s="2327">
        <f>AV570</f>
        <v>0</v>
      </c>
      <c r="DM570" s="2327">
        <f>BA570</f>
        <v>0</v>
      </c>
      <c r="DN570" s="2327">
        <f>BF570</f>
        <v>0</v>
      </c>
      <c r="DO570" s="2327">
        <f>BK570</f>
        <v>0</v>
      </c>
      <c r="DP570" s="2327">
        <f>BP570</f>
        <v>0</v>
      </c>
      <c r="DQ570" s="2327">
        <f>BU570</f>
        <v>0</v>
      </c>
      <c r="DR570" s="2327">
        <f>BZ570</f>
        <v>0</v>
      </c>
      <c r="DS570" s="2327">
        <f>CE570</f>
        <v>0</v>
      </c>
      <c r="DT570" s="2327">
        <f>CJ570</f>
        <v>0</v>
      </c>
      <c r="DU570" s="2327">
        <f>CO570</f>
        <v>0</v>
      </c>
      <c r="DV570" s="2327">
        <f>CT570</f>
        <v>0</v>
      </c>
      <c r="DW570" s="2327">
        <f t="shared" si="1039"/>
        <v>0</v>
      </c>
      <c r="DX570" s="2327">
        <f t="shared" si="1039"/>
        <v>0</v>
      </c>
      <c r="DY570" s="2327">
        <f t="shared" si="1039"/>
        <v>0</v>
      </c>
      <c r="EA570"/>
      <c r="EB570"/>
      <c r="EC570"/>
      <c r="ED570"/>
      <c r="EE570"/>
      <c r="EF570"/>
      <c r="EJ570"/>
      <c r="EK570"/>
      <c r="EL570"/>
      <c r="ER570" s="212"/>
    </row>
    <row r="571" spans="1:148" s="923" customFormat="1" ht="12.75" hidden="1" customHeight="1" outlineLevel="1" x14ac:dyDescent="0.2">
      <c r="A571" s="865"/>
      <c r="B571" s="215"/>
      <c r="C571" s="215"/>
      <c r="D571" s="215"/>
      <c r="E571" s="215"/>
      <c r="F571" s="215"/>
      <c r="G571" s="215"/>
      <c r="H571" s="215"/>
      <c r="I571" s="215"/>
      <c r="J571" s="215"/>
      <c r="K571" s="215"/>
      <c r="L571" s="215"/>
      <c r="M571" s="215"/>
      <c r="N571" s="215"/>
      <c r="O571" s="215"/>
      <c r="P571" s="215"/>
      <c r="Q571" s="215"/>
      <c r="R571" s="215"/>
      <c r="S571" s="215"/>
      <c r="T571" s="215"/>
      <c r="U571" s="215"/>
      <c r="V571" s="215"/>
      <c r="W571" s="215"/>
      <c r="X571" s="215"/>
      <c r="Y571" s="215"/>
      <c r="Z571" s="215"/>
      <c r="AA571" s="215"/>
      <c r="AB571" s="215"/>
      <c r="AC571" s="215"/>
      <c r="AD571" s="215"/>
      <c r="AE571" s="215"/>
      <c r="AF571" s="215"/>
      <c r="AG571" s="215"/>
      <c r="AH571" s="215"/>
      <c r="AI571" s="215"/>
      <c r="AJ571" s="215"/>
      <c r="AK571" s="215"/>
      <c r="AL571" s="215"/>
      <c r="AM571" s="215"/>
      <c r="AN571" s="215"/>
      <c r="AO571" s="215"/>
      <c r="AP571" s="215"/>
      <c r="AQ571" s="215"/>
      <c r="AR571" s="215"/>
      <c r="AS571" s="215"/>
      <c r="AT571" s="215"/>
      <c r="AU571" s="215"/>
      <c r="AV571" s="215"/>
      <c r="AW571" s="215"/>
      <c r="AX571" s="215"/>
      <c r="AY571" s="215"/>
      <c r="AZ571" s="215"/>
      <c r="BA571" s="215"/>
      <c r="BB571" s="215"/>
      <c r="BC571" s="215"/>
      <c r="BD571" s="215"/>
      <c r="BE571" s="215"/>
      <c r="BF571" s="215"/>
      <c r="BG571" s="215"/>
      <c r="BH571" s="215"/>
      <c r="BI571" s="215"/>
      <c r="BJ571" s="215"/>
      <c r="BK571" s="215"/>
      <c r="BL571" s="215"/>
      <c r="BM571" s="215"/>
      <c r="BN571" s="215"/>
      <c r="BO571" s="215"/>
      <c r="BP571" s="215"/>
      <c r="BQ571" s="215"/>
      <c r="BR571" s="215"/>
      <c r="BS571" s="215"/>
      <c r="BT571" s="215"/>
      <c r="BU571" s="215"/>
      <c r="BV571" s="215"/>
      <c r="BW571" s="215"/>
      <c r="BX571" s="215"/>
      <c r="BY571" s="215"/>
      <c r="BZ571" s="215"/>
      <c r="CA571" s="215"/>
      <c r="CB571" s="215"/>
      <c r="CC571" s="215"/>
      <c r="CD571" s="215"/>
      <c r="CE571" s="215"/>
      <c r="CF571" s="215"/>
      <c r="CG571" s="215"/>
      <c r="CH571" s="215"/>
      <c r="CI571" s="215"/>
      <c r="CJ571" s="215"/>
      <c r="CK571" s="215"/>
      <c r="CL571" s="215"/>
      <c r="CM571" s="215"/>
      <c r="CN571" s="215"/>
      <c r="CO571" s="215"/>
      <c r="CP571" s="215"/>
      <c r="CQ571" s="215"/>
      <c r="CR571" s="215"/>
      <c r="CS571" s="215"/>
      <c r="CT571" s="215"/>
      <c r="CU571" s="215"/>
      <c r="CV571" s="215"/>
      <c r="CW571" s="215"/>
      <c r="CX571" s="215"/>
      <c r="CY571" s="215"/>
      <c r="CZ571" s="215"/>
      <c r="DA571" s="215"/>
      <c r="DB571"/>
      <c r="DC571"/>
      <c r="DD571" s="2323"/>
      <c r="DE571" s="2327"/>
      <c r="DF571" s="2327"/>
      <c r="DG571" s="2327"/>
      <c r="DH571" s="2327"/>
      <c r="DI571" s="2327"/>
      <c r="DJ571" s="2327"/>
      <c r="DK571" s="2327"/>
      <c r="DL571" s="2327"/>
      <c r="DM571" s="2327"/>
      <c r="DN571" s="2327"/>
      <c r="DO571" s="2327"/>
      <c r="DP571" s="2327"/>
      <c r="DQ571" s="2327"/>
      <c r="DR571" s="2327"/>
      <c r="DS571" s="2327"/>
      <c r="DT571" s="2327"/>
      <c r="DU571" s="2327"/>
      <c r="DV571" s="2327"/>
      <c r="DW571" s="2327"/>
      <c r="DX571" s="2327"/>
      <c r="DY571" s="2327"/>
      <c r="EA571"/>
      <c r="EB571"/>
      <c r="EC571"/>
      <c r="ED571"/>
      <c r="EE571"/>
      <c r="EF571"/>
      <c r="EJ571"/>
      <c r="EK571"/>
      <c r="EL571"/>
      <c r="ER571" s="212"/>
    </row>
    <row r="572" spans="1:148" s="923" customFormat="1" ht="12.75" hidden="1" customHeight="1" outlineLevel="1" x14ac:dyDescent="0.2">
      <c r="A572" s="865" t="s">
        <v>1726</v>
      </c>
      <c r="B572" s="215"/>
      <c r="C572" s="215"/>
      <c r="D572" s="215"/>
      <c r="E572" s="215"/>
      <c r="F572" s="215"/>
      <c r="G572" s="215"/>
      <c r="H572" s="215"/>
      <c r="I572" s="215">
        <v>319</v>
      </c>
      <c r="J572" s="215">
        <v>375</v>
      </c>
      <c r="K572" s="215">
        <v>351</v>
      </c>
      <c r="L572" s="215">
        <v>451</v>
      </c>
      <c r="M572" s="226">
        <f>SUM(I572:L572)</f>
        <v>1496</v>
      </c>
      <c r="N572" s="215">
        <v>359</v>
      </c>
      <c r="O572" s="215">
        <v>394</v>
      </c>
      <c r="P572" s="215">
        <v>384</v>
      </c>
      <c r="Q572" s="215">
        <v>501</v>
      </c>
      <c r="R572" s="226">
        <f>SUM(N572:Q572)</f>
        <v>1638</v>
      </c>
      <c r="S572" s="215">
        <v>382</v>
      </c>
      <c r="T572" s="215">
        <v>377</v>
      </c>
      <c r="U572" s="215">
        <v>355</v>
      </c>
      <c r="V572" s="215">
        <v>0</v>
      </c>
      <c r="W572" s="226">
        <f>SUM(S572:V572)</f>
        <v>1114</v>
      </c>
      <c r="X572" s="215">
        <v>0</v>
      </c>
      <c r="Y572" s="215">
        <f>Y569*(1-Y577)</f>
        <v>0</v>
      </c>
      <c r="Z572" s="215">
        <f>Z569*(1-Z577)</f>
        <v>0</v>
      </c>
      <c r="AA572" s="215">
        <f>AA569*(1-AA577)</f>
        <v>0</v>
      </c>
      <c r="AB572" s="226">
        <f>SUM(X572:AA572)</f>
        <v>0</v>
      </c>
      <c r="AC572" s="215">
        <f>AC569*(1-AC577)</f>
        <v>0</v>
      </c>
      <c r="AD572" s="215">
        <f>AD569*(1-AD577)</f>
        <v>0</v>
      </c>
      <c r="AE572" s="215">
        <f>AE569*(1-AE577)</f>
        <v>0</v>
      </c>
      <c r="AF572" s="215">
        <f>AF569*(1-AF577)</f>
        <v>0</v>
      </c>
      <c r="AG572" s="226">
        <f>SUM(AC572:AF572)</f>
        <v>0</v>
      </c>
      <c r="AH572" s="215">
        <f>AH569*(1-AH577)</f>
        <v>0</v>
      </c>
      <c r="AI572" s="215">
        <f>AI569*(1-AI577)</f>
        <v>0</v>
      </c>
      <c r="AJ572" s="215">
        <f>AJ569*(1-AJ577)</f>
        <v>0</v>
      </c>
      <c r="AK572" s="215">
        <f>AK569*(1-AK577)</f>
        <v>0</v>
      </c>
      <c r="AL572" s="226">
        <f>SUM(AH572:AK572)</f>
        <v>0</v>
      </c>
      <c r="AM572" s="215">
        <f>AM569*(1-AM577)</f>
        <v>0</v>
      </c>
      <c r="AN572" s="215">
        <f>AN569*(1-AN577)</f>
        <v>0</v>
      </c>
      <c r="AO572" s="215">
        <f>AO569*(1-AO577)</f>
        <v>0</v>
      </c>
      <c r="AP572" s="215">
        <f>AP569*(1-AP577)</f>
        <v>0</v>
      </c>
      <c r="AQ572" s="226">
        <f>SUM(AM572:AP572)</f>
        <v>0</v>
      </c>
      <c r="AR572" s="215">
        <f>AR569*(1-AR577)</f>
        <v>0</v>
      </c>
      <c r="AS572" s="215">
        <f>AS569*(1-AS577)</f>
        <v>0</v>
      </c>
      <c r="AT572" s="215">
        <f>AT569*(1-AT577)</f>
        <v>0</v>
      </c>
      <c r="AU572" s="215">
        <f>AU569*(1-AU577)</f>
        <v>0</v>
      </c>
      <c r="AV572" s="226">
        <f>SUM(AR572:AU572)</f>
        <v>0</v>
      </c>
      <c r="AW572" s="215">
        <f>AW569*(1-AW577)</f>
        <v>0</v>
      </c>
      <c r="AX572" s="215">
        <f>AX569*(1-AX577)</f>
        <v>0</v>
      </c>
      <c r="AY572" s="215">
        <f>AY569*(1-AY577)</f>
        <v>0</v>
      </c>
      <c r="AZ572" s="215">
        <f>AZ569*(1-AZ577)</f>
        <v>0</v>
      </c>
      <c r="BA572" s="226">
        <f>SUM(AW572:AZ572)</f>
        <v>0</v>
      </c>
      <c r="BB572" s="215">
        <f>BB569*(1-BB577)</f>
        <v>0</v>
      </c>
      <c r="BC572" s="215">
        <f>BC569*(1-BC577)</f>
        <v>0</v>
      </c>
      <c r="BD572" s="215">
        <f>BD569*(1-BD577)</f>
        <v>0</v>
      </c>
      <c r="BE572" s="215">
        <f>BE569*(1-BE577)</f>
        <v>0</v>
      </c>
      <c r="BF572" s="226">
        <f>SUM(BB572:BE572)</f>
        <v>0</v>
      </c>
      <c r="BG572" s="215">
        <f>BG569*(1-BG577)</f>
        <v>0</v>
      </c>
      <c r="BH572" s="215">
        <f>BH569*(1-BH577)</f>
        <v>0</v>
      </c>
      <c r="BI572" s="215">
        <f>BI569*(1-BI577)</f>
        <v>0</v>
      </c>
      <c r="BJ572" s="215">
        <f>BJ569*(1-BJ577)</f>
        <v>0</v>
      </c>
      <c r="BK572" s="226">
        <f>SUM(BG572:BJ572)</f>
        <v>0</v>
      </c>
      <c r="BL572" s="215">
        <f>BL569*(1-BL577)</f>
        <v>0</v>
      </c>
      <c r="BM572" s="215">
        <f>BM569*(1-BM577)</f>
        <v>0</v>
      </c>
      <c r="BN572" s="215">
        <f>BN569*(1-BN577)</f>
        <v>0</v>
      </c>
      <c r="BO572" s="215">
        <f>BO569*(1-BO577)</f>
        <v>0</v>
      </c>
      <c r="BP572" s="226">
        <f>SUM(BL572:BO572)</f>
        <v>0</v>
      </c>
      <c r="BQ572" s="215"/>
      <c r="BR572" s="215"/>
      <c r="BS572" s="215"/>
      <c r="BT572" s="215"/>
      <c r="BU572" s="226">
        <f>BP572*(1+BU573)</f>
        <v>0</v>
      </c>
      <c r="BV572" s="215"/>
      <c r="BW572" s="215"/>
      <c r="BX572" s="215"/>
      <c r="BY572" s="215"/>
      <c r="BZ572" s="226"/>
      <c r="CA572" s="226"/>
      <c r="CB572" s="226"/>
      <c r="CC572" s="226"/>
      <c r="CD572" s="226"/>
      <c r="CE572" s="226"/>
      <c r="CF572" s="226"/>
      <c r="CG572" s="226"/>
      <c r="CH572" s="226"/>
      <c r="CI572" s="226"/>
      <c r="CJ572" s="226"/>
      <c r="CK572" s="226"/>
      <c r="CL572" s="226"/>
      <c r="CM572" s="226"/>
      <c r="CN572" s="226"/>
      <c r="CO572" s="226"/>
      <c r="CP572" s="226"/>
      <c r="CQ572" s="226"/>
      <c r="CR572" s="226"/>
      <c r="CS572" s="226"/>
      <c r="CT572" s="226"/>
      <c r="CU572" s="226"/>
      <c r="CV572" s="226"/>
      <c r="CW572" s="226"/>
      <c r="CX572" s="226"/>
      <c r="CY572" s="226"/>
      <c r="CZ572" s="226"/>
      <c r="DA572" s="226"/>
      <c r="DB572"/>
      <c r="DC572"/>
      <c r="DD572" s="2323" t="s">
        <v>1726</v>
      </c>
      <c r="DE572" s="2327">
        <f>M572</f>
        <v>1496</v>
      </c>
      <c r="DF572" s="2327">
        <f>R572</f>
        <v>1638</v>
      </c>
      <c r="DG572" s="2327">
        <f>W572</f>
        <v>1114</v>
      </c>
      <c r="DH572" s="2327">
        <f>AB572</f>
        <v>0</v>
      </c>
      <c r="DI572" s="2327">
        <f>AG572</f>
        <v>0</v>
      </c>
      <c r="DJ572" s="2327">
        <f>AL572</f>
        <v>0</v>
      </c>
      <c r="DK572" s="2327">
        <f>AQ572</f>
        <v>0</v>
      </c>
      <c r="DL572" s="2327">
        <f>AV572</f>
        <v>0</v>
      </c>
      <c r="DM572" s="2327">
        <f>BA572</f>
        <v>0</v>
      </c>
      <c r="DN572" s="2327">
        <f>BF572</f>
        <v>0</v>
      </c>
      <c r="DO572" s="2327">
        <f>BK572</f>
        <v>0</v>
      </c>
      <c r="DP572" s="2327">
        <f>BP572</f>
        <v>0</v>
      </c>
      <c r="DQ572" s="2327">
        <f>BU572</f>
        <v>0</v>
      </c>
      <c r="DR572" s="2327">
        <f>BZ572</f>
        <v>0</v>
      </c>
      <c r="DS572" s="2327">
        <f>CE572</f>
        <v>0</v>
      </c>
      <c r="DT572" s="2327">
        <f>CJ572</f>
        <v>0</v>
      </c>
      <c r="DU572" s="2327">
        <f>CO572</f>
        <v>0</v>
      </c>
      <c r="DV572" s="2327">
        <f>CT572</f>
        <v>0</v>
      </c>
      <c r="DW572" s="2327">
        <f t="shared" ref="DW572:DY573" si="1041">CY572</f>
        <v>0</v>
      </c>
      <c r="DX572" s="2327">
        <f t="shared" si="1041"/>
        <v>0</v>
      </c>
      <c r="DY572" s="2327">
        <f t="shared" si="1041"/>
        <v>0</v>
      </c>
      <c r="EA572"/>
      <c r="EB572"/>
      <c r="EC572"/>
      <c r="ED572"/>
      <c r="EE572"/>
      <c r="EF572"/>
      <c r="EJ572"/>
      <c r="EK572"/>
      <c r="EL572"/>
      <c r="ER572" s="212"/>
    </row>
    <row r="573" spans="1:148" s="923" customFormat="1" ht="12.75" hidden="1" customHeight="1" outlineLevel="1" x14ac:dyDescent="0.2">
      <c r="A573" s="865" t="s">
        <v>1340</v>
      </c>
      <c r="B573" s="215"/>
      <c r="C573" s="215"/>
      <c r="D573" s="215"/>
      <c r="E573" s="215"/>
      <c r="F573" s="215"/>
      <c r="G573" s="215"/>
      <c r="H573" s="215"/>
      <c r="I573" s="215"/>
      <c r="J573" s="215"/>
      <c r="K573" s="215"/>
      <c r="L573" s="215"/>
      <c r="M573" s="215"/>
      <c r="N573" s="215">
        <f t="shared" ref="N573:X573" si="1042">N572/I572-1</f>
        <v>0.12539184952978055</v>
      </c>
      <c r="O573" s="215">
        <f t="shared" si="1042"/>
        <v>5.0666666666666638E-2</v>
      </c>
      <c r="P573" s="215">
        <f t="shared" si="1042"/>
        <v>9.4017094017094127E-2</v>
      </c>
      <c r="Q573" s="215">
        <f t="shared" si="1042"/>
        <v>0.11086474501108645</v>
      </c>
      <c r="R573" s="215">
        <f t="shared" si="1042"/>
        <v>9.4919786096256731E-2</v>
      </c>
      <c r="S573" s="215">
        <f t="shared" si="1042"/>
        <v>6.4066852367687943E-2</v>
      </c>
      <c r="T573" s="215">
        <f t="shared" si="1042"/>
        <v>-4.3147208121827374E-2</v>
      </c>
      <c r="U573" s="215">
        <f t="shared" si="1042"/>
        <v>-7.552083333333337E-2</v>
      </c>
      <c r="V573" s="215">
        <f t="shared" si="1042"/>
        <v>-1</v>
      </c>
      <c r="W573" s="215">
        <f t="shared" si="1042"/>
        <v>-0.31990231990231988</v>
      </c>
      <c r="X573" s="215">
        <f t="shared" si="1042"/>
        <v>-1</v>
      </c>
      <c r="Y573" s="215"/>
      <c r="Z573" s="215"/>
      <c r="AA573" s="215"/>
      <c r="AB573" s="215"/>
      <c r="AC573" s="215"/>
      <c r="AD573" s="215"/>
      <c r="AE573" s="215"/>
      <c r="AF573" s="215"/>
      <c r="AG573" s="215"/>
      <c r="AH573" s="215"/>
      <c r="AI573" s="215"/>
      <c r="AJ573" s="215"/>
      <c r="AK573" s="215"/>
      <c r="AL573" s="215"/>
      <c r="AM573" s="215"/>
      <c r="AN573" s="215"/>
      <c r="AO573" s="215"/>
      <c r="AP573" s="215"/>
      <c r="AQ573" s="215"/>
      <c r="AR573" s="215"/>
      <c r="AS573" s="215"/>
      <c r="AT573" s="215"/>
      <c r="AU573" s="215"/>
      <c r="AV573" s="215"/>
      <c r="AW573" s="215"/>
      <c r="AX573" s="215"/>
      <c r="AY573" s="215"/>
      <c r="AZ573" s="215"/>
      <c r="BA573" s="215"/>
      <c r="BB573" s="215"/>
      <c r="BC573" s="215"/>
      <c r="BD573" s="215"/>
      <c r="BE573" s="215"/>
      <c r="BF573" s="215"/>
      <c r="BG573" s="215"/>
      <c r="BH573" s="215"/>
      <c r="BI573" s="215"/>
      <c r="BJ573" s="215"/>
      <c r="BK573" s="215"/>
      <c r="BL573" s="215"/>
      <c r="BM573" s="215"/>
      <c r="BN573" s="215"/>
      <c r="BO573" s="215"/>
      <c r="BP573" s="215"/>
      <c r="BQ573" s="215"/>
      <c r="BR573" s="215"/>
      <c r="BS573" s="215"/>
      <c r="BT573" s="215"/>
      <c r="BU573" s="215"/>
      <c r="BV573" s="215"/>
      <c r="BW573" s="215"/>
      <c r="BX573" s="215"/>
      <c r="BY573" s="215"/>
      <c r="BZ573" s="215"/>
      <c r="CA573" s="215"/>
      <c r="CB573" s="215"/>
      <c r="CC573" s="215"/>
      <c r="CD573" s="215"/>
      <c r="CE573" s="215"/>
      <c r="CF573" s="215"/>
      <c r="CG573" s="215"/>
      <c r="CH573" s="215"/>
      <c r="CI573" s="215"/>
      <c r="CJ573" s="215"/>
      <c r="CK573" s="215"/>
      <c r="CL573" s="215"/>
      <c r="CM573" s="215"/>
      <c r="CN573" s="215"/>
      <c r="CO573" s="215"/>
      <c r="CP573" s="215"/>
      <c r="CQ573" s="215"/>
      <c r="CR573" s="215"/>
      <c r="CS573" s="215"/>
      <c r="CT573" s="215"/>
      <c r="CU573" s="215"/>
      <c r="CV573" s="215"/>
      <c r="CW573" s="215"/>
      <c r="CX573" s="215"/>
      <c r="CY573" s="215"/>
      <c r="CZ573" s="215"/>
      <c r="DA573" s="215"/>
      <c r="DB573"/>
      <c r="DC573"/>
      <c r="DD573" s="2323" t="s">
        <v>1340</v>
      </c>
      <c r="DE573" s="2327">
        <f>M573</f>
        <v>0</v>
      </c>
      <c r="DF573" s="2327">
        <f>R573</f>
        <v>9.4919786096256731E-2</v>
      </c>
      <c r="DG573" s="2327">
        <f>W573</f>
        <v>-0.31990231990231988</v>
      </c>
      <c r="DH573" s="2327">
        <f>AB573</f>
        <v>0</v>
      </c>
      <c r="DI573" s="2327">
        <f>AG573</f>
        <v>0</v>
      </c>
      <c r="DJ573" s="2327">
        <f>AL573</f>
        <v>0</v>
      </c>
      <c r="DK573" s="2327">
        <f>AQ573</f>
        <v>0</v>
      </c>
      <c r="DL573" s="2327">
        <f>AV573</f>
        <v>0</v>
      </c>
      <c r="DM573" s="2327">
        <f>BA573</f>
        <v>0</v>
      </c>
      <c r="DN573" s="2327">
        <f>BF573</f>
        <v>0</v>
      </c>
      <c r="DO573" s="2327">
        <f>BK573</f>
        <v>0</v>
      </c>
      <c r="DP573" s="2327">
        <f>BP573</f>
        <v>0</v>
      </c>
      <c r="DQ573" s="2327">
        <f>BU573</f>
        <v>0</v>
      </c>
      <c r="DR573" s="2327">
        <f>BZ573</f>
        <v>0</v>
      </c>
      <c r="DS573" s="2327">
        <f>CE573</f>
        <v>0</v>
      </c>
      <c r="DT573" s="2327">
        <f>CJ573</f>
        <v>0</v>
      </c>
      <c r="DU573" s="2327">
        <f>CO573</f>
        <v>0</v>
      </c>
      <c r="DV573" s="2327">
        <f>CT573</f>
        <v>0</v>
      </c>
      <c r="DW573" s="2327">
        <f t="shared" si="1041"/>
        <v>0</v>
      </c>
      <c r="DX573" s="2327">
        <f t="shared" si="1041"/>
        <v>0</v>
      </c>
      <c r="DY573" s="2327">
        <f t="shared" si="1041"/>
        <v>0</v>
      </c>
      <c r="EA573"/>
      <c r="EB573"/>
      <c r="EC573"/>
      <c r="ED573"/>
      <c r="EE573"/>
      <c r="EF573"/>
      <c r="EJ573"/>
      <c r="EK573"/>
      <c r="EL573"/>
      <c r="ER573" s="212"/>
    </row>
    <row r="574" spans="1:148" s="923" customFormat="1" ht="12.75" hidden="1" customHeight="1" outlineLevel="1" x14ac:dyDescent="0.2">
      <c r="A574" s="865"/>
      <c r="B574" s="215"/>
      <c r="C574" s="215"/>
      <c r="D574" s="215"/>
      <c r="E574" s="215"/>
      <c r="F574" s="215"/>
      <c r="G574" s="215"/>
      <c r="H574" s="215"/>
      <c r="I574" s="215"/>
      <c r="J574" s="215"/>
      <c r="K574" s="215"/>
      <c r="L574" s="215"/>
      <c r="M574" s="215"/>
      <c r="N574" s="215"/>
      <c r="O574" s="215"/>
      <c r="P574" s="215"/>
      <c r="Q574" s="215"/>
      <c r="R574" s="215"/>
      <c r="S574" s="215"/>
      <c r="T574" s="215"/>
      <c r="U574" s="215"/>
      <c r="V574" s="215"/>
      <c r="W574" s="215"/>
      <c r="X574" s="215"/>
      <c r="Y574" s="215"/>
      <c r="Z574" s="215"/>
      <c r="AA574" s="215"/>
      <c r="AB574" s="215"/>
      <c r="AC574" s="215"/>
      <c r="AD574" s="215"/>
      <c r="AE574" s="215"/>
      <c r="AF574" s="215"/>
      <c r="AG574" s="215"/>
      <c r="AH574" s="215"/>
      <c r="AI574" s="215"/>
      <c r="AJ574" s="215"/>
      <c r="AK574" s="215"/>
      <c r="AL574" s="215"/>
      <c r="AM574" s="215"/>
      <c r="AN574" s="215"/>
      <c r="AO574" s="215"/>
      <c r="AP574" s="215"/>
      <c r="AQ574" s="215"/>
      <c r="AR574" s="215"/>
      <c r="AS574" s="215"/>
      <c r="AT574" s="215"/>
      <c r="AU574" s="215"/>
      <c r="AV574" s="215"/>
      <c r="AW574" s="215"/>
      <c r="AX574" s="215"/>
      <c r="AY574" s="215"/>
      <c r="AZ574" s="215"/>
      <c r="BA574" s="215"/>
      <c r="BB574" s="215"/>
      <c r="BC574" s="215"/>
      <c r="BD574" s="215"/>
      <c r="BE574" s="215"/>
      <c r="BF574" s="215"/>
      <c r="BG574" s="215"/>
      <c r="BH574" s="215"/>
      <c r="BI574" s="215"/>
      <c r="BJ574" s="215"/>
      <c r="BK574" s="215"/>
      <c r="BL574" s="215"/>
      <c r="BM574" s="215"/>
      <c r="BN574" s="215"/>
      <c r="BO574" s="215"/>
      <c r="BP574" s="215"/>
      <c r="BQ574" s="215"/>
      <c r="BR574" s="215"/>
      <c r="BS574" s="215"/>
      <c r="BT574" s="215"/>
      <c r="BU574" s="215"/>
      <c r="BV574" s="215"/>
      <c r="BW574" s="215"/>
      <c r="BX574" s="215"/>
      <c r="BY574" s="215"/>
      <c r="BZ574" s="215"/>
      <c r="CA574" s="215"/>
      <c r="CB574" s="215"/>
      <c r="CC574" s="215"/>
      <c r="CD574" s="215"/>
      <c r="CE574" s="215"/>
      <c r="CF574" s="215"/>
      <c r="CG574" s="215"/>
      <c r="CH574" s="215"/>
      <c r="CI574" s="215"/>
      <c r="CJ574" s="215"/>
      <c r="CK574" s="215"/>
      <c r="CL574" s="215"/>
      <c r="CM574" s="215"/>
      <c r="CN574" s="215"/>
      <c r="CO574" s="215"/>
      <c r="CP574" s="215"/>
      <c r="CQ574" s="215"/>
      <c r="CR574" s="215"/>
      <c r="CS574" s="215"/>
      <c r="CT574" s="215"/>
      <c r="CU574" s="215"/>
      <c r="CV574" s="215"/>
      <c r="CW574" s="215"/>
      <c r="CX574" s="215"/>
      <c r="CY574" s="215"/>
      <c r="CZ574" s="215"/>
      <c r="DA574" s="215"/>
      <c r="DB574"/>
      <c r="DC574"/>
      <c r="DD574" s="2323"/>
      <c r="DE574" s="2327"/>
      <c r="DF574" s="2327"/>
      <c r="DG574" s="2327"/>
      <c r="DH574" s="2327"/>
      <c r="DI574" s="2327"/>
      <c r="DJ574" s="2327"/>
      <c r="DK574" s="2327"/>
      <c r="DL574" s="2327"/>
      <c r="DM574" s="2327"/>
      <c r="DN574" s="2327"/>
      <c r="DO574" s="2327"/>
      <c r="DP574" s="2327"/>
      <c r="DQ574" s="2327"/>
      <c r="DR574" s="2327"/>
      <c r="DS574" s="2327"/>
      <c r="DT574" s="2327"/>
      <c r="DU574" s="2327"/>
      <c r="DV574" s="2327"/>
      <c r="DW574" s="2327"/>
      <c r="DX574" s="2327"/>
      <c r="DY574" s="2327"/>
      <c r="EA574"/>
      <c r="EB574"/>
      <c r="EC574"/>
      <c r="ED574"/>
      <c r="EE574"/>
      <c r="EF574"/>
      <c r="EJ574"/>
      <c r="EK574"/>
      <c r="EL574"/>
      <c r="ER574" s="212"/>
    </row>
    <row r="575" spans="1:148" s="923" customFormat="1" hidden="1" outlineLevel="1" x14ac:dyDescent="0.2">
      <c r="A575" s="865" t="s">
        <v>1343</v>
      </c>
      <c r="B575" s="215"/>
      <c r="C575" s="215"/>
      <c r="D575" s="215"/>
      <c r="E575" s="215"/>
      <c r="F575" s="215"/>
      <c r="G575" s="215"/>
      <c r="H575" s="215"/>
      <c r="I575" s="215">
        <f>I569-I572</f>
        <v>-12</v>
      </c>
      <c r="J575" s="215">
        <f>J569-J572</f>
        <v>6</v>
      </c>
      <c r="K575" s="215">
        <f>K569-K572</f>
        <v>5</v>
      </c>
      <c r="L575" s="215">
        <f>L569-L572</f>
        <v>5</v>
      </c>
      <c r="M575" s="226">
        <f>SUM(I575:L575)</f>
        <v>4</v>
      </c>
      <c r="N575" s="215">
        <f>N569-N572</f>
        <v>2</v>
      </c>
      <c r="O575" s="215">
        <f>O569-O572</f>
        <v>3</v>
      </c>
      <c r="P575" s="215">
        <f>P569-P572</f>
        <v>1</v>
      </c>
      <c r="Q575" s="215">
        <f>Q569-Q572</f>
        <v>-7</v>
      </c>
      <c r="R575" s="226">
        <f>SUM(N575:Q575)</f>
        <v>-1</v>
      </c>
      <c r="S575" s="215">
        <f>S569-S572</f>
        <v>-6</v>
      </c>
      <c r="T575" s="215">
        <f>T569-T572</f>
        <v>-2</v>
      </c>
      <c r="U575" s="215">
        <f>U569-U572</f>
        <v>-4</v>
      </c>
      <c r="V575" s="215">
        <f>V569-V572</f>
        <v>0</v>
      </c>
      <c r="W575" s="226">
        <f>SUM(S575:V575)</f>
        <v>-12</v>
      </c>
      <c r="X575" s="215">
        <f>X569-X572</f>
        <v>0</v>
      </c>
      <c r="Y575" s="215">
        <f>Y569-Y572</f>
        <v>0</v>
      </c>
      <c r="Z575" s="215">
        <f>Z569-Z572</f>
        <v>0</v>
      </c>
      <c r="AA575" s="215">
        <f>AA569-AA572</f>
        <v>0</v>
      </c>
      <c r="AB575" s="226">
        <f>SUM(X575:AA575)</f>
        <v>0</v>
      </c>
      <c r="AC575" s="215">
        <f>AC569-AC572</f>
        <v>0</v>
      </c>
      <c r="AD575" s="215">
        <f>AD569-AD572</f>
        <v>0</v>
      </c>
      <c r="AE575" s="215">
        <f>AE569-AE572</f>
        <v>0</v>
      </c>
      <c r="AF575" s="215">
        <f>AF569-AF572</f>
        <v>0</v>
      </c>
      <c r="AG575" s="226">
        <f>SUM(AC575:AF575)</f>
        <v>0</v>
      </c>
      <c r="AH575" s="215">
        <f>AH569-AH572</f>
        <v>0</v>
      </c>
      <c r="AI575" s="215">
        <f>AI569-AI572</f>
        <v>0</v>
      </c>
      <c r="AJ575" s="215">
        <f>AJ569-AJ572</f>
        <v>0</v>
      </c>
      <c r="AK575" s="215">
        <f>AK569-AK572</f>
        <v>0</v>
      </c>
      <c r="AL575" s="226">
        <f>SUM(AH575:AK575)</f>
        <v>0</v>
      </c>
      <c r="AM575" s="215">
        <f>AM569-AM572</f>
        <v>0</v>
      </c>
      <c r="AN575" s="215">
        <f>AN569-AN572</f>
        <v>0</v>
      </c>
      <c r="AO575" s="215">
        <f>AO569-AO572</f>
        <v>0</v>
      </c>
      <c r="AP575" s="215">
        <f>AP569-AP572</f>
        <v>0</v>
      </c>
      <c r="AQ575" s="226">
        <f>SUM(AM575:AP575)</f>
        <v>0</v>
      </c>
      <c r="AR575" s="215">
        <f>AR569-AR572</f>
        <v>0</v>
      </c>
      <c r="AS575" s="215">
        <f>AS569-AS572</f>
        <v>0</v>
      </c>
      <c r="AT575" s="215">
        <f>AT569-AT572</f>
        <v>0</v>
      </c>
      <c r="AU575" s="215">
        <f>AU569-AU572</f>
        <v>0</v>
      </c>
      <c r="AV575" s="226">
        <f>SUM(AR575:AU575)</f>
        <v>0</v>
      </c>
      <c r="AW575" s="215">
        <f>AW569-AW572</f>
        <v>0</v>
      </c>
      <c r="AX575" s="215">
        <f>AX569-AX572</f>
        <v>0</v>
      </c>
      <c r="AY575" s="215">
        <f>AY569-AY572</f>
        <v>0</v>
      </c>
      <c r="AZ575" s="215">
        <f>AZ569-AZ572</f>
        <v>0</v>
      </c>
      <c r="BA575" s="226">
        <f>SUM(AW575:AZ575)</f>
        <v>0</v>
      </c>
      <c r="BB575" s="215">
        <f>BB569-BB572</f>
        <v>0</v>
      </c>
      <c r="BC575" s="215">
        <f>BC569-BC572</f>
        <v>0</v>
      </c>
      <c r="BD575" s="215">
        <f>BD569-BD572</f>
        <v>0</v>
      </c>
      <c r="BE575" s="215">
        <f>BE569-BE572</f>
        <v>0</v>
      </c>
      <c r="BF575" s="226">
        <f>SUM(BB575:BE575)</f>
        <v>0</v>
      </c>
      <c r="BG575" s="215">
        <f>BG569-BG572</f>
        <v>0</v>
      </c>
      <c r="BH575" s="215">
        <f>BH569-BH572</f>
        <v>0</v>
      </c>
      <c r="BI575" s="215">
        <f>BI569-BI572</f>
        <v>0</v>
      </c>
      <c r="BJ575" s="215">
        <f>BJ569-BJ572</f>
        <v>0</v>
      </c>
      <c r="BK575" s="226">
        <f>SUM(BG575:BJ575)</f>
        <v>0</v>
      </c>
      <c r="BL575" s="215">
        <f>BL569-BL572</f>
        <v>0</v>
      </c>
      <c r="BM575" s="215">
        <f>BM569-BM572</f>
        <v>0</v>
      </c>
      <c r="BN575" s="215">
        <f>BN569-BN572</f>
        <v>0</v>
      </c>
      <c r="BO575" s="215">
        <f>BO569-BO572</f>
        <v>0</v>
      </c>
      <c r="BP575" s="226">
        <f>SUM(BL575:BO575)</f>
        <v>0</v>
      </c>
      <c r="BQ575" s="215"/>
      <c r="BR575" s="215"/>
      <c r="BS575" s="215"/>
      <c r="BT575" s="215"/>
      <c r="BU575" s="226">
        <f>BU569-BU572</f>
        <v>0</v>
      </c>
      <c r="BV575" s="215"/>
      <c r="BW575" s="215"/>
      <c r="BX575" s="215"/>
      <c r="BY575" s="215"/>
      <c r="BZ575" s="226"/>
      <c r="CA575" s="226"/>
      <c r="CB575" s="226"/>
      <c r="CC575" s="226"/>
      <c r="CD575" s="226"/>
      <c r="CE575" s="226"/>
      <c r="CF575" s="226"/>
      <c r="CG575" s="226"/>
      <c r="CH575" s="226"/>
      <c r="CI575" s="226"/>
      <c r="CJ575" s="226"/>
      <c r="CK575" s="226"/>
      <c r="CL575" s="226"/>
      <c r="CM575" s="226"/>
      <c r="CN575" s="226"/>
      <c r="CO575" s="226"/>
      <c r="CP575" s="226"/>
      <c r="CQ575" s="226"/>
      <c r="CR575" s="226"/>
      <c r="CS575" s="226"/>
      <c r="CT575" s="226"/>
      <c r="CU575" s="226"/>
      <c r="CV575" s="226"/>
      <c r="CW575" s="226"/>
      <c r="CX575" s="226"/>
      <c r="CY575" s="226"/>
      <c r="CZ575" s="226"/>
      <c r="DA575" s="226"/>
      <c r="DB575"/>
      <c r="DC575"/>
      <c r="DD575" s="2323" t="s">
        <v>1343</v>
      </c>
      <c r="DE575" s="2327">
        <f>M575</f>
        <v>4</v>
      </c>
      <c r="DF575" s="2327">
        <f>R575</f>
        <v>-1</v>
      </c>
      <c r="DG575" s="2327">
        <f>W575</f>
        <v>-12</v>
      </c>
      <c r="DH575" s="2327">
        <f>AB575</f>
        <v>0</v>
      </c>
      <c r="DI575" s="2327">
        <f>AG575</f>
        <v>0</v>
      </c>
      <c r="DJ575" s="2327">
        <f>AL575</f>
        <v>0</v>
      </c>
      <c r="DK575" s="2327">
        <f>AQ575</f>
        <v>0</v>
      </c>
      <c r="DL575" s="2327">
        <f>AV575</f>
        <v>0</v>
      </c>
      <c r="DM575" s="2327">
        <f>BA575</f>
        <v>0</v>
      </c>
      <c r="DN575" s="2327">
        <f>BF575</f>
        <v>0</v>
      </c>
      <c r="DO575" s="2327">
        <f>BK575</f>
        <v>0</v>
      </c>
      <c r="DP575" s="2327">
        <f>BP575</f>
        <v>0</v>
      </c>
      <c r="DQ575" s="2327">
        <f>BU575</f>
        <v>0</v>
      </c>
      <c r="DR575" s="2327">
        <f>BZ575</f>
        <v>0</v>
      </c>
      <c r="DS575" s="2327">
        <f>CE575</f>
        <v>0</v>
      </c>
      <c r="DT575" s="2327">
        <f>CJ575</f>
        <v>0</v>
      </c>
      <c r="DU575" s="2327">
        <f>CO575</f>
        <v>0</v>
      </c>
      <c r="DV575" s="2327">
        <f>CT575</f>
        <v>0</v>
      </c>
      <c r="DW575" s="2327">
        <f t="shared" ref="DW575:DY577" si="1043">CY575</f>
        <v>0</v>
      </c>
      <c r="DX575" s="2327">
        <f t="shared" si="1043"/>
        <v>0</v>
      </c>
      <c r="DY575" s="2327">
        <f t="shared" si="1043"/>
        <v>0</v>
      </c>
      <c r="EA575"/>
      <c r="EB575"/>
      <c r="EC575"/>
      <c r="ED575"/>
      <c r="EE575"/>
      <c r="EF575"/>
      <c r="EJ575"/>
      <c r="EK575"/>
      <c r="EL575"/>
      <c r="ER575" s="212"/>
    </row>
    <row r="576" spans="1:148" s="923" customFormat="1" hidden="1" outlineLevel="1" x14ac:dyDescent="0.2">
      <c r="A576" s="865" t="s">
        <v>1340</v>
      </c>
      <c r="B576" s="215"/>
      <c r="C576" s="215"/>
      <c r="D576" s="215"/>
      <c r="E576" s="215"/>
      <c r="F576" s="215"/>
      <c r="G576" s="215"/>
      <c r="H576" s="215"/>
      <c r="I576" s="215"/>
      <c r="J576" s="215"/>
      <c r="K576" s="215"/>
      <c r="L576" s="215"/>
      <c r="M576" s="215"/>
      <c r="N576" s="215">
        <f t="shared" ref="N576:W576" si="1044">N575/I575-1</f>
        <v>-1.1666666666666667</v>
      </c>
      <c r="O576" s="215">
        <f t="shared" si="1044"/>
        <v>-0.5</v>
      </c>
      <c r="P576" s="215">
        <f t="shared" si="1044"/>
        <v>-0.8</v>
      </c>
      <c r="Q576" s="215">
        <f t="shared" si="1044"/>
        <v>-2.4</v>
      </c>
      <c r="R576" s="215">
        <f t="shared" si="1044"/>
        <v>-1.25</v>
      </c>
      <c r="S576" s="215">
        <f t="shared" si="1044"/>
        <v>-4</v>
      </c>
      <c r="T576" s="215">
        <f t="shared" si="1044"/>
        <v>-1.6666666666666665</v>
      </c>
      <c r="U576" s="215">
        <f t="shared" si="1044"/>
        <v>-5</v>
      </c>
      <c r="V576" s="215">
        <f t="shared" si="1044"/>
        <v>-1</v>
      </c>
      <c r="W576" s="215">
        <f t="shared" si="1044"/>
        <v>11</v>
      </c>
      <c r="X576" s="215">
        <v>0</v>
      </c>
      <c r="Y576" s="215">
        <v>0</v>
      </c>
      <c r="Z576" s="215">
        <v>0</v>
      </c>
      <c r="AA576" s="215">
        <v>0</v>
      </c>
      <c r="AB576" s="215"/>
      <c r="AC576" s="215"/>
      <c r="AD576" s="215"/>
      <c r="AE576" s="215"/>
      <c r="AF576" s="215"/>
      <c r="AG576" s="215"/>
      <c r="AH576" s="215"/>
      <c r="AI576" s="215"/>
      <c r="AJ576" s="215"/>
      <c r="AK576" s="215"/>
      <c r="AL576" s="215"/>
      <c r="AM576" s="215"/>
      <c r="AN576" s="215"/>
      <c r="AO576" s="215"/>
      <c r="AP576" s="215"/>
      <c r="AQ576" s="215"/>
      <c r="AR576" s="215"/>
      <c r="AS576" s="215"/>
      <c r="AT576" s="215"/>
      <c r="AU576" s="215"/>
      <c r="AV576" s="215"/>
      <c r="AW576" s="215"/>
      <c r="AX576" s="215"/>
      <c r="AY576" s="215"/>
      <c r="AZ576" s="215"/>
      <c r="BA576" s="215"/>
      <c r="BB576" s="215"/>
      <c r="BC576" s="215"/>
      <c r="BD576" s="215"/>
      <c r="BE576" s="215"/>
      <c r="BF576" s="215"/>
      <c r="BG576" s="215"/>
      <c r="BH576" s="215"/>
      <c r="BI576" s="215"/>
      <c r="BJ576" s="215"/>
      <c r="BK576" s="215"/>
      <c r="BL576" s="215"/>
      <c r="BM576" s="215"/>
      <c r="BN576" s="215"/>
      <c r="BO576" s="215"/>
      <c r="BP576" s="215"/>
      <c r="BQ576" s="215"/>
      <c r="BR576" s="215"/>
      <c r="BS576" s="215"/>
      <c r="BT576" s="215"/>
      <c r="BU576" s="215"/>
      <c r="BV576" s="215"/>
      <c r="BW576" s="215"/>
      <c r="BX576" s="215"/>
      <c r="BY576" s="215"/>
      <c r="BZ576" s="215"/>
      <c r="CA576" s="215"/>
      <c r="CB576" s="215"/>
      <c r="CC576" s="215"/>
      <c r="CD576" s="215"/>
      <c r="CE576" s="215"/>
      <c r="CF576" s="215"/>
      <c r="CG576" s="215"/>
      <c r="CH576" s="215"/>
      <c r="CI576" s="215"/>
      <c r="CJ576" s="215"/>
      <c r="CK576" s="215"/>
      <c r="CL576" s="215"/>
      <c r="CM576" s="215"/>
      <c r="CN576" s="215"/>
      <c r="CO576" s="215"/>
      <c r="CP576" s="215"/>
      <c r="CQ576" s="215"/>
      <c r="CR576" s="215"/>
      <c r="CS576" s="215"/>
      <c r="CT576" s="215"/>
      <c r="CU576" s="215"/>
      <c r="CV576" s="215"/>
      <c r="CW576" s="215"/>
      <c r="CX576" s="215"/>
      <c r="CY576" s="215"/>
      <c r="CZ576" s="215"/>
      <c r="DA576" s="215"/>
      <c r="DB576"/>
      <c r="DC576"/>
      <c r="DD576" s="2323" t="s">
        <v>1340</v>
      </c>
      <c r="DE576" s="2327">
        <f>M576</f>
        <v>0</v>
      </c>
      <c r="DF576" s="2327">
        <f>R576</f>
        <v>-1.25</v>
      </c>
      <c r="DG576" s="2327">
        <f>W576</f>
        <v>11</v>
      </c>
      <c r="DH576" s="2327">
        <f>AB576</f>
        <v>0</v>
      </c>
      <c r="DI576" s="2327">
        <f>AG576</f>
        <v>0</v>
      </c>
      <c r="DJ576" s="2327">
        <f>AL576</f>
        <v>0</v>
      </c>
      <c r="DK576" s="2327">
        <f>AQ576</f>
        <v>0</v>
      </c>
      <c r="DL576" s="2327">
        <f>AV576</f>
        <v>0</v>
      </c>
      <c r="DM576" s="2327">
        <f>BA576</f>
        <v>0</v>
      </c>
      <c r="DN576" s="2327">
        <f>BF576</f>
        <v>0</v>
      </c>
      <c r="DO576" s="2327">
        <f>BK576</f>
        <v>0</v>
      </c>
      <c r="DP576" s="2327">
        <f>BP576</f>
        <v>0</v>
      </c>
      <c r="DQ576" s="2327">
        <f>BU576</f>
        <v>0</v>
      </c>
      <c r="DR576" s="2327">
        <f>BZ576</f>
        <v>0</v>
      </c>
      <c r="DS576" s="2327">
        <f>CE576</f>
        <v>0</v>
      </c>
      <c r="DT576" s="2327">
        <f>CJ576</f>
        <v>0</v>
      </c>
      <c r="DU576" s="2327">
        <f>CO576</f>
        <v>0</v>
      </c>
      <c r="DV576" s="2327">
        <f>CT576</f>
        <v>0</v>
      </c>
      <c r="DW576" s="2327">
        <f t="shared" si="1043"/>
        <v>0</v>
      </c>
      <c r="DX576" s="2327">
        <f t="shared" si="1043"/>
        <v>0</v>
      </c>
      <c r="DY576" s="2327">
        <f t="shared" si="1043"/>
        <v>0</v>
      </c>
      <c r="EA576"/>
      <c r="EB576"/>
      <c r="EC576"/>
      <c r="ED576"/>
      <c r="EE576"/>
      <c r="EF576"/>
      <c r="EJ576"/>
      <c r="EK576"/>
      <c r="EL576"/>
      <c r="ER576" s="212"/>
    </row>
    <row r="577" spans="1:148" s="923" customFormat="1" hidden="1" outlineLevel="1" x14ac:dyDescent="0.2">
      <c r="A577" s="865" t="s">
        <v>801</v>
      </c>
      <c r="B577" s="215"/>
      <c r="C577" s="215"/>
      <c r="D577" s="215"/>
      <c r="E577" s="215"/>
      <c r="F577" s="215"/>
      <c r="G577" s="215"/>
      <c r="H577" s="215"/>
      <c r="I577" s="215">
        <f t="shared" ref="I577:U577" si="1045">I575/I569</f>
        <v>-3.9087947882736153E-2</v>
      </c>
      <c r="J577" s="215">
        <f t="shared" si="1045"/>
        <v>1.5748031496062992E-2</v>
      </c>
      <c r="K577" s="215">
        <f t="shared" si="1045"/>
        <v>1.4044943820224719E-2</v>
      </c>
      <c r="L577" s="215">
        <f t="shared" si="1045"/>
        <v>1.0964912280701754E-2</v>
      </c>
      <c r="M577" s="215">
        <f t="shared" si="1045"/>
        <v>2.6666666666666666E-3</v>
      </c>
      <c r="N577" s="215">
        <f t="shared" si="1045"/>
        <v>5.5401662049861496E-3</v>
      </c>
      <c r="O577" s="215">
        <f t="shared" si="1045"/>
        <v>7.556675062972292E-3</v>
      </c>
      <c r="P577" s="215">
        <f t="shared" si="1045"/>
        <v>2.5974025974025974E-3</v>
      </c>
      <c r="Q577" s="215">
        <f t="shared" si="1045"/>
        <v>-1.417004048582996E-2</v>
      </c>
      <c r="R577" s="215">
        <f t="shared" si="1045"/>
        <v>-6.1087354917532073E-4</v>
      </c>
      <c r="S577" s="215">
        <f t="shared" si="1045"/>
        <v>-1.5957446808510637E-2</v>
      </c>
      <c r="T577" s="215">
        <f t="shared" si="1045"/>
        <v>-5.3333333333333332E-3</v>
      </c>
      <c r="U577" s="215">
        <f t="shared" si="1045"/>
        <v>-1.1396011396011397E-2</v>
      </c>
      <c r="V577" s="215">
        <v>0</v>
      </c>
      <c r="W577" s="215">
        <f>W575/W569</f>
        <v>-1.0889292196007259E-2</v>
      </c>
      <c r="X577" s="215">
        <v>0</v>
      </c>
      <c r="Y577" s="215">
        <v>0</v>
      </c>
      <c r="Z577" s="215">
        <v>0</v>
      </c>
      <c r="AA577" s="215">
        <v>0</v>
      </c>
      <c r="AB577" s="215"/>
      <c r="AC577" s="215"/>
      <c r="AD577" s="215"/>
      <c r="AE577" s="215"/>
      <c r="AF577" s="215"/>
      <c r="AG577" s="215"/>
      <c r="AH577" s="215"/>
      <c r="AI577" s="215"/>
      <c r="AJ577" s="215"/>
      <c r="AK577" s="215"/>
      <c r="AL577" s="215"/>
      <c r="AM577" s="215"/>
      <c r="AN577" s="215"/>
      <c r="AO577" s="215"/>
      <c r="AP577" s="215"/>
      <c r="AQ577" s="215"/>
      <c r="AR577" s="215"/>
      <c r="AS577" s="215"/>
      <c r="AT577" s="215"/>
      <c r="AU577" s="215"/>
      <c r="AV577" s="215"/>
      <c r="AW577" s="215"/>
      <c r="AX577" s="215"/>
      <c r="AY577" s="215"/>
      <c r="AZ577" s="215"/>
      <c r="BA577" s="215"/>
      <c r="BB577" s="215"/>
      <c r="BC577" s="215"/>
      <c r="BD577" s="215"/>
      <c r="BE577" s="215"/>
      <c r="BF577" s="215"/>
      <c r="BG577" s="215"/>
      <c r="BH577" s="215"/>
      <c r="BI577" s="215"/>
      <c r="BJ577" s="215"/>
      <c r="BK577" s="215"/>
      <c r="BL577" s="215"/>
      <c r="BM577" s="215"/>
      <c r="BN577" s="215"/>
      <c r="BO577" s="215"/>
      <c r="BP577" s="215"/>
      <c r="BQ577" s="215"/>
      <c r="BR577" s="215"/>
      <c r="BS577" s="215"/>
      <c r="BT577" s="215"/>
      <c r="BU577" s="215"/>
      <c r="BV577" s="215"/>
      <c r="BW577" s="215"/>
      <c r="BX577" s="215"/>
      <c r="BY577" s="215"/>
      <c r="BZ577" s="215"/>
      <c r="CA577" s="215"/>
      <c r="CB577" s="215"/>
      <c r="CC577" s="215"/>
      <c r="CD577" s="215"/>
      <c r="CE577" s="215"/>
      <c r="CF577" s="215"/>
      <c r="CG577" s="215"/>
      <c r="CH577" s="215"/>
      <c r="CI577" s="215"/>
      <c r="CJ577" s="215"/>
      <c r="CK577" s="215"/>
      <c r="CL577" s="215"/>
      <c r="CM577" s="215"/>
      <c r="CN577" s="215"/>
      <c r="CO577" s="215"/>
      <c r="CP577" s="215"/>
      <c r="CQ577" s="215"/>
      <c r="CR577" s="215"/>
      <c r="CS577" s="215"/>
      <c r="CT577" s="215"/>
      <c r="CU577" s="215"/>
      <c r="CV577" s="215"/>
      <c r="CW577" s="215"/>
      <c r="CX577" s="215"/>
      <c r="CY577" s="215"/>
      <c r="CZ577" s="215"/>
      <c r="DA577" s="215"/>
      <c r="DB577"/>
      <c r="DC577"/>
      <c r="DD577" s="2323" t="s">
        <v>801</v>
      </c>
      <c r="DE577" s="2327">
        <f>M577</f>
        <v>2.6666666666666666E-3</v>
      </c>
      <c r="DF577" s="2327">
        <f>R577</f>
        <v>-6.1087354917532073E-4</v>
      </c>
      <c r="DG577" s="2327">
        <f>W577</f>
        <v>-1.0889292196007259E-2</v>
      </c>
      <c r="DH577" s="2327">
        <f>AB577</f>
        <v>0</v>
      </c>
      <c r="DI577" s="2327">
        <f>AG577</f>
        <v>0</v>
      </c>
      <c r="DJ577" s="2327">
        <f>AL577</f>
        <v>0</v>
      </c>
      <c r="DK577" s="2327">
        <f>AQ577</f>
        <v>0</v>
      </c>
      <c r="DL577" s="2327">
        <f>AV577</f>
        <v>0</v>
      </c>
      <c r="DM577" s="2327">
        <f>BA577</f>
        <v>0</v>
      </c>
      <c r="DN577" s="2327">
        <f>BF577</f>
        <v>0</v>
      </c>
      <c r="DO577" s="2327">
        <f>BK577</f>
        <v>0</v>
      </c>
      <c r="DP577" s="2327">
        <f>BP577</f>
        <v>0</v>
      </c>
      <c r="DQ577" s="2327">
        <f>BU577</f>
        <v>0</v>
      </c>
      <c r="DR577" s="2327">
        <f>BZ577</f>
        <v>0</v>
      </c>
      <c r="DS577" s="2327">
        <f>CE577</f>
        <v>0</v>
      </c>
      <c r="DT577" s="2327">
        <f>CJ577</f>
        <v>0</v>
      </c>
      <c r="DU577" s="2327">
        <f>CO577</f>
        <v>0</v>
      </c>
      <c r="DV577" s="2327">
        <f>CT577</f>
        <v>0</v>
      </c>
      <c r="DW577" s="2327">
        <f t="shared" si="1043"/>
        <v>0</v>
      </c>
      <c r="DX577" s="2327">
        <f t="shared" si="1043"/>
        <v>0</v>
      </c>
      <c r="DY577" s="2327">
        <f t="shared" si="1043"/>
        <v>0</v>
      </c>
      <c r="EA577"/>
      <c r="EB577"/>
      <c r="EC577"/>
      <c r="ED577"/>
      <c r="EE577"/>
      <c r="EF577"/>
      <c r="EJ577"/>
      <c r="EK577"/>
      <c r="EL577"/>
      <c r="ER577" s="212"/>
    </row>
    <row r="578" spans="1:148" s="923" customFormat="1" hidden="1" outlineLevel="1" x14ac:dyDescent="0.2">
      <c r="A578" s="865"/>
      <c r="B578" s="215"/>
      <c r="C578" s="215"/>
      <c r="D578" s="215"/>
      <c r="E578" s="215"/>
      <c r="F578" s="215"/>
      <c r="G578" s="215"/>
      <c r="H578" s="215"/>
      <c r="I578" s="215"/>
      <c r="J578" s="215"/>
      <c r="K578" s="215"/>
      <c r="L578" s="215"/>
      <c r="M578" s="215"/>
      <c r="N578" s="215"/>
      <c r="O578" s="215"/>
      <c r="P578" s="215"/>
      <c r="Q578" s="215"/>
      <c r="R578" s="215"/>
      <c r="S578" s="215"/>
      <c r="T578" s="215"/>
      <c r="U578" s="215"/>
      <c r="V578" s="215"/>
      <c r="W578" s="215"/>
      <c r="X578" s="215"/>
      <c r="Y578" s="215"/>
      <c r="Z578" s="215"/>
      <c r="AA578" s="215"/>
      <c r="AB578" s="215"/>
      <c r="AC578" s="215"/>
      <c r="AD578" s="215"/>
      <c r="AE578" s="215"/>
      <c r="AF578" s="215"/>
      <c r="AG578" s="215"/>
      <c r="AH578" s="215"/>
      <c r="AI578" s="215"/>
      <c r="AJ578" s="215"/>
      <c r="AK578" s="215"/>
      <c r="AL578" s="215"/>
      <c r="AM578" s="215"/>
      <c r="AN578" s="215"/>
      <c r="AO578" s="215"/>
      <c r="AP578" s="215"/>
      <c r="AQ578" s="215"/>
      <c r="AR578" s="215"/>
      <c r="AS578" s="215"/>
      <c r="AT578" s="215"/>
      <c r="AU578" s="215"/>
      <c r="AV578" s="215"/>
      <c r="AW578" s="215"/>
      <c r="AX578" s="215"/>
      <c r="AY578" s="215"/>
      <c r="AZ578" s="215"/>
      <c r="BA578" s="215"/>
      <c r="BB578" s="215"/>
      <c r="BC578" s="215"/>
      <c r="BD578" s="215"/>
      <c r="BE578" s="215"/>
      <c r="BF578" s="215"/>
      <c r="BG578" s="215"/>
      <c r="BH578" s="215"/>
      <c r="BI578" s="215"/>
      <c r="BJ578" s="215"/>
      <c r="BK578" s="215"/>
      <c r="BL578" s="215"/>
      <c r="BM578" s="215"/>
      <c r="BN578" s="215"/>
      <c r="BO578" s="215"/>
      <c r="BP578" s="215"/>
      <c r="BQ578" s="215"/>
      <c r="BR578" s="215"/>
      <c r="BS578" s="215"/>
      <c r="BT578" s="215"/>
      <c r="BU578" s="215"/>
      <c r="BV578" s="215"/>
      <c r="BW578" s="215"/>
      <c r="BX578" s="215"/>
      <c r="BY578" s="215"/>
      <c r="BZ578" s="215"/>
      <c r="CA578" s="215"/>
      <c r="CB578" s="215"/>
      <c r="CC578" s="215"/>
      <c r="CD578" s="215"/>
      <c r="CE578" s="215"/>
      <c r="CF578" s="215"/>
      <c r="CG578" s="215"/>
      <c r="CH578" s="215"/>
      <c r="CI578" s="215"/>
      <c r="CJ578" s="215"/>
      <c r="CK578" s="215"/>
      <c r="CL578" s="215"/>
      <c r="CM578" s="215"/>
      <c r="CN578" s="215"/>
      <c r="CO578" s="215"/>
      <c r="CP578" s="215"/>
      <c r="CQ578" s="215"/>
      <c r="CR578" s="215"/>
      <c r="CS578" s="215"/>
      <c r="CT578" s="215"/>
      <c r="CU578" s="215"/>
      <c r="CV578" s="215"/>
      <c r="CW578" s="215"/>
      <c r="CX578" s="215"/>
      <c r="CY578" s="215"/>
      <c r="CZ578" s="215"/>
      <c r="DA578" s="215"/>
      <c r="DB578"/>
      <c r="DC578"/>
      <c r="DD578" s="2323"/>
      <c r="DE578" s="2327"/>
      <c r="DF578" s="2327"/>
      <c r="DG578" s="2327"/>
      <c r="DH578" s="2327"/>
      <c r="DI578" s="2327"/>
      <c r="DJ578" s="2327"/>
      <c r="DK578" s="2327"/>
      <c r="DL578" s="2327"/>
      <c r="DM578" s="2327"/>
      <c r="DN578" s="2327"/>
      <c r="DO578" s="2327"/>
      <c r="DP578" s="2327"/>
      <c r="DQ578" s="2327"/>
      <c r="DR578" s="2327"/>
      <c r="DS578" s="2327"/>
      <c r="DT578" s="2327"/>
      <c r="DU578" s="2327"/>
      <c r="DV578" s="2327"/>
      <c r="DW578" s="2327"/>
      <c r="DX578" s="2327"/>
      <c r="DY578" s="2327"/>
      <c r="EA578"/>
      <c r="EB578"/>
      <c r="EC578"/>
      <c r="ED578"/>
      <c r="EE578"/>
      <c r="EF578"/>
      <c r="EJ578"/>
      <c r="EK578"/>
      <c r="EL578"/>
      <c r="ER578" s="212"/>
    </row>
    <row r="579" spans="1:148" s="923" customFormat="1" hidden="1" outlineLevel="1" x14ac:dyDescent="0.2">
      <c r="A579" s="865" t="s">
        <v>798</v>
      </c>
      <c r="B579" s="215"/>
      <c r="C579" s="215"/>
      <c r="D579" s="215"/>
      <c r="E579" s="215"/>
      <c r="F579" s="215"/>
      <c r="G579" s="215"/>
      <c r="H579" s="215"/>
      <c r="I579" s="215">
        <v>1.3846153846153846</v>
      </c>
      <c r="J579" s="215">
        <v>1.3846153846153846</v>
      </c>
      <c r="K579" s="215">
        <v>1.3846153846153846</v>
      </c>
      <c r="L579" s="215">
        <v>1.8461538461538463</v>
      </c>
      <c r="M579" s="599">
        <f>SUM(I579:L579)</f>
        <v>6</v>
      </c>
      <c r="N579" s="215">
        <v>3</v>
      </c>
      <c r="O579" s="215">
        <v>3</v>
      </c>
      <c r="P579" s="215">
        <v>3</v>
      </c>
      <c r="Q579" s="215">
        <v>4</v>
      </c>
      <c r="R579" s="599">
        <f>SUM(N579:Q579)</f>
        <v>13</v>
      </c>
      <c r="S579" s="215">
        <v>2.08</v>
      </c>
      <c r="T579" s="215">
        <v>2.5066666666666668</v>
      </c>
      <c r="U579" s="215">
        <v>2.5066666666666668</v>
      </c>
      <c r="V579" s="215">
        <v>3.5511111111111111</v>
      </c>
      <c r="W579" s="599">
        <f>+V579+U579+T579+S579</f>
        <v>10.644444444444444</v>
      </c>
      <c r="X579" s="215">
        <v>0</v>
      </c>
      <c r="Y579" s="215">
        <v>0</v>
      </c>
      <c r="Z579" s="215">
        <v>0</v>
      </c>
      <c r="AA579" s="215">
        <v>0</v>
      </c>
      <c r="AB579" s="599">
        <f>SUM(X579:AA579)</f>
        <v>0</v>
      </c>
      <c r="AC579" s="215">
        <v>0</v>
      </c>
      <c r="AD579" s="215">
        <v>0</v>
      </c>
      <c r="AE579" s="215">
        <v>0</v>
      </c>
      <c r="AF579" s="215">
        <v>0</v>
      </c>
      <c r="AG579" s="599">
        <f>SUM(AC579:AF579)</f>
        <v>0</v>
      </c>
      <c r="AH579" s="215">
        <v>0</v>
      </c>
      <c r="AI579" s="215">
        <v>0</v>
      </c>
      <c r="AJ579" s="215">
        <v>0</v>
      </c>
      <c r="AK579" s="215">
        <v>0</v>
      </c>
      <c r="AL579" s="599">
        <f>SUM(AH579:AK579)</f>
        <v>0</v>
      </c>
      <c r="AM579" s="215">
        <v>0</v>
      </c>
      <c r="AN579" s="215">
        <v>0</v>
      </c>
      <c r="AO579" s="215">
        <v>0</v>
      </c>
      <c r="AP579" s="215">
        <v>0</v>
      </c>
      <c r="AQ579" s="599">
        <f>SUM(AM579:AP579)</f>
        <v>0</v>
      </c>
      <c r="AR579" s="215">
        <v>0</v>
      </c>
      <c r="AS579" s="215">
        <v>0</v>
      </c>
      <c r="AT579" s="215">
        <v>0</v>
      </c>
      <c r="AU579" s="215">
        <v>0</v>
      </c>
      <c r="AV579" s="599">
        <f>SUM(AR579:AU579)</f>
        <v>0</v>
      </c>
      <c r="AW579" s="215">
        <v>0</v>
      </c>
      <c r="AX579" s="215">
        <v>0</v>
      </c>
      <c r="AY579" s="215">
        <v>0</v>
      </c>
      <c r="AZ579" s="215">
        <v>0</v>
      </c>
      <c r="BA579" s="599">
        <f>SUM(AW579:AZ579)</f>
        <v>0</v>
      </c>
      <c r="BB579" s="215">
        <v>0</v>
      </c>
      <c r="BC579" s="215">
        <v>0</v>
      </c>
      <c r="BD579" s="215">
        <v>0</v>
      </c>
      <c r="BE579" s="215">
        <v>0</v>
      </c>
      <c r="BF579" s="599">
        <f>SUM(BB579:BE579)</f>
        <v>0</v>
      </c>
      <c r="BG579" s="215">
        <v>0</v>
      </c>
      <c r="BH579" s="215">
        <v>0</v>
      </c>
      <c r="BI579" s="215">
        <v>0</v>
      </c>
      <c r="BJ579" s="215">
        <v>0</v>
      </c>
      <c r="BK579" s="599">
        <f>SUM(BG579:BJ579)</f>
        <v>0</v>
      </c>
      <c r="BL579" s="215">
        <v>0</v>
      </c>
      <c r="BM579" s="215">
        <v>0</v>
      </c>
      <c r="BN579" s="215">
        <v>0</v>
      </c>
      <c r="BO579" s="215">
        <v>0</v>
      </c>
      <c r="BP579" s="599">
        <f>SUM(BL579:BO579)</f>
        <v>0</v>
      </c>
      <c r="BQ579" s="215"/>
      <c r="BR579" s="215"/>
      <c r="BS579" s="215"/>
      <c r="BT579" s="215"/>
      <c r="BU579" s="599">
        <v>0</v>
      </c>
      <c r="BV579" s="215"/>
      <c r="BW579" s="215"/>
      <c r="BX579" s="215"/>
      <c r="BY579" s="215"/>
      <c r="BZ579" s="599"/>
      <c r="CA579" s="599"/>
      <c r="CB579" s="599"/>
      <c r="CC579" s="599"/>
      <c r="CD579" s="599"/>
      <c r="CE579" s="599"/>
      <c r="CF579" s="599"/>
      <c r="CG579" s="599"/>
      <c r="CH579" s="599"/>
      <c r="CI579" s="599"/>
      <c r="CJ579" s="599"/>
      <c r="CK579" s="599"/>
      <c r="CL579" s="599"/>
      <c r="CM579" s="599"/>
      <c r="CN579" s="599"/>
      <c r="CO579" s="599"/>
      <c r="CP579" s="599"/>
      <c r="CQ579" s="599"/>
      <c r="CR579" s="599"/>
      <c r="CS579" s="599"/>
      <c r="CT579" s="599"/>
      <c r="CU579" s="599"/>
      <c r="CV579" s="599"/>
      <c r="CW579" s="599"/>
      <c r="CX579" s="599"/>
      <c r="CY579" s="599"/>
      <c r="CZ579" s="599"/>
      <c r="DA579" s="599"/>
      <c r="DB579"/>
      <c r="DC579"/>
      <c r="DD579" s="2323" t="s">
        <v>798</v>
      </c>
      <c r="DE579" s="2327">
        <f>M579</f>
        <v>6</v>
      </c>
      <c r="DF579" s="2327">
        <f>R579</f>
        <v>13</v>
      </c>
      <c r="DG579" s="2327">
        <f>W579</f>
        <v>10.644444444444444</v>
      </c>
      <c r="DH579" s="2327">
        <f>AB579</f>
        <v>0</v>
      </c>
      <c r="DI579" s="2327">
        <f>AG579</f>
        <v>0</v>
      </c>
      <c r="DJ579" s="2327">
        <f>AL579</f>
        <v>0</v>
      </c>
      <c r="DK579" s="2327">
        <f>AQ579</f>
        <v>0</v>
      </c>
      <c r="DL579" s="2327">
        <f>AV579</f>
        <v>0</v>
      </c>
      <c r="DM579" s="2327">
        <f>BA579</f>
        <v>0</v>
      </c>
      <c r="DN579" s="2327">
        <f>BF579</f>
        <v>0</v>
      </c>
      <c r="DO579" s="2327">
        <f>BK579</f>
        <v>0</v>
      </c>
      <c r="DP579" s="2327">
        <f>BP579</f>
        <v>0</v>
      </c>
      <c r="DQ579" s="2327">
        <f>BU579</f>
        <v>0</v>
      </c>
      <c r="DR579" s="2327">
        <f>BZ579</f>
        <v>0</v>
      </c>
      <c r="DS579" s="2327">
        <f>CE579</f>
        <v>0</v>
      </c>
      <c r="DT579" s="2327">
        <f>CJ579</f>
        <v>0</v>
      </c>
      <c r="DU579" s="2327">
        <f>CO579</f>
        <v>0</v>
      </c>
      <c r="DV579" s="2327">
        <f>CT579</f>
        <v>0</v>
      </c>
      <c r="DW579" s="2327">
        <f>CY579</f>
        <v>0</v>
      </c>
      <c r="DX579" s="2327">
        <f>CZ579</f>
        <v>0</v>
      </c>
      <c r="DY579" s="2327">
        <f>DA579</f>
        <v>0</v>
      </c>
      <c r="EA579"/>
      <c r="EB579"/>
      <c r="EC579"/>
      <c r="ED579"/>
      <c r="EE579"/>
      <c r="EF579"/>
      <c r="EJ579"/>
      <c r="EK579"/>
      <c r="EL579"/>
      <c r="ER579" s="212"/>
    </row>
    <row r="580" spans="1:148" s="923" customFormat="1" hidden="1" outlineLevel="1" x14ac:dyDescent="0.2">
      <c r="A580" s="865"/>
      <c r="B580" s="215"/>
      <c r="C580" s="215"/>
      <c r="D580" s="215"/>
      <c r="E580" s="215"/>
      <c r="F580" s="215"/>
      <c r="G580" s="215"/>
      <c r="H580" s="215"/>
      <c r="I580" s="215"/>
      <c r="J580" s="215"/>
      <c r="K580" s="215"/>
      <c r="L580" s="215"/>
      <c r="M580" s="215"/>
      <c r="N580" s="215"/>
      <c r="O580" s="215"/>
      <c r="P580" s="215"/>
      <c r="Q580" s="215"/>
      <c r="R580" s="215"/>
      <c r="S580" s="215"/>
      <c r="T580" s="215"/>
      <c r="U580" s="215"/>
      <c r="V580" s="215"/>
      <c r="W580" s="215"/>
      <c r="X580" s="215"/>
      <c r="Y580" s="215"/>
      <c r="Z580" s="215"/>
      <c r="AA580" s="215"/>
      <c r="AB580" s="215"/>
      <c r="AC580" s="215"/>
      <c r="AD580" s="215"/>
      <c r="AE580" s="215"/>
      <c r="AF580" s="215"/>
      <c r="AG580" s="215"/>
      <c r="AH580" s="215"/>
      <c r="AI580" s="215"/>
      <c r="AJ580" s="215"/>
      <c r="AK580" s="215"/>
      <c r="AL580" s="215"/>
      <c r="AM580" s="215"/>
      <c r="AN580" s="215"/>
      <c r="AO580" s="215"/>
      <c r="AP580" s="215"/>
      <c r="AQ580" s="215"/>
      <c r="AR580" s="215"/>
      <c r="AS580" s="215"/>
      <c r="AT580" s="215"/>
      <c r="AU580" s="215"/>
      <c r="AV580" s="215"/>
      <c r="AW580" s="215"/>
      <c r="AX580" s="215"/>
      <c r="AY580" s="215"/>
      <c r="AZ580" s="215"/>
      <c r="BA580" s="215"/>
      <c r="BB580" s="215"/>
      <c r="BC580" s="215"/>
      <c r="BD580" s="215"/>
      <c r="BE580" s="215"/>
      <c r="BF580" s="215"/>
      <c r="BG580" s="215"/>
      <c r="BH580" s="215"/>
      <c r="BI580" s="215"/>
      <c r="BJ580" s="215"/>
      <c r="BK580" s="215"/>
      <c r="BL580" s="215"/>
      <c r="BM580" s="215"/>
      <c r="BN580" s="215"/>
      <c r="BO580" s="215"/>
      <c r="BP580" s="215"/>
      <c r="BQ580" s="215"/>
      <c r="BR580" s="215"/>
      <c r="BS580" s="215"/>
      <c r="BT580" s="215"/>
      <c r="BU580" s="215"/>
      <c r="BV580" s="215"/>
      <c r="BW580" s="215"/>
      <c r="BX580" s="215"/>
      <c r="BY580" s="215"/>
      <c r="BZ580" s="215"/>
      <c r="CA580" s="215"/>
      <c r="CB580" s="215"/>
      <c r="CC580" s="215"/>
      <c r="CD580" s="215"/>
      <c r="CE580" s="215"/>
      <c r="CF580" s="215"/>
      <c r="CG580" s="215"/>
      <c r="CH580" s="215"/>
      <c r="CI580" s="215"/>
      <c r="CJ580" s="215"/>
      <c r="CK580" s="215"/>
      <c r="CL580" s="215"/>
      <c r="CM580" s="215"/>
      <c r="CN580" s="215"/>
      <c r="CO580" s="215"/>
      <c r="CP580" s="215"/>
      <c r="CQ580" s="215"/>
      <c r="CR580" s="215"/>
      <c r="CS580" s="215"/>
      <c r="CT580" s="215"/>
      <c r="CU580" s="215"/>
      <c r="CV580" s="215"/>
      <c r="CW580" s="215"/>
      <c r="CX580" s="215"/>
      <c r="CY580" s="215"/>
      <c r="CZ580" s="215"/>
      <c r="DA580" s="215"/>
      <c r="DB580"/>
      <c r="DC580"/>
      <c r="DD580" s="2323"/>
      <c r="DE580" s="2327"/>
      <c r="DF580" s="2327"/>
      <c r="DG580" s="2327"/>
      <c r="DH580" s="2327"/>
      <c r="DI580" s="2327"/>
      <c r="DJ580" s="2327"/>
      <c r="DK580" s="2327"/>
      <c r="DL580" s="2327"/>
      <c r="DM580" s="2327"/>
      <c r="DN580" s="2327"/>
      <c r="DO580" s="2327"/>
      <c r="DP580" s="2327"/>
      <c r="DQ580" s="2327"/>
      <c r="DR580" s="2327"/>
      <c r="DS580" s="2327"/>
      <c r="DT580" s="2327"/>
      <c r="DU580" s="2327"/>
      <c r="DV580" s="2327"/>
      <c r="DW580" s="2327"/>
      <c r="DX580" s="2327"/>
      <c r="DY580" s="2327"/>
      <c r="EA580"/>
      <c r="EB580"/>
      <c r="EC580"/>
      <c r="ED580"/>
      <c r="EE580"/>
      <c r="EF580"/>
      <c r="EJ580"/>
      <c r="EK580"/>
      <c r="EL580"/>
      <c r="ER580" s="212"/>
    </row>
    <row r="581" spans="1:148" s="923" customFormat="1" hidden="1" outlineLevel="1" x14ac:dyDescent="0.2">
      <c r="A581" s="865" t="s">
        <v>1863</v>
      </c>
      <c r="B581" s="226"/>
      <c r="C581" s="226"/>
      <c r="D581" s="226"/>
      <c r="E581" s="226"/>
      <c r="F581" s="226"/>
      <c r="G581" s="226"/>
      <c r="H581" s="226"/>
      <c r="I581" s="226">
        <f t="shared" ref="I581:AN581" si="1046">+I575+I579</f>
        <v>-10.615384615384615</v>
      </c>
      <c r="J581" s="226">
        <f t="shared" si="1046"/>
        <v>7.384615384615385</v>
      </c>
      <c r="K581" s="226">
        <f t="shared" si="1046"/>
        <v>6.384615384615385</v>
      </c>
      <c r="L581" s="226">
        <f t="shared" si="1046"/>
        <v>6.8461538461538467</v>
      </c>
      <c r="M581" s="226">
        <f t="shared" si="1046"/>
        <v>10</v>
      </c>
      <c r="N581" s="226">
        <f t="shared" si="1046"/>
        <v>5</v>
      </c>
      <c r="O581" s="226">
        <f t="shared" si="1046"/>
        <v>6</v>
      </c>
      <c r="P581" s="226">
        <f t="shared" si="1046"/>
        <v>4</v>
      </c>
      <c r="Q581" s="226">
        <f t="shared" si="1046"/>
        <v>-3</v>
      </c>
      <c r="R581" s="226">
        <f t="shared" si="1046"/>
        <v>12</v>
      </c>
      <c r="S581" s="226">
        <f t="shared" si="1046"/>
        <v>-3.92</v>
      </c>
      <c r="T581" s="226">
        <f t="shared" si="1046"/>
        <v>0.50666666666666682</v>
      </c>
      <c r="U581" s="226">
        <f t="shared" si="1046"/>
        <v>-1.4933333333333332</v>
      </c>
      <c r="V581" s="226">
        <f t="shared" si="1046"/>
        <v>3.5511111111111111</v>
      </c>
      <c r="W581" s="226">
        <f t="shared" si="1046"/>
        <v>-1.3555555555555561</v>
      </c>
      <c r="X581" s="226">
        <f t="shared" si="1046"/>
        <v>0</v>
      </c>
      <c r="Y581" s="226">
        <f t="shared" si="1046"/>
        <v>0</v>
      </c>
      <c r="Z581" s="226">
        <f t="shared" si="1046"/>
        <v>0</v>
      </c>
      <c r="AA581" s="226">
        <f t="shared" si="1046"/>
        <v>0</v>
      </c>
      <c r="AB581" s="226">
        <f t="shared" si="1046"/>
        <v>0</v>
      </c>
      <c r="AC581" s="226">
        <f t="shared" si="1046"/>
        <v>0</v>
      </c>
      <c r="AD581" s="226">
        <f t="shared" si="1046"/>
        <v>0</v>
      </c>
      <c r="AE581" s="226">
        <f t="shared" si="1046"/>
        <v>0</v>
      </c>
      <c r="AF581" s="226">
        <f t="shared" si="1046"/>
        <v>0</v>
      </c>
      <c r="AG581" s="226">
        <f t="shared" si="1046"/>
        <v>0</v>
      </c>
      <c r="AH581" s="226">
        <f t="shared" si="1046"/>
        <v>0</v>
      </c>
      <c r="AI581" s="226">
        <f t="shared" si="1046"/>
        <v>0</v>
      </c>
      <c r="AJ581" s="226">
        <f t="shared" si="1046"/>
        <v>0</v>
      </c>
      <c r="AK581" s="226">
        <f t="shared" si="1046"/>
        <v>0</v>
      </c>
      <c r="AL581" s="226">
        <f t="shared" si="1046"/>
        <v>0</v>
      </c>
      <c r="AM581" s="226">
        <f t="shared" si="1046"/>
        <v>0</v>
      </c>
      <c r="AN581" s="226">
        <f t="shared" si="1046"/>
        <v>0</v>
      </c>
      <c r="AO581" s="226">
        <f t="shared" ref="AO581:BU581" si="1047">+AO575+AO579</f>
        <v>0</v>
      </c>
      <c r="AP581" s="226">
        <f t="shared" si="1047"/>
        <v>0</v>
      </c>
      <c r="AQ581" s="226">
        <f t="shared" si="1047"/>
        <v>0</v>
      </c>
      <c r="AR581" s="226">
        <f t="shared" si="1047"/>
        <v>0</v>
      </c>
      <c r="AS581" s="226">
        <f t="shared" si="1047"/>
        <v>0</v>
      </c>
      <c r="AT581" s="226">
        <f t="shared" si="1047"/>
        <v>0</v>
      </c>
      <c r="AU581" s="226">
        <f t="shared" si="1047"/>
        <v>0</v>
      </c>
      <c r="AV581" s="226">
        <f t="shared" si="1047"/>
        <v>0</v>
      </c>
      <c r="AW581" s="226">
        <f t="shared" si="1047"/>
        <v>0</v>
      </c>
      <c r="AX581" s="226">
        <f t="shared" si="1047"/>
        <v>0</v>
      </c>
      <c r="AY581" s="226">
        <f t="shared" si="1047"/>
        <v>0</v>
      </c>
      <c r="AZ581" s="226">
        <f t="shared" si="1047"/>
        <v>0</v>
      </c>
      <c r="BA581" s="226">
        <f t="shared" si="1047"/>
        <v>0</v>
      </c>
      <c r="BB581" s="226">
        <f t="shared" si="1047"/>
        <v>0</v>
      </c>
      <c r="BC581" s="226">
        <f t="shared" si="1047"/>
        <v>0</v>
      </c>
      <c r="BD581" s="226">
        <f t="shared" si="1047"/>
        <v>0</v>
      </c>
      <c r="BE581" s="226">
        <f t="shared" si="1047"/>
        <v>0</v>
      </c>
      <c r="BF581" s="226">
        <f t="shared" si="1047"/>
        <v>0</v>
      </c>
      <c r="BG581" s="226">
        <f t="shared" si="1047"/>
        <v>0</v>
      </c>
      <c r="BH581" s="226">
        <f t="shared" si="1047"/>
        <v>0</v>
      </c>
      <c r="BI581" s="226">
        <f t="shared" si="1047"/>
        <v>0</v>
      </c>
      <c r="BJ581" s="226">
        <f t="shared" si="1047"/>
        <v>0</v>
      </c>
      <c r="BK581" s="226">
        <f t="shared" si="1047"/>
        <v>0</v>
      </c>
      <c r="BL581" s="226">
        <f t="shared" si="1047"/>
        <v>0</v>
      </c>
      <c r="BM581" s="226">
        <f t="shared" si="1047"/>
        <v>0</v>
      </c>
      <c r="BN581" s="226">
        <f t="shared" si="1047"/>
        <v>0</v>
      </c>
      <c r="BO581" s="226">
        <f t="shared" si="1047"/>
        <v>0</v>
      </c>
      <c r="BP581" s="226">
        <f t="shared" si="1047"/>
        <v>0</v>
      </c>
      <c r="BQ581" s="226"/>
      <c r="BR581" s="226"/>
      <c r="BS581" s="226"/>
      <c r="BT581" s="226"/>
      <c r="BU581" s="226">
        <f t="shared" si="1047"/>
        <v>0</v>
      </c>
      <c r="BV581" s="226"/>
      <c r="BW581" s="226"/>
      <c r="BX581" s="226"/>
      <c r="BY581" s="226"/>
      <c r="BZ581" s="226"/>
      <c r="CA581" s="226"/>
      <c r="CB581" s="226"/>
      <c r="CC581" s="226"/>
      <c r="CD581" s="226"/>
      <c r="CE581" s="226"/>
      <c r="CF581" s="226"/>
      <c r="CG581" s="226"/>
      <c r="CH581" s="226"/>
      <c r="CI581" s="226"/>
      <c r="CJ581" s="226"/>
      <c r="CK581" s="226"/>
      <c r="CL581" s="226"/>
      <c r="CM581" s="226"/>
      <c r="CN581" s="226"/>
      <c r="CO581" s="226"/>
      <c r="CP581" s="226"/>
      <c r="CQ581" s="226"/>
      <c r="CR581" s="226"/>
      <c r="CS581" s="226"/>
      <c r="CT581" s="226"/>
      <c r="CU581" s="226"/>
      <c r="CV581" s="226"/>
      <c r="CW581" s="226"/>
      <c r="CX581" s="226"/>
      <c r="CY581" s="226"/>
      <c r="CZ581" s="226"/>
      <c r="DA581" s="226"/>
      <c r="DB581"/>
      <c r="DC581"/>
      <c r="DD581" s="2323" t="s">
        <v>1863</v>
      </c>
      <c r="DE581" s="2327">
        <f>M581</f>
        <v>10</v>
      </c>
      <c r="DF581" s="2327">
        <f>R581</f>
        <v>12</v>
      </c>
      <c r="DG581" s="2327">
        <f>W581</f>
        <v>-1.3555555555555561</v>
      </c>
      <c r="DH581" s="2327">
        <f>AB581</f>
        <v>0</v>
      </c>
      <c r="DI581" s="2327">
        <f>AG581</f>
        <v>0</v>
      </c>
      <c r="DJ581" s="2327">
        <f>AL581</f>
        <v>0</v>
      </c>
      <c r="DK581" s="2327">
        <f>AQ581</f>
        <v>0</v>
      </c>
      <c r="DL581" s="2327">
        <f>AV581</f>
        <v>0</v>
      </c>
      <c r="DM581" s="2327">
        <f>BA581</f>
        <v>0</v>
      </c>
      <c r="DN581" s="2327">
        <f>BF581</f>
        <v>0</v>
      </c>
      <c r="DO581" s="2327">
        <f>BK581</f>
        <v>0</v>
      </c>
      <c r="DP581" s="2327">
        <f>BP581</f>
        <v>0</v>
      </c>
      <c r="DQ581" s="2327">
        <f>BU581</f>
        <v>0</v>
      </c>
      <c r="DR581" s="2327">
        <f>BZ581</f>
        <v>0</v>
      </c>
      <c r="DS581" s="2327">
        <f>CE581</f>
        <v>0</v>
      </c>
      <c r="DT581" s="2327">
        <f>CJ581</f>
        <v>0</v>
      </c>
      <c r="DU581" s="2327">
        <f>CO581</f>
        <v>0</v>
      </c>
      <c r="DV581" s="2327">
        <f>CT581</f>
        <v>0</v>
      </c>
      <c r="DW581" s="2327">
        <f t="shared" ref="DW581:DY583" si="1048">CY581</f>
        <v>0</v>
      </c>
      <c r="DX581" s="2327">
        <f t="shared" si="1048"/>
        <v>0</v>
      </c>
      <c r="DY581" s="2327">
        <f t="shared" si="1048"/>
        <v>0</v>
      </c>
      <c r="EA581"/>
      <c r="EB581"/>
      <c r="EC581"/>
      <c r="ED581"/>
      <c r="EE581"/>
      <c r="EF581"/>
      <c r="EJ581"/>
      <c r="EK581"/>
      <c r="EL581"/>
      <c r="ER581" s="212"/>
    </row>
    <row r="582" spans="1:148" s="923" customFormat="1" hidden="1" outlineLevel="1" x14ac:dyDescent="0.2">
      <c r="A582" s="865" t="s">
        <v>1329</v>
      </c>
      <c r="B582" s="215"/>
      <c r="C582" s="215"/>
      <c r="D582" s="215"/>
      <c r="E582" s="215"/>
      <c r="F582" s="215"/>
      <c r="G582" s="215"/>
      <c r="H582" s="215"/>
      <c r="I582" s="215">
        <f t="shared" ref="I582:U582" si="1049">+I581/I569</f>
        <v>-3.4577800050112753E-2</v>
      </c>
      <c r="J582" s="215">
        <f t="shared" si="1049"/>
        <v>1.9382192610539067E-2</v>
      </c>
      <c r="K582" s="215">
        <f t="shared" si="1049"/>
        <v>1.7934312878133105E-2</v>
      </c>
      <c r="L582" s="215">
        <f t="shared" si="1049"/>
        <v>1.5013495276653173E-2</v>
      </c>
      <c r="M582" s="215">
        <f t="shared" si="1049"/>
        <v>6.6666666666666671E-3</v>
      </c>
      <c r="N582" s="215">
        <f t="shared" si="1049"/>
        <v>1.3850415512465374E-2</v>
      </c>
      <c r="O582" s="215">
        <f t="shared" si="1049"/>
        <v>1.5113350125944584E-2</v>
      </c>
      <c r="P582" s="215">
        <f t="shared" si="1049"/>
        <v>1.038961038961039E-2</v>
      </c>
      <c r="Q582" s="215">
        <f t="shared" si="1049"/>
        <v>-6.0728744939271256E-3</v>
      </c>
      <c r="R582" s="215">
        <f t="shared" si="1049"/>
        <v>7.3304825901038487E-3</v>
      </c>
      <c r="S582" s="215">
        <f t="shared" si="1049"/>
        <v>-1.0425531914893617E-2</v>
      </c>
      <c r="T582" s="215">
        <f t="shared" si="1049"/>
        <v>1.3511111111111115E-3</v>
      </c>
      <c r="U582" s="215">
        <f t="shared" si="1049"/>
        <v>-4.2545109211775877E-3</v>
      </c>
      <c r="V582" s="215">
        <v>0</v>
      </c>
      <c r="W582" s="215">
        <f>+W581/W569</f>
        <v>-1.2300867110304503E-3</v>
      </c>
      <c r="X582" s="215">
        <v>0</v>
      </c>
      <c r="Y582" s="215">
        <v>0</v>
      </c>
      <c r="Z582" s="215">
        <v>0</v>
      </c>
      <c r="AA582" s="215">
        <v>0</v>
      </c>
      <c r="AB582" s="215"/>
      <c r="AC582" s="215"/>
      <c r="AD582" s="215"/>
      <c r="AE582" s="215"/>
      <c r="AF582" s="215"/>
      <c r="AG582" s="215"/>
      <c r="AH582" s="215"/>
      <c r="AI582" s="215"/>
      <c r="AJ582" s="215"/>
      <c r="AK582" s="215"/>
      <c r="AL582" s="215"/>
      <c r="AM582" s="215"/>
      <c r="AN582" s="215"/>
      <c r="AO582" s="215"/>
      <c r="AP582" s="215"/>
      <c r="AQ582" s="215"/>
      <c r="AR582" s="215"/>
      <c r="AS582" s="215"/>
      <c r="AT582" s="215"/>
      <c r="AU582" s="215"/>
      <c r="AV582" s="215"/>
      <c r="AW582" s="215"/>
      <c r="AX582" s="215"/>
      <c r="AY582" s="215"/>
      <c r="AZ582" s="215"/>
      <c r="BA582" s="215"/>
      <c r="BB582" s="215"/>
      <c r="BC582" s="215"/>
      <c r="BD582" s="215"/>
      <c r="BE582" s="215"/>
      <c r="BF582" s="215"/>
      <c r="BG582" s="215"/>
      <c r="BH582" s="215"/>
      <c r="BI582" s="215"/>
      <c r="BJ582" s="215"/>
      <c r="BK582" s="215"/>
      <c r="BL582" s="215"/>
      <c r="BM582" s="215"/>
      <c r="BN582" s="215"/>
      <c r="BO582" s="215"/>
      <c r="BP582" s="215"/>
      <c r="BQ582" s="215"/>
      <c r="BR582" s="215"/>
      <c r="BS582" s="215"/>
      <c r="BT582" s="215"/>
      <c r="BU582" s="215"/>
      <c r="BV582" s="215"/>
      <c r="BW582" s="215"/>
      <c r="BX582" s="215"/>
      <c r="BY582" s="215"/>
      <c r="BZ582" s="215"/>
      <c r="CA582" s="215"/>
      <c r="CB582" s="215"/>
      <c r="CC582" s="215"/>
      <c r="CD582" s="215"/>
      <c r="CE582" s="215"/>
      <c r="CF582" s="215"/>
      <c r="CG582" s="215"/>
      <c r="CH582" s="215"/>
      <c r="CI582" s="215"/>
      <c r="CJ582" s="215"/>
      <c r="CK582" s="215"/>
      <c r="CL582" s="215"/>
      <c r="CM582" s="215"/>
      <c r="CN582" s="215"/>
      <c r="CO582" s="215"/>
      <c r="CP582" s="215"/>
      <c r="CQ582" s="215"/>
      <c r="CR582" s="215"/>
      <c r="CS582" s="215"/>
      <c r="CT582" s="215"/>
      <c r="CU582" s="215"/>
      <c r="CV582" s="215"/>
      <c r="CW582" s="215"/>
      <c r="CX582" s="215"/>
      <c r="CY582" s="215"/>
      <c r="CZ582" s="215"/>
      <c r="DA582" s="215"/>
      <c r="DB582"/>
      <c r="DC582"/>
      <c r="DD582" s="2323" t="s">
        <v>1329</v>
      </c>
      <c r="DE582" s="2327">
        <f>M582</f>
        <v>6.6666666666666671E-3</v>
      </c>
      <c r="DF582" s="2327">
        <f>R582</f>
        <v>7.3304825901038487E-3</v>
      </c>
      <c r="DG582" s="2327">
        <f>W582</f>
        <v>-1.2300867110304503E-3</v>
      </c>
      <c r="DH582" s="2327">
        <f>AB582</f>
        <v>0</v>
      </c>
      <c r="DI582" s="2327">
        <f>AG582</f>
        <v>0</v>
      </c>
      <c r="DJ582" s="2327">
        <f>AL582</f>
        <v>0</v>
      </c>
      <c r="DK582" s="2327">
        <f>AQ582</f>
        <v>0</v>
      </c>
      <c r="DL582" s="2327">
        <f>AV582</f>
        <v>0</v>
      </c>
      <c r="DM582" s="2327">
        <f>BA582</f>
        <v>0</v>
      </c>
      <c r="DN582" s="2327">
        <f>BF582</f>
        <v>0</v>
      </c>
      <c r="DO582" s="2327">
        <f>BK582</f>
        <v>0</v>
      </c>
      <c r="DP582" s="2327">
        <f>BP582</f>
        <v>0</v>
      </c>
      <c r="DQ582" s="2327">
        <f>BU582</f>
        <v>0</v>
      </c>
      <c r="DR582" s="2327">
        <f>BZ582</f>
        <v>0</v>
      </c>
      <c r="DS582" s="2327">
        <f>CE582</f>
        <v>0</v>
      </c>
      <c r="DT582" s="2327">
        <f>CJ582</f>
        <v>0</v>
      </c>
      <c r="DU582" s="2327">
        <f>CO582</f>
        <v>0</v>
      </c>
      <c r="DV582" s="2327">
        <f>CT582</f>
        <v>0</v>
      </c>
      <c r="DW582" s="2327">
        <f t="shared" si="1048"/>
        <v>0</v>
      </c>
      <c r="DX582" s="2327">
        <f t="shared" si="1048"/>
        <v>0</v>
      </c>
      <c r="DY582" s="2327">
        <f t="shared" si="1048"/>
        <v>0</v>
      </c>
      <c r="EA582"/>
      <c r="EB582"/>
      <c r="EC582"/>
      <c r="ED582"/>
      <c r="EE582"/>
      <c r="EF582"/>
      <c r="EJ582"/>
      <c r="EK582"/>
      <c r="EL582"/>
      <c r="ER582" s="212"/>
    </row>
    <row r="583" spans="1:148" s="923" customFormat="1" hidden="1" outlineLevel="1" x14ac:dyDescent="0.2">
      <c r="A583" s="865" t="s">
        <v>1340</v>
      </c>
      <c r="B583" s="215"/>
      <c r="C583" s="215"/>
      <c r="D583" s="215"/>
      <c r="E583" s="215"/>
      <c r="F583" s="215"/>
      <c r="G583" s="215"/>
      <c r="H583" s="215"/>
      <c r="I583" s="215"/>
      <c r="J583" s="215"/>
      <c r="K583" s="215"/>
      <c r="L583" s="215"/>
      <c r="M583" s="215"/>
      <c r="N583" s="215">
        <f t="shared" ref="N583:X583" si="1050">+N581/I581-1</f>
        <v>-1.4710144927536233</v>
      </c>
      <c r="O583" s="215">
        <f t="shared" si="1050"/>
        <v>-0.1875</v>
      </c>
      <c r="P583" s="215">
        <f t="shared" si="1050"/>
        <v>-0.37349397590361455</v>
      </c>
      <c r="Q583" s="215">
        <f t="shared" si="1050"/>
        <v>-1.4382022471910112</v>
      </c>
      <c r="R583" s="215">
        <f t="shared" si="1050"/>
        <v>0.19999999999999996</v>
      </c>
      <c r="S583" s="215">
        <f t="shared" si="1050"/>
        <v>-1.784</v>
      </c>
      <c r="T583" s="215">
        <f t="shared" si="1050"/>
        <v>-0.91555555555555557</v>
      </c>
      <c r="U583" s="215">
        <f t="shared" si="1050"/>
        <v>-1.3733333333333333</v>
      </c>
      <c r="V583" s="215">
        <f t="shared" si="1050"/>
        <v>-2.1837037037037037</v>
      </c>
      <c r="W583" s="215">
        <f t="shared" si="1050"/>
        <v>-1.1129629629629629</v>
      </c>
      <c r="X583" s="215">
        <f t="shared" si="1050"/>
        <v>-1</v>
      </c>
      <c r="Y583" s="215"/>
      <c r="Z583" s="215"/>
      <c r="AA583" s="215"/>
      <c r="AB583" s="215"/>
      <c r="AC583" s="215"/>
      <c r="AD583" s="215"/>
      <c r="AE583" s="215"/>
      <c r="AF583" s="215"/>
      <c r="AG583" s="215"/>
      <c r="AH583" s="215"/>
      <c r="AI583" s="215"/>
      <c r="AJ583" s="215"/>
      <c r="AK583" s="215"/>
      <c r="AL583" s="215"/>
      <c r="AM583" s="215"/>
      <c r="AN583" s="215"/>
      <c r="AO583" s="215"/>
      <c r="AP583" s="215"/>
      <c r="AQ583" s="215"/>
      <c r="AR583" s="215"/>
      <c r="AS583" s="215"/>
      <c r="AT583" s="215"/>
      <c r="AU583" s="215"/>
      <c r="AV583" s="215"/>
      <c r="AW583" s="215"/>
      <c r="AX583" s="215"/>
      <c r="AY583" s="215"/>
      <c r="AZ583" s="215"/>
      <c r="BA583" s="215"/>
      <c r="BB583" s="215"/>
      <c r="BC583" s="215"/>
      <c r="BD583" s="215"/>
      <c r="BE583" s="215"/>
      <c r="BF583" s="215"/>
      <c r="BG583" s="215"/>
      <c r="BH583" s="215"/>
      <c r="BI583" s="215"/>
      <c r="BJ583" s="215"/>
      <c r="BK583" s="215"/>
      <c r="BL583" s="215"/>
      <c r="BM583" s="215"/>
      <c r="BN583" s="215"/>
      <c r="BO583" s="215"/>
      <c r="BP583" s="215"/>
      <c r="BQ583" s="215"/>
      <c r="BR583" s="215"/>
      <c r="BS583" s="215"/>
      <c r="BT583" s="215"/>
      <c r="BU583" s="215"/>
      <c r="BV583" s="215"/>
      <c r="BW583" s="215"/>
      <c r="BX583" s="215"/>
      <c r="BY583" s="215"/>
      <c r="BZ583" s="215"/>
      <c r="CA583" s="215"/>
      <c r="CB583" s="215"/>
      <c r="CC583" s="215"/>
      <c r="CD583" s="215"/>
      <c r="CE583" s="215"/>
      <c r="CF583" s="215"/>
      <c r="CG583" s="215"/>
      <c r="CH583" s="215"/>
      <c r="CI583" s="215"/>
      <c r="CJ583" s="215"/>
      <c r="CK583" s="215"/>
      <c r="CL583" s="215"/>
      <c r="CM583" s="215"/>
      <c r="CN583" s="215"/>
      <c r="CO583" s="215"/>
      <c r="CP583" s="215"/>
      <c r="CQ583" s="215"/>
      <c r="CR583" s="215"/>
      <c r="CS583" s="215"/>
      <c r="CT583" s="215"/>
      <c r="CU583" s="215"/>
      <c r="CV583" s="215"/>
      <c r="CW583" s="215"/>
      <c r="CX583" s="215"/>
      <c r="CY583" s="215"/>
      <c r="CZ583" s="215"/>
      <c r="DA583" s="215"/>
      <c r="DB583"/>
      <c r="DC583"/>
      <c r="DD583" s="2323" t="s">
        <v>1340</v>
      </c>
      <c r="DE583" s="2327">
        <f>M583</f>
        <v>0</v>
      </c>
      <c r="DF583" s="2327">
        <f>R583</f>
        <v>0.19999999999999996</v>
      </c>
      <c r="DG583" s="2327">
        <f>W583</f>
        <v>-1.1129629629629629</v>
      </c>
      <c r="DH583" s="2327">
        <f>AB583</f>
        <v>0</v>
      </c>
      <c r="DI583" s="2327">
        <f>AG583</f>
        <v>0</v>
      </c>
      <c r="DJ583" s="2327">
        <f>AL583</f>
        <v>0</v>
      </c>
      <c r="DK583" s="2327">
        <f>AQ583</f>
        <v>0</v>
      </c>
      <c r="DL583" s="2327">
        <f>AV583</f>
        <v>0</v>
      </c>
      <c r="DM583" s="2327">
        <f>BA583</f>
        <v>0</v>
      </c>
      <c r="DN583" s="2327">
        <f>BF583</f>
        <v>0</v>
      </c>
      <c r="DO583" s="2327">
        <f>BK583</f>
        <v>0</v>
      </c>
      <c r="DP583" s="2327">
        <f>BP583</f>
        <v>0</v>
      </c>
      <c r="DQ583" s="2327">
        <f>BU583</f>
        <v>0</v>
      </c>
      <c r="DR583" s="2327">
        <f>BZ583</f>
        <v>0</v>
      </c>
      <c r="DS583" s="2327">
        <f>CE583</f>
        <v>0</v>
      </c>
      <c r="DT583" s="2327">
        <f>CJ583</f>
        <v>0</v>
      </c>
      <c r="DU583" s="2327">
        <f>CO583</f>
        <v>0</v>
      </c>
      <c r="DV583" s="2327">
        <f>CT583</f>
        <v>0</v>
      </c>
      <c r="DW583" s="2327">
        <f t="shared" si="1048"/>
        <v>0</v>
      </c>
      <c r="DX583" s="2327">
        <f t="shared" si="1048"/>
        <v>0</v>
      </c>
      <c r="DY583" s="2327">
        <f t="shared" si="1048"/>
        <v>0</v>
      </c>
      <c r="EA583"/>
      <c r="EB583"/>
      <c r="EC583"/>
      <c r="ED583"/>
      <c r="EE583"/>
      <c r="EF583"/>
      <c r="EJ583"/>
      <c r="EK583"/>
      <c r="EL583"/>
      <c r="ER583" s="212"/>
    </row>
    <row r="584" spans="1:148" s="923" customFormat="1" hidden="1" outlineLevel="1" x14ac:dyDescent="0.2">
      <c r="A584" s="865"/>
      <c r="B584" s="215"/>
      <c r="C584" s="215"/>
      <c r="D584" s="215"/>
      <c r="E584" s="215"/>
      <c r="F584" s="215"/>
      <c r="G584" s="215"/>
      <c r="H584" s="215"/>
      <c r="I584" s="215"/>
      <c r="J584" s="215"/>
      <c r="K584" s="215"/>
      <c r="L584" s="215"/>
      <c r="M584" s="215"/>
      <c r="N584" s="215"/>
      <c r="O584" s="215"/>
      <c r="P584" s="215"/>
      <c r="Q584" s="215"/>
      <c r="R584" s="215"/>
      <c r="S584" s="215"/>
      <c r="T584" s="215"/>
      <c r="U584" s="215"/>
      <c r="V584" s="215"/>
      <c r="W584" s="215"/>
      <c r="X584" s="215"/>
      <c r="Y584" s="215"/>
      <c r="Z584" s="215"/>
      <c r="AA584" s="215"/>
      <c r="AB584" s="215"/>
      <c r="AC584" s="215"/>
      <c r="AD584" s="215"/>
      <c r="AE584" s="215"/>
      <c r="AF584" s="215"/>
      <c r="AG584" s="215"/>
      <c r="AH584" s="215"/>
      <c r="AI584" s="215"/>
      <c r="AJ584" s="215"/>
      <c r="AK584" s="215"/>
      <c r="AL584" s="215"/>
      <c r="AM584" s="215"/>
      <c r="AN584" s="215"/>
      <c r="AO584" s="215"/>
      <c r="AP584" s="215"/>
      <c r="AQ584" s="215"/>
      <c r="AR584" s="215"/>
      <c r="AS584" s="215"/>
      <c r="AT584" s="215"/>
      <c r="AU584" s="215"/>
      <c r="AV584" s="215"/>
      <c r="AW584" s="215"/>
      <c r="AX584" s="215"/>
      <c r="AY584" s="215"/>
      <c r="AZ584" s="215"/>
      <c r="BA584" s="215"/>
      <c r="BB584" s="215"/>
      <c r="BC584" s="215"/>
      <c r="BD584" s="215"/>
      <c r="BE584" s="215"/>
      <c r="BF584" s="215"/>
      <c r="BG584" s="215"/>
      <c r="BH584" s="215"/>
      <c r="BI584" s="215"/>
      <c r="BJ584" s="215"/>
      <c r="BK584" s="215"/>
      <c r="BL584" s="215"/>
      <c r="BM584" s="215"/>
      <c r="BN584" s="215"/>
      <c r="BO584" s="215"/>
      <c r="BP584" s="215"/>
      <c r="BQ584" s="215"/>
      <c r="BR584" s="215"/>
      <c r="BS584" s="215"/>
      <c r="BT584" s="215"/>
      <c r="BU584" s="215"/>
      <c r="BV584" s="215"/>
      <c r="BW584" s="215"/>
      <c r="BX584" s="215"/>
      <c r="BY584" s="215"/>
      <c r="BZ584" s="215"/>
      <c r="CA584" s="215"/>
      <c r="CB584" s="215"/>
      <c r="CC584" s="215"/>
      <c r="CD584" s="215"/>
      <c r="CE584" s="215"/>
      <c r="CF584" s="215"/>
      <c r="CG584" s="215"/>
      <c r="CH584" s="215"/>
      <c r="CI584" s="215"/>
      <c r="CJ584" s="215"/>
      <c r="CK584" s="215"/>
      <c r="CL584" s="215"/>
      <c r="CM584" s="215"/>
      <c r="CN584" s="215"/>
      <c r="CO584" s="215"/>
      <c r="CP584" s="215"/>
      <c r="CQ584" s="215"/>
      <c r="CR584" s="215"/>
      <c r="CS584" s="215"/>
      <c r="CT584" s="215"/>
      <c r="CU584" s="215"/>
      <c r="CV584" s="215"/>
      <c r="CW584" s="215"/>
      <c r="CX584" s="215"/>
      <c r="CY584" s="215"/>
      <c r="CZ584" s="215"/>
      <c r="DA584" s="215"/>
      <c r="DB584"/>
      <c r="DC584"/>
      <c r="DD584" s="2323"/>
      <c r="DE584" s="2327"/>
      <c r="DF584" s="2327"/>
      <c r="DG584" s="2327"/>
      <c r="DH584" s="2327"/>
      <c r="DI584" s="2327"/>
      <c r="DJ584" s="2327"/>
      <c r="DK584" s="2327"/>
      <c r="DL584" s="2327"/>
      <c r="DM584" s="2327"/>
      <c r="DN584" s="2327"/>
      <c r="DO584" s="2327"/>
      <c r="DP584" s="2327"/>
      <c r="DQ584" s="2327"/>
      <c r="DR584" s="2327"/>
      <c r="DS584" s="2327"/>
      <c r="DT584" s="2327"/>
      <c r="DU584" s="2327"/>
      <c r="DV584" s="2327"/>
      <c r="DW584" s="2327"/>
      <c r="DX584" s="2327"/>
      <c r="DY584" s="2327"/>
      <c r="EA584"/>
      <c r="EB584"/>
      <c r="EC584"/>
      <c r="ED584"/>
      <c r="EE584"/>
      <c r="EF584"/>
      <c r="EJ584"/>
      <c r="EK584"/>
      <c r="EL584"/>
      <c r="ER584" s="212"/>
    </row>
    <row r="585" spans="1:148" s="923" customFormat="1" hidden="1" outlineLevel="1" x14ac:dyDescent="0.2">
      <c r="A585" s="865" t="s">
        <v>1727</v>
      </c>
      <c r="B585" s="220"/>
      <c r="C585" s="220"/>
      <c r="D585" s="220"/>
      <c r="E585" s="220"/>
      <c r="F585" s="220"/>
      <c r="G585" s="220"/>
      <c r="H585" s="220"/>
      <c r="I585" s="220">
        <v>80</v>
      </c>
      <c r="J585" s="220">
        <v>75</v>
      </c>
      <c r="K585" s="220">
        <v>72</v>
      </c>
      <c r="L585" s="220">
        <v>106</v>
      </c>
      <c r="M585" s="220">
        <v>333</v>
      </c>
      <c r="N585" s="220">
        <v>84</v>
      </c>
      <c r="O585" s="220">
        <v>83</v>
      </c>
      <c r="P585" s="220">
        <v>82</v>
      </c>
      <c r="Q585" s="220">
        <v>118</v>
      </c>
      <c r="R585" s="220">
        <v>367</v>
      </c>
      <c r="S585" s="220">
        <v>90</v>
      </c>
      <c r="T585" s="220">
        <v>86</v>
      </c>
      <c r="U585" s="220">
        <v>85</v>
      </c>
      <c r="V585" s="220">
        <v>0</v>
      </c>
      <c r="W585" s="220">
        <v>261</v>
      </c>
      <c r="X585" s="220">
        <v>0</v>
      </c>
      <c r="Y585" s="220">
        <v>0</v>
      </c>
      <c r="Z585" s="220">
        <v>0</v>
      </c>
      <c r="AA585" s="220">
        <v>0</v>
      </c>
      <c r="AB585" s="220">
        <v>0</v>
      </c>
      <c r="AC585" s="220">
        <v>0</v>
      </c>
      <c r="AD585" s="220">
        <v>0</v>
      </c>
      <c r="AE585" s="220">
        <v>0</v>
      </c>
      <c r="AF585" s="220">
        <v>0</v>
      </c>
      <c r="AG585" s="220">
        <v>0</v>
      </c>
      <c r="AH585" s="220">
        <v>0</v>
      </c>
      <c r="AI585" s="220">
        <v>0</v>
      </c>
      <c r="AJ585" s="220">
        <v>0</v>
      </c>
      <c r="AK585" s="220">
        <v>0</v>
      </c>
      <c r="AL585" s="220">
        <v>0</v>
      </c>
      <c r="AM585" s="220">
        <v>0</v>
      </c>
      <c r="AN585" s="220">
        <v>0</v>
      </c>
      <c r="AO585" s="220">
        <v>0</v>
      </c>
      <c r="AP585" s="220">
        <v>0</v>
      </c>
      <c r="AQ585" s="220">
        <v>0</v>
      </c>
      <c r="AR585" s="220">
        <v>0</v>
      </c>
      <c r="AS585" s="220">
        <v>0</v>
      </c>
      <c r="AT585" s="220">
        <v>0</v>
      </c>
      <c r="AU585" s="220">
        <v>0</v>
      </c>
      <c r="AV585" s="220">
        <v>0</v>
      </c>
      <c r="AW585" s="220">
        <v>0</v>
      </c>
      <c r="AX585" s="220">
        <v>0</v>
      </c>
      <c r="AY585" s="220">
        <v>0</v>
      </c>
      <c r="AZ585" s="220">
        <v>0</v>
      </c>
      <c r="BA585" s="220">
        <v>0</v>
      </c>
      <c r="BB585" s="220">
        <v>0</v>
      </c>
      <c r="BC585" s="220">
        <v>0</v>
      </c>
      <c r="BD585" s="220">
        <v>0</v>
      </c>
      <c r="BE585" s="220">
        <v>0</v>
      </c>
      <c r="BF585" s="220">
        <v>0</v>
      </c>
      <c r="BG585" s="220">
        <v>0</v>
      </c>
      <c r="BH585" s="220">
        <v>0</v>
      </c>
      <c r="BI585" s="220">
        <v>0</v>
      </c>
      <c r="BJ585" s="220">
        <v>0</v>
      </c>
      <c r="BK585" s="220">
        <v>0</v>
      </c>
      <c r="BL585" s="220">
        <v>0</v>
      </c>
      <c r="BM585" s="220">
        <v>0</v>
      </c>
      <c r="BN585" s="220">
        <v>0</v>
      </c>
      <c r="BO585" s="220">
        <v>0</v>
      </c>
      <c r="BP585" s="220">
        <v>0</v>
      </c>
      <c r="BQ585" s="220"/>
      <c r="BR585" s="220"/>
      <c r="BS585" s="220"/>
      <c r="BT585" s="220"/>
      <c r="BU585" s="220">
        <v>0</v>
      </c>
      <c r="BV585" s="220"/>
      <c r="BW585" s="220"/>
      <c r="BX585" s="220"/>
      <c r="BY585" s="220"/>
      <c r="BZ585" s="220"/>
      <c r="CA585" s="220"/>
      <c r="CB585" s="220"/>
      <c r="CC585" s="220"/>
      <c r="CD585" s="220"/>
      <c r="CE585" s="220"/>
      <c r="CF585" s="220"/>
      <c r="CG585" s="220"/>
      <c r="CH585" s="220"/>
      <c r="CI585" s="220"/>
      <c r="CJ585" s="220"/>
      <c r="CK585" s="220"/>
      <c r="CL585" s="220"/>
      <c r="CM585" s="220"/>
      <c r="CN585" s="220"/>
      <c r="CO585" s="220"/>
      <c r="CP585" s="220"/>
      <c r="CQ585" s="220"/>
      <c r="CR585" s="220"/>
      <c r="CS585" s="220"/>
      <c r="CT585" s="220"/>
      <c r="CU585" s="220"/>
      <c r="CV585" s="220"/>
      <c r="CW585" s="220"/>
      <c r="CX585" s="220"/>
      <c r="CY585" s="220"/>
      <c r="CZ585" s="220"/>
      <c r="DA585" s="220"/>
      <c r="DB585"/>
      <c r="DC585"/>
      <c r="DD585" s="2323" t="s">
        <v>1727</v>
      </c>
      <c r="DE585" s="2324">
        <f t="shared" ref="DE585:DE590" si="1051">M585</f>
        <v>333</v>
      </c>
      <c r="DF585" s="2324">
        <f t="shared" ref="DF585:DF590" si="1052">R585</f>
        <v>367</v>
      </c>
      <c r="DG585" s="2324">
        <f t="shared" ref="DG585:DG590" si="1053">W585</f>
        <v>261</v>
      </c>
      <c r="DH585" s="2324">
        <f t="shared" ref="DH585:DH590" si="1054">AB585</f>
        <v>0</v>
      </c>
      <c r="DI585" s="2324">
        <f t="shared" ref="DI585:DI590" si="1055">AG585</f>
        <v>0</v>
      </c>
      <c r="DJ585" s="2324">
        <f t="shared" ref="DJ585:DJ590" si="1056">AL585</f>
        <v>0</v>
      </c>
      <c r="DK585" s="2324">
        <f t="shared" ref="DK585:DK590" si="1057">AQ585</f>
        <v>0</v>
      </c>
      <c r="DL585" s="2324">
        <f t="shared" ref="DL585:DL590" si="1058">AV585</f>
        <v>0</v>
      </c>
      <c r="DM585" s="2324">
        <f t="shared" ref="DM585:DM590" si="1059">BA585</f>
        <v>0</v>
      </c>
      <c r="DN585" s="2324">
        <f t="shared" ref="DN585:DN590" si="1060">BF585</f>
        <v>0</v>
      </c>
      <c r="DO585" s="2324">
        <f t="shared" ref="DO585:DO590" si="1061">BK585</f>
        <v>0</v>
      </c>
      <c r="DP585" s="2324">
        <f t="shared" ref="DP585:DP590" si="1062">BP585</f>
        <v>0</v>
      </c>
      <c r="DQ585" s="2324">
        <f t="shared" ref="DQ585:DQ590" si="1063">BU585</f>
        <v>0</v>
      </c>
      <c r="DR585" s="2324">
        <f t="shared" ref="DR585:DR590" si="1064">BZ585</f>
        <v>0</v>
      </c>
      <c r="DS585" s="2324">
        <f t="shared" ref="DS585:DS590" si="1065">CE585</f>
        <v>0</v>
      </c>
      <c r="DT585" s="2324">
        <f t="shared" ref="DT585:DT590" si="1066">CJ585</f>
        <v>0</v>
      </c>
      <c r="DU585" s="2324">
        <f t="shared" ref="DU585:DU590" si="1067">CO585</f>
        <v>0</v>
      </c>
      <c r="DV585" s="2324">
        <f t="shared" ref="DV585:DV590" si="1068">CT585</f>
        <v>0</v>
      </c>
      <c r="DW585" s="2324">
        <f t="shared" ref="DW585:DW590" si="1069">CY585</f>
        <v>0</v>
      </c>
      <c r="DX585" s="2324">
        <f t="shared" ref="DX585:DX590" si="1070">CZ585</f>
        <v>0</v>
      </c>
      <c r="DY585" s="2324">
        <f t="shared" ref="DY585:DY590" si="1071">DA585</f>
        <v>0</v>
      </c>
      <c r="EA585"/>
      <c r="EB585"/>
      <c r="EC585"/>
      <c r="ED585"/>
      <c r="EE585"/>
      <c r="EF585"/>
      <c r="EJ585"/>
      <c r="EK585"/>
      <c r="EL585"/>
      <c r="ER585" s="212"/>
    </row>
    <row r="586" spans="1:148" s="923" customFormat="1" hidden="1" outlineLevel="1" x14ac:dyDescent="0.2">
      <c r="A586" s="865" t="s">
        <v>1728</v>
      </c>
      <c r="B586" s="220"/>
      <c r="C586" s="220"/>
      <c r="D586" s="220"/>
      <c r="E586" s="220"/>
      <c r="F586" s="220"/>
      <c r="G586" s="220"/>
      <c r="H586" s="220"/>
      <c r="I586" s="220">
        <v>307</v>
      </c>
      <c r="J586" s="220">
        <v>381</v>
      </c>
      <c r="K586" s="220">
        <v>356</v>
      </c>
      <c r="L586" s="220">
        <v>456</v>
      </c>
      <c r="M586" s="220">
        <v>1500</v>
      </c>
      <c r="N586" s="220">
        <v>361</v>
      </c>
      <c r="O586" s="220">
        <v>397</v>
      </c>
      <c r="P586" s="220">
        <v>385</v>
      </c>
      <c r="Q586" s="220">
        <v>494</v>
      </c>
      <c r="R586" s="220">
        <v>1637</v>
      </c>
      <c r="S586" s="220">
        <v>376</v>
      </c>
      <c r="T586" s="220">
        <v>375</v>
      </c>
      <c r="U586" s="220">
        <v>351</v>
      </c>
      <c r="V586" s="220">
        <v>0</v>
      </c>
      <c r="W586" s="220">
        <v>1102</v>
      </c>
      <c r="X586" s="220">
        <v>0</v>
      </c>
      <c r="Y586" s="220">
        <v>0</v>
      </c>
      <c r="Z586" s="220">
        <v>0</v>
      </c>
      <c r="AA586" s="220">
        <v>0</v>
      </c>
      <c r="AB586" s="220">
        <v>0</v>
      </c>
      <c r="AC586" s="220">
        <v>0</v>
      </c>
      <c r="AD586" s="220">
        <v>0</v>
      </c>
      <c r="AE586" s="220">
        <v>0</v>
      </c>
      <c r="AF586" s="220">
        <v>0</v>
      </c>
      <c r="AG586" s="220">
        <v>0</v>
      </c>
      <c r="AH586" s="220">
        <v>0</v>
      </c>
      <c r="AI586" s="220">
        <v>0</v>
      </c>
      <c r="AJ586" s="220">
        <v>0</v>
      </c>
      <c r="AK586" s="220">
        <v>0</v>
      </c>
      <c r="AL586" s="220">
        <v>0</v>
      </c>
      <c r="AM586" s="220">
        <v>0</v>
      </c>
      <c r="AN586" s="220">
        <v>0</v>
      </c>
      <c r="AO586" s="220">
        <v>0</v>
      </c>
      <c r="AP586" s="220">
        <v>0</v>
      </c>
      <c r="AQ586" s="220">
        <v>0</v>
      </c>
      <c r="AR586" s="220">
        <v>0</v>
      </c>
      <c r="AS586" s="220">
        <v>0</v>
      </c>
      <c r="AT586" s="220">
        <v>0</v>
      </c>
      <c r="AU586" s="220">
        <v>0</v>
      </c>
      <c r="AV586" s="220">
        <v>0</v>
      </c>
      <c r="AW586" s="220">
        <v>0</v>
      </c>
      <c r="AX586" s="220">
        <v>0</v>
      </c>
      <c r="AY586" s="220">
        <v>0</v>
      </c>
      <c r="AZ586" s="220">
        <v>0</v>
      </c>
      <c r="BA586" s="220">
        <v>0</v>
      </c>
      <c r="BB586" s="220">
        <v>0</v>
      </c>
      <c r="BC586" s="220">
        <v>0</v>
      </c>
      <c r="BD586" s="220">
        <v>0</v>
      </c>
      <c r="BE586" s="220">
        <v>0</v>
      </c>
      <c r="BF586" s="220">
        <v>0</v>
      </c>
      <c r="BG586" s="220">
        <v>0</v>
      </c>
      <c r="BH586" s="220">
        <v>0</v>
      </c>
      <c r="BI586" s="220">
        <v>0</v>
      </c>
      <c r="BJ586" s="220">
        <v>0</v>
      </c>
      <c r="BK586" s="220">
        <v>0</v>
      </c>
      <c r="BL586" s="220">
        <v>0</v>
      </c>
      <c r="BM586" s="220">
        <v>0</v>
      </c>
      <c r="BN586" s="220">
        <v>0</v>
      </c>
      <c r="BO586" s="220">
        <v>0</v>
      </c>
      <c r="BP586" s="220">
        <v>0</v>
      </c>
      <c r="BQ586" s="220"/>
      <c r="BR586" s="220"/>
      <c r="BS586" s="220"/>
      <c r="BT586" s="220"/>
      <c r="BU586" s="220">
        <v>0</v>
      </c>
      <c r="BV586" s="220"/>
      <c r="BW586" s="220"/>
      <c r="BX586" s="220"/>
      <c r="BY586" s="220"/>
      <c r="BZ586" s="220"/>
      <c r="CA586" s="220"/>
      <c r="CB586" s="220"/>
      <c r="CC586" s="220"/>
      <c r="CD586" s="220"/>
      <c r="CE586" s="220"/>
      <c r="CF586" s="220"/>
      <c r="CG586" s="220"/>
      <c r="CH586" s="220"/>
      <c r="CI586" s="220"/>
      <c r="CJ586" s="220"/>
      <c r="CK586" s="220"/>
      <c r="CL586" s="220"/>
      <c r="CM586" s="220"/>
      <c r="CN586" s="220"/>
      <c r="CO586" s="220"/>
      <c r="CP586" s="220"/>
      <c r="CQ586" s="220"/>
      <c r="CR586" s="220"/>
      <c r="CS586" s="220"/>
      <c r="CT586" s="220"/>
      <c r="CU586" s="220"/>
      <c r="CV586" s="220"/>
      <c r="CW586" s="220"/>
      <c r="CX586" s="220"/>
      <c r="CY586" s="220"/>
      <c r="CZ586" s="220"/>
      <c r="DA586" s="220"/>
      <c r="DB586"/>
      <c r="DC586"/>
      <c r="DD586" s="2323" t="s">
        <v>1728</v>
      </c>
      <c r="DE586" s="2324">
        <f t="shared" si="1051"/>
        <v>1500</v>
      </c>
      <c r="DF586" s="2324">
        <f t="shared" si="1052"/>
        <v>1637</v>
      </c>
      <c r="DG586" s="2324">
        <f t="shared" si="1053"/>
        <v>1102</v>
      </c>
      <c r="DH586" s="2324">
        <f t="shared" si="1054"/>
        <v>0</v>
      </c>
      <c r="DI586" s="2324">
        <f t="shared" si="1055"/>
        <v>0</v>
      </c>
      <c r="DJ586" s="2324">
        <f t="shared" si="1056"/>
        <v>0</v>
      </c>
      <c r="DK586" s="2324">
        <f t="shared" si="1057"/>
        <v>0</v>
      </c>
      <c r="DL586" s="2324">
        <f t="shared" si="1058"/>
        <v>0</v>
      </c>
      <c r="DM586" s="2324">
        <f t="shared" si="1059"/>
        <v>0</v>
      </c>
      <c r="DN586" s="2324">
        <f t="shared" si="1060"/>
        <v>0</v>
      </c>
      <c r="DO586" s="2324">
        <f t="shared" si="1061"/>
        <v>0</v>
      </c>
      <c r="DP586" s="2324">
        <f t="shared" si="1062"/>
        <v>0</v>
      </c>
      <c r="DQ586" s="2324">
        <f t="shared" si="1063"/>
        <v>0</v>
      </c>
      <c r="DR586" s="2324">
        <f t="shared" si="1064"/>
        <v>0</v>
      </c>
      <c r="DS586" s="2324">
        <f t="shared" si="1065"/>
        <v>0</v>
      </c>
      <c r="DT586" s="2324">
        <f t="shared" si="1066"/>
        <v>0</v>
      </c>
      <c r="DU586" s="2324">
        <f t="shared" si="1067"/>
        <v>0</v>
      </c>
      <c r="DV586" s="2324">
        <f t="shared" si="1068"/>
        <v>0</v>
      </c>
      <c r="DW586" s="2324">
        <f t="shared" si="1069"/>
        <v>0</v>
      </c>
      <c r="DX586" s="2324">
        <f t="shared" si="1070"/>
        <v>0</v>
      </c>
      <c r="DY586" s="2324">
        <f t="shared" si="1071"/>
        <v>0</v>
      </c>
      <c r="EA586"/>
      <c r="EB586"/>
      <c r="EC586"/>
      <c r="ED586"/>
      <c r="EE586"/>
      <c r="EF586"/>
      <c r="EJ586"/>
      <c r="EK586"/>
      <c r="EL586"/>
      <c r="ER586" s="212"/>
    </row>
    <row r="587" spans="1:148" s="923" customFormat="1" ht="12.75" hidden="1" customHeight="1" outlineLevel="1" collapsed="1" x14ac:dyDescent="0.2">
      <c r="A587" s="865" t="s">
        <v>1729</v>
      </c>
      <c r="B587" s="215"/>
      <c r="C587" s="215"/>
      <c r="D587" s="215"/>
      <c r="E587" s="215"/>
      <c r="F587" s="215"/>
      <c r="G587" s="215"/>
      <c r="H587" s="215"/>
      <c r="I587" s="215">
        <v>78</v>
      </c>
      <c r="J587" s="215">
        <v>78</v>
      </c>
      <c r="K587" s="215">
        <v>77</v>
      </c>
      <c r="L587" s="215">
        <v>118</v>
      </c>
      <c r="M587" s="215">
        <v>351</v>
      </c>
      <c r="N587" s="215">
        <v>83</v>
      </c>
      <c r="O587" s="215">
        <v>78</v>
      </c>
      <c r="P587" s="215">
        <v>79</v>
      </c>
      <c r="Q587" s="215">
        <v>110</v>
      </c>
      <c r="R587" s="215">
        <v>350</v>
      </c>
      <c r="S587" s="215">
        <v>84</v>
      </c>
      <c r="T587" s="215">
        <v>81</v>
      </c>
      <c r="U587" s="215">
        <v>79</v>
      </c>
      <c r="V587" s="215">
        <v>0</v>
      </c>
      <c r="W587" s="215">
        <v>244</v>
      </c>
      <c r="X587" s="215">
        <v>0</v>
      </c>
      <c r="Y587" s="215">
        <v>0</v>
      </c>
      <c r="Z587" s="215">
        <v>0</v>
      </c>
      <c r="AA587" s="215">
        <v>0</v>
      </c>
      <c r="AB587" s="215">
        <v>0</v>
      </c>
      <c r="AC587" s="215">
        <v>0</v>
      </c>
      <c r="AD587" s="215">
        <v>0</v>
      </c>
      <c r="AE587" s="215">
        <v>0</v>
      </c>
      <c r="AF587" s="215">
        <v>0</v>
      </c>
      <c r="AG587" s="215">
        <v>0</v>
      </c>
      <c r="AH587" s="215">
        <v>0</v>
      </c>
      <c r="AI587" s="215">
        <v>0</v>
      </c>
      <c r="AJ587" s="215">
        <v>0</v>
      </c>
      <c r="AK587" s="215">
        <v>0</v>
      </c>
      <c r="AL587" s="215">
        <v>0</v>
      </c>
      <c r="AM587" s="215">
        <v>0</v>
      </c>
      <c r="AN587" s="215">
        <v>0</v>
      </c>
      <c r="AO587" s="215">
        <v>0</v>
      </c>
      <c r="AP587" s="215">
        <v>0</v>
      </c>
      <c r="AQ587" s="215">
        <v>0</v>
      </c>
      <c r="AR587" s="215">
        <v>0</v>
      </c>
      <c r="AS587" s="215">
        <v>0</v>
      </c>
      <c r="AT587" s="215">
        <v>0</v>
      </c>
      <c r="AU587" s="215">
        <v>0</v>
      </c>
      <c r="AV587" s="215">
        <v>0</v>
      </c>
      <c r="AW587" s="215">
        <v>0</v>
      </c>
      <c r="AX587" s="215">
        <v>0</v>
      </c>
      <c r="AY587" s="215">
        <v>0</v>
      </c>
      <c r="AZ587" s="215">
        <v>0</v>
      </c>
      <c r="BA587" s="215">
        <v>0</v>
      </c>
      <c r="BB587" s="215">
        <v>0</v>
      </c>
      <c r="BC587" s="215">
        <v>0</v>
      </c>
      <c r="BD587" s="215">
        <v>0</v>
      </c>
      <c r="BE587" s="215">
        <v>0</v>
      </c>
      <c r="BF587" s="215">
        <v>0</v>
      </c>
      <c r="BG587" s="215">
        <v>0</v>
      </c>
      <c r="BH587" s="215">
        <v>0</v>
      </c>
      <c r="BI587" s="215">
        <v>0</v>
      </c>
      <c r="BJ587" s="215">
        <v>0</v>
      </c>
      <c r="BK587" s="215">
        <v>0</v>
      </c>
      <c r="BL587" s="215">
        <v>0</v>
      </c>
      <c r="BM587" s="215">
        <v>0</v>
      </c>
      <c r="BN587" s="215">
        <v>0</v>
      </c>
      <c r="BO587" s="215">
        <v>0</v>
      </c>
      <c r="BP587" s="215">
        <v>0</v>
      </c>
      <c r="BQ587" s="215"/>
      <c r="BR587" s="215"/>
      <c r="BS587" s="215"/>
      <c r="BT587" s="215"/>
      <c r="BU587" s="215">
        <v>0</v>
      </c>
      <c r="BV587" s="215"/>
      <c r="BW587" s="215"/>
      <c r="BX587" s="215"/>
      <c r="BY587" s="215"/>
      <c r="BZ587" s="215"/>
      <c r="CA587" s="215"/>
      <c r="CB587" s="215"/>
      <c r="CC587" s="215"/>
      <c r="CD587" s="215"/>
      <c r="CE587" s="215"/>
      <c r="CF587" s="215"/>
      <c r="CG587" s="215"/>
      <c r="CH587" s="215"/>
      <c r="CI587" s="215"/>
      <c r="CJ587" s="215"/>
      <c r="CK587" s="215"/>
      <c r="CL587" s="215"/>
      <c r="CM587" s="215"/>
      <c r="CN587" s="215"/>
      <c r="CO587" s="215"/>
      <c r="CP587" s="215"/>
      <c r="CQ587" s="215"/>
      <c r="CR587" s="215"/>
      <c r="CS587" s="215"/>
      <c r="CT587" s="215"/>
      <c r="CU587" s="215"/>
      <c r="CV587" s="215"/>
      <c r="CW587" s="215"/>
      <c r="CX587" s="215"/>
      <c r="CY587" s="215"/>
      <c r="CZ587" s="215"/>
      <c r="DA587" s="215"/>
      <c r="DB587"/>
      <c r="DC587"/>
      <c r="DD587" s="2323" t="s">
        <v>1729</v>
      </c>
      <c r="DE587" s="2327">
        <f t="shared" si="1051"/>
        <v>351</v>
      </c>
      <c r="DF587" s="2327">
        <f t="shared" si="1052"/>
        <v>350</v>
      </c>
      <c r="DG587" s="2327">
        <f t="shared" si="1053"/>
        <v>244</v>
      </c>
      <c r="DH587" s="2327">
        <f t="shared" si="1054"/>
        <v>0</v>
      </c>
      <c r="DI587" s="2327">
        <f t="shared" si="1055"/>
        <v>0</v>
      </c>
      <c r="DJ587" s="2327">
        <f t="shared" si="1056"/>
        <v>0</v>
      </c>
      <c r="DK587" s="2327">
        <f t="shared" si="1057"/>
        <v>0</v>
      </c>
      <c r="DL587" s="2327">
        <f t="shared" si="1058"/>
        <v>0</v>
      </c>
      <c r="DM587" s="2327">
        <f t="shared" si="1059"/>
        <v>0</v>
      </c>
      <c r="DN587" s="2327">
        <f t="shared" si="1060"/>
        <v>0</v>
      </c>
      <c r="DO587" s="2327">
        <f t="shared" si="1061"/>
        <v>0</v>
      </c>
      <c r="DP587" s="2327">
        <f t="shared" si="1062"/>
        <v>0</v>
      </c>
      <c r="DQ587" s="2327">
        <f t="shared" si="1063"/>
        <v>0</v>
      </c>
      <c r="DR587" s="2327">
        <f t="shared" si="1064"/>
        <v>0</v>
      </c>
      <c r="DS587" s="2327">
        <f t="shared" si="1065"/>
        <v>0</v>
      </c>
      <c r="DT587" s="2327">
        <f t="shared" si="1066"/>
        <v>0</v>
      </c>
      <c r="DU587" s="2327">
        <f t="shared" si="1067"/>
        <v>0</v>
      </c>
      <c r="DV587" s="2327">
        <f t="shared" si="1068"/>
        <v>0</v>
      </c>
      <c r="DW587" s="2327">
        <f t="shared" si="1069"/>
        <v>0</v>
      </c>
      <c r="DX587" s="2327">
        <f t="shared" si="1070"/>
        <v>0</v>
      </c>
      <c r="DY587" s="2327">
        <f t="shared" si="1071"/>
        <v>0</v>
      </c>
      <c r="EA587"/>
      <c r="EB587"/>
      <c r="EC587"/>
      <c r="ED587"/>
      <c r="EE587"/>
      <c r="EF587"/>
      <c r="EJ587"/>
      <c r="EK587"/>
      <c r="EL587"/>
      <c r="ER587" s="212"/>
    </row>
    <row r="588" spans="1:148" s="923" customFormat="1" ht="12.75" hidden="1" customHeight="1" outlineLevel="1" x14ac:dyDescent="0.2">
      <c r="A588" s="865" t="s">
        <v>801</v>
      </c>
      <c r="B588" s="224"/>
      <c r="C588" s="224"/>
      <c r="D588" s="224"/>
      <c r="E588" s="224"/>
      <c r="F588" s="224"/>
      <c r="G588" s="224"/>
      <c r="H588" s="224"/>
      <c r="I588" s="224">
        <v>2.5000000000000001E-2</v>
      </c>
      <c r="J588" s="224">
        <v>-0.04</v>
      </c>
      <c r="K588" s="224">
        <v>-6.944444444444442E-2</v>
      </c>
      <c r="L588" s="224">
        <v>-0.1132075471698113</v>
      </c>
      <c r="M588" s="224">
        <v>-5.4054054054053946E-2</v>
      </c>
      <c r="N588" s="224">
        <v>1.1904761904761862E-2</v>
      </c>
      <c r="O588" s="224">
        <v>6.0240963855421659E-2</v>
      </c>
      <c r="P588" s="224">
        <v>3.6585365853658569E-2</v>
      </c>
      <c r="Q588" s="224">
        <v>6.7796610169491567E-2</v>
      </c>
      <c r="R588" s="224">
        <v>4.6321525885558601E-2</v>
      </c>
      <c r="S588" s="224">
        <v>6.6666666666666652E-2</v>
      </c>
      <c r="T588" s="224">
        <v>5.8139534883720922E-2</v>
      </c>
      <c r="U588" s="224">
        <v>7.0588235294117618E-2</v>
      </c>
      <c r="V588" s="224" t="s">
        <v>1666</v>
      </c>
      <c r="W588" s="224">
        <v>6.5134099616858232E-2</v>
      </c>
      <c r="X588" s="224" t="s">
        <v>1666</v>
      </c>
      <c r="Y588" s="224" t="s">
        <v>1666</v>
      </c>
      <c r="Z588" s="224" t="s">
        <v>1666</v>
      </c>
      <c r="AA588" s="224" t="s">
        <v>1666</v>
      </c>
      <c r="AB588" s="224" t="s">
        <v>1666</v>
      </c>
      <c r="AC588" s="224" t="s">
        <v>1666</v>
      </c>
      <c r="AD588" s="224" t="s">
        <v>1666</v>
      </c>
      <c r="AE588" s="224" t="s">
        <v>1666</v>
      </c>
      <c r="AF588" s="224" t="s">
        <v>1666</v>
      </c>
      <c r="AG588" s="224" t="s">
        <v>1666</v>
      </c>
      <c r="AH588" s="224" t="s">
        <v>1666</v>
      </c>
      <c r="AI588" s="224" t="s">
        <v>1666</v>
      </c>
      <c r="AJ588" s="224" t="s">
        <v>1666</v>
      </c>
      <c r="AK588" s="224" t="s">
        <v>1666</v>
      </c>
      <c r="AL588" s="224" t="s">
        <v>1666</v>
      </c>
      <c r="AM588" s="224" t="s">
        <v>1666</v>
      </c>
      <c r="AN588" s="224" t="s">
        <v>1666</v>
      </c>
      <c r="AO588" s="224" t="s">
        <v>1666</v>
      </c>
      <c r="AP588" s="224" t="s">
        <v>1666</v>
      </c>
      <c r="AQ588" s="224" t="s">
        <v>1666</v>
      </c>
      <c r="AR588" s="224" t="s">
        <v>1666</v>
      </c>
      <c r="AS588" s="224" t="s">
        <v>1666</v>
      </c>
      <c r="AT588" s="224" t="s">
        <v>1666</v>
      </c>
      <c r="AU588" s="224" t="s">
        <v>1666</v>
      </c>
      <c r="AV588" s="224" t="s">
        <v>1666</v>
      </c>
      <c r="AW588" s="224" t="s">
        <v>1666</v>
      </c>
      <c r="AX588" s="224" t="s">
        <v>1666</v>
      </c>
      <c r="AY588" s="224" t="s">
        <v>1666</v>
      </c>
      <c r="AZ588" s="224" t="s">
        <v>1666</v>
      </c>
      <c r="BA588" s="224" t="s">
        <v>1666</v>
      </c>
      <c r="BB588" s="224" t="s">
        <v>1666</v>
      </c>
      <c r="BC588" s="224" t="s">
        <v>1666</v>
      </c>
      <c r="BD588" s="224" t="s">
        <v>1666</v>
      </c>
      <c r="BE588" s="224" t="s">
        <v>1666</v>
      </c>
      <c r="BF588" s="224" t="s">
        <v>1666</v>
      </c>
      <c r="BG588" s="224" t="s">
        <v>1666</v>
      </c>
      <c r="BH588" s="224" t="s">
        <v>1666</v>
      </c>
      <c r="BI588" s="224" t="s">
        <v>1666</v>
      </c>
      <c r="BJ588" s="224" t="s">
        <v>1666</v>
      </c>
      <c r="BK588" s="224" t="s">
        <v>1666</v>
      </c>
      <c r="BL588" s="224" t="s">
        <v>1666</v>
      </c>
      <c r="BM588" s="224" t="s">
        <v>1666</v>
      </c>
      <c r="BN588" s="224" t="s">
        <v>1666</v>
      </c>
      <c r="BO588" s="224" t="s">
        <v>1666</v>
      </c>
      <c r="BP588" s="224" t="s">
        <v>1666</v>
      </c>
      <c r="BQ588" s="224"/>
      <c r="BR588" s="224"/>
      <c r="BS588" s="224"/>
      <c r="BT588" s="224"/>
      <c r="BU588" s="224" t="s">
        <v>1666</v>
      </c>
      <c r="BV588" s="224"/>
      <c r="BW588" s="224"/>
      <c r="BX588" s="224"/>
      <c r="BY588" s="224"/>
      <c r="BZ588" s="224"/>
      <c r="CA588" s="224"/>
      <c r="CB588" s="224"/>
      <c r="CC588" s="224"/>
      <c r="CD588" s="224"/>
      <c r="CE588" s="224"/>
      <c r="CF588" s="224"/>
      <c r="CG588" s="224"/>
      <c r="CH588" s="224"/>
      <c r="CI588" s="224"/>
      <c r="CJ588" s="224"/>
      <c r="CK588" s="224"/>
      <c r="CL588" s="224"/>
      <c r="CM588" s="224"/>
      <c r="CN588" s="224"/>
      <c r="CO588" s="224"/>
      <c r="CP588" s="224"/>
      <c r="CQ588" s="224"/>
      <c r="CR588" s="224"/>
      <c r="CS588" s="224"/>
      <c r="CT588" s="224"/>
      <c r="CU588" s="224"/>
      <c r="CV588" s="224"/>
      <c r="CW588" s="224"/>
      <c r="CX588" s="224"/>
      <c r="CY588" s="224"/>
      <c r="CZ588" s="224"/>
      <c r="DA588" s="224"/>
      <c r="DB588"/>
      <c r="DC588"/>
      <c r="DD588" s="2323" t="s">
        <v>801</v>
      </c>
      <c r="DE588" s="2324">
        <f t="shared" si="1051"/>
        <v>-5.4054054054053946E-2</v>
      </c>
      <c r="DF588" s="2324">
        <f t="shared" si="1052"/>
        <v>4.6321525885558601E-2</v>
      </c>
      <c r="DG588" s="2324">
        <f t="shared" si="1053"/>
        <v>6.5134099616858232E-2</v>
      </c>
      <c r="DH588" s="2324" t="str">
        <f t="shared" si="1054"/>
        <v>N.M.</v>
      </c>
      <c r="DI588" s="2324" t="str">
        <f t="shared" si="1055"/>
        <v>N.M.</v>
      </c>
      <c r="DJ588" s="2324" t="str">
        <f t="shared" si="1056"/>
        <v>N.M.</v>
      </c>
      <c r="DK588" s="2324" t="str">
        <f t="shared" si="1057"/>
        <v>N.M.</v>
      </c>
      <c r="DL588" s="2324" t="str">
        <f t="shared" si="1058"/>
        <v>N.M.</v>
      </c>
      <c r="DM588" s="2324" t="str">
        <f t="shared" si="1059"/>
        <v>N.M.</v>
      </c>
      <c r="DN588" s="2324" t="str">
        <f t="shared" si="1060"/>
        <v>N.M.</v>
      </c>
      <c r="DO588" s="2324" t="str">
        <f t="shared" si="1061"/>
        <v>N.M.</v>
      </c>
      <c r="DP588" s="2324" t="str">
        <f t="shared" si="1062"/>
        <v>N.M.</v>
      </c>
      <c r="DQ588" s="2324" t="str">
        <f t="shared" si="1063"/>
        <v>N.M.</v>
      </c>
      <c r="DR588" s="2324">
        <f t="shared" si="1064"/>
        <v>0</v>
      </c>
      <c r="DS588" s="2324">
        <f t="shared" si="1065"/>
        <v>0</v>
      </c>
      <c r="DT588" s="2324">
        <f t="shared" si="1066"/>
        <v>0</v>
      </c>
      <c r="DU588" s="2324">
        <f t="shared" si="1067"/>
        <v>0</v>
      </c>
      <c r="DV588" s="2324">
        <f t="shared" si="1068"/>
        <v>0</v>
      </c>
      <c r="DW588" s="2324">
        <f t="shared" si="1069"/>
        <v>0</v>
      </c>
      <c r="DX588" s="2324">
        <f t="shared" si="1070"/>
        <v>0</v>
      </c>
      <c r="DY588" s="2324">
        <f t="shared" si="1071"/>
        <v>0</v>
      </c>
      <c r="EA588"/>
      <c r="EB588"/>
      <c r="EC588"/>
      <c r="ED588"/>
      <c r="EE588"/>
      <c r="EF588"/>
      <c r="EJ588"/>
      <c r="EK588"/>
      <c r="EL588"/>
      <c r="ER588" s="212"/>
    </row>
    <row r="589" spans="1:148" s="923" customFormat="1" ht="12.75" hidden="1" customHeight="1" outlineLevel="1" x14ac:dyDescent="0.2">
      <c r="A589" s="865" t="s">
        <v>1730</v>
      </c>
      <c r="B589" s="215"/>
      <c r="C589" s="215"/>
      <c r="D589" s="215"/>
      <c r="E589" s="215"/>
      <c r="F589" s="215"/>
      <c r="G589" s="215"/>
      <c r="H589" s="215"/>
      <c r="I589" s="215">
        <v>319</v>
      </c>
      <c r="J589" s="215">
        <v>375</v>
      </c>
      <c r="K589" s="215">
        <v>351</v>
      </c>
      <c r="L589" s="215">
        <v>451</v>
      </c>
      <c r="M589" s="215">
        <v>1496</v>
      </c>
      <c r="N589" s="215">
        <v>359</v>
      </c>
      <c r="O589" s="215">
        <v>394</v>
      </c>
      <c r="P589" s="215">
        <v>384</v>
      </c>
      <c r="Q589" s="215">
        <v>501</v>
      </c>
      <c r="R589" s="215">
        <v>1638</v>
      </c>
      <c r="S589" s="215">
        <v>382</v>
      </c>
      <c r="T589" s="215">
        <v>377</v>
      </c>
      <c r="U589" s="215">
        <v>355</v>
      </c>
      <c r="V589" s="215">
        <v>0</v>
      </c>
      <c r="W589" s="215">
        <v>1114</v>
      </c>
      <c r="X589" s="215">
        <v>0</v>
      </c>
      <c r="Y589" s="215">
        <v>0</v>
      </c>
      <c r="Z589" s="215">
        <v>0</v>
      </c>
      <c r="AA589" s="215">
        <v>0</v>
      </c>
      <c r="AB589" s="215">
        <v>0</v>
      </c>
      <c r="AC589" s="215">
        <v>0</v>
      </c>
      <c r="AD589" s="215">
        <v>0</v>
      </c>
      <c r="AE589" s="215">
        <v>0</v>
      </c>
      <c r="AF589" s="215">
        <v>0</v>
      </c>
      <c r="AG589" s="215">
        <v>0</v>
      </c>
      <c r="AH589" s="215">
        <v>0</v>
      </c>
      <c r="AI589" s="215">
        <v>0</v>
      </c>
      <c r="AJ589" s="215">
        <v>0</v>
      </c>
      <c r="AK589" s="215">
        <v>0</v>
      </c>
      <c r="AL589" s="215">
        <v>0</v>
      </c>
      <c r="AM589" s="215">
        <v>0</v>
      </c>
      <c r="AN589" s="215">
        <v>0</v>
      </c>
      <c r="AO589" s="215">
        <v>0</v>
      </c>
      <c r="AP589" s="215">
        <v>0</v>
      </c>
      <c r="AQ589" s="215">
        <v>0</v>
      </c>
      <c r="AR589" s="215">
        <v>0</v>
      </c>
      <c r="AS589" s="215">
        <v>0</v>
      </c>
      <c r="AT589" s="215">
        <v>0</v>
      </c>
      <c r="AU589" s="215">
        <v>0</v>
      </c>
      <c r="AV589" s="215">
        <v>0</v>
      </c>
      <c r="AW589" s="215">
        <v>0</v>
      </c>
      <c r="AX589" s="215">
        <v>0</v>
      </c>
      <c r="AY589" s="215">
        <v>0</v>
      </c>
      <c r="AZ589" s="215">
        <v>0</v>
      </c>
      <c r="BA589" s="215">
        <v>0</v>
      </c>
      <c r="BB589" s="215">
        <v>0</v>
      </c>
      <c r="BC589" s="215">
        <v>0</v>
      </c>
      <c r="BD589" s="215">
        <v>0</v>
      </c>
      <c r="BE589" s="215">
        <v>0</v>
      </c>
      <c r="BF589" s="215">
        <v>0</v>
      </c>
      <c r="BG589" s="215">
        <v>0</v>
      </c>
      <c r="BH589" s="215">
        <v>0</v>
      </c>
      <c r="BI589" s="215">
        <v>0</v>
      </c>
      <c r="BJ589" s="215">
        <v>0</v>
      </c>
      <c r="BK589" s="215">
        <v>0</v>
      </c>
      <c r="BL589" s="215">
        <v>0</v>
      </c>
      <c r="BM589" s="215">
        <v>0</v>
      </c>
      <c r="BN589" s="215">
        <v>0</v>
      </c>
      <c r="BO589" s="215">
        <v>0</v>
      </c>
      <c r="BP589" s="215">
        <v>0</v>
      </c>
      <c r="BQ589" s="215"/>
      <c r="BR589" s="215"/>
      <c r="BS589" s="215"/>
      <c r="BT589" s="215"/>
      <c r="BU589" s="215">
        <v>0</v>
      </c>
      <c r="BV589" s="215"/>
      <c r="BW589" s="215"/>
      <c r="BX589" s="215"/>
      <c r="BY589" s="215"/>
      <c r="BZ589" s="215"/>
      <c r="CA589" s="215"/>
      <c r="CB589" s="215"/>
      <c r="CC589" s="215"/>
      <c r="CD589" s="215"/>
      <c r="CE589" s="215"/>
      <c r="CF589" s="215"/>
      <c r="CG589" s="215"/>
      <c r="CH589" s="215"/>
      <c r="CI589" s="215"/>
      <c r="CJ589" s="215"/>
      <c r="CK589" s="215"/>
      <c r="CL589" s="215"/>
      <c r="CM589" s="215"/>
      <c r="CN589" s="215"/>
      <c r="CO589" s="215"/>
      <c r="CP589" s="215"/>
      <c r="CQ589" s="215"/>
      <c r="CR589" s="215"/>
      <c r="CS589" s="215"/>
      <c r="CT589" s="215"/>
      <c r="CU589" s="215"/>
      <c r="CV589" s="215"/>
      <c r="CW589" s="215"/>
      <c r="CX589" s="215"/>
      <c r="CY589" s="215"/>
      <c r="CZ589" s="215"/>
      <c r="DA589" s="215"/>
      <c r="DB589"/>
      <c r="DC589"/>
      <c r="DD589" s="2323" t="s">
        <v>1730</v>
      </c>
      <c r="DE589" s="2327">
        <f t="shared" si="1051"/>
        <v>1496</v>
      </c>
      <c r="DF589" s="2327">
        <f t="shared" si="1052"/>
        <v>1638</v>
      </c>
      <c r="DG589" s="2327">
        <f t="shared" si="1053"/>
        <v>1114</v>
      </c>
      <c r="DH589" s="2327">
        <f t="shared" si="1054"/>
        <v>0</v>
      </c>
      <c r="DI589" s="2327">
        <f t="shared" si="1055"/>
        <v>0</v>
      </c>
      <c r="DJ589" s="2327">
        <f t="shared" si="1056"/>
        <v>0</v>
      </c>
      <c r="DK589" s="2327">
        <f t="shared" si="1057"/>
        <v>0</v>
      </c>
      <c r="DL589" s="2327">
        <f t="shared" si="1058"/>
        <v>0</v>
      </c>
      <c r="DM589" s="2327">
        <f t="shared" si="1059"/>
        <v>0</v>
      </c>
      <c r="DN589" s="2327">
        <f t="shared" si="1060"/>
        <v>0</v>
      </c>
      <c r="DO589" s="2327">
        <f t="shared" si="1061"/>
        <v>0</v>
      </c>
      <c r="DP589" s="2327">
        <f t="shared" si="1062"/>
        <v>0</v>
      </c>
      <c r="DQ589" s="2327">
        <f t="shared" si="1063"/>
        <v>0</v>
      </c>
      <c r="DR589" s="2327">
        <f t="shared" si="1064"/>
        <v>0</v>
      </c>
      <c r="DS589" s="2327">
        <f t="shared" si="1065"/>
        <v>0</v>
      </c>
      <c r="DT589" s="2327">
        <f t="shared" si="1066"/>
        <v>0</v>
      </c>
      <c r="DU589" s="2327">
        <f t="shared" si="1067"/>
        <v>0</v>
      </c>
      <c r="DV589" s="2327">
        <f t="shared" si="1068"/>
        <v>0</v>
      </c>
      <c r="DW589" s="2327">
        <f t="shared" si="1069"/>
        <v>0</v>
      </c>
      <c r="DX589" s="2327">
        <f t="shared" si="1070"/>
        <v>0</v>
      </c>
      <c r="DY589" s="2327">
        <f t="shared" si="1071"/>
        <v>0</v>
      </c>
      <c r="EA589"/>
      <c r="EB589"/>
      <c r="EC589"/>
      <c r="ED589"/>
      <c r="EE589"/>
      <c r="EF589"/>
      <c r="EJ589"/>
      <c r="EK589"/>
      <c r="EL589"/>
      <c r="ER589" s="212"/>
    </row>
    <row r="590" spans="1:148" s="923" customFormat="1" ht="12.75" hidden="1" customHeight="1" outlineLevel="1" x14ac:dyDescent="0.2">
      <c r="A590" s="865" t="s">
        <v>801</v>
      </c>
      <c r="B590" s="220"/>
      <c r="C590" s="220"/>
      <c r="D590" s="220"/>
      <c r="E590" s="220"/>
      <c r="F590" s="220"/>
      <c r="G590" s="220"/>
      <c r="H590" s="220"/>
      <c r="I590" s="220">
        <v>-3.9087947882736174E-2</v>
      </c>
      <c r="J590" s="220">
        <v>1.5748031496062964E-2</v>
      </c>
      <c r="K590" s="220">
        <v>1.4044943820224698E-2</v>
      </c>
      <c r="L590" s="220">
        <v>1.0964912280701733E-2</v>
      </c>
      <c r="M590" s="220">
        <v>2.666666666666706E-3</v>
      </c>
      <c r="N590" s="220">
        <v>5.5401662049860967E-3</v>
      </c>
      <c r="O590" s="220">
        <v>7.5566750629723067E-3</v>
      </c>
      <c r="P590" s="220">
        <v>2.5974025974025983E-3</v>
      </c>
      <c r="Q590" s="220">
        <v>-1.4170040485830038E-2</v>
      </c>
      <c r="R590" s="220">
        <v>-6.1087354917521708E-4</v>
      </c>
      <c r="S590" s="220">
        <v>-1.5957446808510634E-2</v>
      </c>
      <c r="T590" s="220">
        <v>-5.3333333333334121E-3</v>
      </c>
      <c r="U590" s="220">
        <v>-1.139601139601143E-2</v>
      </c>
      <c r="V590" s="220" t="s">
        <v>1666</v>
      </c>
      <c r="W590" s="220">
        <v>-1.0889292196007316E-2</v>
      </c>
      <c r="X590" s="220" t="s">
        <v>1666</v>
      </c>
      <c r="Y590" s="220" t="s">
        <v>1666</v>
      </c>
      <c r="Z590" s="220" t="s">
        <v>1666</v>
      </c>
      <c r="AA590" s="220" t="s">
        <v>1666</v>
      </c>
      <c r="AB590" s="220" t="s">
        <v>1666</v>
      </c>
      <c r="AC590" s="220" t="s">
        <v>1666</v>
      </c>
      <c r="AD590" s="220" t="s">
        <v>1666</v>
      </c>
      <c r="AE590" s="220" t="s">
        <v>1666</v>
      </c>
      <c r="AF590" s="220" t="s">
        <v>1666</v>
      </c>
      <c r="AG590" s="220" t="s">
        <v>1666</v>
      </c>
      <c r="AH590" s="220" t="s">
        <v>1666</v>
      </c>
      <c r="AI590" s="220" t="s">
        <v>1666</v>
      </c>
      <c r="AJ590" s="220" t="s">
        <v>1666</v>
      </c>
      <c r="AK590" s="220" t="s">
        <v>1666</v>
      </c>
      <c r="AL590" s="220" t="s">
        <v>1666</v>
      </c>
      <c r="AM590" s="220" t="s">
        <v>1666</v>
      </c>
      <c r="AN590" s="220" t="s">
        <v>1666</v>
      </c>
      <c r="AO590" s="220" t="s">
        <v>1666</v>
      </c>
      <c r="AP590" s="220" t="s">
        <v>1666</v>
      </c>
      <c r="AQ590" s="220" t="s">
        <v>1666</v>
      </c>
      <c r="AR590" s="220" t="s">
        <v>1666</v>
      </c>
      <c r="AS590" s="220" t="s">
        <v>1666</v>
      </c>
      <c r="AT590" s="220" t="s">
        <v>1666</v>
      </c>
      <c r="AU590" s="220" t="s">
        <v>1666</v>
      </c>
      <c r="AV590" s="220" t="s">
        <v>1666</v>
      </c>
      <c r="AW590" s="220" t="s">
        <v>1666</v>
      </c>
      <c r="AX590" s="220" t="s">
        <v>1666</v>
      </c>
      <c r="AY590" s="220" t="s">
        <v>1666</v>
      </c>
      <c r="AZ590" s="220" t="s">
        <v>1666</v>
      </c>
      <c r="BA590" s="220" t="s">
        <v>1666</v>
      </c>
      <c r="BB590" s="220" t="s">
        <v>1666</v>
      </c>
      <c r="BC590" s="220" t="s">
        <v>1666</v>
      </c>
      <c r="BD590" s="220" t="s">
        <v>1666</v>
      </c>
      <c r="BE590" s="220" t="s">
        <v>1666</v>
      </c>
      <c r="BF590" s="220" t="s">
        <v>1666</v>
      </c>
      <c r="BG590" s="220" t="s">
        <v>1666</v>
      </c>
      <c r="BH590" s="220" t="s">
        <v>1666</v>
      </c>
      <c r="BI590" s="220" t="s">
        <v>1666</v>
      </c>
      <c r="BJ590" s="220" t="s">
        <v>1666</v>
      </c>
      <c r="BK590" s="220" t="s">
        <v>1666</v>
      </c>
      <c r="BL590" s="220" t="s">
        <v>1666</v>
      </c>
      <c r="BM590" s="220" t="s">
        <v>1666</v>
      </c>
      <c r="BN590" s="220" t="s">
        <v>1666</v>
      </c>
      <c r="BO590" s="220" t="s">
        <v>1666</v>
      </c>
      <c r="BP590" s="220" t="s">
        <v>1666</v>
      </c>
      <c r="BQ590" s="220"/>
      <c r="BR590" s="220"/>
      <c r="BS590" s="220"/>
      <c r="BT590" s="220"/>
      <c r="BU590" s="220" t="s">
        <v>1666</v>
      </c>
      <c r="BV590" s="220"/>
      <c r="BW590" s="220"/>
      <c r="BX590" s="220"/>
      <c r="BY590" s="220"/>
      <c r="BZ590" s="220"/>
      <c r="CA590" s="220"/>
      <c r="CB590" s="220"/>
      <c r="CC590" s="220"/>
      <c r="CD590" s="220"/>
      <c r="CE590" s="220"/>
      <c r="CF590" s="220"/>
      <c r="CG590" s="220"/>
      <c r="CH590" s="220"/>
      <c r="CI590" s="220"/>
      <c r="CJ590" s="220"/>
      <c r="CK590" s="220"/>
      <c r="CL590" s="220"/>
      <c r="CM590" s="220"/>
      <c r="CN590" s="220"/>
      <c r="CO590" s="220"/>
      <c r="CP590" s="220"/>
      <c r="CQ590" s="220"/>
      <c r="CR590" s="220"/>
      <c r="CS590" s="220"/>
      <c r="CT590" s="220"/>
      <c r="CU590" s="220"/>
      <c r="CV590" s="220"/>
      <c r="CW590" s="220"/>
      <c r="CX590" s="220"/>
      <c r="CY590" s="220"/>
      <c r="CZ590" s="220"/>
      <c r="DA590" s="220"/>
      <c r="DB590"/>
      <c r="DC590"/>
      <c r="DD590" s="2323" t="s">
        <v>801</v>
      </c>
      <c r="DE590" s="2324">
        <f t="shared" si="1051"/>
        <v>2.666666666666706E-3</v>
      </c>
      <c r="DF590" s="2324">
        <f t="shared" si="1052"/>
        <v>-6.1087354917521708E-4</v>
      </c>
      <c r="DG590" s="2324">
        <f t="shared" si="1053"/>
        <v>-1.0889292196007316E-2</v>
      </c>
      <c r="DH590" s="2324" t="str">
        <f t="shared" si="1054"/>
        <v>N.M.</v>
      </c>
      <c r="DI590" s="2324" t="str">
        <f t="shared" si="1055"/>
        <v>N.M.</v>
      </c>
      <c r="DJ590" s="2324" t="str">
        <f t="shared" si="1056"/>
        <v>N.M.</v>
      </c>
      <c r="DK590" s="2324" t="str">
        <f t="shared" si="1057"/>
        <v>N.M.</v>
      </c>
      <c r="DL590" s="2324" t="str">
        <f t="shared" si="1058"/>
        <v>N.M.</v>
      </c>
      <c r="DM590" s="2324" t="str">
        <f t="shared" si="1059"/>
        <v>N.M.</v>
      </c>
      <c r="DN590" s="2324" t="str">
        <f t="shared" si="1060"/>
        <v>N.M.</v>
      </c>
      <c r="DO590" s="2324" t="str">
        <f t="shared" si="1061"/>
        <v>N.M.</v>
      </c>
      <c r="DP590" s="2324" t="str">
        <f t="shared" si="1062"/>
        <v>N.M.</v>
      </c>
      <c r="DQ590" s="2324" t="str">
        <f t="shared" si="1063"/>
        <v>N.M.</v>
      </c>
      <c r="DR590" s="2324">
        <f t="shared" si="1064"/>
        <v>0</v>
      </c>
      <c r="DS590" s="2324">
        <f t="shared" si="1065"/>
        <v>0</v>
      </c>
      <c r="DT590" s="2324">
        <f t="shared" si="1066"/>
        <v>0</v>
      </c>
      <c r="DU590" s="2324">
        <f t="shared" si="1067"/>
        <v>0</v>
      </c>
      <c r="DV590" s="2324">
        <f t="shared" si="1068"/>
        <v>0</v>
      </c>
      <c r="DW590" s="2324">
        <f t="shared" si="1069"/>
        <v>0</v>
      </c>
      <c r="DX590" s="2324">
        <f t="shared" si="1070"/>
        <v>0</v>
      </c>
      <c r="DY590" s="2324">
        <f t="shared" si="1071"/>
        <v>0</v>
      </c>
      <c r="EA590"/>
      <c r="EB590"/>
      <c r="EC590"/>
      <c r="ED590"/>
      <c r="EE590"/>
      <c r="EF590"/>
      <c r="EJ590"/>
      <c r="EK590"/>
      <c r="EL590"/>
      <c r="ER590" s="212"/>
    </row>
    <row r="591" spans="1:148" s="923" customFormat="1" ht="12.75" hidden="1" customHeight="1" outlineLevel="1" x14ac:dyDescent="0.2">
      <c r="A591" s="865"/>
      <c r="B591" s="215"/>
      <c r="C591" s="215"/>
      <c r="D591" s="215"/>
      <c r="E591" s="215"/>
      <c r="F591" s="215"/>
      <c r="G591" s="215"/>
      <c r="H591" s="215"/>
      <c r="I591" s="215"/>
      <c r="J591" s="215"/>
      <c r="K591" s="215"/>
      <c r="L591" s="215"/>
      <c r="M591" s="215"/>
      <c r="N591" s="215"/>
      <c r="O591" s="215"/>
      <c r="P591" s="215"/>
      <c r="Q591" s="215"/>
      <c r="R591" s="215"/>
      <c r="S591" s="215"/>
      <c r="T591" s="215"/>
      <c r="U591" s="215"/>
      <c r="V591" s="215"/>
      <c r="W591" s="215"/>
      <c r="X591" s="215"/>
      <c r="Y591" s="215"/>
      <c r="Z591" s="215"/>
      <c r="AA591" s="215"/>
      <c r="AB591" s="215"/>
      <c r="AC591" s="215"/>
      <c r="AD591" s="215"/>
      <c r="AE591" s="215"/>
      <c r="AF591" s="215"/>
      <c r="AG591" s="215"/>
      <c r="AH591" s="215"/>
      <c r="AI591" s="215"/>
      <c r="AJ591" s="215"/>
      <c r="AK591" s="215"/>
      <c r="AL591" s="215"/>
      <c r="AM591" s="215"/>
      <c r="AN591" s="215"/>
      <c r="AO591" s="215"/>
      <c r="AP591" s="215"/>
      <c r="AQ591" s="215"/>
      <c r="AR591" s="215"/>
      <c r="AS591" s="215"/>
      <c r="AT591" s="215"/>
      <c r="AU591" s="215"/>
      <c r="AV591" s="215"/>
      <c r="AW591" s="215"/>
      <c r="AX591" s="215"/>
      <c r="AY591" s="215"/>
      <c r="AZ591" s="215"/>
      <c r="BA591" s="215"/>
      <c r="BB591" s="215"/>
      <c r="BC591" s="215"/>
      <c r="BD591" s="215"/>
      <c r="BE591" s="215"/>
      <c r="BF591" s="215"/>
      <c r="BG591" s="215"/>
      <c r="BH591" s="215"/>
      <c r="BI591" s="215"/>
      <c r="BJ591" s="215"/>
      <c r="BK591" s="215"/>
      <c r="BL591" s="215"/>
      <c r="BM591" s="215"/>
      <c r="BN591" s="215"/>
      <c r="BO591" s="215"/>
      <c r="BP591" s="215"/>
      <c r="BQ591" s="215"/>
      <c r="BR591" s="215"/>
      <c r="BS591" s="215"/>
      <c r="BT591" s="215"/>
      <c r="BU591" s="215"/>
      <c r="BV591" s="215"/>
      <c r="BW591" s="215"/>
      <c r="BX591" s="215"/>
      <c r="BY591" s="215"/>
      <c r="BZ591" s="215"/>
      <c r="CA591" s="215"/>
      <c r="CB591" s="215"/>
      <c r="CC591" s="215"/>
      <c r="CD591" s="215"/>
      <c r="CE591" s="215"/>
      <c r="CF591" s="215"/>
      <c r="CG591" s="215"/>
      <c r="CH591" s="215"/>
      <c r="CI591" s="215"/>
      <c r="CJ591" s="215"/>
      <c r="CK591" s="215"/>
      <c r="CL591" s="215"/>
      <c r="CM591" s="215"/>
      <c r="CN591" s="215"/>
      <c r="CO591" s="215"/>
      <c r="CP591" s="215"/>
      <c r="CQ591" s="215"/>
      <c r="CR591" s="215"/>
      <c r="CS591" s="215"/>
      <c r="CT591" s="215"/>
      <c r="CU591" s="215"/>
      <c r="CV591" s="215"/>
      <c r="CW591" s="215"/>
      <c r="CX591" s="215"/>
      <c r="CY591" s="215"/>
      <c r="CZ591" s="215"/>
      <c r="DA591" s="215"/>
      <c r="DB591"/>
      <c r="DC591"/>
      <c r="DD591" s="2323"/>
      <c r="DE591" s="2327"/>
      <c r="DF591" s="2327"/>
      <c r="DG591" s="2327"/>
      <c r="DH591" s="2327"/>
      <c r="DI591" s="2327"/>
      <c r="DJ591" s="2327"/>
      <c r="DK591" s="2327"/>
      <c r="DL591" s="2327"/>
      <c r="DM591" s="2327"/>
      <c r="DN591" s="2327"/>
      <c r="DO591" s="2327"/>
      <c r="DP591" s="2327"/>
      <c r="DQ591" s="2327"/>
      <c r="DR591" s="2327"/>
      <c r="DS591" s="2327"/>
      <c r="DT591" s="2327"/>
      <c r="DU591" s="2327"/>
      <c r="DV591" s="2327"/>
      <c r="DW591" s="2327"/>
      <c r="DX591" s="2327"/>
      <c r="DY591" s="2327"/>
      <c r="EA591"/>
      <c r="EB591"/>
      <c r="EC591"/>
      <c r="ED591"/>
      <c r="EE591"/>
      <c r="EF591"/>
      <c r="EJ591"/>
      <c r="EK591"/>
      <c r="EL591"/>
      <c r="ER591" s="212"/>
    </row>
    <row r="592" spans="1:148" s="923" customFormat="1" ht="12.75" hidden="1" customHeight="1" outlineLevel="1" x14ac:dyDescent="0.2">
      <c r="A592" s="865"/>
      <c r="B592" s="215"/>
      <c r="C592" s="215"/>
      <c r="D592" s="215"/>
      <c r="E592" s="215"/>
      <c r="F592" s="215"/>
      <c r="G592" s="215"/>
      <c r="H592" s="215"/>
      <c r="I592" s="215"/>
      <c r="J592" s="215"/>
      <c r="K592" s="215"/>
      <c r="L592" s="215"/>
      <c r="M592" s="215"/>
      <c r="N592" s="215"/>
      <c r="O592" s="215"/>
      <c r="P592" s="215"/>
      <c r="Q592" s="215"/>
      <c r="R592" s="215"/>
      <c r="S592" s="215"/>
      <c r="T592" s="215"/>
      <c r="U592" s="215"/>
      <c r="V592" s="215"/>
      <c r="W592" s="215"/>
      <c r="X592" s="215"/>
      <c r="Y592" s="215"/>
      <c r="Z592" s="215"/>
      <c r="AA592" s="215"/>
      <c r="AB592" s="215"/>
      <c r="AC592" s="215"/>
      <c r="AD592" s="215"/>
      <c r="AE592" s="215"/>
      <c r="AF592" s="215"/>
      <c r="AG592" s="215"/>
      <c r="AH592" s="215"/>
      <c r="AI592" s="215"/>
      <c r="AJ592" s="215"/>
      <c r="AK592" s="215"/>
      <c r="AL592" s="215"/>
      <c r="AM592" s="215"/>
      <c r="AN592" s="215"/>
      <c r="AO592" s="215"/>
      <c r="AP592" s="215"/>
      <c r="AQ592" s="215"/>
      <c r="AR592" s="215"/>
      <c r="AS592" s="215"/>
      <c r="AT592" s="215"/>
      <c r="AU592" s="215"/>
      <c r="AV592" s="215"/>
      <c r="AW592" s="215"/>
      <c r="AX592" s="215"/>
      <c r="AY592" s="215"/>
      <c r="AZ592" s="215"/>
      <c r="BA592" s="215"/>
      <c r="BB592" s="215"/>
      <c r="BC592" s="215"/>
      <c r="BD592" s="215"/>
      <c r="BE592" s="215"/>
      <c r="BF592" s="215"/>
      <c r="BG592" s="215"/>
      <c r="BH592" s="215"/>
      <c r="BI592" s="215"/>
      <c r="BJ592" s="215"/>
      <c r="BK592" s="215"/>
      <c r="BL592" s="215"/>
      <c r="BM592" s="215"/>
      <c r="BN592" s="215"/>
      <c r="BO592" s="215"/>
      <c r="BP592" s="215"/>
      <c r="BQ592" s="215"/>
      <c r="BR592" s="215"/>
      <c r="BS592" s="215"/>
      <c r="BT592" s="215"/>
      <c r="BU592" s="215"/>
      <c r="BV592" s="215"/>
      <c r="BW592" s="215"/>
      <c r="BX592" s="215"/>
      <c r="BY592" s="215"/>
      <c r="BZ592" s="215"/>
      <c r="CA592" s="215"/>
      <c r="CB592" s="215"/>
      <c r="CC592" s="215"/>
      <c r="CD592" s="215"/>
      <c r="CE592" s="215"/>
      <c r="CF592" s="215"/>
      <c r="CG592" s="215"/>
      <c r="CH592" s="215"/>
      <c r="CI592" s="215"/>
      <c r="CJ592" s="215"/>
      <c r="CK592" s="215"/>
      <c r="CL592" s="215"/>
      <c r="CM592" s="215"/>
      <c r="CN592" s="215"/>
      <c r="CO592" s="215"/>
      <c r="CP592" s="215"/>
      <c r="CQ592" s="215"/>
      <c r="CR592" s="215"/>
      <c r="CS592" s="215"/>
      <c r="CT592" s="215"/>
      <c r="CU592" s="215"/>
      <c r="CV592" s="215"/>
      <c r="CW592" s="215"/>
      <c r="CX592" s="215"/>
      <c r="CY592" s="215"/>
      <c r="CZ592" s="215"/>
      <c r="DA592" s="215"/>
      <c r="DB592"/>
      <c r="DC592"/>
      <c r="DD592" s="2323"/>
      <c r="DE592" s="2327"/>
      <c r="DF592" s="2327"/>
      <c r="DG592" s="2327"/>
      <c r="DH592" s="2327"/>
      <c r="DI592" s="2327"/>
      <c r="DJ592" s="2327"/>
      <c r="DK592" s="2327"/>
      <c r="DL592" s="2327"/>
      <c r="DM592" s="2327"/>
      <c r="DN592" s="2327"/>
      <c r="DO592" s="2327"/>
      <c r="DP592" s="2327"/>
      <c r="DQ592" s="2327"/>
      <c r="DR592" s="2327"/>
      <c r="DS592" s="2327"/>
      <c r="DT592" s="2327"/>
      <c r="DU592" s="2327"/>
      <c r="DV592" s="2327"/>
      <c r="DW592" s="2327"/>
      <c r="DX592" s="2327"/>
      <c r="DY592" s="2327"/>
      <c r="EA592"/>
      <c r="EB592"/>
      <c r="EC592"/>
      <c r="ED592"/>
      <c r="EE592"/>
      <c r="EF592"/>
      <c r="EJ592"/>
      <c r="EK592"/>
      <c r="EL592"/>
      <c r="ER592" s="212"/>
    </row>
    <row r="593" spans="1:148" s="923" customFormat="1" ht="12.75" hidden="1" customHeight="1" outlineLevel="1" x14ac:dyDescent="0.2">
      <c r="A593" s="867" t="s">
        <v>2039</v>
      </c>
      <c r="B593" s="215"/>
      <c r="C593" s="215"/>
      <c r="D593" s="215"/>
      <c r="E593" s="215"/>
      <c r="F593" s="215"/>
      <c r="G593" s="215"/>
      <c r="H593" s="215"/>
      <c r="I593" s="215"/>
      <c r="J593" s="215"/>
      <c r="K593" s="215"/>
      <c r="L593" s="215"/>
      <c r="M593" s="215"/>
      <c r="N593" s="215"/>
      <c r="O593" s="215"/>
      <c r="P593" s="215"/>
      <c r="Q593" s="215"/>
      <c r="R593" s="215"/>
      <c r="S593" s="215"/>
      <c r="T593" s="215"/>
      <c r="U593" s="215"/>
      <c r="V593" s="215"/>
      <c r="W593" s="215"/>
      <c r="X593" s="215"/>
      <c r="Y593" s="215"/>
      <c r="Z593" s="215"/>
      <c r="AA593" s="215"/>
      <c r="AB593" s="215"/>
      <c r="AC593" s="215"/>
      <c r="AD593" s="215"/>
      <c r="AE593" s="215"/>
      <c r="AF593" s="215"/>
      <c r="AG593" s="215"/>
      <c r="AH593" s="215"/>
      <c r="AI593" s="215"/>
      <c r="AJ593" s="215"/>
      <c r="AK593" s="215"/>
      <c r="AL593" s="215"/>
      <c r="AM593" s="215"/>
      <c r="AN593" s="215"/>
      <c r="AO593" s="215"/>
      <c r="AP593" s="215"/>
      <c r="AQ593" s="215"/>
      <c r="AR593" s="215"/>
      <c r="AS593" s="215"/>
      <c r="AT593" s="215"/>
      <c r="AU593" s="215"/>
      <c r="AV593" s="215"/>
      <c r="AW593" s="215"/>
      <c r="AX593" s="215"/>
      <c r="AY593" s="215"/>
      <c r="AZ593" s="215"/>
      <c r="BA593" s="215"/>
      <c r="BB593" s="215"/>
      <c r="BC593" s="215"/>
      <c r="BD593" s="215"/>
      <c r="BE593" s="215"/>
      <c r="BF593" s="215"/>
      <c r="BG593" s="215"/>
      <c r="BH593" s="215"/>
      <c r="BI593" s="215"/>
      <c r="BJ593" s="215"/>
      <c r="BK593" s="215"/>
      <c r="BL593" s="215"/>
      <c r="BM593" s="215"/>
      <c r="BN593" s="215"/>
      <c r="BO593" s="215"/>
      <c r="BP593" s="215"/>
      <c r="BQ593" s="215"/>
      <c r="BR593" s="215"/>
      <c r="BS593" s="215"/>
      <c r="BT593" s="215"/>
      <c r="BU593" s="215"/>
      <c r="BV593" s="215"/>
      <c r="BW593" s="215"/>
      <c r="BX593" s="215"/>
      <c r="BY593" s="215"/>
      <c r="BZ593" s="215"/>
      <c r="CA593" s="215"/>
      <c r="CB593" s="215"/>
      <c r="CC593" s="215"/>
      <c r="CD593" s="215"/>
      <c r="CE593" s="215"/>
      <c r="CF593" s="215"/>
      <c r="CG593" s="215"/>
      <c r="CH593" s="215"/>
      <c r="CI593" s="215"/>
      <c r="CJ593" s="215"/>
      <c r="CK593" s="215"/>
      <c r="CL593" s="215"/>
      <c r="CM593" s="215"/>
      <c r="CN593" s="215"/>
      <c r="CO593" s="215"/>
      <c r="CP593" s="215"/>
      <c r="CQ593" s="215"/>
      <c r="CR593" s="215"/>
      <c r="CS593" s="215"/>
      <c r="CT593" s="215"/>
      <c r="CU593" s="215"/>
      <c r="CV593" s="215"/>
      <c r="CW593" s="215"/>
      <c r="CX593" s="215"/>
      <c r="CY593" s="215"/>
      <c r="CZ593" s="215"/>
      <c r="DA593" s="215"/>
      <c r="DB593"/>
      <c r="DC593"/>
      <c r="DD593" s="867" t="s">
        <v>2039</v>
      </c>
      <c r="DE593" s="2327"/>
      <c r="DF593" s="2327"/>
      <c r="DG593" s="2327"/>
      <c r="DH593" s="2327"/>
      <c r="DI593" s="2327"/>
      <c r="DJ593" s="2327"/>
      <c r="DK593" s="2327"/>
      <c r="DL593" s="2327"/>
      <c r="DM593" s="2327"/>
      <c r="DN593" s="2327"/>
      <c r="DO593" s="2327"/>
      <c r="DP593" s="2327"/>
      <c r="DQ593" s="2327"/>
      <c r="DR593" s="2327"/>
      <c r="DS593" s="2327"/>
      <c r="DT593" s="2327"/>
      <c r="DU593" s="2327"/>
      <c r="DV593" s="2327"/>
      <c r="DW593" s="2327"/>
      <c r="DX593" s="2327"/>
      <c r="DY593" s="2327"/>
      <c r="EA593"/>
      <c r="EB593"/>
      <c r="EC593"/>
      <c r="ED593"/>
      <c r="EE593"/>
      <c r="EF593"/>
      <c r="EJ593"/>
      <c r="EK593"/>
      <c r="EL593"/>
      <c r="ER593" s="212"/>
    </row>
    <row r="594" spans="1:148" s="923" customFormat="1" ht="12.75" hidden="1" customHeight="1" outlineLevel="1" x14ac:dyDescent="0.2">
      <c r="A594" s="865" t="s">
        <v>125</v>
      </c>
      <c r="B594" s="215"/>
      <c r="C594" s="215"/>
      <c r="D594" s="215"/>
      <c r="E594" s="215"/>
      <c r="F594" s="215"/>
      <c r="G594" s="215"/>
      <c r="H594" s="215"/>
      <c r="I594" s="215">
        <v>0</v>
      </c>
      <c r="J594" s="215">
        <v>0</v>
      </c>
      <c r="K594" s="215">
        <v>0</v>
      </c>
      <c r="L594" s="215">
        <v>0</v>
      </c>
      <c r="M594" s="226">
        <f>SUM(I594:L594)</f>
        <v>0</v>
      </c>
      <c r="N594" s="215">
        <v>0</v>
      </c>
      <c r="O594" s="215">
        <v>0</v>
      </c>
      <c r="P594" s="215">
        <v>0</v>
      </c>
      <c r="Q594" s="215">
        <v>0</v>
      </c>
      <c r="R594" s="226">
        <v>0</v>
      </c>
      <c r="S594" s="215">
        <v>5</v>
      </c>
      <c r="T594" s="215">
        <v>53</v>
      </c>
      <c r="U594" s="215">
        <v>55</v>
      </c>
      <c r="V594" s="215">
        <v>80</v>
      </c>
      <c r="W594" s="226">
        <f>SUM(S594:V594)</f>
        <v>193</v>
      </c>
      <c r="X594" s="215">
        <v>68</v>
      </c>
      <c r="Y594" s="215">
        <v>63</v>
      </c>
      <c r="Z594" s="215">
        <v>93</v>
      </c>
      <c r="AA594" s="215">
        <v>78</v>
      </c>
      <c r="AB594" s="226">
        <f>SUM(X594:AA594)</f>
        <v>302</v>
      </c>
      <c r="AC594" s="215">
        <v>0</v>
      </c>
      <c r="AD594" s="215">
        <v>111</v>
      </c>
      <c r="AE594" s="215">
        <v>87</v>
      </c>
      <c r="AF594" s="215">
        <v>123</v>
      </c>
      <c r="AG594" s="226">
        <f>SUM(AC594:AF594)</f>
        <v>321</v>
      </c>
      <c r="AH594" s="215">
        <v>108</v>
      </c>
      <c r="AI594" s="215">
        <v>98</v>
      </c>
      <c r="AJ594" s="215">
        <v>98</v>
      </c>
      <c r="AK594" s="215">
        <v>117</v>
      </c>
      <c r="AL594" s="226">
        <f>SUM(AH594:AK594)</f>
        <v>421</v>
      </c>
      <c r="AM594" s="215">
        <v>57</v>
      </c>
      <c r="AN594" s="215">
        <v>39</v>
      </c>
      <c r="AO594" s="215">
        <v>6</v>
      </c>
      <c r="AP594" s="215">
        <v>63</v>
      </c>
      <c r="AQ594" s="226">
        <f>SUM(AM594:AP594)</f>
        <v>165</v>
      </c>
      <c r="AR594" s="215">
        <v>68</v>
      </c>
      <c r="AS594" s="215">
        <v>88</v>
      </c>
      <c r="AT594" s="215">
        <v>97</v>
      </c>
      <c r="AU594" s="215">
        <v>0</v>
      </c>
      <c r="AV594" s="226">
        <f>SUM(AR594:AU594)</f>
        <v>253</v>
      </c>
      <c r="AW594" s="215">
        <v>0</v>
      </c>
      <c r="AX594" s="215">
        <v>0</v>
      </c>
      <c r="AY594" s="215">
        <v>0</v>
      </c>
      <c r="AZ594" s="215">
        <v>0</v>
      </c>
      <c r="BA594" s="226">
        <f>SUM(AW594:AZ594)</f>
        <v>0</v>
      </c>
      <c r="BB594" s="215">
        <v>0</v>
      </c>
      <c r="BC594" s="215">
        <v>0</v>
      </c>
      <c r="BD594" s="215">
        <f>AY594*(1+BD597)</f>
        <v>0</v>
      </c>
      <c r="BE594" s="215">
        <f>AZ594*(1+BE597)</f>
        <v>0</v>
      </c>
      <c r="BF594" s="226">
        <f>SUM(BB594:BE594)</f>
        <v>0</v>
      </c>
      <c r="BG594" s="215">
        <f>BB594*(1+BG597)</f>
        <v>0</v>
      </c>
      <c r="BH594" s="215">
        <f>BC594*(1+BH597)</f>
        <v>0</v>
      </c>
      <c r="BI594" s="215">
        <f>BD594*(1+BI597)</f>
        <v>0</v>
      </c>
      <c r="BJ594" s="215">
        <f>BE594*(1+BJ597)</f>
        <v>0</v>
      </c>
      <c r="BK594" s="226">
        <f>SUM(BG594:BJ594)</f>
        <v>0</v>
      </c>
      <c r="BL594" s="215">
        <f>BG594*(1+BL597)</f>
        <v>0</v>
      </c>
      <c r="BM594" s="215">
        <f>BH594*(1+BM597)</f>
        <v>0</v>
      </c>
      <c r="BN594" s="215">
        <f>BI594*(1+BN597)</f>
        <v>0</v>
      </c>
      <c r="BO594" s="215">
        <f>BJ594*(1+BO597)</f>
        <v>0</v>
      </c>
      <c r="BP594" s="226">
        <f>SUM(BL594:BO594)</f>
        <v>0</v>
      </c>
      <c r="BQ594" s="215"/>
      <c r="BR594" s="215"/>
      <c r="BS594" s="215"/>
      <c r="BT594" s="215"/>
      <c r="BU594" s="226">
        <f>BP594*(1+BU597)</f>
        <v>0</v>
      </c>
      <c r="BV594" s="215"/>
      <c r="BW594" s="215"/>
      <c r="BX594" s="215"/>
      <c r="BY594" s="215"/>
      <c r="BZ594" s="226"/>
      <c r="CA594" s="226"/>
      <c r="CB594" s="226"/>
      <c r="CC594" s="226"/>
      <c r="CD594" s="226"/>
      <c r="CE594" s="226"/>
      <c r="CF594" s="226"/>
      <c r="CG594" s="226"/>
      <c r="CH594" s="226"/>
      <c r="CI594" s="226"/>
      <c r="CJ594" s="226"/>
      <c r="CK594" s="226"/>
      <c r="CL594" s="226"/>
      <c r="CM594" s="226"/>
      <c r="CN594" s="226"/>
      <c r="CO594" s="226"/>
      <c r="CP594" s="226"/>
      <c r="CQ594" s="226"/>
      <c r="CR594" s="226"/>
      <c r="CS594" s="226"/>
      <c r="CT594" s="226"/>
      <c r="CU594" s="226"/>
      <c r="CV594" s="226"/>
      <c r="CW594" s="226"/>
      <c r="CX594" s="226"/>
      <c r="CY594" s="226"/>
      <c r="CZ594" s="226"/>
      <c r="DA594" s="226"/>
      <c r="DB594"/>
      <c r="DC594"/>
      <c r="DD594" s="2323" t="s">
        <v>125</v>
      </c>
      <c r="DE594" s="2327">
        <f>M594</f>
        <v>0</v>
      </c>
      <c r="DF594" s="2327">
        <f>R594</f>
        <v>0</v>
      </c>
      <c r="DG594" s="2327">
        <f>W594</f>
        <v>193</v>
      </c>
      <c r="DH594" s="2327">
        <f>AB594</f>
        <v>302</v>
      </c>
      <c r="DI594" s="2327">
        <f>AG594</f>
        <v>321</v>
      </c>
      <c r="DJ594" s="2327">
        <f>AL594</f>
        <v>421</v>
      </c>
      <c r="DK594" s="2327">
        <f>AQ594</f>
        <v>165</v>
      </c>
      <c r="DL594" s="2327">
        <f>AV594</f>
        <v>253</v>
      </c>
      <c r="DM594" s="2327">
        <f>BA594</f>
        <v>0</v>
      </c>
      <c r="DN594" s="2327">
        <f>BF594</f>
        <v>0</v>
      </c>
      <c r="DO594" s="2327">
        <f>BK594</f>
        <v>0</v>
      </c>
      <c r="DP594" s="2327">
        <f>BP594</f>
        <v>0</v>
      </c>
      <c r="DQ594" s="2327">
        <f>BU594</f>
        <v>0</v>
      </c>
      <c r="DR594" s="2327">
        <f>BZ594</f>
        <v>0</v>
      </c>
      <c r="DS594" s="2327">
        <f>CE594</f>
        <v>0</v>
      </c>
      <c r="DT594" s="2327">
        <f>CJ594</f>
        <v>0</v>
      </c>
      <c r="DU594" s="2327">
        <f>CO594</f>
        <v>0</v>
      </c>
      <c r="DV594" s="2327">
        <f>CT594</f>
        <v>0</v>
      </c>
      <c r="DW594" s="2327">
        <f t="shared" ref="DW594:DY598" si="1072">CY594</f>
        <v>0</v>
      </c>
      <c r="DX594" s="2327">
        <f t="shared" si="1072"/>
        <v>0</v>
      </c>
      <c r="DY594" s="2327">
        <f t="shared" si="1072"/>
        <v>0</v>
      </c>
      <c r="EA594"/>
      <c r="EB594"/>
      <c r="EC594"/>
      <c r="ED594"/>
      <c r="EE594"/>
      <c r="EF594"/>
      <c r="EJ594"/>
      <c r="EK594"/>
      <c r="EL594"/>
      <c r="ER594" s="212"/>
    </row>
    <row r="595" spans="1:148" s="923" customFormat="1" ht="12.75" hidden="1" customHeight="1" outlineLevel="1" x14ac:dyDescent="0.2">
      <c r="A595" s="865" t="s">
        <v>2040</v>
      </c>
      <c r="B595" s="216"/>
      <c r="C595" s="216"/>
      <c r="D595" s="216"/>
      <c r="E595" s="216"/>
      <c r="F595" s="216"/>
      <c r="G595" s="216"/>
      <c r="H595" s="216"/>
      <c r="I595" s="216">
        <v>0</v>
      </c>
      <c r="J595" s="216">
        <v>0</v>
      </c>
      <c r="K595" s="216">
        <v>0</v>
      </c>
      <c r="L595" s="216">
        <v>0</v>
      </c>
      <c r="M595" s="228">
        <f>SUM(I595:L595)</f>
        <v>0</v>
      </c>
      <c r="N595" s="216">
        <v>0</v>
      </c>
      <c r="O595" s="216">
        <v>0</v>
      </c>
      <c r="P595" s="216">
        <v>0</v>
      </c>
      <c r="Q595" s="216">
        <v>0</v>
      </c>
      <c r="R595" s="228">
        <v>0</v>
      </c>
      <c r="S595" s="216">
        <v>11</v>
      </c>
      <c r="T595" s="216">
        <v>96</v>
      </c>
      <c r="U595" s="216">
        <v>87</v>
      </c>
      <c r="V595" s="216">
        <v>133</v>
      </c>
      <c r="W595" s="228">
        <f>SUM(S595:V595)</f>
        <v>327</v>
      </c>
      <c r="X595" s="216">
        <v>127</v>
      </c>
      <c r="Y595" s="216">
        <v>105</v>
      </c>
      <c r="Z595" s="216">
        <v>96</v>
      </c>
      <c r="AA595" s="216">
        <v>78</v>
      </c>
      <c r="AB595" s="228">
        <f>SUM(X595:AA595)</f>
        <v>406</v>
      </c>
      <c r="AC595" s="216">
        <v>0</v>
      </c>
      <c r="AD595" s="216">
        <v>141</v>
      </c>
      <c r="AE595" s="216">
        <v>118</v>
      </c>
      <c r="AF595" s="216">
        <v>160</v>
      </c>
      <c r="AG595" s="228">
        <f>SUM(AC595:AF595)</f>
        <v>419</v>
      </c>
      <c r="AH595" s="216">
        <v>153</v>
      </c>
      <c r="AI595" s="216">
        <v>134</v>
      </c>
      <c r="AJ595" s="216">
        <v>132</v>
      </c>
      <c r="AK595" s="216">
        <v>146</v>
      </c>
      <c r="AL595" s="228">
        <f>SUM(AH595:AK595)</f>
        <v>565</v>
      </c>
      <c r="AM595" s="216">
        <v>84</v>
      </c>
      <c r="AN595" s="216">
        <v>57</v>
      </c>
      <c r="AO595" s="216">
        <v>4</v>
      </c>
      <c r="AP595" s="216">
        <v>96</v>
      </c>
      <c r="AQ595" s="228">
        <f>SUM(AM595:AP595)</f>
        <v>241</v>
      </c>
      <c r="AR595" s="216">
        <v>104</v>
      </c>
      <c r="AS595" s="216">
        <v>123</v>
      </c>
      <c r="AT595" s="216">
        <v>124</v>
      </c>
      <c r="AU595" s="216">
        <v>0</v>
      </c>
      <c r="AV595" s="228">
        <f>SUM(AR595:AU595)</f>
        <v>351</v>
      </c>
      <c r="AW595" s="216">
        <v>0</v>
      </c>
      <c r="AX595" s="216">
        <f>AX594*(1-AX598)</f>
        <v>0</v>
      </c>
      <c r="AY595" s="216">
        <f>AY594*(1-AY598)</f>
        <v>0</v>
      </c>
      <c r="AZ595" s="216">
        <f>AZ594*(1-AZ598)</f>
        <v>0</v>
      </c>
      <c r="BA595" s="228">
        <f>SUM(AW595:AZ595)</f>
        <v>0</v>
      </c>
      <c r="BB595" s="216">
        <f>BB594*(1-BB598)</f>
        <v>0</v>
      </c>
      <c r="BC595" s="216">
        <f>BC594*(1-BC598)</f>
        <v>0</v>
      </c>
      <c r="BD595" s="216">
        <f>BD594*(1-BD598)</f>
        <v>0</v>
      </c>
      <c r="BE595" s="216">
        <f>BE594*(1-BE598)</f>
        <v>0</v>
      </c>
      <c r="BF595" s="228">
        <f>SUM(BB595:BE595)</f>
        <v>0</v>
      </c>
      <c r="BG595" s="216">
        <f>BG594*(1-BG598)</f>
        <v>0</v>
      </c>
      <c r="BH595" s="216">
        <f>BH594*(1-BH598)</f>
        <v>0</v>
      </c>
      <c r="BI595" s="216">
        <f>BI594*(1-BI598)</f>
        <v>0</v>
      </c>
      <c r="BJ595" s="216">
        <f>BJ594*(1-BJ598)</f>
        <v>0</v>
      </c>
      <c r="BK595" s="228">
        <f>SUM(BG595:BJ595)</f>
        <v>0</v>
      </c>
      <c r="BL595" s="216">
        <f>BL594*(1-BL598)</f>
        <v>0</v>
      </c>
      <c r="BM595" s="216">
        <f>BM594*(1-BM598)</f>
        <v>0</v>
      </c>
      <c r="BN595" s="216">
        <f>BN594*(1-BN598)</f>
        <v>0</v>
      </c>
      <c r="BO595" s="216">
        <f>BO594*(1-BO598)</f>
        <v>0</v>
      </c>
      <c r="BP595" s="228">
        <f>SUM(BL595:BO595)</f>
        <v>0</v>
      </c>
      <c r="BQ595" s="216"/>
      <c r="BR595" s="216"/>
      <c r="BS595" s="216"/>
      <c r="BT595" s="216"/>
      <c r="BU595" s="228">
        <f>BU594*(1-BU598)</f>
        <v>0</v>
      </c>
      <c r="BV595" s="216"/>
      <c r="BW595" s="216"/>
      <c r="BX595" s="216"/>
      <c r="BY595" s="216"/>
      <c r="BZ595" s="228"/>
      <c r="CA595" s="228"/>
      <c r="CB595" s="228"/>
      <c r="CC595" s="228"/>
      <c r="CD595" s="228"/>
      <c r="CE595" s="228"/>
      <c r="CF595" s="228"/>
      <c r="CG595" s="228"/>
      <c r="CH595" s="228"/>
      <c r="CI595" s="228"/>
      <c r="CJ595" s="228"/>
      <c r="CK595" s="228"/>
      <c r="CL595" s="228"/>
      <c r="CM595" s="228"/>
      <c r="CN595" s="228"/>
      <c r="CO595" s="228"/>
      <c r="CP595" s="228"/>
      <c r="CQ595" s="228"/>
      <c r="CR595" s="228"/>
      <c r="CS595" s="228"/>
      <c r="CT595" s="228"/>
      <c r="CU595" s="228"/>
      <c r="CV595" s="228"/>
      <c r="CW595" s="228"/>
      <c r="CX595" s="228"/>
      <c r="CY595" s="228"/>
      <c r="CZ595" s="228"/>
      <c r="DA595" s="228"/>
      <c r="DB595"/>
      <c r="DC595"/>
      <c r="DD595" s="2323" t="s">
        <v>2040</v>
      </c>
      <c r="DE595" s="216">
        <f>M595</f>
        <v>0</v>
      </c>
      <c r="DF595" s="216">
        <f>R595</f>
        <v>0</v>
      </c>
      <c r="DG595" s="216">
        <f>W595</f>
        <v>327</v>
      </c>
      <c r="DH595" s="216">
        <f>AB595</f>
        <v>406</v>
      </c>
      <c r="DI595" s="216">
        <f>AG595</f>
        <v>419</v>
      </c>
      <c r="DJ595" s="216">
        <f>AL595</f>
        <v>565</v>
      </c>
      <c r="DK595" s="216">
        <f>AQ595</f>
        <v>241</v>
      </c>
      <c r="DL595" s="216">
        <f>AV595</f>
        <v>351</v>
      </c>
      <c r="DM595" s="216">
        <f>BA595</f>
        <v>0</v>
      </c>
      <c r="DN595" s="216">
        <f>BF595</f>
        <v>0</v>
      </c>
      <c r="DO595" s="216">
        <f>BK595</f>
        <v>0</v>
      </c>
      <c r="DP595" s="216">
        <f>BP595</f>
        <v>0</v>
      </c>
      <c r="DQ595" s="216">
        <f>BU595</f>
        <v>0</v>
      </c>
      <c r="DR595" s="216">
        <f>BZ595</f>
        <v>0</v>
      </c>
      <c r="DS595" s="216">
        <f>CE595</f>
        <v>0</v>
      </c>
      <c r="DT595" s="216">
        <f>CJ595</f>
        <v>0</v>
      </c>
      <c r="DU595" s="216">
        <f>CO595</f>
        <v>0</v>
      </c>
      <c r="DV595" s="216">
        <f>CT595</f>
        <v>0</v>
      </c>
      <c r="DW595" s="216">
        <f t="shared" si="1072"/>
        <v>0</v>
      </c>
      <c r="DX595" s="216">
        <f t="shared" si="1072"/>
        <v>0</v>
      </c>
      <c r="DY595" s="216">
        <f t="shared" si="1072"/>
        <v>0</v>
      </c>
      <c r="EA595"/>
      <c r="EB595"/>
      <c r="EC595"/>
      <c r="ED595"/>
      <c r="EE595"/>
      <c r="EF595"/>
      <c r="EJ595"/>
      <c r="EK595"/>
      <c r="EL595"/>
      <c r="ER595" s="212"/>
    </row>
    <row r="596" spans="1:148" s="923" customFormat="1" ht="12.75" hidden="1" customHeight="1" outlineLevel="1" x14ac:dyDescent="0.2">
      <c r="A596" s="867" t="s">
        <v>778</v>
      </c>
      <c r="B596" s="842"/>
      <c r="C596" s="842"/>
      <c r="D596" s="842"/>
      <c r="E596" s="842"/>
      <c r="F596" s="842"/>
      <c r="G596" s="842"/>
      <c r="H596" s="842"/>
      <c r="I596" s="842">
        <f t="shared" ref="I596:AN596" si="1073">I594-I595</f>
        <v>0</v>
      </c>
      <c r="J596" s="842">
        <f t="shared" si="1073"/>
        <v>0</v>
      </c>
      <c r="K596" s="842">
        <f t="shared" si="1073"/>
        <v>0</v>
      </c>
      <c r="L596" s="842">
        <f t="shared" si="1073"/>
        <v>0</v>
      </c>
      <c r="M596" s="937">
        <f t="shared" si="1073"/>
        <v>0</v>
      </c>
      <c r="N596" s="842">
        <f t="shared" si="1073"/>
        <v>0</v>
      </c>
      <c r="O596" s="842">
        <f t="shared" si="1073"/>
        <v>0</v>
      </c>
      <c r="P596" s="842">
        <f t="shared" si="1073"/>
        <v>0</v>
      </c>
      <c r="Q596" s="842">
        <f t="shared" si="1073"/>
        <v>0</v>
      </c>
      <c r="R596" s="937">
        <f t="shared" si="1073"/>
        <v>0</v>
      </c>
      <c r="S596" s="842">
        <f t="shared" si="1073"/>
        <v>-6</v>
      </c>
      <c r="T596" s="842">
        <f t="shared" si="1073"/>
        <v>-43</v>
      </c>
      <c r="U596" s="842">
        <f t="shared" si="1073"/>
        <v>-32</v>
      </c>
      <c r="V596" s="842">
        <f t="shared" si="1073"/>
        <v>-53</v>
      </c>
      <c r="W596" s="937">
        <f t="shared" si="1073"/>
        <v>-134</v>
      </c>
      <c r="X596" s="842">
        <f t="shared" si="1073"/>
        <v>-59</v>
      </c>
      <c r="Y596" s="842">
        <f t="shared" si="1073"/>
        <v>-42</v>
      </c>
      <c r="Z596" s="842">
        <f t="shared" si="1073"/>
        <v>-3</v>
      </c>
      <c r="AA596" s="842">
        <f t="shared" si="1073"/>
        <v>0</v>
      </c>
      <c r="AB596" s="937">
        <f t="shared" si="1073"/>
        <v>-104</v>
      </c>
      <c r="AC596" s="842">
        <f t="shared" si="1073"/>
        <v>0</v>
      </c>
      <c r="AD596" s="842">
        <f t="shared" si="1073"/>
        <v>-30</v>
      </c>
      <c r="AE596" s="842">
        <f t="shared" si="1073"/>
        <v>-31</v>
      </c>
      <c r="AF596" s="842">
        <f t="shared" si="1073"/>
        <v>-37</v>
      </c>
      <c r="AG596" s="937">
        <f t="shared" si="1073"/>
        <v>-98</v>
      </c>
      <c r="AH596" s="842">
        <f t="shared" si="1073"/>
        <v>-45</v>
      </c>
      <c r="AI596" s="842">
        <f t="shared" si="1073"/>
        <v>-36</v>
      </c>
      <c r="AJ596" s="842">
        <f t="shared" si="1073"/>
        <v>-34</v>
      </c>
      <c r="AK596" s="842">
        <f t="shared" si="1073"/>
        <v>-29</v>
      </c>
      <c r="AL596" s="937">
        <f t="shared" si="1073"/>
        <v>-144</v>
      </c>
      <c r="AM596" s="842">
        <f t="shared" si="1073"/>
        <v>-27</v>
      </c>
      <c r="AN596" s="842">
        <f t="shared" si="1073"/>
        <v>-18</v>
      </c>
      <c r="AO596" s="842">
        <f t="shared" ref="AO596:BU596" si="1074">AO594-AO595</f>
        <v>2</v>
      </c>
      <c r="AP596" s="842">
        <f t="shared" si="1074"/>
        <v>-33</v>
      </c>
      <c r="AQ596" s="937">
        <f t="shared" si="1074"/>
        <v>-76</v>
      </c>
      <c r="AR596" s="842">
        <f t="shared" si="1074"/>
        <v>-36</v>
      </c>
      <c r="AS596" s="842">
        <f t="shared" si="1074"/>
        <v>-35</v>
      </c>
      <c r="AT596" s="842">
        <f t="shared" si="1074"/>
        <v>-27</v>
      </c>
      <c r="AU596" s="842">
        <f t="shared" si="1074"/>
        <v>0</v>
      </c>
      <c r="AV596" s="937">
        <f t="shared" si="1074"/>
        <v>-98</v>
      </c>
      <c r="AW596" s="842">
        <f t="shared" si="1074"/>
        <v>0</v>
      </c>
      <c r="AX596" s="842">
        <f t="shared" si="1074"/>
        <v>0</v>
      </c>
      <c r="AY596" s="842">
        <f t="shared" si="1074"/>
        <v>0</v>
      </c>
      <c r="AZ596" s="842">
        <f t="shared" si="1074"/>
        <v>0</v>
      </c>
      <c r="BA596" s="937">
        <f t="shared" si="1074"/>
        <v>0</v>
      </c>
      <c r="BB596" s="842">
        <f t="shared" si="1074"/>
        <v>0</v>
      </c>
      <c r="BC596" s="842">
        <f t="shared" si="1074"/>
        <v>0</v>
      </c>
      <c r="BD596" s="842">
        <f t="shared" si="1074"/>
        <v>0</v>
      </c>
      <c r="BE596" s="842">
        <f t="shared" si="1074"/>
        <v>0</v>
      </c>
      <c r="BF596" s="937">
        <f t="shared" si="1074"/>
        <v>0</v>
      </c>
      <c r="BG596" s="842">
        <f t="shared" si="1074"/>
        <v>0</v>
      </c>
      <c r="BH596" s="842">
        <f t="shared" si="1074"/>
        <v>0</v>
      </c>
      <c r="BI596" s="842">
        <f t="shared" si="1074"/>
        <v>0</v>
      </c>
      <c r="BJ596" s="842">
        <f t="shared" si="1074"/>
        <v>0</v>
      </c>
      <c r="BK596" s="937">
        <f t="shared" si="1074"/>
        <v>0</v>
      </c>
      <c r="BL596" s="842">
        <f t="shared" si="1074"/>
        <v>0</v>
      </c>
      <c r="BM596" s="842">
        <f t="shared" si="1074"/>
        <v>0</v>
      </c>
      <c r="BN596" s="842">
        <f t="shared" si="1074"/>
        <v>0</v>
      </c>
      <c r="BO596" s="842">
        <f t="shared" si="1074"/>
        <v>0</v>
      </c>
      <c r="BP596" s="937">
        <f t="shared" si="1074"/>
        <v>0</v>
      </c>
      <c r="BQ596" s="842"/>
      <c r="BR596" s="842"/>
      <c r="BS596" s="842"/>
      <c r="BT596" s="842"/>
      <c r="BU596" s="937">
        <f t="shared" si="1074"/>
        <v>0</v>
      </c>
      <c r="BV596" s="842"/>
      <c r="BW596" s="842"/>
      <c r="BX596" s="842"/>
      <c r="BY596" s="842"/>
      <c r="BZ596" s="937"/>
      <c r="CA596" s="937"/>
      <c r="CB596" s="937"/>
      <c r="CC596" s="937"/>
      <c r="CD596" s="937"/>
      <c r="CE596" s="937"/>
      <c r="CF596" s="937"/>
      <c r="CG596" s="937"/>
      <c r="CH596" s="937"/>
      <c r="CI596" s="937"/>
      <c r="CJ596" s="937"/>
      <c r="CK596" s="937"/>
      <c r="CL596" s="937"/>
      <c r="CM596" s="937"/>
      <c r="CN596" s="937"/>
      <c r="CO596" s="937"/>
      <c r="CP596" s="937"/>
      <c r="CQ596" s="937"/>
      <c r="CR596" s="937"/>
      <c r="CS596" s="937"/>
      <c r="CT596" s="937"/>
      <c r="CU596" s="937"/>
      <c r="CV596" s="937"/>
      <c r="CW596" s="937"/>
      <c r="CX596" s="937"/>
      <c r="CY596" s="937"/>
      <c r="CZ596" s="937"/>
      <c r="DA596" s="937"/>
      <c r="DB596"/>
      <c r="DC596"/>
      <c r="DD596" s="867" t="s">
        <v>778</v>
      </c>
      <c r="DE596" s="842">
        <f>M596</f>
        <v>0</v>
      </c>
      <c r="DF596" s="842">
        <f>R596</f>
        <v>0</v>
      </c>
      <c r="DG596" s="842">
        <f>W596</f>
        <v>-134</v>
      </c>
      <c r="DH596" s="842">
        <f>AB596</f>
        <v>-104</v>
      </c>
      <c r="DI596" s="842">
        <f>AG596</f>
        <v>-98</v>
      </c>
      <c r="DJ596" s="842">
        <f>AL596</f>
        <v>-144</v>
      </c>
      <c r="DK596" s="842">
        <f>AQ596</f>
        <v>-76</v>
      </c>
      <c r="DL596" s="842">
        <f>AV596</f>
        <v>-98</v>
      </c>
      <c r="DM596" s="842">
        <f>BA596</f>
        <v>0</v>
      </c>
      <c r="DN596" s="842">
        <f>BF596</f>
        <v>0</v>
      </c>
      <c r="DO596" s="842">
        <f>BK596</f>
        <v>0</v>
      </c>
      <c r="DP596" s="842">
        <f>BP596</f>
        <v>0</v>
      </c>
      <c r="DQ596" s="842">
        <f>BU596</f>
        <v>0</v>
      </c>
      <c r="DR596" s="842">
        <f>BZ596</f>
        <v>0</v>
      </c>
      <c r="DS596" s="842">
        <f>CE596</f>
        <v>0</v>
      </c>
      <c r="DT596" s="842">
        <f>CJ596</f>
        <v>0</v>
      </c>
      <c r="DU596" s="842">
        <f>CO596</f>
        <v>0</v>
      </c>
      <c r="DV596" s="842">
        <f>CT596</f>
        <v>0</v>
      </c>
      <c r="DW596" s="842">
        <f t="shared" si="1072"/>
        <v>0</v>
      </c>
      <c r="DX596" s="842">
        <f t="shared" si="1072"/>
        <v>0</v>
      </c>
      <c r="DY596" s="842">
        <f t="shared" si="1072"/>
        <v>0</v>
      </c>
      <c r="EA596"/>
      <c r="EB596"/>
      <c r="EC596"/>
      <c r="ED596"/>
      <c r="EE596"/>
      <c r="EF596"/>
      <c r="EJ596"/>
      <c r="EK596"/>
      <c r="EL596"/>
      <c r="ER596" s="212"/>
    </row>
    <row r="597" spans="1:148" s="923" customFormat="1" ht="12.75" hidden="1" customHeight="1" outlineLevel="1" x14ac:dyDescent="0.2">
      <c r="A597" s="865" t="s">
        <v>779</v>
      </c>
      <c r="B597" s="215"/>
      <c r="C597" s="215"/>
      <c r="D597" s="215"/>
      <c r="E597" s="215"/>
      <c r="F597" s="215"/>
      <c r="G597" s="215"/>
      <c r="H597" s="215"/>
      <c r="I597" s="215"/>
      <c r="J597" s="215"/>
      <c r="K597" s="215"/>
      <c r="L597" s="215"/>
      <c r="M597" s="223"/>
      <c r="N597" s="215"/>
      <c r="O597" s="215"/>
      <c r="P597" s="215"/>
      <c r="Q597" s="215"/>
      <c r="R597" s="223"/>
      <c r="S597" s="215"/>
      <c r="T597" s="215">
        <f>+T594/S594-1</f>
        <v>9.6</v>
      </c>
      <c r="U597" s="215">
        <f>+U594/T594-1</f>
        <v>3.7735849056603765E-2</v>
      </c>
      <c r="V597" s="215">
        <f>+V594/U594-1</f>
        <v>0.45454545454545459</v>
      </c>
      <c r="W597" s="223"/>
      <c r="X597" s="215">
        <f>+X594/V594-1</f>
        <v>-0.15000000000000002</v>
      </c>
      <c r="Y597" s="215">
        <f>+Y594/X594-1</f>
        <v>-7.3529411764705843E-2</v>
      </c>
      <c r="Z597" s="215">
        <f>+Z594/Y594-1</f>
        <v>0.47619047619047628</v>
      </c>
      <c r="AA597" s="215">
        <f>+AA594/Z594-1</f>
        <v>-0.16129032258064513</v>
      </c>
      <c r="AB597" s="223">
        <f>AB594/W594-1</f>
        <v>0.56476683937823835</v>
      </c>
      <c r="AC597" s="215">
        <f>+AC594/AB594-1</f>
        <v>-1</v>
      </c>
      <c r="AD597" s="215" t="s">
        <v>1666</v>
      </c>
      <c r="AE597" s="215">
        <f>+AE594/AD594-1</f>
        <v>-0.21621621621621623</v>
      </c>
      <c r="AF597" s="215">
        <f>+AF594/AE594-1</f>
        <v>0.4137931034482758</v>
      </c>
      <c r="AG597" s="223">
        <f>AG594/AB594-1</f>
        <v>6.29139072847682E-2</v>
      </c>
      <c r="AH597" s="215">
        <f>+AH594/AG594-1</f>
        <v>-0.66355140186915884</v>
      </c>
      <c r="AI597" s="215">
        <f>+AI594/AH594-1</f>
        <v>-9.259259259259256E-2</v>
      </c>
      <c r="AJ597" s="215">
        <f>+AJ594/AI594-1</f>
        <v>0</v>
      </c>
      <c r="AK597" s="215">
        <f>+AK594/AJ594-1</f>
        <v>0.19387755102040827</v>
      </c>
      <c r="AL597" s="223">
        <f>AL594/AG594-1</f>
        <v>0.31152647975077885</v>
      </c>
      <c r="AM597" s="215">
        <f>+AM594/AL594-1</f>
        <v>-0.86460807600950118</v>
      </c>
      <c r="AN597" s="215">
        <f>+AN594/AM594-1</f>
        <v>-0.31578947368421051</v>
      </c>
      <c r="AO597" s="215">
        <f>+AO594/AN594-1</f>
        <v>-0.84615384615384615</v>
      </c>
      <c r="AP597" s="215">
        <f>+AP594/AO594-1</f>
        <v>9.5</v>
      </c>
      <c r="AQ597" s="223">
        <f>AQ594/AL594-1</f>
        <v>-0.60807600950118768</v>
      </c>
      <c r="AR597" s="215">
        <f>+AR594/AQ594-1</f>
        <v>-0.58787878787878789</v>
      </c>
      <c r="AS597" s="215">
        <f>+AS594/AR594-1</f>
        <v>0.29411764705882359</v>
      </c>
      <c r="AT597" s="215">
        <f>+AT594/AS594-1</f>
        <v>0.10227272727272729</v>
      </c>
      <c r="AU597" s="215">
        <v>0</v>
      </c>
      <c r="AV597" s="223">
        <f>AV594/AQ594-1</f>
        <v>0.53333333333333344</v>
      </c>
      <c r="AW597" s="215">
        <v>0</v>
      </c>
      <c r="AX597" s="215">
        <v>0</v>
      </c>
      <c r="AY597" s="215">
        <v>0</v>
      </c>
      <c r="AZ597" s="215">
        <v>0</v>
      </c>
      <c r="BA597" s="223">
        <f>BA594/AV594-1</f>
        <v>-1</v>
      </c>
      <c r="BB597" s="215">
        <v>0</v>
      </c>
      <c r="BC597" s="215">
        <v>0</v>
      </c>
      <c r="BD597" s="215">
        <v>0</v>
      </c>
      <c r="BE597" s="215">
        <v>0</v>
      </c>
      <c r="BF597" s="223">
        <v>0</v>
      </c>
      <c r="BG597" s="215">
        <v>0</v>
      </c>
      <c r="BH597" s="215">
        <v>0</v>
      </c>
      <c r="BI597" s="215">
        <v>0</v>
      </c>
      <c r="BJ597" s="215">
        <v>0</v>
      </c>
      <c r="BK597" s="223">
        <v>0</v>
      </c>
      <c r="BL597" s="215">
        <v>0</v>
      </c>
      <c r="BM597" s="215">
        <v>0</v>
      </c>
      <c r="BN597" s="215">
        <v>0</v>
      </c>
      <c r="BO597" s="215">
        <v>0</v>
      </c>
      <c r="BP597" s="223">
        <v>0</v>
      </c>
      <c r="BQ597" s="215"/>
      <c r="BR597" s="215"/>
      <c r="BS597" s="215"/>
      <c r="BT597" s="215"/>
      <c r="BU597" s="223">
        <v>0</v>
      </c>
      <c r="BV597" s="215"/>
      <c r="BW597" s="215"/>
      <c r="BX597" s="215"/>
      <c r="BY597" s="215"/>
      <c r="BZ597" s="223"/>
      <c r="CA597" s="223"/>
      <c r="CB597" s="223"/>
      <c r="CC597" s="223"/>
      <c r="CD597" s="223"/>
      <c r="CE597" s="223"/>
      <c r="CF597" s="223"/>
      <c r="CG597" s="223"/>
      <c r="CH597" s="223"/>
      <c r="CI597" s="223"/>
      <c r="CJ597" s="223"/>
      <c r="CK597" s="223"/>
      <c r="CL597" s="223"/>
      <c r="CM597" s="223"/>
      <c r="CN597" s="223"/>
      <c r="CO597" s="223"/>
      <c r="CP597" s="223"/>
      <c r="CQ597" s="223"/>
      <c r="CR597" s="223"/>
      <c r="CS597" s="223"/>
      <c r="CT597" s="223"/>
      <c r="CU597" s="223"/>
      <c r="CV597" s="223"/>
      <c r="CW597" s="223"/>
      <c r="CX597" s="223"/>
      <c r="CY597" s="223"/>
      <c r="CZ597" s="223"/>
      <c r="DA597" s="223"/>
      <c r="DB597"/>
      <c r="DC597"/>
      <c r="DD597" s="2323" t="s">
        <v>779</v>
      </c>
      <c r="DE597" s="2327">
        <f>M597</f>
        <v>0</v>
      </c>
      <c r="DF597" s="2327">
        <f>R597</f>
        <v>0</v>
      </c>
      <c r="DG597" s="2327">
        <f>W597</f>
        <v>0</v>
      </c>
      <c r="DH597" s="2327">
        <f>AB597</f>
        <v>0.56476683937823835</v>
      </c>
      <c r="DI597" s="2327">
        <f>AG597</f>
        <v>6.29139072847682E-2</v>
      </c>
      <c r="DJ597" s="2327">
        <f>AL597</f>
        <v>0.31152647975077885</v>
      </c>
      <c r="DK597" s="2327">
        <f>AQ597</f>
        <v>-0.60807600950118768</v>
      </c>
      <c r="DL597" s="2327">
        <f>AV597</f>
        <v>0.53333333333333344</v>
      </c>
      <c r="DM597" s="2327">
        <f>BA597</f>
        <v>-1</v>
      </c>
      <c r="DN597" s="2327">
        <f>BF597</f>
        <v>0</v>
      </c>
      <c r="DO597" s="2327">
        <f>BK597</f>
        <v>0</v>
      </c>
      <c r="DP597" s="2327">
        <f>BP597</f>
        <v>0</v>
      </c>
      <c r="DQ597" s="2327">
        <f>BU597</f>
        <v>0</v>
      </c>
      <c r="DR597" s="2327">
        <f>BZ597</f>
        <v>0</v>
      </c>
      <c r="DS597" s="2327">
        <f>CE597</f>
        <v>0</v>
      </c>
      <c r="DT597" s="2327">
        <f>CJ597</f>
        <v>0</v>
      </c>
      <c r="DU597" s="2327">
        <f>CO597</f>
        <v>0</v>
      </c>
      <c r="DV597" s="2327">
        <f>CT597</f>
        <v>0</v>
      </c>
      <c r="DW597" s="2327">
        <f t="shared" si="1072"/>
        <v>0</v>
      </c>
      <c r="DX597" s="2327">
        <f t="shared" si="1072"/>
        <v>0</v>
      </c>
      <c r="DY597" s="2327">
        <f t="shared" si="1072"/>
        <v>0</v>
      </c>
      <c r="EA597"/>
      <c r="EB597"/>
      <c r="EC597"/>
      <c r="ED597"/>
      <c r="EE597"/>
      <c r="EF597"/>
      <c r="EJ597"/>
      <c r="EK597"/>
      <c r="EL597"/>
      <c r="ER597" s="212"/>
    </row>
    <row r="598" spans="1:148" s="923" customFormat="1" ht="12.75" hidden="1" customHeight="1" outlineLevel="1" x14ac:dyDescent="0.2">
      <c r="A598" s="865" t="s">
        <v>801</v>
      </c>
      <c r="B598" s="215"/>
      <c r="C598" s="215"/>
      <c r="D598" s="215"/>
      <c r="E598" s="215"/>
      <c r="F598" s="215"/>
      <c r="G598" s="215"/>
      <c r="H598" s="215"/>
      <c r="I598" s="215"/>
      <c r="J598" s="215"/>
      <c r="K598" s="215"/>
      <c r="L598" s="215"/>
      <c r="M598" s="223"/>
      <c r="N598" s="215"/>
      <c r="O598" s="215"/>
      <c r="P598" s="215"/>
      <c r="Q598" s="215"/>
      <c r="R598" s="223"/>
      <c r="S598" s="215">
        <f t="shared" ref="S598:AB598" si="1075">S596/S594</f>
        <v>-1.2</v>
      </c>
      <c r="T598" s="215">
        <f t="shared" si="1075"/>
        <v>-0.81132075471698117</v>
      </c>
      <c r="U598" s="215">
        <f t="shared" si="1075"/>
        <v>-0.58181818181818179</v>
      </c>
      <c r="V598" s="215">
        <f t="shared" si="1075"/>
        <v>-0.66249999999999998</v>
      </c>
      <c r="W598" s="223">
        <f t="shared" si="1075"/>
        <v>-0.69430051813471505</v>
      </c>
      <c r="X598" s="215">
        <f t="shared" si="1075"/>
        <v>-0.86764705882352944</v>
      </c>
      <c r="Y598" s="215">
        <f t="shared" si="1075"/>
        <v>-0.66666666666666663</v>
      </c>
      <c r="Z598" s="215">
        <f t="shared" si="1075"/>
        <v>-3.2258064516129031E-2</v>
      </c>
      <c r="AA598" s="215">
        <f t="shared" si="1075"/>
        <v>0</v>
      </c>
      <c r="AB598" s="223">
        <f t="shared" si="1075"/>
        <v>-0.3443708609271523</v>
      </c>
      <c r="AC598" s="215" t="s">
        <v>1666</v>
      </c>
      <c r="AD598" s="215">
        <f t="shared" ref="AD598:AT598" si="1076">AD596/AD594</f>
        <v>-0.27027027027027029</v>
      </c>
      <c r="AE598" s="215">
        <f t="shared" si="1076"/>
        <v>-0.35632183908045978</v>
      </c>
      <c r="AF598" s="215">
        <f t="shared" si="1076"/>
        <v>-0.30081300813008133</v>
      </c>
      <c r="AG598" s="223">
        <f t="shared" si="1076"/>
        <v>-0.30529595015576322</v>
      </c>
      <c r="AH598" s="215">
        <f t="shared" si="1076"/>
        <v>-0.41666666666666669</v>
      </c>
      <c r="AI598" s="215">
        <f t="shared" si="1076"/>
        <v>-0.36734693877551022</v>
      </c>
      <c r="AJ598" s="215">
        <f t="shared" si="1076"/>
        <v>-0.34693877551020408</v>
      </c>
      <c r="AK598" s="215">
        <f t="shared" si="1076"/>
        <v>-0.24786324786324787</v>
      </c>
      <c r="AL598" s="223">
        <f t="shared" si="1076"/>
        <v>-0.34204275534441803</v>
      </c>
      <c r="AM598" s="215">
        <f t="shared" si="1076"/>
        <v>-0.47368421052631576</v>
      </c>
      <c r="AN598" s="215">
        <f t="shared" si="1076"/>
        <v>-0.46153846153846156</v>
      </c>
      <c r="AO598" s="215">
        <f t="shared" si="1076"/>
        <v>0.33333333333333331</v>
      </c>
      <c r="AP598" s="215">
        <f t="shared" si="1076"/>
        <v>-0.52380952380952384</v>
      </c>
      <c r="AQ598" s="223">
        <f t="shared" si="1076"/>
        <v>-0.46060606060606063</v>
      </c>
      <c r="AR598" s="215">
        <f t="shared" si="1076"/>
        <v>-0.52941176470588236</v>
      </c>
      <c r="AS598" s="215">
        <f t="shared" si="1076"/>
        <v>-0.39772727272727271</v>
      </c>
      <c r="AT598" s="215">
        <f t="shared" si="1076"/>
        <v>-0.27835051546391754</v>
      </c>
      <c r="AU598" s="215">
        <v>0</v>
      </c>
      <c r="AV598" s="223"/>
      <c r="AW598" s="215">
        <v>0</v>
      </c>
      <c r="AX598" s="215">
        <v>0</v>
      </c>
      <c r="AY598" s="215">
        <v>0</v>
      </c>
      <c r="AZ598" s="215">
        <v>0</v>
      </c>
      <c r="BA598" s="223"/>
      <c r="BB598" s="215">
        <f>AW598</f>
        <v>0</v>
      </c>
      <c r="BC598" s="215">
        <f>AX598</f>
        <v>0</v>
      </c>
      <c r="BD598" s="215">
        <f>AY598</f>
        <v>0</v>
      </c>
      <c r="BE598" s="215">
        <f>AZ598</f>
        <v>0</v>
      </c>
      <c r="BF598" s="223"/>
      <c r="BG598" s="215">
        <f>BB598</f>
        <v>0</v>
      </c>
      <c r="BH598" s="215">
        <f>BC598</f>
        <v>0</v>
      </c>
      <c r="BI598" s="215">
        <f>BD598</f>
        <v>0</v>
      </c>
      <c r="BJ598" s="215">
        <f>BE598</f>
        <v>0</v>
      </c>
      <c r="BK598" s="223"/>
      <c r="BL598" s="215">
        <f>BG598</f>
        <v>0</v>
      </c>
      <c r="BM598" s="215">
        <f>BH598</f>
        <v>0</v>
      </c>
      <c r="BN598" s="215">
        <f>BI598</f>
        <v>0</v>
      </c>
      <c r="BO598" s="215">
        <f>BJ598</f>
        <v>0</v>
      </c>
      <c r="BP598" s="223"/>
      <c r="BQ598" s="215"/>
      <c r="BR598" s="215"/>
      <c r="BS598" s="215"/>
      <c r="BT598" s="215"/>
      <c r="BU598" s="223">
        <f>+BP598</f>
        <v>0</v>
      </c>
      <c r="BV598" s="215"/>
      <c r="BW598" s="215"/>
      <c r="BX598" s="215"/>
      <c r="BY598" s="215"/>
      <c r="BZ598" s="223"/>
      <c r="CA598" s="223"/>
      <c r="CB598" s="223"/>
      <c r="CC598" s="223"/>
      <c r="CD598" s="223"/>
      <c r="CE598" s="223"/>
      <c r="CF598" s="223"/>
      <c r="CG598" s="223"/>
      <c r="CH598" s="223"/>
      <c r="CI598" s="223"/>
      <c r="CJ598" s="223"/>
      <c r="CK598" s="223"/>
      <c r="CL598" s="223"/>
      <c r="CM598" s="223"/>
      <c r="CN598" s="223"/>
      <c r="CO598" s="223"/>
      <c r="CP598" s="223"/>
      <c r="CQ598" s="223"/>
      <c r="CR598" s="223"/>
      <c r="CS598" s="223"/>
      <c r="CT598" s="223"/>
      <c r="CU598" s="223"/>
      <c r="CV598" s="223"/>
      <c r="CW598" s="223"/>
      <c r="CX598" s="223"/>
      <c r="CY598" s="223"/>
      <c r="CZ598" s="223"/>
      <c r="DA598" s="223"/>
      <c r="DB598"/>
      <c r="DC598"/>
      <c r="DD598" s="2323" t="s">
        <v>801</v>
      </c>
      <c r="DE598" s="2327">
        <f>M598</f>
        <v>0</v>
      </c>
      <c r="DF598" s="2327">
        <f>R598</f>
        <v>0</v>
      </c>
      <c r="DG598" s="2327">
        <f>W598</f>
        <v>-0.69430051813471505</v>
      </c>
      <c r="DH598" s="2327">
        <f>AB598</f>
        <v>-0.3443708609271523</v>
      </c>
      <c r="DI598" s="2327">
        <f>AG598</f>
        <v>-0.30529595015576322</v>
      </c>
      <c r="DJ598" s="2327">
        <f>AL598</f>
        <v>-0.34204275534441803</v>
      </c>
      <c r="DK598" s="2327">
        <f>AQ598</f>
        <v>-0.46060606060606063</v>
      </c>
      <c r="DL598" s="2327">
        <f>AV598</f>
        <v>0</v>
      </c>
      <c r="DM598" s="2327">
        <f>BA598</f>
        <v>0</v>
      </c>
      <c r="DN598" s="2327">
        <f>BF598</f>
        <v>0</v>
      </c>
      <c r="DO598" s="2327">
        <f>BK598</f>
        <v>0</v>
      </c>
      <c r="DP598" s="2327">
        <f>BP598</f>
        <v>0</v>
      </c>
      <c r="DQ598" s="2327">
        <f>BU598</f>
        <v>0</v>
      </c>
      <c r="DR598" s="2327">
        <f>BZ598</f>
        <v>0</v>
      </c>
      <c r="DS598" s="2327">
        <f>CE598</f>
        <v>0</v>
      </c>
      <c r="DT598" s="2327">
        <f>CJ598</f>
        <v>0</v>
      </c>
      <c r="DU598" s="2327">
        <f>CO598</f>
        <v>0</v>
      </c>
      <c r="DV598" s="2327">
        <f>CT598</f>
        <v>0</v>
      </c>
      <c r="DW598" s="2327">
        <f t="shared" si="1072"/>
        <v>0</v>
      </c>
      <c r="DX598" s="2327">
        <f t="shared" si="1072"/>
        <v>0</v>
      </c>
      <c r="DY598" s="2327">
        <f t="shared" si="1072"/>
        <v>0</v>
      </c>
      <c r="EA598"/>
      <c r="EB598"/>
      <c r="EC598"/>
      <c r="ED598"/>
      <c r="EE598"/>
      <c r="EF598"/>
      <c r="EJ598"/>
      <c r="EK598"/>
      <c r="EL598"/>
      <c r="ER598" s="212"/>
    </row>
    <row r="599" spans="1:148" s="923" customFormat="1" ht="12.75" hidden="1" customHeight="1" outlineLevel="1" x14ac:dyDescent="0.2">
      <c r="A599" s="865"/>
      <c r="B599" s="215"/>
      <c r="C599" s="215"/>
      <c r="D599" s="215"/>
      <c r="E599" s="215"/>
      <c r="F599" s="215"/>
      <c r="G599" s="215"/>
      <c r="H599" s="215"/>
      <c r="I599" s="215"/>
      <c r="J599" s="215"/>
      <c r="K599" s="215"/>
      <c r="L599" s="215"/>
      <c r="M599" s="215"/>
      <c r="N599" s="215"/>
      <c r="O599" s="215"/>
      <c r="P599" s="215"/>
      <c r="Q599" s="215"/>
      <c r="R599" s="215"/>
      <c r="S599" s="215"/>
      <c r="T599" s="215"/>
      <c r="U599" s="215"/>
      <c r="V599" s="215"/>
      <c r="W599" s="215"/>
      <c r="X599" s="215"/>
      <c r="Y599" s="215"/>
      <c r="Z599" s="215"/>
      <c r="AA599" s="215"/>
      <c r="AB599" s="215"/>
      <c r="AC599" s="215"/>
      <c r="AD599" s="215"/>
      <c r="AE599" s="215"/>
      <c r="AF599" s="215"/>
      <c r="AG599" s="215"/>
      <c r="AH599" s="215"/>
      <c r="AI599" s="215"/>
      <c r="AJ599" s="215"/>
      <c r="AK599" s="215"/>
      <c r="AL599" s="215"/>
      <c r="AM599" s="215"/>
      <c r="AN599" s="215"/>
      <c r="AO599" s="215"/>
      <c r="AP599" s="215"/>
      <c r="AQ599" s="215"/>
      <c r="AR599" s="215"/>
      <c r="AS599" s="215"/>
      <c r="AT599" s="215"/>
      <c r="AU599" s="215"/>
      <c r="AV599" s="215"/>
      <c r="AW599" s="215"/>
      <c r="AX599" s="215"/>
      <c r="AY599" s="215"/>
      <c r="AZ599" s="215"/>
      <c r="BA599" s="215"/>
      <c r="BB599" s="215"/>
      <c r="BC599" s="215"/>
      <c r="BD599" s="215"/>
      <c r="BE599" s="215"/>
      <c r="BF599" s="215"/>
      <c r="BG599" s="215"/>
      <c r="BH599" s="215"/>
      <c r="BI599" s="215"/>
      <c r="BJ599" s="215"/>
      <c r="BK599" s="215"/>
      <c r="BL599" s="215"/>
      <c r="BM599" s="215"/>
      <c r="BN599" s="215"/>
      <c r="BO599" s="215"/>
      <c r="BP599" s="215"/>
      <c r="BQ599" s="215"/>
      <c r="BR599" s="215"/>
      <c r="BS599" s="215"/>
      <c r="BT599" s="215"/>
      <c r="BU599" s="215"/>
      <c r="BV599" s="215"/>
      <c r="BW599" s="215"/>
      <c r="BX599" s="215"/>
      <c r="BY599" s="215"/>
      <c r="BZ599" s="215"/>
      <c r="CA599" s="215"/>
      <c r="CB599" s="215"/>
      <c r="CC599" s="215"/>
      <c r="CD599" s="215"/>
      <c r="CE599" s="215"/>
      <c r="CF599" s="215"/>
      <c r="CG599" s="215"/>
      <c r="CH599" s="215"/>
      <c r="CI599" s="215"/>
      <c r="CJ599" s="215"/>
      <c r="CK599" s="215"/>
      <c r="CL599" s="215"/>
      <c r="CM599" s="215"/>
      <c r="CN599" s="215"/>
      <c r="CO599" s="215"/>
      <c r="CP599" s="215"/>
      <c r="CQ599" s="215"/>
      <c r="CR599" s="215"/>
      <c r="CS599" s="215"/>
      <c r="CT599" s="215"/>
      <c r="CU599" s="215"/>
      <c r="CV599" s="215"/>
      <c r="CW599" s="215"/>
      <c r="CX599" s="215"/>
      <c r="CY599" s="215"/>
      <c r="CZ599" s="215"/>
      <c r="DA599" s="215"/>
      <c r="DB599"/>
      <c r="DC599"/>
      <c r="DD599" s="2323"/>
      <c r="DE599" s="2327"/>
      <c r="DF599" s="2327"/>
      <c r="DG599" s="2327"/>
      <c r="DH599" s="2327"/>
      <c r="DI599" s="2327"/>
      <c r="DJ599" s="2327"/>
      <c r="DK599" s="2327"/>
      <c r="DL599" s="2327"/>
      <c r="DM599" s="2327"/>
      <c r="DN599" s="2327"/>
      <c r="DO599" s="2327"/>
      <c r="DP599" s="2327"/>
      <c r="DQ599" s="2327"/>
      <c r="DR599" s="2327"/>
      <c r="DS599" s="2327"/>
      <c r="DT599" s="2327"/>
      <c r="DU599" s="2327"/>
      <c r="DV599" s="2327"/>
      <c r="DW599" s="2327"/>
      <c r="DX599" s="2327"/>
      <c r="DY599" s="2327"/>
      <c r="EA599"/>
      <c r="EB599"/>
      <c r="EC599"/>
      <c r="ED599"/>
      <c r="EE599"/>
      <c r="EF599"/>
      <c r="EJ599"/>
      <c r="EK599"/>
      <c r="EL599"/>
      <c r="ER599" s="212"/>
    </row>
    <row r="600" spans="1:148" s="923" customFormat="1" ht="12.75" hidden="1" customHeight="1" outlineLevel="1" x14ac:dyDescent="0.2">
      <c r="A600" s="865" t="s">
        <v>780</v>
      </c>
      <c r="B600" s="215"/>
      <c r="C600" s="215"/>
      <c r="D600" s="215"/>
      <c r="E600" s="215"/>
      <c r="F600" s="215"/>
      <c r="G600" s="215"/>
      <c r="H600" s="215"/>
      <c r="I600" s="215">
        <v>0</v>
      </c>
      <c r="J600" s="215">
        <v>0</v>
      </c>
      <c r="K600" s="215">
        <v>0</v>
      </c>
      <c r="L600" s="215">
        <v>0</v>
      </c>
      <c r="M600" s="214">
        <f>SUM(I600:L600)</f>
        <v>0</v>
      </c>
      <c r="N600" s="215">
        <v>0</v>
      </c>
      <c r="O600" s="215">
        <v>0</v>
      </c>
      <c r="P600" s="215">
        <v>0</v>
      </c>
      <c r="Q600" s="215">
        <v>0</v>
      </c>
      <c r="R600" s="214">
        <v>0</v>
      </c>
      <c r="S600" s="215">
        <v>0</v>
      </c>
      <c r="T600" s="215">
        <v>0</v>
      </c>
      <c r="U600" s="215">
        <v>0</v>
      </c>
      <c r="V600" s="215">
        <v>0</v>
      </c>
      <c r="W600" s="214">
        <f>SUM(S600:V600)</f>
        <v>0</v>
      </c>
      <c r="X600" s="215">
        <v>0</v>
      </c>
      <c r="Y600" s="215">
        <v>0</v>
      </c>
      <c r="Z600" s="215">
        <v>0</v>
      </c>
      <c r="AA600" s="215">
        <v>10</v>
      </c>
      <c r="AB600" s="214">
        <f>SUM(X600:AA600)</f>
        <v>10</v>
      </c>
      <c r="AC600" s="215">
        <v>-28</v>
      </c>
      <c r="AD600" s="215">
        <v>0</v>
      </c>
      <c r="AE600" s="215">
        <v>0</v>
      </c>
      <c r="AF600" s="215">
        <v>0</v>
      </c>
      <c r="AG600" s="214">
        <f>SUM(AC600:AF600)</f>
        <v>-28</v>
      </c>
      <c r="AH600" s="215">
        <v>0</v>
      </c>
      <c r="AI600" s="215">
        <v>0</v>
      </c>
      <c r="AJ600" s="215">
        <v>0</v>
      </c>
      <c r="AK600" s="215">
        <v>0</v>
      </c>
      <c r="AL600" s="214">
        <f>SUM(AH600:AK600)</f>
        <v>0</v>
      </c>
      <c r="AM600" s="215">
        <v>0</v>
      </c>
      <c r="AN600" s="215">
        <v>0</v>
      </c>
      <c r="AO600" s="215">
        <v>0</v>
      </c>
      <c r="AP600" s="215">
        <v>0</v>
      </c>
      <c r="AQ600" s="214">
        <f>SUM(AK600:AP600)</f>
        <v>0</v>
      </c>
      <c r="AR600" s="215">
        <v>0</v>
      </c>
      <c r="AS600" s="215">
        <v>0</v>
      </c>
      <c r="AT600" s="215">
        <v>0</v>
      </c>
      <c r="AU600" s="215">
        <v>0</v>
      </c>
      <c r="AV600" s="214">
        <f>SUM(AP600:AU600)</f>
        <v>0</v>
      </c>
      <c r="AW600" s="215">
        <v>0</v>
      </c>
      <c r="AX600" s="215">
        <v>0</v>
      </c>
      <c r="AY600" s="215">
        <v>0</v>
      </c>
      <c r="AZ600" s="215">
        <v>0</v>
      </c>
      <c r="BA600" s="214">
        <f>SUM(AU600:AZ600)</f>
        <v>0</v>
      </c>
      <c r="BB600" s="215">
        <v>0</v>
      </c>
      <c r="BC600" s="215">
        <v>0</v>
      </c>
      <c r="BD600" s="215">
        <v>0</v>
      </c>
      <c r="BE600" s="215">
        <v>0</v>
      </c>
      <c r="BF600" s="214">
        <f>SUM(AZ600:BE600)</f>
        <v>0</v>
      </c>
      <c r="BG600" s="215">
        <v>0</v>
      </c>
      <c r="BH600" s="215">
        <v>0</v>
      </c>
      <c r="BI600" s="215">
        <v>0</v>
      </c>
      <c r="BJ600" s="215">
        <v>0</v>
      </c>
      <c r="BK600" s="214">
        <f>SUM(BE600:BJ600)</f>
        <v>0</v>
      </c>
      <c r="BL600" s="215">
        <v>0</v>
      </c>
      <c r="BM600" s="215">
        <v>0</v>
      </c>
      <c r="BN600" s="215">
        <v>0</v>
      </c>
      <c r="BO600" s="215">
        <v>0</v>
      </c>
      <c r="BP600" s="214">
        <f>SUM(BJ600:BO600)</f>
        <v>0</v>
      </c>
      <c r="BQ600" s="215"/>
      <c r="BR600" s="215"/>
      <c r="BS600" s="215"/>
      <c r="BT600" s="215"/>
      <c r="BU600" s="214">
        <v>0</v>
      </c>
      <c r="BV600" s="215"/>
      <c r="BW600" s="215"/>
      <c r="BX600" s="215"/>
      <c r="BY600" s="215"/>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c r="DA600" s="214"/>
      <c r="DB600"/>
      <c r="DC600"/>
      <c r="DD600" s="2323" t="s">
        <v>780</v>
      </c>
      <c r="DE600" s="2327">
        <f>M600</f>
        <v>0</v>
      </c>
      <c r="DF600" s="2327">
        <f>R600</f>
        <v>0</v>
      </c>
      <c r="DG600" s="2327">
        <f>W600</f>
        <v>0</v>
      </c>
      <c r="DH600" s="2327">
        <f>AB600</f>
        <v>10</v>
      </c>
      <c r="DI600" s="2327">
        <f>AG600</f>
        <v>-28</v>
      </c>
      <c r="DJ600" s="2327">
        <f>AL600</f>
        <v>0</v>
      </c>
      <c r="DK600" s="2327">
        <f>AQ600</f>
        <v>0</v>
      </c>
      <c r="DL600" s="2327">
        <f>AV600</f>
        <v>0</v>
      </c>
      <c r="DM600" s="2327">
        <f>BA600</f>
        <v>0</v>
      </c>
      <c r="DN600" s="2327">
        <f>BF600</f>
        <v>0</v>
      </c>
      <c r="DO600" s="2327">
        <f>BK600</f>
        <v>0</v>
      </c>
      <c r="DP600" s="2327">
        <f>BP600</f>
        <v>0</v>
      </c>
      <c r="DQ600" s="2327">
        <f>BU600</f>
        <v>0</v>
      </c>
      <c r="DR600" s="2327">
        <f>BZ600</f>
        <v>0</v>
      </c>
      <c r="DS600" s="2327">
        <f>CE600</f>
        <v>0</v>
      </c>
      <c r="DT600" s="2327">
        <f>CJ600</f>
        <v>0</v>
      </c>
      <c r="DU600" s="2327">
        <f>CO600</f>
        <v>0</v>
      </c>
      <c r="DV600" s="2327">
        <f>CT600</f>
        <v>0</v>
      </c>
      <c r="DW600" s="2327">
        <f>CY600</f>
        <v>0</v>
      </c>
      <c r="DX600" s="2327">
        <f>CZ600</f>
        <v>0</v>
      </c>
      <c r="DY600" s="2327">
        <f>DA600</f>
        <v>0</v>
      </c>
      <c r="EA600"/>
      <c r="EB600"/>
      <c r="EC600"/>
      <c r="ED600"/>
      <c r="EE600"/>
      <c r="EF600"/>
      <c r="EJ600"/>
      <c r="EK600"/>
      <c r="EL600"/>
      <c r="ER600" s="212"/>
    </row>
    <row r="601" spans="1:148" s="923" customFormat="1" ht="12.75" hidden="1" customHeight="1" outlineLevel="1" x14ac:dyDescent="0.2">
      <c r="A601" s="865"/>
      <c r="B601" s="215"/>
      <c r="C601" s="215"/>
      <c r="D601" s="215"/>
      <c r="E601" s="215"/>
      <c r="F601" s="215"/>
      <c r="G601" s="215"/>
      <c r="H601" s="215"/>
      <c r="I601" s="215"/>
      <c r="J601" s="215"/>
      <c r="K601" s="215"/>
      <c r="L601" s="215"/>
      <c r="M601" s="215"/>
      <c r="N601" s="215"/>
      <c r="O601" s="215"/>
      <c r="P601" s="215"/>
      <c r="Q601" s="215"/>
      <c r="R601" s="215"/>
      <c r="S601" s="215"/>
      <c r="T601" s="215"/>
      <c r="U601" s="215"/>
      <c r="V601" s="215"/>
      <c r="W601" s="215"/>
      <c r="X601" s="215"/>
      <c r="Y601" s="215"/>
      <c r="Z601" s="215"/>
      <c r="AA601" s="215"/>
      <c r="AB601" s="215"/>
      <c r="AC601" s="215"/>
      <c r="AD601" s="215"/>
      <c r="AE601" s="215"/>
      <c r="AF601" s="215"/>
      <c r="AG601" s="215"/>
      <c r="AH601" s="215"/>
      <c r="AI601" s="215"/>
      <c r="AJ601" s="215"/>
      <c r="AK601" s="215"/>
      <c r="AL601" s="215"/>
      <c r="AM601" s="215"/>
      <c r="AN601" s="215"/>
      <c r="AO601" s="215"/>
      <c r="AP601" s="215"/>
      <c r="AQ601" s="215"/>
      <c r="AR601" s="215"/>
      <c r="AS601" s="215"/>
      <c r="AT601" s="215"/>
      <c r="AU601" s="215"/>
      <c r="AV601" s="215"/>
      <c r="AW601" s="215"/>
      <c r="AX601" s="215"/>
      <c r="AY601" s="215"/>
      <c r="AZ601" s="215"/>
      <c r="BA601" s="215"/>
      <c r="BB601" s="215"/>
      <c r="BC601" s="215"/>
      <c r="BD601" s="215"/>
      <c r="BE601" s="215"/>
      <c r="BF601" s="215"/>
      <c r="BG601" s="215"/>
      <c r="BH601" s="215"/>
      <c r="BI601" s="215"/>
      <c r="BJ601" s="215"/>
      <c r="BK601" s="215"/>
      <c r="BL601" s="215"/>
      <c r="BM601" s="215"/>
      <c r="BN601" s="215"/>
      <c r="BO601" s="215"/>
      <c r="BP601" s="215"/>
      <c r="BQ601" s="215"/>
      <c r="BR601" s="215"/>
      <c r="BS601" s="215"/>
      <c r="BT601" s="215"/>
      <c r="BU601" s="215"/>
      <c r="BV601" s="215"/>
      <c r="BW601" s="215"/>
      <c r="BX601" s="215"/>
      <c r="BY601" s="215"/>
      <c r="BZ601" s="215"/>
      <c r="CA601" s="215"/>
      <c r="CB601" s="215"/>
      <c r="CC601" s="215"/>
      <c r="CD601" s="215"/>
      <c r="CE601" s="215"/>
      <c r="CF601" s="215"/>
      <c r="CG601" s="215"/>
      <c r="CH601" s="215"/>
      <c r="CI601" s="215"/>
      <c r="CJ601" s="215"/>
      <c r="CK601" s="215"/>
      <c r="CL601" s="215"/>
      <c r="CM601" s="215"/>
      <c r="CN601" s="215"/>
      <c r="CO601" s="215"/>
      <c r="CP601" s="215"/>
      <c r="CQ601" s="215"/>
      <c r="CR601" s="215"/>
      <c r="CS601" s="215"/>
      <c r="CT601" s="215"/>
      <c r="CU601" s="215"/>
      <c r="CV601" s="215"/>
      <c r="CW601" s="215"/>
      <c r="CX601" s="215"/>
      <c r="CY601" s="215"/>
      <c r="CZ601" s="215"/>
      <c r="DA601" s="215"/>
      <c r="DB601"/>
      <c r="DC601"/>
      <c r="DD601" s="2323"/>
      <c r="DE601" s="2327"/>
      <c r="DF601" s="2327"/>
      <c r="DG601" s="2327"/>
      <c r="DH601" s="2327"/>
      <c r="DI601" s="2327"/>
      <c r="DJ601" s="2327"/>
      <c r="DK601" s="2327"/>
      <c r="DL601" s="2327"/>
      <c r="DM601" s="2327"/>
      <c r="DN601" s="2327"/>
      <c r="DO601" s="2327"/>
      <c r="DP601" s="2327"/>
      <c r="DQ601" s="2327"/>
      <c r="DR601" s="2327"/>
      <c r="DS601" s="2327"/>
      <c r="DT601" s="2327"/>
      <c r="DU601" s="2327"/>
      <c r="DV601" s="2327"/>
      <c r="DW601" s="2327"/>
      <c r="DX601" s="2327"/>
      <c r="DY601" s="2327"/>
      <c r="EA601"/>
      <c r="EB601"/>
      <c r="EC601"/>
      <c r="ED601"/>
      <c r="EE601"/>
      <c r="EF601"/>
      <c r="EJ601"/>
      <c r="EK601"/>
      <c r="EL601"/>
      <c r="ER601" s="212"/>
    </row>
    <row r="602" spans="1:148" s="923" customFormat="1" ht="12.75" hidden="1" customHeight="1" outlineLevel="1" x14ac:dyDescent="0.2">
      <c r="A602" s="865" t="s">
        <v>781</v>
      </c>
      <c r="B602" s="215"/>
      <c r="C602" s="215"/>
      <c r="D602" s="215"/>
      <c r="E602" s="215"/>
      <c r="F602" s="215"/>
      <c r="G602" s="215"/>
      <c r="H602" s="215"/>
      <c r="I602" s="215">
        <v>0</v>
      </c>
      <c r="J602" s="215">
        <v>0</v>
      </c>
      <c r="K602" s="215">
        <v>0</v>
      </c>
      <c r="L602" s="215">
        <v>0</v>
      </c>
      <c r="M602" s="215">
        <f>SUM(I602:L602)</f>
        <v>0</v>
      </c>
      <c r="N602" s="215">
        <v>0</v>
      </c>
      <c r="O602" s="215">
        <v>0</v>
      </c>
      <c r="P602" s="215">
        <v>0</v>
      </c>
      <c r="Q602" s="215">
        <v>0</v>
      </c>
      <c r="R602" s="215">
        <v>0</v>
      </c>
      <c r="S602" s="215">
        <v>0</v>
      </c>
      <c r="T602" s="215">
        <v>0</v>
      </c>
      <c r="U602" s="215">
        <v>0</v>
      </c>
      <c r="V602" s="215">
        <v>0</v>
      </c>
      <c r="W602" s="215">
        <f>SUM(S602:V602)</f>
        <v>0</v>
      </c>
      <c r="X602" s="215">
        <v>0</v>
      </c>
      <c r="Y602" s="215">
        <v>0</v>
      </c>
      <c r="Z602" s="215">
        <v>-29</v>
      </c>
      <c r="AA602" s="215">
        <v>-26</v>
      </c>
      <c r="AB602" s="215">
        <f>SUM(X602:AA602)</f>
        <v>-55</v>
      </c>
      <c r="AC602" s="215">
        <v>0</v>
      </c>
      <c r="AD602" s="215">
        <v>14</v>
      </c>
      <c r="AE602" s="215">
        <v>16</v>
      </c>
      <c r="AF602" s="215">
        <v>10</v>
      </c>
      <c r="AG602" s="215">
        <f>SUM(AC602:AF602)</f>
        <v>40</v>
      </c>
      <c r="AH602" s="215">
        <v>10</v>
      </c>
      <c r="AI602" s="215">
        <v>4</v>
      </c>
      <c r="AJ602" s="215">
        <v>18</v>
      </c>
      <c r="AK602" s="215">
        <v>15</v>
      </c>
      <c r="AL602" s="215">
        <f>SUM(AH602:AK602)</f>
        <v>47</v>
      </c>
      <c r="AM602" s="215">
        <v>5</v>
      </c>
      <c r="AN602" s="215">
        <v>0</v>
      </c>
      <c r="AO602" s="215">
        <v>0</v>
      </c>
      <c r="AP602" s="215">
        <v>1</v>
      </c>
      <c r="AQ602" s="215">
        <f>SUM(AM602:AP602)</f>
        <v>6</v>
      </c>
      <c r="AR602" s="215">
        <v>0</v>
      </c>
      <c r="AS602" s="215">
        <v>0</v>
      </c>
      <c r="AT602" s="215">
        <v>0</v>
      </c>
      <c r="AU602" s="215">
        <f>-AU603*AU596</f>
        <v>0</v>
      </c>
      <c r="AV602" s="215">
        <f>SUM(AR602:AU602)</f>
        <v>0</v>
      </c>
      <c r="AW602" s="215">
        <f>-AW603*AW596</f>
        <v>0</v>
      </c>
      <c r="AX602" s="215">
        <f>-AX603*AX596</f>
        <v>0</v>
      </c>
      <c r="AY602" s="215">
        <f>-AY603*AY596</f>
        <v>0</v>
      </c>
      <c r="AZ602" s="215">
        <f>-AZ603*AZ596</f>
        <v>0</v>
      </c>
      <c r="BA602" s="215">
        <f>SUM(AW602:AZ602)</f>
        <v>0</v>
      </c>
      <c r="BB602" s="215">
        <f>-BB603*BB596</f>
        <v>0</v>
      </c>
      <c r="BC602" s="215">
        <f>-BC603*BC596</f>
        <v>0</v>
      </c>
      <c r="BD602" s="215">
        <f>-BD603*BD596</f>
        <v>0</v>
      </c>
      <c r="BE602" s="215">
        <f>-BE603*BE596</f>
        <v>0</v>
      </c>
      <c r="BF602" s="215">
        <f>SUM(BB602:BE602)</f>
        <v>0</v>
      </c>
      <c r="BG602" s="215">
        <f>-BG603*BG596</f>
        <v>0</v>
      </c>
      <c r="BH602" s="215">
        <f>-BH603*BH596</f>
        <v>0</v>
      </c>
      <c r="BI602" s="215">
        <f>-BI603*BI596</f>
        <v>0</v>
      </c>
      <c r="BJ602" s="215">
        <f>-BJ603*BJ596</f>
        <v>0</v>
      </c>
      <c r="BK602" s="215">
        <f>SUM(BG602:BJ602)</f>
        <v>0</v>
      </c>
      <c r="BL602" s="215">
        <f>-BL603*BL596</f>
        <v>0</v>
      </c>
      <c r="BM602" s="215">
        <f>-BM603*BM596</f>
        <v>0</v>
      </c>
      <c r="BN602" s="215">
        <f>-BN603*BN596</f>
        <v>0</v>
      </c>
      <c r="BO602" s="215">
        <f>-BO603*BO596</f>
        <v>0</v>
      </c>
      <c r="BP602" s="215">
        <f>SUM(BL602:BO602)</f>
        <v>0</v>
      </c>
      <c r="BQ602" s="215"/>
      <c r="BR602" s="215"/>
      <c r="BS602" s="215"/>
      <c r="BT602" s="215"/>
      <c r="BU602" s="215">
        <f>-BU603*BU596</f>
        <v>0</v>
      </c>
      <c r="BV602" s="215"/>
      <c r="BW602" s="215"/>
      <c r="BX602" s="215"/>
      <c r="BY602" s="215"/>
      <c r="BZ602" s="215"/>
      <c r="CA602" s="215"/>
      <c r="CB602" s="215"/>
      <c r="CC602" s="215"/>
      <c r="CD602" s="215"/>
      <c r="CE602" s="215"/>
      <c r="CF602" s="215"/>
      <c r="CG602" s="215"/>
      <c r="CH602" s="215"/>
      <c r="CI602" s="215"/>
      <c r="CJ602" s="215"/>
      <c r="CK602" s="215"/>
      <c r="CL602" s="215"/>
      <c r="CM602" s="215"/>
      <c r="CN602" s="215"/>
      <c r="CO602" s="215"/>
      <c r="CP602" s="215"/>
      <c r="CQ602" s="215"/>
      <c r="CR602" s="215"/>
      <c r="CS602" s="215"/>
      <c r="CT602" s="215"/>
      <c r="CU602" s="215"/>
      <c r="CV602" s="215"/>
      <c r="CW602" s="215"/>
      <c r="CX602" s="215"/>
      <c r="CY602" s="215"/>
      <c r="CZ602" s="215"/>
      <c r="DA602" s="215"/>
      <c r="DB602"/>
      <c r="DC602"/>
      <c r="DD602" s="2323" t="s">
        <v>781</v>
      </c>
      <c r="DE602" s="2327">
        <f>M602</f>
        <v>0</v>
      </c>
      <c r="DF602" s="2327">
        <f>R602</f>
        <v>0</v>
      </c>
      <c r="DG602" s="2327">
        <f>W602</f>
        <v>0</v>
      </c>
      <c r="DH602" s="2327">
        <f>AB602</f>
        <v>-55</v>
      </c>
      <c r="DI602" s="2327">
        <f>AG602</f>
        <v>40</v>
      </c>
      <c r="DJ602" s="2327">
        <f>AL602</f>
        <v>47</v>
      </c>
      <c r="DK602" s="2327">
        <f>AQ602</f>
        <v>6</v>
      </c>
      <c r="DL602" s="2327">
        <f>AV602</f>
        <v>0</v>
      </c>
      <c r="DM602" s="2327">
        <f>BA602</f>
        <v>0</v>
      </c>
      <c r="DN602" s="2327">
        <f>BF602</f>
        <v>0</v>
      </c>
      <c r="DO602" s="2327">
        <f>BK602</f>
        <v>0</v>
      </c>
      <c r="DP602" s="2327">
        <f>BP602</f>
        <v>0</v>
      </c>
      <c r="DQ602" s="2327">
        <f>BU602</f>
        <v>0</v>
      </c>
      <c r="DR602" s="2327">
        <f>BZ602</f>
        <v>0</v>
      </c>
      <c r="DS602" s="2327">
        <f>CE602</f>
        <v>0</v>
      </c>
      <c r="DT602" s="2327">
        <f>CJ602</f>
        <v>0</v>
      </c>
      <c r="DU602" s="2327">
        <f>CO602</f>
        <v>0</v>
      </c>
      <c r="DV602" s="2327">
        <f>CT602</f>
        <v>0</v>
      </c>
      <c r="DW602" s="2327">
        <f t="shared" ref="DW602:DY603" si="1077">CY602</f>
        <v>0</v>
      </c>
      <c r="DX602" s="2327">
        <f t="shared" si="1077"/>
        <v>0</v>
      </c>
      <c r="DY602" s="2327">
        <f t="shared" si="1077"/>
        <v>0</v>
      </c>
      <c r="EA602"/>
      <c r="EB602"/>
      <c r="EC602"/>
      <c r="ED602"/>
      <c r="EE602"/>
      <c r="EF602"/>
      <c r="EJ602"/>
      <c r="EK602"/>
      <c r="EL602"/>
      <c r="ER602" s="212"/>
    </row>
    <row r="603" spans="1:148" s="923" customFormat="1" ht="12.75" hidden="1" customHeight="1" outlineLevel="1" x14ac:dyDescent="0.2">
      <c r="A603" s="865" t="s">
        <v>782</v>
      </c>
      <c r="B603" s="215"/>
      <c r="C603" s="215"/>
      <c r="D603" s="215"/>
      <c r="E603" s="215"/>
      <c r="F603" s="215"/>
      <c r="G603" s="215"/>
      <c r="H603" s="215"/>
      <c r="I603" s="215"/>
      <c r="J603" s="215"/>
      <c r="K603" s="215"/>
      <c r="L603" s="215"/>
      <c r="M603" s="214"/>
      <c r="N603" s="215"/>
      <c r="O603" s="215"/>
      <c r="P603" s="215"/>
      <c r="Q603" s="215"/>
      <c r="R603" s="214"/>
      <c r="S603" s="215"/>
      <c r="T603" s="215"/>
      <c r="U603" s="215"/>
      <c r="V603" s="215"/>
      <c r="W603" s="214"/>
      <c r="X603" s="215"/>
      <c r="Y603" s="215"/>
      <c r="Z603" s="215"/>
      <c r="AA603" s="215"/>
      <c r="AB603" s="214"/>
      <c r="AC603" s="215" t="s">
        <v>1666</v>
      </c>
      <c r="AD603" s="215">
        <f t="shared" ref="AD603:AT603" si="1078">-AD602/AD596</f>
        <v>0.46666666666666667</v>
      </c>
      <c r="AE603" s="215">
        <f t="shared" si="1078"/>
        <v>0.5161290322580645</v>
      </c>
      <c r="AF603" s="215">
        <f t="shared" si="1078"/>
        <v>0.27027027027027029</v>
      </c>
      <c r="AG603" s="214">
        <f t="shared" si="1078"/>
        <v>0.40816326530612246</v>
      </c>
      <c r="AH603" s="215">
        <f t="shared" si="1078"/>
        <v>0.22222222222222221</v>
      </c>
      <c r="AI603" s="215">
        <f t="shared" si="1078"/>
        <v>0.1111111111111111</v>
      </c>
      <c r="AJ603" s="215">
        <f t="shared" si="1078"/>
        <v>0.52941176470588236</v>
      </c>
      <c r="AK603" s="215">
        <f t="shared" si="1078"/>
        <v>0.51724137931034486</v>
      </c>
      <c r="AL603" s="214">
        <f t="shared" si="1078"/>
        <v>0.3263888888888889</v>
      </c>
      <c r="AM603" s="215">
        <f t="shared" si="1078"/>
        <v>0.18518518518518517</v>
      </c>
      <c r="AN603" s="215">
        <f t="shared" si="1078"/>
        <v>0</v>
      </c>
      <c r="AO603" s="215">
        <f t="shared" si="1078"/>
        <v>0</v>
      </c>
      <c r="AP603" s="215">
        <f t="shared" si="1078"/>
        <v>3.0303030303030304E-2</v>
      </c>
      <c r="AQ603" s="214">
        <f t="shared" si="1078"/>
        <v>7.8947368421052627E-2</v>
      </c>
      <c r="AR603" s="215">
        <f t="shared" si="1078"/>
        <v>0</v>
      </c>
      <c r="AS603" s="215">
        <f t="shared" si="1078"/>
        <v>0</v>
      </c>
      <c r="AT603" s="215">
        <f t="shared" si="1078"/>
        <v>0</v>
      </c>
      <c r="AU603" s="215">
        <v>0</v>
      </c>
      <c r="AV603" s="214"/>
      <c r="AW603" s="215">
        <v>0</v>
      </c>
      <c r="AX603" s="215">
        <v>0</v>
      </c>
      <c r="AY603" s="215">
        <v>0</v>
      </c>
      <c r="AZ603" s="215">
        <v>0</v>
      </c>
      <c r="BA603" s="214"/>
      <c r="BB603" s="215">
        <v>0</v>
      </c>
      <c r="BC603" s="215">
        <v>0</v>
      </c>
      <c r="BD603" s="215">
        <v>0</v>
      </c>
      <c r="BE603" s="215">
        <v>0</v>
      </c>
      <c r="BF603" s="214"/>
      <c r="BG603" s="215">
        <v>0</v>
      </c>
      <c r="BH603" s="215">
        <v>0</v>
      </c>
      <c r="BI603" s="215">
        <v>0</v>
      </c>
      <c r="BJ603" s="215">
        <v>0</v>
      </c>
      <c r="BK603" s="214"/>
      <c r="BL603" s="215">
        <v>0</v>
      </c>
      <c r="BM603" s="215">
        <v>0</v>
      </c>
      <c r="BN603" s="215">
        <v>0</v>
      </c>
      <c r="BO603" s="215">
        <v>0</v>
      </c>
      <c r="BP603" s="214"/>
      <c r="BQ603" s="215"/>
      <c r="BR603" s="215"/>
      <c r="BS603" s="215"/>
      <c r="BT603" s="215"/>
      <c r="BU603" s="214">
        <v>0</v>
      </c>
      <c r="BV603" s="215"/>
      <c r="BW603" s="215"/>
      <c r="BX603" s="215"/>
      <c r="BY603" s="215"/>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c r="DA603" s="214"/>
      <c r="DB603"/>
      <c r="DC603"/>
      <c r="DD603" s="2323" t="s">
        <v>782</v>
      </c>
      <c r="DE603" s="2327">
        <f>M603</f>
        <v>0</v>
      </c>
      <c r="DF603" s="2327">
        <f>R603</f>
        <v>0</v>
      </c>
      <c r="DG603" s="2327">
        <f>W603</f>
        <v>0</v>
      </c>
      <c r="DH603" s="2327">
        <f>AB603</f>
        <v>0</v>
      </c>
      <c r="DI603" s="2327">
        <f>AG603</f>
        <v>0.40816326530612246</v>
      </c>
      <c r="DJ603" s="2327">
        <f>AL603</f>
        <v>0.3263888888888889</v>
      </c>
      <c r="DK603" s="2327">
        <f>AQ603</f>
        <v>7.8947368421052627E-2</v>
      </c>
      <c r="DL603" s="2327">
        <f>AV603</f>
        <v>0</v>
      </c>
      <c r="DM603" s="2327">
        <f>BA603</f>
        <v>0</v>
      </c>
      <c r="DN603" s="2327">
        <f>BF603</f>
        <v>0</v>
      </c>
      <c r="DO603" s="2327">
        <f>BK603</f>
        <v>0</v>
      </c>
      <c r="DP603" s="2327">
        <f>BP603</f>
        <v>0</v>
      </c>
      <c r="DQ603" s="2327">
        <f>BU603</f>
        <v>0</v>
      </c>
      <c r="DR603" s="2327">
        <f>BZ603</f>
        <v>0</v>
      </c>
      <c r="DS603" s="2327">
        <f>CE603</f>
        <v>0</v>
      </c>
      <c r="DT603" s="2327">
        <f>CJ603</f>
        <v>0</v>
      </c>
      <c r="DU603" s="2327">
        <f>CO603</f>
        <v>0</v>
      </c>
      <c r="DV603" s="2327">
        <f>CT603</f>
        <v>0</v>
      </c>
      <c r="DW603" s="2327">
        <f t="shared" si="1077"/>
        <v>0</v>
      </c>
      <c r="DX603" s="2327">
        <f t="shared" si="1077"/>
        <v>0</v>
      </c>
      <c r="DY603" s="2327">
        <f t="shared" si="1077"/>
        <v>0</v>
      </c>
      <c r="EA603"/>
      <c r="EB603"/>
      <c r="EC603"/>
      <c r="ED603"/>
      <c r="EE603"/>
      <c r="EF603"/>
      <c r="EJ603"/>
      <c r="EK603"/>
      <c r="EL603"/>
      <c r="ER603" s="212"/>
    </row>
    <row r="604" spans="1:148" s="923" customFormat="1" ht="12.75" hidden="1" customHeight="1" outlineLevel="1" x14ac:dyDescent="0.2">
      <c r="A604" s="865"/>
      <c r="B604" s="215"/>
      <c r="C604" s="215"/>
      <c r="D604" s="215"/>
      <c r="E604" s="215"/>
      <c r="F604" s="215"/>
      <c r="G604" s="215"/>
      <c r="H604" s="215"/>
      <c r="I604" s="215"/>
      <c r="J604" s="215"/>
      <c r="K604" s="215"/>
      <c r="L604" s="215"/>
      <c r="M604" s="215"/>
      <c r="N604" s="215"/>
      <c r="O604" s="215"/>
      <c r="P604" s="215"/>
      <c r="Q604" s="215"/>
      <c r="R604" s="215"/>
      <c r="S604" s="215"/>
      <c r="T604" s="215"/>
      <c r="U604" s="215"/>
      <c r="V604" s="215"/>
      <c r="W604" s="215"/>
      <c r="X604" s="215"/>
      <c r="Y604" s="215"/>
      <c r="Z604" s="215"/>
      <c r="AA604" s="215"/>
      <c r="AB604" s="215"/>
      <c r="AC604" s="215"/>
      <c r="AD604" s="215"/>
      <c r="AE604" s="215"/>
      <c r="AF604" s="215"/>
      <c r="AG604" s="215"/>
      <c r="AH604" s="215"/>
      <c r="AI604" s="215"/>
      <c r="AJ604" s="215"/>
      <c r="AK604" s="215"/>
      <c r="AL604" s="215"/>
      <c r="AM604" s="215"/>
      <c r="AN604" s="215"/>
      <c r="AO604" s="215"/>
      <c r="AP604" s="215"/>
      <c r="AQ604" s="215"/>
      <c r="AR604" s="215"/>
      <c r="AS604" s="215"/>
      <c r="AT604" s="215"/>
      <c r="AU604" s="215"/>
      <c r="AV604" s="215"/>
      <c r="AW604" s="215"/>
      <c r="AX604" s="215"/>
      <c r="AY604" s="215"/>
      <c r="AZ604" s="215"/>
      <c r="BA604" s="215"/>
      <c r="BB604" s="215"/>
      <c r="BC604" s="215"/>
      <c r="BD604" s="215"/>
      <c r="BE604" s="215"/>
      <c r="BF604" s="215"/>
      <c r="BG604" s="215"/>
      <c r="BH604" s="215"/>
      <c r="BI604" s="215"/>
      <c r="BJ604" s="215"/>
      <c r="BK604" s="215"/>
      <c r="BL604" s="215"/>
      <c r="BM604" s="215"/>
      <c r="BN604" s="215"/>
      <c r="BO604" s="215"/>
      <c r="BP604" s="215"/>
      <c r="BQ604" s="215"/>
      <c r="BR604" s="215"/>
      <c r="BS604" s="215"/>
      <c r="BT604" s="215"/>
      <c r="BU604" s="215"/>
      <c r="BV604" s="215"/>
      <c r="BW604" s="215"/>
      <c r="BX604" s="215"/>
      <c r="BY604" s="215"/>
      <c r="BZ604" s="215"/>
      <c r="CA604" s="215"/>
      <c r="CB604" s="215"/>
      <c r="CC604" s="215"/>
      <c r="CD604" s="215"/>
      <c r="CE604" s="215"/>
      <c r="CF604" s="215"/>
      <c r="CG604" s="215"/>
      <c r="CH604" s="215"/>
      <c r="CI604" s="215"/>
      <c r="CJ604" s="215"/>
      <c r="CK604" s="215"/>
      <c r="CL604" s="215"/>
      <c r="CM604" s="215"/>
      <c r="CN604" s="215"/>
      <c r="CO604" s="215"/>
      <c r="CP604" s="215"/>
      <c r="CQ604" s="215"/>
      <c r="CR604" s="215"/>
      <c r="CS604" s="215"/>
      <c r="CT604" s="215"/>
      <c r="CU604" s="215"/>
      <c r="CV604" s="215"/>
      <c r="CW604" s="215"/>
      <c r="CX604" s="215"/>
      <c r="CY604" s="215"/>
      <c r="CZ604" s="215"/>
      <c r="DA604" s="215"/>
      <c r="DB604"/>
      <c r="DC604"/>
      <c r="DD604" s="2323"/>
      <c r="DE604" s="2327"/>
      <c r="DF604" s="2327"/>
      <c r="DG604" s="2327"/>
      <c r="DH604" s="2327"/>
      <c r="DI604" s="2327"/>
      <c r="DJ604" s="2327"/>
      <c r="DK604" s="2327"/>
      <c r="DL604" s="2327"/>
      <c r="DM604" s="2327"/>
      <c r="DN604" s="2327"/>
      <c r="DO604" s="2327"/>
      <c r="DP604" s="2327"/>
      <c r="DQ604" s="2327"/>
      <c r="DR604" s="2327"/>
      <c r="DS604" s="2327"/>
      <c r="DT604" s="2327"/>
      <c r="DU604" s="2327"/>
      <c r="DV604" s="2327"/>
      <c r="DW604" s="2327"/>
      <c r="DX604" s="2327"/>
      <c r="DY604" s="2327"/>
      <c r="EA604"/>
      <c r="EB604"/>
      <c r="EC604"/>
      <c r="ED604"/>
      <c r="EE604"/>
      <c r="EF604"/>
      <c r="EJ604"/>
      <c r="EK604"/>
      <c r="EL604"/>
      <c r="ER604" s="212"/>
    </row>
    <row r="605" spans="1:148" s="923" customFormat="1" ht="12.75" hidden="1" customHeight="1" outlineLevel="1" x14ac:dyDescent="0.2">
      <c r="A605" s="865" t="s">
        <v>783</v>
      </c>
      <c r="B605" s="226"/>
      <c r="C605" s="226"/>
      <c r="D605" s="226"/>
      <c r="E605" s="226"/>
      <c r="F605" s="226"/>
      <c r="G605" s="226"/>
      <c r="H605" s="226"/>
      <c r="I605" s="226">
        <f t="shared" ref="I605:V605" si="1079">+I42</f>
        <v>0</v>
      </c>
      <c r="J605" s="226">
        <f t="shared" si="1079"/>
        <v>0</v>
      </c>
      <c r="K605" s="226">
        <f t="shared" si="1079"/>
        <v>0</v>
      </c>
      <c r="L605" s="226">
        <f t="shared" si="1079"/>
        <v>0</v>
      </c>
      <c r="M605" s="226">
        <f t="shared" si="1079"/>
        <v>0</v>
      </c>
      <c r="N605" s="226">
        <f t="shared" si="1079"/>
        <v>0</v>
      </c>
      <c r="O605" s="226">
        <f t="shared" si="1079"/>
        <v>0</v>
      </c>
      <c r="P605" s="226">
        <f t="shared" si="1079"/>
        <v>0</v>
      </c>
      <c r="Q605" s="226">
        <f t="shared" si="1079"/>
        <v>0</v>
      </c>
      <c r="R605" s="226">
        <f t="shared" si="1079"/>
        <v>0</v>
      </c>
      <c r="S605" s="226">
        <f t="shared" si="1079"/>
        <v>-6</v>
      </c>
      <c r="T605" s="226">
        <f t="shared" si="1079"/>
        <v>6</v>
      </c>
      <c r="U605" s="226">
        <f t="shared" si="1079"/>
        <v>0</v>
      </c>
      <c r="V605" s="226">
        <f t="shared" si="1079"/>
        <v>-6</v>
      </c>
      <c r="W605" s="226">
        <f>+SUM(S605:V605)</f>
        <v>-6</v>
      </c>
      <c r="X605" s="226">
        <f>+X42</f>
        <v>-1</v>
      </c>
      <c r="Y605" s="226">
        <f>+Y42</f>
        <v>3</v>
      </c>
      <c r="Z605" s="226">
        <f>+Z42</f>
        <v>-3</v>
      </c>
      <c r="AA605" s="226">
        <f>+AA42</f>
        <v>-16</v>
      </c>
      <c r="AB605" s="226">
        <f>+SUM(X605:AA605)</f>
        <v>-17</v>
      </c>
      <c r="AC605" s="226">
        <f>+AC42</f>
        <v>-2</v>
      </c>
      <c r="AD605" s="226">
        <f>+AD42</f>
        <v>1</v>
      </c>
      <c r="AE605" s="226">
        <f>+AE42</f>
        <v>-8</v>
      </c>
      <c r="AF605" s="226">
        <f>+AF42</f>
        <v>-5</v>
      </c>
      <c r="AG605" s="226">
        <f>+SUM(AC605:AF605)</f>
        <v>-14</v>
      </c>
      <c r="AH605" s="226">
        <f>+AH42</f>
        <v>-5</v>
      </c>
      <c r="AI605" s="226">
        <f>+AI42</f>
        <v>6</v>
      </c>
      <c r="AJ605" s="226">
        <f>+AJ42</f>
        <v>17</v>
      </c>
      <c r="AK605" s="226">
        <f>+AK42</f>
        <v>18</v>
      </c>
      <c r="AL605" s="226">
        <f>+SUM(AH605:AK605)</f>
        <v>36</v>
      </c>
      <c r="AM605" s="226">
        <f>+AM42</f>
        <v>-3</v>
      </c>
      <c r="AN605" s="226">
        <f>+AN42</f>
        <v>6</v>
      </c>
      <c r="AO605" s="226">
        <f>+AO42</f>
        <v>-1</v>
      </c>
      <c r="AP605" s="226">
        <f>+AP42</f>
        <v>1</v>
      </c>
      <c r="AQ605" s="226">
        <f>+SUM(AM605:AP605)</f>
        <v>3</v>
      </c>
      <c r="AR605" s="226">
        <f>+AR42</f>
        <v>2</v>
      </c>
      <c r="AS605" s="226">
        <f>+AS42</f>
        <v>-1</v>
      </c>
      <c r="AT605" s="226">
        <f>+AT42</f>
        <v>8</v>
      </c>
      <c r="AU605" s="226">
        <f>+AU42</f>
        <v>6</v>
      </c>
      <c r="AV605" s="226">
        <f>+SUM(AR605:AU605)</f>
        <v>15</v>
      </c>
      <c r="AW605" s="226">
        <f>+AW42</f>
        <v>27</v>
      </c>
      <c r="AX605" s="226">
        <f>+AX42</f>
        <v>-3</v>
      </c>
      <c r="AY605" s="226">
        <f>+AY42</f>
        <v>2</v>
      </c>
      <c r="AZ605" s="226">
        <f>+AZ42</f>
        <v>-11</v>
      </c>
      <c r="BA605" s="226">
        <f>+SUM(AW605:AZ605)</f>
        <v>15</v>
      </c>
      <c r="BB605" s="226">
        <f>+BB42</f>
        <v>-34</v>
      </c>
      <c r="BC605" s="226">
        <f>+BC42</f>
        <v>-4</v>
      </c>
      <c r="BD605" s="226">
        <f>+BD42</f>
        <v>-12</v>
      </c>
      <c r="BE605" s="226">
        <f>+BE42</f>
        <v>-10</v>
      </c>
      <c r="BF605" s="226">
        <f>+SUM(BB605:BE605)</f>
        <v>-60</v>
      </c>
      <c r="BG605" s="226">
        <f>+BG42</f>
        <v>-6</v>
      </c>
      <c r="BH605" s="226">
        <f>+BH42</f>
        <v>-1</v>
      </c>
      <c r="BI605" s="226">
        <f>+BI42</f>
        <v>-3</v>
      </c>
      <c r="BJ605" s="226">
        <f>+BJ42</f>
        <v>-11</v>
      </c>
      <c r="BK605" s="226">
        <f>+SUM(BG605:BJ605)</f>
        <v>-21</v>
      </c>
      <c r="BL605" s="226">
        <f>+BL42</f>
        <v>-4</v>
      </c>
      <c r="BM605" s="226">
        <f>+BM606+BM607</f>
        <v>3</v>
      </c>
      <c r="BN605" s="226">
        <f>+BN606+BN607</f>
        <v>-1</v>
      </c>
      <c r="BO605" s="226">
        <f>+BO606+BO607</f>
        <v>-2.94</v>
      </c>
      <c r="BP605" s="226">
        <f>+SUM(BL605:BO605)</f>
        <v>-4.9399999999999995</v>
      </c>
      <c r="BQ605" s="226">
        <f>+BQ606+BQ607</f>
        <v>2.5</v>
      </c>
      <c r="BR605" s="226">
        <f>+BR606+BR607</f>
        <v>2.5</v>
      </c>
      <c r="BS605" s="226">
        <f>+BS606+BS607</f>
        <v>2.5</v>
      </c>
      <c r="BT605" s="226">
        <f>+BT606+BT607</f>
        <v>2.5</v>
      </c>
      <c r="BU605" s="226">
        <f>SUM(BQ605:BT605)</f>
        <v>10</v>
      </c>
      <c r="BV605" s="226"/>
      <c r="BW605" s="226"/>
      <c r="BX605" s="226"/>
      <c r="BY605" s="226"/>
      <c r="BZ605" s="226"/>
      <c r="CA605" s="226"/>
      <c r="CB605" s="226"/>
      <c r="CC605" s="226"/>
      <c r="CD605" s="226"/>
      <c r="CE605" s="226"/>
      <c r="CF605" s="226"/>
      <c r="CG605" s="226"/>
      <c r="CH605" s="226"/>
      <c r="CI605" s="226"/>
      <c r="CJ605" s="226"/>
      <c r="CK605" s="226"/>
      <c r="CL605" s="226"/>
      <c r="CM605" s="226"/>
      <c r="CN605" s="226"/>
      <c r="CO605" s="226"/>
      <c r="CP605" s="226"/>
      <c r="CQ605" s="226"/>
      <c r="CR605" s="226"/>
      <c r="CS605" s="226"/>
      <c r="CT605" s="226"/>
      <c r="CU605" s="226"/>
      <c r="CV605" s="226"/>
      <c r="CW605" s="226"/>
      <c r="CX605" s="226"/>
      <c r="CY605" s="226"/>
      <c r="CZ605" s="226"/>
      <c r="DA605" s="226"/>
      <c r="DB605"/>
      <c r="DC605"/>
      <c r="DD605" s="2323" t="s">
        <v>783</v>
      </c>
      <c r="DE605" s="2327">
        <f>M605</f>
        <v>0</v>
      </c>
      <c r="DF605" s="2327">
        <f>R605</f>
        <v>0</v>
      </c>
      <c r="DG605" s="2327">
        <f>W605</f>
        <v>-6</v>
      </c>
      <c r="DH605" s="2327">
        <f>AB605</f>
        <v>-17</v>
      </c>
      <c r="DI605" s="2327">
        <f>AG605</f>
        <v>-14</v>
      </c>
      <c r="DJ605" s="2327">
        <f>AL605</f>
        <v>36</v>
      </c>
      <c r="DK605" s="2327">
        <f>AQ605</f>
        <v>3</v>
      </c>
      <c r="DL605" s="2327">
        <f>AV605</f>
        <v>15</v>
      </c>
      <c r="DM605" s="2327">
        <f>BA605</f>
        <v>15</v>
      </c>
      <c r="DN605" s="2327">
        <f>BF605</f>
        <v>-60</v>
      </c>
      <c r="DO605" s="2327">
        <f>BK605</f>
        <v>-21</v>
      </c>
      <c r="DP605" s="2327">
        <f>BP605</f>
        <v>-4.9399999999999995</v>
      </c>
      <c r="DQ605" s="2327">
        <f>BU605</f>
        <v>10</v>
      </c>
      <c r="DR605" s="2327">
        <f>BZ605</f>
        <v>0</v>
      </c>
      <c r="DS605" s="2327">
        <f>CE605</f>
        <v>0</v>
      </c>
      <c r="DT605" s="2327">
        <f>CJ605</f>
        <v>0</v>
      </c>
      <c r="DU605" s="2327">
        <f>CO605</f>
        <v>0</v>
      </c>
      <c r="DV605" s="2327">
        <f>CT605</f>
        <v>0</v>
      </c>
      <c r="DW605" s="2327">
        <f t="shared" ref="DW605:DY607" si="1080">CY605</f>
        <v>0</v>
      </c>
      <c r="DX605" s="2327">
        <f t="shared" si="1080"/>
        <v>0</v>
      </c>
      <c r="DY605" s="2327">
        <f t="shared" si="1080"/>
        <v>0</v>
      </c>
      <c r="EA605"/>
      <c r="EB605"/>
      <c r="EC605"/>
      <c r="ED605"/>
      <c r="EE605"/>
      <c r="EF605"/>
      <c r="EJ605"/>
      <c r="EK605"/>
      <c r="EL605"/>
      <c r="ER605" s="212"/>
    </row>
    <row r="606" spans="1:148" s="923" customFormat="1" ht="12.75" hidden="1" customHeight="1" outlineLevel="1" x14ac:dyDescent="0.2">
      <c r="A606" s="865" t="s">
        <v>784</v>
      </c>
      <c r="B606" s="943"/>
      <c r="C606" s="943"/>
      <c r="D606" s="943"/>
      <c r="E606" s="943"/>
      <c r="F606" s="943"/>
      <c r="G606" s="943"/>
      <c r="H606" s="943"/>
      <c r="I606" s="943"/>
      <c r="J606" s="943"/>
      <c r="K606" s="943"/>
      <c r="L606" s="943"/>
      <c r="M606" s="226"/>
      <c r="N606" s="943"/>
      <c r="O606" s="943"/>
      <c r="P606" s="943"/>
      <c r="Q606" s="943"/>
      <c r="R606" s="226"/>
      <c r="S606" s="943"/>
      <c r="T606" s="943"/>
      <c r="U606" s="943"/>
      <c r="V606" s="943"/>
      <c r="W606" s="226"/>
      <c r="X606" s="943"/>
      <c r="Y606" s="943"/>
      <c r="Z606" s="943"/>
      <c r="AA606" s="943"/>
      <c r="AB606" s="226"/>
      <c r="AC606" s="943"/>
      <c r="AD606" s="943"/>
      <c r="AE606" s="943"/>
      <c r="AF606" s="943"/>
      <c r="AG606" s="226"/>
      <c r="AH606" s="943"/>
      <c r="AI606" s="943"/>
      <c r="AJ606" s="943"/>
      <c r="AK606" s="943"/>
      <c r="AL606" s="226"/>
      <c r="AM606" s="943"/>
      <c r="AN606" s="943"/>
      <c r="AO606" s="943"/>
      <c r="AP606" s="943"/>
      <c r="AQ606" s="226"/>
      <c r="AR606" s="943">
        <f>+AR476</f>
        <v>0</v>
      </c>
      <c r="AS606" s="943">
        <f>+AS476</f>
        <v>-1</v>
      </c>
      <c r="AT606" s="943">
        <f>+AT476</f>
        <v>5</v>
      </c>
      <c r="AU606" s="943">
        <f>+AU476</f>
        <v>6</v>
      </c>
      <c r="AV606" s="226">
        <f>+SUM(AR606:AU606)</f>
        <v>10</v>
      </c>
      <c r="AW606" s="943">
        <f>+AW476</f>
        <v>5</v>
      </c>
      <c r="AX606" s="943">
        <f>+AX476</f>
        <v>2</v>
      </c>
      <c r="AY606" s="943">
        <f>+AY476</f>
        <v>2</v>
      </c>
      <c r="AZ606" s="943">
        <f>+AZ476</f>
        <v>2</v>
      </c>
      <c r="BA606" s="226">
        <f>+SUM(AW606:AZ606)</f>
        <v>11</v>
      </c>
      <c r="BB606" s="943">
        <f>+BB476</f>
        <v>-1</v>
      </c>
      <c r="BC606" s="943">
        <f>+BC476</f>
        <v>-1</v>
      </c>
      <c r="BD606" s="943">
        <f>+BD476</f>
        <v>-4</v>
      </c>
      <c r="BE606" s="943">
        <f>+BE476</f>
        <v>-3</v>
      </c>
      <c r="BF606" s="226">
        <f>+SUM(BB606:BE606)</f>
        <v>-9</v>
      </c>
      <c r="BG606" s="943">
        <f>+BG476</f>
        <v>-5</v>
      </c>
      <c r="BH606" s="943">
        <f>+BH476</f>
        <v>-3</v>
      </c>
      <c r="BI606" s="943">
        <f>+BI476</f>
        <v>-2</v>
      </c>
      <c r="BJ606" s="943">
        <f>+BJ476</f>
        <v>2</v>
      </c>
      <c r="BK606" s="226">
        <f>+SUM(BG606:BJ606)</f>
        <v>-8</v>
      </c>
      <c r="BL606" s="943">
        <f>+BL476</f>
        <v>0</v>
      </c>
      <c r="BM606" s="943">
        <f>+BM476+3</f>
        <v>3</v>
      </c>
      <c r="BN606" s="943">
        <f>+BN476</f>
        <v>0</v>
      </c>
      <c r="BO606" s="943">
        <f>+BO476</f>
        <v>2.06</v>
      </c>
      <c r="BP606" s="226">
        <f>+SUM(BL606:BO606)</f>
        <v>5.0600000000000005</v>
      </c>
      <c r="BQ606" s="943">
        <v>0</v>
      </c>
      <c r="BR606" s="943">
        <v>0</v>
      </c>
      <c r="BS606" s="943">
        <v>0</v>
      </c>
      <c r="BT606" s="943">
        <v>0</v>
      </c>
      <c r="BU606" s="226">
        <f>SUM(BQ606:BT606)</f>
        <v>0</v>
      </c>
      <c r="BV606" s="943"/>
      <c r="BW606" s="943"/>
      <c r="BX606" s="943"/>
      <c r="BY606" s="943"/>
      <c r="BZ606" s="226"/>
      <c r="CA606" s="226"/>
      <c r="CB606" s="226"/>
      <c r="CC606" s="226"/>
      <c r="CD606" s="226"/>
      <c r="CE606" s="226"/>
      <c r="CF606" s="226"/>
      <c r="CG606" s="226"/>
      <c r="CH606" s="226"/>
      <c r="CI606" s="226"/>
      <c r="CJ606" s="226"/>
      <c r="CK606" s="226"/>
      <c r="CL606" s="226"/>
      <c r="CM606" s="226"/>
      <c r="CN606" s="226"/>
      <c r="CO606" s="226"/>
      <c r="CP606" s="226"/>
      <c r="CQ606" s="226"/>
      <c r="CR606" s="226"/>
      <c r="CS606" s="226"/>
      <c r="CT606" s="226"/>
      <c r="CU606" s="226"/>
      <c r="CV606" s="226"/>
      <c r="CW606" s="226"/>
      <c r="CX606" s="226"/>
      <c r="CY606" s="226"/>
      <c r="CZ606" s="226"/>
      <c r="DA606" s="226"/>
      <c r="DB606"/>
      <c r="DC606"/>
      <c r="DD606" s="2323" t="s">
        <v>784</v>
      </c>
      <c r="DE606" s="2327">
        <f>M606</f>
        <v>0</v>
      </c>
      <c r="DF606" s="2327">
        <f>R606</f>
        <v>0</v>
      </c>
      <c r="DG606" s="2327">
        <f>W606</f>
        <v>0</v>
      </c>
      <c r="DH606" s="2327">
        <f>AB606</f>
        <v>0</v>
      </c>
      <c r="DI606" s="2327">
        <f>AG606</f>
        <v>0</v>
      </c>
      <c r="DJ606" s="2327">
        <f>AL606</f>
        <v>0</v>
      </c>
      <c r="DK606" s="2327">
        <f>AQ606</f>
        <v>0</v>
      </c>
      <c r="DL606" s="2327">
        <f>AV606</f>
        <v>10</v>
      </c>
      <c r="DM606" s="2327">
        <f>BA606</f>
        <v>11</v>
      </c>
      <c r="DN606" s="2327">
        <f>BF606</f>
        <v>-9</v>
      </c>
      <c r="DO606" s="2327">
        <f>BK606</f>
        <v>-8</v>
      </c>
      <c r="DP606" s="2327">
        <f>BP606</f>
        <v>5.0600000000000005</v>
      </c>
      <c r="DQ606" s="2327">
        <f>BU606</f>
        <v>0</v>
      </c>
      <c r="DR606" s="2327">
        <f>BZ606</f>
        <v>0</v>
      </c>
      <c r="DS606" s="2327">
        <f>CE606</f>
        <v>0</v>
      </c>
      <c r="DT606" s="2327">
        <f>CJ606</f>
        <v>0</v>
      </c>
      <c r="DU606" s="2327">
        <f>CO606</f>
        <v>0</v>
      </c>
      <c r="DV606" s="2327">
        <f>CT606</f>
        <v>0</v>
      </c>
      <c r="DW606" s="2327">
        <f t="shared" si="1080"/>
        <v>0</v>
      </c>
      <c r="DX606" s="2327">
        <f t="shared" si="1080"/>
        <v>0</v>
      </c>
      <c r="DY606" s="2327">
        <f t="shared" si="1080"/>
        <v>0</v>
      </c>
      <c r="EA606"/>
      <c r="EB606"/>
      <c r="EC606"/>
      <c r="ED606"/>
      <c r="EE606"/>
      <c r="EF606"/>
      <c r="EJ606"/>
      <c r="EK606"/>
      <c r="EL606"/>
      <c r="ER606" s="212"/>
    </row>
    <row r="607" spans="1:148" s="923" customFormat="1" ht="12.75" hidden="1" customHeight="1" outlineLevel="1" x14ac:dyDescent="0.2">
      <c r="A607" s="865" t="s">
        <v>785</v>
      </c>
      <c r="B607" s="214"/>
      <c r="C607" s="214"/>
      <c r="D607" s="214"/>
      <c r="E607" s="214"/>
      <c r="F607" s="214"/>
      <c r="G607" s="214"/>
      <c r="H607" s="214"/>
      <c r="I607" s="214"/>
      <c r="J607" s="214"/>
      <c r="K607" s="214"/>
      <c r="L607" s="214"/>
      <c r="M607" s="214"/>
      <c r="N607" s="214"/>
      <c r="O607" s="214"/>
      <c r="P607" s="214"/>
      <c r="Q607" s="214"/>
      <c r="R607" s="214"/>
      <c r="S607" s="214"/>
      <c r="T607" s="214"/>
      <c r="U607" s="214"/>
      <c r="V607" s="214"/>
      <c r="W607" s="214"/>
      <c r="X607" s="214"/>
      <c r="Y607" s="214"/>
      <c r="Z607" s="214"/>
      <c r="AA607" s="214"/>
      <c r="AB607" s="214"/>
      <c r="AC607" s="214"/>
      <c r="AD607" s="214"/>
      <c r="AE607" s="214"/>
      <c r="AF607" s="214"/>
      <c r="AG607" s="214"/>
      <c r="AH607" s="214"/>
      <c r="AI607" s="214"/>
      <c r="AJ607" s="214"/>
      <c r="AK607" s="214"/>
      <c r="AL607" s="214"/>
      <c r="AM607" s="214"/>
      <c r="AN607" s="214"/>
      <c r="AO607" s="214"/>
      <c r="AP607" s="214"/>
      <c r="AQ607" s="214"/>
      <c r="AR607" s="214">
        <f>+AR605-AR606</f>
        <v>2</v>
      </c>
      <c r="AS607" s="214">
        <f>+AS605-AS606</f>
        <v>0</v>
      </c>
      <c r="AT607" s="214">
        <f>+AT605-AT606</f>
        <v>3</v>
      </c>
      <c r="AU607" s="214">
        <f>+AU605-AU606</f>
        <v>0</v>
      </c>
      <c r="AV607" s="214">
        <f>+SUM(AR607:AU607)</f>
        <v>5</v>
      </c>
      <c r="AW607" s="214">
        <f>+AW605-AW606</f>
        <v>22</v>
      </c>
      <c r="AX607" s="214">
        <f>+AX605-AX606</f>
        <v>-5</v>
      </c>
      <c r="AY607" s="214">
        <f>+AY605-AY606</f>
        <v>0</v>
      </c>
      <c r="AZ607" s="214">
        <f>+AZ605-AZ606</f>
        <v>-13</v>
      </c>
      <c r="BA607" s="214">
        <f>+SUM(AW607:AZ607)</f>
        <v>4</v>
      </c>
      <c r="BB607" s="214">
        <f>+BB605-BB606</f>
        <v>-33</v>
      </c>
      <c r="BC607" s="214">
        <f>+BC605-BC606</f>
        <v>-3</v>
      </c>
      <c r="BD607" s="214">
        <f>+BD605-BD606</f>
        <v>-8</v>
      </c>
      <c r="BE607" s="214">
        <f>+BE605-BE606</f>
        <v>-7</v>
      </c>
      <c r="BF607" s="214">
        <f>+SUM(BB607:BE607)</f>
        <v>-51</v>
      </c>
      <c r="BG607" s="214">
        <f>+BG605-BG606</f>
        <v>-1</v>
      </c>
      <c r="BH607" s="214">
        <f>+BH605-BH606</f>
        <v>2</v>
      </c>
      <c r="BI607" s="214">
        <f>+BI605-BI606</f>
        <v>-1</v>
      </c>
      <c r="BJ607" s="214">
        <f>+BJ605-BJ606</f>
        <v>-13</v>
      </c>
      <c r="BK607" s="214">
        <f>+SUM(BG607:BJ607)</f>
        <v>-13</v>
      </c>
      <c r="BL607" s="214">
        <f>+BL605-BL606</f>
        <v>-4</v>
      </c>
      <c r="BM607" s="214">
        <v>0</v>
      </c>
      <c r="BN607" s="214">
        <v>-1</v>
      </c>
      <c r="BO607" s="214">
        <v>-5</v>
      </c>
      <c r="BP607" s="214">
        <f>+SUM(BL607:BO607)</f>
        <v>-10</v>
      </c>
      <c r="BQ607" s="214">
        <v>2.5</v>
      </c>
      <c r="BR607" s="214">
        <v>2.5</v>
      </c>
      <c r="BS607" s="214">
        <v>2.5</v>
      </c>
      <c r="BT607" s="214">
        <v>2.5</v>
      </c>
      <c r="BU607" s="214">
        <f>SUM(BQ607:BT607)</f>
        <v>10</v>
      </c>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c r="DA607" s="214"/>
      <c r="DB607"/>
      <c r="DC607"/>
      <c r="DD607" s="2323" t="s">
        <v>785</v>
      </c>
      <c r="DE607" s="2327">
        <f>M607</f>
        <v>0</v>
      </c>
      <c r="DF607" s="2327">
        <f>R607</f>
        <v>0</v>
      </c>
      <c r="DG607" s="2327">
        <f>W607</f>
        <v>0</v>
      </c>
      <c r="DH607" s="2327">
        <f>AB607</f>
        <v>0</v>
      </c>
      <c r="DI607" s="2327">
        <f>AG607</f>
        <v>0</v>
      </c>
      <c r="DJ607" s="2327">
        <f>AL607</f>
        <v>0</v>
      </c>
      <c r="DK607" s="2327">
        <f>AQ607</f>
        <v>0</v>
      </c>
      <c r="DL607" s="2327">
        <f>AV607</f>
        <v>5</v>
      </c>
      <c r="DM607" s="2327">
        <f>BA607</f>
        <v>4</v>
      </c>
      <c r="DN607" s="2327">
        <f>BF607</f>
        <v>-51</v>
      </c>
      <c r="DO607" s="2327">
        <f>BK607</f>
        <v>-13</v>
      </c>
      <c r="DP607" s="2327">
        <f>BP607</f>
        <v>-10</v>
      </c>
      <c r="DQ607" s="2327">
        <f>BU607</f>
        <v>10</v>
      </c>
      <c r="DR607" s="2327">
        <f>BZ607</f>
        <v>0</v>
      </c>
      <c r="DS607" s="2327">
        <f>CE607</f>
        <v>0</v>
      </c>
      <c r="DT607" s="2327">
        <f>CJ607</f>
        <v>0</v>
      </c>
      <c r="DU607" s="2327">
        <f>CO607</f>
        <v>0</v>
      </c>
      <c r="DV607" s="2327">
        <f>CT607</f>
        <v>0</v>
      </c>
      <c r="DW607" s="2327">
        <f t="shared" si="1080"/>
        <v>0</v>
      </c>
      <c r="DX607" s="2327">
        <f t="shared" si="1080"/>
        <v>0</v>
      </c>
      <c r="DY607" s="2327">
        <f t="shared" si="1080"/>
        <v>0</v>
      </c>
      <c r="EA607"/>
      <c r="EB607"/>
      <c r="EC607"/>
      <c r="ED607"/>
      <c r="EE607"/>
      <c r="EF607"/>
      <c r="EJ607"/>
      <c r="EK607"/>
      <c r="EL607"/>
      <c r="ER607" s="212"/>
    </row>
    <row r="608" spans="1:148" s="923" customFormat="1" ht="12.75" customHeight="1" collapsed="1" x14ac:dyDescent="0.2">
      <c r="A608" s="865"/>
      <c r="B608" s="215"/>
      <c r="C608" s="215"/>
      <c r="D608" s="215"/>
      <c r="E608" s="215"/>
      <c r="F608" s="215"/>
      <c r="G608" s="215"/>
      <c r="H608" s="215"/>
      <c r="I608" s="215"/>
      <c r="J608" s="215"/>
      <c r="K608" s="215"/>
      <c r="L608" s="215"/>
      <c r="M608" s="215"/>
      <c r="N608" s="215"/>
      <c r="O608" s="215"/>
      <c r="P608" s="215"/>
      <c r="Q608" s="215"/>
      <c r="R608" s="215"/>
      <c r="S608" s="215"/>
      <c r="T608" s="215"/>
      <c r="U608" s="215"/>
      <c r="V608" s="215"/>
      <c r="W608" s="215"/>
      <c r="X608" s="215"/>
      <c r="Y608" s="215"/>
      <c r="Z608" s="215"/>
      <c r="AA608" s="215"/>
      <c r="AB608" s="215"/>
      <c r="AC608" s="215"/>
      <c r="AD608" s="215"/>
      <c r="AE608" s="215"/>
      <c r="AF608" s="215"/>
      <c r="AG608" s="215"/>
      <c r="AH608" s="215"/>
      <c r="AI608" s="215"/>
      <c r="AJ608" s="215"/>
      <c r="AK608" s="215"/>
      <c r="AL608" s="215"/>
      <c r="AM608" s="215"/>
      <c r="AN608" s="215"/>
      <c r="AO608" s="215"/>
      <c r="AP608" s="215"/>
      <c r="AQ608" s="215"/>
      <c r="AR608" s="215"/>
      <c r="AS608" s="215"/>
      <c r="AT608" s="215"/>
      <c r="AU608" s="215"/>
      <c r="AV608" s="215"/>
      <c r="AW608" s="215"/>
      <c r="AX608" s="215"/>
      <c r="AY608" s="215"/>
      <c r="AZ608" s="215"/>
      <c r="BA608" s="215"/>
      <c r="BB608" s="215"/>
      <c r="BC608" s="215"/>
      <c r="BD608" s="215"/>
      <c r="BE608" s="215"/>
      <c r="BF608" s="215"/>
      <c r="BG608" s="215"/>
      <c r="BH608" s="215"/>
      <c r="BI608" s="215"/>
      <c r="BJ608" s="215"/>
      <c r="BK608" s="215"/>
      <c r="BL608" s="215"/>
      <c r="BM608" s="215"/>
      <c r="BN608" s="215"/>
      <c r="BO608" s="215"/>
      <c r="BP608" s="215"/>
      <c r="BQ608" s="215"/>
      <c r="BR608" s="215"/>
      <c r="BS608" s="215"/>
      <c r="BT608" s="215"/>
      <c r="BU608" s="215"/>
      <c r="BV608" s="215"/>
      <c r="BW608" s="215"/>
      <c r="BX608" s="215"/>
      <c r="BY608" s="215"/>
      <c r="BZ608" s="215"/>
      <c r="CA608" s="215"/>
      <c r="CB608" s="215"/>
      <c r="CC608" s="215"/>
      <c r="CD608" s="215"/>
      <c r="CE608" s="215"/>
      <c r="CF608" s="215"/>
      <c r="CG608" s="215"/>
      <c r="CH608" s="215"/>
      <c r="CI608" s="215"/>
      <c r="CJ608" s="215"/>
      <c r="CK608" s="215"/>
      <c r="CL608" s="215"/>
      <c r="CM608" s="215"/>
      <c r="CN608" s="215"/>
      <c r="CO608" s="215"/>
      <c r="CP608" s="215"/>
      <c r="CQ608" s="215"/>
      <c r="CR608" s="215"/>
      <c r="CS608" s="215"/>
      <c r="CT608" s="215"/>
      <c r="CU608" s="215"/>
      <c r="CV608" s="215"/>
      <c r="CW608" s="215"/>
      <c r="CX608" s="215"/>
      <c r="CY608" s="215"/>
      <c r="CZ608" s="215"/>
      <c r="DA608" s="215"/>
      <c r="DB608"/>
      <c r="DC608"/>
      <c r="DD608" s="2323"/>
      <c r="DE608" s="2327"/>
      <c r="DF608" s="2327"/>
      <c r="DG608" s="2327"/>
      <c r="DH608" s="2327"/>
      <c r="DI608" s="2327"/>
      <c r="DJ608" s="2327"/>
      <c r="DK608" s="2327"/>
      <c r="DL608" s="2327"/>
      <c r="DM608" s="2327"/>
      <c r="DN608" s="2327"/>
      <c r="DO608" s="2327"/>
      <c r="DP608" s="2327"/>
      <c r="DQ608" s="2327"/>
      <c r="DR608" s="2327"/>
      <c r="DS608" s="2327"/>
      <c r="DT608" s="2327"/>
      <c r="DU608" s="2327"/>
      <c r="DV608" s="2327"/>
      <c r="DW608" s="2327"/>
      <c r="DX608" s="2327"/>
      <c r="DY608" s="2327"/>
      <c r="EA608"/>
      <c r="EB608"/>
      <c r="EC608"/>
      <c r="ED608"/>
      <c r="EE608"/>
      <c r="EF608"/>
      <c r="EJ608"/>
      <c r="EK608"/>
      <c r="EL608"/>
      <c r="ER608" s="212"/>
    </row>
    <row r="609" spans="1:148" s="923" customFormat="1" ht="12.75" customHeight="1" x14ac:dyDescent="0.2">
      <c r="A609" s="873" t="s">
        <v>878</v>
      </c>
      <c r="B609" s="963"/>
      <c r="C609" s="963"/>
      <c r="D609" s="963"/>
      <c r="E609" s="963"/>
      <c r="F609" s="963"/>
      <c r="G609" s="963"/>
      <c r="H609" s="963"/>
      <c r="I609" s="963" t="str">
        <f t="shared" ref="I609:AN609" si="1081">I$5</f>
        <v>1Q00</v>
      </c>
      <c r="J609" s="963" t="str">
        <f t="shared" si="1081"/>
        <v>2Q00</v>
      </c>
      <c r="K609" s="963" t="str">
        <f t="shared" si="1081"/>
        <v>3Q00</v>
      </c>
      <c r="L609" s="963" t="str">
        <f t="shared" si="1081"/>
        <v>4Q00</v>
      </c>
      <c r="M609" s="649">
        <f t="shared" si="1081"/>
        <v>2000</v>
      </c>
      <c r="N609" s="963" t="str">
        <f t="shared" si="1081"/>
        <v>1Q01</v>
      </c>
      <c r="O609" s="963" t="str">
        <f t="shared" si="1081"/>
        <v>2Q01</v>
      </c>
      <c r="P609" s="963" t="str">
        <f t="shared" si="1081"/>
        <v>3Q01</v>
      </c>
      <c r="Q609" s="963" t="str">
        <f t="shared" si="1081"/>
        <v>4Q01</v>
      </c>
      <c r="R609" s="649">
        <f t="shared" si="1081"/>
        <v>2001</v>
      </c>
      <c r="S609" s="963" t="str">
        <f t="shared" si="1081"/>
        <v>1Q02</v>
      </c>
      <c r="T609" s="963" t="str">
        <f t="shared" si="1081"/>
        <v>2Q02</v>
      </c>
      <c r="U609" s="963" t="str">
        <f t="shared" si="1081"/>
        <v>3Q02</v>
      </c>
      <c r="V609" s="963" t="str">
        <f t="shared" si="1081"/>
        <v>4Q02</v>
      </c>
      <c r="W609" s="649">
        <f t="shared" si="1081"/>
        <v>2002</v>
      </c>
      <c r="X609" s="963" t="str">
        <f t="shared" si="1081"/>
        <v>1Q03</v>
      </c>
      <c r="Y609" s="963" t="str">
        <f t="shared" si="1081"/>
        <v>2Q03</v>
      </c>
      <c r="Z609" s="963" t="str">
        <f t="shared" si="1081"/>
        <v>3Q03</v>
      </c>
      <c r="AA609" s="963" t="str">
        <f t="shared" si="1081"/>
        <v>4Q03</v>
      </c>
      <c r="AB609" s="649">
        <f t="shared" si="1081"/>
        <v>2003</v>
      </c>
      <c r="AC609" s="963" t="str">
        <f t="shared" si="1081"/>
        <v>1Q04</v>
      </c>
      <c r="AD609" s="963" t="str">
        <f t="shared" si="1081"/>
        <v>2Q04</v>
      </c>
      <c r="AE609" s="963" t="str">
        <f t="shared" si="1081"/>
        <v>3Q04</v>
      </c>
      <c r="AF609" s="963" t="str">
        <f t="shared" si="1081"/>
        <v>4Q04</v>
      </c>
      <c r="AG609" s="649" t="str">
        <f t="shared" si="1081"/>
        <v>2004</v>
      </c>
      <c r="AH609" s="963" t="str">
        <f t="shared" si="1081"/>
        <v>1Q05</v>
      </c>
      <c r="AI609" s="963" t="str">
        <f t="shared" si="1081"/>
        <v>2Q05</v>
      </c>
      <c r="AJ609" s="963" t="str">
        <f t="shared" si="1081"/>
        <v>3Q05</v>
      </c>
      <c r="AK609" s="963" t="str">
        <f t="shared" si="1081"/>
        <v>4Q05</v>
      </c>
      <c r="AL609" s="649" t="str">
        <f t="shared" si="1081"/>
        <v>2005</v>
      </c>
      <c r="AM609" s="963" t="str">
        <f t="shared" si="1081"/>
        <v>1Q06</v>
      </c>
      <c r="AN609" s="963" t="str">
        <f t="shared" si="1081"/>
        <v>2Q06</v>
      </c>
      <c r="AO609" s="963" t="str">
        <f t="shared" ref="AO609:BT609" si="1082">AO$5</f>
        <v>3Q06</v>
      </c>
      <c r="AP609" s="963" t="str">
        <f t="shared" si="1082"/>
        <v>4Q06</v>
      </c>
      <c r="AQ609" s="649" t="str">
        <f t="shared" si="1082"/>
        <v>2006</v>
      </c>
      <c r="AR609" s="963" t="str">
        <f t="shared" si="1082"/>
        <v>1Q07</v>
      </c>
      <c r="AS609" s="963" t="str">
        <f t="shared" si="1082"/>
        <v>2Q07</v>
      </c>
      <c r="AT609" s="963" t="str">
        <f t="shared" si="1082"/>
        <v>3Q07</v>
      </c>
      <c r="AU609" s="963" t="str">
        <f t="shared" si="1082"/>
        <v>4Q07</v>
      </c>
      <c r="AV609" s="649" t="str">
        <f t="shared" si="1082"/>
        <v>2007</v>
      </c>
      <c r="AW609" s="963" t="str">
        <f t="shared" si="1082"/>
        <v>1Q08</v>
      </c>
      <c r="AX609" s="963" t="str">
        <f t="shared" si="1082"/>
        <v>2Q08</v>
      </c>
      <c r="AY609" s="963" t="str">
        <f t="shared" si="1082"/>
        <v>3Q08</v>
      </c>
      <c r="AZ609" s="963" t="str">
        <f t="shared" si="1082"/>
        <v>4Q08</v>
      </c>
      <c r="BA609" s="649" t="str">
        <f t="shared" si="1082"/>
        <v>2008</v>
      </c>
      <c r="BB609" s="963" t="str">
        <f t="shared" si="1082"/>
        <v>1Q09</v>
      </c>
      <c r="BC609" s="963" t="str">
        <f t="shared" si="1082"/>
        <v>2Q09</v>
      </c>
      <c r="BD609" s="963" t="str">
        <f t="shared" si="1082"/>
        <v>3Q09</v>
      </c>
      <c r="BE609" s="963" t="str">
        <f t="shared" si="1082"/>
        <v>4Q09</v>
      </c>
      <c r="BF609" s="649" t="str">
        <f t="shared" si="1082"/>
        <v>2009</v>
      </c>
      <c r="BG609" s="963" t="str">
        <f t="shared" si="1082"/>
        <v>1Q10</v>
      </c>
      <c r="BH609" s="963" t="str">
        <f t="shared" si="1082"/>
        <v>2Q10</v>
      </c>
      <c r="BI609" s="963" t="str">
        <f t="shared" si="1082"/>
        <v>3Q10</v>
      </c>
      <c r="BJ609" s="963" t="str">
        <f t="shared" si="1082"/>
        <v>4Q10</v>
      </c>
      <c r="BK609" s="649" t="str">
        <f t="shared" si="1082"/>
        <v>2010</v>
      </c>
      <c r="BL609" s="963" t="str">
        <f t="shared" si="1082"/>
        <v>1Q11</v>
      </c>
      <c r="BM609" s="963" t="str">
        <f t="shared" si="1082"/>
        <v>2Q11</v>
      </c>
      <c r="BN609" s="963" t="str">
        <f t="shared" si="1082"/>
        <v>3Q11</v>
      </c>
      <c r="BO609" s="963" t="str">
        <f t="shared" si="1082"/>
        <v>4Q11</v>
      </c>
      <c r="BP609" s="649">
        <f t="shared" si="1082"/>
        <v>2011</v>
      </c>
      <c r="BQ609" s="963" t="str">
        <f t="shared" si="1082"/>
        <v>1Q12</v>
      </c>
      <c r="BR609" s="963" t="str">
        <f t="shared" si="1082"/>
        <v>2Q12</v>
      </c>
      <c r="BS609" s="963" t="str">
        <f t="shared" si="1082"/>
        <v>3Q12</v>
      </c>
      <c r="BT609" s="963" t="str">
        <f t="shared" si="1082"/>
        <v>4Q12</v>
      </c>
      <c r="BU609" s="649">
        <f t="shared" ref="BU609:DA609" si="1083">BU$5</f>
        <v>2012</v>
      </c>
      <c r="BV609" s="963" t="str">
        <f t="shared" si="1083"/>
        <v>1Q13</v>
      </c>
      <c r="BW609" s="963" t="str">
        <f t="shared" si="1083"/>
        <v>2Q13</v>
      </c>
      <c r="BX609" s="963" t="str">
        <f t="shared" si="1083"/>
        <v>3Q13</v>
      </c>
      <c r="BY609" s="963" t="str">
        <f t="shared" si="1083"/>
        <v>4Q13</v>
      </c>
      <c r="BZ609" s="649">
        <f t="shared" si="1083"/>
        <v>2013</v>
      </c>
      <c r="CA609" s="1768" t="str">
        <f t="shared" si="1083"/>
        <v>1Q14</v>
      </c>
      <c r="CB609" s="963" t="str">
        <f t="shared" si="1083"/>
        <v>2Q14</v>
      </c>
      <c r="CC609" s="963" t="str">
        <f t="shared" si="1083"/>
        <v>3Q14</v>
      </c>
      <c r="CD609" s="964" t="str">
        <f t="shared" si="1083"/>
        <v>4Q14</v>
      </c>
      <c r="CE609" s="649">
        <f t="shared" si="1083"/>
        <v>2014</v>
      </c>
      <c r="CF609" s="963" t="str">
        <f t="shared" si="1083"/>
        <v>1Q15</v>
      </c>
      <c r="CG609" s="963" t="str">
        <f t="shared" si="1083"/>
        <v>2Q15</v>
      </c>
      <c r="CH609" s="963" t="str">
        <f t="shared" si="1083"/>
        <v>3Q15</v>
      </c>
      <c r="CI609" s="964" t="str">
        <f t="shared" si="1083"/>
        <v>4Q15</v>
      </c>
      <c r="CJ609" s="649">
        <f t="shared" si="1083"/>
        <v>2015</v>
      </c>
      <c r="CK609" s="963" t="str">
        <f t="shared" si="1083"/>
        <v>1Q16</v>
      </c>
      <c r="CL609" s="963" t="str">
        <f t="shared" si="1083"/>
        <v>2Q16</v>
      </c>
      <c r="CM609" s="963" t="str">
        <f t="shared" si="1083"/>
        <v>3Q16</v>
      </c>
      <c r="CN609" s="964" t="str">
        <f t="shared" si="1083"/>
        <v>4Q16</v>
      </c>
      <c r="CO609" s="649">
        <f t="shared" si="1083"/>
        <v>2016</v>
      </c>
      <c r="CP609" s="963" t="str">
        <f t="shared" si="1083"/>
        <v>1Q17</v>
      </c>
      <c r="CQ609" s="963" t="str">
        <f t="shared" si="1083"/>
        <v>2Q17</v>
      </c>
      <c r="CR609" s="963" t="str">
        <f t="shared" si="1083"/>
        <v>3Q17</v>
      </c>
      <c r="CS609" s="963" t="str">
        <f t="shared" si="1083"/>
        <v>4Q17A</v>
      </c>
      <c r="CT609" s="649" t="str">
        <f t="shared" si="1083"/>
        <v>2017A</v>
      </c>
      <c r="CU609" s="963" t="str">
        <f t="shared" si="1083"/>
        <v>1Q18E</v>
      </c>
      <c r="CV609" s="963" t="str">
        <f t="shared" si="1083"/>
        <v>2Q18E</v>
      </c>
      <c r="CW609" s="963" t="str">
        <f t="shared" si="1083"/>
        <v>3Q18E</v>
      </c>
      <c r="CX609" s="963" t="str">
        <f t="shared" si="1083"/>
        <v>4Q18E</v>
      </c>
      <c r="CY609" s="649" t="str">
        <f t="shared" si="1083"/>
        <v>2018E</v>
      </c>
      <c r="CZ609" s="649" t="str">
        <f t="shared" si="1083"/>
        <v>2019E</v>
      </c>
      <c r="DA609" s="649" t="str">
        <f t="shared" si="1083"/>
        <v>2020E</v>
      </c>
      <c r="DB609"/>
      <c r="DC609"/>
      <c r="DD609" s="873" t="s">
        <v>878</v>
      </c>
      <c r="DE609" s="649"/>
      <c r="DF609" s="649"/>
      <c r="DG609" s="649"/>
      <c r="DH609" s="649"/>
      <c r="DI609" s="649"/>
      <c r="DJ609" s="649"/>
      <c r="DK609" s="649"/>
      <c r="DL609" s="649"/>
      <c r="DM609" s="649"/>
      <c r="DN609" s="649"/>
      <c r="DO609" s="649"/>
      <c r="DP609" s="649"/>
      <c r="DQ609" s="649"/>
      <c r="DR609" s="649"/>
      <c r="DS609" s="649"/>
      <c r="DT609" s="649"/>
      <c r="DU609" s="649"/>
      <c r="DV609" s="649"/>
      <c r="DW609" s="649"/>
      <c r="DX609" s="649"/>
      <c r="DY609" s="649"/>
      <c r="EA609"/>
      <c r="EB609"/>
      <c r="EC609"/>
      <c r="ED609"/>
      <c r="EE609"/>
      <c r="EF609"/>
      <c r="EJ609"/>
      <c r="EK609"/>
      <c r="EL609"/>
      <c r="ER609" s="212"/>
    </row>
    <row r="610" spans="1:148" ht="12.75" customHeight="1" x14ac:dyDescent="0.2">
      <c r="A610" s="1437"/>
      <c r="B610" s="854"/>
      <c r="C610" s="854"/>
      <c r="D610" s="854"/>
      <c r="E610" s="854"/>
      <c r="F610" s="854"/>
      <c r="G610" s="854"/>
      <c r="H610" s="854"/>
      <c r="I610" s="854"/>
      <c r="J610" s="854"/>
      <c r="K610" s="854"/>
      <c r="L610" s="854"/>
      <c r="M610" s="979"/>
      <c r="N610" s="854"/>
      <c r="O610" s="854"/>
      <c r="P610" s="854"/>
      <c r="Q610" s="854"/>
      <c r="R610" s="979"/>
      <c r="S610" s="854"/>
      <c r="T610" s="854"/>
      <c r="U610" s="854"/>
      <c r="V610" s="854"/>
      <c r="W610" s="979"/>
      <c r="X610" s="854"/>
      <c r="Y610" s="854"/>
      <c r="Z610" s="854"/>
      <c r="AA610" s="854"/>
      <c r="AB610" s="979"/>
      <c r="AC610" s="854"/>
      <c r="AD610" s="854"/>
      <c r="AE610" s="854"/>
      <c r="AF610" s="854"/>
      <c r="AG610" s="979"/>
      <c r="AH610" s="854"/>
      <c r="AI610" s="854"/>
      <c r="AJ610" s="854"/>
      <c r="AK610" s="854"/>
      <c r="AL610" s="979"/>
      <c r="AM610" s="854"/>
      <c r="AN610" s="854"/>
      <c r="AO610" s="854"/>
      <c r="AP610" s="854"/>
      <c r="AQ610" s="979"/>
      <c r="AR610" s="854"/>
      <c r="AS610" s="854"/>
      <c r="AT610" s="854"/>
      <c r="AU610" s="854"/>
      <c r="AV610" s="979"/>
      <c r="AW610" s="854"/>
      <c r="AX610" s="854"/>
      <c r="AY610" s="854"/>
      <c r="AZ610" s="854"/>
      <c r="BA610" s="979"/>
      <c r="BB610" s="854"/>
      <c r="BC610" s="854"/>
      <c r="BD610" s="854"/>
      <c r="BE610" s="854"/>
      <c r="BF610" s="979"/>
      <c r="BG610" s="854"/>
      <c r="BH610" s="854"/>
      <c r="BI610" s="854"/>
      <c r="BJ610" s="854"/>
      <c r="BK610" s="979"/>
      <c r="BL610" s="854"/>
      <c r="BM610" s="854"/>
      <c r="BN610" s="854"/>
      <c r="BO610" s="854"/>
      <c r="BP610" s="979"/>
      <c r="BQ610" s="854"/>
      <c r="BR610" s="854"/>
      <c r="BS610" s="854"/>
      <c r="BT610" s="854"/>
      <c r="BU610" s="979"/>
      <c r="BV610" s="854"/>
      <c r="BW610" s="854"/>
      <c r="BX610" s="854"/>
      <c r="BY610" s="854"/>
      <c r="BZ610" s="979"/>
      <c r="CA610" s="1769"/>
      <c r="CB610" s="1830"/>
      <c r="CC610" s="1830"/>
      <c r="CD610" s="1795"/>
      <c r="CE610" s="979"/>
      <c r="CF610" s="1830"/>
      <c r="CG610" s="1830"/>
      <c r="CH610" s="1830"/>
      <c r="CI610" s="1795"/>
      <c r="CJ610" s="979"/>
      <c r="CK610" s="1830"/>
      <c r="CL610" s="1830"/>
      <c r="CM610" s="1830"/>
      <c r="CN610" s="1795"/>
      <c r="CO610" s="979"/>
      <c r="CP610" s="1830"/>
      <c r="CQ610" s="1830"/>
      <c r="CR610" s="1830"/>
      <c r="CS610" s="1830"/>
      <c r="CT610" s="979"/>
      <c r="CU610" s="1830"/>
      <c r="CV610" s="1830"/>
      <c r="CW610" s="1830"/>
      <c r="CX610" s="1830"/>
      <c r="CY610" s="979"/>
      <c r="CZ610" s="979"/>
      <c r="DA610" s="979"/>
      <c r="DD610" s="1437"/>
      <c r="DE610" s="851"/>
      <c r="DF610" s="851"/>
      <c r="DG610" s="851"/>
      <c r="DH610" s="851"/>
      <c r="DI610" s="851"/>
      <c r="DJ610" s="851"/>
      <c r="DK610" s="851"/>
      <c r="DL610" s="851"/>
      <c r="DM610" s="851"/>
      <c r="DN610" s="851"/>
      <c r="DO610" s="851"/>
      <c r="DP610" s="851"/>
      <c r="DQ610" s="851"/>
      <c r="DR610" s="851"/>
      <c r="DS610" s="851"/>
      <c r="DT610" s="851"/>
      <c r="DU610" s="851"/>
      <c r="DV610" s="851"/>
      <c r="DW610" s="851"/>
      <c r="DX610" s="851"/>
      <c r="DY610" s="851"/>
      <c r="EK610"/>
      <c r="EL610"/>
    </row>
    <row r="611" spans="1:148" s="923" customFormat="1" ht="12.75" customHeight="1" x14ac:dyDescent="0.2">
      <c r="A611" s="1437" t="s">
        <v>1484</v>
      </c>
      <c r="B611" s="215"/>
      <c r="C611" s="215"/>
      <c r="D611" s="215"/>
      <c r="E611" s="215"/>
      <c r="F611" s="215"/>
      <c r="G611" s="215"/>
      <c r="H611" s="215"/>
      <c r="I611" s="215"/>
      <c r="J611" s="215"/>
      <c r="K611" s="215"/>
      <c r="L611" s="215"/>
      <c r="M611" s="968"/>
      <c r="N611" s="215"/>
      <c r="O611" s="215"/>
      <c r="P611" s="215"/>
      <c r="Q611" s="215"/>
      <c r="R611" s="968"/>
      <c r="S611" s="215"/>
      <c r="T611" s="215"/>
      <c r="U611" s="215"/>
      <c r="V611" s="215"/>
      <c r="W611" s="968"/>
      <c r="X611" s="215"/>
      <c r="Y611" s="215"/>
      <c r="Z611" s="215"/>
      <c r="AA611" s="215"/>
      <c r="AB611" s="968"/>
      <c r="AC611" s="215"/>
      <c r="AD611" s="215"/>
      <c r="AE611" s="215"/>
      <c r="AF611" s="215"/>
      <c r="AG611" s="968"/>
      <c r="AH611" s="215"/>
      <c r="AI611" s="215"/>
      <c r="AJ611" s="215"/>
      <c r="AK611" s="215"/>
      <c r="AL611" s="968"/>
      <c r="AM611" s="215"/>
      <c r="AN611" s="215"/>
      <c r="AO611" s="215"/>
      <c r="AP611" s="215"/>
      <c r="AQ611" s="968"/>
      <c r="AR611" s="215"/>
      <c r="AS611" s="215"/>
      <c r="AT611" s="215"/>
      <c r="AU611" s="215"/>
      <c r="AV611" s="968"/>
      <c r="AW611" s="215"/>
      <c r="AX611" s="215"/>
      <c r="AY611" s="215"/>
      <c r="AZ611" s="215"/>
      <c r="BA611" s="968"/>
      <c r="BB611" s="215"/>
      <c r="BC611" s="215"/>
      <c r="BD611" s="215"/>
      <c r="BE611" s="215"/>
      <c r="BF611" s="968"/>
      <c r="BG611" s="215"/>
      <c r="BH611" s="215"/>
      <c r="BI611" s="215"/>
      <c r="BJ611" s="215"/>
      <c r="BK611" s="968"/>
      <c r="BL611" s="215"/>
      <c r="BM611" s="215"/>
      <c r="BN611" s="215"/>
      <c r="BO611" s="215"/>
      <c r="BP611" s="968"/>
      <c r="BQ611" s="215"/>
      <c r="BR611" s="215"/>
      <c r="BS611" s="215"/>
      <c r="BT611" s="215"/>
      <c r="BU611" s="968"/>
      <c r="BV611" s="215"/>
      <c r="BW611" s="215"/>
      <c r="BX611" s="215"/>
      <c r="BY611" s="215"/>
      <c r="BZ611" s="968"/>
      <c r="CA611" s="188"/>
      <c r="CB611" s="215"/>
      <c r="CC611" s="215"/>
      <c r="CD611" s="1788"/>
      <c r="CE611" s="968"/>
      <c r="CF611" s="215"/>
      <c r="CG611" s="215"/>
      <c r="CH611" s="215"/>
      <c r="CI611" s="1788"/>
      <c r="CJ611" s="968"/>
      <c r="CK611" s="215"/>
      <c r="CL611" s="215"/>
      <c r="CM611" s="215"/>
      <c r="CN611" s="1788"/>
      <c r="CO611" s="968"/>
      <c r="CP611" s="871"/>
      <c r="CQ611" s="215"/>
      <c r="CR611" s="215"/>
      <c r="CS611" s="215"/>
      <c r="CT611" s="968"/>
      <c r="CU611" s="871"/>
      <c r="CV611" s="215"/>
      <c r="CW611" s="215"/>
      <c r="CX611" s="215"/>
      <c r="CY611" s="968"/>
      <c r="CZ611" s="968"/>
      <c r="DA611" s="968"/>
      <c r="DB611"/>
      <c r="DC611"/>
      <c r="DD611" s="1437" t="s">
        <v>1484</v>
      </c>
      <c r="DE611" s="2290">
        <f t="shared" ref="DE611:DE623" si="1084">M611</f>
        <v>0</v>
      </c>
      <c r="DF611" s="2290">
        <f t="shared" ref="DF611:DF623" si="1085">R611</f>
        <v>0</v>
      </c>
      <c r="DG611" s="2290">
        <f t="shared" ref="DG611:DG623" si="1086">W611</f>
        <v>0</v>
      </c>
      <c r="DH611" s="2290">
        <f t="shared" ref="DH611:DH623" si="1087">AB611</f>
        <v>0</v>
      </c>
      <c r="DI611" s="2290">
        <f t="shared" ref="DI611:DI623" si="1088">AG611</f>
        <v>0</v>
      </c>
      <c r="DJ611" s="2290">
        <f t="shared" ref="DJ611:DJ623" si="1089">AL611</f>
        <v>0</v>
      </c>
      <c r="DK611" s="2290">
        <f t="shared" ref="DK611:DK623" si="1090">AQ611</f>
        <v>0</v>
      </c>
      <c r="DL611" s="2290">
        <f t="shared" ref="DL611:DL623" si="1091">AV611</f>
        <v>0</v>
      </c>
      <c r="DM611" s="2290">
        <f t="shared" ref="DM611:DM623" si="1092">BA611</f>
        <v>0</v>
      </c>
      <c r="DN611" s="2290">
        <f t="shared" ref="DN611:DN623" si="1093">BF611</f>
        <v>0</v>
      </c>
      <c r="DO611" s="2290">
        <f t="shared" ref="DO611:DO623" si="1094">BK611</f>
        <v>0</v>
      </c>
      <c r="DP611" s="2290">
        <f t="shared" ref="DP611:DP623" si="1095">BP611</f>
        <v>0</v>
      </c>
      <c r="DQ611" s="2290">
        <f t="shared" ref="DQ611:DQ623" si="1096">BU611</f>
        <v>0</v>
      </c>
      <c r="DR611" s="2290">
        <f t="shared" ref="DR611:DR623" si="1097">BZ611</f>
        <v>0</v>
      </c>
      <c r="DS611" s="2290">
        <f t="shared" ref="DS611:DS623" si="1098">CE611</f>
        <v>0</v>
      </c>
      <c r="DT611" s="2290">
        <f t="shared" ref="DT611:DT623" si="1099">CJ611</f>
        <v>0</v>
      </c>
      <c r="DU611" s="2290">
        <f t="shared" ref="DU611:DU623" si="1100">CO611</f>
        <v>0</v>
      </c>
      <c r="DV611" s="2290">
        <f t="shared" ref="DV611:DV623" si="1101">CT611</f>
        <v>0</v>
      </c>
      <c r="DW611" s="2290">
        <f t="shared" ref="DW611:DW623" si="1102">CY611</f>
        <v>0</v>
      </c>
      <c r="DX611" s="2290">
        <f t="shared" ref="DX611:DX623" si="1103">CZ611</f>
        <v>0</v>
      </c>
      <c r="DY611" s="2290">
        <f t="shared" ref="DY611:DY623" si="1104">DA611</f>
        <v>0</v>
      </c>
      <c r="EA611"/>
      <c r="EB611"/>
      <c r="EC611"/>
      <c r="ED611"/>
      <c r="EE611"/>
      <c r="EF611"/>
      <c r="EJ611"/>
      <c r="EK611"/>
      <c r="EL611"/>
      <c r="ER611" s="212"/>
    </row>
    <row r="612" spans="1:148" ht="12.75" customHeight="1" x14ac:dyDescent="0.2">
      <c r="A612" s="2288" t="s">
        <v>2480</v>
      </c>
      <c r="B612" s="1485"/>
      <c r="C612" s="1485"/>
      <c r="D612" s="1485"/>
      <c r="E612" s="1485"/>
      <c r="F612" s="1485"/>
      <c r="G612" s="1485"/>
      <c r="H612" s="1485"/>
      <c r="I612" s="1485"/>
      <c r="J612" s="1485"/>
      <c r="K612" s="1485"/>
      <c r="L612" s="1485"/>
      <c r="M612" s="1468"/>
      <c r="N612" s="1485"/>
      <c r="O612" s="1485"/>
      <c r="P612" s="1485"/>
      <c r="Q612" s="1485"/>
      <c r="R612" s="1468"/>
      <c r="S612" s="1485"/>
      <c r="T612" s="1485"/>
      <c r="U612" s="1485"/>
      <c r="V612" s="1485"/>
      <c r="W612" s="1468"/>
      <c r="X612" s="1485"/>
      <c r="Y612" s="1485"/>
      <c r="Z612" s="1485"/>
      <c r="AA612" s="1485"/>
      <c r="AB612" s="1468"/>
      <c r="AC612" s="1485"/>
      <c r="AD612" s="1485"/>
      <c r="AE612" s="1485"/>
      <c r="AF612" s="1485"/>
      <c r="AG612" s="1468"/>
      <c r="AH612" s="1485"/>
      <c r="AI612" s="1485"/>
      <c r="AJ612" s="1485"/>
      <c r="AK612" s="1485"/>
      <c r="AL612" s="1468"/>
      <c r="AM612" s="1485"/>
      <c r="AN612" s="1485"/>
      <c r="AO612" s="1485"/>
      <c r="AP612" s="1485"/>
      <c r="AQ612" s="1468"/>
      <c r="AR612" s="1485"/>
      <c r="AS612" s="1485"/>
      <c r="AT612" s="1485"/>
      <c r="AU612" s="1485"/>
      <c r="AV612" s="1468"/>
      <c r="AW612" s="1485"/>
      <c r="AX612" s="1485"/>
      <c r="AY612" s="1485"/>
      <c r="AZ612" s="1485"/>
      <c r="BA612" s="1468"/>
      <c r="BB612" s="1485"/>
      <c r="BC612" s="1485"/>
      <c r="BD612" s="1485"/>
      <c r="BE612" s="1485"/>
      <c r="BF612" s="1468"/>
      <c r="BG612" s="1485">
        <v>138</v>
      </c>
      <c r="BH612" s="1485">
        <v>142</v>
      </c>
      <c r="BI612" s="1485">
        <v>149</v>
      </c>
      <c r="BJ612" s="1485">
        <v>240</v>
      </c>
      <c r="BK612" s="1468">
        <f>SUM(BG612:BJ612)</f>
        <v>669</v>
      </c>
      <c r="BL612" s="1485">
        <v>159</v>
      </c>
      <c r="BM612" s="1485">
        <v>159</v>
      </c>
      <c r="BN612" s="1485">
        <v>180</v>
      </c>
      <c r="BO612" s="1485">
        <v>240</v>
      </c>
      <c r="BP612" s="1468">
        <f>SUM(BL612:BO612)</f>
        <v>738</v>
      </c>
      <c r="BQ612" s="1485">
        <v>147</v>
      </c>
      <c r="BR612" s="1485">
        <v>160</v>
      </c>
      <c r="BS612" s="1485">
        <v>132</v>
      </c>
      <c r="BT612" s="1485">
        <v>206</v>
      </c>
      <c r="BU612" s="1468">
        <f>SUM(BQ612:BT612)</f>
        <v>645</v>
      </c>
      <c r="BV612" s="1485">
        <v>164</v>
      </c>
      <c r="BW612" s="1485">
        <v>160</v>
      </c>
      <c r="BX612" s="1485">
        <v>147</v>
      </c>
      <c r="BY612" s="1485">
        <v>178</v>
      </c>
      <c r="BZ612" s="1468">
        <f>SUM(BV612:BY612)</f>
        <v>649</v>
      </c>
      <c r="CA612" s="1485">
        <v>148</v>
      </c>
      <c r="CB612" s="1485">
        <v>159</v>
      </c>
      <c r="CC612" s="1485">
        <v>172</v>
      </c>
      <c r="CD612" s="1485">
        <v>180</v>
      </c>
      <c r="CE612" s="1468">
        <f>SUM(CA612:CD612)</f>
        <v>659</v>
      </c>
      <c r="CF612" s="1485">
        <v>145</v>
      </c>
      <c r="CG612" s="1485">
        <v>152</v>
      </c>
      <c r="CH612" s="1485">
        <v>149</v>
      </c>
      <c r="CI612" s="1485">
        <v>188</v>
      </c>
      <c r="CJ612" s="1468">
        <f>SUM(CF612:CI612)</f>
        <v>634</v>
      </c>
      <c r="CK612" s="1485">
        <v>163</v>
      </c>
      <c r="CL612" s="1485">
        <v>168</v>
      </c>
      <c r="CM612" s="1485">
        <v>154</v>
      </c>
      <c r="CN612" s="1466">
        <f>+CI612*(1+CN617)</f>
        <v>172.96</v>
      </c>
      <c r="CO612" s="1468">
        <f>SUM(CK612:CN612)</f>
        <v>657.96</v>
      </c>
      <c r="CP612" s="1466">
        <f t="shared" ref="CP612:CS613" si="1105">+CK612*(1+CP617)</f>
        <v>166.26</v>
      </c>
      <c r="CQ612" s="1466">
        <f t="shared" si="1105"/>
        <v>178.08</v>
      </c>
      <c r="CR612" s="1466">
        <f t="shared" si="1105"/>
        <v>161.70000000000002</v>
      </c>
      <c r="CS612" s="1466">
        <f t="shared" si="1105"/>
        <v>198.904</v>
      </c>
      <c r="CT612" s="1468">
        <f>SUM(CP612:CS612)</f>
        <v>704.94400000000007</v>
      </c>
      <c r="CU612" s="1466">
        <f t="shared" ref="CU612:CX613" si="1106">+CP612*(1+CU617)</f>
        <v>199.51199999999997</v>
      </c>
      <c r="CV612" s="1466">
        <f t="shared" si="1106"/>
        <v>204.792</v>
      </c>
      <c r="CW612" s="1466">
        <f t="shared" si="1106"/>
        <v>202.12500000000003</v>
      </c>
      <c r="CX612" s="1466">
        <f t="shared" si="1106"/>
        <v>196.91496000000001</v>
      </c>
      <c r="CY612" s="1468">
        <f>SUM(CU612:CX612)</f>
        <v>803.34395999999992</v>
      </c>
      <c r="CZ612" s="1468">
        <f>+CY612*(1+CZ617)</f>
        <v>739.07644319999997</v>
      </c>
      <c r="DA612" s="1468">
        <f>+CZ612*(1+DA617)</f>
        <v>716.90414990399995</v>
      </c>
      <c r="DD612" s="2288" t="s">
        <v>582</v>
      </c>
      <c r="DE612" s="2343">
        <f t="shared" si="1084"/>
        <v>0</v>
      </c>
      <c r="DF612" s="2343">
        <f t="shared" si="1085"/>
        <v>0</v>
      </c>
      <c r="DG612" s="2343">
        <f t="shared" si="1086"/>
        <v>0</v>
      </c>
      <c r="DH612" s="2343">
        <f t="shared" si="1087"/>
        <v>0</v>
      </c>
      <c r="DI612" s="2343">
        <f t="shared" si="1088"/>
        <v>0</v>
      </c>
      <c r="DJ612" s="2343">
        <f t="shared" si="1089"/>
        <v>0</v>
      </c>
      <c r="DK612" s="2343">
        <f t="shared" si="1090"/>
        <v>0</v>
      </c>
      <c r="DL612" s="2343">
        <f t="shared" si="1091"/>
        <v>0</v>
      </c>
      <c r="DM612" s="2343">
        <f t="shared" si="1092"/>
        <v>0</v>
      </c>
      <c r="DN612" s="2343">
        <f t="shared" si="1093"/>
        <v>0</v>
      </c>
      <c r="DO612" s="2343">
        <f t="shared" si="1094"/>
        <v>669</v>
      </c>
      <c r="DP612" s="2343">
        <f t="shared" si="1095"/>
        <v>738</v>
      </c>
      <c r="DQ612" s="2343">
        <f t="shared" si="1096"/>
        <v>645</v>
      </c>
      <c r="DR612" s="2343">
        <f t="shared" si="1097"/>
        <v>649</v>
      </c>
      <c r="DS612" s="2343">
        <f t="shared" si="1098"/>
        <v>659</v>
      </c>
      <c r="DT612" s="2343">
        <f t="shared" si="1099"/>
        <v>634</v>
      </c>
      <c r="DU612" s="2343">
        <f t="shared" si="1100"/>
        <v>657.96</v>
      </c>
      <c r="DV612" s="2343">
        <f t="shared" si="1101"/>
        <v>704.94400000000007</v>
      </c>
      <c r="DW612" s="2343">
        <f t="shared" si="1102"/>
        <v>803.34395999999992</v>
      </c>
      <c r="DX612" s="2343">
        <f t="shared" si="1103"/>
        <v>739.07644319999997</v>
      </c>
      <c r="DY612" s="2343">
        <f t="shared" si="1104"/>
        <v>716.90414990399995</v>
      </c>
      <c r="EK612"/>
      <c r="EL612"/>
      <c r="EM612" s="1703"/>
    </row>
    <row r="613" spans="1:148" ht="12.75" customHeight="1" x14ac:dyDescent="0.2">
      <c r="A613" s="2288" t="s">
        <v>2481</v>
      </c>
      <c r="B613" s="1485"/>
      <c r="C613" s="1485"/>
      <c r="D613" s="1485"/>
      <c r="E613" s="1485"/>
      <c r="F613" s="1485"/>
      <c r="G613" s="1485"/>
      <c r="H613" s="1485"/>
      <c r="I613" s="2935">
        <v>50.649237499999998</v>
      </c>
      <c r="J613" s="2935">
        <v>51</v>
      </c>
      <c r="K613" s="2935">
        <v>44.5</v>
      </c>
      <c r="L613" s="2935">
        <v>46</v>
      </c>
      <c r="M613" s="3185">
        <v>192.1492375</v>
      </c>
      <c r="N613" s="2935">
        <v>45.649237499999998</v>
      </c>
      <c r="O613" s="2935">
        <v>42</v>
      </c>
      <c r="P613" s="2935">
        <v>50.375</v>
      </c>
      <c r="Q613" s="2935">
        <v>44.738927738927728</v>
      </c>
      <c r="R613" s="3185">
        <v>182.76316523892774</v>
      </c>
      <c r="S613" s="2935">
        <v>49</v>
      </c>
      <c r="T613" s="2935">
        <v>48</v>
      </c>
      <c r="U613" s="2935">
        <v>52</v>
      </c>
      <c r="V613" s="2935">
        <v>42</v>
      </c>
      <c r="W613" s="3185">
        <v>191</v>
      </c>
      <c r="X613" s="2935">
        <v>50</v>
      </c>
      <c r="Y613" s="2935">
        <v>64</v>
      </c>
      <c r="Z613" s="2935">
        <v>45</v>
      </c>
      <c r="AA613" s="2935">
        <v>41</v>
      </c>
      <c r="AB613" s="3185">
        <v>200</v>
      </c>
      <c r="AC613" s="2935">
        <v>82</v>
      </c>
      <c r="AD613" s="2935">
        <v>88</v>
      </c>
      <c r="AE613" s="2935">
        <v>37</v>
      </c>
      <c r="AF613" s="2935">
        <v>87</v>
      </c>
      <c r="AG613" s="3185">
        <v>294</v>
      </c>
      <c r="AH613" s="2935">
        <v>82</v>
      </c>
      <c r="AI613" s="2935">
        <v>94</v>
      </c>
      <c r="AJ613" s="2935">
        <v>98</v>
      </c>
      <c r="AK613" s="2935">
        <v>96</v>
      </c>
      <c r="AL613" s="3185">
        <v>370</v>
      </c>
      <c r="AM613" s="2935">
        <v>106</v>
      </c>
      <c r="AN613" s="2935">
        <v>121</v>
      </c>
      <c r="AO613" s="2935">
        <v>115</v>
      </c>
      <c r="AP613" s="2935">
        <v>128</v>
      </c>
      <c r="AQ613" s="3185">
        <v>470</v>
      </c>
      <c r="AR613" s="2935">
        <v>116</v>
      </c>
      <c r="AS613" s="2935">
        <v>130</v>
      </c>
      <c r="AT613" s="2935">
        <v>116</v>
      </c>
      <c r="AU613" s="2935">
        <v>151</v>
      </c>
      <c r="AV613" s="3185">
        <v>513</v>
      </c>
      <c r="AW613" s="2935">
        <v>134</v>
      </c>
      <c r="AX613" s="2935">
        <v>138</v>
      </c>
      <c r="AY613" s="2935">
        <v>113</v>
      </c>
      <c r="AZ613" s="2935">
        <v>96</v>
      </c>
      <c r="BA613" s="3185">
        <v>481</v>
      </c>
      <c r="BB613" s="2935">
        <v>93</v>
      </c>
      <c r="BC613" s="2935">
        <v>96</v>
      </c>
      <c r="BD613" s="2935">
        <v>102</v>
      </c>
      <c r="BE613" s="2935">
        <v>79</v>
      </c>
      <c r="BF613" s="3185">
        <v>370</v>
      </c>
      <c r="BG613" s="2935">
        <v>76</v>
      </c>
      <c r="BH613" s="2935">
        <v>92</v>
      </c>
      <c r="BI613" s="2935">
        <v>90</v>
      </c>
      <c r="BJ613" s="2935">
        <v>86</v>
      </c>
      <c r="BK613" s="3185">
        <v>344</v>
      </c>
      <c r="BL613" s="2935">
        <v>80</v>
      </c>
      <c r="BM613" s="2935">
        <v>88</v>
      </c>
      <c r="BN613" s="2935">
        <v>88</v>
      </c>
      <c r="BO613" s="2935">
        <v>96</v>
      </c>
      <c r="BP613" s="3185">
        <v>352</v>
      </c>
      <c r="BQ613" s="2935">
        <v>96</v>
      </c>
      <c r="BR613" s="2935">
        <v>86</v>
      </c>
      <c r="BS613" s="2935">
        <v>87</v>
      </c>
      <c r="BT613" s="2935">
        <v>101</v>
      </c>
      <c r="BU613" s="3185">
        <v>370</v>
      </c>
      <c r="BV613" s="2935">
        <v>90</v>
      </c>
      <c r="BW613" s="2935">
        <v>88</v>
      </c>
      <c r="BX613" s="2935">
        <v>100</v>
      </c>
      <c r="BY613" s="2935">
        <v>106</v>
      </c>
      <c r="BZ613" s="3185">
        <v>384</v>
      </c>
      <c r="CA613" s="2935">
        <v>95</v>
      </c>
      <c r="CB613" s="2935">
        <v>102</v>
      </c>
      <c r="CC613" s="2935">
        <v>96</v>
      </c>
      <c r="CD613" s="2935">
        <v>109</v>
      </c>
      <c r="CE613" s="3185">
        <v>402</v>
      </c>
      <c r="CF613" s="2935">
        <v>91</v>
      </c>
      <c r="CG613" s="2935">
        <v>99</v>
      </c>
      <c r="CH613" s="2935">
        <v>102</v>
      </c>
      <c r="CI613" s="2983">
        <v>96</v>
      </c>
      <c r="CJ613" s="3185">
        <v>388</v>
      </c>
      <c r="CK613" s="2983">
        <v>86</v>
      </c>
      <c r="CL613" s="2983">
        <v>93</v>
      </c>
      <c r="CM613" s="3085">
        <v>92</v>
      </c>
      <c r="CN613" s="2349">
        <f>+CI613*(1+CN618)</f>
        <v>93.12</v>
      </c>
      <c r="CO613" s="661">
        <f>SUM(CK613:CN613)</f>
        <v>364.12</v>
      </c>
      <c r="CP613" s="2349">
        <f t="shared" si="1105"/>
        <v>87.72</v>
      </c>
      <c r="CQ613" s="2349">
        <f t="shared" si="1105"/>
        <v>98.58</v>
      </c>
      <c r="CR613" s="2349">
        <f t="shared" si="1105"/>
        <v>96.600000000000009</v>
      </c>
      <c r="CS613" s="2349">
        <f t="shared" si="1105"/>
        <v>107.08799999999999</v>
      </c>
      <c r="CT613" s="661">
        <f>SUM(CP613:CS613)</f>
        <v>389.98800000000006</v>
      </c>
      <c r="CU613" s="2349">
        <f t="shared" si="1106"/>
        <v>92.106000000000009</v>
      </c>
      <c r="CV613" s="2349">
        <f t="shared" si="1106"/>
        <v>99.565799999999996</v>
      </c>
      <c r="CW613" s="2349">
        <f t="shared" si="1106"/>
        <v>96.600000000000009</v>
      </c>
      <c r="CX613" s="2349">
        <f t="shared" si="1106"/>
        <v>107.08799999999999</v>
      </c>
      <c r="CY613" s="661">
        <f>SUM(CU613:CX613)</f>
        <v>395.35980000000006</v>
      </c>
      <c r="CZ613" s="661">
        <f>+CY613*(1+CZ618)</f>
        <v>399.31339800000006</v>
      </c>
      <c r="DA613" s="661">
        <f>+CZ613*(1+DA618)</f>
        <v>387.33399606000006</v>
      </c>
      <c r="DB613" s="537"/>
      <c r="DC613" s="537"/>
      <c r="DD613" s="2288"/>
      <c r="DE613" s="2343"/>
      <c r="DF613" s="2343"/>
      <c r="DG613" s="2343"/>
      <c r="DH613" s="2343"/>
      <c r="DI613" s="2343"/>
      <c r="DJ613" s="2343"/>
      <c r="DK613" s="2343"/>
      <c r="DL613" s="2343"/>
      <c r="DM613" s="2343"/>
      <c r="DN613" s="2343"/>
      <c r="DO613" s="2343"/>
      <c r="DP613" s="2343"/>
      <c r="DQ613" s="2343"/>
      <c r="DR613" s="2343"/>
      <c r="DS613" s="2343"/>
      <c r="DT613" s="2343"/>
      <c r="DU613" s="2343"/>
      <c r="DV613" s="2343"/>
      <c r="DW613" s="2343"/>
      <c r="DX613" s="2343"/>
      <c r="DY613" s="2343"/>
      <c r="DZ613" s="537"/>
      <c r="EK613"/>
      <c r="EL613"/>
      <c r="EM613" s="1703"/>
    </row>
    <row r="614" spans="1:148" ht="12.75" customHeight="1" x14ac:dyDescent="0.2">
      <c r="A614" s="2288" t="s">
        <v>2371</v>
      </c>
      <c r="B614" s="1485"/>
      <c r="C614" s="1485"/>
      <c r="D614" s="1485"/>
      <c r="E614" s="1485"/>
      <c r="F614" s="1485"/>
      <c r="G614" s="1485"/>
      <c r="H614" s="1485"/>
      <c r="I614" s="1485"/>
      <c r="J614" s="1485"/>
      <c r="K614" s="1485"/>
      <c r="L614" s="1485"/>
      <c r="M614" s="1468"/>
      <c r="N614" s="1485"/>
      <c r="O614" s="1485"/>
      <c r="P614" s="1485"/>
      <c r="Q614" s="1485"/>
      <c r="R614" s="1468"/>
      <c r="S614" s="1485"/>
      <c r="T614" s="1485"/>
      <c r="U614" s="1485"/>
      <c r="V614" s="1485"/>
      <c r="W614" s="1468"/>
      <c r="X614" s="1485"/>
      <c r="Y614" s="1485"/>
      <c r="Z614" s="1485"/>
      <c r="AA614" s="1485"/>
      <c r="AB614" s="1468"/>
      <c r="AC614" s="1485"/>
      <c r="AD614" s="1485"/>
      <c r="AE614" s="1485"/>
      <c r="AF614" s="1485"/>
      <c r="AG614" s="1468"/>
      <c r="AH614" s="1485"/>
      <c r="AI614" s="1485"/>
      <c r="AJ614" s="1485"/>
      <c r="AK614" s="1485"/>
      <c r="AL614" s="1468"/>
      <c r="AM614" s="1485"/>
      <c r="AN614" s="1485"/>
      <c r="AO614" s="1485"/>
      <c r="AP614" s="1485"/>
      <c r="AQ614" s="1468"/>
      <c r="AR614" s="1485"/>
      <c r="AS614" s="1485"/>
      <c r="AT614" s="1485"/>
      <c r="AU614" s="1485"/>
      <c r="AV614" s="1468"/>
      <c r="AW614" s="1485"/>
      <c r="AX614" s="1485"/>
      <c r="AY614" s="1485"/>
      <c r="AZ614" s="1485"/>
      <c r="BA614" s="1468"/>
      <c r="BB614" s="1485"/>
      <c r="BC614" s="1485"/>
      <c r="BD614" s="1485"/>
      <c r="BE614" s="1485"/>
      <c r="BF614" s="1468"/>
      <c r="BG614" s="1485"/>
      <c r="BH614" s="1485"/>
      <c r="BI614" s="1485"/>
      <c r="BJ614" s="1485"/>
      <c r="BK614" s="1468"/>
      <c r="BL614" s="1485"/>
      <c r="BM614" s="1485"/>
      <c r="BN614" s="1485"/>
      <c r="BO614" s="1485"/>
      <c r="BP614" s="1468"/>
      <c r="BQ614" s="1485"/>
      <c r="BR614" s="1485"/>
      <c r="BS614" s="1485"/>
      <c r="BT614" s="1485"/>
      <c r="BU614" s="1468"/>
      <c r="BV614" s="1485"/>
      <c r="BW614" s="1485"/>
      <c r="BX614" s="1485"/>
      <c r="BY614" s="1485"/>
      <c r="BZ614" s="1468"/>
      <c r="CA614" s="1485"/>
      <c r="CB614" s="1485"/>
      <c r="CC614" s="1485"/>
      <c r="CD614" s="1485"/>
      <c r="CE614" s="1468"/>
      <c r="CF614" s="1485"/>
      <c r="CG614" s="1485"/>
      <c r="CH614" s="1485"/>
      <c r="CI614" s="1485"/>
      <c r="CJ614" s="1468"/>
      <c r="CK614" s="1485"/>
      <c r="CL614" s="1485"/>
      <c r="CN614" s="3040">
        <f>+CN616-CN615-CN613-CN612</f>
        <v>-20.080000000000013</v>
      </c>
      <c r="CO614" s="661">
        <f>SUM(CK614:CN614)</f>
        <v>-20.080000000000013</v>
      </c>
      <c r="CP614" s="3040">
        <f>+CP616-CP615-CP613-CP612</f>
        <v>-43.97999999999999</v>
      </c>
      <c r="CQ614" s="3040">
        <f>+CQ616-CQ615-CQ613-CQ612</f>
        <v>-50.660000000000011</v>
      </c>
      <c r="CR614" s="3040">
        <f>+CR616-CR615-CR613-CR612</f>
        <v>-59.300000000000026</v>
      </c>
      <c r="CS614" s="3040">
        <f>+CS616-CS615-CS613-CS612</f>
        <v>-46.99199999999999</v>
      </c>
      <c r="CT614" s="661">
        <f>SUM(CP614:CS614)</f>
        <v>-200.93200000000002</v>
      </c>
      <c r="CU614" s="2983">
        <v>-60</v>
      </c>
      <c r="CV614" s="2983">
        <f>-260/4</f>
        <v>-65</v>
      </c>
      <c r="CW614" s="2983">
        <f>-260/4</f>
        <v>-65</v>
      </c>
      <c r="CX614" s="2983">
        <f>-260/4</f>
        <v>-65</v>
      </c>
      <c r="CY614" s="661">
        <f>SUM(CU614:CX614)</f>
        <v>-255</v>
      </c>
      <c r="CZ614" s="3821">
        <v>-260</v>
      </c>
      <c r="DA614" s="3075">
        <f>+CZ614</f>
        <v>-260</v>
      </c>
      <c r="DB614" s="327">
        <f>+-CY614/CY613</f>
        <v>0.64498211502535152</v>
      </c>
      <c r="DD614" s="2288"/>
      <c r="DE614" s="2343"/>
      <c r="DF614" s="2343"/>
      <c r="DG614" s="2343"/>
      <c r="DH614" s="2343"/>
      <c r="DI614" s="2343"/>
      <c r="DJ614" s="2343"/>
      <c r="DK614" s="2343"/>
      <c r="DL614" s="2343"/>
      <c r="DM614" s="2343"/>
      <c r="DN614" s="2343"/>
      <c r="DO614" s="2343"/>
      <c r="DP614" s="2343"/>
      <c r="DQ614" s="2343"/>
      <c r="DR614" s="2343"/>
      <c r="DS614" s="2343"/>
      <c r="DT614" s="2343"/>
      <c r="DU614" s="2343"/>
      <c r="DV614" s="2343"/>
      <c r="DW614" s="2343"/>
      <c r="DX614" s="2343"/>
      <c r="DY614" s="2343"/>
      <c r="EK614"/>
      <c r="EL614"/>
      <c r="EM614" s="1703"/>
    </row>
    <row r="615" spans="1:148" ht="12.75" customHeight="1" x14ac:dyDescent="0.2">
      <c r="A615" s="1446" t="s">
        <v>1036</v>
      </c>
      <c r="B615" s="767"/>
      <c r="C615" s="767"/>
      <c r="D615" s="767"/>
      <c r="E615" s="767"/>
      <c r="F615" s="767"/>
      <c r="G615" s="767"/>
      <c r="H615" s="767"/>
      <c r="I615" s="767"/>
      <c r="J615" s="767"/>
      <c r="K615" s="767"/>
      <c r="L615" s="767"/>
      <c r="M615" s="1048"/>
      <c r="N615" s="767"/>
      <c r="O615" s="767"/>
      <c r="P615" s="767"/>
      <c r="Q615" s="767"/>
      <c r="R615" s="1048"/>
      <c r="S615" s="767"/>
      <c r="T615" s="767"/>
      <c r="U615" s="767"/>
      <c r="V615" s="767"/>
      <c r="W615" s="1048"/>
      <c r="X615" s="767"/>
      <c r="Y615" s="767"/>
      <c r="Z615" s="767"/>
      <c r="AA615" s="767"/>
      <c r="AB615" s="1048"/>
      <c r="AC615" s="767"/>
      <c r="AD615" s="767"/>
      <c r="AE615" s="767"/>
      <c r="AF615" s="767"/>
      <c r="AG615" s="1048"/>
      <c r="AH615" s="767"/>
      <c r="AI615" s="767"/>
      <c r="AJ615" s="767"/>
      <c r="AK615" s="767"/>
      <c r="AL615" s="1048"/>
      <c r="AM615" s="767"/>
      <c r="AN615" s="767"/>
      <c r="AO615" s="767"/>
      <c r="AP615" s="767"/>
      <c r="AQ615" s="1048"/>
      <c r="AR615" s="767"/>
      <c r="AS615" s="767"/>
      <c r="AT615" s="767"/>
      <c r="AU615" s="767"/>
      <c r="AV615" s="1048"/>
      <c r="AW615" s="767"/>
      <c r="AX615" s="767"/>
      <c r="AY615" s="767"/>
      <c r="AZ615" s="767"/>
      <c r="BA615" s="1048"/>
      <c r="BB615" s="767"/>
      <c r="BC615" s="767"/>
      <c r="BD615" s="767"/>
      <c r="BE615" s="767"/>
      <c r="BF615" s="1048"/>
      <c r="BG615" s="767"/>
      <c r="BH615" s="767"/>
      <c r="BI615" s="767"/>
      <c r="BJ615" s="767"/>
      <c r="BK615" s="1048"/>
      <c r="BL615" s="767">
        <v>0</v>
      </c>
      <c r="BM615" s="767">
        <v>-5</v>
      </c>
      <c r="BN615" s="767">
        <f>-10-8</f>
        <v>-18</v>
      </c>
      <c r="BO615" s="767">
        <v>0</v>
      </c>
      <c r="BP615" s="1048">
        <f>SUM(BL615:BO615)</f>
        <v>-23</v>
      </c>
      <c r="BQ615" s="767">
        <v>0</v>
      </c>
      <c r="BR615" s="767">
        <v>0</v>
      </c>
      <c r="BS615" s="767">
        <v>0</v>
      </c>
      <c r="BT615" s="767">
        <v>6</v>
      </c>
      <c r="BU615" s="1048">
        <f>SUM(BQ615:BT615)</f>
        <v>6</v>
      </c>
      <c r="BV615" s="767">
        <v>0</v>
      </c>
      <c r="BW615" s="767">
        <v>0</v>
      </c>
      <c r="BX615" s="767">
        <v>0</v>
      </c>
      <c r="BY615" s="767">
        <v>0</v>
      </c>
      <c r="BZ615" s="1048">
        <f>SUM(BV615:BY615)</f>
        <v>0</v>
      </c>
      <c r="CA615" s="767">
        <v>0</v>
      </c>
      <c r="CB615" s="767">
        <v>0</v>
      </c>
      <c r="CC615" s="767">
        <v>0</v>
      </c>
      <c r="CD615" s="767">
        <v>0</v>
      </c>
      <c r="CE615" s="1048">
        <f>SUM(CA615:CD615)</f>
        <v>0</v>
      </c>
      <c r="CF615" s="767">
        <v>0</v>
      </c>
      <c r="CG615" s="767">
        <v>0</v>
      </c>
      <c r="CH615" s="767">
        <v>0</v>
      </c>
      <c r="CI615" s="767">
        <v>0</v>
      </c>
      <c r="CJ615" s="1048">
        <f>SUM(CF615:CI615)</f>
        <v>0</v>
      </c>
      <c r="CK615" s="767">
        <v>-8</v>
      </c>
      <c r="CL615" s="767">
        <v>-14</v>
      </c>
      <c r="CM615" s="767">
        <v>0</v>
      </c>
      <c r="CN615" s="767">
        <f>+-8-4</f>
        <v>-12</v>
      </c>
      <c r="CO615" s="246">
        <f>SUM(CK615:CN615)</f>
        <v>-34</v>
      </c>
      <c r="CP615" s="767">
        <v>0</v>
      </c>
      <c r="CQ615" s="767">
        <v>0</v>
      </c>
      <c r="CR615" s="767">
        <v>0</v>
      </c>
      <c r="CS615" s="767">
        <v>0</v>
      </c>
      <c r="CT615" s="246">
        <f>SUM(CP615:CS615)</f>
        <v>0</v>
      </c>
      <c r="CU615" s="850">
        <f>CP615</f>
        <v>0</v>
      </c>
      <c r="CV615" s="850">
        <f>CQ615</f>
        <v>0</v>
      </c>
      <c r="CW615" s="850">
        <f>CR615</f>
        <v>0</v>
      </c>
      <c r="CX615" s="850">
        <f>CS615</f>
        <v>0</v>
      </c>
      <c r="CY615" s="1048">
        <f>SUM(CU615:CX615)</f>
        <v>0</v>
      </c>
      <c r="CZ615" s="1048">
        <v>0</v>
      </c>
      <c r="DA615" s="1048">
        <v>0</v>
      </c>
      <c r="DD615" s="1446" t="s">
        <v>1036</v>
      </c>
      <c r="DE615" s="246">
        <f t="shared" si="1084"/>
        <v>0</v>
      </c>
      <c r="DF615" s="246">
        <f t="shared" si="1085"/>
        <v>0</v>
      </c>
      <c r="DG615" s="246">
        <f t="shared" si="1086"/>
        <v>0</v>
      </c>
      <c r="DH615" s="246">
        <f t="shared" si="1087"/>
        <v>0</v>
      </c>
      <c r="DI615" s="246">
        <f t="shared" si="1088"/>
        <v>0</v>
      </c>
      <c r="DJ615" s="246">
        <f t="shared" si="1089"/>
        <v>0</v>
      </c>
      <c r="DK615" s="246">
        <f t="shared" si="1090"/>
        <v>0</v>
      </c>
      <c r="DL615" s="246">
        <f t="shared" si="1091"/>
        <v>0</v>
      </c>
      <c r="DM615" s="246">
        <f t="shared" si="1092"/>
        <v>0</v>
      </c>
      <c r="DN615" s="246">
        <f t="shared" si="1093"/>
        <v>0</v>
      </c>
      <c r="DO615" s="246">
        <f t="shared" si="1094"/>
        <v>0</v>
      </c>
      <c r="DP615" s="246">
        <f t="shared" si="1095"/>
        <v>-23</v>
      </c>
      <c r="DQ615" s="246">
        <f t="shared" si="1096"/>
        <v>6</v>
      </c>
      <c r="DR615" s="246">
        <f t="shared" si="1097"/>
        <v>0</v>
      </c>
      <c r="DS615" s="246">
        <f t="shared" si="1098"/>
        <v>0</v>
      </c>
      <c r="DT615" s="246">
        <f t="shared" si="1099"/>
        <v>0</v>
      </c>
      <c r="DU615" s="246">
        <f t="shared" si="1100"/>
        <v>-34</v>
      </c>
      <c r="DV615" s="246">
        <f t="shared" si="1101"/>
        <v>0</v>
      </c>
      <c r="DW615" s="246">
        <f t="shared" si="1102"/>
        <v>0</v>
      </c>
      <c r="DX615" s="246">
        <f t="shared" si="1103"/>
        <v>0</v>
      </c>
      <c r="DY615" s="246">
        <f t="shared" si="1104"/>
        <v>0</v>
      </c>
      <c r="EK615"/>
      <c r="EL615"/>
      <c r="EM615" s="1703"/>
    </row>
    <row r="616" spans="1:148" s="386" customFormat="1" ht="12.75" customHeight="1" x14ac:dyDescent="0.2">
      <c r="A616" s="1437" t="s">
        <v>2559</v>
      </c>
      <c r="B616" s="2159"/>
      <c r="C616" s="2159"/>
      <c r="D616" s="2159"/>
      <c r="E616" s="2159"/>
      <c r="F616" s="2159"/>
      <c r="G616" s="2159"/>
      <c r="H616" s="2159"/>
      <c r="I616" s="2159"/>
      <c r="J616" s="2159"/>
      <c r="K616" s="2159"/>
      <c r="L616" s="2159"/>
      <c r="M616" s="1496"/>
      <c r="N616" s="2159"/>
      <c r="O616" s="2159"/>
      <c r="P616" s="2159"/>
      <c r="Q616" s="2159"/>
      <c r="R616" s="1496"/>
      <c r="S616" s="2159"/>
      <c r="T616" s="2159"/>
      <c r="U616" s="2159"/>
      <c r="V616" s="2159"/>
      <c r="W616" s="1496"/>
      <c r="X616" s="2159"/>
      <c r="Y616" s="2159"/>
      <c r="Z616" s="2159"/>
      <c r="AA616" s="2159"/>
      <c r="AB616" s="1496"/>
      <c r="AC616" s="2159"/>
      <c r="AD616" s="2159"/>
      <c r="AE616" s="2159"/>
      <c r="AF616" s="2159"/>
      <c r="AG616" s="1496"/>
      <c r="AH616" s="2159"/>
      <c r="AI616" s="2159"/>
      <c r="AJ616" s="2159"/>
      <c r="AK616" s="2159"/>
      <c r="AL616" s="1496"/>
      <c r="AM616" s="2159"/>
      <c r="AN616" s="2159"/>
      <c r="AO616" s="2159"/>
      <c r="AP616" s="2159"/>
      <c r="AQ616" s="1496"/>
      <c r="AR616" s="2159"/>
      <c r="AS616" s="2159"/>
      <c r="AT616" s="2159"/>
      <c r="AU616" s="2159"/>
      <c r="AV616" s="1496"/>
      <c r="AW616" s="2159"/>
      <c r="AX616" s="2159"/>
      <c r="AY616" s="2159"/>
      <c r="AZ616" s="2159"/>
      <c r="BA616" s="1496"/>
      <c r="BB616" s="2159"/>
      <c r="BC616" s="2159"/>
      <c r="BD616" s="2159"/>
      <c r="BE616" s="2159"/>
      <c r="BF616" s="1496"/>
      <c r="BG616" s="1495">
        <f t="shared" ref="BG616:CM616" si="1107">SUM(BG612:BG615)</f>
        <v>214</v>
      </c>
      <c r="BH616" s="1495">
        <f t="shared" si="1107"/>
        <v>234</v>
      </c>
      <c r="BI616" s="1495">
        <f t="shared" si="1107"/>
        <v>239</v>
      </c>
      <c r="BJ616" s="1495">
        <f t="shared" si="1107"/>
        <v>326</v>
      </c>
      <c r="BK616" s="1496">
        <f t="shared" si="1107"/>
        <v>1013</v>
      </c>
      <c r="BL616" s="1495">
        <f t="shared" si="1107"/>
        <v>239</v>
      </c>
      <c r="BM616" s="1495">
        <f t="shared" si="1107"/>
        <v>242</v>
      </c>
      <c r="BN616" s="1495">
        <f t="shared" si="1107"/>
        <v>250</v>
      </c>
      <c r="BO616" s="1495">
        <f t="shared" si="1107"/>
        <v>336</v>
      </c>
      <c r="BP616" s="1496">
        <f t="shared" si="1107"/>
        <v>1067</v>
      </c>
      <c r="BQ616" s="1495">
        <f t="shared" si="1107"/>
        <v>243</v>
      </c>
      <c r="BR616" s="1495">
        <f t="shared" si="1107"/>
        <v>246</v>
      </c>
      <c r="BS616" s="1495">
        <f t="shared" si="1107"/>
        <v>219</v>
      </c>
      <c r="BT616" s="1495">
        <f t="shared" si="1107"/>
        <v>313</v>
      </c>
      <c r="BU616" s="1496">
        <f t="shared" si="1107"/>
        <v>1021</v>
      </c>
      <c r="BV616" s="1495">
        <f t="shared" si="1107"/>
        <v>254</v>
      </c>
      <c r="BW616" s="1495">
        <f t="shared" si="1107"/>
        <v>248</v>
      </c>
      <c r="BX616" s="1495">
        <f t="shared" si="1107"/>
        <v>247</v>
      </c>
      <c r="BY616" s="1495">
        <f t="shared" si="1107"/>
        <v>284</v>
      </c>
      <c r="BZ616" s="1496">
        <f t="shared" si="1107"/>
        <v>1033</v>
      </c>
      <c r="CA616" s="1495">
        <f t="shared" si="1107"/>
        <v>243</v>
      </c>
      <c r="CB616" s="1495">
        <f t="shared" si="1107"/>
        <v>261</v>
      </c>
      <c r="CC616" s="1495">
        <f t="shared" si="1107"/>
        <v>268</v>
      </c>
      <c r="CD616" s="1495">
        <f t="shared" si="1107"/>
        <v>289</v>
      </c>
      <c r="CE616" s="1496">
        <f t="shared" si="1107"/>
        <v>1061</v>
      </c>
      <c r="CF616" s="1495">
        <f t="shared" si="1107"/>
        <v>236</v>
      </c>
      <c r="CG616" s="1495">
        <f t="shared" si="1107"/>
        <v>251</v>
      </c>
      <c r="CH616" s="1495">
        <f t="shared" si="1107"/>
        <v>251</v>
      </c>
      <c r="CI616" s="1495">
        <f t="shared" si="1107"/>
        <v>284</v>
      </c>
      <c r="CJ616" s="1496">
        <f t="shared" si="1107"/>
        <v>1022</v>
      </c>
      <c r="CK616" s="1495">
        <f t="shared" si="1107"/>
        <v>241</v>
      </c>
      <c r="CL616" s="1495">
        <f t="shared" si="1107"/>
        <v>247</v>
      </c>
      <c r="CM616" s="1495">
        <f t="shared" si="1107"/>
        <v>246</v>
      </c>
      <c r="CN616" s="3291">
        <v>234</v>
      </c>
      <c r="CO616" s="1496">
        <f>SUM(CO612:CO615)</f>
        <v>968</v>
      </c>
      <c r="CP616" s="3291">
        <v>210</v>
      </c>
      <c r="CQ616" s="3291">
        <v>226</v>
      </c>
      <c r="CR616" s="3291">
        <v>199</v>
      </c>
      <c r="CS616" s="3291">
        <v>259</v>
      </c>
      <c r="CT616" s="1496">
        <f t="shared" ref="CT616:DA616" si="1108">SUM(CT612:CT615)</f>
        <v>894.00000000000023</v>
      </c>
      <c r="CU616" s="1495">
        <f t="shared" si="1108"/>
        <v>231.61799999999999</v>
      </c>
      <c r="CV616" s="1495">
        <f t="shared" si="1108"/>
        <v>239.3578</v>
      </c>
      <c r="CW616" s="1495">
        <f t="shared" si="1108"/>
        <v>233.72500000000002</v>
      </c>
      <c r="CX616" s="1495">
        <f t="shared" si="1108"/>
        <v>239.00296000000003</v>
      </c>
      <c r="CY616" s="1496">
        <f>SUM(CY612:CY615)</f>
        <v>943.70375999999987</v>
      </c>
      <c r="CZ616" s="1496">
        <f t="shared" si="1108"/>
        <v>878.38984120000009</v>
      </c>
      <c r="DA616" s="1496">
        <f t="shared" si="1108"/>
        <v>844.23814596400007</v>
      </c>
      <c r="DB616"/>
      <c r="DC616"/>
      <c r="DD616" s="1437" t="s">
        <v>817</v>
      </c>
      <c r="DE616" s="1496">
        <f t="shared" si="1084"/>
        <v>0</v>
      </c>
      <c r="DF616" s="1496">
        <f t="shared" si="1085"/>
        <v>0</v>
      </c>
      <c r="DG616" s="1496">
        <f t="shared" si="1086"/>
        <v>0</v>
      </c>
      <c r="DH616" s="1496">
        <f t="shared" si="1087"/>
        <v>0</v>
      </c>
      <c r="DI616" s="1496">
        <f t="shared" si="1088"/>
        <v>0</v>
      </c>
      <c r="DJ616" s="1496">
        <f t="shared" si="1089"/>
        <v>0</v>
      </c>
      <c r="DK616" s="1496">
        <f t="shared" si="1090"/>
        <v>0</v>
      </c>
      <c r="DL616" s="1496">
        <f t="shared" si="1091"/>
        <v>0</v>
      </c>
      <c r="DM616" s="1496">
        <f t="shared" si="1092"/>
        <v>0</v>
      </c>
      <c r="DN616" s="1496">
        <f t="shared" si="1093"/>
        <v>0</v>
      </c>
      <c r="DO616" s="1496">
        <f t="shared" si="1094"/>
        <v>1013</v>
      </c>
      <c r="DP616" s="1496">
        <f t="shared" si="1095"/>
        <v>1067</v>
      </c>
      <c r="DQ616" s="1496">
        <f t="shared" si="1096"/>
        <v>1021</v>
      </c>
      <c r="DR616" s="1496">
        <f t="shared" si="1097"/>
        <v>1033</v>
      </c>
      <c r="DS616" s="1496">
        <f t="shared" si="1098"/>
        <v>1061</v>
      </c>
      <c r="DT616" s="1496">
        <f t="shared" si="1099"/>
        <v>1022</v>
      </c>
      <c r="DU616" s="1496">
        <f t="shared" si="1100"/>
        <v>968</v>
      </c>
      <c r="DV616" s="1496">
        <f t="shared" si="1101"/>
        <v>894.00000000000023</v>
      </c>
      <c r="DW616" s="1496">
        <f t="shared" si="1102"/>
        <v>943.70375999999987</v>
      </c>
      <c r="DX616" s="1496">
        <f t="shared" si="1103"/>
        <v>878.38984120000009</v>
      </c>
      <c r="DY616" s="1496">
        <f t="shared" si="1104"/>
        <v>844.23814596400007</v>
      </c>
      <c r="EA616"/>
      <c r="EB616"/>
      <c r="EC616"/>
      <c r="ED616"/>
      <c r="EE616"/>
      <c r="EF616"/>
      <c r="EJ616"/>
      <c r="EK616"/>
      <c r="EL616"/>
      <c r="EM616" s="1703"/>
      <c r="ER616" s="257"/>
    </row>
    <row r="617" spans="1:148" s="923" customFormat="1" ht="12.75" customHeight="1" x14ac:dyDescent="0.2">
      <c r="A617" s="1675" t="s">
        <v>2482</v>
      </c>
      <c r="B617" s="872"/>
      <c r="C617" s="872"/>
      <c r="D617" s="872"/>
      <c r="E617" s="872"/>
      <c r="F617" s="872"/>
      <c r="G617" s="872"/>
      <c r="H617" s="872"/>
      <c r="I617" s="872"/>
      <c r="J617" s="872"/>
      <c r="K617" s="872"/>
      <c r="L617" s="872"/>
      <c r="M617" s="1001"/>
      <c r="N617" s="872"/>
      <c r="O617" s="872"/>
      <c r="P617" s="872"/>
      <c r="Q617" s="872"/>
      <c r="R617" s="1001"/>
      <c r="S617" s="872"/>
      <c r="T617" s="872"/>
      <c r="U617" s="872"/>
      <c r="V617" s="872"/>
      <c r="W617" s="1001"/>
      <c r="X617" s="872"/>
      <c r="Y617" s="872"/>
      <c r="Z617" s="872"/>
      <c r="AA617" s="872"/>
      <c r="AB617" s="1001"/>
      <c r="AC617" s="872"/>
      <c r="AD617" s="872"/>
      <c r="AE617" s="872"/>
      <c r="AF617" s="872"/>
      <c r="AG617" s="1001"/>
      <c r="AH617" s="872"/>
      <c r="AI617" s="872"/>
      <c r="AJ617" s="872"/>
      <c r="AK617" s="872"/>
      <c r="AL617" s="1001"/>
      <c r="AM617" s="872"/>
      <c r="AN617" s="872"/>
      <c r="AO617" s="872"/>
      <c r="AP617" s="872"/>
      <c r="AQ617" s="1001"/>
      <c r="AR617" s="872"/>
      <c r="AS617" s="872"/>
      <c r="AT617" s="872"/>
      <c r="AU617" s="872"/>
      <c r="AV617" s="1001"/>
      <c r="AW617" s="872"/>
      <c r="AX617" s="872"/>
      <c r="AY617" s="872"/>
      <c r="AZ617" s="872"/>
      <c r="BA617" s="1001"/>
      <c r="BB617" s="872"/>
      <c r="BC617" s="872"/>
      <c r="BD617" s="872"/>
      <c r="BE617" s="872"/>
      <c r="BF617" s="1001"/>
      <c r="BG617" s="872"/>
      <c r="BH617" s="872"/>
      <c r="BI617" s="872"/>
      <c r="BJ617" s="872"/>
      <c r="BK617" s="1001"/>
      <c r="BL617" s="872">
        <f>BL612/BG612-1</f>
        <v>0.15217391304347827</v>
      </c>
      <c r="BM617" s="872">
        <f>BM612/BH612-1</f>
        <v>0.11971830985915499</v>
      </c>
      <c r="BN617" s="872">
        <f>BN616/BI612-1</f>
        <v>0.67785234899328861</v>
      </c>
      <c r="BO617" s="872">
        <f>BO612/BJ612-1</f>
        <v>0</v>
      </c>
      <c r="BP617" s="1001">
        <f>BP612/BK612-1</f>
        <v>0.10313901345291487</v>
      </c>
      <c r="BQ617" s="872">
        <f>BQ612/BL622-1</f>
        <v>4.2553191489361764E-2</v>
      </c>
      <c r="BR617" s="872">
        <f>BR612/BM622-1</f>
        <v>0.14285714285714279</v>
      </c>
      <c r="BS617" s="872">
        <f>BS612/BN622-1</f>
        <v>-7.6923076923076872E-2</v>
      </c>
      <c r="BT617" s="872">
        <f>BT612/BO622-1</f>
        <v>-5.9360730593607358E-2</v>
      </c>
      <c r="BU617" s="1001">
        <f>BU612/BP622-1</f>
        <v>3.1104199066873672E-3</v>
      </c>
      <c r="BV617" s="872">
        <f>BV616/BQ616-1</f>
        <v>4.5267489711934061E-2</v>
      </c>
      <c r="BW617" s="872">
        <f>BW616/BR616-1</f>
        <v>8.1300813008129413E-3</v>
      </c>
      <c r="BX617" s="872">
        <f>BX616/BS616-1</f>
        <v>0.12785388127853881</v>
      </c>
      <c r="BY617" s="872">
        <f>BY616/BT616-1</f>
        <v>-9.2651757188498385E-2</v>
      </c>
      <c r="BZ617" s="1001">
        <f>BZ612/BU612-1</f>
        <v>6.2015503875969546E-3</v>
      </c>
      <c r="CA617" s="872">
        <f>CA616/BV616-1</f>
        <v>-4.3307086614173262E-2</v>
      </c>
      <c r="CB617" s="872">
        <f>CB616/BW616-1</f>
        <v>5.2419354838709742E-2</v>
      </c>
      <c r="CC617" s="872">
        <f>CC616/BX616-1</f>
        <v>8.5020242914979782E-2</v>
      </c>
      <c r="CD617" s="872">
        <f>CD616/BY616-1</f>
        <v>1.7605633802816989E-2</v>
      </c>
      <c r="CE617" s="1001">
        <f>CE612/BZ612-1</f>
        <v>1.5408320493066174E-2</v>
      </c>
      <c r="CF617" s="872">
        <f>CF616/CA616-1</f>
        <v>-2.8806584362139898E-2</v>
      </c>
      <c r="CG617" s="872">
        <f>CG616/CB616-1</f>
        <v>-3.8314176245210718E-2</v>
      </c>
      <c r="CH617" s="872">
        <f>CH616/CC616-1</f>
        <v>-6.3432835820895539E-2</v>
      </c>
      <c r="CI617" s="872">
        <f>CI616/CD616-1</f>
        <v>-1.730103806228378E-2</v>
      </c>
      <c r="CJ617" s="1001">
        <f>CJ612/CE612-1</f>
        <v>-3.793626707132014E-2</v>
      </c>
      <c r="CK617" s="872">
        <f>CK616/CF616-1</f>
        <v>2.1186440677966045E-2</v>
      </c>
      <c r="CL617" s="872">
        <f>CL616/CG616-1</f>
        <v>-1.5936254980079667E-2</v>
      </c>
      <c r="CM617" s="872">
        <f>CM616/CH616-1</f>
        <v>-1.9920318725099584E-2</v>
      </c>
      <c r="CN617" s="997">
        <v>-0.08</v>
      </c>
      <c r="CO617" s="1001">
        <f>CO612/CJ612-1</f>
        <v>3.7791798107255525E-2</v>
      </c>
      <c r="CP617" s="997">
        <v>0.02</v>
      </c>
      <c r="CQ617" s="997">
        <v>0.06</v>
      </c>
      <c r="CR617" s="997">
        <v>0.05</v>
      </c>
      <c r="CS617" s="997">
        <v>0.15</v>
      </c>
      <c r="CT617" s="1001">
        <f>CT612/CO612-1</f>
        <v>7.1408596267250379E-2</v>
      </c>
      <c r="CU617" s="997">
        <v>0.2</v>
      </c>
      <c r="CV617" s="997">
        <v>0.15</v>
      </c>
      <c r="CW617" s="997">
        <v>0.25</v>
      </c>
      <c r="CX617" s="997">
        <v>-0.01</v>
      </c>
      <c r="CY617" s="1001">
        <f>CY612/CT612-1</f>
        <v>0.13958549898999051</v>
      </c>
      <c r="CZ617" s="998">
        <v>-0.08</v>
      </c>
      <c r="DA617" s="998">
        <v>-0.03</v>
      </c>
      <c r="DB617" s="327"/>
      <c r="DC617"/>
      <c r="DD617" s="1675" t="s">
        <v>1016</v>
      </c>
      <c r="DE617" s="1001">
        <f t="shared" si="1084"/>
        <v>0</v>
      </c>
      <c r="DF617" s="1001">
        <f t="shared" si="1085"/>
        <v>0</v>
      </c>
      <c r="DG617" s="1001">
        <f t="shared" si="1086"/>
        <v>0</v>
      </c>
      <c r="DH617" s="1001">
        <f t="shared" si="1087"/>
        <v>0</v>
      </c>
      <c r="DI617" s="1001">
        <f t="shared" si="1088"/>
        <v>0</v>
      </c>
      <c r="DJ617" s="1001">
        <f t="shared" si="1089"/>
        <v>0</v>
      </c>
      <c r="DK617" s="1001">
        <f t="shared" si="1090"/>
        <v>0</v>
      </c>
      <c r="DL617" s="1001">
        <f t="shared" si="1091"/>
        <v>0</v>
      </c>
      <c r="DM617" s="1001">
        <f t="shared" si="1092"/>
        <v>0</v>
      </c>
      <c r="DN617" s="1001">
        <f t="shared" si="1093"/>
        <v>0</v>
      </c>
      <c r="DO617" s="1001">
        <f t="shared" si="1094"/>
        <v>0</v>
      </c>
      <c r="DP617" s="1001">
        <f t="shared" si="1095"/>
        <v>0.10313901345291487</v>
      </c>
      <c r="DQ617" s="1001">
        <f t="shared" si="1096"/>
        <v>3.1104199066873672E-3</v>
      </c>
      <c r="DR617" s="1001">
        <f t="shared" si="1097"/>
        <v>6.2015503875969546E-3</v>
      </c>
      <c r="DS617" s="1001">
        <f t="shared" si="1098"/>
        <v>1.5408320493066174E-2</v>
      </c>
      <c r="DT617" s="1001">
        <f t="shared" si="1099"/>
        <v>-3.793626707132014E-2</v>
      </c>
      <c r="DU617" s="1001">
        <f t="shared" si="1100"/>
        <v>3.7791798107255525E-2</v>
      </c>
      <c r="DV617" s="1001">
        <f t="shared" si="1101"/>
        <v>7.1408596267250379E-2</v>
      </c>
      <c r="DW617" s="1001">
        <f t="shared" si="1102"/>
        <v>0.13958549898999051</v>
      </c>
      <c r="DX617" s="1001">
        <f t="shared" si="1103"/>
        <v>-0.08</v>
      </c>
      <c r="DY617" s="1001">
        <f t="shared" si="1104"/>
        <v>-0.03</v>
      </c>
      <c r="EA617"/>
      <c r="EB617"/>
      <c r="EC617"/>
      <c r="ED617"/>
      <c r="EE617"/>
      <c r="EF617"/>
      <c r="EJ617"/>
      <c r="EK617"/>
      <c r="EL617"/>
      <c r="EM617" s="1703"/>
      <c r="ER617" s="212"/>
    </row>
    <row r="618" spans="1:148" s="923" customFormat="1" ht="12.75" customHeight="1" x14ac:dyDescent="0.2">
      <c r="A618" s="1675" t="s">
        <v>2483</v>
      </c>
      <c r="B618" s="872"/>
      <c r="C618" s="872"/>
      <c r="D618" s="872"/>
      <c r="E618" s="872"/>
      <c r="F618" s="872"/>
      <c r="G618" s="872"/>
      <c r="H618" s="872"/>
      <c r="I618" s="872"/>
      <c r="J618" s="872"/>
      <c r="K618" s="872"/>
      <c r="L618" s="872"/>
      <c r="M618" s="1001"/>
      <c r="N618" s="872"/>
      <c r="O618" s="872"/>
      <c r="P618" s="872"/>
      <c r="Q618" s="872"/>
      <c r="R618" s="1001"/>
      <c r="S618" s="872"/>
      <c r="T618" s="872"/>
      <c r="U618" s="872"/>
      <c r="V618" s="872"/>
      <c r="W618" s="1001"/>
      <c r="X618" s="872"/>
      <c r="Y618" s="872"/>
      <c r="Z618" s="872"/>
      <c r="AA618" s="872"/>
      <c r="AB618" s="1001"/>
      <c r="AC618" s="872"/>
      <c r="AD618" s="872"/>
      <c r="AE618" s="872"/>
      <c r="AF618" s="872"/>
      <c r="AG618" s="1001"/>
      <c r="AH618" s="872"/>
      <c r="AI618" s="872"/>
      <c r="AJ618" s="872"/>
      <c r="AK618" s="872"/>
      <c r="AL618" s="1001"/>
      <c r="AM618" s="872"/>
      <c r="AN618" s="872"/>
      <c r="AO618" s="872"/>
      <c r="AP618" s="872"/>
      <c r="AQ618" s="1001"/>
      <c r="AR618" s="872"/>
      <c r="AS618" s="872"/>
      <c r="AT618" s="872"/>
      <c r="AU618" s="872"/>
      <c r="AV618" s="1001"/>
      <c r="AW618" s="872"/>
      <c r="AX618" s="872"/>
      <c r="AY618" s="872"/>
      <c r="AZ618" s="872"/>
      <c r="BA618" s="1001"/>
      <c r="BB618" s="872"/>
      <c r="BC618" s="872"/>
      <c r="BD618" s="872"/>
      <c r="BE618" s="872"/>
      <c r="BF618" s="1001"/>
      <c r="BG618" s="872"/>
      <c r="BH618" s="872"/>
      <c r="BI618" s="872"/>
      <c r="BJ618" s="872"/>
      <c r="BK618" s="1001"/>
      <c r="BL618" s="872"/>
      <c r="BM618" s="872"/>
      <c r="BN618" s="872"/>
      <c r="BO618" s="872"/>
      <c r="BP618" s="1001"/>
      <c r="BQ618" s="872"/>
      <c r="BR618" s="872"/>
      <c r="BS618" s="872"/>
      <c r="BT618" s="872"/>
      <c r="BU618" s="1001"/>
      <c r="BV618" s="872"/>
      <c r="BW618" s="872"/>
      <c r="BX618" s="872"/>
      <c r="BY618" s="872"/>
      <c r="BZ618" s="1001"/>
      <c r="CA618" s="872"/>
      <c r="CB618" s="872"/>
      <c r="CC618" s="872"/>
      <c r="CD618" s="872"/>
      <c r="CE618" s="1001">
        <f t="shared" ref="CE618:CL618" si="1109">+CE613/BZ613-1</f>
        <v>4.6875E-2</v>
      </c>
      <c r="CF618" s="872">
        <f t="shared" si="1109"/>
        <v>-4.2105263157894757E-2</v>
      </c>
      <c r="CG618" s="872">
        <f t="shared" si="1109"/>
        <v>-2.9411764705882359E-2</v>
      </c>
      <c r="CH618" s="872">
        <f t="shared" si="1109"/>
        <v>6.25E-2</v>
      </c>
      <c r="CI618" s="872">
        <f t="shared" si="1109"/>
        <v>-0.11926605504587151</v>
      </c>
      <c r="CJ618" s="1001">
        <f t="shared" si="1109"/>
        <v>-3.4825870646766122E-2</v>
      </c>
      <c r="CK618" s="872">
        <f t="shared" si="1109"/>
        <v>-5.4945054945054972E-2</v>
      </c>
      <c r="CL618" s="872">
        <f t="shared" si="1109"/>
        <v>-6.0606060606060552E-2</v>
      </c>
      <c r="CM618" s="899">
        <f>+CM613/CH613-1</f>
        <v>-9.8039215686274495E-2</v>
      </c>
      <c r="CN618" s="3334">
        <v>-0.03</v>
      </c>
      <c r="CO618" s="1001">
        <f>+CO613/CJ613-1</f>
        <v>-6.1546391752577256E-2</v>
      </c>
      <c r="CP618" s="997">
        <v>0.02</v>
      </c>
      <c r="CQ618" s="997">
        <v>0.06</v>
      </c>
      <c r="CR618" s="997">
        <v>0.05</v>
      </c>
      <c r="CS618" s="997">
        <v>0.15</v>
      </c>
      <c r="CT618" s="1001">
        <f>CT613/SUM(CK613:CN613)-1</f>
        <v>7.1042513457102219E-2</v>
      </c>
      <c r="CU618" s="997">
        <v>0.05</v>
      </c>
      <c r="CV618" s="997">
        <v>0.01</v>
      </c>
      <c r="CW618" s="997">
        <v>0</v>
      </c>
      <c r="CX618" s="997">
        <v>0</v>
      </c>
      <c r="CY618" s="1001">
        <f>CY613/SUM(CP613:CS613)-1</f>
        <v>1.3774269977537834E-2</v>
      </c>
      <c r="CZ618" s="998">
        <v>0.01</v>
      </c>
      <c r="DA618" s="998">
        <v>-0.03</v>
      </c>
      <c r="DB618"/>
      <c r="DC618"/>
      <c r="DD618" s="1675"/>
      <c r="DE618" s="1001"/>
      <c r="DF618" s="1001"/>
      <c r="DG618" s="1001"/>
      <c r="DH618" s="1001"/>
      <c r="DI618" s="1001"/>
      <c r="DJ618" s="1001"/>
      <c r="DK618" s="1001"/>
      <c r="DL618" s="1001"/>
      <c r="DM618" s="1001"/>
      <c r="DN618" s="1001"/>
      <c r="DO618" s="1001"/>
      <c r="DP618" s="1001"/>
      <c r="DQ618" s="1001"/>
      <c r="DR618" s="1001"/>
      <c r="DS618" s="1001"/>
      <c r="DT618" s="1001"/>
      <c r="DU618" s="1001"/>
      <c r="DV618" s="1001"/>
      <c r="DW618" s="1001"/>
      <c r="DX618" s="1001"/>
      <c r="DY618" s="1001"/>
      <c r="EA618"/>
      <c r="EB618"/>
      <c r="EC618"/>
      <c r="ED618"/>
      <c r="EE618"/>
      <c r="EF618"/>
      <c r="EJ618"/>
      <c r="EK618"/>
      <c r="EL618"/>
      <c r="EM618" s="1703"/>
      <c r="ER618" s="212"/>
    </row>
    <row r="619" spans="1:148" s="923" customFormat="1" ht="12.75" customHeight="1" x14ac:dyDescent="0.2">
      <c r="A619" s="1675" t="s">
        <v>1016</v>
      </c>
      <c r="B619" s="872"/>
      <c r="C619" s="872"/>
      <c r="D619" s="872"/>
      <c r="E619" s="872"/>
      <c r="F619" s="872"/>
      <c r="G619" s="872"/>
      <c r="H619" s="872"/>
      <c r="I619" s="872"/>
      <c r="J619" s="872"/>
      <c r="K619" s="872"/>
      <c r="L619" s="872"/>
      <c r="M619" s="1001"/>
      <c r="N619" s="872"/>
      <c r="O619" s="872"/>
      <c r="P619" s="872"/>
      <c r="Q619" s="872"/>
      <c r="R619" s="1001"/>
      <c r="S619" s="872"/>
      <c r="T619" s="872"/>
      <c r="U619" s="872"/>
      <c r="V619" s="872"/>
      <c r="W619" s="1001"/>
      <c r="X619" s="872"/>
      <c r="Y619" s="872"/>
      <c r="Z619" s="872"/>
      <c r="AA619" s="872"/>
      <c r="AB619" s="1001"/>
      <c r="AC619" s="872"/>
      <c r="AD619" s="872"/>
      <c r="AE619" s="872"/>
      <c r="AF619" s="872"/>
      <c r="AG619" s="1001"/>
      <c r="AH619" s="872"/>
      <c r="AI619" s="872"/>
      <c r="AJ619" s="872"/>
      <c r="AK619" s="872"/>
      <c r="AL619" s="1001"/>
      <c r="AM619" s="872"/>
      <c r="AN619" s="872"/>
      <c r="AO619" s="872"/>
      <c r="AP619" s="872"/>
      <c r="AQ619" s="1001"/>
      <c r="AR619" s="872"/>
      <c r="AS619" s="872"/>
      <c r="AT619" s="872"/>
      <c r="AU619" s="872"/>
      <c r="AV619" s="1001"/>
      <c r="AW619" s="872"/>
      <c r="AX619" s="872"/>
      <c r="AY619" s="872"/>
      <c r="AZ619" s="872"/>
      <c r="BA619" s="1001"/>
      <c r="BB619" s="872"/>
      <c r="BC619" s="872"/>
      <c r="BD619" s="872"/>
      <c r="BE619" s="872"/>
      <c r="BF619" s="1001"/>
      <c r="BG619" s="872"/>
      <c r="BH619" s="872"/>
      <c r="BI619" s="872"/>
      <c r="BJ619" s="872"/>
      <c r="BK619" s="1001"/>
      <c r="BL619" s="872">
        <f t="shared" ref="BL619:CN619" si="1110">+BL616/BG616-1</f>
        <v>0.11682242990654212</v>
      </c>
      <c r="BM619" s="872">
        <f t="shared" si="1110"/>
        <v>3.4188034188034289E-2</v>
      </c>
      <c r="BN619" s="872">
        <f t="shared" si="1110"/>
        <v>4.6025104602510414E-2</v>
      </c>
      <c r="BO619" s="872">
        <f t="shared" si="1110"/>
        <v>3.0674846625766916E-2</v>
      </c>
      <c r="BP619" s="1001">
        <f t="shared" si="1110"/>
        <v>5.3307008884501572E-2</v>
      </c>
      <c r="BQ619" s="872">
        <f t="shared" si="1110"/>
        <v>1.6736401673640211E-2</v>
      </c>
      <c r="BR619" s="872">
        <f t="shared" si="1110"/>
        <v>1.6528925619834656E-2</v>
      </c>
      <c r="BS619" s="872">
        <f t="shared" si="1110"/>
        <v>-0.124</v>
      </c>
      <c r="BT619" s="872">
        <f t="shared" si="1110"/>
        <v>-6.8452380952380931E-2</v>
      </c>
      <c r="BU619" s="1001">
        <f t="shared" si="1110"/>
        <v>-4.3111527647610171E-2</v>
      </c>
      <c r="BV619" s="872">
        <f t="shared" si="1110"/>
        <v>4.5267489711934061E-2</v>
      </c>
      <c r="BW619" s="872">
        <f t="shared" si="1110"/>
        <v>8.1300813008129413E-3</v>
      </c>
      <c r="BX619" s="872">
        <f t="shared" si="1110"/>
        <v>0.12785388127853881</v>
      </c>
      <c r="BY619" s="872">
        <f t="shared" si="1110"/>
        <v>-9.2651757188498385E-2</v>
      </c>
      <c r="BZ619" s="1001">
        <f t="shared" si="1110"/>
        <v>1.1753183153770719E-2</v>
      </c>
      <c r="CA619" s="872">
        <f t="shared" si="1110"/>
        <v>-4.3307086614173262E-2</v>
      </c>
      <c r="CB619" s="872">
        <f t="shared" si="1110"/>
        <v>5.2419354838709742E-2</v>
      </c>
      <c r="CC619" s="872">
        <f t="shared" si="1110"/>
        <v>8.5020242914979782E-2</v>
      </c>
      <c r="CD619" s="872">
        <f t="shared" si="1110"/>
        <v>1.7605633802816989E-2</v>
      </c>
      <c r="CE619" s="1001">
        <f t="shared" si="1110"/>
        <v>2.7105517909002952E-2</v>
      </c>
      <c r="CF619" s="872">
        <f t="shared" si="1110"/>
        <v>-2.8806584362139898E-2</v>
      </c>
      <c r="CG619" s="872">
        <f t="shared" si="1110"/>
        <v>-3.8314176245210718E-2</v>
      </c>
      <c r="CH619" s="872">
        <f t="shared" si="1110"/>
        <v>-6.3432835820895539E-2</v>
      </c>
      <c r="CI619" s="872">
        <f t="shared" si="1110"/>
        <v>-1.730103806228378E-2</v>
      </c>
      <c r="CJ619" s="1001">
        <f t="shared" si="1110"/>
        <v>-3.6757775683317617E-2</v>
      </c>
      <c r="CK619" s="872">
        <f t="shared" si="1110"/>
        <v>2.1186440677966045E-2</v>
      </c>
      <c r="CL619" s="872">
        <f t="shared" si="1110"/>
        <v>-1.5936254980079667E-2</v>
      </c>
      <c r="CM619" s="899">
        <f t="shared" si="1110"/>
        <v>-1.9920318725099584E-2</v>
      </c>
      <c r="CN619" s="3335">
        <f t="shared" si="1110"/>
        <v>-0.176056338028169</v>
      </c>
      <c r="CO619" s="1001">
        <f>+CO616/CJ616-1</f>
        <v>-5.2837573385518644E-2</v>
      </c>
      <c r="CP619" s="3335">
        <f>+CP616/CK622-1</f>
        <v>-0.14634146341463417</v>
      </c>
      <c r="CQ619" s="3335">
        <f>+CQ616/CL622-1</f>
        <v>-8.5020242914979782E-2</v>
      </c>
      <c r="CR619" s="3335">
        <f>+CR616/CM622-1</f>
        <v>-0.16033755274261607</v>
      </c>
      <c r="CS619" s="3400">
        <f>+CS616/CN622-1</f>
        <v>0.1068376068376069</v>
      </c>
      <c r="CT619" s="3402">
        <f>+CT616/CO622-1</f>
        <v>-7.2614107883817169E-2</v>
      </c>
      <c r="CU619" s="3335"/>
      <c r="CV619" s="3335"/>
      <c r="CW619" s="3400"/>
      <c r="CX619" s="3400"/>
      <c r="CY619" s="1001">
        <f>+CY616/CT616-1</f>
        <v>5.559704697986545E-2</v>
      </c>
      <c r="CZ619" s="1001">
        <f>+CZ616/CY616-1</f>
        <v>-6.9210192401903514E-2</v>
      </c>
      <c r="DA619" s="1001">
        <f>+DA616/CZ616-1</f>
        <v>-3.8879884117676178E-2</v>
      </c>
      <c r="DB619"/>
      <c r="DC619"/>
      <c r="DD619" s="1675"/>
      <c r="DE619" s="1001"/>
      <c r="DF619" s="1001"/>
      <c r="DG619" s="1001"/>
      <c r="DH619" s="1001"/>
      <c r="DI619" s="1001"/>
      <c r="DJ619" s="1001"/>
      <c r="DK619" s="1001"/>
      <c r="DL619" s="1001"/>
      <c r="DM619" s="1001"/>
      <c r="DN619" s="1001"/>
      <c r="DO619" s="1001"/>
      <c r="DP619" s="1001"/>
      <c r="DQ619" s="1001"/>
      <c r="DR619" s="1001"/>
      <c r="DS619" s="1001"/>
      <c r="DT619" s="1001"/>
      <c r="DU619" s="1001"/>
      <c r="DV619" s="1001"/>
      <c r="DW619" s="1001"/>
      <c r="DX619" s="1001"/>
      <c r="DY619" s="1001"/>
      <c r="EA619"/>
      <c r="EB619"/>
      <c r="EC619"/>
      <c r="ED619"/>
      <c r="EE619"/>
      <c r="EF619"/>
      <c r="EJ619"/>
      <c r="EK619"/>
      <c r="EL619"/>
      <c r="EM619" s="1703"/>
      <c r="ER619" s="212"/>
    </row>
    <row r="620" spans="1:148" s="2383" customFormat="1" ht="12.75" customHeight="1" x14ac:dyDescent="0.2">
      <c r="A620" s="2288" t="s">
        <v>2011</v>
      </c>
      <c r="B620" s="2445"/>
      <c r="C620" s="2445"/>
      <c r="D620" s="2445"/>
      <c r="E620" s="2445"/>
      <c r="F620" s="2445"/>
      <c r="G620" s="2445"/>
      <c r="H620" s="2445"/>
      <c r="I620" s="2445"/>
      <c r="J620" s="2445"/>
      <c r="K620" s="2445"/>
      <c r="L620" s="2445"/>
      <c r="M620" s="2343"/>
      <c r="N620" s="2445"/>
      <c r="O620" s="2445"/>
      <c r="P620" s="2445"/>
      <c r="Q620" s="2445"/>
      <c r="R620" s="2343"/>
      <c r="S620" s="2445"/>
      <c r="T620" s="2445"/>
      <c r="U620" s="2445"/>
      <c r="V620" s="2445"/>
      <c r="W620" s="2343"/>
      <c r="X620" s="2445"/>
      <c r="Y620" s="2445"/>
      <c r="Z620" s="2445"/>
      <c r="AA620" s="2445"/>
      <c r="AB620" s="2343"/>
      <c r="AC620" s="2445"/>
      <c r="AD620" s="2445"/>
      <c r="AE620" s="2445"/>
      <c r="AF620" s="2445"/>
      <c r="AG620" s="2343"/>
      <c r="AH620" s="2445"/>
      <c r="AI620" s="2445"/>
      <c r="AJ620" s="2445"/>
      <c r="AK620" s="2445"/>
      <c r="AL620" s="2343"/>
      <c r="AM620" s="2445"/>
      <c r="AN620" s="2445"/>
      <c r="AO620" s="2445"/>
      <c r="AP620" s="2445"/>
      <c r="AQ620" s="2343"/>
      <c r="AR620" s="2445"/>
      <c r="AS620" s="2445"/>
      <c r="AT620" s="2445"/>
      <c r="AU620" s="2445"/>
      <c r="AV620" s="2343"/>
      <c r="AW620" s="2445"/>
      <c r="AX620" s="2445"/>
      <c r="AY620" s="2445"/>
      <c r="AZ620" s="2445"/>
      <c r="BA620" s="2343"/>
      <c r="BB620" s="2445"/>
      <c r="BC620" s="2445"/>
      <c r="BD620" s="2445"/>
      <c r="BE620" s="2445"/>
      <c r="BF620" s="2343"/>
      <c r="BG620" s="2445"/>
      <c r="BH620" s="2445"/>
      <c r="BI620" s="2445"/>
      <c r="BJ620" s="2445"/>
      <c r="BK620" s="2343"/>
      <c r="BL620" s="2445"/>
      <c r="BM620" s="2445"/>
      <c r="BN620" s="2445"/>
      <c r="BO620" s="2445"/>
      <c r="BP620" s="2343"/>
      <c r="BQ620" s="2445"/>
      <c r="BR620" s="2445"/>
      <c r="BS620" s="2445"/>
      <c r="BT620" s="2445"/>
      <c r="BU620" s="2343"/>
      <c r="BV620" s="2445">
        <v>180</v>
      </c>
      <c r="BW620" s="2445">
        <v>179</v>
      </c>
      <c r="BX620" s="2445">
        <v>167</v>
      </c>
      <c r="BY620" s="2445">
        <v>200</v>
      </c>
      <c r="BZ620" s="2446">
        <v>726</v>
      </c>
      <c r="CA620" s="2444"/>
      <c r="CB620" s="2443"/>
      <c r="CC620" s="2443"/>
      <c r="CD620" s="2443"/>
      <c r="CE620" s="2343"/>
      <c r="CF620" s="2444"/>
      <c r="CG620" s="2443"/>
      <c r="CH620" s="2443"/>
      <c r="CI620" s="2443"/>
      <c r="CJ620" s="2343"/>
      <c r="CK620" s="2443"/>
      <c r="CL620" s="2897"/>
      <c r="CM620" s="2443"/>
      <c r="CN620" s="2443"/>
      <c r="CO620" s="2343"/>
      <c r="CP620" s="2443"/>
      <c r="CQ620" s="2443"/>
      <c r="CR620" s="2443"/>
      <c r="CS620" s="2443"/>
      <c r="CT620" s="2343"/>
      <c r="CU620" s="2443"/>
      <c r="CV620" s="2443"/>
      <c r="CW620" s="2443"/>
      <c r="CX620" s="2443"/>
      <c r="CY620" s="2343"/>
      <c r="CZ620" s="2343"/>
      <c r="DA620" s="2343"/>
      <c r="DB620"/>
      <c r="DC620"/>
      <c r="DD620" s="2288"/>
      <c r="DE620" s="2343"/>
      <c r="DF620" s="2343"/>
      <c r="DG620" s="2343"/>
      <c r="DH620" s="2343"/>
      <c r="DI620" s="2343"/>
      <c r="DJ620" s="2343"/>
      <c r="DK620" s="2343"/>
      <c r="DL620" s="2343"/>
      <c r="DM620" s="2343"/>
      <c r="DN620" s="2343"/>
      <c r="DO620" s="2343"/>
      <c r="DP620" s="2343"/>
      <c r="DQ620" s="2343"/>
      <c r="DR620" s="2343"/>
      <c r="DS620" s="2343"/>
      <c r="DT620" s="2343"/>
      <c r="DU620" s="2343"/>
      <c r="DV620" s="2343"/>
      <c r="DW620" s="2343"/>
      <c r="DX620" s="2343"/>
      <c r="DY620" s="2343"/>
      <c r="EA620"/>
      <c r="EB620"/>
      <c r="EC620"/>
      <c r="ED620"/>
      <c r="EE620"/>
      <c r="EF620"/>
      <c r="EJ620"/>
      <c r="EK620"/>
      <c r="EL620"/>
      <c r="ER620" s="2402"/>
    </row>
    <row r="621" spans="1:148" s="2008" customFormat="1" ht="12.75" customHeight="1" x14ac:dyDescent="0.2">
      <c r="A621" s="2007" t="s">
        <v>1782</v>
      </c>
      <c r="B621" s="1982"/>
      <c r="C621" s="1982"/>
      <c r="D621" s="1982"/>
      <c r="E621" s="1982"/>
      <c r="F621" s="1982"/>
      <c r="G621" s="1982"/>
      <c r="H621" s="1982"/>
      <c r="I621" s="1982" t="s">
        <v>673</v>
      </c>
      <c r="J621" s="1982" t="s">
        <v>673</v>
      </c>
      <c r="K621" s="1982" t="s">
        <v>673</v>
      </c>
      <c r="L621" s="1982" t="s">
        <v>673</v>
      </c>
      <c r="M621" s="1848" t="s">
        <v>673</v>
      </c>
      <c r="N621" s="1982" t="s">
        <v>673</v>
      </c>
      <c r="O621" s="1982" t="s">
        <v>673</v>
      </c>
      <c r="P621" s="1982" t="s">
        <v>673</v>
      </c>
      <c r="Q621" s="1982" t="s">
        <v>673</v>
      </c>
      <c r="R621" s="1848" t="s">
        <v>673</v>
      </c>
      <c r="S621" s="1982" t="s">
        <v>673</v>
      </c>
      <c r="T621" s="1982" t="s">
        <v>673</v>
      </c>
      <c r="U621" s="1982" t="s">
        <v>673</v>
      </c>
      <c r="V621" s="1982" t="s">
        <v>673</v>
      </c>
      <c r="W621" s="1848" t="s">
        <v>673</v>
      </c>
      <c r="X621" s="1982" t="s">
        <v>673</v>
      </c>
      <c r="Y621" s="1982" t="s">
        <v>673</v>
      </c>
      <c r="Z621" s="1982" t="s">
        <v>673</v>
      </c>
      <c r="AA621" s="1982" t="s">
        <v>673</v>
      </c>
      <c r="AB621" s="1848" t="s">
        <v>673</v>
      </c>
      <c r="AC621" s="1982" t="s">
        <v>673</v>
      </c>
      <c r="AD621" s="1982" t="s">
        <v>673</v>
      </c>
      <c r="AE621" s="1982" t="s">
        <v>673</v>
      </c>
      <c r="AF621" s="1982" t="s">
        <v>673</v>
      </c>
      <c r="AG621" s="1848" t="s">
        <v>673</v>
      </c>
      <c r="AH621" s="1982" t="s">
        <v>673</v>
      </c>
      <c r="AI621" s="1982" t="s">
        <v>419</v>
      </c>
      <c r="AJ621" s="1982" t="s">
        <v>418</v>
      </c>
      <c r="AK621" s="1982" t="s">
        <v>416</v>
      </c>
      <c r="AL621" s="1848" t="s">
        <v>417</v>
      </c>
      <c r="AM621" s="1982" t="s">
        <v>414</v>
      </c>
      <c r="AN621" s="1982" t="s">
        <v>413</v>
      </c>
      <c r="AO621" s="1982" t="s">
        <v>1891</v>
      </c>
      <c r="AP621" s="1982" t="s">
        <v>410</v>
      </c>
      <c r="AQ621" s="1848" t="s">
        <v>411</v>
      </c>
      <c r="AR621" s="1982" t="s">
        <v>408</v>
      </c>
      <c r="AS621" s="1982" t="s">
        <v>407</v>
      </c>
      <c r="AT621" s="1982" t="s">
        <v>1890</v>
      </c>
      <c r="AU621" s="1982" t="s">
        <v>403</v>
      </c>
      <c r="AV621" s="1848" t="s">
        <v>404</v>
      </c>
      <c r="AW621" s="1982" t="s">
        <v>400</v>
      </c>
      <c r="AX621" s="1982" t="s">
        <v>399</v>
      </c>
      <c r="AY621" s="1982" t="s">
        <v>1908</v>
      </c>
      <c r="AZ621" s="1982" t="s">
        <v>1906</v>
      </c>
      <c r="BA621" s="1848" t="s">
        <v>1907</v>
      </c>
      <c r="BB621" s="1982" t="s">
        <v>1903</v>
      </c>
      <c r="BC621" s="1982" t="s">
        <v>1901</v>
      </c>
      <c r="BD621" s="1982" t="s">
        <v>1884</v>
      </c>
      <c r="BE621" s="1982" t="s">
        <v>1895</v>
      </c>
      <c r="BF621" s="1848" t="s">
        <v>1899</v>
      </c>
      <c r="BG621" s="1982" t="s">
        <v>1894</v>
      </c>
      <c r="BH621" s="1982" t="s">
        <v>1892</v>
      </c>
      <c r="BI621" s="1982" t="s">
        <v>1891</v>
      </c>
      <c r="BJ621" s="1982" t="s">
        <v>1893</v>
      </c>
      <c r="BK621" s="1848" t="s">
        <v>2188</v>
      </c>
      <c r="BL621" s="1982" t="s">
        <v>2187</v>
      </c>
      <c r="BM621" s="1982" t="s">
        <v>2186</v>
      </c>
      <c r="BN621" s="1982" t="s">
        <v>2186</v>
      </c>
      <c r="BO621" s="1982" t="s">
        <v>2185</v>
      </c>
      <c r="BP621" s="1848" t="s">
        <v>2184</v>
      </c>
      <c r="BQ621" s="1982" t="s">
        <v>2183</v>
      </c>
      <c r="BR621" s="1982" t="s">
        <v>2182</v>
      </c>
      <c r="BS621" s="1982" t="s">
        <v>2181</v>
      </c>
      <c r="BT621" s="1982" t="s">
        <v>2180</v>
      </c>
      <c r="BU621" s="1848" t="s">
        <v>2179</v>
      </c>
      <c r="BV621" s="1982" t="s">
        <v>2178</v>
      </c>
      <c r="BW621" s="1982" t="s">
        <v>2186</v>
      </c>
      <c r="BX621" s="1982" t="s">
        <v>1997</v>
      </c>
      <c r="BY621" s="1982" t="s">
        <v>2178</v>
      </c>
      <c r="BZ621" s="1848" t="s">
        <v>53</v>
      </c>
      <c r="CA621" s="1982" t="s">
        <v>2187</v>
      </c>
      <c r="CB621" s="1982" t="s">
        <v>2186</v>
      </c>
      <c r="CC621" s="1982" t="s">
        <v>2128</v>
      </c>
      <c r="CD621" s="1982" t="s">
        <v>2278</v>
      </c>
      <c r="CE621" s="1848" t="s">
        <v>2275</v>
      </c>
      <c r="CF621" s="1982" t="s">
        <v>2183</v>
      </c>
      <c r="CG621" s="1982" t="s">
        <v>2128</v>
      </c>
      <c r="CH621" s="2162">
        <v>165</v>
      </c>
      <c r="CI621" s="1983" t="s">
        <v>2337</v>
      </c>
      <c r="CJ621" s="1848" t="s">
        <v>2338</v>
      </c>
      <c r="CK621" s="2162">
        <v>160</v>
      </c>
      <c r="CL621" s="2426" t="s">
        <v>2187</v>
      </c>
      <c r="CM621" s="2162">
        <v>160</v>
      </c>
      <c r="CN621" s="2921" t="s">
        <v>403</v>
      </c>
      <c r="CO621" s="2244"/>
      <c r="CP621" s="2921" t="s">
        <v>2684</v>
      </c>
      <c r="CQ621" s="2921" t="s">
        <v>1893</v>
      </c>
      <c r="CR621" s="2921" t="s">
        <v>410</v>
      </c>
      <c r="CS621" s="2921" t="s">
        <v>2901</v>
      </c>
      <c r="CT621" s="3423" t="s">
        <v>2900</v>
      </c>
      <c r="CU621" s="2921"/>
      <c r="CV621" s="2921"/>
      <c r="CW621" s="2921"/>
      <c r="CX621" s="2921"/>
      <c r="CY621" s="3423" t="s">
        <v>2970</v>
      </c>
      <c r="CZ621" s="1848"/>
      <c r="DA621" s="1848"/>
      <c r="DB621"/>
      <c r="DC621"/>
      <c r="DD621" s="2325" t="s">
        <v>1782</v>
      </c>
      <c r="DE621" s="1849" t="str">
        <f t="shared" si="1084"/>
        <v>ND</v>
      </c>
      <c r="DF621" s="1849" t="str">
        <f t="shared" si="1085"/>
        <v>ND</v>
      </c>
      <c r="DG621" s="1849" t="str">
        <f t="shared" si="1086"/>
        <v>ND</v>
      </c>
      <c r="DH621" s="1849" t="str">
        <f t="shared" si="1087"/>
        <v>ND</v>
      </c>
      <c r="DI621" s="1849" t="str">
        <f t="shared" si="1088"/>
        <v>ND</v>
      </c>
      <c r="DJ621" s="1849" t="str">
        <f t="shared" si="1089"/>
        <v>~$648m</v>
      </c>
      <c r="DK621" s="1849" t="str">
        <f t="shared" si="1090"/>
        <v>$655-660m</v>
      </c>
      <c r="DL621" s="1849" t="str">
        <f t="shared" si="1091"/>
        <v>$718-723m</v>
      </c>
      <c r="DM621" s="1849" t="str">
        <f t="shared" si="1092"/>
        <v>$758-768m</v>
      </c>
      <c r="DN621" s="1849" t="str">
        <f t="shared" si="1093"/>
        <v>$585-605m</v>
      </c>
      <c r="DO621" s="1849" t="str">
        <f t="shared" si="1094"/>
        <v>$649-654</v>
      </c>
      <c r="DP621" s="1849" t="str">
        <f t="shared" si="1095"/>
        <v>$723-733</v>
      </c>
      <c r="DQ621" s="1849" t="str">
        <f t="shared" si="1096"/>
        <v>$639-649</v>
      </c>
      <c r="DR621" s="1849" t="str">
        <f t="shared" si="1097"/>
        <v>$696-701</v>
      </c>
      <c r="DS621" s="1849" t="str">
        <f t="shared" si="1098"/>
        <v>$654-$659</v>
      </c>
      <c r="DT621" s="1849" t="str">
        <f t="shared" si="1099"/>
        <v>$621</v>
      </c>
      <c r="DU621" s="1849">
        <f t="shared" si="1100"/>
        <v>0</v>
      </c>
      <c r="DV621" s="1849" t="str">
        <f t="shared" si="1101"/>
        <v>$877-882m</v>
      </c>
      <c r="DW621" s="1849" t="str">
        <f t="shared" si="1102"/>
        <v>$935-945m</v>
      </c>
      <c r="DX621" s="1849">
        <f t="shared" si="1103"/>
        <v>0</v>
      </c>
      <c r="DY621" s="1849">
        <f t="shared" si="1104"/>
        <v>0</v>
      </c>
      <c r="EA621"/>
      <c r="EB621"/>
      <c r="EC621"/>
      <c r="ED621"/>
      <c r="EE621"/>
      <c r="EF621"/>
      <c r="EJ621"/>
      <c r="EK621"/>
      <c r="EL621"/>
      <c r="ER621" s="1920"/>
    </row>
    <row r="622" spans="1:148" s="1226" customFormat="1" ht="12.75" customHeight="1" x14ac:dyDescent="0.2">
      <c r="A622" s="1718" t="s">
        <v>1485</v>
      </c>
      <c r="M622" s="1227"/>
      <c r="R622" s="1227"/>
      <c r="W622" s="1227"/>
      <c r="AB622" s="1227"/>
      <c r="AG622" s="1227"/>
      <c r="AL622" s="1227"/>
      <c r="AQ622" s="1227"/>
      <c r="AV622" s="1227"/>
      <c r="BA622" s="1227"/>
      <c r="BF622" s="1227"/>
      <c r="BG622" s="1226">
        <v>119</v>
      </c>
      <c r="BH622" s="1226">
        <v>128</v>
      </c>
      <c r="BI622" s="1226">
        <v>131</v>
      </c>
      <c r="BJ622" s="1226">
        <v>215</v>
      </c>
      <c r="BK622" s="1227">
        <f>+SUM(BG622:BJ622)</f>
        <v>593</v>
      </c>
      <c r="BL622" s="1226">
        <v>141</v>
      </c>
      <c r="BM622" s="1226">
        <v>140</v>
      </c>
      <c r="BN622" s="1226">
        <v>143</v>
      </c>
      <c r="BO622" s="1226">
        <v>219</v>
      </c>
      <c r="BP622" s="1227">
        <f>+SUM(BL622:BO622)</f>
        <v>643</v>
      </c>
      <c r="BU622" s="1227"/>
      <c r="BZ622" s="1227"/>
      <c r="CA622" s="1774"/>
      <c r="CD622" s="1812"/>
      <c r="CE622" s="1227"/>
      <c r="CF622" s="3420">
        <v>249</v>
      </c>
      <c r="CG622" s="3420">
        <v>250</v>
      </c>
      <c r="CH622" s="3420">
        <v>256</v>
      </c>
      <c r="CI622" s="3421">
        <v>284</v>
      </c>
      <c r="CJ622" s="3422">
        <f>+SUM(CF622:CI622)</f>
        <v>1039</v>
      </c>
      <c r="CK622" s="3420">
        <v>246</v>
      </c>
      <c r="CL622" s="3420">
        <v>247</v>
      </c>
      <c r="CM622" s="3420">
        <v>237</v>
      </c>
      <c r="CN622" s="3421">
        <v>234</v>
      </c>
      <c r="CO622" s="3422">
        <f>+SUM(CK622:CN622)</f>
        <v>964</v>
      </c>
      <c r="CP622" s="2941"/>
      <c r="CQ622" s="2941"/>
      <c r="CR622" s="2941"/>
      <c r="CS622" s="2941"/>
      <c r="CT622" s="1227"/>
      <c r="CU622" s="2941"/>
      <c r="CV622" s="2941"/>
      <c r="CW622" s="2941"/>
      <c r="CX622" s="2941"/>
      <c r="CY622" s="1227"/>
      <c r="CZ622" s="1227"/>
      <c r="DA622" s="1227"/>
      <c r="DB622"/>
      <c r="DC622"/>
      <c r="DD622" s="2352" t="s">
        <v>1485</v>
      </c>
      <c r="DE622" s="2353">
        <f t="shared" si="1084"/>
        <v>0</v>
      </c>
      <c r="DF622" s="2353">
        <f t="shared" si="1085"/>
        <v>0</v>
      </c>
      <c r="DG622" s="2353">
        <f t="shared" si="1086"/>
        <v>0</v>
      </c>
      <c r="DH622" s="2353">
        <f t="shared" si="1087"/>
        <v>0</v>
      </c>
      <c r="DI622" s="2353">
        <f t="shared" si="1088"/>
        <v>0</v>
      </c>
      <c r="DJ622" s="2353">
        <f t="shared" si="1089"/>
        <v>0</v>
      </c>
      <c r="DK622" s="2353">
        <f t="shared" si="1090"/>
        <v>0</v>
      </c>
      <c r="DL622" s="2353">
        <f t="shared" si="1091"/>
        <v>0</v>
      </c>
      <c r="DM622" s="2353">
        <f t="shared" si="1092"/>
        <v>0</v>
      </c>
      <c r="DN622" s="2353">
        <f t="shared" si="1093"/>
        <v>0</v>
      </c>
      <c r="DO622" s="2353">
        <f t="shared" si="1094"/>
        <v>593</v>
      </c>
      <c r="DP622" s="2353">
        <f t="shared" si="1095"/>
        <v>643</v>
      </c>
      <c r="DQ622" s="2353">
        <f t="shared" si="1096"/>
        <v>0</v>
      </c>
      <c r="DR622" s="2353">
        <f t="shared" si="1097"/>
        <v>0</v>
      </c>
      <c r="DS622" s="2353">
        <f t="shared" si="1098"/>
        <v>0</v>
      </c>
      <c r="DT622" s="2353">
        <f t="shared" si="1099"/>
        <v>1039</v>
      </c>
      <c r="DU622" s="2353">
        <f t="shared" si="1100"/>
        <v>964</v>
      </c>
      <c r="DV622" s="2353">
        <f t="shared" si="1101"/>
        <v>0</v>
      </c>
      <c r="DW622" s="2353">
        <f t="shared" si="1102"/>
        <v>0</v>
      </c>
      <c r="DX622" s="2353">
        <f t="shared" si="1103"/>
        <v>0</v>
      </c>
      <c r="DY622" s="2353">
        <f t="shared" si="1104"/>
        <v>0</v>
      </c>
      <c r="EA622"/>
      <c r="EB622"/>
      <c r="EC622"/>
      <c r="ED622"/>
      <c r="EE622"/>
      <c r="EF622"/>
      <c r="EJ622"/>
      <c r="EK622"/>
      <c r="EL622"/>
    </row>
    <row r="623" spans="1:148" s="923" customFormat="1" ht="12.75" customHeight="1" x14ac:dyDescent="0.2">
      <c r="A623" s="1675" t="s">
        <v>1016</v>
      </c>
      <c r="B623" s="872"/>
      <c r="C623" s="872"/>
      <c r="D623" s="872"/>
      <c r="E623" s="872"/>
      <c r="F623" s="872"/>
      <c r="G623" s="872"/>
      <c r="H623" s="872"/>
      <c r="I623" s="872"/>
      <c r="J623" s="872"/>
      <c r="K623" s="872"/>
      <c r="L623" s="872"/>
      <c r="M623" s="998"/>
      <c r="N623" s="872"/>
      <c r="O623" s="872"/>
      <c r="P623" s="872"/>
      <c r="Q623" s="872"/>
      <c r="R623" s="998"/>
      <c r="S623" s="872"/>
      <c r="T623" s="872"/>
      <c r="U623" s="872"/>
      <c r="V623" s="872"/>
      <c r="W623" s="998"/>
      <c r="X623" s="872"/>
      <c r="Y623" s="872"/>
      <c r="Z623" s="872"/>
      <c r="AA623" s="872"/>
      <c r="AB623" s="998"/>
      <c r="AC623" s="872"/>
      <c r="AD623" s="872"/>
      <c r="AE623" s="872"/>
      <c r="AF623" s="872"/>
      <c r="AG623" s="998"/>
      <c r="AH623" s="872"/>
      <c r="AI623" s="872"/>
      <c r="AJ623" s="872"/>
      <c r="AK623" s="872"/>
      <c r="AL623" s="998"/>
      <c r="AM623" s="872"/>
      <c r="AN623" s="872"/>
      <c r="AO623" s="872"/>
      <c r="AP623" s="872"/>
      <c r="AQ623" s="998"/>
      <c r="AR623" s="872"/>
      <c r="AS623" s="872"/>
      <c r="AT623" s="872"/>
      <c r="AU623" s="872"/>
      <c r="AV623" s="998"/>
      <c r="AW623" s="872"/>
      <c r="AX623" s="872"/>
      <c r="AY623" s="872"/>
      <c r="AZ623" s="872"/>
      <c r="BA623" s="998"/>
      <c r="BB623" s="872"/>
      <c r="BC623" s="872"/>
      <c r="BD623" s="872"/>
      <c r="BE623" s="872"/>
      <c r="BF623" s="998"/>
      <c r="BG623" s="872"/>
      <c r="BH623" s="872"/>
      <c r="BI623" s="872"/>
      <c r="BJ623" s="872"/>
      <c r="BK623" s="998"/>
      <c r="BL623" s="872">
        <f>+BL622/BG622-1</f>
        <v>0.18487394957983194</v>
      </c>
      <c r="BM623" s="872">
        <f>+BM622/BH622-1</f>
        <v>9.375E-2</v>
      </c>
      <c r="BN623" s="872">
        <f>+BN622/BI622-1</f>
        <v>9.1603053435114434E-2</v>
      </c>
      <c r="BO623" s="872">
        <f>+BO622/BJ622-1</f>
        <v>1.8604651162790642E-2</v>
      </c>
      <c r="BP623" s="998">
        <f>+BP622/BK622-1</f>
        <v>8.4317032040472251E-2</v>
      </c>
      <c r="BQ623" s="872"/>
      <c r="BR623" s="872"/>
      <c r="BS623" s="872"/>
      <c r="BT623" s="872"/>
      <c r="BU623" s="998"/>
      <c r="BV623" s="872"/>
      <c r="BW623" s="872"/>
      <c r="BX623" s="872"/>
      <c r="BY623" s="872"/>
      <c r="BZ623" s="998"/>
      <c r="CA623" s="1384"/>
      <c r="CB623" s="872"/>
      <c r="CC623" s="872"/>
      <c r="CD623" s="1785"/>
      <c r="CE623" s="998"/>
      <c r="CF623" s="872"/>
      <c r="CG623" s="872"/>
      <c r="CH623" s="872"/>
      <c r="CI623" s="1785"/>
      <c r="CJ623" s="998"/>
      <c r="CK623" s="872"/>
      <c r="CL623" s="872"/>
      <c r="CM623" s="872"/>
      <c r="CN623" s="1785"/>
      <c r="CO623" s="998"/>
      <c r="CP623" s="872"/>
      <c r="CQ623" s="872"/>
      <c r="CR623" s="872"/>
      <c r="CS623" s="872"/>
      <c r="CT623" s="998"/>
      <c r="CU623" s="872"/>
      <c r="CV623" s="872"/>
      <c r="CW623" s="872"/>
      <c r="CX623" s="872"/>
      <c r="CY623" s="998"/>
      <c r="CZ623" s="998"/>
      <c r="DA623" s="998"/>
      <c r="DB623"/>
      <c r="DC623"/>
      <c r="DD623" s="1675" t="s">
        <v>1016</v>
      </c>
      <c r="DE623" s="1001">
        <f t="shared" si="1084"/>
        <v>0</v>
      </c>
      <c r="DF623" s="1001">
        <f t="shared" si="1085"/>
        <v>0</v>
      </c>
      <c r="DG623" s="1001">
        <f t="shared" si="1086"/>
        <v>0</v>
      </c>
      <c r="DH623" s="1001">
        <f t="shared" si="1087"/>
        <v>0</v>
      </c>
      <c r="DI623" s="1001">
        <f t="shared" si="1088"/>
        <v>0</v>
      </c>
      <c r="DJ623" s="1001">
        <f t="shared" si="1089"/>
        <v>0</v>
      </c>
      <c r="DK623" s="1001">
        <f t="shared" si="1090"/>
        <v>0</v>
      </c>
      <c r="DL623" s="1001">
        <f t="shared" si="1091"/>
        <v>0</v>
      </c>
      <c r="DM623" s="1001">
        <f t="shared" si="1092"/>
        <v>0</v>
      </c>
      <c r="DN623" s="1001">
        <f t="shared" si="1093"/>
        <v>0</v>
      </c>
      <c r="DO623" s="1001">
        <f t="shared" si="1094"/>
        <v>0</v>
      </c>
      <c r="DP623" s="1001">
        <f t="shared" si="1095"/>
        <v>8.4317032040472251E-2</v>
      </c>
      <c r="DQ623" s="1001">
        <f t="shared" si="1096"/>
        <v>0</v>
      </c>
      <c r="DR623" s="1001">
        <f t="shared" si="1097"/>
        <v>0</v>
      </c>
      <c r="DS623" s="1001">
        <f t="shared" si="1098"/>
        <v>0</v>
      </c>
      <c r="DT623" s="1001">
        <f t="shared" si="1099"/>
        <v>0</v>
      </c>
      <c r="DU623" s="1001">
        <f t="shared" si="1100"/>
        <v>0</v>
      </c>
      <c r="DV623" s="1001">
        <f t="shared" si="1101"/>
        <v>0</v>
      </c>
      <c r="DW623" s="1001">
        <f t="shared" si="1102"/>
        <v>0</v>
      </c>
      <c r="DX623" s="1001">
        <f t="shared" si="1103"/>
        <v>0</v>
      </c>
      <c r="DY623" s="1001">
        <f t="shared" si="1104"/>
        <v>0</v>
      </c>
      <c r="EA623"/>
      <c r="EB623"/>
      <c r="EC623"/>
      <c r="ED623"/>
      <c r="EE623"/>
      <c r="EF623"/>
      <c r="EJ623"/>
      <c r="EK623"/>
      <c r="EL623"/>
      <c r="ER623" s="212"/>
    </row>
    <row r="624" spans="1:148" s="923" customFormat="1" ht="12.75" customHeight="1" x14ac:dyDescent="0.2">
      <c r="A624" s="1560"/>
      <c r="B624" s="215"/>
      <c r="C624" s="215"/>
      <c r="D624" s="215"/>
      <c r="E624" s="215"/>
      <c r="F624" s="215"/>
      <c r="G624" s="215"/>
      <c r="H624" s="215"/>
      <c r="I624" s="215"/>
      <c r="J624" s="215"/>
      <c r="K624" s="215"/>
      <c r="L624" s="215"/>
      <c r="M624" s="968"/>
      <c r="N624" s="215"/>
      <c r="O624" s="215"/>
      <c r="P624" s="215"/>
      <c r="Q624" s="215"/>
      <c r="R624" s="968"/>
      <c r="S624" s="215"/>
      <c r="T624" s="215"/>
      <c r="U624" s="215"/>
      <c r="V624" s="215"/>
      <c r="W624" s="968"/>
      <c r="X624" s="215"/>
      <c r="Y624" s="215"/>
      <c r="Z624" s="215"/>
      <c r="AA624" s="215"/>
      <c r="AB624" s="968"/>
      <c r="AC624" s="215"/>
      <c r="AD624" s="215"/>
      <c r="AE624" s="215"/>
      <c r="AF624" s="215"/>
      <c r="AG624" s="968"/>
      <c r="AH624" s="215"/>
      <c r="AI624" s="215"/>
      <c r="AJ624" s="215"/>
      <c r="AK624" s="215"/>
      <c r="AL624" s="968"/>
      <c r="AM624" s="215"/>
      <c r="AN624" s="215"/>
      <c r="AO624" s="215"/>
      <c r="AP624" s="215"/>
      <c r="AQ624" s="968"/>
      <c r="AR624" s="215"/>
      <c r="AS624" s="215"/>
      <c r="AT624" s="215"/>
      <c r="AU624" s="215"/>
      <c r="AV624" s="968"/>
      <c r="AW624" s="215"/>
      <c r="AX624" s="215"/>
      <c r="AY624" s="215"/>
      <c r="AZ624" s="215"/>
      <c r="BA624" s="968"/>
      <c r="BB624" s="215"/>
      <c r="BC624" s="215"/>
      <c r="BD624" s="215"/>
      <c r="BE624" s="215"/>
      <c r="BF624" s="968"/>
      <c r="BG624" s="215"/>
      <c r="BH624" s="215"/>
      <c r="BI624" s="215"/>
      <c r="BJ624" s="215"/>
      <c r="BK624" s="968"/>
      <c r="BL624" s="215"/>
      <c r="BM624" s="215"/>
      <c r="BN624" s="215"/>
      <c r="BO624" s="215"/>
      <c r="BP624" s="968"/>
      <c r="BQ624" s="215"/>
      <c r="BR624" s="215"/>
      <c r="BS624" s="215"/>
      <c r="BT624" s="215"/>
      <c r="BU624" s="968"/>
      <c r="BV624" s="215"/>
      <c r="BW624" s="215"/>
      <c r="BX624" s="215"/>
      <c r="BY624" s="215"/>
      <c r="BZ624" s="968"/>
      <c r="CA624" s="188"/>
      <c r="CB624" s="215"/>
      <c r="CC624" s="215"/>
      <c r="CD624" s="1788"/>
      <c r="CE624" s="968"/>
      <c r="CF624" s="215"/>
      <c r="CG624" s="215"/>
      <c r="CH624" s="215"/>
      <c r="CI624" s="1788"/>
      <c r="CJ624" s="968"/>
      <c r="CK624" s="215"/>
      <c r="CL624" s="215"/>
      <c r="CM624" s="215"/>
      <c r="CN624" s="1788"/>
      <c r="CO624" s="968"/>
      <c r="CP624" s="215"/>
      <c r="CQ624" s="215"/>
      <c r="CR624" s="215"/>
      <c r="CS624" s="215"/>
      <c r="CT624" s="968"/>
      <c r="CU624" s="215"/>
      <c r="CV624" s="215"/>
      <c r="CW624" s="215"/>
      <c r="CX624" s="215"/>
      <c r="CY624" s="968"/>
      <c r="CZ624" s="968"/>
      <c r="DA624" s="968"/>
      <c r="DB624"/>
      <c r="DC624"/>
      <c r="DD624" s="1560"/>
      <c r="DE624" s="2290"/>
      <c r="DF624" s="2290"/>
      <c r="DG624" s="2290"/>
      <c r="DH624" s="2290"/>
      <c r="DI624" s="2290"/>
      <c r="DJ624" s="2290"/>
      <c r="DK624" s="2290"/>
      <c r="DL624" s="2290"/>
      <c r="DM624" s="2290"/>
      <c r="DN624" s="2290"/>
      <c r="DO624" s="2290"/>
      <c r="DP624" s="2290"/>
      <c r="DQ624" s="2290"/>
      <c r="DR624" s="2290"/>
      <c r="DS624" s="2290"/>
      <c r="DT624" s="2290"/>
      <c r="DU624" s="2290"/>
      <c r="DV624" s="2290"/>
      <c r="DW624" s="2290"/>
      <c r="DX624" s="2290"/>
      <c r="DY624" s="2290"/>
      <c r="EA624"/>
      <c r="EB624"/>
      <c r="EC624"/>
      <c r="ED624"/>
      <c r="EE624"/>
      <c r="EF624"/>
      <c r="EJ624"/>
      <c r="EK624"/>
      <c r="EL624"/>
      <c r="ER624" s="212"/>
    </row>
    <row r="625" spans="1:148" s="923" customFormat="1" x14ac:dyDescent="0.2">
      <c r="A625" s="504" t="s">
        <v>980</v>
      </c>
      <c r="B625" s="765"/>
      <c r="C625" s="765"/>
      <c r="D625" s="765"/>
      <c r="E625" s="765"/>
      <c r="F625" s="765"/>
      <c r="G625" s="765"/>
      <c r="H625" s="765"/>
      <c r="I625" s="765">
        <f>(((479-435)/0.65)/4)</f>
        <v>16.923076923076923</v>
      </c>
      <c r="J625" s="765">
        <f>(((479-435)/0.65)/4)</f>
        <v>16.923076923076923</v>
      </c>
      <c r="K625" s="765">
        <f>(((479-435)/0.65)/4)</f>
        <v>16.923076923076923</v>
      </c>
      <c r="L625" s="765">
        <f>(((479-435)/0.65)/4)</f>
        <v>16.923076923076923</v>
      </c>
      <c r="M625" s="965">
        <f>SUM(I625:L625)</f>
        <v>67.692307692307693</v>
      </c>
      <c r="N625" s="765">
        <f>(((236-187)/0.65)/4)</f>
        <v>18.846153846153847</v>
      </c>
      <c r="O625" s="765">
        <f>(((236-187)/0.65)/4)</f>
        <v>18.846153846153847</v>
      </c>
      <c r="P625" s="765">
        <f>(((236-187)/0.65)/4)</f>
        <v>18.846153846153847</v>
      </c>
      <c r="Q625" s="765">
        <f>(((236-187)/0.65)/4)</f>
        <v>18.846153846153847</v>
      </c>
      <c r="R625" s="965">
        <f>SUM(N625:Q625)</f>
        <v>75.384615384615387</v>
      </c>
      <c r="S625" s="765">
        <f>(((277-222)/0.65)/4)</f>
        <v>21.153846153846153</v>
      </c>
      <c r="T625" s="765">
        <f>(((277-222)/0.65)/4)</f>
        <v>21.153846153846153</v>
      </c>
      <c r="U625" s="765">
        <f>(((277-222)/0.65)/4)</f>
        <v>21.153846153846153</v>
      </c>
      <c r="V625" s="765">
        <f>(((277-222)/0.65)/4)</f>
        <v>21.153846153846153</v>
      </c>
      <c r="W625" s="965">
        <f>SUM(S625:V625)</f>
        <v>84.615384615384613</v>
      </c>
      <c r="X625" s="765">
        <f>(16-4)/(1-X638)</f>
        <v>18.75</v>
      </c>
      <c r="Y625" s="765">
        <f>(18-5)/(1-Y638)</f>
        <v>19.637462235649551</v>
      </c>
      <c r="Z625" s="765">
        <f>(18-4)/(1-Z638)</f>
        <v>21.374045801526716</v>
      </c>
      <c r="AA625" s="765">
        <f>(73-19)/(1-AB638)-Z625-Y625-X625</f>
        <v>22.882121516378987</v>
      </c>
      <c r="AB625" s="965">
        <f>SUM(X625:AA625)</f>
        <v>82.643629553555257</v>
      </c>
      <c r="AC625" s="765">
        <f>(17-7)/(1-AC638)</f>
        <v>15.503875968992247</v>
      </c>
      <c r="AD625" s="765">
        <f>(19-8)/(1-AD638)</f>
        <v>17.107309486780714</v>
      </c>
      <c r="AE625" s="765">
        <f>(13-6)/(1-AE638)</f>
        <v>10.769230769230768</v>
      </c>
      <c r="AF625" s="765">
        <f>((58-31)/(1-AF638))-AE625-AD625-AC625</f>
        <v>-1.8419546865421879</v>
      </c>
      <c r="AG625" s="965">
        <f>AB625*(1+AG626)</f>
        <v>69.420648824986415</v>
      </c>
      <c r="AH625" s="765">
        <f>(14-8)/(1-AH638)</f>
        <v>9.1603053435114496</v>
      </c>
      <c r="AI625" s="765">
        <f>(14-10)/(1-AI638)</f>
        <v>7.8297872340425521</v>
      </c>
      <c r="AJ625" s="765">
        <f>(15-10)/(1-AJ638)</f>
        <v>7.338709677419355</v>
      </c>
      <c r="AK625" s="765">
        <f>$AL625*AK4/BA4</f>
        <v>16.856612831216214</v>
      </c>
      <c r="AL625" s="965">
        <f>+AG625*(1+AL626)</f>
        <v>55.536519059989132</v>
      </c>
      <c r="AM625" s="765">
        <f>AM4/$AQ$4*$AQ$625</f>
        <v>24.854794520547944</v>
      </c>
      <c r="AN625" s="765">
        <f>AN4/$AQ$4*$AQ$625</f>
        <v>24.854794520547944</v>
      </c>
      <c r="AO625" s="765">
        <f>AO4/$AQ$4*$AQ$625</f>
        <v>24.854794520547944</v>
      </c>
      <c r="AP625" s="765">
        <f>AP4/$AQ$4*$AQ$625</f>
        <v>33.435616438356163</v>
      </c>
      <c r="AQ625" s="965">
        <v>108</v>
      </c>
      <c r="AR625" s="765">
        <f>AR4/$AV$4*$AV$625</f>
        <v>23.934246575342467</v>
      </c>
      <c r="AS625" s="765">
        <f>AS4/$AV$4*$AV$625</f>
        <v>23.934246575342467</v>
      </c>
      <c r="AT625" s="765">
        <f>AT4/$AV$4*$AV$625</f>
        <v>23.934246575342467</v>
      </c>
      <c r="AU625" s="765">
        <f>AU4/$AV$4*$AV$625</f>
        <v>32.197260273972603</v>
      </c>
      <c r="AV625" s="965">
        <v>104</v>
      </c>
      <c r="AW625" s="765">
        <f>AW4/$BA$4*$BA$625</f>
        <v>25.495934959349594</v>
      </c>
      <c r="AX625" s="765">
        <f>AX4/$BA$4*$BA$625</f>
        <v>25.495934959349594</v>
      </c>
      <c r="AY625" s="765">
        <f>AY4/$BA$4*$BA$625</f>
        <v>25.495934959349594</v>
      </c>
      <c r="AZ625" s="765">
        <f>AZ4/$BA$4*$BA$625</f>
        <v>35.512195121951223</v>
      </c>
      <c r="BA625" s="965">
        <v>112</v>
      </c>
      <c r="BB625" s="765">
        <f>50-BC625</f>
        <v>28</v>
      </c>
      <c r="BC625" s="765">
        <v>22</v>
      </c>
      <c r="BD625" s="765">
        <v>23</v>
      </c>
      <c r="BE625" s="765">
        <f>BF625-SUM(BB625:BD625)</f>
        <v>12</v>
      </c>
      <c r="BF625" s="965">
        <v>85</v>
      </c>
      <c r="BG625" s="765">
        <v>20</v>
      </c>
      <c r="BH625" s="765">
        <v>26</v>
      </c>
      <c r="BI625" s="765">
        <v>21</v>
      </c>
      <c r="BJ625" s="765">
        <f>BK625-SUM(BG625:BI625)</f>
        <v>23</v>
      </c>
      <c r="BK625" s="965">
        <v>90</v>
      </c>
      <c r="BL625" s="765">
        <v>21</v>
      </c>
      <c r="BM625" s="765">
        <v>22</v>
      </c>
      <c r="BN625" s="765">
        <v>22</v>
      </c>
      <c r="BO625" s="765">
        <f>BP625-SUM(BL625:BN625)</f>
        <v>21</v>
      </c>
      <c r="BP625" s="965">
        <v>86</v>
      </c>
      <c r="BQ625" s="765">
        <v>19</v>
      </c>
      <c r="BR625" s="765">
        <v>19</v>
      </c>
      <c r="BS625" s="765">
        <v>19</v>
      </c>
      <c r="BT625" s="765">
        <f>BU625-SUM(BQ625:BS625)</f>
        <v>20</v>
      </c>
      <c r="BU625" s="965">
        <v>77</v>
      </c>
      <c r="BV625" s="765">
        <v>22</v>
      </c>
      <c r="BW625" s="765"/>
      <c r="BX625" s="765"/>
      <c r="BY625" s="765"/>
      <c r="BZ625" s="965"/>
      <c r="CA625" s="765"/>
      <c r="CB625" s="220"/>
      <c r="CC625" s="220"/>
      <c r="CD625" s="1792"/>
      <c r="CE625" s="965"/>
      <c r="CF625" s="220"/>
      <c r="CG625" s="220"/>
      <c r="CH625" s="220"/>
      <c r="CI625" s="1792"/>
      <c r="CJ625" s="965"/>
      <c r="CK625" s="220"/>
      <c r="CL625" s="220"/>
      <c r="CM625" s="220"/>
      <c r="CN625" s="1792"/>
      <c r="CO625" s="965"/>
      <c r="CP625" s="220"/>
      <c r="CQ625" s="220"/>
      <c r="CR625" s="220"/>
      <c r="CS625" s="220"/>
      <c r="CT625" s="965"/>
      <c r="CU625" s="220"/>
      <c r="CV625" s="220"/>
      <c r="CW625" s="220"/>
      <c r="CX625" s="220"/>
      <c r="CY625" s="965"/>
      <c r="CZ625" s="965"/>
      <c r="DA625" s="965"/>
      <c r="DB625"/>
      <c r="DC625"/>
      <c r="DD625" s="2285" t="s">
        <v>980</v>
      </c>
      <c r="DE625" s="2284">
        <f>M625</f>
        <v>67.692307692307693</v>
      </c>
      <c r="DF625" s="2284">
        <f>R625</f>
        <v>75.384615384615387</v>
      </c>
      <c r="DG625" s="2284">
        <f>W625</f>
        <v>84.615384615384613</v>
      </c>
      <c r="DH625" s="2284">
        <f>AB625</f>
        <v>82.643629553555257</v>
      </c>
      <c r="DI625" s="2284">
        <f>AG625</f>
        <v>69.420648824986415</v>
      </c>
      <c r="DJ625" s="2284">
        <f>AL625</f>
        <v>55.536519059989132</v>
      </c>
      <c r="DK625" s="2284">
        <f>AQ625</f>
        <v>108</v>
      </c>
      <c r="DL625" s="2284">
        <f>AV625</f>
        <v>104</v>
      </c>
      <c r="DM625" s="2284">
        <f>BA625</f>
        <v>112</v>
      </c>
      <c r="DN625" s="2284">
        <f>BF625</f>
        <v>85</v>
      </c>
      <c r="DO625" s="2284">
        <f>BK625</f>
        <v>90</v>
      </c>
      <c r="DP625" s="2284">
        <f>BP625</f>
        <v>86</v>
      </c>
      <c r="DQ625" s="2284">
        <f>BU625</f>
        <v>77</v>
      </c>
      <c r="DR625" s="2284">
        <f>BZ625</f>
        <v>0</v>
      </c>
      <c r="DS625" s="2284">
        <f>CE625</f>
        <v>0</v>
      </c>
      <c r="DT625" s="2284">
        <f>CJ625</f>
        <v>0</v>
      </c>
      <c r="DU625" s="2284">
        <f>CO625</f>
        <v>0</v>
      </c>
      <c r="DV625" s="2284">
        <f>CT625</f>
        <v>0</v>
      </c>
      <c r="DW625" s="2284">
        <f t="shared" ref="DW625:DY626" si="1111">CY625</f>
        <v>0</v>
      </c>
      <c r="DX625" s="2284">
        <f t="shared" si="1111"/>
        <v>0</v>
      </c>
      <c r="DY625" s="2284">
        <f t="shared" si="1111"/>
        <v>0</v>
      </c>
      <c r="EA625"/>
      <c r="EB625"/>
      <c r="EC625"/>
      <c r="ED625"/>
      <c r="EE625"/>
      <c r="EF625"/>
      <c r="EJ625"/>
      <c r="EK625"/>
      <c r="EL625"/>
      <c r="ER625" s="212"/>
    </row>
    <row r="626" spans="1:148" s="923" customFormat="1" ht="12.75" customHeight="1" x14ac:dyDescent="0.2">
      <c r="A626" s="1675" t="s">
        <v>1016</v>
      </c>
      <c r="B626" s="997"/>
      <c r="C626" s="997"/>
      <c r="D626" s="997"/>
      <c r="E626" s="997"/>
      <c r="F626" s="997"/>
      <c r="G626" s="997"/>
      <c r="H626" s="997"/>
      <c r="I626" s="997"/>
      <c r="J626" s="997"/>
      <c r="K626" s="997"/>
      <c r="L626" s="997"/>
      <c r="M626" s="1011"/>
      <c r="N626" s="997">
        <f t="shared" ref="N626:AF626" si="1112">N625/I625-1</f>
        <v>0.11363636363636376</v>
      </c>
      <c r="O626" s="997">
        <f t="shared" si="1112"/>
        <v>0.11363636363636376</v>
      </c>
      <c r="P626" s="997">
        <f t="shared" si="1112"/>
        <v>0.11363636363636376</v>
      </c>
      <c r="Q626" s="997">
        <f t="shared" si="1112"/>
        <v>0.11363636363636376</v>
      </c>
      <c r="R626" s="1011">
        <f t="shared" si="1112"/>
        <v>0.11363636363636376</v>
      </c>
      <c r="S626" s="997">
        <f t="shared" si="1112"/>
        <v>0.12244897959183665</v>
      </c>
      <c r="T626" s="997">
        <f t="shared" si="1112"/>
        <v>0.12244897959183665</v>
      </c>
      <c r="U626" s="997">
        <f t="shared" si="1112"/>
        <v>0.12244897959183665</v>
      </c>
      <c r="V626" s="997">
        <f t="shared" si="1112"/>
        <v>0.12244897959183665</v>
      </c>
      <c r="W626" s="1011">
        <f t="shared" si="1112"/>
        <v>0.12244897959183665</v>
      </c>
      <c r="X626" s="997">
        <f t="shared" si="1112"/>
        <v>-0.11363636363636365</v>
      </c>
      <c r="Y626" s="997">
        <f t="shared" si="1112"/>
        <v>-7.1683603405657603E-2</v>
      </c>
      <c r="Z626" s="997">
        <f t="shared" si="1112"/>
        <v>1.0409437890353868E-2</v>
      </c>
      <c r="AA626" s="997">
        <f t="shared" si="1112"/>
        <v>8.1700289865188624E-2</v>
      </c>
      <c r="AB626" s="1011">
        <f t="shared" si="1112"/>
        <v>-2.3302559821619662E-2</v>
      </c>
      <c r="AC626" s="997">
        <f t="shared" si="1112"/>
        <v>-0.17312661498708015</v>
      </c>
      <c r="AD626" s="997">
        <f t="shared" si="1112"/>
        <v>-0.12884316305778221</v>
      </c>
      <c r="AE626" s="997">
        <f t="shared" si="1112"/>
        <v>-0.49615384615384617</v>
      </c>
      <c r="AF626" s="997">
        <f t="shared" si="1112"/>
        <v>-1.080497548499763</v>
      </c>
      <c r="AG626" s="1011">
        <v>-0.16</v>
      </c>
      <c r="AH626" s="997">
        <f>AH625/AC625-1</f>
        <v>-0.40916030534351144</v>
      </c>
      <c r="AI626" s="997">
        <f>AI625/AD625-1</f>
        <v>-0.5423133462282399</v>
      </c>
      <c r="AJ626" s="997">
        <f>AJ625/AE625-1</f>
        <v>-0.31854838709677413</v>
      </c>
      <c r="AK626" s="997">
        <f>AK625/AF625-1</f>
        <v>-10.151480736401998</v>
      </c>
      <c r="AL626" s="1011">
        <v>-0.2</v>
      </c>
      <c r="AM626" s="997">
        <f t="shared" ref="AM626:BO626" si="1113">AM625/AH625-1</f>
        <v>1.7133150684931509</v>
      </c>
      <c r="AN626" s="997">
        <f t="shared" si="1113"/>
        <v>2.1743895175699826</v>
      </c>
      <c r="AO626" s="997">
        <f t="shared" si="1113"/>
        <v>2.3868071654373022</v>
      </c>
      <c r="AP626" s="997">
        <f t="shared" si="1113"/>
        <v>0.98353113838136164</v>
      </c>
      <c r="AQ626" s="1011">
        <f t="shared" si="1113"/>
        <v>0.9446663533834585</v>
      </c>
      <c r="AR626" s="997">
        <f t="shared" si="1113"/>
        <v>-3.7037037037036979E-2</v>
      </c>
      <c r="AS626" s="997">
        <f t="shared" si="1113"/>
        <v>-3.7037037037036979E-2</v>
      </c>
      <c r="AT626" s="997">
        <f t="shared" si="1113"/>
        <v>-3.7037037037036979E-2</v>
      </c>
      <c r="AU626" s="997">
        <f t="shared" si="1113"/>
        <v>-3.7037037037036979E-2</v>
      </c>
      <c r="AV626" s="1011">
        <f t="shared" si="1113"/>
        <v>-3.703703703703709E-2</v>
      </c>
      <c r="AW626" s="997">
        <f t="shared" si="1113"/>
        <v>6.5249114029601873E-2</v>
      </c>
      <c r="AX626" s="997">
        <f t="shared" si="1113"/>
        <v>6.5249114029601873E-2</v>
      </c>
      <c r="AY626" s="997">
        <f t="shared" si="1113"/>
        <v>6.5249114029601873E-2</v>
      </c>
      <c r="AZ626" s="997">
        <f t="shared" si="1113"/>
        <v>0.10295704726958776</v>
      </c>
      <c r="BA626" s="1011">
        <f t="shared" si="1113"/>
        <v>7.6923076923076872E-2</v>
      </c>
      <c r="BB626" s="997">
        <f t="shared" si="1113"/>
        <v>9.8214285714285809E-2</v>
      </c>
      <c r="BC626" s="997">
        <f t="shared" si="1113"/>
        <v>-0.13711734693877553</v>
      </c>
      <c r="BD626" s="997">
        <f t="shared" si="1113"/>
        <v>-9.7895408163265363E-2</v>
      </c>
      <c r="BE626" s="997">
        <f t="shared" si="1113"/>
        <v>-0.66208791208791218</v>
      </c>
      <c r="BF626" s="1011">
        <f t="shared" si="1113"/>
        <v>-0.2410714285714286</v>
      </c>
      <c r="BG626" s="997">
        <f>BG625/BB625-1</f>
        <v>-0.2857142857142857</v>
      </c>
      <c r="BH626" s="997">
        <f>BH625/BC625-1</f>
        <v>0.18181818181818188</v>
      </c>
      <c r="BI626" s="997">
        <f>BI625/BD625-1</f>
        <v>-8.6956521739130488E-2</v>
      </c>
      <c r="BJ626" s="997">
        <f>BJ625/BE625-1</f>
        <v>0.91666666666666674</v>
      </c>
      <c r="BK626" s="1011">
        <f t="shared" si="1113"/>
        <v>5.8823529411764719E-2</v>
      </c>
      <c r="BL626" s="997">
        <f t="shared" si="1113"/>
        <v>5.0000000000000044E-2</v>
      </c>
      <c r="BM626" s="997">
        <f t="shared" si="1113"/>
        <v>-0.15384615384615385</v>
      </c>
      <c r="BN626" s="997">
        <f t="shared" si="1113"/>
        <v>4.7619047619047672E-2</v>
      </c>
      <c r="BO626" s="997">
        <f t="shared" si="1113"/>
        <v>-8.6956521739130488E-2</v>
      </c>
      <c r="BP626" s="1011">
        <f t="shared" ref="BP626:BV626" si="1114">BP625/BK625-1</f>
        <v>-4.4444444444444398E-2</v>
      </c>
      <c r="BQ626" s="997">
        <f t="shared" si="1114"/>
        <v>-9.5238095238095233E-2</v>
      </c>
      <c r="BR626" s="997">
        <f t="shared" si="1114"/>
        <v>-0.13636363636363635</v>
      </c>
      <c r="BS626" s="997">
        <f t="shared" si="1114"/>
        <v>-0.13636363636363635</v>
      </c>
      <c r="BT626" s="997">
        <f t="shared" si="1114"/>
        <v>-4.7619047619047672E-2</v>
      </c>
      <c r="BU626" s="1011">
        <f t="shared" si="1114"/>
        <v>-0.10465116279069764</v>
      </c>
      <c r="BV626" s="997">
        <f t="shared" si="1114"/>
        <v>0.15789473684210531</v>
      </c>
      <c r="BW626" s="997"/>
      <c r="BX626" s="997"/>
      <c r="BY626" s="997"/>
      <c r="BZ626" s="1011"/>
      <c r="CA626" s="997"/>
      <c r="CB626" s="899"/>
      <c r="CC626" s="899"/>
      <c r="CD626" s="1268"/>
      <c r="CE626" s="1011"/>
      <c r="CF626" s="899"/>
      <c r="CG626" s="899"/>
      <c r="CH626" s="899"/>
      <c r="CI626" s="1268"/>
      <c r="CJ626" s="1011"/>
      <c r="CK626" s="899"/>
      <c r="CL626" s="899"/>
      <c r="CM626" s="899"/>
      <c r="CN626" s="1268"/>
      <c r="CO626" s="1011"/>
      <c r="CP626" s="899"/>
      <c r="CQ626" s="899"/>
      <c r="CR626" s="899"/>
      <c r="CS626" s="899"/>
      <c r="CT626" s="1011"/>
      <c r="CU626" s="899"/>
      <c r="CV626" s="899"/>
      <c r="CW626" s="899"/>
      <c r="CX626" s="899"/>
      <c r="CY626" s="1011"/>
      <c r="CZ626" s="1011"/>
      <c r="DA626" s="1011"/>
      <c r="DB626"/>
      <c r="DC626"/>
      <c r="DD626" s="1675" t="s">
        <v>1016</v>
      </c>
      <c r="DE626" s="1003">
        <f>M626</f>
        <v>0</v>
      </c>
      <c r="DF626" s="1003">
        <f>R626</f>
        <v>0.11363636363636376</v>
      </c>
      <c r="DG626" s="1003">
        <f>W626</f>
        <v>0.12244897959183665</v>
      </c>
      <c r="DH626" s="1003">
        <f>AB626</f>
        <v>-2.3302559821619662E-2</v>
      </c>
      <c r="DI626" s="1003">
        <f>AG626</f>
        <v>-0.16</v>
      </c>
      <c r="DJ626" s="1003">
        <f>AL626</f>
        <v>-0.2</v>
      </c>
      <c r="DK626" s="1003">
        <f>AQ626</f>
        <v>0.9446663533834585</v>
      </c>
      <c r="DL626" s="1003">
        <f>AV626</f>
        <v>-3.703703703703709E-2</v>
      </c>
      <c r="DM626" s="1003">
        <f>BA626</f>
        <v>7.6923076923076872E-2</v>
      </c>
      <c r="DN626" s="1003">
        <f>BF626</f>
        <v>-0.2410714285714286</v>
      </c>
      <c r="DO626" s="1003">
        <f>BK626</f>
        <v>5.8823529411764719E-2</v>
      </c>
      <c r="DP626" s="1003">
        <f>BP626</f>
        <v>-4.4444444444444398E-2</v>
      </c>
      <c r="DQ626" s="1003">
        <f>BU626</f>
        <v>-0.10465116279069764</v>
      </c>
      <c r="DR626" s="1003">
        <f>BZ626</f>
        <v>0</v>
      </c>
      <c r="DS626" s="1003">
        <f>CE626</f>
        <v>0</v>
      </c>
      <c r="DT626" s="1003">
        <f>CJ626</f>
        <v>0</v>
      </c>
      <c r="DU626" s="1003">
        <f>CO626</f>
        <v>0</v>
      </c>
      <c r="DV626" s="1003">
        <f>CT626</f>
        <v>0</v>
      </c>
      <c r="DW626" s="1003">
        <f t="shared" si="1111"/>
        <v>0</v>
      </c>
      <c r="DX626" s="1003">
        <f t="shared" si="1111"/>
        <v>0</v>
      </c>
      <c r="DY626" s="1003">
        <f t="shared" si="1111"/>
        <v>0</v>
      </c>
      <c r="EA626"/>
      <c r="EB626"/>
      <c r="EC626"/>
      <c r="ED626"/>
      <c r="EE626"/>
      <c r="EF626"/>
      <c r="EJ626"/>
      <c r="EK626"/>
      <c r="EL626"/>
      <c r="ER626" s="212"/>
    </row>
    <row r="627" spans="1:148" s="923" customFormat="1" ht="12.75" customHeight="1" x14ac:dyDescent="0.2">
      <c r="A627" s="504"/>
      <c r="B627" s="847"/>
      <c r="C627" s="847"/>
      <c r="D627" s="847"/>
      <c r="E627" s="847"/>
      <c r="F627" s="847"/>
      <c r="G627" s="847"/>
      <c r="H627" s="847"/>
      <c r="I627" s="847"/>
      <c r="J627" s="847"/>
      <c r="K627" s="847"/>
      <c r="L627" s="847"/>
      <c r="M627" s="661"/>
      <c r="N627" s="847"/>
      <c r="O627" s="847"/>
      <c r="P627" s="847"/>
      <c r="Q627" s="847"/>
      <c r="R627" s="661"/>
      <c r="S627" s="847"/>
      <c r="T627" s="847"/>
      <c r="U627" s="847"/>
      <c r="V627" s="847"/>
      <c r="W627" s="661"/>
      <c r="X627" s="847"/>
      <c r="Y627" s="847"/>
      <c r="Z627" s="847"/>
      <c r="AA627" s="847"/>
      <c r="AB627" s="661"/>
      <c r="AC627" s="847"/>
      <c r="AD627" s="847"/>
      <c r="AE627" s="847"/>
      <c r="AF627" s="847"/>
      <c r="AG627" s="661"/>
      <c r="AH627" s="847"/>
      <c r="AI627" s="847"/>
      <c r="AJ627" s="847"/>
      <c r="AK627" s="847"/>
      <c r="AL627" s="661"/>
      <c r="AM627" s="847"/>
      <c r="AN627" s="847"/>
      <c r="AO627" s="847"/>
      <c r="AP627" s="847"/>
      <c r="AQ627" s="661"/>
      <c r="AR627" s="847"/>
      <c r="AS627" s="847"/>
      <c r="AT627" s="847"/>
      <c r="AU627" s="847"/>
      <c r="AV627" s="661"/>
      <c r="AW627" s="847"/>
      <c r="AX627" s="847"/>
      <c r="AY627" s="847"/>
      <c r="AZ627" s="847"/>
      <c r="BA627" s="661"/>
      <c r="BB627" s="847"/>
      <c r="BC627" s="847"/>
      <c r="BD627" s="847"/>
      <c r="BE627" s="847"/>
      <c r="BF627" s="661"/>
      <c r="BG627" s="847"/>
      <c r="BH627" s="847"/>
      <c r="BI627" s="847"/>
      <c r="BJ627" s="847"/>
      <c r="BK627" s="661"/>
      <c r="BL627" s="847"/>
      <c r="BM627" s="847"/>
      <c r="BN627" s="847"/>
      <c r="BO627" s="847"/>
      <c r="BP627" s="661"/>
      <c r="BQ627" s="847"/>
      <c r="BR627" s="847"/>
      <c r="BS627" s="847"/>
      <c r="BT627" s="847"/>
      <c r="BU627" s="661"/>
      <c r="BV627" s="847"/>
      <c r="BW627" s="847"/>
      <c r="BX627" s="847"/>
      <c r="BY627" s="847"/>
      <c r="BZ627" s="661"/>
      <c r="CA627" s="847"/>
      <c r="CB627" s="847"/>
      <c r="CC627" s="847"/>
      <c r="CD627" s="1431"/>
      <c r="CE627" s="661"/>
      <c r="CF627" s="847"/>
      <c r="CG627" s="847"/>
      <c r="CH627" s="847"/>
      <c r="CI627" s="1431"/>
      <c r="CJ627" s="661"/>
      <c r="CK627" s="847"/>
      <c r="CL627" s="847"/>
      <c r="CM627" s="847"/>
      <c r="CN627" s="1431"/>
      <c r="CO627" s="661"/>
      <c r="CP627" s="847"/>
      <c r="CQ627" s="847"/>
      <c r="CR627" s="847"/>
      <c r="CS627" s="847"/>
      <c r="CT627" s="661"/>
      <c r="CU627" s="847"/>
      <c r="CV627" s="847"/>
      <c r="CW627" s="847"/>
      <c r="CX627" s="847"/>
      <c r="CY627" s="661"/>
      <c r="CZ627" s="661"/>
      <c r="DA627" s="661"/>
      <c r="DB627"/>
      <c r="DC627"/>
      <c r="DD627" s="2285"/>
      <c r="DE627" s="2293"/>
      <c r="DF627" s="2293"/>
      <c r="DG627" s="2293"/>
      <c r="DH627" s="2293"/>
      <c r="DI627" s="2293"/>
      <c r="DJ627" s="2293"/>
      <c r="DK627" s="2293"/>
      <c r="DL627" s="2293"/>
      <c r="DM627" s="2293"/>
      <c r="DN627" s="2293"/>
      <c r="DO627" s="2293"/>
      <c r="DP627" s="2293"/>
      <c r="DQ627" s="2293"/>
      <c r="DR627" s="2293"/>
      <c r="DS627" s="2293"/>
      <c r="DT627" s="2293"/>
      <c r="DU627" s="2293"/>
      <c r="DV627" s="2293"/>
      <c r="DW627" s="2293"/>
      <c r="DX627" s="2293"/>
      <c r="DY627" s="2293"/>
      <c r="EA627"/>
      <c r="EB627"/>
      <c r="EC627"/>
      <c r="ED627"/>
      <c r="EE627"/>
      <c r="EF627"/>
      <c r="EJ627"/>
      <c r="EK627"/>
      <c r="EL627"/>
      <c r="ER627" s="212"/>
    </row>
    <row r="628" spans="1:148" s="923" customFormat="1" x14ac:dyDescent="0.2">
      <c r="A628" s="1560" t="s">
        <v>816</v>
      </c>
      <c r="B628" s="847"/>
      <c r="C628" s="847"/>
      <c r="D628" s="847"/>
      <c r="E628" s="847"/>
      <c r="F628" s="847"/>
      <c r="G628" s="847"/>
      <c r="H628" s="847"/>
      <c r="I628" s="847"/>
      <c r="J628" s="847"/>
      <c r="K628" s="847"/>
      <c r="L628" s="847"/>
      <c r="M628" s="968"/>
      <c r="N628" s="847"/>
      <c r="O628" s="847"/>
      <c r="P628" s="847"/>
      <c r="Q628" s="847"/>
      <c r="R628" s="968"/>
      <c r="S628" s="847"/>
      <c r="T628" s="847"/>
      <c r="U628" s="847"/>
      <c r="V628" s="847"/>
      <c r="W628" s="968"/>
      <c r="X628" s="847"/>
      <c r="Y628" s="847"/>
      <c r="Z628" s="847"/>
      <c r="AA628" s="847"/>
      <c r="AB628" s="968"/>
      <c r="AC628" s="847"/>
      <c r="AD628" s="847"/>
      <c r="AE628" s="847"/>
      <c r="AF628" s="847"/>
      <c r="AG628" s="968"/>
      <c r="AH628" s="847"/>
      <c r="AI628" s="847"/>
      <c r="AJ628" s="847"/>
      <c r="AK628" s="847"/>
      <c r="AL628" s="968"/>
      <c r="AM628" s="847"/>
      <c r="AN628" s="847"/>
      <c r="AO628" s="847"/>
      <c r="AP628" s="847"/>
      <c r="AQ628" s="968"/>
      <c r="AR628" s="847"/>
      <c r="AS628" s="847"/>
      <c r="AT628" s="847"/>
      <c r="AU628" s="847"/>
      <c r="AV628" s="968"/>
      <c r="AW628" s="847"/>
      <c r="AX628" s="847"/>
      <c r="AY628" s="847"/>
      <c r="AZ628" s="847"/>
      <c r="BA628" s="968"/>
      <c r="BB628" s="847"/>
      <c r="BC628" s="847"/>
      <c r="BD628" s="847"/>
      <c r="BE628" s="847"/>
      <c r="BF628" s="968"/>
      <c r="BG628" s="847"/>
      <c r="BH628" s="847"/>
      <c r="BI628" s="847"/>
      <c r="BJ628" s="847"/>
      <c r="BK628" s="968"/>
      <c r="BL628" s="847"/>
      <c r="BM628" s="847"/>
      <c r="BN628" s="847"/>
      <c r="BO628" s="847"/>
      <c r="BP628" s="968"/>
      <c r="BQ628" s="847"/>
      <c r="BR628" s="847"/>
      <c r="BS628" s="847"/>
      <c r="BT628" s="847"/>
      <c r="BU628" s="968"/>
      <c r="BV628" s="847"/>
      <c r="BW628" s="847"/>
      <c r="BX628" s="847"/>
      <c r="BY628" s="847"/>
      <c r="BZ628" s="968"/>
      <c r="CA628" s="847"/>
      <c r="CB628" s="215"/>
      <c r="CC628" s="215"/>
      <c r="CD628" s="1788"/>
      <c r="CE628" s="968"/>
      <c r="CF628" s="215"/>
      <c r="CG628" s="215"/>
      <c r="CH628" s="215"/>
      <c r="CI628" s="1788"/>
      <c r="CJ628" s="968"/>
      <c r="CK628" s="215"/>
      <c r="CL628" s="215"/>
      <c r="CM628" s="215"/>
      <c r="CN628" s="1788"/>
      <c r="CO628" s="968"/>
      <c r="CP628" s="215"/>
      <c r="CQ628" s="215"/>
      <c r="CR628" s="215"/>
      <c r="CS628" s="215"/>
      <c r="CT628" s="968"/>
      <c r="CU628" s="215"/>
      <c r="CV628" s="215"/>
      <c r="CW628" s="215"/>
      <c r="CX628" s="215"/>
      <c r="CY628" s="968"/>
      <c r="CZ628" s="968"/>
      <c r="DA628" s="968"/>
      <c r="DB628"/>
      <c r="DC628"/>
      <c r="DD628" s="1560" t="s">
        <v>816</v>
      </c>
      <c r="DE628" s="2290"/>
      <c r="DF628" s="2290"/>
      <c r="DG628" s="2290"/>
      <c r="DH628" s="2290"/>
      <c r="DI628" s="2290"/>
      <c r="DJ628" s="2290"/>
      <c r="DK628" s="2290"/>
      <c r="DL628" s="2290"/>
      <c r="DM628" s="2290"/>
      <c r="DN628" s="2290"/>
      <c r="DO628" s="2290"/>
      <c r="DP628" s="2290"/>
      <c r="DQ628" s="2290"/>
      <c r="DR628" s="2290"/>
      <c r="DS628" s="2290"/>
      <c r="DT628" s="2290"/>
      <c r="DU628" s="2290"/>
      <c r="DV628" s="2290"/>
      <c r="DW628" s="2290"/>
      <c r="DX628" s="2290"/>
      <c r="DY628" s="2290"/>
      <c r="EA628"/>
      <c r="EB628"/>
      <c r="EC628"/>
      <c r="ED628"/>
      <c r="EE628"/>
      <c r="EF628"/>
      <c r="EJ628"/>
      <c r="EK628"/>
      <c r="EL628"/>
      <c r="ER628" s="212"/>
    </row>
    <row r="629" spans="1:148" s="923" customFormat="1" ht="12.75" customHeight="1" x14ac:dyDescent="0.2">
      <c r="A629" s="504" t="s">
        <v>1879</v>
      </c>
      <c r="B629" s="889"/>
      <c r="C629" s="889"/>
      <c r="D629" s="889"/>
      <c r="E629" s="889"/>
      <c r="F629" s="889"/>
      <c r="G629" s="889"/>
      <c r="H629" s="889"/>
      <c r="I629" s="889"/>
      <c r="J629" s="889"/>
      <c r="K629" s="889"/>
      <c r="L629" s="889"/>
      <c r="M629" s="975">
        <v>109</v>
      </c>
      <c r="N629" s="889"/>
      <c r="O629" s="889"/>
      <c r="P629" s="889"/>
      <c r="Q629" s="889"/>
      <c r="R629" s="975">
        <v>107</v>
      </c>
      <c r="S629" s="889"/>
      <c r="T629" s="889"/>
      <c r="U629" s="889"/>
      <c r="V629" s="889"/>
      <c r="W629" s="975">
        <v>73.15384615384616</v>
      </c>
      <c r="X629" s="889"/>
      <c r="Y629" s="889"/>
      <c r="Z629" s="889"/>
      <c r="AA629" s="889"/>
      <c r="AB629" s="975">
        <v>74</v>
      </c>
      <c r="AC629" s="889"/>
      <c r="AD629" s="889"/>
      <c r="AE629" s="889"/>
      <c r="AF629" s="889"/>
      <c r="AG629" s="975">
        <v>76.666666666666671</v>
      </c>
      <c r="AH629" s="889"/>
      <c r="AI629" s="889"/>
      <c r="AJ629" s="889"/>
      <c r="AK629" s="889"/>
      <c r="AL629" s="975">
        <v>72</v>
      </c>
      <c r="AM629" s="889"/>
      <c r="AN629" s="889"/>
      <c r="AO629" s="889"/>
      <c r="AP629" s="889"/>
      <c r="AQ629" s="975">
        <v>77.892857142857139</v>
      </c>
      <c r="AR629" s="889"/>
      <c r="AS629" s="889"/>
      <c r="AT629" s="889"/>
      <c r="AU629" s="889"/>
      <c r="AV629" s="975">
        <v>88</v>
      </c>
      <c r="AW629" s="889"/>
      <c r="AX629" s="889"/>
      <c r="AY629" s="889"/>
      <c r="AZ629" s="889"/>
      <c r="BA629" s="975">
        <v>89</v>
      </c>
      <c r="BB629" s="889"/>
      <c r="BC629" s="889"/>
      <c r="BD629" s="889"/>
      <c r="BE629" s="889"/>
      <c r="BF629" s="975">
        <v>93</v>
      </c>
      <c r="BG629" s="889"/>
      <c r="BH629" s="889"/>
      <c r="BI629" s="889"/>
      <c r="BJ629" s="889"/>
      <c r="BK629" s="975">
        <v>93</v>
      </c>
      <c r="BL629" s="889"/>
      <c r="BM629" s="889"/>
      <c r="BN629" s="889"/>
      <c r="BO629" s="889"/>
      <c r="BP629" s="975">
        <v>91</v>
      </c>
      <c r="BQ629" s="889"/>
      <c r="BR629" s="889"/>
      <c r="BS629" s="889"/>
      <c r="BT629" s="889"/>
      <c r="BU629" s="975">
        <f>38+16+23+17</f>
        <v>94</v>
      </c>
      <c r="BV629" s="889"/>
      <c r="BW629" s="889"/>
      <c r="BX629" s="889"/>
      <c r="BY629" s="889"/>
      <c r="BZ629" s="975"/>
      <c r="CA629" s="889"/>
      <c r="CB629" s="214"/>
      <c r="CC629" s="214"/>
      <c r="CD629" s="1813"/>
      <c r="CE629" s="975"/>
      <c r="CF629" s="214"/>
      <c r="CG629" s="214"/>
      <c r="CH629" s="214"/>
      <c r="CI629" s="1813"/>
      <c r="CJ629" s="975"/>
      <c r="CK629" s="214"/>
      <c r="CL629" s="214"/>
      <c r="CM629" s="214"/>
      <c r="CN629" s="1813"/>
      <c r="CO629" s="975"/>
      <c r="CP629" s="214"/>
      <c r="CQ629" s="214"/>
      <c r="CR629" s="214"/>
      <c r="CS629" s="214"/>
      <c r="CT629" s="975"/>
      <c r="CU629" s="214"/>
      <c r="CV629" s="214"/>
      <c r="CW629" s="214"/>
      <c r="CX629" s="214"/>
      <c r="CY629" s="975"/>
      <c r="CZ629" s="975"/>
      <c r="DA629" s="975"/>
      <c r="DB629"/>
      <c r="DC629"/>
      <c r="DD629" s="2285" t="s">
        <v>1879</v>
      </c>
      <c r="DE629" s="2290">
        <f t="shared" ref="DE629:DE634" si="1115">M629</f>
        <v>109</v>
      </c>
      <c r="DF629" s="2290">
        <f t="shared" ref="DF629:DF634" si="1116">R629</f>
        <v>107</v>
      </c>
      <c r="DG629" s="2290">
        <f t="shared" ref="DG629:DG634" si="1117">W629</f>
        <v>73.15384615384616</v>
      </c>
      <c r="DH629" s="2290">
        <f t="shared" ref="DH629:DH634" si="1118">AB629</f>
        <v>74</v>
      </c>
      <c r="DI629" s="2290">
        <f t="shared" ref="DI629:DI634" si="1119">AG629</f>
        <v>76.666666666666671</v>
      </c>
      <c r="DJ629" s="2290">
        <f t="shared" ref="DJ629:DJ634" si="1120">AL629</f>
        <v>72</v>
      </c>
      <c r="DK629" s="2290">
        <f t="shared" ref="DK629:DK634" si="1121">AQ629</f>
        <v>77.892857142857139</v>
      </c>
      <c r="DL629" s="2290">
        <f t="shared" ref="DL629:DL634" si="1122">AV629</f>
        <v>88</v>
      </c>
      <c r="DM629" s="2290">
        <f t="shared" ref="DM629:DM634" si="1123">BA629</f>
        <v>89</v>
      </c>
      <c r="DN629" s="2290">
        <f t="shared" ref="DN629:DN634" si="1124">BF629</f>
        <v>93</v>
      </c>
      <c r="DO629" s="2290">
        <f t="shared" ref="DO629:DO634" si="1125">BK629</f>
        <v>93</v>
      </c>
      <c r="DP629" s="2290">
        <f t="shared" ref="DP629:DP634" si="1126">BP629</f>
        <v>91</v>
      </c>
      <c r="DQ629" s="2290">
        <f t="shared" ref="DQ629:DQ634" si="1127">BU629</f>
        <v>94</v>
      </c>
      <c r="DR629" s="2290">
        <f t="shared" ref="DR629:DR634" si="1128">BZ629</f>
        <v>0</v>
      </c>
      <c r="DS629" s="2290">
        <f t="shared" ref="DS629:DS634" si="1129">CE629</f>
        <v>0</v>
      </c>
      <c r="DT629" s="2290">
        <f t="shared" ref="DT629:DT634" si="1130">CJ629</f>
        <v>0</v>
      </c>
      <c r="DU629" s="2290">
        <f t="shared" ref="DU629:DU634" si="1131">CO629</f>
        <v>0</v>
      </c>
      <c r="DV629" s="2290">
        <f t="shared" ref="DV629:DV634" si="1132">CT629</f>
        <v>0</v>
      </c>
      <c r="DW629" s="2290">
        <f t="shared" ref="DW629:DW634" si="1133">CY629</f>
        <v>0</v>
      </c>
      <c r="DX629" s="2290">
        <f t="shared" ref="DX629:DX634" si="1134">CZ629</f>
        <v>0</v>
      </c>
      <c r="DY629" s="2290">
        <f t="shared" ref="DY629:DY634" si="1135">DA629</f>
        <v>0</v>
      </c>
      <c r="EA629"/>
      <c r="EB629"/>
      <c r="EC629"/>
      <c r="ED629"/>
      <c r="EE629"/>
      <c r="EF629"/>
      <c r="EJ629"/>
      <c r="EK629"/>
      <c r="EL629"/>
      <c r="ER629" s="212"/>
    </row>
    <row r="630" spans="1:148" s="923" customFormat="1" ht="12.75" customHeight="1" x14ac:dyDescent="0.2">
      <c r="A630" s="504" t="s">
        <v>576</v>
      </c>
      <c r="B630" s="223"/>
      <c r="C630" s="223"/>
      <c r="D630" s="223"/>
      <c r="E630" s="223"/>
      <c r="F630" s="223"/>
      <c r="G630" s="223"/>
      <c r="H630" s="223"/>
      <c r="I630" s="223"/>
      <c r="J630" s="223"/>
      <c r="K630" s="223"/>
      <c r="L630" s="223"/>
      <c r="M630" s="975">
        <v>22</v>
      </c>
      <c r="N630" s="223"/>
      <c r="O630" s="223"/>
      <c r="P630" s="223"/>
      <c r="Q630" s="223"/>
      <c r="R630" s="975">
        <v>34</v>
      </c>
      <c r="S630" s="223"/>
      <c r="T630" s="223"/>
      <c r="U630" s="223"/>
      <c r="V630" s="223"/>
      <c r="W630" s="975">
        <v>38</v>
      </c>
      <c r="X630" s="223"/>
      <c r="Y630" s="223"/>
      <c r="Z630" s="223"/>
      <c r="AA630" s="223"/>
      <c r="AB630" s="975">
        <v>49</v>
      </c>
      <c r="AC630" s="223"/>
      <c r="AD630" s="223"/>
      <c r="AE630" s="223"/>
      <c r="AF630" s="223"/>
      <c r="AG630" s="975">
        <v>49</v>
      </c>
      <c r="AH630" s="223"/>
      <c r="AI630" s="223"/>
      <c r="AJ630" s="223"/>
      <c r="AK630" s="223"/>
      <c r="AL630" s="975">
        <v>46</v>
      </c>
      <c r="AM630" s="223"/>
      <c r="AN630" s="223"/>
      <c r="AO630" s="223"/>
      <c r="AP630" s="223"/>
      <c r="AQ630" s="975">
        <v>39</v>
      </c>
      <c r="AR630" s="223"/>
      <c r="AS630" s="223"/>
      <c r="AT630" s="223"/>
      <c r="AU630" s="223"/>
      <c r="AV630" s="975">
        <v>39</v>
      </c>
      <c r="AW630" s="223"/>
      <c r="AX630" s="223"/>
      <c r="AY630" s="223"/>
      <c r="AZ630" s="223"/>
      <c r="BA630" s="975">
        <v>46</v>
      </c>
      <c r="BB630" s="223"/>
      <c r="BC630" s="223"/>
      <c r="BD630" s="223"/>
      <c r="BE630" s="223"/>
      <c r="BF630" s="975">
        <v>42</v>
      </c>
      <c r="BG630" s="223"/>
      <c r="BH630" s="223"/>
      <c r="BI630" s="223"/>
      <c r="BJ630" s="223"/>
      <c r="BK630" s="975">
        <v>36</v>
      </c>
      <c r="BL630" s="223"/>
      <c r="BM630" s="223"/>
      <c r="BN630" s="223"/>
      <c r="BO630" s="223"/>
      <c r="BP630" s="975">
        <v>28</v>
      </c>
      <c r="BQ630" s="223"/>
      <c r="BR630" s="223"/>
      <c r="BS630" s="223"/>
      <c r="BT630" s="223"/>
      <c r="BU630" s="975">
        <v>0</v>
      </c>
      <c r="BV630" s="223"/>
      <c r="BW630" s="223"/>
      <c r="BX630" s="223"/>
      <c r="BY630" s="223"/>
      <c r="BZ630" s="975"/>
      <c r="CA630" s="223"/>
      <c r="CB630" s="214"/>
      <c r="CC630" s="214"/>
      <c r="CD630" s="1813"/>
      <c r="CE630" s="975"/>
      <c r="CF630" s="214"/>
      <c r="CG630" s="214"/>
      <c r="CH630" s="214"/>
      <c r="CI630" s="1813"/>
      <c r="CJ630" s="975"/>
      <c r="CK630" s="214"/>
      <c r="CL630" s="214"/>
      <c r="CM630" s="214"/>
      <c r="CN630" s="1813"/>
      <c r="CO630" s="975"/>
      <c r="CP630" s="214"/>
      <c r="CQ630" s="214"/>
      <c r="CR630" s="214"/>
      <c r="CS630" s="214"/>
      <c r="CT630" s="975"/>
      <c r="CU630" s="214"/>
      <c r="CV630" s="214"/>
      <c r="CW630" s="214"/>
      <c r="CX630" s="214"/>
      <c r="CY630" s="975"/>
      <c r="CZ630" s="975"/>
      <c r="DA630" s="975"/>
      <c r="DB630"/>
      <c r="DC630"/>
      <c r="DD630" s="2285" t="s">
        <v>576</v>
      </c>
      <c r="DE630" s="2290">
        <f t="shared" si="1115"/>
        <v>22</v>
      </c>
      <c r="DF630" s="2290">
        <f t="shared" si="1116"/>
        <v>34</v>
      </c>
      <c r="DG630" s="2290">
        <f t="shared" si="1117"/>
        <v>38</v>
      </c>
      <c r="DH630" s="2290">
        <f t="shared" si="1118"/>
        <v>49</v>
      </c>
      <c r="DI630" s="2290">
        <f t="shared" si="1119"/>
        <v>49</v>
      </c>
      <c r="DJ630" s="2290">
        <f t="shared" si="1120"/>
        <v>46</v>
      </c>
      <c r="DK630" s="2290">
        <f t="shared" si="1121"/>
        <v>39</v>
      </c>
      <c r="DL630" s="2290">
        <f t="shared" si="1122"/>
        <v>39</v>
      </c>
      <c r="DM630" s="2290">
        <f t="shared" si="1123"/>
        <v>46</v>
      </c>
      <c r="DN630" s="2290">
        <f t="shared" si="1124"/>
        <v>42</v>
      </c>
      <c r="DO630" s="2290">
        <f t="shared" si="1125"/>
        <v>36</v>
      </c>
      <c r="DP630" s="2290">
        <f t="shared" si="1126"/>
        <v>28</v>
      </c>
      <c r="DQ630" s="2290">
        <f t="shared" si="1127"/>
        <v>0</v>
      </c>
      <c r="DR630" s="2290">
        <f t="shared" si="1128"/>
        <v>0</v>
      </c>
      <c r="DS630" s="2290">
        <f t="shared" si="1129"/>
        <v>0</v>
      </c>
      <c r="DT630" s="2290">
        <f t="shared" si="1130"/>
        <v>0</v>
      </c>
      <c r="DU630" s="2290">
        <f t="shared" si="1131"/>
        <v>0</v>
      </c>
      <c r="DV630" s="2290">
        <f t="shared" si="1132"/>
        <v>0</v>
      </c>
      <c r="DW630" s="2290">
        <f t="shared" si="1133"/>
        <v>0</v>
      </c>
      <c r="DX630" s="2290">
        <f t="shared" si="1134"/>
        <v>0</v>
      </c>
      <c r="DY630" s="2290">
        <f t="shared" si="1135"/>
        <v>0</v>
      </c>
      <c r="EA630"/>
      <c r="EB630"/>
      <c r="EC630"/>
      <c r="ED630"/>
      <c r="EE630"/>
      <c r="EF630"/>
      <c r="EJ630"/>
      <c r="EK630"/>
      <c r="EL630"/>
      <c r="ER630" s="212"/>
    </row>
    <row r="631" spans="1:148" s="923" customFormat="1" ht="12.75" customHeight="1" x14ac:dyDescent="0.2">
      <c r="A631" s="504" t="s">
        <v>1486</v>
      </c>
      <c r="B631" s="214"/>
      <c r="C631" s="214"/>
      <c r="D631" s="214"/>
      <c r="E631" s="214"/>
      <c r="F631" s="214"/>
      <c r="G631" s="214"/>
      <c r="H631" s="214"/>
      <c r="I631" s="214"/>
      <c r="J631" s="214"/>
      <c r="K631" s="214"/>
      <c r="L631" s="214"/>
      <c r="M631" s="982">
        <v>30</v>
      </c>
      <c r="N631" s="214"/>
      <c r="O631" s="214"/>
      <c r="P631" s="214"/>
      <c r="Q631" s="214"/>
      <c r="R631" s="982">
        <v>36</v>
      </c>
      <c r="S631" s="214"/>
      <c r="T631" s="214"/>
      <c r="U631" s="214"/>
      <c r="V631" s="214"/>
      <c r="W631" s="982">
        <v>31</v>
      </c>
      <c r="X631" s="214"/>
      <c r="Y631" s="214"/>
      <c r="Z631" s="214"/>
      <c r="AA631" s="214"/>
      <c r="AB631" s="982">
        <v>29</v>
      </c>
      <c r="AC631" s="214"/>
      <c r="AD631" s="214"/>
      <c r="AE631" s="214"/>
      <c r="AF631" s="214"/>
      <c r="AG631" s="982">
        <v>30.333333333333332</v>
      </c>
      <c r="AH631" s="214"/>
      <c r="AI631" s="214"/>
      <c r="AJ631" s="214"/>
      <c r="AK631" s="214"/>
      <c r="AL631" s="982">
        <v>57</v>
      </c>
      <c r="AM631" s="214"/>
      <c r="AN631" s="214"/>
      <c r="AO631" s="214"/>
      <c r="AP631" s="214"/>
      <c r="AQ631" s="982">
        <v>61</v>
      </c>
      <c r="AR631" s="214"/>
      <c r="AS631" s="214"/>
      <c r="AT631" s="214"/>
      <c r="AU631" s="214"/>
      <c r="AV631" s="982">
        <v>62</v>
      </c>
      <c r="AW631" s="214"/>
      <c r="AX631" s="214"/>
      <c r="AY631" s="214"/>
      <c r="AZ631" s="214"/>
      <c r="BA631" s="982">
        <v>55</v>
      </c>
      <c r="BB631" s="214"/>
      <c r="BC631" s="214"/>
      <c r="BD631" s="214"/>
      <c r="BE631" s="214"/>
      <c r="BF631" s="982">
        <v>50</v>
      </c>
      <c r="BG631" s="214"/>
      <c r="BH631" s="214"/>
      <c r="BI631" s="214"/>
      <c r="BJ631" s="214"/>
      <c r="BK631" s="982">
        <v>49</v>
      </c>
      <c r="BL631" s="214"/>
      <c r="BM631" s="214"/>
      <c r="BN631" s="214"/>
      <c r="BO631" s="214"/>
      <c r="BP631" s="982">
        <v>49</v>
      </c>
      <c r="BQ631" s="214"/>
      <c r="BR631" s="214"/>
      <c r="BS631" s="214"/>
      <c r="BT631" s="214"/>
      <c r="BU631" s="982">
        <v>51</v>
      </c>
      <c r="BV631" s="214"/>
      <c r="BW631" s="214"/>
      <c r="BX631" s="214"/>
      <c r="BY631" s="214"/>
      <c r="BZ631" s="982"/>
      <c r="CA631" s="214"/>
      <c r="CB631" s="599"/>
      <c r="CC631" s="599"/>
      <c r="CD631" s="1814"/>
      <c r="CE631" s="982"/>
      <c r="CF631" s="599"/>
      <c r="CG631" s="599"/>
      <c r="CH631" s="599"/>
      <c r="CI631" s="1814"/>
      <c r="CJ631" s="982"/>
      <c r="CK631" s="599"/>
      <c r="CL631" s="599"/>
      <c r="CM631" s="599"/>
      <c r="CN631" s="1814"/>
      <c r="CO631" s="982"/>
      <c r="CP631" s="599"/>
      <c r="CQ631" s="599"/>
      <c r="CR631" s="599"/>
      <c r="CS631" s="599"/>
      <c r="CT631" s="982"/>
      <c r="CU631" s="599"/>
      <c r="CV631" s="599"/>
      <c r="CW631" s="599"/>
      <c r="CX631" s="599"/>
      <c r="CY631" s="982"/>
      <c r="CZ631" s="982"/>
      <c r="DA631" s="982"/>
      <c r="DB631"/>
      <c r="DC631"/>
      <c r="DD631" s="2285" t="s">
        <v>1486</v>
      </c>
      <c r="DE631" s="2290">
        <f t="shared" si="1115"/>
        <v>30</v>
      </c>
      <c r="DF631" s="2290">
        <f t="shared" si="1116"/>
        <v>36</v>
      </c>
      <c r="DG631" s="2290">
        <f t="shared" si="1117"/>
        <v>31</v>
      </c>
      <c r="DH631" s="2290">
        <f t="shared" si="1118"/>
        <v>29</v>
      </c>
      <c r="DI631" s="2290">
        <f t="shared" si="1119"/>
        <v>30.333333333333332</v>
      </c>
      <c r="DJ631" s="2290">
        <f t="shared" si="1120"/>
        <v>57</v>
      </c>
      <c r="DK631" s="2290">
        <f t="shared" si="1121"/>
        <v>61</v>
      </c>
      <c r="DL631" s="2290">
        <f t="shared" si="1122"/>
        <v>62</v>
      </c>
      <c r="DM631" s="2290">
        <f t="shared" si="1123"/>
        <v>55</v>
      </c>
      <c r="DN631" s="2290">
        <f t="shared" si="1124"/>
        <v>50</v>
      </c>
      <c r="DO631" s="2290">
        <f t="shared" si="1125"/>
        <v>49</v>
      </c>
      <c r="DP631" s="2290">
        <f t="shared" si="1126"/>
        <v>49</v>
      </c>
      <c r="DQ631" s="2290">
        <f t="shared" si="1127"/>
        <v>51</v>
      </c>
      <c r="DR631" s="2290">
        <f t="shared" si="1128"/>
        <v>0</v>
      </c>
      <c r="DS631" s="2290">
        <f t="shared" si="1129"/>
        <v>0</v>
      </c>
      <c r="DT631" s="2290">
        <f t="shared" si="1130"/>
        <v>0</v>
      </c>
      <c r="DU631" s="2290">
        <f t="shared" si="1131"/>
        <v>0</v>
      </c>
      <c r="DV631" s="2290">
        <f t="shared" si="1132"/>
        <v>0</v>
      </c>
      <c r="DW631" s="2290">
        <f t="shared" si="1133"/>
        <v>0</v>
      </c>
      <c r="DX631" s="2290">
        <f t="shared" si="1134"/>
        <v>0</v>
      </c>
      <c r="DY631" s="2290">
        <f t="shared" si="1135"/>
        <v>0</v>
      </c>
      <c r="EA631"/>
      <c r="EB631"/>
      <c r="EC631"/>
      <c r="ED631"/>
      <c r="EE631"/>
      <c r="EF631"/>
      <c r="EJ631"/>
      <c r="EK631"/>
      <c r="EL631"/>
      <c r="ER631" s="212"/>
    </row>
    <row r="632" spans="1:148" s="923" customFormat="1" ht="12.75" customHeight="1" x14ac:dyDescent="0.2">
      <c r="A632" s="1661" t="s">
        <v>981</v>
      </c>
      <c r="B632" s="227"/>
      <c r="C632" s="227"/>
      <c r="D632" s="227"/>
      <c r="E632" s="227"/>
      <c r="F632" s="227"/>
      <c r="G632" s="227"/>
      <c r="H632" s="227"/>
      <c r="I632" s="227"/>
      <c r="J632" s="227"/>
      <c r="K632" s="227"/>
      <c r="L632" s="227"/>
      <c r="M632" s="977">
        <v>0</v>
      </c>
      <c r="N632" s="227"/>
      <c r="O632" s="227"/>
      <c r="P632" s="227"/>
      <c r="Q632" s="227"/>
      <c r="R632" s="977">
        <v>0</v>
      </c>
      <c r="S632" s="227"/>
      <c r="T632" s="227"/>
      <c r="U632" s="227"/>
      <c r="V632" s="227"/>
      <c r="W632" s="977">
        <v>8</v>
      </c>
      <c r="X632" s="227"/>
      <c r="Y632" s="227"/>
      <c r="Z632" s="227"/>
      <c r="AA632" s="227"/>
      <c r="AB632" s="977">
        <v>8</v>
      </c>
      <c r="AC632" s="227"/>
      <c r="AD632" s="227"/>
      <c r="AE632" s="227"/>
      <c r="AF632" s="227"/>
      <c r="AG632" s="977">
        <v>10</v>
      </c>
      <c r="AH632" s="227"/>
      <c r="AI632" s="227"/>
      <c r="AJ632" s="227"/>
      <c r="AK632" s="227"/>
      <c r="AL632" s="977">
        <v>10</v>
      </c>
      <c r="AM632" s="227"/>
      <c r="AN632" s="227"/>
      <c r="AO632" s="227"/>
      <c r="AP632" s="227"/>
      <c r="AQ632" s="977">
        <v>10</v>
      </c>
      <c r="AR632" s="227"/>
      <c r="AS632" s="227"/>
      <c r="AT632" s="227"/>
      <c r="AU632" s="227"/>
      <c r="AV632" s="977">
        <v>8</v>
      </c>
      <c r="AW632" s="227"/>
      <c r="AX632" s="227"/>
      <c r="AY632" s="227"/>
      <c r="AZ632" s="227"/>
      <c r="BA632" s="977">
        <v>0</v>
      </c>
      <c r="BB632" s="227"/>
      <c r="BC632" s="227"/>
      <c r="BD632" s="227"/>
      <c r="BE632" s="227"/>
      <c r="BF632" s="977">
        <v>0</v>
      </c>
      <c r="BG632" s="227"/>
      <c r="BH632" s="227"/>
      <c r="BI632" s="227"/>
      <c r="BJ632" s="227"/>
      <c r="BK632" s="977">
        <v>0</v>
      </c>
      <c r="BL632" s="227"/>
      <c r="BM632" s="227"/>
      <c r="BN632" s="227"/>
      <c r="BO632" s="227"/>
      <c r="BP632" s="977">
        <v>0</v>
      </c>
      <c r="BQ632" s="227"/>
      <c r="BR632" s="227"/>
      <c r="BS632" s="227"/>
      <c r="BT632" s="227"/>
      <c r="BU632" s="977">
        <v>0</v>
      </c>
      <c r="BV632" s="227"/>
      <c r="BW632" s="227"/>
      <c r="BX632" s="227"/>
      <c r="BY632" s="227"/>
      <c r="BZ632" s="977"/>
      <c r="CA632" s="227"/>
      <c r="CB632" s="227"/>
      <c r="CC632" s="227"/>
      <c r="CD632" s="1815"/>
      <c r="CE632" s="977"/>
      <c r="CF632" s="227"/>
      <c r="CG632" s="227"/>
      <c r="CH632" s="227"/>
      <c r="CI632" s="1815"/>
      <c r="CJ632" s="977"/>
      <c r="CK632" s="227"/>
      <c r="CL632" s="227"/>
      <c r="CM632" s="227"/>
      <c r="CN632" s="1815"/>
      <c r="CO632" s="977"/>
      <c r="CP632" s="227"/>
      <c r="CQ632" s="227"/>
      <c r="CR632" s="227"/>
      <c r="CS632" s="227"/>
      <c r="CT632" s="977"/>
      <c r="CU632" s="227"/>
      <c r="CV632" s="227"/>
      <c r="CW632" s="227"/>
      <c r="CX632" s="227"/>
      <c r="CY632" s="977"/>
      <c r="CZ632" s="977"/>
      <c r="DA632" s="977"/>
      <c r="DB632"/>
      <c r="DC632"/>
      <c r="DD632" s="1661" t="s">
        <v>981</v>
      </c>
      <c r="DE632" s="970">
        <f t="shared" si="1115"/>
        <v>0</v>
      </c>
      <c r="DF632" s="970">
        <f t="shared" si="1116"/>
        <v>0</v>
      </c>
      <c r="DG632" s="970">
        <f t="shared" si="1117"/>
        <v>8</v>
      </c>
      <c r="DH632" s="970">
        <f t="shared" si="1118"/>
        <v>8</v>
      </c>
      <c r="DI632" s="970">
        <f t="shared" si="1119"/>
        <v>10</v>
      </c>
      <c r="DJ632" s="970">
        <f t="shared" si="1120"/>
        <v>10</v>
      </c>
      <c r="DK632" s="970">
        <f t="shared" si="1121"/>
        <v>10</v>
      </c>
      <c r="DL632" s="970">
        <f t="shared" si="1122"/>
        <v>8</v>
      </c>
      <c r="DM632" s="970">
        <f t="shared" si="1123"/>
        <v>0</v>
      </c>
      <c r="DN632" s="970">
        <f t="shared" si="1124"/>
        <v>0</v>
      </c>
      <c r="DO632" s="970">
        <f t="shared" si="1125"/>
        <v>0</v>
      </c>
      <c r="DP632" s="970">
        <f t="shared" si="1126"/>
        <v>0</v>
      </c>
      <c r="DQ632" s="970">
        <f t="shared" si="1127"/>
        <v>0</v>
      </c>
      <c r="DR632" s="970">
        <f t="shared" si="1128"/>
        <v>0</v>
      </c>
      <c r="DS632" s="970">
        <f t="shared" si="1129"/>
        <v>0</v>
      </c>
      <c r="DT632" s="970">
        <f t="shared" si="1130"/>
        <v>0</v>
      </c>
      <c r="DU632" s="970">
        <f t="shared" si="1131"/>
        <v>0</v>
      </c>
      <c r="DV632" s="970">
        <f t="shared" si="1132"/>
        <v>0</v>
      </c>
      <c r="DW632" s="970">
        <f t="shared" si="1133"/>
        <v>0</v>
      </c>
      <c r="DX632" s="970">
        <f t="shared" si="1134"/>
        <v>0</v>
      </c>
      <c r="DY632" s="970">
        <f t="shared" si="1135"/>
        <v>0</v>
      </c>
      <c r="EA632"/>
      <c r="EB632"/>
      <c r="EC632"/>
      <c r="ED632"/>
      <c r="EE632"/>
      <c r="EF632"/>
      <c r="EJ632"/>
      <c r="EK632"/>
      <c r="EL632"/>
      <c r="ER632" s="212"/>
    </row>
    <row r="633" spans="1:148" s="923" customFormat="1" ht="12.75" customHeight="1" x14ac:dyDescent="0.2">
      <c r="A633" s="1560" t="s">
        <v>2248</v>
      </c>
      <c r="B633" s="842"/>
      <c r="C633" s="842"/>
      <c r="D633" s="842"/>
      <c r="E633" s="842"/>
      <c r="F633" s="842"/>
      <c r="G633" s="842"/>
      <c r="H633" s="842"/>
      <c r="I633" s="842">
        <v>33.153846153846153</v>
      </c>
      <c r="J633" s="842">
        <v>38.153846153846153</v>
      </c>
      <c r="K633" s="842">
        <v>39.153846153846153</v>
      </c>
      <c r="L633" s="842">
        <v>50.53846153846154</v>
      </c>
      <c r="M633" s="983">
        <f>+SUM(M629:M632)</f>
        <v>161</v>
      </c>
      <c r="N633" s="842">
        <v>35.615384615384613</v>
      </c>
      <c r="O633" s="842">
        <v>39.615384615384613</v>
      </c>
      <c r="P633" s="842">
        <v>40.615384615384613</v>
      </c>
      <c r="Q633" s="842">
        <v>61.153846153846153</v>
      </c>
      <c r="R633" s="983">
        <f>+SUM(R629:R632)</f>
        <v>177</v>
      </c>
      <c r="S633" s="842">
        <v>31.8</v>
      </c>
      <c r="T633" s="842">
        <v>38.323076923076925</v>
      </c>
      <c r="U633" s="842">
        <v>33.323076923076925</v>
      </c>
      <c r="V633" s="842">
        <v>46.707692307692305</v>
      </c>
      <c r="W633" s="983">
        <f>+SUM(W629:W632)</f>
        <v>150.15384615384616</v>
      </c>
      <c r="X633" s="842">
        <v>34</v>
      </c>
      <c r="Y633" s="842">
        <v>34</v>
      </c>
      <c r="Z633" s="842">
        <v>37</v>
      </c>
      <c r="AA633" s="842">
        <v>55</v>
      </c>
      <c r="AB633" s="983">
        <v>160</v>
      </c>
      <c r="AC633" s="842">
        <v>39</v>
      </c>
      <c r="AD633" s="842">
        <v>37</v>
      </c>
      <c r="AE633" s="842">
        <v>39</v>
      </c>
      <c r="AF633" s="842">
        <v>51</v>
      </c>
      <c r="AG633" s="983">
        <v>166</v>
      </c>
      <c r="AH633" s="842">
        <v>37</v>
      </c>
      <c r="AI633" s="842">
        <v>36</v>
      </c>
      <c r="AJ633" s="842">
        <v>53</v>
      </c>
      <c r="AK633" s="842">
        <v>58</v>
      </c>
      <c r="AL633" s="983">
        <v>185</v>
      </c>
      <c r="AM633" s="842">
        <v>40</v>
      </c>
      <c r="AN633" s="842">
        <v>42</v>
      </c>
      <c r="AO633" s="842">
        <v>42</v>
      </c>
      <c r="AP633" s="842">
        <v>64</v>
      </c>
      <c r="AQ633" s="983">
        <v>187.89285714285714</v>
      </c>
      <c r="AR633" s="842">
        <v>45</v>
      </c>
      <c r="AS633" s="842">
        <v>46</v>
      </c>
      <c r="AT633" s="842">
        <v>43</v>
      </c>
      <c r="AU633" s="842">
        <v>63</v>
      </c>
      <c r="AV633" s="983">
        <v>197</v>
      </c>
      <c r="AW633" s="842">
        <v>41</v>
      </c>
      <c r="AX633" s="842">
        <v>46</v>
      </c>
      <c r="AY633" s="842">
        <v>43</v>
      </c>
      <c r="AZ633" s="842">
        <v>60</v>
      </c>
      <c r="BA633" s="983">
        <v>190</v>
      </c>
      <c r="BB633" s="842">
        <v>39</v>
      </c>
      <c r="BC633" s="842">
        <v>42</v>
      </c>
      <c r="BD633" s="842">
        <v>43</v>
      </c>
      <c r="BE633" s="842">
        <v>61</v>
      </c>
      <c r="BF633" s="983">
        <v>185</v>
      </c>
      <c r="BG633" s="842">
        <v>39</v>
      </c>
      <c r="BH633" s="842">
        <v>42</v>
      </c>
      <c r="BI633" s="842">
        <v>40</v>
      </c>
      <c r="BJ633" s="842">
        <v>57</v>
      </c>
      <c r="BK633" s="983">
        <f>SUM(BK629:BK632)</f>
        <v>178</v>
      </c>
      <c r="BL633" s="842">
        <v>35</v>
      </c>
      <c r="BM633" s="842">
        <v>41</v>
      </c>
      <c r="BN633" s="842">
        <v>40</v>
      </c>
      <c r="BO633" s="842">
        <v>52</v>
      </c>
      <c r="BP633" s="983">
        <f>SUM(BP629:BP632)</f>
        <v>168</v>
      </c>
      <c r="BQ633" s="842"/>
      <c r="BR633" s="842"/>
      <c r="BS633" s="842"/>
      <c r="BT633" s="842"/>
      <c r="BU633" s="983">
        <f>SUM(BU629:BU632)</f>
        <v>145</v>
      </c>
      <c r="BV633" s="842"/>
      <c r="BW633" s="842"/>
      <c r="BX633" s="949"/>
      <c r="BY633" s="949"/>
      <c r="BZ633" s="983"/>
      <c r="CA633" s="949"/>
      <c r="CB633" s="949"/>
      <c r="CC633" s="949"/>
      <c r="CD633" s="1816"/>
      <c r="CE633" s="983"/>
      <c r="CF633" s="949"/>
      <c r="CG633" s="949"/>
      <c r="CH633" s="949"/>
      <c r="CI633" s="1816"/>
      <c r="CJ633" s="983"/>
      <c r="CK633" s="949"/>
      <c r="CL633" s="949"/>
      <c r="CM633" s="949"/>
      <c r="CN633" s="1816"/>
      <c r="CO633" s="983"/>
      <c r="CP633" s="949"/>
      <c r="CQ633" s="949"/>
      <c r="CR633" s="949"/>
      <c r="CS633" s="949"/>
      <c r="CT633" s="983"/>
      <c r="CU633" s="949"/>
      <c r="CV633" s="949"/>
      <c r="CW633" s="949"/>
      <c r="CX633" s="949"/>
      <c r="CY633" s="983"/>
      <c r="CZ633" s="983"/>
      <c r="DA633" s="983"/>
      <c r="DB633"/>
      <c r="DC633"/>
      <c r="DD633" s="1560" t="s">
        <v>2248</v>
      </c>
      <c r="DE633" s="971">
        <f t="shared" si="1115"/>
        <v>161</v>
      </c>
      <c r="DF633" s="971">
        <f t="shared" si="1116"/>
        <v>177</v>
      </c>
      <c r="DG633" s="971">
        <f t="shared" si="1117"/>
        <v>150.15384615384616</v>
      </c>
      <c r="DH633" s="971">
        <f t="shared" si="1118"/>
        <v>160</v>
      </c>
      <c r="DI633" s="971">
        <f t="shared" si="1119"/>
        <v>166</v>
      </c>
      <c r="DJ633" s="971">
        <f t="shared" si="1120"/>
        <v>185</v>
      </c>
      <c r="DK633" s="971">
        <f t="shared" si="1121"/>
        <v>187.89285714285714</v>
      </c>
      <c r="DL633" s="971">
        <f t="shared" si="1122"/>
        <v>197</v>
      </c>
      <c r="DM633" s="971">
        <f t="shared" si="1123"/>
        <v>190</v>
      </c>
      <c r="DN633" s="971">
        <f t="shared" si="1124"/>
        <v>185</v>
      </c>
      <c r="DO633" s="971">
        <f t="shared" si="1125"/>
        <v>178</v>
      </c>
      <c r="DP633" s="971">
        <f t="shared" si="1126"/>
        <v>168</v>
      </c>
      <c r="DQ633" s="971">
        <f t="shared" si="1127"/>
        <v>145</v>
      </c>
      <c r="DR633" s="971">
        <f t="shared" si="1128"/>
        <v>0</v>
      </c>
      <c r="DS633" s="971">
        <f t="shared" si="1129"/>
        <v>0</v>
      </c>
      <c r="DT633" s="971">
        <f t="shared" si="1130"/>
        <v>0</v>
      </c>
      <c r="DU633" s="971">
        <f t="shared" si="1131"/>
        <v>0</v>
      </c>
      <c r="DV633" s="971">
        <f t="shared" si="1132"/>
        <v>0</v>
      </c>
      <c r="DW633" s="971">
        <f t="shared" si="1133"/>
        <v>0</v>
      </c>
      <c r="DX633" s="971">
        <f t="shared" si="1134"/>
        <v>0</v>
      </c>
      <c r="DY633" s="971">
        <f t="shared" si="1135"/>
        <v>0</v>
      </c>
      <c r="EA633"/>
      <c r="EB633"/>
      <c r="EC633"/>
      <c r="ED633"/>
      <c r="EE633"/>
      <c r="EF633"/>
      <c r="EJ633"/>
      <c r="EK633"/>
      <c r="EL633"/>
      <c r="ER633" s="212"/>
    </row>
    <row r="634" spans="1:148" s="923" customFormat="1" ht="12.75" customHeight="1" x14ac:dyDescent="0.2">
      <c r="A634" s="1677" t="s">
        <v>1087</v>
      </c>
      <c r="B634" s="872"/>
      <c r="C634" s="872"/>
      <c r="D634" s="872"/>
      <c r="E634" s="872"/>
      <c r="F634" s="872"/>
      <c r="G634" s="872"/>
      <c r="H634" s="872"/>
      <c r="I634" s="872">
        <f t="shared" ref="I634:AN634" si="1136">+I633/I14</f>
        <v>1.8573583279465632E-2</v>
      </c>
      <c r="J634" s="872">
        <f t="shared" si="1136"/>
        <v>1.9666931007137192E-2</v>
      </c>
      <c r="K634" s="872">
        <f t="shared" si="1136"/>
        <v>2.0826513911620295E-2</v>
      </c>
      <c r="L634" s="872">
        <f t="shared" si="1136"/>
        <v>1.9128865078902931E-2</v>
      </c>
      <c r="M634" s="1001">
        <f t="shared" si="1136"/>
        <v>1.9522250515338912E-2</v>
      </c>
      <c r="N634" s="872">
        <f t="shared" si="1136"/>
        <v>1.7719096823574434E-2</v>
      </c>
      <c r="O634" s="872">
        <f t="shared" si="1136"/>
        <v>2.019132753077707E-2</v>
      </c>
      <c r="P634" s="872">
        <f t="shared" si="1136"/>
        <v>2.1626935364954532E-2</v>
      </c>
      <c r="Q634" s="872">
        <f t="shared" si="1136"/>
        <v>2.710720130932897E-2</v>
      </c>
      <c r="R634" s="1001">
        <f t="shared" si="1136"/>
        <v>2.2785787847579814E-2</v>
      </c>
      <c r="S634" s="872">
        <f t="shared" si="1136"/>
        <v>1.7765363128491619E-2</v>
      </c>
      <c r="T634" s="872">
        <f t="shared" si="1136"/>
        <v>1.9492918068706473E-2</v>
      </c>
      <c r="U634" s="872">
        <f t="shared" si="1136"/>
        <v>1.7983311885092782E-2</v>
      </c>
      <c r="V634" s="872">
        <f t="shared" si="1136"/>
        <v>1.7875121434248874E-2</v>
      </c>
      <c r="W634" s="1001">
        <f t="shared" si="1136"/>
        <v>1.8262447841625659E-2</v>
      </c>
      <c r="X634" s="872">
        <f t="shared" si="1136"/>
        <v>1.7391304347826087E-2</v>
      </c>
      <c r="Y634" s="872">
        <f t="shared" si="1136"/>
        <v>1.7409114183307733E-2</v>
      </c>
      <c r="Z634" s="872">
        <f t="shared" si="1136"/>
        <v>1.8353174603174604E-2</v>
      </c>
      <c r="AA634" s="872">
        <f t="shared" si="1136"/>
        <v>1.9727403156384504E-2</v>
      </c>
      <c r="AB634" s="1001">
        <f t="shared" si="1136"/>
        <v>1.8365472910927456E-2</v>
      </c>
      <c r="AC634" s="872">
        <f t="shared" si="1136"/>
        <v>1.7317939609236235E-2</v>
      </c>
      <c r="AD634" s="872">
        <f t="shared" si="1136"/>
        <v>1.6150152771715408E-2</v>
      </c>
      <c r="AE634" s="872">
        <f t="shared" si="1136"/>
        <v>1.7591339648173207E-2</v>
      </c>
      <c r="AF634" s="872">
        <f t="shared" si="1136"/>
        <v>1.6898608349900597E-2</v>
      </c>
      <c r="AG634" s="1001">
        <f t="shared" si="1136"/>
        <v>1.6976886888934343E-2</v>
      </c>
      <c r="AH634" s="872">
        <f t="shared" si="1136"/>
        <v>1.5251442704039572E-2</v>
      </c>
      <c r="AI634" s="872">
        <f t="shared" si="1136"/>
        <v>1.4046039797112759E-2</v>
      </c>
      <c r="AJ634" s="872">
        <f t="shared" si="1136"/>
        <v>2.0259938837920488E-2</v>
      </c>
      <c r="AK634" s="872">
        <f t="shared" si="1136"/>
        <v>1.6458569807037457E-2</v>
      </c>
      <c r="AL634" s="1001">
        <f t="shared" si="1136"/>
        <v>1.6623236589091563E-2</v>
      </c>
      <c r="AM634" s="872">
        <f t="shared" si="1136"/>
        <v>1.5105740181268883E-2</v>
      </c>
      <c r="AN634" s="872">
        <f t="shared" si="1136"/>
        <v>1.4726507713884993E-2</v>
      </c>
      <c r="AO634" s="872">
        <f t="shared" ref="AO634:BP634" si="1137">+AO633/AO14</f>
        <v>1.557285873192436E-2</v>
      </c>
      <c r="AP634" s="872">
        <f t="shared" si="1137"/>
        <v>1.685097419694576E-2</v>
      </c>
      <c r="AQ634" s="1001">
        <f t="shared" si="1137"/>
        <v>1.5664264872268206E-2</v>
      </c>
      <c r="AR634" s="872">
        <f t="shared" si="1137"/>
        <v>1.5867418899858956E-2</v>
      </c>
      <c r="AS634" s="872">
        <f t="shared" si="1137"/>
        <v>1.4734144778987828E-2</v>
      </c>
      <c r="AT634" s="872">
        <f t="shared" si="1137"/>
        <v>1.4610941216445803E-2</v>
      </c>
      <c r="AU634" s="872">
        <f t="shared" si="1137"/>
        <v>1.5407190022010272E-2</v>
      </c>
      <c r="AV634" s="1001">
        <f t="shared" si="1137"/>
        <v>1.5165511932255581E-2</v>
      </c>
      <c r="AW634" s="872">
        <f t="shared" si="1137"/>
        <v>1.3912453342382083E-2</v>
      </c>
      <c r="AX634" s="872">
        <f t="shared" si="1137"/>
        <v>1.4442700156985872E-2</v>
      </c>
      <c r="AY634" s="872">
        <f t="shared" si="1137"/>
        <v>1.4512318596017549E-2</v>
      </c>
      <c r="AZ634" s="872">
        <f t="shared" si="1137"/>
        <v>1.5856236786469344E-2</v>
      </c>
      <c r="BA634" s="1001">
        <f t="shared" si="1137"/>
        <v>1.4752698190853328E-2</v>
      </c>
      <c r="BB634" s="872">
        <f t="shared" si="1137"/>
        <v>1.5631262525050101E-2</v>
      </c>
      <c r="BC634" s="872">
        <f t="shared" si="1137"/>
        <v>1.6393442622950821E-2</v>
      </c>
      <c r="BD634" s="872">
        <f t="shared" si="1137"/>
        <v>1.7401861594496155E-2</v>
      </c>
      <c r="BE634" s="872">
        <f t="shared" si="1137"/>
        <v>1.8058022498519833E-2</v>
      </c>
      <c r="BF634" s="1001">
        <f t="shared" si="1137"/>
        <v>1.6963139556207592E-2</v>
      </c>
      <c r="BG634" s="872">
        <f t="shared" si="1137"/>
        <v>1.6631130063965886E-2</v>
      </c>
      <c r="BH634" s="872">
        <f t="shared" si="1137"/>
        <v>1.6915022150624244E-2</v>
      </c>
      <c r="BI634" s="872">
        <f t="shared" si="1137"/>
        <v>1.6849199663016005E-2</v>
      </c>
      <c r="BJ634" s="872">
        <f t="shared" si="1137"/>
        <v>1.7420537897310514E-2</v>
      </c>
      <c r="BK634" s="1001">
        <f t="shared" si="1137"/>
        <v>1.6994462478518237E-2</v>
      </c>
      <c r="BL634" s="872">
        <f t="shared" si="1137"/>
        <v>1.3988808952837729E-2</v>
      </c>
      <c r="BM634" s="872">
        <f t="shared" si="1137"/>
        <v>1.5270018621973929E-2</v>
      </c>
      <c r="BN634" s="872">
        <f t="shared" si="1137"/>
        <v>1.5461925009663703E-2</v>
      </c>
      <c r="BO634" s="872">
        <f t="shared" si="1137"/>
        <v>1.503324660306447E-2</v>
      </c>
      <c r="BP634" s="1001">
        <f t="shared" si="1137"/>
        <v>1.4955933410486958E-2</v>
      </c>
      <c r="BQ634" s="872"/>
      <c r="BR634" s="872"/>
      <c r="BS634" s="872"/>
      <c r="BT634" s="872"/>
      <c r="BU634" s="1001">
        <f>+BU633/BU14</f>
        <v>1.2273573726087693E-2</v>
      </c>
      <c r="BV634" s="872"/>
      <c r="BW634" s="872"/>
      <c r="BX634" s="872"/>
      <c r="BY634" s="872"/>
      <c r="BZ634" s="1001"/>
      <c r="CA634" s="872"/>
      <c r="CB634" s="872"/>
      <c r="CC634" s="872"/>
      <c r="CD634" s="1785"/>
      <c r="CE634" s="1001"/>
      <c r="CF634" s="872"/>
      <c r="CG634" s="872"/>
      <c r="CH634" s="872"/>
      <c r="CI634" s="1785"/>
      <c r="CJ634" s="1001"/>
      <c r="CK634" s="872"/>
      <c r="CL634" s="872"/>
      <c r="CM634" s="872"/>
      <c r="CN634" s="1785"/>
      <c r="CO634" s="1001"/>
      <c r="CP634" s="872"/>
      <c r="CQ634" s="872"/>
      <c r="CR634" s="872"/>
      <c r="CS634" s="872"/>
      <c r="CT634" s="1001"/>
      <c r="CU634" s="872"/>
      <c r="CV634" s="872"/>
      <c r="CW634" s="872"/>
      <c r="CX634" s="872"/>
      <c r="CY634" s="1001"/>
      <c r="CZ634" s="1001"/>
      <c r="DA634" s="1001"/>
      <c r="DB634"/>
      <c r="DC634"/>
      <c r="DD634" s="1677" t="s">
        <v>1087</v>
      </c>
      <c r="DE634" s="1001">
        <f t="shared" si="1115"/>
        <v>1.9522250515338912E-2</v>
      </c>
      <c r="DF634" s="1001">
        <f t="shared" si="1116"/>
        <v>2.2785787847579814E-2</v>
      </c>
      <c r="DG634" s="1001">
        <f t="shared" si="1117"/>
        <v>1.8262447841625659E-2</v>
      </c>
      <c r="DH634" s="1001">
        <f t="shared" si="1118"/>
        <v>1.8365472910927456E-2</v>
      </c>
      <c r="DI634" s="1001">
        <f t="shared" si="1119"/>
        <v>1.6976886888934343E-2</v>
      </c>
      <c r="DJ634" s="1001">
        <f t="shared" si="1120"/>
        <v>1.6623236589091563E-2</v>
      </c>
      <c r="DK634" s="1001">
        <f t="shared" si="1121"/>
        <v>1.5664264872268206E-2</v>
      </c>
      <c r="DL634" s="1001">
        <f t="shared" si="1122"/>
        <v>1.5165511932255581E-2</v>
      </c>
      <c r="DM634" s="1001">
        <f t="shared" si="1123"/>
        <v>1.4752698190853328E-2</v>
      </c>
      <c r="DN634" s="1001">
        <f t="shared" si="1124"/>
        <v>1.6963139556207592E-2</v>
      </c>
      <c r="DO634" s="1001">
        <f t="shared" si="1125"/>
        <v>1.6994462478518237E-2</v>
      </c>
      <c r="DP634" s="1001">
        <f t="shared" si="1126"/>
        <v>1.4955933410486958E-2</v>
      </c>
      <c r="DQ634" s="1001">
        <f t="shared" si="1127"/>
        <v>1.2273573726087693E-2</v>
      </c>
      <c r="DR634" s="1001">
        <f t="shared" si="1128"/>
        <v>0</v>
      </c>
      <c r="DS634" s="1001">
        <f t="shared" si="1129"/>
        <v>0</v>
      </c>
      <c r="DT634" s="1001">
        <f t="shared" si="1130"/>
        <v>0</v>
      </c>
      <c r="DU634" s="1001">
        <f t="shared" si="1131"/>
        <v>0</v>
      </c>
      <c r="DV634" s="1001">
        <f t="shared" si="1132"/>
        <v>0</v>
      </c>
      <c r="DW634" s="1001">
        <f t="shared" si="1133"/>
        <v>0</v>
      </c>
      <c r="DX634" s="1001">
        <f t="shared" si="1134"/>
        <v>0</v>
      </c>
      <c r="DY634" s="1001">
        <f t="shared" si="1135"/>
        <v>0</v>
      </c>
      <c r="EA634"/>
      <c r="EB634"/>
      <c r="EC634"/>
      <c r="ED634"/>
      <c r="EE634"/>
      <c r="EF634"/>
      <c r="EJ634"/>
      <c r="EK634"/>
      <c r="EL634"/>
      <c r="ER634" s="212"/>
    </row>
    <row r="635" spans="1:148" s="923" customFormat="1" ht="12.75" customHeight="1" x14ac:dyDescent="0.2">
      <c r="A635" s="504"/>
      <c r="B635" s="215"/>
      <c r="C635" s="215"/>
      <c r="D635" s="215"/>
      <c r="E635" s="215"/>
      <c r="F635" s="215"/>
      <c r="G635" s="215"/>
      <c r="H635" s="215"/>
      <c r="I635" s="215"/>
      <c r="J635" s="215"/>
      <c r="K635" s="215"/>
      <c r="L635" s="215"/>
      <c r="M635" s="968"/>
      <c r="N635" s="215"/>
      <c r="O635" s="215"/>
      <c r="P635" s="215"/>
      <c r="Q635" s="215"/>
      <c r="R635" s="968"/>
      <c r="S635" s="215"/>
      <c r="T635" s="215"/>
      <c r="U635" s="215"/>
      <c r="V635" s="215"/>
      <c r="W635" s="968"/>
      <c r="X635" s="215"/>
      <c r="Y635" s="215"/>
      <c r="Z635" s="215"/>
      <c r="AA635" s="215"/>
      <c r="AB635" s="968"/>
      <c r="AC635" s="215"/>
      <c r="AD635" s="215"/>
      <c r="AE635" s="215"/>
      <c r="AF635" s="215"/>
      <c r="AG635" s="968"/>
      <c r="AH635" s="215"/>
      <c r="AI635" s="215"/>
      <c r="AJ635" s="215"/>
      <c r="AK635" s="215"/>
      <c r="AL635" s="968"/>
      <c r="AM635" s="215"/>
      <c r="AN635" s="215"/>
      <c r="AO635" s="215"/>
      <c r="AP635" s="215"/>
      <c r="AQ635" s="968"/>
      <c r="AR635" s="215"/>
      <c r="AS635" s="215"/>
      <c r="AT635" s="215"/>
      <c r="AU635" s="215"/>
      <c r="AV635" s="968"/>
      <c r="AW635" s="215"/>
      <c r="AX635" s="215"/>
      <c r="AY635" s="215"/>
      <c r="AZ635" s="215"/>
      <c r="BA635" s="968"/>
      <c r="BB635" s="215"/>
      <c r="BC635" s="215"/>
      <c r="BD635" s="215"/>
      <c r="BE635" s="215"/>
      <c r="BF635" s="968"/>
      <c r="BG635" s="215"/>
      <c r="BH635" s="215"/>
      <c r="BI635" s="215"/>
      <c r="BJ635" s="215"/>
      <c r="BK635" s="968"/>
      <c r="BL635" s="215"/>
      <c r="BM635" s="215"/>
      <c r="BN635" s="215"/>
      <c r="BO635" s="215"/>
      <c r="BP635" s="968"/>
      <c r="BQ635" s="215"/>
      <c r="BR635" s="215"/>
      <c r="BS635" s="215"/>
      <c r="BT635" s="215"/>
      <c r="BU635" s="968"/>
      <c r="BV635" s="215"/>
      <c r="BW635" s="215"/>
      <c r="BX635" s="215"/>
      <c r="BY635" s="215"/>
      <c r="BZ635" s="968"/>
      <c r="CA635" s="215"/>
      <c r="CB635" s="215"/>
      <c r="CC635" s="215"/>
      <c r="CD635" s="1788"/>
      <c r="CE635" s="968"/>
      <c r="CF635" s="215"/>
      <c r="CG635" s="215"/>
      <c r="CH635" s="215"/>
      <c r="CI635" s="1788"/>
      <c r="CJ635" s="968"/>
      <c r="CK635" s="215"/>
      <c r="CL635" s="215"/>
      <c r="CM635" s="215"/>
      <c r="CN635" s="1788"/>
      <c r="CO635" s="968"/>
      <c r="CP635" s="215"/>
      <c r="CQ635" s="215"/>
      <c r="CR635" s="215"/>
      <c r="CS635" s="215"/>
      <c r="CT635" s="968"/>
      <c r="CU635" s="215"/>
      <c r="CV635" s="215"/>
      <c r="CW635" s="215"/>
      <c r="CX635" s="215"/>
      <c r="CY635" s="968"/>
      <c r="CZ635" s="968"/>
      <c r="DA635" s="968"/>
      <c r="DB635"/>
      <c r="DC635"/>
      <c r="DD635" s="2285"/>
      <c r="DE635" s="2290"/>
      <c r="DF635" s="2290"/>
      <c r="DG635" s="2290"/>
      <c r="DH635" s="2290"/>
      <c r="DI635" s="2290"/>
      <c r="DJ635" s="2290"/>
      <c r="DK635" s="2290"/>
      <c r="DL635" s="2290"/>
      <c r="DM635" s="2290"/>
      <c r="DN635" s="2290"/>
      <c r="DO635" s="2290"/>
      <c r="DP635" s="2290"/>
      <c r="DQ635" s="2290"/>
      <c r="DR635" s="2290"/>
      <c r="DS635" s="2290"/>
      <c r="DT635" s="2290"/>
      <c r="DU635" s="2290"/>
      <c r="DV635" s="2290"/>
      <c r="DW635" s="2290"/>
      <c r="DX635" s="2290"/>
      <c r="DY635" s="2290"/>
      <c r="EA635"/>
      <c r="EB635"/>
      <c r="EC635"/>
      <c r="ED635"/>
      <c r="EE635"/>
      <c r="EF635"/>
      <c r="EJ635"/>
      <c r="EK635"/>
      <c r="EL635"/>
      <c r="ER635" s="212"/>
    </row>
    <row r="636" spans="1:148" s="923" customFormat="1" ht="12.75" customHeight="1" x14ac:dyDescent="0.2">
      <c r="A636" s="1437" t="s">
        <v>123</v>
      </c>
      <c r="B636" s="847"/>
      <c r="C636" s="847"/>
      <c r="D636" s="847"/>
      <c r="E636" s="847"/>
      <c r="F636" s="847"/>
      <c r="G636" s="847"/>
      <c r="H636" s="847"/>
      <c r="I636" s="847"/>
      <c r="J636" s="847"/>
      <c r="K636" s="847"/>
      <c r="L636" s="847"/>
      <c r="M636" s="661"/>
      <c r="N636" s="847"/>
      <c r="O636" s="847"/>
      <c r="P636" s="847"/>
      <c r="Q636" s="847"/>
      <c r="R636" s="661"/>
      <c r="S636" s="847"/>
      <c r="T636" s="847"/>
      <c r="U636" s="847"/>
      <c r="V636" s="847"/>
      <c r="W636" s="661"/>
      <c r="X636" s="847"/>
      <c r="Y636" s="847"/>
      <c r="Z636" s="847"/>
      <c r="AA636" s="847"/>
      <c r="AB636" s="661"/>
      <c r="AC636" s="847"/>
      <c r="AD636" s="847"/>
      <c r="AE636" s="847"/>
      <c r="AF636" s="847"/>
      <c r="AG636" s="661"/>
      <c r="AH636" s="847"/>
      <c r="AI636" s="847"/>
      <c r="AJ636" s="847"/>
      <c r="AK636" s="847"/>
      <c r="AL636" s="661"/>
      <c r="AM636" s="847"/>
      <c r="AN636" s="847"/>
      <c r="AO636" s="847"/>
      <c r="AP636" s="847"/>
      <c r="AQ636" s="661"/>
      <c r="AR636" s="847"/>
      <c r="AS636" s="847"/>
      <c r="AT636" s="847"/>
      <c r="AU636" s="847"/>
      <c r="AV636" s="661"/>
      <c r="AW636" s="847"/>
      <c r="AX636" s="847"/>
      <c r="AY636" s="847"/>
      <c r="AZ636" s="847"/>
      <c r="BA636" s="661"/>
      <c r="BB636" s="847"/>
      <c r="BC636" s="847"/>
      <c r="BD636" s="847"/>
      <c r="BE636" s="847"/>
      <c r="BF636" s="661"/>
      <c r="BG636" s="847"/>
      <c r="BH636" s="847"/>
      <c r="BI636" s="847"/>
      <c r="BJ636" s="847"/>
      <c r="BK636" s="661"/>
      <c r="BL636" s="847"/>
      <c r="BM636" s="847"/>
      <c r="BN636" s="847"/>
      <c r="BO636" s="847"/>
      <c r="BP636" s="661"/>
      <c r="BQ636" s="847"/>
      <c r="BR636" s="847"/>
      <c r="BS636" s="847"/>
      <c r="BT636" s="847"/>
      <c r="BU636" s="661"/>
      <c r="BV636" s="847"/>
      <c r="BW636" s="847"/>
      <c r="BX636" s="847"/>
      <c r="BY636" s="847"/>
      <c r="BZ636" s="661"/>
      <c r="CA636" s="847"/>
      <c r="CB636" s="847"/>
      <c r="CC636" s="847"/>
      <c r="CD636" s="1431"/>
      <c r="CE636" s="661"/>
      <c r="CF636" s="847"/>
      <c r="CG636" s="847"/>
      <c r="CH636" s="847"/>
      <c r="CI636" s="1431"/>
      <c r="CJ636" s="661"/>
      <c r="CK636" s="847"/>
      <c r="CL636" s="847"/>
      <c r="CM636" s="847"/>
      <c r="CN636" s="1431"/>
      <c r="CO636" s="661"/>
      <c r="CP636" s="847"/>
      <c r="CQ636" s="847"/>
      <c r="CR636" s="847"/>
      <c r="CS636" s="847"/>
      <c r="CT636" s="661"/>
      <c r="CU636" s="847"/>
      <c r="CV636" s="847"/>
      <c r="CW636" s="847"/>
      <c r="CX636" s="847"/>
      <c r="CY636" s="661"/>
      <c r="CZ636" s="661"/>
      <c r="DA636" s="661"/>
      <c r="DB636"/>
      <c r="DC636"/>
      <c r="DD636" s="1437" t="s">
        <v>123</v>
      </c>
      <c r="DE636" s="2293"/>
      <c r="DF636" s="2293"/>
      <c r="DG636" s="2293"/>
      <c r="DH636" s="2293"/>
      <c r="DI636" s="2293"/>
      <c r="DJ636" s="2293"/>
      <c r="DK636" s="2293"/>
      <c r="DL636" s="2293"/>
      <c r="DM636" s="2293"/>
      <c r="DN636" s="2293"/>
      <c r="DO636" s="2293"/>
      <c r="DP636" s="2293"/>
      <c r="DQ636" s="2293"/>
      <c r="DR636" s="2293"/>
      <c r="DS636" s="2293"/>
      <c r="DT636" s="2293"/>
      <c r="DU636" s="2293"/>
      <c r="DV636" s="2293"/>
      <c r="DW636" s="2293"/>
      <c r="DX636" s="2293"/>
      <c r="DY636" s="2293"/>
      <c r="EA636"/>
      <c r="EB636"/>
      <c r="EC636"/>
      <c r="ED636"/>
      <c r="EE636"/>
      <c r="EF636"/>
      <c r="EJ636"/>
      <c r="EK636"/>
      <c r="EL636"/>
      <c r="ER636" s="212"/>
    </row>
    <row r="637" spans="1:148" s="923" customFormat="1" ht="12.75" customHeight="1" x14ac:dyDescent="0.2">
      <c r="A637" s="1436" t="s">
        <v>982</v>
      </c>
      <c r="B637" s="847"/>
      <c r="C637" s="847"/>
      <c r="D637" s="847"/>
      <c r="E637" s="847"/>
      <c r="F637" s="847"/>
      <c r="G637" s="847"/>
      <c r="H637" s="847"/>
      <c r="I637" s="847">
        <f>+I47</f>
        <v>152.45911949685535</v>
      </c>
      <c r="J637" s="847">
        <f>+J47</f>
        <v>198.87309644670052</v>
      </c>
      <c r="K637" s="847">
        <f>+K47</f>
        <v>174</v>
      </c>
      <c r="L637" s="847">
        <f>+L47</f>
        <v>236.46887966804979</v>
      </c>
      <c r="M637" s="661">
        <f>+SUM(I637:L637)</f>
        <v>761.80109561160566</v>
      </c>
      <c r="N637" s="847">
        <f>+N47</f>
        <v>188.89304812834226</v>
      </c>
      <c r="O637" s="847">
        <f>+O47</f>
        <v>200.00512820512822</v>
      </c>
      <c r="P637" s="847">
        <f>+P47</f>
        <v>158.83116883116884</v>
      </c>
      <c r="Q637" s="847">
        <f>+Q47</f>
        <v>-85.188235294117646</v>
      </c>
      <c r="R637" s="661">
        <f>+SUM(N637:Q637)</f>
        <v>462.54110987052167</v>
      </c>
      <c r="S637" s="847">
        <f>+S47</f>
        <v>124</v>
      </c>
      <c r="T637" s="847">
        <f>+T47</f>
        <v>178.72200000000001</v>
      </c>
      <c r="U637" s="847">
        <f>+U47</f>
        <v>133</v>
      </c>
      <c r="V637" s="847">
        <f>+V47</f>
        <v>-13.867999999999995</v>
      </c>
      <c r="W637" s="661">
        <f>+SUM(S637:V637)</f>
        <v>421.85399999999998</v>
      </c>
      <c r="X637" s="847">
        <f>+X47</f>
        <v>135</v>
      </c>
      <c r="Y637" s="847">
        <f>+Y47</f>
        <v>151</v>
      </c>
      <c r="Z637" s="847">
        <f>+Z47</f>
        <v>108</v>
      </c>
      <c r="AA637" s="847">
        <f>+AA47</f>
        <v>214</v>
      </c>
      <c r="AB637" s="661">
        <f>+SUM(X637:AA637)</f>
        <v>608</v>
      </c>
      <c r="AC637" s="847">
        <f>+AC47</f>
        <v>160</v>
      </c>
      <c r="AD637" s="847">
        <f>+AD47</f>
        <v>199</v>
      </c>
      <c r="AE637" s="847">
        <f>+AE47</f>
        <v>167</v>
      </c>
      <c r="AF637" s="847">
        <f>+AF47</f>
        <v>228</v>
      </c>
      <c r="AG637" s="661">
        <f>+SUM(AC637:AF637)</f>
        <v>754</v>
      </c>
      <c r="AH637" s="847">
        <f>+AH47</f>
        <v>194</v>
      </c>
      <c r="AI637" s="847">
        <f>+AI47</f>
        <v>184</v>
      </c>
      <c r="AJ637" s="847">
        <f>+AJ47</f>
        <v>182</v>
      </c>
      <c r="AK637" s="847">
        <f>+AK47</f>
        <v>317</v>
      </c>
      <c r="AL637" s="661">
        <f>+SUM(AH637:AK637)</f>
        <v>877</v>
      </c>
      <c r="AM637" s="847">
        <f>+AM47</f>
        <v>146</v>
      </c>
      <c r="AN637" s="847">
        <f>+AN47</f>
        <v>284</v>
      </c>
      <c r="AO637" s="847">
        <f>+AO47</f>
        <v>221</v>
      </c>
      <c r="AP637" s="847">
        <f>+AP47</f>
        <v>336</v>
      </c>
      <c r="AQ637" s="661">
        <f>+SUM(AM637:AP637)</f>
        <v>987</v>
      </c>
      <c r="AR637" s="847">
        <f>+AR47</f>
        <v>250</v>
      </c>
      <c r="AS637" s="847">
        <f>+AS47</f>
        <v>316</v>
      </c>
      <c r="AT637" s="847">
        <f>+AT47</f>
        <v>214</v>
      </c>
      <c r="AU637" s="847">
        <f>+AU47</f>
        <v>310</v>
      </c>
      <c r="AV637" s="661">
        <f>+SUM(AR637:AU637)</f>
        <v>1090</v>
      </c>
      <c r="AW637" s="847">
        <f>+AW47</f>
        <v>195</v>
      </c>
      <c r="AX637" s="847">
        <f>+AX47</f>
        <v>294</v>
      </c>
      <c r="AY637" s="847">
        <f>+AY47</f>
        <v>187</v>
      </c>
      <c r="AZ637" s="847">
        <f>+AZ47+AZ46</f>
        <v>283</v>
      </c>
      <c r="BA637" s="661">
        <f>+SUM(AW637:AZ637)</f>
        <v>959</v>
      </c>
      <c r="BB637" s="847">
        <f>+BB47</f>
        <v>118</v>
      </c>
      <c r="BC637" s="847">
        <f>+BC47</f>
        <v>126</v>
      </c>
      <c r="BD637" s="847">
        <f>+BD47</f>
        <v>-160</v>
      </c>
      <c r="BE637" s="847">
        <f>+BE47</f>
        <v>193</v>
      </c>
      <c r="BF637" s="661">
        <f>+SUM(BB637:BE637)</f>
        <v>277</v>
      </c>
      <c r="BG637" s="847">
        <f>+BG47</f>
        <v>116</v>
      </c>
      <c r="BH637" s="847">
        <f>+BH47</f>
        <v>166</v>
      </c>
      <c r="BI637" s="847">
        <f>+BI47</f>
        <v>105</v>
      </c>
      <c r="BJ637" s="847">
        <f>+BJ47</f>
        <v>186</v>
      </c>
      <c r="BK637" s="661">
        <f>+SUM(BG637:BJ637)</f>
        <v>573</v>
      </c>
      <c r="BL637" s="847">
        <f>+BL47</f>
        <v>131</v>
      </c>
      <c r="BM637" s="847">
        <f>+BM47</f>
        <v>187</v>
      </c>
      <c r="BN637" s="847">
        <f>+BN47</f>
        <v>150</v>
      </c>
      <c r="BO637" s="847">
        <f>+BO47</f>
        <v>216</v>
      </c>
      <c r="BP637" s="661">
        <f>+SUM(BL637:BO637)</f>
        <v>684</v>
      </c>
      <c r="BQ637" s="847">
        <f>+BQ47</f>
        <v>147</v>
      </c>
      <c r="BR637" s="847">
        <f>+BR47</f>
        <v>209</v>
      </c>
      <c r="BS637" s="847">
        <f>+BS47</f>
        <v>222</v>
      </c>
      <c r="BT637" s="847">
        <f>+BT47</f>
        <v>271</v>
      </c>
      <c r="BU637" s="661">
        <f>+SUM(BQ637:BT637)</f>
        <v>849</v>
      </c>
      <c r="BV637" s="847">
        <f>+BV47</f>
        <v>201</v>
      </c>
      <c r="BW637" s="847">
        <f>+BW47</f>
        <v>263</v>
      </c>
      <c r="BX637" s="847">
        <f>+BX47</f>
        <v>223</v>
      </c>
      <c r="BY637" s="847">
        <f>+BY47</f>
        <v>210</v>
      </c>
      <c r="BZ637" s="661">
        <f>+SUM(BV637:BY637)</f>
        <v>897</v>
      </c>
      <c r="CA637" s="847">
        <f>+CA47</f>
        <v>231</v>
      </c>
      <c r="CB637" s="847">
        <f>+CB47</f>
        <v>285</v>
      </c>
      <c r="CC637" s="847">
        <f>+CC47</f>
        <v>290</v>
      </c>
      <c r="CD637" s="847">
        <f>+CD47</f>
        <v>282</v>
      </c>
      <c r="CE637" s="661">
        <f>+SUM(CA637:CD637)</f>
        <v>1088</v>
      </c>
      <c r="CF637" s="847">
        <f>+CF47</f>
        <v>307</v>
      </c>
      <c r="CG637" s="847">
        <f>+CG47</f>
        <v>355</v>
      </c>
      <c r="CH637" s="847">
        <f>+CH47</f>
        <v>309</v>
      </c>
      <c r="CI637" s="1431">
        <f>+CI47</f>
        <v>284</v>
      </c>
      <c r="CJ637" s="661">
        <f>+SUM(CF637:CI637)</f>
        <v>1255</v>
      </c>
      <c r="CK637" s="847">
        <f>+CK47</f>
        <v>326</v>
      </c>
      <c r="CL637" s="847">
        <f>+CL47</f>
        <v>344</v>
      </c>
      <c r="CM637" s="847">
        <f>+CM47</f>
        <v>131</v>
      </c>
      <c r="CN637" s="1431">
        <f>+CN47</f>
        <v>383</v>
      </c>
      <c r="CO637" s="661">
        <f>+SUM(CK637:CN637)</f>
        <v>1184</v>
      </c>
      <c r="CP637" s="847">
        <f>+CP47</f>
        <v>485</v>
      </c>
      <c r="CQ637" s="847">
        <f>+CQ47</f>
        <v>592</v>
      </c>
      <c r="CR637" s="847">
        <f>+CR47</f>
        <v>580</v>
      </c>
      <c r="CS637" s="847">
        <f>+CS47</f>
        <v>1179</v>
      </c>
      <c r="CT637" s="661">
        <f>+SUM(CP637:CS637)</f>
        <v>2836</v>
      </c>
      <c r="CU637" s="847">
        <f ca="1">+CU47</f>
        <v>591.96257469878446</v>
      </c>
      <c r="CV637" s="847">
        <f ca="1">+CV47</f>
        <v>634.05218635532685</v>
      </c>
      <c r="CW637" s="847">
        <f ca="1">+CW47</f>
        <v>614.52484850898634</v>
      </c>
      <c r="CX637" s="847">
        <f ca="1">+CX47</f>
        <v>641.94897323426665</v>
      </c>
      <c r="CY637" s="661">
        <f ca="1">+SUM(CU637:CX637)</f>
        <v>2482.4885827973644</v>
      </c>
      <c r="CZ637" s="661">
        <f ca="1">+CZ47</f>
        <v>2800.9036447379804</v>
      </c>
      <c r="DA637" s="661">
        <f ca="1">+DA47</f>
        <v>2749.7211174093563</v>
      </c>
      <c r="DB637"/>
      <c r="DC637"/>
      <c r="DD637" s="2288" t="s">
        <v>982</v>
      </c>
      <c r="DE637" s="2293">
        <f>M637</f>
        <v>761.80109561160566</v>
      </c>
      <c r="DF637" s="2293">
        <f>R637</f>
        <v>462.54110987052167</v>
      </c>
      <c r="DG637" s="2293">
        <f>W637</f>
        <v>421.85399999999998</v>
      </c>
      <c r="DH637" s="2293">
        <f>AB637</f>
        <v>608</v>
      </c>
      <c r="DI637" s="2293">
        <f>AG637</f>
        <v>754</v>
      </c>
      <c r="DJ637" s="2293">
        <f>AL637</f>
        <v>877</v>
      </c>
      <c r="DK637" s="2293">
        <f>AQ637</f>
        <v>987</v>
      </c>
      <c r="DL637" s="2293">
        <f>AV637</f>
        <v>1090</v>
      </c>
      <c r="DM637" s="2293">
        <f>BA637</f>
        <v>959</v>
      </c>
      <c r="DN637" s="2293">
        <f>BF637</f>
        <v>277</v>
      </c>
      <c r="DO637" s="2293">
        <f>BK637</f>
        <v>573</v>
      </c>
      <c r="DP637" s="2293">
        <f>BP637</f>
        <v>684</v>
      </c>
      <c r="DQ637" s="2293">
        <f>BU637</f>
        <v>849</v>
      </c>
      <c r="DR637" s="2293">
        <f>BZ637</f>
        <v>897</v>
      </c>
      <c r="DS637" s="2293">
        <f>CE637</f>
        <v>1088</v>
      </c>
      <c r="DT637" s="2293">
        <f>CJ637</f>
        <v>1255</v>
      </c>
      <c r="DU637" s="2293">
        <f>CO637</f>
        <v>1184</v>
      </c>
      <c r="DV637" s="2293">
        <f>CT637</f>
        <v>2836</v>
      </c>
      <c r="DW637" s="2293">
        <f t="shared" ref="DW637:DY639" ca="1" si="1138">CY637</f>
        <v>2482.4885827973644</v>
      </c>
      <c r="DX637" s="2293">
        <f t="shared" ca="1" si="1138"/>
        <v>2800.9036447379804</v>
      </c>
      <c r="DY637" s="2293">
        <f t="shared" ca="1" si="1138"/>
        <v>2749.7211174093563</v>
      </c>
      <c r="EA637"/>
      <c r="EB637"/>
      <c r="EC637"/>
      <c r="ED637"/>
      <c r="EE637"/>
      <c r="EF637"/>
      <c r="EJ637"/>
      <c r="EK637"/>
      <c r="EL637"/>
      <c r="EM637" s="1703"/>
      <c r="ER637" s="212"/>
    </row>
    <row r="638" spans="1:148" s="923" customFormat="1" ht="12.75" customHeight="1" x14ac:dyDescent="0.2">
      <c r="A638" s="1719" t="s">
        <v>983</v>
      </c>
      <c r="B638" s="1932"/>
      <c r="C638" s="1932"/>
      <c r="D638" s="1932"/>
      <c r="E638" s="1932"/>
      <c r="F638" s="1932"/>
      <c r="G638" s="1932"/>
      <c r="H638" s="1932"/>
      <c r="I638" s="1932">
        <v>0.35</v>
      </c>
      <c r="J638" s="1932">
        <v>0.35</v>
      </c>
      <c r="K638" s="1932">
        <v>0.35</v>
      </c>
      <c r="L638" s="1932">
        <v>0.35</v>
      </c>
      <c r="M638" s="1003">
        <f>+M639/M637</f>
        <v>0.35000000000000003</v>
      </c>
      <c r="N638" s="1932">
        <v>0.35</v>
      </c>
      <c r="O638" s="1932">
        <v>0.35</v>
      </c>
      <c r="P638" s="1932">
        <v>0.35</v>
      </c>
      <c r="Q638" s="1932">
        <v>0.35</v>
      </c>
      <c r="R638" s="1003">
        <f>+R639/R637</f>
        <v>0.35</v>
      </c>
      <c r="S638" s="1932">
        <v>0.35</v>
      </c>
      <c r="T638" s="1932">
        <v>0.36099999999999999</v>
      </c>
      <c r="U638" s="1932">
        <v>0.36499999999999999</v>
      </c>
      <c r="V638" s="1932">
        <v>0.497</v>
      </c>
      <c r="W638" s="1003">
        <f>+W639/W637</f>
        <v>0.35455689883229746</v>
      </c>
      <c r="X638" s="1932">
        <v>0.36</v>
      </c>
      <c r="Y638" s="1932">
        <v>0.33800000000000002</v>
      </c>
      <c r="Z638" s="1932">
        <v>0.34499999999999997</v>
      </c>
      <c r="AA638" s="1932">
        <v>0.34499999999999997</v>
      </c>
      <c r="AB638" s="1003">
        <f>+AB639/AB637</f>
        <v>0.34659210526315792</v>
      </c>
      <c r="AC638" s="1932">
        <v>0.35499999999999998</v>
      </c>
      <c r="AD638" s="1932">
        <v>0.35699999999999998</v>
      </c>
      <c r="AE638" s="1932">
        <v>0.35</v>
      </c>
      <c r="AF638" s="1932">
        <v>0.35</v>
      </c>
      <c r="AG638" s="1003">
        <f>+AG639/AG637</f>
        <v>0.35290848806366043</v>
      </c>
      <c r="AH638" s="1932">
        <v>0.34499999999999997</v>
      </c>
      <c r="AI638" s="1932">
        <f t="shared" ref="AI638:BA638" si="1139">+AI639/AI637</f>
        <v>0.4891304347826087</v>
      </c>
      <c r="AJ638" s="1932">
        <f t="shared" si="1139"/>
        <v>0.31868131868131866</v>
      </c>
      <c r="AK638" s="1932">
        <f t="shared" si="1139"/>
        <v>0.35015772870662459</v>
      </c>
      <c r="AL638" s="1003">
        <f t="shared" si="1139"/>
        <v>0.37164196123147092</v>
      </c>
      <c r="AM638" s="1932">
        <f t="shared" si="1139"/>
        <v>0.5821917808219178</v>
      </c>
      <c r="AN638" s="1932">
        <f t="shared" si="1139"/>
        <v>0.35915492957746481</v>
      </c>
      <c r="AO638" s="1932">
        <f t="shared" si="1139"/>
        <v>0.34841628959276016</v>
      </c>
      <c r="AP638" s="1932">
        <f t="shared" si="1139"/>
        <v>0.34523809523809523</v>
      </c>
      <c r="AQ638" s="1003">
        <f t="shared" si="1139"/>
        <v>0.3850050658561297</v>
      </c>
      <c r="AR638" s="1932">
        <f t="shared" si="1139"/>
        <v>0.34399999999999997</v>
      </c>
      <c r="AS638" s="1932">
        <f t="shared" si="1139"/>
        <v>0.38607594936708861</v>
      </c>
      <c r="AT638" s="1932">
        <f t="shared" si="1139"/>
        <v>0.43457943925233644</v>
      </c>
      <c r="AU638" s="1932">
        <f t="shared" si="1139"/>
        <v>0.43225806451612903</v>
      </c>
      <c r="AV638" s="1003">
        <f t="shared" si="1139"/>
        <v>0.39908256880733944</v>
      </c>
      <c r="AW638" s="1932">
        <f t="shared" si="1139"/>
        <v>0.38461538461538464</v>
      </c>
      <c r="AX638" s="1932">
        <f t="shared" si="1139"/>
        <v>0.47278911564625853</v>
      </c>
      <c r="AY638" s="1932">
        <f t="shared" si="1139"/>
        <v>0.55080213903743314</v>
      </c>
      <c r="AZ638" s="1932">
        <f t="shared" si="1139"/>
        <v>0.1166077738515901</v>
      </c>
      <c r="BA638" s="1003">
        <f t="shared" si="1139"/>
        <v>0.36496350364963503</v>
      </c>
      <c r="BB638" s="1932">
        <v>0.36</v>
      </c>
      <c r="BC638" s="1932">
        <f t="shared" ref="BC638:BO638" si="1140">+BC639/BC637</f>
        <v>0.34920634920634919</v>
      </c>
      <c r="BD638" s="1932">
        <f t="shared" si="1140"/>
        <v>1.3125</v>
      </c>
      <c r="BE638" s="1932">
        <f t="shared" si="1140"/>
        <v>0.38860103626943004</v>
      </c>
      <c r="BF638" s="1003">
        <v>0.35</v>
      </c>
      <c r="BG638" s="1932">
        <f t="shared" si="1140"/>
        <v>0.36206896551724138</v>
      </c>
      <c r="BH638" s="1932">
        <f t="shared" si="1140"/>
        <v>0.34337349397590361</v>
      </c>
      <c r="BI638" s="1932">
        <f t="shared" si="1140"/>
        <v>0.35238095238095241</v>
      </c>
      <c r="BJ638" s="1932">
        <f t="shared" si="1140"/>
        <v>0.27419354838709675</v>
      </c>
      <c r="BK638" s="1003">
        <f t="shared" si="1140"/>
        <v>0.32635253054101221</v>
      </c>
      <c r="BL638" s="1932">
        <f t="shared" si="1140"/>
        <v>0.3282442748091603</v>
      </c>
      <c r="BM638" s="1932">
        <f t="shared" si="1140"/>
        <v>0.32620320855614976</v>
      </c>
      <c r="BN638" s="1932">
        <f t="shared" si="1140"/>
        <v>0.32</v>
      </c>
      <c r="BO638" s="1932">
        <f t="shared" si="1140"/>
        <v>0.2638888888888889</v>
      </c>
      <c r="BP638" s="1003">
        <f t="shared" ref="BP638:BU638" si="1141">+BP639/BP637</f>
        <v>0.30555555555555558</v>
      </c>
      <c r="BQ638" s="1932">
        <f t="shared" si="1141"/>
        <v>0.29251700680272108</v>
      </c>
      <c r="BR638" s="1932">
        <f t="shared" si="1141"/>
        <v>0.31578947368421051</v>
      </c>
      <c r="BS638" s="1932">
        <f t="shared" si="1141"/>
        <v>0.35585585585585583</v>
      </c>
      <c r="BT638" s="1932">
        <f>+BT639/BT637</f>
        <v>0.33210332103321033</v>
      </c>
      <c r="BU638" s="1003">
        <f t="shared" si="1141"/>
        <v>0.32744405182567726</v>
      </c>
      <c r="BV638" s="1932">
        <f t="shared" ref="BV638:CB638" si="1142">+BV639/BV637</f>
        <v>0.32338308457711445</v>
      </c>
      <c r="BW638" s="1932">
        <f t="shared" si="1142"/>
        <v>0.3193916349809886</v>
      </c>
      <c r="BX638" s="1932">
        <f t="shared" si="1142"/>
        <v>0.28251121076233182</v>
      </c>
      <c r="BY638" s="1932">
        <f t="shared" si="1142"/>
        <v>0.28095238095238095</v>
      </c>
      <c r="BZ638" s="1003">
        <f t="shared" si="1142"/>
        <v>0.30211817168338906</v>
      </c>
      <c r="CA638" s="1932">
        <f t="shared" si="1142"/>
        <v>0.25541125541125542</v>
      </c>
      <c r="CB638" s="1932">
        <f t="shared" si="1142"/>
        <v>0.32631578947368423</v>
      </c>
      <c r="CC638" s="1932">
        <f t="shared" ref="CC638:CK638" si="1143">+CC639/CC637</f>
        <v>0.33793103448275863</v>
      </c>
      <c r="CD638" s="1932">
        <f t="shared" si="1143"/>
        <v>0.30141843971631205</v>
      </c>
      <c r="CE638" s="1003">
        <f t="shared" si="1143"/>
        <v>0.3079044117647059</v>
      </c>
      <c r="CF638" s="1932">
        <f t="shared" si="1143"/>
        <v>0.32573289902280128</v>
      </c>
      <c r="CG638" s="1932">
        <f t="shared" si="1143"/>
        <v>0.323943661971831</v>
      </c>
      <c r="CH638" s="1932">
        <f t="shared" si="1143"/>
        <v>0.32038834951456313</v>
      </c>
      <c r="CI638" s="1932">
        <f t="shared" si="1143"/>
        <v>0.28873239436619719</v>
      </c>
      <c r="CJ638" s="1003">
        <f>+CJ639/CJ637</f>
        <v>0.31553784860557771</v>
      </c>
      <c r="CK638" s="1932">
        <f t="shared" si="1143"/>
        <v>0.32822085889570551</v>
      </c>
      <c r="CL638" s="1932">
        <f t="shared" ref="CL638:CQ638" si="1144">+CL639/CL637</f>
        <v>0.28197674418604651</v>
      </c>
      <c r="CM638" s="1932">
        <f t="shared" si="1144"/>
        <v>0.46564885496183206</v>
      </c>
      <c r="CN638" s="1932">
        <f t="shared" si="1144"/>
        <v>0.36292428198433418</v>
      </c>
      <c r="CO638" s="1003">
        <f t="shared" si="1144"/>
        <v>0.34121621621621623</v>
      </c>
      <c r="CP638" s="1932">
        <f t="shared" si="1144"/>
        <v>0.24742268041237114</v>
      </c>
      <c r="CQ638" s="1932">
        <f t="shared" si="1144"/>
        <v>0.30067567567567566</v>
      </c>
      <c r="CR638" s="1932">
        <f t="shared" ref="CR638:CS638" si="1145">+CR639/CR637</f>
        <v>0.32413793103448274</v>
      </c>
      <c r="CS638" s="1932">
        <f t="shared" si="1145"/>
        <v>0.82951653944020354</v>
      </c>
      <c r="CT638" s="1044">
        <f>+CT639/CT637</f>
        <v>0.51622002820874469</v>
      </c>
      <c r="CU638" s="3677">
        <v>0.22</v>
      </c>
      <c r="CV638" s="3677">
        <v>0.22</v>
      </c>
      <c r="CW638" s="3677">
        <v>0.22</v>
      </c>
      <c r="CX638" s="3677">
        <v>0.22</v>
      </c>
      <c r="CY638" s="1933">
        <f ca="1">+CY639/CY637</f>
        <v>0.21999999999999997</v>
      </c>
      <c r="CZ638" s="1933">
        <f ca="1">+CY638</f>
        <v>0.21999999999999997</v>
      </c>
      <c r="DA638" s="1933">
        <f ca="1">+CZ638</f>
        <v>0.21999999999999997</v>
      </c>
      <c r="DB638"/>
      <c r="DC638"/>
      <c r="DD638" s="2354" t="s">
        <v>983</v>
      </c>
      <c r="DE638" s="1003">
        <f>M638</f>
        <v>0.35000000000000003</v>
      </c>
      <c r="DF638" s="1003">
        <f>R638</f>
        <v>0.35</v>
      </c>
      <c r="DG638" s="1003">
        <f>W638</f>
        <v>0.35455689883229746</v>
      </c>
      <c r="DH638" s="1003">
        <f>AB638</f>
        <v>0.34659210526315792</v>
      </c>
      <c r="DI638" s="1003">
        <f>AG638</f>
        <v>0.35290848806366043</v>
      </c>
      <c r="DJ638" s="1003">
        <f>AL638</f>
        <v>0.37164196123147092</v>
      </c>
      <c r="DK638" s="1003">
        <f>AQ638</f>
        <v>0.3850050658561297</v>
      </c>
      <c r="DL638" s="1003">
        <f>AV638</f>
        <v>0.39908256880733944</v>
      </c>
      <c r="DM638" s="1003">
        <f>BA638</f>
        <v>0.36496350364963503</v>
      </c>
      <c r="DN638" s="1003">
        <f>BF638</f>
        <v>0.35</v>
      </c>
      <c r="DO638" s="1003">
        <f>BK638</f>
        <v>0.32635253054101221</v>
      </c>
      <c r="DP638" s="1003">
        <f>BP638</f>
        <v>0.30555555555555558</v>
      </c>
      <c r="DQ638" s="1003">
        <f>BU638</f>
        <v>0.32744405182567726</v>
      </c>
      <c r="DR638" s="1003">
        <f>BZ638</f>
        <v>0.30211817168338906</v>
      </c>
      <c r="DS638" s="1003">
        <f>CE638</f>
        <v>0.3079044117647059</v>
      </c>
      <c r="DT638" s="1003">
        <f>CJ638</f>
        <v>0.31553784860557771</v>
      </c>
      <c r="DU638" s="1003">
        <f>CO638</f>
        <v>0.34121621621621623</v>
      </c>
      <c r="DV638" s="1003">
        <f>CT638</f>
        <v>0.51622002820874469</v>
      </c>
      <c r="DW638" s="1003">
        <f t="shared" ca="1" si="1138"/>
        <v>0.21999999999999997</v>
      </c>
      <c r="DX638" s="1003">
        <f t="shared" ca="1" si="1138"/>
        <v>0.21999999999999997</v>
      </c>
      <c r="DY638" s="1003">
        <f t="shared" ca="1" si="1138"/>
        <v>0.21999999999999997</v>
      </c>
      <c r="EA638"/>
      <c r="EB638"/>
      <c r="EC638"/>
      <c r="ED638"/>
      <c r="EE638"/>
      <c r="EF638"/>
      <c r="EJ638"/>
      <c r="EK638"/>
      <c r="EL638"/>
      <c r="EM638" s="1703"/>
      <c r="ER638" s="212"/>
    </row>
    <row r="639" spans="1:148" s="923" customFormat="1" ht="12.75" customHeight="1" x14ac:dyDescent="0.2">
      <c r="A639" s="1436" t="s">
        <v>984</v>
      </c>
      <c r="B639" s="946"/>
      <c r="C639" s="946"/>
      <c r="D639" s="946"/>
      <c r="E639" s="946"/>
      <c r="F639" s="946"/>
      <c r="G639" s="946"/>
      <c r="H639" s="946"/>
      <c r="I639" s="946">
        <f>+I637*I638</f>
        <v>53.360691823899373</v>
      </c>
      <c r="J639" s="946">
        <f>+J637*J638</f>
        <v>69.605583756345169</v>
      </c>
      <c r="K639" s="946">
        <f>+K637*K638</f>
        <v>60.9</v>
      </c>
      <c r="L639" s="946">
        <f>+L637*L638</f>
        <v>82.764107883817417</v>
      </c>
      <c r="M639" s="661">
        <f>+SUM(I639:L639)</f>
        <v>266.63038346406199</v>
      </c>
      <c r="N639" s="946">
        <f>+N637*N638</f>
        <v>66.112566844919783</v>
      </c>
      <c r="O639" s="946">
        <f>+O637*O638</f>
        <v>70.001794871794871</v>
      </c>
      <c r="P639" s="946">
        <f>+P637*P638</f>
        <v>55.590909090909093</v>
      </c>
      <c r="Q639" s="946">
        <f>+Q637*Q638</f>
        <v>-29.815882352941173</v>
      </c>
      <c r="R639" s="661">
        <f>+SUM(N639:Q639)</f>
        <v>161.88938845468257</v>
      </c>
      <c r="S639" s="946">
        <f>+S637*S638</f>
        <v>43.4</v>
      </c>
      <c r="T639" s="946">
        <f>+T637*T638</f>
        <v>64.518642</v>
      </c>
      <c r="U639" s="946">
        <f>+U637*U638</f>
        <v>48.545000000000002</v>
      </c>
      <c r="V639" s="946">
        <f>+V637*V638</f>
        <v>-6.8923959999999971</v>
      </c>
      <c r="W639" s="661">
        <f>+SUM(S639:V639)</f>
        <v>149.571246</v>
      </c>
      <c r="X639" s="946">
        <f>+X637*X638</f>
        <v>48.6</v>
      </c>
      <c r="Y639" s="946">
        <f>+Y637*Y638</f>
        <v>51.038000000000004</v>
      </c>
      <c r="Z639" s="946">
        <f>+Z637*Z638</f>
        <v>37.26</v>
      </c>
      <c r="AA639" s="946">
        <f>+AA637*AA638</f>
        <v>73.83</v>
      </c>
      <c r="AB639" s="661">
        <f>+SUM(X639:AA639)</f>
        <v>210.72800000000001</v>
      </c>
      <c r="AC639" s="946">
        <f>+AC637*AC638</f>
        <v>56.8</v>
      </c>
      <c r="AD639" s="946">
        <f>+AD637*AD638</f>
        <v>71.042999999999992</v>
      </c>
      <c r="AE639" s="946">
        <f>+AE637*AE638</f>
        <v>58.449999999999996</v>
      </c>
      <c r="AF639" s="946">
        <f>+AF637*AF638</f>
        <v>79.8</v>
      </c>
      <c r="AG639" s="661">
        <f>+SUM(AC639:AF639)</f>
        <v>266.09299999999996</v>
      </c>
      <c r="AH639" s="946">
        <f>+AH637*AH638</f>
        <v>66.929999999999993</v>
      </c>
      <c r="AI639" s="946">
        <f>48+32+10</f>
        <v>90</v>
      </c>
      <c r="AJ639" s="946">
        <f>58</f>
        <v>58</v>
      </c>
      <c r="AK639" s="946">
        <f>111</f>
        <v>111</v>
      </c>
      <c r="AL639" s="661">
        <f>+SUM(AH639:AK639)</f>
        <v>325.93</v>
      </c>
      <c r="AM639" s="946">
        <v>85</v>
      </c>
      <c r="AN639" s="946">
        <v>102</v>
      </c>
      <c r="AO639" s="946">
        <v>77</v>
      </c>
      <c r="AP639" s="946">
        <v>116</v>
      </c>
      <c r="AQ639" s="661">
        <f>+SUM(AM639:AP639)</f>
        <v>380</v>
      </c>
      <c r="AR639" s="946">
        <v>86</v>
      </c>
      <c r="AS639" s="946">
        <v>122</v>
      </c>
      <c r="AT639" s="946">
        <v>93</v>
      </c>
      <c r="AU639" s="946">
        <v>134</v>
      </c>
      <c r="AV639" s="661">
        <f>+SUM(AR639:AU639)</f>
        <v>435</v>
      </c>
      <c r="AW639" s="946">
        <v>75</v>
      </c>
      <c r="AX639" s="946">
        <v>139</v>
      </c>
      <c r="AY639" s="946">
        <v>103</v>
      </c>
      <c r="AZ639" s="946">
        <v>33</v>
      </c>
      <c r="BA639" s="661">
        <f>+SUM(AW639:AZ639)</f>
        <v>350</v>
      </c>
      <c r="BB639" s="946">
        <v>33</v>
      </c>
      <c r="BC639" s="946">
        <v>44</v>
      </c>
      <c r="BD639" s="946">
        <v>-210</v>
      </c>
      <c r="BE639" s="946">
        <v>75</v>
      </c>
      <c r="BF639" s="661">
        <f>+SUM(BB639:BE639)</f>
        <v>-58</v>
      </c>
      <c r="BG639" s="946">
        <f t="shared" ref="BG639:BT639" si="1146">-BG48</f>
        <v>42</v>
      </c>
      <c r="BH639" s="946">
        <f t="shared" si="1146"/>
        <v>57</v>
      </c>
      <c r="BI639" s="946">
        <f t="shared" si="1146"/>
        <v>37</v>
      </c>
      <c r="BJ639" s="946">
        <f t="shared" si="1146"/>
        <v>51</v>
      </c>
      <c r="BK639" s="661">
        <f t="shared" si="1146"/>
        <v>187</v>
      </c>
      <c r="BL639" s="946">
        <f t="shared" si="1146"/>
        <v>43</v>
      </c>
      <c r="BM639" s="946">
        <f t="shared" si="1146"/>
        <v>61</v>
      </c>
      <c r="BN639" s="946">
        <f t="shared" si="1146"/>
        <v>48</v>
      </c>
      <c r="BO639" s="946">
        <f t="shared" si="1146"/>
        <v>57</v>
      </c>
      <c r="BP639" s="661">
        <f t="shared" si="1146"/>
        <v>209</v>
      </c>
      <c r="BQ639" s="946">
        <f t="shared" si="1146"/>
        <v>43</v>
      </c>
      <c r="BR639" s="946">
        <f t="shared" si="1146"/>
        <v>66</v>
      </c>
      <c r="BS639" s="946">
        <f t="shared" si="1146"/>
        <v>79</v>
      </c>
      <c r="BT639" s="946">
        <f t="shared" si="1146"/>
        <v>90</v>
      </c>
      <c r="BU639" s="661">
        <f>+SUM(BQ639:BT639)</f>
        <v>278</v>
      </c>
      <c r="BV639" s="946">
        <f>-BV48</f>
        <v>65</v>
      </c>
      <c r="BW639" s="946">
        <f>-BW48</f>
        <v>84</v>
      </c>
      <c r="BX639" s="946">
        <f>-BX48</f>
        <v>63</v>
      </c>
      <c r="BY639" s="946">
        <f>-BY48</f>
        <v>59</v>
      </c>
      <c r="BZ639" s="661">
        <f>+SUM(BV639:BY639)</f>
        <v>271</v>
      </c>
      <c r="CA639" s="946">
        <f>-CA48</f>
        <v>59</v>
      </c>
      <c r="CB639" s="946">
        <f>-CB48</f>
        <v>93</v>
      </c>
      <c r="CC639" s="946">
        <f>-CC48</f>
        <v>98</v>
      </c>
      <c r="CD639" s="946">
        <f>-CD48</f>
        <v>85</v>
      </c>
      <c r="CE639" s="661">
        <f>+SUM(CA639:CD639)</f>
        <v>335</v>
      </c>
      <c r="CF639" s="946">
        <f>-CF48</f>
        <v>100</v>
      </c>
      <c r="CG639" s="946">
        <f>-CG48</f>
        <v>115</v>
      </c>
      <c r="CH639" s="946">
        <f>-CH48</f>
        <v>99</v>
      </c>
      <c r="CI639" s="946">
        <f>-CI48</f>
        <v>82</v>
      </c>
      <c r="CJ639" s="661">
        <f>+SUM(CF639:CI639)</f>
        <v>396</v>
      </c>
      <c r="CK639" s="946">
        <f>-CK48</f>
        <v>107</v>
      </c>
      <c r="CL639" s="946">
        <f>-CL48</f>
        <v>97</v>
      </c>
      <c r="CM639" s="946">
        <f>-CM48</f>
        <v>61</v>
      </c>
      <c r="CN639" s="946">
        <f>-CN48</f>
        <v>139</v>
      </c>
      <c r="CO639" s="661">
        <f>+SUM(CK639:CN639)</f>
        <v>404</v>
      </c>
      <c r="CP639" s="946">
        <f>-CP48</f>
        <v>120</v>
      </c>
      <c r="CQ639" s="946">
        <f>-CQ48</f>
        <v>178</v>
      </c>
      <c r="CR639" s="946">
        <f>-CR48</f>
        <v>188</v>
      </c>
      <c r="CS639" s="946">
        <f>-CS48</f>
        <v>978</v>
      </c>
      <c r="CT639" s="661">
        <f>+SUM(CP639:CS639)</f>
        <v>1464</v>
      </c>
      <c r="CU639" s="2349">
        <f t="shared" ref="CU639:DA639" ca="1" si="1147">+CU637*CU638</f>
        <v>130.23176643373259</v>
      </c>
      <c r="CV639" s="2349">
        <f t="shared" ca="1" si="1147"/>
        <v>139.49148099817191</v>
      </c>
      <c r="CW639" s="2349">
        <f t="shared" ca="1" si="1147"/>
        <v>135.19546667197699</v>
      </c>
      <c r="CX639" s="2349">
        <f t="shared" ca="1" si="1147"/>
        <v>141.22877411153866</v>
      </c>
      <c r="CY639" s="661">
        <f ca="1">+SUM(CU639:CX639)</f>
        <v>546.14748821542014</v>
      </c>
      <c r="CZ639" s="661">
        <f t="shared" ca="1" si="1147"/>
        <v>616.19880184235558</v>
      </c>
      <c r="DA639" s="661">
        <f t="shared" ca="1" si="1147"/>
        <v>604.93864583005836</v>
      </c>
      <c r="DB639"/>
      <c r="DC639"/>
      <c r="DD639" s="2288" t="s">
        <v>984</v>
      </c>
      <c r="DE639" s="2293">
        <f>M639</f>
        <v>266.63038346406199</v>
      </c>
      <c r="DF639" s="2293">
        <f>R639</f>
        <v>161.88938845468257</v>
      </c>
      <c r="DG639" s="2293">
        <f>W639</f>
        <v>149.571246</v>
      </c>
      <c r="DH639" s="2293">
        <f>AB639</f>
        <v>210.72800000000001</v>
      </c>
      <c r="DI639" s="2293">
        <f>AG639</f>
        <v>266.09299999999996</v>
      </c>
      <c r="DJ639" s="2293">
        <f>AL639</f>
        <v>325.93</v>
      </c>
      <c r="DK639" s="2293">
        <f>AQ639</f>
        <v>380</v>
      </c>
      <c r="DL639" s="2293">
        <f>AV639</f>
        <v>435</v>
      </c>
      <c r="DM639" s="2293">
        <f>BA639</f>
        <v>350</v>
      </c>
      <c r="DN639" s="2293">
        <f>BF639</f>
        <v>-58</v>
      </c>
      <c r="DO639" s="2293">
        <f>BK639</f>
        <v>187</v>
      </c>
      <c r="DP639" s="2293">
        <f>BP639</f>
        <v>209</v>
      </c>
      <c r="DQ639" s="2293">
        <f>BU639</f>
        <v>278</v>
      </c>
      <c r="DR639" s="2293">
        <f>BZ639</f>
        <v>271</v>
      </c>
      <c r="DS639" s="2293">
        <f>CE639</f>
        <v>335</v>
      </c>
      <c r="DT639" s="2293">
        <f>CJ639</f>
        <v>396</v>
      </c>
      <c r="DU639" s="2293">
        <f>CO639</f>
        <v>404</v>
      </c>
      <c r="DV639" s="2293">
        <f>CT639</f>
        <v>1464</v>
      </c>
      <c r="DW639" s="2293">
        <f t="shared" ca="1" si="1138"/>
        <v>546.14748821542014</v>
      </c>
      <c r="DX639" s="2293">
        <f t="shared" ca="1" si="1138"/>
        <v>616.19880184235558</v>
      </c>
      <c r="DY639" s="2293">
        <f t="shared" ca="1" si="1138"/>
        <v>604.93864583005836</v>
      </c>
      <c r="EA639"/>
      <c r="EB639"/>
      <c r="EC639"/>
      <c r="ED639"/>
      <c r="EE639"/>
      <c r="EF639"/>
      <c r="EJ639"/>
      <c r="EK639"/>
      <c r="EL639"/>
      <c r="EM639" s="1703"/>
      <c r="ER639" s="212"/>
    </row>
    <row r="640" spans="1:148" s="923" customFormat="1" ht="12.75" customHeight="1" x14ac:dyDescent="0.2">
      <c r="A640" s="504"/>
      <c r="B640" s="847"/>
      <c r="C640" s="847"/>
      <c r="D640" s="847"/>
      <c r="E640" s="847"/>
      <c r="F640" s="847"/>
      <c r="G640" s="847"/>
      <c r="H640" s="847"/>
      <c r="I640" s="847"/>
      <c r="J640" s="847"/>
      <c r="K640" s="847"/>
      <c r="L640" s="847"/>
      <c r="M640" s="968"/>
      <c r="N640" s="847"/>
      <c r="O640" s="847"/>
      <c r="P640" s="847"/>
      <c r="Q640" s="847"/>
      <c r="R640" s="968"/>
      <c r="S640" s="847"/>
      <c r="T640" s="847"/>
      <c r="U640" s="847"/>
      <c r="V640" s="847"/>
      <c r="W640" s="968"/>
      <c r="X640" s="847"/>
      <c r="Y640" s="847"/>
      <c r="Z640" s="847"/>
      <c r="AA640" s="847"/>
      <c r="AB640" s="968"/>
      <c r="AC640" s="847"/>
      <c r="AD640" s="847"/>
      <c r="AE640" s="847"/>
      <c r="AF640" s="847"/>
      <c r="AG640" s="968"/>
      <c r="AH640" s="847"/>
      <c r="AI640" s="847"/>
      <c r="AJ640" s="847"/>
      <c r="AK640" s="847"/>
      <c r="AL640" s="968"/>
      <c r="AM640" s="847"/>
      <c r="AN640" s="847"/>
      <c r="AO640" s="847"/>
      <c r="AP640" s="847"/>
      <c r="AQ640" s="968"/>
      <c r="AR640" s="847"/>
      <c r="AS640" s="847"/>
      <c r="AT640" s="847"/>
      <c r="AU640" s="847"/>
      <c r="AV640" s="968"/>
      <c r="AW640" s="847"/>
      <c r="AX640" s="847"/>
      <c r="AY640" s="847"/>
      <c r="AZ640" s="847"/>
      <c r="BA640" s="968"/>
      <c r="BB640" s="847"/>
      <c r="BC640" s="847"/>
      <c r="BD640" s="847"/>
      <c r="BE640" s="847"/>
      <c r="BF640" s="968"/>
      <c r="BG640" s="847"/>
      <c r="BH640" s="847"/>
      <c r="BI640" s="847"/>
      <c r="BJ640" s="847"/>
      <c r="BK640" s="968"/>
      <c r="BL640" s="847"/>
      <c r="BM640" s="847"/>
      <c r="BN640" s="847"/>
      <c r="BO640" s="847"/>
      <c r="BP640" s="968"/>
      <c r="BQ640" s="847"/>
      <c r="BR640" s="847"/>
      <c r="BS640" s="847"/>
      <c r="BT640" s="847"/>
      <c r="BU640" s="968"/>
      <c r="BV640" s="847"/>
      <c r="BW640" s="847"/>
      <c r="BX640" s="847"/>
      <c r="BY640" s="847"/>
      <c r="BZ640" s="968"/>
      <c r="CA640" s="847"/>
      <c r="CB640" s="215"/>
      <c r="CC640" s="215"/>
      <c r="CD640" s="215"/>
      <c r="CE640" s="968"/>
      <c r="CF640" s="847"/>
      <c r="CG640" s="215"/>
      <c r="CH640" s="215"/>
      <c r="CI640" s="1788"/>
      <c r="CJ640" s="968"/>
      <c r="CK640" s="215"/>
      <c r="CL640" s="215"/>
      <c r="CM640" s="215"/>
      <c r="CN640" s="1788"/>
      <c r="CO640" s="968"/>
      <c r="CP640" s="215"/>
      <c r="CQ640" s="215"/>
      <c r="CR640" s="215"/>
      <c r="CS640" s="215"/>
      <c r="CT640" s="968"/>
      <c r="CU640" s="215"/>
      <c r="CV640" s="215"/>
      <c r="CW640" s="215"/>
      <c r="CX640" s="215"/>
      <c r="CY640" s="968"/>
      <c r="CZ640" s="968"/>
      <c r="DA640" s="968"/>
      <c r="DB640"/>
      <c r="DC640"/>
      <c r="DD640" s="2285"/>
      <c r="DE640" s="2290"/>
      <c r="DF640" s="2290"/>
      <c r="DG640" s="2290"/>
      <c r="DH640" s="2290"/>
      <c r="DI640" s="2290"/>
      <c r="DJ640" s="2290"/>
      <c r="DK640" s="2290"/>
      <c r="DL640" s="2290"/>
      <c r="DM640" s="2290"/>
      <c r="DN640" s="2290"/>
      <c r="DO640" s="2290"/>
      <c r="DP640" s="2290"/>
      <c r="DQ640" s="2290"/>
      <c r="DR640" s="2290"/>
      <c r="DS640" s="2290"/>
      <c r="DT640" s="2290"/>
      <c r="DU640" s="2290"/>
      <c r="DV640" s="2290"/>
      <c r="DW640" s="2290"/>
      <c r="DX640" s="2290"/>
      <c r="DY640" s="2290"/>
      <c r="EA640"/>
      <c r="EB640"/>
      <c r="EC640"/>
      <c r="ED640"/>
      <c r="EE640"/>
      <c r="EF640"/>
      <c r="EJ640"/>
      <c r="EK640"/>
      <c r="EL640"/>
      <c r="ER640" s="212"/>
    </row>
    <row r="641" spans="1:148" s="923" customFormat="1" ht="12.75" customHeight="1" x14ac:dyDescent="0.2">
      <c r="A641" s="2288" t="s">
        <v>2484</v>
      </c>
      <c r="B641" s="766"/>
      <c r="C641" s="766"/>
      <c r="D641" s="766"/>
      <c r="E641" s="766"/>
      <c r="F641" s="766"/>
      <c r="G641" s="766"/>
      <c r="H641" s="766"/>
      <c r="I641" s="766">
        <f>1185+69</f>
        <v>1254</v>
      </c>
      <c r="J641" s="766">
        <f>1226+75</f>
        <v>1301</v>
      </c>
      <c r="K641" s="766">
        <f>1178+81</f>
        <v>1259</v>
      </c>
      <c r="L641" s="766">
        <f>5638-K641-J641-I641</f>
        <v>1824</v>
      </c>
      <c r="M641" s="245">
        <f>SUM(I641:L641)</f>
        <v>5638</v>
      </c>
      <c r="N641" s="766">
        <v>1409</v>
      </c>
      <c r="O641" s="766">
        <v>1301</v>
      </c>
      <c r="P641" s="766">
        <f>1187+83</f>
        <v>1270</v>
      </c>
      <c r="Q641" s="766">
        <v>1595</v>
      </c>
      <c r="R641" s="245">
        <v>5237</v>
      </c>
      <c r="S641" s="766">
        <v>1262</v>
      </c>
      <c r="T641" s="766">
        <v>1343</v>
      </c>
      <c r="U641" s="766">
        <v>1282</v>
      </c>
      <c r="V641" s="766">
        <v>1852</v>
      </c>
      <c r="W641" s="245">
        <f>SUM(S641:V641)</f>
        <v>5739</v>
      </c>
      <c r="X641" s="766">
        <v>1408</v>
      </c>
      <c r="Y641" s="766">
        <v>1402</v>
      </c>
      <c r="Z641" s="766">
        <v>1423</v>
      </c>
      <c r="AA641" s="766">
        <v>1959</v>
      </c>
      <c r="AB641" s="245">
        <f>SUM(X641:AA641)</f>
        <v>6192</v>
      </c>
      <c r="AC641" s="766">
        <f>AC12</f>
        <v>1585</v>
      </c>
      <c r="AD641" s="766">
        <f>AD12</f>
        <v>1614</v>
      </c>
      <c r="AE641" s="766">
        <f>AE12</f>
        <v>1573</v>
      </c>
      <c r="AF641" s="766">
        <f>AF12</f>
        <v>2156</v>
      </c>
      <c r="AG641" s="245">
        <f>SUM(AC641:AF641)</f>
        <v>6928</v>
      </c>
      <c r="AH641" s="766">
        <f>AH12</f>
        <v>1682</v>
      </c>
      <c r="AI641" s="766">
        <f>AI12</f>
        <v>1795</v>
      </c>
      <c r="AJ641" s="766">
        <f>AJ12</f>
        <v>1771</v>
      </c>
      <c r="AK641" s="766">
        <f>AK12</f>
        <v>2423</v>
      </c>
      <c r="AL641" s="245">
        <f>SUM(AH641:AK641)</f>
        <v>7671</v>
      </c>
      <c r="AM641" s="766">
        <f>AM12</f>
        <v>1820</v>
      </c>
      <c r="AN641" s="766">
        <f>AN12</f>
        <v>1905</v>
      </c>
      <c r="AO641" s="766">
        <f>AO12</f>
        <v>1822</v>
      </c>
      <c r="AP641" s="766">
        <f>AP12</f>
        <v>2528</v>
      </c>
      <c r="AQ641" s="245">
        <f>SUM(AM641:AP641)</f>
        <v>8075</v>
      </c>
      <c r="AR641" s="766">
        <f>AR12</f>
        <v>1921</v>
      </c>
      <c r="AS641" s="766">
        <f>AS12</f>
        <v>1992</v>
      </c>
      <c r="AT641" s="766">
        <f>AT12</f>
        <v>1990</v>
      </c>
      <c r="AU641" s="766">
        <f>AU12</f>
        <v>2672</v>
      </c>
      <c r="AV641" s="245">
        <f>SUM(AR641:AU641)</f>
        <v>8575</v>
      </c>
      <c r="AW641" s="766">
        <f>AW12</f>
        <v>2033</v>
      </c>
      <c r="AX641" s="766">
        <f>AX12</f>
        <v>2104</v>
      </c>
      <c r="AY641" s="766">
        <f>AY12</f>
        <v>2016</v>
      </c>
      <c r="AZ641" s="766">
        <f>AZ12</f>
        <v>2681</v>
      </c>
      <c r="BA641" s="245">
        <f>SUM(AW641:AZ641)</f>
        <v>8834</v>
      </c>
      <c r="BB641" s="766">
        <f>BB12</f>
        <v>1810</v>
      </c>
      <c r="BC641" s="766">
        <f>BC12</f>
        <v>1787</v>
      </c>
      <c r="BD641" s="766">
        <f>BD12</f>
        <v>1758</v>
      </c>
      <c r="BE641" s="766">
        <f>BE12</f>
        <v>2327</v>
      </c>
      <c r="BF641" s="245">
        <f>SUM(BB641:BE641)</f>
        <v>7682</v>
      </c>
      <c r="BG641" s="766">
        <f>BG12</f>
        <v>1860</v>
      </c>
      <c r="BH641" s="766">
        <f>BH12</f>
        <v>1940</v>
      </c>
      <c r="BI641" s="766">
        <f>BI12</f>
        <v>1900</v>
      </c>
      <c r="BJ641" s="766">
        <f>BJ12</f>
        <v>2539</v>
      </c>
      <c r="BK641" s="245">
        <f>SUM(BG641:BJ641)</f>
        <v>8239</v>
      </c>
      <c r="BL641" s="766">
        <f>BL12</f>
        <v>1999</v>
      </c>
      <c r="BM641" s="766">
        <f>BM12</f>
        <v>2116</v>
      </c>
      <c r="BN641" s="766">
        <f>BN12</f>
        <v>2045</v>
      </c>
      <c r="BO641" s="766">
        <f>BO12</f>
        <v>2683</v>
      </c>
      <c r="BP641" s="245">
        <f>SUM(BL641:BO641)</f>
        <v>8843</v>
      </c>
      <c r="BQ641" s="766">
        <f>BQ12</f>
        <v>2035</v>
      </c>
      <c r="BR641" s="766">
        <f>BR12</f>
        <v>2170</v>
      </c>
      <c r="BS641" s="766">
        <f>BS12</f>
        <v>2210</v>
      </c>
      <c r="BT641" s="766">
        <f>BT12</f>
        <v>2990</v>
      </c>
      <c r="BU641" s="245">
        <f>SUM(BQ641:BT641)</f>
        <v>9405</v>
      </c>
      <c r="BV641" s="766">
        <f>BV12</f>
        <v>2548</v>
      </c>
      <c r="BW641" s="766">
        <f>BW12</f>
        <v>2610</v>
      </c>
      <c r="BX641" s="766">
        <f>BX12</f>
        <v>2562</v>
      </c>
      <c r="BY641" s="766">
        <f>BY12</f>
        <v>2571</v>
      </c>
      <c r="BZ641" s="245">
        <f>SUM(BV641:BY641)</f>
        <v>10291</v>
      </c>
      <c r="CA641" s="766">
        <f>CA12</f>
        <v>2670</v>
      </c>
      <c r="CB641" s="766">
        <f>CB12</f>
        <v>2763</v>
      </c>
      <c r="CC641" s="766">
        <f>CC12</f>
        <v>2768</v>
      </c>
      <c r="CD641" s="766">
        <f>CD12</f>
        <v>2854</v>
      </c>
      <c r="CE641" s="245">
        <f>SUM(CA641:CD641)</f>
        <v>11055</v>
      </c>
      <c r="CF641" s="766">
        <f>CF12</f>
        <v>2798</v>
      </c>
      <c r="CG641" s="766">
        <f>CG12</f>
        <v>2953</v>
      </c>
      <c r="CH641" s="766">
        <f>CH12</f>
        <v>2884</v>
      </c>
      <c r="CI641" s="766">
        <f>CI12</f>
        <v>2995</v>
      </c>
      <c r="CJ641" s="245">
        <f>SUM(CF641:CI641)</f>
        <v>11630</v>
      </c>
      <c r="CK641" s="766">
        <f>CK12</f>
        <v>3045</v>
      </c>
      <c r="CL641" s="766">
        <f>CL12</f>
        <v>3142</v>
      </c>
      <c r="CM641" s="766">
        <f>CM12</f>
        <v>3034</v>
      </c>
      <c r="CN641" s="766">
        <f>CN12</f>
        <v>4207</v>
      </c>
      <c r="CO641" s="245"/>
      <c r="CP641" s="766">
        <f>CP12</f>
        <v>4340</v>
      </c>
      <c r="CQ641" s="766">
        <f>CQ12</f>
        <v>4488</v>
      </c>
      <c r="CR641" s="766">
        <f>CR12</f>
        <v>4380</v>
      </c>
      <c r="CS641" s="766">
        <f>CS12</f>
        <v>4557</v>
      </c>
      <c r="CT641" s="245"/>
      <c r="CU641" s="766"/>
      <c r="CV641" s="766"/>
      <c r="CW641" s="2350"/>
      <c r="CX641" s="2350"/>
      <c r="CY641" s="245"/>
      <c r="CZ641" s="245"/>
      <c r="DA641" s="245"/>
      <c r="DB641"/>
      <c r="DC641"/>
      <c r="DD641" s="2288" t="s">
        <v>987</v>
      </c>
      <c r="DE641" s="2289">
        <f>M641</f>
        <v>5638</v>
      </c>
      <c r="DF641" s="2289">
        <f>R641</f>
        <v>5237</v>
      </c>
      <c r="DG641" s="2289">
        <f>W641</f>
        <v>5739</v>
      </c>
      <c r="DH641" s="2289">
        <f>AB641</f>
        <v>6192</v>
      </c>
      <c r="DI641" s="2289">
        <f>AG641</f>
        <v>6928</v>
      </c>
      <c r="DJ641" s="2289">
        <f>AL641</f>
        <v>7671</v>
      </c>
      <c r="DK641" s="2289">
        <f>AQ641</f>
        <v>8075</v>
      </c>
      <c r="DL641" s="2289">
        <f>AV641</f>
        <v>8575</v>
      </c>
      <c r="DM641" s="2289">
        <f>BA641</f>
        <v>8834</v>
      </c>
      <c r="DN641" s="2289">
        <f>BF641</f>
        <v>7682</v>
      </c>
      <c r="DO641" s="2289">
        <f>BK641</f>
        <v>8239</v>
      </c>
      <c r="DP641" s="2289">
        <f>BP641</f>
        <v>8843</v>
      </c>
      <c r="DQ641" s="2289">
        <f>BU641</f>
        <v>9405</v>
      </c>
      <c r="DR641" s="2289">
        <f>BZ641</f>
        <v>10291</v>
      </c>
      <c r="DS641" s="2289">
        <f>CE641</f>
        <v>11055</v>
      </c>
      <c r="DT641" s="2289">
        <f>CJ641</f>
        <v>11630</v>
      </c>
      <c r="DU641" s="2289">
        <f>CO641</f>
        <v>0</v>
      </c>
      <c r="DV641" s="2289">
        <f>CT641</f>
        <v>0</v>
      </c>
      <c r="DW641" s="2289">
        <f>CY641</f>
        <v>0</v>
      </c>
      <c r="DX641" s="2289">
        <f>CZ641</f>
        <v>0</v>
      </c>
      <c r="DY641" s="2289">
        <f>DA641</f>
        <v>0</v>
      </c>
      <c r="EA641"/>
      <c r="EB641"/>
      <c r="EC641"/>
      <c r="ED641"/>
      <c r="EE641"/>
      <c r="EF641"/>
      <c r="EJ641"/>
      <c r="EK641"/>
      <c r="EL641"/>
      <c r="ER641" s="212"/>
    </row>
    <row r="642" spans="1:148" ht="12.75" customHeight="1" x14ac:dyDescent="0.2">
      <c r="A642" s="2288" t="s">
        <v>2485</v>
      </c>
      <c r="B642" s="766"/>
      <c r="C642" s="766"/>
      <c r="D642" s="766"/>
      <c r="E642" s="766"/>
      <c r="F642" s="766"/>
      <c r="G642" s="766"/>
      <c r="H642" s="766"/>
      <c r="I642" s="766"/>
      <c r="J642" s="766"/>
      <c r="K642" s="766"/>
      <c r="L642" s="766"/>
      <c r="M642" s="3261"/>
      <c r="N642" s="2982">
        <v>195</v>
      </c>
      <c r="O642" s="2982">
        <v>197</v>
      </c>
      <c r="P642" s="2982">
        <v>182</v>
      </c>
      <c r="Q642" s="2982">
        <v>0</v>
      </c>
      <c r="R642" s="3261">
        <v>574</v>
      </c>
      <c r="S642" s="2982">
        <v>202</v>
      </c>
      <c r="T642" s="2982">
        <v>200</v>
      </c>
      <c r="U642" s="2982">
        <v>187</v>
      </c>
      <c r="V642" s="2982">
        <v>191</v>
      </c>
      <c r="W642" s="3261">
        <v>780</v>
      </c>
      <c r="X642" s="2982">
        <v>210</v>
      </c>
      <c r="Y642" s="2982">
        <v>220</v>
      </c>
      <c r="Z642" s="2982">
        <v>204</v>
      </c>
      <c r="AA642" s="2982">
        <v>217</v>
      </c>
      <c r="AB642" s="3261">
        <v>851</v>
      </c>
      <c r="AC642" s="2982">
        <v>240</v>
      </c>
      <c r="AD642" s="2982">
        <v>251</v>
      </c>
      <c r="AE642" s="2982">
        <v>245</v>
      </c>
      <c r="AF642" s="2982">
        <v>247</v>
      </c>
      <c r="AG642" s="3261">
        <v>983</v>
      </c>
      <c r="AH642" s="2982">
        <v>258</v>
      </c>
      <c r="AI642" s="2982">
        <v>268</v>
      </c>
      <c r="AJ642" s="2982">
        <v>266</v>
      </c>
      <c r="AK642" s="2982">
        <v>278</v>
      </c>
      <c r="AL642" s="3261">
        <v>1070</v>
      </c>
      <c r="AM642" s="2982">
        <v>293</v>
      </c>
      <c r="AN642" s="2982">
        <v>423</v>
      </c>
      <c r="AO642" s="2982">
        <v>430</v>
      </c>
      <c r="AP642" s="2982">
        <v>439</v>
      </c>
      <c r="AQ642" s="3261">
        <v>1585</v>
      </c>
      <c r="AR642" s="2982">
        <v>448</v>
      </c>
      <c r="AS642" s="2982">
        <v>468</v>
      </c>
      <c r="AT642" s="2982">
        <v>467</v>
      </c>
      <c r="AU642" s="2982">
        <v>477</v>
      </c>
      <c r="AV642" s="3261">
        <v>1860</v>
      </c>
      <c r="AW642" s="2982">
        <v>503</v>
      </c>
      <c r="AX642" s="2982">
        <v>541</v>
      </c>
      <c r="AY642" s="2982">
        <v>516</v>
      </c>
      <c r="AZ642" s="2982">
        <v>478</v>
      </c>
      <c r="BA642" s="3261">
        <v>2038</v>
      </c>
      <c r="BB642" s="2982">
        <v>432</v>
      </c>
      <c r="BC642" s="2982">
        <v>498</v>
      </c>
      <c r="BD642" s="2982">
        <v>515</v>
      </c>
      <c r="BE642" s="2982">
        <v>532</v>
      </c>
      <c r="BF642" s="3261">
        <v>1977</v>
      </c>
      <c r="BG642" s="2982">
        <v>520</v>
      </c>
      <c r="BH642" s="2982">
        <v>538</v>
      </c>
      <c r="BI642" s="2982">
        <v>523</v>
      </c>
      <c r="BJ642" s="2982">
        <v>536</v>
      </c>
      <c r="BK642" s="3261">
        <v>2117</v>
      </c>
      <c r="BL642" s="2982">
        <v>555</v>
      </c>
      <c r="BM642" s="2982">
        <v>601</v>
      </c>
      <c r="BN642" s="2982">
        <v>589</v>
      </c>
      <c r="BO642" s="2982">
        <v>594</v>
      </c>
      <c r="BP642" s="3261">
        <v>2339</v>
      </c>
      <c r="BQ642" s="2982">
        <v>598</v>
      </c>
      <c r="BR642" s="2982">
        <v>627</v>
      </c>
      <c r="BS642" s="2982">
        <v>603</v>
      </c>
      <c r="BT642" s="2982">
        <v>620</v>
      </c>
      <c r="BU642" s="3261">
        <v>2448</v>
      </c>
      <c r="BV642" s="2982">
        <v>634</v>
      </c>
      <c r="BW642" s="2982">
        <v>668</v>
      </c>
      <c r="BX642" s="2982">
        <v>663</v>
      </c>
      <c r="BY642" s="2982">
        <v>649</v>
      </c>
      <c r="BZ642" s="3261">
        <v>2614</v>
      </c>
      <c r="CA642" s="2982">
        <v>672</v>
      </c>
      <c r="CB642" s="2982">
        <v>694</v>
      </c>
      <c r="CC642" s="2982">
        <v>686</v>
      </c>
      <c r="CD642" s="2982">
        <v>659</v>
      </c>
      <c r="CE642" s="3261">
        <v>2711</v>
      </c>
      <c r="CF642" s="2982">
        <v>672</v>
      </c>
      <c r="CG642" s="2982">
        <v>699</v>
      </c>
      <c r="CH642" s="2982">
        <v>686</v>
      </c>
      <c r="CI642" s="2982">
        <v>679</v>
      </c>
      <c r="CJ642" s="3261">
        <v>2736</v>
      </c>
      <c r="CK642" s="2982">
        <v>698</v>
      </c>
      <c r="CL642" s="2982">
        <v>680</v>
      </c>
      <c r="CM642" s="3126">
        <v>713.44</v>
      </c>
      <c r="CN642" s="2350"/>
      <c r="CO642" s="3096"/>
      <c r="CP642" s="2350"/>
      <c r="CQ642" s="2350"/>
      <c r="CR642" s="2350"/>
      <c r="CS642" s="2350"/>
      <c r="CT642" s="245"/>
      <c r="CU642" s="2350"/>
      <c r="CV642" s="2350"/>
      <c r="CW642" s="2350"/>
      <c r="CX642" s="2350"/>
      <c r="CY642" s="245"/>
      <c r="CZ642" s="245"/>
      <c r="DA642" s="245"/>
      <c r="DB642" s="537"/>
      <c r="DC642" s="537"/>
      <c r="DD642" s="2288"/>
      <c r="DE642" s="2289"/>
      <c r="DF642" s="2289"/>
      <c r="DG642" s="2289"/>
      <c r="DH642" s="2289"/>
      <c r="DI642" s="2289"/>
      <c r="DJ642" s="2289"/>
      <c r="DK642" s="2289"/>
      <c r="DL642" s="2289"/>
      <c r="DM642" s="2289"/>
      <c r="DN642" s="2289"/>
      <c r="DO642" s="2289"/>
      <c r="DP642" s="2289"/>
      <c r="DQ642" s="2289"/>
      <c r="DR642" s="2289"/>
      <c r="DS642" s="2289"/>
      <c r="DT642" s="2289"/>
      <c r="DU642" s="2289"/>
      <c r="DV642" s="2289"/>
      <c r="DW642" s="2289"/>
      <c r="DX642" s="2289"/>
      <c r="DY642" s="2289"/>
      <c r="DZ642" s="855"/>
      <c r="EK642"/>
      <c r="EL642"/>
    </row>
    <row r="643" spans="1:148" ht="3.95" customHeight="1" x14ac:dyDescent="0.2">
      <c r="A643" s="2288"/>
      <c r="B643" s="766"/>
      <c r="C643" s="766"/>
      <c r="D643" s="766"/>
      <c r="E643" s="766"/>
      <c r="F643" s="766"/>
      <c r="G643" s="766"/>
      <c r="H643" s="766"/>
      <c r="I643" s="2350" t="s">
        <v>2403</v>
      </c>
      <c r="J643" s="2350" t="s">
        <v>2403</v>
      </c>
      <c r="K643" s="2350" t="s">
        <v>2403</v>
      </c>
      <c r="L643" s="2350" t="s">
        <v>2403</v>
      </c>
      <c r="M643" s="2289" t="s">
        <v>2403</v>
      </c>
      <c r="N643" s="2350" t="s">
        <v>2403</v>
      </c>
      <c r="O643" s="2350" t="s">
        <v>2403</v>
      </c>
      <c r="P643" s="2350" t="s">
        <v>2403</v>
      </c>
      <c r="Q643" s="2350" t="s">
        <v>2403</v>
      </c>
      <c r="R643" s="2289" t="s">
        <v>2403</v>
      </c>
      <c r="S643" s="2350" t="s">
        <v>2403</v>
      </c>
      <c r="T643" s="2350" t="s">
        <v>2403</v>
      </c>
      <c r="U643" s="2350" t="s">
        <v>2403</v>
      </c>
      <c r="V643" s="2350" t="s">
        <v>2403</v>
      </c>
      <c r="W643" s="2289" t="s">
        <v>2403</v>
      </c>
      <c r="X643" s="2350" t="s">
        <v>2403</v>
      </c>
      <c r="Y643" s="2350" t="s">
        <v>2403</v>
      </c>
      <c r="Z643" s="2350" t="s">
        <v>2403</v>
      </c>
      <c r="AA643" s="2350" t="s">
        <v>2403</v>
      </c>
      <c r="AB643" s="2289" t="s">
        <v>2403</v>
      </c>
      <c r="AC643" s="2350" t="s">
        <v>2403</v>
      </c>
      <c r="AD643" s="2350" t="s">
        <v>2403</v>
      </c>
      <c r="AE643" s="2350" t="s">
        <v>2403</v>
      </c>
      <c r="AF643" s="2350" t="s">
        <v>2403</v>
      </c>
      <c r="AG643" s="2289" t="s">
        <v>2403</v>
      </c>
      <c r="AH643" s="2350" t="s">
        <v>2403</v>
      </c>
      <c r="AI643" s="2350" t="s">
        <v>2403</v>
      </c>
      <c r="AJ643" s="2350" t="s">
        <v>2403</v>
      </c>
      <c r="AK643" s="2350" t="s">
        <v>2403</v>
      </c>
      <c r="AL643" s="2289" t="s">
        <v>2403</v>
      </c>
      <c r="AM643" s="2350" t="s">
        <v>2403</v>
      </c>
      <c r="AN643" s="2350" t="s">
        <v>2403</v>
      </c>
      <c r="AO643" s="2350" t="s">
        <v>2403</v>
      </c>
      <c r="AP643" s="2350" t="s">
        <v>2403</v>
      </c>
      <c r="AQ643" s="2289" t="s">
        <v>2403</v>
      </c>
      <c r="AR643" s="2350" t="s">
        <v>2403</v>
      </c>
      <c r="AS643" s="2350" t="s">
        <v>2403</v>
      </c>
      <c r="AT643" s="2350" t="s">
        <v>2403</v>
      </c>
      <c r="AU643" s="2350" t="s">
        <v>2403</v>
      </c>
      <c r="AV643" s="2289" t="s">
        <v>2403</v>
      </c>
      <c r="AW643" s="2350" t="s">
        <v>2403</v>
      </c>
      <c r="AX643" s="2350" t="s">
        <v>2403</v>
      </c>
      <c r="AY643" s="2350" t="s">
        <v>2403</v>
      </c>
      <c r="AZ643" s="2350" t="s">
        <v>2403</v>
      </c>
      <c r="BA643" s="2289" t="s">
        <v>2403</v>
      </c>
      <c r="BB643" s="2350" t="s">
        <v>2403</v>
      </c>
      <c r="BC643" s="2350" t="s">
        <v>2403</v>
      </c>
      <c r="BD643" s="2350" t="s">
        <v>2403</v>
      </c>
      <c r="BE643" s="2350" t="s">
        <v>2403</v>
      </c>
      <c r="BF643" s="2289" t="s">
        <v>2403</v>
      </c>
      <c r="BG643" s="2350" t="s">
        <v>2403</v>
      </c>
      <c r="BH643" s="2350" t="s">
        <v>2403</v>
      </c>
      <c r="BI643" s="2350" t="s">
        <v>2403</v>
      </c>
      <c r="BJ643" s="2350" t="s">
        <v>2403</v>
      </c>
      <c r="BK643" s="2289" t="s">
        <v>2403</v>
      </c>
      <c r="BL643" s="2350" t="s">
        <v>2403</v>
      </c>
      <c r="BM643" s="2350" t="s">
        <v>2403</v>
      </c>
      <c r="BN643" s="2350" t="s">
        <v>2403</v>
      </c>
      <c r="BO643" s="2350" t="s">
        <v>2403</v>
      </c>
      <c r="BP643" s="2289" t="s">
        <v>2403</v>
      </c>
      <c r="BQ643" s="2350" t="s">
        <v>2403</v>
      </c>
      <c r="BR643" s="2350" t="s">
        <v>2403</v>
      </c>
      <c r="BS643" s="2350" t="s">
        <v>2403</v>
      </c>
      <c r="BT643" s="2350" t="s">
        <v>2403</v>
      </c>
      <c r="BU643" s="2289" t="s">
        <v>2403</v>
      </c>
      <c r="BV643" s="2350" t="s">
        <v>2403</v>
      </c>
      <c r="BW643" s="2350" t="s">
        <v>2403</v>
      </c>
      <c r="BX643" s="2350" t="s">
        <v>2403</v>
      </c>
      <c r="BY643" s="2350" t="s">
        <v>2403</v>
      </c>
      <c r="BZ643" s="2289" t="s">
        <v>2403</v>
      </c>
      <c r="CA643" s="2350" t="s">
        <v>2403</v>
      </c>
      <c r="CB643" s="2350" t="s">
        <v>2403</v>
      </c>
      <c r="CC643" s="2350" t="s">
        <v>2403</v>
      </c>
      <c r="CD643" s="2350" t="s">
        <v>2403</v>
      </c>
      <c r="CE643" s="2289" t="s">
        <v>2403</v>
      </c>
      <c r="CF643" s="2350" t="s">
        <v>2403</v>
      </c>
      <c r="CG643" s="2350" t="s">
        <v>2403</v>
      </c>
      <c r="CH643" s="2350" t="s">
        <v>2403</v>
      </c>
      <c r="CI643" s="2350" t="s">
        <v>2403</v>
      </c>
      <c r="CJ643" s="2289" t="s">
        <v>2403</v>
      </c>
      <c r="CK643" s="2350" t="s">
        <v>2403</v>
      </c>
      <c r="CL643" s="2350" t="s">
        <v>2403</v>
      </c>
      <c r="CM643" s="2350" t="s">
        <v>2403</v>
      </c>
      <c r="CN643" s="2350"/>
      <c r="CO643" s="2289"/>
      <c r="CP643" s="2350"/>
      <c r="CQ643" s="2350"/>
      <c r="CR643" s="2350"/>
      <c r="CS643" s="2350"/>
      <c r="CT643" s="2289"/>
      <c r="CU643" s="2350"/>
      <c r="CV643" s="2350"/>
      <c r="CW643" s="2350"/>
      <c r="CX643" s="2350"/>
      <c r="CY643"/>
      <c r="CZ643" s="2289"/>
      <c r="DA643" s="2289"/>
      <c r="DB643" s="537"/>
      <c r="DC643" s="537"/>
      <c r="DD643" s="2288"/>
      <c r="DE643" s="2289"/>
      <c r="DF643" s="2289"/>
      <c r="DG643" s="2289"/>
      <c r="DH643" s="2289"/>
      <c r="DI643" s="2289"/>
      <c r="DJ643" s="2289"/>
      <c r="DK643" s="2289"/>
      <c r="DL643" s="2289"/>
      <c r="DM643" s="2289"/>
      <c r="DN643" s="2289"/>
      <c r="DO643" s="2289"/>
      <c r="DP643" s="2289"/>
      <c r="DQ643" s="2289"/>
      <c r="DR643" s="2289"/>
      <c r="DS643" s="2289"/>
      <c r="DT643" s="2289"/>
      <c r="DU643" s="2289"/>
      <c r="DV643" s="2289"/>
      <c r="DW643" s="2289"/>
      <c r="DX643" s="2289"/>
      <c r="DY643" s="2289"/>
      <c r="DZ643" s="855"/>
      <c r="EK643"/>
      <c r="EL643"/>
    </row>
    <row r="644" spans="1:148" ht="12.75" customHeight="1" x14ac:dyDescent="0.2">
      <c r="A644" s="2288" t="s">
        <v>2486</v>
      </c>
      <c r="B644" s="766"/>
      <c r="C644" s="766"/>
      <c r="D644" s="766"/>
      <c r="E644" s="766"/>
      <c r="F644" s="766"/>
      <c r="G644" s="766"/>
      <c r="H644" s="766"/>
      <c r="I644" s="2350">
        <f t="shared" ref="I644:AN644" si="1148">SUM(I641:I642)</f>
        <v>1254</v>
      </c>
      <c r="J644" s="2350">
        <f t="shared" si="1148"/>
        <v>1301</v>
      </c>
      <c r="K644" s="2350">
        <f t="shared" si="1148"/>
        <v>1259</v>
      </c>
      <c r="L644" s="2350">
        <f t="shared" si="1148"/>
        <v>1824</v>
      </c>
      <c r="M644" s="245">
        <f t="shared" si="1148"/>
        <v>5638</v>
      </c>
      <c r="N644" s="2350">
        <f t="shared" si="1148"/>
        <v>1604</v>
      </c>
      <c r="O644" s="2350">
        <f t="shared" si="1148"/>
        <v>1498</v>
      </c>
      <c r="P644" s="2350">
        <f t="shared" si="1148"/>
        <v>1452</v>
      </c>
      <c r="Q644" s="2350">
        <f t="shared" si="1148"/>
        <v>1595</v>
      </c>
      <c r="R644" s="245">
        <f t="shared" si="1148"/>
        <v>5811</v>
      </c>
      <c r="S644" s="2350">
        <f t="shared" si="1148"/>
        <v>1464</v>
      </c>
      <c r="T644" s="2350">
        <f t="shared" si="1148"/>
        <v>1543</v>
      </c>
      <c r="U644" s="2350">
        <f t="shared" si="1148"/>
        <v>1469</v>
      </c>
      <c r="V644" s="2350">
        <f t="shared" si="1148"/>
        <v>2043</v>
      </c>
      <c r="W644" s="245">
        <f t="shared" si="1148"/>
        <v>6519</v>
      </c>
      <c r="X644" s="2350">
        <f t="shared" si="1148"/>
        <v>1618</v>
      </c>
      <c r="Y644" s="2350">
        <f t="shared" si="1148"/>
        <v>1622</v>
      </c>
      <c r="Z644" s="2350">
        <f t="shared" si="1148"/>
        <v>1627</v>
      </c>
      <c r="AA644" s="2350">
        <f t="shared" si="1148"/>
        <v>2176</v>
      </c>
      <c r="AB644" s="245">
        <f t="shared" si="1148"/>
        <v>7043</v>
      </c>
      <c r="AC644" s="2350">
        <f t="shared" si="1148"/>
        <v>1825</v>
      </c>
      <c r="AD644" s="2350">
        <f t="shared" si="1148"/>
        <v>1865</v>
      </c>
      <c r="AE644" s="2350">
        <f t="shared" si="1148"/>
        <v>1818</v>
      </c>
      <c r="AF644" s="2350">
        <f t="shared" si="1148"/>
        <v>2403</v>
      </c>
      <c r="AG644" s="245">
        <f t="shared" si="1148"/>
        <v>7911</v>
      </c>
      <c r="AH644" s="2350">
        <f t="shared" si="1148"/>
        <v>1940</v>
      </c>
      <c r="AI644" s="2350">
        <f t="shared" si="1148"/>
        <v>2063</v>
      </c>
      <c r="AJ644" s="2350">
        <f t="shared" si="1148"/>
        <v>2037</v>
      </c>
      <c r="AK644" s="2350">
        <f t="shared" si="1148"/>
        <v>2701</v>
      </c>
      <c r="AL644" s="245">
        <f t="shared" si="1148"/>
        <v>8741</v>
      </c>
      <c r="AM644" s="2350">
        <f t="shared" si="1148"/>
        <v>2113</v>
      </c>
      <c r="AN644" s="2350">
        <f t="shared" si="1148"/>
        <v>2328</v>
      </c>
      <c r="AO644" s="2350">
        <f t="shared" ref="AO644:BT644" si="1149">SUM(AO641:AO642)</f>
        <v>2252</v>
      </c>
      <c r="AP644" s="2350">
        <f t="shared" si="1149"/>
        <v>2967</v>
      </c>
      <c r="AQ644" s="245">
        <f t="shared" si="1149"/>
        <v>9660</v>
      </c>
      <c r="AR644" s="2350">
        <f t="shared" si="1149"/>
        <v>2369</v>
      </c>
      <c r="AS644" s="2350">
        <f t="shared" si="1149"/>
        <v>2460</v>
      </c>
      <c r="AT644" s="2350">
        <f t="shared" si="1149"/>
        <v>2457</v>
      </c>
      <c r="AU644" s="2350">
        <f t="shared" si="1149"/>
        <v>3149</v>
      </c>
      <c r="AV644" s="245">
        <f t="shared" si="1149"/>
        <v>10435</v>
      </c>
      <c r="AW644" s="2350">
        <f t="shared" si="1149"/>
        <v>2536</v>
      </c>
      <c r="AX644" s="2350">
        <f t="shared" si="1149"/>
        <v>2645</v>
      </c>
      <c r="AY644" s="2350">
        <f t="shared" si="1149"/>
        <v>2532</v>
      </c>
      <c r="AZ644" s="2350">
        <f t="shared" si="1149"/>
        <v>3159</v>
      </c>
      <c r="BA644" s="245">
        <f t="shared" si="1149"/>
        <v>10872</v>
      </c>
      <c r="BB644" s="2350">
        <f t="shared" si="1149"/>
        <v>2242</v>
      </c>
      <c r="BC644" s="2350">
        <f t="shared" si="1149"/>
        <v>2285</v>
      </c>
      <c r="BD644" s="2350">
        <f t="shared" si="1149"/>
        <v>2273</v>
      </c>
      <c r="BE644" s="2350">
        <f t="shared" si="1149"/>
        <v>2859</v>
      </c>
      <c r="BF644" s="245">
        <f t="shared" si="1149"/>
        <v>9659</v>
      </c>
      <c r="BG644" s="2350">
        <f t="shared" si="1149"/>
        <v>2380</v>
      </c>
      <c r="BH644" s="2350">
        <f t="shared" si="1149"/>
        <v>2478</v>
      </c>
      <c r="BI644" s="2350">
        <f t="shared" si="1149"/>
        <v>2423</v>
      </c>
      <c r="BJ644" s="2350">
        <f t="shared" si="1149"/>
        <v>3075</v>
      </c>
      <c r="BK644" s="245">
        <f t="shared" si="1149"/>
        <v>10356</v>
      </c>
      <c r="BL644" s="2350">
        <f t="shared" si="1149"/>
        <v>2554</v>
      </c>
      <c r="BM644" s="2350">
        <f t="shared" si="1149"/>
        <v>2717</v>
      </c>
      <c r="BN644" s="2350">
        <f t="shared" si="1149"/>
        <v>2634</v>
      </c>
      <c r="BO644" s="2350">
        <f t="shared" si="1149"/>
        <v>3277</v>
      </c>
      <c r="BP644" s="245">
        <f t="shared" si="1149"/>
        <v>11182</v>
      </c>
      <c r="BQ644" s="2350">
        <f t="shared" si="1149"/>
        <v>2633</v>
      </c>
      <c r="BR644" s="2350">
        <f t="shared" si="1149"/>
        <v>2797</v>
      </c>
      <c r="BS644" s="2350">
        <f t="shared" si="1149"/>
        <v>2813</v>
      </c>
      <c r="BT644" s="2350">
        <f t="shared" si="1149"/>
        <v>3610</v>
      </c>
      <c r="BU644" s="245">
        <f t="shared" ref="BU644:CI644" si="1150">SUM(BU641:BU642)</f>
        <v>11853</v>
      </c>
      <c r="BV644" s="2350">
        <f t="shared" si="1150"/>
        <v>3182</v>
      </c>
      <c r="BW644" s="2350">
        <f t="shared" si="1150"/>
        <v>3278</v>
      </c>
      <c r="BX644" s="2350">
        <f t="shared" si="1150"/>
        <v>3225</v>
      </c>
      <c r="BY644" s="2350">
        <f t="shared" si="1150"/>
        <v>3220</v>
      </c>
      <c r="BZ644" s="245">
        <f t="shared" si="1150"/>
        <v>12905</v>
      </c>
      <c r="CA644" s="2350">
        <f t="shared" si="1150"/>
        <v>3342</v>
      </c>
      <c r="CB644" s="2350">
        <f t="shared" si="1150"/>
        <v>3457</v>
      </c>
      <c r="CC644" s="2350">
        <f t="shared" si="1150"/>
        <v>3454</v>
      </c>
      <c r="CD644" s="2350">
        <f t="shared" si="1150"/>
        <v>3513</v>
      </c>
      <c r="CE644" s="245">
        <f t="shared" si="1150"/>
        <v>13766</v>
      </c>
      <c r="CF644" s="2350">
        <f t="shared" si="1150"/>
        <v>3470</v>
      </c>
      <c r="CG644" s="2350">
        <f t="shared" si="1150"/>
        <v>3652</v>
      </c>
      <c r="CH644" s="2350">
        <f t="shared" si="1150"/>
        <v>3570</v>
      </c>
      <c r="CI644" s="2350">
        <f t="shared" si="1150"/>
        <v>3674</v>
      </c>
      <c r="CJ644" s="245">
        <f>SUM(CF644:CI644)</f>
        <v>14366</v>
      </c>
      <c r="CK644" s="3499">
        <f>SUM(CK641:CK642)</f>
        <v>3743</v>
      </c>
      <c r="CL644" s="3499">
        <f>SUM(CL641:CL642)</f>
        <v>3822</v>
      </c>
      <c r="CM644" s="3499">
        <f>SUM(CM641:CM642)</f>
        <v>3747.44</v>
      </c>
      <c r="CN644" s="3499">
        <f>SUM(CN641:CN642)</f>
        <v>4207</v>
      </c>
      <c r="CO644" s="245">
        <f>SUM(CK644:CN644)</f>
        <v>15519.44</v>
      </c>
      <c r="CP644" s="3499">
        <f>SUM(CP641:CP642)</f>
        <v>4340</v>
      </c>
      <c r="CQ644" s="3499">
        <f>SUM(CQ641:CQ642)</f>
        <v>4488</v>
      </c>
      <c r="CR644" s="3499">
        <f>SUM(CR641:CR642)</f>
        <v>4380</v>
      </c>
      <c r="CS644" s="3499">
        <f>SUM(CS641:CS642)</f>
        <v>4557</v>
      </c>
      <c r="CT644" s="245">
        <f>SUM(CP644:CS644)</f>
        <v>17765</v>
      </c>
      <c r="CU644" s="2350">
        <f ca="1">+CP644*(1+CU645)</f>
        <v>4701.3038455216374</v>
      </c>
      <c r="CV644" s="2350">
        <f ca="1">+CQ644*(1+CV645)</f>
        <v>4915.1075703078714</v>
      </c>
      <c r="CW644" s="2350">
        <f ca="1">+CR644*(1+CW645)</f>
        <v>4779.8794054450173</v>
      </c>
      <c r="CX644" s="2350">
        <f ca="1">+CS644*(1+CX645)</f>
        <v>4925.6968866450661</v>
      </c>
      <c r="CY644" s="245">
        <f ca="1">SUM(CU644:CX644)</f>
        <v>19321.987707919594</v>
      </c>
      <c r="CZ644" s="245">
        <f ca="1">+CY644*(1+CZ645)</f>
        <v>20998.269179194776</v>
      </c>
      <c r="DA644" s="245">
        <f ca="1">+CZ644*(1+DA645)</f>
        <v>21004.030592079482</v>
      </c>
      <c r="DB644" s="537"/>
      <c r="DC644" s="537"/>
      <c r="DD644" s="2288"/>
      <c r="DE644" s="2289"/>
      <c r="DF644" s="2289"/>
      <c r="DG644" s="2289"/>
      <c r="DH644" s="2289"/>
      <c r="DI644" s="2289"/>
      <c r="DJ644" s="2289"/>
      <c r="DK644" s="2289"/>
      <c r="DL644" s="2289"/>
      <c r="DM644" s="2289"/>
      <c r="DN644" s="2289"/>
      <c r="DO644" s="2289"/>
      <c r="DP644" s="2289"/>
      <c r="DQ644" s="2289"/>
      <c r="DR644" s="2289"/>
      <c r="DS644" s="2289"/>
      <c r="DT644" s="2289"/>
      <c r="DU644" s="2289"/>
      <c r="DV644" s="2289"/>
      <c r="DW644" s="2289"/>
      <c r="DX644" s="2289"/>
      <c r="DY644" s="2289"/>
      <c r="DZ644" s="855"/>
      <c r="EK644"/>
      <c r="EL644"/>
      <c r="EM644" s="1703"/>
    </row>
    <row r="645" spans="1:148" s="923" customFormat="1" ht="12.75" customHeight="1" x14ac:dyDescent="0.2">
      <c r="A645" s="1675" t="s">
        <v>1016</v>
      </c>
      <c r="B645" s="899"/>
      <c r="C645" s="899"/>
      <c r="D645" s="899"/>
      <c r="E645" s="899"/>
      <c r="F645" s="899"/>
      <c r="G645" s="899"/>
      <c r="H645" s="899"/>
      <c r="I645" s="899"/>
      <c r="J645" s="899"/>
      <c r="K645" s="899"/>
      <c r="L645" s="899"/>
      <c r="M645" s="1003"/>
      <c r="N645" s="3262">
        <f>N644/I644-1</f>
        <v>0.27910685805422641</v>
      </c>
      <c r="O645" s="3262">
        <f t="shared" ref="O645:BZ645" si="1151">O644/J644-1</f>
        <v>0.15142198308993082</v>
      </c>
      <c r="P645" s="3262">
        <f t="shared" si="1151"/>
        <v>0.15329626687847497</v>
      </c>
      <c r="Q645" s="3262">
        <f t="shared" si="1151"/>
        <v>-0.1255482456140351</v>
      </c>
      <c r="R645" s="3263">
        <f t="shared" si="1151"/>
        <v>3.0684639943242331E-2</v>
      </c>
      <c r="S645" s="3262">
        <f t="shared" si="1151"/>
        <v>-8.7281795511221949E-2</v>
      </c>
      <c r="T645" s="3262">
        <f t="shared" si="1151"/>
        <v>3.0040053404539302E-2</v>
      </c>
      <c r="U645" s="3262">
        <f t="shared" si="1151"/>
        <v>1.1707988980716344E-2</v>
      </c>
      <c r="V645" s="3262">
        <f t="shared" si="1151"/>
        <v>0.28087774294670842</v>
      </c>
      <c r="W645" s="3263">
        <f t="shared" si="1151"/>
        <v>0.12183789364997422</v>
      </c>
      <c r="X645" s="3262">
        <f t="shared" si="1151"/>
        <v>0.10519125683060104</v>
      </c>
      <c r="Y645" s="3262">
        <f t="shared" si="1151"/>
        <v>5.1198963058975977E-2</v>
      </c>
      <c r="Z645" s="3262">
        <f t="shared" si="1151"/>
        <v>0.10755616065350582</v>
      </c>
      <c r="AA645" s="3262">
        <f t="shared" si="1151"/>
        <v>6.5100342633382269E-2</v>
      </c>
      <c r="AB645" s="3263">
        <f t="shared" si="1151"/>
        <v>8.0380426445773923E-2</v>
      </c>
      <c r="AC645" s="3262">
        <f t="shared" si="1151"/>
        <v>0.12793572311495671</v>
      </c>
      <c r="AD645" s="3262">
        <f t="shared" si="1151"/>
        <v>0.14981504315659677</v>
      </c>
      <c r="AE645" s="3262">
        <f t="shared" si="1151"/>
        <v>0.11739397664413032</v>
      </c>
      <c r="AF645" s="3262">
        <f t="shared" si="1151"/>
        <v>0.10431985294117641</v>
      </c>
      <c r="AG645" s="3263">
        <f t="shared" si="1151"/>
        <v>0.12324293624875771</v>
      </c>
      <c r="AH645" s="3262">
        <f t="shared" si="1151"/>
        <v>6.3013698630137061E-2</v>
      </c>
      <c r="AI645" s="3262">
        <f t="shared" si="1151"/>
        <v>0.10616621983914198</v>
      </c>
      <c r="AJ645" s="3262">
        <f t="shared" si="1151"/>
        <v>0.12046204620462042</v>
      </c>
      <c r="AK645" s="3262">
        <f t="shared" si="1151"/>
        <v>0.12401165210153975</v>
      </c>
      <c r="AL645" s="3263">
        <f t="shared" si="1151"/>
        <v>0.10491720389331305</v>
      </c>
      <c r="AM645" s="3262">
        <f t="shared" si="1151"/>
        <v>8.9175257731958668E-2</v>
      </c>
      <c r="AN645" s="3262">
        <f t="shared" si="1151"/>
        <v>0.12845370819195345</v>
      </c>
      <c r="AO645" s="3262">
        <f t="shared" si="1151"/>
        <v>0.10554737358861077</v>
      </c>
      <c r="AP645" s="3262">
        <f t="shared" si="1151"/>
        <v>9.8482043687523113E-2</v>
      </c>
      <c r="AQ645" s="3263">
        <f t="shared" si="1151"/>
        <v>0.10513671204667663</v>
      </c>
      <c r="AR645" s="3262">
        <f t="shared" si="1151"/>
        <v>0.12115475627070516</v>
      </c>
      <c r="AS645" s="3262">
        <f t="shared" si="1151"/>
        <v>5.6701030927835072E-2</v>
      </c>
      <c r="AT645" s="3262">
        <f t="shared" si="1151"/>
        <v>9.1030195381882839E-2</v>
      </c>
      <c r="AU645" s="3262">
        <f t="shared" si="1151"/>
        <v>6.1341422312099825E-2</v>
      </c>
      <c r="AV645" s="3263">
        <f t="shared" si="1151"/>
        <v>8.0227743271221508E-2</v>
      </c>
      <c r="AW645" s="3262">
        <f t="shared" si="1151"/>
        <v>7.049387927395534E-2</v>
      </c>
      <c r="AX645" s="3262">
        <f t="shared" si="1151"/>
        <v>7.5203252032520318E-2</v>
      </c>
      <c r="AY645" s="3262">
        <f t="shared" si="1151"/>
        <v>3.0525030525030417E-2</v>
      </c>
      <c r="AZ645" s="3262">
        <f t="shared" si="1151"/>
        <v>3.1756113051761847E-3</v>
      </c>
      <c r="BA645" s="3263">
        <f t="shared" si="1151"/>
        <v>4.1878294202204014E-2</v>
      </c>
      <c r="BB645" s="3262">
        <f t="shared" si="1151"/>
        <v>-0.11593059936908512</v>
      </c>
      <c r="BC645" s="3262">
        <f t="shared" si="1151"/>
        <v>-0.13610586011342152</v>
      </c>
      <c r="BD645" s="3262">
        <f t="shared" si="1151"/>
        <v>-0.10229067930489733</v>
      </c>
      <c r="BE645" s="3262">
        <f t="shared" si="1151"/>
        <v>-9.496676163342832E-2</v>
      </c>
      <c r="BF645" s="3263">
        <f t="shared" si="1151"/>
        <v>-0.11157100809418685</v>
      </c>
      <c r="BG645" s="3262">
        <f t="shared" si="1151"/>
        <v>6.1552185548617411E-2</v>
      </c>
      <c r="BH645" s="3262">
        <f t="shared" si="1151"/>
        <v>8.4463894967177211E-2</v>
      </c>
      <c r="BI645" s="3262">
        <f t="shared" si="1151"/>
        <v>6.5992080950285859E-2</v>
      </c>
      <c r="BJ645" s="3262">
        <f t="shared" si="1151"/>
        <v>7.5550891920251884E-2</v>
      </c>
      <c r="BK645" s="3263">
        <f t="shared" si="1151"/>
        <v>7.2160679159333219E-2</v>
      </c>
      <c r="BL645" s="3262">
        <f t="shared" si="1151"/>
        <v>7.3109243697478954E-2</v>
      </c>
      <c r="BM645" s="3262">
        <f t="shared" si="1151"/>
        <v>9.644874899112188E-2</v>
      </c>
      <c r="BN645" s="3262">
        <f t="shared" si="1151"/>
        <v>8.7082129591415702E-2</v>
      </c>
      <c r="BO645" s="3262">
        <f t="shared" si="1151"/>
        <v>6.569105691056909E-2</v>
      </c>
      <c r="BP645" s="3263">
        <f t="shared" si="1151"/>
        <v>7.976052529934341E-2</v>
      </c>
      <c r="BQ645" s="3262">
        <f t="shared" si="1151"/>
        <v>3.0931871574001457E-2</v>
      </c>
      <c r="BR645" s="3262">
        <f t="shared" si="1151"/>
        <v>2.9444239970555675E-2</v>
      </c>
      <c r="BS645" s="3262">
        <f t="shared" si="1151"/>
        <v>6.7957479119210351E-2</v>
      </c>
      <c r="BT645" s="3262">
        <f t="shared" si="1151"/>
        <v>0.10161733292645714</v>
      </c>
      <c r="BU645" s="3263">
        <f t="shared" si="1151"/>
        <v>6.0007154355213643E-2</v>
      </c>
      <c r="BV645" s="3262">
        <f t="shared" si="1151"/>
        <v>0.20850740600075968</v>
      </c>
      <c r="BW645" s="3262">
        <f t="shared" si="1151"/>
        <v>0.17196996782266716</v>
      </c>
      <c r="BX645" s="3262">
        <f t="shared" si="1151"/>
        <v>0.14646285104870249</v>
      </c>
      <c r="BY645" s="3262">
        <f t="shared" si="1151"/>
        <v>-0.10803324099722988</v>
      </c>
      <c r="BZ645" s="3263">
        <f t="shared" si="1151"/>
        <v>8.8753901965747062E-2</v>
      </c>
      <c r="CA645" s="3262">
        <f t="shared" ref="CA645:CS645" si="1152">CA644/BV644-1</f>
        <v>5.0282840980515386E-2</v>
      </c>
      <c r="CB645" s="3262">
        <f t="shared" si="1152"/>
        <v>5.4606467358145228E-2</v>
      </c>
      <c r="CC645" s="3262">
        <f t="shared" si="1152"/>
        <v>7.1007751937984587E-2</v>
      </c>
      <c r="CD645" s="3262">
        <f t="shared" si="1152"/>
        <v>9.0993788819875743E-2</v>
      </c>
      <c r="CE645" s="3263">
        <f t="shared" si="1152"/>
        <v>6.6718326230143399E-2</v>
      </c>
      <c r="CF645" s="3262">
        <f t="shared" si="1152"/>
        <v>3.8300418910831802E-2</v>
      </c>
      <c r="CG645" s="3262">
        <f t="shared" si="1152"/>
        <v>5.6407289557419693E-2</v>
      </c>
      <c r="CH645" s="3262">
        <f t="shared" si="1152"/>
        <v>3.3584250144759631E-2</v>
      </c>
      <c r="CI645" s="3262">
        <f t="shared" si="1152"/>
        <v>4.5829775120979299E-2</v>
      </c>
      <c r="CJ645" s="3263">
        <f t="shared" si="1152"/>
        <v>4.3585645793985162E-2</v>
      </c>
      <c r="CK645" s="3262">
        <f t="shared" si="1152"/>
        <v>7.8674351585014346E-2</v>
      </c>
      <c r="CL645" s="3262">
        <f t="shared" si="1152"/>
        <v>4.6549835706462206E-2</v>
      </c>
      <c r="CM645" s="3262">
        <f t="shared" si="1152"/>
        <v>4.9703081232493007E-2</v>
      </c>
      <c r="CN645" s="3262">
        <f t="shared" si="1152"/>
        <v>0.14507348938486664</v>
      </c>
      <c r="CO645" s="1003">
        <f t="shared" si="1152"/>
        <v>8.0289572601977E-2</v>
      </c>
      <c r="CP645" s="3262">
        <f t="shared" si="1152"/>
        <v>0.15949772909430937</v>
      </c>
      <c r="CQ645" s="3262">
        <f t="shared" si="1152"/>
        <v>0.17425431711145989</v>
      </c>
      <c r="CR645" s="3262">
        <f t="shared" si="1152"/>
        <v>0.16879789936596712</v>
      </c>
      <c r="CS645" s="3262">
        <f t="shared" si="1152"/>
        <v>8.3194675540765317E-2</v>
      </c>
      <c r="CT645" s="1003">
        <f>CT644/CO644-1</f>
        <v>0.14469336522451837</v>
      </c>
      <c r="CU645" s="899">
        <f t="shared" ref="CU645:DA645" ca="1" si="1153">+CU251</f>
        <v>8.3249733991160646E-2</v>
      </c>
      <c r="CV645" s="899">
        <f t="shared" ca="1" si="1153"/>
        <v>9.5166570924213767E-2</v>
      </c>
      <c r="CW645" s="899">
        <f t="shared" ca="1" si="1153"/>
        <v>9.1296667909821272E-2</v>
      </c>
      <c r="CX645" s="899">
        <f t="shared" ca="1" si="1153"/>
        <v>8.0907809226479221E-2</v>
      </c>
      <c r="CY645" s="1003">
        <f ca="1">CY644/CT644-1</f>
        <v>8.764355237374577E-2</v>
      </c>
      <c r="CZ645" s="1003">
        <f t="shared" ca="1" si="1153"/>
        <v>8.675512564310961E-2</v>
      </c>
      <c r="DA645" s="1003">
        <f t="shared" ca="1" si="1153"/>
        <v>2.7437560855791965E-4</v>
      </c>
      <c r="DB645"/>
      <c r="DC645"/>
      <c r="DD645" s="1675" t="s">
        <v>1016</v>
      </c>
      <c r="DE645" s="1003">
        <f>M645</f>
        <v>0</v>
      </c>
      <c r="DF645" s="1003">
        <f>R645</f>
        <v>3.0684639943242331E-2</v>
      </c>
      <c r="DG645" s="1003">
        <f>W645</f>
        <v>0.12183789364997422</v>
      </c>
      <c r="DH645" s="1003">
        <f>AB645</f>
        <v>8.0380426445773923E-2</v>
      </c>
      <c r="DI645" s="1003">
        <f>AG645</f>
        <v>0.12324293624875771</v>
      </c>
      <c r="DJ645" s="1003">
        <f>AL645</f>
        <v>0.10491720389331305</v>
      </c>
      <c r="DK645" s="1003">
        <f>AQ645</f>
        <v>0.10513671204667663</v>
      </c>
      <c r="DL645" s="1003">
        <f>AV645</f>
        <v>8.0227743271221508E-2</v>
      </c>
      <c r="DM645" s="1003">
        <f>BA645</f>
        <v>4.1878294202204014E-2</v>
      </c>
      <c r="DN645" s="1003">
        <f>BF645</f>
        <v>-0.11157100809418685</v>
      </c>
      <c r="DO645" s="1003">
        <f>BK645</f>
        <v>7.2160679159333219E-2</v>
      </c>
      <c r="DP645" s="1003">
        <f>BP645</f>
        <v>7.976052529934341E-2</v>
      </c>
      <c r="DQ645" s="1003">
        <f>BU645</f>
        <v>6.0007154355213643E-2</v>
      </c>
      <c r="DR645" s="1003">
        <f>BZ645</f>
        <v>8.8753901965747062E-2</v>
      </c>
      <c r="DS645" s="1003">
        <f>CE645</f>
        <v>6.6718326230143399E-2</v>
      </c>
      <c r="DT645" s="1003">
        <f>CJ645</f>
        <v>4.3585645793985162E-2</v>
      </c>
      <c r="DU645" s="1003">
        <f>CO645</f>
        <v>8.0289572601977E-2</v>
      </c>
      <c r="DV645" s="1003">
        <f>CT645</f>
        <v>0.14469336522451837</v>
      </c>
      <c r="DW645" s="1003">
        <f ca="1">CY645</f>
        <v>8.764355237374577E-2</v>
      </c>
      <c r="DX645" s="1003">
        <f ca="1">CZ645</f>
        <v>8.675512564310961E-2</v>
      </c>
      <c r="DY645" s="1003">
        <f ca="1">DA645</f>
        <v>2.7437560855791965E-4</v>
      </c>
      <c r="EA645"/>
      <c r="EB645"/>
      <c r="EC645"/>
      <c r="ED645"/>
      <c r="EE645"/>
      <c r="EF645"/>
      <c r="EJ645"/>
      <c r="EK645"/>
      <c r="EL645"/>
      <c r="EM645" s="1703"/>
      <c r="ER645" s="212"/>
    </row>
    <row r="646" spans="1:148" s="923" customFormat="1" ht="12.75" customHeight="1" x14ac:dyDescent="0.2">
      <c r="A646" s="1436"/>
      <c r="B646" s="953"/>
      <c r="C646" s="953"/>
      <c r="D646" s="953"/>
      <c r="E646" s="953"/>
      <c r="F646" s="953"/>
      <c r="G646" s="953"/>
      <c r="H646" s="953"/>
      <c r="I646" s="953"/>
      <c r="J646" s="953"/>
      <c r="K646" s="953"/>
      <c r="L646" s="953"/>
      <c r="M646" s="984"/>
      <c r="N646" s="953"/>
      <c r="O646" s="953"/>
      <c r="P646" s="953"/>
      <c r="Q646" s="953"/>
      <c r="R646" s="984"/>
      <c r="S646" s="953"/>
      <c r="T646" s="953"/>
      <c r="U646" s="953"/>
      <c r="V646" s="953"/>
      <c r="W646" s="984"/>
      <c r="X646" s="953"/>
      <c r="Y646" s="953"/>
      <c r="Z646" s="953"/>
      <c r="AA646" s="953"/>
      <c r="AB646" s="984"/>
      <c r="AC646" s="953"/>
      <c r="AD646" s="953"/>
      <c r="AE646" s="953"/>
      <c r="AF646" s="953"/>
      <c r="AG646" s="984"/>
      <c r="AH646" s="953"/>
      <c r="AI646" s="953"/>
      <c r="AJ646" s="953"/>
      <c r="AK646" s="953"/>
      <c r="AL646" s="984"/>
      <c r="AM646" s="953"/>
      <c r="AN646" s="953"/>
      <c r="AO646" s="953"/>
      <c r="AP646" s="953"/>
      <c r="AQ646" s="984"/>
      <c r="AR646" s="953"/>
      <c r="AS646" s="953"/>
      <c r="AT646" s="953"/>
      <c r="AU646" s="953"/>
      <c r="AV646" s="984"/>
      <c r="AW646" s="953"/>
      <c r="AX646" s="953"/>
      <c r="AY646" s="953"/>
      <c r="AZ646" s="953"/>
      <c r="BA646" s="984"/>
      <c r="BB646" s="953"/>
      <c r="BC646" s="953"/>
      <c r="BD646" s="953"/>
      <c r="BE646" s="953"/>
      <c r="BF646" s="984"/>
      <c r="BG646" s="953"/>
      <c r="BH646" s="953"/>
      <c r="BI646" s="953"/>
      <c r="BJ646" s="953"/>
      <c r="BK646" s="984"/>
      <c r="BL646" s="953"/>
      <c r="BM646" s="953"/>
      <c r="BN646" s="953"/>
      <c r="BO646" s="953"/>
      <c r="BP646" s="984"/>
      <c r="BQ646" s="953"/>
      <c r="BR646" s="953"/>
      <c r="BS646" s="953"/>
      <c r="BT646" s="953"/>
      <c r="BU646" s="984"/>
      <c r="BV646" s="953"/>
      <c r="BW646" s="953"/>
      <c r="BX646" s="953"/>
      <c r="BY646" s="953"/>
      <c r="BZ646" s="984"/>
      <c r="CA646" s="953"/>
      <c r="CB646" s="953"/>
      <c r="CC646" s="953"/>
      <c r="CD646" s="953"/>
      <c r="CE646" s="984"/>
      <c r="CF646" s="953"/>
      <c r="CG646" s="953"/>
      <c r="CH646" s="953"/>
      <c r="CI646" s="1817"/>
      <c r="CJ646" s="984"/>
      <c r="CK646" s="953"/>
      <c r="CL646" s="953"/>
      <c r="CM646" s="953"/>
      <c r="CN646" s="1817"/>
      <c r="CO646" s="984"/>
      <c r="CP646" s="953"/>
      <c r="CQ646" s="953"/>
      <c r="CR646" s="953"/>
      <c r="CS646" s="953"/>
      <c r="CT646" s="984"/>
      <c r="CU646" s="953"/>
      <c r="CV646" s="953"/>
      <c r="CW646" s="953"/>
      <c r="CX646" s="953"/>
      <c r="CY646" s="984"/>
      <c r="CZ646" s="984"/>
      <c r="DA646" s="984"/>
      <c r="DB646"/>
      <c r="DC646"/>
      <c r="DD646" s="2288"/>
      <c r="DE646" s="2289"/>
      <c r="DF646" s="2289"/>
      <c r="DG646" s="2289"/>
      <c r="DH646" s="2289"/>
      <c r="DI646" s="2289"/>
      <c r="DJ646" s="2289"/>
      <c r="DK646" s="2289"/>
      <c r="DL646" s="2289"/>
      <c r="DM646" s="2289"/>
      <c r="DN646" s="2289"/>
      <c r="DO646" s="2289"/>
      <c r="DP646" s="2289"/>
      <c r="DQ646" s="2289"/>
      <c r="DR646" s="2289"/>
      <c r="DS646" s="2289"/>
      <c r="DT646" s="2289"/>
      <c r="DU646" s="2289"/>
      <c r="DV646" s="2289"/>
      <c r="DW646" s="2289"/>
      <c r="DX646" s="2289"/>
      <c r="DY646" s="2289"/>
      <c r="EA646"/>
      <c r="EB646"/>
      <c r="EC646"/>
      <c r="ED646"/>
      <c r="EE646"/>
      <c r="EF646"/>
      <c r="EJ646"/>
      <c r="EK646"/>
      <c r="EL646"/>
      <c r="ER646" s="212"/>
    </row>
    <row r="647" spans="1:148" s="923" customFormat="1" x14ac:dyDescent="0.2">
      <c r="A647" s="504" t="s">
        <v>985</v>
      </c>
      <c r="B647" s="946"/>
      <c r="C647" s="946"/>
      <c r="D647" s="946"/>
      <c r="E647" s="946"/>
      <c r="F647" s="946"/>
      <c r="G647" s="946"/>
      <c r="H647" s="946"/>
      <c r="I647" s="946"/>
      <c r="J647" s="946"/>
      <c r="K647" s="946"/>
      <c r="L647" s="946"/>
      <c r="M647" s="968"/>
      <c r="N647" s="946"/>
      <c r="O647" s="946"/>
      <c r="P647" s="946"/>
      <c r="Q647" s="946"/>
      <c r="R647" s="968">
        <f>+R38</f>
        <v>0</v>
      </c>
      <c r="S647" s="946">
        <f>+S38</f>
        <v>15</v>
      </c>
      <c r="T647" s="946">
        <f>+T38</f>
        <v>20</v>
      </c>
      <c r="U647" s="946">
        <f>+U38</f>
        <v>28</v>
      </c>
      <c r="V647" s="946">
        <f>+V38</f>
        <v>25</v>
      </c>
      <c r="W647" s="968">
        <f>SUM(S647:V647)</f>
        <v>88</v>
      </c>
      <c r="X647" s="946">
        <f>+X38</f>
        <v>1</v>
      </c>
      <c r="Y647" s="946">
        <f>+Y38</f>
        <v>38</v>
      </c>
      <c r="Z647" s="946">
        <f>+Z38</f>
        <v>15</v>
      </c>
      <c r="AA647" s="946">
        <f>+AA38</f>
        <v>52</v>
      </c>
      <c r="AB647" s="968">
        <f>SUM(X647:AA647)</f>
        <v>106</v>
      </c>
      <c r="AC647" s="946">
        <f>+AC38</f>
        <v>4</v>
      </c>
      <c r="AD647" s="946">
        <f>+AD38</f>
        <v>38</v>
      </c>
      <c r="AE647" s="946">
        <f>+AE38</f>
        <v>34</v>
      </c>
      <c r="AF647" s="946">
        <f>+AF38</f>
        <v>60</v>
      </c>
      <c r="AG647" s="968">
        <f>SUM(AC647:AF647)</f>
        <v>136</v>
      </c>
      <c r="AH647" s="946">
        <f>+AH38</f>
        <v>4</v>
      </c>
      <c r="AI647" s="946">
        <f>+AI38</f>
        <v>55</v>
      </c>
      <c r="AJ647" s="946">
        <f>+AJ38</f>
        <v>18</v>
      </c>
      <c r="AK647" s="946">
        <f>+AK38</f>
        <v>72</v>
      </c>
      <c r="AL647" s="968">
        <f>SUM(AH647:AK647)</f>
        <v>149</v>
      </c>
      <c r="AM647" s="946">
        <f>+AM38</f>
        <v>38</v>
      </c>
      <c r="AN647" s="946">
        <f>+AN38</f>
        <v>5</v>
      </c>
      <c r="AO647" s="946">
        <f>+AO38</f>
        <v>10</v>
      </c>
      <c r="AP647" s="946">
        <f>+AP38</f>
        <v>21</v>
      </c>
      <c r="AQ647" s="968">
        <f>SUM(AM647:AP647)</f>
        <v>74</v>
      </c>
      <c r="AR647" s="946">
        <f>+AR38</f>
        <v>35</v>
      </c>
      <c r="AS647" s="946">
        <f>+AS38</f>
        <v>12</v>
      </c>
      <c r="AT647" s="946">
        <f>+AT38</f>
        <v>30</v>
      </c>
      <c r="AU647" s="946">
        <f>+AU38</f>
        <v>20</v>
      </c>
      <c r="AV647" s="968">
        <f>SUM(AR647:AU647)</f>
        <v>97</v>
      </c>
      <c r="AW647" s="946">
        <f>+AW38</f>
        <v>3</v>
      </c>
      <c r="AX647" s="946">
        <f>+AX38</f>
        <v>9</v>
      </c>
      <c r="AY647" s="946">
        <f>+AY38</f>
        <v>7</v>
      </c>
      <c r="AZ647" s="946">
        <f>+AZ38</f>
        <v>19</v>
      </c>
      <c r="BA647" s="968">
        <f>SUM(AW647:AZ647)</f>
        <v>38</v>
      </c>
      <c r="BB647" s="946">
        <f>+BB38</f>
        <v>25</v>
      </c>
      <c r="BC647" s="946">
        <f>+BC38</f>
        <v>3</v>
      </c>
      <c r="BD647" s="946">
        <f>+BD38</f>
        <v>-1</v>
      </c>
      <c r="BE647" s="946">
        <f>+BE38</f>
        <v>4</v>
      </c>
      <c r="BF647" s="968">
        <f>SUM(BB647:BE647)</f>
        <v>31</v>
      </c>
      <c r="BG647" s="946">
        <f>+BG38</f>
        <v>1</v>
      </c>
      <c r="BH647" s="946">
        <f>+BH38</f>
        <v>3</v>
      </c>
      <c r="BI647" s="946">
        <f>+BI38</f>
        <v>3</v>
      </c>
      <c r="BJ647" s="946">
        <f>+BJ38</f>
        <v>8</v>
      </c>
      <c r="BK647" s="968">
        <f>SUM(BG647:BJ647)</f>
        <v>15</v>
      </c>
      <c r="BL647" s="946">
        <f>+BL38</f>
        <v>2</v>
      </c>
      <c r="BM647" s="946">
        <f>+BM38</f>
        <v>2</v>
      </c>
      <c r="BN647" s="946">
        <f>+BN38</f>
        <v>3</v>
      </c>
      <c r="BO647" s="946">
        <f>+BO38</f>
        <v>1</v>
      </c>
      <c r="BP647" s="968">
        <f>SUM(BL647:BO647)</f>
        <v>8</v>
      </c>
      <c r="BQ647" s="946">
        <f>+BQ38</f>
        <v>2</v>
      </c>
      <c r="BR647" s="946">
        <f>+BR38</f>
        <v>5</v>
      </c>
      <c r="BS647" s="946">
        <f>+BS38</f>
        <v>36</v>
      </c>
      <c r="BT647" s="946">
        <f>+BT38</f>
        <v>-1</v>
      </c>
      <c r="BU647" s="968">
        <f>SUM(BQ647:BT647)</f>
        <v>42</v>
      </c>
      <c r="BV647" s="946">
        <f>+BV38</f>
        <v>3</v>
      </c>
      <c r="BW647" s="946">
        <f>+BW38</f>
        <v>10</v>
      </c>
      <c r="BX647" s="946">
        <f>+BX38</f>
        <v>1</v>
      </c>
      <c r="BY647" s="946">
        <f>+BY38</f>
        <v>-3</v>
      </c>
      <c r="BZ647" s="968">
        <f>SUM(BV647:BY647)</f>
        <v>11</v>
      </c>
      <c r="CA647" s="946">
        <f>+CA38</f>
        <v>0</v>
      </c>
      <c r="CB647" s="946">
        <f>+CB38</f>
        <v>3</v>
      </c>
      <c r="CC647" s="946">
        <f>+CC38</f>
        <v>1</v>
      </c>
      <c r="CD647" s="946">
        <f>+CD38</f>
        <v>4</v>
      </c>
      <c r="CE647" s="968">
        <f>SUM(CA647:CD647)</f>
        <v>8</v>
      </c>
      <c r="CF647" s="946">
        <f>+CF38</f>
        <v>0</v>
      </c>
      <c r="CG647" s="946">
        <f>+CG38</f>
        <v>20</v>
      </c>
      <c r="CH647" s="946">
        <f>+CH38</f>
        <v>0</v>
      </c>
      <c r="CI647" s="946">
        <f>+CI38</f>
        <v>7</v>
      </c>
      <c r="CJ647" s="968">
        <f>SUM(CF647:CI647)</f>
        <v>27</v>
      </c>
      <c r="CK647" s="215">
        <f>+CK648+CK649</f>
        <v>27</v>
      </c>
      <c r="CL647" s="215">
        <f>+CL648+CL649</f>
        <v>27</v>
      </c>
      <c r="CM647" s="215">
        <f>+CM648+CM649</f>
        <v>27</v>
      </c>
      <c r="CN647" s="1788">
        <f>+CN648+CN649</f>
        <v>27</v>
      </c>
      <c r="CO647" s="968">
        <f>SUM(CK647:CN647)</f>
        <v>108</v>
      </c>
      <c r="CP647" s="215">
        <f>+CP648+CP649</f>
        <v>27</v>
      </c>
      <c r="CQ647" s="215">
        <f>+CQ648+CQ649</f>
        <v>27</v>
      </c>
      <c r="CR647" s="215">
        <f>+CR648+CR649</f>
        <v>27</v>
      </c>
      <c r="CS647" s="215">
        <f>+CS648+CS649</f>
        <v>27</v>
      </c>
      <c r="CT647" s="968">
        <f>SUM(CP647:CS647)</f>
        <v>108</v>
      </c>
      <c r="CU647" s="215">
        <f t="shared" ref="CU647:DA647" si="1154">+CU648+CU649</f>
        <v>27</v>
      </c>
      <c r="CV647" s="215">
        <f t="shared" si="1154"/>
        <v>27</v>
      </c>
      <c r="CW647" s="215">
        <f t="shared" si="1154"/>
        <v>27</v>
      </c>
      <c r="CX647" s="215">
        <f t="shared" si="1154"/>
        <v>27</v>
      </c>
      <c r="CY647" s="968">
        <f>SUM(CU647:CX647)</f>
        <v>108</v>
      </c>
      <c r="CZ647" s="968">
        <f t="shared" si="1154"/>
        <v>108</v>
      </c>
      <c r="DA647" s="968">
        <f t="shared" si="1154"/>
        <v>108</v>
      </c>
      <c r="DB647"/>
      <c r="DC647"/>
      <c r="DD647" s="2285" t="s">
        <v>985</v>
      </c>
      <c r="DE647" s="2290">
        <f>M647</f>
        <v>0</v>
      </c>
      <c r="DF647" s="2290">
        <f>R647</f>
        <v>0</v>
      </c>
      <c r="DG647" s="2290">
        <f>W647</f>
        <v>88</v>
      </c>
      <c r="DH647" s="2290">
        <f>AB647</f>
        <v>106</v>
      </c>
      <c r="DI647" s="2290">
        <f>AG647</f>
        <v>136</v>
      </c>
      <c r="DJ647" s="2290">
        <f>AL647</f>
        <v>149</v>
      </c>
      <c r="DK647" s="2290">
        <f>AQ647</f>
        <v>74</v>
      </c>
      <c r="DL647" s="2290">
        <f>AV647</f>
        <v>97</v>
      </c>
      <c r="DM647" s="2290">
        <f>BA647</f>
        <v>38</v>
      </c>
      <c r="DN647" s="2290">
        <f>BF647</f>
        <v>31</v>
      </c>
      <c r="DO647" s="2290">
        <f>BK647</f>
        <v>15</v>
      </c>
      <c r="DP647" s="2290">
        <f>BP647</f>
        <v>8</v>
      </c>
      <c r="DQ647" s="2290">
        <f>BU647</f>
        <v>42</v>
      </c>
      <c r="DR647" s="2290">
        <f>BZ647</f>
        <v>11</v>
      </c>
      <c r="DS647" s="2290">
        <f>CE647</f>
        <v>8</v>
      </c>
      <c r="DT647" s="2290">
        <f>CJ647</f>
        <v>27</v>
      </c>
      <c r="DU647" s="2290">
        <f>CO647</f>
        <v>108</v>
      </c>
      <c r="DV647" s="2290">
        <f>CT647</f>
        <v>108</v>
      </c>
      <c r="DW647" s="2290">
        <f t="shared" ref="DW647:DY649" si="1155">CY647</f>
        <v>108</v>
      </c>
      <c r="DX647" s="2290">
        <f t="shared" si="1155"/>
        <v>108</v>
      </c>
      <c r="DY647" s="2290">
        <f t="shared" si="1155"/>
        <v>108</v>
      </c>
      <c r="EA647"/>
      <c r="EB647"/>
      <c r="EC647"/>
      <c r="ED647"/>
      <c r="EE647"/>
      <c r="EF647"/>
      <c r="EJ647"/>
      <c r="EK647"/>
      <c r="EL647"/>
      <c r="EM647" s="1703"/>
      <c r="ER647" s="212"/>
    </row>
    <row r="648" spans="1:148" s="923" customFormat="1" ht="12.75" customHeight="1" x14ac:dyDescent="0.2">
      <c r="A648" s="504" t="s">
        <v>986</v>
      </c>
      <c r="B648" s="847"/>
      <c r="C648" s="847"/>
      <c r="D648" s="847"/>
      <c r="E648" s="847"/>
      <c r="F648" s="847"/>
      <c r="G648" s="847"/>
      <c r="H648" s="847"/>
      <c r="I648" s="847"/>
      <c r="J648" s="847"/>
      <c r="K648" s="847"/>
      <c r="L648" s="847"/>
      <c r="M648" s="968">
        <v>22</v>
      </c>
      <c r="N648" s="847">
        <v>13.5</v>
      </c>
      <c r="O648" s="847">
        <v>13</v>
      </c>
      <c r="P648" s="847">
        <v>13</v>
      </c>
      <c r="Q648" s="847">
        <f>40-P648-O648-N648</f>
        <v>0.5</v>
      </c>
      <c r="R648" s="968">
        <f>SUM(N648:Q648)</f>
        <v>40</v>
      </c>
      <c r="S648" s="847">
        <v>13.5</v>
      </c>
      <c r="T648" s="847">
        <v>15</v>
      </c>
      <c r="U648" s="847">
        <v>18</v>
      </c>
      <c r="V648" s="847">
        <v>13</v>
      </c>
      <c r="W648" s="968">
        <f>SUM(S648:V648)</f>
        <v>59.5</v>
      </c>
      <c r="X648" s="847">
        <v>0</v>
      </c>
      <c r="Y648" s="847">
        <v>32</v>
      </c>
      <c r="Z648" s="847">
        <v>0</v>
      </c>
      <c r="AA648" s="847">
        <f>64-Z648-Y648-X648</f>
        <v>32</v>
      </c>
      <c r="AB648" s="968">
        <f>SUM(X648:AA648)</f>
        <v>64</v>
      </c>
      <c r="AC648" s="847">
        <v>0</v>
      </c>
      <c r="AD648" s="847">
        <v>27</v>
      </c>
      <c r="AE648" s="847">
        <v>0</v>
      </c>
      <c r="AF648" s="847">
        <f>64-AE648-AD648-AC648</f>
        <v>37</v>
      </c>
      <c r="AG648" s="968">
        <f>SUM(AC648:AF648)</f>
        <v>64</v>
      </c>
      <c r="AH648" s="847">
        <v>0</v>
      </c>
      <c r="AI648" s="847">
        <v>29</v>
      </c>
      <c r="AJ648" s="847">
        <v>0</v>
      </c>
      <c r="AK648" s="847">
        <v>40</v>
      </c>
      <c r="AL648" s="968">
        <f>SUM(AH648:AK648)</f>
        <v>69</v>
      </c>
      <c r="AM648" s="847">
        <v>0</v>
      </c>
      <c r="AN648" s="847">
        <v>0</v>
      </c>
      <c r="AO648" s="847">
        <v>0</v>
      </c>
      <c r="AP648" s="847">
        <v>0</v>
      </c>
      <c r="AQ648" s="968">
        <f>SUM(AM648:AP648)</f>
        <v>0</v>
      </c>
      <c r="AR648" s="847">
        <v>0</v>
      </c>
      <c r="AS648" s="847">
        <v>0</v>
      </c>
      <c r="AT648" s="847">
        <v>0</v>
      </c>
      <c r="AU648" s="847">
        <v>0</v>
      </c>
      <c r="AV648" s="968">
        <f>SUM(AR648:AU648)</f>
        <v>0</v>
      </c>
      <c r="AW648" s="847">
        <v>0</v>
      </c>
      <c r="AX648" s="847">
        <v>0</v>
      </c>
      <c r="AY648" s="847">
        <v>0</v>
      </c>
      <c r="AZ648" s="847">
        <v>0</v>
      </c>
      <c r="BA648" s="968">
        <f>SUM(AW648:AZ648)</f>
        <v>0</v>
      </c>
      <c r="BB648" s="847">
        <v>0</v>
      </c>
      <c r="BC648" s="847">
        <v>0</v>
      </c>
      <c r="BD648" s="847">
        <v>0</v>
      </c>
      <c r="BE648" s="847">
        <v>0</v>
      </c>
      <c r="BF648" s="968">
        <f>SUM(BB648:BE648)</f>
        <v>0</v>
      </c>
      <c r="BG648" s="847">
        <v>0</v>
      </c>
      <c r="BH648" s="847">
        <v>0</v>
      </c>
      <c r="BI648" s="847">
        <v>0</v>
      </c>
      <c r="BJ648" s="847">
        <v>20</v>
      </c>
      <c r="BK648" s="968">
        <f>SUM(BG648:BJ648)</f>
        <v>20</v>
      </c>
      <c r="BL648" s="847">
        <v>20</v>
      </c>
      <c r="BM648" s="847">
        <v>0</v>
      </c>
      <c r="BN648" s="847">
        <v>0</v>
      </c>
      <c r="BO648" s="847">
        <v>0</v>
      </c>
      <c r="BP648" s="968">
        <f>SUM(BL648:BO648)</f>
        <v>20</v>
      </c>
      <c r="BQ648" s="847">
        <v>0</v>
      </c>
      <c r="BR648" s="847">
        <v>0</v>
      </c>
      <c r="BS648" s="847">
        <v>0</v>
      </c>
      <c r="BT648" s="847">
        <v>0</v>
      </c>
      <c r="BU648" s="968">
        <f>SUM(BQ648:BT648)</f>
        <v>0</v>
      </c>
      <c r="BV648" s="847">
        <v>0</v>
      </c>
      <c r="BW648" s="847">
        <v>1</v>
      </c>
      <c r="BX648" s="847">
        <v>2</v>
      </c>
      <c r="BY648" s="847">
        <v>0</v>
      </c>
      <c r="BZ648" s="968">
        <f>SUM(BV648:BY648)</f>
        <v>3</v>
      </c>
      <c r="CA648" s="847">
        <v>0</v>
      </c>
      <c r="CB648" s="215">
        <v>0</v>
      </c>
      <c r="CC648" s="215">
        <v>0</v>
      </c>
      <c r="CD648" s="215">
        <v>0</v>
      </c>
      <c r="CE648" s="968">
        <f>SUM(CA648:CD648)</f>
        <v>0</v>
      </c>
      <c r="CF648" s="847">
        <v>0</v>
      </c>
      <c r="CG648" s="847">
        <v>0</v>
      </c>
      <c r="CH648" s="847">
        <v>0</v>
      </c>
      <c r="CI648" s="1788">
        <v>0</v>
      </c>
      <c r="CJ648" s="968">
        <f>SUM(CF648:CI648)</f>
        <v>0</v>
      </c>
      <c r="CK648" s="215">
        <v>0</v>
      </c>
      <c r="CL648" s="215">
        <v>0</v>
      </c>
      <c r="CM648" s="215">
        <v>0</v>
      </c>
      <c r="CN648" s="1788">
        <v>0</v>
      </c>
      <c r="CO648" s="968">
        <f>SUM(CK648:CN648)</f>
        <v>0</v>
      </c>
      <c r="CP648" s="215">
        <v>0</v>
      </c>
      <c r="CQ648" s="215">
        <v>0</v>
      </c>
      <c r="CR648" s="215">
        <v>0</v>
      </c>
      <c r="CS648" s="215">
        <v>0</v>
      </c>
      <c r="CT648" s="968">
        <f>SUM(CP648:CS648)</f>
        <v>0</v>
      </c>
      <c r="CU648" s="215">
        <v>0</v>
      </c>
      <c r="CV648" s="215">
        <v>0</v>
      </c>
      <c r="CW648" s="215">
        <v>0</v>
      </c>
      <c r="CX648" s="215">
        <v>0</v>
      </c>
      <c r="CY648" s="968">
        <f>SUM(CU648:CX648)</f>
        <v>0</v>
      </c>
      <c r="CZ648" s="968">
        <v>0</v>
      </c>
      <c r="DA648" s="968">
        <v>0</v>
      </c>
      <c r="DB648"/>
      <c r="DC648"/>
      <c r="DD648" s="2285" t="s">
        <v>986</v>
      </c>
      <c r="DE648" s="2290">
        <f>M648</f>
        <v>22</v>
      </c>
      <c r="DF648" s="2290">
        <f>R648</f>
        <v>40</v>
      </c>
      <c r="DG648" s="2290">
        <f>W648</f>
        <v>59.5</v>
      </c>
      <c r="DH648" s="2290">
        <f>AB648</f>
        <v>64</v>
      </c>
      <c r="DI648" s="2290">
        <f>AG648</f>
        <v>64</v>
      </c>
      <c r="DJ648" s="2290">
        <f>AL648</f>
        <v>69</v>
      </c>
      <c r="DK648" s="2290">
        <f>AQ648</f>
        <v>0</v>
      </c>
      <c r="DL648" s="2290">
        <f>AV648</f>
        <v>0</v>
      </c>
      <c r="DM648" s="2290">
        <f>BA648</f>
        <v>0</v>
      </c>
      <c r="DN648" s="2290">
        <f>BF648</f>
        <v>0</v>
      </c>
      <c r="DO648" s="2290">
        <f>BK648</f>
        <v>20</v>
      </c>
      <c r="DP648" s="2290">
        <f>BP648</f>
        <v>20</v>
      </c>
      <c r="DQ648" s="2290">
        <f>BU648</f>
        <v>0</v>
      </c>
      <c r="DR648" s="2290">
        <f>BZ648</f>
        <v>3</v>
      </c>
      <c r="DS648" s="2290">
        <f>CE648</f>
        <v>0</v>
      </c>
      <c r="DT648" s="2290">
        <f>CJ648</f>
        <v>0</v>
      </c>
      <c r="DU648" s="2290">
        <f>CO648</f>
        <v>0</v>
      </c>
      <c r="DV648" s="2290">
        <f>CT648</f>
        <v>0</v>
      </c>
      <c r="DW648" s="2290">
        <f t="shared" si="1155"/>
        <v>0</v>
      </c>
      <c r="DX648" s="2290">
        <f t="shared" si="1155"/>
        <v>0</v>
      </c>
      <c r="DY648" s="2290">
        <f t="shared" si="1155"/>
        <v>0</v>
      </c>
      <c r="EA648"/>
      <c r="EB648"/>
      <c r="EC648"/>
      <c r="ED648"/>
      <c r="EE648"/>
      <c r="EF648"/>
      <c r="EJ648"/>
      <c r="EK648"/>
      <c r="EL648"/>
      <c r="EM648" s="1703"/>
      <c r="ER648" s="212"/>
    </row>
    <row r="649" spans="1:148" s="923" customFormat="1" ht="12.75" customHeight="1" x14ac:dyDescent="0.2">
      <c r="A649" s="504" t="s">
        <v>988</v>
      </c>
      <c r="B649" s="946"/>
      <c r="C649" s="946"/>
      <c r="D649" s="946"/>
      <c r="E649" s="946"/>
      <c r="F649" s="946"/>
      <c r="G649" s="946"/>
      <c r="H649" s="946"/>
      <c r="I649" s="946"/>
      <c r="J649" s="946"/>
      <c r="K649" s="946"/>
      <c r="L649" s="946"/>
      <c r="M649" s="968"/>
      <c r="N649" s="946"/>
      <c r="O649" s="946"/>
      <c r="P649" s="946"/>
      <c r="Q649" s="946"/>
      <c r="R649" s="968">
        <f>+R647-R648</f>
        <v>-40</v>
      </c>
      <c r="S649" s="946">
        <f>+S647-S648</f>
        <v>1.5</v>
      </c>
      <c r="T649" s="946">
        <f>+T647-T648</f>
        <v>5</v>
      </c>
      <c r="U649" s="946">
        <f>+U647-U648</f>
        <v>10</v>
      </c>
      <c r="V649" s="946">
        <f>+V647-V648</f>
        <v>12</v>
      </c>
      <c r="W649" s="968">
        <f>SUM(S649:V649)</f>
        <v>28.5</v>
      </c>
      <c r="X649" s="946">
        <f>+X647-X648</f>
        <v>1</v>
      </c>
      <c r="Y649" s="946">
        <f>+Y647-Y648</f>
        <v>6</v>
      </c>
      <c r="Z649" s="946">
        <f>+Z647-Z648</f>
        <v>15</v>
      </c>
      <c r="AA649" s="946">
        <f>+AA647-AA648</f>
        <v>20</v>
      </c>
      <c r="AB649" s="968">
        <f>SUM(X649:AA649)</f>
        <v>42</v>
      </c>
      <c r="AC649" s="946">
        <f>+AC647-AC648</f>
        <v>4</v>
      </c>
      <c r="AD649" s="946">
        <f>+AD647-AD648</f>
        <v>11</v>
      </c>
      <c r="AE649" s="946">
        <f>+AE647-AE648</f>
        <v>34</v>
      </c>
      <c r="AF649" s="946">
        <f>+AF647-AF648</f>
        <v>23</v>
      </c>
      <c r="AG649" s="968">
        <f>SUM(AC649:AF649)</f>
        <v>72</v>
      </c>
      <c r="AH649" s="946">
        <f>+AH647-AH648</f>
        <v>4</v>
      </c>
      <c r="AI649" s="946">
        <f>+AI647-AI648</f>
        <v>26</v>
      </c>
      <c r="AJ649" s="946">
        <f>+AJ647-AJ648</f>
        <v>18</v>
      </c>
      <c r="AK649" s="946">
        <f>+AK647-AK648</f>
        <v>32</v>
      </c>
      <c r="AL649" s="968">
        <f>SUM(AH649:AK649)</f>
        <v>80</v>
      </c>
      <c r="AM649" s="946">
        <f>+AM647-AM648</f>
        <v>38</v>
      </c>
      <c r="AN649" s="946">
        <f>+AN647-AN648</f>
        <v>5</v>
      </c>
      <c r="AO649" s="946">
        <f>+AO647-AO648</f>
        <v>10</v>
      </c>
      <c r="AP649" s="946">
        <f>+AP647-AP648</f>
        <v>21</v>
      </c>
      <c r="AQ649" s="968">
        <f>SUM(AM649:AP649)</f>
        <v>74</v>
      </c>
      <c r="AR649" s="946">
        <f>+AR647-AR648</f>
        <v>35</v>
      </c>
      <c r="AS649" s="946">
        <f>+AS647-AS648</f>
        <v>12</v>
      </c>
      <c r="AT649" s="946">
        <f>+AT647-AT648</f>
        <v>30</v>
      </c>
      <c r="AU649" s="946">
        <f>+AU647-AU648</f>
        <v>20</v>
      </c>
      <c r="AV649" s="968">
        <f>SUM(AR649:AU649)</f>
        <v>97</v>
      </c>
      <c r="AW649" s="946">
        <f>+AW647-AW648</f>
        <v>3</v>
      </c>
      <c r="AX649" s="946">
        <f>+AX647-AX648</f>
        <v>9</v>
      </c>
      <c r="AY649" s="946">
        <f>+AY647-AY648</f>
        <v>7</v>
      </c>
      <c r="AZ649" s="946">
        <f>+AZ647-AZ648</f>
        <v>19</v>
      </c>
      <c r="BA649" s="968">
        <f>SUM(AW649:AZ649)</f>
        <v>38</v>
      </c>
      <c r="BB649" s="946">
        <f>+BB647-BB648</f>
        <v>25</v>
      </c>
      <c r="BC649" s="946">
        <f>+BC647-BC648</f>
        <v>3</v>
      </c>
      <c r="BD649" s="946">
        <f>+BD647-BD648</f>
        <v>-1</v>
      </c>
      <c r="BE649" s="946">
        <f>+BE647-BE648</f>
        <v>4</v>
      </c>
      <c r="BF649" s="968">
        <f>SUM(BB649:BE649)</f>
        <v>31</v>
      </c>
      <c r="BG649" s="946">
        <f>+BG647-BG648</f>
        <v>1</v>
      </c>
      <c r="BH649" s="946">
        <f>+BH647-BH648</f>
        <v>3</v>
      </c>
      <c r="BI649" s="946">
        <f>+BI647-BI648</f>
        <v>3</v>
      </c>
      <c r="BJ649" s="946">
        <f>+BJ647-BJ648</f>
        <v>-12</v>
      </c>
      <c r="BK649" s="968">
        <f>SUM(BG649:BJ649)</f>
        <v>-5</v>
      </c>
      <c r="BL649" s="946">
        <f>+BL647-BL648</f>
        <v>-18</v>
      </c>
      <c r="BM649" s="946">
        <f>+BM647-BM648</f>
        <v>2</v>
      </c>
      <c r="BN649" s="946">
        <f>+BN647-BN648</f>
        <v>3</v>
      </c>
      <c r="BO649" s="946">
        <f>+BO647-BO648</f>
        <v>1</v>
      </c>
      <c r="BP649" s="968">
        <f>SUM(BL649:BO649)</f>
        <v>-12</v>
      </c>
      <c r="BQ649" s="946">
        <f>+BQ647-BQ648</f>
        <v>2</v>
      </c>
      <c r="BR649" s="946">
        <f>+BR647-BR648</f>
        <v>5</v>
      </c>
      <c r="BS649" s="946">
        <f>+BS647-BS648</f>
        <v>36</v>
      </c>
      <c r="BT649" s="946">
        <f>+BT647-BT648</f>
        <v>-1</v>
      </c>
      <c r="BU649" s="968">
        <f>SUM(BQ649:BT649)</f>
        <v>42</v>
      </c>
      <c r="BV649" s="946">
        <f>+BV647-BV648</f>
        <v>3</v>
      </c>
      <c r="BW649" s="946">
        <f>+BW647-BW648</f>
        <v>9</v>
      </c>
      <c r="BX649" s="946">
        <f>+BX647-BX648</f>
        <v>-1</v>
      </c>
      <c r="BY649" s="946">
        <f>+BY647-BY648</f>
        <v>-3</v>
      </c>
      <c r="BZ649" s="968">
        <f>SUM(BV649:BY649)</f>
        <v>8</v>
      </c>
      <c r="CA649" s="946">
        <f>+CA647-CA648</f>
        <v>0</v>
      </c>
      <c r="CB649" s="946">
        <f>+CB647-CB648</f>
        <v>3</v>
      </c>
      <c r="CC649" s="946">
        <f>+CC647-CC648</f>
        <v>1</v>
      </c>
      <c r="CD649" s="946">
        <f>+CD647-CD648</f>
        <v>4</v>
      </c>
      <c r="CE649" s="968">
        <f>SUM(CA649:CD649)</f>
        <v>8</v>
      </c>
      <c r="CF649" s="946">
        <f>+CF647-CF648</f>
        <v>0</v>
      </c>
      <c r="CG649" s="946">
        <f>+CG647-CG648</f>
        <v>20</v>
      </c>
      <c r="CH649" s="946">
        <f>+CH647-CH648</f>
        <v>0</v>
      </c>
      <c r="CI649" s="946">
        <f>+CI647-CI648</f>
        <v>7</v>
      </c>
      <c r="CJ649" s="968">
        <f>SUM(CF649:CI649)</f>
        <v>27</v>
      </c>
      <c r="CK649" s="215">
        <f>CJ649</f>
        <v>27</v>
      </c>
      <c r="CL649" s="215">
        <f>CK649</f>
        <v>27</v>
      </c>
      <c r="CM649" s="847">
        <f>CL649</f>
        <v>27</v>
      </c>
      <c r="CN649" s="1431">
        <f>CM649</f>
        <v>27</v>
      </c>
      <c r="CO649" s="968">
        <f>SUM(CK649:CN649)</f>
        <v>108</v>
      </c>
      <c r="CP649" s="215">
        <f>CN649</f>
        <v>27</v>
      </c>
      <c r="CQ649" s="847">
        <f>CP649</f>
        <v>27</v>
      </c>
      <c r="CR649" s="847">
        <f>CQ649</f>
        <v>27</v>
      </c>
      <c r="CS649" s="847">
        <f>CR649</f>
        <v>27</v>
      </c>
      <c r="CT649" s="968">
        <f>SUM(CP649:CS649)</f>
        <v>108</v>
      </c>
      <c r="CU649" s="215">
        <f>CP649</f>
        <v>27</v>
      </c>
      <c r="CV649" s="847">
        <f>CQ649</f>
        <v>27</v>
      </c>
      <c r="CW649" s="847">
        <f>CR649</f>
        <v>27</v>
      </c>
      <c r="CX649" s="847">
        <f>CS649</f>
        <v>27</v>
      </c>
      <c r="CY649" s="968">
        <f>SUM(CU649:CX649)</f>
        <v>108</v>
      </c>
      <c r="CZ649" s="968">
        <f>CY649</f>
        <v>108</v>
      </c>
      <c r="DA649" s="968">
        <f>CZ649</f>
        <v>108</v>
      </c>
      <c r="DB649"/>
      <c r="DC649"/>
      <c r="DD649" s="2285" t="s">
        <v>988</v>
      </c>
      <c r="DE649" s="2290">
        <f>M649</f>
        <v>0</v>
      </c>
      <c r="DF649" s="2290">
        <f>R649</f>
        <v>-40</v>
      </c>
      <c r="DG649" s="2290">
        <f>W649</f>
        <v>28.5</v>
      </c>
      <c r="DH649" s="2290">
        <f>AB649</f>
        <v>42</v>
      </c>
      <c r="DI649" s="2290">
        <f>AG649</f>
        <v>72</v>
      </c>
      <c r="DJ649" s="2290">
        <f>AL649</f>
        <v>80</v>
      </c>
      <c r="DK649" s="2290">
        <f>AQ649</f>
        <v>74</v>
      </c>
      <c r="DL649" s="2290">
        <f>AV649</f>
        <v>97</v>
      </c>
      <c r="DM649" s="2290">
        <f>BA649</f>
        <v>38</v>
      </c>
      <c r="DN649" s="2290">
        <f>BF649</f>
        <v>31</v>
      </c>
      <c r="DO649" s="2290">
        <f>BK649</f>
        <v>-5</v>
      </c>
      <c r="DP649" s="2290">
        <f>BP649</f>
        <v>-12</v>
      </c>
      <c r="DQ649" s="2290">
        <f>BU649</f>
        <v>42</v>
      </c>
      <c r="DR649" s="2290">
        <f>BZ649</f>
        <v>8</v>
      </c>
      <c r="DS649" s="2290">
        <f>CE649</f>
        <v>8</v>
      </c>
      <c r="DT649" s="2290">
        <f>CJ649</f>
        <v>27</v>
      </c>
      <c r="DU649" s="2290">
        <f>CO649</f>
        <v>108</v>
      </c>
      <c r="DV649" s="2290">
        <f>CT649</f>
        <v>108</v>
      </c>
      <c r="DW649" s="2290">
        <f t="shared" si="1155"/>
        <v>108</v>
      </c>
      <c r="DX649" s="2290">
        <f t="shared" si="1155"/>
        <v>108</v>
      </c>
      <c r="DY649" s="2290">
        <f t="shared" si="1155"/>
        <v>108</v>
      </c>
      <c r="EA649"/>
      <c r="EB649"/>
      <c r="EC649"/>
      <c r="ED649"/>
      <c r="EE649"/>
      <c r="EF649"/>
      <c r="EJ649"/>
      <c r="EK649"/>
      <c r="EL649"/>
      <c r="EM649" s="1703"/>
      <c r="ER649" s="212"/>
    </row>
    <row r="650" spans="1:148" s="923" customFormat="1" ht="12.75" customHeight="1" x14ac:dyDescent="0.2">
      <c r="A650" s="504"/>
      <c r="B650" s="844"/>
      <c r="C650" s="844"/>
      <c r="D650" s="844"/>
      <c r="E650" s="844"/>
      <c r="F650" s="844"/>
      <c r="G650" s="844"/>
      <c r="H650" s="844"/>
      <c r="I650" s="844"/>
      <c r="J650" s="844"/>
      <c r="K650" s="844"/>
      <c r="L650" s="844"/>
      <c r="M650" s="985"/>
      <c r="N650" s="844"/>
      <c r="O650" s="844"/>
      <c r="P650" s="844"/>
      <c r="Q650" s="844"/>
      <c r="R650" s="985"/>
      <c r="S650" s="844"/>
      <c r="T650" s="844"/>
      <c r="U650" s="844"/>
      <c r="V650" s="844"/>
      <c r="W650" s="985"/>
      <c r="X650" s="844"/>
      <c r="Y650" s="844"/>
      <c r="Z650" s="844"/>
      <c r="AA650" s="844"/>
      <c r="AB650" s="985"/>
      <c r="AC650" s="844"/>
      <c r="AD650" s="844"/>
      <c r="AE650" s="844"/>
      <c r="AF650" s="844"/>
      <c r="AG650" s="985"/>
      <c r="AH650" s="844"/>
      <c r="AI650" s="844"/>
      <c r="AJ650" s="844"/>
      <c r="AK650" s="844"/>
      <c r="AL650" s="985"/>
      <c r="AM650" s="844"/>
      <c r="AN650" s="844"/>
      <c r="AO650" s="844"/>
      <c r="AP650" s="844"/>
      <c r="AQ650" s="985"/>
      <c r="AR650" s="844"/>
      <c r="AS650" s="844"/>
      <c r="AT650" s="844"/>
      <c r="AU650" s="844"/>
      <c r="AV650" s="985"/>
      <c r="AW650" s="844"/>
      <c r="AX650" s="844"/>
      <c r="AY650" s="844"/>
      <c r="AZ650" s="844"/>
      <c r="BA650" s="985"/>
      <c r="BB650" s="844"/>
      <c r="BC650" s="844"/>
      <c r="BD650" s="844"/>
      <c r="BE650" s="844"/>
      <c r="BF650" s="985"/>
      <c r="BG650" s="844"/>
      <c r="BH650" s="844"/>
      <c r="BI650" s="844"/>
      <c r="BJ650" s="844"/>
      <c r="BK650" s="985"/>
      <c r="BL650" s="844"/>
      <c r="BM650" s="844"/>
      <c r="BN650" s="844"/>
      <c r="BO650" s="844"/>
      <c r="BP650" s="985"/>
      <c r="BQ650" s="844"/>
      <c r="BR650" s="844"/>
      <c r="BS650" s="844"/>
      <c r="BT650" s="844"/>
      <c r="BU650" s="985"/>
      <c r="BV650" s="844"/>
      <c r="BW650" s="844"/>
      <c r="BX650" s="844"/>
      <c r="BY650" s="844"/>
      <c r="BZ650" s="985"/>
      <c r="CA650" s="844"/>
      <c r="CB650" s="224"/>
      <c r="CC650" s="224"/>
      <c r="CD650" s="224"/>
      <c r="CE650" s="985"/>
      <c r="CF650" s="844"/>
      <c r="CG650" s="844"/>
      <c r="CH650" s="844"/>
      <c r="CI650" s="1818"/>
      <c r="CJ650" s="985"/>
      <c r="CK650" s="224"/>
      <c r="CL650" s="224"/>
      <c r="CM650" s="224"/>
      <c r="CN650" s="1818"/>
      <c r="CO650" s="985"/>
      <c r="CP650" s="224"/>
      <c r="CQ650" s="224"/>
      <c r="CR650" s="224"/>
      <c r="CS650" s="224"/>
      <c r="CT650" s="985"/>
      <c r="CU650" s="224"/>
      <c r="CV650" s="224"/>
      <c r="CW650" s="224"/>
      <c r="CX650" s="224"/>
      <c r="CY650" s="985"/>
      <c r="CZ650" s="985"/>
      <c r="DA650" s="985"/>
      <c r="DB650"/>
      <c r="DC650"/>
      <c r="DD650" s="2285"/>
      <c r="DE650" s="2284"/>
      <c r="DF650" s="2284"/>
      <c r="DG650" s="2284"/>
      <c r="DH650" s="2284"/>
      <c r="DI650" s="2284"/>
      <c r="DJ650" s="2284"/>
      <c r="DK650" s="2284"/>
      <c r="DL650" s="2284"/>
      <c r="DM650" s="2284"/>
      <c r="DN650" s="2284"/>
      <c r="DO650" s="2284"/>
      <c r="DP650" s="2284"/>
      <c r="DQ650" s="2284"/>
      <c r="DR650" s="2284"/>
      <c r="DS650" s="2284"/>
      <c r="DT650" s="2284"/>
      <c r="DU650" s="2284"/>
      <c r="DV650" s="2284"/>
      <c r="DW650" s="2284"/>
      <c r="DX650" s="2284"/>
      <c r="DY650" s="2284"/>
      <c r="EA650"/>
      <c r="EB650"/>
      <c r="EC650"/>
      <c r="ED650"/>
      <c r="EE650"/>
      <c r="EF650"/>
      <c r="EJ650"/>
      <c r="EK650"/>
      <c r="EL650"/>
      <c r="ER650" s="212"/>
    </row>
    <row r="651" spans="1:148" s="923" customFormat="1" ht="12.75" customHeight="1" x14ac:dyDescent="0.2">
      <c r="A651" s="1720" t="s">
        <v>1921</v>
      </c>
      <c r="B651" s="1687"/>
      <c r="C651" s="1687"/>
      <c r="D651" s="1687"/>
      <c r="E651" s="1687"/>
      <c r="F651" s="1687"/>
      <c r="G651" s="1687"/>
      <c r="H651" s="1687"/>
      <c r="I651" s="1687"/>
      <c r="J651" s="1687"/>
      <c r="K651" s="1687"/>
      <c r="L651" s="1687"/>
      <c r="M651" s="2629"/>
      <c r="N651" s="1687">
        <f>N930/AVERAGE(M745:N745)</f>
        <v>4.6153846153846158E-3</v>
      </c>
      <c r="O651" s="1687">
        <f>O930/AVERAGE(N745:O745)</f>
        <v>4.6153846153846158E-3</v>
      </c>
      <c r="P651" s="1687">
        <f>P930/AVERAGE(O745:P745)</f>
        <v>4.6153846153846158E-3</v>
      </c>
      <c r="Q651" s="1687">
        <f>Q930/AVERAGE(P745:Q745)</f>
        <v>6.1538461538461538E-3</v>
      </c>
      <c r="R651" s="2629">
        <f>R930/AVERAGE(M745,R745)</f>
        <v>2.225756866938448E-2</v>
      </c>
      <c r="S651" s="1687">
        <f>S930/AVERAGE(R745:S745)</f>
        <v>4.5283018867924522E-3</v>
      </c>
      <c r="T651" s="1687">
        <f>T930/AVERAGE(S745:T745)</f>
        <v>4.5283018867924522E-3</v>
      </c>
      <c r="U651" s="1687">
        <f>U930/AVERAGE(T745:U745)</f>
        <v>4.528301886792453E-3</v>
      </c>
      <c r="V651" s="1687">
        <f>V930/AVERAGE(U745:V745)</f>
        <v>6.4150943396226413E-3</v>
      </c>
      <c r="W651" s="2629">
        <f>W930/AVERAGE(R745,W745)</f>
        <v>1.1729342875731944E-2</v>
      </c>
      <c r="X651" s="1687">
        <f>X930/AVERAGE(W745:X745)</f>
        <v>4.6153846153846158E-3</v>
      </c>
      <c r="Y651" s="1687">
        <f>Y930/AVERAGE(X745:Y745)</f>
        <v>4.6153846153846158E-3</v>
      </c>
      <c r="Z651" s="1687">
        <f>Z930/AVERAGE(Y745:Z745)</f>
        <v>4.6153846153846149E-3</v>
      </c>
      <c r="AA651" s="1687">
        <f>AA930/AVERAGE(Z745:AA745)</f>
        <v>6.1538461538461547E-3</v>
      </c>
      <c r="AB651" s="2629">
        <f>AB930/AVERAGE(W745,AB745)</f>
        <v>2.2752657178886693E-2</v>
      </c>
      <c r="AC651" s="1687">
        <f>AC930/AVERAGE(AB745:AC745)</f>
        <v>4.6153846153846158E-3</v>
      </c>
      <c r="AD651" s="1687">
        <f>AD930/AVERAGE(AC745:AD745)</f>
        <v>4.6153846153846158E-3</v>
      </c>
      <c r="AE651" s="1687">
        <f>AE930/AVERAGE(AD745:AE745)</f>
        <v>4.6153846153846158E-3</v>
      </c>
      <c r="AF651" s="1687">
        <f>AF930/AVERAGE(AE745:AF745)</f>
        <v>6.1538461538461547E-3</v>
      </c>
      <c r="AG651" s="2629">
        <f>AG930/AVERAGE(AB745,AG745)</f>
        <v>1.1369831369831373E-2</v>
      </c>
      <c r="AH651" s="1687">
        <f>AH930/AVERAGE(AG745:AH745)</f>
        <v>4.6153846153846158E-3</v>
      </c>
      <c r="AI651" s="1687">
        <f>AI930/AVERAGE(AH745:AI745)</f>
        <v>4.6153846153846158E-3</v>
      </c>
      <c r="AJ651" s="1687">
        <f>AJ930/AVERAGE(AI745:AJ745)</f>
        <v>4.6153846153846158E-3</v>
      </c>
      <c r="AK651" s="1687">
        <f>AK930/AVERAGE(AJ745:AK745)</f>
        <v>6.1538461538461547E-3</v>
      </c>
      <c r="AL651" s="2629">
        <f>AL930/AVERAGE(AG745,AL745)</f>
        <v>1.478095539887507E-2</v>
      </c>
      <c r="AM651" s="1687">
        <f>AM930/AVERAGE(AL745:AM745)</f>
        <v>4.6027397260273977E-3</v>
      </c>
      <c r="AN651" s="1687">
        <f>AN930/AVERAGE(AM745:AN745)</f>
        <v>4.6027397260273977E-3</v>
      </c>
      <c r="AO651" s="1687">
        <f>AO930/AVERAGE(AN745:AO745)</f>
        <v>4.6027397260273977E-3</v>
      </c>
      <c r="AP651" s="1687">
        <f>AP930/AVERAGE(AO745:AP745)</f>
        <v>6.1917808219178081E-3</v>
      </c>
      <c r="AQ651" s="2629">
        <f>AQ930/AVERAGE(AL745,AQ745)</f>
        <v>2.1560106234274536E-2</v>
      </c>
      <c r="AR651" s="1687">
        <f>AR930/AVERAGE(AQ745:AR745)</f>
        <v>4.6027397260273977E-3</v>
      </c>
      <c r="AS651" s="1687">
        <f>AS930/AVERAGE(AR745:AS745)</f>
        <v>4.6027397260273977E-3</v>
      </c>
      <c r="AT651" s="1687">
        <f>AT930/AVERAGE(AS745:AT745)</f>
        <v>4.6027397260273977E-3</v>
      </c>
      <c r="AU651" s="1687">
        <f>AU930/AVERAGE(AT745:AU745)</f>
        <v>6.1917808219178081E-3</v>
      </c>
      <c r="AV651" s="2629">
        <f>AV930/AVERAGE(AQ745,AV745)</f>
        <v>1.4633175305796381E-2</v>
      </c>
      <c r="AW651" s="1687">
        <f>AW930/AVERAGE(AV745:AW745)</f>
        <v>4.6027397260273977E-3</v>
      </c>
      <c r="AX651" s="1687">
        <f>AX930/AVERAGE(AW745:AX745)</f>
        <v>4.6027397260273968E-3</v>
      </c>
      <c r="AY651" s="1687">
        <f>AY930/AVERAGE(AX745:AY745)</f>
        <v>4.6027397260273977E-3</v>
      </c>
      <c r="AZ651" s="1687">
        <f>AZ930/AVERAGE(AY745:AZ745)</f>
        <v>6.4109589041095897E-3</v>
      </c>
      <c r="BA651" s="2629">
        <f>BA930/AVERAGE(AV745,BA745)</f>
        <v>1.6560056440707859E-2</v>
      </c>
      <c r="BB651" s="1687">
        <f>BB930/AVERAGE(BA745:BB745)</f>
        <v>4.6027397260273977E-3</v>
      </c>
      <c r="BC651" s="1687">
        <f>BC930/AVERAGE(BB745:BC745)</f>
        <v>4.6027397260273977E-3</v>
      </c>
      <c r="BD651" s="1687">
        <f>BD930/AVERAGE(BC745:BD745)</f>
        <v>4.6027397260273977E-3</v>
      </c>
      <c r="BE651" s="1687">
        <f>BE930/AVERAGE(BD745:BE745)</f>
        <v>6.1369863013698645E-3</v>
      </c>
      <c r="BF651" s="2629">
        <f>BF930/AVERAGE(BA745,BF745)</f>
        <v>2.1750563899433355E-2</v>
      </c>
      <c r="BG651" s="1687">
        <f>BG930/AVERAGE(BE745,BG745)</f>
        <v>4.6153846153846149E-3</v>
      </c>
      <c r="BH651" s="1687">
        <f>BH930/AVERAGE(BG745:BH745)</f>
        <v>4.6153846153846167E-3</v>
      </c>
      <c r="BI651" s="1687">
        <f>BI930/AVERAGE(BH745:BI745)</f>
        <v>4.6153846153846158E-3</v>
      </c>
      <c r="BJ651" s="1687">
        <f>BJ930/AVERAGE(BI745:BJ745)</f>
        <v>6.1538461538461547E-3</v>
      </c>
      <c r="BK651" s="2629">
        <f>BK930/AVERAGE(BF745,BK745)</f>
        <v>1.2987593052109182E-2</v>
      </c>
      <c r="BL651" s="1687">
        <f>BL930/AVERAGE(BK745:BL745)</f>
        <v>7.1826478606139624E-3</v>
      </c>
      <c r="BM651" s="1687">
        <f>BM930/AVERAGE(BL745:BM745)</f>
        <v>5.092838196286472E-3</v>
      </c>
      <c r="BN651" s="1687">
        <f>BN930/AVERAGE(BM745:BN745)</f>
        <v>8.0118694362017804E-4</v>
      </c>
      <c r="BO651" s="1687">
        <f>BO930/AVERAGE(BN745:BO745)</f>
        <v>2.1022455805064502E-3</v>
      </c>
      <c r="BP651" s="2629">
        <f>BP930/AVERAGE(BK745,BP745)</f>
        <v>1.1429476618932963E-2</v>
      </c>
      <c r="BQ651" s="1687">
        <f>BQ930/AVERAGE(BP745:BQ745)</f>
        <v>6.0047095761381483E-4</v>
      </c>
      <c r="BR651" s="1687">
        <f>BR930/AVERAGE(BQ745:BR745)</f>
        <v>1.6942551119766311E-3</v>
      </c>
      <c r="BS651" s="1687">
        <f>BS930/AVERAGE(BR745:BS745)</f>
        <v>1.153846153846154E-3</v>
      </c>
      <c r="BT651" s="1687">
        <f>BT930/AVERAGE(BS745:BT745)</f>
        <v>1.6739736946990835E-3</v>
      </c>
      <c r="BU651" s="2629">
        <f>AVERAGE(BQ651:BT651)</f>
        <v>1.2806364795339207E-3</v>
      </c>
      <c r="BV651" s="1687">
        <f>BV930/AVERAGE(BU745:BV745)</f>
        <v>7.1971295905445343E-4</v>
      </c>
      <c r="BW651" s="1687">
        <f>BW930/AVERAGE(BV745:BW745)</f>
        <v>1.6610777058279373E-3</v>
      </c>
      <c r="BX651" s="1687">
        <f>BX930/AVERAGE(BW745:BX745)</f>
        <v>1.0714285714285715E-3</v>
      </c>
      <c r="BY651" s="1687">
        <f>BY930/AVERAGE(BX745:BY745)</f>
        <v>1.3479853479853479E-3</v>
      </c>
      <c r="BZ651" s="1671">
        <f>AVERAGE(BV651:BY651)</f>
        <v>1.2000511460740775E-3</v>
      </c>
      <c r="CA651" s="1687">
        <f>CA930/AVERAGE(BZ745:CA745)</f>
        <v>1.0022094564737076E-3</v>
      </c>
      <c r="CB651" s="1687">
        <f>CB930/AVERAGE(CA745:CB745)</f>
        <v>1.2200524628388225E-3</v>
      </c>
      <c r="CC651" s="1687">
        <f>CC930/AVERAGE(CB745:CC745)</f>
        <v>1.4150444604662342E-3</v>
      </c>
      <c r="CD651" s="1687">
        <f>CD930/AVERAGE(CC745:CD745)</f>
        <v>1.4885125660662282E-3</v>
      </c>
      <c r="CE651" s="986">
        <f>AVERAGE(CA651:CD651)</f>
        <v>1.2814547364612483E-3</v>
      </c>
      <c r="CF651" s="1687">
        <f>CF930/AVERAGE(CE745:CF745)</f>
        <v>1.1448140900195696E-3</v>
      </c>
      <c r="CG651" s="1687">
        <f>CG930/AVERAGE(CF745:CG745)</f>
        <v>1.1506849315068494E-3</v>
      </c>
      <c r="CH651" s="1687">
        <f>CH930/AVERAGE(CG745:CH745)</f>
        <v>1.5016030311862435E-3</v>
      </c>
      <c r="CI651" s="1819">
        <v>0.01</v>
      </c>
      <c r="CJ651" s="2629">
        <f>AVERAGE(CF651:CI651)</f>
        <v>3.4492755131781657E-3</v>
      </c>
      <c r="CK651" s="1833">
        <v>0.01</v>
      </c>
      <c r="CL651" s="1833">
        <v>0.01</v>
      </c>
      <c r="CM651" s="1833">
        <v>0.01</v>
      </c>
      <c r="CN651" s="1819">
        <v>0.01</v>
      </c>
      <c r="CO651" s="2629">
        <f>AVERAGE(CK651:CN651)</f>
        <v>0.01</v>
      </c>
      <c r="CP651" s="1833">
        <v>0.01</v>
      </c>
      <c r="CQ651" s="1833">
        <v>0.01</v>
      </c>
      <c r="CR651" s="1833">
        <v>0.01</v>
      </c>
      <c r="CS651" s="1833">
        <v>0.01</v>
      </c>
      <c r="CT651" s="2629">
        <f>AVERAGE(CP651:CS651)</f>
        <v>0.01</v>
      </c>
      <c r="CU651" s="1833"/>
      <c r="CV651" s="1833"/>
      <c r="CW651" s="1833"/>
      <c r="CX651" s="1833"/>
      <c r="CY651" s="986"/>
      <c r="CZ651" s="986"/>
      <c r="DA651" s="986"/>
      <c r="DB651"/>
      <c r="DC651"/>
      <c r="DD651" s="1720" t="s">
        <v>1921</v>
      </c>
      <c r="DE651" s="2355">
        <f>M651</f>
        <v>0</v>
      </c>
      <c r="DF651" s="2355">
        <f>R651</f>
        <v>2.225756866938448E-2</v>
      </c>
      <c r="DG651" s="2355">
        <f>W651</f>
        <v>1.1729342875731944E-2</v>
      </c>
      <c r="DH651" s="2355">
        <f>AB651</f>
        <v>2.2752657178886693E-2</v>
      </c>
      <c r="DI651" s="2355">
        <f>AG651</f>
        <v>1.1369831369831373E-2</v>
      </c>
      <c r="DJ651" s="2355">
        <f>AL651</f>
        <v>1.478095539887507E-2</v>
      </c>
      <c r="DK651" s="2355">
        <f>AQ651</f>
        <v>2.1560106234274536E-2</v>
      </c>
      <c r="DL651" s="2355">
        <f>AV651</f>
        <v>1.4633175305796381E-2</v>
      </c>
      <c r="DM651" s="2355">
        <f>BA651</f>
        <v>1.6560056440707859E-2</v>
      </c>
      <c r="DN651" s="2355">
        <f>BF651</f>
        <v>2.1750563899433355E-2</v>
      </c>
      <c r="DO651" s="2355">
        <f>BK651</f>
        <v>1.2987593052109182E-2</v>
      </c>
      <c r="DP651" s="2355">
        <f>BP651</f>
        <v>1.1429476618932963E-2</v>
      </c>
      <c r="DQ651" s="2355">
        <f>BU651</f>
        <v>1.2806364795339207E-3</v>
      </c>
      <c r="DR651" s="2355">
        <f>BZ651</f>
        <v>1.2000511460740775E-3</v>
      </c>
      <c r="DS651" s="2355">
        <f>CE651</f>
        <v>1.2814547364612483E-3</v>
      </c>
      <c r="DT651" s="2355">
        <f>CJ651</f>
        <v>3.4492755131781657E-3</v>
      </c>
      <c r="DU651" s="2355">
        <f>CO651</f>
        <v>0.01</v>
      </c>
      <c r="DV651" s="2355">
        <f>CT651</f>
        <v>0.01</v>
      </c>
      <c r="DW651" s="2355">
        <f>CY651</f>
        <v>0</v>
      </c>
      <c r="DX651" s="2355">
        <f>CZ651</f>
        <v>0</v>
      </c>
      <c r="DY651" s="2355">
        <f>DA651</f>
        <v>0</v>
      </c>
      <c r="EA651"/>
      <c r="EB651"/>
      <c r="EC651"/>
      <c r="ED651"/>
      <c r="EE651"/>
      <c r="EF651"/>
      <c r="EJ651"/>
      <c r="EK651"/>
      <c r="EL651"/>
      <c r="ER651" s="212"/>
    </row>
    <row r="652" spans="1:148" s="923" customFormat="1" ht="12.75" customHeight="1" x14ac:dyDescent="0.2">
      <c r="A652" s="865"/>
      <c r="B652" s="847"/>
      <c r="C652" s="847"/>
      <c r="D652" s="847"/>
      <c r="E652" s="847"/>
      <c r="F652" s="847"/>
      <c r="G652" s="847"/>
      <c r="H652" s="847"/>
      <c r="I652" s="847"/>
      <c r="J652" s="847"/>
      <c r="K652" s="847"/>
      <c r="L652" s="847"/>
      <c r="M652" s="215"/>
      <c r="N652" s="847"/>
      <c r="O652" s="847"/>
      <c r="P652" s="847"/>
      <c r="Q652" s="847"/>
      <c r="R652" s="215"/>
      <c r="S652" s="847"/>
      <c r="T652" s="847"/>
      <c r="U652" s="847"/>
      <c r="V652" s="847"/>
      <c r="W652" s="215"/>
      <c r="X652" s="847"/>
      <c r="Y652" s="847"/>
      <c r="Z652" s="847"/>
      <c r="AA652" s="847"/>
      <c r="AB652" s="215"/>
      <c r="AC652" s="847"/>
      <c r="AD652" s="847"/>
      <c r="AE652" s="847"/>
      <c r="AF652" s="847"/>
      <c r="AG652" s="215"/>
      <c r="AH652" s="847"/>
      <c r="AI652" s="847"/>
      <c r="AJ652" s="847"/>
      <c r="AK652" s="847"/>
      <c r="AL652" s="215"/>
      <c r="AM652" s="847"/>
      <c r="AN652" s="847"/>
      <c r="AO652" s="847"/>
      <c r="AP652" s="847"/>
      <c r="AQ652" s="215"/>
      <c r="AR652" s="847"/>
      <c r="AS652" s="847"/>
      <c r="AT652" s="847"/>
      <c r="AU652" s="847"/>
      <c r="AV652" s="215"/>
      <c r="AW652" s="847"/>
      <c r="AX652" s="847"/>
      <c r="AY652" s="847"/>
      <c r="AZ652" s="847"/>
      <c r="BA652" s="215"/>
      <c r="BB652" s="847"/>
      <c r="BC652" s="847"/>
      <c r="BD652" s="847"/>
      <c r="BE652" s="847"/>
      <c r="BF652" s="215"/>
      <c r="BG652" s="847"/>
      <c r="BH652" s="847"/>
      <c r="BI652" s="847"/>
      <c r="BJ652" s="847"/>
      <c r="BK652" s="215"/>
      <c r="BL652" s="847"/>
      <c r="BM652" s="847"/>
      <c r="BN652" s="847"/>
      <c r="BO652" s="847"/>
      <c r="BP652" s="215"/>
      <c r="BQ652" s="847"/>
      <c r="BR652" s="847"/>
      <c r="BS652" s="847"/>
      <c r="BT652" s="847"/>
      <c r="BU652" s="215"/>
      <c r="BV652" s="847"/>
      <c r="BW652" s="847"/>
      <c r="BX652" s="847"/>
      <c r="BY652" s="847"/>
      <c r="BZ652" s="215"/>
      <c r="CA652" s="215"/>
      <c r="CB652" s="215"/>
      <c r="CC652" s="215"/>
      <c r="CD652" s="215"/>
      <c r="CE652" s="215"/>
      <c r="CF652" s="215"/>
      <c r="CG652" s="215"/>
      <c r="CH652" s="215"/>
      <c r="CI652" s="215"/>
      <c r="CJ652" s="215"/>
      <c r="CK652" s="215"/>
      <c r="CL652" s="215"/>
      <c r="CM652" s="215"/>
      <c r="CN652" s="215"/>
      <c r="CO652" s="215"/>
      <c r="CP652" s="215"/>
      <c r="CQ652" s="215"/>
      <c r="CR652" s="215"/>
      <c r="CS652" s="215"/>
      <c r="CT652" s="215"/>
      <c r="CU652" s="215"/>
      <c r="CV652" s="215"/>
      <c r="CW652" s="215"/>
      <c r="CX652" s="215"/>
      <c r="CY652" s="215"/>
      <c r="CZ652" s="215"/>
      <c r="DA652" s="215"/>
      <c r="DB652"/>
      <c r="DC652"/>
      <c r="DD652" s="2323"/>
      <c r="DE652" s="2327"/>
      <c r="DF652" s="2327"/>
      <c r="DG652" s="2327"/>
      <c r="DH652" s="2327"/>
      <c r="DI652" s="2327"/>
      <c r="DJ652" s="2327"/>
      <c r="DK652" s="2327"/>
      <c r="DL652" s="2327"/>
      <c r="DM652" s="2327"/>
      <c r="DN652" s="2327"/>
      <c r="DO652" s="2327"/>
      <c r="DP652" s="2327"/>
      <c r="DQ652" s="2327"/>
      <c r="DR652" s="2327"/>
      <c r="DS652" s="2327"/>
      <c r="DT652" s="2327"/>
      <c r="DU652" s="2327"/>
      <c r="DV652" s="2327"/>
      <c r="DW652" s="2327"/>
      <c r="DX652" s="2327"/>
      <c r="DY652" s="2327"/>
      <c r="EA652"/>
      <c r="EB652"/>
      <c r="EC652"/>
      <c r="ED652"/>
      <c r="EE652"/>
      <c r="EF652"/>
      <c r="EJ652"/>
      <c r="EK652"/>
      <c r="EL652"/>
      <c r="ER652" s="212"/>
    </row>
    <row r="653" spans="1:148" s="923" customFormat="1" ht="12.75" customHeight="1" x14ac:dyDescent="0.2">
      <c r="A653" s="865"/>
      <c r="B653" s="215"/>
      <c r="C653" s="215"/>
      <c r="D653" s="215"/>
      <c r="E653" s="215"/>
      <c r="F653" s="215"/>
      <c r="G653" s="215"/>
      <c r="H653" s="215"/>
      <c r="I653" s="215"/>
      <c r="J653" s="215"/>
      <c r="K653" s="215"/>
      <c r="L653" s="215"/>
      <c r="M653" s="215"/>
      <c r="N653" s="215"/>
      <c r="O653" s="215"/>
      <c r="P653" s="215"/>
      <c r="Q653" s="215"/>
      <c r="R653" s="215"/>
      <c r="S653" s="215"/>
      <c r="T653" s="215"/>
      <c r="U653" s="215"/>
      <c r="V653" s="215"/>
      <c r="W653" s="215"/>
      <c r="X653" s="215"/>
      <c r="Y653" s="215"/>
      <c r="Z653" s="215"/>
      <c r="AA653" s="215"/>
      <c r="AB653" s="215"/>
      <c r="AC653" s="215"/>
      <c r="AD653" s="215"/>
      <c r="AE653" s="215"/>
      <c r="AF653" s="215"/>
      <c r="AG653" s="215"/>
      <c r="AH653" s="215"/>
      <c r="AI653" s="215"/>
      <c r="AJ653" s="215"/>
      <c r="AK653" s="215"/>
      <c r="AL653" s="215"/>
      <c r="AM653" s="215"/>
      <c r="AN653" s="215"/>
      <c r="AO653" s="215"/>
      <c r="AP653" s="215"/>
      <c r="AQ653" s="215"/>
      <c r="AR653" s="215"/>
      <c r="AS653" s="215"/>
      <c r="AT653" s="215"/>
      <c r="AU653" s="215"/>
      <c r="AV653" s="215"/>
      <c r="AW653" s="215"/>
      <c r="AX653" s="215"/>
      <c r="AY653" s="215"/>
      <c r="AZ653" s="215"/>
      <c r="BA653" s="215"/>
      <c r="BB653" s="215"/>
      <c r="BC653" s="215"/>
      <c r="BD653" s="215"/>
      <c r="BE653" s="215"/>
      <c r="BF653" s="215"/>
      <c r="BG653" s="215"/>
      <c r="BH653" s="215"/>
      <c r="BI653" s="215"/>
      <c r="BJ653" s="215"/>
      <c r="BK653" s="215"/>
      <c r="BL653" s="215"/>
      <c r="BM653" s="215"/>
      <c r="BN653" s="215"/>
      <c r="BO653" s="215"/>
      <c r="BP653" s="215"/>
      <c r="BQ653" s="215"/>
      <c r="BR653" s="215"/>
      <c r="BS653" s="215"/>
      <c r="BT653" s="215"/>
      <c r="BU653" s="215"/>
      <c r="BV653" s="215"/>
      <c r="BW653" s="215"/>
      <c r="BX653" s="215"/>
      <c r="BY653" s="215"/>
      <c r="BZ653" s="215"/>
      <c r="CA653" s="215"/>
      <c r="CB653" s="215"/>
      <c r="CC653" s="215"/>
      <c r="CD653" s="215"/>
      <c r="CE653" s="215"/>
      <c r="CF653" s="215"/>
      <c r="CG653" s="215"/>
      <c r="CH653" s="215"/>
      <c r="CI653" s="215"/>
      <c r="CJ653" s="215"/>
      <c r="CK653" s="215"/>
      <c r="CL653" s="215"/>
      <c r="CM653" s="215"/>
      <c r="CN653" s="215"/>
      <c r="CO653" s="215"/>
      <c r="CP653" s="215"/>
      <c r="CQ653" s="215"/>
      <c r="CR653" s="215"/>
      <c r="CS653" s="215"/>
      <c r="CT653" s="215"/>
      <c r="CU653" s="215"/>
      <c r="CV653" s="215"/>
      <c r="CW653" s="215"/>
      <c r="CX653" s="215"/>
      <c r="CY653" s="215"/>
      <c r="CZ653" s="215"/>
      <c r="DA653" s="215"/>
      <c r="DB653"/>
      <c r="DC653"/>
      <c r="DD653" s="2323"/>
      <c r="DE653" s="2327"/>
      <c r="DF653" s="2327"/>
      <c r="DG653" s="2327"/>
      <c r="DH653" s="2327"/>
      <c r="DI653" s="2327"/>
      <c r="DJ653" s="2327"/>
      <c r="DK653" s="2327"/>
      <c r="DL653" s="2327"/>
      <c r="DM653" s="2327"/>
      <c r="DN653" s="2327"/>
      <c r="DO653" s="2327"/>
      <c r="DP653" s="2327"/>
      <c r="DQ653" s="2327"/>
      <c r="DR653" s="2327"/>
      <c r="DS653" s="2327"/>
      <c r="DT653" s="2327"/>
      <c r="DU653" s="2327"/>
      <c r="DV653" s="2327"/>
      <c r="DW653" s="2327"/>
      <c r="DX653" s="2327"/>
      <c r="DY653" s="2327"/>
      <c r="EA653"/>
      <c r="EB653"/>
      <c r="EC653"/>
      <c r="ED653"/>
      <c r="EE653"/>
      <c r="EF653"/>
      <c r="EJ653"/>
      <c r="EK653"/>
      <c r="EL653"/>
      <c r="ER653" s="212"/>
    </row>
    <row r="654" spans="1:148" s="923" customFormat="1" ht="12.75" customHeight="1" x14ac:dyDescent="0.2">
      <c r="A654" s="873" t="s">
        <v>873</v>
      </c>
      <c r="B654" s="963"/>
      <c r="C654" s="963"/>
      <c r="D654" s="963"/>
      <c r="E654" s="963"/>
      <c r="F654" s="963"/>
      <c r="G654" s="963"/>
      <c r="H654" s="963"/>
      <c r="I654" s="963" t="str">
        <f t="shared" ref="I654:AN654" si="1156">I$5</f>
        <v>1Q00</v>
      </c>
      <c r="J654" s="963" t="str">
        <f t="shared" si="1156"/>
        <v>2Q00</v>
      </c>
      <c r="K654" s="963" t="str">
        <f t="shared" si="1156"/>
        <v>3Q00</v>
      </c>
      <c r="L654" s="963" t="str">
        <f t="shared" si="1156"/>
        <v>4Q00</v>
      </c>
      <c r="M654" s="649">
        <f t="shared" si="1156"/>
        <v>2000</v>
      </c>
      <c r="N654" s="963" t="str">
        <f t="shared" si="1156"/>
        <v>1Q01</v>
      </c>
      <c r="O654" s="963" t="str">
        <f t="shared" si="1156"/>
        <v>2Q01</v>
      </c>
      <c r="P654" s="963" t="str">
        <f t="shared" si="1156"/>
        <v>3Q01</v>
      </c>
      <c r="Q654" s="963" t="str">
        <f t="shared" si="1156"/>
        <v>4Q01</v>
      </c>
      <c r="R654" s="649">
        <f t="shared" si="1156"/>
        <v>2001</v>
      </c>
      <c r="S654" s="963" t="str">
        <f t="shared" si="1156"/>
        <v>1Q02</v>
      </c>
      <c r="T654" s="963" t="str">
        <f t="shared" si="1156"/>
        <v>2Q02</v>
      </c>
      <c r="U654" s="963" t="str">
        <f t="shared" si="1156"/>
        <v>3Q02</v>
      </c>
      <c r="V654" s="963" t="str">
        <f t="shared" si="1156"/>
        <v>4Q02</v>
      </c>
      <c r="W654" s="649">
        <f t="shared" si="1156"/>
        <v>2002</v>
      </c>
      <c r="X654" s="963" t="str">
        <f t="shared" si="1156"/>
        <v>1Q03</v>
      </c>
      <c r="Y654" s="963" t="str">
        <f t="shared" si="1156"/>
        <v>2Q03</v>
      </c>
      <c r="Z654" s="963" t="str">
        <f t="shared" si="1156"/>
        <v>3Q03</v>
      </c>
      <c r="AA654" s="963" t="str">
        <f t="shared" si="1156"/>
        <v>4Q03</v>
      </c>
      <c r="AB654" s="649">
        <f t="shared" si="1156"/>
        <v>2003</v>
      </c>
      <c r="AC654" s="963" t="str">
        <f t="shared" si="1156"/>
        <v>1Q04</v>
      </c>
      <c r="AD654" s="963" t="str">
        <f t="shared" si="1156"/>
        <v>2Q04</v>
      </c>
      <c r="AE654" s="963" t="str">
        <f t="shared" si="1156"/>
        <v>3Q04</v>
      </c>
      <c r="AF654" s="963" t="str">
        <f t="shared" si="1156"/>
        <v>4Q04</v>
      </c>
      <c r="AG654" s="649" t="str">
        <f t="shared" si="1156"/>
        <v>2004</v>
      </c>
      <c r="AH654" s="963" t="str">
        <f t="shared" si="1156"/>
        <v>1Q05</v>
      </c>
      <c r="AI654" s="963" t="str">
        <f t="shared" si="1156"/>
        <v>2Q05</v>
      </c>
      <c r="AJ654" s="963" t="str">
        <f t="shared" si="1156"/>
        <v>3Q05</v>
      </c>
      <c r="AK654" s="963" t="str">
        <f t="shared" si="1156"/>
        <v>4Q05</v>
      </c>
      <c r="AL654" s="649" t="str">
        <f t="shared" si="1156"/>
        <v>2005</v>
      </c>
      <c r="AM654" s="963" t="str">
        <f t="shared" si="1156"/>
        <v>1Q06</v>
      </c>
      <c r="AN654" s="963" t="str">
        <f t="shared" si="1156"/>
        <v>2Q06</v>
      </c>
      <c r="AO654" s="963" t="str">
        <f t="shared" ref="AO654:BT654" si="1157">AO$5</f>
        <v>3Q06</v>
      </c>
      <c r="AP654" s="963" t="str">
        <f t="shared" si="1157"/>
        <v>4Q06</v>
      </c>
      <c r="AQ654" s="649" t="str">
        <f t="shared" si="1157"/>
        <v>2006</v>
      </c>
      <c r="AR654" s="963" t="str">
        <f t="shared" si="1157"/>
        <v>1Q07</v>
      </c>
      <c r="AS654" s="963" t="str">
        <f t="shared" si="1157"/>
        <v>2Q07</v>
      </c>
      <c r="AT654" s="963" t="str">
        <f t="shared" si="1157"/>
        <v>3Q07</v>
      </c>
      <c r="AU654" s="963" t="str">
        <f t="shared" si="1157"/>
        <v>4Q07</v>
      </c>
      <c r="AV654" s="649" t="str">
        <f t="shared" si="1157"/>
        <v>2007</v>
      </c>
      <c r="AW654" s="963" t="str">
        <f t="shared" si="1157"/>
        <v>1Q08</v>
      </c>
      <c r="AX654" s="963" t="str">
        <f t="shared" si="1157"/>
        <v>2Q08</v>
      </c>
      <c r="AY654" s="963" t="str">
        <f t="shared" si="1157"/>
        <v>3Q08</v>
      </c>
      <c r="AZ654" s="963" t="str">
        <f t="shared" si="1157"/>
        <v>4Q08</v>
      </c>
      <c r="BA654" s="649" t="str">
        <f t="shared" si="1157"/>
        <v>2008</v>
      </c>
      <c r="BB654" s="963" t="str">
        <f t="shared" si="1157"/>
        <v>1Q09</v>
      </c>
      <c r="BC654" s="963" t="str">
        <f t="shared" si="1157"/>
        <v>2Q09</v>
      </c>
      <c r="BD654" s="963" t="str">
        <f t="shared" si="1157"/>
        <v>3Q09</v>
      </c>
      <c r="BE654" s="963" t="str">
        <f t="shared" si="1157"/>
        <v>4Q09</v>
      </c>
      <c r="BF654" s="649" t="str">
        <f t="shared" si="1157"/>
        <v>2009</v>
      </c>
      <c r="BG654" s="963" t="str">
        <f t="shared" si="1157"/>
        <v>1Q10</v>
      </c>
      <c r="BH654" s="963" t="str">
        <f t="shared" si="1157"/>
        <v>2Q10</v>
      </c>
      <c r="BI654" s="963" t="str">
        <f t="shared" si="1157"/>
        <v>3Q10</v>
      </c>
      <c r="BJ654" s="963" t="str">
        <f t="shared" si="1157"/>
        <v>4Q10</v>
      </c>
      <c r="BK654" s="649" t="str">
        <f t="shared" si="1157"/>
        <v>2010</v>
      </c>
      <c r="BL654" s="963" t="str">
        <f t="shared" si="1157"/>
        <v>1Q11</v>
      </c>
      <c r="BM654" s="963" t="str">
        <f t="shared" si="1157"/>
        <v>2Q11</v>
      </c>
      <c r="BN654" s="963" t="str">
        <f t="shared" si="1157"/>
        <v>3Q11</v>
      </c>
      <c r="BO654" s="963" t="str">
        <f t="shared" si="1157"/>
        <v>4Q11</v>
      </c>
      <c r="BP654" s="649">
        <f t="shared" si="1157"/>
        <v>2011</v>
      </c>
      <c r="BQ654" s="963" t="str">
        <f t="shared" si="1157"/>
        <v>1Q12</v>
      </c>
      <c r="BR654" s="963" t="str">
        <f t="shared" si="1157"/>
        <v>2Q12</v>
      </c>
      <c r="BS654" s="963" t="str">
        <f t="shared" si="1157"/>
        <v>3Q12</v>
      </c>
      <c r="BT654" s="963" t="str">
        <f t="shared" si="1157"/>
        <v>4Q12</v>
      </c>
      <c r="BU654" s="649">
        <f t="shared" ref="BU654:DA654" si="1158">BU$5</f>
        <v>2012</v>
      </c>
      <c r="BV654" s="963" t="str">
        <f t="shared" si="1158"/>
        <v>1Q13</v>
      </c>
      <c r="BW654" s="963" t="str">
        <f t="shared" si="1158"/>
        <v>2Q13</v>
      </c>
      <c r="BX654" s="963" t="str">
        <f t="shared" si="1158"/>
        <v>3Q13</v>
      </c>
      <c r="BY654" s="963" t="str">
        <f t="shared" si="1158"/>
        <v>4Q13</v>
      </c>
      <c r="BZ654" s="649">
        <f t="shared" si="1158"/>
        <v>2013</v>
      </c>
      <c r="CA654" s="1768" t="str">
        <f t="shared" si="1158"/>
        <v>1Q14</v>
      </c>
      <c r="CB654" s="963" t="str">
        <f t="shared" si="1158"/>
        <v>2Q14</v>
      </c>
      <c r="CC654" s="963" t="str">
        <f t="shared" si="1158"/>
        <v>3Q14</v>
      </c>
      <c r="CD654" s="964" t="str">
        <f t="shared" si="1158"/>
        <v>4Q14</v>
      </c>
      <c r="CE654" s="649">
        <f t="shared" si="1158"/>
        <v>2014</v>
      </c>
      <c r="CF654" s="963" t="str">
        <f t="shared" si="1158"/>
        <v>1Q15</v>
      </c>
      <c r="CG654" s="963" t="str">
        <f t="shared" si="1158"/>
        <v>2Q15</v>
      </c>
      <c r="CH654" s="963" t="str">
        <f t="shared" si="1158"/>
        <v>3Q15</v>
      </c>
      <c r="CI654" s="964" t="str">
        <f t="shared" si="1158"/>
        <v>4Q15</v>
      </c>
      <c r="CJ654" s="649">
        <f t="shared" si="1158"/>
        <v>2015</v>
      </c>
      <c r="CK654" s="963" t="str">
        <f t="shared" si="1158"/>
        <v>1Q16</v>
      </c>
      <c r="CL654" s="963" t="str">
        <f t="shared" si="1158"/>
        <v>2Q16</v>
      </c>
      <c r="CM654" s="963" t="str">
        <f t="shared" si="1158"/>
        <v>3Q16</v>
      </c>
      <c r="CN654" s="964" t="str">
        <f t="shared" si="1158"/>
        <v>4Q16</v>
      </c>
      <c r="CO654" s="649">
        <f t="shared" si="1158"/>
        <v>2016</v>
      </c>
      <c r="CP654" s="963" t="str">
        <f t="shared" si="1158"/>
        <v>1Q17</v>
      </c>
      <c r="CQ654" s="963" t="str">
        <f t="shared" si="1158"/>
        <v>2Q17</v>
      </c>
      <c r="CR654" s="963" t="str">
        <f t="shared" si="1158"/>
        <v>3Q17</v>
      </c>
      <c r="CS654" s="964" t="str">
        <f t="shared" si="1158"/>
        <v>4Q17A</v>
      </c>
      <c r="CT654" s="649" t="str">
        <f t="shared" si="1158"/>
        <v>2017A</v>
      </c>
      <c r="CU654" s="963" t="str">
        <f t="shared" si="1158"/>
        <v>1Q18E</v>
      </c>
      <c r="CV654" s="963" t="str">
        <f t="shared" si="1158"/>
        <v>2Q18E</v>
      </c>
      <c r="CW654" s="963" t="str">
        <f t="shared" si="1158"/>
        <v>3Q18E</v>
      </c>
      <c r="CX654" s="964" t="str">
        <f t="shared" si="1158"/>
        <v>4Q18E</v>
      </c>
      <c r="CY654" s="649" t="str">
        <f t="shared" si="1158"/>
        <v>2018E</v>
      </c>
      <c r="CZ654" s="649" t="str">
        <f t="shared" si="1158"/>
        <v>2019E</v>
      </c>
      <c r="DA654" s="649" t="str">
        <f t="shared" si="1158"/>
        <v>2020E</v>
      </c>
      <c r="DB654"/>
      <c r="DC654"/>
      <c r="DD654" s="873" t="s">
        <v>873</v>
      </c>
      <c r="DE654" s="649">
        <f>M654</f>
        <v>2000</v>
      </c>
      <c r="DF654" s="649">
        <f>R654</f>
        <v>2001</v>
      </c>
      <c r="DG654" s="649">
        <f>W654</f>
        <v>2002</v>
      </c>
      <c r="DH654" s="649">
        <f>AB654</f>
        <v>2003</v>
      </c>
      <c r="DI654" s="649" t="str">
        <f>AG654</f>
        <v>2004</v>
      </c>
      <c r="DJ654" s="649" t="str">
        <f>AL654</f>
        <v>2005</v>
      </c>
      <c r="DK654" s="649" t="str">
        <f>AQ654</f>
        <v>2006</v>
      </c>
      <c r="DL654" s="649" t="str">
        <f>AV654</f>
        <v>2007</v>
      </c>
      <c r="DM654" s="649" t="str">
        <f>BA654</f>
        <v>2008</v>
      </c>
      <c r="DN654" s="649" t="str">
        <f>BF654</f>
        <v>2009</v>
      </c>
      <c r="DO654" s="649" t="str">
        <f>BK654</f>
        <v>2010</v>
      </c>
      <c r="DP654" s="649">
        <f>BP654</f>
        <v>2011</v>
      </c>
      <c r="DQ654" s="649">
        <f>BU654</f>
        <v>2012</v>
      </c>
      <c r="DR654" s="649">
        <f>BZ654</f>
        <v>2013</v>
      </c>
      <c r="DS654" s="649">
        <f>CE654</f>
        <v>2014</v>
      </c>
      <c r="DT654" s="649">
        <f>CJ654</f>
        <v>2015</v>
      </c>
      <c r="DU654" s="649">
        <f>CO654</f>
        <v>2016</v>
      </c>
      <c r="DV654" s="649" t="str">
        <f>CT654</f>
        <v>2017A</v>
      </c>
      <c r="DW654" s="649" t="str">
        <f>CY654</f>
        <v>2018E</v>
      </c>
      <c r="DX654" s="649" t="str">
        <f>CZ654</f>
        <v>2019E</v>
      </c>
      <c r="DY654" s="649" t="str">
        <f>DA654</f>
        <v>2020E</v>
      </c>
      <c r="EA654"/>
      <c r="EB654"/>
      <c r="EC654"/>
      <c r="ED654"/>
      <c r="EE654"/>
      <c r="EF654"/>
      <c r="EJ654"/>
      <c r="EK654"/>
      <c r="EL654"/>
      <c r="ER654" s="212"/>
    </row>
    <row r="655" spans="1:148" ht="12.75" customHeight="1" x14ac:dyDescent="0.2">
      <c r="A655" s="1437"/>
      <c r="B655" s="854"/>
      <c r="C655" s="854"/>
      <c r="D655" s="854"/>
      <c r="E655" s="854"/>
      <c r="F655" s="854"/>
      <c r="G655" s="854"/>
      <c r="H655" s="854"/>
      <c r="I655" s="854"/>
      <c r="J655" s="854"/>
      <c r="K655" s="854"/>
      <c r="L655" s="854"/>
      <c r="M655" s="979"/>
      <c r="N655" s="854"/>
      <c r="O655" s="854"/>
      <c r="P655" s="854"/>
      <c r="Q655" s="854"/>
      <c r="R655" s="979"/>
      <c r="S655" s="854"/>
      <c r="T655" s="854"/>
      <c r="U655" s="854"/>
      <c r="V655" s="854"/>
      <c r="W655" s="979"/>
      <c r="X655" s="854"/>
      <c r="Y655" s="854"/>
      <c r="Z655" s="854"/>
      <c r="AA655" s="854"/>
      <c r="AB655" s="979"/>
      <c r="AC655" s="854"/>
      <c r="AD655" s="854"/>
      <c r="AE655" s="854"/>
      <c r="AF655" s="854"/>
      <c r="AG655" s="979"/>
      <c r="AH655" s="854"/>
      <c r="AI655" s="854"/>
      <c r="AJ655" s="854"/>
      <c r="AK655" s="854"/>
      <c r="AL655" s="979"/>
      <c r="AM655" s="854"/>
      <c r="AN655" s="854"/>
      <c r="AO655" s="854"/>
      <c r="AP655" s="854"/>
      <c r="AQ655" s="979"/>
      <c r="AR655" s="854"/>
      <c r="AS655" s="854"/>
      <c r="AT655" s="854"/>
      <c r="AU655" s="854"/>
      <c r="AV655" s="979"/>
      <c r="AW655" s="854"/>
      <c r="AX655" s="854"/>
      <c r="AY655" s="854"/>
      <c r="AZ655" s="854"/>
      <c r="BA655" s="979"/>
      <c r="BB655" s="854"/>
      <c r="BC655" s="854"/>
      <c r="BD655" s="854"/>
      <c r="BE655" s="854"/>
      <c r="BF655" s="979"/>
      <c r="BG655" s="854"/>
      <c r="BH655" s="854"/>
      <c r="BI655" s="854"/>
      <c r="BJ655" s="854"/>
      <c r="BK655" s="979"/>
      <c r="BL655" s="854"/>
      <c r="BM655" s="854"/>
      <c r="BN655" s="854"/>
      <c r="BO655" s="854"/>
      <c r="BP655" s="979"/>
      <c r="BQ655" s="854"/>
      <c r="BR655" s="854"/>
      <c r="BS655" s="854"/>
      <c r="BT655" s="854"/>
      <c r="BU655" s="979"/>
      <c r="BV655" s="854"/>
      <c r="BW655" s="854"/>
      <c r="BX655" s="854"/>
      <c r="BY655" s="854"/>
      <c r="BZ655" s="979"/>
      <c r="CA655" s="1769"/>
      <c r="CB655" s="1830"/>
      <c r="CC655" s="1830"/>
      <c r="CD655" s="1795"/>
      <c r="CE655" s="979"/>
      <c r="CF655" s="1830"/>
      <c r="CG655" s="1830"/>
      <c r="CH655" s="1830"/>
      <c r="CI655" s="1795"/>
      <c r="CJ655" s="979"/>
      <c r="CK655" s="1830"/>
      <c r="CL655" s="1830"/>
      <c r="CM655" s="1830"/>
      <c r="CN655" s="1795"/>
      <c r="CO655" s="979"/>
      <c r="CP655" s="1830"/>
      <c r="CQ655" s="1830"/>
      <c r="CR655" s="1830"/>
      <c r="CS655" s="1830"/>
      <c r="CT655" s="979"/>
      <c r="CU655" s="1830"/>
      <c r="CV655" s="1830"/>
      <c r="CW655" s="1830"/>
      <c r="CX655" s="1830"/>
      <c r="CY655" s="979"/>
      <c r="CZ655" s="979"/>
      <c r="DA655" s="979"/>
      <c r="DD655" s="1437"/>
      <c r="DE655" s="851"/>
      <c r="DF655" s="851"/>
      <c r="DG655" s="851"/>
      <c r="DH655" s="851"/>
      <c r="DI655" s="851"/>
      <c r="DJ655" s="851"/>
      <c r="DK655" s="851"/>
      <c r="DL655" s="851"/>
      <c r="DM655" s="851"/>
      <c r="DN655" s="851"/>
      <c r="DO655" s="851"/>
      <c r="DP655" s="851"/>
      <c r="DQ655" s="851"/>
      <c r="DR655" s="851"/>
      <c r="DS655" s="851"/>
      <c r="DT655" s="851"/>
      <c r="DU655" s="851"/>
      <c r="DV655" s="851"/>
      <c r="DW655" s="851"/>
      <c r="DX655" s="851"/>
      <c r="DY655" s="851"/>
      <c r="EK655"/>
      <c r="EL655"/>
    </row>
    <row r="656" spans="1:148" s="923" customFormat="1" ht="12.75" customHeight="1" x14ac:dyDescent="0.2">
      <c r="A656" s="1672" t="s">
        <v>17</v>
      </c>
      <c r="B656" s="220"/>
      <c r="C656" s="220"/>
      <c r="D656" s="220"/>
      <c r="E656" s="220"/>
      <c r="F656" s="220"/>
      <c r="G656" s="220"/>
      <c r="H656" s="220"/>
      <c r="I656" s="220"/>
      <c r="J656" s="220"/>
      <c r="K656" s="220"/>
      <c r="L656" s="220"/>
      <c r="M656" s="2677"/>
      <c r="N656" s="220"/>
      <c r="O656" s="220"/>
      <c r="P656" s="220"/>
      <c r="Q656" s="220"/>
      <c r="R656" s="2677"/>
      <c r="S656" s="220"/>
      <c r="T656" s="220"/>
      <c r="U656" s="220"/>
      <c r="V656" s="220"/>
      <c r="W656" s="2677"/>
      <c r="X656" s="220"/>
      <c r="Y656" s="220"/>
      <c r="Z656" s="220"/>
      <c r="AA656" s="220"/>
      <c r="AB656" s="2677"/>
      <c r="AC656" s="220"/>
      <c r="AD656" s="220"/>
      <c r="AE656" s="220"/>
      <c r="AF656" s="220"/>
      <c r="AG656" s="2677"/>
      <c r="AH656" s="220"/>
      <c r="AI656" s="220"/>
      <c r="AJ656" s="220"/>
      <c r="AK656" s="220"/>
      <c r="AL656" s="2677"/>
      <c r="AM656" s="220"/>
      <c r="AN656" s="220"/>
      <c r="AO656" s="220"/>
      <c r="AP656" s="220"/>
      <c r="AQ656" s="2677"/>
      <c r="AR656" s="220"/>
      <c r="AS656" s="220"/>
      <c r="AT656" s="220"/>
      <c r="AU656" s="220"/>
      <c r="AV656" s="2677"/>
      <c r="AW656" s="220"/>
      <c r="AX656" s="220"/>
      <c r="AY656" s="220"/>
      <c r="AZ656" s="220"/>
      <c r="BA656" s="2677"/>
      <c r="BB656" s="220"/>
      <c r="BC656" s="220"/>
      <c r="BD656" s="220"/>
      <c r="BE656" s="220"/>
      <c r="BF656" s="2677"/>
      <c r="BG656" s="220"/>
      <c r="BH656" s="220"/>
      <c r="BI656" s="220"/>
      <c r="BJ656" s="220"/>
      <c r="BK656" s="2677"/>
      <c r="BL656" s="220"/>
      <c r="BM656" s="220"/>
      <c r="BN656" s="220"/>
      <c r="BO656" s="220"/>
      <c r="BP656" s="2677"/>
      <c r="BQ656" s="220"/>
      <c r="BR656" s="220"/>
      <c r="BS656" s="220"/>
      <c r="BT656" s="220"/>
      <c r="BU656" s="2677"/>
      <c r="BV656" s="220"/>
      <c r="BW656" s="220"/>
      <c r="BX656" s="220"/>
      <c r="BY656" s="220"/>
      <c r="BZ656" s="965"/>
      <c r="CA656" s="1233"/>
      <c r="CB656" s="220"/>
      <c r="CC656" s="220"/>
      <c r="CD656" s="1792"/>
      <c r="CE656" s="965"/>
      <c r="CF656" s="220"/>
      <c r="CG656" s="220"/>
      <c r="CH656" s="220"/>
      <c r="CI656" s="1792"/>
      <c r="CJ656" s="2677"/>
      <c r="CK656" s="220"/>
      <c r="CL656" s="220"/>
      <c r="CM656" s="220"/>
      <c r="CN656" s="1792"/>
      <c r="CO656" s="2677"/>
      <c r="CP656" s="220"/>
      <c r="CQ656" s="220"/>
      <c r="CR656" s="220"/>
      <c r="CS656" s="220"/>
      <c r="CT656" s="2677"/>
      <c r="CU656" s="220"/>
      <c r="CV656" s="220"/>
      <c r="CW656" s="220"/>
      <c r="CX656" s="220"/>
      <c r="CY656" s="2628"/>
      <c r="CZ656" s="965"/>
      <c r="DA656" s="965"/>
      <c r="DB656"/>
      <c r="DC656"/>
      <c r="DD656" s="1672" t="s">
        <v>17</v>
      </c>
      <c r="DE656" s="2284"/>
      <c r="DF656" s="2284"/>
      <c r="DG656" s="2284"/>
      <c r="DH656" s="2284"/>
      <c r="DI656" s="2284"/>
      <c r="DJ656" s="2284"/>
      <c r="DK656" s="2284"/>
      <c r="DL656" s="2284"/>
      <c r="DM656" s="2284"/>
      <c r="DN656" s="2284"/>
      <c r="DO656" s="2284"/>
      <c r="DP656" s="2284"/>
      <c r="DQ656" s="2284"/>
      <c r="DR656" s="2284"/>
      <c r="DS656" s="2284"/>
      <c r="DT656" s="2284"/>
      <c r="DU656" s="2284"/>
      <c r="DV656" s="2284"/>
      <c r="DW656" s="2284"/>
      <c r="DX656" s="2284"/>
      <c r="DY656" s="2284"/>
      <c r="EA656"/>
      <c r="EB656"/>
      <c r="EC656"/>
      <c r="ED656"/>
      <c r="EE656"/>
      <c r="EF656"/>
      <c r="EJ656"/>
      <c r="EK656"/>
      <c r="EL656"/>
      <c r="ER656" s="212"/>
    </row>
    <row r="657" spans="1:148" s="923" customFormat="1" ht="12.75" customHeight="1" x14ac:dyDescent="0.2">
      <c r="A657" s="507" t="s">
        <v>879</v>
      </c>
      <c r="B657" s="1721"/>
      <c r="C657" s="1721"/>
      <c r="D657" s="1721"/>
      <c r="E657" s="1721"/>
      <c r="F657" s="1721"/>
      <c r="G657" s="1721"/>
      <c r="H657" s="1721"/>
      <c r="I657" s="1721"/>
      <c r="J657" s="1721"/>
      <c r="K657" s="1721"/>
      <c r="L657" s="1721"/>
      <c r="M657" s="1722"/>
      <c r="N657" s="1721"/>
      <c r="O657" s="1721"/>
      <c r="P657" s="1721"/>
      <c r="Q657" s="1721"/>
      <c r="R657" s="1722"/>
      <c r="S657" s="1721"/>
      <c r="T657" s="1721"/>
      <c r="U657" s="1721"/>
      <c r="V657" s="1721"/>
      <c r="W657" s="1722"/>
      <c r="X657" s="1721"/>
      <c r="Y657" s="1721"/>
      <c r="Z657" s="1721"/>
      <c r="AA657" s="1721"/>
      <c r="AB657" s="1722"/>
      <c r="AC657" s="1721"/>
      <c r="AD657" s="1721"/>
      <c r="AE657" s="1721"/>
      <c r="AF657" s="1721"/>
      <c r="AG657" s="1722"/>
      <c r="AH657" s="1721"/>
      <c r="AI657" s="1721"/>
      <c r="AJ657" s="1721"/>
      <c r="AK657" s="1721"/>
      <c r="AL657" s="1722"/>
      <c r="AM657" s="1721">
        <f t="shared" ref="AM657:AW657" si="1159">AM707</f>
        <v>-102</v>
      </c>
      <c r="AN657" s="1721">
        <f t="shared" si="1159"/>
        <v>-51</v>
      </c>
      <c r="AO657" s="1721">
        <f t="shared" si="1159"/>
        <v>-66</v>
      </c>
      <c r="AP657" s="1721">
        <f t="shared" si="1159"/>
        <v>-310</v>
      </c>
      <c r="AQ657" s="1722">
        <f t="shared" si="1159"/>
        <v>-529</v>
      </c>
      <c r="AR657" s="1721">
        <f t="shared" si="1159"/>
        <v>-158</v>
      </c>
      <c r="AS657" s="1721">
        <f t="shared" si="1159"/>
        <v>-151</v>
      </c>
      <c r="AT657" s="1721">
        <f t="shared" si="1159"/>
        <v>-219</v>
      </c>
      <c r="AU657" s="1721">
        <f t="shared" si="1159"/>
        <v>-143</v>
      </c>
      <c r="AV657" s="1722">
        <f t="shared" si="1159"/>
        <v>-671</v>
      </c>
      <c r="AW657" s="1721">
        <f t="shared" si="1159"/>
        <v>-65</v>
      </c>
      <c r="AX657" s="1721">
        <f t="shared" ref="AX657:BM657" si="1160">AX707</f>
        <v>-87</v>
      </c>
      <c r="AY657" s="1721">
        <f t="shared" si="1160"/>
        <v>-68</v>
      </c>
      <c r="AZ657" s="1721">
        <f t="shared" si="1160"/>
        <v>-137</v>
      </c>
      <c r="BA657" s="1722">
        <f t="shared" si="1160"/>
        <v>-357</v>
      </c>
      <c r="BB657" s="1721">
        <f>BB707</f>
        <v>-50</v>
      </c>
      <c r="BC657" s="1721">
        <f t="shared" si="1160"/>
        <v>-33</v>
      </c>
      <c r="BD657" s="1721">
        <f t="shared" si="1160"/>
        <v>-29</v>
      </c>
      <c r="BE657" s="1721">
        <f t="shared" si="1160"/>
        <v>-35</v>
      </c>
      <c r="BF657" s="1722">
        <f t="shared" si="1160"/>
        <v>-147</v>
      </c>
      <c r="BG657" s="1721">
        <f>BG707</f>
        <v>-25</v>
      </c>
      <c r="BH657" s="1721">
        <f t="shared" si="1160"/>
        <v>-39</v>
      </c>
      <c r="BI657" s="1721">
        <f t="shared" si="1160"/>
        <v>-83</v>
      </c>
      <c r="BJ657" s="1721">
        <f t="shared" si="1160"/>
        <v>-160</v>
      </c>
      <c r="BK657" s="1722">
        <f t="shared" si="1160"/>
        <v>-307</v>
      </c>
      <c r="BL657" s="1721">
        <f>BL707</f>
        <v>-62</v>
      </c>
      <c r="BM657" s="1721">
        <f t="shared" si="1160"/>
        <v>-29</v>
      </c>
      <c r="BN657" s="1721">
        <f>-BN675</f>
        <v>-37</v>
      </c>
      <c r="BO657" s="1721">
        <f>-BO675</f>
        <v>-55</v>
      </c>
      <c r="BP657" s="1722">
        <f>SUM(BL657:BO657)</f>
        <v>-183</v>
      </c>
      <c r="BQ657" s="1721">
        <f>-BQ675</f>
        <v>-197</v>
      </c>
      <c r="BR657" s="1721">
        <f>-BR675</f>
        <v>-60</v>
      </c>
      <c r="BS657" s="1721">
        <f>-BS675</f>
        <v>-59</v>
      </c>
      <c r="BT657" s="1721">
        <f>-BT675</f>
        <v>-121</v>
      </c>
      <c r="BU657" s="1722">
        <f>SUM(BQ657:BT657)</f>
        <v>-437</v>
      </c>
      <c r="BV657" s="1721">
        <f>-BV675</f>
        <v>-70</v>
      </c>
      <c r="BW657" s="1721">
        <f>-BW675</f>
        <v>-78</v>
      </c>
      <c r="BX657" s="1721">
        <f>-BX675</f>
        <v>-78</v>
      </c>
      <c r="BY657" s="1721">
        <f>-BY675</f>
        <v>-178</v>
      </c>
      <c r="BZ657" s="1722">
        <f>SUM(BV657:BY657)</f>
        <v>-404</v>
      </c>
      <c r="CA657" s="1721">
        <f>-CA675</f>
        <v>-61</v>
      </c>
      <c r="CB657" s="1721">
        <f>-CB675</f>
        <v>-95</v>
      </c>
      <c r="CC657" s="1721">
        <f>-CC675</f>
        <v>-111</v>
      </c>
      <c r="CD657" s="1820">
        <f>-CD675</f>
        <v>-144</v>
      </c>
      <c r="CE657" s="1722">
        <f>SUM(CA657:CD657)</f>
        <v>-411</v>
      </c>
      <c r="CF657" s="1721">
        <f>-CF675</f>
        <v>-75</v>
      </c>
      <c r="CG657" s="1721">
        <f>-CG675</f>
        <v>-84</v>
      </c>
      <c r="CH657" s="1721">
        <f>-CH675</f>
        <v>-59</v>
      </c>
      <c r="CI657" s="1721">
        <f>-CI675</f>
        <v>-87</v>
      </c>
      <c r="CJ657" s="1722">
        <f>SUM(CF657:CI657)</f>
        <v>-305</v>
      </c>
      <c r="CK657" s="1721">
        <f>-CK675</f>
        <v>-42</v>
      </c>
      <c r="CL657" s="1721">
        <f>-CL675</f>
        <v>-36</v>
      </c>
      <c r="CM657" s="1721">
        <f>-CM675</f>
        <v>-54</v>
      </c>
      <c r="CN657" s="1721">
        <f>-CN675</f>
        <v>-67</v>
      </c>
      <c r="CO657" s="1722">
        <f>SUM(CK657:CN657)</f>
        <v>-199</v>
      </c>
      <c r="CP657" s="1721">
        <f>-CP675</f>
        <v>-71.418000000000006</v>
      </c>
      <c r="CQ657" s="1721">
        <f>-CQ675</f>
        <v>-73.074719999999999</v>
      </c>
      <c r="CR657" s="1721">
        <f>-CR675</f>
        <v>-74.731439999999992</v>
      </c>
      <c r="CS657" s="1986">
        <f>-CS675</f>
        <v>-76.02</v>
      </c>
      <c r="CT657" s="1722">
        <f>SUM(CP657:CS657)</f>
        <v>-295.24416000000002</v>
      </c>
      <c r="CU657" s="1721">
        <f t="shared" ref="CU657:DA657" si="1161">-CU675</f>
        <v>-65.722130000000007</v>
      </c>
      <c r="CV657" s="1721">
        <f t="shared" si="1161"/>
        <v>-67.851015200000006</v>
      </c>
      <c r="CW657" s="1721">
        <f t="shared" si="1161"/>
        <v>-69.979900399999991</v>
      </c>
      <c r="CX657" s="1721">
        <f t="shared" si="1161"/>
        <v>-71.865799999999993</v>
      </c>
      <c r="CY657" s="1722">
        <f>SUM(CU657:CX657)</f>
        <v>-275.4188456</v>
      </c>
      <c r="CZ657" s="1722">
        <f t="shared" si="1161"/>
        <v>-199.06413420000001</v>
      </c>
      <c r="DA657" s="1722">
        <f t="shared" si="1161"/>
        <v>-260.61092748999999</v>
      </c>
      <c r="DB657"/>
      <c r="DC657"/>
      <c r="DD657" s="2295" t="s">
        <v>879</v>
      </c>
      <c r="DE657" s="2356">
        <f t="shared" ref="DE657:DE664" si="1162">M657</f>
        <v>0</v>
      </c>
      <c r="DF657" s="2356">
        <f t="shared" ref="DF657:DF664" si="1163">R657</f>
        <v>0</v>
      </c>
      <c r="DG657" s="2356">
        <f t="shared" ref="DG657:DG664" si="1164">W657</f>
        <v>0</v>
      </c>
      <c r="DH657" s="2356">
        <f t="shared" ref="DH657:DH664" si="1165">AB657</f>
        <v>0</v>
      </c>
      <c r="DI657" s="2356">
        <f t="shared" ref="DI657:DI664" si="1166">AG657</f>
        <v>0</v>
      </c>
      <c r="DJ657" s="2356">
        <f t="shared" ref="DJ657:DJ664" si="1167">AL657</f>
        <v>0</v>
      </c>
      <c r="DK657" s="2356">
        <f t="shared" ref="DK657:DK664" si="1168">AQ657</f>
        <v>-529</v>
      </c>
      <c r="DL657" s="2356">
        <f t="shared" ref="DL657:DL664" si="1169">AV657</f>
        <v>-671</v>
      </c>
      <c r="DM657" s="2356">
        <f t="shared" ref="DM657:DM664" si="1170">BA657</f>
        <v>-357</v>
      </c>
      <c r="DN657" s="2356">
        <f t="shared" ref="DN657:DN664" si="1171">BF657</f>
        <v>-147</v>
      </c>
      <c r="DO657" s="2356">
        <f t="shared" ref="DO657:DO664" si="1172">BK657</f>
        <v>-307</v>
      </c>
      <c r="DP657" s="2356">
        <f t="shared" ref="DP657:DP664" si="1173">BP657</f>
        <v>-183</v>
      </c>
      <c r="DQ657" s="2356">
        <f t="shared" ref="DQ657:DQ664" si="1174">BU657</f>
        <v>-437</v>
      </c>
      <c r="DR657" s="2356">
        <f t="shared" ref="DR657:DR664" si="1175">BZ657</f>
        <v>-404</v>
      </c>
      <c r="DS657" s="2356">
        <f t="shared" ref="DS657:DS664" si="1176">CE657</f>
        <v>-411</v>
      </c>
      <c r="DT657" s="2356">
        <f t="shared" ref="DT657:DT664" si="1177">CJ657</f>
        <v>-305</v>
      </c>
      <c r="DU657" s="2356">
        <f t="shared" ref="DU657:DU664" si="1178">CO657</f>
        <v>-199</v>
      </c>
      <c r="DV657" s="2356">
        <f t="shared" ref="DV657:DV664" si="1179">CT657</f>
        <v>-295.24416000000002</v>
      </c>
      <c r="DW657" s="2356">
        <f t="shared" ref="DW657:DW664" si="1180">CY657</f>
        <v>-275.4188456</v>
      </c>
      <c r="DX657" s="2356">
        <f t="shared" ref="DX657:DX664" si="1181">CZ657</f>
        <v>-199.06413420000001</v>
      </c>
      <c r="DY657" s="2356">
        <f t="shared" ref="DY657:DY664" si="1182">DA657</f>
        <v>-260.61092748999999</v>
      </c>
      <c r="EA657"/>
      <c r="EB657"/>
      <c r="EC657"/>
      <c r="ED657"/>
      <c r="EE657"/>
      <c r="EF657"/>
      <c r="EJ657"/>
      <c r="EK657"/>
      <c r="EL657"/>
      <c r="EM657" s="1703"/>
      <c r="ER657" s="212"/>
    </row>
    <row r="658" spans="1:148" s="923" customFormat="1" ht="12.75" customHeight="1" x14ac:dyDescent="0.2">
      <c r="A658" s="507" t="s">
        <v>926</v>
      </c>
      <c r="B658" s="955"/>
      <c r="C658" s="955"/>
      <c r="D658" s="955"/>
      <c r="E658" s="955"/>
      <c r="F658" s="955"/>
      <c r="G658" s="955"/>
      <c r="H658" s="955"/>
      <c r="I658" s="955"/>
      <c r="J658" s="955"/>
      <c r="K658" s="955"/>
      <c r="L658" s="955"/>
      <c r="M658" s="987"/>
      <c r="N658" s="955"/>
      <c r="O658" s="955"/>
      <c r="P658" s="955"/>
      <c r="Q658" s="955"/>
      <c r="R658" s="987"/>
      <c r="S658" s="955"/>
      <c r="T658" s="955"/>
      <c r="U658" s="955"/>
      <c r="V658" s="955"/>
      <c r="W658" s="987"/>
      <c r="X658" s="955"/>
      <c r="Y658" s="955"/>
      <c r="Z658" s="955"/>
      <c r="AA658" s="955"/>
      <c r="AB658" s="987"/>
      <c r="AC658" s="955"/>
      <c r="AD658" s="955"/>
      <c r="AE658" s="955"/>
      <c r="AF658" s="955"/>
      <c r="AG658" s="987"/>
      <c r="AH658" s="955"/>
      <c r="AI658" s="955"/>
      <c r="AJ658" s="955"/>
      <c r="AK658" s="955"/>
      <c r="AL658" s="987"/>
      <c r="AM658" s="955">
        <f>AM712</f>
        <v>0</v>
      </c>
      <c r="AN658" s="955">
        <f>AN712</f>
        <v>0</v>
      </c>
      <c r="AO658" s="955">
        <f>AO712</f>
        <v>0</v>
      </c>
      <c r="AP658" s="955">
        <f>AP712</f>
        <v>0</v>
      </c>
      <c r="AQ658" s="987">
        <f>SUM(AM658:AP658)</f>
        <v>0</v>
      </c>
      <c r="AR658" s="955">
        <f>AR712</f>
        <v>0</v>
      </c>
      <c r="AS658" s="955">
        <f>AS712</f>
        <v>0</v>
      </c>
      <c r="AT658" s="955">
        <f>AT712</f>
        <v>0</v>
      </c>
      <c r="AU658" s="955">
        <f>AU712</f>
        <v>0</v>
      </c>
      <c r="AV658" s="987">
        <f>SUM(AR658:AU658)</f>
        <v>0</v>
      </c>
      <c r="AW658" s="955">
        <f>AW712</f>
        <v>-19</v>
      </c>
      <c r="AX658" s="955">
        <f>AX712</f>
        <v>-77</v>
      </c>
      <c r="AY658" s="955">
        <f>AY712</f>
        <v>-28</v>
      </c>
      <c r="AZ658" s="955">
        <f>AZ712</f>
        <v>-9</v>
      </c>
      <c r="BA658" s="987">
        <f>SUM(AW658:AZ658)</f>
        <v>-133</v>
      </c>
      <c r="BB658" s="955">
        <f>BB712</f>
        <v>-5</v>
      </c>
      <c r="BC658" s="955">
        <f>BC712</f>
        <v>-9</v>
      </c>
      <c r="BD658" s="955">
        <f>BD712</f>
        <v>-12</v>
      </c>
      <c r="BE658" s="955">
        <f>BE712</f>
        <v>-13</v>
      </c>
      <c r="BF658" s="987">
        <f>SUM(BB658:BE658)</f>
        <v>-39</v>
      </c>
      <c r="BG658" s="955">
        <f>BG712</f>
        <v>-16</v>
      </c>
      <c r="BH658" s="955">
        <f>BH712</f>
        <v>-4</v>
      </c>
      <c r="BI658" s="955">
        <f>BI712</f>
        <v>-15</v>
      </c>
      <c r="BJ658" s="955">
        <f>BJ712</f>
        <v>-21</v>
      </c>
      <c r="BK658" s="987">
        <f>SUM(BG658:BJ658)</f>
        <v>-56</v>
      </c>
      <c r="BL658" s="955">
        <f>BL712</f>
        <v>-37</v>
      </c>
      <c r="BM658" s="955">
        <f>BM712</f>
        <v>-10</v>
      </c>
      <c r="BN658" s="955">
        <f>BN712</f>
        <v>-7</v>
      </c>
      <c r="BO658" s="955">
        <f>BO712</f>
        <v>-20</v>
      </c>
      <c r="BP658" s="987">
        <f>SUM(BL658:BO658)</f>
        <v>-74</v>
      </c>
      <c r="BQ658" s="955">
        <f>BQ712</f>
        <v>-10</v>
      </c>
      <c r="BR658" s="955">
        <f>BR712</f>
        <v>-9</v>
      </c>
      <c r="BS658" s="955">
        <f>BS712</f>
        <v>-33</v>
      </c>
      <c r="BT658" s="955">
        <f>BT712</f>
        <v>-201</v>
      </c>
      <c r="BU658" s="987">
        <f>SUM(BQ658:BT658)</f>
        <v>-253</v>
      </c>
      <c r="BV658" s="955">
        <f>BV712</f>
        <v>-14</v>
      </c>
      <c r="BW658" s="955">
        <f>BW712</f>
        <v>-12</v>
      </c>
      <c r="BX658" s="955">
        <f>BX712</f>
        <v>-10</v>
      </c>
      <c r="BY658" s="955">
        <f>BY712</f>
        <v>-25</v>
      </c>
      <c r="BZ658" s="987">
        <f>SUM(BV658:BY658)</f>
        <v>-61</v>
      </c>
      <c r="CA658" s="955">
        <f>CA712</f>
        <v>-6</v>
      </c>
      <c r="CB658" s="955">
        <f>CB712</f>
        <v>-22</v>
      </c>
      <c r="CC658" s="955">
        <f>CC712</f>
        <v>-19</v>
      </c>
      <c r="CD658" s="955">
        <f>CD712</f>
        <v>-18</v>
      </c>
      <c r="CE658" s="987">
        <f>SUM(CA658:CD658)</f>
        <v>-65</v>
      </c>
      <c r="CF658" s="955">
        <f>CF712</f>
        <v>-61</v>
      </c>
      <c r="CG658" s="955">
        <f>CG712</f>
        <v>-11</v>
      </c>
      <c r="CH658" s="955">
        <f>CH712</f>
        <v>-17</v>
      </c>
      <c r="CI658" s="955">
        <f>CI712</f>
        <v>-32</v>
      </c>
      <c r="CJ658" s="987">
        <f>SUM(CF658:CI658)</f>
        <v>-121</v>
      </c>
      <c r="CK658" s="3377">
        <f>CK712</f>
        <v>-21</v>
      </c>
      <c r="CL658" s="3377">
        <f>CL712</f>
        <v>-16</v>
      </c>
      <c r="CM658" s="3377">
        <f>CM712</f>
        <v>-18</v>
      </c>
      <c r="CN658" s="3377">
        <f>CN712</f>
        <v>-25</v>
      </c>
      <c r="CO658" s="987">
        <f>SUM(CK658:CN658)</f>
        <v>-80</v>
      </c>
      <c r="CP658" s="2706">
        <f>CK658*(1+CP667)</f>
        <v>-42</v>
      </c>
      <c r="CQ658" s="2706">
        <f>CL658*(1+CQ667)</f>
        <v>-36</v>
      </c>
      <c r="CR658" s="2706">
        <f>CM658*(1+CR667)</f>
        <v>-40.5</v>
      </c>
      <c r="CS658" s="3817">
        <f>CN658*(1+CS667)</f>
        <v>-50</v>
      </c>
      <c r="CT658" s="987">
        <f>SUM(CP658:CS658)</f>
        <v>-168.5</v>
      </c>
      <c r="CU658" s="2706">
        <f>CP658*(1+CU667)</f>
        <v>-63</v>
      </c>
      <c r="CV658" s="2706">
        <f>CQ658*(1+CV667)</f>
        <v>-54</v>
      </c>
      <c r="CW658" s="2706">
        <f>CR658*(1+CW667)</f>
        <v>-60.75</v>
      </c>
      <c r="CX658" s="2706">
        <f>CS658*(1+CX667)</f>
        <v>-75</v>
      </c>
      <c r="CY658" s="987">
        <f>SUM(CU658:CX658)</f>
        <v>-252.75</v>
      </c>
      <c r="CZ658" s="987">
        <f>CY658*(1+CZ667)</f>
        <v>-303.3</v>
      </c>
      <c r="DA658" s="987">
        <f>CZ658*(1+DA667)</f>
        <v>-288.13499999999999</v>
      </c>
      <c r="DB658"/>
      <c r="DC658"/>
      <c r="DD658" s="2295" t="s">
        <v>926</v>
      </c>
      <c r="DE658" s="2357">
        <f t="shared" si="1162"/>
        <v>0</v>
      </c>
      <c r="DF658" s="2357">
        <f t="shared" si="1163"/>
        <v>0</v>
      </c>
      <c r="DG658" s="2357">
        <f t="shared" si="1164"/>
        <v>0</v>
      </c>
      <c r="DH658" s="2357">
        <f t="shared" si="1165"/>
        <v>0</v>
      </c>
      <c r="DI658" s="2357">
        <f t="shared" si="1166"/>
        <v>0</v>
      </c>
      <c r="DJ658" s="2357">
        <f t="shared" si="1167"/>
        <v>0</v>
      </c>
      <c r="DK658" s="2357">
        <f t="shared" si="1168"/>
        <v>0</v>
      </c>
      <c r="DL658" s="2357">
        <f t="shared" si="1169"/>
        <v>0</v>
      </c>
      <c r="DM658" s="2357">
        <f t="shared" si="1170"/>
        <v>-133</v>
      </c>
      <c r="DN658" s="2357">
        <f t="shared" si="1171"/>
        <v>-39</v>
      </c>
      <c r="DO658" s="2357">
        <f t="shared" si="1172"/>
        <v>-56</v>
      </c>
      <c r="DP658" s="2357">
        <f t="shared" si="1173"/>
        <v>-74</v>
      </c>
      <c r="DQ658" s="2357">
        <f t="shared" si="1174"/>
        <v>-253</v>
      </c>
      <c r="DR658" s="2357">
        <f t="shared" si="1175"/>
        <v>-61</v>
      </c>
      <c r="DS658" s="2357">
        <f t="shared" si="1176"/>
        <v>-65</v>
      </c>
      <c r="DT658" s="2357">
        <f t="shared" si="1177"/>
        <v>-121</v>
      </c>
      <c r="DU658" s="2357">
        <f t="shared" si="1178"/>
        <v>-80</v>
      </c>
      <c r="DV658" s="2357">
        <f t="shared" si="1179"/>
        <v>-168.5</v>
      </c>
      <c r="DW658" s="2357">
        <f t="shared" si="1180"/>
        <v>-252.75</v>
      </c>
      <c r="DX658" s="2357">
        <f t="shared" si="1181"/>
        <v>-303.3</v>
      </c>
      <c r="DY658" s="2357">
        <f t="shared" si="1182"/>
        <v>-288.13499999999999</v>
      </c>
      <c r="EA658"/>
      <c r="EB658"/>
      <c r="EC658"/>
      <c r="ED658"/>
      <c r="EE658"/>
      <c r="EF658"/>
      <c r="EJ658"/>
      <c r="EK658"/>
      <c r="EL658"/>
      <c r="EM658" s="1703"/>
      <c r="ER658" s="212"/>
    </row>
    <row r="659" spans="1:148" s="923" customFormat="1" ht="12.75" customHeight="1" x14ac:dyDescent="0.2">
      <c r="A659" s="507" t="s">
        <v>880</v>
      </c>
      <c r="B659" s="955"/>
      <c r="C659" s="955"/>
      <c r="D659" s="955"/>
      <c r="E659" s="955"/>
      <c r="F659" s="955"/>
      <c r="G659" s="955"/>
      <c r="H659" s="955"/>
      <c r="I659" s="955"/>
      <c r="J659" s="955"/>
      <c r="K659" s="955"/>
      <c r="L659" s="955"/>
      <c r="M659" s="992"/>
      <c r="N659" s="955"/>
      <c r="O659" s="955"/>
      <c r="P659" s="955"/>
      <c r="Q659" s="955"/>
      <c r="R659" s="992"/>
      <c r="S659" s="955"/>
      <c r="T659" s="955"/>
      <c r="U659" s="955"/>
      <c r="V659" s="955"/>
      <c r="W659" s="992"/>
      <c r="X659" s="955"/>
      <c r="Y659" s="955"/>
      <c r="Z659" s="955"/>
      <c r="AA659" s="955"/>
      <c r="AB659" s="992"/>
      <c r="AC659" s="955"/>
      <c r="AD659" s="955"/>
      <c r="AE659" s="955"/>
      <c r="AF659" s="955"/>
      <c r="AG659" s="992"/>
      <c r="AH659" s="955"/>
      <c r="AI659" s="955"/>
      <c r="AJ659" s="955"/>
      <c r="AK659" s="955"/>
      <c r="AL659" s="992"/>
      <c r="AM659" s="955">
        <f t="shared" ref="AM659:AW659" si="1183">AM711</f>
        <v>-71</v>
      </c>
      <c r="AN659" s="955">
        <f t="shared" si="1183"/>
        <v>-2</v>
      </c>
      <c r="AO659" s="955">
        <f t="shared" si="1183"/>
        <v>-22</v>
      </c>
      <c r="AP659" s="955">
        <f t="shared" si="1183"/>
        <v>0</v>
      </c>
      <c r="AQ659" s="992">
        <f t="shared" si="1183"/>
        <v>-95</v>
      </c>
      <c r="AR659" s="955">
        <f t="shared" si="1183"/>
        <v>1</v>
      </c>
      <c r="AS659" s="955">
        <f t="shared" si="1183"/>
        <v>-1</v>
      </c>
      <c r="AT659" s="955">
        <f t="shared" si="1183"/>
        <v>-10</v>
      </c>
      <c r="AU659" s="955">
        <f t="shared" si="1183"/>
        <v>-30</v>
      </c>
      <c r="AV659" s="992">
        <f t="shared" si="1183"/>
        <v>-40</v>
      </c>
      <c r="AW659" s="955">
        <f t="shared" si="1183"/>
        <v>15</v>
      </c>
      <c r="AX659" s="955">
        <f t="shared" ref="AX659:BM659" si="1184">AX711</f>
        <v>-10</v>
      </c>
      <c r="AY659" s="955">
        <f t="shared" si="1184"/>
        <v>-9</v>
      </c>
      <c r="AZ659" s="955">
        <f t="shared" si="1184"/>
        <v>-21</v>
      </c>
      <c r="BA659" s="992">
        <f t="shared" si="1184"/>
        <v>-25</v>
      </c>
      <c r="BB659" s="955">
        <f>BB711</f>
        <v>-4</v>
      </c>
      <c r="BC659" s="955">
        <f t="shared" si="1184"/>
        <v>-10</v>
      </c>
      <c r="BD659" s="955">
        <f t="shared" si="1184"/>
        <v>-13</v>
      </c>
      <c r="BE659" s="955">
        <f t="shared" si="1184"/>
        <v>-1</v>
      </c>
      <c r="BF659" s="992">
        <f t="shared" si="1184"/>
        <v>-28</v>
      </c>
      <c r="BG659" s="955">
        <f>BG711</f>
        <v>-3</v>
      </c>
      <c r="BH659" s="955">
        <f t="shared" si="1184"/>
        <v>-6</v>
      </c>
      <c r="BI659" s="955">
        <f t="shared" si="1184"/>
        <v>-6</v>
      </c>
      <c r="BJ659" s="955">
        <f t="shared" si="1184"/>
        <v>-14</v>
      </c>
      <c r="BK659" s="992">
        <f t="shared" si="1184"/>
        <v>-29</v>
      </c>
      <c r="BL659" s="955">
        <f>BL711</f>
        <v>-65</v>
      </c>
      <c r="BM659" s="955">
        <f t="shared" si="1184"/>
        <v>-5</v>
      </c>
      <c r="BN659" s="955">
        <f>BN711</f>
        <v>-1</v>
      </c>
      <c r="BO659" s="955">
        <f>BO711</f>
        <v>-12</v>
      </c>
      <c r="BP659" s="992">
        <f>SUM(BL659:BO659)</f>
        <v>-83</v>
      </c>
      <c r="BQ659" s="955">
        <f>BQ711</f>
        <v>-2</v>
      </c>
      <c r="BR659" s="955">
        <f>BR711</f>
        <v>-10</v>
      </c>
      <c r="BS659" s="955">
        <f>BS711</f>
        <v>0</v>
      </c>
      <c r="BT659" s="955">
        <f>BT711</f>
        <v>-3</v>
      </c>
      <c r="BU659" s="992">
        <f>SUM(BQ659:BT659)</f>
        <v>-15</v>
      </c>
      <c r="BV659" s="955">
        <f>BV711</f>
        <v>-14</v>
      </c>
      <c r="BW659" s="955">
        <f>BW711</f>
        <v>-2</v>
      </c>
      <c r="BX659" s="955">
        <f>BX711</f>
        <v>0</v>
      </c>
      <c r="BY659" s="955">
        <f>BY711</f>
        <v>0</v>
      </c>
      <c r="BZ659" s="992">
        <f>SUM(BV659:BY659)</f>
        <v>-16</v>
      </c>
      <c r="CA659" s="955">
        <f>CA711</f>
        <v>-1</v>
      </c>
      <c r="CB659" s="955">
        <f>CB711</f>
        <v>-4</v>
      </c>
      <c r="CC659" s="955">
        <f>CC711</f>
        <v>-2</v>
      </c>
      <c r="CD659" s="955">
        <f>CD711</f>
        <v>1</v>
      </c>
      <c r="CE659" s="992">
        <f>SUM(CA659:CD659)</f>
        <v>-6</v>
      </c>
      <c r="CF659" s="955">
        <f>CF711</f>
        <v>-1</v>
      </c>
      <c r="CG659" s="955">
        <f>CG711</f>
        <v>2</v>
      </c>
      <c r="CH659" s="955">
        <f>CH711</f>
        <v>-6</v>
      </c>
      <c r="CI659" s="955">
        <f>CI711</f>
        <v>-2</v>
      </c>
      <c r="CJ659" s="992">
        <f>SUM(CF659:CI659)</f>
        <v>-7</v>
      </c>
      <c r="CK659" s="3377">
        <f>CK711</f>
        <v>0</v>
      </c>
      <c r="CL659" s="3377">
        <f>CL711</f>
        <v>0</v>
      </c>
      <c r="CM659" s="3377">
        <f>CM711</f>
        <v>0</v>
      </c>
      <c r="CN659" s="3377">
        <f>CN711</f>
        <v>0</v>
      </c>
      <c r="CO659" s="992">
        <f>SUM(CK659:CN659)</f>
        <v>0</v>
      </c>
      <c r="CP659" s="958">
        <v>0</v>
      </c>
      <c r="CQ659" s="958">
        <v>0</v>
      </c>
      <c r="CR659" s="958">
        <v>0</v>
      </c>
      <c r="CS659" s="956">
        <v>-15</v>
      </c>
      <c r="CT659" s="992">
        <f>SUM(CP659:CS659)</f>
        <v>-15</v>
      </c>
      <c r="CU659" s="958">
        <f>CP659</f>
        <v>0</v>
      </c>
      <c r="CV659" s="958">
        <f>CQ659</f>
        <v>0</v>
      </c>
      <c r="CW659" s="958">
        <f>CR659</f>
        <v>0</v>
      </c>
      <c r="CX659" s="958">
        <f>CS659</f>
        <v>-15</v>
      </c>
      <c r="CY659" s="992">
        <f>SUM(CU659:CX659)</f>
        <v>-15</v>
      </c>
      <c r="CZ659" s="988">
        <v>-15</v>
      </c>
      <c r="DA659" s="988">
        <v>0</v>
      </c>
      <c r="DB659"/>
      <c r="DC659"/>
      <c r="DD659" s="2295" t="s">
        <v>880</v>
      </c>
      <c r="DE659" s="2358">
        <f t="shared" si="1162"/>
        <v>0</v>
      </c>
      <c r="DF659" s="2358">
        <f t="shared" si="1163"/>
        <v>0</v>
      </c>
      <c r="DG659" s="2358">
        <f t="shared" si="1164"/>
        <v>0</v>
      </c>
      <c r="DH659" s="2358">
        <f t="shared" si="1165"/>
        <v>0</v>
      </c>
      <c r="DI659" s="2358">
        <f t="shared" si="1166"/>
        <v>0</v>
      </c>
      <c r="DJ659" s="2358">
        <f t="shared" si="1167"/>
        <v>0</v>
      </c>
      <c r="DK659" s="2358">
        <f t="shared" si="1168"/>
        <v>-95</v>
      </c>
      <c r="DL659" s="2358">
        <f t="shared" si="1169"/>
        <v>-40</v>
      </c>
      <c r="DM659" s="2358">
        <f t="shared" si="1170"/>
        <v>-25</v>
      </c>
      <c r="DN659" s="2358">
        <f t="shared" si="1171"/>
        <v>-28</v>
      </c>
      <c r="DO659" s="2358">
        <f t="shared" si="1172"/>
        <v>-29</v>
      </c>
      <c r="DP659" s="2358">
        <f t="shared" si="1173"/>
        <v>-83</v>
      </c>
      <c r="DQ659" s="2358">
        <f t="shared" si="1174"/>
        <v>-15</v>
      </c>
      <c r="DR659" s="2358">
        <f t="shared" si="1175"/>
        <v>-16</v>
      </c>
      <c r="DS659" s="2358">
        <f t="shared" si="1176"/>
        <v>-6</v>
      </c>
      <c r="DT659" s="2358">
        <f t="shared" si="1177"/>
        <v>-7</v>
      </c>
      <c r="DU659" s="2358">
        <f t="shared" si="1178"/>
        <v>0</v>
      </c>
      <c r="DV659" s="2358">
        <f t="shared" si="1179"/>
        <v>-15</v>
      </c>
      <c r="DW659" s="2358">
        <f t="shared" si="1180"/>
        <v>-15</v>
      </c>
      <c r="DX659" s="2358">
        <f t="shared" si="1181"/>
        <v>-15</v>
      </c>
      <c r="DY659" s="2358">
        <f t="shared" si="1182"/>
        <v>0</v>
      </c>
      <c r="EA659"/>
      <c r="EB659"/>
      <c r="EC659"/>
      <c r="ED659"/>
      <c r="EE659"/>
      <c r="EF659"/>
      <c r="EJ659"/>
      <c r="EK659"/>
      <c r="EL659"/>
      <c r="EM659" s="1703"/>
      <c r="ER659" s="212"/>
    </row>
    <row r="660" spans="1:148" s="923" customFormat="1" ht="12.75" customHeight="1" x14ac:dyDescent="0.2">
      <c r="A660" s="1131" t="s">
        <v>1372</v>
      </c>
      <c r="B660" s="951"/>
      <c r="C660" s="951"/>
      <c r="D660" s="951"/>
      <c r="E660" s="951"/>
      <c r="F660" s="951"/>
      <c r="G660" s="951"/>
      <c r="H660" s="951"/>
      <c r="I660" s="951"/>
      <c r="J660" s="951"/>
      <c r="K660" s="951"/>
      <c r="L660" s="951"/>
      <c r="M660" s="989"/>
      <c r="N660" s="951"/>
      <c r="O660" s="951"/>
      <c r="P660" s="951"/>
      <c r="Q660" s="951"/>
      <c r="R660" s="989"/>
      <c r="S660" s="951"/>
      <c r="T660" s="951"/>
      <c r="U660" s="951"/>
      <c r="V660" s="951"/>
      <c r="W660" s="989"/>
      <c r="X660" s="951"/>
      <c r="Y660" s="951"/>
      <c r="Z660" s="951"/>
      <c r="AA660" s="951"/>
      <c r="AB660" s="989"/>
      <c r="AC660" s="951"/>
      <c r="AD660" s="951"/>
      <c r="AE660" s="951"/>
      <c r="AF660" s="951"/>
      <c r="AG660" s="989"/>
      <c r="AH660" s="951"/>
      <c r="AI660" s="951"/>
      <c r="AJ660" s="951"/>
      <c r="AK660" s="951"/>
      <c r="AL660" s="989"/>
      <c r="AM660" s="951">
        <f t="shared" ref="AM660:AV660" si="1185">AM708</f>
        <v>-23</v>
      </c>
      <c r="AN660" s="951">
        <f t="shared" si="1185"/>
        <v>-21</v>
      </c>
      <c r="AO660" s="951">
        <f t="shared" si="1185"/>
        <v>-4</v>
      </c>
      <c r="AP660" s="951">
        <f t="shared" si="1185"/>
        <v>-11</v>
      </c>
      <c r="AQ660" s="989">
        <f t="shared" si="1185"/>
        <v>-59</v>
      </c>
      <c r="AR660" s="951">
        <f t="shared" si="1185"/>
        <v>-1</v>
      </c>
      <c r="AS660" s="951">
        <f t="shared" si="1185"/>
        <v>-3</v>
      </c>
      <c r="AT660" s="951">
        <f t="shared" si="1185"/>
        <v>-1</v>
      </c>
      <c r="AU660" s="951">
        <f t="shared" si="1185"/>
        <v>-26</v>
      </c>
      <c r="AV660" s="989">
        <f t="shared" si="1185"/>
        <v>-31</v>
      </c>
      <c r="AW660" s="951">
        <f t="shared" ref="AW660:BL660" si="1186">AW708</f>
        <v>-8</v>
      </c>
      <c r="AX660" s="951">
        <f t="shared" si="1186"/>
        <v>-8</v>
      </c>
      <c r="AY660" s="951">
        <f t="shared" si="1186"/>
        <v>-4</v>
      </c>
      <c r="AZ660" s="951">
        <f t="shared" si="1186"/>
        <v>-33</v>
      </c>
      <c r="BA660" s="989">
        <f t="shared" si="1186"/>
        <v>-53</v>
      </c>
      <c r="BB660" s="951">
        <f t="shared" si="1186"/>
        <v>-4</v>
      </c>
      <c r="BC660" s="951">
        <f t="shared" si="1186"/>
        <v>-14</v>
      </c>
      <c r="BD660" s="951">
        <f t="shared" si="1186"/>
        <v>-32</v>
      </c>
      <c r="BE660" s="951">
        <f t="shared" si="1186"/>
        <v>-15</v>
      </c>
      <c r="BF660" s="989">
        <f t="shared" si="1186"/>
        <v>-65</v>
      </c>
      <c r="BG660" s="951">
        <f t="shared" si="1186"/>
        <v>-2</v>
      </c>
      <c r="BH660" s="951">
        <f t="shared" si="1186"/>
        <v>-8</v>
      </c>
      <c r="BI660" s="951">
        <f t="shared" si="1186"/>
        <v>-6</v>
      </c>
      <c r="BJ660" s="951">
        <f t="shared" si="1186"/>
        <v>-8</v>
      </c>
      <c r="BK660" s="989">
        <f t="shared" si="1186"/>
        <v>-24</v>
      </c>
      <c r="BL660" s="951">
        <f t="shared" si="1186"/>
        <v>-2</v>
      </c>
      <c r="BM660" s="951">
        <f>BM708</f>
        <v>-9</v>
      </c>
      <c r="BN660" s="951">
        <f>BN708</f>
        <v>-9</v>
      </c>
      <c r="BO660" s="951">
        <f>BO708</f>
        <v>-6</v>
      </c>
      <c r="BP660" s="989">
        <f>SUM(BL660:BO660)</f>
        <v>-26</v>
      </c>
      <c r="BQ660" s="951">
        <f>BQ708</f>
        <v>-1</v>
      </c>
      <c r="BR660" s="951">
        <f>BR708</f>
        <v>-1</v>
      </c>
      <c r="BS660" s="951">
        <f>BS708</f>
        <v>0</v>
      </c>
      <c r="BT660" s="951">
        <f>BT708</f>
        <v>-15</v>
      </c>
      <c r="BU660" s="989">
        <f>SUM(BQ660:BT660)</f>
        <v>-17</v>
      </c>
      <c r="BV660" s="951">
        <f>BV708</f>
        <v>-3</v>
      </c>
      <c r="BW660" s="951">
        <f>BW708</f>
        <v>-1</v>
      </c>
      <c r="BX660" s="951">
        <f>BX708</f>
        <v>-1</v>
      </c>
      <c r="BY660" s="951">
        <f>BY708</f>
        <v>-2</v>
      </c>
      <c r="BZ660" s="989">
        <f>SUM(BV660:BY660)</f>
        <v>-7</v>
      </c>
      <c r="CA660" s="951">
        <f>CA708</f>
        <v>-3</v>
      </c>
      <c r="CB660" s="951">
        <f>CB708</f>
        <v>-100</v>
      </c>
      <c r="CC660" s="951">
        <f>CC708</f>
        <v>0</v>
      </c>
      <c r="CD660" s="951">
        <f>CD708</f>
        <v>0</v>
      </c>
      <c r="CE660" s="989">
        <f>SUM(CA660:CD660)</f>
        <v>-103</v>
      </c>
      <c r="CF660" s="951">
        <f>CF708</f>
        <v>-10</v>
      </c>
      <c r="CG660" s="951">
        <f>CG708</f>
        <v>-2</v>
      </c>
      <c r="CH660" s="951">
        <f>CH708</f>
        <v>0</v>
      </c>
      <c r="CI660" s="951">
        <f>CI708</f>
        <v>-54</v>
      </c>
      <c r="CJ660" s="989">
        <f>SUM(CF660:CI660)</f>
        <v>-66</v>
      </c>
      <c r="CK660" s="3378">
        <f>CK708</f>
        <v>-16</v>
      </c>
      <c r="CL660" s="3378">
        <f>CL708</f>
        <v>-8</v>
      </c>
      <c r="CM660" s="3378">
        <f>CM708</f>
        <v>0</v>
      </c>
      <c r="CN660" s="3378">
        <f>CN708</f>
        <v>-8</v>
      </c>
      <c r="CO660" s="989">
        <f>SUM(CK660:CN660)</f>
        <v>-32</v>
      </c>
      <c r="CP660" s="951">
        <f>CK660*(1+CP669)</f>
        <v>-32</v>
      </c>
      <c r="CQ660" s="951">
        <f>CL660*(1+CQ669)</f>
        <v>-16</v>
      </c>
      <c r="CR660" s="951">
        <f>CM660*(1+CR669)</f>
        <v>0</v>
      </c>
      <c r="CS660" s="3626">
        <f>CN660*(1+CS669)</f>
        <v>-16</v>
      </c>
      <c r="CT660" s="989">
        <f>SUM(CP660:CS660)</f>
        <v>-64</v>
      </c>
      <c r="CU660" s="951">
        <f>CP660*(1+CU669)</f>
        <v>-44.8</v>
      </c>
      <c r="CV660" s="951">
        <f>CQ660*(1+CV669)</f>
        <v>-22.4</v>
      </c>
      <c r="CW660" s="951">
        <f>CR660*(1+CW669)</f>
        <v>0</v>
      </c>
      <c r="CX660" s="951">
        <f>CS660*(1+CX669)</f>
        <v>-22.4</v>
      </c>
      <c r="CY660" s="989">
        <f>SUM(CU660:CX660)</f>
        <v>-89.6</v>
      </c>
      <c r="CZ660" s="989">
        <f>CY660*(1+CZ669)</f>
        <v>-98.56</v>
      </c>
      <c r="DA660" s="989">
        <f>CZ660*(1+DA669)</f>
        <v>-93.631999999999991</v>
      </c>
      <c r="DB660"/>
      <c r="DC660"/>
      <c r="DD660" s="1131" t="s">
        <v>1372</v>
      </c>
      <c r="DE660" s="989">
        <f t="shared" si="1162"/>
        <v>0</v>
      </c>
      <c r="DF660" s="989">
        <f t="shared" si="1163"/>
        <v>0</v>
      </c>
      <c r="DG660" s="989">
        <f t="shared" si="1164"/>
        <v>0</v>
      </c>
      <c r="DH660" s="989">
        <f t="shared" si="1165"/>
        <v>0</v>
      </c>
      <c r="DI660" s="989">
        <f t="shared" si="1166"/>
        <v>0</v>
      </c>
      <c r="DJ660" s="989">
        <f t="shared" si="1167"/>
        <v>0</v>
      </c>
      <c r="DK660" s="989">
        <f t="shared" si="1168"/>
        <v>-59</v>
      </c>
      <c r="DL660" s="989">
        <f t="shared" si="1169"/>
        <v>-31</v>
      </c>
      <c r="DM660" s="989">
        <f t="shared" si="1170"/>
        <v>-53</v>
      </c>
      <c r="DN660" s="989">
        <f t="shared" si="1171"/>
        <v>-65</v>
      </c>
      <c r="DO660" s="989">
        <f t="shared" si="1172"/>
        <v>-24</v>
      </c>
      <c r="DP660" s="989">
        <f t="shared" si="1173"/>
        <v>-26</v>
      </c>
      <c r="DQ660" s="989">
        <f t="shared" si="1174"/>
        <v>-17</v>
      </c>
      <c r="DR660" s="989">
        <f t="shared" si="1175"/>
        <v>-7</v>
      </c>
      <c r="DS660" s="989">
        <f t="shared" si="1176"/>
        <v>-103</v>
      </c>
      <c r="DT660" s="989">
        <f t="shared" si="1177"/>
        <v>-66</v>
      </c>
      <c r="DU660" s="989">
        <f t="shared" si="1178"/>
        <v>-32</v>
      </c>
      <c r="DV660" s="989">
        <f t="shared" si="1179"/>
        <v>-64</v>
      </c>
      <c r="DW660" s="989">
        <f t="shared" si="1180"/>
        <v>-89.6</v>
      </c>
      <c r="DX660" s="989">
        <f t="shared" si="1181"/>
        <v>-98.56</v>
      </c>
      <c r="DY660" s="989">
        <f t="shared" si="1182"/>
        <v>-93.631999999999991</v>
      </c>
      <c r="EA660"/>
      <c r="EB660"/>
      <c r="EC660"/>
      <c r="ED660"/>
      <c r="EE660"/>
      <c r="EF660"/>
      <c r="EJ660"/>
      <c r="EK660"/>
      <c r="EL660"/>
      <c r="EM660" s="1703"/>
      <c r="ER660" s="212"/>
    </row>
    <row r="661" spans="1:148" s="923" customFormat="1" ht="12.75" customHeight="1" x14ac:dyDescent="0.2">
      <c r="A661" s="1560" t="s">
        <v>76</v>
      </c>
      <c r="B661" s="957"/>
      <c r="C661" s="957"/>
      <c r="D661" s="957"/>
      <c r="E661" s="957"/>
      <c r="F661" s="957"/>
      <c r="G661" s="957"/>
      <c r="H661" s="957"/>
      <c r="I661" s="957"/>
      <c r="J661" s="957"/>
      <c r="K661" s="957"/>
      <c r="L661" s="957"/>
      <c r="M661" s="990"/>
      <c r="N661" s="957"/>
      <c r="O661" s="957"/>
      <c r="P661" s="957"/>
      <c r="Q661" s="957"/>
      <c r="R661" s="990"/>
      <c r="S661" s="957"/>
      <c r="T661" s="957"/>
      <c r="U661" s="957"/>
      <c r="V661" s="957"/>
      <c r="W661" s="990"/>
      <c r="X661" s="957"/>
      <c r="Y661" s="957"/>
      <c r="Z661" s="957"/>
      <c r="AA661" s="957"/>
      <c r="AB661" s="990"/>
      <c r="AC661" s="957"/>
      <c r="AD661" s="957"/>
      <c r="AE661" s="957"/>
      <c r="AF661" s="957"/>
      <c r="AG661" s="990"/>
      <c r="AH661" s="957"/>
      <c r="AI661" s="957"/>
      <c r="AJ661" s="957"/>
      <c r="AK661" s="957"/>
      <c r="AL661" s="990"/>
      <c r="AM661" s="957">
        <f t="shared" ref="AM661:AV661" si="1187">SUM(AM657:AM660)</f>
        <v>-196</v>
      </c>
      <c r="AN661" s="957">
        <f t="shared" si="1187"/>
        <v>-74</v>
      </c>
      <c r="AO661" s="957">
        <f t="shared" si="1187"/>
        <v>-92</v>
      </c>
      <c r="AP661" s="957">
        <f t="shared" si="1187"/>
        <v>-321</v>
      </c>
      <c r="AQ661" s="990">
        <f t="shared" si="1187"/>
        <v>-683</v>
      </c>
      <c r="AR661" s="957">
        <f t="shared" si="1187"/>
        <v>-158</v>
      </c>
      <c r="AS661" s="957">
        <f t="shared" si="1187"/>
        <v>-155</v>
      </c>
      <c r="AT661" s="957">
        <f t="shared" si="1187"/>
        <v>-230</v>
      </c>
      <c r="AU661" s="957">
        <f t="shared" si="1187"/>
        <v>-199</v>
      </c>
      <c r="AV661" s="990">
        <f t="shared" si="1187"/>
        <v>-742</v>
      </c>
      <c r="AW661" s="957">
        <f t="shared" ref="AW661:BS661" si="1188">SUM(AW657:AW660)</f>
        <v>-77</v>
      </c>
      <c r="AX661" s="957">
        <f t="shared" si="1188"/>
        <v>-182</v>
      </c>
      <c r="AY661" s="957">
        <f t="shared" si="1188"/>
        <v>-109</v>
      </c>
      <c r="AZ661" s="957">
        <f t="shared" si="1188"/>
        <v>-200</v>
      </c>
      <c r="BA661" s="990">
        <f t="shared" si="1188"/>
        <v>-568</v>
      </c>
      <c r="BB661" s="957">
        <f t="shared" si="1188"/>
        <v>-63</v>
      </c>
      <c r="BC661" s="957">
        <f t="shared" si="1188"/>
        <v>-66</v>
      </c>
      <c r="BD661" s="957">
        <f t="shared" si="1188"/>
        <v>-86</v>
      </c>
      <c r="BE661" s="957">
        <f t="shared" si="1188"/>
        <v>-64</v>
      </c>
      <c r="BF661" s="990">
        <f t="shared" si="1188"/>
        <v>-279</v>
      </c>
      <c r="BG661" s="957">
        <f t="shared" si="1188"/>
        <v>-46</v>
      </c>
      <c r="BH661" s="957">
        <f t="shared" si="1188"/>
        <v>-57</v>
      </c>
      <c r="BI661" s="957">
        <f t="shared" si="1188"/>
        <v>-110</v>
      </c>
      <c r="BJ661" s="957">
        <f t="shared" si="1188"/>
        <v>-203</v>
      </c>
      <c r="BK661" s="990">
        <f t="shared" si="1188"/>
        <v>-416</v>
      </c>
      <c r="BL661" s="957">
        <f t="shared" si="1188"/>
        <v>-166</v>
      </c>
      <c r="BM661" s="957">
        <f t="shared" si="1188"/>
        <v>-53</v>
      </c>
      <c r="BN661" s="957">
        <f t="shared" si="1188"/>
        <v>-54</v>
      </c>
      <c r="BO661" s="957">
        <f t="shared" si="1188"/>
        <v>-93</v>
      </c>
      <c r="BP661" s="990">
        <f>SUM(BP657:BP660)</f>
        <v>-366</v>
      </c>
      <c r="BQ661" s="957">
        <f t="shared" si="1188"/>
        <v>-210</v>
      </c>
      <c r="BR661" s="957">
        <f t="shared" si="1188"/>
        <v>-80</v>
      </c>
      <c r="BS661" s="957">
        <f t="shared" si="1188"/>
        <v>-92</v>
      </c>
      <c r="BT661" s="957">
        <f t="shared" ref="BT661:CE661" si="1189">SUM(BT657:BT660)</f>
        <v>-340</v>
      </c>
      <c r="BU661" s="990">
        <f t="shared" si="1189"/>
        <v>-722</v>
      </c>
      <c r="BV661" s="957">
        <f t="shared" si="1189"/>
        <v>-101</v>
      </c>
      <c r="BW661" s="957">
        <f t="shared" si="1189"/>
        <v>-93</v>
      </c>
      <c r="BX661" s="957">
        <f t="shared" si="1189"/>
        <v>-89</v>
      </c>
      <c r="BY661" s="1821">
        <f t="shared" si="1189"/>
        <v>-205</v>
      </c>
      <c r="BZ661" s="990">
        <f t="shared" si="1189"/>
        <v>-488</v>
      </c>
      <c r="CA661" s="957">
        <f t="shared" si="1189"/>
        <v>-71</v>
      </c>
      <c r="CB661" s="957">
        <f t="shared" si="1189"/>
        <v>-221</v>
      </c>
      <c r="CC661" s="957">
        <f>SUM(CC657:CC660)</f>
        <v>-132</v>
      </c>
      <c r="CD661" s="957">
        <f>SUM(CD657:CD660)</f>
        <v>-161</v>
      </c>
      <c r="CE661" s="990">
        <f t="shared" si="1189"/>
        <v>-585</v>
      </c>
      <c r="CF661" s="957">
        <f t="shared" ref="CF661:DA661" si="1190">SUM(CF657:CF660)</f>
        <v>-147</v>
      </c>
      <c r="CG661" s="957">
        <f t="shared" si="1190"/>
        <v>-95</v>
      </c>
      <c r="CH661" s="957">
        <f t="shared" si="1190"/>
        <v>-82</v>
      </c>
      <c r="CI661" s="957">
        <f t="shared" si="1190"/>
        <v>-175</v>
      </c>
      <c r="CJ661" s="990">
        <f t="shared" si="1190"/>
        <v>-499</v>
      </c>
      <c r="CK661" s="957">
        <f t="shared" si="1190"/>
        <v>-79</v>
      </c>
      <c r="CL661" s="957">
        <f t="shared" si="1190"/>
        <v>-60</v>
      </c>
      <c r="CM661" s="3073">
        <f>SUM(CM657:CM660)</f>
        <v>-72</v>
      </c>
      <c r="CN661" s="3073">
        <f>SUM(CN657:CN660)</f>
        <v>-100</v>
      </c>
      <c r="CO661" s="990">
        <f t="shared" si="1190"/>
        <v>-311</v>
      </c>
      <c r="CP661" s="957">
        <f t="shared" si="1190"/>
        <v>-145.41800000000001</v>
      </c>
      <c r="CQ661" s="957">
        <f t="shared" si="1190"/>
        <v>-125.07472</v>
      </c>
      <c r="CR661" s="957">
        <f t="shared" ref="CR661" si="1191">SUM(CR657:CR660)</f>
        <v>-115.23143999999999</v>
      </c>
      <c r="CS661" s="3818">
        <f t="shared" si="1190"/>
        <v>-157.01999999999998</v>
      </c>
      <c r="CT661" s="990">
        <f t="shared" si="1190"/>
        <v>-542.74415999999997</v>
      </c>
      <c r="CU661" s="957">
        <f t="shared" si="1190"/>
        <v>-173.52213</v>
      </c>
      <c r="CV661" s="957">
        <f t="shared" si="1190"/>
        <v>-144.25101520000001</v>
      </c>
      <c r="CW661" s="957">
        <f t="shared" si="1190"/>
        <v>-130.72990039999999</v>
      </c>
      <c r="CX661" s="957">
        <f t="shared" si="1190"/>
        <v>-184.26579999999998</v>
      </c>
      <c r="CY661" s="990">
        <f>SUM(CY657:CY660)</f>
        <v>-632.76884559999996</v>
      </c>
      <c r="CZ661" s="990">
        <f t="shared" si="1190"/>
        <v>-615.92413420000003</v>
      </c>
      <c r="DA661" s="990">
        <f t="shared" si="1190"/>
        <v>-642.37792748999993</v>
      </c>
      <c r="DB661"/>
      <c r="DC661"/>
      <c r="DD661" s="1560" t="s">
        <v>76</v>
      </c>
      <c r="DE661" s="990">
        <f t="shared" si="1162"/>
        <v>0</v>
      </c>
      <c r="DF661" s="990">
        <f t="shared" si="1163"/>
        <v>0</v>
      </c>
      <c r="DG661" s="990">
        <f t="shared" si="1164"/>
        <v>0</v>
      </c>
      <c r="DH661" s="990">
        <f t="shared" si="1165"/>
        <v>0</v>
      </c>
      <c r="DI661" s="990">
        <f t="shared" si="1166"/>
        <v>0</v>
      </c>
      <c r="DJ661" s="990">
        <f t="shared" si="1167"/>
        <v>0</v>
      </c>
      <c r="DK661" s="990">
        <f t="shared" si="1168"/>
        <v>-683</v>
      </c>
      <c r="DL661" s="990">
        <f t="shared" si="1169"/>
        <v>-742</v>
      </c>
      <c r="DM661" s="990">
        <f t="shared" si="1170"/>
        <v>-568</v>
      </c>
      <c r="DN661" s="990">
        <f t="shared" si="1171"/>
        <v>-279</v>
      </c>
      <c r="DO661" s="990">
        <f t="shared" si="1172"/>
        <v>-416</v>
      </c>
      <c r="DP661" s="990">
        <f t="shared" si="1173"/>
        <v>-366</v>
      </c>
      <c r="DQ661" s="990">
        <f t="shared" si="1174"/>
        <v>-722</v>
      </c>
      <c r="DR661" s="990">
        <f t="shared" si="1175"/>
        <v>-488</v>
      </c>
      <c r="DS661" s="990">
        <f t="shared" si="1176"/>
        <v>-585</v>
      </c>
      <c r="DT661" s="990">
        <f t="shared" si="1177"/>
        <v>-499</v>
      </c>
      <c r="DU661" s="990">
        <f t="shared" si="1178"/>
        <v>-311</v>
      </c>
      <c r="DV661" s="990">
        <f t="shared" si="1179"/>
        <v>-542.74415999999997</v>
      </c>
      <c r="DW661" s="990">
        <f t="shared" si="1180"/>
        <v>-632.76884559999996</v>
      </c>
      <c r="DX661" s="990">
        <f t="shared" si="1181"/>
        <v>-615.92413420000003</v>
      </c>
      <c r="DY661" s="990">
        <f t="shared" si="1182"/>
        <v>-642.37792748999993</v>
      </c>
      <c r="EA661"/>
      <c r="EB661"/>
      <c r="EC661"/>
      <c r="ED661"/>
      <c r="EE661"/>
      <c r="EF661"/>
      <c r="EJ661"/>
      <c r="EK661"/>
      <c r="EL661"/>
      <c r="EM661" s="1703"/>
      <c r="ER661" s="212"/>
    </row>
    <row r="662" spans="1:148" s="923" customFormat="1" ht="12.75" customHeight="1" x14ac:dyDescent="0.2">
      <c r="A662" s="507" t="s">
        <v>928</v>
      </c>
      <c r="B662" s="934"/>
      <c r="C662" s="934"/>
      <c r="D662" s="934"/>
      <c r="E662" s="934"/>
      <c r="F662" s="934"/>
      <c r="G662" s="934"/>
      <c r="H662" s="934"/>
      <c r="I662" s="934"/>
      <c r="J662" s="934"/>
      <c r="K662" s="934"/>
      <c r="L662" s="934"/>
      <c r="M662" s="992"/>
      <c r="N662" s="934"/>
      <c r="O662" s="934"/>
      <c r="P662" s="934"/>
      <c r="Q662" s="934"/>
      <c r="R662" s="992"/>
      <c r="S662" s="934"/>
      <c r="T662" s="934"/>
      <c r="U662" s="934"/>
      <c r="V662" s="934"/>
      <c r="W662" s="992"/>
      <c r="X662" s="934"/>
      <c r="Y662" s="934"/>
      <c r="Z662" s="934"/>
      <c r="AA662" s="934"/>
      <c r="AB662" s="992"/>
      <c r="AC662" s="934"/>
      <c r="AD662" s="934"/>
      <c r="AE662" s="934"/>
      <c r="AF662" s="934"/>
      <c r="AG662" s="992"/>
      <c r="AH662" s="934"/>
      <c r="AI662" s="934"/>
      <c r="AJ662" s="934"/>
      <c r="AK662" s="934"/>
      <c r="AL662" s="992"/>
      <c r="AM662" s="934">
        <f t="shared" ref="AM662:AP663" si="1192">AM709</f>
        <v>21</v>
      </c>
      <c r="AN662" s="934">
        <f t="shared" si="1192"/>
        <v>12</v>
      </c>
      <c r="AO662" s="934">
        <f t="shared" si="1192"/>
        <v>23</v>
      </c>
      <c r="AP662" s="934">
        <f t="shared" si="1192"/>
        <v>65</v>
      </c>
      <c r="AQ662" s="992">
        <f>SUM(AM662:AP662)</f>
        <v>121</v>
      </c>
      <c r="AR662" s="934">
        <f t="shared" ref="AR662:AU663" si="1193">AR709</f>
        <v>48</v>
      </c>
      <c r="AS662" s="934">
        <f t="shared" si="1193"/>
        <v>31</v>
      </c>
      <c r="AT662" s="934">
        <f t="shared" si="1193"/>
        <v>7</v>
      </c>
      <c r="AU662" s="934">
        <f t="shared" si="1193"/>
        <v>20</v>
      </c>
      <c r="AV662" s="992">
        <f>SUM(AR662:AU662)</f>
        <v>106</v>
      </c>
      <c r="AW662" s="934">
        <f t="shared" ref="AW662:AZ663" si="1194">AW709</f>
        <v>15</v>
      </c>
      <c r="AX662" s="934">
        <f t="shared" si="1194"/>
        <v>14</v>
      </c>
      <c r="AY662" s="934">
        <f t="shared" si="1194"/>
        <v>4</v>
      </c>
      <c r="AZ662" s="934">
        <f t="shared" si="1194"/>
        <v>3</v>
      </c>
      <c r="BA662" s="992">
        <f>SUM(AW662:AZ662)</f>
        <v>36</v>
      </c>
      <c r="BB662" s="934">
        <f t="shared" ref="BB662:BE663" si="1195">BB709</f>
        <v>4</v>
      </c>
      <c r="BC662" s="934">
        <f t="shared" si="1195"/>
        <v>3</v>
      </c>
      <c r="BD662" s="934">
        <f t="shared" si="1195"/>
        <v>8</v>
      </c>
      <c r="BE662" s="934">
        <f t="shared" si="1195"/>
        <v>5</v>
      </c>
      <c r="BF662" s="992">
        <f>SUM(BB662:BE662)</f>
        <v>20</v>
      </c>
      <c r="BG662" s="934">
        <f t="shared" ref="BG662:BJ663" si="1196">BG709</f>
        <v>2</v>
      </c>
      <c r="BH662" s="934">
        <f t="shared" si="1196"/>
        <v>7</v>
      </c>
      <c r="BI662" s="934">
        <f t="shared" si="1196"/>
        <v>5</v>
      </c>
      <c r="BJ662" s="934">
        <f t="shared" si="1196"/>
        <v>4</v>
      </c>
      <c r="BK662" s="992">
        <f>SUM(BG662:BJ662)</f>
        <v>18</v>
      </c>
      <c r="BL662" s="934">
        <f t="shared" ref="BL662:BN663" si="1197">BL709</f>
        <v>2</v>
      </c>
      <c r="BM662" s="934">
        <f t="shared" si="1197"/>
        <v>86</v>
      </c>
      <c r="BN662" s="934">
        <f t="shared" si="1197"/>
        <v>21</v>
      </c>
      <c r="BO662" s="934">
        <f>BO709</f>
        <v>1</v>
      </c>
      <c r="BP662" s="992">
        <f>SUM(BL662:BO662)</f>
        <v>110</v>
      </c>
      <c r="BQ662" s="934">
        <f t="shared" ref="BQ662:BS663" si="1198">BQ709</f>
        <v>83</v>
      </c>
      <c r="BR662" s="934">
        <f t="shared" si="1198"/>
        <v>23</v>
      </c>
      <c r="BS662" s="934">
        <f t="shared" si="1198"/>
        <v>20</v>
      </c>
      <c r="BT662" s="934">
        <f>BT709</f>
        <v>29</v>
      </c>
      <c r="BU662" s="992">
        <f>SUM(BQ662:BT662)</f>
        <v>155</v>
      </c>
      <c r="BV662" s="934">
        <f t="shared" ref="BV662:BX663" si="1199">BV709</f>
        <v>20</v>
      </c>
      <c r="BW662" s="934">
        <f t="shared" si="1199"/>
        <v>23</v>
      </c>
      <c r="BX662" s="934">
        <f t="shared" si="1199"/>
        <v>19</v>
      </c>
      <c r="BY662" s="934">
        <f>BY709</f>
        <v>15</v>
      </c>
      <c r="BZ662" s="987">
        <f>SUM(BV662:BY662)</f>
        <v>77</v>
      </c>
      <c r="CA662" s="934">
        <f t="shared" ref="CA662:CC663" si="1200">CA709</f>
        <v>9</v>
      </c>
      <c r="CB662" s="934">
        <f t="shared" si="1200"/>
        <v>8</v>
      </c>
      <c r="CC662" s="934">
        <f t="shared" si="1200"/>
        <v>9</v>
      </c>
      <c r="CD662" s="934">
        <f>CD709</f>
        <v>8</v>
      </c>
      <c r="CE662" s="992">
        <f>SUM(CA662:CD662)</f>
        <v>34</v>
      </c>
      <c r="CF662" s="934">
        <f t="shared" ref="CF662:CH663" si="1201">CF709</f>
        <v>7</v>
      </c>
      <c r="CG662" s="934">
        <f t="shared" si="1201"/>
        <v>7</v>
      </c>
      <c r="CH662" s="934">
        <f t="shared" si="1201"/>
        <v>7</v>
      </c>
      <c r="CI662" s="934">
        <f>CI709</f>
        <v>71</v>
      </c>
      <c r="CJ662" s="992">
        <f>SUM(CF662:CI662)</f>
        <v>92</v>
      </c>
      <c r="CK662" s="3379">
        <f t="shared" ref="CK662:CR663" si="1202">CK709</f>
        <v>2</v>
      </c>
      <c r="CL662" s="3379">
        <f t="shared" si="1202"/>
        <v>0</v>
      </c>
      <c r="CM662" s="3379">
        <f t="shared" si="1202"/>
        <v>59</v>
      </c>
      <c r="CN662" s="3379">
        <f t="shared" si="1202"/>
        <v>6</v>
      </c>
      <c r="CO662" s="992">
        <f>SUM(CK662:CN662)</f>
        <v>67</v>
      </c>
      <c r="CP662" s="956">
        <f>25/4</f>
        <v>6.25</v>
      </c>
      <c r="CQ662" s="956">
        <f>25/4</f>
        <v>6.25</v>
      </c>
      <c r="CR662" s="956">
        <f>25/4</f>
        <v>6.25</v>
      </c>
      <c r="CS662" s="956">
        <v>86</v>
      </c>
      <c r="CT662" s="992">
        <f>SUM(CP662:CS662)</f>
        <v>104.75</v>
      </c>
      <c r="CU662" s="956">
        <f>CP662</f>
        <v>6.25</v>
      </c>
      <c r="CV662" s="956">
        <f>CQ662</f>
        <v>6.25</v>
      </c>
      <c r="CW662" s="956">
        <f>CR662</f>
        <v>6.25</v>
      </c>
      <c r="CX662" s="956">
        <v>6</v>
      </c>
      <c r="CY662" s="992">
        <f>SUM(CU662:CX662)</f>
        <v>24.75</v>
      </c>
      <c r="CZ662" s="988">
        <v>25</v>
      </c>
      <c r="DA662" s="988">
        <v>25</v>
      </c>
      <c r="DB662"/>
      <c r="DC662"/>
      <c r="DD662" s="2295" t="s">
        <v>928</v>
      </c>
      <c r="DE662" s="2358">
        <f t="shared" si="1162"/>
        <v>0</v>
      </c>
      <c r="DF662" s="2358">
        <f t="shared" si="1163"/>
        <v>0</v>
      </c>
      <c r="DG662" s="2358">
        <f t="shared" si="1164"/>
        <v>0</v>
      </c>
      <c r="DH662" s="2358">
        <f t="shared" si="1165"/>
        <v>0</v>
      </c>
      <c r="DI662" s="2358">
        <f t="shared" si="1166"/>
        <v>0</v>
      </c>
      <c r="DJ662" s="2358">
        <f t="shared" si="1167"/>
        <v>0</v>
      </c>
      <c r="DK662" s="2358">
        <f t="shared" si="1168"/>
        <v>121</v>
      </c>
      <c r="DL662" s="2358">
        <f t="shared" si="1169"/>
        <v>106</v>
      </c>
      <c r="DM662" s="2358">
        <f t="shared" si="1170"/>
        <v>36</v>
      </c>
      <c r="DN662" s="2358">
        <f t="shared" si="1171"/>
        <v>20</v>
      </c>
      <c r="DO662" s="2358">
        <f t="shared" si="1172"/>
        <v>18</v>
      </c>
      <c r="DP662" s="2358">
        <f t="shared" si="1173"/>
        <v>110</v>
      </c>
      <c r="DQ662" s="2358">
        <f t="shared" si="1174"/>
        <v>155</v>
      </c>
      <c r="DR662" s="2358">
        <f t="shared" si="1175"/>
        <v>77</v>
      </c>
      <c r="DS662" s="2358">
        <f t="shared" si="1176"/>
        <v>34</v>
      </c>
      <c r="DT662" s="2358">
        <f t="shared" si="1177"/>
        <v>92</v>
      </c>
      <c r="DU662" s="2358">
        <f t="shared" si="1178"/>
        <v>67</v>
      </c>
      <c r="DV662" s="2358">
        <f t="shared" si="1179"/>
        <v>104.75</v>
      </c>
      <c r="DW662" s="2358">
        <f t="shared" si="1180"/>
        <v>24.75</v>
      </c>
      <c r="DX662" s="2358">
        <f t="shared" si="1181"/>
        <v>25</v>
      </c>
      <c r="DY662" s="2358">
        <f t="shared" si="1182"/>
        <v>25</v>
      </c>
      <c r="EA662"/>
      <c r="EB662"/>
      <c r="EC662"/>
      <c r="ED662"/>
      <c r="EE662"/>
      <c r="EF662"/>
      <c r="EJ662"/>
      <c r="EK662"/>
      <c r="EL662"/>
      <c r="EM662" s="1703"/>
      <c r="ER662" s="212"/>
    </row>
    <row r="663" spans="1:148" ht="12.75" customHeight="1" x14ac:dyDescent="0.2">
      <c r="A663" s="1580" t="s">
        <v>813</v>
      </c>
      <c r="B663" s="3626"/>
      <c r="C663" s="3626"/>
      <c r="D663" s="3626"/>
      <c r="E663" s="3626"/>
      <c r="F663" s="3626"/>
      <c r="G663" s="3626"/>
      <c r="H663" s="3626"/>
      <c r="I663" s="3626"/>
      <c r="J663" s="3626"/>
      <c r="K663" s="3626"/>
      <c r="L663" s="3626"/>
      <c r="M663" s="2047"/>
      <c r="N663" s="3626"/>
      <c r="O663" s="3626"/>
      <c r="P663" s="3626"/>
      <c r="Q663" s="3626"/>
      <c r="R663" s="2047"/>
      <c r="S663" s="3626"/>
      <c r="T663" s="3626"/>
      <c r="U663" s="3626"/>
      <c r="V663" s="3626"/>
      <c r="W663" s="2047"/>
      <c r="X663" s="3626"/>
      <c r="Y663" s="3626"/>
      <c r="Z663" s="3626"/>
      <c r="AA663" s="3626"/>
      <c r="AB663" s="2047"/>
      <c r="AC663" s="3626"/>
      <c r="AD663" s="3626"/>
      <c r="AE663" s="3626"/>
      <c r="AF663" s="3626"/>
      <c r="AG663" s="2047"/>
      <c r="AH663" s="3626"/>
      <c r="AI663" s="3626"/>
      <c r="AJ663" s="3626"/>
      <c r="AK663" s="3626"/>
      <c r="AL663" s="2047"/>
      <c r="AM663" s="3626">
        <f t="shared" si="1192"/>
        <v>160</v>
      </c>
      <c r="AN663" s="3626">
        <f t="shared" si="1192"/>
        <v>556</v>
      </c>
      <c r="AO663" s="3626">
        <f t="shared" si="1192"/>
        <v>63</v>
      </c>
      <c r="AP663" s="3626">
        <f t="shared" si="1192"/>
        <v>19</v>
      </c>
      <c r="AQ663" s="2047">
        <f>SUM(AM663:AP663)</f>
        <v>798</v>
      </c>
      <c r="AR663" s="3626">
        <f t="shared" si="1193"/>
        <v>48</v>
      </c>
      <c r="AS663" s="3626">
        <f t="shared" si="1193"/>
        <v>72</v>
      </c>
      <c r="AT663" s="3626">
        <f t="shared" si="1193"/>
        <v>319</v>
      </c>
      <c r="AU663" s="3626">
        <f t="shared" si="1193"/>
        <v>306</v>
      </c>
      <c r="AV663" s="2047">
        <f>SUM(AR663:AU663)</f>
        <v>745</v>
      </c>
      <c r="AW663" s="3626">
        <f t="shared" si="1194"/>
        <v>14</v>
      </c>
      <c r="AX663" s="3626">
        <f t="shared" si="1194"/>
        <v>5</v>
      </c>
      <c r="AY663" s="3626">
        <f t="shared" si="1194"/>
        <v>0</v>
      </c>
      <c r="AZ663" s="3626">
        <f t="shared" si="1194"/>
        <v>19</v>
      </c>
      <c r="BA663" s="2047">
        <f>SUM(AW663:AZ663)</f>
        <v>38</v>
      </c>
      <c r="BB663" s="3626">
        <f t="shared" si="1195"/>
        <v>1</v>
      </c>
      <c r="BC663" s="3626">
        <f t="shared" si="1195"/>
        <v>0</v>
      </c>
      <c r="BD663" s="3626">
        <f t="shared" si="1195"/>
        <v>0</v>
      </c>
      <c r="BE663" s="3626">
        <f t="shared" si="1195"/>
        <v>1</v>
      </c>
      <c r="BF663" s="2047">
        <f>SUM(BB663:BE663)</f>
        <v>2</v>
      </c>
      <c r="BG663" s="3626">
        <f t="shared" si="1196"/>
        <v>0</v>
      </c>
      <c r="BH663" s="3626">
        <f t="shared" si="1196"/>
        <v>0</v>
      </c>
      <c r="BI663" s="3626">
        <f t="shared" si="1196"/>
        <v>3</v>
      </c>
      <c r="BJ663" s="3626">
        <f t="shared" si="1196"/>
        <v>111</v>
      </c>
      <c r="BK663" s="2047">
        <f>SUM(BG663:BJ663)</f>
        <v>114</v>
      </c>
      <c r="BL663" s="3626">
        <f t="shared" si="1197"/>
        <v>0</v>
      </c>
      <c r="BM663" s="3626">
        <f t="shared" si="1197"/>
        <v>0</v>
      </c>
      <c r="BN663" s="3626">
        <f t="shared" si="1197"/>
        <v>1</v>
      </c>
      <c r="BO663" s="3626">
        <f>BO710</f>
        <v>19</v>
      </c>
      <c r="BP663" s="2047">
        <f>SUM(BL663:BO663)</f>
        <v>20</v>
      </c>
      <c r="BQ663" s="3626">
        <f t="shared" si="1198"/>
        <v>0</v>
      </c>
      <c r="BR663" s="3626">
        <f t="shared" si="1198"/>
        <v>4</v>
      </c>
      <c r="BS663" s="3626">
        <f t="shared" si="1198"/>
        <v>61</v>
      </c>
      <c r="BT663" s="3626">
        <f>BT710</f>
        <v>0</v>
      </c>
      <c r="BU663" s="2047">
        <f>SUM(BQ663:BT663)</f>
        <v>65</v>
      </c>
      <c r="BV663" s="3626">
        <f t="shared" si="1199"/>
        <v>0</v>
      </c>
      <c r="BW663" s="3626">
        <f t="shared" si="1199"/>
        <v>0</v>
      </c>
      <c r="BX663" s="3626">
        <f t="shared" si="1199"/>
        <v>0</v>
      </c>
      <c r="BY663" s="3626">
        <f>BY710</f>
        <v>0</v>
      </c>
      <c r="BZ663" s="2047">
        <f>SUM(BV663:BY663)</f>
        <v>0</v>
      </c>
      <c r="CA663" s="3626">
        <f t="shared" si="1200"/>
        <v>292</v>
      </c>
      <c r="CB663" s="3626">
        <f t="shared" si="1200"/>
        <v>0</v>
      </c>
      <c r="CC663" s="3626">
        <f t="shared" si="1200"/>
        <v>0</v>
      </c>
      <c r="CD663" s="3626">
        <f>CD710</f>
        <v>143</v>
      </c>
      <c r="CE663" s="2047">
        <f>SUM(CA663:CD663)</f>
        <v>435</v>
      </c>
      <c r="CF663" s="3626">
        <f t="shared" si="1201"/>
        <v>247</v>
      </c>
      <c r="CG663" s="3626">
        <f t="shared" si="1201"/>
        <v>334</v>
      </c>
      <c r="CH663" s="3626">
        <f t="shared" si="1201"/>
        <v>31</v>
      </c>
      <c r="CI663" s="3626">
        <f>CI710</f>
        <v>61</v>
      </c>
      <c r="CJ663" s="2047">
        <f>SUM(CF663:CI663)</f>
        <v>673</v>
      </c>
      <c r="CK663" s="3627">
        <f t="shared" si="1202"/>
        <v>4</v>
      </c>
      <c r="CL663" s="3627">
        <f t="shared" si="1202"/>
        <v>49</v>
      </c>
      <c r="CM663" s="3627">
        <f t="shared" si="1202"/>
        <v>0</v>
      </c>
      <c r="CN663" s="3627">
        <f t="shared" si="1202"/>
        <v>165</v>
      </c>
      <c r="CO663" s="2047">
        <f>SUM(CK663:CN663)</f>
        <v>218</v>
      </c>
      <c r="CP663" s="3627">
        <f t="shared" si="1202"/>
        <v>311</v>
      </c>
      <c r="CQ663" s="3627">
        <f t="shared" si="1202"/>
        <v>171</v>
      </c>
      <c r="CR663" s="3627">
        <f t="shared" si="1202"/>
        <v>0</v>
      </c>
      <c r="CS663" s="2046">
        <v>0</v>
      </c>
      <c r="CT663" s="2047">
        <f>SUM(CP663:CS663)</f>
        <v>482</v>
      </c>
      <c r="CU663" s="3626">
        <v>0</v>
      </c>
      <c r="CV663" s="3626">
        <v>0</v>
      </c>
      <c r="CW663" s="3626">
        <v>0</v>
      </c>
      <c r="CX663" s="3626">
        <v>0</v>
      </c>
      <c r="CY663" s="2047">
        <f>SUM(CU663:CX663)</f>
        <v>0</v>
      </c>
      <c r="CZ663" s="2048">
        <v>0</v>
      </c>
      <c r="DA663" s="2048">
        <v>0</v>
      </c>
      <c r="DB663" s="537"/>
      <c r="DC663" s="537"/>
      <c r="DD663" s="1580" t="s">
        <v>813</v>
      </c>
      <c r="DE663" s="2047">
        <f t="shared" si="1162"/>
        <v>0</v>
      </c>
      <c r="DF663" s="2047">
        <f t="shared" si="1163"/>
        <v>0</v>
      </c>
      <c r="DG663" s="2047">
        <f t="shared" si="1164"/>
        <v>0</v>
      </c>
      <c r="DH663" s="2047">
        <f t="shared" si="1165"/>
        <v>0</v>
      </c>
      <c r="DI663" s="2047">
        <f t="shared" si="1166"/>
        <v>0</v>
      </c>
      <c r="DJ663" s="2047">
        <f t="shared" si="1167"/>
        <v>0</v>
      </c>
      <c r="DK663" s="2047">
        <f t="shared" si="1168"/>
        <v>798</v>
      </c>
      <c r="DL663" s="2047">
        <f t="shared" si="1169"/>
        <v>745</v>
      </c>
      <c r="DM663" s="2047">
        <f t="shared" si="1170"/>
        <v>38</v>
      </c>
      <c r="DN663" s="2047">
        <f t="shared" si="1171"/>
        <v>2</v>
      </c>
      <c r="DO663" s="2047">
        <f t="shared" si="1172"/>
        <v>114</v>
      </c>
      <c r="DP663" s="2047">
        <f t="shared" si="1173"/>
        <v>20</v>
      </c>
      <c r="DQ663" s="2047">
        <f t="shared" si="1174"/>
        <v>65</v>
      </c>
      <c r="DR663" s="2047">
        <f t="shared" si="1175"/>
        <v>0</v>
      </c>
      <c r="DS663" s="2047">
        <f t="shared" si="1176"/>
        <v>435</v>
      </c>
      <c r="DT663" s="2047">
        <f t="shared" si="1177"/>
        <v>673</v>
      </c>
      <c r="DU663" s="2047">
        <f t="shared" si="1178"/>
        <v>218</v>
      </c>
      <c r="DV663" s="2047">
        <f t="shared" si="1179"/>
        <v>482</v>
      </c>
      <c r="DW663" s="2047">
        <f t="shared" si="1180"/>
        <v>0</v>
      </c>
      <c r="DX663" s="2047">
        <f t="shared" si="1181"/>
        <v>0</v>
      </c>
      <c r="DY663" s="2047">
        <f t="shared" si="1182"/>
        <v>0</v>
      </c>
      <c r="DZ663" s="855"/>
      <c r="EK663"/>
      <c r="EL663"/>
      <c r="EM663" s="1703"/>
    </row>
    <row r="664" spans="1:148" s="923" customFormat="1" ht="12.75" customHeight="1" x14ac:dyDescent="0.2">
      <c r="A664" s="1560" t="s">
        <v>881</v>
      </c>
      <c r="B664" s="957"/>
      <c r="C664" s="957"/>
      <c r="D664" s="957"/>
      <c r="E664" s="957"/>
      <c r="F664" s="957"/>
      <c r="G664" s="957"/>
      <c r="H664" s="957"/>
      <c r="I664" s="957"/>
      <c r="J664" s="957"/>
      <c r="K664" s="957"/>
      <c r="L664" s="957"/>
      <c r="M664" s="990"/>
      <c r="N664" s="957"/>
      <c r="O664" s="957"/>
      <c r="P664" s="957"/>
      <c r="Q664" s="957"/>
      <c r="R664" s="990"/>
      <c r="S664" s="957"/>
      <c r="T664" s="957"/>
      <c r="U664" s="957"/>
      <c r="V664" s="957"/>
      <c r="W664" s="990"/>
      <c r="X664" s="957"/>
      <c r="Y664" s="957"/>
      <c r="Z664" s="957"/>
      <c r="AA664" s="957"/>
      <c r="AB664" s="990"/>
      <c r="AC664" s="957"/>
      <c r="AD664" s="957"/>
      <c r="AE664" s="957"/>
      <c r="AF664" s="957"/>
      <c r="AG664" s="990"/>
      <c r="AH664" s="957"/>
      <c r="AI664" s="957"/>
      <c r="AJ664" s="957"/>
      <c r="AK664" s="957"/>
      <c r="AL664" s="990"/>
      <c r="AM664" s="957">
        <f>SUM(AM661:AM663)</f>
        <v>-15</v>
      </c>
      <c r="AN664" s="957">
        <f>SUM(AN661:AN663)</f>
        <v>494</v>
      </c>
      <c r="AO664" s="957">
        <f>SUM(AO661:AO663)</f>
        <v>-6</v>
      </c>
      <c r="AP664" s="957">
        <f>SUM(AP661:AP663)</f>
        <v>-237</v>
      </c>
      <c r="AQ664" s="990">
        <f>SUM(AM664:AP664)</f>
        <v>236</v>
      </c>
      <c r="AR664" s="957">
        <f>SUM(AR661:AR663)</f>
        <v>-62</v>
      </c>
      <c r="AS664" s="957">
        <f>SUM(AS661:AS663)</f>
        <v>-52</v>
      </c>
      <c r="AT664" s="957">
        <f>SUM(AT661:AT663)</f>
        <v>96</v>
      </c>
      <c r="AU664" s="957">
        <f>SUM(AU661:AU663)</f>
        <v>127</v>
      </c>
      <c r="AV664" s="990">
        <f>SUM(AR664:AU664)</f>
        <v>109</v>
      </c>
      <c r="AW664" s="957">
        <f>SUM(AW661:AW663)</f>
        <v>-48</v>
      </c>
      <c r="AX664" s="957">
        <f>SUM(AX661:AX663)</f>
        <v>-163</v>
      </c>
      <c r="AY664" s="957">
        <f>SUM(AY661:AY663)</f>
        <v>-105</v>
      </c>
      <c r="AZ664" s="957">
        <f>SUM(AZ661:AZ663)</f>
        <v>-178</v>
      </c>
      <c r="BA664" s="990">
        <f>SUM(AW664:AZ664)</f>
        <v>-494</v>
      </c>
      <c r="BB664" s="957">
        <f>SUM(BB661:BB663)</f>
        <v>-58</v>
      </c>
      <c r="BC664" s="957">
        <f>SUM(BC661:BC663)</f>
        <v>-63</v>
      </c>
      <c r="BD664" s="957">
        <f>SUM(BD661:BD663)</f>
        <v>-78</v>
      </c>
      <c r="BE664" s="957">
        <f>SUM(BE661:BE663)</f>
        <v>-58</v>
      </c>
      <c r="BF664" s="990">
        <f>SUM(BB664:BE664)</f>
        <v>-257</v>
      </c>
      <c r="BG664" s="957">
        <f>SUM(BG661:BG663)</f>
        <v>-44</v>
      </c>
      <c r="BH664" s="957">
        <f>SUM(BH661:BH663)</f>
        <v>-50</v>
      </c>
      <c r="BI664" s="957">
        <f>SUM(BI661:BI663)</f>
        <v>-102</v>
      </c>
      <c r="BJ664" s="957">
        <f>SUM(BJ661:BJ663)</f>
        <v>-88</v>
      </c>
      <c r="BK664" s="990">
        <f>SUM(BG664:BJ664)</f>
        <v>-284</v>
      </c>
      <c r="BL664" s="957">
        <f>SUM(BL661:BL663)</f>
        <v>-164</v>
      </c>
      <c r="BM664" s="957">
        <f>SUM(BM661:BM663)</f>
        <v>33</v>
      </c>
      <c r="BN664" s="957">
        <f>SUM(BN661:BN663)</f>
        <v>-32</v>
      </c>
      <c r="BO664" s="957">
        <f>SUM(BO661:BO663)</f>
        <v>-73</v>
      </c>
      <c r="BP664" s="990">
        <f>SUM(BL664:BO664)</f>
        <v>-236</v>
      </c>
      <c r="BQ664" s="957">
        <f>SUM(BQ661:BQ663)</f>
        <v>-127</v>
      </c>
      <c r="BR664" s="957">
        <f>SUM(BR661:BR663)</f>
        <v>-53</v>
      </c>
      <c r="BS664" s="957">
        <f>SUM(BS661:BS663)</f>
        <v>-11</v>
      </c>
      <c r="BT664" s="957">
        <f>SUM(BT661:BT663)</f>
        <v>-311</v>
      </c>
      <c r="BU664" s="990">
        <f>SUM(BQ664:BT664)</f>
        <v>-502</v>
      </c>
      <c r="BV664" s="957">
        <f>SUM(BV661:BV663)</f>
        <v>-81</v>
      </c>
      <c r="BW664" s="957">
        <f>SUM(BW661:BW663)</f>
        <v>-70</v>
      </c>
      <c r="BX664" s="957">
        <f>SUM(BX661:BX663)</f>
        <v>-70</v>
      </c>
      <c r="BY664" s="957">
        <f>SUM(BY661:BY663)</f>
        <v>-190</v>
      </c>
      <c r="BZ664" s="990">
        <f>SUM(BV664:BY664)</f>
        <v>-411</v>
      </c>
      <c r="CA664" s="957">
        <f t="shared" ref="CA664:DA664" si="1203">SUM(CA661:CA663)</f>
        <v>230</v>
      </c>
      <c r="CB664" s="957">
        <f t="shared" si="1203"/>
        <v>-213</v>
      </c>
      <c r="CC664" s="957">
        <f t="shared" si="1203"/>
        <v>-123</v>
      </c>
      <c r="CD664" s="957">
        <f t="shared" si="1203"/>
        <v>-10</v>
      </c>
      <c r="CE664" s="990">
        <f t="shared" si="1203"/>
        <v>-116</v>
      </c>
      <c r="CF664" s="957">
        <f t="shared" si="1203"/>
        <v>107</v>
      </c>
      <c r="CG664" s="957">
        <f>SUM(CG661:CG663)</f>
        <v>246</v>
      </c>
      <c r="CH664" s="957">
        <f>SUM(CH661:CH663)</f>
        <v>-44</v>
      </c>
      <c r="CI664" s="957">
        <f>SUM(CI661:CI663)</f>
        <v>-43</v>
      </c>
      <c r="CJ664" s="990">
        <f t="shared" si="1203"/>
        <v>266</v>
      </c>
      <c r="CK664" s="957">
        <f>SUM(CK661:CK663)</f>
        <v>-73</v>
      </c>
      <c r="CL664" s="957">
        <f>SUM(CL661:CL663)</f>
        <v>-11</v>
      </c>
      <c r="CM664" s="957">
        <f>SUM(CM661:CM663)</f>
        <v>-13</v>
      </c>
      <c r="CN664" s="957">
        <f>SUM(CN661:CN663)</f>
        <v>71</v>
      </c>
      <c r="CO664" s="990">
        <f t="shared" si="1203"/>
        <v>-26</v>
      </c>
      <c r="CP664" s="957">
        <f>SUM(CP661:CP663)</f>
        <v>171.83199999999999</v>
      </c>
      <c r="CQ664" s="957">
        <f>SUM(CQ661:CQ663)</f>
        <v>52.175280000000001</v>
      </c>
      <c r="CR664" s="957">
        <f>SUM(CR661:CR663)</f>
        <v>-108.98143999999999</v>
      </c>
      <c r="CS664" s="3818">
        <f>SUM(CS661:CS663)</f>
        <v>-71.019999999999982</v>
      </c>
      <c r="CT664" s="990">
        <f>SUM(CT661:CT663)</f>
        <v>44.005840000000035</v>
      </c>
      <c r="CU664" s="957">
        <f t="shared" si="1203"/>
        <v>-167.27213</v>
      </c>
      <c r="CV664" s="957">
        <f t="shared" si="1203"/>
        <v>-138.00101520000001</v>
      </c>
      <c r="CW664" s="957">
        <f t="shared" si="1203"/>
        <v>-124.47990039999999</v>
      </c>
      <c r="CX664" s="957">
        <f t="shared" si="1203"/>
        <v>-178.26579999999998</v>
      </c>
      <c r="CY664" s="990">
        <f>SUM(CY661:CY663)</f>
        <v>-608.01884559999996</v>
      </c>
      <c r="CZ664" s="990">
        <f t="shared" si="1203"/>
        <v>-590.92413420000003</v>
      </c>
      <c r="DA664" s="990">
        <f t="shared" si="1203"/>
        <v>-617.37792748999993</v>
      </c>
      <c r="DB664"/>
      <c r="DC664"/>
      <c r="DD664" s="1560" t="s">
        <v>881</v>
      </c>
      <c r="DE664" s="990">
        <f t="shared" si="1162"/>
        <v>0</v>
      </c>
      <c r="DF664" s="990">
        <f t="shared" si="1163"/>
        <v>0</v>
      </c>
      <c r="DG664" s="990">
        <f t="shared" si="1164"/>
        <v>0</v>
      </c>
      <c r="DH664" s="990">
        <f t="shared" si="1165"/>
        <v>0</v>
      </c>
      <c r="DI664" s="990">
        <f t="shared" si="1166"/>
        <v>0</v>
      </c>
      <c r="DJ664" s="990">
        <f t="shared" si="1167"/>
        <v>0</v>
      </c>
      <c r="DK664" s="990">
        <f t="shared" si="1168"/>
        <v>236</v>
      </c>
      <c r="DL664" s="990">
        <f t="shared" si="1169"/>
        <v>109</v>
      </c>
      <c r="DM664" s="990">
        <f t="shared" si="1170"/>
        <v>-494</v>
      </c>
      <c r="DN664" s="990">
        <f t="shared" si="1171"/>
        <v>-257</v>
      </c>
      <c r="DO664" s="990">
        <f t="shared" si="1172"/>
        <v>-284</v>
      </c>
      <c r="DP664" s="990">
        <f t="shared" si="1173"/>
        <v>-236</v>
      </c>
      <c r="DQ664" s="990">
        <f t="shared" si="1174"/>
        <v>-502</v>
      </c>
      <c r="DR664" s="990">
        <f t="shared" si="1175"/>
        <v>-411</v>
      </c>
      <c r="DS664" s="990">
        <f t="shared" si="1176"/>
        <v>-116</v>
      </c>
      <c r="DT664" s="990">
        <f t="shared" si="1177"/>
        <v>266</v>
      </c>
      <c r="DU664" s="990">
        <f t="shared" si="1178"/>
        <v>-26</v>
      </c>
      <c r="DV664" s="990">
        <f t="shared" si="1179"/>
        <v>44.005840000000035</v>
      </c>
      <c r="DW664" s="990">
        <f t="shared" si="1180"/>
        <v>-608.01884559999996</v>
      </c>
      <c r="DX664" s="990">
        <f t="shared" si="1181"/>
        <v>-590.92413420000003</v>
      </c>
      <c r="DY664" s="990">
        <f t="shared" si="1182"/>
        <v>-617.37792748999993</v>
      </c>
      <c r="EA664"/>
      <c r="EB664"/>
      <c r="EC664"/>
      <c r="ED664"/>
      <c r="EE664"/>
      <c r="EF664"/>
      <c r="EJ664"/>
      <c r="EK664"/>
      <c r="EL664"/>
      <c r="EM664" s="1703"/>
      <c r="ER664" s="212"/>
    </row>
    <row r="665" spans="1:148" s="923" customFormat="1" ht="12.75" customHeight="1" x14ac:dyDescent="0.2">
      <c r="A665" s="1560"/>
      <c r="B665" s="957"/>
      <c r="C665" s="957"/>
      <c r="D665" s="957"/>
      <c r="E665" s="957"/>
      <c r="F665" s="957"/>
      <c r="G665" s="957"/>
      <c r="H665" s="957"/>
      <c r="I665" s="957"/>
      <c r="J665" s="957"/>
      <c r="K665" s="957"/>
      <c r="L665" s="957"/>
      <c r="M665" s="990"/>
      <c r="N665" s="957"/>
      <c r="O665" s="957"/>
      <c r="P665" s="957"/>
      <c r="Q665" s="957"/>
      <c r="R665" s="990"/>
      <c r="S665" s="957"/>
      <c r="T665" s="957"/>
      <c r="U665" s="957"/>
      <c r="V665" s="957"/>
      <c r="W665" s="990"/>
      <c r="X665" s="957"/>
      <c r="Y665" s="957"/>
      <c r="Z665" s="957"/>
      <c r="AA665" s="957"/>
      <c r="AB665" s="990"/>
      <c r="AC665" s="957"/>
      <c r="AD665" s="957"/>
      <c r="AE665" s="957"/>
      <c r="AF665" s="957"/>
      <c r="AG665" s="990"/>
      <c r="AH665" s="957"/>
      <c r="AI665" s="957"/>
      <c r="AJ665" s="957"/>
      <c r="AK665" s="957"/>
      <c r="AL665" s="990"/>
      <c r="AM665" s="957"/>
      <c r="AN665" s="957"/>
      <c r="AO665" s="957"/>
      <c r="AP665" s="957"/>
      <c r="AQ665" s="990"/>
      <c r="AR665" s="957"/>
      <c r="AS665" s="957"/>
      <c r="AT665" s="957"/>
      <c r="AU665" s="957"/>
      <c r="AV665" s="990"/>
      <c r="AW665" s="957"/>
      <c r="AX665" s="957"/>
      <c r="AY665" s="957"/>
      <c r="AZ665" s="957"/>
      <c r="BA665" s="990"/>
      <c r="BB665" s="957"/>
      <c r="BC665" s="957"/>
      <c r="BD665" s="957"/>
      <c r="BE665" s="957"/>
      <c r="BF665" s="990"/>
      <c r="BG665" s="957"/>
      <c r="BH665" s="957"/>
      <c r="BI665" s="957"/>
      <c r="BJ665" s="957"/>
      <c r="BK665" s="990"/>
      <c r="BL665" s="957"/>
      <c r="BM665" s="957"/>
      <c r="BN665" s="957"/>
      <c r="BO665" s="957"/>
      <c r="BP665" s="990"/>
      <c r="BQ665" s="957"/>
      <c r="BR665" s="957"/>
      <c r="BS665" s="957"/>
      <c r="BT665" s="957"/>
      <c r="BU665" s="990"/>
      <c r="BV665" s="957"/>
      <c r="BW665" s="957"/>
      <c r="BX665" s="957"/>
      <c r="BY665" s="957"/>
      <c r="BZ665" s="990"/>
      <c r="CA665" s="957"/>
      <c r="CB665" s="957"/>
      <c r="CC665" s="957"/>
      <c r="CD665" s="1821"/>
      <c r="CE665" s="990"/>
      <c r="CF665" s="957"/>
      <c r="CG665" s="957"/>
      <c r="CH665" s="957"/>
      <c r="CI665" s="1821"/>
      <c r="CJ665" s="990"/>
      <c r="CK665" s="957"/>
      <c r="CL665" s="957"/>
      <c r="CM665" s="957"/>
      <c r="CN665" s="1821"/>
      <c r="CO665" s="990"/>
      <c r="CP665" s="957"/>
      <c r="CQ665" s="957"/>
      <c r="CR665" s="957"/>
      <c r="CS665" s="957"/>
      <c r="CT665" s="990"/>
      <c r="CU665" s="957"/>
      <c r="CV665" s="957"/>
      <c r="CW665" s="957"/>
      <c r="CX665" s="957"/>
      <c r="CY665" s="990"/>
      <c r="CZ665" s="990"/>
      <c r="DA665" s="990"/>
      <c r="DB665"/>
      <c r="DC665"/>
      <c r="DD665" s="1560"/>
      <c r="DE665" s="990"/>
      <c r="DF665" s="990"/>
      <c r="DG665" s="990"/>
      <c r="DH665" s="990"/>
      <c r="DI665" s="990"/>
      <c r="DJ665" s="990"/>
      <c r="DK665" s="990"/>
      <c r="DL665" s="990"/>
      <c r="DM665" s="990"/>
      <c r="DN665" s="990"/>
      <c r="DO665" s="990"/>
      <c r="DP665" s="990"/>
      <c r="DQ665" s="990"/>
      <c r="DR665" s="990"/>
      <c r="DS665" s="990"/>
      <c r="DT665" s="990"/>
      <c r="DU665" s="990"/>
      <c r="DV665" s="990"/>
      <c r="DW665" s="990"/>
      <c r="DX665" s="990"/>
      <c r="DY665" s="990"/>
      <c r="EA665"/>
      <c r="EB665"/>
      <c r="EC665"/>
      <c r="ED665"/>
      <c r="EE665"/>
      <c r="EF665"/>
      <c r="EJ665"/>
      <c r="EK665"/>
      <c r="EL665"/>
      <c r="ER665" s="212"/>
    </row>
    <row r="666" spans="1:148" s="923" customFormat="1" ht="12.75" customHeight="1" x14ac:dyDescent="0.2">
      <c r="A666" s="1673" t="s">
        <v>879</v>
      </c>
      <c r="B666" s="768"/>
      <c r="C666" s="768"/>
      <c r="D666" s="768"/>
      <c r="E666" s="768"/>
      <c r="F666" s="768"/>
      <c r="G666" s="768"/>
      <c r="H666" s="768"/>
      <c r="I666" s="768"/>
      <c r="J666" s="768"/>
      <c r="K666" s="768"/>
      <c r="L666" s="768"/>
      <c r="M666" s="1006"/>
      <c r="N666" s="768"/>
      <c r="O666" s="768"/>
      <c r="P666" s="768"/>
      <c r="Q666" s="768"/>
      <c r="R666" s="1006"/>
      <c r="S666" s="768"/>
      <c r="T666" s="768"/>
      <c r="U666" s="768"/>
      <c r="V666" s="768"/>
      <c r="W666" s="1006"/>
      <c r="X666" s="768"/>
      <c r="Y666" s="768"/>
      <c r="Z666" s="768"/>
      <c r="AA666" s="768"/>
      <c r="AB666" s="1006"/>
      <c r="AC666" s="768"/>
      <c r="AD666" s="768"/>
      <c r="AE666" s="768"/>
      <c r="AF666" s="768"/>
      <c r="AG666" s="1006"/>
      <c r="AH666" s="768"/>
      <c r="AI666" s="768"/>
      <c r="AJ666" s="768"/>
      <c r="AK666" s="768"/>
      <c r="AL666" s="1006"/>
      <c r="AM666" s="768"/>
      <c r="AN666" s="768"/>
      <c r="AO666" s="768"/>
      <c r="AP666" s="768"/>
      <c r="AQ666" s="1006"/>
      <c r="AR666" s="768"/>
      <c r="AS666" s="768"/>
      <c r="AT666" s="768"/>
      <c r="AU666" s="768"/>
      <c r="AV666" s="1006"/>
      <c r="AW666" s="768"/>
      <c r="AX666" s="768"/>
      <c r="AY666" s="768"/>
      <c r="AZ666" s="768"/>
      <c r="BA666" s="1006"/>
      <c r="BB666" s="768">
        <f t="shared" ref="BB666:BX666" si="1204">BB657/AW657-1</f>
        <v>-0.23076923076923073</v>
      </c>
      <c r="BC666" s="768">
        <f t="shared" si="1204"/>
        <v>-0.62068965517241381</v>
      </c>
      <c r="BD666" s="768">
        <f t="shared" si="1204"/>
        <v>-0.57352941176470584</v>
      </c>
      <c r="BE666" s="768">
        <f t="shared" si="1204"/>
        <v>-0.74452554744525545</v>
      </c>
      <c r="BF666" s="1006">
        <f t="shared" si="1204"/>
        <v>-0.58823529411764708</v>
      </c>
      <c r="BG666" s="768">
        <f t="shared" si="1204"/>
        <v>-0.5</v>
      </c>
      <c r="BH666" s="768">
        <f t="shared" si="1204"/>
        <v>0.18181818181818188</v>
      </c>
      <c r="BI666" s="768">
        <f t="shared" si="1204"/>
        <v>1.8620689655172415</v>
      </c>
      <c r="BJ666" s="768">
        <f t="shared" si="1204"/>
        <v>3.5714285714285712</v>
      </c>
      <c r="BK666" s="1006">
        <f t="shared" si="1204"/>
        <v>1.0884353741496597</v>
      </c>
      <c r="BL666" s="768">
        <f t="shared" si="1204"/>
        <v>1.48</v>
      </c>
      <c r="BM666" s="768">
        <f t="shared" si="1204"/>
        <v>-0.25641025641025639</v>
      </c>
      <c r="BN666" s="768">
        <f t="shared" si="1204"/>
        <v>-0.55421686746987953</v>
      </c>
      <c r="BO666" s="768">
        <f t="shared" si="1204"/>
        <v>-0.65625</v>
      </c>
      <c r="BP666" s="1006">
        <f t="shared" si="1204"/>
        <v>-0.40390879478827357</v>
      </c>
      <c r="BQ666" s="768">
        <f t="shared" si="1204"/>
        <v>2.1774193548387095</v>
      </c>
      <c r="BR666" s="768">
        <f t="shared" si="1204"/>
        <v>1.0689655172413794</v>
      </c>
      <c r="BS666" s="768">
        <f t="shared" si="1204"/>
        <v>0.59459459459459452</v>
      </c>
      <c r="BT666" s="768">
        <f t="shared" si="1204"/>
        <v>1.2000000000000002</v>
      </c>
      <c r="BU666" s="1006">
        <f t="shared" si="1204"/>
        <v>1.3879781420765029</v>
      </c>
      <c r="BV666" s="768">
        <f t="shared" si="1204"/>
        <v>-0.64467005076142136</v>
      </c>
      <c r="BW666" s="768">
        <f t="shared" si="1204"/>
        <v>0.30000000000000004</v>
      </c>
      <c r="BX666" s="768">
        <f t="shared" si="1204"/>
        <v>0.32203389830508478</v>
      </c>
      <c r="BY666" s="768">
        <f>BY657/BT657-1</f>
        <v>0.47107438016528924</v>
      </c>
      <c r="BZ666" s="1006">
        <f t="shared" ref="BZ666:CF670" si="1205">BZ657/BU657-1</f>
        <v>-7.5514874141876409E-2</v>
      </c>
      <c r="CA666" s="768">
        <f t="shared" si="1205"/>
        <v>-0.12857142857142856</v>
      </c>
      <c r="CB666" s="768">
        <f t="shared" si="1205"/>
        <v>0.21794871794871784</v>
      </c>
      <c r="CC666" s="768">
        <f t="shared" si="1205"/>
        <v>0.42307692307692313</v>
      </c>
      <c r="CD666" s="1693">
        <f t="shared" si="1205"/>
        <v>-0.1910112359550562</v>
      </c>
      <c r="CE666" s="1006">
        <f t="shared" si="1205"/>
        <v>1.7326732673267342E-2</v>
      </c>
      <c r="CF666" s="768">
        <f t="shared" si="1205"/>
        <v>0.22950819672131151</v>
      </c>
      <c r="CG666" s="768">
        <f t="shared" ref="CG666:CN669" si="1206">CG657/CB657-1</f>
        <v>-0.11578947368421055</v>
      </c>
      <c r="CH666" s="768">
        <f t="shared" si="1206"/>
        <v>-0.46846846846846846</v>
      </c>
      <c r="CI666" s="1693">
        <f t="shared" si="1206"/>
        <v>-0.39583333333333337</v>
      </c>
      <c r="CJ666" s="1006">
        <f t="shared" si="1206"/>
        <v>-0.25790754257907544</v>
      </c>
      <c r="CK666" s="768">
        <f t="shared" si="1206"/>
        <v>-0.43999999999999995</v>
      </c>
      <c r="CL666" s="768">
        <f t="shared" si="1206"/>
        <v>-0.5714285714285714</v>
      </c>
      <c r="CM666" s="768">
        <f t="shared" si="1206"/>
        <v>-8.4745762711864403E-2</v>
      </c>
      <c r="CN666" s="1693">
        <f t="shared" ref="CN666:CY666" si="1207">CN657/CI657-1</f>
        <v>-0.22988505747126442</v>
      </c>
      <c r="CO666" s="1006">
        <f t="shared" si="1207"/>
        <v>-0.34754098360655739</v>
      </c>
      <c r="CP666" s="768">
        <f t="shared" si="1207"/>
        <v>0.70042857142857162</v>
      </c>
      <c r="CQ666" s="768">
        <f t="shared" si="1207"/>
        <v>1.0298533333333335</v>
      </c>
      <c r="CR666" s="768">
        <f t="shared" si="1207"/>
        <v>0.38391555555555534</v>
      </c>
      <c r="CS666" s="768">
        <f t="shared" si="1207"/>
        <v>0.13462686567164184</v>
      </c>
      <c r="CT666" s="1006">
        <f t="shared" si="1207"/>
        <v>0.4836389949748745</v>
      </c>
      <c r="CU666" s="768">
        <f t="shared" si="1207"/>
        <v>-7.9753983589571198E-2</v>
      </c>
      <c r="CV666" s="768">
        <f t="shared" si="1207"/>
        <v>-7.1484431278012295E-2</v>
      </c>
      <c r="CW666" s="768">
        <f t="shared" si="1207"/>
        <v>-6.3581534090604963E-2</v>
      </c>
      <c r="CX666" s="768">
        <f t="shared" si="1207"/>
        <v>-5.4646145751118147E-2</v>
      </c>
      <c r="CY666" s="1006">
        <f t="shared" si="1207"/>
        <v>-6.7148879083671065E-2</v>
      </c>
      <c r="CZ666" s="1006">
        <f>CZ657/CY657-1</f>
        <v>-0.27723125203600807</v>
      </c>
      <c r="DA666" s="1006">
        <f>DA657/CZ657-1</f>
        <v>0.30918072478171199</v>
      </c>
      <c r="DB666"/>
      <c r="DC666"/>
      <c r="DD666" s="2333" t="s">
        <v>879</v>
      </c>
      <c r="DE666" s="1006">
        <f>M666</f>
        <v>0</v>
      </c>
      <c r="DF666" s="1006">
        <f>R666</f>
        <v>0</v>
      </c>
      <c r="DG666" s="1006">
        <f>W666</f>
        <v>0</v>
      </c>
      <c r="DH666" s="1006">
        <f>AB666</f>
        <v>0</v>
      </c>
      <c r="DI666" s="1006">
        <f>AG666</f>
        <v>0</v>
      </c>
      <c r="DJ666" s="1006">
        <f>AL666</f>
        <v>0</v>
      </c>
      <c r="DK666" s="1006">
        <f>AQ666</f>
        <v>0</v>
      </c>
      <c r="DL666" s="1006">
        <f>AV666</f>
        <v>0</v>
      </c>
      <c r="DM666" s="1006">
        <f>BA666</f>
        <v>0</v>
      </c>
      <c r="DN666" s="1006">
        <f>BF666</f>
        <v>-0.58823529411764708</v>
      </c>
      <c r="DO666" s="1006">
        <f>BK666</f>
        <v>1.0884353741496597</v>
      </c>
      <c r="DP666" s="1006">
        <f>BP666</f>
        <v>-0.40390879478827357</v>
      </c>
      <c r="DQ666" s="1006">
        <f>BU666</f>
        <v>1.3879781420765029</v>
      </c>
      <c r="DR666" s="1006">
        <f>BZ666</f>
        <v>-7.5514874141876409E-2</v>
      </c>
      <c r="DS666" s="1006">
        <f>CE666</f>
        <v>1.7326732673267342E-2</v>
      </c>
      <c r="DT666" s="1006">
        <f>CJ666</f>
        <v>-0.25790754257907544</v>
      </c>
      <c r="DU666" s="1006">
        <f>CO666</f>
        <v>-0.34754098360655739</v>
      </c>
      <c r="DV666" s="1006">
        <f>CT666</f>
        <v>0.4836389949748745</v>
      </c>
      <c r="DW666" s="1006">
        <f t="shared" ref="DW666:DY670" si="1208">CY666</f>
        <v>-6.7148879083671065E-2</v>
      </c>
      <c r="DX666" s="1006">
        <f t="shared" si="1208"/>
        <v>-0.27723125203600807</v>
      </c>
      <c r="DY666" s="1006">
        <f t="shared" si="1208"/>
        <v>0.30918072478171199</v>
      </c>
      <c r="EA666"/>
      <c r="EB666"/>
      <c r="EC666"/>
      <c r="ED666"/>
      <c r="EE666"/>
      <c r="EF666"/>
      <c r="EJ666"/>
      <c r="EK666"/>
      <c r="EL666"/>
      <c r="EM666" s="1703"/>
      <c r="ER666" s="212"/>
    </row>
    <row r="667" spans="1:148" s="923" customFormat="1" ht="12.75" customHeight="1" x14ac:dyDescent="0.2">
      <c r="A667" s="1673" t="s">
        <v>926</v>
      </c>
      <c r="B667" s="768"/>
      <c r="C667" s="768"/>
      <c r="D667" s="768"/>
      <c r="E667" s="768"/>
      <c r="F667" s="768"/>
      <c r="G667" s="768"/>
      <c r="H667" s="768"/>
      <c r="I667" s="768"/>
      <c r="J667" s="768"/>
      <c r="K667" s="768"/>
      <c r="L667" s="768"/>
      <c r="M667" s="1006"/>
      <c r="N667" s="768"/>
      <c r="O667" s="768"/>
      <c r="P667" s="768"/>
      <c r="Q667" s="768"/>
      <c r="R667" s="1006"/>
      <c r="S667" s="768"/>
      <c r="T667" s="768"/>
      <c r="U667" s="768"/>
      <c r="V667" s="768"/>
      <c r="W667" s="1006"/>
      <c r="X667" s="768"/>
      <c r="Y667" s="768"/>
      <c r="Z667" s="768"/>
      <c r="AA667" s="768"/>
      <c r="AB667" s="1006"/>
      <c r="AC667" s="768"/>
      <c r="AD667" s="768"/>
      <c r="AE667" s="768"/>
      <c r="AF667" s="768"/>
      <c r="AG667" s="1006"/>
      <c r="AH667" s="768"/>
      <c r="AI667" s="768"/>
      <c r="AJ667" s="768"/>
      <c r="AK667" s="768"/>
      <c r="AL667" s="1006"/>
      <c r="AM667" s="768"/>
      <c r="AN667" s="768"/>
      <c r="AO667" s="768"/>
      <c r="AP667" s="768"/>
      <c r="AQ667" s="1006"/>
      <c r="AR667" s="768"/>
      <c r="AS667" s="768"/>
      <c r="AT667" s="768"/>
      <c r="AU667" s="768"/>
      <c r="AV667" s="1006"/>
      <c r="AW667" s="768"/>
      <c r="AX667" s="768"/>
      <c r="AY667" s="768"/>
      <c r="AZ667" s="768"/>
      <c r="BA667" s="1006"/>
      <c r="BB667" s="768">
        <f t="shared" ref="BB667:BC670" si="1209">BB658/AW658-1</f>
        <v>-0.73684210526315796</v>
      </c>
      <c r="BC667" s="768">
        <f t="shared" si="1209"/>
        <v>-0.88311688311688308</v>
      </c>
      <c r="BD667" s="768">
        <f t="shared" ref="BD667:BF669" si="1210">BD658/AY658-1</f>
        <v>-0.5714285714285714</v>
      </c>
      <c r="BE667" s="768">
        <f>BE658/AZ658-1</f>
        <v>0.44444444444444442</v>
      </c>
      <c r="BF667" s="1006">
        <f t="shared" si="1210"/>
        <v>-0.70676691729323315</v>
      </c>
      <c r="BG667" s="768">
        <f t="shared" ref="BG667:BX667" si="1211">BG658/BB658-1</f>
        <v>2.2000000000000002</v>
      </c>
      <c r="BH667" s="768">
        <f t="shared" si="1211"/>
        <v>-0.55555555555555558</v>
      </c>
      <c r="BI667" s="768">
        <f t="shared" si="1211"/>
        <v>0.25</v>
      </c>
      <c r="BJ667" s="768">
        <f t="shared" si="1211"/>
        <v>0.61538461538461542</v>
      </c>
      <c r="BK667" s="1006">
        <f t="shared" si="1211"/>
        <v>0.4358974358974359</v>
      </c>
      <c r="BL667" s="768">
        <f t="shared" si="1211"/>
        <v>1.3125</v>
      </c>
      <c r="BM667" s="768">
        <f t="shared" si="1211"/>
        <v>1.5</v>
      </c>
      <c r="BN667" s="768">
        <f t="shared" si="1211"/>
        <v>-0.53333333333333333</v>
      </c>
      <c r="BO667" s="768">
        <f t="shared" si="1211"/>
        <v>-4.7619047619047672E-2</v>
      </c>
      <c r="BP667" s="1006">
        <f t="shared" si="1211"/>
        <v>0.3214285714285714</v>
      </c>
      <c r="BQ667" s="768">
        <f t="shared" si="1211"/>
        <v>-0.72972972972972971</v>
      </c>
      <c r="BR667" s="768">
        <f t="shared" si="1211"/>
        <v>-9.9999999999999978E-2</v>
      </c>
      <c r="BS667" s="768">
        <f t="shared" si="1211"/>
        <v>3.7142857142857144</v>
      </c>
      <c r="BT667" s="768">
        <f t="shared" si="1211"/>
        <v>9.0500000000000007</v>
      </c>
      <c r="BU667" s="1006">
        <f t="shared" si="1211"/>
        <v>2.4189189189189189</v>
      </c>
      <c r="BV667" s="768">
        <f t="shared" si="1211"/>
        <v>0.39999999999999991</v>
      </c>
      <c r="BW667" s="768">
        <f t="shared" si="1211"/>
        <v>0.33333333333333326</v>
      </c>
      <c r="BX667" s="768">
        <f t="shared" si="1211"/>
        <v>-0.69696969696969702</v>
      </c>
      <c r="BY667" s="768">
        <f>BY658/BT658-1</f>
        <v>-0.87562189054726369</v>
      </c>
      <c r="BZ667" s="1006">
        <f t="shared" si="1205"/>
        <v>-0.75889328063241113</v>
      </c>
      <c r="CA667" s="768">
        <f t="shared" si="1205"/>
        <v>-0.5714285714285714</v>
      </c>
      <c r="CB667" s="768">
        <f t="shared" si="1205"/>
        <v>0.83333333333333326</v>
      </c>
      <c r="CC667" s="768">
        <f t="shared" si="1205"/>
        <v>0.89999999999999991</v>
      </c>
      <c r="CD667" s="1693">
        <f t="shared" si="1205"/>
        <v>-0.28000000000000003</v>
      </c>
      <c r="CE667" s="1006">
        <f t="shared" si="1205"/>
        <v>6.5573770491803351E-2</v>
      </c>
      <c r="CF667" s="768">
        <f t="shared" si="1205"/>
        <v>9.1666666666666661</v>
      </c>
      <c r="CG667" s="768">
        <f t="shared" si="1206"/>
        <v>-0.5</v>
      </c>
      <c r="CH667" s="768">
        <f t="shared" si="1206"/>
        <v>-0.10526315789473684</v>
      </c>
      <c r="CI667" s="1693">
        <f t="shared" si="1206"/>
        <v>0.77777777777777768</v>
      </c>
      <c r="CJ667" s="1006">
        <f t="shared" si="1206"/>
        <v>0.86153846153846159</v>
      </c>
      <c r="CK667" s="768">
        <f t="shared" si="1206"/>
        <v>-0.65573770491803285</v>
      </c>
      <c r="CL667" s="768">
        <f t="shared" si="1206"/>
        <v>0.45454545454545459</v>
      </c>
      <c r="CM667" s="768">
        <f t="shared" si="1206"/>
        <v>5.8823529411764719E-2</v>
      </c>
      <c r="CN667" s="768">
        <f t="shared" si="1206"/>
        <v>-0.21875</v>
      </c>
      <c r="CO667" s="1006">
        <f>CO658/CJ658-1</f>
        <v>-0.33884297520661155</v>
      </c>
      <c r="CP667" s="1982">
        <v>1</v>
      </c>
      <c r="CQ667" s="1982">
        <v>1.25</v>
      </c>
      <c r="CR667" s="1982">
        <v>1.25</v>
      </c>
      <c r="CS667" s="1982">
        <v>1</v>
      </c>
      <c r="CT667" s="1006">
        <f>CT658/CO658-1</f>
        <v>1.1062500000000002</v>
      </c>
      <c r="CU667" s="1982">
        <v>0.5</v>
      </c>
      <c r="CV667" s="1982">
        <v>0.5</v>
      </c>
      <c r="CW667" s="1982">
        <v>0.5</v>
      </c>
      <c r="CX667" s="1982">
        <v>0.5</v>
      </c>
      <c r="CY667" s="1006">
        <f>CY658/CT658-1</f>
        <v>0.5</v>
      </c>
      <c r="CZ667" s="3256">
        <v>0.2</v>
      </c>
      <c r="DA667" s="3256">
        <v>-0.05</v>
      </c>
      <c r="DB667"/>
      <c r="DC667"/>
      <c r="DD667" s="2333" t="s">
        <v>926</v>
      </c>
      <c r="DE667" s="1006">
        <f>M667</f>
        <v>0</v>
      </c>
      <c r="DF667" s="1006">
        <f>R667</f>
        <v>0</v>
      </c>
      <c r="DG667" s="1006">
        <f>W667</f>
        <v>0</v>
      </c>
      <c r="DH667" s="1006">
        <f>AB667</f>
        <v>0</v>
      </c>
      <c r="DI667" s="1006">
        <f>AG667</f>
        <v>0</v>
      </c>
      <c r="DJ667" s="1006">
        <f>AL667</f>
        <v>0</v>
      </c>
      <c r="DK667" s="1006">
        <f>AQ667</f>
        <v>0</v>
      </c>
      <c r="DL667" s="1006">
        <f>AV667</f>
        <v>0</v>
      </c>
      <c r="DM667" s="1006">
        <f>BA667</f>
        <v>0</v>
      </c>
      <c r="DN667" s="1006">
        <f>BF667</f>
        <v>-0.70676691729323315</v>
      </c>
      <c r="DO667" s="1006">
        <f>BK667</f>
        <v>0.4358974358974359</v>
      </c>
      <c r="DP667" s="1006">
        <f>BP667</f>
        <v>0.3214285714285714</v>
      </c>
      <c r="DQ667" s="1006">
        <f>BU667</f>
        <v>2.4189189189189189</v>
      </c>
      <c r="DR667" s="1006">
        <f>BZ667</f>
        <v>-0.75889328063241113</v>
      </c>
      <c r="DS667" s="1006">
        <f>CE667</f>
        <v>6.5573770491803351E-2</v>
      </c>
      <c r="DT667" s="1006">
        <f>CJ667</f>
        <v>0.86153846153846159</v>
      </c>
      <c r="DU667" s="1006">
        <f>CO667</f>
        <v>-0.33884297520661155</v>
      </c>
      <c r="DV667" s="1006">
        <f>CT667</f>
        <v>1.1062500000000002</v>
      </c>
      <c r="DW667" s="1006">
        <f t="shared" si="1208"/>
        <v>0.5</v>
      </c>
      <c r="DX667" s="1006">
        <f t="shared" si="1208"/>
        <v>0.2</v>
      </c>
      <c r="DY667" s="1006">
        <f t="shared" si="1208"/>
        <v>-0.05</v>
      </c>
      <c r="EA667"/>
      <c r="EB667"/>
      <c r="EC667"/>
      <c r="ED667"/>
      <c r="EE667"/>
      <c r="EF667"/>
      <c r="EJ667"/>
      <c r="EK667"/>
      <c r="EL667"/>
      <c r="EM667" s="1703"/>
      <c r="ER667" s="212"/>
    </row>
    <row r="668" spans="1:148" s="923" customFormat="1" ht="12.75" customHeight="1" x14ac:dyDescent="0.2">
      <c r="A668" s="1673" t="s">
        <v>880</v>
      </c>
      <c r="B668" s="768"/>
      <c r="C668" s="768"/>
      <c r="D668" s="768"/>
      <c r="E668" s="768"/>
      <c r="F668" s="768"/>
      <c r="G668" s="768"/>
      <c r="H668" s="768"/>
      <c r="I668" s="768"/>
      <c r="J668" s="768"/>
      <c r="K668" s="768"/>
      <c r="L668" s="768"/>
      <c r="M668" s="1849"/>
      <c r="N668" s="768"/>
      <c r="O668" s="768"/>
      <c r="P668" s="768"/>
      <c r="Q668" s="768"/>
      <c r="R668" s="1849"/>
      <c r="S668" s="768"/>
      <c r="T668" s="768"/>
      <c r="U668" s="768"/>
      <c r="V668" s="768"/>
      <c r="W668" s="1849"/>
      <c r="X668" s="768"/>
      <c r="Y668" s="768"/>
      <c r="Z668" s="768"/>
      <c r="AA668" s="768"/>
      <c r="AB668" s="1849"/>
      <c r="AC668" s="768"/>
      <c r="AD668" s="768"/>
      <c r="AE668" s="768"/>
      <c r="AF668" s="768"/>
      <c r="AG668" s="1849"/>
      <c r="AH668" s="768"/>
      <c r="AI668" s="768"/>
      <c r="AJ668" s="768"/>
      <c r="AK668" s="768"/>
      <c r="AL668" s="1849"/>
      <c r="AM668" s="768"/>
      <c r="AN668" s="768"/>
      <c r="AO668" s="768"/>
      <c r="AP668" s="768"/>
      <c r="AQ668" s="1849"/>
      <c r="AR668" s="768"/>
      <c r="AS668" s="768"/>
      <c r="AT668" s="768"/>
      <c r="AU668" s="768"/>
      <c r="AV668" s="1849"/>
      <c r="AW668" s="768"/>
      <c r="AX668" s="768"/>
      <c r="AY668" s="768"/>
      <c r="AZ668" s="768"/>
      <c r="BA668" s="1849"/>
      <c r="BB668" s="768">
        <f t="shared" si="1209"/>
        <v>-1.2666666666666666</v>
      </c>
      <c r="BC668" s="768">
        <f t="shared" si="1209"/>
        <v>0</v>
      </c>
      <c r="BD668" s="768">
        <f t="shared" si="1210"/>
        <v>0.44444444444444442</v>
      </c>
      <c r="BE668" s="768">
        <f>BE659/AZ659-1</f>
        <v>-0.95238095238095233</v>
      </c>
      <c r="BF668" s="1849">
        <f t="shared" si="1210"/>
        <v>0.12000000000000011</v>
      </c>
      <c r="BG668" s="768">
        <f t="shared" ref="BG668:BX670" si="1212">BG659/BB659-1</f>
        <v>-0.25</v>
      </c>
      <c r="BH668" s="768">
        <f t="shared" si="1212"/>
        <v>-0.4</v>
      </c>
      <c r="BI668" s="768">
        <f t="shared" si="1212"/>
        <v>-0.53846153846153844</v>
      </c>
      <c r="BJ668" s="768">
        <f t="shared" si="1212"/>
        <v>13</v>
      </c>
      <c r="BK668" s="1849">
        <f t="shared" si="1212"/>
        <v>3.5714285714285809E-2</v>
      </c>
      <c r="BL668" s="768">
        <f t="shared" si="1212"/>
        <v>20.666666666666668</v>
      </c>
      <c r="BM668" s="768">
        <f t="shared" si="1212"/>
        <v>-0.16666666666666663</v>
      </c>
      <c r="BN668" s="768">
        <f t="shared" si="1212"/>
        <v>-0.83333333333333337</v>
      </c>
      <c r="BO668" s="768">
        <f t="shared" si="1212"/>
        <v>-0.1428571428571429</v>
      </c>
      <c r="BP668" s="1849">
        <f t="shared" si="1212"/>
        <v>1.8620689655172415</v>
      </c>
      <c r="BQ668" s="768">
        <f t="shared" si="1212"/>
        <v>-0.96923076923076923</v>
      </c>
      <c r="BR668" s="768">
        <f t="shared" si="1212"/>
        <v>1</v>
      </c>
      <c r="BS668" s="768">
        <f t="shared" si="1212"/>
        <v>-1</v>
      </c>
      <c r="BT668" s="768">
        <f t="shared" si="1212"/>
        <v>-0.75</v>
      </c>
      <c r="BU668" s="1849">
        <f>BU659/BP659-1</f>
        <v>-0.81927710843373491</v>
      </c>
      <c r="BV668" s="768">
        <f t="shared" si="1212"/>
        <v>6</v>
      </c>
      <c r="BW668" s="768">
        <f t="shared" si="1212"/>
        <v>-0.8</v>
      </c>
      <c r="BX668" s="768" t="s">
        <v>1979</v>
      </c>
      <c r="BY668" s="768">
        <f>IF(ISERROR(BY659/BT659-1),"NA",BY659/BT659-1)</f>
        <v>-1</v>
      </c>
      <c r="BZ668" s="1006">
        <f t="shared" ref="BZ668:CE668" si="1213">IF(ISERROR(BZ659/BU659-1),"NA",BZ659/BU659-1)</f>
        <v>6.6666666666666652E-2</v>
      </c>
      <c r="CA668" s="768">
        <f t="shared" si="1205"/>
        <v>-0.9285714285714286</v>
      </c>
      <c r="CB668" s="768">
        <f t="shared" si="1213"/>
        <v>1</v>
      </c>
      <c r="CC668" s="768" t="str">
        <f t="shared" si="1213"/>
        <v>NA</v>
      </c>
      <c r="CD668" s="768" t="str">
        <f t="shared" si="1213"/>
        <v>NA</v>
      </c>
      <c r="CE668" s="1849">
        <f t="shared" si="1213"/>
        <v>-0.625</v>
      </c>
      <c r="CF668" s="768">
        <f t="shared" si="1205"/>
        <v>0</v>
      </c>
      <c r="CG668" s="768">
        <f t="shared" ref="CG668:CJ669" si="1214">IF(ISERROR(CG659/CB659-1),"NA",CG659/CB659-1)</f>
        <v>-1.5</v>
      </c>
      <c r="CH668" s="768">
        <f t="shared" si="1214"/>
        <v>2</v>
      </c>
      <c r="CI668" s="768">
        <f t="shared" si="1214"/>
        <v>-3</v>
      </c>
      <c r="CJ668" s="1849">
        <f t="shared" si="1214"/>
        <v>0.16666666666666674</v>
      </c>
      <c r="CK668" s="768">
        <f t="shared" si="1206"/>
        <v>-1</v>
      </c>
      <c r="CL668" s="768">
        <f t="shared" si="1206"/>
        <v>-1</v>
      </c>
      <c r="CM668" s="768">
        <f t="shared" si="1206"/>
        <v>-1</v>
      </c>
      <c r="CN668" s="768">
        <f t="shared" si="1206"/>
        <v>-1</v>
      </c>
      <c r="CO668" s="1849">
        <f t="shared" ref="CO668:CT668" si="1215">IF(ISERROR(CO659/CJ659-1),"NA",CO659/CJ659-1)</f>
        <v>-1</v>
      </c>
      <c r="CP668" s="768" t="str">
        <f t="shared" si="1215"/>
        <v>NA</v>
      </c>
      <c r="CQ668" s="768" t="str">
        <f t="shared" si="1215"/>
        <v>NA</v>
      </c>
      <c r="CR668" s="768" t="str">
        <f t="shared" si="1215"/>
        <v>NA</v>
      </c>
      <c r="CS668" s="768" t="str">
        <f t="shared" si="1215"/>
        <v>NA</v>
      </c>
      <c r="CT668" s="1849" t="str">
        <f t="shared" si="1215"/>
        <v>NA</v>
      </c>
      <c r="CU668" s="768">
        <v>0</v>
      </c>
      <c r="CV668" s="768">
        <v>0</v>
      </c>
      <c r="CW668" s="768">
        <v>0</v>
      </c>
      <c r="CX668" s="768">
        <v>0</v>
      </c>
      <c r="CY668" s="1849">
        <f>IF(ISERROR(CY659/CT659-1),"NA",CY659/CT659-1)</f>
        <v>0</v>
      </c>
      <c r="CZ668" s="1007">
        <v>0</v>
      </c>
      <c r="DA668" s="1007">
        <v>0</v>
      </c>
      <c r="DB668"/>
      <c r="DC668"/>
      <c r="DD668" s="2333" t="s">
        <v>880</v>
      </c>
      <c r="DE668" s="1006">
        <f>M668</f>
        <v>0</v>
      </c>
      <c r="DF668" s="1006">
        <f>R668</f>
        <v>0</v>
      </c>
      <c r="DG668" s="1006">
        <f>W668</f>
        <v>0</v>
      </c>
      <c r="DH668" s="1006">
        <f>AB668</f>
        <v>0</v>
      </c>
      <c r="DI668" s="1006">
        <f>AG668</f>
        <v>0</v>
      </c>
      <c r="DJ668" s="1006">
        <f>AL668</f>
        <v>0</v>
      </c>
      <c r="DK668" s="1006">
        <f>AQ668</f>
        <v>0</v>
      </c>
      <c r="DL668" s="1006">
        <f>AV668</f>
        <v>0</v>
      </c>
      <c r="DM668" s="1006">
        <f>BA668</f>
        <v>0</v>
      </c>
      <c r="DN668" s="1006">
        <f>BF668</f>
        <v>0.12000000000000011</v>
      </c>
      <c r="DO668" s="1006">
        <f>BK668</f>
        <v>3.5714285714285809E-2</v>
      </c>
      <c r="DP668" s="1006">
        <f>BP668</f>
        <v>1.8620689655172415</v>
      </c>
      <c r="DQ668" s="1006">
        <f>BU668</f>
        <v>-0.81927710843373491</v>
      </c>
      <c r="DR668" s="1006">
        <f>BZ668</f>
        <v>6.6666666666666652E-2</v>
      </c>
      <c r="DS668" s="1006">
        <f>CE668</f>
        <v>-0.625</v>
      </c>
      <c r="DT668" s="1006">
        <f>CJ668</f>
        <v>0.16666666666666674</v>
      </c>
      <c r="DU668" s="1006">
        <f>CO668</f>
        <v>-1</v>
      </c>
      <c r="DV668" s="1006" t="str">
        <f>CT668</f>
        <v>NA</v>
      </c>
      <c r="DW668" s="1006">
        <f t="shared" si="1208"/>
        <v>0</v>
      </c>
      <c r="DX668" s="1006">
        <f t="shared" si="1208"/>
        <v>0</v>
      </c>
      <c r="DY668" s="1006">
        <f t="shared" si="1208"/>
        <v>0</v>
      </c>
      <c r="EA668"/>
      <c r="EB668"/>
      <c r="EC668"/>
      <c r="ED668"/>
      <c r="EE668"/>
      <c r="EF668"/>
      <c r="EJ668"/>
      <c r="EK668"/>
      <c r="EL668"/>
      <c r="EM668" s="1703"/>
      <c r="ER668" s="212"/>
    </row>
    <row r="669" spans="1:148" s="923" customFormat="1" ht="12.75" customHeight="1" x14ac:dyDescent="0.2">
      <c r="A669" s="1674" t="s">
        <v>927</v>
      </c>
      <c r="B669" s="1008"/>
      <c r="C669" s="1008"/>
      <c r="D669" s="1008"/>
      <c r="E669" s="1008"/>
      <c r="F669" s="1008"/>
      <c r="G669" s="1008"/>
      <c r="H669" s="1008"/>
      <c r="I669" s="1008"/>
      <c r="J669" s="1008"/>
      <c r="K669" s="1008"/>
      <c r="L669" s="1008"/>
      <c r="M669" s="1009"/>
      <c r="N669" s="1008"/>
      <c r="O669" s="1008"/>
      <c r="P669" s="1008"/>
      <c r="Q669" s="1008"/>
      <c r="R669" s="1009"/>
      <c r="S669" s="1008"/>
      <c r="T669" s="1008"/>
      <c r="U669" s="1008"/>
      <c r="V669" s="1008"/>
      <c r="W669" s="1009"/>
      <c r="X669" s="1008"/>
      <c r="Y669" s="1008"/>
      <c r="Z669" s="1008"/>
      <c r="AA669" s="1008"/>
      <c r="AB669" s="1009"/>
      <c r="AC669" s="1008"/>
      <c r="AD669" s="1008"/>
      <c r="AE669" s="1008"/>
      <c r="AF669" s="1008"/>
      <c r="AG669" s="1009"/>
      <c r="AH669" s="1008"/>
      <c r="AI669" s="1008"/>
      <c r="AJ669" s="1008"/>
      <c r="AK669" s="1008"/>
      <c r="AL669" s="1009"/>
      <c r="AM669" s="1008"/>
      <c r="AN669" s="1008"/>
      <c r="AO669" s="1008"/>
      <c r="AP669" s="1008"/>
      <c r="AQ669" s="1009"/>
      <c r="AR669" s="1008"/>
      <c r="AS669" s="1008"/>
      <c r="AT669" s="1008"/>
      <c r="AU669" s="1008"/>
      <c r="AV669" s="1009"/>
      <c r="AW669" s="1008"/>
      <c r="AX669" s="1008"/>
      <c r="AY669" s="1008"/>
      <c r="AZ669" s="1008"/>
      <c r="BA669" s="1009"/>
      <c r="BB669" s="1008">
        <f t="shared" si="1209"/>
        <v>-0.5</v>
      </c>
      <c r="BC669" s="1008">
        <f t="shared" si="1209"/>
        <v>0.75</v>
      </c>
      <c r="BD669" s="1008">
        <f t="shared" si="1210"/>
        <v>7</v>
      </c>
      <c r="BE669" s="1008">
        <f>BE660/AZ660-1</f>
        <v>-0.54545454545454541</v>
      </c>
      <c r="BF669" s="1009">
        <f t="shared" si="1210"/>
        <v>0.22641509433962259</v>
      </c>
      <c r="BG669" s="1008">
        <f t="shared" si="1212"/>
        <v>-0.5</v>
      </c>
      <c r="BH669" s="1008">
        <f t="shared" si="1212"/>
        <v>-0.4285714285714286</v>
      </c>
      <c r="BI669" s="1008">
        <f t="shared" si="1212"/>
        <v>-0.8125</v>
      </c>
      <c r="BJ669" s="1008">
        <f t="shared" si="1212"/>
        <v>-0.46666666666666667</v>
      </c>
      <c r="BK669" s="1009">
        <f t="shared" si="1212"/>
        <v>-0.63076923076923075</v>
      </c>
      <c r="BL669" s="1008">
        <f t="shared" si="1212"/>
        <v>0</v>
      </c>
      <c r="BM669" s="1008">
        <f t="shared" si="1212"/>
        <v>0.125</v>
      </c>
      <c r="BN669" s="1008">
        <f t="shared" si="1212"/>
        <v>0.5</v>
      </c>
      <c r="BO669" s="1008">
        <f t="shared" si="1212"/>
        <v>-0.25</v>
      </c>
      <c r="BP669" s="1009">
        <f t="shared" si="1212"/>
        <v>8.3333333333333259E-2</v>
      </c>
      <c r="BQ669" s="1008">
        <f t="shared" si="1212"/>
        <v>-0.5</v>
      </c>
      <c r="BR669" s="1008">
        <f t="shared" si="1212"/>
        <v>-0.88888888888888884</v>
      </c>
      <c r="BS669" s="1008">
        <f t="shared" si="1212"/>
        <v>-1</v>
      </c>
      <c r="BT669" s="1008">
        <f>BT660/BO660-1</f>
        <v>1.5</v>
      </c>
      <c r="BU669" s="1009">
        <f>BU660/BP660-1</f>
        <v>-0.34615384615384615</v>
      </c>
      <c r="BV669" s="1008">
        <f t="shared" si="1212"/>
        <v>2</v>
      </c>
      <c r="BW669" s="1008">
        <f t="shared" si="1212"/>
        <v>0</v>
      </c>
      <c r="BX669" s="1008" t="s">
        <v>1979</v>
      </c>
      <c r="BY669" s="1008">
        <f>IF(ISERROR(BY660/BT660-1),"NA",BY660/BT660-1)</f>
        <v>-0.8666666666666667</v>
      </c>
      <c r="BZ669" s="1009">
        <f>BZ660/BU660-1</f>
        <v>-0.58823529411764708</v>
      </c>
      <c r="CA669" s="1008">
        <f t="shared" si="1205"/>
        <v>0</v>
      </c>
      <c r="CB669" s="1008">
        <f>IF(ISERROR(CB660/BW660-1),"NA",CB660/BW660-1)</f>
        <v>99</v>
      </c>
      <c r="CC669" s="1008">
        <f>IF(ISERROR(CC660/BX660-1),"NA",CC660/BX660-1)</f>
        <v>-1</v>
      </c>
      <c r="CD669" s="1008">
        <f>IF(ISERROR(CD660/BY660-1),"NA",CD660/BY660-1)</f>
        <v>-1</v>
      </c>
      <c r="CE669" s="1009">
        <f>IF(ISERROR(CE660/BZ660-1),"NA",CE660/BZ660-1)</f>
        <v>13.714285714285714</v>
      </c>
      <c r="CF669" s="1008">
        <f t="shared" si="1205"/>
        <v>2.3333333333333335</v>
      </c>
      <c r="CG669" s="1008">
        <f t="shared" si="1214"/>
        <v>-0.98</v>
      </c>
      <c r="CH669" s="1008" t="str">
        <f t="shared" si="1214"/>
        <v>NA</v>
      </c>
      <c r="CI669" s="1008" t="str">
        <f t="shared" si="1214"/>
        <v>NA</v>
      </c>
      <c r="CJ669" s="1009">
        <f t="shared" si="1214"/>
        <v>-0.35922330097087374</v>
      </c>
      <c r="CK669" s="1008">
        <f t="shared" si="1206"/>
        <v>0.60000000000000009</v>
      </c>
      <c r="CL669" s="1008">
        <f t="shared" si="1206"/>
        <v>3</v>
      </c>
      <c r="CM669" s="1008" t="str">
        <f>IFERROR((CM660/CH660-1),"N/A")</f>
        <v>N/A</v>
      </c>
      <c r="CN669" s="1008">
        <f>IFERROR((CN660/CI660-1),"N/A")</f>
        <v>-0.85185185185185186</v>
      </c>
      <c r="CO669" s="1009">
        <f>IF(ISERROR(CO660/CJ660-1),"NA",CO660/CJ660-1)</f>
        <v>-0.51515151515151514</v>
      </c>
      <c r="CP669" s="2707">
        <v>1</v>
      </c>
      <c r="CQ669" s="2707">
        <v>1</v>
      </c>
      <c r="CR669" s="2707">
        <v>1</v>
      </c>
      <c r="CS669" s="2707">
        <v>1</v>
      </c>
      <c r="CT669" s="1009">
        <f>IF(ISERROR(CT660/CO660-1),"NA",CT660/CO660-1)</f>
        <v>1</v>
      </c>
      <c r="CU669" s="2707">
        <v>0.4</v>
      </c>
      <c r="CV669" s="2707">
        <v>0.4</v>
      </c>
      <c r="CW669" s="2707">
        <v>0.4</v>
      </c>
      <c r="CX669" s="2707">
        <v>0.4</v>
      </c>
      <c r="CY669" s="1009">
        <f>IF(ISERROR(CY660/CT660-1),"NA",CY660/CT660-1)</f>
        <v>0.39999999999999991</v>
      </c>
      <c r="CZ669" s="1012">
        <v>0.1</v>
      </c>
      <c r="DA669" s="1012">
        <v>-0.05</v>
      </c>
      <c r="DB669"/>
      <c r="DC669"/>
      <c r="DD669" s="1674" t="s">
        <v>927</v>
      </c>
      <c r="DE669" s="1009">
        <f>M669</f>
        <v>0</v>
      </c>
      <c r="DF669" s="1009">
        <f>R669</f>
        <v>0</v>
      </c>
      <c r="DG669" s="1009">
        <f>W669</f>
        <v>0</v>
      </c>
      <c r="DH669" s="1009">
        <f>AB669</f>
        <v>0</v>
      </c>
      <c r="DI669" s="1009">
        <f>AG669</f>
        <v>0</v>
      </c>
      <c r="DJ669" s="1009">
        <f>AL669</f>
        <v>0</v>
      </c>
      <c r="DK669" s="1009">
        <f>AQ669</f>
        <v>0</v>
      </c>
      <c r="DL669" s="1009">
        <f>AV669</f>
        <v>0</v>
      </c>
      <c r="DM669" s="1009">
        <f>BA669</f>
        <v>0</v>
      </c>
      <c r="DN669" s="1009">
        <f>BF669</f>
        <v>0.22641509433962259</v>
      </c>
      <c r="DO669" s="1009">
        <f>BK669</f>
        <v>-0.63076923076923075</v>
      </c>
      <c r="DP669" s="1009">
        <f>BP669</f>
        <v>8.3333333333333259E-2</v>
      </c>
      <c r="DQ669" s="1009">
        <f>BU669</f>
        <v>-0.34615384615384615</v>
      </c>
      <c r="DR669" s="1009">
        <f>BZ669</f>
        <v>-0.58823529411764708</v>
      </c>
      <c r="DS669" s="1009">
        <f>CE669</f>
        <v>13.714285714285714</v>
      </c>
      <c r="DT669" s="1009">
        <f>CJ669</f>
        <v>-0.35922330097087374</v>
      </c>
      <c r="DU669" s="1009">
        <f>CO669</f>
        <v>-0.51515151515151514</v>
      </c>
      <c r="DV669" s="1009">
        <f>CT669</f>
        <v>1</v>
      </c>
      <c r="DW669" s="1009">
        <f t="shared" si="1208"/>
        <v>0.39999999999999991</v>
      </c>
      <c r="DX669" s="1009">
        <f t="shared" si="1208"/>
        <v>0.1</v>
      </c>
      <c r="DY669" s="1009">
        <f t="shared" si="1208"/>
        <v>-0.05</v>
      </c>
      <c r="EA669"/>
      <c r="EB669"/>
      <c r="EC669"/>
      <c r="ED669"/>
      <c r="EE669"/>
      <c r="EF669"/>
      <c r="EJ669"/>
      <c r="EK669"/>
      <c r="EL669"/>
      <c r="EM669" s="1703"/>
      <c r="ER669" s="212"/>
    </row>
    <row r="670" spans="1:148" s="923" customFormat="1" ht="12.75" customHeight="1" x14ac:dyDescent="0.2">
      <c r="A670" s="1688" t="s">
        <v>76</v>
      </c>
      <c r="B670" s="1005"/>
      <c r="C670" s="1005"/>
      <c r="D670" s="1005"/>
      <c r="E670" s="1005"/>
      <c r="F670" s="1005"/>
      <c r="G670" s="1005"/>
      <c r="H670" s="1005"/>
      <c r="I670" s="1005"/>
      <c r="J670" s="1005"/>
      <c r="K670" s="1005"/>
      <c r="L670" s="1005"/>
      <c r="M670" s="1010"/>
      <c r="N670" s="1005"/>
      <c r="O670" s="1005"/>
      <c r="P670" s="1005"/>
      <c r="Q670" s="1005"/>
      <c r="R670" s="1010"/>
      <c r="S670" s="1005"/>
      <c r="T670" s="1005"/>
      <c r="U670" s="1005"/>
      <c r="V670" s="1005"/>
      <c r="W670" s="1010"/>
      <c r="X670" s="1005"/>
      <c r="Y670" s="1005"/>
      <c r="Z670" s="1005"/>
      <c r="AA670" s="1005"/>
      <c r="AB670" s="1010"/>
      <c r="AC670" s="1005"/>
      <c r="AD670" s="1005"/>
      <c r="AE670" s="1005"/>
      <c r="AF670" s="1005"/>
      <c r="AG670" s="1010"/>
      <c r="AH670" s="1005"/>
      <c r="AI670" s="1005"/>
      <c r="AJ670" s="1005"/>
      <c r="AK670" s="1005"/>
      <c r="AL670" s="1010"/>
      <c r="AM670" s="1005"/>
      <c r="AN670" s="1005"/>
      <c r="AO670" s="1005"/>
      <c r="AP670" s="1005"/>
      <c r="AQ670" s="1010"/>
      <c r="AR670" s="1005"/>
      <c r="AS670" s="1005"/>
      <c r="AT670" s="1005"/>
      <c r="AU670" s="1005"/>
      <c r="AV670" s="1010"/>
      <c r="AW670" s="1005"/>
      <c r="AX670" s="1005"/>
      <c r="AY670" s="1005"/>
      <c r="AZ670" s="1005"/>
      <c r="BA670" s="1010"/>
      <c r="BB670" s="1005">
        <f t="shared" si="1209"/>
        <v>-0.18181818181818177</v>
      </c>
      <c r="BC670" s="1005">
        <f t="shared" si="1209"/>
        <v>-0.63736263736263732</v>
      </c>
      <c r="BD670" s="1005">
        <f>BD661/AY661-1</f>
        <v>-0.21100917431192656</v>
      </c>
      <c r="BE670" s="1005">
        <f>BE661/AZ661-1</f>
        <v>-0.67999999999999994</v>
      </c>
      <c r="BF670" s="1010">
        <f>BF661/BA661-1</f>
        <v>-0.50880281690140849</v>
      </c>
      <c r="BG670" s="1005">
        <f t="shared" si="1212"/>
        <v>-0.26984126984126988</v>
      </c>
      <c r="BH670" s="1005">
        <f t="shared" si="1212"/>
        <v>-0.13636363636363635</v>
      </c>
      <c r="BI670" s="1005">
        <f t="shared" si="1212"/>
        <v>0.27906976744186052</v>
      </c>
      <c r="BJ670" s="1005">
        <f t="shared" si="1212"/>
        <v>2.171875</v>
      </c>
      <c r="BK670" s="1010">
        <f t="shared" si="1212"/>
        <v>0.49103942652329757</v>
      </c>
      <c r="BL670" s="1005">
        <f t="shared" si="1212"/>
        <v>2.6086956521739131</v>
      </c>
      <c r="BM670" s="1005">
        <f t="shared" si="1212"/>
        <v>-7.0175438596491224E-2</v>
      </c>
      <c r="BN670" s="1005">
        <f t="shared" si="1212"/>
        <v>-0.50909090909090904</v>
      </c>
      <c r="BO670" s="1005">
        <f t="shared" si="1212"/>
        <v>-0.54187192118226601</v>
      </c>
      <c r="BP670" s="1010">
        <f t="shared" si="1212"/>
        <v>-0.12019230769230771</v>
      </c>
      <c r="BQ670" s="1005">
        <f t="shared" si="1212"/>
        <v>0.26506024096385539</v>
      </c>
      <c r="BR670" s="1005">
        <f t="shared" si="1212"/>
        <v>0.50943396226415105</v>
      </c>
      <c r="BS670" s="1005">
        <f t="shared" si="1212"/>
        <v>0.70370370370370372</v>
      </c>
      <c r="BT670" s="1005">
        <f>BT661/BO661-1</f>
        <v>2.6559139784946235</v>
      </c>
      <c r="BU670" s="1010">
        <f>BU661/BP661-1</f>
        <v>0.97267759562841527</v>
      </c>
      <c r="BV670" s="1005">
        <f t="shared" si="1212"/>
        <v>-0.51904761904761898</v>
      </c>
      <c r="BW670" s="1005">
        <f t="shared" si="1212"/>
        <v>0.16250000000000009</v>
      </c>
      <c r="BX670" s="1005">
        <f t="shared" si="1212"/>
        <v>-3.2608695652173947E-2</v>
      </c>
      <c r="BY670" s="1005">
        <f>BY661/BT661-1</f>
        <v>-0.3970588235294118</v>
      </c>
      <c r="BZ670" s="1010">
        <f>BZ661/BU661-1</f>
        <v>-0.32409972299168976</v>
      </c>
      <c r="CA670" s="1005">
        <f t="shared" si="1205"/>
        <v>-0.29702970297029707</v>
      </c>
      <c r="CB670" s="1005">
        <f t="shared" ref="CB670:CM670" si="1216">CB661/BW661-1</f>
        <v>1.3763440860215055</v>
      </c>
      <c r="CC670" s="1005">
        <f t="shared" si="1216"/>
        <v>0.48314606741573041</v>
      </c>
      <c r="CD670" s="1822">
        <f t="shared" si="1216"/>
        <v>-0.21463414634146338</v>
      </c>
      <c r="CE670" s="1010">
        <f t="shared" si="1216"/>
        <v>0.19877049180327866</v>
      </c>
      <c r="CF670" s="1005">
        <f t="shared" si="1205"/>
        <v>1.0704225352112675</v>
      </c>
      <c r="CG670" s="1005">
        <f t="shared" si="1216"/>
        <v>-0.57013574660633481</v>
      </c>
      <c r="CH670" s="1005">
        <f t="shared" si="1216"/>
        <v>-0.37878787878787878</v>
      </c>
      <c r="CI670" s="1822">
        <f t="shared" si="1216"/>
        <v>8.6956521739130377E-2</v>
      </c>
      <c r="CJ670" s="1010">
        <f t="shared" si="1216"/>
        <v>-0.14700854700854704</v>
      </c>
      <c r="CK670" s="1005">
        <f t="shared" si="1216"/>
        <v>-0.4625850340136054</v>
      </c>
      <c r="CL670" s="1005">
        <f t="shared" si="1216"/>
        <v>-0.36842105263157898</v>
      </c>
      <c r="CM670" s="1005">
        <f t="shared" si="1216"/>
        <v>-0.12195121951219512</v>
      </c>
      <c r="CN670" s="1822">
        <f t="shared" ref="CN670:CY670" si="1217">CN661/CI661-1</f>
        <v>-0.4285714285714286</v>
      </c>
      <c r="CO670" s="1010">
        <f t="shared" si="1217"/>
        <v>-0.3767535070140281</v>
      </c>
      <c r="CP670" s="1005">
        <f t="shared" si="1217"/>
        <v>0.84073417721518995</v>
      </c>
      <c r="CQ670" s="1005">
        <f t="shared" si="1217"/>
        <v>1.0845786666666668</v>
      </c>
      <c r="CR670" s="1005">
        <f t="shared" si="1217"/>
        <v>0.60043666666666651</v>
      </c>
      <c r="CS670" s="1005">
        <f t="shared" si="1217"/>
        <v>0.57019999999999982</v>
      </c>
      <c r="CT670" s="1010">
        <f t="shared" si="1217"/>
        <v>0.74515807073954976</v>
      </c>
      <c r="CU670" s="1005">
        <f t="shared" si="1217"/>
        <v>0.19326445144342519</v>
      </c>
      <c r="CV670" s="1005">
        <f t="shared" si="1217"/>
        <v>0.15331871380563555</v>
      </c>
      <c r="CW670" s="1005">
        <f t="shared" si="1217"/>
        <v>0.13449853963466918</v>
      </c>
      <c r="CX670" s="1005">
        <f t="shared" si="1217"/>
        <v>0.17351802318176035</v>
      </c>
      <c r="CY670" s="1010">
        <f t="shared" si="1217"/>
        <v>0.16586946895937116</v>
      </c>
      <c r="CZ670" s="1010">
        <f>CZ661/CY661-1</f>
        <v>-2.662063961765937E-2</v>
      </c>
      <c r="DA670" s="1010">
        <f>DA661/CZ661-1</f>
        <v>4.2949759265984433E-2</v>
      </c>
      <c r="DB670"/>
      <c r="DC670"/>
      <c r="DD670" s="1688" t="s">
        <v>76</v>
      </c>
      <c r="DE670" s="1010">
        <f>M670</f>
        <v>0</v>
      </c>
      <c r="DF670" s="1010">
        <f>R670</f>
        <v>0</v>
      </c>
      <c r="DG670" s="1010">
        <f>W670</f>
        <v>0</v>
      </c>
      <c r="DH670" s="1010">
        <f>AB670</f>
        <v>0</v>
      </c>
      <c r="DI670" s="1010">
        <f>AG670</f>
        <v>0</v>
      </c>
      <c r="DJ670" s="1010">
        <f>AL670</f>
        <v>0</v>
      </c>
      <c r="DK670" s="1010">
        <f>AQ670</f>
        <v>0</v>
      </c>
      <c r="DL670" s="1010">
        <f>AV670</f>
        <v>0</v>
      </c>
      <c r="DM670" s="1010">
        <f>BA670</f>
        <v>0</v>
      </c>
      <c r="DN670" s="1010">
        <f>BF670</f>
        <v>-0.50880281690140849</v>
      </c>
      <c r="DO670" s="1010">
        <f>BK670</f>
        <v>0.49103942652329757</v>
      </c>
      <c r="DP670" s="1010">
        <f>BP670</f>
        <v>-0.12019230769230771</v>
      </c>
      <c r="DQ670" s="1010">
        <f>BU670</f>
        <v>0.97267759562841527</v>
      </c>
      <c r="DR670" s="1010">
        <f>BZ670</f>
        <v>-0.32409972299168976</v>
      </c>
      <c r="DS670" s="1010">
        <f>CE670</f>
        <v>0.19877049180327866</v>
      </c>
      <c r="DT670" s="1010">
        <f>CJ670</f>
        <v>-0.14700854700854704</v>
      </c>
      <c r="DU670" s="1010">
        <f>CO670</f>
        <v>-0.3767535070140281</v>
      </c>
      <c r="DV670" s="1010">
        <f>CT670</f>
        <v>0.74515807073954976</v>
      </c>
      <c r="DW670" s="1010">
        <f t="shared" si="1208"/>
        <v>0.16586946895937116</v>
      </c>
      <c r="DX670" s="1010">
        <f t="shared" si="1208"/>
        <v>-2.662063961765937E-2</v>
      </c>
      <c r="DY670" s="1010">
        <f t="shared" si="1208"/>
        <v>4.2949759265984433E-2</v>
      </c>
      <c r="EA670"/>
      <c r="EB670"/>
      <c r="EC670"/>
      <c r="ED670"/>
      <c r="EE670"/>
      <c r="EF670"/>
      <c r="EJ670"/>
      <c r="EK670"/>
      <c r="EL670"/>
      <c r="EM670" s="1703"/>
      <c r="ER670" s="212"/>
    </row>
    <row r="671" spans="1:148" s="923" customFormat="1" ht="12.75" customHeight="1" x14ac:dyDescent="0.2">
      <c r="A671" s="1560"/>
      <c r="B671" s="220"/>
      <c r="C671" s="220"/>
      <c r="D671" s="220"/>
      <c r="E671" s="220"/>
      <c r="F671" s="220"/>
      <c r="G671" s="220"/>
      <c r="H671" s="220"/>
      <c r="I671" s="220"/>
      <c r="J671" s="220"/>
      <c r="K671" s="220"/>
      <c r="L671" s="220"/>
      <c r="M671" s="965"/>
      <c r="N671" s="220"/>
      <c r="O671" s="220"/>
      <c r="P671" s="220"/>
      <c r="Q671" s="220"/>
      <c r="R671" s="965"/>
      <c r="S671" s="220"/>
      <c r="T671" s="220"/>
      <c r="U671" s="220"/>
      <c r="V671" s="220"/>
      <c r="W671" s="965"/>
      <c r="X671" s="220"/>
      <c r="Y671" s="220"/>
      <c r="Z671" s="220"/>
      <c r="AA671" s="220"/>
      <c r="AB671" s="965"/>
      <c r="AC671" s="220"/>
      <c r="AD671" s="220"/>
      <c r="AE671" s="220"/>
      <c r="AF671" s="220"/>
      <c r="AG671" s="965"/>
      <c r="AH671" s="220"/>
      <c r="AI671" s="220"/>
      <c r="AJ671" s="220"/>
      <c r="AK671" s="220"/>
      <c r="AL671" s="965"/>
      <c r="AM671" s="220"/>
      <c r="AN671" s="220"/>
      <c r="AO671" s="220"/>
      <c r="AP671" s="220"/>
      <c r="AQ671" s="965"/>
      <c r="AR671" s="220"/>
      <c r="AS671" s="220"/>
      <c r="AT671" s="220"/>
      <c r="AU671" s="220"/>
      <c r="AV671" s="965"/>
      <c r="AW671" s="220"/>
      <c r="AX671" s="220"/>
      <c r="AY671" s="220"/>
      <c r="AZ671" s="220"/>
      <c r="BA671" s="965"/>
      <c r="BB671" s="220"/>
      <c r="BC671" s="220"/>
      <c r="BD671" s="220"/>
      <c r="BE671" s="220"/>
      <c r="BF671" s="965"/>
      <c r="BG671" s="220"/>
      <c r="BH671" s="220"/>
      <c r="BI671" s="220"/>
      <c r="BJ671" s="220"/>
      <c r="BK671" s="965"/>
      <c r="BL671" s="220"/>
      <c r="BM671" s="220"/>
      <c r="BN671" s="220"/>
      <c r="BO671" s="220"/>
      <c r="BP671" s="965"/>
      <c r="BQ671" s="220"/>
      <c r="BR671" s="220"/>
      <c r="BS671" s="220"/>
      <c r="BT671" s="220"/>
      <c r="BU671" s="965"/>
      <c r="BV671" s="220"/>
      <c r="BW671" s="220"/>
      <c r="BX671" s="220"/>
      <c r="BY671" s="220"/>
      <c r="BZ671" s="965"/>
      <c r="CA671" s="220"/>
      <c r="CB671" s="220"/>
      <c r="CC671" s="220"/>
      <c r="CD671" s="1792"/>
      <c r="CE671" s="965"/>
      <c r="CF671" s="220"/>
      <c r="CG671" s="220"/>
      <c r="CH671" s="220"/>
      <c r="CI671" s="1792"/>
      <c r="CJ671" s="965"/>
      <c r="CK671" s="765"/>
      <c r="CL671" s="765"/>
      <c r="CM671" s="220"/>
      <c r="CN671" s="1792"/>
      <c r="CO671" s="965"/>
      <c r="CP671" s="220"/>
      <c r="CQ671" s="220"/>
      <c r="CR671" s="220"/>
      <c r="CS671" s="220"/>
      <c r="CT671" s="965"/>
      <c r="CU671" s="220"/>
      <c r="CV671" s="220"/>
      <c r="CW671" s="220"/>
      <c r="CX671" s="220"/>
      <c r="CY671" s="965"/>
      <c r="CZ671" s="965"/>
      <c r="DA671" s="965"/>
      <c r="DB671"/>
      <c r="DC671"/>
      <c r="DD671" s="1560"/>
      <c r="DE671" s="2284"/>
      <c r="DF671" s="2284"/>
      <c r="DG671" s="2284"/>
      <c r="DH671" s="2284"/>
      <c r="DI671" s="2284"/>
      <c r="DJ671" s="2284"/>
      <c r="DK671" s="2284"/>
      <c r="DL671" s="2284"/>
      <c r="DM671" s="2284"/>
      <c r="DN671" s="2284"/>
      <c r="DO671" s="2284"/>
      <c r="DP671" s="2284"/>
      <c r="DQ671" s="2284"/>
      <c r="DR671" s="2284"/>
      <c r="DS671" s="2284"/>
      <c r="DT671" s="2284"/>
      <c r="DU671" s="2284"/>
      <c r="DV671" s="2284"/>
      <c r="DW671" s="2284"/>
      <c r="DX671" s="2284"/>
      <c r="DY671" s="2284"/>
      <c r="EA671"/>
      <c r="EB671"/>
      <c r="EC671"/>
      <c r="ED671"/>
      <c r="EE671"/>
      <c r="EF671"/>
      <c r="EJ671"/>
      <c r="EK671"/>
      <c r="EL671"/>
      <c r="ER671" s="212"/>
    </row>
    <row r="672" spans="1:148" s="923" customFormat="1" ht="12.75" customHeight="1" x14ac:dyDescent="0.2">
      <c r="A672" s="1560" t="s">
        <v>812</v>
      </c>
      <c r="B672" s="220"/>
      <c r="C672" s="220"/>
      <c r="D672" s="220"/>
      <c r="E672" s="220"/>
      <c r="F672" s="220"/>
      <c r="G672" s="220"/>
      <c r="H672" s="220"/>
      <c r="I672" s="220"/>
      <c r="J672" s="220"/>
      <c r="K672" s="220"/>
      <c r="L672" s="220"/>
      <c r="M672" s="965"/>
      <c r="N672" s="220"/>
      <c r="O672" s="220"/>
      <c r="P672" s="220"/>
      <c r="Q672" s="220"/>
      <c r="R672" s="965"/>
      <c r="S672" s="220"/>
      <c r="T672" s="220"/>
      <c r="U672" s="220"/>
      <c r="V672" s="220"/>
      <c r="W672" s="965"/>
      <c r="X672" s="220"/>
      <c r="Y672" s="220"/>
      <c r="Z672" s="220"/>
      <c r="AA672" s="220"/>
      <c r="AB672" s="965"/>
      <c r="AC672" s="220"/>
      <c r="AD672" s="220"/>
      <c r="AE672" s="220"/>
      <c r="AF672" s="220"/>
      <c r="AG672" s="965"/>
      <c r="AH672" s="220"/>
      <c r="AI672" s="220"/>
      <c r="AJ672" s="220"/>
      <c r="AK672" s="220"/>
      <c r="AL672" s="965"/>
      <c r="AM672" s="220"/>
      <c r="AN672" s="220"/>
      <c r="AO672" s="220"/>
      <c r="AP672" s="220"/>
      <c r="AQ672" s="965"/>
      <c r="AR672" s="220"/>
      <c r="AS672" s="220"/>
      <c r="AT672" s="220"/>
      <c r="AU672" s="220"/>
      <c r="AV672" s="965"/>
      <c r="AW672" s="220"/>
      <c r="AX672" s="220"/>
      <c r="AY672" s="220"/>
      <c r="AZ672" s="220"/>
      <c r="BA672" s="965"/>
      <c r="BB672" s="220"/>
      <c r="BC672" s="220"/>
      <c r="BD672" s="220"/>
      <c r="BE672" s="220"/>
      <c r="BF672" s="965"/>
      <c r="BG672" s="220"/>
      <c r="BH672" s="220"/>
      <c r="BI672" s="220"/>
      <c r="BJ672" s="220"/>
      <c r="BK672" s="965"/>
      <c r="BL672" s="220"/>
      <c r="BM672" s="220"/>
      <c r="BN672" s="220"/>
      <c r="BO672" s="220"/>
      <c r="BP672" s="965"/>
      <c r="BQ672" s="220"/>
      <c r="BR672" s="220"/>
      <c r="BS672" s="220"/>
      <c r="BT672" s="220"/>
      <c r="BU672" s="965"/>
      <c r="BV672" s="220"/>
      <c r="BW672" s="220"/>
      <c r="BX672" s="220"/>
      <c r="BY672" s="220"/>
      <c r="BZ672" s="965"/>
      <c r="CA672" s="220"/>
      <c r="CB672" s="220"/>
      <c r="CC672" s="220"/>
      <c r="CD672" s="1792"/>
      <c r="CE672" s="965"/>
      <c r="CF672" s="220"/>
      <c r="CG672" s="220"/>
      <c r="CH672" s="220"/>
      <c r="CI672" s="1792"/>
      <c r="CJ672" s="965"/>
      <c r="CK672" s="765"/>
      <c r="CL672" s="765"/>
      <c r="CM672" s="220"/>
      <c r="CN672" s="1792"/>
      <c r="CO672" s="965"/>
      <c r="CP672" s="220"/>
      <c r="CQ672" s="220"/>
      <c r="CR672" s="220"/>
      <c r="CS672" s="220"/>
      <c r="CT672" s="965"/>
      <c r="CU672" s="220"/>
      <c r="CV672" s="220"/>
      <c r="CW672" s="220"/>
      <c r="CX672" s="220"/>
      <c r="CY672" s="965"/>
      <c r="CZ672" s="965"/>
      <c r="DA672" s="965"/>
      <c r="DB672"/>
      <c r="DC672"/>
      <c r="DD672" s="1560" t="s">
        <v>812</v>
      </c>
      <c r="DE672" s="2284">
        <f t="shared" ref="DE672:DE678" si="1218">M672</f>
        <v>0</v>
      </c>
      <c r="DF672" s="2284">
        <f t="shared" ref="DF672:DF678" si="1219">R672</f>
        <v>0</v>
      </c>
      <c r="DG672" s="2284">
        <f t="shared" ref="DG672:DG678" si="1220">W672</f>
        <v>0</v>
      </c>
      <c r="DH672" s="2284">
        <f t="shared" ref="DH672:DH678" si="1221">AB672</f>
        <v>0</v>
      </c>
      <c r="DI672" s="2284">
        <f t="shared" ref="DI672:DI678" si="1222">AG672</f>
        <v>0</v>
      </c>
      <c r="DJ672" s="2284">
        <f t="shared" ref="DJ672:DJ678" si="1223">AL672</f>
        <v>0</v>
      </c>
      <c r="DK672" s="2284">
        <f t="shared" ref="DK672:DK678" si="1224">AQ672</f>
        <v>0</v>
      </c>
      <c r="DL672" s="2284">
        <f t="shared" ref="DL672:DL678" si="1225">AV672</f>
        <v>0</v>
      </c>
      <c r="DM672" s="2284">
        <f t="shared" ref="DM672:DM678" si="1226">BA672</f>
        <v>0</v>
      </c>
      <c r="DN672" s="2284">
        <f t="shared" ref="DN672:DN678" si="1227">BF672</f>
        <v>0</v>
      </c>
      <c r="DO672" s="2284">
        <f t="shared" ref="DO672:DO678" si="1228">BK672</f>
        <v>0</v>
      </c>
      <c r="DP672" s="2284">
        <f t="shared" ref="DP672:DP678" si="1229">BP672</f>
        <v>0</v>
      </c>
      <c r="DQ672" s="2284">
        <f t="shared" ref="DQ672:DQ678" si="1230">BU672</f>
        <v>0</v>
      </c>
      <c r="DR672" s="2284">
        <f t="shared" ref="DR672:DR678" si="1231">BZ672</f>
        <v>0</v>
      </c>
      <c r="DS672" s="2284">
        <f t="shared" ref="DS672:DS678" si="1232">CE672</f>
        <v>0</v>
      </c>
      <c r="DT672" s="2284">
        <f t="shared" ref="DT672:DT678" si="1233">CJ672</f>
        <v>0</v>
      </c>
      <c r="DU672" s="2284">
        <f t="shared" ref="DU672:DU678" si="1234">CO672</f>
        <v>0</v>
      </c>
      <c r="DV672" s="2284">
        <f t="shared" ref="DV672:DV678" si="1235">CT672</f>
        <v>0</v>
      </c>
      <c r="DW672" s="2284">
        <f t="shared" ref="DW672:DW678" si="1236">CY672</f>
        <v>0</v>
      </c>
      <c r="DX672" s="2284">
        <f t="shared" ref="DX672:DX678" si="1237">CZ672</f>
        <v>0</v>
      </c>
      <c r="DY672" s="2284">
        <f t="shared" ref="DY672:DY678" si="1238">DA672</f>
        <v>0</v>
      </c>
      <c r="EA672"/>
      <c r="EB672"/>
      <c r="EC672"/>
      <c r="ED672"/>
      <c r="EE672"/>
      <c r="EF672"/>
      <c r="EJ672"/>
      <c r="EK672"/>
      <c r="EL672"/>
      <c r="ER672" s="212"/>
    </row>
    <row r="673" spans="1:148" s="1703" customFormat="1" ht="12.75" customHeight="1" x14ac:dyDescent="0.2">
      <c r="A673" s="1987" t="s">
        <v>1514</v>
      </c>
      <c r="B673" s="1355"/>
      <c r="C673" s="1355"/>
      <c r="D673" s="1355"/>
      <c r="E673" s="1355"/>
      <c r="F673" s="1355"/>
      <c r="G673" s="1355"/>
      <c r="H673" s="1355"/>
      <c r="I673" s="1355"/>
      <c r="J673" s="1355"/>
      <c r="K673" s="1355"/>
      <c r="L673" s="1355"/>
      <c r="M673" s="1741"/>
      <c r="N673" s="1355"/>
      <c r="O673" s="1355"/>
      <c r="P673" s="1355"/>
      <c r="Q673" s="1355"/>
      <c r="R673" s="1741"/>
      <c r="S673" s="1355"/>
      <c r="T673" s="1355"/>
      <c r="U673" s="1355"/>
      <c r="V673" s="1355"/>
      <c r="W673" s="1741"/>
      <c r="X673" s="1355"/>
      <c r="Y673" s="1355"/>
      <c r="Z673" s="1355"/>
      <c r="AA673" s="1355"/>
      <c r="AB673" s="1741"/>
      <c r="AC673" s="1355"/>
      <c r="AD673" s="1355"/>
      <c r="AE673" s="1355"/>
      <c r="AF673" s="1355"/>
      <c r="AG673" s="1741"/>
      <c r="AH673" s="1355"/>
      <c r="AI673" s="1355"/>
      <c r="AJ673" s="1355"/>
      <c r="AK673" s="1355"/>
      <c r="AL673" s="1741"/>
      <c r="AM673" s="1355"/>
      <c r="AN673" s="1355"/>
      <c r="AO673" s="1355"/>
      <c r="AP673" s="1355"/>
      <c r="AQ673" s="1741"/>
      <c r="AR673" s="1355"/>
      <c r="AS673" s="1355"/>
      <c r="AT673" s="1355"/>
      <c r="AU673" s="1355"/>
      <c r="AV673" s="1741"/>
      <c r="AW673" s="1355"/>
      <c r="AX673" s="1355"/>
      <c r="AY673" s="1355"/>
      <c r="AZ673" s="1355"/>
      <c r="BA673" s="1741"/>
      <c r="BB673" s="1355"/>
      <c r="BC673" s="1355"/>
      <c r="BD673" s="1355"/>
      <c r="BE673" s="1355"/>
      <c r="BF673" s="1741"/>
      <c r="BG673" s="1355"/>
      <c r="BH673" s="1355"/>
      <c r="BI673" s="1355"/>
      <c r="BJ673" s="1355"/>
      <c r="BK673" s="1741"/>
      <c r="BL673" s="1355">
        <v>18.75</v>
      </c>
      <c r="BM673" s="1355">
        <v>18.75</v>
      </c>
      <c r="BN673" s="1355">
        <v>18.75</v>
      </c>
      <c r="BO673" s="1355">
        <v>18.75</v>
      </c>
      <c r="BP673" s="1741">
        <f>SUM(BL673:BO673)</f>
        <v>75</v>
      </c>
      <c r="BQ673" s="1355">
        <v>18.75</v>
      </c>
      <c r="BR673" s="1355">
        <v>18.75</v>
      </c>
      <c r="BS673" s="1355">
        <v>18.75</v>
      </c>
      <c r="BT673" s="1355">
        <v>31</v>
      </c>
      <c r="BU673" s="1741">
        <f>+SUM(BQ673:BT673)</f>
        <v>87.25</v>
      </c>
      <c r="BV673" s="1355">
        <v>25</v>
      </c>
      <c r="BW673" s="1355">
        <v>26</v>
      </c>
      <c r="BX673" s="1355">
        <v>27</v>
      </c>
      <c r="BY673" s="2280">
        <v>25</v>
      </c>
      <c r="BZ673" s="1741">
        <f>+SUM(BV673:BY673)</f>
        <v>103</v>
      </c>
      <c r="CA673" s="1380">
        <f>BV673*(1+CA676)</f>
        <v>26</v>
      </c>
      <c r="CB673" s="1380">
        <f>BW673*(1+CB676)</f>
        <v>27.04</v>
      </c>
      <c r="CC673" s="1380">
        <f>BX673*(1+CC676)</f>
        <v>28.080000000000002</v>
      </c>
      <c r="CD673" s="1380">
        <f>BY673*(1+CD676)</f>
        <v>26</v>
      </c>
      <c r="CE673" s="1741">
        <f>+SUM(CA673:CD673)</f>
        <v>107.12</v>
      </c>
      <c r="CF673" s="1380">
        <f>CA673*(1+CF676)</f>
        <v>30.68</v>
      </c>
      <c r="CG673" s="1380">
        <f>CB673*(1+CG676)</f>
        <v>31.907199999999996</v>
      </c>
      <c r="CH673" s="1380">
        <f>CC673*(1+CH676)</f>
        <v>33.134399999999999</v>
      </c>
      <c r="CI673" s="2281">
        <f>CD673*(1+CI676)</f>
        <v>30.68</v>
      </c>
      <c r="CJ673" s="1741">
        <f>+SUM(CF673:CI673)</f>
        <v>126.4016</v>
      </c>
      <c r="CK673" s="1380">
        <f>CF673*(1+CK676)</f>
        <v>27.612000000000002</v>
      </c>
      <c r="CL673" s="1380">
        <f>CG673*(1+CL676)</f>
        <v>28.716479999999997</v>
      </c>
      <c r="CM673" s="1380">
        <f>CH673*(1+CM676)</f>
        <v>29.820959999999999</v>
      </c>
      <c r="CN673" s="2281">
        <f>CI673*(1+CN676)</f>
        <v>30.68</v>
      </c>
      <c r="CO673" s="1741">
        <f>+SUM(CK673:CN673)</f>
        <v>116.82944000000001</v>
      </c>
      <c r="CP673" s="1380">
        <f>CK673*(1+CP676)</f>
        <v>41.418000000000006</v>
      </c>
      <c r="CQ673" s="1380">
        <f>CL673*(1+CQ676)</f>
        <v>43.074719999999999</v>
      </c>
      <c r="CR673" s="1380">
        <f>CM673*(1+CR676)</f>
        <v>44.731439999999999</v>
      </c>
      <c r="CS673" s="1380">
        <f>CN673*(1+CS676)</f>
        <v>46.019999999999996</v>
      </c>
      <c r="CT673" s="1741">
        <f>+SUM(CP673:CS673)</f>
        <v>175.24416000000002</v>
      </c>
      <c r="CU673" s="1380">
        <f>CP673*(1+CU676)</f>
        <v>53.222130000000007</v>
      </c>
      <c r="CV673" s="1380">
        <f>CQ673*(1+CV676)</f>
        <v>55.351015199999999</v>
      </c>
      <c r="CW673" s="1380">
        <f>CR673*(1+CW676)</f>
        <v>57.479900399999998</v>
      </c>
      <c r="CX673" s="1380">
        <f>CS673*(1+CX676)</f>
        <v>59.365799999999993</v>
      </c>
      <c r="CY673" s="1741">
        <f>+SUM(CU673:CX673)</f>
        <v>225.4188456</v>
      </c>
      <c r="CZ673" s="1741">
        <f>CY673*(1+CZ676)</f>
        <v>169.06413420000001</v>
      </c>
      <c r="DA673" s="1741">
        <f>CZ673*(1+DA676)</f>
        <v>160.61092748999999</v>
      </c>
      <c r="DB673"/>
      <c r="DC673"/>
      <c r="DD673" s="2314" t="s">
        <v>1514</v>
      </c>
      <c r="DE673" s="2316">
        <f t="shared" si="1218"/>
        <v>0</v>
      </c>
      <c r="DF673" s="2316">
        <f t="shared" si="1219"/>
        <v>0</v>
      </c>
      <c r="DG673" s="2316">
        <f t="shared" si="1220"/>
        <v>0</v>
      </c>
      <c r="DH673" s="2316">
        <f t="shared" si="1221"/>
        <v>0</v>
      </c>
      <c r="DI673" s="2316">
        <f t="shared" si="1222"/>
        <v>0</v>
      </c>
      <c r="DJ673" s="2316">
        <f t="shared" si="1223"/>
        <v>0</v>
      </c>
      <c r="DK673" s="2316">
        <f t="shared" si="1224"/>
        <v>0</v>
      </c>
      <c r="DL673" s="2316">
        <f t="shared" si="1225"/>
        <v>0</v>
      </c>
      <c r="DM673" s="2316">
        <f t="shared" si="1226"/>
        <v>0</v>
      </c>
      <c r="DN673" s="2316">
        <f t="shared" si="1227"/>
        <v>0</v>
      </c>
      <c r="DO673" s="2316">
        <f t="shared" si="1228"/>
        <v>0</v>
      </c>
      <c r="DP673" s="2316">
        <f t="shared" si="1229"/>
        <v>75</v>
      </c>
      <c r="DQ673" s="2316">
        <f t="shared" si="1230"/>
        <v>87.25</v>
      </c>
      <c r="DR673" s="2316">
        <f t="shared" si="1231"/>
        <v>103</v>
      </c>
      <c r="DS673" s="2316">
        <f t="shared" si="1232"/>
        <v>107.12</v>
      </c>
      <c r="DT673" s="2316">
        <f t="shared" si="1233"/>
        <v>126.4016</v>
      </c>
      <c r="DU673" s="2316">
        <f t="shared" si="1234"/>
        <v>116.82944000000001</v>
      </c>
      <c r="DV673" s="2316">
        <f t="shared" si="1235"/>
        <v>175.24416000000002</v>
      </c>
      <c r="DW673" s="2316">
        <f t="shared" si="1236"/>
        <v>225.4188456</v>
      </c>
      <c r="DX673" s="2316">
        <f t="shared" si="1237"/>
        <v>169.06413420000001</v>
      </c>
      <c r="DY673" s="2316">
        <f t="shared" si="1238"/>
        <v>160.61092748999999</v>
      </c>
      <c r="EA673"/>
      <c r="EB673"/>
      <c r="EC673"/>
      <c r="ED673"/>
      <c r="EE673"/>
      <c r="EF673"/>
      <c r="EJ673"/>
      <c r="EK673"/>
      <c r="EL673"/>
      <c r="ER673" s="212"/>
    </row>
    <row r="674" spans="1:148" s="923" customFormat="1" ht="12.75" customHeight="1" x14ac:dyDescent="0.2">
      <c r="A674" s="1131" t="s">
        <v>1515</v>
      </c>
      <c r="B674" s="1988"/>
      <c r="C674" s="1988"/>
      <c r="D674" s="1988"/>
      <c r="E674" s="1988"/>
      <c r="F674" s="1988"/>
      <c r="G674" s="1988"/>
      <c r="H674" s="1988"/>
      <c r="I674" s="1988"/>
      <c r="J674" s="1988"/>
      <c r="K674" s="1988"/>
      <c r="L674" s="1988"/>
      <c r="M674" s="2047"/>
      <c r="N674" s="1988"/>
      <c r="O674" s="1988"/>
      <c r="P674" s="1988"/>
      <c r="Q674" s="1988"/>
      <c r="R674" s="2047"/>
      <c r="S674" s="1988"/>
      <c r="T674" s="1988"/>
      <c r="U674" s="1988"/>
      <c r="V674" s="1988"/>
      <c r="W674" s="2047"/>
      <c r="X674" s="1988"/>
      <c r="Y674" s="1988"/>
      <c r="Z674" s="1988"/>
      <c r="AA674" s="1988"/>
      <c r="AB674" s="2047"/>
      <c r="AC674" s="1988"/>
      <c r="AD674" s="1988"/>
      <c r="AE674" s="1988"/>
      <c r="AF674" s="1988"/>
      <c r="AG674" s="2047"/>
      <c r="AH674" s="1988"/>
      <c r="AI674" s="1988"/>
      <c r="AJ674" s="1988"/>
      <c r="AK674" s="1988"/>
      <c r="AL674" s="2047"/>
      <c r="AM674" s="1988"/>
      <c r="AN674" s="1988"/>
      <c r="AO674" s="1988"/>
      <c r="AP674" s="1988"/>
      <c r="AQ674" s="2047"/>
      <c r="AR674" s="1988"/>
      <c r="AS674" s="1988"/>
      <c r="AT674" s="1988"/>
      <c r="AU674" s="1988"/>
      <c r="AV674" s="2047"/>
      <c r="AW674" s="1988"/>
      <c r="AX674" s="1988"/>
      <c r="AY674" s="1988"/>
      <c r="AZ674" s="1988"/>
      <c r="BA674" s="2047"/>
      <c r="BB674" s="1988">
        <f>BB675-BB673</f>
        <v>50</v>
      </c>
      <c r="BC674" s="1988">
        <f>BC675-BC673</f>
        <v>33</v>
      </c>
      <c r="BD674" s="1988">
        <f>BD675-BD673</f>
        <v>29</v>
      </c>
      <c r="BE674" s="1988">
        <f>BE675-BE673</f>
        <v>35</v>
      </c>
      <c r="BF674" s="2047">
        <f>SUM(BB674:BE674)</f>
        <v>147</v>
      </c>
      <c r="BG674" s="1988">
        <f>BG675-BG673</f>
        <v>25</v>
      </c>
      <c r="BH674" s="1988">
        <f>BH675-BH673</f>
        <v>39</v>
      </c>
      <c r="BI674" s="1988">
        <f>BI675-BI673</f>
        <v>83</v>
      </c>
      <c r="BJ674" s="1988">
        <f>BJ675-BJ673</f>
        <v>160</v>
      </c>
      <c r="BK674" s="2047">
        <f>SUM(BG674:BJ674)</f>
        <v>307</v>
      </c>
      <c r="BL674" s="1988">
        <f>BL675-BL673</f>
        <v>43.25</v>
      </c>
      <c r="BM674" s="1988">
        <f>BM675-BM673</f>
        <v>10.25</v>
      </c>
      <c r="BN674" s="1988">
        <f>BN675-BN673</f>
        <v>18.25</v>
      </c>
      <c r="BO674" s="1988">
        <f>BO675-BO673</f>
        <v>36.25</v>
      </c>
      <c r="BP674" s="2047">
        <f>SUM(BL674:BO674)</f>
        <v>108</v>
      </c>
      <c r="BQ674" s="1988">
        <f>BQ675-BQ673</f>
        <v>178.25</v>
      </c>
      <c r="BR674" s="1988">
        <f>BR675-BR673</f>
        <v>41.25</v>
      </c>
      <c r="BS674" s="1988">
        <f>BS675-BS673</f>
        <v>40.25</v>
      </c>
      <c r="BT674" s="1988">
        <f>BT675-BT673</f>
        <v>90</v>
      </c>
      <c r="BU674" s="2047">
        <f>+SUM(BQ674:BT674)</f>
        <v>349.75</v>
      </c>
      <c r="BV674" s="1988">
        <f>BV675-BV673</f>
        <v>45</v>
      </c>
      <c r="BW674" s="1988">
        <f>BW675-BW673</f>
        <v>52</v>
      </c>
      <c r="BX674" s="1988">
        <f>BX675-BX673</f>
        <v>51</v>
      </c>
      <c r="BY674" s="2429">
        <f>BY675-BY673</f>
        <v>153</v>
      </c>
      <c r="BZ674" s="849">
        <f>+SUM(BV674:BY674)</f>
        <v>301</v>
      </c>
      <c r="CA674" s="1988">
        <f>CA675-CA673</f>
        <v>35</v>
      </c>
      <c r="CB674" s="1988">
        <f>CB675-CB673</f>
        <v>67.960000000000008</v>
      </c>
      <c r="CC674" s="1988">
        <f>CC675-CC673</f>
        <v>82.92</v>
      </c>
      <c r="CD674" s="1988">
        <f>CD675-CD673</f>
        <v>118</v>
      </c>
      <c r="CE674" s="2047">
        <f>+SUM(CA674:CD674)</f>
        <v>303.88</v>
      </c>
      <c r="CF674" s="1988">
        <f>CF675-CF673</f>
        <v>44.32</v>
      </c>
      <c r="CG674" s="1988">
        <f>CG675-CG673</f>
        <v>52.092800000000004</v>
      </c>
      <c r="CH674" s="1988">
        <f>CH675-CH673</f>
        <v>25.865600000000001</v>
      </c>
      <c r="CI674" s="1988">
        <f>CI675-CI673</f>
        <v>56.32</v>
      </c>
      <c r="CJ674" s="2047">
        <f>+SUM(CF674:CI674)</f>
        <v>178.5984</v>
      </c>
      <c r="CK674" s="1988">
        <f>CK675-CK673</f>
        <v>14.387999999999998</v>
      </c>
      <c r="CL674" s="1988">
        <f>CL675-CL673</f>
        <v>7.2835200000000029</v>
      </c>
      <c r="CM674" s="1988">
        <f>CM675-CM673</f>
        <v>24.179040000000001</v>
      </c>
      <c r="CN674" s="1988">
        <f>CN675-CN673</f>
        <v>36.32</v>
      </c>
      <c r="CO674" s="2047">
        <f>+SUM(CK674:CN674)</f>
        <v>82.170559999999995</v>
      </c>
      <c r="CP674" s="2046">
        <v>30</v>
      </c>
      <c r="CQ674" s="2046">
        <v>30</v>
      </c>
      <c r="CR674" s="2046">
        <v>30</v>
      </c>
      <c r="CS674" s="2046">
        <v>30</v>
      </c>
      <c r="CT674" s="2047">
        <f>+SUM(CP674:CS674)</f>
        <v>120</v>
      </c>
      <c r="CU674" s="2046">
        <f>50/4</f>
        <v>12.5</v>
      </c>
      <c r="CV674" s="2046">
        <f>50/4</f>
        <v>12.5</v>
      </c>
      <c r="CW674" s="2046">
        <f>50/4</f>
        <v>12.5</v>
      </c>
      <c r="CX674" s="2046">
        <f>50/4</f>
        <v>12.5</v>
      </c>
      <c r="CY674" s="2047">
        <f>+SUM(CU674:CX674)</f>
        <v>50</v>
      </c>
      <c r="CZ674" s="2048">
        <v>30</v>
      </c>
      <c r="DA674" s="2048">
        <v>100</v>
      </c>
      <c r="DB674"/>
      <c r="DC674"/>
      <c r="DD674" s="1131" t="s">
        <v>1515</v>
      </c>
      <c r="DE674" s="2262">
        <f t="shared" si="1218"/>
        <v>0</v>
      </c>
      <c r="DF674" s="2262">
        <f t="shared" si="1219"/>
        <v>0</v>
      </c>
      <c r="DG674" s="2262">
        <f t="shared" si="1220"/>
        <v>0</v>
      </c>
      <c r="DH674" s="2262">
        <f t="shared" si="1221"/>
        <v>0</v>
      </c>
      <c r="DI674" s="2262">
        <f t="shared" si="1222"/>
        <v>0</v>
      </c>
      <c r="DJ674" s="2262">
        <f t="shared" si="1223"/>
        <v>0</v>
      </c>
      <c r="DK674" s="2262">
        <f t="shared" si="1224"/>
        <v>0</v>
      </c>
      <c r="DL674" s="2262">
        <f t="shared" si="1225"/>
        <v>0</v>
      </c>
      <c r="DM674" s="2262">
        <f t="shared" si="1226"/>
        <v>0</v>
      </c>
      <c r="DN674" s="2262">
        <f t="shared" si="1227"/>
        <v>147</v>
      </c>
      <c r="DO674" s="2262">
        <f t="shared" si="1228"/>
        <v>307</v>
      </c>
      <c r="DP674" s="2262">
        <f t="shared" si="1229"/>
        <v>108</v>
      </c>
      <c r="DQ674" s="2262">
        <f t="shared" si="1230"/>
        <v>349.75</v>
      </c>
      <c r="DR674" s="2262">
        <f t="shared" si="1231"/>
        <v>301</v>
      </c>
      <c r="DS674" s="2262">
        <f t="shared" si="1232"/>
        <v>303.88</v>
      </c>
      <c r="DT674" s="2262">
        <f t="shared" si="1233"/>
        <v>178.5984</v>
      </c>
      <c r="DU674" s="2262">
        <f t="shared" si="1234"/>
        <v>82.170559999999995</v>
      </c>
      <c r="DV674" s="2262">
        <f t="shared" si="1235"/>
        <v>120</v>
      </c>
      <c r="DW674" s="2262">
        <f t="shared" si="1236"/>
        <v>50</v>
      </c>
      <c r="DX674" s="2262">
        <f t="shared" si="1237"/>
        <v>30</v>
      </c>
      <c r="DY674" s="2262">
        <f t="shared" si="1238"/>
        <v>100</v>
      </c>
      <c r="EA674"/>
      <c r="EB674"/>
      <c r="EC674"/>
      <c r="ED674"/>
      <c r="EE674"/>
      <c r="EF674"/>
      <c r="EJ674"/>
      <c r="EK674"/>
      <c r="EL674"/>
      <c r="EM674" s="1703"/>
      <c r="ER674" s="212"/>
    </row>
    <row r="675" spans="1:148" s="1703" customFormat="1" ht="12.75" customHeight="1" x14ac:dyDescent="0.2">
      <c r="A675" s="1984" t="s">
        <v>882</v>
      </c>
      <c r="B675" s="2094"/>
      <c r="C675" s="2094"/>
      <c r="D675" s="2094"/>
      <c r="E675" s="2094"/>
      <c r="F675" s="2094"/>
      <c r="G675" s="2094"/>
      <c r="H675" s="2094"/>
      <c r="I675" s="2094"/>
      <c r="J675" s="2094"/>
      <c r="K675" s="2094"/>
      <c r="L675" s="2094"/>
      <c r="M675" s="1985"/>
      <c r="N675" s="2094">
        <f>-N707</f>
        <v>125</v>
      </c>
      <c r="O675" s="2094">
        <f t="shared" ref="O675:BO675" si="1239">-O707</f>
        <v>126</v>
      </c>
      <c r="P675" s="2094">
        <f t="shared" si="1239"/>
        <v>109</v>
      </c>
      <c r="Q675" s="2094">
        <f t="shared" si="1239"/>
        <v>200</v>
      </c>
      <c r="R675" s="1985">
        <f t="shared" si="1239"/>
        <v>560</v>
      </c>
      <c r="S675" s="2094">
        <f>-S707</f>
        <v>87</v>
      </c>
      <c r="T675" s="2094">
        <f t="shared" si="1239"/>
        <v>85</v>
      </c>
      <c r="U675" s="2094">
        <f t="shared" si="1239"/>
        <v>50</v>
      </c>
      <c r="V675" s="2094">
        <f t="shared" si="1239"/>
        <v>70</v>
      </c>
      <c r="W675" s="1985">
        <f t="shared" si="1239"/>
        <v>292</v>
      </c>
      <c r="X675" s="2094">
        <f>-X707</f>
        <v>63</v>
      </c>
      <c r="Y675" s="2094">
        <f t="shared" si="1239"/>
        <v>53</v>
      </c>
      <c r="Z675" s="2094">
        <f t="shared" si="1239"/>
        <v>28</v>
      </c>
      <c r="AA675" s="2094">
        <f t="shared" si="1239"/>
        <v>66</v>
      </c>
      <c r="AB675" s="1985">
        <f t="shared" si="1239"/>
        <v>210</v>
      </c>
      <c r="AC675" s="2094">
        <f>-AC707</f>
        <v>31</v>
      </c>
      <c r="AD675" s="2094">
        <f t="shared" si="1239"/>
        <v>50</v>
      </c>
      <c r="AE675" s="2094">
        <f t="shared" si="1239"/>
        <v>34</v>
      </c>
      <c r="AF675" s="2094">
        <f t="shared" si="1239"/>
        <v>66</v>
      </c>
      <c r="AG675" s="1985">
        <f t="shared" si="1239"/>
        <v>181</v>
      </c>
      <c r="AH675" s="2094">
        <f>-AH707</f>
        <v>35</v>
      </c>
      <c r="AI675" s="2094">
        <f t="shared" si="1239"/>
        <v>98</v>
      </c>
      <c r="AJ675" s="2094">
        <f t="shared" si="1239"/>
        <v>493</v>
      </c>
      <c r="AK675" s="2094">
        <f t="shared" si="1239"/>
        <v>154</v>
      </c>
      <c r="AL675" s="1985">
        <f t="shared" si="1239"/>
        <v>780</v>
      </c>
      <c r="AM675" s="2094">
        <f>-AM707</f>
        <v>102</v>
      </c>
      <c r="AN675" s="2094">
        <f t="shared" si="1239"/>
        <v>51</v>
      </c>
      <c r="AO675" s="2094">
        <f t="shared" si="1239"/>
        <v>66</v>
      </c>
      <c r="AP675" s="2094">
        <f t="shared" si="1239"/>
        <v>310</v>
      </c>
      <c r="AQ675" s="1985">
        <f t="shared" si="1239"/>
        <v>529</v>
      </c>
      <c r="AR675" s="2094">
        <f>-AR707</f>
        <v>158</v>
      </c>
      <c r="AS675" s="2094">
        <f t="shared" si="1239"/>
        <v>151</v>
      </c>
      <c r="AT675" s="2094">
        <f t="shared" si="1239"/>
        <v>219</v>
      </c>
      <c r="AU675" s="2094">
        <f t="shared" si="1239"/>
        <v>143</v>
      </c>
      <c r="AV675" s="1985">
        <f t="shared" si="1239"/>
        <v>671</v>
      </c>
      <c r="AW675" s="2094">
        <f>-AW707</f>
        <v>65</v>
      </c>
      <c r="AX675" s="2094">
        <f t="shared" si="1239"/>
        <v>87</v>
      </c>
      <c r="AY675" s="2094">
        <f t="shared" si="1239"/>
        <v>68</v>
      </c>
      <c r="AZ675" s="2094">
        <f t="shared" si="1239"/>
        <v>137</v>
      </c>
      <c r="BA675" s="1985">
        <f t="shared" si="1239"/>
        <v>357</v>
      </c>
      <c r="BB675" s="2094">
        <f>-BB707</f>
        <v>50</v>
      </c>
      <c r="BC675" s="2094">
        <f t="shared" si="1239"/>
        <v>33</v>
      </c>
      <c r="BD675" s="2094">
        <f t="shared" si="1239"/>
        <v>29</v>
      </c>
      <c r="BE675" s="2094">
        <f t="shared" si="1239"/>
        <v>35</v>
      </c>
      <c r="BF675" s="1985">
        <f t="shared" si="1239"/>
        <v>147</v>
      </c>
      <c r="BG675" s="2094">
        <f>-BG707</f>
        <v>25</v>
      </c>
      <c r="BH675" s="2094">
        <f t="shared" si="1239"/>
        <v>39</v>
      </c>
      <c r="BI675" s="2094">
        <f t="shared" si="1239"/>
        <v>83</v>
      </c>
      <c r="BJ675" s="2094">
        <f t="shared" si="1239"/>
        <v>160</v>
      </c>
      <c r="BK675" s="1985">
        <f t="shared" si="1239"/>
        <v>307</v>
      </c>
      <c r="BL675" s="2094">
        <f>-BL707</f>
        <v>62</v>
      </c>
      <c r="BM675" s="2094">
        <f t="shared" si="1239"/>
        <v>29</v>
      </c>
      <c r="BN675" s="2094">
        <f t="shared" si="1239"/>
        <v>37</v>
      </c>
      <c r="BO675" s="2094">
        <f t="shared" si="1239"/>
        <v>55</v>
      </c>
      <c r="BP675" s="1985">
        <f>SUM(BL675:BO675)</f>
        <v>183</v>
      </c>
      <c r="BQ675" s="2094">
        <f>-BQ707</f>
        <v>197</v>
      </c>
      <c r="BR675" s="2094">
        <f>-BR707</f>
        <v>60</v>
      </c>
      <c r="BS675" s="2094">
        <f>-BS707</f>
        <v>59</v>
      </c>
      <c r="BT675" s="2094">
        <f>-BT707</f>
        <v>121</v>
      </c>
      <c r="BU675" s="1985">
        <f>SUM(BQ675:BT675)</f>
        <v>437</v>
      </c>
      <c r="BV675" s="2094">
        <f>-BV707</f>
        <v>70</v>
      </c>
      <c r="BW675" s="2094">
        <f>-BW707</f>
        <v>78</v>
      </c>
      <c r="BX675" s="2094">
        <f>-BX707</f>
        <v>78</v>
      </c>
      <c r="BY675" s="2416">
        <f>-BY707</f>
        <v>178</v>
      </c>
      <c r="BZ675" s="1985">
        <f>SUM(BV675:BY675)</f>
        <v>404</v>
      </c>
      <c r="CA675" s="2094">
        <f>-CA707</f>
        <v>61</v>
      </c>
      <c r="CB675" s="2094">
        <f>-CB707</f>
        <v>95</v>
      </c>
      <c r="CC675" s="2094">
        <f>-CC707</f>
        <v>111</v>
      </c>
      <c r="CD675" s="2094">
        <f>-CD707</f>
        <v>144</v>
      </c>
      <c r="CE675" s="1985">
        <f>SUM(CA675:CD675)</f>
        <v>411</v>
      </c>
      <c r="CF675" s="2094">
        <f>-CF707</f>
        <v>75</v>
      </c>
      <c r="CG675" s="2094">
        <f>-CG707</f>
        <v>84</v>
      </c>
      <c r="CH675" s="2094">
        <f>-CH707</f>
        <v>59</v>
      </c>
      <c r="CI675" s="2094">
        <f>-CI707</f>
        <v>87</v>
      </c>
      <c r="CJ675" s="1985">
        <f>SUM(CF675:CI675)</f>
        <v>305</v>
      </c>
      <c r="CK675" s="2094">
        <f>-CK707</f>
        <v>42</v>
      </c>
      <c r="CL675" s="2094">
        <f>-CL707</f>
        <v>36</v>
      </c>
      <c r="CM675" s="2094">
        <f>-CM707</f>
        <v>54</v>
      </c>
      <c r="CN675" s="2094">
        <f>-CN707</f>
        <v>67</v>
      </c>
      <c r="CO675" s="1985">
        <f>SUM(CK675:CN675)</f>
        <v>199</v>
      </c>
      <c r="CP675" s="1986">
        <f>SUM(CP673:CP674)</f>
        <v>71.418000000000006</v>
      </c>
      <c r="CQ675" s="1986">
        <f>SUM(CQ673:CQ674)</f>
        <v>73.074719999999999</v>
      </c>
      <c r="CR675" s="1986">
        <f>SUM(CR673:CR674)</f>
        <v>74.731439999999992</v>
      </c>
      <c r="CS675" s="1986">
        <f>SUM(CS673:CS674)</f>
        <v>76.02</v>
      </c>
      <c r="CT675" s="1985">
        <f>SUM(CP675:CS675)</f>
        <v>295.24416000000002</v>
      </c>
      <c r="CU675" s="1986">
        <f t="shared" ref="CU675:DA675" si="1240">SUM(CU673:CU674)</f>
        <v>65.722130000000007</v>
      </c>
      <c r="CV675" s="1986">
        <f t="shared" si="1240"/>
        <v>67.851015200000006</v>
      </c>
      <c r="CW675" s="1986">
        <f t="shared" si="1240"/>
        <v>69.979900399999991</v>
      </c>
      <c r="CX675" s="1986">
        <f t="shared" si="1240"/>
        <v>71.865799999999993</v>
      </c>
      <c r="CY675" s="1985">
        <f>SUM(CU675:CX675)</f>
        <v>275.4188456</v>
      </c>
      <c r="CZ675" s="1722">
        <f t="shared" si="1240"/>
        <v>199.06413420000001</v>
      </c>
      <c r="DA675" s="1722">
        <f t="shared" si="1240"/>
        <v>260.61092748999999</v>
      </c>
      <c r="DB675"/>
      <c r="DC675"/>
      <c r="DD675" s="2291" t="s">
        <v>882</v>
      </c>
      <c r="DE675" s="2356">
        <f t="shared" si="1218"/>
        <v>0</v>
      </c>
      <c r="DF675" s="2356">
        <f t="shared" si="1219"/>
        <v>560</v>
      </c>
      <c r="DG675" s="2356">
        <f t="shared" si="1220"/>
        <v>292</v>
      </c>
      <c r="DH675" s="2356">
        <f t="shared" si="1221"/>
        <v>210</v>
      </c>
      <c r="DI675" s="2356">
        <f t="shared" si="1222"/>
        <v>181</v>
      </c>
      <c r="DJ675" s="2356">
        <f t="shared" si="1223"/>
        <v>780</v>
      </c>
      <c r="DK675" s="2356">
        <f t="shared" si="1224"/>
        <v>529</v>
      </c>
      <c r="DL675" s="2356">
        <f t="shared" si="1225"/>
        <v>671</v>
      </c>
      <c r="DM675" s="2356">
        <f t="shared" si="1226"/>
        <v>357</v>
      </c>
      <c r="DN675" s="2356">
        <f t="shared" si="1227"/>
        <v>147</v>
      </c>
      <c r="DO675" s="2356">
        <f t="shared" si="1228"/>
        <v>307</v>
      </c>
      <c r="DP675" s="2356">
        <f t="shared" si="1229"/>
        <v>183</v>
      </c>
      <c r="DQ675" s="2356">
        <f t="shared" si="1230"/>
        <v>437</v>
      </c>
      <c r="DR675" s="2356">
        <f t="shared" si="1231"/>
        <v>404</v>
      </c>
      <c r="DS675" s="2356">
        <f t="shared" si="1232"/>
        <v>411</v>
      </c>
      <c r="DT675" s="2356">
        <f t="shared" si="1233"/>
        <v>305</v>
      </c>
      <c r="DU675" s="2356">
        <f t="shared" si="1234"/>
        <v>199</v>
      </c>
      <c r="DV675" s="2356">
        <f t="shared" si="1235"/>
        <v>295.24416000000002</v>
      </c>
      <c r="DW675" s="2356">
        <f t="shared" si="1236"/>
        <v>275.4188456</v>
      </c>
      <c r="DX675" s="2356">
        <f t="shared" si="1237"/>
        <v>199.06413420000001</v>
      </c>
      <c r="DY675" s="2356">
        <f t="shared" si="1238"/>
        <v>260.61092748999999</v>
      </c>
      <c r="EA675"/>
      <c r="EB675"/>
      <c r="EC675"/>
      <c r="ED675"/>
      <c r="EE675"/>
      <c r="EF675"/>
      <c r="EJ675"/>
      <c r="EK675"/>
      <c r="EL675"/>
      <c r="ER675" s="212"/>
    </row>
    <row r="676" spans="1:148" s="923" customFormat="1" ht="12.75" customHeight="1" x14ac:dyDescent="0.2">
      <c r="A676" s="1675" t="s">
        <v>595</v>
      </c>
      <c r="B676" s="768"/>
      <c r="C676" s="768"/>
      <c r="D676" s="768"/>
      <c r="E676" s="768"/>
      <c r="F676" s="768"/>
      <c r="G676" s="768"/>
      <c r="H676" s="768"/>
      <c r="I676" s="768"/>
      <c r="J676" s="768"/>
      <c r="K676" s="768"/>
      <c r="L676" s="768"/>
      <c r="M676" s="1849"/>
      <c r="N676" s="768"/>
      <c r="O676" s="768"/>
      <c r="P676" s="768"/>
      <c r="Q676" s="768"/>
      <c r="R676" s="1849"/>
      <c r="S676" s="768" t="e">
        <f t="shared" ref="S676:V677" si="1241">S673/N673-1</f>
        <v>#DIV/0!</v>
      </c>
      <c r="T676" s="768" t="e">
        <f t="shared" si="1241"/>
        <v>#DIV/0!</v>
      </c>
      <c r="U676" s="768" t="e">
        <f t="shared" si="1241"/>
        <v>#DIV/0!</v>
      </c>
      <c r="V676" s="768" t="e">
        <f t="shared" si="1241"/>
        <v>#DIV/0!</v>
      </c>
      <c r="W676" s="1849"/>
      <c r="X676" s="768"/>
      <c r="Y676" s="768"/>
      <c r="Z676" s="768"/>
      <c r="AA676" s="768"/>
      <c r="AB676" s="1849"/>
      <c r="AC676" s="768"/>
      <c r="AD676" s="768"/>
      <c r="AE676" s="768"/>
      <c r="AF676" s="768"/>
      <c r="AG676" s="1849"/>
      <c r="AH676" s="768"/>
      <c r="AI676" s="768"/>
      <c r="AJ676" s="768"/>
      <c r="AK676" s="768"/>
      <c r="AL676" s="1849"/>
      <c r="AM676" s="768"/>
      <c r="AN676" s="768"/>
      <c r="AO676" s="768"/>
      <c r="AP676" s="768"/>
      <c r="AQ676" s="1849"/>
      <c r="AR676" s="768"/>
      <c r="AS676" s="768"/>
      <c r="AT676" s="768"/>
      <c r="AU676" s="768"/>
      <c r="AV676" s="1849"/>
      <c r="AW676" s="768"/>
      <c r="AX676" s="768"/>
      <c r="AY676" s="768"/>
      <c r="AZ676" s="768"/>
      <c r="BA676" s="1849"/>
      <c r="BB676" s="768"/>
      <c r="BC676" s="768"/>
      <c r="BD676" s="768"/>
      <c r="BE676" s="768"/>
      <c r="BF676" s="1849"/>
      <c r="BG676" s="768"/>
      <c r="BH676" s="768"/>
      <c r="BI676" s="768"/>
      <c r="BJ676" s="768"/>
      <c r="BK676" s="1849"/>
      <c r="BL676" s="768"/>
      <c r="BM676" s="768"/>
      <c r="BN676" s="768"/>
      <c r="BO676" s="768"/>
      <c r="BP676" s="1849"/>
      <c r="BQ676" s="768">
        <f t="shared" ref="BQ676:BX677" si="1242">BQ673/BL673-1</f>
        <v>0</v>
      </c>
      <c r="BR676" s="768">
        <f t="shared" si="1242"/>
        <v>0</v>
      </c>
      <c r="BS676" s="768">
        <f t="shared" si="1242"/>
        <v>0</v>
      </c>
      <c r="BT676" s="768">
        <f t="shared" si="1242"/>
        <v>0.65333333333333332</v>
      </c>
      <c r="BU676" s="1849">
        <f t="shared" si="1242"/>
        <v>0.16333333333333333</v>
      </c>
      <c r="BV676" s="768">
        <f t="shared" si="1242"/>
        <v>0.33333333333333326</v>
      </c>
      <c r="BW676" s="768">
        <f t="shared" si="1242"/>
        <v>0.38666666666666671</v>
      </c>
      <c r="BX676" s="768">
        <f t="shared" si="1242"/>
        <v>0.43999999999999995</v>
      </c>
      <c r="BY676" s="768">
        <f t="shared" ref="BY676:CA678" si="1243">BY673/BT673-1</f>
        <v>-0.19354838709677424</v>
      </c>
      <c r="BZ676" s="1849">
        <f t="shared" si="1243"/>
        <v>0.180515759312321</v>
      </c>
      <c r="CA676" s="1982">
        <v>0.04</v>
      </c>
      <c r="CB676" s="1982">
        <v>0.04</v>
      </c>
      <c r="CC676" s="1982">
        <v>0.04</v>
      </c>
      <c r="CD676" s="1982">
        <v>0.04</v>
      </c>
      <c r="CE676" s="1849">
        <f>CE673/BZ673-1</f>
        <v>4.0000000000000036E-2</v>
      </c>
      <c r="CF676" s="1982">
        <v>0.18</v>
      </c>
      <c r="CG676" s="1982">
        <v>0.18</v>
      </c>
      <c r="CH676" s="1982">
        <v>0.18</v>
      </c>
      <c r="CI676" s="1982">
        <v>0.18</v>
      </c>
      <c r="CJ676" s="1849">
        <f>CJ673/CE673-1</f>
        <v>0.17999999999999994</v>
      </c>
      <c r="CK676" s="1982">
        <v>-0.1</v>
      </c>
      <c r="CL676" s="1982">
        <v>-0.1</v>
      </c>
      <c r="CM676" s="1982">
        <v>-0.1</v>
      </c>
      <c r="CN676" s="1982">
        <v>0</v>
      </c>
      <c r="CO676" s="1849">
        <f>CO673/CJ673-1</f>
        <v>-7.5728155339805814E-2</v>
      </c>
      <c r="CP676" s="1982">
        <v>0.5</v>
      </c>
      <c r="CQ676" s="1982">
        <v>0.5</v>
      </c>
      <c r="CR676" s="1982">
        <v>0.5</v>
      </c>
      <c r="CS676" s="1982">
        <v>0.5</v>
      </c>
      <c r="CT676" s="1849">
        <f>CT673/CO673-1</f>
        <v>0.50000000000000022</v>
      </c>
      <c r="CU676" s="1982">
        <v>0.28499999999999998</v>
      </c>
      <c r="CV676" s="1982">
        <v>0.28499999999999998</v>
      </c>
      <c r="CW676" s="1982">
        <v>0.28499999999999998</v>
      </c>
      <c r="CX676" s="1982">
        <v>0.28999999999999998</v>
      </c>
      <c r="CY676" s="1849">
        <f>CY673/CT673-1</f>
        <v>0.28631302521008384</v>
      </c>
      <c r="CZ676" s="3256">
        <v>-0.25</v>
      </c>
      <c r="DA676" s="3256">
        <v>-0.05</v>
      </c>
      <c r="DB676"/>
      <c r="DC676"/>
      <c r="DD676" s="1675" t="s">
        <v>595</v>
      </c>
      <c r="DE676" s="1006">
        <f t="shared" si="1218"/>
        <v>0</v>
      </c>
      <c r="DF676" s="1006">
        <f t="shared" si="1219"/>
        <v>0</v>
      </c>
      <c r="DG676" s="1006">
        <f t="shared" si="1220"/>
        <v>0</v>
      </c>
      <c r="DH676" s="1006">
        <f t="shared" si="1221"/>
        <v>0</v>
      </c>
      <c r="DI676" s="1006">
        <f t="shared" si="1222"/>
        <v>0</v>
      </c>
      <c r="DJ676" s="1006">
        <f t="shared" si="1223"/>
        <v>0</v>
      </c>
      <c r="DK676" s="1006">
        <f t="shared" si="1224"/>
        <v>0</v>
      </c>
      <c r="DL676" s="1006">
        <f t="shared" si="1225"/>
        <v>0</v>
      </c>
      <c r="DM676" s="1006">
        <f t="shared" si="1226"/>
        <v>0</v>
      </c>
      <c r="DN676" s="1006">
        <f t="shared" si="1227"/>
        <v>0</v>
      </c>
      <c r="DO676" s="1006">
        <f t="shared" si="1228"/>
        <v>0</v>
      </c>
      <c r="DP676" s="1006">
        <f t="shared" si="1229"/>
        <v>0</v>
      </c>
      <c r="DQ676" s="1006">
        <f t="shared" si="1230"/>
        <v>0.16333333333333333</v>
      </c>
      <c r="DR676" s="1006">
        <f t="shared" si="1231"/>
        <v>0.180515759312321</v>
      </c>
      <c r="DS676" s="1006">
        <f t="shared" si="1232"/>
        <v>4.0000000000000036E-2</v>
      </c>
      <c r="DT676" s="1006">
        <f t="shared" si="1233"/>
        <v>0.17999999999999994</v>
      </c>
      <c r="DU676" s="1006">
        <f t="shared" si="1234"/>
        <v>-7.5728155339805814E-2</v>
      </c>
      <c r="DV676" s="1006">
        <f t="shared" si="1235"/>
        <v>0.50000000000000022</v>
      </c>
      <c r="DW676" s="1006">
        <f t="shared" si="1236"/>
        <v>0.28631302521008384</v>
      </c>
      <c r="DX676" s="1006">
        <f t="shared" si="1237"/>
        <v>-0.25</v>
      </c>
      <c r="DY676" s="1006">
        <f t="shared" si="1238"/>
        <v>-0.05</v>
      </c>
      <c r="EA676"/>
      <c r="EB676"/>
      <c r="EC676"/>
      <c r="ED676"/>
      <c r="EE676"/>
      <c r="EF676"/>
      <c r="EJ676"/>
      <c r="EK676"/>
      <c r="EL676"/>
      <c r="ER676" s="212"/>
    </row>
    <row r="677" spans="1:148" s="923" customFormat="1" ht="12.75" customHeight="1" x14ac:dyDescent="0.2">
      <c r="A677" s="1675" t="s">
        <v>596</v>
      </c>
      <c r="B677" s="768"/>
      <c r="C677" s="768"/>
      <c r="D677" s="768"/>
      <c r="E677" s="768"/>
      <c r="F677" s="768"/>
      <c r="G677" s="768"/>
      <c r="H677" s="768"/>
      <c r="I677" s="768"/>
      <c r="J677" s="768"/>
      <c r="K677" s="768"/>
      <c r="L677" s="768"/>
      <c r="M677" s="1849"/>
      <c r="N677" s="768"/>
      <c r="O677" s="768"/>
      <c r="P677" s="768"/>
      <c r="Q677" s="768"/>
      <c r="R677" s="1849"/>
      <c r="S677" s="768" t="e">
        <f t="shared" si="1241"/>
        <v>#DIV/0!</v>
      </c>
      <c r="T677" s="768" t="e">
        <f t="shared" si="1241"/>
        <v>#DIV/0!</v>
      </c>
      <c r="U677" s="768" t="e">
        <f t="shared" si="1241"/>
        <v>#DIV/0!</v>
      </c>
      <c r="V677" s="768" t="e">
        <f t="shared" si="1241"/>
        <v>#DIV/0!</v>
      </c>
      <c r="W677" s="1849"/>
      <c r="X677" s="768"/>
      <c r="Y677" s="768"/>
      <c r="Z677" s="768"/>
      <c r="AA677" s="768"/>
      <c r="AB677" s="1849"/>
      <c r="AC677" s="768"/>
      <c r="AD677" s="768"/>
      <c r="AE677" s="768"/>
      <c r="AF677" s="768"/>
      <c r="AG677" s="1849"/>
      <c r="AH677" s="768"/>
      <c r="AI677" s="768"/>
      <c r="AJ677" s="768"/>
      <c r="AK677" s="768"/>
      <c r="AL677" s="1849"/>
      <c r="AM677" s="768"/>
      <c r="AN677" s="768"/>
      <c r="AO677" s="768"/>
      <c r="AP677" s="768"/>
      <c r="AQ677" s="1849"/>
      <c r="AR677" s="768"/>
      <c r="AS677" s="768"/>
      <c r="AT677" s="768"/>
      <c r="AU677" s="768"/>
      <c r="AV677" s="1849"/>
      <c r="AW677" s="768"/>
      <c r="AX677" s="768"/>
      <c r="AY677" s="768"/>
      <c r="AZ677" s="768"/>
      <c r="BA677" s="1849"/>
      <c r="BB677" s="768"/>
      <c r="BC677" s="768"/>
      <c r="BD677" s="768"/>
      <c r="BE677" s="768"/>
      <c r="BF677" s="1849"/>
      <c r="BG677" s="768">
        <f t="shared" ref="BG677:BP677" si="1244">BG674/BB674-1</f>
        <v>-0.5</v>
      </c>
      <c r="BH677" s="768">
        <f t="shared" si="1244"/>
        <v>0.18181818181818188</v>
      </c>
      <c r="BI677" s="768">
        <f t="shared" si="1244"/>
        <v>1.8620689655172415</v>
      </c>
      <c r="BJ677" s="768">
        <f t="shared" si="1244"/>
        <v>3.5714285714285712</v>
      </c>
      <c r="BK677" s="1849">
        <f t="shared" si="1244"/>
        <v>1.0884353741496597</v>
      </c>
      <c r="BL677" s="768">
        <f t="shared" si="1244"/>
        <v>0.73</v>
      </c>
      <c r="BM677" s="768">
        <f t="shared" si="1244"/>
        <v>-0.73717948717948723</v>
      </c>
      <c r="BN677" s="768">
        <f t="shared" si="1244"/>
        <v>-0.78012048192771088</v>
      </c>
      <c r="BO677" s="768">
        <f t="shared" si="1244"/>
        <v>-0.7734375</v>
      </c>
      <c r="BP677" s="1849">
        <f t="shared" si="1244"/>
        <v>-0.64820846905537466</v>
      </c>
      <c r="BQ677" s="768">
        <f t="shared" si="1242"/>
        <v>3.1213872832369942</v>
      </c>
      <c r="BR677" s="768">
        <f t="shared" si="1242"/>
        <v>3.024390243902439</v>
      </c>
      <c r="BS677" s="768">
        <f t="shared" si="1242"/>
        <v>1.2054794520547945</v>
      </c>
      <c r="BT677" s="768">
        <f t="shared" si="1242"/>
        <v>1.4827586206896552</v>
      </c>
      <c r="BU677" s="1849">
        <f t="shared" si="1242"/>
        <v>2.238425925925926</v>
      </c>
      <c r="BV677" s="768">
        <f t="shared" si="1242"/>
        <v>-0.74754558204768584</v>
      </c>
      <c r="BW677" s="768">
        <f t="shared" si="1242"/>
        <v>0.26060606060606051</v>
      </c>
      <c r="BX677" s="768">
        <f t="shared" si="1242"/>
        <v>0.26708074534161486</v>
      </c>
      <c r="BY677" s="768">
        <f t="shared" si="1243"/>
        <v>0.7</v>
      </c>
      <c r="BZ677" s="1849">
        <f t="shared" si="1243"/>
        <v>-0.13938527519656896</v>
      </c>
      <c r="CA677" s="768">
        <f t="shared" si="1243"/>
        <v>-0.22222222222222221</v>
      </c>
      <c r="CB677" s="768">
        <f t="shared" ref="CB677:CD678" si="1245">CB674/BW674-1</f>
        <v>0.30692307692307708</v>
      </c>
      <c r="CC677" s="768">
        <f t="shared" si="1245"/>
        <v>0.62588235294117656</v>
      </c>
      <c r="CD677" s="768">
        <f t="shared" si="1245"/>
        <v>-0.22875816993464049</v>
      </c>
      <c r="CE677" s="1849">
        <f>CE674/BZ674-1</f>
        <v>9.5681063122923238E-3</v>
      </c>
      <c r="CF677" s="768">
        <f>CF674/CA674-1</f>
        <v>0.26628571428571424</v>
      </c>
      <c r="CG677" s="768">
        <f t="shared" ref="CG677:CL678" si="1246">CG674/CB674-1</f>
        <v>-0.23347851677457332</v>
      </c>
      <c r="CH677" s="768">
        <f t="shared" si="1246"/>
        <v>-0.68806560540279782</v>
      </c>
      <c r="CI677" s="768">
        <f t="shared" si="1246"/>
        <v>-0.52271186440677964</v>
      </c>
      <c r="CJ677" s="1849">
        <f>CJ674/CE674-1</f>
        <v>-0.4122732657628011</v>
      </c>
      <c r="CK677" s="1223">
        <f t="shared" si="1246"/>
        <v>-0.67536101083032496</v>
      </c>
      <c r="CL677" s="1223">
        <f t="shared" si="1246"/>
        <v>-0.8601818293506972</v>
      </c>
      <c r="CM677" s="768">
        <f>IFERROR(CM674/CH674-1,"NM")</f>
        <v>-6.5204750711369552E-2</v>
      </c>
      <c r="CN677" s="768">
        <f>IFERROR(CN674/CI674-1,"NM")</f>
        <v>-0.35511363636363635</v>
      </c>
      <c r="CO677" s="1849">
        <f>CO674/CJ674-1</f>
        <v>-0.53991435533577015</v>
      </c>
      <c r="CP677" s="768">
        <f>IFERROR(CP674/CK674-1,"NM")</f>
        <v>1.085070892410342</v>
      </c>
      <c r="CQ677" s="768">
        <f>IFERROR(CQ674/CL674-1,"NM")</f>
        <v>3.1188875708448647</v>
      </c>
      <c r="CR677" s="768">
        <f>IFERROR(CR674/CM674-1,"NM")</f>
        <v>0.24074404939153915</v>
      </c>
      <c r="CS677" s="768">
        <f>IFERROR(CS674/CN674-1,"NM")</f>
        <v>-0.17400881057268724</v>
      </c>
      <c r="CT677" s="1849">
        <f>CT674/CO674-1</f>
        <v>0.46037704988258588</v>
      </c>
      <c r="CU677" s="768">
        <f t="shared" ref="CU677:CX678" si="1247">+CU674/CP674-1</f>
        <v>-0.58333333333333326</v>
      </c>
      <c r="CV677" s="768">
        <f t="shared" si="1247"/>
        <v>-0.58333333333333326</v>
      </c>
      <c r="CW677" s="768">
        <f t="shared" si="1247"/>
        <v>-0.58333333333333326</v>
      </c>
      <c r="CX677" s="768">
        <f t="shared" si="1247"/>
        <v>-0.58333333333333326</v>
      </c>
      <c r="CY677" s="1849">
        <f>CY674/CT674-1</f>
        <v>-0.58333333333333326</v>
      </c>
      <c r="CZ677" s="1006">
        <f>+CZ674/CY674-1</f>
        <v>-0.4</v>
      </c>
      <c r="DA677" s="1006">
        <f>+DA674/CZ674-1</f>
        <v>2.3333333333333335</v>
      </c>
      <c r="DB677"/>
      <c r="DC677"/>
      <c r="DD677" s="1675" t="s">
        <v>596</v>
      </c>
      <c r="DE677" s="1006">
        <f t="shared" si="1218"/>
        <v>0</v>
      </c>
      <c r="DF677" s="1006">
        <f t="shared" si="1219"/>
        <v>0</v>
      </c>
      <c r="DG677" s="1006">
        <f t="shared" si="1220"/>
        <v>0</v>
      </c>
      <c r="DH677" s="1006">
        <f t="shared" si="1221"/>
        <v>0</v>
      </c>
      <c r="DI677" s="1006">
        <f t="shared" si="1222"/>
        <v>0</v>
      </c>
      <c r="DJ677" s="1006">
        <f t="shared" si="1223"/>
        <v>0</v>
      </c>
      <c r="DK677" s="1006">
        <f t="shared" si="1224"/>
        <v>0</v>
      </c>
      <c r="DL677" s="1006">
        <f t="shared" si="1225"/>
        <v>0</v>
      </c>
      <c r="DM677" s="1006">
        <f t="shared" si="1226"/>
        <v>0</v>
      </c>
      <c r="DN677" s="1006">
        <f t="shared" si="1227"/>
        <v>0</v>
      </c>
      <c r="DO677" s="1006">
        <f t="shared" si="1228"/>
        <v>1.0884353741496597</v>
      </c>
      <c r="DP677" s="1006">
        <f t="shared" si="1229"/>
        <v>-0.64820846905537466</v>
      </c>
      <c r="DQ677" s="1006">
        <f t="shared" si="1230"/>
        <v>2.238425925925926</v>
      </c>
      <c r="DR677" s="1006">
        <f t="shared" si="1231"/>
        <v>-0.13938527519656896</v>
      </c>
      <c r="DS677" s="1006">
        <f t="shared" si="1232"/>
        <v>9.5681063122923238E-3</v>
      </c>
      <c r="DT677" s="1006">
        <f t="shared" si="1233"/>
        <v>-0.4122732657628011</v>
      </c>
      <c r="DU677" s="1006">
        <f t="shared" si="1234"/>
        <v>-0.53991435533577015</v>
      </c>
      <c r="DV677" s="1006">
        <f t="shared" si="1235"/>
        <v>0.46037704988258588</v>
      </c>
      <c r="DW677" s="1006">
        <f t="shared" si="1236"/>
        <v>-0.58333333333333326</v>
      </c>
      <c r="DX677" s="1006">
        <f t="shared" si="1237"/>
        <v>-0.4</v>
      </c>
      <c r="DY677" s="1006">
        <f t="shared" si="1238"/>
        <v>2.3333333333333335</v>
      </c>
      <c r="EA677"/>
      <c r="EB677"/>
      <c r="EC677"/>
      <c r="ED677"/>
      <c r="EE677"/>
      <c r="EF677"/>
      <c r="EJ677"/>
      <c r="EK677"/>
      <c r="EL677"/>
      <c r="ER677" s="212"/>
    </row>
    <row r="678" spans="1:148" s="923" customFormat="1" ht="12.75" customHeight="1" x14ac:dyDescent="0.2">
      <c r="A678" s="1675" t="s">
        <v>1016</v>
      </c>
      <c r="B678" s="768"/>
      <c r="C678" s="768"/>
      <c r="D678" s="768"/>
      <c r="E678" s="768"/>
      <c r="F678" s="768"/>
      <c r="G678" s="768"/>
      <c r="H678" s="768"/>
      <c r="I678" s="768"/>
      <c r="J678" s="768"/>
      <c r="K678" s="768"/>
      <c r="L678" s="768"/>
      <c r="M678" s="1849"/>
      <c r="N678" s="768"/>
      <c r="O678" s="768"/>
      <c r="P678" s="768"/>
      <c r="Q678" s="768"/>
      <c r="R678" s="1849"/>
      <c r="S678" s="768">
        <f t="shared" ref="S678:AX678" si="1248">S675/N675-1</f>
        <v>-0.30400000000000005</v>
      </c>
      <c r="T678" s="768">
        <f t="shared" si="1248"/>
        <v>-0.32539682539682535</v>
      </c>
      <c r="U678" s="768">
        <f t="shared" si="1248"/>
        <v>-0.54128440366972475</v>
      </c>
      <c r="V678" s="768">
        <f t="shared" si="1248"/>
        <v>-0.65</v>
      </c>
      <c r="W678" s="1849">
        <f t="shared" si="1248"/>
        <v>-0.47857142857142854</v>
      </c>
      <c r="X678" s="768">
        <f t="shared" si="1248"/>
        <v>-0.27586206896551724</v>
      </c>
      <c r="Y678" s="768">
        <f t="shared" si="1248"/>
        <v>-0.37647058823529411</v>
      </c>
      <c r="Z678" s="768">
        <f t="shared" si="1248"/>
        <v>-0.43999999999999995</v>
      </c>
      <c r="AA678" s="768">
        <f t="shared" si="1248"/>
        <v>-5.7142857142857162E-2</v>
      </c>
      <c r="AB678" s="1849">
        <f t="shared" si="1248"/>
        <v>-0.28082191780821919</v>
      </c>
      <c r="AC678" s="768">
        <f t="shared" si="1248"/>
        <v>-0.50793650793650791</v>
      </c>
      <c r="AD678" s="768">
        <f t="shared" si="1248"/>
        <v>-5.6603773584905648E-2</v>
      </c>
      <c r="AE678" s="768">
        <f t="shared" si="1248"/>
        <v>0.21428571428571419</v>
      </c>
      <c r="AF678" s="768">
        <f t="shared" si="1248"/>
        <v>0</v>
      </c>
      <c r="AG678" s="1849">
        <f t="shared" si="1248"/>
        <v>-0.13809523809523805</v>
      </c>
      <c r="AH678" s="768">
        <f t="shared" si="1248"/>
        <v>0.12903225806451624</v>
      </c>
      <c r="AI678" s="768">
        <f t="shared" si="1248"/>
        <v>0.96</v>
      </c>
      <c r="AJ678" s="768">
        <f t="shared" si="1248"/>
        <v>13.5</v>
      </c>
      <c r="AK678" s="768">
        <f t="shared" si="1248"/>
        <v>1.3333333333333335</v>
      </c>
      <c r="AL678" s="1849">
        <f t="shared" si="1248"/>
        <v>3.3093922651933703</v>
      </c>
      <c r="AM678" s="768">
        <f t="shared" si="1248"/>
        <v>1.9142857142857141</v>
      </c>
      <c r="AN678" s="768">
        <f t="shared" si="1248"/>
        <v>-0.47959183673469385</v>
      </c>
      <c r="AO678" s="768">
        <f t="shared" si="1248"/>
        <v>-0.8661257606490872</v>
      </c>
      <c r="AP678" s="768">
        <f t="shared" si="1248"/>
        <v>1.0129870129870131</v>
      </c>
      <c r="AQ678" s="1849">
        <f t="shared" si="1248"/>
        <v>-0.32179487179487176</v>
      </c>
      <c r="AR678" s="768">
        <f t="shared" si="1248"/>
        <v>0.5490196078431373</v>
      </c>
      <c r="AS678" s="768">
        <f t="shared" si="1248"/>
        <v>1.9607843137254903</v>
      </c>
      <c r="AT678" s="768">
        <f t="shared" si="1248"/>
        <v>2.3181818181818183</v>
      </c>
      <c r="AU678" s="768">
        <f t="shared" si="1248"/>
        <v>-0.53870967741935483</v>
      </c>
      <c r="AV678" s="1849">
        <f t="shared" si="1248"/>
        <v>0.26843100189035907</v>
      </c>
      <c r="AW678" s="768">
        <f t="shared" si="1248"/>
        <v>-0.58860759493670889</v>
      </c>
      <c r="AX678" s="768">
        <f t="shared" si="1248"/>
        <v>-0.42384105960264906</v>
      </c>
      <c r="AY678" s="768">
        <f t="shared" ref="AY678:BX678" si="1249">AY675/AT675-1</f>
        <v>-0.68949771689497719</v>
      </c>
      <c r="AZ678" s="768">
        <f t="shared" si="1249"/>
        <v>-4.1958041958041981E-2</v>
      </c>
      <c r="BA678" s="1849">
        <f t="shared" si="1249"/>
        <v>-0.46795827123695977</v>
      </c>
      <c r="BB678" s="768">
        <f t="shared" si="1249"/>
        <v>-0.23076923076923073</v>
      </c>
      <c r="BC678" s="768">
        <f t="shared" si="1249"/>
        <v>-0.62068965517241381</v>
      </c>
      <c r="BD678" s="768">
        <f t="shared" si="1249"/>
        <v>-0.57352941176470584</v>
      </c>
      <c r="BE678" s="768">
        <f t="shared" si="1249"/>
        <v>-0.74452554744525545</v>
      </c>
      <c r="BF678" s="1849">
        <f t="shared" si="1249"/>
        <v>-0.58823529411764708</v>
      </c>
      <c r="BG678" s="768">
        <f t="shared" si="1249"/>
        <v>-0.5</v>
      </c>
      <c r="BH678" s="768">
        <f t="shared" si="1249"/>
        <v>0.18181818181818188</v>
      </c>
      <c r="BI678" s="768">
        <f t="shared" si="1249"/>
        <v>1.8620689655172415</v>
      </c>
      <c r="BJ678" s="768">
        <f t="shared" si="1249"/>
        <v>3.5714285714285712</v>
      </c>
      <c r="BK678" s="1849">
        <f t="shared" si="1249"/>
        <v>1.0884353741496597</v>
      </c>
      <c r="BL678" s="768">
        <f t="shared" si="1249"/>
        <v>1.48</v>
      </c>
      <c r="BM678" s="768">
        <f t="shared" si="1249"/>
        <v>-0.25641025641025639</v>
      </c>
      <c r="BN678" s="768">
        <f t="shared" si="1249"/>
        <v>-0.55421686746987953</v>
      </c>
      <c r="BO678" s="768">
        <f t="shared" si="1249"/>
        <v>-0.65625</v>
      </c>
      <c r="BP678" s="1849">
        <f t="shared" si="1249"/>
        <v>-0.40390879478827357</v>
      </c>
      <c r="BQ678" s="768">
        <f t="shared" si="1249"/>
        <v>2.1774193548387095</v>
      </c>
      <c r="BR678" s="768">
        <f t="shared" si="1249"/>
        <v>1.0689655172413794</v>
      </c>
      <c r="BS678" s="768">
        <f t="shared" si="1249"/>
        <v>0.59459459459459452</v>
      </c>
      <c r="BT678" s="768">
        <f t="shared" si="1249"/>
        <v>1.2000000000000002</v>
      </c>
      <c r="BU678" s="1849">
        <f t="shared" si="1249"/>
        <v>1.3879781420765029</v>
      </c>
      <c r="BV678" s="768">
        <f t="shared" si="1249"/>
        <v>-0.64467005076142136</v>
      </c>
      <c r="BW678" s="768">
        <f t="shared" si="1249"/>
        <v>0.30000000000000004</v>
      </c>
      <c r="BX678" s="768">
        <f t="shared" si="1249"/>
        <v>0.32203389830508478</v>
      </c>
      <c r="BY678" s="768">
        <f t="shared" si="1243"/>
        <v>0.47107438016528924</v>
      </c>
      <c r="BZ678" s="1849">
        <f t="shared" si="1243"/>
        <v>-7.5514874141876409E-2</v>
      </c>
      <c r="CA678" s="768">
        <f t="shared" si="1243"/>
        <v>-0.12857142857142856</v>
      </c>
      <c r="CB678" s="768">
        <f t="shared" si="1245"/>
        <v>0.21794871794871784</v>
      </c>
      <c r="CC678" s="768">
        <f t="shared" si="1245"/>
        <v>0.42307692307692313</v>
      </c>
      <c r="CD678" s="768">
        <f t="shared" si="1245"/>
        <v>-0.1910112359550562</v>
      </c>
      <c r="CE678" s="1849">
        <f>CE675/BZ675-1</f>
        <v>1.7326732673267342E-2</v>
      </c>
      <c r="CF678" s="768">
        <f>CF675/CA675-1</f>
        <v>0.22950819672131151</v>
      </c>
      <c r="CG678" s="768">
        <f t="shared" si="1246"/>
        <v>-0.11578947368421055</v>
      </c>
      <c r="CH678" s="768">
        <f t="shared" si="1246"/>
        <v>-0.46846846846846846</v>
      </c>
      <c r="CI678" s="768">
        <f t="shared" si="1246"/>
        <v>-0.39583333333333337</v>
      </c>
      <c r="CJ678" s="1849">
        <f>CJ675/CE675-1</f>
        <v>-0.25790754257907544</v>
      </c>
      <c r="CK678" s="1223">
        <f t="shared" si="1246"/>
        <v>-0.43999999999999995</v>
      </c>
      <c r="CL678" s="1223">
        <f t="shared" si="1246"/>
        <v>-0.5714285714285714</v>
      </c>
      <c r="CM678" s="768">
        <f>CM675/CH675-1</f>
        <v>-8.4745762711864403E-2</v>
      </c>
      <c r="CN678" s="768">
        <f>CN675/CI675-1</f>
        <v>-0.22988505747126442</v>
      </c>
      <c r="CO678" s="1849">
        <f>CO675/CJ675-1</f>
        <v>-0.34754098360655739</v>
      </c>
      <c r="CP678" s="768">
        <f>CP675/CK675-1</f>
        <v>0.70042857142857162</v>
      </c>
      <c r="CQ678" s="768">
        <f>CQ675/CL675-1</f>
        <v>1.0298533333333335</v>
      </c>
      <c r="CR678" s="768">
        <f>CR675/CM675-1</f>
        <v>0.38391555555555534</v>
      </c>
      <c r="CS678" s="768">
        <f>CS675/CN675-1</f>
        <v>0.13462686567164184</v>
      </c>
      <c r="CT678" s="1849">
        <f>CT675/CO675-1</f>
        <v>0.4836389949748745</v>
      </c>
      <c r="CU678" s="768">
        <f t="shared" si="1247"/>
        <v>-7.9753983589571198E-2</v>
      </c>
      <c r="CV678" s="768">
        <f t="shared" si="1247"/>
        <v>-7.1484431278012295E-2</v>
      </c>
      <c r="CW678" s="768">
        <f t="shared" si="1247"/>
        <v>-6.3581534090604963E-2</v>
      </c>
      <c r="CX678" s="768">
        <f t="shared" si="1247"/>
        <v>-5.4646145751118147E-2</v>
      </c>
      <c r="CY678" s="1849">
        <f>CY675/CT675-1</f>
        <v>-6.7148879083671065E-2</v>
      </c>
      <c r="CZ678" s="1006">
        <f>+CZ675/CY675-1</f>
        <v>-0.27723125203600807</v>
      </c>
      <c r="DA678" s="1006">
        <f>+DA675/CZ675-1</f>
        <v>0.30918072478171199</v>
      </c>
      <c r="DB678"/>
      <c r="DC678"/>
      <c r="DD678" s="1675" t="s">
        <v>1016</v>
      </c>
      <c r="DE678" s="1006">
        <f t="shared" si="1218"/>
        <v>0</v>
      </c>
      <c r="DF678" s="1006">
        <f t="shared" si="1219"/>
        <v>0</v>
      </c>
      <c r="DG678" s="1006">
        <f t="shared" si="1220"/>
        <v>-0.47857142857142854</v>
      </c>
      <c r="DH678" s="1006">
        <f t="shared" si="1221"/>
        <v>-0.28082191780821919</v>
      </c>
      <c r="DI678" s="1006">
        <f t="shared" si="1222"/>
        <v>-0.13809523809523805</v>
      </c>
      <c r="DJ678" s="1006">
        <f t="shared" si="1223"/>
        <v>3.3093922651933703</v>
      </c>
      <c r="DK678" s="1006">
        <f t="shared" si="1224"/>
        <v>-0.32179487179487176</v>
      </c>
      <c r="DL678" s="1006">
        <f t="shared" si="1225"/>
        <v>0.26843100189035907</v>
      </c>
      <c r="DM678" s="1006">
        <f t="shared" si="1226"/>
        <v>-0.46795827123695977</v>
      </c>
      <c r="DN678" s="1006">
        <f t="shared" si="1227"/>
        <v>-0.58823529411764708</v>
      </c>
      <c r="DO678" s="1006">
        <f t="shared" si="1228"/>
        <v>1.0884353741496597</v>
      </c>
      <c r="DP678" s="1006">
        <f t="shared" si="1229"/>
        <v>-0.40390879478827357</v>
      </c>
      <c r="DQ678" s="1006">
        <f t="shared" si="1230"/>
        <v>1.3879781420765029</v>
      </c>
      <c r="DR678" s="1006">
        <f t="shared" si="1231"/>
        <v>-7.5514874141876409E-2</v>
      </c>
      <c r="DS678" s="1006">
        <f t="shared" si="1232"/>
        <v>1.7326732673267342E-2</v>
      </c>
      <c r="DT678" s="1006">
        <f t="shared" si="1233"/>
        <v>-0.25790754257907544</v>
      </c>
      <c r="DU678" s="1006">
        <f t="shared" si="1234"/>
        <v>-0.34754098360655739</v>
      </c>
      <c r="DV678" s="1006">
        <f t="shared" si="1235"/>
        <v>0.4836389949748745</v>
      </c>
      <c r="DW678" s="1006">
        <f t="shared" si="1236"/>
        <v>-6.7148879083671065E-2</v>
      </c>
      <c r="DX678" s="1006">
        <f t="shared" si="1237"/>
        <v>-0.27723125203600807</v>
      </c>
      <c r="DY678" s="1006">
        <f t="shared" si="1238"/>
        <v>0.30918072478171199</v>
      </c>
      <c r="EA678"/>
      <c r="EB678"/>
      <c r="EC678"/>
      <c r="ED678"/>
      <c r="EE678"/>
      <c r="EF678"/>
      <c r="EJ678"/>
      <c r="EK678"/>
      <c r="EL678"/>
      <c r="ER678" s="212"/>
    </row>
    <row r="679" spans="1:148" s="871" customFormat="1" ht="12.75" customHeight="1" x14ac:dyDescent="0.2">
      <c r="A679" s="2438" t="s">
        <v>2004</v>
      </c>
      <c r="B679" s="768"/>
      <c r="C679" s="768"/>
      <c r="D679" s="768"/>
      <c r="E679" s="768"/>
      <c r="F679" s="768"/>
      <c r="G679" s="768"/>
      <c r="H679" s="768"/>
      <c r="I679" s="768"/>
      <c r="J679" s="768"/>
      <c r="K679" s="768"/>
      <c r="L679" s="768"/>
      <c r="M679" s="1849"/>
      <c r="N679" s="768"/>
      <c r="O679" s="768"/>
      <c r="P679" s="768"/>
      <c r="Q679" s="768"/>
      <c r="R679" s="1849"/>
      <c r="S679" s="768"/>
      <c r="T679" s="768"/>
      <c r="U679" s="768"/>
      <c r="V679" s="768"/>
      <c r="W679" s="1849"/>
      <c r="X679" s="768"/>
      <c r="Y679" s="768"/>
      <c r="Z679" s="768"/>
      <c r="AA679" s="768"/>
      <c r="AB679" s="1849"/>
      <c r="AC679" s="768"/>
      <c r="AD679" s="768"/>
      <c r="AE679" s="768"/>
      <c r="AF679" s="768"/>
      <c r="AG679" s="1849"/>
      <c r="AH679" s="768"/>
      <c r="AI679" s="768"/>
      <c r="AJ679" s="768"/>
      <c r="AK679" s="768"/>
      <c r="AL679" s="1849"/>
      <c r="AM679" s="768"/>
      <c r="AN679" s="768"/>
      <c r="AO679" s="768"/>
      <c r="AP679" s="768"/>
      <c r="AQ679" s="1849"/>
      <c r="AR679" s="768"/>
      <c r="AS679" s="768"/>
      <c r="AT679" s="768"/>
      <c r="AU679" s="768"/>
      <c r="AV679" s="1849"/>
      <c r="AW679" s="768"/>
      <c r="AX679" s="768"/>
      <c r="AY679" s="768"/>
      <c r="AZ679" s="768"/>
      <c r="BA679" s="1849"/>
      <c r="BB679" s="768"/>
      <c r="BC679" s="768"/>
      <c r="BD679" s="768"/>
      <c r="BE679" s="768"/>
      <c r="BF679" s="1849"/>
      <c r="BG679" s="768"/>
      <c r="BH679" s="768"/>
      <c r="BI679" s="768"/>
      <c r="BJ679" s="768"/>
      <c r="BK679" s="1849"/>
      <c r="BL679" s="768"/>
      <c r="BM679" s="768"/>
      <c r="BN679" s="768"/>
      <c r="BO679" s="768"/>
      <c r="BP679" s="1849"/>
      <c r="BQ679" s="768"/>
      <c r="BR679" s="768"/>
      <c r="BS679" s="768"/>
      <c r="BT679" s="768"/>
      <c r="BU679" s="1849">
        <f t="shared" ref="BU679:DA679" si="1250">+BU675/(BU10+BU11)</f>
        <v>0.18140307181403073</v>
      </c>
      <c r="BV679" s="768">
        <f t="shared" si="1250"/>
        <v>0.11784511784511785</v>
      </c>
      <c r="BW679" s="768">
        <f t="shared" si="1250"/>
        <v>0.11944869831546708</v>
      </c>
      <c r="BX679" s="768">
        <f t="shared" si="1250"/>
        <v>0.13043478260869565</v>
      </c>
      <c r="BY679" s="768">
        <f t="shared" si="1250"/>
        <v>0.27469135802469136</v>
      </c>
      <c r="BZ679" s="1849">
        <f t="shared" si="1250"/>
        <v>0.16205375050140394</v>
      </c>
      <c r="CA679" s="768">
        <f t="shared" si="1250"/>
        <v>9.7913322632423749E-2</v>
      </c>
      <c r="CB679" s="1223">
        <f t="shared" si="1250"/>
        <v>0.13176144244105409</v>
      </c>
      <c r="CC679" s="1223">
        <f t="shared" si="1250"/>
        <v>0.16040462427745664</v>
      </c>
      <c r="CD679" s="1223">
        <f t="shared" si="1250"/>
        <v>0.20425531914893616</v>
      </c>
      <c r="CE679" s="1849">
        <f t="shared" si="1250"/>
        <v>0.14994527544691719</v>
      </c>
      <c r="CF679" s="768">
        <f t="shared" si="1250"/>
        <v>0.1048951048951049</v>
      </c>
      <c r="CG679" s="1223">
        <f t="shared" si="1250"/>
        <v>0.11413043478260869</v>
      </c>
      <c r="CH679" s="1223">
        <f t="shared" si="1250"/>
        <v>8.5014409221902024E-2</v>
      </c>
      <c r="CI679" s="2279">
        <f t="shared" si="1250"/>
        <v>0.12236286919831224</v>
      </c>
      <c r="CJ679" s="1849">
        <f t="shared" si="1250"/>
        <v>0.10679271708683473</v>
      </c>
      <c r="CK679" s="1223">
        <f t="shared" si="1250"/>
        <v>5.7771664374140302E-2</v>
      </c>
      <c r="CL679" s="1223">
        <f t="shared" si="1250"/>
        <v>4.736842105263158E-2</v>
      </c>
      <c r="CM679" s="1223">
        <f t="shared" si="1250"/>
        <v>7.2972972972972977E-2</v>
      </c>
      <c r="CN679" s="2279">
        <f t="shared" si="1250"/>
        <v>5.3642914331465175E-2</v>
      </c>
      <c r="CO679" s="1849">
        <f t="shared" si="1250"/>
        <v>4.5863102097257434E-2</v>
      </c>
      <c r="CP679" s="1223">
        <f t="shared" si="1250"/>
        <v>5.8491400491400496E-2</v>
      </c>
      <c r="CQ679" s="1223">
        <f t="shared" si="1250"/>
        <v>5.5910267788829376E-2</v>
      </c>
      <c r="CR679" s="1223">
        <f t="shared" si="1250"/>
        <v>5.8247420109119243E-2</v>
      </c>
      <c r="CS679" s="1223">
        <f t="shared" si="1250"/>
        <v>5.7678300455235199E-2</v>
      </c>
      <c r="CT679" s="1849">
        <f t="shared" si="1250"/>
        <v>5.7563688828231631E-2</v>
      </c>
      <c r="CU679" s="1223">
        <f t="shared" ca="1" si="1250"/>
        <v>5.2444440914297043E-2</v>
      </c>
      <c r="CV679" s="1223">
        <f t="shared" ca="1" si="1250"/>
        <v>4.9545223468457085E-2</v>
      </c>
      <c r="CW679" s="1223">
        <f t="shared" ca="1" si="1250"/>
        <v>5.2017771985757369E-2</v>
      </c>
      <c r="CX679" s="1223">
        <f t="shared" ca="1" si="1250"/>
        <v>5.2289033842014006E-2</v>
      </c>
      <c r="CY679" s="1849">
        <f t="shared" ca="1" si="1250"/>
        <v>5.1553822236207782E-2</v>
      </c>
      <c r="CZ679" s="1006">
        <f t="shared" ca="1" si="1250"/>
        <v>3.5086427514364825E-2</v>
      </c>
      <c r="DA679" s="1006">
        <f t="shared" ca="1" si="1250"/>
        <v>4.7081214439714372E-2</v>
      </c>
      <c r="DB679"/>
      <c r="DC679"/>
      <c r="DD679" s="2438"/>
      <c r="DE679" s="1006"/>
      <c r="DF679" s="1006"/>
      <c r="DG679" s="1006"/>
      <c r="DH679" s="1006"/>
      <c r="DI679" s="1006"/>
      <c r="DJ679" s="1006"/>
      <c r="DK679" s="1006"/>
      <c r="DL679" s="1006"/>
      <c r="DM679" s="1006"/>
      <c r="DN679" s="1006"/>
      <c r="DO679" s="1006"/>
      <c r="DP679" s="1006"/>
      <c r="DQ679" s="1006"/>
      <c r="DR679" s="1006"/>
      <c r="DS679" s="1006"/>
      <c r="DT679" s="1006"/>
      <c r="DU679" s="1006"/>
      <c r="DV679" s="1006"/>
      <c r="DW679" s="1006"/>
      <c r="DX679" s="1006"/>
      <c r="DY679" s="1006"/>
      <c r="EA679"/>
      <c r="EB679"/>
      <c r="EC679"/>
      <c r="ED679"/>
      <c r="EE679"/>
      <c r="EF679"/>
      <c r="EJ679"/>
      <c r="EK679"/>
      <c r="EL679"/>
    </row>
    <row r="680" spans="1:148" s="923" customFormat="1" ht="12.75" customHeight="1" x14ac:dyDescent="0.2">
      <c r="A680" s="504"/>
      <c r="B680" s="220"/>
      <c r="C680" s="220"/>
      <c r="D680" s="220"/>
      <c r="E680" s="220"/>
      <c r="F680" s="220"/>
      <c r="G680" s="220"/>
      <c r="H680" s="220"/>
      <c r="I680" s="220"/>
      <c r="J680" s="220"/>
      <c r="K680" s="220"/>
      <c r="L680" s="220"/>
      <c r="M680" s="245"/>
      <c r="N680" s="220"/>
      <c r="O680" s="220"/>
      <c r="P680" s="220"/>
      <c r="Q680" s="220"/>
      <c r="R680" s="245"/>
      <c r="S680" s="220"/>
      <c r="T680" s="220"/>
      <c r="U680" s="220"/>
      <c r="V680" s="220"/>
      <c r="W680" s="245"/>
      <c r="X680" s="220"/>
      <c r="Y680" s="220"/>
      <c r="Z680" s="220"/>
      <c r="AA680" s="220"/>
      <c r="AB680" s="245"/>
      <c r="AC680" s="220"/>
      <c r="AD680" s="220"/>
      <c r="AE680" s="220"/>
      <c r="AF680" s="220"/>
      <c r="AG680" s="245"/>
      <c r="AH680" s="220"/>
      <c r="AI680" s="220"/>
      <c r="AJ680" s="220"/>
      <c r="AK680" s="220"/>
      <c r="AL680" s="245"/>
      <c r="AM680" s="220"/>
      <c r="AN680" s="220"/>
      <c r="AO680" s="220"/>
      <c r="AP680" s="220"/>
      <c r="AQ680" s="245"/>
      <c r="AR680" s="220"/>
      <c r="AS680" s="220"/>
      <c r="AT680" s="220"/>
      <c r="AU680" s="220"/>
      <c r="AV680" s="245"/>
      <c r="AW680" s="220"/>
      <c r="AX680" s="220"/>
      <c r="AY680" s="220"/>
      <c r="AZ680" s="220"/>
      <c r="BA680" s="245"/>
      <c r="BB680" s="220"/>
      <c r="BC680" s="220"/>
      <c r="BD680" s="220"/>
      <c r="BE680" s="220"/>
      <c r="BF680" s="245"/>
      <c r="BG680" s="220"/>
      <c r="BH680" s="220"/>
      <c r="BI680" s="220"/>
      <c r="BJ680" s="220"/>
      <c r="BK680" s="245"/>
      <c r="BL680" s="220"/>
      <c r="BM680" s="220"/>
      <c r="BN680" s="220"/>
      <c r="BO680" s="220"/>
      <c r="BP680" s="245"/>
      <c r="BQ680" s="220"/>
      <c r="BR680" s="220"/>
      <c r="BS680" s="220"/>
      <c r="BT680" s="220"/>
      <c r="BU680" s="245"/>
      <c r="BV680" s="220"/>
      <c r="BW680" s="220"/>
      <c r="BX680" s="220"/>
      <c r="BY680" s="220"/>
      <c r="BZ680" s="245"/>
      <c r="CA680" s="220"/>
      <c r="CB680" s="765"/>
      <c r="CC680" s="765"/>
      <c r="CD680" s="1793"/>
      <c r="CE680" s="245"/>
      <c r="CF680" s="220"/>
      <c r="CG680" s="765"/>
      <c r="CH680" s="765"/>
      <c r="CI680" s="1793"/>
      <c r="CJ680" s="245"/>
      <c r="CK680" s="765"/>
      <c r="CL680" s="765"/>
      <c r="CM680" s="765"/>
      <c r="CN680" s="1793"/>
      <c r="CO680" s="245"/>
      <c r="CP680" s="765"/>
      <c r="CQ680" s="765"/>
      <c r="CR680" s="765"/>
      <c r="CS680" s="765"/>
      <c r="CT680" s="245"/>
      <c r="CU680" s="765"/>
      <c r="CV680" s="765"/>
      <c r="CW680" s="765"/>
      <c r="CX680" s="765"/>
      <c r="CY680" s="245"/>
      <c r="CZ680" s="965"/>
      <c r="DA680" s="965"/>
      <c r="DB680"/>
      <c r="DC680"/>
      <c r="DD680" s="2285"/>
      <c r="DE680" s="2284"/>
      <c r="DF680" s="2284"/>
      <c r="DG680" s="2284"/>
      <c r="DH680" s="2284"/>
      <c r="DI680" s="2284"/>
      <c r="DJ680" s="2284"/>
      <c r="DK680" s="2284"/>
      <c r="DL680" s="2284"/>
      <c r="DM680" s="2284"/>
      <c r="DN680" s="2284"/>
      <c r="DO680" s="2284"/>
      <c r="DP680" s="2284"/>
      <c r="DQ680" s="2284"/>
      <c r="DR680" s="2284"/>
      <c r="DS680" s="2284"/>
      <c r="DT680" s="2284"/>
      <c r="DU680" s="2284"/>
      <c r="DV680" s="2284"/>
      <c r="DW680" s="2284"/>
      <c r="DX680" s="2284"/>
      <c r="DY680" s="2284"/>
      <c r="EA680"/>
      <c r="EB680"/>
      <c r="EC680"/>
      <c r="ED680"/>
      <c r="EE680"/>
      <c r="EF680"/>
      <c r="EJ680"/>
      <c r="EK680"/>
      <c r="EL680"/>
      <c r="ER680" s="212"/>
    </row>
    <row r="681" spans="1:148" s="923" customFormat="1" ht="12.75" customHeight="1" x14ac:dyDescent="0.2">
      <c r="A681" s="1560" t="s">
        <v>489</v>
      </c>
      <c r="B681" s="959"/>
      <c r="C681" s="959"/>
      <c r="D681" s="959"/>
      <c r="E681" s="959"/>
      <c r="F681" s="959"/>
      <c r="G681" s="959"/>
      <c r="H681" s="959"/>
      <c r="I681" s="959"/>
      <c r="J681" s="959"/>
      <c r="K681" s="959"/>
      <c r="L681" s="959"/>
      <c r="M681" s="1850"/>
      <c r="N681" s="959"/>
      <c r="O681" s="959"/>
      <c r="P681" s="959"/>
      <c r="Q681" s="959"/>
      <c r="R681" s="1850"/>
      <c r="S681" s="959"/>
      <c r="T681" s="959"/>
      <c r="U681" s="959"/>
      <c r="V681" s="959"/>
      <c r="W681" s="1850"/>
      <c r="X681" s="959"/>
      <c r="Y681" s="959"/>
      <c r="Z681" s="959"/>
      <c r="AA681" s="959"/>
      <c r="AB681" s="1850"/>
      <c r="AC681" s="959"/>
      <c r="AD681" s="959"/>
      <c r="AE681" s="959"/>
      <c r="AF681" s="959"/>
      <c r="AG681" s="1850"/>
      <c r="AH681" s="959"/>
      <c r="AI681" s="959"/>
      <c r="AJ681" s="959"/>
      <c r="AK681" s="959"/>
      <c r="AL681" s="1850"/>
      <c r="AM681" s="959"/>
      <c r="AN681" s="959"/>
      <c r="AO681" s="959"/>
      <c r="AP681" s="959"/>
      <c r="AQ681" s="1850"/>
      <c r="AR681" s="959"/>
      <c r="AS681" s="959"/>
      <c r="AT681" s="959"/>
      <c r="AU681" s="959"/>
      <c r="AV681" s="1850"/>
      <c r="AW681" s="959"/>
      <c r="AX681" s="959"/>
      <c r="AY681" s="959"/>
      <c r="AZ681" s="959"/>
      <c r="BA681" s="1850"/>
      <c r="BB681" s="959"/>
      <c r="BC681" s="959"/>
      <c r="BD681" s="959"/>
      <c r="BE681" s="959"/>
      <c r="BF681" s="1850"/>
      <c r="BG681" s="959"/>
      <c r="BH681" s="959"/>
      <c r="BI681" s="959"/>
      <c r="BJ681" s="959"/>
      <c r="BK681" s="1850"/>
      <c r="BL681" s="959"/>
      <c r="BM681" s="959"/>
      <c r="BN681" s="959"/>
      <c r="BO681" s="959"/>
      <c r="BP681" s="1850"/>
      <c r="BQ681" s="959"/>
      <c r="BR681" s="959"/>
      <c r="BS681" s="959"/>
      <c r="BT681" s="959"/>
      <c r="BU681" s="1850"/>
      <c r="BV681" s="959"/>
      <c r="BW681" s="959"/>
      <c r="BX681" s="959"/>
      <c r="BY681" s="959"/>
      <c r="BZ681" s="1850"/>
      <c r="CA681" s="959"/>
      <c r="CB681" s="1851"/>
      <c r="CC681" s="1851"/>
      <c r="CD681" s="1852"/>
      <c r="CE681" s="1850"/>
      <c r="CF681" s="959"/>
      <c r="CG681" s="1851"/>
      <c r="CH681" s="1851"/>
      <c r="CI681" s="1852"/>
      <c r="CJ681" s="1850"/>
      <c r="CK681" s="1851"/>
      <c r="CL681" s="1851"/>
      <c r="CM681" s="1851"/>
      <c r="CN681" s="1852"/>
      <c r="CO681" s="1850"/>
      <c r="CP681" s="1851"/>
      <c r="CQ681" s="1851"/>
      <c r="CR681" s="1851"/>
      <c r="CS681" s="1851"/>
      <c r="CT681" s="1850"/>
      <c r="CU681" s="1851"/>
      <c r="CV681" s="1851"/>
      <c r="CW681" s="1851"/>
      <c r="CX681" s="1851"/>
      <c r="CY681" s="1850"/>
      <c r="CZ681" s="991"/>
      <c r="DA681" s="991"/>
      <c r="DB681"/>
      <c r="DC681"/>
      <c r="DD681" s="1560" t="s">
        <v>489</v>
      </c>
      <c r="DE681" s="991">
        <f>M681</f>
        <v>0</v>
      </c>
      <c r="DF681" s="991">
        <f>R681</f>
        <v>0</v>
      </c>
      <c r="DG681" s="991">
        <f>W681</f>
        <v>0</v>
      </c>
      <c r="DH681" s="991">
        <f>AB681</f>
        <v>0</v>
      </c>
      <c r="DI681" s="991">
        <f>AG681</f>
        <v>0</v>
      </c>
      <c r="DJ681" s="991">
        <f>AL681</f>
        <v>0</v>
      </c>
      <c r="DK681" s="991">
        <f>AQ681</f>
        <v>0</v>
      </c>
      <c r="DL681" s="991">
        <f>AV681</f>
        <v>0</v>
      </c>
      <c r="DM681" s="991">
        <f>BA681</f>
        <v>0</v>
      </c>
      <c r="DN681" s="991">
        <f>BF681</f>
        <v>0</v>
      </c>
      <c r="DO681" s="991">
        <f>BK681</f>
        <v>0</v>
      </c>
      <c r="DP681" s="991">
        <f>BP681</f>
        <v>0</v>
      </c>
      <c r="DQ681" s="991">
        <f>BU681</f>
        <v>0</v>
      </c>
      <c r="DR681" s="991">
        <f>BZ681</f>
        <v>0</v>
      </c>
      <c r="DS681" s="991">
        <f>CE681</f>
        <v>0</v>
      </c>
      <c r="DT681" s="991">
        <f>CJ681</f>
        <v>0</v>
      </c>
      <c r="DU681" s="991">
        <f>CO681</f>
        <v>0</v>
      </c>
      <c r="DV681" s="991">
        <f>CT681</f>
        <v>0</v>
      </c>
      <c r="DW681" s="991">
        <f t="shared" ref="DW681:DY682" si="1251">CY681</f>
        <v>0</v>
      </c>
      <c r="DX681" s="991">
        <f t="shared" si="1251"/>
        <v>0</v>
      </c>
      <c r="DY681" s="991">
        <f t="shared" si="1251"/>
        <v>0</v>
      </c>
      <c r="EA681"/>
      <c r="EB681"/>
      <c r="EC681"/>
      <c r="ED681"/>
      <c r="EE681"/>
      <c r="EF681"/>
      <c r="EJ681"/>
      <c r="EK681"/>
      <c r="EL681"/>
      <c r="ER681" s="212"/>
    </row>
    <row r="682" spans="1:148" ht="12.75" customHeight="1" x14ac:dyDescent="0.2">
      <c r="A682" s="2680" t="s">
        <v>1516</v>
      </c>
      <c r="B682" s="956"/>
      <c r="C682" s="956"/>
      <c r="D682" s="956"/>
      <c r="E682" s="956"/>
      <c r="F682" s="956"/>
      <c r="G682" s="956"/>
      <c r="H682" s="956"/>
      <c r="I682" s="956"/>
      <c r="J682" s="956"/>
      <c r="K682" s="956"/>
      <c r="L682" s="956"/>
      <c r="M682" s="992"/>
      <c r="N682" s="956"/>
      <c r="O682" s="956"/>
      <c r="P682" s="956"/>
      <c r="Q682" s="956"/>
      <c r="R682" s="992"/>
      <c r="S682" s="956"/>
      <c r="T682" s="956"/>
      <c r="U682" s="956"/>
      <c r="V682" s="956"/>
      <c r="W682" s="992"/>
      <c r="X682" s="956"/>
      <c r="Y682" s="956"/>
      <c r="Z682" s="956"/>
      <c r="AA682" s="956"/>
      <c r="AB682" s="992"/>
      <c r="AC682" s="956"/>
      <c r="AD682" s="956"/>
      <c r="AE682" s="956"/>
      <c r="AF682" s="956"/>
      <c r="AG682" s="992"/>
      <c r="AH682" s="956"/>
      <c r="AI682" s="956"/>
      <c r="AJ682" s="956"/>
      <c r="AK682" s="956"/>
      <c r="AL682" s="992"/>
      <c r="AM682" s="956"/>
      <c r="AN682" s="956"/>
      <c r="AO682" s="956"/>
      <c r="AP682" s="956"/>
      <c r="AQ682" s="992"/>
      <c r="AR682" s="956"/>
      <c r="AS682" s="956"/>
      <c r="AT682" s="956"/>
      <c r="AU682" s="956">
        <f>7+206</f>
        <v>213</v>
      </c>
      <c r="AV682" s="992">
        <f>AU682</f>
        <v>213</v>
      </c>
      <c r="AW682" s="956">
        <f>6+199</f>
        <v>205</v>
      </c>
      <c r="AX682" s="956">
        <f>3+196</f>
        <v>199</v>
      </c>
      <c r="AY682" s="956">
        <f>3+197</f>
        <v>200</v>
      </c>
      <c r="AZ682" s="956">
        <f>2+236</f>
        <v>238</v>
      </c>
      <c r="BA682" s="992">
        <f>AZ682</f>
        <v>238</v>
      </c>
      <c r="BB682" s="956">
        <f>2+197</f>
        <v>199</v>
      </c>
      <c r="BC682" s="956">
        <f>2+200</f>
        <v>202</v>
      </c>
      <c r="BD682" s="956">
        <f>1+192</f>
        <v>193</v>
      </c>
      <c r="BE682" s="956">
        <v>196</v>
      </c>
      <c r="BF682" s="992">
        <f>BE682</f>
        <v>196</v>
      </c>
      <c r="BG682" s="956">
        <v>188</v>
      </c>
      <c r="BH682" s="956">
        <v>188</v>
      </c>
      <c r="BI682" s="956">
        <v>187</v>
      </c>
      <c r="BJ682" s="956">
        <v>191</v>
      </c>
      <c r="BK682" s="992">
        <f>BJ682</f>
        <v>191</v>
      </c>
      <c r="BL682" s="956">
        <v>190</v>
      </c>
      <c r="BM682" s="956">
        <v>120</v>
      </c>
      <c r="BN682" s="956">
        <v>109</v>
      </c>
      <c r="BO682" s="956">
        <v>382</v>
      </c>
      <c r="BP682" s="992">
        <f>BO682</f>
        <v>382</v>
      </c>
      <c r="BQ682" s="956">
        <v>300</v>
      </c>
      <c r="BR682" s="956">
        <v>275</v>
      </c>
      <c r="BS682" s="956">
        <v>256</v>
      </c>
      <c r="BT682" s="956">
        <f>227+15</f>
        <v>242</v>
      </c>
      <c r="BU682" s="992">
        <f>BT682</f>
        <v>242</v>
      </c>
      <c r="BV682" s="956">
        <v>223</v>
      </c>
      <c r="BW682" s="956">
        <v>201</v>
      </c>
      <c r="BX682" s="956">
        <v>189</v>
      </c>
      <c r="BY682" s="956">
        <f>175+3</f>
        <v>178</v>
      </c>
      <c r="BZ682" s="992">
        <f>BY682</f>
        <v>178</v>
      </c>
      <c r="CA682" s="956">
        <v>141</v>
      </c>
      <c r="CB682" s="956">
        <v>220</v>
      </c>
      <c r="CC682" s="956">
        <v>215</v>
      </c>
      <c r="CD682" s="956">
        <v>242</v>
      </c>
      <c r="CE682" s="992">
        <f>CD682</f>
        <v>242</v>
      </c>
      <c r="CF682" s="956">
        <v>245</v>
      </c>
      <c r="CG682" s="960">
        <f>CF682-CG660</f>
        <v>247</v>
      </c>
      <c r="CH682" s="960">
        <f>CG682-CH660</f>
        <v>247</v>
      </c>
      <c r="CI682" s="2681">
        <f>CH682-CI660</f>
        <v>301</v>
      </c>
      <c r="CJ682" s="992">
        <f>CI682</f>
        <v>301</v>
      </c>
      <c r="CK682" s="960">
        <v>225</v>
      </c>
      <c r="CL682" s="960">
        <v>225</v>
      </c>
      <c r="CM682" s="960">
        <f>CL682-CM660</f>
        <v>225</v>
      </c>
      <c r="CN682" s="2681">
        <f>CM682-CN660</f>
        <v>233</v>
      </c>
      <c r="CO682" s="992">
        <f>CN682</f>
        <v>233</v>
      </c>
      <c r="CP682" s="960">
        <f>CO682-CP660</f>
        <v>265</v>
      </c>
      <c r="CQ682" s="960">
        <f>CP682-CQ660</f>
        <v>281</v>
      </c>
      <c r="CR682" s="960">
        <f>CQ682-CR660</f>
        <v>281</v>
      </c>
      <c r="CS682" s="960">
        <f>CR682-CS660</f>
        <v>297</v>
      </c>
      <c r="CT682" s="992">
        <f>CS682</f>
        <v>297</v>
      </c>
      <c r="CU682" s="960">
        <f>CT682-CU660</f>
        <v>341.8</v>
      </c>
      <c r="CV682" s="960">
        <f>CU682-CV660</f>
        <v>364.2</v>
      </c>
      <c r="CW682" s="960">
        <f>CV682-CW660</f>
        <v>364.2</v>
      </c>
      <c r="CX682" s="960">
        <f>CW682-CX660</f>
        <v>386.59999999999997</v>
      </c>
      <c r="CY682" s="992">
        <f>CX682</f>
        <v>386.59999999999997</v>
      </c>
      <c r="CZ682" s="992">
        <f>CY682-CZ660</f>
        <v>485.15999999999997</v>
      </c>
      <c r="DA682" s="992">
        <f>CZ682-DA660</f>
        <v>578.79199999999992</v>
      </c>
      <c r="DB682" s="537"/>
      <c r="DC682" s="537"/>
      <c r="DD682" s="2682" t="s">
        <v>1516</v>
      </c>
      <c r="DE682" s="2358">
        <f>M682</f>
        <v>0</v>
      </c>
      <c r="DF682" s="2358">
        <f>R682</f>
        <v>0</v>
      </c>
      <c r="DG682" s="2358">
        <f>W682</f>
        <v>0</v>
      </c>
      <c r="DH682" s="2358">
        <f>AB682</f>
        <v>0</v>
      </c>
      <c r="DI682" s="2358">
        <f>AG682</f>
        <v>0</v>
      </c>
      <c r="DJ682" s="2358">
        <f>AL682</f>
        <v>0</v>
      </c>
      <c r="DK682" s="2358">
        <f>AQ682</f>
        <v>0</v>
      </c>
      <c r="DL682" s="2358">
        <f>AV682</f>
        <v>213</v>
      </c>
      <c r="DM682" s="2358">
        <f>BA682</f>
        <v>238</v>
      </c>
      <c r="DN682" s="2358">
        <f>BF682</f>
        <v>196</v>
      </c>
      <c r="DO682" s="2358">
        <f>BK682</f>
        <v>191</v>
      </c>
      <c r="DP682" s="2358">
        <f>BP682</f>
        <v>382</v>
      </c>
      <c r="DQ682" s="2358">
        <f>BU682</f>
        <v>242</v>
      </c>
      <c r="DR682" s="2358">
        <f>BZ682</f>
        <v>178</v>
      </c>
      <c r="DS682" s="2358">
        <f>CE682</f>
        <v>242</v>
      </c>
      <c r="DT682" s="2358">
        <f>CJ682</f>
        <v>301</v>
      </c>
      <c r="DU682" s="2358">
        <f>CO682</f>
        <v>233</v>
      </c>
      <c r="DV682" s="2358">
        <f>CT682</f>
        <v>297</v>
      </c>
      <c r="DW682" s="2358">
        <f t="shared" si="1251"/>
        <v>386.59999999999997</v>
      </c>
      <c r="DX682" s="2358">
        <f t="shared" si="1251"/>
        <v>485.15999999999997</v>
      </c>
      <c r="DY682" s="2358">
        <f t="shared" si="1251"/>
        <v>578.79199999999992</v>
      </c>
      <c r="DZ682" s="855"/>
      <c r="EK682"/>
      <c r="EL682"/>
      <c r="EM682" s="1703"/>
    </row>
    <row r="683" spans="1:148" s="923" customFormat="1" ht="12.75" hidden="1" customHeight="1" outlineLevel="1" x14ac:dyDescent="0.2">
      <c r="A683" s="504"/>
      <c r="B683" s="219"/>
      <c r="C683" s="219"/>
      <c r="D683" s="219"/>
      <c r="E683" s="219"/>
      <c r="F683" s="219"/>
      <c r="G683" s="219"/>
      <c r="H683" s="219"/>
      <c r="I683" s="219"/>
      <c r="J683" s="219"/>
      <c r="K683" s="219"/>
      <c r="L683" s="219"/>
      <c r="M683" s="968"/>
      <c r="N683" s="219"/>
      <c r="O683" s="219"/>
      <c r="P683" s="219"/>
      <c r="Q683" s="219"/>
      <c r="R683" s="968"/>
      <c r="S683" s="219"/>
      <c r="T683" s="219"/>
      <c r="U683" s="219"/>
      <c r="V683" s="219"/>
      <c r="W683" s="968"/>
      <c r="X683" s="219"/>
      <c r="Y683" s="219"/>
      <c r="Z683" s="219"/>
      <c r="AA683" s="219"/>
      <c r="AB683" s="968"/>
      <c r="AC683" s="219"/>
      <c r="AD683" s="219"/>
      <c r="AE683" s="219"/>
      <c r="AF683" s="219"/>
      <c r="AG683" s="968"/>
      <c r="AH683" s="219"/>
      <c r="AI683" s="219"/>
      <c r="AJ683" s="219"/>
      <c r="AK683" s="219"/>
      <c r="AL683" s="968"/>
      <c r="AM683" s="219"/>
      <c r="AN683" s="219"/>
      <c r="AO683" s="219"/>
      <c r="AP683" s="219"/>
      <c r="AQ683" s="968"/>
      <c r="AR683" s="219"/>
      <c r="AS683" s="219"/>
      <c r="AT683" s="219"/>
      <c r="AU683" s="219"/>
      <c r="AV683" s="968"/>
      <c r="AW683" s="219"/>
      <c r="AX683" s="219"/>
      <c r="AY683" s="219"/>
      <c r="AZ683" s="219"/>
      <c r="BA683" s="968"/>
      <c r="BB683" s="219"/>
      <c r="BC683" s="219"/>
      <c r="BD683" s="219"/>
      <c r="BE683" s="219"/>
      <c r="BF683" s="968"/>
      <c r="BG683" s="219"/>
      <c r="BH683" s="219"/>
      <c r="BI683" s="219"/>
      <c r="BJ683" s="219"/>
      <c r="BK683" s="968"/>
      <c r="BL683" s="219"/>
      <c r="BM683" s="219"/>
      <c r="BN683" s="219"/>
      <c r="BO683" s="219"/>
      <c r="BP683" s="968"/>
      <c r="BQ683" s="219"/>
      <c r="BR683" s="219"/>
      <c r="BS683" s="219"/>
      <c r="BT683" s="219"/>
      <c r="BU683" s="968"/>
      <c r="BV683" s="219"/>
      <c r="BW683" s="219"/>
      <c r="BX683" s="219"/>
      <c r="BY683" s="219"/>
      <c r="BZ683" s="968"/>
      <c r="CA683" s="215"/>
      <c r="CB683" s="215"/>
      <c r="CC683" s="215"/>
      <c r="CD683" s="1788"/>
      <c r="CE683" s="968"/>
      <c r="CF683" s="215"/>
      <c r="CG683" s="215"/>
      <c r="CH683" s="215"/>
      <c r="CI683" s="1788"/>
      <c r="CJ683" s="968"/>
      <c r="CK683" s="215"/>
      <c r="CL683" s="215"/>
      <c r="CM683" s="215"/>
      <c r="CN683" s="1788"/>
      <c r="CO683" s="968"/>
      <c r="CP683" s="215"/>
      <c r="CQ683" s="215"/>
      <c r="CR683" s="215"/>
      <c r="CS683" s="215"/>
      <c r="CT683" s="968"/>
      <c r="CU683" s="215"/>
      <c r="CV683" s="215"/>
      <c r="CW683" s="215"/>
      <c r="CX683" s="215"/>
      <c r="CY683" s="968"/>
      <c r="CZ683" s="968"/>
      <c r="DA683" s="968"/>
      <c r="DB683"/>
      <c r="DC683"/>
      <c r="DD683" s="2285"/>
      <c r="DE683" s="2290"/>
      <c r="DF683" s="2290"/>
      <c r="DG683" s="2290"/>
      <c r="DH683" s="2290"/>
      <c r="DI683" s="2290"/>
      <c r="DJ683" s="2290"/>
      <c r="DK683" s="2290"/>
      <c r="DL683" s="2290"/>
      <c r="DM683" s="2290"/>
      <c r="DN683" s="2290"/>
      <c r="DO683" s="2290"/>
      <c r="DP683" s="2290"/>
      <c r="DQ683" s="2290"/>
      <c r="DR683" s="2290"/>
      <c r="DS683" s="2290"/>
      <c r="DT683" s="2290"/>
      <c r="DU683" s="2290"/>
      <c r="DV683" s="2290"/>
      <c r="DW683" s="2290"/>
      <c r="DX683" s="2290"/>
      <c r="DY683" s="2290"/>
      <c r="EA683"/>
      <c r="EB683"/>
      <c r="EC683"/>
      <c r="ED683"/>
      <c r="EE683"/>
      <c r="EF683"/>
      <c r="EJ683"/>
      <c r="EK683"/>
      <c r="EL683"/>
      <c r="ER683" s="212"/>
    </row>
    <row r="684" spans="1:148" s="923" customFormat="1" ht="12.75" hidden="1" customHeight="1" outlineLevel="1" x14ac:dyDescent="0.2">
      <c r="A684" s="1437" t="s">
        <v>16</v>
      </c>
      <c r="B684" s="219"/>
      <c r="C684" s="219"/>
      <c r="D684" s="219"/>
      <c r="E684" s="219"/>
      <c r="F684" s="219"/>
      <c r="G684" s="219"/>
      <c r="H684" s="219"/>
      <c r="I684" s="219"/>
      <c r="J684" s="219"/>
      <c r="K684" s="219"/>
      <c r="L684" s="219"/>
      <c r="M684" s="968"/>
      <c r="N684" s="219"/>
      <c r="O684" s="219"/>
      <c r="P684" s="219"/>
      <c r="Q684" s="219"/>
      <c r="R684" s="968"/>
      <c r="S684" s="219"/>
      <c r="T684" s="219"/>
      <c r="U684" s="219"/>
      <c r="V684" s="219"/>
      <c r="W684" s="968"/>
      <c r="X684" s="219"/>
      <c r="Y684" s="219"/>
      <c r="Z684" s="219"/>
      <c r="AA684" s="219"/>
      <c r="AB684" s="968"/>
      <c r="AC684" s="219"/>
      <c r="AD684" s="219"/>
      <c r="AE684" s="219"/>
      <c r="AF684" s="219"/>
      <c r="AG684" s="968"/>
      <c r="AH684" s="219"/>
      <c r="AI684" s="219"/>
      <c r="AJ684" s="219"/>
      <c r="AK684" s="219"/>
      <c r="AL684" s="968"/>
      <c r="AM684" s="219"/>
      <c r="AN684" s="219"/>
      <c r="AO684" s="219"/>
      <c r="AP684" s="219"/>
      <c r="AQ684" s="968"/>
      <c r="AR684" s="219"/>
      <c r="AS684" s="219"/>
      <c r="AT684" s="219"/>
      <c r="AU684" s="219"/>
      <c r="AV684" s="968"/>
      <c r="AW684" s="219"/>
      <c r="AX684" s="219"/>
      <c r="AY684" s="219"/>
      <c r="AZ684" s="219"/>
      <c r="BA684" s="968"/>
      <c r="BB684" s="219"/>
      <c r="BC684" s="219"/>
      <c r="BD684" s="219"/>
      <c r="BE684" s="219"/>
      <c r="BF684" s="968"/>
      <c r="BG684" s="219"/>
      <c r="BH684" s="219"/>
      <c r="BI684" s="219"/>
      <c r="BJ684" s="219"/>
      <c r="BK684" s="968"/>
      <c r="BL684" s="219"/>
      <c r="BM684" s="219"/>
      <c r="BN684" s="219"/>
      <c r="BO684" s="219"/>
      <c r="BP684" s="968"/>
      <c r="BQ684" s="219"/>
      <c r="BR684" s="219"/>
      <c r="BS684" s="219"/>
      <c r="BT684" s="219"/>
      <c r="BU684" s="968"/>
      <c r="BV684" s="219"/>
      <c r="BW684" s="219"/>
      <c r="BX684" s="219"/>
      <c r="BY684" s="219"/>
      <c r="BZ684" s="968"/>
      <c r="CA684" s="215"/>
      <c r="CB684" s="215"/>
      <c r="CC684" s="215"/>
      <c r="CD684" s="1788"/>
      <c r="CE684" s="968"/>
      <c r="CF684" s="215"/>
      <c r="CG684" s="215"/>
      <c r="CH684" s="215"/>
      <c r="CI684" s="1788"/>
      <c r="CJ684" s="968"/>
      <c r="CK684" s="215"/>
      <c r="CL684" s="215"/>
      <c r="CM684" s="215"/>
      <c r="CN684" s="1788"/>
      <c r="CO684" s="968"/>
      <c r="CP684" s="215"/>
      <c r="CQ684" s="215"/>
      <c r="CR684" s="215"/>
      <c r="CS684" s="215"/>
      <c r="CT684" s="968"/>
      <c r="CU684" s="215"/>
      <c r="CV684" s="215"/>
      <c r="CW684" s="215"/>
      <c r="CX684" s="215"/>
      <c r="CY684" s="968"/>
      <c r="CZ684" s="968"/>
      <c r="DA684" s="968"/>
      <c r="DB684"/>
      <c r="DC684"/>
      <c r="DD684" s="1437" t="s">
        <v>16</v>
      </c>
      <c r="DE684" s="2290">
        <f>M684</f>
        <v>0</v>
      </c>
      <c r="DF684" s="2290">
        <f>R684</f>
        <v>0</v>
      </c>
      <c r="DG684" s="2290">
        <f>W684</f>
        <v>0</v>
      </c>
      <c r="DH684" s="2290">
        <f>AB684</f>
        <v>0</v>
      </c>
      <c r="DI684" s="2290">
        <f>AG684</f>
        <v>0</v>
      </c>
      <c r="DJ684" s="2290">
        <f>AL684</f>
        <v>0</v>
      </c>
      <c r="DK684" s="2290">
        <f>AQ684</f>
        <v>0</v>
      </c>
      <c r="DL684" s="2290">
        <f>AV684</f>
        <v>0</v>
      </c>
      <c r="DM684" s="2290">
        <f>BA684</f>
        <v>0</v>
      </c>
      <c r="DN684" s="2290">
        <f>BF684</f>
        <v>0</v>
      </c>
      <c r="DO684" s="2290">
        <f>BK684</f>
        <v>0</v>
      </c>
      <c r="DP684" s="2290">
        <f>BP684</f>
        <v>0</v>
      </c>
      <c r="DQ684" s="2290">
        <f>BU684</f>
        <v>0</v>
      </c>
      <c r="DR684" s="2290">
        <f>BZ684</f>
        <v>0</v>
      </c>
      <c r="DS684" s="2290">
        <f>CE684</f>
        <v>0</v>
      </c>
      <c r="DT684" s="2290">
        <f>CJ684</f>
        <v>0</v>
      </c>
      <c r="DU684" s="2290">
        <f>CO684</f>
        <v>0</v>
      </c>
      <c r="DV684" s="2290">
        <f>CT684</f>
        <v>0</v>
      </c>
      <c r="DW684" s="2290">
        <f t="shared" ref="DW684:DY686" si="1252">CY684</f>
        <v>0</v>
      </c>
      <c r="DX684" s="2290">
        <f t="shared" si="1252"/>
        <v>0</v>
      </c>
      <c r="DY684" s="2290">
        <f t="shared" si="1252"/>
        <v>0</v>
      </c>
      <c r="EA684"/>
      <c r="EB684"/>
      <c r="EC684"/>
      <c r="ED684"/>
      <c r="EE684"/>
      <c r="EF684"/>
      <c r="EJ684"/>
      <c r="EK684"/>
      <c r="EL684"/>
      <c r="ER684" s="212"/>
    </row>
    <row r="685" spans="1:148" s="923" customFormat="1" ht="12.75" hidden="1" customHeight="1" outlineLevel="1" x14ac:dyDescent="0.2">
      <c r="A685" s="504" t="s">
        <v>1195</v>
      </c>
      <c r="B685" s="215"/>
      <c r="C685" s="215"/>
      <c r="D685" s="215"/>
      <c r="E685" s="215"/>
      <c r="F685" s="215"/>
      <c r="G685" s="215"/>
      <c r="H685" s="215"/>
      <c r="I685" s="215"/>
      <c r="J685" s="215"/>
      <c r="K685" s="215"/>
      <c r="L685" s="215"/>
      <c r="M685" s="968"/>
      <c r="N685" s="215"/>
      <c r="O685" s="215"/>
      <c r="P685" s="215"/>
      <c r="Q685" s="215"/>
      <c r="R685" s="968">
        <f t="shared" ref="R685:AW685" si="1253">R759+R761</f>
        <v>531.21252566735109</v>
      </c>
      <c r="S685" s="215">
        <f t="shared" si="1253"/>
        <v>648.24845995893224</v>
      </c>
      <c r="T685" s="215">
        <f t="shared" si="1253"/>
        <v>639.09958932238192</v>
      </c>
      <c r="U685" s="215">
        <f t="shared" si="1253"/>
        <v>668</v>
      </c>
      <c r="V685" s="215">
        <f t="shared" si="1253"/>
        <v>688</v>
      </c>
      <c r="W685" s="968">
        <f t="shared" si="1253"/>
        <v>688</v>
      </c>
      <c r="X685" s="215">
        <f t="shared" si="1253"/>
        <v>630</v>
      </c>
      <c r="Y685" s="215">
        <f t="shared" si="1253"/>
        <v>605</v>
      </c>
      <c r="Z685" s="215">
        <f t="shared" si="1253"/>
        <v>695</v>
      </c>
      <c r="AA685" s="215">
        <f t="shared" si="1253"/>
        <v>732</v>
      </c>
      <c r="AB685" s="968">
        <f t="shared" si="1253"/>
        <v>732</v>
      </c>
      <c r="AC685" s="215">
        <f t="shared" si="1253"/>
        <v>692</v>
      </c>
      <c r="AD685" s="215">
        <f t="shared" si="1253"/>
        <v>697</v>
      </c>
      <c r="AE685" s="215">
        <f t="shared" si="1253"/>
        <v>723</v>
      </c>
      <c r="AF685" s="215">
        <f t="shared" si="1253"/>
        <v>651</v>
      </c>
      <c r="AG685" s="968">
        <f t="shared" si="1253"/>
        <v>651</v>
      </c>
      <c r="AH685" s="215">
        <f t="shared" si="1253"/>
        <v>522</v>
      </c>
      <c r="AI685" s="215">
        <f t="shared" si="1253"/>
        <v>641</v>
      </c>
      <c r="AJ685" s="215">
        <f t="shared" si="1253"/>
        <v>558</v>
      </c>
      <c r="AK685" s="215">
        <f t="shared" si="1253"/>
        <v>515</v>
      </c>
      <c r="AL685" s="968">
        <f t="shared" si="1253"/>
        <v>515</v>
      </c>
      <c r="AM685" s="215">
        <f t="shared" si="1253"/>
        <v>460</v>
      </c>
      <c r="AN685" s="215">
        <f t="shared" si="1253"/>
        <v>344</v>
      </c>
      <c r="AO685" s="215">
        <f t="shared" si="1253"/>
        <v>344</v>
      </c>
      <c r="AP685" s="215">
        <f t="shared" si="1253"/>
        <v>287</v>
      </c>
      <c r="AQ685" s="968">
        <f t="shared" si="1253"/>
        <v>287</v>
      </c>
      <c r="AR685" s="215">
        <f t="shared" si="1253"/>
        <v>247</v>
      </c>
      <c r="AS685" s="215">
        <f t="shared" si="1253"/>
        <v>237</v>
      </c>
      <c r="AT685" s="215">
        <f t="shared" si="1253"/>
        <v>239</v>
      </c>
      <c r="AU685" s="215">
        <f t="shared" si="1253"/>
        <v>241</v>
      </c>
      <c r="AV685" s="968">
        <f t="shared" si="1253"/>
        <v>241</v>
      </c>
      <c r="AW685" s="215">
        <f t="shared" si="1253"/>
        <v>246</v>
      </c>
      <c r="AX685" s="215">
        <f t="shared" ref="AX685:CG685" si="1254">AX759+AX761</f>
        <v>247</v>
      </c>
      <c r="AY685" s="215">
        <f t="shared" si="1254"/>
        <v>249</v>
      </c>
      <c r="AZ685" s="215">
        <f t="shared" si="1254"/>
        <v>243</v>
      </c>
      <c r="BA685" s="968">
        <f t="shared" si="1254"/>
        <v>243</v>
      </c>
      <c r="BB685" s="215">
        <f t="shared" si="1254"/>
        <v>50</v>
      </c>
      <c r="BC685" s="215">
        <f t="shared" si="1254"/>
        <v>51</v>
      </c>
      <c r="BD685" s="215">
        <f t="shared" si="1254"/>
        <v>95</v>
      </c>
      <c r="BE685" s="215">
        <f t="shared" si="1254"/>
        <v>0</v>
      </c>
      <c r="BF685" s="968">
        <f t="shared" si="1254"/>
        <v>0</v>
      </c>
      <c r="BG685" s="215">
        <f t="shared" si="1254"/>
        <v>0</v>
      </c>
      <c r="BH685" s="215">
        <f t="shared" si="1254"/>
        <v>0</v>
      </c>
      <c r="BI685" s="215">
        <f t="shared" si="1254"/>
        <v>0</v>
      </c>
      <c r="BJ685" s="215">
        <f t="shared" si="1254"/>
        <v>0</v>
      </c>
      <c r="BK685" s="968">
        <f t="shared" si="1254"/>
        <v>0</v>
      </c>
      <c r="BL685" s="215">
        <f t="shared" si="1254"/>
        <v>0</v>
      </c>
      <c r="BM685" s="215">
        <f t="shared" si="1254"/>
        <v>0</v>
      </c>
      <c r="BN685" s="215">
        <f t="shared" si="1254"/>
        <v>0</v>
      </c>
      <c r="BO685" s="215">
        <f t="shared" si="1254"/>
        <v>0</v>
      </c>
      <c r="BP685" s="968">
        <f t="shared" si="1254"/>
        <v>0</v>
      </c>
      <c r="BQ685" s="215">
        <f t="shared" si="1254"/>
        <v>0</v>
      </c>
      <c r="BR685" s="215">
        <f t="shared" si="1254"/>
        <v>0</v>
      </c>
      <c r="BS685" s="215">
        <f>BS759+BS761</f>
        <v>0</v>
      </c>
      <c r="BT685" s="215">
        <f t="shared" si="1254"/>
        <v>0</v>
      </c>
      <c r="BU685" s="968">
        <f t="shared" si="1254"/>
        <v>0</v>
      </c>
      <c r="BV685" s="215">
        <f>BV759+BV761</f>
        <v>0</v>
      </c>
      <c r="BW685" s="215">
        <f>BW759+BW761</f>
        <v>0</v>
      </c>
      <c r="BX685" s="215">
        <f>BX759+BX761</f>
        <v>0</v>
      </c>
      <c r="BY685" s="215">
        <f>BY759+BY761</f>
        <v>0</v>
      </c>
      <c r="BZ685" s="968">
        <f t="shared" si="1254"/>
        <v>0</v>
      </c>
      <c r="CA685" s="215">
        <f>CA759+CA761</f>
        <v>0</v>
      </c>
      <c r="CB685" s="215">
        <f t="shared" si="1254"/>
        <v>0</v>
      </c>
      <c r="CC685" s="215">
        <f t="shared" si="1254"/>
        <v>0</v>
      </c>
      <c r="CD685" s="1788">
        <f t="shared" si="1254"/>
        <v>0</v>
      </c>
      <c r="CE685" s="968">
        <f t="shared" si="1254"/>
        <v>0</v>
      </c>
      <c r="CF685" s="215">
        <f>CF759+CF761</f>
        <v>0</v>
      </c>
      <c r="CG685" s="215">
        <f t="shared" si="1254"/>
        <v>0</v>
      </c>
      <c r="CH685" s="215">
        <f>CH759+CH761</f>
        <v>0</v>
      </c>
      <c r="CI685" s="1788">
        <f>CI759+CI761</f>
        <v>0</v>
      </c>
      <c r="CJ685" s="968">
        <f>CJ759+CJ761</f>
        <v>0</v>
      </c>
      <c r="CK685" s="215">
        <f>CK759+CK761</f>
        <v>0</v>
      </c>
      <c r="CL685" s="215">
        <f t="shared" ref="CL685:CT685" si="1255">CL759+CL761</f>
        <v>0</v>
      </c>
      <c r="CM685" s="215">
        <f t="shared" si="1255"/>
        <v>0</v>
      </c>
      <c r="CN685" s="1788">
        <f t="shared" si="1255"/>
        <v>0</v>
      </c>
      <c r="CO685" s="968">
        <f t="shared" si="1255"/>
        <v>0</v>
      </c>
      <c r="CP685" s="215">
        <f t="shared" si="1255"/>
        <v>0</v>
      </c>
      <c r="CQ685" s="215">
        <f t="shared" si="1255"/>
        <v>0</v>
      </c>
      <c r="CR685" s="215">
        <f t="shared" si="1255"/>
        <v>0</v>
      </c>
      <c r="CS685" s="215">
        <f t="shared" si="1255"/>
        <v>0</v>
      </c>
      <c r="CT685" s="968">
        <f t="shared" si="1255"/>
        <v>0</v>
      </c>
      <c r="CU685" s="215">
        <f t="shared" ref="CU685:DA685" si="1256">CU759+CU761</f>
        <v>0</v>
      </c>
      <c r="CV685" s="215">
        <f t="shared" si="1256"/>
        <v>0</v>
      </c>
      <c r="CW685" s="215">
        <f t="shared" si="1256"/>
        <v>0</v>
      </c>
      <c r="CX685" s="215">
        <f t="shared" si="1256"/>
        <v>0</v>
      </c>
      <c r="CY685" s="968">
        <f t="shared" si="1256"/>
        <v>0</v>
      </c>
      <c r="CZ685" s="968">
        <f t="shared" si="1256"/>
        <v>0</v>
      </c>
      <c r="DA685" s="968">
        <f t="shared" si="1256"/>
        <v>0</v>
      </c>
      <c r="DB685"/>
      <c r="DC685"/>
      <c r="DD685" s="2285" t="s">
        <v>1195</v>
      </c>
      <c r="DE685" s="2290">
        <f>M685</f>
        <v>0</v>
      </c>
      <c r="DF685" s="2290">
        <f>R685</f>
        <v>531.21252566735109</v>
      </c>
      <c r="DG685" s="2290">
        <f>W685</f>
        <v>688</v>
      </c>
      <c r="DH685" s="2290">
        <f>AB685</f>
        <v>732</v>
      </c>
      <c r="DI685" s="2290">
        <f>AG685</f>
        <v>651</v>
      </c>
      <c r="DJ685" s="2290">
        <f>AL685</f>
        <v>515</v>
      </c>
      <c r="DK685" s="2290">
        <f>AQ685</f>
        <v>287</v>
      </c>
      <c r="DL685" s="2290">
        <f>AV685</f>
        <v>241</v>
      </c>
      <c r="DM685" s="2290">
        <f>BA685</f>
        <v>243</v>
      </c>
      <c r="DN685" s="2290">
        <f>BF685</f>
        <v>0</v>
      </c>
      <c r="DO685" s="2290">
        <f>BK685</f>
        <v>0</v>
      </c>
      <c r="DP685" s="2290">
        <f>BP685</f>
        <v>0</v>
      </c>
      <c r="DQ685" s="2290">
        <f>BU685</f>
        <v>0</v>
      </c>
      <c r="DR685" s="2290">
        <f>BZ685</f>
        <v>0</v>
      </c>
      <c r="DS685" s="2290">
        <f>CE685</f>
        <v>0</v>
      </c>
      <c r="DT685" s="2290">
        <f>CJ685</f>
        <v>0</v>
      </c>
      <c r="DU685" s="2290">
        <f>CO685</f>
        <v>0</v>
      </c>
      <c r="DV685" s="2290">
        <f>CT685</f>
        <v>0</v>
      </c>
      <c r="DW685" s="2290">
        <f t="shared" si="1252"/>
        <v>0</v>
      </c>
      <c r="DX685" s="2290">
        <f t="shared" si="1252"/>
        <v>0</v>
      </c>
      <c r="DY685" s="2290">
        <f t="shared" si="1252"/>
        <v>0</v>
      </c>
      <c r="EA685"/>
      <c r="EB685"/>
      <c r="EC685"/>
      <c r="ED685"/>
      <c r="EE685"/>
      <c r="EF685"/>
      <c r="EJ685"/>
      <c r="EK685"/>
      <c r="EL685"/>
      <c r="ER685" s="212"/>
    </row>
    <row r="686" spans="1:148" s="923" customFormat="1" ht="12.75" hidden="1" customHeight="1" outlineLevel="1" x14ac:dyDescent="0.2">
      <c r="A686" s="504" t="s">
        <v>1196</v>
      </c>
      <c r="B686" s="215"/>
      <c r="C686" s="215"/>
      <c r="D686" s="215"/>
      <c r="E686" s="215"/>
      <c r="F686" s="215"/>
      <c r="G686" s="215"/>
      <c r="H686" s="215"/>
      <c r="I686" s="215"/>
      <c r="J686" s="215"/>
      <c r="K686" s="215"/>
      <c r="L686" s="215"/>
      <c r="M686" s="968"/>
      <c r="N686" s="215"/>
      <c r="O686" s="215"/>
      <c r="P686" s="215"/>
      <c r="Q686" s="215"/>
      <c r="R686" s="968"/>
      <c r="S686" s="215">
        <f>+S685-R685</f>
        <v>117.03593429158116</v>
      </c>
      <c r="T686" s="215">
        <f>+T685-S685</f>
        <v>-9.1488706365503276</v>
      </c>
      <c r="U686" s="215">
        <f>+U685-T685</f>
        <v>28.900410677618083</v>
      </c>
      <c r="V686" s="215">
        <f>+V685-U685</f>
        <v>20</v>
      </c>
      <c r="W686" s="968">
        <f>SUM(S686:V686)</f>
        <v>156.78747433264891</v>
      </c>
      <c r="X686" s="215">
        <f>+X685-W685</f>
        <v>-58</v>
      </c>
      <c r="Y686" s="215">
        <f>+Y685-X685</f>
        <v>-25</v>
      </c>
      <c r="Z686" s="215">
        <f>+Z685-Y685</f>
        <v>90</v>
      </c>
      <c r="AA686" s="215">
        <f>+AA685-Z685</f>
        <v>37</v>
      </c>
      <c r="AB686" s="968">
        <f>SUM(X686:AA686)</f>
        <v>44</v>
      </c>
      <c r="AC686" s="215">
        <f>+AC685-AB685</f>
        <v>-40</v>
      </c>
      <c r="AD686" s="215">
        <f>+AD685-AC685</f>
        <v>5</v>
      </c>
      <c r="AE686" s="215">
        <f>+AE685-AD685</f>
        <v>26</v>
      </c>
      <c r="AF686" s="215">
        <f>+AF685-AE685</f>
        <v>-72</v>
      </c>
      <c r="AG686" s="968">
        <f>SUM(AC686:AF686)</f>
        <v>-81</v>
      </c>
      <c r="AH686" s="215">
        <f>+AH685-AG685</f>
        <v>-129</v>
      </c>
      <c r="AI686" s="215">
        <f>+AI685-AH685</f>
        <v>119</v>
      </c>
      <c r="AJ686" s="215">
        <f>+AJ685-AI685</f>
        <v>-83</v>
      </c>
      <c r="AK686" s="215">
        <f>+AK685-AJ685</f>
        <v>-43</v>
      </c>
      <c r="AL686" s="968">
        <f>SUM(AH686:AK686)</f>
        <v>-136</v>
      </c>
      <c r="AM686" s="215">
        <f>+AM685-AL685</f>
        <v>-55</v>
      </c>
      <c r="AN686" s="215">
        <f>+AN685-AM685</f>
        <v>-116</v>
      </c>
      <c r="AO686" s="215">
        <f>+AO685-AN685</f>
        <v>0</v>
      </c>
      <c r="AP686" s="215">
        <f>+AP685-AO685</f>
        <v>-57</v>
      </c>
      <c r="AQ686" s="968">
        <f>SUM(AM686:AP686)</f>
        <v>-228</v>
      </c>
      <c r="AR686" s="215">
        <f>+AR685-AQ685</f>
        <v>-40</v>
      </c>
      <c r="AS686" s="215">
        <f>+AS685-AR685</f>
        <v>-10</v>
      </c>
      <c r="AT686" s="215">
        <f>+AT685-AS685</f>
        <v>2</v>
      </c>
      <c r="AU686" s="215">
        <f>+AU685-AT685</f>
        <v>2</v>
      </c>
      <c r="AV686" s="968">
        <f>SUM(AR686:AU686)</f>
        <v>-46</v>
      </c>
      <c r="AW686" s="215">
        <f>+AW685-AV685</f>
        <v>5</v>
      </c>
      <c r="AX686" s="215">
        <f>+AX685-AW685</f>
        <v>1</v>
      </c>
      <c r="AY686" s="215">
        <f>+AY685-AX685</f>
        <v>2</v>
      </c>
      <c r="AZ686" s="215">
        <f>+AZ685-AY685</f>
        <v>-6</v>
      </c>
      <c r="BA686" s="968">
        <f>SUM(AW686:AZ686)</f>
        <v>2</v>
      </c>
      <c r="BB686" s="215">
        <f>+BB685-BA685</f>
        <v>-193</v>
      </c>
      <c r="BC686" s="215">
        <f>+BC685-BB685</f>
        <v>1</v>
      </c>
      <c r="BD686" s="215">
        <f>+BD685-BC685</f>
        <v>44</v>
      </c>
      <c r="BE686" s="215">
        <f>+BE685-BD685</f>
        <v>-95</v>
      </c>
      <c r="BF686" s="968">
        <f>SUM(BB686:BE686)</f>
        <v>-243</v>
      </c>
      <c r="BG686" s="215">
        <f>+BG685-BF685</f>
        <v>0</v>
      </c>
      <c r="BH686" s="215">
        <f>+BH685-BG685</f>
        <v>0</v>
      </c>
      <c r="BI686" s="215">
        <f>+BI685-BH685</f>
        <v>0</v>
      </c>
      <c r="BJ686" s="215">
        <f>+BJ685-BI685</f>
        <v>0</v>
      </c>
      <c r="BK686" s="968">
        <f>SUM(BG686:BJ686)</f>
        <v>0</v>
      </c>
      <c r="BL686" s="215">
        <f>+BL685-BJ685</f>
        <v>0</v>
      </c>
      <c r="BM686" s="215">
        <f>+BM685-BL685</f>
        <v>0</v>
      </c>
      <c r="BN686" s="215">
        <f>+BN685-BM685</f>
        <v>0</v>
      </c>
      <c r="BO686" s="215">
        <f>+BO685-BN685</f>
        <v>0</v>
      </c>
      <c r="BP686" s="968">
        <f>SUM(BL686:BO686)</f>
        <v>0</v>
      </c>
      <c r="BQ686" s="215">
        <f>+BQ685-BP685</f>
        <v>0</v>
      </c>
      <c r="BR686" s="215">
        <f>+BR685-BQ685</f>
        <v>0</v>
      </c>
      <c r="BS686" s="215">
        <f>+BS685-BR685</f>
        <v>0</v>
      </c>
      <c r="BT686" s="215">
        <f>+BT685-BS685</f>
        <v>0</v>
      </c>
      <c r="BU686" s="968">
        <f>SUM(BQ686:BT686)</f>
        <v>0</v>
      </c>
      <c r="BV686" s="215">
        <f>+BV685-BU685</f>
        <v>0</v>
      </c>
      <c r="BW686" s="215">
        <f>+BW685-BV685</f>
        <v>0</v>
      </c>
      <c r="BX686" s="215">
        <f>+BX685-BW685</f>
        <v>0</v>
      </c>
      <c r="BY686" s="215">
        <f>+BY685-BX685</f>
        <v>0</v>
      </c>
      <c r="BZ686" s="968">
        <f>+BZ685-BU685</f>
        <v>0</v>
      </c>
      <c r="CA686" s="215">
        <f>+CA685-BZ685</f>
        <v>0</v>
      </c>
      <c r="CB686" s="215">
        <f>+CB685-CA685</f>
        <v>0</v>
      </c>
      <c r="CC686" s="215">
        <f>+CC685-CB685</f>
        <v>0</v>
      </c>
      <c r="CD686" s="1788">
        <f>+CD685-CC685</f>
        <v>0</v>
      </c>
      <c r="CE686" s="968">
        <f>+CE685-BZ685</f>
        <v>0</v>
      </c>
      <c r="CF686" s="215">
        <f>+CF685-CE685</f>
        <v>0</v>
      </c>
      <c r="CG686" s="215">
        <f>+CG685-CF685</f>
        <v>0</v>
      </c>
      <c r="CH686" s="215">
        <f>+CH685-CG685</f>
        <v>0</v>
      </c>
      <c r="CI686" s="1788">
        <f>+CI685-CH685</f>
        <v>0</v>
      </c>
      <c r="CJ686" s="968">
        <f>+CJ685-CE685</f>
        <v>0</v>
      </c>
      <c r="CK686" s="215">
        <f>+CK685-CJ685</f>
        <v>0</v>
      </c>
      <c r="CL686" s="215">
        <f>+CL685-CK685</f>
        <v>0</v>
      </c>
      <c r="CM686" s="215">
        <f>+CM685-CL685</f>
        <v>0</v>
      </c>
      <c r="CN686" s="1788">
        <f>+CN685-CM685</f>
        <v>0</v>
      </c>
      <c r="CO686" s="968">
        <f>+CO685-CJ685</f>
        <v>0</v>
      </c>
      <c r="CP686" s="215">
        <f>+CP685-CO685</f>
        <v>0</v>
      </c>
      <c r="CQ686" s="215">
        <f>+CQ685-CP685</f>
        <v>0</v>
      </c>
      <c r="CR686" s="215">
        <f>+CR685-CQ685</f>
        <v>0</v>
      </c>
      <c r="CS686" s="215">
        <f>+CS685-CR685</f>
        <v>0</v>
      </c>
      <c r="CT686" s="968">
        <f>+CT685-CO685</f>
        <v>0</v>
      </c>
      <c r="CU686" s="215">
        <f>+CU685-CT685</f>
        <v>0</v>
      </c>
      <c r="CV686" s="215">
        <f>+CV685-CU685</f>
        <v>0</v>
      </c>
      <c r="CW686" s="215">
        <f>+CW685-CV685</f>
        <v>0</v>
      </c>
      <c r="CX686" s="215">
        <f>+CX685-CW685</f>
        <v>0</v>
      </c>
      <c r="CY686" s="968">
        <f>+CY685-CT685</f>
        <v>0</v>
      </c>
      <c r="CZ686" s="968">
        <f>+CZ685-CY685</f>
        <v>0</v>
      </c>
      <c r="DA686" s="968">
        <f>+DA685-CZ685</f>
        <v>0</v>
      </c>
      <c r="DB686"/>
      <c r="DC686"/>
      <c r="DD686" s="2285" t="s">
        <v>1196</v>
      </c>
      <c r="DE686" s="2290">
        <f>M686</f>
        <v>0</v>
      </c>
      <c r="DF686" s="2290">
        <f>R686</f>
        <v>0</v>
      </c>
      <c r="DG686" s="2290">
        <f>W686</f>
        <v>156.78747433264891</v>
      </c>
      <c r="DH686" s="2290">
        <f>AB686</f>
        <v>44</v>
      </c>
      <c r="DI686" s="2290">
        <f>AG686</f>
        <v>-81</v>
      </c>
      <c r="DJ686" s="2290">
        <f>AL686</f>
        <v>-136</v>
      </c>
      <c r="DK686" s="2290">
        <f>AQ686</f>
        <v>-228</v>
      </c>
      <c r="DL686" s="2290">
        <f>AV686</f>
        <v>-46</v>
      </c>
      <c r="DM686" s="2290">
        <f>BA686</f>
        <v>2</v>
      </c>
      <c r="DN686" s="2290">
        <f>BF686</f>
        <v>-243</v>
      </c>
      <c r="DO686" s="2290">
        <f>BK686</f>
        <v>0</v>
      </c>
      <c r="DP686" s="2290">
        <f>BP686</f>
        <v>0</v>
      </c>
      <c r="DQ686" s="2290">
        <f>BU686</f>
        <v>0</v>
      </c>
      <c r="DR686" s="2290">
        <f>BZ686</f>
        <v>0</v>
      </c>
      <c r="DS686" s="2290">
        <f>CE686</f>
        <v>0</v>
      </c>
      <c r="DT686" s="2290">
        <f>CJ686</f>
        <v>0</v>
      </c>
      <c r="DU686" s="2290">
        <f>CO686</f>
        <v>0</v>
      </c>
      <c r="DV686" s="2290">
        <f>CT686</f>
        <v>0</v>
      </c>
      <c r="DW686" s="2290">
        <f t="shared" si="1252"/>
        <v>0</v>
      </c>
      <c r="DX686" s="2290">
        <f t="shared" si="1252"/>
        <v>0</v>
      </c>
      <c r="DY686" s="2290">
        <f t="shared" si="1252"/>
        <v>0</v>
      </c>
      <c r="EA686"/>
      <c r="EB686"/>
      <c r="EC686"/>
      <c r="ED686"/>
      <c r="EE686"/>
      <c r="EF686"/>
      <c r="EJ686"/>
      <c r="EK686"/>
      <c r="EL686"/>
      <c r="ER686" s="212"/>
    </row>
    <row r="687" spans="1:148" s="923" customFormat="1" ht="12.75" customHeight="1" collapsed="1" x14ac:dyDescent="0.2">
      <c r="A687" s="504"/>
      <c r="B687" s="215"/>
      <c r="C687" s="215"/>
      <c r="D687" s="215"/>
      <c r="E687" s="215"/>
      <c r="F687" s="215"/>
      <c r="G687" s="215"/>
      <c r="H687" s="215"/>
      <c r="I687" s="215"/>
      <c r="J687" s="215"/>
      <c r="K687" s="215"/>
      <c r="L687" s="215"/>
      <c r="M687" s="968"/>
      <c r="N687" s="215"/>
      <c r="O687" s="215"/>
      <c r="P687" s="215"/>
      <c r="Q687" s="215"/>
      <c r="R687" s="968"/>
      <c r="S687" s="215"/>
      <c r="T687" s="215"/>
      <c r="U687" s="215"/>
      <c r="V687" s="215"/>
      <c r="W687" s="968"/>
      <c r="X687" s="215"/>
      <c r="Y687" s="215"/>
      <c r="Z687" s="215"/>
      <c r="AA687" s="215"/>
      <c r="AB687" s="968"/>
      <c r="AC687" s="215"/>
      <c r="AD687" s="215"/>
      <c r="AE687" s="215"/>
      <c r="AF687" s="215"/>
      <c r="AG687" s="968"/>
      <c r="AH687" s="215"/>
      <c r="AI687" s="215"/>
      <c r="AJ687" s="215"/>
      <c r="AK687" s="215"/>
      <c r="AL687" s="968"/>
      <c r="AM687" s="215"/>
      <c r="AN687" s="215"/>
      <c r="AO687" s="215"/>
      <c r="AP687" s="215"/>
      <c r="AQ687" s="968"/>
      <c r="AR687" s="215"/>
      <c r="AS687" s="215"/>
      <c r="AT687" s="215"/>
      <c r="AU687" s="215"/>
      <c r="AV687" s="968"/>
      <c r="AW687" s="215"/>
      <c r="AX687" s="215"/>
      <c r="AY687" s="215"/>
      <c r="AZ687" s="215"/>
      <c r="BA687" s="968"/>
      <c r="BB687" s="215"/>
      <c r="BC687" s="215"/>
      <c r="BD687" s="215"/>
      <c r="BE687" s="215"/>
      <c r="BF687" s="968"/>
      <c r="BG687" s="215"/>
      <c r="BH687" s="215"/>
      <c r="BI687" s="215"/>
      <c r="BJ687" s="215"/>
      <c r="BK687" s="968"/>
      <c r="BL687" s="215"/>
      <c r="BM687" s="215"/>
      <c r="BN687" s="215"/>
      <c r="BO687" s="215"/>
      <c r="BP687" s="968"/>
      <c r="BQ687" s="215"/>
      <c r="BR687" s="215"/>
      <c r="BS687" s="215"/>
      <c r="BT687" s="215"/>
      <c r="BU687" s="968"/>
      <c r="BV687" s="215"/>
      <c r="BW687" s="215"/>
      <c r="BX687" s="215"/>
      <c r="BY687" s="215"/>
      <c r="BZ687" s="968"/>
      <c r="CA687" s="215"/>
      <c r="CB687" s="215"/>
      <c r="CC687" s="215"/>
      <c r="CD687" s="1788"/>
      <c r="CE687" s="968"/>
      <c r="CF687" s="215"/>
      <c r="CG687" s="215"/>
      <c r="CH687" s="215"/>
      <c r="CI687" s="1788"/>
      <c r="CJ687" s="968"/>
      <c r="CK687" s="215"/>
      <c r="CL687" s="215"/>
      <c r="CM687" s="215"/>
      <c r="CN687" s="1788"/>
      <c r="CO687" s="968"/>
      <c r="CP687" s="215"/>
      <c r="CQ687" s="215"/>
      <c r="CR687" s="215"/>
      <c r="CS687" s="215"/>
      <c r="CT687" s="968"/>
      <c r="CU687" s="215"/>
      <c r="CV687" s="215"/>
      <c r="CW687" s="215"/>
      <c r="CX687" s="215"/>
      <c r="CY687" s="968"/>
      <c r="CZ687" s="968"/>
      <c r="DA687" s="968"/>
      <c r="DB687"/>
      <c r="DC687"/>
      <c r="DD687" s="2285"/>
      <c r="DE687" s="2290"/>
      <c r="DF687" s="2290"/>
      <c r="DG687" s="2290"/>
      <c r="DH687" s="2290"/>
      <c r="DI687" s="2290"/>
      <c r="DJ687" s="2290"/>
      <c r="DK687" s="2290"/>
      <c r="DL687" s="2290"/>
      <c r="DM687" s="2290"/>
      <c r="DN687" s="2290"/>
      <c r="DO687" s="2290"/>
      <c r="DP687" s="2290"/>
      <c r="DQ687" s="2290"/>
      <c r="DR687" s="2290"/>
      <c r="DS687" s="2290"/>
      <c r="DT687" s="2290"/>
      <c r="DU687" s="2290"/>
      <c r="DV687" s="2290"/>
      <c r="DW687" s="2290"/>
      <c r="DX687" s="2290"/>
      <c r="DY687" s="2290"/>
      <c r="EA687"/>
      <c r="EB687"/>
      <c r="EC687"/>
      <c r="ED687"/>
      <c r="EE687"/>
      <c r="EF687"/>
      <c r="EJ687"/>
      <c r="EK687"/>
      <c r="EL687"/>
      <c r="ER687" s="212"/>
    </row>
    <row r="688" spans="1:148" s="923" customFormat="1" ht="12.75" customHeight="1" x14ac:dyDescent="0.2">
      <c r="A688" s="504"/>
      <c r="B688" s="215"/>
      <c r="C688" s="215"/>
      <c r="D688" s="215"/>
      <c r="E688" s="215"/>
      <c r="F688" s="215"/>
      <c r="G688" s="215"/>
      <c r="H688" s="215"/>
      <c r="I688" s="215"/>
      <c r="J688" s="215"/>
      <c r="K688" s="215"/>
      <c r="L688" s="215"/>
      <c r="M688" s="968"/>
      <c r="N688" s="215"/>
      <c r="O688" s="215"/>
      <c r="P688" s="215"/>
      <c r="Q688" s="215"/>
      <c r="R688" s="968"/>
      <c r="S688" s="215"/>
      <c r="T688" s="215"/>
      <c r="U688" s="215"/>
      <c r="V688" s="215"/>
      <c r="W688" s="968"/>
      <c r="X688" s="215"/>
      <c r="Y688" s="215"/>
      <c r="Z688" s="215"/>
      <c r="AA688" s="215"/>
      <c r="AB688" s="968"/>
      <c r="AC688" s="215"/>
      <c r="AD688" s="215"/>
      <c r="AE688" s="215"/>
      <c r="AF688" s="215"/>
      <c r="AG688" s="968"/>
      <c r="AH688" s="215"/>
      <c r="AI688" s="215"/>
      <c r="AJ688" s="215"/>
      <c r="AK688" s="215"/>
      <c r="AL688" s="968"/>
      <c r="AM688" s="215"/>
      <c r="AN688" s="215"/>
      <c r="AO688" s="215"/>
      <c r="AP688" s="215"/>
      <c r="AQ688" s="968"/>
      <c r="AR688" s="215"/>
      <c r="AS688" s="215"/>
      <c r="AT688" s="215"/>
      <c r="AU688" s="215"/>
      <c r="AV688" s="968"/>
      <c r="AW688" s="215"/>
      <c r="AX688" s="215"/>
      <c r="AY688" s="215"/>
      <c r="AZ688" s="215"/>
      <c r="BA688" s="968"/>
      <c r="BB688" s="215"/>
      <c r="BC688" s="215"/>
      <c r="BD688" s="215"/>
      <c r="BE688" s="215"/>
      <c r="BF688" s="968"/>
      <c r="BG688" s="215"/>
      <c r="BH688" s="215"/>
      <c r="BI688" s="215"/>
      <c r="BJ688" s="215"/>
      <c r="BK688" s="968"/>
      <c r="BL688" s="215"/>
      <c r="BM688" s="215"/>
      <c r="BN688" s="215"/>
      <c r="BO688" s="215"/>
      <c r="BP688" s="968"/>
      <c r="BQ688" s="215"/>
      <c r="BR688" s="215"/>
      <c r="BS688" s="215"/>
      <c r="BT688" s="215"/>
      <c r="BU688" s="968"/>
      <c r="BV688" s="215"/>
      <c r="BW688" s="215"/>
      <c r="BX688" s="215"/>
      <c r="BY688" s="215"/>
      <c r="BZ688" s="968"/>
      <c r="CA688" s="215"/>
      <c r="CB688" s="215"/>
      <c r="CC688" s="215"/>
      <c r="CD688" s="1788"/>
      <c r="CE688" s="968"/>
      <c r="CF688" s="215"/>
      <c r="CG688" s="215"/>
      <c r="CH688" s="215"/>
      <c r="CI688" s="1788"/>
      <c r="CJ688" s="968"/>
      <c r="CK688" s="215"/>
      <c r="CL688" s="215"/>
      <c r="CM688" s="215"/>
      <c r="CN688" s="1788"/>
      <c r="CO688" s="968"/>
      <c r="CP688" s="215"/>
      <c r="CQ688" s="215"/>
      <c r="CR688" s="215"/>
      <c r="CS688" s="215"/>
      <c r="CT688" s="968"/>
      <c r="CU688" s="215"/>
      <c r="CV688" s="215"/>
      <c r="CW688" s="215"/>
      <c r="CX688" s="215"/>
      <c r="CY688" s="968"/>
      <c r="CZ688" s="968"/>
      <c r="DA688" s="968"/>
      <c r="DB688"/>
      <c r="DC688"/>
      <c r="DD688" s="2285"/>
      <c r="DE688" s="2290"/>
      <c r="DF688" s="2290"/>
      <c r="DG688" s="2290"/>
      <c r="DH688" s="2290"/>
      <c r="DI688" s="2290"/>
      <c r="DJ688" s="2290"/>
      <c r="DK688" s="2290"/>
      <c r="DL688" s="2290"/>
      <c r="DM688" s="2290"/>
      <c r="DN688" s="2290"/>
      <c r="DO688" s="2290"/>
      <c r="DP688" s="2290"/>
      <c r="DQ688" s="2290"/>
      <c r="DR688" s="2290"/>
      <c r="DS688" s="2290"/>
      <c r="DT688" s="2290"/>
      <c r="DU688" s="2290"/>
      <c r="DV688" s="2290"/>
      <c r="DW688" s="2290"/>
      <c r="DX688" s="2290"/>
      <c r="DY688" s="2290"/>
      <c r="EA688"/>
      <c r="EB688"/>
      <c r="EC688"/>
      <c r="ED688"/>
      <c r="EE688"/>
      <c r="EF688"/>
      <c r="EJ688"/>
      <c r="EK688"/>
      <c r="EL688"/>
      <c r="ER688" s="212"/>
    </row>
    <row r="689" spans="1:148" s="923" customFormat="1" x14ac:dyDescent="0.2">
      <c r="A689" s="1437" t="s">
        <v>884</v>
      </c>
      <c r="B689" s="847"/>
      <c r="C689" s="847"/>
      <c r="D689" s="847"/>
      <c r="E689" s="847"/>
      <c r="F689" s="847"/>
      <c r="G689" s="847"/>
      <c r="H689" s="847"/>
      <c r="I689" s="847"/>
      <c r="J689" s="847"/>
      <c r="K689" s="847"/>
      <c r="L689" s="847"/>
      <c r="M689" s="661"/>
      <c r="N689" s="847"/>
      <c r="O689" s="847"/>
      <c r="P689" s="847"/>
      <c r="Q689" s="847"/>
      <c r="R689" s="661"/>
      <c r="S689" s="847"/>
      <c r="T689" s="847"/>
      <c r="U689" s="847"/>
      <c r="V689" s="847"/>
      <c r="W689" s="661"/>
      <c r="X689" s="847"/>
      <c r="Y689" s="847"/>
      <c r="Z689" s="847"/>
      <c r="AA689" s="847"/>
      <c r="AB689" s="661"/>
      <c r="AC689" s="847"/>
      <c r="AD689" s="847"/>
      <c r="AE689" s="847"/>
      <c r="AF689" s="847"/>
      <c r="AG689" s="661"/>
      <c r="AH689" s="847"/>
      <c r="AI689" s="847"/>
      <c r="AJ689" s="847"/>
      <c r="AK689" s="847"/>
      <c r="AL689" s="661"/>
      <c r="AM689" s="847"/>
      <c r="AN689" s="847"/>
      <c r="AO689" s="847"/>
      <c r="AP689" s="847"/>
      <c r="AQ689" s="661"/>
      <c r="AR689" s="847"/>
      <c r="AS689" s="847"/>
      <c r="AT689" s="847"/>
      <c r="AU689" s="847"/>
      <c r="AV689" s="661"/>
      <c r="AW689" s="847"/>
      <c r="AX689" s="847"/>
      <c r="AY689" s="847"/>
      <c r="AZ689" s="847"/>
      <c r="BA689" s="661"/>
      <c r="BB689" s="847"/>
      <c r="BC689" s="847"/>
      <c r="BD689" s="847"/>
      <c r="BE689" s="847"/>
      <c r="BF689" s="661"/>
      <c r="BG689" s="847"/>
      <c r="BH689" s="847"/>
      <c r="BI689" s="847"/>
      <c r="BJ689" s="847"/>
      <c r="BK689" s="661"/>
      <c r="BL689" s="847"/>
      <c r="BM689" s="847"/>
      <c r="BN689" s="847"/>
      <c r="BO689" s="847"/>
      <c r="BP689" s="661"/>
      <c r="BQ689" s="847"/>
      <c r="BR689" s="847"/>
      <c r="BS689" s="847"/>
      <c r="BT689" s="847"/>
      <c r="BU689" s="661"/>
      <c r="BV689" s="847"/>
      <c r="BW689" s="847"/>
      <c r="BX689" s="847"/>
      <c r="BY689" s="847"/>
      <c r="BZ689" s="661"/>
      <c r="CA689" s="847"/>
      <c r="CB689" s="847"/>
      <c r="CC689" s="847"/>
      <c r="CD689" s="1431"/>
      <c r="CE689" s="661"/>
      <c r="CF689" s="847"/>
      <c r="CG689" s="847"/>
      <c r="CH689" s="847"/>
      <c r="CI689" s="1431"/>
      <c r="CJ689" s="661"/>
      <c r="CK689" s="847"/>
      <c r="CL689" s="847"/>
      <c r="CM689" s="847"/>
      <c r="CN689" s="1431"/>
      <c r="CO689" s="661"/>
      <c r="CP689" s="847"/>
      <c r="CQ689" s="847"/>
      <c r="CR689" s="847"/>
      <c r="CS689" s="847"/>
      <c r="CT689" s="661"/>
      <c r="CU689" s="847"/>
      <c r="CV689" s="847"/>
      <c r="CW689" s="847"/>
      <c r="CX689" s="847"/>
      <c r="CY689" s="661"/>
      <c r="CZ689" s="661"/>
      <c r="DA689" s="661"/>
      <c r="DB689"/>
      <c r="DC689"/>
      <c r="DD689" s="1437" t="s">
        <v>884</v>
      </c>
      <c r="DE689" s="2293"/>
      <c r="DF689" s="2293"/>
      <c r="DG689" s="2293"/>
      <c r="DH689" s="2293"/>
      <c r="DI689" s="2293"/>
      <c r="DJ689" s="2293"/>
      <c r="DK689" s="2293"/>
      <c r="DL689" s="2293"/>
      <c r="DM689" s="2293"/>
      <c r="DN689" s="2293"/>
      <c r="DO689" s="2293"/>
      <c r="DP689" s="2293"/>
      <c r="DQ689" s="2293"/>
      <c r="DR689" s="2293"/>
      <c r="DS689" s="2293"/>
      <c r="DT689" s="2293"/>
      <c r="DU689" s="2293"/>
      <c r="DV689" s="2293"/>
      <c r="DW689" s="2293"/>
      <c r="DX689" s="2293"/>
      <c r="DY689" s="2293"/>
      <c r="EA689"/>
      <c r="EB689"/>
      <c r="EC689"/>
      <c r="ED689"/>
      <c r="EE689"/>
      <c r="EF689"/>
      <c r="EJ689"/>
      <c r="EK689"/>
      <c r="EL689"/>
      <c r="ER689" s="212"/>
    </row>
    <row r="690" spans="1:148" s="923" customFormat="1" ht="12.75" customHeight="1" x14ac:dyDescent="0.2">
      <c r="A690" s="1436" t="s">
        <v>885</v>
      </c>
      <c r="B690" s="853"/>
      <c r="C690" s="853"/>
      <c r="D690" s="853"/>
      <c r="E690" s="853"/>
      <c r="F690" s="853"/>
      <c r="G690" s="853"/>
      <c r="H690" s="853"/>
      <c r="I690" s="853"/>
      <c r="J690" s="853"/>
      <c r="K690" s="853"/>
      <c r="L690" s="853"/>
      <c r="M690" s="993"/>
      <c r="N690" s="853">
        <f t="shared" ref="N690:AF690" si="1257">N746/(N14/N4)</f>
        <v>30.047761194029853</v>
      </c>
      <c r="O690" s="853">
        <f t="shared" si="1257"/>
        <v>32.538226299694188</v>
      </c>
      <c r="P690" s="853">
        <f t="shared" si="1257"/>
        <v>29.52076677316294</v>
      </c>
      <c r="Q690" s="853">
        <f t="shared" si="1257"/>
        <v>30.333333333333336</v>
      </c>
      <c r="R690" s="993">
        <f t="shared" si="1257"/>
        <v>28.630792996910404</v>
      </c>
      <c r="S690" s="853">
        <f t="shared" si="1257"/>
        <v>30.268156424581004</v>
      </c>
      <c r="T690" s="853">
        <f t="shared" si="1257"/>
        <v>27.90030518819939</v>
      </c>
      <c r="U690" s="853">
        <f t="shared" si="1257"/>
        <v>28.105774419859685</v>
      </c>
      <c r="V690" s="853">
        <f t="shared" si="1257"/>
        <v>23.863758132414848</v>
      </c>
      <c r="W690" s="993">
        <f t="shared" si="1257"/>
        <v>23.644368766723428</v>
      </c>
      <c r="X690" s="853">
        <f t="shared" si="1257"/>
        <v>26.38158567774936</v>
      </c>
      <c r="Y690" s="853">
        <f t="shared" si="1257"/>
        <v>27.741935483870968</v>
      </c>
      <c r="Z690" s="853">
        <f t="shared" si="1257"/>
        <v>31.875</v>
      </c>
      <c r="AA690" s="853">
        <f t="shared" si="1257"/>
        <v>28.080344332855095</v>
      </c>
      <c r="AB690" s="993">
        <f t="shared" si="1257"/>
        <v>29.205234159779614</v>
      </c>
      <c r="AC690" s="853">
        <f t="shared" si="1257"/>
        <v>28.833037300177619</v>
      </c>
      <c r="AD690" s="853">
        <f t="shared" si="1257"/>
        <v>38.791793976429503</v>
      </c>
      <c r="AE690" s="853">
        <f t="shared" si="1257"/>
        <v>32.698240866035185</v>
      </c>
      <c r="AF690" s="853">
        <f t="shared" si="1257"/>
        <v>29.577203445990719</v>
      </c>
      <c r="AG690" s="993">
        <f>(AF746)/(AG14/AG4)</f>
        <v>29.669462057680509</v>
      </c>
      <c r="AH690" s="853">
        <f>AH746/(AH14/AH4)</f>
        <v>33.724649629018963</v>
      </c>
      <c r="AI690" s="853">
        <f>AI746/(AI14/AI4)</f>
        <v>32.544674209910262</v>
      </c>
      <c r="AJ690" s="853">
        <f>AJ746/(AJ14/AJ4)</f>
        <v>29.348623853211009</v>
      </c>
      <c r="AK690" s="853">
        <f>AK746/(AK14/AK4)</f>
        <v>31.813847900113505</v>
      </c>
      <c r="AL690" s="993">
        <f>(AK746)/(AL14/AL4)</f>
        <v>32.740048521879771</v>
      </c>
      <c r="AM690" s="853">
        <f>AM746/(AM14/AM4)</f>
        <v>33.466767371601208</v>
      </c>
      <c r="AN690" s="853">
        <f>AN746/(AN14/AN4)</f>
        <v>30.896213183730719</v>
      </c>
      <c r="AO690" s="853">
        <f>AO746/(AO14/AO4)</f>
        <v>35.007786429365964</v>
      </c>
      <c r="AP690" s="853">
        <f>AP746/(AP14/AP4)</f>
        <v>33.233543970510802</v>
      </c>
      <c r="AQ690" s="993">
        <f>(AP746)/(AQ14/AQ4)</f>
        <v>33.989578991246354</v>
      </c>
      <c r="AR690" s="853">
        <f>AR746/(AR14/AR4)</f>
        <v>35.483779971791257</v>
      </c>
      <c r="AS690" s="853">
        <f>AS746/(AS14/AS4)</f>
        <v>33.739910313901348</v>
      </c>
      <c r="AT690" s="853">
        <f>AT746/(AT14/AT4)</f>
        <v>35.363914373088683</v>
      </c>
      <c r="AU690" s="853">
        <f>AU746/(AU14/AU4)</f>
        <v>31.725116165321595</v>
      </c>
      <c r="AV690" s="993">
        <f>(AU746)/(AV14/AV4)</f>
        <v>32.257120862201695</v>
      </c>
      <c r="AW690" s="853">
        <f>AW746/(AW14/AW4)</f>
        <v>31.866983372921613</v>
      </c>
      <c r="AX690" s="853">
        <f>AX746/(AX14/AX4)</f>
        <v>29.53846153846154</v>
      </c>
      <c r="AY690" s="853">
        <f>AY746/(AY14/AY4)</f>
        <v>30.929463381707727</v>
      </c>
      <c r="AZ690" s="853">
        <f>AZ746/(AZ14/AZ4)</f>
        <v>27.765856236786469</v>
      </c>
      <c r="BA690" s="993">
        <f t="shared" ref="BA690:BF690" si="1258">(AZ746)/(BA14/BA4)</f>
        <v>25.728860936408104</v>
      </c>
      <c r="BB690" s="853">
        <f t="shared" si="1258"/>
        <v>30.233266533066132</v>
      </c>
      <c r="BC690" s="853">
        <f t="shared" si="1258"/>
        <v>27.278688524590162</v>
      </c>
      <c r="BD690" s="853">
        <f t="shared" si="1258"/>
        <v>29.3371104815864</v>
      </c>
      <c r="BE690" s="853">
        <f t="shared" si="1258"/>
        <v>30.105387803433985</v>
      </c>
      <c r="BF690" s="993">
        <f t="shared" si="1258"/>
        <v>27.96919127086008</v>
      </c>
      <c r="BG690" s="853">
        <f>(BE746)/(BG14/BG4)</f>
        <v>30.017910447761192</v>
      </c>
      <c r="BH690" s="853">
        <f>(BG746)/(BH14/BH4)</f>
        <v>32.003221908981068</v>
      </c>
      <c r="BI690" s="853">
        <f>(BH746)/(BI14/BI4)</f>
        <v>33.826453243470937</v>
      </c>
      <c r="BJ690" s="853">
        <f>(BI746)/(BJ14/BJ4)</f>
        <v>31.8679706601467</v>
      </c>
      <c r="BK690" s="993">
        <f>(BJ746)/(BK14/BK4)</f>
        <v>32.598052320030554</v>
      </c>
      <c r="BL690" s="853">
        <f>(BJ746)/(BL14/BL4)</f>
        <v>31.491606714628297</v>
      </c>
      <c r="BM690" s="853">
        <f t="shared" ref="BM690:BY690" si="1259">(BL746)/(BM14/BM4)</f>
        <v>29.532960893854749</v>
      </c>
      <c r="BN690" s="853">
        <f t="shared" si="1259"/>
        <v>32.664862775415543</v>
      </c>
      <c r="BO690" s="853">
        <f t="shared" si="1259"/>
        <v>32.735472679965305</v>
      </c>
      <c r="BP690" s="993">
        <f t="shared" si="1259"/>
        <v>28.353957090714857</v>
      </c>
      <c r="BQ690" s="853">
        <f t="shared" si="1259"/>
        <v>28.800940438871475</v>
      </c>
      <c r="BR690" s="853">
        <f t="shared" si="1259"/>
        <v>26.113832853025933</v>
      </c>
      <c r="BS690" s="853">
        <f t="shared" si="1259"/>
        <v>28.90289483327226</v>
      </c>
      <c r="BT690" s="853">
        <f t="shared" si="1259"/>
        <v>25.071067340963538</v>
      </c>
      <c r="BU690" s="993">
        <f t="shared" si="1259"/>
        <v>31.760622989673269</v>
      </c>
      <c r="BV690" s="853">
        <f t="shared" si="1259"/>
        <v>30.42775302355188</v>
      </c>
      <c r="BW690" s="853">
        <f t="shared" si="1259"/>
        <v>30.119521912350599</v>
      </c>
      <c r="BX690" s="853">
        <f t="shared" si="1259"/>
        <v>29.288607594936707</v>
      </c>
      <c r="BY690" s="853">
        <f t="shared" si="1259"/>
        <v>27.780055917986953</v>
      </c>
      <c r="BZ690" s="993">
        <f>(BU746)/(BZ14/BZ4)</f>
        <v>29.591989987484354</v>
      </c>
      <c r="CA690" s="853">
        <f>(BZ746)/(CA14/CA4)</f>
        <v>29.544488308533253</v>
      </c>
      <c r="CB690" s="853">
        <f>(CA746)/(CB14/CB4)</f>
        <v>27.03358208955224</v>
      </c>
      <c r="CC690" s="853">
        <f>(CB746)/(CC14/CC4)</f>
        <v>28.105202312138729</v>
      </c>
      <c r="CD690" s="1807">
        <f>(CC746)/(CD14/CD4)</f>
        <v>26.625456588929477</v>
      </c>
      <c r="CE690" s="993">
        <f>(BZ746)/(CE14/CE4)</f>
        <v>28.599956509133079</v>
      </c>
      <c r="CF690" s="853">
        <f>(CE746)/(CF14/CF4)</f>
        <v>28.181041844577287</v>
      </c>
      <c r="CG690" s="853">
        <f>(CF746)/(CG14/CG4)</f>
        <v>28.910815939278937</v>
      </c>
      <c r="CH690" s="853">
        <f>(CG746)/(CH14/CH4)</f>
        <v>30.546674119619901</v>
      </c>
      <c r="CI690" s="1807">
        <f>(CH746)/(CI14/CI4)</f>
        <v>28.399352401511063</v>
      </c>
      <c r="CJ690" s="993">
        <f>(CE746)/(CJ14/CJ4)</f>
        <v>27.716415849786003</v>
      </c>
      <c r="CK690" s="853">
        <f>(CJ746)/(CK14/CK4)</f>
        <v>26.610021208907739</v>
      </c>
      <c r="CL690" s="853">
        <f>(CK746)/(CL14/CL4)</f>
        <v>26.656330087134805</v>
      </c>
      <c r="CM690" s="853">
        <f>(CL746)/(CM14/CM4)</f>
        <v>28.08267090620032</v>
      </c>
      <c r="CN690" s="1807">
        <f>(CM746)/(CN14/CN4)</f>
        <v>28.75</v>
      </c>
      <c r="CO690" s="993">
        <f>(CJ746)/(CO14/CO4)</f>
        <v>23.88180312352106</v>
      </c>
      <c r="CP690" s="853">
        <f>(CO746)/(CP14/CP4)</f>
        <v>27.432116525804709</v>
      </c>
      <c r="CQ690" s="853">
        <f>(CP746)/(CQ14/CQ4)</f>
        <v>27.511993097497843</v>
      </c>
      <c r="CR690" s="853">
        <f>(CQ746)/(CR14/CR4)</f>
        <v>29.30743422214374</v>
      </c>
      <c r="CS690" s="853">
        <f>(CR746)/(CS14/CS4)</f>
        <v>29.972425531914894</v>
      </c>
      <c r="CT690" s="993">
        <f>(CO746)/(CT14/CT4)</f>
        <v>27.023455927317201</v>
      </c>
      <c r="CU690" s="853">
        <f ca="1">(CT746)/(CU14/CU4)</f>
        <v>28.929477640720599</v>
      </c>
      <c r="CV690" s="853">
        <f ca="1">(CU746)/(CV14/CV4)</f>
        <v>27.714483616454956</v>
      </c>
      <c r="CW690" s="853">
        <f ca="1">(CV746)/(CW14/CW4)</f>
        <v>28.748183822982035</v>
      </c>
      <c r="CX690" s="853">
        <f ca="1">(CW746)/(CX14/CX4)</f>
        <v>27.950067402435483</v>
      </c>
      <c r="CY690" s="993">
        <f ca="1">(CT746)/(CY14/CY4)</f>
        <v>28.324695054878919</v>
      </c>
      <c r="CZ690" s="993">
        <f ca="1">(CY746)/(CZ14/CZ4)</f>
        <v>26.192827105344776</v>
      </c>
      <c r="DA690" s="993">
        <f ca="1">(CZ746)/(DA14/DA4)</f>
        <v>26.395643953224557</v>
      </c>
      <c r="DB690"/>
      <c r="DC690"/>
      <c r="DD690" s="2288" t="s">
        <v>885</v>
      </c>
      <c r="DE690" s="2293">
        <f>M690</f>
        <v>0</v>
      </c>
      <c r="DF690" s="2293">
        <f>R690</f>
        <v>28.630792996910404</v>
      </c>
      <c r="DG690" s="2293">
        <f>W690</f>
        <v>23.644368766723428</v>
      </c>
      <c r="DH690" s="2293">
        <f>AB690</f>
        <v>29.205234159779614</v>
      </c>
      <c r="DI690" s="2293">
        <f>AG690</f>
        <v>29.669462057680509</v>
      </c>
      <c r="DJ690" s="2293">
        <f>AL690</f>
        <v>32.740048521879771</v>
      </c>
      <c r="DK690" s="2293">
        <f>AQ690</f>
        <v>33.989578991246354</v>
      </c>
      <c r="DL690" s="2293">
        <f>AV690</f>
        <v>32.257120862201695</v>
      </c>
      <c r="DM690" s="2293">
        <f>BA690</f>
        <v>25.728860936408104</v>
      </c>
      <c r="DN690" s="2293">
        <f>BF690</f>
        <v>27.96919127086008</v>
      </c>
      <c r="DO690" s="2293">
        <f>BK690</f>
        <v>32.598052320030554</v>
      </c>
      <c r="DP690" s="2293">
        <f>BP690</f>
        <v>28.353957090714857</v>
      </c>
      <c r="DQ690" s="2293">
        <f>BU690</f>
        <v>31.760622989673269</v>
      </c>
      <c r="DR690" s="2293">
        <f>BZ690</f>
        <v>29.591989987484354</v>
      </c>
      <c r="DS690" s="2293">
        <f>CE690</f>
        <v>28.599956509133079</v>
      </c>
      <c r="DT690" s="2293">
        <f>CJ690</f>
        <v>27.716415849786003</v>
      </c>
      <c r="DU690" s="2293">
        <f>CO690</f>
        <v>23.88180312352106</v>
      </c>
      <c r="DV690" s="2293">
        <f>CT690</f>
        <v>27.023455927317201</v>
      </c>
      <c r="DW690" s="2293">
        <f t="shared" ref="DW690:DY691" ca="1" si="1260">CY690</f>
        <v>28.324695054878919</v>
      </c>
      <c r="DX690" s="2293">
        <f t="shared" ca="1" si="1260"/>
        <v>26.192827105344776</v>
      </c>
      <c r="DY690" s="2293">
        <f t="shared" ca="1" si="1260"/>
        <v>26.395643953224557</v>
      </c>
      <c r="EA690"/>
      <c r="EB690"/>
      <c r="EC690"/>
      <c r="ED690"/>
      <c r="EE690"/>
      <c r="EF690"/>
      <c r="EJ690"/>
      <c r="EK690"/>
      <c r="EL690"/>
      <c r="ER690" s="212"/>
    </row>
    <row r="691" spans="1:148" s="923" customFormat="1" ht="12.75" customHeight="1" x14ac:dyDescent="0.2">
      <c r="A691" s="1619" t="s">
        <v>886</v>
      </c>
      <c r="B691" s="1689"/>
      <c r="C691" s="1689"/>
      <c r="D691" s="1689"/>
      <c r="E691" s="1689"/>
      <c r="F691" s="1689"/>
      <c r="G691" s="1689"/>
      <c r="H691" s="1689"/>
      <c r="I691" s="1689"/>
      <c r="J691" s="1689"/>
      <c r="K691" s="1689"/>
      <c r="L691" s="1689"/>
      <c r="M691" s="994"/>
      <c r="N691" s="1689">
        <f t="shared" ref="N691:BA691" si="1261">N768/(N31/N4)</f>
        <v>31.205283434232253</v>
      </c>
      <c r="O691" s="1689">
        <f t="shared" si="1261"/>
        <v>33.790909090909089</v>
      </c>
      <c r="P691" s="1689">
        <f t="shared" si="1261"/>
        <v>35.728065078442768</v>
      </c>
      <c r="Q691" s="1689">
        <f t="shared" si="1261"/>
        <v>35.924528301886788</v>
      </c>
      <c r="R691" s="994">
        <f t="shared" si="1261"/>
        <v>35.568204121687927</v>
      </c>
      <c r="S691" s="1689">
        <f t="shared" si="1261"/>
        <v>32.99820895522388</v>
      </c>
      <c r="T691" s="1689">
        <f t="shared" si="1261"/>
        <v>32.197693574958819</v>
      </c>
      <c r="U691" s="1689">
        <f t="shared" si="1261"/>
        <v>31.127147766323027</v>
      </c>
      <c r="V691" s="1689">
        <f t="shared" si="1261"/>
        <v>42.54379706698375</v>
      </c>
      <c r="W691" s="994">
        <f t="shared" si="1261"/>
        <v>43.096200901481005</v>
      </c>
      <c r="X691" s="1689">
        <f t="shared" si="1261"/>
        <v>21.388465723612622</v>
      </c>
      <c r="Y691" s="1689">
        <f t="shared" si="1261"/>
        <v>21.376017362995118</v>
      </c>
      <c r="Z691" s="1689">
        <f t="shared" si="1261"/>
        <v>22.539781591263651</v>
      </c>
      <c r="AA691" s="1689">
        <f t="shared" si="1261"/>
        <v>24.898363151884279</v>
      </c>
      <c r="AB691" s="994">
        <f t="shared" si="1261"/>
        <v>25.826266553274209</v>
      </c>
      <c r="AC691" s="1689">
        <f t="shared" si="1261"/>
        <v>24.30842455973346</v>
      </c>
      <c r="AD691" s="1689">
        <f t="shared" si="1261"/>
        <v>22.303313112459168</v>
      </c>
      <c r="AE691" s="1689">
        <f t="shared" si="1261"/>
        <v>23.103018687110687</v>
      </c>
      <c r="AF691" s="1689">
        <f t="shared" si="1261"/>
        <v>22.228412256267411</v>
      </c>
      <c r="AG691" s="994">
        <f t="shared" si="1261"/>
        <v>22.544822340541128</v>
      </c>
      <c r="AH691" s="1689">
        <f t="shared" si="1261"/>
        <v>22.256410256410255</v>
      </c>
      <c r="AI691" s="1689">
        <f t="shared" si="1261"/>
        <v>22.110876005078293</v>
      </c>
      <c r="AJ691" s="1689">
        <f t="shared" si="1261"/>
        <v>20.939926440539438</v>
      </c>
      <c r="AK691" s="1689">
        <f t="shared" si="1261"/>
        <v>20.217470983506413</v>
      </c>
      <c r="AL691" s="994">
        <f t="shared" si="1261"/>
        <v>20.871640632579801</v>
      </c>
      <c r="AM691" s="1689">
        <f t="shared" si="1261"/>
        <v>23.344913151364764</v>
      </c>
      <c r="AN691" s="1689">
        <f t="shared" si="1261"/>
        <v>20.639062500000001</v>
      </c>
      <c r="AO691" s="1689">
        <f t="shared" si="1261"/>
        <v>20.778947368421054</v>
      </c>
      <c r="AP691" s="1689">
        <f t="shared" si="1261"/>
        <v>21.489595375722544</v>
      </c>
      <c r="AQ691" s="994">
        <f t="shared" si="1261"/>
        <v>22.017785111844518</v>
      </c>
      <c r="AR691" s="1689">
        <f t="shared" si="1261"/>
        <v>43.8907272027703</v>
      </c>
      <c r="AS691" s="1689">
        <f t="shared" si="1261"/>
        <v>43.953488372093027</v>
      </c>
      <c r="AT691" s="1689">
        <f t="shared" si="1261"/>
        <v>37.927552140504943</v>
      </c>
      <c r="AU691" s="1689">
        <f t="shared" si="1261"/>
        <v>24.207711105077383</v>
      </c>
      <c r="AV691" s="994">
        <f t="shared" si="1261"/>
        <v>24.473952579247047</v>
      </c>
      <c r="AW691" s="1689">
        <f t="shared" si="1261"/>
        <v>19.412790697674421</v>
      </c>
      <c r="AX691" s="1689">
        <f t="shared" si="1261"/>
        <v>17.987465181058496</v>
      </c>
      <c r="AY691" s="1689">
        <f t="shared" si="1261"/>
        <v>19.995652173913044</v>
      </c>
      <c r="AZ691" s="1689">
        <f t="shared" si="1261"/>
        <v>22.201617250673852</v>
      </c>
      <c r="BA691" s="994">
        <f t="shared" si="1261"/>
        <v>21.479742020836778</v>
      </c>
      <c r="BB691" s="1689">
        <f>(BA768)/(BB31/BB4)</f>
        <v>24.50725238292582</v>
      </c>
      <c r="BC691" s="1689">
        <f>(BB768)/(BC31/BC4)</f>
        <v>39.816409423233139</v>
      </c>
      <c r="BD691" s="1689">
        <f>(BC768)/(BD31/BD4)</f>
        <v>31.307865168539323</v>
      </c>
      <c r="BE691" s="1689">
        <f>(BD768)/(BE31/BE4)</f>
        <v>41.315555555555555</v>
      </c>
      <c r="BF691" s="994">
        <f>BF768/(BF31/BF4)</f>
        <v>35.321723518850987</v>
      </c>
      <c r="BG691" s="1689">
        <f>(BE768)/(BG31/BG4)</f>
        <v>41.349726775956285</v>
      </c>
      <c r="BH691" s="1689">
        <f>(BG768)/(BH31/BH4)</f>
        <v>38.188481675392673</v>
      </c>
      <c r="BI691" s="1689">
        <f>(BH768)/(BI31/BI4)</f>
        <v>40.165775401069517</v>
      </c>
      <c r="BJ691" s="1689">
        <f>(BI768)/(BJ31/BJ4)</f>
        <v>44.836661211129297</v>
      </c>
      <c r="BK691" s="994">
        <f>BK768/(BK31/BK4)</f>
        <v>49.316848881168895</v>
      </c>
      <c r="BL691" s="1689">
        <f>(BJ768)/(BL31/BL4)</f>
        <v>47.518771331058019</v>
      </c>
      <c r="BM691" s="1689">
        <f>(BL768)/(BM31/BM4)</f>
        <v>40.439418416801296</v>
      </c>
      <c r="BN691" s="1689">
        <f>(BM768)/(BN31/BN4)</f>
        <v>44.704611549646863</v>
      </c>
      <c r="BO691" s="1689">
        <f>(BN768)/(BO31/BO4)</f>
        <v>47.360399750156148</v>
      </c>
      <c r="BP691" s="994">
        <f>BP768/(BP31/BP4)</f>
        <v>41.81340492856458</v>
      </c>
      <c r="BQ691" s="1689">
        <f>(BP768)/(BQ31/BQ4)</f>
        <v>42.335717290702569</v>
      </c>
      <c r="BR691" s="1689">
        <f>(BQ768)/(BR31/BR4)</f>
        <v>39.164626924595339</v>
      </c>
      <c r="BS691" s="1689">
        <f>(BR768)/(BS31/BS4)</f>
        <v>40.898251192368839</v>
      </c>
      <c r="BT691" s="1689">
        <f>(BS768)/(BT31/BT4)</f>
        <v>40.993039443155453</v>
      </c>
      <c r="BU691" s="994">
        <f>BU768/(BU31/BU4)</f>
        <v>44.106124701121942</v>
      </c>
      <c r="BV691" s="1689">
        <f>(BU768)/(BV31/BV4)</f>
        <v>41.907407407407405</v>
      </c>
      <c r="BW691" s="1689">
        <f>(BV768)/(BW31/BW4)</f>
        <v>37.05261394101877</v>
      </c>
      <c r="BX691" s="1689">
        <f>(BW768)/(BX31/BX4)</f>
        <v>41.786620926243565</v>
      </c>
      <c r="BY691" s="1689">
        <f>(BX768)/(BY31/BY4)</f>
        <v>37.929553840992959</v>
      </c>
      <c r="BZ691" s="994">
        <f>(BU768)/(BZ31/BZ4)</f>
        <v>40.992878942014244</v>
      </c>
      <c r="CA691" s="1689">
        <f>(BZ768)/(CA31/CA4)</f>
        <v>40.691016781836133</v>
      </c>
      <c r="CB691" s="1689">
        <f>(CA768)/(CB31/CB4)</f>
        <v>38.720959595959599</v>
      </c>
      <c r="CC691" s="1689">
        <f>(CB768)/(CC31/CC4)</f>
        <v>40.384566729917772</v>
      </c>
      <c r="CD691" s="1823">
        <f>(CC768)/(CD31/CD4)</f>
        <v>38.596083231334148</v>
      </c>
      <c r="CE691" s="994">
        <f>(BZ768)/(CE31/CE4)</f>
        <v>39.685843158977605</v>
      </c>
      <c r="CF691" s="1689">
        <f>(CE768)/(CF31/CF4)</f>
        <v>39.723357434768943</v>
      </c>
      <c r="CG691" s="1689">
        <f>(CF768)/(CG31/CG4)</f>
        <v>37.359337349397592</v>
      </c>
      <c r="CH691" s="1689">
        <f>(CG768)/(CH31/CH4)</f>
        <v>35.90243902439024</v>
      </c>
      <c r="CI691" s="1823">
        <f>(CH768)/(CI31/CI4)</f>
        <v>36.734982332155482</v>
      </c>
      <c r="CJ691" s="994">
        <f>(CE768)/(CJ31/CJ4)</f>
        <v>39.011875761266744</v>
      </c>
      <c r="CK691" s="1689">
        <f>(CJ768)/(CK31/CK4)</f>
        <v>38.858737151248164</v>
      </c>
      <c r="CL691" s="1689">
        <f>(CK768)/(CL31/CL4)</f>
        <v>35.643609450612011</v>
      </c>
      <c r="CM691" s="1689">
        <f>(CL768)/(CM31/CM4)</f>
        <v>37.303886925795055</v>
      </c>
      <c r="CN691" s="1823">
        <f>(CM768)/(CN31/CN4)</f>
        <v>33.997950399672064</v>
      </c>
      <c r="CO691" s="994">
        <f>(CJ768)/(CO31/CO4)</f>
        <v>35.026920292239851</v>
      </c>
      <c r="CP691" s="1689">
        <f>(CO768)/(CP31/CP4)</f>
        <v>33.679871305047257</v>
      </c>
      <c r="CQ691" s="1689">
        <f>(CP768)/(CQ31/CQ4)</f>
        <v>29.927240977881258</v>
      </c>
      <c r="CR691" s="1689">
        <f>(CQ768)/(CR31/CR4)</f>
        <v>31.160405485986882</v>
      </c>
      <c r="CS691" s="1689">
        <f>(CR768)/(CS31/CS4)</f>
        <v>32.72436141822341</v>
      </c>
      <c r="CT691" s="994">
        <f>(CO768)/(CT31/CT4)</f>
        <v>33.290776318368948</v>
      </c>
      <c r="CU691" s="1689">
        <f ca="1">(CT768)/(CU31/CU4)</f>
        <v>31.418949785722525</v>
      </c>
      <c r="CV691" s="1689">
        <f ca="1">(CU768)/(CV31/CV4)</f>
        <v>30.39487578806645</v>
      </c>
      <c r="CW691" s="1689">
        <f ca="1">(CV768)/(CW31/CW4)</f>
        <v>31.571255869237923</v>
      </c>
      <c r="CX691" s="1689">
        <f ca="1">(CW768)/(CX31/CX4)</f>
        <v>30.724076196624754</v>
      </c>
      <c r="CY691" s="994">
        <f ca="1">(CT768)/(CY31/CY4)</f>
        <v>31.019276980414691</v>
      </c>
      <c r="CZ691" s="994">
        <f ca="1">(CY768)/(CZ31/CZ4)</f>
        <v>28.883364313402172</v>
      </c>
      <c r="DA691" s="994">
        <f ca="1">(CZ768)/(DA31/DA4)</f>
        <v>29.077409428084419</v>
      </c>
      <c r="DB691"/>
      <c r="DC691"/>
      <c r="DD691" s="2359" t="s">
        <v>886</v>
      </c>
      <c r="DE691" s="2355">
        <f>M691</f>
        <v>0</v>
      </c>
      <c r="DF691" s="2355">
        <f>R691</f>
        <v>35.568204121687927</v>
      </c>
      <c r="DG691" s="2355">
        <f>W691</f>
        <v>43.096200901481005</v>
      </c>
      <c r="DH691" s="2355">
        <f>AB691</f>
        <v>25.826266553274209</v>
      </c>
      <c r="DI691" s="2355">
        <f>AG691</f>
        <v>22.544822340541128</v>
      </c>
      <c r="DJ691" s="2355">
        <f>AL691</f>
        <v>20.871640632579801</v>
      </c>
      <c r="DK691" s="2355">
        <f>AQ691</f>
        <v>22.017785111844518</v>
      </c>
      <c r="DL691" s="2355">
        <f>AV691</f>
        <v>24.473952579247047</v>
      </c>
      <c r="DM691" s="2355">
        <f>BA691</f>
        <v>21.479742020836778</v>
      </c>
      <c r="DN691" s="2355">
        <f>BF691</f>
        <v>35.321723518850987</v>
      </c>
      <c r="DO691" s="2355">
        <f>BK691</f>
        <v>49.316848881168895</v>
      </c>
      <c r="DP691" s="2355">
        <f>BP691</f>
        <v>41.81340492856458</v>
      </c>
      <c r="DQ691" s="2355">
        <f>BU691</f>
        <v>44.106124701121942</v>
      </c>
      <c r="DR691" s="2355">
        <f>BZ691</f>
        <v>40.992878942014244</v>
      </c>
      <c r="DS691" s="2355">
        <f>CE691</f>
        <v>39.685843158977605</v>
      </c>
      <c r="DT691" s="2355">
        <f>CJ691</f>
        <v>39.011875761266744</v>
      </c>
      <c r="DU691" s="2355">
        <f>CO691</f>
        <v>35.026920292239851</v>
      </c>
      <c r="DV691" s="2355">
        <f>CT691</f>
        <v>33.290776318368948</v>
      </c>
      <c r="DW691" s="2355">
        <f t="shared" ca="1" si="1260"/>
        <v>31.019276980414691</v>
      </c>
      <c r="DX691" s="2355">
        <f t="shared" ca="1" si="1260"/>
        <v>28.883364313402172</v>
      </c>
      <c r="DY691" s="2355">
        <f t="shared" ca="1" si="1260"/>
        <v>29.077409428084419</v>
      </c>
      <c r="EA691"/>
      <c r="EB691"/>
      <c r="EC691"/>
      <c r="ED691"/>
      <c r="EE691"/>
      <c r="EF691"/>
      <c r="EJ691"/>
      <c r="EK691"/>
      <c r="EL691"/>
      <c r="ER691" s="212"/>
    </row>
    <row r="692" spans="1:148" s="923" customFormat="1" ht="12.75" customHeight="1" x14ac:dyDescent="0.2">
      <c r="A692" s="895"/>
      <c r="B692" s="847"/>
      <c r="C692" s="847"/>
      <c r="D692" s="847"/>
      <c r="E692" s="847"/>
      <c r="F692" s="847"/>
      <c r="G692" s="847"/>
      <c r="H692" s="847"/>
      <c r="I692" s="847"/>
      <c r="J692" s="847"/>
      <c r="K692" s="847"/>
      <c r="L692" s="847"/>
      <c r="M692" s="847"/>
      <c r="N692" s="847"/>
      <c r="O692" s="847"/>
      <c r="P692" s="847"/>
      <c r="Q692" s="847"/>
      <c r="R692" s="847"/>
      <c r="S692" s="847"/>
      <c r="T692" s="847"/>
      <c r="U692" s="847"/>
      <c r="V692" s="847"/>
      <c r="W692" s="847"/>
      <c r="X692" s="847"/>
      <c r="Y692" s="847"/>
      <c r="Z692" s="847"/>
      <c r="AA692" s="847"/>
      <c r="AB692" s="847"/>
      <c r="AC692" s="847"/>
      <c r="AD692" s="847"/>
      <c r="AE692" s="847"/>
      <c r="AF692" s="847"/>
      <c r="AG692" s="847"/>
      <c r="AH692" s="847"/>
      <c r="AI692" s="847"/>
      <c r="AJ692" s="847"/>
      <c r="AK692" s="847"/>
      <c r="AL692" s="847"/>
      <c r="AM692" s="847"/>
      <c r="AN692" s="847"/>
      <c r="AO692" s="847"/>
      <c r="AP692" s="847"/>
      <c r="AQ692" s="847"/>
      <c r="AR692" s="847"/>
      <c r="AS692" s="847"/>
      <c r="AT692" s="847"/>
      <c r="AU692" s="847"/>
      <c r="AV692" s="847"/>
      <c r="AW692" s="847"/>
      <c r="AX692" s="847"/>
      <c r="AY692" s="847"/>
      <c r="AZ692" s="847"/>
      <c r="BA692" s="847"/>
      <c r="BB692" s="847"/>
      <c r="BC692" s="847"/>
      <c r="BD692" s="847"/>
      <c r="BE692" s="847"/>
      <c r="BF692" s="847"/>
      <c r="BG692" s="847"/>
      <c r="BH692" s="847"/>
      <c r="BI692" s="847"/>
      <c r="BJ692" s="847"/>
      <c r="BK692" s="847"/>
      <c r="BL692" s="847"/>
      <c r="BM692" s="847"/>
      <c r="BN692" s="847"/>
      <c r="BO692" s="847"/>
      <c r="BP692" s="847"/>
      <c r="BQ692" s="847"/>
      <c r="BR692" s="847"/>
      <c r="BS692" s="847"/>
      <c r="BT692" s="847"/>
      <c r="BU692" s="847"/>
      <c r="BV692" s="847"/>
      <c r="BW692" s="847"/>
      <c r="BX692" s="847"/>
      <c r="BY692" s="847"/>
      <c r="BZ692" s="847"/>
      <c r="CA692" s="847"/>
      <c r="CB692" s="847"/>
      <c r="CC692" s="847"/>
      <c r="CD692" s="847"/>
      <c r="CE692" s="847"/>
      <c r="CF692" s="847"/>
      <c r="CG692" s="847"/>
      <c r="CH692" s="847"/>
      <c r="CI692" s="847"/>
      <c r="CJ692" s="847"/>
      <c r="CK692" s="847"/>
      <c r="CL692" s="847"/>
      <c r="CM692" s="847"/>
      <c r="CN692" s="847"/>
      <c r="CO692" s="847"/>
      <c r="CP692" s="847"/>
      <c r="CQ692" s="847"/>
      <c r="CR692" s="847"/>
      <c r="CS692" s="847"/>
      <c r="CT692" s="847"/>
      <c r="CU692" s="847"/>
      <c r="CV692" s="847"/>
      <c r="CW692" s="847"/>
      <c r="CX692" s="847"/>
      <c r="CY692" s="847"/>
      <c r="CZ692" s="847"/>
      <c r="DA692" s="847"/>
      <c r="DB692"/>
      <c r="DC692"/>
      <c r="DD692" s="2360"/>
      <c r="DE692" s="2349"/>
      <c r="DF692" s="2349"/>
      <c r="DG692" s="2349"/>
      <c r="DH692" s="2349"/>
      <c r="DI692" s="2349"/>
      <c r="DJ692" s="2349"/>
      <c r="DK692" s="2349"/>
      <c r="DL692" s="2349"/>
      <c r="DM692" s="2349"/>
      <c r="DN692" s="2349"/>
      <c r="DO692" s="2349"/>
      <c r="DP692" s="2349"/>
      <c r="DQ692" s="2349"/>
      <c r="DR692" s="2349"/>
      <c r="DS692" s="2349"/>
      <c r="DT692" s="2349"/>
      <c r="DU692" s="2349"/>
      <c r="DV692" s="2349"/>
      <c r="DW692" s="2349"/>
      <c r="DX692" s="2349"/>
      <c r="DY692" s="2349"/>
      <c r="EA692"/>
      <c r="EB692"/>
      <c r="EC692"/>
      <c r="ED692"/>
      <c r="EE692"/>
      <c r="EF692"/>
      <c r="EJ692"/>
      <c r="EK692"/>
      <c r="EL692"/>
      <c r="ER692" s="212"/>
    </row>
    <row r="693" spans="1:148" s="923" customFormat="1" ht="12.75" customHeight="1" x14ac:dyDescent="0.2">
      <c r="A693" s="865"/>
      <c r="B693" s="215"/>
      <c r="C693" s="215"/>
      <c r="D693" s="215"/>
      <c r="E693" s="215"/>
      <c r="F693" s="215"/>
      <c r="G693" s="215"/>
      <c r="H693" s="215"/>
      <c r="I693" s="215"/>
      <c r="J693" s="215"/>
      <c r="K693" s="215"/>
      <c r="L693" s="215"/>
      <c r="M693" s="215"/>
      <c r="N693" s="215"/>
      <c r="O693" s="215"/>
      <c r="P693" s="215"/>
      <c r="Q693" s="215"/>
      <c r="R693" s="215"/>
      <c r="S693" s="215"/>
      <c r="T693" s="215"/>
      <c r="U693" s="215"/>
      <c r="V693" s="215"/>
      <c r="W693" s="215"/>
      <c r="X693" s="215"/>
      <c r="Y693" s="215"/>
      <c r="Z693" s="215"/>
      <c r="AA693" s="215"/>
      <c r="AB693" s="215"/>
      <c r="AC693" s="215"/>
      <c r="AD693" s="215"/>
      <c r="AE693" s="215"/>
      <c r="AF693" s="215"/>
      <c r="AG693" s="215"/>
      <c r="AH693" s="215"/>
      <c r="AI693" s="215"/>
      <c r="AJ693" s="215"/>
      <c r="AK693" s="215"/>
      <c r="AL693" s="215"/>
      <c r="AM693" s="215"/>
      <c r="AN693" s="215"/>
      <c r="AO693" s="215"/>
      <c r="AP693" s="215"/>
      <c r="AQ693" s="215"/>
      <c r="AR693" s="215"/>
      <c r="AS693" s="215"/>
      <c r="AT693" s="215"/>
      <c r="AU693" s="215"/>
      <c r="AV693" s="215"/>
      <c r="AW693" s="215"/>
      <c r="AX693" s="215"/>
      <c r="AY693" s="215"/>
      <c r="AZ693" s="215"/>
      <c r="BA693" s="215"/>
      <c r="BB693" s="215"/>
      <c r="BC693" s="215"/>
      <c r="BD693" s="215"/>
      <c r="BE693" s="215"/>
      <c r="BF693" s="215"/>
      <c r="BG693" s="215"/>
      <c r="BH693" s="215"/>
      <c r="BI693" s="215"/>
      <c r="BJ693" s="215"/>
      <c r="BK693" s="215"/>
      <c r="BL693" s="215"/>
      <c r="BM693" s="215"/>
      <c r="BN693" s="215"/>
      <c r="BO693" s="215"/>
      <c r="BP693" s="215"/>
      <c r="BQ693" s="215"/>
      <c r="BR693" s="215"/>
      <c r="BS693" s="215"/>
      <c r="BT693" s="215"/>
      <c r="BU693" s="215"/>
      <c r="BV693" s="215"/>
      <c r="BW693" s="215"/>
      <c r="BX693" s="2277">
        <f>3750174/8368837</f>
        <v>0.44811172687435541</v>
      </c>
      <c r="BY693" s="2277">
        <f>3349012/7388672</f>
        <v>0.45326304916499205</v>
      </c>
      <c r="BZ693" s="215"/>
      <c r="CA693" s="215"/>
      <c r="CB693" s="215"/>
      <c r="CC693" s="215"/>
      <c r="CD693" s="215"/>
      <c r="CE693" s="215"/>
      <c r="CF693" s="215"/>
      <c r="CG693" s="215"/>
      <c r="CH693" s="215"/>
      <c r="CI693" s="215"/>
      <c r="CJ693" s="215"/>
      <c r="CK693" s="215"/>
      <c r="CL693" s="215"/>
      <c r="CM693" s="215"/>
      <c r="CN693" s="215"/>
      <c r="CO693" s="215"/>
      <c r="CP693" s="215"/>
      <c r="CQ693" s="215"/>
      <c r="CR693" s="215"/>
      <c r="CS693" s="215"/>
      <c r="CT693" s="215"/>
      <c r="CU693" s="215"/>
      <c r="CV693" s="215"/>
      <c r="CW693" s="215"/>
      <c r="CX693" s="215"/>
      <c r="CY693" s="215"/>
      <c r="CZ693" s="215"/>
      <c r="DA693" s="215"/>
      <c r="DB693"/>
      <c r="DC693"/>
      <c r="DD693" s="2323"/>
      <c r="DE693" s="2327"/>
      <c r="DF693" s="2327"/>
      <c r="DG693" s="2327"/>
      <c r="DH693" s="2327"/>
      <c r="DI693" s="2327"/>
      <c r="DJ693" s="2327"/>
      <c r="DK693" s="2327"/>
      <c r="DL693" s="2327"/>
      <c r="DM693" s="2327"/>
      <c r="DN693" s="2327"/>
      <c r="DO693" s="2327"/>
      <c r="DP693" s="2327"/>
      <c r="DQ693" s="2327"/>
      <c r="DR693" s="2327"/>
      <c r="DS693" s="2327"/>
      <c r="DT693" s="2327"/>
      <c r="DU693" s="2327"/>
      <c r="DV693" s="2327"/>
      <c r="DW693" s="2327"/>
      <c r="DX693" s="2327"/>
      <c r="DY693" s="2327"/>
      <c r="EA693"/>
      <c r="EB693"/>
      <c r="EC693"/>
      <c r="ED693"/>
      <c r="EE693"/>
      <c r="EF693"/>
      <c r="EJ693"/>
      <c r="EK693"/>
      <c r="EL693"/>
      <c r="ER693" s="212"/>
    </row>
    <row r="694" spans="1:148" s="923" customFormat="1" ht="12.75" customHeight="1" x14ac:dyDescent="0.2">
      <c r="A694" s="873" t="s">
        <v>866</v>
      </c>
      <c r="B694" s="963"/>
      <c r="C694" s="963"/>
      <c r="D694" s="963"/>
      <c r="E694" s="963"/>
      <c r="F694" s="963"/>
      <c r="G694" s="963"/>
      <c r="H694" s="963"/>
      <c r="I694" s="963" t="str">
        <f t="shared" ref="I694:AN694" si="1262">I5</f>
        <v>1Q00</v>
      </c>
      <c r="J694" s="963" t="str">
        <f t="shared" si="1262"/>
        <v>2Q00</v>
      </c>
      <c r="K694" s="963" t="str">
        <f t="shared" si="1262"/>
        <v>3Q00</v>
      </c>
      <c r="L694" s="963" t="str">
        <f t="shared" si="1262"/>
        <v>4Q00</v>
      </c>
      <c r="M694" s="649">
        <f t="shared" si="1262"/>
        <v>2000</v>
      </c>
      <c r="N694" s="963" t="str">
        <f t="shared" si="1262"/>
        <v>1Q01</v>
      </c>
      <c r="O694" s="963" t="str">
        <f t="shared" si="1262"/>
        <v>2Q01</v>
      </c>
      <c r="P694" s="963" t="str">
        <f t="shared" si="1262"/>
        <v>3Q01</v>
      </c>
      <c r="Q694" s="963" t="str">
        <f t="shared" si="1262"/>
        <v>4Q01</v>
      </c>
      <c r="R694" s="649">
        <f t="shared" si="1262"/>
        <v>2001</v>
      </c>
      <c r="S694" s="963" t="str">
        <f t="shared" si="1262"/>
        <v>1Q02</v>
      </c>
      <c r="T694" s="963" t="str">
        <f t="shared" si="1262"/>
        <v>2Q02</v>
      </c>
      <c r="U694" s="963" t="str">
        <f t="shared" si="1262"/>
        <v>3Q02</v>
      </c>
      <c r="V694" s="963" t="str">
        <f t="shared" si="1262"/>
        <v>4Q02</v>
      </c>
      <c r="W694" s="649">
        <f t="shared" si="1262"/>
        <v>2002</v>
      </c>
      <c r="X694" s="963" t="str">
        <f t="shared" si="1262"/>
        <v>1Q03</v>
      </c>
      <c r="Y694" s="963" t="str">
        <f t="shared" si="1262"/>
        <v>2Q03</v>
      </c>
      <c r="Z694" s="963" t="str">
        <f t="shared" si="1262"/>
        <v>3Q03</v>
      </c>
      <c r="AA694" s="963" t="str">
        <f t="shared" si="1262"/>
        <v>4Q03</v>
      </c>
      <c r="AB694" s="649">
        <f t="shared" si="1262"/>
        <v>2003</v>
      </c>
      <c r="AC694" s="963" t="str">
        <f t="shared" si="1262"/>
        <v>1Q04</v>
      </c>
      <c r="AD694" s="963" t="str">
        <f t="shared" si="1262"/>
        <v>2Q04</v>
      </c>
      <c r="AE694" s="963" t="str">
        <f t="shared" si="1262"/>
        <v>3Q04</v>
      </c>
      <c r="AF694" s="963" t="str">
        <f t="shared" si="1262"/>
        <v>4Q04</v>
      </c>
      <c r="AG694" s="649" t="str">
        <f t="shared" si="1262"/>
        <v>2004</v>
      </c>
      <c r="AH694" s="963" t="str">
        <f t="shared" si="1262"/>
        <v>1Q05</v>
      </c>
      <c r="AI694" s="963" t="str">
        <f t="shared" si="1262"/>
        <v>2Q05</v>
      </c>
      <c r="AJ694" s="963" t="str">
        <f t="shared" si="1262"/>
        <v>3Q05</v>
      </c>
      <c r="AK694" s="963" t="str">
        <f t="shared" si="1262"/>
        <v>4Q05</v>
      </c>
      <c r="AL694" s="649" t="str">
        <f t="shared" si="1262"/>
        <v>2005</v>
      </c>
      <c r="AM694" s="963" t="str">
        <f t="shared" si="1262"/>
        <v>1Q06</v>
      </c>
      <c r="AN694" s="963" t="str">
        <f t="shared" si="1262"/>
        <v>2Q06</v>
      </c>
      <c r="AO694" s="963" t="str">
        <f t="shared" ref="AO694:BT694" si="1263">AO5</f>
        <v>3Q06</v>
      </c>
      <c r="AP694" s="963" t="str">
        <f t="shared" si="1263"/>
        <v>4Q06</v>
      </c>
      <c r="AQ694" s="649" t="str">
        <f t="shared" si="1263"/>
        <v>2006</v>
      </c>
      <c r="AR694" s="963" t="str">
        <f t="shared" si="1263"/>
        <v>1Q07</v>
      </c>
      <c r="AS694" s="963" t="str">
        <f t="shared" si="1263"/>
        <v>2Q07</v>
      </c>
      <c r="AT694" s="963" t="str">
        <f t="shared" si="1263"/>
        <v>3Q07</v>
      </c>
      <c r="AU694" s="963" t="str">
        <f t="shared" si="1263"/>
        <v>4Q07</v>
      </c>
      <c r="AV694" s="649" t="str">
        <f t="shared" si="1263"/>
        <v>2007</v>
      </c>
      <c r="AW694" s="963" t="str">
        <f t="shared" si="1263"/>
        <v>1Q08</v>
      </c>
      <c r="AX694" s="963" t="str">
        <f t="shared" si="1263"/>
        <v>2Q08</v>
      </c>
      <c r="AY694" s="963" t="str">
        <f t="shared" si="1263"/>
        <v>3Q08</v>
      </c>
      <c r="AZ694" s="963" t="str">
        <f t="shared" si="1263"/>
        <v>4Q08</v>
      </c>
      <c r="BA694" s="649" t="str">
        <f t="shared" si="1263"/>
        <v>2008</v>
      </c>
      <c r="BB694" s="963" t="str">
        <f t="shared" si="1263"/>
        <v>1Q09</v>
      </c>
      <c r="BC694" s="963" t="str">
        <f t="shared" si="1263"/>
        <v>2Q09</v>
      </c>
      <c r="BD694" s="963" t="str">
        <f t="shared" si="1263"/>
        <v>3Q09</v>
      </c>
      <c r="BE694" s="963" t="str">
        <f t="shared" si="1263"/>
        <v>4Q09</v>
      </c>
      <c r="BF694" s="649" t="str">
        <f t="shared" si="1263"/>
        <v>2009</v>
      </c>
      <c r="BG694" s="963" t="str">
        <f t="shared" si="1263"/>
        <v>1Q10</v>
      </c>
      <c r="BH694" s="963" t="str">
        <f t="shared" si="1263"/>
        <v>2Q10</v>
      </c>
      <c r="BI694" s="963" t="str">
        <f t="shared" si="1263"/>
        <v>3Q10</v>
      </c>
      <c r="BJ694" s="963" t="str">
        <f t="shared" si="1263"/>
        <v>4Q10</v>
      </c>
      <c r="BK694" s="649" t="str">
        <f t="shared" si="1263"/>
        <v>2010</v>
      </c>
      <c r="BL694" s="963" t="str">
        <f t="shared" si="1263"/>
        <v>1Q11</v>
      </c>
      <c r="BM694" s="963" t="str">
        <f t="shared" si="1263"/>
        <v>2Q11</v>
      </c>
      <c r="BN694" s="963" t="str">
        <f t="shared" si="1263"/>
        <v>3Q11</v>
      </c>
      <c r="BO694" s="963" t="str">
        <f t="shared" si="1263"/>
        <v>4Q11</v>
      </c>
      <c r="BP694" s="649">
        <f t="shared" si="1263"/>
        <v>2011</v>
      </c>
      <c r="BQ694" s="963" t="str">
        <f t="shared" si="1263"/>
        <v>1Q12</v>
      </c>
      <c r="BR694" s="963" t="str">
        <f t="shared" si="1263"/>
        <v>2Q12</v>
      </c>
      <c r="BS694" s="963" t="str">
        <f t="shared" si="1263"/>
        <v>3Q12</v>
      </c>
      <c r="BT694" s="963" t="str">
        <f t="shared" si="1263"/>
        <v>4Q12</v>
      </c>
      <c r="BU694" s="649">
        <f t="shared" ref="BU694:DA694" si="1264">BU5</f>
        <v>2012</v>
      </c>
      <c r="BV694" s="963" t="str">
        <f t="shared" si="1264"/>
        <v>1Q13</v>
      </c>
      <c r="BW694" s="963" t="str">
        <f t="shared" si="1264"/>
        <v>2Q13</v>
      </c>
      <c r="BX694" s="963" t="str">
        <f t="shared" si="1264"/>
        <v>3Q13</v>
      </c>
      <c r="BY694" s="963" t="str">
        <f t="shared" si="1264"/>
        <v>4Q13</v>
      </c>
      <c r="BZ694" s="649">
        <f t="shared" si="1264"/>
        <v>2013</v>
      </c>
      <c r="CA694" s="1768" t="str">
        <f t="shared" si="1264"/>
        <v>1Q14</v>
      </c>
      <c r="CB694" s="963" t="str">
        <f t="shared" si="1264"/>
        <v>2Q14</v>
      </c>
      <c r="CC694" s="963" t="str">
        <f t="shared" si="1264"/>
        <v>3Q14</v>
      </c>
      <c r="CD694" s="964" t="str">
        <f t="shared" si="1264"/>
        <v>4Q14</v>
      </c>
      <c r="CE694" s="649">
        <f t="shared" si="1264"/>
        <v>2014</v>
      </c>
      <c r="CF694" s="963" t="str">
        <f t="shared" si="1264"/>
        <v>1Q15</v>
      </c>
      <c r="CG694" s="963" t="str">
        <f t="shared" si="1264"/>
        <v>2Q15</v>
      </c>
      <c r="CH694" s="963" t="str">
        <f t="shared" si="1264"/>
        <v>3Q15</v>
      </c>
      <c r="CI694" s="964" t="str">
        <f t="shared" si="1264"/>
        <v>4Q15</v>
      </c>
      <c r="CJ694" s="649">
        <f t="shared" si="1264"/>
        <v>2015</v>
      </c>
      <c r="CK694" s="963" t="str">
        <f t="shared" si="1264"/>
        <v>1Q16</v>
      </c>
      <c r="CL694" s="963" t="str">
        <f t="shared" si="1264"/>
        <v>2Q16</v>
      </c>
      <c r="CM694" s="963" t="str">
        <f t="shared" si="1264"/>
        <v>3Q16</v>
      </c>
      <c r="CN694" s="964" t="str">
        <f t="shared" si="1264"/>
        <v>4Q16</v>
      </c>
      <c r="CO694" s="649">
        <f t="shared" si="1264"/>
        <v>2016</v>
      </c>
      <c r="CP694" s="963" t="str">
        <f t="shared" si="1264"/>
        <v>1Q17</v>
      </c>
      <c r="CQ694" s="963" t="str">
        <f t="shared" si="1264"/>
        <v>2Q17</v>
      </c>
      <c r="CR694" s="963" t="str">
        <f t="shared" si="1264"/>
        <v>3Q17</v>
      </c>
      <c r="CS694" s="964" t="str">
        <f t="shared" si="1264"/>
        <v>4Q17A</v>
      </c>
      <c r="CT694" s="649" t="str">
        <f t="shared" si="1264"/>
        <v>2017A</v>
      </c>
      <c r="CU694" s="963" t="str">
        <f t="shared" si="1264"/>
        <v>1Q18E</v>
      </c>
      <c r="CV694" s="963" t="str">
        <f t="shared" si="1264"/>
        <v>2Q18E</v>
      </c>
      <c r="CW694" s="963" t="str">
        <f t="shared" si="1264"/>
        <v>3Q18E</v>
      </c>
      <c r="CX694" s="964" t="str">
        <f t="shared" si="1264"/>
        <v>4Q18E</v>
      </c>
      <c r="CY694" s="649" t="str">
        <f t="shared" si="1264"/>
        <v>2018E</v>
      </c>
      <c r="CZ694" s="649" t="str">
        <f t="shared" si="1264"/>
        <v>2019E</v>
      </c>
      <c r="DA694" s="649" t="str">
        <f t="shared" si="1264"/>
        <v>2020E</v>
      </c>
      <c r="DB694"/>
      <c r="DC694"/>
      <c r="DD694" s="873" t="s">
        <v>866</v>
      </c>
      <c r="DE694" s="649">
        <f>M694</f>
        <v>2000</v>
      </c>
      <c r="DF694" s="649">
        <f>R694</f>
        <v>2001</v>
      </c>
      <c r="DG694" s="649">
        <f>W694</f>
        <v>2002</v>
      </c>
      <c r="DH694" s="649">
        <f>AB694</f>
        <v>2003</v>
      </c>
      <c r="DI694" s="649" t="str">
        <f>AG694</f>
        <v>2004</v>
      </c>
      <c r="DJ694" s="649" t="str">
        <f>AL694</f>
        <v>2005</v>
      </c>
      <c r="DK694" s="649" t="str">
        <f>AQ694</f>
        <v>2006</v>
      </c>
      <c r="DL694" s="649" t="str">
        <f>AV694</f>
        <v>2007</v>
      </c>
      <c r="DM694" s="649" t="str">
        <f>BA694</f>
        <v>2008</v>
      </c>
      <c r="DN694" s="649" t="str">
        <f>BF694</f>
        <v>2009</v>
      </c>
      <c r="DO694" s="649" t="str">
        <f>BK694</f>
        <v>2010</v>
      </c>
      <c r="DP694" s="649">
        <f>BP694</f>
        <v>2011</v>
      </c>
      <c r="DQ694" s="649">
        <f>BU694</f>
        <v>2012</v>
      </c>
      <c r="DR694" s="649">
        <f>BZ694</f>
        <v>2013</v>
      </c>
      <c r="DS694" s="649">
        <f>CE694</f>
        <v>2014</v>
      </c>
      <c r="DT694" s="649">
        <f>CJ694</f>
        <v>2015</v>
      </c>
      <c r="DU694" s="649">
        <f>CO694</f>
        <v>2016</v>
      </c>
      <c r="DV694" s="649" t="str">
        <f>CT694</f>
        <v>2017A</v>
      </c>
      <c r="DW694" s="649" t="str">
        <f>CY694</f>
        <v>2018E</v>
      </c>
      <c r="DX694" s="649" t="str">
        <f>CZ694</f>
        <v>2019E</v>
      </c>
      <c r="DY694" s="649" t="str">
        <f>DA694</f>
        <v>2020E</v>
      </c>
      <c r="EA694"/>
      <c r="EB694"/>
      <c r="EC694"/>
      <c r="ED694"/>
      <c r="EE694"/>
      <c r="EF694"/>
      <c r="EJ694"/>
      <c r="EK694"/>
      <c r="EL694"/>
      <c r="ER694" s="212"/>
    </row>
    <row r="695" spans="1:148" ht="12.75" customHeight="1" x14ac:dyDescent="0.2">
      <c r="A695" s="1437"/>
      <c r="B695" s="854"/>
      <c r="C695" s="854"/>
      <c r="D695" s="854"/>
      <c r="E695" s="854"/>
      <c r="F695" s="854"/>
      <c r="G695" s="854"/>
      <c r="H695" s="854"/>
      <c r="I695" s="854"/>
      <c r="J695" s="854"/>
      <c r="K695" s="854"/>
      <c r="L695" s="854"/>
      <c r="M695" s="851"/>
      <c r="N695" s="854"/>
      <c r="O695" s="854"/>
      <c r="P695" s="854"/>
      <c r="Q695" s="854"/>
      <c r="R695" s="851"/>
      <c r="S695" s="854"/>
      <c r="T695" s="854"/>
      <c r="U695" s="854"/>
      <c r="V695" s="854"/>
      <c r="W695" s="851"/>
      <c r="X695" s="854"/>
      <c r="Y695" s="854"/>
      <c r="Z695" s="854"/>
      <c r="AA695" s="854"/>
      <c r="AB695" s="851"/>
      <c r="AC695" s="854"/>
      <c r="AD695" s="854"/>
      <c r="AE695" s="854"/>
      <c r="AF695" s="854"/>
      <c r="AG695" s="851"/>
      <c r="AH695" s="854"/>
      <c r="AI695" s="854"/>
      <c r="AJ695" s="854"/>
      <c r="AK695" s="854"/>
      <c r="AL695" s="851"/>
      <c r="AM695" s="854"/>
      <c r="AN695" s="854"/>
      <c r="AO695" s="854"/>
      <c r="AP695" s="854"/>
      <c r="AQ695" s="851"/>
      <c r="AR695" s="854"/>
      <c r="AS695" s="854"/>
      <c r="AT695" s="854"/>
      <c r="AU695" s="854"/>
      <c r="AV695" s="851"/>
      <c r="AW695" s="854"/>
      <c r="AX695" s="854"/>
      <c r="AY695" s="854"/>
      <c r="AZ695" s="854"/>
      <c r="BA695" s="851"/>
      <c r="BB695" s="854"/>
      <c r="BC695" s="854"/>
      <c r="BD695" s="854"/>
      <c r="BE695" s="854"/>
      <c r="BF695" s="851"/>
      <c r="BG695" s="854"/>
      <c r="BH695" s="854"/>
      <c r="BI695" s="854"/>
      <c r="BJ695" s="854"/>
      <c r="BK695" s="851"/>
      <c r="BL695" s="854"/>
      <c r="BM695" s="854"/>
      <c r="BN695" s="854"/>
      <c r="BO695" s="854"/>
      <c r="BP695" s="851"/>
      <c r="BQ695" s="854"/>
      <c r="BR695" s="854"/>
      <c r="BS695" s="854"/>
      <c r="BT695" s="854"/>
      <c r="BU695" s="851"/>
      <c r="BV695" s="854"/>
      <c r="BW695" s="854"/>
      <c r="BX695" s="854"/>
      <c r="BY695" s="854"/>
      <c r="BZ695" s="851"/>
      <c r="CA695" s="1775"/>
      <c r="CB695" s="854"/>
      <c r="CC695" s="854"/>
      <c r="CD695" s="1824"/>
      <c r="CE695" s="851"/>
      <c r="CF695" s="854"/>
      <c r="CG695" s="854"/>
      <c r="CH695" s="854"/>
      <c r="CI695" s="1824"/>
      <c r="CJ695" s="851"/>
      <c r="CK695" s="854"/>
      <c r="CL695" s="854"/>
      <c r="CM695" s="854"/>
      <c r="CN695" s="1824"/>
      <c r="CO695" s="851"/>
      <c r="CP695" s="854"/>
      <c r="CQ695" s="854"/>
      <c r="CR695" s="854"/>
      <c r="CS695" s="854"/>
      <c r="CT695" s="851"/>
      <c r="CU695" s="854"/>
      <c r="CV695" s="854"/>
      <c r="CW695" s="854"/>
      <c r="CX695" s="854"/>
      <c r="CY695" s="851"/>
      <c r="CZ695" s="851"/>
      <c r="DA695" s="851"/>
      <c r="DD695" s="1437"/>
      <c r="DE695" s="851"/>
      <c r="DF695" s="851"/>
      <c r="DG695" s="851"/>
      <c r="DH695" s="851"/>
      <c r="DI695" s="851"/>
      <c r="DJ695" s="851"/>
      <c r="DK695" s="851"/>
      <c r="DL695" s="851"/>
      <c r="DM695" s="851"/>
      <c r="DN695" s="851"/>
      <c r="DO695" s="851"/>
      <c r="DP695" s="851"/>
      <c r="DQ695" s="851"/>
      <c r="DR695" s="851"/>
      <c r="DS695" s="851"/>
      <c r="DT695" s="851"/>
      <c r="DU695" s="851"/>
      <c r="DV695" s="851"/>
      <c r="DW695" s="851"/>
      <c r="DX695" s="851"/>
      <c r="DY695" s="851"/>
      <c r="EK695"/>
      <c r="EL695"/>
    </row>
    <row r="696" spans="1:148" s="923" customFormat="1" ht="12" customHeight="1" x14ac:dyDescent="0.2">
      <c r="A696" s="1560" t="s">
        <v>707</v>
      </c>
      <c r="B696" s="215"/>
      <c r="C696" s="215"/>
      <c r="D696" s="215"/>
      <c r="E696" s="215"/>
      <c r="F696" s="215"/>
      <c r="G696" s="215"/>
      <c r="H696" s="215"/>
      <c r="I696" s="215"/>
      <c r="J696" s="215"/>
      <c r="K696" s="215"/>
      <c r="L696" s="215"/>
      <c r="M696" s="968"/>
      <c r="N696" s="215"/>
      <c r="O696" s="215"/>
      <c r="P696" s="215"/>
      <c r="Q696" s="215"/>
      <c r="R696" s="968"/>
      <c r="S696" s="215"/>
      <c r="T696" s="215"/>
      <c r="U696" s="215"/>
      <c r="V696" s="215"/>
      <c r="W696" s="968"/>
      <c r="X696" s="215"/>
      <c r="Y696" s="215"/>
      <c r="Z696" s="215"/>
      <c r="AA696" s="215"/>
      <c r="AB696" s="968"/>
      <c r="AC696" s="215"/>
      <c r="AD696" s="215"/>
      <c r="AE696" s="215"/>
      <c r="AF696" s="215"/>
      <c r="AG696" s="968"/>
      <c r="AH696" s="215"/>
      <c r="AI696" s="215"/>
      <c r="AJ696" s="215"/>
      <c r="AK696" s="215"/>
      <c r="AL696" s="968"/>
      <c r="AM696" s="215"/>
      <c r="AN696" s="215"/>
      <c r="AO696" s="215"/>
      <c r="AP696" s="215"/>
      <c r="AQ696" s="968"/>
      <c r="AR696" s="215"/>
      <c r="AS696" s="215"/>
      <c r="AT696" s="215"/>
      <c r="AU696" s="215"/>
      <c r="AV696" s="968"/>
      <c r="AW696" s="215"/>
      <c r="AX696" s="215"/>
      <c r="AY696" s="215"/>
      <c r="AZ696" s="215"/>
      <c r="BA696" s="968"/>
      <c r="BB696" s="215"/>
      <c r="BC696" s="215"/>
      <c r="BD696" s="215"/>
      <c r="BE696" s="215"/>
      <c r="BF696" s="968"/>
      <c r="BG696" s="215"/>
      <c r="BH696" s="215"/>
      <c r="BI696" s="215"/>
      <c r="BJ696" s="215"/>
      <c r="BK696" s="968"/>
      <c r="BL696" s="215"/>
      <c r="BM696" s="215"/>
      <c r="BN696" s="215"/>
      <c r="BO696" s="215"/>
      <c r="BP696" s="968"/>
      <c r="BQ696" s="215"/>
      <c r="BR696" s="215"/>
      <c r="BS696" s="215"/>
      <c r="BT696" s="215"/>
      <c r="BU696" s="968"/>
      <c r="BV696" s="215"/>
      <c r="BW696" s="215"/>
      <c r="BX696" s="215"/>
      <c r="BY696" s="215"/>
      <c r="BZ696" s="968"/>
      <c r="CA696" s="188"/>
      <c r="CB696" s="215"/>
      <c r="CC696" s="215"/>
      <c r="CD696" s="1788"/>
      <c r="CE696" s="968"/>
      <c r="CF696" s="215"/>
      <c r="CG696" s="215"/>
      <c r="CH696" s="215"/>
      <c r="CI696" s="1788"/>
      <c r="CJ696" s="968"/>
      <c r="CK696" s="215"/>
      <c r="CL696" s="215"/>
      <c r="CM696" s="215"/>
      <c r="CN696" s="1788"/>
      <c r="CO696" s="968"/>
      <c r="CP696" s="215"/>
      <c r="CQ696" s="215"/>
      <c r="CR696" s="215"/>
      <c r="CS696" s="215"/>
      <c r="CT696" s="968"/>
      <c r="CU696" s="215"/>
      <c r="CV696" s="215"/>
      <c r="CW696" s="215"/>
      <c r="CX696" s="215"/>
      <c r="CY696" s="968"/>
      <c r="CZ696" s="968"/>
      <c r="DA696" s="968"/>
      <c r="DB696"/>
      <c r="DC696"/>
      <c r="DD696" s="1560" t="s">
        <v>707</v>
      </c>
      <c r="DE696" s="2290"/>
      <c r="DF696" s="2290"/>
      <c r="DG696" s="2290"/>
      <c r="DH696" s="2290"/>
      <c r="DI696" s="2290"/>
      <c r="DJ696" s="2290"/>
      <c r="DK696" s="2290"/>
      <c r="DL696" s="2290"/>
      <c r="DM696" s="2290"/>
      <c r="DN696" s="2290"/>
      <c r="DO696" s="2290"/>
      <c r="DP696" s="2290"/>
      <c r="DQ696" s="2290"/>
      <c r="DR696" s="2290"/>
      <c r="DS696" s="2290"/>
      <c r="DT696" s="2290"/>
      <c r="DU696" s="2290"/>
      <c r="DV696" s="2290"/>
      <c r="DW696" s="2290"/>
      <c r="DX696" s="2290"/>
      <c r="DY696" s="2290"/>
      <c r="EA696"/>
      <c r="EB696"/>
      <c r="EC696"/>
      <c r="ED696"/>
      <c r="EE696"/>
      <c r="EF696"/>
      <c r="EJ696"/>
      <c r="EK696"/>
      <c r="EL696"/>
      <c r="ER696" s="212"/>
    </row>
    <row r="697" spans="1:148" s="923" customFormat="1" x14ac:dyDescent="0.2">
      <c r="A697" s="507" t="s">
        <v>887</v>
      </c>
      <c r="B697" s="1703"/>
      <c r="C697" s="1703"/>
      <c r="D697" s="1703"/>
      <c r="E697" s="1703"/>
      <c r="F697" s="1703"/>
      <c r="G697" s="1703"/>
      <c r="H697" s="1703"/>
      <c r="I697" s="1703">
        <v>94</v>
      </c>
      <c r="J697" s="1703">
        <v>126</v>
      </c>
      <c r="K697" s="1703">
        <v>110</v>
      </c>
      <c r="L697" s="1703">
        <v>149</v>
      </c>
      <c r="M697" s="1704">
        <v>479</v>
      </c>
      <c r="N697" s="1703">
        <v>121</v>
      </c>
      <c r="O697" s="1703">
        <v>130</v>
      </c>
      <c r="P697" s="1703">
        <v>101</v>
      </c>
      <c r="Q697" s="1703">
        <v>-116</v>
      </c>
      <c r="R697" s="1704">
        <v>236</v>
      </c>
      <c r="S697" s="1703">
        <v>82</v>
      </c>
      <c r="T697" s="1703">
        <v>129</v>
      </c>
      <c r="U697" s="1703">
        <v>103</v>
      </c>
      <c r="V697" s="1703">
        <v>-37</v>
      </c>
      <c r="W697" s="1704">
        <v>277</v>
      </c>
      <c r="X697" s="1703">
        <v>116</v>
      </c>
      <c r="Y697" s="1703">
        <v>125</v>
      </c>
      <c r="Z697" s="1703">
        <v>92</v>
      </c>
      <c r="AA697" s="1703">
        <v>169</v>
      </c>
      <c r="AB697" s="1704">
        <v>502</v>
      </c>
      <c r="AC697" s="1703">
        <v>114</v>
      </c>
      <c r="AD697" s="1703">
        <v>160</v>
      </c>
      <c r="AE697" s="1703">
        <v>133</v>
      </c>
      <c r="AF697" s="1703">
        <v>189</v>
      </c>
      <c r="AG697" s="1704">
        <v>596</v>
      </c>
      <c r="AH697" s="1703">
        <v>145</v>
      </c>
      <c r="AI697" s="1703">
        <v>138</v>
      </c>
      <c r="AJ697" s="1703">
        <v>148</v>
      </c>
      <c r="AK697" s="1703">
        <v>237</v>
      </c>
      <c r="AL697" s="1704">
        <v>668</v>
      </c>
      <c r="AM697" s="1703">
        <v>64.999999999999943</v>
      </c>
      <c r="AN697" s="1703">
        <v>184</v>
      </c>
      <c r="AO697" s="1703">
        <v>144</v>
      </c>
      <c r="AP697" s="1703">
        <v>219</v>
      </c>
      <c r="AQ697" s="1704">
        <v>612</v>
      </c>
      <c r="AR697" s="1703">
        <v>188</v>
      </c>
      <c r="AS697" s="1703">
        <v>223</v>
      </c>
      <c r="AT697" s="1703">
        <v>133</v>
      </c>
      <c r="AU697" s="1703">
        <v>176</v>
      </c>
      <c r="AV697" s="1704">
        <v>720</v>
      </c>
      <c r="AW697" s="1703">
        <v>121</v>
      </c>
      <c r="AX697" s="1703">
        <v>193</v>
      </c>
      <c r="AY697" s="1703">
        <v>123</v>
      </c>
      <c r="AZ697" s="1703">
        <v>-75</v>
      </c>
      <c r="BA697" s="1704">
        <v>362</v>
      </c>
      <c r="BB697" s="1703">
        <v>87</v>
      </c>
      <c r="BC697" s="1703">
        <v>84</v>
      </c>
      <c r="BD697" s="1703">
        <v>53.2</v>
      </c>
      <c r="BE697" s="1703">
        <v>118</v>
      </c>
      <c r="BF697" s="1704">
        <v>342.2</v>
      </c>
      <c r="BG697" s="1703">
        <v>83</v>
      </c>
      <c r="BH697" s="1703">
        <v>119</v>
      </c>
      <c r="BI697" s="1703">
        <v>83</v>
      </c>
      <c r="BJ697" s="1703">
        <v>150</v>
      </c>
      <c r="BK697" s="1704">
        <v>435</v>
      </c>
      <c r="BL697" s="1703">
        <v>101</v>
      </c>
      <c r="BM697" s="1703">
        <v>135</v>
      </c>
      <c r="BN697" s="1703">
        <v>-179</v>
      </c>
      <c r="BO697" s="1703">
        <v>139</v>
      </c>
      <c r="BP697" s="1704">
        <f t="shared" ref="BP697:BP703" si="1265">SUM(BL697:BO697)</f>
        <v>196</v>
      </c>
      <c r="BQ697" s="1703">
        <f t="shared" ref="BQ697:DA697" si="1266">BQ51</f>
        <v>104</v>
      </c>
      <c r="BR697" s="1703">
        <f t="shared" si="1266"/>
        <v>143</v>
      </c>
      <c r="BS697" s="1703">
        <f t="shared" si="1266"/>
        <v>143</v>
      </c>
      <c r="BT697" s="1703">
        <f t="shared" si="1266"/>
        <v>181</v>
      </c>
      <c r="BU697" s="1704">
        <f t="shared" si="1266"/>
        <v>571</v>
      </c>
      <c r="BV697" s="1703">
        <f t="shared" si="1266"/>
        <v>136</v>
      </c>
      <c r="BW697" s="1703">
        <f t="shared" si="1266"/>
        <v>179</v>
      </c>
      <c r="BX697" s="1703">
        <f t="shared" si="1266"/>
        <v>160</v>
      </c>
      <c r="BY697" s="1703">
        <f t="shared" si="1266"/>
        <v>151</v>
      </c>
      <c r="BZ697" s="1704">
        <f t="shared" si="1266"/>
        <v>626</v>
      </c>
      <c r="CA697" s="1703">
        <f t="shared" si="1266"/>
        <v>172</v>
      </c>
      <c r="CB697" s="1703">
        <f t="shared" si="1266"/>
        <v>192</v>
      </c>
      <c r="CC697" s="1703">
        <f t="shared" si="1266"/>
        <v>192</v>
      </c>
      <c r="CD697" s="1801">
        <f t="shared" si="1266"/>
        <v>197</v>
      </c>
      <c r="CE697" s="1704">
        <f t="shared" si="1266"/>
        <v>753</v>
      </c>
      <c r="CF697" s="1703">
        <f t="shared" si="1266"/>
        <v>207</v>
      </c>
      <c r="CG697" s="1703">
        <f t="shared" si="1266"/>
        <v>240</v>
      </c>
      <c r="CH697" s="1703">
        <f t="shared" si="1266"/>
        <v>210</v>
      </c>
      <c r="CI697" s="1801">
        <f t="shared" si="1266"/>
        <v>202</v>
      </c>
      <c r="CJ697" s="1704">
        <f t="shared" si="1266"/>
        <v>859</v>
      </c>
      <c r="CK697" s="1703">
        <f t="shared" si="1266"/>
        <v>219</v>
      </c>
      <c r="CL697" s="1703">
        <f t="shared" si="1266"/>
        <v>247</v>
      </c>
      <c r="CM697" s="1703">
        <f t="shared" si="1266"/>
        <v>70</v>
      </c>
      <c r="CN697" s="1801">
        <f t="shared" si="1266"/>
        <v>244</v>
      </c>
      <c r="CO697" s="1704">
        <f t="shared" si="1266"/>
        <v>780</v>
      </c>
      <c r="CP697" s="2764">
        <f t="shared" si="1266"/>
        <v>365</v>
      </c>
      <c r="CQ697" s="2764">
        <f t="shared" si="1266"/>
        <v>414</v>
      </c>
      <c r="CR697" s="1703">
        <f t="shared" si="1266"/>
        <v>392</v>
      </c>
      <c r="CS697" s="1703">
        <f t="shared" si="1266"/>
        <v>201</v>
      </c>
      <c r="CT697" s="1704">
        <f t="shared" si="1266"/>
        <v>1372</v>
      </c>
      <c r="CU697" s="1703">
        <f t="shared" ca="1" si="1266"/>
        <v>461.73080826505191</v>
      </c>
      <c r="CV697" s="1703">
        <f t="shared" ca="1" si="1266"/>
        <v>494.56070535715492</v>
      </c>
      <c r="CW697" s="1703">
        <f t="shared" ca="1" si="1266"/>
        <v>479.32938183700935</v>
      </c>
      <c r="CX697" s="1703">
        <f t="shared" ca="1" si="1266"/>
        <v>500.72019912272799</v>
      </c>
      <c r="CY697" s="2292">
        <f t="shared" ca="1" si="1266"/>
        <v>1936.3410945819414</v>
      </c>
      <c r="CZ697" s="1704">
        <f t="shared" ca="1" si="1266"/>
        <v>2184.704842895625</v>
      </c>
      <c r="DA697" s="1704">
        <f t="shared" ca="1" si="1266"/>
        <v>2144.7824715792981</v>
      </c>
      <c r="DB697"/>
      <c r="DC697"/>
      <c r="DD697" s="2295" t="s">
        <v>887</v>
      </c>
      <c r="DE697" s="2292">
        <f t="shared" ref="DE697:DE704" si="1267">M697</f>
        <v>479</v>
      </c>
      <c r="DF697" s="2292">
        <f t="shared" ref="DF697:DF704" si="1268">R697</f>
        <v>236</v>
      </c>
      <c r="DG697" s="2292">
        <f t="shared" ref="DG697:DG704" si="1269">W697</f>
        <v>277</v>
      </c>
      <c r="DH697" s="2292">
        <f t="shared" ref="DH697:DH704" si="1270">AB697</f>
        <v>502</v>
      </c>
      <c r="DI697" s="2292">
        <f t="shared" ref="DI697:DI704" si="1271">AG697</f>
        <v>596</v>
      </c>
      <c r="DJ697" s="2292">
        <f t="shared" ref="DJ697:DJ704" si="1272">AL697</f>
        <v>668</v>
      </c>
      <c r="DK697" s="2292">
        <f t="shared" ref="DK697:DK704" si="1273">AQ697</f>
        <v>612</v>
      </c>
      <c r="DL697" s="2292">
        <f t="shared" ref="DL697:DL704" si="1274">AV697</f>
        <v>720</v>
      </c>
      <c r="DM697" s="2292">
        <f t="shared" ref="DM697:DM704" si="1275">BA697</f>
        <v>362</v>
      </c>
      <c r="DN697" s="2292">
        <f t="shared" ref="DN697:DN704" si="1276">BF697</f>
        <v>342.2</v>
      </c>
      <c r="DO697" s="2292">
        <f t="shared" ref="DO697:DO704" si="1277">BK697</f>
        <v>435</v>
      </c>
      <c r="DP697" s="2292">
        <f t="shared" ref="DP697:DP704" si="1278">BP697</f>
        <v>196</v>
      </c>
      <c r="DQ697" s="2292">
        <f t="shared" ref="DQ697:DQ704" si="1279">BU697</f>
        <v>571</v>
      </c>
      <c r="DR697" s="2292">
        <f t="shared" ref="DR697:DR704" si="1280">BZ697</f>
        <v>626</v>
      </c>
      <c r="DS697" s="2292">
        <f t="shared" ref="DS697:DS704" si="1281">CE697</f>
        <v>753</v>
      </c>
      <c r="DT697" s="2292">
        <f t="shared" ref="DT697:DT704" si="1282">CJ697</f>
        <v>859</v>
      </c>
      <c r="DU697" s="2292">
        <f t="shared" ref="DU697:DU704" si="1283">CO697</f>
        <v>780</v>
      </c>
      <c r="DV697" s="2292">
        <f t="shared" ref="DV697:DV704" si="1284">CT697</f>
        <v>1372</v>
      </c>
      <c r="DW697" s="2292">
        <f t="shared" ref="DW697:DW704" ca="1" si="1285">CY697</f>
        <v>1936.3410945819414</v>
      </c>
      <c r="DX697" s="2292">
        <f t="shared" ref="DX697:DX704" ca="1" si="1286">CZ697</f>
        <v>2184.704842895625</v>
      </c>
      <c r="DY697" s="2292">
        <f t="shared" ref="DY697:DY704" ca="1" si="1287">DA697</f>
        <v>2144.7824715792981</v>
      </c>
      <c r="EA697"/>
      <c r="EB697"/>
      <c r="EC697"/>
      <c r="ED697"/>
      <c r="EE697"/>
      <c r="EF697"/>
      <c r="EJ697"/>
      <c r="EK697"/>
      <c r="EL697"/>
      <c r="EM697" s="1703"/>
      <c r="ER697" s="212"/>
    </row>
    <row r="698" spans="1:148" s="923" customFormat="1" x14ac:dyDescent="0.2">
      <c r="A698" s="507" t="s">
        <v>883</v>
      </c>
      <c r="B698" s="223"/>
      <c r="C698" s="223"/>
      <c r="D698" s="223"/>
      <c r="E698" s="223"/>
      <c r="F698" s="223"/>
      <c r="G698" s="223"/>
      <c r="H698" s="223"/>
      <c r="I698" s="223">
        <f>+I633</f>
        <v>33.153846153846153</v>
      </c>
      <c r="J698" s="223">
        <f>+J633</f>
        <v>38.153846153846153</v>
      </c>
      <c r="K698" s="223">
        <f>+K633</f>
        <v>39.153846153846153</v>
      </c>
      <c r="L698" s="223">
        <f>+L633</f>
        <v>50.53846153846154</v>
      </c>
      <c r="M698" s="968">
        <f t="shared" ref="M698:M703" si="1288">SUM(I698:L698)</f>
        <v>161</v>
      </c>
      <c r="N698" s="223">
        <f>+N633</f>
        <v>35.615384615384613</v>
      </c>
      <c r="O698" s="223">
        <f>+O633</f>
        <v>39.615384615384613</v>
      </c>
      <c r="P698" s="223">
        <f>+P633</f>
        <v>40.615384615384613</v>
      </c>
      <c r="Q698" s="223">
        <f>+Q633</f>
        <v>61.153846153846153</v>
      </c>
      <c r="R698" s="968">
        <f t="shared" ref="R698:R703" si="1289">SUM(N698:Q698)</f>
        <v>177</v>
      </c>
      <c r="S698" s="223">
        <f>+S633</f>
        <v>31.8</v>
      </c>
      <c r="T698" s="223">
        <f>+T633</f>
        <v>38.323076923076925</v>
      </c>
      <c r="U698" s="223">
        <f>+U633</f>
        <v>33.323076923076925</v>
      </c>
      <c r="V698" s="223">
        <f>+V633</f>
        <v>46.707692307692305</v>
      </c>
      <c r="W698" s="968">
        <f t="shared" ref="W698:W703" si="1290">SUM(S698:V698)</f>
        <v>150.15384615384616</v>
      </c>
      <c r="X698" s="223">
        <f>+X633</f>
        <v>34</v>
      </c>
      <c r="Y698" s="223">
        <f>+Y633</f>
        <v>34</v>
      </c>
      <c r="Z698" s="223">
        <f>+Z633</f>
        <v>37</v>
      </c>
      <c r="AA698" s="223">
        <f>+AA633</f>
        <v>55</v>
      </c>
      <c r="AB698" s="968">
        <f t="shared" ref="AB698:AB703" si="1291">SUM(X698:AA698)</f>
        <v>160</v>
      </c>
      <c r="AC698" s="223">
        <f>+AC633</f>
        <v>39</v>
      </c>
      <c r="AD698" s="223">
        <f>+AD633</f>
        <v>37</v>
      </c>
      <c r="AE698" s="223">
        <f>+AE633</f>
        <v>39</v>
      </c>
      <c r="AF698" s="223">
        <f>+AF633</f>
        <v>51</v>
      </c>
      <c r="AG698" s="968">
        <f t="shared" ref="AG698:AG703" si="1292">SUM(AC698:AF698)</f>
        <v>166</v>
      </c>
      <c r="AH698" s="223">
        <f>+AH633</f>
        <v>37</v>
      </c>
      <c r="AI698" s="223">
        <f>+AI633</f>
        <v>36</v>
      </c>
      <c r="AJ698" s="223">
        <f>+AJ633</f>
        <v>53</v>
      </c>
      <c r="AK698" s="223">
        <f>+AK633</f>
        <v>58</v>
      </c>
      <c r="AL698" s="968">
        <f t="shared" ref="AL698:AL703" si="1293">SUM(AH698:AK698)</f>
        <v>184</v>
      </c>
      <c r="AM698" s="223">
        <v>40</v>
      </c>
      <c r="AN698" s="223">
        <f>82-AM698</f>
        <v>42</v>
      </c>
      <c r="AO698" s="223">
        <f>126-AN698-AM698</f>
        <v>44</v>
      </c>
      <c r="AP698" s="223">
        <f>188-AO698-AN698-AM698</f>
        <v>62</v>
      </c>
      <c r="AQ698" s="968">
        <f t="shared" ref="AQ698:AQ703" si="1294">SUM(AM698:AP698)</f>
        <v>188</v>
      </c>
      <c r="AR698" s="223">
        <v>45</v>
      </c>
      <c r="AS698" s="223">
        <f>91-AR698</f>
        <v>46</v>
      </c>
      <c r="AT698" s="223">
        <f>134-AS698-AR698</f>
        <v>43</v>
      </c>
      <c r="AU698" s="223">
        <f>197-AT698-AS698-AR698</f>
        <v>63</v>
      </c>
      <c r="AV698" s="968">
        <f t="shared" ref="AV698:AV703" si="1295">SUM(AR698:AU698)</f>
        <v>197</v>
      </c>
      <c r="AW698" s="223">
        <v>41</v>
      </c>
      <c r="AX698" s="223">
        <f>87-AW698</f>
        <v>46</v>
      </c>
      <c r="AY698" s="223">
        <f>130-AX698-AW698</f>
        <v>43</v>
      </c>
      <c r="AZ698" s="223">
        <f>190-SUM(AW698:AY698)</f>
        <v>60</v>
      </c>
      <c r="BA698" s="968">
        <f t="shared" ref="BA698:BA703" si="1296">SUM(AW698:AZ698)</f>
        <v>190</v>
      </c>
      <c r="BB698" s="223">
        <v>39</v>
      </c>
      <c r="BC698" s="223">
        <f>81-BB698</f>
        <v>42</v>
      </c>
      <c r="BD698" s="223">
        <f>124-SUM(BB698:BC698)</f>
        <v>43</v>
      </c>
      <c r="BE698" s="223">
        <f>185-SUM(BB698:BD698)</f>
        <v>61</v>
      </c>
      <c r="BF698" s="968">
        <f t="shared" ref="BF698:BF703" si="1297">SUM(BB698:BE698)</f>
        <v>185</v>
      </c>
      <c r="BG698" s="223">
        <v>39</v>
      </c>
      <c r="BH698" s="223">
        <f>81-BG698</f>
        <v>42</v>
      </c>
      <c r="BI698" s="223">
        <f>121-SUM(BG698:BH698)</f>
        <v>40</v>
      </c>
      <c r="BJ698" s="223">
        <f>178-SUM(BG698:BI698)</f>
        <v>57</v>
      </c>
      <c r="BK698" s="968">
        <f t="shared" ref="BK698:BK703" si="1298">SUM(BG698:BJ698)</f>
        <v>178</v>
      </c>
      <c r="BL698" s="223">
        <v>35</v>
      </c>
      <c r="BM698" s="223">
        <f>76-BL698</f>
        <v>41</v>
      </c>
      <c r="BN698" s="223">
        <f>116-BM698-BL698</f>
        <v>40</v>
      </c>
      <c r="BO698" s="223">
        <f>168-SUM(BL698:BN698)</f>
        <v>52</v>
      </c>
      <c r="BP698" s="968">
        <f t="shared" si="1265"/>
        <v>168</v>
      </c>
      <c r="BQ698" s="223">
        <v>29</v>
      </c>
      <c r="BR698" s="223">
        <f>67-BQ698</f>
        <v>38</v>
      </c>
      <c r="BS698" s="223">
        <f>100-BR698-BQ698</f>
        <v>33</v>
      </c>
      <c r="BT698" s="223">
        <f>145-BS698-BR698-BQ698</f>
        <v>45</v>
      </c>
      <c r="BU698" s="968">
        <f t="shared" ref="BU698:BU703" si="1299">SUM(BQ698:BT698)</f>
        <v>145</v>
      </c>
      <c r="BV698" s="223">
        <v>37</v>
      </c>
      <c r="BW698" s="223">
        <f>74-BV698</f>
        <v>37</v>
      </c>
      <c r="BX698" s="223">
        <f>113-BW698-BV698</f>
        <v>39</v>
      </c>
      <c r="BY698" s="223">
        <f>127-BX698-BW698-BV698</f>
        <v>14</v>
      </c>
      <c r="BZ698" s="661">
        <f t="shared" ref="BZ698:BZ703" si="1300">SUM(BV698:BY698)</f>
        <v>127</v>
      </c>
      <c r="CA698" s="223">
        <v>36</v>
      </c>
      <c r="CB698" s="223">
        <f>83-CA698</f>
        <v>47</v>
      </c>
      <c r="CC698" s="223">
        <f>116-CB698-CA698</f>
        <v>33</v>
      </c>
      <c r="CD698" s="223">
        <f>148-CC698-CB698-CA698</f>
        <v>32</v>
      </c>
      <c r="CE698" s="968">
        <f t="shared" ref="CE698:CE703" si="1301">SUM(CA698:CD698)</f>
        <v>148</v>
      </c>
      <c r="CF698" s="223">
        <v>44</v>
      </c>
      <c r="CG698" s="215">
        <f>+CG91</f>
        <v>32</v>
      </c>
      <c r="CH698" s="215">
        <f>+CH91</f>
        <v>31</v>
      </c>
      <c r="CI698" s="1788">
        <f>+CI91</f>
        <v>32</v>
      </c>
      <c r="CJ698" s="968">
        <f t="shared" ref="CJ698:CJ703" si="1302">SUM(CF698:CI698)</f>
        <v>139</v>
      </c>
      <c r="CK698" s="215">
        <f>+CK91</f>
        <v>31</v>
      </c>
      <c r="CL698" s="215">
        <f>+CL91</f>
        <v>30</v>
      </c>
      <c r="CM698" s="215">
        <f>+CM91</f>
        <v>36</v>
      </c>
      <c r="CN698" s="1788">
        <f>+CN91</f>
        <v>71</v>
      </c>
      <c r="CO698" s="968">
        <f t="shared" ref="CO698:CO703" si="1303">SUM(CK698:CN698)</f>
        <v>168</v>
      </c>
      <c r="CP698" s="2327">
        <f>+CP91</f>
        <v>65</v>
      </c>
      <c r="CQ698" s="2327">
        <f>+CQ91</f>
        <v>85</v>
      </c>
      <c r="CR698" s="215">
        <f>+CR91</f>
        <v>68</v>
      </c>
      <c r="CS698" s="215">
        <f>+CS91</f>
        <v>72</v>
      </c>
      <c r="CT698" s="968">
        <f t="shared" ref="CT698:CT703" si="1304">SUM(CP698:CS698)</f>
        <v>290</v>
      </c>
      <c r="CU698" s="215">
        <f>+CU91</f>
        <v>65</v>
      </c>
      <c r="CV698" s="215">
        <f>+CV91</f>
        <v>80.75</v>
      </c>
      <c r="CW698" s="215">
        <f>+CW91</f>
        <v>68</v>
      </c>
      <c r="CX698" s="215">
        <f>+CX91</f>
        <v>72</v>
      </c>
      <c r="CY698" s="2290">
        <f t="shared" ref="CY698:CY703" si="1305">SUM(CU698:CX698)</f>
        <v>285.75</v>
      </c>
      <c r="CZ698" s="968">
        <f>+CZ91</f>
        <v>291.46500000000003</v>
      </c>
      <c r="DA698" s="968">
        <f>+DA91</f>
        <v>297.29430000000002</v>
      </c>
      <c r="DB698"/>
      <c r="DC698"/>
      <c r="DD698" s="2295" t="s">
        <v>883</v>
      </c>
      <c r="DE698" s="2290">
        <f t="shared" si="1267"/>
        <v>161</v>
      </c>
      <c r="DF698" s="2290">
        <f t="shared" si="1268"/>
        <v>177</v>
      </c>
      <c r="DG698" s="2290">
        <f t="shared" si="1269"/>
        <v>150.15384615384616</v>
      </c>
      <c r="DH698" s="2290">
        <f t="shared" si="1270"/>
        <v>160</v>
      </c>
      <c r="DI698" s="2290">
        <f t="shared" si="1271"/>
        <v>166</v>
      </c>
      <c r="DJ698" s="2290">
        <f t="shared" si="1272"/>
        <v>184</v>
      </c>
      <c r="DK698" s="2290">
        <f t="shared" si="1273"/>
        <v>188</v>
      </c>
      <c r="DL698" s="2290">
        <f t="shared" si="1274"/>
        <v>197</v>
      </c>
      <c r="DM698" s="2290">
        <f t="shared" si="1275"/>
        <v>190</v>
      </c>
      <c r="DN698" s="2290">
        <f t="shared" si="1276"/>
        <v>185</v>
      </c>
      <c r="DO698" s="2290">
        <f t="shared" si="1277"/>
        <v>178</v>
      </c>
      <c r="DP698" s="2290">
        <f t="shared" si="1278"/>
        <v>168</v>
      </c>
      <c r="DQ698" s="2290">
        <f t="shared" si="1279"/>
        <v>145</v>
      </c>
      <c r="DR698" s="2290">
        <f t="shared" si="1280"/>
        <v>127</v>
      </c>
      <c r="DS698" s="2290">
        <f t="shared" si="1281"/>
        <v>148</v>
      </c>
      <c r="DT698" s="2290">
        <f t="shared" si="1282"/>
        <v>139</v>
      </c>
      <c r="DU698" s="2290">
        <f t="shared" si="1283"/>
        <v>168</v>
      </c>
      <c r="DV698" s="2290">
        <f t="shared" si="1284"/>
        <v>290</v>
      </c>
      <c r="DW698" s="2290">
        <f t="shared" si="1285"/>
        <v>285.75</v>
      </c>
      <c r="DX698" s="2290">
        <f t="shared" si="1286"/>
        <v>291.46500000000003</v>
      </c>
      <c r="DY698" s="2290">
        <f t="shared" si="1287"/>
        <v>297.29430000000002</v>
      </c>
      <c r="EA698"/>
      <c r="EB698"/>
      <c r="EC698"/>
      <c r="ED698"/>
      <c r="EE698"/>
      <c r="EF698"/>
      <c r="EJ698"/>
      <c r="EK698"/>
      <c r="EL698"/>
      <c r="EM698" s="1703"/>
      <c r="ER698" s="212"/>
    </row>
    <row r="699" spans="1:148" s="923" customFormat="1" x14ac:dyDescent="0.2">
      <c r="A699" s="507" t="s">
        <v>888</v>
      </c>
      <c r="B699" s="223"/>
      <c r="C699" s="223"/>
      <c r="D699" s="223"/>
      <c r="E699" s="223"/>
      <c r="F699" s="223"/>
      <c r="G699" s="223"/>
      <c r="H699" s="223"/>
      <c r="I699" s="223">
        <v>7.8461538461538503</v>
      </c>
      <c r="J699" s="223">
        <v>7.8461538461538467</v>
      </c>
      <c r="K699" s="223">
        <v>7.8461538461538467</v>
      </c>
      <c r="L699" s="223">
        <v>10.461538461538463</v>
      </c>
      <c r="M699" s="968">
        <f t="shared" si="1288"/>
        <v>34.000000000000007</v>
      </c>
      <c r="N699" s="223">
        <v>10.384615384615385</v>
      </c>
      <c r="O699" s="223">
        <v>10.384615384615385</v>
      </c>
      <c r="P699" s="223">
        <v>10.384615384615385</v>
      </c>
      <c r="Q699" s="223">
        <v>13.846153846153847</v>
      </c>
      <c r="R699" s="968">
        <f t="shared" si="1289"/>
        <v>45</v>
      </c>
      <c r="S699" s="223">
        <v>7.2</v>
      </c>
      <c r="T699" s="223">
        <v>8.6769230769230781</v>
      </c>
      <c r="U699" s="223">
        <v>8.6769230769230781</v>
      </c>
      <c r="V699" s="223">
        <v>12.292307692307691</v>
      </c>
      <c r="W699" s="968">
        <f t="shared" si="1290"/>
        <v>36.846153846153847</v>
      </c>
      <c r="X699" s="223">
        <v>0</v>
      </c>
      <c r="Y699" s="223">
        <v>0</v>
      </c>
      <c r="Z699" s="223">
        <v>0</v>
      </c>
      <c r="AA699" s="223">
        <v>0</v>
      </c>
      <c r="AB699" s="968">
        <f t="shared" si="1291"/>
        <v>0</v>
      </c>
      <c r="AC699" s="223">
        <v>0</v>
      </c>
      <c r="AD699" s="223">
        <v>0</v>
      </c>
      <c r="AE699" s="223">
        <v>0</v>
      </c>
      <c r="AF699" s="223">
        <v>0</v>
      </c>
      <c r="AG699" s="968">
        <f t="shared" si="1292"/>
        <v>0</v>
      </c>
      <c r="AH699" s="223">
        <v>0</v>
      </c>
      <c r="AI699" s="223">
        <v>0</v>
      </c>
      <c r="AJ699" s="223">
        <v>0</v>
      </c>
      <c r="AK699" s="223">
        <v>0</v>
      </c>
      <c r="AL699" s="968">
        <f t="shared" si="1293"/>
        <v>0</v>
      </c>
      <c r="AM699" s="223">
        <v>0</v>
      </c>
      <c r="AN699" s="223">
        <v>0</v>
      </c>
      <c r="AO699" s="223">
        <v>0</v>
      </c>
      <c r="AP699" s="223">
        <v>0</v>
      </c>
      <c r="AQ699" s="968">
        <f t="shared" si="1294"/>
        <v>0</v>
      </c>
      <c r="AR699" s="223">
        <v>0</v>
      </c>
      <c r="AS699" s="223">
        <v>0</v>
      </c>
      <c r="AT699" s="223">
        <v>0</v>
      </c>
      <c r="AU699" s="223">
        <v>0</v>
      </c>
      <c r="AV699" s="968">
        <f t="shared" si="1295"/>
        <v>0</v>
      </c>
      <c r="AW699" s="223">
        <v>0</v>
      </c>
      <c r="AX699" s="223">
        <v>0</v>
      </c>
      <c r="AY699" s="223">
        <v>0</v>
      </c>
      <c r="AZ699" s="223">
        <v>0</v>
      </c>
      <c r="BA699" s="968">
        <f t="shared" si="1296"/>
        <v>0</v>
      </c>
      <c r="BB699" s="223">
        <v>0</v>
      </c>
      <c r="BC699" s="223">
        <v>0</v>
      </c>
      <c r="BD699" s="223">
        <v>0</v>
      </c>
      <c r="BE699" s="223">
        <v>0</v>
      </c>
      <c r="BF699" s="968">
        <f t="shared" si="1297"/>
        <v>0</v>
      </c>
      <c r="BG699" s="223">
        <v>0</v>
      </c>
      <c r="BH699" s="223">
        <v>0</v>
      </c>
      <c r="BI699" s="223">
        <v>0</v>
      </c>
      <c r="BJ699" s="223">
        <v>0</v>
      </c>
      <c r="BK699" s="968">
        <f t="shared" si="1298"/>
        <v>0</v>
      </c>
      <c r="BL699" s="223">
        <v>0</v>
      </c>
      <c r="BM699" s="223">
        <v>0</v>
      </c>
      <c r="BN699" s="223">
        <v>0</v>
      </c>
      <c r="BO699" s="223">
        <v>0</v>
      </c>
      <c r="BP699" s="968">
        <f t="shared" si="1265"/>
        <v>0</v>
      </c>
      <c r="BQ699" s="223">
        <v>0</v>
      </c>
      <c r="BR699" s="223">
        <v>0</v>
      </c>
      <c r="BS699" s="223">
        <v>0</v>
      </c>
      <c r="BT699" s="223">
        <v>0</v>
      </c>
      <c r="BU699" s="968">
        <f t="shared" si="1299"/>
        <v>0</v>
      </c>
      <c r="BV699" s="223">
        <v>0</v>
      </c>
      <c r="BW699" s="223">
        <f>0-BV699</f>
        <v>0</v>
      </c>
      <c r="BX699" s="223">
        <f>0-BW699-BV699</f>
        <v>0</v>
      </c>
      <c r="BY699" s="223">
        <v>0</v>
      </c>
      <c r="BZ699" s="976">
        <f t="shared" si="1300"/>
        <v>0</v>
      </c>
      <c r="CA699" s="223">
        <v>0</v>
      </c>
      <c r="CB699" s="223">
        <v>0</v>
      </c>
      <c r="CC699" s="223">
        <v>0</v>
      </c>
      <c r="CD699" s="1825">
        <v>0</v>
      </c>
      <c r="CE699" s="968">
        <f t="shared" si="1301"/>
        <v>0</v>
      </c>
      <c r="CF699" s="223">
        <v>0</v>
      </c>
      <c r="CG699" s="223">
        <v>0</v>
      </c>
      <c r="CH699" s="223">
        <v>0</v>
      </c>
      <c r="CI699" s="1825">
        <v>0</v>
      </c>
      <c r="CJ699" s="968">
        <f t="shared" si="1302"/>
        <v>0</v>
      </c>
      <c r="CK699" s="223">
        <v>0</v>
      </c>
      <c r="CL699" s="223">
        <v>0</v>
      </c>
      <c r="CM699" s="845">
        <v>0</v>
      </c>
      <c r="CN699" s="1825">
        <v>0</v>
      </c>
      <c r="CO699" s="968">
        <f t="shared" si="1303"/>
        <v>0</v>
      </c>
      <c r="CP699">
        <v>0</v>
      </c>
      <c r="CQ699">
        <v>0</v>
      </c>
      <c r="CR699" s="223">
        <v>0</v>
      </c>
      <c r="CS699" s="223">
        <v>0</v>
      </c>
      <c r="CT699" s="968">
        <f t="shared" si="1304"/>
        <v>0</v>
      </c>
      <c r="CU699" s="223">
        <v>0</v>
      </c>
      <c r="CV699" s="223">
        <v>0</v>
      </c>
      <c r="CW699" s="223">
        <v>0</v>
      </c>
      <c r="CX699" s="223">
        <v>0</v>
      </c>
      <c r="CY699" s="2290">
        <f t="shared" si="1305"/>
        <v>0</v>
      </c>
      <c r="CZ699" s="976">
        <v>0</v>
      </c>
      <c r="DA699" s="976">
        <v>0</v>
      </c>
      <c r="DB699"/>
      <c r="DC699"/>
      <c r="DD699" s="2295" t="s">
        <v>888</v>
      </c>
      <c r="DE699" s="2290">
        <f t="shared" si="1267"/>
        <v>34.000000000000007</v>
      </c>
      <c r="DF699" s="2290">
        <f t="shared" si="1268"/>
        <v>45</v>
      </c>
      <c r="DG699" s="2290">
        <f t="shared" si="1269"/>
        <v>36.846153846153847</v>
      </c>
      <c r="DH699" s="2290">
        <f t="shared" si="1270"/>
        <v>0</v>
      </c>
      <c r="DI699" s="2290">
        <f t="shared" si="1271"/>
        <v>0</v>
      </c>
      <c r="DJ699" s="2290">
        <f t="shared" si="1272"/>
        <v>0</v>
      </c>
      <c r="DK699" s="2290">
        <f t="shared" si="1273"/>
        <v>0</v>
      </c>
      <c r="DL699" s="2290">
        <f t="shared" si="1274"/>
        <v>0</v>
      </c>
      <c r="DM699" s="2290">
        <f t="shared" si="1275"/>
        <v>0</v>
      </c>
      <c r="DN699" s="2290">
        <f t="shared" si="1276"/>
        <v>0</v>
      </c>
      <c r="DO699" s="2290">
        <f t="shared" si="1277"/>
        <v>0</v>
      </c>
      <c r="DP699" s="2290">
        <f t="shared" si="1278"/>
        <v>0</v>
      </c>
      <c r="DQ699" s="2290">
        <f t="shared" si="1279"/>
        <v>0</v>
      </c>
      <c r="DR699" s="2290">
        <f t="shared" si="1280"/>
        <v>0</v>
      </c>
      <c r="DS699" s="2290">
        <f t="shared" si="1281"/>
        <v>0</v>
      </c>
      <c r="DT699" s="2290">
        <f t="shared" si="1282"/>
        <v>0</v>
      </c>
      <c r="DU699" s="2290">
        <f t="shared" si="1283"/>
        <v>0</v>
      </c>
      <c r="DV699" s="2290">
        <f t="shared" si="1284"/>
        <v>0</v>
      </c>
      <c r="DW699" s="2290">
        <f t="shared" si="1285"/>
        <v>0</v>
      </c>
      <c r="DX699" s="2290">
        <f t="shared" si="1286"/>
        <v>0</v>
      </c>
      <c r="DY699" s="2290">
        <f t="shared" si="1287"/>
        <v>0</v>
      </c>
      <c r="EA699"/>
      <c r="EB699"/>
      <c r="EC699"/>
      <c r="ED699"/>
      <c r="EE699"/>
      <c r="EF699"/>
      <c r="EJ699"/>
      <c r="EK699"/>
      <c r="EL699"/>
      <c r="EM699" s="1703"/>
      <c r="ER699" s="212"/>
    </row>
    <row r="700" spans="1:148" s="923" customFormat="1" x14ac:dyDescent="0.2">
      <c r="A700" s="507" t="s">
        <v>890</v>
      </c>
      <c r="B700" s="215"/>
      <c r="C700" s="215"/>
      <c r="D700" s="215"/>
      <c r="E700" s="215"/>
      <c r="F700" s="215"/>
      <c r="G700" s="215"/>
      <c r="H700" s="215"/>
      <c r="I700" s="215">
        <v>0</v>
      </c>
      <c r="J700" s="215">
        <v>0</v>
      </c>
      <c r="K700" s="215">
        <v>0</v>
      </c>
      <c r="L700" s="215">
        <v>0</v>
      </c>
      <c r="M700" s="968">
        <f t="shared" si="1288"/>
        <v>0</v>
      </c>
      <c r="N700" s="215">
        <v>0</v>
      </c>
      <c r="O700" s="215">
        <v>0</v>
      </c>
      <c r="P700" s="215">
        <v>0</v>
      </c>
      <c r="Q700" s="215">
        <v>0</v>
      </c>
      <c r="R700" s="968">
        <f t="shared" si="1289"/>
        <v>0</v>
      </c>
      <c r="S700" s="215">
        <v>0</v>
      </c>
      <c r="T700" s="215">
        <v>0</v>
      </c>
      <c r="U700" s="215">
        <v>0</v>
      </c>
      <c r="V700" s="215">
        <v>0</v>
      </c>
      <c r="W700" s="968">
        <f t="shared" si="1290"/>
        <v>0</v>
      </c>
      <c r="X700" s="215">
        <v>0</v>
      </c>
      <c r="Y700" s="215">
        <v>0</v>
      </c>
      <c r="Z700" s="215">
        <v>0</v>
      </c>
      <c r="AA700" s="215">
        <v>0</v>
      </c>
      <c r="AB700" s="968">
        <f t="shared" si="1291"/>
        <v>0</v>
      </c>
      <c r="AC700" s="215">
        <v>0</v>
      </c>
      <c r="AD700" s="215">
        <v>0</v>
      </c>
      <c r="AE700" s="215">
        <v>0</v>
      </c>
      <c r="AF700" s="215">
        <v>0</v>
      </c>
      <c r="AG700" s="968">
        <f t="shared" si="1292"/>
        <v>0</v>
      </c>
      <c r="AH700" s="215">
        <v>0</v>
      </c>
      <c r="AI700" s="215">
        <v>0</v>
      </c>
      <c r="AJ700" s="215">
        <v>0</v>
      </c>
      <c r="AK700" s="215">
        <v>0</v>
      </c>
      <c r="AL700" s="968">
        <f t="shared" si="1293"/>
        <v>0</v>
      </c>
      <c r="AM700" s="215">
        <f>AM912</f>
        <v>0</v>
      </c>
      <c r="AN700" s="215">
        <f>AN912</f>
        <v>0</v>
      </c>
      <c r="AO700" s="215">
        <f>AO912</f>
        <v>0</v>
      </c>
      <c r="AP700" s="215">
        <f>AP912</f>
        <v>0</v>
      </c>
      <c r="AQ700" s="968">
        <f t="shared" si="1294"/>
        <v>0</v>
      </c>
      <c r="AR700" s="215">
        <f>AR912</f>
        <v>0</v>
      </c>
      <c r="AS700" s="215">
        <f>AS912</f>
        <v>0</v>
      </c>
      <c r="AT700" s="215">
        <f>AT912</f>
        <v>0</v>
      </c>
      <c r="AU700" s="215">
        <f>AU912</f>
        <v>0</v>
      </c>
      <c r="AV700" s="968">
        <f t="shared" si="1295"/>
        <v>0</v>
      </c>
      <c r="AW700" s="215">
        <f>AW912</f>
        <v>0</v>
      </c>
      <c r="AX700" s="215">
        <f>AX912</f>
        <v>0</v>
      </c>
      <c r="AY700" s="215">
        <f>AY912</f>
        <v>0</v>
      </c>
      <c r="AZ700" s="215">
        <f>AZ912</f>
        <v>0</v>
      </c>
      <c r="BA700" s="968">
        <f t="shared" si="1296"/>
        <v>0</v>
      </c>
      <c r="BB700" s="215">
        <f>BB912</f>
        <v>0</v>
      </c>
      <c r="BC700" s="215">
        <f>BC912</f>
        <v>0</v>
      </c>
      <c r="BD700" s="215">
        <f>BD912</f>
        <v>0</v>
      </c>
      <c r="BE700" s="215">
        <f>BE912</f>
        <v>0</v>
      </c>
      <c r="BF700" s="968">
        <f t="shared" si="1297"/>
        <v>0</v>
      </c>
      <c r="BG700" s="215">
        <f>BG912</f>
        <v>0</v>
      </c>
      <c r="BH700" s="215">
        <f>BH912</f>
        <v>0</v>
      </c>
      <c r="BI700" s="215">
        <f>BI912</f>
        <v>0</v>
      </c>
      <c r="BJ700" s="215">
        <f>BJ912</f>
        <v>0</v>
      </c>
      <c r="BK700" s="968">
        <f t="shared" si="1298"/>
        <v>0</v>
      </c>
      <c r="BL700" s="215">
        <v>0</v>
      </c>
      <c r="BM700" s="215">
        <v>0</v>
      </c>
      <c r="BN700" s="215">
        <v>0</v>
      </c>
      <c r="BO700" s="215">
        <f>BO912</f>
        <v>0</v>
      </c>
      <c r="BP700" s="968">
        <f t="shared" si="1265"/>
        <v>0</v>
      </c>
      <c r="BQ700" s="215">
        <v>0</v>
      </c>
      <c r="BR700" s="215">
        <v>0</v>
      </c>
      <c r="BS700" s="215">
        <v>0</v>
      </c>
      <c r="BT700" s="215">
        <f>BT912</f>
        <v>0</v>
      </c>
      <c r="BU700" s="968">
        <f t="shared" si="1299"/>
        <v>0</v>
      </c>
      <c r="BV700" s="215">
        <v>0</v>
      </c>
      <c r="BW700" s="215">
        <f>0-BV700</f>
        <v>0</v>
      </c>
      <c r="BX700" s="215">
        <f>0-BW700-BV700</f>
        <v>0</v>
      </c>
      <c r="BY700" s="215">
        <f>BY912</f>
        <v>0</v>
      </c>
      <c r="BZ700" s="968">
        <f t="shared" si="1300"/>
        <v>0</v>
      </c>
      <c r="CA700" s="215">
        <v>0</v>
      </c>
      <c r="CB700" s="215">
        <f>CB912</f>
        <v>0</v>
      </c>
      <c r="CC700" s="215">
        <f>CC912</f>
        <v>0</v>
      </c>
      <c r="CD700" s="1788">
        <f>CD912</f>
        <v>0</v>
      </c>
      <c r="CE700" s="968">
        <f t="shared" si="1301"/>
        <v>0</v>
      </c>
      <c r="CF700" s="215">
        <v>0</v>
      </c>
      <c r="CG700" s="215">
        <f>CG912</f>
        <v>0</v>
      </c>
      <c r="CH700" s="215">
        <f>CH912</f>
        <v>0</v>
      </c>
      <c r="CI700" s="1788">
        <f>CI912</f>
        <v>0</v>
      </c>
      <c r="CJ700" s="968">
        <f t="shared" si="1302"/>
        <v>0</v>
      </c>
      <c r="CK700" s="215">
        <f>CK912</f>
        <v>0</v>
      </c>
      <c r="CL700" s="215">
        <f>CL912</f>
        <v>0</v>
      </c>
      <c r="CM700" s="2349">
        <f>CM912</f>
        <v>0</v>
      </c>
      <c r="CN700" s="1788">
        <f>CN912</f>
        <v>0</v>
      </c>
      <c r="CO700" s="968">
        <f t="shared" si="1303"/>
        <v>0</v>
      </c>
      <c r="CP700" s="2327">
        <f>CP912</f>
        <v>0</v>
      </c>
      <c r="CQ700" s="2327">
        <f>CQ912</f>
        <v>0</v>
      </c>
      <c r="CR700" s="215">
        <f>CR912</f>
        <v>0</v>
      </c>
      <c r="CS700" s="215">
        <f>CS912</f>
        <v>0</v>
      </c>
      <c r="CT700" s="968">
        <f t="shared" si="1304"/>
        <v>0</v>
      </c>
      <c r="CU700" s="215">
        <f t="shared" ref="CU700:DA700" si="1306">CU912</f>
        <v>0</v>
      </c>
      <c r="CV700" s="215">
        <f t="shared" si="1306"/>
        <v>0</v>
      </c>
      <c r="CW700" s="215">
        <f t="shared" si="1306"/>
        <v>0</v>
      </c>
      <c r="CX700" s="215">
        <f t="shared" si="1306"/>
        <v>0</v>
      </c>
      <c r="CY700" s="2290">
        <f t="shared" si="1305"/>
        <v>0</v>
      </c>
      <c r="CZ700" s="968">
        <f t="shared" si="1306"/>
        <v>0</v>
      </c>
      <c r="DA700" s="968">
        <f t="shared" si="1306"/>
        <v>0</v>
      </c>
      <c r="DB700"/>
      <c r="DC700"/>
      <c r="DD700" s="2295" t="s">
        <v>890</v>
      </c>
      <c r="DE700" s="2290">
        <f t="shared" si="1267"/>
        <v>0</v>
      </c>
      <c r="DF700" s="2290">
        <f t="shared" si="1268"/>
        <v>0</v>
      </c>
      <c r="DG700" s="2290">
        <f t="shared" si="1269"/>
        <v>0</v>
      </c>
      <c r="DH700" s="2290">
        <f t="shared" si="1270"/>
        <v>0</v>
      </c>
      <c r="DI700" s="2290">
        <f t="shared" si="1271"/>
        <v>0</v>
      </c>
      <c r="DJ700" s="2290">
        <f t="shared" si="1272"/>
        <v>0</v>
      </c>
      <c r="DK700" s="2290">
        <f t="shared" si="1273"/>
        <v>0</v>
      </c>
      <c r="DL700" s="2290">
        <f t="shared" si="1274"/>
        <v>0</v>
      </c>
      <c r="DM700" s="2290">
        <f t="shared" si="1275"/>
        <v>0</v>
      </c>
      <c r="DN700" s="2290">
        <f t="shared" si="1276"/>
        <v>0</v>
      </c>
      <c r="DO700" s="2290">
        <f t="shared" si="1277"/>
        <v>0</v>
      </c>
      <c r="DP700" s="2290">
        <f t="shared" si="1278"/>
        <v>0</v>
      </c>
      <c r="DQ700" s="2290">
        <f t="shared" si="1279"/>
        <v>0</v>
      </c>
      <c r="DR700" s="2290">
        <f t="shared" si="1280"/>
        <v>0</v>
      </c>
      <c r="DS700" s="2290">
        <f t="shared" si="1281"/>
        <v>0</v>
      </c>
      <c r="DT700" s="2290">
        <f t="shared" si="1282"/>
        <v>0</v>
      </c>
      <c r="DU700" s="2290">
        <f t="shared" si="1283"/>
        <v>0</v>
      </c>
      <c r="DV700" s="2290">
        <f t="shared" si="1284"/>
        <v>0</v>
      </c>
      <c r="DW700" s="2290">
        <f t="shared" si="1285"/>
        <v>0</v>
      </c>
      <c r="DX700" s="2290">
        <f t="shared" si="1286"/>
        <v>0</v>
      </c>
      <c r="DY700" s="2290">
        <f t="shared" si="1287"/>
        <v>0</v>
      </c>
      <c r="EA700"/>
      <c r="EB700"/>
      <c r="EC700"/>
      <c r="ED700"/>
      <c r="EE700"/>
      <c r="EF700"/>
      <c r="EJ700"/>
      <c r="EK700"/>
      <c r="EL700"/>
      <c r="EM700" s="1703"/>
      <c r="ER700" s="212"/>
    </row>
    <row r="701" spans="1:148" s="923" customFormat="1" x14ac:dyDescent="0.2">
      <c r="A701" s="507" t="s">
        <v>889</v>
      </c>
      <c r="B701" s="845"/>
      <c r="C701" s="845"/>
      <c r="D701" s="845"/>
      <c r="E701" s="845"/>
      <c r="F701" s="845"/>
      <c r="G701" s="845"/>
      <c r="H701" s="845"/>
      <c r="I701" s="845">
        <v>53</v>
      </c>
      <c r="J701" s="845">
        <f>103-I701</f>
        <v>50</v>
      </c>
      <c r="K701" s="845">
        <f>198-J701-I701</f>
        <v>95</v>
      </c>
      <c r="L701" s="845">
        <f>133+48-K701-J701-I701</f>
        <v>-17</v>
      </c>
      <c r="M701" s="661">
        <f t="shared" si="1288"/>
        <v>181</v>
      </c>
      <c r="N701" s="845">
        <v>60</v>
      </c>
      <c r="O701" s="845">
        <f>95-N701</f>
        <v>35</v>
      </c>
      <c r="P701" s="845">
        <f>151-O701-N701</f>
        <v>56</v>
      </c>
      <c r="Q701" s="845">
        <f>9+275-P701-O701-N701</f>
        <v>133</v>
      </c>
      <c r="R701" s="661">
        <f t="shared" si="1289"/>
        <v>284</v>
      </c>
      <c r="S701" s="845">
        <v>50</v>
      </c>
      <c r="T701" s="845">
        <f>63-S701</f>
        <v>13</v>
      </c>
      <c r="U701" s="845">
        <f>90-T701-S701</f>
        <v>27</v>
      </c>
      <c r="V701" s="845">
        <f>-105+223-U701-T701-S701</f>
        <v>28</v>
      </c>
      <c r="W701" s="661">
        <f t="shared" si="1290"/>
        <v>118</v>
      </c>
      <c r="X701" s="845">
        <f>-90</f>
        <v>-90</v>
      </c>
      <c r="Y701" s="845">
        <f>-142-X701</f>
        <v>-52</v>
      </c>
      <c r="Z701" s="845">
        <f>-148-92+29-Y701-X701</f>
        <v>-69</v>
      </c>
      <c r="AA701" s="845">
        <f>-171-59+55-Z701-Y701-X701</f>
        <v>36</v>
      </c>
      <c r="AB701" s="661">
        <f t="shared" si="1291"/>
        <v>-175</v>
      </c>
      <c r="AC701" s="845">
        <f>-11-22</f>
        <v>-33</v>
      </c>
      <c r="AD701" s="845">
        <f>-19-14-36-AC701</f>
        <v>-36</v>
      </c>
      <c r="AE701" s="845">
        <f>-51-29-0-AD701-AC701</f>
        <v>-11</v>
      </c>
      <c r="AF701" s="845">
        <f>-63-40-77-AE701-AD701-AC701</f>
        <v>-100</v>
      </c>
      <c r="AG701" s="661">
        <f t="shared" si="1292"/>
        <v>-180</v>
      </c>
      <c r="AH701" s="845">
        <f>-23+14-10</f>
        <v>-19</v>
      </c>
      <c r="AI701" s="845">
        <f>132-98-AH701-14</f>
        <v>39</v>
      </c>
      <c r="AJ701" s="845">
        <f>-71+152+1-32-AI701-AH701</f>
        <v>30</v>
      </c>
      <c r="AK701" s="845">
        <f>-47-86+160+1-AJ701-AI701-AH701</f>
        <v>-22</v>
      </c>
      <c r="AL701" s="661">
        <f t="shared" si="1293"/>
        <v>28</v>
      </c>
      <c r="AM701" s="845">
        <f>105+16-5+6-31</f>
        <v>91</v>
      </c>
      <c r="AN701" s="845">
        <f>-20-AM701-57+105+44-6+2</f>
        <v>-23</v>
      </c>
      <c r="AO701" s="845">
        <f>32-AN701-AM701-8+58+105+54-1</f>
        <v>172</v>
      </c>
      <c r="AP701" s="845">
        <f>-76-AO701-AN701-AM701-7+113+109+106-3-1</f>
        <v>1</v>
      </c>
      <c r="AQ701" s="661">
        <f t="shared" si="1294"/>
        <v>241</v>
      </c>
      <c r="AR701" s="845">
        <f>-42-6</f>
        <v>-48</v>
      </c>
      <c r="AS701" s="845">
        <f>-54-AR701+53-22</f>
        <v>25</v>
      </c>
      <c r="AT701" s="845">
        <f>-216-AS701-AR701+76-4-24</f>
        <v>-145</v>
      </c>
      <c r="AU701" s="845">
        <f>-150-AT701-AS701-AR701-3+122-24</f>
        <v>113</v>
      </c>
      <c r="AV701" s="661">
        <f t="shared" si="1295"/>
        <v>-55</v>
      </c>
      <c r="AW701" s="845">
        <f>41-2</f>
        <v>39</v>
      </c>
      <c r="AX701" s="845">
        <f>118-AW701+70-5-36</f>
        <v>108</v>
      </c>
      <c r="AY701" s="845">
        <f>230-20+79-65-AX701-AW701</f>
        <v>77</v>
      </c>
      <c r="AZ701" s="845">
        <f>-24+110+116+51+62-SUM(AW701:AY701)</f>
        <v>91</v>
      </c>
      <c r="BA701" s="661">
        <f t="shared" si="1296"/>
        <v>315</v>
      </c>
      <c r="BB701" s="845">
        <f>21-9-3-1</f>
        <v>8</v>
      </c>
      <c r="BC701" s="845">
        <f>27-17-4-BB701</f>
        <v>-2</v>
      </c>
      <c r="BD701" s="845">
        <v>20</v>
      </c>
      <c r="BE701" s="845">
        <f>-167+103+16+80-SUM(BB701:BD701)+69</f>
        <v>75</v>
      </c>
      <c r="BF701" s="661">
        <f t="shared" si="1297"/>
        <v>101</v>
      </c>
      <c r="BG701" s="845">
        <f>22+24-4+2</f>
        <v>44</v>
      </c>
      <c r="BH701" s="845">
        <f>61+26+6-6-BG701</f>
        <v>43</v>
      </c>
      <c r="BI701" s="845">
        <f>91+26-9+9-SUM(BG701:BH701)</f>
        <v>30</v>
      </c>
      <c r="BJ701" s="845">
        <f>-27+86-11+131+23-SUM(BG701:BI701)</f>
        <v>85</v>
      </c>
      <c r="BK701" s="661">
        <f t="shared" si="1298"/>
        <v>202</v>
      </c>
      <c r="BL701" s="845">
        <f>35+33-2+2</f>
        <v>68</v>
      </c>
      <c r="BM701" s="845">
        <f>74+35+5-4-BL701</f>
        <v>42</v>
      </c>
      <c r="BN701" s="845">
        <f>20-BM701-BL701+324-4+32+32</f>
        <v>294</v>
      </c>
      <c r="BO701" s="845">
        <f>324+113+78-5+47-SUM(BL701:BN701)</f>
        <v>153</v>
      </c>
      <c r="BP701" s="661">
        <f t="shared" si="1265"/>
        <v>557</v>
      </c>
      <c r="BQ701" s="845">
        <f>70+14+1</f>
        <v>85</v>
      </c>
      <c r="BR701" s="845">
        <f>113+21+4-BQ701</f>
        <v>53</v>
      </c>
      <c r="BS701" s="845">
        <f>154-9+13-BR701-BQ701</f>
        <v>20</v>
      </c>
      <c r="BT701" s="845">
        <f>224+60+19-BS701-BR701-BQ701</f>
        <v>145</v>
      </c>
      <c r="BU701" s="661">
        <f t="shared" si="1299"/>
        <v>303</v>
      </c>
      <c r="BV701" s="845">
        <v>33</v>
      </c>
      <c r="BW701" s="845">
        <f>85-BV701</f>
        <v>52</v>
      </c>
      <c r="BX701" s="845">
        <f>67-BW701-BV701</f>
        <v>-18</v>
      </c>
      <c r="BY701" s="845">
        <f>73+99-BX701-BW701-BV701</f>
        <v>105</v>
      </c>
      <c r="BZ701" s="661">
        <f t="shared" si="1300"/>
        <v>172</v>
      </c>
      <c r="CA701" s="845">
        <v>16</v>
      </c>
      <c r="CB701" s="845">
        <f>57-CA701</f>
        <v>41</v>
      </c>
      <c r="CC701" s="223">
        <f>83-CB701-CA701</f>
        <v>26</v>
      </c>
      <c r="CD701" s="223">
        <f>71+88-CC701-CB701-CA701</f>
        <v>76</v>
      </c>
      <c r="CE701" s="661">
        <f t="shared" si="1301"/>
        <v>159</v>
      </c>
      <c r="CF701" s="845">
        <v>29</v>
      </c>
      <c r="CG701" s="845">
        <f>99-CF701</f>
        <v>70</v>
      </c>
      <c r="CH701" s="845">
        <f>120-CG701-CF701</f>
        <v>21</v>
      </c>
      <c r="CI701" s="2034">
        <f>143-SUM(CF701:CH701)</f>
        <v>23</v>
      </c>
      <c r="CJ701" s="661">
        <f t="shared" si="1302"/>
        <v>143</v>
      </c>
      <c r="CK701" s="845">
        <v>58</v>
      </c>
      <c r="CL701" s="845">
        <f>61-CK701</f>
        <v>3</v>
      </c>
      <c r="CM701" s="845">
        <f>1-CL701-CK701</f>
        <v>-60</v>
      </c>
      <c r="CN701" s="845">
        <f>76-CK701-CL701-CM701</f>
        <v>75</v>
      </c>
      <c r="CO701" s="2293">
        <f t="shared" si="1303"/>
        <v>76</v>
      </c>
      <c r="CP701" s="3657">
        <v>82</v>
      </c>
      <c r="CQ701" s="3657">
        <f>96-CP701</f>
        <v>14</v>
      </c>
      <c r="CR701" s="85">
        <f>73-CQ701-CP701</f>
        <v>-23</v>
      </c>
      <c r="CS701" s="2349">
        <f>+CS95+CS96</f>
        <v>37</v>
      </c>
      <c r="CT701" s="2293">
        <f t="shared" si="1304"/>
        <v>110</v>
      </c>
      <c r="CU701" s="3674">
        <f>+CU95+CU96-600*0.08/4</f>
        <v>28</v>
      </c>
      <c r="CV701" s="3674">
        <f>+CV95+CV96-259-600*0.08/4</f>
        <v>-231</v>
      </c>
      <c r="CW701" s="3674">
        <f>+CW95+CW96-600*0.08/4</f>
        <v>28</v>
      </c>
      <c r="CX701" s="3674">
        <f>+CX95+CX96-600*0.08/4</f>
        <v>28</v>
      </c>
      <c r="CY701" s="2293">
        <f t="shared" si="1305"/>
        <v>-147</v>
      </c>
      <c r="CZ701" s="3821">
        <f>+CZ95+CZ96-600*0.08</f>
        <v>112</v>
      </c>
      <c r="DA701" s="3821">
        <f>+DA95+DA96-600*0.08/4</f>
        <v>148</v>
      </c>
      <c r="DB701"/>
      <c r="DC701"/>
      <c r="DD701" s="2295" t="s">
        <v>889</v>
      </c>
      <c r="DE701" s="2293">
        <f t="shared" si="1267"/>
        <v>181</v>
      </c>
      <c r="DF701" s="2293">
        <f t="shared" si="1268"/>
        <v>284</v>
      </c>
      <c r="DG701" s="2293">
        <f t="shared" si="1269"/>
        <v>118</v>
      </c>
      <c r="DH701" s="2293">
        <f t="shared" si="1270"/>
        <v>-175</v>
      </c>
      <c r="DI701" s="2293">
        <f t="shared" si="1271"/>
        <v>-180</v>
      </c>
      <c r="DJ701" s="2293">
        <f t="shared" si="1272"/>
        <v>28</v>
      </c>
      <c r="DK701" s="2293">
        <f t="shared" si="1273"/>
        <v>241</v>
      </c>
      <c r="DL701" s="2293">
        <f t="shared" si="1274"/>
        <v>-55</v>
      </c>
      <c r="DM701" s="2293">
        <f t="shared" si="1275"/>
        <v>315</v>
      </c>
      <c r="DN701" s="2293">
        <f t="shared" si="1276"/>
        <v>101</v>
      </c>
      <c r="DO701" s="2293">
        <f t="shared" si="1277"/>
        <v>202</v>
      </c>
      <c r="DP701" s="2293">
        <f t="shared" si="1278"/>
        <v>557</v>
      </c>
      <c r="DQ701" s="2293">
        <f t="shared" si="1279"/>
        <v>303</v>
      </c>
      <c r="DR701" s="2293">
        <f t="shared" si="1280"/>
        <v>172</v>
      </c>
      <c r="DS701" s="2293">
        <f t="shared" si="1281"/>
        <v>159</v>
      </c>
      <c r="DT701" s="2293">
        <f t="shared" si="1282"/>
        <v>143</v>
      </c>
      <c r="DU701" s="2293">
        <f t="shared" si="1283"/>
        <v>76</v>
      </c>
      <c r="DV701" s="2293">
        <f t="shared" si="1284"/>
        <v>110</v>
      </c>
      <c r="DW701" s="2293">
        <f t="shared" si="1285"/>
        <v>-147</v>
      </c>
      <c r="DX701" s="2293">
        <f t="shared" si="1286"/>
        <v>112</v>
      </c>
      <c r="DY701" s="2293">
        <f t="shared" si="1287"/>
        <v>148</v>
      </c>
      <c r="EA701"/>
      <c r="EB701"/>
      <c r="EC701"/>
      <c r="ED701"/>
      <c r="EE701"/>
      <c r="EF701"/>
      <c r="EJ701"/>
      <c r="EK701"/>
      <c r="EL701"/>
      <c r="EM701" s="1703"/>
      <c r="ER701" s="212"/>
    </row>
    <row r="702" spans="1:148" s="923" customFormat="1" x14ac:dyDescent="0.2">
      <c r="A702" s="507" t="s">
        <v>929</v>
      </c>
      <c r="B702" s="845"/>
      <c r="C702" s="845"/>
      <c r="D702" s="845"/>
      <c r="E702" s="845"/>
      <c r="F702" s="845"/>
      <c r="G702" s="845"/>
      <c r="H702" s="845"/>
      <c r="I702" s="845">
        <v>-68</v>
      </c>
      <c r="J702" s="845">
        <f>-73-I702</f>
        <v>-5</v>
      </c>
      <c r="K702" s="845">
        <f>-122-J702-I702</f>
        <v>-49</v>
      </c>
      <c r="L702" s="845">
        <f>-195-K702-J702-I702</f>
        <v>-73</v>
      </c>
      <c r="M702" s="968">
        <f t="shared" si="1288"/>
        <v>-195</v>
      </c>
      <c r="N702" s="845">
        <v>-107</v>
      </c>
      <c r="O702" s="845">
        <f>-143-N702</f>
        <v>-36</v>
      </c>
      <c r="P702" s="845">
        <f>-218-O702-N702</f>
        <v>-75</v>
      </c>
      <c r="Q702" s="845">
        <f>-358-P702-O702-N702</f>
        <v>-140</v>
      </c>
      <c r="R702" s="968">
        <f t="shared" si="1289"/>
        <v>-358</v>
      </c>
      <c r="S702" s="845">
        <v>-29</v>
      </c>
      <c r="T702" s="845">
        <f>-63-S702</f>
        <v>-34</v>
      </c>
      <c r="U702" s="845">
        <f>-104-T702-S702</f>
        <v>-41</v>
      </c>
      <c r="V702" s="845">
        <f>-63-U702-T702-S702</f>
        <v>41</v>
      </c>
      <c r="W702" s="968">
        <f t="shared" si="1290"/>
        <v>-63</v>
      </c>
      <c r="X702" s="845">
        <v>-62</v>
      </c>
      <c r="Y702" s="845">
        <f>-41-X702</f>
        <v>21</v>
      </c>
      <c r="Z702" s="845">
        <f>-88-Y702-X702</f>
        <v>-47</v>
      </c>
      <c r="AA702" s="845">
        <f>-111-Z702-Y702-X702</f>
        <v>-23</v>
      </c>
      <c r="AB702" s="968">
        <f t="shared" si="1291"/>
        <v>-111</v>
      </c>
      <c r="AC702" s="845">
        <v>-47</v>
      </c>
      <c r="AD702" s="845">
        <f>92-AC702</f>
        <v>139</v>
      </c>
      <c r="AE702" s="845">
        <f>36-AD702-AC702</f>
        <v>-56</v>
      </c>
      <c r="AF702" s="845">
        <f>113-AE702-AD702-AC702</f>
        <v>77</v>
      </c>
      <c r="AG702" s="968">
        <f t="shared" si="1292"/>
        <v>113</v>
      </c>
      <c r="AH702" s="845">
        <v>-88</v>
      </c>
      <c r="AI702" s="845">
        <f>12-AH702</f>
        <v>100</v>
      </c>
      <c r="AJ702" s="845">
        <f>-93-AI702-AH702</f>
        <v>-105</v>
      </c>
      <c r="AK702" s="845">
        <f>-6-AJ702-AI702-AH702</f>
        <v>87</v>
      </c>
      <c r="AL702" s="968">
        <f t="shared" si="1293"/>
        <v>-6</v>
      </c>
      <c r="AM702" s="845">
        <v>-79</v>
      </c>
      <c r="AN702" s="845">
        <f>65-AM702</f>
        <v>144</v>
      </c>
      <c r="AO702" s="845">
        <f>-133-AN702-AM702</f>
        <v>-198</v>
      </c>
      <c r="AP702" s="845">
        <f>-104-AO702-AN702-AM702</f>
        <v>29</v>
      </c>
      <c r="AQ702" s="968">
        <f t="shared" si="1294"/>
        <v>-104</v>
      </c>
      <c r="AR702" s="845">
        <v>-103</v>
      </c>
      <c r="AS702" s="845">
        <f>-11-AR702</f>
        <v>92</v>
      </c>
      <c r="AT702" s="845">
        <f>-180-AS702-AR702</f>
        <v>-169</v>
      </c>
      <c r="AU702" s="845">
        <f>-155-AT702-AS702-AR702</f>
        <v>25</v>
      </c>
      <c r="AV702" s="968">
        <f t="shared" si="1295"/>
        <v>-155</v>
      </c>
      <c r="AW702" s="845">
        <v>-102</v>
      </c>
      <c r="AX702" s="845">
        <f>-34-AW702</f>
        <v>68</v>
      </c>
      <c r="AY702" s="845">
        <f>-273-AX702-AW702</f>
        <v>-239</v>
      </c>
      <c r="AZ702" s="845">
        <f>-398-SUM(AW702:AY702)</f>
        <v>-125</v>
      </c>
      <c r="BA702" s="968">
        <f t="shared" si="1296"/>
        <v>-398</v>
      </c>
      <c r="BB702" s="845">
        <v>152</v>
      </c>
      <c r="BC702" s="845">
        <f>80-BB702</f>
        <v>-72</v>
      </c>
      <c r="BD702" s="845">
        <f>54-SUM(BB702:BC702)</f>
        <v>-26</v>
      </c>
      <c r="BE702" s="845">
        <f>146-SUM(BB702:BD702)</f>
        <v>92</v>
      </c>
      <c r="BF702" s="968">
        <f t="shared" si="1297"/>
        <v>146</v>
      </c>
      <c r="BG702" s="845">
        <v>68</v>
      </c>
      <c r="BH702" s="845">
        <f>125-BG702</f>
        <v>57</v>
      </c>
      <c r="BI702" s="845">
        <f>213-SUM(BG702:BH702)</f>
        <v>88</v>
      </c>
      <c r="BJ702" s="845">
        <f>216-SUM(BG702:BI702)</f>
        <v>3</v>
      </c>
      <c r="BK702" s="968">
        <f t="shared" si="1298"/>
        <v>216</v>
      </c>
      <c r="BL702" s="845">
        <v>81</v>
      </c>
      <c r="BM702" s="845">
        <f>113-BL702</f>
        <v>32</v>
      </c>
      <c r="BN702" s="845">
        <f>158-BM702-BL702</f>
        <v>45</v>
      </c>
      <c r="BO702" s="845">
        <f>175-BN702-BM702-BL702</f>
        <v>17</v>
      </c>
      <c r="BP702" s="968">
        <f>SUM(BL702:BO702)</f>
        <v>175</v>
      </c>
      <c r="BQ702" s="845">
        <v>0</v>
      </c>
      <c r="BR702" s="845">
        <v>0</v>
      </c>
      <c r="BS702" s="845">
        <f>0-BR702-BQ702</f>
        <v>0</v>
      </c>
      <c r="BT702" s="845">
        <v>0</v>
      </c>
      <c r="BU702" s="968">
        <f t="shared" si="1299"/>
        <v>0</v>
      </c>
      <c r="BV702" s="845">
        <v>0</v>
      </c>
      <c r="BW702" s="845">
        <f>0-BV702</f>
        <v>0</v>
      </c>
      <c r="BX702" s="845">
        <f>0-BW702-BV702</f>
        <v>0</v>
      </c>
      <c r="BY702" s="845">
        <v>0</v>
      </c>
      <c r="BZ702" s="968">
        <f t="shared" si="1300"/>
        <v>0</v>
      </c>
      <c r="CA702" s="845">
        <v>0</v>
      </c>
      <c r="CB702" s="845">
        <v>0</v>
      </c>
      <c r="CC702" s="215">
        <v>0</v>
      </c>
      <c r="CD702" s="1788">
        <v>0</v>
      </c>
      <c r="CE702" s="968">
        <f t="shared" si="1301"/>
        <v>0</v>
      </c>
      <c r="CF702" s="845">
        <v>0</v>
      </c>
      <c r="CG702" s="215">
        <v>0</v>
      </c>
      <c r="CH702" s="215">
        <v>0</v>
      </c>
      <c r="CI702" s="1788">
        <v>0</v>
      </c>
      <c r="CJ702" s="968">
        <f t="shared" si="1302"/>
        <v>0</v>
      </c>
      <c r="CK702" s="215">
        <v>0</v>
      </c>
      <c r="CL702" s="215">
        <v>0</v>
      </c>
      <c r="CM702" s="2349">
        <v>0</v>
      </c>
      <c r="CN702" s="2349">
        <v>0</v>
      </c>
      <c r="CO702" s="968">
        <f t="shared" si="1303"/>
        <v>0</v>
      </c>
      <c r="CP702" s="3657">
        <v>0</v>
      </c>
      <c r="CQ702" s="3657">
        <v>0</v>
      </c>
      <c r="CR702" s="85">
        <f>0-CQ702-CP702</f>
        <v>0</v>
      </c>
      <c r="CS702" s="215">
        <v>0</v>
      </c>
      <c r="CT702" s="968">
        <f t="shared" si="1304"/>
        <v>0</v>
      </c>
      <c r="CU702" s="215">
        <v>0</v>
      </c>
      <c r="CV702" s="215">
        <v>0</v>
      </c>
      <c r="CW702" s="215">
        <v>0</v>
      </c>
      <c r="CX702" s="215">
        <v>0</v>
      </c>
      <c r="CY702" s="2290">
        <f t="shared" si="1305"/>
        <v>0</v>
      </c>
      <c r="CZ702" s="968">
        <f>CY747-CZ747-CZ504-CZ505</f>
        <v>0</v>
      </c>
      <c r="DA702" s="968">
        <f>CZ747-DA747-DA504-DA505</f>
        <v>0</v>
      </c>
      <c r="DB702"/>
      <c r="DC702"/>
      <c r="DD702" s="2295" t="s">
        <v>929</v>
      </c>
      <c r="DE702" s="2290">
        <f t="shared" si="1267"/>
        <v>-195</v>
      </c>
      <c r="DF702" s="2290">
        <f t="shared" si="1268"/>
        <v>-358</v>
      </c>
      <c r="DG702" s="2290">
        <f t="shared" si="1269"/>
        <v>-63</v>
      </c>
      <c r="DH702" s="2290">
        <f t="shared" si="1270"/>
        <v>-111</v>
      </c>
      <c r="DI702" s="2290">
        <f t="shared" si="1271"/>
        <v>113</v>
      </c>
      <c r="DJ702" s="2290">
        <f t="shared" si="1272"/>
        <v>-6</v>
      </c>
      <c r="DK702" s="2290">
        <f t="shared" si="1273"/>
        <v>-104</v>
      </c>
      <c r="DL702" s="2290">
        <f t="shared" si="1274"/>
        <v>-155</v>
      </c>
      <c r="DM702" s="2290">
        <f t="shared" si="1275"/>
        <v>-398</v>
      </c>
      <c r="DN702" s="2290">
        <f t="shared" si="1276"/>
        <v>146</v>
      </c>
      <c r="DO702" s="2290">
        <f t="shared" si="1277"/>
        <v>216</v>
      </c>
      <c r="DP702" s="2290">
        <f t="shared" si="1278"/>
        <v>175</v>
      </c>
      <c r="DQ702" s="2290">
        <f t="shared" si="1279"/>
        <v>0</v>
      </c>
      <c r="DR702" s="2290">
        <f t="shared" si="1280"/>
        <v>0</v>
      </c>
      <c r="DS702" s="2290">
        <f t="shared" si="1281"/>
        <v>0</v>
      </c>
      <c r="DT702" s="2290">
        <f t="shared" si="1282"/>
        <v>0</v>
      </c>
      <c r="DU702" s="2290">
        <f t="shared" si="1283"/>
        <v>0</v>
      </c>
      <c r="DV702" s="2290">
        <f t="shared" si="1284"/>
        <v>0</v>
      </c>
      <c r="DW702" s="2290">
        <f t="shared" si="1285"/>
        <v>0</v>
      </c>
      <c r="DX702" s="2290">
        <f t="shared" si="1286"/>
        <v>0</v>
      </c>
      <c r="DY702" s="2290">
        <f t="shared" si="1287"/>
        <v>0</v>
      </c>
      <c r="EA702"/>
      <c r="EB702"/>
      <c r="EC702"/>
      <c r="ED702"/>
      <c r="EE702"/>
      <c r="EF702"/>
      <c r="EJ702"/>
      <c r="EK702"/>
      <c r="EL702"/>
      <c r="EM702" s="1703"/>
      <c r="ER702" s="212"/>
    </row>
    <row r="703" spans="1:148" s="923" customFormat="1" x14ac:dyDescent="0.2">
      <c r="A703" s="1131" t="s">
        <v>891</v>
      </c>
      <c r="B703" s="767"/>
      <c r="C703" s="767"/>
      <c r="D703" s="767"/>
      <c r="E703" s="767"/>
      <c r="F703" s="767"/>
      <c r="G703" s="767"/>
      <c r="H703" s="767"/>
      <c r="I703" s="767">
        <v>-99</v>
      </c>
      <c r="J703" s="767">
        <f>-62-I703</f>
        <v>37</v>
      </c>
      <c r="K703" s="767">
        <f>73-J703-I703</f>
        <v>135</v>
      </c>
      <c r="L703" s="767">
        <f>-53-4+28+219-K703-J703-I703</f>
        <v>117</v>
      </c>
      <c r="M703" s="970">
        <f t="shared" si="1288"/>
        <v>190</v>
      </c>
      <c r="N703" s="767">
        <v>-94</v>
      </c>
      <c r="O703" s="767">
        <f>-115-N703</f>
        <v>-21</v>
      </c>
      <c r="P703" s="767">
        <f>16-O703-N703</f>
        <v>131</v>
      </c>
      <c r="Q703" s="767">
        <f>57+1-21-21-P703-O703-N703</f>
        <v>0</v>
      </c>
      <c r="R703" s="970">
        <f t="shared" si="1289"/>
        <v>16</v>
      </c>
      <c r="S703" s="767">
        <v>-87</v>
      </c>
      <c r="T703" s="767">
        <f>-7-S703</f>
        <v>80</v>
      </c>
      <c r="U703" s="767">
        <f>35-T703-S703</f>
        <v>42</v>
      </c>
      <c r="V703" s="767">
        <f>-31+60-32-U703-T703-S703</f>
        <v>-38</v>
      </c>
      <c r="W703" s="970">
        <f t="shared" si="1290"/>
        <v>-3</v>
      </c>
      <c r="X703" s="767">
        <f>-100</f>
        <v>-100</v>
      </c>
      <c r="Y703" s="767">
        <f>-106-X703</f>
        <v>-6</v>
      </c>
      <c r="Z703" s="767">
        <f>-85-Y703-X703</f>
        <v>21</v>
      </c>
      <c r="AA703" s="767">
        <f>-81+11+115-Z703-Y703-X703</f>
        <v>130</v>
      </c>
      <c r="AB703" s="970">
        <f t="shared" si="1291"/>
        <v>45</v>
      </c>
      <c r="AC703" s="767">
        <v>-83</v>
      </c>
      <c r="AD703" s="767">
        <f>-70-AC703</f>
        <v>13</v>
      </c>
      <c r="AE703" s="767">
        <f>3-AD703-AC703</f>
        <v>73</v>
      </c>
      <c r="AF703" s="767">
        <f>-6-16+218-AE703-AD703-AC703</f>
        <v>193</v>
      </c>
      <c r="AG703" s="970">
        <f t="shared" si="1292"/>
        <v>196</v>
      </c>
      <c r="AH703" s="767">
        <v>-136</v>
      </c>
      <c r="AI703" s="767">
        <f>-55-AH703</f>
        <v>81</v>
      </c>
      <c r="AJ703" s="767">
        <f>-37-AI703-AH703</f>
        <v>18</v>
      </c>
      <c r="AK703" s="767">
        <f>-128-22+113-AJ703-AI703-AH703</f>
        <v>0</v>
      </c>
      <c r="AL703" s="970">
        <f t="shared" si="1293"/>
        <v>-37</v>
      </c>
      <c r="AM703" s="767">
        <v>-98</v>
      </c>
      <c r="AN703" s="767">
        <f>-89-AM703</f>
        <v>9</v>
      </c>
      <c r="AO703" s="767">
        <f>-85-AN703-AM703</f>
        <v>4</v>
      </c>
      <c r="AP703" s="767">
        <f>-10-9+52-AO703-AN703-AM703</f>
        <v>118</v>
      </c>
      <c r="AQ703" s="970">
        <f t="shared" si="1294"/>
        <v>33</v>
      </c>
      <c r="AR703" s="767">
        <f>14-254+5</f>
        <v>-235</v>
      </c>
      <c r="AS703" s="767">
        <f>-102-AR703</f>
        <v>133</v>
      </c>
      <c r="AT703" s="767">
        <f>-24-AS703-AR703</f>
        <v>78</v>
      </c>
      <c r="AU703" s="767">
        <f>71-AT703-AS703-AR703</f>
        <v>95</v>
      </c>
      <c r="AV703" s="970">
        <f t="shared" si="1295"/>
        <v>71</v>
      </c>
      <c r="AW703" s="767">
        <f>33-199</f>
        <v>-166</v>
      </c>
      <c r="AX703" s="767">
        <f>-157-AW703</f>
        <v>9</v>
      </c>
      <c r="AY703" s="767">
        <f>37-AX703-AW703</f>
        <v>194</v>
      </c>
      <c r="AZ703" s="767">
        <f>172-SUM(AW703:AY703)</f>
        <v>135</v>
      </c>
      <c r="BA703" s="970">
        <f t="shared" si="1296"/>
        <v>172</v>
      </c>
      <c r="BB703" s="767">
        <v>-83</v>
      </c>
      <c r="BC703" s="767">
        <f>9-BB703</f>
        <v>92</v>
      </c>
      <c r="BD703" s="767">
        <f>169-SUM(BB703:BC703)</f>
        <v>160</v>
      </c>
      <c r="BE703" s="767">
        <f>105.8-SUM(BB703:BD703)-12</f>
        <v>-75.2</v>
      </c>
      <c r="BF703" s="970">
        <f t="shared" si="1297"/>
        <v>93.8</v>
      </c>
      <c r="BG703" s="767">
        <v>-74</v>
      </c>
      <c r="BH703" s="767">
        <f>27-BG703</f>
        <v>101</v>
      </c>
      <c r="BI703" s="767">
        <f>177-SUM(BG703:BH703)</f>
        <v>150</v>
      </c>
      <c r="BJ703" s="767">
        <f>120-SUM(BG703:BI703)</f>
        <v>-57</v>
      </c>
      <c r="BK703" s="970">
        <f t="shared" si="1298"/>
        <v>120</v>
      </c>
      <c r="BL703" s="767">
        <v>-146</v>
      </c>
      <c r="BM703" s="767">
        <f>-54-BL703</f>
        <v>92</v>
      </c>
      <c r="BN703" s="767">
        <f>150-BM703-BL703</f>
        <v>204</v>
      </c>
      <c r="BO703" s="767">
        <f>-9-SUM(BL703:BN703)+2</f>
        <v>-157</v>
      </c>
      <c r="BP703" s="970">
        <f t="shared" si="1265"/>
        <v>-7</v>
      </c>
      <c r="BQ703" s="767">
        <v>-93</v>
      </c>
      <c r="BR703" s="767">
        <f>-35-BQ703</f>
        <v>58</v>
      </c>
      <c r="BS703" s="767">
        <f>160-BR703-BQ703</f>
        <v>195</v>
      </c>
      <c r="BT703" s="767">
        <f>-30-BS703-BR703-BQ703</f>
        <v>-190</v>
      </c>
      <c r="BU703" s="970">
        <f t="shared" si="1299"/>
        <v>-30</v>
      </c>
      <c r="BV703" s="767">
        <f>8+2-98</f>
        <v>-88</v>
      </c>
      <c r="BW703" s="767">
        <f>20+11+105-BV703</f>
        <v>224</v>
      </c>
      <c r="BX703" s="767">
        <f>5+19+126-BW703-BV703</f>
        <v>14</v>
      </c>
      <c r="BY703" s="767">
        <f>215-BX703-BW703-BV703</f>
        <v>65</v>
      </c>
      <c r="BZ703" s="970">
        <f t="shared" si="1300"/>
        <v>215</v>
      </c>
      <c r="CA703" s="767">
        <f>25+30+24-121</f>
        <v>-42</v>
      </c>
      <c r="CB703" s="767">
        <f>54+68-17+60-CA703</f>
        <v>207</v>
      </c>
      <c r="CC703" s="767">
        <f>81+70-37+81-CB703-CA703</f>
        <v>30</v>
      </c>
      <c r="CD703" s="767">
        <f>-120+175+109-CC703-CB703-CA703</f>
        <v>-31</v>
      </c>
      <c r="CE703" s="970">
        <f t="shared" si="1301"/>
        <v>164</v>
      </c>
      <c r="CF703" s="767">
        <f>24+45-131+44</f>
        <v>-18</v>
      </c>
      <c r="CG703" s="767">
        <f>55+101-68+42-CF703</f>
        <v>148</v>
      </c>
      <c r="CH703" s="767">
        <f>84+119-77+70-CG703-CF703</f>
        <v>66</v>
      </c>
      <c r="CI703" s="767">
        <f>113+233-126+69-SUM(CF703:CH703)</f>
        <v>93</v>
      </c>
      <c r="CJ703" s="970">
        <f t="shared" si="1302"/>
        <v>289</v>
      </c>
      <c r="CK703" s="767">
        <f>28+76-106+27</f>
        <v>25</v>
      </c>
      <c r="CL703" s="767">
        <f>59+131-45+65-CK703</f>
        <v>185</v>
      </c>
      <c r="CM703" s="767">
        <f>117+179+172-47+77-CL703-CK703</f>
        <v>288</v>
      </c>
      <c r="CN703" s="767">
        <f>212+343+113-177+67-CK703-CL703-CM703</f>
        <v>60</v>
      </c>
      <c r="CO703" s="246">
        <f t="shared" si="1303"/>
        <v>558</v>
      </c>
      <c r="CP703" s="767">
        <f>48+60-36-108+50</f>
        <v>14</v>
      </c>
      <c r="CQ703" s="767">
        <f>95+204-6+82-98-CP703</f>
        <v>263</v>
      </c>
      <c r="CR703" s="767">
        <f>139+236-117+98+98-CQ703-CP703</f>
        <v>177</v>
      </c>
      <c r="CS703" s="3814">
        <f>383-SUM(CS697:CS702,CS714,CS722,CR726)</f>
        <v>453.50300000000016</v>
      </c>
      <c r="CT703" s="246">
        <f t="shared" si="1304"/>
        <v>907.50300000000016</v>
      </c>
      <c r="CU703" s="3929">
        <f>400/4</f>
        <v>100</v>
      </c>
      <c r="CV703" s="3929">
        <f t="shared" ref="CV703:CX703" si="1307">400/4</f>
        <v>100</v>
      </c>
      <c r="CW703" s="3929">
        <f t="shared" si="1307"/>
        <v>100</v>
      </c>
      <c r="CX703" s="3929">
        <f t="shared" si="1307"/>
        <v>100</v>
      </c>
      <c r="CY703" s="246">
        <f t="shared" si="1305"/>
        <v>400</v>
      </c>
      <c r="CZ703" s="3260">
        <v>400</v>
      </c>
      <c r="DA703" s="3368">
        <f>+CZ703</f>
        <v>400</v>
      </c>
      <c r="DB703"/>
      <c r="DC703"/>
      <c r="DD703" s="1131" t="s">
        <v>891</v>
      </c>
      <c r="DE703" s="970">
        <f t="shared" si="1267"/>
        <v>190</v>
      </c>
      <c r="DF703" s="970">
        <f t="shared" si="1268"/>
        <v>16</v>
      </c>
      <c r="DG703" s="970">
        <f t="shared" si="1269"/>
        <v>-3</v>
      </c>
      <c r="DH703" s="970">
        <f t="shared" si="1270"/>
        <v>45</v>
      </c>
      <c r="DI703" s="970">
        <f t="shared" si="1271"/>
        <v>196</v>
      </c>
      <c r="DJ703" s="970">
        <f t="shared" si="1272"/>
        <v>-37</v>
      </c>
      <c r="DK703" s="970">
        <f t="shared" si="1273"/>
        <v>33</v>
      </c>
      <c r="DL703" s="970">
        <f t="shared" si="1274"/>
        <v>71</v>
      </c>
      <c r="DM703" s="970">
        <f t="shared" si="1275"/>
        <v>172</v>
      </c>
      <c r="DN703" s="970">
        <f t="shared" si="1276"/>
        <v>93.8</v>
      </c>
      <c r="DO703" s="970">
        <f t="shared" si="1277"/>
        <v>120</v>
      </c>
      <c r="DP703" s="970">
        <f t="shared" si="1278"/>
        <v>-7</v>
      </c>
      <c r="DQ703" s="970">
        <f t="shared" si="1279"/>
        <v>-30</v>
      </c>
      <c r="DR703" s="970">
        <f t="shared" si="1280"/>
        <v>215</v>
      </c>
      <c r="DS703" s="970">
        <f t="shared" si="1281"/>
        <v>164</v>
      </c>
      <c r="DT703" s="970">
        <f t="shared" si="1282"/>
        <v>289</v>
      </c>
      <c r="DU703" s="970">
        <f t="shared" si="1283"/>
        <v>558</v>
      </c>
      <c r="DV703" s="970">
        <f t="shared" si="1284"/>
        <v>907.50300000000016</v>
      </c>
      <c r="DW703" s="970">
        <f t="shared" si="1285"/>
        <v>400</v>
      </c>
      <c r="DX703" s="970">
        <f t="shared" si="1286"/>
        <v>400</v>
      </c>
      <c r="DY703" s="970">
        <f t="shared" si="1287"/>
        <v>400</v>
      </c>
      <c r="EA703"/>
      <c r="EB703"/>
      <c r="EC703"/>
      <c r="ED703"/>
      <c r="EE703"/>
      <c r="EF703"/>
      <c r="EJ703"/>
      <c r="EK703"/>
      <c r="EL703"/>
      <c r="EM703" s="1703"/>
      <c r="ER703" s="212"/>
    </row>
    <row r="704" spans="1:148" s="1703" customFormat="1" x14ac:dyDescent="0.2">
      <c r="A704" s="1970" t="s">
        <v>640</v>
      </c>
      <c r="B704" s="1495"/>
      <c r="C704" s="1495"/>
      <c r="D704" s="1495"/>
      <c r="E704" s="1495"/>
      <c r="F704" s="1495"/>
      <c r="G704" s="1495"/>
      <c r="H704" s="1495"/>
      <c r="I704" s="1495">
        <f>SUM(I697:I703)</f>
        <v>21</v>
      </c>
      <c r="J704" s="1495">
        <f t="shared" ref="J704:AN704" si="1308">SUM(J697:J703)</f>
        <v>254</v>
      </c>
      <c r="K704" s="1495">
        <f t="shared" si="1308"/>
        <v>338</v>
      </c>
      <c r="L704" s="1495">
        <f t="shared" si="1308"/>
        <v>237</v>
      </c>
      <c r="M704" s="1729">
        <f t="shared" si="1308"/>
        <v>850</v>
      </c>
      <c r="N704" s="1495">
        <f t="shared" si="1308"/>
        <v>26</v>
      </c>
      <c r="O704" s="1495">
        <f t="shared" si="1308"/>
        <v>158</v>
      </c>
      <c r="P704" s="1495">
        <f t="shared" si="1308"/>
        <v>264</v>
      </c>
      <c r="Q704" s="1495">
        <f t="shared" si="1308"/>
        <v>-48</v>
      </c>
      <c r="R704" s="1729">
        <f t="shared" si="1308"/>
        <v>400</v>
      </c>
      <c r="S704" s="1495">
        <f t="shared" si="1308"/>
        <v>55</v>
      </c>
      <c r="T704" s="1495">
        <f t="shared" si="1308"/>
        <v>235.00000000000003</v>
      </c>
      <c r="U704" s="1495">
        <f t="shared" si="1308"/>
        <v>173.00000000000003</v>
      </c>
      <c r="V704" s="1495">
        <f t="shared" si="1308"/>
        <v>53</v>
      </c>
      <c r="W704" s="1729">
        <f t="shared" si="1308"/>
        <v>516</v>
      </c>
      <c r="X704" s="1495">
        <f t="shared" si="1308"/>
        <v>-102</v>
      </c>
      <c r="Y704" s="1495">
        <f t="shared" si="1308"/>
        <v>122</v>
      </c>
      <c r="Z704" s="1495">
        <f t="shared" si="1308"/>
        <v>34</v>
      </c>
      <c r="AA704" s="1495">
        <f t="shared" si="1308"/>
        <v>367</v>
      </c>
      <c r="AB704" s="1729">
        <f t="shared" si="1308"/>
        <v>421</v>
      </c>
      <c r="AC704" s="1495">
        <f t="shared" si="1308"/>
        <v>-10</v>
      </c>
      <c r="AD704" s="1495">
        <f t="shared" si="1308"/>
        <v>313</v>
      </c>
      <c r="AE704" s="1495">
        <f t="shared" si="1308"/>
        <v>178</v>
      </c>
      <c r="AF704" s="1495">
        <f t="shared" si="1308"/>
        <v>410</v>
      </c>
      <c r="AG704" s="1729">
        <f t="shared" si="1308"/>
        <v>891</v>
      </c>
      <c r="AH704" s="1495">
        <f t="shared" si="1308"/>
        <v>-61</v>
      </c>
      <c r="AI704" s="1495">
        <f t="shared" si="1308"/>
        <v>394</v>
      </c>
      <c r="AJ704" s="1495">
        <f t="shared" si="1308"/>
        <v>144</v>
      </c>
      <c r="AK704" s="1495">
        <f t="shared" si="1308"/>
        <v>360</v>
      </c>
      <c r="AL704" s="1729">
        <f t="shared" si="1308"/>
        <v>837</v>
      </c>
      <c r="AM704" s="1495">
        <f t="shared" si="1308"/>
        <v>18.999999999999943</v>
      </c>
      <c r="AN704" s="1495">
        <f t="shared" si="1308"/>
        <v>356</v>
      </c>
      <c r="AO704" s="1495">
        <f t="shared" ref="AO704:BU704" si="1309">SUM(AO697:AO703)</f>
        <v>166</v>
      </c>
      <c r="AP704" s="1495">
        <f t="shared" si="1309"/>
        <v>429</v>
      </c>
      <c r="AQ704" s="1729">
        <f t="shared" si="1309"/>
        <v>970</v>
      </c>
      <c r="AR704" s="1495">
        <f t="shared" si="1309"/>
        <v>-153</v>
      </c>
      <c r="AS704" s="1495">
        <f t="shared" si="1309"/>
        <v>519</v>
      </c>
      <c r="AT704" s="1495">
        <f t="shared" si="1309"/>
        <v>-60</v>
      </c>
      <c r="AU704" s="1495">
        <f t="shared" si="1309"/>
        <v>472</v>
      </c>
      <c r="AV704" s="1729">
        <f t="shared" si="1309"/>
        <v>778</v>
      </c>
      <c r="AW704" s="1495">
        <f t="shared" si="1309"/>
        <v>-67</v>
      </c>
      <c r="AX704" s="1495">
        <f t="shared" si="1309"/>
        <v>424</v>
      </c>
      <c r="AY704" s="1495">
        <f t="shared" si="1309"/>
        <v>198</v>
      </c>
      <c r="AZ704" s="1495">
        <f t="shared" si="1309"/>
        <v>86</v>
      </c>
      <c r="BA704" s="1729">
        <f t="shared" si="1309"/>
        <v>641</v>
      </c>
      <c r="BB704" s="1495">
        <f t="shared" si="1309"/>
        <v>203</v>
      </c>
      <c r="BC704" s="1495">
        <f t="shared" si="1309"/>
        <v>144</v>
      </c>
      <c r="BD704" s="1495">
        <f t="shared" si="1309"/>
        <v>250.2</v>
      </c>
      <c r="BE704" s="1495">
        <f t="shared" si="1309"/>
        <v>270.8</v>
      </c>
      <c r="BF704" s="1729">
        <f t="shared" si="1309"/>
        <v>868</v>
      </c>
      <c r="BG704" s="1495">
        <f t="shared" si="1309"/>
        <v>160</v>
      </c>
      <c r="BH704" s="1495">
        <f t="shared" si="1309"/>
        <v>362</v>
      </c>
      <c r="BI704" s="1495">
        <f t="shared" si="1309"/>
        <v>391</v>
      </c>
      <c r="BJ704" s="1495">
        <f t="shared" si="1309"/>
        <v>238</v>
      </c>
      <c r="BK704" s="1729">
        <f t="shared" si="1309"/>
        <v>1151</v>
      </c>
      <c r="BL704" s="1495">
        <f t="shared" si="1309"/>
        <v>139</v>
      </c>
      <c r="BM704" s="1495">
        <f>SUM(BM697:BM703)</f>
        <v>342</v>
      </c>
      <c r="BN704" s="1495">
        <f t="shared" si="1309"/>
        <v>404</v>
      </c>
      <c r="BO704" s="1495">
        <f t="shared" si="1309"/>
        <v>204</v>
      </c>
      <c r="BP704" s="1729">
        <f t="shared" si="1309"/>
        <v>1089</v>
      </c>
      <c r="BQ704" s="1495">
        <f t="shared" si="1309"/>
        <v>125</v>
      </c>
      <c r="BR704" s="1495">
        <f>SUM(BR697:BR703)</f>
        <v>292</v>
      </c>
      <c r="BS704" s="1495">
        <f t="shared" si="1309"/>
        <v>391</v>
      </c>
      <c r="BT704" s="1495">
        <f>SUM(BT697:BT703)</f>
        <v>181</v>
      </c>
      <c r="BU704" s="1729">
        <f t="shared" si="1309"/>
        <v>989</v>
      </c>
      <c r="BV704" s="1495">
        <f t="shared" ref="BV704:CA704" si="1310">SUM(BV697:BV703)</f>
        <v>118</v>
      </c>
      <c r="BW704" s="1495">
        <f t="shared" si="1310"/>
        <v>492</v>
      </c>
      <c r="BX704" s="1495">
        <f t="shared" si="1310"/>
        <v>195</v>
      </c>
      <c r="BY704" s="1495">
        <f t="shared" si="1310"/>
        <v>335</v>
      </c>
      <c r="BZ704" s="1729">
        <f t="shared" si="1310"/>
        <v>1140</v>
      </c>
      <c r="CA704" s="1495">
        <f t="shared" si="1310"/>
        <v>182</v>
      </c>
      <c r="CB704" s="1730">
        <f t="shared" ref="CB704:DA704" si="1311">SUM(CB697:CB703)</f>
        <v>487</v>
      </c>
      <c r="CC704" s="1730">
        <f t="shared" si="1311"/>
        <v>281</v>
      </c>
      <c r="CD704" s="1826">
        <f t="shared" si="1311"/>
        <v>274</v>
      </c>
      <c r="CE704" s="1729">
        <f t="shared" si="1311"/>
        <v>1224</v>
      </c>
      <c r="CF704" s="1495">
        <f t="shared" si="1311"/>
        <v>262</v>
      </c>
      <c r="CG704" s="1730">
        <f t="shared" si="1311"/>
        <v>490</v>
      </c>
      <c r="CH704" s="1730">
        <f t="shared" si="1311"/>
        <v>328</v>
      </c>
      <c r="CI704" s="1826">
        <f t="shared" si="1311"/>
        <v>350</v>
      </c>
      <c r="CJ704" s="1729">
        <f t="shared" si="1311"/>
        <v>1430</v>
      </c>
      <c r="CK704" s="1730">
        <f t="shared" si="1311"/>
        <v>333</v>
      </c>
      <c r="CL704" s="1730">
        <f>SUM(CL697:CL703)</f>
        <v>465</v>
      </c>
      <c r="CM704" s="1730">
        <f t="shared" si="1311"/>
        <v>334</v>
      </c>
      <c r="CN704" s="1826">
        <f t="shared" si="1311"/>
        <v>450</v>
      </c>
      <c r="CO704" s="1729">
        <f t="shared" si="1311"/>
        <v>1582</v>
      </c>
      <c r="CP704" s="1730">
        <f>SUM(CP697:CP703)</f>
        <v>526</v>
      </c>
      <c r="CQ704" s="1730">
        <f>SUM(CQ697:CQ703)</f>
        <v>776</v>
      </c>
      <c r="CR704" s="1730">
        <f>SUM(CR697:CR703)</f>
        <v>614</v>
      </c>
      <c r="CS704" s="1730">
        <f>SUM(CS697:CS703)</f>
        <v>763.50300000000016</v>
      </c>
      <c r="CT704" s="1729">
        <f>SUM(CT697:CT703)</f>
        <v>2679.5030000000002</v>
      </c>
      <c r="CU704" s="1730">
        <f t="shared" ca="1" si="1311"/>
        <v>654.73080826505191</v>
      </c>
      <c r="CV704" s="1730">
        <f t="shared" ca="1" si="1311"/>
        <v>444.31070535715492</v>
      </c>
      <c r="CW704" s="1730">
        <f t="shared" ca="1" si="1311"/>
        <v>675.32938183700935</v>
      </c>
      <c r="CX704" s="1730">
        <f t="shared" ca="1" si="1311"/>
        <v>700.72019912272799</v>
      </c>
      <c r="CY704" s="1729">
        <f ca="1">SUM(CY697:CY703)</f>
        <v>2475.0910945819414</v>
      </c>
      <c r="CZ704" s="1729">
        <f t="shared" ca="1" si="1311"/>
        <v>2988.1698428956252</v>
      </c>
      <c r="DA704" s="1729">
        <f t="shared" ca="1" si="1311"/>
        <v>2990.0767715792981</v>
      </c>
      <c r="DB704"/>
      <c r="DC704"/>
      <c r="DD704" s="1970" t="s">
        <v>640</v>
      </c>
      <c r="DE704" s="1729">
        <f t="shared" si="1267"/>
        <v>850</v>
      </c>
      <c r="DF704" s="1729">
        <f t="shared" si="1268"/>
        <v>400</v>
      </c>
      <c r="DG704" s="1729">
        <f t="shared" si="1269"/>
        <v>516</v>
      </c>
      <c r="DH704" s="1729">
        <f t="shared" si="1270"/>
        <v>421</v>
      </c>
      <c r="DI704" s="1729">
        <f t="shared" si="1271"/>
        <v>891</v>
      </c>
      <c r="DJ704" s="1729">
        <f t="shared" si="1272"/>
        <v>837</v>
      </c>
      <c r="DK704" s="1729">
        <f t="shared" si="1273"/>
        <v>970</v>
      </c>
      <c r="DL704" s="1729">
        <f t="shared" si="1274"/>
        <v>778</v>
      </c>
      <c r="DM704" s="1729">
        <f t="shared" si="1275"/>
        <v>641</v>
      </c>
      <c r="DN704" s="1729">
        <f t="shared" si="1276"/>
        <v>868</v>
      </c>
      <c r="DO704" s="1729">
        <f t="shared" si="1277"/>
        <v>1151</v>
      </c>
      <c r="DP704" s="1729">
        <f t="shared" si="1278"/>
        <v>1089</v>
      </c>
      <c r="DQ704" s="1729">
        <f t="shared" si="1279"/>
        <v>989</v>
      </c>
      <c r="DR704" s="1729">
        <f t="shared" si="1280"/>
        <v>1140</v>
      </c>
      <c r="DS704" s="1729">
        <f t="shared" si="1281"/>
        <v>1224</v>
      </c>
      <c r="DT704" s="1729">
        <f t="shared" si="1282"/>
        <v>1430</v>
      </c>
      <c r="DU704" s="1729">
        <f t="shared" si="1283"/>
        <v>1582</v>
      </c>
      <c r="DV704" s="1729">
        <f t="shared" si="1284"/>
        <v>2679.5030000000002</v>
      </c>
      <c r="DW704" s="1729">
        <f t="shared" ca="1" si="1285"/>
        <v>2475.0910945819414</v>
      </c>
      <c r="DX704" s="1729">
        <f t="shared" ca="1" si="1286"/>
        <v>2988.1698428956252</v>
      </c>
      <c r="DY704" s="1729">
        <f t="shared" ca="1" si="1287"/>
        <v>2990.0767715792981</v>
      </c>
      <c r="EA704"/>
      <c r="EB704"/>
      <c r="EC704"/>
      <c r="ED704"/>
      <c r="EE704"/>
      <c r="EF704"/>
      <c r="EJ704"/>
      <c r="EK704"/>
      <c r="EL704"/>
      <c r="ER704" s="212"/>
    </row>
    <row r="705" spans="1:148" s="923" customFormat="1" ht="12.75" customHeight="1" x14ac:dyDescent="0.2">
      <c r="A705" s="504"/>
      <c r="B705" s="847"/>
      <c r="C705" s="847"/>
      <c r="D705" s="847"/>
      <c r="E705" s="847"/>
      <c r="F705" s="847"/>
      <c r="G705" s="847"/>
      <c r="H705" s="847"/>
      <c r="I705" s="847"/>
      <c r="J705" s="847"/>
      <c r="K705" s="847"/>
      <c r="L705" s="847"/>
      <c r="M705" s="968"/>
      <c r="N705" s="847"/>
      <c r="O705" s="847"/>
      <c r="P705" s="847"/>
      <c r="Q705" s="847"/>
      <c r="R705" s="968"/>
      <c r="S705" s="847"/>
      <c r="T705" s="847"/>
      <c r="U705" s="847"/>
      <c r="V705" s="847"/>
      <c r="W705" s="968"/>
      <c r="X705" s="847"/>
      <c r="Y705" s="847"/>
      <c r="Z705" s="847"/>
      <c r="AA705" s="847"/>
      <c r="AB705" s="968"/>
      <c r="AC705" s="847"/>
      <c r="AD705" s="847"/>
      <c r="AE705" s="847"/>
      <c r="AF705" s="847"/>
      <c r="AG705" s="968"/>
      <c r="AH705" s="847"/>
      <c r="AI705" s="847"/>
      <c r="AJ705" s="847"/>
      <c r="AK705" s="847"/>
      <c r="AL705" s="968"/>
      <c r="AM705" s="847"/>
      <c r="AN705" s="847"/>
      <c r="AO705" s="847"/>
      <c r="AP705" s="847"/>
      <c r="AQ705" s="968"/>
      <c r="AR705" s="847"/>
      <c r="AS705" s="847"/>
      <c r="AT705" s="847"/>
      <c r="AU705" s="847"/>
      <c r="AV705" s="968"/>
      <c r="AW705" s="847"/>
      <c r="AX705" s="847"/>
      <c r="AY705" s="847"/>
      <c r="AZ705" s="847"/>
      <c r="BA705" s="968"/>
      <c r="BB705" s="847"/>
      <c r="BC705" s="847"/>
      <c r="BD705" s="847"/>
      <c r="BE705" s="847"/>
      <c r="BF705" s="968"/>
      <c r="BG705" s="847"/>
      <c r="BH705" s="847"/>
      <c r="BI705" s="847"/>
      <c r="BJ705" s="847"/>
      <c r="BK705" s="968"/>
      <c r="BL705" s="847"/>
      <c r="BM705" s="847"/>
      <c r="BN705" s="847"/>
      <c r="BO705" s="847"/>
      <c r="BP705" s="968"/>
      <c r="BQ705" s="847"/>
      <c r="BR705" s="847"/>
      <c r="BS705" s="847"/>
      <c r="BT705" s="847"/>
      <c r="BU705" s="968"/>
      <c r="BV705" s="847"/>
      <c r="BW705" s="847"/>
      <c r="BX705" s="847"/>
      <c r="BY705" s="847"/>
      <c r="BZ705" s="968"/>
      <c r="CA705" s="847"/>
      <c r="CB705" s="1703"/>
      <c r="CC705" s="215"/>
      <c r="CD705" s="1788"/>
      <c r="CE705" s="968"/>
      <c r="CF705" s="847"/>
      <c r="CG705" s="215"/>
      <c r="CH705" s="215"/>
      <c r="CI705" s="1788"/>
      <c r="CJ705" s="968"/>
      <c r="CK705" s="215"/>
      <c r="CL705" s="215"/>
      <c r="CM705" s="215"/>
      <c r="CN705" s="1788"/>
      <c r="CO705" s="968"/>
      <c r="CP705" s="215"/>
      <c r="CQ705" s="215"/>
      <c r="CR705" s="215"/>
      <c r="CS705" s="215"/>
      <c r="CT705" s="968"/>
      <c r="CU705" s="215"/>
      <c r="CV705" s="215"/>
      <c r="CW705" s="215"/>
      <c r="CX705" s="215"/>
      <c r="CY705" s="968"/>
      <c r="CZ705" s="968"/>
      <c r="DA705" s="968"/>
      <c r="DB705"/>
      <c r="DC705"/>
      <c r="DD705" s="2285"/>
      <c r="DE705" s="2290"/>
      <c r="DF705" s="2290"/>
      <c r="DG705" s="2290"/>
      <c r="DH705" s="2290"/>
      <c r="DI705" s="2290"/>
      <c r="DJ705" s="2290"/>
      <c r="DK705" s="2290"/>
      <c r="DL705" s="2290"/>
      <c r="DM705" s="2290"/>
      <c r="DN705" s="2290"/>
      <c r="DO705" s="2290"/>
      <c r="DP705" s="2290"/>
      <c r="DQ705" s="2290"/>
      <c r="DR705" s="2290"/>
      <c r="DS705" s="2290"/>
      <c r="DT705" s="2290"/>
      <c r="DU705" s="2290"/>
      <c r="DV705" s="2290"/>
      <c r="DW705" s="2290"/>
      <c r="DX705" s="2290"/>
      <c r="DY705" s="2290"/>
      <c r="EA705"/>
      <c r="EB705"/>
      <c r="EC705"/>
      <c r="ED705"/>
      <c r="EE705"/>
      <c r="EF705"/>
      <c r="EJ705"/>
      <c r="EK705"/>
      <c r="EL705"/>
      <c r="ER705" s="212"/>
    </row>
    <row r="706" spans="1:148" s="923" customFormat="1" ht="12.75" customHeight="1" x14ac:dyDescent="0.2">
      <c r="A706" s="1437" t="s">
        <v>641</v>
      </c>
      <c r="B706" s="847"/>
      <c r="C706" s="847"/>
      <c r="D706" s="847"/>
      <c r="E706" s="847"/>
      <c r="F706" s="847"/>
      <c r="G706" s="847"/>
      <c r="H706" s="847"/>
      <c r="I706" s="847"/>
      <c r="J706" s="847"/>
      <c r="K706" s="847"/>
      <c r="L706" s="847"/>
      <c r="M706" s="661"/>
      <c r="N706" s="847"/>
      <c r="O706" s="847"/>
      <c r="P706" s="847"/>
      <c r="Q706" s="847"/>
      <c r="R706" s="661"/>
      <c r="S706" s="847"/>
      <c r="T706" s="847"/>
      <c r="U706" s="847"/>
      <c r="V706" s="847"/>
      <c r="W706" s="661"/>
      <c r="X706" s="847"/>
      <c r="Y706" s="847"/>
      <c r="Z706" s="847"/>
      <c r="AA706" s="847"/>
      <c r="AB706" s="661"/>
      <c r="AC706" s="847"/>
      <c r="AD706" s="847"/>
      <c r="AE706" s="847"/>
      <c r="AF706" s="847"/>
      <c r="AG706" s="661"/>
      <c r="AH706" s="847"/>
      <c r="AI706" s="847"/>
      <c r="AJ706" s="847"/>
      <c r="AK706" s="847"/>
      <c r="AL706" s="661"/>
      <c r="AM706" s="847"/>
      <c r="AN706" s="847"/>
      <c r="AO706" s="847"/>
      <c r="AP706" s="847"/>
      <c r="AQ706" s="661"/>
      <c r="AR706" s="847"/>
      <c r="AS706" s="847"/>
      <c r="AT706" s="847"/>
      <c r="AU706" s="847"/>
      <c r="AV706" s="661"/>
      <c r="AW706" s="847"/>
      <c r="AX706" s="847"/>
      <c r="AY706" s="847"/>
      <c r="AZ706" s="847"/>
      <c r="BA706" s="661"/>
      <c r="BB706" s="847"/>
      <c r="BC706" s="847"/>
      <c r="BD706" s="847"/>
      <c r="BE706" s="847"/>
      <c r="BF706" s="661"/>
      <c r="BG706" s="847"/>
      <c r="BH706" s="847"/>
      <c r="BI706" s="847"/>
      <c r="BJ706" s="847"/>
      <c r="BK706" s="661"/>
      <c r="BL706" s="847"/>
      <c r="BM706" s="847"/>
      <c r="BN706" s="847"/>
      <c r="BO706" s="847"/>
      <c r="BP706" s="661"/>
      <c r="BQ706" s="847"/>
      <c r="BR706" s="847"/>
      <c r="BS706" s="847"/>
      <c r="BT706" s="847"/>
      <c r="BU706" s="661"/>
      <c r="BV706" s="847"/>
      <c r="BW706" s="847"/>
      <c r="BX706" s="847"/>
      <c r="BY706" s="847"/>
      <c r="BZ706" s="661"/>
      <c r="CA706" s="847"/>
      <c r="CB706" s="847"/>
      <c r="CC706" s="847"/>
      <c r="CD706" s="1431"/>
      <c r="CE706" s="661"/>
      <c r="CF706" s="847"/>
      <c r="CG706" s="847"/>
      <c r="CH706" s="847"/>
      <c r="CI706" s="1431"/>
      <c r="CJ706" s="661"/>
      <c r="CK706" s="847"/>
      <c r="CL706" s="847"/>
      <c r="CM706" s="847"/>
      <c r="CN706" s="1431"/>
      <c r="CO706" s="661"/>
      <c r="CP706" s="847"/>
      <c r="CQ706" s="847"/>
      <c r="CR706" s="847"/>
      <c r="CS706" s="847"/>
      <c r="CT706" s="661"/>
      <c r="CU706" s="847"/>
      <c r="CV706" s="847"/>
      <c r="CW706" s="847"/>
      <c r="CX706" s="847"/>
      <c r="CY706" s="661"/>
      <c r="CZ706" s="661"/>
      <c r="DA706" s="661"/>
      <c r="DB706"/>
      <c r="DC706"/>
      <c r="DD706" s="1437" t="s">
        <v>641</v>
      </c>
      <c r="DE706" s="2293"/>
      <c r="DF706" s="2293"/>
      <c r="DG706" s="2293"/>
      <c r="DH706" s="2293"/>
      <c r="DI706" s="2293"/>
      <c r="DJ706" s="2293"/>
      <c r="DK706" s="2293"/>
      <c r="DL706" s="2293"/>
      <c r="DM706" s="2293"/>
      <c r="DN706" s="2293"/>
      <c r="DO706" s="2293"/>
      <c r="DP706" s="2293"/>
      <c r="DQ706" s="2293"/>
      <c r="DR706" s="2293"/>
      <c r="DS706" s="2293"/>
      <c r="DT706" s="2293"/>
      <c r="DU706" s="2293"/>
      <c r="DV706" s="2293"/>
      <c r="DW706" s="2293"/>
      <c r="DX706" s="2293"/>
      <c r="DY706" s="2293"/>
      <c r="EA706"/>
      <c r="EB706"/>
      <c r="EC706"/>
      <c r="ED706"/>
      <c r="EE706"/>
      <c r="EF706"/>
      <c r="EJ706"/>
      <c r="EK706"/>
      <c r="EL706"/>
      <c r="ER706" s="212"/>
    </row>
    <row r="707" spans="1:148" s="923" customFormat="1" ht="12.75" customHeight="1" x14ac:dyDescent="0.2">
      <c r="A707" s="1434" t="s">
        <v>879</v>
      </c>
      <c r="B707" s="845"/>
      <c r="C707" s="845"/>
      <c r="D707" s="845"/>
      <c r="E707" s="845"/>
      <c r="F707" s="845"/>
      <c r="G707" s="845"/>
      <c r="H707" s="845"/>
      <c r="I707" s="845">
        <v>-247</v>
      </c>
      <c r="J707" s="845">
        <f>-455-I707</f>
        <v>-208</v>
      </c>
      <c r="K707" s="845">
        <f>-627-J707-I707</f>
        <v>-172</v>
      </c>
      <c r="L707" s="845">
        <f>-1095-K707-J707-I707</f>
        <v>-468</v>
      </c>
      <c r="M707" s="661">
        <f>SUM(I707:L707)</f>
        <v>-1095</v>
      </c>
      <c r="N707" s="845">
        <v>-125</v>
      </c>
      <c r="O707" s="845">
        <f>-251-N707</f>
        <v>-126</v>
      </c>
      <c r="P707" s="845">
        <f>-360-O707-N707</f>
        <v>-109</v>
      </c>
      <c r="Q707" s="845">
        <f>-560-P707-O707-N707</f>
        <v>-200</v>
      </c>
      <c r="R707" s="661">
        <f>SUM(N707:Q707)</f>
        <v>-560</v>
      </c>
      <c r="S707" s="845">
        <v>-87</v>
      </c>
      <c r="T707" s="845">
        <f>-172-S707</f>
        <v>-85</v>
      </c>
      <c r="U707" s="845">
        <f>-222-T707-S707</f>
        <v>-50</v>
      </c>
      <c r="V707" s="845">
        <f>-292-U707-T707-S707</f>
        <v>-70</v>
      </c>
      <c r="W707" s="661">
        <f>SUM(S707:V707)</f>
        <v>-292</v>
      </c>
      <c r="X707" s="845">
        <v>-63</v>
      </c>
      <c r="Y707" s="845">
        <f>-116-X707</f>
        <v>-53</v>
      </c>
      <c r="Z707" s="845">
        <f>-144-Y707-X707</f>
        <v>-28</v>
      </c>
      <c r="AA707" s="845">
        <f>-210-Z707-Y707-X707</f>
        <v>-66</v>
      </c>
      <c r="AB707" s="661">
        <f>SUM(X707:AA707)</f>
        <v>-210</v>
      </c>
      <c r="AC707" s="845">
        <v>-31</v>
      </c>
      <c r="AD707" s="845">
        <f>-81-AC707</f>
        <v>-50</v>
      </c>
      <c r="AE707" s="845">
        <f>-115-AD707-AC707</f>
        <v>-34</v>
      </c>
      <c r="AF707" s="845">
        <f>-181-AE707-AD707-AC707</f>
        <v>-66</v>
      </c>
      <c r="AG707" s="661">
        <f>SUM(AC707:AF707)</f>
        <v>-181</v>
      </c>
      <c r="AH707" s="845">
        <v>-35</v>
      </c>
      <c r="AI707" s="845">
        <f>-133-AH707</f>
        <v>-98</v>
      </c>
      <c r="AJ707" s="845">
        <f>-626-AI707-AH707</f>
        <v>-493</v>
      </c>
      <c r="AK707" s="845">
        <f>-780-AJ707-AI707-AH707</f>
        <v>-154</v>
      </c>
      <c r="AL707" s="661">
        <f>SUM(AH707:AK707)</f>
        <v>-780</v>
      </c>
      <c r="AM707" s="845">
        <v>-102</v>
      </c>
      <c r="AN707" s="845">
        <f>-153-AM707</f>
        <v>-51</v>
      </c>
      <c r="AO707" s="845">
        <f>-219-AN707-AM707</f>
        <v>-66</v>
      </c>
      <c r="AP707" s="845">
        <f>-529-AO707-AN707-AM707</f>
        <v>-310</v>
      </c>
      <c r="AQ707" s="661">
        <f>SUM(AM707:AP707)</f>
        <v>-529</v>
      </c>
      <c r="AR707" s="845">
        <v>-158</v>
      </c>
      <c r="AS707" s="845">
        <f>-309-AR707</f>
        <v>-151</v>
      </c>
      <c r="AT707" s="845">
        <f>-528-AS707-AR707</f>
        <v>-219</v>
      </c>
      <c r="AU707" s="845">
        <f>-671-AT707-AS707-AR707</f>
        <v>-143</v>
      </c>
      <c r="AV707" s="661">
        <f>SUM(AR707:AU707)</f>
        <v>-671</v>
      </c>
      <c r="AW707" s="845">
        <v>-65</v>
      </c>
      <c r="AX707" s="845">
        <f>-152-AW707</f>
        <v>-87</v>
      </c>
      <c r="AY707" s="845">
        <f>-220-SUM(AW707:AX707)</f>
        <v>-68</v>
      </c>
      <c r="AZ707" s="845">
        <f>-357-SUM(AW707:AY707)</f>
        <v>-137</v>
      </c>
      <c r="BA707" s="661">
        <f t="shared" ref="BA707:BA713" si="1312">SUM(AW707:AZ707)</f>
        <v>-357</v>
      </c>
      <c r="BB707" s="845">
        <v>-50</v>
      </c>
      <c r="BC707" s="845">
        <f>-83-BB707</f>
        <v>-33</v>
      </c>
      <c r="BD707" s="845">
        <f>-112-SUM(BB707:BC707)</f>
        <v>-29</v>
      </c>
      <c r="BE707" s="845">
        <f>-147-SUM(BB707:BD707)</f>
        <v>-35</v>
      </c>
      <c r="BF707" s="661">
        <f t="shared" ref="BF707:BF713" si="1313">SUM(BB707:BE707)</f>
        <v>-147</v>
      </c>
      <c r="BG707" s="845">
        <v>-25</v>
      </c>
      <c r="BH707" s="845">
        <f>-64-BG707</f>
        <v>-39</v>
      </c>
      <c r="BI707" s="845">
        <f>-147-SUM(BG707:BH707)</f>
        <v>-83</v>
      </c>
      <c r="BJ707" s="845">
        <f>-307-SUM(BG707:BI707)</f>
        <v>-160</v>
      </c>
      <c r="BK707" s="661">
        <f t="shared" ref="BK707:BK713" si="1314">SUM(BG707:BJ707)</f>
        <v>-307</v>
      </c>
      <c r="BL707" s="845">
        <v>-62</v>
      </c>
      <c r="BM707" s="845">
        <f>-91-BL707</f>
        <v>-29</v>
      </c>
      <c r="BN707" s="845">
        <f>-128-BM707-BL707</f>
        <v>-37</v>
      </c>
      <c r="BO707" s="845">
        <f>-183-SUM(BL707:BN707)</f>
        <v>-55</v>
      </c>
      <c r="BP707" s="661">
        <f>SUM(BL707:BO707)</f>
        <v>-183</v>
      </c>
      <c r="BQ707" s="845">
        <v>-197</v>
      </c>
      <c r="BR707" s="845">
        <f>-257-BQ707</f>
        <v>-60</v>
      </c>
      <c r="BS707" s="845">
        <f>-316-BR707-BQ707</f>
        <v>-59</v>
      </c>
      <c r="BT707" s="845">
        <f>-437-BS707-BR707-BQ707</f>
        <v>-121</v>
      </c>
      <c r="BU707" s="661">
        <f>SUM(BQ707:BT707)</f>
        <v>-437</v>
      </c>
      <c r="BV707" s="845">
        <v>-70</v>
      </c>
      <c r="BW707" s="845">
        <f>-148-BV707</f>
        <v>-78</v>
      </c>
      <c r="BX707" s="845">
        <f>-226-BW707-BV707</f>
        <v>-78</v>
      </c>
      <c r="BY707" s="845">
        <f>-404-BX707-BW707-BV707</f>
        <v>-178</v>
      </c>
      <c r="BZ707" s="661">
        <f t="shared" ref="BZ707:BZ713" si="1315">SUM(BV707:BY707)</f>
        <v>-404</v>
      </c>
      <c r="CA707" s="845">
        <v>-61</v>
      </c>
      <c r="CB707" s="845">
        <f>-156-CA707</f>
        <v>-95</v>
      </c>
      <c r="CC707" s="845">
        <f>-267-CB707-CA707</f>
        <v>-111</v>
      </c>
      <c r="CD707" s="223">
        <f>-411-CC707-CB707-CA707</f>
        <v>-144</v>
      </c>
      <c r="CE707" s="661">
        <f t="shared" ref="CE707:CE713" si="1316">SUM(CA707:CD707)</f>
        <v>-411</v>
      </c>
      <c r="CF707" s="845">
        <v>-75</v>
      </c>
      <c r="CG707" s="845">
        <f>-159-CF707</f>
        <v>-84</v>
      </c>
      <c r="CH707" s="845">
        <f>-218-CG707-CF707</f>
        <v>-59</v>
      </c>
      <c r="CI707" s="845">
        <f>+-305-SUM(CF707:CH707)</f>
        <v>-87</v>
      </c>
      <c r="CJ707" s="661">
        <f t="shared" ref="CJ707:CJ713" si="1317">SUM(CF707:CI707)</f>
        <v>-305</v>
      </c>
      <c r="CK707" s="845">
        <v>-42</v>
      </c>
      <c r="CL707" s="845">
        <f>-78-CK707</f>
        <v>-36</v>
      </c>
      <c r="CM707" s="845">
        <f>-132-CL707-CK707</f>
        <v>-54</v>
      </c>
      <c r="CN707" s="845">
        <f>-199-CK707-CL707-CM707</f>
        <v>-67</v>
      </c>
      <c r="CO707" s="661">
        <f t="shared" ref="CO707:CO713" si="1318">SUM(CK707:CN707)</f>
        <v>-199</v>
      </c>
      <c r="CP707" s="3657">
        <v>-48</v>
      </c>
      <c r="CQ707" s="3657">
        <f>-104-CP707</f>
        <v>-56</v>
      </c>
      <c r="CR707" s="85">
        <f>-155-CQ707-CP707</f>
        <v>-51</v>
      </c>
      <c r="CS707" s="847">
        <f>CS657</f>
        <v>-76.02</v>
      </c>
      <c r="CT707" s="661">
        <f t="shared" ref="CT707:CT713" si="1319">SUM(CP707:CS707)</f>
        <v>-231.01999999999998</v>
      </c>
      <c r="CU707" s="847">
        <f t="shared" ref="CU707:DA707" si="1320">CU657</f>
        <v>-65.722130000000007</v>
      </c>
      <c r="CV707" s="847">
        <f t="shared" si="1320"/>
        <v>-67.851015200000006</v>
      </c>
      <c r="CW707" s="847">
        <f t="shared" si="1320"/>
        <v>-69.979900399999991</v>
      </c>
      <c r="CX707" s="847">
        <f t="shared" si="1320"/>
        <v>-71.865799999999993</v>
      </c>
      <c r="CY707" s="2293">
        <f t="shared" ref="CY707:CY713" si="1321">SUM(CU707:CX707)</f>
        <v>-275.4188456</v>
      </c>
      <c r="CZ707" s="661">
        <f t="shared" si="1320"/>
        <v>-199.06413420000001</v>
      </c>
      <c r="DA707" s="661">
        <f t="shared" si="1320"/>
        <v>-260.61092748999999</v>
      </c>
      <c r="DB707"/>
      <c r="DC707"/>
      <c r="DD707" s="2308" t="s">
        <v>879</v>
      </c>
      <c r="DE707" s="2293">
        <f t="shared" ref="DE707:DE714" si="1322">M707</f>
        <v>-1095</v>
      </c>
      <c r="DF707" s="2293">
        <f t="shared" ref="DF707:DF714" si="1323">R707</f>
        <v>-560</v>
      </c>
      <c r="DG707" s="2293">
        <f t="shared" ref="DG707:DG714" si="1324">W707</f>
        <v>-292</v>
      </c>
      <c r="DH707" s="2293">
        <f t="shared" ref="DH707:DH714" si="1325">AB707</f>
        <v>-210</v>
      </c>
      <c r="DI707" s="2293">
        <f t="shared" ref="DI707:DI714" si="1326">AG707</f>
        <v>-181</v>
      </c>
      <c r="DJ707" s="2293">
        <f t="shared" ref="DJ707:DJ714" si="1327">AL707</f>
        <v>-780</v>
      </c>
      <c r="DK707" s="2293">
        <f t="shared" ref="DK707:DK714" si="1328">AQ707</f>
        <v>-529</v>
      </c>
      <c r="DL707" s="2293">
        <f t="shared" ref="DL707:DL714" si="1329">AV707</f>
        <v>-671</v>
      </c>
      <c r="DM707" s="2293">
        <f t="shared" ref="DM707:DM714" si="1330">BA707</f>
        <v>-357</v>
      </c>
      <c r="DN707" s="2293">
        <f t="shared" ref="DN707:DN714" si="1331">BF707</f>
        <v>-147</v>
      </c>
      <c r="DO707" s="2293">
        <f t="shared" ref="DO707:DO714" si="1332">BK707</f>
        <v>-307</v>
      </c>
      <c r="DP707" s="2293">
        <f t="shared" ref="DP707:DP714" si="1333">BP707</f>
        <v>-183</v>
      </c>
      <c r="DQ707" s="2293">
        <f t="shared" ref="DQ707:DQ714" si="1334">BU707</f>
        <v>-437</v>
      </c>
      <c r="DR707" s="2293">
        <f t="shared" ref="DR707:DR714" si="1335">BZ707</f>
        <v>-404</v>
      </c>
      <c r="DS707" s="2293">
        <f t="shared" ref="DS707:DS714" si="1336">CE707</f>
        <v>-411</v>
      </c>
      <c r="DT707" s="2293">
        <f t="shared" ref="DT707:DT714" si="1337">CJ707</f>
        <v>-305</v>
      </c>
      <c r="DU707" s="2293">
        <f t="shared" ref="DU707:DU715" si="1338">CO707</f>
        <v>-199</v>
      </c>
      <c r="DV707" s="2293">
        <f t="shared" ref="DV707:DV714" si="1339">CT707</f>
        <v>-231.01999999999998</v>
      </c>
      <c r="DW707" s="2293">
        <f t="shared" ref="DW707:DW714" si="1340">CY707</f>
        <v>-275.4188456</v>
      </c>
      <c r="DX707" s="2293">
        <f t="shared" ref="DX707:DX714" si="1341">CZ707</f>
        <v>-199.06413420000001</v>
      </c>
      <c r="DY707" s="2293">
        <f t="shared" ref="DY707:DY714" si="1342">DA707</f>
        <v>-260.61092748999999</v>
      </c>
      <c r="EA707"/>
      <c r="EB707"/>
      <c r="EC707"/>
      <c r="ED707"/>
      <c r="EE707"/>
      <c r="EF707"/>
      <c r="EJ707"/>
      <c r="EK707"/>
      <c r="EL707"/>
      <c r="EM707" s="1703"/>
      <c r="ER707" s="212"/>
    </row>
    <row r="708" spans="1:148" s="923" customFormat="1" ht="12.75" customHeight="1" x14ac:dyDescent="0.2">
      <c r="A708" s="1434" t="s">
        <v>927</v>
      </c>
      <c r="B708" s="845"/>
      <c r="C708" s="845"/>
      <c r="D708" s="845"/>
      <c r="E708" s="845"/>
      <c r="F708" s="845"/>
      <c r="G708" s="845"/>
      <c r="H708" s="845"/>
      <c r="I708" s="845"/>
      <c r="J708" s="845"/>
      <c r="K708" s="845"/>
      <c r="L708" s="845"/>
      <c r="M708" s="661"/>
      <c r="N708" s="845"/>
      <c r="O708" s="845"/>
      <c r="P708" s="845"/>
      <c r="Q708" s="845"/>
      <c r="R708" s="661"/>
      <c r="S708" s="845"/>
      <c r="T708" s="845"/>
      <c r="U708" s="845"/>
      <c r="V708" s="845"/>
      <c r="W708" s="661"/>
      <c r="X708" s="845"/>
      <c r="Y708" s="845"/>
      <c r="Z708" s="845"/>
      <c r="AA708" s="845"/>
      <c r="AB708" s="661"/>
      <c r="AC708" s="845"/>
      <c r="AD708" s="845"/>
      <c r="AE708" s="845"/>
      <c r="AF708" s="845"/>
      <c r="AG708" s="661"/>
      <c r="AH708" s="845"/>
      <c r="AI708" s="845"/>
      <c r="AJ708" s="845"/>
      <c r="AK708" s="845"/>
      <c r="AL708" s="661"/>
      <c r="AM708" s="845">
        <v>-23</v>
      </c>
      <c r="AN708" s="845">
        <f>-44-AM708</f>
        <v>-21</v>
      </c>
      <c r="AO708" s="845">
        <f>-48-SUM(AM708:AN708)</f>
        <v>-4</v>
      </c>
      <c r="AP708" s="845">
        <f>-59-SUM(AM708:AO708)</f>
        <v>-11</v>
      </c>
      <c r="AQ708" s="661">
        <f>SUM(AM708:AP708)</f>
        <v>-59</v>
      </c>
      <c r="AR708" s="845">
        <v>-1</v>
      </c>
      <c r="AS708" s="845">
        <f>-4-AR708</f>
        <v>-3</v>
      </c>
      <c r="AT708" s="845">
        <f>-5-SUM(AR708:AS708)</f>
        <v>-1</v>
      </c>
      <c r="AU708" s="845">
        <f>-31-SUM(AR708:AT708)</f>
        <v>-26</v>
      </c>
      <c r="AV708" s="661">
        <f>SUM(AR708:AU708)</f>
        <v>-31</v>
      </c>
      <c r="AW708" s="845">
        <v>-8</v>
      </c>
      <c r="AX708" s="845">
        <f>-16-AW708</f>
        <v>-8</v>
      </c>
      <c r="AY708" s="845">
        <f>-20-SUM(AW708:AX708)</f>
        <v>-4</v>
      </c>
      <c r="AZ708" s="845">
        <f>-53-SUM(AW708:AY708)</f>
        <v>-33</v>
      </c>
      <c r="BA708" s="661">
        <f t="shared" si="1312"/>
        <v>-53</v>
      </c>
      <c r="BB708" s="845">
        <v>-4</v>
      </c>
      <c r="BC708" s="845">
        <f>-18-BB708</f>
        <v>-14</v>
      </c>
      <c r="BD708" s="845">
        <f>-50-SUM(BB708:BC708)</f>
        <v>-32</v>
      </c>
      <c r="BE708" s="845">
        <f>-65-SUM(BB708:BD708)</f>
        <v>-15</v>
      </c>
      <c r="BF708" s="661">
        <f t="shared" si="1313"/>
        <v>-65</v>
      </c>
      <c r="BG708" s="845">
        <v>-2</v>
      </c>
      <c r="BH708" s="845">
        <f>-10-BG708</f>
        <v>-8</v>
      </c>
      <c r="BI708" s="845">
        <f>-16-SUM(BG708:BH708)</f>
        <v>-6</v>
      </c>
      <c r="BJ708" s="845">
        <f>-24-SUM(BG708:BI708)</f>
        <v>-8</v>
      </c>
      <c r="BK708" s="661">
        <f t="shared" si="1314"/>
        <v>-24</v>
      </c>
      <c r="BL708" s="845">
        <v>-2</v>
      </c>
      <c r="BM708" s="845">
        <f>-11-BL708</f>
        <v>-9</v>
      </c>
      <c r="BN708" s="845">
        <f>-20-BM708-BL708</f>
        <v>-9</v>
      </c>
      <c r="BO708" s="845">
        <f>-26-SUM(BL708:BN708)</f>
        <v>-6</v>
      </c>
      <c r="BP708" s="661">
        <f>SUM(BL708:BO708)</f>
        <v>-26</v>
      </c>
      <c r="BQ708" s="845">
        <v>-1</v>
      </c>
      <c r="BR708" s="845">
        <f>-2-BQ708</f>
        <v>-1</v>
      </c>
      <c r="BS708" s="845">
        <f>-2-BR708-BQ708</f>
        <v>0</v>
      </c>
      <c r="BT708" s="845">
        <f>-17-BS708-BR708-BQ708</f>
        <v>-15</v>
      </c>
      <c r="BU708" s="661">
        <f t="shared" ref="BU708:BU713" si="1343">SUM(BQ708:BT708)</f>
        <v>-17</v>
      </c>
      <c r="BV708" s="845">
        <v>-3</v>
      </c>
      <c r="BW708" s="845">
        <f>-4-BV708</f>
        <v>-1</v>
      </c>
      <c r="BX708" s="845">
        <f>-5-BW708-BV708</f>
        <v>-1</v>
      </c>
      <c r="BY708" s="845">
        <f>-7-BX708-BW708-BV708</f>
        <v>-2</v>
      </c>
      <c r="BZ708" s="661">
        <f t="shared" si="1315"/>
        <v>-7</v>
      </c>
      <c r="CA708" s="845">
        <v>-3</v>
      </c>
      <c r="CB708" s="845">
        <f>-103-CA708</f>
        <v>-100</v>
      </c>
      <c r="CC708" s="845">
        <f>-103-CB708-CA708</f>
        <v>0</v>
      </c>
      <c r="CD708" s="223">
        <f>-103-CC708-CB708-CA708</f>
        <v>0</v>
      </c>
      <c r="CE708" s="661">
        <f t="shared" si="1316"/>
        <v>-103</v>
      </c>
      <c r="CF708" s="845">
        <v>-10</v>
      </c>
      <c r="CG708" s="845">
        <f>-12-CF708</f>
        <v>-2</v>
      </c>
      <c r="CH708" s="845">
        <f>-12-CG708-CF708</f>
        <v>0</v>
      </c>
      <c r="CI708" s="845">
        <f>+-66-SUM(CF708:CH708)</f>
        <v>-54</v>
      </c>
      <c r="CJ708" s="661">
        <f t="shared" si="1317"/>
        <v>-66</v>
      </c>
      <c r="CK708" s="845">
        <v>-16</v>
      </c>
      <c r="CL708" s="845">
        <f>-24-CK708</f>
        <v>-8</v>
      </c>
      <c r="CM708" s="845">
        <f>-24-CL708-CK708</f>
        <v>0</v>
      </c>
      <c r="CN708" s="845">
        <f>-32-CK708-CL708-CM708</f>
        <v>-8</v>
      </c>
      <c r="CO708" s="661">
        <f t="shared" si="1318"/>
        <v>-32</v>
      </c>
      <c r="CP708" s="3657">
        <v>-28</v>
      </c>
      <c r="CQ708" s="3657">
        <f>-48-CP708</f>
        <v>-20</v>
      </c>
      <c r="CR708" s="85">
        <f>-85-CQ708-CP708</f>
        <v>-37</v>
      </c>
      <c r="CS708" s="847">
        <f>CS660</f>
        <v>-16</v>
      </c>
      <c r="CT708" s="661">
        <f t="shared" si="1319"/>
        <v>-101</v>
      </c>
      <c r="CU708" s="847">
        <f t="shared" ref="CU708:DA708" si="1344">CU660</f>
        <v>-44.8</v>
      </c>
      <c r="CV708" s="847">
        <f t="shared" si="1344"/>
        <v>-22.4</v>
      </c>
      <c r="CW708" s="847">
        <f t="shared" si="1344"/>
        <v>0</v>
      </c>
      <c r="CX708" s="847">
        <f t="shared" si="1344"/>
        <v>-22.4</v>
      </c>
      <c r="CY708" s="2293">
        <f t="shared" si="1321"/>
        <v>-89.6</v>
      </c>
      <c r="CZ708" s="661">
        <f t="shared" si="1344"/>
        <v>-98.56</v>
      </c>
      <c r="DA708" s="661">
        <f t="shared" si="1344"/>
        <v>-93.631999999999991</v>
      </c>
      <c r="DB708"/>
      <c r="DC708"/>
      <c r="DD708" s="2308" t="s">
        <v>927</v>
      </c>
      <c r="DE708" s="2293">
        <f t="shared" si="1322"/>
        <v>0</v>
      </c>
      <c r="DF708" s="2293">
        <f t="shared" si="1323"/>
        <v>0</v>
      </c>
      <c r="DG708" s="2293">
        <f t="shared" si="1324"/>
        <v>0</v>
      </c>
      <c r="DH708" s="2293">
        <f t="shared" si="1325"/>
        <v>0</v>
      </c>
      <c r="DI708" s="2293">
        <f t="shared" si="1326"/>
        <v>0</v>
      </c>
      <c r="DJ708" s="2293">
        <f t="shared" si="1327"/>
        <v>0</v>
      </c>
      <c r="DK708" s="2293">
        <f t="shared" si="1328"/>
        <v>-59</v>
      </c>
      <c r="DL708" s="2293">
        <f t="shared" si="1329"/>
        <v>-31</v>
      </c>
      <c r="DM708" s="2293">
        <f t="shared" si="1330"/>
        <v>-53</v>
      </c>
      <c r="DN708" s="2293">
        <f t="shared" si="1331"/>
        <v>-65</v>
      </c>
      <c r="DO708" s="2293">
        <f t="shared" si="1332"/>
        <v>-24</v>
      </c>
      <c r="DP708" s="2293">
        <f t="shared" si="1333"/>
        <v>-26</v>
      </c>
      <c r="DQ708" s="2293">
        <f t="shared" si="1334"/>
        <v>-17</v>
      </c>
      <c r="DR708" s="2293">
        <f t="shared" si="1335"/>
        <v>-7</v>
      </c>
      <c r="DS708" s="2293">
        <f t="shared" si="1336"/>
        <v>-103</v>
      </c>
      <c r="DT708" s="2293">
        <f t="shared" si="1337"/>
        <v>-66</v>
      </c>
      <c r="DU708" s="2293">
        <f t="shared" si="1338"/>
        <v>-32</v>
      </c>
      <c r="DV708" s="2293">
        <f t="shared" si="1339"/>
        <v>-101</v>
      </c>
      <c r="DW708" s="2293">
        <f t="shared" si="1340"/>
        <v>-89.6</v>
      </c>
      <c r="DX708" s="2293">
        <f t="shared" si="1341"/>
        <v>-98.56</v>
      </c>
      <c r="DY708" s="2293">
        <f t="shared" si="1342"/>
        <v>-93.631999999999991</v>
      </c>
      <c r="EA708"/>
      <c r="EB708"/>
      <c r="EC708"/>
      <c r="ED708"/>
      <c r="EE708"/>
      <c r="EF708"/>
      <c r="EJ708"/>
      <c r="EK708"/>
      <c r="EL708"/>
      <c r="EM708" s="1703"/>
      <c r="ER708" s="212"/>
    </row>
    <row r="709" spans="1:148" s="923" customFormat="1" ht="12.75" customHeight="1" x14ac:dyDescent="0.2">
      <c r="A709" s="1434" t="s">
        <v>892</v>
      </c>
      <c r="B709" s="845"/>
      <c r="C709" s="845"/>
      <c r="D709" s="845"/>
      <c r="E709" s="845"/>
      <c r="F709" s="845"/>
      <c r="G709" s="845"/>
      <c r="H709" s="845"/>
      <c r="I709" s="845">
        <v>4</v>
      </c>
      <c r="J709" s="845">
        <f>21-I709</f>
        <v>17</v>
      </c>
      <c r="K709" s="845">
        <f>29-J709-I709</f>
        <v>8</v>
      </c>
      <c r="L709" s="845">
        <f>93-K709-J709-I709</f>
        <v>64</v>
      </c>
      <c r="M709" s="661">
        <f>SUM(I709:L709)</f>
        <v>93</v>
      </c>
      <c r="N709" s="845">
        <v>7</v>
      </c>
      <c r="O709" s="845">
        <f>34-N709</f>
        <v>27</v>
      </c>
      <c r="P709" s="845">
        <f>42-O709-N709</f>
        <v>8</v>
      </c>
      <c r="Q709" s="845">
        <f>71-P709-O709-N709</f>
        <v>29</v>
      </c>
      <c r="R709" s="661">
        <f>SUM(N709:Q709)</f>
        <v>71</v>
      </c>
      <c r="S709" s="845">
        <v>7</v>
      </c>
      <c r="T709" s="845">
        <f>29-S709</f>
        <v>22</v>
      </c>
      <c r="U709" s="845">
        <f>61-T709-S709</f>
        <v>32</v>
      </c>
      <c r="V709" s="845">
        <f>124-U709-T709-S709</f>
        <v>63</v>
      </c>
      <c r="W709" s="661">
        <f>SUM(S709:V709)</f>
        <v>124</v>
      </c>
      <c r="X709" s="845">
        <v>86</v>
      </c>
      <c r="Y709" s="845">
        <f>111-X709</f>
        <v>25</v>
      </c>
      <c r="Z709" s="845">
        <f>152-Y709-X709</f>
        <v>41</v>
      </c>
      <c r="AA709" s="845">
        <f>280-Z709-Y709-X709</f>
        <v>128</v>
      </c>
      <c r="AB709" s="661">
        <f>SUM(X709:AA709)</f>
        <v>280</v>
      </c>
      <c r="AC709" s="845">
        <v>97</v>
      </c>
      <c r="AD709" s="845">
        <f>121-AC709</f>
        <v>24</v>
      </c>
      <c r="AE709" s="845">
        <f>134-AD709-AC709</f>
        <v>13</v>
      </c>
      <c r="AF709" s="845">
        <f>276-AE709-AD709-AC709</f>
        <v>142</v>
      </c>
      <c r="AG709" s="661">
        <f>SUM(AC709:AF709)</f>
        <v>276</v>
      </c>
      <c r="AH709" s="845">
        <v>9</v>
      </c>
      <c r="AI709" s="845">
        <f>457-AH709</f>
        <v>448</v>
      </c>
      <c r="AJ709" s="845">
        <f>614-AI709-AH709</f>
        <v>157</v>
      </c>
      <c r="AK709" s="845">
        <f>706-AJ709-AI709-AH709</f>
        <v>92</v>
      </c>
      <c r="AL709" s="661">
        <f>SUM(AH709:AK709)</f>
        <v>706</v>
      </c>
      <c r="AM709" s="845">
        <v>21</v>
      </c>
      <c r="AN709" s="845">
        <f>33-AM709</f>
        <v>12</v>
      </c>
      <c r="AO709" s="845">
        <f>56-AN709-AM709</f>
        <v>23</v>
      </c>
      <c r="AP709" s="845">
        <f>121-SUM(AM709:AO709)</f>
        <v>65</v>
      </c>
      <c r="AQ709" s="661">
        <f>SUM(AM709:AP709)</f>
        <v>121</v>
      </c>
      <c r="AR709" s="845">
        <v>48</v>
      </c>
      <c r="AS709" s="845">
        <f>79-AR709</f>
        <v>31</v>
      </c>
      <c r="AT709" s="845">
        <f>86-AS709-AR709</f>
        <v>7</v>
      </c>
      <c r="AU709" s="845">
        <f>106-AT709-AS709-AR709</f>
        <v>20</v>
      </c>
      <c r="AV709" s="661">
        <f>SUM(AR709:AU709)</f>
        <v>106</v>
      </c>
      <c r="AW709" s="845">
        <v>15</v>
      </c>
      <c r="AX709" s="845">
        <f>29-AW709</f>
        <v>14</v>
      </c>
      <c r="AY709" s="845">
        <f>33-SUM(AW709:AX709)</f>
        <v>4</v>
      </c>
      <c r="AZ709" s="845">
        <f>36-SUM(AW709:AY709)</f>
        <v>3</v>
      </c>
      <c r="BA709" s="661">
        <f t="shared" si="1312"/>
        <v>36</v>
      </c>
      <c r="BB709" s="845">
        <v>4</v>
      </c>
      <c r="BC709" s="845">
        <f>7-BB709</f>
        <v>3</v>
      </c>
      <c r="BD709" s="845">
        <f>15-SUM(BB709:BC709)</f>
        <v>8</v>
      </c>
      <c r="BE709" s="845">
        <f>20-SUM(BB709:BD709)</f>
        <v>5</v>
      </c>
      <c r="BF709" s="661">
        <f t="shared" si="1313"/>
        <v>20</v>
      </c>
      <c r="BG709" s="845">
        <v>2</v>
      </c>
      <c r="BH709" s="845">
        <f>9-BG709</f>
        <v>7</v>
      </c>
      <c r="BI709" s="845">
        <f>14-SUM(BG709:BH709)</f>
        <v>5</v>
      </c>
      <c r="BJ709" s="845">
        <f>18-SUM(BG709:BI709)</f>
        <v>4</v>
      </c>
      <c r="BK709" s="661">
        <f t="shared" si="1314"/>
        <v>18</v>
      </c>
      <c r="BL709" s="845">
        <v>2</v>
      </c>
      <c r="BM709" s="845">
        <f>88-BL709</f>
        <v>86</v>
      </c>
      <c r="BN709" s="845">
        <f>109-BM709-BL709</f>
        <v>21</v>
      </c>
      <c r="BO709" s="845">
        <f>110-SUM(BL709:BN709)</f>
        <v>1</v>
      </c>
      <c r="BP709" s="661">
        <f>+SUM(BL709:BO709)</f>
        <v>110</v>
      </c>
      <c r="BQ709" s="845">
        <v>83</v>
      </c>
      <c r="BR709" s="845">
        <f>106-BQ709</f>
        <v>23</v>
      </c>
      <c r="BS709" s="845">
        <f>126-BR709-BQ709</f>
        <v>20</v>
      </c>
      <c r="BT709" s="845">
        <f>155-BS709-BR709-BQ709</f>
        <v>29</v>
      </c>
      <c r="BU709" s="661">
        <f t="shared" si="1343"/>
        <v>155</v>
      </c>
      <c r="BV709" s="845">
        <v>20</v>
      </c>
      <c r="BW709" s="845">
        <f>43-BV709</f>
        <v>23</v>
      </c>
      <c r="BX709" s="845">
        <f>62-BW709-BV709</f>
        <v>19</v>
      </c>
      <c r="BY709" s="845">
        <f>77-BX709-BW709-BV709</f>
        <v>15</v>
      </c>
      <c r="BZ709" s="661">
        <f t="shared" si="1315"/>
        <v>77</v>
      </c>
      <c r="CA709" s="845">
        <v>9</v>
      </c>
      <c r="CB709" s="845">
        <f>17-CA709</f>
        <v>8</v>
      </c>
      <c r="CC709" s="845">
        <f>26-CB709-CA709</f>
        <v>9</v>
      </c>
      <c r="CD709" s="223">
        <f>34-CC709-CB709-CA709</f>
        <v>8</v>
      </c>
      <c r="CE709" s="661">
        <f t="shared" si="1316"/>
        <v>34</v>
      </c>
      <c r="CF709" s="845">
        <v>7</v>
      </c>
      <c r="CG709" s="845">
        <f>14-CF709</f>
        <v>7</v>
      </c>
      <c r="CH709" s="845">
        <f>21-CG709-CF709</f>
        <v>7</v>
      </c>
      <c r="CI709" s="845">
        <f>92-SUM(CF709:CH709)</f>
        <v>71</v>
      </c>
      <c r="CJ709" s="661">
        <f t="shared" si="1317"/>
        <v>92</v>
      </c>
      <c r="CK709" s="845">
        <v>2</v>
      </c>
      <c r="CL709" s="845">
        <f>2-CK709</f>
        <v>0</v>
      </c>
      <c r="CM709" s="845">
        <f>61-CL709-CK709</f>
        <v>59</v>
      </c>
      <c r="CN709" s="845">
        <f>67-CK709-CL709-CM709</f>
        <v>6</v>
      </c>
      <c r="CO709" s="661">
        <f t="shared" si="1318"/>
        <v>67</v>
      </c>
      <c r="CP709" s="3657">
        <v>7</v>
      </c>
      <c r="CQ709" s="3657">
        <f>10-CP709</f>
        <v>3</v>
      </c>
      <c r="CR709" s="85">
        <f>91-CQ709-CP709</f>
        <v>81</v>
      </c>
      <c r="CS709" s="847">
        <f>CS662</f>
        <v>86</v>
      </c>
      <c r="CT709" s="661">
        <f t="shared" si="1319"/>
        <v>177</v>
      </c>
      <c r="CU709" s="847">
        <f>CU662</f>
        <v>6.25</v>
      </c>
      <c r="CV709" s="847">
        <f>CV662</f>
        <v>6.25</v>
      </c>
      <c r="CW709" s="847">
        <f>CW662</f>
        <v>6.25</v>
      </c>
      <c r="CX709" s="847">
        <f>CX662</f>
        <v>6</v>
      </c>
      <c r="CY709" s="2293">
        <f t="shared" si="1321"/>
        <v>24.75</v>
      </c>
      <c r="CZ709" s="661">
        <f>CZ662</f>
        <v>25</v>
      </c>
      <c r="DA709" s="661">
        <f>DA662</f>
        <v>25</v>
      </c>
      <c r="DB709"/>
      <c r="DC709"/>
      <c r="DD709" s="2308" t="s">
        <v>892</v>
      </c>
      <c r="DE709" s="2293">
        <f t="shared" si="1322"/>
        <v>93</v>
      </c>
      <c r="DF709" s="2293">
        <f t="shared" si="1323"/>
        <v>71</v>
      </c>
      <c r="DG709" s="2293">
        <f t="shared" si="1324"/>
        <v>124</v>
      </c>
      <c r="DH709" s="2293">
        <f t="shared" si="1325"/>
        <v>280</v>
      </c>
      <c r="DI709" s="2293">
        <f t="shared" si="1326"/>
        <v>276</v>
      </c>
      <c r="DJ709" s="2293">
        <f t="shared" si="1327"/>
        <v>706</v>
      </c>
      <c r="DK709" s="2293">
        <f t="shared" si="1328"/>
        <v>121</v>
      </c>
      <c r="DL709" s="2293">
        <f t="shared" si="1329"/>
        <v>106</v>
      </c>
      <c r="DM709" s="2293">
        <f t="shared" si="1330"/>
        <v>36</v>
      </c>
      <c r="DN709" s="2293">
        <f t="shared" si="1331"/>
        <v>20</v>
      </c>
      <c r="DO709" s="2293">
        <f t="shared" si="1332"/>
        <v>18</v>
      </c>
      <c r="DP709" s="2293">
        <f t="shared" si="1333"/>
        <v>110</v>
      </c>
      <c r="DQ709" s="2293">
        <f t="shared" si="1334"/>
        <v>155</v>
      </c>
      <c r="DR709" s="2293">
        <f t="shared" si="1335"/>
        <v>77</v>
      </c>
      <c r="DS709" s="2293">
        <f t="shared" si="1336"/>
        <v>34</v>
      </c>
      <c r="DT709" s="2293">
        <f t="shared" si="1337"/>
        <v>92</v>
      </c>
      <c r="DU709" s="2293">
        <f t="shared" si="1338"/>
        <v>67</v>
      </c>
      <c r="DV709" s="2293">
        <f t="shared" si="1339"/>
        <v>177</v>
      </c>
      <c r="DW709" s="2293">
        <f t="shared" si="1340"/>
        <v>24.75</v>
      </c>
      <c r="DX709" s="2293">
        <f t="shared" si="1341"/>
        <v>25</v>
      </c>
      <c r="DY709" s="2293">
        <f t="shared" si="1342"/>
        <v>25</v>
      </c>
      <c r="EA709"/>
      <c r="EB709"/>
      <c r="EC709"/>
      <c r="ED709"/>
      <c r="EE709"/>
      <c r="EF709"/>
      <c r="EJ709"/>
      <c r="EK709"/>
      <c r="EL709"/>
      <c r="EM709" s="1703"/>
      <c r="ER709" s="212"/>
    </row>
    <row r="710" spans="1:148" customFormat="1" ht="12.75" customHeight="1" x14ac:dyDescent="0.2">
      <c r="A710" s="1434" t="s">
        <v>813</v>
      </c>
      <c r="I710">
        <v>3</v>
      </c>
      <c r="J710">
        <f>294-I710</f>
        <v>291</v>
      </c>
      <c r="K710">
        <f>381-J710-I710</f>
        <v>87</v>
      </c>
      <c r="L710">
        <f>742-K710-J710-I710</f>
        <v>361</v>
      </c>
      <c r="M710">
        <f>SUM(I710:L710)</f>
        <v>742</v>
      </c>
      <c r="N710">
        <v>241</v>
      </c>
      <c r="O710">
        <f>361-N710</f>
        <v>120</v>
      </c>
      <c r="P710">
        <f>508-O710-N710</f>
        <v>147</v>
      </c>
      <c r="Q710">
        <f>554-P710-O710-N710</f>
        <v>46</v>
      </c>
      <c r="R710">
        <f>SUM(N710:Q710)</f>
        <v>554</v>
      </c>
      <c r="S710">
        <v>99</v>
      </c>
      <c r="T710">
        <f>282-S710</f>
        <v>183</v>
      </c>
      <c r="U710">
        <f>513-T710-S710</f>
        <v>231</v>
      </c>
      <c r="V710">
        <f>729-U710-T710-S710</f>
        <v>216</v>
      </c>
      <c r="W710">
        <f>SUM(S710:V710)</f>
        <v>729</v>
      </c>
      <c r="X710">
        <v>263</v>
      </c>
      <c r="Y710">
        <f>361-X710</f>
        <v>98</v>
      </c>
      <c r="Z710">
        <f>487-Y710-X710</f>
        <v>126</v>
      </c>
      <c r="AA710">
        <f>494-Z710-Y710-X710</f>
        <v>7</v>
      </c>
      <c r="AB710">
        <f>SUM(X710:AA710)</f>
        <v>494</v>
      </c>
      <c r="AC710">
        <v>4</v>
      </c>
      <c r="AD710">
        <f>23-AC710</f>
        <v>19</v>
      </c>
      <c r="AE710">
        <f>250-AD710-AC710</f>
        <v>227</v>
      </c>
      <c r="AF710">
        <f>402-AE710-AD710-AC710</f>
        <v>152</v>
      </c>
      <c r="AG710">
        <f>SUM(AC710:AF710)</f>
        <v>402</v>
      </c>
      <c r="AH710">
        <v>15</v>
      </c>
      <c r="AI710">
        <f>24-AH710</f>
        <v>9</v>
      </c>
      <c r="AJ710">
        <f>37-AI710-AH710</f>
        <v>13</v>
      </c>
      <c r="AK710">
        <f>298-AJ710-AI710-AH710</f>
        <v>261</v>
      </c>
      <c r="AL710">
        <f>SUM(AH710:AK710)</f>
        <v>298</v>
      </c>
      <c r="AM710">
        <v>160</v>
      </c>
      <c r="AN710">
        <f>716-AM710</f>
        <v>556</v>
      </c>
      <c r="AO710">
        <f>779-AN710-AM710</f>
        <v>63</v>
      </c>
      <c r="AP710">
        <f>798-AO710-AN710-AM710</f>
        <v>19</v>
      </c>
      <c r="AQ710">
        <f>SUM(AM710:AP710)</f>
        <v>798</v>
      </c>
      <c r="AR710">
        <v>48</v>
      </c>
      <c r="AS710">
        <f>120-AR710</f>
        <v>72</v>
      </c>
      <c r="AT710">
        <f>439-AS710-AR710</f>
        <v>319</v>
      </c>
      <c r="AU710">
        <f>745-AT710-AS710-AR710</f>
        <v>306</v>
      </c>
      <c r="AV710">
        <f>SUM(AR710:AU710)</f>
        <v>745</v>
      </c>
      <c r="AW710">
        <v>14</v>
      </c>
      <c r="AX710">
        <f>19-AW710</f>
        <v>5</v>
      </c>
      <c r="AY710">
        <f>19-AX710-AW710</f>
        <v>0</v>
      </c>
      <c r="AZ710">
        <f>38-SUM(AW710:AY710)</f>
        <v>19</v>
      </c>
      <c r="BA710">
        <f t="shared" si="1312"/>
        <v>38</v>
      </c>
      <c r="BB710">
        <v>1</v>
      </c>
      <c r="BC710">
        <f>1-BB710</f>
        <v>0</v>
      </c>
      <c r="BD710">
        <f>1-SUM(BB710:BC710)</f>
        <v>0</v>
      </c>
      <c r="BE710">
        <f>2-SUM(BB710:BD710)</f>
        <v>1</v>
      </c>
      <c r="BF710">
        <f t="shared" si="1313"/>
        <v>2</v>
      </c>
      <c r="BG710">
        <v>0</v>
      </c>
      <c r="BH710">
        <f>0-BG710</f>
        <v>0</v>
      </c>
      <c r="BI710">
        <v>3</v>
      </c>
      <c r="BJ710">
        <f>114-SUM(BG710:BI710)</f>
        <v>111</v>
      </c>
      <c r="BK710">
        <f t="shared" si="1314"/>
        <v>114</v>
      </c>
      <c r="BL710">
        <v>0</v>
      </c>
      <c r="BM710">
        <v>0</v>
      </c>
      <c r="BN710">
        <f>1-BM710-BL710</f>
        <v>1</v>
      </c>
      <c r="BO710">
        <f>20-SUM(BL710:BN710)</f>
        <v>19</v>
      </c>
      <c r="BP710">
        <f>SUM(BL710:BO710)</f>
        <v>20</v>
      </c>
      <c r="BQ710">
        <v>0</v>
      </c>
      <c r="BR710">
        <f>4-BQ710</f>
        <v>4</v>
      </c>
      <c r="BS710">
        <f>65-BR710-BQ710</f>
        <v>61</v>
      </c>
      <c r="BT710">
        <f>65-BS710-BR710-BQ710</f>
        <v>0</v>
      </c>
      <c r="BU710">
        <f>SUM(BQ710:BT710)</f>
        <v>65</v>
      </c>
      <c r="BV710">
        <v>0</v>
      </c>
      <c r="BW710">
        <f>0-BV710</f>
        <v>0</v>
      </c>
      <c r="BX710">
        <f>0-BW710-BV710</f>
        <v>0</v>
      </c>
      <c r="BY710">
        <f>0-BX710-BW710-BV710</f>
        <v>0</v>
      </c>
      <c r="BZ710">
        <f t="shared" si="1315"/>
        <v>0</v>
      </c>
      <c r="CA710">
        <v>292</v>
      </c>
      <c r="CB710">
        <f>292-CA710</f>
        <v>0</v>
      </c>
      <c r="CC710">
        <f>292-CB710-CA710</f>
        <v>0</v>
      </c>
      <c r="CD710">
        <f>435-CC710-CB710-CA710</f>
        <v>143</v>
      </c>
      <c r="CE710">
        <f t="shared" si="1316"/>
        <v>435</v>
      </c>
      <c r="CF710">
        <v>247</v>
      </c>
      <c r="CG710">
        <f>581-CF710</f>
        <v>334</v>
      </c>
      <c r="CH710">
        <f>612-CG710-CF710</f>
        <v>31</v>
      </c>
      <c r="CI710">
        <f>673-SUM(CF710:CH710)</f>
        <v>61</v>
      </c>
      <c r="CJ710">
        <f t="shared" si="1317"/>
        <v>673</v>
      </c>
      <c r="CK710" s="845">
        <v>4</v>
      </c>
      <c r="CL710" s="845">
        <f>53-CK710</f>
        <v>49</v>
      </c>
      <c r="CM710" s="845">
        <f>53-CL710-CK710</f>
        <v>0</v>
      </c>
      <c r="CN710" s="845">
        <f>218-CK710-CL710-CM710</f>
        <v>165</v>
      </c>
      <c r="CO710" s="661">
        <f t="shared" si="1318"/>
        <v>218</v>
      </c>
      <c r="CP710" s="3657">
        <v>311</v>
      </c>
      <c r="CQ710" s="3657">
        <f>482-CP710</f>
        <v>171</v>
      </c>
      <c r="CR710" s="85">
        <f>482-CQ710-CP710</f>
        <v>0</v>
      </c>
      <c r="CS710" s="3674">
        <f>659</f>
        <v>659</v>
      </c>
      <c r="CT710" s="661">
        <f>SUM(CP710:CS710)</f>
        <v>1141</v>
      </c>
      <c r="CU710" s="3674">
        <f>-100-(105-45)</f>
        <v>-160</v>
      </c>
      <c r="CV710" s="3674">
        <f>-100</f>
        <v>-100</v>
      </c>
      <c r="CW710" s="3674">
        <v>-100</v>
      </c>
      <c r="CX710" s="3674">
        <v>-100</v>
      </c>
      <c r="CY710" s="2293">
        <f t="shared" si="1321"/>
        <v>-460</v>
      </c>
      <c r="CZ710" s="661">
        <f>CZ663</f>
        <v>0</v>
      </c>
      <c r="DA710" s="661">
        <f>DA663</f>
        <v>0</v>
      </c>
      <c r="DD710" t="s">
        <v>813</v>
      </c>
      <c r="DE710">
        <f t="shared" si="1322"/>
        <v>742</v>
      </c>
      <c r="DF710">
        <f t="shared" si="1323"/>
        <v>554</v>
      </c>
      <c r="DG710">
        <f t="shared" si="1324"/>
        <v>729</v>
      </c>
      <c r="DH710">
        <f t="shared" si="1325"/>
        <v>494</v>
      </c>
      <c r="DI710">
        <f t="shared" si="1326"/>
        <v>402</v>
      </c>
      <c r="DJ710">
        <f t="shared" si="1327"/>
        <v>298</v>
      </c>
      <c r="DK710">
        <f t="shared" si="1328"/>
        <v>798</v>
      </c>
      <c r="DL710">
        <f t="shared" si="1329"/>
        <v>745</v>
      </c>
      <c r="DM710">
        <f t="shared" si="1330"/>
        <v>38</v>
      </c>
      <c r="DN710">
        <f t="shared" si="1331"/>
        <v>2</v>
      </c>
      <c r="DO710">
        <f t="shared" si="1332"/>
        <v>114</v>
      </c>
      <c r="DP710">
        <f t="shared" si="1333"/>
        <v>20</v>
      </c>
      <c r="DQ710">
        <f t="shared" si="1334"/>
        <v>65</v>
      </c>
      <c r="DR710">
        <f t="shared" si="1335"/>
        <v>0</v>
      </c>
      <c r="DS710">
        <f t="shared" si="1336"/>
        <v>435</v>
      </c>
      <c r="DT710">
        <f t="shared" si="1337"/>
        <v>673</v>
      </c>
      <c r="DU710">
        <f t="shared" si="1338"/>
        <v>218</v>
      </c>
      <c r="DV710">
        <f t="shared" si="1339"/>
        <v>1141</v>
      </c>
      <c r="DW710">
        <f t="shared" si="1340"/>
        <v>-460</v>
      </c>
      <c r="DX710">
        <f t="shared" si="1341"/>
        <v>0</v>
      </c>
      <c r="DY710">
        <f t="shared" si="1342"/>
        <v>0</v>
      </c>
    </row>
    <row r="711" spans="1:148" s="923" customFormat="1" ht="12.75" customHeight="1" x14ac:dyDescent="0.2">
      <c r="A711" s="1434" t="s">
        <v>880</v>
      </c>
      <c r="B711" s="845"/>
      <c r="C711" s="845"/>
      <c r="D711" s="845"/>
      <c r="E711" s="845"/>
      <c r="F711" s="845"/>
      <c r="G711" s="845"/>
      <c r="H711" s="845"/>
      <c r="I711" s="845">
        <v>-25</v>
      </c>
      <c r="J711" s="845">
        <f>-88-I711</f>
        <v>-63</v>
      </c>
      <c r="K711" s="845">
        <f>-118-J711-I711</f>
        <v>-30</v>
      </c>
      <c r="L711" s="845">
        <f>-389-K711-J711-I711</f>
        <v>-271</v>
      </c>
      <c r="M711" s="661">
        <f>SUM(I711:L711)</f>
        <v>-389</v>
      </c>
      <c r="N711" s="845">
        <v>-35</v>
      </c>
      <c r="O711" s="845">
        <f>-82-N711</f>
        <v>-47</v>
      </c>
      <c r="P711" s="845">
        <f>-147-O711-N711</f>
        <v>-65</v>
      </c>
      <c r="Q711" s="845">
        <f>-367-P711-O711-N711</f>
        <v>-220</v>
      </c>
      <c r="R711" s="661">
        <f>SUM(N711:Q711)</f>
        <v>-367</v>
      </c>
      <c r="S711" s="845">
        <v>-33</v>
      </c>
      <c r="T711" s="845">
        <f>-64-S711</f>
        <v>-31</v>
      </c>
      <c r="U711" s="845">
        <f>-94-T711-S711</f>
        <v>-30</v>
      </c>
      <c r="V711" s="845">
        <f>-237-U711-T711-S711</f>
        <v>-143</v>
      </c>
      <c r="W711" s="661">
        <f>SUM(S711:V711)</f>
        <v>-237</v>
      </c>
      <c r="X711" s="845">
        <v>-42</v>
      </c>
      <c r="Y711" s="845">
        <f>-70-X711</f>
        <v>-28</v>
      </c>
      <c r="Z711" s="845">
        <f>-176-Y711-X711</f>
        <v>-106</v>
      </c>
      <c r="AA711" s="845">
        <f>-241-Z711-Y711-X711</f>
        <v>-65</v>
      </c>
      <c r="AB711" s="661">
        <f>SUM(X711:AA711)</f>
        <v>-241</v>
      </c>
      <c r="AC711" s="845">
        <v>-25</v>
      </c>
      <c r="AD711" s="845">
        <f>-54-AC711</f>
        <v>-29</v>
      </c>
      <c r="AE711" s="845">
        <f>-76-AD711-AC711</f>
        <v>-22</v>
      </c>
      <c r="AF711" s="845">
        <f>-129-AE711-AD711-AC711</f>
        <v>-53</v>
      </c>
      <c r="AG711" s="661">
        <f>SUM(AC711:AF711)</f>
        <v>-129</v>
      </c>
      <c r="AH711" s="845">
        <v>-16</v>
      </c>
      <c r="AI711" s="845">
        <f>-40-AH711-210</f>
        <v>-234</v>
      </c>
      <c r="AJ711" s="845">
        <f>-53-AI711-AH711-201</f>
        <v>-4</v>
      </c>
      <c r="AK711" s="845">
        <f>-56-AJ711-AI711-AH711</f>
        <v>198</v>
      </c>
      <c r="AL711" s="661">
        <f>SUM(AH711:AK711)</f>
        <v>-56</v>
      </c>
      <c r="AM711" s="845">
        <v>-71</v>
      </c>
      <c r="AN711" s="845">
        <f>-73-AM711</f>
        <v>-2</v>
      </c>
      <c r="AO711" s="845">
        <f>-95-SUM(AM711:AN711)</f>
        <v>-22</v>
      </c>
      <c r="AP711" s="845">
        <f>-95-AO711-AN711-AM711</f>
        <v>0</v>
      </c>
      <c r="AQ711" s="661">
        <f>SUM(AM711:AP711)</f>
        <v>-95</v>
      </c>
      <c r="AR711" s="845">
        <v>1</v>
      </c>
      <c r="AS711" s="845">
        <f>0-AR711</f>
        <v>-1</v>
      </c>
      <c r="AT711" s="845">
        <f>-10-SUM(AR711:AS711)</f>
        <v>-10</v>
      </c>
      <c r="AU711" s="845">
        <f>-40-SUM(AR711:AT711)</f>
        <v>-30</v>
      </c>
      <c r="AV711" s="661">
        <f>SUM(AR711:AU711)</f>
        <v>-40</v>
      </c>
      <c r="AW711" s="845">
        <v>15</v>
      </c>
      <c r="AX711" s="845">
        <f>5-AW711</f>
        <v>-10</v>
      </c>
      <c r="AY711" s="845">
        <f>-4-SUM(AW711:AX711)</f>
        <v>-9</v>
      </c>
      <c r="AZ711" s="845">
        <f>-25-SUM(AW711:AY711)</f>
        <v>-21</v>
      </c>
      <c r="BA711" s="661">
        <f t="shared" si="1312"/>
        <v>-25</v>
      </c>
      <c r="BB711" s="845">
        <f>-4</f>
        <v>-4</v>
      </c>
      <c r="BC711" s="845">
        <f>-14-BB711</f>
        <v>-10</v>
      </c>
      <c r="BD711" s="845">
        <f>-27-SUM(BB711:BC711)</f>
        <v>-13</v>
      </c>
      <c r="BE711" s="845">
        <f>-28-SUM(BB711:BD711)</f>
        <v>-1</v>
      </c>
      <c r="BF711" s="661">
        <f t="shared" si="1313"/>
        <v>-28</v>
      </c>
      <c r="BG711" s="845">
        <v>-3</v>
      </c>
      <c r="BH711" s="845">
        <f>-9-BG711</f>
        <v>-6</v>
      </c>
      <c r="BI711" s="845">
        <f>-15-SUM(BG711:BH711)</f>
        <v>-6</v>
      </c>
      <c r="BJ711" s="845">
        <f>-29-SUM(BG711:BI711)</f>
        <v>-14</v>
      </c>
      <c r="BK711" s="661">
        <f t="shared" si="1314"/>
        <v>-29</v>
      </c>
      <c r="BL711" s="845">
        <v>-65</v>
      </c>
      <c r="BM711" s="845">
        <f>-70-BL711</f>
        <v>-5</v>
      </c>
      <c r="BN711" s="845">
        <f>-71-BM711-BL711</f>
        <v>-1</v>
      </c>
      <c r="BO711" s="845">
        <f>-83-SUM(BL711:BN711)</f>
        <v>-12</v>
      </c>
      <c r="BP711" s="661">
        <f>SUM(BL711:BO711)</f>
        <v>-83</v>
      </c>
      <c r="BQ711" s="845">
        <v>-2</v>
      </c>
      <c r="BR711" s="845">
        <f>-12-BQ711</f>
        <v>-10</v>
      </c>
      <c r="BS711" s="845">
        <f>-12-BR711-BQ711</f>
        <v>0</v>
      </c>
      <c r="BT711" s="845">
        <f>-15-BS711-BR711-BQ711</f>
        <v>-3</v>
      </c>
      <c r="BU711" s="661">
        <f t="shared" si="1343"/>
        <v>-15</v>
      </c>
      <c r="BV711" s="845">
        <v>-14</v>
      </c>
      <c r="BW711" s="845">
        <f>-16-BV711</f>
        <v>-2</v>
      </c>
      <c r="BX711" s="845">
        <f>-16-BW711-BV711</f>
        <v>0</v>
      </c>
      <c r="BY711" s="845">
        <f>-16-BX711-BW711-BV711</f>
        <v>0</v>
      </c>
      <c r="BZ711" s="661">
        <f t="shared" si="1315"/>
        <v>-16</v>
      </c>
      <c r="CA711" s="845">
        <v>-1</v>
      </c>
      <c r="CB711" s="845">
        <f>-5-CA711</f>
        <v>-4</v>
      </c>
      <c r="CC711" s="845">
        <f>-7-CB711-CA711</f>
        <v>-2</v>
      </c>
      <c r="CD711" s="223">
        <f>-6-CC711-CB711-CA711</f>
        <v>1</v>
      </c>
      <c r="CE711" s="661">
        <f t="shared" si="1316"/>
        <v>-6</v>
      </c>
      <c r="CF711" s="845">
        <v>-1</v>
      </c>
      <c r="CG711" s="845">
        <f>1-CF711</f>
        <v>2</v>
      </c>
      <c r="CH711" s="845">
        <f>-5-CG711-CF711</f>
        <v>-6</v>
      </c>
      <c r="CI711" s="845">
        <f>+-7-SUM(CF711:CH711)</f>
        <v>-2</v>
      </c>
      <c r="CJ711" s="661">
        <f t="shared" si="1317"/>
        <v>-7</v>
      </c>
      <c r="CK711" s="845">
        <v>0</v>
      </c>
      <c r="CL711" s="845">
        <f>0-CK711</f>
        <v>0</v>
      </c>
      <c r="CM711" s="845">
        <f>0-CL711-CK711</f>
        <v>0</v>
      </c>
      <c r="CN711" s="845">
        <f>0-CK711-CL711-CM711</f>
        <v>0</v>
      </c>
      <c r="CO711" s="661">
        <f t="shared" si="1318"/>
        <v>0</v>
      </c>
      <c r="CP711" s="3657">
        <f>CP659</f>
        <v>0</v>
      </c>
      <c r="CQ711" s="3657">
        <f>CQ659</f>
        <v>0</v>
      </c>
      <c r="CR711" s="85">
        <f>0-CQ711-CP711</f>
        <v>0</v>
      </c>
      <c r="CS711" s="847">
        <f>CS659</f>
        <v>-15</v>
      </c>
      <c r="CT711" s="661">
        <f t="shared" si="1319"/>
        <v>-15</v>
      </c>
      <c r="CU711" s="847">
        <f t="shared" ref="CU711:DA711" si="1345">CU659</f>
        <v>0</v>
      </c>
      <c r="CV711" s="847">
        <f t="shared" si="1345"/>
        <v>0</v>
      </c>
      <c r="CW711" s="847">
        <f t="shared" si="1345"/>
        <v>0</v>
      </c>
      <c r="CX711" s="847">
        <f t="shared" si="1345"/>
        <v>-15</v>
      </c>
      <c r="CY711" s="2293">
        <f t="shared" si="1321"/>
        <v>-15</v>
      </c>
      <c r="CZ711" s="661">
        <f>CZ659</f>
        <v>-15</v>
      </c>
      <c r="DA711" s="661">
        <f t="shared" si="1345"/>
        <v>0</v>
      </c>
      <c r="DB711"/>
      <c r="DC711"/>
      <c r="DD711" s="2308" t="s">
        <v>880</v>
      </c>
      <c r="DE711" s="2293">
        <f t="shared" si="1322"/>
        <v>-389</v>
      </c>
      <c r="DF711" s="2293">
        <f t="shared" si="1323"/>
        <v>-367</v>
      </c>
      <c r="DG711" s="2293">
        <f t="shared" si="1324"/>
        <v>-237</v>
      </c>
      <c r="DH711" s="2293">
        <f t="shared" si="1325"/>
        <v>-241</v>
      </c>
      <c r="DI711" s="2293">
        <f t="shared" si="1326"/>
        <v>-129</v>
      </c>
      <c r="DJ711" s="2293">
        <f t="shared" si="1327"/>
        <v>-56</v>
      </c>
      <c r="DK711" s="2293">
        <f t="shared" si="1328"/>
        <v>-95</v>
      </c>
      <c r="DL711" s="2293">
        <f t="shared" si="1329"/>
        <v>-40</v>
      </c>
      <c r="DM711" s="2293">
        <f t="shared" si="1330"/>
        <v>-25</v>
      </c>
      <c r="DN711" s="2293">
        <f t="shared" si="1331"/>
        <v>-28</v>
      </c>
      <c r="DO711" s="2293">
        <f t="shared" si="1332"/>
        <v>-29</v>
      </c>
      <c r="DP711" s="2293">
        <f t="shared" si="1333"/>
        <v>-83</v>
      </c>
      <c r="DQ711" s="2293">
        <f t="shared" si="1334"/>
        <v>-15</v>
      </c>
      <c r="DR711" s="2293">
        <f t="shared" si="1335"/>
        <v>-16</v>
      </c>
      <c r="DS711" s="2293">
        <f t="shared" si="1336"/>
        <v>-6</v>
      </c>
      <c r="DT711" s="2293">
        <f t="shared" si="1337"/>
        <v>-7</v>
      </c>
      <c r="DU711" s="2293">
        <f t="shared" si="1338"/>
        <v>0</v>
      </c>
      <c r="DV711" s="2293">
        <f t="shared" si="1339"/>
        <v>-15</v>
      </c>
      <c r="DW711" s="2293">
        <f t="shared" si="1340"/>
        <v>-15</v>
      </c>
      <c r="DX711" s="2293">
        <f t="shared" si="1341"/>
        <v>-15</v>
      </c>
      <c r="DY711" s="2293">
        <f t="shared" si="1342"/>
        <v>0</v>
      </c>
      <c r="EA711"/>
      <c r="EB711"/>
      <c r="EC711"/>
      <c r="ED711"/>
      <c r="EE711"/>
      <c r="EF711"/>
      <c r="EJ711"/>
      <c r="EK711"/>
      <c r="EL711"/>
      <c r="EM711" s="1703"/>
      <c r="ER711" s="212"/>
    </row>
    <row r="712" spans="1:148" s="923" customFormat="1" ht="12.75" customHeight="1" x14ac:dyDescent="0.2">
      <c r="A712" s="1434" t="s">
        <v>926</v>
      </c>
      <c r="B712" s="845"/>
      <c r="C712" s="845"/>
      <c r="D712" s="845"/>
      <c r="E712" s="845"/>
      <c r="F712" s="845"/>
      <c r="G712" s="845"/>
      <c r="H712" s="845"/>
      <c r="I712" s="845"/>
      <c r="J712" s="845"/>
      <c r="K712" s="845"/>
      <c r="L712" s="845"/>
      <c r="M712" s="661"/>
      <c r="N712" s="845"/>
      <c r="O712" s="845"/>
      <c r="P712" s="845"/>
      <c r="Q712" s="845"/>
      <c r="R712" s="661"/>
      <c r="S712" s="845"/>
      <c r="T712" s="845"/>
      <c r="U712" s="845"/>
      <c r="V712" s="845"/>
      <c r="W712" s="661"/>
      <c r="X712" s="845"/>
      <c r="Y712" s="845"/>
      <c r="Z712" s="845"/>
      <c r="AA712" s="845"/>
      <c r="AB712" s="661"/>
      <c r="AC712" s="845"/>
      <c r="AD712" s="845"/>
      <c r="AE712" s="845"/>
      <c r="AF712" s="845"/>
      <c r="AG712" s="661"/>
      <c r="AH712" s="845"/>
      <c r="AI712" s="845"/>
      <c r="AJ712" s="845"/>
      <c r="AK712" s="845"/>
      <c r="AL712" s="661"/>
      <c r="AM712" s="845"/>
      <c r="AN712" s="845"/>
      <c r="AO712" s="845"/>
      <c r="AP712" s="845"/>
      <c r="AQ712" s="661"/>
      <c r="AR712" s="845"/>
      <c r="AS712" s="845"/>
      <c r="AT712" s="845"/>
      <c r="AU712" s="845"/>
      <c r="AV712" s="661"/>
      <c r="AW712" s="845">
        <v>-19</v>
      </c>
      <c r="AX712" s="845">
        <f>-96-AW712</f>
        <v>-77</v>
      </c>
      <c r="AY712" s="845">
        <f>-124-SUM(AW712:AX712)</f>
        <v>-28</v>
      </c>
      <c r="AZ712" s="845">
        <f>-133-SUM(AW712:AY712)</f>
        <v>-9</v>
      </c>
      <c r="BA712" s="661">
        <f t="shared" si="1312"/>
        <v>-133</v>
      </c>
      <c r="BB712" s="845">
        <v>-5</v>
      </c>
      <c r="BC712" s="845">
        <f>-14-BB712</f>
        <v>-9</v>
      </c>
      <c r="BD712" s="845">
        <f>-26-SUM(BB712:BC712)</f>
        <v>-12</v>
      </c>
      <c r="BE712" s="845">
        <f>-39-SUM(BB712:BD712)</f>
        <v>-13</v>
      </c>
      <c r="BF712" s="661">
        <f t="shared" si="1313"/>
        <v>-39</v>
      </c>
      <c r="BG712" s="845">
        <v>-16</v>
      </c>
      <c r="BH712" s="845">
        <f>-20-BG712</f>
        <v>-4</v>
      </c>
      <c r="BI712" s="845">
        <f>-35-SUM(BG712:BH712)</f>
        <v>-15</v>
      </c>
      <c r="BJ712" s="845">
        <f>-56-SUM(BG712:BI712)</f>
        <v>-21</v>
      </c>
      <c r="BK712" s="661">
        <f t="shared" si="1314"/>
        <v>-56</v>
      </c>
      <c r="BL712" s="845">
        <v>-37</v>
      </c>
      <c r="BM712" s="845">
        <f>-47-BL712</f>
        <v>-10</v>
      </c>
      <c r="BN712" s="845">
        <f>-54-BM712-BL712</f>
        <v>-7</v>
      </c>
      <c r="BO712" s="845">
        <f>-74-SUM(BL712:BN712)</f>
        <v>-20</v>
      </c>
      <c r="BP712" s="661">
        <f>SUM(BL712:BO712)</f>
        <v>-74</v>
      </c>
      <c r="BQ712" s="845">
        <v>-10</v>
      </c>
      <c r="BR712" s="845">
        <f>-19-BQ712</f>
        <v>-9</v>
      </c>
      <c r="BS712" s="845">
        <f>-52-BR712-BQ712</f>
        <v>-33</v>
      </c>
      <c r="BT712" s="845">
        <f>-253-BS712-BR712-BQ712</f>
        <v>-201</v>
      </c>
      <c r="BU712" s="661">
        <f>SUM(BQ712:BT712)</f>
        <v>-253</v>
      </c>
      <c r="BV712" s="845">
        <v>-14</v>
      </c>
      <c r="BW712" s="845">
        <f>-26-BV712</f>
        <v>-12</v>
      </c>
      <c r="BX712" s="845">
        <f>-36-BW712-BV712</f>
        <v>-10</v>
      </c>
      <c r="BY712" s="845">
        <f>-61-BX712-BW712-BV712</f>
        <v>-25</v>
      </c>
      <c r="BZ712" s="661">
        <f t="shared" si="1315"/>
        <v>-61</v>
      </c>
      <c r="CA712" s="845">
        <v>-6</v>
      </c>
      <c r="CB712" s="845">
        <f>-28-CA712</f>
        <v>-22</v>
      </c>
      <c r="CC712" s="845">
        <f>-47-CB712-CA712</f>
        <v>-19</v>
      </c>
      <c r="CD712" s="223">
        <f>-65-CC712-CB712-CA712</f>
        <v>-18</v>
      </c>
      <c r="CE712" s="661">
        <f t="shared" si="1316"/>
        <v>-65</v>
      </c>
      <c r="CF712" s="845">
        <v>-61</v>
      </c>
      <c r="CG712" s="845">
        <f>-72-CF712</f>
        <v>-11</v>
      </c>
      <c r="CH712" s="845">
        <f>-89-CG712-CF712</f>
        <v>-17</v>
      </c>
      <c r="CI712" s="845">
        <f>+-121-SUM(CF712:CH712)</f>
        <v>-32</v>
      </c>
      <c r="CJ712" s="661">
        <f t="shared" si="1317"/>
        <v>-121</v>
      </c>
      <c r="CK712" s="845">
        <v>-21</v>
      </c>
      <c r="CL712" s="845">
        <f>-37-CK712</f>
        <v>-16</v>
      </c>
      <c r="CM712" s="845">
        <f>-55-CL712-CK712</f>
        <v>-18</v>
      </c>
      <c r="CN712" s="845">
        <f>-80-CK712-CL712-CM712</f>
        <v>-25</v>
      </c>
      <c r="CO712" s="661">
        <f t="shared" si="1318"/>
        <v>-80</v>
      </c>
      <c r="CP712" s="3657">
        <v>-54</v>
      </c>
      <c r="CQ712" s="3657">
        <f>-91-CP712</f>
        <v>-37</v>
      </c>
      <c r="CR712" s="85">
        <f>-129-CQ712-CP712</f>
        <v>-38</v>
      </c>
      <c r="CS712" s="847">
        <f>CS658</f>
        <v>-50</v>
      </c>
      <c r="CT712" s="661">
        <f t="shared" si="1319"/>
        <v>-179</v>
      </c>
      <c r="CU712" s="847">
        <f t="shared" ref="CU712:DA712" si="1346">CU658</f>
        <v>-63</v>
      </c>
      <c r="CV712" s="847">
        <f t="shared" si="1346"/>
        <v>-54</v>
      </c>
      <c r="CW712" s="847">
        <f t="shared" si="1346"/>
        <v>-60.75</v>
      </c>
      <c r="CX712" s="847">
        <f t="shared" si="1346"/>
        <v>-75</v>
      </c>
      <c r="CY712" s="2293">
        <f t="shared" si="1321"/>
        <v>-252.75</v>
      </c>
      <c r="CZ712" s="661">
        <f t="shared" si="1346"/>
        <v>-303.3</v>
      </c>
      <c r="DA712" s="661">
        <f t="shared" si="1346"/>
        <v>-288.13499999999999</v>
      </c>
      <c r="DB712"/>
      <c r="DC712"/>
      <c r="DD712" s="2308" t="s">
        <v>926</v>
      </c>
      <c r="DE712" s="2293">
        <f t="shared" si="1322"/>
        <v>0</v>
      </c>
      <c r="DF712" s="2293">
        <f t="shared" si="1323"/>
        <v>0</v>
      </c>
      <c r="DG712" s="2293">
        <f t="shared" si="1324"/>
        <v>0</v>
      </c>
      <c r="DH712" s="2293">
        <f t="shared" si="1325"/>
        <v>0</v>
      </c>
      <c r="DI712" s="2293">
        <f t="shared" si="1326"/>
        <v>0</v>
      </c>
      <c r="DJ712" s="2293">
        <f t="shared" si="1327"/>
        <v>0</v>
      </c>
      <c r="DK712" s="2293">
        <f t="shared" si="1328"/>
        <v>0</v>
      </c>
      <c r="DL712" s="2293">
        <f t="shared" si="1329"/>
        <v>0</v>
      </c>
      <c r="DM712" s="2293">
        <f t="shared" si="1330"/>
        <v>-133</v>
      </c>
      <c r="DN712" s="2293">
        <f t="shared" si="1331"/>
        <v>-39</v>
      </c>
      <c r="DO712" s="2293">
        <f t="shared" si="1332"/>
        <v>-56</v>
      </c>
      <c r="DP712" s="2293">
        <f t="shared" si="1333"/>
        <v>-74</v>
      </c>
      <c r="DQ712" s="2293">
        <f t="shared" si="1334"/>
        <v>-253</v>
      </c>
      <c r="DR712" s="2293">
        <f t="shared" si="1335"/>
        <v>-61</v>
      </c>
      <c r="DS712" s="2293">
        <f t="shared" si="1336"/>
        <v>-65</v>
      </c>
      <c r="DT712" s="2293">
        <f t="shared" si="1337"/>
        <v>-121</v>
      </c>
      <c r="DU712" s="2293">
        <f t="shared" si="1338"/>
        <v>-80</v>
      </c>
      <c r="DV712" s="2293">
        <f t="shared" si="1339"/>
        <v>-179</v>
      </c>
      <c r="DW712" s="2293">
        <f t="shared" si="1340"/>
        <v>-252.75</v>
      </c>
      <c r="DX712" s="2293">
        <f t="shared" si="1341"/>
        <v>-303.3</v>
      </c>
      <c r="DY712" s="2293">
        <f t="shared" si="1342"/>
        <v>-288.13499999999999</v>
      </c>
      <c r="EA712"/>
      <c r="EB712"/>
      <c r="EC712"/>
      <c r="ED712"/>
      <c r="EE712"/>
      <c r="EF712"/>
      <c r="EJ712"/>
      <c r="EK712"/>
      <c r="EL712"/>
      <c r="EM712" s="1703"/>
      <c r="ER712" s="212"/>
    </row>
    <row r="713" spans="1:148" s="923" customFormat="1" ht="12.75" customHeight="1" x14ac:dyDescent="0.2">
      <c r="A713" s="1580" t="s">
        <v>1931</v>
      </c>
      <c r="B713" s="767"/>
      <c r="C713" s="767"/>
      <c r="D713" s="767"/>
      <c r="E713" s="767"/>
      <c r="F713" s="767"/>
      <c r="G713" s="767"/>
      <c r="H713" s="767"/>
      <c r="I713" s="767">
        <v>-19</v>
      </c>
      <c r="J713" s="767">
        <f>-103-I713</f>
        <v>-84</v>
      </c>
      <c r="K713" s="767">
        <f>-160-J713-I713</f>
        <v>-57</v>
      </c>
      <c r="L713" s="767">
        <f>-377-K713-J713-I713</f>
        <v>-217</v>
      </c>
      <c r="M713" s="970">
        <f>SUM(I713:L713)</f>
        <v>-377</v>
      </c>
      <c r="N713" s="767">
        <v>-52</v>
      </c>
      <c r="O713" s="767">
        <f>-145-N713</f>
        <v>-93</v>
      </c>
      <c r="P713" s="767">
        <f>-169-O713-N713</f>
        <v>-24</v>
      </c>
      <c r="Q713" s="767">
        <f>-179-P713-O713-N713</f>
        <v>-10</v>
      </c>
      <c r="R713" s="970">
        <f>SUM(N713:Q713)</f>
        <v>-179</v>
      </c>
      <c r="S713" s="767">
        <v>-36</v>
      </c>
      <c r="T713" s="767">
        <f>-53-S713</f>
        <v>-17</v>
      </c>
      <c r="U713" s="767">
        <f>-65-T713-S713</f>
        <v>-12</v>
      </c>
      <c r="V713" s="767">
        <f>-7-U713-T713-S713</f>
        <v>58</v>
      </c>
      <c r="W713" s="970">
        <f>SUM(S713:V713)</f>
        <v>-7</v>
      </c>
      <c r="X713" s="767">
        <v>-15</v>
      </c>
      <c r="Y713" s="767">
        <f>-20-X713</f>
        <v>-5</v>
      </c>
      <c r="Z713" s="767">
        <f>-26-Y713-X713</f>
        <v>-6</v>
      </c>
      <c r="AA713" s="767">
        <f>-39-Z713-Y713-X713</f>
        <v>-13</v>
      </c>
      <c r="AB713" s="970">
        <f>SUM(X713:AA713)</f>
        <v>-39</v>
      </c>
      <c r="AC713" s="767">
        <v>-21</v>
      </c>
      <c r="AD713" s="767">
        <f>-17-AC713</f>
        <v>4</v>
      </c>
      <c r="AE713" s="767">
        <f>-69-AD713-AC713</f>
        <v>-52</v>
      </c>
      <c r="AF713" s="767">
        <f>-81-AE713-AD713-AC713</f>
        <v>-12</v>
      </c>
      <c r="AG713" s="970">
        <f>SUM(AC713:AF713)</f>
        <v>-81</v>
      </c>
      <c r="AH713" s="767">
        <v>-10</v>
      </c>
      <c r="AI713" s="767">
        <f>-54-AH713</f>
        <v>-44</v>
      </c>
      <c r="AJ713" s="767">
        <f>-46-AI713-AH713</f>
        <v>8</v>
      </c>
      <c r="AK713" s="767">
        <f>-216-15-67-AJ713-AI713-AH713</f>
        <v>-252</v>
      </c>
      <c r="AL713" s="970">
        <f>SUM(AH713:AK713)</f>
        <v>-298</v>
      </c>
      <c r="AM713" s="767">
        <v>-48</v>
      </c>
      <c r="AN713" s="767">
        <f>-88-AM713</f>
        <v>-40</v>
      </c>
      <c r="AO713" s="767">
        <f>-93-SUM(AM713:AN713)</f>
        <v>-5</v>
      </c>
      <c r="AP713" s="767">
        <f>-90-27-AO713-AN713-AM713</f>
        <v>-24</v>
      </c>
      <c r="AQ713" s="970">
        <f>SUM(AM713:AP713)</f>
        <v>-117</v>
      </c>
      <c r="AR713" s="767">
        <v>-4</v>
      </c>
      <c r="AS713" s="767">
        <f>97-AR713</f>
        <v>101</v>
      </c>
      <c r="AT713" s="767">
        <f>36-SUM(AR713:AS713)</f>
        <v>-61</v>
      </c>
      <c r="AU713" s="767">
        <f>-27-SUM(AR713:AT713)+43</f>
        <v>-20</v>
      </c>
      <c r="AV713" s="970">
        <f>SUM(AR713:AU713)</f>
        <v>16</v>
      </c>
      <c r="AW713" s="767">
        <v>-43</v>
      </c>
      <c r="AX713" s="767">
        <f>-48-AW713</f>
        <v>-5</v>
      </c>
      <c r="AY713" s="767">
        <f>-51-SUM(AW713:AX713)</f>
        <v>-3</v>
      </c>
      <c r="AZ713" s="767">
        <f>-11-SUM(AW713:AY713)+22</f>
        <v>62</v>
      </c>
      <c r="BA713" s="970">
        <f t="shared" si="1312"/>
        <v>11</v>
      </c>
      <c r="BB713" s="767">
        <v>17</v>
      </c>
      <c r="BC713" s="767">
        <f>48-BB713</f>
        <v>31</v>
      </c>
      <c r="BD713" s="767">
        <f>69-SUM(BB713:BC713)</f>
        <v>21</v>
      </c>
      <c r="BE713" s="767">
        <f>75-SUM(BB713:BD713)+97+16</f>
        <v>119</v>
      </c>
      <c r="BF713" s="970">
        <f t="shared" si="1313"/>
        <v>188</v>
      </c>
      <c r="BG713" s="767">
        <v>20</v>
      </c>
      <c r="BH713" s="767">
        <f>25-BG713</f>
        <v>5</v>
      </c>
      <c r="BI713" s="767">
        <f>35-SUM(BG713:BH713)</f>
        <v>10</v>
      </c>
      <c r="BJ713" s="767">
        <f>20-SUM(BG713:BI713)</f>
        <v>-15</v>
      </c>
      <c r="BK713" s="970">
        <f t="shared" si="1314"/>
        <v>20</v>
      </c>
      <c r="BL713" s="767">
        <v>-14</v>
      </c>
      <c r="BM713" s="767">
        <f>-95-BL713</f>
        <v>-81</v>
      </c>
      <c r="BN713" s="767">
        <f>18-BM713-BL713</f>
        <v>113</v>
      </c>
      <c r="BO713" s="767">
        <f>-11-SUM(BL713:BN713)</f>
        <v>-29</v>
      </c>
      <c r="BP713" s="970">
        <f>SUM(BL713:BO713)</f>
        <v>-11</v>
      </c>
      <c r="BQ713" s="767">
        <v>-8</v>
      </c>
      <c r="BR713" s="767">
        <f>-39-BQ713</f>
        <v>-31</v>
      </c>
      <c r="BS713" s="767">
        <f>-22-BR713-BQ713</f>
        <v>17</v>
      </c>
      <c r="BT713" s="767">
        <f>-83-BS713-BR713-BQ713</f>
        <v>-61</v>
      </c>
      <c r="BU713" s="970">
        <f t="shared" si="1343"/>
        <v>-83</v>
      </c>
      <c r="BV713" s="767">
        <v>-7</v>
      </c>
      <c r="BW713" s="767">
        <f>-68-BV713</f>
        <v>-61</v>
      </c>
      <c r="BX713" s="767">
        <f>-88-BW713-BV713</f>
        <v>-20</v>
      </c>
      <c r="BY713" s="767">
        <f>-43-65-BX713-BW713-BV713</f>
        <v>-20</v>
      </c>
      <c r="BZ713" s="970">
        <f t="shared" si="1315"/>
        <v>-108</v>
      </c>
      <c r="CA713" s="767">
        <f>4-192</f>
        <v>-188</v>
      </c>
      <c r="CB713" s="767">
        <f>-184-16-CA713</f>
        <v>-12</v>
      </c>
      <c r="CC713" s="767">
        <f>-184-14-CB713-CA713</f>
        <v>2</v>
      </c>
      <c r="CD713" s="767">
        <f>-184-13-CC713-CB713-CA713</f>
        <v>1</v>
      </c>
      <c r="CE713" s="970">
        <f t="shared" si="1316"/>
        <v>-197</v>
      </c>
      <c r="CF713" s="767">
        <f>-136+7</f>
        <v>-129</v>
      </c>
      <c r="CG713" s="767">
        <f>121+14-136-CF713</f>
        <v>128</v>
      </c>
      <c r="CH713" s="767">
        <f>-137+121+80-CG713-CF713</f>
        <v>65</v>
      </c>
      <c r="CI713" s="767">
        <f>+-137+121+117-SUM(CF713:CH713)</f>
        <v>37</v>
      </c>
      <c r="CJ713" s="970">
        <f t="shared" si="1317"/>
        <v>101</v>
      </c>
      <c r="CK713" s="767">
        <v>9</v>
      </c>
      <c r="CL713" s="767">
        <f>12-CK713</f>
        <v>3</v>
      </c>
      <c r="CM713" s="767">
        <f>-2412+22-CL713-CK713</f>
        <v>-2402</v>
      </c>
      <c r="CN713" s="3426">
        <f>-2412+29-CK713-CL713-CM713</f>
        <v>7</v>
      </c>
      <c r="CO713" s="970">
        <f t="shared" si="1318"/>
        <v>-2383</v>
      </c>
      <c r="CP713" s="2916">
        <v>-4</v>
      </c>
      <c r="CQ713" s="2916">
        <f>-16-CP713</f>
        <v>-12</v>
      </c>
      <c r="CR713" s="767">
        <f>-14-CQ713-CP713</f>
        <v>2</v>
      </c>
      <c r="CS713" s="216">
        <v>0</v>
      </c>
      <c r="CT713" s="970">
        <f t="shared" si="1319"/>
        <v>-14</v>
      </c>
      <c r="CU713" s="216">
        <v>0</v>
      </c>
      <c r="CV713" s="216">
        <v>0</v>
      </c>
      <c r="CW713" s="216">
        <v>0</v>
      </c>
      <c r="CX713" s="216">
        <v>0</v>
      </c>
      <c r="CY713" s="970">
        <f t="shared" si="1321"/>
        <v>0</v>
      </c>
      <c r="CZ713" s="970">
        <v>0</v>
      </c>
      <c r="DA713" s="970">
        <v>0</v>
      </c>
      <c r="DB713"/>
      <c r="DC713"/>
      <c r="DD713" s="1580" t="s">
        <v>1931</v>
      </c>
      <c r="DE713" s="970">
        <f t="shared" si="1322"/>
        <v>-377</v>
      </c>
      <c r="DF713" s="970">
        <f t="shared" si="1323"/>
        <v>-179</v>
      </c>
      <c r="DG713" s="970">
        <f t="shared" si="1324"/>
        <v>-7</v>
      </c>
      <c r="DH713" s="970">
        <f t="shared" si="1325"/>
        <v>-39</v>
      </c>
      <c r="DI713" s="970">
        <f t="shared" si="1326"/>
        <v>-81</v>
      </c>
      <c r="DJ713" s="970">
        <f t="shared" si="1327"/>
        <v>-298</v>
      </c>
      <c r="DK713" s="970">
        <f t="shared" si="1328"/>
        <v>-117</v>
      </c>
      <c r="DL713" s="970">
        <f t="shared" si="1329"/>
        <v>16</v>
      </c>
      <c r="DM713" s="970">
        <f t="shared" si="1330"/>
        <v>11</v>
      </c>
      <c r="DN713" s="970">
        <f t="shared" si="1331"/>
        <v>188</v>
      </c>
      <c r="DO713" s="970">
        <f t="shared" si="1332"/>
        <v>20</v>
      </c>
      <c r="DP713" s="970">
        <f t="shared" si="1333"/>
        <v>-11</v>
      </c>
      <c r="DQ713" s="970">
        <f t="shared" si="1334"/>
        <v>-83</v>
      </c>
      <c r="DR713" s="970">
        <f t="shared" si="1335"/>
        <v>-108</v>
      </c>
      <c r="DS713" s="970">
        <f t="shared" si="1336"/>
        <v>-197</v>
      </c>
      <c r="DT713" s="970">
        <f t="shared" si="1337"/>
        <v>101</v>
      </c>
      <c r="DU713" s="970">
        <f t="shared" si="1338"/>
        <v>-2383</v>
      </c>
      <c r="DV713" s="970">
        <f t="shared" si="1339"/>
        <v>-14</v>
      </c>
      <c r="DW713" s="970">
        <f t="shared" si="1340"/>
        <v>0</v>
      </c>
      <c r="DX713" s="970">
        <f t="shared" si="1341"/>
        <v>0</v>
      </c>
      <c r="DY713" s="970">
        <f t="shared" si="1342"/>
        <v>0</v>
      </c>
      <c r="EA713"/>
      <c r="EB713"/>
      <c r="EC713"/>
      <c r="ED713"/>
      <c r="EE713"/>
      <c r="EF713"/>
      <c r="EJ713"/>
      <c r="EK713"/>
      <c r="EL713"/>
      <c r="EM713" s="1703"/>
      <c r="ER713" s="212"/>
    </row>
    <row r="714" spans="1:148" s="1703" customFormat="1" x14ac:dyDescent="0.2">
      <c r="A714" s="2180" t="s">
        <v>1291</v>
      </c>
      <c r="B714" s="1730"/>
      <c r="C714" s="1730"/>
      <c r="D714" s="1730"/>
      <c r="E714" s="1730"/>
      <c r="F714" s="1730"/>
      <c r="G714" s="1730"/>
      <c r="H714" s="1730"/>
      <c r="I714" s="1730">
        <f t="shared" ref="I714:AN714" si="1347">SUM(I707:I713)</f>
        <v>-284</v>
      </c>
      <c r="J714" s="1730">
        <f t="shared" si="1347"/>
        <v>-47</v>
      </c>
      <c r="K714" s="1730">
        <f t="shared" si="1347"/>
        <v>-164</v>
      </c>
      <c r="L714" s="1730">
        <f t="shared" si="1347"/>
        <v>-531</v>
      </c>
      <c r="M714" s="1729">
        <f t="shared" si="1347"/>
        <v>-1026</v>
      </c>
      <c r="N714" s="1730">
        <f t="shared" si="1347"/>
        <v>36</v>
      </c>
      <c r="O714" s="1730">
        <f t="shared" si="1347"/>
        <v>-119</v>
      </c>
      <c r="P714" s="1730">
        <f t="shared" si="1347"/>
        <v>-43</v>
      </c>
      <c r="Q714" s="1730">
        <f t="shared" si="1347"/>
        <v>-355</v>
      </c>
      <c r="R714" s="1729">
        <f t="shared" si="1347"/>
        <v>-481</v>
      </c>
      <c r="S714" s="1730">
        <f t="shared" si="1347"/>
        <v>-50</v>
      </c>
      <c r="T714" s="1730">
        <f t="shared" si="1347"/>
        <v>72</v>
      </c>
      <c r="U714" s="1730">
        <f t="shared" si="1347"/>
        <v>171</v>
      </c>
      <c r="V714" s="1730">
        <f t="shared" si="1347"/>
        <v>124</v>
      </c>
      <c r="W714" s="1729">
        <f t="shared" si="1347"/>
        <v>317</v>
      </c>
      <c r="X714" s="1730">
        <f t="shared" si="1347"/>
        <v>229</v>
      </c>
      <c r="Y714" s="1730">
        <f t="shared" si="1347"/>
        <v>37</v>
      </c>
      <c r="Z714" s="1730">
        <f t="shared" si="1347"/>
        <v>27</v>
      </c>
      <c r="AA714" s="1730">
        <f t="shared" si="1347"/>
        <v>-9</v>
      </c>
      <c r="AB714" s="1729">
        <f t="shared" si="1347"/>
        <v>284</v>
      </c>
      <c r="AC714" s="1730">
        <f t="shared" si="1347"/>
        <v>24</v>
      </c>
      <c r="AD714" s="1730">
        <f t="shared" si="1347"/>
        <v>-32</v>
      </c>
      <c r="AE714" s="1730">
        <f t="shared" si="1347"/>
        <v>132</v>
      </c>
      <c r="AF714" s="1730">
        <f t="shared" si="1347"/>
        <v>163</v>
      </c>
      <c r="AG714" s="1729">
        <f t="shared" si="1347"/>
        <v>287</v>
      </c>
      <c r="AH714" s="1730">
        <f t="shared" si="1347"/>
        <v>-37</v>
      </c>
      <c r="AI714" s="1730">
        <f t="shared" si="1347"/>
        <v>81</v>
      </c>
      <c r="AJ714" s="1730">
        <f t="shared" si="1347"/>
        <v>-319</v>
      </c>
      <c r="AK714" s="1730">
        <f t="shared" si="1347"/>
        <v>145</v>
      </c>
      <c r="AL714" s="1729">
        <f t="shared" si="1347"/>
        <v>-130</v>
      </c>
      <c r="AM714" s="1730">
        <f t="shared" si="1347"/>
        <v>-63</v>
      </c>
      <c r="AN714" s="1730">
        <f t="shared" si="1347"/>
        <v>454</v>
      </c>
      <c r="AO714" s="1730">
        <f t="shared" ref="AO714:BT714" si="1348">SUM(AO707:AO713)</f>
        <v>-11</v>
      </c>
      <c r="AP714" s="1730">
        <f t="shared" si="1348"/>
        <v>-261</v>
      </c>
      <c r="AQ714" s="1729">
        <f t="shared" si="1348"/>
        <v>119</v>
      </c>
      <c r="AR714" s="1730">
        <f t="shared" si="1348"/>
        <v>-66</v>
      </c>
      <c r="AS714" s="1730">
        <f t="shared" si="1348"/>
        <v>49</v>
      </c>
      <c r="AT714" s="1730">
        <f t="shared" si="1348"/>
        <v>35</v>
      </c>
      <c r="AU714" s="1730">
        <f t="shared" si="1348"/>
        <v>107</v>
      </c>
      <c r="AV714" s="1729">
        <f t="shared" si="1348"/>
        <v>125</v>
      </c>
      <c r="AW714" s="1730">
        <f t="shared" si="1348"/>
        <v>-91</v>
      </c>
      <c r="AX714" s="1730">
        <f t="shared" si="1348"/>
        <v>-168</v>
      </c>
      <c r="AY714" s="1730">
        <f t="shared" si="1348"/>
        <v>-108</v>
      </c>
      <c r="AZ714" s="1730">
        <f t="shared" si="1348"/>
        <v>-116</v>
      </c>
      <c r="BA714" s="1729">
        <f t="shared" si="1348"/>
        <v>-483</v>
      </c>
      <c r="BB714" s="1730">
        <f t="shared" si="1348"/>
        <v>-41</v>
      </c>
      <c r="BC714" s="1730">
        <f t="shared" si="1348"/>
        <v>-32</v>
      </c>
      <c r="BD714" s="1730">
        <f t="shared" si="1348"/>
        <v>-57</v>
      </c>
      <c r="BE714" s="1730">
        <f t="shared" si="1348"/>
        <v>61</v>
      </c>
      <c r="BF714" s="1729">
        <f t="shared" si="1348"/>
        <v>-69</v>
      </c>
      <c r="BG714" s="1730">
        <f t="shared" si="1348"/>
        <v>-24</v>
      </c>
      <c r="BH714" s="1730">
        <f t="shared" si="1348"/>
        <v>-45</v>
      </c>
      <c r="BI714" s="1730">
        <f t="shared" si="1348"/>
        <v>-92</v>
      </c>
      <c r="BJ714" s="1730">
        <f t="shared" si="1348"/>
        <v>-103</v>
      </c>
      <c r="BK714" s="1729">
        <f t="shared" si="1348"/>
        <v>-264</v>
      </c>
      <c r="BL714" s="1730">
        <f t="shared" si="1348"/>
        <v>-178</v>
      </c>
      <c r="BM714" s="1730">
        <f t="shared" si="1348"/>
        <v>-48</v>
      </c>
      <c r="BN714" s="1730">
        <f t="shared" si="1348"/>
        <v>81</v>
      </c>
      <c r="BO714" s="1730">
        <f t="shared" si="1348"/>
        <v>-102</v>
      </c>
      <c r="BP714" s="1729">
        <f t="shared" si="1348"/>
        <v>-247</v>
      </c>
      <c r="BQ714" s="1730">
        <f t="shared" si="1348"/>
        <v>-135</v>
      </c>
      <c r="BR714" s="1730">
        <f t="shared" si="1348"/>
        <v>-84</v>
      </c>
      <c r="BS714" s="1730">
        <f t="shared" si="1348"/>
        <v>6</v>
      </c>
      <c r="BT714" s="1730">
        <f t="shared" si="1348"/>
        <v>-372</v>
      </c>
      <c r="BU714" s="1729">
        <f t="shared" ref="BU714:CZ714" si="1349">SUM(BU707:BU713)</f>
        <v>-585</v>
      </c>
      <c r="BV714" s="1730">
        <f t="shared" si="1349"/>
        <v>-88</v>
      </c>
      <c r="BW714" s="1730">
        <f t="shared" si="1349"/>
        <v>-131</v>
      </c>
      <c r="BX714" s="842">
        <f t="shared" si="1349"/>
        <v>-90</v>
      </c>
      <c r="BY714" s="1730">
        <f t="shared" si="1349"/>
        <v>-210</v>
      </c>
      <c r="BZ714" s="1729">
        <f t="shared" si="1349"/>
        <v>-519</v>
      </c>
      <c r="CA714" s="1730">
        <f t="shared" si="1349"/>
        <v>42</v>
      </c>
      <c r="CB714" s="1730">
        <f t="shared" si="1349"/>
        <v>-225</v>
      </c>
      <c r="CC714" s="1730">
        <f t="shared" si="1349"/>
        <v>-121</v>
      </c>
      <c r="CD714" s="1826">
        <f t="shared" si="1349"/>
        <v>-9</v>
      </c>
      <c r="CE714" s="1729">
        <f t="shared" si="1349"/>
        <v>-313</v>
      </c>
      <c r="CF714" s="1730">
        <f t="shared" si="1349"/>
        <v>-22</v>
      </c>
      <c r="CG714" s="1730">
        <f t="shared" si="1349"/>
        <v>374</v>
      </c>
      <c r="CH714" s="1730">
        <f t="shared" si="1349"/>
        <v>21</v>
      </c>
      <c r="CI714" s="1730">
        <f t="shared" si="1349"/>
        <v>-6</v>
      </c>
      <c r="CJ714" s="1729">
        <f t="shared" si="1349"/>
        <v>367</v>
      </c>
      <c r="CK714" s="1730">
        <f t="shared" si="1349"/>
        <v>-64</v>
      </c>
      <c r="CL714" s="1730">
        <f t="shared" si="1349"/>
        <v>-8</v>
      </c>
      <c r="CM714" s="1730">
        <f t="shared" si="1349"/>
        <v>-2415</v>
      </c>
      <c r="CN714" s="1826">
        <f t="shared" si="1349"/>
        <v>78</v>
      </c>
      <c r="CO714" s="1729">
        <f t="shared" si="1349"/>
        <v>-2409</v>
      </c>
      <c r="CP714" s="1730">
        <f t="shared" si="1349"/>
        <v>184</v>
      </c>
      <c r="CQ714" s="1730">
        <f t="shared" si="1349"/>
        <v>49</v>
      </c>
      <c r="CR714" s="1730">
        <f t="shared" si="1349"/>
        <v>-43</v>
      </c>
      <c r="CS714" s="1730">
        <f t="shared" si="1349"/>
        <v>587.98</v>
      </c>
      <c r="CT714" s="1729">
        <f t="shared" si="1349"/>
        <v>777.98</v>
      </c>
      <c r="CU714" s="1730">
        <f t="shared" si="1349"/>
        <v>-327.27213</v>
      </c>
      <c r="CV714" s="1730">
        <f t="shared" si="1349"/>
        <v>-238.00101520000001</v>
      </c>
      <c r="CW714" s="1730">
        <f t="shared" si="1349"/>
        <v>-224.47990039999999</v>
      </c>
      <c r="CX714" s="1730">
        <f t="shared" si="1349"/>
        <v>-278.26580000000001</v>
      </c>
      <c r="CY714" s="1729">
        <f t="shared" si="1349"/>
        <v>-1068.0188456000001</v>
      </c>
      <c r="CZ714" s="1729">
        <f t="shared" si="1349"/>
        <v>-590.92413420000003</v>
      </c>
      <c r="DA714" s="1729">
        <f>SUM(DA707:DA713)</f>
        <v>-617.37792749000005</v>
      </c>
      <c r="DB714"/>
      <c r="DC714"/>
      <c r="DD714" s="2180" t="s">
        <v>1291</v>
      </c>
      <c r="DE714" s="1729">
        <f t="shared" si="1322"/>
        <v>-1026</v>
      </c>
      <c r="DF714" s="1729">
        <f t="shared" si="1323"/>
        <v>-481</v>
      </c>
      <c r="DG714" s="1729">
        <f t="shared" si="1324"/>
        <v>317</v>
      </c>
      <c r="DH714" s="1729">
        <f t="shared" si="1325"/>
        <v>284</v>
      </c>
      <c r="DI714" s="1729">
        <f t="shared" si="1326"/>
        <v>287</v>
      </c>
      <c r="DJ714" s="1729">
        <f t="shared" si="1327"/>
        <v>-130</v>
      </c>
      <c r="DK714" s="1729">
        <f t="shared" si="1328"/>
        <v>119</v>
      </c>
      <c r="DL714" s="1729">
        <f t="shared" si="1329"/>
        <v>125</v>
      </c>
      <c r="DM714" s="1729">
        <f t="shared" si="1330"/>
        <v>-483</v>
      </c>
      <c r="DN714" s="1729">
        <f t="shared" si="1331"/>
        <v>-69</v>
      </c>
      <c r="DO714" s="1729">
        <f t="shared" si="1332"/>
        <v>-264</v>
      </c>
      <c r="DP714" s="1729">
        <f t="shared" si="1333"/>
        <v>-247</v>
      </c>
      <c r="DQ714" s="1729">
        <f t="shared" si="1334"/>
        <v>-585</v>
      </c>
      <c r="DR714" s="1729">
        <f t="shared" si="1335"/>
        <v>-519</v>
      </c>
      <c r="DS714" s="1729">
        <f t="shared" si="1336"/>
        <v>-313</v>
      </c>
      <c r="DT714" s="1729">
        <f t="shared" si="1337"/>
        <v>367</v>
      </c>
      <c r="DU714" s="1729">
        <f t="shared" si="1338"/>
        <v>-2409</v>
      </c>
      <c r="DV714" s="1729">
        <f t="shared" si="1339"/>
        <v>777.98</v>
      </c>
      <c r="DW714" s="1729">
        <f t="shared" si="1340"/>
        <v>-1068.0188456000001</v>
      </c>
      <c r="DX714" s="1729">
        <f t="shared" si="1341"/>
        <v>-590.92413420000003</v>
      </c>
      <c r="DY714" s="1729">
        <f t="shared" si="1342"/>
        <v>-617.37792749000005</v>
      </c>
      <c r="EA714"/>
      <c r="EB714"/>
      <c r="EC714"/>
      <c r="ED714"/>
      <c r="EE714"/>
      <c r="EF714"/>
      <c r="EJ714"/>
      <c r="EK714"/>
      <c r="EL714"/>
      <c r="ER714" s="212"/>
    </row>
    <row r="715" spans="1:148" s="923" customFormat="1" ht="12.75" customHeight="1" x14ac:dyDescent="0.2">
      <c r="A715" s="507"/>
      <c r="B715" s="215"/>
      <c r="C715" s="215"/>
      <c r="D715" s="215"/>
      <c r="E715" s="215"/>
      <c r="F715" s="215"/>
      <c r="G715" s="215"/>
      <c r="H715" s="215"/>
      <c r="I715" s="215"/>
      <c r="J715" s="215"/>
      <c r="K715" s="215"/>
      <c r="L715" s="215"/>
      <c r="M715" s="968"/>
      <c r="N715" s="215"/>
      <c r="O715" s="215"/>
      <c r="P715" s="215"/>
      <c r="Q715" s="215"/>
      <c r="R715" s="968"/>
      <c r="S715" s="215"/>
      <c r="T715" s="215"/>
      <c r="U715" s="215"/>
      <c r="V715" s="215"/>
      <c r="W715" s="968"/>
      <c r="X715" s="215"/>
      <c r="Y715" s="215"/>
      <c r="Z715" s="215"/>
      <c r="AA715" s="215"/>
      <c r="AB715" s="968"/>
      <c r="AC715" s="215"/>
      <c r="AD715" s="215"/>
      <c r="AE715" s="215"/>
      <c r="AF715" s="215"/>
      <c r="AG715" s="968"/>
      <c r="AH715" s="215"/>
      <c r="AI715" s="215"/>
      <c r="AJ715" s="215"/>
      <c r="AK715" s="215"/>
      <c r="AL715" s="968"/>
      <c r="AM715" s="215"/>
      <c r="AN715" s="215"/>
      <c r="AO715" s="215"/>
      <c r="AP715" s="215"/>
      <c r="AQ715" s="968"/>
      <c r="AR715" s="215"/>
      <c r="AS715" s="215"/>
      <c r="AT715" s="215"/>
      <c r="AU715" s="215"/>
      <c r="AV715" s="968"/>
      <c r="AW715" s="215"/>
      <c r="AX715" s="215"/>
      <c r="AY715" s="215"/>
      <c r="AZ715" s="215"/>
      <c r="BA715" s="968"/>
      <c r="BB715" s="215"/>
      <c r="BC715" s="215"/>
      <c r="BD715" s="215"/>
      <c r="BE715" s="215"/>
      <c r="BF715" s="968"/>
      <c r="BG715" s="215"/>
      <c r="BH715" s="215"/>
      <c r="BI715" s="215"/>
      <c r="BJ715" s="215"/>
      <c r="BK715" s="968"/>
      <c r="BL715" s="215"/>
      <c r="BM715" s="215"/>
      <c r="BN715" s="215"/>
      <c r="BO715" s="215"/>
      <c r="BP715" s="968"/>
      <c r="BQ715" s="215"/>
      <c r="BR715" s="215"/>
      <c r="BS715" s="215"/>
      <c r="BT715" s="215"/>
      <c r="BU715" s="968"/>
      <c r="BV715" s="215"/>
      <c r="BW715" s="215"/>
      <c r="BX715" s="215"/>
      <c r="BY715" s="215"/>
      <c r="BZ715" s="968"/>
      <c r="CA715" s="215"/>
      <c r="CB715" s="215"/>
      <c r="CC715" s="215"/>
      <c r="CD715" s="1788"/>
      <c r="CE715" s="968"/>
      <c r="CF715" s="215"/>
      <c r="CG715" s="215"/>
      <c r="CH715" s="215"/>
      <c r="CI715" s="1788"/>
      <c r="CJ715" s="968"/>
      <c r="CK715" s="215"/>
      <c r="CL715" s="215"/>
      <c r="CM715" s="215"/>
      <c r="CN715" s="1788"/>
      <c r="CO715" s="1704"/>
      <c r="CP715" s="215"/>
      <c r="CQ715" s="215"/>
      <c r="CR715" s="215"/>
      <c r="CS715" s="215"/>
      <c r="CT715" s="968"/>
      <c r="CU715" s="215"/>
      <c r="CV715" s="215"/>
      <c r="CW715" s="215"/>
      <c r="CX715" s="215"/>
      <c r="CY715" s="968"/>
      <c r="CZ715" s="968"/>
      <c r="DA715" s="968"/>
      <c r="DB715"/>
      <c r="DC715"/>
      <c r="DD715" s="2295"/>
      <c r="DE715" s="2290"/>
      <c r="DF715" s="2290"/>
      <c r="DG715" s="2290"/>
      <c r="DH715" s="2290"/>
      <c r="DI715" s="2290"/>
      <c r="DJ715" s="2290"/>
      <c r="DK715" s="2290"/>
      <c r="DL715" s="2290"/>
      <c r="DM715" s="2290"/>
      <c r="DN715" s="2290"/>
      <c r="DO715" s="2290"/>
      <c r="DP715" s="2290"/>
      <c r="DQ715" s="2290"/>
      <c r="DR715" s="2290"/>
      <c r="DS715" s="2290"/>
      <c r="DT715" s="2290"/>
      <c r="DU715" s="2290">
        <f t="shared" si="1338"/>
        <v>0</v>
      </c>
      <c r="DV715" s="2290"/>
      <c r="DW715" s="2290"/>
      <c r="DX715" s="2290"/>
      <c r="DY715" s="2290"/>
      <c r="EA715"/>
      <c r="EB715"/>
      <c r="EC715"/>
      <c r="ED715"/>
      <c r="EE715"/>
      <c r="EF715"/>
      <c r="EJ715"/>
      <c r="EK715"/>
      <c r="EL715"/>
      <c r="ER715" s="212"/>
    </row>
    <row r="716" spans="1:148" s="923" customFormat="1" ht="12.75" customHeight="1" x14ac:dyDescent="0.2">
      <c r="A716" s="508" t="s">
        <v>120</v>
      </c>
      <c r="B716" s="215"/>
      <c r="C716" s="215"/>
      <c r="D716" s="215"/>
      <c r="E716" s="215"/>
      <c r="F716" s="215"/>
      <c r="G716" s="215"/>
      <c r="H716" s="215"/>
      <c r="I716" s="215"/>
      <c r="J716" s="215"/>
      <c r="K716" s="215"/>
      <c r="L716" s="215"/>
      <c r="M716" s="968"/>
      <c r="N716" s="215"/>
      <c r="O716" s="215"/>
      <c r="P716" s="215"/>
      <c r="Q716" s="215"/>
      <c r="R716" s="968"/>
      <c r="S716" s="215"/>
      <c r="T716" s="215"/>
      <c r="U716" s="215"/>
      <c r="V716" s="215"/>
      <c r="W716" s="968"/>
      <c r="X716" s="215"/>
      <c r="Y716" s="215"/>
      <c r="Z716" s="215"/>
      <c r="AA716" s="215"/>
      <c r="AB716" s="968"/>
      <c r="AC716" s="215"/>
      <c r="AD716" s="215"/>
      <c r="AE716" s="215"/>
      <c r="AF716" s="215"/>
      <c r="AG716" s="968"/>
      <c r="AH716" s="215"/>
      <c r="AI716" s="215"/>
      <c r="AJ716" s="215"/>
      <c r="AK716" s="215"/>
      <c r="AL716" s="968"/>
      <c r="AM716" s="215"/>
      <c r="AN716" s="215"/>
      <c r="AO716" s="215"/>
      <c r="AP716" s="215"/>
      <c r="AQ716" s="968"/>
      <c r="AR716" s="215"/>
      <c r="AS716" s="215"/>
      <c r="AT716" s="215"/>
      <c r="AU716" s="215"/>
      <c r="AV716" s="968"/>
      <c r="AW716" s="215"/>
      <c r="AX716" s="215"/>
      <c r="AY716" s="215"/>
      <c r="AZ716" s="215"/>
      <c r="BA716" s="968"/>
      <c r="BB716" s="215"/>
      <c r="BC716" s="215"/>
      <c r="BD716" s="215"/>
      <c r="BE716" s="215"/>
      <c r="BF716" s="968"/>
      <c r="BG716" s="215"/>
      <c r="BH716" s="215"/>
      <c r="BI716" s="215"/>
      <c r="BJ716" s="215"/>
      <c r="BK716" s="968"/>
      <c r="BL716" s="215"/>
      <c r="BM716" s="215"/>
      <c r="BN716" s="215"/>
      <c r="BO716" s="215"/>
      <c r="BP716" s="968"/>
      <c r="BQ716" s="215"/>
      <c r="BR716" s="215"/>
      <c r="BS716" s="215"/>
      <c r="BT716" s="215"/>
      <c r="BU716" s="968"/>
      <c r="BV716" s="215"/>
      <c r="BW716" s="215"/>
      <c r="BX716" s="215"/>
      <c r="BY716" s="215"/>
      <c r="BZ716" s="968"/>
      <c r="CA716" s="215"/>
      <c r="CB716" s="215"/>
      <c r="CC716" s="215"/>
      <c r="CD716" s="1788"/>
      <c r="CE716" s="968"/>
      <c r="CF716" s="215"/>
      <c r="CG716" s="215"/>
      <c r="CH716" s="215"/>
      <c r="CI716" s="1788"/>
      <c r="CJ716" s="968"/>
      <c r="CK716" s="215"/>
      <c r="CL716" s="215"/>
      <c r="CM716" s="215"/>
      <c r="CN716" s="1788"/>
      <c r="CO716" s="968"/>
      <c r="CP716" s="215"/>
      <c r="CQ716" s="215"/>
      <c r="CR716" s="215"/>
      <c r="CS716" s="215"/>
      <c r="CT716" s="968"/>
      <c r="CU716" s="215"/>
      <c r="CV716" s="215"/>
      <c r="CW716" s="215"/>
      <c r="CX716" s="215"/>
      <c r="CY716" s="968"/>
      <c r="CZ716" s="968"/>
      <c r="DA716" s="968"/>
      <c r="DB716"/>
      <c r="DC716"/>
      <c r="DD716" s="508" t="s">
        <v>120</v>
      </c>
      <c r="DE716" s="2290"/>
      <c r="DF716" s="2290"/>
      <c r="DG716" s="2290"/>
      <c r="DH716" s="2290"/>
      <c r="DI716" s="2290"/>
      <c r="DJ716" s="2290"/>
      <c r="DK716" s="2290"/>
      <c r="DL716" s="2290"/>
      <c r="DM716" s="2290"/>
      <c r="DN716" s="2290"/>
      <c r="DO716" s="2290"/>
      <c r="DP716" s="2290"/>
      <c r="DQ716" s="2290"/>
      <c r="DR716" s="2290"/>
      <c r="DS716" s="2290"/>
      <c r="DT716" s="2290"/>
      <c r="DU716" s="2290"/>
      <c r="DV716" s="2290"/>
      <c r="DW716" s="2290"/>
      <c r="DX716" s="2290"/>
      <c r="DY716" s="2290"/>
      <c r="EA716"/>
      <c r="EB716"/>
      <c r="EC716"/>
      <c r="ED716"/>
      <c r="EE716"/>
      <c r="EF716"/>
      <c r="EJ716"/>
      <c r="EK716"/>
      <c r="EL716"/>
      <c r="ER716" s="212"/>
    </row>
    <row r="717" spans="1:148" s="923" customFormat="1" x14ac:dyDescent="0.2">
      <c r="A717" s="2295" t="s">
        <v>2282</v>
      </c>
      <c r="B717" s="223"/>
      <c r="C717" s="223"/>
      <c r="D717" s="223"/>
      <c r="E717" s="223"/>
      <c r="F717" s="223"/>
      <c r="G717" s="223"/>
      <c r="H717" s="223"/>
      <c r="I717" s="223">
        <f>394+3-4</f>
        <v>393</v>
      </c>
      <c r="J717" s="223">
        <f>-21+304-7-I717</f>
        <v>-117</v>
      </c>
      <c r="K717" s="223">
        <f>-239+332-10-J717-I717</f>
        <v>-193</v>
      </c>
      <c r="L717" s="223">
        <f>46+338-26-K717-J717-I717</f>
        <v>275</v>
      </c>
      <c r="M717" s="968">
        <f>SUM(I717:L717)</f>
        <v>358</v>
      </c>
      <c r="N717" s="223">
        <f>-298+299-4</f>
        <v>-3</v>
      </c>
      <c r="O717" s="223">
        <f>-424+405+313-9-N717</f>
        <v>288</v>
      </c>
      <c r="P717" s="223">
        <f>-423+405+316-13-O717-N717</f>
        <v>0</v>
      </c>
      <c r="Q717" s="223">
        <f>-827+1329-123+405-P717-O717-N717</f>
        <v>499</v>
      </c>
      <c r="R717" s="968">
        <f>SUM(N717:Q717)</f>
        <v>784</v>
      </c>
      <c r="S717" s="223">
        <f>277+8-918</f>
        <v>-633</v>
      </c>
      <c r="T717" s="223">
        <f>353-347+11-922-S717</f>
        <v>-272</v>
      </c>
      <c r="U717" s="223">
        <f>248-347+21-932-T717-S717</f>
        <v>-105</v>
      </c>
      <c r="V717" s="223">
        <f>102+26-946-347-U717-T717-S717</f>
        <v>-155</v>
      </c>
      <c r="W717" s="968">
        <f>SUM(S717:V717)</f>
        <v>-1165</v>
      </c>
      <c r="X717" s="223">
        <f>388-21</f>
        <v>367</v>
      </c>
      <c r="Y717" s="223">
        <f>-87+6-57-X717</f>
        <v>-505</v>
      </c>
      <c r="Z717" s="223">
        <f>-97+12-65-Y717-X717</f>
        <v>-12</v>
      </c>
      <c r="AA717" s="223">
        <f>-102+14-273-Z717-Y717-X717</f>
        <v>-211</v>
      </c>
      <c r="AB717" s="968">
        <f>SUM(X717:AA717)</f>
        <v>-361</v>
      </c>
      <c r="AC717" s="223">
        <f>290+2-35</f>
        <v>257</v>
      </c>
      <c r="AD717" s="223">
        <f>100+16-155-AC717</f>
        <v>-296</v>
      </c>
      <c r="AE717" s="223">
        <f>50+16-158-AD717-AC717</f>
        <v>-53</v>
      </c>
      <c r="AF717" s="223">
        <f>20-99-AE717-AD717-AC717</f>
        <v>13</v>
      </c>
      <c r="AG717" s="968">
        <f>SUM(AC717:AF717)</f>
        <v>-79</v>
      </c>
      <c r="AH717" s="223">
        <f>4-5</f>
        <v>-1</v>
      </c>
      <c r="AI717" s="223">
        <f>346-293-AH717</f>
        <v>54</v>
      </c>
      <c r="AJ717" s="223">
        <f>390+354-319-AI717-AH717</f>
        <v>372</v>
      </c>
      <c r="AK717" s="223">
        <f>499+356-523-29-AJ717-AI717-AH717</f>
        <v>-122</v>
      </c>
      <c r="AL717" s="968">
        <f>SUM(AH717:AK717)</f>
        <v>303</v>
      </c>
      <c r="AM717" s="223">
        <f>205+2-7</f>
        <v>200</v>
      </c>
      <c r="AN717" s="223">
        <f>351-10-462-AM717</f>
        <v>-321</v>
      </c>
      <c r="AO717" s="223">
        <f>-386+351-14-AN717-AM717</f>
        <v>72</v>
      </c>
      <c r="AP717" s="223">
        <f>-188+352-17-AO717-AN717-AM717</f>
        <v>196</v>
      </c>
      <c r="AQ717" s="968">
        <f>SUM(AM717:AP717)</f>
        <v>147</v>
      </c>
      <c r="AR717" s="223">
        <f>586+1-9</f>
        <v>578</v>
      </c>
      <c r="AS717" s="223">
        <f>346+37-12-AR717</f>
        <v>-207</v>
      </c>
      <c r="AT717" s="223">
        <f>592+392-57-AS717-AR717</f>
        <v>556</v>
      </c>
      <c r="AU717" s="223">
        <f>258+820-153-AT717-AS717-AR717</f>
        <v>-2</v>
      </c>
      <c r="AV717" s="968">
        <f>SUM(AR717:AU717)</f>
        <v>925</v>
      </c>
      <c r="AW717" s="223">
        <f>571+3-151</f>
        <v>423</v>
      </c>
      <c r="AX717" s="223">
        <f>217+16-183-AW717</f>
        <v>-373</v>
      </c>
      <c r="AY717" s="223">
        <f>226+17-192-AX717-AW717</f>
        <v>1</v>
      </c>
      <c r="AZ717" s="223">
        <f>384+17-275-SUM(AW717:AY717)</f>
        <v>75</v>
      </c>
      <c r="BA717" s="968">
        <f>SUM(AW717:AZ717)</f>
        <v>126</v>
      </c>
      <c r="BB717" s="223">
        <f>31-130</f>
        <v>-99</v>
      </c>
      <c r="BC717" s="223">
        <f>-73-157-BB717</f>
        <v>-131</v>
      </c>
      <c r="BD717" s="223">
        <f>-259-159-SUM(BB717:BC717)</f>
        <v>-188</v>
      </c>
      <c r="BE717" s="223">
        <f>-544-238-SUM(BB717:BD717)</f>
        <v>-364</v>
      </c>
      <c r="BF717" s="968">
        <f>SUM(BB717:BE717)</f>
        <v>-782</v>
      </c>
      <c r="BG717" s="223">
        <f>-29-121</f>
        <v>-150</v>
      </c>
      <c r="BH717" s="223">
        <f>-329-179-BG717</f>
        <v>-358</v>
      </c>
      <c r="BI717" s="223">
        <f>-425-268-SUM(BG717:BH717)</f>
        <v>-185</v>
      </c>
      <c r="BJ717" s="223">
        <f>-425+215-385-SUM(BG717:BI717)</f>
        <v>98</v>
      </c>
      <c r="BK717" s="968">
        <f>SUM(BG717:BJ717)</f>
        <v>-595</v>
      </c>
      <c r="BL717" s="223">
        <f>-77+42</f>
        <v>-35</v>
      </c>
      <c r="BM717" s="223">
        <f>-129+156-BL717</f>
        <v>62</v>
      </c>
      <c r="BN717" s="223">
        <f>397-196-BM717-BL717</f>
        <v>174</v>
      </c>
      <c r="BO717" s="223">
        <f>325+118-264-SUM(BL717:BN717)</f>
        <v>-22</v>
      </c>
      <c r="BP717" s="968">
        <f>SUM(BL717:BO717)</f>
        <v>179</v>
      </c>
      <c r="BQ717" s="223">
        <f>-240+590-2</f>
        <v>348</v>
      </c>
      <c r="BR717" s="223">
        <f>147+590-352-BQ717</f>
        <v>37</v>
      </c>
      <c r="BS717" s="223">
        <f>110-368+590-BR717-BQ717</f>
        <v>-53</v>
      </c>
      <c r="BT717" s="223">
        <f>184+936-370-BS717-BR717-BQ717</f>
        <v>418</v>
      </c>
      <c r="BU717" s="968">
        <f>SUM(BQ717:BT717)</f>
        <v>750</v>
      </c>
      <c r="BV717" s="223">
        <f>+BV798-BU798</f>
        <v>320</v>
      </c>
      <c r="BW717" s="223">
        <f>-403+553-BV717</f>
        <v>-170</v>
      </c>
      <c r="BX717" s="223">
        <f>268+345-405-BW717-BV717</f>
        <v>58</v>
      </c>
      <c r="BY717" s="223">
        <f>311+345-407-BX717-BW717-BV717</f>
        <v>41</v>
      </c>
      <c r="BZ717" s="968">
        <f>SUM(BV717:BY717)</f>
        <v>249</v>
      </c>
      <c r="CA717" s="223">
        <f>149-2</f>
        <v>147</v>
      </c>
      <c r="CB717" s="223">
        <f>250-3-CA717</f>
        <v>100</v>
      </c>
      <c r="CC717" s="845">
        <f>375-5-CB717-CA717</f>
        <v>123</v>
      </c>
      <c r="CD717" s="223">
        <f>235+394-7-CC717-CB717-CA717</f>
        <v>252</v>
      </c>
      <c r="CE717" s="968">
        <f>SUM(CA717:CD717)</f>
        <v>622</v>
      </c>
      <c r="CF717" s="223">
        <f>246-2</f>
        <v>244</v>
      </c>
      <c r="CG717" s="845">
        <f>136-4-CF717</f>
        <v>-112</v>
      </c>
      <c r="CH717" s="845">
        <f>-274+790-7-CG717-CF717</f>
        <v>377</v>
      </c>
      <c r="CI717" s="845">
        <f>790-140-325-SUM(CF717:CH717)</f>
        <v>-184</v>
      </c>
      <c r="CJ717" s="968">
        <f>SUM(CF717:CI717)</f>
        <v>325</v>
      </c>
      <c r="CK717" s="223">
        <f>51-2</f>
        <v>49</v>
      </c>
      <c r="CL717" s="845">
        <f>-941+1483-294-CK717</f>
        <v>199</v>
      </c>
      <c r="CM717" s="845">
        <f>1657+1483-296-CL717-CK717</f>
        <v>2596</v>
      </c>
      <c r="CN717" s="845">
        <f>1365+1482-326-CK717-CL717-CM717</f>
        <v>-323</v>
      </c>
      <c r="CO717" s="968">
        <f>SUM(CK717:CN717)</f>
        <v>2521</v>
      </c>
      <c r="CP717" s="3657">
        <f>+-33+1-4</f>
        <v>-36</v>
      </c>
      <c r="CQ717" s="3657">
        <f>105+1-301-CP717</f>
        <v>-159</v>
      </c>
      <c r="CR717" s="85">
        <f>455+1-305-CQ717-CP717</f>
        <v>346</v>
      </c>
      <c r="CS717" s="215">
        <f>+CS798-CR798</f>
        <v>-431</v>
      </c>
      <c r="CT717" s="968">
        <f>SUM(CP717:CS717)</f>
        <v>-280</v>
      </c>
      <c r="CU717" s="215">
        <f>+CU798-CT798</f>
        <v>200</v>
      </c>
      <c r="CV717" s="215">
        <f>+CV798-CU798</f>
        <v>300</v>
      </c>
      <c r="CW717" s="215">
        <f>+CW798-CV798</f>
        <v>200</v>
      </c>
      <c r="CX717" s="215">
        <f>+CX798-CW798</f>
        <v>100</v>
      </c>
      <c r="CY717" s="2290">
        <f>SUM(CU717:CX717)</f>
        <v>800</v>
      </c>
      <c r="CZ717" s="968">
        <f>+CZ798-CY798</f>
        <v>650</v>
      </c>
      <c r="DA717" s="968">
        <f>+DA798-CZ798</f>
        <v>0</v>
      </c>
      <c r="DB717"/>
      <c r="DC717"/>
      <c r="DD717" s="2295" t="s">
        <v>893</v>
      </c>
      <c r="DE717" s="2290">
        <f t="shared" ref="DE717:DE722" si="1350">M717</f>
        <v>358</v>
      </c>
      <c r="DF717" s="2290">
        <f t="shared" ref="DF717:DF722" si="1351">R717</f>
        <v>784</v>
      </c>
      <c r="DG717" s="2290">
        <f t="shared" ref="DG717:DG722" si="1352">W717</f>
        <v>-1165</v>
      </c>
      <c r="DH717" s="2290">
        <f t="shared" ref="DH717:DH722" si="1353">AB717</f>
        <v>-361</v>
      </c>
      <c r="DI717" s="2290">
        <f t="shared" ref="DI717:DI722" si="1354">AG717</f>
        <v>-79</v>
      </c>
      <c r="DJ717" s="2290">
        <f t="shared" ref="DJ717:DJ722" si="1355">AL717</f>
        <v>303</v>
      </c>
      <c r="DK717" s="2290">
        <f t="shared" ref="DK717:DK722" si="1356">AQ717</f>
        <v>147</v>
      </c>
      <c r="DL717" s="2290">
        <f t="shared" ref="DL717:DL722" si="1357">AV717</f>
        <v>925</v>
      </c>
      <c r="DM717" s="2290">
        <f t="shared" ref="DM717:DM722" si="1358">BA717</f>
        <v>126</v>
      </c>
      <c r="DN717" s="2290">
        <f t="shared" ref="DN717:DN722" si="1359">BF717</f>
        <v>-782</v>
      </c>
      <c r="DO717" s="2290">
        <f t="shared" ref="DO717:DO722" si="1360">BK717</f>
        <v>-595</v>
      </c>
      <c r="DP717" s="2290">
        <f t="shared" ref="DP717:DP722" si="1361">BP717</f>
        <v>179</v>
      </c>
      <c r="DQ717" s="2290">
        <f t="shared" ref="DQ717:DQ722" si="1362">BU717</f>
        <v>750</v>
      </c>
      <c r="DR717" s="2290">
        <f t="shared" ref="DR717:DR722" si="1363">BZ717</f>
        <v>249</v>
      </c>
      <c r="DS717" s="2290">
        <f t="shared" ref="DS717:DS722" si="1364">CE717</f>
        <v>622</v>
      </c>
      <c r="DT717" s="2290">
        <f t="shared" ref="DT717:DT722" si="1365">CJ717</f>
        <v>325</v>
      </c>
      <c r="DU717" s="2290">
        <f t="shared" ref="DU717:DU722" si="1366">CO717</f>
        <v>2521</v>
      </c>
      <c r="DV717" s="2290">
        <f t="shared" ref="DV717:DV722" si="1367">CT717</f>
        <v>-280</v>
      </c>
      <c r="DW717" s="2290">
        <f t="shared" ref="DW717:DY722" si="1368">CY717</f>
        <v>800</v>
      </c>
      <c r="DX717" s="2290">
        <f t="shared" si="1368"/>
        <v>650</v>
      </c>
      <c r="DY717" s="2290">
        <f t="shared" si="1368"/>
        <v>0</v>
      </c>
      <c r="EA717"/>
      <c r="EB717"/>
      <c r="EC717"/>
      <c r="ED717"/>
      <c r="EE717"/>
      <c r="EF717"/>
      <c r="EJ717"/>
      <c r="EK717"/>
      <c r="EL717"/>
      <c r="EM717" s="1703"/>
      <c r="ER717" s="212"/>
    </row>
    <row r="718" spans="1:148" s="923" customFormat="1" x14ac:dyDescent="0.2">
      <c r="A718" s="507" t="s">
        <v>894</v>
      </c>
      <c r="B718" s="223"/>
      <c r="C718" s="223"/>
      <c r="D718" s="223"/>
      <c r="E718" s="223"/>
      <c r="F718" s="223"/>
      <c r="G718" s="223"/>
      <c r="H718" s="223"/>
      <c r="I718" s="223">
        <v>-14</v>
      </c>
      <c r="J718" s="223">
        <f>-27-I718</f>
        <v>-13</v>
      </c>
      <c r="K718" s="223">
        <f>-41-J718-I718</f>
        <v>-14</v>
      </c>
      <c r="L718" s="223">
        <f>-55-K718-J718-I718</f>
        <v>-14</v>
      </c>
      <c r="M718" s="968">
        <f>SUM(I718:L718)</f>
        <v>-55</v>
      </c>
      <c r="N718" s="223">
        <v>-15</v>
      </c>
      <c r="O718" s="223">
        <f>-29-N718</f>
        <v>-14</v>
      </c>
      <c r="P718" s="223">
        <f>-45-O718-N718</f>
        <v>-16</v>
      </c>
      <c r="Q718" s="223">
        <f>-61-P718-O718-N718</f>
        <v>-16</v>
      </c>
      <c r="R718" s="968">
        <f>SUM(N718:Q718)</f>
        <v>-61</v>
      </c>
      <c r="S718" s="223">
        <v>-16</v>
      </c>
      <c r="T718" s="223">
        <f>-31-S718</f>
        <v>-15</v>
      </c>
      <c r="U718" s="223">
        <f>-49-T718-S718</f>
        <v>-18</v>
      </c>
      <c r="V718" s="223">
        <f>-65-U718-T718-S718</f>
        <v>-16</v>
      </c>
      <c r="W718" s="968">
        <f>SUM(S718:V718)</f>
        <v>-65</v>
      </c>
      <c r="X718" s="223">
        <v>-17</v>
      </c>
      <c r="Y718" s="223">
        <f>-33-X718</f>
        <v>-16</v>
      </c>
      <c r="Z718" s="223">
        <f>-50-Y718-X718</f>
        <v>-17</v>
      </c>
      <c r="AA718" s="223">
        <f>-68-Z718-Y718-X718</f>
        <v>-18</v>
      </c>
      <c r="AB718" s="968">
        <f>SUM(X718:AA718)</f>
        <v>-68</v>
      </c>
      <c r="AC718" s="223">
        <v>-17</v>
      </c>
      <c r="AD718" s="223">
        <f>-34-AC718</f>
        <v>-17</v>
      </c>
      <c r="AE718" s="223">
        <f>-54-AD718-AC718</f>
        <v>-20</v>
      </c>
      <c r="AF718" s="223">
        <f>+-73-AE718-AD718-AC718</f>
        <v>-19</v>
      </c>
      <c r="AG718" s="968">
        <f>SUM(AC718:AF718)</f>
        <v>-73</v>
      </c>
      <c r="AH718" s="223">
        <v>-19</v>
      </c>
      <c r="AI718" s="223">
        <f>-38-AH718</f>
        <v>-19</v>
      </c>
      <c r="AJ718" s="223">
        <f>-61-AI718-AH718</f>
        <v>-23</v>
      </c>
      <c r="AK718" s="223">
        <f>-84-AJ718-AI718-AH718</f>
        <v>-23</v>
      </c>
      <c r="AL718" s="968">
        <f>SUM(AH718:AK718)</f>
        <v>-84</v>
      </c>
      <c r="AM718" s="223">
        <v>-21</v>
      </c>
      <c r="AN718" s="223">
        <f>-43-AM718</f>
        <v>-22</v>
      </c>
      <c r="AO718" s="223">
        <f>-69-AN718-AM718</f>
        <v>-26</v>
      </c>
      <c r="AP718" s="223">
        <f>-93-AO718-AN718-AM718</f>
        <v>-24</v>
      </c>
      <c r="AQ718" s="968">
        <f>SUM(AM718:AP718)</f>
        <v>-93</v>
      </c>
      <c r="AR718" s="223">
        <v>-25</v>
      </c>
      <c r="AS718" s="223">
        <f>-49-AR718</f>
        <v>-24</v>
      </c>
      <c r="AT718" s="223">
        <f>-77-AS718-AR718</f>
        <v>-28</v>
      </c>
      <c r="AU718" s="223">
        <f>-105-AT718-AS718-AR718</f>
        <v>-28</v>
      </c>
      <c r="AV718" s="968">
        <f>SUM(AR718:AU718)</f>
        <v>-105</v>
      </c>
      <c r="AW718" s="223">
        <v>-27</v>
      </c>
      <c r="AX718" s="223">
        <f>-54-AW718</f>
        <v>-27</v>
      </c>
      <c r="AY718" s="223">
        <f>-84-AX718-AW718</f>
        <v>-30</v>
      </c>
      <c r="AZ718" s="223">
        <f>-115-SUM(AW718:AY718)</f>
        <v>-31</v>
      </c>
      <c r="BA718" s="968">
        <f>SUM(AW718:AZ718)</f>
        <v>-115</v>
      </c>
      <c r="BB718" s="223">
        <v>-31</v>
      </c>
      <c r="BC718" s="223">
        <f>-61-BB718</f>
        <v>-30</v>
      </c>
      <c r="BD718" s="223">
        <f>-63-SUM(BB718:BC718)</f>
        <v>-2</v>
      </c>
      <c r="BE718" s="223">
        <f>-63-SUM(BB718:BD718)</f>
        <v>0</v>
      </c>
      <c r="BF718" s="968">
        <f>SUM(BB718:BE718)</f>
        <v>-63</v>
      </c>
      <c r="BG718" s="223">
        <v>0</v>
      </c>
      <c r="BH718" s="223">
        <f>-14-BG718</f>
        <v>-14</v>
      </c>
      <c r="BI718" s="223">
        <f>-29-SUM(BG718:BH718)</f>
        <v>-15</v>
      </c>
      <c r="BJ718" s="223">
        <f>-43-SUM(BG718:BI718)</f>
        <v>-14</v>
      </c>
      <c r="BK718" s="968">
        <f>SUM(BG718:BJ718)</f>
        <v>-43</v>
      </c>
      <c r="BL718" s="223">
        <v>-32</v>
      </c>
      <c r="BM718" s="223">
        <f>-64-BL718</f>
        <v>-32</v>
      </c>
      <c r="BN718" s="223">
        <f>-100-BM718-BL718</f>
        <v>-36</v>
      </c>
      <c r="BO718" s="223">
        <f>-134-SUM(BL718:BN718)</f>
        <v>-34</v>
      </c>
      <c r="BP718" s="968">
        <f>SUM(BL718:BO718)</f>
        <v>-134</v>
      </c>
      <c r="BQ718" s="223">
        <v>-34</v>
      </c>
      <c r="BR718" s="223">
        <f>-67-BQ718</f>
        <v>-33</v>
      </c>
      <c r="BS718" s="223">
        <f>-110-BR718-BQ718</f>
        <v>-43</v>
      </c>
      <c r="BT718" s="223">
        <f>-191-BS718-BR718-BQ718</f>
        <v>-81</v>
      </c>
      <c r="BU718" s="968">
        <f>SUM(BQ718:BT718)</f>
        <v>-191</v>
      </c>
      <c r="BV718" s="223">
        <v>-41</v>
      </c>
      <c r="BW718" s="223">
        <f>-93-BV718</f>
        <v>-52</v>
      </c>
      <c r="BX718" s="223">
        <f>-144-BW718-BV718</f>
        <v>-51</v>
      </c>
      <c r="BY718" s="223">
        <f>-196-BX718-BW718-BV718</f>
        <v>-52</v>
      </c>
      <c r="BZ718" s="968">
        <f>SUM(BV718:BY718)</f>
        <v>-196</v>
      </c>
      <c r="CA718" s="223">
        <v>-50</v>
      </c>
      <c r="CB718" s="223">
        <f>-109-CA718</f>
        <v>-59</v>
      </c>
      <c r="CC718" s="845">
        <f>-167-CB718-CA718</f>
        <v>-58</v>
      </c>
      <c r="CD718" s="223">
        <f>-223-CC718-CB718-CA718</f>
        <v>-56</v>
      </c>
      <c r="CE718" s="968">
        <f>SUM(CA718:CD718)</f>
        <v>-223</v>
      </c>
      <c r="CF718" s="223">
        <v>-56</v>
      </c>
      <c r="CG718" s="845">
        <f>-124-CF718</f>
        <v>-68</v>
      </c>
      <c r="CH718" s="845">
        <f>-189-CG718-CF718</f>
        <v>-65</v>
      </c>
      <c r="CI718" s="845">
        <f>+-253-SUM(CF718:CH718)</f>
        <v>-64</v>
      </c>
      <c r="CJ718" s="968">
        <f>SUM(CF718:CI718)</f>
        <v>-253</v>
      </c>
      <c r="CK718" s="223">
        <v>-64</v>
      </c>
      <c r="CL718" s="845">
        <f>-140-CK718</f>
        <v>-76</v>
      </c>
      <c r="CM718" s="845">
        <f>-257-CL718-CK718</f>
        <v>-117</v>
      </c>
      <c r="CN718" s="845">
        <f>-374-CK718-CL718-CM718</f>
        <v>-117</v>
      </c>
      <c r="CO718" s="968">
        <f>SUM(CK718:CN718)</f>
        <v>-374</v>
      </c>
      <c r="CP718" s="3657">
        <v>-115</v>
      </c>
      <c r="CQ718" s="3657">
        <f>-240-CP718</f>
        <v>-125</v>
      </c>
      <c r="CR718" s="85">
        <f>-362-CQ718-CP718</f>
        <v>-122</v>
      </c>
      <c r="CS718" s="215">
        <f>-CS57*CS70</f>
        <v>-120.48300000000002</v>
      </c>
      <c r="CT718" s="968">
        <f>SUM(CP718:CS718)</f>
        <v>-482.483</v>
      </c>
      <c r="CU718" s="215">
        <f>-CU57*CU70</f>
        <v>-119.46942857142859</v>
      </c>
      <c r="CV718" s="215">
        <f>-CV57*CV70</f>
        <v>-130.33306306620213</v>
      </c>
      <c r="CW718" s="215">
        <f>-CW57*CW70</f>
        <v>-129.28060368828082</v>
      </c>
      <c r="CX718" s="215">
        <f>-CX57*CX70</f>
        <v>-128.25824088055273</v>
      </c>
      <c r="CY718" s="2290">
        <f>SUM(CU718:CX718)</f>
        <v>-507.34133620646435</v>
      </c>
      <c r="CZ718" s="968">
        <f>-CZ57*CZ70</f>
        <v>-506.12254994512983</v>
      </c>
      <c r="DA718" s="968">
        <f>-DA57*DA70</f>
        <v>-494.27573106476876</v>
      </c>
      <c r="DB718"/>
      <c r="DC718"/>
      <c r="DD718" s="2295" t="s">
        <v>894</v>
      </c>
      <c r="DE718" s="2290">
        <f t="shared" si="1350"/>
        <v>-55</v>
      </c>
      <c r="DF718" s="2290">
        <f t="shared" si="1351"/>
        <v>-61</v>
      </c>
      <c r="DG718" s="2290">
        <f t="shared" si="1352"/>
        <v>-65</v>
      </c>
      <c r="DH718" s="2290">
        <f t="shared" si="1353"/>
        <v>-68</v>
      </c>
      <c r="DI718" s="2290">
        <f t="shared" si="1354"/>
        <v>-73</v>
      </c>
      <c r="DJ718" s="2290">
        <f t="shared" si="1355"/>
        <v>-84</v>
      </c>
      <c r="DK718" s="2290">
        <f t="shared" si="1356"/>
        <v>-93</v>
      </c>
      <c r="DL718" s="2290">
        <f t="shared" si="1357"/>
        <v>-105</v>
      </c>
      <c r="DM718" s="2290">
        <f t="shared" si="1358"/>
        <v>-115</v>
      </c>
      <c r="DN718" s="2290">
        <f t="shared" si="1359"/>
        <v>-63</v>
      </c>
      <c r="DO718" s="2290">
        <f t="shared" si="1360"/>
        <v>-43</v>
      </c>
      <c r="DP718" s="2290">
        <f t="shared" si="1361"/>
        <v>-134</v>
      </c>
      <c r="DQ718" s="2290">
        <f t="shared" si="1362"/>
        <v>-191</v>
      </c>
      <c r="DR718" s="2290">
        <f t="shared" si="1363"/>
        <v>-196</v>
      </c>
      <c r="DS718" s="2290">
        <f t="shared" si="1364"/>
        <v>-223</v>
      </c>
      <c r="DT718" s="2290">
        <f t="shared" si="1365"/>
        <v>-253</v>
      </c>
      <c r="DU718" s="2290">
        <f t="shared" si="1366"/>
        <v>-374</v>
      </c>
      <c r="DV718" s="2290">
        <f t="shared" si="1367"/>
        <v>-482.483</v>
      </c>
      <c r="DW718" s="2290">
        <f t="shared" si="1368"/>
        <v>-507.34133620646435</v>
      </c>
      <c r="DX718" s="2290">
        <f t="shared" si="1368"/>
        <v>-506.12254994512983</v>
      </c>
      <c r="DY718" s="2290">
        <f t="shared" si="1368"/>
        <v>-494.27573106476876</v>
      </c>
      <c r="EA718"/>
      <c r="EB718"/>
      <c r="EC718"/>
      <c r="ED718"/>
      <c r="EE718"/>
      <c r="EF718"/>
      <c r="EJ718"/>
      <c r="EK718"/>
      <c r="EL718"/>
      <c r="EM718" s="1703"/>
      <c r="ER718" s="212"/>
    </row>
    <row r="719" spans="1:148" s="275" customFormat="1" x14ac:dyDescent="0.2">
      <c r="A719" s="2361" t="s">
        <v>2103</v>
      </c>
      <c r="B719" s="1492"/>
      <c r="C719" s="1492"/>
      <c r="D719" s="1492"/>
      <c r="E719" s="1492"/>
      <c r="F719" s="1492"/>
      <c r="G719" s="1492"/>
      <c r="H719" s="1492"/>
      <c r="I719" s="1492">
        <f>-236</f>
        <v>-236</v>
      </c>
      <c r="J719" s="1492">
        <f>-286-I719</f>
        <v>-50</v>
      </c>
      <c r="K719" s="1492">
        <f>-301-J719-I719</f>
        <v>-15</v>
      </c>
      <c r="L719" s="1492">
        <f>-340-K719-J719-I719</f>
        <v>-39</v>
      </c>
      <c r="M719" s="235">
        <f>SUM(I719:L719)</f>
        <v>-340</v>
      </c>
      <c r="N719" s="1492">
        <f>-39</f>
        <v>-39</v>
      </c>
      <c r="O719" s="1492">
        <f>-74-N719</f>
        <v>-35</v>
      </c>
      <c r="P719" s="1492">
        <f>-91-O719-N719</f>
        <v>-17</v>
      </c>
      <c r="Q719" s="1492">
        <f>-235-P719-O719-N719</f>
        <v>-144</v>
      </c>
      <c r="R719" s="235">
        <f>SUM(N719:Q719)</f>
        <v>-235</v>
      </c>
      <c r="S719" s="1492">
        <v>17</v>
      </c>
      <c r="T719" s="1492">
        <f>-20-S719</f>
        <v>-37</v>
      </c>
      <c r="U719" s="1492">
        <f>-131-T719-S719</f>
        <v>-111</v>
      </c>
      <c r="V719" s="1492">
        <f>-252-U719-T719-S719</f>
        <v>-121</v>
      </c>
      <c r="W719" s="235">
        <f>SUM(S719:V719)</f>
        <v>-252</v>
      </c>
      <c r="X719" s="1492">
        <f>-154</f>
        <v>-154</v>
      </c>
      <c r="Y719" s="1492">
        <f>-198-X719</f>
        <v>-44</v>
      </c>
      <c r="Z719" s="1492">
        <f>-291-Y719-X719</f>
        <v>-93</v>
      </c>
      <c r="AA719" s="1492">
        <f>-373-Z719-Y719-X719</f>
        <v>-82</v>
      </c>
      <c r="AB719" s="235">
        <f>SUM(X719:AA719)</f>
        <v>-373</v>
      </c>
      <c r="AC719" s="1492">
        <f>-297</f>
        <v>-297</v>
      </c>
      <c r="AD719" s="1492">
        <f>-353-AC719</f>
        <v>-56</v>
      </c>
      <c r="AE719" s="1492">
        <f>-586-AD719-AC719</f>
        <v>-233</v>
      </c>
      <c r="AF719" s="1492">
        <f>-664-AE719-AD719-AC719</f>
        <v>-78</v>
      </c>
      <c r="AG719" s="235">
        <f>SUM(AC719:AF719)</f>
        <v>-664</v>
      </c>
      <c r="AH719" s="1492">
        <f>-320</f>
        <v>-320</v>
      </c>
      <c r="AI719" s="1492">
        <f>-753-AH719</f>
        <v>-433</v>
      </c>
      <c r="AJ719" s="1492">
        <f>-1266-AI719-AH719</f>
        <v>-513</v>
      </c>
      <c r="AK719" s="1492">
        <f>-1644-AJ719-AI719-AH719</f>
        <v>-378</v>
      </c>
      <c r="AL719" s="235">
        <f>SUM(AH719:AK719)</f>
        <v>-1644</v>
      </c>
      <c r="AM719" s="1492">
        <v>-236</v>
      </c>
      <c r="AN719" s="1492">
        <f>-588-AM719</f>
        <v>-352</v>
      </c>
      <c r="AO719" s="1492">
        <f>-1062-AN719-AM719</f>
        <v>-474</v>
      </c>
      <c r="AP719" s="1492">
        <f>-1546-AO719-AN719-AM719</f>
        <v>-484</v>
      </c>
      <c r="AQ719" s="235">
        <f>SUM(AM719:AP719)</f>
        <v>-1546</v>
      </c>
      <c r="AR719" s="1492">
        <v>-492</v>
      </c>
      <c r="AS719" s="1492">
        <f>-836-AR719</f>
        <v>-344</v>
      </c>
      <c r="AT719" s="1492">
        <f>-1293-AS719-AR719</f>
        <v>-457</v>
      </c>
      <c r="AU719" s="1492">
        <f>-1757-AT719-AS719-AR719</f>
        <v>-464</v>
      </c>
      <c r="AV719" s="235">
        <f>SUM(AR719:AU719)</f>
        <v>-1757</v>
      </c>
      <c r="AW719" s="1492">
        <v>-271</v>
      </c>
      <c r="AX719" s="1492">
        <f>-347-AW719</f>
        <v>-76</v>
      </c>
      <c r="AY719" s="1492">
        <f>-428-AX719-AW719</f>
        <v>-81</v>
      </c>
      <c r="AZ719" s="1492">
        <f>-434-SUM(AW719:AY719)</f>
        <v>-6</v>
      </c>
      <c r="BA719" s="235">
        <f>SUM(AW719:AZ719)</f>
        <v>-434</v>
      </c>
      <c r="BB719" s="1492">
        <v>0</v>
      </c>
      <c r="BC719" s="1492">
        <v>0</v>
      </c>
      <c r="BD719" s="1492">
        <v>0</v>
      </c>
      <c r="BE719" s="1492">
        <v>0</v>
      </c>
      <c r="BF719" s="235">
        <f>SUM(BB719:BE719)</f>
        <v>0</v>
      </c>
      <c r="BG719" s="1492">
        <v>0</v>
      </c>
      <c r="BH719" s="1492">
        <v>0</v>
      </c>
      <c r="BI719" s="1492">
        <v>0</v>
      </c>
      <c r="BJ719" s="1492">
        <f>-57</f>
        <v>-57</v>
      </c>
      <c r="BK719" s="235">
        <f>SUM(BG719:BJ719)</f>
        <v>-57</v>
      </c>
      <c r="BL719" s="1492">
        <f>-300</f>
        <v>-300</v>
      </c>
      <c r="BM719" s="1492">
        <f>-668-BL719</f>
        <v>-368</v>
      </c>
      <c r="BN719" s="1492">
        <f>-1225-BM719-BL719</f>
        <v>-557</v>
      </c>
      <c r="BO719" s="1492">
        <f>-1425-SUM(BL719:BN719)</f>
        <v>-200</v>
      </c>
      <c r="BP719" s="235">
        <f>SUM(BL719:BO719)</f>
        <v>-1425</v>
      </c>
      <c r="BQ719" s="1492">
        <v>-136</v>
      </c>
      <c r="BR719" s="1492">
        <f>-550-BQ719</f>
        <v>-414</v>
      </c>
      <c r="BS719" s="1492">
        <f>-884-BR719-BQ719</f>
        <v>-334</v>
      </c>
      <c r="BT719" s="1492">
        <f>-1145-BS719-BR719-BQ719</f>
        <v>-261</v>
      </c>
      <c r="BU719" s="235">
        <f>SUM(BQ719:BT719)</f>
        <v>-1145</v>
      </c>
      <c r="BV719" s="1492">
        <v>-217</v>
      </c>
      <c r="BW719" s="1492">
        <f>-498-BV719</f>
        <v>-281</v>
      </c>
      <c r="BX719" s="1492">
        <f>-644-BW719-BV719</f>
        <v>-146</v>
      </c>
      <c r="BY719" s="1492">
        <f>-834-BX719-BW719-BV719</f>
        <v>-190</v>
      </c>
      <c r="BZ719" s="235">
        <f>SUM(BV719:BY719)</f>
        <v>-834</v>
      </c>
      <c r="CA719" s="1492">
        <v>-320</v>
      </c>
      <c r="CB719" s="1492">
        <f>-657-CA719</f>
        <v>-337</v>
      </c>
      <c r="CC719" s="845">
        <f>-954-CB719-CA719</f>
        <v>-297</v>
      </c>
      <c r="CD719" s="223">
        <f>-1510-CC719-CB719-CA719</f>
        <v>-556</v>
      </c>
      <c r="CE719" s="235">
        <f>SUM(CA719:CD719)</f>
        <v>-1510</v>
      </c>
      <c r="CF719" s="1492">
        <v>-429</v>
      </c>
      <c r="CG719" s="845">
        <f>-1107-CF719</f>
        <v>-678</v>
      </c>
      <c r="CH719" s="845">
        <f>-1821-CG719-CF719</f>
        <v>-714</v>
      </c>
      <c r="CI719" s="1492">
        <f>+-1917-SUM(CF719:CH719)</f>
        <v>-96</v>
      </c>
      <c r="CJ719" s="235">
        <f>SUM(CF719:CI719)</f>
        <v>-1917</v>
      </c>
      <c r="CK719" s="1492">
        <v>-248</v>
      </c>
      <c r="CL719" s="845">
        <f>-249-CK719</f>
        <v>-1</v>
      </c>
      <c r="CM719" s="845">
        <f>-248-CL719-CK719</f>
        <v>1</v>
      </c>
      <c r="CN719" s="1492">
        <f>-568-CK719-CL719-CM719</f>
        <v>-320</v>
      </c>
      <c r="CO719" s="235">
        <f>SUM(CK719:CN719)</f>
        <v>-568</v>
      </c>
      <c r="CP719" s="3657">
        <v>-582</v>
      </c>
      <c r="CQ719" s="3657">
        <f>-1328-CP719</f>
        <v>-746</v>
      </c>
      <c r="CR719" s="85">
        <f>-2105-CQ719-CP719</f>
        <v>-777</v>
      </c>
      <c r="CS719" s="1492">
        <v>-925</v>
      </c>
      <c r="CT719" s="235">
        <f>SUM(CP719:CS719)</f>
        <v>-3030</v>
      </c>
      <c r="CU719" s="1492">
        <v>-500</v>
      </c>
      <c r="CV719" s="1492">
        <v>-500</v>
      </c>
      <c r="CW719" s="1492">
        <v>-500</v>
      </c>
      <c r="CX719" s="1492">
        <v>-500</v>
      </c>
      <c r="CY719" s="2345">
        <f>SUM(CU719:CX719)</f>
        <v>-2000</v>
      </c>
      <c r="CZ719" s="527">
        <v>-2500</v>
      </c>
      <c r="DA719" s="527">
        <v>-1750</v>
      </c>
      <c r="DB719"/>
      <c r="DC719"/>
      <c r="DD719" s="2361" t="s">
        <v>1210</v>
      </c>
      <c r="DE719" s="2345">
        <f t="shared" si="1350"/>
        <v>-340</v>
      </c>
      <c r="DF719" s="2345">
        <f t="shared" si="1351"/>
        <v>-235</v>
      </c>
      <c r="DG719" s="2345">
        <f t="shared" si="1352"/>
        <v>-252</v>
      </c>
      <c r="DH719" s="2345">
        <f t="shared" si="1353"/>
        <v>-373</v>
      </c>
      <c r="DI719" s="2345">
        <f t="shared" si="1354"/>
        <v>-664</v>
      </c>
      <c r="DJ719" s="2345">
        <f t="shared" si="1355"/>
        <v>-1644</v>
      </c>
      <c r="DK719" s="2345">
        <f t="shared" si="1356"/>
        <v>-1546</v>
      </c>
      <c r="DL719" s="2345">
        <f t="shared" si="1357"/>
        <v>-1757</v>
      </c>
      <c r="DM719" s="2345">
        <f t="shared" si="1358"/>
        <v>-434</v>
      </c>
      <c r="DN719" s="2345">
        <f t="shared" si="1359"/>
        <v>0</v>
      </c>
      <c r="DO719" s="2345">
        <f t="shared" si="1360"/>
        <v>-57</v>
      </c>
      <c r="DP719" s="2345">
        <f t="shared" si="1361"/>
        <v>-1425</v>
      </c>
      <c r="DQ719" s="2345">
        <f t="shared" si="1362"/>
        <v>-1145</v>
      </c>
      <c r="DR719" s="2345">
        <f t="shared" si="1363"/>
        <v>-834</v>
      </c>
      <c r="DS719" s="2345">
        <f t="shared" si="1364"/>
        <v>-1510</v>
      </c>
      <c r="DT719" s="2345">
        <f t="shared" si="1365"/>
        <v>-1917</v>
      </c>
      <c r="DU719" s="2345">
        <f t="shared" si="1366"/>
        <v>-568</v>
      </c>
      <c r="DV719" s="2345">
        <f t="shared" si="1367"/>
        <v>-3030</v>
      </c>
      <c r="DW719" s="2345">
        <f t="shared" si="1368"/>
        <v>-2000</v>
      </c>
      <c r="DX719" s="2345">
        <f t="shared" si="1368"/>
        <v>-2500</v>
      </c>
      <c r="DY719" s="2345">
        <f t="shared" si="1368"/>
        <v>-1750</v>
      </c>
      <c r="EA719"/>
      <c r="EB719"/>
      <c r="EC719"/>
      <c r="ED719"/>
      <c r="EE719"/>
      <c r="EF719"/>
      <c r="EJ719"/>
      <c r="EK719"/>
      <c r="EL719"/>
      <c r="EM719" s="1703"/>
      <c r="ER719" s="234"/>
    </row>
    <row r="720" spans="1:148" s="275" customFormat="1" x14ac:dyDescent="0.2">
      <c r="A720" s="2361" t="s">
        <v>2104</v>
      </c>
      <c r="B720" s="1492"/>
      <c r="C720" s="1492"/>
      <c r="D720" s="1492"/>
      <c r="E720" s="1492"/>
      <c r="F720" s="1492"/>
      <c r="G720" s="1492"/>
      <c r="H720" s="1492"/>
      <c r="I720" s="1492">
        <v>3</v>
      </c>
      <c r="J720" s="1492">
        <f>14-I720</f>
        <v>11</v>
      </c>
      <c r="K720" s="1492">
        <f>30-J720-I720</f>
        <v>16</v>
      </c>
      <c r="L720" s="1492">
        <f>58-K720-J720-I720</f>
        <v>28</v>
      </c>
      <c r="M720" s="235">
        <f>SUM(I720:L720)</f>
        <v>58</v>
      </c>
      <c r="N720" s="1492">
        <v>31</v>
      </c>
      <c r="O720" s="1492">
        <f>57-N720</f>
        <v>26</v>
      </c>
      <c r="P720" s="1492">
        <f>69-O720-N720</f>
        <v>12</v>
      </c>
      <c r="Q720" s="1492">
        <f>76-P720-O720-N720</f>
        <v>7</v>
      </c>
      <c r="R720" s="235">
        <f>SUM(N720:Q720)</f>
        <v>76</v>
      </c>
      <c r="S720" s="1492">
        <v>0</v>
      </c>
      <c r="T720" s="1492">
        <f>27-S720</f>
        <v>27</v>
      </c>
      <c r="U720" s="1492">
        <f>28-T720-S720</f>
        <v>1</v>
      </c>
      <c r="V720" s="1492">
        <f>35-U720-T720-S720</f>
        <v>7</v>
      </c>
      <c r="W720" s="235">
        <f>SUM(S720:V720)</f>
        <v>35</v>
      </c>
      <c r="X720" s="1492">
        <v>4</v>
      </c>
      <c r="Y720" s="1492">
        <f>29-X720</f>
        <v>25</v>
      </c>
      <c r="Z720" s="1492">
        <f>50-Y720-X720</f>
        <v>21</v>
      </c>
      <c r="AA720" s="1492">
        <f>102-Z720-Y720-X720</f>
        <v>52</v>
      </c>
      <c r="AB720" s="235">
        <f>SUM(X720:AA720)</f>
        <v>102</v>
      </c>
      <c r="AC720" s="1492">
        <v>17</v>
      </c>
      <c r="AD720" s="1492">
        <f>79-AC720</f>
        <v>62</v>
      </c>
      <c r="AE720" s="1492">
        <f>100-AD720-AC720</f>
        <v>21</v>
      </c>
      <c r="AF720" s="1492">
        <f>206-AE720-AD720-AC720</f>
        <v>106</v>
      </c>
      <c r="AG720" s="235">
        <f>SUM(AC720:AF720)</f>
        <v>206</v>
      </c>
      <c r="AH720" s="1492">
        <v>51</v>
      </c>
      <c r="AI720" s="1492">
        <f>87-AH720</f>
        <v>36</v>
      </c>
      <c r="AJ720" s="1492">
        <f>104-AI720-AH720</f>
        <v>17</v>
      </c>
      <c r="AK720" s="1492">
        <f>125-AJ720-AI720-AH720</f>
        <v>21</v>
      </c>
      <c r="AL720" s="235">
        <f>SUM(AH720:AK720)</f>
        <v>125</v>
      </c>
      <c r="AM720" s="1492">
        <v>73</v>
      </c>
      <c r="AN720" s="1492">
        <f>162-AM720</f>
        <v>89</v>
      </c>
      <c r="AO720" s="1492">
        <f>204-AN720-AM720</f>
        <v>42</v>
      </c>
      <c r="AP720" s="1492">
        <f>378-AO720-AN720-AM720</f>
        <v>174</v>
      </c>
      <c r="AQ720" s="235">
        <f>SUM(AM720:AP720)</f>
        <v>378</v>
      </c>
      <c r="AR720" s="1492">
        <v>95</v>
      </c>
      <c r="AS720" s="1492">
        <f>142-AR720</f>
        <v>47</v>
      </c>
      <c r="AT720" s="1492">
        <f>168-AS720-AR720</f>
        <v>26</v>
      </c>
      <c r="AU720" s="1492">
        <f>203-AT720-AS720-AR720</f>
        <v>35</v>
      </c>
      <c r="AV720" s="235">
        <f>SUM(AR720:AU720)</f>
        <v>203</v>
      </c>
      <c r="AW720" s="1492">
        <v>15</v>
      </c>
      <c r="AX720" s="1492">
        <f>30-AW720</f>
        <v>15</v>
      </c>
      <c r="AY720" s="1492">
        <f>42-AX720-AW720</f>
        <v>12</v>
      </c>
      <c r="AZ720" s="1492">
        <f>51-AY720-AX720-AW720</f>
        <v>9</v>
      </c>
      <c r="BA720" s="235">
        <f>SUM(AW720:AZ720)</f>
        <v>51</v>
      </c>
      <c r="BB720" s="1492">
        <v>2</v>
      </c>
      <c r="BC720" s="1492">
        <f>8-BB720</f>
        <v>6</v>
      </c>
      <c r="BD720" s="1492">
        <f>9.8-SUM(BB720:BC720)</f>
        <v>1.8000000000000007</v>
      </c>
      <c r="BE720" s="1492">
        <f>27-SUM(BB720:BD720)</f>
        <v>17.2</v>
      </c>
      <c r="BF720" s="235">
        <f>SUM(BB720:BE720)</f>
        <v>27</v>
      </c>
      <c r="BG720" s="1492">
        <v>17</v>
      </c>
      <c r="BH720" s="1492">
        <f>54-BG720</f>
        <v>37</v>
      </c>
      <c r="BI720" s="1492">
        <f>78-SUM(BG720:BH720)</f>
        <v>24</v>
      </c>
      <c r="BJ720" s="1492">
        <f>198-SUM(BG720:BI720)</f>
        <v>120</v>
      </c>
      <c r="BK720" s="235">
        <f>SUM(BG720:BJ720)</f>
        <v>198</v>
      </c>
      <c r="BL720" s="1492">
        <v>45</v>
      </c>
      <c r="BM720" s="1492">
        <f>62-BL720</f>
        <v>17</v>
      </c>
      <c r="BN720" s="1492">
        <f>99-BM720-BL720</f>
        <v>37</v>
      </c>
      <c r="BO720" s="1492">
        <f>124-BN720-BM720-BL720</f>
        <v>25</v>
      </c>
      <c r="BP720" s="235">
        <f>SUM(BL720:BO720)</f>
        <v>124</v>
      </c>
      <c r="BQ720" s="1492">
        <v>30</v>
      </c>
      <c r="BR720" s="1492">
        <f>48-BQ720</f>
        <v>18</v>
      </c>
      <c r="BS720" s="1492">
        <f>81-BR720-BQ720</f>
        <v>33</v>
      </c>
      <c r="BT720" s="1492">
        <f>179-BS720-BR720-BQ720</f>
        <v>98</v>
      </c>
      <c r="BU720" s="235">
        <f>SUM(BQ720:BT720)</f>
        <v>179</v>
      </c>
      <c r="BV720" s="1492">
        <v>41</v>
      </c>
      <c r="BW720" s="1492">
        <f>70-BV720</f>
        <v>29</v>
      </c>
      <c r="BX720" s="1492">
        <f>141-BW720-BV720</f>
        <v>71</v>
      </c>
      <c r="BY720" s="1492">
        <f>199-BX720-BW720-BV720</f>
        <v>58</v>
      </c>
      <c r="BZ720" s="235">
        <f>SUM(BV720:BY720)</f>
        <v>199</v>
      </c>
      <c r="CA720" s="1492">
        <v>57</v>
      </c>
      <c r="CB720" s="1492">
        <f>99-CA720</f>
        <v>42</v>
      </c>
      <c r="CC720" s="845">
        <f>129-CB720-CA720</f>
        <v>30</v>
      </c>
      <c r="CD720" s="223">
        <f>178-CC720-CB720-CA720</f>
        <v>49</v>
      </c>
      <c r="CE720" s="235">
        <f>SUM(CA720:CD720)</f>
        <v>178</v>
      </c>
      <c r="CF720" s="1492">
        <v>17</v>
      </c>
      <c r="CG720" s="845">
        <f>31-CF720</f>
        <v>14</v>
      </c>
      <c r="CH720" s="845">
        <f>39-CG720-CF720</f>
        <v>8</v>
      </c>
      <c r="CI720" s="845">
        <f>40-SUM(CF720:CH720)</f>
        <v>1</v>
      </c>
      <c r="CJ720" s="235">
        <f>SUM(CF720:CI720)</f>
        <v>40</v>
      </c>
      <c r="CK720" s="1492">
        <v>6</v>
      </c>
      <c r="CL720" s="845">
        <f>16-CK720</f>
        <v>10</v>
      </c>
      <c r="CM720" s="845">
        <f>22-CL720-CK720</f>
        <v>6</v>
      </c>
      <c r="CN720" s="845">
        <f>34-CK720-CL720-CM720</f>
        <v>12</v>
      </c>
      <c r="CO720" s="2293">
        <f>SUM(CK720:CN720)</f>
        <v>34</v>
      </c>
      <c r="CP720" s="3657">
        <v>2</v>
      </c>
      <c r="CQ720" s="3657">
        <f>3-CP720</f>
        <v>1</v>
      </c>
      <c r="CR720" s="85">
        <f>4-CQ720-CP720</f>
        <v>1</v>
      </c>
      <c r="CS720" s="845">
        <v>0</v>
      </c>
      <c r="CT720" s="2293">
        <f>SUM(CP720:CS720)</f>
        <v>4</v>
      </c>
      <c r="CU720" s="2349">
        <v>0</v>
      </c>
      <c r="CV720" s="2349">
        <v>0</v>
      </c>
      <c r="CW720" s="2349">
        <v>0</v>
      </c>
      <c r="CX720" s="2349">
        <v>0</v>
      </c>
      <c r="CY720" s="2293">
        <f>SUM(CU720:CX720)</f>
        <v>0</v>
      </c>
      <c r="CZ720" s="2922">
        <v>0</v>
      </c>
      <c r="DA720" s="2922">
        <v>0</v>
      </c>
      <c r="DB720"/>
      <c r="DC720"/>
      <c r="DD720" s="2361" t="s">
        <v>2104</v>
      </c>
      <c r="DE720" s="2345">
        <f t="shared" si="1350"/>
        <v>58</v>
      </c>
      <c r="DF720" s="2345">
        <f t="shared" si="1351"/>
        <v>76</v>
      </c>
      <c r="DG720" s="2345">
        <f t="shared" si="1352"/>
        <v>35</v>
      </c>
      <c r="DH720" s="2345">
        <f t="shared" si="1353"/>
        <v>102</v>
      </c>
      <c r="DI720" s="2345">
        <f t="shared" si="1354"/>
        <v>206</v>
      </c>
      <c r="DJ720" s="2345">
        <f t="shared" si="1355"/>
        <v>125</v>
      </c>
      <c r="DK720" s="2345">
        <f t="shared" si="1356"/>
        <v>378</v>
      </c>
      <c r="DL720" s="2345">
        <f t="shared" si="1357"/>
        <v>203</v>
      </c>
      <c r="DM720" s="2345">
        <f t="shared" si="1358"/>
        <v>51</v>
      </c>
      <c r="DN720" s="2345">
        <f t="shared" si="1359"/>
        <v>27</v>
      </c>
      <c r="DO720" s="2345">
        <f t="shared" si="1360"/>
        <v>198</v>
      </c>
      <c r="DP720" s="2345">
        <f t="shared" si="1361"/>
        <v>124</v>
      </c>
      <c r="DQ720" s="2345">
        <f t="shared" si="1362"/>
        <v>179</v>
      </c>
      <c r="DR720" s="2345">
        <f t="shared" si="1363"/>
        <v>199</v>
      </c>
      <c r="DS720" s="2345">
        <f t="shared" si="1364"/>
        <v>178</v>
      </c>
      <c r="DT720" s="2345">
        <f t="shared" si="1365"/>
        <v>40</v>
      </c>
      <c r="DU720" s="2345">
        <f t="shared" si="1366"/>
        <v>34</v>
      </c>
      <c r="DV720" s="2345">
        <f t="shared" si="1367"/>
        <v>4</v>
      </c>
      <c r="DW720" s="2345">
        <f>CY720</f>
        <v>0</v>
      </c>
      <c r="DX720" s="2345">
        <f>CZ720</f>
        <v>0</v>
      </c>
      <c r="DY720" s="2345">
        <f>DA720</f>
        <v>0</v>
      </c>
      <c r="EA720"/>
      <c r="EB720"/>
      <c r="EC720"/>
      <c r="ED720"/>
      <c r="EE720"/>
      <c r="EF720"/>
      <c r="EJ720"/>
      <c r="EK720"/>
      <c r="EL720"/>
      <c r="EM720" s="1703"/>
      <c r="ER720" s="234"/>
    </row>
    <row r="721" spans="1:148" s="923" customFormat="1" x14ac:dyDescent="0.2">
      <c r="A721" s="1131" t="s">
        <v>1931</v>
      </c>
      <c r="B721" s="222"/>
      <c r="C721" s="222"/>
      <c r="D721" s="222"/>
      <c r="E721" s="222"/>
      <c r="F721" s="222"/>
      <c r="G721" s="222"/>
      <c r="H721" s="222"/>
      <c r="I721" s="222">
        <v>0</v>
      </c>
      <c r="J721" s="222">
        <v>0</v>
      </c>
      <c r="K721" s="222">
        <v>0</v>
      </c>
      <c r="L721" s="222">
        <v>0</v>
      </c>
      <c r="M721" s="970">
        <f>SUM(I721:L721)</f>
        <v>0</v>
      </c>
      <c r="N721" s="222">
        <v>0</v>
      </c>
      <c r="O721" s="222">
        <v>0</v>
      </c>
      <c r="P721" s="222">
        <v>0</v>
      </c>
      <c r="Q721" s="222">
        <v>0</v>
      </c>
      <c r="R721" s="970">
        <f>SUM(N721:Q721)</f>
        <v>0</v>
      </c>
      <c r="S721" s="222">
        <v>0</v>
      </c>
      <c r="T721" s="222">
        <v>0</v>
      </c>
      <c r="U721" s="222">
        <v>0</v>
      </c>
      <c r="V721" s="222">
        <v>-5</v>
      </c>
      <c r="W721" s="970">
        <f>SUM(S721:V721)</f>
        <v>-5</v>
      </c>
      <c r="X721" s="222">
        <v>0</v>
      </c>
      <c r="Y721" s="222">
        <v>0</v>
      </c>
      <c r="Z721" s="222">
        <f>9-Y721-X721</f>
        <v>9</v>
      </c>
      <c r="AA721" s="222">
        <f>26-Z721-Y721-X721</f>
        <v>17</v>
      </c>
      <c r="AB721" s="970">
        <f>SUM(X721:AA721)</f>
        <v>26</v>
      </c>
      <c r="AC721" s="222">
        <v>0</v>
      </c>
      <c r="AD721" s="222">
        <f>-13-AC721</f>
        <v>-13</v>
      </c>
      <c r="AE721" s="222">
        <f>0-AD721-AC721</f>
        <v>13</v>
      </c>
      <c r="AF721" s="222">
        <f>35-62-AE721-AD721-AC721</f>
        <v>-27</v>
      </c>
      <c r="AG721" s="970">
        <f>SUM(AC721:AF721)</f>
        <v>-27</v>
      </c>
      <c r="AH721" s="222">
        <v>-6</v>
      </c>
      <c r="AI721" s="222">
        <f>-25-AH721</f>
        <v>-19</v>
      </c>
      <c r="AJ721" s="222">
        <f>-13-AI721-AH721</f>
        <v>12</v>
      </c>
      <c r="AK721" s="222">
        <f>26-AJ721-AI721-AH721-2</f>
        <v>37</v>
      </c>
      <c r="AL721" s="970">
        <f>SUM(AH721:AK721)</f>
        <v>24</v>
      </c>
      <c r="AM721" s="222">
        <f>-3</f>
        <v>-3</v>
      </c>
      <c r="AN721" s="222">
        <f>-15-AM721</f>
        <v>-12</v>
      </c>
      <c r="AO721" s="222">
        <f>-12-AN721-AM721</f>
        <v>3</v>
      </c>
      <c r="AP721" s="222">
        <f>15-AO721-AN721-AM721</f>
        <v>27</v>
      </c>
      <c r="AQ721" s="970">
        <f>SUM(AM721:AP721)</f>
        <v>15</v>
      </c>
      <c r="AR721" s="222">
        <f>-6</f>
        <v>-6</v>
      </c>
      <c r="AS721" s="222">
        <f>-19-AR721</f>
        <v>-13</v>
      </c>
      <c r="AT721" s="222">
        <f>-34-AS721-AR721</f>
        <v>-15</v>
      </c>
      <c r="AU721" s="222">
        <f>-28-AT721-AS721-AR721</f>
        <v>6</v>
      </c>
      <c r="AV721" s="970">
        <f>SUM(AR721:AU721)</f>
        <v>-28</v>
      </c>
      <c r="AW721" s="222">
        <v>0</v>
      </c>
      <c r="AX721" s="222">
        <f>16-AW721</f>
        <v>16</v>
      </c>
      <c r="AY721" s="222">
        <f>16-AX721-AW721</f>
        <v>0</v>
      </c>
      <c r="AZ721" s="222">
        <f>16-SUM(AW721:AY721)</f>
        <v>0</v>
      </c>
      <c r="BA721" s="970">
        <f>SUM(AW721:AZ721)</f>
        <v>16</v>
      </c>
      <c r="BB721" s="222">
        <v>0</v>
      </c>
      <c r="BC721" s="222">
        <v>0</v>
      </c>
      <c r="BD721" s="222">
        <v>0</v>
      </c>
      <c r="BE721" s="222">
        <v>0</v>
      </c>
      <c r="BF721" s="970">
        <f>SUM(BB721:BE721)</f>
        <v>0</v>
      </c>
      <c r="BG721" s="222">
        <v>0</v>
      </c>
      <c r="BH721" s="222">
        <v>0</v>
      </c>
      <c r="BI721" s="222">
        <v>0</v>
      </c>
      <c r="BJ721" s="222">
        <v>0</v>
      </c>
      <c r="BK721" s="970">
        <f>SUM(BG721:BJ721)</f>
        <v>0</v>
      </c>
      <c r="BL721" s="222">
        <v>0</v>
      </c>
      <c r="BM721" s="222">
        <v>0</v>
      </c>
      <c r="BN721" s="222">
        <v>0</v>
      </c>
      <c r="BO721" s="222">
        <f>11-SUM(BL721:BN721)</f>
        <v>11</v>
      </c>
      <c r="BP721" s="970">
        <f>SUM(BL721:BO721)</f>
        <v>11</v>
      </c>
      <c r="BQ721" s="222">
        <v>-10</v>
      </c>
      <c r="BR721" s="222">
        <f>-11-BQ721</f>
        <v>-1</v>
      </c>
      <c r="BS721" s="222">
        <f>-11-BR721-BQ721</f>
        <v>0</v>
      </c>
      <c r="BT721" s="222">
        <f>-11-BS721-BR721-BQ721</f>
        <v>0</v>
      </c>
      <c r="BU721" s="970">
        <f>SUM(BQ721:BT721)</f>
        <v>-11</v>
      </c>
      <c r="BV721" s="222">
        <v>0</v>
      </c>
      <c r="BW721" s="222">
        <f>0-BV721</f>
        <v>0</v>
      </c>
      <c r="BX721" s="222">
        <f>-1-BW721-BV721</f>
        <v>-1</v>
      </c>
      <c r="BY721" s="222">
        <f>-1-BX721-BW721-BV721</f>
        <v>0</v>
      </c>
      <c r="BZ721" s="970">
        <f>SUM(BV721:BY721)</f>
        <v>-1</v>
      </c>
      <c r="CA721" s="222">
        <v>0</v>
      </c>
      <c r="CB721" s="222">
        <v>0</v>
      </c>
      <c r="CC721" s="222">
        <v>0</v>
      </c>
      <c r="CD721" s="222">
        <v>0</v>
      </c>
      <c r="CE721" s="970">
        <f>SUM(CA721:CD721)</f>
        <v>0</v>
      </c>
      <c r="CF721" s="222">
        <v>0</v>
      </c>
      <c r="CG721" s="222">
        <v>0</v>
      </c>
      <c r="CH721" s="222">
        <v>0</v>
      </c>
      <c r="CI721" s="222">
        <v>0</v>
      </c>
      <c r="CJ721" s="970">
        <f>SUM(CF721:CI721)</f>
        <v>0</v>
      </c>
      <c r="CK721" s="222">
        <v>-9</v>
      </c>
      <c r="CL721" s="222">
        <f>-18-CK721</f>
        <v>-9</v>
      </c>
      <c r="CM721" s="767">
        <f>-24-CL721-CK721</f>
        <v>-6</v>
      </c>
      <c r="CN721" s="222">
        <f>-24-CK721-CL721-CM721</f>
        <v>0</v>
      </c>
      <c r="CO721" s="970">
        <f>SUM(CK721:CN721)</f>
        <v>-24</v>
      </c>
      <c r="CP721" s="222">
        <v>-99</v>
      </c>
      <c r="CQ721" s="222">
        <f>-135-CP721</f>
        <v>-36</v>
      </c>
      <c r="CR721" s="222">
        <f>-144-CQ721-CP721</f>
        <v>-9</v>
      </c>
      <c r="CS721" s="222">
        <v>0</v>
      </c>
      <c r="CT721" s="970">
        <f>SUM(CP721:CS721)</f>
        <v>-144</v>
      </c>
      <c r="CU721" s="216">
        <v>0</v>
      </c>
      <c r="CV721" s="216">
        <v>0</v>
      </c>
      <c r="CW721" s="216">
        <v>0</v>
      </c>
      <c r="CX721" s="216">
        <v>0</v>
      </c>
      <c r="CY721" s="970">
        <f>SUM(CU721:CX721)</f>
        <v>0</v>
      </c>
      <c r="CZ721" s="2923">
        <v>0</v>
      </c>
      <c r="DA721" s="2923">
        <v>0</v>
      </c>
      <c r="DB721"/>
      <c r="DC721"/>
      <c r="DD721" s="1131" t="s">
        <v>1931</v>
      </c>
      <c r="DE721" s="970">
        <f t="shared" si="1350"/>
        <v>0</v>
      </c>
      <c r="DF721" s="970">
        <f t="shared" si="1351"/>
        <v>0</v>
      </c>
      <c r="DG721" s="970">
        <f t="shared" si="1352"/>
        <v>-5</v>
      </c>
      <c r="DH721" s="970">
        <f t="shared" si="1353"/>
        <v>26</v>
      </c>
      <c r="DI721" s="970">
        <f t="shared" si="1354"/>
        <v>-27</v>
      </c>
      <c r="DJ721" s="970">
        <f t="shared" si="1355"/>
        <v>24</v>
      </c>
      <c r="DK721" s="970">
        <f t="shared" si="1356"/>
        <v>15</v>
      </c>
      <c r="DL721" s="970">
        <f t="shared" si="1357"/>
        <v>-28</v>
      </c>
      <c r="DM721" s="970">
        <f t="shared" si="1358"/>
        <v>16</v>
      </c>
      <c r="DN721" s="970">
        <f t="shared" si="1359"/>
        <v>0</v>
      </c>
      <c r="DO721" s="970">
        <f t="shared" si="1360"/>
        <v>0</v>
      </c>
      <c r="DP721" s="970">
        <f t="shared" si="1361"/>
        <v>11</v>
      </c>
      <c r="DQ721" s="970">
        <f t="shared" si="1362"/>
        <v>-11</v>
      </c>
      <c r="DR721" s="970">
        <f t="shared" si="1363"/>
        <v>-1</v>
      </c>
      <c r="DS721" s="970">
        <f t="shared" si="1364"/>
        <v>0</v>
      </c>
      <c r="DT721" s="970">
        <f t="shared" si="1365"/>
        <v>0</v>
      </c>
      <c r="DU721" s="970">
        <f t="shared" si="1366"/>
        <v>-24</v>
      </c>
      <c r="DV721" s="970">
        <f t="shared" si="1367"/>
        <v>-144</v>
      </c>
      <c r="DW721" s="970">
        <f t="shared" si="1368"/>
        <v>0</v>
      </c>
      <c r="DX721" s="970">
        <f t="shared" si="1368"/>
        <v>0</v>
      </c>
      <c r="DY721" s="970">
        <f t="shared" si="1368"/>
        <v>0</v>
      </c>
      <c r="EA721"/>
      <c r="EB721"/>
      <c r="EC721"/>
      <c r="ED721"/>
      <c r="EE721"/>
      <c r="EF721"/>
      <c r="EJ721"/>
      <c r="EK721"/>
      <c r="EL721"/>
      <c r="EM721" s="1703"/>
      <c r="ER721" s="212"/>
    </row>
    <row r="722" spans="1:148" s="1703" customFormat="1" x14ac:dyDescent="0.2">
      <c r="A722" s="2180" t="s">
        <v>858</v>
      </c>
      <c r="B722" s="1730"/>
      <c r="C722" s="1730"/>
      <c r="D722" s="1730"/>
      <c r="E722" s="1730"/>
      <c r="F722" s="1730"/>
      <c r="G722" s="1730"/>
      <c r="H722" s="1730"/>
      <c r="I722" s="1730">
        <f t="shared" ref="I722:AN722" si="1369">SUM(I717:I721)</f>
        <v>146</v>
      </c>
      <c r="J722" s="1730">
        <f t="shared" si="1369"/>
        <v>-169</v>
      </c>
      <c r="K722" s="1730">
        <f t="shared" si="1369"/>
        <v>-206</v>
      </c>
      <c r="L722" s="1730">
        <f t="shared" si="1369"/>
        <v>250</v>
      </c>
      <c r="M722" s="1729">
        <f t="shared" si="1369"/>
        <v>21</v>
      </c>
      <c r="N722" s="1730">
        <f t="shared" si="1369"/>
        <v>-26</v>
      </c>
      <c r="O722" s="1730">
        <f t="shared" si="1369"/>
        <v>265</v>
      </c>
      <c r="P722" s="1730">
        <f t="shared" si="1369"/>
        <v>-21</v>
      </c>
      <c r="Q722" s="1730">
        <f t="shared" si="1369"/>
        <v>346</v>
      </c>
      <c r="R722" s="1729">
        <f t="shared" si="1369"/>
        <v>564</v>
      </c>
      <c r="S722" s="1730">
        <f t="shared" si="1369"/>
        <v>-632</v>
      </c>
      <c r="T722" s="1730">
        <f t="shared" si="1369"/>
        <v>-297</v>
      </c>
      <c r="U722" s="1730">
        <f t="shared" si="1369"/>
        <v>-233</v>
      </c>
      <c r="V722" s="1730">
        <f t="shared" si="1369"/>
        <v>-290</v>
      </c>
      <c r="W722" s="1729">
        <f t="shared" si="1369"/>
        <v>-1452</v>
      </c>
      <c r="X722" s="1730">
        <f t="shared" si="1369"/>
        <v>200</v>
      </c>
      <c r="Y722" s="1730">
        <f t="shared" si="1369"/>
        <v>-540</v>
      </c>
      <c r="Z722" s="1730">
        <f t="shared" si="1369"/>
        <v>-92</v>
      </c>
      <c r="AA722" s="1730">
        <f t="shared" si="1369"/>
        <v>-242</v>
      </c>
      <c r="AB722" s="1729">
        <f t="shared" si="1369"/>
        <v>-674</v>
      </c>
      <c r="AC722" s="1730">
        <f t="shared" si="1369"/>
        <v>-40</v>
      </c>
      <c r="AD722" s="1730">
        <f t="shared" si="1369"/>
        <v>-320</v>
      </c>
      <c r="AE722" s="1730">
        <f t="shared" si="1369"/>
        <v>-272</v>
      </c>
      <c r="AF722" s="1730">
        <f t="shared" si="1369"/>
        <v>-5</v>
      </c>
      <c r="AG722" s="1729">
        <f t="shared" si="1369"/>
        <v>-637</v>
      </c>
      <c r="AH722" s="1730">
        <f t="shared" si="1369"/>
        <v>-295</v>
      </c>
      <c r="AI722" s="1730">
        <f t="shared" si="1369"/>
        <v>-381</v>
      </c>
      <c r="AJ722" s="1730">
        <f t="shared" si="1369"/>
        <v>-135</v>
      </c>
      <c r="AK722" s="1730">
        <f t="shared" si="1369"/>
        <v>-465</v>
      </c>
      <c r="AL722" s="1729">
        <f t="shared" si="1369"/>
        <v>-1276</v>
      </c>
      <c r="AM722" s="1730">
        <f t="shared" si="1369"/>
        <v>13</v>
      </c>
      <c r="AN722" s="1730">
        <f t="shared" si="1369"/>
        <v>-618</v>
      </c>
      <c r="AO722" s="1730">
        <f t="shared" ref="AO722:BU722" si="1370">SUM(AO717:AO721)</f>
        <v>-383</v>
      </c>
      <c r="AP722" s="1730">
        <f t="shared" si="1370"/>
        <v>-111</v>
      </c>
      <c r="AQ722" s="1729">
        <f t="shared" si="1370"/>
        <v>-1099</v>
      </c>
      <c r="AR722" s="1730">
        <f t="shared" si="1370"/>
        <v>150</v>
      </c>
      <c r="AS722" s="1730">
        <f t="shared" si="1370"/>
        <v>-541</v>
      </c>
      <c r="AT722" s="1730">
        <f t="shared" si="1370"/>
        <v>82</v>
      </c>
      <c r="AU722" s="1730">
        <f t="shared" si="1370"/>
        <v>-453</v>
      </c>
      <c r="AV722" s="1729">
        <f t="shared" si="1370"/>
        <v>-762</v>
      </c>
      <c r="AW722" s="1730">
        <f t="shared" si="1370"/>
        <v>140</v>
      </c>
      <c r="AX722" s="1730">
        <f t="shared" si="1370"/>
        <v>-445</v>
      </c>
      <c r="AY722" s="1730">
        <f t="shared" si="1370"/>
        <v>-98</v>
      </c>
      <c r="AZ722" s="1730">
        <f t="shared" si="1370"/>
        <v>47</v>
      </c>
      <c r="BA722" s="1729">
        <f t="shared" si="1370"/>
        <v>-356</v>
      </c>
      <c r="BB722" s="1730">
        <f t="shared" si="1370"/>
        <v>-128</v>
      </c>
      <c r="BC722" s="1730">
        <f t="shared" si="1370"/>
        <v>-155</v>
      </c>
      <c r="BD722" s="1730">
        <f t="shared" si="1370"/>
        <v>-188.2</v>
      </c>
      <c r="BE722" s="1730">
        <f t="shared" si="1370"/>
        <v>-346.8</v>
      </c>
      <c r="BF722" s="1729">
        <f t="shared" si="1370"/>
        <v>-818</v>
      </c>
      <c r="BG722" s="1730">
        <f t="shared" si="1370"/>
        <v>-133</v>
      </c>
      <c r="BH722" s="1730">
        <f t="shared" si="1370"/>
        <v>-335</v>
      </c>
      <c r="BI722" s="1730">
        <f t="shared" si="1370"/>
        <v>-176</v>
      </c>
      <c r="BJ722" s="1730">
        <f t="shared" si="1370"/>
        <v>147</v>
      </c>
      <c r="BK722" s="1729">
        <f t="shared" si="1370"/>
        <v>-497</v>
      </c>
      <c r="BL722" s="1730">
        <f t="shared" si="1370"/>
        <v>-322</v>
      </c>
      <c r="BM722" s="1730">
        <f>SUM(BM717:BM721)</f>
        <v>-321</v>
      </c>
      <c r="BN722" s="1730">
        <f t="shared" si="1370"/>
        <v>-382</v>
      </c>
      <c r="BO722" s="1730">
        <f t="shared" si="1370"/>
        <v>-220</v>
      </c>
      <c r="BP722" s="1729">
        <f t="shared" si="1370"/>
        <v>-1245</v>
      </c>
      <c r="BQ722" s="1730">
        <f t="shared" si="1370"/>
        <v>198</v>
      </c>
      <c r="BR722" s="1730">
        <f>SUM(BR717:BR721)</f>
        <v>-393</v>
      </c>
      <c r="BS722" s="1730">
        <f t="shared" si="1370"/>
        <v>-397</v>
      </c>
      <c r="BT722" s="1730">
        <f>SUM(BT717:BT721)</f>
        <v>174</v>
      </c>
      <c r="BU722" s="1729">
        <f t="shared" si="1370"/>
        <v>-418</v>
      </c>
      <c r="BV722" s="1730">
        <f t="shared" ref="BV722:CE722" si="1371">SUM(BV717:BV721)</f>
        <v>103</v>
      </c>
      <c r="BW722" s="1730">
        <f t="shared" si="1371"/>
        <v>-474</v>
      </c>
      <c r="BX722" s="842">
        <f>SUM(BX717:BX721)</f>
        <v>-69</v>
      </c>
      <c r="BY722" s="1730">
        <f>SUM(BY717:BY721)</f>
        <v>-143</v>
      </c>
      <c r="BZ722" s="1729">
        <f>SUM(BZ717:BZ721)</f>
        <v>-583</v>
      </c>
      <c r="CA722" s="1730">
        <f t="shared" si="1371"/>
        <v>-166</v>
      </c>
      <c r="CB722" s="1730">
        <f t="shared" si="1371"/>
        <v>-254</v>
      </c>
      <c r="CC722" s="1730">
        <f t="shared" si="1371"/>
        <v>-202</v>
      </c>
      <c r="CD722" s="1826">
        <f t="shared" si="1371"/>
        <v>-311</v>
      </c>
      <c r="CE722" s="1729">
        <f t="shared" si="1371"/>
        <v>-933</v>
      </c>
      <c r="CF722" s="1730">
        <f>SUM(CF717:CF721)</f>
        <v>-224</v>
      </c>
      <c r="CG722" s="1730">
        <f>SUM(CG717:CG721)</f>
        <v>-844</v>
      </c>
      <c r="CH722" s="1730">
        <f>SUM(CH717:CH721)</f>
        <v>-394</v>
      </c>
      <c r="CI722" s="1826">
        <f>SUM(CI717:CI721)</f>
        <v>-343</v>
      </c>
      <c r="CJ722" s="1729">
        <f>SUM(CJ717:CJ721)</f>
        <v>-1805</v>
      </c>
      <c r="CK722" s="1730">
        <f t="shared" ref="CK722:CT722" si="1372">SUM(CK717:CK721)</f>
        <v>-266</v>
      </c>
      <c r="CL722" s="1730">
        <f t="shared" si="1372"/>
        <v>123</v>
      </c>
      <c r="CM722" s="1730">
        <f t="shared" si="1372"/>
        <v>2480</v>
      </c>
      <c r="CN722" s="1826">
        <f t="shared" si="1372"/>
        <v>-748</v>
      </c>
      <c r="CO722" s="1729">
        <f t="shared" si="1372"/>
        <v>1589</v>
      </c>
      <c r="CP722" s="1730">
        <f t="shared" si="1372"/>
        <v>-830</v>
      </c>
      <c r="CQ722" s="1730">
        <f t="shared" si="1372"/>
        <v>-1065</v>
      </c>
      <c r="CR722" s="1730">
        <f t="shared" si="1372"/>
        <v>-561</v>
      </c>
      <c r="CS722" s="1730">
        <f t="shared" si="1372"/>
        <v>-1476.4830000000002</v>
      </c>
      <c r="CT722" s="1729">
        <f t="shared" si="1372"/>
        <v>-3932.4830000000002</v>
      </c>
      <c r="CU722" s="1730">
        <f t="shared" ref="CU722:DA722" si="1373">SUM(CU717:CU721)</f>
        <v>-419.46942857142858</v>
      </c>
      <c r="CV722" s="1730">
        <f t="shared" si="1373"/>
        <v>-330.33306306620216</v>
      </c>
      <c r="CW722" s="1730">
        <f t="shared" si="1373"/>
        <v>-429.28060368828085</v>
      </c>
      <c r="CX722" s="1730">
        <f t="shared" si="1373"/>
        <v>-528.25824088055276</v>
      </c>
      <c r="CY722" s="1729">
        <f t="shared" si="1373"/>
        <v>-1707.3413362064643</v>
      </c>
      <c r="CZ722" s="1729">
        <f t="shared" si="1373"/>
        <v>-2356.1225499451298</v>
      </c>
      <c r="DA722" s="1729">
        <f t="shared" si="1373"/>
        <v>-2244.2757310647689</v>
      </c>
      <c r="DB722"/>
      <c r="DC722"/>
      <c r="DD722" s="2180" t="s">
        <v>858</v>
      </c>
      <c r="DE722" s="1729">
        <f t="shared" si="1350"/>
        <v>21</v>
      </c>
      <c r="DF722" s="1729">
        <f t="shared" si="1351"/>
        <v>564</v>
      </c>
      <c r="DG722" s="1729">
        <f t="shared" si="1352"/>
        <v>-1452</v>
      </c>
      <c r="DH722" s="1729">
        <f t="shared" si="1353"/>
        <v>-674</v>
      </c>
      <c r="DI722" s="1729">
        <f t="shared" si="1354"/>
        <v>-637</v>
      </c>
      <c r="DJ722" s="1729">
        <f t="shared" si="1355"/>
        <v>-1276</v>
      </c>
      <c r="DK722" s="1729">
        <f t="shared" si="1356"/>
        <v>-1099</v>
      </c>
      <c r="DL722" s="1729">
        <f t="shared" si="1357"/>
        <v>-762</v>
      </c>
      <c r="DM722" s="1729">
        <f t="shared" si="1358"/>
        <v>-356</v>
      </c>
      <c r="DN722" s="1729">
        <f t="shared" si="1359"/>
        <v>-818</v>
      </c>
      <c r="DO722" s="1729">
        <f t="shared" si="1360"/>
        <v>-497</v>
      </c>
      <c r="DP722" s="1729">
        <f t="shared" si="1361"/>
        <v>-1245</v>
      </c>
      <c r="DQ722" s="1729">
        <f t="shared" si="1362"/>
        <v>-418</v>
      </c>
      <c r="DR722" s="1729">
        <f t="shared" si="1363"/>
        <v>-583</v>
      </c>
      <c r="DS722" s="1729">
        <f t="shared" si="1364"/>
        <v>-933</v>
      </c>
      <c r="DT722" s="1729">
        <f t="shared" si="1365"/>
        <v>-1805</v>
      </c>
      <c r="DU722" s="1729">
        <f t="shared" si="1366"/>
        <v>1589</v>
      </c>
      <c r="DV722" s="1729">
        <f t="shared" si="1367"/>
        <v>-3932.4830000000002</v>
      </c>
      <c r="DW722" s="1729">
        <f t="shared" si="1368"/>
        <v>-1707.3413362064643</v>
      </c>
      <c r="DX722" s="1729">
        <f t="shared" si="1368"/>
        <v>-2356.1225499451298</v>
      </c>
      <c r="DY722" s="1729">
        <f t="shared" si="1368"/>
        <v>-2244.2757310647689</v>
      </c>
      <c r="EA722"/>
      <c r="EB722"/>
      <c r="EC722"/>
      <c r="ED722"/>
      <c r="EE722"/>
      <c r="EF722"/>
      <c r="EJ722"/>
      <c r="EK722"/>
      <c r="EL722"/>
      <c r="ER722" s="212"/>
    </row>
    <row r="723" spans="1:148" s="923" customFormat="1" ht="12.75" customHeight="1" x14ac:dyDescent="0.2">
      <c r="A723" s="504"/>
      <c r="B723" s="220"/>
      <c r="C723" s="220"/>
      <c r="D723" s="220"/>
      <c r="E723" s="220"/>
      <c r="F723" s="220"/>
      <c r="G723" s="220"/>
      <c r="H723" s="220"/>
      <c r="I723" s="220"/>
      <c r="J723" s="220"/>
      <c r="K723" s="220"/>
      <c r="L723" s="220"/>
      <c r="M723" s="965"/>
      <c r="N723" s="220"/>
      <c r="O723" s="220"/>
      <c r="P723" s="220"/>
      <c r="Q723" s="220"/>
      <c r="R723" s="965"/>
      <c r="S723" s="220"/>
      <c r="T723" s="220"/>
      <c r="U723" s="220"/>
      <c r="V723" s="220"/>
      <c r="W723" s="965"/>
      <c r="X723" s="220"/>
      <c r="Y723" s="220"/>
      <c r="Z723" s="220"/>
      <c r="AA723" s="220"/>
      <c r="AB723" s="965"/>
      <c r="AC723" s="220"/>
      <c r="AD723" s="220"/>
      <c r="AE723" s="220"/>
      <c r="AF723" s="220"/>
      <c r="AG723" s="965"/>
      <c r="AH723" s="220"/>
      <c r="AI723" s="220"/>
      <c r="AJ723" s="220"/>
      <c r="AK723" s="220"/>
      <c r="AL723" s="965"/>
      <c r="AM723" s="220"/>
      <c r="AN723" s="220"/>
      <c r="AO723" s="220"/>
      <c r="AP723" s="220"/>
      <c r="AQ723" s="965"/>
      <c r="AR723" s="220"/>
      <c r="AS723" s="220"/>
      <c r="AT723" s="220"/>
      <c r="AU723" s="220"/>
      <c r="AV723" s="965"/>
      <c r="AW723" s="220"/>
      <c r="AX723" s="220"/>
      <c r="AY723" s="220"/>
      <c r="AZ723" s="220"/>
      <c r="BA723" s="965"/>
      <c r="BB723" s="220"/>
      <c r="BC723" s="220"/>
      <c r="BD723" s="220"/>
      <c r="BE723" s="220"/>
      <c r="BF723" s="965"/>
      <c r="BG723" s="220"/>
      <c r="BH723" s="220"/>
      <c r="BI723" s="220"/>
      <c r="BJ723" s="220"/>
      <c r="BK723" s="965"/>
      <c r="BL723" s="220"/>
      <c r="BM723" s="220"/>
      <c r="BN723" s="220"/>
      <c r="BO723" s="220"/>
      <c r="BP723" s="965"/>
      <c r="BQ723" s="220"/>
      <c r="BR723" s="220"/>
      <c r="BS723" s="220"/>
      <c r="BT723" s="220"/>
      <c r="BU723" s="965"/>
      <c r="BV723" s="220"/>
      <c r="BW723" s="220"/>
      <c r="BX723" s="220"/>
      <c r="BY723" s="220"/>
      <c r="BZ723" s="965"/>
      <c r="CA723" s="220"/>
      <c r="CB723" s="220"/>
      <c r="CC723" s="220"/>
      <c r="CD723" s="1792"/>
      <c r="CE723" s="965"/>
      <c r="CF723" s="220"/>
      <c r="CG723" s="220"/>
      <c r="CH723" s="220"/>
      <c r="CI723" s="1792"/>
      <c r="CJ723" s="965"/>
      <c r="CK723" s="220"/>
      <c r="CL723" s="220"/>
      <c r="CM723" s="220"/>
      <c r="CN723" s="1792"/>
      <c r="CO723" s="965"/>
      <c r="CP723" s="220"/>
      <c r="CQ723" s="220"/>
      <c r="CR723" s="220"/>
      <c r="CS723" s="220"/>
      <c r="CT723" s="965"/>
      <c r="CU723" s="220"/>
      <c r="CV723" s="220"/>
      <c r="CW723" s="220"/>
      <c r="CX723" s="220"/>
      <c r="CY723" s="2284"/>
      <c r="CZ723" s="965"/>
      <c r="DA723" s="965"/>
      <c r="DB723"/>
      <c r="DC723"/>
      <c r="DD723" s="2285"/>
      <c r="DE723" s="2284"/>
      <c r="DF723" s="2284"/>
      <c r="DG723" s="2284"/>
      <c r="DH723" s="2284"/>
      <c r="DI723" s="2284"/>
      <c r="DJ723" s="2284"/>
      <c r="DK723" s="2284"/>
      <c r="DL723" s="2284"/>
      <c r="DM723" s="2284"/>
      <c r="DN723" s="2284"/>
      <c r="DO723" s="2284"/>
      <c r="DP723" s="2284"/>
      <c r="DQ723" s="2284"/>
      <c r="DR723" s="2284"/>
      <c r="DS723" s="2284"/>
      <c r="DT723" s="2284"/>
      <c r="DU723" s="2284"/>
      <c r="DV723" s="2284"/>
      <c r="DW723" s="2284"/>
      <c r="DX723" s="2284"/>
      <c r="DY723" s="2284"/>
      <c r="EA723"/>
      <c r="EB723"/>
      <c r="EC723"/>
      <c r="ED723"/>
      <c r="EE723"/>
      <c r="EF723"/>
      <c r="EJ723"/>
      <c r="EK723"/>
      <c r="EL723"/>
      <c r="ER723" s="212"/>
    </row>
    <row r="724" spans="1:148" s="1703" customFormat="1" x14ac:dyDescent="0.2">
      <c r="A724" s="1987" t="s">
        <v>896</v>
      </c>
      <c r="I724" s="1703">
        <f t="shared" ref="I724:AN724" si="1374">I704+I714+I722</f>
        <v>-117</v>
      </c>
      <c r="J724" s="1703">
        <f t="shared" si="1374"/>
        <v>38</v>
      </c>
      <c r="K724" s="1703">
        <f t="shared" si="1374"/>
        <v>-32</v>
      </c>
      <c r="L724" s="1703">
        <f t="shared" si="1374"/>
        <v>-44</v>
      </c>
      <c r="M724" s="1704">
        <f t="shared" si="1374"/>
        <v>-155</v>
      </c>
      <c r="N724" s="1703">
        <f t="shared" si="1374"/>
        <v>36</v>
      </c>
      <c r="O724" s="1703">
        <f t="shared" si="1374"/>
        <v>304</v>
      </c>
      <c r="P724" s="1703">
        <f t="shared" si="1374"/>
        <v>200</v>
      </c>
      <c r="Q724" s="1703">
        <f t="shared" si="1374"/>
        <v>-57</v>
      </c>
      <c r="R724" s="1704">
        <f t="shared" si="1374"/>
        <v>483</v>
      </c>
      <c r="S724" s="1703">
        <f t="shared" si="1374"/>
        <v>-627</v>
      </c>
      <c r="T724" s="1703">
        <f t="shared" si="1374"/>
        <v>10</v>
      </c>
      <c r="U724" s="1703">
        <f t="shared" si="1374"/>
        <v>111</v>
      </c>
      <c r="V724" s="1703">
        <f t="shared" si="1374"/>
        <v>-113</v>
      </c>
      <c r="W724" s="1704">
        <f t="shared" si="1374"/>
        <v>-619</v>
      </c>
      <c r="X724" s="1703">
        <f t="shared" si="1374"/>
        <v>327</v>
      </c>
      <c r="Y724" s="1703">
        <f t="shared" si="1374"/>
        <v>-381</v>
      </c>
      <c r="Z724" s="1703">
        <f t="shared" si="1374"/>
        <v>-31</v>
      </c>
      <c r="AA724" s="1703">
        <f t="shared" si="1374"/>
        <v>116</v>
      </c>
      <c r="AB724" s="1704">
        <f t="shared" si="1374"/>
        <v>31</v>
      </c>
      <c r="AC724" s="1703">
        <f t="shared" si="1374"/>
        <v>-26</v>
      </c>
      <c r="AD724" s="1703">
        <f t="shared" si="1374"/>
        <v>-39</v>
      </c>
      <c r="AE724" s="1703">
        <f t="shared" si="1374"/>
        <v>38</v>
      </c>
      <c r="AF724" s="1703">
        <f t="shared" si="1374"/>
        <v>568</v>
      </c>
      <c r="AG724" s="1704">
        <f t="shared" si="1374"/>
        <v>541</v>
      </c>
      <c r="AH724" s="1703">
        <f t="shared" si="1374"/>
        <v>-393</v>
      </c>
      <c r="AI724" s="1703">
        <f t="shared" si="1374"/>
        <v>94</v>
      </c>
      <c r="AJ724" s="1703">
        <f t="shared" si="1374"/>
        <v>-310</v>
      </c>
      <c r="AK724" s="1703">
        <f t="shared" si="1374"/>
        <v>40</v>
      </c>
      <c r="AL724" s="1704">
        <f t="shared" si="1374"/>
        <v>-569</v>
      </c>
      <c r="AM724" s="1703">
        <f t="shared" si="1374"/>
        <v>-31.000000000000057</v>
      </c>
      <c r="AN724" s="1703">
        <f t="shared" si="1374"/>
        <v>192</v>
      </c>
      <c r="AO724" s="1703">
        <f t="shared" ref="AO724:BT724" si="1375">AO704+AO714+AO722</f>
        <v>-228</v>
      </c>
      <c r="AP724" s="1703">
        <f t="shared" si="1375"/>
        <v>57</v>
      </c>
      <c r="AQ724" s="1704">
        <f t="shared" si="1375"/>
        <v>-10</v>
      </c>
      <c r="AR724" s="1703">
        <f t="shared" si="1375"/>
        <v>-69</v>
      </c>
      <c r="AS724" s="1703">
        <f t="shared" si="1375"/>
        <v>27</v>
      </c>
      <c r="AT724" s="1703">
        <f t="shared" si="1375"/>
        <v>57</v>
      </c>
      <c r="AU724" s="1703">
        <f t="shared" si="1375"/>
        <v>126</v>
      </c>
      <c r="AV724" s="1704">
        <f t="shared" si="1375"/>
        <v>141</v>
      </c>
      <c r="AW724" s="1703">
        <f t="shared" si="1375"/>
        <v>-18</v>
      </c>
      <c r="AX724" s="1703">
        <f t="shared" si="1375"/>
        <v>-189</v>
      </c>
      <c r="AY724" s="1703">
        <f t="shared" si="1375"/>
        <v>-8</v>
      </c>
      <c r="AZ724" s="1703">
        <f t="shared" si="1375"/>
        <v>17</v>
      </c>
      <c r="BA724" s="1704">
        <f t="shared" si="1375"/>
        <v>-198</v>
      </c>
      <c r="BB724" s="1703">
        <f t="shared" si="1375"/>
        <v>34</v>
      </c>
      <c r="BC724" s="1703">
        <f t="shared" si="1375"/>
        <v>-43</v>
      </c>
      <c r="BD724" s="1703">
        <f t="shared" si="1375"/>
        <v>5</v>
      </c>
      <c r="BE724" s="1703">
        <f t="shared" si="1375"/>
        <v>-15</v>
      </c>
      <c r="BF724" s="1704">
        <f t="shared" si="1375"/>
        <v>-19</v>
      </c>
      <c r="BG724" s="1703">
        <f t="shared" si="1375"/>
        <v>3</v>
      </c>
      <c r="BH724" s="1703">
        <f t="shared" si="1375"/>
        <v>-18</v>
      </c>
      <c r="BI724" s="1703">
        <f t="shared" si="1375"/>
        <v>123</v>
      </c>
      <c r="BJ724" s="1703">
        <f t="shared" si="1375"/>
        <v>282</v>
      </c>
      <c r="BK724" s="1704">
        <f t="shared" si="1375"/>
        <v>390</v>
      </c>
      <c r="BL724" s="1703">
        <f t="shared" si="1375"/>
        <v>-361</v>
      </c>
      <c r="BM724" s="1703">
        <f t="shared" si="1375"/>
        <v>-27</v>
      </c>
      <c r="BN724" s="1703">
        <f t="shared" si="1375"/>
        <v>103</v>
      </c>
      <c r="BO724" s="1703">
        <f t="shared" si="1375"/>
        <v>-118</v>
      </c>
      <c r="BP724" s="1704">
        <f t="shared" si="1375"/>
        <v>-403</v>
      </c>
      <c r="BQ724" s="1703">
        <f t="shared" si="1375"/>
        <v>188</v>
      </c>
      <c r="BR724" s="1703">
        <f t="shared" si="1375"/>
        <v>-185</v>
      </c>
      <c r="BS724" s="1703">
        <f t="shared" si="1375"/>
        <v>0</v>
      </c>
      <c r="BT724" s="1703">
        <f t="shared" si="1375"/>
        <v>-17</v>
      </c>
      <c r="BU724" s="1704">
        <f t="shared" ref="BU724:DA724" si="1376">BU704+BU714+BU722</f>
        <v>-14</v>
      </c>
      <c r="BV724" s="1703">
        <f t="shared" si="1376"/>
        <v>133</v>
      </c>
      <c r="BW724" s="1703">
        <f t="shared" si="1376"/>
        <v>-113</v>
      </c>
      <c r="BX724" s="1703">
        <f t="shared" si="1376"/>
        <v>36</v>
      </c>
      <c r="BY724" s="1703">
        <f t="shared" si="1376"/>
        <v>-18</v>
      </c>
      <c r="BZ724" s="1704">
        <f t="shared" si="1376"/>
        <v>38</v>
      </c>
      <c r="CA724" s="1703">
        <f t="shared" si="1376"/>
        <v>58</v>
      </c>
      <c r="CB724" s="1703">
        <f t="shared" si="1376"/>
        <v>8</v>
      </c>
      <c r="CC724" s="1703">
        <f t="shared" si="1376"/>
        <v>-42</v>
      </c>
      <c r="CD724" s="1801">
        <f t="shared" si="1376"/>
        <v>-46</v>
      </c>
      <c r="CE724" s="1704">
        <f t="shared" si="1376"/>
        <v>-22</v>
      </c>
      <c r="CF724" s="1703">
        <f t="shared" si="1376"/>
        <v>16</v>
      </c>
      <c r="CG724" s="1703">
        <f t="shared" si="1376"/>
        <v>20</v>
      </c>
      <c r="CH724" s="1703">
        <f t="shared" si="1376"/>
        <v>-45</v>
      </c>
      <c r="CI724" s="1801">
        <f t="shared" si="1376"/>
        <v>1</v>
      </c>
      <c r="CJ724" s="1704">
        <f t="shared" si="1376"/>
        <v>-8</v>
      </c>
      <c r="CK724" s="1703">
        <f t="shared" si="1376"/>
        <v>3</v>
      </c>
      <c r="CL724" s="1703">
        <f t="shared" si="1376"/>
        <v>580</v>
      </c>
      <c r="CM724" s="1703">
        <f t="shared" si="1376"/>
        <v>399</v>
      </c>
      <c r="CN724" s="1801">
        <f t="shared" si="1376"/>
        <v>-220</v>
      </c>
      <c r="CO724" s="1704">
        <f t="shared" si="1376"/>
        <v>762</v>
      </c>
      <c r="CP724" s="1703">
        <f t="shared" si="1376"/>
        <v>-120</v>
      </c>
      <c r="CQ724" s="1703">
        <f t="shared" si="1376"/>
        <v>-240</v>
      </c>
      <c r="CR724" s="1703">
        <f t="shared" si="1376"/>
        <v>10</v>
      </c>
      <c r="CS724" s="1703">
        <f t="shared" si="1376"/>
        <v>-125</v>
      </c>
      <c r="CT724" s="1704">
        <f t="shared" si="1376"/>
        <v>-475</v>
      </c>
      <c r="CU724" s="1703">
        <f t="shared" ca="1" si="1376"/>
        <v>-92.010750306376679</v>
      </c>
      <c r="CV724" s="1703">
        <f t="shared" ca="1" si="1376"/>
        <v>-124.02337290904725</v>
      </c>
      <c r="CW724" s="1703">
        <f t="shared" ca="1" si="1376"/>
        <v>21.568877748728482</v>
      </c>
      <c r="CX724" s="1703">
        <f t="shared" ca="1" si="1376"/>
        <v>-105.80384175782478</v>
      </c>
      <c r="CY724" s="2292">
        <f t="shared" ca="1" si="1376"/>
        <v>-300.26908722452299</v>
      </c>
      <c r="CZ724" s="1704">
        <f t="shared" ca="1" si="1376"/>
        <v>41.12315875049535</v>
      </c>
      <c r="DA724" s="1704">
        <f t="shared" ca="1" si="1376"/>
        <v>128.42311302452936</v>
      </c>
      <c r="DB724"/>
      <c r="DC724"/>
      <c r="DD724" s="2314" t="s">
        <v>896</v>
      </c>
      <c r="DE724" s="2292">
        <f>M724</f>
        <v>-155</v>
      </c>
      <c r="DF724" s="2292">
        <f>R724</f>
        <v>483</v>
      </c>
      <c r="DG724" s="2292">
        <f>W724</f>
        <v>-619</v>
      </c>
      <c r="DH724" s="2292">
        <f>AB724</f>
        <v>31</v>
      </c>
      <c r="DI724" s="2292">
        <f>AG724</f>
        <v>541</v>
      </c>
      <c r="DJ724" s="2292">
        <f>AL724</f>
        <v>-569</v>
      </c>
      <c r="DK724" s="2292">
        <f>AQ724</f>
        <v>-10</v>
      </c>
      <c r="DL724" s="2292">
        <f>AV724</f>
        <v>141</v>
      </c>
      <c r="DM724" s="2292">
        <f>BA724</f>
        <v>-198</v>
      </c>
      <c r="DN724" s="2292">
        <f>BF724</f>
        <v>-19</v>
      </c>
      <c r="DO724" s="2292">
        <f>BK724</f>
        <v>390</v>
      </c>
      <c r="DP724" s="2292">
        <f>BP724</f>
        <v>-403</v>
      </c>
      <c r="DQ724" s="2292">
        <f>BU724</f>
        <v>-14</v>
      </c>
      <c r="DR724" s="2292">
        <f>BZ724</f>
        <v>38</v>
      </c>
      <c r="DS724" s="2292">
        <f>CE724</f>
        <v>-22</v>
      </c>
      <c r="DT724" s="2292">
        <f>CJ724</f>
        <v>-8</v>
      </c>
      <c r="DU724" s="2292">
        <f>CO724</f>
        <v>762</v>
      </c>
      <c r="DV724" s="2292">
        <f>CT724</f>
        <v>-475</v>
      </c>
      <c r="DW724" s="2292">
        <f t="shared" ref="DW724:DY726" ca="1" si="1377">CY724</f>
        <v>-300.26908722452299</v>
      </c>
      <c r="DX724" s="2292">
        <f t="shared" ca="1" si="1377"/>
        <v>41.12315875049535</v>
      </c>
      <c r="DY724" s="2292">
        <f t="shared" ca="1" si="1377"/>
        <v>128.42311302452936</v>
      </c>
      <c r="EA724"/>
      <c r="EB724"/>
      <c r="EC724"/>
      <c r="ED724"/>
      <c r="EE724"/>
      <c r="EF724"/>
      <c r="EJ724"/>
      <c r="EK724"/>
      <c r="EL724"/>
      <c r="ER724" s="212"/>
    </row>
    <row r="725" spans="1:148" s="923" customFormat="1" x14ac:dyDescent="0.2">
      <c r="A725" s="1131" t="s">
        <v>895</v>
      </c>
      <c r="B725" s="216"/>
      <c r="C725" s="216"/>
      <c r="D725" s="216"/>
      <c r="E725" s="216"/>
      <c r="F725" s="216"/>
      <c r="G725" s="216"/>
      <c r="H725" s="216"/>
      <c r="I725" s="216">
        <f>H726</f>
        <v>489</v>
      </c>
      <c r="J725" s="216">
        <f>I745</f>
        <v>372</v>
      </c>
      <c r="K725" s="216">
        <f>J745</f>
        <v>410</v>
      </c>
      <c r="L725" s="216">
        <f>K745</f>
        <v>378</v>
      </c>
      <c r="M725" s="970">
        <f>H726</f>
        <v>489</v>
      </c>
      <c r="N725" s="216">
        <f>M745</f>
        <v>334</v>
      </c>
      <c r="O725" s="216">
        <f>N745</f>
        <v>370</v>
      </c>
      <c r="P725" s="216">
        <f>O745</f>
        <v>674</v>
      </c>
      <c r="Q725" s="216">
        <f>P745</f>
        <v>874</v>
      </c>
      <c r="R725" s="970">
        <f>M745</f>
        <v>334</v>
      </c>
      <c r="S725" s="216">
        <f>R745</f>
        <v>817</v>
      </c>
      <c r="T725" s="216">
        <f>S745</f>
        <v>190</v>
      </c>
      <c r="U725" s="216">
        <f>T745</f>
        <v>200</v>
      </c>
      <c r="V725" s="216">
        <f>U745</f>
        <v>311</v>
      </c>
      <c r="W725" s="970">
        <f>R745</f>
        <v>817</v>
      </c>
      <c r="X725" s="216">
        <f>W745</f>
        <v>198</v>
      </c>
      <c r="Y725" s="216">
        <f>X745</f>
        <v>525</v>
      </c>
      <c r="Z725" s="216">
        <f>Y745</f>
        <v>144</v>
      </c>
      <c r="AA725" s="216">
        <f>Z745</f>
        <v>113</v>
      </c>
      <c r="AB725" s="970">
        <f>W745</f>
        <v>198</v>
      </c>
      <c r="AC725" s="216">
        <f>AB745</f>
        <v>229</v>
      </c>
      <c r="AD725" s="216">
        <f>AC745</f>
        <v>203</v>
      </c>
      <c r="AE725" s="216">
        <f>AD745</f>
        <v>164</v>
      </c>
      <c r="AF725" s="216">
        <f>AE745</f>
        <v>202</v>
      </c>
      <c r="AG725" s="970">
        <f>AB745</f>
        <v>229</v>
      </c>
      <c r="AH725" s="216">
        <f>AG745</f>
        <v>770</v>
      </c>
      <c r="AI725" s="216">
        <f>AH745</f>
        <v>377</v>
      </c>
      <c r="AJ725" s="216">
        <f>AI745</f>
        <v>471</v>
      </c>
      <c r="AK725" s="216">
        <f>AJ745</f>
        <v>161</v>
      </c>
      <c r="AL725" s="970">
        <f>AG745</f>
        <v>770</v>
      </c>
      <c r="AM725" s="216">
        <f>AL745</f>
        <v>201</v>
      </c>
      <c r="AN725" s="216">
        <f>AM745</f>
        <v>170</v>
      </c>
      <c r="AO725" s="216">
        <f>AN745</f>
        <v>362</v>
      </c>
      <c r="AP725" s="216">
        <f>AO745</f>
        <v>134</v>
      </c>
      <c r="AQ725" s="970">
        <f>AL745</f>
        <v>201</v>
      </c>
      <c r="AR725" s="216">
        <f>AQ745</f>
        <v>191</v>
      </c>
      <c r="AS725" s="216">
        <f>AR745</f>
        <v>122</v>
      </c>
      <c r="AT725" s="216">
        <f>AS745</f>
        <v>149</v>
      </c>
      <c r="AU725" s="216">
        <f>AT745</f>
        <v>206</v>
      </c>
      <c r="AV725" s="970">
        <f>AQ745</f>
        <v>191</v>
      </c>
      <c r="AW725" s="216">
        <f>AV745</f>
        <v>332</v>
      </c>
      <c r="AX725" s="216">
        <f>AW745</f>
        <v>314</v>
      </c>
      <c r="AY725" s="216">
        <f>AX745</f>
        <v>125</v>
      </c>
      <c r="AZ725" s="216">
        <f>AY745</f>
        <v>117</v>
      </c>
      <c r="BA725" s="970">
        <f>AV745</f>
        <v>332</v>
      </c>
      <c r="BB725" s="216">
        <f>BA745</f>
        <v>134</v>
      </c>
      <c r="BC725" s="216">
        <f>BB745</f>
        <v>168</v>
      </c>
      <c r="BD725" s="216">
        <f>BC745</f>
        <v>125</v>
      </c>
      <c r="BE725" s="216">
        <f>BD745</f>
        <v>130</v>
      </c>
      <c r="BF725" s="970">
        <f>BA745</f>
        <v>134</v>
      </c>
      <c r="BG725" s="216">
        <f>BE745</f>
        <v>115</v>
      </c>
      <c r="BH725" s="216">
        <f>BG745</f>
        <v>118</v>
      </c>
      <c r="BI725" s="216">
        <f>BH745</f>
        <v>100</v>
      </c>
      <c r="BJ725" s="216">
        <f>BI745</f>
        <v>223</v>
      </c>
      <c r="BK725" s="970">
        <f>BF745</f>
        <v>115</v>
      </c>
      <c r="BL725" s="216">
        <f>BK745</f>
        <v>505</v>
      </c>
      <c r="BM725" s="216">
        <f>BL745</f>
        <v>144</v>
      </c>
      <c r="BN725" s="216">
        <f>BM745</f>
        <v>117</v>
      </c>
      <c r="BO725" s="216">
        <f>BN745</f>
        <v>220</v>
      </c>
      <c r="BP725" s="970">
        <f>BK745</f>
        <v>505</v>
      </c>
      <c r="BQ725" s="216">
        <f>BP745</f>
        <v>102</v>
      </c>
      <c r="BR725" s="216">
        <f>BQ745</f>
        <v>290</v>
      </c>
      <c r="BS725" s="216">
        <f>BR745</f>
        <v>105</v>
      </c>
      <c r="BT725" s="216">
        <f>BS745</f>
        <v>105</v>
      </c>
      <c r="BU725" s="970">
        <f>BP745</f>
        <v>102</v>
      </c>
      <c r="BV725" s="216">
        <f>BU745</f>
        <v>88</v>
      </c>
      <c r="BW725" s="216">
        <f>BV745</f>
        <v>221</v>
      </c>
      <c r="BX725" s="216">
        <f>BW745</f>
        <v>108</v>
      </c>
      <c r="BY725" s="216">
        <f>BX745</f>
        <v>144</v>
      </c>
      <c r="BZ725" s="970">
        <f>BU745</f>
        <v>88</v>
      </c>
      <c r="CA725" s="216">
        <f>BZ745</f>
        <v>126</v>
      </c>
      <c r="CB725" s="216">
        <f>CA745</f>
        <v>184</v>
      </c>
      <c r="CC725" s="216">
        <f>CB745</f>
        <v>192</v>
      </c>
      <c r="CD725" s="1782">
        <f>CC745</f>
        <v>150</v>
      </c>
      <c r="CE725" s="970">
        <f>BZ745</f>
        <v>126</v>
      </c>
      <c r="CF725" s="216">
        <f>CE745</f>
        <v>104</v>
      </c>
      <c r="CG725" s="216">
        <f>CF745</f>
        <v>120</v>
      </c>
      <c r="CH725" s="216">
        <f>CG745</f>
        <v>140</v>
      </c>
      <c r="CI725" s="1782">
        <f>CH745</f>
        <v>95</v>
      </c>
      <c r="CJ725" s="970">
        <f>CE745</f>
        <v>104</v>
      </c>
      <c r="CK725" s="216">
        <f>CJ745</f>
        <v>96</v>
      </c>
      <c r="CL725" s="216">
        <f>CK745</f>
        <v>99</v>
      </c>
      <c r="CM725" s="216">
        <f>CL745</f>
        <v>679</v>
      </c>
      <c r="CN725" s="1782">
        <f>CM745</f>
        <v>1078</v>
      </c>
      <c r="CO725" s="970">
        <f>CJ745</f>
        <v>96</v>
      </c>
      <c r="CP725" s="216">
        <f>CO745</f>
        <v>858</v>
      </c>
      <c r="CQ725" s="216">
        <f>CP745</f>
        <v>738</v>
      </c>
      <c r="CR725" s="216">
        <f>CQ745</f>
        <v>498</v>
      </c>
      <c r="CS725" s="1782">
        <f>CR745</f>
        <v>508</v>
      </c>
      <c r="CT725" s="970">
        <f>CO745</f>
        <v>858</v>
      </c>
      <c r="CU725" s="216">
        <f>CT745</f>
        <v>383</v>
      </c>
      <c r="CV725" s="216">
        <f ca="1">CU745</f>
        <v>290.98924969362332</v>
      </c>
      <c r="CW725" s="216">
        <f ca="1">CV745</f>
        <v>166.96587678457607</v>
      </c>
      <c r="CX725" s="216">
        <f ca="1">CW745</f>
        <v>188.53475453330455</v>
      </c>
      <c r="CY725" s="970">
        <f>CT745</f>
        <v>383</v>
      </c>
      <c r="CZ725" s="970">
        <f ca="1">CY745</f>
        <v>82.730912775479766</v>
      </c>
      <c r="DA725" s="970">
        <f ca="1">CZ745</f>
        <v>123.85407152597512</v>
      </c>
      <c r="DB725"/>
      <c r="DC725"/>
      <c r="DD725" s="1131" t="s">
        <v>895</v>
      </c>
      <c r="DE725" s="970">
        <f>M725</f>
        <v>489</v>
      </c>
      <c r="DF725" s="970">
        <f>R725</f>
        <v>334</v>
      </c>
      <c r="DG725" s="970">
        <f>W725</f>
        <v>817</v>
      </c>
      <c r="DH725" s="970">
        <f>AB725</f>
        <v>198</v>
      </c>
      <c r="DI725" s="970">
        <f>AG725</f>
        <v>229</v>
      </c>
      <c r="DJ725" s="970">
        <f>AL725</f>
        <v>770</v>
      </c>
      <c r="DK725" s="970">
        <f>AQ725</f>
        <v>201</v>
      </c>
      <c r="DL725" s="970">
        <f>AV725</f>
        <v>191</v>
      </c>
      <c r="DM725" s="970">
        <f>BA725</f>
        <v>332</v>
      </c>
      <c r="DN725" s="970">
        <f>BF725</f>
        <v>134</v>
      </c>
      <c r="DO725" s="970">
        <f>BK725</f>
        <v>115</v>
      </c>
      <c r="DP725" s="970">
        <f>BP725</f>
        <v>505</v>
      </c>
      <c r="DQ725" s="970">
        <f>BU725</f>
        <v>102</v>
      </c>
      <c r="DR725" s="970">
        <f>BZ725</f>
        <v>88</v>
      </c>
      <c r="DS725" s="970">
        <f>CE725</f>
        <v>126</v>
      </c>
      <c r="DT725" s="970">
        <f>CJ725</f>
        <v>104</v>
      </c>
      <c r="DU725" s="970">
        <f>CO725</f>
        <v>96</v>
      </c>
      <c r="DV725" s="970">
        <f>CT725</f>
        <v>858</v>
      </c>
      <c r="DW725" s="970">
        <f t="shared" si="1377"/>
        <v>383</v>
      </c>
      <c r="DX725" s="970">
        <f t="shared" ca="1" si="1377"/>
        <v>82.730912775479766</v>
      </c>
      <c r="DY725" s="970">
        <f t="shared" ca="1" si="1377"/>
        <v>123.85407152597512</v>
      </c>
      <c r="EA725"/>
      <c r="EB725"/>
      <c r="EC725"/>
      <c r="ED725"/>
      <c r="EE725"/>
      <c r="EF725"/>
      <c r="EJ725"/>
      <c r="EK725"/>
      <c r="EL725"/>
      <c r="ER725" s="212"/>
    </row>
    <row r="726" spans="1:148" s="1703" customFormat="1" x14ac:dyDescent="0.2">
      <c r="A726" s="2208" t="s">
        <v>859</v>
      </c>
      <c r="B726" s="1728"/>
      <c r="C726" s="1728"/>
      <c r="D726" s="1728"/>
      <c r="E726" s="1728"/>
      <c r="F726" s="1728"/>
      <c r="G726" s="1728"/>
      <c r="H726" s="1728">
        <v>489</v>
      </c>
      <c r="I726" s="1728">
        <f t="shared" ref="I726:AN726" si="1378">I724+I725</f>
        <v>372</v>
      </c>
      <c r="J726" s="1728">
        <f t="shared" si="1378"/>
        <v>410</v>
      </c>
      <c r="K726" s="1728">
        <f t="shared" si="1378"/>
        <v>378</v>
      </c>
      <c r="L726" s="1728">
        <f t="shared" si="1378"/>
        <v>334</v>
      </c>
      <c r="M726" s="1727">
        <f t="shared" si="1378"/>
        <v>334</v>
      </c>
      <c r="N726" s="1728">
        <f t="shared" si="1378"/>
        <v>370</v>
      </c>
      <c r="O726" s="1728">
        <f t="shared" si="1378"/>
        <v>674</v>
      </c>
      <c r="P726" s="1728">
        <f t="shared" si="1378"/>
        <v>874</v>
      </c>
      <c r="Q726" s="1728">
        <f t="shared" si="1378"/>
        <v>817</v>
      </c>
      <c r="R726" s="1727">
        <f t="shared" si="1378"/>
        <v>817</v>
      </c>
      <c r="S726" s="1728">
        <f t="shared" si="1378"/>
        <v>190</v>
      </c>
      <c r="T726" s="1728">
        <f t="shared" si="1378"/>
        <v>200</v>
      </c>
      <c r="U726" s="1728">
        <f t="shared" si="1378"/>
        <v>311</v>
      </c>
      <c r="V726" s="1728">
        <f t="shared" si="1378"/>
        <v>198</v>
      </c>
      <c r="W726" s="1727">
        <f t="shared" si="1378"/>
        <v>198</v>
      </c>
      <c r="X726" s="1728">
        <f t="shared" si="1378"/>
        <v>525</v>
      </c>
      <c r="Y726" s="1728">
        <f t="shared" si="1378"/>
        <v>144</v>
      </c>
      <c r="Z726" s="1728">
        <f t="shared" si="1378"/>
        <v>113</v>
      </c>
      <c r="AA726" s="1728">
        <f t="shared" si="1378"/>
        <v>229</v>
      </c>
      <c r="AB726" s="1727">
        <f t="shared" si="1378"/>
        <v>229</v>
      </c>
      <c r="AC726" s="1728">
        <f t="shared" si="1378"/>
        <v>203</v>
      </c>
      <c r="AD726" s="1728">
        <f t="shared" si="1378"/>
        <v>164</v>
      </c>
      <c r="AE726" s="1728">
        <f t="shared" si="1378"/>
        <v>202</v>
      </c>
      <c r="AF726" s="1728">
        <f t="shared" si="1378"/>
        <v>770</v>
      </c>
      <c r="AG726" s="1727">
        <f t="shared" si="1378"/>
        <v>770</v>
      </c>
      <c r="AH726" s="1728">
        <f t="shared" si="1378"/>
        <v>377</v>
      </c>
      <c r="AI726" s="1728">
        <f t="shared" si="1378"/>
        <v>471</v>
      </c>
      <c r="AJ726" s="1728">
        <f t="shared" si="1378"/>
        <v>161</v>
      </c>
      <c r="AK726" s="1728">
        <f t="shared" si="1378"/>
        <v>201</v>
      </c>
      <c r="AL726" s="1727">
        <f t="shared" si="1378"/>
        <v>201</v>
      </c>
      <c r="AM726" s="1728">
        <f t="shared" si="1378"/>
        <v>169.99999999999994</v>
      </c>
      <c r="AN726" s="1728">
        <f t="shared" si="1378"/>
        <v>362</v>
      </c>
      <c r="AO726" s="1728">
        <f t="shared" ref="AO726:BU726" si="1379">AO724+AO725</f>
        <v>134</v>
      </c>
      <c r="AP726" s="1728">
        <f t="shared" si="1379"/>
        <v>191</v>
      </c>
      <c r="AQ726" s="1727">
        <f t="shared" si="1379"/>
        <v>191</v>
      </c>
      <c r="AR726" s="1728">
        <f t="shared" si="1379"/>
        <v>122</v>
      </c>
      <c r="AS726" s="1728">
        <f t="shared" si="1379"/>
        <v>149</v>
      </c>
      <c r="AT726" s="1728">
        <f t="shared" si="1379"/>
        <v>206</v>
      </c>
      <c r="AU726" s="1728">
        <f t="shared" si="1379"/>
        <v>332</v>
      </c>
      <c r="AV726" s="1727">
        <f t="shared" si="1379"/>
        <v>332</v>
      </c>
      <c r="AW726" s="1728">
        <f t="shared" si="1379"/>
        <v>314</v>
      </c>
      <c r="AX726" s="1728">
        <f t="shared" si="1379"/>
        <v>125</v>
      </c>
      <c r="AY726" s="1728">
        <f t="shared" si="1379"/>
        <v>117</v>
      </c>
      <c r="AZ726" s="1728">
        <f t="shared" si="1379"/>
        <v>134</v>
      </c>
      <c r="BA726" s="1727">
        <f t="shared" si="1379"/>
        <v>134</v>
      </c>
      <c r="BB726" s="1728">
        <f t="shared" si="1379"/>
        <v>168</v>
      </c>
      <c r="BC726" s="1728">
        <f t="shared" si="1379"/>
        <v>125</v>
      </c>
      <c r="BD726" s="1728">
        <f t="shared" si="1379"/>
        <v>130</v>
      </c>
      <c r="BE726" s="1728">
        <f t="shared" si="1379"/>
        <v>115</v>
      </c>
      <c r="BF726" s="1727">
        <f t="shared" si="1379"/>
        <v>115</v>
      </c>
      <c r="BG726" s="1728">
        <f t="shared" si="1379"/>
        <v>118</v>
      </c>
      <c r="BH726" s="1728">
        <f t="shared" si="1379"/>
        <v>100</v>
      </c>
      <c r="BI726" s="1728">
        <f t="shared" si="1379"/>
        <v>223</v>
      </c>
      <c r="BJ726" s="1728">
        <f t="shared" si="1379"/>
        <v>505</v>
      </c>
      <c r="BK726" s="1727">
        <f t="shared" si="1379"/>
        <v>505</v>
      </c>
      <c r="BL726" s="1728">
        <f>BL724+BL725</f>
        <v>144</v>
      </c>
      <c r="BM726" s="1728">
        <f>BM724+BM725</f>
        <v>117</v>
      </c>
      <c r="BN726" s="1728">
        <f t="shared" si="1379"/>
        <v>220</v>
      </c>
      <c r="BO726" s="1728">
        <f t="shared" si="1379"/>
        <v>102</v>
      </c>
      <c r="BP726" s="1727">
        <f t="shared" si="1379"/>
        <v>102</v>
      </c>
      <c r="BQ726" s="1728">
        <f t="shared" si="1379"/>
        <v>290</v>
      </c>
      <c r="BR726" s="1728">
        <f>BR724+BR725</f>
        <v>105</v>
      </c>
      <c r="BS726" s="1728">
        <f>BS724+BS725</f>
        <v>105</v>
      </c>
      <c r="BT726" s="1728">
        <f>BT724+BT725</f>
        <v>88</v>
      </c>
      <c r="BU726" s="1727">
        <f t="shared" si="1379"/>
        <v>88</v>
      </c>
      <c r="BV726" s="1728">
        <f t="shared" ref="BV726:CE726" si="1380">BV724+BV725</f>
        <v>221</v>
      </c>
      <c r="BW726" s="1728">
        <f t="shared" si="1380"/>
        <v>108</v>
      </c>
      <c r="BX726" s="1728">
        <f t="shared" si="1380"/>
        <v>144</v>
      </c>
      <c r="BY726" s="1728">
        <f>BY724+BY725</f>
        <v>126</v>
      </c>
      <c r="BZ726" s="1727">
        <f>BZ724+BZ725</f>
        <v>126</v>
      </c>
      <c r="CA726" s="1728">
        <f t="shared" si="1380"/>
        <v>184</v>
      </c>
      <c r="CB726" s="1728">
        <f t="shared" si="1380"/>
        <v>192</v>
      </c>
      <c r="CC726" s="1728">
        <f t="shared" si="1380"/>
        <v>150</v>
      </c>
      <c r="CD726" s="1827">
        <f t="shared" si="1380"/>
        <v>104</v>
      </c>
      <c r="CE726" s="1727">
        <f t="shared" si="1380"/>
        <v>104</v>
      </c>
      <c r="CF726" s="1728">
        <f>CF724+CF725</f>
        <v>120</v>
      </c>
      <c r="CG726" s="1728">
        <f>CG724+CG725</f>
        <v>140</v>
      </c>
      <c r="CH726" s="1728">
        <f>CH724+CH725</f>
        <v>95</v>
      </c>
      <c r="CI726" s="1827">
        <f>CI724+CI725</f>
        <v>96</v>
      </c>
      <c r="CJ726" s="1727">
        <f>CJ724+CJ725</f>
        <v>96</v>
      </c>
      <c r="CK726" s="1728">
        <f t="shared" ref="CK726:CT726" si="1381">CK724+CK725</f>
        <v>99</v>
      </c>
      <c r="CL726" s="1728">
        <f t="shared" si="1381"/>
        <v>679</v>
      </c>
      <c r="CM726" s="1728">
        <f t="shared" si="1381"/>
        <v>1078</v>
      </c>
      <c r="CN726" s="1827">
        <f t="shared" si="1381"/>
        <v>858</v>
      </c>
      <c r="CO726" s="1727">
        <f t="shared" si="1381"/>
        <v>858</v>
      </c>
      <c r="CP726" s="1728">
        <f t="shared" si="1381"/>
        <v>738</v>
      </c>
      <c r="CQ726" s="1728">
        <f t="shared" si="1381"/>
        <v>498</v>
      </c>
      <c r="CR726" s="1728">
        <f t="shared" si="1381"/>
        <v>508</v>
      </c>
      <c r="CS726" s="1728">
        <f>CS724+CS725</f>
        <v>383</v>
      </c>
      <c r="CT726" s="1727">
        <f t="shared" si="1381"/>
        <v>383</v>
      </c>
      <c r="CU726" s="1728">
        <f t="shared" ref="CU726:DA726" ca="1" si="1382">CU724+CU725</f>
        <v>290.98924969362332</v>
      </c>
      <c r="CV726" s="1728">
        <f t="shared" ca="1" si="1382"/>
        <v>166.96587678457607</v>
      </c>
      <c r="CW726" s="1728">
        <f t="shared" ca="1" si="1382"/>
        <v>188.53475453330455</v>
      </c>
      <c r="CX726" s="1728">
        <f t="shared" ca="1" si="1382"/>
        <v>82.730912775479766</v>
      </c>
      <c r="CY726" s="1727">
        <f t="shared" ca="1" si="1382"/>
        <v>82.730912775477009</v>
      </c>
      <c r="CZ726" s="1727">
        <f t="shared" ca="1" si="1382"/>
        <v>123.85407152597512</v>
      </c>
      <c r="DA726" s="1727">
        <f t="shared" ca="1" si="1382"/>
        <v>252.27718455050447</v>
      </c>
      <c r="DB726"/>
      <c r="DC726"/>
      <c r="DD726" s="2208" t="s">
        <v>859</v>
      </c>
      <c r="DE726" s="1727">
        <f>M726</f>
        <v>334</v>
      </c>
      <c r="DF726" s="1727">
        <f>R726</f>
        <v>817</v>
      </c>
      <c r="DG726" s="1727">
        <f>W726</f>
        <v>198</v>
      </c>
      <c r="DH726" s="1727">
        <f>AB726</f>
        <v>229</v>
      </c>
      <c r="DI726" s="1727">
        <f>AG726</f>
        <v>770</v>
      </c>
      <c r="DJ726" s="1727">
        <f>AL726</f>
        <v>201</v>
      </c>
      <c r="DK726" s="1727">
        <f>AQ726</f>
        <v>191</v>
      </c>
      <c r="DL726" s="1727">
        <f>AV726</f>
        <v>332</v>
      </c>
      <c r="DM726" s="1727">
        <f>BA726</f>
        <v>134</v>
      </c>
      <c r="DN726" s="1727">
        <f>BF726</f>
        <v>115</v>
      </c>
      <c r="DO726" s="1727">
        <f>BK726</f>
        <v>505</v>
      </c>
      <c r="DP726" s="1727">
        <f>BP726</f>
        <v>102</v>
      </c>
      <c r="DQ726" s="1727">
        <f>BU726</f>
        <v>88</v>
      </c>
      <c r="DR726" s="1727">
        <f>BZ726</f>
        <v>126</v>
      </c>
      <c r="DS726" s="1727">
        <f>CE726</f>
        <v>104</v>
      </c>
      <c r="DT726" s="1727">
        <f>CJ726</f>
        <v>96</v>
      </c>
      <c r="DU726" s="1727">
        <f>CO726</f>
        <v>858</v>
      </c>
      <c r="DV726" s="1727">
        <f>CT726</f>
        <v>383</v>
      </c>
      <c r="DW726" s="1727">
        <f t="shared" ca="1" si="1377"/>
        <v>82.730912775477009</v>
      </c>
      <c r="DX726" s="1727">
        <f t="shared" ca="1" si="1377"/>
        <v>123.85407152597512</v>
      </c>
      <c r="DY726" s="1727">
        <f t="shared" ca="1" si="1377"/>
        <v>252.27718455050447</v>
      </c>
      <c r="EA726"/>
      <c r="EB726"/>
      <c r="EC726"/>
      <c r="ED726"/>
      <c r="EE726"/>
      <c r="EF726"/>
      <c r="EJ726"/>
      <c r="EK726"/>
      <c r="EL726"/>
      <c r="ER726" s="212"/>
    </row>
    <row r="727" spans="1:148" s="923" customFormat="1" x14ac:dyDescent="0.2">
      <c r="A727" s="865"/>
      <c r="B727" s="215"/>
      <c r="C727" s="215"/>
      <c r="D727" s="215"/>
      <c r="E727" s="215"/>
      <c r="F727" s="215"/>
      <c r="G727" s="215"/>
      <c r="H727" s="215"/>
      <c r="I727" s="215"/>
      <c r="J727" s="215"/>
      <c r="K727" s="215"/>
      <c r="L727" s="215"/>
      <c r="M727" s="215"/>
      <c r="N727" s="215"/>
      <c r="O727" s="215"/>
      <c r="P727" s="215"/>
      <c r="Q727" s="215"/>
      <c r="R727" s="215"/>
      <c r="S727" s="215"/>
      <c r="T727" s="215"/>
      <c r="U727" s="215"/>
      <c r="V727" s="215"/>
      <c r="W727" s="215"/>
      <c r="X727" s="215"/>
      <c r="Y727" s="215"/>
      <c r="Z727" s="215"/>
      <c r="AA727" s="215"/>
      <c r="AB727" s="215"/>
      <c r="AC727" s="215"/>
      <c r="AD727" s="215"/>
      <c r="AE727" s="215"/>
      <c r="AF727" s="215"/>
      <c r="AG727" s="215"/>
      <c r="AH727" s="215"/>
      <c r="AI727" s="215"/>
      <c r="AJ727" s="215"/>
      <c r="AK727" s="215"/>
      <c r="AL727" s="215"/>
      <c r="AM727" s="215"/>
      <c r="AN727" s="215"/>
      <c r="AO727" s="215"/>
      <c r="AP727" s="215"/>
      <c r="AQ727" s="215"/>
      <c r="AR727" s="215"/>
      <c r="AS727" s="215"/>
      <c r="AT727" s="215"/>
      <c r="AU727" s="215"/>
      <c r="AV727" s="215"/>
      <c r="AW727" s="215"/>
      <c r="AX727" s="215"/>
      <c r="AY727" s="215"/>
      <c r="AZ727" s="215"/>
      <c r="BA727" s="215"/>
      <c r="BB727" s="215"/>
      <c r="BC727" s="215"/>
      <c r="BD727" s="215"/>
      <c r="BE727" s="215"/>
      <c r="BF727" s="215"/>
      <c r="BG727" s="215"/>
      <c r="BH727" s="215"/>
      <c r="BI727" s="215"/>
      <c r="BJ727" s="215"/>
      <c r="BK727" s="215"/>
      <c r="BL727" s="215"/>
      <c r="BM727" s="215"/>
      <c r="BN727" s="215"/>
      <c r="BO727" s="215"/>
      <c r="BP727" s="215"/>
      <c r="BQ727" s="215"/>
      <c r="BR727" s="215"/>
      <c r="BS727" s="215"/>
      <c r="BT727" s="215"/>
      <c r="BU727" s="215"/>
      <c r="BV727" s="215"/>
      <c r="BW727" s="215"/>
      <c r="BX727" s="215"/>
      <c r="BY727" s="215"/>
      <c r="BZ727" s="215"/>
      <c r="CA727" s="215"/>
      <c r="CB727" s="215"/>
      <c r="CC727" s="215"/>
      <c r="CD727" s="215"/>
      <c r="CE727" s="215"/>
      <c r="CF727" s="215"/>
      <c r="CG727" s="215"/>
      <c r="CH727" s="215"/>
      <c r="CI727" s="215"/>
      <c r="CJ727" s="215"/>
      <c r="CK727" s="215"/>
      <c r="CL727" s="215"/>
      <c r="CM727" s="215"/>
      <c r="CN727" s="215"/>
      <c r="CO727" s="215"/>
      <c r="CP727" s="215"/>
      <c r="CQ727" s="215"/>
      <c r="CR727" s="215"/>
      <c r="CS727" s="215"/>
      <c r="CT727" s="215"/>
      <c r="CU727" s="215"/>
      <c r="CV727" s="215"/>
      <c r="CW727" s="215"/>
      <c r="CX727" s="215"/>
      <c r="CY727" s="215"/>
      <c r="CZ727" s="215"/>
      <c r="DA727" s="215"/>
      <c r="DB727"/>
      <c r="DC727"/>
      <c r="DD727" s="2323"/>
      <c r="DE727" s="2327"/>
      <c r="DF727" s="2327"/>
      <c r="DG727" s="2327"/>
      <c r="DH727" s="2327"/>
      <c r="DI727" s="2327"/>
      <c r="DJ727" s="2327"/>
      <c r="DK727" s="2327"/>
      <c r="DL727" s="2327"/>
      <c r="DM727" s="2327"/>
      <c r="DN727" s="2327"/>
      <c r="DO727" s="2327"/>
      <c r="DP727" s="2327"/>
      <c r="DQ727" s="2327"/>
      <c r="DR727" s="2327"/>
      <c r="DS727" s="2327"/>
      <c r="DT727" s="2327"/>
      <c r="DU727" s="2327"/>
      <c r="DV727" s="2327"/>
      <c r="DW727" s="2327"/>
      <c r="DX727" s="2327"/>
      <c r="DY727" s="2327"/>
      <c r="EA727"/>
      <c r="EB727"/>
      <c r="EC727"/>
      <c r="ED727"/>
      <c r="EE727"/>
      <c r="EF727"/>
      <c r="EJ727"/>
      <c r="EK727"/>
      <c r="EL727"/>
      <c r="ER727" s="212"/>
    </row>
    <row r="728" spans="1:148" s="923" customFormat="1" ht="12.75" hidden="1" customHeight="1" outlineLevel="1" x14ac:dyDescent="0.2">
      <c r="A728" s="865"/>
      <c r="B728" s="215"/>
      <c r="C728" s="215"/>
      <c r="D728" s="215"/>
      <c r="E728" s="215"/>
      <c r="F728" s="215"/>
      <c r="G728" s="215"/>
      <c r="H728" s="215"/>
      <c r="I728" s="215"/>
      <c r="J728" s="215"/>
      <c r="K728" s="215"/>
      <c r="L728" s="215"/>
      <c r="M728" s="215"/>
      <c r="N728" s="215"/>
      <c r="O728" s="215"/>
      <c r="P728" s="215"/>
      <c r="Q728" s="215"/>
      <c r="R728" s="215"/>
      <c r="S728" s="215"/>
      <c r="T728" s="215"/>
      <c r="U728" s="215"/>
      <c r="V728" s="215"/>
      <c r="W728" s="215"/>
      <c r="X728" s="215"/>
      <c r="Y728" s="215"/>
      <c r="Z728" s="215"/>
      <c r="AA728" s="215"/>
      <c r="AB728" s="215"/>
      <c r="AC728" s="215"/>
      <c r="AD728" s="215"/>
      <c r="AE728" s="215"/>
      <c r="AF728" s="215"/>
      <c r="AG728" s="215"/>
      <c r="AH728" s="215"/>
      <c r="AI728" s="215"/>
      <c r="AJ728" s="215"/>
      <c r="AK728" s="215"/>
      <c r="AL728" s="215"/>
      <c r="AM728" s="215"/>
      <c r="AN728" s="215"/>
      <c r="AO728" s="215"/>
      <c r="AP728" s="215"/>
      <c r="AQ728" s="215"/>
      <c r="AR728" s="215"/>
      <c r="AS728" s="215"/>
      <c r="AT728" s="215"/>
      <c r="AU728" s="215"/>
      <c r="AV728" s="215"/>
      <c r="AW728" s="215"/>
      <c r="AX728" s="215"/>
      <c r="AY728" s="215"/>
      <c r="AZ728" s="215"/>
      <c r="BA728" s="215"/>
      <c r="BB728" s="215"/>
      <c r="BC728" s="215"/>
      <c r="BD728" s="215"/>
      <c r="BE728" s="215"/>
      <c r="BF728" s="215"/>
      <c r="BG728" s="215"/>
      <c r="BH728" s="215"/>
      <c r="BI728" s="215"/>
      <c r="BJ728" s="215"/>
      <c r="BK728" s="215"/>
      <c r="BL728" s="215"/>
      <c r="BM728" s="215"/>
      <c r="BN728" s="215"/>
      <c r="BO728" s="215"/>
      <c r="BP728" s="215"/>
      <c r="BQ728" s="215"/>
      <c r="BR728" s="215"/>
      <c r="BS728" s="215"/>
      <c r="BT728" s="215"/>
      <c r="BU728" s="215"/>
      <c r="BV728" s="215"/>
      <c r="BW728" s="215"/>
      <c r="BX728" s="215"/>
      <c r="BY728" s="215"/>
      <c r="BZ728" s="215"/>
      <c r="CA728" s="215"/>
      <c r="CB728" s="215"/>
      <c r="CC728" s="215"/>
      <c r="CD728" s="215"/>
      <c r="CE728" s="215"/>
      <c r="CF728" s="215"/>
      <c r="CG728" s="215"/>
      <c r="CH728" s="215"/>
      <c r="CI728" s="215"/>
      <c r="CJ728" s="215"/>
      <c r="CK728" s="215"/>
      <c r="CL728" s="215"/>
      <c r="CM728" s="215"/>
      <c r="CN728" s="215"/>
      <c r="CO728" s="215"/>
      <c r="CP728" s="215"/>
      <c r="CQ728" s="215"/>
      <c r="CR728" s="215"/>
      <c r="CS728" s="215"/>
      <c r="CT728" s="215"/>
      <c r="CU728" s="215"/>
      <c r="CV728" s="215"/>
      <c r="CW728" s="215"/>
      <c r="CX728" s="215"/>
      <c r="CY728" s="215"/>
      <c r="CZ728" s="215"/>
      <c r="DA728" s="215"/>
      <c r="DB728"/>
      <c r="DC728"/>
      <c r="DD728" s="2323"/>
      <c r="DE728" s="2327"/>
      <c r="DF728" s="2327"/>
      <c r="DG728" s="2327"/>
      <c r="DH728" s="2327"/>
      <c r="DI728" s="2327"/>
      <c r="DJ728" s="2327"/>
      <c r="DK728" s="2327"/>
      <c r="DL728" s="2327"/>
      <c r="DM728" s="2327"/>
      <c r="DN728" s="2327"/>
      <c r="DO728" s="2327"/>
      <c r="DP728" s="2327"/>
      <c r="DQ728" s="2327"/>
      <c r="DR728" s="2327"/>
      <c r="DS728" s="2327"/>
      <c r="DT728" s="2327"/>
      <c r="DU728" s="2327"/>
      <c r="DV728" s="2327"/>
      <c r="DW728" s="2327"/>
      <c r="DX728" s="2327"/>
      <c r="DY728" s="2327"/>
      <c r="EA728"/>
      <c r="EB728"/>
      <c r="EC728"/>
      <c r="ED728"/>
      <c r="EE728"/>
      <c r="EF728"/>
      <c r="EJ728"/>
      <c r="EK728"/>
      <c r="EL728"/>
      <c r="ER728" s="212"/>
    </row>
    <row r="729" spans="1:148" s="923" customFormat="1" ht="12.75" hidden="1" customHeight="1" outlineLevel="1" x14ac:dyDescent="0.2">
      <c r="A729" s="878" t="s">
        <v>860</v>
      </c>
      <c r="B729" s="215"/>
      <c r="C729" s="215"/>
      <c r="D729" s="215"/>
      <c r="E729" s="215"/>
      <c r="F729" s="215"/>
      <c r="G729" s="215"/>
      <c r="H729" s="215"/>
      <c r="I729" s="215"/>
      <c r="J729" s="215"/>
      <c r="K729" s="215"/>
      <c r="L729" s="215"/>
      <c r="M729" s="215"/>
      <c r="N729" s="215"/>
      <c r="O729" s="215"/>
      <c r="P729" s="215"/>
      <c r="Q729" s="215"/>
      <c r="R729" s="215"/>
      <c r="S729" s="215"/>
      <c r="T729" s="215"/>
      <c r="U729" s="215"/>
      <c r="V729" s="215"/>
      <c r="W729" s="215"/>
      <c r="X729" s="215"/>
      <c r="Y729" s="215"/>
      <c r="Z729" s="215"/>
      <c r="AA729" s="215"/>
      <c r="AB729" s="215"/>
      <c r="AC729" s="215"/>
      <c r="AD729" s="215"/>
      <c r="AE729" s="215"/>
      <c r="AF729" s="215"/>
      <c r="AG729" s="215"/>
      <c r="AH729" s="215"/>
      <c r="AI729" s="215"/>
      <c r="AJ729" s="215"/>
      <c r="AK729" s="215"/>
      <c r="AL729" s="215"/>
      <c r="AM729" s="215"/>
      <c r="AN729" s="215"/>
      <c r="AO729" s="215"/>
      <c r="AP729" s="215"/>
      <c r="AQ729" s="215"/>
      <c r="AR729" s="215"/>
      <c r="AS729" s="215"/>
      <c r="AT729" s="215"/>
      <c r="AU729" s="215"/>
      <c r="AV729" s="215"/>
      <c r="AW729" s="215"/>
      <c r="AX729" s="215"/>
      <c r="AY729" s="215"/>
      <c r="AZ729" s="215"/>
      <c r="BA729" s="215"/>
      <c r="BB729" s="215"/>
      <c r="BC729" s="215"/>
      <c r="BD729" s="215"/>
      <c r="BE729" s="215"/>
      <c r="BF729" s="215"/>
      <c r="BG729" s="215"/>
      <c r="BH729" s="215"/>
      <c r="BI729" s="215"/>
      <c r="BJ729" s="215"/>
      <c r="BK729" s="215"/>
      <c r="BL729" s="215"/>
      <c r="BM729" s="215"/>
      <c r="BN729" s="215"/>
      <c r="BO729" s="215"/>
      <c r="BP729" s="215"/>
      <c r="BQ729" s="215"/>
      <c r="BR729" s="215"/>
      <c r="BS729" s="215"/>
      <c r="BT729" s="215"/>
      <c r="BU729" s="215"/>
      <c r="BV729" s="215"/>
      <c r="BW729" s="215"/>
      <c r="BX729" s="215"/>
      <c r="BY729" s="215"/>
      <c r="BZ729" s="215"/>
      <c r="CA729" s="215"/>
      <c r="CB729" s="215"/>
      <c r="CC729" s="215"/>
      <c r="CD729" s="215"/>
      <c r="CE729" s="215"/>
      <c r="CF729" s="215"/>
      <c r="CG729" s="215"/>
      <c r="CH729" s="215"/>
      <c r="CI729" s="215"/>
      <c r="CJ729" s="215"/>
      <c r="CK729" s="215"/>
      <c r="CL729" s="215"/>
      <c r="CM729" s="215"/>
      <c r="CN729" s="215"/>
      <c r="CO729" s="215"/>
      <c r="CP729" s="215"/>
      <c r="CQ729" s="215"/>
      <c r="CR729" s="215"/>
      <c r="CS729" s="215"/>
      <c r="CT729" s="215"/>
      <c r="CU729" s="215"/>
      <c r="CV729" s="215"/>
      <c r="CW729" s="215"/>
      <c r="CX729" s="215"/>
      <c r="CY729" s="215"/>
      <c r="CZ729" s="215"/>
      <c r="DA729" s="215"/>
      <c r="DB729"/>
      <c r="DC729"/>
      <c r="DD729" s="878" t="s">
        <v>860</v>
      </c>
      <c r="DE729" s="2327"/>
      <c r="DF729" s="2327"/>
      <c r="DG729" s="2327"/>
      <c r="DH729" s="2327"/>
      <c r="DI729" s="2327"/>
      <c r="DJ729" s="2327"/>
      <c r="DK729" s="2327"/>
      <c r="DL729" s="2327"/>
      <c r="DM729" s="2327"/>
      <c r="DN729" s="2327"/>
      <c r="DO729" s="2327"/>
      <c r="DP729" s="2327"/>
      <c r="DQ729" s="2327"/>
      <c r="DR729" s="2327"/>
      <c r="DS729" s="2327"/>
      <c r="DT729" s="2327"/>
      <c r="DU729" s="2327"/>
      <c r="DV729" s="2327"/>
      <c r="DW729" s="2327"/>
      <c r="DX729" s="2327"/>
      <c r="DY729" s="2327"/>
      <c r="EA729"/>
      <c r="EB729"/>
      <c r="EC729"/>
      <c r="ED729"/>
      <c r="EE729"/>
      <c r="EF729"/>
      <c r="EJ729"/>
      <c r="EK729"/>
      <c r="EL729"/>
      <c r="ER729" s="212"/>
    </row>
    <row r="730" spans="1:148" s="923" customFormat="1" ht="12.75" hidden="1" customHeight="1" outlineLevel="1" x14ac:dyDescent="0.2">
      <c r="A730" s="865" t="s">
        <v>861</v>
      </c>
      <c r="B730" s="215"/>
      <c r="C730" s="215"/>
      <c r="D730" s="215"/>
      <c r="E730" s="215"/>
      <c r="F730" s="215"/>
      <c r="G730" s="215"/>
      <c r="H730" s="215"/>
      <c r="I730" s="215"/>
      <c r="J730" s="215"/>
      <c r="K730" s="215"/>
      <c r="L730" s="215"/>
      <c r="M730" s="215"/>
      <c r="N730" s="215"/>
      <c r="O730" s="215"/>
      <c r="P730" s="215"/>
      <c r="Q730" s="215"/>
      <c r="R730" s="215"/>
      <c r="S730" s="215"/>
      <c r="T730" s="215"/>
      <c r="U730" s="215"/>
      <c r="V730" s="215"/>
      <c r="W730" s="215"/>
      <c r="X730" s="215"/>
      <c r="Y730" s="215"/>
      <c r="Z730" s="215"/>
      <c r="AA730" s="215"/>
      <c r="AB730" s="215"/>
      <c r="AC730" s="215">
        <v>-6</v>
      </c>
      <c r="AD730" s="215">
        <f>6-AC730</f>
        <v>12</v>
      </c>
      <c r="AE730" s="215">
        <f>45-AD730-AC730</f>
        <v>39</v>
      </c>
      <c r="AF730" s="215"/>
      <c r="AG730" s="215"/>
      <c r="AH730" s="215">
        <v>18</v>
      </c>
      <c r="AI730" s="215">
        <f>52-AH730</f>
        <v>34</v>
      </c>
      <c r="AJ730" s="215">
        <f>68-AI730-AH730</f>
        <v>16</v>
      </c>
      <c r="AK730" s="215">
        <f>40-AJ730-AI730-AH730</f>
        <v>-28</v>
      </c>
      <c r="AL730" s="215">
        <f t="shared" ref="AL730:AL737" si="1383">SUM(AH730:AK730)</f>
        <v>40</v>
      </c>
      <c r="AM730" s="215">
        <v>-34</v>
      </c>
      <c r="AN730" s="215">
        <f>-29-AM730</f>
        <v>5</v>
      </c>
      <c r="AO730" s="215">
        <f>-85-AN730-AM730</f>
        <v>-56</v>
      </c>
      <c r="AP730" s="215">
        <f>-83-AO730-AN730-AM730</f>
        <v>2</v>
      </c>
      <c r="AQ730" s="215">
        <f t="shared" ref="AQ730:AQ737" si="1384">SUM(AM730:AP730)</f>
        <v>-83</v>
      </c>
      <c r="AR730" s="215">
        <v>21</v>
      </c>
      <c r="AS730" s="215">
        <f>33-AR730</f>
        <v>12</v>
      </c>
      <c r="AT730" s="215">
        <f>6-AS730-AR730</f>
        <v>-27</v>
      </c>
      <c r="AU730" s="215">
        <f>-55-AT730-AS730-AR730</f>
        <v>-61</v>
      </c>
      <c r="AV730" s="215">
        <f t="shared" ref="AV730:AV737" si="1385">SUM(AR730:AU730)</f>
        <v>-55</v>
      </c>
      <c r="AW730" s="215"/>
      <c r="AX730" s="215"/>
      <c r="AY730" s="215"/>
      <c r="AZ730" s="215"/>
      <c r="BA730" s="215"/>
      <c r="BB730" s="215"/>
      <c r="BC730" s="215"/>
      <c r="BD730" s="215"/>
      <c r="BE730" s="215"/>
      <c r="BF730" s="215"/>
      <c r="BG730" s="215"/>
      <c r="BH730" s="215"/>
      <c r="BI730" s="215"/>
      <c r="BJ730" s="215"/>
      <c r="BK730" s="215"/>
      <c r="BL730" s="215"/>
      <c r="BM730" s="215"/>
      <c r="BN730" s="215"/>
      <c r="BO730" s="215"/>
      <c r="BP730" s="215"/>
      <c r="BQ730" s="215"/>
      <c r="BR730" s="215"/>
      <c r="BS730" s="215"/>
      <c r="BT730" s="215"/>
      <c r="BU730" s="215"/>
      <c r="BV730" s="215"/>
      <c r="BW730" s="215"/>
      <c r="BX730" s="215"/>
      <c r="BY730" s="215"/>
      <c r="BZ730" s="215"/>
      <c r="CA730" s="215"/>
      <c r="CB730" s="215"/>
      <c r="CC730" s="215"/>
      <c r="CD730" s="215"/>
      <c r="CE730" s="215"/>
      <c r="CF730" s="215"/>
      <c r="CG730" s="215"/>
      <c r="CH730" s="215"/>
      <c r="CI730" s="215"/>
      <c r="CJ730" s="215"/>
      <c r="CK730" s="215"/>
      <c r="CL730" s="215"/>
      <c r="CM730" s="215"/>
      <c r="CN730" s="215"/>
      <c r="CO730" s="215"/>
      <c r="CP730" s="215"/>
      <c r="CQ730" s="215"/>
      <c r="CR730" s="215"/>
      <c r="CS730" s="215"/>
      <c r="CT730" s="215"/>
      <c r="CU730" s="215"/>
      <c r="CV730" s="215"/>
      <c r="CW730" s="215"/>
      <c r="CX730" s="215"/>
      <c r="CY730" s="215"/>
      <c r="CZ730" s="215"/>
      <c r="DA730" s="215"/>
      <c r="DB730"/>
      <c r="DC730"/>
      <c r="DD730" s="2323" t="s">
        <v>861</v>
      </c>
      <c r="DE730" s="2327">
        <f t="shared" ref="DE730:DE739" si="1386">M730</f>
        <v>0</v>
      </c>
      <c r="DF730" s="2327">
        <f t="shared" ref="DF730:DF739" si="1387">R730</f>
        <v>0</v>
      </c>
      <c r="DG730" s="2327">
        <f t="shared" ref="DG730:DG739" si="1388">W730</f>
        <v>0</v>
      </c>
      <c r="DH730" s="2327">
        <f t="shared" ref="DH730:DH739" si="1389">AB730</f>
        <v>0</v>
      </c>
      <c r="DI730" s="2327">
        <f t="shared" ref="DI730:DI739" si="1390">AG730</f>
        <v>0</v>
      </c>
      <c r="DJ730" s="2327">
        <f t="shared" ref="DJ730:DJ739" si="1391">AL730</f>
        <v>40</v>
      </c>
      <c r="DK730" s="2327">
        <f t="shared" ref="DK730:DK739" si="1392">AQ730</f>
        <v>-83</v>
      </c>
      <c r="DL730" s="2327">
        <f t="shared" ref="DL730:DL739" si="1393">AV730</f>
        <v>-55</v>
      </c>
      <c r="DM730" s="2327">
        <f t="shared" ref="DM730:DM739" si="1394">BA730</f>
        <v>0</v>
      </c>
      <c r="DN730" s="2327">
        <f t="shared" ref="DN730:DN739" si="1395">BF730</f>
        <v>0</v>
      </c>
      <c r="DO730" s="2327">
        <f t="shared" ref="DO730:DO739" si="1396">BK730</f>
        <v>0</v>
      </c>
      <c r="DP730" s="2327">
        <f t="shared" ref="DP730:DP739" si="1397">BP730</f>
        <v>0</v>
      </c>
      <c r="DQ730" s="2327">
        <f t="shared" ref="DQ730:DQ739" si="1398">BU730</f>
        <v>0</v>
      </c>
      <c r="DR730" s="2327">
        <f t="shared" ref="DR730:DR739" si="1399">BZ730</f>
        <v>0</v>
      </c>
      <c r="DS730" s="2327">
        <f t="shared" ref="DS730:DS739" si="1400">CE730</f>
        <v>0</v>
      </c>
      <c r="DT730" s="2327">
        <f t="shared" ref="DT730:DT739" si="1401">CJ730</f>
        <v>0</v>
      </c>
      <c r="DU730" s="2327">
        <f t="shared" ref="DU730:DU739" si="1402">CO730</f>
        <v>0</v>
      </c>
      <c r="DV730" s="2327">
        <f t="shared" ref="DV730:DV739" si="1403">CT730</f>
        <v>0</v>
      </c>
      <c r="DW730" s="2327">
        <f t="shared" ref="DW730:DW739" si="1404">CY730</f>
        <v>0</v>
      </c>
      <c r="DX730" s="2327">
        <f t="shared" ref="DX730:DX739" si="1405">CZ730</f>
        <v>0</v>
      </c>
      <c r="DY730" s="2327">
        <f t="shared" ref="DY730:DY739" si="1406">DA730</f>
        <v>0</v>
      </c>
      <c r="EA730"/>
      <c r="EB730"/>
      <c r="EC730"/>
      <c r="ED730"/>
      <c r="EE730"/>
      <c r="EF730"/>
      <c r="EJ730"/>
      <c r="EK730"/>
      <c r="EL730"/>
      <c r="ER730" s="212"/>
    </row>
    <row r="731" spans="1:148" s="923" customFormat="1" ht="12.75" hidden="1" customHeight="1" outlineLevel="1" x14ac:dyDescent="0.2">
      <c r="A731" s="865" t="s">
        <v>862</v>
      </c>
      <c r="B731" s="215"/>
      <c r="C731" s="215"/>
      <c r="D731" s="215"/>
      <c r="E731" s="215"/>
      <c r="F731" s="215"/>
      <c r="G731" s="215"/>
      <c r="H731" s="215"/>
      <c r="I731" s="215"/>
      <c r="J731" s="215"/>
      <c r="K731" s="215"/>
      <c r="L731" s="215"/>
      <c r="M731" s="215"/>
      <c r="N731" s="215"/>
      <c r="O731" s="215"/>
      <c r="P731" s="215"/>
      <c r="Q731" s="215"/>
      <c r="R731" s="215"/>
      <c r="S731" s="215"/>
      <c r="T731" s="215"/>
      <c r="U731" s="215"/>
      <c r="V731" s="215"/>
      <c r="W731" s="215"/>
      <c r="X731" s="215"/>
      <c r="Y731" s="215"/>
      <c r="Z731" s="215"/>
      <c r="AA731" s="215"/>
      <c r="AB731" s="215"/>
      <c r="AC731" s="215">
        <v>-71</v>
      </c>
      <c r="AD731" s="215">
        <f>-160-AC731</f>
        <v>-89</v>
      </c>
      <c r="AE731" s="215">
        <f>-279-AD731-AC731</f>
        <v>-119</v>
      </c>
      <c r="AF731" s="215"/>
      <c r="AG731" s="215"/>
      <c r="AH731" s="215">
        <v>-85</v>
      </c>
      <c r="AI731" s="215">
        <f>-192-AH731</f>
        <v>-107</v>
      </c>
      <c r="AJ731" s="215">
        <f>-301-AI731-AH731</f>
        <v>-109</v>
      </c>
      <c r="AK731" s="215">
        <f>-441-AJ731-AI731-AH731</f>
        <v>-140</v>
      </c>
      <c r="AL731" s="215">
        <f t="shared" si="1383"/>
        <v>-441</v>
      </c>
      <c r="AM731" s="215">
        <v>-76</v>
      </c>
      <c r="AN731" s="215">
        <f>-188-AM731</f>
        <v>-112</v>
      </c>
      <c r="AO731" s="215">
        <f>-343-AN731-AM731</f>
        <v>-155</v>
      </c>
      <c r="AP731" s="215">
        <f>-537-AO731-AN731-AM731</f>
        <v>-194</v>
      </c>
      <c r="AQ731" s="215">
        <f t="shared" si="1384"/>
        <v>-537</v>
      </c>
      <c r="AR731" s="215">
        <v>-83</v>
      </c>
      <c r="AS731" s="215">
        <f>-210-AR731</f>
        <v>-127</v>
      </c>
      <c r="AT731" s="215">
        <f>-348-AS731-AR731</f>
        <v>-138</v>
      </c>
      <c r="AU731" s="215">
        <f>-559-AT731-AS731-AR731</f>
        <v>-211</v>
      </c>
      <c r="AV731" s="215">
        <f t="shared" si="1385"/>
        <v>-559</v>
      </c>
      <c r="AW731" s="215"/>
      <c r="AX731" s="215"/>
      <c r="AY731" s="215"/>
      <c r="AZ731" s="215"/>
      <c r="BA731" s="215"/>
      <c r="BB731" s="215"/>
      <c r="BC731" s="215"/>
      <c r="BD731" s="215"/>
      <c r="BE731" s="215"/>
      <c r="BF731" s="215"/>
      <c r="BG731" s="215"/>
      <c r="BH731" s="215"/>
      <c r="BI731" s="215"/>
      <c r="BJ731" s="215"/>
      <c r="BK731" s="215"/>
      <c r="BL731" s="215"/>
      <c r="BM731" s="215"/>
      <c r="BN731" s="215"/>
      <c r="BO731" s="215"/>
      <c r="BP731" s="215"/>
      <c r="BQ731" s="215"/>
      <c r="BR731" s="215"/>
      <c r="BS731" s="215"/>
      <c r="BT731" s="215"/>
      <c r="BU731" s="215"/>
      <c r="BV731" s="215"/>
      <c r="BW731" s="215"/>
      <c r="BX731" s="215"/>
      <c r="BY731" s="215"/>
      <c r="BZ731" s="215"/>
      <c r="CA731" s="215"/>
      <c r="CB731" s="215"/>
      <c r="CC731" s="215"/>
      <c r="CD731" s="215"/>
      <c r="CE731" s="215"/>
      <c r="CF731" s="215"/>
      <c r="CG731" s="215"/>
      <c r="CH731" s="215"/>
      <c r="CI731" s="215"/>
      <c r="CJ731" s="215"/>
      <c r="CK731" s="215"/>
      <c r="CL731" s="215"/>
      <c r="CM731" s="215"/>
      <c r="CN731" s="215"/>
      <c r="CO731" s="215"/>
      <c r="CP731" s="215"/>
      <c r="CQ731" s="215"/>
      <c r="CR731" s="215"/>
      <c r="CS731" s="215"/>
      <c r="CT731" s="215"/>
      <c r="CU731" s="215"/>
      <c r="CV731" s="215"/>
      <c r="CW731" s="215"/>
      <c r="CX731" s="215"/>
      <c r="CY731" s="215"/>
      <c r="CZ731" s="215"/>
      <c r="DA731" s="215"/>
      <c r="DB731"/>
      <c r="DC731"/>
      <c r="DD731" s="2323" t="s">
        <v>862</v>
      </c>
      <c r="DE731" s="2327">
        <f t="shared" si="1386"/>
        <v>0</v>
      </c>
      <c r="DF731" s="2327">
        <f t="shared" si="1387"/>
        <v>0</v>
      </c>
      <c r="DG731" s="2327">
        <f t="shared" si="1388"/>
        <v>0</v>
      </c>
      <c r="DH731" s="2327">
        <f t="shared" si="1389"/>
        <v>0</v>
      </c>
      <c r="DI731" s="2327">
        <f t="shared" si="1390"/>
        <v>0</v>
      </c>
      <c r="DJ731" s="2327">
        <f t="shared" si="1391"/>
        <v>-441</v>
      </c>
      <c r="DK731" s="2327">
        <f t="shared" si="1392"/>
        <v>-537</v>
      </c>
      <c r="DL731" s="2327">
        <f t="shared" si="1393"/>
        <v>-559</v>
      </c>
      <c r="DM731" s="2327">
        <f t="shared" si="1394"/>
        <v>0</v>
      </c>
      <c r="DN731" s="2327">
        <f t="shared" si="1395"/>
        <v>0</v>
      </c>
      <c r="DO731" s="2327">
        <f t="shared" si="1396"/>
        <v>0</v>
      </c>
      <c r="DP731" s="2327">
        <f t="shared" si="1397"/>
        <v>0</v>
      </c>
      <c r="DQ731" s="2327">
        <f t="shared" si="1398"/>
        <v>0</v>
      </c>
      <c r="DR731" s="2327">
        <f t="shared" si="1399"/>
        <v>0</v>
      </c>
      <c r="DS731" s="2327">
        <f t="shared" si="1400"/>
        <v>0</v>
      </c>
      <c r="DT731" s="2327">
        <f t="shared" si="1401"/>
        <v>0</v>
      </c>
      <c r="DU731" s="2327">
        <f t="shared" si="1402"/>
        <v>0</v>
      </c>
      <c r="DV731" s="2327">
        <f t="shared" si="1403"/>
        <v>0</v>
      </c>
      <c r="DW731" s="2327">
        <f t="shared" si="1404"/>
        <v>0</v>
      </c>
      <c r="DX731" s="2327">
        <f t="shared" si="1405"/>
        <v>0</v>
      </c>
      <c r="DY731" s="2327">
        <f t="shared" si="1406"/>
        <v>0</v>
      </c>
      <c r="EA731"/>
      <c r="EB731"/>
      <c r="EC731"/>
      <c r="ED731"/>
      <c r="EE731"/>
      <c r="EF731"/>
      <c r="EJ731"/>
      <c r="EK731"/>
      <c r="EL731"/>
      <c r="ER731" s="212"/>
    </row>
    <row r="732" spans="1:148" s="923" customFormat="1" ht="12.75" hidden="1" customHeight="1" outlineLevel="1" x14ac:dyDescent="0.2">
      <c r="A732" s="865" t="s">
        <v>863</v>
      </c>
      <c r="B732" s="215"/>
      <c r="C732" s="215"/>
      <c r="D732" s="215"/>
      <c r="E732" s="215"/>
      <c r="F732" s="215"/>
      <c r="G732" s="215"/>
      <c r="H732" s="215"/>
      <c r="I732" s="215"/>
      <c r="J732" s="215"/>
      <c r="K732" s="215"/>
      <c r="L732" s="215"/>
      <c r="M732" s="215"/>
      <c r="N732" s="215"/>
      <c r="O732" s="215"/>
      <c r="P732" s="215"/>
      <c r="Q732" s="215"/>
      <c r="R732" s="215"/>
      <c r="S732" s="215"/>
      <c r="T732" s="215"/>
      <c r="U732" s="215"/>
      <c r="V732" s="215"/>
      <c r="W732" s="215"/>
      <c r="X732" s="215"/>
      <c r="Y732" s="215"/>
      <c r="Z732" s="215"/>
      <c r="AA732" s="215"/>
      <c r="AB732" s="215"/>
      <c r="AC732" s="215">
        <v>-4</v>
      </c>
      <c r="AD732" s="215">
        <f>-8-AC732</f>
        <v>-4</v>
      </c>
      <c r="AE732" s="215">
        <f>-12-AD732-AC732</f>
        <v>-4</v>
      </c>
      <c r="AF732" s="215"/>
      <c r="AG732" s="215"/>
      <c r="AH732" s="215">
        <v>-4</v>
      </c>
      <c r="AI732" s="215">
        <f>-10-AH732</f>
        <v>-6</v>
      </c>
      <c r="AJ732" s="215">
        <f>-16-AI732-AH732</f>
        <v>-6</v>
      </c>
      <c r="AK732" s="215">
        <f>-23-AJ732-AI732-AH732</f>
        <v>-7</v>
      </c>
      <c r="AL732" s="215">
        <f t="shared" si="1383"/>
        <v>-23</v>
      </c>
      <c r="AM732" s="215">
        <v>-5</v>
      </c>
      <c r="AN732" s="215">
        <f>-11-AM732</f>
        <v>-6</v>
      </c>
      <c r="AO732" s="215">
        <f>-16-AN732-AM732</f>
        <v>-5</v>
      </c>
      <c r="AP732" s="215">
        <f>-55-AO732-AN732-AM732</f>
        <v>-39</v>
      </c>
      <c r="AQ732" s="215">
        <f t="shared" si="1384"/>
        <v>-55</v>
      </c>
      <c r="AR732" s="215">
        <v>-6</v>
      </c>
      <c r="AS732" s="215">
        <f>-13-AR732</f>
        <v>-7</v>
      </c>
      <c r="AT732" s="215">
        <f>-21-AS732-AR732</f>
        <v>-8</v>
      </c>
      <c r="AU732" s="215">
        <f>-30-AT732-AS732-AR732</f>
        <v>-9</v>
      </c>
      <c r="AV732" s="215">
        <f t="shared" si="1385"/>
        <v>-30</v>
      </c>
      <c r="AW732" s="215"/>
      <c r="AX732" s="215"/>
      <c r="AY732" s="215"/>
      <c r="AZ732" s="215"/>
      <c r="BA732" s="215"/>
      <c r="BB732" s="215"/>
      <c r="BC732" s="215"/>
      <c r="BD732" s="215"/>
      <c r="BE732" s="215"/>
      <c r="BF732" s="215"/>
      <c r="BG732" s="215"/>
      <c r="BH732" s="215"/>
      <c r="BI732" s="215"/>
      <c r="BJ732" s="215"/>
      <c r="BK732" s="215"/>
      <c r="BL732" s="215"/>
      <c r="BM732" s="215"/>
      <c r="BN732" s="215"/>
      <c r="BO732" s="215"/>
      <c r="BP732" s="215"/>
      <c r="BQ732" s="215"/>
      <c r="BR732" s="215"/>
      <c r="BS732" s="215"/>
      <c r="BT732" s="215"/>
      <c r="BU732" s="215"/>
      <c r="BV732" s="215"/>
      <c r="BW732" s="215"/>
      <c r="BX732" s="215"/>
      <c r="BY732" s="215"/>
      <c r="BZ732" s="215"/>
      <c r="CA732" s="215"/>
      <c r="CB732" s="215"/>
      <c r="CC732" s="215"/>
      <c r="CD732" s="215"/>
      <c r="CE732" s="215"/>
      <c r="CF732" s="215"/>
      <c r="CG732" s="215"/>
      <c r="CH732" s="215"/>
      <c r="CI732" s="215"/>
      <c r="CJ732" s="215"/>
      <c r="CK732" s="215"/>
      <c r="CL732" s="215"/>
      <c r="CM732" s="215"/>
      <c r="CN732" s="215"/>
      <c r="CO732" s="215"/>
      <c r="CP732" s="215"/>
      <c r="CQ732" s="215"/>
      <c r="CR732" s="215"/>
      <c r="CS732" s="215"/>
      <c r="CT732" s="215"/>
      <c r="CU732" s="215"/>
      <c r="CV732" s="215"/>
      <c r="CW732" s="215"/>
      <c r="CX732" s="215"/>
      <c r="CY732" s="215"/>
      <c r="CZ732" s="215"/>
      <c r="DA732" s="215"/>
      <c r="DB732"/>
      <c r="DC732"/>
      <c r="DD732" s="2323" t="s">
        <v>863</v>
      </c>
      <c r="DE732" s="2327">
        <f t="shared" si="1386"/>
        <v>0</v>
      </c>
      <c r="DF732" s="2327">
        <f t="shared" si="1387"/>
        <v>0</v>
      </c>
      <c r="DG732" s="2327">
        <f t="shared" si="1388"/>
        <v>0</v>
      </c>
      <c r="DH732" s="2327">
        <f t="shared" si="1389"/>
        <v>0</v>
      </c>
      <c r="DI732" s="2327">
        <f t="shared" si="1390"/>
        <v>0</v>
      </c>
      <c r="DJ732" s="2327">
        <f t="shared" si="1391"/>
        <v>-23</v>
      </c>
      <c r="DK732" s="2327">
        <f t="shared" si="1392"/>
        <v>-55</v>
      </c>
      <c r="DL732" s="2327">
        <f t="shared" si="1393"/>
        <v>-30</v>
      </c>
      <c r="DM732" s="2327">
        <f t="shared" si="1394"/>
        <v>0</v>
      </c>
      <c r="DN732" s="2327">
        <f t="shared" si="1395"/>
        <v>0</v>
      </c>
      <c r="DO732" s="2327">
        <f t="shared" si="1396"/>
        <v>0</v>
      </c>
      <c r="DP732" s="2327">
        <f t="shared" si="1397"/>
        <v>0</v>
      </c>
      <c r="DQ732" s="2327">
        <f t="shared" si="1398"/>
        <v>0</v>
      </c>
      <c r="DR732" s="2327">
        <f t="shared" si="1399"/>
        <v>0</v>
      </c>
      <c r="DS732" s="2327">
        <f t="shared" si="1400"/>
        <v>0</v>
      </c>
      <c r="DT732" s="2327">
        <f t="shared" si="1401"/>
        <v>0</v>
      </c>
      <c r="DU732" s="2327">
        <f t="shared" si="1402"/>
        <v>0</v>
      </c>
      <c r="DV732" s="2327">
        <f t="shared" si="1403"/>
        <v>0</v>
      </c>
      <c r="DW732" s="2327">
        <f t="shared" si="1404"/>
        <v>0</v>
      </c>
      <c r="DX732" s="2327">
        <f t="shared" si="1405"/>
        <v>0</v>
      </c>
      <c r="DY732" s="2327">
        <f t="shared" si="1406"/>
        <v>0</v>
      </c>
      <c r="EA732"/>
      <c r="EB732"/>
      <c r="EC732"/>
      <c r="ED732"/>
      <c r="EE732"/>
      <c r="EF732"/>
      <c r="EJ732"/>
      <c r="EK732"/>
      <c r="EL732"/>
      <c r="ER732" s="212"/>
    </row>
    <row r="733" spans="1:148" s="923" customFormat="1" ht="12.75" hidden="1" customHeight="1" outlineLevel="1" x14ac:dyDescent="0.2">
      <c r="A733" s="865" t="s">
        <v>864</v>
      </c>
      <c r="B733" s="215"/>
      <c r="C733" s="215"/>
      <c r="D733" s="215"/>
      <c r="E733" s="215"/>
      <c r="F733" s="215"/>
      <c r="G733" s="215"/>
      <c r="H733" s="215"/>
      <c r="I733" s="215"/>
      <c r="J733" s="215"/>
      <c r="K733" s="215"/>
      <c r="L733" s="215"/>
      <c r="M733" s="215"/>
      <c r="N733" s="215"/>
      <c r="O733" s="215"/>
      <c r="P733" s="215"/>
      <c r="Q733" s="215"/>
      <c r="R733" s="215"/>
      <c r="S733" s="215"/>
      <c r="T733" s="215"/>
      <c r="U733" s="215"/>
      <c r="V733" s="215"/>
      <c r="W733" s="215"/>
      <c r="X733" s="215"/>
      <c r="Y733" s="215"/>
      <c r="Z733" s="215"/>
      <c r="AA733" s="215"/>
      <c r="AB733" s="215"/>
      <c r="AC733" s="215">
        <v>0</v>
      </c>
      <c r="AD733" s="215">
        <f>-27-AC733</f>
        <v>-27</v>
      </c>
      <c r="AE733" s="215">
        <f>-27-AD733-AC733</f>
        <v>0</v>
      </c>
      <c r="AF733" s="215"/>
      <c r="AG733" s="215"/>
      <c r="AH733" s="215">
        <v>0</v>
      </c>
      <c r="AI733" s="215">
        <f>-29-AH733</f>
        <v>-29</v>
      </c>
      <c r="AJ733" s="215">
        <f>-29-AI733-AH733</f>
        <v>0</v>
      </c>
      <c r="AK733" s="215">
        <f>-69-AJ733-AI733-AH733</f>
        <v>-40</v>
      </c>
      <c r="AL733" s="215">
        <f t="shared" si="1383"/>
        <v>-69</v>
      </c>
      <c r="AM733" s="215">
        <v>0</v>
      </c>
      <c r="AN733" s="215">
        <f>-40-AM733</f>
        <v>-40</v>
      </c>
      <c r="AO733" s="215">
        <f>-40-AN733-AM733</f>
        <v>0</v>
      </c>
      <c r="AP733" s="215">
        <f>-77-AO733-AN733-AM733</f>
        <v>-37</v>
      </c>
      <c r="AQ733" s="215">
        <f t="shared" si="1384"/>
        <v>-77</v>
      </c>
      <c r="AR733" s="215">
        <v>0</v>
      </c>
      <c r="AS733" s="215">
        <f>-45-AR733</f>
        <v>-45</v>
      </c>
      <c r="AT733" s="215">
        <v>0</v>
      </c>
      <c r="AU733" s="215">
        <f>-81-AT733-AS733-AR733</f>
        <v>-36</v>
      </c>
      <c r="AV733" s="215">
        <f t="shared" si="1385"/>
        <v>-81</v>
      </c>
      <c r="AW733" s="215"/>
      <c r="AX733" s="215"/>
      <c r="AY733" s="215"/>
      <c r="AZ733" s="215"/>
      <c r="BA733" s="215"/>
      <c r="BB733" s="215"/>
      <c r="BC733" s="215"/>
      <c r="BD733" s="215"/>
      <c r="BE733" s="215"/>
      <c r="BF733" s="215"/>
      <c r="BG733" s="215"/>
      <c r="BH733" s="215"/>
      <c r="BI733" s="215"/>
      <c r="BJ733" s="215"/>
      <c r="BK733" s="215"/>
      <c r="BL733" s="215"/>
      <c r="BM733" s="215"/>
      <c r="BN733" s="215"/>
      <c r="BO733" s="215"/>
      <c r="BP733" s="215"/>
      <c r="BQ733" s="215"/>
      <c r="BR733" s="215"/>
      <c r="BS733" s="215"/>
      <c r="BT733" s="215"/>
      <c r="BU733" s="215"/>
      <c r="BV733" s="215"/>
      <c r="BW733" s="215"/>
      <c r="BX733" s="215"/>
      <c r="BY733" s="215"/>
      <c r="BZ733" s="215"/>
      <c r="CA733" s="215"/>
      <c r="CB733" s="215"/>
      <c r="CC733" s="215"/>
      <c r="CD733" s="215"/>
      <c r="CE733" s="215"/>
      <c r="CF733" s="215"/>
      <c r="CG733" s="215"/>
      <c r="CH733" s="215"/>
      <c r="CI733" s="215"/>
      <c r="CJ733" s="215"/>
      <c r="CK733" s="215"/>
      <c r="CL733" s="215"/>
      <c r="CM733" s="215"/>
      <c r="CN733" s="215"/>
      <c r="CO733" s="215"/>
      <c r="CP733" s="215"/>
      <c r="CQ733" s="215"/>
      <c r="CR733" s="215"/>
      <c r="CS733" s="215"/>
      <c r="CT733" s="215"/>
      <c r="CU733" s="215"/>
      <c r="CV733" s="215"/>
      <c r="CW733" s="215"/>
      <c r="CX733" s="215"/>
      <c r="CY733" s="215"/>
      <c r="CZ733" s="215"/>
      <c r="DA733" s="215"/>
      <c r="DB733"/>
      <c r="DC733"/>
      <c r="DD733" s="2323" t="s">
        <v>864</v>
      </c>
      <c r="DE733" s="2327">
        <f t="shared" si="1386"/>
        <v>0</v>
      </c>
      <c r="DF733" s="2327">
        <f t="shared" si="1387"/>
        <v>0</v>
      </c>
      <c r="DG733" s="2327">
        <f t="shared" si="1388"/>
        <v>0</v>
      </c>
      <c r="DH733" s="2327">
        <f t="shared" si="1389"/>
        <v>0</v>
      </c>
      <c r="DI733" s="2327">
        <f t="shared" si="1390"/>
        <v>0</v>
      </c>
      <c r="DJ733" s="2327">
        <f t="shared" si="1391"/>
        <v>-69</v>
      </c>
      <c r="DK733" s="2327">
        <f t="shared" si="1392"/>
        <v>-77</v>
      </c>
      <c r="DL733" s="2327">
        <f t="shared" si="1393"/>
        <v>-81</v>
      </c>
      <c r="DM733" s="2327">
        <f t="shared" si="1394"/>
        <v>0</v>
      </c>
      <c r="DN733" s="2327">
        <f t="shared" si="1395"/>
        <v>0</v>
      </c>
      <c r="DO733" s="2327">
        <f t="shared" si="1396"/>
        <v>0</v>
      </c>
      <c r="DP733" s="2327">
        <f t="shared" si="1397"/>
        <v>0</v>
      </c>
      <c r="DQ733" s="2327">
        <f t="shared" si="1398"/>
        <v>0</v>
      </c>
      <c r="DR733" s="2327">
        <f t="shared" si="1399"/>
        <v>0</v>
      </c>
      <c r="DS733" s="2327">
        <f t="shared" si="1400"/>
        <v>0</v>
      </c>
      <c r="DT733" s="2327">
        <f t="shared" si="1401"/>
        <v>0</v>
      </c>
      <c r="DU733" s="2327">
        <f t="shared" si="1402"/>
        <v>0</v>
      </c>
      <c r="DV733" s="2327">
        <f t="shared" si="1403"/>
        <v>0</v>
      </c>
      <c r="DW733" s="2327">
        <f t="shared" si="1404"/>
        <v>0</v>
      </c>
      <c r="DX733" s="2327">
        <f t="shared" si="1405"/>
        <v>0</v>
      </c>
      <c r="DY733" s="2327">
        <f t="shared" si="1406"/>
        <v>0</v>
      </c>
      <c r="EA733"/>
      <c r="EB733"/>
      <c r="EC733"/>
      <c r="ED733"/>
      <c r="EE733"/>
      <c r="EF733"/>
      <c r="EJ733"/>
      <c r="EK733"/>
      <c r="EL733"/>
      <c r="ER733" s="212"/>
    </row>
    <row r="734" spans="1:148" s="923" customFormat="1" ht="12.75" hidden="1" customHeight="1" outlineLevel="1" x14ac:dyDescent="0.2">
      <c r="A734" s="865" t="s">
        <v>865</v>
      </c>
      <c r="B734" s="215"/>
      <c r="C734" s="215"/>
      <c r="D734" s="215"/>
      <c r="E734" s="215"/>
      <c r="F734" s="215"/>
      <c r="G734" s="215"/>
      <c r="H734" s="215"/>
      <c r="I734" s="215"/>
      <c r="J734" s="215"/>
      <c r="K734" s="215"/>
      <c r="L734" s="215"/>
      <c r="M734" s="215"/>
      <c r="N734" s="215"/>
      <c r="O734" s="215"/>
      <c r="P734" s="215"/>
      <c r="Q734" s="215"/>
      <c r="R734" s="215"/>
      <c r="S734" s="215"/>
      <c r="T734" s="215"/>
      <c r="U734" s="215"/>
      <c r="V734" s="215"/>
      <c r="W734" s="215"/>
      <c r="X734" s="215"/>
      <c r="Y734" s="215"/>
      <c r="Z734" s="215"/>
      <c r="AA734" s="215"/>
      <c r="AB734" s="215"/>
      <c r="AC734" s="215">
        <v>0</v>
      </c>
      <c r="AD734" s="215">
        <f>141-AC734</f>
        <v>141</v>
      </c>
      <c r="AE734" s="215">
        <f>141-AD734-AC734</f>
        <v>0</v>
      </c>
      <c r="AF734" s="215"/>
      <c r="AG734" s="215"/>
      <c r="AH734" s="215">
        <v>0</v>
      </c>
      <c r="AI734" s="215">
        <f>176-AH734</f>
        <v>176</v>
      </c>
      <c r="AJ734" s="215">
        <f>176-AI734-AH734</f>
        <v>0</v>
      </c>
      <c r="AK734" s="215">
        <f>399-AJ734-AI734-AH734</f>
        <v>223</v>
      </c>
      <c r="AL734" s="215">
        <f t="shared" si="1383"/>
        <v>399</v>
      </c>
      <c r="AM734" s="215">
        <v>0</v>
      </c>
      <c r="AN734" s="215">
        <f>242-AM734</f>
        <v>242</v>
      </c>
      <c r="AO734" s="215">
        <f>242-AN734-AM734</f>
        <v>0</v>
      </c>
      <c r="AP734" s="215">
        <f>508-AO734-AN734-AM734</f>
        <v>266</v>
      </c>
      <c r="AQ734" s="215">
        <f t="shared" si="1384"/>
        <v>508</v>
      </c>
      <c r="AR734" s="215">
        <v>0</v>
      </c>
      <c r="AS734" s="215">
        <f>270-AR734</f>
        <v>270</v>
      </c>
      <c r="AT734" s="215">
        <v>0</v>
      </c>
      <c r="AU734" s="215">
        <f>515-AT734-AS734-AR734</f>
        <v>245</v>
      </c>
      <c r="AV734" s="215">
        <f t="shared" si="1385"/>
        <v>515</v>
      </c>
      <c r="AW734" s="215"/>
      <c r="AX734" s="215"/>
      <c r="AY734" s="215"/>
      <c r="AZ734" s="215"/>
      <c r="BA734" s="215"/>
      <c r="BB734" s="215"/>
      <c r="BC734" s="215"/>
      <c r="BD734" s="215"/>
      <c r="BE734" s="215"/>
      <c r="BF734" s="215"/>
      <c r="BG734" s="215"/>
      <c r="BH734" s="215"/>
      <c r="BI734" s="215"/>
      <c r="BJ734" s="215"/>
      <c r="BK734" s="215"/>
      <c r="BL734" s="215"/>
      <c r="BM734" s="215"/>
      <c r="BN734" s="215"/>
      <c r="BO734" s="215"/>
      <c r="BP734" s="215"/>
      <c r="BQ734" s="215"/>
      <c r="BR734" s="215"/>
      <c r="BS734" s="215"/>
      <c r="BT734" s="215"/>
      <c r="BU734" s="215"/>
      <c r="BV734" s="215"/>
      <c r="BW734" s="215"/>
      <c r="BX734" s="215"/>
      <c r="BY734" s="215"/>
      <c r="BZ734" s="215"/>
      <c r="CA734" s="215"/>
      <c r="CB734" s="215"/>
      <c r="CC734" s="215"/>
      <c r="CD734" s="215"/>
      <c r="CE734" s="215"/>
      <c r="CF734" s="215"/>
      <c r="CG734" s="215"/>
      <c r="CH734" s="215"/>
      <c r="CI734" s="215"/>
      <c r="CJ734" s="215"/>
      <c r="CK734" s="215"/>
      <c r="CL734" s="215"/>
      <c r="CM734" s="215"/>
      <c r="CN734" s="215"/>
      <c r="CO734" s="215"/>
      <c r="CP734" s="215"/>
      <c r="CQ734" s="215"/>
      <c r="CR734" s="215"/>
      <c r="CS734" s="215"/>
      <c r="CT734" s="215"/>
      <c r="CU734" s="215"/>
      <c r="CV734" s="215"/>
      <c r="CW734" s="215"/>
      <c r="CX734" s="215"/>
      <c r="CY734" s="215"/>
      <c r="CZ734" s="215"/>
      <c r="DA734" s="215"/>
      <c r="DB734"/>
      <c r="DC734"/>
      <c r="DD734" s="2323" t="s">
        <v>865</v>
      </c>
      <c r="DE734" s="2327">
        <f t="shared" si="1386"/>
        <v>0</v>
      </c>
      <c r="DF734" s="2327">
        <f t="shared" si="1387"/>
        <v>0</v>
      </c>
      <c r="DG734" s="2327">
        <f t="shared" si="1388"/>
        <v>0</v>
      </c>
      <c r="DH734" s="2327">
        <f t="shared" si="1389"/>
        <v>0</v>
      </c>
      <c r="DI734" s="2327">
        <f t="shared" si="1390"/>
        <v>0</v>
      </c>
      <c r="DJ734" s="2327">
        <f t="shared" si="1391"/>
        <v>399</v>
      </c>
      <c r="DK734" s="2327">
        <f t="shared" si="1392"/>
        <v>508</v>
      </c>
      <c r="DL734" s="2327">
        <f t="shared" si="1393"/>
        <v>515</v>
      </c>
      <c r="DM734" s="2327">
        <f t="shared" si="1394"/>
        <v>0</v>
      </c>
      <c r="DN734" s="2327">
        <f t="shared" si="1395"/>
        <v>0</v>
      </c>
      <c r="DO734" s="2327">
        <f t="shared" si="1396"/>
        <v>0</v>
      </c>
      <c r="DP734" s="2327">
        <f t="shared" si="1397"/>
        <v>0</v>
      </c>
      <c r="DQ734" s="2327">
        <f t="shared" si="1398"/>
        <v>0</v>
      </c>
      <c r="DR734" s="2327">
        <f t="shared" si="1399"/>
        <v>0</v>
      </c>
      <c r="DS734" s="2327">
        <f t="shared" si="1400"/>
        <v>0</v>
      </c>
      <c r="DT734" s="2327">
        <f t="shared" si="1401"/>
        <v>0</v>
      </c>
      <c r="DU734" s="2327">
        <f t="shared" si="1402"/>
        <v>0</v>
      </c>
      <c r="DV734" s="2327">
        <f t="shared" si="1403"/>
        <v>0</v>
      </c>
      <c r="DW734" s="2327">
        <f t="shared" si="1404"/>
        <v>0</v>
      </c>
      <c r="DX734" s="2327">
        <f t="shared" si="1405"/>
        <v>0</v>
      </c>
      <c r="DY734" s="2327">
        <f t="shared" si="1406"/>
        <v>0</v>
      </c>
      <c r="EA734"/>
      <c r="EB734"/>
      <c r="EC734"/>
      <c r="ED734"/>
      <c r="EE734"/>
      <c r="EF734"/>
      <c r="EJ734"/>
      <c r="EK734"/>
      <c r="EL734"/>
      <c r="ER734" s="212"/>
    </row>
    <row r="735" spans="1:148" s="923" customFormat="1" ht="12.75" hidden="1" customHeight="1" outlineLevel="1" x14ac:dyDescent="0.2">
      <c r="A735" s="865" t="s">
        <v>1406</v>
      </c>
      <c r="B735" s="215"/>
      <c r="C735" s="215"/>
      <c r="D735" s="215"/>
      <c r="E735" s="215"/>
      <c r="F735" s="215"/>
      <c r="G735" s="215"/>
      <c r="H735" s="215"/>
      <c r="I735" s="215"/>
      <c r="J735" s="215"/>
      <c r="K735" s="215"/>
      <c r="L735" s="215"/>
      <c r="M735" s="215"/>
      <c r="N735" s="215"/>
      <c r="O735" s="215"/>
      <c r="P735" s="215"/>
      <c r="Q735" s="215"/>
      <c r="R735" s="215"/>
      <c r="S735" s="215"/>
      <c r="T735" s="215"/>
      <c r="U735" s="215"/>
      <c r="V735" s="215"/>
      <c r="W735" s="215"/>
      <c r="X735" s="215"/>
      <c r="Y735" s="215"/>
      <c r="Z735" s="215"/>
      <c r="AA735" s="215"/>
      <c r="AB735" s="215"/>
      <c r="AC735" s="215">
        <v>-42</v>
      </c>
      <c r="AD735" s="215">
        <f>29-AC735</f>
        <v>71</v>
      </c>
      <c r="AE735" s="215">
        <f>61-AD735-AC735</f>
        <v>32</v>
      </c>
      <c r="AF735" s="215"/>
      <c r="AG735" s="215"/>
      <c r="AH735" s="215">
        <v>-52</v>
      </c>
      <c r="AI735" s="215">
        <f>-48-AH735</f>
        <v>4</v>
      </c>
      <c r="AJ735" s="215">
        <f>-81-AI735-AH735</f>
        <v>-33</v>
      </c>
      <c r="AK735" s="215">
        <f>-57-AJ735-AI735-AH735</f>
        <v>24</v>
      </c>
      <c r="AL735" s="215">
        <f t="shared" si="1383"/>
        <v>-57</v>
      </c>
      <c r="AM735" s="215">
        <v>0</v>
      </c>
      <c r="AN735" s="215">
        <f>46-AM735</f>
        <v>46</v>
      </c>
      <c r="AO735" s="215">
        <f>46-AN735-AM735</f>
        <v>0</v>
      </c>
      <c r="AP735" s="215">
        <f>61-AO735-AN735-AM735</f>
        <v>15</v>
      </c>
      <c r="AQ735" s="215">
        <f t="shared" si="1384"/>
        <v>61</v>
      </c>
      <c r="AR735" s="215">
        <v>-60</v>
      </c>
      <c r="AS735" s="215">
        <f>-85-AR735</f>
        <v>-25</v>
      </c>
      <c r="AT735" s="215">
        <f>-112-AS735-AR735</f>
        <v>-27</v>
      </c>
      <c r="AU735" s="215">
        <f>-16-AT735-AS735-AR735</f>
        <v>96</v>
      </c>
      <c r="AV735" s="215">
        <f t="shared" si="1385"/>
        <v>-16</v>
      </c>
      <c r="AW735" s="215"/>
      <c r="AX735" s="215"/>
      <c r="AY735" s="215"/>
      <c r="AZ735" s="215"/>
      <c r="BA735" s="215"/>
      <c r="BB735" s="215"/>
      <c r="BC735" s="215"/>
      <c r="BD735" s="215"/>
      <c r="BE735" s="215"/>
      <c r="BF735" s="215"/>
      <c r="BG735" s="215"/>
      <c r="BH735" s="215"/>
      <c r="BI735" s="215"/>
      <c r="BJ735" s="215"/>
      <c r="BK735" s="215"/>
      <c r="BL735" s="215"/>
      <c r="BM735" s="215"/>
      <c r="BN735" s="215"/>
      <c r="BO735" s="215"/>
      <c r="BP735" s="215"/>
      <c r="BQ735" s="215"/>
      <c r="BR735" s="215"/>
      <c r="BS735" s="215"/>
      <c r="BT735" s="215"/>
      <c r="BU735" s="215"/>
      <c r="BV735" s="215"/>
      <c r="BW735" s="215"/>
      <c r="BX735" s="215"/>
      <c r="BY735" s="215"/>
      <c r="BZ735" s="215"/>
      <c r="CA735" s="215"/>
      <c r="CB735" s="215"/>
      <c r="CC735" s="215"/>
      <c r="CD735" s="215"/>
      <c r="CE735" s="215"/>
      <c r="CF735" s="215"/>
      <c r="CG735" s="215"/>
      <c r="CH735" s="215"/>
      <c r="CI735" s="215"/>
      <c r="CJ735" s="215"/>
      <c r="CK735" s="215"/>
      <c r="CL735" s="215"/>
      <c r="CM735" s="215"/>
      <c r="CN735" s="215"/>
      <c r="CO735" s="215"/>
      <c r="CP735" s="215"/>
      <c r="CQ735" s="215"/>
      <c r="CR735" s="215"/>
      <c r="CS735" s="215"/>
      <c r="CT735" s="215"/>
      <c r="CU735" s="215"/>
      <c r="CV735" s="215"/>
      <c r="CW735" s="215"/>
      <c r="CX735" s="215"/>
      <c r="CY735" s="215"/>
      <c r="CZ735" s="215"/>
      <c r="DA735" s="215"/>
      <c r="DB735"/>
      <c r="DC735"/>
      <c r="DD735" s="2323" t="s">
        <v>1406</v>
      </c>
      <c r="DE735" s="2327">
        <f t="shared" si="1386"/>
        <v>0</v>
      </c>
      <c r="DF735" s="2327">
        <f t="shared" si="1387"/>
        <v>0</v>
      </c>
      <c r="DG735" s="2327">
        <f t="shared" si="1388"/>
        <v>0</v>
      </c>
      <c r="DH735" s="2327">
        <f t="shared" si="1389"/>
        <v>0</v>
      </c>
      <c r="DI735" s="2327">
        <f t="shared" si="1390"/>
        <v>0</v>
      </c>
      <c r="DJ735" s="2327">
        <f t="shared" si="1391"/>
        <v>-57</v>
      </c>
      <c r="DK735" s="2327">
        <f t="shared" si="1392"/>
        <v>61</v>
      </c>
      <c r="DL735" s="2327">
        <f t="shared" si="1393"/>
        <v>-16</v>
      </c>
      <c r="DM735" s="2327">
        <f t="shared" si="1394"/>
        <v>0</v>
      </c>
      <c r="DN735" s="2327">
        <f t="shared" si="1395"/>
        <v>0</v>
      </c>
      <c r="DO735" s="2327">
        <f t="shared" si="1396"/>
        <v>0</v>
      </c>
      <c r="DP735" s="2327">
        <f t="shared" si="1397"/>
        <v>0</v>
      </c>
      <c r="DQ735" s="2327">
        <f t="shared" si="1398"/>
        <v>0</v>
      </c>
      <c r="DR735" s="2327">
        <f t="shared" si="1399"/>
        <v>0</v>
      </c>
      <c r="DS735" s="2327">
        <f t="shared" si="1400"/>
        <v>0</v>
      </c>
      <c r="DT735" s="2327">
        <f t="shared" si="1401"/>
        <v>0</v>
      </c>
      <c r="DU735" s="2327">
        <f t="shared" si="1402"/>
        <v>0</v>
      </c>
      <c r="DV735" s="2327">
        <f t="shared" si="1403"/>
        <v>0</v>
      </c>
      <c r="DW735" s="2327">
        <f t="shared" si="1404"/>
        <v>0</v>
      </c>
      <c r="DX735" s="2327">
        <f t="shared" si="1405"/>
        <v>0</v>
      </c>
      <c r="DY735" s="2327">
        <f t="shared" si="1406"/>
        <v>0</v>
      </c>
      <c r="EA735"/>
      <c r="EB735"/>
      <c r="EC735"/>
      <c r="ED735"/>
      <c r="EE735"/>
      <c r="EF735"/>
      <c r="EJ735"/>
      <c r="EK735"/>
      <c r="EL735"/>
      <c r="ER735" s="212"/>
    </row>
    <row r="736" spans="1:148" s="923" customFormat="1" ht="12.75" hidden="1" customHeight="1" outlineLevel="1" x14ac:dyDescent="0.2">
      <c r="A736" s="865" t="s">
        <v>1407</v>
      </c>
      <c r="B736" s="215"/>
      <c r="C736" s="215"/>
      <c r="D736" s="215"/>
      <c r="E736" s="215"/>
      <c r="F736" s="215"/>
      <c r="G736" s="215"/>
      <c r="H736" s="215"/>
      <c r="I736" s="215"/>
      <c r="J736" s="215"/>
      <c r="K736" s="215"/>
      <c r="L736" s="215"/>
      <c r="M736" s="215"/>
      <c r="N736" s="215"/>
      <c r="O736" s="215"/>
      <c r="P736" s="215"/>
      <c r="Q736" s="215"/>
      <c r="R736" s="215"/>
      <c r="S736" s="215"/>
      <c r="T736" s="215"/>
      <c r="U736" s="215"/>
      <c r="V736" s="215"/>
      <c r="W736" s="215"/>
      <c r="X736" s="215"/>
      <c r="Y736" s="215"/>
      <c r="Z736" s="215"/>
      <c r="AA736" s="215"/>
      <c r="AB736" s="215"/>
      <c r="AC736" s="215">
        <v>32</v>
      </c>
      <c r="AD736" s="215">
        <f>62-AC736</f>
        <v>30</v>
      </c>
      <c r="AE736" s="215">
        <f>78-AD736-AC736</f>
        <v>16</v>
      </c>
      <c r="AF736" s="215"/>
      <c r="AG736" s="215"/>
      <c r="AH736" s="215">
        <v>22</v>
      </c>
      <c r="AI736" s="215">
        <f>37-AH736</f>
        <v>15</v>
      </c>
      <c r="AJ736" s="215">
        <f>57-AI736-AH736</f>
        <v>20</v>
      </c>
      <c r="AK736" s="215">
        <f>90-AJ736-AI736-AH736</f>
        <v>33</v>
      </c>
      <c r="AL736" s="215">
        <f t="shared" si="1383"/>
        <v>90</v>
      </c>
      <c r="AM736" s="215">
        <v>28</v>
      </c>
      <c r="AN736" s="215">
        <f>43-AM736</f>
        <v>15</v>
      </c>
      <c r="AO736" s="215">
        <f>61-AN736-AM736</f>
        <v>18</v>
      </c>
      <c r="AP736" s="215">
        <f>96-AO736-AN736-AM736</f>
        <v>35</v>
      </c>
      <c r="AQ736" s="215">
        <f t="shared" si="1384"/>
        <v>96</v>
      </c>
      <c r="AR736" s="215">
        <v>25</v>
      </c>
      <c r="AS736" s="215">
        <f>49-AR736</f>
        <v>24</v>
      </c>
      <c r="AT736" s="215">
        <f>81-AS736-AR736</f>
        <v>32</v>
      </c>
      <c r="AU736" s="215">
        <f>106-AT736-AS736-AR736</f>
        <v>25</v>
      </c>
      <c r="AV736" s="215">
        <f t="shared" si="1385"/>
        <v>106</v>
      </c>
      <c r="AW736" s="215"/>
      <c r="AX736" s="215"/>
      <c r="AY736" s="215"/>
      <c r="AZ736" s="215"/>
      <c r="BA736" s="215"/>
      <c r="BB736" s="215"/>
      <c r="BC736" s="215"/>
      <c r="BD736" s="215"/>
      <c r="BE736" s="215"/>
      <c r="BF736" s="215"/>
      <c r="BG736" s="215"/>
      <c r="BH736" s="215"/>
      <c r="BI736" s="215"/>
      <c r="BJ736" s="215"/>
      <c r="BK736" s="215"/>
      <c r="BL736" s="215"/>
      <c r="BM736" s="215"/>
      <c r="BN736" s="215"/>
      <c r="BO736" s="215"/>
      <c r="BP736" s="215"/>
      <c r="BQ736" s="215"/>
      <c r="BR736" s="215"/>
      <c r="BS736" s="215"/>
      <c r="BT736" s="215"/>
      <c r="BU736" s="215"/>
      <c r="BV736" s="215"/>
      <c r="BW736" s="215"/>
      <c r="BX736" s="215"/>
      <c r="BY736" s="215"/>
      <c r="BZ736" s="215"/>
      <c r="CA736" s="215"/>
      <c r="CB736" s="215"/>
      <c r="CC736" s="215"/>
      <c r="CD736" s="215"/>
      <c r="CE736" s="215"/>
      <c r="CF736" s="215"/>
      <c r="CG736" s="215"/>
      <c r="CH736" s="215"/>
      <c r="CI736" s="215"/>
      <c r="CJ736" s="215"/>
      <c r="CK736" s="215"/>
      <c r="CL736" s="215"/>
      <c r="CM736" s="215"/>
      <c r="CN736" s="215"/>
      <c r="CO736" s="215"/>
      <c r="CP736" s="215"/>
      <c r="CQ736" s="215"/>
      <c r="CR736" s="215"/>
      <c r="CS736" s="215"/>
      <c r="CT736" s="215"/>
      <c r="CU736" s="215"/>
      <c r="CV736" s="215"/>
      <c r="CW736" s="215"/>
      <c r="CX736" s="215"/>
      <c r="CY736" s="215"/>
      <c r="CZ736" s="215"/>
      <c r="DA736" s="215"/>
      <c r="DB736"/>
      <c r="DC736"/>
      <c r="DD736" s="2323" t="s">
        <v>1407</v>
      </c>
      <c r="DE736" s="2327">
        <f t="shared" si="1386"/>
        <v>0</v>
      </c>
      <c r="DF736" s="2327">
        <f t="shared" si="1387"/>
        <v>0</v>
      </c>
      <c r="DG736" s="2327">
        <f t="shared" si="1388"/>
        <v>0</v>
      </c>
      <c r="DH736" s="2327">
        <f t="shared" si="1389"/>
        <v>0</v>
      </c>
      <c r="DI736" s="2327">
        <f t="shared" si="1390"/>
        <v>0</v>
      </c>
      <c r="DJ736" s="2327">
        <f t="shared" si="1391"/>
        <v>90</v>
      </c>
      <c r="DK736" s="2327">
        <f t="shared" si="1392"/>
        <v>96</v>
      </c>
      <c r="DL736" s="2327">
        <f t="shared" si="1393"/>
        <v>106</v>
      </c>
      <c r="DM736" s="2327">
        <f t="shared" si="1394"/>
        <v>0</v>
      </c>
      <c r="DN736" s="2327">
        <f t="shared" si="1395"/>
        <v>0</v>
      </c>
      <c r="DO736" s="2327">
        <f t="shared" si="1396"/>
        <v>0</v>
      </c>
      <c r="DP736" s="2327">
        <f t="shared" si="1397"/>
        <v>0</v>
      </c>
      <c r="DQ736" s="2327">
        <f t="shared" si="1398"/>
        <v>0</v>
      </c>
      <c r="DR736" s="2327">
        <f t="shared" si="1399"/>
        <v>0</v>
      </c>
      <c r="DS736" s="2327">
        <f t="shared" si="1400"/>
        <v>0</v>
      </c>
      <c r="DT736" s="2327">
        <f t="shared" si="1401"/>
        <v>0</v>
      </c>
      <c r="DU736" s="2327">
        <f t="shared" si="1402"/>
        <v>0</v>
      </c>
      <c r="DV736" s="2327">
        <f t="shared" si="1403"/>
        <v>0</v>
      </c>
      <c r="DW736" s="2327">
        <f t="shared" si="1404"/>
        <v>0</v>
      </c>
      <c r="DX736" s="2327">
        <f t="shared" si="1405"/>
        <v>0</v>
      </c>
      <c r="DY736" s="2327">
        <f t="shared" si="1406"/>
        <v>0</v>
      </c>
      <c r="EA736"/>
      <c r="EB736"/>
      <c r="EC736"/>
      <c r="ED736"/>
      <c r="EE736"/>
      <c r="EF736"/>
      <c r="EJ736"/>
      <c r="EK736"/>
      <c r="EL736"/>
      <c r="ER736" s="212"/>
    </row>
    <row r="737" spans="1:148" s="923" customFormat="1" ht="12.75" hidden="1" customHeight="1" outlineLevel="1" x14ac:dyDescent="0.2">
      <c r="A737" s="865" t="s">
        <v>1408</v>
      </c>
      <c r="B737" s="216"/>
      <c r="C737" s="216"/>
      <c r="D737" s="216"/>
      <c r="E737" s="216"/>
      <c r="F737" s="216"/>
      <c r="G737" s="216"/>
      <c r="H737" s="216"/>
      <c r="I737" s="216"/>
      <c r="J737" s="216"/>
      <c r="K737" s="216"/>
      <c r="L737" s="216"/>
      <c r="M737" s="216"/>
      <c r="N737" s="216"/>
      <c r="O737" s="216"/>
      <c r="P737" s="216"/>
      <c r="Q737" s="216"/>
      <c r="R737" s="216"/>
      <c r="S737" s="216"/>
      <c r="T737" s="216"/>
      <c r="U737" s="216"/>
      <c r="V737" s="216"/>
      <c r="W737" s="216"/>
      <c r="X737" s="216"/>
      <c r="Y737" s="216"/>
      <c r="Z737" s="216"/>
      <c r="AA737" s="216"/>
      <c r="AB737" s="216"/>
      <c r="AC737" s="216">
        <v>44</v>
      </c>
      <c r="AD737" s="216">
        <f>49-AC737</f>
        <v>5</v>
      </c>
      <c r="AE737" s="216">
        <f>29-AD737-AC737</f>
        <v>-20</v>
      </c>
      <c r="AF737" s="216"/>
      <c r="AG737" s="216"/>
      <c r="AH737" s="216">
        <v>13</v>
      </c>
      <c r="AI737" s="216">
        <f>26-AH737</f>
        <v>13</v>
      </c>
      <c r="AJ737" s="216">
        <f>33-AI737-AH737</f>
        <v>7</v>
      </c>
      <c r="AK737" s="216">
        <f>55-AJ737-AI737-AH737</f>
        <v>22</v>
      </c>
      <c r="AL737" s="216">
        <f t="shared" si="1383"/>
        <v>55</v>
      </c>
      <c r="AM737" s="216">
        <v>8</v>
      </c>
      <c r="AN737" s="216">
        <f>2-AM737</f>
        <v>-6</v>
      </c>
      <c r="AO737" s="216">
        <f>2-AN737-AM737</f>
        <v>0</v>
      </c>
      <c r="AP737" s="216">
        <f>-17-AO737-AN737-AM737</f>
        <v>-19</v>
      </c>
      <c r="AQ737" s="216">
        <f t="shared" si="1384"/>
        <v>-17</v>
      </c>
      <c r="AR737" s="216">
        <v>0</v>
      </c>
      <c r="AS737" s="216">
        <f>-10-AR737</f>
        <v>-10</v>
      </c>
      <c r="AT737" s="216">
        <f>-11-AS737-AR737</f>
        <v>-1</v>
      </c>
      <c r="AU737" s="216">
        <f>-35-AT737-AS737-AR737</f>
        <v>-24</v>
      </c>
      <c r="AV737" s="216">
        <f t="shared" si="1385"/>
        <v>-35</v>
      </c>
      <c r="AW737" s="216"/>
      <c r="AX737" s="216"/>
      <c r="AY737" s="216"/>
      <c r="AZ737" s="216"/>
      <c r="BA737" s="216"/>
      <c r="BB737" s="216"/>
      <c r="BC737" s="216"/>
      <c r="BD737" s="216"/>
      <c r="BE737" s="216"/>
      <c r="BF737" s="216"/>
      <c r="BG737" s="216"/>
      <c r="BH737" s="216"/>
      <c r="BI737" s="216"/>
      <c r="BJ737" s="216"/>
      <c r="BK737" s="216"/>
      <c r="BL737" s="216"/>
      <c r="BM737" s="216"/>
      <c r="BN737" s="216"/>
      <c r="BO737" s="216"/>
      <c r="BP737" s="216"/>
      <c r="BQ737" s="216"/>
      <c r="BR737" s="216"/>
      <c r="BS737" s="216"/>
      <c r="BT737" s="216"/>
      <c r="BU737" s="216"/>
      <c r="BV737" s="216"/>
      <c r="BW737" s="216"/>
      <c r="BX737" s="216"/>
      <c r="BY737" s="216"/>
      <c r="BZ737" s="216"/>
      <c r="CA737" s="216"/>
      <c r="CB737" s="216"/>
      <c r="CC737" s="216"/>
      <c r="CD737" s="216"/>
      <c r="CE737" s="216"/>
      <c r="CF737" s="216"/>
      <c r="CG737" s="216"/>
      <c r="CH737" s="216"/>
      <c r="CI737" s="216"/>
      <c r="CJ737" s="216"/>
      <c r="CK737" s="216"/>
      <c r="CL737" s="216"/>
      <c r="CM737" s="216"/>
      <c r="CN737" s="216"/>
      <c r="CO737" s="216"/>
      <c r="CP737" s="216"/>
      <c r="CQ737" s="216"/>
      <c r="CR737" s="216"/>
      <c r="CS737" s="216"/>
      <c r="CT737" s="216"/>
      <c r="CU737" s="216"/>
      <c r="CV737" s="216"/>
      <c r="CW737" s="216"/>
      <c r="CX737" s="216"/>
      <c r="CY737" s="216"/>
      <c r="CZ737" s="216"/>
      <c r="DA737" s="216"/>
      <c r="DB737"/>
      <c r="DC737"/>
      <c r="DD737" s="2323" t="s">
        <v>1408</v>
      </c>
      <c r="DE737" s="216">
        <f t="shared" si="1386"/>
        <v>0</v>
      </c>
      <c r="DF737" s="216">
        <f t="shared" si="1387"/>
        <v>0</v>
      </c>
      <c r="DG737" s="216">
        <f t="shared" si="1388"/>
        <v>0</v>
      </c>
      <c r="DH737" s="216">
        <f t="shared" si="1389"/>
        <v>0</v>
      </c>
      <c r="DI737" s="216">
        <f t="shared" si="1390"/>
        <v>0</v>
      </c>
      <c r="DJ737" s="216">
        <f t="shared" si="1391"/>
        <v>55</v>
      </c>
      <c r="DK737" s="216">
        <f t="shared" si="1392"/>
        <v>-17</v>
      </c>
      <c r="DL737" s="216">
        <f t="shared" si="1393"/>
        <v>-35</v>
      </c>
      <c r="DM737" s="216">
        <f t="shared" si="1394"/>
        <v>0</v>
      </c>
      <c r="DN737" s="216">
        <f t="shared" si="1395"/>
        <v>0</v>
      </c>
      <c r="DO737" s="216">
        <f t="shared" si="1396"/>
        <v>0</v>
      </c>
      <c r="DP737" s="216">
        <f t="shared" si="1397"/>
        <v>0</v>
      </c>
      <c r="DQ737" s="216">
        <f t="shared" si="1398"/>
        <v>0</v>
      </c>
      <c r="DR737" s="216">
        <f t="shared" si="1399"/>
        <v>0</v>
      </c>
      <c r="DS737" s="216">
        <f t="shared" si="1400"/>
        <v>0</v>
      </c>
      <c r="DT737" s="216">
        <f t="shared" si="1401"/>
        <v>0</v>
      </c>
      <c r="DU737" s="216">
        <f t="shared" si="1402"/>
        <v>0</v>
      </c>
      <c r="DV737" s="216">
        <f t="shared" si="1403"/>
        <v>0</v>
      </c>
      <c r="DW737" s="216">
        <f t="shared" si="1404"/>
        <v>0</v>
      </c>
      <c r="DX737" s="216">
        <f t="shared" si="1405"/>
        <v>0</v>
      </c>
      <c r="DY737" s="216">
        <f t="shared" si="1406"/>
        <v>0</v>
      </c>
      <c r="EA737"/>
      <c r="EB737"/>
      <c r="EC737"/>
      <c r="ED737"/>
      <c r="EE737"/>
      <c r="EF737"/>
      <c r="EJ737"/>
      <c r="EK737"/>
      <c r="EL737"/>
      <c r="ER737" s="212"/>
    </row>
    <row r="738" spans="1:148" s="923" customFormat="1" ht="12.75" hidden="1" customHeight="1" outlineLevel="1" x14ac:dyDescent="0.2">
      <c r="A738" s="865" t="s">
        <v>1409</v>
      </c>
      <c r="B738" s="215"/>
      <c r="C738" s="215"/>
      <c r="D738" s="215"/>
      <c r="E738" s="215"/>
      <c r="F738" s="215"/>
      <c r="G738" s="215"/>
      <c r="H738" s="215"/>
      <c r="I738" s="215"/>
      <c r="J738" s="215"/>
      <c r="K738" s="215"/>
      <c r="L738" s="215"/>
      <c r="M738" s="215"/>
      <c r="N738" s="215"/>
      <c r="O738" s="215"/>
      <c r="P738" s="215"/>
      <c r="Q738" s="215"/>
      <c r="R738" s="215"/>
      <c r="S738" s="215"/>
      <c r="T738" s="215"/>
      <c r="U738" s="215"/>
      <c r="V738" s="215"/>
      <c r="W738" s="215"/>
      <c r="X738" s="215"/>
      <c r="Y738" s="215"/>
      <c r="Z738" s="215"/>
      <c r="AA738" s="215"/>
      <c r="AB738" s="215"/>
      <c r="AC738" s="215">
        <f>+AC702</f>
        <v>-47</v>
      </c>
      <c r="AD738" s="215">
        <f>+AD702</f>
        <v>139</v>
      </c>
      <c r="AE738" s="215">
        <f>+AE702</f>
        <v>-56</v>
      </c>
      <c r="AF738" s="215"/>
      <c r="AG738" s="215"/>
      <c r="AH738" s="215">
        <f t="shared" ref="AH738:AZ738" si="1407">+AH702</f>
        <v>-88</v>
      </c>
      <c r="AI738" s="215">
        <f t="shared" si="1407"/>
        <v>100</v>
      </c>
      <c r="AJ738" s="215">
        <f t="shared" si="1407"/>
        <v>-105</v>
      </c>
      <c r="AK738" s="215">
        <f t="shared" si="1407"/>
        <v>87</v>
      </c>
      <c r="AL738" s="215">
        <f t="shared" si="1407"/>
        <v>-6</v>
      </c>
      <c r="AM738" s="215">
        <f t="shared" si="1407"/>
        <v>-79</v>
      </c>
      <c r="AN738" s="215">
        <f t="shared" si="1407"/>
        <v>144</v>
      </c>
      <c r="AO738" s="215">
        <f t="shared" si="1407"/>
        <v>-198</v>
      </c>
      <c r="AP738" s="215">
        <f t="shared" si="1407"/>
        <v>29</v>
      </c>
      <c r="AQ738" s="215">
        <f t="shared" si="1407"/>
        <v>-104</v>
      </c>
      <c r="AR738" s="215">
        <f t="shared" si="1407"/>
        <v>-103</v>
      </c>
      <c r="AS738" s="215">
        <f t="shared" si="1407"/>
        <v>92</v>
      </c>
      <c r="AT738" s="215">
        <f t="shared" si="1407"/>
        <v>-169</v>
      </c>
      <c r="AU738" s="215">
        <f t="shared" si="1407"/>
        <v>25</v>
      </c>
      <c r="AV738" s="215">
        <f t="shared" si="1407"/>
        <v>-155</v>
      </c>
      <c r="AW738" s="215">
        <f t="shared" si="1407"/>
        <v>-102</v>
      </c>
      <c r="AX738" s="215">
        <f t="shared" si="1407"/>
        <v>68</v>
      </c>
      <c r="AY738" s="215">
        <f t="shared" si="1407"/>
        <v>-239</v>
      </c>
      <c r="AZ738" s="215">
        <f t="shared" si="1407"/>
        <v>-125</v>
      </c>
      <c r="BA738" s="215"/>
      <c r="BB738" s="215"/>
      <c r="BC738" s="215"/>
      <c r="BD738" s="215"/>
      <c r="BE738" s="215"/>
      <c r="BF738" s="215"/>
      <c r="BG738" s="215"/>
      <c r="BH738" s="215"/>
      <c r="BI738" s="215"/>
      <c r="BJ738" s="215"/>
      <c r="BK738" s="215"/>
      <c r="BL738" s="215"/>
      <c r="BM738" s="215"/>
      <c r="BN738" s="215"/>
      <c r="BO738" s="215"/>
      <c r="BP738" s="215"/>
      <c r="BQ738" s="215"/>
      <c r="BR738" s="215"/>
      <c r="BS738" s="215"/>
      <c r="BT738" s="215"/>
      <c r="BU738" s="215"/>
      <c r="BV738" s="215"/>
      <c r="BW738" s="215"/>
      <c r="BX738" s="215"/>
      <c r="BY738" s="215"/>
      <c r="BZ738" s="215"/>
      <c r="CA738" s="215"/>
      <c r="CB738" s="215"/>
      <c r="CC738" s="215"/>
      <c r="CD738" s="215"/>
      <c r="CE738" s="215"/>
      <c r="CF738" s="215"/>
      <c r="CG738" s="215"/>
      <c r="CH738" s="215"/>
      <c r="CI738" s="215"/>
      <c r="CJ738" s="215"/>
      <c r="CK738" s="215"/>
      <c r="CL738" s="215"/>
      <c r="CM738" s="215"/>
      <c r="CN738" s="215"/>
      <c r="CO738" s="215"/>
      <c r="CP738" s="215"/>
      <c r="CQ738" s="215"/>
      <c r="CR738" s="215"/>
      <c r="CS738" s="215"/>
      <c r="CT738" s="215"/>
      <c r="CU738" s="215"/>
      <c r="CV738" s="215"/>
      <c r="CW738" s="215"/>
      <c r="CX738" s="215"/>
      <c r="CY738" s="215"/>
      <c r="CZ738" s="215"/>
      <c r="DA738" s="215"/>
      <c r="DB738"/>
      <c r="DC738"/>
      <c r="DD738" s="2323" t="s">
        <v>1409</v>
      </c>
      <c r="DE738" s="2327">
        <f t="shared" si="1386"/>
        <v>0</v>
      </c>
      <c r="DF738" s="2327">
        <f t="shared" si="1387"/>
        <v>0</v>
      </c>
      <c r="DG738" s="2327">
        <f t="shared" si="1388"/>
        <v>0</v>
      </c>
      <c r="DH738" s="2327">
        <f t="shared" si="1389"/>
        <v>0</v>
      </c>
      <c r="DI738" s="2327">
        <f t="shared" si="1390"/>
        <v>0</v>
      </c>
      <c r="DJ738" s="2327">
        <f t="shared" si="1391"/>
        <v>-6</v>
      </c>
      <c r="DK738" s="2327">
        <f t="shared" si="1392"/>
        <v>-104</v>
      </c>
      <c r="DL738" s="2327">
        <f t="shared" si="1393"/>
        <v>-155</v>
      </c>
      <c r="DM738" s="2327">
        <f t="shared" si="1394"/>
        <v>0</v>
      </c>
      <c r="DN738" s="2327">
        <f t="shared" si="1395"/>
        <v>0</v>
      </c>
      <c r="DO738" s="2327">
        <f t="shared" si="1396"/>
        <v>0</v>
      </c>
      <c r="DP738" s="2327">
        <f t="shared" si="1397"/>
        <v>0</v>
      </c>
      <c r="DQ738" s="2327">
        <f t="shared" si="1398"/>
        <v>0</v>
      </c>
      <c r="DR738" s="2327">
        <f t="shared" si="1399"/>
        <v>0</v>
      </c>
      <c r="DS738" s="2327">
        <f t="shared" si="1400"/>
        <v>0</v>
      </c>
      <c r="DT738" s="2327">
        <f t="shared" si="1401"/>
        <v>0</v>
      </c>
      <c r="DU738" s="2327">
        <f t="shared" si="1402"/>
        <v>0</v>
      </c>
      <c r="DV738" s="2327">
        <f t="shared" si="1403"/>
        <v>0</v>
      </c>
      <c r="DW738" s="2327">
        <f t="shared" si="1404"/>
        <v>0</v>
      </c>
      <c r="DX738" s="2327">
        <f t="shared" si="1405"/>
        <v>0</v>
      </c>
      <c r="DY738" s="2327">
        <f t="shared" si="1406"/>
        <v>0</v>
      </c>
      <c r="EA738"/>
      <c r="EB738"/>
      <c r="EC738"/>
      <c r="ED738"/>
      <c r="EE738"/>
      <c r="EF738"/>
      <c r="EJ738"/>
      <c r="EK738"/>
      <c r="EL738"/>
      <c r="ER738" s="212"/>
    </row>
    <row r="739" spans="1:148" s="923" customFormat="1" ht="12.75" hidden="1" customHeight="1" outlineLevel="1" x14ac:dyDescent="0.2">
      <c r="A739" s="870" t="s">
        <v>1410</v>
      </c>
      <c r="B739" s="215"/>
      <c r="C739" s="215"/>
      <c r="D739" s="215"/>
      <c r="E739" s="215"/>
      <c r="F739" s="215"/>
      <c r="G739" s="215"/>
      <c r="H739" s="215"/>
      <c r="I739" s="215"/>
      <c r="J739" s="215"/>
      <c r="K739" s="215"/>
      <c r="L739" s="215"/>
      <c r="M739" s="215"/>
      <c r="N739" s="215"/>
      <c r="O739" s="215"/>
      <c r="P739" s="215"/>
      <c r="Q739" s="215"/>
      <c r="R739" s="215"/>
      <c r="S739" s="215"/>
      <c r="T739" s="215"/>
      <c r="U739" s="215"/>
      <c r="V739" s="215"/>
      <c r="W739" s="215"/>
      <c r="X739" s="215"/>
      <c r="Y739" s="215"/>
      <c r="Z739" s="215"/>
      <c r="AA739" s="215"/>
      <c r="AB739" s="215"/>
      <c r="AC739" s="215">
        <f>+SUM(AC730:AC737)</f>
        <v>-47</v>
      </c>
      <c r="AD739" s="215">
        <f>+SUM(AD730:AD737)</f>
        <v>139</v>
      </c>
      <c r="AE739" s="215">
        <f>+SUM(AE730:AE737)</f>
        <v>-56</v>
      </c>
      <c r="AF739" s="215"/>
      <c r="AG739" s="215"/>
      <c r="AH739" s="215">
        <f t="shared" ref="AH739:AZ739" si="1408">+SUM(AH730:AH737)</f>
        <v>-88</v>
      </c>
      <c r="AI739" s="215">
        <f t="shared" si="1408"/>
        <v>100</v>
      </c>
      <c r="AJ739" s="215">
        <f t="shared" si="1408"/>
        <v>-105</v>
      </c>
      <c r="AK739" s="215">
        <f t="shared" si="1408"/>
        <v>87</v>
      </c>
      <c r="AL739" s="215">
        <f t="shared" si="1408"/>
        <v>-6</v>
      </c>
      <c r="AM739" s="215">
        <f t="shared" si="1408"/>
        <v>-79</v>
      </c>
      <c r="AN739" s="215">
        <f t="shared" si="1408"/>
        <v>144</v>
      </c>
      <c r="AO739" s="215">
        <f t="shared" si="1408"/>
        <v>-198</v>
      </c>
      <c r="AP739" s="215">
        <f t="shared" si="1408"/>
        <v>29</v>
      </c>
      <c r="AQ739" s="215">
        <f t="shared" si="1408"/>
        <v>-104</v>
      </c>
      <c r="AR739" s="215">
        <f t="shared" si="1408"/>
        <v>-103</v>
      </c>
      <c r="AS739" s="215">
        <f t="shared" si="1408"/>
        <v>92</v>
      </c>
      <c r="AT739" s="215">
        <f t="shared" si="1408"/>
        <v>-169</v>
      </c>
      <c r="AU739" s="215">
        <f t="shared" si="1408"/>
        <v>25</v>
      </c>
      <c r="AV739" s="215">
        <f t="shared" si="1408"/>
        <v>-155</v>
      </c>
      <c r="AW739" s="215">
        <f t="shared" si="1408"/>
        <v>0</v>
      </c>
      <c r="AX739" s="215">
        <f t="shared" si="1408"/>
        <v>0</v>
      </c>
      <c r="AY739" s="215">
        <f t="shared" si="1408"/>
        <v>0</v>
      </c>
      <c r="AZ739" s="215">
        <f t="shared" si="1408"/>
        <v>0</v>
      </c>
      <c r="BA739" s="215"/>
      <c r="BB739" s="215"/>
      <c r="BC739" s="215"/>
      <c r="BD739" s="215"/>
      <c r="BE739" s="215"/>
      <c r="BF739" s="215"/>
      <c r="BG739" s="215"/>
      <c r="BH739" s="215"/>
      <c r="BI739" s="215"/>
      <c r="BJ739" s="215"/>
      <c r="BK739" s="215"/>
      <c r="BL739" s="215"/>
      <c r="BM739" s="215"/>
      <c r="BN739" s="215"/>
      <c r="BO739" s="215"/>
      <c r="BP739" s="215"/>
      <c r="BQ739" s="215"/>
      <c r="BR739" s="215"/>
      <c r="BS739" s="215"/>
      <c r="BT739" s="215"/>
      <c r="BU739" s="215"/>
      <c r="BV739" s="215"/>
      <c r="BW739" s="215"/>
      <c r="BX739" s="215"/>
      <c r="BY739" s="215"/>
      <c r="BZ739" s="215"/>
      <c r="CA739" s="215"/>
      <c r="CB739" s="215"/>
      <c r="CC739" s="215"/>
      <c r="CD739" s="215"/>
      <c r="CE739" s="215"/>
      <c r="CF739" s="215"/>
      <c r="CG739" s="215"/>
      <c r="CH739" s="215"/>
      <c r="CI739" s="215"/>
      <c r="CJ739" s="215"/>
      <c r="CK739" s="215"/>
      <c r="CL739" s="215"/>
      <c r="CM739" s="215"/>
      <c r="CN739" s="215"/>
      <c r="CO739" s="215"/>
      <c r="CP739" s="215"/>
      <c r="CQ739" s="215"/>
      <c r="CR739" s="215"/>
      <c r="CS739" s="215"/>
      <c r="CT739" s="215"/>
      <c r="CU739" s="215"/>
      <c r="CV739" s="215"/>
      <c r="CW739" s="215"/>
      <c r="CX739" s="215"/>
      <c r="CY739" s="215"/>
      <c r="CZ739" s="215"/>
      <c r="DA739" s="215"/>
      <c r="DB739"/>
      <c r="DC739"/>
      <c r="DD739" s="870" t="s">
        <v>1410</v>
      </c>
      <c r="DE739" s="2327">
        <f t="shared" si="1386"/>
        <v>0</v>
      </c>
      <c r="DF739" s="2327">
        <f t="shared" si="1387"/>
        <v>0</v>
      </c>
      <c r="DG739" s="2327">
        <f t="shared" si="1388"/>
        <v>0</v>
      </c>
      <c r="DH739" s="2327">
        <f t="shared" si="1389"/>
        <v>0</v>
      </c>
      <c r="DI739" s="2327">
        <f t="shared" si="1390"/>
        <v>0</v>
      </c>
      <c r="DJ739" s="2327">
        <f t="shared" si="1391"/>
        <v>-6</v>
      </c>
      <c r="DK739" s="2327">
        <f t="shared" si="1392"/>
        <v>-104</v>
      </c>
      <c r="DL739" s="2327">
        <f t="shared" si="1393"/>
        <v>-155</v>
      </c>
      <c r="DM739" s="2327">
        <f t="shared" si="1394"/>
        <v>0</v>
      </c>
      <c r="DN739" s="2327">
        <f t="shared" si="1395"/>
        <v>0</v>
      </c>
      <c r="DO739" s="2327">
        <f t="shared" si="1396"/>
        <v>0</v>
      </c>
      <c r="DP739" s="2327">
        <f t="shared" si="1397"/>
        <v>0</v>
      </c>
      <c r="DQ739" s="2327">
        <f t="shared" si="1398"/>
        <v>0</v>
      </c>
      <c r="DR739" s="2327">
        <f t="shared" si="1399"/>
        <v>0</v>
      </c>
      <c r="DS739" s="2327">
        <f t="shared" si="1400"/>
        <v>0</v>
      </c>
      <c r="DT739" s="2327">
        <f t="shared" si="1401"/>
        <v>0</v>
      </c>
      <c r="DU739" s="2327">
        <f t="shared" si="1402"/>
        <v>0</v>
      </c>
      <c r="DV739" s="2327">
        <f t="shared" si="1403"/>
        <v>0</v>
      </c>
      <c r="DW739" s="2327">
        <f t="shared" si="1404"/>
        <v>0</v>
      </c>
      <c r="DX739" s="2327">
        <f t="shared" si="1405"/>
        <v>0</v>
      </c>
      <c r="DY739" s="2327">
        <f t="shared" si="1406"/>
        <v>0</v>
      </c>
      <c r="EA739"/>
      <c r="EB739"/>
      <c r="EC739"/>
      <c r="ED739"/>
      <c r="EE739"/>
      <c r="EF739"/>
      <c r="EJ739"/>
      <c r="EK739"/>
      <c r="EL739"/>
      <c r="ER739" s="212"/>
    </row>
    <row r="740" spans="1:148" s="923" customFormat="1" ht="12.75" customHeight="1" collapsed="1" x14ac:dyDescent="0.2">
      <c r="A740" s="865"/>
      <c r="B740" s="935"/>
      <c r="C740" s="935"/>
      <c r="D740" s="935"/>
      <c r="E740" s="935"/>
      <c r="F740" s="935"/>
      <c r="G740" s="935"/>
      <c r="H740" s="935"/>
      <c r="I740" s="935"/>
      <c r="J740" s="935"/>
      <c r="K740" s="935"/>
      <c r="L740" s="935"/>
      <c r="M740" s="215"/>
      <c r="N740" s="935"/>
      <c r="O740" s="935"/>
      <c r="P740" s="935"/>
      <c r="Q740" s="935"/>
      <c r="R740" s="215"/>
      <c r="S740" s="935"/>
      <c r="T740" s="935"/>
      <c r="U740" s="935"/>
      <c r="V740" s="935"/>
      <c r="W740" s="215"/>
      <c r="X740" s="935"/>
      <c r="Y740" s="935"/>
      <c r="Z740" s="935"/>
      <c r="AA740" s="935"/>
      <c r="AB740" s="215"/>
      <c r="AC740" s="935"/>
      <c r="AD740" s="935"/>
      <c r="AE740" s="935"/>
      <c r="AF740" s="935"/>
      <c r="AG740" s="215"/>
      <c r="AH740" s="935"/>
      <c r="AI740" s="935"/>
      <c r="AJ740" s="935"/>
      <c r="AK740" s="935"/>
      <c r="AL740" s="215"/>
      <c r="AM740" s="935"/>
      <c r="AN740" s="935"/>
      <c r="AO740" s="935"/>
      <c r="AP740" s="935"/>
      <c r="AQ740" s="215"/>
      <c r="AR740" s="935"/>
      <c r="AS740" s="935"/>
      <c r="AT740" s="935"/>
      <c r="AU740" s="935"/>
      <c r="AV740" s="215"/>
      <c r="AW740" s="935"/>
      <c r="AX740" s="935"/>
      <c r="AY740" s="935"/>
      <c r="AZ740" s="935"/>
      <c r="BA740" s="215"/>
      <c r="BB740" s="935"/>
      <c r="BC740" s="935"/>
      <c r="BD740" s="935"/>
      <c r="BE740" s="935"/>
      <c r="BF740" s="215"/>
      <c r="BG740" s="935"/>
      <c r="BH740" s="935"/>
      <c r="BI740" s="935"/>
      <c r="BJ740" s="935"/>
      <c r="BK740" s="215"/>
      <c r="BL740" s="935"/>
      <c r="BM740" s="935"/>
      <c r="BN740" s="935"/>
      <c r="BO740" s="935"/>
      <c r="BP740" s="215"/>
      <c r="BQ740" s="935"/>
      <c r="BR740" s="935"/>
      <c r="BS740" s="935"/>
      <c r="BT740" s="935"/>
      <c r="BU740" s="215"/>
      <c r="BV740" s="935"/>
      <c r="BW740" s="935"/>
      <c r="BX740" s="935"/>
      <c r="BY740" s="935"/>
      <c r="BZ740" s="215"/>
      <c r="CA740" s="215"/>
      <c r="CB740" s="215"/>
      <c r="CC740" s="215"/>
      <c r="CD740" s="215"/>
      <c r="CE740" s="215"/>
      <c r="CF740" s="215"/>
      <c r="CG740" s="215"/>
      <c r="CH740" s="215"/>
      <c r="CI740" s="215"/>
      <c r="CJ740" s="215"/>
      <c r="CK740" s="215"/>
      <c r="CL740" s="215"/>
      <c r="CM740" s="215"/>
      <c r="CN740" s="215"/>
      <c r="CO740" s="215"/>
      <c r="CP740" s="215"/>
      <c r="CQ740" s="215"/>
      <c r="CR740" s="215"/>
      <c r="CS740" s="215"/>
      <c r="CT740" s="215"/>
      <c r="CU740" s="215"/>
      <c r="CV740" s="215"/>
      <c r="CW740" s="215"/>
      <c r="CX740" s="215"/>
      <c r="CY740" s="215"/>
      <c r="CZ740" s="215"/>
      <c r="DA740" s="215"/>
      <c r="DB740"/>
      <c r="DC740"/>
      <c r="DD740" s="2323"/>
      <c r="DE740" s="2327"/>
      <c r="DF740" s="2327"/>
      <c r="DG740" s="2327"/>
      <c r="DH740" s="2327"/>
      <c r="DI740" s="2327"/>
      <c r="DJ740" s="2327"/>
      <c r="DK740" s="2327"/>
      <c r="DL740" s="2327"/>
      <c r="DM740" s="2327"/>
      <c r="DN740" s="2327"/>
      <c r="DO740" s="2327"/>
      <c r="DP740" s="2327"/>
      <c r="DQ740" s="2327"/>
      <c r="DR740" s="2327"/>
      <c r="DS740" s="2327"/>
      <c r="DT740" s="2327"/>
      <c r="DU740" s="2327"/>
      <c r="DV740" s="2327"/>
      <c r="DW740" s="2327"/>
      <c r="DX740" s="2327"/>
      <c r="DY740" s="2327"/>
      <c r="EA740"/>
      <c r="EB740"/>
      <c r="EC740"/>
      <c r="ED740"/>
      <c r="EE740"/>
      <c r="EF740"/>
      <c r="EJ740"/>
      <c r="EK740"/>
      <c r="EL740"/>
      <c r="ER740" s="212"/>
    </row>
    <row r="741" spans="1:148" s="923" customFormat="1" ht="0.95" customHeight="1" x14ac:dyDescent="0.2">
      <c r="A741" s="867"/>
      <c r="B741" s="935"/>
      <c r="C741" s="935"/>
      <c r="D741" s="935"/>
      <c r="E741" s="935"/>
      <c r="F741" s="935"/>
      <c r="G741" s="935"/>
      <c r="H741" s="935"/>
      <c r="I741" s="935"/>
      <c r="J741" s="935"/>
      <c r="K741" s="935"/>
      <c r="L741" s="935"/>
      <c r="M741" s="215"/>
      <c r="N741" s="935"/>
      <c r="O741" s="935"/>
      <c r="P741" s="935"/>
      <c r="Q741" s="935"/>
      <c r="R741" s="215"/>
      <c r="S741" s="935"/>
      <c r="T741" s="935"/>
      <c r="U741" s="935"/>
      <c r="V741" s="935"/>
      <c r="W741" s="215"/>
      <c r="X741" s="935"/>
      <c r="Y741" s="935"/>
      <c r="Z741" s="935"/>
      <c r="AA741" s="935"/>
      <c r="AB741" s="215"/>
      <c r="AC741" s="935"/>
      <c r="AD741" s="935"/>
      <c r="AE741" s="935"/>
      <c r="AF741" s="935"/>
      <c r="AG741" s="215"/>
      <c r="AH741" s="935"/>
      <c r="AI741" s="935"/>
      <c r="AJ741" s="935"/>
      <c r="AK741" s="935"/>
      <c r="AL741" s="215"/>
      <c r="AM741" s="935"/>
      <c r="AN741" s="935"/>
      <c r="AO741" s="935"/>
      <c r="AP741" s="935"/>
      <c r="AQ741" s="215"/>
      <c r="AR741" s="935"/>
      <c r="AS741" s="935"/>
      <c r="AT741" s="935"/>
      <c r="AU741" s="935"/>
      <c r="AV741" s="215"/>
      <c r="AW741" s="935"/>
      <c r="AX741" s="935"/>
      <c r="AY741" s="935"/>
      <c r="AZ741" s="935"/>
      <c r="BA741" s="215"/>
      <c r="BB741" s="935"/>
      <c r="BC741" s="935"/>
      <c r="BD741" s="935"/>
      <c r="BE741" s="935"/>
      <c r="BF741" s="215"/>
      <c r="BG741" s="935"/>
      <c r="BH741" s="935"/>
      <c r="BI741" s="935"/>
      <c r="BJ741" s="935"/>
      <c r="BK741" s="215"/>
      <c r="BL741" s="935"/>
      <c r="BM741" s="935"/>
      <c r="BN741" s="935"/>
      <c r="BO741" s="935"/>
      <c r="BP741" s="215"/>
      <c r="BQ741" s="935"/>
      <c r="BR741" s="935"/>
      <c r="BS741" s="935"/>
      <c r="BT741" s="935"/>
      <c r="BU741" s="215"/>
      <c r="BV741" s="935"/>
      <c r="BW741" s="935"/>
      <c r="BX741" s="935"/>
      <c r="BY741" s="935"/>
      <c r="BZ741" s="215"/>
      <c r="CA741" s="215"/>
      <c r="CB741" s="215"/>
      <c r="CC741" s="215"/>
      <c r="CD741" s="215"/>
      <c r="CE741" s="215"/>
      <c r="CF741" s="215"/>
      <c r="CG741" s="215"/>
      <c r="CH741" s="215"/>
      <c r="CI741" s="215"/>
      <c r="CJ741" s="215"/>
      <c r="CK741" s="215"/>
      <c r="CL741" s="215"/>
      <c r="CM741" s="215"/>
      <c r="CN741" s="215"/>
      <c r="CO741" s="215"/>
      <c r="CP741" s="215"/>
      <c r="CQ741" s="215"/>
      <c r="CR741" s="215"/>
      <c r="CS741" s="215"/>
      <c r="CT741" s="215"/>
      <c r="CU741" s="215"/>
      <c r="CV741" s="215"/>
      <c r="CW741" s="215"/>
      <c r="CX741" s="215"/>
      <c r="CY741" s="215"/>
      <c r="CZ741" s="215"/>
      <c r="DA741" s="215"/>
      <c r="DB741"/>
      <c r="DC741"/>
      <c r="DD741" s="867"/>
      <c r="DE741" s="2327"/>
      <c r="DF741" s="2327"/>
      <c r="DG741" s="2327"/>
      <c r="DH741" s="2327"/>
      <c r="DI741" s="2327"/>
      <c r="DJ741" s="2327"/>
      <c r="DK741" s="2327"/>
      <c r="DL741" s="2327"/>
      <c r="DM741" s="2327"/>
      <c r="DN741" s="2327"/>
      <c r="DO741" s="2327"/>
      <c r="DP741" s="2327"/>
      <c r="DQ741" s="2327"/>
      <c r="DR741" s="2327"/>
      <c r="DS741" s="2327"/>
      <c r="DT741" s="2327"/>
      <c r="DU741" s="2327"/>
      <c r="DV741" s="2327"/>
      <c r="DW741" s="2327"/>
      <c r="DX741" s="2327"/>
      <c r="DY741" s="2327"/>
      <c r="EA741"/>
      <c r="EB741"/>
      <c r="EC741"/>
      <c r="ED741"/>
      <c r="EE741"/>
      <c r="EF741"/>
      <c r="EJ741"/>
      <c r="EK741"/>
      <c r="EL741"/>
      <c r="ER741" s="212"/>
    </row>
    <row r="742" spans="1:148" s="923" customFormat="1" ht="12.75" customHeight="1" x14ac:dyDescent="0.2">
      <c r="A742" s="873" t="s">
        <v>521</v>
      </c>
      <c r="B742" s="963"/>
      <c r="C742" s="963"/>
      <c r="D742" s="963"/>
      <c r="E742" s="963"/>
      <c r="F742" s="963"/>
      <c r="G742" s="963"/>
      <c r="H742" s="963"/>
      <c r="I742" s="963" t="str">
        <f t="shared" ref="I742:AN742" si="1409">I5</f>
        <v>1Q00</v>
      </c>
      <c r="J742" s="963" t="str">
        <f t="shared" si="1409"/>
        <v>2Q00</v>
      </c>
      <c r="K742" s="963" t="str">
        <f t="shared" si="1409"/>
        <v>3Q00</v>
      </c>
      <c r="L742" s="963" t="str">
        <f t="shared" si="1409"/>
        <v>4Q00</v>
      </c>
      <c r="M742" s="649">
        <f t="shared" si="1409"/>
        <v>2000</v>
      </c>
      <c r="N742" s="963" t="str">
        <f t="shared" si="1409"/>
        <v>1Q01</v>
      </c>
      <c r="O742" s="963" t="str">
        <f t="shared" si="1409"/>
        <v>2Q01</v>
      </c>
      <c r="P742" s="963" t="str">
        <f t="shared" si="1409"/>
        <v>3Q01</v>
      </c>
      <c r="Q742" s="963" t="str">
        <f t="shared" si="1409"/>
        <v>4Q01</v>
      </c>
      <c r="R742" s="649">
        <f t="shared" si="1409"/>
        <v>2001</v>
      </c>
      <c r="S742" s="963" t="str">
        <f t="shared" si="1409"/>
        <v>1Q02</v>
      </c>
      <c r="T742" s="963" t="str">
        <f t="shared" si="1409"/>
        <v>2Q02</v>
      </c>
      <c r="U742" s="963" t="str">
        <f t="shared" si="1409"/>
        <v>3Q02</v>
      </c>
      <c r="V742" s="963" t="str">
        <f t="shared" si="1409"/>
        <v>4Q02</v>
      </c>
      <c r="W742" s="649">
        <f t="shared" si="1409"/>
        <v>2002</v>
      </c>
      <c r="X742" s="963" t="str">
        <f t="shared" si="1409"/>
        <v>1Q03</v>
      </c>
      <c r="Y742" s="963" t="str">
        <f t="shared" si="1409"/>
        <v>2Q03</v>
      </c>
      <c r="Z742" s="963" t="str">
        <f t="shared" si="1409"/>
        <v>3Q03</v>
      </c>
      <c r="AA742" s="963" t="str">
        <f t="shared" si="1409"/>
        <v>4Q03</v>
      </c>
      <c r="AB742" s="649">
        <f t="shared" si="1409"/>
        <v>2003</v>
      </c>
      <c r="AC742" s="963" t="str">
        <f t="shared" si="1409"/>
        <v>1Q04</v>
      </c>
      <c r="AD742" s="963" t="str">
        <f t="shared" si="1409"/>
        <v>2Q04</v>
      </c>
      <c r="AE742" s="963" t="str">
        <f t="shared" si="1409"/>
        <v>3Q04</v>
      </c>
      <c r="AF742" s="963" t="str">
        <f t="shared" si="1409"/>
        <v>4Q04</v>
      </c>
      <c r="AG742" s="649" t="str">
        <f t="shared" si="1409"/>
        <v>2004</v>
      </c>
      <c r="AH742" s="963" t="str">
        <f t="shared" si="1409"/>
        <v>1Q05</v>
      </c>
      <c r="AI742" s="963" t="str">
        <f t="shared" si="1409"/>
        <v>2Q05</v>
      </c>
      <c r="AJ742" s="963" t="str">
        <f t="shared" si="1409"/>
        <v>3Q05</v>
      </c>
      <c r="AK742" s="963" t="str">
        <f t="shared" si="1409"/>
        <v>4Q05</v>
      </c>
      <c r="AL742" s="649" t="str">
        <f t="shared" si="1409"/>
        <v>2005</v>
      </c>
      <c r="AM742" s="963" t="str">
        <f t="shared" si="1409"/>
        <v>1Q06</v>
      </c>
      <c r="AN742" s="963" t="str">
        <f t="shared" si="1409"/>
        <v>2Q06</v>
      </c>
      <c r="AO742" s="963" t="str">
        <f t="shared" ref="AO742:BT742" si="1410">AO5</f>
        <v>3Q06</v>
      </c>
      <c r="AP742" s="963" t="str">
        <f t="shared" si="1410"/>
        <v>4Q06</v>
      </c>
      <c r="AQ742" s="649" t="str">
        <f t="shared" si="1410"/>
        <v>2006</v>
      </c>
      <c r="AR742" s="963" t="str">
        <f t="shared" si="1410"/>
        <v>1Q07</v>
      </c>
      <c r="AS742" s="963" t="str">
        <f t="shared" si="1410"/>
        <v>2Q07</v>
      </c>
      <c r="AT742" s="963" t="str">
        <f t="shared" si="1410"/>
        <v>3Q07</v>
      </c>
      <c r="AU742" s="963" t="str">
        <f t="shared" si="1410"/>
        <v>4Q07</v>
      </c>
      <c r="AV742" s="649" t="str">
        <f t="shared" si="1410"/>
        <v>2007</v>
      </c>
      <c r="AW742" s="963" t="str">
        <f t="shared" si="1410"/>
        <v>1Q08</v>
      </c>
      <c r="AX742" s="963" t="str">
        <f t="shared" si="1410"/>
        <v>2Q08</v>
      </c>
      <c r="AY742" s="963" t="str">
        <f t="shared" si="1410"/>
        <v>3Q08</v>
      </c>
      <c r="AZ742" s="963" t="str">
        <f t="shared" si="1410"/>
        <v>4Q08</v>
      </c>
      <c r="BA742" s="649" t="str">
        <f t="shared" si="1410"/>
        <v>2008</v>
      </c>
      <c r="BB742" s="963" t="str">
        <f t="shared" si="1410"/>
        <v>1Q09</v>
      </c>
      <c r="BC742" s="963" t="str">
        <f t="shared" si="1410"/>
        <v>2Q09</v>
      </c>
      <c r="BD742" s="963" t="str">
        <f t="shared" si="1410"/>
        <v>3Q09</v>
      </c>
      <c r="BE742" s="963" t="str">
        <f t="shared" si="1410"/>
        <v>4Q09</v>
      </c>
      <c r="BF742" s="649" t="str">
        <f t="shared" si="1410"/>
        <v>2009</v>
      </c>
      <c r="BG742" s="963" t="str">
        <f t="shared" si="1410"/>
        <v>1Q10</v>
      </c>
      <c r="BH742" s="963" t="str">
        <f t="shared" si="1410"/>
        <v>2Q10</v>
      </c>
      <c r="BI742" s="963" t="str">
        <f t="shared" si="1410"/>
        <v>3Q10</v>
      </c>
      <c r="BJ742" s="963" t="str">
        <f t="shared" si="1410"/>
        <v>4Q10</v>
      </c>
      <c r="BK742" s="649" t="str">
        <f t="shared" si="1410"/>
        <v>2010</v>
      </c>
      <c r="BL742" s="963" t="str">
        <f t="shared" si="1410"/>
        <v>1Q11</v>
      </c>
      <c r="BM742" s="963" t="str">
        <f t="shared" si="1410"/>
        <v>2Q11</v>
      </c>
      <c r="BN742" s="963" t="str">
        <f t="shared" si="1410"/>
        <v>3Q11</v>
      </c>
      <c r="BO742" s="963" t="str">
        <f t="shared" si="1410"/>
        <v>4Q11</v>
      </c>
      <c r="BP742" s="649">
        <f t="shared" si="1410"/>
        <v>2011</v>
      </c>
      <c r="BQ742" s="963" t="str">
        <f t="shared" si="1410"/>
        <v>1Q12</v>
      </c>
      <c r="BR742" s="963" t="str">
        <f t="shared" si="1410"/>
        <v>2Q12</v>
      </c>
      <c r="BS742" s="963" t="str">
        <f t="shared" si="1410"/>
        <v>3Q12</v>
      </c>
      <c r="BT742" s="963" t="str">
        <f t="shared" si="1410"/>
        <v>4Q12</v>
      </c>
      <c r="BU742" s="649">
        <f t="shared" ref="BU742:DA742" si="1411">BU5</f>
        <v>2012</v>
      </c>
      <c r="BV742" s="963" t="str">
        <f t="shared" si="1411"/>
        <v>1Q13</v>
      </c>
      <c r="BW742" s="963" t="str">
        <f t="shared" si="1411"/>
        <v>2Q13</v>
      </c>
      <c r="BX742" s="963" t="str">
        <f t="shared" si="1411"/>
        <v>3Q13</v>
      </c>
      <c r="BY742" s="963" t="str">
        <f t="shared" si="1411"/>
        <v>4Q13</v>
      </c>
      <c r="BZ742" s="649">
        <f t="shared" si="1411"/>
        <v>2013</v>
      </c>
      <c r="CA742" s="1768" t="str">
        <f t="shared" si="1411"/>
        <v>1Q14</v>
      </c>
      <c r="CB742" s="963" t="str">
        <f t="shared" si="1411"/>
        <v>2Q14</v>
      </c>
      <c r="CC742" s="963" t="str">
        <f t="shared" si="1411"/>
        <v>3Q14</v>
      </c>
      <c r="CD742" s="964" t="str">
        <f t="shared" si="1411"/>
        <v>4Q14</v>
      </c>
      <c r="CE742" s="649">
        <f t="shared" si="1411"/>
        <v>2014</v>
      </c>
      <c r="CF742" s="963" t="str">
        <f t="shared" si="1411"/>
        <v>1Q15</v>
      </c>
      <c r="CG742" s="963" t="str">
        <f t="shared" si="1411"/>
        <v>2Q15</v>
      </c>
      <c r="CH742" s="963" t="str">
        <f t="shared" si="1411"/>
        <v>3Q15</v>
      </c>
      <c r="CI742" s="964" t="str">
        <f t="shared" si="1411"/>
        <v>4Q15</v>
      </c>
      <c r="CJ742" s="649">
        <f t="shared" si="1411"/>
        <v>2015</v>
      </c>
      <c r="CK742" s="963" t="str">
        <f t="shared" si="1411"/>
        <v>1Q16</v>
      </c>
      <c r="CL742" s="963" t="str">
        <f t="shared" si="1411"/>
        <v>2Q16</v>
      </c>
      <c r="CM742" s="963" t="str">
        <f t="shared" si="1411"/>
        <v>3Q16</v>
      </c>
      <c r="CN742" s="964" t="str">
        <f t="shared" si="1411"/>
        <v>4Q16</v>
      </c>
      <c r="CO742" s="649">
        <f t="shared" si="1411"/>
        <v>2016</v>
      </c>
      <c r="CP742" s="963" t="str">
        <f t="shared" si="1411"/>
        <v>1Q17</v>
      </c>
      <c r="CQ742" s="963" t="str">
        <f t="shared" si="1411"/>
        <v>2Q17</v>
      </c>
      <c r="CR742" s="963" t="str">
        <f t="shared" si="1411"/>
        <v>3Q17</v>
      </c>
      <c r="CS742" s="964" t="str">
        <f t="shared" si="1411"/>
        <v>4Q17A</v>
      </c>
      <c r="CT742" s="649" t="str">
        <f t="shared" si="1411"/>
        <v>2017A</v>
      </c>
      <c r="CU742" s="963" t="str">
        <f t="shared" si="1411"/>
        <v>1Q18E</v>
      </c>
      <c r="CV742" s="963" t="str">
        <f t="shared" si="1411"/>
        <v>2Q18E</v>
      </c>
      <c r="CW742" s="963" t="str">
        <f t="shared" si="1411"/>
        <v>3Q18E</v>
      </c>
      <c r="CX742" s="964" t="str">
        <f t="shared" si="1411"/>
        <v>4Q18E</v>
      </c>
      <c r="CY742" s="649" t="str">
        <f t="shared" si="1411"/>
        <v>2018E</v>
      </c>
      <c r="CZ742" s="649" t="str">
        <f t="shared" si="1411"/>
        <v>2019E</v>
      </c>
      <c r="DA742" s="649" t="str">
        <f t="shared" si="1411"/>
        <v>2020E</v>
      </c>
      <c r="DB742"/>
      <c r="DC742"/>
      <c r="DD742" s="873" t="s">
        <v>521</v>
      </c>
      <c r="DE742" s="649">
        <f>M742</f>
        <v>2000</v>
      </c>
      <c r="DF742" s="649">
        <f>R742</f>
        <v>2001</v>
      </c>
      <c r="DG742" s="649">
        <f>W742</f>
        <v>2002</v>
      </c>
      <c r="DH742" s="649">
        <f>AB742</f>
        <v>2003</v>
      </c>
      <c r="DI742" s="649" t="str">
        <f>AG742</f>
        <v>2004</v>
      </c>
      <c r="DJ742" s="649" t="str">
        <f>AL742</f>
        <v>2005</v>
      </c>
      <c r="DK742" s="649" t="str">
        <f>AQ742</f>
        <v>2006</v>
      </c>
      <c r="DL742" s="649" t="str">
        <f>AV742</f>
        <v>2007</v>
      </c>
      <c r="DM742" s="649" t="str">
        <f>BA742</f>
        <v>2008</v>
      </c>
      <c r="DN742" s="649" t="str">
        <f>BF742</f>
        <v>2009</v>
      </c>
      <c r="DO742" s="649" t="str">
        <f>BK742</f>
        <v>2010</v>
      </c>
      <c r="DP742" s="649">
        <f>BP742</f>
        <v>2011</v>
      </c>
      <c r="DQ742" s="649">
        <f>BU742</f>
        <v>2012</v>
      </c>
      <c r="DR742" s="649">
        <f>BZ742</f>
        <v>2013</v>
      </c>
      <c r="DS742" s="649">
        <f>CE742</f>
        <v>2014</v>
      </c>
      <c r="DT742" s="649">
        <f>CJ742</f>
        <v>2015</v>
      </c>
      <c r="DU742" s="649">
        <f>CO742</f>
        <v>2016</v>
      </c>
      <c r="DV742" s="649" t="str">
        <f>CT742</f>
        <v>2017A</v>
      </c>
      <c r="DW742" s="649" t="str">
        <f>CY742</f>
        <v>2018E</v>
      </c>
      <c r="DX742" s="649" t="str">
        <f>CZ742</f>
        <v>2019E</v>
      </c>
      <c r="DY742" s="649" t="str">
        <f>DA742</f>
        <v>2020E</v>
      </c>
      <c r="EA742"/>
      <c r="EB742"/>
      <c r="EC742"/>
      <c r="ED742"/>
      <c r="EE742"/>
      <c r="EF742"/>
      <c r="EJ742"/>
      <c r="EK742"/>
      <c r="EL742"/>
      <c r="ER742" s="212"/>
    </row>
    <row r="743" spans="1:148" ht="12.75" customHeight="1" x14ac:dyDescent="0.2">
      <c r="A743" s="1437"/>
      <c r="B743" s="854"/>
      <c r="C743" s="854"/>
      <c r="D743" s="854"/>
      <c r="E743" s="854"/>
      <c r="F743" s="854"/>
      <c r="G743" s="854"/>
      <c r="H743" s="854"/>
      <c r="I743" s="854"/>
      <c r="J743" s="854"/>
      <c r="K743" s="854"/>
      <c r="L743" s="854"/>
      <c r="M743" s="851"/>
      <c r="N743" s="854"/>
      <c r="O743" s="854"/>
      <c r="P743" s="854"/>
      <c r="Q743" s="854"/>
      <c r="R743" s="851"/>
      <c r="S743" s="854"/>
      <c r="T743" s="854"/>
      <c r="U743" s="854"/>
      <c r="V743" s="854"/>
      <c r="W743" s="851"/>
      <c r="X743" s="854"/>
      <c r="Y743" s="854"/>
      <c r="Z743" s="854"/>
      <c r="AA743" s="854"/>
      <c r="AB743" s="851"/>
      <c r="AC743" s="854"/>
      <c r="AD743" s="854"/>
      <c r="AE743" s="854"/>
      <c r="AF743" s="854"/>
      <c r="AG743" s="851"/>
      <c r="AH743" s="854"/>
      <c r="AI743" s="854"/>
      <c r="AJ743" s="854"/>
      <c r="AK743" s="854"/>
      <c r="AL743" s="851"/>
      <c r="AM743" s="854"/>
      <c r="AN743" s="854"/>
      <c r="AO743" s="854"/>
      <c r="AP743" s="854"/>
      <c r="AQ743" s="851"/>
      <c r="AR743" s="854"/>
      <c r="AS743" s="854"/>
      <c r="AT743" s="854"/>
      <c r="AU743" s="854"/>
      <c r="AV743" s="851"/>
      <c r="AW743" s="854"/>
      <c r="AX743" s="854"/>
      <c r="AY743" s="854"/>
      <c r="AZ743" s="854"/>
      <c r="BA743" s="851"/>
      <c r="BB743" s="854"/>
      <c r="BC743" s="854"/>
      <c r="BD743" s="854"/>
      <c r="BE743" s="854"/>
      <c r="BF743" s="851"/>
      <c r="BG743" s="854"/>
      <c r="BH743" s="854"/>
      <c r="BI743" s="854"/>
      <c r="BJ743" s="854"/>
      <c r="BK743" s="851"/>
      <c r="BL743" s="854"/>
      <c r="BM743" s="854"/>
      <c r="BN743" s="854"/>
      <c r="BO743" s="854"/>
      <c r="BP743" s="851"/>
      <c r="BQ743" s="854"/>
      <c r="BR743" s="854"/>
      <c r="BS743" s="854"/>
      <c r="BT743" s="854"/>
      <c r="BU743" s="851"/>
      <c r="BV743" s="854"/>
      <c r="BW743" s="854"/>
      <c r="BX743" s="854"/>
      <c r="BY743" s="854"/>
      <c r="BZ743" s="851"/>
      <c r="CA743" s="1775"/>
      <c r="CB743" s="854"/>
      <c r="CC743" s="854"/>
      <c r="CD743" s="1824"/>
      <c r="CE743" s="851"/>
      <c r="CF743" s="854"/>
      <c r="CG743" s="854"/>
      <c r="CH743" s="854"/>
      <c r="CI743" s="1824"/>
      <c r="CJ743" s="851"/>
      <c r="CK743" s="854"/>
      <c r="CL743" s="854"/>
      <c r="CM743" s="854"/>
      <c r="CN743" s="1824"/>
      <c r="CO743" s="851"/>
      <c r="CP743" s="854"/>
      <c r="CQ743" s="854"/>
      <c r="CR743" s="854"/>
      <c r="CS743" s="854"/>
      <c r="CT743" s="851"/>
      <c r="CU743" s="854"/>
      <c r="CV743" s="854"/>
      <c r="CW743" s="854"/>
      <c r="CX743" s="854"/>
      <c r="CY743" s="851"/>
      <c r="CZ743" s="851"/>
      <c r="DA743" s="851"/>
      <c r="DD743" s="1437"/>
      <c r="DE743" s="851"/>
      <c r="DF743" s="851"/>
      <c r="DG743" s="851"/>
      <c r="DH743" s="851"/>
      <c r="DI743" s="851"/>
      <c r="DJ743" s="851"/>
      <c r="DK743" s="851"/>
      <c r="DL743" s="851"/>
      <c r="DM743" s="851"/>
      <c r="DN743" s="851"/>
      <c r="DO743" s="851"/>
      <c r="DP743" s="851"/>
      <c r="DQ743" s="851"/>
      <c r="DR743" s="851"/>
      <c r="DS743" s="851"/>
      <c r="DT743" s="851"/>
      <c r="DU743" s="851"/>
      <c r="DV743" s="851"/>
      <c r="DW743" s="851"/>
      <c r="DX743" s="851"/>
      <c r="DY743" s="851"/>
      <c r="EK743"/>
      <c r="EL743"/>
    </row>
    <row r="744" spans="1:148" s="923" customFormat="1" ht="12.75" customHeight="1" x14ac:dyDescent="0.2">
      <c r="A744" s="1560" t="s">
        <v>522</v>
      </c>
      <c r="B744" s="842"/>
      <c r="C744" s="842"/>
      <c r="D744" s="842"/>
      <c r="E744" s="842"/>
      <c r="F744" s="842"/>
      <c r="G744" s="842"/>
      <c r="H744" s="842"/>
      <c r="I744" s="842"/>
      <c r="J744" s="842"/>
      <c r="K744" s="842"/>
      <c r="L744" s="842"/>
      <c r="M744" s="971"/>
      <c r="N744" s="842"/>
      <c r="O744" s="842"/>
      <c r="P744" s="842"/>
      <c r="Q744" s="842"/>
      <c r="R744" s="971"/>
      <c r="S744" s="842"/>
      <c r="T744" s="842"/>
      <c r="U744" s="842"/>
      <c r="V744" s="842"/>
      <c r="W744" s="971"/>
      <c r="X744" s="842"/>
      <c r="Y744" s="842"/>
      <c r="Z744" s="842"/>
      <c r="AA744" s="842"/>
      <c r="AB744" s="971"/>
      <c r="AC744" s="842"/>
      <c r="AD744" s="842"/>
      <c r="AE744" s="842"/>
      <c r="AF744" s="842"/>
      <c r="AG744" s="971"/>
      <c r="AH744" s="842"/>
      <c r="AI744" s="842"/>
      <c r="AJ744" s="842"/>
      <c r="AK744" s="842"/>
      <c r="AL744" s="971"/>
      <c r="AM744" s="842"/>
      <c r="AN744" s="842"/>
      <c r="AO744" s="842"/>
      <c r="AP744" s="842"/>
      <c r="AQ744" s="971"/>
      <c r="AR744" s="842"/>
      <c r="AS744" s="842"/>
      <c r="AT744" s="842"/>
      <c r="AU744" s="842"/>
      <c r="AV744" s="971"/>
      <c r="AW744" s="842"/>
      <c r="AX744" s="842"/>
      <c r="AY744" s="842"/>
      <c r="AZ744" s="842"/>
      <c r="BA744" s="971"/>
      <c r="BB744" s="842"/>
      <c r="BC744" s="842"/>
      <c r="BD744" s="842"/>
      <c r="BE744" s="842"/>
      <c r="BF744" s="971"/>
      <c r="BG744" s="842"/>
      <c r="BH744" s="842"/>
      <c r="BI744" s="842"/>
      <c r="BJ744" s="842"/>
      <c r="BK744" s="971"/>
      <c r="BL744" s="842"/>
      <c r="BM744" s="842"/>
      <c r="BN744" s="842"/>
      <c r="BO744" s="842"/>
      <c r="BP744" s="971"/>
      <c r="BQ744" s="842"/>
      <c r="BR744" s="842"/>
      <c r="BS744" s="842"/>
      <c r="BT744" s="842"/>
      <c r="BU744" s="971"/>
      <c r="BV744" s="842"/>
      <c r="BW744" s="842"/>
      <c r="BX744" s="842"/>
      <c r="BY744" s="842"/>
      <c r="BZ744" s="971"/>
      <c r="CA744" s="1234"/>
      <c r="CB744" s="842"/>
      <c r="CC744" s="842"/>
      <c r="CD744" s="1802"/>
      <c r="CE744" s="971"/>
      <c r="CF744" s="842"/>
      <c r="CG744" s="842"/>
      <c r="CH744" s="842"/>
      <c r="CI744" s="1802"/>
      <c r="CJ744" s="971"/>
      <c r="CK744" s="842"/>
      <c r="CL744" s="842"/>
      <c r="CM744" s="842"/>
      <c r="CN744" s="1802"/>
      <c r="CO744" s="1729"/>
      <c r="CP744" s="842"/>
      <c r="CQ744" s="842"/>
      <c r="CR744" s="842"/>
      <c r="CS744" s="842"/>
      <c r="CT744" s="1729"/>
      <c r="CU744" s="842"/>
      <c r="CV744" s="842"/>
      <c r="CW744" s="842"/>
      <c r="CX744" s="842"/>
      <c r="CY744" s="971"/>
      <c r="CZ744" s="971"/>
      <c r="DA744" s="971"/>
      <c r="DB744"/>
      <c r="DC744"/>
      <c r="DD744" s="1560" t="s">
        <v>522</v>
      </c>
      <c r="DE744" s="971"/>
      <c r="DF744" s="971"/>
      <c r="DG744" s="971"/>
      <c r="DH744" s="971"/>
      <c r="DI744" s="971"/>
      <c r="DJ744" s="971"/>
      <c r="DK744" s="971"/>
      <c r="DL744" s="971"/>
      <c r="DM744" s="971"/>
      <c r="DN744" s="971"/>
      <c r="DO744" s="971"/>
      <c r="DP744" s="971"/>
      <c r="DQ744" s="971"/>
      <c r="DR744" s="971"/>
      <c r="DS744" s="971"/>
      <c r="DT744" s="971"/>
      <c r="DU744" s="971"/>
      <c r="DV744" s="971"/>
      <c r="DW744" s="971"/>
      <c r="DX744" s="971"/>
      <c r="DY744" s="971"/>
      <c r="EA744"/>
      <c r="EB744"/>
      <c r="EC744"/>
      <c r="ED744"/>
      <c r="EE744"/>
      <c r="EF744"/>
      <c r="EJ744"/>
      <c r="EK744"/>
      <c r="EL744"/>
      <c r="ER744" s="212"/>
    </row>
    <row r="745" spans="1:148" s="923" customFormat="1" x14ac:dyDescent="0.2">
      <c r="A745" s="2295" t="s">
        <v>2495</v>
      </c>
      <c r="B745" s="1703"/>
      <c r="C745" s="1703"/>
      <c r="D745" s="1703"/>
      <c r="E745" s="1703"/>
      <c r="F745" s="1703"/>
      <c r="G745" s="1703"/>
      <c r="H745" s="1703"/>
      <c r="I745" s="1703">
        <v>372</v>
      </c>
      <c r="J745" s="1703">
        <v>410</v>
      </c>
      <c r="K745" s="1703">
        <v>378</v>
      </c>
      <c r="L745" s="1703">
        <v>334</v>
      </c>
      <c r="M745" s="1704">
        <v>334</v>
      </c>
      <c r="N745" s="1703">
        <v>370</v>
      </c>
      <c r="O745" s="1703">
        <v>674</v>
      </c>
      <c r="P745" s="1703">
        <v>874</v>
      </c>
      <c r="Q745" s="1703">
        <v>817</v>
      </c>
      <c r="R745" s="1704">
        <v>817</v>
      </c>
      <c r="S745" s="1703">
        <v>190</v>
      </c>
      <c r="T745" s="1703">
        <v>200</v>
      </c>
      <c r="U745" s="1703">
        <v>311</v>
      </c>
      <c r="V745" s="1703">
        <v>198</v>
      </c>
      <c r="W745" s="1704">
        <v>198</v>
      </c>
      <c r="X745" s="1703">
        <v>525</v>
      </c>
      <c r="Y745" s="1703">
        <v>144</v>
      </c>
      <c r="Z745" s="1703">
        <v>113</v>
      </c>
      <c r="AA745" s="1703">
        <v>229</v>
      </c>
      <c r="AB745" s="1704">
        <v>229</v>
      </c>
      <c r="AC745" s="1703">
        <v>203</v>
      </c>
      <c r="AD745" s="1703">
        <v>164</v>
      </c>
      <c r="AE745" s="1703">
        <v>202</v>
      </c>
      <c r="AF745" s="1703">
        <v>770</v>
      </c>
      <c r="AG745" s="1704">
        <v>770</v>
      </c>
      <c r="AH745" s="1703">
        <v>377</v>
      </c>
      <c r="AI745" s="1703">
        <v>471</v>
      </c>
      <c r="AJ745" s="1703">
        <v>161</v>
      </c>
      <c r="AK745" s="1703">
        <v>201</v>
      </c>
      <c r="AL745" s="1704">
        <v>201</v>
      </c>
      <c r="AM745" s="1703">
        <v>170</v>
      </c>
      <c r="AN745" s="1703">
        <v>362</v>
      </c>
      <c r="AO745" s="1703">
        <v>134</v>
      </c>
      <c r="AP745" s="1703">
        <v>191</v>
      </c>
      <c r="AQ745" s="1704">
        <v>191</v>
      </c>
      <c r="AR745" s="1703">
        <v>122</v>
      </c>
      <c r="AS745" s="1703">
        <v>149</v>
      </c>
      <c r="AT745" s="1703">
        <v>206</v>
      </c>
      <c r="AU745" s="1703">
        <v>332</v>
      </c>
      <c r="AV745" s="1704">
        <v>332</v>
      </c>
      <c r="AW745" s="1703">
        <v>314</v>
      </c>
      <c r="AX745" s="1703">
        <v>125</v>
      </c>
      <c r="AY745" s="1703">
        <v>117</v>
      </c>
      <c r="AZ745" s="1703">
        <v>134</v>
      </c>
      <c r="BA745" s="1704">
        <v>134</v>
      </c>
      <c r="BB745" s="1703">
        <v>168</v>
      </c>
      <c r="BC745" s="1703">
        <v>125</v>
      </c>
      <c r="BD745" s="1703">
        <v>130</v>
      </c>
      <c r="BE745" s="1703">
        <v>115</v>
      </c>
      <c r="BF745" s="1704">
        <v>115</v>
      </c>
      <c r="BG745" s="1703">
        <v>118</v>
      </c>
      <c r="BH745" s="1703">
        <v>100</v>
      </c>
      <c r="BI745" s="1703">
        <v>223</v>
      </c>
      <c r="BJ745" s="1703">
        <v>505</v>
      </c>
      <c r="BK745" s="1704">
        <v>505</v>
      </c>
      <c r="BL745" s="1703">
        <v>144</v>
      </c>
      <c r="BM745" s="1703">
        <v>117</v>
      </c>
      <c r="BN745" s="1703">
        <v>220</v>
      </c>
      <c r="BO745" s="1703">
        <f t="shared" ref="BO745:BT745" si="1412">IF(BO726&lt;0,0,BO726)</f>
        <v>102</v>
      </c>
      <c r="BP745" s="1704">
        <f t="shared" si="1412"/>
        <v>102</v>
      </c>
      <c r="BQ745" s="1703">
        <f t="shared" si="1412"/>
        <v>290</v>
      </c>
      <c r="BR745" s="1703">
        <f t="shared" si="1412"/>
        <v>105</v>
      </c>
      <c r="BS745" s="1703">
        <f t="shared" si="1412"/>
        <v>105</v>
      </c>
      <c r="BT745" s="1703">
        <f t="shared" si="1412"/>
        <v>88</v>
      </c>
      <c r="BU745" s="1704">
        <f t="shared" ref="BU745:BU750" si="1413">BT745</f>
        <v>88</v>
      </c>
      <c r="BV745" s="1703">
        <f>IF(BV726&lt;0,0,BV726)</f>
        <v>221</v>
      </c>
      <c r="BW745" s="1703">
        <f>IF(BW726&lt;0,0,BW726)</f>
        <v>108</v>
      </c>
      <c r="BX745" s="1703">
        <f>IF(BX726&lt;0,0,BX726)</f>
        <v>144</v>
      </c>
      <c r="BY745" s="1703">
        <f>+BY726</f>
        <v>126</v>
      </c>
      <c r="BZ745" s="1704">
        <f t="shared" ref="BZ745:BZ750" si="1414">BY745</f>
        <v>126</v>
      </c>
      <c r="CA745" s="1703">
        <f>+CA726</f>
        <v>184</v>
      </c>
      <c r="CB745" s="1703">
        <f>+CB726</f>
        <v>192</v>
      </c>
      <c r="CC745" s="1703">
        <f>+CC726</f>
        <v>150</v>
      </c>
      <c r="CD745" s="1703">
        <f>+CD726</f>
        <v>104</v>
      </c>
      <c r="CE745" s="1704">
        <f t="shared" ref="CE745:CE750" si="1415">CD745</f>
        <v>104</v>
      </c>
      <c r="CF745" s="1772">
        <f>+CF726</f>
        <v>120</v>
      </c>
      <c r="CG745" s="1703">
        <f>+CG726</f>
        <v>140</v>
      </c>
      <c r="CH745" s="1703">
        <f>+CH726</f>
        <v>95</v>
      </c>
      <c r="CI745" s="1703">
        <f>+CI726</f>
        <v>96</v>
      </c>
      <c r="CJ745" s="1704">
        <f t="shared" ref="CJ745:CJ750" si="1416">CI745</f>
        <v>96</v>
      </c>
      <c r="CK745" s="1703">
        <f>+CK726</f>
        <v>99</v>
      </c>
      <c r="CL745" s="1703">
        <f>+CL726</f>
        <v>679</v>
      </c>
      <c r="CM745" s="1703">
        <f>+CM726</f>
        <v>1078</v>
      </c>
      <c r="CN745" s="1703">
        <f>+CN726</f>
        <v>858</v>
      </c>
      <c r="CO745" s="1704">
        <f t="shared" ref="CO745:CO750" si="1417">CN745</f>
        <v>858</v>
      </c>
      <c r="CP745" s="1703">
        <f>+CP726</f>
        <v>738</v>
      </c>
      <c r="CQ745" s="1703">
        <f>+CQ726</f>
        <v>498</v>
      </c>
      <c r="CR745" s="1703">
        <f>+CR726</f>
        <v>508</v>
      </c>
      <c r="CS745" s="1703">
        <f>+CS726</f>
        <v>383</v>
      </c>
      <c r="CT745" s="1772">
        <f t="shared" ref="CT745:CT750" si="1418">CS745</f>
        <v>383</v>
      </c>
      <c r="CU745" s="1772">
        <f t="shared" ref="CU745:DA745" ca="1" si="1419">+CU726</f>
        <v>290.98924969362332</v>
      </c>
      <c r="CV745" s="1703">
        <f t="shared" ca="1" si="1419"/>
        <v>166.96587678457607</v>
      </c>
      <c r="CW745" s="1703">
        <f t="shared" ca="1" si="1419"/>
        <v>188.53475453330455</v>
      </c>
      <c r="CX745" s="1703">
        <f t="shared" ca="1" si="1419"/>
        <v>82.730912775479766</v>
      </c>
      <c r="CY745" s="1704">
        <f t="shared" ref="CY745:CY750" ca="1" si="1420">CX745</f>
        <v>82.730912775479766</v>
      </c>
      <c r="CZ745" s="1801">
        <f t="shared" ca="1" si="1419"/>
        <v>123.85407152597512</v>
      </c>
      <c r="DA745" s="1704">
        <f t="shared" ca="1" si="1419"/>
        <v>252.27718455050447</v>
      </c>
      <c r="DB745"/>
      <c r="DC745"/>
      <c r="DD745" s="2295" t="s">
        <v>897</v>
      </c>
      <c r="DE745" s="2292">
        <f t="shared" ref="DE745:DE751" si="1421">M745</f>
        <v>334</v>
      </c>
      <c r="DF745" s="2292">
        <f t="shared" ref="DF745:DF751" si="1422">R745</f>
        <v>817</v>
      </c>
      <c r="DG745" s="2292">
        <f t="shared" ref="DG745:DG751" si="1423">W745</f>
        <v>198</v>
      </c>
      <c r="DH745" s="2292">
        <f t="shared" ref="DH745:DH751" si="1424">AB745</f>
        <v>229</v>
      </c>
      <c r="DI745" s="2292">
        <f t="shared" ref="DI745:DI751" si="1425">AG745</f>
        <v>770</v>
      </c>
      <c r="DJ745" s="2292">
        <f t="shared" ref="DJ745:DJ751" si="1426">AL745</f>
        <v>201</v>
      </c>
      <c r="DK745" s="2292">
        <f t="shared" ref="DK745:DK751" si="1427">AQ745</f>
        <v>191</v>
      </c>
      <c r="DL745" s="2292">
        <f t="shared" ref="DL745:DL751" si="1428">AV745</f>
        <v>332</v>
      </c>
      <c r="DM745" s="2292">
        <f t="shared" ref="DM745:DM751" si="1429">BA745</f>
        <v>134</v>
      </c>
      <c r="DN745" s="2292">
        <f t="shared" ref="DN745:DN751" si="1430">BF745</f>
        <v>115</v>
      </c>
      <c r="DO745" s="2292">
        <f t="shared" ref="DO745:DO751" si="1431">BK745</f>
        <v>505</v>
      </c>
      <c r="DP745" s="2292">
        <f t="shared" ref="DP745:DP751" si="1432">BP745</f>
        <v>102</v>
      </c>
      <c r="DQ745" s="2292">
        <f t="shared" ref="DQ745:DQ751" si="1433">BU745</f>
        <v>88</v>
      </c>
      <c r="DR745" s="2292">
        <f t="shared" ref="DR745:DR751" si="1434">BZ745</f>
        <v>126</v>
      </c>
      <c r="DS745" s="2292">
        <f t="shared" ref="DS745:DS751" si="1435">CE745</f>
        <v>104</v>
      </c>
      <c r="DT745" s="2292">
        <f t="shared" ref="DT745:DT751" si="1436">CJ745</f>
        <v>96</v>
      </c>
      <c r="DU745" s="2292">
        <f t="shared" ref="DU745:DU751" si="1437">CO745</f>
        <v>858</v>
      </c>
      <c r="DV745" s="2292">
        <f t="shared" ref="DV745:DV751" si="1438">CT745</f>
        <v>383</v>
      </c>
      <c r="DW745" s="2292">
        <f t="shared" ref="DW745:DW751" ca="1" si="1439">CY745</f>
        <v>82.730912775479766</v>
      </c>
      <c r="DX745" s="2292">
        <f t="shared" ref="DX745:DX751" ca="1" si="1440">CZ745</f>
        <v>123.85407152597512</v>
      </c>
      <c r="DY745" s="2292">
        <f t="shared" ref="DY745:DY751" ca="1" si="1441">DA745</f>
        <v>252.27718455050447</v>
      </c>
      <c r="EA745"/>
      <c r="EB745"/>
      <c r="EC745"/>
      <c r="ED745"/>
      <c r="EE745"/>
      <c r="EF745"/>
      <c r="EJ745"/>
      <c r="EK745"/>
      <c r="EL745"/>
      <c r="EM745" s="1703"/>
      <c r="ER745" s="212"/>
    </row>
    <row r="746" spans="1:148" s="923" customFormat="1" x14ac:dyDescent="0.2">
      <c r="A746" s="507" t="s">
        <v>898</v>
      </c>
      <c r="B746" s="223"/>
      <c r="C746" s="223"/>
      <c r="D746" s="223"/>
      <c r="E746" s="223"/>
      <c r="F746" s="223"/>
      <c r="G746" s="223"/>
      <c r="H746" s="223"/>
      <c r="I746" s="223">
        <v>805</v>
      </c>
      <c r="J746" s="223">
        <v>750</v>
      </c>
      <c r="K746" s="223">
        <v>668</v>
      </c>
      <c r="L746" s="223">
        <v>728</v>
      </c>
      <c r="M746" s="968">
        <f>L746</f>
        <v>728</v>
      </c>
      <c r="N746" s="223">
        <v>719</v>
      </c>
      <c r="O746" s="223">
        <v>760</v>
      </c>
      <c r="P746" s="223">
        <v>660</v>
      </c>
      <c r="Q746" s="223">
        <v>611</v>
      </c>
      <c r="R746" s="968">
        <f>Q746</f>
        <v>611</v>
      </c>
      <c r="S746" s="223">
        <v>645</v>
      </c>
      <c r="T746" s="223">
        <v>653</v>
      </c>
      <c r="U746" s="223">
        <v>620</v>
      </c>
      <c r="V746" s="223">
        <v>524</v>
      </c>
      <c r="W746" s="968">
        <f>V746</f>
        <v>524</v>
      </c>
      <c r="X746" s="223">
        <v>614</v>
      </c>
      <c r="Y746" s="223">
        <v>645</v>
      </c>
      <c r="Z746" s="223">
        <v>765</v>
      </c>
      <c r="AA746" s="223">
        <v>699</v>
      </c>
      <c r="AB746" s="968">
        <f>AA746</f>
        <v>699</v>
      </c>
      <c r="AC746" s="223">
        <v>773</v>
      </c>
      <c r="AD746" s="223">
        <v>1058</v>
      </c>
      <c r="AE746" s="223">
        <v>863</v>
      </c>
      <c r="AF746" s="223">
        <v>797</v>
      </c>
      <c r="AG746" s="968">
        <f>AG14/AG4*AG690</f>
        <v>797</v>
      </c>
      <c r="AH746" s="223">
        <v>974</v>
      </c>
      <c r="AI746" s="223">
        <v>993</v>
      </c>
      <c r="AJ746" s="223">
        <v>914</v>
      </c>
      <c r="AK746" s="223">
        <v>1001</v>
      </c>
      <c r="AL746" s="968">
        <f>AL14/AL4*AL690</f>
        <v>1001</v>
      </c>
      <c r="AM746" s="223">
        <v>1055</v>
      </c>
      <c r="AN746" s="223">
        <v>1049</v>
      </c>
      <c r="AO746" s="223">
        <v>1124</v>
      </c>
      <c r="AP746" s="223">
        <v>1117</v>
      </c>
      <c r="AQ746" s="968">
        <f>AQ14/AQ4*AQ690</f>
        <v>1117</v>
      </c>
      <c r="AR746" s="223">
        <v>1198</v>
      </c>
      <c r="AS746" s="223">
        <v>1254</v>
      </c>
      <c r="AT746" s="223">
        <v>1239</v>
      </c>
      <c r="AU746" s="223">
        <v>1148</v>
      </c>
      <c r="AV746" s="968">
        <f>AV14/AV4*AV690</f>
        <v>1148</v>
      </c>
      <c r="AW746" s="223">
        <v>1118</v>
      </c>
      <c r="AX746" s="223">
        <v>1120</v>
      </c>
      <c r="AY746" s="223">
        <v>1091</v>
      </c>
      <c r="AZ746" s="223">
        <v>898</v>
      </c>
      <c r="BA746" s="968">
        <f>BA14/BA4*BA690</f>
        <v>898</v>
      </c>
      <c r="BB746" s="223">
        <v>832</v>
      </c>
      <c r="BC746" s="223">
        <v>863</v>
      </c>
      <c r="BD746" s="223">
        <v>908</v>
      </c>
      <c r="BE746" s="223">
        <v>838</v>
      </c>
      <c r="BF746" s="968">
        <f>BF14/BF4*BF690</f>
        <v>838</v>
      </c>
      <c r="BG746" s="223">
        <v>946</v>
      </c>
      <c r="BH746" s="223">
        <v>956</v>
      </c>
      <c r="BI746" s="223">
        <v>931</v>
      </c>
      <c r="BJ746" s="223">
        <v>938</v>
      </c>
      <c r="BK746" s="968">
        <f>BK14/BK4*BK690</f>
        <v>938</v>
      </c>
      <c r="BL746" s="223">
        <v>944</v>
      </c>
      <c r="BM746" s="223">
        <v>1006</v>
      </c>
      <c r="BN746" s="223">
        <v>1011</v>
      </c>
      <c r="BO746" s="223">
        <v>875</v>
      </c>
      <c r="BP746" s="968">
        <f>BP14/BP4*BP690</f>
        <v>875</v>
      </c>
      <c r="BQ746" s="223">
        <v>863</v>
      </c>
      <c r="BR746" s="223">
        <v>939</v>
      </c>
      <c r="BS746" s="223">
        <v>841</v>
      </c>
      <c r="BT746" s="223">
        <v>1028</v>
      </c>
      <c r="BU746" s="968">
        <f t="shared" si="1413"/>
        <v>1028</v>
      </c>
      <c r="BV746" s="223">
        <v>1080</v>
      </c>
      <c r="BW746" s="223">
        <v>1006</v>
      </c>
      <c r="BX746" s="223">
        <v>972</v>
      </c>
      <c r="BY746" s="223">
        <v>1081</v>
      </c>
      <c r="BZ746" s="968">
        <f t="shared" si="1414"/>
        <v>1081</v>
      </c>
      <c r="CA746" s="223">
        <v>1035</v>
      </c>
      <c r="CB746" s="223">
        <v>1057</v>
      </c>
      <c r="CC746" s="223">
        <v>1030</v>
      </c>
      <c r="CD746" s="223">
        <v>1100</v>
      </c>
      <c r="CE746" s="968">
        <f t="shared" si="1415"/>
        <v>1100</v>
      </c>
      <c r="CF746" s="2687">
        <v>1172</v>
      </c>
      <c r="CG746" s="223">
        <v>1188</v>
      </c>
      <c r="CH746" s="223">
        <v>1144</v>
      </c>
      <c r="CI746" s="223">
        <v>1103</v>
      </c>
      <c r="CJ746" s="968">
        <f t="shared" si="1416"/>
        <v>1103</v>
      </c>
      <c r="CK746" s="2687">
        <v>1143</v>
      </c>
      <c r="CL746" s="223">
        <v>1152</v>
      </c>
      <c r="CM746" s="2880">
        <v>1705</v>
      </c>
      <c r="CN746" s="2880">
        <v>1695</v>
      </c>
      <c r="CO746" s="968">
        <f t="shared" si="1417"/>
        <v>1695</v>
      </c>
      <c r="CP746" s="2687">
        <v>1752</v>
      </c>
      <c r="CQ746" s="2880">
        <v>1804</v>
      </c>
      <c r="CR746" s="223">
        <v>1914</v>
      </c>
      <c r="CS746" s="215">
        <f>CS14/CS4*CS690</f>
        <v>1914</v>
      </c>
      <c r="CT746" s="188">
        <f t="shared" si="1418"/>
        <v>1914</v>
      </c>
      <c r="CU746" s="188">
        <f ca="1">CU14/CU4*CU690</f>
        <v>1914</v>
      </c>
      <c r="CV746" s="215">
        <f ca="1">CV14/CV4*CV690</f>
        <v>1914</v>
      </c>
      <c r="CW746" s="215">
        <f ca="1">CW14/CW4*CW690</f>
        <v>1914</v>
      </c>
      <c r="CX746" s="215">
        <f ca="1">CX14/CX4*CX690</f>
        <v>1914</v>
      </c>
      <c r="CY746" s="968">
        <f t="shared" ca="1" si="1420"/>
        <v>1914</v>
      </c>
      <c r="CZ746" s="215">
        <f ca="1">CZ14/CZ4*CZ690</f>
        <v>1914</v>
      </c>
      <c r="DA746" s="968">
        <f ca="1">DA14/DA4*DA690</f>
        <v>1914.0000000000002</v>
      </c>
      <c r="DB746"/>
      <c r="DC746"/>
      <c r="DD746" s="2295" t="s">
        <v>898</v>
      </c>
      <c r="DE746" s="2290">
        <f t="shared" si="1421"/>
        <v>728</v>
      </c>
      <c r="DF746" s="2290">
        <f t="shared" si="1422"/>
        <v>611</v>
      </c>
      <c r="DG746" s="2290">
        <f t="shared" si="1423"/>
        <v>524</v>
      </c>
      <c r="DH746" s="2290">
        <f t="shared" si="1424"/>
        <v>699</v>
      </c>
      <c r="DI746" s="2290">
        <f t="shared" si="1425"/>
        <v>797</v>
      </c>
      <c r="DJ746" s="2290">
        <f t="shared" si="1426"/>
        <v>1001</v>
      </c>
      <c r="DK746" s="2290">
        <f t="shared" si="1427"/>
        <v>1117</v>
      </c>
      <c r="DL746" s="2290">
        <f t="shared" si="1428"/>
        <v>1148</v>
      </c>
      <c r="DM746" s="2290">
        <f t="shared" si="1429"/>
        <v>898</v>
      </c>
      <c r="DN746" s="2290">
        <f t="shared" si="1430"/>
        <v>838</v>
      </c>
      <c r="DO746" s="2290">
        <f t="shared" si="1431"/>
        <v>938</v>
      </c>
      <c r="DP746" s="2290">
        <f t="shared" si="1432"/>
        <v>875</v>
      </c>
      <c r="DQ746" s="2290">
        <f t="shared" si="1433"/>
        <v>1028</v>
      </c>
      <c r="DR746" s="2290">
        <f t="shared" si="1434"/>
        <v>1081</v>
      </c>
      <c r="DS746" s="2290">
        <f t="shared" si="1435"/>
        <v>1100</v>
      </c>
      <c r="DT746" s="2290">
        <f t="shared" si="1436"/>
        <v>1103</v>
      </c>
      <c r="DU746" s="2290">
        <f t="shared" si="1437"/>
        <v>1695</v>
      </c>
      <c r="DV746" s="2290">
        <f t="shared" si="1438"/>
        <v>1914</v>
      </c>
      <c r="DW746" s="2290">
        <f t="shared" ca="1" si="1439"/>
        <v>1914</v>
      </c>
      <c r="DX746" s="2290">
        <f t="shared" ca="1" si="1440"/>
        <v>1914</v>
      </c>
      <c r="DY746" s="2290">
        <f t="shared" ca="1" si="1441"/>
        <v>1914.0000000000002</v>
      </c>
      <c r="EA746"/>
      <c r="EB746"/>
      <c r="EC746"/>
      <c r="ED746"/>
      <c r="EE746"/>
      <c r="EF746"/>
      <c r="EJ746"/>
      <c r="EK746"/>
      <c r="EL746"/>
      <c r="EM746" s="1703"/>
      <c r="ER746" s="212"/>
    </row>
    <row r="747" spans="1:148" s="923" customFormat="1" x14ac:dyDescent="0.2">
      <c r="A747" s="507" t="s">
        <v>1779</v>
      </c>
      <c r="B747" s="845"/>
      <c r="C747" s="845"/>
      <c r="D747" s="845"/>
      <c r="E747" s="845"/>
      <c r="F747" s="845"/>
      <c r="G747" s="845"/>
      <c r="H747" s="845">
        <f>587+93</f>
        <v>680</v>
      </c>
      <c r="I747" s="845">
        <f>+I500</f>
        <v>728.60400000000004</v>
      </c>
      <c r="J747" s="845">
        <f>+J500</f>
        <v>738.52800000000002</v>
      </c>
      <c r="K747" s="845">
        <f>+K500</f>
        <v>748.30000000000007</v>
      </c>
      <c r="L747" s="845">
        <f>97+914</f>
        <v>1011</v>
      </c>
      <c r="M747" s="968">
        <f>L747</f>
        <v>1011</v>
      </c>
      <c r="N747" s="845">
        <f>+N500</f>
        <v>1026.4279999999999</v>
      </c>
      <c r="O747" s="845">
        <f>+O500</f>
        <v>1020.2639999999999</v>
      </c>
      <c r="P747" s="845">
        <f>+P500</f>
        <v>1000.9719999999999</v>
      </c>
      <c r="Q747" s="845">
        <f>96+1167</f>
        <v>1263</v>
      </c>
      <c r="R747" s="968">
        <f>Q747</f>
        <v>1263</v>
      </c>
      <c r="S747" s="845">
        <f>+S500</f>
        <v>1236.757476403378</v>
      </c>
      <c r="T747" s="845">
        <f>+T500</f>
        <v>1186.4797345322961</v>
      </c>
      <c r="U747" s="845">
        <f>+U500</f>
        <v>1133.5485162578361</v>
      </c>
      <c r="V747" s="845">
        <v>1270</v>
      </c>
      <c r="W747" s="968">
        <f>V747</f>
        <v>1270</v>
      </c>
      <c r="X747" s="845">
        <f>+X500</f>
        <v>1219.6528000000003</v>
      </c>
      <c r="Y747" s="845">
        <f>+Y500</f>
        <v>1195.3536000000004</v>
      </c>
      <c r="Z747" s="845">
        <f>+Z500</f>
        <v>1127.3712000000003</v>
      </c>
      <c r="AA747" s="845">
        <v>1286</v>
      </c>
      <c r="AB747" s="968">
        <f>AA747</f>
        <v>1286</v>
      </c>
      <c r="AC747" s="845">
        <f>+AC500</f>
        <v>1226.9756</v>
      </c>
      <c r="AD747" s="845">
        <f>+AD500</f>
        <v>1174.4192</v>
      </c>
      <c r="AE747" s="845">
        <f>+AE500</f>
        <v>1112.6995999999999</v>
      </c>
      <c r="AF747" s="845">
        <v>1186</v>
      </c>
      <c r="AG747" s="968">
        <f>AF747</f>
        <v>1186</v>
      </c>
      <c r="AH747" s="845">
        <f>+AH500</f>
        <v>1126.7292</v>
      </c>
      <c r="AI747" s="845">
        <f>+AI500</f>
        <v>1063.7239999999999</v>
      </c>
      <c r="AJ747" s="845">
        <f>+AJ500</f>
        <v>975.68599999999992</v>
      </c>
      <c r="AK747" s="845">
        <v>1164</v>
      </c>
      <c r="AL747" s="968">
        <f>AK747</f>
        <v>1164</v>
      </c>
      <c r="AM747" s="845">
        <v>1138</v>
      </c>
      <c r="AN747" s="845">
        <v>1124</v>
      </c>
      <c r="AO747" s="845">
        <v>1184</v>
      </c>
      <c r="AP747" s="845">
        <v>1208</v>
      </c>
      <c r="AQ747" s="968">
        <f>AP747</f>
        <v>1208</v>
      </c>
      <c r="AR747" s="845">
        <v>1172</v>
      </c>
      <c r="AS747" s="845">
        <v>1291</v>
      </c>
      <c r="AT747" s="845">
        <v>1499</v>
      </c>
      <c r="AU747" s="845">
        <v>1557</v>
      </c>
      <c r="AV747" s="968">
        <f>AU747</f>
        <v>1557</v>
      </c>
      <c r="AW747" s="845">
        <v>1718</v>
      </c>
      <c r="AX747" s="845">
        <v>1824</v>
      </c>
      <c r="AY747" s="845">
        <v>1892</v>
      </c>
      <c r="AZ747" s="845">
        <v>1981</v>
      </c>
      <c r="BA747" s="968">
        <f>AZ747</f>
        <v>1981</v>
      </c>
      <c r="BB747" s="845">
        <v>1994</v>
      </c>
      <c r="BC747" s="845">
        <v>2001</v>
      </c>
      <c r="BD747" s="845">
        <v>1465</v>
      </c>
      <c r="BE747" s="845">
        <v>1444</v>
      </c>
      <c r="BF747" s="968">
        <f>BE747</f>
        <v>1444</v>
      </c>
      <c r="BG747" s="845">
        <v>1503</v>
      </c>
      <c r="BH747" s="845">
        <v>1467</v>
      </c>
      <c r="BI747" s="845">
        <v>1455</v>
      </c>
      <c r="BJ747" s="845">
        <v>1489</v>
      </c>
      <c r="BK747" s="968">
        <f>BJ747</f>
        <v>1489</v>
      </c>
      <c r="BL747" s="845">
        <v>1459</v>
      </c>
      <c r="BM747" s="845">
        <v>1365</v>
      </c>
      <c r="BN747" s="845">
        <v>1029</v>
      </c>
      <c r="BO747" s="845">
        <v>11</v>
      </c>
      <c r="BP747" s="968">
        <f>BO747</f>
        <v>11</v>
      </c>
      <c r="BQ747" s="845">
        <v>12</v>
      </c>
      <c r="BR747" s="845">
        <v>12</v>
      </c>
      <c r="BS747" s="845">
        <v>11</v>
      </c>
      <c r="BT747" s="845">
        <v>10</v>
      </c>
      <c r="BU747" s="968">
        <f t="shared" si="1413"/>
        <v>10</v>
      </c>
      <c r="BV747" s="845">
        <v>11</v>
      </c>
      <c r="BW747" s="845">
        <v>0</v>
      </c>
      <c r="BX747" s="845">
        <v>0</v>
      </c>
      <c r="BY747" s="223">
        <v>0</v>
      </c>
      <c r="BZ747" s="968">
        <f t="shared" si="1414"/>
        <v>0</v>
      </c>
      <c r="CA747" s="845">
        <v>0</v>
      </c>
      <c r="CB747" s="845">
        <v>0</v>
      </c>
      <c r="CC747" s="845">
        <v>0</v>
      </c>
      <c r="CD747" s="845">
        <v>0</v>
      </c>
      <c r="CE747" s="968">
        <f t="shared" si="1415"/>
        <v>0</v>
      </c>
      <c r="CF747" s="1427">
        <v>0</v>
      </c>
      <c r="CG747" s="845">
        <v>0</v>
      </c>
      <c r="CH747" s="845">
        <v>0</v>
      </c>
      <c r="CI747" s="845">
        <f>+CH747</f>
        <v>0</v>
      </c>
      <c r="CJ747" s="968">
        <f t="shared" si="1416"/>
        <v>0</v>
      </c>
      <c r="CK747" s="2880">
        <v>0</v>
      </c>
      <c r="CL747" s="2880">
        <v>0</v>
      </c>
      <c r="CM747" s="2880">
        <v>0</v>
      </c>
      <c r="CN747" s="2880">
        <v>0</v>
      </c>
      <c r="CO747" s="968">
        <f t="shared" si="1417"/>
        <v>0</v>
      </c>
      <c r="CP747" s="2880">
        <v>0</v>
      </c>
      <c r="CQ747" s="2880">
        <v>0</v>
      </c>
      <c r="CR747" s="223">
        <v>0</v>
      </c>
      <c r="CS747" s="215">
        <f t="shared" ref="CS747:CS749" si="1442">+CR747</f>
        <v>0</v>
      </c>
      <c r="CT747" s="188">
        <f t="shared" si="1418"/>
        <v>0</v>
      </c>
      <c r="CU747" s="188">
        <f t="shared" ref="CU747:CX750" si="1443">+CT747</f>
        <v>0</v>
      </c>
      <c r="CV747" s="215">
        <f t="shared" si="1443"/>
        <v>0</v>
      </c>
      <c r="CW747" s="215">
        <f t="shared" si="1443"/>
        <v>0</v>
      </c>
      <c r="CX747" s="215">
        <f t="shared" si="1443"/>
        <v>0</v>
      </c>
      <c r="CY747" s="968">
        <f t="shared" si="1420"/>
        <v>0</v>
      </c>
      <c r="CZ747" s="215">
        <f t="shared" ref="CZ747:DA749" si="1444">+CY747</f>
        <v>0</v>
      </c>
      <c r="DA747" s="968">
        <f t="shared" si="1444"/>
        <v>0</v>
      </c>
      <c r="DB747"/>
      <c r="DC747"/>
      <c r="DD747" s="2295" t="s">
        <v>1779</v>
      </c>
      <c r="DE747" s="2290">
        <f t="shared" si="1421"/>
        <v>1011</v>
      </c>
      <c r="DF747" s="2290">
        <f t="shared" si="1422"/>
        <v>1263</v>
      </c>
      <c r="DG747" s="2290">
        <f t="shared" si="1423"/>
        <v>1270</v>
      </c>
      <c r="DH747" s="2290">
        <f t="shared" si="1424"/>
        <v>1286</v>
      </c>
      <c r="DI747" s="2290">
        <f t="shared" si="1425"/>
        <v>1186</v>
      </c>
      <c r="DJ747" s="2290">
        <f t="shared" si="1426"/>
        <v>1164</v>
      </c>
      <c r="DK747" s="2290">
        <f t="shared" si="1427"/>
        <v>1208</v>
      </c>
      <c r="DL747" s="2290">
        <f t="shared" si="1428"/>
        <v>1557</v>
      </c>
      <c r="DM747" s="2290">
        <f t="shared" si="1429"/>
        <v>1981</v>
      </c>
      <c r="DN747" s="2290">
        <f t="shared" si="1430"/>
        <v>1444</v>
      </c>
      <c r="DO747" s="2290">
        <f t="shared" si="1431"/>
        <v>1489</v>
      </c>
      <c r="DP747" s="2290">
        <f t="shared" si="1432"/>
        <v>11</v>
      </c>
      <c r="DQ747" s="2290">
        <f t="shared" si="1433"/>
        <v>10</v>
      </c>
      <c r="DR747" s="2290">
        <f t="shared" si="1434"/>
        <v>0</v>
      </c>
      <c r="DS747" s="2290">
        <f t="shared" si="1435"/>
        <v>0</v>
      </c>
      <c r="DT747" s="2290">
        <f t="shared" si="1436"/>
        <v>0</v>
      </c>
      <c r="DU747" s="2290">
        <f t="shared" si="1437"/>
        <v>0</v>
      </c>
      <c r="DV747" s="2290">
        <f t="shared" si="1438"/>
        <v>0</v>
      </c>
      <c r="DW747" s="2290">
        <f t="shared" si="1439"/>
        <v>0</v>
      </c>
      <c r="DX747" s="2290">
        <f t="shared" si="1440"/>
        <v>0</v>
      </c>
      <c r="DY747" s="2290">
        <f t="shared" si="1441"/>
        <v>0</v>
      </c>
      <c r="EA747"/>
      <c r="EB747"/>
      <c r="EC747"/>
      <c r="ED747"/>
      <c r="EE747"/>
      <c r="EF747"/>
      <c r="EJ747"/>
      <c r="EK747"/>
      <c r="EL747"/>
      <c r="EM747" s="1703"/>
      <c r="ER747" s="212"/>
    </row>
    <row r="748" spans="1:148" s="923" customFormat="1" x14ac:dyDescent="0.2">
      <c r="A748" s="507" t="s">
        <v>2097</v>
      </c>
      <c r="B748" s="223"/>
      <c r="C748" s="223"/>
      <c r="D748" s="223"/>
      <c r="E748" s="223"/>
      <c r="F748" s="223"/>
      <c r="G748" s="223"/>
      <c r="H748" s="223"/>
      <c r="I748" s="223">
        <f>+J748</f>
        <v>197</v>
      </c>
      <c r="J748" s="223">
        <f>+K748</f>
        <v>197</v>
      </c>
      <c r="K748" s="223">
        <f>+L748</f>
        <v>197</v>
      </c>
      <c r="L748" s="223">
        <f>197</f>
        <v>197</v>
      </c>
      <c r="M748" s="968">
        <f>+L748</f>
        <v>197</v>
      </c>
      <c r="N748" s="223">
        <f>+O748</f>
        <v>223</v>
      </c>
      <c r="O748" s="223">
        <f>+P748</f>
        <v>223</v>
      </c>
      <c r="P748" s="223">
        <f>+Q748</f>
        <v>223</v>
      </c>
      <c r="Q748" s="223">
        <f>223</f>
        <v>223</v>
      </c>
      <c r="R748" s="968">
        <f>+Q748</f>
        <v>223</v>
      </c>
      <c r="S748" s="223">
        <f>+R748</f>
        <v>223</v>
      </c>
      <c r="T748" s="223">
        <f>+S748</f>
        <v>223</v>
      </c>
      <c r="U748" s="223">
        <f>+T748</f>
        <v>223</v>
      </c>
      <c r="V748" s="223">
        <v>300</v>
      </c>
      <c r="W748" s="968">
        <f>+V748</f>
        <v>300</v>
      </c>
      <c r="X748" s="223">
        <v>295</v>
      </c>
      <c r="Y748" s="223">
        <v>274</v>
      </c>
      <c r="Z748" s="223">
        <v>254</v>
      </c>
      <c r="AA748" s="223">
        <v>223</v>
      </c>
      <c r="AB748" s="968">
        <f>+AA748</f>
        <v>223</v>
      </c>
      <c r="AC748" s="223">
        <v>216</v>
      </c>
      <c r="AD748" s="223">
        <v>216</v>
      </c>
      <c r="AE748" s="223">
        <v>248</v>
      </c>
      <c r="AF748" s="223">
        <v>162</v>
      </c>
      <c r="AG748" s="968">
        <f>+AF748</f>
        <v>162</v>
      </c>
      <c r="AH748" s="223">
        <v>162</v>
      </c>
      <c r="AI748" s="223">
        <v>159</v>
      </c>
      <c r="AJ748" s="223">
        <v>184</v>
      </c>
      <c r="AK748" s="223">
        <v>220</v>
      </c>
      <c r="AL748" s="968">
        <f>+AK748</f>
        <v>220</v>
      </c>
      <c r="AM748" s="223">
        <v>292</v>
      </c>
      <c r="AN748" s="223">
        <v>236</v>
      </c>
      <c r="AO748" s="223">
        <v>234</v>
      </c>
      <c r="AP748" s="223">
        <v>200</v>
      </c>
      <c r="AQ748" s="968">
        <f>+AP748</f>
        <v>200</v>
      </c>
      <c r="AR748" s="223">
        <v>219</v>
      </c>
      <c r="AS748" s="223">
        <v>227</v>
      </c>
      <c r="AT748" s="223">
        <v>246</v>
      </c>
      <c r="AU748" s="223">
        <v>185</v>
      </c>
      <c r="AV748" s="968">
        <f>+AU748</f>
        <v>185</v>
      </c>
      <c r="AW748" s="223">
        <v>183</v>
      </c>
      <c r="AX748" s="223">
        <v>192</v>
      </c>
      <c r="AY748" s="223">
        <v>190</v>
      </c>
      <c r="AZ748" s="223">
        <v>186</v>
      </c>
      <c r="BA748" s="968">
        <f>+AZ748</f>
        <v>186</v>
      </c>
      <c r="BB748" s="223">
        <v>175</v>
      </c>
      <c r="BC748" s="223">
        <v>175</v>
      </c>
      <c r="BD748" s="223">
        <v>257</v>
      </c>
      <c r="BE748" s="223">
        <v>255</v>
      </c>
      <c r="BF748" s="968">
        <f>+BE748</f>
        <v>255</v>
      </c>
      <c r="BG748" s="223">
        <v>110</v>
      </c>
      <c r="BH748" s="223">
        <v>93</v>
      </c>
      <c r="BI748" s="223">
        <v>223</v>
      </c>
      <c r="BJ748" s="223">
        <v>81</v>
      </c>
      <c r="BK748" s="968">
        <f>+BJ748</f>
        <v>81</v>
      </c>
      <c r="BL748" s="223">
        <v>104</v>
      </c>
      <c r="BM748" s="223">
        <v>93</v>
      </c>
      <c r="BN748" s="223">
        <v>85</v>
      </c>
      <c r="BO748" s="223">
        <v>54</v>
      </c>
      <c r="BP748" s="968">
        <f>+BO748</f>
        <v>54</v>
      </c>
      <c r="BQ748" s="223">
        <v>62</v>
      </c>
      <c r="BR748" s="223">
        <v>48</v>
      </c>
      <c r="BS748" s="223">
        <v>45</v>
      </c>
      <c r="BT748" s="223">
        <v>57</v>
      </c>
      <c r="BU748" s="968">
        <f t="shared" si="1413"/>
        <v>57</v>
      </c>
      <c r="BV748" s="223">
        <v>56</v>
      </c>
      <c r="BW748" s="223">
        <v>60</v>
      </c>
      <c r="BX748" s="223">
        <v>57</v>
      </c>
      <c r="BY748" s="223">
        <v>67</v>
      </c>
      <c r="BZ748" s="968">
        <f t="shared" si="1414"/>
        <v>67</v>
      </c>
      <c r="CA748" s="223">
        <v>59</v>
      </c>
      <c r="CB748" s="223">
        <v>58</v>
      </c>
      <c r="CC748" s="223">
        <v>54</v>
      </c>
      <c r="CD748" s="223">
        <v>64</v>
      </c>
      <c r="CE748" s="968">
        <f t="shared" si="1415"/>
        <v>64</v>
      </c>
      <c r="CF748" s="2687">
        <v>64</v>
      </c>
      <c r="CG748" s="223">
        <v>68</v>
      </c>
      <c r="CH748" s="223">
        <v>58</v>
      </c>
      <c r="CI748" s="223">
        <v>77</v>
      </c>
      <c r="CJ748" s="968">
        <f t="shared" si="1416"/>
        <v>77</v>
      </c>
      <c r="CK748" s="2687">
        <v>79</v>
      </c>
      <c r="CL748" s="223">
        <v>71</v>
      </c>
      <c r="CM748" s="2880">
        <v>168</v>
      </c>
      <c r="CN748" s="2880">
        <v>168</v>
      </c>
      <c r="CO748" s="968">
        <f t="shared" si="1417"/>
        <v>168</v>
      </c>
      <c r="CP748" s="2687">
        <v>231</v>
      </c>
      <c r="CQ748" s="2880">
        <v>243</v>
      </c>
      <c r="CR748" s="223">
        <v>225</v>
      </c>
      <c r="CS748" s="215">
        <f t="shared" si="1442"/>
        <v>225</v>
      </c>
      <c r="CT748" s="188">
        <f t="shared" si="1418"/>
        <v>225</v>
      </c>
      <c r="CU748" s="188">
        <f t="shared" si="1443"/>
        <v>225</v>
      </c>
      <c r="CV748" s="215">
        <f t="shared" si="1443"/>
        <v>225</v>
      </c>
      <c r="CW748" s="215">
        <f t="shared" si="1443"/>
        <v>225</v>
      </c>
      <c r="CX748" s="215">
        <f t="shared" si="1443"/>
        <v>225</v>
      </c>
      <c r="CY748" s="968">
        <f t="shared" si="1420"/>
        <v>225</v>
      </c>
      <c r="CZ748" s="215">
        <f t="shared" si="1444"/>
        <v>225</v>
      </c>
      <c r="DA748" s="968">
        <f t="shared" si="1444"/>
        <v>225</v>
      </c>
      <c r="DB748"/>
      <c r="DC748"/>
      <c r="DD748" s="2295" t="s">
        <v>2097</v>
      </c>
      <c r="DE748" s="2290">
        <f t="shared" si="1421"/>
        <v>197</v>
      </c>
      <c r="DF748" s="2290">
        <f t="shared" si="1422"/>
        <v>223</v>
      </c>
      <c r="DG748" s="2290">
        <f t="shared" si="1423"/>
        <v>300</v>
      </c>
      <c r="DH748" s="2290">
        <f t="shared" si="1424"/>
        <v>223</v>
      </c>
      <c r="DI748" s="2290">
        <f t="shared" si="1425"/>
        <v>162</v>
      </c>
      <c r="DJ748" s="2290">
        <f t="shared" si="1426"/>
        <v>220</v>
      </c>
      <c r="DK748" s="2290">
        <f t="shared" si="1427"/>
        <v>200</v>
      </c>
      <c r="DL748" s="2290">
        <f t="shared" si="1428"/>
        <v>185</v>
      </c>
      <c r="DM748" s="2290">
        <f t="shared" si="1429"/>
        <v>186</v>
      </c>
      <c r="DN748" s="2290">
        <f t="shared" si="1430"/>
        <v>255</v>
      </c>
      <c r="DO748" s="2290">
        <f t="shared" si="1431"/>
        <v>81</v>
      </c>
      <c r="DP748" s="2290">
        <f t="shared" si="1432"/>
        <v>54</v>
      </c>
      <c r="DQ748" s="2290">
        <f t="shared" si="1433"/>
        <v>57</v>
      </c>
      <c r="DR748" s="2290">
        <f t="shared" si="1434"/>
        <v>67</v>
      </c>
      <c r="DS748" s="2290">
        <f t="shared" si="1435"/>
        <v>64</v>
      </c>
      <c r="DT748" s="2290">
        <f t="shared" si="1436"/>
        <v>77</v>
      </c>
      <c r="DU748" s="2290">
        <f t="shared" si="1437"/>
        <v>168</v>
      </c>
      <c r="DV748" s="2290">
        <f t="shared" si="1438"/>
        <v>225</v>
      </c>
      <c r="DW748" s="2290">
        <f t="shared" si="1439"/>
        <v>225</v>
      </c>
      <c r="DX748" s="2290">
        <f t="shared" si="1440"/>
        <v>225</v>
      </c>
      <c r="DY748" s="2290">
        <f t="shared" si="1441"/>
        <v>225</v>
      </c>
      <c r="EA748"/>
      <c r="EB748"/>
      <c r="EC748"/>
      <c r="ED748"/>
      <c r="EE748"/>
      <c r="EF748"/>
      <c r="EJ748"/>
      <c r="EK748"/>
      <c r="EL748"/>
      <c r="EM748" s="1703"/>
      <c r="ER748" s="212"/>
    </row>
    <row r="749" spans="1:148" s="923" customFormat="1" x14ac:dyDescent="0.2">
      <c r="A749" s="507" t="s">
        <v>2098</v>
      </c>
      <c r="B749" s="223"/>
      <c r="C749" s="223"/>
      <c r="D749" s="223"/>
      <c r="E749" s="223"/>
      <c r="F749" s="223"/>
      <c r="G749" s="223"/>
      <c r="H749" s="223"/>
      <c r="I749" s="223">
        <v>0</v>
      </c>
      <c r="J749" s="223">
        <v>0</v>
      </c>
      <c r="K749" s="223">
        <v>0</v>
      </c>
      <c r="L749" s="223">
        <v>0</v>
      </c>
      <c r="M749" s="968">
        <f>L749</f>
        <v>0</v>
      </c>
      <c r="N749" s="223">
        <v>0</v>
      </c>
      <c r="O749" s="223">
        <v>0</v>
      </c>
      <c r="P749" s="223">
        <v>0</v>
      </c>
      <c r="Q749" s="223">
        <v>324</v>
      </c>
      <c r="R749" s="968">
        <f>Q749</f>
        <v>324</v>
      </c>
      <c r="S749" s="223">
        <v>290</v>
      </c>
      <c r="T749" s="223">
        <v>316</v>
      </c>
      <c r="U749" s="223">
        <v>164</v>
      </c>
      <c r="V749" s="223">
        <v>633</v>
      </c>
      <c r="W749" s="968">
        <f>V749</f>
        <v>633</v>
      </c>
      <c r="X749" s="223">
        <v>186</v>
      </c>
      <c r="Y749" s="223">
        <v>228</v>
      </c>
      <c r="Z749" s="223">
        <v>17</v>
      </c>
      <c r="AA749" s="223">
        <v>0</v>
      </c>
      <c r="AB749" s="968">
        <f>AA749</f>
        <v>0</v>
      </c>
      <c r="AC749" s="223">
        <v>10</v>
      </c>
      <c r="AD749" s="223">
        <v>7</v>
      </c>
      <c r="AE749" s="223">
        <v>15</v>
      </c>
      <c r="AF749" s="223">
        <v>0</v>
      </c>
      <c r="AG749" s="968">
        <f>AF749</f>
        <v>0</v>
      </c>
      <c r="AH749" s="223">
        <f>+AG749</f>
        <v>0</v>
      </c>
      <c r="AI749" s="223">
        <f>+AH749</f>
        <v>0</v>
      </c>
      <c r="AJ749" s="223">
        <v>487</v>
      </c>
      <c r="AK749" s="223">
        <f>555</f>
        <v>555</v>
      </c>
      <c r="AL749" s="968">
        <f>AK749</f>
        <v>555</v>
      </c>
      <c r="AM749" s="223">
        <f>622</f>
        <v>622</v>
      </c>
      <c r="AN749" s="223">
        <v>343</v>
      </c>
      <c r="AO749" s="223">
        <v>383</v>
      </c>
      <c r="AP749" s="223">
        <v>411</v>
      </c>
      <c r="AQ749" s="968">
        <f>AP749</f>
        <v>411</v>
      </c>
      <c r="AR749" s="223">
        <v>475</v>
      </c>
      <c r="AS749" s="223">
        <v>653</v>
      </c>
      <c r="AT749" s="223">
        <v>340</v>
      </c>
      <c r="AU749" s="223">
        <v>123</v>
      </c>
      <c r="AV749" s="968">
        <f>AU749</f>
        <v>123</v>
      </c>
      <c r="AW749" s="223">
        <v>126</v>
      </c>
      <c r="AX749" s="223">
        <v>128</v>
      </c>
      <c r="AY749" s="223">
        <v>129</v>
      </c>
      <c r="AZ749" s="223">
        <v>0</v>
      </c>
      <c r="BA749" s="968">
        <f>AZ749</f>
        <v>0</v>
      </c>
      <c r="BB749" s="223">
        <v>268</v>
      </c>
      <c r="BC749" s="223">
        <f>96+138</f>
        <v>234</v>
      </c>
      <c r="BD749" s="223">
        <f>78+125</f>
        <v>203</v>
      </c>
      <c r="BE749" s="223">
        <v>199</v>
      </c>
      <c r="BF749" s="968">
        <f>BE749</f>
        <v>199</v>
      </c>
      <c r="BG749" s="223">
        <f>254+84</f>
        <v>338</v>
      </c>
      <c r="BH749" s="223">
        <f>242+93</f>
        <v>335</v>
      </c>
      <c r="BI749" s="223">
        <f>74+155</f>
        <v>229</v>
      </c>
      <c r="BJ749" s="223">
        <f>123+246</f>
        <v>369</v>
      </c>
      <c r="BK749" s="968">
        <f>BJ749</f>
        <v>369</v>
      </c>
      <c r="BL749" s="223">
        <f>107+241</f>
        <v>348</v>
      </c>
      <c r="BM749" s="223">
        <f>120+237</f>
        <v>357</v>
      </c>
      <c r="BN749" s="223">
        <f>99+234</f>
        <v>333</v>
      </c>
      <c r="BO749" s="223">
        <v>282</v>
      </c>
      <c r="BP749" s="968">
        <f>BO749</f>
        <v>282</v>
      </c>
      <c r="BQ749" s="223">
        <v>230</v>
      </c>
      <c r="BR749" s="223">
        <v>181</v>
      </c>
      <c r="BS749" s="223">
        <v>146</v>
      </c>
      <c r="BT749" s="223">
        <v>280</v>
      </c>
      <c r="BU749" s="968">
        <f t="shared" si="1413"/>
        <v>280</v>
      </c>
      <c r="BV749" s="223">
        <v>247</v>
      </c>
      <c r="BW749" s="223">
        <v>206</v>
      </c>
      <c r="BX749" s="223">
        <v>217</v>
      </c>
      <c r="BY749" s="223">
        <v>252</v>
      </c>
      <c r="BZ749" s="968">
        <f t="shared" si="1414"/>
        <v>252</v>
      </c>
      <c r="CA749" s="223">
        <v>235</v>
      </c>
      <c r="CB749" s="223">
        <v>202</v>
      </c>
      <c r="CC749" s="223">
        <v>207</v>
      </c>
      <c r="CD749" s="223">
        <v>311</v>
      </c>
      <c r="CE749" s="968">
        <f t="shared" si="1415"/>
        <v>311</v>
      </c>
      <c r="CF749" s="2687">
        <v>311</v>
      </c>
      <c r="CG749" s="223">
        <v>309</v>
      </c>
      <c r="CH749" s="223">
        <v>257</v>
      </c>
      <c r="CI749" s="845">
        <v>0</v>
      </c>
      <c r="CJ749" s="968">
        <f t="shared" si="1416"/>
        <v>0</v>
      </c>
      <c r="CK749" s="2880">
        <v>0</v>
      </c>
      <c r="CL749" s="2880">
        <v>0</v>
      </c>
      <c r="CM749" s="2880">
        <v>0</v>
      </c>
      <c r="CN749" s="2880">
        <v>0</v>
      </c>
      <c r="CO749" s="968">
        <f t="shared" si="1417"/>
        <v>0</v>
      </c>
      <c r="CP749" s="2880">
        <v>0</v>
      </c>
      <c r="CQ749" s="2880">
        <v>0</v>
      </c>
      <c r="CR749" s="223">
        <v>0</v>
      </c>
      <c r="CS749" s="215">
        <f t="shared" si="1442"/>
        <v>0</v>
      </c>
      <c r="CT749" s="188">
        <f t="shared" si="1418"/>
        <v>0</v>
      </c>
      <c r="CU749" s="188">
        <f t="shared" si="1443"/>
        <v>0</v>
      </c>
      <c r="CV749" s="215">
        <f t="shared" si="1443"/>
        <v>0</v>
      </c>
      <c r="CW749" s="215">
        <f t="shared" si="1443"/>
        <v>0</v>
      </c>
      <c r="CX749" s="215">
        <f t="shared" si="1443"/>
        <v>0</v>
      </c>
      <c r="CY749" s="968">
        <f t="shared" si="1420"/>
        <v>0</v>
      </c>
      <c r="CZ749" s="215">
        <f t="shared" si="1444"/>
        <v>0</v>
      </c>
      <c r="DA749" s="968">
        <f t="shared" si="1444"/>
        <v>0</v>
      </c>
      <c r="DB749"/>
      <c r="DC749"/>
      <c r="DD749" s="2295" t="s">
        <v>2098</v>
      </c>
      <c r="DE749" s="2290">
        <f t="shared" si="1421"/>
        <v>0</v>
      </c>
      <c r="DF749" s="2290">
        <f t="shared" si="1422"/>
        <v>324</v>
      </c>
      <c r="DG749" s="2290">
        <f t="shared" si="1423"/>
        <v>633</v>
      </c>
      <c r="DH749" s="2290">
        <f t="shared" si="1424"/>
        <v>0</v>
      </c>
      <c r="DI749" s="2290">
        <f t="shared" si="1425"/>
        <v>0</v>
      </c>
      <c r="DJ749" s="2290">
        <f t="shared" si="1426"/>
        <v>555</v>
      </c>
      <c r="DK749" s="2290">
        <f t="shared" si="1427"/>
        <v>411</v>
      </c>
      <c r="DL749" s="2290">
        <f t="shared" si="1428"/>
        <v>123</v>
      </c>
      <c r="DM749" s="2290">
        <f t="shared" si="1429"/>
        <v>0</v>
      </c>
      <c r="DN749" s="2290">
        <f t="shared" si="1430"/>
        <v>199</v>
      </c>
      <c r="DO749" s="2290">
        <f t="shared" si="1431"/>
        <v>369</v>
      </c>
      <c r="DP749" s="2290">
        <f t="shared" si="1432"/>
        <v>282</v>
      </c>
      <c r="DQ749" s="2290">
        <f t="shared" si="1433"/>
        <v>280</v>
      </c>
      <c r="DR749" s="2290">
        <f t="shared" si="1434"/>
        <v>252</v>
      </c>
      <c r="DS749" s="2290">
        <f t="shared" si="1435"/>
        <v>311</v>
      </c>
      <c r="DT749" s="2290">
        <f t="shared" si="1436"/>
        <v>0</v>
      </c>
      <c r="DU749" s="2290">
        <f t="shared" si="1437"/>
        <v>0</v>
      </c>
      <c r="DV749" s="2290">
        <f t="shared" si="1438"/>
        <v>0</v>
      </c>
      <c r="DW749" s="2290">
        <f t="shared" si="1439"/>
        <v>0</v>
      </c>
      <c r="DX749" s="2290">
        <f t="shared" si="1440"/>
        <v>0</v>
      </c>
      <c r="DY749" s="2290">
        <f t="shared" si="1441"/>
        <v>0</v>
      </c>
      <c r="EA749"/>
      <c r="EB749"/>
      <c r="EC749"/>
      <c r="ED749"/>
      <c r="EE749"/>
      <c r="EF749"/>
      <c r="EJ749"/>
      <c r="EK749"/>
      <c r="EL749"/>
      <c r="EM749" s="1703"/>
      <c r="ER749" s="212"/>
    </row>
    <row r="750" spans="1:148" s="923" customFormat="1" x14ac:dyDescent="0.2">
      <c r="A750" s="1131" t="s">
        <v>1931</v>
      </c>
      <c r="B750" s="222"/>
      <c r="C750" s="222"/>
      <c r="D750" s="222"/>
      <c r="E750" s="222"/>
      <c r="F750" s="222"/>
      <c r="G750" s="222"/>
      <c r="H750" s="222"/>
      <c r="I750" s="222">
        <f>270-I748</f>
        <v>73</v>
      </c>
      <c r="J750" s="222">
        <f>283-J748</f>
        <v>86</v>
      </c>
      <c r="K750" s="222">
        <f>317-K748</f>
        <v>120</v>
      </c>
      <c r="L750" s="222">
        <f>59</f>
        <v>59</v>
      </c>
      <c r="M750" s="970">
        <f>L750</f>
        <v>59</v>
      </c>
      <c r="N750" s="222">
        <f>272-N748</f>
        <v>49</v>
      </c>
      <c r="O750" s="222">
        <f>297-O748</f>
        <v>74</v>
      </c>
      <c r="P750" s="222">
        <f>313-P748</f>
        <v>90</v>
      </c>
      <c r="Q750" s="222">
        <f>383-Q749</f>
        <v>59</v>
      </c>
      <c r="R750" s="970">
        <f>Q750</f>
        <v>59</v>
      </c>
      <c r="S750" s="222">
        <f>576-S749-S748</f>
        <v>63</v>
      </c>
      <c r="T750" s="222">
        <f>638-T749-T748</f>
        <v>99</v>
      </c>
      <c r="U750" s="222">
        <f>477-U749-U748</f>
        <v>90</v>
      </c>
      <c r="V750" s="222">
        <v>89</v>
      </c>
      <c r="W750" s="970">
        <f>V750</f>
        <v>89</v>
      </c>
      <c r="X750" s="222">
        <v>105</v>
      </c>
      <c r="Y750" s="222">
        <v>152</v>
      </c>
      <c r="Z750" s="222">
        <v>109</v>
      </c>
      <c r="AA750" s="222">
        <v>84</v>
      </c>
      <c r="AB750" s="970">
        <f>AA750</f>
        <v>84</v>
      </c>
      <c r="AC750" s="222">
        <v>117</v>
      </c>
      <c r="AD750" s="222">
        <v>140</v>
      </c>
      <c r="AE750" s="222">
        <v>112</v>
      </c>
      <c r="AF750" s="222">
        <v>217</v>
      </c>
      <c r="AG750" s="970">
        <f>AF750</f>
        <v>217</v>
      </c>
      <c r="AH750" s="222">
        <v>220</v>
      </c>
      <c r="AI750" s="222">
        <v>235</v>
      </c>
      <c r="AJ750" s="222">
        <v>223</v>
      </c>
      <c r="AK750" s="222">
        <f>247+2</f>
        <v>249</v>
      </c>
      <c r="AL750" s="970">
        <f>AK750</f>
        <v>249</v>
      </c>
      <c r="AM750" s="222">
        <f>182+2</f>
        <v>184</v>
      </c>
      <c r="AN750" s="222">
        <f>249+2</f>
        <v>251</v>
      </c>
      <c r="AO750" s="222">
        <f>175+2</f>
        <v>177</v>
      </c>
      <c r="AP750" s="222">
        <f>185+2</f>
        <v>187</v>
      </c>
      <c r="AQ750" s="970">
        <f>AP750</f>
        <v>187</v>
      </c>
      <c r="AR750" s="222">
        <f>211+2</f>
        <v>213</v>
      </c>
      <c r="AS750" s="222">
        <f>197+2</f>
        <v>199</v>
      </c>
      <c r="AT750" s="222">
        <f>182+2</f>
        <v>184</v>
      </c>
      <c r="AU750" s="222">
        <f>174+53</f>
        <v>227</v>
      </c>
      <c r="AV750" s="970">
        <f>AU750</f>
        <v>227</v>
      </c>
      <c r="AW750" s="222">
        <f>38+208</f>
        <v>246</v>
      </c>
      <c r="AX750" s="222">
        <f>3+220</f>
        <v>223</v>
      </c>
      <c r="AY750" s="222">
        <v>188</v>
      </c>
      <c r="AZ750" s="222">
        <v>169</v>
      </c>
      <c r="BA750" s="970">
        <f>AZ750</f>
        <v>169</v>
      </c>
      <c r="BB750" s="222">
        <v>0</v>
      </c>
      <c r="BC750" s="222">
        <f>+BB750</f>
        <v>0</v>
      </c>
      <c r="BD750" s="222">
        <f>+BC750</f>
        <v>0</v>
      </c>
      <c r="BE750" s="222">
        <v>0</v>
      </c>
      <c r="BF750" s="970">
        <f>BE750</f>
        <v>0</v>
      </c>
      <c r="BG750" s="222">
        <f>+BF750</f>
        <v>0</v>
      </c>
      <c r="BH750" s="222">
        <v>0</v>
      </c>
      <c r="BI750" s="222">
        <v>0</v>
      </c>
      <c r="BJ750" s="222">
        <v>0</v>
      </c>
      <c r="BK750" s="970">
        <f>BJ750</f>
        <v>0</v>
      </c>
      <c r="BL750" s="222">
        <v>0</v>
      </c>
      <c r="BM750" s="222">
        <v>0</v>
      </c>
      <c r="BN750" s="222">
        <v>0</v>
      </c>
      <c r="BO750" s="222">
        <v>0</v>
      </c>
      <c r="BP750" s="970">
        <f>BO750</f>
        <v>0</v>
      </c>
      <c r="BQ750" s="222">
        <v>7</v>
      </c>
      <c r="BR750" s="222">
        <v>70</v>
      </c>
      <c r="BS750" s="222">
        <v>10</v>
      </c>
      <c r="BT750" s="222">
        <v>12</v>
      </c>
      <c r="BU750" s="970">
        <f t="shared" si="1413"/>
        <v>12</v>
      </c>
      <c r="BV750" s="222">
        <v>11</v>
      </c>
      <c r="BW750" s="222">
        <v>24</v>
      </c>
      <c r="BX750" s="222">
        <f>24+232</f>
        <v>256</v>
      </c>
      <c r="BY750" s="222">
        <f>27+350</f>
        <v>377</v>
      </c>
      <c r="BZ750" s="970">
        <f t="shared" si="1414"/>
        <v>377</v>
      </c>
      <c r="CA750" s="222">
        <v>52</v>
      </c>
      <c r="CB750" s="222">
        <v>28</v>
      </c>
      <c r="CC750" s="222">
        <v>111</v>
      </c>
      <c r="CD750" s="222">
        <f>109+233</f>
        <v>342</v>
      </c>
      <c r="CE750" s="970">
        <f t="shared" si="1415"/>
        <v>342</v>
      </c>
      <c r="CF750" s="2688">
        <f>116+45</f>
        <v>161</v>
      </c>
      <c r="CG750" s="222">
        <f>145+56</f>
        <v>201</v>
      </c>
      <c r="CH750" s="222">
        <f>139+30</f>
        <v>169</v>
      </c>
      <c r="CI750" s="222">
        <f>78+30</f>
        <v>108</v>
      </c>
      <c r="CJ750" s="970">
        <f t="shared" si="1416"/>
        <v>108</v>
      </c>
      <c r="CK750" s="2688">
        <f>78+25</f>
        <v>103</v>
      </c>
      <c r="CL750" s="222">
        <f>31+26</f>
        <v>57</v>
      </c>
      <c r="CM750" s="3376">
        <v>836</v>
      </c>
      <c r="CN750" s="3376">
        <f>62+588</f>
        <v>650</v>
      </c>
      <c r="CO750" s="970">
        <f t="shared" si="1417"/>
        <v>650</v>
      </c>
      <c r="CP750" s="2688">
        <v>400</v>
      </c>
      <c r="CQ750" s="3376">
        <v>285</v>
      </c>
      <c r="CR750" s="222">
        <v>297</v>
      </c>
      <c r="CS750" s="216">
        <f>+CR750-CS703</f>
        <v>-156.50300000000016</v>
      </c>
      <c r="CT750" s="2692">
        <f t="shared" si="1418"/>
        <v>-156.50300000000016</v>
      </c>
      <c r="CU750" s="2692">
        <f>+CT750</f>
        <v>-156.50300000000016</v>
      </c>
      <c r="CV750" s="216">
        <f t="shared" si="1443"/>
        <v>-156.50300000000016</v>
      </c>
      <c r="CW750" s="216">
        <f t="shared" si="1443"/>
        <v>-156.50300000000016</v>
      </c>
      <c r="CX750" s="216">
        <f t="shared" si="1443"/>
        <v>-156.50300000000016</v>
      </c>
      <c r="CY750" s="970">
        <f t="shared" si="1420"/>
        <v>-156.50300000000016</v>
      </c>
      <c r="CZ750" s="216">
        <f>CY750</f>
        <v>-156.50300000000016</v>
      </c>
      <c r="DA750" s="970">
        <f>CZ750</f>
        <v>-156.50300000000016</v>
      </c>
      <c r="DB750"/>
      <c r="DC750"/>
      <c r="DD750" s="1131" t="s">
        <v>1931</v>
      </c>
      <c r="DE750" s="970">
        <f t="shared" si="1421"/>
        <v>59</v>
      </c>
      <c r="DF750" s="970">
        <f t="shared" si="1422"/>
        <v>59</v>
      </c>
      <c r="DG750" s="970">
        <f t="shared" si="1423"/>
        <v>89</v>
      </c>
      <c r="DH750" s="970">
        <f t="shared" si="1424"/>
        <v>84</v>
      </c>
      <c r="DI750" s="970">
        <f t="shared" si="1425"/>
        <v>217</v>
      </c>
      <c r="DJ750" s="970">
        <f t="shared" si="1426"/>
        <v>249</v>
      </c>
      <c r="DK750" s="970">
        <f t="shared" si="1427"/>
        <v>187</v>
      </c>
      <c r="DL750" s="970">
        <f t="shared" si="1428"/>
        <v>227</v>
      </c>
      <c r="DM750" s="970">
        <f t="shared" si="1429"/>
        <v>169</v>
      </c>
      <c r="DN750" s="970">
        <f t="shared" si="1430"/>
        <v>0</v>
      </c>
      <c r="DO750" s="970">
        <f t="shared" si="1431"/>
        <v>0</v>
      </c>
      <c r="DP750" s="970">
        <f t="shared" si="1432"/>
        <v>0</v>
      </c>
      <c r="DQ750" s="970">
        <f t="shared" si="1433"/>
        <v>12</v>
      </c>
      <c r="DR750" s="970">
        <f t="shared" si="1434"/>
        <v>377</v>
      </c>
      <c r="DS750" s="970">
        <f t="shared" si="1435"/>
        <v>342</v>
      </c>
      <c r="DT750" s="970">
        <f t="shared" si="1436"/>
        <v>108</v>
      </c>
      <c r="DU750" s="970">
        <f t="shared" si="1437"/>
        <v>650</v>
      </c>
      <c r="DV750" s="970">
        <f t="shared" si="1438"/>
        <v>-156.50300000000016</v>
      </c>
      <c r="DW750" s="970">
        <f t="shared" si="1439"/>
        <v>-156.50300000000016</v>
      </c>
      <c r="DX750" s="970">
        <f t="shared" si="1440"/>
        <v>-156.50300000000016</v>
      </c>
      <c r="DY750" s="970">
        <f t="shared" si="1441"/>
        <v>-156.50300000000016</v>
      </c>
      <c r="EA750"/>
      <c r="EB750"/>
      <c r="EC750"/>
      <c r="ED750"/>
      <c r="EE750"/>
      <c r="EF750"/>
      <c r="EJ750"/>
      <c r="EK750"/>
      <c r="EL750"/>
      <c r="EM750" s="1703"/>
      <c r="ER750" s="212"/>
    </row>
    <row r="751" spans="1:148" s="1703" customFormat="1" x14ac:dyDescent="0.2">
      <c r="A751" s="1970" t="s">
        <v>755</v>
      </c>
      <c r="B751" s="1730"/>
      <c r="C751" s="1730"/>
      <c r="D751" s="1730"/>
      <c r="E751" s="1730"/>
      <c r="F751" s="1730"/>
      <c r="G751" s="1730"/>
      <c r="H751" s="1730"/>
      <c r="I751" s="1730">
        <f t="shared" ref="I751:AN751" si="1445">SUM(I745:I750)</f>
        <v>2175.6040000000003</v>
      </c>
      <c r="J751" s="1730">
        <f t="shared" si="1445"/>
        <v>2181.5280000000002</v>
      </c>
      <c r="K751" s="1730">
        <f t="shared" si="1445"/>
        <v>2111.3000000000002</v>
      </c>
      <c r="L751" s="1730">
        <f t="shared" si="1445"/>
        <v>2329</v>
      </c>
      <c r="M751" s="1729">
        <f t="shared" si="1445"/>
        <v>2329</v>
      </c>
      <c r="N751" s="1730">
        <f t="shared" si="1445"/>
        <v>2387.4279999999999</v>
      </c>
      <c r="O751" s="1730">
        <f t="shared" si="1445"/>
        <v>2751.2640000000001</v>
      </c>
      <c r="P751" s="1730">
        <f t="shared" si="1445"/>
        <v>2847.9719999999998</v>
      </c>
      <c r="Q751" s="1730">
        <f t="shared" si="1445"/>
        <v>3297</v>
      </c>
      <c r="R751" s="1729">
        <f t="shared" si="1445"/>
        <v>3297</v>
      </c>
      <c r="S751" s="1730">
        <f t="shared" si="1445"/>
        <v>2647.757476403378</v>
      </c>
      <c r="T751" s="1730">
        <f t="shared" si="1445"/>
        <v>2677.4797345322959</v>
      </c>
      <c r="U751" s="1730">
        <f t="shared" si="1445"/>
        <v>2541.5485162578361</v>
      </c>
      <c r="V751" s="1730">
        <f t="shared" si="1445"/>
        <v>3014</v>
      </c>
      <c r="W751" s="1729">
        <f t="shared" si="1445"/>
        <v>3014</v>
      </c>
      <c r="X751" s="1730">
        <f t="shared" si="1445"/>
        <v>2944.6528000000003</v>
      </c>
      <c r="Y751" s="1730">
        <f t="shared" si="1445"/>
        <v>2638.3536000000004</v>
      </c>
      <c r="Z751" s="1730">
        <f t="shared" si="1445"/>
        <v>2385.3712000000005</v>
      </c>
      <c r="AA751" s="1730">
        <f t="shared" si="1445"/>
        <v>2521</v>
      </c>
      <c r="AB751" s="1729">
        <f t="shared" si="1445"/>
        <v>2521</v>
      </c>
      <c r="AC751" s="1730">
        <f t="shared" si="1445"/>
        <v>2545.9755999999998</v>
      </c>
      <c r="AD751" s="1730">
        <f t="shared" si="1445"/>
        <v>2759.4192000000003</v>
      </c>
      <c r="AE751" s="1730">
        <f t="shared" si="1445"/>
        <v>2552.6995999999999</v>
      </c>
      <c r="AF751" s="1730">
        <f t="shared" si="1445"/>
        <v>3132</v>
      </c>
      <c r="AG751" s="1729">
        <f t="shared" si="1445"/>
        <v>3132</v>
      </c>
      <c r="AH751" s="1730">
        <f t="shared" si="1445"/>
        <v>2859.7291999999998</v>
      </c>
      <c r="AI751" s="1730">
        <f t="shared" si="1445"/>
        <v>2921.7240000000002</v>
      </c>
      <c r="AJ751" s="1730">
        <f t="shared" si="1445"/>
        <v>2944.6859999999997</v>
      </c>
      <c r="AK751" s="1730">
        <f t="shared" si="1445"/>
        <v>3390</v>
      </c>
      <c r="AL751" s="1729">
        <f t="shared" si="1445"/>
        <v>3390</v>
      </c>
      <c r="AM751" s="1730">
        <f t="shared" si="1445"/>
        <v>3461</v>
      </c>
      <c r="AN751" s="1730">
        <f t="shared" si="1445"/>
        <v>3365</v>
      </c>
      <c r="AO751" s="1730">
        <f t="shared" ref="AO751:BT751" si="1446">SUM(AO745:AO750)</f>
        <v>3236</v>
      </c>
      <c r="AP751" s="1730">
        <f t="shared" si="1446"/>
        <v>3314</v>
      </c>
      <c r="AQ751" s="1729">
        <f t="shared" si="1446"/>
        <v>3314</v>
      </c>
      <c r="AR751" s="1730">
        <f t="shared" si="1446"/>
        <v>3399</v>
      </c>
      <c r="AS751" s="1730">
        <f t="shared" si="1446"/>
        <v>3773</v>
      </c>
      <c r="AT751" s="1730">
        <f t="shared" si="1446"/>
        <v>3714</v>
      </c>
      <c r="AU751" s="1730">
        <f t="shared" si="1446"/>
        <v>3572</v>
      </c>
      <c r="AV751" s="1729">
        <f t="shared" si="1446"/>
        <v>3572</v>
      </c>
      <c r="AW751" s="1730">
        <f t="shared" si="1446"/>
        <v>3705</v>
      </c>
      <c r="AX751" s="1730">
        <f t="shared" si="1446"/>
        <v>3612</v>
      </c>
      <c r="AY751" s="1730">
        <f t="shared" si="1446"/>
        <v>3607</v>
      </c>
      <c r="AZ751" s="1730">
        <f t="shared" si="1446"/>
        <v>3368</v>
      </c>
      <c r="BA751" s="1729">
        <f t="shared" si="1446"/>
        <v>3368</v>
      </c>
      <c r="BB751" s="1730">
        <f t="shared" si="1446"/>
        <v>3437</v>
      </c>
      <c r="BC751" s="1730">
        <f t="shared" si="1446"/>
        <v>3398</v>
      </c>
      <c r="BD751" s="1730">
        <f t="shared" si="1446"/>
        <v>2963</v>
      </c>
      <c r="BE751" s="1730">
        <f t="shared" si="1446"/>
        <v>2851</v>
      </c>
      <c r="BF751" s="1729">
        <f t="shared" si="1446"/>
        <v>2851</v>
      </c>
      <c r="BG751" s="1730">
        <f t="shared" si="1446"/>
        <v>3015</v>
      </c>
      <c r="BH751" s="1730">
        <f t="shared" si="1446"/>
        <v>2951</v>
      </c>
      <c r="BI751" s="1730">
        <f t="shared" si="1446"/>
        <v>3061</v>
      </c>
      <c r="BJ751" s="1730">
        <f t="shared" si="1446"/>
        <v>3382</v>
      </c>
      <c r="BK751" s="1729">
        <f t="shared" si="1446"/>
        <v>3382</v>
      </c>
      <c r="BL751" s="1730">
        <f t="shared" si="1446"/>
        <v>2999</v>
      </c>
      <c r="BM751" s="1730">
        <f t="shared" si="1446"/>
        <v>2938</v>
      </c>
      <c r="BN751" s="1730">
        <f t="shared" si="1446"/>
        <v>2678</v>
      </c>
      <c r="BO751" s="1730">
        <f t="shared" si="1446"/>
        <v>1324</v>
      </c>
      <c r="BP751" s="1729">
        <f t="shared" si="1446"/>
        <v>1324</v>
      </c>
      <c r="BQ751" s="1730">
        <f t="shared" si="1446"/>
        <v>1464</v>
      </c>
      <c r="BR751" s="1730">
        <f t="shared" si="1446"/>
        <v>1355</v>
      </c>
      <c r="BS751" s="1730">
        <f t="shared" si="1446"/>
        <v>1158</v>
      </c>
      <c r="BT751" s="1730">
        <f t="shared" si="1446"/>
        <v>1475</v>
      </c>
      <c r="BU751" s="1729">
        <f t="shared" ref="BU751:DA751" si="1447">SUM(BU745:BU750)</f>
        <v>1475</v>
      </c>
      <c r="BV751" s="1730">
        <f t="shared" si="1447"/>
        <v>1626</v>
      </c>
      <c r="BW751" s="1730">
        <f t="shared" si="1447"/>
        <v>1404</v>
      </c>
      <c r="BX751" s="1730">
        <f t="shared" si="1447"/>
        <v>1646</v>
      </c>
      <c r="BY751" s="1730">
        <f t="shared" si="1447"/>
        <v>1903</v>
      </c>
      <c r="BZ751" s="1729">
        <f t="shared" si="1447"/>
        <v>1903</v>
      </c>
      <c r="CA751" s="1730">
        <f t="shared" si="1447"/>
        <v>1565</v>
      </c>
      <c r="CB751" s="1730">
        <f t="shared" si="1447"/>
        <v>1537</v>
      </c>
      <c r="CC751" s="1730">
        <f t="shared" si="1447"/>
        <v>1552</v>
      </c>
      <c r="CD751" s="1826">
        <f t="shared" si="1447"/>
        <v>1921</v>
      </c>
      <c r="CE751" s="1729">
        <f t="shared" si="1447"/>
        <v>1921</v>
      </c>
      <c r="CF751" s="2689">
        <f t="shared" si="1447"/>
        <v>1828</v>
      </c>
      <c r="CG751" s="1730">
        <f t="shared" si="1447"/>
        <v>1906</v>
      </c>
      <c r="CH751" s="1730">
        <f t="shared" si="1447"/>
        <v>1723</v>
      </c>
      <c r="CI751" s="1730">
        <f t="shared" si="1447"/>
        <v>1384</v>
      </c>
      <c r="CJ751" s="1729">
        <f t="shared" si="1447"/>
        <v>1384</v>
      </c>
      <c r="CK751" s="2689">
        <f t="shared" si="1447"/>
        <v>1424</v>
      </c>
      <c r="CL751" s="1730">
        <f t="shared" si="1447"/>
        <v>1959</v>
      </c>
      <c r="CM751" s="1730">
        <f t="shared" si="1447"/>
        <v>3787</v>
      </c>
      <c r="CN751" s="1730">
        <f t="shared" si="1447"/>
        <v>3371</v>
      </c>
      <c r="CO751" s="1729">
        <f t="shared" si="1447"/>
        <v>3371</v>
      </c>
      <c r="CP751" s="2689">
        <f>SUM(CP745:CP750)</f>
        <v>3121</v>
      </c>
      <c r="CQ751" s="1730">
        <f t="shared" si="1447"/>
        <v>2830</v>
      </c>
      <c r="CR751" s="1730">
        <f t="shared" si="1447"/>
        <v>2944</v>
      </c>
      <c r="CS751" s="1730">
        <f t="shared" si="1447"/>
        <v>2365.4969999999998</v>
      </c>
      <c r="CT751" s="2689">
        <f t="shared" si="1447"/>
        <v>2365.4969999999998</v>
      </c>
      <c r="CU751" s="2689">
        <f ca="1">SUM(CU745:CU750)</f>
        <v>2273.486249693623</v>
      </c>
      <c r="CV751" s="1730">
        <f ca="1">SUM(CV745:CV750)</f>
        <v>2149.4628767845761</v>
      </c>
      <c r="CW751" s="1730">
        <f ca="1">SUM(CW745:CW750)</f>
        <v>2171.0317545333046</v>
      </c>
      <c r="CX751" s="1730">
        <f ca="1">SUM(CX745:CX750)</f>
        <v>2065.2279127754796</v>
      </c>
      <c r="CY751" s="1729">
        <f ca="1">SUM(CY745:CY750)</f>
        <v>2065.2279127754796</v>
      </c>
      <c r="CZ751" s="1730">
        <f t="shared" ca="1" si="1447"/>
        <v>2106.3510715259749</v>
      </c>
      <c r="DA751" s="1729">
        <f t="shared" ca="1" si="1447"/>
        <v>2234.7741845505047</v>
      </c>
      <c r="DB751"/>
      <c r="DC751"/>
      <c r="DD751" s="1970" t="s">
        <v>755</v>
      </c>
      <c r="DE751" s="1729">
        <f t="shared" si="1421"/>
        <v>2329</v>
      </c>
      <c r="DF751" s="1729">
        <f t="shared" si="1422"/>
        <v>3297</v>
      </c>
      <c r="DG751" s="1729">
        <f t="shared" si="1423"/>
        <v>3014</v>
      </c>
      <c r="DH751" s="1729">
        <f t="shared" si="1424"/>
        <v>2521</v>
      </c>
      <c r="DI751" s="1729">
        <f t="shared" si="1425"/>
        <v>3132</v>
      </c>
      <c r="DJ751" s="1729">
        <f t="shared" si="1426"/>
        <v>3390</v>
      </c>
      <c r="DK751" s="1729">
        <f t="shared" si="1427"/>
        <v>3314</v>
      </c>
      <c r="DL751" s="1729">
        <f t="shared" si="1428"/>
        <v>3572</v>
      </c>
      <c r="DM751" s="1729">
        <f t="shared" si="1429"/>
        <v>3368</v>
      </c>
      <c r="DN751" s="1729">
        <f t="shared" si="1430"/>
        <v>2851</v>
      </c>
      <c r="DO751" s="1729">
        <f t="shared" si="1431"/>
        <v>3382</v>
      </c>
      <c r="DP751" s="1729">
        <f t="shared" si="1432"/>
        <v>1324</v>
      </c>
      <c r="DQ751" s="1729">
        <f t="shared" si="1433"/>
        <v>1475</v>
      </c>
      <c r="DR751" s="1729">
        <f t="shared" si="1434"/>
        <v>1903</v>
      </c>
      <c r="DS751" s="1729">
        <f t="shared" si="1435"/>
        <v>1921</v>
      </c>
      <c r="DT751" s="1729">
        <f t="shared" si="1436"/>
        <v>1384</v>
      </c>
      <c r="DU751" s="1729">
        <f t="shared" si="1437"/>
        <v>3371</v>
      </c>
      <c r="DV751" s="1729">
        <f t="shared" si="1438"/>
        <v>2365.4969999999998</v>
      </c>
      <c r="DW751" s="1729">
        <f t="shared" ca="1" si="1439"/>
        <v>2065.2279127754796</v>
      </c>
      <c r="DX751" s="1729">
        <f t="shared" ca="1" si="1440"/>
        <v>2106.3510715259749</v>
      </c>
      <c r="DY751" s="1729">
        <f t="shared" ca="1" si="1441"/>
        <v>2234.7741845505047</v>
      </c>
      <c r="EA751"/>
      <c r="EB751"/>
      <c r="EC751"/>
      <c r="ED751"/>
      <c r="EE751"/>
      <c r="EF751"/>
      <c r="EJ751"/>
      <c r="EK751"/>
      <c r="EL751"/>
      <c r="ER751" s="212"/>
    </row>
    <row r="752" spans="1:148" s="923" customFormat="1" ht="12.75" customHeight="1" x14ac:dyDescent="0.2">
      <c r="A752" s="504"/>
      <c r="B752" s="215"/>
      <c r="C752" s="215"/>
      <c r="D752" s="215"/>
      <c r="E752" s="215"/>
      <c r="F752" s="215"/>
      <c r="G752" s="215"/>
      <c r="H752" s="215"/>
      <c r="I752" s="215"/>
      <c r="J752" s="215"/>
      <c r="K752" s="215"/>
      <c r="L752" s="215"/>
      <c r="M752" s="968"/>
      <c r="N752" s="215"/>
      <c r="O752" s="215"/>
      <c r="P752" s="215"/>
      <c r="Q752" s="215"/>
      <c r="R752" s="968"/>
      <c r="S752" s="215"/>
      <c r="T752" s="215"/>
      <c r="U752" s="215"/>
      <c r="V752" s="215"/>
      <c r="W752" s="968"/>
      <c r="X752" s="215"/>
      <c r="Y752" s="215"/>
      <c r="Z752" s="215"/>
      <c r="AA752" s="215"/>
      <c r="AB752" s="968"/>
      <c r="AC752" s="215"/>
      <c r="AD752" s="215"/>
      <c r="AE752" s="215"/>
      <c r="AF752" s="215"/>
      <c r="AG752" s="968"/>
      <c r="AH752" s="215"/>
      <c r="AI752" s="215"/>
      <c r="AJ752" s="215"/>
      <c r="AK752" s="215"/>
      <c r="AL752" s="968"/>
      <c r="AM752" s="215"/>
      <c r="AN752" s="215"/>
      <c r="AO752" s="215"/>
      <c r="AP752" s="215"/>
      <c r="AQ752" s="968"/>
      <c r="AR752" s="215"/>
      <c r="AS752" s="215"/>
      <c r="AT752" s="215"/>
      <c r="AU752" s="215"/>
      <c r="AV752" s="968"/>
      <c r="AW752" s="215"/>
      <c r="AX752" s="215"/>
      <c r="AY752" s="215"/>
      <c r="AZ752" s="215"/>
      <c r="BA752" s="968"/>
      <c r="BB752" s="215"/>
      <c r="BC752" s="215"/>
      <c r="BD752" s="215"/>
      <c r="BE752" s="215"/>
      <c r="BF752" s="968"/>
      <c r="BG752" s="215"/>
      <c r="BH752" s="215"/>
      <c r="BI752" s="215"/>
      <c r="BJ752" s="215"/>
      <c r="BK752" s="968"/>
      <c r="BL752" s="215"/>
      <c r="BM752" s="215"/>
      <c r="BN752" s="215"/>
      <c r="BO752" s="215"/>
      <c r="BP752" s="968"/>
      <c r="BQ752" s="215"/>
      <c r="BR752" s="215"/>
      <c r="BS752" s="215"/>
      <c r="BT752" s="215"/>
      <c r="BU752" s="968"/>
      <c r="BV752" s="215"/>
      <c r="BW752" s="215"/>
      <c r="BX752" s="215"/>
      <c r="BY752" s="215"/>
      <c r="BZ752" s="968"/>
      <c r="CA752" s="215"/>
      <c r="CB752" s="215"/>
      <c r="CC752" s="215"/>
      <c r="CD752" s="1788"/>
      <c r="CE752" s="968"/>
      <c r="CF752" s="188"/>
      <c r="CG752" s="215"/>
      <c r="CH752" s="215"/>
      <c r="CI752" s="1788"/>
      <c r="CJ752" s="968"/>
      <c r="CK752" s="188"/>
      <c r="CL752" s="215"/>
      <c r="CM752" s="215"/>
      <c r="CN752" s="1788"/>
      <c r="CO752" s="968"/>
      <c r="CP752" s="215"/>
      <c r="CQ752" s="215"/>
      <c r="CR752" s="215"/>
      <c r="CS752" s="215"/>
      <c r="CT752" s="188"/>
      <c r="CU752" s="188"/>
      <c r="CV752" s="215"/>
      <c r="CW752" s="215"/>
      <c r="CX752" s="215"/>
      <c r="CY752" s="968"/>
      <c r="CZ752" s="1788"/>
      <c r="DA752" s="968"/>
      <c r="DB752"/>
      <c r="DC752"/>
      <c r="DD752" s="2285"/>
      <c r="DE752" s="2290"/>
      <c r="DF752" s="2290"/>
      <c r="DG752" s="2290"/>
      <c r="DH752" s="2290"/>
      <c r="DI752" s="2290"/>
      <c r="DJ752" s="2290"/>
      <c r="DK752" s="2290"/>
      <c r="DL752" s="2290"/>
      <c r="DM752" s="2290"/>
      <c r="DN752" s="2290"/>
      <c r="DO752" s="2290"/>
      <c r="DP752" s="2290"/>
      <c r="DQ752" s="2290"/>
      <c r="DR752" s="2290"/>
      <c r="DS752" s="2290"/>
      <c r="DT752" s="2290"/>
      <c r="DU752" s="2290"/>
      <c r="DV752" s="2290"/>
      <c r="DW752" s="2290"/>
      <c r="DX752" s="2290"/>
      <c r="DY752" s="2290"/>
      <c r="EA752"/>
      <c r="EB752"/>
      <c r="EC752"/>
      <c r="ED752"/>
      <c r="EE752"/>
      <c r="EF752"/>
      <c r="EJ752"/>
      <c r="EK752"/>
      <c r="EL752"/>
      <c r="EM752" s="1703"/>
      <c r="ER752" s="212"/>
    </row>
    <row r="753" spans="1:148" s="923" customFormat="1" x14ac:dyDescent="0.2">
      <c r="A753" s="507" t="s">
        <v>2022</v>
      </c>
      <c r="B753" s="223"/>
      <c r="C753" s="223"/>
      <c r="D753" s="223"/>
      <c r="E753" s="223"/>
      <c r="F753" s="223"/>
      <c r="G753" s="223"/>
      <c r="H753" s="223">
        <f>3272-H747</f>
        <v>2592</v>
      </c>
      <c r="I753" s="223">
        <f>3098-I754-I496</f>
        <v>2946.5498461538464</v>
      </c>
      <c r="J753" s="223">
        <f>3001-J754-J496</f>
        <v>2870.7796923076921</v>
      </c>
      <c r="K753" s="223">
        <f>3088-K754-K496</f>
        <v>2981.1615384615384</v>
      </c>
      <c r="L753" s="223">
        <f>3747-L496</f>
        <v>2833</v>
      </c>
      <c r="M753" s="968">
        <f>L753</f>
        <v>2833</v>
      </c>
      <c r="N753" s="223">
        <f>3131-N754-N496</f>
        <v>2756.1873846153849</v>
      </c>
      <c r="O753" s="223">
        <f>3163-O754-O496</f>
        <v>2827.9667692307694</v>
      </c>
      <c r="P753" s="223">
        <f>3110-P754-P496</f>
        <v>2831.8741538461541</v>
      </c>
      <c r="Q753" s="223">
        <f>3489-1167</f>
        <v>2322</v>
      </c>
      <c r="R753" s="968">
        <f>Q753</f>
        <v>2322</v>
      </c>
      <c r="S753" s="223">
        <f>2962-S754-S496</f>
        <v>2415.0425235966222</v>
      </c>
      <c r="T753" s="223">
        <f>2923-T754-T496</f>
        <v>2459.6433423907811</v>
      </c>
      <c r="U753" s="223">
        <f>2908-U754-U496</f>
        <v>2522.8976375883176</v>
      </c>
      <c r="V753" s="223">
        <f>2589-V747-V754</f>
        <v>1789</v>
      </c>
      <c r="W753" s="968">
        <f>V753</f>
        <v>1789</v>
      </c>
      <c r="X753" s="223">
        <f>2626-X754-X500</f>
        <v>1910.3471999999997</v>
      </c>
      <c r="Y753" s="223">
        <f>2535-Y754-Y500</f>
        <v>1877.6463999999996</v>
      </c>
      <c r="Z753" s="223">
        <f>2528-Z754-Z500</f>
        <v>1975.6287999999997</v>
      </c>
      <c r="AA753" s="223">
        <f>3070-AA747</f>
        <v>1784</v>
      </c>
      <c r="AB753" s="968">
        <f>AA753</f>
        <v>1784</v>
      </c>
      <c r="AC753" s="223">
        <f>2525-AC754-AC500</f>
        <v>1894.0244</v>
      </c>
      <c r="AD753" s="223">
        <f>2512-AD754-AD500</f>
        <v>1970.5808</v>
      </c>
      <c r="AE753" s="223">
        <f>2454-AE754-AE500</f>
        <v>2013.3004000000001</v>
      </c>
      <c r="AF753" s="223">
        <f>3070-AF747</f>
        <v>1884</v>
      </c>
      <c r="AG753" s="968">
        <f>AF753</f>
        <v>1884</v>
      </c>
      <c r="AH753" s="223">
        <f>2352-AH754-AH500</f>
        <v>1943.2708</v>
      </c>
      <c r="AI753" s="223">
        <f>2497-AI754-AI500</f>
        <v>2187.2759999999998</v>
      </c>
      <c r="AJ753" s="223">
        <f>2504-AJ754-AJ500</f>
        <v>2335.3140000000003</v>
      </c>
      <c r="AK753" s="223">
        <v>1919</v>
      </c>
      <c r="AL753" s="968">
        <f>AK753</f>
        <v>1919</v>
      </c>
      <c r="AM753" s="223">
        <v>1912</v>
      </c>
      <c r="AN753" s="223">
        <v>1918</v>
      </c>
      <c r="AO753" s="223">
        <v>1897</v>
      </c>
      <c r="AP753" s="223">
        <v>2143</v>
      </c>
      <c r="AQ753" s="968">
        <f>AP753</f>
        <v>2143</v>
      </c>
      <c r="AR753" s="223">
        <v>2226</v>
      </c>
      <c r="AS753" s="223">
        <v>2039</v>
      </c>
      <c r="AT753" s="223">
        <v>2317</v>
      </c>
      <c r="AU753" s="223">
        <v>2348</v>
      </c>
      <c r="AV753" s="968">
        <f>AU753</f>
        <v>2348</v>
      </c>
      <c r="AW753" s="223">
        <v>2388</v>
      </c>
      <c r="AX753" s="223">
        <v>2442</v>
      </c>
      <c r="AY753" s="223">
        <v>2491</v>
      </c>
      <c r="AZ753" s="223">
        <v>2519</v>
      </c>
      <c r="BA753" s="968">
        <f>AZ753</f>
        <v>2519</v>
      </c>
      <c r="BB753" s="223">
        <v>2530</v>
      </c>
      <c r="BC753" s="223">
        <v>2564</v>
      </c>
      <c r="BD753" s="223">
        <v>2516</v>
      </c>
      <c r="BE753" s="223">
        <v>2548</v>
      </c>
      <c r="BF753" s="968">
        <f>BE753</f>
        <v>2548</v>
      </c>
      <c r="BG753" s="223">
        <v>2537</v>
      </c>
      <c r="BH753" s="223">
        <v>2563</v>
      </c>
      <c r="BI753" s="223">
        <v>2553</v>
      </c>
      <c r="BJ753" s="223">
        <v>2556</v>
      </c>
      <c r="BK753" s="968">
        <f>BJ753</f>
        <v>2556</v>
      </c>
      <c r="BL753" s="223">
        <v>2685</v>
      </c>
      <c r="BM753" s="223">
        <v>2787</v>
      </c>
      <c r="BN753" s="223">
        <v>2812</v>
      </c>
      <c r="BO753" s="223">
        <v>2095</v>
      </c>
      <c r="BP753" s="968">
        <f>BO753</f>
        <v>2095</v>
      </c>
      <c r="BQ753" s="223">
        <v>2316</v>
      </c>
      <c r="BR753" s="223">
        <v>2343</v>
      </c>
      <c r="BS753" s="223">
        <v>2399</v>
      </c>
      <c r="BT753" s="223">
        <v>2530</v>
      </c>
      <c r="BU753" s="968">
        <f>BT753</f>
        <v>2530</v>
      </c>
      <c r="BV753" s="223">
        <v>2572</v>
      </c>
      <c r="BW753" s="223">
        <v>2649</v>
      </c>
      <c r="BX753" s="223">
        <v>2461</v>
      </c>
      <c r="BY753" s="845">
        <v>2448</v>
      </c>
      <c r="BZ753" s="968">
        <f>BY753</f>
        <v>2448</v>
      </c>
      <c r="CA753" s="223">
        <v>2464</v>
      </c>
      <c r="CB753" s="223">
        <v>2565</v>
      </c>
      <c r="CC753" s="223">
        <v>2652</v>
      </c>
      <c r="CD753" s="223">
        <v>2378</v>
      </c>
      <c r="CE753" s="968">
        <f>CD753</f>
        <v>2378</v>
      </c>
      <c r="CF753" s="223">
        <v>2378</v>
      </c>
      <c r="CG753" s="223">
        <v>1896</v>
      </c>
      <c r="CH753" s="223">
        <v>1881</v>
      </c>
      <c r="CI753" s="223">
        <v>1926</v>
      </c>
      <c r="CJ753" s="968">
        <f>CI753</f>
        <v>1926</v>
      </c>
      <c r="CK753" s="223">
        <f>1042-CK754</f>
        <v>1970</v>
      </c>
      <c r="CL753" s="223">
        <f>1056-CL754</f>
        <v>2014</v>
      </c>
      <c r="CM753" s="223">
        <v>3405</v>
      </c>
      <c r="CN753" s="223">
        <v>3320</v>
      </c>
      <c r="CO753" s="968">
        <f>CN753</f>
        <v>3320</v>
      </c>
      <c r="CP753" s="3066">
        <f>+CP755-CP754</f>
        <v>3159</v>
      </c>
      <c r="CQ753" s="3066">
        <f>+CQ755-CQ754</f>
        <v>3237</v>
      </c>
      <c r="CR753" s="599">
        <f>+CR755-CR754</f>
        <v>3097</v>
      </c>
      <c r="CS753" s="215">
        <f>CR753-CS707-CS710-CS712</f>
        <v>2564.02</v>
      </c>
      <c r="CT753" s="188">
        <f>CS753</f>
        <v>2564.02</v>
      </c>
      <c r="CU753" s="188">
        <f>CT753-CU707-CU710-CU712</f>
        <v>2852.7421300000001</v>
      </c>
      <c r="CV753" s="215">
        <f>CU753-CV707-CV710-CV712</f>
        <v>3074.5931452</v>
      </c>
      <c r="CW753" s="215">
        <f>CV753-CW707-CW710-CW712</f>
        <v>3305.3230456000001</v>
      </c>
      <c r="CX753" s="215">
        <f>CW753-CX707-CX710-CX712</f>
        <v>3552.1888456000001</v>
      </c>
      <c r="CY753" s="968">
        <f>CX753</f>
        <v>3552.1888456000001</v>
      </c>
      <c r="CZ753" s="1788">
        <f>CY753-CZ707-CZ710-CZ712</f>
        <v>4054.5529798000002</v>
      </c>
      <c r="DA753" s="968">
        <f>CZ753-DA707-DA710-DA712</f>
        <v>4603.29890729</v>
      </c>
      <c r="DB753"/>
      <c r="DC753"/>
      <c r="DD753" s="2295" t="s">
        <v>2022</v>
      </c>
      <c r="DE753" s="2290">
        <f>M753</f>
        <v>2833</v>
      </c>
      <c r="DF753" s="2290">
        <f>R753</f>
        <v>2322</v>
      </c>
      <c r="DG753" s="2290">
        <f>W753</f>
        <v>1789</v>
      </c>
      <c r="DH753" s="2290">
        <f>AB753</f>
        <v>1784</v>
      </c>
      <c r="DI753" s="2290">
        <f>AG753</f>
        <v>1884</v>
      </c>
      <c r="DJ753" s="2290">
        <f>AL753</f>
        <v>1919</v>
      </c>
      <c r="DK753" s="2290">
        <f>AQ753</f>
        <v>2143</v>
      </c>
      <c r="DL753" s="2290">
        <f>AV753</f>
        <v>2348</v>
      </c>
      <c r="DM753" s="2290">
        <f>BA753</f>
        <v>2519</v>
      </c>
      <c r="DN753" s="2290">
        <f>BF753</f>
        <v>2548</v>
      </c>
      <c r="DO753" s="2290">
        <f>BK753</f>
        <v>2556</v>
      </c>
      <c r="DP753" s="2290">
        <f>BP753</f>
        <v>2095</v>
      </c>
      <c r="DQ753" s="2290">
        <f>BU753</f>
        <v>2530</v>
      </c>
      <c r="DR753" s="2290">
        <f>BZ753</f>
        <v>2448</v>
      </c>
      <c r="DS753" s="2290">
        <f>CE753</f>
        <v>2378</v>
      </c>
      <c r="DT753" s="2290">
        <f>CJ753</f>
        <v>1926</v>
      </c>
      <c r="DU753" s="2290">
        <f>CO753</f>
        <v>3320</v>
      </c>
      <c r="DV753" s="2290">
        <f>CT753</f>
        <v>2564.02</v>
      </c>
      <c r="DW753" s="2290">
        <f t="shared" ref="DW753:DY755" si="1448">CY753</f>
        <v>3552.1888456000001</v>
      </c>
      <c r="DX753" s="2290">
        <f t="shared" si="1448"/>
        <v>4054.5529798000002</v>
      </c>
      <c r="DY753" s="2290">
        <f t="shared" si="1448"/>
        <v>4603.29890729</v>
      </c>
      <c r="EA753"/>
      <c r="EB753"/>
      <c r="EC753"/>
      <c r="ED753"/>
      <c r="EE753"/>
      <c r="EF753"/>
      <c r="EJ753"/>
      <c r="EK753"/>
      <c r="EL753"/>
      <c r="EM753" s="1703"/>
      <c r="ER753" s="212"/>
    </row>
    <row r="754" spans="1:148" s="923" customFormat="1" x14ac:dyDescent="0.2">
      <c r="A754" s="1580" t="s">
        <v>899</v>
      </c>
      <c r="B754" s="222"/>
      <c r="C754" s="222"/>
      <c r="D754" s="222"/>
      <c r="E754" s="222"/>
      <c r="F754" s="222"/>
      <c r="G754" s="222"/>
      <c r="H754" s="222">
        <v>-427</v>
      </c>
      <c r="I754" s="222">
        <f>H754-I698</f>
        <v>-460.15384615384613</v>
      </c>
      <c r="J754" s="222">
        <f>I754-J698</f>
        <v>-498.30769230769226</v>
      </c>
      <c r="K754" s="222">
        <f>J754-K698</f>
        <v>-537.46153846153845</v>
      </c>
      <c r="L754" s="222">
        <v>-506</v>
      </c>
      <c r="M754" s="970">
        <f>L754</f>
        <v>-506</v>
      </c>
      <c r="N754" s="222">
        <f>M754-N698</f>
        <v>-541.61538461538464</v>
      </c>
      <c r="O754" s="222">
        <f>N754-O698</f>
        <v>-581.23076923076928</v>
      </c>
      <c r="P754" s="222">
        <f>O754-P698</f>
        <v>-621.84615384615392</v>
      </c>
      <c r="Q754" s="222">
        <v>-559</v>
      </c>
      <c r="R754" s="970">
        <f>Q754</f>
        <v>-559</v>
      </c>
      <c r="S754" s="222">
        <f>R754-S698</f>
        <v>-590.79999999999995</v>
      </c>
      <c r="T754" s="222">
        <f>S754-T698</f>
        <v>-629.12307692307684</v>
      </c>
      <c r="U754" s="222">
        <f>T754-U698</f>
        <v>-662.44615384615372</v>
      </c>
      <c r="V754" s="222">
        <v>-470</v>
      </c>
      <c r="W754" s="970">
        <f>V754</f>
        <v>-470</v>
      </c>
      <c r="X754" s="222">
        <f>W754-X698</f>
        <v>-504</v>
      </c>
      <c r="Y754" s="222">
        <f>X754-Y698</f>
        <v>-538</v>
      </c>
      <c r="Z754" s="222">
        <f>Y754-Z698</f>
        <v>-575</v>
      </c>
      <c r="AA754" s="222">
        <v>-557</v>
      </c>
      <c r="AB754" s="970">
        <f>AA754</f>
        <v>-557</v>
      </c>
      <c r="AC754" s="222">
        <f>AB754-AC698</f>
        <v>-596</v>
      </c>
      <c r="AD754" s="222">
        <f>AC754-AD698</f>
        <v>-633</v>
      </c>
      <c r="AE754" s="222">
        <f>AD754-AE698</f>
        <v>-672</v>
      </c>
      <c r="AF754" s="222">
        <v>-681</v>
      </c>
      <c r="AG754" s="970">
        <f>AF754</f>
        <v>-681</v>
      </c>
      <c r="AH754" s="222">
        <f>AG754-AH698</f>
        <v>-718</v>
      </c>
      <c r="AI754" s="222">
        <f>AH754-AI698</f>
        <v>-754</v>
      </c>
      <c r="AJ754" s="222">
        <f>AI754-AJ698</f>
        <v>-807</v>
      </c>
      <c r="AK754" s="222">
        <v>-785</v>
      </c>
      <c r="AL754" s="970">
        <f>AK754</f>
        <v>-785</v>
      </c>
      <c r="AM754" s="222">
        <v>-798</v>
      </c>
      <c r="AN754" s="222">
        <v>-833</v>
      </c>
      <c r="AO754" s="222">
        <v>-866</v>
      </c>
      <c r="AP754" s="222">
        <v>-905</v>
      </c>
      <c r="AQ754" s="970">
        <f>AP754</f>
        <v>-905</v>
      </c>
      <c r="AR754" s="222">
        <v>-954</v>
      </c>
      <c r="AS754" s="222">
        <v>-954</v>
      </c>
      <c r="AT754" s="222">
        <v>-998</v>
      </c>
      <c r="AU754" s="222">
        <v>-1019</v>
      </c>
      <c r="AV754" s="970">
        <f>AU754</f>
        <v>-1019</v>
      </c>
      <c r="AW754" s="222">
        <v>-1050</v>
      </c>
      <c r="AX754" s="222">
        <f>-1070</f>
        <v>-1070</v>
      </c>
      <c r="AY754" s="222">
        <v>-1097</v>
      </c>
      <c r="AZ754" s="222">
        <v>-1076</v>
      </c>
      <c r="BA754" s="970">
        <f>AZ754</f>
        <v>-1076</v>
      </c>
      <c r="BB754" s="222">
        <v>-1081</v>
      </c>
      <c r="BC754" s="222">
        <v>-1109</v>
      </c>
      <c r="BD754" s="222">
        <v>-1145</v>
      </c>
      <c r="BE754" s="222">
        <v>-1186</v>
      </c>
      <c r="BF754" s="970">
        <f>BE754</f>
        <v>-1186</v>
      </c>
      <c r="BG754" s="222">
        <v>-1198</v>
      </c>
      <c r="BH754" s="222">
        <v>-1228</v>
      </c>
      <c r="BI754" s="222">
        <v>-1226</v>
      </c>
      <c r="BJ754" s="222">
        <v>-1249</v>
      </c>
      <c r="BK754" s="970">
        <f>BJ754</f>
        <v>-1249</v>
      </c>
      <c r="BL754" s="222">
        <v>-1273</v>
      </c>
      <c r="BM754" s="222">
        <v>-1304</v>
      </c>
      <c r="BN754" s="222">
        <v>-1332</v>
      </c>
      <c r="BO754" s="222">
        <v>-927</v>
      </c>
      <c r="BP754" s="970">
        <f>BO754</f>
        <v>-927</v>
      </c>
      <c r="BQ754" s="222">
        <v>-949</v>
      </c>
      <c r="BR754" s="222">
        <v>-960</v>
      </c>
      <c r="BS754" s="222">
        <v>-978</v>
      </c>
      <c r="BT754" s="222">
        <v>-991</v>
      </c>
      <c r="BU754" s="970">
        <f>BT754</f>
        <v>-991</v>
      </c>
      <c r="BV754" s="222">
        <v>-998</v>
      </c>
      <c r="BW754" s="222">
        <v>-1015</v>
      </c>
      <c r="BX754" s="222">
        <v>-972</v>
      </c>
      <c r="BY754" s="767">
        <v>-905</v>
      </c>
      <c r="BZ754" s="970">
        <f>BY754</f>
        <v>-905</v>
      </c>
      <c r="CA754" s="222">
        <v>-895</v>
      </c>
      <c r="CB754" s="222">
        <v>-918</v>
      </c>
      <c r="CC754" s="222">
        <v>-916</v>
      </c>
      <c r="CD754" s="222">
        <v>-918</v>
      </c>
      <c r="CE754" s="970">
        <f>CD754</f>
        <v>-918</v>
      </c>
      <c r="CF754" s="2688">
        <v>-932</v>
      </c>
      <c r="CG754" s="222">
        <v>-909</v>
      </c>
      <c r="CH754" s="222">
        <v>-896</v>
      </c>
      <c r="CI754" s="222">
        <v>-897</v>
      </c>
      <c r="CJ754" s="970">
        <f>CI754</f>
        <v>-897</v>
      </c>
      <c r="CK754" s="216">
        <f>CJ754-CK698</f>
        <v>-928</v>
      </c>
      <c r="CL754" s="216">
        <f>CK754-CL698</f>
        <v>-958</v>
      </c>
      <c r="CM754" s="216">
        <f>CL754-CM698</f>
        <v>-994</v>
      </c>
      <c r="CN754" s="3426">
        <v>-985</v>
      </c>
      <c r="CO754" s="970">
        <f>CN754</f>
        <v>-985</v>
      </c>
      <c r="CP754" s="216">
        <f>CO754-CP698</f>
        <v>-1050</v>
      </c>
      <c r="CQ754" s="216">
        <f>CP754-CQ698</f>
        <v>-1135</v>
      </c>
      <c r="CR754" s="216">
        <f>CQ754-CR698</f>
        <v>-1203</v>
      </c>
      <c r="CS754" s="216">
        <f>CR754-CS698</f>
        <v>-1275</v>
      </c>
      <c r="CT754" s="970">
        <f>CS754</f>
        <v>-1275</v>
      </c>
      <c r="CU754" s="216">
        <f>CT754-CU698</f>
        <v>-1340</v>
      </c>
      <c r="CV754" s="216">
        <f>CU754-CV698</f>
        <v>-1420.75</v>
      </c>
      <c r="CW754" s="216">
        <f>CV754-CW698</f>
        <v>-1488.75</v>
      </c>
      <c r="CX754" s="216">
        <f>CW754-CX698</f>
        <v>-1560.75</v>
      </c>
      <c r="CY754" s="970">
        <f>CX754</f>
        <v>-1560.75</v>
      </c>
      <c r="CZ754" s="1782">
        <f>CY754-CZ698</f>
        <v>-1852.2150000000001</v>
      </c>
      <c r="DA754" s="970">
        <f>CZ754-DA698</f>
        <v>-2149.5093000000002</v>
      </c>
      <c r="DB754"/>
      <c r="DC754"/>
      <c r="DD754" s="1580" t="s">
        <v>899</v>
      </c>
      <c r="DE754" s="970">
        <f>M754</f>
        <v>-506</v>
      </c>
      <c r="DF754" s="970">
        <f>R754</f>
        <v>-559</v>
      </c>
      <c r="DG754" s="970">
        <f>W754</f>
        <v>-470</v>
      </c>
      <c r="DH754" s="970">
        <f>AB754</f>
        <v>-557</v>
      </c>
      <c r="DI754" s="970">
        <f>AG754</f>
        <v>-681</v>
      </c>
      <c r="DJ754" s="970">
        <f>AL754</f>
        <v>-785</v>
      </c>
      <c r="DK754" s="970">
        <f>AQ754</f>
        <v>-905</v>
      </c>
      <c r="DL754" s="970">
        <f>AV754</f>
        <v>-1019</v>
      </c>
      <c r="DM754" s="970">
        <f>BA754</f>
        <v>-1076</v>
      </c>
      <c r="DN754" s="970">
        <f>BF754</f>
        <v>-1186</v>
      </c>
      <c r="DO754" s="970">
        <f>BK754</f>
        <v>-1249</v>
      </c>
      <c r="DP754" s="970">
        <f>BP754</f>
        <v>-927</v>
      </c>
      <c r="DQ754" s="970">
        <f>BU754</f>
        <v>-991</v>
      </c>
      <c r="DR754" s="970">
        <f>BZ754</f>
        <v>-905</v>
      </c>
      <c r="DS754" s="970">
        <f>CE754</f>
        <v>-918</v>
      </c>
      <c r="DT754" s="970">
        <f>CJ754</f>
        <v>-897</v>
      </c>
      <c r="DU754" s="970">
        <f>CO754</f>
        <v>-985</v>
      </c>
      <c r="DV754" s="970">
        <f>CT754</f>
        <v>-1275</v>
      </c>
      <c r="DW754" s="970">
        <f t="shared" si="1448"/>
        <v>-1560.75</v>
      </c>
      <c r="DX754" s="970">
        <f t="shared" si="1448"/>
        <v>-1852.2150000000001</v>
      </c>
      <c r="DY754" s="970">
        <f t="shared" si="1448"/>
        <v>-2149.5093000000002</v>
      </c>
      <c r="EA754"/>
      <c r="EB754"/>
      <c r="EC754"/>
      <c r="ED754"/>
      <c r="EE754"/>
      <c r="EF754"/>
      <c r="EJ754"/>
      <c r="EK754"/>
      <c r="EL754"/>
      <c r="EM754" s="1703"/>
      <c r="ER754" s="212"/>
    </row>
    <row r="755" spans="1:148" s="923" customFormat="1" x14ac:dyDescent="0.2">
      <c r="A755" s="504" t="s">
        <v>2021</v>
      </c>
      <c r="B755" s="215"/>
      <c r="C755" s="215"/>
      <c r="D755" s="215"/>
      <c r="E755" s="215"/>
      <c r="F755" s="215"/>
      <c r="G755" s="215"/>
      <c r="H755" s="215">
        <f t="shared" ref="H755:BB755" si="1449">SUM(H753:H754)</f>
        <v>2165</v>
      </c>
      <c r="I755" s="215">
        <f>SUM(I753:I754)</f>
        <v>2486.3960000000002</v>
      </c>
      <c r="J755" s="215">
        <f t="shared" si="1449"/>
        <v>2372.4719999999998</v>
      </c>
      <c r="K755" s="215">
        <f t="shared" si="1449"/>
        <v>2443.6999999999998</v>
      </c>
      <c r="L755" s="215">
        <f t="shared" si="1449"/>
        <v>2327</v>
      </c>
      <c r="M755" s="968">
        <f t="shared" si="1449"/>
        <v>2327</v>
      </c>
      <c r="N755" s="215">
        <f t="shared" si="1449"/>
        <v>2214.5720000000001</v>
      </c>
      <c r="O755" s="215">
        <f t="shared" si="1449"/>
        <v>2246.7359999999999</v>
      </c>
      <c r="P755" s="215">
        <f t="shared" si="1449"/>
        <v>2210.0280000000002</v>
      </c>
      <c r="Q755" s="215">
        <f t="shared" si="1449"/>
        <v>1763</v>
      </c>
      <c r="R755" s="968">
        <f t="shared" si="1449"/>
        <v>1763</v>
      </c>
      <c r="S755" s="215">
        <f t="shared" si="1449"/>
        <v>1824.2425235966223</v>
      </c>
      <c r="T755" s="215">
        <f t="shared" si="1449"/>
        <v>1830.5202654677041</v>
      </c>
      <c r="U755" s="215">
        <f t="shared" si="1449"/>
        <v>1860.4514837421639</v>
      </c>
      <c r="V755" s="215">
        <f t="shared" si="1449"/>
        <v>1319</v>
      </c>
      <c r="W755" s="968">
        <f t="shared" si="1449"/>
        <v>1319</v>
      </c>
      <c r="X755" s="215">
        <f t="shared" si="1449"/>
        <v>1406.3471999999997</v>
      </c>
      <c r="Y755" s="215">
        <f t="shared" si="1449"/>
        <v>1339.6463999999996</v>
      </c>
      <c r="Z755" s="215">
        <f t="shared" si="1449"/>
        <v>1400.6287999999997</v>
      </c>
      <c r="AA755" s="215">
        <f t="shared" si="1449"/>
        <v>1227</v>
      </c>
      <c r="AB755" s="968">
        <f t="shared" si="1449"/>
        <v>1227</v>
      </c>
      <c r="AC755" s="215">
        <f t="shared" si="1449"/>
        <v>1298.0244</v>
      </c>
      <c r="AD755" s="215">
        <f t="shared" si="1449"/>
        <v>1337.5808</v>
      </c>
      <c r="AE755" s="215">
        <f t="shared" si="1449"/>
        <v>1341.3004000000001</v>
      </c>
      <c r="AF755" s="215">
        <f t="shared" si="1449"/>
        <v>1203</v>
      </c>
      <c r="AG755" s="968">
        <f t="shared" si="1449"/>
        <v>1203</v>
      </c>
      <c r="AH755" s="215">
        <f t="shared" si="1449"/>
        <v>1225.2708</v>
      </c>
      <c r="AI755" s="215">
        <f t="shared" si="1449"/>
        <v>1433.2759999999998</v>
      </c>
      <c r="AJ755" s="215">
        <f t="shared" si="1449"/>
        <v>1528.3140000000003</v>
      </c>
      <c r="AK755" s="215">
        <f t="shared" si="1449"/>
        <v>1134</v>
      </c>
      <c r="AL755" s="968">
        <f t="shared" si="1449"/>
        <v>1134</v>
      </c>
      <c r="AM755" s="215">
        <f t="shared" si="1449"/>
        <v>1114</v>
      </c>
      <c r="AN755" s="215">
        <f t="shared" si="1449"/>
        <v>1085</v>
      </c>
      <c r="AO755" s="215">
        <f t="shared" si="1449"/>
        <v>1031</v>
      </c>
      <c r="AP755" s="215">
        <f t="shared" si="1449"/>
        <v>1238</v>
      </c>
      <c r="AQ755" s="968">
        <f t="shared" si="1449"/>
        <v>1238</v>
      </c>
      <c r="AR755" s="215">
        <f t="shared" si="1449"/>
        <v>1272</v>
      </c>
      <c r="AS755" s="215">
        <f t="shared" si="1449"/>
        <v>1085</v>
      </c>
      <c r="AT755" s="215">
        <f t="shared" si="1449"/>
        <v>1319</v>
      </c>
      <c r="AU755" s="215">
        <f t="shared" si="1449"/>
        <v>1329</v>
      </c>
      <c r="AV755" s="968">
        <f t="shared" si="1449"/>
        <v>1329</v>
      </c>
      <c r="AW755" s="215">
        <f t="shared" si="1449"/>
        <v>1338</v>
      </c>
      <c r="AX755" s="215">
        <f t="shared" si="1449"/>
        <v>1372</v>
      </c>
      <c r="AY755" s="215">
        <f t="shared" si="1449"/>
        <v>1394</v>
      </c>
      <c r="AZ755" s="215">
        <f t="shared" si="1449"/>
        <v>1443</v>
      </c>
      <c r="BA755" s="968">
        <f t="shared" si="1449"/>
        <v>1443</v>
      </c>
      <c r="BB755" s="215">
        <f t="shared" si="1449"/>
        <v>1449</v>
      </c>
      <c r="BC755" s="215">
        <v>1455</v>
      </c>
      <c r="BD755" s="215">
        <v>1371</v>
      </c>
      <c r="BE755" s="215">
        <v>1362</v>
      </c>
      <c r="BF755" s="968">
        <f t="shared" ref="BF755:BP755" si="1450">SUM(BF753:BF754)</f>
        <v>1362</v>
      </c>
      <c r="BG755" s="215">
        <f t="shared" si="1450"/>
        <v>1339</v>
      </c>
      <c r="BH755" s="215">
        <f t="shared" si="1450"/>
        <v>1335</v>
      </c>
      <c r="BI755" s="215">
        <f t="shared" si="1450"/>
        <v>1327</v>
      </c>
      <c r="BJ755" s="215">
        <f t="shared" si="1450"/>
        <v>1307</v>
      </c>
      <c r="BK755" s="968">
        <f t="shared" si="1450"/>
        <v>1307</v>
      </c>
      <c r="BL755" s="215">
        <f t="shared" si="1450"/>
        <v>1412</v>
      </c>
      <c r="BM755" s="215">
        <f t="shared" si="1450"/>
        <v>1483</v>
      </c>
      <c r="BN755" s="215">
        <f t="shared" si="1450"/>
        <v>1480</v>
      </c>
      <c r="BO755" s="215">
        <f t="shared" si="1450"/>
        <v>1168</v>
      </c>
      <c r="BP755" s="968">
        <f t="shared" si="1450"/>
        <v>1168</v>
      </c>
      <c r="BQ755" s="215">
        <f t="shared" ref="BQ755:CA755" si="1451">SUM(BQ753:BQ754)</f>
        <v>1367</v>
      </c>
      <c r="BR755" s="215">
        <f t="shared" si="1451"/>
        <v>1383</v>
      </c>
      <c r="BS755" s="215">
        <f t="shared" si="1451"/>
        <v>1421</v>
      </c>
      <c r="BT755" s="215">
        <f t="shared" si="1451"/>
        <v>1539</v>
      </c>
      <c r="BU755" s="968">
        <f t="shared" si="1451"/>
        <v>1539</v>
      </c>
      <c r="BV755" s="215">
        <f t="shared" si="1451"/>
        <v>1574</v>
      </c>
      <c r="BW755" s="215">
        <f t="shared" si="1451"/>
        <v>1634</v>
      </c>
      <c r="BX755" s="215">
        <f t="shared" si="1451"/>
        <v>1489</v>
      </c>
      <c r="BY755" s="215">
        <f t="shared" si="1451"/>
        <v>1543</v>
      </c>
      <c r="BZ755" s="968">
        <f t="shared" si="1451"/>
        <v>1543</v>
      </c>
      <c r="CA755" s="215">
        <f t="shared" si="1451"/>
        <v>1569</v>
      </c>
      <c r="CB755" s="215">
        <f t="shared" ref="CB755:DA755" si="1452">SUM(CB753:CB754)</f>
        <v>1647</v>
      </c>
      <c r="CC755" s="215">
        <f t="shared" si="1452"/>
        <v>1736</v>
      </c>
      <c r="CD755" s="1788">
        <f t="shared" si="1452"/>
        <v>1460</v>
      </c>
      <c r="CE755" s="968">
        <f t="shared" si="1452"/>
        <v>1460</v>
      </c>
      <c r="CF755" s="188">
        <f t="shared" si="1452"/>
        <v>1446</v>
      </c>
      <c r="CG755" s="215">
        <f>SUM(CG753:CG754)</f>
        <v>987</v>
      </c>
      <c r="CH755" s="215">
        <f t="shared" si="1452"/>
        <v>985</v>
      </c>
      <c r="CI755" s="1788">
        <f t="shared" si="1452"/>
        <v>1029</v>
      </c>
      <c r="CJ755" s="968">
        <f t="shared" si="1452"/>
        <v>1029</v>
      </c>
      <c r="CK755" s="188">
        <f>SUM(CK753:CK754)</f>
        <v>1042</v>
      </c>
      <c r="CL755" s="215">
        <f>SUM(CL753:CL754)</f>
        <v>1056</v>
      </c>
      <c r="CM755" s="215">
        <f t="shared" si="1452"/>
        <v>2411</v>
      </c>
      <c r="CN755" s="1788">
        <f t="shared" si="1452"/>
        <v>2335</v>
      </c>
      <c r="CO755" s="968">
        <f t="shared" si="1452"/>
        <v>2335</v>
      </c>
      <c r="CP755" s="2880">
        <v>2109</v>
      </c>
      <c r="CQ755" s="2880">
        <v>2102</v>
      </c>
      <c r="CR755" s="223">
        <v>1894</v>
      </c>
      <c r="CS755" s="215">
        <f t="shared" ref="CS755:CY755" si="1453">SUM(CS753:CS754)</f>
        <v>1289.02</v>
      </c>
      <c r="CT755" s="968">
        <f t="shared" si="1453"/>
        <v>1289.02</v>
      </c>
      <c r="CU755" s="215">
        <f t="shared" si="1453"/>
        <v>1512.7421300000001</v>
      </c>
      <c r="CV755" s="215">
        <f t="shared" si="1453"/>
        <v>1653.8431452</v>
      </c>
      <c r="CW755" s="215">
        <f t="shared" si="1453"/>
        <v>1816.5730456000001</v>
      </c>
      <c r="CX755" s="215">
        <f t="shared" si="1453"/>
        <v>1991.4388456000001</v>
      </c>
      <c r="CY755" s="968">
        <f t="shared" si="1453"/>
        <v>1991.4388456000001</v>
      </c>
      <c r="CZ755" s="968">
        <f t="shared" si="1452"/>
        <v>2202.3379798000001</v>
      </c>
      <c r="DA755" s="968">
        <f t="shared" si="1452"/>
        <v>2453.7896072899998</v>
      </c>
      <c r="DB755"/>
      <c r="DC755"/>
      <c r="DD755" s="2285" t="s">
        <v>2021</v>
      </c>
      <c r="DE755" s="2290">
        <f>M755</f>
        <v>2327</v>
      </c>
      <c r="DF755" s="2290">
        <f>R755</f>
        <v>1763</v>
      </c>
      <c r="DG755" s="2290">
        <f>W755</f>
        <v>1319</v>
      </c>
      <c r="DH755" s="2290">
        <f>AB755</f>
        <v>1227</v>
      </c>
      <c r="DI755" s="2290">
        <f>AG755</f>
        <v>1203</v>
      </c>
      <c r="DJ755" s="2290">
        <f>AL755</f>
        <v>1134</v>
      </c>
      <c r="DK755" s="2290">
        <f>AQ755</f>
        <v>1238</v>
      </c>
      <c r="DL755" s="2290">
        <f>AV755</f>
        <v>1329</v>
      </c>
      <c r="DM755" s="2290">
        <f>BA755</f>
        <v>1443</v>
      </c>
      <c r="DN755" s="2290">
        <f>BF755</f>
        <v>1362</v>
      </c>
      <c r="DO755" s="2290">
        <f>BK755</f>
        <v>1307</v>
      </c>
      <c r="DP755" s="2290">
        <f>BP755</f>
        <v>1168</v>
      </c>
      <c r="DQ755" s="2290">
        <f>BU755</f>
        <v>1539</v>
      </c>
      <c r="DR755" s="2290">
        <f>BZ755</f>
        <v>1543</v>
      </c>
      <c r="DS755" s="2290">
        <f>CE755</f>
        <v>1460</v>
      </c>
      <c r="DT755" s="2290">
        <f>CJ755</f>
        <v>1029</v>
      </c>
      <c r="DU755" s="2290">
        <f>CO755</f>
        <v>2335</v>
      </c>
      <c r="DV755" s="2290">
        <f>CT755</f>
        <v>1289.02</v>
      </c>
      <c r="DW755" s="2290">
        <f t="shared" si="1448"/>
        <v>1991.4388456000001</v>
      </c>
      <c r="DX755" s="2290">
        <f t="shared" si="1448"/>
        <v>2202.3379798000001</v>
      </c>
      <c r="DY755" s="2290">
        <f t="shared" si="1448"/>
        <v>2453.7896072899998</v>
      </c>
      <c r="EA755"/>
      <c r="EB755"/>
      <c r="EC755"/>
      <c r="ED755"/>
      <c r="EE755"/>
      <c r="EF755"/>
      <c r="EJ755"/>
      <c r="EK755"/>
      <c r="EL755"/>
      <c r="EM755" s="1703"/>
      <c r="ER755" s="212"/>
    </row>
    <row r="756" spans="1:148" s="923" customFormat="1" ht="12.75" customHeight="1" x14ac:dyDescent="0.2">
      <c r="A756" s="1725"/>
      <c r="B756" s="215"/>
      <c r="C756" s="215"/>
      <c r="D756" s="215"/>
      <c r="E756" s="215"/>
      <c r="F756" s="215"/>
      <c r="G756" s="215"/>
      <c r="H756" s="215"/>
      <c r="I756" s="215"/>
      <c r="J756" s="215"/>
      <c r="K756" s="215"/>
      <c r="L756" s="215"/>
      <c r="M756" s="968"/>
      <c r="N756" s="215"/>
      <c r="O756" s="215"/>
      <c r="P756" s="215"/>
      <c r="Q756" s="215"/>
      <c r="R756" s="968"/>
      <c r="S756" s="215"/>
      <c r="T756" s="215"/>
      <c r="U756" s="215"/>
      <c r="V756" s="215"/>
      <c r="W756" s="968"/>
      <c r="X756" s="215"/>
      <c r="Y756" s="215"/>
      <c r="Z756" s="215"/>
      <c r="AA756" s="215"/>
      <c r="AB756" s="968"/>
      <c r="AC756" s="215"/>
      <c r="AD756" s="215"/>
      <c r="AE756" s="215"/>
      <c r="AF756" s="215"/>
      <c r="AG756" s="968"/>
      <c r="AH756" s="215"/>
      <c r="AI756" s="215"/>
      <c r="AJ756" s="215"/>
      <c r="AK756" s="215"/>
      <c r="AL756" s="968"/>
      <c r="AM756" s="215"/>
      <c r="AN756" s="215"/>
      <c r="AO756" s="215"/>
      <c r="AP756" s="215"/>
      <c r="AQ756" s="968"/>
      <c r="AR756" s="215"/>
      <c r="AS756" s="215"/>
      <c r="AT756" s="215"/>
      <c r="AU756" s="215"/>
      <c r="AV756" s="968"/>
      <c r="AW756" s="215"/>
      <c r="AX756" s="215"/>
      <c r="AY756" s="215"/>
      <c r="AZ756" s="215"/>
      <c r="BA756" s="968"/>
      <c r="BB756" s="215"/>
      <c r="BC756" s="215"/>
      <c r="BD756" s="215"/>
      <c r="BE756" s="215"/>
      <c r="BF756" s="968"/>
      <c r="BG756" s="215"/>
      <c r="BH756" s="215"/>
      <c r="BI756" s="215"/>
      <c r="BJ756" s="215"/>
      <c r="BK756" s="968"/>
      <c r="BL756" s="215"/>
      <c r="BM756" s="215"/>
      <c r="BN756" s="215"/>
      <c r="BO756" s="215"/>
      <c r="BP756" s="968"/>
      <c r="BQ756" s="215"/>
      <c r="BR756" s="215"/>
      <c r="BS756" s="215"/>
      <c r="BT756" s="215"/>
      <c r="BU756" s="968"/>
      <c r="BV756" s="215"/>
      <c r="BW756" s="215"/>
      <c r="BX756" s="215"/>
      <c r="BY756" s="215"/>
      <c r="BZ756" s="968"/>
      <c r="CA756" s="215"/>
      <c r="CB756" s="215"/>
      <c r="CC756" s="215"/>
      <c r="CD756" s="1788"/>
      <c r="CE756" s="968"/>
      <c r="CF756" s="188"/>
      <c r="CG756" s="215"/>
      <c r="CH756" s="215"/>
      <c r="CI756" s="1788"/>
      <c r="CJ756" s="968"/>
      <c r="CK756" s="188"/>
      <c r="CL756" s="215"/>
      <c r="CM756" s="215"/>
      <c r="CN756" s="1788"/>
      <c r="CO756" s="968"/>
      <c r="CP756" s="215"/>
      <c r="CQ756" s="215"/>
      <c r="CR756" s="3809"/>
      <c r="CS756" s="215"/>
      <c r="CT756" s="968"/>
      <c r="CU756" s="215"/>
      <c r="CV756" s="215"/>
      <c r="CW756" s="215"/>
      <c r="CX756" s="215"/>
      <c r="CY756" s="968"/>
      <c r="CZ756" s="968"/>
      <c r="DA756" s="968"/>
      <c r="DB756"/>
      <c r="DC756"/>
      <c r="DD756" s="1697"/>
      <c r="DE756" s="2290"/>
      <c r="DF756" s="2290"/>
      <c r="DG756" s="2290"/>
      <c r="DH756" s="2290"/>
      <c r="DI756" s="2290"/>
      <c r="DJ756" s="2290"/>
      <c r="DK756" s="2290"/>
      <c r="DL756" s="2290"/>
      <c r="DM756" s="2290"/>
      <c r="DN756" s="2290"/>
      <c r="DO756" s="2290"/>
      <c r="DP756" s="2290"/>
      <c r="DQ756" s="2290"/>
      <c r="DR756" s="2290"/>
      <c r="DS756" s="2290"/>
      <c r="DT756" s="2290"/>
      <c r="DU756" s="2290"/>
      <c r="DV756" s="2290"/>
      <c r="DW756" s="2290"/>
      <c r="DX756" s="2290"/>
      <c r="DY756" s="2290"/>
      <c r="EA756"/>
      <c r="EB756"/>
      <c r="EC756"/>
      <c r="ED756"/>
      <c r="EE756"/>
      <c r="EF756"/>
      <c r="EJ756"/>
      <c r="EK756"/>
      <c r="EL756"/>
      <c r="EM756" s="1703"/>
      <c r="ER756" s="212"/>
    </row>
    <row r="757" spans="1:148" s="923" customFormat="1" ht="12.75" customHeight="1" x14ac:dyDescent="0.2">
      <c r="A757" s="1434" t="s">
        <v>756</v>
      </c>
      <c r="B757" s="845"/>
      <c r="C757" s="845"/>
      <c r="D757" s="845"/>
      <c r="E757" s="845"/>
      <c r="F757" s="845"/>
      <c r="G757" s="845"/>
      <c r="H757" s="845"/>
      <c r="I757" s="845">
        <v>1799</v>
      </c>
      <c r="J757" s="845">
        <v>1815</v>
      </c>
      <c r="K757" s="845">
        <v>1816</v>
      </c>
      <c r="L757" s="845">
        <v>1833</v>
      </c>
      <c r="M757" s="661">
        <f t="shared" ref="M757:M764" si="1454">L757</f>
        <v>1833</v>
      </c>
      <c r="N757" s="845">
        <v>1834</v>
      </c>
      <c r="O757" s="845">
        <v>1812</v>
      </c>
      <c r="P757" s="845">
        <v>1801</v>
      </c>
      <c r="Q757" s="845">
        <v>1764</v>
      </c>
      <c r="R757" s="661">
        <f t="shared" ref="R757:R764" si="1455">Q757</f>
        <v>1764</v>
      </c>
      <c r="S757" s="845">
        <f>1092+477</f>
        <v>1569</v>
      </c>
      <c r="T757" s="845">
        <f>1092+476</f>
        <v>1568</v>
      </c>
      <c r="U757" s="845">
        <f>1092+481</f>
        <v>1573</v>
      </c>
      <c r="V757" s="845">
        <f>923+495</f>
        <v>1418</v>
      </c>
      <c r="W757" s="661">
        <f>V757</f>
        <v>1418</v>
      </c>
      <c r="X757" s="845">
        <f>923+500</f>
        <v>1423</v>
      </c>
      <c r="Y757" s="845">
        <f>923+511</f>
        <v>1434</v>
      </c>
      <c r="Z757" s="845">
        <f>923+520</f>
        <v>1443</v>
      </c>
      <c r="AA757" s="845">
        <f>923+526</f>
        <v>1449</v>
      </c>
      <c r="AB757" s="661">
        <f>AA757</f>
        <v>1449</v>
      </c>
      <c r="AC757" s="845">
        <f>923+532</f>
        <v>1455</v>
      </c>
      <c r="AD757" s="845">
        <f>923+536</f>
        <v>1459</v>
      </c>
      <c r="AE757" s="845">
        <f>923+555</f>
        <v>1478</v>
      </c>
      <c r="AF757" s="845">
        <f>923+513</f>
        <v>1436</v>
      </c>
      <c r="AG757" s="661">
        <f>AF757</f>
        <v>1436</v>
      </c>
      <c r="AH757" s="845">
        <f>923+518</f>
        <v>1441</v>
      </c>
      <c r="AI757" s="845">
        <f>923+441</f>
        <v>1364</v>
      </c>
      <c r="AJ757" s="845">
        <f>924+446</f>
        <v>1370</v>
      </c>
      <c r="AK757" s="845">
        <v>1390</v>
      </c>
      <c r="AL757" s="661">
        <f>AK757</f>
        <v>1390</v>
      </c>
      <c r="AM757" s="845">
        <v>1455</v>
      </c>
      <c r="AN757" s="845">
        <v>1466</v>
      </c>
      <c r="AO757" s="845">
        <v>1474</v>
      </c>
      <c r="AP757" s="845">
        <v>1496</v>
      </c>
      <c r="AQ757" s="661">
        <f>AP757</f>
        <v>1496</v>
      </c>
      <c r="AR757" s="845">
        <v>1500</v>
      </c>
      <c r="AS757" s="845">
        <v>1515</v>
      </c>
      <c r="AT757" s="845">
        <v>1544</v>
      </c>
      <c r="AU757" s="845">
        <v>1556</v>
      </c>
      <c r="AV757" s="661">
        <f>AU757</f>
        <v>1556</v>
      </c>
      <c r="AW757" s="845">
        <v>1569</v>
      </c>
      <c r="AX757" s="845">
        <f>921+712</f>
        <v>1633</v>
      </c>
      <c r="AY757" s="845">
        <f>921+721</f>
        <v>1642</v>
      </c>
      <c r="AZ757" s="845">
        <f>875+710</f>
        <v>1585</v>
      </c>
      <c r="BA757" s="661">
        <f>AZ757</f>
        <v>1585</v>
      </c>
      <c r="BB757" s="845">
        <f>875+712</f>
        <v>1587</v>
      </c>
      <c r="BC757" s="845">
        <f>875+716</f>
        <v>1591</v>
      </c>
      <c r="BD757" s="845">
        <f>875+734</f>
        <v>1609</v>
      </c>
      <c r="BE757" s="845">
        <f>875+731</f>
        <v>1606</v>
      </c>
      <c r="BF757" s="661">
        <f>BE757</f>
        <v>1606</v>
      </c>
      <c r="BG757" s="845">
        <f>875+743</f>
        <v>1618</v>
      </c>
      <c r="BH757" s="845">
        <f>875+735</f>
        <v>1610</v>
      </c>
      <c r="BI757" s="845">
        <v>1623</v>
      </c>
      <c r="BJ757" s="845">
        <v>1643</v>
      </c>
      <c r="BK757" s="661">
        <f>BJ757</f>
        <v>1643</v>
      </c>
      <c r="BL757" s="845">
        <f>875+802</f>
        <v>1677</v>
      </c>
      <c r="BM757" s="845">
        <f>875+844</f>
        <v>1719</v>
      </c>
      <c r="BN757" s="845">
        <f>875+841</f>
        <v>1716</v>
      </c>
      <c r="BO757" s="845">
        <f>875+846</f>
        <v>1721</v>
      </c>
      <c r="BP757" s="661">
        <f>BO757</f>
        <v>1721</v>
      </c>
      <c r="BQ757" s="845">
        <f>875+852</f>
        <v>1727</v>
      </c>
      <c r="BR757" s="845">
        <f>874+846</f>
        <v>1720</v>
      </c>
      <c r="BS757" s="845">
        <v>1772</v>
      </c>
      <c r="BT757" s="845">
        <f>874+1115</f>
        <v>1989</v>
      </c>
      <c r="BU757" s="661">
        <f>BT757</f>
        <v>1989</v>
      </c>
      <c r="BV757" s="845">
        <v>1993</v>
      </c>
      <c r="BW757" s="845">
        <f>874+1117</f>
        <v>1991</v>
      </c>
      <c r="BX757" s="845">
        <v>1989</v>
      </c>
      <c r="BY757" s="845">
        <f>874+1131</f>
        <v>2005</v>
      </c>
      <c r="BZ757" s="661">
        <f>BY757</f>
        <v>2005</v>
      </c>
      <c r="CA757" s="845">
        <f>874+1126</f>
        <v>2000</v>
      </c>
      <c r="CB757" s="845">
        <f>894+1334</f>
        <v>2228</v>
      </c>
      <c r="CC757" s="845">
        <v>2236</v>
      </c>
      <c r="CD757" s="845">
        <v>2245</v>
      </c>
      <c r="CE757" s="661">
        <f>CD757</f>
        <v>2245</v>
      </c>
      <c r="CF757" s="1427">
        <v>2289</v>
      </c>
      <c r="CG757" s="845">
        <v>2414</v>
      </c>
      <c r="CH757" s="845">
        <v>2420</v>
      </c>
      <c r="CI757" s="845">
        <v>2394</v>
      </c>
      <c r="CJ757" s="661">
        <f>CI757</f>
        <v>2394</v>
      </c>
      <c r="CK757" s="1427">
        <v>2414</v>
      </c>
      <c r="CL757" s="845">
        <v>2420</v>
      </c>
      <c r="CM757" s="2983">
        <v>17223</v>
      </c>
      <c r="CN757" s="2983">
        <v>16868</v>
      </c>
      <c r="CO757" s="661">
        <f t="shared" ref="CO757:CO764" si="1456">CN757</f>
        <v>16868</v>
      </c>
      <c r="CP757" s="1427">
        <v>17125</v>
      </c>
      <c r="CQ757" s="2983">
        <v>17351</v>
      </c>
      <c r="CR757" s="845">
        <v>17940</v>
      </c>
      <c r="CS757" s="847">
        <f>+CR757</f>
        <v>17940</v>
      </c>
      <c r="CT757" s="661">
        <f t="shared" ref="CT757:CT764" si="1457">CS757</f>
        <v>17940</v>
      </c>
      <c r="CU757" s="847">
        <f>+CT757</f>
        <v>17940</v>
      </c>
      <c r="CV757" s="847">
        <f>+CU757</f>
        <v>17940</v>
      </c>
      <c r="CW757" s="847">
        <f>+CV757</f>
        <v>17940</v>
      </c>
      <c r="CX757" s="847">
        <f>+CW757</f>
        <v>17940</v>
      </c>
      <c r="CY757" s="661">
        <f t="shared" ref="CY757:CY764" si="1458">CX757</f>
        <v>17940</v>
      </c>
      <c r="CZ757" s="661">
        <f>+CY757</f>
        <v>17940</v>
      </c>
      <c r="DA757" s="661">
        <f>+CZ757</f>
        <v>17940</v>
      </c>
      <c r="DB757"/>
      <c r="DC757"/>
      <c r="DD757" s="2308" t="s">
        <v>756</v>
      </c>
      <c r="DE757" s="2293">
        <f t="shared" ref="DE757:DE765" si="1459">M757</f>
        <v>1833</v>
      </c>
      <c r="DF757" s="2293">
        <f t="shared" ref="DF757:DF765" si="1460">R757</f>
        <v>1764</v>
      </c>
      <c r="DG757" s="2293">
        <f t="shared" ref="DG757:DG765" si="1461">W757</f>
        <v>1418</v>
      </c>
      <c r="DH757" s="2293">
        <f t="shared" ref="DH757:DH765" si="1462">AB757</f>
        <v>1449</v>
      </c>
      <c r="DI757" s="2293">
        <f t="shared" ref="DI757:DI765" si="1463">AG757</f>
        <v>1436</v>
      </c>
      <c r="DJ757" s="2293">
        <f t="shared" ref="DJ757:DJ765" si="1464">AL757</f>
        <v>1390</v>
      </c>
      <c r="DK757" s="2293">
        <f t="shared" ref="DK757:DK765" si="1465">AQ757</f>
        <v>1496</v>
      </c>
      <c r="DL757" s="2293">
        <f t="shared" ref="DL757:DL765" si="1466">AV757</f>
        <v>1556</v>
      </c>
      <c r="DM757" s="2293">
        <f t="shared" ref="DM757:DM765" si="1467">BA757</f>
        <v>1585</v>
      </c>
      <c r="DN757" s="2293">
        <f t="shared" ref="DN757:DN765" si="1468">BF757</f>
        <v>1606</v>
      </c>
      <c r="DO757" s="2293">
        <f t="shared" ref="DO757:DO765" si="1469">BK757</f>
        <v>1643</v>
      </c>
      <c r="DP757" s="2293">
        <f t="shared" ref="DP757:DP765" si="1470">BP757</f>
        <v>1721</v>
      </c>
      <c r="DQ757" s="2293">
        <f t="shared" ref="DQ757:DQ765" si="1471">BU757</f>
        <v>1989</v>
      </c>
      <c r="DR757" s="2293">
        <f t="shared" ref="DR757:DR765" si="1472">BZ757</f>
        <v>2005</v>
      </c>
      <c r="DS757" s="2293">
        <f t="shared" ref="DS757:DS765" si="1473">CE757</f>
        <v>2245</v>
      </c>
      <c r="DT757" s="2293">
        <f t="shared" ref="DT757:DT765" si="1474">CJ757</f>
        <v>2394</v>
      </c>
      <c r="DU757" s="2293">
        <f t="shared" ref="DU757:DU765" si="1475">CO757</f>
        <v>16868</v>
      </c>
      <c r="DV757" s="2293">
        <f t="shared" ref="DV757:DV765" si="1476">CT757</f>
        <v>17940</v>
      </c>
      <c r="DW757" s="2293">
        <f t="shared" ref="DW757:DW765" si="1477">CY757</f>
        <v>17940</v>
      </c>
      <c r="DX757" s="2293">
        <f t="shared" ref="DX757:DX765" si="1478">CZ757</f>
        <v>17940</v>
      </c>
      <c r="DY757" s="2293">
        <f t="shared" ref="DY757:DY765" si="1479">DA757</f>
        <v>17940</v>
      </c>
      <c r="EA757"/>
      <c r="EB757"/>
      <c r="EC757"/>
      <c r="ED757"/>
      <c r="EE757"/>
      <c r="EF757"/>
      <c r="EJ757"/>
      <c r="EK757"/>
      <c r="EL757"/>
      <c r="EM757" s="1703"/>
      <c r="ER757" s="212"/>
    </row>
    <row r="758" spans="1:148" s="923" customFormat="1" ht="12.75" customHeight="1" x14ac:dyDescent="0.2">
      <c r="A758" s="507" t="s">
        <v>880</v>
      </c>
      <c r="B758" s="845"/>
      <c r="C758" s="845"/>
      <c r="D758" s="845"/>
      <c r="E758" s="845"/>
      <c r="F758" s="845"/>
      <c r="G758" s="845"/>
      <c r="H758" s="845"/>
      <c r="I758" s="845">
        <f>284-I760-I759</f>
        <v>42</v>
      </c>
      <c r="J758" s="845">
        <f>336-J760-J759</f>
        <v>68</v>
      </c>
      <c r="K758" s="845">
        <f>372-K760-K759</f>
        <v>86</v>
      </c>
      <c r="L758" s="845">
        <f>747*0.5</f>
        <v>373.5</v>
      </c>
      <c r="M758" s="661">
        <f t="shared" si="1454"/>
        <v>373.5</v>
      </c>
      <c r="N758" s="845">
        <f>793*0.5</f>
        <v>396.5</v>
      </c>
      <c r="O758" s="845">
        <f>796*0.5</f>
        <v>398</v>
      </c>
      <c r="P758" s="845">
        <f>828*0.5</f>
        <v>414</v>
      </c>
      <c r="Q758" s="845">
        <f>823*0.5</f>
        <v>411.5</v>
      </c>
      <c r="R758" s="661">
        <f t="shared" si="1455"/>
        <v>411.5</v>
      </c>
      <c r="S758" s="845">
        <f>1062*0.5</f>
        <v>531</v>
      </c>
      <c r="T758" s="845">
        <f>1109*0.5</f>
        <v>554.5</v>
      </c>
      <c r="U758" s="845">
        <f>1136*0.5</f>
        <v>568</v>
      </c>
      <c r="V758" s="845">
        <v>475</v>
      </c>
      <c r="W758" s="661">
        <f>V758</f>
        <v>475</v>
      </c>
      <c r="X758" s="845">
        <v>486</v>
      </c>
      <c r="Y758" s="845">
        <v>488</v>
      </c>
      <c r="Z758" s="845">
        <v>479</v>
      </c>
      <c r="AA758" s="845">
        <v>468</v>
      </c>
      <c r="AB758" s="661">
        <f>AA758</f>
        <v>468</v>
      </c>
      <c r="AC758" s="845">
        <v>446</v>
      </c>
      <c r="AD758" s="845">
        <v>253</v>
      </c>
      <c r="AE758" s="845">
        <v>258</v>
      </c>
      <c r="AF758" s="845">
        <v>249</v>
      </c>
      <c r="AG758" s="661">
        <f>AF758</f>
        <v>249</v>
      </c>
      <c r="AH758" s="845">
        <v>239</v>
      </c>
      <c r="AI758" s="845">
        <v>243</v>
      </c>
      <c r="AJ758" s="845">
        <v>242</v>
      </c>
      <c r="AK758" s="845">
        <v>349</v>
      </c>
      <c r="AL758" s="661">
        <f>AK758</f>
        <v>349</v>
      </c>
      <c r="AM758" s="845">
        <v>380</v>
      </c>
      <c r="AN758" s="845">
        <v>333</v>
      </c>
      <c r="AO758" s="845">
        <v>336</v>
      </c>
      <c r="AP758" s="845">
        <v>332</v>
      </c>
      <c r="AQ758" s="661">
        <f>AP758</f>
        <v>332</v>
      </c>
      <c r="AR758" s="845">
        <f>383-AR759</f>
        <v>313</v>
      </c>
      <c r="AS758" s="845">
        <f>378-AS759</f>
        <v>308</v>
      </c>
      <c r="AT758" s="845">
        <f>306-AT759</f>
        <v>236</v>
      </c>
      <c r="AU758" s="845">
        <f>343-AU759</f>
        <v>273</v>
      </c>
      <c r="AV758" s="661">
        <f>AU758</f>
        <v>273</v>
      </c>
      <c r="AW758" s="845">
        <f>324-AW759</f>
        <v>254</v>
      </c>
      <c r="AX758" s="845">
        <f>326-AX759</f>
        <v>256</v>
      </c>
      <c r="AY758" s="845">
        <f>329-AY759</f>
        <v>259</v>
      </c>
      <c r="AZ758" s="845">
        <f>346-AZ759</f>
        <v>276</v>
      </c>
      <c r="BA758" s="661">
        <f>AZ758</f>
        <v>276</v>
      </c>
      <c r="BB758" s="845">
        <v>311</v>
      </c>
      <c r="BC758" s="845">
        <v>326</v>
      </c>
      <c r="BD758" s="845">
        <v>257</v>
      </c>
      <c r="BE758" s="845">
        <v>249</v>
      </c>
      <c r="BF758" s="661">
        <f>BE758</f>
        <v>249</v>
      </c>
      <c r="BG758" s="845">
        <v>243</v>
      </c>
      <c r="BH758" s="845">
        <v>245</v>
      </c>
      <c r="BI758" s="845">
        <v>245</v>
      </c>
      <c r="BJ758" s="845">
        <v>250</v>
      </c>
      <c r="BK758" s="661">
        <f>BJ758</f>
        <v>250</v>
      </c>
      <c r="BL758" s="845">
        <v>313</v>
      </c>
      <c r="BM758" s="845">
        <v>278</v>
      </c>
      <c r="BN758" s="845">
        <v>271</v>
      </c>
      <c r="BO758" s="845">
        <v>265</v>
      </c>
      <c r="BP758" s="661">
        <f>BO758</f>
        <v>265</v>
      </c>
      <c r="BQ758" s="845">
        <v>268</v>
      </c>
      <c r="BR758" s="845">
        <v>223</v>
      </c>
      <c r="BS758" s="845">
        <v>217</v>
      </c>
      <c r="BT758" s="845">
        <v>216</v>
      </c>
      <c r="BU758" s="661">
        <f>BT758</f>
        <v>216</v>
      </c>
      <c r="BV758" s="845">
        <v>230</v>
      </c>
      <c r="BW758" s="845">
        <v>228</v>
      </c>
      <c r="BX758" s="845">
        <v>228</v>
      </c>
      <c r="BY758" s="845">
        <v>222</v>
      </c>
      <c r="BZ758" s="661">
        <f>BY758</f>
        <v>222</v>
      </c>
      <c r="CA758" s="845">
        <v>222</v>
      </c>
      <c r="CB758" s="845">
        <v>229</v>
      </c>
      <c r="CC758" s="845">
        <v>234</v>
      </c>
      <c r="CD758" s="845">
        <v>224</v>
      </c>
      <c r="CE758" s="661">
        <f>CD758</f>
        <v>224</v>
      </c>
      <c r="CF758" s="1427">
        <v>217</v>
      </c>
      <c r="CG758" s="845">
        <v>216</v>
      </c>
      <c r="CH758" s="845">
        <v>174</v>
      </c>
      <c r="CI758" s="845">
        <v>165</v>
      </c>
      <c r="CJ758" s="661">
        <f>CI758</f>
        <v>165</v>
      </c>
      <c r="CK758" s="1427">
        <v>169</v>
      </c>
      <c r="CL758" s="845">
        <v>179</v>
      </c>
      <c r="CM758" s="2983">
        <v>830</v>
      </c>
      <c r="CN758" s="2983">
        <v>728</v>
      </c>
      <c r="CO758" s="661">
        <f t="shared" si="1456"/>
        <v>728</v>
      </c>
      <c r="CP758" s="1427">
        <v>745</v>
      </c>
      <c r="CQ758" s="2983">
        <v>762</v>
      </c>
      <c r="CR758" s="845">
        <v>720</v>
      </c>
      <c r="CS758" s="847">
        <f>+CR758-CS659-CS709-CS660</f>
        <v>665</v>
      </c>
      <c r="CT758" s="661">
        <f t="shared" si="1457"/>
        <v>665</v>
      </c>
      <c r="CU758" s="847">
        <f>+CT758-CU659-CU709-CU660</f>
        <v>703.55</v>
      </c>
      <c r="CV758" s="847">
        <f>+CU758-CV659-CV709-CV660</f>
        <v>719.69999999999993</v>
      </c>
      <c r="CW758" s="847">
        <f>+CV758-CW659-CW709-CW660</f>
        <v>713.44999999999993</v>
      </c>
      <c r="CX758" s="847">
        <f>+CW758-CX659-CX709-CX660</f>
        <v>744.84999999999991</v>
      </c>
      <c r="CY758" s="661">
        <f t="shared" si="1458"/>
        <v>744.84999999999991</v>
      </c>
      <c r="CZ758" s="661">
        <f>+CY758-CZ659-CZ709-CZ660</f>
        <v>833.40999999999985</v>
      </c>
      <c r="DA758" s="661">
        <f>+CZ758-DA659-DA709-DA660</f>
        <v>902.0419999999998</v>
      </c>
      <c r="DB758"/>
      <c r="DC758"/>
      <c r="DD758" s="2295" t="s">
        <v>880</v>
      </c>
      <c r="DE758" s="2293">
        <f t="shared" si="1459"/>
        <v>373.5</v>
      </c>
      <c r="DF758" s="2293">
        <f t="shared" si="1460"/>
        <v>411.5</v>
      </c>
      <c r="DG758" s="2293">
        <f t="shared" si="1461"/>
        <v>475</v>
      </c>
      <c r="DH758" s="2293">
        <f t="shared" si="1462"/>
        <v>468</v>
      </c>
      <c r="DI758" s="2293">
        <f t="shared" si="1463"/>
        <v>249</v>
      </c>
      <c r="DJ758" s="2293">
        <f t="shared" si="1464"/>
        <v>349</v>
      </c>
      <c r="DK758" s="2293">
        <f t="shared" si="1465"/>
        <v>332</v>
      </c>
      <c r="DL758" s="2293">
        <f t="shared" si="1466"/>
        <v>273</v>
      </c>
      <c r="DM758" s="2293">
        <f t="shared" si="1467"/>
        <v>276</v>
      </c>
      <c r="DN758" s="2293">
        <f t="shared" si="1468"/>
        <v>249</v>
      </c>
      <c r="DO758" s="2293">
        <f t="shared" si="1469"/>
        <v>250</v>
      </c>
      <c r="DP758" s="2293">
        <f t="shared" si="1470"/>
        <v>265</v>
      </c>
      <c r="DQ758" s="2293">
        <f t="shared" si="1471"/>
        <v>216</v>
      </c>
      <c r="DR758" s="2293">
        <f t="shared" si="1472"/>
        <v>222</v>
      </c>
      <c r="DS758" s="2293">
        <f t="shared" si="1473"/>
        <v>224</v>
      </c>
      <c r="DT758" s="2293">
        <f t="shared" si="1474"/>
        <v>165</v>
      </c>
      <c r="DU758" s="2293">
        <f t="shared" si="1475"/>
        <v>728</v>
      </c>
      <c r="DV758" s="2293">
        <f t="shared" si="1476"/>
        <v>665</v>
      </c>
      <c r="DW758" s="2293">
        <f t="shared" si="1477"/>
        <v>744.84999999999991</v>
      </c>
      <c r="DX758" s="2293">
        <f t="shared" si="1478"/>
        <v>833.40999999999985</v>
      </c>
      <c r="DY758" s="2293">
        <f t="shared" si="1479"/>
        <v>902.0419999999998</v>
      </c>
      <c r="EA758"/>
      <c r="EB758"/>
      <c r="EC758"/>
      <c r="ED758"/>
      <c r="EE758"/>
      <c r="EF758"/>
      <c r="EJ758"/>
      <c r="EK758"/>
      <c r="EL758"/>
      <c r="EM758" s="1703"/>
      <c r="ER758" s="212"/>
    </row>
    <row r="759" spans="1:148" s="923" customFormat="1" ht="12.75" customHeight="1" x14ac:dyDescent="0.2">
      <c r="A759" s="507" t="s">
        <v>900</v>
      </c>
      <c r="B759" s="223"/>
      <c r="C759" s="223"/>
      <c r="D759" s="223"/>
      <c r="E759" s="223"/>
      <c r="F759" s="223"/>
      <c r="G759" s="223"/>
      <c r="H759" s="223"/>
      <c r="I759" s="223">
        <v>42</v>
      </c>
      <c r="J759" s="223">
        <v>68</v>
      </c>
      <c r="K759" s="223">
        <v>86</v>
      </c>
      <c r="L759" s="223">
        <f>747*0.5-L760</f>
        <v>173.5</v>
      </c>
      <c r="M759" s="968">
        <f t="shared" si="1454"/>
        <v>173.5</v>
      </c>
      <c r="N759" s="223">
        <f>793*0.5-N760</f>
        <v>196.5</v>
      </c>
      <c r="O759" s="223">
        <f>796*0.5-O760</f>
        <v>198</v>
      </c>
      <c r="P759" s="223">
        <f>828*0.5-P760</f>
        <v>214</v>
      </c>
      <c r="Q759" s="223">
        <f>823*0.5-Q760</f>
        <v>211.5</v>
      </c>
      <c r="R759" s="968">
        <f t="shared" si="1455"/>
        <v>211.5</v>
      </c>
      <c r="S759" s="223">
        <f>1062*0.5-S760</f>
        <v>331</v>
      </c>
      <c r="T759" s="223">
        <f>1109*0.5-T760</f>
        <v>354.5</v>
      </c>
      <c r="U759" s="223">
        <f>1136*0.5-U760</f>
        <v>368</v>
      </c>
      <c r="V759" s="223">
        <f>522-V760</f>
        <v>322</v>
      </c>
      <c r="W759" s="968">
        <f>V759</f>
        <v>322</v>
      </c>
      <c r="X759" s="223">
        <f>599-X760</f>
        <v>399</v>
      </c>
      <c r="Y759" s="223">
        <f>626-Y760</f>
        <v>426</v>
      </c>
      <c r="Z759" s="223">
        <f>602-Z760</f>
        <v>402</v>
      </c>
      <c r="AA759" s="223">
        <f>558-AA760</f>
        <v>343</v>
      </c>
      <c r="AB759" s="968">
        <f>AA759</f>
        <v>343</v>
      </c>
      <c r="AC759" s="223">
        <f>507-AC760</f>
        <v>292</v>
      </c>
      <c r="AD759" s="223">
        <f>506-AD760</f>
        <v>291</v>
      </c>
      <c r="AE759" s="223">
        <f>514-AE760</f>
        <v>299</v>
      </c>
      <c r="AF759" s="223">
        <f>526-AF760</f>
        <v>277</v>
      </c>
      <c r="AG759" s="968">
        <f>AF759</f>
        <v>277</v>
      </c>
      <c r="AH759" s="223">
        <f>418-AH760</f>
        <v>149</v>
      </c>
      <c r="AI759" s="223">
        <f>116-AI760+236</f>
        <v>352</v>
      </c>
      <c r="AJ759" s="223">
        <f>33-AJ760+237</f>
        <v>270</v>
      </c>
      <c r="AK759" s="223">
        <v>233</v>
      </c>
      <c r="AL759" s="968">
        <f>AK759</f>
        <v>233</v>
      </c>
      <c r="AM759" s="223">
        <v>183</v>
      </c>
      <c r="AN759" s="223">
        <v>62</v>
      </c>
      <c r="AO759" s="223">
        <v>74</v>
      </c>
      <c r="AP759" s="223">
        <v>70</v>
      </c>
      <c r="AQ759" s="968">
        <f>AP759</f>
        <v>70</v>
      </c>
      <c r="AR759" s="223">
        <v>70</v>
      </c>
      <c r="AS759" s="223">
        <v>70</v>
      </c>
      <c r="AT759" s="223">
        <v>70</v>
      </c>
      <c r="AU759" s="223">
        <v>70</v>
      </c>
      <c r="AV759" s="968">
        <f>AU759</f>
        <v>70</v>
      </c>
      <c r="AW759" s="223">
        <v>70</v>
      </c>
      <c r="AX759" s="223">
        <v>70</v>
      </c>
      <c r="AY759" s="223">
        <v>70</v>
      </c>
      <c r="AZ759" s="223">
        <v>70</v>
      </c>
      <c r="BA759" s="968">
        <f>AZ759</f>
        <v>70</v>
      </c>
      <c r="BB759" s="223">
        <v>50</v>
      </c>
      <c r="BC759" s="223">
        <v>51</v>
      </c>
      <c r="BD759" s="223">
        <f>16+79</f>
        <v>95</v>
      </c>
      <c r="BE759" s="223">
        <v>0</v>
      </c>
      <c r="BF759" s="968">
        <f>BE759</f>
        <v>0</v>
      </c>
      <c r="BG759" s="223">
        <f t="shared" ref="BG759:BJ760" si="1480">+BF759</f>
        <v>0</v>
      </c>
      <c r="BH759" s="223">
        <f t="shared" si="1480"/>
        <v>0</v>
      </c>
      <c r="BI759" s="223">
        <f t="shared" si="1480"/>
        <v>0</v>
      </c>
      <c r="BJ759" s="223">
        <f t="shared" si="1480"/>
        <v>0</v>
      </c>
      <c r="BK759" s="968">
        <f>BJ759</f>
        <v>0</v>
      </c>
      <c r="BL759" s="223">
        <f>+BK759</f>
        <v>0</v>
      </c>
      <c r="BM759" s="223">
        <f>+BL759</f>
        <v>0</v>
      </c>
      <c r="BN759" s="223">
        <v>0</v>
      </c>
      <c r="BO759" s="223">
        <v>0</v>
      </c>
      <c r="BP759" s="968">
        <f>BO759</f>
        <v>0</v>
      </c>
      <c r="BQ759" s="223">
        <v>0</v>
      </c>
      <c r="BR759" s="223">
        <v>0</v>
      </c>
      <c r="BS759" s="223">
        <v>0</v>
      </c>
      <c r="BT759" s="223">
        <v>0</v>
      </c>
      <c r="BU759" s="968">
        <f t="shared" ref="BU759:BU764" si="1481">BT759</f>
        <v>0</v>
      </c>
      <c r="BV759" s="223">
        <v>0</v>
      </c>
      <c r="BW759" s="223">
        <v>0</v>
      </c>
      <c r="BX759" s="223">
        <v>0</v>
      </c>
      <c r="BY759" s="223">
        <v>0</v>
      </c>
      <c r="BZ759" s="968">
        <f t="shared" ref="BZ759:BZ764" si="1482">BY759</f>
        <v>0</v>
      </c>
      <c r="CA759" s="223">
        <v>0</v>
      </c>
      <c r="CB759" s="223">
        <v>0</v>
      </c>
      <c r="CC759" s="223">
        <v>0</v>
      </c>
      <c r="CD759" s="223">
        <v>0</v>
      </c>
      <c r="CE759" s="968">
        <f t="shared" ref="CE759:CE764" si="1483">CD759</f>
        <v>0</v>
      </c>
      <c r="CF759" s="2687">
        <v>0</v>
      </c>
      <c r="CG759" s="223">
        <v>0</v>
      </c>
      <c r="CH759" s="223">
        <v>0</v>
      </c>
      <c r="CI759" s="223">
        <v>0</v>
      </c>
      <c r="CJ759" s="968">
        <f t="shared" ref="CJ759:CJ764" si="1484">CI759</f>
        <v>0</v>
      </c>
      <c r="CK759" s="2687">
        <v>0</v>
      </c>
      <c r="CL759" s="223">
        <v>0</v>
      </c>
      <c r="CM759" s="2880">
        <v>0</v>
      </c>
      <c r="CN759" s="2880">
        <v>0</v>
      </c>
      <c r="CO759" s="968">
        <f t="shared" si="1456"/>
        <v>0</v>
      </c>
      <c r="CP759" s="2687">
        <v>0</v>
      </c>
      <c r="CQ759" s="2880">
        <v>0</v>
      </c>
      <c r="CR759" s="223">
        <v>0</v>
      </c>
      <c r="CS759" s="215">
        <f>+CR759</f>
        <v>0</v>
      </c>
      <c r="CT759" s="968">
        <f t="shared" si="1457"/>
        <v>0</v>
      </c>
      <c r="CU759" s="215">
        <f t="shared" ref="CU759:CX760" si="1485">+CT759</f>
        <v>0</v>
      </c>
      <c r="CV759" s="215">
        <f t="shared" si="1485"/>
        <v>0</v>
      </c>
      <c r="CW759" s="215">
        <f t="shared" si="1485"/>
        <v>0</v>
      </c>
      <c r="CX759" s="215">
        <f t="shared" si="1485"/>
        <v>0</v>
      </c>
      <c r="CY759" s="968">
        <f t="shared" si="1458"/>
        <v>0</v>
      </c>
      <c r="CZ759" s="968">
        <f>+CY759</f>
        <v>0</v>
      </c>
      <c r="DA759" s="968">
        <f>+CZ759</f>
        <v>0</v>
      </c>
      <c r="DB759"/>
      <c r="DC759"/>
      <c r="DD759" s="2295" t="s">
        <v>900</v>
      </c>
      <c r="DE759" s="2290">
        <f t="shared" si="1459"/>
        <v>173.5</v>
      </c>
      <c r="DF759" s="2290">
        <f t="shared" si="1460"/>
        <v>211.5</v>
      </c>
      <c r="DG759" s="2290">
        <f t="shared" si="1461"/>
        <v>322</v>
      </c>
      <c r="DH759" s="2290">
        <f t="shared" si="1462"/>
        <v>343</v>
      </c>
      <c r="DI759" s="2290">
        <f t="shared" si="1463"/>
        <v>277</v>
      </c>
      <c r="DJ759" s="2290">
        <f t="shared" si="1464"/>
        <v>233</v>
      </c>
      <c r="DK759" s="2290">
        <f t="shared" si="1465"/>
        <v>70</v>
      </c>
      <c r="DL759" s="2290">
        <f t="shared" si="1466"/>
        <v>70</v>
      </c>
      <c r="DM759" s="2290">
        <f t="shared" si="1467"/>
        <v>70</v>
      </c>
      <c r="DN759" s="2290">
        <f t="shared" si="1468"/>
        <v>0</v>
      </c>
      <c r="DO759" s="2290">
        <f t="shared" si="1469"/>
        <v>0</v>
      </c>
      <c r="DP759" s="2290">
        <f t="shared" si="1470"/>
        <v>0</v>
      </c>
      <c r="DQ759" s="2290">
        <f t="shared" si="1471"/>
        <v>0</v>
      </c>
      <c r="DR759" s="2290">
        <f t="shared" si="1472"/>
        <v>0</v>
      </c>
      <c r="DS759" s="2290">
        <f t="shared" si="1473"/>
        <v>0</v>
      </c>
      <c r="DT759" s="2290">
        <f t="shared" si="1474"/>
        <v>0</v>
      </c>
      <c r="DU759" s="2290">
        <f t="shared" si="1475"/>
        <v>0</v>
      </c>
      <c r="DV759" s="2290">
        <f t="shared" si="1476"/>
        <v>0</v>
      </c>
      <c r="DW759" s="2290">
        <f t="shared" si="1477"/>
        <v>0</v>
      </c>
      <c r="DX759" s="2290">
        <f t="shared" si="1478"/>
        <v>0</v>
      </c>
      <c r="DY759" s="2290">
        <f t="shared" si="1479"/>
        <v>0</v>
      </c>
      <c r="EA759"/>
      <c r="EB759"/>
      <c r="EC759"/>
      <c r="ED759"/>
      <c r="EE759"/>
      <c r="EF759"/>
      <c r="EJ759"/>
      <c r="EK759"/>
      <c r="EL759"/>
      <c r="EM759" s="1703"/>
      <c r="ER759" s="212"/>
    </row>
    <row r="760" spans="1:148" s="923" customFormat="1" ht="12.75" customHeight="1" x14ac:dyDescent="0.2">
      <c r="A760" s="507" t="s">
        <v>901</v>
      </c>
      <c r="B760" s="223"/>
      <c r="C760" s="223"/>
      <c r="D760" s="223"/>
      <c r="E760" s="223"/>
      <c r="F760" s="223"/>
      <c r="G760" s="223"/>
      <c r="H760" s="223"/>
      <c r="I760" s="223">
        <v>200</v>
      </c>
      <c r="J760" s="223">
        <v>200</v>
      </c>
      <c r="K760" s="223">
        <v>200</v>
      </c>
      <c r="L760" s="223">
        <v>200</v>
      </c>
      <c r="M760" s="968">
        <f t="shared" si="1454"/>
        <v>200</v>
      </c>
      <c r="N760" s="223">
        <v>200</v>
      </c>
      <c r="O760" s="223">
        <v>200</v>
      </c>
      <c r="P760" s="223">
        <v>200</v>
      </c>
      <c r="Q760" s="223">
        <v>200</v>
      </c>
      <c r="R760" s="968">
        <f t="shared" si="1455"/>
        <v>200</v>
      </c>
      <c r="S760" s="223">
        <v>200</v>
      </c>
      <c r="T760" s="223">
        <v>200</v>
      </c>
      <c r="U760" s="223">
        <v>200</v>
      </c>
      <c r="V760" s="223">
        <v>200</v>
      </c>
      <c r="W760" s="968">
        <f>+V760</f>
        <v>200</v>
      </c>
      <c r="X760" s="223">
        <f>+W760</f>
        <v>200</v>
      </c>
      <c r="Y760" s="223">
        <f>+X760</f>
        <v>200</v>
      </c>
      <c r="Z760" s="223">
        <f>+Y760</f>
        <v>200</v>
      </c>
      <c r="AA760" s="223">
        <v>215</v>
      </c>
      <c r="AB760" s="968">
        <f>+AA760</f>
        <v>215</v>
      </c>
      <c r="AC760" s="223">
        <f>+AB760</f>
        <v>215</v>
      </c>
      <c r="AD760" s="223">
        <f>+AC760</f>
        <v>215</v>
      </c>
      <c r="AE760" s="223">
        <f>+AD760</f>
        <v>215</v>
      </c>
      <c r="AF760" s="223">
        <v>249</v>
      </c>
      <c r="AG760" s="968">
        <f>+AF760</f>
        <v>249</v>
      </c>
      <c r="AH760" s="223">
        <v>269</v>
      </c>
      <c r="AI760" s="223">
        <v>0</v>
      </c>
      <c r="AJ760" s="223">
        <f t="shared" ref="AJ760:BB760" si="1486">+AI760</f>
        <v>0</v>
      </c>
      <c r="AK760" s="223">
        <f t="shared" si="1486"/>
        <v>0</v>
      </c>
      <c r="AL760" s="968">
        <f t="shared" si="1486"/>
        <v>0</v>
      </c>
      <c r="AM760" s="223">
        <f t="shared" si="1486"/>
        <v>0</v>
      </c>
      <c r="AN760" s="223">
        <f t="shared" si="1486"/>
        <v>0</v>
      </c>
      <c r="AO760" s="223">
        <f t="shared" si="1486"/>
        <v>0</v>
      </c>
      <c r="AP760" s="223">
        <f t="shared" si="1486"/>
        <v>0</v>
      </c>
      <c r="AQ760" s="968">
        <f t="shared" si="1486"/>
        <v>0</v>
      </c>
      <c r="AR760" s="223">
        <f t="shared" si="1486"/>
        <v>0</v>
      </c>
      <c r="AS760" s="223">
        <f t="shared" si="1486"/>
        <v>0</v>
      </c>
      <c r="AT760" s="223">
        <f t="shared" si="1486"/>
        <v>0</v>
      </c>
      <c r="AU760" s="223">
        <f t="shared" si="1486"/>
        <v>0</v>
      </c>
      <c r="AV760" s="968">
        <f t="shared" si="1486"/>
        <v>0</v>
      </c>
      <c r="AW760" s="223">
        <f t="shared" si="1486"/>
        <v>0</v>
      </c>
      <c r="AX760" s="223">
        <f t="shared" si="1486"/>
        <v>0</v>
      </c>
      <c r="AY760" s="223">
        <f t="shared" si="1486"/>
        <v>0</v>
      </c>
      <c r="AZ760" s="223">
        <f t="shared" si="1486"/>
        <v>0</v>
      </c>
      <c r="BA760" s="968">
        <f t="shared" si="1486"/>
        <v>0</v>
      </c>
      <c r="BB760" s="223">
        <f t="shared" si="1486"/>
        <v>0</v>
      </c>
      <c r="BC760" s="223">
        <v>0</v>
      </c>
      <c r="BD760" s="223">
        <f>+BC760</f>
        <v>0</v>
      </c>
      <c r="BE760" s="223">
        <v>0</v>
      </c>
      <c r="BF760" s="968">
        <f>+BE760</f>
        <v>0</v>
      </c>
      <c r="BG760" s="223">
        <f t="shared" si="1480"/>
        <v>0</v>
      </c>
      <c r="BH760" s="223">
        <f t="shared" si="1480"/>
        <v>0</v>
      </c>
      <c r="BI760" s="223">
        <f t="shared" si="1480"/>
        <v>0</v>
      </c>
      <c r="BJ760" s="223">
        <f t="shared" si="1480"/>
        <v>0</v>
      </c>
      <c r="BK760" s="968">
        <f>+BJ760</f>
        <v>0</v>
      </c>
      <c r="BL760" s="223">
        <f>+BK760</f>
        <v>0</v>
      </c>
      <c r="BM760" s="223">
        <f>+BL760</f>
        <v>0</v>
      </c>
      <c r="BN760" s="223">
        <v>0</v>
      </c>
      <c r="BO760" s="223">
        <v>0</v>
      </c>
      <c r="BP760" s="968">
        <f>+BO760</f>
        <v>0</v>
      </c>
      <c r="BQ760" s="223">
        <v>0</v>
      </c>
      <c r="BR760" s="223">
        <v>0</v>
      </c>
      <c r="BS760" s="223">
        <v>0</v>
      </c>
      <c r="BT760" s="223">
        <v>0</v>
      </c>
      <c r="BU760" s="968">
        <f t="shared" si="1481"/>
        <v>0</v>
      </c>
      <c r="BV760" s="223">
        <v>0</v>
      </c>
      <c r="BW760" s="223">
        <v>0</v>
      </c>
      <c r="BX760" s="223">
        <v>0</v>
      </c>
      <c r="BY760" s="223">
        <v>0</v>
      </c>
      <c r="BZ760" s="968">
        <f t="shared" si="1482"/>
        <v>0</v>
      </c>
      <c r="CA760" s="223">
        <v>0</v>
      </c>
      <c r="CB760" s="223">
        <v>0</v>
      </c>
      <c r="CC760" s="223">
        <v>0</v>
      </c>
      <c r="CD760" s="223">
        <v>0</v>
      </c>
      <c r="CE760" s="968">
        <f t="shared" si="1483"/>
        <v>0</v>
      </c>
      <c r="CF760" s="2687">
        <v>0</v>
      </c>
      <c r="CG760" s="223">
        <v>0</v>
      </c>
      <c r="CH760" s="223">
        <v>0</v>
      </c>
      <c r="CI760" s="223">
        <v>0</v>
      </c>
      <c r="CJ760" s="968">
        <f t="shared" si="1484"/>
        <v>0</v>
      </c>
      <c r="CK760" s="2687">
        <v>0</v>
      </c>
      <c r="CL760" s="223">
        <v>0</v>
      </c>
      <c r="CM760" s="2880">
        <v>0</v>
      </c>
      <c r="CN760" s="2880">
        <v>0</v>
      </c>
      <c r="CO760" s="968">
        <f t="shared" si="1456"/>
        <v>0</v>
      </c>
      <c r="CP760" s="2687">
        <v>0</v>
      </c>
      <c r="CQ760" s="2880">
        <v>0</v>
      </c>
      <c r="CR760" s="223">
        <v>0</v>
      </c>
      <c r="CS760" s="215">
        <f>+CR760</f>
        <v>0</v>
      </c>
      <c r="CT760" s="968">
        <f t="shared" si="1457"/>
        <v>0</v>
      </c>
      <c r="CU760" s="215">
        <f t="shared" si="1485"/>
        <v>0</v>
      </c>
      <c r="CV760" s="215">
        <f t="shared" si="1485"/>
        <v>0</v>
      </c>
      <c r="CW760" s="215">
        <f t="shared" si="1485"/>
        <v>0</v>
      </c>
      <c r="CX760" s="215">
        <f t="shared" si="1485"/>
        <v>0</v>
      </c>
      <c r="CY760" s="968">
        <f t="shared" si="1458"/>
        <v>0</v>
      </c>
      <c r="CZ760" s="968">
        <f>+CY760</f>
        <v>0</v>
      </c>
      <c r="DA760" s="968">
        <f>+CZ760</f>
        <v>0</v>
      </c>
      <c r="DB760"/>
      <c r="DC760"/>
      <c r="DD760" s="2295" t="s">
        <v>901</v>
      </c>
      <c r="DE760" s="2290">
        <f t="shared" si="1459"/>
        <v>200</v>
      </c>
      <c r="DF760" s="2290">
        <f t="shared" si="1460"/>
        <v>200</v>
      </c>
      <c r="DG760" s="2290">
        <f t="shared" si="1461"/>
        <v>200</v>
      </c>
      <c r="DH760" s="2290">
        <f t="shared" si="1462"/>
        <v>215</v>
      </c>
      <c r="DI760" s="2290">
        <f t="shared" si="1463"/>
        <v>249</v>
      </c>
      <c r="DJ760" s="2290">
        <f t="shared" si="1464"/>
        <v>0</v>
      </c>
      <c r="DK760" s="2290">
        <f t="shared" si="1465"/>
        <v>0</v>
      </c>
      <c r="DL760" s="2290">
        <f t="shared" si="1466"/>
        <v>0</v>
      </c>
      <c r="DM760" s="2290">
        <f t="shared" si="1467"/>
        <v>0</v>
      </c>
      <c r="DN760" s="2290">
        <f t="shared" si="1468"/>
        <v>0</v>
      </c>
      <c r="DO760" s="2290">
        <f t="shared" si="1469"/>
        <v>0</v>
      </c>
      <c r="DP760" s="2290">
        <f t="shared" si="1470"/>
        <v>0</v>
      </c>
      <c r="DQ760" s="2290">
        <f t="shared" si="1471"/>
        <v>0</v>
      </c>
      <c r="DR760" s="2290">
        <f t="shared" si="1472"/>
        <v>0</v>
      </c>
      <c r="DS760" s="2290">
        <f t="shared" si="1473"/>
        <v>0</v>
      </c>
      <c r="DT760" s="2290">
        <f t="shared" si="1474"/>
        <v>0</v>
      </c>
      <c r="DU760" s="2290">
        <f t="shared" si="1475"/>
        <v>0</v>
      </c>
      <c r="DV760" s="2290">
        <f t="shared" si="1476"/>
        <v>0</v>
      </c>
      <c r="DW760" s="2290">
        <f t="shared" si="1477"/>
        <v>0</v>
      </c>
      <c r="DX760" s="2290">
        <f t="shared" si="1478"/>
        <v>0</v>
      </c>
      <c r="DY760" s="2290">
        <f t="shared" si="1479"/>
        <v>0</v>
      </c>
      <c r="EA760"/>
      <c r="EB760"/>
      <c r="EC760"/>
      <c r="ED760"/>
      <c r="EE760"/>
      <c r="EF760"/>
      <c r="EJ760"/>
      <c r="EK760"/>
      <c r="EL760"/>
      <c r="EM760" s="1703"/>
      <c r="ER760" s="212"/>
    </row>
    <row r="761" spans="1:148" s="923" customFormat="1" ht="12.75" customHeight="1" x14ac:dyDescent="0.2">
      <c r="A761" s="1434" t="s">
        <v>902</v>
      </c>
      <c r="B761" s="845"/>
      <c r="C761" s="845"/>
      <c r="D761" s="845"/>
      <c r="E761" s="845"/>
      <c r="F761" s="845"/>
      <c r="G761" s="845"/>
      <c r="H761" s="845"/>
      <c r="I761" s="845">
        <f>+J761/(J761+J762+J763)*508</f>
        <v>156.46817248459956</v>
      </c>
      <c r="J761" s="845">
        <f>+K761/(K761+K762+K763)*548</f>
        <v>168.78850102669404</v>
      </c>
      <c r="K761" s="845">
        <f>+L761/(L761+L762+L763)*601</f>
        <v>185.11293634496917</v>
      </c>
      <c r="L761" s="845">
        <f>+N761/(N761+N762+N763)*661</f>
        <v>203.59342915811087</v>
      </c>
      <c r="M761" s="661">
        <f t="shared" si="1454"/>
        <v>203.59342915811087</v>
      </c>
      <c r="N761" s="845">
        <f>+O761/(O761+O762+O763)*699</f>
        <v>215.2977412731006</v>
      </c>
      <c r="O761" s="845">
        <f>+P761/(P761+P762+P763)*759</f>
        <v>233.77823408624226</v>
      </c>
      <c r="P761" s="845">
        <f>+Q761/(Q761+Q762+Q763)*900</f>
        <v>277.20739219712522</v>
      </c>
      <c r="Q761" s="845">
        <f>+S761/(S761+S762+S763)*1038</f>
        <v>319.71252566735109</v>
      </c>
      <c r="R761" s="661">
        <f t="shared" si="1455"/>
        <v>319.71252566735109</v>
      </c>
      <c r="S761" s="845">
        <f>+T761/(T761+T762+T763)*1030</f>
        <v>317.24845995893219</v>
      </c>
      <c r="T761" s="845">
        <f>+U761/(U761+U762+U763)*924</f>
        <v>284.59958932238192</v>
      </c>
      <c r="U761" s="845">
        <v>300</v>
      </c>
      <c r="V761" s="845">
        <v>366</v>
      </c>
      <c r="W761" s="661">
        <f>V761</f>
        <v>366</v>
      </c>
      <c r="X761" s="845">
        <v>231</v>
      </c>
      <c r="Y761" s="845">
        <v>179</v>
      </c>
      <c r="Z761" s="845">
        <v>293</v>
      </c>
      <c r="AA761" s="845">
        <v>389</v>
      </c>
      <c r="AB761" s="661">
        <f>AA761</f>
        <v>389</v>
      </c>
      <c r="AC761" s="845">
        <v>400</v>
      </c>
      <c r="AD761" s="845">
        <v>406</v>
      </c>
      <c r="AE761" s="845">
        <v>424</v>
      </c>
      <c r="AF761" s="845">
        <v>374</v>
      </c>
      <c r="AG761" s="661">
        <f>AF761</f>
        <v>374</v>
      </c>
      <c r="AH761" s="845">
        <v>373</v>
      </c>
      <c r="AI761" s="845">
        <v>289</v>
      </c>
      <c r="AJ761" s="845">
        <v>288</v>
      </c>
      <c r="AK761" s="845">
        <f>282</f>
        <v>282</v>
      </c>
      <c r="AL761" s="661">
        <f>AK761</f>
        <v>282</v>
      </c>
      <c r="AM761" s="845">
        <f>277</f>
        <v>277</v>
      </c>
      <c r="AN761" s="845">
        <v>282</v>
      </c>
      <c r="AO761" s="845">
        <v>270</v>
      </c>
      <c r="AP761" s="845">
        <v>217</v>
      </c>
      <c r="AQ761" s="661">
        <f>AP761</f>
        <v>217</v>
      </c>
      <c r="AR761" s="845">
        <v>177</v>
      </c>
      <c r="AS761" s="845">
        <v>167</v>
      </c>
      <c r="AT761" s="845">
        <v>169</v>
      </c>
      <c r="AU761" s="845">
        <v>171</v>
      </c>
      <c r="AV761" s="661">
        <f>AU761</f>
        <v>171</v>
      </c>
      <c r="AW761" s="845">
        <v>176</v>
      </c>
      <c r="AX761" s="845">
        <f>177</f>
        <v>177</v>
      </c>
      <c r="AY761" s="845">
        <v>179</v>
      </c>
      <c r="AZ761" s="845">
        <v>173</v>
      </c>
      <c r="BA761" s="661">
        <f>AZ761</f>
        <v>173</v>
      </c>
      <c r="BB761" s="845">
        <v>0</v>
      </c>
      <c r="BC761" s="845">
        <v>0</v>
      </c>
      <c r="BD761" s="845">
        <v>0</v>
      </c>
      <c r="BE761" s="845">
        <v>0</v>
      </c>
      <c r="BF761" s="661">
        <f>BE761</f>
        <v>0</v>
      </c>
      <c r="BG761" s="845">
        <v>0</v>
      </c>
      <c r="BH761" s="845">
        <v>0</v>
      </c>
      <c r="BI761" s="845">
        <v>0</v>
      </c>
      <c r="BJ761" s="845">
        <v>0</v>
      </c>
      <c r="BK761" s="661">
        <f>BJ761</f>
        <v>0</v>
      </c>
      <c r="BL761" s="845">
        <v>0</v>
      </c>
      <c r="BM761" s="845">
        <v>0</v>
      </c>
      <c r="BN761" s="845">
        <v>0</v>
      </c>
      <c r="BO761" s="845">
        <v>0</v>
      </c>
      <c r="BP761" s="661">
        <f>BO761</f>
        <v>0</v>
      </c>
      <c r="BQ761" s="845">
        <v>0</v>
      </c>
      <c r="BR761" s="845">
        <v>0</v>
      </c>
      <c r="BS761" s="845">
        <v>0</v>
      </c>
      <c r="BT761" s="845">
        <v>0</v>
      </c>
      <c r="BU761" s="661">
        <f>BT761</f>
        <v>0</v>
      </c>
      <c r="BV761" s="845">
        <v>0</v>
      </c>
      <c r="BW761" s="845">
        <v>0</v>
      </c>
      <c r="BX761" s="845">
        <v>0</v>
      </c>
      <c r="BY761" s="845">
        <v>0</v>
      </c>
      <c r="BZ761" s="661">
        <f>BY761</f>
        <v>0</v>
      </c>
      <c r="CA761" s="845">
        <v>0</v>
      </c>
      <c r="CB761" s="845">
        <v>0</v>
      </c>
      <c r="CC761" s="845">
        <v>0</v>
      </c>
      <c r="CD761" s="845">
        <v>0</v>
      </c>
      <c r="CE761" s="661">
        <f>CD761</f>
        <v>0</v>
      </c>
      <c r="CF761" s="1427">
        <v>0</v>
      </c>
      <c r="CG761" s="845">
        <v>0</v>
      </c>
      <c r="CH761" s="845">
        <v>0</v>
      </c>
      <c r="CI761" s="845">
        <v>0</v>
      </c>
      <c r="CJ761" s="661">
        <f>CI761</f>
        <v>0</v>
      </c>
      <c r="CK761" s="1427">
        <v>0</v>
      </c>
      <c r="CL761" s="845">
        <v>0</v>
      </c>
      <c r="CM761" s="2983">
        <v>0</v>
      </c>
      <c r="CN761" s="2983">
        <v>0</v>
      </c>
      <c r="CO761" s="661">
        <f t="shared" si="1456"/>
        <v>0</v>
      </c>
      <c r="CP761" s="1427">
        <v>0</v>
      </c>
      <c r="CQ761" s="2983">
        <v>0</v>
      </c>
      <c r="CR761" s="845">
        <v>0</v>
      </c>
      <c r="CS761" s="847">
        <f>CR761</f>
        <v>0</v>
      </c>
      <c r="CT761" s="661">
        <f t="shared" si="1457"/>
        <v>0</v>
      </c>
      <c r="CU761" s="847">
        <f>CT761</f>
        <v>0</v>
      </c>
      <c r="CV761" s="847">
        <f>CU761</f>
        <v>0</v>
      </c>
      <c r="CW761" s="847">
        <f>CV761</f>
        <v>0</v>
      </c>
      <c r="CX761" s="847">
        <f>CW761</f>
        <v>0</v>
      </c>
      <c r="CY761" s="661">
        <f t="shared" si="1458"/>
        <v>0</v>
      </c>
      <c r="CZ761" s="661">
        <f>CY761</f>
        <v>0</v>
      </c>
      <c r="DA761" s="661">
        <f>CZ761</f>
        <v>0</v>
      </c>
      <c r="DB761"/>
      <c r="DC761"/>
      <c r="DD761" s="2308" t="s">
        <v>902</v>
      </c>
      <c r="DE761" s="2293">
        <f t="shared" si="1459"/>
        <v>203.59342915811087</v>
      </c>
      <c r="DF761" s="2293">
        <f t="shared" si="1460"/>
        <v>319.71252566735109</v>
      </c>
      <c r="DG761" s="2293">
        <f t="shared" si="1461"/>
        <v>366</v>
      </c>
      <c r="DH761" s="2293">
        <f t="shared" si="1462"/>
        <v>389</v>
      </c>
      <c r="DI761" s="2293">
        <f t="shared" si="1463"/>
        <v>374</v>
      </c>
      <c r="DJ761" s="2293">
        <f t="shared" si="1464"/>
        <v>282</v>
      </c>
      <c r="DK761" s="2293">
        <f t="shared" si="1465"/>
        <v>217</v>
      </c>
      <c r="DL761" s="2293">
        <f t="shared" si="1466"/>
        <v>171</v>
      </c>
      <c r="DM761" s="2293">
        <f t="shared" si="1467"/>
        <v>173</v>
      </c>
      <c r="DN761" s="2293">
        <f t="shared" si="1468"/>
        <v>0</v>
      </c>
      <c r="DO761" s="2293">
        <f t="shared" si="1469"/>
        <v>0</v>
      </c>
      <c r="DP761" s="2293">
        <f t="shared" si="1470"/>
        <v>0</v>
      </c>
      <c r="DQ761" s="2293">
        <f t="shared" si="1471"/>
        <v>0</v>
      </c>
      <c r="DR761" s="2293">
        <f t="shared" si="1472"/>
        <v>0</v>
      </c>
      <c r="DS761" s="2293">
        <f t="shared" si="1473"/>
        <v>0</v>
      </c>
      <c r="DT761" s="2293">
        <f t="shared" si="1474"/>
        <v>0</v>
      </c>
      <c r="DU761" s="2293">
        <f t="shared" si="1475"/>
        <v>0</v>
      </c>
      <c r="DV761" s="2293">
        <f t="shared" si="1476"/>
        <v>0</v>
      </c>
      <c r="DW761" s="2293">
        <f t="shared" si="1477"/>
        <v>0</v>
      </c>
      <c r="DX761" s="2293">
        <f t="shared" si="1478"/>
        <v>0</v>
      </c>
      <c r="DY761" s="2293">
        <f t="shared" si="1479"/>
        <v>0</v>
      </c>
      <c r="EA761"/>
      <c r="EB761"/>
      <c r="EC761"/>
      <c r="ED761"/>
      <c r="EE761"/>
      <c r="EF761"/>
      <c r="EJ761"/>
      <c r="EK761"/>
      <c r="EL761"/>
      <c r="EM761" s="1703"/>
      <c r="ER761" s="212"/>
    </row>
    <row r="762" spans="1:148" s="923" customFormat="1" ht="12.75" customHeight="1" x14ac:dyDescent="0.2">
      <c r="A762" s="1434" t="s">
        <v>757</v>
      </c>
      <c r="B762" s="845"/>
      <c r="C762" s="845"/>
      <c r="D762" s="845"/>
      <c r="E762" s="845"/>
      <c r="F762" s="845"/>
      <c r="G762" s="845"/>
      <c r="H762" s="845"/>
      <c r="I762" s="845">
        <f>+I506</f>
        <v>170</v>
      </c>
      <c r="J762" s="845">
        <f>+J506</f>
        <v>170</v>
      </c>
      <c r="K762" s="845">
        <f>+K506</f>
        <v>170</v>
      </c>
      <c r="L762" s="845">
        <v>170</v>
      </c>
      <c r="M762" s="661">
        <f t="shared" si="1454"/>
        <v>170</v>
      </c>
      <c r="N762" s="845">
        <v>290</v>
      </c>
      <c r="O762" s="845">
        <f>N762</f>
        <v>290</v>
      </c>
      <c r="P762" s="845">
        <f>O762</f>
        <v>290</v>
      </c>
      <c r="Q762" s="845">
        <v>290</v>
      </c>
      <c r="R762" s="661">
        <f t="shared" si="1455"/>
        <v>290</v>
      </c>
      <c r="S762" s="845">
        <v>250.52657724788872</v>
      </c>
      <c r="T762" s="845">
        <v>225.07516591731491</v>
      </c>
      <c r="U762" s="845">
        <v>210</v>
      </c>
      <c r="V762" s="845">
        <v>153</v>
      </c>
      <c r="W762" s="661">
        <f>+V762</f>
        <v>153</v>
      </c>
      <c r="X762" s="845">
        <v>199</v>
      </c>
      <c r="Y762" s="845">
        <v>143</v>
      </c>
      <c r="Z762" s="845">
        <v>211</v>
      </c>
      <c r="AA762" s="845">
        <v>152</v>
      </c>
      <c r="AB762" s="661">
        <f>+AA762</f>
        <v>152</v>
      </c>
      <c r="AC762" s="845">
        <v>217</v>
      </c>
      <c r="AD762" s="845">
        <v>177</v>
      </c>
      <c r="AE762" s="845">
        <v>289</v>
      </c>
      <c r="AF762" s="845">
        <v>289</v>
      </c>
      <c r="AG762" s="661">
        <f>+AF762</f>
        <v>289</v>
      </c>
      <c r="AH762" s="845">
        <v>369</v>
      </c>
      <c r="AI762" s="845">
        <v>293</v>
      </c>
      <c r="AJ762" s="845">
        <v>392</v>
      </c>
      <c r="AK762" s="845">
        <v>311</v>
      </c>
      <c r="AL762" s="661">
        <f>+AK762</f>
        <v>311</v>
      </c>
      <c r="AM762" s="845">
        <v>363</v>
      </c>
      <c r="AN762" s="845">
        <v>220</v>
      </c>
      <c r="AO762" s="845">
        <v>357</v>
      </c>
      <c r="AP762" s="845">
        <v>316</v>
      </c>
      <c r="AQ762" s="661">
        <f>+AP762</f>
        <v>316</v>
      </c>
      <c r="AR762" s="845">
        <v>401</v>
      </c>
      <c r="AS762" s="845">
        <v>286</v>
      </c>
      <c r="AT762" s="845">
        <v>421</v>
      </c>
      <c r="AU762" s="845">
        <v>408</v>
      </c>
      <c r="AV762" s="661">
        <f>+AU762</f>
        <v>408</v>
      </c>
      <c r="AW762" s="845">
        <v>512</v>
      </c>
      <c r="AX762" s="845">
        <v>382</v>
      </c>
      <c r="AY762" s="845">
        <v>503</v>
      </c>
      <c r="AZ762" s="845">
        <v>607</v>
      </c>
      <c r="BA762" s="661">
        <f>+AZ762</f>
        <v>607</v>
      </c>
      <c r="BB762" s="845">
        <v>354</v>
      </c>
      <c r="BC762" s="845">
        <v>399</v>
      </c>
      <c r="BD762" s="845">
        <v>438</v>
      </c>
      <c r="BE762" s="845">
        <v>452</v>
      </c>
      <c r="BF762" s="661">
        <f>+BE762</f>
        <v>452</v>
      </c>
      <c r="BG762" s="845">
        <v>1268</v>
      </c>
      <c r="BH762" s="845">
        <v>1230</v>
      </c>
      <c r="BI762" s="845">
        <v>1295</v>
      </c>
      <c r="BJ762" s="845">
        <v>1264</v>
      </c>
      <c r="BK762" s="661">
        <f>+BJ762</f>
        <v>1264</v>
      </c>
      <c r="BL762" s="845">
        <v>1216</v>
      </c>
      <c r="BM762" s="845">
        <v>1127</v>
      </c>
      <c r="BN762" s="845">
        <v>1102</v>
      </c>
      <c r="BO762" s="845">
        <v>298</v>
      </c>
      <c r="BP762" s="661">
        <f>+BO762</f>
        <v>298</v>
      </c>
      <c r="BQ762" s="845">
        <v>223</v>
      </c>
      <c r="BR762" s="845">
        <v>197</v>
      </c>
      <c r="BS762" s="845">
        <v>171</v>
      </c>
      <c r="BT762" s="845">
        <v>180</v>
      </c>
      <c r="BU762" s="661">
        <f t="shared" si="1481"/>
        <v>180</v>
      </c>
      <c r="BV762" s="845">
        <v>170</v>
      </c>
      <c r="BW762" s="845">
        <v>152</v>
      </c>
      <c r="BX762" s="845">
        <v>137</v>
      </c>
      <c r="BY762" s="845">
        <v>142</v>
      </c>
      <c r="BZ762" s="661">
        <f t="shared" si="1482"/>
        <v>142</v>
      </c>
      <c r="CA762" s="845">
        <v>141</v>
      </c>
      <c r="CB762" s="845">
        <v>220</v>
      </c>
      <c r="CC762" s="845">
        <v>215</v>
      </c>
      <c r="CD762" s="845">
        <v>215</v>
      </c>
      <c r="CE762" s="661">
        <f t="shared" si="1483"/>
        <v>215</v>
      </c>
      <c r="CF762" s="1427">
        <v>154</v>
      </c>
      <c r="CG762" s="845">
        <v>154</v>
      </c>
      <c r="CH762" s="845">
        <v>154</v>
      </c>
      <c r="CI762" s="845">
        <v>215</v>
      </c>
      <c r="CJ762" s="661">
        <f t="shared" si="1484"/>
        <v>215</v>
      </c>
      <c r="CK762" s="1427">
        <v>218</v>
      </c>
      <c r="CL762" s="845">
        <v>227</v>
      </c>
      <c r="CM762" s="2983">
        <v>240</v>
      </c>
      <c r="CN762" s="2983">
        <v>245</v>
      </c>
      <c r="CO762" s="661">
        <f t="shared" si="1456"/>
        <v>245</v>
      </c>
      <c r="CP762" s="1427">
        <v>267</v>
      </c>
      <c r="CQ762" s="2983">
        <v>275</v>
      </c>
      <c r="CR762" s="845">
        <v>228</v>
      </c>
      <c r="CS762" s="847">
        <f t="shared" ref="CP762:CS763" si="1487">+CR762</f>
        <v>228</v>
      </c>
      <c r="CT762" s="661">
        <f t="shared" si="1457"/>
        <v>228</v>
      </c>
      <c r="CU762" s="847">
        <f t="shared" ref="CU762:CX763" si="1488">+CT762</f>
        <v>228</v>
      </c>
      <c r="CV762" s="847">
        <f t="shared" si="1488"/>
        <v>228</v>
      </c>
      <c r="CW762" s="847">
        <f t="shared" si="1488"/>
        <v>228</v>
      </c>
      <c r="CX762" s="847">
        <f t="shared" si="1488"/>
        <v>228</v>
      </c>
      <c r="CY762" s="661">
        <f t="shared" si="1458"/>
        <v>228</v>
      </c>
      <c r="CZ762" s="661">
        <f>+CY762</f>
        <v>228</v>
      </c>
      <c r="DA762" s="661">
        <f>+CZ762</f>
        <v>228</v>
      </c>
      <c r="DB762"/>
      <c r="DC762"/>
      <c r="DD762" s="2308" t="s">
        <v>757</v>
      </c>
      <c r="DE762" s="2293">
        <f t="shared" si="1459"/>
        <v>170</v>
      </c>
      <c r="DF762" s="2293">
        <f t="shared" si="1460"/>
        <v>290</v>
      </c>
      <c r="DG762" s="2293">
        <f t="shared" si="1461"/>
        <v>153</v>
      </c>
      <c r="DH762" s="2293">
        <f t="shared" si="1462"/>
        <v>152</v>
      </c>
      <c r="DI762" s="2293">
        <f t="shared" si="1463"/>
        <v>289</v>
      </c>
      <c r="DJ762" s="2293">
        <f t="shared" si="1464"/>
        <v>311</v>
      </c>
      <c r="DK762" s="2293">
        <f t="shared" si="1465"/>
        <v>316</v>
      </c>
      <c r="DL762" s="2293">
        <f t="shared" si="1466"/>
        <v>408</v>
      </c>
      <c r="DM762" s="2293">
        <f t="shared" si="1467"/>
        <v>607</v>
      </c>
      <c r="DN762" s="2293">
        <f t="shared" si="1468"/>
        <v>452</v>
      </c>
      <c r="DO762" s="2293">
        <f t="shared" si="1469"/>
        <v>1264</v>
      </c>
      <c r="DP762" s="2293">
        <f t="shared" si="1470"/>
        <v>298</v>
      </c>
      <c r="DQ762" s="2293">
        <f t="shared" si="1471"/>
        <v>180</v>
      </c>
      <c r="DR762" s="2293">
        <f t="shared" si="1472"/>
        <v>142</v>
      </c>
      <c r="DS762" s="2293">
        <f t="shared" si="1473"/>
        <v>215</v>
      </c>
      <c r="DT762" s="2293">
        <f t="shared" si="1474"/>
        <v>215</v>
      </c>
      <c r="DU762" s="2293">
        <f t="shared" si="1475"/>
        <v>245</v>
      </c>
      <c r="DV762" s="2293">
        <f t="shared" si="1476"/>
        <v>228</v>
      </c>
      <c r="DW762" s="2293">
        <f t="shared" si="1477"/>
        <v>228</v>
      </c>
      <c r="DX762" s="2293">
        <f t="shared" si="1478"/>
        <v>228</v>
      </c>
      <c r="DY762" s="2293">
        <f t="shared" si="1479"/>
        <v>228</v>
      </c>
      <c r="EA762"/>
      <c r="EB762"/>
      <c r="EC762"/>
      <c r="ED762"/>
      <c r="EE762"/>
      <c r="EF762"/>
      <c r="EJ762"/>
      <c r="EK762"/>
      <c r="EL762"/>
      <c r="EM762" s="1703"/>
      <c r="ER762" s="212"/>
    </row>
    <row r="763" spans="1:148" s="923" customFormat="1" ht="12.75" customHeight="1" x14ac:dyDescent="0.2">
      <c r="A763" s="507" t="s">
        <v>903</v>
      </c>
      <c r="B763" s="223"/>
      <c r="C763" s="223"/>
      <c r="D763" s="223"/>
      <c r="E763" s="223"/>
      <c r="F763" s="223"/>
      <c r="G763" s="223"/>
      <c r="H763" s="223"/>
      <c r="I763" s="223">
        <f>508-I762-I761</f>
        <v>181.53182751540044</v>
      </c>
      <c r="J763" s="223">
        <f>548-J762-J761</f>
        <v>209.21149897330596</v>
      </c>
      <c r="K763" s="223">
        <f>601-K762-K761</f>
        <v>245.88706365503083</v>
      </c>
      <c r="L763" s="223">
        <f>661-L762-L761</f>
        <v>287.40657084188911</v>
      </c>
      <c r="M763" s="968">
        <f t="shared" si="1454"/>
        <v>287.40657084188911</v>
      </c>
      <c r="N763" s="223">
        <f>699-N762-N761</f>
        <v>193.7022587268994</v>
      </c>
      <c r="O763" s="223">
        <f>759-O762-O761</f>
        <v>235.22176591375774</v>
      </c>
      <c r="P763" s="223">
        <f>900-P762-P761</f>
        <v>332.79260780287478</v>
      </c>
      <c r="Q763" s="223">
        <f>1038-Q762-Q761</f>
        <v>428.28747433264891</v>
      </c>
      <c r="R763" s="968">
        <f t="shared" si="1455"/>
        <v>428.28747433264891</v>
      </c>
      <c r="S763" s="223">
        <f>1030-S762-S761</f>
        <v>462.22496279317903</v>
      </c>
      <c r="T763" s="223">
        <f>924-T762-T761</f>
        <v>414.32524476030312</v>
      </c>
      <c r="U763" s="223">
        <f>974-U762-U761</f>
        <v>464</v>
      </c>
      <c r="V763" s="223">
        <v>473</v>
      </c>
      <c r="W763" s="968">
        <f>+V763</f>
        <v>473</v>
      </c>
      <c r="X763" s="223">
        <v>469</v>
      </c>
      <c r="Y763" s="223">
        <v>476</v>
      </c>
      <c r="Z763" s="223">
        <v>463</v>
      </c>
      <c r="AA763" s="223">
        <v>563</v>
      </c>
      <c r="AB763" s="968">
        <f>+AA763</f>
        <v>563</v>
      </c>
      <c r="AC763" s="223">
        <v>535</v>
      </c>
      <c r="AD763" s="223">
        <v>522</v>
      </c>
      <c r="AE763" s="223">
        <v>497</v>
      </c>
      <c r="AF763" s="223">
        <v>326</v>
      </c>
      <c r="AG763" s="968">
        <f>+AF763</f>
        <v>326</v>
      </c>
      <c r="AH763" s="223">
        <v>360</v>
      </c>
      <c r="AI763" s="223">
        <v>356</v>
      </c>
      <c r="AJ763" s="223">
        <v>383</v>
      </c>
      <c r="AK763" s="223">
        <v>175</v>
      </c>
      <c r="AL763" s="968">
        <f>+AK763</f>
        <v>175</v>
      </c>
      <c r="AM763" s="223">
        <v>168</v>
      </c>
      <c r="AN763" s="223">
        <v>179</v>
      </c>
      <c r="AO763" s="223">
        <v>176</v>
      </c>
      <c r="AP763" s="223">
        <v>178</v>
      </c>
      <c r="AQ763" s="968">
        <f>+AP763</f>
        <v>178</v>
      </c>
      <c r="AR763" s="223">
        <v>178</v>
      </c>
      <c r="AS763" s="223">
        <v>183</v>
      </c>
      <c r="AT763" s="223">
        <v>175</v>
      </c>
      <c r="AU763" s="223">
        <v>176</v>
      </c>
      <c r="AV763" s="968">
        <f>+AU763</f>
        <v>176</v>
      </c>
      <c r="AW763" s="223">
        <v>176</v>
      </c>
      <c r="AX763" s="223">
        <v>179</v>
      </c>
      <c r="AY763" s="223">
        <v>175</v>
      </c>
      <c r="AZ763" s="223">
        <v>158</v>
      </c>
      <c r="BA763" s="968">
        <f>+AZ763</f>
        <v>158</v>
      </c>
      <c r="BB763" s="223">
        <f>135+109</f>
        <v>244</v>
      </c>
      <c r="BC763" s="223">
        <f>141+90</f>
        <v>231</v>
      </c>
      <c r="BD763" s="223">
        <v>79</v>
      </c>
      <c r="BE763" s="223">
        <v>0</v>
      </c>
      <c r="BF763" s="968">
        <f>+BE763</f>
        <v>0</v>
      </c>
      <c r="BG763" s="223">
        <f>+BF763</f>
        <v>0</v>
      </c>
      <c r="BH763" s="223">
        <f>+BG763</f>
        <v>0</v>
      </c>
      <c r="BI763" s="223">
        <f>+BH763</f>
        <v>0</v>
      </c>
      <c r="BJ763" s="223">
        <f>+BI763</f>
        <v>0</v>
      </c>
      <c r="BK763" s="968">
        <f>+BJ763</f>
        <v>0</v>
      </c>
      <c r="BL763" s="223">
        <f>+BK763</f>
        <v>0</v>
      </c>
      <c r="BM763" s="223">
        <f>+BL763</f>
        <v>0</v>
      </c>
      <c r="BN763" s="223">
        <f>+BM763</f>
        <v>0</v>
      </c>
      <c r="BO763" s="223">
        <f>+BN763</f>
        <v>0</v>
      </c>
      <c r="BP763" s="968">
        <f>+BO763</f>
        <v>0</v>
      </c>
      <c r="BQ763" s="223">
        <f>+BP763</f>
        <v>0</v>
      </c>
      <c r="BR763" s="223">
        <f>+BQ763</f>
        <v>0</v>
      </c>
      <c r="BS763" s="223">
        <v>0</v>
      </c>
      <c r="BT763" s="223">
        <v>0</v>
      </c>
      <c r="BU763" s="968">
        <f t="shared" si="1481"/>
        <v>0</v>
      </c>
      <c r="BV763" s="223">
        <v>0</v>
      </c>
      <c r="BW763" s="223">
        <v>0</v>
      </c>
      <c r="BX763" s="223">
        <v>0</v>
      </c>
      <c r="BY763" s="215">
        <v>0</v>
      </c>
      <c r="BZ763" s="968">
        <f t="shared" si="1482"/>
        <v>0</v>
      </c>
      <c r="CA763" s="223">
        <v>0</v>
      </c>
      <c r="CB763" s="223">
        <v>0</v>
      </c>
      <c r="CC763" s="223">
        <v>0</v>
      </c>
      <c r="CD763" s="1788">
        <f>+CC763</f>
        <v>0</v>
      </c>
      <c r="CE763" s="968">
        <f t="shared" si="1483"/>
        <v>0</v>
      </c>
      <c r="CF763" s="188">
        <f>+CE763</f>
        <v>0</v>
      </c>
      <c r="CG763" s="215">
        <f>+CF763</f>
        <v>0</v>
      </c>
      <c r="CH763" s="215">
        <f>+CG763</f>
        <v>0</v>
      </c>
      <c r="CI763" s="215">
        <f>+CH763</f>
        <v>0</v>
      </c>
      <c r="CJ763" s="968">
        <f t="shared" si="1484"/>
        <v>0</v>
      </c>
      <c r="CK763" s="188">
        <f>+CJ763</f>
        <v>0</v>
      </c>
      <c r="CL763" s="215">
        <f>+CK763</f>
        <v>0</v>
      </c>
      <c r="CM763" s="2880">
        <v>0</v>
      </c>
      <c r="CN763" s="2880">
        <v>0</v>
      </c>
      <c r="CO763" s="968">
        <f t="shared" si="1456"/>
        <v>0</v>
      </c>
      <c r="CP763" s="188">
        <f t="shared" si="1487"/>
        <v>0</v>
      </c>
      <c r="CQ763" s="2880">
        <v>0</v>
      </c>
      <c r="CR763" s="223">
        <v>0</v>
      </c>
      <c r="CS763" s="215">
        <f t="shared" si="1487"/>
        <v>0</v>
      </c>
      <c r="CT763" s="968">
        <f t="shared" si="1457"/>
        <v>0</v>
      </c>
      <c r="CU763" s="215">
        <f t="shared" si="1488"/>
        <v>0</v>
      </c>
      <c r="CV763" s="215">
        <f t="shared" si="1488"/>
        <v>0</v>
      </c>
      <c r="CW763" s="215">
        <f t="shared" si="1488"/>
        <v>0</v>
      </c>
      <c r="CX763" s="215">
        <f t="shared" si="1488"/>
        <v>0</v>
      </c>
      <c r="CY763" s="968">
        <f t="shared" si="1458"/>
        <v>0</v>
      </c>
      <c r="CZ763" s="968">
        <f>+CY763</f>
        <v>0</v>
      </c>
      <c r="DA763" s="968">
        <f>+CZ763</f>
        <v>0</v>
      </c>
      <c r="DB763"/>
      <c r="DC763"/>
      <c r="DD763" s="2295" t="s">
        <v>903</v>
      </c>
      <c r="DE763" s="2290">
        <f t="shared" si="1459"/>
        <v>287.40657084188911</v>
      </c>
      <c r="DF763" s="2290">
        <f t="shared" si="1460"/>
        <v>428.28747433264891</v>
      </c>
      <c r="DG763" s="2290">
        <f t="shared" si="1461"/>
        <v>473</v>
      </c>
      <c r="DH763" s="2290">
        <f t="shared" si="1462"/>
        <v>563</v>
      </c>
      <c r="DI763" s="2290">
        <f t="shared" si="1463"/>
        <v>326</v>
      </c>
      <c r="DJ763" s="2290">
        <f t="shared" si="1464"/>
        <v>175</v>
      </c>
      <c r="DK763" s="2290">
        <f t="shared" si="1465"/>
        <v>178</v>
      </c>
      <c r="DL763" s="2290">
        <f t="shared" si="1466"/>
        <v>176</v>
      </c>
      <c r="DM763" s="2290">
        <f t="shared" si="1467"/>
        <v>158</v>
      </c>
      <c r="DN763" s="2290">
        <f t="shared" si="1468"/>
        <v>0</v>
      </c>
      <c r="DO763" s="2290">
        <f t="shared" si="1469"/>
        <v>0</v>
      </c>
      <c r="DP763" s="2290">
        <f t="shared" si="1470"/>
        <v>0</v>
      </c>
      <c r="DQ763" s="2290">
        <f t="shared" si="1471"/>
        <v>0</v>
      </c>
      <c r="DR763" s="2290">
        <f t="shared" si="1472"/>
        <v>0</v>
      </c>
      <c r="DS763" s="2290">
        <f t="shared" si="1473"/>
        <v>0</v>
      </c>
      <c r="DT763" s="2290">
        <f t="shared" si="1474"/>
        <v>0</v>
      </c>
      <c r="DU763" s="2290">
        <f t="shared" si="1475"/>
        <v>0</v>
      </c>
      <c r="DV763" s="2290">
        <f t="shared" si="1476"/>
        <v>0</v>
      </c>
      <c r="DW763" s="2290">
        <f t="shared" si="1477"/>
        <v>0</v>
      </c>
      <c r="DX763" s="2290">
        <f t="shared" si="1478"/>
        <v>0</v>
      </c>
      <c r="DY763" s="2290">
        <f t="shared" si="1479"/>
        <v>0</v>
      </c>
      <c r="EA763"/>
      <c r="EB763"/>
      <c r="EC763"/>
      <c r="ED763"/>
      <c r="EE763"/>
      <c r="EF763"/>
      <c r="EJ763"/>
      <c r="EK763"/>
      <c r="EL763"/>
      <c r="EM763" s="1703"/>
      <c r="ER763" s="212"/>
    </row>
    <row r="764" spans="1:148" s="923" customFormat="1" ht="12.75" customHeight="1" x14ac:dyDescent="0.2">
      <c r="A764" s="1131" t="s">
        <v>1931</v>
      </c>
      <c r="B764" s="767"/>
      <c r="C764" s="767"/>
      <c r="D764" s="767"/>
      <c r="E764" s="767"/>
      <c r="F764" s="767"/>
      <c r="G764" s="767"/>
      <c r="H764" s="767"/>
      <c r="I764" s="767">
        <v>297</v>
      </c>
      <c r="J764" s="767">
        <v>305</v>
      </c>
      <c r="K764" s="767">
        <v>302</v>
      </c>
      <c r="L764" s="767">
        <v>340</v>
      </c>
      <c r="M764" s="970">
        <f t="shared" si="1454"/>
        <v>340</v>
      </c>
      <c r="N764" s="767">
        <v>350</v>
      </c>
      <c r="O764" s="767">
        <v>425</v>
      </c>
      <c r="P764" s="767">
        <v>433</v>
      </c>
      <c r="Q764" s="767">
        <v>422</v>
      </c>
      <c r="R764" s="970">
        <f t="shared" si="1455"/>
        <v>422</v>
      </c>
      <c r="S764" s="767">
        <v>420</v>
      </c>
      <c r="T764" s="767">
        <v>423</v>
      </c>
      <c r="U764" s="767">
        <v>409</v>
      </c>
      <c r="V764" s="767">
        <v>556</v>
      </c>
      <c r="W764" s="970">
        <f>V764</f>
        <v>556</v>
      </c>
      <c r="X764" s="767">
        <v>587</v>
      </c>
      <c r="Y764" s="767">
        <v>680</v>
      </c>
      <c r="Z764" s="767">
        <v>795</v>
      </c>
      <c r="AA764" s="767">
        <v>850</v>
      </c>
      <c r="AB764" s="970">
        <f>AA764</f>
        <v>850</v>
      </c>
      <c r="AC764" s="767">
        <v>868</v>
      </c>
      <c r="AD764" s="767">
        <v>876</v>
      </c>
      <c r="AE764" s="767">
        <v>915</v>
      </c>
      <c r="AF764" s="767">
        <f>736+397</f>
        <v>1133</v>
      </c>
      <c r="AG764" s="970">
        <f>AF764</f>
        <v>1133</v>
      </c>
      <c r="AH764" s="767">
        <f>421+723</f>
        <v>1144</v>
      </c>
      <c r="AI764" s="767">
        <f>698+514</f>
        <v>1212</v>
      </c>
      <c r="AJ764" s="767">
        <f>675+522</f>
        <v>1197</v>
      </c>
      <c r="AK764" s="767">
        <f>545+685+36</f>
        <v>1266</v>
      </c>
      <c r="AL764" s="970">
        <f>AK764</f>
        <v>1266</v>
      </c>
      <c r="AM764" s="767">
        <f>551+693+35</f>
        <v>1279</v>
      </c>
      <c r="AN764" s="767">
        <f>706+639+36</f>
        <v>1381</v>
      </c>
      <c r="AO764" s="767">
        <f>36+716+608</f>
        <v>1360</v>
      </c>
      <c r="AP764" s="767">
        <f>27+665+735</f>
        <v>1427</v>
      </c>
      <c r="AQ764" s="970">
        <f>AP764</f>
        <v>1427</v>
      </c>
      <c r="AR764" s="767">
        <f>633+34+766</f>
        <v>1433</v>
      </c>
      <c r="AS764" s="767">
        <f>19+826+687</f>
        <v>1532</v>
      </c>
      <c r="AT764" s="767">
        <f>17+663+782</f>
        <v>1462</v>
      </c>
      <c r="AU764" s="767">
        <f>21+678+688</f>
        <v>1387</v>
      </c>
      <c r="AV764" s="970">
        <f>AU764</f>
        <v>1387</v>
      </c>
      <c r="AW764" s="767">
        <f>8+654+646</f>
        <v>1308</v>
      </c>
      <c r="AX764" s="767">
        <f>6+636+689</f>
        <v>1331</v>
      </c>
      <c r="AY764" s="767">
        <f>5+616+654</f>
        <v>1275</v>
      </c>
      <c r="AZ764" s="767">
        <f>727+446+50</f>
        <v>1223</v>
      </c>
      <c r="BA764" s="970">
        <f>AZ764</f>
        <v>1223</v>
      </c>
      <c r="BB764" s="767">
        <f>826+446</f>
        <v>1272</v>
      </c>
      <c r="BC764" s="767">
        <f>841+451</f>
        <v>1292</v>
      </c>
      <c r="BD764" s="767">
        <f>1012+443</f>
        <v>1455</v>
      </c>
      <c r="BE764" s="767">
        <f>1020+393</f>
        <v>1413</v>
      </c>
      <c r="BF764" s="970">
        <f>BE764</f>
        <v>1413</v>
      </c>
      <c r="BG764" s="767">
        <f>1091+219</f>
        <v>1310</v>
      </c>
      <c r="BH764" s="767">
        <f>1074+202</f>
        <v>1276</v>
      </c>
      <c r="BI764" s="767">
        <f>1050+188</f>
        <v>1238</v>
      </c>
      <c r="BJ764" s="767">
        <f>932+205</f>
        <v>1137</v>
      </c>
      <c r="BK764" s="970">
        <f>BJ764</f>
        <v>1137</v>
      </c>
      <c r="BL764" s="767">
        <f>919+224</f>
        <v>1143</v>
      </c>
      <c r="BM764" s="767">
        <f>910+336</f>
        <v>1246</v>
      </c>
      <c r="BN764" s="767">
        <f>213+1005</f>
        <v>1218</v>
      </c>
      <c r="BO764" s="767">
        <f>261+873</f>
        <v>1134</v>
      </c>
      <c r="BP764" s="970">
        <f>BO764</f>
        <v>1134</v>
      </c>
      <c r="BQ764" s="767">
        <f>273+849</f>
        <v>1122</v>
      </c>
      <c r="BR764" s="767">
        <f>283+846</f>
        <v>1129</v>
      </c>
      <c r="BS764" s="767">
        <f>851+275</f>
        <v>1126</v>
      </c>
      <c r="BT764" s="767">
        <f>676+267</f>
        <v>943</v>
      </c>
      <c r="BU764" s="970">
        <f t="shared" si="1481"/>
        <v>943</v>
      </c>
      <c r="BV764" s="767">
        <f>673+257</f>
        <v>930</v>
      </c>
      <c r="BW764" s="767">
        <f>665+303</f>
        <v>968</v>
      </c>
      <c r="BX764" s="767">
        <f>671+320</f>
        <v>991</v>
      </c>
      <c r="BY764" s="222">
        <f>647+332</f>
        <v>979</v>
      </c>
      <c r="BZ764" s="970">
        <f t="shared" si="1482"/>
        <v>979</v>
      </c>
      <c r="CA764" s="767">
        <f>627+541</f>
        <v>1168</v>
      </c>
      <c r="CB764" s="767">
        <f>617+352</f>
        <v>969</v>
      </c>
      <c r="CC764" s="767">
        <f>597+277</f>
        <v>874</v>
      </c>
      <c r="CD764" s="767">
        <f>530+270</f>
        <v>800</v>
      </c>
      <c r="CE764" s="970">
        <f t="shared" si="1483"/>
        <v>800</v>
      </c>
      <c r="CF764" s="1428">
        <f>400+469</f>
        <v>869</v>
      </c>
      <c r="CG764" s="767">
        <f>397+247</f>
        <v>644</v>
      </c>
      <c r="CH764" s="767">
        <f>450+247</f>
        <v>697</v>
      </c>
      <c r="CI764" s="767">
        <f>223+672</f>
        <v>895</v>
      </c>
      <c r="CJ764" s="970">
        <f t="shared" si="1484"/>
        <v>895</v>
      </c>
      <c r="CK764" s="1428">
        <f>620+234</f>
        <v>854</v>
      </c>
      <c r="CL764" s="767">
        <f>223+586</f>
        <v>809</v>
      </c>
      <c r="CM764" s="3376">
        <v>511</v>
      </c>
      <c r="CN764" s="3376">
        <f>116+477</f>
        <v>593</v>
      </c>
      <c r="CO764" s="970">
        <f t="shared" si="1456"/>
        <v>593</v>
      </c>
      <c r="CP764" s="1428">
        <f>119+439</f>
        <v>558</v>
      </c>
      <c r="CQ764" s="3376">
        <f>119+442</f>
        <v>561</v>
      </c>
      <c r="CR764" s="222">
        <f>110+400</f>
        <v>510</v>
      </c>
      <c r="CS764" s="216">
        <f>CR764-CS713</f>
        <v>510</v>
      </c>
      <c r="CT764" s="970">
        <f t="shared" si="1457"/>
        <v>510</v>
      </c>
      <c r="CU764" s="216">
        <f>CT764-CU713</f>
        <v>510</v>
      </c>
      <c r="CV764" s="216">
        <f>CU764-CV713</f>
        <v>510</v>
      </c>
      <c r="CW764" s="216">
        <f>CV764-CW713</f>
        <v>510</v>
      </c>
      <c r="CX764" s="216">
        <f>CW764-CX713</f>
        <v>510</v>
      </c>
      <c r="CY764" s="970">
        <f t="shared" si="1458"/>
        <v>510</v>
      </c>
      <c r="CZ764" s="970">
        <f>CY764-CZ713</f>
        <v>510</v>
      </c>
      <c r="DA764" s="970">
        <f>CZ764-DA713</f>
        <v>510</v>
      </c>
      <c r="DB764"/>
      <c r="DC764"/>
      <c r="DD764" s="1131" t="s">
        <v>1931</v>
      </c>
      <c r="DE764" s="970">
        <f t="shared" si="1459"/>
        <v>340</v>
      </c>
      <c r="DF764" s="970">
        <f t="shared" si="1460"/>
        <v>422</v>
      </c>
      <c r="DG764" s="970">
        <f t="shared" si="1461"/>
        <v>556</v>
      </c>
      <c r="DH764" s="970">
        <f t="shared" si="1462"/>
        <v>850</v>
      </c>
      <c r="DI764" s="970">
        <f t="shared" si="1463"/>
        <v>1133</v>
      </c>
      <c r="DJ764" s="970">
        <f t="shared" si="1464"/>
        <v>1266</v>
      </c>
      <c r="DK764" s="970">
        <f t="shared" si="1465"/>
        <v>1427</v>
      </c>
      <c r="DL764" s="970">
        <f t="shared" si="1466"/>
        <v>1387</v>
      </c>
      <c r="DM764" s="970">
        <f t="shared" si="1467"/>
        <v>1223</v>
      </c>
      <c r="DN764" s="970">
        <f t="shared" si="1468"/>
        <v>1413</v>
      </c>
      <c r="DO764" s="970">
        <f t="shared" si="1469"/>
        <v>1137</v>
      </c>
      <c r="DP764" s="970">
        <f t="shared" si="1470"/>
        <v>1134</v>
      </c>
      <c r="DQ764" s="970">
        <f t="shared" si="1471"/>
        <v>943</v>
      </c>
      <c r="DR764" s="970">
        <f t="shared" si="1472"/>
        <v>979</v>
      </c>
      <c r="DS764" s="970">
        <f t="shared" si="1473"/>
        <v>800</v>
      </c>
      <c r="DT764" s="970">
        <f t="shared" si="1474"/>
        <v>895</v>
      </c>
      <c r="DU764" s="970">
        <f t="shared" si="1475"/>
        <v>593</v>
      </c>
      <c r="DV764" s="970">
        <f t="shared" si="1476"/>
        <v>510</v>
      </c>
      <c r="DW764" s="970">
        <f t="shared" si="1477"/>
        <v>510</v>
      </c>
      <c r="DX764" s="970">
        <f t="shared" si="1478"/>
        <v>510</v>
      </c>
      <c r="DY764" s="970">
        <f t="shared" si="1479"/>
        <v>510</v>
      </c>
      <c r="EA764"/>
      <c r="EB764"/>
      <c r="EC764"/>
      <c r="ED764"/>
      <c r="EE764"/>
      <c r="EF764"/>
      <c r="EJ764"/>
      <c r="EK764"/>
      <c r="EL764"/>
      <c r="EM764" s="1703"/>
      <c r="ER764" s="212"/>
    </row>
    <row r="765" spans="1:148" s="923" customFormat="1" x14ac:dyDescent="0.2">
      <c r="A765" s="1560" t="s">
        <v>1251</v>
      </c>
      <c r="B765" s="1730"/>
      <c r="C765" s="1730"/>
      <c r="D765" s="1730"/>
      <c r="E765" s="1730"/>
      <c r="F765" s="1730"/>
      <c r="G765" s="1730"/>
      <c r="H765" s="1730"/>
      <c r="I765" s="1730">
        <f t="shared" ref="I765:AN765" si="1489">I751+SUM(I755:I764)</f>
        <v>7550.0000000000009</v>
      </c>
      <c r="J765" s="1730">
        <f t="shared" si="1489"/>
        <v>7558</v>
      </c>
      <c r="K765" s="1730">
        <f t="shared" si="1489"/>
        <v>7646</v>
      </c>
      <c r="L765" s="1730">
        <f t="shared" si="1489"/>
        <v>8237</v>
      </c>
      <c r="M765" s="1729">
        <f t="shared" si="1489"/>
        <v>8237</v>
      </c>
      <c r="N765" s="1730">
        <f t="shared" si="1489"/>
        <v>8278</v>
      </c>
      <c r="O765" s="1730">
        <f t="shared" si="1489"/>
        <v>8790</v>
      </c>
      <c r="P765" s="1730">
        <f t="shared" si="1489"/>
        <v>9020</v>
      </c>
      <c r="Q765" s="1730">
        <f t="shared" si="1489"/>
        <v>9107</v>
      </c>
      <c r="R765" s="1729">
        <f t="shared" si="1489"/>
        <v>9107</v>
      </c>
      <c r="S765" s="1730">
        <f t="shared" si="1489"/>
        <v>8553</v>
      </c>
      <c r="T765" s="1730">
        <f t="shared" si="1489"/>
        <v>8532</v>
      </c>
      <c r="U765" s="1730">
        <f t="shared" si="1489"/>
        <v>8494</v>
      </c>
      <c r="V765" s="1730">
        <f t="shared" si="1489"/>
        <v>8296</v>
      </c>
      <c r="W765" s="1729">
        <f t="shared" si="1489"/>
        <v>8296</v>
      </c>
      <c r="X765" s="1730">
        <f t="shared" si="1489"/>
        <v>8345</v>
      </c>
      <c r="Y765" s="1730">
        <f t="shared" si="1489"/>
        <v>8004</v>
      </c>
      <c r="Z765" s="1730">
        <f t="shared" si="1489"/>
        <v>8072</v>
      </c>
      <c r="AA765" s="1730">
        <f t="shared" si="1489"/>
        <v>8177</v>
      </c>
      <c r="AB765" s="1729">
        <f t="shared" si="1489"/>
        <v>8177</v>
      </c>
      <c r="AC765" s="1730">
        <f t="shared" si="1489"/>
        <v>8272</v>
      </c>
      <c r="AD765" s="1730">
        <f t="shared" si="1489"/>
        <v>8296</v>
      </c>
      <c r="AE765" s="1730">
        <f t="shared" si="1489"/>
        <v>8269</v>
      </c>
      <c r="AF765" s="1730">
        <f t="shared" si="1489"/>
        <v>8668</v>
      </c>
      <c r="AG765" s="1729">
        <f t="shared" si="1489"/>
        <v>8668</v>
      </c>
      <c r="AH765" s="1730">
        <f t="shared" si="1489"/>
        <v>8429</v>
      </c>
      <c r="AI765" s="1730">
        <f t="shared" si="1489"/>
        <v>8464</v>
      </c>
      <c r="AJ765" s="1730">
        <f t="shared" si="1489"/>
        <v>8615</v>
      </c>
      <c r="AK765" s="1730">
        <f t="shared" si="1489"/>
        <v>8530</v>
      </c>
      <c r="AL765" s="1729">
        <f t="shared" si="1489"/>
        <v>8530</v>
      </c>
      <c r="AM765" s="1730">
        <f t="shared" si="1489"/>
        <v>8680</v>
      </c>
      <c r="AN765" s="1730">
        <f t="shared" si="1489"/>
        <v>8373</v>
      </c>
      <c r="AO765" s="1730">
        <f t="shared" ref="AO765:BR765" si="1490">AO751+SUM(AO755:AO764)</f>
        <v>8314</v>
      </c>
      <c r="AP765" s="1730">
        <f t="shared" si="1490"/>
        <v>8588</v>
      </c>
      <c r="AQ765" s="1729">
        <f t="shared" si="1490"/>
        <v>8588</v>
      </c>
      <c r="AR765" s="1730">
        <f t="shared" si="1490"/>
        <v>8743</v>
      </c>
      <c r="AS765" s="1730">
        <f t="shared" si="1490"/>
        <v>8919</v>
      </c>
      <c r="AT765" s="1730">
        <f t="shared" si="1490"/>
        <v>9110</v>
      </c>
      <c r="AU765" s="1730">
        <f t="shared" si="1490"/>
        <v>8942</v>
      </c>
      <c r="AV765" s="1729">
        <f t="shared" si="1490"/>
        <v>8942</v>
      </c>
      <c r="AW765" s="1730">
        <f t="shared" si="1490"/>
        <v>9108</v>
      </c>
      <c r="AX765" s="1730">
        <f t="shared" si="1490"/>
        <v>9012</v>
      </c>
      <c r="AY765" s="1730">
        <f t="shared" si="1490"/>
        <v>9104</v>
      </c>
      <c r="AZ765" s="1730">
        <f t="shared" si="1490"/>
        <v>8903</v>
      </c>
      <c r="BA765" s="1729">
        <f t="shared" si="1490"/>
        <v>8903</v>
      </c>
      <c r="BB765" s="1730">
        <f t="shared" si="1490"/>
        <v>8704</v>
      </c>
      <c r="BC765" s="1730">
        <f t="shared" si="1490"/>
        <v>8743</v>
      </c>
      <c r="BD765" s="1730">
        <f t="shared" si="1490"/>
        <v>8267</v>
      </c>
      <c r="BE765" s="1730">
        <f t="shared" si="1490"/>
        <v>7933</v>
      </c>
      <c r="BF765" s="1729">
        <f t="shared" si="1490"/>
        <v>7933</v>
      </c>
      <c r="BG765" s="1730">
        <f t="shared" si="1490"/>
        <v>8793</v>
      </c>
      <c r="BH765" s="1730">
        <f t="shared" si="1490"/>
        <v>8647</v>
      </c>
      <c r="BI765" s="1730">
        <f t="shared" si="1490"/>
        <v>8789</v>
      </c>
      <c r="BJ765" s="1730">
        <f t="shared" si="1490"/>
        <v>8983</v>
      </c>
      <c r="BK765" s="1729">
        <f t="shared" si="1490"/>
        <v>8983</v>
      </c>
      <c r="BL765" s="1730">
        <f t="shared" si="1490"/>
        <v>8760</v>
      </c>
      <c r="BM765" s="1730">
        <f t="shared" si="1490"/>
        <v>8791</v>
      </c>
      <c r="BN765" s="1730">
        <f>BN751+SUM(BN755:BN764)</f>
        <v>8465</v>
      </c>
      <c r="BO765" s="1730">
        <f t="shared" si="1490"/>
        <v>5910</v>
      </c>
      <c r="BP765" s="1729">
        <f>BP751+SUM(BP755:BP764)</f>
        <v>5910</v>
      </c>
      <c r="BQ765" s="1730">
        <f>BQ751+SUM(BQ755:BQ764)</f>
        <v>6171</v>
      </c>
      <c r="BR765" s="1730">
        <f t="shared" si="1490"/>
        <v>6007</v>
      </c>
      <c r="BS765" s="1730">
        <f>BS751+SUM(BS755:BS764)</f>
        <v>5865</v>
      </c>
      <c r="BT765" s="1730">
        <f>BT751+SUM(BT755:BT764)</f>
        <v>6342</v>
      </c>
      <c r="BU765" s="1729">
        <f t="shared" ref="BU765:CE765" si="1491">BU751+SUM(BU755:BU764)</f>
        <v>6342</v>
      </c>
      <c r="BV765" s="1730">
        <f t="shared" si="1491"/>
        <v>6523</v>
      </c>
      <c r="BW765" s="1730">
        <f t="shared" si="1491"/>
        <v>6377</v>
      </c>
      <c r="BX765" s="1730">
        <f t="shared" si="1491"/>
        <v>6480</v>
      </c>
      <c r="BY765" s="1730">
        <f>BY751+SUM(BY755:BY764)</f>
        <v>6794</v>
      </c>
      <c r="BZ765" s="1729">
        <f>BZ751+SUM(BZ755:BZ764)</f>
        <v>6794</v>
      </c>
      <c r="CA765" s="1730">
        <f>CA751+SUM(CA755:CA764)</f>
        <v>6665</v>
      </c>
      <c r="CB765" s="1730">
        <f t="shared" si="1491"/>
        <v>6830</v>
      </c>
      <c r="CC765" s="1730">
        <f>CC751+SUM(CC755:CC764)</f>
        <v>6847</v>
      </c>
      <c r="CD765" s="1826">
        <f t="shared" si="1491"/>
        <v>6865</v>
      </c>
      <c r="CE765" s="1729">
        <f t="shared" si="1491"/>
        <v>6865</v>
      </c>
      <c r="CF765" s="2689">
        <f t="shared" ref="CF765:DA765" si="1492">CF751+SUM(CF755:CF764)</f>
        <v>6803</v>
      </c>
      <c r="CG765" s="1730">
        <f t="shared" si="1492"/>
        <v>6321</v>
      </c>
      <c r="CH765" s="1730">
        <f t="shared" si="1492"/>
        <v>6153</v>
      </c>
      <c r="CI765" s="1826">
        <f t="shared" si="1492"/>
        <v>6082</v>
      </c>
      <c r="CJ765" s="1729">
        <f t="shared" si="1492"/>
        <v>6082</v>
      </c>
      <c r="CK765" s="2689">
        <f t="shared" si="1492"/>
        <v>6121</v>
      </c>
      <c r="CL765" s="1730">
        <f t="shared" si="1492"/>
        <v>6650</v>
      </c>
      <c r="CM765" s="1730">
        <f t="shared" si="1492"/>
        <v>25002</v>
      </c>
      <c r="CN765" s="1826">
        <f t="shared" si="1492"/>
        <v>24140</v>
      </c>
      <c r="CO765" s="1729">
        <f t="shared" si="1492"/>
        <v>24140</v>
      </c>
      <c r="CP765" s="2689">
        <f t="shared" si="1492"/>
        <v>23925</v>
      </c>
      <c r="CQ765" s="1730">
        <f>CQ751+SUM(CQ755:CQ764)</f>
        <v>23881</v>
      </c>
      <c r="CR765" s="1730">
        <f t="shared" ref="CR765" si="1493">CR751+SUM(CR755:CR764)</f>
        <v>24236</v>
      </c>
      <c r="CS765" s="1730">
        <f t="shared" si="1492"/>
        <v>22997.517</v>
      </c>
      <c r="CT765" s="1729">
        <f t="shared" si="1492"/>
        <v>22997.517</v>
      </c>
      <c r="CU765" s="1730">
        <f ca="1">CU751+SUM(CU755:CU764)</f>
        <v>23167.77837969362</v>
      </c>
      <c r="CV765" s="1730">
        <f ca="1">CV751+SUM(CV755:CV764)</f>
        <v>23201.006021984576</v>
      </c>
      <c r="CW765" s="1730">
        <f ca="1">CW751+SUM(CW755:CW764)</f>
        <v>23379.054800133308</v>
      </c>
      <c r="CX765" s="1730">
        <f ca="1">CX751+SUM(CX755:CX764)</f>
        <v>23479.516758375481</v>
      </c>
      <c r="CY765" s="1729">
        <f ca="1">CY751+SUM(CY755:CY764)</f>
        <v>23479.516758375481</v>
      </c>
      <c r="CZ765" s="1729">
        <f t="shared" ca="1" si="1492"/>
        <v>23820.099051325975</v>
      </c>
      <c r="DA765" s="1729">
        <f t="shared" ca="1" si="1492"/>
        <v>24268.605791840506</v>
      </c>
      <c r="DB765"/>
      <c r="DC765"/>
      <c r="DD765" s="1560" t="s">
        <v>1251</v>
      </c>
      <c r="DE765" s="1729">
        <f t="shared" si="1459"/>
        <v>8237</v>
      </c>
      <c r="DF765" s="1729">
        <f t="shared" si="1460"/>
        <v>9107</v>
      </c>
      <c r="DG765" s="1729">
        <f t="shared" si="1461"/>
        <v>8296</v>
      </c>
      <c r="DH765" s="1729">
        <f t="shared" si="1462"/>
        <v>8177</v>
      </c>
      <c r="DI765" s="1729">
        <f t="shared" si="1463"/>
        <v>8668</v>
      </c>
      <c r="DJ765" s="1729">
        <f t="shared" si="1464"/>
        <v>8530</v>
      </c>
      <c r="DK765" s="1729">
        <f t="shared" si="1465"/>
        <v>8588</v>
      </c>
      <c r="DL765" s="1729">
        <f t="shared" si="1466"/>
        <v>8942</v>
      </c>
      <c r="DM765" s="1729">
        <f t="shared" si="1467"/>
        <v>8903</v>
      </c>
      <c r="DN765" s="1729">
        <f t="shared" si="1468"/>
        <v>7933</v>
      </c>
      <c r="DO765" s="1729">
        <f t="shared" si="1469"/>
        <v>8983</v>
      </c>
      <c r="DP765" s="1729">
        <f t="shared" si="1470"/>
        <v>5910</v>
      </c>
      <c r="DQ765" s="1729">
        <f t="shared" si="1471"/>
        <v>6342</v>
      </c>
      <c r="DR765" s="1729">
        <f t="shared" si="1472"/>
        <v>6794</v>
      </c>
      <c r="DS765" s="1729">
        <f t="shared" si="1473"/>
        <v>6865</v>
      </c>
      <c r="DT765" s="1729">
        <f t="shared" si="1474"/>
        <v>6082</v>
      </c>
      <c r="DU765" s="1729">
        <f t="shared" si="1475"/>
        <v>24140</v>
      </c>
      <c r="DV765" s="1729">
        <f t="shared" si="1476"/>
        <v>22997.517</v>
      </c>
      <c r="DW765" s="1729">
        <f t="shared" ca="1" si="1477"/>
        <v>23479.516758375481</v>
      </c>
      <c r="DX765" s="1729">
        <f t="shared" ca="1" si="1478"/>
        <v>23820.099051325975</v>
      </c>
      <c r="DY765" s="1729">
        <f t="shared" ca="1" si="1479"/>
        <v>24268.605791840506</v>
      </c>
      <c r="EA765"/>
      <c r="EB765"/>
      <c r="EC765"/>
      <c r="ED765"/>
      <c r="EE765"/>
      <c r="EF765"/>
      <c r="EJ765"/>
      <c r="EK765"/>
      <c r="EL765"/>
      <c r="EM765" s="1703"/>
      <c r="ER765" s="212"/>
    </row>
    <row r="766" spans="1:148" s="923" customFormat="1" ht="12.75" customHeight="1" x14ac:dyDescent="0.2">
      <c r="A766" s="504"/>
      <c r="B766" s="215"/>
      <c r="C766" s="215"/>
      <c r="D766" s="215"/>
      <c r="E766" s="215"/>
      <c r="F766" s="215"/>
      <c r="G766" s="215"/>
      <c r="H766" s="215"/>
      <c r="I766" s="215"/>
      <c r="J766" s="215"/>
      <c r="K766" s="215"/>
      <c r="L766" s="215"/>
      <c r="M766" s="968"/>
      <c r="N766" s="215"/>
      <c r="O766" s="215"/>
      <c r="P766" s="215"/>
      <c r="Q766" s="215"/>
      <c r="R766" s="968"/>
      <c r="S766" s="215"/>
      <c r="T766" s="215"/>
      <c r="U766" s="215"/>
      <c r="V766" s="215"/>
      <c r="W766" s="968"/>
      <c r="X766" s="215"/>
      <c r="Y766" s="215"/>
      <c r="Z766" s="215"/>
      <c r="AA766" s="215"/>
      <c r="AB766" s="968"/>
      <c r="AC766" s="215"/>
      <c r="AD766" s="215"/>
      <c r="AE766" s="215"/>
      <c r="AF766" s="215"/>
      <c r="AG766" s="968"/>
      <c r="AH766" s="215"/>
      <c r="AI766" s="215"/>
      <c r="AJ766" s="215"/>
      <c r="AK766" s="215"/>
      <c r="AL766" s="968"/>
      <c r="AM766" s="215"/>
      <c r="AN766" s="215"/>
      <c r="AO766" s="215"/>
      <c r="AP766" s="215"/>
      <c r="AQ766" s="968"/>
      <c r="AR766" s="215"/>
      <c r="AS766" s="215"/>
      <c r="AT766" s="215"/>
      <c r="AU766" s="215"/>
      <c r="AV766" s="968"/>
      <c r="AW766" s="215"/>
      <c r="AX766" s="215"/>
      <c r="AY766" s="215"/>
      <c r="AZ766" s="215"/>
      <c r="BA766" s="968"/>
      <c r="BB766" s="215"/>
      <c r="BC766" s="215"/>
      <c r="BD766" s="215"/>
      <c r="BE766" s="215"/>
      <c r="BF766" s="968"/>
      <c r="BG766" s="215"/>
      <c r="BH766" s="215"/>
      <c r="BI766" s="215"/>
      <c r="BJ766" s="215"/>
      <c r="BK766" s="968"/>
      <c r="BL766" s="215"/>
      <c r="BM766" s="215"/>
      <c r="BN766" s="215"/>
      <c r="BO766" s="215"/>
      <c r="BP766" s="968"/>
      <c r="BQ766" s="215"/>
      <c r="BR766" s="215"/>
      <c r="BS766" s="215"/>
      <c r="BT766" s="215"/>
      <c r="BU766" s="968"/>
      <c r="BV766" s="215"/>
      <c r="BW766" s="215"/>
      <c r="BX766" s="215"/>
      <c r="BY766" s="215"/>
      <c r="BZ766" s="968"/>
      <c r="CA766" s="215"/>
      <c r="CB766" s="215"/>
      <c r="CC766" s="215"/>
      <c r="CD766" s="1788"/>
      <c r="CE766" s="968"/>
      <c r="CF766" s="188"/>
      <c r="CG766" s="215"/>
      <c r="CH766" s="215"/>
      <c r="CI766" s="1788"/>
      <c r="CJ766" s="968"/>
      <c r="CK766" s="188"/>
      <c r="CL766" s="215"/>
      <c r="CM766" s="215"/>
      <c r="CN766" s="1788"/>
      <c r="CO766" s="968"/>
      <c r="CP766" s="215"/>
      <c r="CQ766" s="215"/>
      <c r="CR766" s="215"/>
      <c r="CS766" s="215"/>
      <c r="CT766" s="968"/>
      <c r="CU766" s="215"/>
      <c r="CV766" s="215"/>
      <c r="CW766" s="215"/>
      <c r="CX766" s="215"/>
      <c r="CY766" s="968"/>
      <c r="CZ766" s="968"/>
      <c r="DA766" s="968"/>
      <c r="DB766"/>
      <c r="DC766"/>
      <c r="DD766" s="2285"/>
      <c r="DE766" s="2290"/>
      <c r="DF766" s="2290"/>
      <c r="DG766" s="2290"/>
      <c r="DH766" s="2290"/>
      <c r="DI766" s="2290"/>
      <c r="DJ766" s="2290"/>
      <c r="DK766" s="2290"/>
      <c r="DL766" s="2290"/>
      <c r="DM766" s="2290"/>
      <c r="DN766" s="2290"/>
      <c r="DO766" s="2290"/>
      <c r="DP766" s="2290"/>
      <c r="DQ766" s="2290"/>
      <c r="DR766" s="2290"/>
      <c r="DS766" s="2290"/>
      <c r="DT766" s="2290"/>
      <c r="DU766" s="2290"/>
      <c r="DV766" s="2290"/>
      <c r="DW766" s="2290"/>
      <c r="DX766" s="2290"/>
      <c r="DY766" s="2290"/>
      <c r="EA766"/>
      <c r="EB766"/>
      <c r="EC766"/>
      <c r="ED766"/>
      <c r="EE766"/>
      <c r="EF766"/>
      <c r="EJ766"/>
      <c r="EK766"/>
      <c r="EL766"/>
      <c r="EM766" s="1703"/>
      <c r="ER766" s="212"/>
    </row>
    <row r="767" spans="1:148" s="923" customFormat="1" x14ac:dyDescent="0.2">
      <c r="A767" s="1560" t="s">
        <v>18</v>
      </c>
      <c r="B767" s="215"/>
      <c r="C767" s="215"/>
      <c r="D767" s="215"/>
      <c r="E767" s="215"/>
      <c r="F767" s="215"/>
      <c r="G767" s="215"/>
      <c r="H767" s="215"/>
      <c r="I767" s="215"/>
      <c r="J767" s="215"/>
      <c r="K767" s="215"/>
      <c r="L767" s="215"/>
      <c r="M767" s="968"/>
      <c r="N767" s="215"/>
      <c r="O767" s="215"/>
      <c r="P767" s="215"/>
      <c r="Q767" s="215"/>
      <c r="R767" s="968"/>
      <c r="S767" s="215"/>
      <c r="T767" s="215"/>
      <c r="U767" s="215"/>
      <c r="V767" s="215"/>
      <c r="W767" s="968"/>
      <c r="X767" s="215"/>
      <c r="Y767" s="215"/>
      <c r="Z767" s="215"/>
      <c r="AA767" s="215"/>
      <c r="AB767" s="968"/>
      <c r="AC767" s="215"/>
      <c r="AD767" s="215"/>
      <c r="AE767" s="215"/>
      <c r="AF767" s="215"/>
      <c r="AG767" s="968"/>
      <c r="AH767" s="215"/>
      <c r="AI767" s="215"/>
      <c r="AJ767" s="215"/>
      <c r="AK767" s="215"/>
      <c r="AL767" s="968"/>
      <c r="AM767" s="215"/>
      <c r="AN767" s="215"/>
      <c r="AO767" s="215"/>
      <c r="AP767" s="215"/>
      <c r="AQ767" s="968"/>
      <c r="AR767" s="215"/>
      <c r="AS767" s="215"/>
      <c r="AT767" s="215"/>
      <c r="AU767" s="215"/>
      <c r="AV767" s="968"/>
      <c r="AW767" s="215"/>
      <c r="AX767" s="215"/>
      <c r="AY767" s="215"/>
      <c r="AZ767" s="215"/>
      <c r="BA767" s="968"/>
      <c r="BB767" s="215"/>
      <c r="BC767" s="215"/>
      <c r="BD767" s="215"/>
      <c r="BE767" s="215"/>
      <c r="BF767" s="968"/>
      <c r="BG767" s="215"/>
      <c r="BH767" s="215"/>
      <c r="BI767" s="215"/>
      <c r="BJ767" s="215"/>
      <c r="BK767" s="968"/>
      <c r="BL767" s="215"/>
      <c r="BM767" s="215"/>
      <c r="BN767" s="215"/>
      <c r="BO767" s="215"/>
      <c r="BP767" s="968"/>
      <c r="BQ767" s="215"/>
      <c r="BR767" s="215"/>
      <c r="BS767" s="215"/>
      <c r="BT767" s="215"/>
      <c r="BU767" s="968"/>
      <c r="BV767" s="215"/>
      <c r="BW767" s="215"/>
      <c r="BX767" s="215"/>
      <c r="BY767" s="215"/>
      <c r="BZ767" s="968"/>
      <c r="CA767" s="215"/>
      <c r="CB767" s="215"/>
      <c r="CC767" s="215"/>
      <c r="CD767" s="1788"/>
      <c r="CE767" s="968"/>
      <c r="CF767" s="188"/>
      <c r="CG767" s="215"/>
      <c r="CH767" s="215"/>
      <c r="CI767" s="1788"/>
      <c r="CJ767" s="968"/>
      <c r="CK767" s="188"/>
      <c r="CL767" s="215"/>
      <c r="CM767" s="215"/>
      <c r="CN767" s="1788"/>
      <c r="CO767" s="968"/>
      <c r="CP767" s="215"/>
      <c r="CQ767" s="215"/>
      <c r="CR767" s="215"/>
      <c r="CS767" s="215"/>
      <c r="CT767" s="968"/>
      <c r="CU767" s="215"/>
      <c r="CV767" s="215"/>
      <c r="CW767" s="215"/>
      <c r="CX767" s="215"/>
      <c r="CY767" s="968"/>
      <c r="CZ767" s="968"/>
      <c r="DA767" s="968"/>
      <c r="DB767"/>
      <c r="DC767"/>
      <c r="DD767" s="1560" t="s">
        <v>18</v>
      </c>
      <c r="DE767" s="2290"/>
      <c r="DF767" s="2290"/>
      <c r="DG767" s="2290"/>
      <c r="DH767" s="2290"/>
      <c r="DI767" s="2290"/>
      <c r="DJ767" s="2290"/>
      <c r="DK767" s="2290"/>
      <c r="DL767" s="2290"/>
      <c r="DM767" s="2290"/>
      <c r="DN767" s="2290"/>
      <c r="DO767" s="2290"/>
      <c r="DP767" s="2290"/>
      <c r="DQ767" s="2290"/>
      <c r="DR767" s="2290"/>
      <c r="DS767" s="2290"/>
      <c r="DT767" s="2290"/>
      <c r="DU767" s="2290"/>
      <c r="DV767" s="2290"/>
      <c r="DW767" s="2290"/>
      <c r="DX767" s="2290"/>
      <c r="DY767" s="2290"/>
      <c r="EA767"/>
      <c r="EB767"/>
      <c r="EC767"/>
      <c r="ED767"/>
      <c r="EE767"/>
      <c r="EF767"/>
      <c r="EJ767"/>
      <c r="EK767"/>
      <c r="EL767"/>
      <c r="EM767" s="1703"/>
      <c r="ER767" s="212"/>
    </row>
    <row r="768" spans="1:148" s="1703" customFormat="1" x14ac:dyDescent="0.2">
      <c r="A768" s="1987" t="s">
        <v>904</v>
      </c>
      <c r="B768" s="2205"/>
      <c r="C768" s="2205"/>
      <c r="D768" s="2205"/>
      <c r="E768" s="2205"/>
      <c r="F768" s="2205"/>
      <c r="G768" s="2205"/>
      <c r="H768" s="2205"/>
      <c r="I768" s="2205">
        <v>650</v>
      </c>
      <c r="J768" s="2205">
        <v>561</v>
      </c>
      <c r="K768" s="2205">
        <v>564</v>
      </c>
      <c r="L768" s="2205">
        <v>660</v>
      </c>
      <c r="M768" s="1704">
        <f>L768</f>
        <v>660</v>
      </c>
      <c r="N768" s="2205">
        <v>675</v>
      </c>
      <c r="O768" s="2205">
        <v>708</v>
      </c>
      <c r="P768" s="2205">
        <v>732</v>
      </c>
      <c r="Q768" s="2205">
        <v>697</v>
      </c>
      <c r="R768" s="1704">
        <f>Q768</f>
        <v>697</v>
      </c>
      <c r="S768" s="2205">
        <v>658</v>
      </c>
      <c r="T768" s="2205">
        <v>698</v>
      </c>
      <c r="U768" s="2205">
        <v>647</v>
      </c>
      <c r="V768" s="2205">
        <f>529+373</f>
        <v>902</v>
      </c>
      <c r="W768" s="1704">
        <f>V768</f>
        <v>902</v>
      </c>
      <c r="X768" s="2205">
        <v>468</v>
      </c>
      <c r="Y768" s="2205">
        <v>469</v>
      </c>
      <c r="Z768" s="2205">
        <v>516</v>
      </c>
      <c r="AA768" s="2205">
        <v>584</v>
      </c>
      <c r="AB768" s="1704">
        <f>AA768</f>
        <v>584</v>
      </c>
      <c r="AC768" s="2205">
        <v>608</v>
      </c>
      <c r="AD768" s="2205">
        <v>569</v>
      </c>
      <c r="AE768" s="2205">
        <v>574</v>
      </c>
      <c r="AF768" s="2205">
        <v>570</v>
      </c>
      <c r="AG768" s="1704">
        <f>AF768</f>
        <v>570</v>
      </c>
      <c r="AH768" s="2205">
        <v>589</v>
      </c>
      <c r="AI768" s="2205">
        <v>622</v>
      </c>
      <c r="AJ768" s="2205">
        <v>610</v>
      </c>
      <c r="AK768" s="2205">
        <v>591</v>
      </c>
      <c r="AL768" s="1704">
        <f>AK768</f>
        <v>591</v>
      </c>
      <c r="AM768" s="2205">
        <v>672</v>
      </c>
      <c r="AN768" s="2205">
        <v>629</v>
      </c>
      <c r="AO768" s="2205">
        <v>611</v>
      </c>
      <c r="AP768" s="2205">
        <v>658</v>
      </c>
      <c r="AQ768" s="1704">
        <f>AP768</f>
        <v>658</v>
      </c>
      <c r="AR768" s="2205">
        <f>610+748</f>
        <v>1358</v>
      </c>
      <c r="AS768" s="2205">
        <f>700+740</f>
        <v>1440</v>
      </c>
      <c r="AT768" s="2205">
        <f>686+548</f>
        <v>1234</v>
      </c>
      <c r="AU768" s="2205">
        <v>789</v>
      </c>
      <c r="AV768" s="1704">
        <f>AU768</f>
        <v>789</v>
      </c>
      <c r="AW768" s="2205">
        <v>636</v>
      </c>
      <c r="AX768" s="2205">
        <v>615</v>
      </c>
      <c r="AY768" s="2205">
        <v>657</v>
      </c>
      <c r="AZ768" s="2205">
        <v>704</v>
      </c>
      <c r="BA768" s="1704">
        <f>AZ768</f>
        <v>704</v>
      </c>
      <c r="BB768" s="2205">
        <f>599+568</f>
        <v>1167</v>
      </c>
      <c r="BC768" s="2205">
        <f>579+582</f>
        <v>1161</v>
      </c>
      <c r="BD768" s="2205">
        <f>559+603</f>
        <v>1162</v>
      </c>
      <c r="BE768" s="2205">
        <f>562+519</f>
        <v>1081</v>
      </c>
      <c r="BF768" s="1704">
        <f>BE768</f>
        <v>1081</v>
      </c>
      <c r="BG768" s="2205">
        <f>499+543</f>
        <v>1042</v>
      </c>
      <c r="BH768" s="2205">
        <f>475+598</f>
        <v>1073</v>
      </c>
      <c r="BI768" s="2205">
        <f>509+714</f>
        <v>1223</v>
      </c>
      <c r="BJ768" s="2205">
        <f>634+692</f>
        <v>1326</v>
      </c>
      <c r="BK768" s="1704">
        <f>BJ768</f>
        <v>1326</v>
      </c>
      <c r="BL768" s="2205">
        <f>557+635</f>
        <v>1192</v>
      </c>
      <c r="BM768" s="2205">
        <f>607+674</f>
        <v>1281</v>
      </c>
      <c r="BN768" s="2205">
        <f>619+735</f>
        <v>1354</v>
      </c>
      <c r="BO768" s="2205">
        <f>548+650</f>
        <v>1198</v>
      </c>
      <c r="BP768" s="1704">
        <f>BO768</f>
        <v>1198</v>
      </c>
      <c r="BQ768" s="2205">
        <f>579+602</f>
        <v>1181</v>
      </c>
      <c r="BR768" s="2205">
        <f>592+633</f>
        <v>1225</v>
      </c>
      <c r="BS768" s="2205">
        <f>594+668</f>
        <v>1262</v>
      </c>
      <c r="BT768" s="2205">
        <f>569+745</f>
        <v>1314</v>
      </c>
      <c r="BU768" s="1704">
        <f>BT768</f>
        <v>1314</v>
      </c>
      <c r="BV768" s="2205">
        <f>517+698</f>
        <v>1215</v>
      </c>
      <c r="BW768" s="2205">
        <f>554+770</f>
        <v>1324</v>
      </c>
      <c r="BX768" s="2205">
        <f>496+733</f>
        <v>1229</v>
      </c>
      <c r="BY768" s="2205">
        <f>557+817</f>
        <v>1374</v>
      </c>
      <c r="BZ768" s="1704">
        <f>BY768</f>
        <v>1374</v>
      </c>
      <c r="CA768" s="2205">
        <f>616+732</f>
        <v>1348</v>
      </c>
      <c r="CB768" s="2205">
        <f>617+771</f>
        <v>1388</v>
      </c>
      <c r="CC768" s="2205">
        <f>612+759</f>
        <v>1371</v>
      </c>
      <c r="CD768" s="2205">
        <f>605+799</f>
        <v>1404</v>
      </c>
      <c r="CE768" s="1704">
        <f>CD768</f>
        <v>1404</v>
      </c>
      <c r="CF768" s="2690">
        <f>604+759</f>
        <v>1363</v>
      </c>
      <c r="CG768" s="2205">
        <f>640+624</f>
        <v>1264</v>
      </c>
      <c r="CH768" s="2205">
        <f>577+779</f>
        <v>1356</v>
      </c>
      <c r="CI768" s="2205">
        <f>593+861</f>
        <v>1454</v>
      </c>
      <c r="CJ768" s="1704">
        <f>CI768</f>
        <v>1454</v>
      </c>
      <c r="CK768" s="2690">
        <f>597+779</f>
        <v>1376</v>
      </c>
      <c r="CL768" s="2205">
        <f>621+756</f>
        <v>1377</v>
      </c>
      <c r="CM768" s="3130">
        <v>1803</v>
      </c>
      <c r="CN768" s="3130">
        <f>687+1174</f>
        <v>1861</v>
      </c>
      <c r="CO768" s="1704">
        <f>CN768</f>
        <v>1861</v>
      </c>
      <c r="CP768" s="3130">
        <f>661+1034</f>
        <v>1695</v>
      </c>
      <c r="CQ768" s="3130">
        <f>650+1054</f>
        <v>1704</v>
      </c>
      <c r="CR768" s="2205">
        <f>1133+733</f>
        <v>1866</v>
      </c>
      <c r="CS768" s="1703">
        <f>CS31/CS4*CS691</f>
        <v>1866</v>
      </c>
      <c r="CT768" s="1704">
        <f>CS768</f>
        <v>1866</v>
      </c>
      <c r="CU768" s="1703">
        <f ca="1">CU31/CU4*CU691</f>
        <v>1866</v>
      </c>
      <c r="CV768" s="1703">
        <f ca="1">CV31/CV4*CV691</f>
        <v>1866</v>
      </c>
      <c r="CW768" s="1703">
        <f ca="1">CW31/CW4*CW691</f>
        <v>1866</v>
      </c>
      <c r="CX768" s="1703">
        <f ca="1">CX31/CX4*CX691</f>
        <v>1866</v>
      </c>
      <c r="CY768" s="1704">
        <f ca="1">CX768</f>
        <v>1866</v>
      </c>
      <c r="CZ768" s="1704">
        <f ca="1">CZ31/CZ4*CZ691</f>
        <v>1866</v>
      </c>
      <c r="DA768" s="1704">
        <f ca="1">DA31/DA4*DA691</f>
        <v>1866</v>
      </c>
      <c r="DB768"/>
      <c r="DC768"/>
      <c r="DD768" s="2314" t="s">
        <v>904</v>
      </c>
      <c r="DE768" s="2292">
        <f>M768</f>
        <v>660</v>
      </c>
      <c r="DF768" s="2292">
        <f>R768</f>
        <v>697</v>
      </c>
      <c r="DG768" s="2292">
        <f>W768</f>
        <v>902</v>
      </c>
      <c r="DH768" s="2292">
        <f>AB768</f>
        <v>584</v>
      </c>
      <c r="DI768" s="2292">
        <f>AG768</f>
        <v>570</v>
      </c>
      <c r="DJ768" s="2292">
        <f>AL768</f>
        <v>591</v>
      </c>
      <c r="DK768" s="2292">
        <f>AQ768</f>
        <v>658</v>
      </c>
      <c r="DL768" s="2292">
        <f>AV768</f>
        <v>789</v>
      </c>
      <c r="DM768" s="2292">
        <f>BA768</f>
        <v>704</v>
      </c>
      <c r="DN768" s="2292">
        <f>BF768</f>
        <v>1081</v>
      </c>
      <c r="DO768" s="2292">
        <f>BK768</f>
        <v>1326</v>
      </c>
      <c r="DP768" s="2292">
        <f>BP768</f>
        <v>1198</v>
      </c>
      <c r="DQ768" s="2292">
        <f>BU768</f>
        <v>1314</v>
      </c>
      <c r="DR768" s="2292">
        <f>BZ768</f>
        <v>1374</v>
      </c>
      <c r="DS768" s="2292">
        <f>CE768</f>
        <v>1404</v>
      </c>
      <c r="DT768" s="2292">
        <f>CJ768</f>
        <v>1454</v>
      </c>
      <c r="DU768" s="2292">
        <f>CO768</f>
        <v>1861</v>
      </c>
      <c r="DV768" s="2292">
        <f>CT768</f>
        <v>1866</v>
      </c>
      <c r="DW768" s="2292">
        <f t="shared" ref="DW768:DY771" ca="1" si="1494">CY768</f>
        <v>1866</v>
      </c>
      <c r="DX768" s="2292">
        <f t="shared" ca="1" si="1494"/>
        <v>1866</v>
      </c>
      <c r="DY768" s="2292">
        <f t="shared" ca="1" si="1494"/>
        <v>1866</v>
      </c>
      <c r="EA768"/>
      <c r="EB768"/>
      <c r="EC768"/>
      <c r="ED768"/>
      <c r="EE768"/>
      <c r="EF768"/>
      <c r="EJ768"/>
      <c r="EK768"/>
      <c r="EL768"/>
      <c r="ER768" s="212"/>
    </row>
    <row r="769" spans="1:148" s="923" customFormat="1" x14ac:dyDescent="0.2">
      <c r="A769" s="507" t="s">
        <v>905</v>
      </c>
      <c r="B769" s="223"/>
      <c r="C769" s="223"/>
      <c r="D769" s="223"/>
      <c r="E769" s="223"/>
      <c r="F769" s="223"/>
      <c r="G769" s="223"/>
      <c r="H769" s="223"/>
      <c r="I769" s="223">
        <v>0</v>
      </c>
      <c r="J769" s="223">
        <v>0</v>
      </c>
      <c r="K769" s="223">
        <v>0</v>
      </c>
      <c r="L769" s="223">
        <v>440</v>
      </c>
      <c r="M769" s="968">
        <f>L769</f>
        <v>440</v>
      </c>
      <c r="N769" s="223">
        <v>0</v>
      </c>
      <c r="O769" s="223">
        <v>0</v>
      </c>
      <c r="P769" s="223">
        <v>0</v>
      </c>
      <c r="Q769" s="223">
        <v>0</v>
      </c>
      <c r="R769" s="968">
        <f>Q769</f>
        <v>0</v>
      </c>
      <c r="S769" s="223">
        <v>0</v>
      </c>
      <c r="T769" s="223">
        <v>0</v>
      </c>
      <c r="U769" s="223">
        <v>0</v>
      </c>
      <c r="V769" s="223">
        <v>0</v>
      </c>
      <c r="W769" s="968">
        <f>V769</f>
        <v>0</v>
      </c>
      <c r="X769" s="223">
        <v>0</v>
      </c>
      <c r="Y769" s="223">
        <v>0</v>
      </c>
      <c r="Z769" s="223">
        <v>0</v>
      </c>
      <c r="AA769" s="223">
        <v>0</v>
      </c>
      <c r="AB769" s="968">
        <f>AA769</f>
        <v>0</v>
      </c>
      <c r="AC769" s="223">
        <v>0</v>
      </c>
      <c r="AD769" s="223">
        <v>0</v>
      </c>
      <c r="AE769" s="223">
        <v>0</v>
      </c>
      <c r="AF769" s="223">
        <v>0</v>
      </c>
      <c r="AG769" s="968">
        <f>AF769</f>
        <v>0</v>
      </c>
      <c r="AH769" s="223">
        <v>0</v>
      </c>
      <c r="AI769" s="223">
        <v>0</v>
      </c>
      <c r="AJ769" s="223">
        <v>0</v>
      </c>
      <c r="AK769" s="223">
        <v>0</v>
      </c>
      <c r="AL769" s="968">
        <f>AK769</f>
        <v>0</v>
      </c>
      <c r="AM769" s="223">
        <v>0</v>
      </c>
      <c r="AN769" s="223">
        <v>0</v>
      </c>
      <c r="AO769" s="223">
        <v>0</v>
      </c>
      <c r="AP769" s="223">
        <v>0</v>
      </c>
      <c r="AQ769" s="968">
        <f>AP769</f>
        <v>0</v>
      </c>
      <c r="AR769" s="223">
        <v>0</v>
      </c>
      <c r="AS769" s="223">
        <v>319</v>
      </c>
      <c r="AT769" s="223">
        <v>112</v>
      </c>
      <c r="AU769" s="223">
        <v>0</v>
      </c>
      <c r="AV769" s="968">
        <f>AU769</f>
        <v>0</v>
      </c>
      <c r="AW769" s="223">
        <v>0</v>
      </c>
      <c r="AX769" s="223">
        <v>0</v>
      </c>
      <c r="AY769" s="223">
        <v>0</v>
      </c>
      <c r="AZ769" s="223">
        <v>0</v>
      </c>
      <c r="BA769" s="968">
        <f>AZ769</f>
        <v>0</v>
      </c>
      <c r="BB769" s="223">
        <v>0</v>
      </c>
      <c r="BC769" s="223">
        <v>0</v>
      </c>
      <c r="BD769" s="223">
        <v>0</v>
      </c>
      <c r="BE769" s="223">
        <v>0</v>
      </c>
      <c r="BF769" s="968">
        <f>BE769</f>
        <v>0</v>
      </c>
      <c r="BG769" s="223">
        <v>0</v>
      </c>
      <c r="BH769" s="223">
        <v>0</v>
      </c>
      <c r="BI769" s="223">
        <v>0</v>
      </c>
      <c r="BJ769" s="223">
        <v>0</v>
      </c>
      <c r="BK769" s="968">
        <f>BJ769</f>
        <v>0</v>
      </c>
      <c r="BL769" s="223">
        <v>0</v>
      </c>
      <c r="BM769" s="223">
        <v>0</v>
      </c>
      <c r="BN769" s="223">
        <v>0</v>
      </c>
      <c r="BO769" s="223">
        <v>0</v>
      </c>
      <c r="BP769" s="968">
        <f>BO769</f>
        <v>0</v>
      </c>
      <c r="BQ769" s="223">
        <v>0</v>
      </c>
      <c r="BR769" s="223">
        <v>0</v>
      </c>
      <c r="BS769" s="223">
        <v>0</v>
      </c>
      <c r="BT769" s="223">
        <v>0</v>
      </c>
      <c r="BU769" s="968">
        <f>BT769</f>
        <v>0</v>
      </c>
      <c r="BV769" s="223">
        <v>0</v>
      </c>
      <c r="BW769" s="223">
        <v>0</v>
      </c>
      <c r="BX769" s="223">
        <v>0</v>
      </c>
      <c r="BY769" s="223">
        <v>0</v>
      </c>
      <c r="BZ769" s="968">
        <f>BY769</f>
        <v>0</v>
      </c>
      <c r="CA769" s="223">
        <v>0</v>
      </c>
      <c r="CB769" s="223">
        <v>0</v>
      </c>
      <c r="CC769" s="223">
        <v>0</v>
      </c>
      <c r="CD769" s="223">
        <v>0</v>
      </c>
      <c r="CE769" s="968">
        <f>CD769</f>
        <v>0</v>
      </c>
      <c r="CF769" s="2687">
        <v>0</v>
      </c>
      <c r="CG769" s="223">
        <v>0</v>
      </c>
      <c r="CH769" s="223">
        <v>0</v>
      </c>
      <c r="CI769" s="223">
        <v>0</v>
      </c>
      <c r="CJ769" s="968">
        <f>CI769</f>
        <v>0</v>
      </c>
      <c r="CK769" s="2687">
        <v>0</v>
      </c>
      <c r="CL769" s="223">
        <v>0</v>
      </c>
      <c r="CM769" s="2880">
        <v>0</v>
      </c>
      <c r="CN769" s="2880">
        <v>0</v>
      </c>
      <c r="CO769" s="968">
        <f>CN769</f>
        <v>0</v>
      </c>
      <c r="CP769" s="2880">
        <v>0</v>
      </c>
      <c r="CQ769" s="2880">
        <v>0</v>
      </c>
      <c r="CR769" s="223">
        <v>0</v>
      </c>
      <c r="CS769" s="215">
        <f>CR769+CS701</f>
        <v>37</v>
      </c>
      <c r="CT769" s="968">
        <f>CS769</f>
        <v>37</v>
      </c>
      <c r="CU769" s="215">
        <f>CT769+CU701</f>
        <v>65</v>
      </c>
      <c r="CV769" s="215">
        <f>CU769+CV701</f>
        <v>-166</v>
      </c>
      <c r="CW769" s="215">
        <f>CV769+CW701</f>
        <v>-138</v>
      </c>
      <c r="CX769" s="215">
        <f>CW769+CX701</f>
        <v>-110</v>
      </c>
      <c r="CY769" s="968">
        <f>CX769</f>
        <v>-110</v>
      </c>
      <c r="CZ769" s="968">
        <f>CY769+CZ701</f>
        <v>2</v>
      </c>
      <c r="DA769" s="968">
        <f>CZ769+DA701</f>
        <v>150</v>
      </c>
      <c r="DB769"/>
      <c r="DC769"/>
      <c r="DD769" s="2295" t="s">
        <v>905</v>
      </c>
      <c r="DE769" s="2290">
        <f>M769</f>
        <v>440</v>
      </c>
      <c r="DF769" s="2290">
        <f>R769</f>
        <v>0</v>
      </c>
      <c r="DG769" s="2290">
        <f>W769</f>
        <v>0</v>
      </c>
      <c r="DH769" s="2290">
        <f>AB769</f>
        <v>0</v>
      </c>
      <c r="DI769" s="2290">
        <f>AG769</f>
        <v>0</v>
      </c>
      <c r="DJ769" s="2290">
        <f>AL769</f>
        <v>0</v>
      </c>
      <c r="DK769" s="2290">
        <f>AQ769</f>
        <v>0</v>
      </c>
      <c r="DL769" s="2290">
        <f>AV769</f>
        <v>0</v>
      </c>
      <c r="DM769" s="2290">
        <f>BA769</f>
        <v>0</v>
      </c>
      <c r="DN769" s="2290">
        <f>BF769</f>
        <v>0</v>
      </c>
      <c r="DO769" s="2290">
        <f>BK769</f>
        <v>0</v>
      </c>
      <c r="DP769" s="2290">
        <f>BP769</f>
        <v>0</v>
      </c>
      <c r="DQ769" s="2290">
        <f>BU769</f>
        <v>0</v>
      </c>
      <c r="DR769" s="2290">
        <f>BZ769</f>
        <v>0</v>
      </c>
      <c r="DS769" s="2290">
        <f>CE769</f>
        <v>0</v>
      </c>
      <c r="DT769" s="2290">
        <f>CJ769</f>
        <v>0</v>
      </c>
      <c r="DU769" s="2290">
        <f>CO769</f>
        <v>0</v>
      </c>
      <c r="DV769" s="2290">
        <f>CT769</f>
        <v>37</v>
      </c>
      <c r="DW769" s="2290">
        <f t="shared" si="1494"/>
        <v>-110</v>
      </c>
      <c r="DX769" s="2290">
        <f t="shared" si="1494"/>
        <v>2</v>
      </c>
      <c r="DY769" s="2290">
        <f t="shared" si="1494"/>
        <v>150</v>
      </c>
      <c r="EA769"/>
      <c r="EB769"/>
      <c r="EC769"/>
      <c r="ED769"/>
      <c r="EE769"/>
      <c r="EF769"/>
      <c r="EJ769"/>
      <c r="EK769"/>
      <c r="EL769"/>
      <c r="EM769" s="1703"/>
      <c r="ER769" s="212"/>
    </row>
    <row r="770" spans="1:148" s="923" customFormat="1" x14ac:dyDescent="0.2">
      <c r="A770" s="1131" t="s">
        <v>1931</v>
      </c>
      <c r="B770" s="222"/>
      <c r="C770" s="222"/>
      <c r="D770" s="222"/>
      <c r="E770" s="222"/>
      <c r="F770" s="222"/>
      <c r="G770" s="222"/>
      <c r="H770" s="222"/>
      <c r="I770" s="222">
        <v>1030</v>
      </c>
      <c r="J770" s="222">
        <v>1045</v>
      </c>
      <c r="K770" s="222">
        <v>922</v>
      </c>
      <c r="L770" s="222">
        <v>776</v>
      </c>
      <c r="M770" s="970">
        <v>776</v>
      </c>
      <c r="N770" s="222">
        <v>687</v>
      </c>
      <c r="O770" s="222">
        <v>742</v>
      </c>
      <c r="P770" s="222">
        <v>798</v>
      </c>
      <c r="Q770" s="222">
        <v>942</v>
      </c>
      <c r="R770" s="970">
        <v>942</v>
      </c>
      <c r="S770" s="222">
        <v>865</v>
      </c>
      <c r="T770" s="222">
        <v>1043</v>
      </c>
      <c r="U770" s="222">
        <v>1110</v>
      </c>
      <c r="V770" s="222">
        <v>1063</v>
      </c>
      <c r="W770" s="970">
        <v>1063</v>
      </c>
      <c r="X770" s="222">
        <v>1168</v>
      </c>
      <c r="Y770" s="222">
        <v>1114</v>
      </c>
      <c r="Z770" s="222">
        <v>1108</v>
      </c>
      <c r="AA770" s="222">
        <v>1122</v>
      </c>
      <c r="AB770" s="970">
        <v>1122</v>
      </c>
      <c r="AC770" s="222">
        <v>1043</v>
      </c>
      <c r="AD770" s="222">
        <v>1131</v>
      </c>
      <c r="AE770" s="222">
        <v>1191</v>
      </c>
      <c r="AF770" s="222">
        <f>508+71+416+302</f>
        <v>1297</v>
      </c>
      <c r="AG770" s="970">
        <f>AF770</f>
        <v>1297</v>
      </c>
      <c r="AH770" s="222">
        <f>392+77+394+303</f>
        <v>1166</v>
      </c>
      <c r="AI770" s="222">
        <f>445+79+436+302</f>
        <v>1262</v>
      </c>
      <c r="AJ770" s="222">
        <f>487+303+78+30+447</f>
        <v>1345</v>
      </c>
      <c r="AK770" s="222">
        <f>559+317+84+30+355</f>
        <v>1345</v>
      </c>
      <c r="AL770" s="970">
        <f>AK770</f>
        <v>1345</v>
      </c>
      <c r="AM770" s="222">
        <f>425+321+114+209+479</f>
        <v>1548</v>
      </c>
      <c r="AN770" s="222">
        <f>486+320+98+248+480</f>
        <v>1632</v>
      </c>
      <c r="AO770" s="222">
        <f>518+322+91+256+559</f>
        <v>1746</v>
      </c>
      <c r="AP770" s="222">
        <f>615+384+102+178+570</f>
        <v>1849</v>
      </c>
      <c r="AQ770" s="970">
        <f>AP770</f>
        <v>1849</v>
      </c>
      <c r="AR770" s="222">
        <f>462+383+90+144</f>
        <v>1079</v>
      </c>
      <c r="AS770" s="222">
        <f>498+383+105+142</f>
        <v>1128</v>
      </c>
      <c r="AT770" s="222">
        <f>383+10+157+785</f>
        <v>1335</v>
      </c>
      <c r="AU770" s="222">
        <f>642+421+101+735+13</f>
        <v>1912</v>
      </c>
      <c r="AV770" s="970">
        <f>AU770</f>
        <v>1912</v>
      </c>
      <c r="AW770" s="222">
        <f>490+425+143+13+802</f>
        <v>1873</v>
      </c>
      <c r="AX770" s="222">
        <f>546+428+157+4+768</f>
        <v>1903</v>
      </c>
      <c r="AY770" s="222">
        <f>562+429+162+3+809</f>
        <v>1965</v>
      </c>
      <c r="AZ770" s="222">
        <f>633+446+70+560</f>
        <v>1709</v>
      </c>
      <c r="BA770" s="970">
        <f>AZ770</f>
        <v>1709</v>
      </c>
      <c r="BB770" s="222">
        <f>442+65+589</f>
        <v>1096</v>
      </c>
      <c r="BC770" s="222">
        <f>440+70+598</f>
        <v>1108</v>
      </c>
      <c r="BD770" s="222">
        <f>438+75+679</f>
        <v>1192</v>
      </c>
      <c r="BE770" s="222">
        <f>454+688</f>
        <v>1142</v>
      </c>
      <c r="BF770" s="970">
        <f>BE770</f>
        <v>1142</v>
      </c>
      <c r="BG770" s="222">
        <f>457+669</f>
        <v>1126</v>
      </c>
      <c r="BH770" s="222">
        <f>457+679</f>
        <v>1136</v>
      </c>
      <c r="BI770" s="222">
        <f>456+691</f>
        <v>1147</v>
      </c>
      <c r="BJ770" s="222">
        <f>486+551</f>
        <v>1037</v>
      </c>
      <c r="BK770" s="970">
        <f>BJ770</f>
        <v>1037</v>
      </c>
      <c r="BL770" s="222">
        <f>486+608</f>
        <v>1094</v>
      </c>
      <c r="BM770" s="222">
        <f>487+667</f>
        <v>1154</v>
      </c>
      <c r="BN770" s="222">
        <f>487+779</f>
        <v>1266</v>
      </c>
      <c r="BO770" s="222">
        <f>514+491</f>
        <v>1005</v>
      </c>
      <c r="BP770" s="970">
        <f>BO770</f>
        <v>1005</v>
      </c>
      <c r="BQ770" s="222">
        <f>506+464</f>
        <v>970</v>
      </c>
      <c r="BR770" s="222">
        <f>508+502</f>
        <v>1010</v>
      </c>
      <c r="BS770" s="222">
        <f>514+506</f>
        <v>1020</v>
      </c>
      <c r="BT770" s="222">
        <f>593+459</f>
        <v>1052</v>
      </c>
      <c r="BU770" s="970">
        <f>BT770</f>
        <v>1052</v>
      </c>
      <c r="BV770" s="222">
        <f>590+504</f>
        <v>1094</v>
      </c>
      <c r="BW770" s="222">
        <f>586+507</f>
        <v>1093</v>
      </c>
      <c r="BX770" s="222">
        <f>583+558</f>
        <v>1141</v>
      </c>
      <c r="BY770" s="222">
        <f>666+629-46</f>
        <v>1249</v>
      </c>
      <c r="BZ770" s="970">
        <f>BY770</f>
        <v>1249</v>
      </c>
      <c r="CA770" s="222">
        <f>661+580</f>
        <v>1241</v>
      </c>
      <c r="CB770" s="222">
        <f>659+636</f>
        <v>1295</v>
      </c>
      <c r="CC770" s="222">
        <f>657+703</f>
        <v>1360</v>
      </c>
      <c r="CD770" s="222">
        <f>677+655</f>
        <v>1332</v>
      </c>
      <c r="CE770" s="970">
        <f>CD770</f>
        <v>1332</v>
      </c>
      <c r="CF770" s="2688">
        <f>675+667</f>
        <v>1342</v>
      </c>
      <c r="CG770" s="222">
        <f>806+833</f>
        <v>1639</v>
      </c>
      <c r="CH770" s="222">
        <f>930+608</f>
        <v>1538</v>
      </c>
      <c r="CI770" s="222">
        <f>952+527</f>
        <v>1479</v>
      </c>
      <c r="CJ770" s="970">
        <f>CI770</f>
        <v>1479</v>
      </c>
      <c r="CK770" s="2688">
        <f>1013+558</f>
        <v>1571</v>
      </c>
      <c r="CL770" s="222">
        <f>992+572</f>
        <v>1564</v>
      </c>
      <c r="CM770" s="3376">
        <v>3110</v>
      </c>
      <c r="CN770" s="3376">
        <f>1866+1111</f>
        <v>2977</v>
      </c>
      <c r="CO770" s="970">
        <f>CN770</f>
        <v>2977</v>
      </c>
      <c r="CP770" s="3376">
        <f>1948+1271</f>
        <v>3219</v>
      </c>
      <c r="CQ770" s="3376">
        <f>1948+1309</f>
        <v>3257</v>
      </c>
      <c r="CR770" s="222">
        <f>1959+1385</f>
        <v>3344</v>
      </c>
      <c r="CS770" s="216">
        <f>CR770</f>
        <v>3344</v>
      </c>
      <c r="CT770" s="970">
        <f>CS770</f>
        <v>3344</v>
      </c>
      <c r="CU770" s="216">
        <f>CT770+CU703</f>
        <v>3444</v>
      </c>
      <c r="CV770" s="216">
        <f>CU770+CV703</f>
        <v>3544</v>
      </c>
      <c r="CW770" s="216">
        <f>CV770+CW703</f>
        <v>3644</v>
      </c>
      <c r="CX770" s="216">
        <f>CW770+CX703</f>
        <v>3744</v>
      </c>
      <c r="CY770" s="970">
        <f>CX770</f>
        <v>3744</v>
      </c>
      <c r="CZ770" s="970">
        <f>CY770+CZ703</f>
        <v>4144</v>
      </c>
      <c r="DA770" s="970">
        <f>CZ770+DA703</f>
        <v>4544</v>
      </c>
      <c r="DB770"/>
      <c r="DC770"/>
      <c r="DD770" s="1131" t="s">
        <v>1931</v>
      </c>
      <c r="DE770" s="970">
        <f>M770</f>
        <v>776</v>
      </c>
      <c r="DF770" s="970">
        <f>R770</f>
        <v>942</v>
      </c>
      <c r="DG770" s="970">
        <f>W770</f>
        <v>1063</v>
      </c>
      <c r="DH770" s="970">
        <f>AB770</f>
        <v>1122</v>
      </c>
      <c r="DI770" s="970">
        <f>AG770</f>
        <v>1297</v>
      </c>
      <c r="DJ770" s="970">
        <f>AL770</f>
        <v>1345</v>
      </c>
      <c r="DK770" s="970">
        <f>AQ770</f>
        <v>1849</v>
      </c>
      <c r="DL770" s="970">
        <f>AV770</f>
        <v>1912</v>
      </c>
      <c r="DM770" s="970">
        <f>BA770</f>
        <v>1709</v>
      </c>
      <c r="DN770" s="970">
        <f>BF770</f>
        <v>1142</v>
      </c>
      <c r="DO770" s="970">
        <f>BK770</f>
        <v>1037</v>
      </c>
      <c r="DP770" s="970">
        <f>BP770</f>
        <v>1005</v>
      </c>
      <c r="DQ770" s="970">
        <f>BU770</f>
        <v>1052</v>
      </c>
      <c r="DR770" s="970">
        <f>BZ770</f>
        <v>1249</v>
      </c>
      <c r="DS770" s="970">
        <f>CE770</f>
        <v>1332</v>
      </c>
      <c r="DT770" s="970">
        <f>CJ770</f>
        <v>1479</v>
      </c>
      <c r="DU770" s="970">
        <f>CO770</f>
        <v>2977</v>
      </c>
      <c r="DV770" s="970">
        <f>CT770</f>
        <v>3344</v>
      </c>
      <c r="DW770" s="970">
        <f t="shared" si="1494"/>
        <v>3744</v>
      </c>
      <c r="DX770" s="970">
        <f t="shared" si="1494"/>
        <v>4144</v>
      </c>
      <c r="DY770" s="970">
        <f t="shared" si="1494"/>
        <v>4544</v>
      </c>
      <c r="EA770"/>
      <c r="EB770"/>
      <c r="EC770"/>
      <c r="ED770"/>
      <c r="EE770"/>
      <c r="EF770"/>
      <c r="EJ770"/>
      <c r="EK770"/>
      <c r="EL770"/>
      <c r="EM770" s="1703"/>
      <c r="ER770" s="212"/>
    </row>
    <row r="771" spans="1:148" s="1703" customFormat="1" x14ac:dyDescent="0.2">
      <c r="A771" s="1970" t="s">
        <v>758</v>
      </c>
      <c r="B771" s="1730"/>
      <c r="C771" s="1730"/>
      <c r="D771" s="1730"/>
      <c r="E771" s="1730"/>
      <c r="F771" s="1730"/>
      <c r="G771" s="1730"/>
      <c r="H771" s="1730"/>
      <c r="I771" s="1730">
        <f t="shared" ref="I771:AN771" si="1495">SUM(I768:I770)</f>
        <v>1680</v>
      </c>
      <c r="J771" s="1730">
        <f t="shared" si="1495"/>
        <v>1606</v>
      </c>
      <c r="K771" s="1730">
        <f t="shared" si="1495"/>
        <v>1486</v>
      </c>
      <c r="L771" s="1730">
        <f t="shared" si="1495"/>
        <v>1876</v>
      </c>
      <c r="M771" s="1729">
        <f t="shared" si="1495"/>
        <v>1876</v>
      </c>
      <c r="N771" s="1730">
        <f t="shared" si="1495"/>
        <v>1362</v>
      </c>
      <c r="O771" s="1730">
        <f t="shared" si="1495"/>
        <v>1450</v>
      </c>
      <c r="P771" s="1730">
        <f t="shared" si="1495"/>
        <v>1530</v>
      </c>
      <c r="Q771" s="1730">
        <f t="shared" si="1495"/>
        <v>1639</v>
      </c>
      <c r="R771" s="1729">
        <f t="shared" si="1495"/>
        <v>1639</v>
      </c>
      <c r="S771" s="1730">
        <f t="shared" si="1495"/>
        <v>1523</v>
      </c>
      <c r="T771" s="1730">
        <f t="shared" si="1495"/>
        <v>1741</v>
      </c>
      <c r="U771" s="1730">
        <f t="shared" si="1495"/>
        <v>1757</v>
      </c>
      <c r="V771" s="1730">
        <f t="shared" si="1495"/>
        <v>1965</v>
      </c>
      <c r="W771" s="1729">
        <f t="shared" si="1495"/>
        <v>1965</v>
      </c>
      <c r="X771" s="1730">
        <f t="shared" si="1495"/>
        <v>1636</v>
      </c>
      <c r="Y771" s="1730">
        <f t="shared" si="1495"/>
        <v>1583</v>
      </c>
      <c r="Z771" s="1730">
        <f t="shared" si="1495"/>
        <v>1624</v>
      </c>
      <c r="AA771" s="1730">
        <f t="shared" si="1495"/>
        <v>1706</v>
      </c>
      <c r="AB771" s="1729">
        <f t="shared" si="1495"/>
        <v>1706</v>
      </c>
      <c r="AC771" s="1730">
        <f t="shared" si="1495"/>
        <v>1651</v>
      </c>
      <c r="AD771" s="1730">
        <f t="shared" si="1495"/>
        <v>1700</v>
      </c>
      <c r="AE771" s="1730">
        <f t="shared" si="1495"/>
        <v>1765</v>
      </c>
      <c r="AF771" s="1730">
        <f t="shared" si="1495"/>
        <v>1867</v>
      </c>
      <c r="AG771" s="1729">
        <f t="shared" si="1495"/>
        <v>1867</v>
      </c>
      <c r="AH771" s="1730">
        <f t="shared" si="1495"/>
        <v>1755</v>
      </c>
      <c r="AI771" s="1730">
        <f t="shared" si="1495"/>
        <v>1884</v>
      </c>
      <c r="AJ771" s="1730">
        <f t="shared" si="1495"/>
        <v>1955</v>
      </c>
      <c r="AK771" s="1730">
        <f t="shared" si="1495"/>
        <v>1936</v>
      </c>
      <c r="AL771" s="1729">
        <f t="shared" si="1495"/>
        <v>1936</v>
      </c>
      <c r="AM771" s="1730">
        <f t="shared" si="1495"/>
        <v>2220</v>
      </c>
      <c r="AN771" s="1730">
        <f t="shared" si="1495"/>
        <v>2261</v>
      </c>
      <c r="AO771" s="1730">
        <f t="shared" ref="AO771:BT771" si="1496">SUM(AO768:AO770)</f>
        <v>2357</v>
      </c>
      <c r="AP771" s="1730">
        <f t="shared" si="1496"/>
        <v>2507</v>
      </c>
      <c r="AQ771" s="1729">
        <f t="shared" si="1496"/>
        <v>2507</v>
      </c>
      <c r="AR771" s="1730">
        <f t="shared" si="1496"/>
        <v>2437</v>
      </c>
      <c r="AS771" s="1730">
        <f t="shared" si="1496"/>
        <v>2887</v>
      </c>
      <c r="AT771" s="1730">
        <f t="shared" si="1496"/>
        <v>2681</v>
      </c>
      <c r="AU771" s="1730">
        <f t="shared" si="1496"/>
        <v>2701</v>
      </c>
      <c r="AV771" s="1729">
        <f t="shared" si="1496"/>
        <v>2701</v>
      </c>
      <c r="AW771" s="1730">
        <f t="shared" si="1496"/>
        <v>2509</v>
      </c>
      <c r="AX771" s="1730">
        <f t="shared" si="1496"/>
        <v>2518</v>
      </c>
      <c r="AY771" s="1730">
        <f t="shared" si="1496"/>
        <v>2622</v>
      </c>
      <c r="AZ771" s="1730">
        <f t="shared" si="1496"/>
        <v>2413</v>
      </c>
      <c r="BA771" s="1729">
        <f t="shared" si="1496"/>
        <v>2413</v>
      </c>
      <c r="BB771" s="1730">
        <f t="shared" si="1496"/>
        <v>2263</v>
      </c>
      <c r="BC771" s="1730">
        <f t="shared" si="1496"/>
        <v>2269</v>
      </c>
      <c r="BD771" s="1730">
        <f t="shared" si="1496"/>
        <v>2354</v>
      </c>
      <c r="BE771" s="1730">
        <f t="shared" si="1496"/>
        <v>2223</v>
      </c>
      <c r="BF771" s="1729">
        <f t="shared" si="1496"/>
        <v>2223</v>
      </c>
      <c r="BG771" s="1730">
        <f t="shared" si="1496"/>
        <v>2168</v>
      </c>
      <c r="BH771" s="1730">
        <f t="shared" si="1496"/>
        <v>2209</v>
      </c>
      <c r="BI771" s="1730">
        <f t="shared" si="1496"/>
        <v>2370</v>
      </c>
      <c r="BJ771" s="1730">
        <f t="shared" si="1496"/>
        <v>2363</v>
      </c>
      <c r="BK771" s="1729">
        <f t="shared" si="1496"/>
        <v>2363</v>
      </c>
      <c r="BL771" s="1730">
        <f t="shared" si="1496"/>
        <v>2286</v>
      </c>
      <c r="BM771" s="1730">
        <f t="shared" si="1496"/>
        <v>2435</v>
      </c>
      <c r="BN771" s="1730">
        <f t="shared" si="1496"/>
        <v>2620</v>
      </c>
      <c r="BO771" s="1730">
        <f t="shared" si="1496"/>
        <v>2203</v>
      </c>
      <c r="BP771" s="1729">
        <f t="shared" si="1496"/>
        <v>2203</v>
      </c>
      <c r="BQ771" s="1730">
        <f t="shared" si="1496"/>
        <v>2151</v>
      </c>
      <c r="BR771" s="1730">
        <f t="shared" si="1496"/>
        <v>2235</v>
      </c>
      <c r="BS771" s="1730">
        <f t="shared" si="1496"/>
        <v>2282</v>
      </c>
      <c r="BT771" s="1730">
        <f t="shared" si="1496"/>
        <v>2366</v>
      </c>
      <c r="BU771" s="1729">
        <f t="shared" ref="BU771:CZ771" si="1497">SUM(BU768:BU770)</f>
        <v>2366</v>
      </c>
      <c r="BV771" s="1730">
        <f t="shared" si="1497"/>
        <v>2309</v>
      </c>
      <c r="BW771" s="1730">
        <f t="shared" si="1497"/>
        <v>2417</v>
      </c>
      <c r="BX771" s="1730">
        <f t="shared" si="1497"/>
        <v>2370</v>
      </c>
      <c r="BY771" s="1730">
        <f t="shared" si="1497"/>
        <v>2623</v>
      </c>
      <c r="BZ771" s="1729">
        <f t="shared" si="1497"/>
        <v>2623</v>
      </c>
      <c r="CA771" s="1730">
        <f t="shared" si="1497"/>
        <v>2589</v>
      </c>
      <c r="CB771" s="1730">
        <f t="shared" si="1497"/>
        <v>2683</v>
      </c>
      <c r="CC771" s="1730">
        <f t="shared" si="1497"/>
        <v>2731</v>
      </c>
      <c r="CD771" s="1826">
        <f t="shared" si="1497"/>
        <v>2736</v>
      </c>
      <c r="CE771" s="1729">
        <f t="shared" si="1497"/>
        <v>2736</v>
      </c>
      <c r="CF771" s="2689">
        <f t="shared" si="1497"/>
        <v>2705</v>
      </c>
      <c r="CG771" s="1730">
        <f t="shared" si="1497"/>
        <v>2903</v>
      </c>
      <c r="CH771" s="1730">
        <f t="shared" si="1497"/>
        <v>2894</v>
      </c>
      <c r="CI771" s="1826">
        <f t="shared" si="1497"/>
        <v>2933</v>
      </c>
      <c r="CJ771" s="1729">
        <f t="shared" si="1497"/>
        <v>2933</v>
      </c>
      <c r="CK771" s="2689">
        <f t="shared" si="1497"/>
        <v>2947</v>
      </c>
      <c r="CL771" s="1730">
        <f t="shared" si="1497"/>
        <v>2941</v>
      </c>
      <c r="CM771" s="1730">
        <f t="shared" si="1497"/>
        <v>4913</v>
      </c>
      <c r="CN771" s="1826">
        <f t="shared" si="1497"/>
        <v>4838</v>
      </c>
      <c r="CO771" s="1729">
        <f t="shared" si="1497"/>
        <v>4838</v>
      </c>
      <c r="CP771" s="1730">
        <f t="shared" si="1497"/>
        <v>4914</v>
      </c>
      <c r="CQ771" s="1730">
        <f t="shared" si="1497"/>
        <v>4961</v>
      </c>
      <c r="CR771" s="1730">
        <f t="shared" si="1497"/>
        <v>5210</v>
      </c>
      <c r="CS771" s="1730">
        <f t="shared" si="1497"/>
        <v>5247</v>
      </c>
      <c r="CT771" s="1729">
        <f t="shared" si="1497"/>
        <v>5247</v>
      </c>
      <c r="CU771" s="1730">
        <f t="shared" ca="1" si="1497"/>
        <v>5375</v>
      </c>
      <c r="CV771" s="1730">
        <f t="shared" ca="1" si="1497"/>
        <v>5244</v>
      </c>
      <c r="CW771" s="1730">
        <f t="shared" ca="1" si="1497"/>
        <v>5372</v>
      </c>
      <c r="CX771" s="1730">
        <f t="shared" ca="1" si="1497"/>
        <v>5500</v>
      </c>
      <c r="CY771" s="1729">
        <f t="shared" ca="1" si="1497"/>
        <v>5500</v>
      </c>
      <c r="CZ771" s="1729">
        <f t="shared" ca="1" si="1497"/>
        <v>6012</v>
      </c>
      <c r="DA771" s="1729">
        <f ca="1">SUM(DA768:DA770)</f>
        <v>6560</v>
      </c>
      <c r="DB771"/>
      <c r="DC771"/>
      <c r="DD771" s="1970" t="s">
        <v>758</v>
      </c>
      <c r="DE771" s="1729">
        <f>M771</f>
        <v>1876</v>
      </c>
      <c r="DF771" s="1729">
        <f>R771</f>
        <v>1639</v>
      </c>
      <c r="DG771" s="1729">
        <f>W771</f>
        <v>1965</v>
      </c>
      <c r="DH771" s="1729">
        <f>AB771</f>
        <v>1706</v>
      </c>
      <c r="DI771" s="1729">
        <f>AG771</f>
        <v>1867</v>
      </c>
      <c r="DJ771" s="1729">
        <f>AL771</f>
        <v>1936</v>
      </c>
      <c r="DK771" s="1729">
        <f>AQ771</f>
        <v>2507</v>
      </c>
      <c r="DL771" s="1729">
        <f>AV771</f>
        <v>2701</v>
      </c>
      <c r="DM771" s="1729">
        <f>BA771</f>
        <v>2413</v>
      </c>
      <c r="DN771" s="1729">
        <f>BF771</f>
        <v>2223</v>
      </c>
      <c r="DO771" s="1729">
        <f>BK771</f>
        <v>2363</v>
      </c>
      <c r="DP771" s="1729">
        <f>BP771</f>
        <v>2203</v>
      </c>
      <c r="DQ771" s="1729">
        <f>BU771</f>
        <v>2366</v>
      </c>
      <c r="DR771" s="1729">
        <f>BZ771</f>
        <v>2623</v>
      </c>
      <c r="DS771" s="1729">
        <f>CE771</f>
        <v>2736</v>
      </c>
      <c r="DT771" s="1729">
        <f>CJ771</f>
        <v>2933</v>
      </c>
      <c r="DU771" s="1729">
        <f>CO771</f>
        <v>4838</v>
      </c>
      <c r="DV771" s="1729">
        <f>CT771</f>
        <v>5247</v>
      </c>
      <c r="DW771" s="1729">
        <f t="shared" ca="1" si="1494"/>
        <v>5500</v>
      </c>
      <c r="DX771" s="1729">
        <f t="shared" ca="1" si="1494"/>
        <v>6012</v>
      </c>
      <c r="DY771" s="1729">
        <f t="shared" ca="1" si="1494"/>
        <v>6560</v>
      </c>
      <c r="EA771"/>
      <c r="EB771"/>
      <c r="EC771"/>
      <c r="ED771"/>
      <c r="EE771"/>
      <c r="EF771"/>
      <c r="EJ771"/>
      <c r="EK771"/>
      <c r="EL771"/>
      <c r="ER771" s="212"/>
    </row>
    <row r="772" spans="1:148" s="923" customFormat="1" x14ac:dyDescent="0.2">
      <c r="A772" s="504"/>
      <c r="B772" s="215"/>
      <c r="C772" s="215"/>
      <c r="D772" s="215"/>
      <c r="E772" s="215"/>
      <c r="F772" s="215"/>
      <c r="G772" s="215"/>
      <c r="H772" s="215"/>
      <c r="I772" s="215"/>
      <c r="J772" s="215"/>
      <c r="K772" s="215"/>
      <c r="L772" s="215"/>
      <c r="M772" s="968"/>
      <c r="N772" s="215"/>
      <c r="O772" s="215"/>
      <c r="P772" s="215"/>
      <c r="Q772" s="215"/>
      <c r="R772" s="968"/>
      <c r="S772" s="215"/>
      <c r="T772" s="215"/>
      <c r="U772" s="215"/>
      <c r="V772" s="215"/>
      <c r="W772" s="968"/>
      <c r="X772" s="215"/>
      <c r="Y772" s="215"/>
      <c r="Z772" s="215"/>
      <c r="AA772" s="215"/>
      <c r="AB772" s="968"/>
      <c r="AC772" s="215"/>
      <c r="AD772" s="215"/>
      <c r="AE772" s="215"/>
      <c r="AF772" s="215"/>
      <c r="AG772" s="968"/>
      <c r="AH772" s="215"/>
      <c r="AI772" s="215"/>
      <c r="AJ772" s="215"/>
      <c r="AK772" s="215"/>
      <c r="AL772" s="968"/>
      <c r="AM772" s="215"/>
      <c r="AN772" s="215"/>
      <c r="AO772" s="215"/>
      <c r="AP772" s="215"/>
      <c r="AQ772" s="968"/>
      <c r="AR772" s="215"/>
      <c r="AS772" s="215"/>
      <c r="AT772" s="215"/>
      <c r="AU772" s="215"/>
      <c r="AV772" s="968"/>
      <c r="AW772" s="215"/>
      <c r="AX772" s="215"/>
      <c r="AY772" s="215"/>
      <c r="AZ772" s="215"/>
      <c r="BA772" s="968"/>
      <c r="BB772" s="215"/>
      <c r="BC772" s="215"/>
      <c r="BD772" s="215"/>
      <c r="BE772" s="215"/>
      <c r="BF772" s="968"/>
      <c r="BG772" s="215"/>
      <c r="BH772" s="215"/>
      <c r="BI772" s="215"/>
      <c r="BJ772" s="215"/>
      <c r="BK772" s="968"/>
      <c r="BL772" s="215"/>
      <c r="BM772" s="215"/>
      <c r="BN772" s="215"/>
      <c r="BO772" s="215"/>
      <c r="BP772" s="968"/>
      <c r="BQ772" s="215"/>
      <c r="BR772" s="215"/>
      <c r="BS772" s="215"/>
      <c r="BT772" s="215"/>
      <c r="BU772" s="968"/>
      <c r="BV772" s="215"/>
      <c r="BW772" s="215"/>
      <c r="BX772" s="215"/>
      <c r="BY772" s="215"/>
      <c r="BZ772" s="968"/>
      <c r="CA772" s="215"/>
      <c r="CB772" s="215"/>
      <c r="CC772" s="215"/>
      <c r="CD772" s="1788"/>
      <c r="CE772" s="968"/>
      <c r="CF772" s="188"/>
      <c r="CG772" s="215"/>
      <c r="CH772" s="215"/>
      <c r="CI772" s="1788"/>
      <c r="CJ772" s="968"/>
      <c r="CK772" s="188"/>
      <c r="CL772" s="215"/>
      <c r="CM772" s="215"/>
      <c r="CN772" s="1788"/>
      <c r="CO772" s="968"/>
      <c r="CP772" s="215"/>
      <c r="CQ772" s="215"/>
      <c r="CR772" s="215"/>
      <c r="CS772" s="215"/>
      <c r="CT772" s="968"/>
      <c r="CU772" s="215"/>
      <c r="CV772" s="215"/>
      <c r="CW772" s="215"/>
      <c r="CX772" s="215"/>
      <c r="CY772" s="968"/>
      <c r="CZ772" s="968"/>
      <c r="DA772" s="968"/>
      <c r="DB772"/>
      <c r="DC772"/>
      <c r="DD772" s="2285"/>
      <c r="DE772" s="2290"/>
      <c r="DF772" s="2290"/>
      <c r="DG772" s="2290"/>
      <c r="DH772" s="2290"/>
      <c r="DI772" s="2290"/>
      <c r="DJ772" s="2290"/>
      <c r="DK772" s="2290"/>
      <c r="DL772" s="2290"/>
      <c r="DM772" s="2290"/>
      <c r="DN772" s="2290"/>
      <c r="DO772" s="2290"/>
      <c r="DP772" s="2290"/>
      <c r="DQ772" s="2290"/>
      <c r="DR772" s="2290"/>
      <c r="DS772" s="2290"/>
      <c r="DT772" s="2290"/>
      <c r="DU772" s="2290"/>
      <c r="DV772" s="2290"/>
      <c r="DW772" s="2290"/>
      <c r="DX772" s="2290"/>
      <c r="DY772" s="2290"/>
      <c r="EA772"/>
      <c r="EB772"/>
      <c r="EC772"/>
      <c r="ED772"/>
      <c r="EE772"/>
      <c r="EF772"/>
      <c r="EJ772"/>
      <c r="EK772"/>
      <c r="EL772"/>
      <c r="EM772" s="1703"/>
      <c r="ER772" s="212"/>
    </row>
    <row r="773" spans="1:148" s="923" customFormat="1" x14ac:dyDescent="0.2">
      <c r="A773" s="504" t="s">
        <v>906</v>
      </c>
      <c r="B773" s="215"/>
      <c r="C773" s="215"/>
      <c r="D773" s="215"/>
      <c r="E773" s="215"/>
      <c r="F773" s="215"/>
      <c r="G773" s="215"/>
      <c r="H773" s="215"/>
      <c r="I773" s="215">
        <f>I798</f>
        <v>1949</v>
      </c>
      <c r="J773" s="215">
        <f t="shared" ref="J773:BU773" si="1498">J798</f>
        <v>1949</v>
      </c>
      <c r="K773" s="215">
        <f t="shared" si="1498"/>
        <v>1949</v>
      </c>
      <c r="L773" s="215">
        <f t="shared" si="1498"/>
        <v>1949</v>
      </c>
      <c r="M773" s="968">
        <f t="shared" si="1498"/>
        <v>1949</v>
      </c>
      <c r="N773" s="215">
        <f t="shared" si="1498"/>
        <v>2259</v>
      </c>
      <c r="O773" s="215">
        <f t="shared" si="1498"/>
        <v>2512</v>
      </c>
      <c r="P773" s="215">
        <f t="shared" si="1498"/>
        <v>2513</v>
      </c>
      <c r="Q773" s="215">
        <f t="shared" si="1498"/>
        <v>2858</v>
      </c>
      <c r="R773" s="968">
        <f t="shared" si="1498"/>
        <v>2858</v>
      </c>
      <c r="S773" s="215">
        <f t="shared" si="1498"/>
        <v>2226</v>
      </c>
      <c r="T773" s="215">
        <f t="shared" si="1498"/>
        <v>1911</v>
      </c>
      <c r="U773" s="215">
        <f t="shared" si="1498"/>
        <v>1808</v>
      </c>
      <c r="V773" s="215">
        <f t="shared" si="1498"/>
        <v>1795</v>
      </c>
      <c r="W773" s="968">
        <f t="shared" si="1498"/>
        <v>1795</v>
      </c>
      <c r="X773" s="215">
        <f t="shared" si="1498"/>
        <v>2160</v>
      </c>
      <c r="Y773" s="215">
        <f t="shared" si="1498"/>
        <v>1705</v>
      </c>
      <c r="Z773" s="215">
        <f t="shared" si="1498"/>
        <v>1680</v>
      </c>
      <c r="AA773" s="215">
        <f t="shared" si="1498"/>
        <v>1455</v>
      </c>
      <c r="AB773" s="968">
        <f t="shared" si="1498"/>
        <v>1455</v>
      </c>
      <c r="AC773" s="215">
        <f t="shared" si="1498"/>
        <v>1729</v>
      </c>
      <c r="AD773" s="215">
        <f t="shared" si="1498"/>
        <v>1434</v>
      </c>
      <c r="AE773" s="215">
        <f t="shared" si="1498"/>
        <v>1375</v>
      </c>
      <c r="AF773" s="215">
        <f t="shared" si="1498"/>
        <v>1325</v>
      </c>
      <c r="AG773" s="968">
        <f t="shared" si="1498"/>
        <v>1325</v>
      </c>
      <c r="AH773" s="215">
        <f t="shared" si="1498"/>
        <v>1324</v>
      </c>
      <c r="AI773" s="215">
        <f t="shared" si="1498"/>
        <v>1432</v>
      </c>
      <c r="AJ773" s="215">
        <f t="shared" si="1498"/>
        <v>1817</v>
      </c>
      <c r="AK773" s="215">
        <f t="shared" si="1498"/>
        <v>1737</v>
      </c>
      <c r="AL773" s="968">
        <f t="shared" si="1498"/>
        <v>1737</v>
      </c>
      <c r="AM773" s="215">
        <f t="shared" si="1498"/>
        <v>1877</v>
      </c>
      <c r="AN773" s="215">
        <f t="shared" si="1498"/>
        <v>1561</v>
      </c>
      <c r="AO773" s="215">
        <f t="shared" si="1498"/>
        <v>1636</v>
      </c>
      <c r="AP773" s="215">
        <f t="shared" si="1498"/>
        <v>1833</v>
      </c>
      <c r="AQ773" s="968">
        <f t="shared" si="1498"/>
        <v>1833</v>
      </c>
      <c r="AR773" s="215">
        <f t="shared" si="1498"/>
        <v>2418</v>
      </c>
      <c r="AS773" s="215">
        <f t="shared" si="1498"/>
        <v>2284</v>
      </c>
      <c r="AT773" s="215">
        <f t="shared" si="1498"/>
        <v>2948</v>
      </c>
      <c r="AU773" s="215">
        <f t="shared" si="1498"/>
        <v>2965</v>
      </c>
      <c r="AV773" s="968">
        <f t="shared" si="1498"/>
        <v>2965</v>
      </c>
      <c r="AW773" s="215">
        <f t="shared" si="1498"/>
        <v>3395</v>
      </c>
      <c r="AX773" s="215">
        <f t="shared" si="1498"/>
        <v>3048</v>
      </c>
      <c r="AY773" s="215">
        <f t="shared" si="1498"/>
        <v>3046</v>
      </c>
      <c r="AZ773" s="215">
        <f t="shared" si="1498"/>
        <v>3095</v>
      </c>
      <c r="BA773" s="968">
        <f t="shared" si="1498"/>
        <v>3095</v>
      </c>
      <c r="BB773" s="215">
        <f t="shared" si="1498"/>
        <v>2977</v>
      </c>
      <c r="BC773" s="215">
        <f t="shared" si="1498"/>
        <v>2849</v>
      </c>
      <c r="BD773" s="215">
        <f t="shared" si="1498"/>
        <v>2660</v>
      </c>
      <c r="BE773" s="215">
        <f t="shared" si="1498"/>
        <v>2298</v>
      </c>
      <c r="BF773" s="968">
        <f t="shared" si="1498"/>
        <v>2298</v>
      </c>
      <c r="BG773" s="215">
        <f t="shared" si="1498"/>
        <v>3269</v>
      </c>
      <c r="BH773" s="215">
        <f t="shared" si="1498"/>
        <v>2911</v>
      </c>
      <c r="BI773" s="215">
        <f t="shared" si="1498"/>
        <v>2726</v>
      </c>
      <c r="BJ773" s="215">
        <f t="shared" si="1498"/>
        <v>2829</v>
      </c>
      <c r="BK773" s="968">
        <f t="shared" si="1498"/>
        <v>2829</v>
      </c>
      <c r="BL773" s="215">
        <f t="shared" si="1498"/>
        <v>2857</v>
      </c>
      <c r="BM773" s="215">
        <f t="shared" si="1498"/>
        <v>2922</v>
      </c>
      <c r="BN773" s="215">
        <f t="shared" si="1498"/>
        <v>3103</v>
      </c>
      <c r="BO773" s="215">
        <f t="shared" si="1498"/>
        <v>2171</v>
      </c>
      <c r="BP773" s="968">
        <f t="shared" si="1498"/>
        <v>2171</v>
      </c>
      <c r="BQ773" s="215">
        <f>BQ798</f>
        <v>2527</v>
      </c>
      <c r="BR773" s="215">
        <f>BR798</f>
        <v>2560</v>
      </c>
      <c r="BS773" s="215">
        <f t="shared" si="1498"/>
        <v>2509</v>
      </c>
      <c r="BT773" s="215">
        <f t="shared" si="1498"/>
        <v>2935</v>
      </c>
      <c r="BU773" s="968">
        <f t="shared" si="1498"/>
        <v>2935</v>
      </c>
      <c r="BV773" s="215">
        <f t="shared" ref="BV773:CG773" si="1499">BV798</f>
        <v>3255</v>
      </c>
      <c r="BW773" s="215">
        <f t="shared" si="1499"/>
        <v>3087</v>
      </c>
      <c r="BX773" s="215">
        <f t="shared" si="1499"/>
        <v>3156</v>
      </c>
      <c r="BY773" s="215">
        <f t="shared" si="1499"/>
        <v>3199</v>
      </c>
      <c r="BZ773" s="968">
        <f t="shared" si="1499"/>
        <v>3199</v>
      </c>
      <c r="CA773" s="215">
        <f>CA798</f>
        <v>3302</v>
      </c>
      <c r="CB773" s="215">
        <f t="shared" si="1499"/>
        <v>3404</v>
      </c>
      <c r="CC773" s="215">
        <f t="shared" si="1499"/>
        <v>3528</v>
      </c>
      <c r="CD773" s="1788">
        <f t="shared" si="1499"/>
        <v>3781</v>
      </c>
      <c r="CE773" s="968">
        <f t="shared" si="1499"/>
        <v>3781</v>
      </c>
      <c r="CF773" s="188">
        <f>CF798</f>
        <v>4028</v>
      </c>
      <c r="CG773" s="215">
        <f t="shared" si="1499"/>
        <v>3917</v>
      </c>
      <c r="CH773" s="215">
        <f t="shared" ref="CH773:DA773" si="1500">CH798</f>
        <v>4304</v>
      </c>
      <c r="CI773" s="1788">
        <f t="shared" si="1500"/>
        <v>4107</v>
      </c>
      <c r="CJ773" s="968">
        <f t="shared" si="1500"/>
        <v>4107</v>
      </c>
      <c r="CK773" s="188">
        <f t="shared" si="1500"/>
        <v>4159</v>
      </c>
      <c r="CL773" s="1466">
        <f>CL798</f>
        <v>4360</v>
      </c>
      <c r="CM773" s="215">
        <f t="shared" si="1500"/>
        <v>8822</v>
      </c>
      <c r="CN773" s="1431">
        <f t="shared" si="1500"/>
        <v>8506</v>
      </c>
      <c r="CO773" s="1704">
        <f>CO798</f>
        <v>8506</v>
      </c>
      <c r="CP773" s="215">
        <f t="shared" si="1500"/>
        <v>8470</v>
      </c>
      <c r="CQ773" s="215">
        <f t="shared" si="1500"/>
        <v>8313</v>
      </c>
      <c r="CR773" s="215">
        <f t="shared" si="1500"/>
        <v>8669</v>
      </c>
      <c r="CS773" s="215">
        <f t="shared" si="1500"/>
        <v>8238</v>
      </c>
      <c r="CT773" s="968">
        <f t="shared" si="1500"/>
        <v>8238</v>
      </c>
      <c r="CU773" s="215">
        <f>CU798</f>
        <v>8438</v>
      </c>
      <c r="CV773" s="215">
        <f>CV798</f>
        <v>8738</v>
      </c>
      <c r="CW773" s="215">
        <f>CW798</f>
        <v>8938</v>
      </c>
      <c r="CX773" s="215">
        <f>CX798</f>
        <v>9038</v>
      </c>
      <c r="CY773" s="968">
        <f>CY798</f>
        <v>9038</v>
      </c>
      <c r="CZ773" s="968">
        <f t="shared" si="1500"/>
        <v>9688</v>
      </c>
      <c r="DA773" s="968">
        <f t="shared" si="1500"/>
        <v>9688</v>
      </c>
      <c r="DB773"/>
      <c r="DC773"/>
      <c r="DD773" s="2285" t="s">
        <v>906</v>
      </c>
      <c r="DE773" s="2290">
        <f>M773</f>
        <v>1949</v>
      </c>
      <c r="DF773" s="2290">
        <f>R773</f>
        <v>2858</v>
      </c>
      <c r="DG773" s="2290">
        <f>W773</f>
        <v>1795</v>
      </c>
      <c r="DH773" s="2290">
        <f>AB773</f>
        <v>1455</v>
      </c>
      <c r="DI773" s="2290">
        <f>AG773</f>
        <v>1325</v>
      </c>
      <c r="DJ773" s="2290">
        <f>AL773</f>
        <v>1737</v>
      </c>
      <c r="DK773" s="2290">
        <f>AQ773</f>
        <v>1833</v>
      </c>
      <c r="DL773" s="2290">
        <f>AV773</f>
        <v>2965</v>
      </c>
      <c r="DM773" s="2290">
        <f>BA773</f>
        <v>3095</v>
      </c>
      <c r="DN773" s="2290">
        <f>BF773</f>
        <v>2298</v>
      </c>
      <c r="DO773" s="2290">
        <f>BK773</f>
        <v>2829</v>
      </c>
      <c r="DP773" s="2290">
        <f>BP773</f>
        <v>2171</v>
      </c>
      <c r="DQ773" s="2290">
        <f>BU773</f>
        <v>2935</v>
      </c>
      <c r="DR773" s="2290">
        <f>BZ773</f>
        <v>3199</v>
      </c>
      <c r="DS773" s="2290">
        <f>CE773</f>
        <v>3781</v>
      </c>
      <c r="DT773" s="2290">
        <f>CJ773</f>
        <v>4107</v>
      </c>
      <c r="DU773" s="2290">
        <f>CO773</f>
        <v>8506</v>
      </c>
      <c r="DV773" s="2290">
        <f>CT773</f>
        <v>8238</v>
      </c>
      <c r="DW773" s="2290">
        <f t="shared" ref="DW773:DY775" si="1501">CY773</f>
        <v>9038</v>
      </c>
      <c r="DX773" s="2290">
        <f t="shared" si="1501"/>
        <v>9688</v>
      </c>
      <c r="DY773" s="2290">
        <f t="shared" si="1501"/>
        <v>9688</v>
      </c>
      <c r="EA773"/>
      <c r="EB773"/>
      <c r="EC773"/>
      <c r="ED773"/>
      <c r="EE773"/>
      <c r="EF773"/>
      <c r="EJ773"/>
      <c r="EK773"/>
      <c r="EL773"/>
      <c r="EM773" s="1703"/>
      <c r="ER773" s="212"/>
    </row>
    <row r="774" spans="1:148" s="923" customFormat="1" x14ac:dyDescent="0.2">
      <c r="A774" s="504" t="s">
        <v>907</v>
      </c>
      <c r="B774" s="215"/>
      <c r="C774" s="215"/>
      <c r="D774" s="215"/>
      <c r="E774" s="215"/>
      <c r="F774" s="215"/>
      <c r="G774" s="215"/>
      <c r="H774" s="215"/>
      <c r="I774" s="215">
        <f>J774</f>
        <v>108</v>
      </c>
      <c r="J774" s="215">
        <f>K774</f>
        <v>108</v>
      </c>
      <c r="K774" s="215">
        <f>L774</f>
        <v>108</v>
      </c>
      <c r="L774" s="215">
        <v>108</v>
      </c>
      <c r="M774" s="968">
        <f>L774</f>
        <v>108</v>
      </c>
      <c r="N774" s="215">
        <f>O774</f>
        <v>120</v>
      </c>
      <c r="O774" s="215">
        <f>P774</f>
        <v>120</v>
      </c>
      <c r="P774" s="215">
        <f>Q774</f>
        <v>120</v>
      </c>
      <c r="Q774" s="215">
        <v>120</v>
      </c>
      <c r="R774" s="968">
        <f>Q774</f>
        <v>120</v>
      </c>
      <c r="S774" s="215">
        <f>R774</f>
        <v>120</v>
      </c>
      <c r="T774" s="215">
        <f>S774</f>
        <v>120</v>
      </c>
      <c r="U774" s="215">
        <v>110</v>
      </c>
      <c r="V774" s="215">
        <v>106</v>
      </c>
      <c r="W774" s="968">
        <f>V774</f>
        <v>106</v>
      </c>
      <c r="X774" s="215">
        <v>109</v>
      </c>
      <c r="Y774" s="215">
        <v>118</v>
      </c>
      <c r="Z774" s="215">
        <v>142</v>
      </c>
      <c r="AA774" s="215">
        <v>169</v>
      </c>
      <c r="AB774" s="968">
        <f>AA774</f>
        <v>169</v>
      </c>
      <c r="AC774" s="215">
        <v>177</v>
      </c>
      <c r="AD774" s="215">
        <v>178</v>
      </c>
      <c r="AE774" s="215">
        <v>183</v>
      </c>
      <c r="AF774" s="215">
        <v>163</v>
      </c>
      <c r="AG774" s="968">
        <f>AF774</f>
        <v>163</v>
      </c>
      <c r="AH774" s="215">
        <v>157</v>
      </c>
      <c r="AI774" s="215">
        <v>169</v>
      </c>
      <c r="AJ774" s="215">
        <v>181</v>
      </c>
      <c r="AK774" s="215">
        <v>180</v>
      </c>
      <c r="AL774" s="968">
        <f>AK774</f>
        <v>180</v>
      </c>
      <c r="AM774" s="215">
        <v>195</v>
      </c>
      <c r="AN774" s="215">
        <v>210</v>
      </c>
      <c r="AO774" s="215">
        <v>221</v>
      </c>
      <c r="AP774" s="215">
        <v>184</v>
      </c>
      <c r="AQ774" s="968">
        <f>AP774</f>
        <v>184</v>
      </c>
      <c r="AR774" s="215">
        <v>182</v>
      </c>
      <c r="AS774" s="215">
        <v>203</v>
      </c>
      <c r="AT774" s="215">
        <v>207</v>
      </c>
      <c r="AU774" s="215">
        <v>182</v>
      </c>
      <c r="AV774" s="968">
        <f>AU774</f>
        <v>182</v>
      </c>
      <c r="AW774" s="215">
        <v>189</v>
      </c>
      <c r="AX774" s="215">
        <v>216</v>
      </c>
      <c r="AY774" s="215">
        <v>209</v>
      </c>
      <c r="AZ774" s="215">
        <v>204</v>
      </c>
      <c r="BA774" s="968">
        <f>AZ774</f>
        <v>204</v>
      </c>
      <c r="BB774" s="215">
        <v>211</v>
      </c>
      <c r="BC774" s="215">
        <v>222</v>
      </c>
      <c r="BD774" s="215">
        <v>231</v>
      </c>
      <c r="BE774" s="215">
        <v>0</v>
      </c>
      <c r="BF774" s="968">
        <f t="shared" ref="BF774:BQ774" si="1502">BE774</f>
        <v>0</v>
      </c>
      <c r="BG774" s="215">
        <f t="shared" si="1502"/>
        <v>0</v>
      </c>
      <c r="BH774" s="215">
        <f t="shared" si="1502"/>
        <v>0</v>
      </c>
      <c r="BI774" s="215">
        <f t="shared" si="1502"/>
        <v>0</v>
      </c>
      <c r="BJ774" s="215">
        <f t="shared" si="1502"/>
        <v>0</v>
      </c>
      <c r="BK774" s="968">
        <f t="shared" si="1502"/>
        <v>0</v>
      </c>
      <c r="BL774" s="215">
        <f t="shared" si="1502"/>
        <v>0</v>
      </c>
      <c r="BM774" s="215">
        <f t="shared" si="1502"/>
        <v>0</v>
      </c>
      <c r="BN774" s="215">
        <f t="shared" si="1502"/>
        <v>0</v>
      </c>
      <c r="BO774" s="215">
        <f t="shared" si="1502"/>
        <v>0</v>
      </c>
      <c r="BP774" s="968">
        <f t="shared" si="1502"/>
        <v>0</v>
      </c>
      <c r="BQ774" s="215">
        <f t="shared" si="1502"/>
        <v>0</v>
      </c>
      <c r="BR774" s="215">
        <f>BQ774</f>
        <v>0</v>
      </c>
      <c r="BS774" s="215">
        <v>0</v>
      </c>
      <c r="BT774" s="215">
        <f>BS774</f>
        <v>0</v>
      </c>
      <c r="BU774" s="968">
        <f>BT774</f>
        <v>0</v>
      </c>
      <c r="BV774" s="215">
        <v>0</v>
      </c>
      <c r="BW774" s="215">
        <v>0</v>
      </c>
      <c r="BX774" s="223">
        <v>0</v>
      </c>
      <c r="BY774" s="223">
        <v>0</v>
      </c>
      <c r="BZ774" s="968">
        <f>BY774</f>
        <v>0</v>
      </c>
      <c r="CA774" s="223">
        <v>0</v>
      </c>
      <c r="CB774" s="215">
        <v>0</v>
      </c>
      <c r="CC774" s="215">
        <v>0</v>
      </c>
      <c r="CD774" s="215">
        <v>0</v>
      </c>
      <c r="CE774" s="968">
        <f>CD774</f>
        <v>0</v>
      </c>
      <c r="CF774" s="215">
        <v>0</v>
      </c>
      <c r="CG774" s="215">
        <v>0</v>
      </c>
      <c r="CH774" s="215">
        <v>0</v>
      </c>
      <c r="CI774" s="1788">
        <f>CH774</f>
        <v>0</v>
      </c>
      <c r="CJ774" s="968">
        <f>CI774</f>
        <v>0</v>
      </c>
      <c r="CK774" s="215">
        <v>0</v>
      </c>
      <c r="CL774" s="215">
        <f>CK774</f>
        <v>0</v>
      </c>
      <c r="CM774" s="215">
        <f t="shared" ref="CM774:CQ775" si="1503">CL774</f>
        <v>0</v>
      </c>
      <c r="CN774" s="1788">
        <f t="shared" si="1503"/>
        <v>0</v>
      </c>
      <c r="CO774" s="968">
        <f t="shared" si="1503"/>
        <v>0</v>
      </c>
      <c r="CP774" s="215">
        <f t="shared" ref="CP774:CT775" si="1504">CO774</f>
        <v>0</v>
      </c>
      <c r="CQ774" s="215">
        <f t="shared" si="1503"/>
        <v>0</v>
      </c>
      <c r="CR774" s="215">
        <f t="shared" si="1504"/>
        <v>0</v>
      </c>
      <c r="CS774" s="215">
        <f t="shared" si="1504"/>
        <v>0</v>
      </c>
      <c r="CT774" s="968">
        <f t="shared" si="1504"/>
        <v>0</v>
      </c>
      <c r="CU774" s="215">
        <f t="shared" ref="CU774:CY775" si="1505">CT774</f>
        <v>0</v>
      </c>
      <c r="CV774" s="215">
        <f t="shared" si="1505"/>
        <v>0</v>
      </c>
      <c r="CW774" s="215">
        <f t="shared" si="1505"/>
        <v>0</v>
      </c>
      <c r="CX774" s="215">
        <f t="shared" si="1505"/>
        <v>0</v>
      </c>
      <c r="CY774" s="968">
        <f t="shared" si="1505"/>
        <v>0</v>
      </c>
      <c r="CZ774" s="968">
        <f>CY774</f>
        <v>0</v>
      </c>
      <c r="DA774" s="968">
        <f>CZ774</f>
        <v>0</v>
      </c>
      <c r="DB774"/>
      <c r="DC774"/>
      <c r="DD774" s="2285" t="s">
        <v>907</v>
      </c>
      <c r="DE774" s="2290">
        <f>M774</f>
        <v>108</v>
      </c>
      <c r="DF774" s="2290">
        <f>R774</f>
        <v>120</v>
      </c>
      <c r="DG774" s="2290">
        <f>W774</f>
        <v>106</v>
      </c>
      <c r="DH774" s="2290">
        <f>AB774</f>
        <v>169</v>
      </c>
      <c r="DI774" s="2290">
        <f>AG774</f>
        <v>163</v>
      </c>
      <c r="DJ774" s="2290">
        <f>AL774</f>
        <v>180</v>
      </c>
      <c r="DK774" s="2290">
        <f>AQ774</f>
        <v>184</v>
      </c>
      <c r="DL774" s="2290">
        <f>AV774</f>
        <v>182</v>
      </c>
      <c r="DM774" s="2290">
        <f>BA774</f>
        <v>204</v>
      </c>
      <c r="DN774" s="2290">
        <f>BF774</f>
        <v>0</v>
      </c>
      <c r="DO774" s="2290">
        <f>BK774</f>
        <v>0</v>
      </c>
      <c r="DP774" s="2290">
        <f>BP774</f>
        <v>0</v>
      </c>
      <c r="DQ774" s="2290">
        <f>BU774</f>
        <v>0</v>
      </c>
      <c r="DR774" s="2290">
        <f>BZ774</f>
        <v>0</v>
      </c>
      <c r="DS774" s="2290">
        <f>CE774</f>
        <v>0</v>
      </c>
      <c r="DT774" s="2290">
        <f>CJ774</f>
        <v>0</v>
      </c>
      <c r="DU774" s="2290">
        <f>CO774</f>
        <v>0</v>
      </c>
      <c r="DV774" s="2290">
        <f>CT774</f>
        <v>0</v>
      </c>
      <c r="DW774" s="2290">
        <f t="shared" si="1501"/>
        <v>0</v>
      </c>
      <c r="DX774" s="2290">
        <f t="shared" si="1501"/>
        <v>0</v>
      </c>
      <c r="DY774" s="2290">
        <f t="shared" si="1501"/>
        <v>0</v>
      </c>
      <c r="EA774"/>
      <c r="EB774"/>
      <c r="EC774"/>
      <c r="ED774"/>
      <c r="EE774"/>
      <c r="EF774"/>
      <c r="EJ774"/>
      <c r="EK774"/>
      <c r="EL774"/>
      <c r="EM774" s="1703"/>
      <c r="ER774" s="212"/>
    </row>
    <row r="775" spans="1:148" s="923" customFormat="1" x14ac:dyDescent="0.2">
      <c r="A775" s="504" t="s">
        <v>908</v>
      </c>
      <c r="B775" s="223"/>
      <c r="C775" s="223"/>
      <c r="D775" s="223"/>
      <c r="E775" s="223"/>
      <c r="F775" s="223"/>
      <c r="G775" s="223"/>
      <c r="H775" s="223"/>
      <c r="I775" s="223">
        <v>1023</v>
      </c>
      <c r="J775" s="223">
        <v>1025</v>
      </c>
      <c r="K775" s="223">
        <v>1074</v>
      </c>
      <c r="L775" s="223">
        <f>122+915</f>
        <v>1037</v>
      </c>
      <c r="M775" s="968">
        <f>L775</f>
        <v>1037</v>
      </c>
      <c r="N775" s="223">
        <v>1078</v>
      </c>
      <c r="O775" s="223">
        <v>1107</v>
      </c>
      <c r="P775" s="223">
        <v>1222</v>
      </c>
      <c r="Q775" s="223">
        <f>926+86</f>
        <v>1012</v>
      </c>
      <c r="R775" s="968">
        <f>Q775</f>
        <v>1012</v>
      </c>
      <c r="S775" s="223">
        <v>1036</v>
      </c>
      <c r="T775" s="223">
        <v>990</v>
      </c>
      <c r="U775" s="223">
        <v>1056</v>
      </c>
      <c r="V775" s="223">
        <f>857</f>
        <v>857</v>
      </c>
      <c r="W775" s="968">
        <f>V775</f>
        <v>857</v>
      </c>
      <c r="X775" s="223">
        <v>897</v>
      </c>
      <c r="Y775" s="223">
        <v>920</v>
      </c>
      <c r="Z775" s="223">
        <f>958+20</f>
        <v>978</v>
      </c>
      <c r="AA775" s="223">
        <v>1009</v>
      </c>
      <c r="AB775" s="968">
        <f>AA775</f>
        <v>1009</v>
      </c>
      <c r="AC775" s="223">
        <f>1031+10</f>
        <v>1041</v>
      </c>
      <c r="AD775" s="223">
        <f>1126+13</f>
        <v>1139</v>
      </c>
      <c r="AE775" s="223">
        <f>1179+10</f>
        <v>1189</v>
      </c>
      <c r="AF775" s="223">
        <f>580+12+640</f>
        <v>1232</v>
      </c>
      <c r="AG775" s="968">
        <f>AF775</f>
        <v>1232</v>
      </c>
      <c r="AH775" s="223">
        <f>13+676+572</f>
        <v>1261</v>
      </c>
      <c r="AI775" s="223">
        <f>705+607+14</f>
        <v>1326</v>
      </c>
      <c r="AJ775" s="223">
        <f>618+730+11</f>
        <v>1359</v>
      </c>
      <c r="AK775" s="223">
        <f>768+646+11</f>
        <v>1425</v>
      </c>
      <c r="AL775" s="968">
        <f>AK775</f>
        <v>1425</v>
      </c>
      <c r="AM775" s="223">
        <f>784+560</f>
        <v>1344</v>
      </c>
      <c r="AN775" s="223">
        <f>826+556</f>
        <v>1382</v>
      </c>
      <c r="AO775" s="223">
        <f>842+556</f>
        <v>1398</v>
      </c>
      <c r="AP775" s="223">
        <f>599+847</f>
        <v>1446</v>
      </c>
      <c r="AQ775" s="968">
        <f>AP775</f>
        <v>1446</v>
      </c>
      <c r="AR775" s="223">
        <f>870+614</f>
        <v>1484</v>
      </c>
      <c r="AS775" s="223">
        <f>657+917</f>
        <v>1574</v>
      </c>
      <c r="AT775" s="223">
        <f>949+674</f>
        <v>1623</v>
      </c>
      <c r="AU775" s="223">
        <f>694+971</f>
        <v>1665</v>
      </c>
      <c r="AV775" s="968">
        <f>AU775</f>
        <v>1665</v>
      </c>
      <c r="AW775" s="223">
        <f>1008+687</f>
        <v>1695</v>
      </c>
      <c r="AX775" s="223">
        <f>1047+748</f>
        <v>1795</v>
      </c>
      <c r="AY775" s="223">
        <f>1061+724+14</f>
        <v>1799</v>
      </c>
      <c r="AZ775" s="223">
        <f>1090+710+11</f>
        <v>1811</v>
      </c>
      <c r="BA775" s="968">
        <f>AZ775</f>
        <v>1811</v>
      </c>
      <c r="BB775" s="223">
        <f>1155+761</f>
        <v>1916</v>
      </c>
      <c r="BC775" s="223">
        <f>1163+821</f>
        <v>1984</v>
      </c>
      <c r="BD775" s="223">
        <f>866+1171</f>
        <v>2037</v>
      </c>
      <c r="BE775" s="223">
        <f>1193+1077</f>
        <v>2270</v>
      </c>
      <c r="BF775" s="968">
        <f>BE775</f>
        <v>2270</v>
      </c>
      <c r="BG775" s="223">
        <f>1216+1070</f>
        <v>2286</v>
      </c>
      <c r="BH775" s="223">
        <f>1219+1084</f>
        <v>2303</v>
      </c>
      <c r="BI775" s="223">
        <f>1243+1095</f>
        <v>2338</v>
      </c>
      <c r="BJ775" s="223">
        <f>1313+893</f>
        <v>2206</v>
      </c>
      <c r="BK775" s="968">
        <f>BJ775</f>
        <v>2206</v>
      </c>
      <c r="BL775" s="223">
        <f>1342+889</f>
        <v>2231</v>
      </c>
      <c r="BM775" s="223">
        <f>1361+937</f>
        <v>2298</v>
      </c>
      <c r="BN775" s="223">
        <f>1360+952</f>
        <v>2312</v>
      </c>
      <c r="BO775" s="223">
        <f>883+1434</f>
        <v>2317</v>
      </c>
      <c r="BP775" s="968">
        <f>BO775</f>
        <v>2317</v>
      </c>
      <c r="BQ775" s="223">
        <f>882+1459</f>
        <v>2341</v>
      </c>
      <c r="BR775" s="223">
        <f>868+1468</f>
        <v>2336</v>
      </c>
      <c r="BS775" s="223">
        <f>1434+936</f>
        <v>2370</v>
      </c>
      <c r="BT775" s="223">
        <f>1428+898</f>
        <v>2326</v>
      </c>
      <c r="BU775" s="968">
        <f>BT775</f>
        <v>2326</v>
      </c>
      <c r="BV775" s="223">
        <f>1440+896</f>
        <v>2336</v>
      </c>
      <c r="BW775" s="223">
        <f>1459+907</f>
        <v>2366</v>
      </c>
      <c r="BX775" s="223">
        <f>1450+913</f>
        <v>2363</v>
      </c>
      <c r="BY775" s="223">
        <f>1475+912</f>
        <v>2387</v>
      </c>
      <c r="BZ775" s="968">
        <f>BY775</f>
        <v>2387</v>
      </c>
      <c r="CA775" s="223">
        <f>1512+887</f>
        <v>2399</v>
      </c>
      <c r="CB775" s="223">
        <f>1555+908</f>
        <v>2463</v>
      </c>
      <c r="CC775" s="223">
        <f>869+1561</f>
        <v>2430</v>
      </c>
      <c r="CD775" s="223">
        <f>1657+891</f>
        <v>2548</v>
      </c>
      <c r="CE775" s="968">
        <f>CD775</f>
        <v>2548</v>
      </c>
      <c r="CF775" s="2687">
        <f>1706+901</f>
        <v>2607</v>
      </c>
      <c r="CG775" s="223">
        <f>1607+927</f>
        <v>2534</v>
      </c>
      <c r="CH775" s="223">
        <f>1531+1013</f>
        <v>2544</v>
      </c>
      <c r="CI775" s="223">
        <f>1622+1010</f>
        <v>2632</v>
      </c>
      <c r="CJ775" s="968">
        <f>CI775</f>
        <v>2632</v>
      </c>
      <c r="CK775" s="2687">
        <f>1641+1041</f>
        <v>2682</v>
      </c>
      <c r="CL775" s="223">
        <f>1720+1091</f>
        <v>2811</v>
      </c>
      <c r="CM775" s="223">
        <v>5426</v>
      </c>
      <c r="CN775" s="223">
        <f>2675+1020+1744</f>
        <v>5439</v>
      </c>
      <c r="CO775" s="968">
        <f t="shared" si="1503"/>
        <v>5439</v>
      </c>
      <c r="CP775" s="223">
        <f>2662+891+1820</f>
        <v>5373</v>
      </c>
      <c r="CQ775" s="223">
        <f>2801+994+1911</f>
        <v>5706</v>
      </c>
      <c r="CR775" s="223">
        <f>2824+927+2094</f>
        <v>5845</v>
      </c>
      <c r="CS775" s="215">
        <f t="shared" si="1504"/>
        <v>5845</v>
      </c>
      <c r="CT775" s="968">
        <f t="shared" si="1504"/>
        <v>5845</v>
      </c>
      <c r="CU775" s="215">
        <f t="shared" si="1505"/>
        <v>5845</v>
      </c>
      <c r="CV775" s="215">
        <f t="shared" si="1505"/>
        <v>5845</v>
      </c>
      <c r="CW775" s="215">
        <f t="shared" si="1505"/>
        <v>5845</v>
      </c>
      <c r="CX775" s="215">
        <f t="shared" si="1505"/>
        <v>5845</v>
      </c>
      <c r="CY775" s="968">
        <f t="shared" si="1505"/>
        <v>5845</v>
      </c>
      <c r="CZ775" s="968">
        <f>CY775</f>
        <v>5845</v>
      </c>
      <c r="DA775" s="968">
        <f>CZ775</f>
        <v>5845</v>
      </c>
      <c r="DB775"/>
      <c r="DC775"/>
      <c r="DD775" s="2285" t="s">
        <v>908</v>
      </c>
      <c r="DE775" s="2290">
        <f>M775</f>
        <v>1037</v>
      </c>
      <c r="DF775" s="2290">
        <f>R775</f>
        <v>1012</v>
      </c>
      <c r="DG775" s="2290">
        <f>W775</f>
        <v>857</v>
      </c>
      <c r="DH775" s="2290">
        <f>AB775</f>
        <v>1009</v>
      </c>
      <c r="DI775" s="2290">
        <f>AG775</f>
        <v>1232</v>
      </c>
      <c r="DJ775" s="2290">
        <f>AL775</f>
        <v>1425</v>
      </c>
      <c r="DK775" s="2290">
        <f>AQ775</f>
        <v>1446</v>
      </c>
      <c r="DL775" s="2290">
        <f>AV775</f>
        <v>1665</v>
      </c>
      <c r="DM775" s="2290">
        <f>BA775</f>
        <v>1811</v>
      </c>
      <c r="DN775" s="2290">
        <f>BF775</f>
        <v>2270</v>
      </c>
      <c r="DO775" s="2290">
        <f>BK775</f>
        <v>2206</v>
      </c>
      <c r="DP775" s="2290">
        <f>BP775</f>
        <v>2317</v>
      </c>
      <c r="DQ775" s="2290">
        <f>BU775</f>
        <v>2326</v>
      </c>
      <c r="DR775" s="2290">
        <f>BZ775</f>
        <v>2387</v>
      </c>
      <c r="DS775" s="2290">
        <f>CE775</f>
        <v>2548</v>
      </c>
      <c r="DT775" s="2290">
        <f>CJ775</f>
        <v>2632</v>
      </c>
      <c r="DU775" s="2290">
        <f>CO775</f>
        <v>5439</v>
      </c>
      <c r="DV775" s="2290">
        <f>CT775</f>
        <v>5845</v>
      </c>
      <c r="DW775" s="2290">
        <f t="shared" si="1501"/>
        <v>5845</v>
      </c>
      <c r="DX775" s="2290">
        <f t="shared" si="1501"/>
        <v>5845</v>
      </c>
      <c r="DY775" s="2290">
        <f t="shared" si="1501"/>
        <v>5845</v>
      </c>
      <c r="EA775"/>
      <c r="EB775"/>
      <c r="EC775"/>
      <c r="ED775"/>
      <c r="EE775"/>
      <c r="EF775"/>
      <c r="EJ775"/>
      <c r="EK775"/>
      <c r="EL775"/>
      <c r="EM775" s="1703"/>
      <c r="ER775" s="212"/>
    </row>
    <row r="776" spans="1:148" s="923" customFormat="1" x14ac:dyDescent="0.2">
      <c r="A776" s="504"/>
      <c r="B776" s="215"/>
      <c r="C776" s="215"/>
      <c r="D776" s="215"/>
      <c r="E776" s="215"/>
      <c r="F776" s="215"/>
      <c r="G776" s="215"/>
      <c r="H776" s="215"/>
      <c r="I776" s="215"/>
      <c r="J776" s="215"/>
      <c r="K776" s="215"/>
      <c r="L776" s="215"/>
      <c r="M776" s="968"/>
      <c r="N776" s="215"/>
      <c r="O776" s="215"/>
      <c r="P776" s="215"/>
      <c r="Q776" s="215"/>
      <c r="R776" s="968"/>
      <c r="S776" s="215"/>
      <c r="T776" s="215"/>
      <c r="U776" s="215"/>
      <c r="V776" s="215"/>
      <c r="W776" s="968"/>
      <c r="X776" s="215"/>
      <c r="Y776" s="215"/>
      <c r="Z776" s="215"/>
      <c r="AA776" s="215"/>
      <c r="AB776" s="968"/>
      <c r="AC776" s="215"/>
      <c r="AD776" s="215"/>
      <c r="AE776" s="215"/>
      <c r="AF776" s="215"/>
      <c r="AG776" s="968"/>
      <c r="AH776" s="215"/>
      <c r="AI776" s="215"/>
      <c r="AJ776" s="215"/>
      <c r="AK776" s="215"/>
      <c r="AL776" s="968"/>
      <c r="AM776" s="215"/>
      <c r="AN776" s="215"/>
      <c r="AO776" s="215"/>
      <c r="AP776" s="215"/>
      <c r="AQ776" s="968"/>
      <c r="AR776" s="215"/>
      <c r="AS776" s="215"/>
      <c r="AT776" s="215"/>
      <c r="AU776" s="215"/>
      <c r="AV776" s="968"/>
      <c r="AW776" s="215"/>
      <c r="AX776" s="215"/>
      <c r="AY776" s="215"/>
      <c r="AZ776" s="215"/>
      <c r="BA776" s="968"/>
      <c r="BB776" s="215"/>
      <c r="BC776" s="215"/>
      <c r="BD776" s="215"/>
      <c r="BE776" s="215"/>
      <c r="BF776" s="968"/>
      <c r="BG776" s="215"/>
      <c r="BH776" s="215"/>
      <c r="BI776" s="215"/>
      <c r="BJ776" s="215"/>
      <c r="BK776" s="968"/>
      <c r="BL776" s="215"/>
      <c r="BM776" s="215"/>
      <c r="BN776" s="215"/>
      <c r="BO776" s="215"/>
      <c r="BP776" s="968"/>
      <c r="BQ776" s="215"/>
      <c r="BR776" s="215"/>
      <c r="BS776" s="215"/>
      <c r="BT776" s="215"/>
      <c r="BU776" s="968"/>
      <c r="BV776" s="215"/>
      <c r="BW776" s="215"/>
      <c r="BX776" s="215"/>
      <c r="BY776" s="215"/>
      <c r="BZ776" s="968"/>
      <c r="CA776" s="215"/>
      <c r="CB776" s="215"/>
      <c r="CC776" s="215"/>
      <c r="CD776" s="1788"/>
      <c r="CE776" s="968"/>
      <c r="CF776" s="188"/>
      <c r="CG776" s="215"/>
      <c r="CH776" s="215"/>
      <c r="CI776" s="1788"/>
      <c r="CJ776" s="968"/>
      <c r="CK776" s="188"/>
      <c r="CL776" s="215"/>
      <c r="CM776" s="215"/>
      <c r="CN776" s="1788"/>
      <c r="CO776" s="968"/>
      <c r="CP776" s="215"/>
      <c r="CQ776" s="215"/>
      <c r="CR776" s="215"/>
      <c r="CS776" s="215"/>
      <c r="CT776" s="968"/>
      <c r="CU776" s="215"/>
      <c r="CV776" s="215"/>
      <c r="CW776" s="215"/>
      <c r="CX776" s="215"/>
      <c r="CY776" s="968"/>
      <c r="CZ776" s="968"/>
      <c r="DA776" s="968"/>
      <c r="DB776"/>
      <c r="DC776"/>
      <c r="DD776" s="2285"/>
      <c r="DE776" s="2290"/>
      <c r="DF776" s="2290"/>
      <c r="DG776" s="2290"/>
      <c r="DH776" s="2290"/>
      <c r="DI776" s="2290"/>
      <c r="DJ776" s="2290"/>
      <c r="DK776" s="2290"/>
      <c r="DL776" s="2290"/>
      <c r="DM776" s="2290"/>
      <c r="DN776" s="2290"/>
      <c r="DO776" s="2290"/>
      <c r="DP776" s="2290"/>
      <c r="DQ776" s="2290"/>
      <c r="DR776" s="2290"/>
      <c r="DS776" s="2290"/>
      <c r="DT776" s="2290"/>
      <c r="DU776" s="2290"/>
      <c r="DV776" s="2290"/>
      <c r="DW776" s="2290"/>
      <c r="DX776" s="2290"/>
      <c r="DY776" s="2290"/>
      <c r="EA776"/>
      <c r="EB776"/>
      <c r="EC776"/>
      <c r="ED776"/>
      <c r="EE776"/>
      <c r="EF776"/>
      <c r="EJ776"/>
      <c r="EK776"/>
      <c r="EL776"/>
      <c r="EM776" s="1703"/>
      <c r="ER776" s="212"/>
    </row>
    <row r="777" spans="1:148" s="923" customFormat="1" ht="12.75" customHeight="1" x14ac:dyDescent="0.2">
      <c r="A777" s="1560" t="s">
        <v>645</v>
      </c>
      <c r="B777" s="215"/>
      <c r="C777" s="215"/>
      <c r="D777" s="215"/>
      <c r="E777" s="215"/>
      <c r="F777" s="215"/>
      <c r="G777" s="215"/>
      <c r="H777" s="215"/>
      <c r="I777" s="215"/>
      <c r="J777" s="215"/>
      <c r="K777" s="215"/>
      <c r="L777" s="215"/>
      <c r="M777" s="968"/>
      <c r="N777" s="215"/>
      <c r="O777" s="215"/>
      <c r="P777" s="215"/>
      <c r="Q777" s="215"/>
      <c r="R777" s="968"/>
      <c r="S777" s="215"/>
      <c r="T777" s="215"/>
      <c r="U777" s="215"/>
      <c r="V777" s="215"/>
      <c r="W777" s="968"/>
      <c r="X777" s="215"/>
      <c r="Y777" s="215"/>
      <c r="Z777" s="215"/>
      <c r="AA777" s="215"/>
      <c r="AB777" s="968"/>
      <c r="AC777" s="215"/>
      <c r="AD777" s="215"/>
      <c r="AE777" s="215"/>
      <c r="AF777" s="215"/>
      <c r="AG777" s="968"/>
      <c r="AH777" s="215"/>
      <c r="AI777" s="215"/>
      <c r="AJ777" s="215"/>
      <c r="AK777" s="215"/>
      <c r="AL777" s="968"/>
      <c r="AM777" s="215"/>
      <c r="AN777" s="215"/>
      <c r="AO777" s="215"/>
      <c r="AP777" s="215"/>
      <c r="AQ777" s="968"/>
      <c r="AR777" s="215"/>
      <c r="AS777" s="215"/>
      <c r="AT777" s="215"/>
      <c r="AU777" s="215"/>
      <c r="AV777" s="968"/>
      <c r="AW777" s="215"/>
      <c r="AX777" s="215"/>
      <c r="AY777" s="215"/>
      <c r="AZ777" s="215"/>
      <c r="BA777" s="968"/>
      <c r="BB777" s="215"/>
      <c r="BC777" s="215"/>
      <c r="BD777" s="215"/>
      <c r="BE777" s="215"/>
      <c r="BF777" s="968"/>
      <c r="BG777" s="215"/>
      <c r="BH777" s="215"/>
      <c r="BI777" s="215"/>
      <c r="BJ777" s="215"/>
      <c r="BK777" s="968"/>
      <c r="BL777" s="215"/>
      <c r="BM777" s="215"/>
      <c r="BN777" s="215"/>
      <c r="BO777" s="215"/>
      <c r="BP777" s="968"/>
      <c r="BQ777" s="215"/>
      <c r="BR777" s="215"/>
      <c r="BS777" s="215"/>
      <c r="BT777" s="215"/>
      <c r="BU777" s="968"/>
      <c r="BV777" s="215"/>
      <c r="BW777" s="215"/>
      <c r="BX777" s="215"/>
      <c r="BY777" s="215"/>
      <c r="BZ777" s="968"/>
      <c r="CA777" s="215"/>
      <c r="CB777" s="215"/>
      <c r="CC777" s="215"/>
      <c r="CD777" s="1788"/>
      <c r="CE777" s="968"/>
      <c r="CF777" s="188"/>
      <c r="CG777" s="215"/>
      <c r="CH777" s="215"/>
      <c r="CI777" s="1788"/>
      <c r="CJ777" s="968"/>
      <c r="CK777" s="188"/>
      <c r="CL777" s="215"/>
      <c r="CM777" s="215"/>
      <c r="CN777" s="1788"/>
      <c r="CO777" s="968"/>
      <c r="CP777" s="215"/>
      <c r="CQ777" s="215"/>
      <c r="CR777" s="215"/>
      <c r="CS777" s="215"/>
      <c r="CT777" s="968"/>
      <c r="CU777" s="215"/>
      <c r="CV777" s="215"/>
      <c r="CW777" s="215"/>
      <c r="CX777" s="215"/>
      <c r="CY777" s="968"/>
      <c r="CZ777" s="968"/>
      <c r="DA777" s="968"/>
      <c r="DB777"/>
      <c r="DC777"/>
      <c r="DD777" s="1560" t="s">
        <v>645</v>
      </c>
      <c r="DE777" s="2290"/>
      <c r="DF777" s="2290"/>
      <c r="DG777" s="2290"/>
      <c r="DH777" s="2290"/>
      <c r="DI777" s="2290"/>
      <c r="DJ777" s="2290"/>
      <c r="DK777" s="2290"/>
      <c r="DL777" s="2290"/>
      <c r="DM777" s="2290"/>
      <c r="DN777" s="2290"/>
      <c r="DO777" s="2290"/>
      <c r="DP777" s="2290"/>
      <c r="DQ777" s="2290"/>
      <c r="DR777" s="2290"/>
      <c r="DS777" s="2290"/>
      <c r="DT777" s="2290"/>
      <c r="DU777" s="2290"/>
      <c r="DV777" s="2290"/>
      <c r="DW777" s="2290"/>
      <c r="DX777" s="2290"/>
      <c r="DY777" s="2290"/>
      <c r="EA777"/>
      <c r="EB777"/>
      <c r="EC777"/>
      <c r="ED777"/>
      <c r="EE777"/>
      <c r="EF777"/>
      <c r="EJ777"/>
      <c r="EK777"/>
      <c r="EL777"/>
      <c r="EM777" s="1703"/>
      <c r="ER777" s="212"/>
    </row>
    <row r="778" spans="1:148" s="923" customFormat="1" ht="12.75" customHeight="1" x14ac:dyDescent="0.2">
      <c r="A778" s="504" t="s">
        <v>909</v>
      </c>
      <c r="B778" s="223"/>
      <c r="C778" s="223"/>
      <c r="D778" s="223"/>
      <c r="E778" s="223"/>
      <c r="F778" s="223"/>
      <c r="G778" s="223"/>
      <c r="H778" s="223"/>
      <c r="I778" s="223">
        <v>3</v>
      </c>
      <c r="J778" s="223">
        <v>3</v>
      </c>
      <c r="K778" s="223">
        <v>3</v>
      </c>
      <c r="L778" s="223">
        <v>3</v>
      </c>
      <c r="M778" s="968">
        <f t="shared" ref="M778:M783" si="1506">L778</f>
        <v>3</v>
      </c>
      <c r="N778" s="223">
        <v>3</v>
      </c>
      <c r="O778" s="223">
        <v>3</v>
      </c>
      <c r="P778" s="223">
        <v>3</v>
      </c>
      <c r="Q778" s="223">
        <v>3</v>
      </c>
      <c r="R778" s="968">
        <f t="shared" ref="R778:R783" si="1507">Q778</f>
        <v>3</v>
      </c>
      <c r="S778" s="223">
        <v>3</v>
      </c>
      <c r="T778" s="223">
        <v>3</v>
      </c>
      <c r="U778" s="223">
        <v>3</v>
      </c>
      <c r="V778" s="223">
        <v>3</v>
      </c>
      <c r="W778" s="968">
        <f t="shared" ref="W778:W783" si="1508">V778</f>
        <v>3</v>
      </c>
      <c r="X778" s="223">
        <v>3</v>
      </c>
      <c r="Y778" s="223">
        <v>3</v>
      </c>
      <c r="Z778" s="223">
        <v>3</v>
      </c>
      <c r="AA778" s="223">
        <v>3</v>
      </c>
      <c r="AB778" s="968">
        <f t="shared" ref="AB778:AB783" si="1509">AA778</f>
        <v>3</v>
      </c>
      <c r="AC778" s="223">
        <v>3</v>
      </c>
      <c r="AD778" s="223">
        <v>3</v>
      </c>
      <c r="AE778" s="223">
        <v>3</v>
      </c>
      <c r="AF778" s="223">
        <v>3</v>
      </c>
      <c r="AG778" s="968">
        <f t="shared" ref="AG778:AG783" si="1510">AF778</f>
        <v>3</v>
      </c>
      <c r="AH778" s="223">
        <v>3</v>
      </c>
      <c r="AI778" s="223">
        <v>3</v>
      </c>
      <c r="AJ778" s="223">
        <v>3</v>
      </c>
      <c r="AK778" s="223">
        <v>3</v>
      </c>
      <c r="AL778" s="968">
        <f t="shared" ref="AL778:AL783" si="1511">AK778</f>
        <v>3</v>
      </c>
      <c r="AM778" s="223">
        <v>3</v>
      </c>
      <c r="AN778" s="223">
        <v>5</v>
      </c>
      <c r="AO778" s="223">
        <v>5</v>
      </c>
      <c r="AP778" s="223">
        <v>5</v>
      </c>
      <c r="AQ778" s="968">
        <f t="shared" ref="AQ778:AQ783" si="1512">AP778</f>
        <v>5</v>
      </c>
      <c r="AR778" s="223">
        <v>5</v>
      </c>
      <c r="AS778" s="223">
        <v>5</v>
      </c>
      <c r="AT778" s="223">
        <v>5</v>
      </c>
      <c r="AU778" s="223">
        <v>5</v>
      </c>
      <c r="AV778" s="968">
        <f t="shared" ref="AV778:AV783" si="1513">AU778</f>
        <v>5</v>
      </c>
      <c r="AW778" s="223">
        <v>5</v>
      </c>
      <c r="AX778" s="223">
        <v>5</v>
      </c>
      <c r="AY778" s="223">
        <v>5</v>
      </c>
      <c r="AZ778" s="223">
        <v>5</v>
      </c>
      <c r="BA778" s="968">
        <f t="shared" ref="BA778:BA783" si="1514">AZ778</f>
        <v>5</v>
      </c>
      <c r="BB778" s="223">
        <v>5</v>
      </c>
      <c r="BC778" s="223">
        <v>5</v>
      </c>
      <c r="BD778" s="223">
        <v>5</v>
      </c>
      <c r="BE778" s="223">
        <v>5</v>
      </c>
      <c r="BF778" s="968">
        <f t="shared" ref="BF778:BF783" si="1515">BE778</f>
        <v>5</v>
      </c>
      <c r="BG778" s="223">
        <v>5</v>
      </c>
      <c r="BH778" s="223">
        <v>5</v>
      </c>
      <c r="BI778" s="223">
        <v>5</v>
      </c>
      <c r="BJ778" s="223">
        <v>5</v>
      </c>
      <c r="BK778" s="968">
        <f t="shared" ref="BK778:BK783" si="1516">BJ778</f>
        <v>5</v>
      </c>
      <c r="BL778" s="223">
        <v>5</v>
      </c>
      <c r="BM778" s="223">
        <v>5</v>
      </c>
      <c r="BN778" s="223">
        <v>5</v>
      </c>
      <c r="BO778" s="223">
        <v>5</v>
      </c>
      <c r="BP778" s="968">
        <f t="shared" ref="BP778:BP783" si="1517">BO778</f>
        <v>5</v>
      </c>
      <c r="BQ778" s="223">
        <v>5</v>
      </c>
      <c r="BR778" s="223">
        <v>5</v>
      </c>
      <c r="BS778" s="223">
        <v>5</v>
      </c>
      <c r="BT778" s="223">
        <v>5</v>
      </c>
      <c r="BU778" s="968">
        <f t="shared" ref="BU778:BU783" si="1518">BT778</f>
        <v>5</v>
      </c>
      <c r="BV778" s="223">
        <v>5</v>
      </c>
      <c r="BW778" s="223">
        <v>5</v>
      </c>
      <c r="BX778" s="223">
        <v>5</v>
      </c>
      <c r="BY778" s="223">
        <v>5</v>
      </c>
      <c r="BZ778" s="968">
        <f t="shared" ref="BZ778:BZ783" si="1519">BY778</f>
        <v>5</v>
      </c>
      <c r="CA778" s="223">
        <v>5</v>
      </c>
      <c r="CB778" s="223">
        <v>5</v>
      </c>
      <c r="CC778" s="223">
        <v>5</v>
      </c>
      <c r="CD778" s="223">
        <v>5</v>
      </c>
      <c r="CE778" s="968">
        <f t="shared" ref="CE778:CE783" si="1520">CD778</f>
        <v>5</v>
      </c>
      <c r="CF778" s="2687">
        <v>5</v>
      </c>
      <c r="CG778" s="223">
        <f>CF778</f>
        <v>5</v>
      </c>
      <c r="CH778" s="223">
        <v>5</v>
      </c>
      <c r="CI778" s="223">
        <v>5</v>
      </c>
      <c r="CJ778" s="968">
        <f t="shared" ref="CJ778:CJ783" si="1521">CI778</f>
        <v>5</v>
      </c>
      <c r="CK778" s="2687">
        <v>5</v>
      </c>
      <c r="CL778" s="223">
        <v>5</v>
      </c>
      <c r="CM778" s="223">
        <v>5</v>
      </c>
      <c r="CN778" s="223">
        <v>5</v>
      </c>
      <c r="CO778" s="968">
        <f t="shared" ref="CO778:CO783" si="1522">CN778</f>
        <v>5</v>
      </c>
      <c r="CP778" s="223">
        <v>5</v>
      </c>
      <c r="CQ778" s="223">
        <v>5</v>
      </c>
      <c r="CR778" s="223">
        <v>5</v>
      </c>
      <c r="CS778" s="215">
        <f t="shared" ref="CS778:CT783" si="1523">CR778</f>
        <v>5</v>
      </c>
      <c r="CT778" s="968">
        <f t="shared" si="1523"/>
        <v>5</v>
      </c>
      <c r="CU778" s="215">
        <f t="shared" ref="CU778:DA779" si="1524">CT778</f>
        <v>5</v>
      </c>
      <c r="CV778" s="215">
        <f t="shared" si="1524"/>
        <v>5</v>
      </c>
      <c r="CW778" s="215">
        <f t="shared" si="1524"/>
        <v>5</v>
      </c>
      <c r="CX778" s="215">
        <f t="shared" si="1524"/>
        <v>5</v>
      </c>
      <c r="CY778" s="968">
        <f t="shared" si="1524"/>
        <v>5</v>
      </c>
      <c r="CZ778" s="968">
        <f t="shared" si="1524"/>
        <v>5</v>
      </c>
      <c r="DA778" s="968">
        <f t="shared" si="1524"/>
        <v>5</v>
      </c>
      <c r="DB778"/>
      <c r="DC778"/>
      <c r="DD778" s="2285" t="s">
        <v>909</v>
      </c>
      <c r="DE778" s="2290">
        <f t="shared" ref="DE778:DE784" si="1525">M778</f>
        <v>3</v>
      </c>
      <c r="DF778" s="2290">
        <f t="shared" ref="DF778:DF784" si="1526">R778</f>
        <v>3</v>
      </c>
      <c r="DG778" s="2290">
        <f t="shared" ref="DG778:DG784" si="1527">W778</f>
        <v>3</v>
      </c>
      <c r="DH778" s="2290">
        <f t="shared" ref="DH778:DH784" si="1528">AB778</f>
        <v>3</v>
      </c>
      <c r="DI778" s="2290">
        <f t="shared" ref="DI778:DI784" si="1529">AG778</f>
        <v>3</v>
      </c>
      <c r="DJ778" s="2290">
        <f t="shared" ref="DJ778:DJ784" si="1530">AL778</f>
        <v>3</v>
      </c>
      <c r="DK778" s="2290">
        <f t="shared" ref="DK778:DK784" si="1531">AQ778</f>
        <v>5</v>
      </c>
      <c r="DL778" s="2290">
        <f t="shared" ref="DL778:DL784" si="1532">AV778</f>
        <v>5</v>
      </c>
      <c r="DM778" s="2290">
        <f t="shared" ref="DM778:DM784" si="1533">BA778</f>
        <v>5</v>
      </c>
      <c r="DN778" s="2290">
        <f t="shared" ref="DN778:DN784" si="1534">BF778</f>
        <v>5</v>
      </c>
      <c r="DO778" s="2290">
        <f t="shared" ref="DO778:DO784" si="1535">BK778</f>
        <v>5</v>
      </c>
      <c r="DP778" s="2290">
        <f t="shared" ref="DP778:DP784" si="1536">BP778</f>
        <v>5</v>
      </c>
      <c r="DQ778" s="2290">
        <f t="shared" ref="DQ778:DQ784" si="1537">BU778</f>
        <v>5</v>
      </c>
      <c r="DR778" s="2290">
        <f t="shared" ref="DR778:DR784" si="1538">BZ778</f>
        <v>5</v>
      </c>
      <c r="DS778" s="2290">
        <f t="shared" ref="DS778:DS784" si="1539">CE778</f>
        <v>5</v>
      </c>
      <c r="DT778" s="2290">
        <f t="shared" ref="DT778:DT784" si="1540">CJ778</f>
        <v>5</v>
      </c>
      <c r="DU778" s="2290">
        <f t="shared" ref="DU778:DU784" si="1541">CO778</f>
        <v>5</v>
      </c>
      <c r="DV778" s="2290">
        <f t="shared" ref="DV778:DV784" si="1542">CT778</f>
        <v>5</v>
      </c>
      <c r="DW778" s="2290">
        <f t="shared" ref="DW778:DW784" si="1543">CY778</f>
        <v>5</v>
      </c>
      <c r="DX778" s="2290">
        <f t="shared" ref="DX778:DX784" si="1544">CZ778</f>
        <v>5</v>
      </c>
      <c r="DY778" s="2290">
        <f t="shared" ref="DY778:DY784" si="1545">DA778</f>
        <v>5</v>
      </c>
      <c r="EA778"/>
      <c r="EB778"/>
      <c r="EC778"/>
      <c r="ED778"/>
      <c r="EE778"/>
      <c r="EF778"/>
      <c r="EJ778"/>
      <c r="EK778"/>
      <c r="EL778"/>
      <c r="EM778" s="1703"/>
      <c r="ER778" s="212"/>
    </row>
    <row r="779" spans="1:148" s="923" customFormat="1" ht="12.75" customHeight="1" x14ac:dyDescent="0.2">
      <c r="A779" s="504" t="s">
        <v>910</v>
      </c>
      <c r="B779" s="223"/>
      <c r="C779" s="223"/>
      <c r="D779" s="223"/>
      <c r="E779" s="223"/>
      <c r="F779" s="223"/>
      <c r="G779" s="223"/>
      <c r="H779" s="223"/>
      <c r="I779" s="223">
        <v>2755</v>
      </c>
      <c r="J779" s="223">
        <v>3749</v>
      </c>
      <c r="K779" s="223">
        <v>3663</v>
      </c>
      <c r="L779" s="223">
        <v>3590</v>
      </c>
      <c r="M779" s="968">
        <f t="shared" si="1506"/>
        <v>3590</v>
      </c>
      <c r="N779" s="223">
        <v>3454</v>
      </c>
      <c r="O779" s="223">
        <v>3445</v>
      </c>
      <c r="P779" s="223">
        <v>3426</v>
      </c>
      <c r="Q779" s="223">
        <v>3378</v>
      </c>
      <c r="R779" s="968">
        <f t="shared" si="1507"/>
        <v>3378</v>
      </c>
      <c r="S779" s="223">
        <v>3213</v>
      </c>
      <c r="T779" s="223">
        <v>3186</v>
      </c>
      <c r="U779" s="223">
        <v>3174</v>
      </c>
      <c r="V779" s="223">
        <v>3181</v>
      </c>
      <c r="W779" s="968">
        <f t="shared" si="1508"/>
        <v>3181</v>
      </c>
      <c r="X779" s="223">
        <v>3280</v>
      </c>
      <c r="Y779" s="223">
        <v>3280</v>
      </c>
      <c r="Z779" s="223">
        <v>3298</v>
      </c>
      <c r="AA779" s="223">
        <v>3317</v>
      </c>
      <c r="AB779" s="968">
        <f t="shared" si="1509"/>
        <v>3317</v>
      </c>
      <c r="AC779" s="223">
        <v>3362</v>
      </c>
      <c r="AD779" s="223">
        <v>3376</v>
      </c>
      <c r="AE779" s="223">
        <v>3366</v>
      </c>
      <c r="AF779" s="223">
        <v>3423</v>
      </c>
      <c r="AG779" s="968">
        <f t="shared" si="1510"/>
        <v>3423</v>
      </c>
      <c r="AH779" s="223">
        <v>3479</v>
      </c>
      <c r="AI779" s="223">
        <v>3498</v>
      </c>
      <c r="AJ779" s="223">
        <v>3530</v>
      </c>
      <c r="AK779" s="223">
        <v>3564</v>
      </c>
      <c r="AL779" s="968">
        <f t="shared" si="1511"/>
        <v>3564</v>
      </c>
      <c r="AM779" s="223">
        <v>3369</v>
      </c>
      <c r="AN779" s="223">
        <v>3441</v>
      </c>
      <c r="AO779" s="223">
        <v>3486</v>
      </c>
      <c r="AP779" s="223">
        <v>3617</v>
      </c>
      <c r="AQ779" s="968">
        <f t="shared" si="1512"/>
        <v>3617</v>
      </c>
      <c r="AR779" s="223">
        <v>3483</v>
      </c>
      <c r="AS779" s="223">
        <v>3424</v>
      </c>
      <c r="AT779" s="223">
        <v>3468</v>
      </c>
      <c r="AU779" s="223">
        <v>3531</v>
      </c>
      <c r="AV779" s="968">
        <f t="shared" si="1513"/>
        <v>3531</v>
      </c>
      <c r="AW779" s="223">
        <v>3477</v>
      </c>
      <c r="AX779" s="223">
        <v>3511</v>
      </c>
      <c r="AY779" s="223">
        <v>3542</v>
      </c>
      <c r="AZ779" s="223">
        <v>3590</v>
      </c>
      <c r="BA779" s="968">
        <f t="shared" si="1514"/>
        <v>3590</v>
      </c>
      <c r="BB779" s="223">
        <v>3520</v>
      </c>
      <c r="BC779" s="223">
        <v>3538</v>
      </c>
      <c r="BD779" s="223">
        <v>3556</v>
      </c>
      <c r="BE779" s="223">
        <v>3585</v>
      </c>
      <c r="BF779" s="968">
        <f t="shared" si="1515"/>
        <v>3585</v>
      </c>
      <c r="BG779" s="223">
        <v>3524</v>
      </c>
      <c r="BH779" s="223">
        <v>3552</v>
      </c>
      <c r="BI779" s="223">
        <v>3580</v>
      </c>
      <c r="BJ779" s="223">
        <v>3644</v>
      </c>
      <c r="BK779" s="968">
        <f t="shared" si="1516"/>
        <v>3644</v>
      </c>
      <c r="BL779" s="223">
        <v>3587</v>
      </c>
      <c r="BM779" s="223">
        <v>3615</v>
      </c>
      <c r="BN779" s="223">
        <v>3657</v>
      </c>
      <c r="BO779" s="223">
        <v>2513</v>
      </c>
      <c r="BP779" s="968">
        <f t="shared" si="1517"/>
        <v>2513</v>
      </c>
      <c r="BQ779" s="223">
        <v>2438</v>
      </c>
      <c r="BR779" s="223">
        <v>2464</v>
      </c>
      <c r="BS779" s="223">
        <v>2515</v>
      </c>
      <c r="BT779" s="223">
        <v>2585</v>
      </c>
      <c r="BU779" s="968">
        <f t="shared" si="1518"/>
        <v>2585</v>
      </c>
      <c r="BV779" s="223">
        <v>2542</v>
      </c>
      <c r="BW779" s="223">
        <v>2578</v>
      </c>
      <c r="BX779" s="223">
        <v>2670</v>
      </c>
      <c r="BY779" s="223">
        <v>2716</v>
      </c>
      <c r="BZ779" s="968">
        <f t="shared" si="1519"/>
        <v>2716</v>
      </c>
      <c r="CA779" s="223">
        <v>2664</v>
      </c>
      <c r="CB779" s="223">
        <v>2707</v>
      </c>
      <c r="CC779" s="223">
        <v>2753</v>
      </c>
      <c r="CD779" s="223">
        <v>2802</v>
      </c>
      <c r="CE779" s="968">
        <f t="shared" si="1520"/>
        <v>2802</v>
      </c>
      <c r="CF779" s="2687">
        <v>2740</v>
      </c>
      <c r="CG779" s="223">
        <v>2781</v>
      </c>
      <c r="CH779" s="223">
        <v>2791</v>
      </c>
      <c r="CI779" s="223">
        <v>2821</v>
      </c>
      <c r="CJ779" s="968">
        <f t="shared" si="1521"/>
        <v>2821</v>
      </c>
      <c r="CK779" s="2687">
        <v>2751</v>
      </c>
      <c r="CL779" s="223">
        <v>2787</v>
      </c>
      <c r="CM779" s="223">
        <v>5740</v>
      </c>
      <c r="CN779" s="223">
        <v>5808</v>
      </c>
      <c r="CO779" s="968">
        <f t="shared" si="1522"/>
        <v>5808</v>
      </c>
      <c r="CP779" s="223">
        <v>5711</v>
      </c>
      <c r="CQ779" s="223">
        <v>5712</v>
      </c>
      <c r="CR779" s="223">
        <v>5744</v>
      </c>
      <c r="CS779" s="215">
        <f t="shared" si="1523"/>
        <v>5744</v>
      </c>
      <c r="CT779" s="968">
        <f t="shared" si="1523"/>
        <v>5744</v>
      </c>
      <c r="CU779" s="215">
        <f t="shared" si="1524"/>
        <v>5744</v>
      </c>
      <c r="CV779" s="215">
        <f t="shared" si="1524"/>
        <v>5744</v>
      </c>
      <c r="CW779" s="215">
        <f t="shared" si="1524"/>
        <v>5744</v>
      </c>
      <c r="CX779" s="215">
        <f t="shared" si="1524"/>
        <v>5744</v>
      </c>
      <c r="CY779" s="968">
        <f t="shared" si="1524"/>
        <v>5744</v>
      </c>
      <c r="CZ779" s="968">
        <f t="shared" si="1524"/>
        <v>5744</v>
      </c>
      <c r="DA779" s="968">
        <f t="shared" si="1524"/>
        <v>5744</v>
      </c>
      <c r="DB779"/>
      <c r="DC779"/>
      <c r="DD779" s="2285" t="s">
        <v>910</v>
      </c>
      <c r="DE779" s="2290">
        <f t="shared" si="1525"/>
        <v>3590</v>
      </c>
      <c r="DF779" s="2290">
        <f t="shared" si="1526"/>
        <v>3378</v>
      </c>
      <c r="DG779" s="2290">
        <f t="shared" si="1527"/>
        <v>3181</v>
      </c>
      <c r="DH779" s="2290">
        <f t="shared" si="1528"/>
        <v>3317</v>
      </c>
      <c r="DI779" s="2290">
        <f t="shared" si="1529"/>
        <v>3423</v>
      </c>
      <c r="DJ779" s="2290">
        <f t="shared" si="1530"/>
        <v>3564</v>
      </c>
      <c r="DK779" s="2290">
        <f t="shared" si="1531"/>
        <v>3617</v>
      </c>
      <c r="DL779" s="2290">
        <f t="shared" si="1532"/>
        <v>3531</v>
      </c>
      <c r="DM779" s="2290">
        <f t="shared" si="1533"/>
        <v>3590</v>
      </c>
      <c r="DN779" s="2290">
        <f t="shared" si="1534"/>
        <v>3585</v>
      </c>
      <c r="DO779" s="2290">
        <f t="shared" si="1535"/>
        <v>3644</v>
      </c>
      <c r="DP779" s="2290">
        <f t="shared" si="1536"/>
        <v>2513</v>
      </c>
      <c r="DQ779" s="2290">
        <f t="shared" si="1537"/>
        <v>2585</v>
      </c>
      <c r="DR779" s="2290">
        <f t="shared" si="1538"/>
        <v>2716</v>
      </c>
      <c r="DS779" s="2290">
        <f t="shared" si="1539"/>
        <v>2802</v>
      </c>
      <c r="DT779" s="2290">
        <f t="shared" si="1540"/>
        <v>2821</v>
      </c>
      <c r="DU779" s="2290">
        <f t="shared" si="1541"/>
        <v>5808</v>
      </c>
      <c r="DV779" s="2290">
        <f t="shared" si="1542"/>
        <v>5744</v>
      </c>
      <c r="DW779" s="2290">
        <f t="shared" si="1543"/>
        <v>5744</v>
      </c>
      <c r="DX779" s="2290">
        <f t="shared" si="1544"/>
        <v>5744</v>
      </c>
      <c r="DY779" s="2290">
        <f t="shared" si="1545"/>
        <v>5744</v>
      </c>
      <c r="EA779"/>
      <c r="EB779"/>
      <c r="EC779"/>
      <c r="ED779"/>
      <c r="EE779"/>
      <c r="EF779"/>
      <c r="EJ779"/>
      <c r="EK779"/>
      <c r="EL779"/>
      <c r="EM779" s="1703"/>
      <c r="ER779" s="212"/>
    </row>
    <row r="780" spans="1:148" s="923" customFormat="1" ht="12.75" customHeight="1" x14ac:dyDescent="0.2">
      <c r="A780" s="504" t="s">
        <v>911</v>
      </c>
      <c r="B780" s="223"/>
      <c r="C780" s="223"/>
      <c r="D780" s="223"/>
      <c r="E780" s="223"/>
      <c r="F780" s="223"/>
      <c r="G780" s="223"/>
      <c r="H780" s="223"/>
      <c r="I780" s="223">
        <v>544</v>
      </c>
      <c r="J780" s="223">
        <v>641</v>
      </c>
      <c r="K780" s="223">
        <v>715</v>
      </c>
      <c r="L780" s="223">
        <v>851</v>
      </c>
      <c r="M780" s="968">
        <f t="shared" si="1506"/>
        <v>851</v>
      </c>
      <c r="N780" s="223">
        <v>895</v>
      </c>
      <c r="O780" s="223">
        <v>985</v>
      </c>
      <c r="P780" s="223">
        <v>1062</v>
      </c>
      <c r="Q780" s="223">
        <v>941</v>
      </c>
      <c r="R780" s="968">
        <f t="shared" si="1507"/>
        <v>941</v>
      </c>
      <c r="S780" s="223">
        <v>993</v>
      </c>
      <c r="T780" s="223">
        <v>1103</v>
      </c>
      <c r="U780" s="223">
        <v>1184</v>
      </c>
      <c r="V780" s="223">
        <v>1126</v>
      </c>
      <c r="W780" s="968">
        <f t="shared" si="1508"/>
        <v>1126</v>
      </c>
      <c r="X780" s="223">
        <v>1215</v>
      </c>
      <c r="Y780" s="223">
        <v>1305</v>
      </c>
      <c r="Z780" s="223">
        <v>1374</v>
      </c>
      <c r="AA780" s="223">
        <v>1505</v>
      </c>
      <c r="AB780" s="968">
        <f t="shared" si="1509"/>
        <v>1505</v>
      </c>
      <c r="AC780" s="223">
        <v>1559</v>
      </c>
      <c r="AD780" s="223">
        <v>1661</v>
      </c>
      <c r="AE780" s="223">
        <v>1804</v>
      </c>
      <c r="AF780" s="223">
        <v>1951</v>
      </c>
      <c r="AG780" s="968">
        <f t="shared" si="1510"/>
        <v>1951</v>
      </c>
      <c r="AH780" s="223">
        <v>2055</v>
      </c>
      <c r="AI780" s="223">
        <v>2172</v>
      </c>
      <c r="AJ780" s="223">
        <v>2291</v>
      </c>
      <c r="AK780" s="223">
        <v>2500</v>
      </c>
      <c r="AL780" s="968">
        <f t="shared" si="1511"/>
        <v>2500</v>
      </c>
      <c r="AM780" s="223">
        <v>2441</v>
      </c>
      <c r="AN780" s="223">
        <v>2598</v>
      </c>
      <c r="AO780" s="223">
        <v>2704</v>
      </c>
      <c r="AP780" s="223">
        <v>2860</v>
      </c>
      <c r="AQ780" s="968">
        <f t="shared" si="1512"/>
        <v>2860</v>
      </c>
      <c r="AR780" s="223">
        <v>2927</v>
      </c>
      <c r="AS780" s="223">
        <v>3094</v>
      </c>
      <c r="AT780" s="223">
        <v>3188</v>
      </c>
      <c r="AU780" s="223">
        <v>3332</v>
      </c>
      <c r="AV780" s="968">
        <f t="shared" si="1513"/>
        <v>3332</v>
      </c>
      <c r="AW780" s="223">
        <v>3430</v>
      </c>
      <c r="AX780" s="223">
        <v>3549</v>
      </c>
      <c r="AY780" s="223">
        <v>3610</v>
      </c>
      <c r="AZ780" s="223">
        <v>3565</v>
      </c>
      <c r="BA780" s="968">
        <f t="shared" si="1514"/>
        <v>3565</v>
      </c>
      <c r="BB780" s="223">
        <v>3541</v>
      </c>
      <c r="BC780" s="223">
        <v>3540</v>
      </c>
      <c r="BD780" s="223">
        <v>3038</v>
      </c>
      <c r="BE780" s="223">
        <v>3103</v>
      </c>
      <c r="BF780" s="968">
        <f t="shared" si="1515"/>
        <v>3103</v>
      </c>
      <c r="BG780" s="223">
        <f>3038</f>
        <v>3038</v>
      </c>
      <c r="BH780" s="223">
        <f>3130</f>
        <v>3130</v>
      </c>
      <c r="BI780" s="223">
        <f>3191</f>
        <v>3191</v>
      </c>
      <c r="BJ780" s="223">
        <f>3286</f>
        <v>3286</v>
      </c>
      <c r="BK780" s="968">
        <f t="shared" si="1516"/>
        <v>3286</v>
      </c>
      <c r="BL780" s="223">
        <f>3310</f>
        <v>3310</v>
      </c>
      <c r="BM780" s="223">
        <f>3401</f>
        <v>3401</v>
      </c>
      <c r="BN780" s="223">
        <f>3165</f>
        <v>3165</v>
      </c>
      <c r="BO780" s="223">
        <f>3212</f>
        <v>3212</v>
      </c>
      <c r="BP780" s="968">
        <f t="shared" si="1517"/>
        <v>3212</v>
      </c>
      <c r="BQ780" s="223">
        <v>3249</v>
      </c>
      <c r="BR780" s="223">
        <v>3335</v>
      </c>
      <c r="BS780" s="223">
        <v>3434</v>
      </c>
      <c r="BT780" s="223">
        <v>3509</v>
      </c>
      <c r="BU780" s="968">
        <f t="shared" si="1518"/>
        <v>3509</v>
      </c>
      <c r="BV780" s="223">
        <v>3549</v>
      </c>
      <c r="BW780" s="223">
        <v>3662</v>
      </c>
      <c r="BX780" s="223">
        <v>3763</v>
      </c>
      <c r="BY780" s="223">
        <v>3837</v>
      </c>
      <c r="BZ780" s="968">
        <f t="shared" si="1519"/>
        <v>3837</v>
      </c>
      <c r="CA780" s="223">
        <v>3917</v>
      </c>
      <c r="CB780" s="223">
        <v>4030</v>
      </c>
      <c r="CC780" s="223">
        <v>4156</v>
      </c>
      <c r="CD780" s="223">
        <v>4286</v>
      </c>
      <c r="CE780" s="968">
        <f t="shared" si="1520"/>
        <v>4286</v>
      </c>
      <c r="CF780" s="2687">
        <v>4401</v>
      </c>
      <c r="CG780" s="223">
        <f>CF780+CG718+CG51</f>
        <v>4573</v>
      </c>
      <c r="CH780" s="223">
        <v>4740</v>
      </c>
      <c r="CI780" s="223">
        <v>4878</v>
      </c>
      <c r="CJ780" s="968">
        <f t="shared" si="1521"/>
        <v>4878</v>
      </c>
      <c r="CK780" s="2687">
        <v>5025</v>
      </c>
      <c r="CL780" s="223">
        <v>5185</v>
      </c>
      <c r="CM780" s="223">
        <v>6375</v>
      </c>
      <c r="CN780" s="223">
        <v>6501</v>
      </c>
      <c r="CO780" s="968">
        <f t="shared" si="1522"/>
        <v>6501</v>
      </c>
      <c r="CP780" s="223">
        <v>6750</v>
      </c>
      <c r="CQ780" s="223">
        <v>7040</v>
      </c>
      <c r="CR780" s="223">
        <v>7310</v>
      </c>
      <c r="CS780" s="215">
        <f>CR780+CS718+CS51</f>
        <v>7390.5169999999998</v>
      </c>
      <c r="CT780" s="968">
        <f t="shared" si="1523"/>
        <v>7390.5169999999998</v>
      </c>
      <c r="CU780" s="215">
        <f ca="1">CT780+CU718+CU51</f>
        <v>7732.7783796936228</v>
      </c>
      <c r="CV780" s="215">
        <f ca="1">CU780+CV718+CV51</f>
        <v>8097.0060219845755</v>
      </c>
      <c r="CW780" s="215">
        <f ca="1">CV780+CW718+CW51</f>
        <v>8447.0548001333045</v>
      </c>
      <c r="CX780" s="215">
        <f ca="1">CW780+CX718+CX51</f>
        <v>8819.516758375481</v>
      </c>
      <c r="CY780" s="968">
        <f ca="1">CX780</f>
        <v>8819.516758375481</v>
      </c>
      <c r="CZ780" s="968">
        <f ca="1">CY780+CZ718+CZ51</f>
        <v>10498.099051325975</v>
      </c>
      <c r="DA780" s="968">
        <f ca="1">CZ780+DA718+DA51</f>
        <v>12148.605791840504</v>
      </c>
      <c r="DB780"/>
      <c r="DC780"/>
      <c r="DD780" s="2285" t="s">
        <v>911</v>
      </c>
      <c r="DE780" s="2290">
        <f t="shared" si="1525"/>
        <v>851</v>
      </c>
      <c r="DF780" s="2290">
        <f t="shared" si="1526"/>
        <v>941</v>
      </c>
      <c r="DG780" s="2290">
        <f t="shared" si="1527"/>
        <v>1126</v>
      </c>
      <c r="DH780" s="2290">
        <f t="shared" si="1528"/>
        <v>1505</v>
      </c>
      <c r="DI780" s="2290">
        <f t="shared" si="1529"/>
        <v>1951</v>
      </c>
      <c r="DJ780" s="2290">
        <f t="shared" si="1530"/>
        <v>2500</v>
      </c>
      <c r="DK780" s="2290">
        <f t="shared" si="1531"/>
        <v>2860</v>
      </c>
      <c r="DL780" s="2290">
        <f t="shared" si="1532"/>
        <v>3332</v>
      </c>
      <c r="DM780" s="2290">
        <f t="shared" si="1533"/>
        <v>3565</v>
      </c>
      <c r="DN780" s="2290">
        <f t="shared" si="1534"/>
        <v>3103</v>
      </c>
      <c r="DO780" s="2290">
        <f t="shared" si="1535"/>
        <v>3286</v>
      </c>
      <c r="DP780" s="2290">
        <f t="shared" si="1536"/>
        <v>3212</v>
      </c>
      <c r="DQ780" s="2290">
        <f t="shared" si="1537"/>
        <v>3509</v>
      </c>
      <c r="DR780" s="2290">
        <f t="shared" si="1538"/>
        <v>3837</v>
      </c>
      <c r="DS780" s="2290">
        <f t="shared" si="1539"/>
        <v>4286</v>
      </c>
      <c r="DT780" s="2290">
        <f t="shared" si="1540"/>
        <v>4878</v>
      </c>
      <c r="DU780" s="2290">
        <f t="shared" si="1541"/>
        <v>6501</v>
      </c>
      <c r="DV780" s="2290">
        <f t="shared" si="1542"/>
        <v>7390.5169999999998</v>
      </c>
      <c r="DW780" s="2290">
        <f t="shared" ca="1" si="1543"/>
        <v>8819.516758375481</v>
      </c>
      <c r="DX780" s="2290">
        <f t="shared" ca="1" si="1544"/>
        <v>10498.099051325975</v>
      </c>
      <c r="DY780" s="2290">
        <f t="shared" ca="1" si="1545"/>
        <v>12148.605791840504</v>
      </c>
      <c r="EA780"/>
      <c r="EB780"/>
      <c r="EC780"/>
      <c r="ED780"/>
      <c r="EE780"/>
      <c r="EF780"/>
      <c r="EJ780"/>
      <c r="EK780"/>
      <c r="EL780"/>
      <c r="EM780" s="1703"/>
      <c r="ER780" s="212"/>
    </row>
    <row r="781" spans="1:148" s="923" customFormat="1" ht="12.75" customHeight="1" x14ac:dyDescent="0.2">
      <c r="A781" s="504" t="s">
        <v>912</v>
      </c>
      <c r="B781" s="223"/>
      <c r="C781" s="223"/>
      <c r="D781" s="223"/>
      <c r="E781" s="223"/>
      <c r="F781" s="223"/>
      <c r="G781" s="223"/>
      <c r="H781" s="223"/>
      <c r="I781" s="223">
        <v>0</v>
      </c>
      <c r="J781" s="223">
        <v>-991</v>
      </c>
      <c r="K781" s="223">
        <v>-830</v>
      </c>
      <c r="L781" s="223">
        <v>-679</v>
      </c>
      <c r="M781" s="968">
        <f t="shared" si="1506"/>
        <v>-679</v>
      </c>
      <c r="N781" s="223">
        <v>-462</v>
      </c>
      <c r="O781" s="223">
        <v>-411</v>
      </c>
      <c r="P781" s="223">
        <v>-372</v>
      </c>
      <c r="Q781" s="223">
        <v>-291</v>
      </c>
      <c r="R781" s="968">
        <f t="shared" si="1507"/>
        <v>-291</v>
      </c>
      <c r="S781" s="223">
        <v>-66</v>
      </c>
      <c r="T781" s="223">
        <v>-22</v>
      </c>
      <c r="U781" s="223">
        <v>0</v>
      </c>
      <c r="V781" s="223">
        <v>0</v>
      </c>
      <c r="W781" s="968">
        <f t="shared" si="1508"/>
        <v>0</v>
      </c>
      <c r="X781" s="223">
        <v>0</v>
      </c>
      <c r="Y781" s="223">
        <v>0</v>
      </c>
      <c r="Z781" s="223">
        <v>0</v>
      </c>
      <c r="AA781" s="223">
        <v>-81</v>
      </c>
      <c r="AB781" s="968">
        <f t="shared" si="1509"/>
        <v>-81</v>
      </c>
      <c r="AC781" s="223">
        <v>-138</v>
      </c>
      <c r="AD781" s="223">
        <v>-129</v>
      </c>
      <c r="AE781" s="223">
        <v>-121</v>
      </c>
      <c r="AF781" s="223">
        <v>-108</v>
      </c>
      <c r="AG781" s="968">
        <f t="shared" si="1510"/>
        <v>-108</v>
      </c>
      <c r="AH781" s="223">
        <v>-182</v>
      </c>
      <c r="AI781" s="223">
        <v>-169</v>
      </c>
      <c r="AJ781" s="223">
        <v>-153</v>
      </c>
      <c r="AK781" s="223">
        <v>-137</v>
      </c>
      <c r="AL781" s="968">
        <f t="shared" si="1511"/>
        <v>-137</v>
      </c>
      <c r="AM781" s="223">
        <v>0</v>
      </c>
      <c r="AN781" s="223">
        <v>0</v>
      </c>
      <c r="AO781" s="223">
        <v>0</v>
      </c>
      <c r="AP781" s="223">
        <v>0</v>
      </c>
      <c r="AQ781" s="968">
        <f t="shared" si="1512"/>
        <v>0</v>
      </c>
      <c r="AR781" s="223">
        <v>0</v>
      </c>
      <c r="AS781" s="223">
        <v>0</v>
      </c>
      <c r="AT781" s="223">
        <v>0</v>
      </c>
      <c r="AU781" s="223">
        <v>0</v>
      </c>
      <c r="AV781" s="968">
        <f t="shared" si="1513"/>
        <v>0</v>
      </c>
      <c r="AW781" s="223">
        <v>0</v>
      </c>
      <c r="AX781" s="223">
        <v>0</v>
      </c>
      <c r="AY781" s="223">
        <v>0</v>
      </c>
      <c r="AZ781" s="223">
        <v>0</v>
      </c>
      <c r="BA781" s="968">
        <f t="shared" si="1514"/>
        <v>0</v>
      </c>
      <c r="BB781" s="223">
        <v>0</v>
      </c>
      <c r="BC781" s="223">
        <v>0</v>
      </c>
      <c r="BD781" s="223">
        <v>0</v>
      </c>
      <c r="BE781" s="223">
        <f>BD781</f>
        <v>0</v>
      </c>
      <c r="BF781" s="968">
        <f t="shared" si="1515"/>
        <v>0</v>
      </c>
      <c r="BG781" s="223">
        <f>BF781</f>
        <v>0</v>
      </c>
      <c r="BH781" s="223">
        <v>0</v>
      </c>
      <c r="BI781" s="223">
        <f>BH781</f>
        <v>0</v>
      </c>
      <c r="BJ781" s="223">
        <v>0</v>
      </c>
      <c r="BK781" s="968">
        <f t="shared" si="1516"/>
        <v>0</v>
      </c>
      <c r="BL781" s="223">
        <v>0</v>
      </c>
      <c r="BM781" s="223">
        <v>0</v>
      </c>
      <c r="BN781" s="223">
        <v>0</v>
      </c>
      <c r="BO781" s="223">
        <v>0</v>
      </c>
      <c r="BP781" s="968">
        <f t="shared" si="1517"/>
        <v>0</v>
      </c>
      <c r="BQ781" s="223">
        <v>0</v>
      </c>
      <c r="BR781" s="223">
        <v>0</v>
      </c>
      <c r="BS781" s="223">
        <v>0</v>
      </c>
      <c r="BT781" s="223">
        <v>0</v>
      </c>
      <c r="BU781" s="968">
        <f t="shared" si="1518"/>
        <v>0</v>
      </c>
      <c r="BV781" s="223">
        <v>0</v>
      </c>
      <c r="BW781" s="223">
        <v>0</v>
      </c>
      <c r="BX781" s="223">
        <v>0</v>
      </c>
      <c r="BY781" s="223">
        <v>0</v>
      </c>
      <c r="BZ781" s="968">
        <f t="shared" si="1519"/>
        <v>0</v>
      </c>
      <c r="CA781" s="223">
        <v>0</v>
      </c>
      <c r="CB781" s="223">
        <v>0</v>
      </c>
      <c r="CC781" s="223">
        <v>0</v>
      </c>
      <c r="CD781" s="223">
        <f>CC781</f>
        <v>0</v>
      </c>
      <c r="CE781" s="968">
        <f t="shared" si="1520"/>
        <v>0</v>
      </c>
      <c r="CF781" s="2687">
        <f>CE781</f>
        <v>0</v>
      </c>
      <c r="CG781" s="223">
        <f>CF781</f>
        <v>0</v>
      </c>
      <c r="CH781" s="223">
        <v>0</v>
      </c>
      <c r="CI781" s="223">
        <v>0</v>
      </c>
      <c r="CJ781" s="968">
        <f t="shared" si="1521"/>
        <v>0</v>
      </c>
      <c r="CK781" s="2687">
        <f>CJ781</f>
        <v>0</v>
      </c>
      <c r="CL781" s="223">
        <v>0</v>
      </c>
      <c r="CM781" s="223">
        <v>0</v>
      </c>
      <c r="CN781" s="223">
        <v>0</v>
      </c>
      <c r="CO781" s="968">
        <f t="shared" si="1522"/>
        <v>0</v>
      </c>
      <c r="CP781" s="223">
        <v>0</v>
      </c>
      <c r="CQ781" s="223">
        <v>0</v>
      </c>
      <c r="CR781" s="223">
        <v>0</v>
      </c>
      <c r="CS781" s="215">
        <f>CR781</f>
        <v>0</v>
      </c>
      <c r="CT781" s="968">
        <f t="shared" si="1523"/>
        <v>0</v>
      </c>
      <c r="CU781" s="215">
        <f>CT781</f>
        <v>0</v>
      </c>
      <c r="CV781" s="215">
        <f>CU781</f>
        <v>0</v>
      </c>
      <c r="CW781" s="215">
        <f>CV781</f>
        <v>0</v>
      </c>
      <c r="CX781" s="215">
        <f>CW781</f>
        <v>0</v>
      </c>
      <c r="CY781" s="968">
        <f>CX781</f>
        <v>0</v>
      </c>
      <c r="CZ781" s="968">
        <f>CY781</f>
        <v>0</v>
      </c>
      <c r="DA781" s="968">
        <f>CZ781</f>
        <v>0</v>
      </c>
      <c r="DB781"/>
      <c r="DC781"/>
      <c r="DD781" s="2285" t="s">
        <v>912</v>
      </c>
      <c r="DE781" s="2290">
        <f t="shared" si="1525"/>
        <v>-679</v>
      </c>
      <c r="DF781" s="2290">
        <f t="shared" si="1526"/>
        <v>-291</v>
      </c>
      <c r="DG781" s="2290">
        <f t="shared" si="1527"/>
        <v>0</v>
      </c>
      <c r="DH781" s="2290">
        <f t="shared" si="1528"/>
        <v>-81</v>
      </c>
      <c r="DI781" s="2290">
        <f t="shared" si="1529"/>
        <v>-108</v>
      </c>
      <c r="DJ781" s="2290">
        <f t="shared" si="1530"/>
        <v>-137</v>
      </c>
      <c r="DK781" s="2290">
        <f t="shared" si="1531"/>
        <v>0</v>
      </c>
      <c r="DL781" s="2290">
        <f t="shared" si="1532"/>
        <v>0</v>
      </c>
      <c r="DM781" s="2290">
        <f t="shared" si="1533"/>
        <v>0</v>
      </c>
      <c r="DN781" s="2290">
        <f t="shared" si="1534"/>
        <v>0</v>
      </c>
      <c r="DO781" s="2290">
        <f t="shared" si="1535"/>
        <v>0</v>
      </c>
      <c r="DP781" s="2290">
        <f t="shared" si="1536"/>
        <v>0</v>
      </c>
      <c r="DQ781" s="2290">
        <f t="shared" si="1537"/>
        <v>0</v>
      </c>
      <c r="DR781" s="2290">
        <f t="shared" si="1538"/>
        <v>0</v>
      </c>
      <c r="DS781" s="2290">
        <f t="shared" si="1539"/>
        <v>0</v>
      </c>
      <c r="DT781" s="2290">
        <f t="shared" si="1540"/>
        <v>0</v>
      </c>
      <c r="DU781" s="2290">
        <f t="shared" si="1541"/>
        <v>0</v>
      </c>
      <c r="DV781" s="2290">
        <f t="shared" si="1542"/>
        <v>0</v>
      </c>
      <c r="DW781" s="2290">
        <f t="shared" si="1543"/>
        <v>0</v>
      </c>
      <c r="DX781" s="2290">
        <f t="shared" si="1544"/>
        <v>0</v>
      </c>
      <c r="DY781" s="2290">
        <f t="shared" si="1545"/>
        <v>0</v>
      </c>
      <c r="EA781"/>
      <c r="EB781"/>
      <c r="EC781"/>
      <c r="ED781"/>
      <c r="EE781"/>
      <c r="EF781"/>
      <c r="EJ781"/>
      <c r="EK781"/>
      <c r="EL781"/>
      <c r="EM781" s="1703"/>
      <c r="ER781" s="212"/>
    </row>
    <row r="782" spans="1:148" s="923" customFormat="1" ht="12.75" customHeight="1" x14ac:dyDescent="0.2">
      <c r="A782" s="504" t="s">
        <v>913</v>
      </c>
      <c r="B782" s="223"/>
      <c r="C782" s="223"/>
      <c r="D782" s="223"/>
      <c r="E782" s="223"/>
      <c r="F782" s="223"/>
      <c r="G782" s="223"/>
      <c r="H782" s="223"/>
      <c r="I782" s="223">
        <v>-472</v>
      </c>
      <c r="J782" s="223">
        <v>-492</v>
      </c>
      <c r="K782" s="223">
        <v>-481</v>
      </c>
      <c r="L782" s="223">
        <v>-454</v>
      </c>
      <c r="M782" s="968">
        <f t="shared" si="1506"/>
        <v>-454</v>
      </c>
      <c r="N782" s="223">
        <v>-381</v>
      </c>
      <c r="O782" s="223">
        <v>-360</v>
      </c>
      <c r="P782" s="223">
        <v>-425</v>
      </c>
      <c r="Q782" s="223">
        <v>-503</v>
      </c>
      <c r="R782" s="968">
        <f t="shared" si="1507"/>
        <v>-503</v>
      </c>
      <c r="S782" s="223">
        <v>-443</v>
      </c>
      <c r="T782" s="223">
        <v>-457</v>
      </c>
      <c r="U782" s="223">
        <v>-555</v>
      </c>
      <c r="V782" s="223">
        <v>-667</v>
      </c>
      <c r="W782" s="968">
        <f t="shared" si="1508"/>
        <v>-667</v>
      </c>
      <c r="X782" s="223">
        <v>-782</v>
      </c>
      <c r="Y782" s="223">
        <v>-777</v>
      </c>
      <c r="Z782" s="223">
        <v>-872</v>
      </c>
      <c r="AA782" s="223">
        <v>-865</v>
      </c>
      <c r="AB782" s="968">
        <f t="shared" si="1509"/>
        <v>-865</v>
      </c>
      <c r="AC782" s="223">
        <v>-1077</v>
      </c>
      <c r="AD782" s="223">
        <v>-1032</v>
      </c>
      <c r="AE782" s="223">
        <v>-1259</v>
      </c>
      <c r="AF782" s="223">
        <v>-1197</v>
      </c>
      <c r="AG782" s="968">
        <f t="shared" si="1510"/>
        <v>-1197</v>
      </c>
      <c r="AH782" s="223">
        <v>-1430</v>
      </c>
      <c r="AI782" s="223">
        <v>-1850</v>
      </c>
      <c r="AJ782" s="223">
        <v>-2357</v>
      </c>
      <c r="AK782" s="223">
        <v>-2667</v>
      </c>
      <c r="AL782" s="968">
        <f t="shared" si="1511"/>
        <v>-2667</v>
      </c>
      <c r="AM782" s="223">
        <v>-2767</v>
      </c>
      <c r="AN782" s="223">
        <v>-3099</v>
      </c>
      <c r="AO782" s="223">
        <v>-3518</v>
      </c>
      <c r="AP782" s="223">
        <v>-3908</v>
      </c>
      <c r="AQ782" s="968">
        <f t="shared" si="1512"/>
        <v>-3908</v>
      </c>
      <c r="AR782" s="223">
        <v>-4224</v>
      </c>
      <c r="AS782" s="223">
        <v>-4597</v>
      </c>
      <c r="AT782" s="223">
        <v>-5042</v>
      </c>
      <c r="AU782" s="223">
        <v>-5490</v>
      </c>
      <c r="AV782" s="968">
        <f t="shared" si="1513"/>
        <v>-5490</v>
      </c>
      <c r="AW782" s="223">
        <v>-5642</v>
      </c>
      <c r="AX782" s="223">
        <v>-5701</v>
      </c>
      <c r="AY782" s="223">
        <v>-5777</v>
      </c>
      <c r="AZ782" s="223">
        <v>-5765</v>
      </c>
      <c r="BA782" s="968">
        <f t="shared" si="1514"/>
        <v>-5765</v>
      </c>
      <c r="BB782" s="223">
        <v>-5711</v>
      </c>
      <c r="BC782" s="223">
        <v>-5695</v>
      </c>
      <c r="BD782" s="223">
        <v>-5622</v>
      </c>
      <c r="BE782" s="223">
        <v>-5564</v>
      </c>
      <c r="BF782" s="968">
        <f t="shared" si="1515"/>
        <v>-5564</v>
      </c>
      <c r="BG782" s="223">
        <v>-5497</v>
      </c>
      <c r="BH782" s="223">
        <v>-5458</v>
      </c>
      <c r="BI782" s="223">
        <v>-5427</v>
      </c>
      <c r="BJ782" s="223">
        <v>-5348</v>
      </c>
      <c r="BK782" s="968">
        <f t="shared" si="1516"/>
        <v>-5348</v>
      </c>
      <c r="BL782" s="223">
        <v>-5518</v>
      </c>
      <c r="BM782" s="223">
        <v>-5874</v>
      </c>
      <c r="BN782" s="223">
        <v>-6381</v>
      </c>
      <c r="BO782" s="223">
        <v>-6463</v>
      </c>
      <c r="BP782" s="968">
        <f t="shared" si="1517"/>
        <v>-6463</v>
      </c>
      <c r="BQ782" s="223">
        <v>-6502</v>
      </c>
      <c r="BR782" s="223">
        <v>-6875</v>
      </c>
      <c r="BS782" s="223">
        <v>-7201</v>
      </c>
      <c r="BT782" s="223">
        <v>-7340</v>
      </c>
      <c r="BU782" s="968">
        <f t="shared" si="1518"/>
        <v>-7340</v>
      </c>
      <c r="BV782" s="223">
        <v>-7427</v>
      </c>
      <c r="BW782" s="223">
        <v>-7684</v>
      </c>
      <c r="BX782" s="223">
        <v>-7798</v>
      </c>
      <c r="BY782" s="223">
        <v>-7929</v>
      </c>
      <c r="BZ782" s="968">
        <f t="shared" si="1519"/>
        <v>-7929</v>
      </c>
      <c r="CA782" s="223">
        <v>-8170</v>
      </c>
      <c r="CB782" s="223">
        <v>-8423</v>
      </c>
      <c r="CC782" s="223">
        <v>-8703</v>
      </c>
      <c r="CD782" s="223">
        <v>-9223</v>
      </c>
      <c r="CE782" s="968">
        <f t="shared" si="1520"/>
        <v>-9223</v>
      </c>
      <c r="CF782" s="2687">
        <v>-9593</v>
      </c>
      <c r="CG782" s="223">
        <v>-10304</v>
      </c>
      <c r="CH782" s="223">
        <v>-11005</v>
      </c>
      <c r="CI782" s="223">
        <v>-11098</v>
      </c>
      <c r="CJ782" s="968">
        <f t="shared" si="1521"/>
        <v>-11098</v>
      </c>
      <c r="CK782" s="2687">
        <v>-11271</v>
      </c>
      <c r="CL782" s="223">
        <v>-11266</v>
      </c>
      <c r="CM782" s="223">
        <v>-6110</v>
      </c>
      <c r="CN782" s="223">
        <v>-6460</v>
      </c>
      <c r="CO782" s="968">
        <f t="shared" si="1522"/>
        <v>-6460</v>
      </c>
      <c r="CP782" s="223">
        <v>-6986</v>
      </c>
      <c r="CQ782" s="223">
        <v>-7700</v>
      </c>
      <c r="CR782" s="223">
        <v>-8498</v>
      </c>
      <c r="CS782" s="215">
        <f>CR782+CS719</f>
        <v>-9423</v>
      </c>
      <c r="CT782" s="968">
        <f t="shared" si="1523"/>
        <v>-9423</v>
      </c>
      <c r="CU782" s="215">
        <f>CT782+CU719</f>
        <v>-9923</v>
      </c>
      <c r="CV782" s="215">
        <f>CU782+CV719</f>
        <v>-10423</v>
      </c>
      <c r="CW782" s="215">
        <f>CV782+CW719</f>
        <v>-10923</v>
      </c>
      <c r="CX782" s="215">
        <f>CW782+CX719</f>
        <v>-11423</v>
      </c>
      <c r="CY782" s="968">
        <f>CX782</f>
        <v>-11423</v>
      </c>
      <c r="CZ782" s="968">
        <f>CY782+CZ719</f>
        <v>-13923</v>
      </c>
      <c r="DA782" s="968">
        <f>CZ782+DA719</f>
        <v>-15673</v>
      </c>
      <c r="DB782"/>
      <c r="DC782"/>
      <c r="DD782" s="2285" t="s">
        <v>913</v>
      </c>
      <c r="DE782" s="2290">
        <f t="shared" si="1525"/>
        <v>-454</v>
      </c>
      <c r="DF782" s="2290">
        <f t="shared" si="1526"/>
        <v>-503</v>
      </c>
      <c r="DG782" s="2290">
        <f t="shared" si="1527"/>
        <v>-667</v>
      </c>
      <c r="DH782" s="2290">
        <f t="shared" si="1528"/>
        <v>-865</v>
      </c>
      <c r="DI782" s="2290">
        <f t="shared" si="1529"/>
        <v>-1197</v>
      </c>
      <c r="DJ782" s="2290">
        <f t="shared" si="1530"/>
        <v>-2667</v>
      </c>
      <c r="DK782" s="2290">
        <f t="shared" si="1531"/>
        <v>-3908</v>
      </c>
      <c r="DL782" s="2290">
        <f t="shared" si="1532"/>
        <v>-5490</v>
      </c>
      <c r="DM782" s="2290">
        <f t="shared" si="1533"/>
        <v>-5765</v>
      </c>
      <c r="DN782" s="2290">
        <f t="shared" si="1534"/>
        <v>-5564</v>
      </c>
      <c r="DO782" s="2290">
        <f t="shared" si="1535"/>
        <v>-5348</v>
      </c>
      <c r="DP782" s="2290">
        <f t="shared" si="1536"/>
        <v>-6463</v>
      </c>
      <c r="DQ782" s="2290">
        <f t="shared" si="1537"/>
        <v>-7340</v>
      </c>
      <c r="DR782" s="2290">
        <f t="shared" si="1538"/>
        <v>-7929</v>
      </c>
      <c r="DS782" s="2290">
        <f t="shared" si="1539"/>
        <v>-9223</v>
      </c>
      <c r="DT782" s="2290">
        <f t="shared" si="1540"/>
        <v>-11098</v>
      </c>
      <c r="DU782" s="2290">
        <f t="shared" si="1541"/>
        <v>-6460</v>
      </c>
      <c r="DV782" s="2290">
        <f t="shared" si="1542"/>
        <v>-9423</v>
      </c>
      <c r="DW782" s="2290">
        <f t="shared" si="1543"/>
        <v>-11423</v>
      </c>
      <c r="DX782" s="2290">
        <f t="shared" si="1544"/>
        <v>-13923</v>
      </c>
      <c r="DY782" s="2290">
        <f t="shared" si="1545"/>
        <v>-15673</v>
      </c>
      <c r="EA782"/>
      <c r="EB782"/>
      <c r="EC782"/>
      <c r="ED782"/>
      <c r="EE782"/>
      <c r="EF782"/>
      <c r="EJ782"/>
      <c r="EK782"/>
      <c r="EL782"/>
      <c r="EM782" s="1703"/>
      <c r="ER782" s="212"/>
    </row>
    <row r="783" spans="1:148" s="923" customFormat="1" ht="12.75" customHeight="1" x14ac:dyDescent="0.2">
      <c r="A783" s="504" t="s">
        <v>914</v>
      </c>
      <c r="B783" s="222"/>
      <c r="C783" s="222"/>
      <c r="D783" s="222"/>
      <c r="E783" s="222"/>
      <c r="F783" s="222"/>
      <c r="G783" s="222"/>
      <c r="H783" s="222"/>
      <c r="I783" s="222">
        <v>-40</v>
      </c>
      <c r="J783" s="222">
        <v>-40</v>
      </c>
      <c r="K783" s="222">
        <v>-41</v>
      </c>
      <c r="L783" s="222">
        <v>-44</v>
      </c>
      <c r="M783" s="970">
        <f t="shared" si="1506"/>
        <v>-44</v>
      </c>
      <c r="N783" s="222">
        <v>-50</v>
      </c>
      <c r="O783" s="222">
        <v>-61</v>
      </c>
      <c r="P783" s="222">
        <v>-59</v>
      </c>
      <c r="Q783" s="222">
        <v>-50</v>
      </c>
      <c r="R783" s="970">
        <f t="shared" si="1507"/>
        <v>-50</v>
      </c>
      <c r="S783" s="222">
        <v>-52</v>
      </c>
      <c r="T783" s="222">
        <v>-43</v>
      </c>
      <c r="U783" s="222">
        <v>-43</v>
      </c>
      <c r="V783" s="222">
        <v>-70</v>
      </c>
      <c r="W783" s="970">
        <f t="shared" si="1508"/>
        <v>-70</v>
      </c>
      <c r="X783" s="222">
        <f>-72-101</f>
        <v>-173</v>
      </c>
      <c r="Y783" s="222">
        <f>-37-96</f>
        <v>-133</v>
      </c>
      <c r="Z783" s="222">
        <f>-89-66</f>
        <v>-155</v>
      </c>
      <c r="AA783" s="222">
        <v>-41</v>
      </c>
      <c r="AB783" s="970">
        <f t="shared" si="1509"/>
        <v>-41</v>
      </c>
      <c r="AC783" s="222">
        <v>-35</v>
      </c>
      <c r="AD783" s="222">
        <v>-34</v>
      </c>
      <c r="AE783" s="222">
        <v>-36</v>
      </c>
      <c r="AF783" s="222">
        <v>9</v>
      </c>
      <c r="AG783" s="970">
        <f t="shared" si="1510"/>
        <v>9</v>
      </c>
      <c r="AH783" s="222">
        <v>7</v>
      </c>
      <c r="AI783" s="222">
        <v>-1</v>
      </c>
      <c r="AJ783" s="222">
        <v>-11</v>
      </c>
      <c r="AK783" s="222">
        <v>-11</v>
      </c>
      <c r="AL783" s="970">
        <f t="shared" si="1511"/>
        <v>-11</v>
      </c>
      <c r="AM783" s="222">
        <v>-2</v>
      </c>
      <c r="AN783" s="222">
        <v>14</v>
      </c>
      <c r="AO783" s="222">
        <v>25</v>
      </c>
      <c r="AP783" s="222">
        <v>44</v>
      </c>
      <c r="AQ783" s="970">
        <f t="shared" si="1512"/>
        <v>44</v>
      </c>
      <c r="AR783" s="222">
        <v>31</v>
      </c>
      <c r="AS783" s="222">
        <v>45</v>
      </c>
      <c r="AT783" s="222">
        <v>32</v>
      </c>
      <c r="AU783" s="222">
        <v>51</v>
      </c>
      <c r="AV783" s="970">
        <f t="shared" si="1513"/>
        <v>51</v>
      </c>
      <c r="AW783" s="222">
        <v>50</v>
      </c>
      <c r="AX783" s="222">
        <v>71</v>
      </c>
      <c r="AY783" s="222">
        <v>48</v>
      </c>
      <c r="AZ783" s="222">
        <v>-15</v>
      </c>
      <c r="BA783" s="970">
        <f t="shared" si="1514"/>
        <v>-15</v>
      </c>
      <c r="BB783" s="222">
        <f>-27+9</f>
        <v>-18</v>
      </c>
      <c r="BC783" s="222">
        <f>4-4+31</f>
        <v>31</v>
      </c>
      <c r="BD783" s="222">
        <v>8</v>
      </c>
      <c r="BE783" s="222">
        <v>13</v>
      </c>
      <c r="BF783" s="970">
        <f t="shared" si="1515"/>
        <v>13</v>
      </c>
      <c r="BG783" s="222">
        <v>0</v>
      </c>
      <c r="BH783" s="222">
        <v>-5</v>
      </c>
      <c r="BI783" s="222">
        <v>6</v>
      </c>
      <c r="BJ783" s="222">
        <v>-2</v>
      </c>
      <c r="BK783" s="970">
        <f t="shared" si="1516"/>
        <v>-2</v>
      </c>
      <c r="BL783" s="222">
        <v>2</v>
      </c>
      <c r="BM783" s="222">
        <v>-11</v>
      </c>
      <c r="BN783" s="222">
        <v>-16</v>
      </c>
      <c r="BO783" s="222">
        <v>-48</v>
      </c>
      <c r="BP783" s="970">
        <f t="shared" si="1517"/>
        <v>-48</v>
      </c>
      <c r="BQ783" s="222">
        <v>-38</v>
      </c>
      <c r="BR783" s="222">
        <v>-53</v>
      </c>
      <c r="BS783" s="222">
        <v>-49</v>
      </c>
      <c r="BT783" s="222">
        <v>-44</v>
      </c>
      <c r="BU783" s="970">
        <f t="shared" si="1518"/>
        <v>-44</v>
      </c>
      <c r="BV783" s="222">
        <v>-46</v>
      </c>
      <c r="BW783" s="222">
        <v>-54</v>
      </c>
      <c r="BX783" s="222">
        <v>-49</v>
      </c>
      <c r="BY783" s="222">
        <v>-44</v>
      </c>
      <c r="BZ783" s="970">
        <f t="shared" si="1519"/>
        <v>-44</v>
      </c>
      <c r="CA783" s="222">
        <v>-41</v>
      </c>
      <c r="CB783" s="222">
        <v>-39</v>
      </c>
      <c r="CC783" s="222">
        <v>-53</v>
      </c>
      <c r="CD783" s="222">
        <v>-70</v>
      </c>
      <c r="CE783" s="970">
        <f t="shared" si="1520"/>
        <v>-70</v>
      </c>
      <c r="CF783" s="2688">
        <v>-90</v>
      </c>
      <c r="CG783" s="222">
        <v>-88</v>
      </c>
      <c r="CH783" s="222">
        <v>-120</v>
      </c>
      <c r="CI783" s="222">
        <v>-196</v>
      </c>
      <c r="CJ783" s="970">
        <f t="shared" si="1521"/>
        <v>-196</v>
      </c>
      <c r="CK783" s="2688">
        <v>-177</v>
      </c>
      <c r="CL783" s="222">
        <v>-173</v>
      </c>
      <c r="CM783" s="222">
        <v>-169</v>
      </c>
      <c r="CN783" s="222">
        <v>-497</v>
      </c>
      <c r="CO783" s="970">
        <f t="shared" si="1522"/>
        <v>-497</v>
      </c>
      <c r="CP783" s="222">
        <v>-312</v>
      </c>
      <c r="CQ783" s="222">
        <v>-156</v>
      </c>
      <c r="CR783" s="222">
        <v>-49</v>
      </c>
      <c r="CS783" s="216">
        <f>CR783</f>
        <v>-49</v>
      </c>
      <c r="CT783" s="970">
        <f t="shared" si="1523"/>
        <v>-49</v>
      </c>
      <c r="CU783" s="216">
        <f>CT783</f>
        <v>-49</v>
      </c>
      <c r="CV783" s="216">
        <f>CU783</f>
        <v>-49</v>
      </c>
      <c r="CW783" s="216">
        <f>CV783</f>
        <v>-49</v>
      </c>
      <c r="CX783" s="216">
        <f>CW783</f>
        <v>-49</v>
      </c>
      <c r="CY783" s="970">
        <f>CX783</f>
        <v>-49</v>
      </c>
      <c r="CZ783" s="970">
        <f>CY783</f>
        <v>-49</v>
      </c>
      <c r="DA783" s="970">
        <f>CZ783</f>
        <v>-49</v>
      </c>
      <c r="DB783"/>
      <c r="DC783"/>
      <c r="DD783" s="2285" t="s">
        <v>914</v>
      </c>
      <c r="DE783" s="970">
        <f t="shared" si="1525"/>
        <v>-44</v>
      </c>
      <c r="DF783" s="970">
        <f t="shared" si="1526"/>
        <v>-50</v>
      </c>
      <c r="DG783" s="970">
        <f t="shared" si="1527"/>
        <v>-70</v>
      </c>
      <c r="DH783" s="970">
        <f t="shared" si="1528"/>
        <v>-41</v>
      </c>
      <c r="DI783" s="970">
        <f t="shared" si="1529"/>
        <v>9</v>
      </c>
      <c r="DJ783" s="970">
        <f t="shared" si="1530"/>
        <v>-11</v>
      </c>
      <c r="DK783" s="970">
        <f t="shared" si="1531"/>
        <v>44</v>
      </c>
      <c r="DL783" s="970">
        <f t="shared" si="1532"/>
        <v>51</v>
      </c>
      <c r="DM783" s="970">
        <f t="shared" si="1533"/>
        <v>-15</v>
      </c>
      <c r="DN783" s="970">
        <f t="shared" si="1534"/>
        <v>13</v>
      </c>
      <c r="DO783" s="970">
        <f t="shared" si="1535"/>
        <v>-2</v>
      </c>
      <c r="DP783" s="970">
        <f t="shared" si="1536"/>
        <v>-48</v>
      </c>
      <c r="DQ783" s="970">
        <f t="shared" si="1537"/>
        <v>-44</v>
      </c>
      <c r="DR783" s="970">
        <f t="shared" si="1538"/>
        <v>-44</v>
      </c>
      <c r="DS783" s="970">
        <f t="shared" si="1539"/>
        <v>-70</v>
      </c>
      <c r="DT783" s="970">
        <f t="shared" si="1540"/>
        <v>-196</v>
      </c>
      <c r="DU783" s="970">
        <f t="shared" si="1541"/>
        <v>-497</v>
      </c>
      <c r="DV783" s="970">
        <f t="shared" si="1542"/>
        <v>-49</v>
      </c>
      <c r="DW783" s="970">
        <f t="shared" si="1543"/>
        <v>-49</v>
      </c>
      <c r="DX783" s="970">
        <f t="shared" si="1544"/>
        <v>-49</v>
      </c>
      <c r="DY783" s="970">
        <f t="shared" si="1545"/>
        <v>-49</v>
      </c>
      <c r="EA783"/>
      <c r="EB783"/>
      <c r="EC783"/>
      <c r="ED783"/>
      <c r="EE783"/>
      <c r="EF783"/>
      <c r="EJ783"/>
      <c r="EK783"/>
      <c r="EL783"/>
      <c r="EM783" s="1703"/>
      <c r="ER783" s="212"/>
    </row>
    <row r="784" spans="1:148" s="1703" customFormat="1" ht="12.75" customHeight="1" x14ac:dyDescent="0.2">
      <c r="A784" s="1970" t="s">
        <v>2013</v>
      </c>
      <c r="B784" s="1730"/>
      <c r="C784" s="1730"/>
      <c r="D784" s="1730"/>
      <c r="E784" s="1730"/>
      <c r="F784" s="1730"/>
      <c r="G784" s="1730"/>
      <c r="H784" s="1730"/>
      <c r="I784" s="1730">
        <f>SUM(I778:I783)</f>
        <v>2790</v>
      </c>
      <c r="J784" s="1730">
        <f t="shared" ref="J784:AN784" si="1546">SUM(J778:J783)</f>
        <v>2870</v>
      </c>
      <c r="K784" s="1730">
        <f t="shared" si="1546"/>
        <v>3029</v>
      </c>
      <c r="L784" s="1730">
        <f t="shared" si="1546"/>
        <v>3267</v>
      </c>
      <c r="M784" s="1729">
        <f t="shared" si="1546"/>
        <v>3267</v>
      </c>
      <c r="N784" s="1730">
        <f t="shared" si="1546"/>
        <v>3459</v>
      </c>
      <c r="O784" s="1730">
        <f t="shared" si="1546"/>
        <v>3601</v>
      </c>
      <c r="P784" s="1730">
        <f t="shared" si="1546"/>
        <v>3635</v>
      </c>
      <c r="Q784" s="1730">
        <f t="shared" si="1546"/>
        <v>3478</v>
      </c>
      <c r="R784" s="1729">
        <f t="shared" si="1546"/>
        <v>3478</v>
      </c>
      <c r="S784" s="1730">
        <f t="shared" si="1546"/>
        <v>3648</v>
      </c>
      <c r="T784" s="1730">
        <f t="shared" si="1546"/>
        <v>3770</v>
      </c>
      <c r="U784" s="1730">
        <f t="shared" si="1546"/>
        <v>3763</v>
      </c>
      <c r="V784" s="1730">
        <f t="shared" si="1546"/>
        <v>3573</v>
      </c>
      <c r="W784" s="1729">
        <f t="shared" si="1546"/>
        <v>3573</v>
      </c>
      <c r="X784" s="1730">
        <f t="shared" si="1546"/>
        <v>3543</v>
      </c>
      <c r="Y784" s="1730">
        <f t="shared" si="1546"/>
        <v>3678</v>
      </c>
      <c r="Z784" s="1730">
        <f t="shared" si="1546"/>
        <v>3648</v>
      </c>
      <c r="AA784" s="1730">
        <f t="shared" si="1546"/>
        <v>3838</v>
      </c>
      <c r="AB784" s="1729">
        <f t="shared" si="1546"/>
        <v>3838</v>
      </c>
      <c r="AC784" s="1730">
        <f t="shared" si="1546"/>
        <v>3674</v>
      </c>
      <c r="AD784" s="1730">
        <f t="shared" si="1546"/>
        <v>3845</v>
      </c>
      <c r="AE784" s="1730">
        <f t="shared" si="1546"/>
        <v>3757</v>
      </c>
      <c r="AF784" s="1730">
        <f t="shared" si="1546"/>
        <v>4081</v>
      </c>
      <c r="AG784" s="1729">
        <f t="shared" si="1546"/>
        <v>4081</v>
      </c>
      <c r="AH784" s="1730">
        <f t="shared" si="1546"/>
        <v>3932</v>
      </c>
      <c r="AI784" s="1730">
        <f t="shared" si="1546"/>
        <v>3653</v>
      </c>
      <c r="AJ784" s="1730">
        <f t="shared" si="1546"/>
        <v>3303</v>
      </c>
      <c r="AK784" s="1730">
        <f t="shared" si="1546"/>
        <v>3252</v>
      </c>
      <c r="AL784" s="1729">
        <f t="shared" si="1546"/>
        <v>3252</v>
      </c>
      <c r="AM784" s="1730">
        <f t="shared" si="1546"/>
        <v>3044</v>
      </c>
      <c r="AN784" s="1730">
        <f t="shared" si="1546"/>
        <v>2959</v>
      </c>
      <c r="AO784" s="1730">
        <f t="shared" ref="AO784:BP784" si="1547">SUM(AO778:AO783)</f>
        <v>2702</v>
      </c>
      <c r="AP784" s="1730">
        <f t="shared" si="1547"/>
        <v>2618</v>
      </c>
      <c r="AQ784" s="1729">
        <f t="shared" si="1547"/>
        <v>2618</v>
      </c>
      <c r="AR784" s="1730">
        <f t="shared" si="1547"/>
        <v>2222</v>
      </c>
      <c r="AS784" s="1730">
        <f t="shared" si="1547"/>
        <v>1971</v>
      </c>
      <c r="AT784" s="1730">
        <f t="shared" si="1547"/>
        <v>1651</v>
      </c>
      <c r="AU784" s="1730">
        <f t="shared" si="1547"/>
        <v>1429</v>
      </c>
      <c r="AV784" s="1729">
        <f t="shared" si="1547"/>
        <v>1429</v>
      </c>
      <c r="AW784" s="1730">
        <f t="shared" si="1547"/>
        <v>1320</v>
      </c>
      <c r="AX784" s="1730">
        <f t="shared" si="1547"/>
        <v>1435</v>
      </c>
      <c r="AY784" s="1730">
        <f t="shared" si="1547"/>
        <v>1428</v>
      </c>
      <c r="AZ784" s="1730">
        <f t="shared" si="1547"/>
        <v>1380</v>
      </c>
      <c r="BA784" s="1729">
        <f t="shared" si="1547"/>
        <v>1380</v>
      </c>
      <c r="BB784" s="1730">
        <f t="shared" si="1547"/>
        <v>1337</v>
      </c>
      <c r="BC784" s="1730">
        <f t="shared" si="1547"/>
        <v>1419</v>
      </c>
      <c r="BD784" s="1730">
        <f t="shared" si="1547"/>
        <v>985</v>
      </c>
      <c r="BE784" s="1730">
        <f t="shared" si="1547"/>
        <v>1142</v>
      </c>
      <c r="BF784" s="1729">
        <f t="shared" si="1547"/>
        <v>1142</v>
      </c>
      <c r="BG784" s="1730">
        <f t="shared" si="1547"/>
        <v>1070</v>
      </c>
      <c r="BH784" s="1730">
        <f t="shared" si="1547"/>
        <v>1224</v>
      </c>
      <c r="BI784" s="1730">
        <f t="shared" si="1547"/>
        <v>1355</v>
      </c>
      <c r="BJ784" s="1730">
        <f t="shared" si="1547"/>
        <v>1585</v>
      </c>
      <c r="BK784" s="1729">
        <f t="shared" si="1547"/>
        <v>1585</v>
      </c>
      <c r="BL784" s="1730">
        <f t="shared" si="1547"/>
        <v>1386</v>
      </c>
      <c r="BM784" s="1730">
        <f t="shared" si="1547"/>
        <v>1136</v>
      </c>
      <c r="BN784" s="1730">
        <f t="shared" si="1547"/>
        <v>430</v>
      </c>
      <c r="BO784" s="1730">
        <f t="shared" si="1547"/>
        <v>-781</v>
      </c>
      <c r="BP784" s="1729">
        <f t="shared" si="1547"/>
        <v>-781</v>
      </c>
      <c r="BQ784" s="1730">
        <f t="shared" ref="BQ784:CE784" si="1548">SUM(BQ778:BQ783)</f>
        <v>-848</v>
      </c>
      <c r="BR784" s="1730">
        <f t="shared" si="1548"/>
        <v>-1124</v>
      </c>
      <c r="BS784" s="1730">
        <f t="shared" si="1548"/>
        <v>-1296</v>
      </c>
      <c r="BT784" s="1730">
        <f t="shared" si="1548"/>
        <v>-1285</v>
      </c>
      <c r="BU784" s="1729">
        <f t="shared" si="1548"/>
        <v>-1285</v>
      </c>
      <c r="BV784" s="1730">
        <f>SUM(BV778:BV783)</f>
        <v>-1377</v>
      </c>
      <c r="BW784" s="1730">
        <f t="shared" si="1548"/>
        <v>-1493</v>
      </c>
      <c r="BX784" s="842">
        <f>SUM(BX778:BX783)</f>
        <v>-1409</v>
      </c>
      <c r="BY784" s="1730">
        <f>SUM(BY778:BY783)</f>
        <v>-1415</v>
      </c>
      <c r="BZ784" s="1729">
        <f>SUM(BZ778:BZ783)</f>
        <v>-1415</v>
      </c>
      <c r="CA784" s="1730">
        <f>SUM(CA778:CA783)</f>
        <v>-1625</v>
      </c>
      <c r="CB784" s="1730">
        <f t="shared" si="1548"/>
        <v>-1720</v>
      </c>
      <c r="CC784" s="1730">
        <f>SUM(CC778:CC783)</f>
        <v>-1842</v>
      </c>
      <c r="CD784" s="1826">
        <f t="shared" si="1548"/>
        <v>-2200</v>
      </c>
      <c r="CE784" s="1729">
        <f t="shared" si="1548"/>
        <v>-2200</v>
      </c>
      <c r="CF784" s="2689">
        <f>SUM(CF778:CF783)</f>
        <v>-2537</v>
      </c>
      <c r="CG784" s="1730">
        <f>SUM(CG778:CG783)</f>
        <v>-3033</v>
      </c>
      <c r="CH784" s="1730">
        <f>SUM(CH778:CH783)</f>
        <v>-3589</v>
      </c>
      <c r="CI784" s="1826">
        <f>SUM(CI778:CI783)</f>
        <v>-3590</v>
      </c>
      <c r="CJ784" s="1729">
        <f>SUM(CJ778:CJ783)</f>
        <v>-3590</v>
      </c>
      <c r="CK784" s="1730">
        <f t="shared" ref="CK784:CT784" si="1549">SUM(CK778:CK783)</f>
        <v>-3667</v>
      </c>
      <c r="CL784" s="1730">
        <f t="shared" si="1549"/>
        <v>-3462</v>
      </c>
      <c r="CM784" s="1730">
        <f t="shared" si="1549"/>
        <v>5841</v>
      </c>
      <c r="CN784" s="1826">
        <f t="shared" si="1549"/>
        <v>5357</v>
      </c>
      <c r="CO784" s="1729">
        <f t="shared" si="1549"/>
        <v>5357</v>
      </c>
      <c r="CP784" s="2689">
        <f>SUM(CP778:CP783)</f>
        <v>5168</v>
      </c>
      <c r="CQ784" s="1730">
        <f>SUM(CQ778:CQ783)</f>
        <v>4901</v>
      </c>
      <c r="CR784" s="1730">
        <f t="shared" ref="CR784" si="1550">SUM(CR778:CR783)</f>
        <v>4512</v>
      </c>
      <c r="CS784" s="842">
        <f>SUM(CS778:CS783)</f>
        <v>3667.5169999999998</v>
      </c>
      <c r="CT784" s="1729">
        <f t="shared" si="1549"/>
        <v>3667.5169999999998</v>
      </c>
      <c r="CU784" s="1730">
        <f t="shared" ref="CU784:DA784" ca="1" si="1551">SUM(CU778:CU783)</f>
        <v>3509.7783796936237</v>
      </c>
      <c r="CV784" s="1730">
        <f t="shared" ca="1" si="1551"/>
        <v>3374.0060219845764</v>
      </c>
      <c r="CW784" s="1730">
        <f t="shared" ca="1" si="1551"/>
        <v>3224.0548001333045</v>
      </c>
      <c r="CX784" s="1730">
        <f t="shared" ca="1" si="1551"/>
        <v>3096.516758375481</v>
      </c>
      <c r="CY784" s="1729">
        <f t="shared" ca="1" si="1551"/>
        <v>3096.516758375481</v>
      </c>
      <c r="CZ784" s="1729">
        <f t="shared" ca="1" si="1551"/>
        <v>2275.0990513259749</v>
      </c>
      <c r="DA784" s="1729">
        <f t="shared" ca="1" si="1551"/>
        <v>2175.6057918405058</v>
      </c>
      <c r="DB784"/>
      <c r="DC784"/>
      <c r="DD784" s="1970" t="s">
        <v>2013</v>
      </c>
      <c r="DE784" s="1729">
        <f t="shared" si="1525"/>
        <v>3267</v>
      </c>
      <c r="DF784" s="1729">
        <f t="shared" si="1526"/>
        <v>3478</v>
      </c>
      <c r="DG784" s="1729">
        <f t="shared" si="1527"/>
        <v>3573</v>
      </c>
      <c r="DH784" s="1729">
        <f t="shared" si="1528"/>
        <v>3838</v>
      </c>
      <c r="DI784" s="1729">
        <f t="shared" si="1529"/>
        <v>4081</v>
      </c>
      <c r="DJ784" s="1729">
        <f t="shared" si="1530"/>
        <v>3252</v>
      </c>
      <c r="DK784" s="1729">
        <f t="shared" si="1531"/>
        <v>2618</v>
      </c>
      <c r="DL784" s="1729">
        <f t="shared" si="1532"/>
        <v>1429</v>
      </c>
      <c r="DM784" s="1729">
        <f t="shared" si="1533"/>
        <v>1380</v>
      </c>
      <c r="DN784" s="1729">
        <f t="shared" si="1534"/>
        <v>1142</v>
      </c>
      <c r="DO784" s="1729">
        <f t="shared" si="1535"/>
        <v>1585</v>
      </c>
      <c r="DP784" s="1729">
        <f t="shared" si="1536"/>
        <v>-781</v>
      </c>
      <c r="DQ784" s="1729">
        <f t="shared" si="1537"/>
        <v>-1285</v>
      </c>
      <c r="DR784" s="1729">
        <f t="shared" si="1538"/>
        <v>-1415</v>
      </c>
      <c r="DS784" s="1729">
        <f t="shared" si="1539"/>
        <v>-2200</v>
      </c>
      <c r="DT784" s="1729">
        <f t="shared" si="1540"/>
        <v>-3590</v>
      </c>
      <c r="DU784" s="1729">
        <f t="shared" si="1541"/>
        <v>5357</v>
      </c>
      <c r="DV784" s="1729">
        <f t="shared" si="1542"/>
        <v>3667.5169999999998</v>
      </c>
      <c r="DW784" s="1729">
        <f t="shared" ca="1" si="1543"/>
        <v>3096.516758375481</v>
      </c>
      <c r="DX784" s="1729">
        <f t="shared" ca="1" si="1544"/>
        <v>2275.0990513259749</v>
      </c>
      <c r="DY784" s="1729">
        <f t="shared" ca="1" si="1545"/>
        <v>2175.6057918405058</v>
      </c>
      <c r="EA784"/>
      <c r="EB784"/>
      <c r="EC784"/>
      <c r="ED784"/>
      <c r="EE784"/>
      <c r="EF784"/>
      <c r="EJ784"/>
      <c r="EK784"/>
      <c r="EL784"/>
      <c r="ER784" s="212"/>
    </row>
    <row r="785" spans="1:148" s="923" customFormat="1" ht="12.75" customHeight="1" x14ac:dyDescent="0.2">
      <c r="A785" s="504"/>
      <c r="B785" s="215"/>
      <c r="C785" s="215"/>
      <c r="D785" s="215"/>
      <c r="E785" s="215"/>
      <c r="F785" s="215"/>
      <c r="G785" s="215"/>
      <c r="H785" s="215"/>
      <c r="I785" s="215"/>
      <c r="J785" s="215"/>
      <c r="K785" s="215"/>
      <c r="L785" s="215"/>
      <c r="M785" s="968"/>
      <c r="N785" s="215"/>
      <c r="O785" s="215"/>
      <c r="P785" s="215"/>
      <c r="Q785" s="215"/>
      <c r="R785" s="968"/>
      <c r="S785" s="215"/>
      <c r="T785" s="215"/>
      <c r="U785" s="215"/>
      <c r="V785" s="215"/>
      <c r="W785" s="968"/>
      <c r="X785" s="215"/>
      <c r="Y785" s="215"/>
      <c r="Z785" s="215"/>
      <c r="AA785" s="215"/>
      <c r="AB785" s="968"/>
      <c r="AC785" s="215"/>
      <c r="AD785" s="215"/>
      <c r="AE785" s="215"/>
      <c r="AF785" s="215"/>
      <c r="AG785" s="968"/>
      <c r="AH785" s="215"/>
      <c r="AI785" s="215"/>
      <c r="AJ785" s="215"/>
      <c r="AK785" s="215"/>
      <c r="AL785" s="968"/>
      <c r="AM785" s="215"/>
      <c r="AN785" s="215"/>
      <c r="AO785" s="215"/>
      <c r="AP785" s="215"/>
      <c r="AQ785" s="968"/>
      <c r="AR785" s="215"/>
      <c r="AS785" s="215"/>
      <c r="AT785" s="215"/>
      <c r="AU785" s="215"/>
      <c r="AV785" s="968"/>
      <c r="AW785" s="215"/>
      <c r="AX785" s="215"/>
      <c r="AY785" s="215"/>
      <c r="AZ785" s="215"/>
      <c r="BA785" s="968"/>
      <c r="BB785" s="215"/>
      <c r="BC785" s="215"/>
      <c r="BD785" s="215"/>
      <c r="BE785" s="215"/>
      <c r="BF785" s="968"/>
      <c r="BG785" s="215"/>
      <c r="BH785" s="215"/>
      <c r="BI785" s="215"/>
      <c r="BJ785" s="215"/>
      <c r="BK785" s="968"/>
      <c r="BL785" s="215"/>
      <c r="BM785" s="215"/>
      <c r="BN785" s="215"/>
      <c r="BO785" s="215"/>
      <c r="BP785" s="968"/>
      <c r="BQ785" s="215"/>
      <c r="BR785" s="215"/>
      <c r="BS785" s="215"/>
      <c r="BT785" s="215"/>
      <c r="BU785" s="968"/>
      <c r="BV785" s="215"/>
      <c r="BW785" s="215"/>
      <c r="BX785" s="215"/>
      <c r="BY785" s="215"/>
      <c r="BZ785" s="968"/>
      <c r="CA785" s="215"/>
      <c r="CB785" s="215"/>
      <c r="CC785" s="215"/>
      <c r="CD785" s="1788"/>
      <c r="CE785" s="968"/>
      <c r="CF785" s="188"/>
      <c r="CG785" s="215"/>
      <c r="CH785" s="215"/>
      <c r="CI785" s="1788"/>
      <c r="CJ785" s="968"/>
      <c r="CK785" s="215"/>
      <c r="CL785" s="215"/>
      <c r="CM785" s="215"/>
      <c r="CN785" s="1788"/>
      <c r="CO785" s="968"/>
      <c r="CP785" s="215"/>
      <c r="CQ785" s="215"/>
      <c r="CR785" s="215"/>
      <c r="CS785" s="215"/>
      <c r="CT785" s="968"/>
      <c r="CU785" s="215"/>
      <c r="CV785" s="215"/>
      <c r="CW785" s="215"/>
      <c r="CX785" s="215"/>
      <c r="CY785" s="968"/>
      <c r="CZ785" s="968"/>
      <c r="DA785" s="968"/>
      <c r="DB785"/>
      <c r="DC785"/>
      <c r="DD785" s="2285"/>
      <c r="DE785" s="2290"/>
      <c r="DF785" s="2290"/>
      <c r="DG785" s="2290"/>
      <c r="DH785" s="2290"/>
      <c r="DI785" s="2290"/>
      <c r="DJ785" s="2290"/>
      <c r="DK785" s="2290"/>
      <c r="DL785" s="2290"/>
      <c r="DM785" s="2290"/>
      <c r="DN785" s="2290"/>
      <c r="DO785" s="2290"/>
      <c r="DP785" s="2290"/>
      <c r="DQ785" s="2290"/>
      <c r="DR785" s="2290"/>
      <c r="DS785" s="2290"/>
      <c r="DT785" s="2290"/>
      <c r="DU785" s="2290"/>
      <c r="DV785" s="2290"/>
      <c r="DW785" s="2290"/>
      <c r="DX785" s="2290"/>
      <c r="DY785" s="2290"/>
      <c r="EA785"/>
      <c r="EB785"/>
      <c r="EC785"/>
      <c r="ED785"/>
      <c r="EE785"/>
      <c r="EF785"/>
      <c r="EJ785"/>
      <c r="EK785"/>
      <c r="EL785"/>
      <c r="EM785" s="1703"/>
      <c r="ER785" s="212"/>
    </row>
    <row r="786" spans="1:148" s="923" customFormat="1" ht="12.75" customHeight="1" x14ac:dyDescent="0.2">
      <c r="A786" s="1726" t="s">
        <v>2014</v>
      </c>
      <c r="B786" s="1728"/>
      <c r="C786" s="1728"/>
      <c r="D786" s="1728"/>
      <c r="E786" s="1728"/>
      <c r="F786" s="1728"/>
      <c r="G786" s="1728"/>
      <c r="H786" s="1728"/>
      <c r="I786" s="1728">
        <f>SUM(I771:I783)</f>
        <v>7550</v>
      </c>
      <c r="J786" s="1728">
        <f t="shared" ref="J786:AN786" si="1552">SUM(J771:J783)</f>
        <v>7558</v>
      </c>
      <c r="K786" s="1728">
        <f t="shared" si="1552"/>
        <v>7646</v>
      </c>
      <c r="L786" s="1728">
        <f t="shared" si="1552"/>
        <v>8237</v>
      </c>
      <c r="M786" s="1727">
        <f t="shared" si="1552"/>
        <v>8237</v>
      </c>
      <c r="N786" s="1728">
        <f t="shared" si="1552"/>
        <v>8278</v>
      </c>
      <c r="O786" s="1728">
        <f t="shared" si="1552"/>
        <v>8790</v>
      </c>
      <c r="P786" s="1728">
        <f t="shared" si="1552"/>
        <v>9020</v>
      </c>
      <c r="Q786" s="1728">
        <f t="shared" si="1552"/>
        <v>9107</v>
      </c>
      <c r="R786" s="1727">
        <f t="shared" si="1552"/>
        <v>9107</v>
      </c>
      <c r="S786" s="1728">
        <f t="shared" si="1552"/>
        <v>8553</v>
      </c>
      <c r="T786" s="1728">
        <f t="shared" si="1552"/>
        <v>8532</v>
      </c>
      <c r="U786" s="1728">
        <f t="shared" si="1552"/>
        <v>8494</v>
      </c>
      <c r="V786" s="1728">
        <f t="shared" si="1552"/>
        <v>8296</v>
      </c>
      <c r="W786" s="1727">
        <f t="shared" si="1552"/>
        <v>8296</v>
      </c>
      <c r="X786" s="1728">
        <f t="shared" si="1552"/>
        <v>8345</v>
      </c>
      <c r="Y786" s="1728">
        <f t="shared" si="1552"/>
        <v>8004</v>
      </c>
      <c r="Z786" s="1728">
        <f t="shared" si="1552"/>
        <v>8072</v>
      </c>
      <c r="AA786" s="1728">
        <f t="shared" si="1552"/>
        <v>8177</v>
      </c>
      <c r="AB786" s="1727">
        <f t="shared" si="1552"/>
        <v>8177</v>
      </c>
      <c r="AC786" s="1728">
        <f t="shared" si="1552"/>
        <v>8272</v>
      </c>
      <c r="AD786" s="1728">
        <f t="shared" si="1552"/>
        <v>8296</v>
      </c>
      <c r="AE786" s="1728">
        <f t="shared" si="1552"/>
        <v>8269</v>
      </c>
      <c r="AF786" s="1728">
        <f t="shared" si="1552"/>
        <v>8668</v>
      </c>
      <c r="AG786" s="1727">
        <f t="shared" si="1552"/>
        <v>8668</v>
      </c>
      <c r="AH786" s="1728">
        <f t="shared" si="1552"/>
        <v>8429</v>
      </c>
      <c r="AI786" s="1728">
        <f t="shared" si="1552"/>
        <v>8464</v>
      </c>
      <c r="AJ786" s="1728">
        <f t="shared" si="1552"/>
        <v>8615</v>
      </c>
      <c r="AK786" s="1728">
        <f t="shared" si="1552"/>
        <v>8530</v>
      </c>
      <c r="AL786" s="1727">
        <f t="shared" si="1552"/>
        <v>8530</v>
      </c>
      <c r="AM786" s="1728">
        <f t="shared" si="1552"/>
        <v>8680</v>
      </c>
      <c r="AN786" s="1728">
        <f t="shared" si="1552"/>
        <v>8373</v>
      </c>
      <c r="AO786" s="1728">
        <f t="shared" ref="AO786:BP786" si="1553">SUM(AO771:AO783)</f>
        <v>8314</v>
      </c>
      <c r="AP786" s="1728">
        <f t="shared" si="1553"/>
        <v>8588</v>
      </c>
      <c r="AQ786" s="1727">
        <f t="shared" si="1553"/>
        <v>8588</v>
      </c>
      <c r="AR786" s="1728">
        <f t="shared" si="1553"/>
        <v>8743</v>
      </c>
      <c r="AS786" s="1728">
        <f t="shared" si="1553"/>
        <v>8919</v>
      </c>
      <c r="AT786" s="1728">
        <f t="shared" si="1553"/>
        <v>9110</v>
      </c>
      <c r="AU786" s="1728">
        <f t="shared" si="1553"/>
        <v>8942</v>
      </c>
      <c r="AV786" s="1727">
        <f t="shared" si="1553"/>
        <v>8942</v>
      </c>
      <c r="AW786" s="1728">
        <f t="shared" si="1553"/>
        <v>9108</v>
      </c>
      <c r="AX786" s="1728">
        <f t="shared" si="1553"/>
        <v>9012</v>
      </c>
      <c r="AY786" s="1728">
        <f t="shared" si="1553"/>
        <v>9104</v>
      </c>
      <c r="AZ786" s="1728">
        <f t="shared" si="1553"/>
        <v>8903</v>
      </c>
      <c r="BA786" s="1727">
        <f t="shared" si="1553"/>
        <v>8903</v>
      </c>
      <c r="BB786" s="1728">
        <f t="shared" si="1553"/>
        <v>8704</v>
      </c>
      <c r="BC786" s="1728">
        <f t="shared" si="1553"/>
        <v>8743</v>
      </c>
      <c r="BD786" s="1728">
        <f t="shared" si="1553"/>
        <v>8267</v>
      </c>
      <c r="BE786" s="1728">
        <f t="shared" si="1553"/>
        <v>7933</v>
      </c>
      <c r="BF786" s="1727">
        <f t="shared" si="1553"/>
        <v>7933</v>
      </c>
      <c r="BG786" s="1728">
        <f t="shared" si="1553"/>
        <v>8793</v>
      </c>
      <c r="BH786" s="1728">
        <f t="shared" si="1553"/>
        <v>8647</v>
      </c>
      <c r="BI786" s="1728">
        <f t="shared" si="1553"/>
        <v>8789</v>
      </c>
      <c r="BJ786" s="1728">
        <f t="shared" si="1553"/>
        <v>8983</v>
      </c>
      <c r="BK786" s="1727">
        <f t="shared" si="1553"/>
        <v>8983</v>
      </c>
      <c r="BL786" s="1728">
        <f t="shared" si="1553"/>
        <v>8760</v>
      </c>
      <c r="BM786" s="1728">
        <f t="shared" si="1553"/>
        <v>8791</v>
      </c>
      <c r="BN786" s="1728">
        <f>SUM(BN771:BN783)</f>
        <v>8465</v>
      </c>
      <c r="BO786" s="1728">
        <f>SUM(BO771:BO783)</f>
        <v>5910</v>
      </c>
      <c r="BP786" s="1727">
        <f t="shared" si="1553"/>
        <v>5910</v>
      </c>
      <c r="BQ786" s="1728">
        <f t="shared" ref="BQ786:BX786" si="1554">SUM(BQ771:BQ783)</f>
        <v>6171</v>
      </c>
      <c r="BR786" s="1728">
        <f t="shared" si="1554"/>
        <v>6007</v>
      </c>
      <c r="BS786" s="1728">
        <f t="shared" si="1554"/>
        <v>5865</v>
      </c>
      <c r="BT786" s="1728">
        <f t="shared" si="1554"/>
        <v>6342</v>
      </c>
      <c r="BU786" s="1727">
        <f t="shared" si="1554"/>
        <v>6342</v>
      </c>
      <c r="BV786" s="1728">
        <f t="shared" si="1554"/>
        <v>6523</v>
      </c>
      <c r="BW786" s="1728">
        <f t="shared" si="1554"/>
        <v>6377</v>
      </c>
      <c r="BX786" s="1728">
        <f t="shared" si="1554"/>
        <v>6480</v>
      </c>
      <c r="BY786" s="1728">
        <f t="shared" ref="BY786:CG786" si="1555">SUM(BY771:BY783)</f>
        <v>6794</v>
      </c>
      <c r="BZ786" s="1727">
        <f t="shared" si="1555"/>
        <v>6794</v>
      </c>
      <c r="CA786" s="1728">
        <f>SUM(CA771:CA783)</f>
        <v>6665</v>
      </c>
      <c r="CB786" s="1728">
        <f t="shared" si="1555"/>
        <v>6830</v>
      </c>
      <c r="CC786" s="1728">
        <f t="shared" si="1555"/>
        <v>6847</v>
      </c>
      <c r="CD786" s="1827">
        <f t="shared" si="1555"/>
        <v>6865</v>
      </c>
      <c r="CE786" s="1727">
        <f t="shared" si="1555"/>
        <v>6865</v>
      </c>
      <c r="CF786" s="2691">
        <f>SUM(CF771:CF783)</f>
        <v>6803</v>
      </c>
      <c r="CG786" s="1728">
        <f t="shared" si="1555"/>
        <v>6321</v>
      </c>
      <c r="CH786" s="1728">
        <f>SUM(CH771:CH783)</f>
        <v>6153</v>
      </c>
      <c r="CI786" s="1827">
        <f>SUM(CI771:CI783)</f>
        <v>6082</v>
      </c>
      <c r="CJ786" s="1727">
        <f>SUM(CJ771:CJ783)</f>
        <v>6082</v>
      </c>
      <c r="CK786" s="1728">
        <f>SUM(CK771:CK783)</f>
        <v>6121</v>
      </c>
      <c r="CL786" s="1728">
        <f t="shared" ref="CL786:CT786" si="1556">SUM(CL771:CL783)</f>
        <v>6650</v>
      </c>
      <c r="CM786" s="1728">
        <f t="shared" si="1556"/>
        <v>25002</v>
      </c>
      <c r="CN786" s="1827">
        <f t="shared" si="1556"/>
        <v>24140</v>
      </c>
      <c r="CO786" s="1727">
        <f t="shared" si="1556"/>
        <v>24140</v>
      </c>
      <c r="CP786" s="1728">
        <f t="shared" si="1556"/>
        <v>23925</v>
      </c>
      <c r="CQ786" s="1728">
        <f t="shared" si="1556"/>
        <v>23881</v>
      </c>
      <c r="CR786" s="1728">
        <f t="shared" si="1556"/>
        <v>24236</v>
      </c>
      <c r="CS786" s="1728">
        <f t="shared" si="1556"/>
        <v>22997.517</v>
      </c>
      <c r="CT786" s="1727">
        <f t="shared" si="1556"/>
        <v>22997.517</v>
      </c>
      <c r="CU786" s="1728">
        <f t="shared" ref="CU786:DA786" ca="1" si="1557">SUM(CU771:CU783)</f>
        <v>23167.77837969362</v>
      </c>
      <c r="CV786" s="1728">
        <f t="shared" ca="1" si="1557"/>
        <v>23201.006021984576</v>
      </c>
      <c r="CW786" s="1728">
        <f t="shared" ca="1" si="1557"/>
        <v>23379.054800133308</v>
      </c>
      <c r="CX786" s="1728">
        <f t="shared" ca="1" si="1557"/>
        <v>23479.516758375481</v>
      </c>
      <c r="CY786" s="1727">
        <f t="shared" ca="1" si="1557"/>
        <v>23479.516758375481</v>
      </c>
      <c r="CZ786" s="1727">
        <f t="shared" ca="1" si="1557"/>
        <v>23820.099051325975</v>
      </c>
      <c r="DA786" s="1727">
        <f t="shared" ca="1" si="1557"/>
        <v>24268.605791840506</v>
      </c>
      <c r="DB786"/>
      <c r="DC786"/>
      <c r="DD786" s="1726" t="s">
        <v>2014</v>
      </c>
      <c r="DE786" s="1727">
        <f>M786</f>
        <v>8237</v>
      </c>
      <c r="DF786" s="1727">
        <f>R786</f>
        <v>9107</v>
      </c>
      <c r="DG786" s="1727">
        <f>W786</f>
        <v>8296</v>
      </c>
      <c r="DH786" s="1727">
        <f>AB786</f>
        <v>8177</v>
      </c>
      <c r="DI786" s="1727">
        <f>AG786</f>
        <v>8668</v>
      </c>
      <c r="DJ786" s="1727">
        <f>AL786</f>
        <v>8530</v>
      </c>
      <c r="DK786" s="1727">
        <f>AQ786</f>
        <v>8588</v>
      </c>
      <c r="DL786" s="1727">
        <f>AV786</f>
        <v>8942</v>
      </c>
      <c r="DM786" s="1727">
        <f>BA786</f>
        <v>8903</v>
      </c>
      <c r="DN786" s="1727">
        <f>BF786</f>
        <v>7933</v>
      </c>
      <c r="DO786" s="1727">
        <f>BK786</f>
        <v>8983</v>
      </c>
      <c r="DP786" s="1727">
        <f>BP786</f>
        <v>5910</v>
      </c>
      <c r="DQ786" s="1727">
        <f>BU786</f>
        <v>6342</v>
      </c>
      <c r="DR786" s="1727">
        <f>BZ786</f>
        <v>6794</v>
      </c>
      <c r="DS786" s="1727">
        <f>CE786</f>
        <v>6865</v>
      </c>
      <c r="DT786" s="1727">
        <f>CJ786</f>
        <v>6082</v>
      </c>
      <c r="DU786" s="1727">
        <f>CO786</f>
        <v>24140</v>
      </c>
      <c r="DV786" s="1727">
        <f>CT786</f>
        <v>22997.517</v>
      </c>
      <c r="DW786" s="1727">
        <f ca="1">CY786</f>
        <v>23479.516758375481</v>
      </c>
      <c r="DX786" s="1727">
        <f ca="1">CZ786</f>
        <v>23820.099051325975</v>
      </c>
      <c r="DY786" s="1727">
        <f ca="1">DA786</f>
        <v>24268.605791840506</v>
      </c>
      <c r="EA786"/>
      <c r="EB786"/>
      <c r="EC786"/>
      <c r="ED786"/>
      <c r="EE786"/>
      <c r="EF786"/>
      <c r="EJ786"/>
      <c r="EK786"/>
      <c r="EL786"/>
      <c r="EM786" s="1703"/>
      <c r="ER786" s="212"/>
    </row>
    <row r="787" spans="1:148" s="923" customFormat="1" ht="12.75" customHeight="1" x14ac:dyDescent="0.2">
      <c r="A787" s="865"/>
      <c r="B787" s="215"/>
      <c r="C787" s="215"/>
      <c r="D787" s="215"/>
      <c r="E787" s="215"/>
      <c r="F787" s="215"/>
      <c r="G787" s="215"/>
      <c r="H787" s="215"/>
      <c r="I787" s="215"/>
      <c r="J787" s="215"/>
      <c r="K787" s="215"/>
      <c r="L787" s="215"/>
      <c r="M787" s="215"/>
      <c r="N787" s="215"/>
      <c r="O787" s="215"/>
      <c r="P787" s="215"/>
      <c r="Q787" s="215"/>
      <c r="R787" s="215"/>
      <c r="S787" s="215"/>
      <c r="T787" s="215"/>
      <c r="U787" s="215"/>
      <c r="V787" s="215"/>
      <c r="W787" s="215"/>
      <c r="X787" s="215"/>
      <c r="Y787" s="215"/>
      <c r="Z787" s="215"/>
      <c r="AA787" s="215"/>
      <c r="AB787" s="215"/>
      <c r="AC787" s="215"/>
      <c r="AD787" s="215"/>
      <c r="AE787" s="215"/>
      <c r="AF787" s="215"/>
      <c r="AG787" s="215"/>
      <c r="AH787" s="215"/>
      <c r="AI787" s="215"/>
      <c r="AJ787" s="215"/>
      <c r="AK787" s="215"/>
      <c r="AL787" s="215"/>
      <c r="AM787" s="215"/>
      <c r="AN787" s="215"/>
      <c r="AO787" s="215"/>
      <c r="AP787" s="215"/>
      <c r="AQ787" s="215"/>
      <c r="AR787" s="215"/>
      <c r="AS787" s="215"/>
      <c r="AT787" s="215"/>
      <c r="AU787" s="215"/>
      <c r="AV787" s="215"/>
      <c r="AW787" s="215"/>
      <c r="AX787" s="215"/>
      <c r="AY787" s="215"/>
      <c r="AZ787" s="215"/>
      <c r="BA787" s="215"/>
      <c r="BB787" s="215"/>
      <c r="BC787" s="215"/>
      <c r="BD787" s="215"/>
      <c r="BE787" s="215"/>
      <c r="BF787" s="215"/>
      <c r="BG787" s="215"/>
      <c r="BH787" s="215"/>
      <c r="BI787" s="215"/>
      <c r="BJ787" s="215"/>
      <c r="BK787" s="215"/>
      <c r="BL787" s="215"/>
      <c r="BM787" s="215"/>
      <c r="BN787" s="215"/>
      <c r="BO787" s="215"/>
      <c r="BP787" s="215"/>
      <c r="BQ787" s="215"/>
      <c r="BR787" s="215"/>
      <c r="BS787" s="215"/>
      <c r="BT787" s="215"/>
      <c r="BU787" s="215"/>
      <c r="BV787" s="215"/>
      <c r="BW787" s="215"/>
      <c r="BX787" s="215"/>
      <c r="BY787" s="215"/>
      <c r="BZ787" s="215"/>
      <c r="CA787" s="215"/>
      <c r="CB787" s="215"/>
      <c r="CC787" s="215"/>
      <c r="CD787" s="215"/>
      <c r="CE787" s="215"/>
      <c r="CF787" s="215"/>
      <c r="CG787" s="215"/>
      <c r="CH787" s="215"/>
      <c r="CI787" s="215"/>
      <c r="CJ787" s="215"/>
      <c r="CK787" s="215"/>
      <c r="CL787" s="215"/>
      <c r="CM787" s="215"/>
      <c r="CN787" s="215"/>
      <c r="CO787" s="215"/>
      <c r="CP787" s="215"/>
      <c r="CQ787" s="215"/>
      <c r="CR787" s="215"/>
      <c r="CS787" s="215"/>
      <c r="CT787" s="215"/>
      <c r="CU787" s="215"/>
      <c r="CV787" s="215"/>
      <c r="CW787" s="215"/>
      <c r="CX787" s="215"/>
      <c r="CY787" s="215"/>
      <c r="CZ787" s="215"/>
      <c r="DA787" s="215"/>
      <c r="DB787"/>
      <c r="DC787"/>
      <c r="DD787" s="2323"/>
      <c r="DE787" s="2327"/>
      <c r="DF787" s="2327"/>
      <c r="DG787" s="2327"/>
      <c r="DH787" s="2327"/>
      <c r="DI787" s="2327"/>
      <c r="DJ787" s="2327"/>
      <c r="DK787" s="2327"/>
      <c r="DL787" s="2327"/>
      <c r="DM787" s="2327"/>
      <c r="DN787" s="2327"/>
      <c r="DO787" s="2327"/>
      <c r="DP787" s="2327"/>
      <c r="DQ787" s="2327"/>
      <c r="DR787" s="2327"/>
      <c r="DS787" s="2327"/>
      <c r="DT787" s="2327"/>
      <c r="DU787" s="2327"/>
      <c r="DV787" s="2327"/>
      <c r="DW787" s="2327"/>
      <c r="DX787" s="2327"/>
      <c r="DY787" s="2327"/>
      <c r="EA787"/>
      <c r="EB787"/>
      <c r="EC787"/>
      <c r="ED787"/>
      <c r="EE787"/>
      <c r="EF787"/>
      <c r="EJ787"/>
      <c r="EK787"/>
      <c r="EL787"/>
      <c r="ER787" s="212"/>
    </row>
    <row r="788" spans="1:148" ht="12.75" customHeight="1" x14ac:dyDescent="0.2">
      <c r="A788" s="1723" t="s">
        <v>1410</v>
      </c>
      <c r="B788" s="1724"/>
      <c r="C788" s="1724"/>
      <c r="D788" s="1724"/>
      <c r="E788" s="1724"/>
      <c r="F788" s="1724"/>
      <c r="G788" s="1724"/>
      <c r="H788" s="1724"/>
      <c r="I788" s="1724">
        <f t="shared" ref="I788:AN788" si="1558">I765-I786</f>
        <v>0</v>
      </c>
      <c r="J788" s="1724">
        <f t="shared" si="1558"/>
        <v>0</v>
      </c>
      <c r="K788" s="1724">
        <f t="shared" si="1558"/>
        <v>0</v>
      </c>
      <c r="L788" s="1724">
        <f t="shared" si="1558"/>
        <v>0</v>
      </c>
      <c r="M788" s="1724">
        <f t="shared" si="1558"/>
        <v>0</v>
      </c>
      <c r="N788" s="1724">
        <f t="shared" si="1558"/>
        <v>0</v>
      </c>
      <c r="O788" s="1724">
        <f t="shared" si="1558"/>
        <v>0</v>
      </c>
      <c r="P788" s="1724">
        <f t="shared" si="1558"/>
        <v>0</v>
      </c>
      <c r="Q788" s="1724">
        <f t="shared" si="1558"/>
        <v>0</v>
      </c>
      <c r="R788" s="1724">
        <f t="shared" si="1558"/>
        <v>0</v>
      </c>
      <c r="S788" s="1724">
        <f t="shared" si="1558"/>
        <v>0</v>
      </c>
      <c r="T788" s="1724">
        <f t="shared" si="1558"/>
        <v>0</v>
      </c>
      <c r="U788" s="1724">
        <f t="shared" si="1558"/>
        <v>0</v>
      </c>
      <c r="V788" s="1724">
        <f t="shared" si="1558"/>
        <v>0</v>
      </c>
      <c r="W788" s="1724">
        <f t="shared" si="1558"/>
        <v>0</v>
      </c>
      <c r="X788" s="1724">
        <f t="shared" si="1558"/>
        <v>0</v>
      </c>
      <c r="Y788" s="1724">
        <f t="shared" si="1558"/>
        <v>0</v>
      </c>
      <c r="Z788" s="1724">
        <f t="shared" si="1558"/>
        <v>0</v>
      </c>
      <c r="AA788" s="1724">
        <f t="shared" si="1558"/>
        <v>0</v>
      </c>
      <c r="AB788" s="1724">
        <f t="shared" si="1558"/>
        <v>0</v>
      </c>
      <c r="AC788" s="1724">
        <f t="shared" si="1558"/>
        <v>0</v>
      </c>
      <c r="AD788" s="1724">
        <f t="shared" si="1558"/>
        <v>0</v>
      </c>
      <c r="AE788" s="1724">
        <f t="shared" si="1558"/>
        <v>0</v>
      </c>
      <c r="AF788" s="1724">
        <f t="shared" si="1558"/>
        <v>0</v>
      </c>
      <c r="AG788" s="1724">
        <f t="shared" si="1558"/>
        <v>0</v>
      </c>
      <c r="AH788" s="1724">
        <f t="shared" si="1558"/>
        <v>0</v>
      </c>
      <c r="AI788" s="1724">
        <f t="shared" si="1558"/>
        <v>0</v>
      </c>
      <c r="AJ788" s="1724">
        <f t="shared" si="1558"/>
        <v>0</v>
      </c>
      <c r="AK788" s="1724">
        <f t="shared" si="1558"/>
        <v>0</v>
      </c>
      <c r="AL788" s="1724">
        <f t="shared" si="1558"/>
        <v>0</v>
      </c>
      <c r="AM788" s="1724">
        <f t="shared" si="1558"/>
        <v>0</v>
      </c>
      <c r="AN788" s="1724">
        <f t="shared" si="1558"/>
        <v>0</v>
      </c>
      <c r="AO788" s="1724">
        <f t="shared" ref="AO788:BT788" si="1559">AO765-AO786</f>
        <v>0</v>
      </c>
      <c r="AP788" s="1724">
        <f t="shared" si="1559"/>
        <v>0</v>
      </c>
      <c r="AQ788" s="1724">
        <f t="shared" si="1559"/>
        <v>0</v>
      </c>
      <c r="AR788" s="1724">
        <f t="shared" si="1559"/>
        <v>0</v>
      </c>
      <c r="AS788" s="1724">
        <f t="shared" si="1559"/>
        <v>0</v>
      </c>
      <c r="AT788" s="1724">
        <f t="shared" si="1559"/>
        <v>0</v>
      </c>
      <c r="AU788" s="1724">
        <f t="shared" si="1559"/>
        <v>0</v>
      </c>
      <c r="AV788" s="1724">
        <f t="shared" si="1559"/>
        <v>0</v>
      </c>
      <c r="AW788" s="1724">
        <f t="shared" si="1559"/>
        <v>0</v>
      </c>
      <c r="AX788" s="1724">
        <f t="shared" si="1559"/>
        <v>0</v>
      </c>
      <c r="AY788" s="1724">
        <f t="shared" si="1559"/>
        <v>0</v>
      </c>
      <c r="AZ788" s="1724">
        <f t="shared" si="1559"/>
        <v>0</v>
      </c>
      <c r="BA788" s="1724">
        <f t="shared" si="1559"/>
        <v>0</v>
      </c>
      <c r="BB788" s="1724">
        <f t="shared" si="1559"/>
        <v>0</v>
      </c>
      <c r="BC788" s="1724">
        <f t="shared" si="1559"/>
        <v>0</v>
      </c>
      <c r="BD788" s="1724">
        <f t="shared" si="1559"/>
        <v>0</v>
      </c>
      <c r="BE788" s="1724">
        <f t="shared" si="1559"/>
        <v>0</v>
      </c>
      <c r="BF788" s="1724">
        <f t="shared" si="1559"/>
        <v>0</v>
      </c>
      <c r="BG788" s="1724">
        <f t="shared" si="1559"/>
        <v>0</v>
      </c>
      <c r="BH788" s="1724">
        <f t="shared" si="1559"/>
        <v>0</v>
      </c>
      <c r="BI788" s="1724">
        <f t="shared" si="1559"/>
        <v>0</v>
      </c>
      <c r="BJ788" s="1724">
        <f t="shared" si="1559"/>
        <v>0</v>
      </c>
      <c r="BK788" s="1724">
        <f t="shared" si="1559"/>
        <v>0</v>
      </c>
      <c r="BL788" s="1724">
        <f t="shared" si="1559"/>
        <v>0</v>
      </c>
      <c r="BM788" s="1724">
        <f t="shared" si="1559"/>
        <v>0</v>
      </c>
      <c r="BN788" s="1724">
        <f t="shared" si="1559"/>
        <v>0</v>
      </c>
      <c r="BO788" s="1724">
        <f t="shared" si="1559"/>
        <v>0</v>
      </c>
      <c r="BP788" s="1724">
        <f t="shared" si="1559"/>
        <v>0</v>
      </c>
      <c r="BQ788" s="1724">
        <f t="shared" si="1559"/>
        <v>0</v>
      </c>
      <c r="BR788" s="1724">
        <f t="shared" si="1559"/>
        <v>0</v>
      </c>
      <c r="BS788" s="1724">
        <f t="shared" si="1559"/>
        <v>0</v>
      </c>
      <c r="BT788" s="1724">
        <f t="shared" si="1559"/>
        <v>0</v>
      </c>
      <c r="BU788" s="1724">
        <f t="shared" ref="BU788:DA788" si="1560">BU765-BU786</f>
        <v>0</v>
      </c>
      <c r="BV788" s="1724">
        <f t="shared" si="1560"/>
        <v>0</v>
      </c>
      <c r="BW788" s="1724">
        <f t="shared" si="1560"/>
        <v>0</v>
      </c>
      <c r="BX788" s="1724">
        <f t="shared" si="1560"/>
        <v>0</v>
      </c>
      <c r="BY788" s="1724">
        <f t="shared" si="1560"/>
        <v>0</v>
      </c>
      <c r="BZ788" s="1724">
        <f t="shared" si="1560"/>
        <v>0</v>
      </c>
      <c r="CA788" s="1724">
        <f t="shared" si="1560"/>
        <v>0</v>
      </c>
      <c r="CB788" s="1724">
        <f t="shared" si="1560"/>
        <v>0</v>
      </c>
      <c r="CC788" s="1724">
        <f t="shared" si="1560"/>
        <v>0</v>
      </c>
      <c r="CD788" s="1724">
        <f t="shared" si="1560"/>
        <v>0</v>
      </c>
      <c r="CE788" s="1724">
        <f t="shared" si="1560"/>
        <v>0</v>
      </c>
      <c r="CF788" s="1724">
        <f t="shared" si="1560"/>
        <v>0</v>
      </c>
      <c r="CG788" s="1724">
        <f t="shared" si="1560"/>
        <v>0</v>
      </c>
      <c r="CH788" s="1724">
        <f t="shared" si="1560"/>
        <v>0</v>
      </c>
      <c r="CI788" s="1724">
        <f t="shared" si="1560"/>
        <v>0</v>
      </c>
      <c r="CJ788" s="1724">
        <f t="shared" si="1560"/>
        <v>0</v>
      </c>
      <c r="CK788" s="1724">
        <f t="shared" si="1560"/>
        <v>0</v>
      </c>
      <c r="CL788" s="1724">
        <f t="shared" si="1560"/>
        <v>0</v>
      </c>
      <c r="CM788" s="1724">
        <f t="shared" si="1560"/>
        <v>0</v>
      </c>
      <c r="CN788" s="1724">
        <f t="shared" si="1560"/>
        <v>0</v>
      </c>
      <c r="CO788" s="1724">
        <f t="shared" si="1560"/>
        <v>0</v>
      </c>
      <c r="CP788" s="1724">
        <f t="shared" si="1560"/>
        <v>0</v>
      </c>
      <c r="CQ788" s="1724">
        <f t="shared" si="1560"/>
        <v>0</v>
      </c>
      <c r="CR788" s="1724">
        <f t="shared" si="1560"/>
        <v>0</v>
      </c>
      <c r="CS788" s="1724">
        <f t="shared" si="1560"/>
        <v>0</v>
      </c>
      <c r="CT788" s="1724">
        <f t="shared" si="1560"/>
        <v>0</v>
      </c>
      <c r="CU788" s="1724">
        <f t="shared" ca="1" si="1560"/>
        <v>0</v>
      </c>
      <c r="CV788" s="1724">
        <f t="shared" ca="1" si="1560"/>
        <v>0</v>
      </c>
      <c r="CW788" s="1724">
        <f t="shared" ca="1" si="1560"/>
        <v>0</v>
      </c>
      <c r="CX788" s="1724">
        <f t="shared" ca="1" si="1560"/>
        <v>0</v>
      </c>
      <c r="CY788" s="1724">
        <f t="shared" ca="1" si="1560"/>
        <v>0</v>
      </c>
      <c r="CZ788" s="1724">
        <f t="shared" ca="1" si="1560"/>
        <v>0</v>
      </c>
      <c r="DA788" s="1724">
        <f t="shared" ca="1" si="1560"/>
        <v>0</v>
      </c>
      <c r="DD788" s="1723" t="s">
        <v>1410</v>
      </c>
      <c r="DE788" s="1724">
        <f>M788</f>
        <v>0</v>
      </c>
      <c r="DF788" s="1724">
        <f>R788</f>
        <v>0</v>
      </c>
      <c r="DG788" s="1724">
        <f>W788</f>
        <v>0</v>
      </c>
      <c r="DH788" s="1724">
        <f>AB788</f>
        <v>0</v>
      </c>
      <c r="DI788" s="1724">
        <f>AG788</f>
        <v>0</v>
      </c>
      <c r="DJ788" s="1724">
        <f>AL788</f>
        <v>0</v>
      </c>
      <c r="DK788" s="1724">
        <f>AQ788</f>
        <v>0</v>
      </c>
      <c r="DL788" s="1724">
        <f>AV788</f>
        <v>0</v>
      </c>
      <c r="DM788" s="1724">
        <f>BA788</f>
        <v>0</v>
      </c>
      <c r="DN788" s="1724">
        <f>BF788</f>
        <v>0</v>
      </c>
      <c r="DO788" s="1724">
        <f>BK788</f>
        <v>0</v>
      </c>
      <c r="DP788" s="1724">
        <f>BP788</f>
        <v>0</v>
      </c>
      <c r="DQ788" s="1724">
        <f>BU788</f>
        <v>0</v>
      </c>
      <c r="DR788" s="1724">
        <f>BZ788</f>
        <v>0</v>
      </c>
      <c r="DS788" s="1724">
        <f>CE788</f>
        <v>0</v>
      </c>
      <c r="DT788" s="1724">
        <f>CJ788</f>
        <v>0</v>
      </c>
      <c r="DU788" s="1724">
        <f>CO788</f>
        <v>0</v>
      </c>
      <c r="DV788" s="1724">
        <f>CT788</f>
        <v>0</v>
      </c>
      <c r="DW788" s="1724">
        <f ca="1">CY788</f>
        <v>0</v>
      </c>
      <c r="DX788" s="1724">
        <f ca="1">CZ788</f>
        <v>0</v>
      </c>
      <c r="DY788" s="1724">
        <f ca="1">DA788</f>
        <v>0</v>
      </c>
      <c r="EK788"/>
      <c r="EL788"/>
    </row>
    <row r="789" spans="1:148" ht="12.75" customHeight="1" x14ac:dyDescent="0.2">
      <c r="A789" s="895"/>
      <c r="CY789" s="2031"/>
      <c r="DD789" s="2360"/>
      <c r="DE789" s="2349"/>
      <c r="DF789" s="2349"/>
      <c r="DG789" s="2349"/>
      <c r="DH789" s="2349"/>
      <c r="DI789" s="2349"/>
      <c r="DJ789" s="2349"/>
      <c r="DK789" s="2349"/>
      <c r="DL789" s="2349"/>
      <c r="DM789" s="2349"/>
      <c r="DN789" s="2349"/>
      <c r="DO789" s="2349"/>
      <c r="DP789" s="2349"/>
      <c r="DQ789" s="2349"/>
      <c r="DR789" s="2349"/>
      <c r="DS789" s="2349"/>
      <c r="DT789" s="2349"/>
      <c r="DU789" s="2349"/>
      <c r="DV789" s="2349"/>
      <c r="DW789" s="2349"/>
      <c r="DX789" s="2349"/>
      <c r="DY789" s="2349"/>
      <c r="EK789"/>
      <c r="EL789"/>
    </row>
    <row r="790" spans="1:148" s="923" customFormat="1" ht="12.75" customHeight="1" x14ac:dyDescent="0.2">
      <c r="A790" s="865" t="s">
        <v>2239</v>
      </c>
      <c r="B790" s="2179" t="s">
        <v>1083</v>
      </c>
      <c r="C790" s="2179"/>
      <c r="D790" s="2179"/>
      <c r="E790" s="2179"/>
      <c r="F790" s="2179"/>
      <c r="G790" s="2179" t="s">
        <v>2432</v>
      </c>
      <c r="H790" s="2179" t="s">
        <v>2432</v>
      </c>
      <c r="I790" s="2179" t="s">
        <v>2432</v>
      </c>
      <c r="J790" s="2179" t="s">
        <v>2432</v>
      </c>
      <c r="K790" s="2179" t="s">
        <v>2432</v>
      </c>
      <c r="L790" s="2179" t="s">
        <v>2432</v>
      </c>
      <c r="M790" s="3257" t="s">
        <v>2432</v>
      </c>
      <c r="N790" s="3257" t="s">
        <v>2432</v>
      </c>
      <c r="O790" s="3257" t="s">
        <v>2432</v>
      </c>
      <c r="P790" s="3257" t="s">
        <v>2432</v>
      </c>
      <c r="Q790" s="3257" t="s">
        <v>2432</v>
      </c>
      <c r="R790" s="3257" t="s">
        <v>2432</v>
      </c>
      <c r="S790" s="3257" t="s">
        <v>2432</v>
      </c>
      <c r="T790" s="3257" t="s">
        <v>2432</v>
      </c>
      <c r="U790" s="3257" t="s">
        <v>2432</v>
      </c>
      <c r="V790" s="3257" t="s">
        <v>2432</v>
      </c>
      <c r="W790" s="3257" t="s">
        <v>2432</v>
      </c>
      <c r="X790" s="3257" t="s">
        <v>2432</v>
      </c>
      <c r="Y790" s="3257" t="s">
        <v>2432</v>
      </c>
      <c r="Z790" s="3257" t="s">
        <v>2432</v>
      </c>
      <c r="AA790" s="3257" t="s">
        <v>2432</v>
      </c>
      <c r="AB790" s="3257" t="s">
        <v>2432</v>
      </c>
      <c r="AC790" s="3257" t="s">
        <v>2432</v>
      </c>
      <c r="AD790" s="3257" t="s">
        <v>2432</v>
      </c>
      <c r="AE790" s="3257" t="s">
        <v>2432</v>
      </c>
      <c r="AF790" s="3257" t="s">
        <v>2432</v>
      </c>
      <c r="AG790" s="3257" t="s">
        <v>2432</v>
      </c>
      <c r="AH790" s="3257" t="s">
        <v>2432</v>
      </c>
      <c r="AI790" s="3257" t="s">
        <v>2432</v>
      </c>
      <c r="AJ790" s="3257" t="s">
        <v>2432</v>
      </c>
      <c r="AK790" s="3257" t="s">
        <v>2432</v>
      </c>
      <c r="AL790" s="3257" t="s">
        <v>2432</v>
      </c>
      <c r="AM790" s="3257" t="s">
        <v>2432</v>
      </c>
      <c r="AN790" s="3257" t="s">
        <v>2432</v>
      </c>
      <c r="AO790" s="3257" t="s">
        <v>2432</v>
      </c>
      <c r="AP790" s="3257" t="s">
        <v>2432</v>
      </c>
      <c r="AQ790" s="3257" t="s">
        <v>958</v>
      </c>
      <c r="AR790" s="3257" t="s">
        <v>2432</v>
      </c>
      <c r="AS790" s="3257" t="s">
        <v>2432</v>
      </c>
      <c r="AT790" s="3257" t="s">
        <v>2432</v>
      </c>
      <c r="AU790" s="3257" t="s">
        <v>2432</v>
      </c>
      <c r="AV790" s="3257" t="s">
        <v>958</v>
      </c>
      <c r="AW790" s="3257" t="s">
        <v>2432</v>
      </c>
      <c r="AX790" s="3257" t="s">
        <v>2432</v>
      </c>
      <c r="AY790" s="3257" t="s">
        <v>2432</v>
      </c>
      <c r="AZ790" s="3257" t="s">
        <v>2432</v>
      </c>
      <c r="BA790" s="3257" t="s">
        <v>2432</v>
      </c>
      <c r="BB790" s="3257" t="s">
        <v>2432</v>
      </c>
      <c r="BC790" s="3257" t="s">
        <v>2432</v>
      </c>
      <c r="BD790" s="3257" t="s">
        <v>2432</v>
      </c>
      <c r="BE790" s="3257" t="s">
        <v>2432</v>
      </c>
      <c r="BF790" s="3257" t="s">
        <v>958</v>
      </c>
      <c r="BG790" s="3257" t="s">
        <v>2432</v>
      </c>
      <c r="BH790" s="3257" t="s">
        <v>2432</v>
      </c>
      <c r="BI790" s="3257" t="s">
        <v>2432</v>
      </c>
      <c r="BJ790" s="3257" t="s">
        <v>2432</v>
      </c>
      <c r="BK790" s="3257" t="s">
        <v>2432</v>
      </c>
      <c r="BL790" s="3257" t="s">
        <v>2432</v>
      </c>
      <c r="BM790" s="3257" t="s">
        <v>2432</v>
      </c>
      <c r="BN790" s="3257" t="s">
        <v>2432</v>
      </c>
      <c r="BO790" s="3257" t="s">
        <v>2432</v>
      </c>
      <c r="BP790" s="3257" t="s">
        <v>2432</v>
      </c>
      <c r="BQ790" s="3257" t="s">
        <v>2432</v>
      </c>
      <c r="BR790" s="3257" t="s">
        <v>2432</v>
      </c>
      <c r="BS790" s="3257" t="s">
        <v>2432</v>
      </c>
      <c r="BT790" s="3257" t="s">
        <v>2432</v>
      </c>
      <c r="BU790" s="3257" t="s">
        <v>2432</v>
      </c>
      <c r="BV790" s="3257" t="s">
        <v>2432</v>
      </c>
      <c r="BW790" s="3257" t="s">
        <v>2432</v>
      </c>
      <c r="BX790" s="3257" t="s">
        <v>2432</v>
      </c>
      <c r="BY790" s="3257" t="s">
        <v>2432</v>
      </c>
      <c r="BZ790" s="3257" t="s">
        <v>2432</v>
      </c>
      <c r="CA790" s="3257" t="s">
        <v>2432</v>
      </c>
      <c r="CB790" s="3257" t="s">
        <v>2432</v>
      </c>
      <c r="CC790" s="3257" t="s">
        <v>2432</v>
      </c>
      <c r="CD790" s="3257" t="s">
        <v>2432</v>
      </c>
      <c r="CE790" s="2938" t="s">
        <v>2433</v>
      </c>
      <c r="CF790" s="2938" t="s">
        <v>2434</v>
      </c>
      <c r="CG790" s="2938" t="s">
        <v>2435</v>
      </c>
      <c r="CH790" s="2938" t="s">
        <v>2436</v>
      </c>
      <c r="CI790" s="2938" t="s">
        <v>2437</v>
      </c>
      <c r="CJ790" s="2938" t="s">
        <v>2438</v>
      </c>
      <c r="CK790" s="2938" t="s">
        <v>2439</v>
      </c>
      <c r="CL790" s="2938">
        <v>66.459999999999994</v>
      </c>
      <c r="CM790" s="3204">
        <v>70.510000000000005</v>
      </c>
      <c r="CN790" s="3204">
        <v>75.132189281250007</v>
      </c>
      <c r="CO790" s="1863">
        <v>70.700729760416664</v>
      </c>
      <c r="CP790" s="3204">
        <v>86.847257983870975</v>
      </c>
      <c r="CQ790" s="3636">
        <v>99.977347765625026</v>
      </c>
      <c r="CR790" s="3663">
        <v>103.03578590625001</v>
      </c>
      <c r="CS790" s="3663" t="s">
        <v>2972</v>
      </c>
      <c r="CT790" s="3728">
        <v>96.620130551915338</v>
      </c>
      <c r="CU790" s="3257">
        <v>140</v>
      </c>
      <c r="CV790" s="2362">
        <f>CU790*(1+CV791)</f>
        <v>143.5</v>
      </c>
      <c r="CW790" s="2362">
        <f>CV790*(1+CW791)</f>
        <v>147.08749999999998</v>
      </c>
      <c r="CX790" s="2362">
        <f>CW790*(1+CX791)</f>
        <v>150.76468749999995</v>
      </c>
      <c r="CY790" s="1863">
        <f>AVERAGE(CU790:CX790)</f>
        <v>145.33804687499997</v>
      </c>
      <c r="CZ790" s="1863">
        <f>CY790*(1+CZ791)</f>
        <v>159.87185156249998</v>
      </c>
      <c r="DA790" s="1863">
        <f>CZ790*(1+DA791)</f>
        <v>175.85903671874999</v>
      </c>
      <c r="DB790"/>
      <c r="DC790"/>
      <c r="DD790" s="2323" t="s">
        <v>2239</v>
      </c>
      <c r="DE790" s="2362" t="str">
        <f>M790</f>
        <v>Manual Calculation</v>
      </c>
      <c r="DF790" s="2362" t="str">
        <f>R790</f>
        <v>Manual Calculation</v>
      </c>
      <c r="DG790" s="2362" t="str">
        <f>W790</f>
        <v>Manual Calculation</v>
      </c>
      <c r="DH790" s="2362" t="str">
        <f>AB790</f>
        <v>Manual Calculation</v>
      </c>
      <c r="DI790" s="2362" t="str">
        <f>AG790</f>
        <v>Manual Calculation</v>
      </c>
      <c r="DJ790" s="2362" t="str">
        <f>AL790</f>
        <v>Manual Calculation</v>
      </c>
      <c r="DK790" s="2362" t="str">
        <f>AQ790</f>
        <v>N/A</v>
      </c>
      <c r="DL790" s="2362" t="str">
        <f>AV790</f>
        <v>N/A</v>
      </c>
      <c r="DM790" s="2362" t="str">
        <f>BA790</f>
        <v>Manual Calculation</v>
      </c>
      <c r="DN790" s="2362" t="str">
        <f>BF790</f>
        <v>N/A</v>
      </c>
      <c r="DO790" s="2362" t="str">
        <f>BK790</f>
        <v>Manual Calculation</v>
      </c>
      <c r="DP790" s="2362" t="str">
        <f>BP790</f>
        <v>Manual Calculation</v>
      </c>
      <c r="DQ790" s="2362" t="str">
        <f>BU790</f>
        <v>Manual Calculation</v>
      </c>
      <c r="DR790" s="2362" t="str">
        <f>BZ790</f>
        <v>Manual Calculation</v>
      </c>
      <c r="DS790" s="2362" t="str">
        <f>CE790</f>
        <v xml:space="preserve">$63.24 </v>
      </c>
      <c r="DT790" s="2362" t="str">
        <f>CJ790</f>
        <v xml:space="preserve">$75.78 </v>
      </c>
      <c r="DU790" s="2362">
        <f>CO790</f>
        <v>70.700729760416664</v>
      </c>
      <c r="DV790" s="2362">
        <f>CT790</f>
        <v>96.620130551915338</v>
      </c>
      <c r="DW790" s="2362">
        <f t="shared" ref="DW790:DY791" si="1561">CY790</f>
        <v>145.33804687499997</v>
      </c>
      <c r="DX790" s="2362">
        <f t="shared" si="1561"/>
        <v>159.87185156249998</v>
      </c>
      <c r="DY790" s="2362">
        <f t="shared" si="1561"/>
        <v>175.85903671874999</v>
      </c>
      <c r="EA790"/>
      <c r="EB790"/>
      <c r="EC790"/>
      <c r="ED790"/>
      <c r="EE790"/>
      <c r="EF790"/>
      <c r="EJ790"/>
      <c r="EK790"/>
      <c r="EL790"/>
      <c r="ER790" s="212"/>
    </row>
    <row r="791" spans="1:148" s="1193" customFormat="1" ht="12.75" customHeight="1" x14ac:dyDescent="0.2">
      <c r="A791" s="1860" t="s">
        <v>357</v>
      </c>
      <c r="B791" s="1862"/>
      <c r="C791" s="1862"/>
      <c r="D791" s="1862"/>
      <c r="E791" s="1862"/>
      <c r="F791" s="1862"/>
      <c r="G791" s="1862"/>
      <c r="H791" s="1862"/>
      <c r="I791" s="1862"/>
      <c r="J791" s="1862"/>
      <c r="K791" s="1862"/>
      <c r="L791" s="1862"/>
      <c r="M791" s="1864"/>
      <c r="N791" s="1862"/>
      <c r="O791" s="1862"/>
      <c r="P791" s="1862"/>
      <c r="Q791" s="1862"/>
      <c r="R791" s="1864"/>
      <c r="S791" s="1862"/>
      <c r="T791" s="1862"/>
      <c r="U791" s="1862"/>
      <c r="V791" s="1862"/>
      <c r="W791" s="1864"/>
      <c r="X791" s="1862"/>
      <c r="Y791" s="1862"/>
      <c r="Z791" s="1862"/>
      <c r="AA791" s="1862"/>
      <c r="AB791" s="1864"/>
      <c r="AC791" s="1862"/>
      <c r="AD791" s="1862"/>
      <c r="AE791" s="1862"/>
      <c r="AF791" s="1862"/>
      <c r="AG791" s="1864"/>
      <c r="AH791" s="1862"/>
      <c r="AI791" s="1862"/>
      <c r="AJ791" s="1862"/>
      <c r="AK791" s="1862"/>
      <c r="AL791" s="1864"/>
      <c r="AM791" s="1862"/>
      <c r="AN791" s="1862"/>
      <c r="AO791" s="1862"/>
      <c r="AP791" s="1862"/>
      <c r="AQ791" s="1864"/>
      <c r="AR791" s="1862"/>
      <c r="AS791" s="1862"/>
      <c r="AT791" s="1862"/>
      <c r="AU791" s="1862"/>
      <c r="AV791" s="1864"/>
      <c r="AW791" s="1862"/>
      <c r="AX791" s="1862"/>
      <c r="AY791" s="1862"/>
      <c r="AZ791" s="1862"/>
      <c r="BA791" s="1864"/>
      <c r="BB791" s="1862"/>
      <c r="BC791" s="1862"/>
      <c r="BD791" s="1862"/>
      <c r="BE791" s="1862"/>
      <c r="BF791" s="1864"/>
      <c r="BG791" s="1862"/>
      <c r="BH791" s="1862"/>
      <c r="BI791" s="1862"/>
      <c r="BJ791" s="1862"/>
      <c r="BK791" s="1864"/>
      <c r="BL791" s="1862"/>
      <c r="BM791" s="1862"/>
      <c r="BN791" s="1862"/>
      <c r="BO791" s="1862"/>
      <c r="BP791" s="1864"/>
      <c r="BQ791" s="1862"/>
      <c r="BR791" s="1862"/>
      <c r="BS791" s="1862"/>
      <c r="BT791" s="1862"/>
      <c r="BU791" s="1864"/>
      <c r="BV791" s="1862"/>
      <c r="BW791" s="1862"/>
      <c r="BX791" s="1862"/>
      <c r="BY791" s="1861"/>
      <c r="BZ791" s="1864"/>
      <c r="CA791" s="1861"/>
      <c r="CB791" s="1861"/>
      <c r="CC791" s="1862"/>
      <c r="CD791" s="1861"/>
      <c r="CE791" s="1864"/>
      <c r="CF791" s="1861"/>
      <c r="CG791" s="1862"/>
      <c r="CH791" s="1862"/>
      <c r="CI791" s="1862"/>
      <c r="CJ791" s="1864"/>
      <c r="CK791" s="1862"/>
      <c r="CL791" s="2901"/>
      <c r="CM791" s="2901"/>
      <c r="CN791" s="2901"/>
      <c r="CO791" s="1864"/>
      <c r="CP791" s="2901"/>
      <c r="CQ791" s="2901"/>
      <c r="CR791" s="2901"/>
      <c r="CS791" s="2901"/>
      <c r="CT791" s="1864"/>
      <c r="CU791" s="2901">
        <v>2.5000000000000001E-2</v>
      </c>
      <c r="CV791" s="2901">
        <v>2.5000000000000001E-2</v>
      </c>
      <c r="CW791" s="2901">
        <v>2.5000000000000001E-2</v>
      </c>
      <c r="CX791" s="2901">
        <v>2.5000000000000001E-2</v>
      </c>
      <c r="CY791" s="1864">
        <f>+SUM(CU791:CX791)</f>
        <v>0.1</v>
      </c>
      <c r="CZ791" s="1862">
        <f>+CY791</f>
        <v>0.1</v>
      </c>
      <c r="DA791" s="1862">
        <f>+CZ791</f>
        <v>0.1</v>
      </c>
      <c r="DB791"/>
      <c r="DC791"/>
      <c r="DD791" s="2328" t="s">
        <v>357</v>
      </c>
      <c r="DE791" s="2363">
        <f>M791</f>
        <v>0</v>
      </c>
      <c r="DF791" s="2363">
        <f>R791</f>
        <v>0</v>
      </c>
      <c r="DG791" s="2363">
        <f>W791</f>
        <v>0</v>
      </c>
      <c r="DH791" s="2363">
        <f>AB791</f>
        <v>0</v>
      </c>
      <c r="DI791" s="2363">
        <f>AG791</f>
        <v>0</v>
      </c>
      <c r="DJ791" s="2363">
        <f>AL791</f>
        <v>0</v>
      </c>
      <c r="DK791" s="2363">
        <f>AQ791</f>
        <v>0</v>
      </c>
      <c r="DL791" s="2363">
        <f>AV791</f>
        <v>0</v>
      </c>
      <c r="DM791" s="2363">
        <f>BA791</f>
        <v>0</v>
      </c>
      <c r="DN791" s="2363">
        <f>BF791</f>
        <v>0</v>
      </c>
      <c r="DO791" s="2363">
        <f>BK791</f>
        <v>0</v>
      </c>
      <c r="DP791" s="2363">
        <f>BP791</f>
        <v>0</v>
      </c>
      <c r="DQ791" s="2363">
        <f>BU791</f>
        <v>0</v>
      </c>
      <c r="DR791" s="2363">
        <f>BZ791</f>
        <v>0</v>
      </c>
      <c r="DS791" s="2363">
        <f>CE791</f>
        <v>0</v>
      </c>
      <c r="DT791" s="2363">
        <f>CJ791</f>
        <v>0</v>
      </c>
      <c r="DU791" s="2363">
        <f>CO791</f>
        <v>0</v>
      </c>
      <c r="DV791" s="2363">
        <f>CT791</f>
        <v>0</v>
      </c>
      <c r="DW791" s="2363">
        <f t="shared" si="1561"/>
        <v>0.1</v>
      </c>
      <c r="DX791" s="2363">
        <f t="shared" si="1561"/>
        <v>0.1</v>
      </c>
      <c r="DY791" s="2363">
        <f t="shared" si="1561"/>
        <v>0.1</v>
      </c>
      <c r="EA791"/>
      <c r="EB791"/>
      <c r="EC791"/>
      <c r="ED791"/>
      <c r="EE791"/>
      <c r="EF791"/>
      <c r="EJ791"/>
      <c r="EK791"/>
      <c r="EL791"/>
      <c r="ER791" s="212"/>
    </row>
    <row r="792" spans="1:148" ht="12.75" customHeight="1" x14ac:dyDescent="0.2">
      <c r="A792" s="895"/>
      <c r="DD792" s="2360"/>
      <c r="DE792" s="2349"/>
      <c r="DF792" s="2349"/>
      <c r="DG792" s="2349"/>
      <c r="DH792" s="2349"/>
      <c r="DI792" s="2349"/>
      <c r="DJ792" s="2349"/>
      <c r="DK792" s="2349"/>
      <c r="DL792" s="2349"/>
      <c r="DM792" s="2349"/>
      <c r="DN792" s="2349"/>
      <c r="DO792" s="2349"/>
      <c r="DP792" s="2349"/>
      <c r="DQ792" s="2349"/>
      <c r="DR792" s="2349"/>
      <c r="DS792" s="2349"/>
      <c r="DT792" s="2349"/>
      <c r="DU792" s="2349"/>
      <c r="DV792" s="2349"/>
      <c r="DW792" s="2349"/>
      <c r="DX792" s="2349"/>
      <c r="DY792" s="2349"/>
      <c r="EK792"/>
      <c r="EL792"/>
    </row>
    <row r="793" spans="1:148" s="923" customFormat="1" ht="12.75" customHeight="1" x14ac:dyDescent="0.2">
      <c r="A793" s="873" t="s">
        <v>1081</v>
      </c>
      <c r="B793" s="963"/>
      <c r="C793" s="963"/>
      <c r="D793" s="963"/>
      <c r="E793" s="963"/>
      <c r="F793" s="963"/>
      <c r="G793" s="963"/>
      <c r="H793" s="963"/>
      <c r="I793" s="963" t="str">
        <f t="shared" ref="I793:AN793" si="1562">I$5</f>
        <v>1Q00</v>
      </c>
      <c r="J793" s="963" t="str">
        <f t="shared" si="1562"/>
        <v>2Q00</v>
      </c>
      <c r="K793" s="963" t="str">
        <f t="shared" si="1562"/>
        <v>3Q00</v>
      </c>
      <c r="L793" s="963" t="str">
        <f t="shared" si="1562"/>
        <v>4Q00</v>
      </c>
      <c r="M793" s="649">
        <f t="shared" si="1562"/>
        <v>2000</v>
      </c>
      <c r="N793" s="963" t="str">
        <f t="shared" si="1562"/>
        <v>1Q01</v>
      </c>
      <c r="O793" s="963" t="str">
        <f t="shared" si="1562"/>
        <v>2Q01</v>
      </c>
      <c r="P793" s="963" t="str">
        <f t="shared" si="1562"/>
        <v>3Q01</v>
      </c>
      <c r="Q793" s="963" t="str">
        <f t="shared" si="1562"/>
        <v>4Q01</v>
      </c>
      <c r="R793" s="649">
        <f t="shared" si="1562"/>
        <v>2001</v>
      </c>
      <c r="S793" s="963" t="str">
        <f t="shared" si="1562"/>
        <v>1Q02</v>
      </c>
      <c r="T793" s="963" t="str">
        <f t="shared" si="1562"/>
        <v>2Q02</v>
      </c>
      <c r="U793" s="963" t="str">
        <f t="shared" si="1562"/>
        <v>3Q02</v>
      </c>
      <c r="V793" s="963" t="str">
        <f t="shared" si="1562"/>
        <v>4Q02</v>
      </c>
      <c r="W793" s="649">
        <f t="shared" si="1562"/>
        <v>2002</v>
      </c>
      <c r="X793" s="963" t="str">
        <f t="shared" si="1562"/>
        <v>1Q03</v>
      </c>
      <c r="Y793" s="963" t="str">
        <f t="shared" si="1562"/>
        <v>2Q03</v>
      </c>
      <c r="Z793" s="963" t="str">
        <f t="shared" si="1562"/>
        <v>3Q03</v>
      </c>
      <c r="AA793" s="963" t="str">
        <f t="shared" si="1562"/>
        <v>4Q03</v>
      </c>
      <c r="AB793" s="649">
        <f t="shared" si="1562"/>
        <v>2003</v>
      </c>
      <c r="AC793" s="963" t="str">
        <f t="shared" si="1562"/>
        <v>1Q04</v>
      </c>
      <c r="AD793" s="963" t="str">
        <f t="shared" si="1562"/>
        <v>2Q04</v>
      </c>
      <c r="AE793" s="963" t="str">
        <f t="shared" si="1562"/>
        <v>3Q04</v>
      </c>
      <c r="AF793" s="963" t="str">
        <f t="shared" si="1562"/>
        <v>4Q04</v>
      </c>
      <c r="AG793" s="649" t="str">
        <f t="shared" si="1562"/>
        <v>2004</v>
      </c>
      <c r="AH793" s="963" t="str">
        <f t="shared" si="1562"/>
        <v>1Q05</v>
      </c>
      <c r="AI793" s="963" t="str">
        <f t="shared" si="1562"/>
        <v>2Q05</v>
      </c>
      <c r="AJ793" s="963" t="str">
        <f t="shared" si="1562"/>
        <v>3Q05</v>
      </c>
      <c r="AK793" s="963" t="str">
        <f t="shared" si="1562"/>
        <v>4Q05</v>
      </c>
      <c r="AL793" s="649" t="str">
        <f t="shared" si="1562"/>
        <v>2005</v>
      </c>
      <c r="AM793" s="963" t="str">
        <f t="shared" si="1562"/>
        <v>1Q06</v>
      </c>
      <c r="AN793" s="963" t="str">
        <f t="shared" si="1562"/>
        <v>2Q06</v>
      </c>
      <c r="AO793" s="963" t="str">
        <f t="shared" ref="AO793:BT793" si="1563">AO$5</f>
        <v>3Q06</v>
      </c>
      <c r="AP793" s="963" t="str">
        <f t="shared" si="1563"/>
        <v>4Q06</v>
      </c>
      <c r="AQ793" s="649" t="str">
        <f t="shared" si="1563"/>
        <v>2006</v>
      </c>
      <c r="AR793" s="963" t="str">
        <f t="shared" si="1563"/>
        <v>1Q07</v>
      </c>
      <c r="AS793" s="963" t="str">
        <f t="shared" si="1563"/>
        <v>2Q07</v>
      </c>
      <c r="AT793" s="963" t="str">
        <f t="shared" si="1563"/>
        <v>3Q07</v>
      </c>
      <c r="AU793" s="963" t="str">
        <f t="shared" si="1563"/>
        <v>4Q07</v>
      </c>
      <c r="AV793" s="649" t="str">
        <f t="shared" si="1563"/>
        <v>2007</v>
      </c>
      <c r="AW793" s="963" t="str">
        <f t="shared" si="1563"/>
        <v>1Q08</v>
      </c>
      <c r="AX793" s="963" t="str">
        <f t="shared" si="1563"/>
        <v>2Q08</v>
      </c>
      <c r="AY793" s="963" t="str">
        <f t="shared" si="1563"/>
        <v>3Q08</v>
      </c>
      <c r="AZ793" s="963" t="str">
        <f t="shared" si="1563"/>
        <v>4Q08</v>
      </c>
      <c r="BA793" s="649" t="str">
        <f t="shared" si="1563"/>
        <v>2008</v>
      </c>
      <c r="BB793" s="963" t="str">
        <f t="shared" si="1563"/>
        <v>1Q09</v>
      </c>
      <c r="BC793" s="963" t="str">
        <f t="shared" si="1563"/>
        <v>2Q09</v>
      </c>
      <c r="BD793" s="963" t="str">
        <f t="shared" si="1563"/>
        <v>3Q09</v>
      </c>
      <c r="BE793" s="963" t="str">
        <f t="shared" si="1563"/>
        <v>4Q09</v>
      </c>
      <c r="BF793" s="649" t="str">
        <f t="shared" si="1563"/>
        <v>2009</v>
      </c>
      <c r="BG793" s="963" t="str">
        <f t="shared" si="1563"/>
        <v>1Q10</v>
      </c>
      <c r="BH793" s="963" t="str">
        <f t="shared" si="1563"/>
        <v>2Q10</v>
      </c>
      <c r="BI793" s="963" t="str">
        <f t="shared" si="1563"/>
        <v>3Q10</v>
      </c>
      <c r="BJ793" s="963" t="str">
        <f t="shared" si="1563"/>
        <v>4Q10</v>
      </c>
      <c r="BK793" s="649" t="str">
        <f t="shared" si="1563"/>
        <v>2010</v>
      </c>
      <c r="BL793" s="963" t="str">
        <f t="shared" si="1563"/>
        <v>1Q11</v>
      </c>
      <c r="BM793" s="963" t="str">
        <f t="shared" si="1563"/>
        <v>2Q11</v>
      </c>
      <c r="BN793" s="963" t="str">
        <f t="shared" si="1563"/>
        <v>3Q11</v>
      </c>
      <c r="BO793" s="963" t="str">
        <f t="shared" si="1563"/>
        <v>4Q11</v>
      </c>
      <c r="BP793" s="649">
        <f t="shared" si="1563"/>
        <v>2011</v>
      </c>
      <c r="BQ793" s="963" t="str">
        <f t="shared" si="1563"/>
        <v>1Q12</v>
      </c>
      <c r="BR793" s="963" t="str">
        <f t="shared" si="1563"/>
        <v>2Q12</v>
      </c>
      <c r="BS793" s="963" t="str">
        <f t="shared" si="1563"/>
        <v>3Q12</v>
      </c>
      <c r="BT793" s="963" t="str">
        <f t="shared" si="1563"/>
        <v>4Q12</v>
      </c>
      <c r="BU793" s="649">
        <f t="shared" ref="BU793:DA793" si="1564">BU$5</f>
        <v>2012</v>
      </c>
      <c r="BV793" s="963" t="str">
        <f t="shared" si="1564"/>
        <v>1Q13</v>
      </c>
      <c r="BW793" s="963" t="str">
        <f t="shared" si="1564"/>
        <v>2Q13</v>
      </c>
      <c r="BX793" s="963" t="str">
        <f t="shared" si="1564"/>
        <v>3Q13</v>
      </c>
      <c r="BY793" s="963" t="str">
        <f t="shared" si="1564"/>
        <v>4Q13</v>
      </c>
      <c r="BZ793" s="649">
        <f t="shared" si="1564"/>
        <v>2013</v>
      </c>
      <c r="CA793" s="1768" t="str">
        <f t="shared" si="1564"/>
        <v>1Q14</v>
      </c>
      <c r="CB793" s="963" t="str">
        <f t="shared" si="1564"/>
        <v>2Q14</v>
      </c>
      <c r="CC793" s="963" t="str">
        <f t="shared" si="1564"/>
        <v>3Q14</v>
      </c>
      <c r="CD793" s="964" t="str">
        <f t="shared" si="1564"/>
        <v>4Q14</v>
      </c>
      <c r="CE793" s="649">
        <f t="shared" si="1564"/>
        <v>2014</v>
      </c>
      <c r="CF793" s="963" t="str">
        <f t="shared" si="1564"/>
        <v>1Q15</v>
      </c>
      <c r="CG793" s="963" t="str">
        <f t="shared" si="1564"/>
        <v>2Q15</v>
      </c>
      <c r="CH793" s="963" t="str">
        <f t="shared" si="1564"/>
        <v>3Q15</v>
      </c>
      <c r="CI793" s="964" t="str">
        <f t="shared" si="1564"/>
        <v>4Q15</v>
      </c>
      <c r="CJ793" s="649">
        <f t="shared" si="1564"/>
        <v>2015</v>
      </c>
      <c r="CK793" s="963" t="str">
        <f t="shared" si="1564"/>
        <v>1Q16</v>
      </c>
      <c r="CL793" s="963" t="str">
        <f t="shared" si="1564"/>
        <v>2Q16</v>
      </c>
      <c r="CM793" s="963" t="str">
        <f t="shared" si="1564"/>
        <v>3Q16</v>
      </c>
      <c r="CN793" s="964" t="str">
        <f t="shared" si="1564"/>
        <v>4Q16</v>
      </c>
      <c r="CO793" s="649">
        <f t="shared" si="1564"/>
        <v>2016</v>
      </c>
      <c r="CP793" s="963" t="str">
        <f t="shared" si="1564"/>
        <v>1Q17</v>
      </c>
      <c r="CQ793" s="963" t="str">
        <f t="shared" si="1564"/>
        <v>2Q17</v>
      </c>
      <c r="CR793" s="963" t="str">
        <f t="shared" si="1564"/>
        <v>3Q17</v>
      </c>
      <c r="CS793" s="964" t="str">
        <f t="shared" si="1564"/>
        <v>4Q17A</v>
      </c>
      <c r="CT793" s="649" t="str">
        <f t="shared" si="1564"/>
        <v>2017A</v>
      </c>
      <c r="CU793" s="963" t="str">
        <f t="shared" si="1564"/>
        <v>1Q18E</v>
      </c>
      <c r="CV793" s="963" t="str">
        <f t="shared" si="1564"/>
        <v>2Q18E</v>
      </c>
      <c r="CW793" s="963" t="str">
        <f t="shared" si="1564"/>
        <v>3Q18E</v>
      </c>
      <c r="CX793" s="964" t="str">
        <f t="shared" si="1564"/>
        <v>4Q18E</v>
      </c>
      <c r="CY793" s="649" t="str">
        <f t="shared" si="1564"/>
        <v>2018E</v>
      </c>
      <c r="CZ793" s="649" t="str">
        <f t="shared" si="1564"/>
        <v>2019E</v>
      </c>
      <c r="DA793" s="649" t="str">
        <f t="shared" si="1564"/>
        <v>2020E</v>
      </c>
      <c r="DB793"/>
      <c r="DC793"/>
      <c r="DD793" s="873" t="s">
        <v>1081</v>
      </c>
      <c r="DE793" s="649"/>
      <c r="DF793" s="649"/>
      <c r="DG793" s="649"/>
      <c r="DH793" s="649"/>
      <c r="DI793" s="649"/>
      <c r="DJ793" s="649"/>
      <c r="DK793" s="649"/>
      <c r="DL793" s="649"/>
      <c r="DM793" s="649"/>
      <c r="DN793" s="649"/>
      <c r="DO793" s="649"/>
      <c r="DP793" s="649"/>
      <c r="DQ793" s="649"/>
      <c r="DR793" s="649"/>
      <c r="DS793" s="649"/>
      <c r="DT793" s="649"/>
      <c r="DU793" s="649"/>
      <c r="DV793" s="649"/>
      <c r="DW793" s="649"/>
      <c r="DX793" s="649"/>
      <c r="DY793" s="649"/>
      <c r="EA793"/>
      <c r="EB793"/>
      <c r="EC793"/>
      <c r="ED793"/>
      <c r="EE793"/>
      <c r="EF793"/>
      <c r="EJ793"/>
      <c r="EK793"/>
      <c r="EL793"/>
      <c r="ER793" s="212"/>
    </row>
    <row r="794" spans="1:148" s="923" customFormat="1" ht="12.75" customHeight="1" x14ac:dyDescent="0.2">
      <c r="A794" s="1672" t="s">
        <v>1072</v>
      </c>
      <c r="B794" s="215"/>
      <c r="C794" s="215"/>
      <c r="D794" s="215"/>
      <c r="E794" s="215"/>
      <c r="F794" s="215"/>
      <c r="G794" s="215"/>
      <c r="H794" s="215"/>
      <c r="I794" s="215"/>
      <c r="J794" s="215"/>
      <c r="K794" s="215"/>
      <c r="L794" s="215"/>
      <c r="M794" s="968"/>
      <c r="N794" s="215"/>
      <c r="O794" s="215"/>
      <c r="P794" s="215" t="s">
        <v>2033</v>
      </c>
      <c r="Q794" s="215"/>
      <c r="R794" s="968"/>
      <c r="S794" s="215"/>
      <c r="T794" s="215"/>
      <c r="U794" s="215"/>
      <c r="V794" s="215"/>
      <c r="W794" s="968"/>
      <c r="X794" s="215"/>
      <c r="Y794" s="215"/>
      <c r="Z794" s="215"/>
      <c r="AA794" s="215"/>
      <c r="AB794" s="968"/>
      <c r="AC794" s="215"/>
      <c r="AD794" s="215"/>
      <c r="AE794" s="215"/>
      <c r="AF794" s="215"/>
      <c r="AG794" s="968"/>
      <c r="AH794" s="215"/>
      <c r="AI794" s="215"/>
      <c r="AJ794" s="215"/>
      <c r="AK794" s="215"/>
      <c r="AL794" s="968"/>
      <c r="AM794" s="215"/>
      <c r="AN794" s="215"/>
      <c r="AO794" s="215"/>
      <c r="AP794" s="215"/>
      <c r="AQ794" s="968"/>
      <c r="AR794" s="215"/>
      <c r="AS794" s="215"/>
      <c r="AT794" s="215"/>
      <c r="AU794" s="215"/>
      <c r="AV794" s="968"/>
      <c r="AW794" s="215"/>
      <c r="AX794" s="215"/>
      <c r="AY794" s="215"/>
      <c r="AZ794" s="215"/>
      <c r="BA794" s="968"/>
      <c r="BB794" s="215"/>
      <c r="BC794" s="215"/>
      <c r="BD794" s="215"/>
      <c r="BE794" s="215"/>
      <c r="BF794" s="968"/>
      <c r="BG794" s="215"/>
      <c r="BH794" s="215"/>
      <c r="BI794" s="215"/>
      <c r="BJ794" s="215"/>
      <c r="BK794" s="968"/>
      <c r="BL794" s="215"/>
      <c r="BM794" s="215"/>
      <c r="BN794" s="215"/>
      <c r="BO794" s="215"/>
      <c r="BP794" s="968"/>
      <c r="BQ794" s="215"/>
      <c r="BR794" s="215"/>
      <c r="BS794" s="215"/>
      <c r="BT794" s="215"/>
      <c r="BU794" s="968"/>
      <c r="BV794" s="215"/>
      <c r="BW794" s="215"/>
      <c r="BX794" s="215"/>
      <c r="BY794" s="215"/>
      <c r="BZ794" s="968"/>
      <c r="CA794" s="188"/>
      <c r="CB794" s="215"/>
      <c r="CC794" s="215"/>
      <c r="CD794" s="1788"/>
      <c r="CE794" s="968"/>
      <c r="CF794" s="215"/>
      <c r="CG794" s="215"/>
      <c r="CH794" s="215"/>
      <c r="CI794" s="1788"/>
      <c r="CJ794" s="968"/>
      <c r="CK794" s="215"/>
      <c r="CL794" s="215"/>
      <c r="CM794" s="215"/>
      <c r="CN794" s="1788"/>
      <c r="CO794" s="968"/>
      <c r="CP794" s="215"/>
      <c r="CQ794" s="215"/>
      <c r="CR794" s="215"/>
      <c r="CS794" s="215"/>
      <c r="CT794" s="968"/>
      <c r="CU794" s="215"/>
      <c r="CV794" s="215"/>
      <c r="CW794" s="215"/>
      <c r="CX794" s="215"/>
      <c r="CY794" s="968"/>
      <c r="CZ794" s="968"/>
      <c r="DA794" s="968"/>
      <c r="DB794"/>
      <c r="DC794"/>
      <c r="DD794" s="1672" t="s">
        <v>1072</v>
      </c>
      <c r="DE794" s="2290"/>
      <c r="DF794" s="2290"/>
      <c r="DG794" s="2290"/>
      <c r="DH794" s="2290"/>
      <c r="DI794" s="2290"/>
      <c r="DJ794" s="2290"/>
      <c r="DK794" s="2290"/>
      <c r="DL794" s="2290"/>
      <c r="DM794" s="2290"/>
      <c r="DN794" s="2290"/>
      <c r="DO794" s="2290"/>
      <c r="DP794" s="2290"/>
      <c r="DQ794" s="2290"/>
      <c r="DR794" s="2290"/>
      <c r="DS794" s="2290"/>
      <c r="DT794" s="2290"/>
      <c r="DU794" s="2290"/>
      <c r="DV794" s="2290"/>
      <c r="DW794" s="2290"/>
      <c r="DX794" s="2290"/>
      <c r="DY794" s="2290"/>
      <c r="EA794"/>
      <c r="EB794"/>
      <c r="EC794"/>
      <c r="ED794"/>
      <c r="EE794"/>
      <c r="EF794"/>
      <c r="EJ794"/>
      <c r="EK794"/>
      <c r="EL794"/>
      <c r="ER794" s="212"/>
    </row>
    <row r="795" spans="1:148" s="1703" customFormat="1" ht="12.75" customHeight="1" x14ac:dyDescent="0.2">
      <c r="A795" s="1987" t="s">
        <v>915</v>
      </c>
      <c r="I795" s="1703">
        <f>I834</f>
        <v>851</v>
      </c>
      <c r="J795" s="1703">
        <f t="shared" ref="J795:BU795" si="1565">J834</f>
        <v>851</v>
      </c>
      <c r="K795" s="1703">
        <f t="shared" si="1565"/>
        <v>851</v>
      </c>
      <c r="L795" s="1703">
        <f t="shared" si="1565"/>
        <v>851</v>
      </c>
      <c r="M795" s="1704">
        <f t="shared" si="1565"/>
        <v>851</v>
      </c>
      <c r="N795" s="1703">
        <f t="shared" si="1565"/>
        <v>851</v>
      </c>
      <c r="O795" s="1703">
        <f t="shared" si="1565"/>
        <v>699</v>
      </c>
      <c r="P795" s="1703">
        <f t="shared" si="1565"/>
        <v>699</v>
      </c>
      <c r="Q795" s="1703">
        <f t="shared" si="1565"/>
        <v>1043</v>
      </c>
      <c r="R795" s="1704">
        <f t="shared" si="1565"/>
        <v>1043</v>
      </c>
      <c r="S795" s="1703">
        <f t="shared" si="1565"/>
        <v>411</v>
      </c>
      <c r="T795" s="1703">
        <f t="shared" si="1565"/>
        <v>442</v>
      </c>
      <c r="U795" s="1703">
        <f t="shared" si="1565"/>
        <v>339</v>
      </c>
      <c r="V795" s="1703">
        <f t="shared" si="1565"/>
        <v>123</v>
      </c>
      <c r="W795" s="1704">
        <f t="shared" si="1565"/>
        <v>123</v>
      </c>
      <c r="X795" s="1703">
        <f t="shared" si="1565"/>
        <v>487</v>
      </c>
      <c r="Y795" s="1703">
        <f t="shared" si="1565"/>
        <v>102</v>
      </c>
      <c r="Z795" s="1703">
        <f t="shared" si="1565"/>
        <v>169</v>
      </c>
      <c r="AA795" s="1703">
        <f t="shared" si="1565"/>
        <v>0</v>
      </c>
      <c r="AB795" s="1704">
        <f t="shared" si="1565"/>
        <v>0</v>
      </c>
      <c r="AC795" s="1703">
        <f t="shared" si="1565"/>
        <v>290</v>
      </c>
      <c r="AD795" s="1703">
        <f t="shared" si="1565"/>
        <v>100</v>
      </c>
      <c r="AE795" s="1703">
        <f t="shared" si="1565"/>
        <v>50</v>
      </c>
      <c r="AF795" s="1703">
        <f t="shared" si="1565"/>
        <v>0</v>
      </c>
      <c r="AG795" s="1704">
        <f t="shared" si="1565"/>
        <v>0</v>
      </c>
      <c r="AH795" s="1703">
        <f t="shared" si="1565"/>
        <v>0</v>
      </c>
      <c r="AI795" s="1703">
        <f t="shared" si="1565"/>
        <v>0</v>
      </c>
      <c r="AJ795" s="1703">
        <f t="shared" si="1565"/>
        <v>390</v>
      </c>
      <c r="AK795" s="1703">
        <f t="shared" si="1565"/>
        <v>499</v>
      </c>
      <c r="AL795" s="1704">
        <f t="shared" si="1565"/>
        <v>499</v>
      </c>
      <c r="AM795" s="1703">
        <f t="shared" si="1565"/>
        <v>705</v>
      </c>
      <c r="AN795" s="1703">
        <f t="shared" si="1565"/>
        <v>41</v>
      </c>
      <c r="AO795" s="1703">
        <f t="shared" si="1565"/>
        <v>117</v>
      </c>
      <c r="AP795" s="1703">
        <f t="shared" si="1565"/>
        <v>315</v>
      </c>
      <c r="AQ795" s="1704">
        <f t="shared" si="1565"/>
        <v>315</v>
      </c>
      <c r="AR795" s="1703">
        <f t="shared" si="1565"/>
        <v>902</v>
      </c>
      <c r="AS795" s="1703">
        <f t="shared" si="1565"/>
        <v>658</v>
      </c>
      <c r="AT795" s="1703">
        <f t="shared" si="1565"/>
        <v>901</v>
      </c>
      <c r="AU795" s="1703">
        <f t="shared" si="1565"/>
        <v>585</v>
      </c>
      <c r="AV795" s="1704">
        <f t="shared" si="1565"/>
        <v>585</v>
      </c>
      <c r="AW795" s="1703">
        <f t="shared" si="1565"/>
        <v>1156</v>
      </c>
      <c r="AX795" s="1703">
        <f t="shared" si="1565"/>
        <v>802</v>
      </c>
      <c r="AY795" s="1703">
        <f t="shared" si="1565"/>
        <v>811</v>
      </c>
      <c r="AZ795" s="1703">
        <f t="shared" si="1565"/>
        <v>969</v>
      </c>
      <c r="BA795" s="1704">
        <f t="shared" si="1565"/>
        <v>969</v>
      </c>
      <c r="BB795" s="1703">
        <f t="shared" si="1565"/>
        <v>1000</v>
      </c>
      <c r="BC795" s="1703">
        <f t="shared" si="1565"/>
        <v>896</v>
      </c>
      <c r="BD795" s="1703">
        <f t="shared" si="1565"/>
        <v>710</v>
      </c>
      <c r="BE795" s="1703">
        <f t="shared" si="1565"/>
        <v>425</v>
      </c>
      <c r="BF795" s="1704">
        <f t="shared" si="1565"/>
        <v>425</v>
      </c>
      <c r="BG795" s="1703">
        <f t="shared" si="1565"/>
        <v>396</v>
      </c>
      <c r="BH795" s="1703">
        <f t="shared" si="1565"/>
        <v>96</v>
      </c>
      <c r="BI795" s="1703">
        <f t="shared" si="1565"/>
        <v>0</v>
      </c>
      <c r="BJ795" s="1703">
        <f t="shared" si="1565"/>
        <v>0</v>
      </c>
      <c r="BK795" s="1704">
        <f t="shared" si="1565"/>
        <v>0</v>
      </c>
      <c r="BL795" s="1703">
        <f t="shared" si="1565"/>
        <v>42</v>
      </c>
      <c r="BM795" s="1703">
        <f t="shared" si="1565"/>
        <v>156</v>
      </c>
      <c r="BN795" s="1703">
        <f t="shared" si="1565"/>
        <v>403</v>
      </c>
      <c r="BO795" s="1703">
        <f t="shared" si="1565"/>
        <v>331</v>
      </c>
      <c r="BP795" s="1704">
        <f t="shared" si="1565"/>
        <v>331</v>
      </c>
      <c r="BQ795" s="1703">
        <f>BQ834</f>
        <v>91</v>
      </c>
      <c r="BR795" s="1703">
        <f t="shared" si="1565"/>
        <v>478</v>
      </c>
      <c r="BS795" s="1703">
        <f>BS834</f>
        <v>441</v>
      </c>
      <c r="BT795" s="1703">
        <f t="shared" si="1565"/>
        <v>516</v>
      </c>
      <c r="BU795" s="1704">
        <f t="shared" si="1565"/>
        <v>516</v>
      </c>
      <c r="BV795" s="1703">
        <f>BV834</f>
        <v>1238</v>
      </c>
      <c r="BW795" s="1703">
        <f t="shared" ref="BW795:CG795" si="1566">BW834</f>
        <v>1071</v>
      </c>
      <c r="BX795" s="1703">
        <f t="shared" si="1566"/>
        <v>790</v>
      </c>
      <c r="BY795" s="1703">
        <f t="shared" si="1566"/>
        <v>834</v>
      </c>
      <c r="BZ795" s="1704">
        <f t="shared" si="1566"/>
        <v>834</v>
      </c>
      <c r="CA795" s="1703">
        <f>CA834</f>
        <v>984</v>
      </c>
      <c r="CB795" s="1703">
        <f t="shared" si="1566"/>
        <v>1086</v>
      </c>
      <c r="CC795" s="1703">
        <f t="shared" si="1566"/>
        <v>1211</v>
      </c>
      <c r="CD795" s="1801">
        <f t="shared" si="1566"/>
        <v>1072</v>
      </c>
      <c r="CE795" s="1704">
        <f t="shared" si="1566"/>
        <v>1072</v>
      </c>
      <c r="CF795" s="1703">
        <f>CF834</f>
        <v>1320</v>
      </c>
      <c r="CG795" s="1703">
        <f t="shared" si="1566"/>
        <v>1211</v>
      </c>
      <c r="CH795" s="1703">
        <f t="shared" ref="CH795:DA795" si="1567">CH834</f>
        <v>803</v>
      </c>
      <c r="CI795" s="1788">
        <f t="shared" si="1567"/>
        <v>938</v>
      </c>
      <c r="CJ795" s="1704">
        <f t="shared" si="1567"/>
        <v>938</v>
      </c>
      <c r="CK795" s="1703">
        <f t="shared" si="1567"/>
        <v>991</v>
      </c>
      <c r="CL795" s="1703">
        <f t="shared" si="1567"/>
        <v>0</v>
      </c>
      <c r="CM795" s="1703">
        <f t="shared" si="1567"/>
        <v>2588</v>
      </c>
      <c r="CN795" s="1788">
        <f>CN834</f>
        <v>2311</v>
      </c>
      <c r="CO795" s="1704">
        <f t="shared" si="1567"/>
        <v>2311</v>
      </c>
      <c r="CP795" s="215">
        <f>CP834</f>
        <v>2285</v>
      </c>
      <c r="CQ795" s="1703">
        <f t="shared" si="1567"/>
        <v>2431</v>
      </c>
      <c r="CR795" s="1703">
        <f t="shared" si="1567"/>
        <v>2791</v>
      </c>
      <c r="CS795" s="1703">
        <f t="shared" si="1567"/>
        <v>2360</v>
      </c>
      <c r="CT795" s="968">
        <f>+CS795</f>
        <v>2360</v>
      </c>
      <c r="CU795" s="1703">
        <f>CU834</f>
        <v>2560</v>
      </c>
      <c r="CV795" s="1703">
        <f>CV834</f>
        <v>2860</v>
      </c>
      <c r="CW795" s="1703">
        <f>CW834</f>
        <v>3060</v>
      </c>
      <c r="CX795" s="1703">
        <f>CX834</f>
        <v>3160</v>
      </c>
      <c r="CY795" s="1704">
        <f>CY834</f>
        <v>3160</v>
      </c>
      <c r="CZ795" s="1704">
        <f t="shared" si="1567"/>
        <v>3810</v>
      </c>
      <c r="DA795" s="1704">
        <f t="shared" si="1567"/>
        <v>3810</v>
      </c>
      <c r="DB795"/>
      <c r="DC795"/>
      <c r="DD795" s="2314" t="s">
        <v>915</v>
      </c>
      <c r="DE795" s="2292">
        <f t="shared" ref="DE795:DE803" si="1568">M795</f>
        <v>851</v>
      </c>
      <c r="DF795" s="2292">
        <f t="shared" ref="DF795:DF803" si="1569">R795</f>
        <v>1043</v>
      </c>
      <c r="DG795" s="2292">
        <f t="shared" ref="DG795:DG803" si="1570">W795</f>
        <v>123</v>
      </c>
      <c r="DH795" s="2292">
        <f t="shared" ref="DH795:DH803" si="1571">AB795</f>
        <v>0</v>
      </c>
      <c r="DI795" s="2292">
        <f t="shared" ref="DI795:DI803" si="1572">AG795</f>
        <v>0</v>
      </c>
      <c r="DJ795" s="2292">
        <f t="shared" ref="DJ795:DJ803" si="1573">AL795</f>
        <v>499</v>
      </c>
      <c r="DK795" s="2292">
        <f t="shared" ref="DK795:DK803" si="1574">AQ795</f>
        <v>315</v>
      </c>
      <c r="DL795" s="2292">
        <f t="shared" ref="DL795:DL803" si="1575">AV795</f>
        <v>585</v>
      </c>
      <c r="DM795" s="2292">
        <f t="shared" ref="DM795:DM803" si="1576">BA795</f>
        <v>969</v>
      </c>
      <c r="DN795" s="2292">
        <f t="shared" ref="DN795:DN803" si="1577">BF795</f>
        <v>425</v>
      </c>
      <c r="DO795" s="2292">
        <f t="shared" ref="DO795:DO803" si="1578">BK795</f>
        <v>0</v>
      </c>
      <c r="DP795" s="2292">
        <f t="shared" ref="DP795:DP803" si="1579">BP795</f>
        <v>331</v>
      </c>
      <c r="DQ795" s="2292">
        <f t="shared" ref="DQ795:DQ803" si="1580">BU795</f>
        <v>516</v>
      </c>
      <c r="DR795" s="2292">
        <f t="shared" ref="DR795:DR803" si="1581">BZ795</f>
        <v>834</v>
      </c>
      <c r="DS795" s="2292">
        <f t="shared" ref="DS795:DS803" si="1582">CE795</f>
        <v>1072</v>
      </c>
      <c r="DT795" s="2292">
        <f t="shared" ref="DT795:DT803" si="1583">CJ795</f>
        <v>938</v>
      </c>
      <c r="DU795" s="2292">
        <f t="shared" ref="DU795:DU803" si="1584">CO795</f>
        <v>2311</v>
      </c>
      <c r="DV795" s="2292">
        <f t="shared" ref="DV795:DV803" si="1585">CT795</f>
        <v>2360</v>
      </c>
      <c r="DW795" s="2292">
        <f t="shared" ref="DW795:DW803" si="1586">CY795</f>
        <v>3160</v>
      </c>
      <c r="DX795" s="2292">
        <f t="shared" ref="DX795:DX803" si="1587">CZ795</f>
        <v>3810</v>
      </c>
      <c r="DY795" s="2292">
        <f t="shared" ref="DY795:DY803" si="1588">DA795</f>
        <v>3810</v>
      </c>
      <c r="EA795"/>
      <c r="EB795"/>
      <c r="EC795"/>
      <c r="ED795"/>
      <c r="EE795"/>
      <c r="EF795"/>
      <c r="EJ795"/>
      <c r="EK795"/>
      <c r="EL795"/>
      <c r="ER795" s="212"/>
    </row>
    <row r="796" spans="1:148" s="923" customFormat="1" ht="12.75" customHeight="1" x14ac:dyDescent="0.2">
      <c r="A796" s="507" t="s">
        <v>916</v>
      </c>
      <c r="B796" s="215"/>
      <c r="C796" s="215"/>
      <c r="D796" s="215"/>
      <c r="E796" s="215"/>
      <c r="F796" s="215"/>
      <c r="G796" s="215"/>
      <c r="H796" s="215"/>
      <c r="I796" s="215">
        <f>I860</f>
        <v>1000</v>
      </c>
      <c r="J796" s="215">
        <f t="shared" ref="J796:BU796" si="1589">J860</f>
        <v>1000</v>
      </c>
      <c r="K796" s="215">
        <f t="shared" si="1589"/>
        <v>1000</v>
      </c>
      <c r="L796" s="215">
        <f t="shared" si="1589"/>
        <v>1000</v>
      </c>
      <c r="M796" s="968">
        <f t="shared" si="1589"/>
        <v>1000</v>
      </c>
      <c r="N796" s="215">
        <f t="shared" si="1589"/>
        <v>1300</v>
      </c>
      <c r="O796" s="215">
        <f t="shared" si="1589"/>
        <v>1300</v>
      </c>
      <c r="P796" s="215">
        <f t="shared" si="1589"/>
        <v>1300</v>
      </c>
      <c r="Q796" s="215">
        <f t="shared" si="1589"/>
        <v>1300</v>
      </c>
      <c r="R796" s="968">
        <f t="shared" si="1589"/>
        <v>1300</v>
      </c>
      <c r="S796" s="215">
        <f t="shared" si="1589"/>
        <v>1300</v>
      </c>
      <c r="T796" s="215">
        <f t="shared" si="1589"/>
        <v>1300</v>
      </c>
      <c r="U796" s="215">
        <f t="shared" si="1589"/>
        <v>1300</v>
      </c>
      <c r="V796" s="215">
        <f t="shared" si="1589"/>
        <v>1300</v>
      </c>
      <c r="W796" s="968">
        <f t="shared" si="1589"/>
        <v>1300</v>
      </c>
      <c r="X796" s="215">
        <f t="shared" si="1589"/>
        <v>1300</v>
      </c>
      <c r="Y796" s="215">
        <f t="shared" si="1589"/>
        <v>1300</v>
      </c>
      <c r="Z796" s="215">
        <f t="shared" si="1589"/>
        <v>1300</v>
      </c>
      <c r="AA796" s="215">
        <f t="shared" si="1589"/>
        <v>1113</v>
      </c>
      <c r="AB796" s="968">
        <f t="shared" si="1589"/>
        <v>1113</v>
      </c>
      <c r="AC796" s="215">
        <f t="shared" si="1589"/>
        <v>1113</v>
      </c>
      <c r="AD796" s="215">
        <f t="shared" si="1589"/>
        <v>1067</v>
      </c>
      <c r="AE796" s="215">
        <f t="shared" si="1589"/>
        <v>1067</v>
      </c>
      <c r="AF796" s="215">
        <f t="shared" si="1589"/>
        <v>1067</v>
      </c>
      <c r="AG796" s="968">
        <f t="shared" si="1589"/>
        <v>1067</v>
      </c>
      <c r="AH796" s="215">
        <f t="shared" si="1589"/>
        <v>1067</v>
      </c>
      <c r="AI796" s="215">
        <f t="shared" si="1589"/>
        <v>1140</v>
      </c>
      <c r="AJ796" s="215">
        <f t="shared" si="1589"/>
        <v>1140</v>
      </c>
      <c r="AK796" s="215">
        <f t="shared" si="1589"/>
        <v>911</v>
      </c>
      <c r="AL796" s="968">
        <f t="shared" si="1589"/>
        <v>911</v>
      </c>
      <c r="AM796" s="215">
        <f t="shared" si="1589"/>
        <v>911</v>
      </c>
      <c r="AN796" s="215">
        <f t="shared" si="1589"/>
        <v>1261</v>
      </c>
      <c r="AO796" s="215">
        <f t="shared" si="1589"/>
        <v>1262</v>
      </c>
      <c r="AP796" s="215">
        <f t="shared" si="1589"/>
        <v>1264</v>
      </c>
      <c r="AQ796" s="968">
        <f t="shared" si="1589"/>
        <v>1264</v>
      </c>
      <c r="AR796" s="215">
        <f t="shared" si="1589"/>
        <v>1264</v>
      </c>
      <c r="AS796" s="215">
        <f t="shared" si="1589"/>
        <v>1265</v>
      </c>
      <c r="AT796" s="215">
        <f t="shared" si="1589"/>
        <v>1612</v>
      </c>
      <c r="AU796" s="215">
        <f t="shared" si="1589"/>
        <v>2010</v>
      </c>
      <c r="AV796" s="968">
        <f t="shared" si="1589"/>
        <v>2010</v>
      </c>
      <c r="AW796" s="215">
        <f t="shared" si="1589"/>
        <v>1919</v>
      </c>
      <c r="AX796" s="215">
        <f t="shared" si="1589"/>
        <v>1920</v>
      </c>
      <c r="AY796" s="215">
        <f t="shared" si="1589"/>
        <v>1921</v>
      </c>
      <c r="AZ796" s="215">
        <f t="shared" si="1589"/>
        <v>1818</v>
      </c>
      <c r="BA796" s="968">
        <f t="shared" si="1589"/>
        <v>1818</v>
      </c>
      <c r="BB796" s="215">
        <f t="shared" si="1589"/>
        <v>1700</v>
      </c>
      <c r="BC796" s="215">
        <f t="shared" si="1589"/>
        <v>1702</v>
      </c>
      <c r="BD796" s="215">
        <f t="shared" si="1589"/>
        <v>1702</v>
      </c>
      <c r="BE796" s="215">
        <f t="shared" si="1589"/>
        <v>1627</v>
      </c>
      <c r="BF796" s="968">
        <f t="shared" si="1589"/>
        <v>1627</v>
      </c>
      <c r="BG796" s="215">
        <f t="shared" si="1589"/>
        <v>1628</v>
      </c>
      <c r="BH796" s="215">
        <f t="shared" si="1589"/>
        <v>1628</v>
      </c>
      <c r="BI796" s="215">
        <f t="shared" si="1589"/>
        <v>1630</v>
      </c>
      <c r="BJ796" s="215">
        <f t="shared" si="1589"/>
        <v>1631</v>
      </c>
      <c r="BK796" s="968">
        <f t="shared" si="1589"/>
        <v>1631</v>
      </c>
      <c r="BL796" s="215">
        <f t="shared" si="1589"/>
        <v>1632</v>
      </c>
      <c r="BM796" s="215">
        <f t="shared" si="1589"/>
        <v>1632</v>
      </c>
      <c r="BN796" s="215">
        <f t="shared" si="1589"/>
        <v>1633</v>
      </c>
      <c r="BO796" s="215">
        <f t="shared" si="1589"/>
        <v>1634</v>
      </c>
      <c r="BP796" s="968">
        <f t="shared" si="1589"/>
        <v>1634</v>
      </c>
      <c r="BQ796" s="215">
        <f t="shared" si="1589"/>
        <v>2228</v>
      </c>
      <c r="BR796" s="215">
        <f>BR860</f>
        <v>1882</v>
      </c>
      <c r="BS796" s="215">
        <f>BS860</f>
        <v>1883</v>
      </c>
      <c r="BT796" s="215">
        <f t="shared" si="1589"/>
        <v>2233</v>
      </c>
      <c r="BU796" s="968">
        <f t="shared" si="1589"/>
        <v>2233</v>
      </c>
      <c r="BV796" s="215">
        <f>BV860</f>
        <v>1835</v>
      </c>
      <c r="BW796" s="215">
        <f t="shared" ref="BW796:CG796" si="1590">BW860</f>
        <v>1835</v>
      </c>
      <c r="BX796" s="215">
        <f t="shared" si="1590"/>
        <v>2184</v>
      </c>
      <c r="BY796" s="215">
        <f t="shared" si="1590"/>
        <v>2185</v>
      </c>
      <c r="BZ796" s="968">
        <f t="shared" si="1590"/>
        <v>2185</v>
      </c>
      <c r="CA796" s="215">
        <f>CA860</f>
        <v>2186</v>
      </c>
      <c r="CB796" s="215">
        <f t="shared" si="1590"/>
        <v>2187</v>
      </c>
      <c r="CC796" s="215">
        <f t="shared" si="1590"/>
        <v>2188</v>
      </c>
      <c r="CD796" s="1788">
        <f t="shared" si="1590"/>
        <v>2586</v>
      </c>
      <c r="CE796" s="968">
        <f t="shared" si="1590"/>
        <v>2586</v>
      </c>
      <c r="CF796" s="215">
        <f>CF860</f>
        <v>2588</v>
      </c>
      <c r="CG796" s="215">
        <f t="shared" si="1590"/>
        <v>2589</v>
      </c>
      <c r="CH796" s="215">
        <f>CH860</f>
        <v>3385</v>
      </c>
      <c r="CI796" s="1788">
        <f>CI860</f>
        <v>3056</v>
      </c>
      <c r="CJ796" s="968">
        <f>CJ860</f>
        <v>3056</v>
      </c>
      <c r="CK796" s="215">
        <f>CK860</f>
        <v>3057</v>
      </c>
      <c r="CL796" s="215">
        <f>CL860</f>
        <v>4252</v>
      </c>
      <c r="CM796" s="215">
        <f t="shared" ref="CM796:CS796" si="1591">CM860</f>
        <v>5944</v>
      </c>
      <c r="CN796" s="1788">
        <f t="shared" si="1591"/>
        <v>5731</v>
      </c>
      <c r="CO796" s="968">
        <f t="shared" si="1591"/>
        <v>5731</v>
      </c>
      <c r="CP796" s="215">
        <f t="shared" si="1591"/>
        <v>5726</v>
      </c>
      <c r="CQ796" s="215">
        <f t="shared" si="1591"/>
        <v>5426</v>
      </c>
      <c r="CR796" s="215">
        <f t="shared" si="1591"/>
        <v>5422</v>
      </c>
      <c r="CS796" s="215">
        <f t="shared" si="1591"/>
        <v>5422</v>
      </c>
      <c r="CT796" s="968">
        <f t="shared" ref="CT796:CT797" si="1592">+CS796</f>
        <v>5422</v>
      </c>
      <c r="CU796" s="215">
        <f t="shared" ref="CU796:DA796" si="1593">CU860</f>
        <v>5422</v>
      </c>
      <c r="CV796" s="215">
        <f t="shared" si="1593"/>
        <v>5422</v>
      </c>
      <c r="CW796" s="215">
        <f t="shared" si="1593"/>
        <v>5422</v>
      </c>
      <c r="CX796" s="215">
        <f t="shared" si="1593"/>
        <v>5422</v>
      </c>
      <c r="CY796" s="968">
        <f t="shared" si="1593"/>
        <v>5422</v>
      </c>
      <c r="CZ796" s="968">
        <f t="shared" si="1593"/>
        <v>5422</v>
      </c>
      <c r="DA796" s="968">
        <f t="shared" si="1593"/>
        <v>5422</v>
      </c>
      <c r="DB796"/>
      <c r="DC796"/>
      <c r="DD796" s="2295" t="s">
        <v>916</v>
      </c>
      <c r="DE796" s="2290">
        <f t="shared" si="1568"/>
        <v>1000</v>
      </c>
      <c r="DF796" s="2290">
        <f t="shared" si="1569"/>
        <v>1300</v>
      </c>
      <c r="DG796" s="2290">
        <f t="shared" si="1570"/>
        <v>1300</v>
      </c>
      <c r="DH796" s="2290">
        <f t="shared" si="1571"/>
        <v>1113</v>
      </c>
      <c r="DI796" s="2290">
        <f t="shared" si="1572"/>
        <v>1067</v>
      </c>
      <c r="DJ796" s="2290">
        <f t="shared" si="1573"/>
        <v>911</v>
      </c>
      <c r="DK796" s="2290">
        <f t="shared" si="1574"/>
        <v>1264</v>
      </c>
      <c r="DL796" s="2290">
        <f t="shared" si="1575"/>
        <v>2010</v>
      </c>
      <c r="DM796" s="2290">
        <f t="shared" si="1576"/>
        <v>1818</v>
      </c>
      <c r="DN796" s="2290">
        <f t="shared" si="1577"/>
        <v>1627</v>
      </c>
      <c r="DO796" s="2290">
        <f t="shared" si="1578"/>
        <v>1631</v>
      </c>
      <c r="DP796" s="2290">
        <f t="shared" si="1579"/>
        <v>1634</v>
      </c>
      <c r="DQ796" s="2290">
        <f t="shared" si="1580"/>
        <v>2233</v>
      </c>
      <c r="DR796" s="2290">
        <f t="shared" si="1581"/>
        <v>2185</v>
      </c>
      <c r="DS796" s="2290">
        <f t="shared" si="1582"/>
        <v>2586</v>
      </c>
      <c r="DT796" s="2290">
        <f t="shared" si="1583"/>
        <v>3056</v>
      </c>
      <c r="DU796" s="2290">
        <f t="shared" si="1584"/>
        <v>5731</v>
      </c>
      <c r="DV796" s="2290">
        <f t="shared" si="1585"/>
        <v>5422</v>
      </c>
      <c r="DW796" s="2290">
        <f t="shared" si="1586"/>
        <v>5422</v>
      </c>
      <c r="DX796" s="2290">
        <f t="shared" si="1587"/>
        <v>5422</v>
      </c>
      <c r="DY796" s="2290">
        <f t="shared" si="1588"/>
        <v>5422</v>
      </c>
      <c r="EA796"/>
      <c r="EB796"/>
      <c r="EC796"/>
      <c r="ED796"/>
      <c r="EE796"/>
      <c r="EF796"/>
      <c r="EJ796"/>
      <c r="EK796"/>
      <c r="EL796"/>
      <c r="EM796" s="1703"/>
      <c r="ER796" s="212"/>
    </row>
    <row r="797" spans="1:148" s="923" customFormat="1" ht="12.75" customHeight="1" x14ac:dyDescent="0.2">
      <c r="A797" s="1131" t="s">
        <v>1931</v>
      </c>
      <c r="B797" s="216"/>
      <c r="C797" s="216"/>
      <c r="D797" s="216"/>
      <c r="E797" s="216"/>
      <c r="F797" s="216"/>
      <c r="G797" s="216"/>
      <c r="H797" s="216"/>
      <c r="I797" s="216">
        <f>I871</f>
        <v>98</v>
      </c>
      <c r="J797" s="216">
        <f t="shared" ref="J797:BU797" si="1594">J871</f>
        <v>98</v>
      </c>
      <c r="K797" s="216">
        <f t="shared" si="1594"/>
        <v>98</v>
      </c>
      <c r="L797" s="216">
        <f t="shared" si="1594"/>
        <v>98</v>
      </c>
      <c r="M797" s="970">
        <f t="shared" si="1594"/>
        <v>98</v>
      </c>
      <c r="N797" s="216">
        <f t="shared" si="1594"/>
        <v>108</v>
      </c>
      <c r="O797" s="216">
        <f t="shared" si="1594"/>
        <v>513</v>
      </c>
      <c r="P797" s="216">
        <f t="shared" si="1594"/>
        <v>514</v>
      </c>
      <c r="Q797" s="216">
        <f t="shared" si="1594"/>
        <v>515</v>
      </c>
      <c r="R797" s="970">
        <f t="shared" si="1594"/>
        <v>515</v>
      </c>
      <c r="S797" s="216">
        <f t="shared" si="1594"/>
        <v>515</v>
      </c>
      <c r="T797" s="216">
        <f t="shared" si="1594"/>
        <v>169</v>
      </c>
      <c r="U797" s="216">
        <f t="shared" si="1594"/>
        <v>169</v>
      </c>
      <c r="V797" s="216">
        <f t="shared" si="1594"/>
        <v>372</v>
      </c>
      <c r="W797" s="970">
        <f t="shared" si="1594"/>
        <v>372</v>
      </c>
      <c r="X797" s="216">
        <f t="shared" si="1594"/>
        <v>373</v>
      </c>
      <c r="Y797" s="216">
        <f t="shared" si="1594"/>
        <v>303</v>
      </c>
      <c r="Z797" s="216">
        <f t="shared" si="1594"/>
        <v>211</v>
      </c>
      <c r="AA797" s="216">
        <f t="shared" si="1594"/>
        <v>342</v>
      </c>
      <c r="AB797" s="970">
        <f t="shared" si="1594"/>
        <v>342</v>
      </c>
      <c r="AC797" s="216">
        <f t="shared" si="1594"/>
        <v>326</v>
      </c>
      <c r="AD797" s="216">
        <f t="shared" si="1594"/>
        <v>267</v>
      </c>
      <c r="AE797" s="216">
        <f t="shared" si="1594"/>
        <v>258</v>
      </c>
      <c r="AF797" s="216">
        <f t="shared" si="1594"/>
        <v>258</v>
      </c>
      <c r="AG797" s="970">
        <f t="shared" si="1594"/>
        <v>258</v>
      </c>
      <c r="AH797" s="216">
        <f t="shared" si="1594"/>
        <v>257</v>
      </c>
      <c r="AI797" s="216">
        <f t="shared" si="1594"/>
        <v>292</v>
      </c>
      <c r="AJ797" s="216">
        <f t="shared" si="1594"/>
        <v>287</v>
      </c>
      <c r="AK797" s="216">
        <f t="shared" si="1594"/>
        <v>327</v>
      </c>
      <c r="AL797" s="970">
        <f t="shared" si="1594"/>
        <v>327</v>
      </c>
      <c r="AM797" s="216">
        <f t="shared" si="1594"/>
        <v>261</v>
      </c>
      <c r="AN797" s="216">
        <f t="shared" si="1594"/>
        <v>259</v>
      </c>
      <c r="AO797" s="216">
        <f t="shared" si="1594"/>
        <v>257</v>
      </c>
      <c r="AP797" s="216">
        <f t="shared" si="1594"/>
        <v>254</v>
      </c>
      <c r="AQ797" s="970">
        <f t="shared" si="1594"/>
        <v>254</v>
      </c>
      <c r="AR797" s="216">
        <f t="shared" si="1594"/>
        <v>252</v>
      </c>
      <c r="AS797" s="216">
        <f t="shared" si="1594"/>
        <v>361</v>
      </c>
      <c r="AT797" s="216">
        <f t="shared" si="1594"/>
        <v>435</v>
      </c>
      <c r="AU797" s="216">
        <f t="shared" si="1594"/>
        <v>370</v>
      </c>
      <c r="AV797" s="970">
        <f t="shared" si="1594"/>
        <v>370</v>
      </c>
      <c r="AW797" s="216">
        <f t="shared" si="1594"/>
        <v>320</v>
      </c>
      <c r="AX797" s="216">
        <f t="shared" si="1594"/>
        <v>326</v>
      </c>
      <c r="AY797" s="216">
        <f t="shared" si="1594"/>
        <v>314</v>
      </c>
      <c r="AZ797" s="216">
        <f t="shared" si="1594"/>
        <v>308</v>
      </c>
      <c r="BA797" s="970">
        <f t="shared" si="1594"/>
        <v>308</v>
      </c>
      <c r="BB797" s="216">
        <f t="shared" si="1594"/>
        <v>277</v>
      </c>
      <c r="BC797" s="216">
        <f t="shared" si="1594"/>
        <v>251</v>
      </c>
      <c r="BD797" s="216">
        <f t="shared" si="1594"/>
        <v>248</v>
      </c>
      <c r="BE797" s="216">
        <f t="shared" si="1594"/>
        <v>246</v>
      </c>
      <c r="BF797" s="970">
        <f t="shared" si="1594"/>
        <v>246</v>
      </c>
      <c r="BG797" s="216">
        <f t="shared" si="1594"/>
        <v>1245</v>
      </c>
      <c r="BH797" s="216">
        <f t="shared" si="1594"/>
        <v>1187</v>
      </c>
      <c r="BI797" s="216">
        <f t="shared" si="1594"/>
        <v>1096</v>
      </c>
      <c r="BJ797" s="216">
        <f t="shared" si="1594"/>
        <v>1198</v>
      </c>
      <c r="BK797" s="970">
        <f t="shared" si="1594"/>
        <v>1198</v>
      </c>
      <c r="BL797" s="216">
        <f t="shared" si="1594"/>
        <v>1183</v>
      </c>
      <c r="BM797" s="216">
        <f t="shared" si="1594"/>
        <v>1134</v>
      </c>
      <c r="BN797" s="216">
        <f t="shared" si="1594"/>
        <v>1067</v>
      </c>
      <c r="BO797" s="216">
        <f t="shared" si="1594"/>
        <v>206</v>
      </c>
      <c r="BP797" s="970">
        <f>BP871</f>
        <v>206</v>
      </c>
      <c r="BQ797" s="216">
        <f t="shared" si="1594"/>
        <v>208</v>
      </c>
      <c r="BR797" s="216">
        <f t="shared" si="1594"/>
        <v>200</v>
      </c>
      <c r="BS797" s="216">
        <f>BS871</f>
        <v>185</v>
      </c>
      <c r="BT797" s="216">
        <f t="shared" si="1594"/>
        <v>186</v>
      </c>
      <c r="BU797" s="970">
        <f t="shared" si="1594"/>
        <v>186</v>
      </c>
      <c r="BV797" s="216">
        <f>BV871</f>
        <v>182</v>
      </c>
      <c r="BW797" s="216">
        <f t="shared" ref="BW797:CG797" si="1595">BW871</f>
        <v>181</v>
      </c>
      <c r="BX797" s="216">
        <f t="shared" si="1595"/>
        <v>182</v>
      </c>
      <c r="BY797" s="216">
        <f t="shared" si="1595"/>
        <v>180</v>
      </c>
      <c r="BZ797" s="970">
        <f t="shared" si="1595"/>
        <v>180</v>
      </c>
      <c r="CA797" s="216">
        <f>CA871</f>
        <v>132</v>
      </c>
      <c r="CB797" s="216">
        <f t="shared" si="1595"/>
        <v>131</v>
      </c>
      <c r="CC797" s="216">
        <f t="shared" si="1595"/>
        <v>129</v>
      </c>
      <c r="CD797" s="1782">
        <f t="shared" si="1595"/>
        <v>123</v>
      </c>
      <c r="CE797" s="970">
        <f t="shared" si="1595"/>
        <v>123</v>
      </c>
      <c r="CF797" s="216">
        <f>CF871</f>
        <v>120</v>
      </c>
      <c r="CG797" s="216">
        <f t="shared" si="1595"/>
        <v>117</v>
      </c>
      <c r="CH797" s="216">
        <f>CH871</f>
        <v>116</v>
      </c>
      <c r="CI797" s="1782">
        <f>CI871</f>
        <v>113</v>
      </c>
      <c r="CJ797" s="970">
        <f>CJ871</f>
        <v>113</v>
      </c>
      <c r="CK797" s="216">
        <f>CK871</f>
        <v>111</v>
      </c>
      <c r="CL797" s="216">
        <f>CL871</f>
        <v>108</v>
      </c>
      <c r="CM797" s="216">
        <f t="shared" ref="CM797:CS797" si="1596">CM871</f>
        <v>290</v>
      </c>
      <c r="CN797" s="1782">
        <f t="shared" si="1596"/>
        <v>464</v>
      </c>
      <c r="CO797" s="970">
        <f t="shared" si="1596"/>
        <v>464</v>
      </c>
      <c r="CP797" s="216">
        <f t="shared" si="1596"/>
        <v>459</v>
      </c>
      <c r="CQ797" s="216">
        <f t="shared" si="1596"/>
        <v>456</v>
      </c>
      <c r="CR797" s="216">
        <f t="shared" si="1596"/>
        <v>456</v>
      </c>
      <c r="CS797" s="216">
        <f t="shared" si="1596"/>
        <v>456</v>
      </c>
      <c r="CT797" s="970">
        <f t="shared" si="1592"/>
        <v>456</v>
      </c>
      <c r="CU797" s="216">
        <f t="shared" ref="CU797:DA797" si="1597">CU871</f>
        <v>456</v>
      </c>
      <c r="CV797" s="216">
        <f t="shared" si="1597"/>
        <v>456</v>
      </c>
      <c r="CW797" s="216">
        <f t="shared" si="1597"/>
        <v>456</v>
      </c>
      <c r="CX797" s="216">
        <f t="shared" si="1597"/>
        <v>456</v>
      </c>
      <c r="CY797" s="970">
        <f t="shared" si="1597"/>
        <v>456</v>
      </c>
      <c r="CZ797" s="970">
        <f t="shared" si="1597"/>
        <v>456</v>
      </c>
      <c r="DA797" s="970">
        <f t="shared" si="1597"/>
        <v>456</v>
      </c>
      <c r="DB797"/>
      <c r="DC797"/>
      <c r="DD797" s="1131" t="s">
        <v>1931</v>
      </c>
      <c r="DE797" s="970">
        <f t="shared" si="1568"/>
        <v>98</v>
      </c>
      <c r="DF797" s="970">
        <f t="shared" si="1569"/>
        <v>515</v>
      </c>
      <c r="DG797" s="970">
        <f t="shared" si="1570"/>
        <v>372</v>
      </c>
      <c r="DH797" s="970">
        <f t="shared" si="1571"/>
        <v>342</v>
      </c>
      <c r="DI797" s="970">
        <f t="shared" si="1572"/>
        <v>258</v>
      </c>
      <c r="DJ797" s="970">
        <f t="shared" si="1573"/>
        <v>327</v>
      </c>
      <c r="DK797" s="970">
        <f t="shared" si="1574"/>
        <v>254</v>
      </c>
      <c r="DL797" s="970">
        <f t="shared" si="1575"/>
        <v>370</v>
      </c>
      <c r="DM797" s="970">
        <f t="shared" si="1576"/>
        <v>308</v>
      </c>
      <c r="DN797" s="970">
        <f t="shared" si="1577"/>
        <v>246</v>
      </c>
      <c r="DO797" s="970">
        <f t="shared" si="1578"/>
        <v>1198</v>
      </c>
      <c r="DP797" s="970">
        <f t="shared" si="1579"/>
        <v>206</v>
      </c>
      <c r="DQ797" s="970">
        <f t="shared" si="1580"/>
        <v>186</v>
      </c>
      <c r="DR797" s="970">
        <f t="shared" si="1581"/>
        <v>180</v>
      </c>
      <c r="DS797" s="970">
        <f t="shared" si="1582"/>
        <v>123</v>
      </c>
      <c r="DT797" s="970">
        <f t="shared" si="1583"/>
        <v>113</v>
      </c>
      <c r="DU797" s="970">
        <f t="shared" si="1584"/>
        <v>464</v>
      </c>
      <c r="DV797" s="970">
        <f t="shared" si="1585"/>
        <v>456</v>
      </c>
      <c r="DW797" s="970">
        <f t="shared" si="1586"/>
        <v>456</v>
      </c>
      <c r="DX797" s="970">
        <f t="shared" si="1587"/>
        <v>456</v>
      </c>
      <c r="DY797" s="970">
        <f t="shared" si="1588"/>
        <v>456</v>
      </c>
      <c r="EA797"/>
      <c r="EB797"/>
      <c r="EC797"/>
      <c r="ED797"/>
      <c r="EE797"/>
      <c r="EF797"/>
      <c r="EJ797"/>
      <c r="EK797"/>
      <c r="EL797"/>
      <c r="EM797" s="1703"/>
      <c r="ER797" s="212"/>
    </row>
    <row r="798" spans="1:148" s="1703" customFormat="1" ht="12.75" customHeight="1" x14ac:dyDescent="0.2">
      <c r="A798" s="2180" t="s">
        <v>1070</v>
      </c>
      <c r="B798" s="1730"/>
      <c r="C798" s="1730"/>
      <c r="D798" s="1730"/>
      <c r="E798" s="1730"/>
      <c r="F798" s="1730"/>
      <c r="G798" s="1730"/>
      <c r="H798" s="1730"/>
      <c r="I798" s="1730">
        <f>SUM(I795:I797)</f>
        <v>1949</v>
      </c>
      <c r="J798" s="1730">
        <f t="shared" ref="J798:BU798" si="1598">SUM(J795:J797)</f>
        <v>1949</v>
      </c>
      <c r="K798" s="1730">
        <f t="shared" si="1598"/>
        <v>1949</v>
      </c>
      <c r="L798" s="1730">
        <f t="shared" si="1598"/>
        <v>1949</v>
      </c>
      <c r="M798" s="1729">
        <f t="shared" si="1598"/>
        <v>1949</v>
      </c>
      <c r="N798" s="1730">
        <f t="shared" si="1598"/>
        <v>2259</v>
      </c>
      <c r="O798" s="1730">
        <f t="shared" si="1598"/>
        <v>2512</v>
      </c>
      <c r="P798" s="1730">
        <f t="shared" si="1598"/>
        <v>2513</v>
      </c>
      <c r="Q798" s="1730">
        <f t="shared" si="1598"/>
        <v>2858</v>
      </c>
      <c r="R798" s="1729">
        <f t="shared" si="1598"/>
        <v>2858</v>
      </c>
      <c r="S798" s="1730">
        <f t="shared" si="1598"/>
        <v>2226</v>
      </c>
      <c r="T798" s="1730">
        <f t="shared" si="1598"/>
        <v>1911</v>
      </c>
      <c r="U798" s="1730">
        <f t="shared" si="1598"/>
        <v>1808</v>
      </c>
      <c r="V798" s="1730">
        <f t="shared" si="1598"/>
        <v>1795</v>
      </c>
      <c r="W798" s="1729">
        <f t="shared" si="1598"/>
        <v>1795</v>
      </c>
      <c r="X798" s="1730">
        <f t="shared" si="1598"/>
        <v>2160</v>
      </c>
      <c r="Y798" s="1730">
        <f t="shared" si="1598"/>
        <v>1705</v>
      </c>
      <c r="Z798" s="1730">
        <f t="shared" si="1598"/>
        <v>1680</v>
      </c>
      <c r="AA798" s="1730">
        <f t="shared" si="1598"/>
        <v>1455</v>
      </c>
      <c r="AB798" s="1729">
        <f t="shared" si="1598"/>
        <v>1455</v>
      </c>
      <c r="AC798" s="1730">
        <f t="shared" si="1598"/>
        <v>1729</v>
      </c>
      <c r="AD798" s="1730">
        <f t="shared" si="1598"/>
        <v>1434</v>
      </c>
      <c r="AE798" s="1730">
        <f t="shared" si="1598"/>
        <v>1375</v>
      </c>
      <c r="AF798" s="1730">
        <f t="shared" si="1598"/>
        <v>1325</v>
      </c>
      <c r="AG798" s="1729">
        <f t="shared" si="1598"/>
        <v>1325</v>
      </c>
      <c r="AH798" s="1730">
        <f t="shared" si="1598"/>
        <v>1324</v>
      </c>
      <c r="AI798" s="1730">
        <f t="shared" si="1598"/>
        <v>1432</v>
      </c>
      <c r="AJ798" s="1730">
        <f t="shared" si="1598"/>
        <v>1817</v>
      </c>
      <c r="AK798" s="1730">
        <f t="shared" si="1598"/>
        <v>1737</v>
      </c>
      <c r="AL798" s="1729">
        <f t="shared" si="1598"/>
        <v>1737</v>
      </c>
      <c r="AM798" s="1730">
        <f t="shared" si="1598"/>
        <v>1877</v>
      </c>
      <c r="AN798" s="1730">
        <f t="shared" si="1598"/>
        <v>1561</v>
      </c>
      <c r="AO798" s="1730">
        <f t="shared" si="1598"/>
        <v>1636</v>
      </c>
      <c r="AP798" s="1730">
        <f t="shared" si="1598"/>
        <v>1833</v>
      </c>
      <c r="AQ798" s="1729">
        <f t="shared" si="1598"/>
        <v>1833</v>
      </c>
      <c r="AR798" s="1730">
        <f t="shared" si="1598"/>
        <v>2418</v>
      </c>
      <c r="AS798" s="1730">
        <f t="shared" si="1598"/>
        <v>2284</v>
      </c>
      <c r="AT798" s="1730">
        <f t="shared" si="1598"/>
        <v>2948</v>
      </c>
      <c r="AU798" s="1730">
        <f t="shared" si="1598"/>
        <v>2965</v>
      </c>
      <c r="AV798" s="1729">
        <f t="shared" si="1598"/>
        <v>2965</v>
      </c>
      <c r="AW798" s="1730">
        <f t="shared" si="1598"/>
        <v>3395</v>
      </c>
      <c r="AX798" s="1730">
        <f t="shared" si="1598"/>
        <v>3048</v>
      </c>
      <c r="AY798" s="1730">
        <f t="shared" si="1598"/>
        <v>3046</v>
      </c>
      <c r="AZ798" s="1730">
        <f t="shared" si="1598"/>
        <v>3095</v>
      </c>
      <c r="BA798" s="1729">
        <f t="shared" si="1598"/>
        <v>3095</v>
      </c>
      <c r="BB798" s="1730">
        <f t="shared" si="1598"/>
        <v>2977</v>
      </c>
      <c r="BC798" s="1730">
        <f t="shared" si="1598"/>
        <v>2849</v>
      </c>
      <c r="BD798" s="1730">
        <f t="shared" si="1598"/>
        <v>2660</v>
      </c>
      <c r="BE798" s="1730">
        <f t="shared" si="1598"/>
        <v>2298</v>
      </c>
      <c r="BF798" s="1729">
        <f t="shared" si="1598"/>
        <v>2298</v>
      </c>
      <c r="BG798" s="1730">
        <f t="shared" si="1598"/>
        <v>3269</v>
      </c>
      <c r="BH798" s="1730">
        <f t="shared" si="1598"/>
        <v>2911</v>
      </c>
      <c r="BI798" s="1730">
        <f t="shared" si="1598"/>
        <v>2726</v>
      </c>
      <c r="BJ798" s="1730">
        <f t="shared" si="1598"/>
        <v>2829</v>
      </c>
      <c r="BK798" s="1729">
        <f t="shared" si="1598"/>
        <v>2829</v>
      </c>
      <c r="BL798" s="1730">
        <f t="shared" si="1598"/>
        <v>2857</v>
      </c>
      <c r="BM798" s="1730">
        <f t="shared" si="1598"/>
        <v>2922</v>
      </c>
      <c r="BN798" s="1730">
        <f t="shared" si="1598"/>
        <v>3103</v>
      </c>
      <c r="BO798" s="1730">
        <f t="shared" si="1598"/>
        <v>2171</v>
      </c>
      <c r="BP798" s="1729">
        <f t="shared" si="1598"/>
        <v>2171</v>
      </c>
      <c r="BQ798" s="1730">
        <f>SUM(BQ795:BQ797)</f>
        <v>2527</v>
      </c>
      <c r="BR798" s="1730">
        <f t="shared" si="1598"/>
        <v>2560</v>
      </c>
      <c r="BS798" s="1730">
        <f t="shared" si="1598"/>
        <v>2509</v>
      </c>
      <c r="BT798" s="1730">
        <f t="shared" si="1598"/>
        <v>2935</v>
      </c>
      <c r="BU798" s="1729">
        <f t="shared" si="1598"/>
        <v>2935</v>
      </c>
      <c r="BV798" s="1730">
        <f>SUM(BV795:BV797)</f>
        <v>3255</v>
      </c>
      <c r="BW798" s="1730">
        <f t="shared" ref="BW798:CE798" si="1599">SUM(BW795:BW797)</f>
        <v>3087</v>
      </c>
      <c r="BX798" s="1730">
        <f t="shared" si="1599"/>
        <v>3156</v>
      </c>
      <c r="BY798" s="1730">
        <f t="shared" si="1599"/>
        <v>3199</v>
      </c>
      <c r="BZ798" s="1729">
        <f t="shared" si="1599"/>
        <v>3199</v>
      </c>
      <c r="CA798" s="1730">
        <f>SUM(CA795:CA797)</f>
        <v>3302</v>
      </c>
      <c r="CB798" s="1730">
        <f t="shared" si="1599"/>
        <v>3404</v>
      </c>
      <c r="CC798" s="1730">
        <f t="shared" si="1599"/>
        <v>3528</v>
      </c>
      <c r="CD798" s="1826">
        <f t="shared" si="1599"/>
        <v>3781</v>
      </c>
      <c r="CE798" s="1729">
        <f t="shared" si="1599"/>
        <v>3781</v>
      </c>
      <c r="CF798" s="1730">
        <f t="shared" ref="CF798:DA798" si="1600">SUM(CF795:CF797)</f>
        <v>4028</v>
      </c>
      <c r="CG798" s="1730">
        <f t="shared" si="1600"/>
        <v>3917</v>
      </c>
      <c r="CH798" s="1730">
        <f t="shared" si="1600"/>
        <v>4304</v>
      </c>
      <c r="CI798" s="1802">
        <f t="shared" si="1600"/>
        <v>4107</v>
      </c>
      <c r="CJ798" s="1729">
        <f t="shared" si="1600"/>
        <v>4107</v>
      </c>
      <c r="CK798" s="1730">
        <f t="shared" si="1600"/>
        <v>4159</v>
      </c>
      <c r="CL798" s="1730">
        <f t="shared" si="1600"/>
        <v>4360</v>
      </c>
      <c r="CM798" s="1730">
        <f t="shared" si="1600"/>
        <v>8822</v>
      </c>
      <c r="CN798" s="1826">
        <f>SUM(CN795:CN797)</f>
        <v>8506</v>
      </c>
      <c r="CO798" s="1729">
        <f t="shared" si="1600"/>
        <v>8506</v>
      </c>
      <c r="CP798" s="1730">
        <f t="shared" si="1600"/>
        <v>8470</v>
      </c>
      <c r="CQ798" s="1730">
        <f t="shared" si="1600"/>
        <v>8313</v>
      </c>
      <c r="CR798" s="1730">
        <f t="shared" si="1600"/>
        <v>8669</v>
      </c>
      <c r="CS798" s="1730">
        <f t="shared" si="1600"/>
        <v>8238</v>
      </c>
      <c r="CT798" s="1729">
        <f t="shared" si="1600"/>
        <v>8238</v>
      </c>
      <c r="CU798" s="1730">
        <f>SUM(CU795:CU797)</f>
        <v>8438</v>
      </c>
      <c r="CV798" s="1730">
        <f>SUM(CV795:CV797)</f>
        <v>8738</v>
      </c>
      <c r="CW798" s="1730">
        <f>SUM(CW795:CW797)</f>
        <v>8938</v>
      </c>
      <c r="CX798" s="1730">
        <f>SUM(CX795:CX797)</f>
        <v>9038</v>
      </c>
      <c r="CY798" s="1729">
        <f>SUM(CY795:CY797)</f>
        <v>9038</v>
      </c>
      <c r="CZ798" s="1729">
        <f t="shared" si="1600"/>
        <v>9688</v>
      </c>
      <c r="DA798" s="1729">
        <f t="shared" si="1600"/>
        <v>9688</v>
      </c>
      <c r="DB798"/>
      <c r="DC798"/>
      <c r="DD798" s="2180" t="s">
        <v>1070</v>
      </c>
      <c r="DE798" s="1729">
        <f t="shared" si="1568"/>
        <v>1949</v>
      </c>
      <c r="DF798" s="1729">
        <f t="shared" si="1569"/>
        <v>2858</v>
      </c>
      <c r="DG798" s="1729">
        <f t="shared" si="1570"/>
        <v>1795</v>
      </c>
      <c r="DH798" s="1729">
        <f t="shared" si="1571"/>
        <v>1455</v>
      </c>
      <c r="DI798" s="1729">
        <f t="shared" si="1572"/>
        <v>1325</v>
      </c>
      <c r="DJ798" s="1729">
        <f t="shared" si="1573"/>
        <v>1737</v>
      </c>
      <c r="DK798" s="1729">
        <f t="shared" si="1574"/>
        <v>1833</v>
      </c>
      <c r="DL798" s="1729">
        <f t="shared" si="1575"/>
        <v>2965</v>
      </c>
      <c r="DM798" s="1729">
        <f t="shared" si="1576"/>
        <v>3095</v>
      </c>
      <c r="DN798" s="1729">
        <f t="shared" si="1577"/>
        <v>2298</v>
      </c>
      <c r="DO798" s="1729">
        <f t="shared" si="1578"/>
        <v>2829</v>
      </c>
      <c r="DP798" s="1729">
        <f t="shared" si="1579"/>
        <v>2171</v>
      </c>
      <c r="DQ798" s="1729">
        <f t="shared" si="1580"/>
        <v>2935</v>
      </c>
      <c r="DR798" s="1729">
        <f t="shared" si="1581"/>
        <v>3199</v>
      </c>
      <c r="DS798" s="1729">
        <f t="shared" si="1582"/>
        <v>3781</v>
      </c>
      <c r="DT798" s="1729">
        <f t="shared" si="1583"/>
        <v>4107</v>
      </c>
      <c r="DU798" s="1729">
        <f t="shared" si="1584"/>
        <v>8506</v>
      </c>
      <c r="DV798" s="1729">
        <f t="shared" si="1585"/>
        <v>8238</v>
      </c>
      <c r="DW798" s="1729">
        <f t="shared" si="1586"/>
        <v>9038</v>
      </c>
      <c r="DX798" s="1729">
        <f t="shared" si="1587"/>
        <v>9688</v>
      </c>
      <c r="DY798" s="1729">
        <f t="shared" si="1588"/>
        <v>9688</v>
      </c>
      <c r="EA798"/>
      <c r="EB798"/>
      <c r="EC798"/>
      <c r="ED798"/>
      <c r="EE798"/>
      <c r="EF798"/>
      <c r="EJ798"/>
      <c r="EK798"/>
      <c r="EL798"/>
      <c r="ER798" s="212"/>
    </row>
    <row r="799" spans="1:148" s="2845" customFormat="1" ht="12.75" customHeight="1" x14ac:dyDescent="0.2">
      <c r="A799" s="2295" t="s">
        <v>2494</v>
      </c>
      <c r="B799" s="2327"/>
      <c r="C799" s="2327"/>
      <c r="D799" s="2327"/>
      <c r="E799" s="2327"/>
      <c r="F799" s="2327"/>
      <c r="G799" s="2327"/>
      <c r="H799" s="2327"/>
      <c r="I799" s="2327">
        <f t="shared" ref="I799:AN799" si="1601">I745</f>
        <v>372</v>
      </c>
      <c r="J799" s="2327">
        <f t="shared" si="1601"/>
        <v>410</v>
      </c>
      <c r="K799" s="2327">
        <f t="shared" si="1601"/>
        <v>378</v>
      </c>
      <c r="L799" s="2327">
        <f t="shared" si="1601"/>
        <v>334</v>
      </c>
      <c r="M799" s="2290">
        <f t="shared" si="1601"/>
        <v>334</v>
      </c>
      <c r="N799" s="2327">
        <f t="shared" si="1601"/>
        <v>370</v>
      </c>
      <c r="O799" s="2327">
        <f t="shared" si="1601"/>
        <v>674</v>
      </c>
      <c r="P799" s="2327">
        <f t="shared" si="1601"/>
        <v>874</v>
      </c>
      <c r="Q799" s="2327">
        <f t="shared" si="1601"/>
        <v>817</v>
      </c>
      <c r="R799" s="2290">
        <f t="shared" si="1601"/>
        <v>817</v>
      </c>
      <c r="S799" s="2327">
        <f t="shared" si="1601"/>
        <v>190</v>
      </c>
      <c r="T799" s="2327">
        <f t="shared" si="1601"/>
        <v>200</v>
      </c>
      <c r="U799" s="2327">
        <f t="shared" si="1601"/>
        <v>311</v>
      </c>
      <c r="V799" s="2327">
        <f t="shared" si="1601"/>
        <v>198</v>
      </c>
      <c r="W799" s="2290">
        <f t="shared" si="1601"/>
        <v>198</v>
      </c>
      <c r="X799" s="2327">
        <f t="shared" si="1601"/>
        <v>525</v>
      </c>
      <c r="Y799" s="2327">
        <f t="shared" si="1601"/>
        <v>144</v>
      </c>
      <c r="Z799" s="2327">
        <f t="shared" si="1601"/>
        <v>113</v>
      </c>
      <c r="AA799" s="2327">
        <f t="shared" si="1601"/>
        <v>229</v>
      </c>
      <c r="AB799" s="2290">
        <f t="shared" si="1601"/>
        <v>229</v>
      </c>
      <c r="AC799" s="2327">
        <f t="shared" si="1601"/>
        <v>203</v>
      </c>
      <c r="AD799" s="2327">
        <f t="shared" si="1601"/>
        <v>164</v>
      </c>
      <c r="AE799" s="2327">
        <f t="shared" si="1601"/>
        <v>202</v>
      </c>
      <c r="AF799" s="2327">
        <f t="shared" si="1601"/>
        <v>770</v>
      </c>
      <c r="AG799" s="2290">
        <f t="shared" si="1601"/>
        <v>770</v>
      </c>
      <c r="AH799" s="2327">
        <f t="shared" si="1601"/>
        <v>377</v>
      </c>
      <c r="AI799" s="2327">
        <f t="shared" si="1601"/>
        <v>471</v>
      </c>
      <c r="AJ799" s="2327">
        <f t="shared" si="1601"/>
        <v>161</v>
      </c>
      <c r="AK799" s="2327">
        <f t="shared" si="1601"/>
        <v>201</v>
      </c>
      <c r="AL799" s="2290">
        <f t="shared" si="1601"/>
        <v>201</v>
      </c>
      <c r="AM799" s="2327">
        <f t="shared" si="1601"/>
        <v>170</v>
      </c>
      <c r="AN799" s="2327">
        <f t="shared" si="1601"/>
        <v>362</v>
      </c>
      <c r="AO799" s="2327">
        <f t="shared" ref="AO799:BT799" si="1602">AO745</f>
        <v>134</v>
      </c>
      <c r="AP799" s="2327">
        <f t="shared" si="1602"/>
        <v>191</v>
      </c>
      <c r="AQ799" s="2290">
        <f t="shared" si="1602"/>
        <v>191</v>
      </c>
      <c r="AR799" s="2327">
        <f t="shared" si="1602"/>
        <v>122</v>
      </c>
      <c r="AS799" s="2327">
        <f t="shared" si="1602"/>
        <v>149</v>
      </c>
      <c r="AT799" s="2327">
        <f t="shared" si="1602"/>
        <v>206</v>
      </c>
      <c r="AU799" s="2327">
        <f t="shared" si="1602"/>
        <v>332</v>
      </c>
      <c r="AV799" s="2290">
        <f t="shared" si="1602"/>
        <v>332</v>
      </c>
      <c r="AW799" s="2327">
        <f t="shared" si="1602"/>
        <v>314</v>
      </c>
      <c r="AX799" s="2327">
        <f t="shared" si="1602"/>
        <v>125</v>
      </c>
      <c r="AY799" s="2327">
        <f t="shared" si="1602"/>
        <v>117</v>
      </c>
      <c r="AZ799" s="2327">
        <f t="shared" si="1602"/>
        <v>134</v>
      </c>
      <c r="BA799" s="2290">
        <f t="shared" si="1602"/>
        <v>134</v>
      </c>
      <c r="BB799" s="2327">
        <f t="shared" si="1602"/>
        <v>168</v>
      </c>
      <c r="BC799" s="2327">
        <f t="shared" si="1602"/>
        <v>125</v>
      </c>
      <c r="BD799" s="2327">
        <f t="shared" si="1602"/>
        <v>130</v>
      </c>
      <c r="BE799" s="2327">
        <f t="shared" si="1602"/>
        <v>115</v>
      </c>
      <c r="BF799" s="2290">
        <f t="shared" si="1602"/>
        <v>115</v>
      </c>
      <c r="BG799" s="2327">
        <f t="shared" si="1602"/>
        <v>118</v>
      </c>
      <c r="BH799" s="2327">
        <f t="shared" si="1602"/>
        <v>100</v>
      </c>
      <c r="BI799" s="2327">
        <f t="shared" si="1602"/>
        <v>223</v>
      </c>
      <c r="BJ799" s="2327">
        <f t="shared" si="1602"/>
        <v>505</v>
      </c>
      <c r="BK799" s="2290">
        <f t="shared" si="1602"/>
        <v>505</v>
      </c>
      <c r="BL799" s="2327">
        <f t="shared" si="1602"/>
        <v>144</v>
      </c>
      <c r="BM799" s="2327">
        <f t="shared" si="1602"/>
        <v>117</v>
      </c>
      <c r="BN799" s="2327">
        <f t="shared" si="1602"/>
        <v>220</v>
      </c>
      <c r="BO799" s="2327">
        <f t="shared" si="1602"/>
        <v>102</v>
      </c>
      <c r="BP799" s="2290">
        <f t="shared" si="1602"/>
        <v>102</v>
      </c>
      <c r="BQ799" s="2327">
        <f t="shared" si="1602"/>
        <v>290</v>
      </c>
      <c r="BR799" s="2327">
        <f t="shared" si="1602"/>
        <v>105</v>
      </c>
      <c r="BS799" s="2327">
        <f t="shared" si="1602"/>
        <v>105</v>
      </c>
      <c r="BT799" s="2327">
        <f t="shared" si="1602"/>
        <v>88</v>
      </c>
      <c r="BU799" s="2290">
        <f t="shared" ref="BU799:DA799" si="1603">BU745</f>
        <v>88</v>
      </c>
      <c r="BV799" s="2327">
        <f t="shared" si="1603"/>
        <v>221</v>
      </c>
      <c r="BW799" s="2327">
        <f t="shared" si="1603"/>
        <v>108</v>
      </c>
      <c r="BX799" s="2327">
        <f t="shared" si="1603"/>
        <v>144</v>
      </c>
      <c r="BY799" s="2327">
        <f t="shared" si="1603"/>
        <v>126</v>
      </c>
      <c r="BZ799" s="2290">
        <f t="shared" si="1603"/>
        <v>126</v>
      </c>
      <c r="CA799" s="2327">
        <f t="shared" si="1603"/>
        <v>184</v>
      </c>
      <c r="CB799" s="2327">
        <f t="shared" si="1603"/>
        <v>192</v>
      </c>
      <c r="CC799" s="2327">
        <f t="shared" si="1603"/>
        <v>150</v>
      </c>
      <c r="CD799" s="3098">
        <f t="shared" si="1603"/>
        <v>104</v>
      </c>
      <c r="CE799" s="2290">
        <f t="shared" si="1603"/>
        <v>104</v>
      </c>
      <c r="CF799" s="2327">
        <f t="shared" si="1603"/>
        <v>120</v>
      </c>
      <c r="CG799" s="2327">
        <f t="shared" si="1603"/>
        <v>140</v>
      </c>
      <c r="CH799" s="2327">
        <f t="shared" si="1603"/>
        <v>95</v>
      </c>
      <c r="CI799" s="3098">
        <f t="shared" si="1603"/>
        <v>96</v>
      </c>
      <c r="CJ799" s="2290">
        <f t="shared" si="1603"/>
        <v>96</v>
      </c>
      <c r="CK799" s="2327">
        <f t="shared" si="1603"/>
        <v>99</v>
      </c>
      <c r="CL799" s="2327">
        <f t="shared" si="1603"/>
        <v>679</v>
      </c>
      <c r="CM799" s="2327">
        <f t="shared" si="1603"/>
        <v>1078</v>
      </c>
      <c r="CN799" s="3098">
        <f t="shared" si="1603"/>
        <v>858</v>
      </c>
      <c r="CO799" s="2290">
        <f t="shared" si="1603"/>
        <v>858</v>
      </c>
      <c r="CP799" s="2764">
        <f t="shared" si="1603"/>
        <v>738</v>
      </c>
      <c r="CQ799" s="2327">
        <f t="shared" si="1603"/>
        <v>498</v>
      </c>
      <c r="CR799" s="2327">
        <f t="shared" si="1603"/>
        <v>508</v>
      </c>
      <c r="CS799" s="2327">
        <f t="shared" si="1603"/>
        <v>383</v>
      </c>
      <c r="CT799" s="2290">
        <f t="shared" si="1603"/>
        <v>383</v>
      </c>
      <c r="CU799" s="2327">
        <f t="shared" ca="1" si="1603"/>
        <v>290.98924969362332</v>
      </c>
      <c r="CV799" s="2327">
        <f t="shared" ca="1" si="1603"/>
        <v>166.96587678457607</v>
      </c>
      <c r="CW799" s="2327">
        <f t="shared" ca="1" si="1603"/>
        <v>188.53475453330455</v>
      </c>
      <c r="CX799" s="2327">
        <f t="shared" ca="1" si="1603"/>
        <v>82.730912775479766</v>
      </c>
      <c r="CY799" s="2290">
        <f t="shared" ca="1" si="1603"/>
        <v>82.730912775479766</v>
      </c>
      <c r="CZ799" s="2290">
        <f t="shared" ca="1" si="1603"/>
        <v>123.85407152597512</v>
      </c>
      <c r="DA799" s="2290">
        <f t="shared" ca="1" si="1603"/>
        <v>252.27718455050447</v>
      </c>
      <c r="DB799" s="1062"/>
      <c r="DC799" s="1062"/>
      <c r="DD799" s="2295" t="s">
        <v>917</v>
      </c>
      <c r="DE799" s="2290">
        <f t="shared" si="1568"/>
        <v>334</v>
      </c>
      <c r="DF799" s="2290">
        <f t="shared" si="1569"/>
        <v>817</v>
      </c>
      <c r="DG799" s="2290">
        <f t="shared" si="1570"/>
        <v>198</v>
      </c>
      <c r="DH799" s="2290">
        <f t="shared" si="1571"/>
        <v>229</v>
      </c>
      <c r="DI799" s="2290">
        <f t="shared" si="1572"/>
        <v>770</v>
      </c>
      <c r="DJ799" s="2290">
        <f t="shared" si="1573"/>
        <v>201</v>
      </c>
      <c r="DK799" s="2290">
        <f t="shared" si="1574"/>
        <v>191</v>
      </c>
      <c r="DL799" s="2290">
        <f t="shared" si="1575"/>
        <v>332</v>
      </c>
      <c r="DM799" s="2290">
        <f t="shared" si="1576"/>
        <v>134</v>
      </c>
      <c r="DN799" s="2290">
        <f t="shared" si="1577"/>
        <v>115</v>
      </c>
      <c r="DO799" s="2290">
        <f t="shared" si="1578"/>
        <v>505</v>
      </c>
      <c r="DP799" s="2290">
        <f t="shared" si="1579"/>
        <v>102</v>
      </c>
      <c r="DQ799" s="2290">
        <f t="shared" si="1580"/>
        <v>88</v>
      </c>
      <c r="DR799" s="2290">
        <f t="shared" si="1581"/>
        <v>126</v>
      </c>
      <c r="DS799" s="2290">
        <f t="shared" si="1582"/>
        <v>104</v>
      </c>
      <c r="DT799" s="2290">
        <f t="shared" si="1583"/>
        <v>96</v>
      </c>
      <c r="DU799" s="2290">
        <f t="shared" si="1584"/>
        <v>858</v>
      </c>
      <c r="DV799" s="2290">
        <f t="shared" si="1585"/>
        <v>383</v>
      </c>
      <c r="DW799" s="2290">
        <f t="shared" ca="1" si="1586"/>
        <v>82.730912775479766</v>
      </c>
      <c r="DX799" s="2290">
        <f t="shared" ca="1" si="1587"/>
        <v>123.85407152597512</v>
      </c>
      <c r="DY799" s="2290">
        <f t="shared" ca="1" si="1588"/>
        <v>252.27718455050447</v>
      </c>
      <c r="EA799"/>
      <c r="EB799"/>
      <c r="EC799"/>
      <c r="ED799"/>
      <c r="EE799"/>
      <c r="EF799"/>
      <c r="EJ799"/>
      <c r="EK799"/>
      <c r="EL799"/>
      <c r="EM799" s="1703"/>
      <c r="ER799" s="2631"/>
    </row>
    <row r="800" spans="1:148" s="1703" customFormat="1" ht="12.75" customHeight="1" x14ac:dyDescent="0.2">
      <c r="A800" s="2180" t="s">
        <v>1914</v>
      </c>
      <c r="B800" s="1730"/>
      <c r="C800" s="1730"/>
      <c r="D800" s="1730"/>
      <c r="E800" s="1730"/>
      <c r="F800" s="1730"/>
      <c r="G800" s="1730"/>
      <c r="H800" s="1730"/>
      <c r="I800" s="1730">
        <f t="shared" ref="I800:AN800" si="1604">I798-I799</f>
        <v>1577</v>
      </c>
      <c r="J800" s="1730">
        <f t="shared" si="1604"/>
        <v>1539</v>
      </c>
      <c r="K800" s="1730">
        <f t="shared" si="1604"/>
        <v>1571</v>
      </c>
      <c r="L800" s="1730">
        <f t="shared" si="1604"/>
        <v>1615</v>
      </c>
      <c r="M800" s="1729">
        <f t="shared" si="1604"/>
        <v>1615</v>
      </c>
      <c r="N800" s="1730">
        <f t="shared" si="1604"/>
        <v>1889</v>
      </c>
      <c r="O800" s="1730">
        <f t="shared" si="1604"/>
        <v>1838</v>
      </c>
      <c r="P800" s="1730">
        <f t="shared" si="1604"/>
        <v>1639</v>
      </c>
      <c r="Q800" s="1730">
        <f t="shared" si="1604"/>
        <v>2041</v>
      </c>
      <c r="R800" s="1729">
        <f t="shared" si="1604"/>
        <v>2041</v>
      </c>
      <c r="S800" s="1730">
        <f t="shared" si="1604"/>
        <v>2036</v>
      </c>
      <c r="T800" s="1730">
        <f t="shared" si="1604"/>
        <v>1711</v>
      </c>
      <c r="U800" s="1730">
        <f t="shared" si="1604"/>
        <v>1497</v>
      </c>
      <c r="V800" s="1730">
        <f t="shared" si="1604"/>
        <v>1597</v>
      </c>
      <c r="W800" s="1729">
        <f t="shared" si="1604"/>
        <v>1597</v>
      </c>
      <c r="X800" s="1730">
        <f t="shared" si="1604"/>
        <v>1635</v>
      </c>
      <c r="Y800" s="1730">
        <f t="shared" si="1604"/>
        <v>1561</v>
      </c>
      <c r="Z800" s="1730">
        <f t="shared" si="1604"/>
        <v>1567</v>
      </c>
      <c r="AA800" s="1730">
        <f t="shared" si="1604"/>
        <v>1226</v>
      </c>
      <c r="AB800" s="1729">
        <f t="shared" si="1604"/>
        <v>1226</v>
      </c>
      <c r="AC800" s="1730">
        <f t="shared" si="1604"/>
        <v>1526</v>
      </c>
      <c r="AD800" s="1730">
        <f t="shared" si="1604"/>
        <v>1270</v>
      </c>
      <c r="AE800" s="1730">
        <f t="shared" si="1604"/>
        <v>1173</v>
      </c>
      <c r="AF800" s="1730">
        <f t="shared" si="1604"/>
        <v>555</v>
      </c>
      <c r="AG800" s="1729">
        <f t="shared" si="1604"/>
        <v>555</v>
      </c>
      <c r="AH800" s="1730">
        <f t="shared" si="1604"/>
        <v>947</v>
      </c>
      <c r="AI800" s="1730">
        <f t="shared" si="1604"/>
        <v>961</v>
      </c>
      <c r="AJ800" s="1730">
        <f t="shared" si="1604"/>
        <v>1656</v>
      </c>
      <c r="AK800" s="1730">
        <f t="shared" si="1604"/>
        <v>1536</v>
      </c>
      <c r="AL800" s="1729">
        <f t="shared" si="1604"/>
        <v>1536</v>
      </c>
      <c r="AM800" s="1730">
        <f t="shared" si="1604"/>
        <v>1707</v>
      </c>
      <c r="AN800" s="1730">
        <f t="shared" si="1604"/>
        <v>1199</v>
      </c>
      <c r="AO800" s="1730">
        <f t="shared" ref="AO800:BT800" si="1605">AO798-AO799</f>
        <v>1502</v>
      </c>
      <c r="AP800" s="1730">
        <f t="shared" si="1605"/>
        <v>1642</v>
      </c>
      <c r="AQ800" s="1729">
        <f t="shared" si="1605"/>
        <v>1642</v>
      </c>
      <c r="AR800" s="1730">
        <f t="shared" si="1605"/>
        <v>2296</v>
      </c>
      <c r="AS800" s="1730">
        <f t="shared" si="1605"/>
        <v>2135</v>
      </c>
      <c r="AT800" s="1730">
        <f t="shared" si="1605"/>
        <v>2742</v>
      </c>
      <c r="AU800" s="1730">
        <f t="shared" si="1605"/>
        <v>2633</v>
      </c>
      <c r="AV800" s="1729">
        <f t="shared" si="1605"/>
        <v>2633</v>
      </c>
      <c r="AW800" s="1730">
        <f t="shared" si="1605"/>
        <v>3081</v>
      </c>
      <c r="AX800" s="1730">
        <f t="shared" si="1605"/>
        <v>2923</v>
      </c>
      <c r="AY800" s="1730">
        <f t="shared" si="1605"/>
        <v>2929</v>
      </c>
      <c r="AZ800" s="1730">
        <f t="shared" si="1605"/>
        <v>2961</v>
      </c>
      <c r="BA800" s="1729">
        <f t="shared" si="1605"/>
        <v>2961</v>
      </c>
      <c r="BB800" s="1730">
        <f t="shared" si="1605"/>
        <v>2809</v>
      </c>
      <c r="BC800" s="1730">
        <f t="shared" si="1605"/>
        <v>2724</v>
      </c>
      <c r="BD800" s="1730">
        <f t="shared" si="1605"/>
        <v>2530</v>
      </c>
      <c r="BE800" s="1730">
        <f t="shared" si="1605"/>
        <v>2183</v>
      </c>
      <c r="BF800" s="1729">
        <f t="shared" si="1605"/>
        <v>2183</v>
      </c>
      <c r="BG800" s="1730">
        <f t="shared" si="1605"/>
        <v>3151</v>
      </c>
      <c r="BH800" s="1730">
        <f t="shared" si="1605"/>
        <v>2811</v>
      </c>
      <c r="BI800" s="1730">
        <f t="shared" si="1605"/>
        <v>2503</v>
      </c>
      <c r="BJ800" s="1730">
        <f t="shared" si="1605"/>
        <v>2324</v>
      </c>
      <c r="BK800" s="1729">
        <f t="shared" si="1605"/>
        <v>2324</v>
      </c>
      <c r="BL800" s="1730">
        <f t="shared" si="1605"/>
        <v>2713</v>
      </c>
      <c r="BM800" s="1730">
        <f t="shared" si="1605"/>
        <v>2805</v>
      </c>
      <c r="BN800" s="1730">
        <f t="shared" si="1605"/>
        <v>2883</v>
      </c>
      <c r="BO800" s="1730">
        <f t="shared" si="1605"/>
        <v>2069</v>
      </c>
      <c r="BP800" s="1729">
        <f t="shared" si="1605"/>
        <v>2069</v>
      </c>
      <c r="BQ800" s="1730">
        <f t="shared" si="1605"/>
        <v>2237</v>
      </c>
      <c r="BR800" s="1730">
        <f t="shared" si="1605"/>
        <v>2455</v>
      </c>
      <c r="BS800" s="1730">
        <f t="shared" si="1605"/>
        <v>2404</v>
      </c>
      <c r="BT800" s="1730">
        <f t="shared" si="1605"/>
        <v>2847</v>
      </c>
      <c r="BU800" s="1729">
        <f t="shared" ref="BU800:DA800" si="1606">BU798-BU799</f>
        <v>2847</v>
      </c>
      <c r="BV800" s="1730">
        <f t="shared" si="1606"/>
        <v>3034</v>
      </c>
      <c r="BW800" s="1730">
        <f t="shared" si="1606"/>
        <v>2979</v>
      </c>
      <c r="BX800" s="1730">
        <f t="shared" si="1606"/>
        <v>3012</v>
      </c>
      <c r="BY800" s="1730">
        <f t="shared" si="1606"/>
        <v>3073</v>
      </c>
      <c r="BZ800" s="1729">
        <f t="shared" si="1606"/>
        <v>3073</v>
      </c>
      <c r="CA800" s="1730">
        <f t="shared" si="1606"/>
        <v>3118</v>
      </c>
      <c r="CB800" s="1730">
        <f t="shared" si="1606"/>
        <v>3212</v>
      </c>
      <c r="CC800" s="1730">
        <f t="shared" si="1606"/>
        <v>3378</v>
      </c>
      <c r="CD800" s="1826">
        <f t="shared" si="1606"/>
        <v>3677</v>
      </c>
      <c r="CE800" s="1729">
        <f t="shared" si="1606"/>
        <v>3677</v>
      </c>
      <c r="CF800" s="1730">
        <f t="shared" si="1606"/>
        <v>3908</v>
      </c>
      <c r="CG800" s="1730">
        <f t="shared" si="1606"/>
        <v>3777</v>
      </c>
      <c r="CH800" s="1730">
        <f t="shared" si="1606"/>
        <v>4209</v>
      </c>
      <c r="CI800" s="1826">
        <f t="shared" si="1606"/>
        <v>4011</v>
      </c>
      <c r="CJ800" s="1729">
        <f t="shared" si="1606"/>
        <v>4011</v>
      </c>
      <c r="CK800" s="1730">
        <f t="shared" si="1606"/>
        <v>4060</v>
      </c>
      <c r="CL800" s="1730">
        <f t="shared" si="1606"/>
        <v>3681</v>
      </c>
      <c r="CM800" s="1730">
        <f t="shared" si="1606"/>
        <v>7744</v>
      </c>
      <c r="CN800" s="1826">
        <f t="shared" si="1606"/>
        <v>7648</v>
      </c>
      <c r="CO800" s="1729">
        <f t="shared" si="1606"/>
        <v>7648</v>
      </c>
      <c r="CP800" s="1730">
        <f t="shared" si="1606"/>
        <v>7732</v>
      </c>
      <c r="CQ800" s="1730">
        <f t="shared" si="1606"/>
        <v>7815</v>
      </c>
      <c r="CR800" s="1730">
        <f t="shared" si="1606"/>
        <v>8161</v>
      </c>
      <c r="CS800" s="1730">
        <f t="shared" si="1606"/>
        <v>7855</v>
      </c>
      <c r="CT800" s="1729">
        <f t="shared" si="1606"/>
        <v>7855</v>
      </c>
      <c r="CU800" s="1730">
        <f ca="1">CU798-CU799</f>
        <v>8147.0107503063764</v>
      </c>
      <c r="CV800" s="1730">
        <f ca="1">CV798-CV799</f>
        <v>8571.0341232154242</v>
      </c>
      <c r="CW800" s="1730">
        <f ca="1">CW798-CW799</f>
        <v>8749.4652454666957</v>
      </c>
      <c r="CX800" s="1730">
        <f ca="1">CX798-CX799</f>
        <v>8955.2690872245203</v>
      </c>
      <c r="CY800" s="1729">
        <f ca="1">CY798-CY799</f>
        <v>8955.2690872245203</v>
      </c>
      <c r="CZ800" s="1729">
        <f t="shared" ca="1" si="1606"/>
        <v>9564.1459284740249</v>
      </c>
      <c r="DA800" s="1729">
        <f t="shared" ca="1" si="1606"/>
        <v>9435.7228154494951</v>
      </c>
      <c r="DB800"/>
      <c r="DC800"/>
      <c r="DD800" s="2180" t="s">
        <v>1914</v>
      </c>
      <c r="DE800" s="1729">
        <f t="shared" si="1568"/>
        <v>1615</v>
      </c>
      <c r="DF800" s="1729">
        <f t="shared" si="1569"/>
        <v>2041</v>
      </c>
      <c r="DG800" s="1729">
        <f t="shared" si="1570"/>
        <v>1597</v>
      </c>
      <c r="DH800" s="1729">
        <f t="shared" si="1571"/>
        <v>1226</v>
      </c>
      <c r="DI800" s="1729">
        <f t="shared" si="1572"/>
        <v>555</v>
      </c>
      <c r="DJ800" s="1729">
        <f t="shared" si="1573"/>
        <v>1536</v>
      </c>
      <c r="DK800" s="1729">
        <f t="shared" si="1574"/>
        <v>1642</v>
      </c>
      <c r="DL800" s="1729">
        <f t="shared" si="1575"/>
        <v>2633</v>
      </c>
      <c r="DM800" s="1729">
        <f t="shared" si="1576"/>
        <v>2961</v>
      </c>
      <c r="DN800" s="1729">
        <f t="shared" si="1577"/>
        <v>2183</v>
      </c>
      <c r="DO800" s="1729">
        <f t="shared" si="1578"/>
        <v>2324</v>
      </c>
      <c r="DP800" s="1729">
        <f t="shared" si="1579"/>
        <v>2069</v>
      </c>
      <c r="DQ800" s="1729">
        <f t="shared" si="1580"/>
        <v>2847</v>
      </c>
      <c r="DR800" s="1729">
        <f t="shared" si="1581"/>
        <v>3073</v>
      </c>
      <c r="DS800" s="1729">
        <f t="shared" si="1582"/>
        <v>3677</v>
      </c>
      <c r="DT800" s="1729">
        <f t="shared" si="1583"/>
        <v>4011</v>
      </c>
      <c r="DU800" s="1729">
        <f t="shared" si="1584"/>
        <v>7648</v>
      </c>
      <c r="DV800" s="1729">
        <f t="shared" si="1585"/>
        <v>7855</v>
      </c>
      <c r="DW800" s="1729">
        <f t="shared" ca="1" si="1586"/>
        <v>8955.2690872245203</v>
      </c>
      <c r="DX800" s="1729">
        <f t="shared" ca="1" si="1587"/>
        <v>9564.1459284740249</v>
      </c>
      <c r="DY800" s="1729">
        <f t="shared" ca="1" si="1588"/>
        <v>9435.7228154494951</v>
      </c>
      <c r="EA800"/>
      <c r="EB800"/>
      <c r="EC800"/>
      <c r="ED800"/>
      <c r="EE800"/>
      <c r="EF800"/>
      <c r="EJ800"/>
      <c r="EK800"/>
      <c r="EL800"/>
      <c r="ER800" s="212"/>
    </row>
    <row r="801" spans="1:148" s="1703" customFormat="1" ht="12.75" customHeight="1" x14ac:dyDescent="0.2">
      <c r="A801" s="1987" t="s">
        <v>623</v>
      </c>
      <c r="M801" s="1704"/>
      <c r="R801" s="1704"/>
      <c r="W801" s="1704"/>
      <c r="AB801" s="1704"/>
      <c r="AG801" s="1704"/>
      <c r="AH801" s="1703">
        <f>+AH84+AF84+AE84+AD84</f>
        <v>1137</v>
      </c>
      <c r="AI801" s="1703">
        <f>+AI84+AH84+AF84+AE84</f>
        <v>1164</v>
      </c>
      <c r="AJ801" s="1703">
        <f>+AJ84+AI84+AH84+AF84</f>
        <v>1192</v>
      </c>
      <c r="AK801" s="1703">
        <f>+AK84+AJ84+AI84+AH84</f>
        <v>1270</v>
      </c>
      <c r="AL801" s="1704">
        <f>AK801</f>
        <v>1270</v>
      </c>
      <c r="AM801" s="1703">
        <f>+AM98+AK98+AJ98+AI98</f>
        <v>1318</v>
      </c>
      <c r="AN801" s="1703">
        <f>+AN98+AM98+AK98+AJ98</f>
        <v>1375</v>
      </c>
      <c r="AO801" s="1703">
        <f>+AO98+AN98+AM98+AK98</f>
        <v>1408</v>
      </c>
      <c r="AP801" s="1703">
        <f>+AP98+AO98+AN98+AM98</f>
        <v>1424</v>
      </c>
      <c r="AQ801" s="1704">
        <f>AP801</f>
        <v>1424</v>
      </c>
      <c r="AR801" s="1703">
        <f>+AR98+AP98+AO98+AN98</f>
        <v>1434</v>
      </c>
      <c r="AS801" s="1703">
        <f>+AS98+AR98+AP98+AO98</f>
        <v>1512</v>
      </c>
      <c r="AT801" s="1703">
        <f>+AT98+AS98+AR98+AP98</f>
        <v>1520</v>
      </c>
      <c r="AU801" s="1703">
        <f>+AU98+AT98+AS98+AR98</f>
        <v>1580</v>
      </c>
      <c r="AV801" s="1704">
        <f>AU801</f>
        <v>1580</v>
      </c>
      <c r="AW801" s="1703">
        <f>+AW98+AU98+AT98+AS98</f>
        <v>1533</v>
      </c>
      <c r="AX801" s="1703">
        <f>+AX98+AW98+AU98+AT98</f>
        <v>1477</v>
      </c>
      <c r="AY801" s="1703">
        <f>+AY98+AX98+AW98+AU98</f>
        <v>1455</v>
      </c>
      <c r="AZ801" s="1703">
        <f>+AZ98+AY98+AX98+AW98</f>
        <v>1298</v>
      </c>
      <c r="BA801" s="1704">
        <f>AZ801</f>
        <v>1298</v>
      </c>
      <c r="BB801" s="1703">
        <f>+BB98+AZ98+AY98+AX98</f>
        <v>1226</v>
      </c>
      <c r="BC801" s="1703">
        <f>+BC98+BB98+AZ98+AY98</f>
        <v>1061</v>
      </c>
      <c r="BD801" s="1703">
        <f>+BD98+BC98+BB98+AZ98</f>
        <v>938</v>
      </c>
      <c r="BE801" s="1703">
        <f>+BE98+BD98+BC98+BB98</f>
        <v>898</v>
      </c>
      <c r="BF801" s="1704">
        <f>BE801</f>
        <v>898</v>
      </c>
      <c r="BG801" s="1703">
        <f>+BG98+BE98+BD98+BC98</f>
        <v>870</v>
      </c>
      <c r="BH801" s="1703">
        <f>+BH98+BG98+BE98+BD98</f>
        <v>889</v>
      </c>
      <c r="BI801" s="1703">
        <f>+BI98+BH98+BG98+BE98</f>
        <v>903</v>
      </c>
      <c r="BJ801" s="1703">
        <f>+BJ98+BI98+BH98+BG98</f>
        <v>885</v>
      </c>
      <c r="BK801" s="1704">
        <f>BJ801</f>
        <v>885</v>
      </c>
      <c r="BL801" s="1703">
        <f>+BL98+BJ98+BI98+BH98</f>
        <v>895</v>
      </c>
      <c r="BM801" s="1703">
        <f>+BM98+BL98+BJ98+BI98</f>
        <v>912</v>
      </c>
      <c r="BN801" s="1703">
        <f>+BN98+BM98+BL98+BJ98</f>
        <v>958</v>
      </c>
      <c r="BO801" s="1703">
        <f>+BO98+BN98+BM98+BL98</f>
        <v>992</v>
      </c>
      <c r="BP801" s="1704">
        <f>BO801</f>
        <v>992</v>
      </c>
      <c r="BQ801" s="1703">
        <f>+BQ98+BO98+BN98+BM98</f>
        <v>1037</v>
      </c>
      <c r="BR801" s="1703">
        <f>+BR98+BQ98+BO98+BN98</f>
        <v>1097</v>
      </c>
      <c r="BS801" s="1703">
        <f>+BS98+BR98+BQ98+BO98</f>
        <v>1184</v>
      </c>
      <c r="BT801" s="1703">
        <f>+BT98+BS98+BR98+BQ98</f>
        <v>1258</v>
      </c>
      <c r="BU801" s="1704">
        <f>BT801</f>
        <v>1258</v>
      </c>
      <c r="BV801" s="1703">
        <f>+BV98+BT98+BS98+BR98</f>
        <v>1319</v>
      </c>
      <c r="BW801" s="1703">
        <f>+BW98+BV98+BT98+BS98</f>
        <v>1375</v>
      </c>
      <c r="BX801" s="1703">
        <f>+BX98+BW98+BV98+BT98</f>
        <v>1394</v>
      </c>
      <c r="BY801" s="1703">
        <f>+BY98+BX98+BW98+BV98</f>
        <v>1325</v>
      </c>
      <c r="BZ801" s="1704">
        <f>+BZ98</f>
        <v>1325</v>
      </c>
      <c r="CA801" s="1703">
        <f>CA98+BY98+BX98+BW98</f>
        <v>1361</v>
      </c>
      <c r="CB801" s="1703">
        <f>CB98+CA98+BY98+BX98</f>
        <v>1397</v>
      </c>
      <c r="CC801" s="1703">
        <f>CC98+CB98+CA98+BY98</f>
        <v>1461</v>
      </c>
      <c r="CD801" s="1801">
        <f>CD98+CC98+CB98+CA98</f>
        <v>1524</v>
      </c>
      <c r="CE801" s="1704">
        <f>+CE98</f>
        <v>1524</v>
      </c>
      <c r="CF801" s="1703">
        <f>CF98+CD98+CC98+CB98</f>
        <v>1614</v>
      </c>
      <c r="CG801" s="1703">
        <f>CG98+CF98+CD98+CC98</f>
        <v>1663</v>
      </c>
      <c r="CH801" s="1703">
        <f>CH98+CG98+CF98+CD98</f>
        <v>1701</v>
      </c>
      <c r="CI801" s="1801">
        <f>CI98+CH98+CG98+CF98</f>
        <v>1718</v>
      </c>
      <c r="CJ801" s="1704">
        <f>+CJ98</f>
        <v>1718</v>
      </c>
      <c r="CK801" s="1703">
        <f>CK98+CI98+CH98+CG98</f>
        <v>1747</v>
      </c>
      <c r="CL801" s="1703">
        <f>CL98+CK98+CI98+CH98</f>
        <v>1784</v>
      </c>
      <c r="CM801" s="1703">
        <f>CM98+CL98+CK98+CI98</f>
        <v>1827</v>
      </c>
      <c r="CN801" s="1469">
        <f>CN98+CM98+CL98+CK98</f>
        <v>2182</v>
      </c>
      <c r="CO801" s="3241">
        <f>+CO104</f>
        <v>2987</v>
      </c>
      <c r="CP801" s="1703">
        <f>CP98+CM98+CN98+CL98</f>
        <v>2474</v>
      </c>
      <c r="CQ801" s="1703">
        <f>CQ98+CP98+CN98+CM98</f>
        <v>2814</v>
      </c>
      <c r="CR801" s="1703">
        <f>CR98+CQ98+CP98+CN98</f>
        <v>3171</v>
      </c>
      <c r="CS801" s="1703">
        <f>CS98+CR98+CQ98+CP98</f>
        <v>3223</v>
      </c>
      <c r="CT801" s="1704">
        <f>+CT98</f>
        <v>3223</v>
      </c>
      <c r="CU801" s="1703">
        <f ca="1">CU98+CR98+CS98+CQ98</f>
        <v>3250.7610317071149</v>
      </c>
      <c r="CV801" s="1703">
        <f ca="1">CV98+CU98+CS98+CR98</f>
        <v>3302.063842500158</v>
      </c>
      <c r="CW801" s="1703">
        <f ca="1">CW98+CV98+CU98+CS98</f>
        <v>3326.1724401176598</v>
      </c>
      <c r="CX801" s="1703">
        <f ca="1">CX98+CW98+CV98+CU98</f>
        <v>3408.5199569809902</v>
      </c>
      <c r="CY801" s="1704">
        <f ca="1">+CY98</f>
        <v>3408.5199569809874</v>
      </c>
      <c r="CZ801" s="1704">
        <f ca="1">+CZ98</f>
        <v>3806.4767640867026</v>
      </c>
      <c r="DA801" s="1704">
        <f ca="1">+DA98</f>
        <v>3781.9263870850614</v>
      </c>
      <c r="DB801"/>
      <c r="DC801"/>
      <c r="DD801" s="2314" t="s">
        <v>623</v>
      </c>
      <c r="DE801" s="2292">
        <f t="shared" si="1568"/>
        <v>0</v>
      </c>
      <c r="DF801" s="2292">
        <f t="shared" si="1569"/>
        <v>0</v>
      </c>
      <c r="DG801" s="2292">
        <f t="shared" si="1570"/>
        <v>0</v>
      </c>
      <c r="DH801" s="2292">
        <f t="shared" si="1571"/>
        <v>0</v>
      </c>
      <c r="DI801" s="2292">
        <f t="shared" si="1572"/>
        <v>0</v>
      </c>
      <c r="DJ801" s="2292">
        <f t="shared" si="1573"/>
        <v>1270</v>
      </c>
      <c r="DK801" s="2292">
        <f t="shared" si="1574"/>
        <v>1424</v>
      </c>
      <c r="DL801" s="2292">
        <f t="shared" si="1575"/>
        <v>1580</v>
      </c>
      <c r="DM801" s="2292">
        <f t="shared" si="1576"/>
        <v>1298</v>
      </c>
      <c r="DN801" s="2292">
        <f t="shared" si="1577"/>
        <v>898</v>
      </c>
      <c r="DO801" s="2292">
        <f t="shared" si="1578"/>
        <v>885</v>
      </c>
      <c r="DP801" s="2292">
        <f t="shared" si="1579"/>
        <v>992</v>
      </c>
      <c r="DQ801" s="2292">
        <f t="shared" si="1580"/>
        <v>1258</v>
      </c>
      <c r="DR801" s="2292">
        <f t="shared" si="1581"/>
        <v>1325</v>
      </c>
      <c r="DS801" s="2292">
        <f t="shared" si="1582"/>
        <v>1524</v>
      </c>
      <c r="DT801" s="2292">
        <f t="shared" si="1583"/>
        <v>1718</v>
      </c>
      <c r="DU801" s="2292">
        <f t="shared" si="1584"/>
        <v>2987</v>
      </c>
      <c r="DV801" s="2292">
        <f t="shared" si="1585"/>
        <v>3223</v>
      </c>
      <c r="DW801" s="2292">
        <f t="shared" ca="1" si="1586"/>
        <v>3408.5199569809874</v>
      </c>
      <c r="DX801" s="2292">
        <f t="shared" ca="1" si="1587"/>
        <v>3806.4767640867026</v>
      </c>
      <c r="DY801" s="2292">
        <f t="shared" ca="1" si="1588"/>
        <v>3781.9263870850614</v>
      </c>
      <c r="EA801"/>
      <c r="EB801"/>
      <c r="EC801"/>
      <c r="ED801"/>
      <c r="EE801"/>
      <c r="EF801"/>
      <c r="EJ801"/>
      <c r="EK801"/>
      <c r="EL801"/>
      <c r="ER801" s="212"/>
    </row>
    <row r="802" spans="1:148" s="2175" customFormat="1" ht="12.75" customHeight="1" x14ac:dyDescent="0.2">
      <c r="A802" s="2187" t="s">
        <v>1598</v>
      </c>
      <c r="M802" s="2176"/>
      <c r="R802" s="2176"/>
      <c r="W802" s="2176"/>
      <c r="AB802" s="2176"/>
      <c r="AG802" s="2176"/>
      <c r="AL802" s="2176">
        <f t="shared" ref="AL802:BQ802" si="1607">+AL798/AL801</f>
        <v>1.3677165354330709</v>
      </c>
      <c r="AM802" s="2175">
        <f t="shared" si="1607"/>
        <v>1.4241274658573597</v>
      </c>
      <c r="AN802" s="2175">
        <f t="shared" si="1607"/>
        <v>1.1352727272727272</v>
      </c>
      <c r="AO802" s="2175">
        <f t="shared" si="1607"/>
        <v>1.1619318181818181</v>
      </c>
      <c r="AP802" s="2175">
        <f t="shared" si="1607"/>
        <v>1.2872191011235956</v>
      </c>
      <c r="AQ802" s="2176">
        <f t="shared" si="1607"/>
        <v>1.2872191011235956</v>
      </c>
      <c r="AR802" s="2175">
        <f t="shared" si="1607"/>
        <v>1.6861924686192469</v>
      </c>
      <c r="AS802" s="2175">
        <f t="shared" si="1607"/>
        <v>1.5105820105820107</v>
      </c>
      <c r="AT802" s="2175">
        <f t="shared" si="1607"/>
        <v>1.9394736842105262</v>
      </c>
      <c r="AU802" s="2175">
        <f t="shared" si="1607"/>
        <v>1.8765822784810127</v>
      </c>
      <c r="AV802" s="2176">
        <f t="shared" si="1607"/>
        <v>1.8765822784810127</v>
      </c>
      <c r="AW802" s="2175">
        <f t="shared" si="1607"/>
        <v>2.2146118721461185</v>
      </c>
      <c r="AX802" s="2175">
        <f t="shared" si="1607"/>
        <v>2.0636425186188219</v>
      </c>
      <c r="AY802" s="2175">
        <f t="shared" si="1607"/>
        <v>2.093470790378007</v>
      </c>
      <c r="AZ802" s="2175">
        <f t="shared" si="1607"/>
        <v>2.384437596302003</v>
      </c>
      <c r="BA802" s="2176">
        <f t="shared" si="1607"/>
        <v>2.384437596302003</v>
      </c>
      <c r="BB802" s="2175">
        <f t="shared" si="1607"/>
        <v>2.4282218597063623</v>
      </c>
      <c r="BC802" s="2175">
        <f t="shared" si="1607"/>
        <v>2.6852026390197925</v>
      </c>
      <c r="BD802" s="2175">
        <f t="shared" si="1607"/>
        <v>2.8358208955223883</v>
      </c>
      <c r="BE802" s="2175">
        <f t="shared" si="1607"/>
        <v>2.5590200445434297</v>
      </c>
      <c r="BF802" s="2176">
        <f t="shared" si="1607"/>
        <v>2.5590200445434297</v>
      </c>
      <c r="BG802" s="2175">
        <f t="shared" si="1607"/>
        <v>3.7574712643678163</v>
      </c>
      <c r="BH802" s="2175">
        <f t="shared" si="1607"/>
        <v>3.2744656917885266</v>
      </c>
      <c r="BI802" s="2175">
        <f t="shared" si="1607"/>
        <v>3.018826135105205</v>
      </c>
      <c r="BJ802" s="2175">
        <f t="shared" si="1607"/>
        <v>3.1966101694915254</v>
      </c>
      <c r="BK802" s="2176">
        <f t="shared" si="1607"/>
        <v>3.1966101694915254</v>
      </c>
      <c r="BL802" s="2175">
        <f t="shared" si="1607"/>
        <v>3.1921787709497207</v>
      </c>
      <c r="BM802" s="2175">
        <f t="shared" si="1607"/>
        <v>3.2039473684210527</v>
      </c>
      <c r="BN802" s="2175">
        <f t="shared" si="1607"/>
        <v>3.2390396659707723</v>
      </c>
      <c r="BO802" s="2175">
        <f t="shared" si="1607"/>
        <v>2.188508064516129</v>
      </c>
      <c r="BP802" s="2176">
        <f t="shared" si="1607"/>
        <v>2.188508064516129</v>
      </c>
      <c r="BQ802" s="2175">
        <f t="shared" si="1607"/>
        <v>2.4368370298939248</v>
      </c>
      <c r="BR802" s="2175">
        <f t="shared" ref="BR802:DA802" si="1608">+BR798/BR801</f>
        <v>2.3336371923427528</v>
      </c>
      <c r="BS802" s="2175">
        <f t="shared" si="1608"/>
        <v>2.1190878378378377</v>
      </c>
      <c r="BT802" s="2175">
        <f t="shared" si="1608"/>
        <v>2.3330683624801272</v>
      </c>
      <c r="BU802" s="2176">
        <f t="shared" si="1608"/>
        <v>2.3330683624801272</v>
      </c>
      <c r="BV802" s="2175">
        <f t="shared" si="1608"/>
        <v>2.4677786201667931</v>
      </c>
      <c r="BW802" s="2175">
        <f t="shared" si="1608"/>
        <v>2.245090909090909</v>
      </c>
      <c r="BX802" s="2175">
        <f t="shared" si="1608"/>
        <v>2.2639885222381637</v>
      </c>
      <c r="BY802" s="2175">
        <f t="shared" si="1608"/>
        <v>2.4143396226415095</v>
      </c>
      <c r="BZ802" s="2176">
        <f t="shared" si="1608"/>
        <v>2.4143396226415095</v>
      </c>
      <c r="CA802" s="2175">
        <f t="shared" si="1608"/>
        <v>2.426157237325496</v>
      </c>
      <c r="CB802" s="2175">
        <f t="shared" si="1608"/>
        <v>2.4366499642090194</v>
      </c>
      <c r="CC802" s="2175">
        <f t="shared" si="1608"/>
        <v>2.4147843942505132</v>
      </c>
      <c r="CD802" s="2178">
        <f t="shared" si="1608"/>
        <v>2.4809711286089238</v>
      </c>
      <c r="CE802" s="2176">
        <f t="shared" si="1608"/>
        <v>2.4809711286089238</v>
      </c>
      <c r="CF802" s="2175">
        <f t="shared" si="1608"/>
        <v>2.4956629491945477</v>
      </c>
      <c r="CG802" s="2175">
        <f t="shared" si="1608"/>
        <v>2.3553818400481057</v>
      </c>
      <c r="CH802" s="2175">
        <f t="shared" si="1608"/>
        <v>2.530276308054086</v>
      </c>
      <c r="CI802" s="2178">
        <f t="shared" si="1608"/>
        <v>2.390570430733411</v>
      </c>
      <c r="CJ802" s="2176">
        <f t="shared" si="1608"/>
        <v>2.390570430733411</v>
      </c>
      <c r="CK802" s="2175">
        <f t="shared" si="1608"/>
        <v>2.380652547223812</v>
      </c>
      <c r="CL802" s="2175">
        <f t="shared" si="1608"/>
        <v>2.4439461883408073</v>
      </c>
      <c r="CM802" s="2175">
        <f t="shared" si="1608"/>
        <v>4.8286808976464153</v>
      </c>
      <c r="CN802" s="2178">
        <f t="shared" si="1608"/>
        <v>3.8982584784601282</v>
      </c>
      <c r="CO802" s="2176">
        <f t="shared" si="1608"/>
        <v>2.8476732507532643</v>
      </c>
      <c r="CP802" s="2175">
        <f t="shared" si="1608"/>
        <v>3.4236054971705738</v>
      </c>
      <c r="CQ802" s="2175">
        <f t="shared" si="1608"/>
        <v>2.9541577825159915</v>
      </c>
      <c r="CR802" s="2175">
        <f t="shared" si="1608"/>
        <v>2.7338379060233367</v>
      </c>
      <c r="CS802" s="2175">
        <f t="shared" si="1608"/>
        <v>2.5560037232392183</v>
      </c>
      <c r="CT802" s="2176">
        <f t="shared" si="1608"/>
        <v>2.5560037232392183</v>
      </c>
      <c r="CU802" s="2175">
        <f ca="1">+CU798/CU801</f>
        <v>2.5956998738750237</v>
      </c>
      <c r="CV802" s="2175">
        <f ca="1">+CV798/CV801</f>
        <v>2.6462238214582858</v>
      </c>
      <c r="CW802" s="2175">
        <f ca="1">+CW798/CW801</f>
        <v>2.6871727671713339</v>
      </c>
      <c r="CX802" s="2175">
        <f ca="1">+CX798/CX801</f>
        <v>2.6515907531916518</v>
      </c>
      <c r="CY802" s="2176">
        <f ca="1">+CY798/CY801</f>
        <v>2.651590753191654</v>
      </c>
      <c r="CZ802" s="2176">
        <f t="shared" ca="1" si="1608"/>
        <v>2.5451357253521723</v>
      </c>
      <c r="DA802" s="2176">
        <f t="shared" ca="1" si="1608"/>
        <v>2.5616574751649446</v>
      </c>
      <c r="DB802"/>
      <c r="DC802"/>
      <c r="DD802" s="2364" t="s">
        <v>1598</v>
      </c>
      <c r="DE802" s="2365">
        <f t="shared" si="1568"/>
        <v>0</v>
      </c>
      <c r="DF802" s="2365">
        <f t="shared" si="1569"/>
        <v>0</v>
      </c>
      <c r="DG802" s="2365">
        <f t="shared" si="1570"/>
        <v>0</v>
      </c>
      <c r="DH802" s="2365">
        <f t="shared" si="1571"/>
        <v>0</v>
      </c>
      <c r="DI802" s="2365">
        <f t="shared" si="1572"/>
        <v>0</v>
      </c>
      <c r="DJ802" s="2365">
        <f t="shared" si="1573"/>
        <v>1.3677165354330709</v>
      </c>
      <c r="DK802" s="2365">
        <f t="shared" si="1574"/>
        <v>1.2872191011235956</v>
      </c>
      <c r="DL802" s="2365">
        <f t="shared" si="1575"/>
        <v>1.8765822784810127</v>
      </c>
      <c r="DM802" s="2365">
        <f t="shared" si="1576"/>
        <v>2.384437596302003</v>
      </c>
      <c r="DN802" s="2365">
        <f t="shared" si="1577"/>
        <v>2.5590200445434297</v>
      </c>
      <c r="DO802" s="2365">
        <f t="shared" si="1578"/>
        <v>3.1966101694915254</v>
      </c>
      <c r="DP802" s="2365">
        <f t="shared" si="1579"/>
        <v>2.188508064516129</v>
      </c>
      <c r="DQ802" s="2365">
        <f t="shared" si="1580"/>
        <v>2.3330683624801272</v>
      </c>
      <c r="DR802" s="2365">
        <f t="shared" si="1581"/>
        <v>2.4143396226415095</v>
      </c>
      <c r="DS802" s="2365">
        <f t="shared" si="1582"/>
        <v>2.4809711286089238</v>
      </c>
      <c r="DT802" s="2365">
        <f t="shared" si="1583"/>
        <v>2.390570430733411</v>
      </c>
      <c r="DU802" s="2365">
        <f t="shared" si="1584"/>
        <v>2.8476732507532643</v>
      </c>
      <c r="DV802" s="2365">
        <f t="shared" si="1585"/>
        <v>2.5560037232392183</v>
      </c>
      <c r="DW802" s="2365">
        <f t="shared" ca="1" si="1586"/>
        <v>2.651590753191654</v>
      </c>
      <c r="DX802" s="2365">
        <f t="shared" ca="1" si="1587"/>
        <v>2.5451357253521723</v>
      </c>
      <c r="DY802" s="2365">
        <f t="shared" ca="1" si="1588"/>
        <v>2.5616574751649446</v>
      </c>
      <c r="EA802"/>
      <c r="EB802"/>
      <c r="EC802"/>
      <c r="ED802"/>
      <c r="EE802"/>
      <c r="EF802"/>
      <c r="EJ802"/>
      <c r="EK802"/>
      <c r="EL802"/>
      <c r="ER802" s="212"/>
    </row>
    <row r="803" spans="1:148" s="923" customFormat="1" ht="12.75" customHeight="1" x14ac:dyDescent="0.2">
      <c r="A803" s="2188" t="s">
        <v>1079</v>
      </c>
      <c r="B803" s="901"/>
      <c r="C803" s="901"/>
      <c r="D803" s="901"/>
      <c r="E803" s="901"/>
      <c r="F803" s="901"/>
      <c r="G803" s="901"/>
      <c r="H803" s="901"/>
      <c r="I803" s="901"/>
      <c r="J803" s="901"/>
      <c r="K803" s="901"/>
      <c r="L803" s="901"/>
      <c r="M803" s="2181"/>
      <c r="N803" s="901"/>
      <c r="O803" s="901"/>
      <c r="P803" s="901"/>
      <c r="Q803" s="901"/>
      <c r="R803" s="2181"/>
      <c r="S803" s="901"/>
      <c r="T803" s="901"/>
      <c r="U803" s="901"/>
      <c r="V803" s="901"/>
      <c r="W803" s="2181"/>
      <c r="X803" s="901"/>
      <c r="Y803" s="901"/>
      <c r="Z803" s="901"/>
      <c r="AA803" s="901"/>
      <c r="AB803" s="2181"/>
      <c r="AC803" s="901"/>
      <c r="AD803" s="901"/>
      <c r="AE803" s="901"/>
      <c r="AF803" s="901"/>
      <c r="AG803" s="2181"/>
      <c r="AH803" s="901">
        <f t="shared" ref="AH803:BM803" si="1609">AH800/AH801</f>
        <v>0.83289357959542654</v>
      </c>
      <c r="AI803" s="901">
        <f t="shared" si="1609"/>
        <v>0.82560137457044669</v>
      </c>
      <c r="AJ803" s="901">
        <f t="shared" si="1609"/>
        <v>1.3892617449664431</v>
      </c>
      <c r="AK803" s="901">
        <f t="shared" si="1609"/>
        <v>1.2094488188976378</v>
      </c>
      <c r="AL803" s="2181">
        <f t="shared" si="1609"/>
        <v>1.2094488188976378</v>
      </c>
      <c r="AM803" s="901">
        <f t="shared" si="1609"/>
        <v>1.295144157814871</v>
      </c>
      <c r="AN803" s="901">
        <f t="shared" si="1609"/>
        <v>0.872</v>
      </c>
      <c r="AO803" s="901">
        <f t="shared" si="1609"/>
        <v>1.0667613636363635</v>
      </c>
      <c r="AP803" s="901">
        <f t="shared" si="1609"/>
        <v>1.1530898876404494</v>
      </c>
      <c r="AQ803" s="2181">
        <f t="shared" si="1609"/>
        <v>1.1530898876404494</v>
      </c>
      <c r="AR803" s="901">
        <f t="shared" si="1609"/>
        <v>1.601115760111576</v>
      </c>
      <c r="AS803" s="901">
        <f t="shared" si="1609"/>
        <v>1.412037037037037</v>
      </c>
      <c r="AT803" s="901">
        <f t="shared" si="1609"/>
        <v>1.8039473684210525</v>
      </c>
      <c r="AU803" s="901">
        <f t="shared" si="1609"/>
        <v>1.6664556962025316</v>
      </c>
      <c r="AV803" s="2181">
        <f t="shared" si="1609"/>
        <v>1.6664556962025316</v>
      </c>
      <c r="AW803" s="901">
        <f t="shared" si="1609"/>
        <v>2.0097847358121332</v>
      </c>
      <c r="AX803" s="901">
        <f t="shared" si="1609"/>
        <v>1.979011509817197</v>
      </c>
      <c r="AY803" s="901">
        <f t="shared" si="1609"/>
        <v>2.0130584192439862</v>
      </c>
      <c r="AZ803" s="901">
        <f t="shared" si="1609"/>
        <v>2.2812018489984593</v>
      </c>
      <c r="BA803" s="2181">
        <f t="shared" si="1609"/>
        <v>2.2812018489984593</v>
      </c>
      <c r="BB803" s="901">
        <f t="shared" si="1609"/>
        <v>2.2911908646003263</v>
      </c>
      <c r="BC803" s="901">
        <f t="shared" si="1609"/>
        <v>2.5673892554194158</v>
      </c>
      <c r="BD803" s="901">
        <f t="shared" si="1609"/>
        <v>2.6972281449893392</v>
      </c>
      <c r="BE803" s="901">
        <f t="shared" si="1609"/>
        <v>2.430957683741648</v>
      </c>
      <c r="BF803" s="2181">
        <f t="shared" si="1609"/>
        <v>2.430957683741648</v>
      </c>
      <c r="BG803" s="901">
        <f t="shared" si="1609"/>
        <v>3.62183908045977</v>
      </c>
      <c r="BH803" s="901">
        <f t="shared" si="1609"/>
        <v>3.1619797525309337</v>
      </c>
      <c r="BI803" s="901">
        <f t="shared" si="1609"/>
        <v>2.7718715393133997</v>
      </c>
      <c r="BJ803" s="901">
        <f t="shared" si="1609"/>
        <v>2.6259887005649718</v>
      </c>
      <c r="BK803" s="2181">
        <f t="shared" si="1609"/>
        <v>2.6259887005649718</v>
      </c>
      <c r="BL803" s="901">
        <f t="shared" si="1609"/>
        <v>3.0312849162011175</v>
      </c>
      <c r="BM803" s="901">
        <f t="shared" si="1609"/>
        <v>3.075657894736842</v>
      </c>
      <c r="BN803" s="901">
        <f t="shared" ref="BN803:CE803" si="1610">BN800/BN801</f>
        <v>3.0093945720250521</v>
      </c>
      <c r="BO803" s="901">
        <f t="shared" si="1610"/>
        <v>2.0856854838709675</v>
      </c>
      <c r="BP803" s="2181">
        <f t="shared" si="1610"/>
        <v>2.0856854838709675</v>
      </c>
      <c r="BQ803" s="901">
        <f t="shared" si="1610"/>
        <v>2.1571841851494695</v>
      </c>
      <c r="BR803" s="901">
        <f t="shared" si="1610"/>
        <v>2.2379216043755696</v>
      </c>
      <c r="BS803" s="901">
        <f t="shared" si="1610"/>
        <v>2.0304054054054053</v>
      </c>
      <c r="BT803" s="901">
        <f t="shared" si="1610"/>
        <v>2.2631160572337041</v>
      </c>
      <c r="BU803" s="2181">
        <f t="shared" si="1610"/>
        <v>2.2631160572337041</v>
      </c>
      <c r="BV803" s="901">
        <f t="shared" si="1610"/>
        <v>2.3002274450341167</v>
      </c>
      <c r="BW803" s="901">
        <f t="shared" si="1610"/>
        <v>2.1665454545454543</v>
      </c>
      <c r="BX803" s="901">
        <f t="shared" si="1610"/>
        <v>2.1606886657101865</v>
      </c>
      <c r="BY803" s="901">
        <f t="shared" si="1610"/>
        <v>2.3192452830188679</v>
      </c>
      <c r="BZ803" s="2181">
        <f t="shared" si="1610"/>
        <v>2.3192452830188679</v>
      </c>
      <c r="CA803" s="901">
        <f>CA800/CA801</f>
        <v>2.2909625275532695</v>
      </c>
      <c r="CB803" s="901">
        <f t="shared" si="1610"/>
        <v>2.2992125984251968</v>
      </c>
      <c r="CC803" s="901">
        <f t="shared" si="1610"/>
        <v>2.3121149897330597</v>
      </c>
      <c r="CD803" s="2182">
        <f t="shared" si="1610"/>
        <v>2.4127296587926508</v>
      </c>
      <c r="CE803" s="2181">
        <f t="shared" si="1610"/>
        <v>2.4127296587926508</v>
      </c>
      <c r="CF803" s="901">
        <f>CF800/CF801</f>
        <v>2.4213135068153657</v>
      </c>
      <c r="CG803" s="901">
        <f>CG800/CG801</f>
        <v>2.2711966325917019</v>
      </c>
      <c r="CH803" s="901">
        <f>CH800/CH801</f>
        <v>2.4744268077601412</v>
      </c>
      <c r="CI803" s="2182">
        <f>CI800/CI801</f>
        <v>2.3346915017462164</v>
      </c>
      <c r="CJ803" s="2181">
        <f>CJ800/CJ801</f>
        <v>2.3346915017462164</v>
      </c>
      <c r="CK803" s="901">
        <f t="shared" ref="CK803:CS803" si="1611">CK800/CK801</f>
        <v>2.3239839725243274</v>
      </c>
      <c r="CL803" s="901">
        <f t="shared" si="1611"/>
        <v>2.063340807174888</v>
      </c>
      <c r="CM803" s="901">
        <f t="shared" si="1611"/>
        <v>4.2386425834701695</v>
      </c>
      <c r="CN803" s="2182">
        <f t="shared" si="1611"/>
        <v>3.5050412465627865</v>
      </c>
      <c r="CO803" s="2181">
        <f t="shared" si="1611"/>
        <v>2.5604285236022766</v>
      </c>
      <c r="CP803" s="901">
        <f t="shared" si="1611"/>
        <v>3.1253031527890056</v>
      </c>
      <c r="CQ803" s="901">
        <f t="shared" si="1611"/>
        <v>2.7771855010660982</v>
      </c>
      <c r="CR803" s="901">
        <f t="shared" si="1611"/>
        <v>2.5736360769473352</v>
      </c>
      <c r="CS803" s="901">
        <f t="shared" si="1611"/>
        <v>2.4371703381942291</v>
      </c>
      <c r="CT803" s="2181">
        <f t="shared" ref="CT803:DA803" si="1612">CT800/CT801</f>
        <v>2.4371703381942291</v>
      </c>
      <c r="CU803" s="901">
        <f t="shared" ca="1" si="1612"/>
        <v>2.5061856810889696</v>
      </c>
      <c r="CV803" s="901">
        <f t="shared" ca="1" si="1612"/>
        <v>2.595659724351624</v>
      </c>
      <c r="CW803" s="901">
        <f t="shared" ca="1" si="1612"/>
        <v>2.6304905722678624</v>
      </c>
      <c r="CX803" s="901">
        <f t="shared" ca="1" si="1612"/>
        <v>2.6273189537538815</v>
      </c>
      <c r="CY803" s="2181">
        <f ca="1">CY800/CY801</f>
        <v>2.6273189537538837</v>
      </c>
      <c r="CZ803" s="2181">
        <f t="shared" ca="1" si="1612"/>
        <v>2.512598006300657</v>
      </c>
      <c r="DA803" s="2181">
        <f t="shared" ca="1" si="1612"/>
        <v>2.4949514743786767</v>
      </c>
      <c r="DB803"/>
      <c r="DC803"/>
      <c r="DD803" s="2366" t="s">
        <v>1079</v>
      </c>
      <c r="DE803" s="2367">
        <f t="shared" si="1568"/>
        <v>0</v>
      </c>
      <c r="DF803" s="2367">
        <f t="shared" si="1569"/>
        <v>0</v>
      </c>
      <c r="DG803" s="2367">
        <f t="shared" si="1570"/>
        <v>0</v>
      </c>
      <c r="DH803" s="2367">
        <f t="shared" si="1571"/>
        <v>0</v>
      </c>
      <c r="DI803" s="2367">
        <f t="shared" si="1572"/>
        <v>0</v>
      </c>
      <c r="DJ803" s="2367">
        <f t="shared" si="1573"/>
        <v>1.2094488188976378</v>
      </c>
      <c r="DK803" s="2367">
        <f t="shared" si="1574"/>
        <v>1.1530898876404494</v>
      </c>
      <c r="DL803" s="2367">
        <f t="shared" si="1575"/>
        <v>1.6664556962025316</v>
      </c>
      <c r="DM803" s="2367">
        <f t="shared" si="1576"/>
        <v>2.2812018489984593</v>
      </c>
      <c r="DN803" s="2367">
        <f t="shared" si="1577"/>
        <v>2.430957683741648</v>
      </c>
      <c r="DO803" s="2367">
        <f t="shared" si="1578"/>
        <v>2.6259887005649718</v>
      </c>
      <c r="DP803" s="2367">
        <f t="shared" si="1579"/>
        <v>2.0856854838709675</v>
      </c>
      <c r="DQ803" s="2367">
        <f t="shared" si="1580"/>
        <v>2.2631160572337041</v>
      </c>
      <c r="DR803" s="2367">
        <f t="shared" si="1581"/>
        <v>2.3192452830188679</v>
      </c>
      <c r="DS803" s="2367">
        <f t="shared" si="1582"/>
        <v>2.4127296587926508</v>
      </c>
      <c r="DT803" s="2367">
        <f t="shared" si="1583"/>
        <v>2.3346915017462164</v>
      </c>
      <c r="DU803" s="2367">
        <f t="shared" si="1584"/>
        <v>2.5604285236022766</v>
      </c>
      <c r="DV803" s="2367">
        <f t="shared" si="1585"/>
        <v>2.4371703381942291</v>
      </c>
      <c r="DW803" s="2367">
        <f t="shared" ca="1" si="1586"/>
        <v>2.6273189537538837</v>
      </c>
      <c r="DX803" s="2367">
        <f t="shared" ca="1" si="1587"/>
        <v>2.512598006300657</v>
      </c>
      <c r="DY803" s="2367">
        <f t="shared" ca="1" si="1588"/>
        <v>2.4949514743786767</v>
      </c>
      <c r="EA803"/>
      <c r="EB803"/>
      <c r="EC803"/>
      <c r="ED803"/>
      <c r="EE803"/>
      <c r="EF803"/>
      <c r="EJ803"/>
      <c r="EK803"/>
      <c r="EL803"/>
      <c r="ER803" s="212"/>
    </row>
    <row r="804" spans="1:148" s="1703" customFormat="1" ht="12.75" customHeight="1" x14ac:dyDescent="0.2">
      <c r="A804" s="1987"/>
      <c r="M804" s="1704"/>
      <c r="R804" s="1704"/>
      <c r="W804" s="1704"/>
      <c r="AB804" s="1704"/>
      <c r="AG804" s="1704"/>
      <c r="AL804" s="1704"/>
      <c r="AQ804" s="1704"/>
      <c r="AV804" s="1704"/>
      <c r="BA804" s="1704"/>
      <c r="BF804" s="1704"/>
      <c r="BK804" s="1704"/>
      <c r="BP804" s="1704"/>
      <c r="BU804" s="1704"/>
      <c r="BZ804" s="1704"/>
      <c r="CA804" s="1772"/>
      <c r="CD804" s="1801"/>
      <c r="CE804" s="1704"/>
      <c r="CI804" s="1801"/>
      <c r="CJ804" s="1704"/>
      <c r="CN804" s="1801"/>
      <c r="CO804" s="1704"/>
      <c r="CT804" s="1704"/>
      <c r="CY804" s="1704"/>
      <c r="CZ804" s="1704"/>
      <c r="DA804" s="1704"/>
      <c r="DB804"/>
      <c r="DC804"/>
      <c r="DD804" s="2314"/>
      <c r="DE804" s="2292"/>
      <c r="DF804" s="2292"/>
      <c r="DG804" s="2292"/>
      <c r="DH804" s="2292"/>
      <c r="DI804" s="2292"/>
      <c r="DJ804" s="2292"/>
      <c r="DK804" s="2292"/>
      <c r="DL804" s="2292"/>
      <c r="DM804" s="2292"/>
      <c r="DN804" s="2292"/>
      <c r="DO804" s="2292"/>
      <c r="DP804" s="2292"/>
      <c r="DQ804" s="2292"/>
      <c r="DR804" s="2292"/>
      <c r="DS804" s="2292"/>
      <c r="DT804" s="2292"/>
      <c r="DU804" s="2292"/>
      <c r="DV804" s="2292"/>
      <c r="DW804" s="2292"/>
      <c r="DX804" s="2292"/>
      <c r="DY804" s="2292"/>
      <c r="EA804"/>
      <c r="EB804"/>
      <c r="EC804"/>
      <c r="ED804"/>
      <c r="EE804"/>
      <c r="EF804"/>
      <c r="EJ804"/>
      <c r="EK804"/>
      <c r="EL804"/>
      <c r="ER804" s="212"/>
    </row>
    <row r="805" spans="1:148" s="1703" customFormat="1" ht="12.75" customHeight="1" x14ac:dyDescent="0.2">
      <c r="A805" s="2183" t="s">
        <v>1599</v>
      </c>
      <c r="M805" s="1704"/>
      <c r="R805" s="1704"/>
      <c r="W805" s="1704"/>
      <c r="AB805" s="1704"/>
      <c r="AG805" s="1704"/>
      <c r="AL805" s="1704"/>
      <c r="AQ805" s="1704"/>
      <c r="AV805" s="1704"/>
      <c r="BA805" s="1704"/>
      <c r="BF805" s="1704"/>
      <c r="BK805" s="1704"/>
      <c r="BP805" s="1704"/>
      <c r="BU805" s="1704"/>
      <c r="BZ805" s="1704"/>
      <c r="CA805" s="1772"/>
      <c r="CD805" s="1801"/>
      <c r="CE805" s="1704"/>
      <c r="CI805" s="1801"/>
      <c r="CJ805" s="1704"/>
      <c r="CN805" s="1801"/>
      <c r="CO805" s="1704"/>
      <c r="CT805" s="1704"/>
      <c r="CY805" s="1704"/>
      <c r="CZ805" s="1704"/>
      <c r="DA805" s="1704"/>
      <c r="DB805"/>
      <c r="DC805"/>
      <c r="DD805" s="2183" t="s">
        <v>1599</v>
      </c>
      <c r="DE805" s="2292"/>
      <c r="DF805" s="2292"/>
      <c r="DG805" s="2292"/>
      <c r="DH805" s="2292"/>
      <c r="DI805" s="2292"/>
      <c r="DJ805" s="2292"/>
      <c r="DK805" s="2292"/>
      <c r="DL805" s="2292"/>
      <c r="DM805" s="2292"/>
      <c r="DN805" s="2292"/>
      <c r="DO805" s="2292"/>
      <c r="DP805" s="2292"/>
      <c r="DQ805" s="2292"/>
      <c r="DR805" s="2292"/>
      <c r="DS805" s="2292"/>
      <c r="DT805" s="2292"/>
      <c r="DU805" s="2292"/>
      <c r="DV805" s="2292"/>
      <c r="DW805" s="2292"/>
      <c r="DX805" s="2292"/>
      <c r="DY805" s="2292"/>
      <c r="EA805"/>
      <c r="EB805"/>
      <c r="EC805"/>
      <c r="ED805"/>
      <c r="EE805"/>
      <c r="EF805"/>
      <c r="EJ805"/>
      <c r="EK805"/>
      <c r="EL805"/>
      <c r="ER805" s="212"/>
    </row>
    <row r="806" spans="1:148" s="1703" customFormat="1" ht="12.75" customHeight="1" x14ac:dyDescent="0.2">
      <c r="A806" s="2314" t="s">
        <v>2706</v>
      </c>
      <c r="M806" s="1704"/>
      <c r="R806" s="1704"/>
      <c r="W806" s="1704"/>
      <c r="AB806" s="1704"/>
      <c r="AG806" s="1704"/>
      <c r="AL806" s="1704"/>
      <c r="AQ806" s="1704"/>
      <c r="AV806" s="1704"/>
      <c r="BA806" s="1704"/>
      <c r="BF806" s="1704"/>
      <c r="BK806" s="1704"/>
      <c r="BP806" s="1704">
        <f>+BP798</f>
        <v>2171</v>
      </c>
      <c r="BU806" s="1704">
        <f>+BU798</f>
        <v>2935</v>
      </c>
      <c r="BZ806" s="1704">
        <f>+BZ798</f>
        <v>3199</v>
      </c>
      <c r="CA806" s="1772"/>
      <c r="CD806" s="1801"/>
      <c r="CE806" s="1704">
        <f>+CE798</f>
        <v>3781</v>
      </c>
      <c r="CI806" s="1801"/>
      <c r="CJ806" s="1704">
        <f>+CJ798</f>
        <v>4107</v>
      </c>
      <c r="CN806" s="1801"/>
      <c r="CO806" s="1704">
        <f>+CO798</f>
        <v>8506</v>
      </c>
      <c r="CT806" s="1704">
        <f>+CT798</f>
        <v>8238</v>
      </c>
      <c r="CY806" s="1704">
        <f>+CY798</f>
        <v>9038</v>
      </c>
      <c r="CZ806" s="1704">
        <f>+CZ798</f>
        <v>9688</v>
      </c>
      <c r="DA806" s="1704">
        <f>+DA798</f>
        <v>9688</v>
      </c>
      <c r="DB806"/>
      <c r="DC806"/>
      <c r="DD806" s="2314" t="s">
        <v>540</v>
      </c>
      <c r="DE806" s="2292">
        <f>M806</f>
        <v>0</v>
      </c>
      <c r="DF806" s="2292">
        <f>R806</f>
        <v>0</v>
      </c>
      <c r="DG806" s="2292">
        <f>W806</f>
        <v>0</v>
      </c>
      <c r="DH806" s="2292">
        <f>AB806</f>
        <v>0</v>
      </c>
      <c r="DI806" s="2292">
        <f>AG806</f>
        <v>0</v>
      </c>
      <c r="DJ806" s="2292">
        <f>AL806</f>
        <v>0</v>
      </c>
      <c r="DK806" s="2292">
        <f>AQ806</f>
        <v>0</v>
      </c>
      <c r="DL806" s="2292">
        <f>AV806</f>
        <v>0</v>
      </c>
      <c r="DM806" s="2292">
        <f>BA806</f>
        <v>0</v>
      </c>
      <c r="DN806" s="2292">
        <f>BF806</f>
        <v>0</v>
      </c>
      <c r="DO806" s="2292">
        <f>BK806</f>
        <v>0</v>
      </c>
      <c r="DP806" s="2292">
        <f>BP806</f>
        <v>2171</v>
      </c>
      <c r="DQ806" s="2292">
        <f>BU806</f>
        <v>2935</v>
      </c>
      <c r="DR806" s="2292">
        <f>BZ806</f>
        <v>3199</v>
      </c>
      <c r="DS806" s="2292">
        <f>CE806</f>
        <v>3781</v>
      </c>
      <c r="DT806" s="2292">
        <f>CJ806</f>
        <v>4107</v>
      </c>
      <c r="DU806" s="2292">
        <f>CO806</f>
        <v>8506</v>
      </c>
      <c r="DV806" s="2292">
        <f>CT806</f>
        <v>8238</v>
      </c>
      <c r="DW806" s="2292">
        <f t="shared" ref="DW806:DY811" si="1613">CY806</f>
        <v>9038</v>
      </c>
      <c r="DX806" s="2292">
        <f t="shared" si="1613"/>
        <v>9688</v>
      </c>
      <c r="DY806" s="2292">
        <f t="shared" si="1613"/>
        <v>9688</v>
      </c>
      <c r="EA806"/>
      <c r="EB806"/>
      <c r="EC806"/>
      <c r="ED806"/>
      <c r="EE806"/>
      <c r="EF806"/>
      <c r="EJ806"/>
      <c r="EK806"/>
      <c r="EL806"/>
      <c r="ER806" s="212"/>
    </row>
    <row r="807" spans="1:148" s="275" customFormat="1" ht="12.75" customHeight="1" x14ac:dyDescent="0.2">
      <c r="A807" s="2361" t="s">
        <v>2565</v>
      </c>
      <c r="M807" s="2621"/>
      <c r="R807" s="2621"/>
      <c r="W807" s="2621"/>
      <c r="AB807" s="2621"/>
      <c r="AG807" s="2621"/>
      <c r="AL807" s="2621"/>
      <c r="AQ807" s="2621"/>
      <c r="AV807" s="2621"/>
      <c r="BA807" s="2621"/>
      <c r="BF807" s="2621"/>
      <c r="BK807" s="2621"/>
      <c r="BP807" s="2621">
        <f>118*8</f>
        <v>944</v>
      </c>
      <c r="BU807" s="2621">
        <v>928</v>
      </c>
      <c r="BZ807" s="3265">
        <f>+'New Exhibits'!BD98</f>
        <v>861.87421833598682</v>
      </c>
      <c r="CA807" s="3266"/>
      <c r="CD807" s="630"/>
      <c r="CE807" s="3265">
        <f>+'New Exhibits'!BD115</f>
        <v>753.974594255326</v>
      </c>
      <c r="CI807" s="630"/>
      <c r="CJ807" s="3265">
        <f>+'New Exhibits'!BD123</f>
        <v>681.58507034084869</v>
      </c>
      <c r="CN807" s="630"/>
      <c r="CO807" s="2621"/>
      <c r="CT807" s="2621"/>
      <c r="CY807" s="2621"/>
      <c r="CZ807" s="2621"/>
      <c r="DA807" s="2621"/>
      <c r="DB807" s="537"/>
      <c r="DC807" s="537"/>
      <c r="DD807" s="2361" t="s">
        <v>1600</v>
      </c>
      <c r="DE807" s="2345">
        <f>M807</f>
        <v>0</v>
      </c>
      <c r="DF807" s="2345">
        <f>R807</f>
        <v>0</v>
      </c>
      <c r="DG807" s="2345">
        <f>W807</f>
        <v>0</v>
      </c>
      <c r="DH807" s="2345">
        <f>AB807</f>
        <v>0</v>
      </c>
      <c r="DI807" s="2345">
        <f>AG807</f>
        <v>0</v>
      </c>
      <c r="DJ807" s="2345">
        <f>AL807</f>
        <v>0</v>
      </c>
      <c r="DK807" s="2345">
        <f>AQ807</f>
        <v>0</v>
      </c>
      <c r="DL807" s="2345">
        <f>AV807</f>
        <v>0</v>
      </c>
      <c r="DM807" s="2345">
        <f>BA807</f>
        <v>0</v>
      </c>
      <c r="DN807" s="2345">
        <f>BF807</f>
        <v>0</v>
      </c>
      <c r="DO807" s="2345">
        <f>BK807</f>
        <v>0</v>
      </c>
      <c r="DP807" s="2345">
        <f>BP807</f>
        <v>944</v>
      </c>
      <c r="DQ807" s="2345">
        <f>BU807</f>
        <v>928</v>
      </c>
      <c r="DR807" s="2345">
        <f>BZ807</f>
        <v>861.87421833598682</v>
      </c>
      <c r="DS807" s="2345">
        <f>CE807</f>
        <v>753.974594255326</v>
      </c>
      <c r="DT807" s="2345">
        <f>CJ807</f>
        <v>681.58507034084869</v>
      </c>
      <c r="DU807" s="2345">
        <f>CO807</f>
        <v>0</v>
      </c>
      <c r="DV807" s="2345">
        <f>CT807</f>
        <v>0</v>
      </c>
      <c r="DW807" s="2345">
        <f t="shared" si="1613"/>
        <v>0</v>
      </c>
      <c r="DX807" s="2345">
        <f t="shared" si="1613"/>
        <v>0</v>
      </c>
      <c r="DY807" s="2345">
        <f t="shared" si="1613"/>
        <v>0</v>
      </c>
      <c r="EA807"/>
      <c r="EB807"/>
      <c r="EC807"/>
      <c r="ED807"/>
      <c r="EE807"/>
      <c r="EF807"/>
      <c r="EJ807"/>
      <c r="EK807"/>
      <c r="EL807"/>
      <c r="ER807" s="234"/>
    </row>
    <row r="808" spans="1:148" s="275" customFormat="1" ht="12.75" customHeight="1" x14ac:dyDescent="0.2">
      <c r="A808" s="2361" t="s">
        <v>2566</v>
      </c>
      <c r="M808" s="2621"/>
      <c r="R808" s="2621"/>
      <c r="W808" s="2621"/>
      <c r="AB808" s="2621"/>
      <c r="AG808" s="2621"/>
      <c r="AL808" s="2621"/>
      <c r="AQ808" s="2621"/>
      <c r="AV808" s="2621"/>
      <c r="BA808" s="2621"/>
      <c r="BF808" s="2621"/>
      <c r="BK808" s="2621"/>
      <c r="BP808" s="2621"/>
      <c r="BU808" s="2621"/>
      <c r="BZ808" s="3265"/>
      <c r="CA808" s="3266"/>
      <c r="CD808" s="630"/>
      <c r="CE808" s="3265"/>
      <c r="CI808" s="630"/>
      <c r="CJ808" s="3265">
        <f>+'New Exhibits'!BD131</f>
        <v>704.30320615254402</v>
      </c>
      <c r="CN808" s="630"/>
      <c r="CO808" s="2621"/>
      <c r="CT808" s="2621"/>
      <c r="CY808" s="2621"/>
      <c r="CZ808" s="2621"/>
      <c r="DA808" s="2621"/>
      <c r="DB808" s="537"/>
      <c r="DC808" s="537"/>
      <c r="DD808" s="2361"/>
      <c r="DE808" s="2345"/>
      <c r="DF808" s="2345"/>
      <c r="DG808" s="2345"/>
      <c r="DH808" s="2345"/>
      <c r="DI808" s="2345"/>
      <c r="DJ808" s="2345"/>
      <c r="DK808" s="2345"/>
      <c r="DL808" s="2345"/>
      <c r="DM808" s="2345"/>
      <c r="DN808" s="2345"/>
      <c r="DO808" s="2345"/>
      <c r="DP808" s="2345"/>
      <c r="DQ808" s="2345"/>
      <c r="DR808" s="2345"/>
      <c r="DS808" s="2345"/>
      <c r="DT808" s="2345"/>
      <c r="DU808" s="2345"/>
      <c r="DV808" s="2345"/>
      <c r="DW808" s="2345"/>
      <c r="DX808" s="2345"/>
      <c r="DY808" s="2345"/>
      <c r="EA808"/>
      <c r="EB808"/>
      <c r="EC808"/>
      <c r="ED808"/>
      <c r="EE808"/>
      <c r="EF808"/>
      <c r="EJ808"/>
      <c r="EK808"/>
      <c r="EL808"/>
      <c r="ER808" s="234"/>
    </row>
    <row r="809" spans="1:148" s="275" customFormat="1" ht="12.75" customHeight="1" x14ac:dyDescent="0.2">
      <c r="A809" s="2361" t="s">
        <v>1600</v>
      </c>
      <c r="M809" s="2621"/>
      <c r="R809" s="2621"/>
      <c r="W809" s="2621"/>
      <c r="AB809" s="2621"/>
      <c r="AG809" s="2621"/>
      <c r="AL809" s="2621"/>
      <c r="AQ809" s="2621"/>
      <c r="AV809" s="2621"/>
      <c r="BA809" s="2621"/>
      <c r="BF809" s="2621"/>
      <c r="BK809" s="2621"/>
      <c r="BP809" s="2621"/>
      <c r="BU809" s="2621"/>
      <c r="BZ809" s="3265"/>
      <c r="CA809" s="3266"/>
      <c r="CD809" s="630"/>
      <c r="CE809" s="3265"/>
      <c r="CI809" s="630"/>
      <c r="CJ809" s="3265"/>
      <c r="CN809" s="630"/>
      <c r="CO809" s="3438">
        <v>1234</v>
      </c>
      <c r="CT809" s="2621">
        <f>+CO809</f>
        <v>1234</v>
      </c>
      <c r="CY809" s="2621">
        <f>+CT809</f>
        <v>1234</v>
      </c>
      <c r="CZ809" s="2621">
        <f>+CY809</f>
        <v>1234</v>
      </c>
      <c r="DA809" s="2621">
        <f>+CZ809</f>
        <v>1234</v>
      </c>
      <c r="DB809" s="537"/>
      <c r="DC809" s="537"/>
      <c r="DD809" s="2361"/>
      <c r="DE809" s="2345"/>
      <c r="DF809" s="2345"/>
      <c r="DG809" s="2345"/>
      <c r="DH809" s="2345"/>
      <c r="DI809" s="2345"/>
      <c r="DJ809" s="2345"/>
      <c r="DK809" s="2345"/>
      <c r="DL809" s="2345"/>
      <c r="DM809" s="2345"/>
      <c r="DN809" s="2345"/>
      <c r="DO809" s="2345"/>
      <c r="DP809" s="2345"/>
      <c r="DQ809" s="2345"/>
      <c r="DR809" s="2345"/>
      <c r="DS809" s="2345"/>
      <c r="DT809" s="2345"/>
      <c r="DU809" s="2345"/>
      <c r="DV809" s="2345"/>
      <c r="DW809" s="2345"/>
      <c r="DX809" s="2345"/>
      <c r="DY809" s="2345"/>
      <c r="EA809"/>
      <c r="EB809"/>
      <c r="EC809"/>
      <c r="ED809"/>
      <c r="EE809"/>
      <c r="EF809"/>
      <c r="EJ809"/>
      <c r="EK809"/>
      <c r="EL809"/>
      <c r="ER809" s="234"/>
    </row>
    <row r="810" spans="1:148" s="275" customFormat="1" ht="12.75" customHeight="1" x14ac:dyDescent="0.2">
      <c r="A810" s="1999" t="s">
        <v>1603</v>
      </c>
      <c r="M810" s="2621"/>
      <c r="R810" s="2621"/>
      <c r="W810" s="2621"/>
      <c r="AB810" s="2621"/>
      <c r="AG810" s="2621"/>
      <c r="AL810" s="2621"/>
      <c r="AQ810" s="2621"/>
      <c r="AV810" s="2621"/>
      <c r="BA810" s="2621"/>
      <c r="BF810" s="2621"/>
      <c r="BK810" s="2621"/>
      <c r="BP810" s="2621">
        <v>68</v>
      </c>
      <c r="BU810" s="2621">
        <v>52</v>
      </c>
      <c r="BZ810" s="2621">
        <f>+BU810</f>
        <v>52</v>
      </c>
      <c r="CA810" s="3266"/>
      <c r="CD810" s="630"/>
      <c r="CE810" s="2621">
        <f>+BZ810</f>
        <v>52</v>
      </c>
      <c r="CI810" s="630"/>
      <c r="CJ810" s="2621">
        <f>+CE810</f>
        <v>52</v>
      </c>
      <c r="CN810" s="630"/>
      <c r="CO810" s="3438">
        <v>61</v>
      </c>
      <c r="CT810" s="2621">
        <f>+CO810</f>
        <v>61</v>
      </c>
      <c r="CY810" s="2621">
        <f>+CT810</f>
        <v>61</v>
      </c>
      <c r="CZ810" s="2621">
        <f>+CY810</f>
        <v>61</v>
      </c>
      <c r="DA810" s="2621">
        <f>+CZ810</f>
        <v>61</v>
      </c>
      <c r="DB810" s="537"/>
      <c r="DC810" s="537"/>
      <c r="DD810" s="2361" t="s">
        <v>1603</v>
      </c>
      <c r="DE810" s="2345">
        <f>M810</f>
        <v>0</v>
      </c>
      <c r="DF810" s="2345">
        <f>R810</f>
        <v>0</v>
      </c>
      <c r="DG810" s="2345">
        <f>W810</f>
        <v>0</v>
      </c>
      <c r="DH810" s="2345">
        <f>AB810</f>
        <v>0</v>
      </c>
      <c r="DI810" s="2345">
        <f>AG810</f>
        <v>0</v>
      </c>
      <c r="DJ810" s="2345">
        <f>AL810</f>
        <v>0</v>
      </c>
      <c r="DK810" s="2345">
        <f>AQ810</f>
        <v>0</v>
      </c>
      <c r="DL810" s="2345">
        <f>AV810</f>
        <v>0</v>
      </c>
      <c r="DM810" s="2345">
        <f>BA810</f>
        <v>0</v>
      </c>
      <c r="DN810" s="2345">
        <f>BF810</f>
        <v>0</v>
      </c>
      <c r="DO810" s="2345">
        <f>BK810</f>
        <v>0</v>
      </c>
      <c r="DP810" s="2345">
        <f>BP810</f>
        <v>68</v>
      </c>
      <c r="DQ810" s="2345">
        <f>BU810</f>
        <v>52</v>
      </c>
      <c r="DR810" s="2345">
        <f>BZ810</f>
        <v>52</v>
      </c>
      <c r="DS810" s="2345">
        <f>CE810</f>
        <v>52</v>
      </c>
      <c r="DT810" s="2345">
        <f>CJ810</f>
        <v>52</v>
      </c>
      <c r="DU810" s="2345">
        <f>CO810</f>
        <v>61</v>
      </c>
      <c r="DV810" s="2345">
        <f>CT810</f>
        <v>61</v>
      </c>
      <c r="DW810" s="2345">
        <f t="shared" si="1613"/>
        <v>61</v>
      </c>
      <c r="DX810" s="2345">
        <f t="shared" si="1613"/>
        <v>61</v>
      </c>
      <c r="DY810" s="2345">
        <f t="shared" si="1613"/>
        <v>61</v>
      </c>
      <c r="EA810"/>
      <c r="EB810"/>
      <c r="EC810"/>
      <c r="ED810"/>
      <c r="EE810"/>
      <c r="EF810"/>
      <c r="EJ810"/>
      <c r="EK810"/>
      <c r="EL810"/>
      <c r="ER810" s="234"/>
    </row>
    <row r="811" spans="1:148" s="213" customFormat="1" ht="12.75" customHeight="1" x14ac:dyDescent="0.2">
      <c r="A811" s="2368" t="s">
        <v>2707</v>
      </c>
      <c r="M811" s="2185"/>
      <c r="R811" s="2185"/>
      <c r="W811" s="2185"/>
      <c r="AB811" s="2185"/>
      <c r="AG811" s="2185"/>
      <c r="AL811" s="2185"/>
      <c r="AQ811" s="2185"/>
      <c r="AV811" s="2185"/>
      <c r="BA811" s="2185"/>
      <c r="BF811" s="2185"/>
      <c r="BK811" s="2185"/>
      <c r="BP811" s="2185">
        <f>+IF(BP799&gt;100,-(BP799-100),0)</f>
        <v>-2</v>
      </c>
      <c r="BU811" s="2185">
        <f>+IF(BU799&gt;100,-(BU799-100),0)</f>
        <v>0</v>
      </c>
      <c r="BZ811" s="2185">
        <f>+IF(BZ799&gt;100,-(BZ799-100),0)</f>
        <v>-26</v>
      </c>
      <c r="CA811" s="18"/>
      <c r="CD811" s="28"/>
      <c r="CE811" s="2185">
        <f>+IF(CE799&gt;100,-(CE799-100),0)</f>
        <v>-4</v>
      </c>
      <c r="CI811" s="28"/>
      <c r="CJ811" s="2185">
        <f>+IF(CJ799&gt;100,-(CJ799-100),0)</f>
        <v>0</v>
      </c>
      <c r="CN811" s="28"/>
      <c r="CO811" s="235">
        <f>+IF(CO799&gt;265,-(CO799-265),0)</f>
        <v>-593</v>
      </c>
      <c r="CT811" s="235">
        <f>+IF(CT799&gt;265,-(CT799-265),0)</f>
        <v>-118</v>
      </c>
      <c r="CY811" s="235">
        <f ca="1">+IF(CY799&gt;265,-(CY799-265),0)</f>
        <v>0</v>
      </c>
      <c r="CZ811" s="235">
        <f ca="1">+IF(CZ799&gt;265,-(CZ799-265),0)</f>
        <v>0</v>
      </c>
      <c r="DA811" s="235">
        <f ca="1">+IF(DA799&gt;265,-(DA799-265),0)</f>
        <v>0</v>
      </c>
      <c r="DB811"/>
      <c r="DC811"/>
      <c r="DD811" s="2368" t="s">
        <v>1604</v>
      </c>
      <c r="DE811" s="2369">
        <f>M811</f>
        <v>0</v>
      </c>
      <c r="DF811" s="2369">
        <f>R811</f>
        <v>0</v>
      </c>
      <c r="DG811" s="2369">
        <f>W811</f>
        <v>0</v>
      </c>
      <c r="DH811" s="2369">
        <f>AB811</f>
        <v>0</v>
      </c>
      <c r="DI811" s="2369">
        <f>AG811</f>
        <v>0</v>
      </c>
      <c r="DJ811" s="2369">
        <f>AL811</f>
        <v>0</v>
      </c>
      <c r="DK811" s="2369">
        <f>AQ811</f>
        <v>0</v>
      </c>
      <c r="DL811" s="2369">
        <f>AV811</f>
        <v>0</v>
      </c>
      <c r="DM811" s="2369">
        <f>BA811</f>
        <v>0</v>
      </c>
      <c r="DN811" s="2369">
        <f>BF811</f>
        <v>0</v>
      </c>
      <c r="DO811" s="2369">
        <f>BK811</f>
        <v>0</v>
      </c>
      <c r="DP811" s="2369">
        <f>BP811</f>
        <v>-2</v>
      </c>
      <c r="DQ811" s="2369">
        <f>BU811</f>
        <v>0</v>
      </c>
      <c r="DR811" s="2369">
        <f>BZ811</f>
        <v>-26</v>
      </c>
      <c r="DS811" s="2369">
        <f>CE811</f>
        <v>-4</v>
      </c>
      <c r="DT811" s="2369">
        <f>CJ811</f>
        <v>0</v>
      </c>
      <c r="DU811" s="2369">
        <f>CO811</f>
        <v>-593</v>
      </c>
      <c r="DV811" s="2369">
        <f>CT811</f>
        <v>-118</v>
      </c>
      <c r="DW811" s="2369">
        <f t="shared" ca="1" si="1613"/>
        <v>0</v>
      </c>
      <c r="DX811" s="2369">
        <f t="shared" ca="1" si="1613"/>
        <v>0</v>
      </c>
      <c r="DY811" s="2369">
        <f t="shared" ca="1" si="1613"/>
        <v>0</v>
      </c>
      <c r="EA811"/>
      <c r="EB811"/>
      <c r="EC811"/>
      <c r="ED811"/>
      <c r="EE811"/>
      <c r="EF811"/>
      <c r="EJ811"/>
      <c r="EK811"/>
      <c r="EL811"/>
      <c r="ER811" s="212"/>
    </row>
    <row r="812" spans="1:148" s="213" customFormat="1" ht="12.75" customHeight="1" x14ac:dyDescent="0.2">
      <c r="A812" s="2368" t="s">
        <v>2708</v>
      </c>
      <c r="M812" s="2185"/>
      <c r="R812" s="2185"/>
      <c r="W812" s="2185"/>
      <c r="AB812" s="2185"/>
      <c r="AG812" s="2185"/>
      <c r="AL812" s="2185"/>
      <c r="AQ812" s="2185"/>
      <c r="AV812" s="2185"/>
      <c r="BA812" s="2185"/>
      <c r="BF812" s="2185"/>
      <c r="BK812" s="2185"/>
      <c r="BP812" s="2185"/>
      <c r="BU812" s="2185"/>
      <c r="BZ812" s="2185"/>
      <c r="CA812" s="18"/>
      <c r="CD812" s="28"/>
      <c r="CE812" s="2185"/>
      <c r="CI812" s="28"/>
      <c r="CJ812" s="2185"/>
      <c r="CN812" s="28"/>
      <c r="CO812" s="3438">
        <v>-96</v>
      </c>
      <c r="CT812" s="235"/>
      <c r="CY812" s="235"/>
      <c r="CZ812" s="235"/>
      <c r="DA812" s="235"/>
      <c r="DB812"/>
      <c r="DC812"/>
      <c r="DD812" s="2368"/>
      <c r="DE812" s="2369"/>
      <c r="DF812" s="2369"/>
      <c r="DG812" s="2369"/>
      <c r="DH812" s="2369"/>
      <c r="DI812" s="2369"/>
      <c r="DJ812" s="2369"/>
      <c r="DK812" s="2369"/>
      <c r="DL812" s="2369"/>
      <c r="DM812" s="2369"/>
      <c r="DN812" s="2369"/>
      <c r="DO812" s="2369"/>
      <c r="DP812" s="2369"/>
      <c r="DQ812" s="2369"/>
      <c r="DR812" s="2369"/>
      <c r="DS812" s="2369"/>
      <c r="DT812" s="2369"/>
      <c r="DU812" s="2369"/>
      <c r="DV812" s="2369"/>
      <c r="DW812" s="2369"/>
      <c r="DX812" s="2369"/>
      <c r="DY812" s="2369"/>
      <c r="EA812"/>
      <c r="EB812"/>
      <c r="EC812"/>
      <c r="ED812"/>
      <c r="EE812"/>
      <c r="EF812"/>
      <c r="EJ812"/>
      <c r="EK812"/>
      <c r="EL812"/>
      <c r="ER812" s="212"/>
    </row>
    <row r="813" spans="1:148" s="213" customFormat="1" ht="3.95" customHeight="1" x14ac:dyDescent="0.2">
      <c r="A813" s="27"/>
      <c r="M813" s="2185"/>
      <c r="R813" s="2185"/>
      <c r="W813" s="2185"/>
      <c r="AB813" s="2185"/>
      <c r="AG813" s="2185"/>
      <c r="AL813" s="2185"/>
      <c r="AQ813" s="2185"/>
      <c r="AV813" s="2185"/>
      <c r="BA813" s="2185"/>
      <c r="BF813" s="2185"/>
      <c r="BK813" s="2185"/>
      <c r="BP813" s="2185"/>
      <c r="BU813" s="2185"/>
      <c r="BZ813" s="2185"/>
      <c r="CA813" s="18"/>
      <c r="CD813" s="28"/>
      <c r="CE813" s="2185"/>
      <c r="CI813" s="28"/>
      <c r="CJ813" s="2185"/>
      <c r="CN813" s="28"/>
      <c r="CO813" s="2185"/>
      <c r="CT813" s="2185"/>
      <c r="CY813" s="2185"/>
      <c r="CZ813" s="2185"/>
      <c r="DA813" s="2185"/>
      <c r="DB813"/>
      <c r="DC813"/>
      <c r="DD813" s="2368"/>
      <c r="DE813" s="2369"/>
      <c r="DF813" s="2369"/>
      <c r="DG813" s="2369"/>
      <c r="DH813" s="2369"/>
      <c r="DI813" s="2369"/>
      <c r="DJ813" s="2369"/>
      <c r="DK813" s="2369"/>
      <c r="DL813" s="2369"/>
      <c r="DM813" s="2369"/>
      <c r="DN813" s="2369"/>
      <c r="DO813" s="2369"/>
      <c r="DP813" s="2369"/>
      <c r="DQ813" s="2369"/>
      <c r="DR813" s="2369"/>
      <c r="DS813" s="2369"/>
      <c r="DT813" s="2369"/>
      <c r="DU813" s="2369"/>
      <c r="DV813" s="2369"/>
      <c r="DW813" s="2369"/>
      <c r="DX813" s="2369"/>
      <c r="DY813" s="2369"/>
      <c r="EA813"/>
      <c r="EB813"/>
      <c r="EC813"/>
      <c r="ED813"/>
      <c r="EE813"/>
      <c r="EF813"/>
      <c r="EJ813"/>
      <c r="EK813"/>
      <c r="EL813"/>
      <c r="ER813" s="212"/>
    </row>
    <row r="814" spans="1:148" s="1703" customFormat="1" ht="12.75" customHeight="1" x14ac:dyDescent="0.2">
      <c r="A814" s="1987" t="s">
        <v>1605</v>
      </c>
      <c r="M814" s="1704"/>
      <c r="R814" s="1704"/>
      <c r="W814" s="1704"/>
      <c r="AB814" s="1704"/>
      <c r="AG814" s="1704"/>
      <c r="AL814" s="1704"/>
      <c r="AQ814" s="1704"/>
      <c r="AV814" s="1704"/>
      <c r="BA814" s="1704"/>
      <c r="BF814" s="1704"/>
      <c r="BK814" s="1704"/>
      <c r="BP814" s="1704">
        <f>SUM(BP806:BP813)</f>
        <v>3181</v>
      </c>
      <c r="BU814" s="1704">
        <f>SUM(BU806:BU813)</f>
        <v>3915</v>
      </c>
      <c r="BZ814" s="1704">
        <f>SUM(BZ806:BZ813)</f>
        <v>4086.8742183359864</v>
      </c>
      <c r="CA814" s="1772"/>
      <c r="CD814" s="1801"/>
      <c r="CE814" s="1704">
        <f>SUM(CE806:CE813)</f>
        <v>4582.9745942553263</v>
      </c>
      <c r="CI814" s="1801"/>
      <c r="CJ814" s="1704">
        <f>SUM(CJ806:CJ813)</f>
        <v>5544.8882764933924</v>
      </c>
      <c r="CN814" s="1801"/>
      <c r="CO814" s="1704">
        <f>SUM(CO806:CO813)</f>
        <v>9112</v>
      </c>
      <c r="CT814" s="1704">
        <f>SUM(CT806:CT813)</f>
        <v>9415</v>
      </c>
      <c r="CY814" s="1704">
        <f ca="1">SUM(CY806:CY813)</f>
        <v>10333</v>
      </c>
      <c r="CZ814" s="1704">
        <f ca="1">SUM(CZ806:CZ813)</f>
        <v>10983</v>
      </c>
      <c r="DA814" s="1704">
        <f ca="1">SUM(DA806:DA813)</f>
        <v>10983</v>
      </c>
      <c r="DB814"/>
      <c r="DC814"/>
      <c r="DD814" s="2314" t="s">
        <v>1605</v>
      </c>
      <c r="DE814" s="2292">
        <f>M814</f>
        <v>0</v>
      </c>
      <c r="DF814" s="2292">
        <f>R814</f>
        <v>0</v>
      </c>
      <c r="DG814" s="2292">
        <f>W814</f>
        <v>0</v>
      </c>
      <c r="DH814" s="2292">
        <f>AB814</f>
        <v>0</v>
      </c>
      <c r="DI814" s="2292">
        <f>AG814</f>
        <v>0</v>
      </c>
      <c r="DJ814" s="2292">
        <f>AL814</f>
        <v>0</v>
      </c>
      <c r="DK814" s="2292">
        <f>AQ814</f>
        <v>0</v>
      </c>
      <c r="DL814" s="2292">
        <f>AV814</f>
        <v>0</v>
      </c>
      <c r="DM814" s="2292">
        <f>BA814</f>
        <v>0</v>
      </c>
      <c r="DN814" s="2292">
        <f>BF814</f>
        <v>0</v>
      </c>
      <c r="DO814" s="2292">
        <f>BK814</f>
        <v>0</v>
      </c>
      <c r="DP814" s="2292">
        <f>BP814</f>
        <v>3181</v>
      </c>
      <c r="DQ814" s="2292">
        <f>BU814</f>
        <v>3915</v>
      </c>
      <c r="DR814" s="2292">
        <f>BZ814</f>
        <v>4086.8742183359864</v>
      </c>
      <c r="DS814" s="2292">
        <f>CE814</f>
        <v>4582.9745942553263</v>
      </c>
      <c r="DT814" s="2292">
        <f>CJ814</f>
        <v>5544.8882764933924</v>
      </c>
      <c r="DU814" s="2292">
        <f>CO814</f>
        <v>9112</v>
      </c>
      <c r="DV814" s="2292">
        <f>CT814</f>
        <v>9415</v>
      </c>
      <c r="DW814" s="2292">
        <f ca="1">CY814</f>
        <v>10333</v>
      </c>
      <c r="DX814" s="2292">
        <f ca="1">CZ814</f>
        <v>10983</v>
      </c>
      <c r="DY814" s="2292">
        <f ca="1">DA814</f>
        <v>10983</v>
      </c>
      <c r="EA814"/>
      <c r="EB814"/>
      <c r="EC814"/>
      <c r="ED814"/>
      <c r="EE814"/>
      <c r="EF814"/>
      <c r="EJ814"/>
      <c r="EK814"/>
      <c r="EL814"/>
      <c r="ER814" s="212"/>
    </row>
    <row r="815" spans="1:148" s="1703" customFormat="1" ht="12.75" customHeight="1" x14ac:dyDescent="0.2">
      <c r="A815" s="1987"/>
      <c r="M815" s="1704"/>
      <c r="R815" s="1704"/>
      <c r="W815" s="1704"/>
      <c r="AB815" s="1704"/>
      <c r="AG815" s="1704"/>
      <c r="AL815" s="1704"/>
      <c r="AQ815" s="1704"/>
      <c r="AV815" s="1704"/>
      <c r="BA815" s="1704"/>
      <c r="BF815" s="1704"/>
      <c r="BK815" s="1704"/>
      <c r="BP815" s="1704"/>
      <c r="BU815" s="1704"/>
      <c r="BZ815" s="1704"/>
      <c r="CA815" s="1772"/>
      <c r="CD815" s="1801"/>
      <c r="CE815" s="1704"/>
      <c r="CI815" s="1801"/>
      <c r="CJ815" s="1704"/>
      <c r="CN815" s="1801"/>
      <c r="CO815" s="1704"/>
      <c r="CT815" s="1704"/>
      <c r="CY815" s="1704"/>
      <c r="CZ815" s="1704"/>
      <c r="DA815" s="1704"/>
      <c r="DB815"/>
      <c r="DC815"/>
      <c r="DD815" s="2314"/>
      <c r="DE815" s="2292"/>
      <c r="DF815" s="2292"/>
      <c r="DG815" s="2292"/>
      <c r="DH815" s="2292"/>
      <c r="DI815" s="2292"/>
      <c r="DJ815" s="2292"/>
      <c r="DK815" s="2292"/>
      <c r="DL815" s="2292"/>
      <c r="DM815" s="2292"/>
      <c r="DN815" s="2292"/>
      <c r="DO815" s="2292"/>
      <c r="DP815" s="2292"/>
      <c r="DQ815" s="2292"/>
      <c r="DR815" s="2292"/>
      <c r="DS815" s="2292"/>
      <c r="DT815" s="2292"/>
      <c r="DU815" s="2292"/>
      <c r="DV815" s="2292"/>
      <c r="DW815" s="2292"/>
      <c r="DX815" s="2292"/>
      <c r="DY815" s="2292"/>
      <c r="EA815"/>
      <c r="EB815"/>
      <c r="EC815"/>
      <c r="ED815"/>
      <c r="EE815"/>
      <c r="EF815"/>
      <c r="EJ815"/>
      <c r="EK815"/>
      <c r="EL815"/>
      <c r="ER815" s="212"/>
    </row>
    <row r="816" spans="1:148" s="1703" customFormat="1" ht="12.75" customHeight="1" x14ac:dyDescent="0.2">
      <c r="A816" s="1987" t="s">
        <v>1343</v>
      </c>
      <c r="M816" s="1704"/>
      <c r="R816" s="1704"/>
      <c r="W816" s="1704"/>
      <c r="AB816" s="1704"/>
      <c r="AG816" s="1704"/>
      <c r="AL816" s="1704"/>
      <c r="AQ816" s="1704"/>
      <c r="AV816" s="1704"/>
      <c r="BA816" s="1704"/>
      <c r="BF816" s="1704"/>
      <c r="BK816" s="1704"/>
      <c r="BP816" s="1704">
        <f>+BP33+46</f>
        <v>850</v>
      </c>
      <c r="BU816" s="1704">
        <f>+BU33</f>
        <v>940</v>
      </c>
      <c r="BZ816" s="1704">
        <f>+BZ33</f>
        <v>988</v>
      </c>
      <c r="CA816" s="1772"/>
      <c r="CD816" s="1801"/>
      <c r="CE816" s="1704">
        <f>+CE33</f>
        <v>1159</v>
      </c>
      <c r="CI816" s="1801"/>
      <c r="CJ816" s="1704">
        <f>+CJ33</f>
        <v>1350</v>
      </c>
      <c r="CN816" s="1801"/>
      <c r="CO816" s="3131">
        <v>2221</v>
      </c>
      <c r="CT816" s="1704">
        <f>+CT33</f>
        <v>2490</v>
      </c>
      <c r="CY816" s="1704">
        <f ca="1">+CY33</f>
        <v>2707.3517367097083</v>
      </c>
      <c r="CZ816" s="1704">
        <f ca="1">+CZ33</f>
        <v>3091.1041095228247</v>
      </c>
      <c r="DA816" s="1704">
        <f ca="1">+DA33</f>
        <v>3051.8671433027739</v>
      </c>
      <c r="DB816"/>
      <c r="DC816"/>
      <c r="DD816" s="2314" t="s">
        <v>1343</v>
      </c>
      <c r="DE816" s="2292">
        <f t="shared" ref="DE816:DE821" si="1614">M816</f>
        <v>0</v>
      </c>
      <c r="DF816" s="2292">
        <f t="shared" ref="DF816:DF821" si="1615">R816</f>
        <v>0</v>
      </c>
      <c r="DG816" s="2292">
        <f t="shared" ref="DG816:DG821" si="1616">W816</f>
        <v>0</v>
      </c>
      <c r="DH816" s="2292">
        <f t="shared" ref="DH816:DH821" si="1617">AB816</f>
        <v>0</v>
      </c>
      <c r="DI816" s="2292">
        <f t="shared" ref="DI816:DI821" si="1618">AG816</f>
        <v>0</v>
      </c>
      <c r="DJ816" s="2292">
        <f t="shared" ref="DJ816:DJ821" si="1619">AL816</f>
        <v>0</v>
      </c>
      <c r="DK816" s="2292">
        <f t="shared" ref="DK816:DK821" si="1620">AQ816</f>
        <v>0</v>
      </c>
      <c r="DL816" s="2292">
        <f t="shared" ref="DL816:DL821" si="1621">AV816</f>
        <v>0</v>
      </c>
      <c r="DM816" s="2292">
        <f t="shared" ref="DM816:DM821" si="1622">BA816</f>
        <v>0</v>
      </c>
      <c r="DN816" s="2292">
        <f t="shared" ref="DN816:DN821" si="1623">BF816</f>
        <v>0</v>
      </c>
      <c r="DO816" s="2292">
        <f t="shared" ref="DO816:DO821" si="1624">BK816</f>
        <v>0</v>
      </c>
      <c r="DP816" s="2292">
        <f t="shared" ref="DP816:DP821" si="1625">BP816</f>
        <v>850</v>
      </c>
      <c r="DQ816" s="2292">
        <f t="shared" ref="DQ816:DQ821" si="1626">BU816</f>
        <v>940</v>
      </c>
      <c r="DR816" s="2292">
        <f t="shared" ref="DR816:DR821" si="1627">BZ816</f>
        <v>988</v>
      </c>
      <c r="DS816" s="2292">
        <f t="shared" ref="DS816:DS821" si="1628">CE816</f>
        <v>1159</v>
      </c>
      <c r="DT816" s="2292">
        <f t="shared" ref="DT816:DT821" si="1629">CJ816</f>
        <v>1350</v>
      </c>
      <c r="DU816" s="2292">
        <f t="shared" ref="DU816:DU821" si="1630">CO816</f>
        <v>2221</v>
      </c>
      <c r="DV816" s="2292">
        <f t="shared" ref="DV816:DV821" si="1631">CT816</f>
        <v>2490</v>
      </c>
      <c r="DW816" s="2292">
        <f t="shared" ref="DW816:DW821" ca="1" si="1632">CY816</f>
        <v>2707.3517367097083</v>
      </c>
      <c r="DX816" s="2292">
        <f t="shared" ref="DX816:DX821" ca="1" si="1633">CZ816</f>
        <v>3091.1041095228247</v>
      </c>
      <c r="DY816" s="2292">
        <f t="shared" ref="DY816:DY821" ca="1" si="1634">DA816</f>
        <v>3051.8671433027739</v>
      </c>
      <c r="EA816"/>
      <c r="EB816"/>
      <c r="EC816"/>
      <c r="ED816"/>
      <c r="EE816"/>
      <c r="EF816"/>
      <c r="EJ816"/>
      <c r="EK816"/>
      <c r="EL816"/>
      <c r="ER816" s="212"/>
    </row>
    <row r="817" spans="1:148" s="1703" customFormat="1" ht="12.75" customHeight="1" x14ac:dyDescent="0.2">
      <c r="A817" s="1987" t="s">
        <v>1175</v>
      </c>
      <c r="M817" s="968"/>
      <c r="R817" s="968"/>
      <c r="W817" s="968"/>
      <c r="AB817" s="968"/>
      <c r="AG817" s="968"/>
      <c r="AL817" s="968"/>
      <c r="AQ817" s="968"/>
      <c r="AV817" s="968"/>
      <c r="BA817" s="968"/>
      <c r="BF817" s="968"/>
      <c r="BK817" s="968"/>
      <c r="BP817" s="968">
        <f>+BP698</f>
        <v>168</v>
      </c>
      <c r="BU817" s="968">
        <f>+BU698</f>
        <v>145</v>
      </c>
      <c r="BZ817" s="968">
        <f>+BZ698</f>
        <v>127</v>
      </c>
      <c r="CA817" s="1772"/>
      <c r="CD817" s="1801"/>
      <c r="CE817" s="968">
        <f>+CE698</f>
        <v>148</v>
      </c>
      <c r="CI817" s="1801"/>
      <c r="CJ817" s="968">
        <f>+CJ698</f>
        <v>139</v>
      </c>
      <c r="CN817" s="1801"/>
      <c r="CO817" s="3440">
        <v>445</v>
      </c>
      <c r="CT817" s="968">
        <f>+CT698</f>
        <v>290</v>
      </c>
      <c r="CY817" s="968">
        <f>+CY698</f>
        <v>285.75</v>
      </c>
      <c r="CZ817" s="968">
        <f>+CZ698</f>
        <v>291.46500000000003</v>
      </c>
      <c r="DA817" s="968">
        <f>+DA698</f>
        <v>297.29430000000002</v>
      </c>
      <c r="DB817"/>
      <c r="DC817"/>
      <c r="DD817" s="2314" t="s">
        <v>1175</v>
      </c>
      <c r="DE817" s="2290">
        <f t="shared" si="1614"/>
        <v>0</v>
      </c>
      <c r="DF817" s="2290">
        <f t="shared" si="1615"/>
        <v>0</v>
      </c>
      <c r="DG817" s="2290">
        <f t="shared" si="1616"/>
        <v>0</v>
      </c>
      <c r="DH817" s="2290">
        <f t="shared" si="1617"/>
        <v>0</v>
      </c>
      <c r="DI817" s="2290">
        <f t="shared" si="1618"/>
        <v>0</v>
      </c>
      <c r="DJ817" s="2290">
        <f t="shared" si="1619"/>
        <v>0</v>
      </c>
      <c r="DK817" s="2290">
        <f t="shared" si="1620"/>
        <v>0</v>
      </c>
      <c r="DL817" s="2290">
        <f t="shared" si="1621"/>
        <v>0</v>
      </c>
      <c r="DM817" s="2290">
        <f t="shared" si="1622"/>
        <v>0</v>
      </c>
      <c r="DN817" s="2290">
        <f t="shared" si="1623"/>
        <v>0</v>
      </c>
      <c r="DO817" s="2290">
        <f t="shared" si="1624"/>
        <v>0</v>
      </c>
      <c r="DP817" s="2290">
        <f t="shared" si="1625"/>
        <v>168</v>
      </c>
      <c r="DQ817" s="2290">
        <f t="shared" si="1626"/>
        <v>145</v>
      </c>
      <c r="DR817" s="2290">
        <f t="shared" si="1627"/>
        <v>127</v>
      </c>
      <c r="DS817" s="2290">
        <f t="shared" si="1628"/>
        <v>148</v>
      </c>
      <c r="DT817" s="2290">
        <f t="shared" si="1629"/>
        <v>139</v>
      </c>
      <c r="DU817" s="2290">
        <f t="shared" si="1630"/>
        <v>445</v>
      </c>
      <c r="DV817" s="2290">
        <f t="shared" si="1631"/>
        <v>290</v>
      </c>
      <c r="DW817" s="2290">
        <f t="shared" si="1632"/>
        <v>285.75</v>
      </c>
      <c r="DX817" s="2290">
        <f t="shared" si="1633"/>
        <v>291.46500000000003</v>
      </c>
      <c r="DY817" s="2290">
        <f t="shared" si="1634"/>
        <v>297.29430000000002</v>
      </c>
      <c r="EA817"/>
      <c r="EB817"/>
      <c r="EC817"/>
      <c r="ED817"/>
      <c r="EE817"/>
      <c r="EF817"/>
      <c r="EJ817"/>
      <c r="EK817"/>
      <c r="EL817"/>
      <c r="ER817" s="212"/>
    </row>
    <row r="818" spans="1:148" s="213" customFormat="1" ht="12.75" customHeight="1" x14ac:dyDescent="0.2">
      <c r="A818" s="27" t="s">
        <v>1606</v>
      </c>
      <c r="M818" s="2195"/>
      <c r="R818" s="2195"/>
      <c r="W818" s="2195"/>
      <c r="AB818" s="2195"/>
      <c r="AG818" s="2195"/>
      <c r="AL818" s="2195"/>
      <c r="AQ818" s="2195"/>
      <c r="AV818" s="2195"/>
      <c r="BA818" s="2195"/>
      <c r="BF818" s="2195"/>
      <c r="BK818" s="2195"/>
      <c r="BP818" s="2195">
        <v>86</v>
      </c>
      <c r="BU818" s="2195">
        <v>77</v>
      </c>
      <c r="BZ818" s="2186">
        <v>116</v>
      </c>
      <c r="CA818" s="18"/>
      <c r="CD818" s="28"/>
      <c r="CE818" s="2195">
        <f>+BZ818</f>
        <v>116</v>
      </c>
      <c r="CI818" s="28"/>
      <c r="CJ818" s="2195">
        <f>+CE818</f>
        <v>116</v>
      </c>
      <c r="CN818" s="28"/>
      <c r="CO818" s="3439">
        <v>193</v>
      </c>
      <c r="CT818" s="2369">
        <f>+CT95+CT96</f>
        <v>155</v>
      </c>
      <c r="CY818" s="2369">
        <f>+CY95+CY96</f>
        <v>160</v>
      </c>
      <c r="CZ818" s="2369">
        <f>+CZ95+CZ96</f>
        <v>160</v>
      </c>
      <c r="DA818" s="2369">
        <f>+DA95+DA96</f>
        <v>160</v>
      </c>
      <c r="DB818"/>
      <c r="DC818"/>
      <c r="DD818" s="2368" t="s">
        <v>1606</v>
      </c>
      <c r="DE818" s="2369">
        <f t="shared" si="1614"/>
        <v>0</v>
      </c>
      <c r="DF818" s="2369">
        <f t="shared" si="1615"/>
        <v>0</v>
      </c>
      <c r="DG818" s="2369">
        <f t="shared" si="1616"/>
        <v>0</v>
      </c>
      <c r="DH818" s="2369">
        <f t="shared" si="1617"/>
        <v>0</v>
      </c>
      <c r="DI818" s="2369">
        <f t="shared" si="1618"/>
        <v>0</v>
      </c>
      <c r="DJ818" s="2369">
        <f t="shared" si="1619"/>
        <v>0</v>
      </c>
      <c r="DK818" s="2369">
        <f t="shared" si="1620"/>
        <v>0</v>
      </c>
      <c r="DL818" s="2369">
        <f t="shared" si="1621"/>
        <v>0</v>
      </c>
      <c r="DM818" s="2369">
        <f t="shared" si="1622"/>
        <v>0</v>
      </c>
      <c r="DN818" s="2369">
        <f t="shared" si="1623"/>
        <v>0</v>
      </c>
      <c r="DO818" s="2369">
        <f t="shared" si="1624"/>
        <v>0</v>
      </c>
      <c r="DP818" s="2369">
        <f t="shared" si="1625"/>
        <v>86</v>
      </c>
      <c r="DQ818" s="2369">
        <f t="shared" si="1626"/>
        <v>77</v>
      </c>
      <c r="DR818" s="2369">
        <f t="shared" si="1627"/>
        <v>116</v>
      </c>
      <c r="DS818" s="2369">
        <f t="shared" si="1628"/>
        <v>116</v>
      </c>
      <c r="DT818" s="2369">
        <f t="shared" si="1629"/>
        <v>116</v>
      </c>
      <c r="DU818" s="2369">
        <f t="shared" si="1630"/>
        <v>193</v>
      </c>
      <c r="DV818" s="2369">
        <f t="shared" si="1631"/>
        <v>155</v>
      </c>
      <c r="DW818" s="2369">
        <f t="shared" si="1632"/>
        <v>160</v>
      </c>
      <c r="DX818" s="2369">
        <f t="shared" si="1633"/>
        <v>160</v>
      </c>
      <c r="DY818" s="2369">
        <f t="shared" si="1634"/>
        <v>160</v>
      </c>
      <c r="EA818"/>
      <c r="EB818"/>
      <c r="EC818"/>
      <c r="ED818"/>
      <c r="EE818"/>
      <c r="EF818"/>
      <c r="EJ818"/>
      <c r="EK818"/>
      <c r="EL818"/>
      <c r="ER818" s="212"/>
    </row>
    <row r="819" spans="1:148" s="213" customFormat="1" ht="12.75" customHeight="1" x14ac:dyDescent="0.2">
      <c r="A819" s="2368" t="s">
        <v>2709</v>
      </c>
      <c r="M819" s="2185"/>
      <c r="R819" s="2185"/>
      <c r="W819" s="2185"/>
      <c r="AB819" s="2185"/>
      <c r="AG819" s="2185"/>
      <c r="AL819" s="2185"/>
      <c r="AQ819" s="2185"/>
      <c r="AV819" s="2185"/>
      <c r="BA819" s="2185"/>
      <c r="BF819" s="2185"/>
      <c r="BK819" s="2185"/>
      <c r="BP819" s="2185">
        <f>+BP807*0.08</f>
        <v>75.52</v>
      </c>
      <c r="BU819" s="2185">
        <f>+BU807*0.08</f>
        <v>74.239999999999995</v>
      </c>
      <c r="BZ819" s="2185">
        <f>+BZ807*0.08</f>
        <v>68.94993746687895</v>
      </c>
      <c r="CA819" s="18"/>
      <c r="CD819" s="28"/>
      <c r="CE819" s="2185">
        <f>+CE807*0.08</f>
        <v>60.317967540426082</v>
      </c>
      <c r="CI819" s="28"/>
      <c r="CJ819" s="2185">
        <f>+CJ807*0.08</f>
        <v>54.526805627267898</v>
      </c>
      <c r="CN819" s="28"/>
      <c r="CO819" s="3438">
        <v>155</v>
      </c>
      <c r="CP819" s="871"/>
      <c r="CT819" s="2185">
        <f>+CT809*($CO$819/$CO$809)</f>
        <v>155</v>
      </c>
      <c r="CU819" s="871"/>
      <c r="CY819" s="2185">
        <f>+CY809*($CO$819/$CO$809)</f>
        <v>155</v>
      </c>
      <c r="CZ819" s="2185">
        <f>+CZ809*($CO$819/$CO$809)</f>
        <v>155</v>
      </c>
      <c r="DA819" s="2185">
        <f>+DA809*($CO$819/$CO$809)</f>
        <v>155</v>
      </c>
      <c r="DB819"/>
      <c r="DC819"/>
      <c r="DD819" s="2368" t="s">
        <v>1607</v>
      </c>
      <c r="DE819" s="2369">
        <f t="shared" si="1614"/>
        <v>0</v>
      </c>
      <c r="DF819" s="2369">
        <f t="shared" si="1615"/>
        <v>0</v>
      </c>
      <c r="DG819" s="2369">
        <f t="shared" si="1616"/>
        <v>0</v>
      </c>
      <c r="DH819" s="2369">
        <f t="shared" si="1617"/>
        <v>0</v>
      </c>
      <c r="DI819" s="2369">
        <f t="shared" si="1618"/>
        <v>0</v>
      </c>
      <c r="DJ819" s="2369">
        <f t="shared" si="1619"/>
        <v>0</v>
      </c>
      <c r="DK819" s="2369">
        <f t="shared" si="1620"/>
        <v>0</v>
      </c>
      <c r="DL819" s="2369">
        <f t="shared" si="1621"/>
        <v>0</v>
      </c>
      <c r="DM819" s="2369">
        <f t="shared" si="1622"/>
        <v>0</v>
      </c>
      <c r="DN819" s="2369">
        <f t="shared" si="1623"/>
        <v>0</v>
      </c>
      <c r="DO819" s="2369">
        <f t="shared" si="1624"/>
        <v>0</v>
      </c>
      <c r="DP819" s="2369">
        <f t="shared" si="1625"/>
        <v>75.52</v>
      </c>
      <c r="DQ819" s="2369">
        <f t="shared" si="1626"/>
        <v>74.239999999999995</v>
      </c>
      <c r="DR819" s="2369">
        <f t="shared" si="1627"/>
        <v>68.94993746687895</v>
      </c>
      <c r="DS819" s="2369">
        <f t="shared" si="1628"/>
        <v>60.317967540426082</v>
      </c>
      <c r="DT819" s="2369">
        <f t="shared" si="1629"/>
        <v>54.526805627267898</v>
      </c>
      <c r="DU819" s="2369">
        <f t="shared" si="1630"/>
        <v>155</v>
      </c>
      <c r="DV819" s="2369">
        <f t="shared" si="1631"/>
        <v>155</v>
      </c>
      <c r="DW819" s="2369">
        <f t="shared" si="1632"/>
        <v>155</v>
      </c>
      <c r="DX819" s="2369">
        <f t="shared" si="1633"/>
        <v>155</v>
      </c>
      <c r="DY819" s="2369">
        <f t="shared" si="1634"/>
        <v>155</v>
      </c>
      <c r="EA819"/>
      <c r="EB819"/>
      <c r="EC819"/>
      <c r="ED819"/>
      <c r="EE819"/>
      <c r="EF819"/>
      <c r="EJ819"/>
      <c r="EK819"/>
      <c r="EL819"/>
      <c r="ER819" s="212"/>
    </row>
    <row r="820" spans="1:148" s="213" customFormat="1" ht="12.75" customHeight="1" x14ac:dyDescent="0.2">
      <c r="A820" s="27" t="s">
        <v>1608</v>
      </c>
      <c r="M820" s="2186"/>
      <c r="R820" s="2186"/>
      <c r="W820" s="2186"/>
      <c r="AB820" s="2186"/>
      <c r="AG820" s="2186"/>
      <c r="AL820" s="2186"/>
      <c r="AQ820" s="2186"/>
      <c r="AV820" s="2186"/>
      <c r="BA820" s="2186"/>
      <c r="BF820" s="2186"/>
      <c r="BK820" s="2186"/>
      <c r="BP820" s="2186">
        <v>-120</v>
      </c>
      <c r="BU820" s="2186">
        <v>0</v>
      </c>
      <c r="BZ820" s="2186">
        <v>0</v>
      </c>
      <c r="CA820" s="18"/>
      <c r="CD820" s="28"/>
      <c r="CE820" s="2186">
        <v>0</v>
      </c>
      <c r="CI820" s="28"/>
      <c r="CJ820" s="2186">
        <v>0</v>
      </c>
      <c r="CN820" s="28"/>
      <c r="CO820" s="527">
        <v>0</v>
      </c>
      <c r="CT820" s="2186">
        <v>0</v>
      </c>
      <c r="CY820" s="2186">
        <v>0</v>
      </c>
      <c r="CZ820" s="2186">
        <v>0</v>
      </c>
      <c r="DA820" s="2186">
        <v>0</v>
      </c>
      <c r="DB820"/>
      <c r="DC820"/>
      <c r="DD820" s="2368" t="s">
        <v>1608</v>
      </c>
      <c r="DE820" s="2369">
        <f t="shared" si="1614"/>
        <v>0</v>
      </c>
      <c r="DF820" s="2369">
        <f t="shared" si="1615"/>
        <v>0</v>
      </c>
      <c r="DG820" s="2369">
        <f t="shared" si="1616"/>
        <v>0</v>
      </c>
      <c r="DH820" s="2369">
        <f t="shared" si="1617"/>
        <v>0</v>
      </c>
      <c r="DI820" s="2369">
        <f t="shared" si="1618"/>
        <v>0</v>
      </c>
      <c r="DJ820" s="2369">
        <f t="shared" si="1619"/>
        <v>0</v>
      </c>
      <c r="DK820" s="2369">
        <f t="shared" si="1620"/>
        <v>0</v>
      </c>
      <c r="DL820" s="2369">
        <f t="shared" si="1621"/>
        <v>0</v>
      </c>
      <c r="DM820" s="2369">
        <f t="shared" si="1622"/>
        <v>0</v>
      </c>
      <c r="DN820" s="2369">
        <f t="shared" si="1623"/>
        <v>0</v>
      </c>
      <c r="DO820" s="2369">
        <f t="shared" si="1624"/>
        <v>0</v>
      </c>
      <c r="DP820" s="2369">
        <f t="shared" si="1625"/>
        <v>-120</v>
      </c>
      <c r="DQ820" s="2369">
        <f t="shared" si="1626"/>
        <v>0</v>
      </c>
      <c r="DR820" s="2369">
        <f t="shared" si="1627"/>
        <v>0</v>
      </c>
      <c r="DS820" s="2369">
        <f t="shared" si="1628"/>
        <v>0</v>
      </c>
      <c r="DT820" s="2369">
        <f t="shared" si="1629"/>
        <v>0</v>
      </c>
      <c r="DU820" s="2369">
        <f t="shared" si="1630"/>
        <v>0</v>
      </c>
      <c r="DV820" s="2369">
        <f t="shared" si="1631"/>
        <v>0</v>
      </c>
      <c r="DW820" s="2369">
        <f t="shared" si="1632"/>
        <v>0</v>
      </c>
      <c r="DX820" s="2369">
        <f t="shared" si="1633"/>
        <v>0</v>
      </c>
      <c r="DY820" s="2369">
        <f t="shared" si="1634"/>
        <v>0</v>
      </c>
      <c r="EA820"/>
      <c r="EB820"/>
      <c r="EC820"/>
      <c r="ED820"/>
      <c r="EE820"/>
      <c r="EF820"/>
      <c r="EJ820"/>
      <c r="EK820"/>
      <c r="EL820"/>
      <c r="ER820" s="212"/>
    </row>
    <row r="821" spans="1:148" s="213" customFormat="1" ht="12.75" customHeight="1" x14ac:dyDescent="0.2">
      <c r="A821" s="27" t="s">
        <v>1609</v>
      </c>
      <c r="M821" s="2186"/>
      <c r="R821" s="2186"/>
      <c r="W821" s="2186"/>
      <c r="AB821" s="2186"/>
      <c r="AG821" s="2186"/>
      <c r="AL821" s="2186"/>
      <c r="AQ821" s="2186"/>
      <c r="AV821" s="2186"/>
      <c r="BA821" s="2186"/>
      <c r="BF821" s="2186"/>
      <c r="BK821" s="2186"/>
      <c r="BP821" s="2186">
        <v>34</v>
      </c>
      <c r="BU821" s="2186">
        <v>0</v>
      </c>
      <c r="BZ821" s="2186">
        <v>0</v>
      </c>
      <c r="CA821" s="18"/>
      <c r="CD821" s="28"/>
      <c r="CE821" s="2186">
        <v>0</v>
      </c>
      <c r="CI821" s="28"/>
      <c r="CJ821" s="2186">
        <v>0</v>
      </c>
      <c r="CN821" s="28"/>
      <c r="CO821" s="527">
        <v>0</v>
      </c>
      <c r="CT821" s="2186">
        <v>0</v>
      </c>
      <c r="CY821" s="2186">
        <v>0</v>
      </c>
      <c r="CZ821" s="2186">
        <v>0</v>
      </c>
      <c r="DA821" s="2186">
        <v>0</v>
      </c>
      <c r="DB821"/>
      <c r="DC821"/>
      <c r="DD821" s="2368" t="s">
        <v>1609</v>
      </c>
      <c r="DE821" s="2369">
        <f t="shared" si="1614"/>
        <v>0</v>
      </c>
      <c r="DF821" s="2369">
        <f t="shared" si="1615"/>
        <v>0</v>
      </c>
      <c r="DG821" s="2369">
        <f t="shared" si="1616"/>
        <v>0</v>
      </c>
      <c r="DH821" s="2369">
        <f t="shared" si="1617"/>
        <v>0</v>
      </c>
      <c r="DI821" s="2369">
        <f t="shared" si="1618"/>
        <v>0</v>
      </c>
      <c r="DJ821" s="2369">
        <f t="shared" si="1619"/>
        <v>0</v>
      </c>
      <c r="DK821" s="2369">
        <f t="shared" si="1620"/>
        <v>0</v>
      </c>
      <c r="DL821" s="2369">
        <f t="shared" si="1621"/>
        <v>0</v>
      </c>
      <c r="DM821" s="2369">
        <f t="shared" si="1622"/>
        <v>0</v>
      </c>
      <c r="DN821" s="2369">
        <f t="shared" si="1623"/>
        <v>0</v>
      </c>
      <c r="DO821" s="2369">
        <f t="shared" si="1624"/>
        <v>0</v>
      </c>
      <c r="DP821" s="2369">
        <f t="shared" si="1625"/>
        <v>34</v>
      </c>
      <c r="DQ821" s="2369">
        <f t="shared" si="1626"/>
        <v>0</v>
      </c>
      <c r="DR821" s="2369">
        <f t="shared" si="1627"/>
        <v>0</v>
      </c>
      <c r="DS821" s="2369">
        <f t="shared" si="1628"/>
        <v>0</v>
      </c>
      <c r="DT821" s="2369">
        <f t="shared" si="1629"/>
        <v>0</v>
      </c>
      <c r="DU821" s="2369">
        <f t="shared" si="1630"/>
        <v>0</v>
      </c>
      <c r="DV821" s="2369">
        <f t="shared" si="1631"/>
        <v>0</v>
      </c>
      <c r="DW821" s="2369">
        <f t="shared" si="1632"/>
        <v>0</v>
      </c>
      <c r="DX821" s="2369">
        <f t="shared" si="1633"/>
        <v>0</v>
      </c>
      <c r="DY821" s="2369">
        <f t="shared" si="1634"/>
        <v>0</v>
      </c>
      <c r="EA821"/>
      <c r="EB821"/>
      <c r="EC821"/>
      <c r="ED821"/>
      <c r="EE821"/>
      <c r="EF821"/>
      <c r="EJ821"/>
      <c r="EK821"/>
      <c r="EL821"/>
      <c r="ER821" s="212"/>
    </row>
    <row r="822" spans="1:148" s="213" customFormat="1" ht="3.95" customHeight="1" x14ac:dyDescent="0.2">
      <c r="A822" s="27"/>
      <c r="M822" s="2185"/>
      <c r="R822" s="2185"/>
      <c r="W822" s="2185"/>
      <c r="AB822" s="2185"/>
      <c r="AG822" s="2185"/>
      <c r="AL822" s="2185"/>
      <c r="AQ822" s="2185"/>
      <c r="AV822" s="2185"/>
      <c r="BA822" s="2185"/>
      <c r="BF822" s="2185"/>
      <c r="BK822" s="2185"/>
      <c r="BP822" s="2185"/>
      <c r="BU822" s="2185"/>
      <c r="BZ822" s="2185"/>
      <c r="CA822" s="18"/>
      <c r="CD822" s="28"/>
      <c r="CE822" s="2185"/>
      <c r="CI822" s="28"/>
      <c r="CJ822" s="2185"/>
      <c r="CN822" s="28"/>
      <c r="CO822" s="235"/>
      <c r="CT822" s="2185"/>
      <c r="CY822" s="2185"/>
      <c r="CZ822" s="2185"/>
      <c r="DA822" s="2185"/>
      <c r="DB822"/>
      <c r="DC822"/>
      <c r="DD822" s="2368"/>
      <c r="DE822" s="2369"/>
      <c r="DF822" s="2369"/>
      <c r="DG822" s="2369"/>
      <c r="DH822" s="2369"/>
      <c r="DI822" s="2369"/>
      <c r="DJ822" s="2369"/>
      <c r="DK822" s="2369"/>
      <c r="DL822" s="2369"/>
      <c r="DM822" s="2369"/>
      <c r="DN822" s="2369"/>
      <c r="DO822" s="2369"/>
      <c r="DP822" s="2369"/>
      <c r="DQ822" s="2369"/>
      <c r="DR822" s="2369"/>
      <c r="DS822" s="2369"/>
      <c r="DT822" s="2369"/>
      <c r="DU822" s="2369"/>
      <c r="DV822" s="2369"/>
      <c r="DW822" s="2369"/>
      <c r="DX822" s="2369"/>
      <c r="DY822" s="2369"/>
      <c r="EA822"/>
      <c r="EB822"/>
      <c r="EC822"/>
      <c r="ED822"/>
      <c r="EE822"/>
      <c r="EF822"/>
      <c r="EJ822"/>
      <c r="EK822"/>
      <c r="EL822"/>
      <c r="ER822" s="212"/>
    </row>
    <row r="823" spans="1:148" s="1703" customFormat="1" ht="12.75" customHeight="1" x14ac:dyDescent="0.2">
      <c r="A823" s="1987" t="s">
        <v>1610</v>
      </c>
      <c r="M823" s="1704"/>
      <c r="R823" s="1704"/>
      <c r="W823" s="1704"/>
      <c r="AB823" s="1704"/>
      <c r="AG823" s="1704"/>
      <c r="AL823" s="1704"/>
      <c r="AQ823" s="1704"/>
      <c r="AV823" s="1704"/>
      <c r="BA823" s="1704"/>
      <c r="BF823" s="1704"/>
      <c r="BK823" s="1704"/>
      <c r="BP823" s="1704">
        <f>SUM(BP816:BP822)</f>
        <v>1093.52</v>
      </c>
      <c r="BU823" s="1704">
        <f>SUM(BU816:BU822)</f>
        <v>1236.24</v>
      </c>
      <c r="BZ823" s="1704">
        <f>SUM(BZ816:BZ822)</f>
        <v>1299.949937466879</v>
      </c>
      <c r="CA823" s="1772"/>
      <c r="CD823" s="1801"/>
      <c r="CE823" s="1704">
        <f>SUM(CE816:CE822)</f>
        <v>1483.317967540426</v>
      </c>
      <c r="CI823" s="1801"/>
      <c r="CJ823" s="1704">
        <f>SUM(CJ816:CJ822)</f>
        <v>1659.526805627268</v>
      </c>
      <c r="CN823" s="1801"/>
      <c r="CO823" s="2343">
        <f>SUM(CO816:CO822)</f>
        <v>3014</v>
      </c>
      <c r="CT823" s="1704">
        <f>SUM(CT816:CT822)</f>
        <v>3090</v>
      </c>
      <c r="CY823" s="1704">
        <f ca="1">SUM(CY816:CY822)</f>
        <v>3308.1017367097083</v>
      </c>
      <c r="CZ823" s="1704">
        <f ca="1">SUM(CZ816:CZ822)</f>
        <v>3697.5691095228249</v>
      </c>
      <c r="DA823" s="1704">
        <f ca="1">SUM(DA816:DA822)</f>
        <v>3664.1614433027739</v>
      </c>
      <c r="DB823"/>
      <c r="DC823"/>
      <c r="DD823" s="2314" t="s">
        <v>1610</v>
      </c>
      <c r="DE823" s="2292">
        <f>M823</f>
        <v>0</v>
      </c>
      <c r="DF823" s="2292">
        <f>R823</f>
        <v>0</v>
      </c>
      <c r="DG823" s="2292">
        <f>W823</f>
        <v>0</v>
      </c>
      <c r="DH823" s="2292">
        <f>AB823</f>
        <v>0</v>
      </c>
      <c r="DI823" s="2292">
        <f>AG823</f>
        <v>0</v>
      </c>
      <c r="DJ823" s="2292">
        <f>AL823</f>
        <v>0</v>
      </c>
      <c r="DK823" s="2292">
        <f>AQ823</f>
        <v>0</v>
      </c>
      <c r="DL823" s="2292">
        <f>AV823</f>
        <v>0</v>
      </c>
      <c r="DM823" s="2292">
        <f>BA823</f>
        <v>0</v>
      </c>
      <c r="DN823" s="2292">
        <f>BF823</f>
        <v>0</v>
      </c>
      <c r="DO823" s="2292">
        <f>BK823</f>
        <v>0</v>
      </c>
      <c r="DP823" s="2292">
        <f>BP823</f>
        <v>1093.52</v>
      </c>
      <c r="DQ823" s="2292">
        <f>BU823</f>
        <v>1236.24</v>
      </c>
      <c r="DR823" s="2292">
        <f>BZ823</f>
        <v>1299.949937466879</v>
      </c>
      <c r="DS823" s="2292">
        <f>CE823</f>
        <v>1483.317967540426</v>
      </c>
      <c r="DT823" s="2292">
        <f>CJ823</f>
        <v>1659.526805627268</v>
      </c>
      <c r="DU823" s="2292">
        <f>CO823</f>
        <v>3014</v>
      </c>
      <c r="DV823" s="2292">
        <f>CT823</f>
        <v>3090</v>
      </c>
      <c r="DW823" s="2292">
        <f t="shared" ref="DW823:DY826" ca="1" si="1635">CY823</f>
        <v>3308.1017367097083</v>
      </c>
      <c r="DX823" s="2292">
        <f t="shared" ca="1" si="1635"/>
        <v>3697.5691095228249</v>
      </c>
      <c r="DY823" s="2292">
        <f t="shared" ca="1" si="1635"/>
        <v>3664.1614433027739</v>
      </c>
      <c r="EA823"/>
      <c r="EB823"/>
      <c r="EC823"/>
      <c r="ED823"/>
      <c r="EE823"/>
      <c r="EF823"/>
      <c r="EJ823"/>
      <c r="EK823"/>
      <c r="EL823"/>
      <c r="ER823" s="212"/>
    </row>
    <row r="824" spans="1:148" s="2191" customFormat="1" ht="12.75" customHeight="1" x14ac:dyDescent="0.2">
      <c r="A824" s="2190" t="s">
        <v>1611</v>
      </c>
      <c r="M824" s="2192"/>
      <c r="R824" s="2192"/>
      <c r="W824" s="2192"/>
      <c r="AB824" s="2192"/>
      <c r="AG824" s="2192"/>
      <c r="AL824" s="2192"/>
      <c r="AQ824" s="2192"/>
      <c r="AV824" s="2192"/>
      <c r="BA824" s="2192"/>
      <c r="BF824" s="2192"/>
      <c r="BK824" s="2192"/>
      <c r="BP824" s="2192">
        <f>+BP814/BP823</f>
        <v>2.9089545687321676</v>
      </c>
      <c r="BU824" s="2192">
        <f>+BU814/BU823</f>
        <v>3.1668608037274315</v>
      </c>
      <c r="BZ824" s="2192">
        <f>+BZ814/BZ823</f>
        <v>3.1438704680426315</v>
      </c>
      <c r="CA824" s="2193"/>
      <c r="CD824" s="2194"/>
      <c r="CE824" s="2192">
        <f>+CE814/CE823</f>
        <v>3.0896777997334026</v>
      </c>
      <c r="CI824" s="2194"/>
      <c r="CJ824" s="2192">
        <f>+CJ814/CJ823</f>
        <v>3.3412465876967472</v>
      </c>
      <c r="CN824" s="2194"/>
      <c r="CO824" s="2192">
        <f>+CO814/CO823</f>
        <v>3.0232249502322497</v>
      </c>
      <c r="CT824" s="2192">
        <f>+CT814/CT823</f>
        <v>3.0469255663430421</v>
      </c>
      <c r="CY824" s="2192">
        <f ca="1">+CY814/CY823</f>
        <v>3.123543597627493</v>
      </c>
      <c r="CZ824" s="2192">
        <f ca="1">+CZ814/CZ823</f>
        <v>2.9703298774630253</v>
      </c>
      <c r="DA824" s="2192">
        <f ca="1">+DA814/DA823</f>
        <v>2.9974115960622703</v>
      </c>
      <c r="DB824"/>
      <c r="DC824"/>
      <c r="DD824" s="2370" t="s">
        <v>1611</v>
      </c>
      <c r="DE824" s="2371">
        <f>M824</f>
        <v>0</v>
      </c>
      <c r="DF824" s="2371">
        <f>R824</f>
        <v>0</v>
      </c>
      <c r="DG824" s="2371">
        <f>W824</f>
        <v>0</v>
      </c>
      <c r="DH824" s="2371">
        <f>AB824</f>
        <v>0</v>
      </c>
      <c r="DI824" s="2371">
        <f>AG824</f>
        <v>0</v>
      </c>
      <c r="DJ824" s="2371">
        <f>AL824</f>
        <v>0</v>
      </c>
      <c r="DK824" s="2371">
        <f>AQ824</f>
        <v>0</v>
      </c>
      <c r="DL824" s="2371">
        <f>AV824</f>
        <v>0</v>
      </c>
      <c r="DM824" s="2371">
        <f>BA824</f>
        <v>0</v>
      </c>
      <c r="DN824" s="2371">
        <f>BF824</f>
        <v>0</v>
      </c>
      <c r="DO824" s="2371">
        <f>BK824</f>
        <v>0</v>
      </c>
      <c r="DP824" s="2371">
        <f>BP824</f>
        <v>2.9089545687321676</v>
      </c>
      <c r="DQ824" s="2371">
        <f>BU824</f>
        <v>3.1668608037274315</v>
      </c>
      <c r="DR824" s="2371">
        <f>BZ824</f>
        <v>3.1438704680426315</v>
      </c>
      <c r="DS824" s="2371">
        <f>CE824</f>
        <v>3.0896777997334026</v>
      </c>
      <c r="DT824" s="2371">
        <f>CJ824</f>
        <v>3.3412465876967472</v>
      </c>
      <c r="DU824" s="2371">
        <f>CO824</f>
        <v>3.0232249502322497</v>
      </c>
      <c r="DV824" s="2371">
        <f>CT824</f>
        <v>3.0469255663430421</v>
      </c>
      <c r="DW824" s="2371">
        <f t="shared" ca="1" si="1635"/>
        <v>3.123543597627493</v>
      </c>
      <c r="DX824" s="2371">
        <f t="shared" ca="1" si="1635"/>
        <v>2.9703298774630253</v>
      </c>
      <c r="DY824" s="2371">
        <f t="shared" ca="1" si="1635"/>
        <v>2.9974115960622703</v>
      </c>
      <c r="EA824"/>
      <c r="EB824"/>
      <c r="EC824"/>
      <c r="ED824"/>
      <c r="EE824"/>
      <c r="EF824"/>
      <c r="EJ824"/>
      <c r="EK824"/>
      <c r="EL824"/>
      <c r="ER824" s="212"/>
    </row>
    <row r="825" spans="1:148" s="2175" customFormat="1" ht="12.75" customHeight="1" x14ac:dyDescent="0.2">
      <c r="A825" s="2187" t="s">
        <v>1601</v>
      </c>
      <c r="M825" s="2184"/>
      <c r="R825" s="2184"/>
      <c r="W825" s="2184"/>
      <c r="AB825" s="2184"/>
      <c r="AG825" s="2184"/>
      <c r="AL825" s="2184"/>
      <c r="AQ825" s="2184"/>
      <c r="AV825" s="2184"/>
      <c r="BA825" s="2184"/>
      <c r="BF825" s="2184"/>
      <c r="BK825" s="2184"/>
      <c r="BP825" s="2184"/>
      <c r="BU825" s="2184" t="s">
        <v>1602</v>
      </c>
      <c r="BZ825" s="2184" t="s">
        <v>1602</v>
      </c>
      <c r="CA825" s="2177"/>
      <c r="CD825" s="2178"/>
      <c r="CE825" s="2184" t="s">
        <v>1602</v>
      </c>
      <c r="CI825" s="2178"/>
      <c r="CJ825" s="2184" t="s">
        <v>1602</v>
      </c>
      <c r="CN825" s="2178"/>
      <c r="CO825" s="2184" t="s">
        <v>1602</v>
      </c>
      <c r="CT825" s="2184" t="s">
        <v>1602</v>
      </c>
      <c r="CY825" s="2184" t="s">
        <v>1602</v>
      </c>
      <c r="CZ825" s="2184" t="s">
        <v>1602</v>
      </c>
      <c r="DA825" s="2184" t="s">
        <v>1602</v>
      </c>
      <c r="DB825"/>
      <c r="DC825"/>
      <c r="DD825" s="2364" t="s">
        <v>1601</v>
      </c>
      <c r="DE825" s="2372">
        <f>M825</f>
        <v>0</v>
      </c>
      <c r="DF825" s="2372">
        <f>R825</f>
        <v>0</v>
      </c>
      <c r="DG825" s="2372">
        <f>W825</f>
        <v>0</v>
      </c>
      <c r="DH825" s="2372">
        <f>AB825</f>
        <v>0</v>
      </c>
      <c r="DI825" s="2372">
        <f>AG825</f>
        <v>0</v>
      </c>
      <c r="DJ825" s="2372">
        <f>AL825</f>
        <v>0</v>
      </c>
      <c r="DK825" s="2372">
        <f>AQ825</f>
        <v>0</v>
      </c>
      <c r="DL825" s="2372">
        <f>AV825</f>
        <v>0</v>
      </c>
      <c r="DM825" s="2372">
        <f>BA825</f>
        <v>0</v>
      </c>
      <c r="DN825" s="2372">
        <f>BF825</f>
        <v>0</v>
      </c>
      <c r="DO825" s="2372">
        <f>BK825</f>
        <v>0</v>
      </c>
      <c r="DP825" s="2372">
        <f>BP825</f>
        <v>0</v>
      </c>
      <c r="DQ825" s="2372" t="str">
        <f>BU825</f>
        <v>3.0x-3.25x</v>
      </c>
      <c r="DR825" s="2372" t="str">
        <f>BZ825</f>
        <v>3.0x-3.25x</v>
      </c>
      <c r="DS825" s="2372" t="str">
        <f>CE825</f>
        <v>3.0x-3.25x</v>
      </c>
      <c r="DT825" s="2372" t="str">
        <f>CJ825</f>
        <v>3.0x-3.25x</v>
      </c>
      <c r="DU825" s="2372" t="str">
        <f>CO825</f>
        <v>3.0x-3.25x</v>
      </c>
      <c r="DV825" s="2372" t="str">
        <f>CT825</f>
        <v>3.0x-3.25x</v>
      </c>
      <c r="DW825" s="2372" t="str">
        <f t="shared" si="1635"/>
        <v>3.0x-3.25x</v>
      </c>
      <c r="DX825" s="2372" t="str">
        <f t="shared" si="1635"/>
        <v>3.0x-3.25x</v>
      </c>
      <c r="DY825" s="2372" t="str">
        <f t="shared" si="1635"/>
        <v>3.0x-3.25x</v>
      </c>
      <c r="EA825"/>
      <c r="EB825"/>
      <c r="EC825"/>
      <c r="ED825"/>
      <c r="EE825"/>
      <c r="EF825"/>
      <c r="EJ825"/>
      <c r="EK825"/>
      <c r="EL825"/>
      <c r="ER825" s="212"/>
    </row>
    <row r="826" spans="1:148" s="1703" customFormat="1" ht="12.75" customHeight="1" x14ac:dyDescent="0.2">
      <c r="A826" s="2189" t="s">
        <v>1612</v>
      </c>
      <c r="M826" s="1704"/>
      <c r="R826" s="1704"/>
      <c r="W826" s="1704"/>
      <c r="AB826" s="1704"/>
      <c r="AG826" s="1704"/>
      <c r="AL826" s="1704"/>
      <c r="AQ826" s="1704"/>
      <c r="AV826" s="1704"/>
      <c r="BA826" s="1704"/>
      <c r="BF826" s="1704"/>
      <c r="BK826" s="1704"/>
      <c r="BP826" s="1704">
        <f>(3.25-BP824)*BP823</f>
        <v>372.94000000000005</v>
      </c>
      <c r="BU826" s="1704">
        <f>(3.25-BU824)*BU823</f>
        <v>102.78000000000007</v>
      </c>
      <c r="BZ826" s="1704">
        <f>(3.25-BZ824)*BZ823</f>
        <v>137.96307843137035</v>
      </c>
      <c r="CA826" s="1772"/>
      <c r="CD826" s="1801"/>
      <c r="CE826" s="1704">
        <f>(3.25-CE824)*CE823</f>
        <v>237.80880025105839</v>
      </c>
      <c r="CI826" s="1801"/>
      <c r="CJ826" s="1704">
        <f>(3.25-CJ824)*CJ823</f>
        <v>-151.42615820477127</v>
      </c>
      <c r="CN826" s="1801"/>
      <c r="CO826" s="1704">
        <f>(3.25-CO824)*CO823</f>
        <v>683.49999999999943</v>
      </c>
      <c r="CT826" s="1704">
        <f>(3.25-CT824)*CT823</f>
        <v>627.49999999999989</v>
      </c>
      <c r="CY826" s="1704">
        <f ca="1">(3.25-CY824)*CY823</f>
        <v>418.33064430655207</v>
      </c>
      <c r="CZ826" s="1704">
        <f ca="1">(3.25-CZ824)*CZ823</f>
        <v>1034.0996059491806</v>
      </c>
      <c r="DA826" s="1704">
        <f ca="1">(3.25-DA824)*DA823</f>
        <v>925.52469073401585</v>
      </c>
      <c r="DB826"/>
      <c r="DC826"/>
      <c r="DD826" s="2373" t="s">
        <v>1612</v>
      </c>
      <c r="DE826" s="2292">
        <f>M826</f>
        <v>0</v>
      </c>
      <c r="DF826" s="2292">
        <f>R826</f>
        <v>0</v>
      </c>
      <c r="DG826" s="2292">
        <f>W826</f>
        <v>0</v>
      </c>
      <c r="DH826" s="2292">
        <f>AB826</f>
        <v>0</v>
      </c>
      <c r="DI826" s="2292">
        <f>AG826</f>
        <v>0</v>
      </c>
      <c r="DJ826" s="2292">
        <f>AL826</f>
        <v>0</v>
      </c>
      <c r="DK826" s="2292">
        <f>AQ826</f>
        <v>0</v>
      </c>
      <c r="DL826" s="2292">
        <f>AV826</f>
        <v>0</v>
      </c>
      <c r="DM826" s="2292">
        <f>BA826</f>
        <v>0</v>
      </c>
      <c r="DN826" s="2292">
        <f>BF826</f>
        <v>0</v>
      </c>
      <c r="DO826" s="2292">
        <f>BK826</f>
        <v>0</v>
      </c>
      <c r="DP826" s="2292">
        <f>BP826</f>
        <v>372.94000000000005</v>
      </c>
      <c r="DQ826" s="2292">
        <f>BU826</f>
        <v>102.78000000000007</v>
      </c>
      <c r="DR826" s="2292">
        <f>BZ826</f>
        <v>137.96307843137035</v>
      </c>
      <c r="DS826" s="2292">
        <f>CE826</f>
        <v>237.80880025105839</v>
      </c>
      <c r="DT826" s="2292">
        <f>CJ826</f>
        <v>-151.42615820477127</v>
      </c>
      <c r="DU826" s="2292">
        <f>CO826</f>
        <v>683.49999999999943</v>
      </c>
      <c r="DV826" s="2292">
        <f>CT826</f>
        <v>627.49999999999989</v>
      </c>
      <c r="DW826" s="2292">
        <f t="shared" ca="1" si="1635"/>
        <v>418.33064430655207</v>
      </c>
      <c r="DX826" s="2292">
        <f t="shared" ca="1" si="1635"/>
        <v>1034.0996059491806</v>
      </c>
      <c r="DY826" s="2292">
        <f t="shared" ca="1" si="1635"/>
        <v>925.52469073401585</v>
      </c>
      <c r="EA826"/>
      <c r="EB826"/>
      <c r="EC826"/>
      <c r="ED826"/>
      <c r="EE826"/>
      <c r="EF826"/>
      <c r="EJ826"/>
      <c r="EK826"/>
      <c r="EL826"/>
      <c r="ER826" s="212"/>
    </row>
    <row r="827" spans="1:148" s="923" customFormat="1" ht="12.75" customHeight="1" x14ac:dyDescent="0.2">
      <c r="A827" s="1731"/>
      <c r="B827" s="1732"/>
      <c r="C827" s="1732"/>
      <c r="D827" s="1732"/>
      <c r="E827" s="1732"/>
      <c r="F827" s="1732"/>
      <c r="G827" s="1732"/>
      <c r="H827" s="1732"/>
      <c r="I827" s="1732"/>
      <c r="J827" s="1732"/>
      <c r="K827" s="1732"/>
      <c r="L827" s="1732"/>
      <c r="M827" s="1235"/>
      <c r="N827" s="1732"/>
      <c r="O827" s="1732"/>
      <c r="P827" s="1732"/>
      <c r="Q827" s="1732"/>
      <c r="R827" s="1235"/>
      <c r="S827" s="1732"/>
      <c r="T827" s="1732"/>
      <c r="U827" s="1732"/>
      <c r="V827" s="1732"/>
      <c r="W827" s="1235"/>
      <c r="X827" s="1732"/>
      <c r="Y827" s="1732"/>
      <c r="Z827" s="1732"/>
      <c r="AA827" s="1732"/>
      <c r="AB827" s="1235"/>
      <c r="AC827" s="1732"/>
      <c r="AD827" s="1732"/>
      <c r="AE827" s="1732"/>
      <c r="AF827" s="1732"/>
      <c r="AG827" s="1235"/>
      <c r="AH827" s="1732"/>
      <c r="AI827" s="1732"/>
      <c r="AJ827" s="1732"/>
      <c r="AK827" s="1732"/>
      <c r="AL827" s="1235"/>
      <c r="AM827" s="1732"/>
      <c r="AN827" s="1732"/>
      <c r="AO827" s="1732"/>
      <c r="AP827" s="1732"/>
      <c r="AQ827" s="1235"/>
      <c r="AR827" s="1732"/>
      <c r="AS827" s="1732"/>
      <c r="AT827" s="1732"/>
      <c r="AU827" s="1732"/>
      <c r="AV827" s="1235"/>
      <c r="AW827" s="1732"/>
      <c r="AX827" s="1732"/>
      <c r="AY827" s="1732"/>
      <c r="AZ827" s="1732"/>
      <c r="BA827" s="1235"/>
      <c r="BB827" s="1732"/>
      <c r="BC827" s="1732"/>
      <c r="BD827" s="1732"/>
      <c r="BE827" s="1732"/>
      <c r="BF827" s="1235"/>
      <c r="BG827" s="1732"/>
      <c r="BH827" s="1732"/>
      <c r="BI827" s="1732"/>
      <c r="BJ827" s="1732"/>
      <c r="BK827" s="1235"/>
      <c r="BL827" s="1732"/>
      <c r="BM827" s="1732"/>
      <c r="BN827" s="1732"/>
      <c r="BO827" s="1732"/>
      <c r="BP827" s="1235"/>
      <c r="BQ827" s="1732"/>
      <c r="BR827" s="1732"/>
      <c r="BS827" s="1732"/>
      <c r="BT827" s="1732"/>
      <c r="BU827" s="1235"/>
      <c r="BV827" s="1732"/>
      <c r="BW827" s="1732"/>
      <c r="BX827" s="1732"/>
      <c r="BY827" s="1732"/>
      <c r="BZ827" s="1235"/>
      <c r="CA827" s="1776"/>
      <c r="CB827" s="1732"/>
      <c r="CC827" s="1732"/>
      <c r="CD827" s="1828"/>
      <c r="CE827" s="1235"/>
      <c r="CF827" s="1732"/>
      <c r="CG827" s="1732"/>
      <c r="CH827" s="1732"/>
      <c r="CI827" s="1828"/>
      <c r="CJ827" s="1235"/>
      <c r="CK827" s="1732"/>
      <c r="CL827" s="1732"/>
      <c r="CM827" s="1732"/>
      <c r="CN827" s="1828"/>
      <c r="CO827" s="1235"/>
      <c r="CP827" s="1732"/>
      <c r="CQ827" s="1732"/>
      <c r="CR827" s="1732"/>
      <c r="CS827" s="1732"/>
      <c r="CT827" s="1235"/>
      <c r="CU827" s="1732"/>
      <c r="CV827" s="1732"/>
      <c r="CW827" s="1732"/>
      <c r="CX827" s="1732"/>
      <c r="CY827" s="1235"/>
      <c r="CZ827" s="1235"/>
      <c r="DA827" s="1235"/>
      <c r="DB827"/>
      <c r="DC827"/>
      <c r="DD827" s="2374"/>
      <c r="DE827" s="2375"/>
      <c r="DF827" s="2375"/>
      <c r="DG827" s="2375"/>
      <c r="DH827" s="2375"/>
      <c r="DI827" s="2375"/>
      <c r="DJ827" s="2375"/>
      <c r="DK827" s="2375"/>
      <c r="DL827" s="2375"/>
      <c r="DM827" s="2375"/>
      <c r="DN827" s="2375"/>
      <c r="DO827" s="2375"/>
      <c r="DP827" s="2375"/>
      <c r="DQ827" s="2375"/>
      <c r="DR827" s="2375"/>
      <c r="DS827" s="2375"/>
      <c r="DT827" s="2375"/>
      <c r="DU827" s="2375"/>
      <c r="DV827" s="2375"/>
      <c r="DW827" s="2375"/>
      <c r="DX827" s="2375"/>
      <c r="DY827" s="2375"/>
      <c r="EA827"/>
      <c r="EB827"/>
      <c r="EC827"/>
      <c r="ED827"/>
      <c r="EE827"/>
      <c r="EF827"/>
      <c r="EJ827"/>
      <c r="EK827"/>
      <c r="EL827"/>
      <c r="ER827" s="212"/>
    </row>
    <row r="828" spans="1:148" s="923" customFormat="1" ht="12.75" customHeight="1" x14ac:dyDescent="0.2">
      <c r="A828" s="867"/>
      <c r="B828" s="215"/>
      <c r="C828" s="215"/>
      <c r="D828" s="215"/>
      <c r="E828" s="215"/>
      <c r="F828" s="215"/>
      <c r="G828" s="215"/>
      <c r="H828" s="215"/>
      <c r="I828" s="215"/>
      <c r="J828" s="215"/>
      <c r="K828" s="215"/>
      <c r="L828" s="215"/>
      <c r="M828" s="215"/>
      <c r="N828" s="215"/>
      <c r="O828" s="215"/>
      <c r="P828" s="215"/>
      <c r="Q828" s="215"/>
      <c r="R828" s="215"/>
      <c r="S828" s="215"/>
      <c r="T828" s="215"/>
      <c r="U828" s="215"/>
      <c r="V828" s="215"/>
      <c r="W828" s="215"/>
      <c r="X828" s="215"/>
      <c r="Y828" s="215"/>
      <c r="Z828" s="215"/>
      <c r="AA828" s="215"/>
      <c r="AB828" s="215"/>
      <c r="AC828" s="215"/>
      <c r="AD828" s="215"/>
      <c r="AE828" s="215"/>
      <c r="AF828" s="215"/>
      <c r="AG828" s="215"/>
      <c r="AH828" s="215"/>
      <c r="AI828" s="215"/>
      <c r="AJ828" s="215"/>
      <c r="AK828" s="215"/>
      <c r="AL828" s="215"/>
      <c r="AM828" s="215"/>
      <c r="AN828" s="215"/>
      <c r="AO828" s="215"/>
      <c r="AP828" s="215"/>
      <c r="AQ828" s="215"/>
      <c r="AR828" s="215"/>
      <c r="AS828" s="215"/>
      <c r="AT828" s="215"/>
      <c r="AU828" s="215"/>
      <c r="AV828" s="215"/>
      <c r="AW828" s="215"/>
      <c r="AX828" s="215"/>
      <c r="AY828" s="215"/>
      <c r="AZ828" s="215"/>
      <c r="BA828" s="215"/>
      <c r="BB828" s="215"/>
      <c r="BC828" s="215"/>
      <c r="BD828" s="215"/>
      <c r="BE828" s="215"/>
      <c r="BF828" s="215"/>
      <c r="BG828" s="215"/>
      <c r="BH828" s="215"/>
      <c r="BI828" s="215"/>
      <c r="BJ828" s="215"/>
      <c r="BK828" s="215"/>
      <c r="BL828" s="215"/>
      <c r="BM828" s="215"/>
      <c r="BN828" s="215"/>
      <c r="BO828" s="215"/>
      <c r="BP828" s="215"/>
      <c r="BQ828" s="215"/>
      <c r="BR828" s="215"/>
      <c r="BS828" s="215"/>
      <c r="BT828" s="215"/>
      <c r="BU828" s="215"/>
      <c r="BV828" s="215"/>
      <c r="BW828" s="215"/>
      <c r="BX828" s="215"/>
      <c r="BY828" s="215"/>
      <c r="BZ828" s="215"/>
      <c r="CA828" s="215"/>
      <c r="CB828" s="215"/>
      <c r="CC828" s="215"/>
      <c r="CD828" s="215"/>
      <c r="CE828" s="215"/>
      <c r="CF828" s="215"/>
      <c r="CG828" s="215"/>
      <c r="CH828" s="215"/>
      <c r="CI828" s="215"/>
      <c r="CJ828" s="215"/>
      <c r="CK828" s="215"/>
      <c r="CL828" s="215"/>
      <c r="CM828" s="215"/>
      <c r="CN828" s="215"/>
      <c r="CO828" s="215"/>
      <c r="CP828" s="215"/>
      <c r="CQ828" s="215"/>
      <c r="CR828" s="215"/>
      <c r="CS828" s="215"/>
      <c r="CT828" s="215"/>
      <c r="CU828" s="215"/>
      <c r="CV828" s="215"/>
      <c r="CW828" s="215"/>
      <c r="CX828" s="215"/>
      <c r="CY828" s="215"/>
      <c r="CZ828" s="215"/>
      <c r="DA828" s="215"/>
      <c r="DB828"/>
      <c r="DC828"/>
      <c r="DD828" s="867"/>
      <c r="DE828" s="2327"/>
      <c r="DF828" s="2327"/>
      <c r="DG828" s="2327"/>
      <c r="DH828" s="2327"/>
      <c r="DI828" s="2327"/>
      <c r="DJ828" s="2327"/>
      <c r="DK828" s="2327"/>
      <c r="DL828" s="2327"/>
      <c r="DM828" s="2327"/>
      <c r="DN828" s="2327"/>
      <c r="DO828" s="2327"/>
      <c r="DP828" s="2327"/>
      <c r="DQ828" s="2327"/>
      <c r="DR828" s="2327"/>
      <c r="DS828" s="2327"/>
      <c r="DT828" s="2327"/>
      <c r="DU828" s="2327"/>
      <c r="DV828" s="2327"/>
      <c r="DW828" s="2327"/>
      <c r="DX828" s="2327"/>
      <c r="DY828" s="2327"/>
      <c r="EA828"/>
      <c r="EB828"/>
      <c r="EC828"/>
      <c r="ED828"/>
      <c r="EE828"/>
      <c r="EF828"/>
      <c r="EJ828"/>
      <c r="EK828"/>
      <c r="EL828"/>
      <c r="ER828" s="212"/>
    </row>
    <row r="829" spans="1:148" s="923" customFormat="1" ht="12.75" customHeight="1" x14ac:dyDescent="0.2">
      <c r="A829" s="873" t="s">
        <v>449</v>
      </c>
      <c r="B829" s="963"/>
      <c r="C829" s="963"/>
      <c r="D829" s="963"/>
      <c r="E829" s="963"/>
      <c r="F829" s="963"/>
      <c r="G829" s="963"/>
      <c r="H829" s="963"/>
      <c r="I829" s="963" t="str">
        <f t="shared" ref="I829:AN829" si="1636">I$5</f>
        <v>1Q00</v>
      </c>
      <c r="J829" s="963" t="str">
        <f t="shared" si="1636"/>
        <v>2Q00</v>
      </c>
      <c r="K829" s="963" t="str">
        <f t="shared" si="1636"/>
        <v>3Q00</v>
      </c>
      <c r="L829" s="963" t="str">
        <f t="shared" si="1636"/>
        <v>4Q00</v>
      </c>
      <c r="M829" s="649">
        <f t="shared" si="1636"/>
        <v>2000</v>
      </c>
      <c r="N829" s="963" t="str">
        <f t="shared" si="1636"/>
        <v>1Q01</v>
      </c>
      <c r="O829" s="963" t="str">
        <f t="shared" si="1636"/>
        <v>2Q01</v>
      </c>
      <c r="P829" s="963" t="str">
        <f t="shared" si="1636"/>
        <v>3Q01</v>
      </c>
      <c r="Q829" s="963" t="str">
        <f t="shared" si="1636"/>
        <v>4Q01</v>
      </c>
      <c r="R829" s="649">
        <f t="shared" si="1636"/>
        <v>2001</v>
      </c>
      <c r="S829" s="963" t="str">
        <f t="shared" si="1636"/>
        <v>1Q02</v>
      </c>
      <c r="T829" s="963" t="str">
        <f t="shared" si="1636"/>
        <v>2Q02</v>
      </c>
      <c r="U829" s="963" t="str">
        <f t="shared" si="1636"/>
        <v>3Q02</v>
      </c>
      <c r="V829" s="963" t="str">
        <f t="shared" si="1636"/>
        <v>4Q02</v>
      </c>
      <c r="W829" s="649">
        <f t="shared" si="1636"/>
        <v>2002</v>
      </c>
      <c r="X829" s="963" t="str">
        <f t="shared" si="1636"/>
        <v>1Q03</v>
      </c>
      <c r="Y829" s="963" t="str">
        <f t="shared" si="1636"/>
        <v>2Q03</v>
      </c>
      <c r="Z829" s="963" t="str">
        <f t="shared" si="1636"/>
        <v>3Q03</v>
      </c>
      <c r="AA829" s="963" t="str">
        <f t="shared" si="1636"/>
        <v>4Q03</v>
      </c>
      <c r="AB829" s="649">
        <f t="shared" si="1636"/>
        <v>2003</v>
      </c>
      <c r="AC829" s="963" t="str">
        <f t="shared" si="1636"/>
        <v>1Q04</v>
      </c>
      <c r="AD829" s="963" t="str">
        <f t="shared" si="1636"/>
        <v>2Q04</v>
      </c>
      <c r="AE829" s="963" t="str">
        <f t="shared" si="1636"/>
        <v>3Q04</v>
      </c>
      <c r="AF829" s="963" t="str">
        <f t="shared" si="1636"/>
        <v>4Q04</v>
      </c>
      <c r="AG829" s="649" t="str">
        <f t="shared" si="1636"/>
        <v>2004</v>
      </c>
      <c r="AH829" s="963" t="str">
        <f t="shared" si="1636"/>
        <v>1Q05</v>
      </c>
      <c r="AI829" s="963" t="str">
        <f t="shared" si="1636"/>
        <v>2Q05</v>
      </c>
      <c r="AJ829" s="963" t="str">
        <f t="shared" si="1636"/>
        <v>3Q05</v>
      </c>
      <c r="AK829" s="963" t="str">
        <f t="shared" si="1636"/>
        <v>4Q05</v>
      </c>
      <c r="AL829" s="649" t="str">
        <f t="shared" si="1636"/>
        <v>2005</v>
      </c>
      <c r="AM829" s="963" t="str">
        <f t="shared" si="1636"/>
        <v>1Q06</v>
      </c>
      <c r="AN829" s="963" t="str">
        <f t="shared" si="1636"/>
        <v>2Q06</v>
      </c>
      <c r="AO829" s="963" t="str">
        <f t="shared" ref="AO829:BT829" si="1637">AO$5</f>
        <v>3Q06</v>
      </c>
      <c r="AP829" s="963" t="str">
        <f t="shared" si="1637"/>
        <v>4Q06</v>
      </c>
      <c r="AQ829" s="649" t="str">
        <f t="shared" si="1637"/>
        <v>2006</v>
      </c>
      <c r="AR829" s="963" t="str">
        <f t="shared" si="1637"/>
        <v>1Q07</v>
      </c>
      <c r="AS829" s="963" t="str">
        <f t="shared" si="1637"/>
        <v>2Q07</v>
      </c>
      <c r="AT829" s="963" t="str">
        <f t="shared" si="1637"/>
        <v>3Q07</v>
      </c>
      <c r="AU829" s="963" t="str">
        <f t="shared" si="1637"/>
        <v>4Q07</v>
      </c>
      <c r="AV829" s="649" t="str">
        <f t="shared" si="1637"/>
        <v>2007</v>
      </c>
      <c r="AW829" s="963" t="str">
        <f t="shared" si="1637"/>
        <v>1Q08</v>
      </c>
      <c r="AX829" s="963" t="str">
        <f t="shared" si="1637"/>
        <v>2Q08</v>
      </c>
      <c r="AY829" s="963" t="str">
        <f t="shared" si="1637"/>
        <v>3Q08</v>
      </c>
      <c r="AZ829" s="963" t="str">
        <f t="shared" si="1637"/>
        <v>4Q08</v>
      </c>
      <c r="BA829" s="649" t="str">
        <f t="shared" si="1637"/>
        <v>2008</v>
      </c>
      <c r="BB829" s="963" t="str">
        <f t="shared" si="1637"/>
        <v>1Q09</v>
      </c>
      <c r="BC829" s="963" t="str">
        <f t="shared" si="1637"/>
        <v>2Q09</v>
      </c>
      <c r="BD829" s="963" t="str">
        <f t="shared" si="1637"/>
        <v>3Q09</v>
      </c>
      <c r="BE829" s="963" t="str">
        <f t="shared" si="1637"/>
        <v>4Q09</v>
      </c>
      <c r="BF829" s="649" t="str">
        <f t="shared" si="1637"/>
        <v>2009</v>
      </c>
      <c r="BG829" s="963" t="str">
        <f t="shared" si="1637"/>
        <v>1Q10</v>
      </c>
      <c r="BH829" s="963" t="str">
        <f t="shared" si="1637"/>
        <v>2Q10</v>
      </c>
      <c r="BI829" s="963" t="str">
        <f t="shared" si="1637"/>
        <v>3Q10</v>
      </c>
      <c r="BJ829" s="963" t="str">
        <f t="shared" si="1637"/>
        <v>4Q10</v>
      </c>
      <c r="BK829" s="649" t="str">
        <f t="shared" si="1637"/>
        <v>2010</v>
      </c>
      <c r="BL829" s="963" t="str">
        <f t="shared" si="1637"/>
        <v>1Q11</v>
      </c>
      <c r="BM829" s="963" t="str">
        <f t="shared" si="1637"/>
        <v>2Q11</v>
      </c>
      <c r="BN829" s="963" t="str">
        <f t="shared" si="1637"/>
        <v>3Q11</v>
      </c>
      <c r="BO829" s="963" t="str">
        <f t="shared" si="1637"/>
        <v>4Q11</v>
      </c>
      <c r="BP829" s="649">
        <f t="shared" si="1637"/>
        <v>2011</v>
      </c>
      <c r="BQ829" s="963" t="str">
        <f t="shared" si="1637"/>
        <v>1Q12</v>
      </c>
      <c r="BR829" s="963" t="str">
        <f t="shared" si="1637"/>
        <v>2Q12</v>
      </c>
      <c r="BS829" s="963" t="str">
        <f t="shared" si="1637"/>
        <v>3Q12</v>
      </c>
      <c r="BT829" s="963" t="str">
        <f t="shared" si="1637"/>
        <v>4Q12</v>
      </c>
      <c r="BU829" s="649">
        <f t="shared" ref="BU829:DA829" si="1638">BU$5</f>
        <v>2012</v>
      </c>
      <c r="BV829" s="963" t="str">
        <f t="shared" si="1638"/>
        <v>1Q13</v>
      </c>
      <c r="BW829" s="963" t="str">
        <f t="shared" si="1638"/>
        <v>2Q13</v>
      </c>
      <c r="BX829" s="963" t="str">
        <f t="shared" si="1638"/>
        <v>3Q13</v>
      </c>
      <c r="BY829" s="963" t="str">
        <f t="shared" si="1638"/>
        <v>4Q13</v>
      </c>
      <c r="BZ829" s="649">
        <f t="shared" si="1638"/>
        <v>2013</v>
      </c>
      <c r="CA829" s="1768" t="str">
        <f t="shared" si="1638"/>
        <v>1Q14</v>
      </c>
      <c r="CB829" s="963" t="str">
        <f t="shared" si="1638"/>
        <v>2Q14</v>
      </c>
      <c r="CC829" s="963" t="str">
        <f t="shared" si="1638"/>
        <v>3Q14</v>
      </c>
      <c r="CD829" s="964" t="str">
        <f t="shared" si="1638"/>
        <v>4Q14</v>
      </c>
      <c r="CE829" s="649">
        <f t="shared" si="1638"/>
        <v>2014</v>
      </c>
      <c r="CF829" s="963" t="str">
        <f t="shared" si="1638"/>
        <v>1Q15</v>
      </c>
      <c r="CG829" s="963" t="str">
        <f t="shared" si="1638"/>
        <v>2Q15</v>
      </c>
      <c r="CH829" s="963" t="str">
        <f t="shared" si="1638"/>
        <v>3Q15</v>
      </c>
      <c r="CI829" s="964" t="str">
        <f t="shared" si="1638"/>
        <v>4Q15</v>
      </c>
      <c r="CJ829" s="649">
        <f t="shared" si="1638"/>
        <v>2015</v>
      </c>
      <c r="CK829" s="963" t="str">
        <f t="shared" si="1638"/>
        <v>1Q16</v>
      </c>
      <c r="CL829" s="963" t="str">
        <f t="shared" si="1638"/>
        <v>2Q16</v>
      </c>
      <c r="CM829" s="963" t="str">
        <f t="shared" si="1638"/>
        <v>3Q16</v>
      </c>
      <c r="CN829" s="964" t="str">
        <f t="shared" si="1638"/>
        <v>4Q16</v>
      </c>
      <c r="CO829" s="649">
        <f t="shared" si="1638"/>
        <v>2016</v>
      </c>
      <c r="CP829" s="963" t="str">
        <f t="shared" si="1638"/>
        <v>1Q17</v>
      </c>
      <c r="CQ829" s="963" t="str">
        <f t="shared" si="1638"/>
        <v>2Q17</v>
      </c>
      <c r="CR829" s="963" t="str">
        <f t="shared" si="1638"/>
        <v>3Q17</v>
      </c>
      <c r="CS829" s="964" t="str">
        <f t="shared" si="1638"/>
        <v>4Q17A</v>
      </c>
      <c r="CT829" s="649" t="str">
        <f t="shared" si="1638"/>
        <v>2017A</v>
      </c>
      <c r="CU829" s="963" t="str">
        <f t="shared" si="1638"/>
        <v>1Q18E</v>
      </c>
      <c r="CV829" s="963" t="str">
        <f t="shared" si="1638"/>
        <v>2Q18E</v>
      </c>
      <c r="CW829" s="963" t="str">
        <f t="shared" si="1638"/>
        <v>3Q18E</v>
      </c>
      <c r="CX829" s="964" t="str">
        <f t="shared" si="1638"/>
        <v>4Q18E</v>
      </c>
      <c r="CY829" s="649" t="str">
        <f t="shared" si="1638"/>
        <v>2018E</v>
      </c>
      <c r="CZ829" s="649" t="str">
        <f t="shared" si="1638"/>
        <v>2019E</v>
      </c>
      <c r="DA829" s="649" t="str">
        <f t="shared" si="1638"/>
        <v>2020E</v>
      </c>
      <c r="DB829"/>
      <c r="DC829"/>
      <c r="DD829" s="873" t="s">
        <v>449</v>
      </c>
      <c r="DE829" s="649">
        <f>M829</f>
        <v>2000</v>
      </c>
      <c r="DF829" s="649">
        <f>R829</f>
        <v>2001</v>
      </c>
      <c r="DG829" s="649">
        <f>W829</f>
        <v>2002</v>
      </c>
      <c r="DH829" s="649">
        <f>AB829</f>
        <v>2003</v>
      </c>
      <c r="DI829" s="649" t="str">
        <f>AG829</f>
        <v>2004</v>
      </c>
      <c r="DJ829" s="649" t="str">
        <f>AL829</f>
        <v>2005</v>
      </c>
      <c r="DK829" s="649" t="str">
        <f>AQ829</f>
        <v>2006</v>
      </c>
      <c r="DL829" s="649" t="str">
        <f>AV829</f>
        <v>2007</v>
      </c>
      <c r="DM829" s="649" t="str">
        <f>BA829</f>
        <v>2008</v>
      </c>
      <c r="DN829" s="649" t="str">
        <f>BF829</f>
        <v>2009</v>
      </c>
      <c r="DO829" s="649" t="str">
        <f>BK829</f>
        <v>2010</v>
      </c>
      <c r="DP829" s="649">
        <f>BP829</f>
        <v>2011</v>
      </c>
      <c r="DQ829" s="649">
        <f>BU829</f>
        <v>2012</v>
      </c>
      <c r="DR829" s="649">
        <f>BZ829</f>
        <v>2013</v>
      </c>
      <c r="DS829" s="649">
        <f>CE829</f>
        <v>2014</v>
      </c>
      <c r="DT829" s="649">
        <f>CJ829</f>
        <v>2015</v>
      </c>
      <c r="DU829" s="649">
        <f>CO829</f>
        <v>2016</v>
      </c>
      <c r="DV829" s="649" t="str">
        <f>CT829</f>
        <v>2017A</v>
      </c>
      <c r="DW829" s="649" t="str">
        <f>CY829</f>
        <v>2018E</v>
      </c>
      <c r="DX829" s="649" t="str">
        <f>CZ829</f>
        <v>2019E</v>
      </c>
      <c r="DY829" s="649" t="str">
        <f>DA829</f>
        <v>2020E</v>
      </c>
      <c r="EA829"/>
      <c r="EB829"/>
      <c r="EC829"/>
      <c r="ED829"/>
      <c r="EE829"/>
      <c r="EF829"/>
      <c r="EJ829"/>
      <c r="EK829"/>
      <c r="EL829"/>
      <c r="ER829" s="212"/>
    </row>
    <row r="830" spans="1:148" s="923" customFormat="1" ht="12.75" customHeight="1" x14ac:dyDescent="0.2">
      <c r="A830" s="879"/>
      <c r="B830" s="215"/>
      <c r="C830" s="215"/>
      <c r="D830" s="215"/>
      <c r="E830" s="215"/>
      <c r="F830" s="215"/>
      <c r="G830" s="215"/>
      <c r="H830" s="215"/>
      <c r="I830" s="215"/>
      <c r="J830" s="215"/>
      <c r="K830" s="215"/>
      <c r="L830" s="215"/>
      <c r="M830" s="968"/>
      <c r="N830" s="215"/>
      <c r="O830" s="215"/>
      <c r="P830" s="215"/>
      <c r="Q830" s="215"/>
      <c r="R830" s="968"/>
      <c r="S830" s="215"/>
      <c r="T830" s="215"/>
      <c r="U830" s="215"/>
      <c r="V830" s="215"/>
      <c r="W830" s="968"/>
      <c r="X830" s="215"/>
      <c r="Y830" s="215"/>
      <c r="Z830" s="215"/>
      <c r="AA830" s="215"/>
      <c r="AB830" s="968"/>
      <c r="AC830" s="215"/>
      <c r="AD830" s="215"/>
      <c r="AE830" s="215"/>
      <c r="AF830" s="215"/>
      <c r="AG830" s="968"/>
      <c r="AH830" s="215"/>
      <c r="AI830" s="215"/>
      <c r="AJ830" s="215"/>
      <c r="AK830" s="215"/>
      <c r="AL830" s="968"/>
      <c r="AM830" s="215"/>
      <c r="AN830" s="215"/>
      <c r="AO830" s="215"/>
      <c r="AP830" s="215"/>
      <c r="AQ830" s="968"/>
      <c r="AR830" s="215"/>
      <c r="AS830" s="215"/>
      <c r="AT830" s="215"/>
      <c r="AU830" s="215"/>
      <c r="AV830" s="968"/>
      <c r="AW830" s="215"/>
      <c r="AX830" s="215"/>
      <c r="AY830" s="215"/>
      <c r="AZ830" s="215"/>
      <c r="BA830" s="968"/>
      <c r="BB830" s="215"/>
      <c r="BC830" s="215"/>
      <c r="BD830" s="215"/>
      <c r="BE830" s="215"/>
      <c r="BF830" s="968"/>
      <c r="BG830" s="215"/>
      <c r="BH830" s="215"/>
      <c r="BI830" s="215"/>
      <c r="BJ830" s="215"/>
      <c r="BK830" s="968"/>
      <c r="BL830" s="215"/>
      <c r="BM830" s="215"/>
      <c r="BN830" s="215"/>
      <c r="BO830" s="215"/>
      <c r="BP830" s="968"/>
      <c r="BQ830" s="215"/>
      <c r="BR830" s="215"/>
      <c r="BS830" s="215"/>
      <c r="BT830" s="215"/>
      <c r="BU830" s="968"/>
      <c r="BV830" s="215"/>
      <c r="BW830" s="215"/>
      <c r="BX830" s="215"/>
      <c r="BY830" s="215"/>
      <c r="BZ830" s="968"/>
      <c r="CA830" s="188"/>
      <c r="CB830" s="215"/>
      <c r="CC830" s="215"/>
      <c r="CD830" s="1788"/>
      <c r="CE830" s="968"/>
      <c r="CF830" s="215"/>
      <c r="CG830" s="215"/>
      <c r="CH830" s="215"/>
      <c r="CI830" s="1788"/>
      <c r="CJ830" s="968"/>
      <c r="CK830" s="215"/>
      <c r="CL830" s="215"/>
      <c r="CM830" s="215"/>
      <c r="CN830" s="1788"/>
      <c r="CO830" s="968"/>
      <c r="CP830" s="215"/>
      <c r="CQ830" s="215"/>
      <c r="CR830" s="215"/>
      <c r="CS830" s="215"/>
      <c r="CT830" s="968"/>
      <c r="CU830" s="215"/>
      <c r="CV830" s="215"/>
      <c r="CW830" s="215"/>
      <c r="CX830" s="215"/>
      <c r="CY830" s="968"/>
      <c r="CZ830" s="968"/>
      <c r="DA830" s="968"/>
      <c r="DB830"/>
      <c r="DC830"/>
      <c r="DD830" s="867"/>
      <c r="DE830" s="2290"/>
      <c r="DF830" s="2290"/>
      <c r="DG830" s="2290"/>
      <c r="DH830" s="2290"/>
      <c r="DI830" s="2290"/>
      <c r="DJ830" s="2290"/>
      <c r="DK830" s="2290"/>
      <c r="DL830" s="2290"/>
      <c r="DM830" s="2290"/>
      <c r="DN830" s="2290"/>
      <c r="DO830" s="2290"/>
      <c r="DP830" s="2290"/>
      <c r="DQ830" s="2290"/>
      <c r="DR830" s="2290"/>
      <c r="DS830" s="2290"/>
      <c r="DT830" s="2290"/>
      <c r="DU830" s="2290"/>
      <c r="DV830" s="2290"/>
      <c r="DW830" s="2290"/>
      <c r="DX830" s="2290"/>
      <c r="DY830" s="2290"/>
      <c r="EA830"/>
      <c r="EB830"/>
      <c r="EC830"/>
      <c r="ED830"/>
      <c r="EE830"/>
      <c r="EF830"/>
      <c r="EJ830"/>
      <c r="EK830"/>
      <c r="EL830"/>
      <c r="ER830" s="212"/>
    </row>
    <row r="831" spans="1:148" s="923" customFormat="1" ht="12.75" customHeight="1" x14ac:dyDescent="0.2">
      <c r="A831" s="867" t="s">
        <v>1071</v>
      </c>
      <c r="B831" s="215"/>
      <c r="C831" s="215"/>
      <c r="D831" s="215"/>
      <c r="E831" s="215"/>
      <c r="F831" s="215"/>
      <c r="G831" s="215"/>
      <c r="H831" s="215"/>
      <c r="I831" s="215"/>
      <c r="J831" s="215"/>
      <c r="K831" s="215"/>
      <c r="L831" s="215"/>
      <c r="M831" s="968"/>
      <c r="N831" s="215"/>
      <c r="O831" s="215"/>
      <c r="P831" s="215"/>
      <c r="Q831" s="215"/>
      <c r="R831" s="968"/>
      <c r="S831" s="215"/>
      <c r="T831" s="215"/>
      <c r="U831" s="215"/>
      <c r="V831" s="215"/>
      <c r="W831" s="968"/>
      <c r="X831" s="215"/>
      <c r="Y831" s="215"/>
      <c r="Z831" s="215"/>
      <c r="AA831" s="215"/>
      <c r="AB831" s="968"/>
      <c r="AC831" s="215"/>
      <c r="AD831" s="215"/>
      <c r="AE831" s="215"/>
      <c r="AF831" s="215"/>
      <c r="AG831" s="968"/>
      <c r="AH831" s="215"/>
      <c r="AI831" s="215"/>
      <c r="AJ831" s="215"/>
      <c r="AK831" s="215"/>
      <c r="AL831" s="968"/>
      <c r="AM831" s="215"/>
      <c r="AN831" s="215"/>
      <c r="AO831" s="215"/>
      <c r="AP831" s="215"/>
      <c r="AQ831" s="968"/>
      <c r="AR831" s="215"/>
      <c r="AS831" s="215"/>
      <c r="AT831" s="215"/>
      <c r="AU831" s="215"/>
      <c r="AV831" s="968"/>
      <c r="AW831" s="215"/>
      <c r="AX831" s="215"/>
      <c r="AY831" s="215"/>
      <c r="AZ831" s="215"/>
      <c r="BA831" s="968"/>
      <c r="BB831" s="215"/>
      <c r="BC831" s="215"/>
      <c r="BD831" s="215"/>
      <c r="BE831" s="215"/>
      <c r="BF831" s="968"/>
      <c r="BG831" s="215"/>
      <c r="BH831" s="215"/>
      <c r="BI831" s="215"/>
      <c r="BJ831" s="215"/>
      <c r="BK831" s="968"/>
      <c r="BL831" s="215"/>
      <c r="BM831" s="215"/>
      <c r="BN831" s="215"/>
      <c r="BO831" s="215"/>
      <c r="BP831" s="968"/>
      <c r="BQ831" s="215"/>
      <c r="BR831" s="215"/>
      <c r="BS831" s="215"/>
      <c r="BT831" s="215"/>
      <c r="BU831" s="968"/>
      <c r="BV831" s="215"/>
      <c r="BW831" s="215"/>
      <c r="BX831" s="215"/>
      <c r="BY831" s="215"/>
      <c r="BZ831" s="968"/>
      <c r="CA831" s="188"/>
      <c r="CB831" s="215"/>
      <c r="CC831" s="215"/>
      <c r="CD831" s="1788"/>
      <c r="CE831" s="968"/>
      <c r="CF831" s="215"/>
      <c r="CG831" s="215"/>
      <c r="CH831" s="215"/>
      <c r="CI831" s="1788"/>
      <c r="CJ831" s="968"/>
      <c r="CK831" s="215"/>
      <c r="CL831" s="215"/>
      <c r="CM831" s="215"/>
      <c r="CN831" s="1788"/>
      <c r="CO831" s="968"/>
      <c r="CP831" s="215"/>
      <c r="CQ831" s="215"/>
      <c r="CR831" s="215"/>
      <c r="CS831" s="215"/>
      <c r="CT831" s="968"/>
      <c r="CU831" s="215"/>
      <c r="CV831" s="215"/>
      <c r="CW831" s="215"/>
      <c r="CX831" s="215"/>
      <c r="CY831" s="968"/>
      <c r="CZ831" s="968"/>
      <c r="DA831" s="968"/>
      <c r="DB831"/>
      <c r="DC831"/>
      <c r="DD831" s="867" t="s">
        <v>1071</v>
      </c>
      <c r="DE831" s="2290"/>
      <c r="DF831" s="2290"/>
      <c r="DG831" s="2290"/>
      <c r="DH831" s="2290"/>
      <c r="DI831" s="2290"/>
      <c r="DJ831" s="2290"/>
      <c r="DK831" s="2290"/>
      <c r="DL831" s="2290"/>
      <c r="DM831" s="2290"/>
      <c r="DN831" s="2290"/>
      <c r="DO831" s="2290"/>
      <c r="DP831" s="2290"/>
      <c r="DQ831" s="2290"/>
      <c r="DR831" s="2290"/>
      <c r="DS831" s="2290"/>
      <c r="DT831" s="2290"/>
      <c r="DU831" s="2290"/>
      <c r="DV831" s="2290"/>
      <c r="DW831" s="2290"/>
      <c r="DX831" s="2290"/>
      <c r="DY831" s="2290"/>
      <c r="EA831"/>
      <c r="EB831"/>
      <c r="EC831"/>
      <c r="ED831"/>
      <c r="EE831"/>
      <c r="EF831"/>
      <c r="EJ831"/>
      <c r="EK831"/>
      <c r="EL831"/>
      <c r="ER831" s="212"/>
    </row>
    <row r="832" spans="1:148" s="1703" customFormat="1" ht="12.75" customHeight="1" x14ac:dyDescent="0.2">
      <c r="A832" s="2174" t="s">
        <v>749</v>
      </c>
      <c r="B832" s="1485"/>
      <c r="C832" s="1485"/>
      <c r="D832" s="1485"/>
      <c r="E832" s="1485"/>
      <c r="F832" s="1485"/>
      <c r="G832" s="1485"/>
      <c r="H832" s="1485"/>
      <c r="I832" s="1485">
        <v>24</v>
      </c>
      <c r="J832" s="1485">
        <v>24</v>
      </c>
      <c r="K832" s="1485">
        <v>24</v>
      </c>
      <c r="L832" s="1485">
        <v>24</v>
      </c>
      <c r="M832" s="1704">
        <f>L832</f>
        <v>24</v>
      </c>
      <c r="N832" s="1485">
        <v>24</v>
      </c>
      <c r="O832" s="1485">
        <v>24</v>
      </c>
      <c r="P832" s="1485">
        <v>24</v>
      </c>
      <c r="Q832" s="1485">
        <v>1043</v>
      </c>
      <c r="R832" s="1704">
        <f>Q832</f>
        <v>1043</v>
      </c>
      <c r="S832" s="1485">
        <v>411</v>
      </c>
      <c r="T832" s="1485">
        <v>442</v>
      </c>
      <c r="U832" s="1485">
        <v>339</v>
      </c>
      <c r="V832" s="1485">
        <v>21</v>
      </c>
      <c r="W832" s="1704">
        <f>V832</f>
        <v>21</v>
      </c>
      <c r="X832" s="1485">
        <v>385</v>
      </c>
      <c r="Y832" s="1485">
        <v>0</v>
      </c>
      <c r="Z832" s="1485">
        <v>67</v>
      </c>
      <c r="AA832" s="1485">
        <v>0</v>
      </c>
      <c r="AB832" s="1704">
        <f>AA832</f>
        <v>0</v>
      </c>
      <c r="AC832" s="1485">
        <v>0</v>
      </c>
      <c r="AD832" s="1485">
        <v>0</v>
      </c>
      <c r="AE832" s="1485">
        <v>0</v>
      </c>
      <c r="AF832" s="1485">
        <v>0</v>
      </c>
      <c r="AG832" s="1704">
        <f>AF832</f>
        <v>0</v>
      </c>
      <c r="AH832" s="1485">
        <v>0</v>
      </c>
      <c r="AI832" s="1485">
        <v>0</v>
      </c>
      <c r="AJ832" s="1485">
        <v>0</v>
      </c>
      <c r="AK832" s="1485">
        <v>0</v>
      </c>
      <c r="AL832" s="1704">
        <f>AK832</f>
        <v>0</v>
      </c>
      <c r="AM832" s="1485">
        <v>0</v>
      </c>
      <c r="AN832" s="1485">
        <v>0</v>
      </c>
      <c r="AO832" s="1485">
        <v>0</v>
      </c>
      <c r="AP832" s="1485">
        <v>0</v>
      </c>
      <c r="AQ832" s="1704">
        <f>AP832</f>
        <v>0</v>
      </c>
      <c r="AR832" s="1485">
        <v>0</v>
      </c>
      <c r="AS832" s="1485">
        <v>0</v>
      </c>
      <c r="AT832" s="1485">
        <v>0</v>
      </c>
      <c r="AU832" s="1485">
        <v>0</v>
      </c>
      <c r="AV832" s="1704">
        <f>AU832</f>
        <v>0</v>
      </c>
      <c r="AW832" s="1485">
        <v>0</v>
      </c>
      <c r="AX832" s="1485">
        <v>0</v>
      </c>
      <c r="AY832" s="1485">
        <f>AX832</f>
        <v>0</v>
      </c>
      <c r="AZ832" s="1485">
        <v>969</v>
      </c>
      <c r="BA832" s="1704">
        <f>AZ832</f>
        <v>969</v>
      </c>
      <c r="BB832" s="1485">
        <v>1000</v>
      </c>
      <c r="BC832" s="1485">
        <v>896</v>
      </c>
      <c r="BD832" s="1485">
        <v>710</v>
      </c>
      <c r="BE832" s="1485">
        <v>425</v>
      </c>
      <c r="BF832" s="1704">
        <f>BE832</f>
        <v>425</v>
      </c>
      <c r="BG832" s="1485">
        <v>396</v>
      </c>
      <c r="BH832" s="1485">
        <v>96</v>
      </c>
      <c r="BI832" s="1485">
        <v>0</v>
      </c>
      <c r="BJ832" s="1485">
        <v>0</v>
      </c>
      <c r="BK832" s="1704">
        <f>BJ832</f>
        <v>0</v>
      </c>
      <c r="BL832" s="1485">
        <f>+BK832</f>
        <v>0</v>
      </c>
      <c r="BM832" s="1485">
        <v>0</v>
      </c>
      <c r="BN832" s="1485">
        <v>0</v>
      </c>
      <c r="BO832" s="1485">
        <v>0</v>
      </c>
      <c r="BP832" s="1704">
        <f>BO832</f>
        <v>0</v>
      </c>
      <c r="BQ832" s="1485">
        <v>0</v>
      </c>
      <c r="BR832" s="1485">
        <v>0</v>
      </c>
      <c r="BS832" s="1485">
        <v>0</v>
      </c>
      <c r="BT832" s="1485">
        <v>15</v>
      </c>
      <c r="BU832" s="1704">
        <f>BT832</f>
        <v>15</v>
      </c>
      <c r="BV832" s="1485">
        <v>0</v>
      </c>
      <c r="BW832" s="1485">
        <v>0</v>
      </c>
      <c r="BX832" s="1485">
        <v>0</v>
      </c>
      <c r="BY832" s="1485">
        <v>0</v>
      </c>
      <c r="BZ832" s="1704">
        <f>BY832</f>
        <v>0</v>
      </c>
      <c r="CA832" s="1485">
        <v>0</v>
      </c>
      <c r="CB832" s="1485">
        <v>0</v>
      </c>
      <c r="CC832" s="1485">
        <v>0</v>
      </c>
      <c r="CD832" s="1485">
        <f>+CC832</f>
        <v>0</v>
      </c>
      <c r="CE832" s="1704">
        <f>CD832</f>
        <v>0</v>
      </c>
      <c r="CF832" s="1485">
        <v>0</v>
      </c>
      <c r="CG832" s="1485">
        <v>0</v>
      </c>
      <c r="CH832" s="1485">
        <v>0</v>
      </c>
      <c r="CI832" s="1485">
        <v>0</v>
      </c>
      <c r="CJ832" s="1704">
        <f>CI832</f>
        <v>0</v>
      </c>
      <c r="CK832" s="1485">
        <v>0</v>
      </c>
      <c r="CL832" s="1485">
        <v>0</v>
      </c>
      <c r="CM832" s="1485">
        <v>989</v>
      </c>
      <c r="CN832" s="1485">
        <v>0</v>
      </c>
      <c r="CO832" s="1704">
        <f>CN832</f>
        <v>0</v>
      </c>
      <c r="CP832" s="2443">
        <f>+CO832</f>
        <v>0</v>
      </c>
      <c r="CQ832" s="2443">
        <f>+CP832</f>
        <v>0</v>
      </c>
      <c r="CR832" s="2443">
        <f>+CQ832</f>
        <v>0</v>
      </c>
      <c r="CS832" s="2935">
        <v>0</v>
      </c>
      <c r="CT832" s="2292">
        <f>CS832</f>
        <v>0</v>
      </c>
      <c r="CU832" s="3675">
        <f>CT832+200</f>
        <v>200</v>
      </c>
      <c r="CV832" s="3659">
        <v>500</v>
      </c>
      <c r="CW832" s="3659">
        <v>700</v>
      </c>
      <c r="CX832" s="3676">
        <v>800</v>
      </c>
      <c r="CY832" s="2775">
        <f>CX832</f>
        <v>800</v>
      </c>
      <c r="CZ832" s="3131">
        <f>+CY832+650</f>
        <v>1450</v>
      </c>
      <c r="DA832" s="2292">
        <f>+CZ832</f>
        <v>1450</v>
      </c>
      <c r="DB832"/>
      <c r="DC832"/>
      <c r="DD832" s="2376" t="s">
        <v>749</v>
      </c>
      <c r="DE832" s="2292">
        <f>M832</f>
        <v>24</v>
      </c>
      <c r="DF832" s="2292">
        <f>R832</f>
        <v>1043</v>
      </c>
      <c r="DG832" s="2292">
        <f>W832</f>
        <v>21</v>
      </c>
      <c r="DH832" s="2292">
        <f>AB832</f>
        <v>0</v>
      </c>
      <c r="DI832" s="2292">
        <f>AG832</f>
        <v>0</v>
      </c>
      <c r="DJ832" s="2292">
        <f>AL832</f>
        <v>0</v>
      </c>
      <c r="DK832" s="2292">
        <f>AQ832</f>
        <v>0</v>
      </c>
      <c r="DL832" s="2292">
        <f>AV832</f>
        <v>0</v>
      </c>
      <c r="DM832" s="2292">
        <f>BA832</f>
        <v>969</v>
      </c>
      <c r="DN832" s="2292">
        <f>BF832</f>
        <v>425</v>
      </c>
      <c r="DO832" s="2292">
        <f>BK832</f>
        <v>0</v>
      </c>
      <c r="DP832" s="2292">
        <f>BP832</f>
        <v>0</v>
      </c>
      <c r="DQ832" s="2292">
        <f>BU832</f>
        <v>15</v>
      </c>
      <c r="DR832" s="2292">
        <f>BZ832</f>
        <v>0</v>
      </c>
      <c r="DS832" s="2292">
        <f>CE832</f>
        <v>0</v>
      </c>
      <c r="DT832" s="2292">
        <f>CJ832</f>
        <v>0</v>
      </c>
      <c r="DU832" s="2292">
        <f>CO832</f>
        <v>0</v>
      </c>
      <c r="DV832" s="2292">
        <f>CT832</f>
        <v>0</v>
      </c>
      <c r="DW832" s="2292">
        <f t="shared" ref="DW832:DY834" si="1639">CY832</f>
        <v>800</v>
      </c>
      <c r="DX832" s="2292">
        <f t="shared" si="1639"/>
        <v>1450</v>
      </c>
      <c r="DY832" s="2292">
        <f t="shared" si="1639"/>
        <v>1450</v>
      </c>
      <c r="EA832"/>
      <c r="EB832"/>
      <c r="EC832"/>
      <c r="ED832"/>
      <c r="EE832"/>
      <c r="EF832"/>
      <c r="EJ832"/>
      <c r="EK832"/>
      <c r="EL832"/>
      <c r="ER832" s="212"/>
    </row>
    <row r="833" spans="1:148" s="923" customFormat="1" ht="12.75" customHeight="1" x14ac:dyDescent="0.2">
      <c r="A833" s="1224" t="s">
        <v>918</v>
      </c>
      <c r="B833" s="222"/>
      <c r="C833" s="222"/>
      <c r="D833" s="222"/>
      <c r="E833" s="222"/>
      <c r="F833" s="222"/>
      <c r="G833" s="222"/>
      <c r="H833" s="222"/>
      <c r="I833" s="222">
        <v>827</v>
      </c>
      <c r="J833" s="222">
        <v>827</v>
      </c>
      <c r="K833" s="222">
        <v>827</v>
      </c>
      <c r="L833" s="222">
        <v>827</v>
      </c>
      <c r="M833" s="970">
        <f>L833</f>
        <v>827</v>
      </c>
      <c r="N833" s="222">
        <v>827</v>
      </c>
      <c r="O833" s="222">
        <v>675</v>
      </c>
      <c r="P833" s="222">
        <v>675</v>
      </c>
      <c r="Q833" s="222">
        <v>0</v>
      </c>
      <c r="R833" s="970">
        <f>Q833</f>
        <v>0</v>
      </c>
      <c r="S833" s="222">
        <v>0</v>
      </c>
      <c r="T833" s="222">
        <v>0</v>
      </c>
      <c r="U833" s="222">
        <v>0</v>
      </c>
      <c r="V833" s="222">
        <v>102</v>
      </c>
      <c r="W833" s="970">
        <f>V833</f>
        <v>102</v>
      </c>
      <c r="X833" s="222">
        <v>102</v>
      </c>
      <c r="Y833" s="222">
        <v>102</v>
      </c>
      <c r="Z833" s="222">
        <v>102</v>
      </c>
      <c r="AA833" s="222">
        <v>0</v>
      </c>
      <c r="AB833" s="970">
        <f>AA833</f>
        <v>0</v>
      </c>
      <c r="AC833" s="222">
        <v>290</v>
      </c>
      <c r="AD833" s="222">
        <v>100</v>
      </c>
      <c r="AE833" s="222">
        <v>50</v>
      </c>
      <c r="AF833" s="222">
        <v>0</v>
      </c>
      <c r="AG833" s="970">
        <f>AF833</f>
        <v>0</v>
      </c>
      <c r="AH833" s="222">
        <v>0</v>
      </c>
      <c r="AI833" s="222">
        <v>0</v>
      </c>
      <c r="AJ833" s="222">
        <v>390</v>
      </c>
      <c r="AK833" s="222">
        <v>499</v>
      </c>
      <c r="AL833" s="970">
        <f>AK833</f>
        <v>499</v>
      </c>
      <c r="AM833" s="222">
        <v>705</v>
      </c>
      <c r="AN833" s="222">
        <v>41</v>
      </c>
      <c r="AO833" s="222">
        <v>117</v>
      </c>
      <c r="AP833" s="222">
        <v>315</v>
      </c>
      <c r="AQ833" s="970">
        <f>AP833</f>
        <v>315</v>
      </c>
      <c r="AR833" s="222">
        <v>902</v>
      </c>
      <c r="AS833" s="222">
        <v>658</v>
      </c>
      <c r="AT833" s="222">
        <v>901</v>
      </c>
      <c r="AU833" s="222">
        <v>585</v>
      </c>
      <c r="AV833" s="970">
        <f>AU833</f>
        <v>585</v>
      </c>
      <c r="AW833" s="222">
        <v>1156</v>
      </c>
      <c r="AX833" s="222">
        <v>802</v>
      </c>
      <c r="AY833" s="222">
        <v>811</v>
      </c>
      <c r="AZ833" s="222">
        <v>0</v>
      </c>
      <c r="BA833" s="970">
        <f>AZ833</f>
        <v>0</v>
      </c>
      <c r="BB833" s="222">
        <f>BA833</f>
        <v>0</v>
      </c>
      <c r="BC833" s="222">
        <f>BB833</f>
        <v>0</v>
      </c>
      <c r="BD833" s="222">
        <f>BC833</f>
        <v>0</v>
      </c>
      <c r="BE833" s="222">
        <f>BD833</f>
        <v>0</v>
      </c>
      <c r="BF833" s="970">
        <f>BE833</f>
        <v>0</v>
      </c>
      <c r="BG833" s="222">
        <f>BF833</f>
        <v>0</v>
      </c>
      <c r="BH833" s="222">
        <f>BG833</f>
        <v>0</v>
      </c>
      <c r="BI833" s="222">
        <f>BH833</f>
        <v>0</v>
      </c>
      <c r="BJ833" s="222">
        <f>BI833</f>
        <v>0</v>
      </c>
      <c r="BK833" s="970">
        <f>BJ833</f>
        <v>0</v>
      </c>
      <c r="BL833" s="222">
        <v>42</v>
      </c>
      <c r="BM833" s="222">
        <v>156</v>
      </c>
      <c r="BN833" s="222">
        <v>403</v>
      </c>
      <c r="BO833" s="222">
        <v>331</v>
      </c>
      <c r="BP833" s="970">
        <f>BO833</f>
        <v>331</v>
      </c>
      <c r="BQ833" s="222">
        <v>91</v>
      </c>
      <c r="BR833" s="222">
        <v>478</v>
      </c>
      <c r="BS833" s="222">
        <v>441</v>
      </c>
      <c r="BT833" s="222">
        <v>501</v>
      </c>
      <c r="BU833" s="970">
        <f>BT833</f>
        <v>501</v>
      </c>
      <c r="BV833" s="222">
        <v>1238</v>
      </c>
      <c r="BW833" s="222">
        <v>1071</v>
      </c>
      <c r="BX833" s="222">
        <v>790</v>
      </c>
      <c r="BY833" s="222">
        <v>834</v>
      </c>
      <c r="BZ833" s="970">
        <f>BY833</f>
        <v>834</v>
      </c>
      <c r="CA833" s="222">
        <v>984</v>
      </c>
      <c r="CB833" s="222">
        <v>1086</v>
      </c>
      <c r="CC833" s="222">
        <v>1211</v>
      </c>
      <c r="CD833" s="222">
        <v>1072</v>
      </c>
      <c r="CE833" s="970">
        <f>CD833</f>
        <v>1072</v>
      </c>
      <c r="CF833" s="222">
        <v>1320</v>
      </c>
      <c r="CG833" s="222">
        <v>1211</v>
      </c>
      <c r="CH833" s="222">
        <v>803</v>
      </c>
      <c r="CI833" s="222">
        <v>938</v>
      </c>
      <c r="CJ833" s="970">
        <f>CI833</f>
        <v>938</v>
      </c>
      <c r="CK833" s="222">
        <v>991</v>
      </c>
      <c r="CL833" s="222">
        <v>0</v>
      </c>
      <c r="CM833" s="222">
        <v>1599</v>
      </c>
      <c r="CN833" s="222">
        <v>2311</v>
      </c>
      <c r="CO833" s="970">
        <f>CN833</f>
        <v>2311</v>
      </c>
      <c r="CP833" s="222">
        <v>2285</v>
      </c>
      <c r="CQ833" s="222">
        <v>2431</v>
      </c>
      <c r="CR833" s="222">
        <v>2791</v>
      </c>
      <c r="CS833" s="3928">
        <f>8238-CS832-CS860-CS871</f>
        <v>2360</v>
      </c>
      <c r="CT833" s="970">
        <f>CS833</f>
        <v>2360</v>
      </c>
      <c r="CU833" s="2692">
        <f>CT833</f>
        <v>2360</v>
      </c>
      <c r="CV833" s="216">
        <f t="shared" ref="CV833:CX833" si="1640">CU833</f>
        <v>2360</v>
      </c>
      <c r="CW833" s="216">
        <f t="shared" si="1640"/>
        <v>2360</v>
      </c>
      <c r="CX833" s="1782">
        <f t="shared" si="1640"/>
        <v>2360</v>
      </c>
      <c r="CY833" s="1782">
        <f>CX833</f>
        <v>2360</v>
      </c>
      <c r="CZ833" s="970">
        <f>CY833</f>
        <v>2360</v>
      </c>
      <c r="DA833" s="970">
        <f>CZ833</f>
        <v>2360</v>
      </c>
      <c r="DB833"/>
      <c r="DC833"/>
      <c r="DD833" s="1224" t="s">
        <v>918</v>
      </c>
      <c r="DE833" s="970">
        <f>M833</f>
        <v>827</v>
      </c>
      <c r="DF833" s="970">
        <f>R833</f>
        <v>0</v>
      </c>
      <c r="DG833" s="970">
        <f>W833</f>
        <v>102</v>
      </c>
      <c r="DH833" s="970">
        <f>AB833</f>
        <v>0</v>
      </c>
      <c r="DI833" s="970">
        <f>AG833</f>
        <v>0</v>
      </c>
      <c r="DJ833" s="970">
        <f>AL833</f>
        <v>499</v>
      </c>
      <c r="DK833" s="970">
        <f>AQ833</f>
        <v>315</v>
      </c>
      <c r="DL833" s="970">
        <f>AV833</f>
        <v>585</v>
      </c>
      <c r="DM833" s="970">
        <f>BA833</f>
        <v>0</v>
      </c>
      <c r="DN833" s="970">
        <f>BF833</f>
        <v>0</v>
      </c>
      <c r="DO833" s="970">
        <f>BK833</f>
        <v>0</v>
      </c>
      <c r="DP833" s="970">
        <f>BP833</f>
        <v>331</v>
      </c>
      <c r="DQ833" s="970">
        <f>BU833</f>
        <v>501</v>
      </c>
      <c r="DR833" s="970">
        <f>BZ833</f>
        <v>834</v>
      </c>
      <c r="DS833" s="970">
        <f>CE833</f>
        <v>1072</v>
      </c>
      <c r="DT833" s="970">
        <f>CJ833</f>
        <v>938</v>
      </c>
      <c r="DU833" s="970">
        <f>CO833</f>
        <v>2311</v>
      </c>
      <c r="DV833" s="970">
        <f>CT833</f>
        <v>2360</v>
      </c>
      <c r="DW833" s="970">
        <f t="shared" si="1639"/>
        <v>2360</v>
      </c>
      <c r="DX833" s="970">
        <f t="shared" si="1639"/>
        <v>2360</v>
      </c>
      <c r="DY833" s="970">
        <f t="shared" si="1639"/>
        <v>2360</v>
      </c>
      <c r="EA833"/>
      <c r="EB833"/>
      <c r="EC833"/>
      <c r="ED833"/>
      <c r="EE833"/>
      <c r="EF833"/>
      <c r="EJ833"/>
      <c r="EK833"/>
      <c r="EL833"/>
      <c r="EM833" s="1703"/>
      <c r="ER833" s="212"/>
    </row>
    <row r="834" spans="1:148" s="923" customFormat="1" ht="12.75" customHeight="1" x14ac:dyDescent="0.2">
      <c r="A834" s="867" t="s">
        <v>76</v>
      </c>
      <c r="B834" s="842"/>
      <c r="C834" s="842"/>
      <c r="D834" s="842"/>
      <c r="E834" s="842"/>
      <c r="F834" s="842"/>
      <c r="G834" s="842"/>
      <c r="H834" s="842"/>
      <c r="I834" s="842">
        <f>SUM(I832:I833)</f>
        <v>851</v>
      </c>
      <c r="J834" s="842">
        <f t="shared" ref="J834:BV834" si="1641">SUM(J832:J833)</f>
        <v>851</v>
      </c>
      <c r="K834" s="842">
        <f t="shared" si="1641"/>
        <v>851</v>
      </c>
      <c r="L834" s="842">
        <f t="shared" si="1641"/>
        <v>851</v>
      </c>
      <c r="M834" s="971">
        <f t="shared" si="1641"/>
        <v>851</v>
      </c>
      <c r="N834" s="842">
        <f t="shared" si="1641"/>
        <v>851</v>
      </c>
      <c r="O834" s="842">
        <f t="shared" si="1641"/>
        <v>699</v>
      </c>
      <c r="P834" s="842">
        <f t="shared" si="1641"/>
        <v>699</v>
      </c>
      <c r="Q834" s="842">
        <f t="shared" si="1641"/>
        <v>1043</v>
      </c>
      <c r="R834" s="971">
        <f t="shared" si="1641"/>
        <v>1043</v>
      </c>
      <c r="S834" s="842">
        <f t="shared" si="1641"/>
        <v>411</v>
      </c>
      <c r="T834" s="842">
        <f t="shared" si="1641"/>
        <v>442</v>
      </c>
      <c r="U834" s="842">
        <f t="shared" si="1641"/>
        <v>339</v>
      </c>
      <c r="V834" s="842">
        <f t="shared" si="1641"/>
        <v>123</v>
      </c>
      <c r="W834" s="971">
        <f t="shared" si="1641"/>
        <v>123</v>
      </c>
      <c r="X834" s="842">
        <f t="shared" si="1641"/>
        <v>487</v>
      </c>
      <c r="Y834" s="842">
        <f t="shared" si="1641"/>
        <v>102</v>
      </c>
      <c r="Z834" s="842">
        <f t="shared" si="1641"/>
        <v>169</v>
      </c>
      <c r="AA834" s="842">
        <f t="shared" si="1641"/>
        <v>0</v>
      </c>
      <c r="AB834" s="971">
        <f t="shared" si="1641"/>
        <v>0</v>
      </c>
      <c r="AC834" s="842">
        <f t="shared" si="1641"/>
        <v>290</v>
      </c>
      <c r="AD834" s="842">
        <f t="shared" si="1641"/>
        <v>100</v>
      </c>
      <c r="AE834" s="842">
        <f t="shared" si="1641"/>
        <v>50</v>
      </c>
      <c r="AF834" s="842">
        <f t="shared" si="1641"/>
        <v>0</v>
      </c>
      <c r="AG834" s="971">
        <f t="shared" si="1641"/>
        <v>0</v>
      </c>
      <c r="AH834" s="842">
        <f t="shared" si="1641"/>
        <v>0</v>
      </c>
      <c r="AI834" s="842">
        <f t="shared" si="1641"/>
        <v>0</v>
      </c>
      <c r="AJ834" s="842">
        <f t="shared" si="1641"/>
        <v>390</v>
      </c>
      <c r="AK834" s="842">
        <f t="shared" si="1641"/>
        <v>499</v>
      </c>
      <c r="AL834" s="971">
        <f t="shared" si="1641"/>
        <v>499</v>
      </c>
      <c r="AM834" s="842">
        <f t="shared" si="1641"/>
        <v>705</v>
      </c>
      <c r="AN834" s="842">
        <f t="shared" si="1641"/>
        <v>41</v>
      </c>
      <c r="AO834" s="842">
        <f t="shared" si="1641"/>
        <v>117</v>
      </c>
      <c r="AP834" s="842">
        <f t="shared" si="1641"/>
        <v>315</v>
      </c>
      <c r="AQ834" s="971">
        <f t="shared" si="1641"/>
        <v>315</v>
      </c>
      <c r="AR834" s="842">
        <f t="shared" si="1641"/>
        <v>902</v>
      </c>
      <c r="AS834" s="842">
        <f t="shared" si="1641"/>
        <v>658</v>
      </c>
      <c r="AT834" s="842">
        <f t="shared" si="1641"/>
        <v>901</v>
      </c>
      <c r="AU834" s="842">
        <f t="shared" si="1641"/>
        <v>585</v>
      </c>
      <c r="AV834" s="971">
        <f t="shared" si="1641"/>
        <v>585</v>
      </c>
      <c r="AW834" s="842">
        <f t="shared" si="1641"/>
        <v>1156</v>
      </c>
      <c r="AX834" s="842">
        <f t="shared" si="1641"/>
        <v>802</v>
      </c>
      <c r="AY834" s="842">
        <f t="shared" si="1641"/>
        <v>811</v>
      </c>
      <c r="AZ834" s="842">
        <f t="shared" si="1641"/>
        <v>969</v>
      </c>
      <c r="BA834" s="971">
        <f t="shared" si="1641"/>
        <v>969</v>
      </c>
      <c r="BB834" s="842">
        <f t="shared" si="1641"/>
        <v>1000</v>
      </c>
      <c r="BC834" s="842">
        <f t="shared" si="1641"/>
        <v>896</v>
      </c>
      <c r="BD834" s="842">
        <f t="shared" si="1641"/>
        <v>710</v>
      </c>
      <c r="BE834" s="842">
        <f t="shared" si="1641"/>
        <v>425</v>
      </c>
      <c r="BF834" s="971">
        <f t="shared" si="1641"/>
        <v>425</v>
      </c>
      <c r="BG834" s="842">
        <f t="shared" si="1641"/>
        <v>396</v>
      </c>
      <c r="BH834" s="842">
        <f t="shared" si="1641"/>
        <v>96</v>
      </c>
      <c r="BI834" s="842">
        <f t="shared" si="1641"/>
        <v>0</v>
      </c>
      <c r="BJ834" s="842">
        <f t="shared" si="1641"/>
        <v>0</v>
      </c>
      <c r="BK834" s="971">
        <f t="shared" si="1641"/>
        <v>0</v>
      </c>
      <c r="BL834" s="842">
        <f t="shared" si="1641"/>
        <v>42</v>
      </c>
      <c r="BM834" s="842">
        <f t="shared" si="1641"/>
        <v>156</v>
      </c>
      <c r="BN834" s="842">
        <f t="shared" si="1641"/>
        <v>403</v>
      </c>
      <c r="BO834" s="842">
        <f t="shared" si="1641"/>
        <v>331</v>
      </c>
      <c r="BP834" s="971">
        <f t="shared" si="1641"/>
        <v>331</v>
      </c>
      <c r="BQ834" s="842">
        <f>SUM(BQ832:BQ833)</f>
        <v>91</v>
      </c>
      <c r="BR834" s="842">
        <f>SUM(BR832:BR833)</f>
        <v>478</v>
      </c>
      <c r="BS834" s="842">
        <f>SUM(BS832:BS833)</f>
        <v>441</v>
      </c>
      <c r="BT834" s="842">
        <f t="shared" si="1641"/>
        <v>516</v>
      </c>
      <c r="BU834" s="971">
        <f t="shared" si="1641"/>
        <v>516</v>
      </c>
      <c r="BV834" s="842">
        <f t="shared" si="1641"/>
        <v>1238</v>
      </c>
      <c r="BW834" s="842">
        <f t="shared" ref="BW834:CE834" si="1642">SUM(BW832:BW833)</f>
        <v>1071</v>
      </c>
      <c r="BX834" s="842">
        <f t="shared" si="1642"/>
        <v>790</v>
      </c>
      <c r="BY834" s="842">
        <f t="shared" si="1642"/>
        <v>834</v>
      </c>
      <c r="BZ834" s="971">
        <f t="shared" si="1642"/>
        <v>834</v>
      </c>
      <c r="CA834" s="842">
        <f t="shared" si="1642"/>
        <v>984</v>
      </c>
      <c r="CB834" s="842">
        <f t="shared" si="1642"/>
        <v>1086</v>
      </c>
      <c r="CC834" s="842">
        <f t="shared" si="1642"/>
        <v>1211</v>
      </c>
      <c r="CD834" s="842">
        <f t="shared" si="1642"/>
        <v>1072</v>
      </c>
      <c r="CE834" s="971">
        <f t="shared" si="1642"/>
        <v>1072</v>
      </c>
      <c r="CF834" s="842">
        <f>SUM(CF832:CF833)</f>
        <v>1320</v>
      </c>
      <c r="CG834" s="842">
        <f>SUM(CG832:CG833)</f>
        <v>1211</v>
      </c>
      <c r="CH834" s="842">
        <f>SUM(CH832:CH833)</f>
        <v>803</v>
      </c>
      <c r="CI834" s="842">
        <f>SUM(CI832:CI833)</f>
        <v>938</v>
      </c>
      <c r="CJ834" s="971">
        <f>SUM(CJ832:CJ833)</f>
        <v>938</v>
      </c>
      <c r="CK834" s="842">
        <f t="shared" ref="CK834:CX834" si="1643">SUM(CK832:CK833)</f>
        <v>991</v>
      </c>
      <c r="CL834" s="842">
        <f t="shared" si="1643"/>
        <v>0</v>
      </c>
      <c r="CM834" s="852">
        <f t="shared" si="1643"/>
        <v>2588</v>
      </c>
      <c r="CN834" s="852">
        <f t="shared" si="1643"/>
        <v>2311</v>
      </c>
      <c r="CO834" s="971">
        <f t="shared" si="1643"/>
        <v>2311</v>
      </c>
      <c r="CP834" s="842">
        <f t="shared" si="1643"/>
        <v>2285</v>
      </c>
      <c r="CQ834" s="842">
        <f t="shared" si="1643"/>
        <v>2431</v>
      </c>
      <c r="CR834" s="842">
        <f t="shared" si="1643"/>
        <v>2791</v>
      </c>
      <c r="CS834" s="842">
        <f t="shared" si="1643"/>
        <v>2360</v>
      </c>
      <c r="CT834" s="971">
        <f t="shared" si="1643"/>
        <v>2360</v>
      </c>
      <c r="CU834" s="842">
        <f t="shared" si="1643"/>
        <v>2560</v>
      </c>
      <c r="CV834" s="842">
        <f t="shared" si="1643"/>
        <v>2860</v>
      </c>
      <c r="CW834" s="842">
        <f t="shared" si="1643"/>
        <v>3060</v>
      </c>
      <c r="CX834" s="1802">
        <f t="shared" si="1643"/>
        <v>3160</v>
      </c>
      <c r="CY834" s="1802">
        <f>SUM(CY832:CY833)</f>
        <v>3160</v>
      </c>
      <c r="CZ834" s="971">
        <f>SUM(CZ832:CZ833)</f>
        <v>3810</v>
      </c>
      <c r="DA834" s="971">
        <f>SUM(DA832:DA833)</f>
        <v>3810</v>
      </c>
      <c r="DB834"/>
      <c r="DC834"/>
      <c r="DD834" s="867" t="s">
        <v>76</v>
      </c>
      <c r="DE834" s="971">
        <f>M834</f>
        <v>851</v>
      </c>
      <c r="DF834" s="971">
        <f>R834</f>
        <v>1043</v>
      </c>
      <c r="DG834" s="971">
        <f>W834</f>
        <v>123</v>
      </c>
      <c r="DH834" s="971">
        <f>AB834</f>
        <v>0</v>
      </c>
      <c r="DI834" s="971">
        <f>AG834</f>
        <v>0</v>
      </c>
      <c r="DJ834" s="971">
        <f>AL834</f>
        <v>499</v>
      </c>
      <c r="DK834" s="971">
        <f>AQ834</f>
        <v>315</v>
      </c>
      <c r="DL834" s="971">
        <f>AV834</f>
        <v>585</v>
      </c>
      <c r="DM834" s="971">
        <f>BA834</f>
        <v>969</v>
      </c>
      <c r="DN834" s="971">
        <f>BF834</f>
        <v>425</v>
      </c>
      <c r="DO834" s="971">
        <f>BK834</f>
        <v>0</v>
      </c>
      <c r="DP834" s="971">
        <f>BP834</f>
        <v>331</v>
      </c>
      <c r="DQ834" s="971">
        <f>BU834</f>
        <v>516</v>
      </c>
      <c r="DR834" s="971">
        <f>BZ834</f>
        <v>834</v>
      </c>
      <c r="DS834" s="971">
        <f>CE834</f>
        <v>1072</v>
      </c>
      <c r="DT834" s="971">
        <f>CJ834</f>
        <v>938</v>
      </c>
      <c r="DU834" s="971">
        <f>CO834</f>
        <v>2311</v>
      </c>
      <c r="DV834" s="971">
        <f>CT834</f>
        <v>2360</v>
      </c>
      <c r="DW834" s="971">
        <f t="shared" si="1639"/>
        <v>3160</v>
      </c>
      <c r="DX834" s="971">
        <f t="shared" si="1639"/>
        <v>3810</v>
      </c>
      <c r="DY834" s="971">
        <f t="shared" si="1639"/>
        <v>3810</v>
      </c>
      <c r="EA834"/>
      <c r="EB834"/>
      <c r="EC834"/>
      <c r="ED834"/>
      <c r="EE834"/>
      <c r="EF834"/>
      <c r="EJ834"/>
      <c r="EK834"/>
      <c r="EL834"/>
      <c r="EM834" s="1703"/>
      <c r="ER834" s="212"/>
    </row>
    <row r="835" spans="1:148" s="923" customFormat="1" ht="12.75" customHeight="1" x14ac:dyDescent="0.2">
      <c r="A835" s="865"/>
      <c r="B835" s="215"/>
      <c r="C835" s="215"/>
      <c r="D835" s="215"/>
      <c r="E835" s="215"/>
      <c r="F835" s="215"/>
      <c r="G835" s="215"/>
      <c r="H835" s="215"/>
      <c r="I835" s="215"/>
      <c r="J835" s="215"/>
      <c r="K835" s="215"/>
      <c r="L835" s="215"/>
      <c r="M835" s="968"/>
      <c r="N835" s="215"/>
      <c r="O835" s="215"/>
      <c r="P835" s="215"/>
      <c r="Q835" s="215"/>
      <c r="R835" s="968"/>
      <c r="S835" s="215"/>
      <c r="T835" s="215"/>
      <c r="U835" s="215"/>
      <c r="V835" s="215"/>
      <c r="W835" s="968"/>
      <c r="X835" s="215"/>
      <c r="Y835" s="215"/>
      <c r="Z835" s="215"/>
      <c r="AA835" s="215"/>
      <c r="AB835" s="968"/>
      <c r="AC835" s="215"/>
      <c r="AD835" s="215"/>
      <c r="AE835" s="215"/>
      <c r="AF835" s="215"/>
      <c r="AG835" s="968"/>
      <c r="AH835" s="215"/>
      <c r="AI835" s="215"/>
      <c r="AJ835" s="215"/>
      <c r="AK835" s="215"/>
      <c r="AL835" s="968"/>
      <c r="AM835" s="215"/>
      <c r="AN835" s="215"/>
      <c r="AO835" s="215"/>
      <c r="AP835" s="215"/>
      <c r="AQ835" s="968"/>
      <c r="AR835" s="215"/>
      <c r="AS835" s="215"/>
      <c r="AT835" s="215"/>
      <c r="AU835" s="215"/>
      <c r="AV835" s="968"/>
      <c r="AW835" s="215"/>
      <c r="AX835" s="215"/>
      <c r="AY835" s="215"/>
      <c r="AZ835" s="215"/>
      <c r="BA835" s="968"/>
      <c r="BB835" s="215"/>
      <c r="BC835" s="215"/>
      <c r="BD835" s="215"/>
      <c r="BE835" s="215"/>
      <c r="BF835" s="968"/>
      <c r="BG835" s="215"/>
      <c r="BH835" s="215"/>
      <c r="BI835" s="215"/>
      <c r="BJ835" s="215"/>
      <c r="BK835" s="968"/>
      <c r="BL835" s="215"/>
      <c r="BM835" s="215"/>
      <c r="BN835" s="215"/>
      <c r="BO835" s="215"/>
      <c r="BP835" s="968"/>
      <c r="BQ835" s="215"/>
      <c r="BR835" s="215"/>
      <c r="BS835" s="215"/>
      <c r="BT835" s="215"/>
      <c r="BU835" s="968"/>
      <c r="BV835" s="215"/>
      <c r="BW835" s="215"/>
      <c r="BX835" s="215"/>
      <c r="BY835" s="215"/>
      <c r="BZ835" s="968"/>
      <c r="CA835" s="215"/>
      <c r="CB835" s="215"/>
      <c r="CC835" s="215"/>
      <c r="CD835" s="1788"/>
      <c r="CE835" s="968"/>
      <c r="CF835" s="188"/>
      <c r="CG835" s="215"/>
      <c r="CH835" s="215"/>
      <c r="CI835" s="1788"/>
      <c r="CJ835" s="968"/>
      <c r="CK835" s="215"/>
      <c r="CL835" s="215"/>
      <c r="CM835" s="215"/>
      <c r="CN835" s="1788"/>
      <c r="CO835" s="968"/>
      <c r="CP835" s="215"/>
      <c r="CQ835" s="215"/>
      <c r="CR835" s="215"/>
      <c r="CS835" s="215"/>
      <c r="CT835" s="968"/>
      <c r="CU835" s="188"/>
      <c r="CV835" s="215"/>
      <c r="CW835" s="215"/>
      <c r="CX835" s="1788"/>
      <c r="CY835" s="3098"/>
      <c r="CZ835" s="968"/>
      <c r="DA835" s="968"/>
      <c r="DB835"/>
      <c r="DC835"/>
      <c r="DD835" s="2323"/>
      <c r="DE835" s="2290"/>
      <c r="DF835" s="2290"/>
      <c r="DG835" s="2290"/>
      <c r="DH835" s="2290"/>
      <c r="DI835" s="2290"/>
      <c r="DJ835" s="2290"/>
      <c r="DK835" s="2290"/>
      <c r="DL835" s="2290"/>
      <c r="DM835" s="2290"/>
      <c r="DN835" s="2290"/>
      <c r="DO835" s="2290"/>
      <c r="DP835" s="2290"/>
      <c r="DQ835" s="2290"/>
      <c r="DR835" s="2290"/>
      <c r="DS835" s="2290"/>
      <c r="DT835" s="2290"/>
      <c r="DU835" s="2290"/>
      <c r="DV835" s="2290"/>
      <c r="DW835" s="2290"/>
      <c r="DX835" s="2290"/>
      <c r="DY835" s="2290"/>
      <c r="EA835"/>
      <c r="EB835"/>
      <c r="EC835"/>
      <c r="ED835"/>
      <c r="EE835"/>
      <c r="EF835"/>
      <c r="EJ835"/>
      <c r="EK835"/>
      <c r="EL835"/>
      <c r="EM835" s="1703"/>
      <c r="ER835" s="212"/>
    </row>
    <row r="836" spans="1:148" s="923" customFormat="1" ht="12.75" customHeight="1" x14ac:dyDescent="0.2">
      <c r="A836" s="867" t="s">
        <v>1069</v>
      </c>
      <c r="B836" s="215"/>
      <c r="C836" s="215"/>
      <c r="D836" s="215"/>
      <c r="E836" s="215"/>
      <c r="F836" s="215"/>
      <c r="G836" s="215"/>
      <c r="H836" s="215"/>
      <c r="I836" s="215"/>
      <c r="J836" s="215"/>
      <c r="K836" s="215"/>
      <c r="L836" s="215"/>
      <c r="M836" s="968"/>
      <c r="N836" s="215"/>
      <c r="O836" s="215"/>
      <c r="P836" s="215"/>
      <c r="Q836" s="215"/>
      <c r="R836" s="968"/>
      <c r="S836" s="215"/>
      <c r="T836" s="215"/>
      <c r="U836" s="215"/>
      <c r="V836" s="215"/>
      <c r="W836" s="968"/>
      <c r="X836" s="215"/>
      <c r="Y836" s="215"/>
      <c r="Z836" s="215"/>
      <c r="AA836" s="215"/>
      <c r="AB836" s="968"/>
      <c r="AC836" s="215"/>
      <c r="AD836" s="215"/>
      <c r="AE836" s="215"/>
      <c r="AF836" s="215"/>
      <c r="AG836" s="968"/>
      <c r="AH836" s="215"/>
      <c r="AI836" s="215"/>
      <c r="AJ836" s="215"/>
      <c r="AK836" s="215"/>
      <c r="AL836" s="968"/>
      <c r="AM836" s="215"/>
      <c r="AN836" s="215"/>
      <c r="AO836" s="215"/>
      <c r="AP836" s="215"/>
      <c r="AQ836" s="968"/>
      <c r="AR836" s="215"/>
      <c r="AS836" s="215"/>
      <c r="AT836" s="215"/>
      <c r="AU836" s="215"/>
      <c r="AV836" s="968"/>
      <c r="AW836" s="215"/>
      <c r="AX836" s="215"/>
      <c r="AY836" s="215"/>
      <c r="AZ836" s="215"/>
      <c r="BA836" s="968"/>
      <c r="BB836" s="215"/>
      <c r="BC836" s="215"/>
      <c r="BD836" s="215"/>
      <c r="BE836" s="215"/>
      <c r="BF836" s="968"/>
      <c r="BG836" s="215"/>
      <c r="BH836" s="215"/>
      <c r="BI836" s="215"/>
      <c r="BJ836" s="215"/>
      <c r="BK836" s="968"/>
      <c r="BL836" s="215"/>
      <c r="BM836" s="215"/>
      <c r="BN836" s="215"/>
      <c r="BO836" s="215"/>
      <c r="BP836" s="968"/>
      <c r="BQ836" s="215"/>
      <c r="BR836" s="215"/>
      <c r="BS836" s="215"/>
      <c r="BT836" s="215"/>
      <c r="BU836" s="968"/>
      <c r="BV836" s="215"/>
      <c r="BW836" s="215"/>
      <c r="BX836" s="215"/>
      <c r="BY836" s="215"/>
      <c r="BZ836" s="968"/>
      <c r="CA836" s="215"/>
      <c r="CB836" s="215"/>
      <c r="CC836" s="215"/>
      <c r="CD836" s="1788"/>
      <c r="CE836" s="968"/>
      <c r="CF836" s="188"/>
      <c r="CG836" s="215"/>
      <c r="CH836" s="215"/>
      <c r="CI836" s="1788"/>
      <c r="CJ836" s="968"/>
      <c r="CK836" s="215"/>
      <c r="CL836" s="215"/>
      <c r="CM836" s="215"/>
      <c r="CN836" s="1788"/>
      <c r="CO836" s="968"/>
      <c r="CP836" s="215"/>
      <c r="CQ836" s="215"/>
      <c r="CR836" s="215"/>
      <c r="CS836" s="215"/>
      <c r="CT836" s="968"/>
      <c r="CU836" s="188"/>
      <c r="CV836" s="215"/>
      <c r="CW836" s="215"/>
      <c r="CX836" s="1788"/>
      <c r="CY836" s="3098"/>
      <c r="CZ836" s="968"/>
      <c r="DA836" s="968"/>
      <c r="DB836"/>
      <c r="DC836"/>
      <c r="DD836" s="867" t="s">
        <v>1069</v>
      </c>
      <c r="DE836" s="2290"/>
      <c r="DF836" s="2290"/>
      <c r="DG836" s="2290"/>
      <c r="DH836" s="2290"/>
      <c r="DI836" s="2290"/>
      <c r="DJ836" s="2290"/>
      <c r="DK836" s="2290"/>
      <c r="DL836" s="2290"/>
      <c r="DM836" s="2290"/>
      <c r="DN836" s="2290"/>
      <c r="DO836" s="2290"/>
      <c r="DP836" s="2290"/>
      <c r="DQ836" s="2290"/>
      <c r="DR836" s="2290"/>
      <c r="DS836" s="2290"/>
      <c r="DT836" s="2290"/>
      <c r="DU836" s="2290"/>
      <c r="DV836" s="2290"/>
      <c r="DW836" s="2290"/>
      <c r="DX836" s="2290"/>
      <c r="DY836" s="2290"/>
      <c r="EA836"/>
      <c r="EB836"/>
      <c r="EC836"/>
      <c r="ED836"/>
      <c r="EE836"/>
      <c r="EF836"/>
      <c r="EJ836"/>
      <c r="EK836"/>
      <c r="EL836"/>
      <c r="EM836" s="1703"/>
      <c r="ER836" s="212"/>
    </row>
    <row r="837" spans="1:148" s="923" customFormat="1" ht="12.75" hidden="1" customHeight="1" outlineLevel="1" x14ac:dyDescent="0.2">
      <c r="A837" s="868" t="s">
        <v>750</v>
      </c>
      <c r="B837" s="215"/>
      <c r="C837" s="215"/>
      <c r="D837" s="215"/>
      <c r="E837" s="215"/>
      <c r="F837" s="215"/>
      <c r="G837" s="215"/>
      <c r="H837" s="215"/>
      <c r="I837" s="215">
        <v>400</v>
      </c>
      <c r="J837" s="215">
        <v>400</v>
      </c>
      <c r="K837" s="215">
        <v>400</v>
      </c>
      <c r="L837" s="215">
        <v>400</v>
      </c>
      <c r="M837" s="968">
        <f>L837</f>
        <v>400</v>
      </c>
      <c r="N837" s="215">
        <v>400</v>
      </c>
      <c r="O837" s="215">
        <v>400</v>
      </c>
      <c r="P837" s="215">
        <v>400</v>
      </c>
      <c r="Q837" s="215">
        <v>400</v>
      </c>
      <c r="R837" s="968">
        <f>Q837</f>
        <v>400</v>
      </c>
      <c r="S837" s="215">
        <v>400</v>
      </c>
      <c r="T837" s="215">
        <v>400</v>
      </c>
      <c r="U837" s="215">
        <v>400</v>
      </c>
      <c r="V837" s="215">
        <v>400</v>
      </c>
      <c r="W837" s="968">
        <f>V837</f>
        <v>400</v>
      </c>
      <c r="X837" s="215">
        <v>400</v>
      </c>
      <c r="Y837" s="215">
        <v>400</v>
      </c>
      <c r="Z837" s="215">
        <v>400</v>
      </c>
      <c r="AA837" s="215">
        <v>246</v>
      </c>
      <c r="AB837" s="968">
        <f t="shared" ref="AB837:AB843" si="1644">AA837</f>
        <v>246</v>
      </c>
      <c r="AC837" s="215">
        <v>246</v>
      </c>
      <c r="AD837" s="215">
        <v>200</v>
      </c>
      <c r="AE837" s="215">
        <v>200</v>
      </c>
      <c r="AF837" s="215">
        <v>200</v>
      </c>
      <c r="AG837" s="968">
        <f t="shared" ref="AG837:AG843" si="1645">AF837</f>
        <v>200</v>
      </c>
      <c r="AH837" s="215">
        <v>200</v>
      </c>
      <c r="AI837" s="215">
        <v>200</v>
      </c>
      <c r="AJ837" s="215">
        <v>200</v>
      </c>
      <c r="AK837" s="215">
        <v>0</v>
      </c>
      <c r="AL837" s="968">
        <f t="shared" ref="AL837:AL843" si="1646">AK837</f>
        <v>0</v>
      </c>
      <c r="AM837" s="215">
        <v>0</v>
      </c>
      <c r="AN837" s="215">
        <v>0</v>
      </c>
      <c r="AO837" s="215">
        <v>0</v>
      </c>
      <c r="AP837" s="215">
        <v>0</v>
      </c>
      <c r="AQ837" s="968">
        <f t="shared" ref="AQ837:AQ844" si="1647">AP837</f>
        <v>0</v>
      </c>
      <c r="AR837" s="215">
        <v>0</v>
      </c>
      <c r="AS837" s="215">
        <v>0</v>
      </c>
      <c r="AT837" s="215">
        <v>0</v>
      </c>
      <c r="AU837" s="215">
        <f t="shared" ref="AU837:BA837" si="1648">AT837</f>
        <v>0</v>
      </c>
      <c r="AV837" s="968">
        <f t="shared" si="1648"/>
        <v>0</v>
      </c>
      <c r="AW837" s="215">
        <f t="shared" si="1648"/>
        <v>0</v>
      </c>
      <c r="AX837" s="215">
        <f t="shared" si="1648"/>
        <v>0</v>
      </c>
      <c r="AY837" s="215">
        <f t="shared" si="1648"/>
        <v>0</v>
      </c>
      <c r="AZ837" s="215">
        <f t="shared" si="1648"/>
        <v>0</v>
      </c>
      <c r="BA837" s="968">
        <f t="shared" si="1648"/>
        <v>0</v>
      </c>
      <c r="BB837" s="215">
        <f t="shared" ref="BB837:BE839" si="1649">BA837</f>
        <v>0</v>
      </c>
      <c r="BC837" s="215">
        <f t="shared" si="1649"/>
        <v>0</v>
      </c>
      <c r="BD837" s="215">
        <f t="shared" si="1649"/>
        <v>0</v>
      </c>
      <c r="BE837" s="215">
        <f t="shared" si="1649"/>
        <v>0</v>
      </c>
      <c r="BF837" s="968">
        <f t="shared" ref="BF837:BF845" si="1650">BE837</f>
        <v>0</v>
      </c>
      <c r="BG837" s="215">
        <f t="shared" ref="BG837:BJ840" si="1651">BF837</f>
        <v>0</v>
      </c>
      <c r="BH837" s="215">
        <f t="shared" si="1651"/>
        <v>0</v>
      </c>
      <c r="BI837" s="215">
        <f t="shared" si="1651"/>
        <v>0</v>
      </c>
      <c r="BJ837" s="215">
        <f t="shared" si="1651"/>
        <v>0</v>
      </c>
      <c r="BK837" s="968">
        <f t="shared" ref="BK837:BK845" si="1652">BJ837</f>
        <v>0</v>
      </c>
      <c r="BL837" s="215">
        <f t="shared" ref="BL837:BO840" si="1653">BK837</f>
        <v>0</v>
      </c>
      <c r="BM837" s="215">
        <f>BL837</f>
        <v>0</v>
      </c>
      <c r="BN837" s="215">
        <f>BM837</f>
        <v>0</v>
      </c>
      <c r="BO837" s="215">
        <f t="shared" si="1653"/>
        <v>0</v>
      </c>
      <c r="BP837" s="968">
        <f t="shared" ref="BP837:BP847" si="1654">BO837</f>
        <v>0</v>
      </c>
      <c r="BQ837" s="215">
        <f t="shared" ref="BQ837:BT840" si="1655">BP837</f>
        <v>0</v>
      </c>
      <c r="BR837" s="215">
        <f t="shared" si="1655"/>
        <v>0</v>
      </c>
      <c r="BS837" s="215">
        <f t="shared" si="1655"/>
        <v>0</v>
      </c>
      <c r="BT837" s="215">
        <f t="shared" si="1655"/>
        <v>0</v>
      </c>
      <c r="BU837" s="968">
        <f t="shared" ref="BU837:BV840" si="1656">BT837</f>
        <v>0</v>
      </c>
      <c r="BV837" s="215">
        <f t="shared" si="1656"/>
        <v>0</v>
      </c>
      <c r="BW837" s="215">
        <f t="shared" ref="BW837:CG837" si="1657">BV837</f>
        <v>0</v>
      </c>
      <c r="BX837" s="215">
        <f t="shared" si="1657"/>
        <v>0</v>
      </c>
      <c r="BY837" s="223">
        <v>0</v>
      </c>
      <c r="BZ837" s="968">
        <f t="shared" si="1657"/>
        <v>0</v>
      </c>
      <c r="CA837" s="223">
        <v>0</v>
      </c>
      <c r="CB837" s="215">
        <f t="shared" si="1657"/>
        <v>0</v>
      </c>
      <c r="CC837" s="215">
        <f t="shared" si="1657"/>
        <v>0</v>
      </c>
      <c r="CD837" s="1788">
        <f t="shared" si="1657"/>
        <v>0</v>
      </c>
      <c r="CE837" s="968">
        <f t="shared" si="1657"/>
        <v>0</v>
      </c>
      <c r="CF837" s="188">
        <f t="shared" si="1657"/>
        <v>0</v>
      </c>
      <c r="CG837" s="215">
        <f t="shared" si="1657"/>
        <v>0</v>
      </c>
      <c r="CH837" s="215">
        <f t="shared" ref="CH837:CK840" si="1658">CG837</f>
        <v>0</v>
      </c>
      <c r="CI837" s="1788">
        <f t="shared" si="1658"/>
        <v>0</v>
      </c>
      <c r="CJ837" s="968">
        <f t="shared" si="1658"/>
        <v>0</v>
      </c>
      <c r="CK837" s="215">
        <f t="shared" si="1658"/>
        <v>0</v>
      </c>
      <c r="CL837" s="215">
        <v>0</v>
      </c>
      <c r="CM837" s="215">
        <f t="shared" ref="CM837:CO840" si="1659">CL837</f>
        <v>0</v>
      </c>
      <c r="CN837" s="1788">
        <f t="shared" si="1659"/>
        <v>0</v>
      </c>
      <c r="CO837" s="968">
        <f t="shared" si="1659"/>
        <v>0</v>
      </c>
      <c r="CP837" s="215">
        <f t="shared" ref="CP837:CR840" si="1660">CO837</f>
        <v>0</v>
      </c>
      <c r="CQ837" s="215">
        <f t="shared" si="1660"/>
        <v>0</v>
      </c>
      <c r="CR837" s="215">
        <f t="shared" si="1660"/>
        <v>0</v>
      </c>
      <c r="CS837" s="215">
        <f t="shared" ref="CS837:CT840" si="1661">CR837</f>
        <v>0</v>
      </c>
      <c r="CT837" s="968">
        <f t="shared" si="1661"/>
        <v>0</v>
      </c>
      <c r="CU837" s="188">
        <f t="shared" ref="CU837:CY840" si="1662">CT837</f>
        <v>0</v>
      </c>
      <c r="CV837" s="215">
        <f t="shared" si="1662"/>
        <v>0</v>
      </c>
      <c r="CW837" s="215">
        <f t="shared" si="1662"/>
        <v>0</v>
      </c>
      <c r="CX837" s="1788">
        <f t="shared" si="1662"/>
        <v>0</v>
      </c>
      <c r="CY837" s="3098">
        <f t="shared" si="1662"/>
        <v>0</v>
      </c>
      <c r="CZ837" s="968">
        <f t="shared" ref="CZ837:DA842" si="1663">CY837</f>
        <v>0</v>
      </c>
      <c r="DA837" s="968">
        <f t="shared" si="1663"/>
        <v>0</v>
      </c>
      <c r="DB837"/>
      <c r="DC837"/>
      <c r="DD837" s="2377" t="s">
        <v>750</v>
      </c>
      <c r="DE837" s="2290">
        <f t="shared" ref="DE837:DE860" si="1664">M837</f>
        <v>400</v>
      </c>
      <c r="DF837" s="2290">
        <f t="shared" ref="DF837:DF860" si="1665">R837</f>
        <v>400</v>
      </c>
      <c r="DG837" s="2290">
        <f t="shared" ref="DG837:DG860" si="1666">W837</f>
        <v>400</v>
      </c>
      <c r="DH837" s="2290">
        <f t="shared" ref="DH837:DH860" si="1667">AB837</f>
        <v>246</v>
      </c>
      <c r="DI837" s="2290">
        <f t="shared" ref="DI837:DI860" si="1668">AG837</f>
        <v>200</v>
      </c>
      <c r="DJ837" s="2290">
        <f t="shared" ref="DJ837:DJ860" si="1669">AL837</f>
        <v>0</v>
      </c>
      <c r="DK837" s="2290">
        <f t="shared" ref="DK837:DK860" si="1670">AQ837</f>
        <v>0</v>
      </c>
      <c r="DL837" s="2290">
        <f t="shared" ref="DL837:DL860" si="1671">AV837</f>
        <v>0</v>
      </c>
      <c r="DM837" s="2290">
        <f t="shared" ref="DM837:DM860" si="1672">BA837</f>
        <v>0</v>
      </c>
      <c r="DN837" s="2290">
        <f t="shared" ref="DN837:DN860" si="1673">BF837</f>
        <v>0</v>
      </c>
      <c r="DO837" s="2290">
        <f t="shared" ref="DO837:DO860" si="1674">BK837</f>
        <v>0</v>
      </c>
      <c r="DP837" s="2290">
        <f t="shared" ref="DP837:DP860" si="1675">BP837</f>
        <v>0</v>
      </c>
      <c r="DQ837" s="2290">
        <f t="shared" ref="DQ837:DQ860" si="1676">BU837</f>
        <v>0</v>
      </c>
      <c r="DR837" s="2290">
        <f t="shared" ref="DR837:DR860" si="1677">BZ837</f>
        <v>0</v>
      </c>
      <c r="DS837" s="2290">
        <f t="shared" ref="DS837:DS860" si="1678">CE837</f>
        <v>0</v>
      </c>
      <c r="DT837" s="2290">
        <f t="shared" ref="DT837:DT860" si="1679">CJ837</f>
        <v>0</v>
      </c>
      <c r="DU837" s="2290">
        <f t="shared" ref="DU837:DU860" si="1680">CO837</f>
        <v>0</v>
      </c>
      <c r="DV837" s="2290">
        <f t="shared" ref="DV837:DV860" si="1681">CT837</f>
        <v>0</v>
      </c>
      <c r="DW837" s="2290">
        <f t="shared" ref="DW837:DW860" si="1682">CY837</f>
        <v>0</v>
      </c>
      <c r="DX837" s="2290">
        <f t="shared" ref="DX837:DX860" si="1683">CZ837</f>
        <v>0</v>
      </c>
      <c r="DY837" s="2290">
        <f t="shared" ref="DY837:DY860" si="1684">DA837</f>
        <v>0</v>
      </c>
      <c r="EA837"/>
      <c r="EB837"/>
      <c r="EC837"/>
      <c r="ED837"/>
      <c r="EE837"/>
      <c r="EF837"/>
      <c r="EJ837"/>
      <c r="EK837"/>
      <c r="EL837"/>
      <c r="EM837" s="1703"/>
      <c r="ER837" s="212"/>
    </row>
    <row r="838" spans="1:148" s="923" customFormat="1" ht="12.75" hidden="1" customHeight="1" outlineLevel="1" x14ac:dyDescent="0.2">
      <c r="A838" s="868" t="s">
        <v>152</v>
      </c>
      <c r="B838" s="215"/>
      <c r="C838" s="215"/>
      <c r="D838" s="215"/>
      <c r="E838" s="215"/>
      <c r="F838" s="215"/>
      <c r="G838" s="215"/>
      <c r="H838" s="215"/>
      <c r="I838" s="215">
        <v>0</v>
      </c>
      <c r="J838" s="215">
        <v>0</v>
      </c>
      <c r="K838" s="215">
        <v>0</v>
      </c>
      <c r="L838" s="215">
        <v>0</v>
      </c>
      <c r="M838" s="968">
        <f>L838</f>
        <v>0</v>
      </c>
      <c r="N838" s="215">
        <v>300</v>
      </c>
      <c r="O838" s="215">
        <v>300</v>
      </c>
      <c r="P838" s="215">
        <v>300</v>
      </c>
      <c r="Q838" s="215">
        <v>300</v>
      </c>
      <c r="R838" s="968">
        <f>Q838</f>
        <v>300</v>
      </c>
      <c r="S838" s="215">
        <v>300</v>
      </c>
      <c r="T838" s="215">
        <v>300</v>
      </c>
      <c r="U838" s="215">
        <v>300</v>
      </c>
      <c r="V838" s="215">
        <v>300</v>
      </c>
      <c r="W838" s="968">
        <f>V838</f>
        <v>300</v>
      </c>
      <c r="X838" s="215">
        <v>300</v>
      </c>
      <c r="Y838" s="215">
        <v>300</v>
      </c>
      <c r="Z838" s="215">
        <v>300</v>
      </c>
      <c r="AA838" s="215">
        <v>293</v>
      </c>
      <c r="AB838" s="968">
        <f t="shared" si="1644"/>
        <v>293</v>
      </c>
      <c r="AC838" s="215">
        <v>293</v>
      </c>
      <c r="AD838" s="215">
        <v>293</v>
      </c>
      <c r="AE838" s="215">
        <v>293</v>
      </c>
      <c r="AF838" s="215">
        <v>293</v>
      </c>
      <c r="AG838" s="968">
        <f t="shared" si="1645"/>
        <v>293</v>
      </c>
      <c r="AH838" s="215">
        <v>293</v>
      </c>
      <c r="AI838" s="215">
        <v>293</v>
      </c>
      <c r="AJ838" s="215">
        <v>293</v>
      </c>
      <c r="AK838" s="215">
        <v>91</v>
      </c>
      <c r="AL838" s="968">
        <f t="shared" si="1646"/>
        <v>91</v>
      </c>
      <c r="AM838" s="215">
        <v>91</v>
      </c>
      <c r="AN838" s="215">
        <v>91</v>
      </c>
      <c r="AO838" s="215">
        <v>91</v>
      </c>
      <c r="AP838" s="215">
        <v>91</v>
      </c>
      <c r="AQ838" s="968">
        <f t="shared" si="1647"/>
        <v>91</v>
      </c>
      <c r="AR838" s="215">
        <v>91</v>
      </c>
      <c r="AS838" s="215">
        <v>91</v>
      </c>
      <c r="AT838" s="215">
        <v>91</v>
      </c>
      <c r="AU838" s="215">
        <v>91</v>
      </c>
      <c r="AV838" s="968">
        <f t="shared" ref="AV838:AV845" si="1685">AU838</f>
        <v>91</v>
      </c>
      <c r="AW838" s="215">
        <v>0</v>
      </c>
      <c r="AX838" s="215">
        <f t="shared" ref="AX838:AZ839" si="1686">AW838</f>
        <v>0</v>
      </c>
      <c r="AY838" s="215">
        <f t="shared" si="1686"/>
        <v>0</v>
      </c>
      <c r="AZ838" s="215">
        <f t="shared" si="1686"/>
        <v>0</v>
      </c>
      <c r="BA838" s="968">
        <f t="shared" ref="BA838:BA845" si="1687">AZ838</f>
        <v>0</v>
      </c>
      <c r="BB838" s="215">
        <f t="shared" si="1649"/>
        <v>0</v>
      </c>
      <c r="BC838" s="215">
        <f t="shared" si="1649"/>
        <v>0</v>
      </c>
      <c r="BD838" s="215">
        <f t="shared" si="1649"/>
        <v>0</v>
      </c>
      <c r="BE838" s="215">
        <f t="shared" si="1649"/>
        <v>0</v>
      </c>
      <c r="BF838" s="968">
        <f t="shared" si="1650"/>
        <v>0</v>
      </c>
      <c r="BG838" s="215">
        <f t="shared" si="1651"/>
        <v>0</v>
      </c>
      <c r="BH838" s="215">
        <f t="shared" si="1651"/>
        <v>0</v>
      </c>
      <c r="BI838" s="215">
        <f t="shared" si="1651"/>
        <v>0</v>
      </c>
      <c r="BJ838" s="215">
        <f t="shared" si="1651"/>
        <v>0</v>
      </c>
      <c r="BK838" s="968">
        <f t="shared" si="1652"/>
        <v>0</v>
      </c>
      <c r="BL838" s="215">
        <f t="shared" si="1653"/>
        <v>0</v>
      </c>
      <c r="BM838" s="215">
        <f>BL838</f>
        <v>0</v>
      </c>
      <c r="BN838" s="215">
        <f t="shared" si="1653"/>
        <v>0</v>
      </c>
      <c r="BO838" s="215">
        <f t="shared" si="1653"/>
        <v>0</v>
      </c>
      <c r="BP838" s="968">
        <f t="shared" si="1654"/>
        <v>0</v>
      </c>
      <c r="BQ838" s="215">
        <f t="shared" si="1655"/>
        <v>0</v>
      </c>
      <c r="BR838" s="215">
        <f t="shared" si="1655"/>
        <v>0</v>
      </c>
      <c r="BS838" s="215">
        <f t="shared" si="1655"/>
        <v>0</v>
      </c>
      <c r="BT838" s="215">
        <f t="shared" si="1655"/>
        <v>0</v>
      </c>
      <c r="BU838" s="968">
        <f t="shared" si="1656"/>
        <v>0</v>
      </c>
      <c r="BV838" s="215">
        <f t="shared" si="1656"/>
        <v>0</v>
      </c>
      <c r="BW838" s="215">
        <f t="shared" ref="BW838:CG838" si="1688">BV838</f>
        <v>0</v>
      </c>
      <c r="BX838" s="215">
        <f t="shared" si="1688"/>
        <v>0</v>
      </c>
      <c r="BY838" s="223">
        <v>0</v>
      </c>
      <c r="BZ838" s="968">
        <f t="shared" si="1688"/>
        <v>0</v>
      </c>
      <c r="CA838" s="223">
        <v>0</v>
      </c>
      <c r="CB838" s="215">
        <f t="shared" si="1688"/>
        <v>0</v>
      </c>
      <c r="CC838" s="215">
        <f t="shared" si="1688"/>
        <v>0</v>
      </c>
      <c r="CD838" s="1788">
        <f t="shared" si="1688"/>
        <v>0</v>
      </c>
      <c r="CE838" s="968">
        <f t="shared" si="1688"/>
        <v>0</v>
      </c>
      <c r="CF838" s="188">
        <f t="shared" si="1688"/>
        <v>0</v>
      </c>
      <c r="CG838" s="215">
        <f t="shared" si="1688"/>
        <v>0</v>
      </c>
      <c r="CH838" s="215">
        <f t="shared" si="1658"/>
        <v>0</v>
      </c>
      <c r="CI838" s="1788">
        <f t="shared" si="1658"/>
        <v>0</v>
      </c>
      <c r="CJ838" s="968">
        <f t="shared" si="1658"/>
        <v>0</v>
      </c>
      <c r="CK838" s="215">
        <f t="shared" si="1658"/>
        <v>0</v>
      </c>
      <c r="CL838" s="215">
        <v>0</v>
      </c>
      <c r="CM838" s="215">
        <f t="shared" si="1659"/>
        <v>0</v>
      </c>
      <c r="CN838" s="1788">
        <f t="shared" si="1659"/>
        <v>0</v>
      </c>
      <c r="CO838" s="968">
        <f t="shared" si="1659"/>
        <v>0</v>
      </c>
      <c r="CP838" s="215">
        <f t="shared" si="1660"/>
        <v>0</v>
      </c>
      <c r="CQ838" s="215">
        <f t="shared" si="1660"/>
        <v>0</v>
      </c>
      <c r="CR838" s="215">
        <f t="shared" si="1660"/>
        <v>0</v>
      </c>
      <c r="CS838" s="215">
        <f t="shared" si="1661"/>
        <v>0</v>
      </c>
      <c r="CT838" s="968">
        <f t="shared" si="1661"/>
        <v>0</v>
      </c>
      <c r="CU838" s="188">
        <f t="shared" si="1662"/>
        <v>0</v>
      </c>
      <c r="CV838" s="215">
        <f t="shared" si="1662"/>
        <v>0</v>
      </c>
      <c r="CW838" s="215">
        <f t="shared" si="1662"/>
        <v>0</v>
      </c>
      <c r="CX838" s="1788">
        <f t="shared" si="1662"/>
        <v>0</v>
      </c>
      <c r="CY838" s="3098">
        <f t="shared" si="1662"/>
        <v>0</v>
      </c>
      <c r="CZ838" s="968">
        <f t="shared" si="1663"/>
        <v>0</v>
      </c>
      <c r="DA838" s="968">
        <f t="shared" si="1663"/>
        <v>0</v>
      </c>
      <c r="DB838"/>
      <c r="DC838"/>
      <c r="DD838" s="2377" t="s">
        <v>152</v>
      </c>
      <c r="DE838" s="2290">
        <f t="shared" si="1664"/>
        <v>0</v>
      </c>
      <c r="DF838" s="2290">
        <f t="shared" si="1665"/>
        <v>300</v>
      </c>
      <c r="DG838" s="2290">
        <f t="shared" si="1666"/>
        <v>300</v>
      </c>
      <c r="DH838" s="2290">
        <f t="shared" si="1667"/>
        <v>293</v>
      </c>
      <c r="DI838" s="2290">
        <f t="shared" si="1668"/>
        <v>293</v>
      </c>
      <c r="DJ838" s="2290">
        <f t="shared" si="1669"/>
        <v>91</v>
      </c>
      <c r="DK838" s="2290">
        <f t="shared" si="1670"/>
        <v>91</v>
      </c>
      <c r="DL838" s="2290">
        <f t="shared" si="1671"/>
        <v>91</v>
      </c>
      <c r="DM838" s="2290">
        <f t="shared" si="1672"/>
        <v>0</v>
      </c>
      <c r="DN838" s="2290">
        <f t="shared" si="1673"/>
        <v>0</v>
      </c>
      <c r="DO838" s="2290">
        <f t="shared" si="1674"/>
        <v>0</v>
      </c>
      <c r="DP838" s="2290">
        <f t="shared" si="1675"/>
        <v>0</v>
      </c>
      <c r="DQ838" s="2290">
        <f t="shared" si="1676"/>
        <v>0</v>
      </c>
      <c r="DR838" s="2290">
        <f t="shared" si="1677"/>
        <v>0</v>
      </c>
      <c r="DS838" s="2290">
        <f t="shared" si="1678"/>
        <v>0</v>
      </c>
      <c r="DT838" s="2290">
        <f t="shared" si="1679"/>
        <v>0</v>
      </c>
      <c r="DU838" s="2290">
        <f t="shared" si="1680"/>
        <v>0</v>
      </c>
      <c r="DV838" s="2290">
        <f t="shared" si="1681"/>
        <v>0</v>
      </c>
      <c r="DW838" s="2290">
        <f t="shared" si="1682"/>
        <v>0</v>
      </c>
      <c r="DX838" s="2290">
        <f t="shared" si="1683"/>
        <v>0</v>
      </c>
      <c r="DY838" s="2290">
        <f t="shared" si="1684"/>
        <v>0</v>
      </c>
      <c r="EA838"/>
      <c r="EB838"/>
      <c r="EC838"/>
      <c r="ED838"/>
      <c r="EE838"/>
      <c r="EF838"/>
      <c r="EJ838"/>
      <c r="EK838"/>
      <c r="EL838"/>
      <c r="EM838" s="1703"/>
      <c r="ER838" s="212"/>
    </row>
    <row r="839" spans="1:148" s="923" customFormat="1" ht="12.75" hidden="1" customHeight="1" outlineLevel="1" x14ac:dyDescent="0.2">
      <c r="A839" s="868" t="s">
        <v>824</v>
      </c>
      <c r="B839" s="215"/>
      <c r="C839" s="215"/>
      <c r="D839" s="215"/>
      <c r="E839" s="215"/>
      <c r="F839" s="215"/>
      <c r="G839" s="215"/>
      <c r="H839" s="215"/>
      <c r="I839" s="215">
        <v>300</v>
      </c>
      <c r="J839" s="215">
        <v>300</v>
      </c>
      <c r="K839" s="215">
        <v>300</v>
      </c>
      <c r="L839" s="215">
        <v>300</v>
      </c>
      <c r="M839" s="968">
        <f>L839</f>
        <v>300</v>
      </c>
      <c r="N839" s="215">
        <v>300</v>
      </c>
      <c r="O839" s="215">
        <v>300</v>
      </c>
      <c r="P839" s="215">
        <v>300</v>
      </c>
      <c r="Q839" s="215">
        <v>300</v>
      </c>
      <c r="R839" s="968">
        <f>Q839</f>
        <v>300</v>
      </c>
      <c r="S839" s="215">
        <v>300</v>
      </c>
      <c r="T839" s="215">
        <v>300</v>
      </c>
      <c r="U839" s="215">
        <v>300</v>
      </c>
      <c r="V839" s="215">
        <v>300</v>
      </c>
      <c r="W839" s="968">
        <f>V839</f>
        <v>300</v>
      </c>
      <c r="X839" s="215">
        <v>300</v>
      </c>
      <c r="Y839" s="215">
        <v>300</v>
      </c>
      <c r="Z839" s="215">
        <v>300</v>
      </c>
      <c r="AA839" s="215">
        <v>275</v>
      </c>
      <c r="AB839" s="968">
        <f t="shared" si="1644"/>
        <v>275</v>
      </c>
      <c r="AC839" s="215">
        <v>275</v>
      </c>
      <c r="AD839" s="215">
        <v>275</v>
      </c>
      <c r="AE839" s="215">
        <v>275</v>
      </c>
      <c r="AF839" s="215">
        <v>275</v>
      </c>
      <c r="AG839" s="968">
        <f t="shared" si="1645"/>
        <v>275</v>
      </c>
      <c r="AH839" s="215">
        <v>275</v>
      </c>
      <c r="AI839" s="215">
        <v>0</v>
      </c>
      <c r="AJ839" s="215">
        <v>0</v>
      </c>
      <c r="AK839" s="215">
        <v>0</v>
      </c>
      <c r="AL839" s="968">
        <f t="shared" si="1646"/>
        <v>0</v>
      </c>
      <c r="AM839" s="215">
        <v>0</v>
      </c>
      <c r="AN839" s="215">
        <v>0</v>
      </c>
      <c r="AO839" s="215">
        <v>0</v>
      </c>
      <c r="AP839" s="215">
        <v>0</v>
      </c>
      <c r="AQ839" s="968">
        <f t="shared" si="1647"/>
        <v>0</v>
      </c>
      <c r="AR839" s="215">
        <v>0</v>
      </c>
      <c r="AS839" s="215">
        <v>0</v>
      </c>
      <c r="AT839" s="215">
        <v>0</v>
      </c>
      <c r="AU839" s="215">
        <f>AT839</f>
        <v>0</v>
      </c>
      <c r="AV839" s="968">
        <f t="shared" si="1685"/>
        <v>0</v>
      </c>
      <c r="AW839" s="215">
        <f>AV839</f>
        <v>0</v>
      </c>
      <c r="AX839" s="215">
        <f t="shared" si="1686"/>
        <v>0</v>
      </c>
      <c r="AY839" s="215">
        <f t="shared" si="1686"/>
        <v>0</v>
      </c>
      <c r="AZ839" s="215">
        <f t="shared" si="1686"/>
        <v>0</v>
      </c>
      <c r="BA839" s="968">
        <f t="shared" si="1687"/>
        <v>0</v>
      </c>
      <c r="BB839" s="215">
        <f t="shared" si="1649"/>
        <v>0</v>
      </c>
      <c r="BC839" s="215">
        <f t="shared" si="1649"/>
        <v>0</v>
      </c>
      <c r="BD839" s="215">
        <f t="shared" si="1649"/>
        <v>0</v>
      </c>
      <c r="BE839" s="215">
        <f t="shared" si="1649"/>
        <v>0</v>
      </c>
      <c r="BF839" s="968">
        <f t="shared" si="1650"/>
        <v>0</v>
      </c>
      <c r="BG839" s="215">
        <f t="shared" si="1651"/>
        <v>0</v>
      </c>
      <c r="BH839" s="215">
        <f t="shared" si="1651"/>
        <v>0</v>
      </c>
      <c r="BI839" s="215">
        <f t="shared" si="1651"/>
        <v>0</v>
      </c>
      <c r="BJ839" s="215">
        <f t="shared" si="1651"/>
        <v>0</v>
      </c>
      <c r="BK839" s="968">
        <f t="shared" si="1652"/>
        <v>0</v>
      </c>
      <c r="BL839" s="215">
        <f t="shared" si="1653"/>
        <v>0</v>
      </c>
      <c r="BM839" s="215">
        <f>BL839</f>
        <v>0</v>
      </c>
      <c r="BN839" s="215">
        <f t="shared" si="1653"/>
        <v>0</v>
      </c>
      <c r="BO839" s="215">
        <f t="shared" si="1653"/>
        <v>0</v>
      </c>
      <c r="BP839" s="968">
        <f t="shared" si="1654"/>
        <v>0</v>
      </c>
      <c r="BQ839" s="215">
        <f t="shared" si="1655"/>
        <v>0</v>
      </c>
      <c r="BR839" s="215">
        <f t="shared" si="1655"/>
        <v>0</v>
      </c>
      <c r="BS839" s="215">
        <f t="shared" si="1655"/>
        <v>0</v>
      </c>
      <c r="BT839" s="215">
        <f t="shared" si="1655"/>
        <v>0</v>
      </c>
      <c r="BU839" s="968">
        <f t="shared" si="1656"/>
        <v>0</v>
      </c>
      <c r="BV839" s="215">
        <f t="shared" si="1656"/>
        <v>0</v>
      </c>
      <c r="BW839" s="215">
        <f t="shared" ref="BW839:CG839" si="1689">BV839</f>
        <v>0</v>
      </c>
      <c r="BX839" s="215">
        <f t="shared" si="1689"/>
        <v>0</v>
      </c>
      <c r="BY839" s="223">
        <v>0</v>
      </c>
      <c r="BZ839" s="968">
        <f t="shared" si="1689"/>
        <v>0</v>
      </c>
      <c r="CA839" s="223">
        <v>0</v>
      </c>
      <c r="CB839" s="215">
        <f t="shared" si="1689"/>
        <v>0</v>
      </c>
      <c r="CC839" s="215">
        <f t="shared" si="1689"/>
        <v>0</v>
      </c>
      <c r="CD839" s="1788">
        <f t="shared" si="1689"/>
        <v>0</v>
      </c>
      <c r="CE839" s="968">
        <f t="shared" si="1689"/>
        <v>0</v>
      </c>
      <c r="CF839" s="188">
        <f t="shared" si="1689"/>
        <v>0</v>
      </c>
      <c r="CG839" s="215">
        <f t="shared" si="1689"/>
        <v>0</v>
      </c>
      <c r="CH839" s="215">
        <f t="shared" si="1658"/>
        <v>0</v>
      </c>
      <c r="CI839" s="1788">
        <f t="shared" si="1658"/>
        <v>0</v>
      </c>
      <c r="CJ839" s="968">
        <f t="shared" si="1658"/>
        <v>0</v>
      </c>
      <c r="CK839" s="215">
        <f t="shared" si="1658"/>
        <v>0</v>
      </c>
      <c r="CL839" s="215">
        <v>0</v>
      </c>
      <c r="CM839" s="215">
        <f t="shared" si="1659"/>
        <v>0</v>
      </c>
      <c r="CN839" s="1788">
        <f t="shared" si="1659"/>
        <v>0</v>
      </c>
      <c r="CO839" s="968">
        <f t="shared" si="1659"/>
        <v>0</v>
      </c>
      <c r="CP839" s="215">
        <f t="shared" si="1660"/>
        <v>0</v>
      </c>
      <c r="CQ839" s="215">
        <f t="shared" si="1660"/>
        <v>0</v>
      </c>
      <c r="CR839" s="215">
        <f t="shared" si="1660"/>
        <v>0</v>
      </c>
      <c r="CS839" s="215">
        <f t="shared" si="1661"/>
        <v>0</v>
      </c>
      <c r="CT839" s="968">
        <f t="shared" si="1661"/>
        <v>0</v>
      </c>
      <c r="CU839" s="188">
        <f t="shared" si="1662"/>
        <v>0</v>
      </c>
      <c r="CV839" s="215">
        <f t="shared" si="1662"/>
        <v>0</v>
      </c>
      <c r="CW839" s="215">
        <f t="shared" si="1662"/>
        <v>0</v>
      </c>
      <c r="CX839" s="1788">
        <f t="shared" si="1662"/>
        <v>0</v>
      </c>
      <c r="CY839" s="3098">
        <f t="shared" si="1662"/>
        <v>0</v>
      </c>
      <c r="CZ839" s="968">
        <f t="shared" si="1663"/>
        <v>0</v>
      </c>
      <c r="DA839" s="968">
        <f t="shared" si="1663"/>
        <v>0</v>
      </c>
      <c r="DB839"/>
      <c r="DC839"/>
      <c r="DD839" s="2377" t="s">
        <v>824</v>
      </c>
      <c r="DE839" s="2290">
        <f t="shared" si="1664"/>
        <v>300</v>
      </c>
      <c r="DF839" s="2290">
        <f t="shared" si="1665"/>
        <v>300</v>
      </c>
      <c r="DG839" s="2290">
        <f t="shared" si="1666"/>
        <v>300</v>
      </c>
      <c r="DH839" s="2290">
        <f t="shared" si="1667"/>
        <v>275</v>
      </c>
      <c r="DI839" s="2290">
        <f t="shared" si="1668"/>
        <v>275</v>
      </c>
      <c r="DJ839" s="2290">
        <f t="shared" si="1669"/>
        <v>0</v>
      </c>
      <c r="DK839" s="2290">
        <f t="shared" si="1670"/>
        <v>0</v>
      </c>
      <c r="DL839" s="2290">
        <f t="shared" si="1671"/>
        <v>0</v>
      </c>
      <c r="DM839" s="2290">
        <f t="shared" si="1672"/>
        <v>0</v>
      </c>
      <c r="DN839" s="2290">
        <f t="shared" si="1673"/>
        <v>0</v>
      </c>
      <c r="DO839" s="2290">
        <f t="shared" si="1674"/>
        <v>0</v>
      </c>
      <c r="DP839" s="2290">
        <f t="shared" si="1675"/>
        <v>0</v>
      </c>
      <c r="DQ839" s="2290">
        <f t="shared" si="1676"/>
        <v>0</v>
      </c>
      <c r="DR839" s="2290">
        <f t="shared" si="1677"/>
        <v>0</v>
      </c>
      <c r="DS839" s="2290">
        <f t="shared" si="1678"/>
        <v>0</v>
      </c>
      <c r="DT839" s="2290">
        <f t="shared" si="1679"/>
        <v>0</v>
      </c>
      <c r="DU839" s="2290">
        <f t="shared" si="1680"/>
        <v>0</v>
      </c>
      <c r="DV839" s="2290">
        <f t="shared" si="1681"/>
        <v>0</v>
      </c>
      <c r="DW839" s="2290">
        <f t="shared" si="1682"/>
        <v>0</v>
      </c>
      <c r="DX839" s="2290">
        <f t="shared" si="1683"/>
        <v>0</v>
      </c>
      <c r="DY839" s="2290">
        <f t="shared" si="1684"/>
        <v>0</v>
      </c>
      <c r="EA839"/>
      <c r="EB839"/>
      <c r="EC839"/>
      <c r="ED839"/>
      <c r="EE839"/>
      <c r="EF839"/>
      <c r="EJ839"/>
      <c r="EK839"/>
      <c r="EL839"/>
      <c r="EM839" s="1703"/>
      <c r="ER839" s="212"/>
    </row>
    <row r="840" spans="1:148" s="923" customFormat="1" ht="12.75" hidden="1" customHeight="1" outlineLevel="1" x14ac:dyDescent="0.2">
      <c r="A840" s="868" t="s">
        <v>751</v>
      </c>
      <c r="B840" s="215"/>
      <c r="C840" s="215"/>
      <c r="D840" s="215"/>
      <c r="E840" s="215"/>
      <c r="F840" s="215"/>
      <c r="G840" s="215"/>
      <c r="H840" s="215"/>
      <c r="I840" s="215">
        <v>300</v>
      </c>
      <c r="J840" s="215">
        <v>300</v>
      </c>
      <c r="K840" s="215">
        <v>300</v>
      </c>
      <c r="L840" s="215">
        <v>300</v>
      </c>
      <c r="M840" s="968">
        <f>L840</f>
        <v>300</v>
      </c>
      <c r="N840" s="215">
        <v>300</v>
      </c>
      <c r="O840" s="215">
        <v>300</v>
      </c>
      <c r="P840" s="215">
        <v>300</v>
      </c>
      <c r="Q840" s="215">
        <v>300</v>
      </c>
      <c r="R840" s="968">
        <f>Q840</f>
        <v>300</v>
      </c>
      <c r="S840" s="215">
        <v>300</v>
      </c>
      <c r="T840" s="215">
        <v>300</v>
      </c>
      <c r="U840" s="215">
        <v>300</v>
      </c>
      <c r="V840" s="215">
        <v>300</v>
      </c>
      <c r="W840" s="968">
        <f>V840</f>
        <v>300</v>
      </c>
      <c r="X840" s="215">
        <v>300</v>
      </c>
      <c r="Y840" s="215">
        <v>300</v>
      </c>
      <c r="Z840" s="215">
        <v>300</v>
      </c>
      <c r="AA840" s="215">
        <v>299</v>
      </c>
      <c r="AB840" s="968">
        <f t="shared" si="1644"/>
        <v>299</v>
      </c>
      <c r="AC840" s="215">
        <v>299</v>
      </c>
      <c r="AD840" s="215">
        <v>299</v>
      </c>
      <c r="AE840" s="215">
        <v>299</v>
      </c>
      <c r="AF840" s="215">
        <v>299</v>
      </c>
      <c r="AG840" s="968">
        <f t="shared" si="1645"/>
        <v>299</v>
      </c>
      <c r="AH840" s="215">
        <v>299</v>
      </c>
      <c r="AI840" s="215">
        <v>299</v>
      </c>
      <c r="AJ840" s="215">
        <v>299</v>
      </c>
      <c r="AK840" s="215">
        <v>76</v>
      </c>
      <c r="AL840" s="968">
        <f t="shared" si="1646"/>
        <v>76</v>
      </c>
      <c r="AM840" s="215">
        <v>76</v>
      </c>
      <c r="AN840" s="215">
        <v>76</v>
      </c>
      <c r="AO840" s="215">
        <v>76</v>
      </c>
      <c r="AP840" s="215">
        <v>76</v>
      </c>
      <c r="AQ840" s="968">
        <f t="shared" si="1647"/>
        <v>76</v>
      </c>
      <c r="AR840" s="215">
        <v>76</v>
      </c>
      <c r="AS840" s="215">
        <v>76</v>
      </c>
      <c r="AT840" s="215">
        <v>76</v>
      </c>
      <c r="AU840" s="215">
        <v>76</v>
      </c>
      <c r="AV840" s="968">
        <f t="shared" si="1685"/>
        <v>76</v>
      </c>
      <c r="AW840" s="215">
        <v>76</v>
      </c>
      <c r="AX840" s="215">
        <v>76</v>
      </c>
      <c r="AY840" s="215">
        <v>76</v>
      </c>
      <c r="AZ840" s="215">
        <v>76</v>
      </c>
      <c r="BA840" s="968">
        <f t="shared" si="1687"/>
        <v>76</v>
      </c>
      <c r="BB840" s="215">
        <v>76</v>
      </c>
      <c r="BC840" s="215">
        <v>76</v>
      </c>
      <c r="BD840" s="215">
        <v>76</v>
      </c>
      <c r="BE840" s="215">
        <v>0</v>
      </c>
      <c r="BF840" s="968">
        <f t="shared" si="1650"/>
        <v>0</v>
      </c>
      <c r="BG840" s="215">
        <f t="shared" si="1651"/>
        <v>0</v>
      </c>
      <c r="BH840" s="215">
        <f t="shared" si="1651"/>
        <v>0</v>
      </c>
      <c r="BI840" s="215">
        <f t="shared" si="1651"/>
        <v>0</v>
      </c>
      <c r="BJ840" s="215">
        <f t="shared" si="1651"/>
        <v>0</v>
      </c>
      <c r="BK840" s="968">
        <f t="shared" si="1652"/>
        <v>0</v>
      </c>
      <c r="BL840" s="215">
        <f t="shared" si="1653"/>
        <v>0</v>
      </c>
      <c r="BM840" s="215">
        <f>BL840</f>
        <v>0</v>
      </c>
      <c r="BN840" s="215">
        <f t="shared" si="1653"/>
        <v>0</v>
      </c>
      <c r="BO840" s="215">
        <f t="shared" si="1653"/>
        <v>0</v>
      </c>
      <c r="BP840" s="968">
        <f t="shared" si="1654"/>
        <v>0</v>
      </c>
      <c r="BQ840" s="215">
        <f t="shared" si="1655"/>
        <v>0</v>
      </c>
      <c r="BR840" s="215">
        <f t="shared" si="1655"/>
        <v>0</v>
      </c>
      <c r="BS840" s="215">
        <f t="shared" si="1655"/>
        <v>0</v>
      </c>
      <c r="BT840" s="215">
        <f t="shared" si="1655"/>
        <v>0</v>
      </c>
      <c r="BU840" s="968">
        <f t="shared" si="1656"/>
        <v>0</v>
      </c>
      <c r="BV840" s="215">
        <f t="shared" si="1656"/>
        <v>0</v>
      </c>
      <c r="BW840" s="215">
        <f>BV840</f>
        <v>0</v>
      </c>
      <c r="BX840" s="215">
        <f>BW840</f>
        <v>0</v>
      </c>
      <c r="BY840" s="223">
        <v>0</v>
      </c>
      <c r="BZ840" s="968">
        <f>BY840</f>
        <v>0</v>
      </c>
      <c r="CA840" s="223">
        <v>0</v>
      </c>
      <c r="CB840" s="215">
        <f t="shared" ref="CB840:CG840" si="1690">CA840</f>
        <v>0</v>
      </c>
      <c r="CC840" s="215">
        <f t="shared" si="1690"/>
        <v>0</v>
      </c>
      <c r="CD840" s="1788">
        <f t="shared" si="1690"/>
        <v>0</v>
      </c>
      <c r="CE840" s="968">
        <f t="shared" si="1690"/>
        <v>0</v>
      </c>
      <c r="CF840" s="188">
        <f t="shared" si="1690"/>
        <v>0</v>
      </c>
      <c r="CG840" s="215">
        <f t="shared" si="1690"/>
        <v>0</v>
      </c>
      <c r="CH840" s="215">
        <f t="shared" si="1658"/>
        <v>0</v>
      </c>
      <c r="CI840" s="1788">
        <f t="shared" si="1658"/>
        <v>0</v>
      </c>
      <c r="CJ840" s="968">
        <f t="shared" si="1658"/>
        <v>0</v>
      </c>
      <c r="CK840" s="215">
        <f t="shared" si="1658"/>
        <v>0</v>
      </c>
      <c r="CL840" s="215">
        <v>0</v>
      </c>
      <c r="CM840" s="215">
        <f t="shared" si="1659"/>
        <v>0</v>
      </c>
      <c r="CN840" s="1788">
        <f t="shared" si="1659"/>
        <v>0</v>
      </c>
      <c r="CO840" s="968">
        <f t="shared" si="1659"/>
        <v>0</v>
      </c>
      <c r="CP840" s="215">
        <f t="shared" si="1660"/>
        <v>0</v>
      </c>
      <c r="CQ840" s="215">
        <f t="shared" si="1660"/>
        <v>0</v>
      </c>
      <c r="CR840" s="215">
        <f t="shared" si="1660"/>
        <v>0</v>
      </c>
      <c r="CS840" s="215">
        <f t="shared" si="1661"/>
        <v>0</v>
      </c>
      <c r="CT840" s="968">
        <f t="shared" si="1661"/>
        <v>0</v>
      </c>
      <c r="CU840" s="188">
        <f t="shared" si="1662"/>
        <v>0</v>
      </c>
      <c r="CV840" s="215">
        <f t="shared" si="1662"/>
        <v>0</v>
      </c>
      <c r="CW840" s="215">
        <f t="shared" si="1662"/>
        <v>0</v>
      </c>
      <c r="CX840" s="1788">
        <f t="shared" si="1662"/>
        <v>0</v>
      </c>
      <c r="CY840" s="3098">
        <f t="shared" si="1662"/>
        <v>0</v>
      </c>
      <c r="CZ840" s="968">
        <f t="shared" si="1663"/>
        <v>0</v>
      </c>
      <c r="DA840" s="968">
        <f t="shared" si="1663"/>
        <v>0</v>
      </c>
      <c r="DB840"/>
      <c r="DC840"/>
      <c r="DD840" s="2377" t="s">
        <v>751</v>
      </c>
      <c r="DE840" s="2290">
        <f t="shared" si="1664"/>
        <v>300</v>
      </c>
      <c r="DF840" s="2290">
        <f t="shared" si="1665"/>
        <v>300</v>
      </c>
      <c r="DG840" s="2290">
        <f t="shared" si="1666"/>
        <v>300</v>
      </c>
      <c r="DH840" s="2290">
        <f t="shared" si="1667"/>
        <v>299</v>
      </c>
      <c r="DI840" s="2290">
        <f t="shared" si="1668"/>
        <v>299</v>
      </c>
      <c r="DJ840" s="2290">
        <f t="shared" si="1669"/>
        <v>76</v>
      </c>
      <c r="DK840" s="2290">
        <f t="shared" si="1670"/>
        <v>76</v>
      </c>
      <c r="DL840" s="2290">
        <f t="shared" si="1671"/>
        <v>76</v>
      </c>
      <c r="DM840" s="2290">
        <f t="shared" si="1672"/>
        <v>76</v>
      </c>
      <c r="DN840" s="2290">
        <f t="shared" si="1673"/>
        <v>0</v>
      </c>
      <c r="DO840" s="2290">
        <f t="shared" si="1674"/>
        <v>0</v>
      </c>
      <c r="DP840" s="2290">
        <f t="shared" si="1675"/>
        <v>0</v>
      </c>
      <c r="DQ840" s="2290">
        <f t="shared" si="1676"/>
        <v>0</v>
      </c>
      <c r="DR840" s="2290">
        <f t="shared" si="1677"/>
        <v>0</v>
      </c>
      <c r="DS840" s="2290">
        <f t="shared" si="1678"/>
        <v>0</v>
      </c>
      <c r="DT840" s="2290">
        <f t="shared" si="1679"/>
        <v>0</v>
      </c>
      <c r="DU840" s="2290">
        <f t="shared" si="1680"/>
        <v>0</v>
      </c>
      <c r="DV840" s="2290">
        <f t="shared" si="1681"/>
        <v>0</v>
      </c>
      <c r="DW840" s="2290">
        <f t="shared" si="1682"/>
        <v>0</v>
      </c>
      <c r="DX840" s="2290">
        <f t="shared" si="1683"/>
        <v>0</v>
      </c>
      <c r="DY840" s="2290">
        <f t="shared" si="1684"/>
        <v>0</v>
      </c>
      <c r="EA840"/>
      <c r="EB840"/>
      <c r="EC840"/>
      <c r="ED840"/>
      <c r="EE840"/>
      <c r="EF840"/>
      <c r="EJ840"/>
      <c r="EK840"/>
      <c r="EL840"/>
      <c r="EM840" s="1703"/>
      <c r="ER840" s="212"/>
    </row>
    <row r="841" spans="1:148" s="923" customFormat="1" ht="12.75" customHeight="1" collapsed="1" x14ac:dyDescent="0.2">
      <c r="A841" s="900" t="s">
        <v>1073</v>
      </c>
      <c r="B841" s="223"/>
      <c r="C841" s="223"/>
      <c r="D841" s="223"/>
      <c r="E841" s="223"/>
      <c r="F841" s="223"/>
      <c r="G841" s="223"/>
      <c r="H841" s="223"/>
      <c r="I841" s="223"/>
      <c r="J841" s="223"/>
      <c r="K841" s="223"/>
      <c r="L841" s="223"/>
      <c r="M841" s="968"/>
      <c r="N841" s="223"/>
      <c r="O841" s="223"/>
      <c r="P841" s="223"/>
      <c r="Q841" s="223"/>
      <c r="R841" s="968"/>
      <c r="S841" s="223"/>
      <c r="T841" s="223"/>
      <c r="U841" s="223"/>
      <c r="V841" s="223"/>
      <c r="W841" s="968"/>
      <c r="X841" s="223">
        <v>0</v>
      </c>
      <c r="Y841" s="223">
        <v>0</v>
      </c>
      <c r="Z841" s="223">
        <v>0</v>
      </c>
      <c r="AA841" s="223">
        <v>0</v>
      </c>
      <c r="AB841" s="968">
        <f t="shared" si="1644"/>
        <v>0</v>
      </c>
      <c r="AC841" s="223">
        <v>0</v>
      </c>
      <c r="AD841" s="223">
        <v>0</v>
      </c>
      <c r="AE841" s="223">
        <v>0</v>
      </c>
      <c r="AF841" s="223">
        <v>0</v>
      </c>
      <c r="AG841" s="968">
        <f t="shared" si="1645"/>
        <v>0</v>
      </c>
      <c r="AH841" s="223">
        <v>0</v>
      </c>
      <c r="AI841" s="223">
        <v>348</v>
      </c>
      <c r="AJ841" s="223">
        <v>348</v>
      </c>
      <c r="AK841" s="223">
        <v>348</v>
      </c>
      <c r="AL841" s="968">
        <f t="shared" si="1646"/>
        <v>348</v>
      </c>
      <c r="AM841" s="223">
        <v>348</v>
      </c>
      <c r="AN841" s="223">
        <v>348</v>
      </c>
      <c r="AO841" s="223">
        <v>348</v>
      </c>
      <c r="AP841" s="223">
        <v>349</v>
      </c>
      <c r="AQ841" s="968">
        <f t="shared" si="1647"/>
        <v>349</v>
      </c>
      <c r="AR841" s="223">
        <v>349</v>
      </c>
      <c r="AS841" s="223">
        <v>349</v>
      </c>
      <c r="AT841" s="223">
        <v>349</v>
      </c>
      <c r="AU841" s="223">
        <v>349</v>
      </c>
      <c r="AV841" s="968">
        <f t="shared" si="1685"/>
        <v>349</v>
      </c>
      <c r="AW841" s="223">
        <v>349</v>
      </c>
      <c r="AX841" s="223">
        <v>349</v>
      </c>
      <c r="AY841" s="223">
        <v>349</v>
      </c>
      <c r="AZ841" s="223">
        <v>347</v>
      </c>
      <c r="BA841" s="968">
        <f t="shared" si="1687"/>
        <v>347</v>
      </c>
      <c r="BB841" s="223">
        <v>347</v>
      </c>
      <c r="BC841" s="223">
        <v>347</v>
      </c>
      <c r="BD841" s="223">
        <v>347</v>
      </c>
      <c r="BE841" s="223">
        <v>347</v>
      </c>
      <c r="BF841" s="968">
        <f t="shared" si="1650"/>
        <v>347</v>
      </c>
      <c r="BG841" s="223">
        <f>+BF841</f>
        <v>347</v>
      </c>
      <c r="BH841" s="223">
        <f>+BG841</f>
        <v>347</v>
      </c>
      <c r="BI841" s="223">
        <v>348</v>
      </c>
      <c r="BJ841" s="223">
        <f>+BI841</f>
        <v>348</v>
      </c>
      <c r="BK841" s="968">
        <f t="shared" si="1652"/>
        <v>348</v>
      </c>
      <c r="BL841" s="223">
        <v>348</v>
      </c>
      <c r="BM841" s="223">
        <v>348</v>
      </c>
      <c r="BN841" s="223">
        <v>348</v>
      </c>
      <c r="BO841" s="223">
        <v>348</v>
      </c>
      <c r="BP841" s="968">
        <f t="shared" si="1654"/>
        <v>348</v>
      </c>
      <c r="BQ841" s="223">
        <v>348</v>
      </c>
      <c r="BR841" s="223">
        <v>0</v>
      </c>
      <c r="BS841" s="223">
        <f>+BR841</f>
        <v>0</v>
      </c>
      <c r="BT841" s="223">
        <f>+BS841</f>
        <v>0</v>
      </c>
      <c r="BU841" s="968">
        <f t="shared" ref="BU841:BU847" si="1691">BT841</f>
        <v>0</v>
      </c>
      <c r="BV841" s="223">
        <v>0</v>
      </c>
      <c r="BW841" s="223">
        <v>0</v>
      </c>
      <c r="BX841" s="223">
        <v>0</v>
      </c>
      <c r="BY841" s="223">
        <v>0</v>
      </c>
      <c r="BZ841" s="968">
        <f t="shared" ref="BZ841:BZ848" si="1692">BY841</f>
        <v>0</v>
      </c>
      <c r="CA841" s="223">
        <v>0</v>
      </c>
      <c r="CB841" s="223">
        <v>0</v>
      </c>
      <c r="CC841" s="223">
        <v>0</v>
      </c>
      <c r="CD841" s="223">
        <v>0</v>
      </c>
      <c r="CE841" s="968">
        <f>CD841</f>
        <v>0</v>
      </c>
      <c r="CF841" s="223">
        <v>0</v>
      </c>
      <c r="CG841" s="223">
        <v>0</v>
      </c>
      <c r="CH841" s="223">
        <v>0</v>
      </c>
      <c r="CI841" s="1788">
        <f t="shared" ref="CI841:CK842" si="1693">+CH841</f>
        <v>0</v>
      </c>
      <c r="CJ841" s="968">
        <f>CI841</f>
        <v>0</v>
      </c>
      <c r="CK841" s="188">
        <f t="shared" si="1693"/>
        <v>0</v>
      </c>
      <c r="CL841" s="223">
        <v>0</v>
      </c>
      <c r="CM841" s="845">
        <v>0</v>
      </c>
      <c r="CN841" s="1788">
        <f>+CM841</f>
        <v>0</v>
      </c>
      <c r="CO841" s="968">
        <f>CN841</f>
        <v>0</v>
      </c>
      <c r="CP841" s="215">
        <f t="shared" ref="CP841:CQ844" si="1694">+CO841</f>
        <v>0</v>
      </c>
      <c r="CQ841" s="215">
        <f t="shared" si="1694"/>
        <v>0</v>
      </c>
      <c r="CR841" s="215">
        <f t="shared" ref="CR841:CR845" si="1695">+CQ841</f>
        <v>0</v>
      </c>
      <c r="CS841" s="215">
        <f t="shared" ref="CS841:CS853" si="1696">+CR841</f>
        <v>0</v>
      </c>
      <c r="CT841" s="968">
        <f>CS841</f>
        <v>0</v>
      </c>
      <c r="CU841" s="188">
        <f t="shared" ref="CU841:CU853" si="1697">+CT841</f>
        <v>0</v>
      </c>
      <c r="CV841" s="215">
        <f t="shared" ref="CV841:CV853" si="1698">+CU841</f>
        <v>0</v>
      </c>
      <c r="CW841" s="215">
        <f t="shared" ref="CW841:CW853" si="1699">+CV841</f>
        <v>0</v>
      </c>
      <c r="CX841" s="1788">
        <f t="shared" ref="CX841:CX853" si="1700">+CW841</f>
        <v>0</v>
      </c>
      <c r="CY841" s="3098">
        <f>CX841</f>
        <v>0</v>
      </c>
      <c r="CZ841" s="968">
        <f t="shared" si="1663"/>
        <v>0</v>
      </c>
      <c r="DA841" s="968">
        <f t="shared" si="1663"/>
        <v>0</v>
      </c>
      <c r="DB841"/>
      <c r="DC841"/>
      <c r="DD841" s="2378" t="s">
        <v>1073</v>
      </c>
      <c r="DE841" s="2290">
        <f t="shared" si="1664"/>
        <v>0</v>
      </c>
      <c r="DF841" s="2290">
        <f t="shared" si="1665"/>
        <v>0</v>
      </c>
      <c r="DG841" s="2290">
        <f t="shared" si="1666"/>
        <v>0</v>
      </c>
      <c r="DH841" s="2290">
        <f t="shared" si="1667"/>
        <v>0</v>
      </c>
      <c r="DI841" s="2290">
        <f t="shared" si="1668"/>
        <v>0</v>
      </c>
      <c r="DJ841" s="2290">
        <f t="shared" si="1669"/>
        <v>348</v>
      </c>
      <c r="DK841" s="2290">
        <f t="shared" si="1670"/>
        <v>349</v>
      </c>
      <c r="DL841" s="2290">
        <f t="shared" si="1671"/>
        <v>349</v>
      </c>
      <c r="DM841" s="2290">
        <f t="shared" si="1672"/>
        <v>347</v>
      </c>
      <c r="DN841" s="2290">
        <f t="shared" si="1673"/>
        <v>347</v>
      </c>
      <c r="DO841" s="2290">
        <f t="shared" si="1674"/>
        <v>348</v>
      </c>
      <c r="DP841" s="2290">
        <f t="shared" si="1675"/>
        <v>348</v>
      </c>
      <c r="DQ841" s="2290">
        <f t="shared" si="1676"/>
        <v>0</v>
      </c>
      <c r="DR841" s="2290">
        <f t="shared" si="1677"/>
        <v>0</v>
      </c>
      <c r="DS841" s="2290">
        <f t="shared" si="1678"/>
        <v>0</v>
      </c>
      <c r="DT841" s="2290">
        <f t="shared" si="1679"/>
        <v>0</v>
      </c>
      <c r="DU841" s="2290">
        <f t="shared" si="1680"/>
        <v>0</v>
      </c>
      <c r="DV841" s="2290">
        <f t="shared" si="1681"/>
        <v>0</v>
      </c>
      <c r="DW841" s="2290">
        <f t="shared" si="1682"/>
        <v>0</v>
      </c>
      <c r="DX841" s="2290">
        <f t="shared" si="1683"/>
        <v>0</v>
      </c>
      <c r="DY841" s="2290">
        <f t="shared" si="1684"/>
        <v>0</v>
      </c>
      <c r="EA841"/>
      <c r="EB841"/>
      <c r="EC841"/>
      <c r="ED841"/>
      <c r="EE841"/>
      <c r="EF841"/>
      <c r="EJ841"/>
      <c r="EK841"/>
      <c r="EL841"/>
      <c r="EM841" s="1703"/>
      <c r="ER841" s="212"/>
    </row>
    <row r="842" spans="1:148" s="923" customFormat="1" ht="12.75" customHeight="1" x14ac:dyDescent="0.2">
      <c r="A842" s="900" t="s">
        <v>1074</v>
      </c>
      <c r="B842" s="223"/>
      <c r="C842" s="223"/>
      <c r="D842" s="223"/>
      <c r="E842" s="223"/>
      <c r="F842" s="223"/>
      <c r="G842" s="223"/>
      <c r="H842" s="223"/>
      <c r="I842" s="223"/>
      <c r="J842" s="223"/>
      <c r="K842" s="223"/>
      <c r="L842" s="223"/>
      <c r="M842" s="968"/>
      <c r="N842" s="223"/>
      <c r="O842" s="223"/>
      <c r="P842" s="223"/>
      <c r="Q842" s="223"/>
      <c r="R842" s="968"/>
      <c r="S842" s="223"/>
      <c r="T842" s="223"/>
      <c r="U842" s="223"/>
      <c r="V842" s="223"/>
      <c r="W842" s="968"/>
      <c r="X842" s="223"/>
      <c r="Y842" s="223"/>
      <c r="Z842" s="223"/>
      <c r="AA842" s="223"/>
      <c r="AB842" s="968"/>
      <c r="AC842" s="223"/>
      <c r="AD842" s="223"/>
      <c r="AE842" s="223"/>
      <c r="AF842" s="223"/>
      <c r="AG842" s="968"/>
      <c r="AH842" s="223"/>
      <c r="AI842" s="223"/>
      <c r="AJ842" s="223"/>
      <c r="AK842" s="223"/>
      <c r="AL842" s="968"/>
      <c r="AM842" s="223"/>
      <c r="AN842" s="223"/>
      <c r="AO842" s="223"/>
      <c r="AP842" s="223"/>
      <c r="AQ842" s="968"/>
      <c r="AR842" s="223"/>
      <c r="AS842" s="223"/>
      <c r="AT842" s="223"/>
      <c r="AU842" s="223">
        <v>397</v>
      </c>
      <c r="AV842" s="968">
        <f t="shared" si="1685"/>
        <v>397</v>
      </c>
      <c r="AW842" s="223">
        <v>397</v>
      </c>
      <c r="AX842" s="223">
        <v>397</v>
      </c>
      <c r="AY842" s="223">
        <v>397</v>
      </c>
      <c r="AZ842" s="223">
        <v>397</v>
      </c>
      <c r="BA842" s="968">
        <f t="shared" si="1687"/>
        <v>397</v>
      </c>
      <c r="BB842" s="223">
        <v>397</v>
      </c>
      <c r="BC842" s="223">
        <v>398</v>
      </c>
      <c r="BD842" s="223">
        <v>398</v>
      </c>
      <c r="BE842" s="223">
        <v>398</v>
      </c>
      <c r="BF842" s="968">
        <f t="shared" si="1650"/>
        <v>398</v>
      </c>
      <c r="BG842" s="223">
        <v>398</v>
      </c>
      <c r="BH842" s="223">
        <v>398</v>
      </c>
      <c r="BI842" s="223">
        <v>398</v>
      </c>
      <c r="BJ842" s="223">
        <v>399</v>
      </c>
      <c r="BK842" s="968">
        <f t="shared" si="1652"/>
        <v>399</v>
      </c>
      <c r="BL842" s="223">
        <v>399</v>
      </c>
      <c r="BM842" s="223">
        <v>399</v>
      </c>
      <c r="BN842" s="223">
        <v>399</v>
      </c>
      <c r="BO842" s="223">
        <v>399</v>
      </c>
      <c r="BP842" s="968">
        <f t="shared" si="1654"/>
        <v>399</v>
      </c>
      <c r="BQ842" s="223">
        <v>399</v>
      </c>
      <c r="BR842" s="223">
        <v>399</v>
      </c>
      <c r="BS842" s="223">
        <v>400</v>
      </c>
      <c r="BT842" s="223">
        <v>400</v>
      </c>
      <c r="BU842" s="968">
        <f t="shared" si="1691"/>
        <v>400</v>
      </c>
      <c r="BV842" s="223">
        <v>0</v>
      </c>
      <c r="BW842" s="223">
        <v>0</v>
      </c>
      <c r="BX842" s="223">
        <v>0</v>
      </c>
      <c r="BY842" s="223">
        <v>0</v>
      </c>
      <c r="BZ842" s="968">
        <f t="shared" si="1692"/>
        <v>0</v>
      </c>
      <c r="CA842" s="223">
        <v>0</v>
      </c>
      <c r="CB842" s="223">
        <v>0</v>
      </c>
      <c r="CC842" s="223">
        <v>0</v>
      </c>
      <c r="CD842" s="223">
        <v>0</v>
      </c>
      <c r="CE842" s="968">
        <f>CD842</f>
        <v>0</v>
      </c>
      <c r="CF842" s="223">
        <v>0</v>
      </c>
      <c r="CG842" s="223">
        <v>0</v>
      </c>
      <c r="CH842" s="223">
        <v>0</v>
      </c>
      <c r="CI842" s="1788">
        <f t="shared" si="1693"/>
        <v>0</v>
      </c>
      <c r="CJ842" s="968">
        <f t="shared" ref="CJ842:CJ848" si="1701">CI842</f>
        <v>0</v>
      </c>
      <c r="CK842" s="188">
        <f t="shared" si="1693"/>
        <v>0</v>
      </c>
      <c r="CL842" s="223">
        <v>0</v>
      </c>
      <c r="CM842" s="845">
        <v>0</v>
      </c>
      <c r="CN842" s="1788">
        <f>+CM842</f>
        <v>0</v>
      </c>
      <c r="CO842" s="968">
        <f t="shared" ref="CO842:CO848" si="1702">CN842</f>
        <v>0</v>
      </c>
      <c r="CP842" s="215">
        <f t="shared" si="1694"/>
        <v>0</v>
      </c>
      <c r="CQ842" s="215">
        <f t="shared" si="1694"/>
        <v>0</v>
      </c>
      <c r="CR842" s="215">
        <f t="shared" si="1695"/>
        <v>0</v>
      </c>
      <c r="CS842" s="215">
        <f t="shared" si="1696"/>
        <v>0</v>
      </c>
      <c r="CT842" s="968">
        <f t="shared" ref="CT842:CT848" si="1703">CS842</f>
        <v>0</v>
      </c>
      <c r="CU842" s="188">
        <f t="shared" si="1697"/>
        <v>0</v>
      </c>
      <c r="CV842" s="215">
        <f t="shared" si="1698"/>
        <v>0</v>
      </c>
      <c r="CW842" s="215">
        <f t="shared" si="1699"/>
        <v>0</v>
      </c>
      <c r="CX842" s="1788">
        <f t="shared" si="1700"/>
        <v>0</v>
      </c>
      <c r="CY842" s="3098">
        <f t="shared" ref="CY842:CY848" si="1704">CX842</f>
        <v>0</v>
      </c>
      <c r="CZ842" s="968">
        <f t="shared" si="1663"/>
        <v>0</v>
      </c>
      <c r="DA842" s="968">
        <f t="shared" si="1663"/>
        <v>0</v>
      </c>
      <c r="DB842"/>
      <c r="DC842"/>
      <c r="DD842" s="2378" t="s">
        <v>1074</v>
      </c>
      <c r="DE842" s="2290">
        <f t="shared" si="1664"/>
        <v>0</v>
      </c>
      <c r="DF842" s="2290">
        <f t="shared" si="1665"/>
        <v>0</v>
      </c>
      <c r="DG842" s="2290">
        <f t="shared" si="1666"/>
        <v>0</v>
      </c>
      <c r="DH842" s="2290">
        <f t="shared" si="1667"/>
        <v>0</v>
      </c>
      <c r="DI842" s="2290">
        <f t="shared" si="1668"/>
        <v>0</v>
      </c>
      <c r="DJ842" s="2290">
        <f t="shared" si="1669"/>
        <v>0</v>
      </c>
      <c r="DK842" s="2290">
        <f t="shared" si="1670"/>
        <v>0</v>
      </c>
      <c r="DL842" s="2290">
        <f t="shared" si="1671"/>
        <v>397</v>
      </c>
      <c r="DM842" s="2290">
        <f t="shared" si="1672"/>
        <v>397</v>
      </c>
      <c r="DN842" s="2290">
        <f t="shared" si="1673"/>
        <v>398</v>
      </c>
      <c r="DO842" s="2290">
        <f t="shared" si="1674"/>
        <v>399</v>
      </c>
      <c r="DP842" s="2290">
        <f t="shared" si="1675"/>
        <v>399</v>
      </c>
      <c r="DQ842" s="2290">
        <f t="shared" si="1676"/>
        <v>400</v>
      </c>
      <c r="DR842" s="2290">
        <f t="shared" si="1677"/>
        <v>0</v>
      </c>
      <c r="DS842" s="2290">
        <f t="shared" si="1678"/>
        <v>0</v>
      </c>
      <c r="DT842" s="2290">
        <f t="shared" si="1679"/>
        <v>0</v>
      </c>
      <c r="DU842" s="2290">
        <f t="shared" si="1680"/>
        <v>0</v>
      </c>
      <c r="DV842" s="2290">
        <f t="shared" si="1681"/>
        <v>0</v>
      </c>
      <c r="DW842" s="2290">
        <f t="shared" si="1682"/>
        <v>0</v>
      </c>
      <c r="DX842" s="2290">
        <f t="shared" si="1683"/>
        <v>0</v>
      </c>
      <c r="DY842" s="2290">
        <f t="shared" si="1684"/>
        <v>0</v>
      </c>
      <c r="EA842"/>
      <c r="EB842"/>
      <c r="EC842"/>
      <c r="ED842"/>
      <c r="EE842"/>
      <c r="EF842"/>
      <c r="EJ842"/>
      <c r="EK842"/>
      <c r="EL842"/>
      <c r="EM842" s="1703"/>
      <c r="ER842" s="212"/>
    </row>
    <row r="843" spans="1:148" s="923" customFormat="1" ht="12.75" customHeight="1" x14ac:dyDescent="0.2">
      <c r="A843" s="900" t="s">
        <v>1075</v>
      </c>
      <c r="B843" s="845"/>
      <c r="C843" s="845"/>
      <c r="D843" s="845"/>
      <c r="E843" s="845"/>
      <c r="F843" s="845"/>
      <c r="G843" s="845"/>
      <c r="H843" s="845"/>
      <c r="I843" s="845"/>
      <c r="J843" s="845"/>
      <c r="K843" s="845"/>
      <c r="L843" s="845"/>
      <c r="M843" s="661"/>
      <c r="N843" s="845"/>
      <c r="O843" s="845"/>
      <c r="P843" s="845"/>
      <c r="Q843" s="845"/>
      <c r="R843" s="661"/>
      <c r="S843" s="845"/>
      <c r="T843" s="845"/>
      <c r="U843" s="845"/>
      <c r="V843" s="845"/>
      <c r="W843" s="661"/>
      <c r="X843" s="845">
        <v>0</v>
      </c>
      <c r="Y843" s="845">
        <v>0</v>
      </c>
      <c r="Z843" s="845">
        <v>0</v>
      </c>
      <c r="AA843" s="845">
        <v>0</v>
      </c>
      <c r="AB843" s="661">
        <f t="shared" si="1644"/>
        <v>0</v>
      </c>
      <c r="AC843" s="845">
        <v>0</v>
      </c>
      <c r="AD843" s="845">
        <v>0</v>
      </c>
      <c r="AE843" s="845">
        <v>0</v>
      </c>
      <c r="AF843" s="845">
        <v>0</v>
      </c>
      <c r="AG843" s="661">
        <f t="shared" si="1645"/>
        <v>0</v>
      </c>
      <c r="AH843" s="845">
        <v>0</v>
      </c>
      <c r="AI843" s="845">
        <v>0</v>
      </c>
      <c r="AJ843" s="845">
        <v>0</v>
      </c>
      <c r="AK843" s="845">
        <v>396</v>
      </c>
      <c r="AL843" s="661">
        <f t="shared" si="1646"/>
        <v>396</v>
      </c>
      <c r="AM843" s="845">
        <v>396</v>
      </c>
      <c r="AN843" s="845">
        <v>397</v>
      </c>
      <c r="AO843" s="845">
        <v>398</v>
      </c>
      <c r="AP843" s="845">
        <v>399</v>
      </c>
      <c r="AQ843" s="661">
        <f t="shared" si="1647"/>
        <v>399</v>
      </c>
      <c r="AR843" s="845">
        <v>399</v>
      </c>
      <c r="AS843" s="845">
        <v>400</v>
      </c>
      <c r="AT843" s="845">
        <v>401</v>
      </c>
      <c r="AU843" s="845">
        <v>402</v>
      </c>
      <c r="AV843" s="661">
        <f t="shared" si="1685"/>
        <v>402</v>
      </c>
      <c r="AW843" s="845">
        <v>402</v>
      </c>
      <c r="AX843" s="845">
        <v>403</v>
      </c>
      <c r="AY843" s="845">
        <v>404</v>
      </c>
      <c r="AZ843" s="845">
        <v>349</v>
      </c>
      <c r="BA843" s="661">
        <f t="shared" si="1687"/>
        <v>349</v>
      </c>
      <c r="BB843" s="845">
        <v>300</v>
      </c>
      <c r="BC843" s="845">
        <v>301</v>
      </c>
      <c r="BD843" s="845">
        <v>301</v>
      </c>
      <c r="BE843" s="845">
        <v>302</v>
      </c>
      <c r="BF843" s="661">
        <f t="shared" si="1650"/>
        <v>302</v>
      </c>
      <c r="BG843" s="845">
        <v>303</v>
      </c>
      <c r="BH843" s="845">
        <v>303</v>
      </c>
      <c r="BI843" s="845">
        <v>304</v>
      </c>
      <c r="BJ843" s="845">
        <f>+BI843</f>
        <v>304</v>
      </c>
      <c r="BK843" s="661">
        <f t="shared" si="1652"/>
        <v>304</v>
      </c>
      <c r="BL843" s="845">
        <v>305</v>
      </c>
      <c r="BM843" s="845">
        <v>305</v>
      </c>
      <c r="BN843" s="845">
        <v>306</v>
      </c>
      <c r="BO843" s="845">
        <v>307</v>
      </c>
      <c r="BP843" s="661">
        <f t="shared" si="1654"/>
        <v>307</v>
      </c>
      <c r="BQ843" s="845">
        <v>307</v>
      </c>
      <c r="BR843" s="845">
        <v>308</v>
      </c>
      <c r="BS843" s="845">
        <v>308</v>
      </c>
      <c r="BT843" s="845">
        <v>309</v>
      </c>
      <c r="BU843" s="661">
        <f t="shared" si="1691"/>
        <v>309</v>
      </c>
      <c r="BV843" s="845">
        <v>310</v>
      </c>
      <c r="BW843" s="845">
        <v>310</v>
      </c>
      <c r="BX843" s="845">
        <v>311</v>
      </c>
      <c r="BY843" s="845">
        <v>312</v>
      </c>
      <c r="BZ843" s="661">
        <f t="shared" si="1692"/>
        <v>312</v>
      </c>
      <c r="CA843" s="845">
        <v>312</v>
      </c>
      <c r="CB843" s="845">
        <v>313</v>
      </c>
      <c r="CC843" s="845">
        <v>313</v>
      </c>
      <c r="CD843" s="845">
        <v>314</v>
      </c>
      <c r="CE843" s="661">
        <f t="shared" ref="CE843:CE848" si="1705">CD843</f>
        <v>314</v>
      </c>
      <c r="CF843" s="1427">
        <v>315</v>
      </c>
      <c r="CG843" s="845">
        <v>315</v>
      </c>
      <c r="CH843" s="845">
        <v>316</v>
      </c>
      <c r="CI843" s="845">
        <v>0</v>
      </c>
      <c r="CJ843" s="661">
        <f t="shared" si="1701"/>
        <v>0</v>
      </c>
      <c r="CK843" s="1427">
        <v>0</v>
      </c>
      <c r="CL843" s="845">
        <v>0</v>
      </c>
      <c r="CM843" s="845">
        <v>0</v>
      </c>
      <c r="CN843" s="1788">
        <f>+CM843</f>
        <v>0</v>
      </c>
      <c r="CO843" s="968">
        <f>CN843</f>
        <v>0</v>
      </c>
      <c r="CP843" s="215">
        <f t="shared" si="1694"/>
        <v>0</v>
      </c>
      <c r="CQ843" s="215">
        <f t="shared" si="1694"/>
        <v>0</v>
      </c>
      <c r="CR843" s="215">
        <f t="shared" si="1695"/>
        <v>0</v>
      </c>
      <c r="CS843" s="215">
        <f t="shared" si="1696"/>
        <v>0</v>
      </c>
      <c r="CT843" s="968">
        <f>CS843</f>
        <v>0</v>
      </c>
      <c r="CU843" s="188">
        <f t="shared" si="1697"/>
        <v>0</v>
      </c>
      <c r="CV843" s="215">
        <f t="shared" si="1698"/>
        <v>0</v>
      </c>
      <c r="CW843" s="215">
        <f t="shared" si="1699"/>
        <v>0</v>
      </c>
      <c r="CX843" s="1788">
        <f t="shared" si="1700"/>
        <v>0</v>
      </c>
      <c r="CY843" s="3098">
        <f>CX843</f>
        <v>0</v>
      </c>
      <c r="CZ843" s="968">
        <f>CY843</f>
        <v>0</v>
      </c>
      <c r="DA843" s="968">
        <f>CZ843</f>
        <v>0</v>
      </c>
      <c r="DB843"/>
      <c r="DC843"/>
      <c r="DD843" s="2378" t="s">
        <v>1075</v>
      </c>
      <c r="DE843" s="2293">
        <f t="shared" si="1664"/>
        <v>0</v>
      </c>
      <c r="DF843" s="2293">
        <f t="shared" si="1665"/>
        <v>0</v>
      </c>
      <c r="DG843" s="2293">
        <f t="shared" si="1666"/>
        <v>0</v>
      </c>
      <c r="DH843" s="2293">
        <f t="shared" si="1667"/>
        <v>0</v>
      </c>
      <c r="DI843" s="2293">
        <f t="shared" si="1668"/>
        <v>0</v>
      </c>
      <c r="DJ843" s="2293">
        <f t="shared" si="1669"/>
        <v>396</v>
      </c>
      <c r="DK843" s="2293">
        <f t="shared" si="1670"/>
        <v>399</v>
      </c>
      <c r="DL843" s="2293">
        <f t="shared" si="1671"/>
        <v>402</v>
      </c>
      <c r="DM843" s="2293">
        <f t="shared" si="1672"/>
        <v>349</v>
      </c>
      <c r="DN843" s="2293">
        <f t="shared" si="1673"/>
        <v>302</v>
      </c>
      <c r="DO843" s="2293">
        <f t="shared" si="1674"/>
        <v>304</v>
      </c>
      <c r="DP843" s="2293">
        <f t="shared" si="1675"/>
        <v>307</v>
      </c>
      <c r="DQ843" s="2293">
        <f t="shared" si="1676"/>
        <v>309</v>
      </c>
      <c r="DR843" s="2293">
        <f t="shared" si="1677"/>
        <v>312</v>
      </c>
      <c r="DS843" s="2293">
        <f t="shared" si="1678"/>
        <v>314</v>
      </c>
      <c r="DT843" s="2293">
        <f t="shared" si="1679"/>
        <v>0</v>
      </c>
      <c r="DU843" s="2293">
        <f t="shared" si="1680"/>
        <v>0</v>
      </c>
      <c r="DV843" s="2293">
        <f t="shared" si="1681"/>
        <v>0</v>
      </c>
      <c r="DW843" s="2293">
        <f t="shared" si="1682"/>
        <v>0</v>
      </c>
      <c r="DX843" s="2293">
        <f t="shared" si="1683"/>
        <v>0</v>
      </c>
      <c r="DY843" s="2293">
        <f t="shared" si="1684"/>
        <v>0</v>
      </c>
      <c r="EA843"/>
      <c r="EB843"/>
      <c r="EC843"/>
      <c r="ED843"/>
      <c r="EE843"/>
      <c r="EF843"/>
      <c r="EJ843"/>
      <c r="EK843"/>
      <c r="EL843"/>
      <c r="EM843" s="1703"/>
      <c r="ER843" s="212"/>
    </row>
    <row r="844" spans="1:148" s="923" customFormat="1" ht="12.75" customHeight="1" x14ac:dyDescent="0.2">
      <c r="A844" s="900" t="s">
        <v>1076</v>
      </c>
      <c r="B844" s="223"/>
      <c r="C844" s="223"/>
      <c r="D844" s="223"/>
      <c r="E844" s="223"/>
      <c r="F844" s="223"/>
      <c r="G844" s="223"/>
      <c r="H844" s="223"/>
      <c r="I844" s="223"/>
      <c r="J844" s="223"/>
      <c r="K844" s="223"/>
      <c r="L844" s="223"/>
      <c r="M844" s="968"/>
      <c r="N844" s="223"/>
      <c r="O844" s="223"/>
      <c r="P844" s="223"/>
      <c r="Q844" s="223"/>
      <c r="R844" s="968"/>
      <c r="S844" s="223"/>
      <c r="T844" s="223"/>
      <c r="U844" s="223"/>
      <c r="V844" s="223"/>
      <c r="W844" s="968"/>
      <c r="X844" s="223"/>
      <c r="Y844" s="223"/>
      <c r="Z844" s="223"/>
      <c r="AA844" s="223"/>
      <c r="AB844" s="968"/>
      <c r="AC844" s="223"/>
      <c r="AD844" s="223"/>
      <c r="AE844" s="223"/>
      <c r="AF844" s="223"/>
      <c r="AG844" s="968"/>
      <c r="AH844" s="223"/>
      <c r="AI844" s="223"/>
      <c r="AJ844" s="223"/>
      <c r="AK844" s="223"/>
      <c r="AL844" s="968"/>
      <c r="AM844" s="223"/>
      <c r="AN844" s="223">
        <v>349</v>
      </c>
      <c r="AO844" s="223">
        <v>349</v>
      </c>
      <c r="AP844" s="223">
        <v>349</v>
      </c>
      <c r="AQ844" s="968">
        <f t="shared" si="1647"/>
        <v>349</v>
      </c>
      <c r="AR844" s="223">
        <v>349</v>
      </c>
      <c r="AS844" s="223">
        <v>349</v>
      </c>
      <c r="AT844" s="223">
        <v>349</v>
      </c>
      <c r="AU844" s="223">
        <v>349</v>
      </c>
      <c r="AV844" s="968">
        <f t="shared" si="1685"/>
        <v>349</v>
      </c>
      <c r="AW844" s="223">
        <v>349</v>
      </c>
      <c r="AX844" s="223">
        <v>349</v>
      </c>
      <c r="AY844" s="223">
        <v>349</v>
      </c>
      <c r="AZ844" s="223">
        <v>314</v>
      </c>
      <c r="BA844" s="968">
        <f t="shared" si="1687"/>
        <v>314</v>
      </c>
      <c r="BB844" s="223">
        <v>289</v>
      </c>
      <c r="BC844" s="223">
        <v>289</v>
      </c>
      <c r="BD844" s="223">
        <v>289</v>
      </c>
      <c r="BE844" s="223">
        <v>289</v>
      </c>
      <c r="BF844" s="968">
        <f t="shared" si="1650"/>
        <v>289</v>
      </c>
      <c r="BG844" s="223">
        <v>289</v>
      </c>
      <c r="BH844" s="223">
        <v>289</v>
      </c>
      <c r="BI844" s="223">
        <v>289</v>
      </c>
      <c r="BJ844" s="223">
        <f>+BI844</f>
        <v>289</v>
      </c>
      <c r="BK844" s="968">
        <f t="shared" si="1652"/>
        <v>289</v>
      </c>
      <c r="BL844" s="223">
        <v>289</v>
      </c>
      <c r="BM844" s="223">
        <v>289</v>
      </c>
      <c r="BN844" s="223">
        <v>289</v>
      </c>
      <c r="BO844" s="223">
        <v>289</v>
      </c>
      <c r="BP844" s="968">
        <f t="shared" si="1654"/>
        <v>289</v>
      </c>
      <c r="BQ844" s="223">
        <v>289</v>
      </c>
      <c r="BR844" s="223">
        <v>289</v>
      </c>
      <c r="BS844" s="223">
        <v>289</v>
      </c>
      <c r="BT844" s="223">
        <v>289</v>
      </c>
      <c r="BU844" s="968">
        <f t="shared" si="1691"/>
        <v>289</v>
      </c>
      <c r="BV844" s="223">
        <v>289</v>
      </c>
      <c r="BW844" s="223">
        <v>289</v>
      </c>
      <c r="BX844" s="223">
        <v>289</v>
      </c>
      <c r="BY844" s="223">
        <v>289</v>
      </c>
      <c r="BZ844" s="968">
        <f t="shared" si="1692"/>
        <v>289</v>
      </c>
      <c r="CA844" s="223">
        <v>289</v>
      </c>
      <c r="CB844" s="223">
        <v>289</v>
      </c>
      <c r="CC844" s="223">
        <v>289</v>
      </c>
      <c r="CD844" s="223">
        <v>289</v>
      </c>
      <c r="CE844" s="968">
        <f t="shared" si="1705"/>
        <v>289</v>
      </c>
      <c r="CF844" s="2687">
        <v>289</v>
      </c>
      <c r="CG844" s="223">
        <v>289</v>
      </c>
      <c r="CH844" s="223">
        <v>289</v>
      </c>
      <c r="CI844" s="223">
        <v>289</v>
      </c>
      <c r="CJ844" s="968">
        <f t="shared" si="1701"/>
        <v>289</v>
      </c>
      <c r="CK844" s="223">
        <v>289</v>
      </c>
      <c r="CL844" s="223">
        <v>0</v>
      </c>
      <c r="CM844" s="845">
        <v>0</v>
      </c>
      <c r="CN844" s="1788">
        <f>+CM844</f>
        <v>0</v>
      </c>
      <c r="CO844" s="968">
        <f t="shared" si="1702"/>
        <v>0</v>
      </c>
      <c r="CP844" s="215">
        <f t="shared" si="1694"/>
        <v>0</v>
      </c>
      <c r="CQ844" s="215">
        <f t="shared" si="1694"/>
        <v>0</v>
      </c>
      <c r="CR844" s="215">
        <f t="shared" si="1695"/>
        <v>0</v>
      </c>
      <c r="CS844" s="215">
        <f t="shared" si="1696"/>
        <v>0</v>
      </c>
      <c r="CT844" s="968">
        <f t="shared" si="1703"/>
        <v>0</v>
      </c>
      <c r="CU844" s="188">
        <f t="shared" si="1697"/>
        <v>0</v>
      </c>
      <c r="CV844" s="215">
        <f t="shared" si="1698"/>
        <v>0</v>
      </c>
      <c r="CW844" s="215">
        <f t="shared" si="1699"/>
        <v>0</v>
      </c>
      <c r="CX844" s="1788">
        <f t="shared" si="1700"/>
        <v>0</v>
      </c>
      <c r="CY844" s="3098">
        <f t="shared" si="1704"/>
        <v>0</v>
      </c>
      <c r="CZ844" s="968">
        <f t="shared" ref="CZ844:DA848" si="1706">CY844</f>
        <v>0</v>
      </c>
      <c r="DA844" s="968">
        <f t="shared" si="1706"/>
        <v>0</v>
      </c>
      <c r="DB844"/>
      <c r="DC844"/>
      <c r="DD844" s="2378" t="s">
        <v>1076</v>
      </c>
      <c r="DE844" s="2290">
        <f t="shared" si="1664"/>
        <v>0</v>
      </c>
      <c r="DF844" s="2290">
        <f t="shared" si="1665"/>
        <v>0</v>
      </c>
      <c r="DG844" s="2290">
        <f t="shared" si="1666"/>
        <v>0</v>
      </c>
      <c r="DH844" s="2290">
        <f t="shared" si="1667"/>
        <v>0</v>
      </c>
      <c r="DI844" s="2290">
        <f t="shared" si="1668"/>
        <v>0</v>
      </c>
      <c r="DJ844" s="2290">
        <f t="shared" si="1669"/>
        <v>0</v>
      </c>
      <c r="DK844" s="2290">
        <f t="shared" si="1670"/>
        <v>349</v>
      </c>
      <c r="DL844" s="2290">
        <f t="shared" si="1671"/>
        <v>349</v>
      </c>
      <c r="DM844" s="2290">
        <f t="shared" si="1672"/>
        <v>314</v>
      </c>
      <c r="DN844" s="2290">
        <f t="shared" si="1673"/>
        <v>289</v>
      </c>
      <c r="DO844" s="2290">
        <f t="shared" si="1674"/>
        <v>289</v>
      </c>
      <c r="DP844" s="2290">
        <f t="shared" si="1675"/>
        <v>289</v>
      </c>
      <c r="DQ844" s="2290">
        <f t="shared" si="1676"/>
        <v>289</v>
      </c>
      <c r="DR844" s="2290">
        <f t="shared" si="1677"/>
        <v>289</v>
      </c>
      <c r="DS844" s="2290">
        <f t="shared" si="1678"/>
        <v>289</v>
      </c>
      <c r="DT844" s="2290">
        <f t="shared" si="1679"/>
        <v>289</v>
      </c>
      <c r="DU844" s="2290">
        <f t="shared" si="1680"/>
        <v>0</v>
      </c>
      <c r="DV844" s="2290">
        <f t="shared" si="1681"/>
        <v>0</v>
      </c>
      <c r="DW844" s="2290">
        <f t="shared" si="1682"/>
        <v>0</v>
      </c>
      <c r="DX844" s="2290">
        <f t="shared" si="1683"/>
        <v>0</v>
      </c>
      <c r="DY844" s="2290">
        <f t="shared" si="1684"/>
        <v>0</v>
      </c>
      <c r="EA844"/>
      <c r="EB844"/>
      <c r="EC844"/>
      <c r="ED844"/>
      <c r="EE844"/>
      <c r="EF844"/>
      <c r="EJ844"/>
      <c r="EK844"/>
      <c r="EL844"/>
      <c r="EM844" s="1703"/>
      <c r="ER844" s="212"/>
    </row>
    <row r="845" spans="1:148" s="923" customFormat="1" ht="12.75" customHeight="1" x14ac:dyDescent="0.2">
      <c r="A845" s="900" t="s">
        <v>1077</v>
      </c>
      <c r="B845" s="223"/>
      <c r="C845" s="223"/>
      <c r="D845" s="223"/>
      <c r="E845" s="223"/>
      <c r="F845" s="223"/>
      <c r="G845" s="223"/>
      <c r="H845" s="223"/>
      <c r="I845" s="223"/>
      <c r="J845" s="223"/>
      <c r="K845" s="223"/>
      <c r="L845" s="223"/>
      <c r="M845" s="968"/>
      <c r="N845" s="223"/>
      <c r="O845" s="223"/>
      <c r="P845" s="223"/>
      <c r="Q845" s="223"/>
      <c r="R845" s="968"/>
      <c r="S845" s="223"/>
      <c r="T845" s="223"/>
      <c r="U845" s="223"/>
      <c r="V845" s="223"/>
      <c r="W845" s="968"/>
      <c r="X845" s="223"/>
      <c r="Y845" s="223"/>
      <c r="Z845" s="223"/>
      <c r="AA845" s="223"/>
      <c r="AB845" s="968"/>
      <c r="AC845" s="223"/>
      <c r="AD845" s="223"/>
      <c r="AE845" s="223"/>
      <c r="AF845" s="223"/>
      <c r="AG845" s="968"/>
      <c r="AH845" s="223"/>
      <c r="AI845" s="223"/>
      <c r="AJ845" s="223"/>
      <c r="AK845" s="223"/>
      <c r="AL845" s="968"/>
      <c r="AM845" s="223"/>
      <c r="AN845" s="223"/>
      <c r="AO845" s="223"/>
      <c r="AP845" s="223"/>
      <c r="AQ845" s="968"/>
      <c r="AR845" s="223"/>
      <c r="AS845" s="223"/>
      <c r="AT845" s="223">
        <v>346</v>
      </c>
      <c r="AU845" s="223">
        <v>346</v>
      </c>
      <c r="AV845" s="968">
        <f t="shared" si="1685"/>
        <v>346</v>
      </c>
      <c r="AW845" s="223">
        <v>346</v>
      </c>
      <c r="AX845" s="223">
        <v>346</v>
      </c>
      <c r="AY845" s="223">
        <v>346</v>
      </c>
      <c r="AZ845" s="223">
        <v>335</v>
      </c>
      <c r="BA845" s="968">
        <f t="shared" si="1687"/>
        <v>335</v>
      </c>
      <c r="BB845" s="223">
        <v>291</v>
      </c>
      <c r="BC845" s="223">
        <v>291</v>
      </c>
      <c r="BD845" s="223">
        <v>291</v>
      </c>
      <c r="BE845" s="223">
        <v>291</v>
      </c>
      <c r="BF845" s="968">
        <f t="shared" si="1650"/>
        <v>291</v>
      </c>
      <c r="BG845" s="223">
        <v>291</v>
      </c>
      <c r="BH845" s="223">
        <v>291</v>
      </c>
      <c r="BI845" s="223">
        <v>291</v>
      </c>
      <c r="BJ845" s="223">
        <f>+BI845</f>
        <v>291</v>
      </c>
      <c r="BK845" s="968">
        <f t="shared" si="1652"/>
        <v>291</v>
      </c>
      <c r="BL845" s="223">
        <v>291</v>
      </c>
      <c r="BM845" s="223">
        <v>291</v>
      </c>
      <c r="BN845" s="223">
        <v>291</v>
      </c>
      <c r="BO845" s="223">
        <v>291</v>
      </c>
      <c r="BP845" s="968">
        <f t="shared" si="1654"/>
        <v>291</v>
      </c>
      <c r="BQ845" s="223">
        <v>291</v>
      </c>
      <c r="BR845" s="223">
        <v>292</v>
      </c>
      <c r="BS845" s="223">
        <v>292</v>
      </c>
      <c r="BT845" s="223">
        <v>292</v>
      </c>
      <c r="BU845" s="968">
        <f t="shared" si="1691"/>
        <v>292</v>
      </c>
      <c r="BV845" s="223">
        <v>292</v>
      </c>
      <c r="BW845" s="223">
        <v>292</v>
      </c>
      <c r="BX845" s="223">
        <v>292</v>
      </c>
      <c r="BY845" s="223">
        <v>292</v>
      </c>
      <c r="BZ845" s="968">
        <f t="shared" si="1692"/>
        <v>292</v>
      </c>
      <c r="CA845" s="223">
        <v>292</v>
      </c>
      <c r="CB845" s="223">
        <v>292</v>
      </c>
      <c r="CC845" s="223">
        <v>293</v>
      </c>
      <c r="CD845" s="223">
        <v>293</v>
      </c>
      <c r="CE845" s="968">
        <f t="shared" si="1705"/>
        <v>293</v>
      </c>
      <c r="CF845" s="2687">
        <v>293</v>
      </c>
      <c r="CG845" s="223">
        <v>293</v>
      </c>
      <c r="CH845" s="223">
        <v>293</v>
      </c>
      <c r="CI845" s="223">
        <v>293</v>
      </c>
      <c r="CJ845" s="968">
        <f t="shared" si="1701"/>
        <v>293</v>
      </c>
      <c r="CK845" s="223">
        <v>293</v>
      </c>
      <c r="CL845" s="223">
        <v>293</v>
      </c>
      <c r="CM845" s="845">
        <v>293</v>
      </c>
      <c r="CN845" s="845">
        <v>293</v>
      </c>
      <c r="CO845" s="968">
        <f t="shared" si="1702"/>
        <v>293</v>
      </c>
      <c r="CP845" s="845">
        <v>293</v>
      </c>
      <c r="CQ845" s="845">
        <v>0</v>
      </c>
      <c r="CR845" s="215">
        <f t="shared" si="1695"/>
        <v>0</v>
      </c>
      <c r="CS845" s="215">
        <f t="shared" si="1696"/>
        <v>0</v>
      </c>
      <c r="CT845" s="968">
        <f t="shared" si="1703"/>
        <v>0</v>
      </c>
      <c r="CU845" s="188">
        <f t="shared" si="1697"/>
        <v>0</v>
      </c>
      <c r="CV845" s="215">
        <f t="shared" si="1698"/>
        <v>0</v>
      </c>
      <c r="CW845" s="215">
        <f t="shared" si="1699"/>
        <v>0</v>
      </c>
      <c r="CX845" s="1788">
        <f t="shared" si="1700"/>
        <v>0</v>
      </c>
      <c r="CY845" s="3098">
        <f t="shared" si="1704"/>
        <v>0</v>
      </c>
      <c r="CZ845" s="968">
        <f t="shared" si="1706"/>
        <v>0</v>
      </c>
      <c r="DA845" s="968">
        <f t="shared" si="1706"/>
        <v>0</v>
      </c>
      <c r="DB845"/>
      <c r="DC845"/>
      <c r="DD845" s="2378" t="s">
        <v>1077</v>
      </c>
      <c r="DE845" s="2290">
        <f t="shared" si="1664"/>
        <v>0</v>
      </c>
      <c r="DF845" s="2290">
        <f t="shared" si="1665"/>
        <v>0</v>
      </c>
      <c r="DG845" s="2290">
        <f t="shared" si="1666"/>
        <v>0</v>
      </c>
      <c r="DH845" s="2290">
        <f t="shared" si="1667"/>
        <v>0</v>
      </c>
      <c r="DI845" s="2290">
        <f t="shared" si="1668"/>
        <v>0</v>
      </c>
      <c r="DJ845" s="2290">
        <f t="shared" si="1669"/>
        <v>0</v>
      </c>
      <c r="DK845" s="2290">
        <f t="shared" si="1670"/>
        <v>0</v>
      </c>
      <c r="DL845" s="2290">
        <f t="shared" si="1671"/>
        <v>346</v>
      </c>
      <c r="DM845" s="2290">
        <f t="shared" si="1672"/>
        <v>335</v>
      </c>
      <c r="DN845" s="2290">
        <f t="shared" si="1673"/>
        <v>291</v>
      </c>
      <c r="DO845" s="2290">
        <f t="shared" si="1674"/>
        <v>291</v>
      </c>
      <c r="DP845" s="2290">
        <f t="shared" si="1675"/>
        <v>291</v>
      </c>
      <c r="DQ845" s="2290">
        <f t="shared" si="1676"/>
        <v>292</v>
      </c>
      <c r="DR845" s="2290">
        <f t="shared" si="1677"/>
        <v>292</v>
      </c>
      <c r="DS845" s="2290">
        <f t="shared" si="1678"/>
        <v>293</v>
      </c>
      <c r="DT845" s="2290">
        <f t="shared" si="1679"/>
        <v>293</v>
      </c>
      <c r="DU845" s="2290">
        <f t="shared" si="1680"/>
        <v>293</v>
      </c>
      <c r="DV845" s="2290">
        <f t="shared" si="1681"/>
        <v>0</v>
      </c>
      <c r="DW845" s="2290">
        <f t="shared" si="1682"/>
        <v>0</v>
      </c>
      <c r="DX845" s="2290">
        <f t="shared" si="1683"/>
        <v>0</v>
      </c>
      <c r="DY845" s="2290">
        <f t="shared" si="1684"/>
        <v>0</v>
      </c>
      <c r="EA845"/>
      <c r="EB845"/>
      <c r="EC845"/>
      <c r="ED845"/>
      <c r="EE845"/>
      <c r="EF845"/>
      <c r="EJ845"/>
      <c r="EK845"/>
      <c r="EL845"/>
      <c r="EM845" s="1703"/>
      <c r="ER845" s="212"/>
    </row>
    <row r="846" spans="1:148" s="923" customFormat="1" ht="12.75" customHeight="1" x14ac:dyDescent="0.2">
      <c r="A846" s="900" t="s">
        <v>1976</v>
      </c>
      <c r="B846" s="223"/>
      <c r="C846" s="223"/>
      <c r="D846" s="223"/>
      <c r="E846" s="223"/>
      <c r="F846" s="223"/>
      <c r="G846" s="223"/>
      <c r="H846" s="223"/>
      <c r="I846" s="223"/>
      <c r="J846" s="223"/>
      <c r="K846" s="223"/>
      <c r="L846" s="223"/>
      <c r="M846" s="968"/>
      <c r="N846" s="223">
        <v>0</v>
      </c>
      <c r="O846" s="223">
        <v>0</v>
      </c>
      <c r="P846" s="223">
        <v>0</v>
      </c>
      <c r="Q846" s="223">
        <v>0</v>
      </c>
      <c r="R846" s="968">
        <f>SUM(N846:Q846)</f>
        <v>0</v>
      </c>
      <c r="S846" s="223">
        <v>0</v>
      </c>
      <c r="T846" s="223">
        <v>0</v>
      </c>
      <c r="U846" s="223">
        <v>0</v>
      </c>
      <c r="V846" s="223">
        <v>0</v>
      </c>
      <c r="W846" s="968">
        <f>SUM(S846:V846)</f>
        <v>0</v>
      </c>
      <c r="X846" s="223">
        <v>0</v>
      </c>
      <c r="Y846" s="223">
        <v>0</v>
      </c>
      <c r="Z846" s="223">
        <v>0</v>
      </c>
      <c r="AA846" s="223">
        <v>0</v>
      </c>
      <c r="AB846" s="968">
        <f>SUM(X846:AA846)</f>
        <v>0</v>
      </c>
      <c r="AC846" s="223">
        <v>0</v>
      </c>
      <c r="AD846" s="223">
        <v>0</v>
      </c>
      <c r="AE846" s="223">
        <v>0</v>
      </c>
      <c r="AF846" s="223">
        <v>0</v>
      </c>
      <c r="AG846" s="968">
        <f>SUM(AC846:AF846)</f>
        <v>0</v>
      </c>
      <c r="AH846" s="223">
        <v>0</v>
      </c>
      <c r="AI846" s="223">
        <v>0</v>
      </c>
      <c r="AJ846" s="223">
        <v>0</v>
      </c>
      <c r="AK846" s="223">
        <v>0</v>
      </c>
      <c r="AL846" s="968">
        <f>SUM(AH846:AK846)</f>
        <v>0</v>
      </c>
      <c r="AM846" s="223">
        <v>0</v>
      </c>
      <c r="AN846" s="223">
        <v>0</v>
      </c>
      <c r="AO846" s="223">
        <v>0</v>
      </c>
      <c r="AP846" s="223">
        <v>0</v>
      </c>
      <c r="AQ846" s="968">
        <f>SUM(AM846:AP846)</f>
        <v>0</v>
      </c>
      <c r="AR846" s="223">
        <v>0</v>
      </c>
      <c r="AS846" s="223">
        <v>0</v>
      </c>
      <c r="AT846" s="223">
        <v>0</v>
      </c>
      <c r="AU846" s="223">
        <v>0</v>
      </c>
      <c r="AV846" s="968">
        <f>SUM(AR846:AU846)</f>
        <v>0</v>
      </c>
      <c r="AW846" s="223">
        <v>0</v>
      </c>
      <c r="AX846" s="223">
        <v>0</v>
      </c>
      <c r="AY846" s="223">
        <v>0</v>
      </c>
      <c r="AZ846" s="223">
        <v>0</v>
      </c>
      <c r="BA846" s="968">
        <f>SUM(AW846:AZ846)</f>
        <v>0</v>
      </c>
      <c r="BB846" s="223">
        <v>0</v>
      </c>
      <c r="BC846" s="223">
        <v>0</v>
      </c>
      <c r="BD846" s="223">
        <v>0</v>
      </c>
      <c r="BE846" s="223">
        <v>0</v>
      </c>
      <c r="BF846" s="968">
        <f>SUM(BB846:BE846)</f>
        <v>0</v>
      </c>
      <c r="BG846" s="223">
        <v>0</v>
      </c>
      <c r="BH846" s="223">
        <v>0</v>
      </c>
      <c r="BI846" s="223">
        <v>0</v>
      </c>
      <c r="BJ846" s="223">
        <v>0</v>
      </c>
      <c r="BK846" s="968">
        <f>SUM(BG846:BJ846)</f>
        <v>0</v>
      </c>
      <c r="BL846" s="223">
        <v>0</v>
      </c>
      <c r="BM846" s="223">
        <v>0</v>
      </c>
      <c r="BN846" s="223">
        <v>0</v>
      </c>
      <c r="BO846" s="223">
        <v>0</v>
      </c>
      <c r="BP846" s="968">
        <f t="shared" si="1654"/>
        <v>0</v>
      </c>
      <c r="BQ846" s="223">
        <v>594</v>
      </c>
      <c r="BR846" s="223">
        <v>594</v>
      </c>
      <c r="BS846" s="223">
        <f>+BR846</f>
        <v>594</v>
      </c>
      <c r="BT846" s="223">
        <f>+BS846</f>
        <v>594</v>
      </c>
      <c r="BU846" s="968">
        <f t="shared" si="1691"/>
        <v>594</v>
      </c>
      <c r="BV846" s="223">
        <v>595</v>
      </c>
      <c r="BW846" s="223">
        <v>595</v>
      </c>
      <c r="BX846" s="223">
        <v>595</v>
      </c>
      <c r="BY846" s="223">
        <v>595</v>
      </c>
      <c r="BZ846" s="968">
        <f t="shared" si="1692"/>
        <v>595</v>
      </c>
      <c r="CA846" s="223">
        <v>596</v>
      </c>
      <c r="CB846" s="223">
        <v>596</v>
      </c>
      <c r="CC846" s="223">
        <v>596</v>
      </c>
      <c r="CD846" s="223">
        <v>596</v>
      </c>
      <c r="CE846" s="968">
        <f t="shared" si="1705"/>
        <v>596</v>
      </c>
      <c r="CF846" s="2687">
        <v>597</v>
      </c>
      <c r="CG846" s="223">
        <v>597</v>
      </c>
      <c r="CH846" s="223">
        <v>597</v>
      </c>
      <c r="CI846" s="223">
        <v>595</v>
      </c>
      <c r="CJ846" s="968">
        <f t="shared" si="1701"/>
        <v>595</v>
      </c>
      <c r="CK846" s="223">
        <v>596</v>
      </c>
      <c r="CL846" s="223">
        <v>596</v>
      </c>
      <c r="CM846" s="845">
        <v>596</v>
      </c>
      <c r="CN846" s="845">
        <v>597</v>
      </c>
      <c r="CO846" s="968">
        <f t="shared" si="1702"/>
        <v>597</v>
      </c>
      <c r="CP846" s="845">
        <v>597</v>
      </c>
      <c r="CQ846" s="845">
        <v>597</v>
      </c>
      <c r="CR846" s="845">
        <v>598</v>
      </c>
      <c r="CS846" s="215">
        <f t="shared" si="1696"/>
        <v>598</v>
      </c>
      <c r="CT846" s="968">
        <f t="shared" si="1703"/>
        <v>598</v>
      </c>
      <c r="CU846" s="188">
        <f t="shared" si="1697"/>
        <v>598</v>
      </c>
      <c r="CV846" s="215">
        <f t="shared" si="1698"/>
        <v>598</v>
      </c>
      <c r="CW846" s="215">
        <f t="shared" si="1699"/>
        <v>598</v>
      </c>
      <c r="CX846" s="1788">
        <f t="shared" si="1700"/>
        <v>598</v>
      </c>
      <c r="CY846" s="3098">
        <f t="shared" si="1704"/>
        <v>598</v>
      </c>
      <c r="CZ846" s="968">
        <f t="shared" si="1706"/>
        <v>598</v>
      </c>
      <c r="DA846" s="968">
        <f t="shared" si="1706"/>
        <v>598</v>
      </c>
      <c r="DB846"/>
      <c r="DC846"/>
      <c r="DD846" s="2378" t="s">
        <v>1976</v>
      </c>
      <c r="DE846" s="2290">
        <f t="shared" si="1664"/>
        <v>0</v>
      </c>
      <c r="DF846" s="2290">
        <f t="shared" si="1665"/>
        <v>0</v>
      </c>
      <c r="DG846" s="2290">
        <f t="shared" si="1666"/>
        <v>0</v>
      </c>
      <c r="DH846" s="2290">
        <f t="shared" si="1667"/>
        <v>0</v>
      </c>
      <c r="DI846" s="2290">
        <f t="shared" si="1668"/>
        <v>0</v>
      </c>
      <c r="DJ846" s="2290">
        <f t="shared" si="1669"/>
        <v>0</v>
      </c>
      <c r="DK846" s="2290">
        <f t="shared" si="1670"/>
        <v>0</v>
      </c>
      <c r="DL846" s="2290">
        <f t="shared" si="1671"/>
        <v>0</v>
      </c>
      <c r="DM846" s="2290">
        <f t="shared" si="1672"/>
        <v>0</v>
      </c>
      <c r="DN846" s="2290">
        <f t="shared" si="1673"/>
        <v>0</v>
      </c>
      <c r="DO846" s="2290">
        <f t="shared" si="1674"/>
        <v>0</v>
      </c>
      <c r="DP846" s="2290">
        <f t="shared" si="1675"/>
        <v>0</v>
      </c>
      <c r="DQ846" s="2290">
        <f t="shared" si="1676"/>
        <v>594</v>
      </c>
      <c r="DR846" s="2290">
        <f t="shared" si="1677"/>
        <v>595</v>
      </c>
      <c r="DS846" s="2290">
        <f t="shared" si="1678"/>
        <v>596</v>
      </c>
      <c r="DT846" s="2290">
        <f t="shared" si="1679"/>
        <v>595</v>
      </c>
      <c r="DU846" s="2290">
        <f t="shared" si="1680"/>
        <v>597</v>
      </c>
      <c r="DV846" s="2290">
        <f t="shared" si="1681"/>
        <v>598</v>
      </c>
      <c r="DW846" s="2290">
        <f t="shared" si="1682"/>
        <v>598</v>
      </c>
      <c r="DX846" s="2290">
        <f t="shared" si="1683"/>
        <v>598</v>
      </c>
      <c r="DY846" s="2290">
        <f t="shared" si="1684"/>
        <v>598</v>
      </c>
      <c r="EA846"/>
      <c r="EB846"/>
      <c r="EC846"/>
      <c r="ED846"/>
      <c r="EE846"/>
      <c r="EF846"/>
      <c r="EJ846"/>
      <c r="EK846"/>
      <c r="EL846"/>
      <c r="EM846" s="1703"/>
      <c r="ER846" s="212"/>
    </row>
    <row r="847" spans="1:148" s="925" customFormat="1" ht="12.75" customHeight="1" x14ac:dyDescent="0.2">
      <c r="A847" s="900" t="s">
        <v>1683</v>
      </c>
      <c r="B847" s="223"/>
      <c r="C847" s="223"/>
      <c r="D847" s="223"/>
      <c r="E847" s="223"/>
      <c r="F847" s="223"/>
      <c r="G847" s="223"/>
      <c r="H847" s="223"/>
      <c r="I847" s="223"/>
      <c r="J847" s="223"/>
      <c r="K847" s="223"/>
      <c r="L847" s="223"/>
      <c r="M847" s="968"/>
      <c r="N847" s="223">
        <v>0</v>
      </c>
      <c r="O847" s="223">
        <v>0</v>
      </c>
      <c r="P847" s="223">
        <v>0</v>
      </c>
      <c r="Q847" s="223">
        <v>0</v>
      </c>
      <c r="R847" s="968">
        <f>SUM(N847:Q847)</f>
        <v>0</v>
      </c>
      <c r="S847" s="223">
        <v>0</v>
      </c>
      <c r="T847" s="223">
        <v>0</v>
      </c>
      <c r="U847" s="223">
        <v>0</v>
      </c>
      <c r="V847" s="223">
        <v>0</v>
      </c>
      <c r="W847" s="968">
        <f>SUM(S847:V847)</f>
        <v>0</v>
      </c>
      <c r="X847" s="223">
        <v>0</v>
      </c>
      <c r="Y847" s="223">
        <v>0</v>
      </c>
      <c r="Z847" s="223">
        <v>0</v>
      </c>
      <c r="AA847" s="223">
        <v>0</v>
      </c>
      <c r="AB847" s="968">
        <f>SUM(X847:AA847)</f>
        <v>0</v>
      </c>
      <c r="AC847" s="223">
        <v>0</v>
      </c>
      <c r="AD847" s="223">
        <v>0</v>
      </c>
      <c r="AE847" s="223">
        <v>0</v>
      </c>
      <c r="AF847" s="223">
        <v>0</v>
      </c>
      <c r="AG847" s="968">
        <f>SUM(AC847:AF847)</f>
        <v>0</v>
      </c>
      <c r="AH847" s="223">
        <v>0</v>
      </c>
      <c r="AI847" s="223">
        <v>0</v>
      </c>
      <c r="AJ847" s="223">
        <v>0</v>
      </c>
      <c r="AK847" s="223">
        <v>0</v>
      </c>
      <c r="AL847" s="968">
        <f>SUM(AH847:AK847)</f>
        <v>0</v>
      </c>
      <c r="AM847" s="223">
        <v>0</v>
      </c>
      <c r="AN847" s="223">
        <v>0</v>
      </c>
      <c r="AO847" s="223">
        <v>0</v>
      </c>
      <c r="AP847" s="223">
        <v>0</v>
      </c>
      <c r="AQ847" s="968">
        <f>SUM(AM847:AP847)</f>
        <v>0</v>
      </c>
      <c r="AR847" s="223">
        <v>0</v>
      </c>
      <c r="AS847" s="223">
        <v>0</v>
      </c>
      <c r="AT847" s="223">
        <v>0</v>
      </c>
      <c r="AU847" s="223">
        <v>0</v>
      </c>
      <c r="AV847" s="968">
        <f>SUM(AR847:AU847)</f>
        <v>0</v>
      </c>
      <c r="AW847" s="223">
        <v>0</v>
      </c>
      <c r="AX847" s="223">
        <v>0</v>
      </c>
      <c r="AY847" s="223">
        <v>0</v>
      </c>
      <c r="AZ847" s="223">
        <v>0</v>
      </c>
      <c r="BA847" s="968">
        <f>SUM(AW847:AZ847)</f>
        <v>0</v>
      </c>
      <c r="BB847" s="223">
        <v>0</v>
      </c>
      <c r="BC847" s="223">
        <v>0</v>
      </c>
      <c r="BD847" s="223">
        <v>0</v>
      </c>
      <c r="BE847" s="223">
        <v>0</v>
      </c>
      <c r="BF847" s="968">
        <f>SUM(BB847:BE847)</f>
        <v>0</v>
      </c>
      <c r="BG847" s="223">
        <v>0</v>
      </c>
      <c r="BH847" s="223">
        <v>0</v>
      </c>
      <c r="BI847" s="223">
        <v>0</v>
      </c>
      <c r="BJ847" s="223">
        <v>0</v>
      </c>
      <c r="BK847" s="968">
        <f>SUM(BG847:BJ847)</f>
        <v>0</v>
      </c>
      <c r="BL847" s="223">
        <v>0</v>
      </c>
      <c r="BM847" s="223">
        <v>0</v>
      </c>
      <c r="BN847" s="223">
        <v>0</v>
      </c>
      <c r="BO847" s="223">
        <v>0</v>
      </c>
      <c r="BP847" s="968">
        <f t="shared" si="1654"/>
        <v>0</v>
      </c>
      <c r="BQ847" s="223">
        <v>0</v>
      </c>
      <c r="BR847" s="223">
        <v>0</v>
      </c>
      <c r="BS847" s="223">
        <v>0</v>
      </c>
      <c r="BT847" s="223">
        <v>349</v>
      </c>
      <c r="BU847" s="968">
        <f t="shared" si="1691"/>
        <v>349</v>
      </c>
      <c r="BV847" s="223">
        <v>349</v>
      </c>
      <c r="BW847" s="223">
        <v>349</v>
      </c>
      <c r="BX847" s="223">
        <v>349</v>
      </c>
      <c r="BY847" s="223">
        <v>349</v>
      </c>
      <c r="BZ847" s="968">
        <f t="shared" si="1692"/>
        <v>349</v>
      </c>
      <c r="CA847" s="223">
        <v>349</v>
      </c>
      <c r="CB847" s="223">
        <v>349</v>
      </c>
      <c r="CC847" s="223">
        <v>349</v>
      </c>
      <c r="CD847" s="223">
        <v>349</v>
      </c>
      <c r="CE847" s="968">
        <f t="shared" si="1705"/>
        <v>349</v>
      </c>
      <c r="CF847" s="2687">
        <v>349</v>
      </c>
      <c r="CG847" s="223">
        <v>349</v>
      </c>
      <c r="CH847" s="223">
        <v>349</v>
      </c>
      <c r="CI847" s="223">
        <v>348</v>
      </c>
      <c r="CJ847" s="968">
        <f t="shared" si="1701"/>
        <v>348</v>
      </c>
      <c r="CK847" s="223">
        <v>348</v>
      </c>
      <c r="CL847" s="223">
        <v>348</v>
      </c>
      <c r="CM847" s="845">
        <v>348</v>
      </c>
      <c r="CN847" s="845">
        <v>348</v>
      </c>
      <c r="CO847" s="968">
        <f t="shared" si="1702"/>
        <v>348</v>
      </c>
      <c r="CP847" s="845">
        <v>348</v>
      </c>
      <c r="CQ847" s="845">
        <v>348</v>
      </c>
      <c r="CR847" s="845">
        <v>348</v>
      </c>
      <c r="CS847" s="215">
        <f t="shared" si="1696"/>
        <v>348</v>
      </c>
      <c r="CT847" s="968">
        <f t="shared" si="1703"/>
        <v>348</v>
      </c>
      <c r="CU847" s="188">
        <f t="shared" si="1697"/>
        <v>348</v>
      </c>
      <c r="CV847" s="215">
        <f t="shared" si="1698"/>
        <v>348</v>
      </c>
      <c r="CW847" s="215">
        <f t="shared" si="1699"/>
        <v>348</v>
      </c>
      <c r="CX847" s="1788">
        <f t="shared" si="1700"/>
        <v>348</v>
      </c>
      <c r="CY847" s="3098">
        <f t="shared" si="1704"/>
        <v>348</v>
      </c>
      <c r="CZ847" s="968">
        <f t="shared" si="1706"/>
        <v>348</v>
      </c>
      <c r="DA847" s="968">
        <f t="shared" si="1706"/>
        <v>348</v>
      </c>
      <c r="DB847"/>
      <c r="DC847"/>
      <c r="DD847" s="2378" t="s">
        <v>356</v>
      </c>
      <c r="DE847" s="2290">
        <f t="shared" si="1664"/>
        <v>0</v>
      </c>
      <c r="DF847" s="2290">
        <f t="shared" si="1665"/>
        <v>0</v>
      </c>
      <c r="DG847" s="2290">
        <f t="shared" si="1666"/>
        <v>0</v>
      </c>
      <c r="DH847" s="2290">
        <f t="shared" si="1667"/>
        <v>0</v>
      </c>
      <c r="DI847" s="2290">
        <f t="shared" si="1668"/>
        <v>0</v>
      </c>
      <c r="DJ847" s="2290">
        <f t="shared" si="1669"/>
        <v>0</v>
      </c>
      <c r="DK847" s="2290">
        <f t="shared" si="1670"/>
        <v>0</v>
      </c>
      <c r="DL847" s="2290">
        <f t="shared" si="1671"/>
        <v>0</v>
      </c>
      <c r="DM847" s="2290">
        <f t="shared" si="1672"/>
        <v>0</v>
      </c>
      <c r="DN847" s="2290">
        <f t="shared" si="1673"/>
        <v>0</v>
      </c>
      <c r="DO847" s="2290">
        <f t="shared" si="1674"/>
        <v>0</v>
      </c>
      <c r="DP847" s="2290">
        <f t="shared" si="1675"/>
        <v>0</v>
      </c>
      <c r="DQ847" s="2290">
        <f t="shared" si="1676"/>
        <v>349</v>
      </c>
      <c r="DR847" s="2290">
        <f t="shared" si="1677"/>
        <v>349</v>
      </c>
      <c r="DS847" s="2290">
        <f t="shared" si="1678"/>
        <v>349</v>
      </c>
      <c r="DT847" s="2290">
        <f t="shared" si="1679"/>
        <v>348</v>
      </c>
      <c r="DU847" s="2290">
        <f t="shared" si="1680"/>
        <v>348</v>
      </c>
      <c r="DV847" s="2290">
        <f t="shared" si="1681"/>
        <v>348</v>
      </c>
      <c r="DW847" s="2290">
        <f t="shared" si="1682"/>
        <v>348</v>
      </c>
      <c r="DX847" s="2290">
        <f t="shared" si="1683"/>
        <v>348</v>
      </c>
      <c r="DY847" s="2290">
        <f t="shared" si="1684"/>
        <v>348</v>
      </c>
      <c r="EA847"/>
      <c r="EB847"/>
      <c r="EC847"/>
      <c r="ED847"/>
      <c r="EE847"/>
      <c r="EF847"/>
      <c r="EJ847"/>
      <c r="EK847"/>
      <c r="EL847"/>
      <c r="EM847" s="1703"/>
      <c r="ER847" s="1650"/>
    </row>
    <row r="848" spans="1:148" s="923" customFormat="1" ht="12.75" customHeight="1" x14ac:dyDescent="0.2">
      <c r="A848" s="2378" t="s">
        <v>267</v>
      </c>
      <c r="B848" s="222"/>
      <c r="C848" s="222"/>
      <c r="D848" s="222"/>
      <c r="E848" s="222"/>
      <c r="F848" s="222"/>
      <c r="G848" s="222"/>
      <c r="H848" s="222"/>
      <c r="I848" s="222"/>
      <c r="J848" s="222"/>
      <c r="K848" s="222"/>
      <c r="L848" s="222"/>
      <c r="M848" s="968"/>
      <c r="N848" s="222"/>
      <c r="O848" s="222"/>
      <c r="P848" s="222"/>
      <c r="Q848" s="222"/>
      <c r="R848" s="968"/>
      <c r="S848" s="222"/>
      <c r="T848" s="222"/>
      <c r="U848" s="222"/>
      <c r="V848" s="222"/>
      <c r="W848" s="968"/>
      <c r="X848" s="222"/>
      <c r="Y848" s="222"/>
      <c r="Z848" s="222"/>
      <c r="AA848" s="222"/>
      <c r="AB848" s="968"/>
      <c r="AC848" s="222"/>
      <c r="AD848" s="222"/>
      <c r="AE848" s="222"/>
      <c r="AF848" s="222"/>
      <c r="AG848" s="968"/>
      <c r="AH848" s="222"/>
      <c r="AI848" s="222"/>
      <c r="AJ848" s="222"/>
      <c r="AK848" s="222"/>
      <c r="AL848" s="968"/>
      <c r="AM848" s="222"/>
      <c r="AN848" s="222"/>
      <c r="AO848" s="222"/>
      <c r="AP848" s="222"/>
      <c r="AQ848" s="968"/>
      <c r="AR848" s="222"/>
      <c r="AS848" s="222"/>
      <c r="AT848" s="222"/>
      <c r="AU848" s="222"/>
      <c r="AV848" s="968"/>
      <c r="AW848" s="222"/>
      <c r="AX848" s="222"/>
      <c r="AY848" s="222"/>
      <c r="AZ848" s="222"/>
      <c r="BA848" s="968"/>
      <c r="BB848" s="222"/>
      <c r="BC848" s="222"/>
      <c r="BD848" s="222"/>
      <c r="BE848" s="222"/>
      <c r="BF848" s="968"/>
      <c r="BG848" s="222"/>
      <c r="BH848" s="222"/>
      <c r="BI848" s="222"/>
      <c r="BJ848" s="222"/>
      <c r="BK848" s="968"/>
      <c r="BL848" s="222"/>
      <c r="BM848" s="222"/>
      <c r="BN848" s="222"/>
      <c r="BO848" s="222"/>
      <c r="BP848" s="968"/>
      <c r="BQ848" s="222"/>
      <c r="BR848" s="222"/>
      <c r="BS848" s="222"/>
      <c r="BT848" s="222"/>
      <c r="BU848" s="968"/>
      <c r="BV848" s="222"/>
      <c r="BW848" s="222"/>
      <c r="BX848" s="223">
        <v>348</v>
      </c>
      <c r="BY848" s="223">
        <f>BX848</f>
        <v>348</v>
      </c>
      <c r="BZ848" s="968">
        <f t="shared" si="1692"/>
        <v>348</v>
      </c>
      <c r="CA848" s="223">
        <v>348</v>
      </c>
      <c r="CB848" s="223">
        <v>348</v>
      </c>
      <c r="CC848" s="223">
        <v>348</v>
      </c>
      <c r="CD848" s="223">
        <v>348</v>
      </c>
      <c r="CE848" s="968">
        <f t="shared" si="1705"/>
        <v>348</v>
      </c>
      <c r="CF848" s="2687">
        <v>348</v>
      </c>
      <c r="CG848" s="223">
        <v>348</v>
      </c>
      <c r="CH848" s="223">
        <v>348</v>
      </c>
      <c r="CI848" s="223">
        <v>347</v>
      </c>
      <c r="CJ848" s="968">
        <f t="shared" si="1701"/>
        <v>347</v>
      </c>
      <c r="CK848" s="223">
        <v>347</v>
      </c>
      <c r="CL848" s="223">
        <v>347</v>
      </c>
      <c r="CM848" s="845">
        <v>347</v>
      </c>
      <c r="CN848" s="845">
        <v>347</v>
      </c>
      <c r="CO848" s="968">
        <f t="shared" si="1702"/>
        <v>347</v>
      </c>
      <c r="CP848" s="845">
        <v>347</v>
      </c>
      <c r="CQ848" s="845">
        <v>347</v>
      </c>
      <c r="CR848" s="845">
        <v>348</v>
      </c>
      <c r="CS848" s="215">
        <f t="shared" si="1696"/>
        <v>348</v>
      </c>
      <c r="CT848" s="968">
        <f t="shared" si="1703"/>
        <v>348</v>
      </c>
      <c r="CU848" s="188">
        <f t="shared" si="1697"/>
        <v>348</v>
      </c>
      <c r="CV848" s="215">
        <f t="shared" si="1698"/>
        <v>348</v>
      </c>
      <c r="CW848" s="215">
        <f t="shared" si="1699"/>
        <v>348</v>
      </c>
      <c r="CX848" s="1788">
        <f t="shared" si="1700"/>
        <v>348</v>
      </c>
      <c r="CY848" s="3098">
        <f t="shared" si="1704"/>
        <v>348</v>
      </c>
      <c r="CZ848" s="968">
        <f t="shared" si="1706"/>
        <v>348</v>
      </c>
      <c r="DA848" s="968">
        <f t="shared" si="1706"/>
        <v>348</v>
      </c>
      <c r="DB848"/>
      <c r="DC848"/>
      <c r="DD848" s="1614" t="s">
        <v>267</v>
      </c>
      <c r="DE848" s="970">
        <f t="shared" si="1664"/>
        <v>0</v>
      </c>
      <c r="DF848" s="970">
        <f t="shared" si="1665"/>
        <v>0</v>
      </c>
      <c r="DG848" s="970">
        <f t="shared" si="1666"/>
        <v>0</v>
      </c>
      <c r="DH848" s="970">
        <f t="shared" si="1667"/>
        <v>0</v>
      </c>
      <c r="DI848" s="970">
        <f t="shared" si="1668"/>
        <v>0</v>
      </c>
      <c r="DJ848" s="970">
        <f t="shared" si="1669"/>
        <v>0</v>
      </c>
      <c r="DK848" s="970">
        <f t="shared" si="1670"/>
        <v>0</v>
      </c>
      <c r="DL848" s="970">
        <f t="shared" si="1671"/>
        <v>0</v>
      </c>
      <c r="DM848" s="970">
        <f t="shared" si="1672"/>
        <v>0</v>
      </c>
      <c r="DN848" s="970">
        <f t="shared" si="1673"/>
        <v>0</v>
      </c>
      <c r="DO848" s="970">
        <f t="shared" si="1674"/>
        <v>0</v>
      </c>
      <c r="DP848" s="970">
        <f t="shared" si="1675"/>
        <v>0</v>
      </c>
      <c r="DQ848" s="970">
        <f t="shared" si="1676"/>
        <v>0</v>
      </c>
      <c r="DR848" s="970">
        <f t="shared" si="1677"/>
        <v>348</v>
      </c>
      <c r="DS848" s="970">
        <f t="shared" si="1678"/>
        <v>348</v>
      </c>
      <c r="DT848" s="970">
        <f t="shared" si="1679"/>
        <v>347</v>
      </c>
      <c r="DU848" s="970">
        <f t="shared" si="1680"/>
        <v>347</v>
      </c>
      <c r="DV848" s="970">
        <f t="shared" si="1681"/>
        <v>348</v>
      </c>
      <c r="DW848" s="970">
        <f t="shared" si="1682"/>
        <v>348</v>
      </c>
      <c r="DX848" s="970">
        <f t="shared" si="1683"/>
        <v>348</v>
      </c>
      <c r="DY848" s="970">
        <f t="shared" si="1684"/>
        <v>348</v>
      </c>
      <c r="EA848"/>
      <c r="EB848"/>
      <c r="EC848"/>
      <c r="ED848"/>
      <c r="EE848"/>
      <c r="EF848"/>
      <c r="EJ848"/>
      <c r="EK848"/>
      <c r="EL848"/>
      <c r="EM848" s="1703"/>
      <c r="ER848" s="212"/>
    </row>
    <row r="849" spans="1:148" s="923" customFormat="1" ht="12.75" customHeight="1" x14ac:dyDescent="0.2">
      <c r="A849" s="2378" t="s">
        <v>2161</v>
      </c>
      <c r="B849" s="222"/>
      <c r="C849" s="222"/>
      <c r="D849" s="222"/>
      <c r="E849" s="222"/>
      <c r="F849" s="222"/>
      <c r="G849" s="222"/>
      <c r="H849" s="222"/>
      <c r="I849" s="222"/>
      <c r="J849" s="222"/>
      <c r="K849" s="222"/>
      <c r="L849" s="222"/>
      <c r="M849" s="968"/>
      <c r="N849" s="222"/>
      <c r="O849" s="222"/>
      <c r="P849" s="222"/>
      <c r="Q849" s="222"/>
      <c r="R849" s="968"/>
      <c r="S849" s="222"/>
      <c r="T849" s="222"/>
      <c r="U849" s="222"/>
      <c r="V849" s="222"/>
      <c r="W849" s="968"/>
      <c r="X849" s="222"/>
      <c r="Y849" s="222"/>
      <c r="Z849" s="222"/>
      <c r="AA849" s="222"/>
      <c r="AB849" s="968"/>
      <c r="AC849" s="222"/>
      <c r="AD849" s="222"/>
      <c r="AE849" s="222"/>
      <c r="AF849" s="222"/>
      <c r="AG849" s="968"/>
      <c r="AH849" s="222"/>
      <c r="AI849" s="222"/>
      <c r="AJ849" s="222"/>
      <c r="AK849" s="222"/>
      <c r="AL849" s="968"/>
      <c r="AM849" s="222"/>
      <c r="AN849" s="222"/>
      <c r="AO849" s="222"/>
      <c r="AP849" s="222"/>
      <c r="AQ849" s="968"/>
      <c r="AR849" s="222"/>
      <c r="AS849" s="222"/>
      <c r="AT849" s="222"/>
      <c r="AU849" s="222"/>
      <c r="AV849" s="968"/>
      <c r="AW849" s="222"/>
      <c r="AX849" s="222"/>
      <c r="AY849" s="222"/>
      <c r="AZ849" s="222"/>
      <c r="BA849" s="968"/>
      <c r="BB849" s="222"/>
      <c r="BC849" s="222"/>
      <c r="BD849" s="222"/>
      <c r="BE849" s="222"/>
      <c r="BF849" s="968"/>
      <c r="BG849" s="222"/>
      <c r="BH849" s="222"/>
      <c r="BI849" s="222"/>
      <c r="BJ849" s="222"/>
      <c r="BK849" s="968"/>
      <c r="BL849" s="222"/>
      <c r="BM849" s="222"/>
      <c r="BN849" s="222"/>
      <c r="BO849" s="222"/>
      <c r="BP849" s="968"/>
      <c r="BQ849" s="222"/>
      <c r="BR849" s="222"/>
      <c r="BS849" s="222"/>
      <c r="BT849" s="222"/>
      <c r="BU849" s="968"/>
      <c r="BV849" s="222"/>
      <c r="BW849" s="222"/>
      <c r="BX849" s="222"/>
      <c r="BY849" s="222"/>
      <c r="BZ849" s="970"/>
      <c r="CA849" s="222"/>
      <c r="CB849" s="222"/>
      <c r="CC849" s="216"/>
      <c r="CD849" s="223">
        <v>397</v>
      </c>
      <c r="CE849" s="968">
        <f>CD849</f>
        <v>397</v>
      </c>
      <c r="CF849" s="2687">
        <v>397</v>
      </c>
      <c r="CG849" s="223">
        <v>398</v>
      </c>
      <c r="CH849" s="223">
        <v>398</v>
      </c>
      <c r="CI849" s="223">
        <v>395</v>
      </c>
      <c r="CJ849" s="968">
        <f>CI849</f>
        <v>395</v>
      </c>
      <c r="CK849" s="223">
        <v>395</v>
      </c>
      <c r="CL849" s="223">
        <v>395</v>
      </c>
      <c r="CM849" s="845">
        <v>396</v>
      </c>
      <c r="CN849" s="845">
        <v>396</v>
      </c>
      <c r="CO849" s="968">
        <f>CN849</f>
        <v>396</v>
      </c>
      <c r="CP849" s="845">
        <v>396</v>
      </c>
      <c r="CQ849" s="845">
        <v>396</v>
      </c>
      <c r="CR849" s="845">
        <v>396</v>
      </c>
      <c r="CS849" s="215">
        <f t="shared" si="1696"/>
        <v>396</v>
      </c>
      <c r="CT849" s="968">
        <f>CS849</f>
        <v>396</v>
      </c>
      <c r="CU849" s="188">
        <f t="shared" si="1697"/>
        <v>396</v>
      </c>
      <c r="CV849" s="215">
        <f t="shared" si="1698"/>
        <v>396</v>
      </c>
      <c r="CW849" s="215">
        <f t="shared" si="1699"/>
        <v>396</v>
      </c>
      <c r="CX849" s="1788">
        <f t="shared" si="1700"/>
        <v>396</v>
      </c>
      <c r="CY849" s="3098">
        <f>CX849</f>
        <v>396</v>
      </c>
      <c r="CZ849" s="968">
        <f t="shared" ref="CZ849:DA853" si="1707">CY849</f>
        <v>396</v>
      </c>
      <c r="DA849" s="968">
        <f t="shared" si="1707"/>
        <v>396</v>
      </c>
      <c r="DB849"/>
      <c r="DC849"/>
      <c r="DD849" s="1614"/>
      <c r="DE849" s="970"/>
      <c r="DF849" s="970"/>
      <c r="DG849" s="970"/>
      <c r="DH849" s="970"/>
      <c r="DI849" s="970"/>
      <c r="DJ849" s="970"/>
      <c r="DK849" s="970"/>
      <c r="DL849" s="970"/>
      <c r="DM849" s="970"/>
      <c r="DN849" s="970"/>
      <c r="DO849" s="970"/>
      <c r="DP849" s="970"/>
      <c r="DQ849" s="970"/>
      <c r="DR849" s="970"/>
      <c r="DS849" s="970"/>
      <c r="DT849" s="970"/>
      <c r="DU849" s="970"/>
      <c r="DV849" s="970"/>
      <c r="DW849" s="970"/>
      <c r="DX849" s="970"/>
      <c r="DY849" s="970"/>
      <c r="EA849"/>
      <c r="EB849"/>
      <c r="EC849"/>
      <c r="ED849"/>
      <c r="EE849"/>
      <c r="EF849"/>
      <c r="EJ849"/>
      <c r="EK849"/>
      <c r="EL849"/>
      <c r="EM849" s="1703"/>
      <c r="ER849" s="212"/>
    </row>
    <row r="850" spans="1:148" s="923" customFormat="1" ht="12.75" customHeight="1" x14ac:dyDescent="0.2">
      <c r="A850" s="2378" t="s">
        <v>2340</v>
      </c>
      <c r="B850" s="222"/>
      <c r="C850" s="222"/>
      <c r="D850" s="222"/>
      <c r="E850" s="222"/>
      <c r="F850" s="222"/>
      <c r="G850" s="222"/>
      <c r="H850" s="222"/>
      <c r="I850" s="222"/>
      <c r="J850" s="222"/>
      <c r="K850" s="222"/>
      <c r="L850" s="222"/>
      <c r="M850" s="968"/>
      <c r="N850" s="222"/>
      <c r="O850" s="222"/>
      <c r="P850" s="222"/>
      <c r="Q850" s="222"/>
      <c r="R850" s="968"/>
      <c r="S850" s="222"/>
      <c r="T850" s="222"/>
      <c r="U850" s="222"/>
      <c r="V850" s="222"/>
      <c r="W850" s="968"/>
      <c r="X850" s="222"/>
      <c r="Y850" s="222"/>
      <c r="Z850" s="222"/>
      <c r="AA850" s="222"/>
      <c r="AB850" s="968"/>
      <c r="AC850" s="222"/>
      <c r="AD850" s="222"/>
      <c r="AE850" s="222"/>
      <c r="AF850" s="222"/>
      <c r="AG850" s="968"/>
      <c r="AH850" s="222"/>
      <c r="AI850" s="222"/>
      <c r="AJ850" s="222"/>
      <c r="AK850" s="222"/>
      <c r="AL850" s="968"/>
      <c r="AM850" s="222"/>
      <c r="AN850" s="222"/>
      <c r="AO850" s="222"/>
      <c r="AP850" s="222"/>
      <c r="AQ850" s="968"/>
      <c r="AR850" s="222"/>
      <c r="AS850" s="222"/>
      <c r="AT850" s="222"/>
      <c r="AU850" s="222"/>
      <c r="AV850" s="968"/>
      <c r="AW850" s="222"/>
      <c r="AX850" s="222"/>
      <c r="AY850" s="222"/>
      <c r="AZ850" s="222"/>
      <c r="BA850" s="968"/>
      <c r="BB850" s="222"/>
      <c r="BC850" s="222"/>
      <c r="BD850" s="222"/>
      <c r="BE850" s="222"/>
      <c r="BF850" s="968"/>
      <c r="BG850" s="222"/>
      <c r="BH850" s="222"/>
      <c r="BI850" s="222"/>
      <c r="BJ850" s="222"/>
      <c r="BK850" s="968"/>
      <c r="BL850" s="222"/>
      <c r="BM850" s="222"/>
      <c r="BN850" s="222"/>
      <c r="BO850" s="222"/>
      <c r="BP850" s="968"/>
      <c r="BQ850" s="222"/>
      <c r="BR850" s="222"/>
      <c r="BS850" s="222"/>
      <c r="BT850" s="222"/>
      <c r="BU850" s="968"/>
      <c r="BV850" s="222"/>
      <c r="BW850" s="222"/>
      <c r="BX850" s="222"/>
      <c r="BY850" s="222"/>
      <c r="BZ850" s="970"/>
      <c r="CA850" s="222"/>
      <c r="CB850" s="222"/>
      <c r="CC850" s="216"/>
      <c r="CD850" s="223"/>
      <c r="CE850" s="968"/>
      <c r="CF850" s="222"/>
      <c r="CG850" s="222"/>
      <c r="CH850" s="223">
        <v>449</v>
      </c>
      <c r="CI850" s="223">
        <v>446</v>
      </c>
      <c r="CJ850" s="968">
        <f>CI850</f>
        <v>446</v>
      </c>
      <c r="CK850" s="223">
        <v>446</v>
      </c>
      <c r="CL850" s="223">
        <v>446</v>
      </c>
      <c r="CM850" s="845">
        <v>446</v>
      </c>
      <c r="CN850" s="845">
        <v>446</v>
      </c>
      <c r="CO850" s="968">
        <f>CN850</f>
        <v>446</v>
      </c>
      <c r="CP850" s="845">
        <v>447</v>
      </c>
      <c r="CQ850" s="845">
        <v>447</v>
      </c>
      <c r="CR850" s="845">
        <v>447</v>
      </c>
      <c r="CS850" s="215">
        <f t="shared" si="1696"/>
        <v>447</v>
      </c>
      <c r="CT850" s="968">
        <f>CS850</f>
        <v>447</v>
      </c>
      <c r="CU850" s="188">
        <f t="shared" si="1697"/>
        <v>447</v>
      </c>
      <c r="CV850" s="215">
        <f t="shared" si="1698"/>
        <v>447</v>
      </c>
      <c r="CW850" s="215">
        <f t="shared" si="1699"/>
        <v>447</v>
      </c>
      <c r="CX850" s="1788">
        <f t="shared" si="1700"/>
        <v>447</v>
      </c>
      <c r="CY850" s="3098">
        <f>CX850</f>
        <v>447</v>
      </c>
      <c r="CZ850" s="968">
        <f t="shared" si="1707"/>
        <v>447</v>
      </c>
      <c r="DA850" s="968">
        <f t="shared" si="1707"/>
        <v>447</v>
      </c>
      <c r="DB850"/>
      <c r="DC850"/>
      <c r="DD850" s="1614"/>
      <c r="DE850" s="970"/>
      <c r="DF850" s="970"/>
      <c r="DG850" s="970"/>
      <c r="DH850" s="970"/>
      <c r="DI850" s="970"/>
      <c r="DJ850" s="970"/>
      <c r="DK850" s="970"/>
      <c r="DL850" s="970"/>
      <c r="DM850" s="970"/>
      <c r="DN850" s="970"/>
      <c r="DO850" s="970"/>
      <c r="DP850" s="970"/>
      <c r="DQ850" s="970"/>
      <c r="DR850" s="970"/>
      <c r="DS850" s="970"/>
      <c r="DT850" s="970"/>
      <c r="DU850" s="970"/>
      <c r="DV850" s="970"/>
      <c r="DW850" s="970"/>
      <c r="DX850" s="970"/>
      <c r="DY850" s="970"/>
      <c r="EA850"/>
      <c r="EB850"/>
      <c r="EC850"/>
      <c r="ED850"/>
      <c r="EE850"/>
      <c r="EF850"/>
      <c r="EJ850"/>
      <c r="EK850"/>
      <c r="EL850"/>
      <c r="EM850" s="1703"/>
      <c r="ER850" s="212"/>
    </row>
    <row r="851" spans="1:148" s="923" customFormat="1" ht="12.75" customHeight="1" x14ac:dyDescent="0.2">
      <c r="A851" s="2378" t="s">
        <v>2341</v>
      </c>
      <c r="B851" s="222"/>
      <c r="C851" s="222"/>
      <c r="D851" s="222"/>
      <c r="E851" s="222"/>
      <c r="F851" s="222"/>
      <c r="G851" s="222"/>
      <c r="H851" s="222"/>
      <c r="I851" s="222"/>
      <c r="J851" s="222"/>
      <c r="K851" s="222"/>
      <c r="L851" s="222"/>
      <c r="M851" s="968"/>
      <c r="N851" s="222"/>
      <c r="O851" s="222"/>
      <c r="P851" s="222"/>
      <c r="Q851" s="222"/>
      <c r="R851" s="968"/>
      <c r="S851" s="222"/>
      <c r="T851" s="222"/>
      <c r="U851" s="222"/>
      <c r="V851" s="222"/>
      <c r="W851" s="968"/>
      <c r="X851" s="222"/>
      <c r="Y851" s="222"/>
      <c r="Z851" s="222"/>
      <c r="AA851" s="222"/>
      <c r="AB851" s="968"/>
      <c r="AC851" s="222"/>
      <c r="AD851" s="222"/>
      <c r="AE851" s="222"/>
      <c r="AF851" s="222"/>
      <c r="AG851" s="968"/>
      <c r="AH851" s="222"/>
      <c r="AI851" s="222"/>
      <c r="AJ851" s="222"/>
      <c r="AK851" s="222"/>
      <c r="AL851" s="968"/>
      <c r="AM851" s="222"/>
      <c r="AN851" s="222"/>
      <c r="AO851" s="222"/>
      <c r="AP851" s="222"/>
      <c r="AQ851" s="968"/>
      <c r="AR851" s="222"/>
      <c r="AS851" s="222"/>
      <c r="AT851" s="222"/>
      <c r="AU851" s="222"/>
      <c r="AV851" s="968"/>
      <c r="AW851" s="222"/>
      <c r="AX851" s="222"/>
      <c r="AY851" s="222"/>
      <c r="AZ851" s="222"/>
      <c r="BA851" s="968"/>
      <c r="BB851" s="222"/>
      <c r="BC851" s="222"/>
      <c r="BD851" s="222"/>
      <c r="BE851" s="222"/>
      <c r="BF851" s="968"/>
      <c r="BG851" s="222"/>
      <c r="BH851" s="222"/>
      <c r="BI851" s="222"/>
      <c r="BJ851" s="222"/>
      <c r="BK851" s="968"/>
      <c r="BL851" s="222"/>
      <c r="BM851" s="222"/>
      <c r="BN851" s="222"/>
      <c r="BO851" s="222"/>
      <c r="BP851" s="968"/>
      <c r="BQ851" s="222"/>
      <c r="BR851" s="222"/>
      <c r="BS851" s="222"/>
      <c r="BT851" s="222"/>
      <c r="BU851" s="968"/>
      <c r="BV851" s="222"/>
      <c r="BW851" s="222"/>
      <c r="BX851" s="222"/>
      <c r="BY851" s="222"/>
      <c r="BZ851" s="970"/>
      <c r="CA851" s="222"/>
      <c r="CB851" s="222"/>
      <c r="CC851" s="216"/>
      <c r="CD851" s="223"/>
      <c r="CE851" s="968"/>
      <c r="CF851" s="2687"/>
      <c r="CG851" s="223"/>
      <c r="CH851" s="223">
        <v>346</v>
      </c>
      <c r="CI851" s="223">
        <v>343</v>
      </c>
      <c r="CJ851" s="968">
        <f>+CI851</f>
        <v>343</v>
      </c>
      <c r="CK851" s="223">
        <v>343</v>
      </c>
      <c r="CL851" s="223">
        <v>344</v>
      </c>
      <c r="CM851" s="845">
        <v>344</v>
      </c>
      <c r="CN851" s="845">
        <v>344</v>
      </c>
      <c r="CO851" s="968">
        <f>CN851</f>
        <v>344</v>
      </c>
      <c r="CP851" s="845">
        <v>344</v>
      </c>
      <c r="CQ851" s="845">
        <v>344</v>
      </c>
      <c r="CR851" s="845">
        <v>344</v>
      </c>
      <c r="CS851" s="847">
        <f t="shared" si="1696"/>
        <v>344</v>
      </c>
      <c r="CT851" s="968">
        <f>CS851</f>
        <v>344</v>
      </c>
      <c r="CU851" s="973">
        <f t="shared" si="1697"/>
        <v>344</v>
      </c>
      <c r="CV851" s="847">
        <f t="shared" si="1698"/>
        <v>344</v>
      </c>
      <c r="CW851" s="847">
        <f t="shared" si="1699"/>
        <v>344</v>
      </c>
      <c r="CX851" s="1431">
        <f t="shared" si="1700"/>
        <v>344</v>
      </c>
      <c r="CY851" s="3098">
        <f>CX851</f>
        <v>344</v>
      </c>
      <c r="CZ851" s="968">
        <f t="shared" si="1707"/>
        <v>344</v>
      </c>
      <c r="DA851" s="968">
        <f t="shared" si="1707"/>
        <v>344</v>
      </c>
      <c r="DB851"/>
      <c r="DC851"/>
      <c r="DD851" s="1614"/>
      <c r="DE851" s="970"/>
      <c r="DF851" s="970"/>
      <c r="DG851" s="970"/>
      <c r="DH851" s="970"/>
      <c r="DI851" s="970"/>
      <c r="DJ851" s="970"/>
      <c r="DK851" s="970"/>
      <c r="DL851" s="970"/>
      <c r="DM851" s="970"/>
      <c r="DN851" s="970"/>
      <c r="DO851" s="970"/>
      <c r="DP851" s="970"/>
      <c r="DQ851" s="970"/>
      <c r="DR851" s="970"/>
      <c r="DS851" s="970"/>
      <c r="DT851" s="970"/>
      <c r="DU851" s="970"/>
      <c r="DV851" s="970"/>
      <c r="DW851" s="970"/>
      <c r="DX851" s="970"/>
      <c r="DY851" s="970"/>
      <c r="EA851"/>
      <c r="EB851"/>
      <c r="EC851"/>
      <c r="ED851"/>
      <c r="EE851"/>
      <c r="EF851"/>
      <c r="EJ851"/>
      <c r="EK851"/>
      <c r="EL851"/>
      <c r="EM851" s="1703"/>
      <c r="ER851" s="212"/>
    </row>
    <row r="852" spans="1:148" s="923" customFormat="1" ht="12.75" customHeight="1" x14ac:dyDescent="0.2">
      <c r="A852" s="2378" t="s">
        <v>2440</v>
      </c>
      <c r="B852" s="222"/>
      <c r="C852" s="222"/>
      <c r="D852" s="222"/>
      <c r="E852" s="222"/>
      <c r="F852" s="222"/>
      <c r="G852" s="222"/>
      <c r="H852" s="222"/>
      <c r="I852" s="222"/>
      <c r="J852" s="222"/>
      <c r="K852" s="222"/>
      <c r="L852" s="222"/>
      <c r="M852" s="968"/>
      <c r="N852" s="222"/>
      <c r="O852" s="222"/>
      <c r="P852" s="222"/>
      <c r="Q852" s="222"/>
      <c r="R852" s="968"/>
      <c r="S852" s="222"/>
      <c r="T852" s="222"/>
      <c r="U852" s="222"/>
      <c r="V852" s="222"/>
      <c r="W852" s="968"/>
      <c r="X852" s="222"/>
      <c r="Y852" s="222"/>
      <c r="Z852" s="222"/>
      <c r="AA852" s="222"/>
      <c r="AB852" s="968"/>
      <c r="AC852" s="222"/>
      <c r="AD852" s="222"/>
      <c r="AE852" s="222"/>
      <c r="AF852" s="222"/>
      <c r="AG852" s="968"/>
      <c r="AH852" s="222"/>
      <c r="AI852" s="222"/>
      <c r="AJ852" s="222"/>
      <c r="AK852" s="222"/>
      <c r="AL852" s="968"/>
      <c r="AM852" s="222"/>
      <c r="AN852" s="222"/>
      <c r="AO852" s="222"/>
      <c r="AP852" s="222"/>
      <c r="AQ852" s="968"/>
      <c r="AR852" s="222"/>
      <c r="AS852" s="222"/>
      <c r="AT852" s="222"/>
      <c r="AU852" s="222"/>
      <c r="AV852" s="968"/>
      <c r="AW852" s="222"/>
      <c r="AX852" s="222"/>
      <c r="AY852" s="222"/>
      <c r="AZ852" s="222"/>
      <c r="BA852" s="968"/>
      <c r="BB852" s="222"/>
      <c r="BC852" s="222"/>
      <c r="BD852" s="222"/>
      <c r="BE852" s="222"/>
      <c r="BF852" s="968"/>
      <c r="BG852" s="222"/>
      <c r="BH852" s="222"/>
      <c r="BI852" s="222"/>
      <c r="BJ852" s="222"/>
      <c r="BK852" s="968"/>
      <c r="BL852" s="222"/>
      <c r="BM852" s="222"/>
      <c r="BN852" s="222"/>
      <c r="BO852" s="222"/>
      <c r="BP852" s="968"/>
      <c r="BQ852" s="222"/>
      <c r="BR852" s="222"/>
      <c r="BS852" s="222"/>
      <c r="BT852" s="222"/>
      <c r="BU852" s="968"/>
      <c r="BV852" s="222"/>
      <c r="BW852" s="222"/>
      <c r="BX852" s="222"/>
      <c r="BY852" s="222"/>
      <c r="BZ852" s="970"/>
      <c r="CA852" s="222"/>
      <c r="CB852" s="222"/>
      <c r="CC852" s="216"/>
      <c r="CD852" s="223"/>
      <c r="CE852" s="968"/>
      <c r="CF852" s="222"/>
      <c r="CG852" s="222"/>
      <c r="CH852" s="223"/>
      <c r="CI852" s="223"/>
      <c r="CJ852" s="968"/>
      <c r="CK852" s="223"/>
      <c r="CL852" s="223">
        <v>741</v>
      </c>
      <c r="CM852" s="845">
        <v>742</v>
      </c>
      <c r="CN852" s="845">
        <v>742</v>
      </c>
      <c r="CO852" s="968">
        <f>CN852</f>
        <v>742</v>
      </c>
      <c r="CP852" s="845">
        <v>743</v>
      </c>
      <c r="CQ852" s="845">
        <v>743</v>
      </c>
      <c r="CR852" s="845">
        <v>743</v>
      </c>
      <c r="CS852" s="847">
        <f t="shared" si="1696"/>
        <v>743</v>
      </c>
      <c r="CT852" s="968">
        <f>CS852</f>
        <v>743</v>
      </c>
      <c r="CU852" s="973">
        <f t="shared" si="1697"/>
        <v>743</v>
      </c>
      <c r="CV852" s="847">
        <f t="shared" si="1698"/>
        <v>743</v>
      </c>
      <c r="CW852" s="847">
        <f t="shared" si="1699"/>
        <v>743</v>
      </c>
      <c r="CX852" s="1431">
        <f t="shared" si="1700"/>
        <v>743</v>
      </c>
      <c r="CY852" s="3098">
        <f>CX852</f>
        <v>743</v>
      </c>
      <c r="CZ852" s="968">
        <f t="shared" si="1707"/>
        <v>743</v>
      </c>
      <c r="DA852" s="968">
        <f t="shared" si="1707"/>
        <v>743</v>
      </c>
      <c r="DB852"/>
      <c r="DC852"/>
      <c r="DD852" s="1614"/>
      <c r="DE852" s="970"/>
      <c r="DF852" s="970"/>
      <c r="DG852" s="970"/>
      <c r="DH852" s="970"/>
      <c r="DI852" s="970"/>
      <c r="DJ852" s="970"/>
      <c r="DK852" s="970"/>
      <c r="DL852" s="970"/>
      <c r="DM852" s="970"/>
      <c r="DN852" s="970"/>
      <c r="DO852" s="970"/>
      <c r="DP852" s="970"/>
      <c r="DQ852" s="970"/>
      <c r="DR852" s="970"/>
      <c r="DS852" s="970"/>
      <c r="DT852" s="970"/>
      <c r="DU852" s="970"/>
      <c r="DV852" s="970"/>
      <c r="DW852" s="970"/>
      <c r="DX852" s="970"/>
      <c r="DY852" s="970"/>
      <c r="EA852"/>
      <c r="EB852"/>
      <c r="EC852"/>
      <c r="ED852"/>
      <c r="EE852"/>
      <c r="EF852"/>
      <c r="EJ852"/>
      <c r="EK852"/>
      <c r="EL852"/>
      <c r="EM852" s="1703"/>
      <c r="ER852" s="212"/>
    </row>
    <row r="853" spans="1:148" s="2845" customFormat="1" ht="12.75" customHeight="1" x14ac:dyDescent="0.2">
      <c r="A853" s="2378" t="s">
        <v>2441</v>
      </c>
      <c r="B853" s="223"/>
      <c r="C853" s="223"/>
      <c r="D853" s="223"/>
      <c r="E853" s="223"/>
      <c r="F853" s="223"/>
      <c r="G853" s="223"/>
      <c r="H853" s="223"/>
      <c r="I853" s="223"/>
      <c r="J853" s="223"/>
      <c r="K853" s="223"/>
      <c r="L853" s="223"/>
      <c r="M853" s="2290"/>
      <c r="N853" s="223"/>
      <c r="O853" s="223"/>
      <c r="P853" s="223"/>
      <c r="Q853" s="223"/>
      <c r="R853" s="2290"/>
      <c r="S853" s="223"/>
      <c r="T853" s="223"/>
      <c r="U853" s="223"/>
      <c r="V853" s="223"/>
      <c r="W853" s="2290"/>
      <c r="X853" s="223"/>
      <c r="Y853" s="223"/>
      <c r="Z853" s="223"/>
      <c r="AA853" s="223"/>
      <c r="AB853" s="2290"/>
      <c r="AC853" s="223"/>
      <c r="AD853" s="223"/>
      <c r="AE853" s="223"/>
      <c r="AF853" s="223"/>
      <c r="AG853" s="2290"/>
      <c r="AH853" s="223"/>
      <c r="AI853" s="223"/>
      <c r="AJ853" s="223"/>
      <c r="AK853" s="223"/>
      <c r="AL853" s="2290"/>
      <c r="AM853" s="223"/>
      <c r="AN853" s="223"/>
      <c r="AO853" s="223"/>
      <c r="AP853" s="223"/>
      <c r="AQ853" s="2290"/>
      <c r="AR853" s="223"/>
      <c r="AS853" s="223"/>
      <c r="AT853" s="223"/>
      <c r="AU853" s="223"/>
      <c r="AV853" s="2290"/>
      <c r="AW853" s="223"/>
      <c r="AX853" s="223"/>
      <c r="AY853" s="223"/>
      <c r="AZ853" s="223"/>
      <c r="BA853" s="2290"/>
      <c r="BB853" s="223"/>
      <c r="BC853" s="223"/>
      <c r="BD853" s="223"/>
      <c r="BE853" s="223"/>
      <c r="BF853" s="2290"/>
      <c r="BG853" s="223"/>
      <c r="BH853" s="223"/>
      <c r="BI853" s="223"/>
      <c r="BJ853" s="223"/>
      <c r="BK853" s="2290"/>
      <c r="BL853" s="223"/>
      <c r="BM853" s="223"/>
      <c r="BN853" s="223"/>
      <c r="BO853" s="223"/>
      <c r="BP853" s="2290"/>
      <c r="BQ853" s="223"/>
      <c r="BR853" s="223"/>
      <c r="BS853" s="223"/>
      <c r="BT853" s="223"/>
      <c r="BU853" s="2290"/>
      <c r="BV853" s="223"/>
      <c r="BW853" s="223"/>
      <c r="BX853" s="223"/>
      <c r="BY853" s="223"/>
      <c r="BZ853" s="2290"/>
      <c r="CA853" s="223"/>
      <c r="CB853" s="223"/>
      <c r="CC853" s="2327"/>
      <c r="CD853" s="223"/>
      <c r="CE853" s="2290"/>
      <c r="CF853" s="223"/>
      <c r="CG853" s="223"/>
      <c r="CH853" s="223"/>
      <c r="CI853" s="223"/>
      <c r="CJ853" s="2290"/>
      <c r="CK853" s="223"/>
      <c r="CL853" s="223">
        <v>742</v>
      </c>
      <c r="CM853" s="845">
        <v>742</v>
      </c>
      <c r="CN853" s="845">
        <v>742</v>
      </c>
      <c r="CO853" s="2290">
        <f>CN853</f>
        <v>742</v>
      </c>
      <c r="CP853" s="845">
        <v>742</v>
      </c>
      <c r="CQ853" s="845">
        <v>742</v>
      </c>
      <c r="CR853" s="845">
        <v>743</v>
      </c>
      <c r="CS853" s="2349">
        <f t="shared" si="1696"/>
        <v>743</v>
      </c>
      <c r="CT853" s="2290">
        <f>CS853</f>
        <v>743</v>
      </c>
      <c r="CU853" s="2399">
        <f t="shared" si="1697"/>
        <v>743</v>
      </c>
      <c r="CV853" s="2349">
        <f t="shared" si="1698"/>
        <v>743</v>
      </c>
      <c r="CW853" s="2349">
        <f t="shared" si="1699"/>
        <v>743</v>
      </c>
      <c r="CX853" s="3012">
        <f t="shared" si="1700"/>
        <v>743</v>
      </c>
      <c r="CY853" s="2327">
        <f>CX853</f>
        <v>743</v>
      </c>
      <c r="CZ853" s="2290">
        <f t="shared" si="1707"/>
        <v>743</v>
      </c>
      <c r="DA853" s="3098">
        <f t="shared" si="1707"/>
        <v>743</v>
      </c>
      <c r="DB853" s="1062"/>
      <c r="DC853" s="1062"/>
      <c r="DD853" s="2378"/>
      <c r="DE853" s="2290"/>
      <c r="DF853" s="2290"/>
      <c r="DG853" s="2290"/>
      <c r="DH853" s="2290"/>
      <c r="DI853" s="2290"/>
      <c r="DJ853" s="2290"/>
      <c r="DK853" s="2290"/>
      <c r="DL853" s="2290"/>
      <c r="DM853" s="2290"/>
      <c r="DN853" s="2290"/>
      <c r="DO853" s="2290"/>
      <c r="DP853" s="2290"/>
      <c r="DQ853" s="2290"/>
      <c r="DR853" s="2290"/>
      <c r="DS853" s="2290"/>
      <c r="DT853" s="2290"/>
      <c r="DU853" s="2290"/>
      <c r="DV853" s="2290"/>
      <c r="DW853" s="2290"/>
      <c r="DX853" s="2290"/>
      <c r="DY853" s="2290"/>
      <c r="EA853"/>
      <c r="EB853"/>
      <c r="EC853"/>
      <c r="ED853"/>
      <c r="EE853"/>
      <c r="EF853"/>
      <c r="EJ853"/>
      <c r="EK853"/>
      <c r="EL853"/>
      <c r="EM853" s="1703"/>
      <c r="ER853" s="2631"/>
    </row>
    <row r="854" spans="1:148" s="923" customFormat="1" ht="4.5" customHeight="1" x14ac:dyDescent="0.2">
      <c r="A854" s="2378"/>
      <c r="B854" s="222"/>
      <c r="C854" s="222"/>
      <c r="D854" s="222"/>
      <c r="E854" s="222"/>
      <c r="F854" s="222"/>
      <c r="G854" s="222"/>
      <c r="H854" s="222"/>
      <c r="I854" s="222"/>
      <c r="J854" s="222"/>
      <c r="K854" s="222"/>
      <c r="L854" s="222"/>
      <c r="M854" s="970"/>
      <c r="N854" s="222"/>
      <c r="O854" s="222"/>
      <c r="P854" s="222"/>
      <c r="Q854" s="222"/>
      <c r="R854" s="970"/>
      <c r="S854" s="222"/>
      <c r="T854" s="222"/>
      <c r="U854" s="222"/>
      <c r="V854" s="222"/>
      <c r="W854" s="970"/>
      <c r="X854" s="222"/>
      <c r="Y854" s="222"/>
      <c r="Z854" s="222"/>
      <c r="AA854" s="222"/>
      <c r="AB854" s="970"/>
      <c r="AC854" s="222"/>
      <c r="AD854" s="222"/>
      <c r="AE854" s="222"/>
      <c r="AF854" s="222"/>
      <c r="AG854" s="970"/>
      <c r="AH854" s="222"/>
      <c r="AI854" s="222"/>
      <c r="AJ854" s="222"/>
      <c r="AK854" s="222"/>
      <c r="AL854" s="970"/>
      <c r="AM854" s="222"/>
      <c r="AN854" s="222"/>
      <c r="AO854" s="222"/>
      <c r="AP854" s="222"/>
      <c r="AQ854" s="970"/>
      <c r="AR854" s="222"/>
      <c r="AS854" s="222"/>
      <c r="AT854" s="222"/>
      <c r="AU854" s="222"/>
      <c r="AV854" s="970"/>
      <c r="AW854" s="222"/>
      <c r="AX854" s="222"/>
      <c r="AY854" s="222"/>
      <c r="AZ854" s="222"/>
      <c r="BA854" s="970"/>
      <c r="BB854" s="222"/>
      <c r="BC854" s="222"/>
      <c r="BD854" s="222"/>
      <c r="BE854" s="222"/>
      <c r="BF854" s="970"/>
      <c r="BG854" s="222"/>
      <c r="BH854" s="222"/>
      <c r="BI854" s="222"/>
      <c r="BJ854" s="222"/>
      <c r="BK854" s="970"/>
      <c r="BL854" s="222"/>
      <c r="BM854" s="222"/>
      <c r="BN854" s="222"/>
      <c r="BO854" s="222"/>
      <c r="BP854" s="970"/>
      <c r="BQ854" s="222"/>
      <c r="BR854" s="222"/>
      <c r="BS854" s="222"/>
      <c r="BT854" s="222"/>
      <c r="BU854" s="970"/>
      <c r="BV854" s="222"/>
      <c r="BW854" s="222"/>
      <c r="BX854" s="222"/>
      <c r="BY854" s="222"/>
      <c r="BZ854" s="970"/>
      <c r="CA854" s="222"/>
      <c r="CB854" s="222"/>
      <c r="CC854" s="216"/>
      <c r="CD854" s="223"/>
      <c r="CE854" s="968"/>
      <c r="CF854" s="222"/>
      <c r="CG854" s="222"/>
      <c r="CH854" s="222"/>
      <c r="CI854" s="222"/>
      <c r="CJ854" s="970"/>
      <c r="CK854" s="222"/>
      <c r="CL854" s="223"/>
      <c r="CM854" s="850"/>
      <c r="CN854" s="850"/>
      <c r="CO854" s="970"/>
      <c r="CP854" s="216"/>
      <c r="CQ854" s="850"/>
      <c r="CR854" s="850"/>
      <c r="CS854" s="850"/>
      <c r="CT854" s="970"/>
      <c r="CU854" s="1430"/>
      <c r="CV854" s="850"/>
      <c r="CW854" s="850"/>
      <c r="CX854" s="1647"/>
      <c r="CY854" s="216"/>
      <c r="CZ854" s="970"/>
      <c r="DA854" s="970"/>
      <c r="DB854"/>
      <c r="DC854"/>
      <c r="DD854" s="1614"/>
      <c r="DE854" s="970"/>
      <c r="DF854" s="970"/>
      <c r="DG854" s="970"/>
      <c r="DH854" s="970"/>
      <c r="DI854" s="970"/>
      <c r="DJ854" s="970"/>
      <c r="DK854" s="970"/>
      <c r="DL854" s="970"/>
      <c r="DM854" s="970"/>
      <c r="DN854" s="970"/>
      <c r="DO854" s="970"/>
      <c r="DP854" s="970"/>
      <c r="DQ854" s="970"/>
      <c r="DR854" s="970"/>
      <c r="DS854" s="970"/>
      <c r="DT854" s="970"/>
      <c r="DU854" s="970"/>
      <c r="DV854" s="970"/>
      <c r="DW854" s="970"/>
      <c r="DX854" s="970"/>
      <c r="DY854" s="970"/>
      <c r="EA854"/>
      <c r="EB854"/>
      <c r="EC854"/>
      <c r="ED854"/>
      <c r="EE854"/>
      <c r="EF854"/>
      <c r="EJ854"/>
      <c r="EK854"/>
      <c r="EL854"/>
      <c r="EM854" s="1703"/>
      <c r="ER854" s="212"/>
    </row>
    <row r="855" spans="1:148" x14ac:dyDescent="0.2">
      <c r="A855" s="3101" t="s">
        <v>2491</v>
      </c>
      <c r="M855" s="661"/>
      <c r="R855" s="661"/>
      <c r="W855" s="661"/>
      <c r="AB855" s="661"/>
      <c r="AG855" s="661"/>
      <c r="AL855" s="661"/>
      <c r="AQ855" s="661"/>
      <c r="AV855" s="661"/>
      <c r="BA855" s="661"/>
      <c r="BF855" s="661"/>
      <c r="BK855" s="661"/>
      <c r="BP855" s="661"/>
      <c r="BU855" s="661"/>
      <c r="BZ855" s="661"/>
      <c r="CE855" s="1431"/>
      <c r="CJ855" s="661"/>
      <c r="CM855" s="2983">
        <v>403</v>
      </c>
      <c r="CN855" s="2983">
        <v>346</v>
      </c>
      <c r="CO855" s="661">
        <f>CN855</f>
        <v>346</v>
      </c>
      <c r="CP855" s="2983">
        <v>342</v>
      </c>
      <c r="CQ855" s="2983">
        <v>338</v>
      </c>
      <c r="CR855" s="845">
        <v>334</v>
      </c>
      <c r="CS855" s="1431">
        <f t="shared" ref="CS855:DA855" si="1708">CR855</f>
        <v>334</v>
      </c>
      <c r="CT855" s="661">
        <f t="shared" si="1708"/>
        <v>334</v>
      </c>
      <c r="CU855" s="973">
        <f t="shared" ref="CU855:CX859" si="1709">CT855</f>
        <v>334</v>
      </c>
      <c r="CV855" s="847">
        <f t="shared" si="1709"/>
        <v>334</v>
      </c>
      <c r="CW855" s="847">
        <f t="shared" si="1709"/>
        <v>334</v>
      </c>
      <c r="CX855" s="1431">
        <f t="shared" si="1709"/>
        <v>334</v>
      </c>
      <c r="CY855" s="3012">
        <f t="shared" si="1708"/>
        <v>334</v>
      </c>
      <c r="CZ855" s="661">
        <f t="shared" si="1708"/>
        <v>334</v>
      </c>
      <c r="DA855" s="661">
        <f t="shared" si="1708"/>
        <v>334</v>
      </c>
      <c r="DB855" s="537"/>
      <c r="DC855" s="537"/>
      <c r="DZ855" s="537"/>
      <c r="EK855"/>
      <c r="EL855"/>
      <c r="EM855" s="1703"/>
    </row>
    <row r="856" spans="1:148" ht="12.75" customHeight="1" x14ac:dyDescent="0.2">
      <c r="A856" s="900" t="s">
        <v>2487</v>
      </c>
      <c r="B856" s="767"/>
      <c r="C856" s="767"/>
      <c r="D856" s="767"/>
      <c r="E856" s="767"/>
      <c r="F856" s="767"/>
      <c r="G856" s="767"/>
      <c r="H856" s="767"/>
      <c r="I856" s="767"/>
      <c r="J856" s="767"/>
      <c r="K856" s="767"/>
      <c r="L856" s="767"/>
      <c r="M856" s="246"/>
      <c r="N856" s="767"/>
      <c r="O856" s="767"/>
      <c r="P856" s="767"/>
      <c r="Q856" s="767"/>
      <c r="R856" s="246"/>
      <c r="S856" s="767"/>
      <c r="T856" s="767"/>
      <c r="U856" s="767"/>
      <c r="V856" s="767"/>
      <c r="W856" s="246"/>
      <c r="X856" s="767"/>
      <c r="Y856" s="767"/>
      <c r="Z856" s="767"/>
      <c r="AA856" s="767"/>
      <c r="AB856" s="246"/>
      <c r="AC856" s="767"/>
      <c r="AD856" s="767"/>
      <c r="AE856" s="767"/>
      <c r="AF856" s="767"/>
      <c r="AG856" s="246"/>
      <c r="AH856" s="767"/>
      <c r="AI856" s="767"/>
      <c r="AJ856" s="767"/>
      <c r="AK856" s="767"/>
      <c r="AL856" s="246"/>
      <c r="AM856" s="767"/>
      <c r="AN856" s="767"/>
      <c r="AO856" s="767"/>
      <c r="AP856" s="767"/>
      <c r="AQ856" s="246"/>
      <c r="AR856" s="767"/>
      <c r="AS856" s="767"/>
      <c r="AT856" s="767"/>
      <c r="AU856" s="767"/>
      <c r="AV856" s="246"/>
      <c r="AW856" s="767"/>
      <c r="AX856" s="767"/>
      <c r="AY856" s="767"/>
      <c r="AZ856" s="767"/>
      <c r="BA856" s="246"/>
      <c r="BB856" s="767"/>
      <c r="BC856" s="767"/>
      <c r="BD856" s="767"/>
      <c r="BE856" s="767"/>
      <c r="BF856" s="246"/>
      <c r="BG856" s="767"/>
      <c r="BH856" s="767"/>
      <c r="BI856" s="767"/>
      <c r="BJ856" s="767"/>
      <c r="BK856" s="246"/>
      <c r="BL856" s="767"/>
      <c r="BM856" s="767"/>
      <c r="BN856" s="767"/>
      <c r="BO856" s="767"/>
      <c r="BP856" s="246"/>
      <c r="BQ856" s="767"/>
      <c r="BR856" s="767"/>
      <c r="BS856" s="767"/>
      <c r="BT856" s="767"/>
      <c r="BU856" s="246"/>
      <c r="BV856" s="767"/>
      <c r="BW856" s="767"/>
      <c r="BX856" s="767"/>
      <c r="BY856" s="767"/>
      <c r="BZ856" s="246"/>
      <c r="CA856" s="767"/>
      <c r="CB856" s="767"/>
      <c r="CC856" s="850"/>
      <c r="CD856" s="845"/>
      <c r="CE856" s="661"/>
      <c r="CF856" s="767"/>
      <c r="CG856" s="767"/>
      <c r="CH856" s="767"/>
      <c r="CI856" s="767"/>
      <c r="CJ856" s="246"/>
      <c r="CK856" s="767"/>
      <c r="CM856" s="2983">
        <v>245</v>
      </c>
      <c r="CN856" s="2983">
        <v>206</v>
      </c>
      <c r="CO856" s="661">
        <f>CN856</f>
        <v>206</v>
      </c>
      <c r="CP856" s="2983">
        <v>204</v>
      </c>
      <c r="CQ856" s="2983">
        <v>201</v>
      </c>
      <c r="CR856" s="845">
        <v>199</v>
      </c>
      <c r="CS856" s="1431">
        <f t="shared" ref="CS856:DA856" si="1710">CR856</f>
        <v>199</v>
      </c>
      <c r="CT856" s="661">
        <f t="shared" si="1710"/>
        <v>199</v>
      </c>
      <c r="CU856" s="973">
        <f t="shared" si="1709"/>
        <v>199</v>
      </c>
      <c r="CV856" s="847">
        <f t="shared" si="1709"/>
        <v>199</v>
      </c>
      <c r="CW856" s="847">
        <f t="shared" si="1709"/>
        <v>199</v>
      </c>
      <c r="CX856" s="1431">
        <f t="shared" si="1709"/>
        <v>199</v>
      </c>
      <c r="CY856" s="3012">
        <f t="shared" si="1710"/>
        <v>199</v>
      </c>
      <c r="CZ856" s="661">
        <f t="shared" si="1710"/>
        <v>199</v>
      </c>
      <c r="DA856" s="661">
        <f t="shared" si="1710"/>
        <v>199</v>
      </c>
      <c r="DB856" s="537"/>
      <c r="DC856" s="537"/>
      <c r="DD856" s="1614"/>
      <c r="DE856" s="246"/>
      <c r="DF856" s="246"/>
      <c r="DG856" s="246"/>
      <c r="DH856" s="246"/>
      <c r="DI856" s="246"/>
      <c r="DJ856" s="246"/>
      <c r="DK856" s="246"/>
      <c r="DL856" s="246"/>
      <c r="DM856" s="246"/>
      <c r="DN856" s="246"/>
      <c r="DO856" s="246"/>
      <c r="DP856" s="246"/>
      <c r="DQ856" s="246"/>
      <c r="DR856" s="246"/>
      <c r="DS856" s="246"/>
      <c r="DT856" s="246"/>
      <c r="DU856" s="246"/>
      <c r="DV856" s="246"/>
      <c r="DW856" s="246"/>
      <c r="DX856" s="246"/>
      <c r="DY856" s="246"/>
      <c r="DZ856" s="855"/>
      <c r="EK856"/>
      <c r="EL856"/>
      <c r="EM856" s="1703"/>
    </row>
    <row r="857" spans="1:148" ht="12.75" customHeight="1" x14ac:dyDescent="0.2">
      <c r="A857" s="3101" t="s">
        <v>2488</v>
      </c>
      <c r="B857" s="767"/>
      <c r="C857" s="767"/>
      <c r="D857" s="767"/>
      <c r="E857" s="767"/>
      <c r="F857" s="767"/>
      <c r="G857" s="767"/>
      <c r="H857" s="767"/>
      <c r="I857" s="767"/>
      <c r="J857" s="767"/>
      <c r="K857" s="767"/>
      <c r="L857" s="767"/>
      <c r="M857" s="246"/>
      <c r="N857" s="767"/>
      <c r="O857" s="767"/>
      <c r="P857" s="767"/>
      <c r="Q857" s="767"/>
      <c r="R857" s="246"/>
      <c r="S857" s="767"/>
      <c r="T857" s="767"/>
      <c r="U857" s="767"/>
      <c r="V857" s="767"/>
      <c r="W857" s="246"/>
      <c r="X857" s="767"/>
      <c r="Y857" s="767"/>
      <c r="Z857" s="767"/>
      <c r="AA857" s="767"/>
      <c r="AB857" s="246"/>
      <c r="AC857" s="767"/>
      <c r="AD857" s="767"/>
      <c r="AE857" s="767"/>
      <c r="AF857" s="767"/>
      <c r="AG857" s="246"/>
      <c r="AH857" s="767"/>
      <c r="AI857" s="767"/>
      <c r="AJ857" s="767"/>
      <c r="AK857" s="767"/>
      <c r="AL857" s="246"/>
      <c r="AM857" s="767"/>
      <c r="AN857" s="767"/>
      <c r="AO857" s="767"/>
      <c r="AP857" s="767"/>
      <c r="AQ857" s="246"/>
      <c r="AR857" s="767"/>
      <c r="AS857" s="767"/>
      <c r="AT857" s="767"/>
      <c r="AU857" s="767"/>
      <c r="AV857" s="246"/>
      <c r="AW857" s="767"/>
      <c r="AX857" s="767"/>
      <c r="AY857" s="767"/>
      <c r="AZ857" s="767"/>
      <c r="BA857" s="246"/>
      <c r="BB857" s="767"/>
      <c r="BC857" s="767"/>
      <c r="BD857" s="767"/>
      <c r="BE857" s="767"/>
      <c r="BF857" s="246"/>
      <c r="BG857" s="767"/>
      <c r="BH857" s="767"/>
      <c r="BI857" s="767"/>
      <c r="BJ857" s="767"/>
      <c r="BK857" s="246"/>
      <c r="BL857" s="767"/>
      <c r="BM857" s="767"/>
      <c r="BN857" s="767"/>
      <c r="BO857" s="767"/>
      <c r="BP857" s="246"/>
      <c r="BQ857" s="767"/>
      <c r="BR857" s="767"/>
      <c r="BS857" s="767"/>
      <c r="BT857" s="767"/>
      <c r="BU857" s="246"/>
      <c r="BV857" s="767"/>
      <c r="BW857" s="767"/>
      <c r="BX857" s="767"/>
      <c r="BY857" s="767"/>
      <c r="BZ857" s="246"/>
      <c r="CA857" s="767"/>
      <c r="CB857" s="767"/>
      <c r="CC857" s="850"/>
      <c r="CD857" s="845"/>
      <c r="CE857" s="661"/>
      <c r="CF857" s="767"/>
      <c r="CG857" s="767"/>
      <c r="CH857" s="767"/>
      <c r="CI857" s="767"/>
      <c r="CJ857" s="246"/>
      <c r="CK857" s="767"/>
      <c r="CM857" s="2983">
        <v>350</v>
      </c>
      <c r="CN857" s="2983">
        <v>291</v>
      </c>
      <c r="CO857" s="661">
        <f>CN857</f>
        <v>291</v>
      </c>
      <c r="CP857" s="2983">
        <v>291</v>
      </c>
      <c r="CQ857" s="2983">
        <v>291</v>
      </c>
      <c r="CR857" s="845">
        <v>291</v>
      </c>
      <c r="CS857" s="1431">
        <f t="shared" ref="CS857:DA857" si="1711">CR857</f>
        <v>291</v>
      </c>
      <c r="CT857" s="661">
        <f t="shared" si="1711"/>
        <v>291</v>
      </c>
      <c r="CU857" s="973">
        <f t="shared" si="1709"/>
        <v>291</v>
      </c>
      <c r="CV857" s="847">
        <f t="shared" si="1709"/>
        <v>291</v>
      </c>
      <c r="CW857" s="847">
        <f t="shared" si="1709"/>
        <v>291</v>
      </c>
      <c r="CX857" s="1431">
        <f t="shared" si="1709"/>
        <v>291</v>
      </c>
      <c r="CY857" s="3012">
        <f t="shared" si="1711"/>
        <v>291</v>
      </c>
      <c r="CZ857" s="661">
        <f t="shared" si="1711"/>
        <v>291</v>
      </c>
      <c r="DA857" s="661">
        <f t="shared" si="1711"/>
        <v>291</v>
      </c>
      <c r="DB857" s="537"/>
      <c r="DC857" s="537"/>
      <c r="DD857" s="1614"/>
      <c r="DE857" s="246"/>
      <c r="DF857" s="246"/>
      <c r="DG857" s="246"/>
      <c r="DH857" s="246"/>
      <c r="DI857" s="246"/>
      <c r="DJ857" s="246"/>
      <c r="DK857" s="246"/>
      <c r="DL857" s="246"/>
      <c r="DM857" s="246"/>
      <c r="DN857" s="246"/>
      <c r="DO857" s="246"/>
      <c r="DP857" s="246"/>
      <c r="DQ857" s="246"/>
      <c r="DR857" s="246"/>
      <c r="DS857" s="246"/>
      <c r="DT857" s="246"/>
      <c r="DU857" s="246"/>
      <c r="DV857" s="246"/>
      <c r="DW857" s="246"/>
      <c r="DX857" s="246"/>
      <c r="DY857" s="246"/>
      <c r="DZ857" s="855"/>
      <c r="EK857"/>
      <c r="EL857"/>
      <c r="EM857" s="1703"/>
    </row>
    <row r="858" spans="1:148" ht="12.75" customHeight="1" x14ac:dyDescent="0.2">
      <c r="A858" s="3101" t="s">
        <v>2489</v>
      </c>
      <c r="B858" s="767"/>
      <c r="C858" s="767"/>
      <c r="D858" s="767"/>
      <c r="E858" s="767"/>
      <c r="F858" s="767"/>
      <c r="G858" s="767"/>
      <c r="H858" s="767"/>
      <c r="I858" s="767"/>
      <c r="J858" s="767"/>
      <c r="K858" s="767"/>
      <c r="L858" s="767"/>
      <c r="M858" s="246"/>
      <c r="N858" s="767"/>
      <c r="O858" s="767"/>
      <c r="P858" s="767"/>
      <c r="Q858" s="767"/>
      <c r="R858" s="246"/>
      <c r="S858" s="767"/>
      <c r="T858" s="767"/>
      <c r="U858" s="767"/>
      <c r="V858" s="767"/>
      <c r="W858" s="246"/>
      <c r="X858" s="767"/>
      <c r="Y858" s="767"/>
      <c r="Z858" s="767"/>
      <c r="AA858" s="767"/>
      <c r="AB858" s="246"/>
      <c r="AC858" s="767"/>
      <c r="AD858" s="767"/>
      <c r="AE858" s="767"/>
      <c r="AF858" s="767"/>
      <c r="AG858" s="246"/>
      <c r="AH858" s="767"/>
      <c r="AI858" s="767"/>
      <c r="AJ858" s="767"/>
      <c r="AK858" s="767"/>
      <c r="AL858" s="246"/>
      <c r="AM858" s="767"/>
      <c r="AN858" s="767"/>
      <c r="AO858" s="767"/>
      <c r="AP858" s="767"/>
      <c r="AQ858" s="246"/>
      <c r="AR858" s="767"/>
      <c r="AS858" s="767"/>
      <c r="AT858" s="767"/>
      <c r="AU858" s="767"/>
      <c r="AV858" s="246"/>
      <c r="AW858" s="767"/>
      <c r="AX858" s="767"/>
      <c r="AY858" s="767"/>
      <c r="AZ858" s="767"/>
      <c r="BA858" s="246"/>
      <c r="BB858" s="767"/>
      <c r="BC858" s="767"/>
      <c r="BD858" s="767"/>
      <c r="BE858" s="767"/>
      <c r="BF858" s="246"/>
      <c r="BG858" s="767"/>
      <c r="BH858" s="767"/>
      <c r="BI858" s="767"/>
      <c r="BJ858" s="767"/>
      <c r="BK858" s="246"/>
      <c r="BL858" s="767"/>
      <c r="BM858" s="767"/>
      <c r="BN858" s="767"/>
      <c r="BO858" s="767"/>
      <c r="BP858" s="246"/>
      <c r="BQ858" s="767"/>
      <c r="BR858" s="767"/>
      <c r="BS858" s="767"/>
      <c r="BT858" s="767"/>
      <c r="BU858" s="246"/>
      <c r="BV858" s="767"/>
      <c r="BW858" s="767"/>
      <c r="BX858" s="767"/>
      <c r="BY858" s="767"/>
      <c r="BZ858" s="246"/>
      <c r="CA858" s="767"/>
      <c r="CB858" s="767"/>
      <c r="CC858" s="850"/>
      <c r="CD858" s="845"/>
      <c r="CE858" s="661"/>
      <c r="CF858" s="767"/>
      <c r="CG858" s="767"/>
      <c r="CH858" s="767"/>
      <c r="CI858" s="767"/>
      <c r="CJ858" s="246"/>
      <c r="CK858" s="767"/>
      <c r="CM858" s="2983">
        <v>375</v>
      </c>
      <c r="CN858" s="2983">
        <v>340</v>
      </c>
      <c r="CO858" s="661">
        <f>CN858</f>
        <v>340</v>
      </c>
      <c r="CP858" s="2983">
        <v>339</v>
      </c>
      <c r="CQ858" s="2983">
        <v>339</v>
      </c>
      <c r="CR858" s="845">
        <v>338</v>
      </c>
      <c r="CS858" s="1431">
        <f t="shared" ref="CS858:DA858" si="1712">CR858</f>
        <v>338</v>
      </c>
      <c r="CT858" s="661">
        <f t="shared" si="1712"/>
        <v>338</v>
      </c>
      <c r="CU858" s="973">
        <f t="shared" si="1709"/>
        <v>338</v>
      </c>
      <c r="CV858" s="847">
        <f t="shared" si="1709"/>
        <v>338</v>
      </c>
      <c r="CW858" s="847">
        <f t="shared" si="1709"/>
        <v>338</v>
      </c>
      <c r="CX858" s="1431">
        <f t="shared" si="1709"/>
        <v>338</v>
      </c>
      <c r="CY858" s="3012">
        <f t="shared" si="1712"/>
        <v>338</v>
      </c>
      <c r="CZ858" s="661">
        <f t="shared" si="1712"/>
        <v>338</v>
      </c>
      <c r="DA858" s="661">
        <f t="shared" si="1712"/>
        <v>338</v>
      </c>
      <c r="DB858" s="537"/>
      <c r="DC858" s="537"/>
      <c r="DD858" s="1614"/>
      <c r="DE858" s="246"/>
      <c r="DF858" s="246"/>
      <c r="DG858" s="246"/>
      <c r="DH858" s="246"/>
      <c r="DI858" s="246"/>
      <c r="DJ858" s="246"/>
      <c r="DK858" s="246"/>
      <c r="DL858" s="246"/>
      <c r="DM858" s="246"/>
      <c r="DN858" s="246"/>
      <c r="DO858" s="246"/>
      <c r="DP858" s="246"/>
      <c r="DQ858" s="246"/>
      <c r="DR858" s="246"/>
      <c r="DS858" s="246"/>
      <c r="DT858" s="246"/>
      <c r="DU858" s="246"/>
      <c r="DV858" s="246"/>
      <c r="DW858" s="246"/>
      <c r="DX858" s="246"/>
      <c r="DY858" s="246"/>
      <c r="DZ858" s="855"/>
      <c r="EK858"/>
      <c r="EL858"/>
      <c r="EM858" s="1703"/>
    </row>
    <row r="859" spans="1:148" ht="12.75" customHeight="1" x14ac:dyDescent="0.2">
      <c r="A859" s="3101" t="s">
        <v>2490</v>
      </c>
      <c r="B859" s="767"/>
      <c r="C859" s="767"/>
      <c r="D859" s="767"/>
      <c r="E859" s="767"/>
      <c r="F859" s="767"/>
      <c r="G859" s="767"/>
      <c r="H859" s="767"/>
      <c r="I859" s="767"/>
      <c r="J859" s="767"/>
      <c r="K859" s="767"/>
      <c r="L859" s="767"/>
      <c r="M859" s="246"/>
      <c r="N859" s="767"/>
      <c r="O859" s="767"/>
      <c r="P859" s="767"/>
      <c r="Q859" s="767"/>
      <c r="R859" s="246"/>
      <c r="S859" s="767"/>
      <c r="T859" s="767"/>
      <c r="U859" s="767"/>
      <c r="V859" s="767"/>
      <c r="W859" s="246"/>
      <c r="X859" s="767"/>
      <c r="Y859" s="767"/>
      <c r="Z859" s="767"/>
      <c r="AA859" s="767"/>
      <c r="AB859" s="246"/>
      <c r="AC859" s="767"/>
      <c r="AD859" s="767"/>
      <c r="AE859" s="767"/>
      <c r="AF859" s="767"/>
      <c r="AG859" s="246"/>
      <c r="AH859" s="767"/>
      <c r="AI859" s="767"/>
      <c r="AJ859" s="767"/>
      <c r="AK859" s="767"/>
      <c r="AL859" s="246"/>
      <c r="AM859" s="767"/>
      <c r="AN859" s="767"/>
      <c r="AO859" s="767"/>
      <c r="AP859" s="767"/>
      <c r="AQ859" s="246"/>
      <c r="AR859" s="767"/>
      <c r="AS859" s="767"/>
      <c r="AT859" s="767"/>
      <c r="AU859" s="767"/>
      <c r="AV859" s="246"/>
      <c r="AW859" s="767"/>
      <c r="AX859" s="767"/>
      <c r="AY859" s="767"/>
      <c r="AZ859" s="767"/>
      <c r="BA859" s="246"/>
      <c r="BB859" s="767"/>
      <c r="BC859" s="767"/>
      <c r="BD859" s="767"/>
      <c r="BE859" s="767"/>
      <c r="BF859" s="246"/>
      <c r="BG859" s="767"/>
      <c r="BH859" s="767"/>
      <c r="BI859" s="767"/>
      <c r="BJ859" s="767"/>
      <c r="BK859" s="246"/>
      <c r="BL859" s="767"/>
      <c r="BM859" s="767"/>
      <c r="BN859" s="767"/>
      <c r="BO859" s="767"/>
      <c r="BP859" s="246"/>
      <c r="BQ859" s="767"/>
      <c r="BR859" s="767"/>
      <c r="BS859" s="767"/>
      <c r="BT859" s="767"/>
      <c r="BU859" s="246"/>
      <c r="BV859" s="767"/>
      <c r="BW859" s="767"/>
      <c r="BX859" s="767"/>
      <c r="BY859" s="767"/>
      <c r="BZ859" s="246"/>
      <c r="CA859" s="767"/>
      <c r="CB859" s="767"/>
      <c r="CC859" s="850"/>
      <c r="CD859" s="845"/>
      <c r="CE859" s="661"/>
      <c r="CF859" s="767"/>
      <c r="CG859" s="767"/>
      <c r="CH859" s="767"/>
      <c r="CI859" s="767"/>
      <c r="CJ859" s="246"/>
      <c r="CK859" s="767"/>
      <c r="CM859" s="2983">
        <v>317</v>
      </c>
      <c r="CN859" s="2983">
        <v>293</v>
      </c>
      <c r="CO859" s="661">
        <f>CN859</f>
        <v>293</v>
      </c>
      <c r="CP859" s="2983">
        <v>293</v>
      </c>
      <c r="CQ859" s="2983">
        <v>293</v>
      </c>
      <c r="CR859" s="845">
        <v>293</v>
      </c>
      <c r="CS859" s="1431">
        <f t="shared" ref="CS859:DA859" si="1713">CR859</f>
        <v>293</v>
      </c>
      <c r="CT859" s="661">
        <f t="shared" si="1713"/>
        <v>293</v>
      </c>
      <c r="CU859" s="973">
        <f t="shared" si="1709"/>
        <v>293</v>
      </c>
      <c r="CV859" s="847">
        <f t="shared" si="1709"/>
        <v>293</v>
      </c>
      <c r="CW859" s="847">
        <f t="shared" si="1709"/>
        <v>293</v>
      </c>
      <c r="CX859" s="1431">
        <f t="shared" si="1709"/>
        <v>293</v>
      </c>
      <c r="CY859" s="3012">
        <f t="shared" si="1713"/>
        <v>293</v>
      </c>
      <c r="CZ859" s="661">
        <f t="shared" si="1713"/>
        <v>293</v>
      </c>
      <c r="DA859" s="661">
        <f t="shared" si="1713"/>
        <v>293</v>
      </c>
      <c r="DB859" s="537"/>
      <c r="DC859" s="537"/>
      <c r="DD859" s="1614"/>
      <c r="DE859" s="246"/>
      <c r="DF859" s="246"/>
      <c r="DG859" s="246"/>
      <c r="DH859" s="246"/>
      <c r="DI859" s="246"/>
      <c r="DJ859" s="246"/>
      <c r="DK859" s="246"/>
      <c r="DL859" s="246"/>
      <c r="DM859" s="246"/>
      <c r="DN859" s="246"/>
      <c r="DO859" s="246"/>
      <c r="DP859" s="246"/>
      <c r="DQ859" s="246"/>
      <c r="DR859" s="246"/>
      <c r="DS859" s="246"/>
      <c r="DT859" s="246"/>
      <c r="DU859" s="246"/>
      <c r="DV859" s="246"/>
      <c r="DW859" s="246"/>
      <c r="DX859" s="246"/>
      <c r="DY859" s="246"/>
      <c r="DZ859" s="855"/>
      <c r="EK859"/>
      <c r="EL859"/>
      <c r="EM859" s="1703"/>
    </row>
    <row r="860" spans="1:148" s="1703" customFormat="1" ht="12.75" customHeight="1" x14ac:dyDescent="0.2">
      <c r="A860" s="2209" t="s">
        <v>76</v>
      </c>
      <c r="B860" s="1730"/>
      <c r="C860" s="1730"/>
      <c r="D860" s="1730"/>
      <c r="E860" s="1730"/>
      <c r="F860" s="1730"/>
      <c r="G860" s="1730"/>
      <c r="H860" s="1730"/>
      <c r="I860" s="1730">
        <f t="shared" ref="I860:AN860" si="1714">SUM(I837:I847)</f>
        <v>1000</v>
      </c>
      <c r="J860" s="1730">
        <f t="shared" si="1714"/>
        <v>1000</v>
      </c>
      <c r="K860" s="1730">
        <f t="shared" si="1714"/>
        <v>1000</v>
      </c>
      <c r="L860" s="1730">
        <f t="shared" si="1714"/>
        <v>1000</v>
      </c>
      <c r="M860" s="1729">
        <f t="shared" si="1714"/>
        <v>1000</v>
      </c>
      <c r="N860" s="1730">
        <f t="shared" si="1714"/>
        <v>1300</v>
      </c>
      <c r="O860" s="1730">
        <f t="shared" si="1714"/>
        <v>1300</v>
      </c>
      <c r="P860" s="1730">
        <f t="shared" si="1714"/>
        <v>1300</v>
      </c>
      <c r="Q860" s="1730">
        <f t="shared" si="1714"/>
        <v>1300</v>
      </c>
      <c r="R860" s="1729">
        <f t="shared" si="1714"/>
        <v>1300</v>
      </c>
      <c r="S860" s="1730">
        <f t="shared" si="1714"/>
        <v>1300</v>
      </c>
      <c r="T860" s="1730">
        <f t="shared" si="1714"/>
        <v>1300</v>
      </c>
      <c r="U860" s="1730">
        <f t="shared" si="1714"/>
        <v>1300</v>
      </c>
      <c r="V860" s="1730">
        <f t="shared" si="1714"/>
        <v>1300</v>
      </c>
      <c r="W860" s="1729">
        <f t="shared" si="1714"/>
        <v>1300</v>
      </c>
      <c r="X860" s="1730">
        <f t="shared" si="1714"/>
        <v>1300</v>
      </c>
      <c r="Y860" s="1730">
        <f t="shared" si="1714"/>
        <v>1300</v>
      </c>
      <c r="Z860" s="1730">
        <f t="shared" si="1714"/>
        <v>1300</v>
      </c>
      <c r="AA860" s="1730">
        <f t="shared" si="1714"/>
        <v>1113</v>
      </c>
      <c r="AB860" s="1729">
        <f t="shared" si="1714"/>
        <v>1113</v>
      </c>
      <c r="AC860" s="1730">
        <f t="shared" si="1714"/>
        <v>1113</v>
      </c>
      <c r="AD860" s="1730">
        <f t="shared" si="1714"/>
        <v>1067</v>
      </c>
      <c r="AE860" s="1730">
        <f t="shared" si="1714"/>
        <v>1067</v>
      </c>
      <c r="AF860" s="1730">
        <f t="shared" si="1714"/>
        <v>1067</v>
      </c>
      <c r="AG860" s="1729">
        <f t="shared" si="1714"/>
        <v>1067</v>
      </c>
      <c r="AH860" s="1730">
        <f t="shared" si="1714"/>
        <v>1067</v>
      </c>
      <c r="AI860" s="1730">
        <f t="shared" si="1714"/>
        <v>1140</v>
      </c>
      <c r="AJ860" s="1730">
        <f t="shared" si="1714"/>
        <v>1140</v>
      </c>
      <c r="AK860" s="1730">
        <f t="shared" si="1714"/>
        <v>911</v>
      </c>
      <c r="AL860" s="1729">
        <f t="shared" si="1714"/>
        <v>911</v>
      </c>
      <c r="AM860" s="1730">
        <f t="shared" si="1714"/>
        <v>911</v>
      </c>
      <c r="AN860" s="1730">
        <f t="shared" si="1714"/>
        <v>1261</v>
      </c>
      <c r="AO860" s="1730">
        <f t="shared" ref="AO860:BT860" si="1715">SUM(AO837:AO847)</f>
        <v>1262</v>
      </c>
      <c r="AP860" s="1730">
        <f t="shared" si="1715"/>
        <v>1264</v>
      </c>
      <c r="AQ860" s="1729">
        <f t="shared" si="1715"/>
        <v>1264</v>
      </c>
      <c r="AR860" s="1730">
        <f t="shared" si="1715"/>
        <v>1264</v>
      </c>
      <c r="AS860" s="1730">
        <f t="shared" si="1715"/>
        <v>1265</v>
      </c>
      <c r="AT860" s="1730">
        <f t="shared" si="1715"/>
        <v>1612</v>
      </c>
      <c r="AU860" s="1730">
        <f t="shared" si="1715"/>
        <v>2010</v>
      </c>
      <c r="AV860" s="1729">
        <f t="shared" si="1715"/>
        <v>2010</v>
      </c>
      <c r="AW860" s="1730">
        <f t="shared" si="1715"/>
        <v>1919</v>
      </c>
      <c r="AX860" s="1730">
        <f t="shared" si="1715"/>
        <v>1920</v>
      </c>
      <c r="AY860" s="1730">
        <f t="shared" si="1715"/>
        <v>1921</v>
      </c>
      <c r="AZ860" s="1730">
        <f t="shared" si="1715"/>
        <v>1818</v>
      </c>
      <c r="BA860" s="1729">
        <f t="shared" si="1715"/>
        <v>1818</v>
      </c>
      <c r="BB860" s="1730">
        <f t="shared" si="1715"/>
        <v>1700</v>
      </c>
      <c r="BC860" s="1730">
        <f t="shared" si="1715"/>
        <v>1702</v>
      </c>
      <c r="BD860" s="1730">
        <f t="shared" si="1715"/>
        <v>1702</v>
      </c>
      <c r="BE860" s="1730">
        <f t="shared" si="1715"/>
        <v>1627</v>
      </c>
      <c r="BF860" s="1729">
        <f t="shared" si="1715"/>
        <v>1627</v>
      </c>
      <c r="BG860" s="1730">
        <f t="shared" si="1715"/>
        <v>1628</v>
      </c>
      <c r="BH860" s="1730">
        <f t="shared" si="1715"/>
        <v>1628</v>
      </c>
      <c r="BI860" s="1730">
        <f t="shared" si="1715"/>
        <v>1630</v>
      </c>
      <c r="BJ860" s="1730">
        <f t="shared" si="1715"/>
        <v>1631</v>
      </c>
      <c r="BK860" s="1729">
        <f t="shared" si="1715"/>
        <v>1631</v>
      </c>
      <c r="BL860" s="1730">
        <f t="shared" si="1715"/>
        <v>1632</v>
      </c>
      <c r="BM860" s="1730">
        <f t="shared" si="1715"/>
        <v>1632</v>
      </c>
      <c r="BN860" s="1730">
        <f t="shared" si="1715"/>
        <v>1633</v>
      </c>
      <c r="BO860" s="1730">
        <f t="shared" si="1715"/>
        <v>1634</v>
      </c>
      <c r="BP860" s="1729">
        <f t="shared" si="1715"/>
        <v>1634</v>
      </c>
      <c r="BQ860" s="1730">
        <f t="shared" si="1715"/>
        <v>2228</v>
      </c>
      <c r="BR860" s="1730">
        <f t="shared" si="1715"/>
        <v>1882</v>
      </c>
      <c r="BS860" s="1730">
        <f t="shared" si="1715"/>
        <v>1883</v>
      </c>
      <c r="BT860" s="1730">
        <f t="shared" si="1715"/>
        <v>2233</v>
      </c>
      <c r="BU860" s="1729">
        <f t="shared" ref="BU860:CE860" si="1716">SUM(BU837:BU849)</f>
        <v>2233</v>
      </c>
      <c r="BV860" s="1730">
        <f t="shared" si="1716"/>
        <v>1835</v>
      </c>
      <c r="BW860" s="1730">
        <f t="shared" si="1716"/>
        <v>1835</v>
      </c>
      <c r="BX860" s="1730">
        <f t="shared" si="1716"/>
        <v>2184</v>
      </c>
      <c r="BY860" s="1730">
        <f t="shared" si="1716"/>
        <v>2185</v>
      </c>
      <c r="BZ860" s="1729">
        <f t="shared" si="1716"/>
        <v>2185</v>
      </c>
      <c r="CA860" s="1730">
        <f t="shared" si="1716"/>
        <v>2186</v>
      </c>
      <c r="CB860" s="1730">
        <f t="shared" si="1716"/>
        <v>2187</v>
      </c>
      <c r="CC860" s="1730">
        <f t="shared" si="1716"/>
        <v>2188</v>
      </c>
      <c r="CD860" s="1826">
        <f t="shared" si="1716"/>
        <v>2586</v>
      </c>
      <c r="CE860" s="1729">
        <f t="shared" si="1716"/>
        <v>2586</v>
      </c>
      <c r="CF860" s="1730">
        <f t="shared" ref="CF860:CK860" si="1717">SUM(CF837:CF851)</f>
        <v>2588</v>
      </c>
      <c r="CG860" s="1730">
        <f t="shared" si="1717"/>
        <v>2589</v>
      </c>
      <c r="CH860" s="842">
        <f t="shared" si="1717"/>
        <v>3385</v>
      </c>
      <c r="CI860" s="1730">
        <f t="shared" si="1717"/>
        <v>3056</v>
      </c>
      <c r="CJ860" s="1729">
        <f t="shared" si="1717"/>
        <v>3056</v>
      </c>
      <c r="CK860" s="1730">
        <f t="shared" si="1717"/>
        <v>3057</v>
      </c>
      <c r="CL860" s="842">
        <f>SUM(CL837:CL853)</f>
        <v>4252</v>
      </c>
      <c r="CM860" s="3099">
        <f t="shared" ref="CM860:DA860" si="1718">SUM(CM837:CM859)</f>
        <v>5944</v>
      </c>
      <c r="CN860" s="842">
        <f t="shared" si="1718"/>
        <v>5731</v>
      </c>
      <c r="CO860" s="971">
        <f t="shared" si="1718"/>
        <v>5731</v>
      </c>
      <c r="CP860" s="1234">
        <f t="shared" si="1718"/>
        <v>5726</v>
      </c>
      <c r="CQ860" s="842">
        <f t="shared" si="1718"/>
        <v>5426</v>
      </c>
      <c r="CR860" s="842">
        <f t="shared" si="1718"/>
        <v>5422</v>
      </c>
      <c r="CS860" s="1802">
        <f t="shared" si="1718"/>
        <v>5422</v>
      </c>
      <c r="CT860" s="971">
        <f t="shared" si="1718"/>
        <v>5422</v>
      </c>
      <c r="CU860" s="1433">
        <f t="shared" si="1718"/>
        <v>5422</v>
      </c>
      <c r="CV860" s="852">
        <f t="shared" si="1718"/>
        <v>5422</v>
      </c>
      <c r="CW860" s="852">
        <f t="shared" si="1718"/>
        <v>5422</v>
      </c>
      <c r="CX860" s="1646">
        <f t="shared" si="1718"/>
        <v>5422</v>
      </c>
      <c r="CY860" s="1802">
        <f t="shared" si="1718"/>
        <v>5422</v>
      </c>
      <c r="CZ860" s="971">
        <f t="shared" si="1718"/>
        <v>5422</v>
      </c>
      <c r="DA860" s="971">
        <f t="shared" si="1718"/>
        <v>5422</v>
      </c>
      <c r="DB860"/>
      <c r="DC860"/>
      <c r="DD860" s="2209" t="s">
        <v>76</v>
      </c>
      <c r="DE860" s="1729">
        <f t="shared" si="1664"/>
        <v>1000</v>
      </c>
      <c r="DF860" s="1729">
        <f t="shared" si="1665"/>
        <v>1300</v>
      </c>
      <c r="DG860" s="1729">
        <f t="shared" si="1666"/>
        <v>1300</v>
      </c>
      <c r="DH860" s="1729">
        <f t="shared" si="1667"/>
        <v>1113</v>
      </c>
      <c r="DI860" s="1729">
        <f t="shared" si="1668"/>
        <v>1067</v>
      </c>
      <c r="DJ860" s="1729">
        <f t="shared" si="1669"/>
        <v>911</v>
      </c>
      <c r="DK860" s="1729">
        <f t="shared" si="1670"/>
        <v>1264</v>
      </c>
      <c r="DL860" s="1729">
        <f t="shared" si="1671"/>
        <v>2010</v>
      </c>
      <c r="DM860" s="1729">
        <f t="shared" si="1672"/>
        <v>1818</v>
      </c>
      <c r="DN860" s="1729">
        <f t="shared" si="1673"/>
        <v>1627</v>
      </c>
      <c r="DO860" s="1729">
        <f t="shared" si="1674"/>
        <v>1631</v>
      </c>
      <c r="DP860" s="1729">
        <f t="shared" si="1675"/>
        <v>1634</v>
      </c>
      <c r="DQ860" s="1729">
        <f t="shared" si="1676"/>
        <v>2233</v>
      </c>
      <c r="DR860" s="1729">
        <f t="shared" si="1677"/>
        <v>2185</v>
      </c>
      <c r="DS860" s="1729">
        <f t="shared" si="1678"/>
        <v>2586</v>
      </c>
      <c r="DT860" s="1729">
        <f t="shared" si="1679"/>
        <v>3056</v>
      </c>
      <c r="DU860" s="1729">
        <f t="shared" si="1680"/>
        <v>5731</v>
      </c>
      <c r="DV860" s="1729">
        <f t="shared" si="1681"/>
        <v>5422</v>
      </c>
      <c r="DW860" s="1729">
        <f t="shared" si="1682"/>
        <v>5422</v>
      </c>
      <c r="DX860" s="1729">
        <f t="shared" si="1683"/>
        <v>5422</v>
      </c>
      <c r="DY860" s="1729">
        <f t="shared" si="1684"/>
        <v>5422</v>
      </c>
      <c r="EA860"/>
      <c r="EB860"/>
      <c r="EC860"/>
      <c r="ED860"/>
      <c r="EE860"/>
      <c r="EF860"/>
      <c r="EJ860"/>
      <c r="EK860"/>
      <c r="EL860"/>
      <c r="ER860" s="212"/>
    </row>
    <row r="861" spans="1:148" s="923" customFormat="1" ht="12.75" customHeight="1" x14ac:dyDescent="0.2">
      <c r="A861" s="865"/>
      <c r="B861" s="215"/>
      <c r="C861" s="215"/>
      <c r="D861" s="215"/>
      <c r="E861" s="215"/>
      <c r="F861" s="215"/>
      <c r="G861" s="215"/>
      <c r="H861" s="215"/>
      <c r="I861" s="215"/>
      <c r="J861" s="215"/>
      <c r="K861" s="215"/>
      <c r="L861" s="215"/>
      <c r="M861" s="968"/>
      <c r="N861" s="215"/>
      <c r="O861" s="215"/>
      <c r="P861" s="215"/>
      <c r="Q861" s="215"/>
      <c r="R861" s="968"/>
      <c r="S861" s="215"/>
      <c r="T861" s="215"/>
      <c r="U861" s="215"/>
      <c r="V861" s="215"/>
      <c r="W861" s="968"/>
      <c r="X861" s="215"/>
      <c r="Y861" s="215"/>
      <c r="Z861" s="215"/>
      <c r="AA861" s="215"/>
      <c r="AB861" s="968"/>
      <c r="AC861" s="215"/>
      <c r="AD861" s="215"/>
      <c r="AE861" s="215"/>
      <c r="AF861" s="215"/>
      <c r="AG861" s="968"/>
      <c r="AH861" s="215"/>
      <c r="AI861" s="215"/>
      <c r="AJ861" s="215"/>
      <c r="AK861" s="215"/>
      <c r="AL861" s="968"/>
      <c r="AM861" s="215"/>
      <c r="AN861" s="215"/>
      <c r="AO861" s="215"/>
      <c r="AP861" s="215"/>
      <c r="AQ861" s="968"/>
      <c r="AR861" s="215"/>
      <c r="AS861" s="215"/>
      <c r="AT861" s="215"/>
      <c r="AU861" s="215"/>
      <c r="AV861" s="968"/>
      <c r="AW861" s="215"/>
      <c r="AX861" s="215"/>
      <c r="AY861" s="215"/>
      <c r="AZ861" s="215"/>
      <c r="BA861" s="968"/>
      <c r="BB861" s="215"/>
      <c r="BC861" s="215"/>
      <c r="BD861" s="215"/>
      <c r="BE861" s="215"/>
      <c r="BF861" s="968"/>
      <c r="BG861" s="215"/>
      <c r="BH861" s="215"/>
      <c r="BI861" s="215"/>
      <c r="BJ861" s="215"/>
      <c r="BK861" s="968"/>
      <c r="BL861" s="215"/>
      <c r="BM861" s="215"/>
      <c r="BN861" s="215"/>
      <c r="BO861" s="215"/>
      <c r="BP861" s="968"/>
      <c r="BQ861" s="215"/>
      <c r="BR861" s="215"/>
      <c r="BS861" s="215"/>
      <c r="BT861" s="215"/>
      <c r="BU861" s="968"/>
      <c r="BV861" s="215"/>
      <c r="BW861" s="215"/>
      <c r="BX861" s="215"/>
      <c r="BY861" s="215"/>
      <c r="BZ861" s="968"/>
      <c r="CA861" s="215"/>
      <c r="CB861" s="215"/>
      <c r="CC861" s="215"/>
      <c r="CD861" s="1788"/>
      <c r="CE861" s="968"/>
      <c r="CF861" s="188"/>
      <c r="CG861" s="215"/>
      <c r="CH861" s="215"/>
      <c r="CI861" s="1788"/>
      <c r="CJ861" s="968"/>
      <c r="CK861" s="215"/>
      <c r="CL861" s="215"/>
      <c r="CM861" s="215"/>
      <c r="CN861" s="1788"/>
      <c r="CO861" s="968"/>
      <c r="CP861" s="215"/>
      <c r="CQ861" s="215"/>
      <c r="CR861" s="3809"/>
      <c r="CS861" s="215"/>
      <c r="CT861" s="968"/>
      <c r="CU861" s="188"/>
      <c r="CV861" s="215"/>
      <c r="CW861" s="215"/>
      <c r="CX861" s="1788"/>
      <c r="CY861" s="3098"/>
      <c r="CZ861" s="968"/>
      <c r="DA861" s="968"/>
      <c r="DB861"/>
      <c r="DC861"/>
      <c r="DD861" s="2323"/>
      <c r="DE861" s="2290"/>
      <c r="DF861" s="2290"/>
      <c r="DG861" s="2290"/>
      <c r="DH861" s="2290"/>
      <c r="DI861" s="2290"/>
      <c r="DJ861" s="2290"/>
      <c r="DK861" s="2290"/>
      <c r="DL861" s="2290"/>
      <c r="DM861" s="2290"/>
      <c r="DN861" s="2290"/>
      <c r="DO861" s="2290"/>
      <c r="DP861" s="2290"/>
      <c r="DQ861" s="2290"/>
      <c r="DR861" s="2290"/>
      <c r="DS861" s="2290"/>
      <c r="DT861" s="2290"/>
      <c r="DU861" s="2290"/>
      <c r="DV861" s="2290"/>
      <c r="DW861" s="2290"/>
      <c r="DX861" s="2290"/>
      <c r="DY861" s="2290"/>
      <c r="EA861"/>
      <c r="EB861"/>
      <c r="EC861"/>
      <c r="ED861"/>
      <c r="EE861"/>
      <c r="EF861"/>
      <c r="EJ861"/>
      <c r="EK861"/>
      <c r="EL861"/>
      <c r="ER861" s="212"/>
    </row>
    <row r="862" spans="1:148" s="923" customFormat="1" ht="12.75" customHeight="1" x14ac:dyDescent="0.2">
      <c r="A862" s="867" t="s">
        <v>826</v>
      </c>
      <c r="B862" s="215"/>
      <c r="C862" s="215"/>
      <c r="D862" s="215"/>
      <c r="E862" s="215"/>
      <c r="F862" s="215"/>
      <c r="G862" s="215"/>
      <c r="H862" s="215"/>
      <c r="I862" s="215"/>
      <c r="J862" s="215"/>
      <c r="K862" s="215"/>
      <c r="L862" s="215"/>
      <c r="M862" s="968"/>
      <c r="N862" s="215"/>
      <c r="O862" s="215"/>
      <c r="P862" s="215"/>
      <c r="Q862" s="215"/>
      <c r="R862" s="968"/>
      <c r="S862" s="215"/>
      <c r="T862" s="215"/>
      <c r="U862" s="215"/>
      <c r="V862" s="215"/>
      <c r="W862" s="968"/>
      <c r="X862" s="215"/>
      <c r="Y862" s="215"/>
      <c r="Z862" s="215"/>
      <c r="AA862" s="215"/>
      <c r="AB862" s="968"/>
      <c r="AC862" s="215"/>
      <c r="AD862" s="215"/>
      <c r="AE862" s="215"/>
      <c r="AF862" s="215"/>
      <c r="AG862" s="968"/>
      <c r="AH862" s="215"/>
      <c r="AI862" s="215"/>
      <c r="AJ862" s="215"/>
      <c r="AK862" s="215"/>
      <c r="AL862" s="968"/>
      <c r="AM862" s="215"/>
      <c r="AN862" s="215"/>
      <c r="AO862" s="215"/>
      <c r="AP862" s="215"/>
      <c r="AQ862" s="968"/>
      <c r="AR862" s="215"/>
      <c r="AS862" s="215"/>
      <c r="AT862" s="215"/>
      <c r="AU862" s="215"/>
      <c r="AV862" s="968"/>
      <c r="AW862" s="215"/>
      <c r="AX862" s="215"/>
      <c r="AY862" s="215"/>
      <c r="AZ862" s="215"/>
      <c r="BA862" s="968"/>
      <c r="BB862" s="215"/>
      <c r="BC862" s="215"/>
      <c r="BD862" s="215"/>
      <c r="BE862" s="215"/>
      <c r="BF862" s="968"/>
      <c r="BG862" s="215"/>
      <c r="BH862" s="215"/>
      <c r="BI862" s="215"/>
      <c r="BJ862" s="215"/>
      <c r="BK862" s="968"/>
      <c r="BL862" s="215"/>
      <c r="BM862" s="215"/>
      <c r="BN862" s="215"/>
      <c r="BO862" s="215"/>
      <c r="BP862" s="968"/>
      <c r="BQ862" s="215"/>
      <c r="BR862" s="215"/>
      <c r="BS862" s="215"/>
      <c r="BT862" s="215"/>
      <c r="BU862" s="968"/>
      <c r="BV862" s="215"/>
      <c r="BW862" s="215"/>
      <c r="BX862" s="215"/>
      <c r="BY862" s="215"/>
      <c r="BZ862" s="968"/>
      <c r="CA862" s="215"/>
      <c r="CB862" s="215"/>
      <c r="CC862" s="215"/>
      <c r="CD862" s="1788"/>
      <c r="CE862" s="968"/>
      <c r="CF862" s="188"/>
      <c r="CG862" s="215"/>
      <c r="CH862" s="215"/>
      <c r="CI862" s="1788"/>
      <c r="CJ862" s="968"/>
      <c r="CK862" s="215"/>
      <c r="CL862" s="215"/>
      <c r="CM862" s="215"/>
      <c r="CN862" s="1788"/>
      <c r="CO862" s="968"/>
      <c r="CP862" s="215"/>
      <c r="CQ862" s="215"/>
      <c r="CR862" s="3809"/>
      <c r="CS862" s="215"/>
      <c r="CT862" s="968"/>
      <c r="CU862" s="188"/>
      <c r="CV862" s="215"/>
      <c r="CW862" s="215"/>
      <c r="CX862" s="1788"/>
      <c r="CY862" s="3098"/>
      <c r="CZ862" s="968"/>
      <c r="DA862" s="968"/>
      <c r="DB862"/>
      <c r="DC862"/>
      <c r="DD862" s="867" t="s">
        <v>826</v>
      </c>
      <c r="DE862" s="2290"/>
      <c r="DF862" s="2290"/>
      <c r="DG862" s="2290"/>
      <c r="DH862" s="2290"/>
      <c r="DI862" s="2290"/>
      <c r="DJ862" s="2290"/>
      <c r="DK862" s="2290"/>
      <c r="DL862" s="2290"/>
      <c r="DM862" s="2290"/>
      <c r="DN862" s="2290"/>
      <c r="DO862" s="2290"/>
      <c r="DP862" s="2290"/>
      <c r="DQ862" s="2290"/>
      <c r="DR862" s="2290"/>
      <c r="DS862" s="2290"/>
      <c r="DT862" s="2290"/>
      <c r="DU862" s="2290"/>
      <c r="DV862" s="2290"/>
      <c r="DW862" s="2290"/>
      <c r="DX862" s="2290"/>
      <c r="DY862" s="2290"/>
      <c r="EA862"/>
      <c r="EB862"/>
      <c r="EC862"/>
      <c r="ED862"/>
      <c r="EE862"/>
      <c r="EF862"/>
      <c r="EJ862"/>
      <c r="EK862"/>
      <c r="EL862"/>
      <c r="ER862" s="212"/>
    </row>
    <row r="863" spans="1:148" s="923" customFormat="1" ht="12.75" customHeight="1" x14ac:dyDescent="0.2">
      <c r="A863" s="896" t="s">
        <v>919</v>
      </c>
      <c r="B863" s="223"/>
      <c r="C863" s="223"/>
      <c r="D863" s="223"/>
      <c r="E863" s="223"/>
      <c r="F863" s="223"/>
      <c r="G863" s="223"/>
      <c r="H863" s="223"/>
      <c r="I863" s="223"/>
      <c r="J863" s="223"/>
      <c r="K863" s="223"/>
      <c r="L863" s="223"/>
      <c r="M863" s="968"/>
      <c r="N863" s="223"/>
      <c r="O863" s="223"/>
      <c r="P863" s="223"/>
      <c r="Q863" s="223"/>
      <c r="R863" s="968"/>
      <c r="S863" s="223"/>
      <c r="T863" s="223"/>
      <c r="U863" s="223"/>
      <c r="V863" s="223"/>
      <c r="W863" s="968"/>
      <c r="X863" s="223">
        <v>0</v>
      </c>
      <c r="Y863" s="223">
        <v>0</v>
      </c>
      <c r="Z863" s="223">
        <v>0</v>
      </c>
      <c r="AA863" s="223">
        <v>0</v>
      </c>
      <c r="AB863" s="968">
        <f>AA863</f>
        <v>0</v>
      </c>
      <c r="AC863" s="223">
        <v>0</v>
      </c>
      <c r="AD863" s="223">
        <v>0</v>
      </c>
      <c r="AE863" s="223">
        <v>0</v>
      </c>
      <c r="AF863" s="223">
        <v>0</v>
      </c>
      <c r="AG863" s="968">
        <f>AF863</f>
        <v>0</v>
      </c>
      <c r="AH863" s="223">
        <v>0</v>
      </c>
      <c r="AI863" s="223">
        <v>0</v>
      </c>
      <c r="AJ863" s="223">
        <v>172</v>
      </c>
      <c r="AK863" s="223">
        <v>171</v>
      </c>
      <c r="AL863" s="968">
        <f>AK863</f>
        <v>171</v>
      </c>
      <c r="AM863" s="223">
        <v>170</v>
      </c>
      <c r="AN863" s="223">
        <v>169</v>
      </c>
      <c r="AO863" s="223">
        <v>168</v>
      </c>
      <c r="AP863" s="223">
        <v>167</v>
      </c>
      <c r="AQ863" s="968">
        <f>AP863</f>
        <v>167</v>
      </c>
      <c r="AR863" s="223">
        <v>166</v>
      </c>
      <c r="AS863" s="223">
        <v>276</v>
      </c>
      <c r="AT863" s="223">
        <v>268</v>
      </c>
      <c r="AU863" s="223">
        <v>196</v>
      </c>
      <c r="AV863" s="968">
        <f>AU863</f>
        <v>196</v>
      </c>
      <c r="AW863" s="223">
        <v>175</v>
      </c>
      <c r="AX863" s="223">
        <v>161</v>
      </c>
      <c r="AY863" s="223">
        <v>161</v>
      </c>
      <c r="AZ863" s="223">
        <v>161</v>
      </c>
      <c r="BA863" s="968">
        <f>AZ863</f>
        <v>161</v>
      </c>
      <c r="BB863" s="223">
        <v>0</v>
      </c>
      <c r="BC863" s="223">
        <f t="shared" ref="BC863:BP863" si="1719">BB863</f>
        <v>0</v>
      </c>
      <c r="BD863" s="223">
        <f t="shared" si="1719"/>
        <v>0</v>
      </c>
      <c r="BE863" s="223">
        <f t="shared" si="1719"/>
        <v>0</v>
      </c>
      <c r="BF863" s="968">
        <f t="shared" si="1719"/>
        <v>0</v>
      </c>
      <c r="BG863" s="223">
        <f t="shared" si="1719"/>
        <v>0</v>
      </c>
      <c r="BH863" s="223">
        <f t="shared" si="1719"/>
        <v>0</v>
      </c>
      <c r="BI863" s="223">
        <f t="shared" si="1719"/>
        <v>0</v>
      </c>
      <c r="BJ863" s="223">
        <f t="shared" si="1719"/>
        <v>0</v>
      </c>
      <c r="BK863" s="968">
        <f t="shared" si="1719"/>
        <v>0</v>
      </c>
      <c r="BL863" s="223">
        <f t="shared" si="1719"/>
        <v>0</v>
      </c>
      <c r="BM863" s="223">
        <f t="shared" si="1719"/>
        <v>0</v>
      </c>
      <c r="BN863" s="223">
        <f t="shared" si="1719"/>
        <v>0</v>
      </c>
      <c r="BO863" s="223">
        <f t="shared" si="1719"/>
        <v>0</v>
      </c>
      <c r="BP863" s="968">
        <f t="shared" si="1719"/>
        <v>0</v>
      </c>
      <c r="BQ863" s="223">
        <f t="shared" ref="BQ863:BV863" si="1720">BP863</f>
        <v>0</v>
      </c>
      <c r="BR863" s="223">
        <f t="shared" si="1720"/>
        <v>0</v>
      </c>
      <c r="BS863" s="223">
        <f t="shared" si="1720"/>
        <v>0</v>
      </c>
      <c r="BT863" s="223">
        <f t="shared" si="1720"/>
        <v>0</v>
      </c>
      <c r="BU863" s="968">
        <f t="shared" si="1720"/>
        <v>0</v>
      </c>
      <c r="BV863" s="223">
        <f t="shared" si="1720"/>
        <v>0</v>
      </c>
      <c r="BW863" s="223">
        <v>0</v>
      </c>
      <c r="BX863" s="223">
        <v>0</v>
      </c>
      <c r="BY863" s="215">
        <v>0</v>
      </c>
      <c r="BZ863" s="968">
        <f t="shared" ref="BZ863:CE863" si="1721">BY863</f>
        <v>0</v>
      </c>
      <c r="CA863" s="215">
        <v>0</v>
      </c>
      <c r="CB863" s="215">
        <v>0</v>
      </c>
      <c r="CC863" s="215">
        <f t="shared" si="1721"/>
        <v>0</v>
      </c>
      <c r="CD863" s="1788">
        <f t="shared" si="1721"/>
        <v>0</v>
      </c>
      <c r="CE863" s="968">
        <f t="shared" si="1721"/>
        <v>0</v>
      </c>
      <c r="CF863" s="188">
        <v>0</v>
      </c>
      <c r="CG863" s="215">
        <v>0</v>
      </c>
      <c r="CH863" s="215">
        <f t="shared" ref="CH863:CK864" si="1722">CG863</f>
        <v>0</v>
      </c>
      <c r="CI863" s="1788">
        <f t="shared" si="1722"/>
        <v>0</v>
      </c>
      <c r="CJ863" s="968">
        <f t="shared" si="1722"/>
        <v>0</v>
      </c>
      <c r="CK863" s="215">
        <f t="shared" si="1722"/>
        <v>0</v>
      </c>
      <c r="CL863" s="215">
        <f t="shared" ref="CL863:CS863" si="1723">CK863</f>
        <v>0</v>
      </c>
      <c r="CM863" s="2349">
        <v>0</v>
      </c>
      <c r="CN863" s="1788">
        <f t="shared" si="1723"/>
        <v>0</v>
      </c>
      <c r="CO863" s="968">
        <f t="shared" si="1723"/>
        <v>0</v>
      </c>
      <c r="CP863" s="188">
        <f t="shared" si="1723"/>
        <v>0</v>
      </c>
      <c r="CQ863" s="215">
        <f t="shared" si="1723"/>
        <v>0</v>
      </c>
      <c r="CR863" s="3809">
        <f t="shared" si="1723"/>
        <v>0</v>
      </c>
      <c r="CS863" s="215">
        <f t="shared" si="1723"/>
        <v>0</v>
      </c>
      <c r="CT863" s="968">
        <f>CO863</f>
        <v>0</v>
      </c>
      <c r="CU863" s="215">
        <f>CT863</f>
        <v>0</v>
      </c>
      <c r="CV863" s="215">
        <f>CU863</f>
        <v>0</v>
      </c>
      <c r="CW863" s="215">
        <f>CV863</f>
        <v>0</v>
      </c>
      <c r="CX863" s="1788">
        <f>CW863</f>
        <v>0</v>
      </c>
      <c r="CY863" s="3098">
        <f>CT863</f>
        <v>0</v>
      </c>
      <c r="CZ863" s="968">
        <f>CY863</f>
        <v>0</v>
      </c>
      <c r="DA863" s="968">
        <f>CZ863</f>
        <v>0</v>
      </c>
      <c r="DB863"/>
      <c r="DC863"/>
      <c r="DD863" s="2379" t="s">
        <v>919</v>
      </c>
      <c r="DE863" s="2290">
        <f t="shared" ref="DE863:DE874" si="1724">M863</f>
        <v>0</v>
      </c>
      <c r="DF863" s="2290">
        <f t="shared" ref="DF863:DF874" si="1725">R863</f>
        <v>0</v>
      </c>
      <c r="DG863" s="2290">
        <f t="shared" ref="DG863:DG874" si="1726">W863</f>
        <v>0</v>
      </c>
      <c r="DH863" s="2290">
        <f t="shared" ref="DH863:DH874" si="1727">AB863</f>
        <v>0</v>
      </c>
      <c r="DI863" s="2290">
        <f t="shared" ref="DI863:DI874" si="1728">AG863</f>
        <v>0</v>
      </c>
      <c r="DJ863" s="2290">
        <f t="shared" ref="DJ863:DJ874" si="1729">AL863</f>
        <v>171</v>
      </c>
      <c r="DK863" s="2290">
        <f t="shared" ref="DK863:DK874" si="1730">AQ863</f>
        <v>167</v>
      </c>
      <c r="DL863" s="2290">
        <f t="shared" ref="DL863:DL874" si="1731">AV863</f>
        <v>196</v>
      </c>
      <c r="DM863" s="2290">
        <f t="shared" ref="DM863:DM874" si="1732">BA863</f>
        <v>161</v>
      </c>
      <c r="DN863" s="2290">
        <f t="shared" ref="DN863:DN874" si="1733">BF863</f>
        <v>0</v>
      </c>
      <c r="DO863" s="2290">
        <f t="shared" ref="DO863:DO874" si="1734">BK863</f>
        <v>0</v>
      </c>
      <c r="DP863" s="2290">
        <f t="shared" ref="DP863:DP874" si="1735">BP863</f>
        <v>0</v>
      </c>
      <c r="DQ863" s="2290">
        <f t="shared" ref="DQ863:DQ874" si="1736">BU863</f>
        <v>0</v>
      </c>
      <c r="DR863" s="2290">
        <f t="shared" ref="DR863:DR874" si="1737">BZ863</f>
        <v>0</v>
      </c>
      <c r="DS863" s="2290">
        <f t="shared" ref="DS863:DS874" si="1738">CE863</f>
        <v>0</v>
      </c>
      <c r="DT863" s="2290">
        <f t="shared" ref="DT863:DT874" si="1739">CJ863</f>
        <v>0</v>
      </c>
      <c r="DU863" s="2290">
        <f t="shared" ref="DU863:DU874" si="1740">CO863</f>
        <v>0</v>
      </c>
      <c r="DV863" s="2290">
        <f t="shared" ref="DV863:DV874" si="1741">CT863</f>
        <v>0</v>
      </c>
      <c r="DW863" s="2290">
        <f t="shared" ref="DW863:DW874" si="1742">CY863</f>
        <v>0</v>
      </c>
      <c r="DX863" s="2290">
        <f t="shared" ref="DX863:DX874" si="1743">CZ863</f>
        <v>0</v>
      </c>
      <c r="DY863" s="2290">
        <f t="shared" ref="DY863:DY874" si="1744">DA863</f>
        <v>0</v>
      </c>
      <c r="EA863"/>
      <c r="EB863"/>
      <c r="EC863"/>
      <c r="ED863"/>
      <c r="EE863"/>
      <c r="EF863"/>
      <c r="EJ863"/>
      <c r="EK863"/>
      <c r="EL863"/>
      <c r="EM863" s="1703"/>
      <c r="ER863" s="212"/>
    </row>
    <row r="864" spans="1:148" s="923" customFormat="1" ht="12.75" customHeight="1" x14ac:dyDescent="0.2">
      <c r="A864" s="896" t="s">
        <v>1931</v>
      </c>
      <c r="B864" s="223"/>
      <c r="C864" s="223"/>
      <c r="D864" s="223"/>
      <c r="E864" s="223"/>
      <c r="F864" s="223"/>
      <c r="G864" s="223"/>
      <c r="H864" s="223"/>
      <c r="I864" s="223">
        <v>98</v>
      </c>
      <c r="J864" s="223">
        <v>98</v>
      </c>
      <c r="K864" s="223">
        <v>98</v>
      </c>
      <c r="L864" s="223">
        <v>98</v>
      </c>
      <c r="M864" s="968">
        <f>L864</f>
        <v>98</v>
      </c>
      <c r="N864" s="223">
        <v>108</v>
      </c>
      <c r="O864" s="223">
        <v>108</v>
      </c>
      <c r="P864" s="223">
        <v>108</v>
      </c>
      <c r="Q864" s="223">
        <v>108</v>
      </c>
      <c r="R864" s="968">
        <f>Q864</f>
        <v>108</v>
      </c>
      <c r="S864" s="223">
        <v>108</v>
      </c>
      <c r="T864" s="223">
        <v>108</v>
      </c>
      <c r="U864" s="223">
        <v>108</v>
      </c>
      <c r="V864" s="223">
        <v>311</v>
      </c>
      <c r="W864" s="968">
        <f>V864</f>
        <v>311</v>
      </c>
      <c r="X864" s="223">
        <v>311</v>
      </c>
      <c r="Y864" s="223">
        <v>241</v>
      </c>
      <c r="Z864" s="223">
        <v>149</v>
      </c>
      <c r="AA864" s="223">
        <v>280</v>
      </c>
      <c r="AB864" s="968">
        <f>AA864</f>
        <v>280</v>
      </c>
      <c r="AC864" s="223">
        <v>264</v>
      </c>
      <c r="AD864" s="223">
        <v>267</v>
      </c>
      <c r="AE864" s="223">
        <v>258</v>
      </c>
      <c r="AF864" s="223">
        <v>258</v>
      </c>
      <c r="AG864" s="968">
        <f>AF864</f>
        <v>258</v>
      </c>
      <c r="AH864" s="223">
        <v>257</v>
      </c>
      <c r="AI864" s="223">
        <v>292</v>
      </c>
      <c r="AJ864" s="223">
        <v>115</v>
      </c>
      <c r="AK864" s="223">
        <v>156</v>
      </c>
      <c r="AL864" s="968">
        <f>AK864</f>
        <v>156</v>
      </c>
      <c r="AM864" s="223">
        <v>91</v>
      </c>
      <c r="AN864" s="223">
        <v>90</v>
      </c>
      <c r="AO864" s="223">
        <v>89</v>
      </c>
      <c r="AP864" s="223">
        <v>87</v>
      </c>
      <c r="AQ864" s="968">
        <f>AP864</f>
        <v>87</v>
      </c>
      <c r="AR864" s="223">
        <v>86</v>
      </c>
      <c r="AS864" s="223">
        <v>85</v>
      </c>
      <c r="AT864" s="223">
        <v>167</v>
      </c>
      <c r="AU864" s="223">
        <v>174</v>
      </c>
      <c r="AV864" s="968">
        <f>AU864</f>
        <v>174</v>
      </c>
      <c r="AW864" s="223">
        <v>145</v>
      </c>
      <c r="AX864" s="223">
        <v>165</v>
      </c>
      <c r="AY864" s="223">
        <v>153</v>
      </c>
      <c r="AZ864" s="223">
        <f>308-AZ863</f>
        <v>147</v>
      </c>
      <c r="BA864" s="968">
        <f>AZ864</f>
        <v>147</v>
      </c>
      <c r="BB864" s="223">
        <v>277</v>
      </c>
      <c r="BC864" s="223">
        <v>251</v>
      </c>
      <c r="BD864" s="223">
        <v>248</v>
      </c>
      <c r="BE864" s="223">
        <v>246</v>
      </c>
      <c r="BF864" s="968">
        <f>BE864</f>
        <v>246</v>
      </c>
      <c r="BG864" s="223">
        <f>1043+202</f>
        <v>1245</v>
      </c>
      <c r="BH864" s="223">
        <f>987+200</f>
        <v>1187</v>
      </c>
      <c r="BI864" s="223">
        <f>184+912</f>
        <v>1096</v>
      </c>
      <c r="BJ864" s="223">
        <f>1016+182</f>
        <v>1198</v>
      </c>
      <c r="BK864" s="968">
        <f>BJ864</f>
        <v>1198</v>
      </c>
      <c r="BL864" s="223">
        <f>944+239</f>
        <v>1183</v>
      </c>
      <c r="BM864" s="223">
        <f>895+239</f>
        <v>1134</v>
      </c>
      <c r="BN864" s="223">
        <f>830+237</f>
        <v>1067</v>
      </c>
      <c r="BO864" s="223">
        <v>206</v>
      </c>
      <c r="BP864" s="968">
        <f>BO864</f>
        <v>206</v>
      </c>
      <c r="BQ864" s="223">
        <v>208</v>
      </c>
      <c r="BR864" s="223">
        <v>200</v>
      </c>
      <c r="BS864" s="223">
        <v>185</v>
      </c>
      <c r="BT864" s="223">
        <v>186</v>
      </c>
      <c r="BU864" s="968">
        <f>BT864</f>
        <v>186</v>
      </c>
      <c r="BV864" s="223">
        <v>182</v>
      </c>
      <c r="BW864" s="223">
        <v>181</v>
      </c>
      <c r="BX864" s="223">
        <v>182</v>
      </c>
      <c r="BY864" s="223">
        <v>180</v>
      </c>
      <c r="BZ864" s="968">
        <f>BY864</f>
        <v>180</v>
      </c>
      <c r="CA864" s="223">
        <v>132</v>
      </c>
      <c r="CB864" s="223">
        <v>131</v>
      </c>
      <c r="CC864" s="223">
        <v>129</v>
      </c>
      <c r="CD864" s="223">
        <v>123</v>
      </c>
      <c r="CE864" s="968">
        <f>CD864</f>
        <v>123</v>
      </c>
      <c r="CF864" s="2687">
        <v>120</v>
      </c>
      <c r="CG864" s="223">
        <v>117</v>
      </c>
      <c r="CH864" s="223">
        <v>116</v>
      </c>
      <c r="CI864" s="223">
        <v>113</v>
      </c>
      <c r="CJ864" s="968">
        <f t="shared" si="1722"/>
        <v>113</v>
      </c>
      <c r="CK864" s="2880">
        <v>111</v>
      </c>
      <c r="CL864" s="223">
        <v>108</v>
      </c>
      <c r="CM864" s="2983">
        <v>105</v>
      </c>
      <c r="CN864" s="2979">
        <v>291</v>
      </c>
      <c r="CO864" s="968">
        <f>CN864</f>
        <v>291</v>
      </c>
      <c r="CP864">
        <v>286</v>
      </c>
      <c r="CQ864">
        <v>283</v>
      </c>
      <c r="CR864" s="845">
        <v>284</v>
      </c>
      <c r="CS864" s="2349">
        <f>+CR864</f>
        <v>284</v>
      </c>
      <c r="CT864" s="968">
        <f>CS864</f>
        <v>284</v>
      </c>
      <c r="CU864" s="2349">
        <f>+CT864</f>
        <v>284</v>
      </c>
      <c r="CV864" s="2349">
        <f>+CU864</f>
        <v>284</v>
      </c>
      <c r="CW864" s="2349">
        <f>+CV864</f>
        <v>284</v>
      </c>
      <c r="CX864" s="3012">
        <f>+CW864</f>
        <v>284</v>
      </c>
      <c r="CY864" s="3098">
        <f>CX864</f>
        <v>284</v>
      </c>
      <c r="CZ864" s="968">
        <f>CY864</f>
        <v>284</v>
      </c>
      <c r="DA864" s="968">
        <f>CZ864</f>
        <v>284</v>
      </c>
      <c r="DB864"/>
      <c r="DC864"/>
      <c r="DD864" s="2379" t="s">
        <v>1931</v>
      </c>
      <c r="DE864" s="2290">
        <f t="shared" si="1724"/>
        <v>98</v>
      </c>
      <c r="DF864" s="2290">
        <f t="shared" si="1725"/>
        <v>108</v>
      </c>
      <c r="DG864" s="2290">
        <f t="shared" si="1726"/>
        <v>311</v>
      </c>
      <c r="DH864" s="2290">
        <f t="shared" si="1727"/>
        <v>280</v>
      </c>
      <c r="DI864" s="2290">
        <f t="shared" si="1728"/>
        <v>258</v>
      </c>
      <c r="DJ864" s="2290">
        <f t="shared" si="1729"/>
        <v>156</v>
      </c>
      <c r="DK864" s="2290">
        <f t="shared" si="1730"/>
        <v>87</v>
      </c>
      <c r="DL864" s="2290">
        <f t="shared" si="1731"/>
        <v>174</v>
      </c>
      <c r="DM864" s="2290">
        <f t="shared" si="1732"/>
        <v>147</v>
      </c>
      <c r="DN864" s="2290">
        <f t="shared" si="1733"/>
        <v>246</v>
      </c>
      <c r="DO864" s="2290">
        <f t="shared" si="1734"/>
        <v>1198</v>
      </c>
      <c r="DP864" s="2290">
        <f t="shared" si="1735"/>
        <v>206</v>
      </c>
      <c r="DQ864" s="2290">
        <f t="shared" si="1736"/>
        <v>186</v>
      </c>
      <c r="DR864" s="2290">
        <f t="shared" si="1737"/>
        <v>180</v>
      </c>
      <c r="DS864" s="2290">
        <f t="shared" si="1738"/>
        <v>123</v>
      </c>
      <c r="DT864" s="2290">
        <f t="shared" si="1739"/>
        <v>113</v>
      </c>
      <c r="DU864" s="2290">
        <f t="shared" si="1740"/>
        <v>291</v>
      </c>
      <c r="DV864" s="2290">
        <f t="shared" si="1741"/>
        <v>284</v>
      </c>
      <c r="DW864" s="2290">
        <f t="shared" si="1742"/>
        <v>284</v>
      </c>
      <c r="DX864" s="2290">
        <f t="shared" si="1743"/>
        <v>284</v>
      </c>
      <c r="DY864" s="2290">
        <f t="shared" si="1744"/>
        <v>284</v>
      </c>
      <c r="EA864"/>
      <c r="EB864"/>
      <c r="EC864"/>
      <c r="ED864"/>
      <c r="EE864"/>
      <c r="EF864"/>
      <c r="EJ864"/>
      <c r="EK864"/>
      <c r="EL864"/>
      <c r="EM864" s="1703"/>
      <c r="ER864" s="212"/>
    </row>
    <row r="865" spans="1:148" s="2845" customFormat="1" ht="12.75" customHeight="1" x14ac:dyDescent="0.2">
      <c r="A865" s="2379" t="s">
        <v>825</v>
      </c>
      <c r="B865" s="223"/>
      <c r="C865" s="223"/>
      <c r="D865" s="223"/>
      <c r="E865" s="223"/>
      <c r="F865" s="223"/>
      <c r="G865" s="223"/>
      <c r="H865" s="223"/>
      <c r="I865" s="223">
        <v>0</v>
      </c>
      <c r="J865" s="223">
        <v>0</v>
      </c>
      <c r="K865" s="223">
        <v>0</v>
      </c>
      <c r="L865" s="223">
        <v>0</v>
      </c>
      <c r="M865" s="2290">
        <f>L865</f>
        <v>0</v>
      </c>
      <c r="N865" s="223">
        <v>0</v>
      </c>
      <c r="O865" s="223">
        <v>405</v>
      </c>
      <c r="P865" s="223">
        <v>406</v>
      </c>
      <c r="Q865" s="223">
        <v>407</v>
      </c>
      <c r="R865" s="2290">
        <f>Q865</f>
        <v>407</v>
      </c>
      <c r="S865" s="223">
        <v>407</v>
      </c>
      <c r="T865" s="223">
        <v>61</v>
      </c>
      <c r="U865" s="223">
        <v>61</v>
      </c>
      <c r="V865" s="223">
        <v>61</v>
      </c>
      <c r="W865" s="2290">
        <f>V865</f>
        <v>61</v>
      </c>
      <c r="X865" s="223">
        <v>62</v>
      </c>
      <c r="Y865" s="223">
        <v>62</v>
      </c>
      <c r="Z865" s="223">
        <v>62</v>
      </c>
      <c r="AA865" s="223">
        <v>62</v>
      </c>
      <c r="AB865" s="2290">
        <f>AA865</f>
        <v>62</v>
      </c>
      <c r="AC865" s="223">
        <v>62</v>
      </c>
      <c r="AD865" s="223">
        <v>0</v>
      </c>
      <c r="AE865" s="223">
        <v>0</v>
      </c>
      <c r="AF865" s="223">
        <v>0</v>
      </c>
      <c r="AG865" s="2290">
        <f>AF865</f>
        <v>0</v>
      </c>
      <c r="AH865" s="223">
        <v>0</v>
      </c>
      <c r="AI865" s="223">
        <v>0</v>
      </c>
      <c r="AJ865" s="223">
        <v>0</v>
      </c>
      <c r="AK865" s="223">
        <v>0</v>
      </c>
      <c r="AL865" s="2290">
        <f>AK865</f>
        <v>0</v>
      </c>
      <c r="AM865" s="223">
        <v>0</v>
      </c>
      <c r="AN865" s="223">
        <v>0</v>
      </c>
      <c r="AO865" s="223">
        <v>0</v>
      </c>
      <c r="AP865" s="223">
        <v>0</v>
      </c>
      <c r="AQ865" s="2290">
        <f>AP865</f>
        <v>0</v>
      </c>
      <c r="AR865" s="223">
        <v>0</v>
      </c>
      <c r="AS865" s="223">
        <v>0</v>
      </c>
      <c r="AT865" s="223">
        <v>0</v>
      </c>
      <c r="AU865" s="223">
        <f>AU872</f>
        <v>0</v>
      </c>
      <c r="AV865" s="2290">
        <f>AU865</f>
        <v>0</v>
      </c>
      <c r="AW865" s="223">
        <f>AW872</f>
        <v>0</v>
      </c>
      <c r="AX865" s="223">
        <f>AX872</f>
        <v>0</v>
      </c>
      <c r="AY865" s="223">
        <f>AY872</f>
        <v>0</v>
      </c>
      <c r="AZ865" s="223">
        <f>AZ872</f>
        <v>0</v>
      </c>
      <c r="BA865" s="2290">
        <f>AZ865</f>
        <v>0</v>
      </c>
      <c r="BB865" s="223">
        <f>BB872</f>
        <v>0</v>
      </c>
      <c r="BC865" s="223">
        <f>BC872</f>
        <v>0</v>
      </c>
      <c r="BD865" s="223">
        <f>BD872</f>
        <v>0</v>
      </c>
      <c r="BE865" s="223">
        <f>BE872</f>
        <v>0</v>
      </c>
      <c r="BF865" s="2290">
        <f>BE865</f>
        <v>0</v>
      </c>
      <c r="BG865" s="223">
        <f>BG872</f>
        <v>0</v>
      </c>
      <c r="BH865" s="223">
        <f>BH872</f>
        <v>0</v>
      </c>
      <c r="BI865" s="223">
        <f>BI872</f>
        <v>0</v>
      </c>
      <c r="BJ865" s="223">
        <f>BJ872</f>
        <v>0</v>
      </c>
      <c r="BK865" s="2290">
        <f>BJ865</f>
        <v>0</v>
      </c>
      <c r="BL865" s="223">
        <f>BL872</f>
        <v>0</v>
      </c>
      <c r="BM865" s="223">
        <f>BM872</f>
        <v>0</v>
      </c>
      <c r="BN865" s="223">
        <f>BN872</f>
        <v>0</v>
      </c>
      <c r="BO865" s="223">
        <f>BO872</f>
        <v>0</v>
      </c>
      <c r="BP865" s="2290">
        <f>BO865</f>
        <v>0</v>
      </c>
      <c r="BQ865" s="223">
        <f>BQ872</f>
        <v>0</v>
      </c>
      <c r="BR865" s="223">
        <f>BR872</f>
        <v>0</v>
      </c>
      <c r="BS865" s="223">
        <f>BS872</f>
        <v>0</v>
      </c>
      <c r="BT865" s="223">
        <f>BT872</f>
        <v>0</v>
      </c>
      <c r="BU865" s="2290">
        <f>BT865</f>
        <v>0</v>
      </c>
      <c r="BV865" s="223">
        <f>BV872</f>
        <v>0</v>
      </c>
      <c r="BW865" s="223">
        <v>0</v>
      </c>
      <c r="BX865" s="223">
        <v>0</v>
      </c>
      <c r="BY865" s="223">
        <v>0</v>
      </c>
      <c r="BZ865" s="2290">
        <f>BY865</f>
        <v>0</v>
      </c>
      <c r="CA865" s="223">
        <v>0</v>
      </c>
      <c r="CB865" s="223">
        <v>0</v>
      </c>
      <c r="CC865" s="2327">
        <f>CC872</f>
        <v>0</v>
      </c>
      <c r="CD865" s="3098">
        <f>CD872</f>
        <v>0</v>
      </c>
      <c r="CE865" s="2290">
        <f>CD865</f>
        <v>0</v>
      </c>
      <c r="CF865" s="3104">
        <f>CF872</f>
        <v>0</v>
      </c>
      <c r="CG865" s="2327">
        <f>CG872</f>
        <v>0</v>
      </c>
      <c r="CH865" s="2327">
        <f>CH872</f>
        <v>0</v>
      </c>
      <c r="CI865" s="3098">
        <f>CI872</f>
        <v>0</v>
      </c>
      <c r="CJ865" s="2290">
        <f>CI865</f>
        <v>0</v>
      </c>
      <c r="CK865" s="2327">
        <f>CK872</f>
        <v>0</v>
      </c>
      <c r="CL865" s="2327">
        <f>CL872</f>
        <v>0</v>
      </c>
      <c r="CM865" s="2349">
        <v>0</v>
      </c>
      <c r="CN865" s="3098">
        <f>CN872</f>
        <v>0</v>
      </c>
      <c r="CO865" s="2290">
        <f>CN865</f>
        <v>0</v>
      </c>
      <c r="CP865" s="3104">
        <f>CP872</f>
        <v>0</v>
      </c>
      <c r="CQ865" s="2327">
        <f t="shared" ref="CQ865:DA865" si="1745">CQ872</f>
        <v>0</v>
      </c>
      <c r="CR865" s="3809">
        <f t="shared" si="1745"/>
        <v>0</v>
      </c>
      <c r="CS865" s="2327">
        <f t="shared" si="1745"/>
        <v>0</v>
      </c>
      <c r="CT865" s="2290">
        <f t="shared" si="1745"/>
        <v>0</v>
      </c>
      <c r="CU865" s="2327">
        <f>CU872</f>
        <v>0</v>
      </c>
      <c r="CV865" s="2327">
        <f>CV872</f>
        <v>0</v>
      </c>
      <c r="CW865" s="2327">
        <f>CW872</f>
        <v>0</v>
      </c>
      <c r="CX865" s="3098">
        <f>CX872</f>
        <v>0</v>
      </c>
      <c r="CY865" s="3098">
        <f>CY872</f>
        <v>0</v>
      </c>
      <c r="CZ865" s="2290">
        <f t="shared" si="1745"/>
        <v>0</v>
      </c>
      <c r="DA865" s="2290">
        <f t="shared" si="1745"/>
        <v>0</v>
      </c>
      <c r="DB865" s="1062"/>
      <c r="DC865" s="1062"/>
      <c r="DD865" s="2379" t="s">
        <v>825</v>
      </c>
      <c r="DE865" s="2290">
        <f t="shared" si="1724"/>
        <v>0</v>
      </c>
      <c r="DF865" s="2290">
        <f t="shared" si="1725"/>
        <v>407</v>
      </c>
      <c r="DG865" s="2290">
        <f t="shared" si="1726"/>
        <v>61</v>
      </c>
      <c r="DH865" s="2290">
        <f t="shared" si="1727"/>
        <v>62</v>
      </c>
      <c r="DI865" s="2290">
        <f t="shared" si="1728"/>
        <v>0</v>
      </c>
      <c r="DJ865" s="2290">
        <f t="shared" si="1729"/>
        <v>0</v>
      </c>
      <c r="DK865" s="2290">
        <f t="shared" si="1730"/>
        <v>0</v>
      </c>
      <c r="DL865" s="2290">
        <f t="shared" si="1731"/>
        <v>0</v>
      </c>
      <c r="DM865" s="2290">
        <f t="shared" si="1732"/>
        <v>0</v>
      </c>
      <c r="DN865" s="2290">
        <f t="shared" si="1733"/>
        <v>0</v>
      </c>
      <c r="DO865" s="2290">
        <f t="shared" si="1734"/>
        <v>0</v>
      </c>
      <c r="DP865" s="2290">
        <f t="shared" si="1735"/>
        <v>0</v>
      </c>
      <c r="DQ865" s="2290">
        <f t="shared" si="1736"/>
        <v>0</v>
      </c>
      <c r="DR865" s="2290">
        <f t="shared" si="1737"/>
        <v>0</v>
      </c>
      <c r="DS865" s="2290">
        <f t="shared" si="1738"/>
        <v>0</v>
      </c>
      <c r="DT865" s="2290">
        <f t="shared" si="1739"/>
        <v>0</v>
      </c>
      <c r="DU865" s="2290">
        <f t="shared" si="1740"/>
        <v>0</v>
      </c>
      <c r="DV865" s="2290">
        <f t="shared" si="1741"/>
        <v>0</v>
      </c>
      <c r="DW865" s="2290">
        <f t="shared" si="1742"/>
        <v>0</v>
      </c>
      <c r="DX865" s="2290">
        <f t="shared" si="1743"/>
        <v>0</v>
      </c>
      <c r="DY865" s="2290">
        <f t="shared" si="1744"/>
        <v>0</v>
      </c>
      <c r="EA865"/>
      <c r="EB865"/>
      <c r="EC865"/>
      <c r="ED865"/>
      <c r="EE865"/>
      <c r="EF865"/>
      <c r="EJ865"/>
      <c r="EK865"/>
      <c r="EL865"/>
      <c r="EM865" s="1703"/>
      <c r="ER865" s="2631"/>
    </row>
    <row r="866" spans="1:148" s="923" customFormat="1" ht="4.5" customHeight="1" x14ac:dyDescent="0.2">
      <c r="A866" s="1224"/>
      <c r="B866" s="222"/>
      <c r="C866" s="222"/>
      <c r="D866" s="222"/>
      <c r="E866" s="222"/>
      <c r="F866" s="222"/>
      <c r="G866" s="222"/>
      <c r="H866" s="222"/>
      <c r="I866" s="222"/>
      <c r="J866" s="222"/>
      <c r="K866" s="222"/>
      <c r="L866" s="222"/>
      <c r="M866" s="970"/>
      <c r="N866" s="222"/>
      <c r="O866" s="222"/>
      <c r="P866" s="222"/>
      <c r="Q866" s="222"/>
      <c r="R866" s="970"/>
      <c r="S866" s="222"/>
      <c r="T866" s="222"/>
      <c r="U866" s="222"/>
      <c r="V866" s="222"/>
      <c r="W866" s="970"/>
      <c r="X866" s="222"/>
      <c r="Y866" s="222"/>
      <c r="Z866" s="222"/>
      <c r="AA866" s="222"/>
      <c r="AB866" s="970"/>
      <c r="AC866" s="222"/>
      <c r="AD866" s="222"/>
      <c r="AE866" s="222"/>
      <c r="AF866" s="222"/>
      <c r="AG866" s="970"/>
      <c r="AH866" s="222"/>
      <c r="AI866" s="222"/>
      <c r="AJ866" s="222"/>
      <c r="AK866" s="222"/>
      <c r="AL866" s="970"/>
      <c r="AM866" s="222"/>
      <c r="AN866" s="222"/>
      <c r="AO866" s="222"/>
      <c r="AP866" s="222"/>
      <c r="AQ866" s="970"/>
      <c r="AR866" s="222"/>
      <c r="AS866" s="222"/>
      <c r="AT866" s="222"/>
      <c r="AU866" s="222"/>
      <c r="AV866" s="970"/>
      <c r="AW866" s="222"/>
      <c r="AX866" s="222"/>
      <c r="AY866" s="222"/>
      <c r="AZ866" s="222"/>
      <c r="BA866" s="970"/>
      <c r="BB866" s="222"/>
      <c r="BC866" s="222"/>
      <c r="BD866" s="222"/>
      <c r="BE866" s="222"/>
      <c r="BF866" s="970"/>
      <c r="BG866" s="222"/>
      <c r="BH866" s="222"/>
      <c r="BI866" s="222"/>
      <c r="BJ866" s="222"/>
      <c r="BK866" s="970"/>
      <c r="BL866" s="222"/>
      <c r="BM866" s="222"/>
      <c r="BN866" s="222"/>
      <c r="BO866" s="222"/>
      <c r="BP866" s="970"/>
      <c r="BQ866" s="222"/>
      <c r="BR866" s="222"/>
      <c r="BS866" s="222"/>
      <c r="BT866" s="222"/>
      <c r="BU866" s="970"/>
      <c r="BV866" s="222"/>
      <c r="BW866" s="222"/>
      <c r="BX866" s="222"/>
      <c r="BY866" s="222"/>
      <c r="BZ866" s="970"/>
      <c r="CA866" s="222"/>
      <c r="CB866" s="222"/>
      <c r="CC866" s="216"/>
      <c r="CD866" s="1782"/>
      <c r="CE866" s="970"/>
      <c r="CF866" s="2692"/>
      <c r="CG866" s="216"/>
      <c r="CH866" s="216"/>
      <c r="CI866" s="1782"/>
      <c r="CJ866" s="970"/>
      <c r="CK866" s="216"/>
      <c r="CL866" s="216"/>
      <c r="CM866" s="850"/>
      <c r="CN866" s="1782"/>
      <c r="CO866" s="970"/>
      <c r="CP866" s="2692"/>
      <c r="CQ866" s="216"/>
      <c r="CR866" s="216"/>
      <c r="CS866" s="216"/>
      <c r="CT866" s="970"/>
      <c r="CU866" s="216"/>
      <c r="CV866" s="216"/>
      <c r="CW866" s="216"/>
      <c r="CX866" s="1782"/>
      <c r="CY866" s="1782"/>
      <c r="CZ866" s="970"/>
      <c r="DA866" s="970"/>
      <c r="DB866"/>
      <c r="DC866"/>
      <c r="DD866" s="1224"/>
      <c r="DE866" s="970"/>
      <c r="DF866" s="970"/>
      <c r="DG866" s="970"/>
      <c r="DH866" s="970"/>
      <c r="DI866" s="970"/>
      <c r="DJ866" s="970"/>
      <c r="DK866" s="970"/>
      <c r="DL866" s="970"/>
      <c r="DM866" s="970"/>
      <c r="DN866" s="970"/>
      <c r="DO866" s="970"/>
      <c r="DP866" s="970"/>
      <c r="DQ866" s="970"/>
      <c r="DR866" s="970"/>
      <c r="DS866" s="970"/>
      <c r="DT866" s="970"/>
      <c r="DU866" s="970"/>
      <c r="DV866" s="970"/>
      <c r="DW866" s="970"/>
      <c r="DX866" s="970"/>
      <c r="DY866" s="970"/>
      <c r="EA866"/>
      <c r="EB866"/>
      <c r="EC866"/>
      <c r="ED866"/>
      <c r="EE866"/>
      <c r="EF866"/>
      <c r="EJ866"/>
      <c r="EK866"/>
      <c r="EL866"/>
      <c r="ER866" s="212"/>
    </row>
    <row r="867" spans="1:148" s="923" customFormat="1" ht="12.75" customHeight="1" x14ac:dyDescent="0.2">
      <c r="A867" s="3105" t="s">
        <v>826</v>
      </c>
      <c r="B867" s="222"/>
      <c r="C867" s="222"/>
      <c r="D867" s="222"/>
      <c r="E867" s="222"/>
      <c r="F867" s="222"/>
      <c r="G867" s="222"/>
      <c r="H867" s="222"/>
      <c r="I867" s="222"/>
      <c r="J867" s="222"/>
      <c r="K867" s="222"/>
      <c r="L867" s="222"/>
      <c r="M867" s="970"/>
      <c r="N867" s="222"/>
      <c r="O867" s="222"/>
      <c r="P867" s="222"/>
      <c r="Q867" s="222"/>
      <c r="R867" s="970"/>
      <c r="S867" s="222"/>
      <c r="T867" s="222"/>
      <c r="U867" s="222"/>
      <c r="V867" s="222"/>
      <c r="W867" s="970"/>
      <c r="X867" s="222"/>
      <c r="Y867" s="222"/>
      <c r="Z867" s="222"/>
      <c r="AA867" s="222"/>
      <c r="AB867" s="970"/>
      <c r="AC867" s="222"/>
      <c r="AD867" s="222"/>
      <c r="AE867" s="222"/>
      <c r="AF867" s="222"/>
      <c r="AG867" s="970"/>
      <c r="AH867" s="222"/>
      <c r="AI867" s="222"/>
      <c r="AJ867" s="222"/>
      <c r="AK867" s="222"/>
      <c r="AL867" s="970"/>
      <c r="AM867" s="222"/>
      <c r="AN867" s="222"/>
      <c r="AO867" s="222"/>
      <c r="AP867" s="222"/>
      <c r="AQ867" s="970"/>
      <c r="AR867" s="222"/>
      <c r="AS867" s="222"/>
      <c r="AT867" s="222"/>
      <c r="AU867" s="222"/>
      <c r="AV867" s="970"/>
      <c r="AW867" s="222"/>
      <c r="AX867" s="222"/>
      <c r="AY867" s="222"/>
      <c r="AZ867" s="222"/>
      <c r="BA867" s="970"/>
      <c r="BB867" s="222"/>
      <c r="BC867" s="222"/>
      <c r="BD867" s="222"/>
      <c r="BE867" s="222"/>
      <c r="BF867" s="970"/>
      <c r="BG867" s="222"/>
      <c r="BH867" s="222"/>
      <c r="BI867" s="222"/>
      <c r="BJ867" s="222"/>
      <c r="BK867" s="970"/>
      <c r="BL867" s="222"/>
      <c r="BM867" s="222"/>
      <c r="BN867" s="222"/>
      <c r="BO867" s="222"/>
      <c r="BP867" s="970"/>
      <c r="BQ867" s="222"/>
      <c r="BR867" s="222"/>
      <c r="BS867" s="222"/>
      <c r="BT867" s="222"/>
      <c r="BU867" s="970"/>
      <c r="BV867" s="222"/>
      <c r="BW867" s="222"/>
      <c r="BX867" s="222"/>
      <c r="BY867" s="222"/>
      <c r="BZ867" s="970"/>
      <c r="CA867" s="222"/>
      <c r="CB867" s="222"/>
      <c r="CC867" s="216"/>
      <c r="CD867" s="1782"/>
      <c r="CE867" s="970"/>
      <c r="CF867" s="2692"/>
      <c r="CG867" s="216"/>
      <c r="CH867" s="216"/>
      <c r="CI867" s="1782"/>
      <c r="CJ867" s="970"/>
      <c r="CK867" s="216"/>
      <c r="CL867" s="3066"/>
      <c r="CM867" s="2983">
        <v>167</v>
      </c>
      <c r="CN867" s="2983">
        <v>173</v>
      </c>
      <c r="CO867" s="2290">
        <f t="shared" ref="CO867:DA867" si="1746">CN867</f>
        <v>173</v>
      </c>
      <c r="CP867" s="2983">
        <v>173</v>
      </c>
      <c r="CQ867" s="3656">
        <v>173</v>
      </c>
      <c r="CR867" s="223">
        <v>172</v>
      </c>
      <c r="CS867" s="2327">
        <f t="shared" si="1746"/>
        <v>172</v>
      </c>
      <c r="CT867" s="2290">
        <f t="shared" si="1746"/>
        <v>172</v>
      </c>
      <c r="CU867" s="2327">
        <f t="shared" ref="CU867:CY870" si="1747">CT867</f>
        <v>172</v>
      </c>
      <c r="CV867" s="2327">
        <f t="shared" si="1747"/>
        <v>172</v>
      </c>
      <c r="CW867" s="2327">
        <f t="shared" si="1747"/>
        <v>172</v>
      </c>
      <c r="CX867" s="3098">
        <f t="shared" si="1747"/>
        <v>172</v>
      </c>
      <c r="CY867" s="3098">
        <f t="shared" si="1746"/>
        <v>172</v>
      </c>
      <c r="CZ867" s="2327">
        <f t="shared" si="1746"/>
        <v>172</v>
      </c>
      <c r="DA867" s="2290">
        <f t="shared" si="1746"/>
        <v>172</v>
      </c>
      <c r="DB867"/>
      <c r="DC867"/>
      <c r="DD867" s="1224"/>
      <c r="DE867" s="970"/>
      <c r="DF867" s="970"/>
      <c r="DG867" s="970"/>
      <c r="DH867" s="970"/>
      <c r="DI867" s="970"/>
      <c r="DJ867" s="970"/>
      <c r="DK867" s="970"/>
      <c r="DL867" s="970"/>
      <c r="DM867" s="970"/>
      <c r="DN867" s="970"/>
      <c r="DO867" s="970"/>
      <c r="DP867" s="970"/>
      <c r="DQ867" s="970"/>
      <c r="DR867" s="970"/>
      <c r="DS867" s="970"/>
      <c r="DT867" s="970"/>
      <c r="DU867" s="970"/>
      <c r="DV867" s="970"/>
      <c r="DW867" s="970"/>
      <c r="DX867" s="970"/>
      <c r="DY867" s="970"/>
      <c r="EA867"/>
      <c r="EB867"/>
      <c r="EC867"/>
      <c r="ED867"/>
      <c r="EE867"/>
      <c r="EF867"/>
      <c r="EJ867"/>
      <c r="EK867"/>
      <c r="EL867"/>
      <c r="EM867" s="1703"/>
      <c r="ER867" s="212"/>
    </row>
    <row r="868" spans="1:148" s="923" customFormat="1" ht="12.75" customHeight="1" x14ac:dyDescent="0.2">
      <c r="A868" s="3105" t="s">
        <v>1378</v>
      </c>
      <c r="B868" s="222"/>
      <c r="C868" s="222"/>
      <c r="D868" s="222"/>
      <c r="E868" s="222"/>
      <c r="F868" s="222"/>
      <c r="G868" s="222"/>
      <c r="H868" s="222"/>
      <c r="I868" s="222"/>
      <c r="J868" s="222"/>
      <c r="K868" s="222"/>
      <c r="L868" s="222"/>
      <c r="M868" s="970"/>
      <c r="N868" s="222"/>
      <c r="O868" s="222"/>
      <c r="P868" s="222"/>
      <c r="Q868" s="222"/>
      <c r="R868" s="970"/>
      <c r="S868" s="222"/>
      <c r="T868" s="222"/>
      <c r="U868" s="222"/>
      <c r="V868" s="222"/>
      <c r="W868" s="970"/>
      <c r="X868" s="222"/>
      <c r="Y868" s="222"/>
      <c r="Z868" s="222"/>
      <c r="AA868" s="222"/>
      <c r="AB868" s="970"/>
      <c r="AC868" s="222"/>
      <c r="AD868" s="222"/>
      <c r="AE868" s="222"/>
      <c r="AF868" s="222"/>
      <c r="AG868" s="970"/>
      <c r="AH868" s="222"/>
      <c r="AI868" s="222"/>
      <c r="AJ868" s="222"/>
      <c r="AK868" s="222"/>
      <c r="AL868" s="970"/>
      <c r="AM868" s="222"/>
      <c r="AN868" s="222"/>
      <c r="AO868" s="222"/>
      <c r="AP868" s="222"/>
      <c r="AQ868" s="970"/>
      <c r="AR868" s="222"/>
      <c r="AS868" s="222"/>
      <c r="AT868" s="222"/>
      <c r="AU868" s="222"/>
      <c r="AV868" s="970"/>
      <c r="AW868" s="222"/>
      <c r="AX868" s="222"/>
      <c r="AY868" s="222"/>
      <c r="AZ868" s="222"/>
      <c r="BA868" s="970"/>
      <c r="BB868" s="222"/>
      <c r="BC868" s="222"/>
      <c r="BD868" s="222"/>
      <c r="BE868" s="222"/>
      <c r="BF868" s="970"/>
      <c r="BG868" s="222"/>
      <c r="BH868" s="222"/>
      <c r="BI868" s="222"/>
      <c r="BJ868" s="222"/>
      <c r="BK868" s="970"/>
      <c r="BL868" s="222"/>
      <c r="BM868" s="222"/>
      <c r="BN868" s="222"/>
      <c r="BO868" s="222"/>
      <c r="BP868" s="970"/>
      <c r="BQ868" s="222"/>
      <c r="BR868" s="222"/>
      <c r="BS868" s="222"/>
      <c r="BT868" s="222"/>
      <c r="BU868" s="970"/>
      <c r="BV868" s="222"/>
      <c r="BW868" s="222"/>
      <c r="BX868" s="222"/>
      <c r="BY868" s="222"/>
      <c r="BZ868" s="970"/>
      <c r="CA868" s="222"/>
      <c r="CB868" s="222"/>
      <c r="CC868" s="216"/>
      <c r="CD868" s="1782"/>
      <c r="CE868" s="970"/>
      <c r="CF868" s="2692"/>
      <c r="CG868" s="216"/>
      <c r="CH868" s="216"/>
      <c r="CI868" s="1782"/>
      <c r="CJ868" s="970"/>
      <c r="CK868" s="216"/>
      <c r="CL868" s="3066"/>
      <c r="CM868" s="2983">
        <v>0</v>
      </c>
      <c r="CN868" s="2327">
        <f t="shared" ref="CN868:CT868" si="1748">CM868</f>
        <v>0</v>
      </c>
      <c r="CO868" s="2290">
        <f t="shared" si="1748"/>
        <v>0</v>
      </c>
      <c r="CP868" s="2327">
        <f t="shared" si="1748"/>
        <v>0</v>
      </c>
      <c r="CQ868" s="2327">
        <f t="shared" si="1748"/>
        <v>0</v>
      </c>
      <c r="CR868" s="3809">
        <f t="shared" si="1748"/>
        <v>0</v>
      </c>
      <c r="CS868" s="2327">
        <f t="shared" si="1748"/>
        <v>0</v>
      </c>
      <c r="CT868" s="2290">
        <f t="shared" si="1748"/>
        <v>0</v>
      </c>
      <c r="CU868" s="2327">
        <f t="shared" si="1747"/>
        <v>0</v>
      </c>
      <c r="CV868" s="2327">
        <f t="shared" si="1747"/>
        <v>0</v>
      </c>
      <c r="CW868" s="2327">
        <f t="shared" si="1747"/>
        <v>0</v>
      </c>
      <c r="CX868" s="3098">
        <f t="shared" si="1747"/>
        <v>0</v>
      </c>
      <c r="CY868" s="3098">
        <f t="shared" si="1747"/>
        <v>0</v>
      </c>
      <c r="CZ868" s="2327">
        <f>CY868</f>
        <v>0</v>
      </c>
      <c r="DA868" s="2290">
        <f>CZ868</f>
        <v>0</v>
      </c>
      <c r="DB868"/>
      <c r="DC868"/>
      <c r="DD868" s="1224"/>
      <c r="DE868" s="970"/>
      <c r="DF868" s="970"/>
      <c r="DG868" s="970"/>
      <c r="DH868" s="970"/>
      <c r="DI868" s="970"/>
      <c r="DJ868" s="970"/>
      <c r="DK868" s="970"/>
      <c r="DL868" s="970"/>
      <c r="DM868" s="970"/>
      <c r="DN868" s="970"/>
      <c r="DO868" s="970"/>
      <c r="DP868" s="970"/>
      <c r="DQ868" s="970"/>
      <c r="DR868" s="970"/>
      <c r="DS868" s="970"/>
      <c r="DT868" s="970"/>
      <c r="DU868" s="970"/>
      <c r="DV868" s="970"/>
      <c r="DW868" s="970"/>
      <c r="DX868" s="970"/>
      <c r="DY868" s="970"/>
      <c r="EA868"/>
      <c r="EB868"/>
      <c r="EC868"/>
      <c r="ED868"/>
      <c r="EE868"/>
      <c r="EF868"/>
      <c r="EJ868"/>
      <c r="EK868"/>
      <c r="EL868"/>
      <c r="EM868" s="1703"/>
      <c r="ER868" s="212"/>
    </row>
    <row r="869" spans="1:148" s="923" customFormat="1" ht="12.75" customHeight="1" x14ac:dyDescent="0.2">
      <c r="A869" s="3105" t="s">
        <v>2493</v>
      </c>
      <c r="B869" s="222"/>
      <c r="C869" s="222"/>
      <c r="D869" s="222"/>
      <c r="E869" s="222"/>
      <c r="F869" s="222"/>
      <c r="G869" s="222"/>
      <c r="H869" s="222"/>
      <c r="I869" s="222"/>
      <c r="J869" s="222"/>
      <c r="K869" s="222"/>
      <c r="L869" s="222"/>
      <c r="M869" s="970"/>
      <c r="N869" s="222"/>
      <c r="O869" s="222"/>
      <c r="P869" s="222"/>
      <c r="Q869" s="222"/>
      <c r="R869" s="970"/>
      <c r="S869" s="222"/>
      <c r="T869" s="222"/>
      <c r="U869" s="222"/>
      <c r="V869" s="222"/>
      <c r="W869" s="970"/>
      <c r="X869" s="222"/>
      <c r="Y869" s="222"/>
      <c r="Z869" s="222"/>
      <c r="AA869" s="222"/>
      <c r="AB869" s="970"/>
      <c r="AC869" s="222"/>
      <c r="AD869" s="222"/>
      <c r="AE869" s="222"/>
      <c r="AF869" s="222"/>
      <c r="AG869" s="970"/>
      <c r="AH869" s="222"/>
      <c r="AI869" s="222"/>
      <c r="AJ869" s="222"/>
      <c r="AK869" s="222"/>
      <c r="AL869" s="970"/>
      <c r="AM869" s="222"/>
      <c r="AN869" s="222"/>
      <c r="AO869" s="222"/>
      <c r="AP869" s="222"/>
      <c r="AQ869" s="970"/>
      <c r="AR869" s="222"/>
      <c r="AS869" s="222"/>
      <c r="AT869" s="222"/>
      <c r="AU869" s="222"/>
      <c r="AV869" s="970"/>
      <c r="AW869" s="222"/>
      <c r="AX869" s="222"/>
      <c r="AY869" s="222"/>
      <c r="AZ869" s="222"/>
      <c r="BA869" s="970"/>
      <c r="BB869" s="222"/>
      <c r="BC869" s="222"/>
      <c r="BD869" s="222"/>
      <c r="BE869" s="222"/>
      <c r="BF869" s="970"/>
      <c r="BG869" s="222"/>
      <c r="BH869" s="222"/>
      <c r="BI869" s="222"/>
      <c r="BJ869" s="222"/>
      <c r="BK869" s="970"/>
      <c r="BL869" s="222"/>
      <c r="BM869" s="222"/>
      <c r="BN869" s="222"/>
      <c r="BO869" s="222"/>
      <c r="BP869" s="970"/>
      <c r="BQ869" s="222"/>
      <c r="BR869" s="222"/>
      <c r="BS869" s="222"/>
      <c r="BT869" s="222"/>
      <c r="BU869" s="970"/>
      <c r="BV869" s="222"/>
      <c r="BW869" s="222"/>
      <c r="BX869" s="222"/>
      <c r="BY869" s="222"/>
      <c r="BZ869" s="970"/>
      <c r="CA869" s="222"/>
      <c r="CB869" s="222"/>
      <c r="CC869" s="216"/>
      <c r="CD869" s="1782"/>
      <c r="CE869" s="970"/>
      <c r="CF869" s="2692"/>
      <c r="CG869" s="216"/>
      <c r="CH869" s="216"/>
      <c r="CI869" s="1782"/>
      <c r="CJ869" s="970"/>
      <c r="CK869" s="216"/>
      <c r="CL869" s="3066"/>
      <c r="CM869" s="2983">
        <v>18</v>
      </c>
      <c r="CN869" s="2983">
        <v>0</v>
      </c>
      <c r="CO869" s="2290">
        <f>CN869</f>
        <v>0</v>
      </c>
      <c r="CP869" s="2983">
        <v>0</v>
      </c>
      <c r="CQ869" s="2327">
        <f>CP869</f>
        <v>0</v>
      </c>
      <c r="CR869" s="3809">
        <f>CQ869</f>
        <v>0</v>
      </c>
      <c r="CS869" s="2327">
        <f>CR869</f>
        <v>0</v>
      </c>
      <c r="CT869" s="2290">
        <f>CS869</f>
        <v>0</v>
      </c>
      <c r="CU869" s="2327">
        <f t="shared" si="1747"/>
        <v>0</v>
      </c>
      <c r="CV869" s="2327">
        <f t="shared" si="1747"/>
        <v>0</v>
      </c>
      <c r="CW869" s="2327">
        <f t="shared" si="1747"/>
        <v>0</v>
      </c>
      <c r="CX869" s="3098">
        <f t="shared" si="1747"/>
        <v>0</v>
      </c>
      <c r="CY869" s="3098">
        <f>CX869</f>
        <v>0</v>
      </c>
      <c r="CZ869" s="2327">
        <f>CY869</f>
        <v>0</v>
      </c>
      <c r="DA869" s="2290">
        <f>CZ869</f>
        <v>0</v>
      </c>
      <c r="DB869"/>
      <c r="DC869"/>
      <c r="DD869" s="1224"/>
      <c r="DE869" s="970"/>
      <c r="DF869" s="970"/>
      <c r="DG869" s="970"/>
      <c r="DH869" s="970"/>
      <c r="DI869" s="970"/>
      <c r="DJ869" s="970"/>
      <c r="DK869" s="970"/>
      <c r="DL869" s="970"/>
      <c r="DM869" s="970"/>
      <c r="DN869" s="970"/>
      <c r="DO869" s="970"/>
      <c r="DP869" s="970"/>
      <c r="DQ869" s="970"/>
      <c r="DR869" s="970"/>
      <c r="DS869" s="970"/>
      <c r="DT869" s="970"/>
      <c r="DU869" s="970"/>
      <c r="DV869" s="970"/>
      <c r="DW869" s="970"/>
      <c r="DX869" s="970"/>
      <c r="DY869" s="970"/>
      <c r="EA869"/>
      <c r="EB869"/>
      <c r="EC869"/>
      <c r="ED869"/>
      <c r="EE869"/>
      <c r="EF869"/>
      <c r="EJ869"/>
      <c r="EK869"/>
      <c r="EL869"/>
      <c r="EM869" s="1703"/>
      <c r="ER869" s="212"/>
    </row>
    <row r="870" spans="1:148" s="923" customFormat="1" ht="12.75" customHeight="1" x14ac:dyDescent="0.2">
      <c r="A870" s="3103" t="s">
        <v>2496</v>
      </c>
      <c r="B870" s="222"/>
      <c r="C870" s="222"/>
      <c r="D870" s="222"/>
      <c r="E870" s="222"/>
      <c r="F870" s="222"/>
      <c r="G870" s="222"/>
      <c r="H870" s="222"/>
      <c r="I870" s="222"/>
      <c r="J870" s="222"/>
      <c r="K870" s="222"/>
      <c r="L870" s="222"/>
      <c r="M870" s="970"/>
      <c r="N870" s="222"/>
      <c r="O870" s="222"/>
      <c r="P870" s="222"/>
      <c r="Q870" s="222"/>
      <c r="R870" s="970"/>
      <c r="S870" s="222"/>
      <c r="T870" s="222"/>
      <c r="U870" s="222"/>
      <c r="V870" s="222"/>
      <c r="W870" s="970"/>
      <c r="X870" s="222"/>
      <c r="Y870" s="222"/>
      <c r="Z870" s="222"/>
      <c r="AA870" s="222"/>
      <c r="AB870" s="970"/>
      <c r="AC870" s="222"/>
      <c r="AD870" s="222"/>
      <c r="AE870" s="222"/>
      <c r="AF870" s="222"/>
      <c r="AG870" s="970"/>
      <c r="AH870" s="222"/>
      <c r="AI870" s="222"/>
      <c r="AJ870" s="222"/>
      <c r="AK870" s="222"/>
      <c r="AL870" s="970"/>
      <c r="AM870" s="222"/>
      <c r="AN870" s="222"/>
      <c r="AO870" s="222"/>
      <c r="AP870" s="222"/>
      <c r="AQ870" s="970"/>
      <c r="AR870" s="222"/>
      <c r="AS870" s="222"/>
      <c r="AT870" s="222"/>
      <c r="AU870" s="222"/>
      <c r="AV870" s="970"/>
      <c r="AW870" s="222"/>
      <c r="AX870" s="222"/>
      <c r="AY870" s="222"/>
      <c r="AZ870" s="222"/>
      <c r="BA870" s="970"/>
      <c r="BB870" s="222"/>
      <c r="BC870" s="222"/>
      <c r="BD870" s="222"/>
      <c r="BE870" s="222"/>
      <c r="BF870" s="970"/>
      <c r="BG870" s="222"/>
      <c r="BH870" s="222"/>
      <c r="BI870" s="222"/>
      <c r="BJ870" s="222"/>
      <c r="BK870" s="970"/>
      <c r="BL870" s="222"/>
      <c r="BM870" s="222"/>
      <c r="BN870" s="222"/>
      <c r="BO870" s="222"/>
      <c r="BP870" s="970"/>
      <c r="BQ870" s="222"/>
      <c r="BR870" s="222"/>
      <c r="BS870" s="222"/>
      <c r="BT870" s="222"/>
      <c r="BU870" s="970"/>
      <c r="BV870" s="222"/>
      <c r="BW870" s="222"/>
      <c r="BX870" s="222"/>
      <c r="BY870" s="222"/>
      <c r="BZ870" s="970"/>
      <c r="CA870" s="222"/>
      <c r="CB870" s="222"/>
      <c r="CC870" s="216"/>
      <c r="CD870" s="1782"/>
      <c r="CE870" s="970"/>
      <c r="CF870" s="2692"/>
      <c r="CG870" s="216"/>
      <c r="CH870" s="216"/>
      <c r="CI870" s="1782"/>
      <c r="CJ870" s="970"/>
      <c r="CK870" s="216"/>
      <c r="CL870" s="2327"/>
      <c r="CM870" s="2327">
        <f>SUM(CM867:CM869)</f>
        <v>185</v>
      </c>
      <c r="CN870" s="2327">
        <f>SUM(CN867:CN869)</f>
        <v>173</v>
      </c>
      <c r="CO870" s="2290">
        <f>CN870</f>
        <v>173</v>
      </c>
      <c r="CP870" s="2327">
        <f t="shared" ref="CP870:DA870" si="1749">CO870</f>
        <v>173</v>
      </c>
      <c r="CQ870" s="2327">
        <f t="shared" si="1749"/>
        <v>173</v>
      </c>
      <c r="CR870" s="3809">
        <f>SUM(CR867:CR869)</f>
        <v>172</v>
      </c>
      <c r="CS870" s="2327">
        <f t="shared" si="1749"/>
        <v>172</v>
      </c>
      <c r="CT870" s="2290">
        <f t="shared" si="1749"/>
        <v>172</v>
      </c>
      <c r="CU870" s="2327">
        <f t="shared" si="1747"/>
        <v>172</v>
      </c>
      <c r="CV870" s="2327">
        <f t="shared" si="1747"/>
        <v>172</v>
      </c>
      <c r="CW870" s="2327">
        <f t="shared" si="1747"/>
        <v>172</v>
      </c>
      <c r="CX870" s="3098">
        <f t="shared" si="1747"/>
        <v>172</v>
      </c>
      <c r="CY870" s="3098">
        <f t="shared" si="1749"/>
        <v>172</v>
      </c>
      <c r="CZ870" s="2327">
        <f t="shared" si="1749"/>
        <v>172</v>
      </c>
      <c r="DA870" s="2290">
        <f t="shared" si="1749"/>
        <v>172</v>
      </c>
      <c r="DB870"/>
      <c r="DC870"/>
      <c r="DD870" s="1224"/>
      <c r="DE870" s="970"/>
      <c r="DF870" s="970"/>
      <c r="DG870" s="970"/>
      <c r="DH870" s="970"/>
      <c r="DI870" s="970"/>
      <c r="DJ870" s="970"/>
      <c r="DK870" s="970"/>
      <c r="DL870" s="970"/>
      <c r="DM870" s="970"/>
      <c r="DN870" s="970"/>
      <c r="DO870" s="970"/>
      <c r="DP870" s="970"/>
      <c r="DQ870" s="970"/>
      <c r="DR870" s="970"/>
      <c r="DS870" s="970"/>
      <c r="DT870" s="970"/>
      <c r="DU870" s="970"/>
      <c r="DV870" s="970"/>
      <c r="DW870" s="970"/>
      <c r="DX870" s="970"/>
      <c r="DY870" s="970"/>
      <c r="EA870"/>
      <c r="EB870"/>
      <c r="EC870"/>
      <c r="ED870"/>
      <c r="EE870"/>
      <c r="EF870"/>
      <c r="EJ870"/>
      <c r="EK870"/>
      <c r="EL870"/>
      <c r="EM870" s="1703"/>
      <c r="ER870" s="212"/>
    </row>
    <row r="871" spans="1:148" s="1703" customFormat="1" ht="12.75" customHeight="1" x14ac:dyDescent="0.2">
      <c r="A871" s="2209" t="s">
        <v>76</v>
      </c>
      <c r="B871" s="1730"/>
      <c r="C871" s="1730"/>
      <c r="D871" s="1730"/>
      <c r="E871" s="1730"/>
      <c r="F871" s="1730"/>
      <c r="G871" s="1730"/>
      <c r="H871" s="1730"/>
      <c r="I871" s="1730">
        <f t="shared" ref="I871:AN871" si="1750">SUM(I863:I865)</f>
        <v>98</v>
      </c>
      <c r="J871" s="1730">
        <f t="shared" si="1750"/>
        <v>98</v>
      </c>
      <c r="K871" s="1730">
        <f t="shared" si="1750"/>
        <v>98</v>
      </c>
      <c r="L871" s="1730">
        <f t="shared" si="1750"/>
        <v>98</v>
      </c>
      <c r="M871" s="1729">
        <f t="shared" si="1750"/>
        <v>98</v>
      </c>
      <c r="N871" s="1730">
        <f t="shared" si="1750"/>
        <v>108</v>
      </c>
      <c r="O871" s="1730">
        <f t="shared" si="1750"/>
        <v>513</v>
      </c>
      <c r="P871" s="1730">
        <f t="shared" si="1750"/>
        <v>514</v>
      </c>
      <c r="Q871" s="1730">
        <f t="shared" si="1750"/>
        <v>515</v>
      </c>
      <c r="R871" s="1729">
        <f t="shared" si="1750"/>
        <v>515</v>
      </c>
      <c r="S871" s="1730">
        <f t="shared" si="1750"/>
        <v>515</v>
      </c>
      <c r="T871" s="1730">
        <f t="shared" si="1750"/>
        <v>169</v>
      </c>
      <c r="U871" s="1730">
        <f t="shared" si="1750"/>
        <v>169</v>
      </c>
      <c r="V871" s="1730">
        <f t="shared" si="1750"/>
        <v>372</v>
      </c>
      <c r="W871" s="1729">
        <f t="shared" si="1750"/>
        <v>372</v>
      </c>
      <c r="X871" s="1730">
        <f t="shared" si="1750"/>
        <v>373</v>
      </c>
      <c r="Y871" s="1730">
        <f t="shared" si="1750"/>
        <v>303</v>
      </c>
      <c r="Z871" s="1730">
        <f t="shared" si="1750"/>
        <v>211</v>
      </c>
      <c r="AA871" s="1730">
        <f t="shared" si="1750"/>
        <v>342</v>
      </c>
      <c r="AB871" s="1729">
        <f t="shared" si="1750"/>
        <v>342</v>
      </c>
      <c r="AC871" s="1730">
        <f t="shared" si="1750"/>
        <v>326</v>
      </c>
      <c r="AD871" s="1730">
        <f t="shared" si="1750"/>
        <v>267</v>
      </c>
      <c r="AE871" s="1730">
        <f t="shared" si="1750"/>
        <v>258</v>
      </c>
      <c r="AF871" s="1730">
        <f t="shared" si="1750"/>
        <v>258</v>
      </c>
      <c r="AG871" s="1729">
        <f t="shared" si="1750"/>
        <v>258</v>
      </c>
      <c r="AH871" s="1730">
        <f t="shared" si="1750"/>
        <v>257</v>
      </c>
      <c r="AI871" s="1730">
        <f t="shared" si="1750"/>
        <v>292</v>
      </c>
      <c r="AJ871" s="1730">
        <f t="shared" si="1750"/>
        <v>287</v>
      </c>
      <c r="AK871" s="1730">
        <f t="shared" si="1750"/>
        <v>327</v>
      </c>
      <c r="AL871" s="1729">
        <f t="shared" si="1750"/>
        <v>327</v>
      </c>
      <c r="AM871" s="1730">
        <f t="shared" si="1750"/>
        <v>261</v>
      </c>
      <c r="AN871" s="1730">
        <f t="shared" si="1750"/>
        <v>259</v>
      </c>
      <c r="AO871" s="1730">
        <f t="shared" ref="AO871:BT871" si="1751">SUM(AO863:AO865)</f>
        <v>257</v>
      </c>
      <c r="AP871" s="1730">
        <f t="shared" si="1751"/>
        <v>254</v>
      </c>
      <c r="AQ871" s="1729">
        <f t="shared" si="1751"/>
        <v>254</v>
      </c>
      <c r="AR871" s="1730">
        <f t="shared" si="1751"/>
        <v>252</v>
      </c>
      <c r="AS871" s="1730">
        <f t="shared" si="1751"/>
        <v>361</v>
      </c>
      <c r="AT871" s="1730">
        <f t="shared" si="1751"/>
        <v>435</v>
      </c>
      <c r="AU871" s="1730">
        <f t="shared" si="1751"/>
        <v>370</v>
      </c>
      <c r="AV871" s="1729">
        <f t="shared" si="1751"/>
        <v>370</v>
      </c>
      <c r="AW871" s="1730">
        <f t="shared" si="1751"/>
        <v>320</v>
      </c>
      <c r="AX871" s="1730">
        <f t="shared" si="1751"/>
        <v>326</v>
      </c>
      <c r="AY871" s="1730">
        <f t="shared" si="1751"/>
        <v>314</v>
      </c>
      <c r="AZ871" s="1730">
        <f t="shared" si="1751"/>
        <v>308</v>
      </c>
      <c r="BA871" s="1729">
        <f t="shared" si="1751"/>
        <v>308</v>
      </c>
      <c r="BB871" s="1730">
        <f t="shared" si="1751"/>
        <v>277</v>
      </c>
      <c r="BC871" s="1730">
        <f t="shared" si="1751"/>
        <v>251</v>
      </c>
      <c r="BD871" s="1730">
        <f t="shared" si="1751"/>
        <v>248</v>
      </c>
      <c r="BE871" s="1730">
        <f t="shared" si="1751"/>
        <v>246</v>
      </c>
      <c r="BF871" s="1729">
        <f t="shared" si="1751"/>
        <v>246</v>
      </c>
      <c r="BG871" s="1730">
        <f t="shared" si="1751"/>
        <v>1245</v>
      </c>
      <c r="BH871" s="1730">
        <f t="shared" si="1751"/>
        <v>1187</v>
      </c>
      <c r="BI871" s="1730">
        <f t="shared" si="1751"/>
        <v>1096</v>
      </c>
      <c r="BJ871" s="1730">
        <f t="shared" si="1751"/>
        <v>1198</v>
      </c>
      <c r="BK871" s="1729">
        <f t="shared" si="1751"/>
        <v>1198</v>
      </c>
      <c r="BL871" s="1730">
        <f t="shared" si="1751"/>
        <v>1183</v>
      </c>
      <c r="BM871" s="1730">
        <f t="shared" si="1751"/>
        <v>1134</v>
      </c>
      <c r="BN871" s="1730">
        <f t="shared" si="1751"/>
        <v>1067</v>
      </c>
      <c r="BO871" s="1730">
        <f t="shared" si="1751"/>
        <v>206</v>
      </c>
      <c r="BP871" s="1729">
        <f t="shared" si="1751"/>
        <v>206</v>
      </c>
      <c r="BQ871" s="1730">
        <f t="shared" si="1751"/>
        <v>208</v>
      </c>
      <c r="BR871" s="1730">
        <f t="shared" si="1751"/>
        <v>200</v>
      </c>
      <c r="BS871" s="1730">
        <f t="shared" si="1751"/>
        <v>185</v>
      </c>
      <c r="BT871" s="1730">
        <f t="shared" si="1751"/>
        <v>186</v>
      </c>
      <c r="BU871" s="1729">
        <f t="shared" ref="BU871:CL871" si="1752">SUM(BU863:BU865)</f>
        <v>186</v>
      </c>
      <c r="BV871" s="1730">
        <f t="shared" si="1752"/>
        <v>182</v>
      </c>
      <c r="BW871" s="1730">
        <f t="shared" si="1752"/>
        <v>181</v>
      </c>
      <c r="BX871" s="1730">
        <f t="shared" si="1752"/>
        <v>182</v>
      </c>
      <c r="BY871" s="1730">
        <f t="shared" si="1752"/>
        <v>180</v>
      </c>
      <c r="BZ871" s="1729">
        <f t="shared" si="1752"/>
        <v>180</v>
      </c>
      <c r="CA871" s="1730">
        <f t="shared" si="1752"/>
        <v>132</v>
      </c>
      <c r="CB871" s="1730">
        <f t="shared" si="1752"/>
        <v>131</v>
      </c>
      <c r="CC871" s="1730">
        <f t="shared" si="1752"/>
        <v>129</v>
      </c>
      <c r="CD871" s="1826">
        <f t="shared" si="1752"/>
        <v>123</v>
      </c>
      <c r="CE871" s="1729">
        <f t="shared" si="1752"/>
        <v>123</v>
      </c>
      <c r="CF871" s="2689">
        <f t="shared" si="1752"/>
        <v>120</v>
      </c>
      <c r="CG871" s="1730">
        <f t="shared" si="1752"/>
        <v>117</v>
      </c>
      <c r="CH871" s="1730">
        <f t="shared" si="1752"/>
        <v>116</v>
      </c>
      <c r="CI871" s="1826">
        <f t="shared" si="1752"/>
        <v>113</v>
      </c>
      <c r="CJ871" s="1729">
        <f t="shared" si="1752"/>
        <v>113</v>
      </c>
      <c r="CK871" s="1730">
        <f t="shared" si="1752"/>
        <v>111</v>
      </c>
      <c r="CL871" s="1730">
        <f t="shared" si="1752"/>
        <v>108</v>
      </c>
      <c r="CM871" s="3099">
        <f>SUM(CM863:CM865)+CM870</f>
        <v>290</v>
      </c>
      <c r="CN871" s="842">
        <f t="shared" ref="CN871:DA871" si="1753">SUM(CN863:CN865)+CN870</f>
        <v>464</v>
      </c>
      <c r="CO871" s="971">
        <f>SUM(CO863:CO865)+CO870</f>
        <v>464</v>
      </c>
      <c r="CP871" s="842">
        <f t="shared" si="1753"/>
        <v>459</v>
      </c>
      <c r="CQ871" s="842">
        <f t="shared" si="1753"/>
        <v>456</v>
      </c>
      <c r="CR871" s="842">
        <f t="shared" si="1753"/>
        <v>456</v>
      </c>
      <c r="CS871" s="842">
        <f t="shared" si="1753"/>
        <v>456</v>
      </c>
      <c r="CT871" s="971">
        <f t="shared" si="1753"/>
        <v>456</v>
      </c>
      <c r="CU871" s="842">
        <f>SUM(CU863:CU865)+CU870</f>
        <v>456</v>
      </c>
      <c r="CV871" s="842">
        <f>SUM(CV863:CV865)+CV870</f>
        <v>456</v>
      </c>
      <c r="CW871" s="842">
        <f>SUM(CW863:CW865)+CW870</f>
        <v>456</v>
      </c>
      <c r="CX871" s="1802">
        <f>SUM(CX863:CX865)+CX870</f>
        <v>456</v>
      </c>
      <c r="CY871" s="1802">
        <f>SUM(CY863:CY865)+CY870</f>
        <v>456</v>
      </c>
      <c r="CZ871" s="842">
        <f t="shared" si="1753"/>
        <v>456</v>
      </c>
      <c r="DA871" s="971">
        <f t="shared" si="1753"/>
        <v>456</v>
      </c>
      <c r="DB871"/>
      <c r="DC871"/>
      <c r="DD871" s="2209" t="s">
        <v>76</v>
      </c>
      <c r="DE871" s="1729">
        <f t="shared" si="1724"/>
        <v>98</v>
      </c>
      <c r="DF871" s="1729">
        <f t="shared" si="1725"/>
        <v>515</v>
      </c>
      <c r="DG871" s="1729">
        <f t="shared" si="1726"/>
        <v>372</v>
      </c>
      <c r="DH871" s="1729">
        <f t="shared" si="1727"/>
        <v>342</v>
      </c>
      <c r="DI871" s="1729">
        <f t="shared" si="1728"/>
        <v>258</v>
      </c>
      <c r="DJ871" s="1729">
        <f t="shared" si="1729"/>
        <v>327</v>
      </c>
      <c r="DK871" s="1729">
        <f t="shared" si="1730"/>
        <v>254</v>
      </c>
      <c r="DL871" s="1729">
        <f t="shared" si="1731"/>
        <v>370</v>
      </c>
      <c r="DM871" s="1729">
        <f t="shared" si="1732"/>
        <v>308</v>
      </c>
      <c r="DN871" s="1729">
        <f t="shared" si="1733"/>
        <v>246</v>
      </c>
      <c r="DO871" s="1729">
        <f t="shared" si="1734"/>
        <v>1198</v>
      </c>
      <c r="DP871" s="1729">
        <f t="shared" si="1735"/>
        <v>206</v>
      </c>
      <c r="DQ871" s="1729">
        <f t="shared" si="1736"/>
        <v>186</v>
      </c>
      <c r="DR871" s="1729">
        <f t="shared" si="1737"/>
        <v>180</v>
      </c>
      <c r="DS871" s="1729">
        <f t="shared" si="1738"/>
        <v>123</v>
      </c>
      <c r="DT871" s="1729">
        <f t="shared" si="1739"/>
        <v>113</v>
      </c>
      <c r="DU871" s="1729">
        <f t="shared" si="1740"/>
        <v>464</v>
      </c>
      <c r="DV871" s="1729">
        <f t="shared" si="1741"/>
        <v>456</v>
      </c>
      <c r="DW871" s="1729">
        <f t="shared" si="1742"/>
        <v>456</v>
      </c>
      <c r="DX871" s="1729">
        <f t="shared" si="1743"/>
        <v>456</v>
      </c>
      <c r="DY871" s="1729">
        <f t="shared" si="1744"/>
        <v>456</v>
      </c>
      <c r="EA871"/>
      <c r="EB871"/>
      <c r="EC871"/>
      <c r="ED871"/>
      <c r="EE871"/>
      <c r="EF871"/>
      <c r="EJ871"/>
      <c r="EK871"/>
      <c r="EL871"/>
      <c r="ER871" s="212"/>
    </row>
    <row r="872" spans="1:148" s="923" customFormat="1" ht="12.75" customHeight="1" x14ac:dyDescent="0.2">
      <c r="A872" s="867" t="s">
        <v>2015</v>
      </c>
      <c r="B872" s="215">
        <v>7.4999999999999997E-3</v>
      </c>
      <c r="C872" s="215"/>
      <c r="D872" s="215"/>
      <c r="E872" s="215"/>
      <c r="F872" s="215"/>
      <c r="G872" s="215"/>
      <c r="H872" s="215"/>
      <c r="I872" s="215">
        <f t="shared" ref="I872:V872" si="1754">I865</f>
        <v>0</v>
      </c>
      <c r="J872" s="215">
        <f t="shared" si="1754"/>
        <v>0</v>
      </c>
      <c r="K872" s="215">
        <f t="shared" si="1754"/>
        <v>0</v>
      </c>
      <c r="L872" s="215">
        <f t="shared" si="1754"/>
        <v>0</v>
      </c>
      <c r="M872" s="968">
        <f t="shared" si="1754"/>
        <v>0</v>
      </c>
      <c r="N872" s="215">
        <f t="shared" si="1754"/>
        <v>0</v>
      </c>
      <c r="O872" s="215">
        <f t="shared" si="1754"/>
        <v>405</v>
      </c>
      <c r="P872" s="215">
        <f t="shared" si="1754"/>
        <v>406</v>
      </c>
      <c r="Q872" s="215">
        <f t="shared" si="1754"/>
        <v>407</v>
      </c>
      <c r="R872" s="968">
        <f t="shared" si="1754"/>
        <v>407</v>
      </c>
      <c r="S872" s="215">
        <f t="shared" si="1754"/>
        <v>407</v>
      </c>
      <c r="T872" s="215">
        <f t="shared" si="1754"/>
        <v>61</v>
      </c>
      <c r="U872" s="215">
        <f t="shared" si="1754"/>
        <v>61</v>
      </c>
      <c r="V872" s="215">
        <f t="shared" si="1754"/>
        <v>61</v>
      </c>
      <c r="W872" s="968">
        <f>V872</f>
        <v>61</v>
      </c>
      <c r="X872" s="215">
        <f>X865</f>
        <v>62</v>
      </c>
      <c r="Y872" s="215">
        <f>Y865</f>
        <v>62</v>
      </c>
      <c r="Z872" s="215">
        <f>Z865</f>
        <v>62</v>
      </c>
      <c r="AA872" s="215">
        <f>AA865</f>
        <v>62</v>
      </c>
      <c r="AB872" s="968">
        <f>AA872</f>
        <v>62</v>
      </c>
      <c r="AC872" s="215">
        <f>AC865</f>
        <v>62</v>
      </c>
      <c r="AD872" s="215">
        <f>AD865</f>
        <v>0</v>
      </c>
      <c r="AE872" s="215"/>
      <c r="AF872" s="215"/>
      <c r="AG872" s="968"/>
      <c r="AH872" s="215"/>
      <c r="AI872" s="215"/>
      <c r="AJ872" s="215"/>
      <c r="AK872" s="215"/>
      <c r="AL872" s="968"/>
      <c r="AM872" s="215"/>
      <c r="AN872" s="215"/>
      <c r="AO872" s="215"/>
      <c r="AP872" s="215"/>
      <c r="AQ872" s="968"/>
      <c r="AR872" s="215"/>
      <c r="AS872" s="215"/>
      <c r="AT872" s="215"/>
      <c r="AU872" s="215"/>
      <c r="AV872" s="968"/>
      <c r="AW872" s="215"/>
      <c r="AX872" s="215"/>
      <c r="AY872" s="215"/>
      <c r="AZ872" s="215"/>
      <c r="BA872" s="968"/>
      <c r="BB872" s="215"/>
      <c r="BC872" s="215"/>
      <c r="BD872" s="215"/>
      <c r="BE872" s="215"/>
      <c r="BF872" s="968"/>
      <c r="BG872" s="215"/>
      <c r="BH872" s="215"/>
      <c r="BI872" s="215"/>
      <c r="BJ872" s="215"/>
      <c r="BK872" s="968"/>
      <c r="BL872" s="215"/>
      <c r="BM872" s="215"/>
      <c r="BN872" s="215"/>
      <c r="BO872" s="215"/>
      <c r="BP872" s="968"/>
      <c r="BQ872" s="215"/>
      <c r="BR872" s="215"/>
      <c r="BS872" s="215"/>
      <c r="BT872" s="215"/>
      <c r="BU872" s="968"/>
      <c r="BV872" s="215"/>
      <c r="BW872" s="215"/>
      <c r="BX872" s="215"/>
      <c r="BY872" s="215"/>
      <c r="BZ872" s="968"/>
      <c r="CA872" s="215"/>
      <c r="CB872" s="215"/>
      <c r="CC872" s="215"/>
      <c r="CD872" s="215"/>
      <c r="CE872" s="968"/>
      <c r="CF872" s="188"/>
      <c r="CG872" s="215"/>
      <c r="CH872" s="215"/>
      <c r="CI872" s="215"/>
      <c r="CJ872" s="968"/>
      <c r="CK872" s="215"/>
      <c r="CL872" s="215"/>
      <c r="CM872" s="215"/>
      <c r="CN872" s="215"/>
      <c r="CO872" s="968"/>
      <c r="CP872" s="215"/>
      <c r="CQ872" s="215"/>
      <c r="CR872" s="215"/>
      <c r="CS872" s="215"/>
      <c r="CT872" s="968"/>
      <c r="CU872" s="188"/>
      <c r="CV872" s="215"/>
      <c r="CW872" s="215"/>
      <c r="CX872" s="1788"/>
      <c r="CY872" s="3098"/>
      <c r="CZ872" s="968"/>
      <c r="DA872" s="968"/>
      <c r="DB872"/>
      <c r="DC872"/>
      <c r="DD872" s="867" t="s">
        <v>2015</v>
      </c>
      <c r="DE872" s="2290">
        <f t="shared" si="1724"/>
        <v>0</v>
      </c>
      <c r="DF872" s="2290">
        <f t="shared" si="1725"/>
        <v>407</v>
      </c>
      <c r="DG872" s="2290">
        <f t="shared" si="1726"/>
        <v>61</v>
      </c>
      <c r="DH872" s="2290">
        <f t="shared" si="1727"/>
        <v>62</v>
      </c>
      <c r="DI872" s="2290">
        <f t="shared" si="1728"/>
        <v>0</v>
      </c>
      <c r="DJ872" s="2290">
        <f t="shared" si="1729"/>
        <v>0</v>
      </c>
      <c r="DK872" s="2290">
        <f t="shared" si="1730"/>
        <v>0</v>
      </c>
      <c r="DL872" s="2290">
        <f t="shared" si="1731"/>
        <v>0</v>
      </c>
      <c r="DM872" s="2290">
        <f t="shared" si="1732"/>
        <v>0</v>
      </c>
      <c r="DN872" s="2290">
        <f t="shared" si="1733"/>
        <v>0</v>
      </c>
      <c r="DO872" s="2290">
        <f t="shared" si="1734"/>
        <v>0</v>
      </c>
      <c r="DP872" s="2290">
        <f t="shared" si="1735"/>
        <v>0</v>
      </c>
      <c r="DQ872" s="2290">
        <f t="shared" si="1736"/>
        <v>0</v>
      </c>
      <c r="DR872" s="2290">
        <f t="shared" si="1737"/>
        <v>0</v>
      </c>
      <c r="DS872" s="2290">
        <f t="shared" si="1738"/>
        <v>0</v>
      </c>
      <c r="DT872" s="2290">
        <f t="shared" si="1739"/>
        <v>0</v>
      </c>
      <c r="DU872" s="2290">
        <f t="shared" si="1740"/>
        <v>0</v>
      </c>
      <c r="DV872" s="2290">
        <f t="shared" si="1741"/>
        <v>0</v>
      </c>
      <c r="DW872" s="2290">
        <f t="shared" si="1742"/>
        <v>0</v>
      </c>
      <c r="DX872" s="2290">
        <f t="shared" si="1743"/>
        <v>0</v>
      </c>
      <c r="DY872" s="2290">
        <f t="shared" si="1744"/>
        <v>0</v>
      </c>
      <c r="EA872"/>
      <c r="EB872"/>
      <c r="EC872"/>
      <c r="ED872"/>
      <c r="EE872"/>
      <c r="EF872"/>
      <c r="EJ872"/>
      <c r="EK872"/>
      <c r="EL872"/>
      <c r="ER872" s="212"/>
    </row>
    <row r="873" spans="1:148" s="923" customFormat="1" ht="12.75" customHeight="1" x14ac:dyDescent="0.2">
      <c r="A873" s="865" t="s">
        <v>2016</v>
      </c>
      <c r="B873" s="215"/>
      <c r="C873" s="215"/>
      <c r="D873" s="215"/>
      <c r="E873" s="215"/>
      <c r="F873" s="215"/>
      <c r="G873" s="215"/>
      <c r="H873" s="215"/>
      <c r="I873" s="215">
        <f>AVERAGE(C872:I872)*$B$872/4</f>
        <v>0</v>
      </c>
      <c r="J873" s="215">
        <f>AVERAGE(I872:J872)*$B$872/4</f>
        <v>0</v>
      </c>
      <c r="K873" s="215">
        <f>AVERAGE(J872:K872)*$B$872/4</f>
        <v>0</v>
      </c>
      <c r="L873" s="215">
        <f>AVERAGE(K872:L872)*$B$872/4</f>
        <v>0</v>
      </c>
      <c r="M873" s="968">
        <f>SUM(I873:L873)</f>
        <v>0</v>
      </c>
      <c r="N873" s="215">
        <f>AVERAGE(M872:N872)*$B$872/(1/(N4/$R$4))</f>
        <v>0</v>
      </c>
      <c r="O873" s="215">
        <f>AVERAGE(N872:O872)*$B$872/(1/(O4/$R$4))</f>
        <v>0.35048076923076926</v>
      </c>
      <c r="P873" s="215">
        <f>AVERAGE(O872:P872)*$B$872/(1/(P4/$R$4))</f>
        <v>0.70182692307692307</v>
      </c>
      <c r="Q873" s="215">
        <f>AVERAGE(P872:Q872)*$B$872/(1/(Q4/$R$4))</f>
        <v>0.93807692307692314</v>
      </c>
      <c r="R873" s="968">
        <f>SUM(N873:Q873)</f>
        <v>1.9903846153846154</v>
      </c>
      <c r="S873" s="215">
        <f>AVERAGE(R872:S872)*$B$872/(1/(S4/$W$4))</f>
        <v>0.69113207547169797</v>
      </c>
      <c r="T873" s="215">
        <f>AVERAGE(S872:T872)*$B$872/(1/(T4/$W$4))</f>
        <v>0.39735849056603767</v>
      </c>
      <c r="U873" s="215">
        <f>AVERAGE(T872:U872)*$B$872/(1/(U4/$W$4))</f>
        <v>0.10358490566037734</v>
      </c>
      <c r="V873" s="215">
        <f>AVERAGE(U872:V872)*$B$872/(1/(V4/$W$4))</f>
        <v>0.14674528301886791</v>
      </c>
      <c r="W873" s="968">
        <f>SUM(S873:V873)</f>
        <v>1.3388207547169806</v>
      </c>
      <c r="X873" s="215">
        <f>AVERAGE(W872:X872)*$B$872/(1/(X4/$W$4))</f>
        <v>0.10443396226415093</v>
      </c>
      <c r="Y873" s="215">
        <f>AVERAGE(X872:Y872)*$B$872/(1/(Y4/$W$4))</f>
        <v>0.10528301886792452</v>
      </c>
      <c r="Z873" s="215">
        <f>AVERAGE(Y872:Z872)*$B$872/(1/(Z4/$AB$4))</f>
        <v>0.10730769230769231</v>
      </c>
      <c r="AA873" s="215">
        <f>AVERAGE(Z872:AA872)*$B$872/(1/(AA4/$AB$4))</f>
        <v>0.14307692307692307</v>
      </c>
      <c r="AB873" s="968">
        <f>SUM(X873:AA873)</f>
        <v>0.4601015965166908</v>
      </c>
      <c r="AC873" s="215">
        <f>AVERAGE(AB872:AC872)*$B$872/(1/(AC4/$AB$4))</f>
        <v>0.10730769230769231</v>
      </c>
      <c r="AD873" s="215">
        <v>0</v>
      </c>
      <c r="AE873" s="215"/>
      <c r="AF873" s="215"/>
      <c r="AG873" s="968"/>
      <c r="AH873" s="215"/>
      <c r="AI873" s="215"/>
      <c r="AJ873" s="215"/>
      <c r="AK873" s="215"/>
      <c r="AL873" s="968"/>
      <c r="AM873" s="215"/>
      <c r="AN873" s="215"/>
      <c r="AO873" s="215"/>
      <c r="AP873" s="215"/>
      <c r="AQ873" s="968"/>
      <c r="AR873" s="215"/>
      <c r="AS873" s="215"/>
      <c r="AT873" s="215"/>
      <c r="AU873" s="215"/>
      <c r="AV873" s="968"/>
      <c r="AW873" s="215"/>
      <c r="AX873" s="215"/>
      <c r="AY873" s="215"/>
      <c r="AZ873" s="215"/>
      <c r="BA873" s="968"/>
      <c r="BB873" s="215"/>
      <c r="BC873" s="215"/>
      <c r="BD873" s="215"/>
      <c r="BE873" s="215"/>
      <c r="BF873" s="968"/>
      <c r="BG873" s="215"/>
      <c r="BH873" s="215"/>
      <c r="BI873" s="215"/>
      <c r="BJ873" s="215"/>
      <c r="BK873" s="968"/>
      <c r="BL873" s="215"/>
      <c r="BM873" s="215"/>
      <c r="BN873" s="215"/>
      <c r="BO873" s="215"/>
      <c r="BP873" s="968"/>
      <c r="BQ873" s="215"/>
      <c r="BR873" s="215"/>
      <c r="BS873" s="215"/>
      <c r="BT873" s="215"/>
      <c r="BU873" s="968"/>
      <c r="BV873" s="215"/>
      <c r="BW873" s="215"/>
      <c r="BX873" s="215"/>
      <c r="BY873" s="215"/>
      <c r="BZ873" s="968"/>
      <c r="CA873" s="215"/>
      <c r="CB873" s="215"/>
      <c r="CC873" s="215"/>
      <c r="CD873" s="215"/>
      <c r="CE873" s="968"/>
      <c r="CF873" s="188"/>
      <c r="CG873" s="215"/>
      <c r="CH873" s="215"/>
      <c r="CI873" s="215"/>
      <c r="CJ873" s="968"/>
      <c r="CK873" s="215"/>
      <c r="CL873" s="215"/>
      <c r="CM873" s="215"/>
      <c r="CN873" s="215"/>
      <c r="CO873" s="968"/>
      <c r="CP873" s="215"/>
      <c r="CQ873" s="215"/>
      <c r="CR873" s="215"/>
      <c r="CS873" s="215"/>
      <c r="CT873" s="968"/>
      <c r="CU873" s="188"/>
      <c r="CV873" s="215"/>
      <c r="CW873" s="215"/>
      <c r="CX873" s="1788"/>
      <c r="CY873" s="1788"/>
      <c r="CZ873" s="968"/>
      <c r="DA873" s="968"/>
      <c r="DB873"/>
      <c r="DC873"/>
      <c r="DD873" s="2323" t="s">
        <v>2016</v>
      </c>
      <c r="DE873" s="2290">
        <f t="shared" si="1724"/>
        <v>0</v>
      </c>
      <c r="DF873" s="2290">
        <f t="shared" si="1725"/>
        <v>1.9903846153846154</v>
      </c>
      <c r="DG873" s="2290">
        <f t="shared" si="1726"/>
        <v>1.3388207547169806</v>
      </c>
      <c r="DH873" s="2290">
        <f t="shared" si="1727"/>
        <v>0.4601015965166908</v>
      </c>
      <c r="DI873" s="2290">
        <f t="shared" si="1728"/>
        <v>0</v>
      </c>
      <c r="DJ873" s="2290">
        <f t="shared" si="1729"/>
        <v>0</v>
      </c>
      <c r="DK873" s="2290">
        <f t="shared" si="1730"/>
        <v>0</v>
      </c>
      <c r="DL873" s="2290">
        <f t="shared" si="1731"/>
        <v>0</v>
      </c>
      <c r="DM873" s="2290">
        <f t="shared" si="1732"/>
        <v>0</v>
      </c>
      <c r="DN873" s="2290">
        <f t="shared" si="1733"/>
        <v>0</v>
      </c>
      <c r="DO873" s="2290">
        <f t="shared" si="1734"/>
        <v>0</v>
      </c>
      <c r="DP873" s="2290">
        <f t="shared" si="1735"/>
        <v>0</v>
      </c>
      <c r="DQ873" s="2290">
        <f t="shared" si="1736"/>
        <v>0</v>
      </c>
      <c r="DR873" s="2290">
        <f t="shared" si="1737"/>
        <v>0</v>
      </c>
      <c r="DS873" s="2290">
        <f t="shared" si="1738"/>
        <v>0</v>
      </c>
      <c r="DT873" s="2290">
        <f t="shared" si="1739"/>
        <v>0</v>
      </c>
      <c r="DU873" s="2290">
        <f t="shared" si="1740"/>
        <v>0</v>
      </c>
      <c r="DV873" s="2290">
        <f t="shared" si="1741"/>
        <v>0</v>
      </c>
      <c r="DW873" s="2290">
        <f t="shared" si="1742"/>
        <v>0</v>
      </c>
      <c r="DX873" s="2290">
        <f t="shared" si="1743"/>
        <v>0</v>
      </c>
      <c r="DY873" s="2290">
        <f t="shared" si="1744"/>
        <v>0</v>
      </c>
      <c r="EA873"/>
      <c r="EB873"/>
      <c r="EC873"/>
      <c r="ED873"/>
      <c r="EE873"/>
      <c r="EF873"/>
      <c r="EJ873"/>
      <c r="EK873"/>
      <c r="EL873"/>
      <c r="ER873" s="212"/>
    </row>
    <row r="874" spans="1:148" s="923" customFormat="1" ht="12.75" customHeight="1" x14ac:dyDescent="0.2">
      <c r="A874" s="2385" t="s">
        <v>2017</v>
      </c>
      <c r="B874" s="3108"/>
      <c r="C874" s="3108"/>
      <c r="D874" s="3108"/>
      <c r="E874" s="3108"/>
      <c r="F874" s="3108"/>
      <c r="G874" s="3108"/>
      <c r="H874" s="3108"/>
      <c r="I874" s="3108">
        <v>0</v>
      </c>
      <c r="J874" s="3108">
        <v>0</v>
      </c>
      <c r="K874" s="3108">
        <v>0</v>
      </c>
      <c r="L874" s="3108">
        <v>0</v>
      </c>
      <c r="M874" s="3109">
        <f>SUM(I874:L874)</f>
        <v>0</v>
      </c>
      <c r="N874" s="3108">
        <v>0</v>
      </c>
      <c r="O874" s="3108">
        <v>0</v>
      </c>
      <c r="P874" s="3108">
        <v>0</v>
      </c>
      <c r="Q874" s="3108">
        <v>0</v>
      </c>
      <c r="R874" s="3109">
        <f>SUM(N874:Q874)</f>
        <v>0</v>
      </c>
      <c r="S874" s="3108">
        <v>0</v>
      </c>
      <c r="T874" s="3108">
        <v>0</v>
      </c>
      <c r="U874" s="3108">
        <v>0</v>
      </c>
      <c r="V874" s="3108">
        <v>0</v>
      </c>
      <c r="W874" s="3109">
        <f>SUM(S874:V874)</f>
        <v>0</v>
      </c>
      <c r="X874" s="3108">
        <v>0</v>
      </c>
      <c r="Y874" s="3108">
        <v>0</v>
      </c>
      <c r="Z874" s="3108">
        <v>0</v>
      </c>
      <c r="AA874" s="3108">
        <v>0</v>
      </c>
      <c r="AB874" s="3109">
        <f>SUM(X874:AA874)</f>
        <v>0</v>
      </c>
      <c r="AC874" s="3108">
        <v>0</v>
      </c>
      <c r="AD874" s="3108">
        <v>0</v>
      </c>
      <c r="AE874" s="3108"/>
      <c r="AF874" s="3108"/>
      <c r="AG874" s="3109"/>
      <c r="AH874" s="3108"/>
      <c r="AI874" s="3108"/>
      <c r="AJ874" s="3108"/>
      <c r="AK874" s="3108"/>
      <c r="AL874" s="3109"/>
      <c r="AM874" s="3108"/>
      <c r="AN874" s="3108"/>
      <c r="AO874" s="3108"/>
      <c r="AP874" s="3108"/>
      <c r="AQ874" s="3109"/>
      <c r="AR874" s="3108"/>
      <c r="AS874" s="3108"/>
      <c r="AT874" s="3108"/>
      <c r="AU874" s="3108"/>
      <c r="AV874" s="3109"/>
      <c r="AW874" s="3108"/>
      <c r="AX874" s="3108"/>
      <c r="AY874" s="3108"/>
      <c r="AZ874" s="3108"/>
      <c r="BA874" s="3109"/>
      <c r="BB874" s="3108"/>
      <c r="BC874" s="3108"/>
      <c r="BD874" s="3108"/>
      <c r="BE874" s="3108"/>
      <c r="BF874" s="3109"/>
      <c r="BG874" s="3108"/>
      <c r="BH874" s="3108"/>
      <c r="BI874" s="3108"/>
      <c r="BJ874" s="3108"/>
      <c r="BK874" s="3109"/>
      <c r="BL874" s="3108"/>
      <c r="BM874" s="3108"/>
      <c r="BN874" s="3108"/>
      <c r="BO874" s="3108"/>
      <c r="BP874" s="3109"/>
      <c r="BQ874" s="3108"/>
      <c r="BR874" s="3108"/>
      <c r="BS874" s="3108"/>
      <c r="BT874" s="3108"/>
      <c r="BU874" s="3109"/>
      <c r="BV874" s="3108"/>
      <c r="BW874" s="3108"/>
      <c r="BX874" s="3108"/>
      <c r="BY874" s="3108"/>
      <c r="BZ874" s="3109"/>
      <c r="CA874" s="3108"/>
      <c r="CB874" s="3108"/>
      <c r="CC874" s="3108"/>
      <c r="CD874" s="3108"/>
      <c r="CE874" s="3109"/>
      <c r="CF874" s="3110"/>
      <c r="CG874" s="3108"/>
      <c r="CH874" s="3108"/>
      <c r="CI874" s="3108"/>
      <c r="CJ874" s="3109"/>
      <c r="CK874" s="3108"/>
      <c r="CL874" s="3108"/>
      <c r="CM874" s="3108"/>
      <c r="CN874" s="3108"/>
      <c r="CO874" s="3109"/>
      <c r="CP874" s="3108"/>
      <c r="CQ874" s="3108"/>
      <c r="CR874" s="3108"/>
      <c r="CS874" s="3108"/>
      <c r="CT874" s="3109"/>
      <c r="CU874" s="3110"/>
      <c r="CV874" s="3108"/>
      <c r="CW874" s="3108"/>
      <c r="CX874" s="3647"/>
      <c r="CY874" s="3647"/>
      <c r="CZ874" s="3109"/>
      <c r="DA874" s="3109"/>
      <c r="DB874"/>
      <c r="DC874"/>
      <c r="DD874" s="2323" t="s">
        <v>2017</v>
      </c>
      <c r="DE874" s="2290">
        <f t="shared" si="1724"/>
        <v>0</v>
      </c>
      <c r="DF874" s="2290">
        <f t="shared" si="1725"/>
        <v>0</v>
      </c>
      <c r="DG874" s="2290">
        <f t="shared" si="1726"/>
        <v>0</v>
      </c>
      <c r="DH874" s="2290">
        <f t="shared" si="1727"/>
        <v>0</v>
      </c>
      <c r="DI874" s="2290">
        <f t="shared" si="1728"/>
        <v>0</v>
      </c>
      <c r="DJ874" s="2290">
        <f t="shared" si="1729"/>
        <v>0</v>
      </c>
      <c r="DK874" s="2290">
        <f t="shared" si="1730"/>
        <v>0</v>
      </c>
      <c r="DL874" s="2290">
        <f t="shared" si="1731"/>
        <v>0</v>
      </c>
      <c r="DM874" s="2290">
        <f t="shared" si="1732"/>
        <v>0</v>
      </c>
      <c r="DN874" s="2290">
        <f t="shared" si="1733"/>
        <v>0</v>
      </c>
      <c r="DO874" s="2290">
        <f t="shared" si="1734"/>
        <v>0</v>
      </c>
      <c r="DP874" s="2290">
        <f t="shared" si="1735"/>
        <v>0</v>
      </c>
      <c r="DQ874" s="2290">
        <f t="shared" si="1736"/>
        <v>0</v>
      </c>
      <c r="DR874" s="2290">
        <f t="shared" si="1737"/>
        <v>0</v>
      </c>
      <c r="DS874" s="2290">
        <f t="shared" si="1738"/>
        <v>0</v>
      </c>
      <c r="DT874" s="2290">
        <f t="shared" si="1739"/>
        <v>0</v>
      </c>
      <c r="DU874" s="2290">
        <f t="shared" si="1740"/>
        <v>0</v>
      </c>
      <c r="DV874" s="2290">
        <f t="shared" si="1741"/>
        <v>0</v>
      </c>
      <c r="DW874" s="2290">
        <f t="shared" si="1742"/>
        <v>0</v>
      </c>
      <c r="DX874" s="2290">
        <f t="shared" si="1743"/>
        <v>0</v>
      </c>
      <c r="DY874" s="2290">
        <f t="shared" si="1744"/>
        <v>0</v>
      </c>
      <c r="EA874"/>
      <c r="EB874"/>
      <c r="EC874"/>
      <c r="ED874"/>
      <c r="EE874"/>
      <c r="EF874"/>
      <c r="EJ874"/>
      <c r="EK874"/>
      <c r="EL874"/>
      <c r="ER874" s="212"/>
    </row>
    <row r="875" spans="1:148" s="923" customFormat="1" ht="12.75" customHeight="1" x14ac:dyDescent="0.2">
      <c r="A875" s="865"/>
      <c r="B875" s="215"/>
      <c r="C875" s="215"/>
      <c r="D875" s="215"/>
      <c r="E875" s="215"/>
      <c r="F875" s="215"/>
      <c r="G875" s="215"/>
      <c r="H875" s="215"/>
      <c r="I875" s="215"/>
      <c r="J875" s="215"/>
      <c r="K875" s="215"/>
      <c r="L875" s="215"/>
      <c r="M875" s="215"/>
      <c r="N875" s="215"/>
      <c r="O875" s="215"/>
      <c r="P875" s="215"/>
      <c r="Q875" s="215"/>
      <c r="R875" s="215"/>
      <c r="S875" s="215"/>
      <c r="T875" s="215"/>
      <c r="U875" s="215"/>
      <c r="V875" s="215"/>
      <c r="W875" s="215"/>
      <c r="X875" s="215"/>
      <c r="Y875" s="215"/>
      <c r="Z875" s="215"/>
      <c r="AA875" s="215"/>
      <c r="AB875" s="215"/>
      <c r="AC875" s="215"/>
      <c r="AD875" s="215"/>
      <c r="AE875" s="215"/>
      <c r="AF875" s="215"/>
      <c r="AG875" s="215"/>
      <c r="AH875" s="215"/>
      <c r="AI875" s="215"/>
      <c r="AJ875" s="215"/>
      <c r="AK875" s="215"/>
      <c r="AL875" s="215"/>
      <c r="AM875" s="215"/>
      <c r="AN875" s="215"/>
      <c r="AO875" s="215"/>
      <c r="AP875" s="215"/>
      <c r="AQ875" s="215"/>
      <c r="AR875" s="215"/>
      <c r="AS875" s="215"/>
      <c r="AT875" s="215"/>
      <c r="AU875" s="215"/>
      <c r="AV875" s="215"/>
      <c r="AW875" s="215"/>
      <c r="AX875" s="215"/>
      <c r="AY875" s="215"/>
      <c r="AZ875" s="215"/>
      <c r="BA875" s="215"/>
      <c r="BB875" s="215"/>
      <c r="BC875" s="215"/>
      <c r="BD875" s="215"/>
      <c r="BE875" s="215"/>
      <c r="BF875" s="215"/>
      <c r="BG875" s="215"/>
      <c r="BH875" s="215"/>
      <c r="BI875" s="215"/>
      <c r="BJ875" s="215"/>
      <c r="BK875" s="215"/>
      <c r="BL875" s="215"/>
      <c r="BM875" s="215"/>
      <c r="BN875" s="215"/>
      <c r="BO875" s="215"/>
      <c r="BP875" s="215"/>
      <c r="BQ875" s="215"/>
      <c r="BR875" s="215"/>
      <c r="BS875" s="215"/>
      <c r="BT875" s="215"/>
      <c r="BU875" s="215"/>
      <c r="BV875" s="215"/>
      <c r="BW875" s="215"/>
      <c r="BX875" s="215"/>
      <c r="BY875" s="215"/>
      <c r="BZ875" s="215"/>
      <c r="CA875" s="215"/>
      <c r="CB875" s="215"/>
      <c r="CC875" s="215"/>
      <c r="CD875" s="215"/>
      <c r="CE875" s="215"/>
      <c r="CF875" s="215"/>
      <c r="CG875" s="215"/>
      <c r="CH875" s="215"/>
      <c r="CI875" s="215"/>
      <c r="CJ875" s="215"/>
      <c r="CK875" s="215"/>
      <c r="CL875" s="215"/>
      <c r="CM875" s="215"/>
      <c r="CN875" s="215"/>
      <c r="CO875" s="215"/>
      <c r="CP875" s="215"/>
      <c r="CQ875" s="215"/>
      <c r="CR875" s="215"/>
      <c r="CS875" s="215"/>
      <c r="CT875" s="215"/>
      <c r="CU875" s="215"/>
      <c r="CV875" s="215"/>
      <c r="CW875" s="215"/>
      <c r="CX875" s="215"/>
      <c r="CY875" s="215"/>
      <c r="CZ875" s="215"/>
      <c r="DA875" s="215"/>
      <c r="DB875"/>
      <c r="DC875"/>
      <c r="DD875" s="2323"/>
      <c r="DE875" s="2327"/>
      <c r="DF875" s="2327"/>
      <c r="DG875" s="2327"/>
      <c r="DH875" s="2327"/>
      <c r="DI875" s="2327"/>
      <c r="DJ875" s="2327"/>
      <c r="DK875" s="2327"/>
      <c r="DL875" s="2327"/>
      <c r="DM875" s="2327"/>
      <c r="DN875" s="2327"/>
      <c r="DO875" s="2327"/>
      <c r="DP875" s="2327"/>
      <c r="DQ875" s="2327"/>
      <c r="DR875" s="2327"/>
      <c r="DS875" s="2327"/>
      <c r="DT875" s="2327"/>
      <c r="DU875" s="2327"/>
      <c r="DV875" s="2327"/>
      <c r="DW875" s="2327"/>
      <c r="DX875" s="2327"/>
      <c r="DY875" s="2327"/>
      <c r="EA875"/>
      <c r="EB875"/>
      <c r="EC875"/>
      <c r="ED875"/>
      <c r="EE875"/>
      <c r="EF875"/>
      <c r="EJ875"/>
      <c r="EK875"/>
      <c r="EL875"/>
      <c r="ER875" s="212"/>
    </row>
    <row r="876" spans="1:148" ht="12.75" customHeight="1" x14ac:dyDescent="0.2">
      <c r="A876" s="895"/>
      <c r="DD876" s="2360"/>
      <c r="DE876" s="2349"/>
      <c r="DF876" s="2349"/>
      <c r="DG876" s="2349"/>
      <c r="DH876" s="2349"/>
      <c r="DI876" s="2349"/>
      <c r="DJ876" s="2349"/>
      <c r="DK876" s="2349"/>
      <c r="DL876" s="2349"/>
      <c r="DM876" s="2349"/>
      <c r="DN876" s="2349"/>
      <c r="DO876" s="2349"/>
      <c r="DP876" s="2349"/>
      <c r="DQ876" s="2349"/>
      <c r="DR876" s="2349"/>
      <c r="DS876" s="2349"/>
      <c r="DT876" s="2349"/>
      <c r="DU876" s="2349"/>
      <c r="DV876" s="2349"/>
      <c r="DW876" s="2349"/>
      <c r="DX876" s="2349"/>
      <c r="DY876" s="2349"/>
      <c r="EK876"/>
      <c r="EL876"/>
    </row>
    <row r="877" spans="1:148" ht="12.75" customHeight="1" x14ac:dyDescent="0.2">
      <c r="A877" s="873" t="s">
        <v>451</v>
      </c>
      <c r="B877" s="963"/>
      <c r="C877" s="963"/>
      <c r="D877" s="963"/>
      <c r="E877" s="963"/>
      <c r="F877" s="963"/>
      <c r="G877" s="963"/>
      <c r="H877" s="963"/>
      <c r="I877" s="963" t="str">
        <f t="shared" ref="I877:AN877" si="1755">I$5</f>
        <v>1Q00</v>
      </c>
      <c r="J877" s="963" t="str">
        <f t="shared" si="1755"/>
        <v>2Q00</v>
      </c>
      <c r="K877" s="963" t="str">
        <f t="shared" si="1755"/>
        <v>3Q00</v>
      </c>
      <c r="L877" s="963" t="str">
        <f t="shared" si="1755"/>
        <v>4Q00</v>
      </c>
      <c r="M877" s="649">
        <f t="shared" si="1755"/>
        <v>2000</v>
      </c>
      <c r="N877" s="963" t="str">
        <f t="shared" si="1755"/>
        <v>1Q01</v>
      </c>
      <c r="O877" s="963" t="str">
        <f t="shared" si="1755"/>
        <v>2Q01</v>
      </c>
      <c r="P877" s="963" t="str">
        <f t="shared" si="1755"/>
        <v>3Q01</v>
      </c>
      <c r="Q877" s="963" t="str">
        <f t="shared" si="1755"/>
        <v>4Q01</v>
      </c>
      <c r="R877" s="649">
        <f t="shared" si="1755"/>
        <v>2001</v>
      </c>
      <c r="S877" s="963" t="str">
        <f t="shared" si="1755"/>
        <v>1Q02</v>
      </c>
      <c r="T877" s="963" t="str">
        <f t="shared" si="1755"/>
        <v>2Q02</v>
      </c>
      <c r="U877" s="963" t="str">
        <f t="shared" si="1755"/>
        <v>3Q02</v>
      </c>
      <c r="V877" s="963" t="str">
        <f t="shared" si="1755"/>
        <v>4Q02</v>
      </c>
      <c r="W877" s="649">
        <f t="shared" si="1755"/>
        <v>2002</v>
      </c>
      <c r="X877" s="963" t="str">
        <f t="shared" si="1755"/>
        <v>1Q03</v>
      </c>
      <c r="Y877" s="963" t="str">
        <f t="shared" si="1755"/>
        <v>2Q03</v>
      </c>
      <c r="Z877" s="963" t="str">
        <f t="shared" si="1755"/>
        <v>3Q03</v>
      </c>
      <c r="AA877" s="963" t="str">
        <f t="shared" si="1755"/>
        <v>4Q03</v>
      </c>
      <c r="AB877" s="649">
        <f t="shared" si="1755"/>
        <v>2003</v>
      </c>
      <c r="AC877" s="963" t="str">
        <f t="shared" si="1755"/>
        <v>1Q04</v>
      </c>
      <c r="AD877" s="963" t="str">
        <f t="shared" si="1755"/>
        <v>2Q04</v>
      </c>
      <c r="AE877" s="963" t="str">
        <f t="shared" si="1755"/>
        <v>3Q04</v>
      </c>
      <c r="AF877" s="963" t="str">
        <f t="shared" si="1755"/>
        <v>4Q04</v>
      </c>
      <c r="AG877" s="649" t="str">
        <f t="shared" si="1755"/>
        <v>2004</v>
      </c>
      <c r="AH877" s="963" t="str">
        <f t="shared" si="1755"/>
        <v>1Q05</v>
      </c>
      <c r="AI877" s="963" t="str">
        <f t="shared" si="1755"/>
        <v>2Q05</v>
      </c>
      <c r="AJ877" s="963" t="str">
        <f t="shared" si="1755"/>
        <v>3Q05</v>
      </c>
      <c r="AK877" s="963" t="str">
        <f t="shared" si="1755"/>
        <v>4Q05</v>
      </c>
      <c r="AL877" s="649" t="str">
        <f t="shared" si="1755"/>
        <v>2005</v>
      </c>
      <c r="AM877" s="963" t="str">
        <f t="shared" si="1755"/>
        <v>1Q06</v>
      </c>
      <c r="AN877" s="963" t="str">
        <f t="shared" si="1755"/>
        <v>2Q06</v>
      </c>
      <c r="AO877" s="963" t="str">
        <f t="shared" ref="AO877:BT877" si="1756">AO$5</f>
        <v>3Q06</v>
      </c>
      <c r="AP877" s="963" t="str">
        <f t="shared" si="1756"/>
        <v>4Q06</v>
      </c>
      <c r="AQ877" s="649" t="str">
        <f t="shared" si="1756"/>
        <v>2006</v>
      </c>
      <c r="AR877" s="963" t="str">
        <f t="shared" si="1756"/>
        <v>1Q07</v>
      </c>
      <c r="AS877" s="963" t="str">
        <f t="shared" si="1756"/>
        <v>2Q07</v>
      </c>
      <c r="AT877" s="963" t="str">
        <f t="shared" si="1756"/>
        <v>3Q07</v>
      </c>
      <c r="AU877" s="963" t="str">
        <f t="shared" si="1756"/>
        <v>4Q07</v>
      </c>
      <c r="AV877" s="649" t="str">
        <f t="shared" si="1756"/>
        <v>2007</v>
      </c>
      <c r="AW877" s="963" t="str">
        <f t="shared" si="1756"/>
        <v>1Q08</v>
      </c>
      <c r="AX877" s="963" t="str">
        <f t="shared" si="1756"/>
        <v>2Q08</v>
      </c>
      <c r="AY877" s="963" t="str">
        <f t="shared" si="1756"/>
        <v>3Q08</v>
      </c>
      <c r="AZ877" s="963" t="str">
        <f t="shared" si="1756"/>
        <v>4Q08</v>
      </c>
      <c r="BA877" s="649" t="str">
        <f t="shared" si="1756"/>
        <v>2008</v>
      </c>
      <c r="BB877" s="963" t="str">
        <f t="shared" si="1756"/>
        <v>1Q09</v>
      </c>
      <c r="BC877" s="963" t="str">
        <f t="shared" si="1756"/>
        <v>2Q09</v>
      </c>
      <c r="BD877" s="963" t="str">
        <f t="shared" si="1756"/>
        <v>3Q09</v>
      </c>
      <c r="BE877" s="963" t="str">
        <f t="shared" si="1756"/>
        <v>4Q09</v>
      </c>
      <c r="BF877" s="649" t="str">
        <f t="shared" si="1756"/>
        <v>2009</v>
      </c>
      <c r="BG877" s="963" t="str">
        <f t="shared" si="1756"/>
        <v>1Q10</v>
      </c>
      <c r="BH877" s="963" t="str">
        <f t="shared" si="1756"/>
        <v>2Q10</v>
      </c>
      <c r="BI877" s="963" t="str">
        <f t="shared" si="1756"/>
        <v>3Q10</v>
      </c>
      <c r="BJ877" s="963" t="str">
        <f t="shared" si="1756"/>
        <v>4Q10</v>
      </c>
      <c r="BK877" s="649" t="str">
        <f t="shared" si="1756"/>
        <v>2010</v>
      </c>
      <c r="BL877" s="963" t="str">
        <f t="shared" si="1756"/>
        <v>1Q11</v>
      </c>
      <c r="BM877" s="963" t="str">
        <f t="shared" si="1756"/>
        <v>2Q11</v>
      </c>
      <c r="BN877" s="963" t="str">
        <f t="shared" si="1756"/>
        <v>3Q11</v>
      </c>
      <c r="BO877" s="963" t="str">
        <f t="shared" si="1756"/>
        <v>4Q11</v>
      </c>
      <c r="BP877" s="649">
        <f t="shared" si="1756"/>
        <v>2011</v>
      </c>
      <c r="BQ877" s="963" t="str">
        <f t="shared" si="1756"/>
        <v>1Q12</v>
      </c>
      <c r="BR877" s="963" t="str">
        <f t="shared" si="1756"/>
        <v>2Q12</v>
      </c>
      <c r="BS877" s="963" t="str">
        <f t="shared" si="1756"/>
        <v>3Q12</v>
      </c>
      <c r="BT877" s="963" t="str">
        <f t="shared" si="1756"/>
        <v>4Q12</v>
      </c>
      <c r="BU877" s="649">
        <f t="shared" ref="BU877:DA877" si="1757">BU$5</f>
        <v>2012</v>
      </c>
      <c r="BV877" s="963" t="str">
        <f t="shared" si="1757"/>
        <v>1Q13</v>
      </c>
      <c r="BW877" s="963" t="str">
        <f t="shared" si="1757"/>
        <v>2Q13</v>
      </c>
      <c r="BX877" s="963" t="str">
        <f t="shared" si="1757"/>
        <v>3Q13</v>
      </c>
      <c r="BY877" s="963" t="str">
        <f t="shared" si="1757"/>
        <v>4Q13</v>
      </c>
      <c r="BZ877" s="649">
        <f t="shared" si="1757"/>
        <v>2013</v>
      </c>
      <c r="CA877" s="1768" t="str">
        <f t="shared" si="1757"/>
        <v>1Q14</v>
      </c>
      <c r="CB877" s="963" t="str">
        <f t="shared" si="1757"/>
        <v>2Q14</v>
      </c>
      <c r="CC877" s="963" t="str">
        <f t="shared" si="1757"/>
        <v>3Q14</v>
      </c>
      <c r="CD877" s="964" t="str">
        <f t="shared" si="1757"/>
        <v>4Q14</v>
      </c>
      <c r="CE877" s="649">
        <f t="shared" si="1757"/>
        <v>2014</v>
      </c>
      <c r="CF877" s="963" t="str">
        <f t="shared" si="1757"/>
        <v>1Q15</v>
      </c>
      <c r="CG877" s="963" t="str">
        <f t="shared" si="1757"/>
        <v>2Q15</v>
      </c>
      <c r="CH877" s="963" t="str">
        <f t="shared" si="1757"/>
        <v>3Q15</v>
      </c>
      <c r="CI877" s="964" t="str">
        <f t="shared" si="1757"/>
        <v>4Q15</v>
      </c>
      <c r="CJ877" s="649">
        <f t="shared" si="1757"/>
        <v>2015</v>
      </c>
      <c r="CK877" s="963" t="str">
        <f t="shared" si="1757"/>
        <v>1Q16</v>
      </c>
      <c r="CL877" s="963" t="str">
        <f t="shared" si="1757"/>
        <v>2Q16</v>
      </c>
      <c r="CM877" s="963" t="str">
        <f t="shared" si="1757"/>
        <v>3Q16</v>
      </c>
      <c r="CN877" s="964" t="str">
        <f t="shared" si="1757"/>
        <v>4Q16</v>
      </c>
      <c r="CO877" s="649">
        <f t="shared" si="1757"/>
        <v>2016</v>
      </c>
      <c r="CP877" s="963" t="str">
        <f t="shared" si="1757"/>
        <v>1Q17</v>
      </c>
      <c r="CQ877" s="963" t="str">
        <f t="shared" si="1757"/>
        <v>2Q17</v>
      </c>
      <c r="CR877" s="963" t="str">
        <f t="shared" si="1757"/>
        <v>3Q17</v>
      </c>
      <c r="CS877" s="964" t="str">
        <f t="shared" si="1757"/>
        <v>4Q17A</v>
      </c>
      <c r="CT877" s="649" t="str">
        <f t="shared" si="1757"/>
        <v>2017A</v>
      </c>
      <c r="CU877" s="963" t="str">
        <f t="shared" si="1757"/>
        <v>1Q18E</v>
      </c>
      <c r="CV877" s="963" t="str">
        <f t="shared" si="1757"/>
        <v>2Q18E</v>
      </c>
      <c r="CW877" s="963" t="str">
        <f t="shared" si="1757"/>
        <v>3Q18E</v>
      </c>
      <c r="CX877" s="964" t="str">
        <f t="shared" si="1757"/>
        <v>4Q18E</v>
      </c>
      <c r="CY877" s="1768" t="str">
        <f t="shared" si="1757"/>
        <v>2018E</v>
      </c>
      <c r="CZ877" s="649" t="str">
        <f t="shared" si="1757"/>
        <v>2019E</v>
      </c>
      <c r="DA877" s="649" t="str">
        <f t="shared" si="1757"/>
        <v>2020E</v>
      </c>
      <c r="DD877" s="873" t="s">
        <v>451</v>
      </c>
      <c r="DE877" s="649">
        <f t="shared" ref="DE877:DE890" si="1758">M877</f>
        <v>2000</v>
      </c>
      <c r="DF877" s="649">
        <f t="shared" ref="DF877:DF890" si="1759">R877</f>
        <v>2001</v>
      </c>
      <c r="DG877" s="649">
        <f t="shared" ref="DG877:DG890" si="1760">W877</f>
        <v>2002</v>
      </c>
      <c r="DH877" s="649">
        <f t="shared" ref="DH877:DH890" si="1761">AB877</f>
        <v>2003</v>
      </c>
      <c r="DI877" s="649" t="str">
        <f t="shared" ref="DI877:DI890" si="1762">AG877</f>
        <v>2004</v>
      </c>
      <c r="DJ877" s="649" t="str">
        <f t="shared" ref="DJ877:DJ890" si="1763">AL877</f>
        <v>2005</v>
      </c>
      <c r="DK877" s="649" t="str">
        <f t="shared" ref="DK877:DK890" si="1764">AQ877</f>
        <v>2006</v>
      </c>
      <c r="DL877" s="649" t="str">
        <f t="shared" ref="DL877:DL890" si="1765">AV877</f>
        <v>2007</v>
      </c>
      <c r="DM877" s="649" t="str">
        <f t="shared" ref="DM877:DM890" si="1766">BA877</f>
        <v>2008</v>
      </c>
      <c r="DN877" s="649" t="str">
        <f t="shared" ref="DN877:DN890" si="1767">BF877</f>
        <v>2009</v>
      </c>
      <c r="DO877" s="649" t="str">
        <f t="shared" ref="DO877:DO890" si="1768">BK877</f>
        <v>2010</v>
      </c>
      <c r="DP877" s="649">
        <f t="shared" ref="DP877:DP890" si="1769">BP877</f>
        <v>2011</v>
      </c>
      <c r="DQ877" s="649">
        <f t="shared" ref="DQ877:DQ890" si="1770">BU877</f>
        <v>2012</v>
      </c>
      <c r="DR877" s="649">
        <f t="shared" ref="DR877:DR890" si="1771">BZ877</f>
        <v>2013</v>
      </c>
      <c r="DS877" s="649">
        <f t="shared" ref="DS877:DS890" si="1772">CE877</f>
        <v>2014</v>
      </c>
      <c r="DT877" s="649">
        <f t="shared" ref="DT877:DT890" si="1773">CJ877</f>
        <v>2015</v>
      </c>
      <c r="DU877" s="649">
        <f t="shared" ref="DU877:DU890" si="1774">CO877</f>
        <v>2016</v>
      </c>
      <c r="DV877" s="649" t="str">
        <f t="shared" ref="DV877:DV890" si="1775">CT877</f>
        <v>2017A</v>
      </c>
      <c r="DW877" s="649" t="str">
        <f t="shared" ref="DW877:DW890" si="1776">CY877</f>
        <v>2018E</v>
      </c>
      <c r="DX877" s="649" t="str">
        <f t="shared" ref="DX877:DX890" si="1777">CZ877</f>
        <v>2019E</v>
      </c>
      <c r="DY877" s="649" t="str">
        <f t="shared" ref="DY877:DY890" si="1778">DA877</f>
        <v>2020E</v>
      </c>
      <c r="EK877"/>
      <c r="EL877"/>
    </row>
    <row r="878" spans="1:148" s="243" customFormat="1" ht="12.75" customHeight="1" x14ac:dyDescent="0.2">
      <c r="A878" s="1682" t="s">
        <v>2018</v>
      </c>
      <c r="B878" s="1045"/>
      <c r="C878" s="1045"/>
      <c r="D878" s="1045"/>
      <c r="E878" s="1045"/>
      <c r="F878" s="1045"/>
      <c r="G878" s="1045"/>
      <c r="H878" s="1045"/>
      <c r="I878" s="1045"/>
      <c r="J878" s="1045"/>
      <c r="K878" s="1045"/>
      <c r="L878" s="1045"/>
      <c r="M878" s="1044"/>
      <c r="N878" s="1045"/>
      <c r="O878" s="1045"/>
      <c r="P878" s="1045"/>
      <c r="Q878" s="1045"/>
      <c r="R878" s="1044"/>
      <c r="S878" s="1045"/>
      <c r="T878" s="1045"/>
      <c r="U878" s="1045"/>
      <c r="V878" s="1045"/>
      <c r="W878" s="1044"/>
      <c r="X878" s="1045"/>
      <c r="Y878" s="1045"/>
      <c r="Z878" s="1045"/>
      <c r="AA878" s="1045"/>
      <c r="AB878" s="1044"/>
      <c r="AC878" s="1045"/>
      <c r="AD878" s="1045"/>
      <c r="AE878" s="1045"/>
      <c r="AF878" s="1045"/>
      <c r="AG878" s="1044"/>
      <c r="AH878" s="1045">
        <v>2.8410000000000001E-2</v>
      </c>
      <c r="AI878" s="1045">
        <v>3.286E-2</v>
      </c>
      <c r="AJ878" s="1045">
        <v>3.78E-2</v>
      </c>
      <c r="AK878" s="1045">
        <v>4.3366666666666658E-2</v>
      </c>
      <c r="AL878" s="1044">
        <f>AVERAGE(AH878:AK878)</f>
        <v>3.5609166666666664E-2</v>
      </c>
      <c r="AM878" s="1045">
        <v>4.7678999999999999E-2</v>
      </c>
      <c r="AN878" s="1045">
        <v>5.2198000000000001E-2</v>
      </c>
      <c r="AO878" s="1045">
        <v>5.4330158730158729E-2</v>
      </c>
      <c r="AP878" s="1045">
        <v>5.3688E-2</v>
      </c>
      <c r="AQ878" s="1044">
        <f>AVERAGE(AM878:AP878)</f>
        <v>5.1973789682539684E-2</v>
      </c>
      <c r="AR878" s="1045">
        <v>5.3554838709677498E-2</v>
      </c>
      <c r="AS878" s="1045">
        <v>5.3589062500000097E-2</v>
      </c>
      <c r="AT878" s="1045">
        <v>5.3920000000000003E-2</v>
      </c>
      <c r="AU878" s="1045">
        <v>5.0306456249999992E-2</v>
      </c>
      <c r="AV878" s="1044">
        <f>AVERAGE(AR878:AU878)</f>
        <v>5.2842589364919396E-2</v>
      </c>
      <c r="AW878" s="1045">
        <v>3.2835723076923097E-2</v>
      </c>
      <c r="AX878" s="1045">
        <v>2.7508000000000001E-2</v>
      </c>
      <c r="AY878" s="1045">
        <v>2.9080000000000002E-2</v>
      </c>
      <c r="AZ878" s="1045">
        <v>2.7224000000000002E-2</v>
      </c>
      <c r="BA878" s="1044">
        <f>AVERAGE(AW878:AZ878)</f>
        <v>2.9161930769230772E-2</v>
      </c>
      <c r="BB878" s="1045">
        <f>(1.25%+AZ878)/2</f>
        <v>1.9862000000000001E-2</v>
      </c>
      <c r="BC878" s="1045">
        <v>1.46E-2</v>
      </c>
      <c r="BD878" s="1045">
        <f>(0.3%+0.3%)/2</f>
        <v>3.0000000000000001E-3</v>
      </c>
      <c r="BE878" s="1045">
        <v>2.5000000000000001E-3</v>
      </c>
      <c r="BF878" s="1044">
        <f>AVERAGE(BB878:BE878)</f>
        <v>9.9905000000000011E-3</v>
      </c>
      <c r="BG878" s="1045">
        <v>3.0000000000000001E-3</v>
      </c>
      <c r="BH878" s="1045">
        <v>5.3E-3</v>
      </c>
      <c r="BI878" s="1045">
        <f>0.4365%</f>
        <v>4.365E-3</v>
      </c>
      <c r="BJ878" s="1045">
        <f>(0.29%+0.3%)/2</f>
        <v>2.9499999999999999E-3</v>
      </c>
      <c r="BK878" s="1044">
        <f>AVERAGE(BG878:BJ878)</f>
        <v>3.9037499999999997E-3</v>
      </c>
      <c r="BL878" s="1045">
        <f>(0.3%+0.3%)/2</f>
        <v>3.0000000000000001E-3</v>
      </c>
      <c r="BM878" s="1045">
        <f>(0.3%+0.3%)/2</f>
        <v>3.0000000000000001E-3</v>
      </c>
      <c r="BN878" s="1045">
        <f>(0.3%+0.3%)/2</f>
        <v>3.0000000000000001E-3</v>
      </c>
      <c r="BO878" s="1045">
        <f>(0.3%+0.4%)/2</f>
        <v>3.5000000000000001E-3</v>
      </c>
      <c r="BP878" s="1044">
        <f>AVERAGE(BL878:BO878)</f>
        <v>3.1250000000000002E-3</v>
      </c>
      <c r="BQ878" s="1045">
        <f>(0.3%+0.3%)/2</f>
        <v>3.0000000000000001E-3</v>
      </c>
      <c r="BR878" s="1045">
        <f>(0.3%+0.3%)/2</f>
        <v>3.0000000000000001E-3</v>
      </c>
      <c r="BS878" s="1045">
        <f>(0.3%+0.3%)/2</f>
        <v>3.0000000000000001E-3</v>
      </c>
      <c r="BT878" s="1045">
        <f>(0.3%+0.3%)/2</f>
        <v>3.0000000000000001E-3</v>
      </c>
      <c r="BU878" s="1044">
        <f>AVERAGE(BQ878:BT878)</f>
        <v>3.0000000000000001E-3</v>
      </c>
      <c r="BV878" s="1045">
        <f>(0.3%+0.3%)/2</f>
        <v>3.0000000000000001E-3</v>
      </c>
      <c r="BW878" s="1045">
        <f>(0.3%+0.3%)/2</f>
        <v>3.0000000000000001E-3</v>
      </c>
      <c r="BX878" s="1045">
        <f>(0.3%+0.3%)/2</f>
        <v>3.0000000000000001E-3</v>
      </c>
      <c r="BY878" s="1045">
        <f>(0.3%+0.3%)/2</f>
        <v>3.0000000000000001E-3</v>
      </c>
      <c r="BZ878" s="1044">
        <f>AVERAGE(BV878:BY878)</f>
        <v>3.0000000000000001E-3</v>
      </c>
      <c r="CA878" s="1045">
        <f>(0.3%+0.3%)/2</f>
        <v>3.0000000000000001E-3</v>
      </c>
      <c r="CB878" s="1045">
        <f>(0.3%+0.3%)/2</f>
        <v>3.0000000000000001E-3</v>
      </c>
      <c r="CC878" s="885">
        <f>(0.3%+0.3%)/2</f>
        <v>3.0000000000000001E-3</v>
      </c>
      <c r="CD878" s="1640">
        <f>(0.3%+0.3%)/2</f>
        <v>3.0000000000000001E-3</v>
      </c>
      <c r="CE878" s="1044">
        <f>AVERAGE(CA878:CD878)</f>
        <v>3.0000000000000001E-3</v>
      </c>
      <c r="CF878" s="885">
        <f>(0.3%+0.3%)/2</f>
        <v>3.0000000000000001E-3</v>
      </c>
      <c r="CG878" s="885">
        <f>(0.3%+0.3%)/2</f>
        <v>3.0000000000000001E-3</v>
      </c>
      <c r="CH878" s="885">
        <f>(0.3%+0.3%)/2</f>
        <v>3.0000000000000001E-3</v>
      </c>
      <c r="CI878" s="1640">
        <f>(0.3%+0.3%)/2</f>
        <v>3.0000000000000001E-3</v>
      </c>
      <c r="CJ878" s="1044">
        <f>AVERAGE(CF878:CI878)</f>
        <v>3.0000000000000001E-3</v>
      </c>
      <c r="CK878" s="2884">
        <v>6.2500000000000003E-3</v>
      </c>
      <c r="CL878" s="2884">
        <v>6.2500000000000003E-3</v>
      </c>
      <c r="CM878" s="2884">
        <v>6.2500000000000003E-3</v>
      </c>
      <c r="CN878" s="2981">
        <v>8.7500000000000008E-3</v>
      </c>
      <c r="CO878" s="1044">
        <f>AVERAGE(CK878:CN878)</f>
        <v>6.8750000000000009E-3</v>
      </c>
      <c r="CP878" s="3924">
        <v>1.125E-2</v>
      </c>
      <c r="CQ878" s="3924">
        <v>1.375E-2</v>
      </c>
      <c r="CR878" s="3924">
        <v>1.375E-2</v>
      </c>
      <c r="CS878" s="3924">
        <v>1.6250000000000001E-2</v>
      </c>
      <c r="CT878" s="1044">
        <f>AVERAGE(CP878:CS878)</f>
        <v>1.375E-2</v>
      </c>
      <c r="CU878" s="3924">
        <v>1.8749999999999999E-2</v>
      </c>
      <c r="CV878" s="3924">
        <v>2.1250000000000002E-2</v>
      </c>
      <c r="CW878" s="3924">
        <v>2.375E-2</v>
      </c>
      <c r="CX878" s="3924">
        <v>2.6249999999999999E-2</v>
      </c>
      <c r="CY878" s="1044">
        <f>AVERAGE(CU878:CX878)</f>
        <v>2.2499999999999999E-2</v>
      </c>
      <c r="CZ878" s="3925">
        <f>+CX878+0.0025</f>
        <v>2.8749999999999998E-2</v>
      </c>
      <c r="DA878" s="3925">
        <f>+CZ878+0.0025</f>
        <v>3.1249999999999997E-2</v>
      </c>
      <c r="DB878" s="1947"/>
      <c r="DC878" s="1947"/>
      <c r="DD878" s="2337" t="s">
        <v>2018</v>
      </c>
      <c r="DE878" s="1044">
        <f t="shared" si="1758"/>
        <v>0</v>
      </c>
      <c r="DF878" s="1044">
        <f t="shared" si="1759"/>
        <v>0</v>
      </c>
      <c r="DG878" s="1044">
        <f t="shared" si="1760"/>
        <v>0</v>
      </c>
      <c r="DH878" s="1044">
        <f t="shared" si="1761"/>
        <v>0</v>
      </c>
      <c r="DI878" s="1044">
        <f t="shared" si="1762"/>
        <v>0</v>
      </c>
      <c r="DJ878" s="1044">
        <f t="shared" si="1763"/>
        <v>3.5609166666666664E-2</v>
      </c>
      <c r="DK878" s="1044">
        <f t="shared" si="1764"/>
        <v>5.1973789682539684E-2</v>
      </c>
      <c r="DL878" s="1044">
        <f t="shared" si="1765"/>
        <v>5.2842589364919396E-2</v>
      </c>
      <c r="DM878" s="1044">
        <f t="shared" si="1766"/>
        <v>2.9161930769230772E-2</v>
      </c>
      <c r="DN878" s="1044">
        <f t="shared" si="1767"/>
        <v>9.9905000000000011E-3</v>
      </c>
      <c r="DO878" s="1044">
        <f t="shared" si="1768"/>
        <v>3.9037499999999997E-3</v>
      </c>
      <c r="DP878" s="1044">
        <f t="shared" si="1769"/>
        <v>3.1250000000000002E-3</v>
      </c>
      <c r="DQ878" s="1044">
        <f t="shared" si="1770"/>
        <v>3.0000000000000001E-3</v>
      </c>
      <c r="DR878" s="1044">
        <f t="shared" si="1771"/>
        <v>3.0000000000000001E-3</v>
      </c>
      <c r="DS878" s="1044">
        <f t="shared" si="1772"/>
        <v>3.0000000000000001E-3</v>
      </c>
      <c r="DT878" s="1044">
        <f t="shared" si="1773"/>
        <v>3.0000000000000001E-3</v>
      </c>
      <c r="DU878" s="1044">
        <f t="shared" si="1774"/>
        <v>6.8750000000000009E-3</v>
      </c>
      <c r="DV878" s="1044">
        <f t="shared" si="1775"/>
        <v>1.375E-2</v>
      </c>
      <c r="DW878" s="1044">
        <f t="shared" si="1776"/>
        <v>2.2499999999999999E-2</v>
      </c>
      <c r="DX878" s="1044">
        <f t="shared" si="1777"/>
        <v>2.8749999999999998E-2</v>
      </c>
      <c r="DY878" s="1044">
        <f t="shared" si="1778"/>
        <v>3.1249999999999997E-2</v>
      </c>
      <c r="DZ878" s="1947"/>
      <c r="EA878"/>
      <c r="EB878"/>
      <c r="EC878"/>
      <c r="ED878"/>
      <c r="EE878"/>
      <c r="EF878"/>
      <c r="EJ878" s="1947"/>
      <c r="EK878" s="1947"/>
      <c r="EL878" s="1947"/>
    </row>
    <row r="879" spans="1:148" ht="12.75" customHeight="1" x14ac:dyDescent="0.2">
      <c r="A879" s="1736" t="s">
        <v>747</v>
      </c>
      <c r="B879" s="1045"/>
      <c r="C879" s="1045"/>
      <c r="D879" s="1045"/>
      <c r="E879" s="1045"/>
      <c r="F879" s="1045"/>
      <c r="G879" s="1045"/>
      <c r="H879" s="1045"/>
      <c r="I879" s="1045"/>
      <c r="J879" s="1045"/>
      <c r="K879" s="1045"/>
      <c r="L879" s="1045"/>
      <c r="M879" s="1044"/>
      <c r="N879" s="1045"/>
      <c r="O879" s="1045"/>
      <c r="P879" s="1045"/>
      <c r="Q879" s="1045"/>
      <c r="R879" s="1044"/>
      <c r="S879" s="1045"/>
      <c r="T879" s="1045"/>
      <c r="U879" s="1045"/>
      <c r="V879" s="1045"/>
      <c r="W879" s="1044"/>
      <c r="X879" s="1045"/>
      <c r="Y879" s="1045"/>
      <c r="Z879" s="1045"/>
      <c r="AA879" s="1045"/>
      <c r="AB879" s="1044"/>
      <c r="AC879" s="1045"/>
      <c r="AD879" s="1045"/>
      <c r="AE879" s="1045"/>
      <c r="AF879" s="1045"/>
      <c r="AG879" s="1044"/>
      <c r="AH879" s="1045"/>
      <c r="AI879" s="1045"/>
      <c r="AJ879" s="1045"/>
      <c r="AK879" s="1045"/>
      <c r="AL879" s="1044"/>
      <c r="AM879" s="1045">
        <v>4.5741129032258063E-2</v>
      </c>
      <c r="AN879" s="1045">
        <v>5.0654687499999997E-2</v>
      </c>
      <c r="AO879" s="1045">
        <v>4.8898412698412698E-2</v>
      </c>
      <c r="AP879" s="1045">
        <v>4.646587301587303E-2</v>
      </c>
      <c r="AQ879" s="1044">
        <f>AVERAGE(AM879:AP879)</f>
        <v>4.7940025561635943E-2</v>
      </c>
      <c r="AR879" s="1045">
        <v>4.6756557377049202E-2</v>
      </c>
      <c r="AS879" s="1045">
        <v>4.8404062499999984E-2</v>
      </c>
      <c r="AT879" s="1045">
        <v>4.7309999999999998E-2</v>
      </c>
      <c r="AU879" s="1045">
        <f>(4.61%+4.6%)/2</f>
        <v>4.6050000000000001E-2</v>
      </c>
      <c r="AV879" s="1044">
        <f>AVERAGE(AR879:AU879)</f>
        <v>4.7130154969262296E-2</v>
      </c>
      <c r="AW879" s="1045">
        <v>4.5999999999999999E-2</v>
      </c>
      <c r="AX879" s="1045">
        <v>4.65E-2</v>
      </c>
      <c r="AY879" s="1045">
        <v>4.0500000000000001E-2</v>
      </c>
      <c r="AZ879" s="1045">
        <f>(4.05%+3.1%)/2</f>
        <v>3.5750000000000004E-2</v>
      </c>
      <c r="BA879" s="1044">
        <f>AVERAGE(AW879:AZ879)</f>
        <v>4.2187500000000003E-2</v>
      </c>
      <c r="BB879" s="1045">
        <f>(3.1%+3.4%)/2</f>
        <v>3.2500000000000001E-2</v>
      </c>
      <c r="BC879" s="1045">
        <f>(3.4%+3.97%)/2</f>
        <v>3.6850000000000001E-2</v>
      </c>
      <c r="BD879" s="1045">
        <f>(4.32%+4.25%)/2</f>
        <v>4.2849999999999999E-2</v>
      </c>
      <c r="BE879" s="1045">
        <f>(4.25%+5%)/2</f>
        <v>4.6249999999999999E-2</v>
      </c>
      <c r="BF879" s="1044">
        <f>AVERAGE(BB879:BE879)</f>
        <v>3.9612499999999995E-2</v>
      </c>
      <c r="BG879" s="1045">
        <f>(4.52%+4.8%)/2</f>
        <v>4.6600000000000003E-2</v>
      </c>
      <c r="BH879" s="1045">
        <f>3.87%</f>
        <v>3.8699999999999998E-2</v>
      </c>
      <c r="BI879" s="1045">
        <f>(4.1%+3.87%)/2</f>
        <v>3.9849999999999997E-2</v>
      </c>
      <c r="BJ879" s="1045">
        <f>(3.68%+3.4%)/2</f>
        <v>3.5400000000000001E-2</v>
      </c>
      <c r="BK879" s="1044">
        <f>AVERAGE(BG879:BJ879)</f>
        <v>4.0137499999999993E-2</v>
      </c>
      <c r="BL879" s="1045">
        <f>(3.4%+3.25%)/2</f>
        <v>3.3250000000000002E-2</v>
      </c>
      <c r="BM879" s="1045">
        <v>0.03</v>
      </c>
      <c r="BN879" s="1045">
        <v>0.03</v>
      </c>
      <c r="BO879" s="1045">
        <v>0.03</v>
      </c>
      <c r="BP879" s="1044">
        <f>AVERAGE(BL879:BO879)</f>
        <v>3.08125E-2</v>
      </c>
      <c r="BQ879" s="1045">
        <v>0.03</v>
      </c>
      <c r="BR879" s="1045">
        <v>0.03</v>
      </c>
      <c r="BS879" s="1045">
        <v>0.03</v>
      </c>
      <c r="BT879" s="1045">
        <v>0.03</v>
      </c>
      <c r="BU879" s="1044">
        <f>AVERAGE(BQ879:BT879)</f>
        <v>0.03</v>
      </c>
      <c r="BV879" s="1045">
        <v>0.03</v>
      </c>
      <c r="BW879" s="1045">
        <v>0.03</v>
      </c>
      <c r="BX879" s="1045">
        <v>0.03</v>
      </c>
      <c r="BY879" s="1045">
        <v>0.03</v>
      </c>
      <c r="BZ879" s="1044">
        <f>AVERAGE(BV879:BY879)</f>
        <v>0.03</v>
      </c>
      <c r="CA879" s="1045">
        <v>0.03</v>
      </c>
      <c r="CB879" s="1045">
        <v>0.03</v>
      </c>
      <c r="CC879" s="885">
        <v>0.03</v>
      </c>
      <c r="CD879" s="1640">
        <v>0.03</v>
      </c>
      <c r="CE879" s="1044">
        <f>AVERAGE(CA879:CD879)</f>
        <v>0.03</v>
      </c>
      <c r="CF879" s="885">
        <v>0.03</v>
      </c>
      <c r="CG879" s="885">
        <v>0.03</v>
      </c>
      <c r="CH879" s="885">
        <v>0.03</v>
      </c>
      <c r="CI879" s="1640">
        <v>0.03</v>
      </c>
      <c r="CJ879" s="1044">
        <f>AVERAGE(CF879:CI879)</f>
        <v>0.03</v>
      </c>
      <c r="CK879" s="885">
        <v>0.03</v>
      </c>
      <c r="CL879" s="885">
        <v>0.03</v>
      </c>
      <c r="CM879" s="885">
        <v>0.03</v>
      </c>
      <c r="CN879" s="1640">
        <v>0.03</v>
      </c>
      <c r="CO879" s="1044">
        <f>AVERAGE(CK879:CN879)</f>
        <v>0.03</v>
      </c>
      <c r="CP879" s="885">
        <v>0.03</v>
      </c>
      <c r="CQ879" s="885">
        <v>0.03</v>
      </c>
      <c r="CR879" s="885">
        <v>0.03</v>
      </c>
      <c r="CS879" s="885">
        <v>0.03</v>
      </c>
      <c r="CT879" s="1044">
        <f>AVERAGE(CP879:CS879)</f>
        <v>0.03</v>
      </c>
      <c r="CU879" s="1771">
        <f>CT879</f>
        <v>0.03</v>
      </c>
      <c r="CV879" s="885">
        <f t="shared" ref="CV879:CX879" si="1779">CU879</f>
        <v>0.03</v>
      </c>
      <c r="CW879" s="885">
        <f t="shared" si="1779"/>
        <v>0.03</v>
      </c>
      <c r="CX879" s="1640">
        <f t="shared" si="1779"/>
        <v>0.03</v>
      </c>
      <c r="CY879" s="885">
        <f>AVERAGE(CU879:CX879)</f>
        <v>0.03</v>
      </c>
      <c r="CZ879" s="1044">
        <f>CY879</f>
        <v>0.03</v>
      </c>
      <c r="DA879" s="1044">
        <f>CZ879</f>
        <v>0.03</v>
      </c>
      <c r="DD879" s="2380" t="s">
        <v>747</v>
      </c>
      <c r="DE879" s="1044">
        <f t="shared" si="1758"/>
        <v>0</v>
      </c>
      <c r="DF879" s="1044">
        <f t="shared" si="1759"/>
        <v>0</v>
      </c>
      <c r="DG879" s="1044">
        <f t="shared" si="1760"/>
        <v>0</v>
      </c>
      <c r="DH879" s="1044">
        <f t="shared" si="1761"/>
        <v>0</v>
      </c>
      <c r="DI879" s="1044">
        <f t="shared" si="1762"/>
        <v>0</v>
      </c>
      <c r="DJ879" s="1044">
        <f t="shared" si="1763"/>
        <v>0</v>
      </c>
      <c r="DK879" s="1044">
        <f t="shared" si="1764"/>
        <v>4.7940025561635943E-2</v>
      </c>
      <c r="DL879" s="1044">
        <f t="shared" si="1765"/>
        <v>4.7130154969262296E-2</v>
      </c>
      <c r="DM879" s="1044">
        <f t="shared" si="1766"/>
        <v>4.2187500000000003E-2</v>
      </c>
      <c r="DN879" s="1044">
        <f t="shared" si="1767"/>
        <v>3.9612499999999995E-2</v>
      </c>
      <c r="DO879" s="1044">
        <f t="shared" si="1768"/>
        <v>4.0137499999999993E-2</v>
      </c>
      <c r="DP879" s="1044">
        <f t="shared" si="1769"/>
        <v>3.08125E-2</v>
      </c>
      <c r="DQ879" s="1044">
        <f t="shared" si="1770"/>
        <v>0.03</v>
      </c>
      <c r="DR879" s="1044">
        <f t="shared" si="1771"/>
        <v>0.03</v>
      </c>
      <c r="DS879" s="1044">
        <f t="shared" si="1772"/>
        <v>0.03</v>
      </c>
      <c r="DT879" s="1044">
        <f t="shared" si="1773"/>
        <v>0.03</v>
      </c>
      <c r="DU879" s="1044">
        <f t="shared" si="1774"/>
        <v>0.03</v>
      </c>
      <c r="DV879" s="1044">
        <f t="shared" si="1775"/>
        <v>0.03</v>
      </c>
      <c r="DW879" s="1044">
        <f t="shared" si="1776"/>
        <v>0.03</v>
      </c>
      <c r="DX879" s="1044">
        <f t="shared" si="1777"/>
        <v>0.03</v>
      </c>
      <c r="DY879" s="1044">
        <f t="shared" si="1778"/>
        <v>0.03</v>
      </c>
      <c r="EK879"/>
      <c r="EL879"/>
    </row>
    <row r="880" spans="1:148" ht="12.75" customHeight="1" x14ac:dyDescent="0.2">
      <c r="A880" s="1736" t="s">
        <v>1567</v>
      </c>
      <c r="B880" s="886"/>
      <c r="C880" s="886"/>
      <c r="D880" s="886"/>
      <c r="E880" s="886"/>
      <c r="F880" s="886"/>
      <c r="G880" s="886"/>
      <c r="H880" s="886"/>
      <c r="I880" s="886"/>
      <c r="J880" s="886"/>
      <c r="K880" s="886"/>
      <c r="L880" s="886"/>
      <c r="M880" s="1046"/>
      <c r="N880" s="886"/>
      <c r="O880" s="886"/>
      <c r="P880" s="886"/>
      <c r="Q880" s="886"/>
      <c r="R880" s="1046"/>
      <c r="S880" s="886"/>
      <c r="T880" s="886"/>
      <c r="U880" s="886"/>
      <c r="V880" s="886"/>
      <c r="W880" s="1046"/>
      <c r="X880" s="886"/>
      <c r="Y880" s="886"/>
      <c r="Z880" s="886"/>
      <c r="AA880" s="886"/>
      <c r="AB880" s="1046"/>
      <c r="AC880" s="886"/>
      <c r="AD880" s="886"/>
      <c r="AE880" s="886"/>
      <c r="AF880" s="886"/>
      <c r="AG880" s="1046"/>
      <c r="AH880" s="886"/>
      <c r="AI880" s="886"/>
      <c r="AJ880" s="886"/>
      <c r="AK880" s="886"/>
      <c r="AL880" s="1046"/>
      <c r="AM880" s="886"/>
      <c r="AN880" s="886"/>
      <c r="AO880" s="886"/>
      <c r="AP880" s="886"/>
      <c r="AQ880" s="1046"/>
      <c r="AR880" s="886"/>
      <c r="AS880" s="886"/>
      <c r="AT880" s="886"/>
      <c r="AU880" s="886"/>
      <c r="AV880" s="1046"/>
      <c r="AW880" s="886"/>
      <c r="AX880" s="886"/>
      <c r="AY880" s="886"/>
      <c r="AZ880" s="886"/>
      <c r="BA880" s="1046"/>
      <c r="BB880" s="886"/>
      <c r="BC880" s="886"/>
      <c r="BD880" s="886"/>
      <c r="BE880" s="886"/>
      <c r="BF880" s="1046"/>
      <c r="BG880" s="886"/>
      <c r="BH880" s="886"/>
      <c r="BI880" s="886"/>
      <c r="BJ880" s="886"/>
      <c r="BK880" s="1046"/>
      <c r="BL880" s="886">
        <v>3.5230000000000001E-3</v>
      </c>
      <c r="BM880" s="886">
        <v>3.5230000000000001E-3</v>
      </c>
      <c r="BN880" s="886">
        <v>4.1279999999999997E-3</v>
      </c>
      <c r="BO880" s="886">
        <v>4.4070000000000003E-3</v>
      </c>
      <c r="BP880" s="1046"/>
      <c r="BQ880" s="886">
        <v>5.0000000000000001E-3</v>
      </c>
      <c r="BR880" s="886">
        <v>5.0000000000000001E-3</v>
      </c>
      <c r="BS880" s="886">
        <v>5.0000000000000001E-3</v>
      </c>
      <c r="BT880" s="886">
        <v>5.0000000000000001E-3</v>
      </c>
      <c r="BU880" s="1046"/>
      <c r="BV880" s="886">
        <v>5.0000000000000001E-3</v>
      </c>
      <c r="BW880" s="886">
        <v>5.0000000000000001E-3</v>
      </c>
      <c r="BX880" s="886">
        <v>5.0000000000000001E-3</v>
      </c>
      <c r="BY880" s="886">
        <v>5.0000000000000001E-3</v>
      </c>
      <c r="BZ880" s="1046"/>
      <c r="CA880" s="1047">
        <v>5.0000000000000001E-3</v>
      </c>
      <c r="CB880" s="886">
        <v>5.0000000000000001E-3</v>
      </c>
      <c r="CC880" s="886">
        <v>5.0000000000000001E-3</v>
      </c>
      <c r="CD880" s="1549">
        <v>5.0000000000000001E-3</v>
      </c>
      <c r="CE880" s="1046"/>
      <c r="CF880" s="886">
        <v>5.0000000000000001E-3</v>
      </c>
      <c r="CG880" s="886">
        <v>5.0000000000000001E-3</v>
      </c>
      <c r="CH880" s="886">
        <v>5.0000000000000001E-3</v>
      </c>
      <c r="CI880" s="1549">
        <v>5.0000000000000001E-3</v>
      </c>
      <c r="CJ880" s="1046"/>
      <c r="CK880" s="886">
        <v>5.0000000000000001E-3</v>
      </c>
      <c r="CL880" s="886">
        <v>5.0000000000000001E-3</v>
      </c>
      <c r="CM880" s="886">
        <v>5.0000000000000001E-3</v>
      </c>
      <c r="CN880" s="1549">
        <v>5.0000000000000001E-3</v>
      </c>
      <c r="CO880" s="1046"/>
      <c r="CP880" s="886">
        <v>5.0000000000000001E-3</v>
      </c>
      <c r="CQ880" s="886">
        <v>5.0000000000000001E-3</v>
      </c>
      <c r="CR880" s="886">
        <v>5.0000000000000001E-3</v>
      </c>
      <c r="CS880" s="886">
        <v>5.0000000000000001E-3</v>
      </c>
      <c r="CT880" s="1046"/>
      <c r="CU880" s="1047">
        <v>5.0000000000000001E-3</v>
      </c>
      <c r="CV880" s="886">
        <v>5.0000000000000001E-3</v>
      </c>
      <c r="CW880" s="886">
        <v>5.0000000000000001E-3</v>
      </c>
      <c r="CX880" s="1549">
        <v>5.0000000000000001E-3</v>
      </c>
      <c r="CY880" s="885">
        <f t="shared" ref="CY880:CY888" si="1780">AVERAGE(CU880:CX880)</f>
        <v>5.0000000000000001E-3</v>
      </c>
      <c r="CZ880" s="1046">
        <v>5.0000000000000001E-3</v>
      </c>
      <c r="DA880" s="1046">
        <v>5.0000000000000001E-3</v>
      </c>
      <c r="DD880" s="2380" t="s">
        <v>1567</v>
      </c>
      <c r="DE880" s="1044">
        <f t="shared" si="1758"/>
        <v>0</v>
      </c>
      <c r="DF880" s="1044">
        <f t="shared" si="1759"/>
        <v>0</v>
      </c>
      <c r="DG880" s="1044">
        <f t="shared" si="1760"/>
        <v>0</v>
      </c>
      <c r="DH880" s="1044">
        <f t="shared" si="1761"/>
        <v>0</v>
      </c>
      <c r="DI880" s="1044">
        <f t="shared" si="1762"/>
        <v>0</v>
      </c>
      <c r="DJ880" s="1044">
        <f t="shared" si="1763"/>
        <v>0</v>
      </c>
      <c r="DK880" s="1044">
        <f t="shared" si="1764"/>
        <v>0</v>
      </c>
      <c r="DL880" s="1044">
        <f t="shared" si="1765"/>
        <v>0</v>
      </c>
      <c r="DM880" s="1044">
        <f t="shared" si="1766"/>
        <v>0</v>
      </c>
      <c r="DN880" s="1044">
        <f t="shared" si="1767"/>
        <v>0</v>
      </c>
      <c r="DO880" s="1044">
        <f t="shared" si="1768"/>
        <v>0</v>
      </c>
      <c r="DP880" s="1044">
        <f t="shared" si="1769"/>
        <v>0</v>
      </c>
      <c r="DQ880" s="1044">
        <f t="shared" si="1770"/>
        <v>0</v>
      </c>
      <c r="DR880" s="1044">
        <f t="shared" si="1771"/>
        <v>0</v>
      </c>
      <c r="DS880" s="1044">
        <f t="shared" si="1772"/>
        <v>0</v>
      </c>
      <c r="DT880" s="1044">
        <f t="shared" si="1773"/>
        <v>0</v>
      </c>
      <c r="DU880" s="1044">
        <f t="shared" si="1774"/>
        <v>0</v>
      </c>
      <c r="DV880" s="1044">
        <f t="shared" si="1775"/>
        <v>0</v>
      </c>
      <c r="DW880" s="1044">
        <f t="shared" si="1776"/>
        <v>5.0000000000000001E-3</v>
      </c>
      <c r="DX880" s="1044">
        <f t="shared" si="1777"/>
        <v>5.0000000000000001E-3</v>
      </c>
      <c r="DY880" s="1044">
        <f t="shared" si="1778"/>
        <v>5.0000000000000001E-3</v>
      </c>
      <c r="EK880"/>
      <c r="EL880"/>
    </row>
    <row r="881" spans="1:143" ht="12.75" customHeight="1" x14ac:dyDescent="0.2">
      <c r="A881" s="1736" t="s">
        <v>748</v>
      </c>
      <c r="B881" s="886"/>
      <c r="C881" s="886"/>
      <c r="D881" s="886"/>
      <c r="E881" s="886"/>
      <c r="F881" s="886"/>
      <c r="G881" s="886"/>
      <c r="H881" s="886"/>
      <c r="I881" s="886"/>
      <c r="J881" s="886"/>
      <c r="K881" s="886"/>
      <c r="L881" s="886"/>
      <c r="M881" s="1046"/>
      <c r="N881" s="886"/>
      <c r="O881" s="886"/>
      <c r="P881" s="886"/>
      <c r="Q881" s="886"/>
      <c r="R881" s="1046"/>
      <c r="S881" s="886"/>
      <c r="T881" s="886"/>
      <c r="U881" s="886"/>
      <c r="V881" s="886"/>
      <c r="W881" s="1046"/>
      <c r="X881" s="886"/>
      <c r="Y881" s="886"/>
      <c r="Z881" s="886"/>
      <c r="AA881" s="886"/>
      <c r="AB881" s="1046"/>
      <c r="AC881" s="886"/>
      <c r="AD881" s="886"/>
      <c r="AE881" s="886"/>
      <c r="AF881" s="886"/>
      <c r="AG881" s="1046"/>
      <c r="AH881" s="886"/>
      <c r="AI881" s="886"/>
      <c r="AJ881" s="886"/>
      <c r="AK881" s="886"/>
      <c r="AL881" s="1046"/>
      <c r="AM881" s="886"/>
      <c r="AN881" s="886"/>
      <c r="AO881" s="886"/>
      <c r="AP881" s="886"/>
      <c r="AQ881" s="1046"/>
      <c r="AR881" s="886"/>
      <c r="AS881" s="886"/>
      <c r="AT881" s="886"/>
      <c r="AU881" s="886"/>
      <c r="AV881" s="1046"/>
      <c r="AW881" s="886"/>
      <c r="AX881" s="886"/>
      <c r="AY881" s="886"/>
      <c r="AZ881" s="886"/>
      <c r="BA881" s="1046"/>
      <c r="BB881" s="886"/>
      <c r="BC881" s="886"/>
      <c r="BD881" s="886"/>
      <c r="BE881" s="886"/>
      <c r="BF881" s="1046"/>
      <c r="BG881" s="886"/>
      <c r="BH881" s="886"/>
      <c r="BI881" s="886"/>
      <c r="BJ881" s="886"/>
      <c r="BK881" s="1046"/>
      <c r="BL881" s="886"/>
      <c r="BM881" s="886"/>
      <c r="BN881" s="886">
        <v>1.175E-2</v>
      </c>
      <c r="BO881" s="886">
        <v>1.175E-2</v>
      </c>
      <c r="BP881" s="1046"/>
      <c r="BQ881" s="886">
        <v>1.175E-2</v>
      </c>
      <c r="BR881" s="886">
        <v>1.175E-2</v>
      </c>
      <c r="BS881" s="886">
        <v>1.175E-2</v>
      </c>
      <c r="BT881" s="886">
        <v>1.175E-2</v>
      </c>
      <c r="BU881" s="1046"/>
      <c r="BV881" s="886">
        <v>1.175E-2</v>
      </c>
      <c r="BW881" s="886">
        <v>1.175E-2</v>
      </c>
      <c r="BX881" s="886">
        <v>1.175E-2</v>
      </c>
      <c r="BY881" s="886">
        <v>1.175E-2</v>
      </c>
      <c r="BZ881" s="1046"/>
      <c r="CA881" s="1047">
        <v>1.175E-2</v>
      </c>
      <c r="CB881" s="886">
        <v>1.175E-2</v>
      </c>
      <c r="CC881" s="886">
        <v>1.175E-2</v>
      </c>
      <c r="CD881" s="886">
        <v>1.175E-2</v>
      </c>
      <c r="CE881" s="1046"/>
      <c r="CF881" s="886">
        <v>1.175E-2</v>
      </c>
      <c r="CG881" s="886">
        <v>1.175E-2</v>
      </c>
      <c r="CH881" s="886">
        <v>1.175E-2</v>
      </c>
      <c r="CI881" s="886">
        <v>1.175E-2</v>
      </c>
      <c r="CJ881" s="1046"/>
      <c r="CK881" s="886">
        <v>9.7501308215593597E-4</v>
      </c>
      <c r="CL881" s="886">
        <v>1.175E-2</v>
      </c>
      <c r="CM881" s="886">
        <v>1.175E-2</v>
      </c>
      <c r="CN881" s="886">
        <v>1.175E-2</v>
      </c>
      <c r="CO881" s="1046"/>
      <c r="CP881" s="886">
        <v>7.4999999999999997E-3</v>
      </c>
      <c r="CQ881" s="886">
        <v>7.4999999999999997E-3</v>
      </c>
      <c r="CR881" s="886">
        <v>7.4999999999999997E-3</v>
      </c>
      <c r="CS881" s="886">
        <v>7.4999999999999997E-3</v>
      </c>
      <c r="CT881" s="1046"/>
      <c r="CU881" s="1047">
        <v>1.175E-2</v>
      </c>
      <c r="CV881" s="886">
        <v>1.175E-2</v>
      </c>
      <c r="CW881" s="886">
        <v>1.175E-2</v>
      </c>
      <c r="CX881" s="1549">
        <v>1.175E-2</v>
      </c>
      <c r="CY881" s="885">
        <f t="shared" si="1780"/>
        <v>1.175E-2</v>
      </c>
      <c r="CZ881" s="1046">
        <v>1.175E-2</v>
      </c>
      <c r="DA881" s="1046">
        <v>1.175E-2</v>
      </c>
      <c r="DD881" s="2380" t="s">
        <v>748</v>
      </c>
      <c r="DE881" s="1044">
        <f t="shared" si="1758"/>
        <v>0</v>
      </c>
      <c r="DF881" s="1044">
        <f t="shared" si="1759"/>
        <v>0</v>
      </c>
      <c r="DG881" s="1044">
        <f t="shared" si="1760"/>
        <v>0</v>
      </c>
      <c r="DH881" s="1044">
        <f t="shared" si="1761"/>
        <v>0</v>
      </c>
      <c r="DI881" s="1044">
        <f t="shared" si="1762"/>
        <v>0</v>
      </c>
      <c r="DJ881" s="1044">
        <f t="shared" si="1763"/>
        <v>0</v>
      </c>
      <c r="DK881" s="1044">
        <f t="shared" si="1764"/>
        <v>0</v>
      </c>
      <c r="DL881" s="1044">
        <f t="shared" si="1765"/>
        <v>0</v>
      </c>
      <c r="DM881" s="1044">
        <f t="shared" si="1766"/>
        <v>0</v>
      </c>
      <c r="DN881" s="1044">
        <f t="shared" si="1767"/>
        <v>0</v>
      </c>
      <c r="DO881" s="1044">
        <f t="shared" si="1768"/>
        <v>0</v>
      </c>
      <c r="DP881" s="1044">
        <f t="shared" si="1769"/>
        <v>0</v>
      </c>
      <c r="DQ881" s="1044">
        <f t="shared" si="1770"/>
        <v>0</v>
      </c>
      <c r="DR881" s="1044">
        <f t="shared" si="1771"/>
        <v>0</v>
      </c>
      <c r="DS881" s="1044">
        <f t="shared" si="1772"/>
        <v>0</v>
      </c>
      <c r="DT881" s="1044">
        <f t="shared" si="1773"/>
        <v>0</v>
      </c>
      <c r="DU881" s="1044">
        <f t="shared" si="1774"/>
        <v>0</v>
      </c>
      <c r="DV881" s="1044">
        <f t="shared" si="1775"/>
        <v>0</v>
      </c>
      <c r="DW881" s="1044">
        <f t="shared" si="1776"/>
        <v>1.175E-2</v>
      </c>
      <c r="DX881" s="1044">
        <f t="shared" si="1777"/>
        <v>1.175E-2</v>
      </c>
      <c r="DY881" s="1044">
        <f t="shared" si="1778"/>
        <v>1.175E-2</v>
      </c>
      <c r="EK881"/>
      <c r="EL881"/>
    </row>
    <row r="882" spans="1:143" ht="12.75" customHeight="1" x14ac:dyDescent="0.2">
      <c r="A882" s="1736" t="s">
        <v>1078</v>
      </c>
      <c r="B882" s="885"/>
      <c r="C882" s="885"/>
      <c r="D882" s="885"/>
      <c r="E882" s="885"/>
      <c r="F882" s="885"/>
      <c r="G882" s="885"/>
      <c r="H882" s="885"/>
      <c r="I882" s="885"/>
      <c r="J882" s="885"/>
      <c r="K882" s="885"/>
      <c r="L882" s="885"/>
      <c r="M882" s="1044"/>
      <c r="N882" s="885"/>
      <c r="O882" s="885"/>
      <c r="P882" s="885"/>
      <c r="Q882" s="885"/>
      <c r="R882" s="1044"/>
      <c r="S882" s="885"/>
      <c r="T882" s="885"/>
      <c r="U882" s="885"/>
      <c r="V882" s="885"/>
      <c r="W882" s="1044"/>
      <c r="X882" s="885"/>
      <c r="Y882" s="885"/>
      <c r="Z882" s="885"/>
      <c r="AA882" s="885"/>
      <c r="AB882" s="1044"/>
      <c r="AC882" s="885"/>
      <c r="AD882" s="885"/>
      <c r="AE882" s="885"/>
      <c r="AF882" s="885"/>
      <c r="AG882" s="1044"/>
      <c r="AH882" s="885"/>
      <c r="AI882" s="885"/>
      <c r="AJ882" s="885"/>
      <c r="AK882" s="885"/>
      <c r="AL882" s="1044"/>
      <c r="AM882" s="885"/>
      <c r="AN882" s="885"/>
      <c r="AO882" s="885"/>
      <c r="AP882" s="885"/>
      <c r="AQ882" s="1044"/>
      <c r="AR882" s="885"/>
      <c r="AS882" s="885"/>
      <c r="AT882" s="885"/>
      <c r="AU882" s="885"/>
      <c r="AV882" s="1044"/>
      <c r="AW882" s="885">
        <v>0.1</v>
      </c>
      <c r="AX882" s="885">
        <f>AW882</f>
        <v>0.1</v>
      </c>
      <c r="AY882" s="885">
        <f>AX882</f>
        <v>0.1</v>
      </c>
      <c r="AZ882" s="885">
        <f>AY882</f>
        <v>0.1</v>
      </c>
      <c r="BA882" s="1044"/>
      <c r="BB882" s="885">
        <v>0.1</v>
      </c>
      <c r="BC882" s="885">
        <f>BB882</f>
        <v>0.1</v>
      </c>
      <c r="BD882" s="885">
        <v>0.04</v>
      </c>
      <c r="BE882" s="885">
        <f>BD882</f>
        <v>0.04</v>
      </c>
      <c r="BF882" s="1044"/>
      <c r="BG882" s="885">
        <v>0.05</v>
      </c>
      <c r="BH882" s="885">
        <f>BG882</f>
        <v>0.05</v>
      </c>
      <c r="BI882" s="885">
        <f>BH882</f>
        <v>0.05</v>
      </c>
      <c r="BJ882" s="885">
        <f>BI882</f>
        <v>0.05</v>
      </c>
      <c r="BK882" s="1044"/>
      <c r="BL882" s="885">
        <v>0.05</v>
      </c>
      <c r="BM882" s="885">
        <f>BL882</f>
        <v>0.05</v>
      </c>
      <c r="BN882" s="885">
        <f>BM882</f>
        <v>0.05</v>
      </c>
      <c r="BO882" s="885">
        <f>BN882</f>
        <v>0.05</v>
      </c>
      <c r="BP882" s="1044"/>
      <c r="BQ882" s="885">
        <v>0.05</v>
      </c>
      <c r="BR882" s="885">
        <f>BQ882</f>
        <v>0.05</v>
      </c>
      <c r="BS882" s="885">
        <f>BR882</f>
        <v>0.05</v>
      </c>
      <c r="BT882" s="885">
        <f>BS882</f>
        <v>0.05</v>
      </c>
      <c r="BU882" s="1044"/>
      <c r="BV882" s="885">
        <f>BT882</f>
        <v>0.05</v>
      </c>
      <c r="BW882" s="885">
        <f>+BV882</f>
        <v>0.05</v>
      </c>
      <c r="BX882" s="885">
        <f>+BW882</f>
        <v>0.05</v>
      </c>
      <c r="BY882" s="885">
        <f>+BX882</f>
        <v>0.05</v>
      </c>
      <c r="BZ882" s="1044"/>
      <c r="CA882" s="1771">
        <f>BY882</f>
        <v>0.05</v>
      </c>
      <c r="CB882" s="885">
        <f>+CA882</f>
        <v>0.05</v>
      </c>
      <c r="CC882" s="885">
        <f>+CB882</f>
        <v>0.05</v>
      </c>
      <c r="CD882" s="885">
        <f>+CC882</f>
        <v>0.05</v>
      </c>
      <c r="CE882" s="1044"/>
      <c r="CF882" s="885">
        <f>+CD882</f>
        <v>0.05</v>
      </c>
      <c r="CG882" s="885">
        <f>+CF882</f>
        <v>0.05</v>
      </c>
      <c r="CH882" s="885">
        <f>+CG882</f>
        <v>0.05</v>
      </c>
      <c r="CI882" s="885">
        <f>+CH882</f>
        <v>0.05</v>
      </c>
      <c r="CJ882" s="1044"/>
      <c r="CK882" s="885">
        <v>0.05</v>
      </c>
      <c r="CL882" s="885">
        <v>0.05</v>
      </c>
      <c r="CM882" s="885">
        <v>0.05</v>
      </c>
      <c r="CN882" s="885">
        <v>0.05</v>
      </c>
      <c r="CO882" s="1044"/>
      <c r="CP882" s="885">
        <v>0.05</v>
      </c>
      <c r="CQ882" s="885">
        <v>0.05</v>
      </c>
      <c r="CR882" s="885">
        <v>0.05</v>
      </c>
      <c r="CS882" s="885">
        <v>0.05</v>
      </c>
      <c r="CT882" s="1044"/>
      <c r="CU882" s="1771">
        <f>CS882</f>
        <v>0.05</v>
      </c>
      <c r="CV882" s="885">
        <f>CU882</f>
        <v>0.05</v>
      </c>
      <c r="CW882" s="885">
        <f>CV882</f>
        <v>0.05</v>
      </c>
      <c r="CX882" s="1640">
        <f>CW882</f>
        <v>0.05</v>
      </c>
      <c r="CY882" s="885">
        <f t="shared" si="1780"/>
        <v>0.05</v>
      </c>
      <c r="CZ882" s="1044">
        <f>CY882</f>
        <v>0.05</v>
      </c>
      <c r="DA882" s="1044">
        <f>CZ882</f>
        <v>0.05</v>
      </c>
      <c r="DD882" s="2380" t="s">
        <v>1078</v>
      </c>
      <c r="DE882" s="1044">
        <f t="shared" si="1758"/>
        <v>0</v>
      </c>
      <c r="DF882" s="1044">
        <f t="shared" si="1759"/>
        <v>0</v>
      </c>
      <c r="DG882" s="1044">
        <f t="shared" si="1760"/>
        <v>0</v>
      </c>
      <c r="DH882" s="1044">
        <f t="shared" si="1761"/>
        <v>0</v>
      </c>
      <c r="DI882" s="1044">
        <f t="shared" si="1762"/>
        <v>0</v>
      </c>
      <c r="DJ882" s="1044">
        <f t="shared" si="1763"/>
        <v>0</v>
      </c>
      <c r="DK882" s="1044">
        <f t="shared" si="1764"/>
        <v>0</v>
      </c>
      <c r="DL882" s="1044">
        <f t="shared" si="1765"/>
        <v>0</v>
      </c>
      <c r="DM882" s="1044">
        <f t="shared" si="1766"/>
        <v>0</v>
      </c>
      <c r="DN882" s="1044">
        <f t="shared" si="1767"/>
        <v>0</v>
      </c>
      <c r="DO882" s="1044">
        <f t="shared" si="1768"/>
        <v>0</v>
      </c>
      <c r="DP882" s="1044">
        <f t="shared" si="1769"/>
        <v>0</v>
      </c>
      <c r="DQ882" s="1044">
        <f t="shared" si="1770"/>
        <v>0</v>
      </c>
      <c r="DR882" s="1044">
        <f t="shared" si="1771"/>
        <v>0</v>
      </c>
      <c r="DS882" s="1044">
        <f t="shared" si="1772"/>
        <v>0</v>
      </c>
      <c r="DT882" s="1044">
        <f t="shared" si="1773"/>
        <v>0</v>
      </c>
      <c r="DU882" s="1044">
        <f t="shared" si="1774"/>
        <v>0</v>
      </c>
      <c r="DV882" s="1044">
        <f t="shared" si="1775"/>
        <v>0</v>
      </c>
      <c r="DW882" s="1044">
        <f t="shared" si="1776"/>
        <v>0.05</v>
      </c>
      <c r="DX882" s="1044">
        <f t="shared" si="1777"/>
        <v>0.05</v>
      </c>
      <c r="DY882" s="1044">
        <f t="shared" si="1778"/>
        <v>0.05</v>
      </c>
      <c r="EK882"/>
      <c r="EL882"/>
    </row>
    <row r="883" spans="1:143" ht="12.75" customHeight="1" x14ac:dyDescent="0.2">
      <c r="A883" s="1736" t="s">
        <v>1921</v>
      </c>
      <c r="B883" s="886"/>
      <c r="C883" s="886"/>
      <c r="D883" s="886"/>
      <c r="E883" s="886"/>
      <c r="F883" s="886"/>
      <c r="G883" s="886"/>
      <c r="H883" s="886"/>
      <c r="I883" s="886"/>
      <c r="J883" s="886"/>
      <c r="K883" s="886"/>
      <c r="L883" s="886"/>
      <c r="M883" s="1046"/>
      <c r="N883" s="886"/>
      <c r="O883" s="886"/>
      <c r="P883" s="886"/>
      <c r="Q883" s="886"/>
      <c r="R883" s="1046"/>
      <c r="S883" s="886"/>
      <c r="T883" s="886"/>
      <c r="U883" s="886"/>
      <c r="V883" s="886"/>
      <c r="W883" s="1046"/>
      <c r="X883" s="886"/>
      <c r="Y883" s="886"/>
      <c r="Z883" s="886"/>
      <c r="AA883" s="886"/>
      <c r="AB883" s="1046"/>
      <c r="AC883" s="886"/>
      <c r="AD883" s="886"/>
      <c r="AE883" s="886"/>
      <c r="AF883" s="886"/>
      <c r="AG883" s="1046"/>
      <c r="AH883" s="886"/>
      <c r="AI883" s="886"/>
      <c r="AJ883" s="886"/>
      <c r="AK883" s="886"/>
      <c r="AL883" s="1046"/>
      <c r="AM883" s="886"/>
      <c r="AN883" s="886"/>
      <c r="AO883" s="886"/>
      <c r="AP883" s="886"/>
      <c r="AQ883" s="1046"/>
      <c r="AR883" s="886"/>
      <c r="AS883" s="886"/>
      <c r="AT883" s="886"/>
      <c r="AU883" s="886"/>
      <c r="AV883" s="1046"/>
      <c r="AW883" s="886"/>
      <c r="AX883" s="886"/>
      <c r="AY883" s="886"/>
      <c r="AZ883" s="886"/>
      <c r="BA883" s="1046"/>
      <c r="BB883" s="886"/>
      <c r="BC883" s="886"/>
      <c r="BD883" s="886"/>
      <c r="BE883" s="886"/>
      <c r="BF883" s="1046"/>
      <c r="BG883" s="886"/>
      <c r="BH883" s="886"/>
      <c r="BI883" s="886"/>
      <c r="BJ883" s="886"/>
      <c r="BK883" s="1046"/>
      <c r="BL883" s="886"/>
      <c r="BM883" s="886"/>
      <c r="BN883" s="886">
        <v>5.0000000000000001E-3</v>
      </c>
      <c r="BO883" s="886">
        <v>5.0000000000000001E-3</v>
      </c>
      <c r="BP883" s="1046"/>
      <c r="BQ883" s="886">
        <v>5.0000000000000001E-3</v>
      </c>
      <c r="BR883" s="886">
        <v>5.0000000000000001E-3</v>
      </c>
      <c r="BS883" s="886">
        <v>5.0000000000000001E-3</v>
      </c>
      <c r="BT883" s="886">
        <v>5.0000000000000001E-3</v>
      </c>
      <c r="BU883" s="1046"/>
      <c r="BV883" s="886">
        <v>5.0000000000000001E-3</v>
      </c>
      <c r="BW883" s="886">
        <v>5.0000000000000001E-3</v>
      </c>
      <c r="BX883" s="886">
        <v>5.0000000000000001E-3</v>
      </c>
      <c r="BY883" s="886">
        <v>5.0000000000000001E-3</v>
      </c>
      <c r="BZ883" s="1046"/>
      <c r="CA883" s="1047">
        <v>5.0000000000000001E-3</v>
      </c>
      <c r="CB883" s="886">
        <v>5.0000000000000001E-3</v>
      </c>
      <c r="CC883" s="886">
        <v>5.0000000000000001E-3</v>
      </c>
      <c r="CD883" s="886">
        <v>5.0000000000000001E-3</v>
      </c>
      <c r="CE883" s="1046"/>
      <c r="CF883" s="886">
        <v>5.0000000000000001E-3</v>
      </c>
      <c r="CG883" s="886">
        <v>5.0000000000000001E-3</v>
      </c>
      <c r="CH883" s="886">
        <v>5.0000000000000001E-3</v>
      </c>
      <c r="CI883" s="886">
        <v>5.0000000000000001E-3</v>
      </c>
      <c r="CJ883" s="1046"/>
      <c r="CK883" s="886">
        <v>5.6287658357891349E-3</v>
      </c>
      <c r="CL883" s="886">
        <v>5.6287658357891349E-3</v>
      </c>
      <c r="CM883" s="886">
        <f>CL883</f>
        <v>5.6287658357891349E-3</v>
      </c>
      <c r="CN883" s="886">
        <f>CM883</f>
        <v>5.6287658357891349E-3</v>
      </c>
      <c r="CO883" s="1046"/>
      <c r="CP883" s="886">
        <v>4.0000000000000001E-3</v>
      </c>
      <c r="CQ883" s="886">
        <f>CP883</f>
        <v>4.0000000000000001E-3</v>
      </c>
      <c r="CR883" s="886">
        <f>CQ883</f>
        <v>4.0000000000000001E-3</v>
      </c>
      <c r="CS883" s="886">
        <f>CR883</f>
        <v>4.0000000000000001E-3</v>
      </c>
      <c r="CT883" s="1046"/>
      <c r="CU883" s="1047">
        <v>5.0000000000000001E-3</v>
      </c>
      <c r="CV883" s="886">
        <v>5.0000000000000001E-3</v>
      </c>
      <c r="CW883" s="886">
        <v>5.0000000000000001E-3</v>
      </c>
      <c r="CX883" s="1549">
        <v>5.0000000000000001E-3</v>
      </c>
      <c r="CY883" s="885">
        <f t="shared" si="1780"/>
        <v>5.0000000000000001E-3</v>
      </c>
      <c r="CZ883" s="1046">
        <v>5.0000000000000001E-3</v>
      </c>
      <c r="DA883" s="1046">
        <v>5.0000000000000001E-3</v>
      </c>
      <c r="DD883" s="2380" t="s">
        <v>1921</v>
      </c>
      <c r="DE883" s="1044">
        <f t="shared" si="1758"/>
        <v>0</v>
      </c>
      <c r="DF883" s="1044">
        <f t="shared" si="1759"/>
        <v>0</v>
      </c>
      <c r="DG883" s="1044">
        <f t="shared" si="1760"/>
        <v>0</v>
      </c>
      <c r="DH883" s="1044">
        <f t="shared" si="1761"/>
        <v>0</v>
      </c>
      <c r="DI883" s="1044">
        <f t="shared" si="1762"/>
        <v>0</v>
      </c>
      <c r="DJ883" s="1044">
        <f t="shared" si="1763"/>
        <v>0</v>
      </c>
      <c r="DK883" s="1044">
        <f t="shared" si="1764"/>
        <v>0</v>
      </c>
      <c r="DL883" s="1044">
        <f t="shared" si="1765"/>
        <v>0</v>
      </c>
      <c r="DM883" s="1044">
        <f t="shared" si="1766"/>
        <v>0</v>
      </c>
      <c r="DN883" s="1044">
        <f t="shared" si="1767"/>
        <v>0</v>
      </c>
      <c r="DO883" s="1044">
        <f t="shared" si="1768"/>
        <v>0</v>
      </c>
      <c r="DP883" s="1044">
        <f t="shared" si="1769"/>
        <v>0</v>
      </c>
      <c r="DQ883" s="1044">
        <f t="shared" si="1770"/>
        <v>0</v>
      </c>
      <c r="DR883" s="1044">
        <f t="shared" si="1771"/>
        <v>0</v>
      </c>
      <c r="DS883" s="1044">
        <f t="shared" si="1772"/>
        <v>0</v>
      </c>
      <c r="DT883" s="1044">
        <f t="shared" si="1773"/>
        <v>0</v>
      </c>
      <c r="DU883" s="1044">
        <f t="shared" si="1774"/>
        <v>0</v>
      </c>
      <c r="DV883" s="1044">
        <f t="shared" si="1775"/>
        <v>0</v>
      </c>
      <c r="DW883" s="1044">
        <f t="shared" si="1776"/>
        <v>5.0000000000000001E-3</v>
      </c>
      <c r="DX883" s="1044">
        <f t="shared" si="1777"/>
        <v>5.0000000000000001E-3</v>
      </c>
      <c r="DY883" s="1044">
        <f t="shared" si="1778"/>
        <v>5.0000000000000001E-3</v>
      </c>
      <c r="DZ883" s="855"/>
      <c r="EK883"/>
      <c r="EL883"/>
    </row>
    <row r="884" spans="1:143" ht="12.75" customHeight="1" x14ac:dyDescent="0.2">
      <c r="A884" s="3101" t="s">
        <v>2491</v>
      </c>
      <c r="B884" s="886"/>
      <c r="C884" s="886"/>
      <c r="D884" s="886"/>
      <c r="E884" s="886"/>
      <c r="F884" s="886"/>
      <c r="G884" s="886"/>
      <c r="H884" s="886"/>
      <c r="I884" s="886"/>
      <c r="J884" s="886"/>
      <c r="K884" s="886"/>
      <c r="L884" s="886"/>
      <c r="M884" s="1046"/>
      <c r="N884" s="886"/>
      <c r="O884" s="886"/>
      <c r="P884" s="886"/>
      <c r="Q884" s="886"/>
      <c r="R884" s="1046"/>
      <c r="S884" s="886"/>
      <c r="T884" s="886"/>
      <c r="U884" s="886"/>
      <c r="V884" s="886"/>
      <c r="W884" s="1046"/>
      <c r="X884" s="886"/>
      <c r="Y884" s="886"/>
      <c r="Z884" s="886"/>
      <c r="AA884" s="886"/>
      <c r="AB884" s="1046"/>
      <c r="AC884" s="886"/>
      <c r="AD884" s="886"/>
      <c r="AE884" s="886"/>
      <c r="AF884" s="886"/>
      <c r="AG884" s="1046"/>
      <c r="AH884" s="886"/>
      <c r="AI884" s="886"/>
      <c r="AJ884" s="886"/>
      <c r="AK884" s="886"/>
      <c r="AL884" s="1046"/>
      <c r="AM884" s="886"/>
      <c r="AN884" s="886"/>
      <c r="AO884" s="886"/>
      <c r="AP884" s="886"/>
      <c r="AQ884" s="1046"/>
      <c r="AR884" s="886"/>
      <c r="AS884" s="886"/>
      <c r="AT884" s="886"/>
      <c r="AU884" s="886"/>
      <c r="AV884" s="1046"/>
      <c r="AW884" s="886"/>
      <c r="AX884" s="886"/>
      <c r="AY884" s="886"/>
      <c r="AZ884" s="886"/>
      <c r="BA884" s="1046"/>
      <c r="BB884" s="886"/>
      <c r="BC884" s="886"/>
      <c r="BD884" s="886"/>
      <c r="BE884" s="886"/>
      <c r="BF884" s="1046"/>
      <c r="BG884" s="886"/>
      <c r="BH884" s="886"/>
      <c r="BI884" s="886"/>
      <c r="BJ884" s="886"/>
      <c r="BK884" s="1046"/>
      <c r="BL884" s="886"/>
      <c r="BM884" s="886"/>
      <c r="BN884" s="886"/>
      <c r="BO884" s="886"/>
      <c r="BP884" s="1046"/>
      <c r="BQ884" s="886"/>
      <c r="BR884" s="886"/>
      <c r="BS884" s="886"/>
      <c r="BT884" s="886"/>
      <c r="BU884" s="1046"/>
      <c r="BV884" s="886"/>
      <c r="BW884" s="886"/>
      <c r="BX884" s="886"/>
      <c r="BY884" s="886"/>
      <c r="BZ884" s="1046"/>
      <c r="CA884" s="1047"/>
      <c r="CB884" s="886"/>
      <c r="CC884" s="886"/>
      <c r="CD884" s="886"/>
      <c r="CE884" s="1046"/>
      <c r="CF884" s="886"/>
      <c r="CG884" s="886"/>
      <c r="CH884" s="886"/>
      <c r="CI884" s="886"/>
      <c r="CJ884" s="1046"/>
      <c r="CK884" s="886"/>
      <c r="CL884" s="886"/>
      <c r="CM884" s="886"/>
      <c r="CN884" s="385">
        <v>6.7500000000000004E-2</v>
      </c>
      <c r="CO884" s="1046"/>
      <c r="CP884" s="385">
        <v>6.7500000000000004E-2</v>
      </c>
      <c r="CQ884" s="385">
        <v>6.7500000000000004E-2</v>
      </c>
      <c r="CR884" s="385">
        <v>6.7500000000000004E-2</v>
      </c>
      <c r="CS884" s="385">
        <v>6.7500000000000004E-2</v>
      </c>
      <c r="CT884" s="1046"/>
      <c r="CU884" s="1839">
        <v>6.7500000000000004E-2</v>
      </c>
      <c r="CV884" s="1627">
        <v>6.7500000000000004E-2</v>
      </c>
      <c r="CW884" s="1627">
        <v>6.7500000000000004E-2</v>
      </c>
      <c r="CX884" s="1843">
        <v>6.7500000000000004E-2</v>
      </c>
      <c r="CY884" s="885">
        <f t="shared" si="1780"/>
        <v>6.7500000000000004E-2</v>
      </c>
      <c r="CZ884" s="918">
        <v>6.7500000000000004E-2</v>
      </c>
      <c r="DA884" s="918">
        <v>6.7500000000000004E-2</v>
      </c>
      <c r="DD884" s="2380"/>
      <c r="DE884" s="1044"/>
      <c r="DF884" s="1044"/>
      <c r="DG884" s="1044"/>
      <c r="DH884" s="1044"/>
      <c r="DI884" s="1044"/>
      <c r="DJ884" s="1044"/>
      <c r="DK884" s="1044"/>
      <c r="DL884" s="1044"/>
      <c r="DM884" s="1044"/>
      <c r="DN884" s="1044"/>
      <c r="DO884" s="1044"/>
      <c r="DP884" s="1044"/>
      <c r="DQ884" s="1044"/>
      <c r="DR884" s="1044"/>
      <c r="DS884" s="1044"/>
      <c r="DT884" s="1044"/>
      <c r="DU884" s="1044"/>
      <c r="DV884" s="1044"/>
      <c r="DW884" s="1044"/>
      <c r="DX884" s="1044"/>
      <c r="DY884" s="1044"/>
      <c r="DZ884" s="855"/>
      <c r="EK884"/>
      <c r="EL884"/>
    </row>
    <row r="885" spans="1:143" ht="12.75" customHeight="1" x14ac:dyDescent="0.2">
      <c r="A885" s="855" t="s">
        <v>2487</v>
      </c>
      <c r="B885" s="886"/>
      <c r="C885" s="886"/>
      <c r="D885" s="886"/>
      <c r="E885" s="886"/>
      <c r="F885" s="886"/>
      <c r="G885" s="886"/>
      <c r="H885" s="886"/>
      <c r="I885" s="886"/>
      <c r="J885" s="886"/>
      <c r="K885" s="886"/>
      <c r="L885" s="886"/>
      <c r="M885" s="1046"/>
      <c r="N885" s="886"/>
      <c r="O885" s="886"/>
      <c r="P885" s="886"/>
      <c r="Q885" s="886"/>
      <c r="R885" s="1046"/>
      <c r="S885" s="886"/>
      <c r="T885" s="886"/>
      <c r="U885" s="886"/>
      <c r="V885" s="886"/>
      <c r="W885" s="1046"/>
      <c r="X885" s="886"/>
      <c r="Y885" s="886"/>
      <c r="Z885" s="886"/>
      <c r="AA885" s="886"/>
      <c r="AB885" s="1046"/>
      <c r="AC885" s="886"/>
      <c r="AD885" s="886"/>
      <c r="AE885" s="886"/>
      <c r="AF885" s="886"/>
      <c r="AG885" s="1046"/>
      <c r="AH885" s="886"/>
      <c r="AI885" s="886"/>
      <c r="AJ885" s="886"/>
      <c r="AK885" s="886"/>
      <c r="AL885" s="1046"/>
      <c r="AM885" s="886"/>
      <c r="AN885" s="886"/>
      <c r="AO885" s="886"/>
      <c r="AP885" s="886"/>
      <c r="AQ885" s="1046"/>
      <c r="AR885" s="886"/>
      <c r="AS885" s="886"/>
      <c r="AT885" s="886"/>
      <c r="AU885" s="886"/>
      <c r="AV885" s="1046"/>
      <c r="AW885" s="886"/>
      <c r="AX885" s="886"/>
      <c r="AY885" s="886"/>
      <c r="AZ885" s="886"/>
      <c r="BA885" s="1046"/>
      <c r="BB885" s="886"/>
      <c r="BC885" s="886"/>
      <c r="BD885" s="886"/>
      <c r="BE885" s="886"/>
      <c r="BF885" s="1046"/>
      <c r="BG885" s="886"/>
      <c r="BH885" s="886"/>
      <c r="BI885" s="886"/>
      <c r="BJ885" s="886"/>
      <c r="BK885" s="1046"/>
      <c r="BL885" s="886"/>
      <c r="BM885" s="886"/>
      <c r="BN885" s="886"/>
      <c r="BO885" s="886"/>
      <c r="BP885" s="1046"/>
      <c r="BQ885" s="886"/>
      <c r="BR885" s="886"/>
      <c r="BS885" s="886"/>
      <c r="BT885" s="886"/>
      <c r="BU885" s="1046"/>
      <c r="BV885" s="886"/>
      <c r="BW885" s="886"/>
      <c r="BX885" s="886"/>
      <c r="BY885" s="886"/>
      <c r="BZ885" s="1046"/>
      <c r="CA885" s="1047"/>
      <c r="CB885" s="886"/>
      <c r="CC885" s="886"/>
      <c r="CD885" s="886"/>
      <c r="CE885" s="1046"/>
      <c r="CF885" s="886"/>
      <c r="CG885" s="886"/>
      <c r="CH885" s="886"/>
      <c r="CI885" s="886"/>
      <c r="CJ885" s="1046"/>
      <c r="CK885" s="886"/>
      <c r="CL885" s="886"/>
      <c r="CM885" s="886"/>
      <c r="CN885" s="385">
        <v>7.1499999999999994E-2</v>
      </c>
      <c r="CO885" s="1046"/>
      <c r="CP885" s="385">
        <v>7.1499999999999994E-2</v>
      </c>
      <c r="CQ885" s="385">
        <v>7.1499999999999994E-2</v>
      </c>
      <c r="CR885" s="385">
        <v>7.1499999999999994E-2</v>
      </c>
      <c r="CS885" s="385">
        <v>7.1499999999999994E-2</v>
      </c>
      <c r="CT885" s="1046"/>
      <c r="CU885" s="1839">
        <v>7.1499999999999994E-2</v>
      </c>
      <c r="CV885" s="1627">
        <v>7.1499999999999994E-2</v>
      </c>
      <c r="CW885" s="1627">
        <v>7.1499999999999994E-2</v>
      </c>
      <c r="CX885" s="1843">
        <v>7.1499999999999994E-2</v>
      </c>
      <c r="CY885" s="885">
        <f t="shared" si="1780"/>
        <v>7.1499999999999994E-2</v>
      </c>
      <c r="CZ885" s="918">
        <v>7.1499999999999994E-2</v>
      </c>
      <c r="DA885" s="918">
        <v>7.1499999999999994E-2</v>
      </c>
      <c r="DD885" s="2380"/>
      <c r="DE885" s="1044"/>
      <c r="DF885" s="1044"/>
      <c r="DG885" s="1044"/>
      <c r="DH885" s="1044"/>
      <c r="DI885" s="1044"/>
      <c r="DJ885" s="1044"/>
      <c r="DK885" s="1044"/>
      <c r="DL885" s="1044"/>
      <c r="DM885" s="1044"/>
      <c r="DN885" s="1044"/>
      <c r="DO885" s="1044"/>
      <c r="DP885" s="1044"/>
      <c r="DQ885" s="1044"/>
      <c r="DR885" s="1044"/>
      <c r="DS885" s="1044"/>
      <c r="DT885" s="1044"/>
      <c r="DU885" s="1044"/>
      <c r="DV885" s="1044"/>
      <c r="DW885" s="1044"/>
      <c r="DX885" s="1044"/>
      <c r="DY885" s="1044"/>
      <c r="DZ885" s="855"/>
      <c r="EK885"/>
      <c r="EL885"/>
    </row>
    <row r="886" spans="1:143" ht="12.75" customHeight="1" x14ac:dyDescent="0.2">
      <c r="A886" s="3101" t="s">
        <v>2488</v>
      </c>
      <c r="B886" s="886"/>
      <c r="C886" s="886"/>
      <c r="D886" s="886"/>
      <c r="E886" s="886"/>
      <c r="F886" s="886"/>
      <c r="G886" s="886"/>
      <c r="H886" s="886"/>
      <c r="I886" s="886"/>
      <c r="J886" s="886"/>
      <c r="K886" s="886"/>
      <c r="L886" s="886"/>
      <c r="M886" s="1046"/>
      <c r="N886" s="886"/>
      <c r="O886" s="886"/>
      <c r="P886" s="886"/>
      <c r="Q886" s="886"/>
      <c r="R886" s="1046"/>
      <c r="S886" s="886"/>
      <c r="T886" s="886"/>
      <c r="U886" s="886"/>
      <c r="V886" s="886"/>
      <c r="W886" s="1046"/>
      <c r="X886" s="886"/>
      <c r="Y886" s="886"/>
      <c r="Z886" s="886"/>
      <c r="AA886" s="886"/>
      <c r="AB886" s="1046"/>
      <c r="AC886" s="886"/>
      <c r="AD886" s="886"/>
      <c r="AE886" s="886"/>
      <c r="AF886" s="886"/>
      <c r="AG886" s="1046"/>
      <c r="AH886" s="886"/>
      <c r="AI886" s="886"/>
      <c r="AJ886" s="886"/>
      <c r="AK886" s="886"/>
      <c r="AL886" s="1046"/>
      <c r="AM886" s="886"/>
      <c r="AN886" s="886"/>
      <c r="AO886" s="886"/>
      <c r="AP886" s="886"/>
      <c r="AQ886" s="1046"/>
      <c r="AR886" s="886"/>
      <c r="AS886" s="886"/>
      <c r="AT886" s="886"/>
      <c r="AU886" s="886"/>
      <c r="AV886" s="1046"/>
      <c r="AW886" s="886"/>
      <c r="AX886" s="886"/>
      <c r="AY886" s="886"/>
      <c r="AZ886" s="886"/>
      <c r="BA886" s="1046"/>
      <c r="BB886" s="886"/>
      <c r="BC886" s="886"/>
      <c r="BD886" s="886"/>
      <c r="BE886" s="886"/>
      <c r="BF886" s="1046"/>
      <c r="BG886" s="886"/>
      <c r="BH886" s="886"/>
      <c r="BI886" s="886"/>
      <c r="BJ886" s="886"/>
      <c r="BK886" s="1046"/>
      <c r="BL886" s="886"/>
      <c r="BM886" s="886"/>
      <c r="BN886" s="886"/>
      <c r="BO886" s="886"/>
      <c r="BP886" s="1046"/>
      <c r="BQ886" s="886"/>
      <c r="BR886" s="886"/>
      <c r="BS886" s="886"/>
      <c r="BT886" s="886"/>
      <c r="BU886" s="1046"/>
      <c r="BV886" s="886"/>
      <c r="BW886" s="886"/>
      <c r="BX886" s="886"/>
      <c r="BY886" s="886"/>
      <c r="BZ886" s="1046"/>
      <c r="CA886" s="1047"/>
      <c r="CB886" s="886"/>
      <c r="CC886" s="886"/>
      <c r="CD886" s="886"/>
      <c r="CE886" s="1046"/>
      <c r="CF886" s="886"/>
      <c r="CG886" s="886"/>
      <c r="CH886" s="886"/>
      <c r="CI886" s="886"/>
      <c r="CJ886" s="1046"/>
      <c r="CK886" s="886"/>
      <c r="CL886" s="886"/>
      <c r="CM886" s="886"/>
      <c r="CN886" s="385">
        <v>3.125E-2</v>
      </c>
      <c r="CO886" s="1046"/>
      <c r="CP886" s="385">
        <v>3.125E-2</v>
      </c>
      <c r="CQ886" s="385">
        <v>3.125E-2</v>
      </c>
      <c r="CR886" s="385">
        <v>3.125E-2</v>
      </c>
      <c r="CS886" s="385">
        <v>3.125E-2</v>
      </c>
      <c r="CT886" s="1046"/>
      <c r="CU886" s="1839">
        <v>3.125E-2</v>
      </c>
      <c r="CV886" s="1627">
        <v>3.125E-2</v>
      </c>
      <c r="CW886" s="1627">
        <v>3.125E-2</v>
      </c>
      <c r="CX886" s="1843">
        <v>3.125E-2</v>
      </c>
      <c r="CY886" s="885">
        <f t="shared" si="1780"/>
        <v>3.125E-2</v>
      </c>
      <c r="CZ886" s="918">
        <v>3.125E-2</v>
      </c>
      <c r="DA886" s="918">
        <v>3.125E-2</v>
      </c>
      <c r="DD886" s="2380"/>
      <c r="DE886" s="1044"/>
      <c r="DF886" s="1044"/>
      <c r="DG886" s="1044"/>
      <c r="DH886" s="1044"/>
      <c r="DI886" s="1044"/>
      <c r="DJ886" s="1044"/>
      <c r="DK886" s="1044"/>
      <c r="DL886" s="1044"/>
      <c r="DM886" s="1044"/>
      <c r="DN886" s="1044"/>
      <c r="DO886" s="1044"/>
      <c r="DP886" s="1044"/>
      <c r="DQ886" s="1044"/>
      <c r="DR886" s="1044"/>
      <c r="DS886" s="1044"/>
      <c r="DT886" s="1044"/>
      <c r="DU886" s="1044"/>
      <c r="DV886" s="1044"/>
      <c r="DW886" s="1044"/>
      <c r="DX886" s="1044"/>
      <c r="DY886" s="1044"/>
      <c r="DZ886" s="855"/>
      <c r="EK886"/>
      <c r="EL886"/>
    </row>
    <row r="887" spans="1:143" ht="12.75" customHeight="1" x14ac:dyDescent="0.2">
      <c r="A887" s="3101" t="s">
        <v>2489</v>
      </c>
      <c r="B887" s="886"/>
      <c r="C887" s="886"/>
      <c r="D887" s="886"/>
      <c r="E887" s="886"/>
      <c r="F887" s="886"/>
      <c r="G887" s="886"/>
      <c r="H887" s="886"/>
      <c r="I887" s="886"/>
      <c r="J887" s="886"/>
      <c r="K887" s="886"/>
      <c r="L887" s="886"/>
      <c r="M887" s="1046"/>
      <c r="N887" s="886"/>
      <c r="O887" s="886"/>
      <c r="P887" s="886"/>
      <c r="Q887" s="886"/>
      <c r="R887" s="1046"/>
      <c r="S887" s="886"/>
      <c r="T887" s="886"/>
      <c r="U887" s="886"/>
      <c r="V887" s="886"/>
      <c r="W887" s="1046"/>
      <c r="X887" s="886"/>
      <c r="Y887" s="886"/>
      <c r="Z887" s="886"/>
      <c r="AA887" s="886"/>
      <c r="AB887" s="1046"/>
      <c r="AC887" s="886"/>
      <c r="AD887" s="886"/>
      <c r="AE887" s="886"/>
      <c r="AF887" s="886"/>
      <c r="AG887" s="1046"/>
      <c r="AH887" s="886"/>
      <c r="AI887" s="886"/>
      <c r="AJ887" s="886"/>
      <c r="AK887" s="886"/>
      <c r="AL887" s="1046"/>
      <c r="AM887" s="886"/>
      <c r="AN887" s="886"/>
      <c r="AO887" s="886"/>
      <c r="AP887" s="886"/>
      <c r="AQ887" s="1046"/>
      <c r="AR887" s="886"/>
      <c r="AS887" s="886"/>
      <c r="AT887" s="886"/>
      <c r="AU887" s="886"/>
      <c r="AV887" s="1046"/>
      <c r="AW887" s="886"/>
      <c r="AX887" s="886"/>
      <c r="AY887" s="886"/>
      <c r="AZ887" s="886"/>
      <c r="BA887" s="1046"/>
      <c r="BB887" s="886"/>
      <c r="BC887" s="886"/>
      <c r="BD887" s="886"/>
      <c r="BE887" s="886"/>
      <c r="BF887" s="1046"/>
      <c r="BG887" s="886"/>
      <c r="BH887" s="886"/>
      <c r="BI887" s="886"/>
      <c r="BJ887" s="886"/>
      <c r="BK887" s="1046"/>
      <c r="BL887" s="886"/>
      <c r="BM887" s="886"/>
      <c r="BN887" s="886"/>
      <c r="BO887" s="886"/>
      <c r="BP887" s="1046"/>
      <c r="BQ887" s="886"/>
      <c r="BR887" s="886"/>
      <c r="BS887" s="886"/>
      <c r="BT887" s="886"/>
      <c r="BU887" s="1046"/>
      <c r="BV887" s="886"/>
      <c r="BW887" s="886"/>
      <c r="BX887" s="886"/>
      <c r="BY887" s="886"/>
      <c r="BZ887" s="1046"/>
      <c r="CA887" s="1047"/>
      <c r="CB887" s="886"/>
      <c r="CC887" s="886"/>
      <c r="CD887" s="886"/>
      <c r="CE887" s="1046"/>
      <c r="CF887" s="886"/>
      <c r="CG887" s="886"/>
      <c r="CH887" s="886"/>
      <c r="CI887" s="886"/>
      <c r="CJ887" s="1046"/>
      <c r="CK887" s="886"/>
      <c r="CL887" s="886"/>
      <c r="CM887" s="886"/>
      <c r="CN887" s="385">
        <v>3.7499999999999999E-2</v>
      </c>
      <c r="CO887" s="1046"/>
      <c r="CP887" s="385">
        <v>3.7499999999999999E-2</v>
      </c>
      <c r="CQ887" s="385">
        <v>3.7499999999999999E-2</v>
      </c>
      <c r="CR887" s="385">
        <v>3.7499999999999999E-2</v>
      </c>
      <c r="CS887" s="385">
        <v>3.7499999999999999E-2</v>
      </c>
      <c r="CT887" s="1046"/>
      <c r="CU887" s="1839">
        <v>3.7499999999999999E-2</v>
      </c>
      <c r="CV887" s="1627">
        <v>3.7499999999999999E-2</v>
      </c>
      <c r="CW887" s="1627">
        <v>3.7499999999999999E-2</v>
      </c>
      <c r="CX887" s="1843">
        <v>3.7499999999999999E-2</v>
      </c>
      <c r="CY887" s="885">
        <f t="shared" si="1780"/>
        <v>3.7499999999999999E-2</v>
      </c>
      <c r="CZ887" s="918">
        <v>3.7499999999999999E-2</v>
      </c>
      <c r="DA887" s="918">
        <v>3.7499999999999999E-2</v>
      </c>
      <c r="DD887" s="2380"/>
      <c r="DE887" s="1044"/>
      <c r="DF887" s="1044"/>
      <c r="DG887" s="1044"/>
      <c r="DH887" s="1044"/>
      <c r="DI887" s="1044"/>
      <c r="DJ887" s="1044"/>
      <c r="DK887" s="1044"/>
      <c r="DL887" s="1044"/>
      <c r="DM887" s="1044"/>
      <c r="DN887" s="1044"/>
      <c r="DO887" s="1044"/>
      <c r="DP887" s="1044"/>
      <c r="DQ887" s="1044"/>
      <c r="DR887" s="1044"/>
      <c r="DS887" s="1044"/>
      <c r="DT887" s="1044"/>
      <c r="DU887" s="1044"/>
      <c r="DV887" s="1044"/>
      <c r="DW887" s="1044"/>
      <c r="DX887" s="1044"/>
      <c r="DY887" s="1044"/>
      <c r="DZ887" s="855"/>
      <c r="EK887"/>
      <c r="EL887"/>
    </row>
    <row r="888" spans="1:143" ht="12.75" customHeight="1" x14ac:dyDescent="0.2">
      <c r="A888" s="3101" t="s">
        <v>2490</v>
      </c>
      <c r="B888" s="886"/>
      <c r="C888" s="886"/>
      <c r="D888" s="886"/>
      <c r="E888" s="886"/>
      <c r="F888" s="886"/>
      <c r="G888" s="886"/>
      <c r="H888" s="886"/>
      <c r="I888" s="886"/>
      <c r="J888" s="886"/>
      <c r="K888" s="886"/>
      <c r="L888" s="886"/>
      <c r="M888" s="1046"/>
      <c r="N888" s="886"/>
      <c r="O888" s="886"/>
      <c r="P888" s="886"/>
      <c r="Q888" s="886"/>
      <c r="R888" s="1046"/>
      <c r="S888" s="886"/>
      <c r="T888" s="886"/>
      <c r="U888" s="886"/>
      <c r="V888" s="886"/>
      <c r="W888" s="1046"/>
      <c r="X888" s="886"/>
      <c r="Y888" s="886"/>
      <c r="Z888" s="886"/>
      <c r="AA888" s="886"/>
      <c r="AB888" s="1046"/>
      <c r="AC888" s="886"/>
      <c r="AD888" s="886"/>
      <c r="AE888" s="886"/>
      <c r="AF888" s="886"/>
      <c r="AG888" s="1046"/>
      <c r="AH888" s="886"/>
      <c r="AI888" s="886"/>
      <c r="AJ888" s="886"/>
      <c r="AK888" s="886"/>
      <c r="AL888" s="1046"/>
      <c r="AM888" s="886"/>
      <c r="AN888" s="886"/>
      <c r="AO888" s="886"/>
      <c r="AP888" s="886"/>
      <c r="AQ888" s="1046"/>
      <c r="AR888" s="886"/>
      <c r="AS888" s="886"/>
      <c r="AT888" s="886"/>
      <c r="AU888" s="886"/>
      <c r="AV888" s="1046"/>
      <c r="AW888" s="886"/>
      <c r="AX888" s="886"/>
      <c r="AY888" s="886"/>
      <c r="AZ888" s="886"/>
      <c r="BA888" s="1046"/>
      <c r="BB888" s="886"/>
      <c r="BC888" s="886"/>
      <c r="BD888" s="886"/>
      <c r="BE888" s="886"/>
      <c r="BF888" s="1046"/>
      <c r="BG888" s="886"/>
      <c r="BH888" s="886"/>
      <c r="BI888" s="886"/>
      <c r="BJ888" s="886"/>
      <c r="BK888" s="1046"/>
      <c r="BL888" s="886"/>
      <c r="BM888" s="886"/>
      <c r="BN888" s="886"/>
      <c r="BO888" s="886"/>
      <c r="BP888" s="1046"/>
      <c r="BQ888" s="886"/>
      <c r="BR888" s="886"/>
      <c r="BS888" s="886"/>
      <c r="BT888" s="886"/>
      <c r="BU888" s="1046"/>
      <c r="BV888" s="886"/>
      <c r="BW888" s="886"/>
      <c r="BX888" s="886"/>
      <c r="BY888" s="886"/>
      <c r="BZ888" s="1046"/>
      <c r="CA888" s="1047"/>
      <c r="CB888" s="886"/>
      <c r="CC888" s="886"/>
      <c r="CD888" s="886"/>
      <c r="CE888" s="1046"/>
      <c r="CF888" s="886"/>
      <c r="CG888" s="886"/>
      <c r="CH888" s="886"/>
      <c r="CI888" s="886"/>
      <c r="CJ888" s="1046"/>
      <c r="CK888" s="886"/>
      <c r="CL888" s="886"/>
      <c r="CM888" s="886"/>
      <c r="CN888" s="385">
        <v>4.4999999999999998E-2</v>
      </c>
      <c r="CO888" s="1046"/>
      <c r="CP888" s="385">
        <v>4.4999999999999998E-2</v>
      </c>
      <c r="CQ888" s="385">
        <v>4.4999999999999998E-2</v>
      </c>
      <c r="CR888" s="385">
        <v>4.4999999999999998E-2</v>
      </c>
      <c r="CS888" s="385">
        <v>4.4999999999999998E-2</v>
      </c>
      <c r="CT888" s="1046"/>
      <c r="CU888" s="1839">
        <v>4.4999999999999998E-2</v>
      </c>
      <c r="CV888" s="1627">
        <v>4.4999999999999998E-2</v>
      </c>
      <c r="CW888" s="1627">
        <v>4.4999999999999998E-2</v>
      </c>
      <c r="CX888" s="1843">
        <v>4.4999999999999998E-2</v>
      </c>
      <c r="CY888" s="885">
        <f t="shared" si="1780"/>
        <v>4.4999999999999998E-2</v>
      </c>
      <c r="CZ888" s="918">
        <v>4.4999999999999998E-2</v>
      </c>
      <c r="DA888" s="918">
        <v>4.4999999999999998E-2</v>
      </c>
      <c r="DD888" s="2380"/>
      <c r="DE888" s="1044"/>
      <c r="DF888" s="1044"/>
      <c r="DG888" s="1044"/>
      <c r="DH888" s="1044"/>
      <c r="DI888" s="1044"/>
      <c r="DJ888" s="1044"/>
      <c r="DK888" s="1044"/>
      <c r="DL888" s="1044"/>
      <c r="DM888" s="1044"/>
      <c r="DN888" s="1044"/>
      <c r="DO888" s="1044"/>
      <c r="DP888" s="1044"/>
      <c r="DQ888" s="1044"/>
      <c r="DR888" s="1044"/>
      <c r="DS888" s="1044"/>
      <c r="DT888" s="1044"/>
      <c r="DU888" s="1044"/>
      <c r="DV888" s="1044"/>
      <c r="DW888" s="1044"/>
      <c r="DX888" s="1044"/>
      <c r="DY888" s="1044"/>
      <c r="DZ888" s="855"/>
      <c r="EK888"/>
      <c r="EL888"/>
    </row>
    <row r="889" spans="1:143" ht="12.75" customHeight="1" x14ac:dyDescent="0.2">
      <c r="A889" s="1736"/>
      <c r="B889" s="886"/>
      <c r="C889" s="886"/>
      <c r="D889" s="886"/>
      <c r="E889" s="886"/>
      <c r="F889" s="886"/>
      <c r="G889" s="886"/>
      <c r="H889" s="886"/>
      <c r="I889" s="886"/>
      <c r="J889" s="886"/>
      <c r="K889" s="886"/>
      <c r="L889" s="886"/>
      <c r="M889" s="1046"/>
      <c r="N889" s="886"/>
      <c r="O889" s="886"/>
      <c r="P889" s="886"/>
      <c r="Q889" s="886"/>
      <c r="R889" s="1046"/>
      <c r="S889" s="886"/>
      <c r="T889" s="886"/>
      <c r="U889" s="886"/>
      <c r="V889" s="886"/>
      <c r="W889" s="1046"/>
      <c r="X889" s="886"/>
      <c r="Y889" s="886"/>
      <c r="Z889" s="886"/>
      <c r="AA889" s="886"/>
      <c r="AB889" s="1046"/>
      <c r="AC889" s="886"/>
      <c r="AD889" s="886"/>
      <c r="AE889" s="886"/>
      <c r="AF889" s="886"/>
      <c r="AG889" s="1046"/>
      <c r="AH889" s="886"/>
      <c r="AI889" s="886"/>
      <c r="AJ889" s="886"/>
      <c r="AK889" s="886"/>
      <c r="AL889" s="1046"/>
      <c r="AM889" s="886"/>
      <c r="AN889" s="886"/>
      <c r="AO889" s="886"/>
      <c r="AP889" s="886"/>
      <c r="AQ889" s="1046"/>
      <c r="AR889" s="886"/>
      <c r="AS889" s="886"/>
      <c r="AT889" s="886"/>
      <c r="AU889" s="886"/>
      <c r="AV889" s="1046"/>
      <c r="AW889" s="886"/>
      <c r="AX889" s="886"/>
      <c r="AY889" s="886"/>
      <c r="AZ889" s="886"/>
      <c r="BA889" s="1046"/>
      <c r="BB889" s="886"/>
      <c r="BC889" s="886"/>
      <c r="BD889" s="886"/>
      <c r="BE889" s="886"/>
      <c r="BF889" s="1046"/>
      <c r="BG889" s="886"/>
      <c r="BH889" s="886"/>
      <c r="BI889" s="886"/>
      <c r="BJ889" s="886"/>
      <c r="BK889" s="1046"/>
      <c r="BL889" s="886"/>
      <c r="BM889" s="886"/>
      <c r="BN889" s="886"/>
      <c r="BO889" s="886"/>
      <c r="BP889" s="1046"/>
      <c r="BQ889" s="886"/>
      <c r="BR889" s="886"/>
      <c r="BS889" s="886"/>
      <c r="BT889" s="886"/>
      <c r="BU889" s="1046"/>
      <c r="BV889" s="886"/>
      <c r="BW889" s="886"/>
      <c r="BX889" s="886"/>
      <c r="BY889" s="886"/>
      <c r="BZ889" s="1046"/>
      <c r="CA889" s="1047"/>
      <c r="CB889" s="886"/>
      <c r="CC889" s="886"/>
      <c r="CD889" s="886"/>
      <c r="CE889" s="1046"/>
      <c r="CF889" s="886"/>
      <c r="CG889" s="886"/>
      <c r="CH889" s="886"/>
      <c r="CI889" s="886"/>
      <c r="CJ889" s="1046"/>
      <c r="CK889" s="886"/>
      <c r="CL889" s="886"/>
      <c r="CM889" s="886"/>
      <c r="CN889" s="886"/>
      <c r="CO889" s="1046"/>
      <c r="CP889" s="886"/>
      <c r="CQ889" s="886"/>
      <c r="CR889" s="886"/>
      <c r="CS889" s="886"/>
      <c r="CT889" s="1046"/>
      <c r="CU889" s="1047"/>
      <c r="CV889" s="886"/>
      <c r="CW889" s="886"/>
      <c r="CX889" s="1549"/>
      <c r="CY889" s="1640"/>
      <c r="CZ889" s="1046"/>
      <c r="DA889" s="1046"/>
      <c r="DD889" s="2380"/>
      <c r="DE889" s="1044"/>
      <c r="DF889" s="1044"/>
      <c r="DG889" s="1044"/>
      <c r="DH889" s="1044"/>
      <c r="DI889" s="1044"/>
      <c r="DJ889" s="1044"/>
      <c r="DK889" s="1044"/>
      <c r="DL889" s="1044"/>
      <c r="DM889" s="1044"/>
      <c r="DN889" s="1044"/>
      <c r="DO889" s="1044"/>
      <c r="DP889" s="1044"/>
      <c r="DQ889" s="1044"/>
      <c r="DR889" s="1044"/>
      <c r="DS889" s="1044"/>
      <c r="DT889" s="1044"/>
      <c r="DU889" s="1044"/>
      <c r="DV889" s="1044"/>
      <c r="DW889" s="1044"/>
      <c r="DX889" s="1044"/>
      <c r="DY889" s="1044"/>
      <c r="DZ889" s="855"/>
      <c r="EK889"/>
      <c r="EL889"/>
    </row>
    <row r="890" spans="1:143" ht="12.75" customHeight="1" x14ac:dyDescent="0.2">
      <c r="A890" s="1733" t="s">
        <v>450</v>
      </c>
      <c r="B890" s="886"/>
      <c r="C890" s="886"/>
      <c r="D890" s="886"/>
      <c r="E890" s="886"/>
      <c r="F890" s="886"/>
      <c r="G890" s="886"/>
      <c r="H890" s="886"/>
      <c r="I890" s="886"/>
      <c r="J890" s="886"/>
      <c r="K890" s="886"/>
      <c r="L890" s="886"/>
      <c r="M890" s="1046"/>
      <c r="N890" s="886"/>
      <c r="O890" s="886"/>
      <c r="P890" s="886"/>
      <c r="Q890" s="886"/>
      <c r="R890" s="1046"/>
      <c r="S890" s="886"/>
      <c r="T890" s="886"/>
      <c r="U890" s="886"/>
      <c r="V890" s="886"/>
      <c r="W890" s="1046"/>
      <c r="X890" s="886"/>
      <c r="Y890" s="886"/>
      <c r="Z890" s="886"/>
      <c r="AA890" s="886"/>
      <c r="AB890" s="1046"/>
      <c r="AC890" s="886"/>
      <c r="AD890" s="886"/>
      <c r="AE890" s="886"/>
      <c r="AF890" s="886"/>
      <c r="AG890" s="1046"/>
      <c r="AH890" s="886"/>
      <c r="AI890" s="886"/>
      <c r="AJ890" s="886"/>
      <c r="AK890" s="886"/>
      <c r="AL890" s="1046"/>
      <c r="AM890" s="886"/>
      <c r="AN890" s="886"/>
      <c r="AO890" s="886"/>
      <c r="AP890" s="886"/>
      <c r="AQ890" s="1046"/>
      <c r="AR890" s="886"/>
      <c r="AS890" s="886"/>
      <c r="AT890" s="886"/>
      <c r="AU890" s="886"/>
      <c r="AV890" s="1046"/>
      <c r="AW890" s="886"/>
      <c r="AX890" s="886"/>
      <c r="AY890" s="886"/>
      <c r="AZ890" s="886"/>
      <c r="BA890" s="1046"/>
      <c r="BB890" s="886"/>
      <c r="BC890" s="886"/>
      <c r="BD890" s="886"/>
      <c r="BE890" s="886"/>
      <c r="BF890" s="1046"/>
      <c r="BG890" s="886"/>
      <c r="BH890" s="886"/>
      <c r="BI890" s="886"/>
      <c r="BJ890" s="886"/>
      <c r="BK890" s="1046"/>
      <c r="BL890" s="886"/>
      <c r="BM890" s="886"/>
      <c r="BN890" s="886"/>
      <c r="BO890" s="886"/>
      <c r="BP890" s="1046"/>
      <c r="BQ890" s="886"/>
      <c r="BR890" s="886"/>
      <c r="BS890" s="886"/>
      <c r="BT890" s="886"/>
      <c r="BU890" s="1046"/>
      <c r="BV890" s="886"/>
      <c r="BW890" s="886"/>
      <c r="BX890" s="886"/>
      <c r="BY890" s="886"/>
      <c r="BZ890" s="1046"/>
      <c r="CA890" s="1047"/>
      <c r="CB890" s="886"/>
      <c r="CC890" s="886"/>
      <c r="CD890" s="886"/>
      <c r="CE890" s="1046"/>
      <c r="CF890" s="886"/>
      <c r="CG890" s="886"/>
      <c r="CH890" s="886"/>
      <c r="CI890" s="886"/>
      <c r="CJ890" s="1046"/>
      <c r="CK890" s="886"/>
      <c r="CL890" s="886"/>
      <c r="CM890" s="886"/>
      <c r="CN890" s="886"/>
      <c r="CO890" s="1046"/>
      <c r="CP890" s="886"/>
      <c r="CQ890" s="886"/>
      <c r="CR890" s="886"/>
      <c r="CS890" s="886"/>
      <c r="CT890" s="1046"/>
      <c r="CU890" s="1047"/>
      <c r="CV890" s="886"/>
      <c r="CW890" s="886"/>
      <c r="CX890" s="1549"/>
      <c r="CY890" s="1640"/>
      <c r="CZ890" s="1046"/>
      <c r="DA890" s="1046"/>
      <c r="DD890" s="2381" t="s">
        <v>450</v>
      </c>
      <c r="DE890" s="1044">
        <f t="shared" si="1758"/>
        <v>0</v>
      </c>
      <c r="DF890" s="1044">
        <f t="shared" si="1759"/>
        <v>0</v>
      </c>
      <c r="DG890" s="1044">
        <f t="shared" si="1760"/>
        <v>0</v>
      </c>
      <c r="DH890" s="1044">
        <f t="shared" si="1761"/>
        <v>0</v>
      </c>
      <c r="DI890" s="1044">
        <f t="shared" si="1762"/>
        <v>0</v>
      </c>
      <c r="DJ890" s="1044">
        <f t="shared" si="1763"/>
        <v>0</v>
      </c>
      <c r="DK890" s="1044">
        <f t="shared" si="1764"/>
        <v>0</v>
      </c>
      <c r="DL890" s="1044">
        <f t="shared" si="1765"/>
        <v>0</v>
      </c>
      <c r="DM890" s="1044">
        <f t="shared" si="1766"/>
        <v>0</v>
      </c>
      <c r="DN890" s="1044">
        <f t="shared" si="1767"/>
        <v>0</v>
      </c>
      <c r="DO890" s="1044">
        <f t="shared" si="1768"/>
        <v>0</v>
      </c>
      <c r="DP890" s="1044">
        <f t="shared" si="1769"/>
        <v>0</v>
      </c>
      <c r="DQ890" s="1044">
        <f t="shared" si="1770"/>
        <v>0</v>
      </c>
      <c r="DR890" s="1044">
        <f t="shared" si="1771"/>
        <v>0</v>
      </c>
      <c r="DS890" s="1044">
        <f t="shared" si="1772"/>
        <v>0</v>
      </c>
      <c r="DT890" s="1044">
        <f t="shared" si="1773"/>
        <v>0</v>
      </c>
      <c r="DU890" s="1044">
        <f t="shared" si="1774"/>
        <v>0</v>
      </c>
      <c r="DV890" s="1044">
        <f t="shared" si="1775"/>
        <v>0</v>
      </c>
      <c r="DW890" s="1044">
        <f t="shared" si="1776"/>
        <v>0</v>
      </c>
      <c r="DX890" s="1044">
        <f t="shared" si="1777"/>
        <v>0</v>
      </c>
      <c r="DY890" s="1044">
        <f t="shared" si="1778"/>
        <v>0</v>
      </c>
      <c r="DZ890" s="855"/>
      <c r="EK890"/>
      <c r="EL890"/>
    </row>
    <row r="891" spans="1:143" ht="12.75" customHeight="1" x14ac:dyDescent="0.2">
      <c r="A891" s="1436"/>
      <c r="C891" s="847" t="s">
        <v>2090</v>
      </c>
      <c r="M891" s="661"/>
      <c r="R891" s="661"/>
      <c r="W891" s="661"/>
      <c r="AB891" s="661"/>
      <c r="AG891" s="661"/>
      <c r="AL891" s="661"/>
      <c r="AQ891" s="661"/>
      <c r="AV891" s="661"/>
      <c r="BA891" s="661"/>
      <c r="BF891" s="661"/>
      <c r="BK891" s="661"/>
      <c r="BP891" s="661"/>
      <c r="BU891" s="661"/>
      <c r="BZ891" s="661"/>
      <c r="CA891" s="973"/>
      <c r="CD891" s="1431"/>
      <c r="CE891" s="661"/>
      <c r="CI891" s="1431"/>
      <c r="CJ891" s="661"/>
      <c r="CN891" s="1431"/>
      <c r="CO891" s="661"/>
      <c r="CR891" s="3798"/>
      <c r="CT891" s="661"/>
      <c r="CU891" s="973"/>
      <c r="CX891" s="1431"/>
      <c r="CY891" s="3012"/>
      <c r="CZ891" s="661"/>
      <c r="DA891" s="661"/>
      <c r="DD891" s="2288"/>
      <c r="DE891" s="2293"/>
      <c r="DF891" s="2293"/>
      <c r="DG891" s="2293"/>
      <c r="DH891" s="2293"/>
      <c r="DI891" s="2293"/>
      <c r="DJ891" s="2293"/>
      <c r="DK891" s="2293"/>
      <c r="DL891" s="2293"/>
      <c r="DM891" s="2293"/>
      <c r="DN891" s="2293"/>
      <c r="DO891" s="2293"/>
      <c r="DP891" s="2293"/>
      <c r="DQ891" s="2293"/>
      <c r="DR891" s="2293"/>
      <c r="DS891" s="2293"/>
      <c r="DT891" s="2293"/>
      <c r="DU891" s="2293"/>
      <c r="DV891" s="2293"/>
      <c r="DW891" s="2293"/>
      <c r="DX891" s="2293"/>
      <c r="DY891" s="2293"/>
      <c r="DZ891" s="855"/>
      <c r="EK891"/>
      <c r="EL891"/>
    </row>
    <row r="892" spans="1:143" ht="12.75" customHeight="1" x14ac:dyDescent="0.2">
      <c r="A892" s="1630" t="s">
        <v>1080</v>
      </c>
      <c r="D892" s="847" t="s">
        <v>1440</v>
      </c>
      <c r="M892" s="661"/>
      <c r="R892" s="661"/>
      <c r="W892" s="661"/>
      <c r="AB892" s="661"/>
      <c r="AG892" s="661"/>
      <c r="AL892" s="661"/>
      <c r="AQ892" s="661"/>
      <c r="AV892" s="661"/>
      <c r="BA892" s="661"/>
      <c r="BF892" s="661"/>
      <c r="BK892" s="661"/>
      <c r="BP892" s="661"/>
      <c r="BU892" s="661"/>
      <c r="BZ892" s="661"/>
      <c r="CA892" s="973"/>
      <c r="CD892" s="1431"/>
      <c r="CE892" s="661"/>
      <c r="CI892" s="1431"/>
      <c r="CJ892" s="661"/>
      <c r="CN892" s="1431"/>
      <c r="CO892" s="661"/>
      <c r="CR892" s="3798"/>
      <c r="CT892" s="661"/>
      <c r="CU892" s="973"/>
      <c r="CY892" s="2293"/>
      <c r="CZ892" s="661"/>
      <c r="DA892" s="661"/>
      <c r="DD892" s="1630" t="s">
        <v>1080</v>
      </c>
      <c r="DE892" s="2293"/>
      <c r="DF892" s="2293"/>
      <c r="DG892" s="2293"/>
      <c r="DH892" s="2293"/>
      <c r="DI892" s="2293"/>
      <c r="DJ892" s="2293"/>
      <c r="DK892" s="2293"/>
      <c r="DL892" s="2293"/>
      <c r="DM892" s="2293"/>
      <c r="DN892" s="2293"/>
      <c r="DO892" s="2293"/>
      <c r="DP892" s="2293"/>
      <c r="DQ892" s="2293"/>
      <c r="DR892" s="2293"/>
      <c r="DS892" s="2293"/>
      <c r="DT892" s="2293"/>
      <c r="DU892" s="2293"/>
      <c r="DV892" s="2293"/>
      <c r="DW892" s="2293"/>
      <c r="DX892" s="2293"/>
      <c r="DY892" s="2293"/>
      <c r="DZ892" s="855"/>
      <c r="EK892"/>
      <c r="EL892"/>
    </row>
    <row r="893" spans="1:143" ht="12.75" customHeight="1" x14ac:dyDescent="0.2">
      <c r="A893" s="1434" t="s">
        <v>749</v>
      </c>
      <c r="C893" s="2939">
        <f>'Credit Facility'!F33</f>
        <v>1.175E-2</v>
      </c>
      <c r="D893" s="847">
        <f>'Credit Facility'!F45</f>
        <v>2E-3</v>
      </c>
      <c r="I893" s="847">
        <f>AVERAGE(C832:I832)*$C893/(1/(I4/$M$4))</f>
        <v>6.5076923076923088E-2</v>
      </c>
      <c r="J893" s="847">
        <f>AVERAGE(I832:J832)*$C893/(1/(J4/$M$4))</f>
        <v>6.5076923076923088E-2</v>
      </c>
      <c r="K893" s="847">
        <f>AVERAGE(J832:K832)*$C893/(1/(K4/$M$4))</f>
        <v>6.5076923076923088E-2</v>
      </c>
      <c r="L893" s="847">
        <f>AVERAGE(K832:L832)*$C893/(1/(L4/$M$4))</f>
        <v>8.6769230769230779E-2</v>
      </c>
      <c r="M893" s="661">
        <f t="shared" ref="M893:M898" si="1781">SUM(I893:L893)</f>
        <v>0.28200000000000003</v>
      </c>
      <c r="N893" s="847">
        <f>AVERAGE(M832:N832)*$C893/(1/(N4/$R$4))</f>
        <v>6.5076923076923088E-2</v>
      </c>
      <c r="O893" s="847">
        <f>AVERAGE(N832:O832)*$C893/(1/(O4/$R$4))</f>
        <v>6.5076923076923088E-2</v>
      </c>
      <c r="P893" s="847">
        <f>AVERAGE(O832:P832)*$C893/(1/(P4/$R$4))</f>
        <v>6.5076923076923088E-2</v>
      </c>
      <c r="Q893" s="847">
        <f>AVERAGE(P832:Q832)*$C893/(1/(Q4/$R$4))</f>
        <v>1.9288076923076924</v>
      </c>
      <c r="R893" s="661">
        <f t="shared" ref="R893:R898" si="1782">SUM(N893:Q893)</f>
        <v>2.1240384615384618</v>
      </c>
      <c r="S893" s="847">
        <f>AVERAGE(R832:S832)*$C893/(1/(S4/$W$4))</f>
        <v>1.9340943396226411</v>
      </c>
      <c r="T893" s="847">
        <f>AVERAGE(S832:T832)*$C893/(1/(T4/$W$4))</f>
        <v>1.1346509433962264</v>
      </c>
      <c r="U893" s="847">
        <f>AVERAGE(T832:U832)*$C893/(1/(U4/$W$4))</f>
        <v>1.0388773584905659</v>
      </c>
      <c r="V893" s="847">
        <f>AVERAGE(U832:V832)*$C893/(1/(V4/$W$4))</f>
        <v>0.67839622641509445</v>
      </c>
      <c r="W893" s="661">
        <f t="shared" ref="W893:W898" si="1783">SUM(S893:V893)</f>
        <v>4.7860188679245272</v>
      </c>
      <c r="X893" s="847">
        <f>AVERAGE(W832:X832)*$C893/(1/(X4/$AB$4))</f>
        <v>0.55044230769230773</v>
      </c>
      <c r="Y893" s="847">
        <f>AVERAGE(X832:Y832)*$C893/(1/(Y4/$AB$4))</f>
        <v>0.52197115384615389</v>
      </c>
      <c r="Z893" s="847">
        <f>AVERAGE(Y832:Z832)*$C893/(1/(Z4/$AB$4))</f>
        <v>9.0836538461538469E-2</v>
      </c>
      <c r="AA893" s="847">
        <f>AVERAGE(Z832:AA832)*$C893/(1/(AA4/$AB$4))</f>
        <v>0.12111538461538461</v>
      </c>
      <c r="AB893" s="661">
        <f t="shared" ref="AB893:AB898" si="1784">SUM(X893:AA893)</f>
        <v>1.2843653846153846</v>
      </c>
      <c r="AC893" s="847">
        <f>AVERAGE(AB832:AC832)*$C893/(1/(AC4/$AG$4))</f>
        <v>0</v>
      </c>
      <c r="AD893" s="847">
        <f>AVERAGE(AC832:AD832)*$C893/(1/(AD4/$AG$4))</f>
        <v>0</v>
      </c>
      <c r="AE893" s="847">
        <f>AVERAGE(AD832:AE832)*$C893/(1/(AE4/$AG$4))</f>
        <v>0</v>
      </c>
      <c r="AF893" s="847">
        <f>AVERAGE(AE832:AF832)*$C893/(1/(AF4/$AG$4))</f>
        <v>0</v>
      </c>
      <c r="AG893" s="661">
        <f t="shared" ref="AG893:AG898" si="1785">SUM(AC893:AF893)</f>
        <v>0</v>
      </c>
      <c r="AH893" s="847">
        <f>AVERAGE(AG832:AH832)*($C893+$D893+AH878)/(1/(AH4/$AL$4))</f>
        <v>0</v>
      </c>
      <c r="AI893" s="847">
        <f>AVERAGE(AH832:AI832)*($C893+$D893+AI878)/(1/(AI4/$AL$4))</f>
        <v>0</v>
      </c>
      <c r="AJ893" s="847">
        <f>AVERAGE(AI832:AJ832)*($C893+$D893+AJ878)/(1/(AJ4/$AL$4))</f>
        <v>0</v>
      </c>
      <c r="AK893" s="847">
        <f>AVERAGE(AJ832:AK832)*($C893+$D893+AK878)/(1/(AK4/$AL$4))</f>
        <v>0</v>
      </c>
      <c r="AL893" s="661">
        <f t="shared" ref="AL893:AL901" si="1786">SUM(AH893:AK893)</f>
        <v>0</v>
      </c>
      <c r="AM893" s="847">
        <f>AVERAGE(AL832:AM832)*($C893+$D893+AM878)/(1/(AM4/$AL$4))</f>
        <v>0</v>
      </c>
      <c r="AN893" s="847">
        <f>AVERAGE(AM832:AN832)*($C893+$D893+AN878)/(1/(AN4/$AL$4))</f>
        <v>0</v>
      </c>
      <c r="AO893" s="847">
        <f>AVERAGE(AN832:AO832)*($C893+$D893+AO878)/(1/(AO4/$AL$4))</f>
        <v>0</v>
      </c>
      <c r="AP893" s="847">
        <f>AVERAGE(AO832:AP832)*($C893+$D893+AP878)/(1/(AP4/$AL$4))</f>
        <v>0</v>
      </c>
      <c r="AQ893" s="661">
        <f t="shared" ref="AQ893:AQ902" si="1787">SUM(AM893:AP893)</f>
        <v>0</v>
      </c>
      <c r="AR893" s="847">
        <f>AVERAGE(AQ832:AR832)*($C893+$D893+AR878)/(1/(AR4/$AL$4))</f>
        <v>0</v>
      </c>
      <c r="AS893" s="847">
        <f>AVERAGE(AR832:AS832)*($C893+$D893+AS878)/(1/(AS4/$AL$4))</f>
        <v>0</v>
      </c>
      <c r="AT893" s="847">
        <f>AVERAGE(AS832:AT832)*($C893+$D893+AT878)/(1/(AT4/$AL$4))</f>
        <v>0</v>
      </c>
      <c r="AU893" s="847">
        <f>AVERAGE(AT832:AU832)*($C893+$D893+AU878)/(1/(AU4/$AL$4))</f>
        <v>0</v>
      </c>
      <c r="AV893" s="661">
        <f t="shared" ref="AV893:AV915" si="1788">SUM(AR893:AU893)</f>
        <v>0</v>
      </c>
      <c r="AW893" s="847">
        <f>AVERAGE(AV832:AW832)*($C893+$D893+AW878)/(1/(AW4/$BA$4))</f>
        <v>0</v>
      </c>
      <c r="AX893" s="847">
        <f>AVERAGE(AW832:AX832)*($C893+$D893+AX878)/(1/(AX4/BA$4))</f>
        <v>0</v>
      </c>
      <c r="AY893" s="847">
        <f>AVERAGE(AX832:AY832)*($C893+$D893+AY878)/(1/(AY4/BA$4))</f>
        <v>0</v>
      </c>
      <c r="AZ893" s="847">
        <f>AVERAGE(AY832:AZ832)*($C893+$D893+AZ878)/(1/(AZ4/BA$4))</f>
        <v>6.2945058292682932</v>
      </c>
      <c r="BA893" s="661">
        <f t="shared" ref="BA893:BA915" si="1789">SUM(AW893:AZ893)</f>
        <v>6.2945058292682932</v>
      </c>
      <c r="BB893" s="847">
        <f>AVERAGE(BB832:BF832)*($C893+BB878)/(1/(BB$4/$BF$4))</f>
        <v>5.0423571692307698</v>
      </c>
      <c r="BC893" s="847">
        <f>AVERAGE(BC832:BK832)*($C893+BC878)/(1/(BC$4/$BF$4))</f>
        <v>1.9917897435897436</v>
      </c>
      <c r="BD893" s="847">
        <f>AVERAGE(BD832:BP832)*($C893+BD878)/(1/(BD$4/$BF$4))</f>
        <v>0.53728402366863903</v>
      </c>
      <c r="BE893" s="847">
        <f>AVERAGE(BE832:BU832)*($C893+BE878)/(1/(BE$4/$BF$4))</f>
        <v>0.35386425339366517</v>
      </c>
      <c r="BF893" s="661">
        <f t="shared" ref="BF893:BF915" si="1790">SUM(BB893:BE893)</f>
        <v>7.9252951898828172</v>
      </c>
      <c r="BG893" s="847">
        <f>AVERAGE(BG832,BE832)*($C893+BG878)/(1/(BG$4/$BK$4))</f>
        <v>1.3972788461538463</v>
      </c>
      <c r="BH893" s="847">
        <f>AVERAGE(BH832,BG832)*($C893+BH878)/(1/(BH$4/$BK$4))</f>
        <v>0.96791538461538473</v>
      </c>
      <c r="BI893" s="847">
        <f>AVERAGE(BI832,BH832)*($C893+BI878)/(1/(BI$4/$BK$4))</f>
        <v>0.1785046153846154</v>
      </c>
      <c r="BJ893" s="847">
        <f>AVERAGE(BJ832,BI832)*($C893+BJ878)/(1/(BJ$4/$BK$4))</f>
        <v>0</v>
      </c>
      <c r="BK893" s="661">
        <f t="shared" ref="BK893:BK916" si="1791">SUM(BG893:BJ893)</f>
        <v>2.5436988461538466</v>
      </c>
      <c r="BL893" s="847">
        <f>AVERAGE(BL832,BK832)*($C893+BL878)/(1/(BL$4/$BK$4))</f>
        <v>0</v>
      </c>
      <c r="BM893" s="847">
        <f>+AVERAGE(BL832:BM832)*(BM878+BM881)*(BM4/$BP$4)</f>
        <v>0</v>
      </c>
      <c r="BN893" s="847">
        <f>+AVERAGE(BM832:BN832)*(BN878+BN881)*(BN4/$BP$4)</f>
        <v>0</v>
      </c>
      <c r="BO893" s="847">
        <f>+AVERAGE(BN832:BO832)*(BO878+BO881)*(BO4/$BP$4)</f>
        <v>0</v>
      </c>
      <c r="BP893" s="661">
        <f t="shared" ref="BP893:BP916" si="1792">SUM(BL893:BO893)</f>
        <v>0</v>
      </c>
      <c r="BQ893" s="847">
        <f>+AVERAGE(BP832:BQ832)*(BQ878+BQ881)*(BQ4/$BU$4)</f>
        <v>0</v>
      </c>
      <c r="BR893" s="847">
        <f>+AVERAGE(BQ832:BR832)*(BR878+BR881)*(BR4/$BU$4)</f>
        <v>0</v>
      </c>
      <c r="BS893" s="847">
        <f>+AVERAGE(BR832:BS832)*(BS878+BS881)*(BS4/$BU$4)</f>
        <v>0</v>
      </c>
      <c r="BT893" s="847">
        <f>+AVERAGE(BS832:BT832)*(BT878+BT881)*(BT4/$BU$4)</f>
        <v>3.3945205479452054E-2</v>
      </c>
      <c r="BU893" s="661">
        <f>SUM(BQ893:BT893)</f>
        <v>3.3945205479452054E-2</v>
      </c>
      <c r="BV893" s="847">
        <f>+AVERAGE(BU832:BV832)*(BV878+BV881)*(BV4/$BZ$4)</f>
        <v>2.7956861413043481E-2</v>
      </c>
      <c r="BW893" s="847">
        <f>+AVERAGE(BV832:BW832)*(BW878+BW881)*(BW4/$BZ$4)</f>
        <v>0</v>
      </c>
      <c r="BX893" s="847">
        <f>+AVERAGE(BW832:BX832)*(BX878+BX881)*(BX4/$BZ$4)</f>
        <v>0</v>
      </c>
      <c r="BY893" s="847">
        <f>+AVERAGE(BX832:BY832)*(BY878+BY881)*(BY4/$BZ$4)</f>
        <v>0</v>
      </c>
      <c r="BZ893" s="661">
        <f>SUM(BV893:BY893)</f>
        <v>2.7956861413043481E-2</v>
      </c>
      <c r="CA893" s="973">
        <f>+AVERAGE(BZ832:CA832)*(CA878+CA881)*(CA4/$BZ$4)</f>
        <v>0</v>
      </c>
      <c r="CB893" s="847">
        <f>+AVERAGE(CA832:CB832)*(CB878+CB881)*(CB4/$BU$4)</f>
        <v>0</v>
      </c>
      <c r="CC893" s="847">
        <f>+AVERAGE(CB832:CC832)*(CC878+CC881)*(CC4/$BU$4)</f>
        <v>0</v>
      </c>
      <c r="CD893" s="847">
        <f>+AVERAGE(CC832:CD832)*(CD878+CD881)*(CD4/$BU$4)</f>
        <v>0</v>
      </c>
      <c r="CE893" s="661">
        <f>SUM(CA893:CD893)</f>
        <v>0</v>
      </c>
      <c r="CF893" s="847">
        <f>+AVERAGE(CE832:CF832)*(CF878+CF881)*(CF4/$BU$4)</f>
        <v>0</v>
      </c>
      <c r="CG893" s="847">
        <f>+AVERAGE(CF832:CG832)*(CG878+CG881)*(CG4/$BU$4)</f>
        <v>0</v>
      </c>
      <c r="CH893" s="847">
        <f>+AVERAGE(CG832:CH832)*(CH878+CH881)*(CH4/$BU$4)</f>
        <v>0</v>
      </c>
      <c r="CI893" s="1431">
        <f>+AVERAGE(CH832:CI832)*(CI878+CI881)*(CI4/$BU$4)</f>
        <v>0</v>
      </c>
      <c r="CJ893" s="661">
        <f t="shared" ref="CJ893:CJ900" si="1793">SUM(CF893:CI893)</f>
        <v>0</v>
      </c>
      <c r="CK893" s="847">
        <f>+AVERAGE(CJ832:CK832)*(CK878+CK881)*(CK4/$BU$4)</f>
        <v>0</v>
      </c>
      <c r="CL893" s="847">
        <f>+AVERAGE(CK832:CL832)*(CL878+CL881)*(CL4/$BU$4)</f>
        <v>0</v>
      </c>
      <c r="CM893" s="847">
        <f>+AVERAGE(CL832:CM832)*(CM878+CM881)*(CM4/$BU$4)</f>
        <v>2.2435397260273979</v>
      </c>
      <c r="CN893" s="1431">
        <f>+AVERAGE(CM832:CN832)*(CN878+CN881)*(CN4/$BU$4)</f>
        <v>2.5551424657534247</v>
      </c>
      <c r="CO893" s="661">
        <f t="shared" ref="CO893:CO900" si="1794">SUM(CK893:CN893)</f>
        <v>4.7986821917808227</v>
      </c>
      <c r="CP893" s="847">
        <f>+AVERAGE(CO832:CP832)*(CP878+CP881)*(CP4/$BU$4)</f>
        <v>0</v>
      </c>
      <c r="CQ893" s="847">
        <f>+AVERAGE(CP832:CQ832)*(CQ878+CQ881)*(CQ4/$BU$4)</f>
        <v>0</v>
      </c>
      <c r="CR893" s="3798">
        <f>+AVERAGE(CQ832:CR832)*(CR878+CR881)*(CR4/$BU$4)</f>
        <v>0</v>
      </c>
      <c r="CS893" s="847">
        <f>+AVERAGE(CR832:CS832)*(CS878+CS881)*(CS4/$BU$4)</f>
        <v>0</v>
      </c>
      <c r="CT893" s="661">
        <f t="shared" ref="CT893:CT900" si="1795">SUM(CP893:CS893)</f>
        <v>0</v>
      </c>
      <c r="CU893" s="847">
        <f>+AVERAGE(CT832:CU832)*(CU878+CU881)*(CU4/$BU$4)</f>
        <v>0.75205479452054791</v>
      </c>
      <c r="CV893" s="847">
        <f>+AVERAGE(CU832:CV832)*(CV878+CV881)*(CV4/$BU$4)</f>
        <v>2.8795890410958904</v>
      </c>
      <c r="CW893" s="847">
        <f>+AVERAGE(CV832:CW832)*(CW878+CW881)*(CW4/$BU$4)</f>
        <v>5.3687671232876717</v>
      </c>
      <c r="CX893" s="847">
        <f>+AVERAGE(CW832:CX832)*(CX878+CX881)*(CX4/$BU$4)</f>
        <v>7.1835616438356169</v>
      </c>
      <c r="CY893" s="2293">
        <f t="shared" ref="CY893:CY900" si="1796">SUM(CU893:CX893)</f>
        <v>16.183972602739729</v>
      </c>
      <c r="CZ893" s="661">
        <f>+AVERAGE(CY832:CZ832)*(CZ878+CZ881)</f>
        <v>45.562499999999993</v>
      </c>
      <c r="DA893" s="661">
        <f>+AVERAGE(CZ832:DA832)*(DA878+DA881)</f>
        <v>62.349999999999994</v>
      </c>
      <c r="DD893" s="2308" t="s">
        <v>749</v>
      </c>
      <c r="DE893" s="2293">
        <f t="shared" ref="DE893:DE927" si="1797">M893</f>
        <v>0.28200000000000003</v>
      </c>
      <c r="DF893" s="2293">
        <f t="shared" ref="DF893:DF927" si="1798">R893</f>
        <v>2.1240384615384618</v>
      </c>
      <c r="DG893" s="2293">
        <f t="shared" ref="DG893:DG927" si="1799">W893</f>
        <v>4.7860188679245272</v>
      </c>
      <c r="DH893" s="2293">
        <f t="shared" ref="DH893:DH927" si="1800">AB893</f>
        <v>1.2843653846153846</v>
      </c>
      <c r="DI893" s="2293">
        <f t="shared" ref="DI893:DI927" si="1801">AG893</f>
        <v>0</v>
      </c>
      <c r="DJ893" s="2293">
        <f t="shared" ref="DJ893:DJ927" si="1802">AL893</f>
        <v>0</v>
      </c>
      <c r="DK893" s="2293">
        <f t="shared" ref="DK893:DK927" si="1803">AQ893</f>
        <v>0</v>
      </c>
      <c r="DL893" s="2293">
        <f t="shared" ref="DL893:DL927" si="1804">AV893</f>
        <v>0</v>
      </c>
      <c r="DM893" s="2293">
        <f t="shared" ref="DM893:DM927" si="1805">BA893</f>
        <v>6.2945058292682932</v>
      </c>
      <c r="DN893" s="2293">
        <f t="shared" ref="DN893:DN927" si="1806">BF893</f>
        <v>7.9252951898828172</v>
      </c>
      <c r="DO893" s="2293">
        <f t="shared" ref="DO893:DO927" si="1807">BK893</f>
        <v>2.5436988461538466</v>
      </c>
      <c r="DP893" s="2293">
        <f t="shared" ref="DP893:DP927" si="1808">BP893</f>
        <v>0</v>
      </c>
      <c r="DQ893" s="2293">
        <f t="shared" ref="DQ893:DQ927" si="1809">BU893</f>
        <v>3.3945205479452054E-2</v>
      </c>
      <c r="DR893" s="2293">
        <f t="shared" ref="DR893:DR927" si="1810">BZ893</f>
        <v>2.7956861413043481E-2</v>
      </c>
      <c r="DS893" s="2293">
        <f t="shared" ref="DS893:DS927" si="1811">CE893</f>
        <v>0</v>
      </c>
      <c r="DT893" s="2293">
        <f t="shared" ref="DT893:DT927" si="1812">CJ893</f>
        <v>0</v>
      </c>
      <c r="DU893" s="2293">
        <f t="shared" ref="DU893:DU927" si="1813">CO893</f>
        <v>4.7986821917808227</v>
      </c>
      <c r="DV893" s="2293">
        <f t="shared" ref="DV893:DV927" si="1814">CT893</f>
        <v>0</v>
      </c>
      <c r="DW893" s="2293">
        <f t="shared" ref="DW893:DW927" si="1815">CY893</f>
        <v>16.183972602739729</v>
      </c>
      <c r="DX893" s="2293">
        <f t="shared" ref="DX893:DX927" si="1816">CZ893</f>
        <v>45.562499999999993</v>
      </c>
      <c r="DY893" s="2293">
        <f t="shared" ref="DY893:DY927" si="1817">DA893</f>
        <v>62.349999999999994</v>
      </c>
      <c r="DZ893" s="855"/>
      <c r="EK893"/>
      <c r="EL893"/>
      <c r="EM893" s="847"/>
    </row>
    <row r="894" spans="1:143" ht="12.75" customHeight="1" x14ac:dyDescent="0.2">
      <c r="A894" s="1434" t="s">
        <v>1378</v>
      </c>
      <c r="C894" s="2939">
        <v>3.5000000000000003E-2</v>
      </c>
      <c r="I894" s="847">
        <f>AVERAGE(C833:I833)*$C894/(1/(I4/$M$4))</f>
        <v>6.6796153846153858</v>
      </c>
      <c r="J894" s="847">
        <f>AVERAGE(I833:J833)*$C894/(1/(J4/$M$4))</f>
        <v>6.6796153846153858</v>
      </c>
      <c r="K894" s="847">
        <f>AVERAGE(J833:K833)*$C894/(1/(K4/$M$4))</f>
        <v>6.6796153846153858</v>
      </c>
      <c r="L894" s="847">
        <f>AVERAGE(K833:L833)*$C894/(1/(L4/$M$4))</f>
        <v>8.9061538461538472</v>
      </c>
      <c r="M894" s="661">
        <f t="shared" si="1781"/>
        <v>28.945000000000007</v>
      </c>
      <c r="N894" s="847">
        <f>AVERAGE(M833:N833)*$C894/(1/(N4/$R$4))</f>
        <v>6.6796153846153858</v>
      </c>
      <c r="O894" s="847">
        <f>AVERAGE(N833:O833)*$C894/(1/(O4/$R$4))</f>
        <v>6.0657692307692317</v>
      </c>
      <c r="P894" s="847">
        <f>AVERAGE(O833:P833)*$C894/(1/(P4/$R$4))</f>
        <v>5.4519230769230784</v>
      </c>
      <c r="Q894" s="847">
        <f>AVERAGE(P833:Q833)*$C894/(1/(Q4/$R$4))</f>
        <v>3.634615384615385</v>
      </c>
      <c r="R894" s="661">
        <f t="shared" si="1782"/>
        <v>21.831923076923083</v>
      </c>
      <c r="S894" s="847">
        <f>AVERAGE(R833:S833)*$C894/(1/(S4/$W$4))</f>
        <v>0</v>
      </c>
      <c r="T894" s="847">
        <f>AVERAGE(S833:T833)*$C894/(1/(T4/$W$4))</f>
        <v>0</v>
      </c>
      <c r="U894" s="847">
        <f>AVERAGE(T833:U833)*$C894/(1/(U4/$W$4))</f>
        <v>0</v>
      </c>
      <c r="V894" s="847">
        <f>AVERAGE(U833:V833)*$C894/(1/(V4/$W$4))</f>
        <v>0.57254716981132081</v>
      </c>
      <c r="W894" s="661">
        <f t="shared" si="1783"/>
        <v>0.57254716981132081</v>
      </c>
      <c r="X894" s="847">
        <f>AVERAGE(W833:X833)*$C894/(1/(X4/$AB$4))</f>
        <v>0.82384615384615401</v>
      </c>
      <c r="Y894" s="847">
        <f>AVERAGE(X833:Y833)*$C894/(1/(Y4/$AB$4))</f>
        <v>0.82384615384615401</v>
      </c>
      <c r="Z894" s="847">
        <f>AVERAGE(Y833:Z833)*$C894/(1/(Z4/$AB$4))</f>
        <v>0.82384615384615401</v>
      </c>
      <c r="AA894" s="847">
        <f>AVERAGE(Z833:AA833)*$C894/(1/(AA4/$AB$4))</f>
        <v>0.5492307692307693</v>
      </c>
      <c r="AB894" s="661">
        <f t="shared" si="1784"/>
        <v>3.0207692307692313</v>
      </c>
      <c r="AC894" s="847">
        <f>AVERAGE(AB833:AC833)*$C894/(1/(AC4/$AG$4))</f>
        <v>1.1711538461538462</v>
      </c>
      <c r="AD894" s="847">
        <f>AVERAGE(AC833:AD833)*$C894/(1/(AD4/$AG$4))</f>
        <v>1.5750000000000004</v>
      </c>
      <c r="AE894" s="847">
        <f>AVERAGE(AD833:AE833)*$C894/(1/(AE4/$AG$4))</f>
        <v>0.60576923076923095</v>
      </c>
      <c r="AF894" s="847">
        <f>AVERAGE(AE833:AF833)*$C894/(1/(AF4/$AG$4))</f>
        <v>0.26923076923076927</v>
      </c>
      <c r="AG894" s="661">
        <f t="shared" si="1785"/>
        <v>3.6211538461538466</v>
      </c>
      <c r="AH894" s="847">
        <f>AVERAGE(AG833:AH833)*$C894/(1/(AH4/$AL$4))</f>
        <v>0</v>
      </c>
      <c r="AI894" s="847">
        <f>AVERAGE(AH833:AI833)*$C894/(1/(AI4/$AL$4))</f>
        <v>0</v>
      </c>
      <c r="AJ894" s="847">
        <f>AVERAGE(AI833:AJ833)*$C894/(1/(AJ4/$AL$4))</f>
        <v>1.5750000000000004</v>
      </c>
      <c r="AK894" s="847">
        <f>AVERAGE(AJ833:AK833)*$C894/(1/(AK4/$AL$4))</f>
        <v>4.7869230769230775</v>
      </c>
      <c r="AL894" s="661">
        <f>SUM(AH894:AK894)</f>
        <v>6.3619230769230777</v>
      </c>
      <c r="AM894" s="847">
        <f>AVERAGE(AL833:AM833)*$C894/(1/(AM4/$AQ$4))</f>
        <v>4.8489863013698633</v>
      </c>
      <c r="AN894" s="847">
        <f>AVERAGE(AM833:AN833)*$C894/(1/(AN4/$AQ$4))</f>
        <v>3.0044383561643841</v>
      </c>
      <c r="AO894" s="847">
        <f>AVERAGE(AN833:AO833)*$C894/(1/(AO4/$AQ$4))</f>
        <v>0.63632876712328779</v>
      </c>
      <c r="AP894" s="847">
        <f>AVERAGE(AO833:AP833)*$C894/(1/(AP4/$AQ$4))</f>
        <v>2.3404931506849316</v>
      </c>
      <c r="AQ894" s="661">
        <f>SUM(AM894:AP894)</f>
        <v>10.830246575342468</v>
      </c>
      <c r="AR894" s="847">
        <f>AVERAGE(AQ833:AR833)*$C894/(1/(AR4/$AV$4))</f>
        <v>4.9013424657534257</v>
      </c>
      <c r="AS894" s="847">
        <f>AVERAGE(AR833:AS833)*$C894/(1/(AS4/$AV$4))</f>
        <v>6.2827397260273985</v>
      </c>
      <c r="AT894" s="847">
        <f>AVERAGE(AS833:AT833)*$C894/(1/(AT4/$AV$4))</f>
        <v>6.2787123287671243</v>
      </c>
      <c r="AU894" s="847">
        <f>(AT833*(AT4+40)+AU833*(AU4-40))/(AT4+AU4)*$C894/(1/(AU4/$AV$4))</f>
        <v>8.4940782282177878</v>
      </c>
      <c r="AV894" s="661">
        <f>SUM(AR894:AU894)</f>
        <v>25.956872748765736</v>
      </c>
      <c r="AW894" s="847">
        <f>AVERAGE(AV833:AW833)*$C894/(1/(AW4/$BA$4))</f>
        <v>6.935691056910569</v>
      </c>
      <c r="AX894" s="847">
        <f>AVERAGE(AW833:AX833)*$C894/(1/(AX4/$BA$4))</f>
        <v>7.8001626016260159</v>
      </c>
      <c r="AY894" s="847">
        <f>AVERAGE(AX833:AY833)*$C894/(1/(AY4/$BA$4))</f>
        <v>6.4257723577235772</v>
      </c>
      <c r="AZ894" s="847">
        <f>AVERAGE(AY833:AZ833)*$C894/(1/(AZ4/$BA$4))</f>
        <v>4.5000609756097569</v>
      </c>
      <c r="BA894" s="661">
        <f>SUM(AW894:AZ894)</f>
        <v>25.661686991869917</v>
      </c>
      <c r="BB894" s="847">
        <f>AVERAGE(BB833:BF833)*$C894/(1/(BB4/$BF$4))</f>
        <v>0</v>
      </c>
      <c r="BC894" s="847">
        <f>AVERAGE(BB833:BC833)*$C894/(1/(BC4/$BF$4))</f>
        <v>0</v>
      </c>
      <c r="BD894" s="847">
        <f>AVERAGE(BC833:BD833)*$C894/(1/(BD4/$BF$4))</f>
        <v>0</v>
      </c>
      <c r="BE894" s="847">
        <f>AVERAGE(BD833:BE833)*$C894/(1/(BE4/$BF$4))</f>
        <v>0</v>
      </c>
      <c r="BF894" s="661">
        <f>SUM(BB894:BE894)</f>
        <v>0</v>
      </c>
      <c r="BG894" s="847">
        <f>AVERAGE(BF833:BG833)*$C894/(1/(BG4/$BK$4))</f>
        <v>0</v>
      </c>
      <c r="BH894" s="847">
        <f>AVERAGE(BG833:BH833)*$C894/(1/(BH4/$BK$4))</f>
        <v>0</v>
      </c>
      <c r="BI894" s="847">
        <f>AVERAGE(BH833:BI833)*$C894/(1/(BI4/$BK$4))</f>
        <v>0</v>
      </c>
      <c r="BJ894" s="847">
        <f>AVERAGE(BI833:BJ833)*$C894/(1/(BJ4/$BK$4))</f>
        <v>0</v>
      </c>
      <c r="BK894" s="661">
        <f>SUM(BG894:BJ894)</f>
        <v>0</v>
      </c>
      <c r="BL894" s="847">
        <f>AVERAGE(BK833:BL833)*BL880/(1/(BL4/$BK$4))</f>
        <v>1.7073000000000001E-2</v>
      </c>
      <c r="BM894" s="847">
        <f>AVERAGE(BL833:BM833)*BM880/(1/(BM4/$BK$4))</f>
        <v>8.0487000000000003E-2</v>
      </c>
      <c r="BN894" s="847">
        <f>AVERAGE(BM833:BN833)*BN880/(1/(BN4/$BK$4))</f>
        <v>0.26625599999999999</v>
      </c>
      <c r="BO894" s="847">
        <f>AVERAGE(BN833:BO833)*BO880/(1/(BO4/$BK$4))</f>
        <v>0.49765200000000004</v>
      </c>
      <c r="BP894" s="661">
        <f>SUM(BL894:BO894)</f>
        <v>0.86146800000000012</v>
      </c>
      <c r="BQ894" s="847">
        <f>AVERAGE(BP833:BQ833)*BQ880/(1/(BQ4/$BU$4))</f>
        <v>0.2427945205479452</v>
      </c>
      <c r="BR894" s="847">
        <f>AVERAGE(BQ833:BR833)*BR880/(1/(BR4/$BU$4))</f>
        <v>0.32736986301369869</v>
      </c>
      <c r="BS894" s="847">
        <f>AVERAGE(BR833:BS833)*BS880/(1/(BS4/$BU$4))</f>
        <v>0.52873972602739727</v>
      </c>
      <c r="BT894" s="847">
        <f>AVERAGE(BS833:BT833)*BT880/(1/(BT4/$BU$4))</f>
        <v>0.72263013698630141</v>
      </c>
      <c r="BU894" s="661">
        <f>SUM(BQ894:BT894)</f>
        <v>1.8215342465753426</v>
      </c>
      <c r="BV894" s="847">
        <f>AVERAGE(BU833:BV833)*BV880/(1/(BV4/$BZ$4))</f>
        <v>1.0986888586956522</v>
      </c>
      <c r="BW894" s="847">
        <f>AVERAGE(BV833:BW833)*BW880/(1/(BW4/$BZ$4))</f>
        <v>1.4274388586956521</v>
      </c>
      <c r="BX894" s="847">
        <f>AVERAGE(BW833:BX833)*BX880/(1/(BX4/$BZ$4))</f>
        <v>1.163125</v>
      </c>
      <c r="BY894" s="847">
        <f>AVERAGE(BX833:BY833)*BY880/(1/(BY4/$BZ$4))</f>
        <v>1.0150000000000001</v>
      </c>
      <c r="BZ894" s="661">
        <f>SUM(BV894:BY894)</f>
        <v>4.704252717391304</v>
      </c>
      <c r="CA894" s="973">
        <f>AVERAGE(BZ833:CA833)*CA880/(1/(CA4/$CE$4))</f>
        <v>1.1206849315068494</v>
      </c>
      <c r="CB894" s="847">
        <f>AVERAGE(CA833:CB833)*CB880/(1/(CB4/$BK$4))</f>
        <v>1.29375</v>
      </c>
      <c r="CC894" s="847">
        <f>AVERAGE(CB833:CC833)*CC880/(1/(CC4/$BK$4))</f>
        <v>1.4514010989010988</v>
      </c>
      <c r="CD894" s="847">
        <f>AVERAGE(CC833:CD833)*CD880/(1/(CD4/$BK$4))</f>
        <v>1.4425549450549451</v>
      </c>
      <c r="CE894" s="661">
        <f>SUM(CA894:CD894)</f>
        <v>5.3083909754628928</v>
      </c>
      <c r="CF894" s="847">
        <f>AVERAGE(CE833:CF833)*CF880/(1/(CF4/$BK$4))</f>
        <v>1.4785714285714286</v>
      </c>
      <c r="CG894" s="847">
        <f>AVERAGE(CF833:CG833)*CG880/(1/(CG4/$BK$4))</f>
        <v>1.5818750000000001</v>
      </c>
      <c r="CH894" s="847">
        <f>AVERAGE(CG833:CH833)*CH880/(1/(CH4/$BK$4))</f>
        <v>1.2725824175824176</v>
      </c>
      <c r="CI894" s="1431">
        <f>AVERAGE(CH833:CI833)*CI880/(1/(CI4/$BK$4))</f>
        <v>1.1000824175824175</v>
      </c>
      <c r="CJ894" s="661">
        <f t="shared" si="1793"/>
        <v>5.4331112637362633</v>
      </c>
      <c r="CK894" s="847">
        <f>AVERAGE(CJ833:CK833)*CK880/(1/(CK4/$BK$4))</f>
        <v>1.2056249999999999</v>
      </c>
      <c r="CL894" s="847">
        <f>AVERAGE(CK833:CL833)*CL880/(1/(CL4/$BK$4))</f>
        <v>0.61937500000000001</v>
      </c>
      <c r="CM894" s="847">
        <f>AVERAGE(CL833:CM833)*CM880/(1/(CM4/$BK$4))</f>
        <v>1.0103571428571427</v>
      </c>
      <c r="CN894" s="1431">
        <f>AVERAGE(CM833:CN833)*CN880/(1/(CN4/$BK$4))</f>
        <v>2.4706043956043957</v>
      </c>
      <c r="CO894" s="661">
        <f t="shared" si="1794"/>
        <v>5.3059615384615384</v>
      </c>
      <c r="CP894" s="847">
        <f>AVERAGE(CO833:CP833)*CP880/(1/(CP4/$BK$4))</f>
        <v>2.8409340659340661</v>
      </c>
      <c r="CQ894" s="847">
        <f>AVERAGE(CP833:CQ833)*CQ880/(1/(CQ4/$BK$4))</f>
        <v>2.9475000000000002</v>
      </c>
      <c r="CR894" s="3798">
        <f>AVERAGE(CQ833:CR833)*CR880/(1/(CR4/$BK$4))</f>
        <v>3.2996153846153842</v>
      </c>
      <c r="CS894" s="847">
        <f>AVERAGE(CR833:CS833)*CS880/(1/(CS4/$BK$4))</f>
        <v>3.2547527472527471</v>
      </c>
      <c r="CT894" s="661">
        <f t="shared" si="1795"/>
        <v>12.342802197802197</v>
      </c>
      <c r="CU894" s="847">
        <f>AVERAGE(CT833:CU833)*CU880/(1/(CU4/$BK$4))</f>
        <v>2.9175824175824179</v>
      </c>
      <c r="CV894" s="847">
        <f>AVERAGE(CU833:CV833)*CV880/(1/(CV4/$BK$4))</f>
        <v>2.95</v>
      </c>
      <c r="CW894" s="847">
        <f>AVERAGE(CV833:CW833)*CW880/(1/(CW4/$BK$4))</f>
        <v>2.9824175824175825</v>
      </c>
      <c r="CX894" s="847">
        <f>AVERAGE(CW833:CX833)*CX880/(1/(CX4/$BK$4))</f>
        <v>2.9824175824175825</v>
      </c>
      <c r="CY894" s="2293">
        <f t="shared" si="1796"/>
        <v>11.832417582417584</v>
      </c>
      <c r="CZ894" s="661">
        <f>AVERAGE(CY833:CZ833)*CZ880/(1/(CZ4/$BK$4))</f>
        <v>11.832417582417582</v>
      </c>
      <c r="DA894" s="661">
        <f>AVERAGE(CZ833:DA833)*DA880/(1/(DA4/$BK$4))</f>
        <v>11.864835164835165</v>
      </c>
      <c r="DD894" s="2308" t="s">
        <v>1378</v>
      </c>
      <c r="DE894" s="2293">
        <f t="shared" si="1797"/>
        <v>28.945000000000007</v>
      </c>
      <c r="DF894" s="2293">
        <f t="shared" si="1798"/>
        <v>21.831923076923083</v>
      </c>
      <c r="DG894" s="2293">
        <f t="shared" si="1799"/>
        <v>0.57254716981132081</v>
      </c>
      <c r="DH894" s="2293">
        <f t="shared" si="1800"/>
        <v>3.0207692307692313</v>
      </c>
      <c r="DI894" s="2293">
        <f t="shared" si="1801"/>
        <v>3.6211538461538466</v>
      </c>
      <c r="DJ894" s="2293">
        <f t="shared" si="1802"/>
        <v>6.3619230769230777</v>
      </c>
      <c r="DK894" s="2293">
        <f t="shared" si="1803"/>
        <v>10.830246575342468</v>
      </c>
      <c r="DL894" s="2293">
        <f t="shared" si="1804"/>
        <v>25.956872748765736</v>
      </c>
      <c r="DM894" s="2293">
        <f t="shared" si="1805"/>
        <v>25.661686991869917</v>
      </c>
      <c r="DN894" s="2293">
        <f t="shared" si="1806"/>
        <v>0</v>
      </c>
      <c r="DO894" s="2293">
        <f t="shared" si="1807"/>
        <v>0</v>
      </c>
      <c r="DP894" s="2293">
        <f t="shared" si="1808"/>
        <v>0.86146800000000012</v>
      </c>
      <c r="DQ894" s="2293">
        <f t="shared" si="1809"/>
        <v>1.8215342465753426</v>
      </c>
      <c r="DR894" s="2293">
        <f t="shared" si="1810"/>
        <v>4.704252717391304</v>
      </c>
      <c r="DS894" s="2293">
        <f t="shared" si="1811"/>
        <v>5.3083909754628928</v>
      </c>
      <c r="DT894" s="2293">
        <f t="shared" si="1812"/>
        <v>5.4331112637362633</v>
      </c>
      <c r="DU894" s="2293">
        <f t="shared" si="1813"/>
        <v>5.3059615384615384</v>
      </c>
      <c r="DV894" s="2293">
        <f t="shared" si="1814"/>
        <v>12.342802197802197</v>
      </c>
      <c r="DW894" s="2293">
        <f t="shared" si="1815"/>
        <v>11.832417582417584</v>
      </c>
      <c r="DX894" s="2293">
        <f t="shared" si="1816"/>
        <v>11.832417582417582</v>
      </c>
      <c r="DY894" s="2293">
        <f t="shared" si="1817"/>
        <v>11.864835164835165</v>
      </c>
      <c r="DZ894" s="855"/>
      <c r="EK894"/>
      <c r="EL894"/>
      <c r="EM894" s="847"/>
    </row>
    <row r="895" spans="1:143" ht="12.75" hidden="1" customHeight="1" outlineLevel="1" x14ac:dyDescent="0.2">
      <c r="A895" s="1434" t="s">
        <v>750</v>
      </c>
      <c r="C895" s="2939">
        <v>6.8750000000000006E-2</v>
      </c>
      <c r="I895" s="847">
        <f>AVERAGE(C837:I837)*$C895/(1/(I$4/$M$4))</f>
        <v>6.3461538461538476</v>
      </c>
      <c r="J895" s="847">
        <f t="shared" ref="J895:L898" si="1818">AVERAGE(I837:J837)*$C895/(1/(J$4/$M$4))</f>
        <v>6.3461538461538476</v>
      </c>
      <c r="K895" s="847">
        <f t="shared" si="1818"/>
        <v>6.3461538461538476</v>
      </c>
      <c r="L895" s="847">
        <f t="shared" si="1818"/>
        <v>8.4615384615384635</v>
      </c>
      <c r="M895" s="661">
        <f t="shared" si="1781"/>
        <v>27.500000000000007</v>
      </c>
      <c r="N895" s="847">
        <f t="shared" ref="N895:Q898" si="1819">AVERAGE(M837:N837)*$C895/(1/(N$4/$R$4))</f>
        <v>6.3461538461538476</v>
      </c>
      <c r="O895" s="847">
        <f t="shared" si="1819"/>
        <v>6.3461538461538476</v>
      </c>
      <c r="P895" s="847">
        <f t="shared" si="1819"/>
        <v>6.3461538461538476</v>
      </c>
      <c r="Q895" s="847">
        <f t="shared" si="1819"/>
        <v>8.4615384615384635</v>
      </c>
      <c r="R895" s="661">
        <f t="shared" si="1782"/>
        <v>27.500000000000007</v>
      </c>
      <c r="S895" s="847">
        <f t="shared" ref="S895:V898" si="1820">AVERAGE(R837:S837)*$C895/(1/(S$4/$W$4))</f>
        <v>6.2264150943396226</v>
      </c>
      <c r="T895" s="847">
        <f t="shared" si="1820"/>
        <v>6.2264150943396226</v>
      </c>
      <c r="U895" s="847">
        <f t="shared" si="1820"/>
        <v>6.2264150943396226</v>
      </c>
      <c r="V895" s="847">
        <f t="shared" si="1820"/>
        <v>8.8207547169811331</v>
      </c>
      <c r="W895" s="661">
        <f t="shared" si="1783"/>
        <v>27.5</v>
      </c>
      <c r="X895" s="847">
        <f t="shared" ref="X895:AA898" si="1821">AVERAGE(W837:X837)*$C895/(1/(X$4/$AB$4))</f>
        <v>6.3461538461538476</v>
      </c>
      <c r="Y895" s="847">
        <f t="shared" si="1821"/>
        <v>6.3461538461538476</v>
      </c>
      <c r="Z895" s="847">
        <f t="shared" si="1821"/>
        <v>6.3461538461538476</v>
      </c>
      <c r="AA895" s="847">
        <f t="shared" si="1821"/>
        <v>6.8326923076923078</v>
      </c>
      <c r="AB895" s="661">
        <f t="shared" si="1784"/>
        <v>25.871153846153852</v>
      </c>
      <c r="AC895" s="847">
        <f t="shared" ref="AC895:AF898" si="1822">AVERAGE(AB837:AC837)*$C895/(1/(AC$4/$AG$4))</f>
        <v>3.902884615384616</v>
      </c>
      <c r="AD895" s="847">
        <f t="shared" si="1822"/>
        <v>3.5379807692307694</v>
      </c>
      <c r="AE895" s="847">
        <f t="shared" si="1822"/>
        <v>3.1730769230769238</v>
      </c>
      <c r="AF895" s="847">
        <f t="shared" si="1822"/>
        <v>4.2307692307692317</v>
      </c>
      <c r="AG895" s="661">
        <f t="shared" si="1785"/>
        <v>14.84471153846154</v>
      </c>
      <c r="AH895" s="847">
        <f t="shared" ref="AH895:AK898" si="1823">AVERAGE(AG837:AH837)*$C895/(1/(AH$4/$AL$4))</f>
        <v>3.1730769230769238</v>
      </c>
      <c r="AI895" s="847">
        <f t="shared" si="1823"/>
        <v>3.1730769230769238</v>
      </c>
      <c r="AJ895" s="847">
        <f t="shared" si="1823"/>
        <v>3.1730769230769238</v>
      </c>
      <c r="AK895" s="847">
        <f t="shared" si="1823"/>
        <v>2.1153846153846159</v>
      </c>
      <c r="AL895" s="661">
        <f t="shared" si="1786"/>
        <v>11.634615384615387</v>
      </c>
      <c r="AM895" s="847">
        <f t="shared" ref="AM895:AP899" si="1824">AVERAGE(AL837:AM837)*$C895/(1/(AM$4/$AQ$4))</f>
        <v>0</v>
      </c>
      <c r="AN895" s="847">
        <f t="shared" si="1824"/>
        <v>0</v>
      </c>
      <c r="AO895" s="847">
        <f t="shared" si="1824"/>
        <v>0</v>
      </c>
      <c r="AP895" s="847">
        <f t="shared" si="1824"/>
        <v>0</v>
      </c>
      <c r="AQ895" s="661">
        <f t="shared" si="1787"/>
        <v>0</v>
      </c>
      <c r="AR895" s="847">
        <f t="shared" ref="AR895:AU899" si="1825">AVERAGE(AQ837:AR837)*$C895/(1/(AR$4/$AV$4))</f>
        <v>0</v>
      </c>
      <c r="AS895" s="847">
        <f t="shared" si="1825"/>
        <v>0</v>
      </c>
      <c r="AT895" s="847">
        <f t="shared" si="1825"/>
        <v>0</v>
      </c>
      <c r="AU895" s="847">
        <f t="shared" si="1825"/>
        <v>0</v>
      </c>
      <c r="AV895" s="661">
        <f t="shared" si="1788"/>
        <v>0</v>
      </c>
      <c r="AW895" s="847">
        <f t="shared" ref="AW895:AZ900" si="1826">AVERAGE(AV837:AW837)*$C895/(1/(AW$4/$BA$4))</f>
        <v>0</v>
      </c>
      <c r="AX895" s="847">
        <f t="shared" si="1826"/>
        <v>0</v>
      </c>
      <c r="AY895" s="847">
        <f t="shared" si="1826"/>
        <v>0</v>
      </c>
      <c r="AZ895" s="847">
        <f t="shared" si="1826"/>
        <v>0</v>
      </c>
      <c r="BA895" s="661">
        <f t="shared" si="1789"/>
        <v>0</v>
      </c>
      <c r="BB895" s="847">
        <f t="shared" ref="BB895:BB900" si="1827">AVERAGE(BB837:BF837)*$C895/(1/(BB$4/$BF$4))</f>
        <v>0</v>
      </c>
      <c r="BC895" s="847">
        <f t="shared" ref="BC895:BE900" si="1828">AVERAGE(BB837:BC837)*$C895/(1/(BC$4/$BF$4))</f>
        <v>0</v>
      </c>
      <c r="BD895" s="847">
        <f t="shared" si="1828"/>
        <v>0</v>
      </c>
      <c r="BE895" s="847">
        <f t="shared" si="1828"/>
        <v>0</v>
      </c>
      <c r="BF895" s="661">
        <f t="shared" si="1790"/>
        <v>0</v>
      </c>
      <c r="BG895" s="847">
        <f>AVERAGE(BE837:BG837)*$C895/(1/(BG$4/$BK$4))</f>
        <v>0</v>
      </c>
      <c r="BH895" s="847">
        <f t="shared" ref="BH895:BJ896" si="1829">AVERAGE(BG837:BH837)*$C895/(1/(BH$4/$BF$4))</f>
        <v>0</v>
      </c>
      <c r="BI895" s="847">
        <f t="shared" si="1829"/>
        <v>0</v>
      </c>
      <c r="BJ895" s="847">
        <f t="shared" si="1829"/>
        <v>0</v>
      </c>
      <c r="BK895" s="661">
        <f t="shared" si="1791"/>
        <v>0</v>
      </c>
      <c r="BL895" s="847">
        <f t="shared" ref="BL895:BO897" si="1830">AVERAGE(BK837:BL837)*$C895/(1/(BL$4/$BF$4))</f>
        <v>0</v>
      </c>
      <c r="BM895" s="847">
        <f t="shared" si="1830"/>
        <v>0</v>
      </c>
      <c r="BN895" s="847">
        <f t="shared" si="1830"/>
        <v>0</v>
      </c>
      <c r="BO895" s="847">
        <f t="shared" si="1830"/>
        <v>0</v>
      </c>
      <c r="BP895" s="661">
        <f t="shared" si="1792"/>
        <v>0</v>
      </c>
      <c r="BQ895" s="847">
        <f t="shared" ref="BQ895:BT900" si="1831">AVERAGE(BP837:BQ837)*$C895/(1/(BQ$4/$BU$4))</f>
        <v>0</v>
      </c>
      <c r="BR895" s="847">
        <f t="shared" si="1831"/>
        <v>0</v>
      </c>
      <c r="BS895" s="847">
        <f t="shared" si="1831"/>
        <v>0</v>
      </c>
      <c r="BT895" s="847">
        <f t="shared" si="1831"/>
        <v>0</v>
      </c>
      <c r="BU895" s="661">
        <f t="shared" ref="BU895:BU917" si="1832">SUM(BQ895:BT895)</f>
        <v>0</v>
      </c>
      <c r="BV895" s="847">
        <f t="shared" ref="BV895:BY900" si="1833">AVERAGE(BU837:BV837)*$C895/(1/(BV$4/$BZ$4))</f>
        <v>0</v>
      </c>
      <c r="BW895" s="847">
        <f t="shared" si="1833"/>
        <v>0</v>
      </c>
      <c r="BX895" s="847">
        <f t="shared" si="1833"/>
        <v>0</v>
      </c>
      <c r="BY895" s="847">
        <f t="shared" si="1833"/>
        <v>0</v>
      </c>
      <c r="BZ895" s="661">
        <f t="shared" ref="BZ895:BZ917" si="1834">SUM(BV895:BY895)</f>
        <v>0</v>
      </c>
      <c r="CA895" s="973">
        <f t="shared" ref="CA895:CA900" si="1835">AVERAGE(BZ837:CA837)*$C895/(1/(CA$4/$CE$4))</f>
        <v>0</v>
      </c>
      <c r="CB895" s="847">
        <f t="shared" ref="CB895:CD897" si="1836">AVERAGE(CA837:CB837)*$C895/(1/(CB$4/$BF$4))</f>
        <v>0</v>
      </c>
      <c r="CC895" s="847">
        <f t="shared" si="1836"/>
        <v>0</v>
      </c>
      <c r="CD895" s="847">
        <f t="shared" si="1836"/>
        <v>0</v>
      </c>
      <c r="CE895" s="661">
        <f t="shared" ref="CE895:CE917" si="1837">SUM(CA895:CD895)</f>
        <v>0</v>
      </c>
      <c r="CF895" s="847">
        <f t="shared" ref="CF895:CI897" si="1838">AVERAGE(CE837:CF837)*$C895/(1/(CF$4/$BF$4))</f>
        <v>0</v>
      </c>
      <c r="CG895" s="847">
        <f t="shared" si="1838"/>
        <v>0</v>
      </c>
      <c r="CH895" s="847">
        <f t="shared" si="1838"/>
        <v>0</v>
      </c>
      <c r="CI895" s="1431">
        <f t="shared" si="1838"/>
        <v>0</v>
      </c>
      <c r="CJ895" s="661">
        <f t="shared" si="1793"/>
        <v>0</v>
      </c>
      <c r="CK895" s="847">
        <f t="shared" ref="CK895:CN897" si="1839">AVERAGE(CJ837:CK837)*$C895/(1/(CK$4/$BF$4))</f>
        <v>0</v>
      </c>
      <c r="CL895" s="847">
        <f t="shared" si="1839"/>
        <v>0</v>
      </c>
      <c r="CM895" s="847">
        <f t="shared" si="1839"/>
        <v>0</v>
      </c>
      <c r="CN895" s="1431">
        <f t="shared" si="1839"/>
        <v>0</v>
      </c>
      <c r="CO895" s="661">
        <f t="shared" si="1794"/>
        <v>0</v>
      </c>
      <c r="CP895" s="847">
        <f t="shared" ref="CP895:CS897" si="1840">AVERAGE(CO837:CP837)*$C895/(1/(CP$4/$BF$4))</f>
        <v>0</v>
      </c>
      <c r="CQ895" s="847">
        <f t="shared" si="1840"/>
        <v>0</v>
      </c>
      <c r="CR895" s="3798">
        <f t="shared" si="1840"/>
        <v>0</v>
      </c>
      <c r="CS895" s="847">
        <f t="shared" si="1840"/>
        <v>0</v>
      </c>
      <c r="CT895" s="661">
        <f t="shared" si="1795"/>
        <v>0</v>
      </c>
      <c r="CU895" s="847">
        <f t="shared" ref="CU895:CX897" si="1841">AVERAGE(CT837:CU837)*$C895/(1/(CU$4/$BF$4))</f>
        <v>0</v>
      </c>
      <c r="CV895" s="847">
        <f t="shared" si="1841"/>
        <v>0</v>
      </c>
      <c r="CW895" s="847">
        <f t="shared" si="1841"/>
        <v>0</v>
      </c>
      <c r="CX895" s="847">
        <f t="shared" si="1841"/>
        <v>0</v>
      </c>
      <c r="CY895" s="2293">
        <f t="shared" si="1796"/>
        <v>0</v>
      </c>
      <c r="CZ895" s="661">
        <f t="shared" ref="CZ895:DA900" si="1842">AVERAGE(CY837:CZ837)*$C895</f>
        <v>0</v>
      </c>
      <c r="DA895" s="661">
        <f t="shared" si="1842"/>
        <v>0</v>
      </c>
      <c r="DD895" s="2308" t="s">
        <v>750</v>
      </c>
      <c r="DE895" s="2293">
        <f t="shared" si="1797"/>
        <v>27.500000000000007</v>
      </c>
      <c r="DF895" s="2293">
        <f t="shared" si="1798"/>
        <v>27.500000000000007</v>
      </c>
      <c r="DG895" s="2293">
        <f t="shared" si="1799"/>
        <v>27.5</v>
      </c>
      <c r="DH895" s="2293">
        <f t="shared" si="1800"/>
        <v>25.871153846153852</v>
      </c>
      <c r="DI895" s="2293">
        <f t="shared" si="1801"/>
        <v>14.84471153846154</v>
      </c>
      <c r="DJ895" s="2293">
        <f t="shared" si="1802"/>
        <v>11.634615384615387</v>
      </c>
      <c r="DK895" s="2293">
        <f t="shared" si="1803"/>
        <v>0</v>
      </c>
      <c r="DL895" s="2293">
        <f t="shared" si="1804"/>
        <v>0</v>
      </c>
      <c r="DM895" s="2293">
        <f t="shared" si="1805"/>
        <v>0</v>
      </c>
      <c r="DN895" s="2293">
        <f t="shared" si="1806"/>
        <v>0</v>
      </c>
      <c r="DO895" s="2293">
        <f t="shared" si="1807"/>
        <v>0</v>
      </c>
      <c r="DP895" s="2293">
        <f t="shared" si="1808"/>
        <v>0</v>
      </c>
      <c r="DQ895" s="2293">
        <f t="shared" si="1809"/>
        <v>0</v>
      </c>
      <c r="DR895" s="2293">
        <f t="shared" si="1810"/>
        <v>0</v>
      </c>
      <c r="DS895" s="2293">
        <f t="shared" si="1811"/>
        <v>0</v>
      </c>
      <c r="DT895" s="2293">
        <f t="shared" si="1812"/>
        <v>0</v>
      </c>
      <c r="DU895" s="2293">
        <f t="shared" si="1813"/>
        <v>0</v>
      </c>
      <c r="DV895" s="2293">
        <f t="shared" si="1814"/>
        <v>0</v>
      </c>
      <c r="DW895" s="2293">
        <f t="shared" si="1815"/>
        <v>0</v>
      </c>
      <c r="DX895" s="2293">
        <f t="shared" si="1816"/>
        <v>0</v>
      </c>
      <c r="DY895" s="2293">
        <f t="shared" si="1817"/>
        <v>0</v>
      </c>
      <c r="DZ895" s="855"/>
      <c r="EK895"/>
      <c r="EL895"/>
      <c r="EM895" s="847"/>
    </row>
    <row r="896" spans="1:143" ht="12.75" hidden="1" customHeight="1" outlineLevel="1" x14ac:dyDescent="0.2">
      <c r="A896" s="1434" t="s">
        <v>152</v>
      </c>
      <c r="C896" s="2939">
        <v>7.0000000000000007E-2</v>
      </c>
      <c r="I896" s="847">
        <f>AVERAGE(C838:I838)*$C896/(1/(I$4/$M$4))</f>
        <v>0</v>
      </c>
      <c r="J896" s="847">
        <f t="shared" si="1818"/>
        <v>0</v>
      </c>
      <c r="K896" s="847">
        <f t="shared" si="1818"/>
        <v>0</v>
      </c>
      <c r="L896" s="847">
        <f t="shared" si="1818"/>
        <v>0</v>
      </c>
      <c r="M896" s="661">
        <f t="shared" si="1781"/>
        <v>0</v>
      </c>
      <c r="N896" s="847">
        <f t="shared" si="1819"/>
        <v>2.4230769230769238</v>
      </c>
      <c r="O896" s="847">
        <f t="shared" si="1819"/>
        <v>4.8461538461538476</v>
      </c>
      <c r="P896" s="847">
        <f t="shared" si="1819"/>
        <v>4.8461538461538476</v>
      </c>
      <c r="Q896" s="847">
        <f t="shared" si="1819"/>
        <v>6.4615384615384626</v>
      </c>
      <c r="R896" s="661">
        <f t="shared" si="1782"/>
        <v>18.576923076923084</v>
      </c>
      <c r="S896" s="847">
        <f t="shared" si="1820"/>
        <v>4.7547169811320762</v>
      </c>
      <c r="T896" s="847">
        <f t="shared" si="1820"/>
        <v>4.7547169811320762</v>
      </c>
      <c r="U896" s="847">
        <f t="shared" si="1820"/>
        <v>4.7547169811320762</v>
      </c>
      <c r="V896" s="847">
        <f t="shared" si="1820"/>
        <v>6.735849056603775</v>
      </c>
      <c r="W896" s="661">
        <f t="shared" si="1783"/>
        <v>21.000000000000004</v>
      </c>
      <c r="X896" s="847">
        <f t="shared" si="1821"/>
        <v>4.8461538461538476</v>
      </c>
      <c r="Y896" s="847">
        <f t="shared" si="1821"/>
        <v>4.8461538461538476</v>
      </c>
      <c r="Z896" s="847">
        <f t="shared" si="1821"/>
        <v>4.8461538461538476</v>
      </c>
      <c r="AA896" s="847">
        <f t="shared" si="1821"/>
        <v>6.3861538461538467</v>
      </c>
      <c r="AB896" s="661">
        <f t="shared" si="1784"/>
        <v>20.92461538461539</v>
      </c>
      <c r="AC896" s="847">
        <f t="shared" si="1822"/>
        <v>4.7330769230769238</v>
      </c>
      <c r="AD896" s="847">
        <f t="shared" si="1822"/>
        <v>4.7330769230769238</v>
      </c>
      <c r="AE896" s="847">
        <f t="shared" si="1822"/>
        <v>4.7330769230769238</v>
      </c>
      <c r="AF896" s="847">
        <f t="shared" si="1822"/>
        <v>6.3107692307692309</v>
      </c>
      <c r="AG896" s="661">
        <f t="shared" si="1785"/>
        <v>20.51</v>
      </c>
      <c r="AH896" s="847">
        <f t="shared" si="1823"/>
        <v>4.7330769230769238</v>
      </c>
      <c r="AI896" s="847">
        <f t="shared" si="1823"/>
        <v>4.7330769230769238</v>
      </c>
      <c r="AJ896" s="847">
        <f t="shared" si="1823"/>
        <v>4.7330769230769238</v>
      </c>
      <c r="AK896" s="847">
        <f t="shared" si="1823"/>
        <v>4.1353846153846154</v>
      </c>
      <c r="AL896" s="661">
        <f t="shared" si="1786"/>
        <v>18.334615384615386</v>
      </c>
      <c r="AM896" s="847">
        <f t="shared" si="1824"/>
        <v>1.4659726027397264</v>
      </c>
      <c r="AN896" s="847">
        <f t="shared" si="1824"/>
        <v>1.4659726027397264</v>
      </c>
      <c r="AO896" s="847">
        <f t="shared" si="1824"/>
        <v>1.4659726027397264</v>
      </c>
      <c r="AP896" s="847">
        <f t="shared" si="1824"/>
        <v>1.9720821917808222</v>
      </c>
      <c r="AQ896" s="661">
        <f t="shared" si="1787"/>
        <v>6.370000000000001</v>
      </c>
      <c r="AR896" s="847">
        <f t="shared" si="1825"/>
        <v>1.4659726027397264</v>
      </c>
      <c r="AS896" s="847">
        <f t="shared" si="1825"/>
        <v>1.4659726027397264</v>
      </c>
      <c r="AT896" s="847">
        <f t="shared" si="1825"/>
        <v>1.4659726027397264</v>
      </c>
      <c r="AU896" s="847">
        <f t="shared" si="1825"/>
        <v>1.9720821917808222</v>
      </c>
      <c r="AV896" s="661">
        <f t="shared" si="1788"/>
        <v>6.370000000000001</v>
      </c>
      <c r="AW896" s="847">
        <f t="shared" si="1826"/>
        <v>0.72504065040650412</v>
      </c>
      <c r="AX896" s="847">
        <f t="shared" si="1826"/>
        <v>0</v>
      </c>
      <c r="AY896" s="847">
        <f t="shared" si="1826"/>
        <v>0</v>
      </c>
      <c r="AZ896" s="847">
        <f t="shared" si="1826"/>
        <v>0</v>
      </c>
      <c r="BA896" s="661">
        <f t="shared" si="1789"/>
        <v>0.72504065040650412</v>
      </c>
      <c r="BB896" s="847">
        <f t="shared" si="1827"/>
        <v>0</v>
      </c>
      <c r="BC896" s="847">
        <f t="shared" si="1828"/>
        <v>0</v>
      </c>
      <c r="BD896" s="847">
        <f t="shared" si="1828"/>
        <v>0</v>
      </c>
      <c r="BE896" s="847">
        <f t="shared" si="1828"/>
        <v>0</v>
      </c>
      <c r="BF896" s="661">
        <f t="shared" si="1790"/>
        <v>0</v>
      </c>
      <c r="BG896" s="847">
        <f>AVERAGE(BE838:BG838)*$C896/(1/(BG$4/$BK$4))</f>
        <v>0</v>
      </c>
      <c r="BH896" s="847">
        <f t="shared" si="1829"/>
        <v>0</v>
      </c>
      <c r="BI896" s="847">
        <f t="shared" si="1829"/>
        <v>0</v>
      </c>
      <c r="BJ896" s="847">
        <f t="shared" si="1829"/>
        <v>0</v>
      </c>
      <c r="BK896" s="661">
        <f t="shared" si="1791"/>
        <v>0</v>
      </c>
      <c r="BL896" s="847">
        <f t="shared" si="1830"/>
        <v>0</v>
      </c>
      <c r="BM896" s="847">
        <f t="shared" si="1830"/>
        <v>0</v>
      </c>
      <c r="BN896" s="847">
        <f t="shared" si="1830"/>
        <v>0</v>
      </c>
      <c r="BO896" s="847">
        <f t="shared" si="1830"/>
        <v>0</v>
      </c>
      <c r="BP896" s="661">
        <f t="shared" si="1792"/>
        <v>0</v>
      </c>
      <c r="BQ896" s="847">
        <f t="shared" si="1831"/>
        <v>0</v>
      </c>
      <c r="BR896" s="847">
        <f t="shared" si="1831"/>
        <v>0</v>
      </c>
      <c r="BS896" s="847">
        <f t="shared" si="1831"/>
        <v>0</v>
      </c>
      <c r="BT896" s="847">
        <f t="shared" si="1831"/>
        <v>0</v>
      </c>
      <c r="BU896" s="661">
        <f t="shared" si="1832"/>
        <v>0</v>
      </c>
      <c r="BV896" s="847">
        <f t="shared" si="1833"/>
        <v>0</v>
      </c>
      <c r="BW896" s="847">
        <f t="shared" si="1833"/>
        <v>0</v>
      </c>
      <c r="BX896" s="847">
        <f t="shared" si="1833"/>
        <v>0</v>
      </c>
      <c r="BY896" s="847">
        <f t="shared" si="1833"/>
        <v>0</v>
      </c>
      <c r="BZ896" s="661">
        <f t="shared" si="1834"/>
        <v>0</v>
      </c>
      <c r="CA896" s="973">
        <f t="shared" si="1835"/>
        <v>0</v>
      </c>
      <c r="CB896" s="847">
        <f t="shared" si="1836"/>
        <v>0</v>
      </c>
      <c r="CC896" s="847">
        <f t="shared" si="1836"/>
        <v>0</v>
      </c>
      <c r="CD896" s="847">
        <f t="shared" si="1836"/>
        <v>0</v>
      </c>
      <c r="CE896" s="661">
        <f t="shared" si="1837"/>
        <v>0</v>
      </c>
      <c r="CF896" s="847">
        <f t="shared" si="1838"/>
        <v>0</v>
      </c>
      <c r="CG896" s="847">
        <f t="shared" si="1838"/>
        <v>0</v>
      </c>
      <c r="CH896" s="847">
        <f t="shared" si="1838"/>
        <v>0</v>
      </c>
      <c r="CI896" s="1431">
        <f t="shared" si="1838"/>
        <v>0</v>
      </c>
      <c r="CJ896" s="661">
        <f t="shared" si="1793"/>
        <v>0</v>
      </c>
      <c r="CK896" s="847">
        <f t="shared" si="1839"/>
        <v>0</v>
      </c>
      <c r="CL896" s="847">
        <f t="shared" si="1839"/>
        <v>0</v>
      </c>
      <c r="CM896" s="847">
        <f t="shared" si="1839"/>
        <v>0</v>
      </c>
      <c r="CN896" s="1431">
        <f t="shared" si="1839"/>
        <v>0</v>
      </c>
      <c r="CO896" s="661">
        <f t="shared" si="1794"/>
        <v>0</v>
      </c>
      <c r="CP896" s="847">
        <f t="shared" si="1840"/>
        <v>0</v>
      </c>
      <c r="CQ896" s="847">
        <f t="shared" si="1840"/>
        <v>0</v>
      </c>
      <c r="CR896" s="3798">
        <f t="shared" si="1840"/>
        <v>0</v>
      </c>
      <c r="CS896" s="847">
        <f t="shared" si="1840"/>
        <v>0</v>
      </c>
      <c r="CT896" s="661">
        <f t="shared" si="1795"/>
        <v>0</v>
      </c>
      <c r="CU896" s="847">
        <f t="shared" si="1841"/>
        <v>0</v>
      </c>
      <c r="CV896" s="847">
        <f t="shared" si="1841"/>
        <v>0</v>
      </c>
      <c r="CW896" s="847">
        <f t="shared" si="1841"/>
        <v>0</v>
      </c>
      <c r="CX896" s="847">
        <f t="shared" si="1841"/>
        <v>0</v>
      </c>
      <c r="CY896" s="2293">
        <f t="shared" si="1796"/>
        <v>0</v>
      </c>
      <c r="CZ896" s="661">
        <f t="shared" si="1842"/>
        <v>0</v>
      </c>
      <c r="DA896" s="661">
        <f t="shared" si="1842"/>
        <v>0</v>
      </c>
      <c r="DD896" s="2308" t="s">
        <v>152</v>
      </c>
      <c r="DE896" s="2293">
        <f t="shared" si="1797"/>
        <v>0</v>
      </c>
      <c r="DF896" s="2293">
        <f t="shared" si="1798"/>
        <v>18.576923076923084</v>
      </c>
      <c r="DG896" s="2293">
        <f t="shared" si="1799"/>
        <v>21.000000000000004</v>
      </c>
      <c r="DH896" s="2293">
        <f t="shared" si="1800"/>
        <v>20.92461538461539</v>
      </c>
      <c r="DI896" s="2293">
        <f t="shared" si="1801"/>
        <v>20.51</v>
      </c>
      <c r="DJ896" s="2293">
        <f t="shared" si="1802"/>
        <v>18.334615384615386</v>
      </c>
      <c r="DK896" s="2293">
        <f t="shared" si="1803"/>
        <v>6.370000000000001</v>
      </c>
      <c r="DL896" s="2293">
        <f t="shared" si="1804"/>
        <v>6.370000000000001</v>
      </c>
      <c r="DM896" s="2293">
        <f t="shared" si="1805"/>
        <v>0.72504065040650412</v>
      </c>
      <c r="DN896" s="2293">
        <f t="shared" si="1806"/>
        <v>0</v>
      </c>
      <c r="DO896" s="2293">
        <f t="shared" si="1807"/>
        <v>0</v>
      </c>
      <c r="DP896" s="2293">
        <f t="shared" si="1808"/>
        <v>0</v>
      </c>
      <c r="DQ896" s="2293">
        <f t="shared" si="1809"/>
        <v>0</v>
      </c>
      <c r="DR896" s="2293">
        <f t="shared" si="1810"/>
        <v>0</v>
      </c>
      <c r="DS896" s="2293">
        <f t="shared" si="1811"/>
        <v>0</v>
      </c>
      <c r="DT896" s="2293">
        <f t="shared" si="1812"/>
        <v>0</v>
      </c>
      <c r="DU896" s="2293">
        <f t="shared" si="1813"/>
        <v>0</v>
      </c>
      <c r="DV896" s="2293">
        <f t="shared" si="1814"/>
        <v>0</v>
      </c>
      <c r="DW896" s="2293">
        <f t="shared" si="1815"/>
        <v>0</v>
      </c>
      <c r="DX896" s="2293">
        <f t="shared" si="1816"/>
        <v>0</v>
      </c>
      <c r="DY896" s="2293">
        <f t="shared" si="1817"/>
        <v>0</v>
      </c>
      <c r="DZ896" s="855"/>
      <c r="EK896"/>
      <c r="EL896"/>
      <c r="EM896" s="847"/>
    </row>
    <row r="897" spans="1:143" ht="12.75" hidden="1" customHeight="1" outlineLevel="1" x14ac:dyDescent="0.2">
      <c r="A897" s="1434" t="s">
        <v>153</v>
      </c>
      <c r="C897" s="2939">
        <v>8.1250000000000003E-2</v>
      </c>
      <c r="I897" s="847">
        <f>AVERAGE(C839:I839)*$C897/(1/(I$4/$M$4))</f>
        <v>5.625</v>
      </c>
      <c r="J897" s="847">
        <f t="shared" si="1818"/>
        <v>5.625</v>
      </c>
      <c r="K897" s="847">
        <f t="shared" si="1818"/>
        <v>5.625</v>
      </c>
      <c r="L897" s="847">
        <f t="shared" si="1818"/>
        <v>7.5</v>
      </c>
      <c r="M897" s="661">
        <f t="shared" si="1781"/>
        <v>24.375</v>
      </c>
      <c r="N897" s="847">
        <f t="shared" si="1819"/>
        <v>5.625</v>
      </c>
      <c r="O897" s="847">
        <f t="shared" si="1819"/>
        <v>5.625</v>
      </c>
      <c r="P897" s="847">
        <f t="shared" si="1819"/>
        <v>5.625</v>
      </c>
      <c r="Q897" s="847">
        <f t="shared" si="1819"/>
        <v>7.5</v>
      </c>
      <c r="R897" s="661">
        <f t="shared" si="1782"/>
        <v>24.375</v>
      </c>
      <c r="S897" s="847">
        <f t="shared" si="1820"/>
        <v>5.5188679245283012</v>
      </c>
      <c r="T897" s="847">
        <f t="shared" si="1820"/>
        <v>5.5188679245283012</v>
      </c>
      <c r="U897" s="847">
        <f t="shared" si="1820"/>
        <v>5.5188679245283012</v>
      </c>
      <c r="V897" s="847">
        <f t="shared" si="1820"/>
        <v>7.8183962264150946</v>
      </c>
      <c r="W897" s="661">
        <f t="shared" si="1783"/>
        <v>24.375</v>
      </c>
      <c r="X897" s="847">
        <f t="shared" si="1821"/>
        <v>5.625</v>
      </c>
      <c r="Y897" s="847">
        <f t="shared" si="1821"/>
        <v>5.625</v>
      </c>
      <c r="Z897" s="847">
        <f t="shared" si="1821"/>
        <v>5.625</v>
      </c>
      <c r="AA897" s="847">
        <f t="shared" si="1821"/>
        <v>7.1875</v>
      </c>
      <c r="AB897" s="661">
        <f t="shared" si="1784"/>
        <v>24.0625</v>
      </c>
      <c r="AC897" s="847">
        <f t="shared" si="1822"/>
        <v>5.15625</v>
      </c>
      <c r="AD897" s="847">
        <f t="shared" si="1822"/>
        <v>5.15625</v>
      </c>
      <c r="AE897" s="847">
        <f t="shared" si="1822"/>
        <v>5.15625</v>
      </c>
      <c r="AF897" s="847">
        <f t="shared" si="1822"/>
        <v>6.875</v>
      </c>
      <c r="AG897" s="661">
        <f t="shared" si="1785"/>
        <v>22.34375</v>
      </c>
      <c r="AH897" s="847">
        <f t="shared" si="1823"/>
        <v>5.15625</v>
      </c>
      <c r="AI897" s="847">
        <f t="shared" si="1823"/>
        <v>2.578125</v>
      </c>
      <c r="AJ897" s="847">
        <f t="shared" si="1823"/>
        <v>0</v>
      </c>
      <c r="AK897" s="847">
        <f t="shared" si="1823"/>
        <v>0</v>
      </c>
      <c r="AL897" s="661">
        <f t="shared" si="1786"/>
        <v>7.734375</v>
      </c>
      <c r="AM897" s="847">
        <f t="shared" si="1824"/>
        <v>0</v>
      </c>
      <c r="AN897" s="847">
        <f t="shared" si="1824"/>
        <v>0</v>
      </c>
      <c r="AO897" s="847">
        <f t="shared" si="1824"/>
        <v>0</v>
      </c>
      <c r="AP897" s="847">
        <f t="shared" si="1824"/>
        <v>0</v>
      </c>
      <c r="AQ897" s="661">
        <f t="shared" si="1787"/>
        <v>0</v>
      </c>
      <c r="AR897" s="847">
        <f t="shared" si="1825"/>
        <v>0</v>
      </c>
      <c r="AS897" s="847">
        <f t="shared" si="1825"/>
        <v>0</v>
      </c>
      <c r="AT897" s="847">
        <f t="shared" si="1825"/>
        <v>0</v>
      </c>
      <c r="AU897" s="847">
        <f t="shared" si="1825"/>
        <v>0</v>
      </c>
      <c r="AV897" s="661">
        <f t="shared" si="1788"/>
        <v>0</v>
      </c>
      <c r="AW897" s="847">
        <f t="shared" si="1826"/>
        <v>0</v>
      </c>
      <c r="AX897" s="847">
        <f t="shared" si="1826"/>
        <v>0</v>
      </c>
      <c r="AY897" s="847">
        <f t="shared" si="1826"/>
        <v>0</v>
      </c>
      <c r="AZ897" s="847">
        <f t="shared" si="1826"/>
        <v>0</v>
      </c>
      <c r="BA897" s="661">
        <f t="shared" si="1789"/>
        <v>0</v>
      </c>
      <c r="BB897" s="847">
        <f t="shared" si="1827"/>
        <v>0</v>
      </c>
      <c r="BC897" s="847">
        <f t="shared" si="1828"/>
        <v>0</v>
      </c>
      <c r="BD897" s="847">
        <f t="shared" si="1828"/>
        <v>0</v>
      </c>
      <c r="BE897" s="847">
        <f t="shared" si="1828"/>
        <v>0</v>
      </c>
      <c r="BF897" s="661">
        <f t="shared" si="1790"/>
        <v>0</v>
      </c>
      <c r="BG897" s="847">
        <f>AVERAGE(BE839:BG839)*$C897/(1/(BG$4/$BK$4))</f>
        <v>0</v>
      </c>
      <c r="BH897" s="847">
        <f>AVERAGE(BG839:BH839)*$C897/(1/(BH$4/$BK$4))</f>
        <v>0</v>
      </c>
      <c r="BI897" s="847">
        <f>AVERAGE(BH839:BI839)*$C897/(1/(BI$4/$BF$4))</f>
        <v>0</v>
      </c>
      <c r="BJ897" s="847">
        <f>AVERAGE(BI839:BJ839)*$C897/(1/(BJ$4/$BF$4))</f>
        <v>0</v>
      </c>
      <c r="BK897" s="661">
        <f t="shared" si="1791"/>
        <v>0</v>
      </c>
      <c r="BL897" s="847">
        <f t="shared" si="1830"/>
        <v>0</v>
      </c>
      <c r="BM897" s="847">
        <f t="shared" si="1830"/>
        <v>0</v>
      </c>
      <c r="BN897" s="847">
        <f t="shared" si="1830"/>
        <v>0</v>
      </c>
      <c r="BO897" s="847">
        <f t="shared" si="1830"/>
        <v>0</v>
      </c>
      <c r="BP897" s="661">
        <f t="shared" si="1792"/>
        <v>0</v>
      </c>
      <c r="BQ897" s="847">
        <f t="shared" si="1831"/>
        <v>0</v>
      </c>
      <c r="BR897" s="847">
        <f t="shared" si="1831"/>
        <v>0</v>
      </c>
      <c r="BS897" s="847">
        <f t="shared" si="1831"/>
        <v>0</v>
      </c>
      <c r="BT897" s="847">
        <f t="shared" si="1831"/>
        <v>0</v>
      </c>
      <c r="BU897" s="661">
        <f t="shared" si="1832"/>
        <v>0</v>
      </c>
      <c r="BV897" s="847">
        <f t="shared" si="1833"/>
        <v>0</v>
      </c>
      <c r="BW897" s="847">
        <f t="shared" si="1833"/>
        <v>0</v>
      </c>
      <c r="BX897" s="847">
        <f t="shared" si="1833"/>
        <v>0</v>
      </c>
      <c r="BY897" s="847">
        <f t="shared" si="1833"/>
        <v>0</v>
      </c>
      <c r="BZ897" s="661">
        <f t="shared" si="1834"/>
        <v>0</v>
      </c>
      <c r="CA897" s="973">
        <f t="shared" si="1835"/>
        <v>0</v>
      </c>
      <c r="CB897" s="847">
        <f t="shared" si="1836"/>
        <v>0</v>
      </c>
      <c r="CC897" s="847">
        <f t="shared" si="1836"/>
        <v>0</v>
      </c>
      <c r="CD897" s="847">
        <f t="shared" si="1836"/>
        <v>0</v>
      </c>
      <c r="CE897" s="661">
        <f t="shared" si="1837"/>
        <v>0</v>
      </c>
      <c r="CF897" s="847">
        <f t="shared" si="1838"/>
        <v>0</v>
      </c>
      <c r="CG897" s="847">
        <f t="shared" si="1838"/>
        <v>0</v>
      </c>
      <c r="CH897" s="847">
        <f t="shared" si="1838"/>
        <v>0</v>
      </c>
      <c r="CI897" s="1431">
        <f t="shared" si="1838"/>
        <v>0</v>
      </c>
      <c r="CJ897" s="661">
        <f t="shared" si="1793"/>
        <v>0</v>
      </c>
      <c r="CK897" s="847">
        <f t="shared" si="1839"/>
        <v>0</v>
      </c>
      <c r="CL897" s="847">
        <f t="shared" si="1839"/>
        <v>0</v>
      </c>
      <c r="CM897" s="847">
        <f t="shared" si="1839"/>
        <v>0</v>
      </c>
      <c r="CN897" s="1431">
        <f t="shared" si="1839"/>
        <v>0</v>
      </c>
      <c r="CO897" s="661">
        <f t="shared" si="1794"/>
        <v>0</v>
      </c>
      <c r="CP897" s="847">
        <f t="shared" si="1840"/>
        <v>0</v>
      </c>
      <c r="CQ897" s="847">
        <f t="shared" si="1840"/>
        <v>0</v>
      </c>
      <c r="CR897" s="3798">
        <f t="shared" si="1840"/>
        <v>0</v>
      </c>
      <c r="CS897" s="847">
        <f t="shared" si="1840"/>
        <v>0</v>
      </c>
      <c r="CT897" s="661">
        <f t="shared" si="1795"/>
        <v>0</v>
      </c>
      <c r="CU897" s="847">
        <f t="shared" si="1841"/>
        <v>0</v>
      </c>
      <c r="CV897" s="847">
        <f t="shared" si="1841"/>
        <v>0</v>
      </c>
      <c r="CW897" s="847">
        <f t="shared" si="1841"/>
        <v>0</v>
      </c>
      <c r="CX897" s="847">
        <f t="shared" si="1841"/>
        <v>0</v>
      </c>
      <c r="CY897" s="2293">
        <f t="shared" si="1796"/>
        <v>0</v>
      </c>
      <c r="CZ897" s="661">
        <f t="shared" si="1842"/>
        <v>0</v>
      </c>
      <c r="DA897" s="661">
        <f t="shared" si="1842"/>
        <v>0</v>
      </c>
      <c r="DD897" s="2308" t="s">
        <v>153</v>
      </c>
      <c r="DE897" s="2293">
        <f t="shared" si="1797"/>
        <v>24.375</v>
      </c>
      <c r="DF897" s="2293">
        <f t="shared" si="1798"/>
        <v>24.375</v>
      </c>
      <c r="DG897" s="2293">
        <f t="shared" si="1799"/>
        <v>24.375</v>
      </c>
      <c r="DH897" s="2293">
        <f t="shared" si="1800"/>
        <v>24.0625</v>
      </c>
      <c r="DI897" s="2293">
        <f t="shared" si="1801"/>
        <v>22.34375</v>
      </c>
      <c r="DJ897" s="2293">
        <f t="shared" si="1802"/>
        <v>7.734375</v>
      </c>
      <c r="DK897" s="2293">
        <f t="shared" si="1803"/>
        <v>0</v>
      </c>
      <c r="DL897" s="2293">
        <f t="shared" si="1804"/>
        <v>0</v>
      </c>
      <c r="DM897" s="2293">
        <f t="shared" si="1805"/>
        <v>0</v>
      </c>
      <c r="DN897" s="2293">
        <f t="shared" si="1806"/>
        <v>0</v>
      </c>
      <c r="DO897" s="2293">
        <f t="shared" si="1807"/>
        <v>0</v>
      </c>
      <c r="DP897" s="2293">
        <f t="shared" si="1808"/>
        <v>0</v>
      </c>
      <c r="DQ897" s="2293">
        <f t="shared" si="1809"/>
        <v>0</v>
      </c>
      <c r="DR897" s="2293">
        <f t="shared" si="1810"/>
        <v>0</v>
      </c>
      <c r="DS897" s="2293">
        <f t="shared" si="1811"/>
        <v>0</v>
      </c>
      <c r="DT897" s="2293">
        <f t="shared" si="1812"/>
        <v>0</v>
      </c>
      <c r="DU897" s="2293">
        <f t="shared" si="1813"/>
        <v>0</v>
      </c>
      <c r="DV897" s="2293">
        <f t="shared" si="1814"/>
        <v>0</v>
      </c>
      <c r="DW897" s="2293">
        <f t="shared" si="1815"/>
        <v>0</v>
      </c>
      <c r="DX897" s="2293">
        <f t="shared" si="1816"/>
        <v>0</v>
      </c>
      <c r="DY897" s="2293">
        <f t="shared" si="1817"/>
        <v>0</v>
      </c>
      <c r="DZ897" s="855"/>
      <c r="EK897"/>
      <c r="EL897"/>
      <c r="EM897" s="847"/>
    </row>
    <row r="898" spans="1:143" ht="12.75" hidden="1" customHeight="1" outlineLevel="1" x14ac:dyDescent="0.2">
      <c r="A898" s="1434" t="s">
        <v>751</v>
      </c>
      <c r="C898" s="2939">
        <v>7.8750000000000001E-2</v>
      </c>
      <c r="I898" s="847">
        <f>AVERAGE(C840:I840)*$C898/(1/(I$4/$M$4))</f>
        <v>5.4519230769230775</v>
      </c>
      <c r="J898" s="847">
        <f t="shared" si="1818"/>
        <v>5.4519230769230775</v>
      </c>
      <c r="K898" s="847">
        <f t="shared" si="1818"/>
        <v>5.4519230769230775</v>
      </c>
      <c r="L898" s="847">
        <f t="shared" si="1818"/>
        <v>7.2692307692307692</v>
      </c>
      <c r="M898" s="661">
        <f t="shared" si="1781"/>
        <v>23.625000000000004</v>
      </c>
      <c r="N898" s="847">
        <f t="shared" si="1819"/>
        <v>5.4519230769230775</v>
      </c>
      <c r="O898" s="847">
        <f t="shared" si="1819"/>
        <v>5.4519230769230775</v>
      </c>
      <c r="P898" s="847">
        <f t="shared" si="1819"/>
        <v>5.4519230769230775</v>
      </c>
      <c r="Q898" s="847">
        <f t="shared" si="1819"/>
        <v>7.2692307692307692</v>
      </c>
      <c r="R898" s="661">
        <f t="shared" si="1782"/>
        <v>23.625000000000004</v>
      </c>
      <c r="S898" s="847">
        <f t="shared" si="1820"/>
        <v>5.3490566037735849</v>
      </c>
      <c r="T898" s="847">
        <f t="shared" si="1820"/>
        <v>5.3490566037735849</v>
      </c>
      <c r="U898" s="847">
        <f t="shared" si="1820"/>
        <v>5.3490566037735849</v>
      </c>
      <c r="V898" s="847">
        <f t="shared" si="1820"/>
        <v>7.5778301886792452</v>
      </c>
      <c r="W898" s="661">
        <f t="shared" si="1783"/>
        <v>23.625</v>
      </c>
      <c r="X898" s="847">
        <f t="shared" si="1821"/>
        <v>5.4519230769230775</v>
      </c>
      <c r="Y898" s="847">
        <f t="shared" si="1821"/>
        <v>5.4519230769230775</v>
      </c>
      <c r="Z898" s="847">
        <f t="shared" si="1821"/>
        <v>5.4519230769230775</v>
      </c>
      <c r="AA898" s="847">
        <f t="shared" si="1821"/>
        <v>7.2571153846153846</v>
      </c>
      <c r="AB898" s="661">
        <f t="shared" si="1784"/>
        <v>23.612884615384619</v>
      </c>
      <c r="AC898" s="847">
        <f t="shared" si="1822"/>
        <v>5.4337500000000007</v>
      </c>
      <c r="AD898" s="847">
        <f t="shared" si="1822"/>
        <v>5.4337500000000007</v>
      </c>
      <c r="AE898" s="847">
        <f t="shared" si="1822"/>
        <v>5.4337500000000007</v>
      </c>
      <c r="AF898" s="847">
        <f t="shared" si="1822"/>
        <v>7.2450000000000001</v>
      </c>
      <c r="AG898" s="661">
        <f t="shared" si="1785"/>
        <v>23.546250000000004</v>
      </c>
      <c r="AH898" s="847">
        <f t="shared" si="1823"/>
        <v>5.4337500000000007</v>
      </c>
      <c r="AI898" s="847">
        <f t="shared" si="1823"/>
        <v>5.4337500000000007</v>
      </c>
      <c r="AJ898" s="847">
        <f t="shared" si="1823"/>
        <v>5.4337500000000007</v>
      </c>
      <c r="AK898" s="847">
        <f t="shared" si="1823"/>
        <v>4.5432692307692308</v>
      </c>
      <c r="AL898" s="661">
        <f t="shared" si="1786"/>
        <v>20.844519230769233</v>
      </c>
      <c r="AM898" s="847">
        <f t="shared" si="1824"/>
        <v>1.3773698630136988</v>
      </c>
      <c r="AN898" s="847">
        <f t="shared" si="1824"/>
        <v>1.3773698630136988</v>
      </c>
      <c r="AO898" s="847">
        <f t="shared" si="1824"/>
        <v>1.3773698630136988</v>
      </c>
      <c r="AP898" s="847">
        <f t="shared" si="1824"/>
        <v>1.8528904109589042</v>
      </c>
      <c r="AQ898" s="661">
        <f t="shared" si="1787"/>
        <v>5.9850000000000012</v>
      </c>
      <c r="AR898" s="847">
        <f t="shared" si="1825"/>
        <v>1.3773698630136988</v>
      </c>
      <c r="AS898" s="847">
        <f t="shared" si="1825"/>
        <v>1.3773698630136988</v>
      </c>
      <c r="AT898" s="847">
        <f t="shared" si="1825"/>
        <v>1.3773698630136988</v>
      </c>
      <c r="AU898" s="847">
        <f t="shared" si="1825"/>
        <v>1.8528904109589042</v>
      </c>
      <c r="AV898" s="661">
        <f t="shared" si="1788"/>
        <v>5.9850000000000012</v>
      </c>
      <c r="AW898" s="847">
        <f t="shared" si="1826"/>
        <v>1.3624390243902438</v>
      </c>
      <c r="AX898" s="847">
        <f t="shared" si="1826"/>
        <v>1.3624390243902438</v>
      </c>
      <c r="AY898" s="847">
        <f t="shared" si="1826"/>
        <v>1.3624390243902438</v>
      </c>
      <c r="AZ898" s="847">
        <f t="shared" si="1826"/>
        <v>1.8976829268292685</v>
      </c>
      <c r="BA898" s="661">
        <f t="shared" si="1789"/>
        <v>5.9849999999999994</v>
      </c>
      <c r="BB898" s="847">
        <f t="shared" si="1827"/>
        <v>0.82869230769230784</v>
      </c>
      <c r="BC898" s="847">
        <f t="shared" si="1828"/>
        <v>1.3811538461538464</v>
      </c>
      <c r="BD898" s="847">
        <f t="shared" si="1828"/>
        <v>1.3811538461538464</v>
      </c>
      <c r="BE898" s="847">
        <f t="shared" si="1828"/>
        <v>0.92076923076923078</v>
      </c>
      <c r="BF898" s="661">
        <f t="shared" si="1790"/>
        <v>4.5117692307692314</v>
      </c>
      <c r="BG898" s="847">
        <f>AVERAGE(BF840:BG840)*$C898/(1/(BG$4/$BK$4))</f>
        <v>0</v>
      </c>
      <c r="BH898" s="847">
        <f>AVERAGE(BG840:BH840)*$C898/(1/(BH$4/$BK$4))</f>
        <v>0</v>
      </c>
      <c r="BI898" s="847">
        <f t="shared" ref="BI898:BJ900" si="1843">AVERAGE(BH840:BI840)*$C898/(1/(BI$4/$BK$4))</f>
        <v>0</v>
      </c>
      <c r="BJ898" s="847">
        <f t="shared" si="1843"/>
        <v>0</v>
      </c>
      <c r="BK898" s="661">
        <f t="shared" si="1791"/>
        <v>0</v>
      </c>
      <c r="BL898" s="847">
        <f t="shared" ref="BL898:BO900" si="1844">AVERAGE(BK840:BL840)*$C898/(1/(BL$4/$BK$4))</f>
        <v>0</v>
      </c>
      <c r="BM898" s="847">
        <f t="shared" si="1844"/>
        <v>0</v>
      </c>
      <c r="BN898" s="847">
        <f t="shared" si="1844"/>
        <v>0</v>
      </c>
      <c r="BO898" s="847">
        <f t="shared" si="1844"/>
        <v>0</v>
      </c>
      <c r="BP898" s="661">
        <f t="shared" si="1792"/>
        <v>0</v>
      </c>
      <c r="BQ898" s="847">
        <f t="shared" si="1831"/>
        <v>0</v>
      </c>
      <c r="BR898" s="847">
        <f t="shared" si="1831"/>
        <v>0</v>
      </c>
      <c r="BS898" s="847">
        <f t="shared" si="1831"/>
        <v>0</v>
      </c>
      <c r="BT898" s="847">
        <f t="shared" si="1831"/>
        <v>0</v>
      </c>
      <c r="BU898" s="661">
        <f t="shared" si="1832"/>
        <v>0</v>
      </c>
      <c r="BV898" s="847">
        <f t="shared" si="1833"/>
        <v>0</v>
      </c>
      <c r="BW898" s="847">
        <f t="shared" si="1833"/>
        <v>0</v>
      </c>
      <c r="BX898" s="847">
        <f t="shared" si="1833"/>
        <v>0</v>
      </c>
      <c r="BY898" s="847">
        <f t="shared" si="1833"/>
        <v>0</v>
      </c>
      <c r="BZ898" s="661">
        <f t="shared" si="1834"/>
        <v>0</v>
      </c>
      <c r="CA898" s="973">
        <f t="shared" si="1835"/>
        <v>0</v>
      </c>
      <c r="CB898" s="847">
        <f t="shared" ref="CB898:CD900" si="1845">AVERAGE(CA840:CB840)*$C898/(1/(CB$4/$BK$4))</f>
        <v>0</v>
      </c>
      <c r="CC898" s="847">
        <f t="shared" si="1845"/>
        <v>0</v>
      </c>
      <c r="CD898" s="847">
        <f t="shared" si="1845"/>
        <v>0</v>
      </c>
      <c r="CE898" s="661">
        <f t="shared" si="1837"/>
        <v>0</v>
      </c>
      <c r="CF898" s="847">
        <f t="shared" ref="CF898:CI900" si="1846">AVERAGE(CE840:CF840)*$C898/(1/(CF$4/$BK$4))</f>
        <v>0</v>
      </c>
      <c r="CG898" s="847">
        <f t="shared" si="1846"/>
        <v>0</v>
      </c>
      <c r="CH898" s="847">
        <f t="shared" si="1846"/>
        <v>0</v>
      </c>
      <c r="CI898" s="1431">
        <f t="shared" si="1846"/>
        <v>0</v>
      </c>
      <c r="CJ898" s="661">
        <f t="shared" si="1793"/>
        <v>0</v>
      </c>
      <c r="CK898" s="847">
        <f t="shared" ref="CK898:CN900" si="1847">AVERAGE(CJ840:CK840)*$C898/(1/(CK$4/$BK$4))</f>
        <v>0</v>
      </c>
      <c r="CL898" s="847">
        <f t="shared" si="1847"/>
        <v>0</v>
      </c>
      <c r="CM898" s="847">
        <f t="shared" si="1847"/>
        <v>0</v>
      </c>
      <c r="CN898" s="1431">
        <f t="shared" si="1847"/>
        <v>0</v>
      </c>
      <c r="CO898" s="661">
        <f t="shared" si="1794"/>
        <v>0</v>
      </c>
      <c r="CP898" s="847">
        <f t="shared" ref="CP898:CS900" si="1848">AVERAGE(CO840:CP840)*$C898/(1/(CP$4/$BK$4))</f>
        <v>0</v>
      </c>
      <c r="CQ898" s="847">
        <f t="shared" si="1848"/>
        <v>0</v>
      </c>
      <c r="CR898" s="3798">
        <f t="shared" si="1848"/>
        <v>0</v>
      </c>
      <c r="CS898" s="847">
        <f t="shared" si="1848"/>
        <v>0</v>
      </c>
      <c r="CT898" s="661">
        <f t="shared" si="1795"/>
        <v>0</v>
      </c>
      <c r="CU898" s="847">
        <f t="shared" ref="CU898:CX900" si="1849">AVERAGE(CT840:CU840)*$C898/(1/(CU$4/$BK$4))</f>
        <v>0</v>
      </c>
      <c r="CV898" s="847">
        <f t="shared" si="1849"/>
        <v>0</v>
      </c>
      <c r="CW898" s="847">
        <f t="shared" si="1849"/>
        <v>0</v>
      </c>
      <c r="CX898" s="847">
        <f t="shared" si="1849"/>
        <v>0</v>
      </c>
      <c r="CY898" s="2293">
        <f t="shared" si="1796"/>
        <v>0</v>
      </c>
      <c r="CZ898" s="661">
        <f t="shared" si="1842"/>
        <v>0</v>
      </c>
      <c r="DA898" s="661">
        <f t="shared" si="1842"/>
        <v>0</v>
      </c>
      <c r="DD898" s="2308" t="s">
        <v>751</v>
      </c>
      <c r="DE898" s="2293">
        <f t="shared" si="1797"/>
        <v>23.625000000000004</v>
      </c>
      <c r="DF898" s="2293">
        <f t="shared" si="1798"/>
        <v>23.625000000000004</v>
      </c>
      <c r="DG898" s="2293">
        <f t="shared" si="1799"/>
        <v>23.625</v>
      </c>
      <c r="DH898" s="2293">
        <f t="shared" si="1800"/>
        <v>23.612884615384619</v>
      </c>
      <c r="DI898" s="2293">
        <f t="shared" si="1801"/>
        <v>23.546250000000004</v>
      </c>
      <c r="DJ898" s="2293">
        <f t="shared" si="1802"/>
        <v>20.844519230769233</v>
      </c>
      <c r="DK898" s="2293">
        <f t="shared" si="1803"/>
        <v>5.9850000000000012</v>
      </c>
      <c r="DL898" s="2293">
        <f t="shared" si="1804"/>
        <v>5.9850000000000012</v>
      </c>
      <c r="DM898" s="2293">
        <f t="shared" si="1805"/>
        <v>5.9849999999999994</v>
      </c>
      <c r="DN898" s="2293">
        <f t="shared" si="1806"/>
        <v>4.5117692307692314</v>
      </c>
      <c r="DO898" s="2293">
        <f t="shared" si="1807"/>
        <v>0</v>
      </c>
      <c r="DP898" s="2293">
        <f t="shared" si="1808"/>
        <v>0</v>
      </c>
      <c r="DQ898" s="2293">
        <f t="shared" si="1809"/>
        <v>0</v>
      </c>
      <c r="DR898" s="2293">
        <f t="shared" si="1810"/>
        <v>0</v>
      </c>
      <c r="DS898" s="2293">
        <f t="shared" si="1811"/>
        <v>0</v>
      </c>
      <c r="DT898" s="2293">
        <f t="shared" si="1812"/>
        <v>0</v>
      </c>
      <c r="DU898" s="2293">
        <f t="shared" si="1813"/>
        <v>0</v>
      </c>
      <c r="DV898" s="2293">
        <f t="shared" si="1814"/>
        <v>0</v>
      </c>
      <c r="DW898" s="2293">
        <f t="shared" si="1815"/>
        <v>0</v>
      </c>
      <c r="DX898" s="2293">
        <f t="shared" si="1816"/>
        <v>0</v>
      </c>
      <c r="DY898" s="2293">
        <f t="shared" si="1817"/>
        <v>0</v>
      </c>
      <c r="DZ898" s="855"/>
      <c r="EK898"/>
      <c r="EL898"/>
      <c r="EM898" s="847"/>
    </row>
    <row r="899" spans="1:143" ht="12.75" customHeight="1" collapsed="1" x14ac:dyDescent="0.2">
      <c r="A899" s="1434" t="s">
        <v>1073</v>
      </c>
      <c r="C899" s="2939">
        <v>4.6249999999999999E-2</v>
      </c>
      <c r="M899" s="661"/>
      <c r="R899" s="661"/>
      <c r="W899" s="661"/>
      <c r="AB899" s="661"/>
      <c r="AG899" s="661"/>
      <c r="AI899" s="847">
        <f>AVERAGE(AH841:AI841)*$C899/(1/(AI$4/$AL$4))</f>
        <v>1.8571153846153845</v>
      </c>
      <c r="AJ899" s="847">
        <f>AVERAGE(AI841:AJ841)*$C899/(1/(AJ$4/$AL$4))</f>
        <v>3.714230769230769</v>
      </c>
      <c r="AK899" s="847">
        <f>AVERAGE(AJ841:AK841)*$C899/(1/(AK$4/$AL$4))</f>
        <v>4.9523076923076923</v>
      </c>
      <c r="AL899" s="661">
        <f t="shared" si="1786"/>
        <v>10.523653846153845</v>
      </c>
      <c r="AM899" s="847">
        <f t="shared" si="1824"/>
        <v>3.7040547945205478</v>
      </c>
      <c r="AN899" s="847">
        <f t="shared" si="1824"/>
        <v>3.7040547945205478</v>
      </c>
      <c r="AO899" s="847">
        <f t="shared" si="1824"/>
        <v>3.7040547945205478</v>
      </c>
      <c r="AP899" s="847">
        <f t="shared" si="1824"/>
        <v>4.9899948630136981</v>
      </c>
      <c r="AQ899" s="661">
        <f t="shared" si="1787"/>
        <v>16.10215924657534</v>
      </c>
      <c r="AR899" s="847">
        <f t="shared" si="1825"/>
        <v>3.7146986301369864</v>
      </c>
      <c r="AS899" s="847">
        <f t="shared" si="1825"/>
        <v>3.7146986301369864</v>
      </c>
      <c r="AT899" s="847">
        <f t="shared" si="1825"/>
        <v>3.7146986301369864</v>
      </c>
      <c r="AU899" s="847">
        <f t="shared" si="1825"/>
        <v>4.997154109589041</v>
      </c>
      <c r="AV899" s="661">
        <f t="shared" si="1788"/>
        <v>16.141249999999999</v>
      </c>
      <c r="AW899" s="847">
        <f t="shared" si="1826"/>
        <v>3.6744308943089425</v>
      </c>
      <c r="AX899" s="847">
        <f t="shared" si="1826"/>
        <v>3.6744308943089425</v>
      </c>
      <c r="AY899" s="847">
        <f t="shared" si="1826"/>
        <v>3.6744308943089425</v>
      </c>
      <c r="AZ899" s="847">
        <f t="shared" si="1826"/>
        <v>5.1032926829268295</v>
      </c>
      <c r="BA899" s="661">
        <f t="shared" si="1789"/>
        <v>16.126585365853657</v>
      </c>
      <c r="BB899" s="847">
        <f t="shared" si="1827"/>
        <v>3.7035576923076921</v>
      </c>
      <c r="BC899" s="847">
        <f t="shared" si="1828"/>
        <v>3.7035576923076921</v>
      </c>
      <c r="BD899" s="847">
        <f t="shared" si="1828"/>
        <v>3.7035576923076921</v>
      </c>
      <c r="BE899" s="847">
        <f t="shared" si="1828"/>
        <v>4.9380769230769221</v>
      </c>
      <c r="BF899" s="661">
        <f t="shared" si="1790"/>
        <v>16.048749999999998</v>
      </c>
      <c r="BG899" s="847">
        <f>AVERAGE(BF841:BG841)*$C899/(1/(BG$4/$BK$4))</f>
        <v>3.7035576923076921</v>
      </c>
      <c r="BH899" s="847">
        <f>AVERAGE(BG841:BH841)*$C899/(1/(BH$4/$BK$4))</f>
        <v>3.7035576923076921</v>
      </c>
      <c r="BI899" s="847">
        <f t="shared" si="1843"/>
        <v>3.7088942307692307</v>
      </c>
      <c r="BJ899" s="847">
        <f t="shared" si="1843"/>
        <v>4.9523076923076923</v>
      </c>
      <c r="BK899" s="661">
        <f t="shared" si="1791"/>
        <v>16.068317307692308</v>
      </c>
      <c r="BL899" s="847">
        <f t="shared" si="1844"/>
        <v>3.714230769230769</v>
      </c>
      <c r="BM899" s="847">
        <f t="shared" si="1844"/>
        <v>3.714230769230769</v>
      </c>
      <c r="BN899" s="847">
        <f t="shared" si="1844"/>
        <v>3.714230769230769</v>
      </c>
      <c r="BO899" s="847">
        <f t="shared" si="1844"/>
        <v>4.9523076923076923</v>
      </c>
      <c r="BP899" s="661">
        <f t="shared" si="1792"/>
        <v>16.094999999999999</v>
      </c>
      <c r="BQ899" s="847">
        <f t="shared" si="1831"/>
        <v>3.7040547945205478</v>
      </c>
      <c r="BR899" s="847">
        <f t="shared" si="1831"/>
        <v>1.8520273972602739</v>
      </c>
      <c r="BS899" s="847">
        <f t="shared" si="1831"/>
        <v>0</v>
      </c>
      <c r="BT899" s="847">
        <f t="shared" si="1831"/>
        <v>0</v>
      </c>
      <c r="BU899" s="661">
        <f t="shared" si="1832"/>
        <v>5.5560821917808214</v>
      </c>
      <c r="BV899" s="847">
        <f t="shared" si="1833"/>
        <v>0</v>
      </c>
      <c r="BW899" s="847">
        <f t="shared" si="1833"/>
        <v>0</v>
      </c>
      <c r="BX899" s="847">
        <f t="shared" si="1833"/>
        <v>0</v>
      </c>
      <c r="BY899" s="847">
        <f t="shared" si="1833"/>
        <v>0</v>
      </c>
      <c r="BZ899" s="661">
        <f t="shared" si="1834"/>
        <v>0</v>
      </c>
      <c r="CA899" s="973">
        <f t="shared" si="1835"/>
        <v>0</v>
      </c>
      <c r="CB899" s="847">
        <f t="shared" si="1845"/>
        <v>0</v>
      </c>
      <c r="CC899" s="847">
        <f t="shared" si="1845"/>
        <v>0</v>
      </c>
      <c r="CD899" s="847">
        <f t="shared" si="1845"/>
        <v>0</v>
      </c>
      <c r="CE899" s="661">
        <f t="shared" si="1837"/>
        <v>0</v>
      </c>
      <c r="CF899" s="847">
        <f t="shared" si="1846"/>
        <v>0</v>
      </c>
      <c r="CG899" s="847">
        <f t="shared" si="1846"/>
        <v>0</v>
      </c>
      <c r="CH899" s="847">
        <f t="shared" si="1846"/>
        <v>0</v>
      </c>
      <c r="CI899" s="1431">
        <f t="shared" si="1846"/>
        <v>0</v>
      </c>
      <c r="CJ899" s="661">
        <f t="shared" si="1793"/>
        <v>0</v>
      </c>
      <c r="CK899" s="847">
        <f t="shared" si="1847"/>
        <v>0</v>
      </c>
      <c r="CL899" s="847">
        <f t="shared" si="1847"/>
        <v>0</v>
      </c>
      <c r="CM899" s="847">
        <f t="shared" si="1847"/>
        <v>0</v>
      </c>
      <c r="CN899" s="1431">
        <f t="shared" si="1847"/>
        <v>0</v>
      </c>
      <c r="CO899" s="661">
        <f t="shared" si="1794"/>
        <v>0</v>
      </c>
      <c r="CP899" s="847">
        <f t="shared" si="1848"/>
        <v>0</v>
      </c>
      <c r="CQ899" s="847">
        <f t="shared" si="1848"/>
        <v>0</v>
      </c>
      <c r="CR899" s="3798">
        <f t="shared" si="1848"/>
        <v>0</v>
      </c>
      <c r="CS899" s="847">
        <f t="shared" si="1848"/>
        <v>0</v>
      </c>
      <c r="CT899" s="661">
        <f t="shared" si="1795"/>
        <v>0</v>
      </c>
      <c r="CU899" s="847">
        <f t="shared" si="1849"/>
        <v>0</v>
      </c>
      <c r="CV899" s="847">
        <f t="shared" si="1849"/>
        <v>0</v>
      </c>
      <c r="CW899" s="847">
        <f t="shared" si="1849"/>
        <v>0</v>
      </c>
      <c r="CX899" s="847">
        <f t="shared" si="1849"/>
        <v>0</v>
      </c>
      <c r="CY899" s="2293">
        <f t="shared" si="1796"/>
        <v>0</v>
      </c>
      <c r="CZ899" s="661">
        <f t="shared" si="1842"/>
        <v>0</v>
      </c>
      <c r="DA899" s="661">
        <f t="shared" si="1842"/>
        <v>0</v>
      </c>
      <c r="DD899" s="2308" t="s">
        <v>1073</v>
      </c>
      <c r="DE899" s="2293">
        <f t="shared" si="1797"/>
        <v>0</v>
      </c>
      <c r="DF899" s="2293">
        <f t="shared" si="1798"/>
        <v>0</v>
      </c>
      <c r="DG899" s="2293">
        <f t="shared" si="1799"/>
        <v>0</v>
      </c>
      <c r="DH899" s="2293">
        <f t="shared" si="1800"/>
        <v>0</v>
      </c>
      <c r="DI899" s="2293">
        <f t="shared" si="1801"/>
        <v>0</v>
      </c>
      <c r="DJ899" s="2293">
        <f t="shared" si="1802"/>
        <v>10.523653846153845</v>
      </c>
      <c r="DK899" s="2293">
        <f t="shared" si="1803"/>
        <v>16.10215924657534</v>
      </c>
      <c r="DL899" s="2293">
        <f t="shared" si="1804"/>
        <v>16.141249999999999</v>
      </c>
      <c r="DM899" s="2293">
        <f t="shared" si="1805"/>
        <v>16.126585365853657</v>
      </c>
      <c r="DN899" s="2293">
        <f t="shared" si="1806"/>
        <v>16.048749999999998</v>
      </c>
      <c r="DO899" s="2293">
        <f t="shared" si="1807"/>
        <v>16.068317307692308</v>
      </c>
      <c r="DP899" s="2293">
        <f t="shared" si="1808"/>
        <v>16.094999999999999</v>
      </c>
      <c r="DQ899" s="2293">
        <f t="shared" si="1809"/>
        <v>5.5560821917808214</v>
      </c>
      <c r="DR899" s="2293">
        <f t="shared" si="1810"/>
        <v>0</v>
      </c>
      <c r="DS899" s="2293">
        <f t="shared" si="1811"/>
        <v>0</v>
      </c>
      <c r="DT899" s="2293">
        <f t="shared" si="1812"/>
        <v>0</v>
      </c>
      <c r="DU899" s="2293">
        <f t="shared" si="1813"/>
        <v>0</v>
      </c>
      <c r="DV899" s="2293">
        <f t="shared" si="1814"/>
        <v>0</v>
      </c>
      <c r="DW899" s="2293">
        <f t="shared" si="1815"/>
        <v>0</v>
      </c>
      <c r="DX899" s="2293">
        <f t="shared" si="1816"/>
        <v>0</v>
      </c>
      <c r="DY899" s="2293">
        <f t="shared" si="1817"/>
        <v>0</v>
      </c>
      <c r="DZ899" s="855"/>
      <c r="EK899"/>
      <c r="EL899"/>
      <c r="EM899" s="847"/>
    </row>
    <row r="900" spans="1:143" ht="12.75" customHeight="1" x14ac:dyDescent="0.2">
      <c r="A900" s="1434" t="s">
        <v>1074</v>
      </c>
      <c r="C900" s="2939">
        <v>5.6250000000000001E-2</v>
      </c>
      <c r="M900" s="661"/>
      <c r="R900" s="661"/>
      <c r="W900" s="661"/>
      <c r="AB900" s="661"/>
      <c r="AG900" s="661"/>
      <c r="AL900" s="661"/>
      <c r="AQ900" s="661"/>
      <c r="AU900" s="847">
        <f>AVERAGE(AT842:AU842)*$C900/(1/(AU$4/$AV$4))*((AU4-40)/AU4)</f>
        <v>4.4662500000000005</v>
      </c>
      <c r="AV900" s="661">
        <f>SUM(AR900:AU900)</f>
        <v>4.4662500000000005</v>
      </c>
      <c r="AW900" s="847">
        <f t="shared" si="1826"/>
        <v>5.0835365853658532</v>
      </c>
      <c r="AX900" s="847">
        <f t="shared" si="1826"/>
        <v>5.0835365853658532</v>
      </c>
      <c r="AY900" s="847">
        <f t="shared" si="1826"/>
        <v>5.0835365853658532</v>
      </c>
      <c r="AZ900" s="847">
        <f t="shared" si="1826"/>
        <v>7.0806402439024394</v>
      </c>
      <c r="BA900" s="661">
        <f>SUM(AW900:AZ900)</f>
        <v>22.331250000000001</v>
      </c>
      <c r="BB900" s="847">
        <f t="shared" si="1827"/>
        <v>5.1637500000000012</v>
      </c>
      <c r="BC900" s="847">
        <f t="shared" si="1828"/>
        <v>5.1598557692307692</v>
      </c>
      <c r="BD900" s="847">
        <f t="shared" si="1828"/>
        <v>5.1663461538461544</v>
      </c>
      <c r="BE900" s="847">
        <f t="shared" si="1828"/>
        <v>6.888461538461538</v>
      </c>
      <c r="BF900" s="661">
        <f>SUM(BB900:BE900)</f>
        <v>22.378413461538464</v>
      </c>
      <c r="BG900" s="847">
        <f>AVERAGE(BF842:BG842)*$C900/(1/(BG$4/$BK$4))</f>
        <v>5.1663461538461544</v>
      </c>
      <c r="BH900" s="847">
        <f>AVERAGE(BG842:BH842)*$C900/(1/(BH$4/$BK$4))</f>
        <v>5.1663461538461544</v>
      </c>
      <c r="BI900" s="847">
        <f t="shared" si="1843"/>
        <v>5.1663461538461544</v>
      </c>
      <c r="BJ900" s="847">
        <f t="shared" si="1843"/>
        <v>6.8971153846153852</v>
      </c>
      <c r="BK900" s="661">
        <f>SUM(BG900:BJ900)</f>
        <v>22.396153846153847</v>
      </c>
      <c r="BL900" s="847">
        <f t="shared" si="1844"/>
        <v>5.1793269230769239</v>
      </c>
      <c r="BM900" s="847">
        <f t="shared" si="1844"/>
        <v>5.1793269230769239</v>
      </c>
      <c r="BN900" s="847">
        <f t="shared" si="1844"/>
        <v>5.1793269230769239</v>
      </c>
      <c r="BO900" s="847">
        <f t="shared" si="1844"/>
        <v>6.9057692307692315</v>
      </c>
      <c r="BP900" s="661">
        <f>SUM(BL900:BO900)</f>
        <v>22.443750000000001</v>
      </c>
      <c r="BQ900" s="847">
        <f t="shared" si="1831"/>
        <v>5.1651369863013707</v>
      </c>
      <c r="BR900" s="847">
        <f t="shared" si="1831"/>
        <v>5.1651369863013707</v>
      </c>
      <c r="BS900" s="847">
        <f t="shared" si="1831"/>
        <v>5.171609589041096</v>
      </c>
      <c r="BT900" s="847">
        <f t="shared" si="1831"/>
        <v>6.9041095890410968</v>
      </c>
      <c r="BU900" s="661">
        <f>SUM(BQ900:BT900)</f>
        <v>22.405993150684935</v>
      </c>
      <c r="BV900" s="847">
        <f t="shared" si="1833"/>
        <v>2.8430706521739135</v>
      </c>
      <c r="BW900" s="847">
        <f t="shared" si="1833"/>
        <v>0</v>
      </c>
      <c r="BX900" s="847">
        <f t="shared" si="1833"/>
        <v>0</v>
      </c>
      <c r="BY900" s="847">
        <f t="shared" si="1833"/>
        <v>0</v>
      </c>
      <c r="BZ900" s="661">
        <f>SUM(BV900:BY900)</f>
        <v>2.8430706521739135</v>
      </c>
      <c r="CA900" s="973">
        <f t="shared" si="1835"/>
        <v>0</v>
      </c>
      <c r="CB900" s="847">
        <f t="shared" si="1845"/>
        <v>0</v>
      </c>
      <c r="CC900" s="847">
        <f t="shared" si="1845"/>
        <v>0</v>
      </c>
      <c r="CD900" s="847">
        <f t="shared" si="1845"/>
        <v>0</v>
      </c>
      <c r="CE900" s="661">
        <f>SUM(CA900:CD900)</f>
        <v>0</v>
      </c>
      <c r="CF900" s="847">
        <f t="shared" si="1846"/>
        <v>0</v>
      </c>
      <c r="CG900" s="847">
        <f t="shared" si="1846"/>
        <v>0</v>
      </c>
      <c r="CH900" s="847">
        <f t="shared" si="1846"/>
        <v>0</v>
      </c>
      <c r="CI900" s="1431">
        <f t="shared" si="1846"/>
        <v>0</v>
      </c>
      <c r="CJ900" s="661">
        <f t="shared" si="1793"/>
        <v>0</v>
      </c>
      <c r="CK900" s="847">
        <f t="shared" si="1847"/>
        <v>0</v>
      </c>
      <c r="CL900" s="847">
        <f t="shared" si="1847"/>
        <v>0</v>
      </c>
      <c r="CM900" s="847">
        <f t="shared" si="1847"/>
        <v>0</v>
      </c>
      <c r="CN900" s="1431">
        <f t="shared" si="1847"/>
        <v>0</v>
      </c>
      <c r="CO900" s="661">
        <f t="shared" si="1794"/>
        <v>0</v>
      </c>
      <c r="CP900" s="847">
        <f t="shared" si="1848"/>
        <v>0</v>
      </c>
      <c r="CQ900" s="847">
        <f t="shared" si="1848"/>
        <v>0</v>
      </c>
      <c r="CR900" s="3798">
        <f t="shared" si="1848"/>
        <v>0</v>
      </c>
      <c r="CS900" s="847">
        <f t="shared" si="1848"/>
        <v>0</v>
      </c>
      <c r="CT900" s="661">
        <f t="shared" si="1795"/>
        <v>0</v>
      </c>
      <c r="CU900" s="847">
        <f t="shared" si="1849"/>
        <v>0</v>
      </c>
      <c r="CV900" s="847">
        <f t="shared" si="1849"/>
        <v>0</v>
      </c>
      <c r="CW900" s="847">
        <f t="shared" si="1849"/>
        <v>0</v>
      </c>
      <c r="CX900" s="847">
        <f t="shared" si="1849"/>
        <v>0</v>
      </c>
      <c r="CY900" s="2293">
        <f t="shared" si="1796"/>
        <v>0</v>
      </c>
      <c r="CZ900" s="661">
        <f t="shared" si="1842"/>
        <v>0</v>
      </c>
      <c r="DA900" s="661">
        <f t="shared" si="1842"/>
        <v>0</v>
      </c>
      <c r="DD900" s="2308" t="s">
        <v>1074</v>
      </c>
      <c r="DE900" s="2293">
        <f t="shared" si="1797"/>
        <v>0</v>
      </c>
      <c r="DF900" s="2293">
        <f t="shared" si="1798"/>
        <v>0</v>
      </c>
      <c r="DG900" s="2293">
        <f t="shared" si="1799"/>
        <v>0</v>
      </c>
      <c r="DH900" s="2293">
        <f t="shared" si="1800"/>
        <v>0</v>
      </c>
      <c r="DI900" s="2293">
        <f t="shared" si="1801"/>
        <v>0</v>
      </c>
      <c r="DJ900" s="2293">
        <f t="shared" si="1802"/>
        <v>0</v>
      </c>
      <c r="DK900" s="2293">
        <f t="shared" si="1803"/>
        <v>0</v>
      </c>
      <c r="DL900" s="2293">
        <f t="shared" si="1804"/>
        <v>4.4662500000000005</v>
      </c>
      <c r="DM900" s="2293">
        <f t="shared" si="1805"/>
        <v>22.331250000000001</v>
      </c>
      <c r="DN900" s="2293">
        <f t="shared" si="1806"/>
        <v>22.378413461538464</v>
      </c>
      <c r="DO900" s="2293">
        <f t="shared" si="1807"/>
        <v>22.396153846153847</v>
      </c>
      <c r="DP900" s="2293">
        <f t="shared" si="1808"/>
        <v>22.443750000000001</v>
      </c>
      <c r="DQ900" s="2293">
        <f t="shared" si="1809"/>
        <v>22.405993150684935</v>
      </c>
      <c r="DR900" s="2293">
        <f t="shared" si="1810"/>
        <v>2.8430706521739135</v>
      </c>
      <c r="DS900" s="2293">
        <f t="shared" si="1811"/>
        <v>0</v>
      </c>
      <c r="DT900" s="2293">
        <f t="shared" si="1812"/>
        <v>0</v>
      </c>
      <c r="DU900" s="2293">
        <f t="shared" si="1813"/>
        <v>0</v>
      </c>
      <c r="DV900" s="2293">
        <f t="shared" si="1814"/>
        <v>0</v>
      </c>
      <c r="DW900" s="2293">
        <f t="shared" si="1815"/>
        <v>0</v>
      </c>
      <c r="DX900" s="2293">
        <f t="shared" si="1816"/>
        <v>0</v>
      </c>
      <c r="DY900" s="2293">
        <f t="shared" si="1817"/>
        <v>0</v>
      </c>
      <c r="DZ900" s="855"/>
      <c r="EK900"/>
      <c r="EL900"/>
      <c r="EM900" s="847"/>
    </row>
    <row r="901" spans="1:143" ht="12.75" customHeight="1" x14ac:dyDescent="0.2">
      <c r="A901" s="1434" t="s">
        <v>1075</v>
      </c>
      <c r="C901" s="2939">
        <v>5.6250000000000001E-2</v>
      </c>
      <c r="M901" s="661"/>
      <c r="R901" s="661"/>
      <c r="W901" s="661"/>
      <c r="AB901" s="661"/>
      <c r="AG901" s="661"/>
      <c r="AK901" s="847">
        <v>8</v>
      </c>
      <c r="AL901" s="661">
        <f t="shared" si="1786"/>
        <v>8</v>
      </c>
      <c r="AM901" s="847">
        <f>AVERAGE(AL843:AM843)*($C$901)/(1/(AM4/$AQ$4))</f>
        <v>5.1263013698630147</v>
      </c>
      <c r="AN901" s="847">
        <f>AVERAGE(AM843:AN843)*($C$901)/(1/(AN4/$AQ$4))</f>
        <v>5.1327739726027408</v>
      </c>
      <c r="AO901" s="847">
        <f>AVERAGE(AN843:AO843)*($C$901)/(1/(AO4/$AQ$4))</f>
        <v>5.1457191780821923</v>
      </c>
      <c r="AP901" s="847">
        <f>AVERAGE(AO843:AP843)*($C$901)/(1/(AP4/$AQ$4))</f>
        <v>6.9396318493150693</v>
      </c>
      <c r="AQ901" s="661">
        <f t="shared" si="1787"/>
        <v>22.344426369863019</v>
      </c>
      <c r="AR901" s="847">
        <f>AVERAGE(AQ843:AR843)*($C$901)/(1/(AR4/$AV$4))</f>
        <v>5.1651369863013707</v>
      </c>
      <c r="AS901" s="847">
        <f>AVERAGE(AR843:AS843)*($C$901)/(1/(AS4/$AV$4))</f>
        <v>5.171609589041096</v>
      </c>
      <c r="AT901" s="847">
        <f>AVERAGE(AS843:AT843)*($C$901)/(1/(AT4/$AV$4))</f>
        <v>5.1845547945205483</v>
      </c>
      <c r="AU901" s="847">
        <f>AVERAGE(AT843:AU843)*($C$901)/(1/(AU4/$AV$4))</f>
        <v>6.9918750000000003</v>
      </c>
      <c r="AV901" s="661">
        <f t="shared" si="1788"/>
        <v>22.513176369863015</v>
      </c>
      <c r="AW901" s="847">
        <f>AVERAGE(AV843:AW843)*($C$901)/(1/(AW4/$BA$4))</f>
        <v>5.147560975609756</v>
      </c>
      <c r="AX901" s="847">
        <f>AVERAGE(AW843:AX843)*($C$901)/(1/(AX4/$BA$4))</f>
        <v>5.1539634146341458</v>
      </c>
      <c r="AY901" s="847">
        <f>AVERAGE(AX843:AY843)*($C$901)/(1/(AY4/$BA$4))</f>
        <v>5.166768292682927</v>
      </c>
      <c r="AZ901" s="847">
        <f>AVERAGE(AY843:AZ843)*($C$901)/(1/(AZ4/$BA$4))</f>
        <v>6.7150152439024398</v>
      </c>
      <c r="BA901" s="661">
        <f t="shared" si="1789"/>
        <v>22.183307926829269</v>
      </c>
      <c r="BB901" s="847">
        <f>AVERAGE(BB843:BF843)*($C$901)/(1/(BB4/$BF$4))</f>
        <v>3.9098076923076923</v>
      </c>
      <c r="BC901" s="847">
        <f>AVERAGE(BB843:BC843)*($C$901)/(1/(BC4/$BF$4))</f>
        <v>3.9007211538461539</v>
      </c>
      <c r="BD901" s="847">
        <f>AVERAGE(BC843:BD843)*($C$901)/(1/(BD4/$BF$4))</f>
        <v>3.9072115384615391</v>
      </c>
      <c r="BE901" s="847">
        <f>AVERAGE(BD843:BE843)*($C$901)/(1/(BE4/$BF$4))</f>
        <v>5.2182692307692315</v>
      </c>
      <c r="BF901" s="661">
        <f t="shared" si="1790"/>
        <v>16.936009615384616</v>
      </c>
      <c r="BG901" s="847">
        <f>AVERAGE(BF843:BG843)*($C$901)/(1/(BG4/$BK$4))</f>
        <v>3.9266826923076925</v>
      </c>
      <c r="BH901" s="847">
        <f>AVERAGE(BG843:BH843)*($C$901)/(1/(BH4/$BK$4))</f>
        <v>3.9331730769230768</v>
      </c>
      <c r="BI901" s="847">
        <f>AVERAGE(BH843:BI843)*($C$901)/(1/(BI4/$BK$4))</f>
        <v>3.9396634615384625</v>
      </c>
      <c r="BJ901" s="847">
        <f>AVERAGE(BI843:BJ843)*($C$901)/(1/(BJ4/$BK$4))</f>
        <v>5.2615384615384624</v>
      </c>
      <c r="BK901" s="661">
        <f t="shared" si="1791"/>
        <v>17.061057692307692</v>
      </c>
      <c r="BL901" s="847">
        <f>AVERAGE(BK843:BL843)*($C$901)/(1/(BL4/$BK$4))</f>
        <v>3.9526442307692311</v>
      </c>
      <c r="BM901" s="847">
        <f>AVERAGE(BL843:BM843)*($C$901)/(1/(BM4/$BK$4))</f>
        <v>3.9591346153846159</v>
      </c>
      <c r="BN901" s="847">
        <f>AVERAGE(BM843:BN843)*($C$901)/(1/(BN4/$BK$4))</f>
        <v>3.9656250000000002</v>
      </c>
      <c r="BO901" s="847">
        <f>AVERAGE(BN843:BO843)*($C$901)/(1/(BO4/$BK$4))</f>
        <v>5.3048076923076923</v>
      </c>
      <c r="BP901" s="661">
        <f t="shared" si="1792"/>
        <v>17.182211538461537</v>
      </c>
      <c r="BQ901" s="847">
        <f>AVERAGE(BP843:BQ843)*($C$901)/(1/(BQ4/$BU$4))</f>
        <v>3.9741780821917811</v>
      </c>
      <c r="BR901" s="847">
        <f>AVERAGE(BQ843:BR843)*($C$901)/(1/(BR4/$BU$4))</f>
        <v>3.9806506849315073</v>
      </c>
      <c r="BS901" s="847">
        <f>AVERAGE(BR843:BS843)*($C$901)/(1/(BS4/$BU$4))</f>
        <v>3.987123287671233</v>
      </c>
      <c r="BT901" s="847">
        <f>AVERAGE(BS843:BT843)*($C$901)/(1/(BT4/$BU$4))</f>
        <v>5.3247945205479459</v>
      </c>
      <c r="BU901" s="661">
        <f t="shared" si="1832"/>
        <v>17.266746575342466</v>
      </c>
      <c r="BV901" s="847">
        <f>AVERAGE(BU843:BV843)*($C$901)/(1/(BV4/$BZ$4))</f>
        <v>4.3996518342391306</v>
      </c>
      <c r="BW901" s="847">
        <f>AVERAGE(BV843:BW843)*($C$901)/(1/(BW4/$BZ$4))</f>
        <v>4.3119904891304346</v>
      </c>
      <c r="BX901" s="847">
        <f>AVERAGE(BW843:BX843)*($C$901)/(1/(BX4/$BZ$4))</f>
        <v>4.3664062499999998</v>
      </c>
      <c r="BY901" s="847">
        <f>AVERAGE(BX843:BY843)*($C$901)/(1/(BY4/$BZ$4))</f>
        <v>4.3804687500000004</v>
      </c>
      <c r="BZ901" s="661">
        <f t="shared" si="1834"/>
        <v>17.458517323369563</v>
      </c>
      <c r="CA901" s="973">
        <f>AVERAGE(BZ843:CA843)*($C$901)/(1/(CA4/$CE$4))</f>
        <v>4.3273972602739734</v>
      </c>
      <c r="CB901" s="847">
        <f>AVERAGE(CA843:CB843)*($C$901)/(1/(CB4/$BK$4))</f>
        <v>4.39453125</v>
      </c>
      <c r="CC901" s="847">
        <f>AVERAGE(CB843:CC843)*($C$901)/(1/(CC4/$BK$4))</f>
        <v>4.4499313186813181</v>
      </c>
      <c r="CD901" s="847">
        <f>AVERAGE(CC843:CD843)*($C$901)/(1/(CD4/$BK$4))</f>
        <v>4.457039835164835</v>
      </c>
      <c r="CE901" s="661">
        <f t="shared" si="1837"/>
        <v>17.628899664120127</v>
      </c>
      <c r="CF901" s="847">
        <f>AVERAGE(CE843:CF843)*($C$901)/(1/(CF4/$BK$4))</f>
        <v>4.3740556318681323</v>
      </c>
      <c r="CG901" s="847">
        <f>AVERAGE(CF843:CG843)*($C$901)/(1/(CG4/$BK$4))</f>
        <v>4.4296875</v>
      </c>
      <c r="CH901" s="847">
        <f>AVERAGE(CG843:CH843)*($C$901)/(1/(CH4/$BK$4))</f>
        <v>4.4854739010989002</v>
      </c>
      <c r="CI901" s="1431">
        <f>AVERAGE(CH843:CI843)*($C$901)/(1/(CI4/$BK$4))</f>
        <v>2.246291208791209</v>
      </c>
      <c r="CJ901" s="661">
        <f t="shared" ref="CJ901:CJ914" si="1850">SUM(CF901:CI901)</f>
        <v>15.53550824175824</v>
      </c>
      <c r="CK901" s="847">
        <f>AVERAGE(CJ843:CK843)*($C$901)/(1/(CK4/$BK$4))</f>
        <v>0</v>
      </c>
      <c r="CL901" s="847">
        <f>AVERAGE(CK843:CL843)*($C$901)/(1/(CL4/$BK$4))</f>
        <v>0</v>
      </c>
      <c r="CM901" s="847">
        <f>AVERAGE(CL843:CM843)*($C$901)/(1/(CM4/$BK$4))</f>
        <v>0</v>
      </c>
      <c r="CN901" s="1431">
        <f>AVERAGE(CM843:CN843)*($C$901)/(1/(CN4/$BK$4))</f>
        <v>0</v>
      </c>
      <c r="CO901" s="661">
        <f t="shared" ref="CO901:CO914" si="1851">SUM(CK901:CN901)</f>
        <v>0</v>
      </c>
      <c r="CP901" s="847">
        <f>AVERAGE(CO843:CP843)*($C$901)/(1/(CP4/$BK$4))</f>
        <v>0</v>
      </c>
      <c r="CQ901" s="847">
        <f>AVERAGE(CP843:CQ843)*($C$901)/(1/(CQ4/$BK$4))</f>
        <v>0</v>
      </c>
      <c r="CR901" s="3798">
        <f>AVERAGE(CQ843:CR843)*($C$901)/(1/(CR4/$BK$4))</f>
        <v>0</v>
      </c>
      <c r="CS901" s="847">
        <f>AVERAGE(CR843:CS843)*($C$901)/(1/(CS4/$BK$4))</f>
        <v>0</v>
      </c>
      <c r="CT901" s="661">
        <f t="shared" ref="CT901:CT914" si="1852">SUM(CP901:CS901)</f>
        <v>0</v>
      </c>
      <c r="CU901" s="847">
        <f>AVERAGE(CT843:CU843)*($C$901)/(1/(CU4/$BK$4))</f>
        <v>0</v>
      </c>
      <c r="CV901" s="847">
        <f>AVERAGE(CU843:CV843)*($C$901)/(1/(CV4/$BK$4))</f>
        <v>0</v>
      </c>
      <c r="CW901" s="847">
        <f>AVERAGE(CV843:CW843)*($C$901)/(1/(CW4/$BK$4))</f>
        <v>0</v>
      </c>
      <c r="CX901" s="847">
        <f>AVERAGE(CW843:CX843)*($C$901)/(1/(CX4/$BK$4))</f>
        <v>0</v>
      </c>
      <c r="CY901" s="2293">
        <f t="shared" ref="CY901:CY914" si="1853">SUM(CU901:CX901)</f>
        <v>0</v>
      </c>
      <c r="CZ901" s="661">
        <f>AVERAGE(CY843:CZ843)*($C$901)</f>
        <v>0</v>
      </c>
      <c r="DA901" s="661">
        <f>AVERAGE(CZ843:DA843)*($C$901)</f>
        <v>0</v>
      </c>
      <c r="DD901" s="2308" t="s">
        <v>1075</v>
      </c>
      <c r="DE901" s="2293">
        <f t="shared" si="1797"/>
        <v>0</v>
      </c>
      <c r="DF901" s="2293">
        <f t="shared" si="1798"/>
        <v>0</v>
      </c>
      <c r="DG901" s="2293">
        <f t="shared" si="1799"/>
        <v>0</v>
      </c>
      <c r="DH901" s="2293">
        <f t="shared" si="1800"/>
        <v>0</v>
      </c>
      <c r="DI901" s="2293">
        <f t="shared" si="1801"/>
        <v>0</v>
      </c>
      <c r="DJ901" s="2293">
        <f t="shared" si="1802"/>
        <v>8</v>
      </c>
      <c r="DK901" s="2293">
        <f t="shared" si="1803"/>
        <v>22.344426369863019</v>
      </c>
      <c r="DL901" s="2293">
        <f t="shared" si="1804"/>
        <v>22.513176369863015</v>
      </c>
      <c r="DM901" s="2293">
        <f t="shared" si="1805"/>
        <v>22.183307926829269</v>
      </c>
      <c r="DN901" s="2293">
        <f t="shared" si="1806"/>
        <v>16.936009615384616</v>
      </c>
      <c r="DO901" s="2293">
        <f t="shared" si="1807"/>
        <v>17.061057692307692</v>
      </c>
      <c r="DP901" s="2293">
        <f t="shared" si="1808"/>
        <v>17.182211538461537</v>
      </c>
      <c r="DQ901" s="2293">
        <f t="shared" si="1809"/>
        <v>17.266746575342466</v>
      </c>
      <c r="DR901" s="2293">
        <f t="shared" si="1810"/>
        <v>17.458517323369563</v>
      </c>
      <c r="DS901" s="2293">
        <f t="shared" si="1811"/>
        <v>17.628899664120127</v>
      </c>
      <c r="DT901" s="2293">
        <f t="shared" si="1812"/>
        <v>15.53550824175824</v>
      </c>
      <c r="DU901" s="2293">
        <f t="shared" si="1813"/>
        <v>0</v>
      </c>
      <c r="DV901" s="2293">
        <f t="shared" si="1814"/>
        <v>0</v>
      </c>
      <c r="DW901" s="2293">
        <f t="shared" si="1815"/>
        <v>0</v>
      </c>
      <c r="DX901" s="2293">
        <f t="shared" si="1816"/>
        <v>0</v>
      </c>
      <c r="DY901" s="2293">
        <f t="shared" si="1817"/>
        <v>0</v>
      </c>
      <c r="DZ901" s="855"/>
      <c r="EK901"/>
      <c r="EL901"/>
      <c r="EM901" s="847"/>
    </row>
    <row r="902" spans="1:143" ht="12.75" customHeight="1" x14ac:dyDescent="0.2">
      <c r="A902" s="1434" t="s">
        <v>1076</v>
      </c>
      <c r="C902" s="2939">
        <v>6.2E-2</v>
      </c>
      <c r="M902" s="661"/>
      <c r="R902" s="661"/>
      <c r="W902" s="661"/>
      <c r="AB902" s="661"/>
      <c r="AG902" s="661"/>
      <c r="AL902" s="661"/>
      <c r="AN902" s="847">
        <f>AVERAGE(AN844)*($C$902+AN879)/(1/(4/$AQ$4))</f>
        <v>0.43086559931506846</v>
      </c>
      <c r="AO902" s="847">
        <f>AVERAGE(AN844:AO844)*($C$902)/(1/(AO4/$AQ$4))</f>
        <v>4.9797041095890409</v>
      </c>
      <c r="AP902" s="847">
        <f>AVERAGE(AO844:AP844)*($C$902)/(1/(AP4/$AQ$4))</f>
        <v>6.6988876712328764</v>
      </c>
      <c r="AQ902" s="661">
        <f t="shared" si="1787"/>
        <v>12.109457380136986</v>
      </c>
      <c r="AR902" s="847">
        <f>AVERAGE(AQ844:AR844)*($C$902)/(1/(AR4/$AV$4))</f>
        <v>4.9797041095890409</v>
      </c>
      <c r="AS902" s="847">
        <f>AVERAGE(AR844:AS844)*($C$902)/(1/(AS4/$AV$4))</f>
        <v>4.9797041095890409</v>
      </c>
      <c r="AT902" s="847">
        <f>AVERAGE(AS844:AT844)*($C$902)/(1/(AT4/$AV$4))</f>
        <v>4.9797041095890409</v>
      </c>
      <c r="AU902" s="847">
        <f>AVERAGE(AT844:AU844)*($C$902)/(1/(AU4/$AV$4))</f>
        <v>6.6988876712328764</v>
      </c>
      <c r="AV902" s="661">
        <f t="shared" si="1788"/>
        <v>21.637999999999998</v>
      </c>
      <c r="AW902" s="847">
        <f>AVERAGE(AV844:AW844)*($C$902)/(1/(AW4/$BA$4))</f>
        <v>4.9257235772357717</v>
      </c>
      <c r="AX902" s="847">
        <f>AVERAGE(AW844:AX844)*($C$902)/(1/(AX4/$BA$4))</f>
        <v>4.9257235772357717</v>
      </c>
      <c r="AY902" s="847">
        <f>AVERAGE(AX844:AY844)*($C$902)/(1/(AY4/$BA$4))</f>
        <v>4.9257235772357717</v>
      </c>
      <c r="AZ902" s="847">
        <f>AVERAGE(AY844:AZ844)*($C$902)/(1/(AZ4/$BA$4))</f>
        <v>6.5168048780487808</v>
      </c>
      <c r="BA902" s="661">
        <f t="shared" si="1789"/>
        <v>21.293975609756096</v>
      </c>
      <c r="BB902" s="847">
        <f>AVERAGE(BB844:BF844)*($C$902)/(1/(BB4/$BF$4))</f>
        <v>4.1349230769230774</v>
      </c>
      <c r="BC902" s="847">
        <f>AVERAGE(BB844:BC844)*($C$902)/(1/(BC4/$BF$4))</f>
        <v>4.1349230769230774</v>
      </c>
      <c r="BD902" s="847">
        <f>AVERAGE(BC844:BD844)*($C$902)/(1/(BD4/$BF$4))</f>
        <v>4.1349230769230774</v>
      </c>
      <c r="BE902" s="847">
        <f>AVERAGE(BD844:BE844)*($C$902)/(1/(BE4/$BF$4))</f>
        <v>5.5132307692307689</v>
      </c>
      <c r="BF902" s="661">
        <f t="shared" si="1790"/>
        <v>17.918000000000003</v>
      </c>
      <c r="BG902" s="847">
        <f>AVERAGE(BF844:BG844)*($C$902)/(1/(BG4/$BK$4))</f>
        <v>4.1349230769230774</v>
      </c>
      <c r="BH902" s="847">
        <f>AVERAGE(BG844:BH844)*($C$902)/(1/(BH4/$BK$4))</f>
        <v>4.1349230769230774</v>
      </c>
      <c r="BI902" s="847">
        <f>AVERAGE(BH844:BI844)*($C$902)/(1/(BI4/$BK$4))</f>
        <v>4.1349230769230774</v>
      </c>
      <c r="BJ902" s="847">
        <f>AVERAGE(BI844:BJ844)*($C$902)/(1/(BJ4/$BK$4))</f>
        <v>5.5132307692307689</v>
      </c>
      <c r="BK902" s="661">
        <f t="shared" si="1791"/>
        <v>17.918000000000003</v>
      </c>
      <c r="BL902" s="847">
        <f>AVERAGE(BK844:BL844)*($C$902)/(1/(BL4/$BK$4))</f>
        <v>4.1349230769230774</v>
      </c>
      <c r="BM902" s="847">
        <f>AVERAGE(BL844:BM844)*($C$902)/(1/(BM4/$BK$4))</f>
        <v>4.1349230769230774</v>
      </c>
      <c r="BN902" s="847">
        <f>AVERAGE(BM844:BN844)*($C$902)/(1/(BN4/$BK$4))</f>
        <v>4.1349230769230774</v>
      </c>
      <c r="BO902" s="847">
        <f>AVERAGE(BN844:BO844)*($C$902)/(1/(BO4/$BK$4))</f>
        <v>5.5132307692307689</v>
      </c>
      <c r="BP902" s="661">
        <f t="shared" si="1792"/>
        <v>17.918000000000003</v>
      </c>
      <c r="BQ902" s="847">
        <f>AVERAGE(BP844:BQ844)*($C$902)/(1/(BQ4/$BU$4))</f>
        <v>4.123594520547945</v>
      </c>
      <c r="BR902" s="847">
        <f>AVERAGE(BQ844:BR844)*($C$902)/(1/(BR4/$BU$4))</f>
        <v>4.123594520547945</v>
      </c>
      <c r="BS902" s="847">
        <f>AVERAGE(BR844:BS844)*($C$902)/(1/(BS4/$BU$4))</f>
        <v>4.123594520547945</v>
      </c>
      <c r="BT902" s="847">
        <f>AVERAGE(BS844:BT844)*($C$902)/(1/(BT4/$BU$4))</f>
        <v>5.4981260273972605</v>
      </c>
      <c r="BU902" s="661">
        <f t="shared" si="1832"/>
        <v>17.868909589041095</v>
      </c>
      <c r="BV902" s="847">
        <f>AVERAGE(BU844:BV844)*($C$902)/(1/(BV4/$BZ$4))</f>
        <v>4.5281902173913045</v>
      </c>
      <c r="BW902" s="847">
        <f>AVERAGE(BV844:BW844)*($C$902)/(1/(BW4/$BZ$4))</f>
        <v>4.4308097826086961</v>
      </c>
      <c r="BX902" s="847">
        <f>AVERAGE(BW844:BX844)*($C$902)/(1/(BX4/$BZ$4))</f>
        <v>4.4794999999999998</v>
      </c>
      <c r="BY902" s="847">
        <f>AVERAGE(BX844:BY844)*($C$902)/(1/(BY4/$BZ$4))</f>
        <v>4.4794999999999998</v>
      </c>
      <c r="BZ902" s="661">
        <f t="shared" si="1834"/>
        <v>17.917999999999999</v>
      </c>
      <c r="CA902" s="973">
        <f>AVERAGE(BZ844:CA844)*($C$902)/(1/(CA4/$CE$4))</f>
        <v>4.41813698630137</v>
      </c>
      <c r="CB902" s="847">
        <f>AVERAGE(CA844:CB844)*($C$902)/(1/(CB4/$BK$4))</f>
        <v>4.4794999999999998</v>
      </c>
      <c r="CC902" s="847">
        <f>AVERAGE(CB844:CC844)*($C$902)/(1/(CC4/$BK$4))</f>
        <v>4.5287252747252742</v>
      </c>
      <c r="CD902" s="847">
        <f>AVERAGE(CC844:CD844)*($C$902)/(1/(CD4/$BK$4))</f>
        <v>4.5287252747252742</v>
      </c>
      <c r="CE902" s="661">
        <f t="shared" si="1837"/>
        <v>17.955087535751918</v>
      </c>
      <c r="CF902" s="847">
        <f>AVERAGE(CE844:CF844)*($C$902)/(1/(CF4/$BK$4))</f>
        <v>4.4302747252747254</v>
      </c>
      <c r="CG902" s="847">
        <f>AVERAGE(CF844:CG844)*($C$902)/(1/(CG4/$BK$4))</f>
        <v>4.4794999999999998</v>
      </c>
      <c r="CH902" s="847">
        <f>AVERAGE(CG844:CH844)*($C$902)/(1/(CH4/$BK$4))</f>
        <v>4.5287252747252742</v>
      </c>
      <c r="CI902" s="1431">
        <f>AVERAGE(CH844:CI844)*($C$902)/(1/(CI4/$BK$4))</f>
        <v>4.5287252747252742</v>
      </c>
      <c r="CJ902" s="661">
        <f t="shared" si="1850"/>
        <v>17.967225274725276</v>
      </c>
      <c r="CK902" s="847">
        <f>AVERAGE(CJ844:CK844)*($C$902)/(1/(CK4/$BK$4))</f>
        <v>4.4794999999999998</v>
      </c>
      <c r="CL902" s="847">
        <f>AVERAGE(CK844:CL844)*($C$902)/(1/(CL4/$BK$4))</f>
        <v>2.2397499999999999</v>
      </c>
      <c r="CM902" s="847">
        <f>AVERAGE(CL844:CM844)*($C$902)/(1/(CM4/$BK$4))</f>
        <v>0</v>
      </c>
      <c r="CN902" s="1431">
        <f>AVERAGE(CM844:CN844)*($C$902)/(1/(CN4/$BK$4))</f>
        <v>0</v>
      </c>
      <c r="CO902" s="661">
        <f t="shared" si="1851"/>
        <v>6.7192499999999997</v>
      </c>
      <c r="CP902" s="847">
        <f>AVERAGE(CO844:CP844)*($C$902)/(1/(CP4/$BK$4))</f>
        <v>0</v>
      </c>
      <c r="CQ902" s="847">
        <f>AVERAGE(CP844:CQ844)*($C$902)/(1/(CQ4/$BK$4))</f>
        <v>0</v>
      </c>
      <c r="CR902" s="3798">
        <f>AVERAGE(CQ844:CR844)*($C$902)/(1/(CR4/$BK$4))</f>
        <v>0</v>
      </c>
      <c r="CS902" s="847">
        <f>AVERAGE(CR844:CS844)*($C$902)/(1/(CS4/$BK$4))</f>
        <v>0</v>
      </c>
      <c r="CT902" s="661">
        <f t="shared" si="1852"/>
        <v>0</v>
      </c>
      <c r="CU902" s="847">
        <f>AVERAGE(CT844:CU844)*($C$902)/(1/(CU4/$BK$4))</f>
        <v>0</v>
      </c>
      <c r="CV902" s="847">
        <f>AVERAGE(CU844:CV844)*($C$902)/(1/(CV4/$BK$4))</f>
        <v>0</v>
      </c>
      <c r="CW902" s="847">
        <f>AVERAGE(CV844:CW844)*($C$902)/(1/(CW4/$BK$4))</f>
        <v>0</v>
      </c>
      <c r="CX902" s="847">
        <f>AVERAGE(CW844:CX844)*($C$902)/(1/(CX4/$BK$4))</f>
        <v>0</v>
      </c>
      <c r="CY902" s="2293">
        <f t="shared" si="1853"/>
        <v>0</v>
      </c>
      <c r="CZ902" s="661">
        <f>AVERAGE(CY844:CZ844)*($C$902)</f>
        <v>0</v>
      </c>
      <c r="DA902" s="661">
        <f>AVERAGE(CZ844:DA844)*($C$902)</f>
        <v>0</v>
      </c>
      <c r="DD902" s="2308" t="s">
        <v>1076</v>
      </c>
      <c r="DE902" s="2293">
        <f t="shared" si="1797"/>
        <v>0</v>
      </c>
      <c r="DF902" s="2293">
        <f t="shared" si="1798"/>
        <v>0</v>
      </c>
      <c r="DG902" s="2293">
        <f t="shared" si="1799"/>
        <v>0</v>
      </c>
      <c r="DH902" s="2293">
        <f t="shared" si="1800"/>
        <v>0</v>
      </c>
      <c r="DI902" s="2293">
        <f t="shared" si="1801"/>
        <v>0</v>
      </c>
      <c r="DJ902" s="2293">
        <f t="shared" si="1802"/>
        <v>0</v>
      </c>
      <c r="DK902" s="2293">
        <f t="shared" si="1803"/>
        <v>12.109457380136986</v>
      </c>
      <c r="DL902" s="2293">
        <f t="shared" si="1804"/>
        <v>21.637999999999998</v>
      </c>
      <c r="DM902" s="2293">
        <f t="shared" si="1805"/>
        <v>21.293975609756096</v>
      </c>
      <c r="DN902" s="2293">
        <f t="shared" si="1806"/>
        <v>17.918000000000003</v>
      </c>
      <c r="DO902" s="2293">
        <f t="shared" si="1807"/>
        <v>17.918000000000003</v>
      </c>
      <c r="DP902" s="2293">
        <f t="shared" si="1808"/>
        <v>17.918000000000003</v>
      </c>
      <c r="DQ902" s="2293">
        <f t="shared" si="1809"/>
        <v>17.868909589041095</v>
      </c>
      <c r="DR902" s="2293">
        <f t="shared" si="1810"/>
        <v>17.917999999999999</v>
      </c>
      <c r="DS902" s="2293">
        <f t="shared" si="1811"/>
        <v>17.955087535751918</v>
      </c>
      <c r="DT902" s="2293">
        <f t="shared" si="1812"/>
        <v>17.967225274725276</v>
      </c>
      <c r="DU902" s="2293">
        <f t="shared" si="1813"/>
        <v>6.7192499999999997</v>
      </c>
      <c r="DV902" s="2293">
        <f t="shared" si="1814"/>
        <v>0</v>
      </c>
      <c r="DW902" s="2293">
        <f t="shared" si="1815"/>
        <v>0</v>
      </c>
      <c r="DX902" s="2293">
        <f t="shared" si="1816"/>
        <v>0</v>
      </c>
      <c r="DY902" s="2293">
        <f t="shared" si="1817"/>
        <v>0</v>
      </c>
      <c r="DZ902" s="855"/>
      <c r="EK902"/>
      <c r="EL902"/>
      <c r="EM902" s="847"/>
    </row>
    <row r="903" spans="1:143" ht="12.75" customHeight="1" x14ac:dyDescent="0.2">
      <c r="A903" s="1434" t="s">
        <v>1077</v>
      </c>
      <c r="C903" s="2939">
        <v>6.3750000000000001E-2</v>
      </c>
      <c r="M903" s="661"/>
      <c r="R903" s="661"/>
      <c r="W903" s="661"/>
      <c r="AB903" s="661"/>
      <c r="AG903" s="661"/>
      <c r="AL903" s="661"/>
      <c r="AQ903" s="661"/>
      <c r="AT903" s="847">
        <f>AVERAGE(AS845:AT845)*$C903/(1/(AT$4/$AV$4))</f>
        <v>5.0762465753424664</v>
      </c>
      <c r="AU903" s="847">
        <f>AVERAGE(AT845:AU845)*$C903/(1/(AU$4/$AV$4))</f>
        <v>6.8287602739726037</v>
      </c>
      <c r="AV903" s="661">
        <f t="shared" si="1788"/>
        <v>11.90500684931507</v>
      </c>
      <c r="AW903" s="847">
        <f>AVERAGE(AV845:AW845)*$C903/(1/(AW$4/$BA$4))</f>
        <v>5.0212195121951213</v>
      </c>
      <c r="AX903" s="847">
        <f>AVERAGE(AW845:AX845)*$C903/(1/(AX$4/$BA$4))</f>
        <v>5.0212195121951213</v>
      </c>
      <c r="AY903" s="847">
        <f>AVERAGE(AX845:AY845)*$C903/(1/(AY$4/$BA$4))</f>
        <v>5.0212195121951213</v>
      </c>
      <c r="AZ903" s="847">
        <f>AVERAGE(AY845:AZ845)*$C903/(1/(AZ$4/$BA$4))</f>
        <v>6.8826676829268294</v>
      </c>
      <c r="BA903" s="661">
        <f t="shared" si="1789"/>
        <v>21.946326219512194</v>
      </c>
      <c r="BB903" s="847">
        <f>AVERAGE(BB845:BF845)*$C903/(1/(BB$4/$BF$4))</f>
        <v>4.2810576923076926</v>
      </c>
      <c r="BC903" s="847">
        <f>AVERAGE(BB845:BC845)*$C903/(1/(BC$4/$BF$4))</f>
        <v>4.2810576923076926</v>
      </c>
      <c r="BD903" s="847">
        <f>AVERAGE(BC845:BD845)*$C903/(1/(BD$4/$BF$4))</f>
        <v>4.2810576923076926</v>
      </c>
      <c r="BE903" s="847">
        <f>AVERAGE(BD845:BE845)*$C903/(1/(BE$4/$BF$4))</f>
        <v>5.7080769230769226</v>
      </c>
      <c r="BF903" s="661">
        <f t="shared" si="1790"/>
        <v>18.55125</v>
      </c>
      <c r="BG903" s="847">
        <f>AVERAGE(BF845:BG845)*$C903/(1/(BG$4/$BK$4))</f>
        <v>4.2810576923076926</v>
      </c>
      <c r="BH903" s="847">
        <f>AVERAGE(BG845:BH845)*$C903/(1/(BH$4/$BK$4))</f>
        <v>4.2810576923076926</v>
      </c>
      <c r="BI903" s="847">
        <f>AVERAGE(BH845:BI845)*$C903/(1/(BI$4/$BK$4))</f>
        <v>4.2810576923076926</v>
      </c>
      <c r="BJ903" s="847">
        <f>AVERAGE(BI845:BJ845)*$C903/(1/(BJ$4/$BK$4))</f>
        <v>5.7080769230769226</v>
      </c>
      <c r="BK903" s="661">
        <f t="shared" si="1791"/>
        <v>18.55125</v>
      </c>
      <c r="BL903" s="847">
        <f>AVERAGE(BK845:BL845)*$C903/(1/(BL$4/$BK$4))</f>
        <v>4.2810576923076926</v>
      </c>
      <c r="BM903" s="847">
        <f>AVERAGE(BL845:BM845)*$C903/(1/(BM$4/$BK$4))</f>
        <v>4.2810576923076926</v>
      </c>
      <c r="BN903" s="847">
        <f>AVERAGE(BM845:BN845)*$C903/(1/(BN$4/$BK$4))</f>
        <v>4.2810576923076926</v>
      </c>
      <c r="BO903" s="847">
        <f>AVERAGE(BN845:BO845)*$C903/(1/(BO$4/$BK$4))</f>
        <v>5.7080769230769226</v>
      </c>
      <c r="BP903" s="661">
        <f t="shared" si="1792"/>
        <v>18.55125</v>
      </c>
      <c r="BQ903" s="847">
        <f>AVERAGE(BP845:BQ845)*$C903/(1/(BQ$4/$BU$4))</f>
        <v>4.2693287671232882</v>
      </c>
      <c r="BR903" s="847">
        <f>AVERAGE(BQ845:BR845)*$C903/(1/(BR$4/$BU$4))</f>
        <v>4.276664383561644</v>
      </c>
      <c r="BS903" s="847">
        <f>AVERAGE(BR845:BS845)*$C903/(1/(BS$4/$BU$4))</f>
        <v>4.2840000000000007</v>
      </c>
      <c r="BT903" s="847">
        <f>AVERAGE(BS845:BT845)*$C903/(1/(BT$4/$BU$4))</f>
        <v>5.7120000000000006</v>
      </c>
      <c r="BU903" s="661">
        <f t="shared" si="1832"/>
        <v>18.541993150684934</v>
      </c>
      <c r="BV903" s="847">
        <f t="shared" ref="BV903:BY905" si="1854">AVERAGE(BU845:BV845)*$C903/(1/(BV$4/$BZ$4))</f>
        <v>4.7043342391304357</v>
      </c>
      <c r="BW903" s="847">
        <f t="shared" si="1854"/>
        <v>4.6031657608695662</v>
      </c>
      <c r="BX903" s="847">
        <f t="shared" si="1854"/>
        <v>4.6537500000000005</v>
      </c>
      <c r="BY903" s="847">
        <f t="shared" si="1854"/>
        <v>4.6537500000000005</v>
      </c>
      <c r="BZ903" s="661">
        <f t="shared" si="1834"/>
        <v>18.615000000000002</v>
      </c>
      <c r="CA903" s="973">
        <f>AVERAGE(BZ845:CA845)*$C903/(1/(CA$4/$CE$4))</f>
        <v>4.5900000000000007</v>
      </c>
      <c r="CB903" s="847">
        <f t="shared" ref="CB903:CD904" si="1855">AVERAGE(CA845:CB845)*$C903/(1/(CB$4/$BK$4))</f>
        <v>4.6537500000000005</v>
      </c>
      <c r="CC903" s="847">
        <f t="shared" si="1855"/>
        <v>4.7129464285714286</v>
      </c>
      <c r="CD903" s="847">
        <f t="shared" si="1855"/>
        <v>4.7210027472527472</v>
      </c>
      <c r="CE903" s="661">
        <f t="shared" si="1837"/>
        <v>18.677699175824177</v>
      </c>
      <c r="CF903" s="847">
        <f t="shared" ref="CF903:CI904" si="1856">AVERAGE(CE845:CF845)*$C903/(1/(CF$4/$BK$4))</f>
        <v>4.6183722527472533</v>
      </c>
      <c r="CG903" s="847">
        <f t="shared" si="1856"/>
        <v>4.6696875000000002</v>
      </c>
      <c r="CH903" s="847">
        <f t="shared" si="1856"/>
        <v>4.7210027472527472</v>
      </c>
      <c r="CI903" s="1431">
        <f t="shared" si="1856"/>
        <v>4.7210027472527472</v>
      </c>
      <c r="CJ903" s="661">
        <f t="shared" si="1850"/>
        <v>18.730065247252746</v>
      </c>
      <c r="CK903" s="847">
        <f t="shared" ref="CK903:CN904" si="1857">AVERAGE(CJ845:CK845)*$C903/(1/(CK$4/$BK$4))</f>
        <v>4.6696875000000002</v>
      </c>
      <c r="CL903" s="847">
        <f t="shared" si="1857"/>
        <v>4.6696875000000002</v>
      </c>
      <c r="CM903" s="847">
        <f t="shared" si="1857"/>
        <v>4.7210027472527472</v>
      </c>
      <c r="CN903" s="1431">
        <f t="shared" si="1857"/>
        <v>4.7210027472527472</v>
      </c>
      <c r="CO903" s="661">
        <f t="shared" si="1851"/>
        <v>18.781380494505495</v>
      </c>
      <c r="CP903" s="847">
        <f t="shared" ref="CP903:CS904" si="1858">AVERAGE(CO845:CP845)*$C903/(1/(CP$4/$BK$4))</f>
        <v>4.6183722527472533</v>
      </c>
      <c r="CQ903" s="847">
        <f t="shared" si="1858"/>
        <v>2.3348437500000001</v>
      </c>
      <c r="CR903" s="3798">
        <f t="shared" si="1858"/>
        <v>0</v>
      </c>
      <c r="CS903" s="847">
        <f t="shared" si="1858"/>
        <v>0</v>
      </c>
      <c r="CT903" s="661">
        <f t="shared" si="1852"/>
        <v>6.9532160027472534</v>
      </c>
      <c r="CU903" s="847">
        <f t="shared" ref="CU903:CX904" si="1859">AVERAGE(CT845:CU845)*$C903/(1/(CU$4/$BK$4))</f>
        <v>0</v>
      </c>
      <c r="CV903" s="847">
        <f t="shared" si="1859"/>
        <v>0</v>
      </c>
      <c r="CW903" s="847">
        <f t="shared" si="1859"/>
        <v>0</v>
      </c>
      <c r="CX903" s="847">
        <f t="shared" si="1859"/>
        <v>0</v>
      </c>
      <c r="CY903" s="2293">
        <f t="shared" si="1853"/>
        <v>0</v>
      </c>
      <c r="CZ903" s="661">
        <f t="shared" ref="CZ903:DA911" si="1860">AVERAGE(CY845:CZ845)*$C903</f>
        <v>0</v>
      </c>
      <c r="DA903" s="661">
        <f t="shared" si="1860"/>
        <v>0</v>
      </c>
      <c r="DD903" s="2308" t="s">
        <v>1077</v>
      </c>
      <c r="DE903" s="2293">
        <f t="shared" si="1797"/>
        <v>0</v>
      </c>
      <c r="DF903" s="2293">
        <f t="shared" si="1798"/>
        <v>0</v>
      </c>
      <c r="DG903" s="2293">
        <f t="shared" si="1799"/>
        <v>0</v>
      </c>
      <c r="DH903" s="2293">
        <f t="shared" si="1800"/>
        <v>0</v>
      </c>
      <c r="DI903" s="2293">
        <f t="shared" si="1801"/>
        <v>0</v>
      </c>
      <c r="DJ903" s="2293">
        <f t="shared" si="1802"/>
        <v>0</v>
      </c>
      <c r="DK903" s="2293">
        <f t="shared" si="1803"/>
        <v>0</v>
      </c>
      <c r="DL903" s="2293">
        <f t="shared" si="1804"/>
        <v>11.90500684931507</v>
      </c>
      <c r="DM903" s="2293">
        <f t="shared" si="1805"/>
        <v>21.946326219512194</v>
      </c>
      <c r="DN903" s="2293">
        <f t="shared" si="1806"/>
        <v>18.55125</v>
      </c>
      <c r="DO903" s="2293">
        <f t="shared" si="1807"/>
        <v>18.55125</v>
      </c>
      <c r="DP903" s="2293">
        <f t="shared" si="1808"/>
        <v>18.55125</v>
      </c>
      <c r="DQ903" s="2293">
        <f t="shared" si="1809"/>
        <v>18.541993150684934</v>
      </c>
      <c r="DR903" s="2293">
        <f t="shared" si="1810"/>
        <v>18.615000000000002</v>
      </c>
      <c r="DS903" s="2293">
        <f t="shared" si="1811"/>
        <v>18.677699175824177</v>
      </c>
      <c r="DT903" s="2293">
        <f t="shared" si="1812"/>
        <v>18.730065247252746</v>
      </c>
      <c r="DU903" s="2293">
        <f t="shared" si="1813"/>
        <v>18.781380494505495</v>
      </c>
      <c r="DV903" s="2293">
        <f t="shared" si="1814"/>
        <v>6.9532160027472534</v>
      </c>
      <c r="DW903" s="2293">
        <f t="shared" si="1815"/>
        <v>0</v>
      </c>
      <c r="DX903" s="2293">
        <f t="shared" si="1816"/>
        <v>0</v>
      </c>
      <c r="DY903" s="2293">
        <f t="shared" si="1817"/>
        <v>0</v>
      </c>
      <c r="DZ903" s="855"/>
      <c r="EK903"/>
      <c r="EL903"/>
      <c r="EM903" s="847"/>
    </row>
    <row r="904" spans="1:143" ht="12.75" customHeight="1" x14ac:dyDescent="0.2">
      <c r="A904" s="1434" t="s">
        <v>1976</v>
      </c>
      <c r="C904" s="2939">
        <v>0.03</v>
      </c>
      <c r="M904" s="661"/>
      <c r="R904" s="661"/>
      <c r="W904" s="661"/>
      <c r="AB904" s="661"/>
      <c r="AG904" s="661"/>
      <c r="AL904" s="661"/>
      <c r="AQ904" s="661"/>
      <c r="AV904" s="661"/>
      <c r="BA904" s="661"/>
      <c r="BF904" s="661"/>
      <c r="BK904" s="661"/>
      <c r="BP904" s="661"/>
      <c r="BQ904" s="847">
        <f>AVERAGE(BP846:BQ846)*$C904/(1/(BQ$4/$BZ$4))</f>
        <v>2.033804347826087</v>
      </c>
      <c r="BR904" s="847">
        <f>AVERAGE(BQ846:BR846)*$C904/(1/(BR$4/$BZ$4))</f>
        <v>4.067608695652174</v>
      </c>
      <c r="BS904" s="847">
        <f>AVERAGE(BR846:BS846)*$C904/(1/(BS$4/$BZ$4))</f>
        <v>4.067608695652174</v>
      </c>
      <c r="BT904" s="847">
        <f>AVERAGE(BS846:BT846)*$C904/(1/(BT$4/$BZ$4))</f>
        <v>5.4234782608695653</v>
      </c>
      <c r="BU904" s="661">
        <f>SUM(BQ904:BT904)</f>
        <v>15.592500000000001</v>
      </c>
      <c r="BV904" s="847">
        <f t="shared" si="1854"/>
        <v>4.5072146739130439</v>
      </c>
      <c r="BW904" s="847">
        <f t="shared" si="1854"/>
        <v>4.4139945652173909</v>
      </c>
      <c r="BX904" s="847">
        <f t="shared" si="1854"/>
        <v>4.4624999999999995</v>
      </c>
      <c r="BY904" s="847">
        <f t="shared" si="1854"/>
        <v>4.4624999999999995</v>
      </c>
      <c r="BZ904" s="661">
        <f>SUM(BV904:BY904)</f>
        <v>17.846209239130431</v>
      </c>
      <c r="CA904" s="973">
        <f>AVERAGE(BZ846:CA846)*$C904/(1/(CA$4/$CE$4))</f>
        <v>4.4050684931506847</v>
      </c>
      <c r="CB904" s="847">
        <f t="shared" si="1855"/>
        <v>4.47</v>
      </c>
      <c r="CC904" s="847">
        <f t="shared" si="1855"/>
        <v>4.5191208791208783</v>
      </c>
      <c r="CD904" s="847">
        <f t="shared" si="1855"/>
        <v>4.5191208791208783</v>
      </c>
      <c r="CE904" s="661">
        <f t="shared" ref="CE904:CE913" si="1861">SUM(CA904:CD904)</f>
        <v>17.913310251392442</v>
      </c>
      <c r="CF904" s="847">
        <f t="shared" si="1856"/>
        <v>4.4245879120879126</v>
      </c>
      <c r="CG904" s="847">
        <f t="shared" si="1856"/>
        <v>4.4775</v>
      </c>
      <c r="CH904" s="847">
        <f t="shared" si="1856"/>
        <v>4.5267032967032961</v>
      </c>
      <c r="CI904" s="1431">
        <f t="shared" si="1856"/>
        <v>4.5191208791208783</v>
      </c>
      <c r="CJ904" s="661">
        <f t="shared" si="1850"/>
        <v>17.947912087912087</v>
      </c>
      <c r="CK904" s="847">
        <f t="shared" si="1857"/>
        <v>4.4662499999999996</v>
      </c>
      <c r="CL904" s="847">
        <f t="shared" si="1857"/>
        <v>4.47</v>
      </c>
      <c r="CM904" s="847">
        <f t="shared" si="1857"/>
        <v>4.5191208791208783</v>
      </c>
      <c r="CN904" s="1431">
        <f t="shared" si="1857"/>
        <v>4.5229120879120872</v>
      </c>
      <c r="CO904" s="661">
        <f t="shared" si="1851"/>
        <v>17.978282967032964</v>
      </c>
      <c r="CP904" s="847">
        <f t="shared" si="1858"/>
        <v>4.4282967032967031</v>
      </c>
      <c r="CQ904" s="847">
        <f t="shared" si="1858"/>
        <v>4.4775</v>
      </c>
      <c r="CR904" s="3798">
        <f t="shared" si="1858"/>
        <v>4.5304945054945058</v>
      </c>
      <c r="CS904" s="847">
        <f t="shared" si="1858"/>
        <v>4.5342857142857138</v>
      </c>
      <c r="CT904" s="661">
        <f t="shared" si="1852"/>
        <v>17.970576923076923</v>
      </c>
      <c r="CU904" s="847">
        <f t="shared" si="1859"/>
        <v>4.4357142857142851</v>
      </c>
      <c r="CV904" s="847">
        <f t="shared" si="1859"/>
        <v>4.4849999999999994</v>
      </c>
      <c r="CW904" s="847">
        <f t="shared" si="1859"/>
        <v>4.5342857142857138</v>
      </c>
      <c r="CX904" s="847">
        <f t="shared" si="1859"/>
        <v>4.5342857142857138</v>
      </c>
      <c r="CY904" s="2293">
        <f t="shared" si="1853"/>
        <v>17.989285714285714</v>
      </c>
      <c r="CZ904" s="661">
        <f t="shared" si="1860"/>
        <v>17.939999999999998</v>
      </c>
      <c r="DA904" s="661">
        <f t="shared" si="1860"/>
        <v>17.939999999999998</v>
      </c>
      <c r="DD904" s="2308" t="s">
        <v>1976</v>
      </c>
      <c r="DE904" s="2293">
        <f t="shared" si="1797"/>
        <v>0</v>
      </c>
      <c r="DF904" s="2293">
        <f t="shared" si="1798"/>
        <v>0</v>
      </c>
      <c r="DG904" s="2293">
        <f t="shared" si="1799"/>
        <v>0</v>
      </c>
      <c r="DH904" s="2293">
        <f t="shared" si="1800"/>
        <v>0</v>
      </c>
      <c r="DI904" s="2293">
        <f t="shared" si="1801"/>
        <v>0</v>
      </c>
      <c r="DJ904" s="2293">
        <f t="shared" si="1802"/>
        <v>0</v>
      </c>
      <c r="DK904" s="2293">
        <f t="shared" si="1803"/>
        <v>0</v>
      </c>
      <c r="DL904" s="2293">
        <f t="shared" si="1804"/>
        <v>0</v>
      </c>
      <c r="DM904" s="2293">
        <f t="shared" si="1805"/>
        <v>0</v>
      </c>
      <c r="DN904" s="2293">
        <f t="shared" si="1806"/>
        <v>0</v>
      </c>
      <c r="DO904" s="2293">
        <f t="shared" si="1807"/>
        <v>0</v>
      </c>
      <c r="DP904" s="2293">
        <f t="shared" si="1808"/>
        <v>0</v>
      </c>
      <c r="DQ904" s="2293">
        <f t="shared" si="1809"/>
        <v>15.592500000000001</v>
      </c>
      <c r="DR904" s="2293">
        <f t="shared" si="1810"/>
        <v>17.846209239130431</v>
      </c>
      <c r="DS904" s="2293">
        <f t="shared" si="1811"/>
        <v>17.913310251392442</v>
      </c>
      <c r="DT904" s="2293">
        <f t="shared" si="1812"/>
        <v>17.947912087912087</v>
      </c>
      <c r="DU904" s="2293">
        <f t="shared" si="1813"/>
        <v>17.978282967032964</v>
      </c>
      <c r="DV904" s="2293">
        <f t="shared" si="1814"/>
        <v>17.970576923076923</v>
      </c>
      <c r="DW904" s="2293">
        <f t="shared" si="1815"/>
        <v>17.989285714285714</v>
      </c>
      <c r="DX904" s="2293">
        <f t="shared" si="1816"/>
        <v>17.939999999999998</v>
      </c>
      <c r="DY904" s="2293">
        <f t="shared" si="1817"/>
        <v>17.939999999999998</v>
      </c>
      <c r="DZ904" s="855"/>
      <c r="EK904"/>
      <c r="EL904"/>
      <c r="EM904" s="847"/>
    </row>
    <row r="905" spans="1:143" ht="12.75" customHeight="1" x14ac:dyDescent="0.2">
      <c r="A905" s="1434" t="s">
        <v>356</v>
      </c>
      <c r="C905" s="2939">
        <v>3.2500000000000001E-2</v>
      </c>
      <c r="M905" s="661"/>
      <c r="R905" s="661"/>
      <c r="W905" s="661"/>
      <c r="AB905" s="661"/>
      <c r="AG905" s="661"/>
      <c r="AL905" s="661"/>
      <c r="AQ905" s="661"/>
      <c r="AV905" s="661"/>
      <c r="BA905" s="661"/>
      <c r="BF905" s="661"/>
      <c r="BK905" s="661"/>
      <c r="BP905" s="661"/>
      <c r="BT905" s="847">
        <f>AVERAGE(BS847:BT847)*$C905/(1/(BT$4/$BZ$4))</f>
        <v>1.7260326086956523</v>
      </c>
      <c r="BU905" s="661">
        <f>SUM(BQ905:BT905)</f>
        <v>1.7260326086956523</v>
      </c>
      <c r="BV905" s="847">
        <f t="shared" si="1854"/>
        <v>2.8664470108695657</v>
      </c>
      <c r="BW905" s="847">
        <f t="shared" si="1854"/>
        <v>2.8048029891304354</v>
      </c>
      <c r="BX905" s="847">
        <f t="shared" si="1854"/>
        <v>2.8356250000000003</v>
      </c>
      <c r="BY905" s="847">
        <f t="shared" si="1854"/>
        <v>2.8356250000000003</v>
      </c>
      <c r="BZ905" s="661">
        <f>SUM(BV905:BY905)</f>
        <v>11.342500000000001</v>
      </c>
      <c r="CA905" s="847">
        <f>AVERAGE(BZ847:CA847)*$C905/(1/(CA$4/$CE$4))</f>
        <v>2.7967808219178085</v>
      </c>
      <c r="CB905" s="847">
        <f t="shared" ref="CB905:CD906" si="1862">AVERAGE(CA847:CB847)*$C905/(1/(CB$4/$BZ$4))</f>
        <v>2.8048029891304354</v>
      </c>
      <c r="CC905" s="847">
        <f t="shared" si="1862"/>
        <v>2.8356250000000003</v>
      </c>
      <c r="CD905" s="847">
        <f t="shared" si="1862"/>
        <v>2.8356250000000003</v>
      </c>
      <c r="CE905" s="661">
        <f t="shared" si="1861"/>
        <v>11.272833811048244</v>
      </c>
      <c r="CF905" s="847">
        <f t="shared" ref="CF905:CI906" si="1863">AVERAGE(CE847:CF847)*$C905/(1/(CF$4/$BZ$4))</f>
        <v>2.77398097826087</v>
      </c>
      <c r="CG905" s="847">
        <f t="shared" si="1863"/>
        <v>2.8048029891304354</v>
      </c>
      <c r="CH905" s="847">
        <f t="shared" si="1863"/>
        <v>2.8356250000000003</v>
      </c>
      <c r="CI905" s="847">
        <f t="shared" si="1863"/>
        <v>2.8315625</v>
      </c>
      <c r="CJ905" s="661">
        <f t="shared" si="1850"/>
        <v>11.245971467391307</v>
      </c>
      <c r="CK905" s="847">
        <f t="shared" ref="CK905:CN909" si="1864">AVERAGE(CJ847:CK847)*$C905/(1/(CK$4/$BZ$4))</f>
        <v>2.7967663043478264</v>
      </c>
      <c r="CL905" s="847">
        <f t="shared" si="1864"/>
        <v>2.7967663043478264</v>
      </c>
      <c r="CM905" s="847">
        <f t="shared" si="1864"/>
        <v>2.8275000000000001</v>
      </c>
      <c r="CN905" s="847">
        <f t="shared" si="1864"/>
        <v>2.8275000000000001</v>
      </c>
      <c r="CO905" s="661">
        <f t="shared" si="1851"/>
        <v>11.248532608695653</v>
      </c>
      <c r="CP905" s="847">
        <f t="shared" ref="CP905:CS911" si="1865">AVERAGE(CO847:CP847)*$C905/(1/(CP$4/$BZ$4))</f>
        <v>2.7660326086956526</v>
      </c>
      <c r="CQ905" s="847">
        <f t="shared" si="1865"/>
        <v>2.7967663043478264</v>
      </c>
      <c r="CR905" s="3798">
        <f t="shared" si="1865"/>
        <v>2.8275000000000001</v>
      </c>
      <c r="CS905" s="847">
        <f t="shared" si="1865"/>
        <v>2.8275000000000001</v>
      </c>
      <c r="CT905" s="661">
        <f t="shared" si="1852"/>
        <v>11.217798913043479</v>
      </c>
      <c r="CU905" s="847">
        <f t="shared" ref="CU905:CU911" si="1866">AVERAGE(CT847:CU847)*$C905/(1/(CU$4/$BZ$4))</f>
        <v>2.7660326086956526</v>
      </c>
      <c r="CV905" s="847">
        <f t="shared" ref="CV905:CV911" si="1867">AVERAGE(CU847:CV847)*$C905/(1/(CV$4/$BZ$4))</f>
        <v>2.7967663043478264</v>
      </c>
      <c r="CW905" s="847">
        <f t="shared" ref="CW905:CW911" si="1868">AVERAGE(CV847:CW847)*$C905/(1/(CW$4/$BZ$4))</f>
        <v>2.8275000000000001</v>
      </c>
      <c r="CX905" s="847">
        <f t="shared" ref="CX905:CX911" si="1869">AVERAGE(CW847:CX847)*$C905/(1/(CX$4/$BZ$4))</f>
        <v>2.8275000000000001</v>
      </c>
      <c r="CY905" s="2293">
        <f t="shared" si="1853"/>
        <v>11.217798913043479</v>
      </c>
      <c r="CZ905" s="661">
        <f t="shared" si="1860"/>
        <v>11.31</v>
      </c>
      <c r="DA905" s="661">
        <f t="shared" si="1860"/>
        <v>11.31</v>
      </c>
      <c r="DD905" s="2308" t="s">
        <v>356</v>
      </c>
      <c r="DE905" s="2293">
        <f t="shared" si="1797"/>
        <v>0</v>
      </c>
      <c r="DF905" s="2293">
        <f t="shared" si="1798"/>
        <v>0</v>
      </c>
      <c r="DG905" s="2293">
        <f t="shared" si="1799"/>
        <v>0</v>
      </c>
      <c r="DH905" s="2293">
        <f t="shared" si="1800"/>
        <v>0</v>
      </c>
      <c r="DI905" s="2293">
        <f t="shared" si="1801"/>
        <v>0</v>
      </c>
      <c r="DJ905" s="2293">
        <f t="shared" si="1802"/>
        <v>0</v>
      </c>
      <c r="DK905" s="2293">
        <f t="shared" si="1803"/>
        <v>0</v>
      </c>
      <c r="DL905" s="2293">
        <f t="shared" si="1804"/>
        <v>0</v>
      </c>
      <c r="DM905" s="2293">
        <f t="shared" si="1805"/>
        <v>0</v>
      </c>
      <c r="DN905" s="2293">
        <f t="shared" si="1806"/>
        <v>0</v>
      </c>
      <c r="DO905" s="2293">
        <f t="shared" si="1807"/>
        <v>0</v>
      </c>
      <c r="DP905" s="2293">
        <f t="shared" si="1808"/>
        <v>0</v>
      </c>
      <c r="DQ905" s="2293">
        <f t="shared" si="1809"/>
        <v>1.7260326086956523</v>
      </c>
      <c r="DR905" s="2293">
        <f t="shared" si="1810"/>
        <v>11.342500000000001</v>
      </c>
      <c r="DS905" s="2293">
        <f t="shared" si="1811"/>
        <v>11.272833811048244</v>
      </c>
      <c r="DT905" s="2293">
        <f t="shared" si="1812"/>
        <v>11.245971467391307</v>
      </c>
      <c r="DU905" s="2293">
        <f t="shared" si="1813"/>
        <v>11.248532608695653</v>
      </c>
      <c r="DV905" s="2293">
        <f t="shared" si="1814"/>
        <v>11.217798913043479</v>
      </c>
      <c r="DW905" s="2293">
        <f t="shared" si="1815"/>
        <v>11.217798913043479</v>
      </c>
      <c r="DX905" s="2293">
        <f t="shared" si="1816"/>
        <v>11.31</v>
      </c>
      <c r="DY905" s="2293">
        <f t="shared" si="1817"/>
        <v>11.31</v>
      </c>
      <c r="EK905"/>
      <c r="EL905"/>
      <c r="EM905" s="847"/>
    </row>
    <row r="906" spans="1:143" ht="12.75" customHeight="1" x14ac:dyDescent="0.2">
      <c r="A906" s="900" t="s">
        <v>267</v>
      </c>
      <c r="C906" s="2939">
        <v>3.3750000000000002E-2</v>
      </c>
      <c r="M906" s="661"/>
      <c r="R906" s="661"/>
      <c r="W906" s="661"/>
      <c r="AB906" s="661"/>
      <c r="AG906" s="661"/>
      <c r="AL906" s="661"/>
      <c r="AQ906" s="661"/>
      <c r="AV906" s="661"/>
      <c r="BA906" s="661"/>
      <c r="BF906" s="661"/>
      <c r="BK906" s="661"/>
      <c r="BP906" s="661"/>
      <c r="BU906" s="661"/>
      <c r="BY906" s="847">
        <f>AVERAGE(BX848:BY848)*$C906/(1/(BY$4/$BZ$4))</f>
        <v>2.9362500000000002</v>
      </c>
      <c r="BZ906" s="661">
        <f>SUM(BV906:BY906)</f>
        <v>2.9362500000000002</v>
      </c>
      <c r="CA906" s="847">
        <f>AVERAGE(BZ848:CA848)*$C906/(1/(CA$4/$CE$4))</f>
        <v>2.8960273972602741</v>
      </c>
      <c r="CB906" s="847">
        <f t="shared" si="1862"/>
        <v>2.904334239130435</v>
      </c>
      <c r="CC906" s="847">
        <f t="shared" si="1862"/>
        <v>2.9362500000000002</v>
      </c>
      <c r="CD906" s="847">
        <f t="shared" si="1862"/>
        <v>2.9362500000000002</v>
      </c>
      <c r="CE906" s="661">
        <f t="shared" si="1861"/>
        <v>11.67286163639071</v>
      </c>
      <c r="CF906" s="847">
        <f t="shared" si="1863"/>
        <v>2.8724184782608702</v>
      </c>
      <c r="CG906" s="847">
        <f t="shared" si="1863"/>
        <v>2.904334239130435</v>
      </c>
      <c r="CH906" s="847">
        <f t="shared" si="1863"/>
        <v>2.9362500000000002</v>
      </c>
      <c r="CI906" s="847">
        <f t="shared" si="1863"/>
        <v>2.9320312500000001</v>
      </c>
      <c r="CJ906" s="661">
        <f t="shared" si="1850"/>
        <v>11.645033967391305</v>
      </c>
      <c r="CK906" s="847">
        <f t="shared" si="1864"/>
        <v>2.8959884510869571</v>
      </c>
      <c r="CL906" s="847">
        <f t="shared" si="1864"/>
        <v>2.8959884510869571</v>
      </c>
      <c r="CM906" s="847">
        <f t="shared" si="1864"/>
        <v>2.9278125000000004</v>
      </c>
      <c r="CN906" s="847">
        <f t="shared" si="1864"/>
        <v>2.9278125000000004</v>
      </c>
      <c r="CO906" s="661">
        <f t="shared" si="1851"/>
        <v>11.647601902173914</v>
      </c>
      <c r="CP906" s="847">
        <f t="shared" si="1865"/>
        <v>2.8641644021739134</v>
      </c>
      <c r="CQ906" s="847">
        <f t="shared" si="1865"/>
        <v>2.8959884510869571</v>
      </c>
      <c r="CR906" s="3798">
        <f t="shared" si="1865"/>
        <v>2.9320312500000001</v>
      </c>
      <c r="CS906" s="847">
        <f t="shared" si="1865"/>
        <v>2.9362500000000002</v>
      </c>
      <c r="CT906" s="661">
        <f t="shared" si="1852"/>
        <v>11.628434103260872</v>
      </c>
      <c r="CU906" s="847">
        <f t="shared" si="1866"/>
        <v>2.8724184782608702</v>
      </c>
      <c r="CV906" s="847">
        <f t="shared" si="1867"/>
        <v>2.904334239130435</v>
      </c>
      <c r="CW906" s="847">
        <f t="shared" si="1868"/>
        <v>2.9362500000000002</v>
      </c>
      <c r="CX906" s="847">
        <f t="shared" si="1869"/>
        <v>2.9362500000000002</v>
      </c>
      <c r="CY906" s="2293">
        <f t="shared" si="1853"/>
        <v>11.649252717391306</v>
      </c>
      <c r="CZ906" s="661">
        <f t="shared" si="1860"/>
        <v>11.745000000000001</v>
      </c>
      <c r="DA906" s="661">
        <f t="shared" si="1860"/>
        <v>11.745000000000001</v>
      </c>
      <c r="DD906" s="2378" t="s">
        <v>267</v>
      </c>
      <c r="DE906" s="2293">
        <f t="shared" si="1797"/>
        <v>0</v>
      </c>
      <c r="DF906" s="2293">
        <f t="shared" si="1798"/>
        <v>0</v>
      </c>
      <c r="DG906" s="2293">
        <f t="shared" si="1799"/>
        <v>0</v>
      </c>
      <c r="DH906" s="2293">
        <f t="shared" si="1800"/>
        <v>0</v>
      </c>
      <c r="DI906" s="2293">
        <f t="shared" si="1801"/>
        <v>0</v>
      </c>
      <c r="DJ906" s="2293">
        <f t="shared" si="1802"/>
        <v>0</v>
      </c>
      <c r="DK906" s="2293">
        <f t="shared" si="1803"/>
        <v>0</v>
      </c>
      <c r="DL906" s="2293">
        <f t="shared" si="1804"/>
        <v>0</v>
      </c>
      <c r="DM906" s="2293">
        <f t="shared" si="1805"/>
        <v>0</v>
      </c>
      <c r="DN906" s="2293">
        <f t="shared" si="1806"/>
        <v>0</v>
      </c>
      <c r="DO906" s="2293">
        <f t="shared" si="1807"/>
        <v>0</v>
      </c>
      <c r="DP906" s="2293">
        <f t="shared" si="1808"/>
        <v>0</v>
      </c>
      <c r="DQ906" s="2293">
        <f t="shared" si="1809"/>
        <v>0</v>
      </c>
      <c r="DR906" s="2293">
        <f t="shared" si="1810"/>
        <v>2.9362500000000002</v>
      </c>
      <c r="DS906" s="2293">
        <f t="shared" si="1811"/>
        <v>11.67286163639071</v>
      </c>
      <c r="DT906" s="2293">
        <f t="shared" si="1812"/>
        <v>11.645033967391305</v>
      </c>
      <c r="DU906" s="2293">
        <f t="shared" si="1813"/>
        <v>11.647601902173914</v>
      </c>
      <c r="DV906" s="2293">
        <f t="shared" si="1814"/>
        <v>11.628434103260872</v>
      </c>
      <c r="DW906" s="2293">
        <f t="shared" si="1815"/>
        <v>11.649252717391306</v>
      </c>
      <c r="DX906" s="2293">
        <f t="shared" si="1816"/>
        <v>11.745000000000001</v>
      </c>
      <c r="DY906" s="2293">
        <f t="shared" si="1817"/>
        <v>11.745000000000001</v>
      </c>
      <c r="EK906"/>
      <c r="EL906"/>
      <c r="EM906" s="847"/>
    </row>
    <row r="907" spans="1:143" ht="12.75" customHeight="1" x14ac:dyDescent="0.2">
      <c r="A907" s="2378" t="s">
        <v>2161</v>
      </c>
      <c r="C907" s="2939">
        <v>3.125E-2</v>
      </c>
      <c r="M907" s="661"/>
      <c r="R907" s="661"/>
      <c r="W907" s="661"/>
      <c r="AB907" s="661"/>
      <c r="AG907" s="661"/>
      <c r="AL907" s="661"/>
      <c r="AQ907" s="661"/>
      <c r="AV907" s="661"/>
      <c r="BA907" s="661"/>
      <c r="BF907" s="661"/>
      <c r="BK907" s="661"/>
      <c r="BP907" s="661"/>
      <c r="BU907" s="661"/>
      <c r="BZ907" s="661"/>
      <c r="CA907" s="847">
        <v>0</v>
      </c>
      <c r="CB907" s="847">
        <v>0</v>
      </c>
      <c r="CC907" s="847">
        <v>0</v>
      </c>
      <c r="CD907" s="847">
        <v>0</v>
      </c>
      <c r="CE907" s="661">
        <f t="shared" si="1861"/>
        <v>0</v>
      </c>
      <c r="CF907" s="847">
        <v>0</v>
      </c>
      <c r="CG907" s="847">
        <v>0</v>
      </c>
      <c r="CH907" s="847">
        <v>0</v>
      </c>
      <c r="CI907" s="847">
        <f>AVERAGE(CH849:CI849)*$C907/(1/(CI$4/$BZ$4))</f>
        <v>3.09765625</v>
      </c>
      <c r="CJ907" s="661">
        <f t="shared" si="1850"/>
        <v>3.09765625</v>
      </c>
      <c r="CK907" s="847">
        <f t="shared" si="1864"/>
        <v>3.0523947010869565</v>
      </c>
      <c r="CL907" s="847">
        <f t="shared" si="1864"/>
        <v>3.0523947010869565</v>
      </c>
      <c r="CM907" s="847">
        <f t="shared" si="1864"/>
        <v>3.08984375</v>
      </c>
      <c r="CN907" s="847">
        <f t="shared" si="1864"/>
        <v>3.09375</v>
      </c>
      <c r="CO907" s="661">
        <f t="shared" si="1851"/>
        <v>12.288383152173914</v>
      </c>
      <c r="CP907" s="847">
        <f t="shared" si="1865"/>
        <v>3.0264945652173916</v>
      </c>
      <c r="CQ907" s="847">
        <f t="shared" si="1865"/>
        <v>3.0601222826086958</v>
      </c>
      <c r="CR907" s="3798">
        <f t="shared" si="1865"/>
        <v>3.09375</v>
      </c>
      <c r="CS907" s="847">
        <f t="shared" si="1865"/>
        <v>3.09375</v>
      </c>
      <c r="CT907" s="661">
        <f t="shared" si="1852"/>
        <v>12.274116847826088</v>
      </c>
      <c r="CU907" s="847">
        <f t="shared" si="1866"/>
        <v>3.0264945652173916</v>
      </c>
      <c r="CV907" s="847">
        <f t="shared" si="1867"/>
        <v>3.0601222826086958</v>
      </c>
      <c r="CW907" s="847">
        <f t="shared" si="1868"/>
        <v>3.09375</v>
      </c>
      <c r="CX907" s="847">
        <f t="shared" si="1869"/>
        <v>3.09375</v>
      </c>
      <c r="CY907" s="2293">
        <f t="shared" si="1853"/>
        <v>12.274116847826088</v>
      </c>
      <c r="CZ907" s="661">
        <f t="shared" si="1860"/>
        <v>12.375</v>
      </c>
      <c r="DA907" s="661">
        <f t="shared" si="1860"/>
        <v>12.375</v>
      </c>
      <c r="DD907" s="2378"/>
      <c r="DE907" s="2293"/>
      <c r="DF907" s="2293"/>
      <c r="DG907" s="2293"/>
      <c r="DH907" s="2293"/>
      <c r="DI907" s="2293"/>
      <c r="DJ907" s="2293"/>
      <c r="DK907" s="2293"/>
      <c r="DL907" s="2293"/>
      <c r="DM907" s="2293"/>
      <c r="DN907" s="2293"/>
      <c r="DO907" s="2293"/>
      <c r="DP907" s="2293"/>
      <c r="DQ907" s="2293"/>
      <c r="DR907" s="2293"/>
      <c r="DS907" s="2293"/>
      <c r="DT907" s="2293"/>
      <c r="DU907" s="2293"/>
      <c r="DV907" s="2293"/>
      <c r="DW907" s="2293"/>
      <c r="DX907" s="2293"/>
      <c r="DY907" s="2293"/>
      <c r="EK907"/>
      <c r="EL907"/>
      <c r="EM907" s="847"/>
    </row>
    <row r="908" spans="1:143" ht="12.75" customHeight="1" x14ac:dyDescent="0.2">
      <c r="A908" s="2378" t="s">
        <v>2340</v>
      </c>
      <c r="C908" s="2939">
        <v>2.9000000000000001E-2</v>
      </c>
      <c r="M908" s="661"/>
      <c r="R908" s="661"/>
      <c r="W908" s="661"/>
      <c r="AB908" s="661"/>
      <c r="AG908" s="661"/>
      <c r="AL908" s="661"/>
      <c r="AQ908" s="661"/>
      <c r="AV908" s="661"/>
      <c r="BA908" s="661"/>
      <c r="BF908" s="661"/>
      <c r="BK908" s="661"/>
      <c r="BP908" s="661"/>
      <c r="BU908" s="661"/>
      <c r="BZ908" s="661"/>
      <c r="CE908" s="661"/>
      <c r="CH908" s="847">
        <f>AVERAGE(CG850:CH850)*$C908/(1/(CH$4/$BZ$4))</f>
        <v>3.2552500000000002</v>
      </c>
      <c r="CI908" s="847">
        <f>AVERAGE(CH850:CI850)*$C908/(1/(CI$4/$BZ$4))</f>
        <v>3.2443750000000002</v>
      </c>
      <c r="CJ908" s="661">
        <f t="shared" si="1850"/>
        <v>6.499625</v>
      </c>
      <c r="CK908" s="847">
        <f t="shared" si="1864"/>
        <v>3.1983532608695655</v>
      </c>
      <c r="CL908" s="847">
        <f t="shared" si="1864"/>
        <v>3.1983532608695655</v>
      </c>
      <c r="CM908" s="847">
        <f t="shared" si="1864"/>
        <v>3.2335000000000003</v>
      </c>
      <c r="CN908" s="847">
        <f t="shared" si="1864"/>
        <v>3.2335000000000003</v>
      </c>
      <c r="CO908" s="661">
        <f>SUM(CK908:CN908)</f>
        <v>12.863706521739132</v>
      </c>
      <c r="CP908" s="847">
        <f t="shared" si="1865"/>
        <v>3.1667527173913048</v>
      </c>
      <c r="CQ908" s="847">
        <f t="shared" si="1865"/>
        <v>3.2055244565217396</v>
      </c>
      <c r="CR908" s="3798">
        <f t="shared" si="1865"/>
        <v>3.2407500000000002</v>
      </c>
      <c r="CS908" s="847">
        <f t="shared" si="1865"/>
        <v>3.2407500000000002</v>
      </c>
      <c r="CT908" s="661">
        <f>SUM(CP908:CS908)</f>
        <v>12.853777173913045</v>
      </c>
      <c r="CU908" s="847">
        <f t="shared" si="1866"/>
        <v>3.1702989130434789</v>
      </c>
      <c r="CV908" s="847">
        <f t="shared" si="1867"/>
        <v>3.2055244565217396</v>
      </c>
      <c r="CW908" s="847">
        <f t="shared" si="1868"/>
        <v>3.2407500000000002</v>
      </c>
      <c r="CX908" s="847">
        <f t="shared" si="1869"/>
        <v>3.2407500000000002</v>
      </c>
      <c r="CY908" s="2293">
        <f>SUM(CU908:CX908)</f>
        <v>12.857323369565218</v>
      </c>
      <c r="CZ908" s="661">
        <f t="shared" si="1860"/>
        <v>12.963000000000001</v>
      </c>
      <c r="DA908" s="661">
        <f t="shared" si="1860"/>
        <v>12.963000000000001</v>
      </c>
      <c r="DD908" s="2378"/>
      <c r="DE908" s="2293"/>
      <c r="DF908" s="2293"/>
      <c r="DG908" s="2293"/>
      <c r="DH908" s="2293"/>
      <c r="DI908" s="2293"/>
      <c r="DJ908" s="2293"/>
      <c r="DK908" s="2293"/>
      <c r="DL908" s="2293"/>
      <c r="DM908" s="2293"/>
      <c r="DN908" s="2293"/>
      <c r="DO908" s="2293"/>
      <c r="DP908" s="2293"/>
      <c r="DQ908" s="2293"/>
      <c r="DR908" s="2293"/>
      <c r="DS908" s="2293"/>
      <c r="DT908" s="2293"/>
      <c r="DU908" s="2293"/>
      <c r="DV908" s="2293"/>
      <c r="DW908" s="2293"/>
      <c r="DX908" s="2293"/>
      <c r="DY908" s="2293"/>
      <c r="EK908"/>
      <c r="EL908"/>
      <c r="EM908" s="847"/>
    </row>
    <row r="909" spans="1:143" ht="12.75" customHeight="1" x14ac:dyDescent="0.2">
      <c r="A909" s="2378" t="s">
        <v>2341</v>
      </c>
      <c r="C909" s="2939">
        <v>3.7999999999999999E-2</v>
      </c>
      <c r="M909" s="661"/>
      <c r="R909" s="661"/>
      <c r="W909" s="661"/>
      <c r="AB909" s="661"/>
      <c r="AG909" s="661"/>
      <c r="AL909" s="661"/>
      <c r="AQ909" s="661"/>
      <c r="AV909" s="661"/>
      <c r="BA909" s="661"/>
      <c r="BF909" s="661"/>
      <c r="BK909" s="661"/>
      <c r="BP909" s="661"/>
      <c r="BU909" s="661"/>
      <c r="BZ909" s="661"/>
      <c r="CE909" s="661"/>
      <c r="CH909" s="847">
        <f>AVERAGE(CG851:CH851)*$C909/(1/(CH$4/$BZ$4))</f>
        <v>3.2869999999999999</v>
      </c>
      <c r="CI909" s="847">
        <f>AVERAGE(CH851:CI851)*$C909/(1/(CI$4/$BZ$4))</f>
        <v>3.2727499999999998</v>
      </c>
      <c r="CJ909" s="661">
        <f>SUM(CF909:CI909)</f>
        <v>6.5597499999999993</v>
      </c>
      <c r="CK909" s="847">
        <f t="shared" si="1864"/>
        <v>3.2230815217391302</v>
      </c>
      <c r="CL909" s="847">
        <f t="shared" si="1864"/>
        <v>3.2277798913043476</v>
      </c>
      <c r="CM909" s="847">
        <f t="shared" si="1864"/>
        <v>3.2679999999999998</v>
      </c>
      <c r="CN909" s="847">
        <f t="shared" si="1864"/>
        <v>3.2679999999999998</v>
      </c>
      <c r="CO909" s="661">
        <f>SUM(CK909:CN909)</f>
        <v>12.986861413043478</v>
      </c>
      <c r="CP909" s="847">
        <f t="shared" si="1865"/>
        <v>3.1969565217391307</v>
      </c>
      <c r="CQ909" s="847">
        <f t="shared" si="1865"/>
        <v>3.232478260869565</v>
      </c>
      <c r="CR909" s="3798">
        <f t="shared" si="1865"/>
        <v>3.2679999999999998</v>
      </c>
      <c r="CS909" s="847">
        <f t="shared" si="1865"/>
        <v>3.2679999999999998</v>
      </c>
      <c r="CT909" s="661">
        <f>SUM(CP909:CS909)</f>
        <v>12.965434782608696</v>
      </c>
      <c r="CU909" s="847">
        <f t="shared" si="1866"/>
        <v>3.1969565217391307</v>
      </c>
      <c r="CV909" s="847">
        <f t="shared" si="1867"/>
        <v>3.232478260869565</v>
      </c>
      <c r="CW909" s="847">
        <f t="shared" si="1868"/>
        <v>3.2679999999999998</v>
      </c>
      <c r="CX909" s="847">
        <f t="shared" si="1869"/>
        <v>3.2679999999999998</v>
      </c>
      <c r="CY909" s="2293">
        <f>SUM(CU909:CX909)</f>
        <v>12.965434782608696</v>
      </c>
      <c r="CZ909" s="661">
        <f t="shared" si="1860"/>
        <v>13.071999999999999</v>
      </c>
      <c r="DA909" s="661">
        <f t="shared" si="1860"/>
        <v>13.071999999999999</v>
      </c>
      <c r="DD909" s="2378"/>
      <c r="DE909" s="2293"/>
      <c r="DF909" s="2293"/>
      <c r="DG909" s="2293"/>
      <c r="DH909" s="2293"/>
      <c r="DI909" s="2293"/>
      <c r="DJ909" s="2293"/>
      <c r="DK909" s="2293"/>
      <c r="DL909" s="2293"/>
      <c r="DM909" s="2293"/>
      <c r="DN909" s="2293"/>
      <c r="DO909" s="2293"/>
      <c r="DP909" s="2293"/>
      <c r="DQ909" s="2293"/>
      <c r="DR909" s="2293"/>
      <c r="DS909" s="2293"/>
      <c r="DT909" s="2293"/>
      <c r="DU909" s="2293"/>
      <c r="DV909" s="2293"/>
      <c r="DW909" s="2293"/>
      <c r="DX909" s="2293"/>
      <c r="DY909" s="2293"/>
      <c r="EK909"/>
      <c r="EL909"/>
      <c r="EM909" s="847"/>
    </row>
    <row r="910" spans="1:143" ht="12.75" customHeight="1" x14ac:dyDescent="0.2">
      <c r="A910" s="2378" t="s">
        <v>2440</v>
      </c>
      <c r="C910" s="2939">
        <v>2.3E-2</v>
      </c>
      <c r="F910" s="855"/>
      <c r="M910" s="661"/>
      <c r="R910" s="661"/>
      <c r="W910" s="661"/>
      <c r="AB910" s="661"/>
      <c r="AG910" s="661"/>
      <c r="AL910" s="661"/>
      <c r="AQ910" s="661"/>
      <c r="AV910" s="661"/>
      <c r="BA910" s="661"/>
      <c r="BF910" s="661"/>
      <c r="BK910" s="661"/>
      <c r="BP910" s="661"/>
      <c r="BU910" s="661"/>
      <c r="BZ910" s="661"/>
      <c r="CE910" s="661"/>
      <c r="CJ910" s="661"/>
      <c r="CL910" s="847">
        <f t="shared" ref="CL910:CN911" si="1870">AVERAGE(CK852:CL852)*$C910/(1/(CL$4/$BZ$4))</f>
        <v>4.2144374999999998</v>
      </c>
      <c r="CM910" s="847">
        <f t="shared" si="1870"/>
        <v>4.2636250000000002</v>
      </c>
      <c r="CN910" s="847">
        <f t="shared" si="1870"/>
        <v>4.2664999999999997</v>
      </c>
      <c r="CO910" s="661">
        <f>SUM(CK910:CN910)</f>
        <v>12.744562500000001</v>
      </c>
      <c r="CP910" s="847">
        <f t="shared" si="1865"/>
        <v>4.1765625000000002</v>
      </c>
      <c r="CQ910" s="847">
        <f t="shared" si="1865"/>
        <v>4.2258125</v>
      </c>
      <c r="CR910" s="3798">
        <f t="shared" si="1865"/>
        <v>4.2722499999999997</v>
      </c>
      <c r="CS910" s="847">
        <f t="shared" si="1865"/>
        <v>4.2722499999999997</v>
      </c>
      <c r="CT910" s="661">
        <f>SUM(CP910:CS910)</f>
        <v>16.946874999999999</v>
      </c>
      <c r="CU910" s="847">
        <f t="shared" si="1866"/>
        <v>4.1793750000000003</v>
      </c>
      <c r="CV910" s="847">
        <f t="shared" si="1867"/>
        <v>4.2258125</v>
      </c>
      <c r="CW910" s="847">
        <f t="shared" si="1868"/>
        <v>4.2722499999999997</v>
      </c>
      <c r="CX910" s="847">
        <f t="shared" si="1869"/>
        <v>4.2722499999999997</v>
      </c>
      <c r="CY910" s="2293">
        <f>SUM(CU910:CX910)</f>
        <v>16.9496875</v>
      </c>
      <c r="CZ910" s="661">
        <f t="shared" si="1860"/>
        <v>17.088999999999999</v>
      </c>
      <c r="DA910" s="661">
        <f t="shared" si="1860"/>
        <v>17.088999999999999</v>
      </c>
      <c r="DD910" s="2378"/>
      <c r="DE910" s="2293"/>
      <c r="DF910" s="2293"/>
      <c r="DG910" s="2293"/>
      <c r="DH910" s="2293"/>
      <c r="DI910" s="2293"/>
      <c r="DJ910" s="2293"/>
      <c r="DK910" s="2293"/>
      <c r="DL910" s="2293"/>
      <c r="DM910" s="2293"/>
      <c r="DN910" s="2293"/>
      <c r="DO910" s="2293"/>
      <c r="DP910" s="2293"/>
      <c r="DQ910" s="2293"/>
      <c r="DR910" s="2293"/>
      <c r="DS910" s="2293"/>
      <c r="DT910" s="2293"/>
      <c r="DU910" s="2293"/>
      <c r="DV910" s="2293"/>
      <c r="DW910" s="2293"/>
      <c r="DX910" s="2293"/>
      <c r="DY910" s="2293"/>
      <c r="EK910"/>
      <c r="EL910"/>
      <c r="EM910" s="847"/>
    </row>
    <row r="911" spans="1:143" ht="12.75" customHeight="1" x14ac:dyDescent="0.2">
      <c r="A911" s="2378" t="s">
        <v>2441</v>
      </c>
      <c r="C911" s="2939">
        <v>3.125E-2</v>
      </c>
      <c r="F911" s="855"/>
      <c r="M911" s="661"/>
      <c r="R911" s="661"/>
      <c r="W911" s="661"/>
      <c r="AB911" s="661"/>
      <c r="AG911" s="661"/>
      <c r="AL911" s="661"/>
      <c r="AQ911" s="661"/>
      <c r="AV911" s="661"/>
      <c r="BA911" s="661"/>
      <c r="BF911" s="661"/>
      <c r="BK911" s="661"/>
      <c r="BP911" s="661"/>
      <c r="BU911" s="661"/>
      <c r="BZ911" s="661"/>
      <c r="CE911" s="661"/>
      <c r="CJ911" s="661"/>
      <c r="CL911" s="847">
        <f t="shared" si="1870"/>
        <v>5.7338654891304346</v>
      </c>
      <c r="CM911" s="847">
        <f t="shared" si="1870"/>
        <v>5.796875</v>
      </c>
      <c r="CN911" s="847">
        <f t="shared" si="1870"/>
        <v>5.796875</v>
      </c>
      <c r="CO911" s="661">
        <f>SUM(CK911:CN911)</f>
        <v>17.327615489130434</v>
      </c>
      <c r="CP911" s="847">
        <f t="shared" si="1865"/>
        <v>5.6708559782608701</v>
      </c>
      <c r="CQ911" s="847">
        <f t="shared" si="1865"/>
        <v>5.7338654891304346</v>
      </c>
      <c r="CR911" s="3798">
        <f t="shared" si="1865"/>
        <v>5.80078125</v>
      </c>
      <c r="CS911" s="847">
        <f t="shared" si="1865"/>
        <v>5.8046875</v>
      </c>
      <c r="CT911" s="661">
        <f>SUM(CP911:CS911)</f>
        <v>23.010190217391305</v>
      </c>
      <c r="CU911" s="847">
        <f t="shared" si="1866"/>
        <v>5.6784986413043486</v>
      </c>
      <c r="CV911" s="847">
        <f t="shared" si="1867"/>
        <v>5.7415930706521738</v>
      </c>
      <c r="CW911" s="847">
        <f t="shared" si="1868"/>
        <v>5.8046875</v>
      </c>
      <c r="CX911" s="847">
        <f t="shared" si="1869"/>
        <v>5.8046875</v>
      </c>
      <c r="CY911" s="2293">
        <f>SUM(CU911:CX911)</f>
        <v>23.029466711956523</v>
      </c>
      <c r="CZ911" s="661">
        <f t="shared" si="1860"/>
        <v>23.21875</v>
      </c>
      <c r="DA911" s="661">
        <f t="shared" si="1860"/>
        <v>23.21875</v>
      </c>
      <c r="DD911" s="2378"/>
      <c r="DE911" s="2293"/>
      <c r="DF911" s="2293"/>
      <c r="DG911" s="2293"/>
      <c r="DH911" s="2293"/>
      <c r="DI911" s="2293"/>
      <c r="DJ911" s="2293"/>
      <c r="DK911" s="2293"/>
      <c r="DL911" s="2293"/>
      <c r="DM911" s="2293"/>
      <c r="DN911" s="2293"/>
      <c r="DO911" s="2293"/>
      <c r="DP911" s="2293"/>
      <c r="DQ911" s="2293"/>
      <c r="DR911" s="2293"/>
      <c r="DS911" s="2293"/>
      <c r="DT911" s="2293"/>
      <c r="DU911" s="2293"/>
      <c r="DV911" s="2293"/>
      <c r="DW911" s="2293"/>
      <c r="DX911" s="2293"/>
      <c r="DY911" s="2293"/>
      <c r="EK911"/>
      <c r="EL911"/>
      <c r="EM911" s="847"/>
    </row>
    <row r="912" spans="1:143" ht="12.75" hidden="1" customHeight="1" outlineLevel="1" x14ac:dyDescent="0.2">
      <c r="A912" s="1434" t="s">
        <v>2015</v>
      </c>
      <c r="C912" s="2939"/>
      <c r="F912" s="855"/>
      <c r="I912" s="847">
        <f>SUM(I873:I874)</f>
        <v>0</v>
      </c>
      <c r="J912" s="847">
        <f>SUM(J873:J874)</f>
        <v>0</v>
      </c>
      <c r="K912" s="847">
        <f>SUM(K873:K874)</f>
        <v>0</v>
      </c>
      <c r="L912" s="847">
        <f>SUM(L873:L874)</f>
        <v>0</v>
      </c>
      <c r="M912" s="661">
        <f>SUM(I912:L912)</f>
        <v>0</v>
      </c>
      <c r="N912" s="847">
        <f>SUM(N873:N874)</f>
        <v>0</v>
      </c>
      <c r="O912" s="847">
        <f>SUM(O873:O874)</f>
        <v>0.35048076923076926</v>
      </c>
      <c r="P912" s="847">
        <f>SUM(P873:P874)</f>
        <v>0.70182692307692307</v>
      </c>
      <c r="Q912" s="847">
        <f>SUM(Q873:Q874)</f>
        <v>0.93807692307692314</v>
      </c>
      <c r="R912" s="661">
        <f>SUM(N912:Q912)</f>
        <v>1.9903846153846154</v>
      </c>
      <c r="S912" s="847">
        <f>SUM(S873:S874)</f>
        <v>0.69113207547169797</v>
      </c>
      <c r="T912" s="847">
        <f>SUM(T873:T874)</f>
        <v>0.39735849056603767</v>
      </c>
      <c r="U912" s="847">
        <f>SUM(U873:U874)</f>
        <v>0.10358490566037734</v>
      </c>
      <c r="V912" s="847">
        <f>SUM(V873:V874)</f>
        <v>0.14674528301886791</v>
      </c>
      <c r="W912" s="661">
        <f>SUM(S912:V912)</f>
        <v>1.3388207547169806</v>
      </c>
      <c r="X912" s="847">
        <f>SUM(X873:X874)</f>
        <v>0.10443396226415093</v>
      </c>
      <c r="Y912" s="847">
        <f>SUM(Y873:Y874)</f>
        <v>0.10528301886792452</v>
      </c>
      <c r="Z912" s="847">
        <f>SUM(Z873:Z874)</f>
        <v>0.10730769230769231</v>
      </c>
      <c r="AA912" s="847">
        <f>SUM(AA873:AA874)</f>
        <v>0.14307692307692307</v>
      </c>
      <c r="AB912" s="661">
        <f>SUM(X912:AA912)</f>
        <v>0.4601015965166908</v>
      </c>
      <c r="AC912" s="847">
        <f>SUM(AC873:AC874)</f>
        <v>0.10730769230769231</v>
      </c>
      <c r="AD912" s="847">
        <f>SUM(AD873:AD874)</f>
        <v>0</v>
      </c>
      <c r="AE912" s="847">
        <f>SUM(AE873:AE874)</f>
        <v>0</v>
      </c>
      <c r="AF912" s="847">
        <f>SUM(AF873:AF874)</f>
        <v>0</v>
      </c>
      <c r="AG912" s="661">
        <f>SUM(AC912:AF912)</f>
        <v>0.10730769230769231</v>
      </c>
      <c r="AH912" s="847">
        <f>SUM(AH873:AH874)</f>
        <v>0</v>
      </c>
      <c r="AI912" s="847">
        <f>SUM(AI873:AI874)</f>
        <v>0</v>
      </c>
      <c r="AJ912" s="847">
        <f>SUM(AJ873:AJ874)</f>
        <v>0</v>
      </c>
      <c r="AK912" s="847">
        <f>SUM(AK873:AK874)</f>
        <v>0</v>
      </c>
      <c r="AL912" s="661">
        <f>SUM(AH912:AK912)</f>
        <v>0</v>
      </c>
      <c r="AM912" s="847">
        <f>SUM(AM873:AM874)</f>
        <v>0</v>
      </c>
      <c r="AN912" s="847">
        <f>SUM(AN873:AN874)</f>
        <v>0</v>
      </c>
      <c r="AO912" s="847">
        <f>SUM(AO873:AO874)</f>
        <v>0</v>
      </c>
      <c r="AP912" s="847">
        <f>SUM(AP873:AP874)</f>
        <v>0</v>
      </c>
      <c r="AQ912" s="661">
        <f>SUM(AM912:AP912)</f>
        <v>0</v>
      </c>
      <c r="AR912" s="847">
        <f>SUM(AR873:AR874)</f>
        <v>0</v>
      </c>
      <c r="AS912" s="847">
        <f>SUM(AS873:AS874)</f>
        <v>0</v>
      </c>
      <c r="AT912" s="847">
        <f>SUM(AT873:AT874)</f>
        <v>0</v>
      </c>
      <c r="AU912" s="847">
        <f>SUM(AU873:AU874)</f>
        <v>0</v>
      </c>
      <c r="AV912" s="661">
        <f>SUM(AR912:AU912)</f>
        <v>0</v>
      </c>
      <c r="AW912" s="847">
        <f>SUM(AW873:AW874)</f>
        <v>0</v>
      </c>
      <c r="AX912" s="847">
        <f>SUM(AX873:AX874)</f>
        <v>0</v>
      </c>
      <c r="AY912" s="847">
        <f>SUM(AY873:AY874)</f>
        <v>0</v>
      </c>
      <c r="AZ912" s="847">
        <f>SUM(AZ873:AZ874)</f>
        <v>0</v>
      </c>
      <c r="BA912" s="661">
        <f>SUM(AW912:AZ912)</f>
        <v>0</v>
      </c>
      <c r="BB912" s="847">
        <f>SUM(BB873:BB874)</f>
        <v>0</v>
      </c>
      <c r="BC912" s="847">
        <f>SUM(BC873:BC874)</f>
        <v>0</v>
      </c>
      <c r="BD912" s="847">
        <f>SUM(BD873:BD874)</f>
        <v>0</v>
      </c>
      <c r="BE912" s="847">
        <f>SUM(BE873:BE874)</f>
        <v>0</v>
      </c>
      <c r="BF912" s="661">
        <f>SUM(BB912:BE912)</f>
        <v>0</v>
      </c>
      <c r="BG912" s="847">
        <f>SUM(BG873:BG874)</f>
        <v>0</v>
      </c>
      <c r="BH912" s="847">
        <f>SUM(BH873:BH874)</f>
        <v>0</v>
      </c>
      <c r="BI912" s="847">
        <f>SUM(BI873:BI874)</f>
        <v>0</v>
      </c>
      <c r="BJ912" s="847">
        <f>SUM(BJ873:BJ874)</f>
        <v>0</v>
      </c>
      <c r="BK912" s="661">
        <f>SUM(BG912:BJ912)</f>
        <v>0</v>
      </c>
      <c r="BL912" s="847">
        <f>SUM(BL873:BL874)</f>
        <v>0</v>
      </c>
      <c r="BM912" s="847">
        <f>SUM(BM873:BM874)</f>
        <v>0</v>
      </c>
      <c r="BN912" s="847">
        <f>SUM(BN873:BN874)</f>
        <v>0</v>
      </c>
      <c r="BO912" s="847">
        <f>SUM(BO873:BO874)</f>
        <v>0</v>
      </c>
      <c r="BP912" s="661">
        <f>SUM(BL912:BO912)</f>
        <v>0</v>
      </c>
      <c r="BQ912" s="847">
        <f>SUM(BQ873:BQ874)</f>
        <v>0</v>
      </c>
      <c r="BR912" s="847">
        <f>SUM(BR873:BR874)</f>
        <v>0</v>
      </c>
      <c r="BS912" s="847">
        <f>SUM(BS873:BS874)</f>
        <v>0</v>
      </c>
      <c r="BT912" s="847">
        <f>SUM(BT873:BT874)</f>
        <v>0</v>
      </c>
      <c r="BU912" s="661">
        <f>SUM(BQ912:BT912)</f>
        <v>0</v>
      </c>
      <c r="BV912" s="847">
        <f>SUM(BV873:BV874)</f>
        <v>0</v>
      </c>
      <c r="BW912" s="847">
        <f>SUM(BW873:BW874)</f>
        <v>0</v>
      </c>
      <c r="BX912" s="847">
        <f>SUM(BX873:BX874)</f>
        <v>0</v>
      </c>
      <c r="BY912" s="847">
        <f>SUM(BY873:BY874)</f>
        <v>0</v>
      </c>
      <c r="BZ912" s="661">
        <f>SUM(BV912:BY912)</f>
        <v>0</v>
      </c>
      <c r="CA912" s="973">
        <f>SUM(CA873:CA874)</f>
        <v>0</v>
      </c>
      <c r="CB912" s="847">
        <f>SUM(CB873:CB874)</f>
        <v>0</v>
      </c>
      <c r="CC912" s="847">
        <f>SUM(CC873:CC874)</f>
        <v>0</v>
      </c>
      <c r="CD912" s="847">
        <f>SUM(CD873:CD874)</f>
        <v>0</v>
      </c>
      <c r="CE912" s="661">
        <f t="shared" si="1861"/>
        <v>0</v>
      </c>
      <c r="CF912" s="847">
        <f>SUM(CF873:CF874)</f>
        <v>0</v>
      </c>
      <c r="CG912" s="847">
        <f>SUM(CG873:CG874)</f>
        <v>0</v>
      </c>
      <c r="CH912" s="847">
        <f>SUM(CH873:CH874)</f>
        <v>0</v>
      </c>
      <c r="CI912" s="1431">
        <f>SUM(CI873:CI874)</f>
        <v>0</v>
      </c>
      <c r="CJ912" s="661">
        <f t="shared" si="1850"/>
        <v>0</v>
      </c>
      <c r="CK912" s="847">
        <f>SUM(CK873:CK874)</f>
        <v>0</v>
      </c>
      <c r="CL912" s="847">
        <f>SUM(CL873:CL874)</f>
        <v>0</v>
      </c>
      <c r="CM912" s="847">
        <f>SUM(CM873:CM874)</f>
        <v>0</v>
      </c>
      <c r="CN912" s="1431">
        <f>SUM(CN873:CN874)</f>
        <v>0</v>
      </c>
      <c r="CO912" s="661">
        <f t="shared" si="1851"/>
        <v>0</v>
      </c>
      <c r="CP912" s="847">
        <f>SUM(CP873:CP874)</f>
        <v>0</v>
      </c>
      <c r="CQ912" s="847">
        <f>SUM(CQ873:CQ874)</f>
        <v>0</v>
      </c>
      <c r="CR912" s="3798">
        <f>SUM(CR873:CR874)</f>
        <v>0</v>
      </c>
      <c r="CS912" s="847">
        <f>SUM(CS873:CS874)</f>
        <v>0</v>
      </c>
      <c r="CT912" s="661">
        <f t="shared" si="1852"/>
        <v>0</v>
      </c>
      <c r="CU912" s="847">
        <f t="shared" ref="CU912:DA912" si="1871">SUM(CU873:CU874)</f>
        <v>0</v>
      </c>
      <c r="CV912" s="847">
        <f t="shared" si="1871"/>
        <v>0</v>
      </c>
      <c r="CW912" s="847">
        <f t="shared" si="1871"/>
        <v>0</v>
      </c>
      <c r="CX912" s="847">
        <f t="shared" si="1871"/>
        <v>0</v>
      </c>
      <c r="CY912" s="2293">
        <f t="shared" si="1853"/>
        <v>0</v>
      </c>
      <c r="CZ912" s="661">
        <f t="shared" si="1871"/>
        <v>0</v>
      </c>
      <c r="DA912" s="661">
        <f t="shared" si="1871"/>
        <v>0</v>
      </c>
      <c r="DD912" s="2308" t="s">
        <v>2015</v>
      </c>
      <c r="DE912" s="2293">
        <f t="shared" si="1797"/>
        <v>0</v>
      </c>
      <c r="DF912" s="2293">
        <f t="shared" si="1798"/>
        <v>1.9903846153846154</v>
      </c>
      <c r="DG912" s="2293">
        <f t="shared" si="1799"/>
        <v>1.3388207547169806</v>
      </c>
      <c r="DH912" s="2293">
        <f t="shared" si="1800"/>
        <v>0.4601015965166908</v>
      </c>
      <c r="DI912" s="2293">
        <f t="shared" si="1801"/>
        <v>0.10730769230769231</v>
      </c>
      <c r="DJ912" s="2293">
        <f t="shared" si="1802"/>
        <v>0</v>
      </c>
      <c r="DK912" s="2293">
        <f t="shared" si="1803"/>
        <v>0</v>
      </c>
      <c r="DL912" s="2293">
        <f t="shared" si="1804"/>
        <v>0</v>
      </c>
      <c r="DM912" s="2293">
        <f t="shared" si="1805"/>
        <v>0</v>
      </c>
      <c r="DN912" s="2293">
        <f t="shared" si="1806"/>
        <v>0</v>
      </c>
      <c r="DO912" s="2293">
        <f t="shared" si="1807"/>
        <v>0</v>
      </c>
      <c r="DP912" s="2293">
        <f t="shared" si="1808"/>
        <v>0</v>
      </c>
      <c r="DQ912" s="2293">
        <f t="shared" si="1809"/>
        <v>0</v>
      </c>
      <c r="DR912" s="2293">
        <f t="shared" si="1810"/>
        <v>0</v>
      </c>
      <c r="DS912" s="2293">
        <f t="shared" si="1811"/>
        <v>0</v>
      </c>
      <c r="DT912" s="2293">
        <f t="shared" si="1812"/>
        <v>0</v>
      </c>
      <c r="DU912" s="2293">
        <f t="shared" si="1813"/>
        <v>0</v>
      </c>
      <c r="DV912" s="2293">
        <f t="shared" si="1814"/>
        <v>0</v>
      </c>
      <c r="DW912" s="2293">
        <f t="shared" si="1815"/>
        <v>0</v>
      </c>
      <c r="DX912" s="2293">
        <f t="shared" si="1816"/>
        <v>0</v>
      </c>
      <c r="DY912" s="2293">
        <f t="shared" si="1817"/>
        <v>0</v>
      </c>
      <c r="EK912"/>
      <c r="EL912"/>
      <c r="EM912" s="847"/>
    </row>
    <row r="913" spans="1:148" ht="12.75" hidden="1" customHeight="1" outlineLevel="1" x14ac:dyDescent="0.2">
      <c r="A913" s="1434" t="s">
        <v>753</v>
      </c>
      <c r="C913" s="2939">
        <v>0</v>
      </c>
      <c r="F913" s="855"/>
      <c r="I913" s="847">
        <f>AVERAGE(C774:I774)*$C913/(1/(I4/$M$4))</f>
        <v>0</v>
      </c>
      <c r="J913" s="847">
        <f>AVERAGE(I774:J774)*$C913/(1/(J4/$M$4))</f>
        <v>0</v>
      </c>
      <c r="K913" s="847">
        <f>AVERAGE(J774:K774)*$C913/(1/(K4/$M$4))</f>
        <v>0</v>
      </c>
      <c r="L913" s="847">
        <f>AVERAGE(K774:L774)*$C913/(1/(L4/$M$4))</f>
        <v>0</v>
      </c>
      <c r="M913" s="661">
        <f>SUM(I913:L913)</f>
        <v>0</v>
      </c>
      <c r="N913" s="847">
        <f>AVERAGE(M774:N774)*$C913/(1/(N4/$R$4))</f>
        <v>0</v>
      </c>
      <c r="O913" s="847">
        <f>AVERAGE(N774:O774)*$C913/(1/(O4/$R$4))</f>
        <v>0</v>
      </c>
      <c r="P913" s="847">
        <f>AVERAGE(O774:P774)*$C913/(1/(P4/$R$4))</f>
        <v>0</v>
      </c>
      <c r="Q913" s="847">
        <f>AVERAGE(P774:Q774)*$C913/(1/(Q4/$R$4))</f>
        <v>0</v>
      </c>
      <c r="R913" s="661">
        <f>SUM(N913:Q913)</f>
        <v>0</v>
      </c>
      <c r="S913" s="847">
        <f>AVERAGE(R774:S774)*$C913/(1/(S4/$W$4))</f>
        <v>0</v>
      </c>
      <c r="T913" s="847">
        <f>AVERAGE(S774:T774)*$C913/(1/(T4/$W$4))</f>
        <v>0</v>
      </c>
      <c r="U913" s="847">
        <f>AVERAGE(T774:U774)*$C913/(1/(U4/$W$4))</f>
        <v>0</v>
      </c>
      <c r="V913" s="847">
        <f>AVERAGE(U774:V774)*$C913/(1/(V4/$W$4))</f>
        <v>0</v>
      </c>
      <c r="W913" s="661">
        <f>SUM(S913:V913)</f>
        <v>0</v>
      </c>
      <c r="X913" s="847">
        <f>AVERAGE(W774:X774)*$C913/(1/(X4/$AB$4))</f>
        <v>0</v>
      </c>
      <c r="Y913" s="847">
        <f>AVERAGE(X774:Y774)*$C913/(1/(Y4/$AB$4))</f>
        <v>0</v>
      </c>
      <c r="Z913" s="847">
        <f>AVERAGE(Y774:Z774)*$C913/(1/(Z4/$AB$4))</f>
        <v>0</v>
      </c>
      <c r="AA913" s="847">
        <f>AVERAGE(Z774:AA774)*$C913/(1/(AA4/$AB$4))</f>
        <v>0</v>
      </c>
      <c r="AB913" s="661">
        <f>SUM(X913:AA913)</f>
        <v>0</v>
      </c>
      <c r="AC913" s="847">
        <f>AVERAGE(AB774:AC774)*$C913/(1/(AC4/$AG$4))</f>
        <v>0</v>
      </c>
      <c r="AD913" s="847">
        <f>AVERAGE(AC774:AD774)*$C913/(1/(AD4/$AG$4))</f>
        <v>0</v>
      </c>
      <c r="AE913" s="847">
        <f>AVERAGE(AD774:AE774)*$C913/(1/(AE4/$AG$4))</f>
        <v>0</v>
      </c>
      <c r="AF913" s="847">
        <f>AVERAGE(AE774:AF774)*$C913/(1/(AF4/$AG$4))</f>
        <v>0</v>
      </c>
      <c r="AG913" s="661">
        <f>SUM(AC913:AF913)</f>
        <v>0</v>
      </c>
      <c r="AH913" s="847">
        <f>AVERAGE(AG774:AH774)*$C913/(1/(AH4/$AL$4))</f>
        <v>0</v>
      </c>
      <c r="AI913" s="847">
        <f>AVERAGE(AH774:AI774)*$C913/(1/(AI4/$AL$4))</f>
        <v>0</v>
      </c>
      <c r="AJ913" s="847">
        <f>AVERAGE(AI774:AJ774)*$C913/(1/(AJ4/$AL$4))</f>
        <v>0</v>
      </c>
      <c r="AK913" s="847">
        <f>AVERAGE(AJ774:AK774)*$C913/(1/(AK4/$AL$4))</f>
        <v>0</v>
      </c>
      <c r="AL913" s="661">
        <f>SUM(AH913:AK913)</f>
        <v>0</v>
      </c>
      <c r="AM913" s="847">
        <f>AVERAGE(AL774:AM774)*$C913/(1/(AM4/$AQ$4))</f>
        <v>0</v>
      </c>
      <c r="AN913" s="847">
        <f>AVERAGE(AM774:AN774)*$C913/(1/(AN4/$AQ$4))</f>
        <v>0</v>
      </c>
      <c r="AO913" s="847">
        <f>AVERAGE(AN774:AO774)*$C913/(1/(AO4/$AQ$4))</f>
        <v>0</v>
      </c>
      <c r="AP913" s="847">
        <f>AVERAGE(AO774:AP774)*$C913/(1/(AP4/$AQ$4))</f>
        <v>0</v>
      </c>
      <c r="AQ913" s="661">
        <f>SUM(AM913:AP913)</f>
        <v>0</v>
      </c>
      <c r="AR913" s="847">
        <f>AVERAGE(AQ774:AR774)*$C913/(1/(AR4/$AV$4))</f>
        <v>0</v>
      </c>
      <c r="AS913" s="847">
        <f>AVERAGE(AR774:AS774)*$C913/(1/(AS4/$AV$4))</f>
        <v>0</v>
      </c>
      <c r="AT913" s="847">
        <f>AVERAGE(AS774:AT774)*$C913/(1/(AT4/$AV$4))</f>
        <v>0</v>
      </c>
      <c r="AU913" s="847">
        <f>AVERAGE(AT774:AU774)*$C913/(1/(AU4/$AV$4))</f>
        <v>0</v>
      </c>
      <c r="AV913" s="661">
        <f>SUM(AR913:AU913)</f>
        <v>0</v>
      </c>
      <c r="AW913" s="847">
        <f>AVERAGE(AV774:AW774)*$C913/(1/(AW4/$BA$4))</f>
        <v>0</v>
      </c>
      <c r="AX913" s="847">
        <f>AVERAGE(AW774:AX774)*$C913/(1/(AX4/$BA$4))</f>
        <v>0</v>
      </c>
      <c r="AY913" s="847">
        <f>AVERAGE(AX774:AY774)*$C913/(1/(AY4/$BA$4))</f>
        <v>0</v>
      </c>
      <c r="AZ913" s="847">
        <f>AVERAGE(AY774:AZ774)*$C913/(1/(AZ4/$BA$4))</f>
        <v>0</v>
      </c>
      <c r="BA913" s="661">
        <f>SUM(AW913:AZ913)</f>
        <v>0</v>
      </c>
      <c r="BB913" s="847">
        <f>AVERAGE(BB774:BF774)*$C913/(1/(BB4/$BF$4))</f>
        <v>0</v>
      </c>
      <c r="BC913" s="847">
        <f>AVERAGE(BB774:BC774)*$C913/(1/(BC4/$BF$4))</f>
        <v>0</v>
      </c>
      <c r="BD913" s="847">
        <f>AVERAGE(BC774:BD774)*$C913/(1/(BD4/$BF$4))</f>
        <v>0</v>
      </c>
      <c r="BE913" s="847">
        <f>AVERAGE(BD774:BE774)*$C913/(1/(BE4/$BF$4))</f>
        <v>0</v>
      </c>
      <c r="BF913" s="661">
        <f>SUM(BB913:BE913)</f>
        <v>0</v>
      </c>
      <c r="BG913" s="847">
        <f>AVERAGE(BF774:BG774)*$C913/(1/(BG4/$BK$4))</f>
        <v>0</v>
      </c>
      <c r="BH913" s="847">
        <f>AVERAGE(BG774:BH774)*$C913/(1/(BH4/$BK$4))</f>
        <v>0</v>
      </c>
      <c r="BI913" s="847">
        <f>AVERAGE(BH774:BI774)*$C913/(1/(BI4/$BK$4))</f>
        <v>0</v>
      </c>
      <c r="BJ913" s="847">
        <f>AVERAGE(BI774:BJ774)*$C913/(1/(BJ4/$BK$4))</f>
        <v>0</v>
      </c>
      <c r="BK913" s="661">
        <f>SUM(BG913:BJ913)</f>
        <v>0</v>
      </c>
      <c r="BL913" s="847">
        <f>AVERAGE(BK774:BL774)*$C913/(1/(BL4/$BK$4))</f>
        <v>0</v>
      </c>
      <c r="BM913" s="847">
        <f>AVERAGE(BL774:BM774)*$C913/(1/(BM4/$BK$4))</f>
        <v>0</v>
      </c>
      <c r="BN913" s="847">
        <f>AVERAGE(BM774:BN774)*$C913/(1/(BN4/$BK$4))</f>
        <v>0</v>
      </c>
      <c r="BO913" s="847">
        <f>AVERAGE(BN774:BO774)*$C913/(1/(BO4/$BK$4))</f>
        <v>0</v>
      </c>
      <c r="BP913" s="661">
        <f>SUM(BL913:BO913)</f>
        <v>0</v>
      </c>
      <c r="BQ913" s="847">
        <f>AVERAGE(BP774:BQ774)*$C913/(1/(BQ4/$BU$4))</f>
        <v>0</v>
      </c>
      <c r="BR913" s="847">
        <f>AVERAGE(BQ774:BR774)*$C913/(1/(BR4/$BU$4))</f>
        <v>0</v>
      </c>
      <c r="BS913" s="847">
        <f>AVERAGE(BR774:BS774)*$C913/(1/(BS4/$BU$4))</f>
        <v>0</v>
      </c>
      <c r="BT913" s="847">
        <f>AVERAGE(BS774:BT774)*$C913/(1/(BT4/$BU$4))</f>
        <v>0</v>
      </c>
      <c r="BU913" s="661">
        <f>SUM(BQ913:BT913)</f>
        <v>0</v>
      </c>
      <c r="BV913" s="847">
        <f>AVERAGE(BU774:BV774)*$C913/(1/(BV4/$BZ$4))</f>
        <v>0</v>
      </c>
      <c r="BW913" s="847">
        <f>AVERAGE(BV774:BW774)*$C913/(1/(BW4/$BZ$4))</f>
        <v>0</v>
      </c>
      <c r="BX913" s="847">
        <f>AVERAGE(BW774:BX774)*$C913/(1/(BX4/$BZ$4))</f>
        <v>0</v>
      </c>
      <c r="BY913" s="847">
        <f>AVERAGE(BX774:BY774)*$C913/(1/(BY4/$BZ$4))</f>
        <v>0</v>
      </c>
      <c r="BZ913" s="661">
        <f>SUM(BV913:BY913)</f>
        <v>0</v>
      </c>
      <c r="CA913" s="973">
        <f>AVERAGE(BZ774:CA774)*$C913/(1/(CA4/$CE$4))</f>
        <v>0</v>
      </c>
      <c r="CB913" s="847">
        <f>AVERAGE(CA774:CB774)*$C913/(1/(CB4/$BK$4))</f>
        <v>0</v>
      </c>
      <c r="CC913" s="847">
        <f>AVERAGE(CB774:CC774)*$C913/(1/(CC4/$BK$4))</f>
        <v>0</v>
      </c>
      <c r="CD913" s="847">
        <f>AVERAGE(CC774:CD774)*$C913/(1/(CD4/$BK$4))</f>
        <v>0</v>
      </c>
      <c r="CE913" s="661">
        <f t="shared" si="1861"/>
        <v>0</v>
      </c>
      <c r="CF913" s="847">
        <f>AVERAGE(CE774:CF774)*$C913/(1/(CF4/$BK$4))</f>
        <v>0</v>
      </c>
      <c r="CG913" s="847">
        <f>AVERAGE(CF774:CG774)*$C913/(1/(CG4/$BK$4))</f>
        <v>0</v>
      </c>
      <c r="CH913" s="847">
        <f>AVERAGE(CG774:CH774)*$C913/(1/(CH4/$BK$4))</f>
        <v>0</v>
      </c>
      <c r="CI913" s="1431">
        <f>AVERAGE(CH774:CI774)*$C913/(1/(CI4/$BK$4))</f>
        <v>0</v>
      </c>
      <c r="CJ913" s="661">
        <f t="shared" si="1850"/>
        <v>0</v>
      </c>
      <c r="CK913" s="847">
        <f>AVERAGE(CJ774:CK774)*$C913/(1/(CK4/$BK$4))</f>
        <v>0</v>
      </c>
      <c r="CL913" s="847">
        <f>AVERAGE(CK774:CL774)*$C913/(1/(CL4/$BK$4))</f>
        <v>0</v>
      </c>
      <c r="CM913" s="847">
        <f>AVERAGE(CL774:CM774)*$C913/(1/(CM4/$BK$4))</f>
        <v>0</v>
      </c>
      <c r="CN913" s="1431">
        <f>AVERAGE(CM774:CN774)*$C913/(1/(CN4/$BK$4))</f>
        <v>0</v>
      </c>
      <c r="CO913" s="661">
        <f t="shared" si="1851"/>
        <v>0</v>
      </c>
      <c r="CP913" s="847">
        <f>AVERAGE(CO774:CP774)*$C913/(1/(CP4/$BK$4))</f>
        <v>0</v>
      </c>
      <c r="CQ913" s="847">
        <f>AVERAGE(CP774:CQ774)*$C913/(1/(CQ4/$BK$4))</f>
        <v>0</v>
      </c>
      <c r="CR913" s="3798">
        <f>AVERAGE(CQ774:CR774)*$C913/(1/(CR4/$BK$4))</f>
        <v>0</v>
      </c>
      <c r="CS913" s="847">
        <f>AVERAGE(CR774:CS774)*$C913/(1/(CS4/$BK$4))</f>
        <v>0</v>
      </c>
      <c r="CT913" s="661">
        <f t="shared" si="1852"/>
        <v>0</v>
      </c>
      <c r="CU913" s="847">
        <f>AVERAGE(CT774:CU774)*$C913/(1/(CU4/$BK$4))</f>
        <v>0</v>
      </c>
      <c r="CV913" s="847">
        <f>AVERAGE(CU774:CV774)*$C913/(1/(CV4/$BK$4))</f>
        <v>0</v>
      </c>
      <c r="CW913" s="847">
        <f>AVERAGE(CV774:CW774)*$C913/(1/(CW4/$BK$4))</f>
        <v>0</v>
      </c>
      <c r="CX913" s="847">
        <f>AVERAGE(CW774:CX774)*$C913/(1/(CX4/$BK$4))</f>
        <v>0</v>
      </c>
      <c r="CY913" s="2293">
        <f t="shared" si="1853"/>
        <v>0</v>
      </c>
      <c r="CZ913" s="661">
        <f>AVERAGE(CY774:CZ774)*$C913</f>
        <v>0</v>
      </c>
      <c r="DA913" s="661">
        <f>AVERAGE(CZ774:DA774)*$C913</f>
        <v>0</v>
      </c>
      <c r="DD913" s="2308" t="s">
        <v>753</v>
      </c>
      <c r="DE913" s="2293">
        <f t="shared" si="1797"/>
        <v>0</v>
      </c>
      <c r="DF913" s="2293">
        <f t="shared" si="1798"/>
        <v>0</v>
      </c>
      <c r="DG913" s="2293">
        <f t="shared" si="1799"/>
        <v>0</v>
      </c>
      <c r="DH913" s="2293">
        <f t="shared" si="1800"/>
        <v>0</v>
      </c>
      <c r="DI913" s="2293">
        <f t="shared" si="1801"/>
        <v>0</v>
      </c>
      <c r="DJ913" s="2293">
        <f t="shared" si="1802"/>
        <v>0</v>
      </c>
      <c r="DK913" s="2293">
        <f t="shared" si="1803"/>
        <v>0</v>
      </c>
      <c r="DL913" s="2293">
        <f t="shared" si="1804"/>
        <v>0</v>
      </c>
      <c r="DM913" s="2293">
        <f t="shared" si="1805"/>
        <v>0</v>
      </c>
      <c r="DN913" s="2293">
        <f t="shared" si="1806"/>
        <v>0</v>
      </c>
      <c r="DO913" s="2293">
        <f t="shared" si="1807"/>
        <v>0</v>
      </c>
      <c r="DP913" s="2293">
        <f t="shared" si="1808"/>
        <v>0</v>
      </c>
      <c r="DQ913" s="2293">
        <f t="shared" si="1809"/>
        <v>0</v>
      </c>
      <c r="DR913" s="2293">
        <f t="shared" si="1810"/>
        <v>0</v>
      </c>
      <c r="DS913" s="2293">
        <f t="shared" si="1811"/>
        <v>0</v>
      </c>
      <c r="DT913" s="2293">
        <f t="shared" si="1812"/>
        <v>0</v>
      </c>
      <c r="DU913" s="2293">
        <f t="shared" si="1813"/>
        <v>0</v>
      </c>
      <c r="DV913" s="2293">
        <f t="shared" si="1814"/>
        <v>0</v>
      </c>
      <c r="DW913" s="2293">
        <f t="shared" si="1815"/>
        <v>0</v>
      </c>
      <c r="DX913" s="2293">
        <f t="shared" si="1816"/>
        <v>0</v>
      </c>
      <c r="DY913" s="2293">
        <f t="shared" si="1817"/>
        <v>0</v>
      </c>
      <c r="EK913"/>
      <c r="EL913"/>
      <c r="EM913" s="847"/>
    </row>
    <row r="914" spans="1:148" ht="12.75" hidden="1" customHeight="1" outlineLevel="1" x14ac:dyDescent="0.2">
      <c r="A914" s="1434" t="s">
        <v>752</v>
      </c>
      <c r="C914" s="2939">
        <v>7.5999999999999998E-2</v>
      </c>
      <c r="F914" s="855"/>
      <c r="M914" s="661"/>
      <c r="R914" s="661"/>
      <c r="W914" s="661"/>
      <c r="AB914" s="661"/>
      <c r="AG914" s="661"/>
      <c r="AJ914" s="847">
        <f>AVERAGE(AI863:AJ863)*$C914/(1/(AJ4/$AL$4))</f>
        <v>1.5083076923076923</v>
      </c>
      <c r="AK914" s="847">
        <f>AVERAGE(AJ863:AK863)*$C914/(1/(AK4/$AL$4))</f>
        <v>4.0104615384615379</v>
      </c>
      <c r="AL914" s="661">
        <f>SUM(AH914:AK914)</f>
        <v>5.5187692307692302</v>
      </c>
      <c r="AM914" s="847">
        <f>AVERAGE(AL863:AM863)*$C914/(1/(AM4/$AQ$4))</f>
        <v>2.982115068493151</v>
      </c>
      <c r="AN914" s="847">
        <f>AVERAGE(AM863:AN863)*$C914/(1/(AN4/$AQ$4))</f>
        <v>2.9646246575342468</v>
      </c>
      <c r="AO914" s="847">
        <f>AVERAGE(AN863:AO863)*$C914/(1/(AO4/$AQ$4))</f>
        <v>2.9471342465753425</v>
      </c>
      <c r="AP914" s="847">
        <f>AVERAGE(AO863:AP863)*$C914/(1/(AP4/$AQ$4))</f>
        <v>3.9410684931506852</v>
      </c>
      <c r="AQ914" s="661">
        <f>SUM(AM914:AP914)</f>
        <v>12.834942465753425</v>
      </c>
      <c r="AR914" s="847">
        <f>AVERAGE(AQ863:AR863)*$C914/(1/(AR4/$AV$4))</f>
        <v>2.9121534246575345</v>
      </c>
      <c r="AS914" s="847">
        <f>AVERAGE(AR863:AS863)*$C914/(1/(AS4/$AV$4))</f>
        <v>3.8653808219178085</v>
      </c>
      <c r="AT914" s="847">
        <f>AVERAGE(AS863:AT863)*$C914/(1/(AT4/$AV$4))</f>
        <v>4.7573917808219184</v>
      </c>
      <c r="AU914" s="847">
        <f>AVERAGE(AT863:AU863)*$C914/(1/(AU4/$AV$4))</f>
        <v>5.4586739726027389</v>
      </c>
      <c r="AV914" s="661">
        <f t="shared" si="1788"/>
        <v>16.993600000000001</v>
      </c>
      <c r="AW914" s="847">
        <f>AVERAGE(AV863:AW863)*$C914/(1/(AW4/$BA$4))</f>
        <v>3.2093008130081295</v>
      </c>
      <c r="AX914" s="847">
        <f>AVERAGE(AW863:AX863)*$C914/(1/(AX4/$BA$4))</f>
        <v>2.9065365853658531</v>
      </c>
      <c r="AY914" s="847">
        <f>AVERAGE(AX863:AY863)*$C914/(1/(AY4/$BA$4))</f>
        <v>2.7854308943089428</v>
      </c>
      <c r="AZ914" s="847">
        <f>AVERAGE(AY863:AZ863)*$C914/(1/(AZ4/$BA$4))</f>
        <v>3.8797073170731706</v>
      </c>
      <c r="BA914" s="661">
        <f t="shared" si="1789"/>
        <v>12.780975609756096</v>
      </c>
      <c r="BB914" s="847">
        <f>AVERAGE(BB863:BF863)*$C914/(1/(BB4/$BF$4))</f>
        <v>0</v>
      </c>
      <c r="BC914" s="847">
        <f>AVERAGE(BB863:BC863)*$C914/(1/(BC4/$BF$4))</f>
        <v>0</v>
      </c>
      <c r="BD914" s="847">
        <f>AVERAGE(BC863:BD863)*$C914/(1/(BD4/$BF$4))</f>
        <v>0</v>
      </c>
      <c r="BE914" s="847">
        <f>AVERAGE(BD863:BE863)*$C914/(1/(BE4/$BF$4))</f>
        <v>0</v>
      </c>
      <c r="BF914" s="661">
        <f t="shared" si="1790"/>
        <v>0</v>
      </c>
      <c r="BG914" s="847">
        <f>AVERAGE(BF863:BG863)*$C914/(1/(BG4/$BK$4))</f>
        <v>0</v>
      </c>
      <c r="BH914" s="847">
        <f>AVERAGE(BG863:BH863)*$C914/(1/(BH4/$BK$4))</f>
        <v>0</v>
      </c>
      <c r="BI914" s="847">
        <f>AVERAGE(BH863:BI863)*$C914/(1/(BI4/$BK$4))</f>
        <v>0</v>
      </c>
      <c r="BJ914" s="847">
        <f>AVERAGE(BI863:BJ863)*$C914/(1/(BJ4/$BK$4))</f>
        <v>0</v>
      </c>
      <c r="BK914" s="661">
        <f t="shared" si="1791"/>
        <v>0</v>
      </c>
      <c r="BL914" s="847">
        <f>AVERAGE(BK863:BL863)*$C914/(1/(BL4/$BK$4))</f>
        <v>0</v>
      </c>
      <c r="BM914" s="847">
        <f>AVERAGE(BL863:BM863)*$C914/(1/(BM4/$BK$4))</f>
        <v>0</v>
      </c>
      <c r="BN914" s="847">
        <f>AVERAGE(BM863:BN863)*$C914/(1/(BN4/$BK$4))</f>
        <v>0</v>
      </c>
      <c r="BO914" s="847">
        <f>AVERAGE(BN863:BO863)*$C914/(1/(BO4/$BK$4))</f>
        <v>0</v>
      </c>
      <c r="BP914" s="661">
        <f t="shared" si="1792"/>
        <v>0</v>
      </c>
      <c r="BQ914" s="847">
        <f>AVERAGE(BP863:BQ863)*$C914/(1/(BQ4/$BU$4))</f>
        <v>0</v>
      </c>
      <c r="BR914" s="847">
        <f>AVERAGE(BQ863:BR863)*$C914/(1/(BR4/$BU$4))</f>
        <v>0</v>
      </c>
      <c r="BS914" s="847">
        <f>AVERAGE(BR863:BS863)*$C914/(1/(BS4/$BU$4))</f>
        <v>0</v>
      </c>
      <c r="BT914" s="847">
        <f>AVERAGE(BS863:BT863)*$C914/(1/(BT4/$BU$4))</f>
        <v>0</v>
      </c>
      <c r="BU914" s="661">
        <f t="shared" si="1832"/>
        <v>0</v>
      </c>
      <c r="BV914" s="847">
        <f>AVERAGE(BU863:BV863)*$C914/(1/(BV4/$BZ$4))</f>
        <v>0</v>
      </c>
      <c r="BW914" s="847">
        <f>AVERAGE(BV863:BW863)*$C914/(1/(BW4/$BZ$4))</f>
        <v>0</v>
      </c>
      <c r="BX914" s="847">
        <f>AVERAGE(BW863:BX863)*$C914/(1/(BX4/$BZ$4))</f>
        <v>0</v>
      </c>
      <c r="BY914" s="847">
        <f>AVERAGE(BX863:BY863)*$C914/(1/(BY4/$BZ$4))</f>
        <v>0</v>
      </c>
      <c r="BZ914" s="661">
        <f t="shared" si="1834"/>
        <v>0</v>
      </c>
      <c r="CA914" s="973">
        <f>AVERAGE(BZ863:CA863)*$C914/(1/(CA4/$CE$4))</f>
        <v>0</v>
      </c>
      <c r="CB914" s="847">
        <f>AVERAGE(CA863:CB863)*$C914/(1/(CB4/$BK$4))</f>
        <v>0</v>
      </c>
      <c r="CC914" s="847">
        <f>AVERAGE(CB863:CC863)*$C914/(1/(CC4/$BK$4))</f>
        <v>0</v>
      </c>
      <c r="CD914" s="847">
        <f>AVERAGE(CC863:CD863)*$C914/(1/(CD4/$BK$4))</f>
        <v>0</v>
      </c>
      <c r="CE914" s="661">
        <f t="shared" si="1837"/>
        <v>0</v>
      </c>
      <c r="CF914" s="847">
        <f>AVERAGE(CE863:CF863)*$C914/(1/(CF4/$BK$4))</f>
        <v>0</v>
      </c>
      <c r="CG914" s="847">
        <f>AVERAGE(CF863:CG863)*$C914/(1/(CG4/$BK$4))</f>
        <v>0</v>
      </c>
      <c r="CH914" s="847">
        <f>AVERAGE(CG863:CH863)*$C914/(1/(CH4/$BK$4))</f>
        <v>0</v>
      </c>
      <c r="CI914" s="1431">
        <f>AVERAGE(CH863:CI863)*$C914/(1/(CI4/$BK$4))</f>
        <v>0</v>
      </c>
      <c r="CJ914" s="661">
        <f t="shared" si="1850"/>
        <v>0</v>
      </c>
      <c r="CK914" s="847">
        <f>AVERAGE(CJ863:CK863)*$C914/(1/(CK4/$BK$4))</f>
        <v>0</v>
      </c>
      <c r="CL914" s="847">
        <f>AVERAGE(CK863:CL863)*$C914/(1/(CL4/$BK$4))</f>
        <v>0</v>
      </c>
      <c r="CM914" s="847">
        <f>AVERAGE(CL863:CM863)*$C914/(1/(CM4/$BK$4))</f>
        <v>0</v>
      </c>
      <c r="CN914" s="1431">
        <f>AVERAGE(CM863:CN863)*$C914/(1/(CN4/$BK$4))</f>
        <v>0</v>
      </c>
      <c r="CO914" s="661">
        <f t="shared" si="1851"/>
        <v>0</v>
      </c>
      <c r="CP914" s="847">
        <f>AVERAGE(CO863:CP863)*$C914/(1/(CP4/$BK$4))</f>
        <v>0</v>
      </c>
      <c r="CQ914" s="847">
        <f>AVERAGE(CP863:CQ863)*$C914/(1/(CQ4/$BK$4))</f>
        <v>0</v>
      </c>
      <c r="CR914" s="3798">
        <f>AVERAGE(CQ863:CR863)*$C914/(1/(CR4/$BK$4))</f>
        <v>0</v>
      </c>
      <c r="CS914" s="847">
        <f>AVERAGE(CR863:CS863)*$C914/(1/(CS4/$BK$4))</f>
        <v>0</v>
      </c>
      <c r="CT914" s="661">
        <f t="shared" si="1852"/>
        <v>0</v>
      </c>
      <c r="CU914" s="847">
        <f>AVERAGE(CT863:CU863)*$C914/(1/(CU4/$BK$4))</f>
        <v>0</v>
      </c>
      <c r="CV914" s="847">
        <f>AVERAGE(CU863:CV863)*$C914/(1/(CV4/$BK$4))</f>
        <v>0</v>
      </c>
      <c r="CW914" s="847">
        <f>AVERAGE(CV863:CW863)*$C914/(1/(CW4/$BK$4))</f>
        <v>0</v>
      </c>
      <c r="CX914" s="847">
        <f>AVERAGE(CW863:CX863)*$C914/(1/(CX4/$BK$4))</f>
        <v>0</v>
      </c>
      <c r="CY914" s="2293">
        <f t="shared" si="1853"/>
        <v>0</v>
      </c>
      <c r="CZ914" s="661">
        <f>AVERAGE(CY863:CZ863)*$C914/(1/(CZ4/$AG$4))</f>
        <v>0</v>
      </c>
      <c r="DA914" s="661">
        <f>AVERAGE(CZ863:DA863)*$C914/(1/(DA4/$AG$4))</f>
        <v>0</v>
      </c>
      <c r="DD914" s="2308" t="s">
        <v>752</v>
      </c>
      <c r="DE914" s="2293">
        <f t="shared" si="1797"/>
        <v>0</v>
      </c>
      <c r="DF914" s="2293">
        <f t="shared" si="1798"/>
        <v>0</v>
      </c>
      <c r="DG914" s="2293">
        <f t="shared" si="1799"/>
        <v>0</v>
      </c>
      <c r="DH914" s="2293">
        <f t="shared" si="1800"/>
        <v>0</v>
      </c>
      <c r="DI914" s="2293">
        <f t="shared" si="1801"/>
        <v>0</v>
      </c>
      <c r="DJ914" s="2293">
        <f t="shared" si="1802"/>
        <v>5.5187692307692302</v>
      </c>
      <c r="DK914" s="2293">
        <f t="shared" si="1803"/>
        <v>12.834942465753425</v>
      </c>
      <c r="DL914" s="2293">
        <f t="shared" si="1804"/>
        <v>16.993600000000001</v>
      </c>
      <c r="DM914" s="2293">
        <f t="shared" si="1805"/>
        <v>12.780975609756096</v>
      </c>
      <c r="DN914" s="2293">
        <f t="shared" si="1806"/>
        <v>0</v>
      </c>
      <c r="DO914" s="2293">
        <f t="shared" si="1807"/>
        <v>0</v>
      </c>
      <c r="DP914" s="2293">
        <f t="shared" si="1808"/>
        <v>0</v>
      </c>
      <c r="DQ914" s="2293">
        <f t="shared" si="1809"/>
        <v>0</v>
      </c>
      <c r="DR914" s="2293">
        <f t="shared" si="1810"/>
        <v>0</v>
      </c>
      <c r="DS914" s="2293">
        <f t="shared" si="1811"/>
        <v>0</v>
      </c>
      <c r="DT914" s="2293">
        <f t="shared" si="1812"/>
        <v>0</v>
      </c>
      <c r="DU914" s="2293">
        <f t="shared" si="1813"/>
        <v>0</v>
      </c>
      <c r="DV914" s="2293">
        <f t="shared" si="1814"/>
        <v>0</v>
      </c>
      <c r="DW914" s="2293">
        <f t="shared" si="1815"/>
        <v>0</v>
      </c>
      <c r="DX914" s="2293">
        <f t="shared" si="1816"/>
        <v>0</v>
      </c>
      <c r="DY914" s="2293">
        <f t="shared" si="1817"/>
        <v>0</v>
      </c>
      <c r="EK914"/>
      <c r="EL914"/>
      <c r="EM914" s="847"/>
    </row>
    <row r="915" spans="1:148" ht="12.75" customHeight="1" collapsed="1" x14ac:dyDescent="0.2">
      <c r="A915" s="1434" t="s">
        <v>826</v>
      </c>
      <c r="C915" s="2939">
        <v>0.06</v>
      </c>
      <c r="I915" s="847">
        <f>AVERAGE(C864:I864)*$C915/(1/(I4/$M$4))</f>
        <v>1.3569230769230769</v>
      </c>
      <c r="J915" s="847">
        <f>AVERAGE(I864:J864)*$C915/(1/(J4/$M$4))</f>
        <v>1.3569230769230769</v>
      </c>
      <c r="K915" s="847">
        <f>AVERAGE(J864:K864)*$C915/(1/(K4/$M$4))</f>
        <v>1.3569230769230769</v>
      </c>
      <c r="L915" s="847">
        <f>AVERAGE(K864:L864)*$C915/(1/(L4/$M$4))</f>
        <v>1.8092307692307692</v>
      </c>
      <c r="M915" s="661">
        <f>SUM(I915:L915)</f>
        <v>5.88</v>
      </c>
      <c r="N915" s="847">
        <f>AVERAGE(M864:N864)*$C915/(1/(N4/$R$4))</f>
        <v>1.4261538461538461</v>
      </c>
      <c r="O915" s="847">
        <f>AVERAGE(N864:O864)*$C915/(1/(O4/$R$4))</f>
        <v>1.4953846153846153</v>
      </c>
      <c r="P915" s="847">
        <f>AVERAGE(O864:P864)*$C915/(1/(P4/$R$4))</f>
        <v>1.4953846153846153</v>
      </c>
      <c r="Q915" s="847">
        <f>AVERAGE(P864:Q864)*$C915/(1/(Q4/$R$4))</f>
        <v>1.9938461538461536</v>
      </c>
      <c r="R915" s="661">
        <f>SUM(N915:Q915)</f>
        <v>6.4107692307692297</v>
      </c>
      <c r="S915" s="847">
        <f>AVERAGE(R864:S864)*$C915/(1/(S4/$W$4))</f>
        <v>1.4671698113207545</v>
      </c>
      <c r="T915" s="847">
        <f>AVERAGE(S864:T864)*$C915/(1/(T4/$W$4))</f>
        <v>1.4671698113207545</v>
      </c>
      <c r="U915" s="847">
        <f>AVERAGE(T864:U864)*$C915/(1/(U4/$W$4))</f>
        <v>1.4671698113207545</v>
      </c>
      <c r="V915" s="847">
        <f>AVERAGE(U864:V864)*$C915/(1/(V4/$W$4))</f>
        <v>4.0318867924528305</v>
      </c>
      <c r="W915" s="661">
        <f>SUM(S915:V915)</f>
        <v>8.4333962264150948</v>
      </c>
      <c r="X915" s="847">
        <f>AVERAGE(W864:X864)*$C915/(1/(X4/$AB$4))</f>
        <v>4.3061538461538467</v>
      </c>
      <c r="Y915" s="847">
        <f>AVERAGE(X864:Y864)*$C915/(1/(Y4/$AB$4))</f>
        <v>3.8215384615384616</v>
      </c>
      <c r="Z915" s="847">
        <f>AVERAGE(Y864:Z864)*$C915/(1/(Z4/$AB$4))</f>
        <v>2.7</v>
      </c>
      <c r="AA915" s="847">
        <f>AVERAGE(Z864:AA864)*$C915/(1/(AA4/$AB$4))</f>
        <v>3.96</v>
      </c>
      <c r="AB915" s="661">
        <f>SUM(X915:AA915)</f>
        <v>14.787692307692311</v>
      </c>
      <c r="AC915" s="847">
        <f>AVERAGE(AB864:AC864)*$C915/(1/(AC4/$AG$4))</f>
        <v>3.7661538461538466</v>
      </c>
      <c r="AD915" s="847">
        <f>AVERAGE(AC864:AD864)*$C915/(1/(AD4/$AG$4))</f>
        <v>3.6761538461538463</v>
      </c>
      <c r="AE915" s="847">
        <f>AVERAGE(AD864:AE864)*$C915/(1/(AE4/$AG$4))</f>
        <v>3.634615384615385</v>
      </c>
      <c r="AF915" s="847">
        <f>AVERAGE(AE864:AF864)*$C915/(1/(AF4/$AG$4))</f>
        <v>4.7630769230769223</v>
      </c>
      <c r="AG915" s="661">
        <f>SUM(AC915:AF915)</f>
        <v>15.84</v>
      </c>
      <c r="AH915" s="847">
        <f>AVERAGE(AG864:AH864)*$C915/(1/(AH4/$AL$4))</f>
        <v>3.5653846153846156</v>
      </c>
      <c r="AI915" s="847">
        <f>AVERAGE(AH864:AI864)*$C915/(1/(AI4/$AL$4))</f>
        <v>3.8007692307692307</v>
      </c>
      <c r="AJ915" s="847">
        <f>AVERAGE(AI864:AJ864)*$C915/(1/(AJ4/$AL$4))</f>
        <v>2.8176923076923077</v>
      </c>
      <c r="AK915" s="847">
        <f>AVERAGE(AJ864:AK864)*$C915/(1/(AK4/$AL$4))</f>
        <v>2.5015384615384613</v>
      </c>
      <c r="AL915" s="661">
        <f>SUM(AH915:AK915)</f>
        <v>12.685384615384615</v>
      </c>
      <c r="AM915" s="847">
        <f>AVERAGE(AL864:AM864)*$C915/(1/(AM4/$AQ$4))</f>
        <v>1.7053150684931508</v>
      </c>
      <c r="AN915" s="847">
        <f>AVERAGE(AM864:AN864)*$C915/(1/(AN4/$AQ$4))</f>
        <v>1.2496438356164383</v>
      </c>
      <c r="AO915" s="847">
        <f>AVERAGE(AN864:AO864)*$C915/(1/(AO4/$AQ$4))</f>
        <v>1.2358356164383564</v>
      </c>
      <c r="AP915" s="847">
        <f>AVERAGE(AO864:AP864)*$C915/(1/(AP4/$AQ$4))</f>
        <v>1.6346301369863012</v>
      </c>
      <c r="AQ915" s="661">
        <f>SUM(AM915:AP915)</f>
        <v>5.8254246575342465</v>
      </c>
      <c r="AR915" s="847">
        <f>AVERAGE(AQ864:AR864)*$C915/(1/(AR4/$AV$4))</f>
        <v>1.1944109589041096</v>
      </c>
      <c r="AS915" s="847">
        <f>AVERAGE(AR864:AS864)*$C915/(1/(AS4/$AV$4))</f>
        <v>1.1806027397260275</v>
      </c>
      <c r="AT915" s="847">
        <f>AVERAGE(AS864:AT864)*$C915/(1/(AT4/$AV$4))</f>
        <v>1.7398356164383562</v>
      </c>
      <c r="AU915" s="847">
        <f>AVERAGE(AT864:AU864)*$C915/(1/(AU4/$AV$4))</f>
        <v>3.167095890410959</v>
      </c>
      <c r="AV915" s="661">
        <f t="shared" si="1788"/>
        <v>7.2819452054794525</v>
      </c>
      <c r="AW915" s="847">
        <f>AVERAGE(AV864:AW864)*$C915/(1/(AW4/$BA$4))</f>
        <v>2.1785365853658534</v>
      </c>
      <c r="AX915" s="847">
        <f>AVERAGE(AW864:AX864)*$C915/(1/(AX4/$BA$4))</f>
        <v>2.117073170731707</v>
      </c>
      <c r="AY915" s="847">
        <f>AVERAGE(AX864:AY864)*$C915/(1/(AY4/$BA$4))</f>
        <v>2.1717073170731704</v>
      </c>
      <c r="AZ915" s="847">
        <f>AVERAGE(AY864:AZ864)*$C915/(1/(AZ4/$BA$4))</f>
        <v>2.8536585365853662</v>
      </c>
      <c r="BA915" s="661">
        <f t="shared" si="1789"/>
        <v>9.320975609756097</v>
      </c>
      <c r="BB915" s="847">
        <f>AVERAGE(BB864:BF864)*$C915/(1/(BB4/$BF$4))</f>
        <v>3.5113846153846153</v>
      </c>
      <c r="BC915" s="847">
        <f>AVERAGE(BB864:BC864)*$C915/(1/(BC4/$BF$4))</f>
        <v>3.6553846153846155</v>
      </c>
      <c r="BD915" s="847">
        <f>AVERAGE(BC864:BD864)*$C915/(1/(BD4/$BF$4))</f>
        <v>3.4546153846153844</v>
      </c>
      <c r="BE915" s="847">
        <f>AVERAGE(BD864:BE864)*$C915/(1/(BE4/$BF$4))</f>
        <v>4.5600000000000005</v>
      </c>
      <c r="BF915" s="661">
        <f t="shared" si="1790"/>
        <v>15.181384615384616</v>
      </c>
      <c r="BG915" s="847">
        <f>AVERAGE(BF864:BG864)*$C915/(1/(BG4/$BK$4))</f>
        <v>10.322307692307692</v>
      </c>
      <c r="BH915" s="847">
        <f>AVERAGE(BG864:BH864)*$C915/(1/(BH4/$BK$4))</f>
        <v>16.836923076923078</v>
      </c>
      <c r="BI915" s="847">
        <f>AVERAGE(BH864:BI864)*$C915/(1/(BI4/$BK$4))</f>
        <v>15.805384615384614</v>
      </c>
      <c r="BJ915" s="847">
        <f>AVERAGE(BI864:BJ864)*$C915/(1/(BJ4/$BK$4))</f>
        <v>21.175384615384612</v>
      </c>
      <c r="BK915" s="661">
        <f t="shared" si="1791"/>
        <v>64.14</v>
      </c>
      <c r="BL915" s="847">
        <f>AVERAGE(BK864:BL864)*$C915/(1/(BL4/$BP$4))</f>
        <v>16.483846153846152</v>
      </c>
      <c r="BM915" s="847">
        <f>AVERAGE(BL864:BM864)*$C915/(1/(BM4/$BP$4))</f>
        <v>16.040769230769229</v>
      </c>
      <c r="BN915" s="847">
        <f>AVERAGE(BM864:BN864)*$C915/(1/(BN4/$BP$4))</f>
        <v>15.23769230769231</v>
      </c>
      <c r="BO915" s="847">
        <f>AVERAGE(BN864:BO864)*$C915/(1/(BO4/$BP$4))</f>
        <v>11.75076923076923</v>
      </c>
      <c r="BP915" s="661">
        <f t="shared" si="1792"/>
        <v>59.513076923076916</v>
      </c>
      <c r="BQ915" s="847">
        <f>AVERAGE(BP864:BQ864)*$C915/(1/(BQ4/$BU$4))</f>
        <v>2.858301369863014</v>
      </c>
      <c r="BR915" s="847">
        <f>AVERAGE(BQ864:BR864)*$C915/(1/(BR4/$BU$4))</f>
        <v>2.8168767123287672</v>
      </c>
      <c r="BS915" s="847">
        <f>AVERAGE(BR864:BS864)*$C915/(1/(BS4/$BU$4))</f>
        <v>2.6580821917808217</v>
      </c>
      <c r="BT915" s="847">
        <f>AVERAGE(BS864:BT864)*$C915/(1/(BT4/$BU$4))</f>
        <v>3.4152328767123286</v>
      </c>
      <c r="BU915" s="661">
        <f t="shared" si="1832"/>
        <v>11.748493150684931</v>
      </c>
      <c r="BV915" s="847">
        <f>AVERAGE(BU864:BV864)*$C915/(1/(BV4/$BZ$4))</f>
        <v>2.79</v>
      </c>
      <c r="BW915" s="847">
        <f>AVERAGE(BV864:BW864)*$C915/(1/(BW4/$BZ$4))</f>
        <v>2.692907608695652</v>
      </c>
      <c r="BX915" s="847">
        <f>AVERAGE(BW864:BX864)*$C915/(1/(BX4/$BZ$4))</f>
        <v>2.7224999999999997</v>
      </c>
      <c r="BY915" s="847">
        <f>AVERAGE(BX864:BY864)*$C915/(1/(BY4/$BZ$4))</f>
        <v>2.7149999999999999</v>
      </c>
      <c r="BZ915" s="661">
        <f t="shared" si="1834"/>
        <v>10.920407608695651</v>
      </c>
      <c r="CA915" s="973">
        <f>AVERAGE(BZ864:CA864)*$C915/(1/(CA4/$CE$4))</f>
        <v>2.3079452054794518</v>
      </c>
      <c r="CB915" s="847">
        <f>AVERAGE(CA864:CB864)*$C915/(1/(CB4/$BK$4))</f>
        <v>1.9724999999999999</v>
      </c>
      <c r="CC915" s="847">
        <f>AVERAGE(CB864:CC864)*$C915/(1/(CC4/$BK$4))</f>
        <v>1.9714285714285713</v>
      </c>
      <c r="CD915" s="847">
        <f>AVERAGE(CC864:CD864)*$C915/(1/(CD4/$BK$4))</f>
        <v>1.9107692307692306</v>
      </c>
      <c r="CE915" s="661">
        <f>SUM(CA915:CD915)</f>
        <v>8.1626430076772536</v>
      </c>
      <c r="CF915" s="847">
        <f>AVERAGE(CE864:CF864)*$C915/(1/(CF4/$BK$4))</f>
        <v>1.8024725274725275</v>
      </c>
      <c r="CG915" s="847">
        <f>AVERAGE(CF864:CG864)*$C915/(1/(CG4/$BK$4))</f>
        <v>1.7774999999999999</v>
      </c>
      <c r="CH915" s="847">
        <f>AVERAGE(CG864:CH864)*$C915/(1/(CH4/$BK$4))</f>
        <v>1.7667032967032965</v>
      </c>
      <c r="CI915" s="1431">
        <f>AVERAGE(CH864:CI864)*$C915/(1/(CI4/$BK$4))</f>
        <v>1.7363736263736262</v>
      </c>
      <c r="CJ915" s="661">
        <f>SUM(CF915:CI915)</f>
        <v>7.0830494505494501</v>
      </c>
      <c r="CK915" s="847">
        <f>AVERAGE(CJ864:CK864)*$C915/(1/(CK4/$CO$4))</f>
        <v>1.6708196721311475</v>
      </c>
      <c r="CL915" s="847">
        <f>AVERAGE(CK864:CL864)*$C915/(1/(CL4/$CO$4))</f>
        <v>1.6335245901639344</v>
      </c>
      <c r="CM915" s="847">
        <f>AVERAGE(CL864:CM864)*$C915/(1/(CM4/$CO$4))</f>
        <v>1.6062295081967213</v>
      </c>
      <c r="CN915" s="847">
        <f>AVERAGE(CM864:CN864)*$C915/(1/(CN4/$CO$4))</f>
        <v>2.9862295081967209</v>
      </c>
      <c r="CO915" s="661">
        <f>SUM(CK915:CN915)</f>
        <v>7.8968032786885241</v>
      </c>
      <c r="CP915" s="847">
        <f>AVERAGE(CO864:CP864)*$C915/(1/(CP4/$CO$4))</f>
        <v>4.2565573770491802</v>
      </c>
      <c r="CQ915" s="847">
        <f>AVERAGE(CP864:CQ864)*$C915/(1/(CQ4/$CO$4))</f>
        <v>4.244180327868853</v>
      </c>
      <c r="CR915" s="3798">
        <f>AVERAGE(CQ864:CR864)*$C915/(1/(CR4/$CO$4))</f>
        <v>4.2757377049180327</v>
      </c>
      <c r="CS915" s="847">
        <f>AVERAGE(CR864:CS864)*$C915/(1/(CS4/$CO$4))</f>
        <v>4.2832786885245904</v>
      </c>
      <c r="CT915" s="661">
        <f>SUM(CP915:CS915)</f>
        <v>17.059754098360656</v>
      </c>
      <c r="CU915" s="847">
        <f>AVERAGE(CT864:CU864)*$C915/(1/(CU4/$CO$4))</f>
        <v>4.1901639344262298</v>
      </c>
      <c r="CV915" s="847">
        <f>AVERAGE(CU864:CV864)*$C915/(1/(CV4/$CO$4))</f>
        <v>4.2367213114754101</v>
      </c>
      <c r="CW915" s="847">
        <f>AVERAGE(CV864:CW864)*$C915/(1/(CW4/$CO$4))</f>
        <v>4.2832786885245904</v>
      </c>
      <c r="CX915" s="847">
        <f>AVERAGE(CW864:CX864)*$C915/(1/(CX4/$CO$4))</f>
        <v>4.2832786885245904</v>
      </c>
      <c r="CY915" s="2293">
        <f>SUM(CU915:CX915)</f>
        <v>16.99344262295082</v>
      </c>
      <c r="CZ915" s="661">
        <f>AVERAGE(CY864:CZ864)*$C915</f>
        <v>17.04</v>
      </c>
      <c r="DA915" s="661">
        <f>AVERAGE(CZ864:DA864)*$C915</f>
        <v>17.04</v>
      </c>
      <c r="DD915" s="2308" t="s">
        <v>826</v>
      </c>
      <c r="DE915" s="2293">
        <f t="shared" si="1797"/>
        <v>5.88</v>
      </c>
      <c r="DF915" s="2293">
        <f t="shared" si="1798"/>
        <v>6.4107692307692297</v>
      </c>
      <c r="DG915" s="2293">
        <f t="shared" si="1799"/>
        <v>8.4333962264150948</v>
      </c>
      <c r="DH915" s="2293">
        <f t="shared" si="1800"/>
        <v>14.787692307692311</v>
      </c>
      <c r="DI915" s="2293">
        <f t="shared" si="1801"/>
        <v>15.84</v>
      </c>
      <c r="DJ915" s="2293">
        <f t="shared" si="1802"/>
        <v>12.685384615384615</v>
      </c>
      <c r="DK915" s="2293">
        <f t="shared" si="1803"/>
        <v>5.8254246575342465</v>
      </c>
      <c r="DL915" s="2293">
        <f t="shared" si="1804"/>
        <v>7.2819452054794525</v>
      </c>
      <c r="DM915" s="2293">
        <f t="shared" si="1805"/>
        <v>9.320975609756097</v>
      </c>
      <c r="DN915" s="2293">
        <f t="shared" si="1806"/>
        <v>15.181384615384616</v>
      </c>
      <c r="DO915" s="2293">
        <f t="shared" si="1807"/>
        <v>64.14</v>
      </c>
      <c r="DP915" s="2293">
        <f t="shared" si="1808"/>
        <v>59.513076923076916</v>
      </c>
      <c r="DQ915" s="2293">
        <f t="shared" si="1809"/>
        <v>11.748493150684931</v>
      </c>
      <c r="DR915" s="2293">
        <f t="shared" si="1810"/>
        <v>10.920407608695651</v>
      </c>
      <c r="DS915" s="2293">
        <f t="shared" si="1811"/>
        <v>8.1626430076772536</v>
      </c>
      <c r="DT915" s="2293">
        <f t="shared" si="1812"/>
        <v>7.0830494505494501</v>
      </c>
      <c r="DU915" s="2293">
        <f t="shared" si="1813"/>
        <v>7.8968032786885241</v>
      </c>
      <c r="DV915" s="2293">
        <f t="shared" si="1814"/>
        <v>17.059754098360656</v>
      </c>
      <c r="DW915" s="2293">
        <f t="shared" si="1815"/>
        <v>16.99344262295082</v>
      </c>
      <c r="DX915" s="2293">
        <f t="shared" si="1816"/>
        <v>17.04</v>
      </c>
      <c r="DY915" s="2293">
        <f t="shared" si="1817"/>
        <v>17.04</v>
      </c>
      <c r="EK915"/>
      <c r="EL915"/>
      <c r="EM915" s="847"/>
    </row>
    <row r="916" spans="1:148" ht="12.75" customHeight="1" x14ac:dyDescent="0.2">
      <c r="A916" s="1434" t="s">
        <v>1633</v>
      </c>
      <c r="B916" s="845"/>
      <c r="C916" s="845"/>
      <c r="D916" s="845"/>
      <c r="E916" s="845"/>
      <c r="F916" s="845"/>
      <c r="G916" s="845"/>
      <c r="H916" s="845"/>
      <c r="I916" s="845">
        <v>-8</v>
      </c>
      <c r="J916" s="845">
        <f>-18-I916</f>
        <v>-10</v>
      </c>
      <c r="K916" s="845">
        <f>-31-J916-I916</f>
        <v>-13</v>
      </c>
      <c r="L916" s="845">
        <f>-52-SUM(I916:K916)</f>
        <v>-21</v>
      </c>
      <c r="M916" s="661">
        <f>SUM(I916:L916)</f>
        <v>-52</v>
      </c>
      <c r="N916" s="845">
        <v>-16</v>
      </c>
      <c r="O916" s="845">
        <f>-28-N916</f>
        <v>-12</v>
      </c>
      <c r="P916" s="845">
        <f>-41-O916-N916</f>
        <v>-13</v>
      </c>
      <c r="Q916" s="845">
        <f>-61-SUM(N916:P916)</f>
        <v>-20</v>
      </c>
      <c r="R916" s="661">
        <f>SUM(N916:Q916)</f>
        <v>-61</v>
      </c>
      <c r="S916" s="845">
        <v>-13</v>
      </c>
      <c r="T916" s="845">
        <f>-23-S916</f>
        <v>-10</v>
      </c>
      <c r="U916" s="845">
        <f>-32-T916-S916</f>
        <v>-9</v>
      </c>
      <c r="V916" s="845">
        <f>-43-SUM(S916:U916)</f>
        <v>-11</v>
      </c>
      <c r="W916" s="661">
        <f>SUM(S916:V916)</f>
        <v>-43</v>
      </c>
      <c r="X916" s="845">
        <v>-5</v>
      </c>
      <c r="Y916" s="845">
        <f>-12-X916</f>
        <v>-7</v>
      </c>
      <c r="Z916" s="845">
        <f>-18-X916-Y916</f>
        <v>-6</v>
      </c>
      <c r="AA916" s="845">
        <f>-25-SUM(X916:Z916)</f>
        <v>-7</v>
      </c>
      <c r="AB916" s="661">
        <f>SUM(X916:AA916)</f>
        <v>-25</v>
      </c>
      <c r="AC916" s="845">
        <v>-4</v>
      </c>
      <c r="AD916" s="845">
        <f>-7-AC916</f>
        <v>-3</v>
      </c>
      <c r="AE916" s="845">
        <f>-10-AD916-AC916</f>
        <v>-3</v>
      </c>
      <c r="AF916" s="845">
        <f>-16-SUM(AC916:AE916)</f>
        <v>-6</v>
      </c>
      <c r="AG916" s="661">
        <f>SUM(AC916:AF916)</f>
        <v>-16</v>
      </c>
      <c r="AH916" s="845">
        <v>-5</v>
      </c>
      <c r="AI916" s="845">
        <f>-11-AH916</f>
        <v>-6</v>
      </c>
      <c r="AJ916" s="845">
        <f>-18-AI916-AH916</f>
        <v>-7</v>
      </c>
      <c r="AK916" s="845">
        <f>-30-SUM(AH916:AJ916)</f>
        <v>-12</v>
      </c>
      <c r="AL916" s="661">
        <f>SUM(AH916:AK916)</f>
        <v>-30</v>
      </c>
      <c r="AM916" s="845">
        <v>-6</v>
      </c>
      <c r="AN916" s="845">
        <f>-12-AM916</f>
        <v>-6</v>
      </c>
      <c r="AO916" s="845">
        <f>-20-AN916-AM916</f>
        <v>-8</v>
      </c>
      <c r="AP916" s="845">
        <f>-32-SUM(AM916:AO916)</f>
        <v>-12</v>
      </c>
      <c r="AQ916" s="661">
        <f>SUM(AM916:AP916)</f>
        <v>-32</v>
      </c>
      <c r="AR916" s="845">
        <v>-9</v>
      </c>
      <c r="AS916" s="845">
        <f>-20-AR916</f>
        <v>-11</v>
      </c>
      <c r="AT916" s="845">
        <f>-31-AS916-AR916</f>
        <v>-11</v>
      </c>
      <c r="AU916" s="845">
        <f>-49-SUM(AR916:AT916)</f>
        <v>-18</v>
      </c>
      <c r="AV916" s="661">
        <f>SUM(AR916:AU916)</f>
        <v>-49</v>
      </c>
      <c r="AW916" s="845">
        <v>-11</v>
      </c>
      <c r="AX916" s="845">
        <f>-24-AW916</f>
        <v>-13</v>
      </c>
      <c r="AY916" s="845">
        <f>-38-AW916-AX916</f>
        <v>-14</v>
      </c>
      <c r="AZ916" s="845">
        <f>-55-SUM(AW916:AY916)</f>
        <v>-17</v>
      </c>
      <c r="BA916" s="661">
        <f>SUM(AW916:AZ916)</f>
        <v>-55</v>
      </c>
      <c r="BB916" s="845">
        <v>-10</v>
      </c>
      <c r="BC916" s="845">
        <f>-17-BB916</f>
        <v>-7</v>
      </c>
      <c r="BD916" s="845">
        <f>-24-BB916-BC916</f>
        <v>-7</v>
      </c>
      <c r="BE916" s="845">
        <f>-32-SUM(BB916:BD916)</f>
        <v>-8</v>
      </c>
      <c r="BF916" s="661">
        <f>SUM(BB916:BE916)</f>
        <v>-32</v>
      </c>
      <c r="BG916" s="845">
        <v>-4</v>
      </c>
      <c r="BH916" s="845">
        <f>-6-BG916</f>
        <v>-2</v>
      </c>
      <c r="BI916" s="845">
        <f>-11-SUM(BG916:BH916)</f>
        <v>-5</v>
      </c>
      <c r="BJ916" s="845">
        <f>-18-SUM(BG916:BI916)</f>
        <v>-7</v>
      </c>
      <c r="BK916" s="661">
        <f t="shared" si="1791"/>
        <v>-18</v>
      </c>
      <c r="BL916" s="845">
        <v>-4</v>
      </c>
      <c r="BM916" s="845">
        <f>-10-BL916</f>
        <v>-6</v>
      </c>
      <c r="BN916" s="845">
        <f>-14-SUM(BL916:BM916)</f>
        <v>-4</v>
      </c>
      <c r="BO916" s="845">
        <f>-19-SUM(BL916:BN916)</f>
        <v>-5</v>
      </c>
      <c r="BP916" s="661">
        <f t="shared" si="1792"/>
        <v>-19</v>
      </c>
      <c r="BQ916" s="845">
        <v>-5</v>
      </c>
      <c r="BR916" s="845">
        <f>-11-BQ916</f>
        <v>-6</v>
      </c>
      <c r="BS916" s="845">
        <f>-18-SUM(BQ916:BR916)</f>
        <v>-7</v>
      </c>
      <c r="BT916" s="845">
        <f>-28-BS916-BR916-BQ916</f>
        <v>-10</v>
      </c>
      <c r="BU916" s="661">
        <f t="shared" si="1832"/>
        <v>-28</v>
      </c>
      <c r="BV916" s="845">
        <v>-9</v>
      </c>
      <c r="BW916" s="845">
        <v>-8</v>
      </c>
      <c r="BX916" s="845">
        <v>-8</v>
      </c>
      <c r="BY916" s="845">
        <f>-31-SUM(BV916:BX916)</f>
        <v>-6</v>
      </c>
      <c r="BZ916" s="661">
        <f t="shared" si="1834"/>
        <v>-31</v>
      </c>
      <c r="CA916" s="845">
        <v>-7</v>
      </c>
      <c r="CE916" s="661">
        <f t="shared" si="1837"/>
        <v>-7</v>
      </c>
      <c r="CI916" s="1431"/>
      <c r="CJ916" s="661">
        <f>SUM(CF916:CI916)</f>
        <v>0</v>
      </c>
      <c r="CN916" s="1431"/>
      <c r="CO916" s="661">
        <f>SUM(CK916:CN916)</f>
        <v>0</v>
      </c>
      <c r="CR916" s="3798"/>
      <c r="CT916" s="661">
        <f>SUM(CP916:CS916)</f>
        <v>0</v>
      </c>
      <c r="CY916" s="2293">
        <f>SUM(CU916:CX916)</f>
        <v>0</v>
      </c>
      <c r="CZ916" s="2440">
        <f>+CY916</f>
        <v>0</v>
      </c>
      <c r="DA916" s="2440">
        <f>+CZ916</f>
        <v>0</v>
      </c>
      <c r="DD916" s="2308" t="s">
        <v>1633</v>
      </c>
      <c r="DE916" s="2293">
        <f t="shared" si="1797"/>
        <v>-52</v>
      </c>
      <c r="DF916" s="2293">
        <f t="shared" si="1798"/>
        <v>-61</v>
      </c>
      <c r="DG916" s="2293">
        <f t="shared" si="1799"/>
        <v>-43</v>
      </c>
      <c r="DH916" s="2293">
        <f t="shared" si="1800"/>
        <v>-25</v>
      </c>
      <c r="DI916" s="2293">
        <f t="shared" si="1801"/>
        <v>-16</v>
      </c>
      <c r="DJ916" s="2293">
        <f t="shared" si="1802"/>
        <v>-30</v>
      </c>
      <c r="DK916" s="2293">
        <f t="shared" si="1803"/>
        <v>-32</v>
      </c>
      <c r="DL916" s="2293">
        <f t="shared" si="1804"/>
        <v>-49</v>
      </c>
      <c r="DM916" s="2293">
        <f t="shared" si="1805"/>
        <v>-55</v>
      </c>
      <c r="DN916" s="2293">
        <f t="shared" si="1806"/>
        <v>-32</v>
      </c>
      <c r="DO916" s="2293">
        <f t="shared" si="1807"/>
        <v>-18</v>
      </c>
      <c r="DP916" s="2293">
        <f t="shared" si="1808"/>
        <v>-19</v>
      </c>
      <c r="DQ916" s="2293">
        <f t="shared" si="1809"/>
        <v>-28</v>
      </c>
      <c r="DR916" s="2293">
        <f t="shared" si="1810"/>
        <v>-31</v>
      </c>
      <c r="DS916" s="2293">
        <f t="shared" si="1811"/>
        <v>-7</v>
      </c>
      <c r="DT916" s="2293">
        <f t="shared" si="1812"/>
        <v>0</v>
      </c>
      <c r="DU916" s="2293">
        <f t="shared" si="1813"/>
        <v>0</v>
      </c>
      <c r="DV916" s="2293">
        <f t="shared" si="1814"/>
        <v>0</v>
      </c>
      <c r="DW916" s="2293">
        <f t="shared" si="1815"/>
        <v>0</v>
      </c>
      <c r="DX916" s="2293">
        <f t="shared" si="1816"/>
        <v>0</v>
      </c>
      <c r="DY916" s="2293">
        <f t="shared" si="1817"/>
        <v>0</v>
      </c>
      <c r="EK916"/>
      <c r="EL916"/>
      <c r="EM916" s="847"/>
    </row>
    <row r="917" spans="1:148" s="2383" customFormat="1" ht="12.75" customHeight="1" x14ac:dyDescent="0.2">
      <c r="A917" s="1438" t="s">
        <v>1068</v>
      </c>
      <c r="B917" s="946"/>
      <c r="C917" s="946"/>
      <c r="D917" s="946"/>
      <c r="E917" s="946"/>
      <c r="F917" s="946"/>
      <c r="G917" s="946"/>
      <c r="H917" s="946"/>
      <c r="I917" s="946">
        <f t="shared" ref="I917:AN917" si="1872">-I39-SUM(I893:I916)</f>
        <v>5.4753076923076875</v>
      </c>
      <c r="J917" s="946">
        <f t="shared" si="1872"/>
        <v>11.475307692307688</v>
      </c>
      <c r="K917" s="946">
        <f t="shared" si="1872"/>
        <v>9.4753076923076875</v>
      </c>
      <c r="L917" s="946">
        <f t="shared" si="1872"/>
        <v>14.967076923076917</v>
      </c>
      <c r="M917" s="2293">
        <f t="shared" si="1872"/>
        <v>41.392999999999986</v>
      </c>
      <c r="N917" s="946">
        <f t="shared" si="1872"/>
        <v>9.9830000000000005</v>
      </c>
      <c r="O917" s="946">
        <f t="shared" si="1872"/>
        <v>8.7540576923076863</v>
      </c>
      <c r="P917" s="946">
        <f t="shared" si="1872"/>
        <v>9.0165576923076891</v>
      </c>
      <c r="Q917" s="946">
        <f t="shared" si="1872"/>
        <v>15.81234615384615</v>
      </c>
      <c r="R917" s="2293">
        <f t="shared" si="1872"/>
        <v>43.565961538461522</v>
      </c>
      <c r="S917" s="946">
        <f t="shared" si="1872"/>
        <v>6.058547169811316</v>
      </c>
      <c r="T917" s="946">
        <f t="shared" si="1872"/>
        <v>6.1517641509433929</v>
      </c>
      <c r="U917" s="946">
        <f t="shared" si="1872"/>
        <v>3.5413113207547191</v>
      </c>
      <c r="V917" s="946">
        <f t="shared" si="1872"/>
        <v>1.6175943396226415</v>
      </c>
      <c r="W917" s="2293">
        <f t="shared" si="1872"/>
        <v>17.36921698113207</v>
      </c>
      <c r="X917" s="946">
        <f t="shared" si="1872"/>
        <v>2.9458929608127704</v>
      </c>
      <c r="Y917" s="946">
        <f t="shared" si="1872"/>
        <v>4.4581304426705302</v>
      </c>
      <c r="Z917" s="946">
        <f t="shared" si="1872"/>
        <v>6.0087788461538452</v>
      </c>
      <c r="AA917" s="946">
        <f t="shared" si="1872"/>
        <v>7.5631153846153865</v>
      </c>
      <c r="AB917" s="2293">
        <f t="shared" si="1872"/>
        <v>20.975917634252525</v>
      </c>
      <c r="AC917" s="946">
        <f t="shared" si="1872"/>
        <v>1.7294230769230765</v>
      </c>
      <c r="AD917" s="946">
        <f t="shared" si="1872"/>
        <v>2.8877884615384595</v>
      </c>
      <c r="AE917" s="946">
        <f t="shared" si="1872"/>
        <v>3.2634615384615344</v>
      </c>
      <c r="AF917" s="946">
        <f t="shared" si="1872"/>
        <v>6.306153846153844</v>
      </c>
      <c r="AG917" s="2293">
        <f t="shared" si="1872"/>
        <v>14.186826923076922</v>
      </c>
      <c r="AH917" s="946">
        <f t="shared" si="1872"/>
        <v>6.9384615384615351</v>
      </c>
      <c r="AI917" s="946">
        <f t="shared" si="1872"/>
        <v>5.4240865384615375</v>
      </c>
      <c r="AJ917" s="946">
        <f t="shared" si="1872"/>
        <v>8.044865384615381</v>
      </c>
      <c r="AK917" s="946">
        <f t="shared" si="1872"/>
        <v>13.954730769230771</v>
      </c>
      <c r="AL917" s="2293">
        <f t="shared" si="1872"/>
        <v>34.362144230769204</v>
      </c>
      <c r="AM917" s="946">
        <f t="shared" si="1872"/>
        <v>11.789884931506847</v>
      </c>
      <c r="AN917" s="946">
        <f t="shared" si="1872"/>
        <v>16.670256318493148</v>
      </c>
      <c r="AO917" s="946">
        <f t="shared" ref="AO917:BT917" si="1873">-AO39-SUM(AO893:AO916)</f>
        <v>15.507880821917805</v>
      </c>
      <c r="AP917" s="946">
        <f t="shared" si="1873"/>
        <v>19.630321232876707</v>
      </c>
      <c r="AQ917" s="2293">
        <f t="shared" si="1873"/>
        <v>63.598343304794511</v>
      </c>
      <c r="AR917" s="946">
        <f t="shared" si="1873"/>
        <v>16.289210958904107</v>
      </c>
      <c r="AS917" s="946">
        <f t="shared" si="1873"/>
        <v>34.961921917808219</v>
      </c>
      <c r="AT917" s="946">
        <f t="shared" si="1873"/>
        <v>18.425513698630134</v>
      </c>
      <c r="AU917" s="946">
        <f t="shared" si="1873"/>
        <v>24.072252251234261</v>
      </c>
      <c r="AV917" s="2293">
        <f t="shared" si="1873"/>
        <v>93.74889882657672</v>
      </c>
      <c r="AW917" s="946">
        <f t="shared" si="1873"/>
        <v>14.736520325203252</v>
      </c>
      <c r="AX917" s="946">
        <f t="shared" si="1873"/>
        <v>12.954914634146341</v>
      </c>
      <c r="AY917" s="946">
        <f t="shared" si="1873"/>
        <v>10.382971544715453</v>
      </c>
      <c r="AZ917" s="946">
        <f t="shared" si="1873"/>
        <v>15.275963682926829</v>
      </c>
      <c r="BA917" s="2293">
        <f t="shared" si="1873"/>
        <v>53.350370186991881</v>
      </c>
      <c r="BB917" s="946">
        <f t="shared" si="1873"/>
        <v>8.4244697538461537</v>
      </c>
      <c r="BC917" s="946">
        <f t="shared" si="1873"/>
        <v>6.7915564102564083</v>
      </c>
      <c r="BD917" s="946">
        <f t="shared" si="1873"/>
        <v>7.4338505917159772</v>
      </c>
      <c r="BE917" s="946">
        <f t="shared" si="1873"/>
        <v>7.8992511312217175</v>
      </c>
      <c r="BF917" s="2293">
        <f t="shared" si="1873"/>
        <v>30.549127887040257</v>
      </c>
      <c r="BG917" s="946">
        <f t="shared" si="1873"/>
        <v>5.0678461538461477</v>
      </c>
      <c r="BH917" s="946">
        <f t="shared" si="1873"/>
        <v>-4.0238961538461524</v>
      </c>
      <c r="BI917" s="946">
        <f t="shared" si="1873"/>
        <v>-1.2147738461538466</v>
      </c>
      <c r="BJ917" s="946">
        <f t="shared" si="1873"/>
        <v>-3.5076538461538433</v>
      </c>
      <c r="BK917" s="2293">
        <f t="shared" si="1873"/>
        <v>-3.6784776923076947</v>
      </c>
      <c r="BL917" s="946">
        <f t="shared" si="1873"/>
        <v>-1.7631018461538446</v>
      </c>
      <c r="BM917" s="946">
        <f t="shared" si="1873"/>
        <v>-2.3899293076923058</v>
      </c>
      <c r="BN917" s="946">
        <f t="shared" si="1873"/>
        <v>-0.77911176923076653</v>
      </c>
      <c r="BO917" s="946">
        <f t="shared" si="1873"/>
        <v>6.3673864615384588</v>
      </c>
      <c r="BP917" s="2293">
        <f t="shared" si="1873"/>
        <v>1.435243538461549</v>
      </c>
      <c r="BQ917" s="946">
        <f t="shared" si="1873"/>
        <v>11.628806611078019</v>
      </c>
      <c r="BR917" s="946">
        <f t="shared" si="1873"/>
        <v>13.390070756402618</v>
      </c>
      <c r="BS917" s="946">
        <f t="shared" si="1873"/>
        <v>11.179241989279333</v>
      </c>
      <c r="BT917" s="946">
        <f t="shared" si="1873"/>
        <v>16.239650774270395</v>
      </c>
      <c r="BU917" s="2293">
        <f t="shared" si="1832"/>
        <v>52.437770131030369</v>
      </c>
      <c r="BV917" s="946">
        <f>-BV39-SUM(BV893:BV916)</f>
        <v>12.23444565217391</v>
      </c>
      <c r="BW917" s="946">
        <f>-BW39-SUM(BW893:BW916)</f>
        <v>12.314889945652173</v>
      </c>
      <c r="BX917" s="946">
        <f>-BX39-SUM(BX893:BX916)</f>
        <v>11.316593749999999</v>
      </c>
      <c r="BY917" s="946">
        <f>-BY39-SUM(BY893:BY916)</f>
        <v>10.521906249999997</v>
      </c>
      <c r="BZ917" s="2293">
        <f t="shared" si="1834"/>
        <v>46.387835597826083</v>
      </c>
      <c r="CA917" s="946">
        <f>-CA39-SUM(CA893:CA916)</f>
        <v>10.137958904109588</v>
      </c>
      <c r="CB917" s="946">
        <f>-CB39-SUM(CB893:CB916)</f>
        <v>3.0268315217391262</v>
      </c>
      <c r="CC917" s="946">
        <f>-CC39-SUM(CC893:CC916)</f>
        <v>1.594571428571431</v>
      </c>
      <c r="CD917" s="946">
        <f>-CD39-SUM(CD893:CD916)</f>
        <v>-1.3510879120879089</v>
      </c>
      <c r="CE917" s="2293">
        <f t="shared" si="1837"/>
        <v>13.408273942332237</v>
      </c>
      <c r="CF917" s="946">
        <f>-CF39-SUM(CF893:CF916)</f>
        <v>9.2252660654562817</v>
      </c>
      <c r="CG917" s="946">
        <f>-CG39-SUM(CG893:CG916)</f>
        <v>14.875112771739129</v>
      </c>
      <c r="CH917" s="946">
        <f>-CH39-SUM(CH893:CH916)</f>
        <v>9.3846840659340671</v>
      </c>
      <c r="CI917" s="946">
        <f>-CI39-SUM(CI893:CI916)</f>
        <v>11.770028846153842</v>
      </c>
      <c r="CJ917" s="2293">
        <f>SUM(CF917:CI917)</f>
        <v>45.255091749283316</v>
      </c>
      <c r="CK917" s="946">
        <f>-CK39-SUM(CK893:CK916)</f>
        <v>15.341533588738415</v>
      </c>
      <c r="CL917" s="946">
        <f>-CL39-SUM(CL893:CL916)</f>
        <v>18.248077312009976</v>
      </c>
      <c r="CM917" s="946">
        <f>-CM39-SUM(CM893:CM916)</f>
        <v>5.4925937465451113</v>
      </c>
      <c r="CN917" s="946">
        <f>-CN39-SUM(CN893:CN916,CN919:CN926)</f>
        <v>11.30545254528063</v>
      </c>
      <c r="CO917" s="2293">
        <f>SUM(CK917:CN917)</f>
        <v>50.387657192574132</v>
      </c>
      <c r="CP917" s="946">
        <f>-CP39-SUM(CP893:CP916,CP919:CP926)</f>
        <v>9.8929795466249715</v>
      </c>
      <c r="CQ917" s="946">
        <f>-CQ39-SUM(CQ893:CQ916,CQ919:CQ926)</f>
        <v>14.653814916696362</v>
      </c>
      <c r="CR917" s="946">
        <f>-CR39-SUM(CR893:CR916,CR919:CR926)</f>
        <v>16.177214904972068</v>
      </c>
      <c r="CS917" s="946">
        <f>-CS39-SUM(CS893:CS916,CS919:CS926)</f>
        <v>15.262682849936944</v>
      </c>
      <c r="CT917" s="2293">
        <f>SUM(CP917:CS917)</f>
        <v>55.986692218230345</v>
      </c>
      <c r="CU917" s="3674">
        <v>22.5</v>
      </c>
      <c r="CV917" s="3674">
        <v>22.5</v>
      </c>
      <c r="CW917" s="3674">
        <v>22.5</v>
      </c>
      <c r="CX917" s="3674">
        <v>22.5</v>
      </c>
      <c r="CY917" s="2293">
        <f>SUM(CU917:CX917)</f>
        <v>90</v>
      </c>
      <c r="CZ917" s="661">
        <f>CY917</f>
        <v>90</v>
      </c>
      <c r="DA917" s="661">
        <f>CZ917</f>
        <v>90</v>
      </c>
      <c r="DB917" s="1062"/>
      <c r="DC917" s="1062"/>
      <c r="DD917" s="2308" t="s">
        <v>1068</v>
      </c>
      <c r="DE917" s="2293">
        <f t="shared" si="1797"/>
        <v>41.392999999999986</v>
      </c>
      <c r="DF917" s="2293">
        <f t="shared" si="1798"/>
        <v>43.565961538461522</v>
      </c>
      <c r="DG917" s="2293">
        <f t="shared" si="1799"/>
        <v>17.36921698113207</v>
      </c>
      <c r="DH917" s="2293">
        <f t="shared" si="1800"/>
        <v>20.975917634252525</v>
      </c>
      <c r="DI917" s="2293">
        <f t="shared" si="1801"/>
        <v>14.186826923076922</v>
      </c>
      <c r="DJ917" s="2293">
        <f t="shared" si="1802"/>
        <v>34.362144230769204</v>
      </c>
      <c r="DK917" s="2293">
        <f t="shared" si="1803"/>
        <v>63.598343304794511</v>
      </c>
      <c r="DL917" s="2293">
        <f t="shared" si="1804"/>
        <v>93.74889882657672</v>
      </c>
      <c r="DM917" s="2293">
        <f t="shared" si="1805"/>
        <v>53.350370186991881</v>
      </c>
      <c r="DN917" s="2293">
        <f t="shared" si="1806"/>
        <v>30.549127887040257</v>
      </c>
      <c r="DO917" s="2293">
        <f t="shared" si="1807"/>
        <v>-3.6784776923076947</v>
      </c>
      <c r="DP917" s="2293">
        <f t="shared" si="1808"/>
        <v>1.435243538461549</v>
      </c>
      <c r="DQ917" s="2293">
        <f t="shared" si="1809"/>
        <v>52.437770131030369</v>
      </c>
      <c r="DR917" s="2293">
        <f t="shared" si="1810"/>
        <v>46.387835597826083</v>
      </c>
      <c r="DS917" s="2293">
        <f t="shared" si="1811"/>
        <v>13.408273942332237</v>
      </c>
      <c r="DT917" s="2293">
        <f t="shared" si="1812"/>
        <v>45.255091749283316</v>
      </c>
      <c r="DU917" s="2293">
        <f t="shared" si="1813"/>
        <v>50.387657192574132</v>
      </c>
      <c r="DV917" s="2293">
        <f t="shared" si="1814"/>
        <v>55.986692218230345</v>
      </c>
      <c r="DW917" s="2293">
        <f t="shared" si="1815"/>
        <v>90</v>
      </c>
      <c r="DX917" s="2293">
        <f t="shared" si="1816"/>
        <v>90</v>
      </c>
      <c r="DY917" s="2293">
        <f t="shared" si="1817"/>
        <v>90</v>
      </c>
      <c r="DZ917" s="1062"/>
      <c r="EA917"/>
      <c r="EB917"/>
      <c r="EC917"/>
      <c r="ED917"/>
      <c r="EE917"/>
      <c r="EF917"/>
      <c r="EJ917"/>
      <c r="EK917"/>
      <c r="EL917"/>
      <c r="EM917" s="847"/>
      <c r="ER917" s="2402"/>
    </row>
    <row r="918" spans="1:148" ht="4.5" customHeight="1" x14ac:dyDescent="0.2">
      <c r="A918" s="1734"/>
      <c r="B918" s="891"/>
      <c r="C918" s="891"/>
      <c r="D918" s="891"/>
      <c r="E918" s="891"/>
      <c r="F918" s="891"/>
      <c r="G918" s="891"/>
      <c r="H918" s="891"/>
      <c r="I918" s="891"/>
      <c r="J918" s="891"/>
      <c r="K918" s="891"/>
      <c r="L918" s="891"/>
      <c r="M918" s="246"/>
      <c r="N918" s="891"/>
      <c r="O918" s="891"/>
      <c r="P918" s="891"/>
      <c r="Q918" s="891"/>
      <c r="R918" s="246"/>
      <c r="S918" s="891"/>
      <c r="T918" s="891"/>
      <c r="U918" s="891"/>
      <c r="V918" s="891"/>
      <c r="W918" s="246"/>
      <c r="X918" s="891"/>
      <c r="Y918" s="891"/>
      <c r="Z918" s="891"/>
      <c r="AA918" s="891"/>
      <c r="AB918" s="246"/>
      <c r="AC918" s="891"/>
      <c r="AD918" s="891"/>
      <c r="AE918" s="891"/>
      <c r="AF918" s="891"/>
      <c r="AG918" s="246"/>
      <c r="AH918" s="891"/>
      <c r="AI918" s="891"/>
      <c r="AJ918" s="891"/>
      <c r="AK918" s="891"/>
      <c r="AL918" s="246"/>
      <c r="AM918" s="891"/>
      <c r="AN918" s="891"/>
      <c r="AO918" s="891"/>
      <c r="AP918" s="891"/>
      <c r="AQ918" s="246"/>
      <c r="AR918" s="891"/>
      <c r="AS918" s="891"/>
      <c r="AT918" s="891"/>
      <c r="AU918" s="891"/>
      <c r="AV918" s="246"/>
      <c r="AW918" s="891"/>
      <c r="AX918" s="891"/>
      <c r="AY918" s="891"/>
      <c r="AZ918" s="891"/>
      <c r="BA918" s="246"/>
      <c r="BB918" s="891"/>
      <c r="BC918" s="891"/>
      <c r="BD918" s="891"/>
      <c r="BE918" s="891"/>
      <c r="BF918" s="246"/>
      <c r="BG918" s="891"/>
      <c r="BH918" s="891"/>
      <c r="BI918" s="891"/>
      <c r="BJ918" s="891"/>
      <c r="BK918" s="246"/>
      <c r="BL918" s="891"/>
      <c r="BM918" s="891"/>
      <c r="BN918" s="891"/>
      <c r="BO918" s="891"/>
      <c r="BP918" s="246"/>
      <c r="BQ918" s="891"/>
      <c r="BR918" s="891"/>
      <c r="BS918" s="891"/>
      <c r="BT918" s="891"/>
      <c r="BU918" s="246"/>
      <c r="BV918" s="891"/>
      <c r="BW918" s="891"/>
      <c r="BX918" s="891"/>
      <c r="BY918" s="891"/>
      <c r="BZ918" s="246"/>
      <c r="CA918" s="891"/>
      <c r="CB918" s="891"/>
      <c r="CC918" s="891"/>
      <c r="CD918" s="891"/>
      <c r="CE918" s="246"/>
      <c r="CF918" s="891"/>
      <c r="CG918" s="891"/>
      <c r="CH918" s="891"/>
      <c r="CI918" s="891"/>
      <c r="CJ918" s="246"/>
      <c r="CK918" s="891"/>
      <c r="CL918" s="891"/>
      <c r="CM918" s="767"/>
      <c r="CN918" s="767"/>
      <c r="CO918" s="246"/>
      <c r="CP918" s="767"/>
      <c r="CQ918" s="767"/>
      <c r="CR918" s="767"/>
      <c r="CS918" s="767"/>
      <c r="CT918" s="246"/>
      <c r="CU918" s="767"/>
      <c r="CV918" s="767"/>
      <c r="CW918" s="767"/>
      <c r="CX918" s="767"/>
      <c r="CY918" s="246"/>
      <c r="CZ918" s="2049"/>
      <c r="DA918" s="2049"/>
      <c r="DD918" s="1580"/>
      <c r="DE918" s="246"/>
      <c r="DF918" s="246"/>
      <c r="DG918" s="246"/>
      <c r="DH918" s="246"/>
      <c r="DI918" s="246"/>
      <c r="DJ918" s="246"/>
      <c r="DK918" s="246"/>
      <c r="DL918" s="246"/>
      <c r="DM918" s="246"/>
      <c r="DN918" s="246"/>
      <c r="DO918" s="246"/>
      <c r="DP918" s="246"/>
      <c r="DQ918" s="246"/>
      <c r="DR918" s="246"/>
      <c r="DS918" s="246"/>
      <c r="DT918" s="246"/>
      <c r="DU918" s="246"/>
      <c r="DV918" s="246"/>
      <c r="DW918" s="246"/>
      <c r="DX918" s="246"/>
      <c r="DY918" s="246"/>
      <c r="EK918"/>
      <c r="EL918"/>
    </row>
    <row r="919" spans="1:148" ht="12.75" customHeight="1" x14ac:dyDescent="0.2">
      <c r="A919" s="3101" t="s">
        <v>2491</v>
      </c>
      <c r="B919" s="891"/>
      <c r="C919" s="3111">
        <v>6.7500000000000004E-2</v>
      </c>
      <c r="D919" s="891"/>
      <c r="E919" s="891"/>
      <c r="F919" s="891"/>
      <c r="G919" s="891"/>
      <c r="H919" s="891"/>
      <c r="I919" s="891"/>
      <c r="J919" s="891"/>
      <c r="K919" s="891"/>
      <c r="L919" s="891"/>
      <c r="M919" s="246"/>
      <c r="N919" s="891"/>
      <c r="O919" s="891"/>
      <c r="P919" s="891"/>
      <c r="Q919" s="891"/>
      <c r="R919" s="246"/>
      <c r="S919" s="891"/>
      <c r="T919" s="891"/>
      <c r="U919" s="891"/>
      <c r="V919" s="891"/>
      <c r="W919" s="246"/>
      <c r="X919" s="891"/>
      <c r="Y919" s="891"/>
      <c r="Z919" s="891"/>
      <c r="AA919" s="891"/>
      <c r="AB919" s="246"/>
      <c r="AC919" s="891"/>
      <c r="AD919" s="891"/>
      <c r="AE919" s="891"/>
      <c r="AF919" s="891"/>
      <c r="AG919" s="246"/>
      <c r="AH919" s="891"/>
      <c r="AI919" s="891"/>
      <c r="AJ919" s="891"/>
      <c r="AK919" s="891"/>
      <c r="AL919" s="246"/>
      <c r="AM919" s="891"/>
      <c r="AN919" s="891"/>
      <c r="AO919" s="891"/>
      <c r="AP919" s="891"/>
      <c r="AQ919" s="246"/>
      <c r="AR919" s="891"/>
      <c r="AS919" s="891"/>
      <c r="AT919" s="891"/>
      <c r="AU919" s="891"/>
      <c r="AV919" s="246"/>
      <c r="AW919" s="891"/>
      <c r="AX919" s="891"/>
      <c r="AY919" s="891"/>
      <c r="AZ919" s="891"/>
      <c r="BA919" s="246"/>
      <c r="BB919" s="891"/>
      <c r="BC919" s="891"/>
      <c r="BD919" s="891"/>
      <c r="BE919" s="891"/>
      <c r="BF919" s="246"/>
      <c r="BG919" s="891"/>
      <c r="BH919" s="891"/>
      <c r="BI919" s="891"/>
      <c r="BJ919" s="891"/>
      <c r="BK919" s="246"/>
      <c r="BL919" s="891"/>
      <c r="BM919" s="891"/>
      <c r="BN919" s="891"/>
      <c r="BO919" s="891"/>
      <c r="BP919" s="246"/>
      <c r="BQ919" s="891"/>
      <c r="BR919" s="891"/>
      <c r="BS919" s="891"/>
      <c r="BT919" s="891"/>
      <c r="BU919" s="246"/>
      <c r="BV919" s="891"/>
      <c r="BW919" s="891"/>
      <c r="BX919" s="891"/>
      <c r="BY919" s="891"/>
      <c r="BZ919" s="246"/>
      <c r="CA919" s="891"/>
      <c r="CB919" s="891"/>
      <c r="CC919" s="891"/>
      <c r="CD919" s="891"/>
      <c r="CE919" s="246"/>
      <c r="CF919" s="891"/>
      <c r="CG919" s="891"/>
      <c r="CH919" s="891"/>
      <c r="CI919" s="891"/>
      <c r="CJ919" s="246"/>
      <c r="CK919" s="891"/>
      <c r="CL919" s="891"/>
      <c r="CM919" s="767"/>
      <c r="CN919" s="2349">
        <f>AVERAGE(CM855:CN855)*$C919/(1/(CN$4/$BZ$4))</f>
        <v>6.3196875000000006</v>
      </c>
      <c r="CO919" s="2293">
        <f t="shared" ref="CO919:CO926" si="1874">SUM(CK919:CN919)</f>
        <v>6.3196875000000006</v>
      </c>
      <c r="CP919" s="847">
        <f t="shared" ref="CP919:CS923" si="1875">AVERAGE(CO855:CP855)*$C919/(1/(CP$4/$BZ$4))</f>
        <v>5.6788043478260883</v>
      </c>
      <c r="CQ919" s="847">
        <f t="shared" si="1875"/>
        <v>5.6751358695652181</v>
      </c>
      <c r="CR919" s="3798">
        <f t="shared" si="1875"/>
        <v>5.67</v>
      </c>
      <c r="CS919" s="847">
        <f t="shared" si="1875"/>
        <v>5.6362500000000004</v>
      </c>
      <c r="CT919" s="2293">
        <f t="shared" ref="CT919:CT926" si="1876">SUM(CP919:CS919)</f>
        <v>22.660190217391307</v>
      </c>
      <c r="CU919" s="847">
        <f t="shared" ref="CU919:CX923" si="1877">AVERAGE(CP855:CU855)*$C919/(1/(CU$4/$BZ$4))</f>
        <v>5.5467391304347826</v>
      </c>
      <c r="CV919" s="847">
        <f t="shared" si="1877"/>
        <v>5.5861141304347841</v>
      </c>
      <c r="CW919" s="847">
        <f t="shared" si="1877"/>
        <v>5.6362500000000004</v>
      </c>
      <c r="CX919" s="847">
        <f t="shared" si="1877"/>
        <v>5.6362500000000004</v>
      </c>
      <c r="CY919" s="2293">
        <f t="shared" ref="CY919:CY926" si="1878">SUM(CU919:CX919)</f>
        <v>22.405353260869568</v>
      </c>
      <c r="CZ919" s="661">
        <f t="shared" ref="CZ919:DA923" si="1879">AVERAGE(CY855:CZ855)*$C919/(1/(CZ$4/$BZ$4))</f>
        <v>22.361209239130435</v>
      </c>
      <c r="DA919" s="661">
        <f t="shared" si="1879"/>
        <v>22.42247282608696</v>
      </c>
      <c r="DD919" s="1580"/>
      <c r="DE919" s="246"/>
      <c r="DF919" s="246"/>
      <c r="DG919" s="246"/>
      <c r="DH919" s="246"/>
      <c r="DI919" s="246"/>
      <c r="DJ919" s="246"/>
      <c r="DK919" s="246"/>
      <c r="DL919" s="246"/>
      <c r="DM919" s="246"/>
      <c r="DN919" s="246"/>
      <c r="DO919" s="246"/>
      <c r="DP919" s="246"/>
      <c r="DQ919" s="246"/>
      <c r="DR919" s="246"/>
      <c r="DS919" s="246"/>
      <c r="DT919" s="246"/>
      <c r="DU919" s="246"/>
      <c r="DV919" s="246"/>
      <c r="DW919" s="246"/>
      <c r="DX919" s="246"/>
      <c r="DY919" s="246"/>
      <c r="EK919"/>
      <c r="EL919"/>
    </row>
    <row r="920" spans="1:148" ht="12.75" customHeight="1" x14ac:dyDescent="0.2">
      <c r="A920" s="855" t="s">
        <v>2487</v>
      </c>
      <c r="B920" s="891"/>
      <c r="C920" s="3111">
        <v>7.1499999999999994E-2</v>
      </c>
      <c r="D920" s="891"/>
      <c r="E920" s="891"/>
      <c r="F920" s="891"/>
      <c r="G920" s="891"/>
      <c r="H920" s="891"/>
      <c r="I920" s="891"/>
      <c r="J920" s="891"/>
      <c r="K920" s="891"/>
      <c r="L920" s="891"/>
      <c r="M920" s="246"/>
      <c r="N920" s="891"/>
      <c r="O920" s="891"/>
      <c r="P920" s="891"/>
      <c r="Q920" s="891"/>
      <c r="R920" s="246"/>
      <c r="S920" s="891"/>
      <c r="T920" s="891"/>
      <c r="U920" s="891"/>
      <c r="V920" s="891"/>
      <c r="W920" s="246"/>
      <c r="X920" s="891"/>
      <c r="Y920" s="891"/>
      <c r="Z920" s="891"/>
      <c r="AA920" s="891"/>
      <c r="AB920" s="246"/>
      <c r="AC920" s="891"/>
      <c r="AD920" s="891"/>
      <c r="AE920" s="891"/>
      <c r="AF920" s="891"/>
      <c r="AG920" s="246"/>
      <c r="AH920" s="891"/>
      <c r="AI920" s="891"/>
      <c r="AJ920" s="891"/>
      <c r="AK920" s="891"/>
      <c r="AL920" s="246"/>
      <c r="AM920" s="891"/>
      <c r="AN920" s="891"/>
      <c r="AO920" s="891"/>
      <c r="AP920" s="891"/>
      <c r="AQ920" s="246"/>
      <c r="AR920" s="891"/>
      <c r="AS920" s="891"/>
      <c r="AT920" s="891"/>
      <c r="AU920" s="891"/>
      <c r="AV920" s="246"/>
      <c r="AW920" s="891"/>
      <c r="AX920" s="891"/>
      <c r="AY920" s="891"/>
      <c r="AZ920" s="891"/>
      <c r="BA920" s="246"/>
      <c r="BB920" s="891"/>
      <c r="BC920" s="891"/>
      <c r="BD920" s="891"/>
      <c r="BE920" s="891"/>
      <c r="BF920" s="246"/>
      <c r="BG920" s="891"/>
      <c r="BH920" s="891"/>
      <c r="BI920" s="891"/>
      <c r="BJ920" s="891"/>
      <c r="BK920" s="246"/>
      <c r="BL920" s="891"/>
      <c r="BM920" s="891"/>
      <c r="BN920" s="891"/>
      <c r="BO920" s="891"/>
      <c r="BP920" s="246"/>
      <c r="BQ920" s="891"/>
      <c r="BR920" s="891"/>
      <c r="BS920" s="891"/>
      <c r="BT920" s="891"/>
      <c r="BU920" s="246"/>
      <c r="BV920" s="891"/>
      <c r="BW920" s="891"/>
      <c r="BX920" s="891"/>
      <c r="BY920" s="891"/>
      <c r="BZ920" s="246"/>
      <c r="CA920" s="891"/>
      <c r="CB920" s="891"/>
      <c r="CC920" s="891"/>
      <c r="CD920" s="891"/>
      <c r="CE920" s="246"/>
      <c r="CF920" s="891"/>
      <c r="CG920" s="891"/>
      <c r="CH920" s="891"/>
      <c r="CI920" s="891"/>
      <c r="CJ920" s="246"/>
      <c r="CK920" s="891"/>
      <c r="CL920" s="891"/>
      <c r="CM920" s="767"/>
      <c r="CN920" s="2349">
        <f>AVERAGE(CM856:CN856)*$C920/(1/(CN$4/$BZ$4))</f>
        <v>4.0308124999999997</v>
      </c>
      <c r="CO920" s="2293">
        <f t="shared" si="1874"/>
        <v>4.0308124999999997</v>
      </c>
      <c r="CP920" s="847">
        <f t="shared" si="1875"/>
        <v>3.5847146739130435</v>
      </c>
      <c r="CQ920" s="847">
        <f t="shared" si="1875"/>
        <v>3.5803430706521735</v>
      </c>
      <c r="CR920" s="3798">
        <f t="shared" si="1875"/>
        <v>3.5749999999999997</v>
      </c>
      <c r="CS920" s="847">
        <f t="shared" si="1875"/>
        <v>3.5571249999999996</v>
      </c>
      <c r="CT920" s="2293">
        <f t="shared" si="1876"/>
        <v>14.297182744565216</v>
      </c>
      <c r="CU920" s="847">
        <f t="shared" si="1877"/>
        <v>3.5001970108695653</v>
      </c>
      <c r="CV920" s="847">
        <f t="shared" si="1877"/>
        <v>3.5243541666666665</v>
      </c>
      <c r="CW920" s="847">
        <f t="shared" si="1877"/>
        <v>3.5571249999999996</v>
      </c>
      <c r="CX920" s="1431">
        <f t="shared" si="1877"/>
        <v>3.5571249999999996</v>
      </c>
      <c r="CY920" s="2349">
        <f t="shared" si="1878"/>
        <v>14.13880117753623</v>
      </c>
      <c r="CZ920" s="661">
        <f t="shared" si="1879"/>
        <v>14.112506793478259</v>
      </c>
      <c r="DA920" s="661">
        <f t="shared" si="1879"/>
        <v>14.151171195652173</v>
      </c>
      <c r="DD920" s="1580"/>
      <c r="DE920" s="246"/>
      <c r="DF920" s="246"/>
      <c r="DG920" s="246"/>
      <c r="DH920" s="246"/>
      <c r="DI920" s="246"/>
      <c r="DJ920" s="246"/>
      <c r="DK920" s="246"/>
      <c r="DL920" s="246"/>
      <c r="DM920" s="246"/>
      <c r="DN920" s="246"/>
      <c r="DO920" s="246"/>
      <c r="DP920" s="246"/>
      <c r="DQ920" s="246"/>
      <c r="DR920" s="246"/>
      <c r="DS920" s="246"/>
      <c r="DT920" s="246"/>
      <c r="DU920" s="246"/>
      <c r="DV920" s="246"/>
      <c r="DW920" s="246"/>
      <c r="DX920" s="246"/>
      <c r="DY920" s="246"/>
      <c r="EK920"/>
      <c r="EL920"/>
    </row>
    <row r="921" spans="1:148" ht="12.75" customHeight="1" x14ac:dyDescent="0.2">
      <c r="A921" s="3101" t="s">
        <v>2488</v>
      </c>
      <c r="B921" s="891"/>
      <c r="C921" s="3111">
        <v>3.125E-2</v>
      </c>
      <c r="D921" s="891"/>
      <c r="E921" s="891"/>
      <c r="F921" s="891"/>
      <c r="G921" s="891"/>
      <c r="H921" s="891"/>
      <c r="I921" s="891"/>
      <c r="J921" s="891"/>
      <c r="K921" s="891"/>
      <c r="L921" s="891"/>
      <c r="M921" s="246"/>
      <c r="N921" s="891"/>
      <c r="O921" s="891"/>
      <c r="P921" s="891"/>
      <c r="Q921" s="891"/>
      <c r="R921" s="246"/>
      <c r="S921" s="891"/>
      <c r="T921" s="891"/>
      <c r="U921" s="891"/>
      <c r="V921" s="891"/>
      <c r="W921" s="246"/>
      <c r="X921" s="891"/>
      <c r="Y921" s="891"/>
      <c r="Z921" s="891"/>
      <c r="AA921" s="891"/>
      <c r="AB921" s="246"/>
      <c r="AC921" s="891"/>
      <c r="AD921" s="891"/>
      <c r="AE921" s="891"/>
      <c r="AF921" s="891"/>
      <c r="AG921" s="246"/>
      <c r="AH921" s="891"/>
      <c r="AI921" s="891"/>
      <c r="AJ921" s="891"/>
      <c r="AK921" s="891"/>
      <c r="AL921" s="246"/>
      <c r="AM921" s="891"/>
      <c r="AN921" s="891"/>
      <c r="AO921" s="891"/>
      <c r="AP921" s="891"/>
      <c r="AQ921" s="246"/>
      <c r="AR921" s="891"/>
      <c r="AS921" s="891"/>
      <c r="AT921" s="891"/>
      <c r="AU921" s="891"/>
      <c r="AV921" s="246"/>
      <c r="AW921" s="891"/>
      <c r="AX921" s="891"/>
      <c r="AY921" s="891"/>
      <c r="AZ921" s="891"/>
      <c r="BA921" s="246"/>
      <c r="BB921" s="891"/>
      <c r="BC921" s="891"/>
      <c r="BD921" s="891"/>
      <c r="BE921" s="891"/>
      <c r="BF921" s="246"/>
      <c r="BG921" s="891"/>
      <c r="BH921" s="891"/>
      <c r="BI921" s="891"/>
      <c r="BJ921" s="891"/>
      <c r="BK921" s="246"/>
      <c r="BL921" s="891"/>
      <c r="BM921" s="891"/>
      <c r="BN921" s="891"/>
      <c r="BO921" s="891"/>
      <c r="BP921" s="246"/>
      <c r="BQ921" s="891"/>
      <c r="BR921" s="891"/>
      <c r="BS921" s="891"/>
      <c r="BT921" s="891"/>
      <c r="BU921" s="246"/>
      <c r="BV921" s="891"/>
      <c r="BW921" s="891"/>
      <c r="BX921" s="891"/>
      <c r="BY921" s="891"/>
      <c r="BZ921" s="246"/>
      <c r="CA921" s="891"/>
      <c r="CB921" s="891"/>
      <c r="CC921" s="891"/>
      <c r="CD921" s="891"/>
      <c r="CE921" s="246"/>
      <c r="CF921" s="891"/>
      <c r="CG921" s="891"/>
      <c r="CH921" s="891"/>
      <c r="CI921" s="891"/>
      <c r="CJ921" s="246"/>
      <c r="CK921" s="891"/>
      <c r="CL921" s="891"/>
      <c r="CM921" s="767"/>
      <c r="CN921" s="2349">
        <f>AVERAGE(CM857:CN857)*$C921/(1/(CN$4/$BZ$4))</f>
        <v>2.50390625</v>
      </c>
      <c r="CO921" s="2293">
        <f t="shared" si="1874"/>
        <v>2.50390625</v>
      </c>
      <c r="CP921" s="847">
        <f t="shared" si="1875"/>
        <v>2.2240149456521743</v>
      </c>
      <c r="CQ921" s="847">
        <f t="shared" si="1875"/>
        <v>2.2487262228260869</v>
      </c>
      <c r="CR921" s="3798">
        <f t="shared" si="1875"/>
        <v>2.2734375</v>
      </c>
      <c r="CS921" s="847">
        <f t="shared" si="1875"/>
        <v>2.2734375</v>
      </c>
      <c r="CT921" s="2293">
        <f t="shared" si="1876"/>
        <v>9.0196161684782616</v>
      </c>
      <c r="CU921" s="847">
        <f t="shared" si="1877"/>
        <v>2.2240149456521743</v>
      </c>
      <c r="CV921" s="847">
        <f t="shared" si="1877"/>
        <v>2.2487262228260869</v>
      </c>
      <c r="CW921" s="847">
        <f t="shared" si="1877"/>
        <v>2.2734375</v>
      </c>
      <c r="CX921" s="1431">
        <f t="shared" si="1877"/>
        <v>2.2734375</v>
      </c>
      <c r="CY921" s="2349">
        <f t="shared" si="1878"/>
        <v>9.0196161684782616</v>
      </c>
      <c r="CZ921" s="661">
        <f t="shared" si="1879"/>
        <v>9.0196161684782599</v>
      </c>
      <c r="DA921" s="661">
        <f t="shared" si="1879"/>
        <v>9.0443274456521738</v>
      </c>
      <c r="DD921" s="1580"/>
      <c r="DE921" s="246"/>
      <c r="DF921" s="246"/>
      <c r="DG921" s="246"/>
      <c r="DH921" s="246"/>
      <c r="DI921" s="246"/>
      <c r="DJ921" s="246"/>
      <c r="DK921" s="246"/>
      <c r="DL921" s="246"/>
      <c r="DM921" s="246"/>
      <c r="DN921" s="246"/>
      <c r="DO921" s="246"/>
      <c r="DP921" s="246"/>
      <c r="DQ921" s="246"/>
      <c r="DR921" s="246"/>
      <c r="DS921" s="246"/>
      <c r="DT921" s="246"/>
      <c r="DU921" s="246"/>
      <c r="DV921" s="246"/>
      <c r="DW921" s="246"/>
      <c r="DX921" s="246"/>
      <c r="DY921" s="246"/>
      <c r="EK921"/>
      <c r="EL921"/>
    </row>
    <row r="922" spans="1:148" ht="12.75" customHeight="1" x14ac:dyDescent="0.2">
      <c r="A922" s="3101" t="s">
        <v>2489</v>
      </c>
      <c r="B922" s="891"/>
      <c r="C922" s="3111">
        <v>3.7499999999999999E-2</v>
      </c>
      <c r="D922" s="891"/>
      <c r="E922" s="891"/>
      <c r="F922" s="891"/>
      <c r="G922" s="891"/>
      <c r="H922" s="891"/>
      <c r="I922" s="891"/>
      <c r="J922" s="891"/>
      <c r="K922" s="891"/>
      <c r="L922" s="891"/>
      <c r="M922" s="246"/>
      <c r="N922" s="891"/>
      <c r="O922" s="891"/>
      <c r="P922" s="891"/>
      <c r="Q922" s="891"/>
      <c r="R922" s="246"/>
      <c r="S922" s="891"/>
      <c r="T922" s="891"/>
      <c r="U922" s="891"/>
      <c r="V922" s="891"/>
      <c r="W922" s="246"/>
      <c r="X922" s="891"/>
      <c r="Y922" s="891"/>
      <c r="Z922" s="891"/>
      <c r="AA922" s="891"/>
      <c r="AB922" s="246"/>
      <c r="AC922" s="891"/>
      <c r="AD922" s="891"/>
      <c r="AE922" s="891"/>
      <c r="AF922" s="891"/>
      <c r="AG922" s="246"/>
      <c r="AH922" s="891"/>
      <c r="AI922" s="891"/>
      <c r="AJ922" s="891"/>
      <c r="AK922" s="891"/>
      <c r="AL922" s="246"/>
      <c r="AM922" s="891"/>
      <c r="AN922" s="891"/>
      <c r="AO922" s="891"/>
      <c r="AP922" s="891"/>
      <c r="AQ922" s="246"/>
      <c r="AR922" s="891"/>
      <c r="AS922" s="891"/>
      <c r="AT922" s="891"/>
      <c r="AU922" s="891"/>
      <c r="AV922" s="246"/>
      <c r="AW922" s="891"/>
      <c r="AX922" s="891"/>
      <c r="AY922" s="891"/>
      <c r="AZ922" s="891"/>
      <c r="BA922" s="246"/>
      <c r="BB922" s="891"/>
      <c r="BC922" s="891"/>
      <c r="BD922" s="891"/>
      <c r="BE922" s="891"/>
      <c r="BF922" s="246"/>
      <c r="BG922" s="891"/>
      <c r="BH922" s="891"/>
      <c r="BI922" s="891"/>
      <c r="BJ922" s="891"/>
      <c r="BK922" s="246"/>
      <c r="BL922" s="891"/>
      <c r="BM922" s="891"/>
      <c r="BN922" s="891"/>
      <c r="BO922" s="891"/>
      <c r="BP922" s="246"/>
      <c r="BQ922" s="891"/>
      <c r="BR922" s="891"/>
      <c r="BS922" s="891"/>
      <c r="BT922" s="891"/>
      <c r="BU922" s="246"/>
      <c r="BV922" s="891"/>
      <c r="BW922" s="891"/>
      <c r="BX922" s="891"/>
      <c r="BY922" s="891"/>
      <c r="BZ922" s="246"/>
      <c r="CA922" s="891"/>
      <c r="CB922" s="891"/>
      <c r="CC922" s="891"/>
      <c r="CD922" s="891"/>
      <c r="CE922" s="246"/>
      <c r="CF922" s="891"/>
      <c r="CG922" s="891"/>
      <c r="CH922" s="891"/>
      <c r="CI922" s="891"/>
      <c r="CJ922" s="246"/>
      <c r="CK922" s="891"/>
      <c r="CL922" s="891"/>
      <c r="CM922" s="767"/>
      <c r="CN922" s="2349">
        <f>AVERAGE(CM858:CN858)*$C922/(1/(CN$4/$BZ$4))</f>
        <v>3.3515625</v>
      </c>
      <c r="CO922" s="2293">
        <f t="shared" si="1874"/>
        <v>3.3515625</v>
      </c>
      <c r="CP922" s="847">
        <f t="shared" si="1875"/>
        <v>3.1136209239130435</v>
      </c>
      <c r="CQ922" s="847">
        <f t="shared" si="1875"/>
        <v>3.1435801630434783</v>
      </c>
      <c r="CR922" s="3798">
        <f t="shared" si="1875"/>
        <v>3.1734374999999999</v>
      </c>
      <c r="CS922" s="847">
        <f t="shared" si="1875"/>
        <v>3.1687499999999997</v>
      </c>
      <c r="CT922" s="2293">
        <f t="shared" si="1876"/>
        <v>12.599388586956522</v>
      </c>
      <c r="CU922" s="847">
        <f t="shared" si="1877"/>
        <v>3.1029211956521738</v>
      </c>
      <c r="CV922" s="847">
        <f t="shared" si="1877"/>
        <v>3.1358525815217395</v>
      </c>
      <c r="CW922" s="847">
        <f t="shared" si="1877"/>
        <v>3.1687499999999997</v>
      </c>
      <c r="CX922" s="1431">
        <f t="shared" si="1877"/>
        <v>3.1687499999999997</v>
      </c>
      <c r="CY922" s="2349">
        <f t="shared" si="1878"/>
        <v>12.576273777173911</v>
      </c>
      <c r="CZ922" s="661">
        <f t="shared" si="1879"/>
        <v>12.571671195652172</v>
      </c>
      <c r="DA922" s="661">
        <f t="shared" si="1879"/>
        <v>12.606114130434781</v>
      </c>
      <c r="DD922" s="1580"/>
      <c r="DE922" s="246"/>
      <c r="DF922" s="246"/>
      <c r="DG922" s="246"/>
      <c r="DH922" s="246"/>
      <c r="DI922" s="246"/>
      <c r="DJ922" s="246"/>
      <c r="DK922" s="246"/>
      <c r="DL922" s="246"/>
      <c r="DM922" s="246"/>
      <c r="DN922" s="246"/>
      <c r="DO922" s="246"/>
      <c r="DP922" s="246"/>
      <c r="DQ922" s="246"/>
      <c r="DR922" s="246"/>
      <c r="DS922" s="246"/>
      <c r="DT922" s="246"/>
      <c r="DU922" s="246"/>
      <c r="DV922" s="246"/>
      <c r="DW922" s="246"/>
      <c r="DX922" s="246"/>
      <c r="DY922" s="246"/>
      <c r="EK922"/>
      <c r="EL922"/>
    </row>
    <row r="923" spans="1:148" ht="12.75" customHeight="1" x14ac:dyDescent="0.2">
      <c r="A923" s="3101" t="s">
        <v>2490</v>
      </c>
      <c r="B923" s="891"/>
      <c r="C923" s="3111">
        <v>4.4999999999999998E-2</v>
      </c>
      <c r="D923" s="891"/>
      <c r="E923" s="891"/>
      <c r="F923" s="891"/>
      <c r="G923" s="891"/>
      <c r="H923" s="891"/>
      <c r="I923" s="891"/>
      <c r="J923" s="891"/>
      <c r="K923" s="891"/>
      <c r="L923" s="891"/>
      <c r="M923" s="246"/>
      <c r="N923" s="891"/>
      <c r="O923" s="891"/>
      <c r="P923" s="891"/>
      <c r="Q923" s="891"/>
      <c r="R923" s="246"/>
      <c r="S923" s="891"/>
      <c r="T923" s="891"/>
      <c r="U923" s="891"/>
      <c r="V923" s="891"/>
      <c r="W923" s="246"/>
      <c r="X923" s="891"/>
      <c r="Y923" s="891"/>
      <c r="Z923" s="891"/>
      <c r="AA923" s="891"/>
      <c r="AB923" s="246"/>
      <c r="AC923" s="891"/>
      <c r="AD923" s="891"/>
      <c r="AE923" s="891"/>
      <c r="AF923" s="891"/>
      <c r="AG923" s="246"/>
      <c r="AH923" s="891"/>
      <c r="AI923" s="891"/>
      <c r="AJ923" s="891"/>
      <c r="AK923" s="891"/>
      <c r="AL923" s="246"/>
      <c r="AM923" s="891"/>
      <c r="AN923" s="891"/>
      <c r="AO923" s="891"/>
      <c r="AP923" s="891"/>
      <c r="AQ923" s="246"/>
      <c r="AR923" s="891"/>
      <c r="AS923" s="891"/>
      <c r="AT923" s="891"/>
      <c r="AU923" s="891"/>
      <c r="AV923" s="246"/>
      <c r="AW923" s="891"/>
      <c r="AX923" s="891"/>
      <c r="AY923" s="891"/>
      <c r="AZ923" s="891"/>
      <c r="BA923" s="246"/>
      <c r="BB923" s="891"/>
      <c r="BC923" s="891"/>
      <c r="BD923" s="891"/>
      <c r="BE923" s="891"/>
      <c r="BF923" s="246"/>
      <c r="BG923" s="891"/>
      <c r="BH923" s="891"/>
      <c r="BI923" s="891"/>
      <c r="BJ923" s="891"/>
      <c r="BK923" s="246"/>
      <c r="BL923" s="891"/>
      <c r="BM923" s="891"/>
      <c r="BN923" s="891"/>
      <c r="BO923" s="891"/>
      <c r="BP923" s="246"/>
      <c r="BQ923" s="891"/>
      <c r="BR923" s="891"/>
      <c r="BS923" s="891"/>
      <c r="BT923" s="891"/>
      <c r="BU923" s="246"/>
      <c r="BV923" s="891"/>
      <c r="BW923" s="891"/>
      <c r="BX923" s="891"/>
      <c r="BY923" s="891"/>
      <c r="BZ923" s="246"/>
      <c r="CA923" s="891"/>
      <c r="CB923" s="891"/>
      <c r="CC923" s="891"/>
      <c r="CD923" s="891"/>
      <c r="CE923" s="246"/>
      <c r="CF923" s="891"/>
      <c r="CG923" s="891"/>
      <c r="CH923" s="891"/>
      <c r="CI923" s="891"/>
      <c r="CJ923" s="246"/>
      <c r="CK923" s="891"/>
      <c r="CL923" s="891"/>
      <c r="CM923" s="767"/>
      <c r="CN923" s="2349">
        <f>AVERAGE(CM859:CN859)*$C923/(1/(CN$4/$BZ$4))</f>
        <v>3.4312499999999999</v>
      </c>
      <c r="CO923" s="2293">
        <f t="shared" si="1874"/>
        <v>3.4312499999999999</v>
      </c>
      <c r="CP923" s="847">
        <f t="shared" si="1875"/>
        <v>3.2245923913043479</v>
      </c>
      <c r="CQ923" s="847">
        <f t="shared" si="1875"/>
        <v>3.2604211956521736</v>
      </c>
      <c r="CR923" s="3798">
        <f t="shared" si="1875"/>
        <v>3.2962499999999997</v>
      </c>
      <c r="CS923" s="847">
        <f t="shared" si="1875"/>
        <v>3.2962499999999997</v>
      </c>
      <c r="CT923" s="2293">
        <f t="shared" si="1876"/>
        <v>13.07751358695652</v>
      </c>
      <c r="CU923" s="847">
        <f t="shared" si="1877"/>
        <v>3.2245923913043479</v>
      </c>
      <c r="CV923" s="847">
        <f t="shared" si="1877"/>
        <v>3.2604211956521736</v>
      </c>
      <c r="CW923" s="847">
        <f t="shared" si="1877"/>
        <v>3.2962499999999997</v>
      </c>
      <c r="CX923" s="1431">
        <f t="shared" si="1877"/>
        <v>3.2962499999999997</v>
      </c>
      <c r="CY923" s="2349">
        <f t="shared" si="1878"/>
        <v>13.07751358695652</v>
      </c>
      <c r="CZ923" s="661">
        <f t="shared" si="1879"/>
        <v>13.077513586956519</v>
      </c>
      <c r="DA923" s="661">
        <f t="shared" si="1879"/>
        <v>13.113342391304347</v>
      </c>
      <c r="DD923" s="1580"/>
      <c r="DE923" s="246"/>
      <c r="DF923" s="246"/>
      <c r="DG923" s="246"/>
      <c r="DH923" s="246"/>
      <c r="DI923" s="246"/>
      <c r="DJ923" s="246"/>
      <c r="DK923" s="246"/>
      <c r="DL923" s="246"/>
      <c r="DM923" s="246"/>
      <c r="DN923" s="246"/>
      <c r="DO923" s="246"/>
      <c r="DP923" s="246"/>
      <c r="DQ923" s="246"/>
      <c r="DR923" s="246"/>
      <c r="DS923" s="246"/>
      <c r="DT923" s="246"/>
      <c r="DU923" s="246"/>
      <c r="DV923" s="246"/>
      <c r="DW923" s="246"/>
      <c r="DX923" s="246"/>
      <c r="DY923" s="246"/>
      <c r="EK923"/>
      <c r="EL923"/>
    </row>
    <row r="924" spans="1:148" ht="12.75" customHeight="1" x14ac:dyDescent="0.2">
      <c r="A924" s="3112" t="s">
        <v>2496</v>
      </c>
      <c r="B924" s="891"/>
      <c r="C924" s="3111">
        <v>0.03</v>
      </c>
      <c r="D924" s="891"/>
      <c r="E924" s="891"/>
      <c r="F924" s="891"/>
      <c r="G924" s="891"/>
      <c r="H924" s="891"/>
      <c r="I924" s="891"/>
      <c r="J924" s="891"/>
      <c r="K924" s="891"/>
      <c r="L924" s="891"/>
      <c r="M924" s="246"/>
      <c r="N924" s="891"/>
      <c r="O924" s="891"/>
      <c r="P924" s="891"/>
      <c r="Q924" s="891"/>
      <c r="R924" s="246"/>
      <c r="S924" s="891"/>
      <c r="T924" s="891"/>
      <c r="U924" s="891"/>
      <c r="V924" s="891"/>
      <c r="W924" s="246"/>
      <c r="X924" s="891"/>
      <c r="Y924" s="891"/>
      <c r="Z924" s="891"/>
      <c r="AA924" s="891"/>
      <c r="AB924" s="246"/>
      <c r="AC924" s="891"/>
      <c r="AD924" s="891"/>
      <c r="AE924" s="891"/>
      <c r="AF924" s="891"/>
      <c r="AG924" s="246"/>
      <c r="AH924" s="891"/>
      <c r="AI924" s="891"/>
      <c r="AJ924" s="891"/>
      <c r="AK924" s="891"/>
      <c r="AL924" s="246"/>
      <c r="AM924" s="891"/>
      <c r="AN924" s="891"/>
      <c r="AO924" s="891"/>
      <c r="AP924" s="891"/>
      <c r="AQ924" s="246"/>
      <c r="AR924" s="891"/>
      <c r="AS924" s="891"/>
      <c r="AT924" s="891"/>
      <c r="AU924" s="891"/>
      <c r="AV924" s="246"/>
      <c r="AW924" s="891"/>
      <c r="AX924" s="891"/>
      <c r="AY924" s="891"/>
      <c r="AZ924" s="891"/>
      <c r="BA924" s="246"/>
      <c r="BB924" s="891"/>
      <c r="BC924" s="891"/>
      <c r="BD924" s="891"/>
      <c r="BE924" s="891"/>
      <c r="BF924" s="246"/>
      <c r="BG924" s="891"/>
      <c r="BH924" s="891"/>
      <c r="BI924" s="891"/>
      <c r="BJ924" s="891"/>
      <c r="BK924" s="246"/>
      <c r="BL924" s="891"/>
      <c r="BM924" s="891"/>
      <c r="BN924" s="891"/>
      <c r="BO924" s="891"/>
      <c r="BP924" s="246"/>
      <c r="BQ924" s="891"/>
      <c r="BR924" s="891"/>
      <c r="BS924" s="891"/>
      <c r="BT924" s="891"/>
      <c r="BU924" s="246"/>
      <c r="BV924" s="891"/>
      <c r="BW924" s="891"/>
      <c r="BX924" s="891"/>
      <c r="BY924" s="891"/>
      <c r="BZ924" s="246"/>
      <c r="CA924" s="891"/>
      <c r="CB924" s="891"/>
      <c r="CC924" s="891"/>
      <c r="CD924" s="891"/>
      <c r="CE924" s="246"/>
      <c r="CF924" s="891"/>
      <c r="CG924" s="891"/>
      <c r="CH924" s="891"/>
      <c r="CI924" s="891"/>
      <c r="CJ924" s="246"/>
      <c r="CK924" s="891"/>
      <c r="CL924" s="891"/>
      <c r="CM924" s="767"/>
      <c r="CN924" s="2349">
        <f>AVERAGE(CM867:CN867)*$C924/(1/(CN$4/$BZ$4))</f>
        <v>1.2749999999999999</v>
      </c>
      <c r="CO924" s="2293">
        <f t="shared" si="1874"/>
        <v>1.2749999999999999</v>
      </c>
      <c r="CP924" s="2349">
        <f t="shared" ref="CP924:CS926" si="1880">AVERAGE(CO867:CP867)*$C924/(1/(CP$4/$BZ$4))</f>
        <v>1.2692934782608696</v>
      </c>
      <c r="CQ924" s="2349">
        <f t="shared" si="1880"/>
        <v>1.2833967391304346</v>
      </c>
      <c r="CR924" s="3798">
        <f t="shared" si="1880"/>
        <v>1.29375</v>
      </c>
      <c r="CS924" s="2349">
        <f t="shared" si="1880"/>
        <v>1.29</v>
      </c>
      <c r="CT924" s="2293">
        <f t="shared" si="1876"/>
        <v>5.1364402173913044</v>
      </c>
      <c r="CU924" s="2349">
        <f t="shared" ref="CU924:CX926" si="1881">AVERAGE(CP867:CU867)*$C924/(1/(CU$4/$BZ$4))</f>
        <v>1.2644021739130435</v>
      </c>
      <c r="CV924" s="2349">
        <f t="shared" si="1881"/>
        <v>1.2772146739130432</v>
      </c>
      <c r="CW924" s="2349">
        <f t="shared" si="1881"/>
        <v>1.29</v>
      </c>
      <c r="CX924" s="3012">
        <f t="shared" si="1881"/>
        <v>1.29</v>
      </c>
      <c r="CY924" s="3012">
        <f t="shared" si="1878"/>
        <v>5.1216168478260871</v>
      </c>
      <c r="CZ924" s="2293">
        <f t="shared" ref="CZ924:DA926" si="1882">AVERAGE(CY867:CZ867)*$C924/(1/(CZ$4/$BZ$4))</f>
        <v>5.1179347826086952</v>
      </c>
      <c r="DA924" s="2293">
        <f t="shared" si="1882"/>
        <v>5.1319565217391307</v>
      </c>
      <c r="DD924" s="1580"/>
      <c r="DE924" s="246"/>
      <c r="DF924" s="246"/>
      <c r="DG924" s="246"/>
      <c r="DH924" s="246"/>
      <c r="DI924" s="246"/>
      <c r="DJ924" s="246"/>
      <c r="DK924" s="246"/>
      <c r="DL924" s="246"/>
      <c r="DM924" s="246"/>
      <c r="DN924" s="246"/>
      <c r="DO924" s="246"/>
      <c r="DP924" s="246"/>
      <c r="DQ924" s="246"/>
      <c r="DR924" s="246"/>
      <c r="DS924" s="246"/>
      <c r="DT924" s="246"/>
      <c r="DU924" s="246"/>
      <c r="DV924" s="246"/>
      <c r="DW924" s="246"/>
      <c r="DX924" s="246"/>
      <c r="DY924" s="246"/>
      <c r="EK924"/>
      <c r="EL924"/>
    </row>
    <row r="925" spans="1:148" ht="12.75" customHeight="1" x14ac:dyDescent="0.2">
      <c r="A925" s="3112" t="s">
        <v>1378</v>
      </c>
      <c r="B925" s="891"/>
      <c r="C925" s="3111">
        <v>0.01</v>
      </c>
      <c r="D925" s="891"/>
      <c r="E925" s="891"/>
      <c r="F925" s="891"/>
      <c r="G925" s="891"/>
      <c r="H925" s="891"/>
      <c r="I925" s="891"/>
      <c r="J925" s="891"/>
      <c r="K925" s="891"/>
      <c r="L925" s="891"/>
      <c r="M925" s="246"/>
      <c r="N925" s="891"/>
      <c r="O925" s="891"/>
      <c r="P925" s="891"/>
      <c r="Q925" s="891"/>
      <c r="R925" s="246"/>
      <c r="S925" s="891"/>
      <c r="T925" s="891"/>
      <c r="U925" s="891"/>
      <c r="V925" s="891"/>
      <c r="W925" s="246"/>
      <c r="X925" s="891"/>
      <c r="Y925" s="891"/>
      <c r="Z925" s="891"/>
      <c r="AA925" s="891"/>
      <c r="AB925" s="246"/>
      <c r="AC925" s="891"/>
      <c r="AD925" s="891"/>
      <c r="AE925" s="891"/>
      <c r="AF925" s="891"/>
      <c r="AG925" s="246"/>
      <c r="AH925" s="891"/>
      <c r="AI925" s="891"/>
      <c r="AJ925" s="891"/>
      <c r="AK925" s="891"/>
      <c r="AL925" s="246"/>
      <c r="AM925" s="891"/>
      <c r="AN925" s="891"/>
      <c r="AO925" s="891"/>
      <c r="AP925" s="891"/>
      <c r="AQ925" s="246"/>
      <c r="AR925" s="891"/>
      <c r="AS925" s="891"/>
      <c r="AT925" s="891"/>
      <c r="AU925" s="891"/>
      <c r="AV925" s="246"/>
      <c r="AW925" s="891"/>
      <c r="AX925" s="891"/>
      <c r="AY925" s="891"/>
      <c r="AZ925" s="891"/>
      <c r="BA925" s="246"/>
      <c r="BB925" s="891"/>
      <c r="BC925" s="891"/>
      <c r="BD925" s="891"/>
      <c r="BE925" s="891"/>
      <c r="BF925" s="246"/>
      <c r="BG925" s="891"/>
      <c r="BH925" s="891"/>
      <c r="BI925" s="891"/>
      <c r="BJ925" s="891"/>
      <c r="BK925" s="246"/>
      <c r="BL925" s="891"/>
      <c r="BM925" s="891"/>
      <c r="BN925" s="891"/>
      <c r="BO925" s="891"/>
      <c r="BP925" s="246"/>
      <c r="BQ925" s="891"/>
      <c r="BR925" s="891"/>
      <c r="BS925" s="891"/>
      <c r="BT925" s="891"/>
      <c r="BU925" s="246"/>
      <c r="BV925" s="891"/>
      <c r="BW925" s="891"/>
      <c r="BX925" s="891"/>
      <c r="BY925" s="891"/>
      <c r="BZ925" s="246"/>
      <c r="CA925" s="891"/>
      <c r="CB925" s="891"/>
      <c r="CC925" s="891"/>
      <c r="CD925" s="891"/>
      <c r="CE925" s="246"/>
      <c r="CF925" s="891"/>
      <c r="CG925" s="891"/>
      <c r="CH925" s="891"/>
      <c r="CI925" s="891"/>
      <c r="CJ925" s="246"/>
      <c r="CK925" s="891"/>
      <c r="CL925" s="891"/>
      <c r="CM925" s="767"/>
      <c r="CN925" s="2349">
        <f>AVERAGE(CM868:CN868)*$C925/(1/(CN$4/$BZ$4))</f>
        <v>0</v>
      </c>
      <c r="CO925" s="2293">
        <f t="shared" si="1874"/>
        <v>0</v>
      </c>
      <c r="CP925" s="2349">
        <f t="shared" si="1880"/>
        <v>0</v>
      </c>
      <c r="CQ925" s="2349">
        <f t="shared" si="1880"/>
        <v>0</v>
      </c>
      <c r="CR925" s="3798">
        <f t="shared" si="1880"/>
        <v>0</v>
      </c>
      <c r="CS925" s="2349">
        <f t="shared" si="1880"/>
        <v>0</v>
      </c>
      <c r="CT925" s="2293">
        <f t="shared" si="1876"/>
        <v>0</v>
      </c>
      <c r="CU925" s="2349">
        <f t="shared" si="1881"/>
        <v>0</v>
      </c>
      <c r="CV925" s="2349">
        <f t="shared" si="1881"/>
        <v>0</v>
      </c>
      <c r="CW925" s="2349">
        <f t="shared" si="1881"/>
        <v>0</v>
      </c>
      <c r="CX925" s="3012">
        <f t="shared" si="1881"/>
        <v>0</v>
      </c>
      <c r="CY925" s="3012">
        <f t="shared" si="1878"/>
        <v>0</v>
      </c>
      <c r="CZ925" s="2293">
        <f t="shared" si="1882"/>
        <v>0</v>
      </c>
      <c r="DA925" s="2293">
        <f t="shared" si="1882"/>
        <v>0</v>
      </c>
      <c r="DD925" s="1580"/>
      <c r="DE925" s="246"/>
      <c r="DF925" s="246"/>
      <c r="DG925" s="246"/>
      <c r="DH925" s="246"/>
      <c r="DI925" s="246"/>
      <c r="DJ925" s="246"/>
      <c r="DK925" s="246"/>
      <c r="DL925" s="246"/>
      <c r="DM925" s="246"/>
      <c r="DN925" s="246"/>
      <c r="DO925" s="246"/>
      <c r="DP925" s="246"/>
      <c r="DQ925" s="246"/>
      <c r="DR925" s="246"/>
      <c r="DS925" s="246"/>
      <c r="DT925" s="246"/>
      <c r="DU925" s="246"/>
      <c r="DV925" s="246"/>
      <c r="DW925" s="246"/>
      <c r="DX925" s="246"/>
      <c r="DY925" s="246"/>
      <c r="EK925"/>
      <c r="EL925"/>
    </row>
    <row r="926" spans="1:148" ht="12.75" customHeight="1" x14ac:dyDescent="0.2">
      <c r="A926" s="3112" t="s">
        <v>2493</v>
      </c>
      <c r="B926" s="891"/>
      <c r="C926" s="3111">
        <v>0.05</v>
      </c>
      <c r="D926" s="891"/>
      <c r="E926" s="891"/>
      <c r="F926" s="891"/>
      <c r="G926" s="891"/>
      <c r="H926" s="891"/>
      <c r="I926" s="891"/>
      <c r="J926" s="891"/>
      <c r="K926" s="891"/>
      <c r="L926" s="891"/>
      <c r="M926" s="246"/>
      <c r="N926" s="891"/>
      <c r="O926" s="891"/>
      <c r="P926" s="891"/>
      <c r="Q926" s="891"/>
      <c r="R926" s="246"/>
      <c r="S926" s="891"/>
      <c r="T926" s="891"/>
      <c r="U926" s="891"/>
      <c r="V926" s="891"/>
      <c r="W926" s="246"/>
      <c r="X926" s="891"/>
      <c r="Y926" s="891"/>
      <c r="Z926" s="891"/>
      <c r="AA926" s="891"/>
      <c r="AB926" s="246"/>
      <c r="AC926" s="891"/>
      <c r="AD926" s="891"/>
      <c r="AE926" s="891"/>
      <c r="AF926" s="891"/>
      <c r="AG926" s="246"/>
      <c r="AH926" s="891"/>
      <c r="AI926" s="891"/>
      <c r="AJ926" s="891"/>
      <c r="AK926" s="891"/>
      <c r="AL926" s="246"/>
      <c r="AM926" s="891"/>
      <c r="AN926" s="891"/>
      <c r="AO926" s="891"/>
      <c r="AP926" s="891"/>
      <c r="AQ926" s="246"/>
      <c r="AR926" s="891"/>
      <c r="AS926" s="891"/>
      <c r="AT926" s="891"/>
      <c r="AU926" s="891"/>
      <c r="AV926" s="246"/>
      <c r="AW926" s="891"/>
      <c r="AX926" s="891"/>
      <c r="AY926" s="891"/>
      <c r="AZ926" s="891"/>
      <c r="BA926" s="246"/>
      <c r="BB926" s="891"/>
      <c r="BC926" s="891"/>
      <c r="BD926" s="891"/>
      <c r="BE926" s="891"/>
      <c r="BF926" s="246"/>
      <c r="BG926" s="891"/>
      <c r="BH926" s="891"/>
      <c r="BI926" s="891"/>
      <c r="BJ926" s="891"/>
      <c r="BK926" s="246"/>
      <c r="BL926" s="891"/>
      <c r="BM926" s="891"/>
      <c r="BN926" s="891"/>
      <c r="BO926" s="891"/>
      <c r="BP926" s="246"/>
      <c r="BQ926" s="891"/>
      <c r="BR926" s="891"/>
      <c r="BS926" s="891"/>
      <c r="BT926" s="891"/>
      <c r="BU926" s="246"/>
      <c r="BV926" s="891"/>
      <c r="BW926" s="891"/>
      <c r="BX926" s="891"/>
      <c r="BY926" s="891"/>
      <c r="BZ926" s="246"/>
      <c r="CA926" s="891"/>
      <c r="CB926" s="891"/>
      <c r="CC926" s="891"/>
      <c r="CD926" s="891"/>
      <c r="CE926" s="246"/>
      <c r="CF926" s="891"/>
      <c r="CG926" s="891"/>
      <c r="CH926" s="891"/>
      <c r="CI926" s="891"/>
      <c r="CJ926" s="246"/>
      <c r="CK926" s="891"/>
      <c r="CL926" s="891"/>
      <c r="CM926" s="767"/>
      <c r="CN926" s="2349">
        <f>AVERAGE(CM869:CN869)*$C926/(1/(CN$4/$BZ$4))</f>
        <v>0.1125</v>
      </c>
      <c r="CO926" s="2293">
        <f t="shared" si="1874"/>
        <v>0.1125</v>
      </c>
      <c r="CP926" s="2349">
        <f t="shared" si="1880"/>
        <v>0</v>
      </c>
      <c r="CQ926" s="2349">
        <f t="shared" si="1880"/>
        <v>0</v>
      </c>
      <c r="CR926" s="3798">
        <f t="shared" si="1880"/>
        <v>0</v>
      </c>
      <c r="CS926" s="2349">
        <f t="shared" si="1880"/>
        <v>0</v>
      </c>
      <c r="CT926" s="2293">
        <f t="shared" si="1876"/>
        <v>0</v>
      </c>
      <c r="CU926" s="2349">
        <f t="shared" si="1881"/>
        <v>0</v>
      </c>
      <c r="CV926" s="2349">
        <f t="shared" si="1881"/>
        <v>0</v>
      </c>
      <c r="CW926" s="2349">
        <f t="shared" si="1881"/>
        <v>0</v>
      </c>
      <c r="CX926" s="3012">
        <f t="shared" si="1881"/>
        <v>0</v>
      </c>
      <c r="CY926" s="3012">
        <f t="shared" si="1878"/>
        <v>0</v>
      </c>
      <c r="CZ926" s="2293">
        <f t="shared" si="1882"/>
        <v>0</v>
      </c>
      <c r="DA926" s="2293">
        <f t="shared" si="1882"/>
        <v>0</v>
      </c>
      <c r="DD926" s="1580"/>
      <c r="DE926" s="246"/>
      <c r="DF926" s="246"/>
      <c r="DG926" s="246"/>
      <c r="DH926" s="246"/>
      <c r="DI926" s="246"/>
      <c r="DJ926" s="246"/>
      <c r="DK926" s="246"/>
      <c r="DL926" s="246"/>
      <c r="DM926" s="246"/>
      <c r="DN926" s="246"/>
      <c r="DO926" s="246"/>
      <c r="DP926" s="246"/>
      <c r="DQ926" s="246"/>
      <c r="DR926" s="246"/>
      <c r="DS926" s="246"/>
      <c r="DT926" s="246"/>
      <c r="DU926" s="246"/>
      <c r="DV926" s="246"/>
      <c r="DW926" s="246"/>
      <c r="DX926" s="246"/>
      <c r="DY926" s="246"/>
      <c r="EK926"/>
      <c r="EL926"/>
    </row>
    <row r="927" spans="1:148" x14ac:dyDescent="0.2">
      <c r="A927" s="1435" t="s">
        <v>754</v>
      </c>
      <c r="B927" s="852"/>
      <c r="C927" s="852"/>
      <c r="D927" s="852"/>
      <c r="E927" s="852"/>
      <c r="F927" s="852"/>
      <c r="G927" s="852"/>
      <c r="H927" s="852"/>
      <c r="I927" s="852">
        <f t="shared" ref="I927:AN927" si="1883">SUM(I893:I917)</f>
        <v>23</v>
      </c>
      <c r="J927" s="852">
        <f t="shared" si="1883"/>
        <v>27</v>
      </c>
      <c r="K927" s="852">
        <f t="shared" si="1883"/>
        <v>22</v>
      </c>
      <c r="L927" s="852">
        <f t="shared" si="1883"/>
        <v>28</v>
      </c>
      <c r="M927" s="843">
        <f t="shared" si="1883"/>
        <v>100</v>
      </c>
      <c r="N927" s="852">
        <f t="shared" si="1883"/>
        <v>22</v>
      </c>
      <c r="O927" s="852">
        <f t="shared" si="1883"/>
        <v>27</v>
      </c>
      <c r="P927" s="852">
        <f t="shared" si="1883"/>
        <v>26</v>
      </c>
      <c r="Q927" s="852">
        <f t="shared" si="1883"/>
        <v>34</v>
      </c>
      <c r="R927" s="843">
        <f t="shared" si="1883"/>
        <v>109</v>
      </c>
      <c r="S927" s="852">
        <f t="shared" si="1883"/>
        <v>19</v>
      </c>
      <c r="T927" s="852">
        <f t="shared" si="1883"/>
        <v>21</v>
      </c>
      <c r="U927" s="852">
        <f t="shared" si="1883"/>
        <v>19</v>
      </c>
      <c r="V927" s="852">
        <f t="shared" si="1883"/>
        <v>27</v>
      </c>
      <c r="W927" s="843">
        <f t="shared" si="1883"/>
        <v>86</v>
      </c>
      <c r="X927" s="852">
        <f t="shared" si="1883"/>
        <v>26</v>
      </c>
      <c r="Y927" s="852">
        <f t="shared" si="1883"/>
        <v>25</v>
      </c>
      <c r="Z927" s="852">
        <f t="shared" si="1883"/>
        <v>26</v>
      </c>
      <c r="AA927" s="852">
        <f t="shared" si="1883"/>
        <v>33</v>
      </c>
      <c r="AB927" s="843">
        <f t="shared" si="1883"/>
        <v>110</v>
      </c>
      <c r="AC927" s="852">
        <f t="shared" si="1883"/>
        <v>22</v>
      </c>
      <c r="AD927" s="852">
        <f t="shared" si="1883"/>
        <v>24</v>
      </c>
      <c r="AE927" s="852">
        <f t="shared" si="1883"/>
        <v>23</v>
      </c>
      <c r="AF927" s="852">
        <f t="shared" si="1883"/>
        <v>30</v>
      </c>
      <c r="AG927" s="843">
        <f t="shared" si="1883"/>
        <v>99</v>
      </c>
      <c r="AH927" s="852">
        <f t="shared" si="1883"/>
        <v>24</v>
      </c>
      <c r="AI927" s="852">
        <f t="shared" si="1883"/>
        <v>21</v>
      </c>
      <c r="AJ927" s="852">
        <f t="shared" si="1883"/>
        <v>24</v>
      </c>
      <c r="AK927" s="852">
        <f t="shared" si="1883"/>
        <v>37</v>
      </c>
      <c r="AL927" s="843">
        <f t="shared" si="1883"/>
        <v>106</v>
      </c>
      <c r="AM927" s="852">
        <f t="shared" si="1883"/>
        <v>27</v>
      </c>
      <c r="AN927" s="852">
        <f t="shared" si="1883"/>
        <v>30</v>
      </c>
      <c r="AO927" s="852">
        <f t="shared" ref="AO927:BT927" si="1884">SUM(AO893:AO917)</f>
        <v>29</v>
      </c>
      <c r="AP927" s="852">
        <f t="shared" si="1884"/>
        <v>38</v>
      </c>
      <c r="AQ927" s="843">
        <f t="shared" si="1884"/>
        <v>124</v>
      </c>
      <c r="AR927" s="852">
        <f t="shared" si="1884"/>
        <v>33</v>
      </c>
      <c r="AS927" s="852">
        <f t="shared" si="1884"/>
        <v>52</v>
      </c>
      <c r="AT927" s="852">
        <f t="shared" si="1884"/>
        <v>42</v>
      </c>
      <c r="AU927" s="852">
        <f t="shared" si="1884"/>
        <v>57</v>
      </c>
      <c r="AV927" s="843">
        <f t="shared" si="1884"/>
        <v>184</v>
      </c>
      <c r="AW927" s="852">
        <f t="shared" si="1884"/>
        <v>42</v>
      </c>
      <c r="AX927" s="852">
        <f t="shared" si="1884"/>
        <v>38</v>
      </c>
      <c r="AY927" s="852">
        <f t="shared" si="1884"/>
        <v>33</v>
      </c>
      <c r="AZ927" s="852">
        <f t="shared" si="1884"/>
        <v>50</v>
      </c>
      <c r="BA927" s="843">
        <f t="shared" si="1884"/>
        <v>163</v>
      </c>
      <c r="BB927" s="852">
        <f t="shared" si="1884"/>
        <v>29</v>
      </c>
      <c r="BC927" s="852">
        <f t="shared" si="1884"/>
        <v>28</v>
      </c>
      <c r="BD927" s="852">
        <f t="shared" si="1884"/>
        <v>27</v>
      </c>
      <c r="BE927" s="852">
        <f t="shared" si="1884"/>
        <v>34</v>
      </c>
      <c r="BF927" s="843">
        <f t="shared" si="1884"/>
        <v>118</v>
      </c>
      <c r="BG927" s="852">
        <f t="shared" si="1884"/>
        <v>34</v>
      </c>
      <c r="BH927" s="852">
        <f t="shared" si="1884"/>
        <v>33</v>
      </c>
      <c r="BI927" s="852">
        <f t="shared" si="1884"/>
        <v>31</v>
      </c>
      <c r="BJ927" s="852">
        <f t="shared" si="1884"/>
        <v>39</v>
      </c>
      <c r="BK927" s="843">
        <f t="shared" si="1884"/>
        <v>137</v>
      </c>
      <c r="BL927" s="852">
        <f t="shared" si="1884"/>
        <v>32</v>
      </c>
      <c r="BM927" s="852">
        <f t="shared" si="1884"/>
        <v>29</v>
      </c>
      <c r="BN927" s="852">
        <f t="shared" si="1884"/>
        <v>32</v>
      </c>
      <c r="BO927" s="852">
        <f t="shared" si="1884"/>
        <v>42</v>
      </c>
      <c r="BP927" s="843">
        <f t="shared" si="1884"/>
        <v>135</v>
      </c>
      <c r="BQ927" s="852">
        <f t="shared" si="1884"/>
        <v>33</v>
      </c>
      <c r="BR927" s="852">
        <f t="shared" si="1884"/>
        <v>34</v>
      </c>
      <c r="BS927" s="852">
        <f t="shared" si="1884"/>
        <v>29</v>
      </c>
      <c r="BT927" s="852">
        <f t="shared" si="1884"/>
        <v>41</v>
      </c>
      <c r="BU927" s="843">
        <f t="shared" ref="BU927:CM927" si="1885">SUM(BU893:BU917)</f>
        <v>137</v>
      </c>
      <c r="BV927" s="852">
        <f t="shared" si="1885"/>
        <v>31</v>
      </c>
      <c r="BW927" s="852">
        <f t="shared" si="1885"/>
        <v>29</v>
      </c>
      <c r="BX927" s="852">
        <f t="shared" si="1885"/>
        <v>28</v>
      </c>
      <c r="BY927" s="852">
        <f t="shared" si="1885"/>
        <v>32</v>
      </c>
      <c r="BZ927" s="843">
        <f t="shared" si="1885"/>
        <v>119.99999999999999</v>
      </c>
      <c r="CA927" s="852">
        <f t="shared" si="1885"/>
        <v>30</v>
      </c>
      <c r="CB927" s="852">
        <f t="shared" si="1885"/>
        <v>30</v>
      </c>
      <c r="CC927" s="852">
        <f t="shared" si="1885"/>
        <v>29</v>
      </c>
      <c r="CD927" s="852">
        <f t="shared" si="1885"/>
        <v>26</v>
      </c>
      <c r="CE927" s="843">
        <f t="shared" si="1885"/>
        <v>115</v>
      </c>
      <c r="CF927" s="852">
        <f t="shared" si="1885"/>
        <v>36</v>
      </c>
      <c r="CG927" s="852">
        <f t="shared" si="1885"/>
        <v>42</v>
      </c>
      <c r="CH927" s="852">
        <f t="shared" si="1885"/>
        <v>43</v>
      </c>
      <c r="CI927" s="1646">
        <f t="shared" si="1885"/>
        <v>46</v>
      </c>
      <c r="CJ927" s="843">
        <f t="shared" si="1885"/>
        <v>166.99999999999997</v>
      </c>
      <c r="CK927" s="852">
        <f t="shared" si="1885"/>
        <v>47</v>
      </c>
      <c r="CL927" s="852">
        <f t="shared" si="1885"/>
        <v>57</v>
      </c>
      <c r="CM927" s="852">
        <f t="shared" si="1885"/>
        <v>45</v>
      </c>
      <c r="CN927" s="3100">
        <f>SUM(CN893:CN926)</f>
        <v>75.000000000000014</v>
      </c>
      <c r="CO927" s="1646">
        <f t="shared" ref="CO927:DA927" si="1886">SUM(CO893:CO926)</f>
        <v>224.00000000000003</v>
      </c>
      <c r="CP927" s="852">
        <f t="shared" si="1886"/>
        <v>69.999999999999986</v>
      </c>
      <c r="CQ927" s="852">
        <f t="shared" si="1886"/>
        <v>73.000000000000014</v>
      </c>
      <c r="CR927" s="852">
        <f t="shared" si="1886"/>
        <v>73</v>
      </c>
      <c r="CS927" s="1646">
        <f t="shared" si="1886"/>
        <v>72</v>
      </c>
      <c r="CT927" s="1646">
        <f t="shared" si="1886"/>
        <v>288</v>
      </c>
      <c r="CU927" s="852">
        <f t="shared" si="1886"/>
        <v>78.548457008330431</v>
      </c>
      <c r="CV927" s="852">
        <f t="shared" si="1886"/>
        <v>81.250624437716226</v>
      </c>
      <c r="CW927" s="852">
        <f t="shared" si="1886"/>
        <v>84.333749108515562</v>
      </c>
      <c r="CX927" s="1646">
        <f t="shared" si="1886"/>
        <v>86.148543629063525</v>
      </c>
      <c r="CY927" s="1646">
        <f>SUM(CY893:CY926)</f>
        <v>330.2813741836257</v>
      </c>
      <c r="CZ927" s="1646">
        <f t="shared" si="1886"/>
        <v>360.40811934872193</v>
      </c>
      <c r="DA927" s="1646">
        <f t="shared" si="1886"/>
        <v>377.43696967570474</v>
      </c>
      <c r="DD927" s="1435" t="s">
        <v>754</v>
      </c>
      <c r="DE927" s="843">
        <f t="shared" si="1797"/>
        <v>100</v>
      </c>
      <c r="DF927" s="843">
        <f t="shared" si="1798"/>
        <v>109</v>
      </c>
      <c r="DG927" s="843">
        <f t="shared" si="1799"/>
        <v>86</v>
      </c>
      <c r="DH927" s="843">
        <f t="shared" si="1800"/>
        <v>110</v>
      </c>
      <c r="DI927" s="843">
        <f t="shared" si="1801"/>
        <v>99</v>
      </c>
      <c r="DJ927" s="843">
        <f t="shared" si="1802"/>
        <v>106</v>
      </c>
      <c r="DK927" s="843">
        <f t="shared" si="1803"/>
        <v>124</v>
      </c>
      <c r="DL927" s="843">
        <f t="shared" si="1804"/>
        <v>184</v>
      </c>
      <c r="DM927" s="843">
        <f t="shared" si="1805"/>
        <v>163</v>
      </c>
      <c r="DN927" s="843">
        <f t="shared" si="1806"/>
        <v>118</v>
      </c>
      <c r="DO927" s="843">
        <f t="shared" si="1807"/>
        <v>137</v>
      </c>
      <c r="DP927" s="843">
        <f t="shared" si="1808"/>
        <v>135</v>
      </c>
      <c r="DQ927" s="843">
        <f t="shared" si="1809"/>
        <v>137</v>
      </c>
      <c r="DR927" s="843">
        <f t="shared" si="1810"/>
        <v>119.99999999999999</v>
      </c>
      <c r="DS927" s="843">
        <f t="shared" si="1811"/>
        <v>115</v>
      </c>
      <c r="DT927" s="843">
        <f t="shared" si="1812"/>
        <v>166.99999999999997</v>
      </c>
      <c r="DU927" s="843">
        <f t="shared" si="1813"/>
        <v>224.00000000000003</v>
      </c>
      <c r="DV927" s="843">
        <f t="shared" si="1814"/>
        <v>288</v>
      </c>
      <c r="DW927" s="843">
        <f t="shared" si="1815"/>
        <v>330.2813741836257</v>
      </c>
      <c r="DX927" s="843">
        <f t="shared" si="1816"/>
        <v>360.40811934872193</v>
      </c>
      <c r="DY927" s="843">
        <f t="shared" si="1817"/>
        <v>377.43696967570474</v>
      </c>
      <c r="EK927"/>
      <c r="EL927"/>
    </row>
    <row r="928" spans="1:148" x14ac:dyDescent="0.2">
      <c r="A928" s="1436"/>
      <c r="M928" s="661"/>
      <c r="R928" s="661"/>
      <c r="W928" s="661"/>
      <c r="AB928" s="661"/>
      <c r="AG928" s="661"/>
      <c r="AL928" s="661"/>
      <c r="AQ928" s="661"/>
      <c r="AV928" s="661"/>
      <c r="BA928" s="661"/>
      <c r="BF928" s="661"/>
      <c r="BK928" s="661"/>
      <c r="BP928" s="661"/>
      <c r="BU928" s="661"/>
      <c r="BZ928" s="661"/>
      <c r="CA928" s="973"/>
      <c r="CE928" s="661"/>
      <c r="CF928" s="973"/>
      <c r="CI928" s="1431"/>
      <c r="CJ928" s="661"/>
      <c r="CN928" s="1431"/>
      <c r="CO928" s="661"/>
      <c r="CR928" s="3798"/>
      <c r="CT928" s="661"/>
      <c r="CX928" s="1431"/>
      <c r="CY928" s="3012"/>
      <c r="CZ928" s="661"/>
      <c r="DA928" s="661"/>
      <c r="DD928" s="2288"/>
      <c r="DE928" s="2293"/>
      <c r="DF928" s="2293"/>
      <c r="DG928" s="2293"/>
      <c r="DH928" s="2293"/>
      <c r="DI928" s="2293"/>
      <c r="DJ928" s="2293"/>
      <c r="DK928" s="2293"/>
      <c r="DL928" s="2293"/>
      <c r="DM928" s="2293"/>
      <c r="DN928" s="2293"/>
      <c r="DO928" s="2293"/>
      <c r="DP928" s="2293"/>
      <c r="DQ928" s="2293"/>
      <c r="DR928" s="2293"/>
      <c r="DS928" s="2293"/>
      <c r="DT928" s="2293"/>
      <c r="DU928" s="2293"/>
      <c r="DV928" s="2293"/>
      <c r="DW928" s="2293"/>
      <c r="DX928" s="2293"/>
      <c r="DY928" s="2293"/>
      <c r="EK928"/>
      <c r="EL928"/>
    </row>
    <row r="929" spans="1:148" x14ac:dyDescent="0.2">
      <c r="A929" s="1437" t="s">
        <v>1555</v>
      </c>
      <c r="M929" s="661"/>
      <c r="R929" s="661"/>
      <c r="W929" s="661"/>
      <c r="AB929" s="661"/>
      <c r="AG929" s="661"/>
      <c r="AL929" s="661"/>
      <c r="AQ929" s="661"/>
      <c r="AV929" s="661"/>
      <c r="BA929" s="661"/>
      <c r="BF929" s="661"/>
      <c r="BK929" s="661"/>
      <c r="BP929" s="661"/>
      <c r="BU929" s="661"/>
      <c r="BZ929" s="661"/>
      <c r="CA929" s="973"/>
      <c r="CE929" s="661"/>
      <c r="CF929" s="973"/>
      <c r="CI929" s="1431"/>
      <c r="CJ929" s="661"/>
      <c r="CN929" s="1431"/>
      <c r="CO929" s="661"/>
      <c r="CR929" s="3798"/>
      <c r="CT929" s="661"/>
      <c r="CX929" s="1431"/>
      <c r="CY929" s="3012"/>
      <c r="CZ929" s="661"/>
      <c r="DA929" s="661"/>
      <c r="DD929" s="1437" t="s">
        <v>1555</v>
      </c>
      <c r="DE929" s="2293"/>
      <c r="DF929" s="2293"/>
      <c r="DG929" s="2293"/>
      <c r="DH929" s="2293"/>
      <c r="DI929" s="2293"/>
      <c r="DJ929" s="2293"/>
      <c r="DK929" s="2293"/>
      <c r="DL929" s="2293"/>
      <c r="DM929" s="2293"/>
      <c r="DN929" s="2293"/>
      <c r="DO929" s="2293"/>
      <c r="DP929" s="2293"/>
      <c r="DQ929" s="2293"/>
      <c r="DR929" s="2293"/>
      <c r="DS929" s="2293"/>
      <c r="DT929" s="2293"/>
      <c r="DU929" s="2293"/>
      <c r="DV929" s="2293"/>
      <c r="DW929" s="2293"/>
      <c r="DX929" s="2293"/>
      <c r="DY929" s="2293"/>
      <c r="EK929"/>
      <c r="EL929"/>
    </row>
    <row r="930" spans="1:148" x14ac:dyDescent="0.2">
      <c r="A930" s="1434" t="s">
        <v>920</v>
      </c>
      <c r="C930" s="847">
        <v>0.02</v>
      </c>
      <c r="M930" s="661"/>
      <c r="N930" s="847">
        <f>((N745+M745)/2)*$C$930/(1/(N4/$R$4))</f>
        <v>1.6246153846153848</v>
      </c>
      <c r="O930" s="847">
        <f>((O745+N745)/2)*$C$930/(1/(O4/$R$4))</f>
        <v>2.4092307692307693</v>
      </c>
      <c r="P930" s="847">
        <f>((P745+O745)/2)*$C$930/(1/(P4/$R$4))</f>
        <v>3.5723076923076929</v>
      </c>
      <c r="Q930" s="847">
        <f>((Q745+P745)/2)*$C$930/(1/(Q4/$R$4))</f>
        <v>5.2030769230769227</v>
      </c>
      <c r="R930" s="661">
        <f>SUM(N930:Q930)</f>
        <v>12.809230769230769</v>
      </c>
      <c r="S930" s="847">
        <f>((S745+R745)/2)*$C$930/(1/(S4/$W$4))</f>
        <v>2.2799999999999998</v>
      </c>
      <c r="T930" s="847">
        <f>((T745+S745)/2)*$C$930/(1/(T4/$W$4))</f>
        <v>0.88301886792452822</v>
      </c>
      <c r="U930" s="847">
        <f>((U745+T745)/2)*$C$930/(1/(U4/$W$4))</f>
        <v>1.1569811320754717</v>
      </c>
      <c r="V930" s="847">
        <f>((V745+U745)/2)*$C$930/(1/(V4/$W$4))</f>
        <v>1.6326415094339621</v>
      </c>
      <c r="W930" s="661">
        <f>SUM(S930:V930)</f>
        <v>5.9526415094339615</v>
      </c>
      <c r="X930" s="847">
        <f>((X745+W745)/2)*$C$930/(1/(X4/$AB$4))</f>
        <v>1.6684615384615387</v>
      </c>
      <c r="Y930" s="847">
        <f>((Y745+X745)/2)*$C$930/(1/(Y4/$AB$4))</f>
        <v>1.5438461538461541</v>
      </c>
      <c r="Z930" s="847">
        <f>((Z745+Y745)/2)*$C$930/(1/(Z4/$AB$4))</f>
        <v>0.59307692307692306</v>
      </c>
      <c r="AA930" s="847">
        <f>((AA745+Z745)/2)*$C$930/(1/(AA4/$AB$4))</f>
        <v>1.0523076923076924</v>
      </c>
      <c r="AB930" s="661">
        <f>SUM(X930:AA930)</f>
        <v>4.8576923076923091</v>
      </c>
      <c r="AC930" s="847">
        <f>((AC745+AB745)/2)*$C$930/(1/(AC4/$AG$4))</f>
        <v>0.99692307692307702</v>
      </c>
      <c r="AD930" s="847">
        <f>((AD745+AC745)/2)*$C$930/(1/(AD4/$AG$4))</f>
        <v>0.846923076923077</v>
      </c>
      <c r="AE930" s="847">
        <f>((AE745+AD745)/2)*$C$930/(1/(AE4/$AG$4))</f>
        <v>0.84461538461538466</v>
      </c>
      <c r="AF930" s="847">
        <f>((AF745+AE745)/2)*$C$930/(1/(AF4/$AG$4))</f>
        <v>2.9907692307692311</v>
      </c>
      <c r="AG930" s="661">
        <f>SUM(AC930:AF930)</f>
        <v>5.6792307692307702</v>
      </c>
      <c r="AH930" s="847">
        <f>((AH745+AG745)/2)*$C$930/(1/(AH4/$AL$4))</f>
        <v>2.6469230769230774</v>
      </c>
      <c r="AI930" s="847">
        <f>((AI745+AH745)/2)*$C$930/(1/(AI4/$AL$4))</f>
        <v>1.9569230769230772</v>
      </c>
      <c r="AJ930" s="847">
        <f>((AJ745+AI745)/2)*$C$930/(1/(AJ4/$AL$4))</f>
        <v>1.4584615384615387</v>
      </c>
      <c r="AK930" s="847">
        <f>((AK745+AJ745)/2)*$C$930/(1/(AK4/$AL$4))</f>
        <v>1.1138461538461539</v>
      </c>
      <c r="AL930" s="661">
        <f>SUM(AH930:AK930)</f>
        <v>7.1761538461538468</v>
      </c>
      <c r="AM930" s="847">
        <f>((AM745+AL745)/2)*$C$930/(1/(AM4/$AQ$4))</f>
        <v>0.85380821917808225</v>
      </c>
      <c r="AN930" s="847">
        <f>((AN745+AM745)/2)*$C$930/(1/(AN4/$AQ$4))</f>
        <v>1.2243287671232879</v>
      </c>
      <c r="AO930" s="847">
        <f>((AO745+AN745)/2)*$C$930/(1/(AO4/$AQ$4))</f>
        <v>1.1414794520547946</v>
      </c>
      <c r="AP930" s="847">
        <f>((AP745+AO745)/2)*$C$930/(1/(AP4/$AQ$4))</f>
        <v>1.0061643835616438</v>
      </c>
      <c r="AQ930" s="661">
        <f>SUM(AM930:AP930)</f>
        <v>4.2257808219178088</v>
      </c>
      <c r="AR930" s="847">
        <f>((AR745+AQ745)/2)*$C$930/(1/(AR4/$AQ$4))</f>
        <v>0.72032876712328775</v>
      </c>
      <c r="AS930" s="847">
        <f>((AS745+AR745)/2)*$C$930/(1/(AS4/$AQ$4))</f>
        <v>0.62367123287671233</v>
      </c>
      <c r="AT930" s="847">
        <f>((AT745+AS745)/2)*$C$930/(1/(AT4/$AQ$4))</f>
        <v>0.81698630136986317</v>
      </c>
      <c r="AU930" s="847">
        <f>((AU745+AT745)/2)*$C$930/(1/(AU4/$AQ$4))</f>
        <v>1.6655890410958905</v>
      </c>
      <c r="AV930" s="661">
        <f>SUM(AR930:AU930)</f>
        <v>3.8265753424657536</v>
      </c>
      <c r="AW930" s="847">
        <f>((AW745+AV745)/2)*$C$930/(1/(AW4/$AQ$4))</f>
        <v>1.4866849315068493</v>
      </c>
      <c r="AX930" s="847">
        <f>((AX745+AW745)/2)*$C$930/(1/(AX4/$AQ$4))</f>
        <v>1.0103013698630137</v>
      </c>
      <c r="AY930" s="847">
        <f>((AY745+AX745)/2)*$C$930/(1/(AY4/$AQ$4))</f>
        <v>0.55693150684931514</v>
      </c>
      <c r="AZ930" s="847">
        <f>((AZ745+AY745)/2)*$C$930/(1/(AZ4/$AQ$4))</f>
        <v>0.80457534246575346</v>
      </c>
      <c r="BA930" s="661">
        <f>SUM(AW930:AZ930)</f>
        <v>3.8584931506849314</v>
      </c>
      <c r="BB930" s="847">
        <f>((BB745+BA745)/2)*$C$930/(1/(BB4/$AQ$4))</f>
        <v>0.69501369863013707</v>
      </c>
      <c r="BC930" s="847">
        <f>((BC745+BB745)/2)*$C$930/(1/(BC4/$AQ$4))</f>
        <v>0.67430136986301381</v>
      </c>
      <c r="BD930" s="847">
        <f>((BD745+BC745)/2)*$C$930/(1/(BD4/$AQ$4))</f>
        <v>0.58684931506849325</v>
      </c>
      <c r="BE930" s="847">
        <f>((BE745+BD745)/2)*$C$930/(1/(BE4/$AQ$4))</f>
        <v>0.75178082191780837</v>
      </c>
      <c r="BF930" s="661">
        <f>SUM(BB930:BE930)</f>
        <v>2.7079452054794526</v>
      </c>
      <c r="BG930" s="847">
        <f>((BG745+BE745)/2)*$C$930/(1/(BG4/$BK$4))</f>
        <v>0.53769230769230769</v>
      </c>
      <c r="BH930" s="847">
        <f>((BH745+BG745)/2)*$C$930/(1/(BH4/$BK$4))</f>
        <v>0.5030769230769232</v>
      </c>
      <c r="BI930" s="847">
        <f>((BI745+BH745)/2)*$C$930/(1/(BI4/$BK$4))</f>
        <v>0.74538461538461542</v>
      </c>
      <c r="BJ930" s="847">
        <f>((BJ745+BI745)/2)*$C$930/(1/(BJ4/$BK$4))</f>
        <v>2.2400000000000002</v>
      </c>
      <c r="BK930" s="661">
        <f>SUM(BG930:BJ930)</f>
        <v>4.0261538461538464</v>
      </c>
      <c r="BL930" s="847">
        <f>(BK745)*$C$930/(1/(BL4/$BP$4))</f>
        <v>2.3307692307692309</v>
      </c>
      <c r="BM930" s="847">
        <f>(BL745)*$C$930/(1/(BM4/$BP$4))</f>
        <v>0.66461538461538461</v>
      </c>
      <c r="BN930" s="847">
        <f>(BM745)*BN$883/(1/(BN4/$BP$4))</f>
        <v>0.13500000000000001</v>
      </c>
      <c r="BO930" s="847">
        <f>(BN745)*BO$883/(1/(BO4/$BP$4))</f>
        <v>0.33846153846153848</v>
      </c>
      <c r="BP930" s="661">
        <f>SUM(BL930:BO930)</f>
        <v>3.4688461538461541</v>
      </c>
      <c r="BQ930" s="847">
        <f>(BP745)*BQ$883/(1/(BQ4/$BP$4))</f>
        <v>0.11769230769230771</v>
      </c>
      <c r="BR930" s="847">
        <f>(BQ745)*BR$883/(1/(BR4/$BP$4))</f>
        <v>0.33461538461538465</v>
      </c>
      <c r="BS930" s="847">
        <f>(BR745)*BS$883/(1/(BS4/$BP$4))</f>
        <v>0.12115384615384617</v>
      </c>
      <c r="BT930" s="847">
        <f>(BS745)*BT$883/(1/(BT4/$BP$4))</f>
        <v>0.16153846153846155</v>
      </c>
      <c r="BU930" s="661">
        <f>SUM(BQ930:BT930)</f>
        <v>0.73499999999999999</v>
      </c>
      <c r="BV930" s="847">
        <f>(BU745)*BV$883/(1/(BV4/$BZ$4))</f>
        <v>0.11119565217391306</v>
      </c>
      <c r="BW930" s="847">
        <f>(BV745)*BW$883/(1/(BW4/$BZ$4))</f>
        <v>0.27324728260869569</v>
      </c>
      <c r="BX930" s="847">
        <f>(BW745)*BX$883/(1/(BX4/$BZ$4))</f>
        <v>0.13500000000000001</v>
      </c>
      <c r="BY930" s="847">
        <f>(BX745)*BY$883/(1/(BY4/$BP$4))</f>
        <v>0.18197802197802196</v>
      </c>
      <c r="BZ930" s="661">
        <f>SUM(BV930:BY930)</f>
        <v>0.70142095676063065</v>
      </c>
      <c r="CA930" s="973">
        <f>(BZ745)*CA$883/(1/(CA4/$CE$4))</f>
        <v>0.15534246575342467</v>
      </c>
      <c r="CB930" s="847">
        <f>(CA745)*CB$883/(1/(CB4/$CE$4))</f>
        <v>0.22936986301369863</v>
      </c>
      <c r="CC930" s="847">
        <f>(CB745)*CC$883/(1/(CC4/$CE$4))</f>
        <v>0.24197260273972604</v>
      </c>
      <c r="CD930" s="847">
        <f>(CC745)*CD$883/(1/(CD4/$CE$4))</f>
        <v>0.18904109589041099</v>
      </c>
      <c r="CE930" s="661">
        <f>SUM(CA930:CD930)</f>
        <v>0.8157260273972603</v>
      </c>
      <c r="CF930" s="973">
        <f>(CE745)*CF$883/(1/(CF4/$CJ$4))</f>
        <v>0.1282191780821918</v>
      </c>
      <c r="CG930" s="847">
        <f>(CF745)*CG$883/(1/(CG4/$CJ$4))</f>
        <v>0.14958904109589041</v>
      </c>
      <c r="CH930" s="847">
        <f>(CG745)*CH$883/(1/(CH4/$CE$4))</f>
        <v>0.17643835616438361</v>
      </c>
      <c r="CI930" s="1431">
        <f>(CH745)*CI$883/(1/(CI4/$CE$4))</f>
        <v>0.11972602739726029</v>
      </c>
      <c r="CJ930" s="661">
        <f>SUM(CF930:CI930)</f>
        <v>0.57397260273972606</v>
      </c>
      <c r="CK930" s="847">
        <f>(CJ745)*CK$883/(1/(CK4/$CE$4))</f>
        <v>0.13472026942864079</v>
      </c>
      <c r="CL930" s="847">
        <f>(CK745)*CL$883/(1/(CL4/$CE$4))</f>
        <v>0.13893027784828579</v>
      </c>
      <c r="CM930" s="847">
        <f>(CL745)*CM$883/(1/(CM4/$CE$4))</f>
        <v>0.96333628556185125</v>
      </c>
      <c r="CN930" s="1431">
        <f>(CM745)*CN$883/(1/(CN4/$CE$4))</f>
        <v>1.5294204946033514</v>
      </c>
      <c r="CO930" s="661">
        <f>SUM(CK930:CN930)</f>
        <v>2.7664073274421295</v>
      </c>
      <c r="CP930" s="847">
        <f>(CO745)*CP$883/(1/(CP4/$CE$4))</f>
        <v>0.84624657534246583</v>
      </c>
      <c r="CQ930" s="847">
        <f>(CP745)*CQ$883/(1/(CQ4/$CE$4))</f>
        <v>0.73597808219178085</v>
      </c>
      <c r="CR930" s="3798">
        <f>(CQ745)*CR$883/(1/(CR4/$CE$4))</f>
        <v>0.50209315068493154</v>
      </c>
      <c r="CS930" s="847">
        <f>(CR745)*CS$883/(1/(CS4/$CE$4))</f>
        <v>0.51217534246575347</v>
      </c>
      <c r="CT930" s="661">
        <f>SUM(CP930:CS930)</f>
        <v>2.5964931506849318</v>
      </c>
      <c r="CU930" s="847">
        <f>(CT745)*CU$883/(1/(CU4/$CE$4))</f>
        <v>0.47219178082191782</v>
      </c>
      <c r="CV930" s="847">
        <f ca="1">(CU745)*CV$883/(1/(CV4/$CE$4))</f>
        <v>0.36274002359068114</v>
      </c>
      <c r="CW930" s="847">
        <f ca="1">(CV745)*CW$883/(1/(CW4/$CE$4))</f>
        <v>0.21042274882439724</v>
      </c>
      <c r="CX930" s="847">
        <f ca="1">(CW745)*CX$883/(1/(CX4/$CE$4))</f>
        <v>0.23760544406937015</v>
      </c>
      <c r="CY930" s="2293">
        <f ca="1">SUM(CU930:CX930)</f>
        <v>1.2829599973063663</v>
      </c>
      <c r="CZ930" s="661">
        <f ca="1">(CY745)*CZ$883</f>
        <v>0.41365456387739885</v>
      </c>
      <c r="DA930" s="661">
        <f ca="1">(CZ745)*DA$883</f>
        <v>0.61927035762987559</v>
      </c>
      <c r="DD930" s="2308" t="s">
        <v>920</v>
      </c>
      <c r="DE930" s="2293">
        <f t="shared" ref="DE930:DE937" si="1887">M930</f>
        <v>0</v>
      </c>
      <c r="DF930" s="2293">
        <f t="shared" ref="DF930:DF937" si="1888">R930</f>
        <v>12.809230769230769</v>
      </c>
      <c r="DG930" s="2293">
        <f t="shared" ref="DG930:DG937" si="1889">W930</f>
        <v>5.9526415094339615</v>
      </c>
      <c r="DH930" s="2293">
        <f t="shared" ref="DH930:DH937" si="1890">AB930</f>
        <v>4.8576923076923091</v>
      </c>
      <c r="DI930" s="2293">
        <f t="shared" ref="DI930:DI937" si="1891">AG930</f>
        <v>5.6792307692307702</v>
      </c>
      <c r="DJ930" s="2293">
        <f t="shared" ref="DJ930:DJ937" si="1892">AL930</f>
        <v>7.1761538461538468</v>
      </c>
      <c r="DK930" s="2293">
        <f t="shared" ref="DK930:DK937" si="1893">AQ930</f>
        <v>4.2257808219178088</v>
      </c>
      <c r="DL930" s="2293">
        <f t="shared" ref="DL930:DL937" si="1894">AV930</f>
        <v>3.8265753424657536</v>
      </c>
      <c r="DM930" s="2293">
        <f t="shared" ref="DM930:DM937" si="1895">BA930</f>
        <v>3.8584931506849314</v>
      </c>
      <c r="DN930" s="2293">
        <f t="shared" ref="DN930:DN937" si="1896">BF930</f>
        <v>2.7079452054794526</v>
      </c>
      <c r="DO930" s="2293">
        <f t="shared" ref="DO930:DO937" si="1897">BK930</f>
        <v>4.0261538461538464</v>
      </c>
      <c r="DP930" s="2293">
        <f t="shared" ref="DP930:DP937" si="1898">BP930</f>
        <v>3.4688461538461541</v>
      </c>
      <c r="DQ930" s="2293">
        <f t="shared" ref="DQ930:DQ937" si="1899">BU930</f>
        <v>0.73499999999999999</v>
      </c>
      <c r="DR930" s="2293">
        <f t="shared" ref="DR930:DR937" si="1900">BZ930</f>
        <v>0.70142095676063065</v>
      </c>
      <c r="DS930" s="2293">
        <f t="shared" ref="DS930:DS937" si="1901">CE930</f>
        <v>0.8157260273972603</v>
      </c>
      <c r="DT930" s="2293">
        <f t="shared" ref="DT930:DT937" si="1902">CJ930</f>
        <v>0.57397260273972606</v>
      </c>
      <c r="DU930" s="2293">
        <f t="shared" ref="DU930:DU937" si="1903">CO930</f>
        <v>2.7664073274421295</v>
      </c>
      <c r="DV930" s="2293">
        <f t="shared" ref="DV930:DV937" si="1904">CT930</f>
        <v>2.5964931506849318</v>
      </c>
      <c r="DW930" s="2293">
        <f t="shared" ref="DW930:DW937" ca="1" si="1905">CY930</f>
        <v>1.2829599973063663</v>
      </c>
      <c r="DX930" s="2293">
        <f t="shared" ref="DX930:DX937" ca="1" si="1906">CZ930</f>
        <v>0.41365456387739885</v>
      </c>
      <c r="DY930" s="2293">
        <f t="shared" ref="DY930:DY937" ca="1" si="1907">DA930</f>
        <v>0.61927035762987559</v>
      </c>
      <c r="EK930"/>
      <c r="EL930"/>
      <c r="EM930" s="847"/>
    </row>
    <row r="931" spans="1:148" x14ac:dyDescent="0.2">
      <c r="A931" s="1434" t="s">
        <v>922</v>
      </c>
      <c r="C931" s="847">
        <v>0.12</v>
      </c>
      <c r="M931" s="661"/>
      <c r="N931" s="847">
        <f>((N759+M759)/2)*$C$931/(1/(N4/$R$4))</f>
        <v>5.1230769230769235</v>
      </c>
      <c r="O931" s="847">
        <f>((O759+N759)/2)*$C$931/(1/(O4/$R$4))</f>
        <v>5.4623076923076921</v>
      </c>
      <c r="P931" s="847">
        <f>((P759+O759)/2)*$C$931/(1/(P4/$R$4))</f>
        <v>5.7046153846153844</v>
      </c>
      <c r="Q931" s="847">
        <f>((Q759+P759)/2)*$C$931/(1/(Q4/$R$4))</f>
        <v>7.8553846153846143</v>
      </c>
      <c r="R931" s="661">
        <f>SUM(N931:Q931)</f>
        <v>24.145384615384614</v>
      </c>
      <c r="S931" s="847">
        <f>((S759+R759)/2)*$C$931/(1/(S4/$W$4))</f>
        <v>7.3698113207547156</v>
      </c>
      <c r="T931" s="847">
        <f>((T759+S759)/2)*$C$931/(1/(T4/$W$4))</f>
        <v>9.3124528301886773</v>
      </c>
      <c r="U931" s="847">
        <f>((U759+T759)/2)*$C$931/(1/(U4/$W$4))</f>
        <v>9.8150943396226413</v>
      </c>
      <c r="V931" s="847">
        <f>((V759+U759)/2)*$C$931/(1/(V4/$W$4))</f>
        <v>13.279245283018867</v>
      </c>
      <c r="W931" s="661">
        <f>SUM(S931:V931)</f>
        <v>39.776603773584903</v>
      </c>
      <c r="X931" s="847">
        <f>((X759+W759)/2)*$C$931/(1/(X4/$AB$4))</f>
        <v>9.9830769230769238</v>
      </c>
      <c r="Y931" s="847">
        <f>((Y759+X759)/2)*$C$931/(1/(Y4/$AB$4))</f>
        <v>11.423076923076923</v>
      </c>
      <c r="Z931" s="847">
        <f>((Z759+Y759)/2)*$C$931/(1/(Z4/$AB$4))</f>
        <v>11.464615384615385</v>
      </c>
      <c r="AA931" s="847">
        <f>((AA759+Z759)/2)*$C$931/(1/(AA4/$AB$4))</f>
        <v>13.753846153846153</v>
      </c>
      <c r="AB931" s="661">
        <f>SUM(X931:AA931)</f>
        <v>46.624615384615389</v>
      </c>
      <c r="AC931" s="847">
        <f>((AC759+AB759)/2)*$C$931/(1/(AC4/$AG$4))</f>
        <v>8.792307692307693</v>
      </c>
      <c r="AD931" s="847">
        <f>((AD759+AC759)/2)*$C$931/(1/(AD4/$AG$4))</f>
        <v>8.0723076923076924</v>
      </c>
      <c r="AE931" s="847">
        <f>((AE759+AD759)/2)*$C$931/(1/(AE4/$AG$4))</f>
        <v>8.1692307692307686</v>
      </c>
      <c r="AF931" s="847">
        <f>((AF759+AE759)/2)*$C$931/(1/(AF4/$AG$4))</f>
        <v>10.633846153846154</v>
      </c>
      <c r="AG931" s="661">
        <f>SUM(AC931:AF931)</f>
        <v>35.667692307692306</v>
      </c>
      <c r="AH931" s="847">
        <f>((AH759+AG759)/2)*$C$931/(1/(AH4/$AL$4))</f>
        <v>5.8984615384615386</v>
      </c>
      <c r="AI931" s="847">
        <f>((AI759+AH759)/2)*$C$931/(1/(AI4/$AL$4))</f>
        <v>6.936923076923077</v>
      </c>
      <c r="AJ931" s="847">
        <f>((AJ759+AI759)/2)*$C$931/(1/(AJ4/$AL$4))</f>
        <v>8.6123076923076933</v>
      </c>
      <c r="AK931" s="847">
        <f>((AK759+AJ759)/2)*$C$931/(1/(AK4/$AL$4))</f>
        <v>9.2861538461538462</v>
      </c>
      <c r="AL931" s="661">
        <f>SUM(AH931:AK931)</f>
        <v>30.733846153846152</v>
      </c>
      <c r="AM931" s="847">
        <f>((AM759+AL759)/2)*$C$931/(1/(AM4/$AQ$4))</f>
        <v>5.7442191780821927</v>
      </c>
      <c r="AN931" s="847">
        <f>((AN759+AM759)/2)*$C$931/(1/(AN4/$AQ$4))</f>
        <v>3.3830136986301369</v>
      </c>
      <c r="AO931" s="847">
        <f>((AO759+AN759)/2)*$C$931/(1/(AO4/$AQ$4))</f>
        <v>1.8779178082191783</v>
      </c>
      <c r="AP931" s="847">
        <f>((AP759+AO759)/2)*$C$931/(1/(AP4/$AQ$4))</f>
        <v>2.6748493150684935</v>
      </c>
      <c r="AQ931" s="661">
        <f>SUM(AM931:AP931)</f>
        <v>13.680000000000003</v>
      </c>
      <c r="AR931" s="847">
        <f>((AR759+AQ759)/2)*$C$931/(1/(AR4/$AQ$4))</f>
        <v>1.933150684931507</v>
      </c>
      <c r="AS931" s="847">
        <f>((AS759+AR759)/2)*$C$931/(1/(AS4/$AQ$4))</f>
        <v>1.933150684931507</v>
      </c>
      <c r="AT931" s="847">
        <f>((AT759+AS759)/2)*$C$931/(1/(AT4/$AQ$4))</f>
        <v>1.933150684931507</v>
      </c>
      <c r="AU931" s="847">
        <f>((AU759+AT759)/2)*$C$931/(1/(AU4/$AQ$4))</f>
        <v>2.6005479452054798</v>
      </c>
      <c r="AV931" s="661">
        <f>SUM(AR931:AU931)</f>
        <v>8.4000000000000021</v>
      </c>
      <c r="AW931" s="847">
        <f>((AW759+AV759)/2)*$C$931/(1/(AW4/$AQ$4))</f>
        <v>1.933150684931507</v>
      </c>
      <c r="AX931" s="847">
        <f>((AX759+AW759)/2)*$C$931/(1/(AX4/$AQ$4))</f>
        <v>1.933150684931507</v>
      </c>
      <c r="AY931" s="847">
        <f>((AY759+AX759)/2)*$C$931/(1/(AY4/$AQ$4))</f>
        <v>1.933150684931507</v>
      </c>
      <c r="AZ931" s="847">
        <f>((AZ759+AY759)/2)*$C$931/(1/(AZ4/$AQ$4))</f>
        <v>2.6926027397260275</v>
      </c>
      <c r="BA931" s="661">
        <f>SUM(AW931:AZ931)</f>
        <v>8.4920547945205485</v>
      </c>
      <c r="BB931" s="847">
        <f>((BB759+BA759)/2)*$C$931/(1/(BB4/$AQ$4))</f>
        <v>1.6569863013698629</v>
      </c>
      <c r="BC931" s="847">
        <f>((BC759+BB759)/2)*$C$931/(1/(BC4/$AQ$4))</f>
        <v>1.3946301369863014</v>
      </c>
      <c r="BD931" s="847">
        <f>((BD759+BC759)/2)*$C$931/(1/(BD4/$AQ$4))</f>
        <v>2.016</v>
      </c>
      <c r="BE931" s="847">
        <f>((BE759+BD759)/2)*$C$931/(1/(BE4/$AQ$4))</f>
        <v>1.7490410958904112</v>
      </c>
      <c r="BF931" s="661">
        <f>SUM(BB931:BE931)</f>
        <v>6.8166575342465761</v>
      </c>
      <c r="BG931" s="847">
        <f>((BG759+BE759)/2)*$C$931/(1/(BG4/$BK$4))</f>
        <v>0</v>
      </c>
      <c r="BH931" s="847">
        <f>((BH759+BG759)/2)*$C$931/(1/(BH4/$BK$4))</f>
        <v>0</v>
      </c>
      <c r="BI931" s="847">
        <f>((BI759+BH759)/2)*$C$931/(1/(BI4/$BK$4))</f>
        <v>0</v>
      </c>
      <c r="BJ931" s="847">
        <f>((BJ759+BI759)/2)*$C$931/(1/(BJ4/$BK$4))</f>
        <v>0</v>
      </c>
      <c r="BK931" s="661">
        <f>SUM(BG931:BJ931)</f>
        <v>0</v>
      </c>
      <c r="BL931" s="847">
        <f>((BL759+BK759)/2)*$C$931/(1/(BL4/$BP$4))</f>
        <v>0</v>
      </c>
      <c r="BM931" s="847">
        <f>((BM759+BL759)/2)*$C$931/(1/(BM4/$BP$4))</f>
        <v>0</v>
      </c>
      <c r="BN931" s="847">
        <f>((BN759+BM759)/2)*$C$931/(1/(BN4/$BP$4))</f>
        <v>0</v>
      </c>
      <c r="BO931" s="847">
        <f>((BO759+BN759)/2)*$C$931/(1/(BO4/$BP$4))</f>
        <v>0</v>
      </c>
      <c r="BP931" s="661">
        <f>SUM(BL931:BO931)</f>
        <v>0</v>
      </c>
      <c r="BQ931" s="847">
        <f>((BQ759+BP759)/2)*$C$931/(1/(BQ4/$BP$4))</f>
        <v>0</v>
      </c>
      <c r="BR931" s="847">
        <f>((BR759+BQ759)/2)*$C$931/(1/(BR4/$BP$4))</f>
        <v>0</v>
      </c>
      <c r="BS931" s="847">
        <f>((BS759+BR759)/2)*$C$931/(1/(BS4/$BP$4))</f>
        <v>0</v>
      </c>
      <c r="BT931" s="847">
        <f>((BT759+BS759)/2)*$C$931/(1/(BT4/$BP$4))</f>
        <v>0</v>
      </c>
      <c r="BU931" s="661">
        <f>SUM(BQ931:BT931)</f>
        <v>0</v>
      </c>
      <c r="BV931" s="847">
        <f>((BV759+BU759)/2)*$C$931/(1/(BV4/$BZ$4))</f>
        <v>0</v>
      </c>
      <c r="BW931" s="847">
        <f>((BW759+BV759)/2)*$C$931/(1/(BW4/$BZ$4))</f>
        <v>0</v>
      </c>
      <c r="BX931" s="847">
        <f>((BX759+BW759)/2)*$C$931/(1/(BX4/$BZ$4))</f>
        <v>0</v>
      </c>
      <c r="BY931" s="847">
        <f>((BY759+BX759)/2)*$C$931/(1/(BY4/$BP$4))</f>
        <v>0</v>
      </c>
      <c r="BZ931" s="661">
        <f>SUM(BV931:BY931)</f>
        <v>0</v>
      </c>
      <c r="CA931" s="973">
        <f>((CA759+BZ759)/2)*$C$931/(1/(CA4/$CE$4))</f>
        <v>0</v>
      </c>
      <c r="CB931" s="847">
        <f>((CB759+CA759)/2)*$C$931/(1/(CB4/$BP$4))</f>
        <v>0</v>
      </c>
      <c r="CC931" s="847">
        <f>((CC759+CB759)/2)*$C$931/(1/(CC4/$BP$4))</f>
        <v>0</v>
      </c>
      <c r="CD931" s="847">
        <f>((CD759+CC759)/2)*$C$931/(1/(CD4/$BP$4))</f>
        <v>0</v>
      </c>
      <c r="CE931" s="661">
        <f>SUM(CA931:CD931)</f>
        <v>0</v>
      </c>
      <c r="CF931" s="973">
        <f>((CF759+CE759)/2)*$C$931/(1/(CF4/$CJ$4))</f>
        <v>0</v>
      </c>
      <c r="CG931" s="847">
        <f>((CG759+CF759)/2)*$C$931/(1/(CG4/$CJ$4))</f>
        <v>0</v>
      </c>
      <c r="CH931" s="847">
        <f>((CH759+CG759)/2)*$C$931/(1/(CH4/$BP$4))</f>
        <v>0</v>
      </c>
      <c r="CI931" s="1431">
        <f>((CI759+CH759)/2)*$C$931/(1/(CI4/$BP$4))</f>
        <v>0</v>
      </c>
      <c r="CJ931" s="661">
        <f>SUM(CF931:CI931)</f>
        <v>0</v>
      </c>
      <c r="CK931" s="847">
        <f>((CK759+CJ759)/2)*$C$931/(1/(CK4/$BP$4))</f>
        <v>0</v>
      </c>
      <c r="CL931" s="847">
        <f>((CL759+CK759)/2)*$C$931/(1/(CL4/$BP$4))</f>
        <v>0</v>
      </c>
      <c r="CM931" s="847">
        <f>((CM759+CL759)/2)*$C$931/(1/(CM4/$BP$4))</f>
        <v>0</v>
      </c>
      <c r="CN931" s="1431">
        <f>((CN759+CM759)/2)*$C$931/(1/(CN4/$BP$4))</f>
        <v>0</v>
      </c>
      <c r="CO931" s="661">
        <f>SUM(CK931:CN931)</f>
        <v>0</v>
      </c>
      <c r="CP931" s="847">
        <f>((CP759+CO759)/2)*$C$931/(1/(CP4/$BP$4))</f>
        <v>0</v>
      </c>
      <c r="CQ931" s="847">
        <f>((CQ759+CP759)/2)*$C$931/(1/(CQ4/$BP$4))</f>
        <v>0</v>
      </c>
      <c r="CR931" s="3798">
        <f>((CR759+CQ759)/2)*$C$931/(1/(CR4/$BP$4))</f>
        <v>0</v>
      </c>
      <c r="CS931" s="847">
        <f>((CS759+CR759)/2)*$C$931/(1/(CS4/$BP$4))</f>
        <v>0</v>
      </c>
      <c r="CT931" s="661">
        <f>SUM(CP931:CS931)</f>
        <v>0</v>
      </c>
      <c r="CU931" s="847">
        <f>((CU759+CT759)/2)*$C$931/(1/(CU4/$BP$4))</f>
        <v>0</v>
      </c>
      <c r="CV931" s="847">
        <f>((CV759+CU759)/2)*$C$931/(1/(CV4/$BP$4))</f>
        <v>0</v>
      </c>
      <c r="CW931" s="847">
        <f>((CW759+CV759)/2)*$C$931/(1/(CW4/$BP$4))</f>
        <v>0</v>
      </c>
      <c r="CX931" s="847">
        <f>((CX759+CW759)/2)*$C$931/(1/(CX4/$BP$4))</f>
        <v>0</v>
      </c>
      <c r="CY931" s="2293">
        <f>SUM(CU931:CX931)</f>
        <v>0</v>
      </c>
      <c r="CZ931" s="661">
        <f>((CZ759+CY759)/2)*$C$931</f>
        <v>0</v>
      </c>
      <c r="DA931" s="661">
        <f>((DA759+CZ759)/2)*$C$931</f>
        <v>0</v>
      </c>
      <c r="DD931" s="2308" t="s">
        <v>922</v>
      </c>
      <c r="DE931" s="2293">
        <f t="shared" si="1887"/>
        <v>0</v>
      </c>
      <c r="DF931" s="2293">
        <f t="shared" si="1888"/>
        <v>24.145384615384614</v>
      </c>
      <c r="DG931" s="2293">
        <f t="shared" si="1889"/>
        <v>39.776603773584903</v>
      </c>
      <c r="DH931" s="2293">
        <f t="shared" si="1890"/>
        <v>46.624615384615389</v>
      </c>
      <c r="DI931" s="2293">
        <f t="shared" si="1891"/>
        <v>35.667692307692306</v>
      </c>
      <c r="DJ931" s="2293">
        <f t="shared" si="1892"/>
        <v>30.733846153846152</v>
      </c>
      <c r="DK931" s="2293">
        <f t="shared" si="1893"/>
        <v>13.680000000000003</v>
      </c>
      <c r="DL931" s="2293">
        <f t="shared" si="1894"/>
        <v>8.4000000000000021</v>
      </c>
      <c r="DM931" s="2293">
        <f t="shared" si="1895"/>
        <v>8.4920547945205485</v>
      </c>
      <c r="DN931" s="2293">
        <f t="shared" si="1896"/>
        <v>6.8166575342465761</v>
      </c>
      <c r="DO931" s="2293">
        <f t="shared" si="1897"/>
        <v>0</v>
      </c>
      <c r="DP931" s="2293">
        <f t="shared" si="1898"/>
        <v>0</v>
      </c>
      <c r="DQ931" s="2293">
        <f t="shared" si="1899"/>
        <v>0</v>
      </c>
      <c r="DR931" s="2293">
        <f t="shared" si="1900"/>
        <v>0</v>
      </c>
      <c r="DS931" s="2293">
        <f t="shared" si="1901"/>
        <v>0</v>
      </c>
      <c r="DT931" s="2293">
        <f t="shared" si="1902"/>
        <v>0</v>
      </c>
      <c r="DU931" s="2293">
        <f t="shared" si="1903"/>
        <v>0</v>
      </c>
      <c r="DV931" s="2293">
        <f t="shared" si="1904"/>
        <v>0</v>
      </c>
      <c r="DW931" s="2293">
        <f t="shared" si="1905"/>
        <v>0</v>
      </c>
      <c r="DX931" s="2293">
        <f t="shared" si="1906"/>
        <v>0</v>
      </c>
      <c r="DY931" s="2293">
        <f t="shared" si="1907"/>
        <v>0</v>
      </c>
      <c r="EK931"/>
      <c r="EL931"/>
      <c r="EM931" s="847"/>
    </row>
    <row r="932" spans="1:148" x14ac:dyDescent="0.2">
      <c r="A932" s="1434" t="s">
        <v>921</v>
      </c>
      <c r="C932" s="847">
        <v>0.11</v>
      </c>
      <c r="M932" s="661"/>
      <c r="N932" s="847">
        <f>((N682+M682)/2)*$C$932/(1/(N4/$R$4))</f>
        <v>0</v>
      </c>
      <c r="O932" s="847">
        <f>((O682+N682)/2)*$C$932/(1/(O4/$R$4))</f>
        <v>0</v>
      </c>
      <c r="P932" s="847">
        <f>((P682+O682)/2)*$C$932/(1/(P4/$R$4))</f>
        <v>0</v>
      </c>
      <c r="Q932" s="847">
        <f>((Q682+P682)/2)*$C$932/(1/(Q4/$R$4))</f>
        <v>0</v>
      </c>
      <c r="R932" s="661">
        <f>SUM(N932:Q932)</f>
        <v>0</v>
      </c>
      <c r="S932" s="847">
        <f>((S682+R682)/2)*$C$932/(1/(S4/$W$4))</f>
        <v>0</v>
      </c>
      <c r="T932" s="847">
        <f>((T682+S682)/2)*$C$932/(1/(T4/$W$4))</f>
        <v>0</v>
      </c>
      <c r="U932" s="847">
        <f>((U682+T682)/2)*$C$932/(1/(U4/$W$4))</f>
        <v>0</v>
      </c>
      <c r="V932" s="847">
        <f>((V682+U682)/2)*$C$932/(1/(V4/$W$4))</f>
        <v>0</v>
      </c>
      <c r="W932" s="661">
        <f>SUM(S932:V932)</f>
        <v>0</v>
      </c>
      <c r="X932" s="847">
        <f>((X682+W682)/2)*$C$932/(1/(X4/$AB$4))</f>
        <v>0</v>
      </c>
      <c r="Y932" s="847">
        <f>((Y682+X682)/2)*$C$932/(1/(Y4/$AB$4))</f>
        <v>0</v>
      </c>
      <c r="Z932" s="847">
        <f>((Z682+Y682)/2)*$C$932/(1/(Z4/$AB$4))</f>
        <v>0</v>
      </c>
      <c r="AA932" s="847">
        <f>((AA682+Z682)/2)*$C$932/(1/(AA4/$AB$4))</f>
        <v>0</v>
      </c>
      <c r="AB932" s="661">
        <f>SUM(X932:AA932)</f>
        <v>0</v>
      </c>
      <c r="AC932" s="847">
        <f>((AC682+AB682)/2)*$C$932/(1/(AC4/$AG$4))</f>
        <v>0</v>
      </c>
      <c r="AD932" s="847">
        <f>((AD682+AC682)/2)*$C$932/(1/(AD4/$AG$4))</f>
        <v>0</v>
      </c>
      <c r="AE932" s="847">
        <f>((AE682+AD682)/2)*$C$932/(1/(AE4/$AG$4))</f>
        <v>0</v>
      </c>
      <c r="AF932" s="847">
        <f>((AF682+AE682)/2)*$C$932/(1/(AF4/$AG$4))</f>
        <v>0</v>
      </c>
      <c r="AG932" s="661">
        <f>SUM(AC932:AF932)</f>
        <v>0</v>
      </c>
      <c r="AH932" s="847">
        <f>((AH682+AG682)/2)*$C$932/(1/(AH4/$AL$4))</f>
        <v>0</v>
      </c>
      <c r="AI932" s="847">
        <f>((AI682+AH682)/2)*$C$932/(1/(AI4/$AL$4))</f>
        <v>0</v>
      </c>
      <c r="AJ932" s="847">
        <f>((AJ682+AI682)/2)*$C$932/(1/(AJ4/$AL$4))</f>
        <v>0</v>
      </c>
      <c r="AK932" s="847">
        <f>((AK682+AJ682)/2)*$C$932/(1/(AK4/$AL$4))</f>
        <v>0</v>
      </c>
      <c r="AL932" s="661">
        <f>SUM(AH932:AK932)</f>
        <v>0</v>
      </c>
      <c r="AM932" s="847">
        <f>((AM682+AL682)/2)*$C$932/(1/(AM4/$AQ$4))</f>
        <v>0</v>
      </c>
      <c r="AN932" s="847">
        <f>((AN682+AM682)/2)*$C$932/(1/(AN4/$AQ$4))</f>
        <v>0</v>
      </c>
      <c r="AO932" s="847">
        <f>((AO682+AN682)/2)*$C$932/(1/(AO4/$AQ$4))</f>
        <v>0</v>
      </c>
      <c r="AP932" s="847">
        <f>((AP682+AO682)/2)*$C$932/(1/(AP4/$AQ$4))</f>
        <v>0</v>
      </c>
      <c r="AQ932" s="661">
        <f>SUM(AM932:AP932)</f>
        <v>0</v>
      </c>
      <c r="AR932" s="847">
        <f>((AR682+AQ682)/2)*$C$932/(1/(AR4/$AQ$4))</f>
        <v>0</v>
      </c>
      <c r="AS932" s="847">
        <f>((AS682+AR682)/2)*$C$932/(1/(AS4/$AQ$4))</f>
        <v>0</v>
      </c>
      <c r="AT932" s="847">
        <f>((AT682+AS682)/2)*$C$932/(1/(AT4/$AQ$4))</f>
        <v>0</v>
      </c>
      <c r="AU932" s="847">
        <f>((AU682+AT682)/2)*$C$932/(1/(AU4/$AQ$4))</f>
        <v>3.6268356164383562</v>
      </c>
      <c r="AV932" s="661">
        <f>SUM(AR932:AU932)</f>
        <v>3.6268356164383562</v>
      </c>
      <c r="AW932" s="847">
        <f>((AW682+AV682)/2)*AW$882/(1/(AW4/$AQ$4))</f>
        <v>4.8098630136986307</v>
      </c>
      <c r="AX932" s="847">
        <f>((AX682+AW682)/2)*AX$882/(1/(AX4/$AQ$4))</f>
        <v>4.6487671232876719</v>
      </c>
      <c r="AY932" s="847">
        <f>((AY682+AX682)/2)*AY$882/(1/(AY4/$AQ$4))</f>
        <v>4.59123287671233</v>
      </c>
      <c r="AZ932" s="847">
        <f>((AZ682+AY682)/2)*AZ$882/(1/(AZ4/$AQ$4))</f>
        <v>7.0200000000000005</v>
      </c>
      <c r="BA932" s="661">
        <f>SUM(AW932:AZ932)</f>
        <v>21.069863013698633</v>
      </c>
      <c r="BB932" s="847">
        <f>((BB682+BA682)/2)*BB$882/(1/(BB4/$AQ$4))</f>
        <v>5.0284931506849322</v>
      </c>
      <c r="BC932" s="847">
        <f>((BC682+BB682)/2)*BC$882/(1/(BC4/$AQ$4))</f>
        <v>4.6142465753424666</v>
      </c>
      <c r="BD932" s="847">
        <f>((BD682+BC682)/2)*BD$882/(1/(BD4/$AQ$4))</f>
        <v>1.8180821917808221</v>
      </c>
      <c r="BE932" s="847">
        <f>((BE682+BD682)/2)*BE$882/(1/(BE4/$AQ$4))</f>
        <v>2.387287671232877</v>
      </c>
      <c r="BF932" s="661">
        <f>SUM(BB932:BE932)</f>
        <v>13.848109589041098</v>
      </c>
      <c r="BG932" s="847">
        <f>((BG682+BF682)/2)*BG$882/(1/(BG4/$AQ$4))</f>
        <v>2.2093150684931513</v>
      </c>
      <c r="BH932" s="847">
        <f>((BH682+BG682)/2)*BH$882/(1/(BH4/$AQ$4))</f>
        <v>2.1632876712328768</v>
      </c>
      <c r="BI932" s="847">
        <f>((BI682+BH682)/2)*BI$882/(1/(BI4/$AQ$4))</f>
        <v>2.1575342465753424</v>
      </c>
      <c r="BJ932" s="847">
        <f>((BJ682+BI682)/2)*BJ$882/(1/(BJ4/$AQ$4))</f>
        <v>2.8997260273972607</v>
      </c>
      <c r="BK932" s="661">
        <f>SUM(BG932:BJ932)</f>
        <v>9.4298630136986326</v>
      </c>
      <c r="BL932" s="847">
        <f>((BL682+BK682)/2)*BL$882/(1/(BL4/$AQ$4))</f>
        <v>2.1920547945205482</v>
      </c>
      <c r="BM932" s="847">
        <f>((BM682+BL682)/2)*BM$882/(1/(BM4/$AQ$4))</f>
        <v>1.7835616438356166</v>
      </c>
      <c r="BN932" s="847">
        <f>((BN682+BM682)/2)*BN$882/(1/(BN4/$AQ$4))</f>
        <v>1.3175342465753428</v>
      </c>
      <c r="BO932" s="847">
        <f>((BO682+BN682)/2)*BO$882/(1/(BO4/$AQ$4))</f>
        <v>3.766575342465754</v>
      </c>
      <c r="BP932" s="661">
        <f>SUM(BL932:BO932)</f>
        <v>9.0597260273972609</v>
      </c>
      <c r="BQ932" s="847">
        <f>((BQ682+BP682)/2)*BQ$882/(1/(BQ4/$AQ$4))</f>
        <v>3.9238356164383568</v>
      </c>
      <c r="BR932" s="847">
        <f>((BR682+BQ682)/2)*BR$882/(1/(BR4/$AQ$4))</f>
        <v>3.3082191780821919</v>
      </c>
      <c r="BS932" s="847">
        <f>((BS682+BR682)/2)*BS$882/(1/(BS4/$AQ$4))</f>
        <v>3.0550684931506851</v>
      </c>
      <c r="BT932" s="847">
        <f>((BT682+BS682)/2)*BT$882/(1/(BT4/$AQ$4))</f>
        <v>3.8202739726027404</v>
      </c>
      <c r="BU932" s="661">
        <f>SUM(BQ932:BT932)</f>
        <v>14.107397260273974</v>
      </c>
      <c r="BV932" s="847">
        <f>((BV682+BU682)/2)*BV$882/(1/(BV4/$BZ$4))</f>
        <v>2.9378396739130439</v>
      </c>
      <c r="BW932" s="847">
        <f>((BW682+BV682)/2)*BW$882/(1/(BW4/$BZ$4))</f>
        <v>2.6211956521739137</v>
      </c>
      <c r="BX932" s="847">
        <f>((BX682+BW682)/2)*BX$882/(1/(BX4/$BZ$4))</f>
        <v>2.4375</v>
      </c>
      <c r="BY932" s="847">
        <f>((BY682+BX682)/2)*BY$882/(1/(BY4/$AQ$4))</f>
        <v>2.3126027397260276</v>
      </c>
      <c r="BZ932" s="661">
        <f>SUM(BV932:BY932)</f>
        <v>10.309138065812986</v>
      </c>
      <c r="CA932" s="973">
        <f>((CA682+BZ682)/2)*CA$882/(1/(CA4/$CE$4))</f>
        <v>1.9664383561643839</v>
      </c>
      <c r="CB932" s="847">
        <f>((CB682+CA682)/2)*CB$882/(1/(CB4/$CE$4))</f>
        <v>2.2500684931506849</v>
      </c>
      <c r="CC932" s="847">
        <f>((CC682+CB682)/2)*CC$882/(1/(CC4/$CE$4))</f>
        <v>2.7410958904109592</v>
      </c>
      <c r="CD932" s="847">
        <f>((CD682+CC682)/2)*CD$882/(1/(CD4/$CE$4))</f>
        <v>2.8797260273972607</v>
      </c>
      <c r="CE932" s="661">
        <f>SUM(CA932:CD932)</f>
        <v>9.8373287671232887</v>
      </c>
      <c r="CF932" s="973">
        <f>((CF682+CE682)/2)*CF$882/(1/(CF4/$CJ$4))</f>
        <v>3.0020547945205482</v>
      </c>
      <c r="CG932" s="847">
        <f>((CG682+CF682)/2)*CG$882/(1/(CG4/$CJ$4))</f>
        <v>3.0665753424657538</v>
      </c>
      <c r="CH932" s="847">
        <f>((CH682+CG682)/2)*CH$882/(1/(CH4/$CE$4))</f>
        <v>3.1128767123287679</v>
      </c>
      <c r="CI932" s="847">
        <f>((CI682+CH682)/2)*CI$882/(1/(CI4/$CE$4))</f>
        <v>3.4531506849315075</v>
      </c>
      <c r="CJ932" s="661">
        <f>SUM(CF932:CI932)</f>
        <v>12.634657534246578</v>
      </c>
      <c r="CK932" s="847">
        <f>((CK682+CJ682)/2)*CK$882/(1/(CK4/$CE$4))</f>
        <v>3.2784931506849317</v>
      </c>
      <c r="CL932" s="847">
        <f>((CL682+CK682)/2)*CL$882/(1/(CL4/$CE$4))</f>
        <v>2.8047945205479454</v>
      </c>
      <c r="CM932" s="847">
        <f>((CM682+CL682)/2)*CM$882/(1/(CM4/$CE$4))</f>
        <v>2.8356164383561646</v>
      </c>
      <c r="CN932" s="847">
        <f>((CN682+CM682)/2)*CN$882/(1/(CN4/$CE$4))</f>
        <v>2.8860273972602744</v>
      </c>
      <c r="CO932" s="661">
        <f>SUM(CK932:CN932)</f>
        <v>11.804931506849318</v>
      </c>
      <c r="CP932" s="847">
        <f>((CP682+CO682)/2)*CP$882/(1/(CP4/$CE$4))</f>
        <v>3.0698630136986305</v>
      </c>
      <c r="CQ932" s="847">
        <f>((CQ682+CP682)/2)*CQ$882/(1/(CQ4/$CE$4))</f>
        <v>3.4031506849315072</v>
      </c>
      <c r="CR932" s="3798">
        <f>((CR682+CQ682)/2)*CR$882/(1/(CR4/$CE$4))</f>
        <v>3.5413698630136992</v>
      </c>
      <c r="CS932" s="847">
        <f>((CS682+CR682)/2)*CS$882/(1/(CS4/$CE$4))</f>
        <v>3.6421917808219186</v>
      </c>
      <c r="CT932" s="661">
        <f>SUM(CP932:CS932)</f>
        <v>13.656575342465754</v>
      </c>
      <c r="CU932" s="847">
        <f>((CU682+CP682)/2)*CU$882/(1/(CU4/$CJ$4))</f>
        <v>3.7405479452054795</v>
      </c>
      <c r="CV932" s="847">
        <f>((CV682+CQ682)/2)*CV$882/(1/(CV4/$CJ$4))</f>
        <v>4.0214520547945209</v>
      </c>
      <c r="CW932" s="847">
        <f>((CW682+CR682)/2)*CW$882/(1/(CW4/$CJ$4))</f>
        <v>4.0656438356164397</v>
      </c>
      <c r="CX932" s="847">
        <f>((CX682+CS682)/2)*CX$882/(1/(CX4/$CJ$4))</f>
        <v>4.307616438356165</v>
      </c>
      <c r="CY932" s="2293">
        <f>SUM(CU932:CX932)</f>
        <v>16.135260273972605</v>
      </c>
      <c r="CZ932" s="661">
        <f>((CZ682+CY682)/2)*CZ$882/(1/(CZ4/$CJ$4))</f>
        <v>21.794</v>
      </c>
      <c r="DA932" s="661">
        <f>((DA682+CZ682)/2)*DA$882/(1/(DA4/$CJ$4))</f>
        <v>26.671673424657534</v>
      </c>
      <c r="DD932" s="2308" t="s">
        <v>921</v>
      </c>
      <c r="DE932" s="2293">
        <f t="shared" si="1887"/>
        <v>0</v>
      </c>
      <c r="DF932" s="2293">
        <f t="shared" si="1888"/>
        <v>0</v>
      </c>
      <c r="DG932" s="2293">
        <f t="shared" si="1889"/>
        <v>0</v>
      </c>
      <c r="DH932" s="2293">
        <f t="shared" si="1890"/>
        <v>0</v>
      </c>
      <c r="DI932" s="2293">
        <f t="shared" si="1891"/>
        <v>0</v>
      </c>
      <c r="DJ932" s="2293">
        <f t="shared" si="1892"/>
        <v>0</v>
      </c>
      <c r="DK932" s="2293">
        <f t="shared" si="1893"/>
        <v>0</v>
      </c>
      <c r="DL932" s="2293">
        <f t="shared" si="1894"/>
        <v>3.6268356164383562</v>
      </c>
      <c r="DM932" s="2293">
        <f t="shared" si="1895"/>
        <v>21.069863013698633</v>
      </c>
      <c r="DN932" s="2293">
        <f t="shared" si="1896"/>
        <v>13.848109589041098</v>
      </c>
      <c r="DO932" s="2293">
        <f t="shared" si="1897"/>
        <v>9.4298630136986326</v>
      </c>
      <c r="DP932" s="2293">
        <f t="shared" si="1898"/>
        <v>9.0597260273972609</v>
      </c>
      <c r="DQ932" s="2293">
        <f t="shared" si="1899"/>
        <v>14.107397260273974</v>
      </c>
      <c r="DR932" s="2293">
        <f t="shared" si="1900"/>
        <v>10.309138065812986</v>
      </c>
      <c r="DS932" s="2293">
        <f t="shared" si="1901"/>
        <v>9.8373287671232887</v>
      </c>
      <c r="DT932" s="2293">
        <f t="shared" si="1902"/>
        <v>12.634657534246578</v>
      </c>
      <c r="DU932" s="2293">
        <f t="shared" si="1903"/>
        <v>11.804931506849318</v>
      </c>
      <c r="DV932" s="2293">
        <f t="shared" si="1904"/>
        <v>13.656575342465754</v>
      </c>
      <c r="DW932" s="2293">
        <f t="shared" si="1905"/>
        <v>16.135260273972605</v>
      </c>
      <c r="DX932" s="2293">
        <f t="shared" si="1906"/>
        <v>21.794</v>
      </c>
      <c r="DY932" s="2293">
        <f t="shared" si="1907"/>
        <v>26.671673424657534</v>
      </c>
      <c r="EK932"/>
      <c r="EL932"/>
      <c r="EM932" s="847"/>
    </row>
    <row r="933" spans="1:148" x14ac:dyDescent="0.2">
      <c r="A933" s="1434" t="s">
        <v>1299</v>
      </c>
      <c r="C933" s="847">
        <v>0.13</v>
      </c>
      <c r="M933" s="661"/>
      <c r="N933" s="847">
        <f>((N760+M760)/2)*$C$933/(1/(N4/$R$4))</f>
        <v>6</v>
      </c>
      <c r="O933" s="847">
        <f>((O760+N760)/2)*$C$933/(1/(O4/$R$4))</f>
        <v>6</v>
      </c>
      <c r="P933" s="847">
        <f>((P760+O760)/2)*$C$933/(1/(P4/$R$4))</f>
        <v>6</v>
      </c>
      <c r="Q933" s="847">
        <f>((Q760+P760)/2)*$C$933/(1/(Q4/$R$4))</f>
        <v>8</v>
      </c>
      <c r="R933" s="661">
        <f>SUM(N933:Q933)</f>
        <v>26</v>
      </c>
      <c r="S933" s="847">
        <f>((S760+R760)/2)*$C$933/(1/(S4/$W$4))</f>
        <v>5.8867924528301883</v>
      </c>
      <c r="T933" s="847">
        <f>((T760+S760)/2)*$C$933/(1/(T4/$W$4))</f>
        <v>5.8867924528301883</v>
      </c>
      <c r="U933" s="847">
        <f>((U760+T760)/2)*$C$933/(1/(U4/$W$4))</f>
        <v>5.8867924528301883</v>
      </c>
      <c r="V933" s="847">
        <f>((V760+U760)/2)*$C$933/(1/(V4/$W$4))</f>
        <v>8.3396226415094343</v>
      </c>
      <c r="W933" s="661">
        <f>SUM(S933:V933)</f>
        <v>26</v>
      </c>
      <c r="X933" s="847">
        <f>((X760+W760)/2)*$C$933/(1/(X4/$AB$4))</f>
        <v>6</v>
      </c>
      <c r="Y933" s="847">
        <f>((Y760+X760)/2)*$C$933/(1/(Y4/$AB$4))</f>
        <v>6</v>
      </c>
      <c r="Z933" s="847">
        <f>((Z760+Y760)/2)*$C$933/(1/(Z4/$AB$4))</f>
        <v>6</v>
      </c>
      <c r="AA933" s="847">
        <f>((AA760+Z760)/2)*$C$933/(1/(AA4/$AB$4))</f>
        <v>8.3000000000000007</v>
      </c>
      <c r="AB933" s="661">
        <f>SUM(X933:AA933)</f>
        <v>26.3</v>
      </c>
      <c r="AC933" s="847">
        <f>((AC760+AB760)/2)*$C$933/(1/(AC4/$AG$4))</f>
        <v>6.45</v>
      </c>
      <c r="AD933" s="847">
        <f>((AD760+AC760)/2)*$C$933/(1/(AD4/$AG$4))</f>
        <v>6.45</v>
      </c>
      <c r="AE933" s="847">
        <f>((AE760+AD760)/2)*$C$933/(1/(AE4/$AG$4))</f>
        <v>6.45</v>
      </c>
      <c r="AF933" s="847">
        <f>((AF760+AE760)/2)*$C$933/(1/(AF4/$AG$4))</f>
        <v>9.2799999999999994</v>
      </c>
      <c r="AG933" s="661">
        <f>SUM(AC933:AF933)</f>
        <v>28.630000000000003</v>
      </c>
      <c r="AH933" s="847">
        <f>((AH760+AG760)/2)*$C$933/(1/(AH4/$AL$4))</f>
        <v>7.7700000000000014</v>
      </c>
      <c r="AI933" s="847">
        <f>((AI760+AH760)/2)*$C$933/(1/(AI4/$AL$4))</f>
        <v>4.0350000000000001</v>
      </c>
      <c r="AJ933" s="847">
        <f>((AJ760+AI760)/2)*$C$933/(1/(AJ4/$AL$4))</f>
        <v>0</v>
      </c>
      <c r="AK933" s="847">
        <f>((AK760+AJ760)/2)*$C$933/(1/(AK4/$AL$4))</f>
        <v>0</v>
      </c>
      <c r="AL933" s="661">
        <f>SUM(AH933:AK933)</f>
        <v>11.805000000000001</v>
      </c>
      <c r="AM933" s="847">
        <f>((AM760+AL760)/2)*$C$933/(1/(AM4/$AQ$4))</f>
        <v>0</v>
      </c>
      <c r="AN933" s="847">
        <f>((AN760+AM760)/2)*$C$933/(1/(AN4/$AQ$4))</f>
        <v>0</v>
      </c>
      <c r="AO933" s="847">
        <f>((AO760+AN760)/2)*$C$933/(1/(AO4/$AQ$4))</f>
        <v>0</v>
      </c>
      <c r="AP933" s="847">
        <f>((AP760+AO760)/2)*$C$933/(1/(AP4/$AQ$4))</f>
        <v>0</v>
      </c>
      <c r="AQ933" s="661">
        <f>SUM(AM933:AP933)</f>
        <v>0</v>
      </c>
      <c r="AR933" s="847">
        <f>((AR760+AQ760)/2)*$C$933/(1/(AR4/$AQ$4))</f>
        <v>0</v>
      </c>
      <c r="AS933" s="847">
        <f>((AS760+AR760)/2)*$C$933/(1/(AS4/$AQ$4))</f>
        <v>0</v>
      </c>
      <c r="AT933" s="847">
        <f>((AT760+AS760)/2)*$C$933/(1/(AT4/$AQ$4))</f>
        <v>0</v>
      </c>
      <c r="AU933" s="847">
        <f>((AU760+AT760)/2)*$C$933/(1/(AU4/$AQ$4))</f>
        <v>0</v>
      </c>
      <c r="AV933" s="661">
        <f>SUM(AR933:AU933)</f>
        <v>0</v>
      </c>
      <c r="AW933" s="847">
        <f>((AW760+AV760)/2)*$C$933/(1/(AW4/$AQ$4))</f>
        <v>0</v>
      </c>
      <c r="AX933" s="847">
        <f>((AX760+AW760)/2)*$C$933/(1/(AX4/$AQ$4))</f>
        <v>0</v>
      </c>
      <c r="AY933" s="847">
        <f>((AY760+AX760)/2)*$C$933/(1/(AY4/$AQ$4))</f>
        <v>0</v>
      </c>
      <c r="AZ933" s="847">
        <f>((AZ760+AY760)/2)*$C$933/(1/(AZ4/$AQ$4))</f>
        <v>0</v>
      </c>
      <c r="BA933" s="661">
        <f>SUM(AW933:AZ933)</f>
        <v>0</v>
      </c>
      <c r="BB933" s="847">
        <f>((BB760+BA760)/2)*$C$933/(1/(BB4/$AQ$4))</f>
        <v>0</v>
      </c>
      <c r="BC933" s="847">
        <f>((BC760+BB760)/2)*$C$933/(1/(BC4/$AQ$4))</f>
        <v>0</v>
      </c>
      <c r="BD933" s="847">
        <f>((BD760+BC760)/2)*$C$933/(1/(BD4/$AQ$4))</f>
        <v>0</v>
      </c>
      <c r="BE933" s="847">
        <f>((BE760+BD760)/2)*$C$933/(1/(BE4/$AQ$4))</f>
        <v>0</v>
      </c>
      <c r="BF933" s="661">
        <f>SUM(BB933:BE933)</f>
        <v>0</v>
      </c>
      <c r="BG933" s="847">
        <f>((BG760+BE760)/2)*$C$933/(1/(BG4/$BK$4))</f>
        <v>0</v>
      </c>
      <c r="BH933" s="847">
        <f>((BH760+BG760)/2)*$C$933/(1/(BH4/$BK$4))</f>
        <v>0</v>
      </c>
      <c r="BI933" s="847">
        <f>((BI760+BH760)/2)*$C$933/(1/(BI4/$BK$4))</f>
        <v>0</v>
      </c>
      <c r="BJ933" s="847">
        <f>((BJ760+BI760)/2)*$C$933/(1/(BJ4/$BK$4))</f>
        <v>0</v>
      </c>
      <c r="BK933" s="661">
        <f>SUM(BG933:BJ933)</f>
        <v>0</v>
      </c>
      <c r="BL933" s="847">
        <f>((BL760+BK760)/2)*$C$933/(1/(BL4/$BP$4))</f>
        <v>0</v>
      </c>
      <c r="BM933" s="847">
        <f>((BM760+BL760)/2)*$C$933/(1/(BM4/$BP$4))</f>
        <v>0</v>
      </c>
      <c r="BN933" s="847">
        <f>((BN760+BM760)/2)*$C$933/(1/(BN4/$BP$4))</f>
        <v>0</v>
      </c>
      <c r="BO933" s="847">
        <f>((BO760+BN760)/2)*$C$933/(1/(BO4/$BP$4))</f>
        <v>0</v>
      </c>
      <c r="BP933" s="661">
        <f>SUM(BL933:BO933)</f>
        <v>0</v>
      </c>
      <c r="BQ933" s="847">
        <f>((BQ760+BP760)/2)*$C$933/(1/(BQ4/$BP$4))</f>
        <v>0</v>
      </c>
      <c r="BR933" s="847">
        <f>((BR760+BQ760)/2)*$C$933/(1/(BR4/$BP$4))</f>
        <v>0</v>
      </c>
      <c r="BS933" s="847">
        <f>((BS760+BR760)/2)*$C$933/(1/(BS4/$BP$4))</f>
        <v>0</v>
      </c>
      <c r="BT933" s="847">
        <f>((BT760+BS760)/2)*$C$933/(1/(BT4/$BP$4))</f>
        <v>0</v>
      </c>
      <c r="BU933" s="661">
        <f>SUM(BQ933:BT933)</f>
        <v>0</v>
      </c>
      <c r="BV933" s="847">
        <f>((BV760+BU760)/2)*$C$933/(1/(BV4/$BZ$4))</f>
        <v>0</v>
      </c>
      <c r="BW933" s="847">
        <f>((BW760+BV760)/2)*$C$933/(1/(BW4/$BZ$4))</f>
        <v>0</v>
      </c>
      <c r="BX933" s="847">
        <f>((BX760+BW760)/2)*$C$933/(1/(BX4/$BZ$4))</f>
        <v>0</v>
      </c>
      <c r="BY933" s="847">
        <f>((BY760+BX760)/2)*$C$933/(1/(BY4/$BP$4))</f>
        <v>0</v>
      </c>
      <c r="BZ933" s="661">
        <f>SUM(BV933:BY933)</f>
        <v>0</v>
      </c>
      <c r="CA933" s="973">
        <f>((CA760+BZ760)/2)*$C$933/(1/(CA4/$CE$4))</f>
        <v>0</v>
      </c>
      <c r="CB933" s="847">
        <f>((CB760+CA760)/2)*$C$933/(1/(CB4/$BP$4))</f>
        <v>0</v>
      </c>
      <c r="CC933" s="847">
        <f>((CC760+CB760)/2)*$C$933/(1/(CC4/$BP$4))</f>
        <v>0</v>
      </c>
      <c r="CD933" s="847">
        <f>((CD760+CC760)/2)*$C$933/(1/(CD4/$BP$4))</f>
        <v>0</v>
      </c>
      <c r="CE933" s="661">
        <f>SUM(CA933:CD933)</f>
        <v>0</v>
      </c>
      <c r="CF933" s="973">
        <f>((CF760+CE760)/2)*$C$933/(1/(CF4/$CJ$4))</f>
        <v>0</v>
      </c>
      <c r="CG933" s="847">
        <f>((CG760+CF760)/2)*$C$933/(1/(CG4/$CJ$4))</f>
        <v>0</v>
      </c>
      <c r="CH933" s="847">
        <f>((CH760+CG760)/2)*$C$933/(1/(CH4/$BP$4))</f>
        <v>0</v>
      </c>
      <c r="CI933" s="1431">
        <f>((CI760+CH760)/2)*$C$933/(1/(CI4/$BP$4))</f>
        <v>0</v>
      </c>
      <c r="CJ933" s="661">
        <f>SUM(CF933:CI933)</f>
        <v>0</v>
      </c>
      <c r="CK933" s="847">
        <f>((CK760+CJ760)/2)*$C$933/(1/(CK4/$BP$4))</f>
        <v>0</v>
      </c>
      <c r="CL933" s="847">
        <f>((CL760+CK760)/2)*$C$933/(1/(CL4/$BP$4))</f>
        <v>0</v>
      </c>
      <c r="CM933" s="847">
        <f>((CM760+CL760)/2)*$C$933/(1/(CM4/$BP$4))</f>
        <v>0</v>
      </c>
      <c r="CN933" s="1431">
        <f>((CN760+CM760)/2)*$C$933/(1/(CN4/$BP$4))</f>
        <v>0</v>
      </c>
      <c r="CO933" s="661">
        <f>SUM(CK933:CN933)</f>
        <v>0</v>
      </c>
      <c r="CP933" s="847">
        <f>((CP760+CO760)/2)*$C$933/(1/(CP4/$BP$4))</f>
        <v>0</v>
      </c>
      <c r="CQ933" s="847">
        <f>((CQ760+CP760)/2)*$C$933/(1/(CQ4/$BP$4))</f>
        <v>0</v>
      </c>
      <c r="CR933" s="3798">
        <f>((CR760+CQ760)/2)*$C$933/(1/(CR4/$BP$4))</f>
        <v>0</v>
      </c>
      <c r="CS933" s="847">
        <f>((CS760+CR760)/2)*$C$933/(1/(CS4/$BP$4))</f>
        <v>0</v>
      </c>
      <c r="CT933" s="661">
        <f>SUM(CP933:CS933)</f>
        <v>0</v>
      </c>
      <c r="CX933" s="1431"/>
      <c r="CY933" s="3012">
        <f>SUM(CU933:CX933)</f>
        <v>0</v>
      </c>
      <c r="CZ933" s="661">
        <f>((CZ760+CY760)/2)*$C$933</f>
        <v>0</v>
      </c>
      <c r="DA933" s="661">
        <f>((DA760+CZ760)/2)*$C$933</f>
        <v>0</v>
      </c>
      <c r="DD933" s="2308" t="s">
        <v>1299</v>
      </c>
      <c r="DE933" s="2293">
        <f t="shared" si="1887"/>
        <v>0</v>
      </c>
      <c r="DF933" s="2293">
        <f t="shared" si="1888"/>
        <v>26</v>
      </c>
      <c r="DG933" s="2293">
        <f t="shared" si="1889"/>
        <v>26</v>
      </c>
      <c r="DH933" s="2293">
        <f t="shared" si="1890"/>
        <v>26.3</v>
      </c>
      <c r="DI933" s="2293">
        <f t="shared" si="1891"/>
        <v>28.630000000000003</v>
      </c>
      <c r="DJ933" s="2293">
        <f t="shared" si="1892"/>
        <v>11.805000000000001</v>
      </c>
      <c r="DK933" s="2293">
        <f t="shared" si="1893"/>
        <v>0</v>
      </c>
      <c r="DL933" s="2293">
        <f t="shared" si="1894"/>
        <v>0</v>
      </c>
      <c r="DM933" s="2293">
        <f t="shared" si="1895"/>
        <v>0</v>
      </c>
      <c r="DN933" s="2293">
        <f t="shared" si="1896"/>
        <v>0</v>
      </c>
      <c r="DO933" s="2293">
        <f t="shared" si="1897"/>
        <v>0</v>
      </c>
      <c r="DP933" s="2293">
        <f t="shared" si="1898"/>
        <v>0</v>
      </c>
      <c r="DQ933" s="2293">
        <f t="shared" si="1899"/>
        <v>0</v>
      </c>
      <c r="DR933" s="2293">
        <f t="shared" si="1900"/>
        <v>0</v>
      </c>
      <c r="DS933" s="2293">
        <f t="shared" si="1901"/>
        <v>0</v>
      </c>
      <c r="DT933" s="2293">
        <f t="shared" si="1902"/>
        <v>0</v>
      </c>
      <c r="DU933" s="2293">
        <f t="shared" si="1903"/>
        <v>0</v>
      </c>
      <c r="DV933" s="2293">
        <f t="shared" si="1904"/>
        <v>0</v>
      </c>
      <c r="DW933" s="2293">
        <f t="shared" si="1905"/>
        <v>0</v>
      </c>
      <c r="DX933" s="2293">
        <f t="shared" si="1906"/>
        <v>0</v>
      </c>
      <c r="DY933" s="2293">
        <f t="shared" si="1907"/>
        <v>0</v>
      </c>
      <c r="EK933"/>
      <c r="EL933"/>
      <c r="EM933" s="847"/>
    </row>
    <row r="934" spans="1:148" s="2383" customFormat="1" ht="12.75" customHeight="1" x14ac:dyDescent="0.2">
      <c r="A934" s="2308" t="s">
        <v>1931</v>
      </c>
      <c r="B934" s="946"/>
      <c r="C934" s="946"/>
      <c r="D934" s="946"/>
      <c r="E934" s="946"/>
      <c r="F934" s="946"/>
      <c r="G934" s="946"/>
      <c r="H934" s="946"/>
      <c r="I934" s="946"/>
      <c r="J934" s="946"/>
      <c r="K934" s="946"/>
      <c r="L934" s="946"/>
      <c r="M934" s="2293"/>
      <c r="N934" s="946">
        <f>+N937-SUM(N930:N933)</f>
        <v>3.2523076923076921</v>
      </c>
      <c r="O934" s="946">
        <f>+O937-SUM(O930:O933)</f>
        <v>6.1284615384615382</v>
      </c>
      <c r="P934" s="946">
        <f>+P937-SUM(P930:P933)</f>
        <v>7.7230769230769223</v>
      </c>
      <c r="Q934" s="946">
        <f>+Q937-SUM(Q930:Q933)</f>
        <v>14.941538461538464</v>
      </c>
      <c r="R934" s="2293">
        <f>SUM(N934:Q934)</f>
        <v>32.04538461538462</v>
      </c>
      <c r="S934" s="946">
        <f>+S937-SUM(S930:S933)</f>
        <v>3.4633962264150959</v>
      </c>
      <c r="T934" s="946">
        <f>+T937-SUM(T930:T933)</f>
        <v>11.917735849056605</v>
      </c>
      <c r="U934" s="946">
        <f>+U937-SUM(U930:U933)</f>
        <v>11.141132075471699</v>
      </c>
      <c r="V934" s="946">
        <f>+V937-SUM(V930:V933)</f>
        <v>23.748490566037738</v>
      </c>
      <c r="W934" s="2293">
        <f>SUM(S934:V934)</f>
        <v>50.270754716981138</v>
      </c>
      <c r="X934" s="946">
        <f>+X937-SUM(X930:X933)</f>
        <v>2.3484615384615353</v>
      </c>
      <c r="Y934" s="946">
        <f>+Y937-SUM(Y930:Y933)</f>
        <v>8.0330769230769228</v>
      </c>
      <c r="Z934" s="946">
        <f>+Z937-SUM(Z930:Z933)</f>
        <v>12.942307692307693</v>
      </c>
      <c r="AA934" s="946">
        <f>+AA937-SUM(AA930:AA933)</f>
        <v>27.893846153846155</v>
      </c>
      <c r="AB934" s="2293">
        <f>SUM(X934:AA934)</f>
        <v>51.217692307692303</v>
      </c>
      <c r="AC934" s="946">
        <f>+AC937-SUM(AC930:AC933)</f>
        <v>9.7607692307692311</v>
      </c>
      <c r="AD934" s="946">
        <f>+AD937-SUM(AD930:AD933)</f>
        <v>23.630769230769232</v>
      </c>
      <c r="AE934" s="946">
        <f>+AE937-SUM(AE930:AE933)</f>
        <v>17.536153846153848</v>
      </c>
      <c r="AF934" s="946">
        <f>+AF937-SUM(AF930:AF933)</f>
        <v>25.095384615384617</v>
      </c>
      <c r="AG934" s="2293">
        <f>SUM(AC934:AF934)</f>
        <v>76.023076923076928</v>
      </c>
      <c r="AH934" s="946">
        <f>+AH937-SUM(AH930:AH933)</f>
        <v>10.684615384615384</v>
      </c>
      <c r="AI934" s="946">
        <f>+AI937-SUM(AI930:AI933)</f>
        <v>12.071153846153846</v>
      </c>
      <c r="AJ934" s="946">
        <f>+AJ937-SUM(AJ930:AJ933)</f>
        <v>2.9292307692307684</v>
      </c>
      <c r="AK934" s="946">
        <f>+AK937-SUM(AK930:AK933)</f>
        <v>3.5999999999999996</v>
      </c>
      <c r="AL934" s="2293">
        <f>SUM(AH934:AK934)</f>
        <v>29.285000000000004</v>
      </c>
      <c r="AM934" s="946">
        <f>+AM937-SUM(AM930:AM933)</f>
        <v>4.4019726027397255</v>
      </c>
      <c r="AN934" s="946">
        <f>+AN937-SUM(AN930:AN933)</f>
        <v>7.3926575342465757</v>
      </c>
      <c r="AO934" s="946">
        <f>+AO937-SUM(AO930:AO933)</f>
        <v>7.9806027397260273</v>
      </c>
      <c r="AP934" s="946">
        <f>+AP937-SUM(AP930:AP933)</f>
        <v>7.3189863013698631</v>
      </c>
      <c r="AQ934" s="2293">
        <f>SUM(AM934:AP934)</f>
        <v>27.094219178082191</v>
      </c>
      <c r="AR934" s="946">
        <f>+AR937-SUM(AR930:AR933)</f>
        <v>0.34652054794520515</v>
      </c>
      <c r="AS934" s="946">
        <f>+AS937-SUM(AS930:AS933)</f>
        <v>3.4431780821917806</v>
      </c>
      <c r="AT934" s="946">
        <f>+AT937-SUM(AT930:AT933)</f>
        <v>3.2498630136986297</v>
      </c>
      <c r="AU934" s="946">
        <f>+AU937-SUM(AU930:AU933)</f>
        <v>4.1070273972602731</v>
      </c>
      <c r="AV934" s="2293">
        <f>SUM(AR934:AU934)</f>
        <v>11.146589041095888</v>
      </c>
      <c r="AW934" s="946">
        <f>+AW937-SUM(AW930:AW933)</f>
        <v>2.770301369863013</v>
      </c>
      <c r="AX934" s="946">
        <f>+AX937-SUM(AX930:AX933)</f>
        <v>1.4077808219178074</v>
      </c>
      <c r="AY934" s="946">
        <f>+AY937-SUM(AY930:AY933)</f>
        <v>0.91868493150684749</v>
      </c>
      <c r="AZ934" s="946">
        <f>+AZ937-SUM(AZ930:AZ933)</f>
        <v>0.48282191780821826</v>
      </c>
      <c r="BA934" s="2293">
        <f>SUM(AW934:AZ934)</f>
        <v>5.5795890410958862</v>
      </c>
      <c r="BB934" s="946">
        <f>BB40-SUM(BB930:BB933)</f>
        <v>-1.3804931506849325</v>
      </c>
      <c r="BC934" s="946">
        <f>BC40-SUM(BC930:BC933)</f>
        <v>2.3168219178082179</v>
      </c>
      <c r="BD934" s="946">
        <f>BD40-SUM(BD930:BD933)</f>
        <v>0.57906849315068509</v>
      </c>
      <c r="BE934" s="946">
        <f>BE40-SUM(BE930:BE933)</f>
        <v>0.11189041095890317</v>
      </c>
      <c r="BF934" s="2293">
        <f>SUM(BB934:BE934)</f>
        <v>1.6272876712328737</v>
      </c>
      <c r="BG934" s="946">
        <f>BG40-SUM(BG930:BG933)</f>
        <v>3.2529926238145412</v>
      </c>
      <c r="BH934" s="946">
        <f>BH40-SUM(BH930:BH933)</f>
        <v>3.3336354056901998</v>
      </c>
      <c r="BI934" s="946">
        <f>BI40-SUM(BI930:BI933)</f>
        <v>3.0970811380400423</v>
      </c>
      <c r="BJ934" s="946">
        <f>BJ40-SUM(BJ930:BJ933)</f>
        <v>5.8602739726027391</v>
      </c>
      <c r="BK934" s="2293">
        <f>SUM(BG934:BJ934)</f>
        <v>15.543983140147523</v>
      </c>
      <c r="BL934" s="946">
        <f>BL40-SUM(BL930:BL933)</f>
        <v>2.4771759747102209</v>
      </c>
      <c r="BM934" s="946">
        <f>BM40-SUM(BM930:BM933)</f>
        <v>2.5518229715489991</v>
      </c>
      <c r="BN934" s="946">
        <f>BN40-SUM(BN930:BN933)</f>
        <v>3.5474657534246572</v>
      </c>
      <c r="BO934" s="946">
        <f>BO40-SUM(BO930:BO933)</f>
        <v>2.8949631190727079</v>
      </c>
      <c r="BP934" s="2293">
        <f>SUM(BL934:BO934)</f>
        <v>11.471427818756585</v>
      </c>
      <c r="BQ934" s="946">
        <f>BQ40-SUM(BQ930:BQ933)</f>
        <v>-4.1527924130664751E-2</v>
      </c>
      <c r="BR934" s="946">
        <f>BR40-SUM(BR930:BR933)</f>
        <v>-0.64283456269757666</v>
      </c>
      <c r="BS934" s="946">
        <f>BS40-SUM(BS930:BS933)</f>
        <v>-0.17622233930453124</v>
      </c>
      <c r="BT934" s="946">
        <f>BT40-SUM(BT930:BT933)</f>
        <v>3.0181875658587982</v>
      </c>
      <c r="BU934" s="2293">
        <f>SUM(BQ934:BT934)</f>
        <v>2.1576027397260256</v>
      </c>
      <c r="BV934" s="946">
        <f>BV40-SUM(BV930:BV933)</f>
        <v>-4.9035326086956932E-2</v>
      </c>
      <c r="BW934" s="946">
        <f>BW40-SUM(BW930:BW933)</f>
        <v>2.1055570652173907</v>
      </c>
      <c r="BX934" s="946">
        <f>BX40-SUM(BX930:BX933)</f>
        <v>2.4275000000000002</v>
      </c>
      <c r="BY934" s="946">
        <f>BY40-SUM(BY930:BY933)</f>
        <v>7.5054192382959499</v>
      </c>
      <c r="BZ934" s="2293">
        <f>SUM(BV934:BY934)</f>
        <v>11.989440977426383</v>
      </c>
      <c r="CA934" s="946">
        <f>CA40-SUM(CA930:CA933)</f>
        <v>2.8782191780821913</v>
      </c>
      <c r="CB934" s="946">
        <f>CB40-SUM(CB930:CB933)</f>
        <v>1.5205616438356166</v>
      </c>
      <c r="CC934" s="946">
        <f>CC40-SUM(CC930:CC933)</f>
        <v>5.0169315068493141</v>
      </c>
      <c r="CD934" s="946">
        <f>CD40-SUM(CD930:CD933)</f>
        <v>9.931232876712329</v>
      </c>
      <c r="CE934" s="2293">
        <f>SUM(CA934:CD934)</f>
        <v>19.34694520547945</v>
      </c>
      <c r="CF934" s="946">
        <f>CF40-SUM(CF930:CF933)</f>
        <v>4.8697260273972596</v>
      </c>
      <c r="CG934" s="946">
        <f>CG40-SUM(CG930:CG933)</f>
        <v>2.7838356164383558</v>
      </c>
      <c r="CH934" s="946">
        <f>CH40-SUM(CH930:CH933)</f>
        <v>1.7106849315068486</v>
      </c>
      <c r="CI934" s="946">
        <f>CI40-SUM(CI930:CI933)</f>
        <v>6.4271232876712325</v>
      </c>
      <c r="CJ934" s="2293">
        <f>SUM(CF934:CI934)</f>
        <v>15.791369863013697</v>
      </c>
      <c r="CK934" s="946">
        <f>CK40-SUM(CK930:CK933)</f>
        <v>2.5867865798864274</v>
      </c>
      <c r="CL934" s="946">
        <f>CL40-SUM(CL930:CL933)</f>
        <v>4.0562752016037686</v>
      </c>
      <c r="CM934" s="946">
        <f>CM40-SUM(CM930:CM933)</f>
        <v>5.2010472760819839</v>
      </c>
      <c r="CN934" s="946">
        <f>CN40-SUM(CN930:CN933)-CN936</f>
        <v>3.5845521081363749</v>
      </c>
      <c r="CO934" s="2293">
        <f>SUM(CK934:CN934)</f>
        <v>15.428661165708554</v>
      </c>
      <c r="CP934" s="946">
        <f>CP40-SUM(CP930:CP933)-CP936</f>
        <v>-1.9161095890410964</v>
      </c>
      <c r="CQ934" s="946">
        <f>CQ40-SUM(CQ930:CQ933)-CQ936</f>
        <v>-1.1391287671232879</v>
      </c>
      <c r="CR934" s="946">
        <f>CR40-SUM(CR930:CR933)-CR936</f>
        <v>-4.3463013698630704E-2</v>
      </c>
      <c r="CS934" s="946">
        <f>CS40-SUM(CS930:CS933)-CS936</f>
        <v>4.8456328767123278</v>
      </c>
      <c r="CT934" s="2293">
        <f>SUM(CP934:CS934)</f>
        <v>1.7469315068493128</v>
      </c>
      <c r="CU934" s="845">
        <v>0</v>
      </c>
      <c r="CV934" s="845">
        <v>0</v>
      </c>
      <c r="CW934" s="845">
        <v>0</v>
      </c>
      <c r="CX934" s="845">
        <v>0</v>
      </c>
      <c r="CY934" s="2293">
        <f>SUM(CU934:CX934)</f>
        <v>0</v>
      </c>
      <c r="CZ934" s="848">
        <v>0</v>
      </c>
      <c r="DA934" s="848">
        <v>0</v>
      </c>
      <c r="DB934" s="1062"/>
      <c r="DC934" s="1062"/>
      <c r="DD934" s="2308" t="s">
        <v>1931</v>
      </c>
      <c r="DE934" s="2293">
        <f t="shared" si="1887"/>
        <v>0</v>
      </c>
      <c r="DF934" s="2293">
        <f t="shared" si="1888"/>
        <v>32.04538461538462</v>
      </c>
      <c r="DG934" s="2293">
        <f t="shared" si="1889"/>
        <v>50.270754716981138</v>
      </c>
      <c r="DH934" s="2293">
        <f t="shared" si="1890"/>
        <v>51.217692307692303</v>
      </c>
      <c r="DI934" s="2293">
        <f t="shared" si="1891"/>
        <v>76.023076923076928</v>
      </c>
      <c r="DJ934" s="2293">
        <f t="shared" si="1892"/>
        <v>29.285000000000004</v>
      </c>
      <c r="DK934" s="2293">
        <f t="shared" si="1893"/>
        <v>27.094219178082191</v>
      </c>
      <c r="DL934" s="2293">
        <f t="shared" si="1894"/>
        <v>11.146589041095888</v>
      </c>
      <c r="DM934" s="2293">
        <f t="shared" si="1895"/>
        <v>5.5795890410958862</v>
      </c>
      <c r="DN934" s="2293">
        <f t="shared" si="1896"/>
        <v>1.6272876712328737</v>
      </c>
      <c r="DO934" s="2293">
        <f t="shared" si="1897"/>
        <v>15.543983140147523</v>
      </c>
      <c r="DP934" s="2293">
        <f t="shared" si="1898"/>
        <v>11.471427818756585</v>
      </c>
      <c r="DQ934" s="2293">
        <f t="shared" si="1899"/>
        <v>2.1576027397260256</v>
      </c>
      <c r="DR934" s="2293">
        <f t="shared" si="1900"/>
        <v>11.989440977426383</v>
      </c>
      <c r="DS934" s="2293">
        <f t="shared" si="1901"/>
        <v>19.34694520547945</v>
      </c>
      <c r="DT934" s="2293">
        <f t="shared" si="1902"/>
        <v>15.791369863013697</v>
      </c>
      <c r="DU934" s="2293">
        <f t="shared" si="1903"/>
        <v>15.428661165708554</v>
      </c>
      <c r="DV934" s="2293">
        <f t="shared" si="1904"/>
        <v>1.7469315068493128</v>
      </c>
      <c r="DW934" s="2293">
        <f t="shared" si="1905"/>
        <v>0</v>
      </c>
      <c r="DX934" s="2293">
        <f t="shared" si="1906"/>
        <v>0</v>
      </c>
      <c r="DY934" s="2293">
        <f t="shared" si="1907"/>
        <v>0</v>
      </c>
      <c r="DZ934" s="1062"/>
      <c r="EA934"/>
      <c r="EB934"/>
      <c r="EC934"/>
      <c r="ED934"/>
      <c r="EE934"/>
      <c r="EF934"/>
      <c r="EJ934"/>
      <c r="EK934"/>
      <c r="EL934"/>
      <c r="EM934" s="847"/>
      <c r="ER934" s="2402"/>
    </row>
    <row r="935" spans="1:148" s="2383" customFormat="1" ht="4.5" customHeight="1" x14ac:dyDescent="0.2">
      <c r="A935" s="2378"/>
      <c r="B935" s="946"/>
      <c r="C935" s="946"/>
      <c r="D935" s="946"/>
      <c r="E935" s="946"/>
      <c r="F935" s="946"/>
      <c r="G935" s="946"/>
      <c r="H935" s="946"/>
      <c r="I935" s="946"/>
      <c r="J935" s="946"/>
      <c r="K935" s="946"/>
      <c r="L935" s="946"/>
      <c r="M935" s="2293"/>
      <c r="N935" s="946"/>
      <c r="O935" s="946"/>
      <c r="P935" s="946"/>
      <c r="Q935" s="946"/>
      <c r="R935" s="2293"/>
      <c r="S935" s="946"/>
      <c r="T935" s="946"/>
      <c r="U935" s="946"/>
      <c r="V935" s="946"/>
      <c r="W935" s="2293"/>
      <c r="X935" s="946"/>
      <c r="Y935" s="946"/>
      <c r="Z935" s="946"/>
      <c r="AA935" s="946"/>
      <c r="AB935" s="2293"/>
      <c r="AC935" s="946"/>
      <c r="AD935" s="946"/>
      <c r="AE935" s="946"/>
      <c r="AF935" s="946"/>
      <c r="AG935" s="2293"/>
      <c r="AH935" s="946"/>
      <c r="AI935" s="946"/>
      <c r="AJ935" s="946"/>
      <c r="AK935" s="946"/>
      <c r="AL935" s="2293"/>
      <c r="AM935" s="946"/>
      <c r="AN935" s="946"/>
      <c r="AO935" s="946"/>
      <c r="AP935" s="946"/>
      <c r="AQ935" s="2293"/>
      <c r="AR935" s="946"/>
      <c r="AS935" s="946"/>
      <c r="AT935" s="946"/>
      <c r="AU935" s="946"/>
      <c r="AV935" s="2293"/>
      <c r="AW935" s="946"/>
      <c r="AX935" s="946"/>
      <c r="AY935" s="946"/>
      <c r="AZ935" s="946"/>
      <c r="BA935" s="2293"/>
      <c r="BB935" s="946"/>
      <c r="BC935" s="946"/>
      <c r="BD935" s="946"/>
      <c r="BE935" s="946"/>
      <c r="BF935" s="2293"/>
      <c r="BG935" s="946"/>
      <c r="BH935" s="946"/>
      <c r="BI935" s="946"/>
      <c r="BJ935" s="946"/>
      <c r="BK935" s="2293"/>
      <c r="BL935" s="946"/>
      <c r="BM935" s="946"/>
      <c r="BN935" s="946"/>
      <c r="BO935" s="946"/>
      <c r="BP935" s="2293"/>
      <c r="BQ935" s="946"/>
      <c r="BR935" s="946"/>
      <c r="BS935" s="946"/>
      <c r="BT935" s="946"/>
      <c r="BU935" s="2293"/>
      <c r="BV935" s="946"/>
      <c r="BW935" s="946"/>
      <c r="BX935" s="946"/>
      <c r="BY935" s="946"/>
      <c r="BZ935" s="2293"/>
      <c r="CA935" s="946"/>
      <c r="CB935" s="946"/>
      <c r="CC935" s="946"/>
      <c r="CD935" s="946"/>
      <c r="CE935" s="2293"/>
      <c r="CF935" s="946"/>
      <c r="CG935" s="946"/>
      <c r="CH935" s="946"/>
      <c r="CI935" s="946"/>
      <c r="CJ935" s="2293"/>
      <c r="CK935" s="946"/>
      <c r="CL935" s="946"/>
      <c r="CM935" s="845"/>
      <c r="CN935" s="845"/>
      <c r="CO935" s="2293"/>
      <c r="CP935" s="845"/>
      <c r="CQ935" s="845"/>
      <c r="CR935" s="845"/>
      <c r="CS935" s="845"/>
      <c r="CT935" s="2293"/>
      <c r="CU935" s="845"/>
      <c r="CV935" s="845"/>
      <c r="CW935" s="845"/>
      <c r="CX935" s="2034"/>
      <c r="CY935" s="3012"/>
      <c r="CZ935" s="848"/>
      <c r="DA935" s="848"/>
      <c r="DB935" s="1062"/>
      <c r="DC935" s="1062"/>
      <c r="DD935" s="2308"/>
      <c r="DE935" s="2293"/>
      <c r="DF935" s="2293"/>
      <c r="DG935" s="2293"/>
      <c r="DH935" s="2293"/>
      <c r="DI935" s="2293"/>
      <c r="DJ935" s="2293"/>
      <c r="DK935" s="2293"/>
      <c r="DL935" s="2293"/>
      <c r="DM935" s="2293"/>
      <c r="DN935" s="2293"/>
      <c r="DO935" s="2293"/>
      <c r="DP935" s="2293"/>
      <c r="DQ935" s="2293"/>
      <c r="DR935" s="2293"/>
      <c r="DS935" s="2293"/>
      <c r="DT935" s="2293"/>
      <c r="DU935" s="2293"/>
      <c r="DV935" s="2293"/>
      <c r="DW935" s="2293"/>
      <c r="DX935" s="2293"/>
      <c r="DY935" s="2293"/>
      <c r="DZ935" s="1062"/>
      <c r="EA935"/>
      <c r="EB935"/>
      <c r="EC935"/>
      <c r="ED935"/>
      <c r="EE935"/>
      <c r="EF935"/>
      <c r="EJ935"/>
      <c r="EK935"/>
      <c r="EL935"/>
      <c r="EM935" s="847"/>
      <c r="ER935" s="2402"/>
    </row>
    <row r="936" spans="1:148" ht="12.75" customHeight="1" x14ac:dyDescent="0.2">
      <c r="A936" s="3103" t="s">
        <v>2492</v>
      </c>
      <c r="B936" s="891"/>
      <c r="C936" s="891"/>
      <c r="D936" s="891"/>
      <c r="E936" s="891"/>
      <c r="F936" s="891"/>
      <c r="G936" s="891"/>
      <c r="H936" s="891"/>
      <c r="I936" s="891"/>
      <c r="J936" s="891"/>
      <c r="K936" s="891"/>
      <c r="L936" s="891"/>
      <c r="M936" s="246"/>
      <c r="N936" s="891"/>
      <c r="O936" s="891"/>
      <c r="P936" s="891"/>
      <c r="Q936" s="891"/>
      <c r="R936" s="246"/>
      <c r="S936" s="891"/>
      <c r="T936" s="891"/>
      <c r="U936" s="891"/>
      <c r="V936" s="891"/>
      <c r="W936" s="246"/>
      <c r="X936" s="891"/>
      <c r="Y936" s="891"/>
      <c r="Z936" s="891"/>
      <c r="AA936" s="891"/>
      <c r="AB936" s="246"/>
      <c r="AC936" s="891"/>
      <c r="AD936" s="891"/>
      <c r="AE936" s="891"/>
      <c r="AF936" s="891"/>
      <c r="AG936" s="246"/>
      <c r="AH936" s="891"/>
      <c r="AI936" s="891"/>
      <c r="AJ936" s="891"/>
      <c r="AK936" s="891"/>
      <c r="AL936" s="246"/>
      <c r="AM936" s="891"/>
      <c r="AN936" s="891"/>
      <c r="AO936" s="891"/>
      <c r="AP936" s="891"/>
      <c r="AQ936" s="246"/>
      <c r="AR936" s="891"/>
      <c r="AS936" s="891"/>
      <c r="AT936" s="891"/>
      <c r="AU936" s="891"/>
      <c r="AV936" s="246"/>
      <c r="AW936" s="891"/>
      <c r="AX936" s="891"/>
      <c r="AY936" s="891"/>
      <c r="AZ936" s="891"/>
      <c r="BA936" s="246"/>
      <c r="BB936" s="891"/>
      <c r="BC936" s="891"/>
      <c r="BD936" s="891"/>
      <c r="BE936" s="891"/>
      <c r="BF936" s="246"/>
      <c r="BG936" s="891"/>
      <c r="BH936" s="891"/>
      <c r="BI936" s="891"/>
      <c r="BJ936" s="891"/>
      <c r="BK936" s="246"/>
      <c r="BL936" s="891"/>
      <c r="BM936" s="891"/>
      <c r="BN936" s="891"/>
      <c r="BO936" s="891"/>
      <c r="BP936" s="246"/>
      <c r="BQ936" s="891"/>
      <c r="BR936" s="891"/>
      <c r="BS936" s="891"/>
      <c r="BT936" s="891"/>
      <c r="BU936" s="246"/>
      <c r="BV936" s="891"/>
      <c r="BW936" s="891"/>
      <c r="BX936" s="891"/>
      <c r="BY936" s="891"/>
      <c r="BZ936" s="246"/>
      <c r="CA936" s="891"/>
      <c r="CB936" s="891"/>
      <c r="CC936" s="891"/>
      <c r="CD936" s="891"/>
      <c r="CE936" s="246"/>
      <c r="CF936" s="891"/>
      <c r="CG936" s="891"/>
      <c r="CH936" s="891"/>
      <c r="CI936" s="891"/>
      <c r="CJ936" s="246"/>
      <c r="CK936" s="891"/>
      <c r="CL936" s="891"/>
      <c r="CM936" s="767"/>
      <c r="CN936" s="3085">
        <v>5</v>
      </c>
      <c r="CO936" s="2293">
        <f>SUM(CK936:CN936)</f>
        <v>5</v>
      </c>
      <c r="CP936" s="3074">
        <f>+CN936</f>
        <v>5</v>
      </c>
      <c r="CQ936" s="3074">
        <f>+CP936</f>
        <v>5</v>
      </c>
      <c r="CR936" s="3810">
        <f>+CQ936</f>
        <v>5</v>
      </c>
      <c r="CS936" s="3074">
        <f>+CR936</f>
        <v>5</v>
      </c>
      <c r="CT936" s="2293">
        <f>SUM(CP936:CS936)</f>
        <v>20</v>
      </c>
      <c r="CU936" s="3922">
        <v>1</v>
      </c>
      <c r="CV936" s="3674">
        <v>1</v>
      </c>
      <c r="CW936" s="3674">
        <v>1</v>
      </c>
      <c r="CX936" s="3923">
        <v>1</v>
      </c>
      <c r="CY936" s="3012">
        <f>SUM(CU936:CX936)</f>
        <v>4</v>
      </c>
      <c r="CZ936" s="3075">
        <f>+CY936</f>
        <v>4</v>
      </c>
      <c r="DA936" s="3075">
        <f>+CZ936</f>
        <v>4</v>
      </c>
      <c r="DD936" s="1580"/>
      <c r="DE936" s="246"/>
      <c r="DF936" s="246"/>
      <c r="DG936" s="246"/>
      <c r="DH936" s="246"/>
      <c r="DI936" s="246"/>
      <c r="DJ936" s="246"/>
      <c r="DK936" s="246"/>
      <c r="DL936" s="246"/>
      <c r="DM936" s="246"/>
      <c r="DN936" s="246"/>
      <c r="DO936" s="246"/>
      <c r="DP936" s="246"/>
      <c r="DQ936" s="246"/>
      <c r="DR936" s="246"/>
      <c r="DS936" s="246"/>
      <c r="DT936" s="246"/>
      <c r="DU936" s="246"/>
      <c r="DV936" s="246"/>
      <c r="DW936" s="246"/>
      <c r="DX936" s="246"/>
      <c r="DY936" s="246"/>
      <c r="EK936"/>
      <c r="EL936"/>
      <c r="EM936" s="847"/>
    </row>
    <row r="937" spans="1:148" ht="12.75" customHeight="1" x14ac:dyDescent="0.2">
      <c r="A937" s="1437" t="s">
        <v>2019</v>
      </c>
      <c r="B937" s="852"/>
      <c r="C937" s="852"/>
      <c r="D937" s="852"/>
      <c r="E937" s="852"/>
      <c r="F937" s="852"/>
      <c r="G937" s="852"/>
      <c r="H937" s="852"/>
      <c r="I937" s="852"/>
      <c r="J937" s="852"/>
      <c r="K937" s="852"/>
      <c r="L937" s="852"/>
      <c r="M937" s="843"/>
      <c r="N937" s="852">
        <f>+N40</f>
        <v>16</v>
      </c>
      <c r="O937" s="852">
        <f>+O40</f>
        <v>20</v>
      </c>
      <c r="P937" s="852">
        <f>+P40</f>
        <v>23</v>
      </c>
      <c r="Q937" s="852">
        <f>+Q40</f>
        <v>36</v>
      </c>
      <c r="R937" s="843">
        <f>SUM(R930:R934)</f>
        <v>95</v>
      </c>
      <c r="S937" s="852">
        <f>+S40</f>
        <v>19</v>
      </c>
      <c r="T937" s="852">
        <f>+T40</f>
        <v>28</v>
      </c>
      <c r="U937" s="852">
        <f>+U40</f>
        <v>28</v>
      </c>
      <c r="V937" s="852">
        <f>+V40</f>
        <v>47</v>
      </c>
      <c r="W937" s="843">
        <f>SUM(W930:W934)</f>
        <v>122</v>
      </c>
      <c r="X937" s="852">
        <f>+X40</f>
        <v>20</v>
      </c>
      <c r="Y937" s="852">
        <f>+Y40</f>
        <v>27</v>
      </c>
      <c r="Z937" s="852">
        <f>+Z40</f>
        <v>31</v>
      </c>
      <c r="AA937" s="852">
        <f>+AA40</f>
        <v>51</v>
      </c>
      <c r="AB937" s="843">
        <f>SUM(AB930:AB934)</f>
        <v>129</v>
      </c>
      <c r="AC937" s="852">
        <f>+AC40</f>
        <v>26</v>
      </c>
      <c r="AD937" s="852">
        <f>+AD40</f>
        <v>39</v>
      </c>
      <c r="AE937" s="852">
        <f>+AE40</f>
        <v>33</v>
      </c>
      <c r="AF937" s="852">
        <f>+AF40</f>
        <v>48</v>
      </c>
      <c r="AG937" s="843">
        <f>SUM(AG930:AG934)</f>
        <v>146</v>
      </c>
      <c r="AH937" s="852">
        <f>+AH40</f>
        <v>27</v>
      </c>
      <c r="AI937" s="852">
        <f>+AI40</f>
        <v>25</v>
      </c>
      <c r="AJ937" s="852">
        <f>+AJ40</f>
        <v>13</v>
      </c>
      <c r="AK937" s="852">
        <f>+AK40</f>
        <v>14</v>
      </c>
      <c r="AL937" s="843">
        <f>SUM(AL930:AL934)</f>
        <v>79</v>
      </c>
      <c r="AM937" s="852">
        <f>+AM40</f>
        <v>11</v>
      </c>
      <c r="AN937" s="852">
        <f>+AN40</f>
        <v>12</v>
      </c>
      <c r="AO937" s="852">
        <f>+AO40</f>
        <v>11</v>
      </c>
      <c r="AP937" s="852">
        <f>+AP40</f>
        <v>11</v>
      </c>
      <c r="AQ937" s="843">
        <f>SUM(AQ930:AQ934)</f>
        <v>45</v>
      </c>
      <c r="AR937" s="852">
        <f>+AR40</f>
        <v>3</v>
      </c>
      <c r="AS937" s="852">
        <f>+AS40</f>
        <v>6</v>
      </c>
      <c r="AT937" s="852">
        <f>+AT40</f>
        <v>6</v>
      </c>
      <c r="AU937" s="852">
        <f>+AU40</f>
        <v>12</v>
      </c>
      <c r="AV937" s="843">
        <f>SUM(AV930:AV934)</f>
        <v>27</v>
      </c>
      <c r="AW937" s="852">
        <f>+AW40</f>
        <v>11</v>
      </c>
      <c r="AX937" s="852">
        <f>+AX40</f>
        <v>9</v>
      </c>
      <c r="AY937" s="852">
        <f>+AY40</f>
        <v>8</v>
      </c>
      <c r="AZ937" s="852">
        <f>+AZ40</f>
        <v>11</v>
      </c>
      <c r="BA937" s="843">
        <f>SUM(BA930:BA934)</f>
        <v>39</v>
      </c>
      <c r="BB937" s="852">
        <f>+BB40</f>
        <v>6</v>
      </c>
      <c r="BC937" s="852">
        <f>+BC40</f>
        <v>9</v>
      </c>
      <c r="BD937" s="852">
        <f>+BD40</f>
        <v>5</v>
      </c>
      <c r="BE937" s="852">
        <f>+BE40</f>
        <v>5</v>
      </c>
      <c r="BF937" s="843">
        <f t="shared" ref="BF937:CM937" si="1908">SUM(BF930:BF934)</f>
        <v>25</v>
      </c>
      <c r="BG937" s="852">
        <f t="shared" si="1908"/>
        <v>6</v>
      </c>
      <c r="BH937" s="852">
        <f t="shared" si="1908"/>
        <v>6</v>
      </c>
      <c r="BI937" s="852">
        <f t="shared" si="1908"/>
        <v>6</v>
      </c>
      <c r="BJ937" s="852">
        <f t="shared" si="1908"/>
        <v>11</v>
      </c>
      <c r="BK937" s="843">
        <f t="shared" si="1908"/>
        <v>29</v>
      </c>
      <c r="BL937" s="852">
        <f t="shared" si="1908"/>
        <v>7</v>
      </c>
      <c r="BM937" s="852">
        <f t="shared" si="1908"/>
        <v>5</v>
      </c>
      <c r="BN937" s="852">
        <f t="shared" si="1908"/>
        <v>5</v>
      </c>
      <c r="BO937" s="852">
        <f t="shared" si="1908"/>
        <v>7</v>
      </c>
      <c r="BP937" s="843">
        <f t="shared" si="1908"/>
        <v>24</v>
      </c>
      <c r="BQ937" s="852">
        <f t="shared" si="1908"/>
        <v>4</v>
      </c>
      <c r="BR937" s="852">
        <f t="shared" si="1908"/>
        <v>3</v>
      </c>
      <c r="BS937" s="852">
        <f t="shared" si="1908"/>
        <v>3</v>
      </c>
      <c r="BT937" s="852">
        <f t="shared" si="1908"/>
        <v>7</v>
      </c>
      <c r="BU937" s="843">
        <f t="shared" si="1908"/>
        <v>17</v>
      </c>
      <c r="BV937" s="852">
        <f t="shared" si="1908"/>
        <v>3</v>
      </c>
      <c r="BW937" s="852">
        <f t="shared" si="1908"/>
        <v>5</v>
      </c>
      <c r="BX937" s="852">
        <f t="shared" si="1908"/>
        <v>5</v>
      </c>
      <c r="BY937" s="852">
        <f t="shared" si="1908"/>
        <v>10</v>
      </c>
      <c r="BZ937" s="843">
        <f t="shared" si="1908"/>
        <v>23</v>
      </c>
      <c r="CA937" s="852">
        <f t="shared" si="1908"/>
        <v>5</v>
      </c>
      <c r="CB937" s="852">
        <f t="shared" si="1908"/>
        <v>4</v>
      </c>
      <c r="CC937" s="852">
        <f t="shared" si="1908"/>
        <v>8</v>
      </c>
      <c r="CD937" s="852">
        <f t="shared" si="1908"/>
        <v>13</v>
      </c>
      <c r="CE937" s="843">
        <f t="shared" si="1908"/>
        <v>30</v>
      </c>
      <c r="CF937" s="852">
        <f t="shared" si="1908"/>
        <v>8</v>
      </c>
      <c r="CG937" s="852">
        <f t="shared" si="1908"/>
        <v>6</v>
      </c>
      <c r="CH937" s="852">
        <f t="shared" si="1908"/>
        <v>5</v>
      </c>
      <c r="CI937" s="1646">
        <f t="shared" si="1908"/>
        <v>10</v>
      </c>
      <c r="CJ937" s="843">
        <f t="shared" si="1908"/>
        <v>29</v>
      </c>
      <c r="CK937" s="852">
        <f t="shared" si="1908"/>
        <v>6</v>
      </c>
      <c r="CL937" s="852">
        <f t="shared" si="1908"/>
        <v>7</v>
      </c>
      <c r="CM937" s="852">
        <f t="shared" si="1908"/>
        <v>9</v>
      </c>
      <c r="CN937" s="3067">
        <f t="shared" ref="CN937:DA937" si="1909">SUM(CN930:CN936)</f>
        <v>13</v>
      </c>
      <c r="CO937" s="843">
        <f t="shared" si="1909"/>
        <v>35</v>
      </c>
      <c r="CP937" s="1433">
        <f t="shared" si="1909"/>
        <v>7</v>
      </c>
      <c r="CQ937" s="852">
        <f t="shared" si="1909"/>
        <v>8</v>
      </c>
      <c r="CR937" s="852">
        <f t="shared" si="1909"/>
        <v>9</v>
      </c>
      <c r="CS937" s="1646">
        <f t="shared" si="1909"/>
        <v>14</v>
      </c>
      <c r="CT937" s="843">
        <f t="shared" si="1909"/>
        <v>38</v>
      </c>
      <c r="CU937" s="1433">
        <f t="shared" si="1909"/>
        <v>5.2127397260273973</v>
      </c>
      <c r="CV937" s="852">
        <f t="shared" ca="1" si="1909"/>
        <v>5.384192078385202</v>
      </c>
      <c r="CW937" s="852">
        <f t="shared" ca="1" si="1909"/>
        <v>5.2760665844408372</v>
      </c>
      <c r="CX937" s="1646">
        <f t="shared" ca="1" si="1909"/>
        <v>5.545221882425535</v>
      </c>
      <c r="CY937" s="1646">
        <f ca="1">SUM(CY930:CY936)</f>
        <v>21.418220271278972</v>
      </c>
      <c r="CZ937" s="843">
        <f t="shared" ca="1" si="1909"/>
        <v>26.207654563877398</v>
      </c>
      <c r="DA937" s="843">
        <f t="shared" ca="1" si="1909"/>
        <v>31.29094378228741</v>
      </c>
      <c r="DD937" s="1437" t="s">
        <v>2019</v>
      </c>
      <c r="DE937" s="843">
        <f t="shared" si="1887"/>
        <v>0</v>
      </c>
      <c r="DF937" s="843">
        <f t="shared" si="1888"/>
        <v>95</v>
      </c>
      <c r="DG937" s="843">
        <f t="shared" si="1889"/>
        <v>122</v>
      </c>
      <c r="DH937" s="843">
        <f t="shared" si="1890"/>
        <v>129</v>
      </c>
      <c r="DI937" s="843">
        <f t="shared" si="1891"/>
        <v>146</v>
      </c>
      <c r="DJ937" s="843">
        <f t="shared" si="1892"/>
        <v>79</v>
      </c>
      <c r="DK937" s="843">
        <f t="shared" si="1893"/>
        <v>45</v>
      </c>
      <c r="DL937" s="843">
        <f t="shared" si="1894"/>
        <v>27</v>
      </c>
      <c r="DM937" s="843">
        <f t="shared" si="1895"/>
        <v>39</v>
      </c>
      <c r="DN937" s="843">
        <f t="shared" si="1896"/>
        <v>25</v>
      </c>
      <c r="DO937" s="843">
        <f t="shared" si="1897"/>
        <v>29</v>
      </c>
      <c r="DP937" s="843">
        <f t="shared" si="1898"/>
        <v>24</v>
      </c>
      <c r="DQ937" s="843">
        <f t="shared" si="1899"/>
        <v>17</v>
      </c>
      <c r="DR937" s="843">
        <f t="shared" si="1900"/>
        <v>23</v>
      </c>
      <c r="DS937" s="843">
        <f t="shared" si="1901"/>
        <v>30</v>
      </c>
      <c r="DT937" s="843">
        <f t="shared" si="1902"/>
        <v>29</v>
      </c>
      <c r="DU937" s="843">
        <f t="shared" si="1903"/>
        <v>35</v>
      </c>
      <c r="DV937" s="843">
        <f t="shared" si="1904"/>
        <v>38</v>
      </c>
      <c r="DW937" s="843">
        <f t="shared" ca="1" si="1905"/>
        <v>21.418220271278972</v>
      </c>
      <c r="DX937" s="843">
        <f t="shared" ca="1" si="1906"/>
        <v>26.207654563877398</v>
      </c>
      <c r="DY937" s="843">
        <f t="shared" ca="1" si="1907"/>
        <v>31.29094378228741</v>
      </c>
      <c r="EK937"/>
      <c r="EL937"/>
      <c r="EM937" s="847"/>
    </row>
    <row r="938" spans="1:148" ht="5.0999999999999996" customHeight="1" x14ac:dyDescent="0.2">
      <c r="A938" s="1606"/>
      <c r="B938" s="1735"/>
      <c r="C938" s="1735"/>
      <c r="D938" s="1735"/>
      <c r="E938" s="1735"/>
      <c r="F938" s="1735"/>
      <c r="G938" s="1735"/>
      <c r="H938" s="1735"/>
      <c r="I938" s="1735"/>
      <c r="J938" s="1735"/>
      <c r="K938" s="1735"/>
      <c r="L938" s="1735"/>
      <c r="M938" s="995"/>
      <c r="N938" s="1735"/>
      <c r="O938" s="1735"/>
      <c r="P938" s="1735"/>
      <c r="Q938" s="1735"/>
      <c r="R938" s="995"/>
      <c r="S938" s="1735"/>
      <c r="T938" s="1735"/>
      <c r="U938" s="1735"/>
      <c r="V938" s="1735"/>
      <c r="W938" s="995"/>
      <c r="X938" s="1735"/>
      <c r="Y938" s="1735"/>
      <c r="Z938" s="1735"/>
      <c r="AA938" s="1735"/>
      <c r="AB938" s="995"/>
      <c r="AC938" s="1735"/>
      <c r="AD938" s="1735"/>
      <c r="AE938" s="1735"/>
      <c r="AF938" s="1735"/>
      <c r="AG938" s="995"/>
      <c r="AH938" s="1735"/>
      <c r="AI938" s="1735"/>
      <c r="AJ938" s="1735"/>
      <c r="AK938" s="1735"/>
      <c r="AL938" s="995"/>
      <c r="AM938" s="1735"/>
      <c r="AN938" s="1735"/>
      <c r="AO938" s="1735"/>
      <c r="AP938" s="1735"/>
      <c r="AQ938" s="995"/>
      <c r="AR938" s="1735"/>
      <c r="AS938" s="1735"/>
      <c r="AT938" s="1735"/>
      <c r="AU938" s="1735"/>
      <c r="AV938" s="995"/>
      <c r="AW938" s="1735"/>
      <c r="AX938" s="1735"/>
      <c r="AY938" s="1735"/>
      <c r="AZ938" s="1735"/>
      <c r="BA938" s="995"/>
      <c r="BB938" s="1735"/>
      <c r="BC938" s="1735"/>
      <c r="BD938" s="1735"/>
      <c r="BE938" s="1735"/>
      <c r="BF938" s="995"/>
      <c r="BG938" s="1735"/>
      <c r="BH938" s="1735"/>
      <c r="BI938" s="1735"/>
      <c r="BJ938" s="1735"/>
      <c r="BK938" s="995"/>
      <c r="BL938" s="1735"/>
      <c r="BM938" s="1735"/>
      <c r="BN938" s="1735"/>
      <c r="BO938" s="1735"/>
      <c r="BP938" s="995"/>
      <c r="BQ938" s="1735"/>
      <c r="BR938" s="1735"/>
      <c r="BS938" s="1735"/>
      <c r="BT938" s="1735"/>
      <c r="BU938" s="995"/>
      <c r="BV938" s="1735"/>
      <c r="BW938" s="1735"/>
      <c r="BX938" s="1735"/>
      <c r="BY938" s="1735"/>
      <c r="BZ938" s="995"/>
      <c r="CA938" s="1777"/>
      <c r="CB938" s="1735"/>
      <c r="CC938" s="1735"/>
      <c r="CD938" s="1735"/>
      <c r="CE938" s="995"/>
      <c r="CF938" s="1735"/>
      <c r="CG938" s="1735"/>
      <c r="CH938" s="1735"/>
      <c r="CI938" s="1829"/>
      <c r="CJ938" s="995"/>
      <c r="CK938" s="1735"/>
      <c r="CL938" s="1735"/>
      <c r="CM938" s="1735"/>
      <c r="CN938" s="1829"/>
      <c r="CO938" s="995"/>
      <c r="CP938" s="1735"/>
      <c r="CQ938" s="1735"/>
      <c r="CR938" s="1735"/>
      <c r="CS938" s="1735"/>
      <c r="CT938" s="995"/>
      <c r="CU938" s="1735"/>
      <c r="CV938" s="1735"/>
      <c r="CW938" s="1735"/>
      <c r="CX938" s="1829"/>
      <c r="CY938" s="1829"/>
      <c r="CZ938" s="995"/>
      <c r="DA938" s="995"/>
      <c r="DD938" s="1606"/>
      <c r="DE938" s="995"/>
      <c r="DF938" s="995"/>
      <c r="DG938" s="995"/>
      <c r="DH938" s="995"/>
      <c r="DI938" s="995"/>
      <c r="DJ938" s="995"/>
      <c r="DK938" s="995"/>
      <c r="DL938" s="995"/>
      <c r="DM938" s="995"/>
      <c r="DN938" s="995"/>
      <c r="DO938" s="995"/>
      <c r="DP938" s="995"/>
      <c r="DQ938" s="995"/>
      <c r="DR938" s="995"/>
      <c r="DS938" s="995"/>
      <c r="DT938" s="995"/>
      <c r="DU938" s="995"/>
      <c r="DV938" s="995"/>
      <c r="DW938" s="995"/>
      <c r="DX938" s="995"/>
      <c r="DY938" s="995"/>
      <c r="EK938"/>
      <c r="EL938"/>
    </row>
    <row r="939" spans="1:148" ht="12.75" customHeight="1" x14ac:dyDescent="0.2">
      <c r="A939" s="895"/>
      <c r="BZ939" s="847">
        <f>-BZ927+BZ937</f>
        <v>-96.999999999999986</v>
      </c>
      <c r="CE939" s="847">
        <f>-CE927+CE937</f>
        <v>-85</v>
      </c>
      <c r="CJ939" s="847">
        <f>-CJ927+CJ937</f>
        <v>-137.99999999999997</v>
      </c>
      <c r="CO939" s="847">
        <f>-CO927+CO937</f>
        <v>-189.00000000000003</v>
      </c>
      <c r="CT939" s="847">
        <f>-CT927+CT937</f>
        <v>-250</v>
      </c>
      <c r="CX939" s="1431"/>
      <c r="CY939" s="2349">
        <f ca="1">-CY927+CY937</f>
        <v>-308.86315391234672</v>
      </c>
      <c r="CZ939" s="847">
        <f ca="1">-CZ927+CZ937</f>
        <v>-334.20046478484454</v>
      </c>
      <c r="DA939" s="847">
        <f ca="1">-DA927+DA937</f>
        <v>-346.14602589341735</v>
      </c>
      <c r="DD939" s="2360"/>
      <c r="DE939" s="2349">
        <f>M939</f>
        <v>0</v>
      </c>
      <c r="DF939" s="2349">
        <f>R939</f>
        <v>0</v>
      </c>
      <c r="DG939" s="2349">
        <f>W939</f>
        <v>0</v>
      </c>
      <c r="DH939" s="2349">
        <f>AB939</f>
        <v>0</v>
      </c>
      <c r="DI939" s="2349">
        <f>AG939</f>
        <v>0</v>
      </c>
      <c r="DJ939" s="2349">
        <f>AL939</f>
        <v>0</v>
      </c>
      <c r="DK939" s="2349">
        <f>AQ939</f>
        <v>0</v>
      </c>
      <c r="DL939" s="2349">
        <f>AV939</f>
        <v>0</v>
      </c>
      <c r="DM939" s="2349">
        <f>BA939</f>
        <v>0</v>
      </c>
      <c r="DN939" s="2349">
        <f>BF939</f>
        <v>0</v>
      </c>
      <c r="DO939" s="2349">
        <f>BK939</f>
        <v>0</v>
      </c>
      <c r="DP939" s="2349">
        <f>BP939</f>
        <v>0</v>
      </c>
      <c r="DQ939" s="2349">
        <f>BU939</f>
        <v>0</v>
      </c>
      <c r="DR939" s="2349">
        <f>BZ939</f>
        <v>-96.999999999999986</v>
      </c>
      <c r="DS939" s="2349">
        <f>CE939</f>
        <v>-85</v>
      </c>
      <c r="DT939" s="2349">
        <f>CJ939</f>
        <v>-137.99999999999997</v>
      </c>
      <c r="DU939" s="2349">
        <f>CO939</f>
        <v>-189.00000000000003</v>
      </c>
      <c r="DV939" s="2349">
        <f>CT939</f>
        <v>-250</v>
      </c>
      <c r="DW939" s="2349">
        <f ca="1">CY939</f>
        <v>-308.86315391234672</v>
      </c>
      <c r="DX939" s="2349">
        <f ca="1">CZ939</f>
        <v>-334.20046478484454</v>
      </c>
      <c r="DY939" s="2349">
        <f ca="1">DA939</f>
        <v>-346.14602589341735</v>
      </c>
      <c r="EK939"/>
      <c r="EL939"/>
    </row>
    <row r="940" spans="1:148" ht="12.75" hidden="1" customHeight="1" outlineLevel="1" x14ac:dyDescent="0.2">
      <c r="A940" s="864" t="s">
        <v>2020</v>
      </c>
      <c r="CX940" s="1431"/>
      <c r="CY940" s="2349"/>
      <c r="DD940" s="864" t="s">
        <v>2020</v>
      </c>
      <c r="DE940" s="2349"/>
      <c r="DF940" s="2349"/>
      <c r="DG940" s="2349"/>
      <c r="DH940" s="2349"/>
      <c r="DI940" s="2349"/>
      <c r="DJ940" s="2349"/>
      <c r="DK940" s="2349"/>
      <c r="DL940" s="2349"/>
      <c r="DM940" s="2349"/>
      <c r="DN940" s="2349"/>
      <c r="DO940" s="2349"/>
      <c r="DP940" s="2349"/>
      <c r="DQ940" s="2349"/>
      <c r="DR940" s="2349"/>
      <c r="DS940" s="2349"/>
      <c r="DT940" s="2349"/>
      <c r="DU940" s="2349"/>
      <c r="DV940" s="2349"/>
      <c r="DW940" s="2349"/>
      <c r="DX940" s="2349"/>
      <c r="DY940" s="2349"/>
      <c r="EK940"/>
      <c r="EL940"/>
    </row>
    <row r="941" spans="1:148" ht="12.75" hidden="1" customHeight="1" outlineLevel="1" x14ac:dyDescent="0.2">
      <c r="A941" s="895" t="s">
        <v>2021</v>
      </c>
      <c r="I941" s="847">
        <f>I755</f>
        <v>2486.3960000000002</v>
      </c>
      <c r="J941" s="847">
        <f>J755</f>
        <v>2372.4719999999998</v>
      </c>
      <c r="K941" s="847">
        <f>K755</f>
        <v>2443.6999999999998</v>
      </c>
      <c r="L941" s="847">
        <f>L755</f>
        <v>2327</v>
      </c>
      <c r="M941" s="847">
        <f>+L941</f>
        <v>2327</v>
      </c>
      <c r="N941" s="847">
        <f>N755</f>
        <v>2214.5720000000001</v>
      </c>
      <c r="O941" s="847">
        <f>O755</f>
        <v>2246.7359999999999</v>
      </c>
      <c r="P941" s="847">
        <f>P755</f>
        <v>2210.0280000000002</v>
      </c>
      <c r="Q941" s="847">
        <f>Q755</f>
        <v>1763</v>
      </c>
      <c r="R941" s="847">
        <f>+Q941</f>
        <v>1763</v>
      </c>
      <c r="S941" s="847">
        <f>S755</f>
        <v>1824.2425235966223</v>
      </c>
      <c r="T941" s="847">
        <f>T755</f>
        <v>1830.5202654677041</v>
      </c>
      <c r="U941" s="847">
        <f>U755</f>
        <v>1860.4514837421639</v>
      </c>
      <c r="V941" s="847">
        <f>V755</f>
        <v>1319</v>
      </c>
      <c r="W941" s="847">
        <f>+V941</f>
        <v>1319</v>
      </c>
      <c r="X941" s="847">
        <f>X755</f>
        <v>1406.3471999999997</v>
      </c>
      <c r="Y941" s="847">
        <f>Y755</f>
        <v>1339.6463999999996</v>
      </c>
      <c r="Z941" s="847">
        <f>Z755</f>
        <v>1400.6287999999997</v>
      </c>
      <c r="AA941" s="847">
        <f>AA755</f>
        <v>1227</v>
      </c>
      <c r="AB941" s="847">
        <f>+AA941</f>
        <v>1227</v>
      </c>
      <c r="AC941" s="847">
        <f>AC755</f>
        <v>1298.0244</v>
      </c>
      <c r="AD941" s="847">
        <f>AD755</f>
        <v>1337.5808</v>
      </c>
      <c r="AE941" s="847">
        <f>AE755</f>
        <v>1341.3004000000001</v>
      </c>
      <c r="AF941" s="847">
        <f>AF755</f>
        <v>1203</v>
      </c>
      <c r="AG941" s="847">
        <f>+AF941</f>
        <v>1203</v>
      </c>
      <c r="AH941" s="847">
        <f>AH755</f>
        <v>1225.2708</v>
      </c>
      <c r="AI941" s="847">
        <f>AI755</f>
        <v>1433.2759999999998</v>
      </c>
      <c r="AJ941" s="847">
        <f>AJ755</f>
        <v>1528.3140000000003</v>
      </c>
      <c r="AK941" s="847">
        <f>AK755</f>
        <v>1134</v>
      </c>
      <c r="AL941" s="847">
        <f>+AK941</f>
        <v>1134</v>
      </c>
      <c r="AM941" s="847">
        <f>AM755</f>
        <v>1114</v>
      </c>
      <c r="AN941" s="847">
        <f>AN755</f>
        <v>1085</v>
      </c>
      <c r="AO941" s="847">
        <f>AO755</f>
        <v>1031</v>
      </c>
      <c r="AP941" s="847">
        <f>AP755</f>
        <v>1238</v>
      </c>
      <c r="AQ941" s="847">
        <f>+AP941</f>
        <v>1238</v>
      </c>
      <c r="AR941" s="847">
        <f>AR755</f>
        <v>1272</v>
      </c>
      <c r="AS941" s="847">
        <f>AS755</f>
        <v>1085</v>
      </c>
      <c r="AT941" s="847">
        <f>AT755</f>
        <v>1319</v>
      </c>
      <c r="AU941" s="847">
        <f>AU755</f>
        <v>1329</v>
      </c>
      <c r="AV941" s="847">
        <f>+AU941</f>
        <v>1329</v>
      </c>
      <c r="AW941" s="847">
        <f>AW755</f>
        <v>1338</v>
      </c>
      <c r="AX941" s="847">
        <f>AX755</f>
        <v>1372</v>
      </c>
      <c r="AY941" s="847">
        <f>AY755</f>
        <v>1394</v>
      </c>
      <c r="AZ941" s="847">
        <f>AZ755</f>
        <v>1443</v>
      </c>
      <c r="BA941" s="847">
        <f>+AZ941</f>
        <v>1443</v>
      </c>
      <c r="BB941" s="847">
        <f>BB755</f>
        <v>1449</v>
      </c>
      <c r="BC941" s="847">
        <f>BC755</f>
        <v>1455</v>
      </c>
      <c r="BD941" s="847">
        <f>BD755</f>
        <v>1371</v>
      </c>
      <c r="BE941" s="847">
        <f>BE755</f>
        <v>1362</v>
      </c>
      <c r="BF941" s="847">
        <f>+BE941</f>
        <v>1362</v>
      </c>
      <c r="BG941" s="847">
        <f>BG755</f>
        <v>1339</v>
      </c>
      <c r="BH941" s="847">
        <f>BH755</f>
        <v>1335</v>
      </c>
      <c r="BI941" s="847">
        <f>BI755</f>
        <v>1327</v>
      </c>
      <c r="BJ941" s="847">
        <f>BJ755</f>
        <v>1307</v>
      </c>
      <c r="BK941" s="847">
        <f>+BJ941</f>
        <v>1307</v>
      </c>
      <c r="BL941" s="847">
        <f>BL755</f>
        <v>1412</v>
      </c>
      <c r="BM941" s="847">
        <f>BM755</f>
        <v>1483</v>
      </c>
      <c r="BN941" s="847">
        <f>BN755</f>
        <v>1480</v>
      </c>
      <c r="BO941" s="847">
        <f>BO755</f>
        <v>1168</v>
      </c>
      <c r="BP941" s="847">
        <f>+BO941</f>
        <v>1168</v>
      </c>
      <c r="BQ941" s="847">
        <f>+BP941-BQ707-BQ710-BQ633</f>
        <v>1365</v>
      </c>
      <c r="BR941" s="847">
        <f>+BQ941-BR707-BR710-BR633</f>
        <v>1421</v>
      </c>
      <c r="BS941" s="847">
        <f>+BR941-BS707-BS710-BS633</f>
        <v>1419</v>
      </c>
      <c r="BT941" s="847">
        <f>+BS941-BT707-BT710-BT633</f>
        <v>1540</v>
      </c>
      <c r="BU941" s="847">
        <f>+BT941</f>
        <v>1540</v>
      </c>
      <c r="BV941" s="847">
        <f>+BU941-BV707-BV710-BV633</f>
        <v>1610</v>
      </c>
      <c r="BW941" s="847">
        <f>+BV941-BW707-BW710-BW633</f>
        <v>1688</v>
      </c>
      <c r="BX941" s="847">
        <f>+BW941-BX707-BX710-BX633</f>
        <v>1766</v>
      </c>
      <c r="BY941" s="847">
        <f>+BX941-BY707-BY710-BY633</f>
        <v>1944</v>
      </c>
      <c r="BZ941" s="847">
        <f>+BY941</f>
        <v>1944</v>
      </c>
      <c r="CA941" s="847">
        <f>+BZ941-CA707-CA710-CA633</f>
        <v>1713</v>
      </c>
      <c r="CB941" s="847">
        <f>+CA941-CB707-CB710-CB633</f>
        <v>1808</v>
      </c>
      <c r="CC941" s="847">
        <f>+CB941-CC707-CC710-CC633</f>
        <v>1919</v>
      </c>
      <c r="CD941" s="847">
        <f>+CC941-CD707-CD710-CD633</f>
        <v>1920</v>
      </c>
      <c r="CE941" s="847">
        <f>+CD941</f>
        <v>1920</v>
      </c>
      <c r="CF941" s="847">
        <f>+CE941-CF707-CF710-CF633</f>
        <v>1748</v>
      </c>
      <c r="CG941" s="847">
        <f>+CF941-CG707-CG710-CG633</f>
        <v>1498</v>
      </c>
      <c r="CH941" s="847">
        <f>+CG941-CH707-CH710-CH633</f>
        <v>1526</v>
      </c>
      <c r="CI941" s="847">
        <f>+CH941-CI707-CI710-CI633</f>
        <v>1552</v>
      </c>
      <c r="CJ941" s="847">
        <f>+CI941</f>
        <v>1552</v>
      </c>
      <c r="CK941" s="847">
        <f>+CJ941-CK707-CK710-CK633</f>
        <v>1590</v>
      </c>
      <c r="CL941" s="847">
        <f>+CK941-CL707-CL710-CL633</f>
        <v>1577</v>
      </c>
      <c r="CM941" s="847">
        <f>+CL941-CM707-CM710-CM633</f>
        <v>1631</v>
      </c>
      <c r="CN941" s="847">
        <f>+CM941-CN707-CN710-CN633</f>
        <v>1533</v>
      </c>
      <c r="CO941" s="847">
        <f>+CN941</f>
        <v>1533</v>
      </c>
      <c r="CP941" s="847">
        <f>+CO941-CP707-CP710-CP633</f>
        <v>1270</v>
      </c>
      <c r="CQ941" s="847">
        <f>+CP941-CQ707-CQ710-CQ633</f>
        <v>1155</v>
      </c>
      <c r="CR941" s="847">
        <f>+CQ941-CR707-CR710-CR633</f>
        <v>1206</v>
      </c>
      <c r="CS941" s="847">
        <f>+CR941-CS707-CS710-CS633</f>
        <v>623.02</v>
      </c>
      <c r="CT941" s="847">
        <f>+CS941</f>
        <v>623.02</v>
      </c>
      <c r="CU941" s="847">
        <f>+CT941-CU707-CU710-CU633</f>
        <v>848.74212999999997</v>
      </c>
      <c r="CV941" s="847">
        <f>+CU941-CV707-CV710-CV633</f>
        <v>1016.5931452</v>
      </c>
      <c r="CW941" s="847">
        <f>+CV941-CW707-CW710-CW633</f>
        <v>1186.5730455999999</v>
      </c>
      <c r="CX941" s="847">
        <f>+CW941-CX707-CX710-CX633</f>
        <v>1358.4388455999999</v>
      </c>
      <c r="CY941" s="2349">
        <f>+CX941</f>
        <v>1358.4388455999999</v>
      </c>
      <c r="CZ941" s="847">
        <f>+CY941-CZ707-CZ710-CZ633</f>
        <v>1557.5029798</v>
      </c>
      <c r="DA941" s="847">
        <f>+CZ941-DA707-DA710-DA633</f>
        <v>1818.11390729</v>
      </c>
      <c r="DD941" s="2360" t="s">
        <v>2021</v>
      </c>
      <c r="DE941" s="2349">
        <f>M941</f>
        <v>2327</v>
      </c>
      <c r="DF941" s="2349">
        <f>R941</f>
        <v>1763</v>
      </c>
      <c r="DG941" s="2349">
        <f>W941</f>
        <v>1319</v>
      </c>
      <c r="DH941" s="2349">
        <f>AB941</f>
        <v>1227</v>
      </c>
      <c r="DI941" s="2349">
        <f>AG941</f>
        <v>1203</v>
      </c>
      <c r="DJ941" s="2349">
        <f>AL941</f>
        <v>1134</v>
      </c>
      <c r="DK941" s="2349">
        <f>AQ941</f>
        <v>1238</v>
      </c>
      <c r="DL941" s="2349">
        <f>AV941</f>
        <v>1329</v>
      </c>
      <c r="DM941" s="2349">
        <f>BA941</f>
        <v>1443</v>
      </c>
      <c r="DN941" s="2349">
        <f>BF941</f>
        <v>1362</v>
      </c>
      <c r="DO941" s="2349">
        <f>BK941</f>
        <v>1307</v>
      </c>
      <c r="DP941" s="2349">
        <f>BP941</f>
        <v>1168</v>
      </c>
      <c r="DQ941" s="2349">
        <f>BU941</f>
        <v>1540</v>
      </c>
      <c r="DR941" s="2349">
        <f>BZ941</f>
        <v>1944</v>
      </c>
      <c r="DS941" s="2349">
        <f>CE941</f>
        <v>1920</v>
      </c>
      <c r="DT941" s="2349">
        <f>CJ941</f>
        <v>1552</v>
      </c>
      <c r="DU941" s="2349">
        <f>CO941</f>
        <v>1533</v>
      </c>
      <c r="DV941" s="2349">
        <f>CT941</f>
        <v>623.02</v>
      </c>
      <c r="DW941" s="2349">
        <f t="shared" ref="DW941:DY943" si="1910">CY941</f>
        <v>1358.4388455999999</v>
      </c>
      <c r="DX941" s="2349">
        <f t="shared" si="1910"/>
        <v>1557.5029798</v>
      </c>
      <c r="DY941" s="2349">
        <f t="shared" si="1910"/>
        <v>1818.11390729</v>
      </c>
      <c r="EK941"/>
      <c r="EL941"/>
      <c r="EM941" s="847"/>
    </row>
    <row r="942" spans="1:148" ht="12.75" hidden="1" customHeight="1" outlineLevel="1" x14ac:dyDescent="0.2">
      <c r="A942" s="895" t="s">
        <v>796</v>
      </c>
      <c r="B942" s="850"/>
      <c r="C942" s="850"/>
      <c r="D942" s="850"/>
      <c r="E942" s="850"/>
      <c r="F942" s="850"/>
      <c r="G942" s="850"/>
      <c r="H942" s="850"/>
      <c r="I942" s="850">
        <f>-I754</f>
        <v>460.15384615384613</v>
      </c>
      <c r="J942" s="850">
        <f>-J754</f>
        <v>498.30769230769226</v>
      </c>
      <c r="K942" s="850">
        <f>-K754</f>
        <v>537.46153846153845</v>
      </c>
      <c r="L942" s="850">
        <f>-L754</f>
        <v>506</v>
      </c>
      <c r="M942" s="850">
        <f>+L942</f>
        <v>506</v>
      </c>
      <c r="N942" s="850">
        <f>-N754</f>
        <v>541.61538461538464</v>
      </c>
      <c r="O942" s="850">
        <f>-O754</f>
        <v>581.23076923076928</v>
      </c>
      <c r="P942" s="850">
        <f>-P754</f>
        <v>621.84615384615392</v>
      </c>
      <c r="Q942" s="850">
        <f>-Q754</f>
        <v>559</v>
      </c>
      <c r="R942" s="850">
        <f>+Q942</f>
        <v>559</v>
      </c>
      <c r="S942" s="850">
        <f>-S754</f>
        <v>590.79999999999995</v>
      </c>
      <c r="T942" s="850">
        <f>-T754</f>
        <v>629.12307692307684</v>
      </c>
      <c r="U942" s="850">
        <f>-U754</f>
        <v>662.44615384615372</v>
      </c>
      <c r="V942" s="850">
        <f>-V754</f>
        <v>470</v>
      </c>
      <c r="W942" s="850">
        <f>+V942</f>
        <v>470</v>
      </c>
      <c r="X942" s="850">
        <f>-X754</f>
        <v>504</v>
      </c>
      <c r="Y942" s="850">
        <f>-Y754</f>
        <v>538</v>
      </c>
      <c r="Z942" s="850">
        <f>-Z754</f>
        <v>575</v>
      </c>
      <c r="AA942" s="850">
        <f>-AA754</f>
        <v>557</v>
      </c>
      <c r="AB942" s="850">
        <f>+AA942</f>
        <v>557</v>
      </c>
      <c r="AC942" s="850">
        <f>-AC754</f>
        <v>596</v>
      </c>
      <c r="AD942" s="850">
        <f>-AD754</f>
        <v>633</v>
      </c>
      <c r="AE942" s="850">
        <f>-AE754</f>
        <v>672</v>
      </c>
      <c r="AF942" s="850">
        <f>-AF754</f>
        <v>681</v>
      </c>
      <c r="AG942" s="850">
        <f>+AF942</f>
        <v>681</v>
      </c>
      <c r="AH942" s="850">
        <f>-AH754</f>
        <v>718</v>
      </c>
      <c r="AI942" s="850">
        <f>-AI754</f>
        <v>754</v>
      </c>
      <c r="AJ942" s="850">
        <f>-AJ754</f>
        <v>807</v>
      </c>
      <c r="AK942" s="850">
        <f>-AK754</f>
        <v>785</v>
      </c>
      <c r="AL942" s="850">
        <f>+AK942</f>
        <v>785</v>
      </c>
      <c r="AM942" s="850">
        <f>-AM754</f>
        <v>798</v>
      </c>
      <c r="AN942" s="850">
        <f>-AN754</f>
        <v>833</v>
      </c>
      <c r="AO942" s="850">
        <f>-AO754</f>
        <v>866</v>
      </c>
      <c r="AP942" s="850">
        <f>-AP754</f>
        <v>905</v>
      </c>
      <c r="AQ942" s="850">
        <f>+AP942</f>
        <v>905</v>
      </c>
      <c r="AR942" s="850">
        <f>-AR754</f>
        <v>954</v>
      </c>
      <c r="AS942" s="850">
        <f>-AS754</f>
        <v>954</v>
      </c>
      <c r="AT942" s="850">
        <f>-AT754</f>
        <v>998</v>
      </c>
      <c r="AU942" s="850">
        <f>-AU754</f>
        <v>1019</v>
      </c>
      <c r="AV942" s="850">
        <f>+AU942</f>
        <v>1019</v>
      </c>
      <c r="AW942" s="850">
        <f>-AW754</f>
        <v>1050</v>
      </c>
      <c r="AX942" s="850">
        <f>-AX754</f>
        <v>1070</v>
      </c>
      <c r="AY942" s="850">
        <f>-AY754</f>
        <v>1097</v>
      </c>
      <c r="AZ942" s="850">
        <f>-AZ754</f>
        <v>1076</v>
      </c>
      <c r="BA942" s="850">
        <f>+AZ942</f>
        <v>1076</v>
      </c>
      <c r="BB942" s="850">
        <f>-BB754</f>
        <v>1081</v>
      </c>
      <c r="BC942" s="850">
        <f>-BC754</f>
        <v>1109</v>
      </c>
      <c r="BD942" s="850">
        <f>-BD754</f>
        <v>1145</v>
      </c>
      <c r="BE942" s="850">
        <f>-BE754</f>
        <v>1186</v>
      </c>
      <c r="BF942" s="850">
        <f>+BE942</f>
        <v>1186</v>
      </c>
      <c r="BG942" s="850">
        <f>-BG754</f>
        <v>1198</v>
      </c>
      <c r="BH942" s="850">
        <f>-BH754</f>
        <v>1228</v>
      </c>
      <c r="BI942" s="850">
        <f>-BI754</f>
        <v>1226</v>
      </c>
      <c r="BJ942" s="850">
        <f>-BJ754</f>
        <v>1249</v>
      </c>
      <c r="BK942" s="850">
        <f>+BJ942</f>
        <v>1249</v>
      </c>
      <c r="BL942" s="850">
        <f>-BL754</f>
        <v>1273</v>
      </c>
      <c r="BM942" s="850">
        <f>-BM754</f>
        <v>1304</v>
      </c>
      <c r="BN942" s="850">
        <f>-BN754</f>
        <v>1332</v>
      </c>
      <c r="BO942" s="850">
        <f>-BO754</f>
        <v>927</v>
      </c>
      <c r="BP942" s="850">
        <f>+BO942</f>
        <v>927</v>
      </c>
      <c r="BQ942" s="850">
        <f>BP942+BQ633</f>
        <v>927</v>
      </c>
      <c r="BR942" s="850">
        <f>BQ942+BR633</f>
        <v>927</v>
      </c>
      <c r="BS942" s="850">
        <f>BR942+BS633</f>
        <v>927</v>
      </c>
      <c r="BT942" s="850">
        <f>BS942+BT633</f>
        <v>927</v>
      </c>
      <c r="BU942" s="850">
        <f>+BT942</f>
        <v>927</v>
      </c>
      <c r="BV942" s="850">
        <f>BU942+BV633</f>
        <v>927</v>
      </c>
      <c r="BW942" s="850">
        <f>BV942+BW633</f>
        <v>927</v>
      </c>
      <c r="BX942" s="850">
        <f>BW942+BX633</f>
        <v>927</v>
      </c>
      <c r="BY942" s="850">
        <f>BX942+BY633</f>
        <v>927</v>
      </c>
      <c r="BZ942" s="850">
        <f>+BY942</f>
        <v>927</v>
      </c>
      <c r="CA942" s="850">
        <f>BZ942+CA633</f>
        <v>927</v>
      </c>
      <c r="CB942" s="850">
        <f>CA942+CB633</f>
        <v>927</v>
      </c>
      <c r="CC942" s="850">
        <f>CB942+CC633</f>
        <v>927</v>
      </c>
      <c r="CD942" s="850">
        <f>CC942+CD633</f>
        <v>927</v>
      </c>
      <c r="CE942" s="850">
        <f>+CD942</f>
        <v>927</v>
      </c>
      <c r="CF942" s="850">
        <f>CE942+CF633</f>
        <v>927</v>
      </c>
      <c r="CG942" s="850">
        <f>CF942+CG633</f>
        <v>927</v>
      </c>
      <c r="CH942" s="850">
        <f>CG942+CH633</f>
        <v>927</v>
      </c>
      <c r="CI942" s="850">
        <f>CH942+CI633</f>
        <v>927</v>
      </c>
      <c r="CJ942" s="850">
        <f>+CI942</f>
        <v>927</v>
      </c>
      <c r="CK942" s="850">
        <f>CJ942+CK633</f>
        <v>927</v>
      </c>
      <c r="CL942" s="850">
        <f>CK942+CL633</f>
        <v>927</v>
      </c>
      <c r="CM942" s="850">
        <f>CL942+CM633</f>
        <v>927</v>
      </c>
      <c r="CN942" s="850">
        <f>CM942+CN633</f>
        <v>927</v>
      </c>
      <c r="CO942" s="850">
        <f>+CN942</f>
        <v>927</v>
      </c>
      <c r="CP942" s="850">
        <f>CO942+CP633</f>
        <v>927</v>
      </c>
      <c r="CQ942" s="850">
        <f>CP942+CQ633</f>
        <v>927</v>
      </c>
      <c r="CR942" s="850">
        <f>CQ942+CR633</f>
        <v>927</v>
      </c>
      <c r="CS942" s="850">
        <f>CR942+CS633</f>
        <v>927</v>
      </c>
      <c r="CT942" s="850">
        <f>+CS942</f>
        <v>927</v>
      </c>
      <c r="CU942" s="850">
        <f>CT942+CU633</f>
        <v>927</v>
      </c>
      <c r="CV942" s="850">
        <f>CU942+CV633</f>
        <v>927</v>
      </c>
      <c r="CW942" s="850">
        <f>CV942+CW633</f>
        <v>927</v>
      </c>
      <c r="CX942" s="850">
        <f>CW942+CX633</f>
        <v>927</v>
      </c>
      <c r="CY942" s="850">
        <f>+CX942</f>
        <v>927</v>
      </c>
      <c r="CZ942" s="850">
        <f>CY942+CZ633</f>
        <v>927</v>
      </c>
      <c r="DA942" s="850">
        <f>CZ942+DA633</f>
        <v>927</v>
      </c>
      <c r="DD942" s="2360" t="s">
        <v>796</v>
      </c>
      <c r="DE942" s="850">
        <f>M942</f>
        <v>506</v>
      </c>
      <c r="DF942" s="850">
        <f>R942</f>
        <v>559</v>
      </c>
      <c r="DG942" s="850">
        <f>W942</f>
        <v>470</v>
      </c>
      <c r="DH942" s="850">
        <f>AB942</f>
        <v>557</v>
      </c>
      <c r="DI942" s="850">
        <f>AG942</f>
        <v>681</v>
      </c>
      <c r="DJ942" s="850">
        <f>AL942</f>
        <v>785</v>
      </c>
      <c r="DK942" s="850">
        <f>AQ942</f>
        <v>905</v>
      </c>
      <c r="DL942" s="850">
        <f>AV942</f>
        <v>1019</v>
      </c>
      <c r="DM942" s="850">
        <f>BA942</f>
        <v>1076</v>
      </c>
      <c r="DN942" s="850">
        <f>BF942</f>
        <v>1186</v>
      </c>
      <c r="DO942" s="850">
        <f>BK942</f>
        <v>1249</v>
      </c>
      <c r="DP942" s="850">
        <f>BP942</f>
        <v>927</v>
      </c>
      <c r="DQ942" s="850">
        <f>BU942</f>
        <v>927</v>
      </c>
      <c r="DR942" s="850">
        <f>BZ942</f>
        <v>927</v>
      </c>
      <c r="DS942" s="850">
        <f>CE942</f>
        <v>927</v>
      </c>
      <c r="DT942" s="850">
        <f>CJ942</f>
        <v>927</v>
      </c>
      <c r="DU942" s="850">
        <f>CO942</f>
        <v>927</v>
      </c>
      <c r="DV942" s="850">
        <f>CT942</f>
        <v>927</v>
      </c>
      <c r="DW942" s="850">
        <f t="shared" si="1910"/>
        <v>927</v>
      </c>
      <c r="DX942" s="850">
        <f t="shared" si="1910"/>
        <v>927</v>
      </c>
      <c r="DY942" s="850">
        <f t="shared" si="1910"/>
        <v>927</v>
      </c>
      <c r="EK942"/>
      <c r="EL942"/>
      <c r="EM942" s="847"/>
    </row>
    <row r="943" spans="1:148" ht="12.75" hidden="1" customHeight="1" outlineLevel="1" x14ac:dyDescent="0.2">
      <c r="A943" s="895" t="s">
        <v>2022</v>
      </c>
      <c r="I943" s="847">
        <f t="shared" ref="I943:AN943" si="1911">SUM(I941:I942)</f>
        <v>2946.5498461538464</v>
      </c>
      <c r="J943" s="847">
        <f t="shared" si="1911"/>
        <v>2870.7796923076921</v>
      </c>
      <c r="K943" s="847">
        <f t="shared" si="1911"/>
        <v>2981.1615384615384</v>
      </c>
      <c r="L943" s="847">
        <f t="shared" si="1911"/>
        <v>2833</v>
      </c>
      <c r="M943" s="847">
        <f t="shared" si="1911"/>
        <v>2833</v>
      </c>
      <c r="N943" s="847">
        <f t="shared" si="1911"/>
        <v>2756.1873846153849</v>
      </c>
      <c r="O943" s="847">
        <f t="shared" si="1911"/>
        <v>2827.9667692307694</v>
      </c>
      <c r="P943" s="847">
        <f t="shared" si="1911"/>
        <v>2831.8741538461541</v>
      </c>
      <c r="Q943" s="847">
        <f t="shared" si="1911"/>
        <v>2322</v>
      </c>
      <c r="R943" s="847">
        <f t="shared" si="1911"/>
        <v>2322</v>
      </c>
      <c r="S943" s="847">
        <f t="shared" si="1911"/>
        <v>2415.0425235966222</v>
      </c>
      <c r="T943" s="847">
        <f t="shared" si="1911"/>
        <v>2459.6433423907811</v>
      </c>
      <c r="U943" s="847">
        <f t="shared" si="1911"/>
        <v>2522.8976375883176</v>
      </c>
      <c r="V943" s="847">
        <f t="shared" si="1911"/>
        <v>1789</v>
      </c>
      <c r="W943" s="847">
        <f t="shared" si="1911"/>
        <v>1789</v>
      </c>
      <c r="X943" s="847">
        <f t="shared" si="1911"/>
        <v>1910.3471999999997</v>
      </c>
      <c r="Y943" s="847">
        <f t="shared" si="1911"/>
        <v>1877.6463999999996</v>
      </c>
      <c r="Z943" s="847">
        <f t="shared" si="1911"/>
        <v>1975.6287999999997</v>
      </c>
      <c r="AA943" s="847">
        <f t="shared" si="1911"/>
        <v>1784</v>
      </c>
      <c r="AB943" s="847">
        <f t="shared" si="1911"/>
        <v>1784</v>
      </c>
      <c r="AC943" s="847">
        <f t="shared" si="1911"/>
        <v>1894.0244</v>
      </c>
      <c r="AD943" s="847">
        <f t="shared" si="1911"/>
        <v>1970.5808</v>
      </c>
      <c r="AE943" s="847">
        <f t="shared" si="1911"/>
        <v>2013.3004000000001</v>
      </c>
      <c r="AF943" s="847">
        <f t="shared" si="1911"/>
        <v>1884</v>
      </c>
      <c r="AG943" s="847">
        <f t="shared" si="1911"/>
        <v>1884</v>
      </c>
      <c r="AH943" s="847">
        <f t="shared" si="1911"/>
        <v>1943.2708</v>
      </c>
      <c r="AI943" s="847">
        <f t="shared" si="1911"/>
        <v>2187.2759999999998</v>
      </c>
      <c r="AJ943" s="847">
        <f t="shared" si="1911"/>
        <v>2335.3140000000003</v>
      </c>
      <c r="AK943" s="847">
        <f t="shared" si="1911"/>
        <v>1919</v>
      </c>
      <c r="AL943" s="847">
        <f t="shared" si="1911"/>
        <v>1919</v>
      </c>
      <c r="AM943" s="847">
        <f t="shared" si="1911"/>
        <v>1912</v>
      </c>
      <c r="AN943" s="847">
        <f t="shared" si="1911"/>
        <v>1918</v>
      </c>
      <c r="AO943" s="847">
        <f t="shared" ref="AO943:CG943" si="1912">SUM(AO941:AO942)</f>
        <v>1897</v>
      </c>
      <c r="AP943" s="847">
        <f t="shared" si="1912"/>
        <v>2143</v>
      </c>
      <c r="AQ943" s="847">
        <f t="shared" si="1912"/>
        <v>2143</v>
      </c>
      <c r="AR943" s="847">
        <f t="shared" si="1912"/>
        <v>2226</v>
      </c>
      <c r="AS943" s="847">
        <f t="shared" si="1912"/>
        <v>2039</v>
      </c>
      <c r="AT943" s="847">
        <f t="shared" si="1912"/>
        <v>2317</v>
      </c>
      <c r="AU943" s="847">
        <f t="shared" si="1912"/>
        <v>2348</v>
      </c>
      <c r="AV943" s="847">
        <f t="shared" si="1912"/>
        <v>2348</v>
      </c>
      <c r="AW943" s="847">
        <f t="shared" si="1912"/>
        <v>2388</v>
      </c>
      <c r="AX943" s="847">
        <f t="shared" si="1912"/>
        <v>2442</v>
      </c>
      <c r="AY943" s="847">
        <f t="shared" si="1912"/>
        <v>2491</v>
      </c>
      <c r="AZ943" s="847">
        <f t="shared" si="1912"/>
        <v>2519</v>
      </c>
      <c r="BA943" s="847">
        <f t="shared" si="1912"/>
        <v>2519</v>
      </c>
      <c r="BB943" s="847">
        <f t="shared" si="1912"/>
        <v>2530</v>
      </c>
      <c r="BC943" s="847">
        <f t="shared" si="1912"/>
        <v>2564</v>
      </c>
      <c r="BD943" s="847">
        <f t="shared" si="1912"/>
        <v>2516</v>
      </c>
      <c r="BE943" s="847">
        <f t="shared" si="1912"/>
        <v>2548</v>
      </c>
      <c r="BF943" s="847">
        <f t="shared" si="1912"/>
        <v>2548</v>
      </c>
      <c r="BG943" s="847">
        <f t="shared" si="1912"/>
        <v>2537</v>
      </c>
      <c r="BH943" s="847">
        <f t="shared" si="1912"/>
        <v>2563</v>
      </c>
      <c r="BI943" s="847">
        <f t="shared" si="1912"/>
        <v>2553</v>
      </c>
      <c r="BJ943" s="847">
        <f t="shared" si="1912"/>
        <v>2556</v>
      </c>
      <c r="BK943" s="847">
        <f t="shared" si="1912"/>
        <v>2556</v>
      </c>
      <c r="BL943" s="847">
        <f t="shared" si="1912"/>
        <v>2685</v>
      </c>
      <c r="BM943" s="847">
        <f t="shared" si="1912"/>
        <v>2787</v>
      </c>
      <c r="BN943" s="847">
        <f t="shared" si="1912"/>
        <v>2812</v>
      </c>
      <c r="BO943" s="847">
        <f t="shared" si="1912"/>
        <v>2095</v>
      </c>
      <c r="BP943" s="847">
        <f t="shared" si="1912"/>
        <v>2095</v>
      </c>
      <c r="BQ943" s="847">
        <f t="shared" si="1912"/>
        <v>2292</v>
      </c>
      <c r="BR943" s="847">
        <f>SUM(BR941:BR942)</f>
        <v>2348</v>
      </c>
      <c r="BS943" s="847">
        <f>SUM(BS941:BS942)</f>
        <v>2346</v>
      </c>
      <c r="BT943" s="847">
        <f>SUM(BT941:BT942)</f>
        <v>2467</v>
      </c>
      <c r="BU943" s="847">
        <f t="shared" si="1912"/>
        <v>2467</v>
      </c>
      <c r="BV943" s="847">
        <f>SUM(BV941:BV942)</f>
        <v>2537</v>
      </c>
      <c r="BW943" s="847">
        <f>SUM(BW941:BW942)</f>
        <v>2615</v>
      </c>
      <c r="BX943" s="847">
        <f>SUM(BX941:BX942)</f>
        <v>2693</v>
      </c>
      <c r="BY943" s="847">
        <f>SUM(BY941:BY942)</f>
        <v>2871</v>
      </c>
      <c r="BZ943" s="847">
        <f t="shared" si="1912"/>
        <v>2871</v>
      </c>
      <c r="CA943" s="847">
        <f>SUM(CA941:CA942)</f>
        <v>2640</v>
      </c>
      <c r="CB943" s="847">
        <f>SUM(CB941:CB942)</f>
        <v>2735</v>
      </c>
      <c r="CC943" s="847">
        <f>SUM(CC941:CC942)</f>
        <v>2846</v>
      </c>
      <c r="CD943" s="847">
        <f>SUM(CD941:CD942)</f>
        <v>2847</v>
      </c>
      <c r="CE943" s="847">
        <f t="shared" si="1912"/>
        <v>2847</v>
      </c>
      <c r="CF943" s="847">
        <f t="shared" si="1912"/>
        <v>2675</v>
      </c>
      <c r="CG943" s="847">
        <f t="shared" si="1912"/>
        <v>2425</v>
      </c>
      <c r="CH943" s="847">
        <f>SUM(CH941:CH942)</f>
        <v>2453</v>
      </c>
      <c r="CI943" s="847">
        <f>SUM(CI941:CI942)</f>
        <v>2479</v>
      </c>
      <c r="CJ943" s="847">
        <f>SUM(CJ941:CJ942)</f>
        <v>2479</v>
      </c>
      <c r="CK943" s="847">
        <f>SUM(CK941:CK942)</f>
        <v>2517</v>
      </c>
      <c r="CL943" s="847">
        <f>SUM(CL941:CL942)</f>
        <v>2504</v>
      </c>
      <c r="CM943" s="847">
        <f t="shared" ref="CM943:CT943" si="1913">SUM(CM941:CM942)</f>
        <v>2558</v>
      </c>
      <c r="CN943" s="847">
        <f t="shared" si="1913"/>
        <v>2460</v>
      </c>
      <c r="CO943" s="847">
        <f t="shared" si="1913"/>
        <v>2460</v>
      </c>
      <c r="CP943" s="847">
        <f t="shared" si="1913"/>
        <v>2197</v>
      </c>
      <c r="CQ943" s="847">
        <f t="shared" si="1913"/>
        <v>2082</v>
      </c>
      <c r="CR943" s="847">
        <f t="shared" si="1913"/>
        <v>2133</v>
      </c>
      <c r="CS943" s="847">
        <f t="shared" si="1913"/>
        <v>1550.02</v>
      </c>
      <c r="CT943" s="847">
        <f t="shared" si="1913"/>
        <v>1550.02</v>
      </c>
      <c r="CU943" s="847">
        <f t="shared" ref="CU943:DA943" si="1914">SUM(CU941:CU942)</f>
        <v>1775.7421300000001</v>
      </c>
      <c r="CV943" s="847">
        <f t="shared" si="1914"/>
        <v>1943.5931452</v>
      </c>
      <c r="CW943" s="847">
        <f t="shared" si="1914"/>
        <v>2113.5730456000001</v>
      </c>
      <c r="CX943" s="847">
        <f t="shared" si="1914"/>
        <v>2285.4388455999997</v>
      </c>
      <c r="CY943" s="2349">
        <f t="shared" si="1914"/>
        <v>2285.4388455999997</v>
      </c>
      <c r="CZ943" s="847">
        <f t="shared" si="1914"/>
        <v>2484.5029798</v>
      </c>
      <c r="DA943" s="847">
        <f t="shared" si="1914"/>
        <v>2745.11390729</v>
      </c>
      <c r="DD943" s="2360" t="s">
        <v>2022</v>
      </c>
      <c r="DE943" s="2349">
        <f>M943</f>
        <v>2833</v>
      </c>
      <c r="DF943" s="2349">
        <f>R943</f>
        <v>2322</v>
      </c>
      <c r="DG943" s="2349">
        <f>W943</f>
        <v>1789</v>
      </c>
      <c r="DH943" s="2349">
        <f>AB943</f>
        <v>1784</v>
      </c>
      <c r="DI943" s="2349">
        <f>AG943</f>
        <v>1884</v>
      </c>
      <c r="DJ943" s="2349">
        <f>AL943</f>
        <v>1919</v>
      </c>
      <c r="DK943" s="2349">
        <f>AQ943</f>
        <v>2143</v>
      </c>
      <c r="DL943" s="2349">
        <f>AV943</f>
        <v>2348</v>
      </c>
      <c r="DM943" s="2349">
        <f>BA943</f>
        <v>2519</v>
      </c>
      <c r="DN943" s="2349">
        <f>BF943</f>
        <v>2548</v>
      </c>
      <c r="DO943" s="2349">
        <f>BK943</f>
        <v>2556</v>
      </c>
      <c r="DP943" s="2349">
        <f>BP943</f>
        <v>2095</v>
      </c>
      <c r="DQ943" s="2349">
        <f>BU943</f>
        <v>2467</v>
      </c>
      <c r="DR943" s="2349">
        <f>BZ943</f>
        <v>2871</v>
      </c>
      <c r="DS943" s="2349">
        <f>CE943</f>
        <v>2847</v>
      </c>
      <c r="DT943" s="2349">
        <f>CJ943</f>
        <v>2479</v>
      </c>
      <c r="DU943" s="2349">
        <f>CO943</f>
        <v>2460</v>
      </c>
      <c r="DV943" s="2349">
        <f>CT943</f>
        <v>1550.02</v>
      </c>
      <c r="DW943" s="2349">
        <f t="shared" si="1910"/>
        <v>2285.4388455999997</v>
      </c>
      <c r="DX943" s="2349">
        <f t="shared" si="1910"/>
        <v>2484.5029798</v>
      </c>
      <c r="DY943" s="2349">
        <f t="shared" si="1910"/>
        <v>2745.11390729</v>
      </c>
      <c r="EK943"/>
      <c r="EL943"/>
      <c r="EM943" s="847"/>
    </row>
    <row r="944" spans="1:148" ht="12.75" hidden="1" customHeight="1" outlineLevel="1" x14ac:dyDescent="0.2">
      <c r="A944" s="895"/>
      <c r="DD944" s="2360"/>
      <c r="DE944" s="2349"/>
      <c r="DF944" s="2349"/>
      <c r="DG944" s="2349"/>
      <c r="DH944" s="2349"/>
      <c r="DI944" s="2349"/>
      <c r="DJ944" s="2349"/>
      <c r="DK944" s="2349"/>
      <c r="DL944" s="2349"/>
      <c r="DM944" s="2349"/>
      <c r="DN944" s="2349"/>
      <c r="DO944" s="2349"/>
      <c r="DP944" s="2349"/>
      <c r="DQ944" s="2349"/>
      <c r="DR944" s="2349"/>
      <c r="DS944" s="2349"/>
      <c r="DT944" s="2349"/>
      <c r="DU944" s="2349"/>
      <c r="DV944" s="2349"/>
      <c r="DW944" s="2349"/>
      <c r="DX944" s="2349"/>
      <c r="DY944" s="2349"/>
      <c r="EK944"/>
      <c r="EL944"/>
    </row>
    <row r="945" spans="1:143" ht="12.75" hidden="1" customHeight="1" outlineLevel="1" x14ac:dyDescent="0.2">
      <c r="A945" s="895"/>
      <c r="DD945" s="2360"/>
      <c r="DE945" s="2349"/>
      <c r="DF945" s="2349"/>
      <c r="DG945" s="2349"/>
      <c r="DH945" s="2349"/>
      <c r="DI945" s="2349"/>
      <c r="DJ945" s="2349"/>
      <c r="DK945" s="2349"/>
      <c r="DL945" s="2349"/>
      <c r="DM945" s="2349"/>
      <c r="DN945" s="2349"/>
      <c r="DO945" s="2349"/>
      <c r="DP945" s="2349"/>
      <c r="DQ945" s="2349"/>
      <c r="DR945" s="2349"/>
      <c r="DS945" s="2349"/>
      <c r="DT945" s="2349"/>
      <c r="DU945" s="2349"/>
      <c r="DV945" s="2349"/>
      <c r="DW945" s="2349"/>
      <c r="DX945" s="2349"/>
      <c r="DY945" s="2349"/>
      <c r="EK945"/>
      <c r="EL945"/>
    </row>
    <row r="946" spans="1:143" ht="12.75" hidden="1" customHeight="1" outlineLevel="1" x14ac:dyDescent="0.2">
      <c r="A946" s="895"/>
      <c r="DD946" s="2360"/>
      <c r="DE946" s="2349"/>
      <c r="DF946" s="2349"/>
      <c r="DG946" s="2349"/>
      <c r="DH946" s="2349"/>
      <c r="DI946" s="2349"/>
      <c r="DJ946" s="2349"/>
      <c r="DK946" s="2349"/>
      <c r="DL946" s="2349"/>
      <c r="DM946" s="2349"/>
      <c r="DN946" s="2349"/>
      <c r="DO946" s="2349"/>
      <c r="DP946" s="2349"/>
      <c r="DQ946" s="2349"/>
      <c r="DR946" s="2349"/>
      <c r="DS946" s="2349"/>
      <c r="DT946" s="2349"/>
      <c r="DU946" s="2349"/>
      <c r="DV946" s="2349"/>
      <c r="DW946" s="2349"/>
      <c r="DX946" s="2349"/>
      <c r="DY946" s="2349"/>
      <c r="EK946"/>
      <c r="EL946"/>
    </row>
    <row r="947" spans="1:143" ht="12.75" customHeight="1" collapsed="1" x14ac:dyDescent="0.2">
      <c r="A947" s="1197" t="s">
        <v>1428</v>
      </c>
      <c r="DD947" s="864" t="s">
        <v>1428</v>
      </c>
      <c r="DE947" s="2349"/>
      <c r="DF947" s="2349"/>
      <c r="DG947" s="2349"/>
      <c r="DH947" s="2349"/>
      <c r="DI947" s="2349"/>
      <c r="DJ947" s="2349"/>
      <c r="DK947" s="2349"/>
      <c r="DL947" s="2349"/>
      <c r="DM947" s="2349"/>
      <c r="DN947" s="2349"/>
      <c r="DO947" s="2349"/>
      <c r="DP947" s="2349"/>
      <c r="DQ947" s="2349"/>
      <c r="DR947" s="2349"/>
      <c r="DS947" s="2349"/>
      <c r="DT947" s="2349"/>
      <c r="DU947" s="2349"/>
      <c r="DV947" s="2349"/>
      <c r="DW947" s="2349"/>
      <c r="DX947" s="2349"/>
      <c r="DY947" s="2349"/>
      <c r="EK947"/>
      <c r="EL947"/>
    </row>
    <row r="948" spans="1:143" ht="12.75" customHeight="1" x14ac:dyDescent="0.2">
      <c r="A948" s="895" t="s">
        <v>2023</v>
      </c>
      <c r="CM948" s="3103"/>
      <c r="DD948" s="2360" t="s">
        <v>2023</v>
      </c>
      <c r="DE948" s="2349">
        <f t="shared" ref="DE948:DE956" si="1915">M948</f>
        <v>0</v>
      </c>
      <c r="DF948" s="2349">
        <f t="shared" ref="DF948:DF956" si="1916">R948</f>
        <v>0</v>
      </c>
      <c r="DG948" s="2349">
        <f t="shared" ref="DG948:DG956" si="1917">W948</f>
        <v>0</v>
      </c>
      <c r="DH948" s="2349">
        <f t="shared" ref="DH948:DH956" si="1918">AB948</f>
        <v>0</v>
      </c>
      <c r="DI948" s="2349">
        <f t="shared" ref="DI948:DI956" si="1919">AG948</f>
        <v>0</v>
      </c>
      <c r="DJ948" s="2349">
        <f t="shared" ref="DJ948:DJ956" si="1920">AL948</f>
        <v>0</v>
      </c>
      <c r="DK948" s="2349">
        <f t="shared" ref="DK948:DK956" si="1921">AQ948</f>
        <v>0</v>
      </c>
      <c r="DL948" s="2349">
        <f t="shared" ref="DL948:DL956" si="1922">AV948</f>
        <v>0</v>
      </c>
      <c r="DM948" s="2349">
        <f t="shared" ref="DM948:DM956" si="1923">BA948</f>
        <v>0</v>
      </c>
      <c r="DN948" s="2349">
        <f t="shared" ref="DN948:DN956" si="1924">BF948</f>
        <v>0</v>
      </c>
      <c r="DO948" s="2349">
        <f t="shared" ref="DO948:DO956" si="1925">BK948</f>
        <v>0</v>
      </c>
      <c r="DP948" s="2349">
        <f t="shared" ref="DP948:DP956" si="1926">BP948</f>
        <v>0</v>
      </c>
      <c r="DQ948" s="2349">
        <f t="shared" ref="DQ948:DQ956" si="1927">BU948</f>
        <v>0</v>
      </c>
      <c r="DR948" s="2349">
        <f t="shared" ref="DR948:DR956" si="1928">BZ948</f>
        <v>0</v>
      </c>
      <c r="DS948" s="2349">
        <f t="shared" ref="DS948:DS956" si="1929">CE948</f>
        <v>0</v>
      </c>
      <c r="DT948" s="2349">
        <f t="shared" ref="DT948:DT956" si="1930">CJ948</f>
        <v>0</v>
      </c>
      <c r="DU948" s="2349">
        <f t="shared" ref="DU948:DU956" si="1931">CO948</f>
        <v>0</v>
      </c>
      <c r="DV948" s="2349">
        <f t="shared" ref="DV948:DV956" si="1932">CT948</f>
        <v>0</v>
      </c>
      <c r="DW948" s="2349">
        <f t="shared" ref="DW948:DW956" si="1933">CY948</f>
        <v>0</v>
      </c>
      <c r="DX948" s="2349">
        <f t="shared" ref="DX948:DX956" si="1934">CZ948</f>
        <v>0</v>
      </c>
      <c r="DY948" s="2349">
        <f t="shared" ref="DY948:DY956" si="1935">DA948</f>
        <v>0</v>
      </c>
      <c r="EK948"/>
      <c r="EL948"/>
    </row>
    <row r="949" spans="1:143" ht="12.75" customHeight="1" x14ac:dyDescent="0.2">
      <c r="A949" s="895" t="s">
        <v>2024</v>
      </c>
      <c r="Q949" s="847">
        <v>60</v>
      </c>
      <c r="CM949" s="3102"/>
      <c r="DD949" s="2360" t="s">
        <v>2024</v>
      </c>
      <c r="DE949" s="2349">
        <f t="shared" si="1915"/>
        <v>0</v>
      </c>
      <c r="DF949" s="2349">
        <f t="shared" si="1916"/>
        <v>0</v>
      </c>
      <c r="DG949" s="2349">
        <f t="shared" si="1917"/>
        <v>0</v>
      </c>
      <c r="DH949" s="2349">
        <f t="shared" si="1918"/>
        <v>0</v>
      </c>
      <c r="DI949" s="2349">
        <f t="shared" si="1919"/>
        <v>0</v>
      </c>
      <c r="DJ949" s="2349">
        <f t="shared" si="1920"/>
        <v>0</v>
      </c>
      <c r="DK949" s="2349">
        <f t="shared" si="1921"/>
        <v>0</v>
      </c>
      <c r="DL949" s="2349">
        <f t="shared" si="1922"/>
        <v>0</v>
      </c>
      <c r="DM949" s="2349">
        <f t="shared" si="1923"/>
        <v>0</v>
      </c>
      <c r="DN949" s="2349">
        <f t="shared" si="1924"/>
        <v>0</v>
      </c>
      <c r="DO949" s="2349">
        <f t="shared" si="1925"/>
        <v>0</v>
      </c>
      <c r="DP949" s="2349">
        <f t="shared" si="1926"/>
        <v>0</v>
      </c>
      <c r="DQ949" s="2349">
        <f t="shared" si="1927"/>
        <v>0</v>
      </c>
      <c r="DR949" s="2349">
        <f t="shared" si="1928"/>
        <v>0</v>
      </c>
      <c r="DS949" s="2349">
        <f t="shared" si="1929"/>
        <v>0</v>
      </c>
      <c r="DT949" s="2349">
        <f t="shared" si="1930"/>
        <v>0</v>
      </c>
      <c r="DU949" s="2349">
        <f t="shared" si="1931"/>
        <v>0</v>
      </c>
      <c r="DV949" s="2349">
        <f t="shared" si="1932"/>
        <v>0</v>
      </c>
      <c r="DW949" s="2349">
        <f t="shared" si="1933"/>
        <v>0</v>
      </c>
      <c r="DX949" s="2349">
        <f t="shared" si="1934"/>
        <v>0</v>
      </c>
      <c r="DY949" s="2349">
        <f t="shared" si="1935"/>
        <v>0</v>
      </c>
      <c r="EK949"/>
      <c r="EL949"/>
    </row>
    <row r="950" spans="1:143" ht="12.75" customHeight="1" x14ac:dyDescent="0.2">
      <c r="A950" s="895" t="s">
        <v>2025</v>
      </c>
      <c r="Q950" s="847">
        <v>64</v>
      </c>
      <c r="DD950" s="2360" t="s">
        <v>2025</v>
      </c>
      <c r="DE950" s="2349">
        <f t="shared" si="1915"/>
        <v>0</v>
      </c>
      <c r="DF950" s="2349">
        <f t="shared" si="1916"/>
        <v>0</v>
      </c>
      <c r="DG950" s="2349">
        <f t="shared" si="1917"/>
        <v>0</v>
      </c>
      <c r="DH950" s="2349">
        <f t="shared" si="1918"/>
        <v>0</v>
      </c>
      <c r="DI950" s="2349">
        <f t="shared" si="1919"/>
        <v>0</v>
      </c>
      <c r="DJ950" s="2349">
        <f t="shared" si="1920"/>
        <v>0</v>
      </c>
      <c r="DK950" s="2349">
        <f t="shared" si="1921"/>
        <v>0</v>
      </c>
      <c r="DL950" s="2349">
        <f t="shared" si="1922"/>
        <v>0</v>
      </c>
      <c r="DM950" s="2349">
        <f t="shared" si="1923"/>
        <v>0</v>
      </c>
      <c r="DN950" s="2349">
        <f t="shared" si="1924"/>
        <v>0</v>
      </c>
      <c r="DO950" s="2349">
        <f t="shared" si="1925"/>
        <v>0</v>
      </c>
      <c r="DP950" s="2349">
        <f t="shared" si="1926"/>
        <v>0</v>
      </c>
      <c r="DQ950" s="2349">
        <f t="shared" si="1927"/>
        <v>0</v>
      </c>
      <c r="DR950" s="2349">
        <f t="shared" si="1928"/>
        <v>0</v>
      </c>
      <c r="DS950" s="2349">
        <f t="shared" si="1929"/>
        <v>0</v>
      </c>
      <c r="DT950" s="2349">
        <f t="shared" si="1930"/>
        <v>0</v>
      </c>
      <c r="DU950" s="2349">
        <f t="shared" si="1931"/>
        <v>0</v>
      </c>
      <c r="DV950" s="2349">
        <f t="shared" si="1932"/>
        <v>0</v>
      </c>
      <c r="DW950" s="2349">
        <f t="shared" si="1933"/>
        <v>0</v>
      </c>
      <c r="DX950" s="2349">
        <f t="shared" si="1934"/>
        <v>0</v>
      </c>
      <c r="DY950" s="2349">
        <f t="shared" si="1935"/>
        <v>0</v>
      </c>
      <c r="EK950"/>
      <c r="EL950"/>
    </row>
    <row r="951" spans="1:143" ht="12.75" customHeight="1" x14ac:dyDescent="0.2">
      <c r="A951" s="895" t="s">
        <v>474</v>
      </c>
      <c r="Q951" s="847">
        <v>42</v>
      </c>
      <c r="DD951" s="2360" t="s">
        <v>474</v>
      </c>
      <c r="DE951" s="2349">
        <f t="shared" si="1915"/>
        <v>0</v>
      </c>
      <c r="DF951" s="2349">
        <f t="shared" si="1916"/>
        <v>0</v>
      </c>
      <c r="DG951" s="2349">
        <f t="shared" si="1917"/>
        <v>0</v>
      </c>
      <c r="DH951" s="2349">
        <f t="shared" si="1918"/>
        <v>0</v>
      </c>
      <c r="DI951" s="2349">
        <f t="shared" si="1919"/>
        <v>0</v>
      </c>
      <c r="DJ951" s="2349">
        <f t="shared" si="1920"/>
        <v>0</v>
      </c>
      <c r="DK951" s="2349">
        <f t="shared" si="1921"/>
        <v>0</v>
      </c>
      <c r="DL951" s="2349">
        <f t="shared" si="1922"/>
        <v>0</v>
      </c>
      <c r="DM951" s="2349">
        <f t="shared" si="1923"/>
        <v>0</v>
      </c>
      <c r="DN951" s="2349">
        <f t="shared" si="1924"/>
        <v>0</v>
      </c>
      <c r="DO951" s="2349">
        <f t="shared" si="1925"/>
        <v>0</v>
      </c>
      <c r="DP951" s="2349">
        <f t="shared" si="1926"/>
        <v>0</v>
      </c>
      <c r="DQ951" s="2349">
        <f t="shared" si="1927"/>
        <v>0</v>
      </c>
      <c r="DR951" s="2349">
        <f t="shared" si="1928"/>
        <v>0</v>
      </c>
      <c r="DS951" s="2349">
        <f t="shared" si="1929"/>
        <v>0</v>
      </c>
      <c r="DT951" s="2349">
        <f t="shared" si="1930"/>
        <v>0</v>
      </c>
      <c r="DU951" s="2349">
        <f t="shared" si="1931"/>
        <v>0</v>
      </c>
      <c r="DV951" s="2349">
        <f t="shared" si="1932"/>
        <v>0</v>
      </c>
      <c r="DW951" s="2349">
        <f t="shared" si="1933"/>
        <v>0</v>
      </c>
      <c r="DX951" s="2349">
        <f t="shared" si="1934"/>
        <v>0</v>
      </c>
      <c r="DY951" s="2349">
        <f t="shared" si="1935"/>
        <v>0</v>
      </c>
      <c r="EK951"/>
      <c r="EL951"/>
    </row>
    <row r="952" spans="1:143" ht="12.75" customHeight="1" x14ac:dyDescent="0.2">
      <c r="A952" s="895" t="s">
        <v>475</v>
      </c>
      <c r="Q952" s="847">
        <v>43</v>
      </c>
      <c r="DD952" s="2360" t="s">
        <v>475</v>
      </c>
      <c r="DE952" s="2349">
        <f t="shared" si="1915"/>
        <v>0</v>
      </c>
      <c r="DF952" s="2349">
        <f t="shared" si="1916"/>
        <v>0</v>
      </c>
      <c r="DG952" s="2349">
        <f t="shared" si="1917"/>
        <v>0</v>
      </c>
      <c r="DH952" s="2349">
        <f t="shared" si="1918"/>
        <v>0</v>
      </c>
      <c r="DI952" s="2349">
        <f t="shared" si="1919"/>
        <v>0</v>
      </c>
      <c r="DJ952" s="2349">
        <f t="shared" si="1920"/>
        <v>0</v>
      </c>
      <c r="DK952" s="2349">
        <f t="shared" si="1921"/>
        <v>0</v>
      </c>
      <c r="DL952" s="2349">
        <f t="shared" si="1922"/>
        <v>0</v>
      </c>
      <c r="DM952" s="2349">
        <f t="shared" si="1923"/>
        <v>0</v>
      </c>
      <c r="DN952" s="2349">
        <f t="shared" si="1924"/>
        <v>0</v>
      </c>
      <c r="DO952" s="2349">
        <f t="shared" si="1925"/>
        <v>0</v>
      </c>
      <c r="DP952" s="2349">
        <f t="shared" si="1926"/>
        <v>0</v>
      </c>
      <c r="DQ952" s="2349">
        <f t="shared" si="1927"/>
        <v>0</v>
      </c>
      <c r="DR952" s="2349">
        <f t="shared" si="1928"/>
        <v>0</v>
      </c>
      <c r="DS952" s="2349">
        <f t="shared" si="1929"/>
        <v>0</v>
      </c>
      <c r="DT952" s="2349">
        <f t="shared" si="1930"/>
        <v>0</v>
      </c>
      <c r="DU952" s="2349">
        <f t="shared" si="1931"/>
        <v>0</v>
      </c>
      <c r="DV952" s="2349">
        <f t="shared" si="1932"/>
        <v>0</v>
      </c>
      <c r="DW952" s="2349">
        <f t="shared" si="1933"/>
        <v>0</v>
      </c>
      <c r="DX952" s="2349">
        <f t="shared" si="1934"/>
        <v>0</v>
      </c>
      <c r="DY952" s="2349">
        <f t="shared" si="1935"/>
        <v>0</v>
      </c>
      <c r="EK952"/>
      <c r="EL952"/>
    </row>
    <row r="953" spans="1:143" ht="12.75" customHeight="1" x14ac:dyDescent="0.2">
      <c r="A953" s="895" t="s">
        <v>476</v>
      </c>
      <c r="Q953" s="847">
        <v>17</v>
      </c>
      <c r="DD953" s="2360" t="s">
        <v>476</v>
      </c>
      <c r="DE953" s="2349">
        <f t="shared" si="1915"/>
        <v>0</v>
      </c>
      <c r="DF953" s="2349">
        <f t="shared" si="1916"/>
        <v>0</v>
      </c>
      <c r="DG953" s="2349">
        <f t="shared" si="1917"/>
        <v>0</v>
      </c>
      <c r="DH953" s="2349">
        <f t="shared" si="1918"/>
        <v>0</v>
      </c>
      <c r="DI953" s="2349">
        <f t="shared" si="1919"/>
        <v>0</v>
      </c>
      <c r="DJ953" s="2349">
        <f t="shared" si="1920"/>
        <v>0</v>
      </c>
      <c r="DK953" s="2349">
        <f t="shared" si="1921"/>
        <v>0</v>
      </c>
      <c r="DL953" s="2349">
        <f t="shared" si="1922"/>
        <v>0</v>
      </c>
      <c r="DM953" s="2349">
        <f t="shared" si="1923"/>
        <v>0</v>
      </c>
      <c r="DN953" s="2349">
        <f t="shared" si="1924"/>
        <v>0</v>
      </c>
      <c r="DO953" s="2349">
        <f t="shared" si="1925"/>
        <v>0</v>
      </c>
      <c r="DP953" s="2349">
        <f t="shared" si="1926"/>
        <v>0</v>
      </c>
      <c r="DQ953" s="2349">
        <f t="shared" si="1927"/>
        <v>0</v>
      </c>
      <c r="DR953" s="2349">
        <f t="shared" si="1928"/>
        <v>0</v>
      </c>
      <c r="DS953" s="2349">
        <f t="shared" si="1929"/>
        <v>0</v>
      </c>
      <c r="DT953" s="2349">
        <f t="shared" si="1930"/>
        <v>0</v>
      </c>
      <c r="DU953" s="2349">
        <f t="shared" si="1931"/>
        <v>0</v>
      </c>
      <c r="DV953" s="2349">
        <f t="shared" si="1932"/>
        <v>0</v>
      </c>
      <c r="DW953" s="2349">
        <f t="shared" si="1933"/>
        <v>0</v>
      </c>
      <c r="DX953" s="2349">
        <f t="shared" si="1934"/>
        <v>0</v>
      </c>
      <c r="DY953" s="2349">
        <f t="shared" si="1935"/>
        <v>0</v>
      </c>
      <c r="EK953"/>
      <c r="EL953"/>
    </row>
    <row r="954" spans="1:143" ht="12.75" customHeight="1" x14ac:dyDescent="0.2">
      <c r="A954" s="895" t="s">
        <v>477</v>
      </c>
      <c r="Q954" s="847">
        <v>32</v>
      </c>
      <c r="DD954" s="2360" t="s">
        <v>477</v>
      </c>
      <c r="DE954" s="2349">
        <f t="shared" si="1915"/>
        <v>0</v>
      </c>
      <c r="DF954" s="2349">
        <f t="shared" si="1916"/>
        <v>0</v>
      </c>
      <c r="DG954" s="2349">
        <f t="shared" si="1917"/>
        <v>0</v>
      </c>
      <c r="DH954" s="2349">
        <f t="shared" si="1918"/>
        <v>0</v>
      </c>
      <c r="DI954" s="2349">
        <f t="shared" si="1919"/>
        <v>0</v>
      </c>
      <c r="DJ954" s="2349">
        <f t="shared" si="1920"/>
        <v>0</v>
      </c>
      <c r="DK954" s="2349">
        <f t="shared" si="1921"/>
        <v>0</v>
      </c>
      <c r="DL954" s="2349">
        <f t="shared" si="1922"/>
        <v>0</v>
      </c>
      <c r="DM954" s="2349">
        <f t="shared" si="1923"/>
        <v>0</v>
      </c>
      <c r="DN954" s="2349">
        <f t="shared" si="1924"/>
        <v>0</v>
      </c>
      <c r="DO954" s="2349">
        <f t="shared" si="1925"/>
        <v>0</v>
      </c>
      <c r="DP954" s="2349">
        <f t="shared" si="1926"/>
        <v>0</v>
      </c>
      <c r="DQ954" s="2349">
        <f t="shared" si="1927"/>
        <v>0</v>
      </c>
      <c r="DR954" s="2349">
        <f t="shared" si="1928"/>
        <v>0</v>
      </c>
      <c r="DS954" s="2349">
        <f t="shared" si="1929"/>
        <v>0</v>
      </c>
      <c r="DT954" s="2349">
        <f t="shared" si="1930"/>
        <v>0</v>
      </c>
      <c r="DU954" s="2349">
        <f t="shared" si="1931"/>
        <v>0</v>
      </c>
      <c r="DV954" s="2349">
        <f t="shared" si="1932"/>
        <v>0</v>
      </c>
      <c r="DW954" s="2349">
        <f t="shared" si="1933"/>
        <v>0</v>
      </c>
      <c r="DX954" s="2349">
        <f t="shared" si="1934"/>
        <v>0</v>
      </c>
      <c r="DY954" s="2349">
        <f t="shared" si="1935"/>
        <v>0</v>
      </c>
      <c r="EK954"/>
      <c r="EL954"/>
    </row>
    <row r="955" spans="1:143" ht="12.75" customHeight="1" x14ac:dyDescent="0.2">
      <c r="A955" s="895" t="s">
        <v>478</v>
      </c>
      <c r="Q955" s="847">
        <v>13</v>
      </c>
      <c r="DD955" s="2360" t="s">
        <v>478</v>
      </c>
      <c r="DE955" s="2349">
        <f t="shared" si="1915"/>
        <v>0</v>
      </c>
      <c r="DF955" s="2349">
        <f t="shared" si="1916"/>
        <v>0</v>
      </c>
      <c r="DG955" s="2349">
        <f t="shared" si="1917"/>
        <v>0</v>
      </c>
      <c r="DH955" s="2349">
        <f t="shared" si="1918"/>
        <v>0</v>
      </c>
      <c r="DI955" s="2349">
        <f t="shared" si="1919"/>
        <v>0</v>
      </c>
      <c r="DJ955" s="2349">
        <f t="shared" si="1920"/>
        <v>0</v>
      </c>
      <c r="DK955" s="2349">
        <f t="shared" si="1921"/>
        <v>0</v>
      </c>
      <c r="DL955" s="2349">
        <f t="shared" si="1922"/>
        <v>0</v>
      </c>
      <c r="DM955" s="2349">
        <f t="shared" si="1923"/>
        <v>0</v>
      </c>
      <c r="DN955" s="2349">
        <f t="shared" si="1924"/>
        <v>0</v>
      </c>
      <c r="DO955" s="2349">
        <f t="shared" si="1925"/>
        <v>0</v>
      </c>
      <c r="DP955" s="2349">
        <f t="shared" si="1926"/>
        <v>0</v>
      </c>
      <c r="DQ955" s="2349">
        <f t="shared" si="1927"/>
        <v>0</v>
      </c>
      <c r="DR955" s="2349">
        <f t="shared" si="1928"/>
        <v>0</v>
      </c>
      <c r="DS955" s="2349">
        <f t="shared" si="1929"/>
        <v>0</v>
      </c>
      <c r="DT955" s="2349">
        <f t="shared" si="1930"/>
        <v>0</v>
      </c>
      <c r="DU955" s="2349">
        <f t="shared" si="1931"/>
        <v>0</v>
      </c>
      <c r="DV955" s="2349">
        <f t="shared" si="1932"/>
        <v>0</v>
      </c>
      <c r="DW955" s="2349">
        <f t="shared" si="1933"/>
        <v>0</v>
      </c>
      <c r="DX955" s="2349">
        <f t="shared" si="1934"/>
        <v>0</v>
      </c>
      <c r="DY955" s="2349">
        <f t="shared" si="1935"/>
        <v>0</v>
      </c>
      <c r="EK955"/>
      <c r="EL955"/>
    </row>
    <row r="956" spans="1:143" ht="12.75" customHeight="1" x14ac:dyDescent="0.2">
      <c r="A956" s="895" t="s">
        <v>1735</v>
      </c>
      <c r="Q956" s="847">
        <f>SUM(Q949:Q955)</f>
        <v>271</v>
      </c>
      <c r="DD956" s="2360" t="s">
        <v>1735</v>
      </c>
      <c r="DE956" s="2349">
        <f t="shared" si="1915"/>
        <v>0</v>
      </c>
      <c r="DF956" s="2349">
        <f t="shared" si="1916"/>
        <v>0</v>
      </c>
      <c r="DG956" s="2349">
        <f t="shared" si="1917"/>
        <v>0</v>
      </c>
      <c r="DH956" s="2349">
        <f t="shared" si="1918"/>
        <v>0</v>
      </c>
      <c r="DI956" s="2349">
        <f t="shared" si="1919"/>
        <v>0</v>
      </c>
      <c r="DJ956" s="2349">
        <f t="shared" si="1920"/>
        <v>0</v>
      </c>
      <c r="DK956" s="2349">
        <f t="shared" si="1921"/>
        <v>0</v>
      </c>
      <c r="DL956" s="2349">
        <f t="shared" si="1922"/>
        <v>0</v>
      </c>
      <c r="DM956" s="2349">
        <f t="shared" si="1923"/>
        <v>0</v>
      </c>
      <c r="DN956" s="2349">
        <f t="shared" si="1924"/>
        <v>0</v>
      </c>
      <c r="DO956" s="2349">
        <f t="shared" si="1925"/>
        <v>0</v>
      </c>
      <c r="DP956" s="2349">
        <f t="shared" si="1926"/>
        <v>0</v>
      </c>
      <c r="DQ956" s="2349">
        <f t="shared" si="1927"/>
        <v>0</v>
      </c>
      <c r="DR956" s="2349">
        <f t="shared" si="1928"/>
        <v>0</v>
      </c>
      <c r="DS956" s="2349">
        <f t="shared" si="1929"/>
        <v>0</v>
      </c>
      <c r="DT956" s="2349">
        <f t="shared" si="1930"/>
        <v>0</v>
      </c>
      <c r="DU956" s="2349">
        <f t="shared" si="1931"/>
        <v>0</v>
      </c>
      <c r="DV956" s="2349">
        <f t="shared" si="1932"/>
        <v>0</v>
      </c>
      <c r="DW956" s="2349">
        <f t="shared" si="1933"/>
        <v>0</v>
      </c>
      <c r="DX956" s="2349">
        <f t="shared" si="1934"/>
        <v>0</v>
      </c>
      <c r="DY956" s="2349">
        <f t="shared" si="1935"/>
        <v>0</v>
      </c>
      <c r="EK956"/>
      <c r="EL956"/>
    </row>
    <row r="957" spans="1:143" ht="12.75" customHeight="1" x14ac:dyDescent="0.2">
      <c r="A957" s="895"/>
      <c r="DD957" s="2360"/>
      <c r="DE957" s="2349"/>
      <c r="DF957" s="2349"/>
      <c r="DG957" s="2349"/>
      <c r="DH957" s="2349"/>
      <c r="DI957" s="2349"/>
      <c r="DJ957" s="2349"/>
      <c r="DK957" s="2349"/>
      <c r="DL957" s="2349"/>
      <c r="DM957" s="2349"/>
      <c r="DN957" s="2349"/>
      <c r="DO957" s="2349"/>
      <c r="DP957" s="2349"/>
      <c r="DQ957" s="2349"/>
      <c r="DR957" s="2349"/>
      <c r="DS957" s="2349"/>
      <c r="DT957" s="2349"/>
      <c r="DU957" s="2349"/>
      <c r="DV957" s="2349"/>
      <c r="DW957" s="2349"/>
      <c r="DX957" s="2349"/>
      <c r="DY957" s="2349"/>
      <c r="EK957"/>
      <c r="EL957"/>
    </row>
    <row r="958" spans="1:143" ht="12.75" customHeight="1" x14ac:dyDescent="0.2">
      <c r="A958" s="895"/>
      <c r="DD958" s="2360"/>
      <c r="DE958" s="2349"/>
      <c r="DF958" s="2349"/>
      <c r="DG958" s="2349"/>
      <c r="DH958" s="2349"/>
      <c r="DI958" s="2349"/>
      <c r="DJ958" s="2349"/>
      <c r="DK958" s="2349"/>
      <c r="DL958" s="2349"/>
      <c r="DM958" s="2349"/>
      <c r="DN958" s="2349"/>
      <c r="DO958" s="2349"/>
      <c r="DP958" s="2349"/>
      <c r="DQ958" s="2349"/>
      <c r="DR958" s="2349"/>
      <c r="DS958" s="2349"/>
      <c r="DT958" s="2349"/>
      <c r="DU958" s="2349"/>
      <c r="DV958" s="2349"/>
      <c r="DW958" s="2349"/>
      <c r="DX958" s="2349"/>
      <c r="DY958" s="2349"/>
      <c r="EK958"/>
      <c r="EL958"/>
    </row>
    <row r="959" spans="1:143" x14ac:dyDescent="0.2">
      <c r="A959" s="745" t="s">
        <v>479</v>
      </c>
      <c r="DD959" s="745" t="s">
        <v>479</v>
      </c>
      <c r="DE959" s="2349"/>
      <c r="DF959" s="2349"/>
      <c r="DG959" s="2349"/>
      <c r="DH959" s="2349"/>
      <c r="DI959" s="2349"/>
      <c r="DJ959" s="2349"/>
      <c r="DK959" s="2349"/>
      <c r="DL959" s="2349"/>
      <c r="DM959" s="2349"/>
      <c r="DN959" s="2349"/>
      <c r="DO959" s="2349"/>
      <c r="DP959" s="2349"/>
      <c r="DQ959" s="2349"/>
      <c r="DR959" s="2349"/>
      <c r="DS959" s="2349"/>
      <c r="DT959" s="2349"/>
      <c r="DU959" s="2349"/>
      <c r="DV959" s="2349"/>
      <c r="DW959" s="2349"/>
      <c r="DX959" s="2349"/>
      <c r="DY959" s="2349"/>
      <c r="EK959"/>
      <c r="EL959"/>
    </row>
    <row r="960" spans="1:143" x14ac:dyDescent="0.2">
      <c r="A960" s="895" t="s">
        <v>480</v>
      </c>
      <c r="I960" s="847">
        <f>I778+I779+I781+I782-C778-C779-C781-C782+I963</f>
        <v>2844</v>
      </c>
      <c r="J960" s="847">
        <f>J778+J779+J781+J782-I778-I779-I781-I782+J963</f>
        <v>93</v>
      </c>
      <c r="K960" s="847">
        <f>K778+K779+K781+K782-J778-J779-J781-J782+K963</f>
        <v>174</v>
      </c>
      <c r="L960" s="847">
        <f>L778+L779+L781+L782-K778-K779-K781-K782+L963</f>
        <v>255</v>
      </c>
      <c r="M960" s="847">
        <f>SUM(I960:L960)</f>
        <v>3366</v>
      </c>
      <c r="N960" s="847">
        <f>N778+N779+N782-M778-M779-M782+N963</f>
        <v>-4</v>
      </c>
      <c r="O960" s="847">
        <f>O778+O779+O782-N778-N779-N782+O963</f>
        <v>116</v>
      </c>
      <c r="P960" s="847">
        <f>P778+P779+P782-O778-O779-O782+P963</f>
        <v>9</v>
      </c>
      <c r="Q960" s="847">
        <f>Q778+Q779+Q782-P778-P779-P782+Q963</f>
        <v>-231</v>
      </c>
      <c r="R960" s="847">
        <f>SUM(N960:Q960)</f>
        <v>-110</v>
      </c>
      <c r="S960" s="847">
        <f>S778+S779+S782-R778-R779-R782+S963</f>
        <v>-37</v>
      </c>
      <c r="T960" s="847">
        <f>T778+T779+T782-S778-S779-S782+T963</f>
        <v>84</v>
      </c>
      <c r="U960" s="847">
        <f>U778+U779+U782-T778-T779-T782+U963</f>
        <v>-11</v>
      </c>
      <c r="V960" s="847">
        <f>V778+V779+V782-U778-U779-U782+V963</f>
        <v>-147</v>
      </c>
      <c r="W960" s="847">
        <f>SUM(S960:V960)</f>
        <v>-111</v>
      </c>
      <c r="X960" s="847">
        <f>X778+X779+X782-W778-W779-W782+X963</f>
        <v>90</v>
      </c>
      <c r="Y960" s="847">
        <f>Y778+Y779+Y782-X778-X779-X782+Y963</f>
        <v>111</v>
      </c>
      <c r="Z960" s="847">
        <f>Z778+Z779+Z782-Y778-Y779-Y782+Z963</f>
        <v>9</v>
      </c>
      <c r="AA960" s="847">
        <f>AA778+AA779+AA782-Z778-Z779-Z782+AA963</f>
        <v>175</v>
      </c>
      <c r="AB960" s="847">
        <f>SUM(X960:AA960)</f>
        <v>385</v>
      </c>
      <c r="AC960" s="847">
        <f>AC778+AC779+AC782-AB778-AB779-AB782+AC963</f>
        <v>-96</v>
      </c>
      <c r="AD960" s="847">
        <f>AD778+AD779+AD782-AC778-AC779-AC782+AD963</f>
        <v>178</v>
      </c>
      <c r="AE960" s="847">
        <f>AE778+AE779+AE782-AD778-AD779-AD782+AE963</f>
        <v>-74</v>
      </c>
      <c r="AF960" s="847">
        <f>AF778+AF779+AF782-AE778-AE779-AE782+AF963</f>
        <v>285</v>
      </c>
      <c r="AG960" s="847">
        <f>SUM(AC960:AF960)</f>
        <v>293</v>
      </c>
      <c r="AH960" s="847">
        <f>AH778+AH779+AH782-AG778-AG779-AG782+AH963</f>
        <v>-54</v>
      </c>
      <c r="AI960" s="847">
        <f>AI778+AI779+AI782-AH778-AH779-AH782+AI963</f>
        <v>-265</v>
      </c>
      <c r="AJ960" s="847">
        <f>AJ778+AJ779+AJ782-AI778-AI779-AI782+AJ963</f>
        <v>-333</v>
      </c>
      <c r="AK960" s="847">
        <f>AK778+AK779+AK782-AJ778-AJ779-AJ782+AK963</f>
        <v>-44</v>
      </c>
      <c r="AL960" s="847">
        <f>SUM(AH960:AK960)</f>
        <v>-696</v>
      </c>
      <c r="AM960" s="847">
        <f>AM778+AM779+AM782-AL778-AL779-AL782+AM963</f>
        <v>-333</v>
      </c>
      <c r="AN960" s="847">
        <f>AN778+AN779+AN782-AM778-AM779-AM782+AN963</f>
        <v>-79</v>
      </c>
      <c r="AO960" s="847">
        <f>AO778+AO779+AO782-AN778-AN779-AN782+AO963</f>
        <v>-242</v>
      </c>
      <c r="AP960" s="847">
        <f>AP778+AP779+AP782-AO778-AO779-AO782+AP963</f>
        <v>-79</v>
      </c>
      <c r="AQ960" s="847">
        <f>SUM(AM960:AP960)</f>
        <v>-733</v>
      </c>
      <c r="AR960" s="847">
        <f>AR778+AR779+AR782-AQ778-AQ779-AQ782+AR963</f>
        <v>-358</v>
      </c>
      <c r="AS960" s="847">
        <f>AS778+AS779+AS782-AR778-AR779-AR782+AS963</f>
        <v>-241</v>
      </c>
      <c r="AT960" s="847">
        <f>AT778+AT779+AT782-AS778-AS779-AS782+AT963</f>
        <v>-279</v>
      </c>
      <c r="AU960" s="847">
        <f>AU778+AU779+AU782-AT778-AT779-AT782+AU963</f>
        <v>-213</v>
      </c>
      <c r="AV960" s="847">
        <f>SUM(AR960:AU960)</f>
        <v>-1091</v>
      </c>
      <c r="AW960" s="847">
        <f>AW778+AW779+AW782-AV778-AV779-AV782+AW963</f>
        <v>-81</v>
      </c>
      <c r="AX960" s="847">
        <f>AX778+AX779+AX782-AW778-AW779-AW782+AX963</f>
        <v>121</v>
      </c>
      <c r="AY960" s="847">
        <f>AY778+AY779+AY782-AX778-AX779-AX782+AY963</f>
        <v>46</v>
      </c>
      <c r="AZ960" s="847">
        <f>AZ778+AZ779+AZ782-AY778-AY779-AY782+AZ963</f>
        <v>46</v>
      </c>
      <c r="BA960" s="847">
        <f>SUM(AW960:AZ960)</f>
        <v>132</v>
      </c>
      <c r="BB960" s="847">
        <f>BB778+BB779+BB782-BA778-BA779-BA782+BB963</f>
        <v>-16</v>
      </c>
      <c r="BC960" s="847">
        <f>BC778+BC779+BC782-BB778-BB779-BB782+BC963</f>
        <v>34</v>
      </c>
      <c r="BD960" s="847">
        <f>BD778+BD779+BD782-BC778-BC779-BC782+BD963</f>
        <v>91</v>
      </c>
      <c r="BE960" s="847">
        <f>BE778+BE779+BE782-BD778-BD779-BD782+BE963</f>
        <v>87</v>
      </c>
      <c r="BF960" s="847">
        <f>SUM(BB960:BE960)</f>
        <v>196</v>
      </c>
      <c r="BG960" s="847">
        <f>BG778+BG779+BG782-BF778-BF779-BF782+BG963</f>
        <v>6</v>
      </c>
      <c r="BH960" s="847">
        <f>BH778+BH779+BH782-BG778-BG779-BG782+BH963</f>
        <v>67</v>
      </c>
      <c r="BI960" s="847">
        <f>BI778+BI779+BI782-BH778-BH779-BH782+BI963</f>
        <v>59</v>
      </c>
      <c r="BJ960" s="847">
        <f>BJ778+BJ779+BJ782-BI778-BI779-BI782+BJ963</f>
        <v>143</v>
      </c>
      <c r="BK960" s="847">
        <f>SUM(BG960:BJ960)</f>
        <v>275</v>
      </c>
      <c r="BL960" s="847">
        <f>BL778+BL779+BL782-BK778-BK779-BK782+BL963</f>
        <v>-227</v>
      </c>
      <c r="BM960" s="847">
        <f>BM778+BM779+BM782-BL778-BL779-BL782+BM963</f>
        <v>-328</v>
      </c>
      <c r="BN960" s="847">
        <f>BN778+BN779+BN782-BM778-BM779-BM782+BN963</f>
        <v>-465</v>
      </c>
      <c r="BO960" s="847">
        <f>BO778+BO779+BO782-BN778-BN779-BN782+BO963</f>
        <v>-1226</v>
      </c>
      <c r="BP960" s="847">
        <f>SUM(BL960:BO960)</f>
        <v>-2246</v>
      </c>
      <c r="BQ960" s="847">
        <f>BQ778+BQ779+BQ782-BP778-BP779-BP782+BQ963</f>
        <v>-114</v>
      </c>
      <c r="BR960" s="847">
        <f>BR778+BR779+BR782-BQ778-BQ779-BQ782+BR963</f>
        <v>-347</v>
      </c>
      <c r="BS960" s="847">
        <f>BS778+BS779+BS782-BR778-BR779-BR782+BS963</f>
        <v>-275</v>
      </c>
      <c r="BT960" s="847">
        <f>BT778+BT779+BT782-BS778-BS779-BS782+BT963</f>
        <v>-69</v>
      </c>
      <c r="BU960" s="847">
        <f>SUM(BQ960:BT960)</f>
        <v>-805</v>
      </c>
      <c r="BV960" s="847">
        <f>BV778+BV779+BV782-BU778-BU779-BU782+BV963</f>
        <v>-130</v>
      </c>
      <c r="BW960" s="847">
        <f>BW778+BW779+BW782-BV778-BV779-BV782+BW963</f>
        <v>-221</v>
      </c>
      <c r="BX960" s="847">
        <f>BX778+BX779+BX782-BW778-BW779-BW782+BX963</f>
        <v>-22</v>
      </c>
      <c r="BY960" s="847">
        <f>BY778+BY779+BY782-BX778-BX779-BX782+BY963</f>
        <v>-85</v>
      </c>
      <c r="BZ960" s="847">
        <f>BZ778+BZ779+BZ782-BU778-BU779-BU782+BZ963</f>
        <v>-458</v>
      </c>
      <c r="CA960" s="847">
        <f>CA778+CA779+CA782-BZ778-BZ779-BZ782+CA963</f>
        <v>-293</v>
      </c>
      <c r="CB960" s="847">
        <f>CB778+CB779+CB782-CA778-CA779-CA782+CB963</f>
        <v>-210</v>
      </c>
      <c r="CC960" s="847">
        <f>CC778+CC779+CC782-CB778-CB779-CB782+CC963</f>
        <v>-234</v>
      </c>
      <c r="CD960" s="847">
        <f>CD778+CD779+CD782-CC778-CC779-CC782+CD963</f>
        <v>-471</v>
      </c>
      <c r="CE960" s="847">
        <f>CE778+CE779+CE782-BZ778-BZ779-BZ782+CE963</f>
        <v>-1208</v>
      </c>
      <c r="CF960" s="847">
        <f>CF778+CF779+CF782-CE778-CE779-CE782+CF963</f>
        <v>-432</v>
      </c>
      <c r="CG960" s="847">
        <f>CG778+CG779+CG782-CF778-CF779-CF782+CG963</f>
        <v>-670</v>
      </c>
      <c r="CH960" s="847">
        <f>CH778+CH779+CH782-CG778-CG779-CG782+CH963</f>
        <v>-691</v>
      </c>
      <c r="CI960" s="847">
        <f>CI778+CI779+CI782-CH778-CH779-CH782+CI963</f>
        <v>-63</v>
      </c>
      <c r="CJ960" s="847">
        <f>CJ778+CJ779+CJ782-CE778-CE779-CE782+CJ963</f>
        <v>-1856</v>
      </c>
      <c r="CK960" s="847">
        <f>CK778+CK779+CK782-CJ778-CJ779-CJ782+CK963</f>
        <v>-243</v>
      </c>
      <c r="CL960" s="847">
        <f>CL778+CL779+CL782-CK778-CK779-CK782+CL963</f>
        <v>41</v>
      </c>
      <c r="CM960" s="847">
        <f>CM778+CM779+CM782-CL778-CL779-CL782+CM963</f>
        <v>8109</v>
      </c>
      <c r="CN960" s="847">
        <f>CN778+CN779+CN782-CM778-CM779-CM782+CN963</f>
        <v>-282</v>
      </c>
      <c r="CO960" s="847">
        <f>CO778+CO779+CO782-CJ778-CJ779-CJ782+CO963</f>
        <v>7625</v>
      </c>
      <c r="CP960" s="847">
        <f>CP778+CP779+CP782-CO778-CO779-CO782+CP963</f>
        <v>-623</v>
      </c>
      <c r="CQ960" s="847">
        <f>CQ778+CQ779+CQ782-CP778-CP779-CP782+CQ963</f>
        <v>-713</v>
      </c>
      <c r="CR960" s="847">
        <f>CR778+CR779+CR782-CQ778-CQ779-CQ782+CR963</f>
        <v>-766</v>
      </c>
      <c r="CS960" s="847">
        <f>CS778+CS779+CS782-CR778-CR779-CR782+CS963</f>
        <v>-925</v>
      </c>
      <c r="CT960" s="847">
        <f>CT778+CT779+CT782-CO778-CO779-CO782+CT963</f>
        <v>-3027</v>
      </c>
      <c r="CU960" s="847">
        <f>CU778+CU779+CU782-CT778-CT779-CT782+CU963</f>
        <v>-500</v>
      </c>
      <c r="CV960" s="847">
        <f>CV778+CV779+CV782-CU778-CU779-CU782+CV963</f>
        <v>-500</v>
      </c>
      <c r="CW960" s="847">
        <f>CW778+CW779+CW782-CV778-CV779-CV782+CW963</f>
        <v>-500</v>
      </c>
      <c r="CX960" s="847">
        <f>CX778+CX779+CX782-CW778-CW779-CW782+CX963</f>
        <v>-500</v>
      </c>
      <c r="CY960" s="847">
        <f>CY778+CY779+CY782-CT778-CT779-CT782+CY963</f>
        <v>-2000</v>
      </c>
      <c r="CZ960" s="847">
        <f>CZ778+CZ779+CZ782-CY778-CY779-CY782+CZ963</f>
        <v>-2500</v>
      </c>
      <c r="DA960" s="847">
        <f>DA778+DA779+DA782-CZ778-CZ779-CZ782+DA963</f>
        <v>-1750</v>
      </c>
      <c r="DD960" s="2360" t="s">
        <v>480</v>
      </c>
      <c r="DE960" s="2349">
        <f>M960</f>
        <v>3366</v>
      </c>
      <c r="DF960" s="2349">
        <f>R960</f>
        <v>-110</v>
      </c>
      <c r="DG960" s="2349">
        <f>W960</f>
        <v>-111</v>
      </c>
      <c r="DH960" s="2349">
        <f>AB960</f>
        <v>385</v>
      </c>
      <c r="DI960" s="2349">
        <f>AG960</f>
        <v>293</v>
      </c>
      <c r="DJ960" s="2349">
        <f>AL960</f>
        <v>-696</v>
      </c>
      <c r="DK960" s="2349">
        <f>AQ960</f>
        <v>-733</v>
      </c>
      <c r="DL960" s="2349">
        <f>AV960</f>
        <v>-1091</v>
      </c>
      <c r="DM960" s="2349">
        <f>BA960</f>
        <v>132</v>
      </c>
      <c r="DN960" s="2349">
        <f>BF960</f>
        <v>196</v>
      </c>
      <c r="DO960" s="2349">
        <f>BK960</f>
        <v>275</v>
      </c>
      <c r="DP960" s="2349">
        <f>BP960</f>
        <v>-2246</v>
      </c>
      <c r="DQ960" s="2349">
        <f>BU960</f>
        <v>-805</v>
      </c>
      <c r="DR960" s="2349">
        <f>BZ960</f>
        <v>-458</v>
      </c>
      <c r="DS960" s="2349">
        <f>CE960</f>
        <v>-1208</v>
      </c>
      <c r="DT960" s="2349">
        <f>CJ960</f>
        <v>-1856</v>
      </c>
      <c r="DU960" s="2349">
        <f>CO960</f>
        <v>7625</v>
      </c>
      <c r="DV960" s="2349">
        <f>CT960</f>
        <v>-3027</v>
      </c>
      <c r="DW960" s="2349">
        <f t="shared" ref="DW960:DY964" si="1936">CY960</f>
        <v>-2000</v>
      </c>
      <c r="DX960" s="2349">
        <f t="shared" si="1936"/>
        <v>-2500</v>
      </c>
      <c r="DY960" s="2349">
        <f t="shared" si="1936"/>
        <v>-1750</v>
      </c>
      <c r="EK960"/>
      <c r="EL960"/>
      <c r="EM960" s="847"/>
    </row>
    <row r="961" spans="1:148" x14ac:dyDescent="0.2">
      <c r="A961" s="895" t="s">
        <v>1444</v>
      </c>
      <c r="I961" s="847">
        <f>I718</f>
        <v>-14</v>
      </c>
      <c r="J961" s="847">
        <f>J718</f>
        <v>-13</v>
      </c>
      <c r="K961" s="847">
        <f>K718</f>
        <v>-14</v>
      </c>
      <c r="L961" s="847">
        <f>L718</f>
        <v>-14</v>
      </c>
      <c r="M961" s="847">
        <f>SUM(I961:L961)</f>
        <v>-55</v>
      </c>
      <c r="N961" s="847">
        <f>N718</f>
        <v>-15</v>
      </c>
      <c r="O961" s="847">
        <f>O718</f>
        <v>-14</v>
      </c>
      <c r="P961" s="847">
        <f>P718</f>
        <v>-16</v>
      </c>
      <c r="Q961" s="847">
        <f>Q718</f>
        <v>-16</v>
      </c>
      <c r="R961" s="847">
        <f>SUM(N961:Q961)</f>
        <v>-61</v>
      </c>
      <c r="S961" s="847">
        <f>S718</f>
        <v>-16</v>
      </c>
      <c r="T961" s="847">
        <f>T718</f>
        <v>-15</v>
      </c>
      <c r="U961" s="847">
        <f>U718</f>
        <v>-18</v>
      </c>
      <c r="V961" s="847">
        <f>V718</f>
        <v>-16</v>
      </c>
      <c r="W961" s="847">
        <f>SUM(S961:V961)</f>
        <v>-65</v>
      </c>
      <c r="X961" s="847">
        <f>X718</f>
        <v>-17</v>
      </c>
      <c r="Y961" s="847">
        <f>Y718</f>
        <v>-16</v>
      </c>
      <c r="Z961" s="847">
        <f>Z718</f>
        <v>-17</v>
      </c>
      <c r="AA961" s="847">
        <f>AA718</f>
        <v>-18</v>
      </c>
      <c r="AB961" s="847">
        <f>SUM(X961:AA961)</f>
        <v>-68</v>
      </c>
      <c r="AC961" s="847">
        <f>AC718</f>
        <v>-17</v>
      </c>
      <c r="AD961" s="847">
        <f>AD718</f>
        <v>-17</v>
      </c>
      <c r="AE961" s="847">
        <f>AE718</f>
        <v>-20</v>
      </c>
      <c r="AF961" s="847">
        <f>AF718</f>
        <v>-19</v>
      </c>
      <c r="AG961" s="847">
        <f>SUM(AC961:AF961)</f>
        <v>-73</v>
      </c>
      <c r="AH961" s="847">
        <f>AH718</f>
        <v>-19</v>
      </c>
      <c r="AI961" s="847">
        <f>AI718</f>
        <v>-19</v>
      </c>
      <c r="AJ961" s="847">
        <f>AJ718</f>
        <v>-23</v>
      </c>
      <c r="AK961" s="847">
        <f>AK718</f>
        <v>-23</v>
      </c>
      <c r="AL961" s="847">
        <f>SUM(AH961:AK961)</f>
        <v>-84</v>
      </c>
      <c r="AM961" s="847">
        <f>AM718</f>
        <v>-21</v>
      </c>
      <c r="AN961" s="847">
        <f>AN718</f>
        <v>-22</v>
      </c>
      <c r="AO961" s="847">
        <f>AO718</f>
        <v>-26</v>
      </c>
      <c r="AP961" s="847">
        <f>AP718</f>
        <v>-24</v>
      </c>
      <c r="AQ961" s="847">
        <f>SUM(AM961:AP961)</f>
        <v>-93</v>
      </c>
      <c r="AR961" s="847">
        <f>AR718</f>
        <v>-25</v>
      </c>
      <c r="AS961" s="847">
        <f>AS718</f>
        <v>-24</v>
      </c>
      <c r="AT961" s="847">
        <f>AT718</f>
        <v>-28</v>
      </c>
      <c r="AU961" s="847">
        <f>AU718</f>
        <v>-28</v>
      </c>
      <c r="AV961" s="847">
        <f>SUM(AR961:AU961)</f>
        <v>-105</v>
      </c>
      <c r="AW961" s="847">
        <f>AW718</f>
        <v>-27</v>
      </c>
      <c r="AX961" s="847">
        <f>AX718</f>
        <v>-27</v>
      </c>
      <c r="AY961" s="847">
        <f>AY718</f>
        <v>-30</v>
      </c>
      <c r="AZ961" s="847">
        <f>AZ718</f>
        <v>-31</v>
      </c>
      <c r="BA961" s="847">
        <f>SUM(AW961:AZ961)</f>
        <v>-115</v>
      </c>
      <c r="BB961" s="847">
        <f>BB718</f>
        <v>-31</v>
      </c>
      <c r="BC961" s="847">
        <f>BC718</f>
        <v>-30</v>
      </c>
      <c r="BD961" s="847">
        <f>BD718</f>
        <v>-2</v>
      </c>
      <c r="BE961" s="847">
        <f>BE718</f>
        <v>0</v>
      </c>
      <c r="BF961" s="847">
        <f>SUM(BB961:BE961)</f>
        <v>-63</v>
      </c>
      <c r="BG961" s="847">
        <f>BG718</f>
        <v>0</v>
      </c>
      <c r="BH961" s="847">
        <f>BH718</f>
        <v>-14</v>
      </c>
      <c r="BI961" s="847">
        <f>BI718</f>
        <v>-15</v>
      </c>
      <c r="BJ961" s="847">
        <f>BJ718</f>
        <v>-14</v>
      </c>
      <c r="BK961" s="847">
        <f>SUM(BG961:BJ961)</f>
        <v>-43</v>
      </c>
      <c r="BL961" s="847">
        <f>BL718</f>
        <v>-32</v>
      </c>
      <c r="BM961" s="847">
        <f>BM718</f>
        <v>-32</v>
      </c>
      <c r="BN961" s="847">
        <f>BN718</f>
        <v>-36</v>
      </c>
      <c r="BO961" s="847">
        <f>BO718</f>
        <v>-34</v>
      </c>
      <c r="BP961" s="847">
        <f>SUM(BL961:BO961)</f>
        <v>-134</v>
      </c>
      <c r="BQ961" s="847">
        <f>BQ718</f>
        <v>-34</v>
      </c>
      <c r="BR961" s="847">
        <f>BR718</f>
        <v>-33</v>
      </c>
      <c r="BS961" s="847">
        <f>BS718</f>
        <v>-43</v>
      </c>
      <c r="BT961" s="847">
        <f>BT718</f>
        <v>-81</v>
      </c>
      <c r="BU961" s="847">
        <f>SUM(BQ961:BT961)</f>
        <v>-191</v>
      </c>
      <c r="BV961" s="847">
        <f t="shared" ref="BV961:DA961" si="1937">BV718</f>
        <v>-41</v>
      </c>
      <c r="BW961" s="847">
        <f t="shared" si="1937"/>
        <v>-52</v>
      </c>
      <c r="BX961" s="847">
        <f t="shared" si="1937"/>
        <v>-51</v>
      </c>
      <c r="BY961" s="847">
        <f t="shared" si="1937"/>
        <v>-52</v>
      </c>
      <c r="BZ961" s="847">
        <f t="shared" si="1937"/>
        <v>-196</v>
      </c>
      <c r="CA961" s="847">
        <f t="shared" si="1937"/>
        <v>-50</v>
      </c>
      <c r="CB961" s="847">
        <f t="shared" si="1937"/>
        <v>-59</v>
      </c>
      <c r="CC961" s="847">
        <f t="shared" si="1937"/>
        <v>-58</v>
      </c>
      <c r="CD961" s="847">
        <f t="shared" si="1937"/>
        <v>-56</v>
      </c>
      <c r="CE961" s="847">
        <f t="shared" si="1937"/>
        <v>-223</v>
      </c>
      <c r="CF961" s="847">
        <f t="shared" si="1937"/>
        <v>-56</v>
      </c>
      <c r="CG961" s="847">
        <f t="shared" si="1937"/>
        <v>-68</v>
      </c>
      <c r="CH961" s="847">
        <f t="shared" si="1937"/>
        <v>-65</v>
      </c>
      <c r="CI961" s="847">
        <f t="shared" si="1937"/>
        <v>-64</v>
      </c>
      <c r="CJ961" s="847">
        <f t="shared" si="1937"/>
        <v>-253</v>
      </c>
      <c r="CK961" s="847">
        <f t="shared" si="1937"/>
        <v>-64</v>
      </c>
      <c r="CL961" s="847">
        <f t="shared" si="1937"/>
        <v>-76</v>
      </c>
      <c r="CM961" s="847">
        <f t="shared" si="1937"/>
        <v>-117</v>
      </c>
      <c r="CN961" s="847">
        <f t="shared" si="1937"/>
        <v>-117</v>
      </c>
      <c r="CO961" s="847">
        <f t="shared" si="1937"/>
        <v>-374</v>
      </c>
      <c r="CP961" s="847">
        <f t="shared" si="1937"/>
        <v>-115</v>
      </c>
      <c r="CQ961" s="847">
        <f t="shared" si="1937"/>
        <v>-125</v>
      </c>
      <c r="CR961" s="847">
        <f t="shared" si="1937"/>
        <v>-122</v>
      </c>
      <c r="CS961" s="847">
        <f t="shared" si="1937"/>
        <v>-120.48300000000002</v>
      </c>
      <c r="CT961" s="847">
        <f t="shared" si="1937"/>
        <v>-482.483</v>
      </c>
      <c r="CU961" s="847">
        <f t="shared" si="1937"/>
        <v>-119.46942857142859</v>
      </c>
      <c r="CV961" s="847">
        <f t="shared" si="1937"/>
        <v>-130.33306306620213</v>
      </c>
      <c r="CW961" s="847">
        <f t="shared" si="1937"/>
        <v>-129.28060368828082</v>
      </c>
      <c r="CX961" s="847">
        <f t="shared" si="1937"/>
        <v>-128.25824088055273</v>
      </c>
      <c r="CY961" s="847">
        <f t="shared" si="1937"/>
        <v>-507.34133620646435</v>
      </c>
      <c r="CZ961" s="847">
        <f t="shared" si="1937"/>
        <v>-506.12254994512983</v>
      </c>
      <c r="DA961" s="847">
        <f t="shared" si="1937"/>
        <v>-494.27573106476876</v>
      </c>
      <c r="DD961" s="2360" t="s">
        <v>1444</v>
      </c>
      <c r="DE961" s="2349">
        <f>M961</f>
        <v>-55</v>
      </c>
      <c r="DF961" s="2349">
        <f>R961</f>
        <v>-61</v>
      </c>
      <c r="DG961" s="2349">
        <f>W961</f>
        <v>-65</v>
      </c>
      <c r="DH961" s="2349">
        <f>AB961</f>
        <v>-68</v>
      </c>
      <c r="DI961" s="2349">
        <f>AG961</f>
        <v>-73</v>
      </c>
      <c r="DJ961" s="2349">
        <f>AL961</f>
        <v>-84</v>
      </c>
      <c r="DK961" s="2349">
        <f>AQ961</f>
        <v>-93</v>
      </c>
      <c r="DL961" s="2349">
        <f>AV961</f>
        <v>-105</v>
      </c>
      <c r="DM961" s="2349">
        <f>BA961</f>
        <v>-115</v>
      </c>
      <c r="DN961" s="2349">
        <f>BF961</f>
        <v>-63</v>
      </c>
      <c r="DO961" s="2349">
        <f>BK961</f>
        <v>-43</v>
      </c>
      <c r="DP961" s="2349">
        <f>BP961</f>
        <v>-134</v>
      </c>
      <c r="DQ961" s="2349">
        <f>BU961</f>
        <v>-191</v>
      </c>
      <c r="DR961" s="2349">
        <f>BZ961</f>
        <v>-196</v>
      </c>
      <c r="DS961" s="2349">
        <f>CE961</f>
        <v>-223</v>
      </c>
      <c r="DT961" s="2349">
        <f>CJ961</f>
        <v>-253</v>
      </c>
      <c r="DU961" s="2349">
        <f>CO961</f>
        <v>-374</v>
      </c>
      <c r="DV961" s="2349">
        <f>CT961</f>
        <v>-482.483</v>
      </c>
      <c r="DW961" s="2349">
        <f t="shared" si="1936"/>
        <v>-507.34133620646435</v>
      </c>
      <c r="DX961" s="2349">
        <f t="shared" si="1936"/>
        <v>-506.12254994512983</v>
      </c>
      <c r="DY961" s="2349">
        <f t="shared" si="1936"/>
        <v>-494.27573106476876</v>
      </c>
      <c r="EK961"/>
      <c r="EL961"/>
      <c r="EM961" s="847"/>
    </row>
    <row r="962" spans="1:148" x14ac:dyDescent="0.2">
      <c r="A962" s="895" t="s">
        <v>1746</v>
      </c>
      <c r="B962" s="889"/>
      <c r="C962" s="889"/>
      <c r="D962" s="889"/>
      <c r="E962" s="889"/>
      <c r="F962" s="889"/>
      <c r="G962" s="889"/>
      <c r="H962" s="889"/>
      <c r="I962" s="889">
        <v>0</v>
      </c>
      <c r="J962" s="889">
        <v>0</v>
      </c>
      <c r="K962" s="889">
        <v>0</v>
      </c>
      <c r="L962" s="889">
        <v>0</v>
      </c>
      <c r="M962" s="889">
        <f>SUM(I962:L962)</f>
        <v>0</v>
      </c>
      <c r="N962" s="889">
        <v>0</v>
      </c>
      <c r="O962" s="889">
        <v>0</v>
      </c>
      <c r="P962" s="889">
        <v>0</v>
      </c>
      <c r="Q962" s="889">
        <v>0</v>
      </c>
      <c r="R962" s="889">
        <f>SUM(N962:Q962)</f>
        <v>0</v>
      </c>
      <c r="S962" s="889">
        <v>0</v>
      </c>
      <c r="T962" s="889">
        <v>0</v>
      </c>
      <c r="U962" s="889">
        <v>0</v>
      </c>
      <c r="V962" s="889">
        <v>0</v>
      </c>
      <c r="W962" s="889">
        <f>SUM(S962:V962)</f>
        <v>0</v>
      </c>
      <c r="X962" s="889">
        <v>0</v>
      </c>
      <c r="Y962" s="889">
        <v>0</v>
      </c>
      <c r="Z962" s="889">
        <v>0</v>
      </c>
      <c r="AA962" s="889">
        <v>0</v>
      </c>
      <c r="AB962" s="889">
        <f>SUM(X962:AA962)</f>
        <v>0</v>
      </c>
      <c r="AC962" s="889">
        <v>0</v>
      </c>
      <c r="AD962" s="889">
        <v>0</v>
      </c>
      <c r="AE962" s="889">
        <v>0</v>
      </c>
      <c r="AF962" s="889">
        <v>0</v>
      </c>
      <c r="AG962" s="889">
        <f>SUM(AC962:AF962)</f>
        <v>0</v>
      </c>
      <c r="AH962" s="889">
        <v>0</v>
      </c>
      <c r="AI962" s="889">
        <v>0</v>
      </c>
      <c r="AJ962" s="889">
        <v>0</v>
      </c>
      <c r="AK962" s="889">
        <v>0</v>
      </c>
      <c r="AL962" s="889">
        <f>SUM(AH962:AK962)</f>
        <v>0</v>
      </c>
      <c r="AM962" s="889">
        <v>0</v>
      </c>
      <c r="AN962" s="889">
        <v>0</v>
      </c>
      <c r="AO962" s="889">
        <v>0</v>
      </c>
      <c r="AP962" s="889">
        <v>0</v>
      </c>
      <c r="AQ962" s="889">
        <f>SUM(AM962:AP962)</f>
        <v>0</v>
      </c>
      <c r="AR962" s="889">
        <v>0</v>
      </c>
      <c r="AS962" s="889">
        <v>0</v>
      </c>
      <c r="AT962" s="889">
        <v>0</v>
      </c>
      <c r="AU962" s="889">
        <v>0</v>
      </c>
      <c r="AV962" s="889">
        <f>SUM(AR962:AU962)</f>
        <v>0</v>
      </c>
      <c r="AW962" s="889">
        <v>0</v>
      </c>
      <c r="AX962" s="889">
        <v>0</v>
      </c>
      <c r="AY962" s="889">
        <v>0</v>
      </c>
      <c r="AZ962" s="889">
        <v>0</v>
      </c>
      <c r="BA962" s="889">
        <f>SUM(AW962:AZ962)</f>
        <v>0</v>
      </c>
      <c r="BB962" s="889">
        <v>0</v>
      </c>
      <c r="BC962" s="889">
        <v>0</v>
      </c>
      <c r="BD962" s="889">
        <v>0</v>
      </c>
      <c r="BE962" s="889">
        <v>0</v>
      </c>
      <c r="BF962" s="889">
        <f>SUM(BB962:BE962)</f>
        <v>0</v>
      </c>
      <c r="BG962" s="889">
        <v>0</v>
      </c>
      <c r="BH962" s="889">
        <v>0</v>
      </c>
      <c r="BI962" s="889">
        <v>0</v>
      </c>
      <c r="BJ962" s="889">
        <v>0</v>
      </c>
      <c r="BK962" s="889">
        <f>SUM(BG962:BJ962)</f>
        <v>0</v>
      </c>
      <c r="BL962" s="889">
        <v>0</v>
      </c>
      <c r="BM962" s="889">
        <v>0</v>
      </c>
      <c r="BN962" s="889">
        <v>0</v>
      </c>
      <c r="BO962" s="889">
        <v>0</v>
      </c>
      <c r="BP962" s="889">
        <f>SUM(BL962:BO962)</f>
        <v>0</v>
      </c>
      <c r="BQ962" s="889">
        <v>0</v>
      </c>
      <c r="BR962" s="889">
        <v>0</v>
      </c>
      <c r="BS962" s="889">
        <v>0</v>
      </c>
      <c r="BT962" s="889">
        <v>0</v>
      </c>
      <c r="BU962" s="889">
        <v>0</v>
      </c>
      <c r="BV962" s="889">
        <v>0</v>
      </c>
      <c r="BW962" s="889">
        <v>0</v>
      </c>
      <c r="BX962" s="889">
        <v>0</v>
      </c>
      <c r="BY962" s="889">
        <v>0</v>
      </c>
      <c r="BZ962" s="889">
        <v>0</v>
      </c>
      <c r="CA962" s="889">
        <v>0</v>
      </c>
      <c r="CB962" s="889">
        <v>0</v>
      </c>
      <c r="CC962" s="889">
        <v>0</v>
      </c>
      <c r="CD962" s="889">
        <v>0</v>
      </c>
      <c r="CE962" s="889">
        <v>0</v>
      </c>
      <c r="CF962" s="889">
        <v>0</v>
      </c>
      <c r="CG962" s="889">
        <v>0</v>
      </c>
      <c r="CH962" s="889">
        <v>0</v>
      </c>
      <c r="CI962" s="889">
        <v>0</v>
      </c>
      <c r="CJ962" s="889">
        <v>0</v>
      </c>
      <c r="CK962" s="889">
        <v>0</v>
      </c>
      <c r="CL962" s="889">
        <v>0</v>
      </c>
      <c r="CM962" s="889">
        <v>0</v>
      </c>
      <c r="CN962" s="889">
        <v>0</v>
      </c>
      <c r="CO962" s="889">
        <v>0</v>
      </c>
      <c r="CP962" s="889">
        <v>0</v>
      </c>
      <c r="CQ962" s="889">
        <v>0</v>
      </c>
      <c r="CR962" s="889">
        <v>0</v>
      </c>
      <c r="CS962" s="889">
        <v>0</v>
      </c>
      <c r="CT962" s="889">
        <v>0</v>
      </c>
      <c r="CU962" s="889">
        <v>0</v>
      </c>
      <c r="CV962" s="889">
        <v>0</v>
      </c>
      <c r="CW962" s="889">
        <v>0</v>
      </c>
      <c r="CX962" s="889">
        <v>0</v>
      </c>
      <c r="CY962" s="889">
        <v>0</v>
      </c>
      <c r="CZ962" s="889">
        <v>0</v>
      </c>
      <c r="DA962" s="889">
        <v>0</v>
      </c>
      <c r="DD962" s="2360" t="s">
        <v>1746</v>
      </c>
      <c r="DE962" s="2349">
        <f>M962</f>
        <v>0</v>
      </c>
      <c r="DF962" s="2349">
        <f>R962</f>
        <v>0</v>
      </c>
      <c r="DG962" s="2349">
        <f>W962</f>
        <v>0</v>
      </c>
      <c r="DH962" s="2349">
        <f>AB962</f>
        <v>0</v>
      </c>
      <c r="DI962" s="2349">
        <f>AG962</f>
        <v>0</v>
      </c>
      <c r="DJ962" s="2349">
        <f>AL962</f>
        <v>0</v>
      </c>
      <c r="DK962" s="2349">
        <f>AQ962</f>
        <v>0</v>
      </c>
      <c r="DL962" s="2349">
        <f>AV962</f>
        <v>0</v>
      </c>
      <c r="DM962" s="2349">
        <f>BA962</f>
        <v>0</v>
      </c>
      <c r="DN962" s="2349">
        <f>BF962</f>
        <v>0</v>
      </c>
      <c r="DO962" s="2349">
        <f>BK962</f>
        <v>0</v>
      </c>
      <c r="DP962" s="2349">
        <f>BP962</f>
        <v>0</v>
      </c>
      <c r="DQ962" s="2349">
        <f>BU962</f>
        <v>0</v>
      </c>
      <c r="DR962" s="2349">
        <f>BZ962</f>
        <v>0</v>
      </c>
      <c r="DS962" s="2349">
        <f>CE962</f>
        <v>0</v>
      </c>
      <c r="DT962" s="2349">
        <f>CJ962</f>
        <v>0</v>
      </c>
      <c r="DU962" s="2349">
        <f>CO962</f>
        <v>0</v>
      </c>
      <c r="DV962" s="2349">
        <f>CT962</f>
        <v>0</v>
      </c>
      <c r="DW962" s="2349">
        <f t="shared" si="1936"/>
        <v>0</v>
      </c>
      <c r="DX962" s="2349">
        <f t="shared" si="1936"/>
        <v>0</v>
      </c>
      <c r="DY962" s="2349">
        <f t="shared" si="1936"/>
        <v>0</v>
      </c>
      <c r="EK962"/>
      <c r="EL962"/>
      <c r="EM962" s="847"/>
    </row>
    <row r="963" spans="1:148" x14ac:dyDescent="0.2">
      <c r="A963" s="895" t="s">
        <v>614</v>
      </c>
      <c r="B963" s="852"/>
      <c r="C963" s="852"/>
      <c r="D963" s="852"/>
      <c r="E963" s="852"/>
      <c r="F963" s="852"/>
      <c r="G963" s="852"/>
      <c r="H963" s="852"/>
      <c r="I963" s="852">
        <f>I780-(H780+I718)</f>
        <v>558</v>
      </c>
      <c r="J963" s="852">
        <f>J780-(I780+J718)</f>
        <v>110</v>
      </c>
      <c r="K963" s="852">
        <f>K780-(J780+K718)</f>
        <v>88</v>
      </c>
      <c r="L963" s="852">
        <f>L780-(K780+L718)</f>
        <v>150</v>
      </c>
      <c r="M963" s="852">
        <f>SUM(I963:L963)</f>
        <v>906</v>
      </c>
      <c r="N963" s="852">
        <f>N780-(M780+N718)</f>
        <v>59</v>
      </c>
      <c r="O963" s="852">
        <f>O780-(N780+O718)</f>
        <v>104</v>
      </c>
      <c r="P963" s="852">
        <f>P780-(O780+P718)</f>
        <v>93</v>
      </c>
      <c r="Q963" s="852">
        <f>Q780-(P780+Q718)</f>
        <v>-105</v>
      </c>
      <c r="R963" s="852">
        <f>SUM(N963:Q963)</f>
        <v>151</v>
      </c>
      <c r="S963" s="852">
        <f>S780-(R780+S718)</f>
        <v>68</v>
      </c>
      <c r="T963" s="852">
        <f>T780-(S780+T718)</f>
        <v>125</v>
      </c>
      <c r="U963" s="852">
        <f>U780-(T780+U718)</f>
        <v>99</v>
      </c>
      <c r="V963" s="852">
        <f>V780-(U780+V718)</f>
        <v>-42</v>
      </c>
      <c r="W963" s="852">
        <f>SUM(S963:V963)</f>
        <v>250</v>
      </c>
      <c r="X963" s="852">
        <f>X780-(W780+X718)</f>
        <v>106</v>
      </c>
      <c r="Y963" s="852">
        <f>Y780-(X780+Y718)</f>
        <v>106</v>
      </c>
      <c r="Z963" s="852">
        <f>Z780-(Y780+Z718)</f>
        <v>86</v>
      </c>
      <c r="AA963" s="852">
        <f>AA780-(Z780+AA718)</f>
        <v>149</v>
      </c>
      <c r="AB963" s="852">
        <f>SUM(X963:AA963)</f>
        <v>447</v>
      </c>
      <c r="AC963" s="852">
        <f>AC780-(AB780+AC718)</f>
        <v>71</v>
      </c>
      <c r="AD963" s="852">
        <f>AD780-(AC780+AD718)</f>
        <v>119</v>
      </c>
      <c r="AE963" s="852">
        <f>AE780-(AD780+AE718)</f>
        <v>163</v>
      </c>
      <c r="AF963" s="852">
        <f>AF780-(AE780+AF718)</f>
        <v>166</v>
      </c>
      <c r="AG963" s="852">
        <f>SUM(AC963:AF963)</f>
        <v>519</v>
      </c>
      <c r="AH963" s="852">
        <f>AH780-(AG780+AH718)</f>
        <v>123</v>
      </c>
      <c r="AI963" s="852">
        <f>AI780-(AH780+AI718)</f>
        <v>136</v>
      </c>
      <c r="AJ963" s="852">
        <f>AJ780-(AI780+AJ718)</f>
        <v>142</v>
      </c>
      <c r="AK963" s="852">
        <f>AK780-(AJ780+AK718)</f>
        <v>232</v>
      </c>
      <c r="AL963" s="852">
        <f>SUM(AH963:AK963)</f>
        <v>633</v>
      </c>
      <c r="AM963" s="852">
        <f>AM780-(AL780+AM718)</f>
        <v>-38</v>
      </c>
      <c r="AN963" s="852">
        <f>AN780-(AM780+AN718)</f>
        <v>179</v>
      </c>
      <c r="AO963" s="852">
        <f>AO780-(AN780+AO718)</f>
        <v>132</v>
      </c>
      <c r="AP963" s="852">
        <f>AP780-(AO780+AP718)</f>
        <v>180</v>
      </c>
      <c r="AQ963" s="852">
        <f>SUM(AM963:AP963)</f>
        <v>453</v>
      </c>
      <c r="AR963" s="852">
        <f>AR780-(AQ780+AR718)</f>
        <v>92</v>
      </c>
      <c r="AS963" s="852">
        <f>AS780-(AR780+AS718)</f>
        <v>191</v>
      </c>
      <c r="AT963" s="852">
        <f>AT780-(AS780+AT718)</f>
        <v>122</v>
      </c>
      <c r="AU963" s="852">
        <f>AU780-(AT780+AU718)</f>
        <v>172</v>
      </c>
      <c r="AV963" s="852">
        <f>SUM(AR963:AU963)</f>
        <v>577</v>
      </c>
      <c r="AW963" s="852">
        <f>AW780-(AV780+AW718)</f>
        <v>125</v>
      </c>
      <c r="AX963" s="852">
        <f>AX780-(AW780+AX718)</f>
        <v>146</v>
      </c>
      <c r="AY963" s="852">
        <f>AY780-(AX780+AY718)</f>
        <v>91</v>
      </c>
      <c r="AZ963" s="852">
        <f>AZ780-(AY780+AZ718)</f>
        <v>-14</v>
      </c>
      <c r="BA963" s="852">
        <f>SUM(AW963:AZ963)</f>
        <v>348</v>
      </c>
      <c r="BB963" s="852">
        <v>0</v>
      </c>
      <c r="BC963" s="852">
        <v>0</v>
      </c>
      <c r="BD963" s="852">
        <v>0</v>
      </c>
      <c r="BE963" s="852">
        <v>0</v>
      </c>
      <c r="BF963" s="852">
        <f>SUM(BB963:BE963)</f>
        <v>0</v>
      </c>
      <c r="BG963" s="852">
        <v>0</v>
      </c>
      <c r="BH963" s="852">
        <v>0</v>
      </c>
      <c r="BI963" s="852">
        <v>0</v>
      </c>
      <c r="BJ963" s="852">
        <v>0</v>
      </c>
      <c r="BK963" s="852">
        <f>SUM(BG963:BJ963)</f>
        <v>0</v>
      </c>
      <c r="BL963" s="852">
        <v>0</v>
      </c>
      <c r="BM963" s="852">
        <v>0</v>
      </c>
      <c r="BN963" s="852">
        <v>0</v>
      </c>
      <c r="BO963" s="852">
        <v>0</v>
      </c>
      <c r="BP963" s="852">
        <f>SUM(BL963:BO963)</f>
        <v>0</v>
      </c>
      <c r="BQ963" s="852">
        <v>0</v>
      </c>
      <c r="BR963" s="852">
        <v>0</v>
      </c>
      <c r="BS963" s="852">
        <v>0</v>
      </c>
      <c r="BT963" s="852">
        <v>0</v>
      </c>
      <c r="BU963" s="852">
        <v>0</v>
      </c>
      <c r="BV963" s="852">
        <v>0</v>
      </c>
      <c r="BW963" s="852">
        <v>0</v>
      </c>
      <c r="BX963" s="852">
        <v>0</v>
      </c>
      <c r="BY963" s="852">
        <v>0</v>
      </c>
      <c r="BZ963" s="852">
        <v>0</v>
      </c>
      <c r="CA963" s="852">
        <v>0</v>
      </c>
      <c r="CB963" s="852">
        <v>0</v>
      </c>
      <c r="CC963" s="852">
        <v>0</v>
      </c>
      <c r="CD963" s="852">
        <v>0</v>
      </c>
      <c r="CE963" s="852">
        <v>0</v>
      </c>
      <c r="CF963" s="852">
        <v>0</v>
      </c>
      <c r="CG963" s="852">
        <v>0</v>
      </c>
      <c r="CH963" s="852">
        <v>0</v>
      </c>
      <c r="CI963" s="852">
        <v>0</v>
      </c>
      <c r="CJ963" s="852">
        <v>0</v>
      </c>
      <c r="CK963" s="852">
        <v>0</v>
      </c>
      <c r="CL963" s="852">
        <v>0</v>
      </c>
      <c r="CM963" s="852">
        <v>0</v>
      </c>
      <c r="CN963" s="852">
        <v>0</v>
      </c>
      <c r="CO963" s="852">
        <v>0</v>
      </c>
      <c r="CP963" s="852">
        <v>0</v>
      </c>
      <c r="CQ963" s="852">
        <v>0</v>
      </c>
      <c r="CR963" s="852">
        <v>0</v>
      </c>
      <c r="CS963" s="852">
        <v>0</v>
      </c>
      <c r="CT963" s="852">
        <v>0</v>
      </c>
      <c r="CU963" s="852">
        <v>0</v>
      </c>
      <c r="CV963" s="852">
        <v>0</v>
      </c>
      <c r="CW963" s="852">
        <v>0</v>
      </c>
      <c r="CX963" s="852">
        <v>0</v>
      </c>
      <c r="CY963" s="852">
        <v>0</v>
      </c>
      <c r="CZ963" s="852">
        <v>0</v>
      </c>
      <c r="DA963" s="852">
        <v>0</v>
      </c>
      <c r="DD963" s="2360" t="s">
        <v>614</v>
      </c>
      <c r="DE963" s="852">
        <f>M963</f>
        <v>906</v>
      </c>
      <c r="DF963" s="852">
        <f>R963</f>
        <v>151</v>
      </c>
      <c r="DG963" s="852">
        <f>W963</f>
        <v>250</v>
      </c>
      <c r="DH963" s="852">
        <f>AB963</f>
        <v>447</v>
      </c>
      <c r="DI963" s="852">
        <f>AG963</f>
        <v>519</v>
      </c>
      <c r="DJ963" s="852">
        <f>AL963</f>
        <v>633</v>
      </c>
      <c r="DK963" s="852">
        <f>AQ963</f>
        <v>453</v>
      </c>
      <c r="DL963" s="852">
        <f>AV963</f>
        <v>577</v>
      </c>
      <c r="DM963" s="852">
        <f>BA963</f>
        <v>348</v>
      </c>
      <c r="DN963" s="852">
        <f>BF963</f>
        <v>0</v>
      </c>
      <c r="DO963" s="852">
        <f>BK963</f>
        <v>0</v>
      </c>
      <c r="DP963" s="852">
        <f>BP963</f>
        <v>0</v>
      </c>
      <c r="DQ963" s="852">
        <f>BU963</f>
        <v>0</v>
      </c>
      <c r="DR963" s="852">
        <f>BZ963</f>
        <v>0</v>
      </c>
      <c r="DS963" s="852">
        <f>CE963</f>
        <v>0</v>
      </c>
      <c r="DT963" s="852">
        <f>CJ963</f>
        <v>0</v>
      </c>
      <c r="DU963" s="852">
        <f>CO963</f>
        <v>0</v>
      </c>
      <c r="DV963" s="852">
        <f>CT963</f>
        <v>0</v>
      </c>
      <c r="DW963" s="852">
        <f t="shared" si="1936"/>
        <v>0</v>
      </c>
      <c r="DX963" s="852">
        <f t="shared" si="1936"/>
        <v>0</v>
      </c>
      <c r="DY963" s="852">
        <f t="shared" si="1936"/>
        <v>0</v>
      </c>
      <c r="EK963"/>
      <c r="EL963"/>
      <c r="EM963" s="847"/>
    </row>
    <row r="964" spans="1:148" x14ac:dyDescent="0.2">
      <c r="A964" s="2360" t="s">
        <v>615</v>
      </c>
      <c r="B964" s="2349"/>
      <c r="C964" s="2349"/>
      <c r="D964" s="2349"/>
      <c r="E964" s="2349"/>
      <c r="F964" s="2349"/>
      <c r="G964" s="2349"/>
      <c r="H964" s="2349"/>
      <c r="I964" s="2349">
        <f>(I784-H784)-(I51+I960+I961)</f>
        <v>-134</v>
      </c>
      <c r="J964" s="2349">
        <f>(J784-I784)-(J51+J960+J961)</f>
        <v>-126</v>
      </c>
      <c r="K964" s="2349">
        <f>(K784-J784)-(K51+K960+K961)</f>
        <v>-111</v>
      </c>
      <c r="L964" s="2349">
        <f>(L784-K784)-(L51+L960+L961)</f>
        <v>-152</v>
      </c>
      <c r="M964" s="2349">
        <f>SUM(I964:L964)</f>
        <v>-523</v>
      </c>
      <c r="N964" s="2349">
        <f>(N784-M784)-(N51+N960+N961)</f>
        <v>89.999999999999986</v>
      </c>
      <c r="O964" s="2349">
        <f>(O784-N784)-(O51+O960+O961)</f>
        <v>-90</v>
      </c>
      <c r="P964" s="2349">
        <f>(P784-O784)-(P51+P960+P961)</f>
        <v>-60.000000000000014</v>
      </c>
      <c r="Q964" s="2349">
        <f>(Q784-P784)-(Q51+Q960+Q961)</f>
        <v>206</v>
      </c>
      <c r="R964" s="2349">
        <f>SUM(N964:Q964)</f>
        <v>145.99999999999997</v>
      </c>
      <c r="S964" s="2349">
        <f>(S784-R784)-(S51+S960+S961)</f>
        <v>135</v>
      </c>
      <c r="T964" s="2349">
        <f>(T784-S784)-(T51+T960+T961)</f>
        <v>-119</v>
      </c>
      <c r="U964" s="2349">
        <f>(U784-T784)-(U51+U960+U961)</f>
        <v>-113</v>
      </c>
      <c r="V964" s="2349">
        <f>(V784-U784)-(V51+V960+V961)</f>
        <v>-43</v>
      </c>
      <c r="W964" s="2349">
        <f>SUM(S964:V964)</f>
        <v>-140</v>
      </c>
      <c r="X964" s="2349">
        <f>(X784-W784)-(X51+X960+X961)</f>
        <v>-278</v>
      </c>
      <c r="Y964" s="2349">
        <f>(Y784-X784)-(Y51+Y960+Y961)</f>
        <v>-127</v>
      </c>
      <c r="Z964" s="2349">
        <f>(Z784-Y784)-(Z51+Z960+Z961)</f>
        <v>-146</v>
      </c>
      <c r="AA964" s="2349">
        <f>(AA784-Z784)-(AA51+AA960+AA961)</f>
        <v>-152</v>
      </c>
      <c r="AB964" s="2349">
        <f>SUM(X964:AA964)</f>
        <v>-703</v>
      </c>
      <c r="AC964" s="2349">
        <f>(AC784-AB784)-(AC51+AC960+AC961)</f>
        <v>-193</v>
      </c>
      <c r="AD964" s="2349">
        <f>(AD784-AC784)-(AD51+AD960+AD961)</f>
        <v>-156</v>
      </c>
      <c r="AE964" s="2349">
        <f>(AE784-AD784)-(AE51+AE960+AE961)</f>
        <v>-133</v>
      </c>
      <c r="AF964" s="2349">
        <f>(AF784-AE784)-(AF51+AF960+AF961)</f>
        <v>-149</v>
      </c>
      <c r="AG964" s="2349">
        <f>SUM(AC964:AF964)</f>
        <v>-631</v>
      </c>
      <c r="AH964" s="2349">
        <f>(AH784-AG784)-(AH51+AH960+AH961)</f>
        <v>-265</v>
      </c>
      <c r="AI964" s="2349">
        <f>(AI784-AH784)-(AI51+AI960+AI961)</f>
        <v>-167</v>
      </c>
      <c r="AJ964" s="2349">
        <f>(AJ784-AI784)-(AJ51+AJ960+AJ961)</f>
        <v>-131</v>
      </c>
      <c r="AK964" s="2349">
        <f>(AK784-AJ784)-(AK51+AK960+AK961)</f>
        <v>-221</v>
      </c>
      <c r="AL964" s="2349">
        <f>SUM(AH964:AK964)</f>
        <v>-784</v>
      </c>
      <c r="AM964" s="2349">
        <f>(AM784-AL784)-(AM51+AM960+AM961)</f>
        <v>55</v>
      </c>
      <c r="AN964" s="2349">
        <f>(AN784-AM784)-(AN51+AN960+AN961)</f>
        <v>-183</v>
      </c>
      <c r="AO964" s="2349">
        <f>(AO784-AN784)-(AO51+AO960+AO961)</f>
        <v>-128</v>
      </c>
      <c r="AP964" s="2349">
        <f>(AP784-AO784)-(AP51+AP960+AP961)</f>
        <v>-253</v>
      </c>
      <c r="AQ964" s="2349">
        <f>SUM(AM964:AP964)</f>
        <v>-509</v>
      </c>
      <c r="AR964" s="2349">
        <f>(AR784-AQ784)-(AR51+AR960+AR961)</f>
        <v>-249</v>
      </c>
      <c r="AS964" s="2349">
        <f>(AS784-AR784)-(AS51+AS960+AS961)</f>
        <v>-260</v>
      </c>
      <c r="AT964" s="2349">
        <f>(AT784-AS784)-(AT51+AT960+AT961)</f>
        <v>-176</v>
      </c>
      <c r="AU964" s="2349">
        <f>(AU784-AT784)-(AU51+AU960+AU961)</f>
        <v>-157</v>
      </c>
      <c r="AV964" s="2349">
        <f>SUM(AR964:AU964)</f>
        <v>-842</v>
      </c>
      <c r="AW964" s="2349">
        <f>(AW784-AV784)-(AW51+AW960+AW961)</f>
        <v>-122</v>
      </c>
      <c r="AX964" s="2349">
        <f>(AX784-AW784)-(AX51+AX960+AX961)</f>
        <v>-172</v>
      </c>
      <c r="AY964" s="2349">
        <f>(AY784-AX784)-(AY51+AY960+AY961)</f>
        <v>-146</v>
      </c>
      <c r="AZ964" s="2349">
        <f>(AZ784-AY784)-(AZ51+AZ960+AZ961)</f>
        <v>-123</v>
      </c>
      <c r="BA964" s="2349">
        <f>SUM(AW964:AZ964)</f>
        <v>-563</v>
      </c>
      <c r="BB964" s="2349">
        <f>(BB784-BA784)-(BB51+BB960+BB961)</f>
        <v>-64</v>
      </c>
      <c r="BC964" s="2349">
        <f>(BC784-BB784)-(BC51+BC960+BC961)</f>
        <v>4</v>
      </c>
      <c r="BD964" s="2349">
        <f>(BD784-BC784)-(BD51+BD960+BD961)</f>
        <v>-335.2</v>
      </c>
      <c r="BE964" s="2349">
        <f>(BE784-BD784)-(BE51+BE960+BE961)</f>
        <v>-55</v>
      </c>
      <c r="BF964" s="2349">
        <f>SUM(BB964:BE964)</f>
        <v>-450.2</v>
      </c>
      <c r="BG964" s="2349">
        <f>-BG51-BG960-BG961-BG783+(BG784-BF784)</f>
        <v>-152</v>
      </c>
      <c r="BH964" s="2349">
        <f>(BH784-BG784)-(BH51+BH960+BH961)</f>
        <v>-8</v>
      </c>
      <c r="BI964" s="2349">
        <f>(BI784-BH784)-(BI51+BI960+BI961)</f>
        <v>19</v>
      </c>
      <c r="BJ964" s="2349">
        <f>(BJ784-BI784)-(BJ51+BJ960+BJ961)</f>
        <v>-34</v>
      </c>
      <c r="BK964" s="2349">
        <f>SUM(BG964:BJ964)</f>
        <v>-175</v>
      </c>
      <c r="BL964" s="2349">
        <f>(BL784-BK784)-(BL51+BL960+BL961)</f>
        <v>-28</v>
      </c>
      <c r="BM964" s="2349">
        <f>(BM784-BL784)-(BM51+BM960+BM961)</f>
        <v>-16</v>
      </c>
      <c r="BN964" s="2349">
        <f>(BN784-BM784)-(BN51+BN960+BN961)</f>
        <v>-307</v>
      </c>
      <c r="BO964" s="2349">
        <f>(BO784-BN784)-(BO51+BO960+BO961)</f>
        <v>-110</v>
      </c>
      <c r="BP964" s="2349">
        <f>SUM(BL964:BO964)</f>
        <v>-461</v>
      </c>
      <c r="BQ964" s="2349">
        <f>(BQ784-BP784)-(BQ51+BQ960+BQ961)</f>
        <v>-23</v>
      </c>
      <c r="BR964" s="2349">
        <f>(BR784-BQ784)-(BR51+BR960+BR961)</f>
        <v>-39</v>
      </c>
      <c r="BS964" s="2349">
        <f>(BS784-BR784)-(BS51+BS960+BS961)</f>
        <v>3</v>
      </c>
      <c r="BT964" s="2349">
        <f>(BT784-BS784)-(BT51+BT960+BT961)</f>
        <v>-20</v>
      </c>
      <c r="BU964" s="2349">
        <f>+SUM(BQ964:BT964)</f>
        <v>-79</v>
      </c>
      <c r="BV964" s="2349">
        <f>(BV784-BU784)-(BV51+BV960+BV961)</f>
        <v>-57</v>
      </c>
      <c r="BW964" s="2349">
        <f>(BW784-BV784)-(BW51+BW960+BW961)</f>
        <v>-22</v>
      </c>
      <c r="BX964" s="2349">
        <f>(BX784-BW784)-(BX51+BX960+BX961)</f>
        <v>-3</v>
      </c>
      <c r="BY964" s="2349">
        <f>(BY784-BX784)-(BY51+BY960+BY961)</f>
        <v>-20</v>
      </c>
      <c r="BZ964" s="2349">
        <f>SUM(BV964:BY964)</f>
        <v>-102</v>
      </c>
      <c r="CA964" s="2349">
        <f>(CA784-BZ784)-(CA51+CA960+CA961)</f>
        <v>-39</v>
      </c>
      <c r="CB964" s="2349">
        <f>(CB784-CA784)-(CB51+CB960+CB961)</f>
        <v>-18</v>
      </c>
      <c r="CC964" s="2349">
        <f>(CC784-CB784)-(CC51+CC960+CC961)</f>
        <v>-22</v>
      </c>
      <c r="CD964" s="2349">
        <f>(CD784-CC784)-(CD51+CD960+CD961)</f>
        <v>-28</v>
      </c>
      <c r="CE964" s="2349">
        <f>(CE784-BZ784)-(CE51+CE960+CE961)</f>
        <v>-107</v>
      </c>
      <c r="CF964" s="2349">
        <f>(CF784-CE784)-(CF51+CF960+CF961)</f>
        <v>-56</v>
      </c>
      <c r="CG964" s="2349">
        <f>(CG784-CF784)-(CG51+CG960+CG961)</f>
        <v>2</v>
      </c>
      <c r="CH964" s="2349">
        <f>(CH784-CG784)-(CH51+CH960+CH961)</f>
        <v>-10</v>
      </c>
      <c r="CI964" s="2349">
        <f>(CI784-CH784)-(CI51+CI960+CI961)</f>
        <v>-76</v>
      </c>
      <c r="CJ964" s="2349">
        <f>(CJ784-CE784)-(CJ51+CJ960+CJ961)</f>
        <v>-140</v>
      </c>
      <c r="CK964" s="2349">
        <f>(CK784-CJ784)-(CK51+CK960+CK961)</f>
        <v>11</v>
      </c>
      <c r="CL964" s="2349">
        <f>(CL784-CK784)-(CL51+CL960+CL961)</f>
        <v>-7</v>
      </c>
      <c r="CM964" s="2349">
        <f>(CM784-CL784)-(CM51+CM960+CM961)</f>
        <v>1241</v>
      </c>
      <c r="CN964" s="2349">
        <f>(CN784-CM784)-(CN51+CN960+CN961)</f>
        <v>-329</v>
      </c>
      <c r="CO964" s="2349">
        <f>(CO784-CJ784)-(CO51+CO960+CO961)</f>
        <v>916</v>
      </c>
      <c r="CP964" s="2349">
        <f>(CP784-CO784)-(CP51+CP960+CP961)</f>
        <v>184</v>
      </c>
      <c r="CQ964" s="2349">
        <f>(CQ784-CP784)-(CQ51+CQ960+CQ961)</f>
        <v>157</v>
      </c>
      <c r="CR964" s="2349">
        <f>(CR784-CQ784)-(CR51+CR960+CR961)</f>
        <v>107</v>
      </c>
      <c r="CS964" s="2349">
        <f>(CS784-CR784)-(CS51+CS960+CS961)</f>
        <v>0</v>
      </c>
      <c r="CT964" s="2349">
        <f>(CT784-CO784)-(CT51+CT960+CT961)</f>
        <v>448</v>
      </c>
      <c r="CU964" s="2349">
        <f ca="1">(CU784-CT784)-(CU51+CU960+CU961)</f>
        <v>5.6843418860808015E-13</v>
      </c>
      <c r="CV964" s="2349">
        <f ca="1">(CV784-CU784)-(CV51+CV960+CV961)</f>
        <v>0</v>
      </c>
      <c r="CW964" s="2349">
        <f ca="1">(CW784-CV784)-(CW51+CW960+CW961)</f>
        <v>-3.694822225952521E-13</v>
      </c>
      <c r="CX964" s="2349">
        <f ca="1">(CX784-CW784)-(CX51+CX960+CX961)</f>
        <v>1.2221335055073723E-12</v>
      </c>
      <c r="CY964" s="2349">
        <f ca="1">(CY784-CT784)-(CY51+CY960+CY961)</f>
        <v>4.0927261579781771E-12</v>
      </c>
      <c r="CZ964" s="2349"/>
      <c r="DA964" s="2349"/>
      <c r="DD964" s="2360" t="s">
        <v>615</v>
      </c>
      <c r="DE964" s="2349">
        <f>M964</f>
        <v>-523</v>
      </c>
      <c r="DF964" s="2349">
        <f>R964</f>
        <v>145.99999999999997</v>
      </c>
      <c r="DG964" s="2349">
        <f>W964</f>
        <v>-140</v>
      </c>
      <c r="DH964" s="2349">
        <f>AB964</f>
        <v>-703</v>
      </c>
      <c r="DI964" s="2349">
        <f>AG964</f>
        <v>-631</v>
      </c>
      <c r="DJ964" s="2349">
        <f>AL964</f>
        <v>-784</v>
      </c>
      <c r="DK964" s="2349">
        <f>AQ964</f>
        <v>-509</v>
      </c>
      <c r="DL964" s="2349">
        <f>AV964</f>
        <v>-842</v>
      </c>
      <c r="DM964" s="2349">
        <f>BA964</f>
        <v>-563</v>
      </c>
      <c r="DN964" s="2349">
        <f>BF964</f>
        <v>-450.2</v>
      </c>
      <c r="DO964" s="2349">
        <f>BK964</f>
        <v>-175</v>
      </c>
      <c r="DP964" s="2349">
        <f>BP964</f>
        <v>-461</v>
      </c>
      <c r="DQ964" s="2349">
        <f>BU964</f>
        <v>-79</v>
      </c>
      <c r="DR964" s="2349">
        <f>BZ964</f>
        <v>-102</v>
      </c>
      <c r="DS964" s="2349">
        <f>CE964</f>
        <v>-107</v>
      </c>
      <c r="DT964" s="2349">
        <f>CJ964</f>
        <v>-140</v>
      </c>
      <c r="DU964" s="2349">
        <f>CO964</f>
        <v>916</v>
      </c>
      <c r="DV964" s="2349">
        <f>CT964</f>
        <v>448</v>
      </c>
      <c r="DW964" s="2349">
        <f t="shared" ca="1" si="1936"/>
        <v>4.0927261579781771E-12</v>
      </c>
      <c r="DX964" s="2349">
        <f t="shared" si="1936"/>
        <v>0</v>
      </c>
      <c r="DY964" s="2349">
        <f t="shared" si="1936"/>
        <v>0</v>
      </c>
      <c r="DZ964" s="546"/>
      <c r="EK964"/>
      <c r="EL964"/>
    </row>
    <row r="965" spans="1:148" x14ac:dyDescent="0.2">
      <c r="A965" s="895"/>
      <c r="DD965" s="2360"/>
      <c r="DE965" s="2349"/>
      <c r="DF965" s="2349"/>
      <c r="DG965" s="2349"/>
      <c r="DH965" s="2349"/>
      <c r="DI965" s="2349"/>
      <c r="DJ965" s="2349"/>
      <c r="DK965" s="2349"/>
      <c r="DL965" s="2349"/>
      <c r="DM965" s="2349"/>
      <c r="DN965" s="2349"/>
      <c r="DO965" s="2349"/>
      <c r="DP965" s="2349"/>
      <c r="DQ965" s="2349"/>
      <c r="DR965" s="2349"/>
      <c r="DS965" s="2349"/>
      <c r="DT965" s="2349"/>
      <c r="DU965" s="2349"/>
      <c r="DV965" s="2349"/>
      <c r="DW965" s="2349"/>
      <c r="DX965" s="2349"/>
      <c r="DY965" s="2349"/>
      <c r="EK965"/>
      <c r="EL965"/>
    </row>
    <row r="966" spans="1:148" s="2031" customFormat="1" x14ac:dyDescent="0.2">
      <c r="A966" s="2030" t="s">
        <v>1977</v>
      </c>
      <c r="B966" s="2032"/>
      <c r="C966" s="2032"/>
      <c r="D966" s="2032"/>
      <c r="E966" s="2032"/>
      <c r="F966" s="2032"/>
      <c r="G966" s="2032"/>
      <c r="H966" s="2032"/>
      <c r="I966" s="2032">
        <f t="shared" ref="I966:AN966" si="1938">+I59</f>
        <v>0.18409714061887975</v>
      </c>
      <c r="J966" s="2032">
        <f t="shared" si="1938"/>
        <v>0.25019857029388404</v>
      </c>
      <c r="K966" s="2032">
        <f t="shared" si="1938"/>
        <v>0.21636506687647522</v>
      </c>
      <c r="L966" s="2032">
        <f t="shared" si="1938"/>
        <v>0.29365392195506507</v>
      </c>
      <c r="M966" s="2032">
        <f t="shared" si="1938"/>
        <v>0.94384236453201975</v>
      </c>
      <c r="N966" s="2032">
        <f t="shared" si="1938"/>
        <v>0.23486024844720499</v>
      </c>
      <c r="O966" s="2032">
        <f t="shared" si="1938"/>
        <v>0.24971187091817132</v>
      </c>
      <c r="P966" s="2032">
        <f t="shared" si="1938"/>
        <v>0.19070996978851965</v>
      </c>
      <c r="Q966" s="2032">
        <f t="shared" si="1938"/>
        <v>-0.24036469125569826</v>
      </c>
      <c r="R966" s="2032">
        <f t="shared" si="1938"/>
        <v>0.4609375</v>
      </c>
      <c r="S966" s="2032">
        <f t="shared" si="1938"/>
        <v>0.17302398741643726</v>
      </c>
      <c r="T966" s="2032">
        <f t="shared" si="1938"/>
        <v>0.33089649865332821</v>
      </c>
      <c r="U966" s="2032">
        <f t="shared" si="1938"/>
        <v>0.26775089250297501</v>
      </c>
      <c r="V966" s="2032">
        <f t="shared" si="1938"/>
        <v>3.2349373230893659E-2</v>
      </c>
      <c r="W966" s="2032">
        <f t="shared" si="1938"/>
        <v>0.81097079715864251</v>
      </c>
      <c r="X966" s="2032">
        <f t="shared" si="1938"/>
        <v>0.35919540229885061</v>
      </c>
      <c r="Y966" s="2032">
        <f t="shared" si="1938"/>
        <v>0.3417928776094965</v>
      </c>
      <c r="Z966" s="2032">
        <f t="shared" si="1938"/>
        <v>0.25223759153783565</v>
      </c>
      <c r="AA966" s="2032">
        <f t="shared" si="1938"/>
        <v>0.37632221318144832</v>
      </c>
      <c r="AB966" s="2032">
        <f t="shared" si="1938"/>
        <v>1.3292496171516079</v>
      </c>
      <c r="AC966" s="2032">
        <f t="shared" si="1938"/>
        <v>0.29230135858377931</v>
      </c>
      <c r="AD966" s="2032">
        <f t="shared" si="1938"/>
        <v>0.34540158135663751</v>
      </c>
      <c r="AE966" s="2032">
        <f t="shared" si="1938"/>
        <v>0.29091670154876514</v>
      </c>
      <c r="AF966" s="2032">
        <f t="shared" si="1938"/>
        <v>0.43287327478042659</v>
      </c>
      <c r="AG966" s="2032">
        <f t="shared" si="1938"/>
        <v>1.3607990012484394</v>
      </c>
      <c r="AH966" s="2032">
        <f t="shared" si="1938"/>
        <v>0.39440734557595997</v>
      </c>
      <c r="AI966" s="2032">
        <f t="shared" si="1938"/>
        <v>0.36673773987206826</v>
      </c>
      <c r="AJ966" s="2032">
        <f t="shared" si="1938"/>
        <v>0.29873528129088528</v>
      </c>
      <c r="AK966" s="2032">
        <f t="shared" si="1938"/>
        <v>0.53668478260869568</v>
      </c>
      <c r="AL966" s="2032">
        <f t="shared" si="1938"/>
        <v>1.5905648128110799</v>
      </c>
      <c r="AM966" s="2032">
        <f t="shared" si="1938"/>
        <v>0.20634920634920634</v>
      </c>
      <c r="AN966" s="2032">
        <f t="shared" si="1938"/>
        <v>0.45579477782867611</v>
      </c>
      <c r="AO966" s="2032">
        <f t="shared" ref="AO966:BT966" si="1939">+AO59</f>
        <v>0.3272898516599953</v>
      </c>
      <c r="AP966" s="2032">
        <f t="shared" si="1939"/>
        <v>0.64777327935222673</v>
      </c>
      <c r="AQ966" s="2032">
        <f t="shared" si="1939"/>
        <v>1.6281500406456859</v>
      </c>
      <c r="AR966" s="2032">
        <f t="shared" si="1939"/>
        <v>0.57379042061755403</v>
      </c>
      <c r="AS966" s="2032">
        <f t="shared" si="1939"/>
        <v>0.67855373947498765</v>
      </c>
      <c r="AT966" s="2032">
        <f t="shared" si="1939"/>
        <v>0.41360060898249174</v>
      </c>
      <c r="AU966" s="2032">
        <f t="shared" si="1939"/>
        <v>0.4594100756982511</v>
      </c>
      <c r="AV966" s="2032">
        <f t="shared" si="1939"/>
        <v>2.1327639263957794</v>
      </c>
      <c r="AW966" s="2032">
        <f t="shared" si="1939"/>
        <v>0.32535627856950794</v>
      </c>
      <c r="AX966" s="2032">
        <f t="shared" si="1939"/>
        <v>0.52162162162162162</v>
      </c>
      <c r="AY966" s="2032">
        <f t="shared" si="1939"/>
        <v>0.33661740558292286</v>
      </c>
      <c r="AZ966" s="2032">
        <f t="shared" si="1939"/>
        <v>0.1669449081803005</v>
      </c>
      <c r="BA966" s="2032">
        <f t="shared" si="1939"/>
        <v>1.3554237403695373</v>
      </c>
      <c r="BB966" s="2032">
        <f t="shared" si="1939"/>
        <v>0.19063638912251193</v>
      </c>
      <c r="BC966" s="2032">
        <f t="shared" si="1939"/>
        <v>0.20357634112792297</v>
      </c>
      <c r="BD966" s="2032">
        <f t="shared" si="1939"/>
        <v>-0.51269451269451272</v>
      </c>
      <c r="BE966" s="2032">
        <f t="shared" si="1939"/>
        <v>0.33584094572810319</v>
      </c>
      <c r="BF966" s="2032">
        <f t="shared" si="1939"/>
        <v>0.21717968053746486</v>
      </c>
      <c r="BG966" s="2032">
        <f t="shared" si="1939"/>
        <v>0.1982319849986606</v>
      </c>
      <c r="BH966" s="2032">
        <f t="shared" si="1939"/>
        <v>0.28843609420481608</v>
      </c>
      <c r="BI966" s="2032">
        <f t="shared" si="1939"/>
        <v>0.17984660142819359</v>
      </c>
      <c r="BJ966" s="2032">
        <f t="shared" si="1939"/>
        <v>0.35340314136125656</v>
      </c>
      <c r="BK966" s="2032">
        <f t="shared" si="1939"/>
        <v>1.0216370012571956</v>
      </c>
      <c r="BL966" s="2032">
        <f t="shared" si="1939"/>
        <v>0.23048716605552644</v>
      </c>
      <c r="BM966" s="2032">
        <f t="shared" si="1939"/>
        <v>0.34109366540335684</v>
      </c>
      <c r="BN966" s="2032">
        <f t="shared" si="1939"/>
        <v>0.28555431131019038</v>
      </c>
      <c r="BO966" s="2032">
        <f t="shared" si="1939"/>
        <v>0.45900692840646656</v>
      </c>
      <c r="BP966" s="2032">
        <f t="shared" si="1939"/>
        <v>1.3060214462469066</v>
      </c>
      <c r="BQ966" s="2032">
        <f t="shared" si="1939"/>
        <v>0.30179918746372603</v>
      </c>
      <c r="BR966" s="2032">
        <f t="shared" si="1939"/>
        <v>0.42307692307692307</v>
      </c>
      <c r="BS966" s="2032">
        <f t="shared" si="1939"/>
        <v>0.4342544791982994</v>
      </c>
      <c r="BT966" s="2032">
        <f t="shared" si="1939"/>
        <v>0.56176288019863441</v>
      </c>
      <c r="BU966" s="2032">
        <f t="shared" ref="BU966:DA966" si="1940">+BU59</f>
        <v>1.71522979873836</v>
      </c>
      <c r="BV966" s="2032">
        <f t="shared" si="1940"/>
        <v>0.42499999999999999</v>
      </c>
      <c r="BW966" s="2032">
        <f t="shared" si="1940"/>
        <v>0.57006369426751591</v>
      </c>
      <c r="BX966" s="2032">
        <f t="shared" si="1940"/>
        <v>0.51696284329563813</v>
      </c>
      <c r="BY966" s="2032">
        <f t="shared" si="1940"/>
        <v>0.49105691056910566</v>
      </c>
      <c r="BZ966" s="2032">
        <f t="shared" si="1940"/>
        <v>2</v>
      </c>
      <c r="CA966" s="2032">
        <f t="shared" si="1940"/>
        <v>0.56709528519617536</v>
      </c>
      <c r="CB966" s="2032">
        <f t="shared" si="1940"/>
        <v>0.64278540341479751</v>
      </c>
      <c r="CC966" s="2032">
        <f t="shared" si="1940"/>
        <v>0.64996614759647942</v>
      </c>
      <c r="CD966" s="2032">
        <f t="shared" si="1940"/>
        <v>0.68166089965397925</v>
      </c>
      <c r="CE966" s="2032">
        <f t="shared" si="1940"/>
        <v>2.5370619946091644</v>
      </c>
      <c r="CF966" s="2032">
        <f t="shared" si="1940"/>
        <v>0.73015873015873012</v>
      </c>
      <c r="CG966" s="2032">
        <f t="shared" si="1940"/>
        <v>0.86548864046159391</v>
      </c>
      <c r="CH966" s="2032">
        <f t="shared" si="1940"/>
        <v>0.78563411896745228</v>
      </c>
      <c r="CI966" s="2032">
        <f t="shared" si="1940"/>
        <v>0.76981707317073178</v>
      </c>
      <c r="CJ966" s="2032">
        <f t="shared" si="1940"/>
        <v>3.1488269794721409</v>
      </c>
      <c r="CK966" s="2032">
        <f t="shared" si="1940"/>
        <v>0.84588644264194679</v>
      </c>
      <c r="CL966" s="2032">
        <f t="shared" si="1940"/>
        <v>0.95736434108527135</v>
      </c>
      <c r="CM966" s="2032">
        <f t="shared" si="1940"/>
        <v>0.27058368766911484</v>
      </c>
      <c r="CN966" s="2032">
        <f t="shared" si="1940"/>
        <v>0.61928934010152281</v>
      </c>
      <c r="CO966" s="2032">
        <f t="shared" si="1940"/>
        <v>2.6675786593707254</v>
      </c>
      <c r="CP966" s="2032">
        <f t="shared" si="1940"/>
        <v>0.9358974358974359</v>
      </c>
      <c r="CQ966" s="2032">
        <f t="shared" si="1940"/>
        <v>1.0809399477806789</v>
      </c>
      <c r="CR966" s="2032">
        <f t="shared" si="1940"/>
        <v>1.0408921933085502</v>
      </c>
      <c r="CS966" s="2032">
        <f t="shared" si="1940"/>
        <v>0.54339010543390109</v>
      </c>
      <c r="CT966" s="2032">
        <f t="shared" si="1940"/>
        <v>3.6117143797301745</v>
      </c>
      <c r="CU966" s="2032">
        <f t="shared" ca="1" si="1940"/>
        <v>1.2527822856471493</v>
      </c>
      <c r="CV966" s="2032">
        <f t="shared" ca="1" si="1940"/>
        <v>1.3529724817330022</v>
      </c>
      <c r="CW966" s="2032">
        <f t="shared" ca="1" si="1940"/>
        <v>1.321943032871626</v>
      </c>
      <c r="CX966" s="2032">
        <f t="shared" ca="1" si="1940"/>
        <v>1.3919074656980788</v>
      </c>
      <c r="CY966" s="2032">
        <f t="shared" ca="1" si="1940"/>
        <v>5.3180405857587658</v>
      </c>
      <c r="CZ966" s="2032">
        <f t="shared" ca="1" si="1940"/>
        <v>6.2152045518202783</v>
      </c>
      <c r="DA966" s="2032">
        <f t="shared" ca="1" si="1940"/>
        <v>6.2949386934559239</v>
      </c>
      <c r="DB966"/>
      <c r="DC966"/>
      <c r="DD966" s="2382" t="s">
        <v>1977</v>
      </c>
      <c r="DE966" s="2032">
        <f>M966</f>
        <v>0.94384236453201975</v>
      </c>
      <c r="DF966" s="2032">
        <f>R966</f>
        <v>0.4609375</v>
      </c>
      <c r="DG966" s="2032">
        <f>W966</f>
        <v>0.81097079715864251</v>
      </c>
      <c r="DH966" s="2032">
        <f>AB966</f>
        <v>1.3292496171516079</v>
      </c>
      <c r="DI966" s="2032">
        <f>AG966</f>
        <v>1.3607990012484394</v>
      </c>
      <c r="DJ966" s="2032">
        <f>AL966</f>
        <v>1.5905648128110799</v>
      </c>
      <c r="DK966" s="2032">
        <f>AQ966</f>
        <v>1.6281500406456859</v>
      </c>
      <c r="DL966" s="2032">
        <f>AV966</f>
        <v>2.1327639263957794</v>
      </c>
      <c r="DM966" s="2032">
        <f>BA966</f>
        <v>1.3554237403695373</v>
      </c>
      <c r="DN966" s="2032">
        <f>BF966</f>
        <v>0.21717968053746486</v>
      </c>
      <c r="DO966" s="2032">
        <f>BK966</f>
        <v>1.0216370012571956</v>
      </c>
      <c r="DP966" s="2032">
        <f>BP966</f>
        <v>1.3060214462469066</v>
      </c>
      <c r="DQ966" s="2032">
        <f>BU966</f>
        <v>1.71522979873836</v>
      </c>
      <c r="DR966" s="2032">
        <f>BZ966</f>
        <v>2</v>
      </c>
      <c r="DS966" s="2032">
        <f>CE966</f>
        <v>2.5370619946091644</v>
      </c>
      <c r="DT966" s="2032">
        <f>CJ966</f>
        <v>3.1488269794721409</v>
      </c>
      <c r="DU966" s="2032">
        <f>CO966</f>
        <v>2.6675786593707254</v>
      </c>
      <c r="DV966" s="2032">
        <f>CT966</f>
        <v>3.6117143797301745</v>
      </c>
      <c r="DW966" s="2032">
        <f t="shared" ref="DW966:DY967" ca="1" si="1941">CY966</f>
        <v>5.3180405857587658</v>
      </c>
      <c r="DX966" s="2032">
        <f t="shared" ca="1" si="1941"/>
        <v>6.2152045518202783</v>
      </c>
      <c r="DY966" s="2032">
        <f t="shared" ca="1" si="1941"/>
        <v>6.2949386934559239</v>
      </c>
      <c r="DZ966" s="2033"/>
      <c r="EA966"/>
      <c r="EB966"/>
      <c r="EC966"/>
      <c r="ED966"/>
      <c r="EE966"/>
      <c r="EF966"/>
      <c r="EJ966"/>
      <c r="EK966"/>
      <c r="EL966"/>
      <c r="EM966" s="847"/>
      <c r="ER966" s="234"/>
    </row>
    <row r="967" spans="1:148" s="884" customFormat="1" x14ac:dyDescent="0.2">
      <c r="A967" s="855" t="s">
        <v>983</v>
      </c>
      <c r="I967" s="884">
        <f>+M967</f>
        <v>0.372</v>
      </c>
      <c r="J967" s="884">
        <f>+M967</f>
        <v>0.372</v>
      </c>
      <c r="K967" s="884">
        <f>+M967</f>
        <v>0.372</v>
      </c>
      <c r="L967" s="884">
        <f>+M967</f>
        <v>0.372</v>
      </c>
      <c r="M967" s="884">
        <f>35%+3.6%-1.4%</f>
        <v>0.372</v>
      </c>
      <c r="N967" s="884">
        <f>+R967</f>
        <v>0.35799999999999998</v>
      </c>
      <c r="O967" s="884">
        <f>+R967</f>
        <v>0.35799999999999998</v>
      </c>
      <c r="P967" s="884">
        <f>+R967</f>
        <v>0.35799999999999998</v>
      </c>
      <c r="Q967" s="884">
        <f>+R967</f>
        <v>0.35799999999999998</v>
      </c>
      <c r="R967" s="884">
        <f>35%+3.7%-2.9%</f>
        <v>0.35799999999999998</v>
      </c>
      <c r="S967" s="884">
        <f>+W967</f>
        <v>0.37499999999999994</v>
      </c>
      <c r="T967" s="884">
        <f>+W967</f>
        <v>0.37499999999999994</v>
      </c>
      <c r="U967" s="884">
        <f>+W967</f>
        <v>0.37499999999999994</v>
      </c>
      <c r="V967" s="884">
        <f>+W967</f>
        <v>0.37499999999999994</v>
      </c>
      <c r="W967" s="884">
        <f>35%+4%-1.5%</f>
        <v>0.37499999999999994</v>
      </c>
      <c r="X967" s="884">
        <f>+AB967</f>
        <v>0.37699999999999995</v>
      </c>
      <c r="Y967" s="884">
        <f>+AB967</f>
        <v>0.37699999999999995</v>
      </c>
      <c r="Z967" s="884">
        <f>+AB967</f>
        <v>0.37699999999999995</v>
      </c>
      <c r="AA967" s="884">
        <f>+AB967</f>
        <v>0.37699999999999995</v>
      </c>
      <c r="AB967" s="884">
        <f>35%+3.8%-1.1%</f>
        <v>0.37699999999999995</v>
      </c>
      <c r="AC967" s="884">
        <f>+AG967</f>
        <v>0.36499999999999999</v>
      </c>
      <c r="AD967" s="884">
        <f>+AG967</f>
        <v>0.36499999999999999</v>
      </c>
      <c r="AE967" s="884">
        <f>+AG967</f>
        <v>0.36499999999999999</v>
      </c>
      <c r="AF967" s="884">
        <f>+AG967</f>
        <v>0.36499999999999999</v>
      </c>
      <c r="AG967" s="884">
        <f>35%+2.9%-1.4%</f>
        <v>0.36499999999999999</v>
      </c>
      <c r="AH967" s="884">
        <f>+AL967</f>
        <v>0.33400000000000002</v>
      </c>
      <c r="AI967" s="884">
        <f>+AL967</f>
        <v>0.33400000000000002</v>
      </c>
      <c r="AJ967" s="884">
        <f>+AL967</f>
        <v>0.33400000000000002</v>
      </c>
      <c r="AK967" s="884">
        <f>+AL967</f>
        <v>0.33400000000000002</v>
      </c>
      <c r="AL967" s="884">
        <f>35%+3%-4.6%</f>
        <v>0.33400000000000002</v>
      </c>
      <c r="AM967" s="884">
        <f>+AQ967</f>
        <v>0.36099999999999999</v>
      </c>
      <c r="AN967" s="884">
        <f>+AQ967</f>
        <v>0.36099999999999999</v>
      </c>
      <c r="AO967" s="884">
        <f>+AQ967</f>
        <v>0.36099999999999999</v>
      </c>
      <c r="AP967" s="884">
        <f>+AQ967</f>
        <v>0.36099999999999999</v>
      </c>
      <c r="AQ967" s="884">
        <f>35%+2.9%-1.8%</f>
        <v>0.36099999999999999</v>
      </c>
      <c r="AR967" s="884">
        <f>+AV967</f>
        <v>0.36899999999999999</v>
      </c>
      <c r="AS967" s="884">
        <f>+AV967</f>
        <v>0.36899999999999999</v>
      </c>
      <c r="AT967" s="884">
        <f>+AV967</f>
        <v>0.36899999999999999</v>
      </c>
      <c r="AU967" s="884">
        <f>+AV967</f>
        <v>0.36899999999999999</v>
      </c>
      <c r="AV967" s="884">
        <f>35%+2.8%-0.9%</f>
        <v>0.36899999999999999</v>
      </c>
      <c r="AW967" s="884">
        <f>+BA967</f>
        <v>0.36</v>
      </c>
      <c r="AX967" s="884">
        <f>+BA967</f>
        <v>0.36</v>
      </c>
      <c r="AY967" s="884">
        <f>+BA967</f>
        <v>0.36</v>
      </c>
      <c r="AZ967" s="884">
        <f>+BA967</f>
        <v>0.36</v>
      </c>
      <c r="BA967" s="884">
        <f>35%+2.6%-1.6%</f>
        <v>0.36</v>
      </c>
      <c r="BB967" s="884">
        <f>+BF967</f>
        <v>0.38099999999999995</v>
      </c>
      <c r="BC967" s="884">
        <f>+BF967</f>
        <v>0.38099999999999995</v>
      </c>
      <c r="BD967" s="884">
        <f>+BF967</f>
        <v>0.38099999999999995</v>
      </c>
      <c r="BE967" s="884">
        <f>+BF967</f>
        <v>0.38099999999999995</v>
      </c>
      <c r="BF967" s="884">
        <f>35%-2.1%+5.2%</f>
        <v>0.38099999999999995</v>
      </c>
      <c r="BG967" s="884">
        <f>+BK967</f>
        <v>0.33699999999999997</v>
      </c>
      <c r="BH967" s="884">
        <f>+BK967</f>
        <v>0.33699999999999997</v>
      </c>
      <c r="BI967" s="884">
        <f>+BK967</f>
        <v>0.33699999999999997</v>
      </c>
      <c r="BJ967" s="884">
        <f>+BK967</f>
        <v>0.33699999999999997</v>
      </c>
      <c r="BK967" s="884">
        <f>35%+2.4%-3.7%</f>
        <v>0.33699999999999997</v>
      </c>
      <c r="BL967" s="884">
        <f>+BP967</f>
        <v>0.36399999999999999</v>
      </c>
      <c r="BM967" s="884">
        <f>+BP967</f>
        <v>0.36399999999999999</v>
      </c>
      <c r="BN967" s="884">
        <f>+BP967</f>
        <v>0.36399999999999999</v>
      </c>
      <c r="BO967" s="884">
        <f>+BP967</f>
        <v>0.36399999999999999</v>
      </c>
      <c r="BP967" s="884">
        <f>35%+2.3%-0.9%</f>
        <v>0.36399999999999999</v>
      </c>
      <c r="BQ967" s="884">
        <f>+BP967</f>
        <v>0.36399999999999999</v>
      </c>
      <c r="BR967" s="884">
        <f t="shared" ref="BR967:CG967" si="1942">+BQ967</f>
        <v>0.36399999999999999</v>
      </c>
      <c r="BS967" s="884">
        <f t="shared" si="1942"/>
        <v>0.36399999999999999</v>
      </c>
      <c r="BT967" s="884">
        <f t="shared" si="1942"/>
        <v>0.36399999999999999</v>
      </c>
      <c r="BU967" s="884">
        <f t="shared" si="1942"/>
        <v>0.36399999999999999</v>
      </c>
      <c r="BV967" s="884">
        <f t="shared" si="1942"/>
        <v>0.36399999999999999</v>
      </c>
      <c r="BW967" s="884">
        <f t="shared" si="1942"/>
        <v>0.36399999999999999</v>
      </c>
      <c r="BX967" s="884">
        <f t="shared" si="1942"/>
        <v>0.36399999999999999</v>
      </c>
      <c r="BY967" s="884">
        <f t="shared" si="1942"/>
        <v>0.36399999999999999</v>
      </c>
      <c r="BZ967" s="884">
        <f t="shared" si="1942"/>
        <v>0.36399999999999999</v>
      </c>
      <c r="CA967" s="884">
        <f t="shared" si="1942"/>
        <v>0.36399999999999999</v>
      </c>
      <c r="CB967" s="884">
        <f t="shared" si="1942"/>
        <v>0.36399999999999999</v>
      </c>
      <c r="CC967" s="884">
        <f t="shared" si="1942"/>
        <v>0.36399999999999999</v>
      </c>
      <c r="CD967" s="884">
        <f t="shared" si="1942"/>
        <v>0.36399999999999999</v>
      </c>
      <c r="CE967" s="884">
        <f t="shared" si="1942"/>
        <v>0.36399999999999999</v>
      </c>
      <c r="CF967" s="884">
        <f t="shared" si="1942"/>
        <v>0.36399999999999999</v>
      </c>
      <c r="CG967" s="884">
        <f t="shared" si="1942"/>
        <v>0.36399999999999999</v>
      </c>
      <c r="CH967" s="884">
        <f t="shared" ref="CH967:DA967" si="1943">+CG967</f>
        <v>0.36399999999999999</v>
      </c>
      <c r="CI967" s="884">
        <f t="shared" si="1943"/>
        <v>0.36399999999999999</v>
      </c>
      <c r="CJ967" s="884">
        <f t="shared" si="1943"/>
        <v>0.36399999999999999</v>
      </c>
      <c r="CK967" s="884">
        <f t="shared" si="1943"/>
        <v>0.36399999999999999</v>
      </c>
      <c r="CL967" s="884">
        <f t="shared" si="1943"/>
        <v>0.36399999999999999</v>
      </c>
      <c r="CM967" s="884">
        <f t="shared" si="1943"/>
        <v>0.36399999999999999</v>
      </c>
      <c r="CN967" s="884">
        <f t="shared" si="1943"/>
        <v>0.36399999999999999</v>
      </c>
      <c r="CO967" s="884">
        <f t="shared" si="1943"/>
        <v>0.36399999999999999</v>
      </c>
      <c r="CP967" s="884">
        <f t="shared" si="1943"/>
        <v>0.36399999999999999</v>
      </c>
      <c r="CQ967" s="884">
        <f t="shared" si="1943"/>
        <v>0.36399999999999999</v>
      </c>
      <c r="CR967" s="884">
        <f t="shared" si="1943"/>
        <v>0.36399999999999999</v>
      </c>
      <c r="CS967" s="884">
        <f t="shared" si="1943"/>
        <v>0.36399999999999999</v>
      </c>
      <c r="CT967" s="884">
        <f t="shared" si="1943"/>
        <v>0.36399999999999999</v>
      </c>
      <c r="CU967" s="884">
        <f>+CT967</f>
        <v>0.36399999999999999</v>
      </c>
      <c r="CV967" s="884">
        <f>+CU967</f>
        <v>0.36399999999999999</v>
      </c>
      <c r="CW967" s="884">
        <f>+CV967</f>
        <v>0.36399999999999999</v>
      </c>
      <c r="CX967" s="884">
        <f>+CW967</f>
        <v>0.36399999999999999</v>
      </c>
      <c r="CY967" s="884">
        <f t="shared" si="1943"/>
        <v>0.36399999999999999</v>
      </c>
      <c r="CZ967" s="884">
        <f t="shared" si="1943"/>
        <v>0.36399999999999999</v>
      </c>
      <c r="DA967" s="884">
        <f t="shared" si="1943"/>
        <v>0.36399999999999999</v>
      </c>
      <c r="DB967"/>
      <c r="DC967"/>
      <c r="DD967" s="2383" t="s">
        <v>983</v>
      </c>
      <c r="DE967" s="2384">
        <f>M967</f>
        <v>0.372</v>
      </c>
      <c r="DF967" s="2384">
        <f>R967</f>
        <v>0.35799999999999998</v>
      </c>
      <c r="DG967" s="2384">
        <f>W967</f>
        <v>0.37499999999999994</v>
      </c>
      <c r="DH967" s="2384">
        <f>AB967</f>
        <v>0.37699999999999995</v>
      </c>
      <c r="DI967" s="2384">
        <f>AG967</f>
        <v>0.36499999999999999</v>
      </c>
      <c r="DJ967" s="2384">
        <f>AL967</f>
        <v>0.33400000000000002</v>
      </c>
      <c r="DK967" s="2384">
        <f>AQ967</f>
        <v>0.36099999999999999</v>
      </c>
      <c r="DL967" s="2384">
        <f>AV967</f>
        <v>0.36899999999999999</v>
      </c>
      <c r="DM967" s="2384">
        <f>BA967</f>
        <v>0.36</v>
      </c>
      <c r="DN967" s="2384">
        <f>BF967</f>
        <v>0.38099999999999995</v>
      </c>
      <c r="DO967" s="2384">
        <f>BK967</f>
        <v>0.33699999999999997</v>
      </c>
      <c r="DP967" s="2384">
        <f>BP967</f>
        <v>0.36399999999999999</v>
      </c>
      <c r="DQ967" s="2384">
        <f>BU967</f>
        <v>0.36399999999999999</v>
      </c>
      <c r="DR967" s="2384">
        <f>BZ967</f>
        <v>0.36399999999999999</v>
      </c>
      <c r="DS967" s="2384">
        <f>CE967</f>
        <v>0.36399999999999999</v>
      </c>
      <c r="DT967" s="2384">
        <f>CJ967</f>
        <v>0.36399999999999999</v>
      </c>
      <c r="DU967" s="2384">
        <f>CO967</f>
        <v>0.36399999999999999</v>
      </c>
      <c r="DV967" s="2384">
        <f>CT967</f>
        <v>0.36399999999999999</v>
      </c>
      <c r="DW967" s="2384">
        <f t="shared" si="1941"/>
        <v>0.36399999999999999</v>
      </c>
      <c r="DX967" s="2384">
        <f t="shared" si="1941"/>
        <v>0.36399999999999999</v>
      </c>
      <c r="DY967" s="2384">
        <f t="shared" si="1941"/>
        <v>0.36399999999999999</v>
      </c>
      <c r="DZ967" s="327"/>
      <c r="EA967"/>
      <c r="EB967"/>
      <c r="EC967"/>
      <c r="ED967"/>
      <c r="EE967"/>
      <c r="EF967"/>
      <c r="EJ967"/>
      <c r="EK967"/>
      <c r="EL967"/>
    </row>
    <row r="968" spans="1:148" x14ac:dyDescent="0.2">
      <c r="DD968" s="2383"/>
      <c r="DE968" s="2349"/>
      <c r="DF968" s="2349"/>
      <c r="DG968" s="2349"/>
      <c r="DH968" s="2349"/>
      <c r="DI968" s="2349"/>
      <c r="DJ968" s="2349"/>
      <c r="DK968" s="2349"/>
      <c r="DL968" s="2349"/>
      <c r="DM968" s="2349"/>
      <c r="DN968" s="2349"/>
      <c r="DO968" s="2349"/>
      <c r="DP968" s="2349"/>
      <c r="DQ968" s="2349"/>
      <c r="DR968" s="2349"/>
      <c r="DS968" s="2349"/>
      <c r="DT968" s="2349"/>
      <c r="DU968" s="2349"/>
      <c r="DV968" s="2349"/>
      <c r="DW968" s="2349"/>
      <c r="DX968" s="2349"/>
      <c r="DY968" s="2349"/>
      <c r="EK968"/>
      <c r="EL968"/>
    </row>
    <row r="969" spans="1:148" x14ac:dyDescent="0.2">
      <c r="A969" s="386" t="s">
        <v>1782</v>
      </c>
      <c r="DD969" s="386" t="s">
        <v>1782</v>
      </c>
      <c r="DE969" s="2349">
        <f>M969</f>
        <v>0</v>
      </c>
      <c r="DF969" s="2349">
        <f>R969</f>
        <v>0</v>
      </c>
      <c r="DG969" s="2349">
        <f>W969</f>
        <v>0</v>
      </c>
      <c r="DH969" s="2349">
        <f>AB969</f>
        <v>0</v>
      </c>
      <c r="DI969" s="2349">
        <f>AG969</f>
        <v>0</v>
      </c>
      <c r="DJ969" s="2349">
        <f>AL969</f>
        <v>0</v>
      </c>
      <c r="DK969" s="2349">
        <f>AQ969</f>
        <v>0</v>
      </c>
      <c r="DL969" s="2349">
        <f>AV969</f>
        <v>0</v>
      </c>
      <c r="DM969" s="2349">
        <f>BA969</f>
        <v>0</v>
      </c>
      <c r="DN969" s="2349">
        <f>BF969</f>
        <v>0</v>
      </c>
      <c r="DO969" s="2349">
        <f>BK969</f>
        <v>0</v>
      </c>
      <c r="DP969" s="2349">
        <f>BP969</f>
        <v>0</v>
      </c>
      <c r="DQ969" s="2349">
        <f>BU969</f>
        <v>0</v>
      </c>
      <c r="DR969" s="2349">
        <f>BZ969</f>
        <v>0</v>
      </c>
      <c r="DS969" s="2349">
        <f>CE969</f>
        <v>0</v>
      </c>
      <c r="DT969" s="2349">
        <f>CJ969</f>
        <v>0</v>
      </c>
      <c r="DU969" s="2349">
        <f>CO969</f>
        <v>0</v>
      </c>
      <c r="DV969" s="2349">
        <f>CT969</f>
        <v>0</v>
      </c>
      <c r="DW969" s="2349">
        <f>CY969</f>
        <v>0</v>
      </c>
      <c r="DX969" s="2349">
        <f>CZ969</f>
        <v>0</v>
      </c>
      <c r="DY969" s="2349">
        <f>DA969</f>
        <v>0</v>
      </c>
      <c r="EK969"/>
      <c r="EL969"/>
    </row>
    <row r="970" spans="1:148" x14ac:dyDescent="0.2">
      <c r="EK970"/>
      <c r="EL970"/>
    </row>
    <row r="971" spans="1:148" x14ac:dyDescent="0.2">
      <c r="EK971"/>
      <c r="EL971"/>
    </row>
    <row r="972" spans="1:148" x14ac:dyDescent="0.2">
      <c r="EK972"/>
      <c r="EL972"/>
    </row>
    <row r="973" spans="1:148" x14ac:dyDescent="0.2">
      <c r="EK973"/>
      <c r="EL973"/>
    </row>
    <row r="974" spans="1:148" customFormat="1" ht="12.75" customHeight="1" x14ac:dyDescent="0.2"/>
    <row r="975" spans="1:148" x14ac:dyDescent="0.2">
      <c r="EK975"/>
      <c r="EL975"/>
    </row>
    <row r="976" spans="1:148" x14ac:dyDescent="0.2">
      <c r="EK976"/>
      <c r="EL976"/>
    </row>
    <row r="977" spans="1:148" s="2383" customFormat="1" x14ac:dyDescent="0.2">
      <c r="A977" s="2383" t="s">
        <v>2668</v>
      </c>
      <c r="B977" s="2349"/>
      <c r="C977" s="2349"/>
      <c r="D977" s="2349"/>
      <c r="E977" s="2349"/>
      <c r="F977" s="2349"/>
      <c r="G977" s="2349"/>
      <c r="H977" s="2349"/>
      <c r="I977" s="2349"/>
      <c r="J977" s="2349"/>
      <c r="K977" s="2349"/>
      <c r="L977" s="2349"/>
      <c r="M977" s="2349"/>
      <c r="N977" s="2349"/>
      <c r="O977" s="2349"/>
      <c r="P977" s="2349"/>
      <c r="Q977" s="2349"/>
      <c r="R977" s="2349"/>
      <c r="S977" s="2349"/>
      <c r="T977" s="2349"/>
      <c r="U977" s="2349"/>
      <c r="V977" s="2349"/>
      <c r="W977" s="2349"/>
      <c r="X977" s="2349"/>
      <c r="Y977" s="2349"/>
      <c r="Z977" s="2349"/>
      <c r="AA977" s="2349"/>
      <c r="AB977" s="2349"/>
      <c r="AC977" s="2349"/>
      <c r="AD977" s="2349"/>
      <c r="AE977" s="2349"/>
      <c r="AF977" s="2349"/>
      <c r="AG977" s="2349"/>
      <c r="AH977" s="2349"/>
      <c r="AI977" s="2349"/>
      <c r="AJ977" s="2349"/>
      <c r="AK977" s="2349"/>
      <c r="AL977" s="2349"/>
      <c r="AM977" s="2349"/>
      <c r="AN977" s="2349"/>
      <c r="AO977" s="2349"/>
      <c r="AP977" s="2349"/>
      <c r="AQ977" s="2349"/>
      <c r="AR977" s="2349"/>
      <c r="AS977" s="2349"/>
      <c r="AT977" s="2349"/>
      <c r="AU977" s="2349"/>
      <c r="AV977" s="2349"/>
      <c r="AW977" s="2349"/>
      <c r="AX977" s="2349"/>
      <c r="AY977" s="2349"/>
      <c r="AZ977" s="2349"/>
      <c r="BA977" s="2349"/>
      <c r="BB977" s="2349"/>
      <c r="BC977" s="2349"/>
      <c r="BD977" s="2349"/>
      <c r="BE977" s="2349"/>
      <c r="BF977" s="2349"/>
      <c r="BG977" s="2349"/>
      <c r="BH977" s="2349"/>
      <c r="BI977" s="2349"/>
      <c r="BJ977" s="2349"/>
      <c r="BK977" s="2349"/>
      <c r="BL977" s="2349"/>
      <c r="BM977" s="2349"/>
      <c r="BN977" s="2349"/>
      <c r="BO977" s="2349"/>
      <c r="BP977" s="2349"/>
      <c r="BQ977" s="2349"/>
      <c r="BR977" s="2349"/>
      <c r="BS977" s="2349"/>
      <c r="BT977" s="2349"/>
      <c r="BU977" s="2349"/>
      <c r="BV977" s="2349"/>
      <c r="BW977" s="2349"/>
      <c r="BX977" s="2349"/>
      <c r="BY977" s="2349"/>
      <c r="BZ977" s="2349"/>
      <c r="CA977" s="2349"/>
      <c r="CB977" s="2349"/>
      <c r="CC977" s="2349"/>
      <c r="CD977" s="2349"/>
      <c r="CE977" s="2443">
        <f t="shared" ref="CE977:DA977" si="1944">CE33+CE30+CE52</f>
        <v>1328</v>
      </c>
      <c r="CF977" s="2443">
        <f t="shared" si="1944"/>
        <v>376</v>
      </c>
      <c r="CG977" s="2443">
        <f t="shared" si="1944"/>
        <v>389</v>
      </c>
      <c r="CH977" s="2443">
        <f t="shared" si="1944"/>
        <v>370</v>
      </c>
      <c r="CI977" s="2443">
        <f t="shared" si="1944"/>
        <v>342</v>
      </c>
      <c r="CJ977" s="2443">
        <f t="shared" si="1944"/>
        <v>1477</v>
      </c>
      <c r="CK977" s="2443">
        <f t="shared" si="1944"/>
        <v>405</v>
      </c>
      <c r="CL977" s="2443">
        <f t="shared" si="1944"/>
        <v>437</v>
      </c>
      <c r="CM977" s="2443">
        <f t="shared" si="1944"/>
        <v>575</v>
      </c>
      <c r="CN977" s="2443">
        <f t="shared" si="1944"/>
        <v>648</v>
      </c>
      <c r="CO977" s="2443">
        <f t="shared" si="1944"/>
        <v>2065</v>
      </c>
      <c r="CP977" s="2443">
        <f t="shared" si="1944"/>
        <v>683</v>
      </c>
      <c r="CQ977" s="2443">
        <f t="shared" si="1944"/>
        <v>744</v>
      </c>
      <c r="CR977" s="2443">
        <f t="shared" si="1944"/>
        <v>749</v>
      </c>
      <c r="CS977" s="2443">
        <f t="shared" si="1944"/>
        <v>915</v>
      </c>
      <c r="CT977" s="2443">
        <f t="shared" si="1944"/>
        <v>3091</v>
      </c>
      <c r="CU977" s="2443">
        <f t="shared" ca="1" si="1944"/>
        <v>674.29829198108746</v>
      </c>
      <c r="CV977" s="2443">
        <f t="shared" ca="1" si="1944"/>
        <v>778.6686187146579</v>
      </c>
      <c r="CW977" s="2443">
        <f t="shared" ca="1" si="1944"/>
        <v>755.58253103306106</v>
      </c>
      <c r="CX977" s="2443">
        <f t="shared" ca="1" si="1944"/>
        <v>784.55229498090466</v>
      </c>
      <c r="CY977" s="2443">
        <f t="shared" ca="1" si="1944"/>
        <v>2993.1017367097083</v>
      </c>
      <c r="CZ977" s="2443">
        <f t="shared" ca="1" si="1944"/>
        <v>3382.5691095228249</v>
      </c>
      <c r="DA977" s="2443">
        <f t="shared" ca="1" si="1944"/>
        <v>3349.1614433027739</v>
      </c>
      <c r="DB977" s="537"/>
      <c r="DC977" s="537"/>
      <c r="DE977" s="2349"/>
      <c r="DF977" s="2349"/>
      <c r="DG977" s="2349"/>
      <c r="DH977" s="2349"/>
      <c r="DI977" s="2349"/>
      <c r="DJ977" s="2349"/>
      <c r="DK977" s="2349"/>
      <c r="DL977" s="2349"/>
      <c r="DM977" s="2349"/>
      <c r="DN977" s="2349"/>
      <c r="DO977" s="2349"/>
      <c r="DP977" s="2349"/>
      <c r="DQ977" s="2349"/>
      <c r="DR977" s="2349"/>
      <c r="DS977" s="2349"/>
      <c r="DT977" s="2349"/>
      <c r="DU977" s="2349"/>
      <c r="DV977" s="2349"/>
      <c r="DW977" s="2349"/>
      <c r="DX977" s="2349"/>
      <c r="DY977" s="2349"/>
      <c r="DZ977" s="537"/>
      <c r="EA977"/>
      <c r="EB977"/>
      <c r="EC977"/>
      <c r="ED977"/>
      <c r="EE977"/>
      <c r="EF977"/>
      <c r="EJ977"/>
      <c r="EK977"/>
      <c r="EL977"/>
      <c r="ER977" s="2402"/>
    </row>
    <row r="978" spans="1:148" s="2383" customFormat="1" x14ac:dyDescent="0.2">
      <c r="A978" s="2383" t="s">
        <v>2669</v>
      </c>
      <c r="B978" s="2349"/>
      <c r="C978" s="2349"/>
      <c r="D978" s="2349"/>
      <c r="E978" s="2349"/>
      <c r="F978" s="2349"/>
      <c r="G978" s="2349"/>
      <c r="H978" s="2349"/>
      <c r="I978" s="2349"/>
      <c r="J978" s="2349"/>
      <c r="K978" s="2349"/>
      <c r="L978" s="2349"/>
      <c r="M978" s="2349"/>
      <c r="N978" s="2349"/>
      <c r="O978" s="2349"/>
      <c r="P978" s="2349"/>
      <c r="Q978" s="2349"/>
      <c r="R978" s="2349"/>
      <c r="S978" s="2349"/>
      <c r="T978" s="2349"/>
      <c r="U978" s="2349"/>
      <c r="V978" s="2349"/>
      <c r="W978" s="2349"/>
      <c r="X978" s="2349"/>
      <c r="Y978" s="2349"/>
      <c r="Z978" s="2349"/>
      <c r="AA978" s="2349"/>
      <c r="AB978" s="2349"/>
      <c r="AC978" s="2349"/>
      <c r="AD978" s="2349"/>
      <c r="AE978" s="2349"/>
      <c r="AF978" s="2349"/>
      <c r="AG978" s="2349"/>
      <c r="AH978" s="2349"/>
      <c r="AI978" s="2349"/>
      <c r="AJ978" s="2349"/>
      <c r="AK978" s="2349"/>
      <c r="AL978" s="2349"/>
      <c r="AM978" s="2349"/>
      <c r="AN978" s="2349"/>
      <c r="AO978" s="2349"/>
      <c r="AP978" s="2349"/>
      <c r="AQ978" s="2349"/>
      <c r="AR978" s="2349"/>
      <c r="AS978" s="2349"/>
      <c r="AT978" s="2349"/>
      <c r="AU978" s="2349"/>
      <c r="AV978" s="2349"/>
      <c r="AW978" s="2349"/>
      <c r="AX978" s="2349"/>
      <c r="AY978" s="2349"/>
      <c r="AZ978" s="2349"/>
      <c r="BA978" s="2349"/>
      <c r="BB978" s="2349"/>
      <c r="BC978" s="2349"/>
      <c r="BD978" s="2349"/>
      <c r="BE978" s="2349"/>
      <c r="BF978" s="2349"/>
      <c r="BG978" s="2349"/>
      <c r="BH978" s="2349"/>
      <c r="BI978" s="2349"/>
      <c r="BJ978" s="2349"/>
      <c r="BK978" s="2349"/>
      <c r="BL978" s="2349"/>
      <c r="BM978" s="2349"/>
      <c r="BN978" s="2349"/>
      <c r="BO978" s="2349"/>
      <c r="BP978" s="2349"/>
      <c r="BQ978" s="2349"/>
      <c r="BR978" s="2349"/>
      <c r="BS978" s="2349"/>
      <c r="BT978" s="2349"/>
      <c r="BU978" s="2349"/>
      <c r="BV978" s="2349"/>
      <c r="BW978" s="2349"/>
      <c r="BX978" s="2349"/>
      <c r="BY978" s="2349"/>
      <c r="BZ978" s="2349"/>
      <c r="CA978" s="2349"/>
      <c r="CB978" s="2349"/>
      <c r="CC978" s="2349"/>
      <c r="CD978" s="2349"/>
      <c r="CE978" s="2443">
        <f t="shared" ref="CE978:DA978" si="1945">CE98-CE977</f>
        <v>196</v>
      </c>
      <c r="CF978" s="2443">
        <f t="shared" si="1945"/>
        <v>53</v>
      </c>
      <c r="CG978" s="2443">
        <f t="shared" si="1945"/>
        <v>68</v>
      </c>
      <c r="CH978" s="2443">
        <f t="shared" si="1945"/>
        <v>61</v>
      </c>
      <c r="CI978" s="2443">
        <f t="shared" si="1945"/>
        <v>59</v>
      </c>
      <c r="CJ978" s="2443">
        <f t="shared" si="1945"/>
        <v>241</v>
      </c>
      <c r="CK978" s="2443">
        <f t="shared" si="1945"/>
        <v>53</v>
      </c>
      <c r="CL978" s="2443">
        <f t="shared" si="1945"/>
        <v>57</v>
      </c>
      <c r="CM978" s="2443">
        <f t="shared" si="1945"/>
        <v>-101</v>
      </c>
      <c r="CN978" s="2443">
        <f t="shared" si="1945"/>
        <v>108</v>
      </c>
      <c r="CO978" s="2443">
        <f t="shared" si="1945"/>
        <v>71</v>
      </c>
      <c r="CP978" s="2443">
        <f t="shared" si="1945"/>
        <v>67</v>
      </c>
      <c r="CQ978" s="2443">
        <f t="shared" si="1945"/>
        <v>90</v>
      </c>
      <c r="CR978" s="2443">
        <f t="shared" si="1945"/>
        <v>82</v>
      </c>
      <c r="CS978" s="2443">
        <f t="shared" si="1945"/>
        <v>-107</v>
      </c>
      <c r="CT978" s="2443">
        <f t="shared" si="1945"/>
        <v>132</v>
      </c>
      <c r="CU978" s="2443">
        <f t="shared" ca="1" si="1945"/>
        <v>103.46273972602739</v>
      </c>
      <c r="CV978" s="2443">
        <f t="shared" ca="1" si="1945"/>
        <v>106.63419207838524</v>
      </c>
      <c r="CW978" s="2443">
        <f t="shared" ca="1" si="1945"/>
        <v>99.526066584440855</v>
      </c>
      <c r="CX978" s="2443">
        <f t="shared" ca="1" si="1945"/>
        <v>105.79522188242549</v>
      </c>
      <c r="CY978" s="2443">
        <f t="shared" ca="1" si="1945"/>
        <v>415.4182202712791</v>
      </c>
      <c r="CZ978" s="2443">
        <f t="shared" ca="1" si="1945"/>
        <v>423.90765456387771</v>
      </c>
      <c r="DA978" s="2443">
        <f t="shared" ca="1" si="1945"/>
        <v>432.76494378228745</v>
      </c>
      <c r="DB978" s="537"/>
      <c r="DC978" s="537"/>
      <c r="DE978" s="2349"/>
      <c r="DF978" s="2349"/>
      <c r="DG978" s="2349"/>
      <c r="DH978" s="2349"/>
      <c r="DI978" s="2349"/>
      <c r="DJ978" s="2349"/>
      <c r="DK978" s="2349"/>
      <c r="DL978" s="2349"/>
      <c r="DM978" s="2349"/>
      <c r="DN978" s="2349"/>
      <c r="DO978" s="2349"/>
      <c r="DP978" s="2349"/>
      <c r="DQ978" s="2349"/>
      <c r="DR978" s="2349"/>
      <c r="DS978" s="2349"/>
      <c r="DT978" s="2349"/>
      <c r="DU978" s="2349"/>
      <c r="DV978" s="2349"/>
      <c r="DW978" s="2349"/>
      <c r="DX978" s="2349"/>
      <c r="DY978" s="2349"/>
      <c r="DZ978" s="537"/>
      <c r="EA978"/>
      <c r="EB978"/>
      <c r="EC978"/>
      <c r="ED978"/>
      <c r="EE978"/>
      <c r="EF978"/>
      <c r="EJ978"/>
      <c r="EK978"/>
      <c r="EL978"/>
      <c r="ER978" s="2402"/>
    </row>
    <row r="979" spans="1:148" s="2383" customFormat="1" x14ac:dyDescent="0.2">
      <c r="A979" s="2383" t="s">
        <v>2670</v>
      </c>
      <c r="B979" s="2349"/>
      <c r="C979" s="2349"/>
      <c r="D979" s="2349"/>
      <c r="E979" s="2349"/>
      <c r="F979" s="2349"/>
      <c r="G979" s="2349"/>
      <c r="H979" s="2349"/>
      <c r="I979" s="2349"/>
      <c r="J979" s="2349"/>
      <c r="K979" s="2349"/>
      <c r="L979" s="2349"/>
      <c r="M979" s="2349"/>
      <c r="N979" s="2349"/>
      <c r="O979" s="2349"/>
      <c r="P979" s="2349"/>
      <c r="Q979" s="2349"/>
      <c r="R979" s="2349"/>
      <c r="S979" s="2349"/>
      <c r="T979" s="2349"/>
      <c r="U979" s="2349"/>
      <c r="V979" s="2349"/>
      <c r="W979" s="2349"/>
      <c r="X979" s="2349"/>
      <c r="Y979" s="2349"/>
      <c r="Z979" s="2349"/>
      <c r="AA979" s="2349"/>
      <c r="AB979" s="2349"/>
      <c r="AC979" s="2349"/>
      <c r="AD979" s="2349"/>
      <c r="AE979" s="2349"/>
      <c r="AF979" s="2349"/>
      <c r="AG979" s="2349"/>
      <c r="AH979" s="2349"/>
      <c r="AI979" s="2349"/>
      <c r="AJ979" s="2349"/>
      <c r="AK979" s="2349"/>
      <c r="AL979" s="2349"/>
      <c r="AM979" s="2349"/>
      <c r="AN979" s="2349"/>
      <c r="AO979" s="2349"/>
      <c r="AP979" s="2349"/>
      <c r="AQ979" s="2349"/>
      <c r="AR979" s="2349"/>
      <c r="AS979" s="2349"/>
      <c r="AT979" s="2349"/>
      <c r="AU979" s="2349"/>
      <c r="AV979" s="2349"/>
      <c r="AW979" s="2349"/>
      <c r="AX979" s="2349"/>
      <c r="AY979" s="2349"/>
      <c r="AZ979" s="2349"/>
      <c r="BA979" s="2349"/>
      <c r="BB979" s="2349"/>
      <c r="BC979" s="2349"/>
      <c r="BD979" s="2349"/>
      <c r="BE979" s="2349"/>
      <c r="BF979" s="2349"/>
      <c r="BG979" s="2349"/>
      <c r="BH979" s="2349"/>
      <c r="BI979" s="2349"/>
      <c r="BJ979" s="2349"/>
      <c r="BK979" s="2349"/>
      <c r="BL979" s="2349"/>
      <c r="BM979" s="2349"/>
      <c r="BN979" s="2349"/>
      <c r="BO979" s="2349"/>
      <c r="BP979" s="2349"/>
      <c r="BQ979" s="2349"/>
      <c r="BR979" s="2349"/>
      <c r="BS979" s="2349"/>
      <c r="BT979" s="2349"/>
      <c r="BU979" s="2349"/>
      <c r="BV979" s="2349"/>
      <c r="BW979" s="2349"/>
      <c r="BX979" s="2349"/>
      <c r="BY979" s="2349"/>
      <c r="BZ979" s="2349"/>
      <c r="CA979" s="2349"/>
      <c r="CB979" s="2349"/>
      <c r="CC979" s="2349"/>
      <c r="CD979" s="2349"/>
      <c r="CE979" s="2349">
        <v>1</v>
      </c>
      <c r="CF979" s="2349">
        <v>1</v>
      </c>
      <c r="CG979" s="2349">
        <v>1</v>
      </c>
      <c r="CH979" s="2349">
        <v>1</v>
      </c>
      <c r="CI979" s="2349">
        <v>1</v>
      </c>
      <c r="CJ979" s="2349">
        <v>1</v>
      </c>
      <c r="CK979" s="2349">
        <v>1</v>
      </c>
      <c r="CL979" s="2349">
        <v>1</v>
      </c>
      <c r="CM979" s="2349">
        <v>1</v>
      </c>
      <c r="CN979" s="2349">
        <v>1</v>
      </c>
      <c r="CO979" s="2349">
        <v>1</v>
      </c>
      <c r="CP979" s="2349">
        <v>1</v>
      </c>
      <c r="CQ979" s="2349">
        <v>1</v>
      </c>
      <c r="CR979" s="2349">
        <v>1</v>
      </c>
      <c r="CS979" s="2349">
        <v>1</v>
      </c>
      <c r="CT979" s="2349">
        <v>1</v>
      </c>
      <c r="CU979" s="2349">
        <v>1</v>
      </c>
      <c r="CV979" s="2349">
        <v>1</v>
      </c>
      <c r="CW979" s="2349">
        <v>1</v>
      </c>
      <c r="CX979" s="2349">
        <v>1</v>
      </c>
      <c r="CY979" s="2349">
        <v>1</v>
      </c>
      <c r="CZ979" s="2349">
        <v>1</v>
      </c>
      <c r="DA979" s="2349">
        <v>1</v>
      </c>
      <c r="DB979" s="537"/>
      <c r="DC979" s="537"/>
      <c r="DE979" s="2349"/>
      <c r="DF979" s="2349"/>
      <c r="DG979" s="2349"/>
      <c r="DH979" s="2349"/>
      <c r="DI979" s="2349"/>
      <c r="DJ979" s="2349"/>
      <c r="DK979" s="2349"/>
      <c r="DL979" s="2349"/>
      <c r="DM979" s="2349"/>
      <c r="DN979" s="2349"/>
      <c r="DO979" s="2349"/>
      <c r="DP979" s="2349"/>
      <c r="DQ979" s="2349"/>
      <c r="DR979" s="2349"/>
      <c r="DS979" s="2349"/>
      <c r="DT979" s="2349"/>
      <c r="DU979" s="2349"/>
      <c r="DV979" s="2349"/>
      <c r="DW979" s="2349"/>
      <c r="DX979" s="2349"/>
      <c r="DY979" s="2349"/>
      <c r="DZ979" s="537"/>
      <c r="EA979"/>
      <c r="EB979"/>
      <c r="EC979"/>
      <c r="ED979"/>
      <c r="EE979"/>
      <c r="EF979"/>
      <c r="EJ979"/>
      <c r="EK979"/>
      <c r="EL979"/>
      <c r="ER979" s="2402"/>
    </row>
    <row r="1057" spans="13:104" x14ac:dyDescent="0.2">
      <c r="M1057" s="2708"/>
      <c r="R1057" s="2708"/>
      <c r="W1057" s="2708"/>
      <c r="AB1057" s="2708"/>
      <c r="AG1057" s="2708"/>
      <c r="AL1057" s="2708"/>
      <c r="AQ1057" s="2708"/>
      <c r="AV1057" s="2708"/>
      <c r="BA1057" s="2708"/>
      <c r="BF1057" s="2708"/>
      <c r="BK1057" s="2708"/>
      <c r="BP1057" s="2708"/>
      <c r="BU1057" s="2708"/>
      <c r="CJ1057" s="2708"/>
      <c r="CK1057" s="2709"/>
      <c r="CL1057" s="2709"/>
      <c r="CM1057" s="2709"/>
      <c r="CN1057" s="2708"/>
      <c r="CO1057" s="2709"/>
      <c r="CP1057" s="2709"/>
      <c r="CQ1057" s="2709"/>
      <c r="CR1057" s="2709"/>
      <c r="CS1057" s="2709"/>
      <c r="CT1057" s="2709"/>
      <c r="CU1057" s="2709"/>
      <c r="CV1057" s="2709"/>
      <c r="CW1057" s="2709"/>
      <c r="CX1057" s="2709"/>
      <c r="CY1057" s="2709"/>
      <c r="CZ1057"/>
    </row>
  </sheetData>
  <phoneticPr fontId="0" type="noConversion"/>
  <printOptions horizontalCentered="1"/>
  <pageMargins left="0" right="0" top="0" bottom="0" header="0" footer="0"/>
  <pageSetup paperSize="5" scale="10" orientation="landscape" blackAndWhite="1" horizontalDpi="4294967292" verticalDpi="4294967292" r:id="rId1"/>
  <headerFooter alignWithMargins="0"/>
  <colBreaks count="1" manualBreakCount="1">
    <brk id="27" max="1048575" man="1"/>
  </colBreaks>
  <cellWatches>
    <cellWatch r="CO901"/>
  </cellWatches>
  <ignoredErrors>
    <ignoredError sqref="BR912:BV917 BW917 BW912:BW915 BX917 BX912:BX915 BY912:BY915 BY893:BY906 BX893:BX906 BW893:BW906 BR893:BV906" formulaRange="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T2"/>
  <sheetViews>
    <sheetView workbookViewId="0"/>
  </sheetViews>
  <sheetFormatPr defaultRowHeight="11.25" x14ac:dyDescent="0.2"/>
  <sheetData>
    <row r="1" spans="1:20" ht="15" x14ac:dyDescent="0.2">
      <c r="A1" s="80" t="s">
        <v>59</v>
      </c>
    </row>
    <row r="2" spans="1:20" ht="15" x14ac:dyDescent="0.2">
      <c r="A2" s="81" t="s">
        <v>1552</v>
      </c>
      <c r="B2" s="81" t="s">
        <v>1979</v>
      </c>
      <c r="C2" s="81" t="s">
        <v>57</v>
      </c>
      <c r="D2" s="81" t="s">
        <v>1757</v>
      </c>
      <c r="E2" s="81" t="s">
        <v>1554</v>
      </c>
      <c r="F2" s="81" t="s">
        <v>1979</v>
      </c>
      <c r="G2" s="1206" t="s">
        <v>1550</v>
      </c>
      <c r="H2" s="1206" t="s">
        <v>1551</v>
      </c>
      <c r="I2" s="1206" t="s">
        <v>58</v>
      </c>
      <c r="J2" s="1206" t="s">
        <v>372</v>
      </c>
      <c r="K2" s="1206" t="s">
        <v>1981</v>
      </c>
      <c r="L2" s="1206" t="s">
        <v>372</v>
      </c>
      <c r="M2" s="1206" t="s">
        <v>56</v>
      </c>
      <c r="N2" s="1206" t="s">
        <v>2971</v>
      </c>
      <c r="O2" s="1206" t="s">
        <v>1980</v>
      </c>
      <c r="P2" s="1206" t="s">
        <v>1757</v>
      </c>
      <c r="Q2" s="1206" t="s">
        <v>1978</v>
      </c>
      <c r="R2" s="1206" t="s">
        <v>523</v>
      </c>
      <c r="S2" s="1206" t="s">
        <v>1553</v>
      </c>
      <c r="T2" s="1206" t="s">
        <v>1979</v>
      </c>
    </row>
  </sheetData>
  <phoneticPr fontId="0"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A1:I48"/>
  <sheetViews>
    <sheetView showGridLines="0" zoomScale="85" zoomScaleNormal="85" workbookViewId="0">
      <selection activeCell="H23" sqref="H23"/>
    </sheetView>
  </sheetViews>
  <sheetFormatPr defaultColWidth="12" defaultRowHeight="11.25" outlineLevelRow="1" outlineLevelCol="1" x14ac:dyDescent="0.2"/>
  <cols>
    <col min="1" max="1" width="33.33203125" customWidth="1"/>
    <col min="2" max="2" width="12.83203125" hidden="1" customWidth="1" outlineLevel="1"/>
    <col min="3" max="3" width="12.83203125" customWidth="1" collapsed="1"/>
    <col min="4" max="4" width="4.1640625" customWidth="1"/>
    <col min="5" max="5" width="12.83203125" customWidth="1"/>
    <col min="6" max="6" width="4.1640625" customWidth="1"/>
    <col min="7" max="7" width="12.83203125" hidden="1" customWidth="1" outlineLevel="1"/>
    <col min="8" max="8" width="12.83203125" customWidth="1" collapsed="1"/>
    <col min="9" max="9" width="12" customWidth="1"/>
  </cols>
  <sheetData>
    <row r="1" spans="1:9" ht="12.75" x14ac:dyDescent="0.2">
      <c r="A1" s="669" t="s">
        <v>1082</v>
      </c>
      <c r="B1" s="2265"/>
      <c r="C1" s="2265"/>
      <c r="D1" s="670"/>
      <c r="E1" s="670"/>
      <c r="F1" s="670"/>
      <c r="H1" s="2716">
        <f ca="1">TODAY()</f>
        <v>43146</v>
      </c>
    </row>
    <row r="2" spans="1:9" ht="12.75" x14ac:dyDescent="0.2">
      <c r="A2" s="669" t="s">
        <v>1878</v>
      </c>
      <c r="B2" s="676"/>
      <c r="C2" s="676"/>
      <c r="D2" s="670"/>
      <c r="E2" s="670"/>
      <c r="F2" s="670"/>
      <c r="H2" s="2265" t="s">
        <v>1083</v>
      </c>
    </row>
    <row r="3" spans="1:9" ht="12.75" x14ac:dyDescent="0.2">
      <c r="A3" s="669"/>
      <c r="B3" s="676"/>
      <c r="C3" s="676"/>
      <c r="D3" s="670"/>
      <c r="E3" s="670"/>
      <c r="F3" s="670"/>
      <c r="G3" s="670"/>
      <c r="H3" s="670"/>
    </row>
    <row r="4" spans="1:9" ht="12.75" x14ac:dyDescent="0.2">
      <c r="A4" s="708"/>
      <c r="B4" s="676"/>
      <c r="C4" s="676"/>
      <c r="D4" s="670"/>
      <c r="E4" s="670"/>
      <c r="F4" s="670"/>
      <c r="G4" s="670"/>
      <c r="H4" s="670"/>
    </row>
    <row r="5" spans="1:9" ht="12.75" x14ac:dyDescent="0.2">
      <c r="A5" s="708"/>
      <c r="D5" s="670"/>
      <c r="E5" s="670"/>
      <c r="F5" s="670"/>
      <c r="G5" s="670"/>
      <c r="H5" s="670"/>
    </row>
    <row r="6" spans="1:9" ht="15" customHeight="1" x14ac:dyDescent="0.2">
      <c r="A6" s="2449" t="s">
        <v>448</v>
      </c>
      <c r="B6" s="2450"/>
      <c r="C6" s="2450"/>
      <c r="D6" s="2451"/>
      <c r="E6" s="2451"/>
      <c r="F6" s="2451"/>
      <c r="G6" s="3667" t="s">
        <v>2893</v>
      </c>
      <c r="H6" s="3667" t="s">
        <v>2894</v>
      </c>
    </row>
    <row r="7" spans="1:9" ht="15" customHeight="1" x14ac:dyDescent="0.2">
      <c r="A7" s="2452"/>
      <c r="B7" s="2453" t="s">
        <v>723</v>
      </c>
      <c r="C7" s="2453" t="s">
        <v>724</v>
      </c>
      <c r="D7" s="671"/>
      <c r="E7" s="2454" t="s">
        <v>73</v>
      </c>
      <c r="F7" s="2455"/>
      <c r="G7" s="2456" t="s">
        <v>1875</v>
      </c>
      <c r="H7" s="2456" t="s">
        <v>1875</v>
      </c>
    </row>
    <row r="8" spans="1:9" ht="15" customHeight="1" x14ac:dyDescent="0.2">
      <c r="A8" s="2457" t="s">
        <v>1876</v>
      </c>
      <c r="B8" s="679" t="s">
        <v>1863</v>
      </c>
      <c r="C8" s="679" t="s">
        <v>1863</v>
      </c>
      <c r="D8" s="680"/>
      <c r="E8" s="2256" t="s">
        <v>1176</v>
      </c>
      <c r="F8" s="681"/>
      <c r="G8" s="2458" t="s">
        <v>80</v>
      </c>
      <c r="H8" s="2458" t="s">
        <v>80</v>
      </c>
    </row>
    <row r="9" spans="1:9" ht="20.100000000000001" customHeight="1" x14ac:dyDescent="0.2">
      <c r="A9" s="2452" t="s">
        <v>1471</v>
      </c>
      <c r="B9" s="2459">
        <f>MAR!CY188</f>
        <v>293.05500000000006</v>
      </c>
      <c r="C9" s="2459">
        <f>MAR!CZ188</f>
        <v>303.2633000000003</v>
      </c>
      <c r="D9" s="682" t="s">
        <v>285</v>
      </c>
      <c r="E9" s="683">
        <v>14</v>
      </c>
      <c r="F9" s="684" t="s">
        <v>2066</v>
      </c>
      <c r="G9" s="2460">
        <f>B9*E9</f>
        <v>4102.7700000000004</v>
      </c>
      <c r="H9" s="2460">
        <f>C9*E9</f>
        <v>4245.6862000000037</v>
      </c>
    </row>
    <row r="10" spans="1:9" ht="20.100000000000001" customHeight="1" x14ac:dyDescent="0.2">
      <c r="A10" s="2452" t="s">
        <v>1472</v>
      </c>
      <c r="B10" s="2266">
        <f ca="1">MAR!CY242</f>
        <v>3618.7504967097102</v>
      </c>
      <c r="C10" s="2266">
        <f ca="1">MAR!CZ242</f>
        <v>3932.6956507228265</v>
      </c>
      <c r="D10" s="682" t="s">
        <v>285</v>
      </c>
      <c r="E10" s="683">
        <v>17</v>
      </c>
      <c r="F10" s="684" t="s">
        <v>2066</v>
      </c>
      <c r="G10" s="2461">
        <f ca="1">B10*E10</f>
        <v>61518.758444065075</v>
      </c>
      <c r="H10" s="2461">
        <f ca="1">C10*E10</f>
        <v>66855.826062288048</v>
      </c>
    </row>
    <row r="11" spans="1:9" ht="20.100000000000001" customHeight="1" x14ac:dyDescent="0.2">
      <c r="A11" s="2462" t="s">
        <v>2042</v>
      </c>
      <c r="B11" s="2267">
        <f>MAR!CY42+MAR!CY93+MAR!CY94</f>
        <v>89</v>
      </c>
      <c r="C11" s="2267">
        <f>MAR!CZ42+MAR!CZ93+MAR!CZ94</f>
        <v>89.8</v>
      </c>
      <c r="D11" s="685" t="s">
        <v>285</v>
      </c>
      <c r="E11" s="2045">
        <v>15</v>
      </c>
      <c r="F11" s="686" t="s">
        <v>2066</v>
      </c>
      <c r="G11" s="2463">
        <f>B11*E11</f>
        <v>1335</v>
      </c>
      <c r="H11" s="2463">
        <f>C11*E11</f>
        <v>1347</v>
      </c>
    </row>
    <row r="12" spans="1:9" ht="20.100000000000001" customHeight="1" x14ac:dyDescent="0.2">
      <c r="A12" s="2464" t="s">
        <v>76</v>
      </c>
      <c r="B12" s="2268">
        <f ca="1">SUM(B9:B11)</f>
        <v>4000.8054967097105</v>
      </c>
      <c r="C12" s="2268">
        <f ca="1">SUM(C9:C11)</f>
        <v>4325.7589507228267</v>
      </c>
      <c r="D12" s="1015"/>
      <c r="E12" s="1016">
        <f ca="1">G12/B12</f>
        <v>16.735761960717802</v>
      </c>
      <c r="F12" s="684"/>
      <c r="G12" s="2465">
        <f ca="1">SUM(G9:G11)</f>
        <v>66956.528444065072</v>
      </c>
      <c r="H12" s="2465">
        <f ca="1">SUM(H9:H11)</f>
        <v>72448.512262288044</v>
      </c>
      <c r="I12" s="70"/>
    </row>
    <row r="13" spans="1:9" ht="20.100000000000001" customHeight="1" x14ac:dyDescent="0.2">
      <c r="A13" s="2466" t="s">
        <v>1596</v>
      </c>
      <c r="B13" s="2269">
        <f ca="1">+B14-B12</f>
        <v>-752.28553972872305</v>
      </c>
      <c r="C13" s="2269">
        <f ca="1">+C14-C12</f>
        <v>-679.28218663612415</v>
      </c>
      <c r="D13" s="685" t="s">
        <v>285</v>
      </c>
      <c r="E13" s="1013">
        <f ca="1">E12</f>
        <v>16.735761960717802</v>
      </c>
      <c r="F13" s="686" t="s">
        <v>2066</v>
      </c>
      <c r="G13" s="2467">
        <f ca="1">E13*B13</f>
        <v>-12590.071719390024</v>
      </c>
      <c r="H13" s="2467">
        <f ca="1">C13*E13</f>
        <v>-11368.304979698058</v>
      </c>
      <c r="I13" s="70"/>
    </row>
    <row r="14" spans="1:9" ht="20.100000000000001" customHeight="1" x14ac:dyDescent="0.2">
      <c r="A14" s="2464" t="s">
        <v>1735</v>
      </c>
      <c r="B14" s="1387">
        <f ca="1">+MAR!CY98-MAR!CY95</f>
        <v>3248.5199569809874</v>
      </c>
      <c r="C14" s="1387">
        <f ca="1">+MAR!CZ98-MAR!CZ95</f>
        <v>3646.4767640867026</v>
      </c>
      <c r="D14" s="673"/>
      <c r="E14" s="1016">
        <f ca="1">G14/B14</f>
        <v>16.735761960717806</v>
      </c>
      <c r="F14" s="671"/>
      <c r="G14" s="2468">
        <f ca="1">SUM(G12:G13)</f>
        <v>54366.456724675052</v>
      </c>
      <c r="H14" s="2468">
        <f ca="1">SUM(H12:H13)</f>
        <v>61080.207282589989</v>
      </c>
      <c r="I14" s="70"/>
    </row>
    <row r="15" spans="1:9" ht="12.75" x14ac:dyDescent="0.2">
      <c r="A15" s="2452"/>
      <c r="B15" s="2455"/>
      <c r="C15" s="2455"/>
      <c r="D15" s="671"/>
      <c r="E15" s="671"/>
      <c r="F15" s="671"/>
      <c r="G15" s="2469"/>
      <c r="H15" s="2469"/>
      <c r="I15" s="70"/>
    </row>
    <row r="16" spans="1:9" ht="20.100000000000001" customHeight="1" x14ac:dyDescent="0.2">
      <c r="A16" s="2452" t="s">
        <v>1874</v>
      </c>
      <c r="B16" s="2455"/>
      <c r="C16" s="2455"/>
      <c r="D16" s="671"/>
      <c r="E16" s="671"/>
      <c r="F16" s="671"/>
      <c r="G16" s="2470">
        <f>-MAR!CT798</f>
        <v>-8238</v>
      </c>
      <c r="H16" s="2470">
        <f>-MAR!CY798</f>
        <v>-9038</v>
      </c>
      <c r="I16" s="70"/>
    </row>
    <row r="17" spans="1:9" ht="20.100000000000001" hidden="1" customHeight="1" outlineLevel="1" x14ac:dyDescent="0.2">
      <c r="A17" s="2452" t="s">
        <v>1597</v>
      </c>
      <c r="B17" s="2455"/>
      <c r="C17" s="2455"/>
      <c r="D17" s="671"/>
      <c r="E17" s="671"/>
      <c r="F17" s="671"/>
      <c r="G17" s="2471">
        <v>0</v>
      </c>
      <c r="H17" s="2471">
        <v>0</v>
      </c>
      <c r="I17" s="70"/>
    </row>
    <row r="18" spans="1:9" ht="20.100000000000001" hidden="1" customHeight="1" outlineLevel="1" x14ac:dyDescent="0.2">
      <c r="A18" s="3686" t="s">
        <v>2909</v>
      </c>
      <c r="B18" s="2455"/>
      <c r="C18" s="2455"/>
      <c r="D18" s="671"/>
      <c r="E18" s="671"/>
      <c r="F18" s="671"/>
      <c r="G18" s="2470">
        <f>-MAR!CS710</f>
        <v>-659</v>
      </c>
      <c r="H18" s="2471">
        <v>0</v>
      </c>
      <c r="I18" s="70"/>
    </row>
    <row r="19" spans="1:9" ht="20.100000000000001" customHeight="1" collapsed="1" x14ac:dyDescent="0.2">
      <c r="A19" s="2462" t="s">
        <v>1468</v>
      </c>
      <c r="B19" s="681"/>
      <c r="C19" s="681"/>
      <c r="D19" s="680"/>
      <c r="E19" s="680"/>
      <c r="F19" s="680"/>
      <c r="G19" s="3668">
        <f>MAR!CT799</f>
        <v>383</v>
      </c>
      <c r="H19" s="3668">
        <f ca="1">MAR!CY799</f>
        <v>82.730912775479766</v>
      </c>
      <c r="I19" s="70"/>
    </row>
    <row r="20" spans="1:9" ht="20.100000000000001" customHeight="1" x14ac:dyDescent="0.2">
      <c r="A20" s="2464" t="s">
        <v>1877</v>
      </c>
      <c r="B20" s="2455"/>
      <c r="C20" s="2455"/>
      <c r="D20" s="671"/>
      <c r="E20" s="671"/>
      <c r="F20" s="671"/>
      <c r="G20" s="2472">
        <f ca="1">SUM(G14:G19)</f>
        <v>45852.456724675052</v>
      </c>
      <c r="H20" s="2472">
        <f ca="1">SUM(H14:H19)</f>
        <v>52124.938195365467</v>
      </c>
      <c r="I20" s="149"/>
    </row>
    <row r="21" spans="1:9" ht="20.100000000000001" customHeight="1" x14ac:dyDescent="0.2">
      <c r="A21" s="2452" t="s">
        <v>715</v>
      </c>
      <c r="B21" s="2455"/>
      <c r="C21" s="2455"/>
      <c r="D21" s="671"/>
      <c r="E21" s="671"/>
      <c r="F21" s="671"/>
      <c r="G21" s="2473">
        <f>MAR!CS57</f>
        <v>365.1</v>
      </c>
      <c r="H21" s="2473">
        <f>MAR!CX57</f>
        <v>353.32848727424988</v>
      </c>
      <c r="I21" s="70"/>
    </row>
    <row r="22" spans="1:9" ht="20.100000000000001" customHeight="1" x14ac:dyDescent="0.2">
      <c r="A22" s="687" t="s">
        <v>2937</v>
      </c>
      <c r="B22" s="688"/>
      <c r="C22" s="688"/>
      <c r="D22" s="689"/>
      <c r="E22" s="689"/>
      <c r="F22" s="689"/>
      <c r="G22" s="3380">
        <f ca="1">+G20/G21</f>
        <v>125.58876122891002</v>
      </c>
      <c r="H22" s="3380">
        <f ca="1">+H20/H21</f>
        <v>147.5254333367879</v>
      </c>
      <c r="I22" s="70"/>
    </row>
    <row r="23" spans="1:9" ht="20.100000000000001" customHeight="1" x14ac:dyDescent="0.2">
      <c r="A23" s="697" t="s">
        <v>1469</v>
      </c>
      <c r="B23" s="690"/>
      <c r="C23" s="690"/>
      <c r="D23" s="674"/>
      <c r="E23" s="674"/>
      <c r="F23" s="674"/>
      <c r="G23" s="3687">
        <f>+H23</f>
        <v>141</v>
      </c>
      <c r="H23" s="2439">
        <v>141</v>
      </c>
      <c r="I23" s="2434"/>
    </row>
    <row r="24" spans="1:9" ht="20.100000000000001" customHeight="1" x14ac:dyDescent="0.2">
      <c r="A24" s="1386" t="s">
        <v>1470</v>
      </c>
      <c r="B24" s="690"/>
      <c r="C24" s="690"/>
      <c r="D24" s="674"/>
      <c r="E24" s="674"/>
      <c r="F24" s="674"/>
      <c r="G24" s="885">
        <f ca="1">G22/G23-1</f>
        <v>-0.10929956575241129</v>
      </c>
      <c r="H24" s="885">
        <f ca="1">H22/H23-1</f>
        <v>4.6279669055233397E-2</v>
      </c>
      <c r="I24" s="70"/>
    </row>
    <row r="25" spans="1:9" ht="12.75" x14ac:dyDescent="0.2">
      <c r="A25" s="697"/>
      <c r="B25" s="690"/>
      <c r="C25" s="690"/>
      <c r="D25" s="674"/>
      <c r="E25" s="2433"/>
      <c r="F25" s="674"/>
      <c r="G25" s="1014">
        <f ca="1">G20/G21</f>
        <v>125.58876122891002</v>
      </c>
      <c r="H25" s="1014"/>
      <c r="I25" s="70"/>
    </row>
    <row r="26" spans="1:9" ht="12.75" x14ac:dyDescent="0.2">
      <c r="A26" s="697"/>
      <c r="B26" s="690"/>
      <c r="C26" s="690"/>
      <c r="D26" s="674"/>
      <c r="E26" s="674"/>
      <c r="F26" s="674"/>
      <c r="G26" s="1014"/>
      <c r="H26" s="1014"/>
      <c r="I26" s="70"/>
    </row>
    <row r="27" spans="1:9" ht="12.75" x14ac:dyDescent="0.2">
      <c r="I27" s="70"/>
    </row>
    <row r="28" spans="1:9" ht="12.75" x14ac:dyDescent="0.2">
      <c r="A28" s="70"/>
      <c r="B28" s="70"/>
      <c r="C28" s="70"/>
    </row>
    <row r="29" spans="1:9" ht="12.75" x14ac:dyDescent="0.2">
      <c r="A29" s="70"/>
      <c r="B29" s="70"/>
      <c r="C29" s="70"/>
    </row>
    <row r="30" spans="1:9" ht="3.95" customHeight="1" x14ac:dyDescent="0.2">
      <c r="A30" s="70"/>
      <c r="B30" s="70"/>
      <c r="C30" s="70"/>
    </row>
    <row r="31" spans="1:9" ht="12.75" customHeight="1" x14ac:dyDescent="0.2">
      <c r="A31" s="70"/>
      <c r="B31" s="70"/>
      <c r="C31" s="70"/>
    </row>
    <row r="32" spans="1:9" ht="12.75" customHeight="1" x14ac:dyDescent="0.2">
      <c r="A32" s="70"/>
      <c r="B32" s="70"/>
      <c r="C32" s="70"/>
    </row>
    <row r="33" spans="1:3" ht="12.75" customHeight="1" x14ac:dyDescent="0.2">
      <c r="A33" s="70"/>
      <c r="B33" s="70"/>
      <c r="C33" s="70"/>
    </row>
    <row r="34" spans="1:3" ht="3.95" customHeight="1" x14ac:dyDescent="0.2">
      <c r="A34" s="70"/>
      <c r="B34" s="70"/>
      <c r="C34" s="70"/>
    </row>
    <row r="35" spans="1:3" ht="12.75" customHeight="1" x14ac:dyDescent="0.2">
      <c r="A35" s="70"/>
      <c r="B35" s="70"/>
      <c r="C35" s="70"/>
    </row>
    <row r="36" spans="1:3" ht="3.95" customHeight="1" x14ac:dyDescent="0.2">
      <c r="A36" s="70"/>
      <c r="B36" s="70"/>
      <c r="C36" s="70"/>
    </row>
    <row r="37" spans="1:3" ht="12.75" x14ac:dyDescent="0.2">
      <c r="A37" s="70"/>
      <c r="B37" s="70"/>
      <c r="C37" s="70"/>
    </row>
    <row r="46" spans="1:3" ht="3.95" customHeight="1" x14ac:dyDescent="0.2"/>
    <row r="48" spans="1:3" ht="3.95" customHeight="1" x14ac:dyDescent="0.2"/>
  </sheetData>
  <phoneticPr fontId="57" type="noConversion"/>
  <pageMargins left="0" right="0" top="0" bottom="0" header="0" footer="0"/>
  <pageSetup paperSize="5"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N74"/>
  <sheetViews>
    <sheetView zoomScale="85" workbookViewId="0"/>
  </sheetViews>
  <sheetFormatPr defaultColWidth="12" defaultRowHeight="11.25" x14ac:dyDescent="0.2"/>
  <cols>
    <col min="1" max="1" width="27.33203125" customWidth="1"/>
    <col min="2" max="2" width="16.83203125" customWidth="1"/>
    <col min="4" max="4" width="12" customWidth="1"/>
  </cols>
  <sheetData>
    <row r="1" spans="1:10" ht="12.75" x14ac:dyDescent="0.2">
      <c r="A1" s="694" t="s">
        <v>2246</v>
      </c>
      <c r="B1" s="670"/>
      <c r="C1" s="670"/>
      <c r="D1" s="670"/>
      <c r="E1" s="670"/>
      <c r="F1" s="670"/>
      <c r="G1" s="670"/>
      <c r="H1" s="670"/>
      <c r="I1" s="671"/>
      <c r="J1" s="670"/>
    </row>
    <row r="2" spans="1:10" ht="12.75" x14ac:dyDescent="0.2">
      <c r="A2" s="695" t="s">
        <v>74</v>
      </c>
      <c r="B2" s="670"/>
      <c r="C2" s="670"/>
      <c r="D2" s="670"/>
      <c r="E2" s="670"/>
      <c r="F2" s="670"/>
      <c r="G2" s="670"/>
      <c r="H2" s="670"/>
      <c r="I2" s="671"/>
      <c r="J2" s="670"/>
    </row>
    <row r="3" spans="1:10" ht="12.75" x14ac:dyDescent="0.2">
      <c r="A3" s="695"/>
      <c r="B3" s="669"/>
      <c r="C3" s="669"/>
      <c r="D3" s="670"/>
      <c r="E3" s="670"/>
      <c r="F3" s="670"/>
      <c r="G3" s="670"/>
      <c r="H3" s="670"/>
      <c r="I3" s="671"/>
      <c r="J3" s="670"/>
    </row>
    <row r="4" spans="1:10" ht="12.75" x14ac:dyDescent="0.2">
      <c r="A4" s="696" t="s">
        <v>724</v>
      </c>
      <c r="B4" s="670"/>
      <c r="C4" s="670"/>
      <c r="D4" s="670"/>
      <c r="E4" s="670"/>
      <c r="F4" s="670"/>
      <c r="G4" s="670"/>
      <c r="H4" s="670"/>
      <c r="I4" s="697"/>
      <c r="J4" s="670"/>
    </row>
    <row r="5" spans="1:10" ht="12.75" x14ac:dyDescent="0.2">
      <c r="A5" s="670"/>
      <c r="B5" s="670"/>
      <c r="C5" s="676"/>
      <c r="D5" s="677" t="s">
        <v>1252</v>
      </c>
      <c r="E5" s="677" t="s">
        <v>125</v>
      </c>
      <c r="F5" s="677" t="s">
        <v>1863</v>
      </c>
      <c r="G5" s="677" t="s">
        <v>1153</v>
      </c>
      <c r="H5" s="677" t="s">
        <v>1558</v>
      </c>
      <c r="I5" s="697"/>
      <c r="J5" s="670"/>
    </row>
    <row r="6" spans="1:10" ht="12.75" x14ac:dyDescent="0.2">
      <c r="A6" s="678" t="s">
        <v>1876</v>
      </c>
      <c r="B6" s="678" t="s">
        <v>75</v>
      </c>
      <c r="C6" s="679" t="s">
        <v>1142</v>
      </c>
      <c r="D6" s="679" t="s">
        <v>75</v>
      </c>
      <c r="E6" s="679" t="s">
        <v>1154</v>
      </c>
      <c r="F6" s="679" t="s">
        <v>1154</v>
      </c>
      <c r="G6" s="679" t="s">
        <v>1154</v>
      </c>
      <c r="H6" s="679" t="s">
        <v>1154</v>
      </c>
      <c r="I6" s="672"/>
      <c r="J6" s="669"/>
    </row>
    <row r="7" spans="1:10" ht="12.75" x14ac:dyDescent="0.2">
      <c r="A7" s="670"/>
      <c r="B7" s="670"/>
      <c r="C7" s="670"/>
      <c r="D7" s="670"/>
      <c r="E7" s="670"/>
      <c r="F7" s="670"/>
      <c r="G7" s="670"/>
      <c r="H7" s="670"/>
      <c r="I7" s="697"/>
      <c r="J7" s="670"/>
    </row>
    <row r="8" spans="1:10" ht="12.75" x14ac:dyDescent="0.2">
      <c r="A8" s="698" t="s">
        <v>1155</v>
      </c>
      <c r="B8" s="699"/>
      <c r="C8" s="699"/>
      <c r="D8" s="699"/>
      <c r="E8" s="699"/>
      <c r="F8" s="699"/>
      <c r="G8" s="699"/>
      <c r="H8" s="699"/>
      <c r="I8" s="697"/>
      <c r="J8" s="670"/>
    </row>
    <row r="9" spans="1:10" ht="12.75" x14ac:dyDescent="0.2">
      <c r="A9" s="670"/>
      <c r="B9" s="670"/>
      <c r="C9" s="670"/>
      <c r="D9" s="670"/>
      <c r="E9" s="670"/>
      <c r="F9" s="670"/>
      <c r="G9" s="670"/>
      <c r="H9" s="670"/>
      <c r="I9" s="697"/>
      <c r="J9" s="670"/>
    </row>
    <row r="10" spans="1:10" ht="12.75" x14ac:dyDescent="0.2">
      <c r="A10" s="670" t="s">
        <v>2027</v>
      </c>
      <c r="B10" s="2878" t="s">
        <v>487</v>
      </c>
      <c r="C10" s="700">
        <f>0.03+0.035</f>
        <v>6.5000000000000002E-2</v>
      </c>
      <c r="D10" s="710">
        <f ca="1">AVERAGE(MAR!$CY$276:'MAR'!$CZ$276)+(C10/2)</f>
        <v>5.4891671761315222E-2</v>
      </c>
      <c r="E10" s="70">
        <f>MAR!$CZ$171*C10</f>
        <v>113.15466825</v>
      </c>
      <c r="F10" s="70">
        <f>E10</f>
        <v>113.15466825</v>
      </c>
      <c r="G10" s="70">
        <f>F10*$B$47</f>
        <v>1584.1653555</v>
      </c>
      <c r="H10" s="670"/>
      <c r="I10" s="701"/>
      <c r="J10" s="670"/>
    </row>
    <row r="11" spans="1:10" ht="12.75" x14ac:dyDescent="0.2">
      <c r="A11" s="670"/>
      <c r="B11" s="691" t="s">
        <v>1156</v>
      </c>
      <c r="C11" s="2879">
        <v>0.01</v>
      </c>
      <c r="D11" s="710">
        <f>C11+MAR!$CZ$193</f>
        <v>0.18420504876077015</v>
      </c>
      <c r="E11" s="691"/>
      <c r="F11" s="207">
        <f>(MAR!$CZ$171+F10)*D11-MAR!$CZ$188-F10*MAR!CZ193</f>
        <v>18.539957182499982</v>
      </c>
      <c r="G11" s="691">
        <f>F11*$B$47</f>
        <v>259.55940055499974</v>
      </c>
      <c r="H11" s="670"/>
      <c r="I11" s="701"/>
      <c r="J11" s="670"/>
    </row>
    <row r="12" spans="1:10" ht="12.75" x14ac:dyDescent="0.2">
      <c r="A12" s="670"/>
      <c r="B12" s="669" t="s">
        <v>76</v>
      </c>
      <c r="C12" s="670"/>
      <c r="D12" s="691"/>
      <c r="E12" s="669">
        <f>SUM(E10:E11)</f>
        <v>113.15466825</v>
      </c>
      <c r="F12" s="669">
        <f>SUM(F10:F11)</f>
        <v>131.69462543249998</v>
      </c>
      <c r="G12" s="669">
        <f>SUM(G10:G11)</f>
        <v>1843.7247560549997</v>
      </c>
      <c r="H12" s="702">
        <f>G12/$B$53</f>
        <v>5.049917162571897</v>
      </c>
      <c r="I12" s="701"/>
      <c r="J12" s="670"/>
    </row>
    <row r="13" spans="1:10" ht="12.75" x14ac:dyDescent="0.2">
      <c r="A13" s="670"/>
      <c r="B13" s="670"/>
      <c r="C13" s="311"/>
      <c r="D13" s="691"/>
      <c r="E13" s="670"/>
      <c r="F13" s="670"/>
      <c r="G13" s="670"/>
      <c r="H13" s="670"/>
      <c r="I13" s="701"/>
      <c r="J13" s="670"/>
    </row>
    <row r="14" spans="1:10" ht="12.75" x14ac:dyDescent="0.2">
      <c r="A14" s="670" t="s">
        <v>1177</v>
      </c>
      <c r="B14" s="2878" t="s">
        <v>487</v>
      </c>
      <c r="C14" s="700">
        <f>0.03+0.035</f>
        <v>6.5000000000000002E-2</v>
      </c>
      <c r="D14" s="710">
        <f ca="1">AVERAGE(MAR!$CY$276:'MAR'!$CZ$276)+(C14/2)</f>
        <v>5.4891671761315222E-2</v>
      </c>
      <c r="E14" s="670">
        <f ca="1">MAR!$CZ$333*C14</f>
        <v>81.832615624562735</v>
      </c>
      <c r="F14" s="70">
        <f ca="1">E14</f>
        <v>81.832615624562735</v>
      </c>
      <c r="G14" s="670">
        <f ca="1">F14*$B$48</f>
        <v>1391.1544656175665</v>
      </c>
      <c r="H14" s="670"/>
      <c r="I14" s="697"/>
      <c r="J14" s="670"/>
    </row>
    <row r="15" spans="1:10" ht="12.75" x14ac:dyDescent="0.2">
      <c r="A15" s="670"/>
      <c r="B15" s="670" t="s">
        <v>1157</v>
      </c>
      <c r="C15" s="700">
        <v>0.01</v>
      </c>
      <c r="D15" s="2660">
        <f ca="1">AVERAGE(MAR!$CY$266:'MAR'!$CZ$266)+(C15/2)</f>
        <v>6.3458235227738413E-2</v>
      </c>
      <c r="E15" s="670">
        <f ca="1">MAR!$CZ$333*C15</f>
        <v>12.589633173009652</v>
      </c>
      <c r="F15" s="70">
        <f ca="1">E15</f>
        <v>12.589633173009652</v>
      </c>
      <c r="G15" s="670">
        <f ca="1">F15*$B$48</f>
        <v>214.02376394116408</v>
      </c>
      <c r="H15" s="670"/>
      <c r="I15" s="697"/>
      <c r="J15" s="670"/>
    </row>
    <row r="16" spans="1:10" ht="12.75" x14ac:dyDescent="0.2">
      <c r="A16" s="670"/>
      <c r="B16" s="670" t="s">
        <v>486</v>
      </c>
      <c r="C16" s="700">
        <v>0.5</v>
      </c>
      <c r="D16" s="2660">
        <f>AVERAGE(MAR!$CY$347:'MAR'!$CZ$347)+(C16/2)</f>
        <v>0.28843904448105429</v>
      </c>
      <c r="E16" s="670">
        <f>MAR!$CZ$346*C16</f>
        <v>327.19769999999994</v>
      </c>
      <c r="F16" s="70">
        <f>E16</f>
        <v>327.19769999999994</v>
      </c>
      <c r="G16" s="670">
        <f>F16*$B$48</f>
        <v>5562.3608999999988</v>
      </c>
      <c r="H16" s="670"/>
      <c r="I16" s="697"/>
      <c r="J16" s="670"/>
    </row>
    <row r="17" spans="1:10" ht="12.75" x14ac:dyDescent="0.2">
      <c r="A17" s="670"/>
      <c r="B17" s="669" t="s">
        <v>76</v>
      </c>
      <c r="C17" s="670"/>
      <c r="D17" s="691"/>
      <c r="E17" s="669">
        <f ca="1">SUM(E14:E16)</f>
        <v>421.61994879757231</v>
      </c>
      <c r="F17" s="669">
        <f ca="1">SUM(F14:F16)</f>
        <v>421.61994879757231</v>
      </c>
      <c r="G17" s="669">
        <f ca="1">SUM(G14:G16)</f>
        <v>7167.5391295587297</v>
      </c>
      <c r="H17" s="702">
        <f ca="1">G17/$B$53</f>
        <v>19.631714953598273</v>
      </c>
      <c r="I17" s="697"/>
      <c r="J17" s="670"/>
    </row>
    <row r="18" spans="1:10" ht="12.75" x14ac:dyDescent="0.2">
      <c r="A18" s="670"/>
      <c r="B18" s="670"/>
      <c r="C18" s="670"/>
      <c r="D18" s="691"/>
      <c r="E18" s="670"/>
      <c r="F18" s="670"/>
      <c r="G18" s="670"/>
      <c r="H18" s="670"/>
      <c r="I18" s="697"/>
      <c r="J18" s="670"/>
    </row>
    <row r="19" spans="1:10" ht="12.75" x14ac:dyDescent="0.2">
      <c r="A19" s="670" t="s">
        <v>1931</v>
      </c>
      <c r="B19" s="670" t="s">
        <v>1158</v>
      </c>
      <c r="C19" s="700">
        <v>0.03</v>
      </c>
      <c r="D19" s="70">
        <f>MAR!$CZ$616*(1+C19)</f>
        <v>904.74153643600016</v>
      </c>
      <c r="E19" s="670"/>
      <c r="F19" s="70">
        <f>-MAR!$CZ$616*C19</f>
        <v>-26.351695236000001</v>
      </c>
      <c r="G19" s="670">
        <f ca="1">F19*$B$52</f>
        <v>-441.01569873107746</v>
      </c>
      <c r="H19" s="670"/>
      <c r="I19" s="697"/>
      <c r="J19" s="670"/>
    </row>
    <row r="20" spans="1:10" ht="12.75" x14ac:dyDescent="0.2">
      <c r="A20" s="670"/>
      <c r="B20" s="669" t="s">
        <v>76</v>
      </c>
      <c r="C20" s="670"/>
      <c r="D20" s="670"/>
      <c r="E20" s="670"/>
      <c r="F20" s="669">
        <f>SUM(F19)</f>
        <v>-26.351695236000001</v>
      </c>
      <c r="G20" s="669">
        <f ca="1">SUM(G19)</f>
        <v>-441.01569873107746</v>
      </c>
      <c r="H20" s="702">
        <f ca="1">G20/$B$53</f>
        <v>-1.2079312482363118</v>
      </c>
      <c r="I20" s="697"/>
      <c r="J20" s="670"/>
    </row>
    <row r="21" spans="1:10" ht="12.75" x14ac:dyDescent="0.2">
      <c r="A21" s="670"/>
      <c r="B21" s="670"/>
      <c r="C21" s="670"/>
      <c r="D21" s="670"/>
      <c r="E21" s="670"/>
      <c r="F21" s="670"/>
      <c r="G21" s="670"/>
      <c r="H21" s="670"/>
      <c r="I21" s="697"/>
      <c r="J21" s="670"/>
    </row>
    <row r="22" spans="1:10" ht="12.75" x14ac:dyDescent="0.2">
      <c r="A22" s="670" t="s">
        <v>1159</v>
      </c>
      <c r="B22" s="670"/>
      <c r="C22" s="703">
        <v>2.5</v>
      </c>
      <c r="D22" s="3338">
        <f ca="1">'EBITDA Val'!E14+'PT Impact'!C22</f>
        <v>19.235761960717806</v>
      </c>
      <c r="E22" s="670"/>
      <c r="F22" s="670"/>
      <c r="G22" s="670">
        <f ca="1">(MAR!$CY$98+F24)*C22</f>
        <v>9838.7070899376504</v>
      </c>
      <c r="H22" s="702">
        <f ca="1">G22/$B$53</f>
        <v>26.94797888232717</v>
      </c>
      <c r="I22" s="697"/>
    </row>
    <row r="23" spans="1:10" ht="13.5" thickBot="1" x14ac:dyDescent="0.25">
      <c r="A23" s="670"/>
      <c r="B23" s="670"/>
      <c r="C23" s="670"/>
      <c r="D23" s="3619"/>
      <c r="E23" s="670"/>
      <c r="F23" s="670"/>
      <c r="G23" s="670"/>
      <c r="H23" s="670"/>
      <c r="I23" s="697"/>
      <c r="J23" s="670"/>
    </row>
    <row r="24" spans="1:10" ht="13.5" thickBot="1" x14ac:dyDescent="0.25">
      <c r="A24" s="704" t="s">
        <v>1735</v>
      </c>
      <c r="B24" s="705"/>
      <c r="C24" s="705"/>
      <c r="D24" s="705"/>
      <c r="E24" s="705"/>
      <c r="F24" s="706">
        <f ca="1">F20+F17+F12+F22</f>
        <v>526.9628789940723</v>
      </c>
      <c r="G24" s="706">
        <f ca="1">G20+G17+G12+G22</f>
        <v>18408.955276820303</v>
      </c>
      <c r="H24" s="707">
        <f ca="1">H20+H17+H12+H22</f>
        <v>50.421679750261035</v>
      </c>
      <c r="I24" s="697"/>
      <c r="J24" s="670"/>
    </row>
    <row r="25" spans="1:10" ht="12.75" x14ac:dyDescent="0.2">
      <c r="A25" s="669"/>
      <c r="B25" s="670"/>
      <c r="C25" s="670"/>
      <c r="D25" s="670"/>
      <c r="E25" s="670">
        <f ca="1">1734+E17</f>
        <v>2155.6199487975723</v>
      </c>
      <c r="F25" s="669"/>
      <c r="G25" s="669"/>
      <c r="H25" s="702"/>
      <c r="I25" s="697"/>
      <c r="J25" s="670"/>
    </row>
    <row r="26" spans="1:10" ht="12.75" x14ac:dyDescent="0.2">
      <c r="A26" s="669"/>
      <c r="B26" s="670"/>
      <c r="C26" s="670"/>
      <c r="D26" s="670"/>
      <c r="E26" s="670"/>
      <c r="F26" s="669"/>
      <c r="G26" s="669"/>
      <c r="H26" s="702"/>
      <c r="I26" s="697"/>
      <c r="J26" s="670"/>
    </row>
    <row r="27" spans="1:10" ht="12.75" x14ac:dyDescent="0.2">
      <c r="A27" s="698" t="s">
        <v>77</v>
      </c>
      <c r="B27" s="699"/>
      <c r="C27" s="699"/>
      <c r="D27" s="699"/>
      <c r="E27" s="699"/>
      <c r="F27" s="699"/>
      <c r="G27" s="699"/>
      <c r="H27" s="699"/>
      <c r="I27" s="697"/>
      <c r="J27" s="670"/>
    </row>
    <row r="28" spans="1:10" ht="12.75" x14ac:dyDescent="0.2">
      <c r="A28" s="670"/>
      <c r="B28" s="670"/>
      <c r="C28" s="670"/>
      <c r="D28" s="670"/>
      <c r="E28" s="670"/>
      <c r="F28" s="670"/>
      <c r="G28" s="670"/>
      <c r="H28" s="670"/>
      <c r="I28" s="697"/>
      <c r="J28" s="670"/>
    </row>
    <row r="29" spans="1:10" ht="12.75" x14ac:dyDescent="0.2">
      <c r="A29" s="670" t="s">
        <v>2027</v>
      </c>
      <c r="B29" s="2878" t="s">
        <v>487</v>
      </c>
      <c r="C29" s="700">
        <f>+-0.02-0.05</f>
        <v>-7.0000000000000007E-2</v>
      </c>
      <c r="D29" s="710">
        <f ca="1">AVERAGE(MAR!$CY$276:'MAR'!$CZ$276)+(C29/2)</f>
        <v>-1.2608328238684782E-2</v>
      </c>
      <c r="E29" s="70">
        <f>MAR!$CZ$171*C29</f>
        <v>-121.85887350000002</v>
      </c>
      <c r="F29" s="70">
        <f>E29</f>
        <v>-121.85887350000002</v>
      </c>
      <c r="G29" s="70">
        <f>F29*$B$47</f>
        <v>-1706.0242290000001</v>
      </c>
      <c r="H29" s="670"/>
      <c r="I29" s="697"/>
      <c r="J29" s="3618">
        <f ca="1">AVERAGE(MAR!$CY$276:'MAR'!$CT$276)</f>
        <v>2.6419439293856765E-2</v>
      </c>
    </row>
    <row r="30" spans="1:10" ht="12.75" x14ac:dyDescent="0.2">
      <c r="A30" s="670"/>
      <c r="B30" s="691" t="s">
        <v>1156</v>
      </c>
      <c r="C30" s="2879">
        <v>-0.01</v>
      </c>
      <c r="D30" s="710">
        <f>AVERAGE(MAR!$CY$193:'MAR'!$CZ$193)+(C30/2)</f>
        <v>0.16711475165983716</v>
      </c>
      <c r="E30" s="691"/>
      <c r="F30" s="207">
        <f>(MAR!$CZ$171+F29)*D30-MAR!$CZ$188-F29*MAR!CZ193</f>
        <v>-11.479064632500105</v>
      </c>
      <c r="G30" s="691">
        <f>F30*$B$47</f>
        <v>-160.70690485500148</v>
      </c>
      <c r="H30" s="670"/>
      <c r="I30" s="697"/>
      <c r="J30" s="670"/>
    </row>
    <row r="31" spans="1:10" ht="12.75" x14ac:dyDescent="0.2">
      <c r="A31" s="670"/>
      <c r="B31" s="669" t="s">
        <v>76</v>
      </c>
      <c r="C31" s="670"/>
      <c r="D31" s="691"/>
      <c r="E31" s="669">
        <f>SUM(E29:E30)</f>
        <v>-121.85887350000002</v>
      </c>
      <c r="F31" s="669">
        <f>SUM(F29:F30)</f>
        <v>-133.33793813250011</v>
      </c>
      <c r="G31" s="669">
        <f>SUM(G29:G30)</f>
        <v>-1866.7311338550016</v>
      </c>
      <c r="H31" s="702">
        <f>G31/$B$53</f>
        <v>-5.112931070542321</v>
      </c>
      <c r="I31" s="697"/>
      <c r="J31" s="670"/>
    </row>
    <row r="32" spans="1:10" ht="12.75" x14ac:dyDescent="0.2">
      <c r="A32" s="670"/>
      <c r="B32" s="670"/>
      <c r="C32" s="670"/>
      <c r="D32" s="670"/>
      <c r="E32" s="670"/>
      <c r="F32" s="670"/>
      <c r="G32" s="670"/>
      <c r="H32" s="670"/>
      <c r="I32" s="697"/>
      <c r="J32" s="670"/>
    </row>
    <row r="33" spans="1:14" ht="12.75" x14ac:dyDescent="0.2">
      <c r="A33" s="670" t="s">
        <v>1177</v>
      </c>
      <c r="B33" s="670" t="s">
        <v>487</v>
      </c>
      <c r="C33" s="700">
        <f>+-0.02-0.05</f>
        <v>-7.0000000000000007E-2</v>
      </c>
      <c r="D33" s="710">
        <f ca="1">AVERAGE(MAR!$CY$276:'MAR'!$CZ$276)+(C33/2)</f>
        <v>-1.2608328238684782E-2</v>
      </c>
      <c r="E33" s="670">
        <f ca="1">MAR!$CZ$333*C33</f>
        <v>-88.127432211067571</v>
      </c>
      <c r="F33" s="70">
        <f ca="1">E33</f>
        <v>-88.127432211067571</v>
      </c>
      <c r="G33" s="670">
        <f ca="1">F33*$B$48</f>
        <v>-1498.1663475881487</v>
      </c>
      <c r="H33" s="670"/>
      <c r="I33" s="697"/>
      <c r="J33" s="670"/>
    </row>
    <row r="34" spans="1:14" ht="12.75" x14ac:dyDescent="0.2">
      <c r="A34" s="670"/>
      <c r="B34" s="670" t="s">
        <v>1157</v>
      </c>
      <c r="C34" s="700">
        <v>-0.01</v>
      </c>
      <c r="D34" s="710">
        <f ca="1">AVERAGE(MAR!$CY$266:'MAR'!$CZ$266)+(C34/2)</f>
        <v>5.3458235227738411E-2</v>
      </c>
      <c r="E34" s="670">
        <f ca="1">MAR!$CZ$333*C34</f>
        <v>-12.589633173009652</v>
      </c>
      <c r="F34" s="70">
        <f ca="1">E34</f>
        <v>-12.589633173009652</v>
      </c>
      <c r="G34" s="670">
        <f ca="1">F34*$B$48</f>
        <v>-214.02376394116408</v>
      </c>
      <c r="H34" s="670"/>
      <c r="I34" s="697"/>
      <c r="J34" s="670"/>
    </row>
    <row r="35" spans="1:14" ht="12.75" x14ac:dyDescent="0.2">
      <c r="A35" s="670"/>
      <c r="B35" s="670" t="s">
        <v>486</v>
      </c>
      <c r="C35" s="700">
        <v>-0.1</v>
      </c>
      <c r="D35" s="710">
        <f>AVERAGE(MAR!$CY$347:'MAR'!$CZ$347)+(C35/2)</f>
        <v>-1.156095551894569E-2</v>
      </c>
      <c r="E35" s="670">
        <f>MAR!$CZ$346*C35</f>
        <v>-65.439539999999994</v>
      </c>
      <c r="F35" s="70">
        <f>E35</f>
        <v>-65.439539999999994</v>
      </c>
      <c r="G35" s="670">
        <f>F35*$B$48</f>
        <v>-1112.47218</v>
      </c>
      <c r="H35" s="670"/>
      <c r="I35" s="697"/>
      <c r="J35" s="670"/>
      <c r="M35" s="259">
        <f>MAR!BZ193</f>
        <v>0.23263157894736841</v>
      </c>
      <c r="N35" s="539">
        <f>D11-M35</f>
        <v>-4.842653018659826E-2</v>
      </c>
    </row>
    <row r="36" spans="1:14" ht="12.75" x14ac:dyDescent="0.2">
      <c r="A36" s="670"/>
      <c r="B36" s="669" t="s">
        <v>76</v>
      </c>
      <c r="C36" s="670"/>
      <c r="D36" s="691"/>
      <c r="E36" s="669">
        <f ca="1">SUM(E33:E35)</f>
        <v>-166.15660538407721</v>
      </c>
      <c r="F36" s="669">
        <f ca="1">SUM(F33:F35)</f>
        <v>-166.15660538407721</v>
      </c>
      <c r="G36" s="669">
        <f ca="1">SUM(G33:G35)</f>
        <v>-2824.6622915293128</v>
      </c>
      <c r="H36" s="702">
        <f ca="1">G36/$B$53</f>
        <v>-7.7366811600364631</v>
      </c>
      <c r="I36" s="697"/>
      <c r="J36" s="670"/>
      <c r="N36" s="539">
        <f>D30-M35</f>
        <v>-6.5516827287531249E-2</v>
      </c>
    </row>
    <row r="37" spans="1:14" ht="12.75" x14ac:dyDescent="0.2">
      <c r="A37" s="670"/>
      <c r="B37" s="670"/>
      <c r="C37" s="670"/>
      <c r="D37" s="670"/>
      <c r="E37" s="670"/>
      <c r="F37" s="670"/>
      <c r="G37" s="670"/>
      <c r="H37" s="670"/>
      <c r="I37" s="697"/>
      <c r="J37" s="670"/>
    </row>
    <row r="38" spans="1:14" ht="12.75" x14ac:dyDescent="0.2">
      <c r="A38" s="670" t="s">
        <v>1931</v>
      </c>
      <c r="B38" s="670" t="s">
        <v>1158</v>
      </c>
      <c r="C38" s="700">
        <v>-0.03</v>
      </c>
      <c r="D38" s="70">
        <f>MAR!$CZ$616*(1+C38)</f>
        <v>852.03814596400002</v>
      </c>
      <c r="E38" s="670"/>
      <c r="F38" s="70">
        <f>-MAR!$CZ$616*C38</f>
        <v>26.351695236000001</v>
      </c>
      <c r="G38" s="670">
        <f ca="1">F38*$B$52</f>
        <v>441.01569873107746</v>
      </c>
      <c r="H38" s="670"/>
      <c r="I38" s="697"/>
      <c r="J38" s="670"/>
    </row>
    <row r="39" spans="1:14" ht="12.75" x14ac:dyDescent="0.2">
      <c r="A39" s="670"/>
      <c r="B39" s="669" t="s">
        <v>76</v>
      </c>
      <c r="C39" s="670"/>
      <c r="D39" s="670"/>
      <c r="E39" s="670"/>
      <c r="F39" s="669">
        <f>SUM(F38)</f>
        <v>26.351695236000001</v>
      </c>
      <c r="G39" s="669">
        <f ca="1">SUM(G38)</f>
        <v>441.01569873107746</v>
      </c>
      <c r="H39" s="702">
        <f ca="1">G39/$B$53</f>
        <v>1.2079312482363118</v>
      </c>
      <c r="I39" s="697"/>
      <c r="J39" s="670"/>
    </row>
    <row r="40" spans="1:14" ht="12.75" x14ac:dyDescent="0.2">
      <c r="A40" s="670"/>
      <c r="B40" s="670"/>
      <c r="C40" s="670"/>
      <c r="D40" s="670"/>
      <c r="E40" s="670"/>
      <c r="F40" s="670"/>
      <c r="G40" s="670"/>
      <c r="H40" s="670"/>
      <c r="I40" s="697"/>
      <c r="J40" s="670"/>
    </row>
    <row r="41" spans="1:14" ht="12.75" x14ac:dyDescent="0.2">
      <c r="A41" s="670" t="s">
        <v>1160</v>
      </c>
      <c r="B41" s="670"/>
      <c r="C41" s="703">
        <v>-4.7</v>
      </c>
      <c r="D41" s="3338">
        <f ca="1">'EBITDA Val'!E14+'PT Impact'!C41</f>
        <v>12.035761960717807</v>
      </c>
      <c r="E41" s="670"/>
      <c r="F41" s="670"/>
      <c r="G41" s="670">
        <f ca="1">(MAR!$CZ$98+F43)*C41</f>
        <v>-16606.66940428879</v>
      </c>
      <c r="H41" s="702">
        <f ca="1">G41/$B$53</f>
        <v>-45.485262679509148</v>
      </c>
      <c r="I41" s="697"/>
      <c r="J41" s="670"/>
    </row>
    <row r="42" spans="1:14" ht="13.5" thickBot="1" x14ac:dyDescent="0.25">
      <c r="A42" s="670"/>
      <c r="B42" s="670"/>
      <c r="C42" s="670"/>
      <c r="D42" s="670"/>
      <c r="E42" s="670"/>
      <c r="F42" s="670"/>
      <c r="G42" s="670"/>
      <c r="H42" s="670"/>
      <c r="I42" s="697"/>
      <c r="J42" s="670"/>
    </row>
    <row r="43" spans="1:14" ht="13.5" thickBot="1" x14ac:dyDescent="0.25">
      <c r="A43" s="704" t="s">
        <v>1735</v>
      </c>
      <c r="B43" s="705"/>
      <c r="C43" s="705"/>
      <c r="D43" s="705"/>
      <c r="E43" s="705"/>
      <c r="F43" s="706">
        <f ca="1">F39+F36+F31+F41</f>
        <v>-273.14284828057731</v>
      </c>
      <c r="G43" s="706">
        <f ca="1">G39+G36+G31+G41</f>
        <v>-20857.047130942028</v>
      </c>
      <c r="H43" s="707">
        <f ca="1">H39+H36+H31+H41</f>
        <v>-57.12694366185162</v>
      </c>
      <c r="I43" s="697"/>
      <c r="J43" s="670"/>
    </row>
    <row r="44" spans="1:14" ht="12.75" x14ac:dyDescent="0.2">
      <c r="A44" s="670"/>
      <c r="B44" s="670"/>
      <c r="C44" s="670"/>
      <c r="D44" s="670"/>
      <c r="E44" s="670">
        <f ca="1">1734+E36</f>
        <v>1567.8433946159228</v>
      </c>
      <c r="F44" s="670"/>
      <c r="G44" s="670"/>
      <c r="H44" s="670"/>
      <c r="I44" s="697"/>
      <c r="J44" s="670"/>
    </row>
    <row r="45" spans="1:14" ht="12.75" x14ac:dyDescent="0.2">
      <c r="A45" s="670"/>
      <c r="B45" s="670"/>
      <c r="C45" s="670"/>
      <c r="D45" s="670"/>
      <c r="E45" s="670"/>
      <c r="F45" s="670"/>
      <c r="G45" s="670"/>
      <c r="H45" s="670"/>
      <c r="I45" s="697"/>
      <c r="J45" s="670"/>
    </row>
    <row r="46" spans="1:14" ht="12.75" x14ac:dyDescent="0.2">
      <c r="A46" s="248" t="s">
        <v>1630</v>
      </c>
      <c r="B46" s="70"/>
      <c r="C46" s="670"/>
      <c r="D46" s="670"/>
      <c r="E46" s="670"/>
      <c r="F46" s="670"/>
      <c r="G46" s="670"/>
      <c r="H46" s="670"/>
      <c r="I46" s="697"/>
      <c r="J46" s="670"/>
    </row>
    <row r="47" spans="1:14" ht="12.75" x14ac:dyDescent="0.2">
      <c r="A47" s="70" t="s">
        <v>8</v>
      </c>
      <c r="B47" s="1752">
        <f>'EBITDA Val'!E9</f>
        <v>14</v>
      </c>
      <c r="C47" s="670"/>
      <c r="D47" s="670"/>
      <c r="E47" s="670"/>
      <c r="F47" s="670"/>
      <c r="G47" s="670"/>
      <c r="H47" s="670"/>
      <c r="I47" s="691"/>
      <c r="J47" s="670"/>
    </row>
    <row r="48" spans="1:14" ht="12.75" x14ac:dyDescent="0.2">
      <c r="A48" s="70" t="s">
        <v>1631</v>
      </c>
      <c r="B48" s="1752">
        <f>'EBITDA Val'!E10</f>
        <v>17</v>
      </c>
      <c r="C48" s="670"/>
      <c r="D48" s="670"/>
      <c r="E48" s="670"/>
      <c r="F48" s="670"/>
      <c r="G48" s="670"/>
      <c r="H48" s="670"/>
      <c r="I48" s="670"/>
      <c r="J48" s="670"/>
    </row>
    <row r="49" spans="1:11" ht="12.75" x14ac:dyDescent="0.2">
      <c r="A49" s="70"/>
      <c r="B49" s="1752"/>
      <c r="C49" s="670"/>
      <c r="D49" s="670"/>
      <c r="E49" s="670"/>
      <c r="F49" s="670"/>
      <c r="G49" s="670"/>
      <c r="H49" s="670"/>
      <c r="I49" s="670"/>
      <c r="J49" s="670"/>
    </row>
    <row r="50" spans="1:11" ht="12.75" x14ac:dyDescent="0.2">
      <c r="A50" s="70"/>
      <c r="B50" s="1752"/>
      <c r="C50" s="670"/>
      <c r="D50" s="670"/>
      <c r="E50" s="670"/>
      <c r="F50" s="670"/>
      <c r="G50" s="670"/>
      <c r="H50" s="670"/>
      <c r="I50" s="670"/>
      <c r="J50" s="670"/>
    </row>
    <row r="51" spans="1:11" ht="12.75" x14ac:dyDescent="0.2">
      <c r="A51" s="708" t="s">
        <v>1931</v>
      </c>
      <c r="B51" s="670"/>
      <c r="C51" s="670"/>
      <c r="D51" s="670"/>
      <c r="E51" s="670"/>
      <c r="F51" s="670"/>
      <c r="G51" s="670"/>
      <c r="H51" s="670"/>
      <c r="I51" s="670"/>
      <c r="J51" s="670"/>
    </row>
    <row r="52" spans="1:11" ht="12.75" x14ac:dyDescent="0.2">
      <c r="A52" s="670" t="s">
        <v>1161</v>
      </c>
      <c r="B52" s="1753">
        <f ca="1">'EBITDA Val'!E14</f>
        <v>16.735761960717806</v>
      </c>
      <c r="C52" s="670"/>
      <c r="D52" s="670"/>
      <c r="E52" s="670"/>
      <c r="F52" s="670"/>
      <c r="G52" s="670"/>
      <c r="H52" s="670"/>
      <c r="I52" s="670"/>
      <c r="J52" s="670"/>
    </row>
    <row r="53" spans="1:11" ht="12.75" x14ac:dyDescent="0.2">
      <c r="A53" s="670" t="s">
        <v>1510</v>
      </c>
      <c r="B53" s="670">
        <f>'EBITDA Val'!G21</f>
        <v>365.1</v>
      </c>
      <c r="C53" s="670"/>
      <c r="D53" s="670"/>
      <c r="E53" s="670"/>
      <c r="F53" s="670"/>
      <c r="G53" s="670"/>
      <c r="H53" s="670"/>
      <c r="I53" s="670"/>
      <c r="J53" s="670"/>
    </row>
    <row r="54" spans="1:11" ht="12.75" x14ac:dyDescent="0.2">
      <c r="A54" s="670"/>
      <c r="B54" s="670"/>
      <c r="C54" s="670"/>
      <c r="D54" s="670"/>
      <c r="E54" s="670"/>
      <c r="F54" s="670"/>
      <c r="G54" s="670"/>
      <c r="H54" s="670"/>
      <c r="I54" s="670"/>
      <c r="J54" s="670"/>
    </row>
    <row r="55" spans="1:11" ht="12.75" x14ac:dyDescent="0.2">
      <c r="A55" s="670"/>
      <c r="B55" s="670"/>
      <c r="C55" s="670"/>
      <c r="D55" s="670"/>
      <c r="E55" s="670"/>
      <c r="F55" s="670"/>
      <c r="G55" s="670"/>
      <c r="H55" s="670"/>
      <c r="I55" s="670"/>
      <c r="J55" s="670"/>
    </row>
    <row r="56" spans="1:11" ht="12.75" x14ac:dyDescent="0.2">
      <c r="A56" s="708" t="s">
        <v>1162</v>
      </c>
      <c r="B56" s="670"/>
      <c r="C56" s="670"/>
      <c r="D56" s="677" t="s">
        <v>1163</v>
      </c>
      <c r="E56" s="670"/>
      <c r="F56" s="670"/>
      <c r="G56" s="670"/>
      <c r="H56" s="670"/>
      <c r="I56" s="670"/>
      <c r="J56" s="2878" t="s">
        <v>2452</v>
      </c>
    </row>
    <row r="57" spans="1:11" ht="12.75" x14ac:dyDescent="0.2">
      <c r="A57" s="670"/>
      <c r="B57" s="670"/>
      <c r="C57" s="670"/>
      <c r="D57" s="670"/>
      <c r="E57" s="670"/>
      <c r="F57" s="670"/>
      <c r="G57" s="670"/>
      <c r="H57" s="670"/>
      <c r="I57" s="670"/>
      <c r="J57" s="670"/>
    </row>
    <row r="58" spans="1:11" ht="12.75" x14ac:dyDescent="0.2">
      <c r="A58" s="670" t="s">
        <v>1511</v>
      </c>
      <c r="B58" s="2093">
        <f ca="1">ROUND(B59+H24,0)</f>
        <v>198</v>
      </c>
      <c r="C58" s="311">
        <f ca="1">+B58/'EBITDA Val'!$H$23-1</f>
        <v>0.4042553191489362</v>
      </c>
      <c r="D58" s="1111">
        <f ca="1">+D22</f>
        <v>19.235761960717806</v>
      </c>
      <c r="E58" s="670"/>
      <c r="F58" s="670"/>
      <c r="G58" s="670"/>
      <c r="H58" s="670"/>
      <c r="I58" s="670"/>
      <c r="J58" s="670" t="s">
        <v>1511</v>
      </c>
      <c r="K58">
        <f ca="1">ROUND('EBITDA Val'!H22+'PT Impact'!H24,0)</f>
        <v>198</v>
      </c>
    </row>
    <row r="59" spans="1:11" ht="12.75" x14ac:dyDescent="0.2">
      <c r="A59" s="670" t="s">
        <v>1512</v>
      </c>
      <c r="B59" s="2093">
        <f ca="1">ROUND('EBITDA Val'!H22,0)</f>
        <v>148</v>
      </c>
      <c r="C59" s="311">
        <f ca="1">+B59/'EBITDA Val'!$H$23-1</f>
        <v>4.9645390070921946E-2</v>
      </c>
      <c r="D59" s="1111"/>
      <c r="E59" s="670"/>
      <c r="F59" s="670"/>
      <c r="G59" s="670"/>
      <c r="H59" s="670"/>
      <c r="I59" s="670"/>
      <c r="J59" s="670" t="s">
        <v>1512</v>
      </c>
      <c r="K59">
        <f ca="1">ROUND('EBITDA Val'!H22,0)</f>
        <v>148</v>
      </c>
    </row>
    <row r="60" spans="1:11" ht="12.75" x14ac:dyDescent="0.2">
      <c r="A60" s="670" t="s">
        <v>1513</v>
      </c>
      <c r="B60" s="2093">
        <f ca="1">ROUND(B59+H43,0)</f>
        <v>91</v>
      </c>
      <c r="C60" s="311">
        <f ca="1">+B60/'EBITDA Val'!$H$23-1</f>
        <v>-0.35460992907801414</v>
      </c>
      <c r="D60" s="1111">
        <f ca="1">+D41</f>
        <v>12.035761960717807</v>
      </c>
      <c r="E60" s="670"/>
      <c r="F60" s="670"/>
      <c r="G60" s="670"/>
      <c r="H60" s="670"/>
      <c r="I60" s="670"/>
      <c r="J60" s="670" t="s">
        <v>1513</v>
      </c>
      <c r="K60">
        <f ca="1">ROUND('EBITDA Val'!H22+'PT Impact'!H43,0)</f>
        <v>90</v>
      </c>
    </row>
    <row r="61" spans="1:11" ht="12.75" x14ac:dyDescent="0.2">
      <c r="A61" s="670"/>
      <c r="B61" s="670"/>
      <c r="C61" s="670"/>
      <c r="D61" s="670"/>
      <c r="E61" s="670"/>
      <c r="F61" s="670"/>
      <c r="G61" s="670"/>
      <c r="H61" s="670"/>
      <c r="I61" s="670"/>
      <c r="J61" s="670"/>
    </row>
    <row r="62" spans="1:11" ht="12.75" x14ac:dyDescent="0.2">
      <c r="A62" s="670"/>
      <c r="B62" s="670"/>
      <c r="C62" s="670"/>
      <c r="D62" s="670"/>
      <c r="E62" s="670"/>
      <c r="F62" s="670"/>
      <c r="G62" s="670"/>
      <c r="H62" s="670"/>
      <c r="I62" s="670"/>
      <c r="J62" s="670"/>
    </row>
    <row r="63" spans="1:11" ht="12.75" x14ac:dyDescent="0.2">
      <c r="A63" s="708" t="s">
        <v>1084</v>
      </c>
      <c r="B63" s="670"/>
      <c r="C63" s="670"/>
      <c r="D63" s="670"/>
      <c r="E63" s="670"/>
      <c r="F63" s="670"/>
      <c r="G63" s="670"/>
      <c r="H63" s="670"/>
      <c r="I63" s="670"/>
      <c r="J63" s="670"/>
    </row>
    <row r="64" spans="1:11" ht="12.75" x14ac:dyDescent="0.2">
      <c r="A64" s="670"/>
      <c r="B64" s="670"/>
      <c r="C64" s="670"/>
      <c r="D64" s="670"/>
      <c r="E64" s="670"/>
      <c r="F64" s="670"/>
      <c r="G64" s="670"/>
      <c r="H64" s="670"/>
      <c r="I64" s="670"/>
      <c r="J64" s="670"/>
    </row>
    <row r="65" spans="1:10" ht="12.75" x14ac:dyDescent="0.2">
      <c r="A65" s="670" t="s">
        <v>1863</v>
      </c>
      <c r="B65" s="670">
        <f ca="1">F24+'EBITDA Val'!C14</f>
        <v>4173.4396430807747</v>
      </c>
      <c r="C65" s="670"/>
      <c r="D65" s="670"/>
      <c r="E65" s="670"/>
      <c r="F65" s="670"/>
      <c r="G65" s="670"/>
      <c r="H65" s="670"/>
      <c r="I65" s="670">
        <f>0.64/5.99*100</f>
        <v>10.684474123539232</v>
      </c>
      <c r="J65" s="670"/>
    </row>
    <row r="66" spans="1:10" ht="12.75" x14ac:dyDescent="0.2">
      <c r="A66" s="670" t="s">
        <v>487</v>
      </c>
      <c r="B66" s="259">
        <f ca="1">D14</f>
        <v>5.4891671761315222E-2</v>
      </c>
      <c r="C66" s="259">
        <v>2.5999999999999999E-2</v>
      </c>
      <c r="D66" s="670"/>
      <c r="E66" s="670"/>
      <c r="F66" s="670"/>
      <c r="G66" s="670"/>
      <c r="H66" s="670"/>
      <c r="I66" s="670"/>
      <c r="J66" s="670"/>
    </row>
    <row r="67" spans="1:10" ht="12.75" x14ac:dyDescent="0.2">
      <c r="A67" s="670" t="s">
        <v>1157</v>
      </c>
      <c r="B67" s="675">
        <f ca="1">D15</f>
        <v>6.3458235227738413E-2</v>
      </c>
      <c r="C67" s="670"/>
      <c r="D67" s="670"/>
      <c r="E67" s="670"/>
      <c r="F67" s="670"/>
      <c r="G67" s="670"/>
      <c r="H67" s="670"/>
      <c r="I67" s="670"/>
      <c r="J67" s="670"/>
    </row>
    <row r="68" spans="1:10" ht="12.75" x14ac:dyDescent="0.2">
      <c r="A68" s="670"/>
      <c r="B68" s="670"/>
      <c r="C68" s="670"/>
      <c r="D68" s="670"/>
      <c r="E68" s="670"/>
      <c r="F68" s="670"/>
      <c r="G68" s="670"/>
      <c r="H68" s="670"/>
      <c r="I68" s="670"/>
      <c r="J68" s="670"/>
    </row>
    <row r="69" spans="1:10" ht="12.75" x14ac:dyDescent="0.2">
      <c r="A69" s="670"/>
      <c r="B69" s="670"/>
      <c r="C69" s="670"/>
      <c r="D69" s="670"/>
      <c r="E69" s="670"/>
      <c r="F69" s="670"/>
      <c r="G69" s="670"/>
      <c r="H69" s="670"/>
      <c r="I69" s="670"/>
      <c r="J69" s="670"/>
    </row>
    <row r="70" spans="1:10" ht="12.75" x14ac:dyDescent="0.2">
      <c r="A70" s="708" t="s">
        <v>1086</v>
      </c>
      <c r="B70" s="670"/>
      <c r="C70" s="670"/>
      <c r="D70" s="670"/>
      <c r="E70" s="670"/>
      <c r="F70" s="670"/>
      <c r="G70" s="670"/>
      <c r="H70" s="670"/>
      <c r="I70" s="670"/>
      <c r="J70" s="670"/>
    </row>
    <row r="71" spans="1:10" ht="12.75" x14ac:dyDescent="0.2">
      <c r="A71" s="670"/>
      <c r="B71" s="670"/>
      <c r="C71" s="670"/>
      <c r="D71" s="670"/>
      <c r="E71" s="670"/>
      <c r="F71" s="670"/>
      <c r="G71" s="670"/>
      <c r="H71" s="670"/>
      <c r="I71" s="670"/>
      <c r="J71" s="670"/>
    </row>
    <row r="72" spans="1:10" ht="12.75" x14ac:dyDescent="0.2">
      <c r="A72" s="670" t="s">
        <v>1863</v>
      </c>
      <c r="B72" s="670">
        <f ca="1">F43+'EBITDA Val'!C14</f>
        <v>3373.3339158061253</v>
      </c>
      <c r="C72" s="670"/>
      <c r="D72" s="670"/>
      <c r="E72" s="670"/>
      <c r="F72" s="670"/>
      <c r="G72" s="670"/>
      <c r="H72" s="670"/>
      <c r="I72" s="670"/>
      <c r="J72" s="670"/>
    </row>
    <row r="73" spans="1:10" ht="12.75" x14ac:dyDescent="0.2">
      <c r="A73" s="670" t="s">
        <v>487</v>
      </c>
      <c r="B73" s="675">
        <f ca="1">D29</f>
        <v>-1.2608328238684782E-2</v>
      </c>
      <c r="C73" s="670"/>
      <c r="D73" s="670"/>
      <c r="E73" s="670"/>
      <c r="F73" s="670"/>
      <c r="G73" s="670"/>
      <c r="H73" s="670"/>
      <c r="I73" s="670"/>
      <c r="J73" s="670"/>
    </row>
    <row r="74" spans="1:10" ht="12.75" x14ac:dyDescent="0.2">
      <c r="A74" s="670" t="s">
        <v>1157</v>
      </c>
      <c r="B74" s="675">
        <f ca="1">D34</f>
        <v>5.3458235227738411E-2</v>
      </c>
      <c r="C74" s="670"/>
      <c r="D74" s="670"/>
      <c r="E74" s="670"/>
      <c r="F74" s="670"/>
      <c r="G74" s="670"/>
      <c r="H74" s="670"/>
      <c r="I74" s="670"/>
      <c r="J74" s="670"/>
    </row>
  </sheetData>
  <phoneticPr fontId="57"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A937"/>
  <sheetViews>
    <sheetView showGridLines="0" topLeftCell="JK911" zoomScaleNormal="100" workbookViewId="0">
      <selection activeCell="JX923" sqref="JX923"/>
    </sheetView>
  </sheetViews>
  <sheetFormatPr defaultRowHeight="15" outlineLevelRow="1" outlineLevelCol="1" x14ac:dyDescent="0.25"/>
  <cols>
    <col min="1" max="1" width="23.83203125" style="662" bestFit="1" customWidth="1"/>
    <col min="2" max="16" width="9.33203125" style="662"/>
    <col min="17" max="17" width="21" style="662" bestFit="1" customWidth="1"/>
    <col min="18" max="24" width="8.33203125" style="662" customWidth="1"/>
    <col min="25" max="25" width="16.5" style="662" customWidth="1"/>
    <col min="26" max="26" width="9.33203125" style="662" customWidth="1" outlineLevel="1"/>
    <col min="27" max="27" width="9.33203125" style="662" customWidth="1"/>
    <col min="28" max="29" width="10.83203125" style="662" customWidth="1"/>
    <col min="30" max="31" width="10.83203125" style="2481" customWidth="1"/>
    <col min="32" max="32" width="18.5" style="662" customWidth="1"/>
    <col min="33" max="36" width="9.33203125" style="662"/>
    <col min="37" max="37" width="31.5" style="662" customWidth="1"/>
    <col min="38" max="40" width="9.33203125" style="662"/>
    <col min="41" max="41" width="26.5" style="662" bestFit="1" customWidth="1"/>
    <col min="42" max="54" width="9.33203125" style="662"/>
    <col min="55" max="55" width="20.5" style="662" bestFit="1" customWidth="1"/>
    <col min="56" max="61" width="9.33203125" style="662"/>
    <col min="62" max="62" width="43.83203125" style="662" bestFit="1" customWidth="1"/>
    <col min="63" max="63" width="9.33203125" style="662"/>
    <col min="64" max="64" width="43.6640625" style="662" bestFit="1" customWidth="1"/>
    <col min="65" max="65" width="9.33203125" style="662"/>
    <col min="66" max="66" width="21.83203125" style="662" customWidth="1"/>
    <col min="67" max="67" width="11.83203125" style="662" bestFit="1" customWidth="1"/>
    <col min="68" max="70" width="9.33203125" style="662"/>
    <col min="71" max="71" width="24.33203125" style="662" bestFit="1" customWidth="1"/>
    <col min="72" max="72" width="20.83203125" style="662" customWidth="1"/>
    <col min="73" max="75" width="9.33203125" style="662"/>
    <col min="76" max="76" width="71.33203125" style="2434" customWidth="1"/>
    <col min="77" max="80" width="9.83203125" style="2434" customWidth="1"/>
    <col min="81" max="81" width="9.33203125" style="2434"/>
    <col min="82" max="82" width="52.5" style="2434" customWidth="1"/>
    <col min="83" max="83" width="11.6640625" style="2434" customWidth="1"/>
    <col min="84" max="84" width="30.1640625" style="2434" customWidth="1"/>
    <col min="85" max="85" width="10.33203125" style="2434" bestFit="1" customWidth="1"/>
    <col min="86" max="90" width="9.33203125" style="2434"/>
    <col min="91" max="91" width="17.83203125" style="2434" bestFit="1" customWidth="1"/>
    <col min="92" max="94" width="9.33203125" style="2434"/>
    <col min="95" max="95" width="47.33203125" style="2434" bestFit="1" customWidth="1"/>
    <col min="96" max="97" width="9.33203125" style="2434"/>
    <col min="98" max="100" width="13.5" style="2945" customWidth="1"/>
    <col min="101" max="101" width="9.33203125" style="2434"/>
    <col min="102" max="102" width="25" style="2434" bestFit="1" customWidth="1"/>
    <col min="103" max="106" width="9.33203125" style="2434"/>
    <col min="107" max="107" width="20.33203125" style="2434" bestFit="1" customWidth="1"/>
    <col min="108" max="111" width="9.33203125" style="2434"/>
    <col min="112" max="118" width="9.83203125" style="2434" bestFit="1" customWidth="1"/>
    <col min="119" max="122" width="9.83203125" style="2434" customWidth="1"/>
    <col min="123" max="125" width="11.5" style="2434" bestFit="1" customWidth="1"/>
    <col min="126" max="126" width="24.6640625" style="2434" customWidth="1"/>
    <col min="127" max="127" width="10.83203125" style="2434" customWidth="1"/>
    <col min="128" max="128" width="13.6640625" style="2434" bestFit="1" customWidth="1"/>
    <col min="129" max="130" width="9.33203125" style="2434"/>
    <col min="131" max="131" width="38.83203125" style="2434" bestFit="1" customWidth="1"/>
    <col min="132" max="149" width="10.33203125" style="2434" customWidth="1"/>
    <col min="150" max="150" width="9.83203125" style="2434" bestFit="1" customWidth="1"/>
    <col min="151" max="152" width="9.33203125" style="2434"/>
    <col min="153" max="153" width="1.83203125" style="2434" customWidth="1"/>
    <col min="154" max="154" width="12.5" style="2434" bestFit="1" customWidth="1"/>
    <col min="155" max="155" width="11.5" style="2434" customWidth="1"/>
    <col min="156" max="156" width="9.33203125" style="2434"/>
    <col min="157" max="157" width="10.83203125" style="2434" bestFit="1" customWidth="1"/>
    <col min="158" max="160" width="9.33203125" style="2434"/>
    <col min="161" max="161" width="40.83203125" style="2434" bestFit="1" customWidth="1"/>
    <col min="162" max="162" width="10.33203125" style="2434" customWidth="1"/>
    <col min="163" max="163" width="9.33203125" style="2434"/>
    <col min="164" max="164" width="12.33203125" style="2434" customWidth="1"/>
    <col min="165" max="173" width="9.33203125" style="2434"/>
    <col min="174" max="174" width="13.6640625" style="2434" customWidth="1"/>
    <col min="175" max="175" width="15.33203125" style="2434" bestFit="1" customWidth="1"/>
    <col min="176" max="182" width="9.33203125" style="2434"/>
    <col min="183" max="183" width="46" style="2434" bestFit="1" customWidth="1"/>
    <col min="184" max="184" width="9.33203125" style="2434"/>
    <col min="185" max="185" width="35.1640625" style="2434" customWidth="1"/>
    <col min="186" max="186" width="9.33203125" style="2434"/>
    <col min="187" max="187" width="21.1640625" style="2434" bestFit="1" customWidth="1"/>
    <col min="188" max="189" width="9.33203125" style="2434"/>
    <col min="190" max="190" width="46" style="2434" bestFit="1" customWidth="1"/>
    <col min="191" max="191" width="9.33203125" style="2434"/>
    <col min="192" max="192" width="35.1640625" style="2434" bestFit="1" customWidth="1"/>
    <col min="193" max="193" width="9.33203125" style="2434"/>
    <col min="194" max="194" width="19" style="2434" bestFit="1" customWidth="1"/>
    <col min="195" max="196" width="9.33203125" style="2434"/>
    <col min="197" max="197" width="19.1640625" style="2434" bestFit="1" customWidth="1"/>
    <col min="198" max="199" width="11.6640625" style="2434" customWidth="1"/>
    <col min="200" max="200" width="16.33203125" style="2434" bestFit="1" customWidth="1"/>
    <col min="201" max="204" width="12.83203125" style="2434" customWidth="1"/>
    <col min="205" max="205" width="20" style="2434" bestFit="1" customWidth="1"/>
    <col min="206" max="206" width="20.1640625" style="2434" customWidth="1"/>
    <col min="207" max="207" width="13.33203125" style="2434" bestFit="1" customWidth="1"/>
    <col min="208" max="208" width="17.5" style="2434" bestFit="1" customWidth="1"/>
    <col min="209" max="211" width="9.33203125" style="2434"/>
    <col min="212" max="212" width="39.6640625" style="2434" bestFit="1" customWidth="1"/>
    <col min="213" max="213" width="11.5" style="2434" bestFit="1" customWidth="1"/>
    <col min="214" max="217" width="9.33203125" style="2434"/>
    <col min="218" max="218" width="15.5" style="2434" customWidth="1"/>
    <col min="219" max="219" width="18.83203125" style="2434" customWidth="1"/>
    <col min="220" max="226" width="9.33203125" style="2434"/>
    <col min="227" max="227" width="45.83203125" style="2434" customWidth="1"/>
    <col min="228" max="230" width="9.33203125" style="2434"/>
    <col min="231" max="231" width="15.5" style="2434" bestFit="1" customWidth="1"/>
    <col min="232" max="232" width="18.6640625" style="2434" customWidth="1"/>
    <col min="233" max="233" width="9.33203125" style="2434"/>
    <col min="234" max="234" width="53.5" style="2434" bestFit="1" customWidth="1"/>
    <col min="235" max="236" width="9.33203125" style="2434"/>
    <col min="237" max="237" width="53.5" style="2434" customWidth="1"/>
    <col min="238" max="239" width="9.33203125" style="2434" customWidth="1"/>
    <col min="240" max="240" width="36.83203125" style="2434" customWidth="1"/>
    <col min="241" max="241" width="9.33203125" style="2434" customWidth="1"/>
    <col min="242" max="243" width="9.33203125" style="2434"/>
    <col min="244" max="244" width="40.33203125" style="2434" bestFit="1" customWidth="1"/>
    <col min="245" max="245" width="9.5" style="2434" bestFit="1" customWidth="1"/>
    <col min="246" max="247" width="9.33203125" style="2434"/>
    <col min="248" max="248" width="47.83203125" style="2434" bestFit="1" customWidth="1"/>
    <col min="249" max="250" width="15.83203125" style="2434" customWidth="1"/>
    <col min="251" max="252" width="9.33203125" style="2434"/>
    <col min="253" max="253" width="40.83203125" style="2434" customWidth="1"/>
    <col min="254" max="254" width="16.1640625" style="2434" customWidth="1"/>
    <col min="255" max="255" width="40.83203125" style="2434" customWidth="1"/>
    <col min="256" max="256" width="16.1640625" style="2434" customWidth="1"/>
    <col min="257" max="257" width="23.1640625" style="2434" customWidth="1"/>
    <col min="258" max="258" width="9.33203125" style="2434"/>
    <col min="259" max="259" width="51.33203125" style="2434" customWidth="1"/>
    <col min="260" max="260" width="9.33203125" style="2434"/>
    <col min="261" max="261" width="28.1640625" style="2434" bestFit="1" customWidth="1"/>
    <col min="262" max="268" width="9.33203125" style="2434"/>
    <col min="269" max="269" width="15.83203125" style="2434" customWidth="1"/>
    <col min="270" max="281" width="9.33203125" style="2434"/>
    <col min="282" max="282" width="47.33203125" style="3897" customWidth="1"/>
    <col min="283" max="285" width="9.33203125" style="3844"/>
    <col min="286" max="286" width="10.6640625" style="3844" bestFit="1" customWidth="1"/>
    <col min="287" max="16384" width="9.33203125" style="2434"/>
  </cols>
  <sheetData>
    <row r="1" spans="1:286" s="2756" customFormat="1" x14ac:dyDescent="0.25">
      <c r="A1" s="2210"/>
      <c r="B1" s="2210">
        <v>1999</v>
      </c>
      <c r="C1" s="2210">
        <v>2000</v>
      </c>
      <c r="D1" s="2210">
        <v>2001</v>
      </c>
      <c r="E1" s="2210">
        <v>2002</v>
      </c>
      <c r="F1" s="2210">
        <v>2003</v>
      </c>
      <c r="G1" s="2210">
        <v>2004</v>
      </c>
      <c r="H1" s="2210">
        <v>2005</v>
      </c>
      <c r="I1" s="2210">
        <v>2006</v>
      </c>
      <c r="J1" s="2210">
        <v>2007</v>
      </c>
      <c r="K1" s="2210">
        <v>2008</v>
      </c>
      <c r="L1" s="2210">
        <v>2009</v>
      </c>
      <c r="M1" s="2210">
        <v>2010</v>
      </c>
      <c r="N1" s="2210">
        <v>2011</v>
      </c>
      <c r="O1" s="2210">
        <v>2012</v>
      </c>
      <c r="P1" s="2210">
        <v>2013</v>
      </c>
      <c r="Q1" s="2210"/>
      <c r="R1" s="2210"/>
      <c r="S1" s="2210"/>
      <c r="T1" s="2210"/>
      <c r="U1" s="2210"/>
      <c r="V1" s="2210"/>
      <c r="W1" s="2210"/>
      <c r="X1" s="2210"/>
      <c r="Y1" s="2210"/>
      <c r="Z1" s="2210"/>
      <c r="AA1" s="2210"/>
      <c r="AB1" s="2210"/>
      <c r="AC1" s="2210"/>
      <c r="AD1" s="2625"/>
      <c r="AE1" s="2625"/>
      <c r="AF1" s="2210"/>
      <c r="AG1" s="2210"/>
      <c r="AH1" s="2210"/>
      <c r="AI1" s="2210"/>
      <c r="AJ1" s="2210"/>
      <c r="AK1" s="2210"/>
      <c r="AL1" s="2210"/>
      <c r="AM1" s="2210"/>
      <c r="AN1" s="2210"/>
      <c r="AO1" s="2210"/>
      <c r="AP1" s="2210"/>
      <c r="AQ1" s="2210"/>
      <c r="AR1" s="2210"/>
      <c r="AS1" s="2210"/>
      <c r="AT1" s="2210"/>
      <c r="AU1" s="2210"/>
      <c r="AV1" s="2210"/>
      <c r="AW1" s="2210"/>
      <c r="AX1" s="2210"/>
      <c r="AY1" s="2210"/>
      <c r="AZ1" s="2210"/>
      <c r="BA1" s="2210"/>
      <c r="BB1" s="2210"/>
      <c r="BC1" s="2210"/>
      <c r="BD1" s="2210"/>
      <c r="BE1" s="2210"/>
      <c r="BF1" s="2210"/>
      <c r="BG1" s="2210"/>
      <c r="BH1" s="2210"/>
      <c r="BI1" s="2210"/>
      <c r="BJ1" s="2210"/>
      <c r="BK1" s="2210"/>
      <c r="BL1" s="2210"/>
      <c r="BM1" s="2210"/>
      <c r="BN1" s="2210"/>
      <c r="BO1" s="2210"/>
      <c r="BP1" s="2210"/>
      <c r="BQ1" s="2210"/>
      <c r="BR1" s="2210"/>
      <c r="BS1" s="2210"/>
      <c r="BT1" s="2210"/>
      <c r="BU1" s="2210"/>
      <c r="BV1" s="2210"/>
      <c r="BW1" s="2210"/>
      <c r="CT1" s="2943"/>
      <c r="CU1" s="2943"/>
      <c r="CV1" s="2943"/>
      <c r="JV1" s="3895"/>
      <c r="JW1" s="3842"/>
      <c r="JX1" s="3842"/>
      <c r="JY1" s="3842"/>
      <c r="JZ1" s="3842"/>
    </row>
    <row r="2" spans="1:286" s="2757" customFormat="1" x14ac:dyDescent="0.25">
      <c r="A2" s="2211" t="s">
        <v>1185</v>
      </c>
      <c r="B2" s="2172">
        <v>52</v>
      </c>
      <c r="C2" s="2212">
        <f>-MAR!M718</f>
        <v>55</v>
      </c>
      <c r="D2" s="2212">
        <f>-MAR!R718</f>
        <v>61</v>
      </c>
      <c r="E2" s="2212">
        <f>-MAR!W718</f>
        <v>65</v>
      </c>
      <c r="F2" s="2212">
        <f>-MAR!AB718</f>
        <v>68</v>
      </c>
      <c r="G2" s="2212">
        <f>-MAR!AG718</f>
        <v>73</v>
      </c>
      <c r="H2" s="2212">
        <f>-MAR!AL718</f>
        <v>84</v>
      </c>
      <c r="I2" s="2212">
        <f>-MAR!AQ718</f>
        <v>93</v>
      </c>
      <c r="J2" s="2212">
        <f>-MAR!AV718</f>
        <v>105</v>
      </c>
      <c r="K2" s="2212">
        <f>-MAR!BA718</f>
        <v>115</v>
      </c>
      <c r="L2" s="2212">
        <f>-MAR!BF718</f>
        <v>63</v>
      </c>
      <c r="M2" s="2212">
        <f>-MAR!BK718</f>
        <v>43</v>
      </c>
      <c r="N2" s="2212">
        <f>-MAR!BP718</f>
        <v>134</v>
      </c>
      <c r="O2" s="2212">
        <f>-MAR!BU718</f>
        <v>191</v>
      </c>
      <c r="P2" s="2415">
        <f>-MAR!BZ718</f>
        <v>196</v>
      </c>
      <c r="Q2" s="2212"/>
      <c r="R2" s="2212"/>
      <c r="S2" s="2212"/>
      <c r="T2" s="2212"/>
      <c r="U2" s="2212"/>
      <c r="V2" s="2212"/>
      <c r="W2" s="2212"/>
      <c r="X2" s="2212"/>
      <c r="Y2" s="2212"/>
      <c r="Z2" s="2212"/>
      <c r="AA2" s="2212"/>
      <c r="AB2" s="2212"/>
      <c r="AC2" s="2212"/>
      <c r="AD2" s="2271"/>
      <c r="AE2" s="2271"/>
      <c r="AF2" s="2212"/>
      <c r="AG2" s="2212"/>
      <c r="AH2" s="2212"/>
      <c r="AI2" s="2212"/>
      <c r="AJ2" s="2212"/>
      <c r="AK2" s="2212"/>
      <c r="AL2" s="2212"/>
      <c r="AM2" s="2212"/>
      <c r="AN2" s="2212"/>
      <c r="AO2" s="2212"/>
      <c r="AP2" s="2212"/>
      <c r="AQ2" s="2212"/>
      <c r="AR2" s="2212"/>
      <c r="AS2" s="2212"/>
      <c r="AT2" s="2212"/>
      <c r="AU2" s="2212"/>
      <c r="AV2" s="2212"/>
      <c r="AW2" s="2212"/>
      <c r="AX2" s="2212"/>
      <c r="AY2" s="2212"/>
      <c r="AZ2" s="2212"/>
      <c r="BA2" s="2212"/>
      <c r="BB2" s="2212"/>
      <c r="BC2" s="2212"/>
      <c r="BD2" s="2212"/>
      <c r="BE2" s="2212"/>
      <c r="BF2" s="2212"/>
      <c r="BG2" s="2212"/>
      <c r="BH2" s="2212"/>
      <c r="BI2" s="2212"/>
      <c r="BJ2" s="2212"/>
      <c r="BK2" s="2212"/>
      <c r="BL2" s="2212"/>
      <c r="BM2" s="2212"/>
      <c r="BN2" s="2212"/>
      <c r="BO2" s="2212"/>
      <c r="BP2" s="2212"/>
      <c r="BQ2" s="2212"/>
      <c r="BR2" s="2212"/>
      <c r="BS2" s="2212"/>
      <c r="BT2" s="2212"/>
      <c r="BU2" s="2212"/>
      <c r="BV2" s="2212"/>
      <c r="BW2" s="2212"/>
      <c r="CT2" s="2944"/>
      <c r="CU2" s="2944"/>
      <c r="CV2" s="2944"/>
      <c r="JV2" s="3896"/>
      <c r="JW2" s="3843"/>
      <c r="JX2" s="3843"/>
      <c r="JY2" s="3843"/>
      <c r="JZ2" s="3843"/>
    </row>
    <row r="3" spans="1:286" x14ac:dyDescent="0.25">
      <c r="A3" s="662" t="s">
        <v>1279</v>
      </c>
      <c r="B3" s="692">
        <f>354-43</f>
        <v>311</v>
      </c>
      <c r="C3" s="662">
        <f>-MAR!M719</f>
        <v>340</v>
      </c>
      <c r="D3" s="662">
        <f>-MAR!R719</f>
        <v>235</v>
      </c>
      <c r="E3" s="662">
        <f>-MAR!W719</f>
        <v>252</v>
      </c>
      <c r="F3" s="662">
        <f>-MAR!AB719</f>
        <v>373</v>
      </c>
      <c r="G3" s="662">
        <f>-MAR!AG719</f>
        <v>664</v>
      </c>
      <c r="H3" s="662">
        <f>-MAR!AL719</f>
        <v>1644</v>
      </c>
      <c r="I3" s="662">
        <f>-MAR!AQ719</f>
        <v>1546</v>
      </c>
      <c r="J3" s="662">
        <f>-MAR!AV719</f>
        <v>1757</v>
      </c>
      <c r="K3" s="662">
        <f>-MAR!BA719</f>
        <v>434</v>
      </c>
      <c r="L3" s="662">
        <f>-MAR!BF719</f>
        <v>0</v>
      </c>
      <c r="M3" s="662">
        <f>-MAR!BK719</f>
        <v>57</v>
      </c>
      <c r="N3" s="662">
        <f>-MAR!BP719</f>
        <v>1425</v>
      </c>
      <c r="O3" s="662">
        <f>-MAR!BU719</f>
        <v>1145</v>
      </c>
      <c r="P3" s="2414">
        <f>-MAR!BZ719</f>
        <v>834</v>
      </c>
    </row>
    <row r="4" spans="1:286" ht="3.95" customHeight="1" x14ac:dyDescent="0.25"/>
    <row r="5" spans="1:286" s="2757" customFormat="1" x14ac:dyDescent="0.25">
      <c r="A5" s="2212" t="s">
        <v>1280</v>
      </c>
      <c r="B5" s="2212">
        <f t="shared" ref="B5:P5" si="0">SUM(B2:B4)</f>
        <v>363</v>
      </c>
      <c r="C5" s="2212">
        <f t="shared" si="0"/>
        <v>395</v>
      </c>
      <c r="D5" s="2212">
        <f t="shared" si="0"/>
        <v>296</v>
      </c>
      <c r="E5" s="2212">
        <f t="shared" si="0"/>
        <v>317</v>
      </c>
      <c r="F5" s="2212">
        <f t="shared" si="0"/>
        <v>441</v>
      </c>
      <c r="G5" s="2212">
        <f t="shared" si="0"/>
        <v>737</v>
      </c>
      <c r="H5" s="2212">
        <f t="shared" si="0"/>
        <v>1728</v>
      </c>
      <c r="I5" s="2212">
        <f t="shared" si="0"/>
        <v>1639</v>
      </c>
      <c r="J5" s="2212">
        <f t="shared" si="0"/>
        <v>1862</v>
      </c>
      <c r="K5" s="2212">
        <f t="shared" si="0"/>
        <v>549</v>
      </c>
      <c r="L5" s="2212">
        <f t="shared" si="0"/>
        <v>63</v>
      </c>
      <c r="M5" s="2212">
        <f t="shared" si="0"/>
        <v>100</v>
      </c>
      <c r="N5" s="2212">
        <f t="shared" si="0"/>
        <v>1559</v>
      </c>
      <c r="O5" s="2212">
        <f t="shared" si="0"/>
        <v>1336</v>
      </c>
      <c r="P5" s="2212">
        <f t="shared" si="0"/>
        <v>1030</v>
      </c>
      <c r="Q5" s="2212"/>
      <c r="R5" s="2212"/>
      <c r="S5" s="2212"/>
      <c r="T5" s="2212"/>
      <c r="U5" s="2212"/>
      <c r="V5" s="2212"/>
      <c r="W5" s="2212"/>
      <c r="X5" s="2212"/>
      <c r="Y5" s="2212"/>
      <c r="Z5" s="2212"/>
      <c r="AA5" s="2212"/>
      <c r="AB5" s="2212"/>
      <c r="AC5" s="2212"/>
      <c r="AD5" s="2271"/>
      <c r="AE5" s="2271"/>
      <c r="AF5" s="2212"/>
      <c r="AG5" s="2212"/>
      <c r="AH5" s="2212"/>
      <c r="AI5" s="2212"/>
      <c r="AJ5" s="2212"/>
      <c r="AK5" s="2212"/>
      <c r="AL5" s="2212"/>
      <c r="AM5" s="2212"/>
      <c r="AN5" s="2212"/>
      <c r="AO5" s="2212"/>
      <c r="AP5" s="2212"/>
      <c r="AQ5" s="2212"/>
      <c r="AR5" s="2212"/>
      <c r="AS5" s="2212"/>
      <c r="AT5" s="2212"/>
      <c r="AU5" s="2212"/>
      <c r="AV5" s="2212"/>
      <c r="AW5" s="2212"/>
      <c r="AX5" s="2212"/>
      <c r="AY5" s="2212"/>
      <c r="AZ5" s="2212"/>
      <c r="BA5" s="2212"/>
      <c r="BB5" s="2212"/>
      <c r="BC5" s="2212"/>
      <c r="BD5" s="2212"/>
      <c r="BE5" s="2212"/>
      <c r="BF5" s="2212"/>
      <c r="BG5" s="2212"/>
      <c r="BH5" s="2212"/>
      <c r="BI5" s="2212"/>
      <c r="BJ5" s="2212"/>
      <c r="BK5" s="2212"/>
      <c r="BL5" s="2212"/>
      <c r="BM5" s="2212"/>
      <c r="BN5" s="2212"/>
      <c r="BO5" s="2212"/>
      <c r="BP5" s="2212"/>
      <c r="BQ5" s="2212"/>
      <c r="BR5" s="2212"/>
      <c r="BS5" s="2212"/>
      <c r="BT5" s="2212"/>
      <c r="BU5" s="2212"/>
      <c r="BV5" s="2212"/>
      <c r="BW5" s="2212"/>
      <c r="CT5" s="2944"/>
      <c r="CU5" s="2944"/>
      <c r="CV5" s="2944"/>
      <c r="JV5" s="3896"/>
      <c r="JW5" s="3843"/>
      <c r="JX5" s="3843"/>
      <c r="JY5" s="3843"/>
      <c r="JZ5" s="3843"/>
    </row>
    <row r="6" spans="1:286" s="2758" customFormat="1" x14ac:dyDescent="0.25">
      <c r="A6" s="2213" t="s">
        <v>1193</v>
      </c>
      <c r="B6" s="2171">
        <v>16.47</v>
      </c>
      <c r="C6" s="2171">
        <v>16.72</v>
      </c>
      <c r="D6" s="2171">
        <v>19.579999999999998</v>
      </c>
      <c r="E6" s="2171">
        <v>17.18</v>
      </c>
      <c r="F6" s="2171">
        <v>17.989999999999998</v>
      </c>
      <c r="G6" s="2171">
        <v>23.09</v>
      </c>
      <c r="H6" s="2171">
        <v>30.32</v>
      </c>
      <c r="I6" s="2171">
        <v>35.299999999999997</v>
      </c>
      <c r="J6" s="2171">
        <v>40.98</v>
      </c>
      <c r="K6" s="2171">
        <v>26.05</v>
      </c>
      <c r="L6" s="2171">
        <v>20.7</v>
      </c>
      <c r="M6" s="2171">
        <v>31.71</v>
      </c>
      <c r="N6" s="2171">
        <v>32</v>
      </c>
      <c r="O6" s="2171">
        <v>37.06</v>
      </c>
      <c r="P6" s="2171"/>
      <c r="Q6" s="2213"/>
      <c r="R6" s="2213"/>
      <c r="S6" s="2213"/>
      <c r="T6" s="2213"/>
      <c r="U6" s="2213"/>
      <c r="V6" s="2213"/>
      <c r="W6" s="2213"/>
      <c r="X6" s="2213"/>
      <c r="Y6" s="2213"/>
      <c r="Z6" s="2213"/>
      <c r="AA6" s="2213"/>
      <c r="AB6" s="2213"/>
      <c r="AC6" s="2213"/>
      <c r="AD6" s="2626"/>
      <c r="AE6" s="2626"/>
      <c r="AF6" s="2213"/>
      <c r="AG6" s="2213"/>
      <c r="AH6" s="2213"/>
      <c r="AI6" s="2213"/>
      <c r="AJ6" s="2213"/>
      <c r="AK6" s="2213"/>
      <c r="AL6" s="2213"/>
      <c r="AM6" s="2213"/>
      <c r="AN6" s="2213"/>
      <c r="AO6" s="2213"/>
      <c r="AP6" s="2213"/>
      <c r="AQ6" s="2213"/>
      <c r="AR6" s="2213"/>
      <c r="AS6" s="2213"/>
      <c r="AT6" s="2213"/>
      <c r="AU6" s="2213"/>
      <c r="AV6" s="2213"/>
      <c r="AW6" s="2213"/>
      <c r="AX6" s="2213"/>
      <c r="AY6" s="2213"/>
      <c r="AZ6" s="2213"/>
      <c r="BA6" s="2213"/>
      <c r="BB6" s="2213"/>
      <c r="BC6" s="2213"/>
      <c r="BD6" s="2213"/>
      <c r="BE6" s="2213"/>
      <c r="BF6" s="2213"/>
      <c r="BG6" s="2213"/>
      <c r="BH6" s="2213"/>
      <c r="BI6" s="2213"/>
      <c r="BJ6" s="2213"/>
      <c r="BK6" s="2213"/>
      <c r="BL6" s="2213"/>
      <c r="BM6" s="2213"/>
      <c r="BN6" s="2213"/>
      <c r="BO6" s="2213"/>
      <c r="BP6" s="2213"/>
      <c r="BQ6" s="2213"/>
      <c r="BR6" s="2213"/>
      <c r="BS6" s="2213"/>
      <c r="BT6" s="2213"/>
      <c r="BU6" s="2213"/>
      <c r="BV6" s="2213"/>
      <c r="BW6" s="2213"/>
      <c r="CT6" s="2946"/>
      <c r="CU6" s="2946"/>
      <c r="CV6" s="2946"/>
      <c r="JV6" s="3898"/>
      <c r="JW6" s="3845"/>
      <c r="JX6" s="3845"/>
      <c r="JY6" s="3845"/>
      <c r="JZ6" s="3845"/>
    </row>
    <row r="8" spans="1:286" x14ac:dyDescent="0.25">
      <c r="B8" s="2173"/>
      <c r="C8" s="2173"/>
      <c r="D8" s="2173"/>
      <c r="E8" s="2173"/>
      <c r="F8" s="2173"/>
      <c r="G8" s="2173"/>
      <c r="H8" s="2173"/>
      <c r="I8" s="2173"/>
      <c r="J8" s="2173"/>
      <c r="K8" s="2173"/>
      <c r="L8" s="2173"/>
      <c r="M8" s="2173"/>
      <c r="N8" s="2173"/>
      <c r="O8" s="2173"/>
      <c r="P8" s="2173"/>
    </row>
    <row r="32" spans="17:24" x14ac:dyDescent="0.25">
      <c r="Q32" s="2219" t="s">
        <v>487</v>
      </c>
      <c r="R32" s="2220" t="s">
        <v>287</v>
      </c>
      <c r="S32" s="2220" t="s">
        <v>288</v>
      </c>
      <c r="T32" s="2220" t="s">
        <v>289</v>
      </c>
      <c r="U32" s="2220" t="s">
        <v>290</v>
      </c>
      <c r="V32" s="2220" t="s">
        <v>142</v>
      </c>
      <c r="W32" s="2220" t="s">
        <v>1724</v>
      </c>
      <c r="X32" s="2221" t="s">
        <v>493</v>
      </c>
    </row>
    <row r="33" spans="1:286" x14ac:dyDescent="0.25">
      <c r="Q33" s="2214" t="s">
        <v>459</v>
      </c>
      <c r="R33" s="2215">
        <f>+MAR!BQ269</f>
        <v>6.9000000000000006E-2</v>
      </c>
      <c r="S33" s="2215">
        <f>+MAR!BR269</f>
        <v>6.5000000000000002E-2</v>
      </c>
      <c r="T33" s="2215">
        <f>+MAR!BS269</f>
        <v>6.3E-2</v>
      </c>
      <c r="U33" s="2215">
        <f>+MAR!BT269</f>
        <v>5.8999999999999997E-2</v>
      </c>
      <c r="V33" s="2215">
        <f>+MAR!BV269</f>
        <v>4.8000000000000001E-2</v>
      </c>
      <c r="W33" s="2215">
        <f>+MAR!BW269</f>
        <v>5.1999999999999998E-2</v>
      </c>
      <c r="X33" s="2224">
        <f>+MAR!BX269</f>
        <v>5.1999999999999998E-2</v>
      </c>
    </row>
    <row r="34" spans="1:286" x14ac:dyDescent="0.25">
      <c r="Q34" s="2214" t="s">
        <v>460</v>
      </c>
      <c r="R34" s="2222">
        <v>7.6999999999999999E-2</v>
      </c>
      <c r="S34" s="2222">
        <v>6.7000000000000004E-2</v>
      </c>
      <c r="T34" s="2222">
        <v>4.5999999999999999E-2</v>
      </c>
      <c r="U34" s="2222">
        <v>5.7000000000000002E-2</v>
      </c>
      <c r="V34" s="2222">
        <v>4.1000000000000002E-2</v>
      </c>
      <c r="W34" s="2222">
        <v>4.5999999999999999E-2</v>
      </c>
      <c r="X34" s="2223">
        <v>3.5000000000000003E-2</v>
      </c>
    </row>
    <row r="35" spans="1:286" x14ac:dyDescent="0.25">
      <c r="Q35" s="2216" t="s">
        <v>461</v>
      </c>
      <c r="R35" s="2217">
        <f t="shared" ref="R35:X35" si="1">+R33-R34</f>
        <v>-7.9999999999999932E-3</v>
      </c>
      <c r="S35" s="2217">
        <f t="shared" si="1"/>
        <v>-2.0000000000000018E-3</v>
      </c>
      <c r="T35" s="2217">
        <f t="shared" si="1"/>
        <v>1.7000000000000001E-2</v>
      </c>
      <c r="U35" s="2217">
        <f t="shared" si="1"/>
        <v>1.9999999999999948E-3</v>
      </c>
      <c r="V35" s="2217">
        <f t="shared" si="1"/>
        <v>6.9999999999999993E-3</v>
      </c>
      <c r="W35" s="2217">
        <f t="shared" si="1"/>
        <v>5.9999999999999984E-3</v>
      </c>
      <c r="X35" s="2218">
        <f t="shared" si="1"/>
        <v>1.6999999999999994E-2</v>
      </c>
    </row>
    <row r="36" spans="1:286" x14ac:dyDescent="0.25">
      <c r="Y36" s="1062" t="s">
        <v>1083</v>
      </c>
      <c r="Z36" s="2270">
        <f ca="1">TODAY()</f>
        <v>43146</v>
      </c>
    </row>
    <row r="37" spans="1:286" x14ac:dyDescent="0.25">
      <c r="Y37" s="1062" t="s">
        <v>991</v>
      </c>
    </row>
    <row r="38" spans="1:286" s="199" customFormat="1" x14ac:dyDescent="0.25">
      <c r="A38" s="542"/>
      <c r="B38" s="542"/>
      <c r="C38" s="542"/>
      <c r="D38" s="542"/>
      <c r="E38" s="542"/>
      <c r="F38" s="542"/>
      <c r="G38" s="542"/>
      <c r="H38" s="542"/>
      <c r="I38" s="542"/>
      <c r="J38" s="542"/>
      <c r="K38" s="542"/>
      <c r="L38" s="542"/>
      <c r="M38" s="542"/>
      <c r="N38" s="542"/>
      <c r="O38" s="542"/>
      <c r="P38" s="542"/>
      <c r="Q38" s="542"/>
      <c r="R38" s="542"/>
      <c r="S38" s="542"/>
      <c r="T38" s="542"/>
      <c r="U38" s="542"/>
      <c r="V38" s="542"/>
      <c r="W38" s="542"/>
      <c r="X38" s="542"/>
      <c r="Y38" s="1073" t="s">
        <v>1083</v>
      </c>
      <c r="Z38" s="2989">
        <v>2013</v>
      </c>
      <c r="AA38" s="2989">
        <v>2014</v>
      </c>
      <c r="AB38" s="2989">
        <v>2015</v>
      </c>
      <c r="AC38" s="1344" t="s">
        <v>721</v>
      </c>
      <c r="AD38" s="1344" t="s">
        <v>722</v>
      </c>
      <c r="AE38" s="2990" t="s">
        <v>723</v>
      </c>
      <c r="AF38" s="542"/>
      <c r="AG38" s="542"/>
      <c r="AH38" s="542"/>
      <c r="AI38" s="542"/>
      <c r="AJ38" s="542"/>
      <c r="AK38" s="542"/>
      <c r="AL38" s="542"/>
      <c r="AM38" s="542"/>
      <c r="AN38" s="542"/>
      <c r="AO38" s="542"/>
      <c r="AP38" s="542"/>
      <c r="AQ38" s="542"/>
      <c r="AR38" s="542"/>
      <c r="AS38" s="542"/>
      <c r="AT38" s="542"/>
      <c r="AU38" s="542"/>
      <c r="AV38" s="542"/>
      <c r="AW38" s="542"/>
      <c r="AX38" s="542"/>
      <c r="AY38" s="542"/>
      <c r="AZ38" s="542"/>
      <c r="BA38" s="542"/>
      <c r="BB38" s="542"/>
      <c r="BC38" s="542"/>
      <c r="BD38" s="542"/>
      <c r="BE38" s="542"/>
      <c r="BF38" s="542"/>
      <c r="BG38" s="542"/>
      <c r="BH38" s="542"/>
      <c r="BI38" s="542"/>
      <c r="BJ38" s="542"/>
      <c r="BK38" s="542"/>
      <c r="BL38" s="542"/>
      <c r="BM38" s="542"/>
      <c r="BN38" s="542"/>
      <c r="BO38" s="542"/>
      <c r="BP38" s="542"/>
      <c r="BQ38" s="542"/>
      <c r="BR38" s="542"/>
      <c r="BS38" s="542"/>
      <c r="BT38" s="542"/>
      <c r="BU38" s="542"/>
      <c r="BV38" s="542"/>
      <c r="BW38" s="542"/>
      <c r="CT38" s="1359"/>
      <c r="CU38" s="1359"/>
      <c r="CV38" s="1359"/>
      <c r="JV38" s="3899"/>
      <c r="JW38" s="3846"/>
      <c r="JX38" s="3846"/>
      <c r="JY38" s="3846"/>
      <c r="JZ38" s="3846"/>
    </row>
    <row r="39" spans="1:286" s="199" customFormat="1" x14ac:dyDescent="0.25">
      <c r="A39" s="542"/>
      <c r="B39" s="542"/>
      <c r="C39" s="542"/>
      <c r="D39" s="542"/>
      <c r="E39" s="542"/>
      <c r="F39" s="542"/>
      <c r="G39" s="542"/>
      <c r="H39" s="542"/>
      <c r="I39" s="542"/>
      <c r="J39" s="542"/>
      <c r="K39" s="542"/>
      <c r="L39" s="542"/>
      <c r="M39" s="542"/>
      <c r="N39" s="542"/>
      <c r="O39" s="542"/>
      <c r="P39" s="542"/>
      <c r="Q39" s="542"/>
      <c r="R39" s="542"/>
      <c r="S39" s="542"/>
      <c r="T39" s="542"/>
      <c r="U39" s="542"/>
      <c r="V39" s="542"/>
      <c r="W39" s="542"/>
      <c r="X39" s="542"/>
      <c r="Y39" s="1082" t="s">
        <v>2380</v>
      </c>
      <c r="Z39" s="2991"/>
      <c r="AA39" s="2991"/>
      <c r="AB39" s="2992"/>
      <c r="AC39" s="2992"/>
      <c r="AD39" s="2992"/>
      <c r="AE39" s="2993"/>
      <c r="AF39" s="542"/>
      <c r="AG39" s="542"/>
      <c r="AH39" s="542"/>
      <c r="AI39" s="542"/>
      <c r="AJ39" s="542"/>
      <c r="AK39" s="542"/>
      <c r="AL39" s="542"/>
      <c r="AM39" s="542"/>
      <c r="AN39" s="542"/>
      <c r="AO39" s="542"/>
      <c r="AP39" s="542"/>
      <c r="AQ39" s="542"/>
      <c r="AR39" s="542"/>
      <c r="AS39" s="542"/>
      <c r="AT39" s="542"/>
      <c r="AU39" s="542"/>
      <c r="AV39" s="542"/>
      <c r="AW39" s="542"/>
      <c r="AX39" s="542"/>
      <c r="AY39" s="542"/>
      <c r="AZ39" s="542"/>
      <c r="BA39" s="542"/>
      <c r="BB39" s="542"/>
      <c r="BC39" s="542"/>
      <c r="BD39" s="542"/>
      <c r="BE39" s="542"/>
      <c r="BF39" s="542"/>
      <c r="BG39" s="542"/>
      <c r="BH39" s="542"/>
      <c r="BI39" s="542"/>
      <c r="BJ39" s="542"/>
      <c r="BK39" s="542"/>
      <c r="BL39" s="542"/>
      <c r="BM39" s="542"/>
      <c r="BN39" s="542"/>
      <c r="BO39" s="542"/>
      <c r="BP39" s="542"/>
      <c r="BQ39" s="542"/>
      <c r="BR39" s="542"/>
      <c r="BS39" s="542"/>
      <c r="BT39" s="542"/>
      <c r="BU39" s="542"/>
      <c r="BV39" s="542"/>
      <c r="BW39" s="542"/>
      <c r="CT39" s="1359"/>
      <c r="CU39" s="1359"/>
      <c r="CV39" s="1359"/>
      <c r="JV39" s="3899"/>
      <c r="JW39" s="3846"/>
      <c r="JX39" s="3846"/>
      <c r="JY39" s="3846"/>
      <c r="JZ39" s="3846"/>
    </row>
    <row r="40" spans="1:286" s="2757" customFormat="1" x14ac:dyDescent="0.25">
      <c r="A40" s="2212"/>
      <c r="B40" s="2212"/>
      <c r="C40" s="2212"/>
      <c r="D40" s="2212"/>
      <c r="E40" s="2212"/>
      <c r="F40" s="2212"/>
      <c r="G40" s="2212"/>
      <c r="H40" s="2212"/>
      <c r="I40" s="2212"/>
      <c r="J40" s="2212"/>
      <c r="K40" s="2212"/>
      <c r="L40" s="2212"/>
      <c r="M40" s="2212"/>
      <c r="N40" s="2212"/>
      <c r="O40" s="2212"/>
      <c r="P40" s="2212"/>
      <c r="Q40" s="2212"/>
      <c r="R40" s="2212"/>
      <c r="S40" s="2212"/>
      <c r="T40" s="2212"/>
      <c r="U40" s="2212"/>
      <c r="V40" s="2212"/>
      <c r="W40" s="2212"/>
      <c r="X40" s="2212"/>
      <c r="Y40" s="2994" t="s">
        <v>990</v>
      </c>
      <c r="Z40" s="2995">
        <f>+MAR!BZ98</f>
        <v>1325</v>
      </c>
      <c r="AA40" s="2995">
        <f>+MAR!CE98</f>
        <v>1524</v>
      </c>
      <c r="AB40" s="2995">
        <f>+MAR!CJ98</f>
        <v>1718</v>
      </c>
      <c r="AC40" s="2995">
        <f>+MAR!CO98</f>
        <v>2136</v>
      </c>
      <c r="AD40" s="2995">
        <f>+MAR!CT98</f>
        <v>3223</v>
      </c>
      <c r="AE40" s="2996">
        <f ca="1">+MAR!CY98</f>
        <v>3408.5199569809874</v>
      </c>
      <c r="AF40" s="2212"/>
      <c r="AG40" s="2212"/>
      <c r="AH40" s="2212"/>
      <c r="AI40" s="2212"/>
      <c r="AJ40" s="2212"/>
      <c r="AK40" s="2212"/>
      <c r="AL40" s="2212"/>
      <c r="AM40" s="2212"/>
      <c r="AN40" s="2212"/>
      <c r="AO40" s="2212"/>
      <c r="AP40" s="2212"/>
      <c r="AQ40" s="2212"/>
      <c r="AR40" s="2212"/>
      <c r="AS40" s="2212"/>
      <c r="AT40" s="2212"/>
      <c r="AU40" s="2212"/>
      <c r="AV40" s="2212"/>
      <c r="AW40" s="2212"/>
      <c r="AX40" s="2212"/>
      <c r="AY40" s="2212"/>
      <c r="AZ40" s="2212"/>
      <c r="BA40" s="2212"/>
      <c r="BB40" s="2212"/>
      <c r="BC40" s="2212"/>
      <c r="BD40" s="2212"/>
      <c r="BE40" s="2212"/>
      <c r="BF40" s="2212"/>
      <c r="BG40" s="2212"/>
      <c r="BH40" s="2212"/>
      <c r="BI40" s="2212"/>
      <c r="BJ40" s="2212"/>
      <c r="BK40" s="2212"/>
      <c r="BL40" s="2212"/>
      <c r="BM40" s="2212"/>
      <c r="BN40" s="2212"/>
      <c r="BO40" s="2212"/>
      <c r="BP40" s="2212"/>
      <c r="BQ40" s="2212"/>
      <c r="BR40" s="2212"/>
      <c r="BS40" s="2212"/>
      <c r="BT40" s="2212"/>
      <c r="BU40" s="2212"/>
      <c r="BV40" s="2212"/>
      <c r="BW40" s="2212"/>
      <c r="CT40" s="2944"/>
      <c r="CU40" s="2944"/>
      <c r="CV40" s="2944"/>
      <c r="JV40" s="3896"/>
      <c r="JW40" s="3843"/>
      <c r="JX40" s="3843"/>
      <c r="JY40" s="3843"/>
      <c r="JZ40" s="3843"/>
    </row>
    <row r="41" spans="1:286" s="2757" customFormat="1" x14ac:dyDescent="0.25">
      <c r="A41" s="2212"/>
      <c r="B41" s="2212"/>
      <c r="C41" s="2212"/>
      <c r="D41" s="2212"/>
      <c r="E41" s="2212"/>
      <c r="F41" s="2212"/>
      <c r="G41" s="2212"/>
      <c r="H41" s="2212"/>
      <c r="I41" s="2212"/>
      <c r="J41" s="2212"/>
      <c r="K41" s="2212"/>
      <c r="L41" s="2212"/>
      <c r="M41" s="2212"/>
      <c r="N41" s="2212"/>
      <c r="O41" s="2212"/>
      <c r="P41" s="2212"/>
      <c r="Q41" s="2212"/>
      <c r="R41" s="2212"/>
      <c r="S41" s="2212"/>
      <c r="T41" s="2212"/>
      <c r="U41" s="2212"/>
      <c r="V41" s="2212"/>
      <c r="W41" s="2212"/>
      <c r="X41" s="2212"/>
      <c r="Y41" s="2994" t="s">
        <v>989</v>
      </c>
      <c r="Z41" s="2997">
        <f>+Z40</f>
        <v>1325</v>
      </c>
      <c r="AA41" s="2998" t="str">
        <f ca="1">_xll.ThomsonONEAddinShim.SpreadsheetFormulas.TF($Y36,"TF.ES.EBITDA.ACTVALUE(period=#1,SDATE=#2,SCALE=6)@TF.ES.EBITDA.Mean(period=#1,SDATE=#2,SCALE=6)",,LEFT(AA$38,4),TEXT($Z$36,"YYYYMMDD"))</f>
        <v xml:space="preserve">$1,524 </v>
      </c>
      <c r="AB41" s="2998" t="str">
        <f ca="1">_xll.ThomsonONEAddinShim.SpreadsheetFormulas.TF($Y36,"TF.ES.EBITDA.ACTVALUE(period=#1,SDATE=#2,SCALE=6)@TF.ES.EBITDA.Mean(period=#1,SDATE=#2,SCALE=6)",,LEFT(AB$38,4),TEXT($Z$36,"YYYYMMDD"))</f>
        <v xml:space="preserve">$1,718 </v>
      </c>
      <c r="AC41" s="2998" t="str">
        <f ca="1">_xll.ThomsonONEAddinShim.SpreadsheetFormulas.TF($Y36,"TF.ES.EBITDA.ACTVALUE(period=#1,SDATE=#2,SCALE=6)@TF.ES.EBITDA.Mean(period=#1,SDATE=#2,SCALE=6)",,LEFT(AC$38,4),TEXT($Z$36,"YYYYMMDD"))</f>
        <v xml:space="preserve">$2,987 </v>
      </c>
      <c r="AD41" s="2998" t="str">
        <f ca="1">_xll.ThomsonONEAddinShim.SpreadsheetFormulas.TF($Y36,"TF.ES.EBITDA.ACTVALUE(period=#1,SDATE=#2,SCALE=6)@TF.ES.EBITDA.Mean(period=#1,SDATE=#2,SCALE=6)",,LEFT(AD$38,4),TEXT($Z$36,"YYYYMMDD"))</f>
        <v xml:space="preserve">$3,166 </v>
      </c>
      <c r="AE41" s="2999" t="str">
        <f ca="1">_xll.ThomsonONEAddinShim.SpreadsheetFormulas.TF($Y36,"TF.ES.EBITDA.ACTVALUE(period=#1,SDATE=#2,SCALE=6)@TF.ES.EBITDA.Mean(period=#1,SDATE=#2,SCALE=6)",,LEFT(AE$38,4),TEXT($Z$36,"YYYYMMDD"))</f>
        <v xml:space="preserve">$3,436 </v>
      </c>
      <c r="AF41" s="2212"/>
      <c r="AG41" s="2212"/>
      <c r="AH41" s="2212"/>
      <c r="AI41" s="2212"/>
      <c r="AJ41" s="2212"/>
      <c r="AK41" s="2212"/>
      <c r="AL41" s="2212"/>
      <c r="AM41" s="2212"/>
      <c r="AN41" s="2212"/>
      <c r="AO41" s="2212"/>
      <c r="AP41" s="2212"/>
      <c r="AQ41" s="2212"/>
      <c r="AR41" s="2212"/>
      <c r="AS41" s="2212"/>
      <c r="AT41" s="2212"/>
      <c r="AU41" s="2212"/>
      <c r="AV41" s="2212"/>
      <c r="AW41" s="2212"/>
      <c r="AX41" s="2212"/>
      <c r="AY41" s="2212"/>
      <c r="AZ41" s="2212"/>
      <c r="BA41" s="2212"/>
      <c r="BB41" s="2212"/>
      <c r="BC41" s="2212"/>
      <c r="BD41" s="2212"/>
      <c r="BE41" s="2212"/>
      <c r="BF41" s="2212"/>
      <c r="BG41" s="2212"/>
      <c r="BH41" s="2212"/>
      <c r="BI41" s="2212"/>
      <c r="BJ41" s="2212"/>
      <c r="BK41" s="2212"/>
      <c r="BL41" s="2212"/>
      <c r="BM41" s="2212"/>
      <c r="BN41" s="2212"/>
      <c r="BO41" s="2212"/>
      <c r="BP41" s="2212"/>
      <c r="BQ41" s="2212"/>
      <c r="BR41" s="2212"/>
      <c r="BS41" s="2212"/>
      <c r="BT41" s="2212"/>
      <c r="BU41" s="2212"/>
      <c r="BV41" s="2212"/>
      <c r="BW41" s="2212"/>
      <c r="CT41" s="2944"/>
      <c r="CU41" s="2944"/>
      <c r="CV41" s="2944"/>
      <c r="JV41" s="3896"/>
      <c r="JW41" s="3843"/>
      <c r="JX41" s="3843"/>
      <c r="JY41" s="3843"/>
      <c r="JZ41" s="3843"/>
    </row>
    <row r="42" spans="1:286" s="2759" customFormat="1" x14ac:dyDescent="0.25">
      <c r="A42" s="665"/>
      <c r="B42" s="665"/>
      <c r="C42" s="665"/>
      <c r="D42" s="665"/>
      <c r="E42" s="665"/>
      <c r="F42" s="665"/>
      <c r="G42" s="665"/>
      <c r="H42" s="665"/>
      <c r="I42" s="665"/>
      <c r="J42" s="665"/>
      <c r="K42" s="665"/>
      <c r="L42" s="665"/>
      <c r="M42" s="665"/>
      <c r="N42" s="665"/>
      <c r="O42" s="665"/>
      <c r="P42" s="665"/>
      <c r="Q42" s="665"/>
      <c r="R42" s="665"/>
      <c r="S42" s="665"/>
      <c r="T42" s="665"/>
      <c r="U42" s="665"/>
      <c r="V42" s="665"/>
      <c r="W42" s="665"/>
      <c r="X42" s="665"/>
      <c r="Y42" s="3000" t="s">
        <v>991</v>
      </c>
      <c r="Z42" s="3001">
        <f t="shared" ref="Z42:AE42" si="2">+Z40/Z41-1</f>
        <v>0</v>
      </c>
      <c r="AA42" s="3001">
        <f t="shared" ca="1" si="2"/>
        <v>0</v>
      </c>
      <c r="AB42" s="3001">
        <f t="shared" ca="1" si="2"/>
        <v>0</v>
      </c>
      <c r="AC42" s="3001">
        <f t="shared" ca="1" si="2"/>
        <v>-0.28490123870103778</v>
      </c>
      <c r="AD42" s="3001">
        <f t="shared" ca="1" si="2"/>
        <v>1.8003790271636122E-2</v>
      </c>
      <c r="AE42" s="3002">
        <f t="shared" ca="1" si="2"/>
        <v>-7.9976842313773666E-3</v>
      </c>
      <c r="AF42" s="665"/>
      <c r="AG42" s="665"/>
      <c r="AH42" s="665"/>
      <c r="AI42" s="665"/>
      <c r="AJ42" s="665"/>
      <c r="AK42" s="665"/>
      <c r="AL42" s="665"/>
      <c r="AM42" s="665"/>
      <c r="AN42" s="665"/>
      <c r="AO42" s="665"/>
      <c r="AP42" s="665"/>
      <c r="AQ42" s="665"/>
      <c r="AR42" s="665"/>
      <c r="AS42" s="665"/>
      <c r="AT42" s="665"/>
      <c r="AU42" s="665"/>
      <c r="AV42" s="665"/>
      <c r="AW42" s="665"/>
      <c r="AX42" s="665"/>
      <c r="AY42" s="665"/>
      <c r="AZ42" s="665"/>
      <c r="BA42" s="665"/>
      <c r="BB42" s="665"/>
      <c r="BC42" s="665"/>
      <c r="BD42" s="665"/>
      <c r="BE42" s="665"/>
      <c r="BF42" s="665"/>
      <c r="BG42" s="665"/>
      <c r="BH42" s="665"/>
      <c r="BI42" s="665"/>
      <c r="BJ42" s="665"/>
      <c r="BK42" s="665"/>
      <c r="BL42" s="665"/>
      <c r="BM42" s="665"/>
      <c r="BN42" s="665"/>
      <c r="BO42" s="665"/>
      <c r="BP42" s="665"/>
      <c r="BQ42" s="665"/>
      <c r="BR42" s="665"/>
      <c r="BS42" s="665"/>
      <c r="BT42" s="665"/>
      <c r="BU42" s="665"/>
      <c r="BV42" s="665"/>
      <c r="BW42" s="665"/>
      <c r="CT42" s="2947"/>
      <c r="CU42" s="2947"/>
      <c r="CV42" s="2947"/>
      <c r="JV42" s="3900"/>
      <c r="JW42" s="3847"/>
      <c r="JX42" s="3847"/>
      <c r="JY42" s="3847"/>
      <c r="JZ42" s="3847"/>
    </row>
    <row r="43" spans="1:286" s="2759" customFormat="1" x14ac:dyDescent="0.25">
      <c r="A43" s="665"/>
      <c r="B43" s="665"/>
      <c r="C43" s="665"/>
      <c r="D43" s="665"/>
      <c r="E43" s="665"/>
      <c r="F43" s="665"/>
      <c r="G43" s="665"/>
      <c r="H43" s="665"/>
      <c r="I43" s="665"/>
      <c r="J43" s="665"/>
      <c r="K43" s="665"/>
      <c r="L43" s="665"/>
      <c r="M43" s="665"/>
      <c r="N43" s="665"/>
      <c r="O43" s="665"/>
      <c r="P43" s="665"/>
      <c r="Q43" s="665"/>
      <c r="R43" s="665"/>
      <c r="S43" s="665"/>
      <c r="T43" s="665"/>
      <c r="U43" s="665"/>
      <c r="V43" s="665"/>
      <c r="W43" s="665"/>
      <c r="X43" s="665"/>
      <c r="Y43" s="2824" t="s">
        <v>487</v>
      </c>
      <c r="Z43" s="2273"/>
      <c r="AA43" s="2273"/>
      <c r="AB43" s="2273"/>
      <c r="AC43" s="2273"/>
      <c r="AD43" s="2725"/>
      <c r="AE43" s="2725"/>
      <c r="AF43" s="665"/>
      <c r="AG43" s="665"/>
      <c r="AH43" s="665"/>
      <c r="AI43" s="665"/>
      <c r="AJ43" s="665"/>
      <c r="AK43" s="665"/>
      <c r="AL43" s="665"/>
      <c r="AM43" s="665"/>
      <c r="AN43" s="665"/>
      <c r="AO43" s="665"/>
      <c r="AP43" s="665"/>
      <c r="AQ43" s="665"/>
      <c r="AR43" s="665"/>
      <c r="AS43" s="665"/>
      <c r="AT43" s="665"/>
      <c r="AU43" s="665"/>
      <c r="AV43" s="665"/>
      <c r="AW43" s="665"/>
      <c r="AX43" s="665"/>
      <c r="AY43" s="665"/>
      <c r="AZ43" s="665"/>
      <c r="BA43" s="665"/>
      <c r="BB43" s="665"/>
      <c r="BC43" s="665"/>
      <c r="BD43" s="665"/>
      <c r="BE43" s="665"/>
      <c r="BF43" s="665"/>
      <c r="BG43" s="665"/>
      <c r="BH43" s="665"/>
      <c r="BI43" s="665"/>
      <c r="BJ43" s="665"/>
      <c r="BK43" s="665"/>
      <c r="BL43" s="665"/>
      <c r="BM43" s="665"/>
      <c r="BN43" s="665"/>
      <c r="BO43" s="665"/>
      <c r="BP43" s="665"/>
      <c r="BQ43" s="665"/>
      <c r="BR43" s="665"/>
      <c r="BS43" s="665"/>
      <c r="BT43" s="665"/>
      <c r="BU43" s="665"/>
      <c r="BV43" s="665"/>
      <c r="BW43" s="665"/>
      <c r="CT43" s="2947"/>
      <c r="CU43" s="2947"/>
      <c r="CV43" s="2947"/>
      <c r="JV43" s="3900"/>
      <c r="JW43" s="3847"/>
      <c r="JX43" s="3847"/>
      <c r="JY43" s="3847"/>
      <c r="JZ43" s="3847"/>
    </row>
    <row r="44" spans="1:286" s="2761" customFormat="1" x14ac:dyDescent="0.25">
      <c r="A44" s="2747"/>
      <c r="B44" s="2747"/>
      <c r="C44" s="2747"/>
      <c r="D44" s="2747"/>
      <c r="E44" s="2747"/>
      <c r="F44" s="2747"/>
      <c r="G44" s="2747"/>
      <c r="H44" s="2747"/>
      <c r="I44" s="2747"/>
      <c r="J44" s="2747"/>
      <c r="K44" s="2747"/>
      <c r="L44" s="2747"/>
      <c r="M44" s="2747"/>
      <c r="N44" s="2747"/>
      <c r="O44" s="2747"/>
      <c r="P44" s="2747"/>
      <c r="Q44" s="2747"/>
      <c r="R44" s="2747"/>
      <c r="S44" s="2747"/>
      <c r="T44" s="2747"/>
      <c r="U44" s="2747"/>
      <c r="V44" s="2747"/>
      <c r="W44" s="2747"/>
      <c r="X44" s="2747"/>
      <c r="Y44" s="2825" t="s">
        <v>990</v>
      </c>
      <c r="Z44" s="2746">
        <f>+MAR!DR276</f>
        <v>4.5999999999999999E-2</v>
      </c>
      <c r="AA44" s="2746">
        <f>+MAR!DS276</f>
        <v>6.6000000000000003E-2</v>
      </c>
      <c r="AB44" s="2746">
        <f>+MAR!DT276</f>
        <v>5.1999999999999998E-2</v>
      </c>
      <c r="AC44" s="2746">
        <f>+MAR!DU276</f>
        <v>2.3E-2</v>
      </c>
      <c r="AD44" s="2826">
        <f>+MAR!DV276</f>
        <v>3.1E-2</v>
      </c>
      <c r="AE44" s="2826"/>
      <c r="AF44" s="2747"/>
      <c r="AG44" s="2747"/>
      <c r="AH44" s="2747"/>
      <c r="AI44" s="2747"/>
      <c r="AJ44" s="2747"/>
      <c r="AK44" s="2747"/>
      <c r="AL44" s="2747"/>
      <c r="AM44" s="2747"/>
      <c r="AN44" s="2747"/>
      <c r="AO44" s="2747"/>
      <c r="AP44" s="2747"/>
      <c r="AQ44" s="2747"/>
      <c r="AR44" s="2747"/>
      <c r="AS44" s="2747"/>
      <c r="AT44" s="2747"/>
      <c r="AU44" s="2747"/>
      <c r="AV44" s="2747"/>
      <c r="AW44" s="2747"/>
      <c r="AX44" s="2747"/>
      <c r="AY44" s="2747"/>
      <c r="AZ44" s="2747"/>
      <c r="BA44" s="2747"/>
      <c r="BB44" s="2747"/>
      <c r="BC44" s="2747"/>
      <c r="BD44" s="2747"/>
      <c r="BE44" s="2747"/>
      <c r="BF44" s="2747"/>
      <c r="BG44" s="2747"/>
      <c r="BH44" s="2747"/>
      <c r="BI44" s="2747"/>
      <c r="BJ44" s="2747"/>
      <c r="BK44" s="2747"/>
      <c r="BL44" s="2747"/>
      <c r="BM44" s="2747"/>
      <c r="BN44" s="2747"/>
      <c r="BO44" s="2747"/>
      <c r="BP44" s="2747"/>
      <c r="BQ44" s="2747"/>
      <c r="BR44" s="2747"/>
      <c r="BS44" s="2747"/>
      <c r="BT44" s="2747"/>
      <c r="BU44" s="2747"/>
      <c r="BV44" s="2747"/>
      <c r="BW44" s="2747"/>
      <c r="CT44" s="2948"/>
      <c r="CU44" s="2948"/>
      <c r="CV44" s="2948"/>
      <c r="JV44" s="3901"/>
      <c r="JW44" s="3848"/>
      <c r="JX44" s="3848"/>
      <c r="JY44" s="3848"/>
      <c r="JZ44" s="3848"/>
    </row>
    <row r="45" spans="1:286" s="2761" customFormat="1" x14ac:dyDescent="0.25">
      <c r="A45" s="2747"/>
      <c r="B45" s="2747"/>
      <c r="C45" s="2747"/>
      <c r="D45" s="2747"/>
      <c r="E45" s="2747"/>
      <c r="F45" s="2747"/>
      <c r="G45" s="2747"/>
      <c r="H45" s="2747"/>
      <c r="I45" s="2747"/>
      <c r="J45" s="2747"/>
      <c r="K45" s="2747"/>
      <c r="L45" s="2747"/>
      <c r="M45" s="2747"/>
      <c r="N45" s="2747"/>
      <c r="O45" s="2747"/>
      <c r="P45" s="2747"/>
      <c r="Q45" s="2747"/>
      <c r="R45" s="2747"/>
      <c r="S45" s="2747"/>
      <c r="T45" s="2747"/>
      <c r="U45" s="2747"/>
      <c r="V45" s="2747"/>
      <c r="W45" s="2747"/>
      <c r="X45" s="2747"/>
      <c r="Y45" s="2825" t="s">
        <v>989</v>
      </c>
      <c r="Z45" s="2827">
        <f>+Z44</f>
        <v>4.5999999999999999E-2</v>
      </c>
      <c r="AA45" s="2828" t="str">
        <f ca="1">_xll.ThomsonONEAddinShim.SpreadsheetFormulas.TF($Y41,"TF.ES.EBITDA.ACTVALUE(period=#1,SDATE=#2,SCALE=6)@TF.ES.EBITDA.Mean(period=#1,SDATE=#2,SCALE=6)",,LEFT(AA$38,4),TEXT($Z$36,"YYYYMMDD"))</f>
        <v>N/A</v>
      </c>
      <c r="AB45" s="2832">
        <v>5.1900000000000002E-2</v>
      </c>
      <c r="AC45" s="2832">
        <v>4.7500000000000001E-2</v>
      </c>
      <c r="AD45" s="2833">
        <v>4.1799999999999997E-2</v>
      </c>
      <c r="AE45" s="2833"/>
      <c r="AF45" s="2747"/>
      <c r="AG45" s="2747"/>
      <c r="AH45" s="2747"/>
      <c r="AI45" s="2747"/>
      <c r="AJ45" s="2747"/>
      <c r="AK45" s="2747"/>
      <c r="AL45" s="2747"/>
      <c r="AM45" s="2747"/>
      <c r="AN45" s="2747"/>
      <c r="AO45" s="2747"/>
      <c r="AP45" s="2747"/>
      <c r="AQ45" s="2747"/>
      <c r="AR45" s="2747"/>
      <c r="AS45" s="2747"/>
      <c r="AT45" s="2747"/>
      <c r="AU45" s="2747"/>
      <c r="AV45" s="2747"/>
      <c r="AW45" s="2747"/>
      <c r="AX45" s="2747"/>
      <c r="AY45" s="2747"/>
      <c r="AZ45" s="2747"/>
      <c r="BA45" s="2747"/>
      <c r="BB45" s="2747"/>
      <c r="BC45" s="2747"/>
      <c r="BD45" s="2747"/>
      <c r="BE45" s="2747"/>
      <c r="BF45" s="2747"/>
      <c r="BG45" s="2747"/>
      <c r="BH45" s="2747"/>
      <c r="BI45" s="2747"/>
      <c r="BJ45" s="2747"/>
      <c r="BK45" s="2747"/>
      <c r="BL45" s="2747"/>
      <c r="BM45" s="2747"/>
      <c r="BN45" s="2747"/>
      <c r="BO45" s="2747"/>
      <c r="BP45" s="2747"/>
      <c r="BQ45" s="2747"/>
      <c r="BR45" s="2747"/>
      <c r="BS45" s="2747"/>
      <c r="BT45" s="2747"/>
      <c r="BU45" s="2747"/>
      <c r="BV45" s="2747"/>
      <c r="BW45" s="2747"/>
      <c r="CT45" s="2948"/>
      <c r="CU45" s="2948"/>
      <c r="CV45" s="2948"/>
      <c r="JV45" s="3901"/>
      <c r="JW45" s="3848"/>
      <c r="JX45" s="3848"/>
      <c r="JY45" s="3848"/>
      <c r="JZ45" s="3848"/>
    </row>
    <row r="46" spans="1:286" s="2831" customFormat="1" x14ac:dyDescent="0.25">
      <c r="A46" s="2744"/>
      <c r="B46" s="2744"/>
      <c r="C46" s="2744"/>
      <c r="D46" s="2744"/>
      <c r="E46" s="2744"/>
      <c r="F46" s="2744"/>
      <c r="G46" s="2744"/>
      <c r="H46" s="2744"/>
      <c r="I46" s="2744"/>
      <c r="J46" s="2744"/>
      <c r="K46" s="2744"/>
      <c r="L46" s="2744"/>
      <c r="M46" s="2744"/>
      <c r="N46" s="2744"/>
      <c r="O46" s="2744"/>
      <c r="P46" s="2744"/>
      <c r="Q46" s="2744"/>
      <c r="R46" s="2744"/>
      <c r="S46" s="2744"/>
      <c r="T46" s="2744"/>
      <c r="U46" s="2744"/>
      <c r="V46" s="2744"/>
      <c r="W46" s="2744"/>
      <c r="X46" s="2744"/>
      <c r="Y46" s="2829" t="s">
        <v>991</v>
      </c>
      <c r="Z46" s="2215">
        <f>+Z44/Z45-1</f>
        <v>0</v>
      </c>
      <c r="AA46" s="2215" t="str">
        <f ca="1">IFERROR(+AA44/AA45-1,"NM")</f>
        <v>NM</v>
      </c>
      <c r="AB46" s="2215">
        <f>+AB44-AB45</f>
        <v>9.9999999999995925E-5</v>
      </c>
      <c r="AC46" s="2215">
        <f>+AC44-AC45</f>
        <v>-2.4500000000000001E-2</v>
      </c>
      <c r="AD46" s="2830">
        <f>+AD44-AD45</f>
        <v>-1.0799999999999997E-2</v>
      </c>
      <c r="AE46" s="2830"/>
      <c r="AF46" s="2744"/>
      <c r="AG46" s="2744"/>
      <c r="AH46" s="2744"/>
      <c r="AI46" s="2744"/>
      <c r="AJ46" s="2744"/>
      <c r="AK46" s="2744"/>
      <c r="AL46" s="2744"/>
      <c r="AM46" s="2744"/>
      <c r="AN46" s="2744"/>
      <c r="AO46" s="2744"/>
      <c r="AP46" s="2744"/>
      <c r="AQ46" s="2744"/>
      <c r="AR46" s="2744"/>
      <c r="AS46" s="2744"/>
      <c r="AT46" s="2744"/>
      <c r="AU46" s="2744"/>
      <c r="AV46" s="2744"/>
      <c r="AW46" s="2744"/>
      <c r="AX46" s="2744"/>
      <c r="AY46" s="2744"/>
      <c r="AZ46" s="2744"/>
      <c r="BA46" s="2744"/>
      <c r="BB46" s="2744"/>
      <c r="BC46" s="2744"/>
      <c r="BD46" s="2744"/>
      <c r="BE46" s="2744"/>
      <c r="BF46" s="2744"/>
      <c r="BG46" s="2744"/>
      <c r="BH46" s="2744"/>
      <c r="BI46" s="2744"/>
      <c r="BJ46" s="2744"/>
      <c r="BK46" s="2744"/>
      <c r="BL46" s="2744"/>
      <c r="BM46" s="2744"/>
      <c r="BN46" s="2744"/>
      <c r="BO46" s="2744"/>
      <c r="BP46" s="2744"/>
      <c r="BQ46" s="2744"/>
      <c r="BR46" s="2744"/>
      <c r="BS46" s="2744"/>
      <c r="BT46" s="2744"/>
      <c r="BU46" s="2744"/>
      <c r="BV46" s="2744"/>
      <c r="BW46" s="2744"/>
      <c r="CT46" s="2949"/>
      <c r="CU46" s="2949"/>
      <c r="CV46" s="2949"/>
      <c r="JV46" s="3902"/>
      <c r="JW46" s="3849"/>
      <c r="JX46" s="3849"/>
      <c r="JY46" s="3849"/>
      <c r="JZ46" s="3849"/>
    </row>
    <row r="47" spans="1:286" ht="3.95" customHeight="1" x14ac:dyDescent="0.25">
      <c r="Y47" s="2274"/>
      <c r="Z47" s="2275"/>
      <c r="AA47" s="2215"/>
      <c r="AB47" s="2275"/>
      <c r="AC47" s="2275"/>
      <c r="AD47" s="2276"/>
      <c r="AE47" s="2276"/>
    </row>
    <row r="48" spans="1:286" s="2759" customFormat="1" x14ac:dyDescent="0.25">
      <c r="A48" s="665"/>
      <c r="B48" s="665"/>
      <c r="C48" s="665"/>
      <c r="D48" s="665"/>
      <c r="E48" s="665"/>
      <c r="F48" s="665"/>
      <c r="G48" s="665"/>
      <c r="H48" s="665"/>
      <c r="I48" s="665"/>
      <c r="J48" s="665"/>
      <c r="K48" s="665"/>
      <c r="L48" s="665"/>
      <c r="M48" s="665"/>
      <c r="N48" s="665"/>
      <c r="O48" s="665"/>
      <c r="P48" s="665"/>
      <c r="Q48" s="665"/>
      <c r="R48" s="665"/>
      <c r="S48" s="665"/>
      <c r="T48" s="665"/>
      <c r="U48" s="665"/>
      <c r="V48" s="665"/>
      <c r="W48" s="665"/>
      <c r="X48" s="665"/>
      <c r="Y48" s="665"/>
      <c r="Z48" s="665"/>
      <c r="AA48" s="665"/>
      <c r="AB48" s="665"/>
      <c r="AC48" s="665"/>
      <c r="AD48" s="2273"/>
      <c r="AE48" s="2273"/>
      <c r="AF48" s="327" t="s">
        <v>1999</v>
      </c>
      <c r="AG48" s="665"/>
      <c r="AH48" s="665"/>
      <c r="AI48" s="665"/>
      <c r="AJ48" s="665"/>
      <c r="AK48" s="665"/>
      <c r="AL48" s="665"/>
      <c r="AM48" s="665"/>
      <c r="AN48" s="665"/>
      <c r="AO48" s="665"/>
      <c r="AP48" s="665"/>
      <c r="AQ48" s="665"/>
      <c r="AR48" s="665"/>
      <c r="AS48" s="665"/>
      <c r="AT48" s="665"/>
      <c r="AU48" s="665"/>
      <c r="AV48" s="665"/>
      <c r="AW48" s="665"/>
      <c r="AX48" s="665"/>
      <c r="AY48" s="665"/>
      <c r="AZ48" s="665"/>
      <c r="BA48" s="665"/>
      <c r="BB48" s="665"/>
      <c r="BC48" s="665"/>
      <c r="BD48" s="665"/>
      <c r="BE48" s="665"/>
      <c r="BF48" s="665"/>
      <c r="BG48" s="665"/>
      <c r="BH48" s="665"/>
      <c r="BI48" s="665"/>
      <c r="BJ48" s="665"/>
      <c r="BK48" s="665"/>
      <c r="BL48" s="665"/>
      <c r="BM48" s="665"/>
      <c r="BN48" s="665"/>
      <c r="BO48" s="665"/>
      <c r="BP48" s="665"/>
      <c r="BQ48" s="665"/>
      <c r="BR48" s="665"/>
      <c r="BS48" s="665"/>
      <c r="BT48" s="665"/>
      <c r="BU48" s="665"/>
      <c r="BV48" s="665"/>
      <c r="BW48" s="665"/>
      <c r="CT48" s="2947"/>
      <c r="CU48" s="2947"/>
      <c r="CV48" s="2947"/>
      <c r="JV48" s="3900"/>
      <c r="JW48" s="3847"/>
      <c r="JX48" s="3847"/>
      <c r="JY48" s="3847"/>
      <c r="JZ48" s="3847"/>
    </row>
    <row r="49" spans="1:286" x14ac:dyDescent="0.25">
      <c r="AF49" s="542" t="s">
        <v>1913</v>
      </c>
      <c r="AG49" s="2220" t="s">
        <v>142</v>
      </c>
      <c r="AH49" s="2220" t="s">
        <v>1724</v>
      </c>
      <c r="AI49" s="2220" t="s">
        <v>1725</v>
      </c>
      <c r="AJ49" s="2220" t="s">
        <v>46</v>
      </c>
    </row>
    <row r="50" spans="1:286" x14ac:dyDescent="0.25">
      <c r="AF50" s="542" t="s">
        <v>733</v>
      </c>
      <c r="AG50" s="2435"/>
      <c r="AH50" s="2435"/>
      <c r="AI50" s="2435"/>
      <c r="AJ50" s="2435"/>
    </row>
    <row r="51" spans="1:286" x14ac:dyDescent="0.25">
      <c r="AF51" s="1062" t="s">
        <v>2000</v>
      </c>
      <c r="AG51" s="662">
        <f>+MAR!BV26</f>
        <v>179</v>
      </c>
      <c r="AH51" s="662">
        <f>+MAR!BW26</f>
        <v>181</v>
      </c>
      <c r="AI51" s="662">
        <f>+MAR!BX26</f>
        <v>172</v>
      </c>
      <c r="AJ51" s="662">
        <f>+MAR!BY26</f>
        <v>197</v>
      </c>
    </row>
    <row r="52" spans="1:286" x14ac:dyDescent="0.25">
      <c r="AF52" s="1062" t="s">
        <v>2001</v>
      </c>
      <c r="AG52" s="2436">
        <v>179</v>
      </c>
      <c r="AH52" s="2436">
        <v>181</v>
      </c>
      <c r="AI52" s="2436">
        <v>172</v>
      </c>
      <c r="AJ52" s="2436">
        <v>197</v>
      </c>
    </row>
    <row r="53" spans="1:286" x14ac:dyDescent="0.25">
      <c r="AF53" s="2437" t="s">
        <v>1493</v>
      </c>
      <c r="AG53" s="1062">
        <f>+AG51-AG52</f>
        <v>0</v>
      </c>
      <c r="AH53" s="1062">
        <f>+AH51-AH52</f>
        <v>0</v>
      </c>
      <c r="AI53" s="1062">
        <f>+AI51-AI52</f>
        <v>0</v>
      </c>
      <c r="AJ53" s="1062">
        <f>+AJ51-AJ52</f>
        <v>0</v>
      </c>
    </row>
    <row r="54" spans="1:286" x14ac:dyDescent="0.25">
      <c r="AF54" s="2437"/>
      <c r="AG54" s="327"/>
      <c r="AH54" s="327"/>
      <c r="AI54" s="327"/>
      <c r="AJ54" s="327"/>
    </row>
    <row r="55" spans="1:286" x14ac:dyDescent="0.25">
      <c r="AF55" s="542" t="s">
        <v>582</v>
      </c>
    </row>
    <row r="56" spans="1:286" x14ac:dyDescent="0.25">
      <c r="AF56" s="1062" t="s">
        <v>2000</v>
      </c>
      <c r="AG56" s="662">
        <f>+MAR!BV29</f>
        <v>164</v>
      </c>
      <c r="AH56" s="662">
        <f>+MAR!BW29</f>
        <v>160</v>
      </c>
      <c r="AI56" s="662">
        <f>+MAR!BX29</f>
        <v>147</v>
      </c>
      <c r="AJ56" s="662">
        <f>+MAR!BY29</f>
        <v>178</v>
      </c>
    </row>
    <row r="57" spans="1:286" x14ac:dyDescent="0.25">
      <c r="AF57" s="1062" t="s">
        <v>2001</v>
      </c>
      <c r="AG57" s="2436">
        <v>164</v>
      </c>
      <c r="AH57" s="2436">
        <v>160</v>
      </c>
      <c r="AI57" s="2436">
        <v>147</v>
      </c>
      <c r="AJ57" s="2436">
        <v>178</v>
      </c>
    </row>
    <row r="58" spans="1:286" x14ac:dyDescent="0.25">
      <c r="AF58" s="2437" t="s">
        <v>1493</v>
      </c>
      <c r="AG58" s="1062">
        <f>+AG56-AG57</f>
        <v>0</v>
      </c>
      <c r="AH58" s="1062">
        <f>+AH56-AH57</f>
        <v>0</v>
      </c>
      <c r="AI58" s="1062">
        <f>+AI56-AI57</f>
        <v>0</v>
      </c>
      <c r="AJ58" s="1062">
        <f>+AJ56-AJ57</f>
        <v>0</v>
      </c>
    </row>
    <row r="60" spans="1:286" x14ac:dyDescent="0.25">
      <c r="AF60" s="1062" t="s">
        <v>2002</v>
      </c>
      <c r="AG60" s="662">
        <f>+AG58+AG53</f>
        <v>0</v>
      </c>
      <c r="AH60" s="662">
        <f>+AH58+AH53</f>
        <v>0</v>
      </c>
      <c r="AI60" s="662">
        <f>+AI58+AI53</f>
        <v>0</v>
      </c>
      <c r="AJ60" s="662">
        <f>+AJ58+AJ53</f>
        <v>0</v>
      </c>
    </row>
    <row r="61" spans="1:286" x14ac:dyDescent="0.25">
      <c r="AF61" s="1062" t="s">
        <v>2003</v>
      </c>
      <c r="AG61" s="665"/>
      <c r="AH61" s="665"/>
      <c r="AI61" s="665"/>
      <c r="AJ61" s="665"/>
    </row>
    <row r="62" spans="1:286" s="2627" customFormat="1" x14ac:dyDescent="0.25">
      <c r="A62" s="2476"/>
      <c r="B62" s="2476"/>
      <c r="C62" s="2476"/>
      <c r="D62" s="2476"/>
      <c r="E62" s="2476"/>
      <c r="F62" s="2476"/>
      <c r="G62" s="2476"/>
      <c r="H62" s="2476"/>
      <c r="I62" s="2476"/>
      <c r="J62" s="2476"/>
      <c r="K62" s="2476"/>
      <c r="L62" s="2476"/>
      <c r="M62" s="2476"/>
      <c r="N62" s="2476"/>
      <c r="O62" s="2476"/>
      <c r="P62" s="2476"/>
      <c r="Q62" s="2476"/>
      <c r="R62" s="2476"/>
      <c r="S62" s="2476"/>
      <c r="T62" s="2476"/>
      <c r="U62" s="2476"/>
      <c r="V62" s="2476"/>
      <c r="W62" s="2476"/>
      <c r="X62" s="2476"/>
      <c r="Y62" s="2476"/>
      <c r="Z62" s="2476"/>
      <c r="AA62" s="2476"/>
      <c r="AB62" s="2476"/>
      <c r="AC62" s="2476"/>
      <c r="AD62" s="2597"/>
      <c r="AE62" s="2597"/>
      <c r="AF62" s="2474" t="s">
        <v>582</v>
      </c>
      <c r="AG62" s="2475"/>
      <c r="AH62" s="2475"/>
      <c r="AI62" s="2475"/>
      <c r="AJ62" s="2475"/>
      <c r="AK62" s="2477" t="s">
        <v>2102</v>
      </c>
      <c r="AL62" s="2478">
        <v>2014</v>
      </c>
      <c r="AM62" s="2478">
        <v>2015</v>
      </c>
      <c r="AN62" s="2479">
        <v>2016</v>
      </c>
      <c r="AO62" s="2476"/>
      <c r="AP62" s="2476"/>
      <c r="AQ62" s="2476"/>
      <c r="AR62" s="2476"/>
      <c r="AS62" s="2476"/>
      <c r="AT62" s="2476"/>
      <c r="AU62" s="2476"/>
      <c r="AV62" s="2476"/>
      <c r="AW62" s="2476"/>
      <c r="AX62" s="2476"/>
      <c r="AY62" s="2476"/>
      <c r="AZ62" s="2476"/>
      <c r="BA62" s="2476"/>
      <c r="BB62" s="2476"/>
      <c r="BC62" s="2476"/>
      <c r="BD62" s="2476"/>
      <c r="BE62" s="2476"/>
      <c r="BF62" s="2476"/>
      <c r="BG62" s="2476"/>
      <c r="BH62" s="2476"/>
      <c r="BI62" s="2476"/>
      <c r="BJ62" s="2476"/>
      <c r="BK62" s="2476"/>
      <c r="BL62" s="2476"/>
      <c r="BM62" s="2476"/>
      <c r="BN62" s="2476"/>
      <c r="BO62" s="2476"/>
      <c r="BP62" s="2476"/>
      <c r="BQ62" s="2476"/>
      <c r="BR62" s="2476"/>
      <c r="BS62" s="2476"/>
      <c r="BT62" s="2476"/>
      <c r="BU62" s="2476"/>
      <c r="BV62" s="2476"/>
      <c r="BW62" s="2476"/>
      <c r="CT62" s="2950"/>
      <c r="CU62" s="2950"/>
      <c r="CV62" s="2950"/>
      <c r="JV62" s="3903"/>
      <c r="JW62" s="3850"/>
      <c r="JX62" s="3850"/>
      <c r="JY62" s="3850"/>
      <c r="JZ62" s="3850"/>
    </row>
    <row r="63" spans="1:286" s="2757" customFormat="1" x14ac:dyDescent="0.25">
      <c r="A63" s="2212"/>
      <c r="B63" s="2212"/>
      <c r="C63" s="2212"/>
      <c r="D63" s="2212"/>
      <c r="E63" s="2212"/>
      <c r="F63" s="2212"/>
      <c r="G63" s="2212"/>
      <c r="H63" s="2212"/>
      <c r="I63" s="2212"/>
      <c r="J63" s="2212"/>
      <c r="K63" s="2212"/>
      <c r="L63" s="2212"/>
      <c r="M63" s="2212"/>
      <c r="N63" s="2212"/>
      <c r="O63" s="2212"/>
      <c r="P63" s="2212"/>
      <c r="Q63" s="2212"/>
      <c r="R63" s="2212"/>
      <c r="S63" s="2212"/>
      <c r="T63" s="2212"/>
      <c r="U63" s="2212"/>
      <c r="V63" s="2212"/>
      <c r="W63" s="2212"/>
      <c r="X63" s="2212"/>
      <c r="Y63" s="2212"/>
      <c r="Z63" s="2212"/>
      <c r="AA63" s="2212"/>
      <c r="AB63" s="2212"/>
      <c r="AC63" s="2212"/>
      <c r="AD63" s="2271"/>
      <c r="AE63" s="2271"/>
      <c r="AF63" s="2212"/>
      <c r="AG63" s="2212"/>
      <c r="AH63" s="2212"/>
      <c r="AI63" s="2212"/>
      <c r="AJ63" s="2212"/>
      <c r="AK63" s="2480" t="s">
        <v>377</v>
      </c>
      <c r="AL63" s="2271">
        <f>+MAR!CE117</f>
        <v>1051.8800000000001</v>
      </c>
      <c r="AM63" s="2271">
        <f>+MAR!CJ117</f>
        <v>1182.5983999999999</v>
      </c>
      <c r="AN63" s="2272">
        <f>+MAR!CO117</f>
        <v>1385.17056</v>
      </c>
      <c r="AO63" s="2212"/>
      <c r="AP63" s="2212"/>
      <c r="AQ63" s="2212"/>
      <c r="AR63" s="2212"/>
      <c r="AS63" s="2212"/>
      <c r="AT63" s="2212"/>
      <c r="AU63" s="2212"/>
      <c r="AV63" s="2212"/>
      <c r="AW63" s="2212"/>
      <c r="AX63" s="2212"/>
      <c r="AY63" s="2212"/>
      <c r="AZ63" s="2212"/>
      <c r="BA63" s="2212"/>
      <c r="BB63" s="2212"/>
      <c r="BC63" s="2212"/>
      <c r="BD63" s="2212"/>
      <c r="BE63" s="2212"/>
      <c r="BF63" s="2212"/>
      <c r="BG63" s="2212"/>
      <c r="BH63" s="2212"/>
      <c r="BI63" s="2212"/>
      <c r="BJ63" s="2212"/>
      <c r="BK63" s="2212"/>
      <c r="BL63" s="2212"/>
      <c r="BM63" s="2212"/>
      <c r="BN63" s="2212"/>
      <c r="BO63" s="2212"/>
      <c r="BP63" s="2212"/>
      <c r="BQ63" s="2212"/>
      <c r="BR63" s="2212"/>
      <c r="BS63" s="2212"/>
      <c r="BT63" s="2212"/>
      <c r="BU63" s="2212"/>
      <c r="BV63" s="2212"/>
      <c r="BW63" s="2212"/>
      <c r="CT63" s="2944"/>
      <c r="CU63" s="2944"/>
      <c r="CV63" s="2944"/>
      <c r="JV63" s="3896"/>
      <c r="JW63" s="3843"/>
      <c r="JX63" s="3843"/>
      <c r="JY63" s="3843"/>
      <c r="JZ63" s="3843"/>
    </row>
    <row r="64" spans="1:286" x14ac:dyDescent="0.25">
      <c r="AK64" s="2306"/>
      <c r="AL64" s="2481"/>
      <c r="AM64" s="2481"/>
      <c r="AN64" s="2307"/>
    </row>
    <row r="65" spans="1:286" x14ac:dyDescent="0.25">
      <c r="AK65" s="2482" t="s">
        <v>1510</v>
      </c>
      <c r="AL65" s="2481">
        <f>+MAR!CE58</f>
        <v>296.8</v>
      </c>
      <c r="AM65" s="2481">
        <f>+MAR!CJ58</f>
        <v>272.8</v>
      </c>
      <c r="AN65" s="2307">
        <f>+MAR!CO58</f>
        <v>292.39999999999998</v>
      </c>
    </row>
    <row r="66" spans="1:286" x14ac:dyDescent="0.25">
      <c r="AK66" s="2306"/>
      <c r="AL66" s="2481"/>
      <c r="AM66" s="2481"/>
      <c r="AN66" s="2307"/>
    </row>
    <row r="67" spans="1:286" s="2757" customFormat="1" x14ac:dyDescent="0.25">
      <c r="A67" s="2212"/>
      <c r="B67" s="2212"/>
      <c r="C67" s="2212"/>
      <c r="D67" s="2212"/>
      <c r="E67" s="2212"/>
      <c r="F67" s="2212"/>
      <c r="G67" s="2212"/>
      <c r="H67" s="2212"/>
      <c r="I67" s="2212"/>
      <c r="J67" s="2212"/>
      <c r="K67" s="2212"/>
      <c r="L67" s="2212"/>
      <c r="M67" s="2212"/>
      <c r="N67" s="2212"/>
      <c r="O67" s="2212"/>
      <c r="P67" s="2212"/>
      <c r="Q67" s="2212"/>
      <c r="R67" s="2212"/>
      <c r="S67" s="2212"/>
      <c r="T67" s="2212"/>
      <c r="U67" s="2212"/>
      <c r="V67" s="2212"/>
      <c r="W67" s="2212"/>
      <c r="X67" s="2212"/>
      <c r="Y67" s="2212"/>
      <c r="Z67" s="2212"/>
      <c r="AA67" s="2212"/>
      <c r="AB67" s="2212"/>
      <c r="AC67" s="2212"/>
      <c r="AD67" s="2271"/>
      <c r="AE67" s="2271"/>
      <c r="AF67" s="2212"/>
      <c r="AG67" s="2212"/>
      <c r="AH67" s="2212"/>
      <c r="AI67" s="2212"/>
      <c r="AJ67" s="2212"/>
      <c r="AK67" s="2480" t="s">
        <v>2101</v>
      </c>
      <c r="AL67" s="2271">
        <f>+AL63/0.04/AL65</f>
        <v>88.601752021563357</v>
      </c>
      <c r="AM67" s="2271">
        <f>+AM63/0.04/AM65</f>
        <v>108.37595307917887</v>
      </c>
      <c r="AN67" s="2272">
        <f>+AN63/0.04/AN65</f>
        <v>118.43113543091657</v>
      </c>
      <c r="AO67" s="2212"/>
      <c r="AP67" s="2212"/>
      <c r="AQ67" s="2212"/>
      <c r="AR67" s="2212"/>
      <c r="AS67" s="2212"/>
      <c r="AT67" s="2212"/>
      <c r="AU67" s="2212"/>
      <c r="AV67" s="2212"/>
      <c r="AW67" s="2212"/>
      <c r="AX67" s="2212"/>
      <c r="AY67" s="2212"/>
      <c r="AZ67" s="2212"/>
      <c r="BA67" s="2212"/>
      <c r="BB67" s="2212"/>
      <c r="BC67" s="2212"/>
      <c r="BD67" s="2212"/>
      <c r="BE67" s="2212"/>
      <c r="BF67" s="2212"/>
      <c r="BG67" s="2212"/>
      <c r="BH67" s="2212"/>
      <c r="BI67" s="2212"/>
      <c r="BJ67" s="2212"/>
      <c r="BK67" s="2212"/>
      <c r="BL67" s="2212"/>
      <c r="BM67" s="2212"/>
      <c r="BN67" s="2212"/>
      <c r="BO67" s="2212"/>
      <c r="BP67" s="2212"/>
      <c r="BQ67" s="2212"/>
      <c r="BR67" s="2212"/>
      <c r="BS67" s="2212"/>
      <c r="BT67" s="2212"/>
      <c r="BU67" s="2212"/>
      <c r="BV67" s="2212"/>
      <c r="BW67" s="2212"/>
      <c r="CT67" s="2944"/>
      <c r="CU67" s="2944"/>
      <c r="CV67" s="2944"/>
      <c r="JV67" s="3896"/>
      <c r="JW67" s="3843"/>
      <c r="JX67" s="3843"/>
      <c r="JY67" s="3843"/>
      <c r="JZ67" s="3843"/>
    </row>
    <row r="68" spans="1:286" s="2759" customFormat="1" x14ac:dyDescent="0.25">
      <c r="A68" s="665"/>
      <c r="B68" s="665"/>
      <c r="C68" s="665"/>
      <c r="D68" s="665"/>
      <c r="E68" s="665"/>
      <c r="F68" s="665"/>
      <c r="G68" s="665"/>
      <c r="H68" s="665"/>
      <c r="I68" s="665"/>
      <c r="J68" s="665"/>
      <c r="K68" s="665"/>
      <c r="L68" s="665"/>
      <c r="M68" s="665"/>
      <c r="N68" s="665"/>
      <c r="O68" s="665"/>
      <c r="P68" s="665"/>
      <c r="Q68" s="665"/>
      <c r="R68" s="665"/>
      <c r="S68" s="665"/>
      <c r="T68" s="665"/>
      <c r="U68" s="665"/>
      <c r="V68" s="665"/>
      <c r="W68" s="665"/>
      <c r="X68" s="665"/>
      <c r="Y68" s="665"/>
      <c r="Z68" s="665"/>
      <c r="AA68" s="665"/>
      <c r="AB68" s="665"/>
      <c r="AC68" s="665"/>
      <c r="AD68" s="2273"/>
      <c r="AE68" s="2273"/>
      <c r="AF68" s="665"/>
      <c r="AG68" s="665"/>
      <c r="AH68" s="665"/>
      <c r="AI68" s="665"/>
      <c r="AJ68" s="665"/>
      <c r="AK68" s="2485" t="s">
        <v>1638</v>
      </c>
      <c r="AL68" s="2483"/>
      <c r="AM68" s="2483">
        <f>+AM67/AL67-1</f>
        <v>0.2231807002281736</v>
      </c>
      <c r="AN68" s="2484">
        <f>+AN67/AM67-1</f>
        <v>9.2780566777497464E-2</v>
      </c>
      <c r="AO68" s="665"/>
      <c r="AP68" s="665"/>
      <c r="AQ68" s="665"/>
      <c r="AR68" s="665"/>
      <c r="AS68" s="665"/>
      <c r="AT68" s="665"/>
      <c r="AU68" s="665"/>
      <c r="AV68" s="665"/>
      <c r="AW68" s="665"/>
      <c r="AX68" s="665"/>
      <c r="AY68" s="665"/>
      <c r="AZ68" s="665"/>
      <c r="BA68" s="665"/>
      <c r="BB68" s="665"/>
      <c r="BC68" s="665"/>
      <c r="BD68" s="665"/>
      <c r="BE68" s="665"/>
      <c r="BF68" s="665"/>
      <c r="BG68" s="665"/>
      <c r="BH68" s="665"/>
      <c r="BI68" s="665"/>
      <c r="BJ68" s="665"/>
      <c r="BK68" s="665"/>
      <c r="BL68" s="665"/>
      <c r="BM68" s="665"/>
      <c r="BN68" s="665"/>
      <c r="BO68" s="665"/>
      <c r="BP68" s="665"/>
      <c r="BQ68" s="665"/>
      <c r="BR68" s="665"/>
      <c r="BS68" s="665"/>
      <c r="BT68" s="665"/>
      <c r="BU68" s="665"/>
      <c r="BV68" s="665"/>
      <c r="BW68" s="665"/>
      <c r="CT68" s="2947"/>
      <c r="CU68" s="2947"/>
      <c r="CV68" s="2947"/>
      <c r="JV68" s="3900"/>
      <c r="JW68" s="3847"/>
      <c r="JX68" s="3847"/>
      <c r="JY68" s="3847"/>
      <c r="JZ68" s="3847"/>
    </row>
    <row r="70" spans="1:286" x14ac:dyDescent="0.25">
      <c r="AO70" s="1062" t="s">
        <v>2130</v>
      </c>
    </row>
    <row r="71" spans="1:286" s="2627" customFormat="1" x14ac:dyDescent="0.25">
      <c r="A71" s="2476"/>
      <c r="B71" s="2476"/>
      <c r="C71" s="2476"/>
      <c r="D71" s="2476"/>
      <c r="E71" s="2476"/>
      <c r="F71" s="2476"/>
      <c r="G71" s="2476"/>
      <c r="H71" s="2476"/>
      <c r="I71" s="2476"/>
      <c r="J71" s="2476"/>
      <c r="K71" s="2476"/>
      <c r="L71" s="2476"/>
      <c r="M71" s="2476"/>
      <c r="N71" s="2476"/>
      <c r="O71" s="2476"/>
      <c r="P71" s="2476"/>
      <c r="Q71" s="2476"/>
      <c r="R71" s="2476"/>
      <c r="S71" s="2476"/>
      <c r="T71" s="2476"/>
      <c r="U71" s="2476"/>
      <c r="V71" s="2476"/>
      <c r="W71" s="2476"/>
      <c r="X71" s="2476"/>
      <c r="Y71" s="2476"/>
      <c r="Z71" s="2476"/>
      <c r="AA71" s="2476"/>
      <c r="AB71" s="2476"/>
      <c r="AC71" s="2476"/>
      <c r="AD71" s="2597"/>
      <c r="AE71" s="2597"/>
      <c r="AF71" s="2476"/>
      <c r="AG71" s="2476"/>
      <c r="AH71" s="2476"/>
      <c r="AI71" s="2476"/>
      <c r="AJ71" s="2476"/>
      <c r="AK71" s="2476"/>
      <c r="AL71" s="2476"/>
      <c r="AM71" s="2476"/>
      <c r="AN71" s="2476"/>
      <c r="AO71" s="2477" t="s">
        <v>2102</v>
      </c>
      <c r="AP71" s="2587">
        <v>2012</v>
      </c>
      <c r="AQ71" s="2588" t="s">
        <v>142</v>
      </c>
      <c r="AR71" s="2588" t="s">
        <v>1724</v>
      </c>
      <c r="AS71" s="2588" t="s">
        <v>1725</v>
      </c>
      <c r="AT71" s="2588" t="s">
        <v>46</v>
      </c>
      <c r="AU71" s="2589">
        <v>2013</v>
      </c>
      <c r="AV71" s="2588" t="s">
        <v>392</v>
      </c>
      <c r="AW71" s="2588" t="s">
        <v>2123</v>
      </c>
      <c r="AX71" s="2588" t="s">
        <v>495</v>
      </c>
      <c r="AY71" s="2588" t="s">
        <v>496</v>
      </c>
      <c r="AZ71" s="2589" t="s">
        <v>1325</v>
      </c>
      <c r="BA71" s="2590" t="s">
        <v>1326</v>
      </c>
      <c r="BB71" s="2561"/>
      <c r="BC71" s="2476"/>
      <c r="BD71" s="2476"/>
      <c r="BE71" s="2476"/>
      <c r="BF71" s="2476"/>
      <c r="BG71" s="2476"/>
      <c r="BH71" s="2476"/>
      <c r="BI71" s="2476"/>
      <c r="BJ71" s="2476"/>
      <c r="BK71" s="2476"/>
      <c r="BL71" s="2476"/>
      <c r="BM71" s="2476"/>
      <c r="BN71" s="2476"/>
      <c r="BO71" s="2476"/>
      <c r="BP71" s="2476"/>
      <c r="BQ71" s="2476"/>
      <c r="BR71" s="2476"/>
      <c r="BS71" s="2476"/>
      <c r="BT71" s="2476"/>
      <c r="BU71" s="2476"/>
      <c r="BV71" s="2476"/>
      <c r="BW71" s="2476"/>
      <c r="CT71" s="2950"/>
      <c r="CU71" s="2950"/>
      <c r="CV71" s="2950"/>
      <c r="JV71" s="3903"/>
      <c r="JW71" s="3850"/>
      <c r="JX71" s="3850"/>
      <c r="JY71" s="3850"/>
      <c r="JZ71" s="3850"/>
    </row>
    <row r="72" spans="1:286" x14ac:dyDescent="0.25">
      <c r="AO72" s="2482" t="s">
        <v>1703</v>
      </c>
      <c r="AP72" s="2294">
        <f>+MAR!BU798</f>
        <v>2935</v>
      </c>
      <c r="AQ72" s="2481">
        <f>+MAR!BV798</f>
        <v>3255</v>
      </c>
      <c r="AR72" s="2481">
        <f>+MAR!BW798</f>
        <v>3087</v>
      </c>
      <c r="AS72" s="2481">
        <f>+MAR!BX798</f>
        <v>3156</v>
      </c>
      <c r="AT72" s="2481">
        <f>+MAR!BY798</f>
        <v>3199</v>
      </c>
      <c r="AU72" s="2294">
        <f>+MAR!BZ798</f>
        <v>3199</v>
      </c>
      <c r="AV72" s="2481">
        <f>+MAR!CA798</f>
        <v>3302</v>
      </c>
      <c r="AW72" s="2481">
        <f>+MAR!CB798</f>
        <v>3404</v>
      </c>
      <c r="AX72" s="2481">
        <f>+MAR!CC798</f>
        <v>3528</v>
      </c>
      <c r="AY72" s="2481">
        <f>+MAR!CD798</f>
        <v>3781</v>
      </c>
      <c r="AZ72" s="2294">
        <f>+MAR!CE798</f>
        <v>3781</v>
      </c>
      <c r="BA72" s="2307">
        <f>+MAR!CJ798</f>
        <v>4107</v>
      </c>
    </row>
    <row r="73" spans="1:286" x14ac:dyDescent="0.25">
      <c r="AO73" s="2482" t="s">
        <v>2143</v>
      </c>
      <c r="AP73" s="2568"/>
      <c r="AQ73" s="2573">
        <f>+$BD$98</f>
        <v>861.87421833598682</v>
      </c>
      <c r="AR73" s="2574">
        <f>+AQ73</f>
        <v>861.87421833598682</v>
      </c>
      <c r="AS73" s="2574">
        <f>+AR73</f>
        <v>861.87421833598682</v>
      </c>
      <c r="AT73" s="2574">
        <f>+AS73</f>
        <v>861.87421833598682</v>
      </c>
      <c r="AU73" s="2568">
        <f>+$BD$107</f>
        <v>805.23665821066766</v>
      </c>
      <c r="AV73" s="2574">
        <f>+AU73</f>
        <v>805.23665821066766</v>
      </c>
      <c r="AW73" s="2574">
        <f t="shared" ref="AW73:BA74" si="3">+AV73</f>
        <v>805.23665821066766</v>
      </c>
      <c r="AX73" s="2574">
        <f t="shared" si="3"/>
        <v>805.23665821066766</v>
      </c>
      <c r="AY73" s="2574">
        <f t="shared" si="3"/>
        <v>805.23665821066766</v>
      </c>
      <c r="AZ73" s="2582">
        <f t="shared" si="3"/>
        <v>805.23665821066766</v>
      </c>
      <c r="BA73" s="2575">
        <f t="shared" si="3"/>
        <v>805.23665821066766</v>
      </c>
      <c r="BB73" s="2563"/>
    </row>
    <row r="74" spans="1:286" x14ac:dyDescent="0.25">
      <c r="AO74" s="2482" t="s">
        <v>2144</v>
      </c>
      <c r="AP74" s="2294"/>
      <c r="AQ74" s="2481"/>
      <c r="AR74" s="2481"/>
      <c r="AS74" s="2481"/>
      <c r="AT74" s="2481"/>
      <c r="AU74" s="2586">
        <v>41.8</v>
      </c>
      <c r="AV74" s="2574">
        <f>+AU74</f>
        <v>41.8</v>
      </c>
      <c r="AW74" s="2574">
        <f t="shared" si="3"/>
        <v>41.8</v>
      </c>
      <c r="AX74" s="2574">
        <f t="shared" si="3"/>
        <v>41.8</v>
      </c>
      <c r="AY74" s="2574">
        <f t="shared" si="3"/>
        <v>41.8</v>
      </c>
      <c r="AZ74" s="2582">
        <f t="shared" si="3"/>
        <v>41.8</v>
      </c>
      <c r="BA74" s="2575">
        <f t="shared" si="3"/>
        <v>41.8</v>
      </c>
    </row>
    <row r="75" spans="1:286" ht="3.95" customHeight="1" x14ac:dyDescent="0.25">
      <c r="AO75" s="2482"/>
      <c r="AP75" s="2569" t="s">
        <v>2139</v>
      </c>
      <c r="AQ75" s="2576" t="s">
        <v>2139</v>
      </c>
      <c r="AR75" s="2576" t="s">
        <v>2139</v>
      </c>
      <c r="AS75" s="2576" t="s">
        <v>2139</v>
      </c>
      <c r="AT75" s="2576" t="s">
        <v>2139</v>
      </c>
      <c r="AU75" s="2569" t="s">
        <v>2139</v>
      </c>
      <c r="AV75" s="2576" t="s">
        <v>2139</v>
      </c>
      <c r="AW75" s="2576" t="s">
        <v>2139</v>
      </c>
      <c r="AX75" s="2576" t="s">
        <v>2139</v>
      </c>
      <c r="AY75" s="2576" t="s">
        <v>2139</v>
      </c>
      <c r="AZ75" s="2569" t="s">
        <v>2139</v>
      </c>
      <c r="BA75" s="2577" t="s">
        <v>2139</v>
      </c>
      <c r="BB75" s="2565"/>
    </row>
    <row r="76" spans="1:286" x14ac:dyDescent="0.25">
      <c r="AO76" s="2482" t="s">
        <v>540</v>
      </c>
      <c r="AP76" s="2294"/>
      <c r="AQ76" s="2481">
        <f t="shared" ref="AQ76:BA76" si="4">SUM(AQ72:AQ75)</f>
        <v>4116.8742183359864</v>
      </c>
      <c r="AR76" s="2481">
        <f t="shared" si="4"/>
        <v>3948.8742183359868</v>
      </c>
      <c r="AS76" s="2481">
        <f t="shared" si="4"/>
        <v>4017.8742183359868</v>
      </c>
      <c r="AT76" s="2481">
        <f t="shared" si="4"/>
        <v>4060.8742183359868</v>
      </c>
      <c r="AU76" s="2294">
        <f t="shared" si="4"/>
        <v>4046.0366582106681</v>
      </c>
      <c r="AV76" s="2481">
        <f t="shared" si="4"/>
        <v>4149.0366582106681</v>
      </c>
      <c r="AW76" s="2481">
        <f t="shared" si="4"/>
        <v>4251.0366582106681</v>
      </c>
      <c r="AX76" s="2481">
        <f t="shared" si="4"/>
        <v>4375.0366582106681</v>
      </c>
      <c r="AY76" s="2481">
        <f t="shared" si="4"/>
        <v>4628.0366582106681</v>
      </c>
      <c r="AZ76" s="2294">
        <f t="shared" si="4"/>
        <v>4628.0366582106681</v>
      </c>
      <c r="BA76" s="2307">
        <f t="shared" si="4"/>
        <v>4954.0366582106681</v>
      </c>
    </row>
    <row r="77" spans="1:286" x14ac:dyDescent="0.25">
      <c r="AO77" s="2482" t="s">
        <v>791</v>
      </c>
      <c r="AP77" s="2294">
        <f>-MAR!BU799</f>
        <v>-88</v>
      </c>
      <c r="AQ77" s="2481">
        <f>-MAR!BV799</f>
        <v>-221</v>
      </c>
      <c r="AR77" s="2481">
        <f>-MAR!BW799</f>
        <v>-108</v>
      </c>
      <c r="AS77" s="2481">
        <f>-MAR!BX799</f>
        <v>-144</v>
      </c>
      <c r="AT77" s="2481">
        <f>-MAR!BY799</f>
        <v>-126</v>
      </c>
      <c r="AU77" s="2294">
        <f>-MAR!BZ799</f>
        <v>-126</v>
      </c>
      <c r="AV77" s="2481">
        <f>-MAR!CA799</f>
        <v>-184</v>
      </c>
      <c r="AW77" s="2481">
        <f>-MAR!CB799</f>
        <v>-192</v>
      </c>
      <c r="AX77" s="2481">
        <f>-MAR!CC799</f>
        <v>-150</v>
      </c>
      <c r="AY77" s="2481">
        <f>-MAR!CD799</f>
        <v>-104</v>
      </c>
      <c r="AZ77" s="2294">
        <f>-MAR!CE799</f>
        <v>-104</v>
      </c>
      <c r="BA77" s="2307">
        <f>-MAR!CJ799</f>
        <v>-96</v>
      </c>
    </row>
    <row r="78" spans="1:286" ht="3.95" customHeight="1" x14ac:dyDescent="0.25">
      <c r="AO78" s="2482"/>
      <c r="AP78" s="2569" t="s">
        <v>2139</v>
      </c>
      <c r="AQ78" s="2576" t="s">
        <v>2139</v>
      </c>
      <c r="AR78" s="2576" t="s">
        <v>2139</v>
      </c>
      <c r="AS78" s="2576" t="s">
        <v>2139</v>
      </c>
      <c r="AT78" s="2576" t="s">
        <v>2139</v>
      </c>
      <c r="AU78" s="2569" t="s">
        <v>2139</v>
      </c>
      <c r="AV78" s="2576" t="s">
        <v>2139</v>
      </c>
      <c r="AW78" s="2576" t="s">
        <v>2139</v>
      </c>
      <c r="AX78" s="2576" t="s">
        <v>2139</v>
      </c>
      <c r="AY78" s="2576" t="s">
        <v>2139</v>
      </c>
      <c r="AZ78" s="2569" t="s">
        <v>2139</v>
      </c>
      <c r="BA78" s="2577" t="s">
        <v>2139</v>
      </c>
      <c r="BB78" s="2565"/>
    </row>
    <row r="79" spans="1:286" x14ac:dyDescent="0.25">
      <c r="AO79" s="2482" t="s">
        <v>2138</v>
      </c>
      <c r="AP79" s="2294"/>
      <c r="AQ79" s="2481">
        <f>SUM(AQ76:AQ78)</f>
        <v>3895.8742183359864</v>
      </c>
      <c r="AR79" s="2481">
        <f t="shared" ref="AR79:BA79" si="5">SUM(AR76:AR78)</f>
        <v>3840.8742183359868</v>
      </c>
      <c r="AS79" s="2481">
        <f t="shared" si="5"/>
        <v>3873.8742183359868</v>
      </c>
      <c r="AT79" s="2481">
        <f t="shared" si="5"/>
        <v>3934.8742183359868</v>
      </c>
      <c r="AU79" s="2294">
        <f t="shared" si="5"/>
        <v>3920.0366582106681</v>
      </c>
      <c r="AV79" s="2481">
        <f t="shared" si="5"/>
        <v>3965.0366582106681</v>
      </c>
      <c r="AW79" s="2481">
        <f t="shared" si="5"/>
        <v>4059.0366582106681</v>
      </c>
      <c r="AX79" s="2481">
        <f t="shared" si="5"/>
        <v>4225.0366582106681</v>
      </c>
      <c r="AY79" s="2481">
        <f t="shared" si="5"/>
        <v>4524.0366582106681</v>
      </c>
      <c r="AZ79" s="2294">
        <f t="shared" si="5"/>
        <v>4524.0366582106681</v>
      </c>
      <c r="BA79" s="2307">
        <f t="shared" si="5"/>
        <v>4858.0366582106681</v>
      </c>
    </row>
    <row r="80" spans="1:286" x14ac:dyDescent="0.25">
      <c r="AO80" s="2306"/>
      <c r="AP80" s="2294"/>
      <c r="AQ80" s="2481"/>
      <c r="AR80" s="2481"/>
      <c r="AS80" s="2481"/>
      <c r="AT80" s="2481"/>
      <c r="AU80" s="2294"/>
      <c r="AV80" s="2481"/>
      <c r="AW80" s="2481"/>
      <c r="AX80" s="2481"/>
      <c r="AY80" s="2481"/>
      <c r="AZ80" s="2294"/>
      <c r="BA80" s="2307"/>
    </row>
    <row r="81" spans="1:286" x14ac:dyDescent="0.25">
      <c r="AO81" s="2482" t="s">
        <v>2149</v>
      </c>
      <c r="AP81" s="2294">
        <f>+MAR!BU107</f>
        <v>1146</v>
      </c>
      <c r="AQ81" s="2481">
        <f>+MAR!BV107+MAR!BT107+MAR!BS107+MAR!BR107</f>
        <v>1199</v>
      </c>
      <c r="AR81" s="2481">
        <f>+MAR!BW107+MAR!BV107+MAR!BT107+MAR!BS107</f>
        <v>1239</v>
      </c>
      <c r="AS81" s="2481">
        <f>+MAR!BX107+MAR!BW107+MAR!BV107+MAR!BT107</f>
        <v>1244</v>
      </c>
      <c r="AT81" s="2481">
        <f>+MAR!BY107+MAR!BX107+MAR!BW107+MAR!BV107</f>
        <v>1169</v>
      </c>
      <c r="AU81" s="2294">
        <f>+MAR!BZ107</f>
        <v>1169</v>
      </c>
      <c r="AV81" s="2481">
        <f>+MAR!CA107+MAR!BY107+MAR!BX107+MAR!BW107</f>
        <v>1215</v>
      </c>
      <c r="AW81" s="2481">
        <f>+MAR!CB107+MAR!CA107+MAR!BY107+MAR!BX107</f>
        <v>1265</v>
      </c>
      <c r="AX81" s="2481">
        <f>+MAR!CC107+MAR!CB107+MAR!CA107+MAR!BY107</f>
        <v>1328</v>
      </c>
      <c r="AY81" s="2481">
        <f>+MAR!CD107+MAR!CC107+MAR!CB107+MAR!CA107</f>
        <v>1385</v>
      </c>
      <c r="AZ81" s="2294">
        <f>+MAR!CE107</f>
        <v>1351</v>
      </c>
      <c r="BA81" s="2307">
        <f>+MAR!CJ107</f>
        <v>1535</v>
      </c>
    </row>
    <row r="82" spans="1:286" x14ac:dyDescent="0.25">
      <c r="AO82" s="2482" t="s">
        <v>2137</v>
      </c>
      <c r="AP82" s="2568">
        <f>+$BD$94</f>
        <v>126</v>
      </c>
      <c r="AQ82" s="2574">
        <f>+AP82</f>
        <v>126</v>
      </c>
      <c r="AR82" s="2574">
        <f>+AQ82</f>
        <v>126</v>
      </c>
      <c r="AS82" s="2574">
        <f>+AR82</f>
        <v>126</v>
      </c>
      <c r="AT82" s="2574">
        <f>+AS82</f>
        <v>126</v>
      </c>
      <c r="AU82" s="2568">
        <f>+BD103</f>
        <v>134</v>
      </c>
      <c r="AV82" s="2574">
        <f>+AU82</f>
        <v>134</v>
      </c>
      <c r="AW82" s="2574">
        <f>+AV82</f>
        <v>134</v>
      </c>
      <c r="AX82" s="2574">
        <f>+AW82</f>
        <v>134</v>
      </c>
      <c r="AY82" s="2574">
        <f>+AX82</f>
        <v>134</v>
      </c>
      <c r="AZ82" s="2294">
        <f>AY82</f>
        <v>134</v>
      </c>
      <c r="BA82" s="2578">
        <f>+BE103</f>
        <v>130</v>
      </c>
      <c r="BB82" s="2562"/>
    </row>
    <row r="83" spans="1:286" x14ac:dyDescent="0.25">
      <c r="AO83" s="2482" t="s">
        <v>2142</v>
      </c>
      <c r="AP83" s="2583">
        <f>MAR!BU95</f>
        <v>94</v>
      </c>
      <c r="AQ83" s="2584">
        <f>MAR!BV95</f>
        <v>30</v>
      </c>
      <c r="AR83" s="2584">
        <f>MAR!BW95</f>
        <v>31</v>
      </c>
      <c r="AS83" s="2584">
        <f>MAR!BX95</f>
        <v>28</v>
      </c>
      <c r="AT83" s="2584">
        <f>MAR!BY95</f>
        <v>27</v>
      </c>
      <c r="AU83" s="2583">
        <f>MAR!BZ95</f>
        <v>116</v>
      </c>
      <c r="AV83" s="2584">
        <f>MAR!CA95</f>
        <v>25</v>
      </c>
      <c r="AW83" s="2584">
        <f>MAR!CB95</f>
        <v>29</v>
      </c>
      <c r="AX83" s="2584">
        <f>MAR!CC95</f>
        <v>27</v>
      </c>
      <c r="AY83" s="2584">
        <f>MAR!CD95</f>
        <v>28</v>
      </c>
      <c r="AZ83" s="2583">
        <f>MAR!CE95</f>
        <v>109</v>
      </c>
      <c r="BA83" s="2585">
        <f>MAR!CJ95</f>
        <v>113</v>
      </c>
      <c r="BB83" s="2562"/>
    </row>
    <row r="84" spans="1:286" ht="3.95" customHeight="1" x14ac:dyDescent="0.25">
      <c r="AO84" s="2482"/>
      <c r="AP84" s="2569" t="s">
        <v>2139</v>
      </c>
      <c r="AQ84" s="2576" t="s">
        <v>2139</v>
      </c>
      <c r="AR84" s="2576" t="s">
        <v>2139</v>
      </c>
      <c r="AS84" s="2576" t="s">
        <v>2139</v>
      </c>
      <c r="AT84" s="2576" t="s">
        <v>2139</v>
      </c>
      <c r="AU84" s="2569" t="s">
        <v>2139</v>
      </c>
      <c r="AV84" s="2576" t="s">
        <v>2139</v>
      </c>
      <c r="AW84" s="2576" t="s">
        <v>2139</v>
      </c>
      <c r="AX84" s="2576" t="s">
        <v>2139</v>
      </c>
      <c r="AY84" s="2576" t="s">
        <v>2139</v>
      </c>
      <c r="AZ84" s="2569" t="s">
        <v>2139</v>
      </c>
      <c r="BA84" s="2577" t="s">
        <v>2139</v>
      </c>
      <c r="BB84" s="2565"/>
    </row>
    <row r="85" spans="1:286" x14ac:dyDescent="0.25">
      <c r="AO85" s="2482" t="s">
        <v>2151</v>
      </c>
      <c r="AP85" s="2294"/>
      <c r="AQ85" s="2481">
        <f>SUM(AQ81:AQ84)</f>
        <v>1355</v>
      </c>
      <c r="AR85" s="2481">
        <f t="shared" ref="AR85:BA85" si="6">SUM(AR81:AR84)</f>
        <v>1396</v>
      </c>
      <c r="AS85" s="2481">
        <f t="shared" si="6"/>
        <v>1398</v>
      </c>
      <c r="AT85" s="2481">
        <f t="shared" si="6"/>
        <v>1322</v>
      </c>
      <c r="AU85" s="2294">
        <f t="shared" si="6"/>
        <v>1419</v>
      </c>
      <c r="AV85" s="2481">
        <f t="shared" si="6"/>
        <v>1374</v>
      </c>
      <c r="AW85" s="2481">
        <f t="shared" si="6"/>
        <v>1428</v>
      </c>
      <c r="AX85" s="2481">
        <f t="shared" si="6"/>
        <v>1489</v>
      </c>
      <c r="AY85" s="2481">
        <f t="shared" si="6"/>
        <v>1547</v>
      </c>
      <c r="AZ85" s="2294">
        <f t="shared" si="6"/>
        <v>1594</v>
      </c>
      <c r="BA85" s="2307">
        <f t="shared" si="6"/>
        <v>1778</v>
      </c>
    </row>
    <row r="86" spans="1:286" x14ac:dyDescent="0.25">
      <c r="AO86" s="2482"/>
      <c r="AP86" s="2294"/>
      <c r="AQ86" s="2573"/>
      <c r="AR86" s="2574"/>
      <c r="AS86" s="2574"/>
      <c r="AT86" s="2574"/>
      <c r="AU86" s="2568"/>
      <c r="AV86" s="2574"/>
      <c r="AW86" s="2574"/>
      <c r="AX86" s="2574"/>
      <c r="AY86" s="2574"/>
      <c r="AZ86" s="2582"/>
      <c r="BA86" s="2575"/>
      <c r="BB86" s="2563"/>
    </row>
    <row r="87" spans="1:286" s="2760" customFormat="1" x14ac:dyDescent="0.25">
      <c r="A87" s="2564"/>
      <c r="B87" s="2564"/>
      <c r="C87" s="2564"/>
      <c r="D87" s="2564"/>
      <c r="E87" s="2564"/>
      <c r="F87" s="2564"/>
      <c r="G87" s="2564"/>
      <c r="H87" s="2564"/>
      <c r="I87" s="2564"/>
      <c r="J87" s="2564"/>
      <c r="K87" s="2564"/>
      <c r="L87" s="2564"/>
      <c r="M87" s="2564"/>
      <c r="N87" s="2564"/>
      <c r="O87" s="2564"/>
      <c r="P87" s="2564"/>
      <c r="Q87" s="2564"/>
      <c r="R87" s="2564"/>
      <c r="S87" s="2564"/>
      <c r="T87" s="2564"/>
      <c r="U87" s="2564"/>
      <c r="V87" s="2564"/>
      <c r="W87" s="2564"/>
      <c r="X87" s="2564"/>
      <c r="Y87" s="2564"/>
      <c r="Z87" s="2564"/>
      <c r="AA87" s="2564"/>
      <c r="AB87" s="2564"/>
      <c r="AC87" s="2564"/>
      <c r="AD87" s="2580"/>
      <c r="AE87" s="2580"/>
      <c r="AF87" s="2564"/>
      <c r="AG87" s="2564"/>
      <c r="AH87" s="2564"/>
      <c r="AI87" s="2564"/>
      <c r="AJ87" s="2564"/>
      <c r="AK87" s="2564"/>
      <c r="AL87" s="2564"/>
      <c r="AM87" s="2564"/>
      <c r="AN87" s="2564"/>
      <c r="AO87" s="2579" t="s">
        <v>2150</v>
      </c>
      <c r="AP87" s="2570"/>
      <c r="AQ87" s="2580">
        <f t="shared" ref="AQ87:BA87" si="7">AQ76/AQ85</f>
        <v>3.0382835559675176</v>
      </c>
      <c r="AR87" s="2580">
        <f t="shared" si="7"/>
        <v>2.8287064601260652</v>
      </c>
      <c r="AS87" s="2580">
        <f t="shared" si="7"/>
        <v>2.8740158929441968</v>
      </c>
      <c r="AT87" s="2580">
        <f t="shared" si="7"/>
        <v>3.0717656719636812</v>
      </c>
      <c r="AU87" s="2570">
        <f t="shared" si="7"/>
        <v>2.8513295688588216</v>
      </c>
      <c r="AV87" s="2580">
        <f t="shared" si="7"/>
        <v>3.0196773349422621</v>
      </c>
      <c r="AW87" s="2580">
        <f t="shared" si="7"/>
        <v>2.976916427318395</v>
      </c>
      <c r="AX87" s="2580">
        <f t="shared" si="7"/>
        <v>2.9382381855007846</v>
      </c>
      <c r="AY87" s="2580">
        <f t="shared" si="7"/>
        <v>2.9916203349778074</v>
      </c>
      <c r="AZ87" s="2570">
        <f t="shared" si="7"/>
        <v>2.9034107015123389</v>
      </c>
      <c r="BA87" s="2581">
        <f t="shared" si="7"/>
        <v>2.7862973330768663</v>
      </c>
      <c r="BB87" s="2564"/>
      <c r="BC87" s="2564"/>
      <c r="BD87" s="2564"/>
      <c r="BE87" s="2564"/>
      <c r="BF87" s="2564"/>
      <c r="BG87" s="2564"/>
      <c r="BH87" s="2564"/>
      <c r="BI87" s="2564"/>
      <c r="BJ87" s="2564"/>
      <c r="BK87" s="2564"/>
      <c r="BL87" s="2564"/>
      <c r="BM87" s="2564"/>
      <c r="BN87" s="2564"/>
      <c r="BO87" s="2564"/>
      <c r="BP87" s="2564"/>
      <c r="BQ87" s="2564"/>
      <c r="BR87" s="2564"/>
      <c r="BS87" s="2564"/>
      <c r="BT87" s="2564"/>
      <c r="BU87" s="2564"/>
      <c r="BV87" s="2564"/>
      <c r="BW87" s="2564"/>
      <c r="CT87" s="2951"/>
      <c r="CU87" s="2951"/>
      <c r="CV87" s="2951"/>
      <c r="JV87" s="3904"/>
      <c r="JW87" s="3851"/>
      <c r="JX87" s="3851"/>
      <c r="JY87" s="3851"/>
      <c r="JZ87" s="3851"/>
    </row>
    <row r="88" spans="1:286" x14ac:dyDescent="0.25">
      <c r="AO88" s="2482"/>
      <c r="AP88" s="2294"/>
      <c r="AQ88" s="2481"/>
      <c r="AR88" s="2481"/>
      <c r="AS88" s="2481"/>
      <c r="AT88" s="2481"/>
      <c r="AU88" s="2294"/>
      <c r="AV88" s="2481"/>
      <c r="AW88" s="2481"/>
      <c r="AX88" s="2481"/>
      <c r="AY88" s="2481"/>
      <c r="AZ88" s="2294"/>
      <c r="BA88" s="2307"/>
    </row>
    <row r="89" spans="1:286" s="2760" customFormat="1" x14ac:dyDescent="0.25">
      <c r="A89" s="2564"/>
      <c r="B89" s="2564"/>
      <c r="C89" s="2564"/>
      <c r="D89" s="2564"/>
      <c r="E89" s="2564"/>
      <c r="F89" s="2564"/>
      <c r="G89" s="2564"/>
      <c r="H89" s="2564"/>
      <c r="I89" s="2564"/>
      <c r="J89" s="2564"/>
      <c r="K89" s="2564"/>
      <c r="L89" s="2564"/>
      <c r="M89" s="2564"/>
      <c r="N89" s="2564"/>
      <c r="O89" s="2564"/>
      <c r="P89" s="2564"/>
      <c r="Q89" s="2564"/>
      <c r="R89" s="2564"/>
      <c r="S89" s="2564"/>
      <c r="T89" s="2564"/>
      <c r="U89" s="2564"/>
      <c r="V89" s="2564"/>
      <c r="W89" s="2564"/>
      <c r="X89" s="2564"/>
      <c r="Y89" s="2564"/>
      <c r="Z89" s="2564"/>
      <c r="AA89" s="2564"/>
      <c r="AB89" s="2564"/>
      <c r="AC89" s="2564"/>
      <c r="AD89" s="2580"/>
      <c r="AE89" s="2580"/>
      <c r="AF89" s="2564"/>
      <c r="AG89" s="2564"/>
      <c r="AH89" s="2564"/>
      <c r="AI89" s="2564"/>
      <c r="AJ89" s="2564"/>
      <c r="AK89" s="2564"/>
      <c r="AL89" s="2564"/>
      <c r="AM89" s="2564"/>
      <c r="AN89" s="2564"/>
      <c r="AO89" s="2579" t="s">
        <v>2141</v>
      </c>
      <c r="AP89" s="2570"/>
      <c r="AQ89" s="2622">
        <f t="shared" ref="AQ89:BA89" si="8">(AQ72+AQ90)/AQ81</f>
        <v>3.5554628857381152</v>
      </c>
      <c r="AR89" s="2622">
        <f t="shared" si="8"/>
        <v>3.3050847457627119</v>
      </c>
      <c r="AS89" s="2622">
        <f t="shared" si="8"/>
        <v>3.347266881028939</v>
      </c>
      <c r="AT89" s="2622">
        <f t="shared" si="8"/>
        <v>3.5988023952095807</v>
      </c>
      <c r="AU89" s="2623">
        <f t="shared" si="8"/>
        <v>3.6535500427715997</v>
      </c>
      <c r="AV89" s="2622">
        <f t="shared" si="8"/>
        <v>3.6</v>
      </c>
      <c r="AW89" s="2622">
        <f t="shared" si="8"/>
        <v>3.5383399209486166</v>
      </c>
      <c r="AX89" s="2622">
        <f t="shared" si="8"/>
        <v>3.463855421686747</v>
      </c>
      <c r="AY89" s="2622">
        <f t="shared" si="8"/>
        <v>3.5039711191335741</v>
      </c>
      <c r="AZ89" s="2623">
        <f t="shared" si="8"/>
        <v>3.5921539600296075</v>
      </c>
      <c r="BA89" s="2624">
        <f t="shared" si="8"/>
        <v>3.3739413680781758</v>
      </c>
      <c r="BB89" s="2567" t="s">
        <v>2152</v>
      </c>
      <c r="BC89" s="2566"/>
      <c r="BD89" s="2566"/>
      <c r="BE89" s="2564"/>
      <c r="BF89" s="2564"/>
      <c r="BG89" s="2564"/>
      <c r="BH89" s="2564"/>
      <c r="BI89" s="2564"/>
      <c r="BJ89" s="2564"/>
      <c r="BK89" s="2564"/>
      <c r="BL89" s="2564"/>
      <c r="BM89" s="2564"/>
      <c r="BN89" s="2564"/>
      <c r="BO89" s="2564"/>
      <c r="BP89" s="2564"/>
      <c r="BQ89" s="2564"/>
      <c r="BR89" s="2564"/>
      <c r="BS89" s="2564"/>
      <c r="BT89" s="2564"/>
      <c r="BU89" s="2564"/>
      <c r="BV89" s="2564"/>
      <c r="BW89" s="2564"/>
      <c r="CT89" s="2951"/>
      <c r="CU89" s="2951"/>
      <c r="CV89" s="2951"/>
      <c r="JV89" s="3904"/>
      <c r="JW89" s="3851"/>
      <c r="JX89" s="3851"/>
      <c r="JY89" s="3851"/>
      <c r="JZ89" s="3851"/>
    </row>
    <row r="90" spans="1:286" x14ac:dyDescent="0.25">
      <c r="AO90" s="2482" t="s">
        <v>2140</v>
      </c>
      <c r="AP90" s="2294"/>
      <c r="AQ90" s="2573">
        <f>+$BD$94*8</f>
        <v>1008</v>
      </c>
      <c r="AR90" s="2574">
        <f>+AQ90</f>
        <v>1008</v>
      </c>
      <c r="AS90" s="2574">
        <f>+AR90</f>
        <v>1008</v>
      </c>
      <c r="AT90" s="2574">
        <f>+AS90</f>
        <v>1008</v>
      </c>
      <c r="AU90" s="2568">
        <f>+$BD$103*8</f>
        <v>1072</v>
      </c>
      <c r="AV90" s="2574">
        <f t="shared" ref="AV90:BA90" si="9">+AU90</f>
        <v>1072</v>
      </c>
      <c r="AW90" s="2574">
        <f t="shared" si="9"/>
        <v>1072</v>
      </c>
      <c r="AX90" s="2574">
        <f t="shared" si="9"/>
        <v>1072</v>
      </c>
      <c r="AY90" s="2574">
        <f t="shared" si="9"/>
        <v>1072</v>
      </c>
      <c r="AZ90" s="2582">
        <f t="shared" si="9"/>
        <v>1072</v>
      </c>
      <c r="BA90" s="2575">
        <f t="shared" si="9"/>
        <v>1072</v>
      </c>
      <c r="BB90" s="2563"/>
    </row>
    <row r="91" spans="1:286" ht="3.95" customHeight="1" x14ac:dyDescent="0.25">
      <c r="AO91" s="2274"/>
      <c r="AP91" s="2571"/>
      <c r="AQ91" s="2275"/>
      <c r="AR91" s="2275"/>
      <c r="AS91" s="2275"/>
      <c r="AT91" s="2275"/>
      <c r="AU91" s="2571"/>
      <c r="AV91" s="2275"/>
      <c r="AW91" s="2275"/>
      <c r="AX91" s="2275"/>
      <c r="AY91" s="2275"/>
      <c r="AZ91" s="2571"/>
      <c r="BA91" s="2276"/>
    </row>
    <row r="92" spans="1:286" x14ac:dyDescent="0.25">
      <c r="BC92" s="542" t="s">
        <v>2136</v>
      </c>
    </row>
    <row r="93" spans="1:286" x14ac:dyDescent="0.25">
      <c r="BC93" s="2591" t="s">
        <v>2102</v>
      </c>
      <c r="BD93" s="2592">
        <v>2013</v>
      </c>
      <c r="BE93" s="2592">
        <f>+BD93+1</f>
        <v>2014</v>
      </c>
      <c r="BF93" s="2592">
        <f>+BE93+1</f>
        <v>2015</v>
      </c>
      <c r="BG93" s="2592">
        <f>+BF93+1</f>
        <v>2016</v>
      </c>
      <c r="BH93" s="2592">
        <f>+BG93+1</f>
        <v>2017</v>
      </c>
      <c r="BI93" s="2572" t="s">
        <v>2132</v>
      </c>
    </row>
    <row r="94" spans="1:286" x14ac:dyDescent="0.25">
      <c r="BC94" s="2482" t="s">
        <v>2131</v>
      </c>
      <c r="BD94" s="2593">
        <v>126</v>
      </c>
      <c r="BE94" s="2593">
        <v>126</v>
      </c>
      <c r="BF94" s="2593">
        <v>122</v>
      </c>
      <c r="BG94" s="2593">
        <v>115</v>
      </c>
      <c r="BH94" s="2593">
        <v>92</v>
      </c>
      <c r="BI94" s="2594">
        <v>669</v>
      </c>
    </row>
    <row r="95" spans="1:286" x14ac:dyDescent="0.25">
      <c r="BC95" s="2306"/>
      <c r="BD95" s="2481"/>
      <c r="BE95" s="2481"/>
      <c r="BF95" s="2481"/>
      <c r="BG95" s="2481"/>
      <c r="BH95" s="2481"/>
      <c r="BI95" s="2307"/>
    </row>
    <row r="96" spans="1:286" x14ac:dyDescent="0.25">
      <c r="BC96" s="2482" t="s">
        <v>2133</v>
      </c>
      <c r="BD96" s="2595">
        <v>8.8249999999999995E-2</v>
      </c>
      <c r="BE96" s="2584"/>
      <c r="BF96" s="2481"/>
      <c r="BG96" s="2481"/>
      <c r="BH96" s="2481"/>
      <c r="BI96" s="2307"/>
    </row>
    <row r="97" spans="55:61" x14ac:dyDescent="0.25">
      <c r="BC97" s="2306"/>
      <c r="BD97" s="2481"/>
      <c r="BE97" s="2584"/>
      <c r="BF97" s="2481"/>
      <c r="BG97" s="2481"/>
      <c r="BH97" s="2481"/>
      <c r="BI97" s="2307"/>
    </row>
    <row r="98" spans="55:61" x14ac:dyDescent="0.25">
      <c r="BC98" s="2482" t="s">
        <v>2134</v>
      </c>
      <c r="BD98" s="2584">
        <f>NPV(BD96,BD94:BI94)</f>
        <v>861.87421833598682</v>
      </c>
      <c r="BE98" s="2584"/>
      <c r="BF98" s="2481"/>
      <c r="BG98" s="2481"/>
      <c r="BH98" s="2481"/>
      <c r="BI98" s="2307"/>
    </row>
    <row r="99" spans="55:61" x14ac:dyDescent="0.25">
      <c r="BC99" s="2306"/>
      <c r="BD99" s="2481"/>
      <c r="BE99" s="2481"/>
      <c r="BF99" s="2481"/>
      <c r="BG99" s="2481"/>
      <c r="BH99" s="2481"/>
      <c r="BI99" s="2307"/>
    </row>
    <row r="100" spans="55:61" x14ac:dyDescent="0.25">
      <c r="BC100" s="2306"/>
      <c r="BD100" s="2481"/>
      <c r="BE100" s="2481"/>
      <c r="BF100" s="2481"/>
      <c r="BG100" s="2481"/>
      <c r="BH100" s="2481"/>
      <c r="BI100" s="2307"/>
    </row>
    <row r="101" spans="55:61" x14ac:dyDescent="0.25">
      <c r="BC101" s="2596" t="s">
        <v>2135</v>
      </c>
      <c r="BD101" s="2481"/>
      <c r="BE101" s="2481"/>
      <c r="BF101" s="2481"/>
      <c r="BG101" s="2481"/>
      <c r="BH101" s="2481"/>
      <c r="BI101" s="2307"/>
    </row>
    <row r="102" spans="55:61" x14ac:dyDescent="0.25">
      <c r="BC102" s="2482" t="s">
        <v>2102</v>
      </c>
      <c r="BD102" s="2597">
        <v>2014</v>
      </c>
      <c r="BE102" s="2597">
        <v>2015</v>
      </c>
      <c r="BF102" s="2597">
        <v>2016</v>
      </c>
      <c r="BG102" s="2597">
        <v>2017</v>
      </c>
      <c r="BH102" s="2597">
        <v>2018</v>
      </c>
      <c r="BI102" s="2598" t="s">
        <v>2132</v>
      </c>
    </row>
    <row r="103" spans="55:61" x14ac:dyDescent="0.25">
      <c r="BC103" s="2482" t="s">
        <v>2131</v>
      </c>
      <c r="BD103" s="2593">
        <v>134</v>
      </c>
      <c r="BE103" s="2593">
        <v>130</v>
      </c>
      <c r="BF103" s="2593">
        <v>118</v>
      </c>
      <c r="BG103" s="2593">
        <v>103</v>
      </c>
      <c r="BH103" s="2593">
        <v>86</v>
      </c>
      <c r="BI103" s="2594">
        <v>583</v>
      </c>
    </row>
    <row r="104" spans="55:61" x14ac:dyDescent="0.25">
      <c r="BC104" s="2306"/>
      <c r="BD104" s="2481"/>
      <c r="BE104" s="2481"/>
      <c r="BF104" s="2481"/>
      <c r="BG104" s="2481"/>
      <c r="BH104" s="2481"/>
      <c r="BI104" s="2307"/>
    </row>
    <row r="105" spans="55:61" x14ac:dyDescent="0.25">
      <c r="BC105" s="2482" t="s">
        <v>2133</v>
      </c>
      <c r="BD105" s="2595">
        <v>8.8249999999999995E-2</v>
      </c>
      <c r="BE105" s="2584"/>
      <c r="BF105" s="2481"/>
      <c r="BG105" s="2481"/>
      <c r="BH105" s="2481"/>
      <c r="BI105" s="2307"/>
    </row>
    <row r="106" spans="55:61" x14ac:dyDescent="0.25">
      <c r="BC106" s="2306"/>
      <c r="BD106" s="2481"/>
      <c r="BE106" s="2584"/>
      <c r="BF106" s="2481"/>
      <c r="BG106" s="2481"/>
      <c r="BH106" s="2481"/>
      <c r="BI106" s="2307"/>
    </row>
    <row r="107" spans="55:61" x14ac:dyDescent="0.25">
      <c r="BC107" s="2482" t="s">
        <v>2134</v>
      </c>
      <c r="BD107" s="2584">
        <f>NPV(BD105,BD103:BI103)</f>
        <v>805.23665821066766</v>
      </c>
      <c r="BE107" s="2584"/>
      <c r="BF107" s="2481"/>
      <c r="BG107" s="2481"/>
      <c r="BH107" s="2481"/>
      <c r="BI107" s="2307"/>
    </row>
    <row r="108" spans="55:61" x14ac:dyDescent="0.25">
      <c r="BC108" s="2482"/>
      <c r="BD108" s="2584"/>
      <c r="BE108" s="2584"/>
      <c r="BF108" s="2481"/>
      <c r="BG108" s="2481"/>
      <c r="BH108" s="2481"/>
      <c r="BI108" s="2307"/>
    </row>
    <row r="109" spans="55:61" x14ac:dyDescent="0.25">
      <c r="BC109" s="2596" t="s">
        <v>2560</v>
      </c>
      <c r="BD109" s="2481"/>
      <c r="BE109" s="2481"/>
      <c r="BF109" s="2481"/>
      <c r="BG109" s="2481"/>
      <c r="BH109" s="2481"/>
      <c r="BI109" s="2307"/>
    </row>
    <row r="110" spans="55:61" x14ac:dyDescent="0.25">
      <c r="BC110" s="2482" t="s">
        <v>2102</v>
      </c>
      <c r="BD110" s="2597">
        <v>2015</v>
      </c>
      <c r="BE110" s="2597">
        <v>2016</v>
      </c>
      <c r="BF110" s="2597">
        <v>2017</v>
      </c>
      <c r="BG110" s="2597">
        <v>2018</v>
      </c>
      <c r="BH110" s="2597">
        <v>2019</v>
      </c>
      <c r="BI110" s="2598" t="s">
        <v>2132</v>
      </c>
    </row>
    <row r="111" spans="55:61" x14ac:dyDescent="0.25">
      <c r="BC111" s="2482" t="s">
        <v>2131</v>
      </c>
      <c r="BD111" s="2593">
        <v>129</v>
      </c>
      <c r="BE111" s="2593">
        <v>121</v>
      </c>
      <c r="BF111" s="2593">
        <v>114</v>
      </c>
      <c r="BG111" s="2593">
        <v>99</v>
      </c>
      <c r="BH111" s="2593">
        <v>86</v>
      </c>
      <c r="BI111" s="2594">
        <v>528</v>
      </c>
    </row>
    <row r="112" spans="55:61" x14ac:dyDescent="0.25">
      <c r="BC112" s="2306"/>
      <c r="BD112" s="2481"/>
      <c r="BE112" s="2481"/>
      <c r="BF112" s="2481"/>
      <c r="BG112" s="2481"/>
      <c r="BH112" s="2481"/>
      <c r="BI112" s="2307"/>
    </row>
    <row r="113" spans="55:61" x14ac:dyDescent="0.25">
      <c r="BC113" s="2482" t="s">
        <v>2133</v>
      </c>
      <c r="BD113" s="2595">
        <v>8.8249999999999995E-2</v>
      </c>
      <c r="BE113" s="2584"/>
      <c r="BF113" s="2481"/>
      <c r="BG113" s="2481"/>
      <c r="BH113" s="2481"/>
      <c r="BI113" s="2307"/>
    </row>
    <row r="114" spans="55:61" x14ac:dyDescent="0.25">
      <c r="BC114" s="2306"/>
      <c r="BD114" s="2481"/>
      <c r="BE114" s="2584"/>
      <c r="BF114" s="2481"/>
      <c r="BG114" s="2481"/>
      <c r="BH114" s="2481"/>
      <c r="BI114" s="2307"/>
    </row>
    <row r="115" spans="55:61" x14ac:dyDescent="0.25">
      <c r="BC115" s="2482" t="s">
        <v>2134</v>
      </c>
      <c r="BD115" s="2584">
        <f>NPV(BD113,BD111:BI111)</f>
        <v>753.974594255326</v>
      </c>
      <c r="BE115" s="2584"/>
      <c r="BF115" s="2481"/>
      <c r="BG115" s="2481"/>
      <c r="BH115" s="2481"/>
      <c r="BI115" s="2307"/>
    </row>
    <row r="116" spans="55:61" x14ac:dyDescent="0.25">
      <c r="BC116" s="2482"/>
      <c r="BD116" s="2584"/>
      <c r="BE116" s="2584"/>
      <c r="BF116" s="2481"/>
      <c r="BG116" s="2481"/>
      <c r="BH116" s="2481"/>
      <c r="BI116" s="2307"/>
    </row>
    <row r="117" spans="55:61" x14ac:dyDescent="0.25">
      <c r="BC117" s="2596" t="s">
        <v>2567</v>
      </c>
      <c r="BD117" s="2481"/>
      <c r="BE117" s="2481"/>
      <c r="BF117" s="2481"/>
      <c r="BG117" s="2481"/>
      <c r="BH117" s="2481"/>
      <c r="BI117" s="2307"/>
    </row>
    <row r="118" spans="55:61" x14ac:dyDescent="0.25">
      <c r="BC118" s="2482" t="s">
        <v>2102</v>
      </c>
      <c r="BD118" s="2597">
        <v>2016</v>
      </c>
      <c r="BE118" s="2597">
        <v>2017</v>
      </c>
      <c r="BF118" s="2597">
        <v>2018</v>
      </c>
      <c r="BG118" s="2597">
        <v>2019</v>
      </c>
      <c r="BH118" s="2597">
        <v>2020</v>
      </c>
      <c r="BI118" s="2598" t="s">
        <v>2132</v>
      </c>
    </row>
    <row r="119" spans="55:61" x14ac:dyDescent="0.25">
      <c r="BC119" s="2482" t="s">
        <v>2131</v>
      </c>
      <c r="BD119" s="2593">
        <v>126</v>
      </c>
      <c r="BE119" s="2593">
        <v>123</v>
      </c>
      <c r="BF119" s="2593">
        <v>112</v>
      </c>
      <c r="BG119" s="2593">
        <v>87</v>
      </c>
      <c r="BH119" s="2593">
        <v>67</v>
      </c>
      <c r="BI119" s="2594">
        <v>447</v>
      </c>
    </row>
    <row r="120" spans="55:61" x14ac:dyDescent="0.25">
      <c r="BC120" s="2306"/>
      <c r="BD120" s="2481"/>
      <c r="BE120" s="2481"/>
      <c r="BF120" s="2481"/>
      <c r="BG120" s="2481"/>
      <c r="BH120" s="2481"/>
      <c r="BI120" s="2307"/>
    </row>
    <row r="121" spans="55:61" x14ac:dyDescent="0.25">
      <c r="BC121" s="2482" t="s">
        <v>2133</v>
      </c>
      <c r="BD121" s="2595">
        <v>8.8249999999999995E-2</v>
      </c>
      <c r="BE121" s="2584"/>
      <c r="BF121" s="2481"/>
      <c r="BG121" s="2481"/>
      <c r="BH121" s="2481"/>
      <c r="BI121" s="2307"/>
    </row>
    <row r="122" spans="55:61" x14ac:dyDescent="0.25">
      <c r="BC122" s="2306"/>
      <c r="BD122" s="2481"/>
      <c r="BE122" s="2584"/>
      <c r="BF122" s="2481"/>
      <c r="BG122" s="2481"/>
      <c r="BH122" s="2481"/>
      <c r="BI122" s="2307"/>
    </row>
    <row r="123" spans="55:61" x14ac:dyDescent="0.25">
      <c r="BC123" s="2599" t="s">
        <v>2134</v>
      </c>
      <c r="BD123" s="2600">
        <f>NPV(BD121,BD119:BI119)</f>
        <v>681.58507034084869</v>
      </c>
      <c r="BE123" s="2600"/>
      <c r="BF123" s="2275"/>
      <c r="BG123" s="2275"/>
      <c r="BH123" s="2275"/>
      <c r="BI123" s="2276"/>
    </row>
    <row r="124" spans="55:61" x14ac:dyDescent="0.25">
      <c r="BC124" s="2482"/>
      <c r="BD124" s="2584"/>
      <c r="BE124" s="2584"/>
      <c r="BF124" s="2481"/>
      <c r="BG124" s="2481"/>
      <c r="BH124" s="2481"/>
      <c r="BI124" s="2307"/>
    </row>
    <row r="125" spans="55:61" x14ac:dyDescent="0.25">
      <c r="BC125" s="2596" t="s">
        <v>2568</v>
      </c>
      <c r="BD125" s="2481"/>
      <c r="BE125" s="2481"/>
      <c r="BF125" s="2481"/>
      <c r="BG125" s="2481"/>
      <c r="BH125" s="2481"/>
      <c r="BI125" s="2307"/>
    </row>
    <row r="126" spans="55:61" x14ac:dyDescent="0.25">
      <c r="BC126" s="2482" t="s">
        <v>2102</v>
      </c>
      <c r="BD126" s="2597">
        <v>2016</v>
      </c>
      <c r="BE126" s="2597">
        <v>2017</v>
      </c>
      <c r="BF126" s="2597">
        <v>2018</v>
      </c>
      <c r="BG126" s="2597">
        <v>2019</v>
      </c>
      <c r="BH126" s="2597">
        <v>2020</v>
      </c>
      <c r="BI126" s="2598" t="s">
        <v>2132</v>
      </c>
    </row>
    <row r="127" spans="55:61" x14ac:dyDescent="0.25">
      <c r="BC127" s="2482" t="s">
        <v>2131</v>
      </c>
      <c r="BD127" s="2593">
        <v>74</v>
      </c>
      <c r="BE127" s="2593">
        <v>71</v>
      </c>
      <c r="BF127" s="2593">
        <v>66</v>
      </c>
      <c r="BG127" s="2593">
        <v>64</v>
      </c>
      <c r="BH127" s="2593">
        <v>62</v>
      </c>
      <c r="BI127" s="2594">
        <v>729</v>
      </c>
    </row>
    <row r="128" spans="55:61" x14ac:dyDescent="0.25">
      <c r="BC128" s="2306"/>
      <c r="BD128" s="2481"/>
      <c r="BE128" s="2481"/>
      <c r="BF128" s="2481"/>
      <c r="BG128" s="2481"/>
      <c r="BH128" s="2481"/>
      <c r="BI128" s="2307"/>
    </row>
    <row r="129" spans="55:63" x14ac:dyDescent="0.25">
      <c r="BC129" s="2482" t="s">
        <v>2133</v>
      </c>
      <c r="BD129" s="2595">
        <v>8.8249999999999995E-2</v>
      </c>
      <c r="BE129" s="2584"/>
      <c r="BF129" s="2481"/>
      <c r="BG129" s="2481"/>
      <c r="BH129" s="2481"/>
      <c r="BI129" s="2307"/>
    </row>
    <row r="130" spans="55:63" x14ac:dyDescent="0.25">
      <c r="BC130" s="2306"/>
      <c r="BD130" s="2481"/>
      <c r="BE130" s="2584"/>
      <c r="BF130" s="2481"/>
      <c r="BG130" s="2481"/>
      <c r="BH130" s="2481"/>
      <c r="BI130" s="2307"/>
    </row>
    <row r="131" spans="55:63" x14ac:dyDescent="0.25">
      <c r="BC131" s="2599" t="s">
        <v>2134</v>
      </c>
      <c r="BD131" s="2600">
        <f>NPV(BD129,BD127:BI127)</f>
        <v>704.30320615254402</v>
      </c>
      <c r="BE131" s="2600"/>
      <c r="BF131" s="2275"/>
      <c r="BG131" s="2275"/>
      <c r="BH131" s="2275"/>
      <c r="BI131" s="2276"/>
    </row>
    <row r="132" spans="55:63" x14ac:dyDescent="0.25">
      <c r="BC132" s="2584"/>
      <c r="BD132" s="2584"/>
      <c r="BE132" s="2584"/>
      <c r="BF132" s="2481"/>
      <c r="BG132" s="2481"/>
      <c r="BH132" s="2481"/>
      <c r="BI132" s="2481"/>
    </row>
    <row r="134" spans="55:63" x14ac:dyDescent="0.25">
      <c r="BJ134" s="542" t="s">
        <v>2147</v>
      </c>
    </row>
    <row r="135" spans="55:63" x14ac:dyDescent="0.25">
      <c r="BJ135" s="2601"/>
      <c r="BK135" s="2602" t="s">
        <v>2146</v>
      </c>
    </row>
    <row r="136" spans="55:63" x14ac:dyDescent="0.25">
      <c r="BJ136" s="2482" t="s">
        <v>2145</v>
      </c>
      <c r="BK136" s="2594">
        <v>199</v>
      </c>
    </row>
    <row r="137" spans="55:63" x14ac:dyDescent="0.25">
      <c r="BJ137" s="2306"/>
      <c r="BK137" s="2307"/>
    </row>
    <row r="138" spans="55:63" x14ac:dyDescent="0.25">
      <c r="BJ138" s="2482" t="s">
        <v>2148</v>
      </c>
      <c r="BK138" s="2594">
        <v>41.8</v>
      </c>
    </row>
    <row r="139" spans="55:63" x14ac:dyDescent="0.25">
      <c r="BJ139" s="2603" t="s">
        <v>1706</v>
      </c>
      <c r="BK139" s="2484">
        <f>+BK138/BK136</f>
        <v>0.21005025125628141</v>
      </c>
    </row>
    <row r="140" spans="55:63" x14ac:dyDescent="0.25">
      <c r="BJ140" s="3264"/>
      <c r="BK140" s="2273"/>
    </row>
    <row r="141" spans="55:63" x14ac:dyDescent="0.25">
      <c r="BJ141" s="542" t="s">
        <v>2561</v>
      </c>
    </row>
    <row r="142" spans="55:63" x14ac:dyDescent="0.25">
      <c r="BJ142" s="2601"/>
      <c r="BK142" s="2602" t="s">
        <v>2564</v>
      </c>
    </row>
    <row r="143" spans="55:63" x14ac:dyDescent="0.25">
      <c r="BJ143" s="2482" t="s">
        <v>2145</v>
      </c>
      <c r="BK143" s="2594">
        <v>199</v>
      </c>
    </row>
    <row r="144" spans="55:63" x14ac:dyDescent="0.25">
      <c r="BJ144" s="2306"/>
      <c r="BK144" s="2307"/>
    </row>
    <row r="145" spans="62:66" x14ac:dyDescent="0.25">
      <c r="BJ145" s="2482" t="s">
        <v>2148</v>
      </c>
      <c r="BK145" s="2594">
        <v>41.8</v>
      </c>
    </row>
    <row r="146" spans="62:66" x14ac:dyDescent="0.25">
      <c r="BJ146" s="2603" t="s">
        <v>1706</v>
      </c>
      <c r="BK146" s="2484">
        <f>+BK145/BK143</f>
        <v>0.21005025125628141</v>
      </c>
    </row>
    <row r="147" spans="62:66" x14ac:dyDescent="0.25">
      <c r="BJ147" s="3264"/>
      <c r="BK147" s="2273"/>
    </row>
    <row r="148" spans="62:66" x14ac:dyDescent="0.25">
      <c r="BJ148" s="542" t="s">
        <v>2562</v>
      </c>
    </row>
    <row r="149" spans="62:66" x14ac:dyDescent="0.25">
      <c r="BJ149" s="2601"/>
      <c r="BK149" s="2602" t="s">
        <v>2563</v>
      </c>
    </row>
    <row r="150" spans="62:66" x14ac:dyDescent="0.25">
      <c r="BJ150" s="2482" t="s">
        <v>2145</v>
      </c>
      <c r="BK150" s="2594">
        <v>288</v>
      </c>
    </row>
    <row r="151" spans="62:66" x14ac:dyDescent="0.25">
      <c r="BJ151" s="2306"/>
      <c r="BK151" s="2307"/>
    </row>
    <row r="152" spans="62:66" x14ac:dyDescent="0.25">
      <c r="BJ152" s="2482" t="s">
        <v>2148</v>
      </c>
      <c r="BK152" s="2594">
        <v>41.8</v>
      </c>
    </row>
    <row r="153" spans="62:66" x14ac:dyDescent="0.25">
      <c r="BJ153" s="2603" t="s">
        <v>1706</v>
      </c>
      <c r="BK153" s="2484">
        <f>+BK152/BK150</f>
        <v>0.14513888888888887</v>
      </c>
    </row>
    <row r="154" spans="62:66" x14ac:dyDescent="0.25">
      <c r="BL154" s="2219" t="s">
        <v>2293</v>
      </c>
      <c r="BM154" s="2669"/>
    </row>
    <row r="155" spans="62:66" x14ac:dyDescent="0.25">
      <c r="BL155" s="44" t="s">
        <v>2254</v>
      </c>
      <c r="BM155" s="2668">
        <v>-320</v>
      </c>
      <c r="BN155"/>
    </row>
    <row r="156" spans="62:66" x14ac:dyDescent="0.25">
      <c r="BL156" s="44" t="s">
        <v>2255</v>
      </c>
      <c r="BM156" s="2667">
        <v>-337</v>
      </c>
      <c r="BN156"/>
    </row>
    <row r="157" spans="62:66" x14ac:dyDescent="0.25">
      <c r="BL157" s="44" t="s">
        <v>2291</v>
      </c>
      <c r="BM157" s="2667">
        <v>-297</v>
      </c>
      <c r="BN157"/>
    </row>
    <row r="158" spans="62:66" x14ac:dyDescent="0.25">
      <c r="BL158" s="44" t="s">
        <v>2290</v>
      </c>
      <c r="BM158" s="1811">
        <f>BM160-SUM(BM155:BM157)</f>
        <v>-546</v>
      </c>
      <c r="BN158"/>
    </row>
    <row r="159" spans="62:66" x14ac:dyDescent="0.25">
      <c r="BL159" s="44"/>
      <c r="BM159" s="1811"/>
      <c r="BN159"/>
    </row>
    <row r="160" spans="62:66" x14ac:dyDescent="0.25">
      <c r="BL160" s="44" t="s">
        <v>2289</v>
      </c>
      <c r="BM160" s="2594">
        <v>-1500</v>
      </c>
      <c r="BN160"/>
    </row>
    <row r="161" spans="64:70" x14ac:dyDescent="0.25">
      <c r="BL161" s="44" t="s">
        <v>2294</v>
      </c>
      <c r="BM161" s="2662">
        <v>24</v>
      </c>
      <c r="BN161"/>
    </row>
    <row r="162" spans="64:70" x14ac:dyDescent="0.25">
      <c r="BL162" s="44"/>
      <c r="BM162" s="1811"/>
      <c r="BN162"/>
    </row>
    <row r="163" spans="64:70" x14ac:dyDescent="0.25">
      <c r="BL163" s="44" t="s">
        <v>2295</v>
      </c>
      <c r="BM163" s="2662">
        <v>18.899999999999999</v>
      </c>
    </row>
    <row r="164" spans="64:70" x14ac:dyDescent="0.25">
      <c r="BL164" s="44" t="s">
        <v>2292</v>
      </c>
      <c r="BM164" s="2662">
        <v>20.399999999999999</v>
      </c>
    </row>
    <row r="165" spans="64:70" x14ac:dyDescent="0.25">
      <c r="BL165" s="44" t="s">
        <v>2288</v>
      </c>
      <c r="BM165" s="2663">
        <f>BM161-BM164</f>
        <v>3.6000000000000014</v>
      </c>
    </row>
    <row r="166" spans="64:70" x14ac:dyDescent="0.25">
      <c r="BL166" s="44"/>
      <c r="BM166" s="1811"/>
    </row>
    <row r="167" spans="64:70" x14ac:dyDescent="0.25">
      <c r="BL167" s="44" t="s">
        <v>2296</v>
      </c>
      <c r="BM167" s="2664">
        <f>BM163-BM165</f>
        <v>15.299999999999997</v>
      </c>
    </row>
    <row r="168" spans="64:70" x14ac:dyDescent="0.25">
      <c r="BL168" s="44"/>
      <c r="BM168" s="1811"/>
    </row>
    <row r="169" spans="64:70" x14ac:dyDescent="0.25">
      <c r="BL169" s="44" t="s">
        <v>2297</v>
      </c>
      <c r="BM169" s="2662">
        <v>25</v>
      </c>
    </row>
    <row r="170" spans="64:70" x14ac:dyDescent="0.25">
      <c r="BL170" s="2665" t="s">
        <v>2298</v>
      </c>
      <c r="BM170" s="2666">
        <f>BM167+BM169</f>
        <v>40.299999999999997</v>
      </c>
    </row>
    <row r="171" spans="64:70" x14ac:dyDescent="0.25">
      <c r="BN171" s="542" t="s">
        <v>2314</v>
      </c>
    </row>
    <row r="172" spans="64:70" x14ac:dyDescent="0.25">
      <c r="BN172" s="1062"/>
      <c r="BQ172" s="2720" t="s">
        <v>2315</v>
      </c>
      <c r="BR172" s="2721"/>
    </row>
    <row r="173" spans="64:70" x14ac:dyDescent="0.25">
      <c r="BO173" s="2719">
        <v>2013</v>
      </c>
      <c r="BP173" s="2719">
        <v>2014</v>
      </c>
      <c r="BQ173" s="553" t="s">
        <v>1938</v>
      </c>
      <c r="BR173" s="553" t="s">
        <v>575</v>
      </c>
    </row>
    <row r="174" spans="64:70" x14ac:dyDescent="0.25">
      <c r="BN174" s="1062" t="s">
        <v>8</v>
      </c>
      <c r="BO174" s="2726">
        <f>+MAR!BZ11</f>
        <v>950</v>
      </c>
      <c r="BP174" s="2726">
        <f>+MAR!CE11</f>
        <v>1022</v>
      </c>
      <c r="BQ174" s="2726">
        <f>+BP174-BO174</f>
        <v>72</v>
      </c>
      <c r="BR174" s="665">
        <f>+BP174/BO174-1</f>
        <v>7.5789473684210629E-2</v>
      </c>
    </row>
    <row r="175" spans="64:70" x14ac:dyDescent="0.25">
      <c r="BN175" s="1062" t="s">
        <v>857</v>
      </c>
      <c r="BO175" s="662">
        <f>+MAR!BZ10</f>
        <v>1543</v>
      </c>
      <c r="BP175" s="662">
        <f>+MAR!CE10</f>
        <v>1719</v>
      </c>
      <c r="BQ175" s="662">
        <f>+BP175-BO175</f>
        <v>176</v>
      </c>
      <c r="BR175" s="665">
        <f>+BP175/BO175-1</f>
        <v>0.11406351263771874</v>
      </c>
    </row>
    <row r="176" spans="64:70" ht="3.95" customHeight="1" x14ac:dyDescent="0.25">
      <c r="BN176" s="1062"/>
      <c r="BR176" s="665"/>
    </row>
    <row r="177" spans="66:70" x14ac:dyDescent="0.25">
      <c r="BN177" s="2738" t="s">
        <v>1614</v>
      </c>
      <c r="BO177" s="2733">
        <f>+BO175+BO174</f>
        <v>2493</v>
      </c>
      <c r="BP177" s="2733">
        <f>+BP175+BP174</f>
        <v>2741</v>
      </c>
      <c r="BQ177" s="2733">
        <f>+BP177-BO177</f>
        <v>248</v>
      </c>
      <c r="BR177" s="2739">
        <f>+BP177/BO177-1</f>
        <v>9.9478539911752817E-2</v>
      </c>
    </row>
    <row r="179" spans="66:70" x14ac:dyDescent="0.25">
      <c r="BN179" s="1062" t="s">
        <v>2319</v>
      </c>
    </row>
    <row r="180" spans="66:70" x14ac:dyDescent="0.25">
      <c r="BN180" s="1062" t="s">
        <v>1309</v>
      </c>
      <c r="BO180" s="2729">
        <f>4363+1057</f>
        <v>5420</v>
      </c>
      <c r="BP180" s="2729">
        <f>4363+1352</f>
        <v>5715</v>
      </c>
    </row>
    <row r="181" spans="66:70" x14ac:dyDescent="0.25">
      <c r="BN181" s="1062" t="s">
        <v>611</v>
      </c>
      <c r="BO181" s="2729">
        <f>4179+903</f>
        <v>5082</v>
      </c>
      <c r="BP181" s="2729">
        <f>5056+730</f>
        <v>5786</v>
      </c>
    </row>
    <row r="183" spans="66:70" x14ac:dyDescent="0.25">
      <c r="BN183" s="1062" t="s">
        <v>2316</v>
      </c>
    </row>
    <row r="184" spans="66:70" x14ac:dyDescent="0.25">
      <c r="BN184" s="1062" t="s">
        <v>1929</v>
      </c>
      <c r="BO184" s="662">
        <f>BO180</f>
        <v>5420</v>
      </c>
      <c r="BP184" s="662">
        <f>BP180</f>
        <v>5715</v>
      </c>
    </row>
    <row r="185" spans="66:70" x14ac:dyDescent="0.25">
      <c r="BN185" s="1062" t="s">
        <v>2318</v>
      </c>
      <c r="BO185" s="1062">
        <f t="shared" ref="BO185:BP188" si="10">BO$181*(BO215/SUM(BO$215:BO$218))</f>
        <v>883.82608695652186</v>
      </c>
      <c r="BP185" s="1062">
        <f t="shared" si="10"/>
        <v>1006.2608695652174</v>
      </c>
    </row>
    <row r="186" spans="66:70" x14ac:dyDescent="0.25">
      <c r="BN186" s="1062" t="s">
        <v>1930</v>
      </c>
      <c r="BO186" s="1062">
        <f t="shared" si="10"/>
        <v>1767.6521739130437</v>
      </c>
      <c r="BP186" s="1062">
        <f t="shared" si="10"/>
        <v>1760.9565217391305</v>
      </c>
    </row>
    <row r="187" spans="66:70" x14ac:dyDescent="0.25">
      <c r="BN187" s="1062" t="s">
        <v>1645</v>
      </c>
      <c r="BO187" s="1062">
        <f t="shared" si="10"/>
        <v>441.91304347826093</v>
      </c>
      <c r="BP187" s="1062">
        <f t="shared" si="10"/>
        <v>754.695652173913</v>
      </c>
    </row>
    <row r="188" spans="66:70" x14ac:dyDescent="0.25">
      <c r="BN188" s="1062" t="s">
        <v>808</v>
      </c>
      <c r="BO188" s="1062">
        <f t="shared" si="10"/>
        <v>1988.608695652174</v>
      </c>
      <c r="BP188" s="1062">
        <f t="shared" si="10"/>
        <v>2264.086956521739</v>
      </c>
    </row>
    <row r="190" spans="66:70" x14ac:dyDescent="0.25">
      <c r="BN190" s="1062" t="s">
        <v>2322</v>
      </c>
    </row>
    <row r="191" spans="66:70" x14ac:dyDescent="0.25">
      <c r="BN191" s="1062" t="s">
        <v>1929</v>
      </c>
      <c r="BO191" s="2727">
        <f>BP191/(1+6.7%)</f>
        <v>120.32802249297094</v>
      </c>
      <c r="BP191" s="2728">
        <v>128.38999999999999</v>
      </c>
      <c r="BQ191" s="2744">
        <f>+BP191/BO191-1</f>
        <v>6.6999999999999948E-2</v>
      </c>
    </row>
    <row r="192" spans="66:70" x14ac:dyDescent="0.25">
      <c r="BN192" s="1062" t="s">
        <v>2318</v>
      </c>
      <c r="BO192" s="2727">
        <f>BP192/(1+11%)</f>
        <v>159.15315315315314</v>
      </c>
      <c r="BP192" s="2728">
        <v>176.66</v>
      </c>
      <c r="BQ192" s="2744">
        <f>+BP192/BO192-1</f>
        <v>0.1100000000000001</v>
      </c>
    </row>
    <row r="193" spans="66:71" x14ac:dyDescent="0.25">
      <c r="BN193" s="1062" t="s">
        <v>1930</v>
      </c>
      <c r="BO193" s="2727">
        <f>BP193/(1+3.2%)</f>
        <v>140.12596899224806</v>
      </c>
      <c r="BP193" s="2728">
        <v>144.61000000000001</v>
      </c>
      <c r="BQ193" s="2744">
        <f>+BP193/BO193-1</f>
        <v>3.2000000000000028E-2</v>
      </c>
    </row>
    <row r="194" spans="66:71" x14ac:dyDescent="0.25">
      <c r="BN194" s="1062" t="s">
        <v>1645</v>
      </c>
      <c r="BO194" s="2727">
        <f>BP194/(1+7.9%)</f>
        <v>106.08897126969417</v>
      </c>
      <c r="BP194" s="2728">
        <v>114.47</v>
      </c>
      <c r="BQ194" s="2744">
        <f>+BP194/BO194-1</f>
        <v>7.8999999999999959E-2</v>
      </c>
    </row>
    <row r="195" spans="66:71" x14ac:dyDescent="0.25">
      <c r="BN195" s="1062" t="s">
        <v>808</v>
      </c>
      <c r="BO195" s="2727">
        <f>BP195/(1+4.8%)</f>
        <v>124.08396946564885</v>
      </c>
      <c r="BP195" s="2728">
        <v>130.04</v>
      </c>
      <c r="BQ195" s="2744">
        <f>+BP195/BO195-1</f>
        <v>4.8000000000000043E-2</v>
      </c>
    </row>
    <row r="197" spans="66:71" x14ac:dyDescent="0.25">
      <c r="BN197" s="2722" t="s">
        <v>2320</v>
      </c>
      <c r="BO197" s="2723"/>
      <c r="BP197" s="2723"/>
      <c r="BQ197" s="2723"/>
      <c r="BR197" s="2724"/>
    </row>
    <row r="198" spans="66:71" x14ac:dyDescent="0.25">
      <c r="BN198" s="2482" t="s">
        <v>1929</v>
      </c>
      <c r="BO198" s="2726">
        <f t="shared" ref="BO198:BP202" si="11">BO191*BO184*365/1000000</f>
        <v>238.04492689784445</v>
      </c>
      <c r="BP198" s="2726">
        <f t="shared" si="11"/>
        <v>267.81833024999997</v>
      </c>
      <c r="BQ198" s="2726">
        <f t="shared" ref="BQ198:BQ203" si="12">+BP198-BO198</f>
        <v>29.773403352155526</v>
      </c>
      <c r="BR198" s="2725">
        <f t="shared" ref="BR198:BR203" si="13">+BP198/BO198-1</f>
        <v>0.12507472324723223</v>
      </c>
    </row>
    <row r="199" spans="66:71" x14ac:dyDescent="0.25">
      <c r="BN199" s="2482" t="s">
        <v>2318</v>
      </c>
      <c r="BO199" s="2481">
        <f t="shared" si="11"/>
        <v>51.342253631022324</v>
      </c>
      <c r="BP199" s="2481">
        <f t="shared" si="11"/>
        <v>64.884606504347829</v>
      </c>
      <c r="BQ199" s="2481">
        <f t="shared" si="12"/>
        <v>13.542352873325505</v>
      </c>
      <c r="BR199" s="2725">
        <f t="shared" si="13"/>
        <v>0.26376623376623387</v>
      </c>
    </row>
    <row r="200" spans="66:71" x14ac:dyDescent="0.25">
      <c r="BN200" s="2482" t="s">
        <v>1930</v>
      </c>
      <c r="BO200" s="2481">
        <f t="shared" si="11"/>
        <v>90.408300404448937</v>
      </c>
      <c r="BP200" s="2481">
        <f t="shared" si="11"/>
        <v>92.947951752173935</v>
      </c>
      <c r="BQ200" s="2481">
        <f t="shared" si="12"/>
        <v>2.5396513477249982</v>
      </c>
      <c r="BR200" s="2725">
        <f t="shared" si="13"/>
        <v>2.8090909090909388E-2</v>
      </c>
    </row>
    <row r="201" spans="66:71" x14ac:dyDescent="0.25">
      <c r="BN201" s="2482" t="s">
        <v>1645</v>
      </c>
      <c r="BO201" s="2481">
        <f t="shared" si="11"/>
        <v>17.111966563242941</v>
      </c>
      <c r="BP201" s="2481">
        <f t="shared" si="11"/>
        <v>31.532354126086954</v>
      </c>
      <c r="BQ201" s="2481">
        <f t="shared" si="12"/>
        <v>14.420387562844013</v>
      </c>
      <c r="BR201" s="2725">
        <f t="shared" si="13"/>
        <v>0.84270779220779168</v>
      </c>
    </row>
    <row r="202" spans="66:71" x14ac:dyDescent="0.25">
      <c r="BN202" s="2599" t="s">
        <v>808</v>
      </c>
      <c r="BO202" s="2275">
        <f t="shared" si="11"/>
        <v>90.065378144706273</v>
      </c>
      <c r="BP202" s="2275">
        <f t="shared" si="11"/>
        <v>107.46398175652173</v>
      </c>
      <c r="BQ202" s="2275">
        <f t="shared" si="12"/>
        <v>17.39860361181546</v>
      </c>
      <c r="BR202" s="2484">
        <f t="shared" si="13"/>
        <v>0.19317748917748911</v>
      </c>
    </row>
    <row r="203" spans="66:71" x14ac:dyDescent="0.25">
      <c r="BN203" s="2730" t="s">
        <v>10</v>
      </c>
      <c r="BO203" s="2731">
        <f>SUM(BO198:BO202)</f>
        <v>486.97282564126499</v>
      </c>
      <c r="BP203" s="2731">
        <f>SUM(BP198:BP202)</f>
        <v>564.64722438913043</v>
      </c>
      <c r="BQ203" s="2731">
        <f t="shared" si="12"/>
        <v>77.674398747865439</v>
      </c>
      <c r="BR203" s="2732">
        <f t="shared" si="13"/>
        <v>0.15950458559074776</v>
      </c>
    </row>
    <row r="204" spans="66:71" x14ac:dyDescent="0.25">
      <c r="BN204" s="1062"/>
      <c r="BQ204"/>
      <c r="BR204"/>
      <c r="BS204"/>
    </row>
    <row r="205" spans="66:71" x14ac:dyDescent="0.25">
      <c r="BN205" s="2722" t="s">
        <v>2323</v>
      </c>
      <c r="BO205" s="2723"/>
      <c r="BP205" s="2723"/>
      <c r="BQ205" s="2723"/>
      <c r="BR205" s="2724"/>
      <c r="BS205"/>
    </row>
    <row r="206" spans="66:71" x14ac:dyDescent="0.25">
      <c r="BN206" s="2482" t="s">
        <v>1929</v>
      </c>
      <c r="BO206" s="2734">
        <f t="shared" ref="BO206:BP210" si="14">BO$174*BO198/BO$203</f>
        <v>464.384599397633</v>
      </c>
      <c r="BP206" s="2734">
        <f t="shared" si="14"/>
        <v>484.74573449221566</v>
      </c>
      <c r="BQ206" s="2734">
        <f t="shared" ref="BQ206:BQ211" si="15">+BP206-BO206</f>
        <v>20.361135094582664</v>
      </c>
      <c r="BR206" s="2735">
        <f t="shared" ref="BR206:BR211" si="16">+BP206/BO206-1</f>
        <v>4.3845414169620733E-2</v>
      </c>
      <c r="BS206"/>
    </row>
    <row r="207" spans="66:71" x14ac:dyDescent="0.25">
      <c r="BN207" s="2482" t="s">
        <v>2318</v>
      </c>
      <c r="BO207" s="2584">
        <f t="shared" si="14"/>
        <v>100.15988240255949</v>
      </c>
      <c r="BP207" s="2584">
        <f t="shared" si="14"/>
        <v>117.43981902892358</v>
      </c>
      <c r="BQ207" s="2584">
        <f t="shared" si="15"/>
        <v>17.279936626364091</v>
      </c>
      <c r="BR207" s="2735">
        <f t="shared" si="16"/>
        <v>0.1725235314965039</v>
      </c>
      <c r="BS207"/>
    </row>
    <row r="208" spans="66:71" x14ac:dyDescent="0.25">
      <c r="BN208" s="2482" t="s">
        <v>1930</v>
      </c>
      <c r="BO208" s="2584">
        <f t="shared" si="14"/>
        <v>176.37100236779321</v>
      </c>
      <c r="BP208" s="2584">
        <f t="shared" si="14"/>
        <v>168.23390355542921</v>
      </c>
      <c r="BQ208" s="2584">
        <f t="shared" si="15"/>
        <v>-8.1370988123640018</v>
      </c>
      <c r="BR208" s="2735">
        <f t="shared" si="16"/>
        <v>-4.613626221500633E-2</v>
      </c>
      <c r="BS208"/>
    </row>
    <row r="209" spans="66:71" x14ac:dyDescent="0.25">
      <c r="BN209" s="2482" t="s">
        <v>1645</v>
      </c>
      <c r="BO209" s="2584">
        <f t="shared" si="14"/>
        <v>33.382495652963321</v>
      </c>
      <c r="BP209" s="2584">
        <f t="shared" si="14"/>
        <v>57.072920090459981</v>
      </c>
      <c r="BQ209" s="2584">
        <f t="shared" si="15"/>
        <v>23.690424437496659</v>
      </c>
      <c r="BR209" s="2735">
        <f t="shared" si="16"/>
        <v>0.70966606822260436</v>
      </c>
      <c r="BS209"/>
    </row>
    <row r="210" spans="66:71" x14ac:dyDescent="0.25">
      <c r="BN210" s="2599" t="s">
        <v>808</v>
      </c>
      <c r="BO210" s="2584">
        <f t="shared" si="14"/>
        <v>175.70202017905086</v>
      </c>
      <c r="BP210" s="2584">
        <f t="shared" si="14"/>
        <v>194.50762283297152</v>
      </c>
      <c r="BQ210" s="2600">
        <f t="shared" si="15"/>
        <v>18.805602653920658</v>
      </c>
      <c r="BR210" s="2736">
        <f t="shared" si="16"/>
        <v>0.10703122613363591</v>
      </c>
      <c r="BS210"/>
    </row>
    <row r="211" spans="66:71" x14ac:dyDescent="0.25">
      <c r="BN211" s="2730" t="s">
        <v>10</v>
      </c>
      <c r="BO211" s="2731">
        <f>SUM(BO206:BO210)</f>
        <v>949.99999999999977</v>
      </c>
      <c r="BP211" s="2731">
        <f>SUM(BP206:BP210)</f>
        <v>1022</v>
      </c>
      <c r="BQ211" s="2731">
        <f t="shared" si="15"/>
        <v>72.000000000000227</v>
      </c>
      <c r="BR211" s="2732">
        <f t="shared" si="16"/>
        <v>7.5789473684210851E-2</v>
      </c>
      <c r="BS211"/>
    </row>
    <row r="212" spans="66:71" x14ac:dyDescent="0.25">
      <c r="BN212" s="1062"/>
      <c r="BQ212"/>
      <c r="BR212"/>
      <c r="BS212"/>
    </row>
    <row r="213" spans="66:71" x14ac:dyDescent="0.25">
      <c r="BN213" s="1062" t="s">
        <v>2317</v>
      </c>
    </row>
    <row r="214" spans="66:71" x14ac:dyDescent="0.25">
      <c r="BN214" s="1062" t="s">
        <v>1929</v>
      </c>
      <c r="BO214" s="665">
        <f>100%-SUM(BO215:BO218)</f>
        <v>0.77</v>
      </c>
      <c r="BP214" s="665">
        <f>100%-SUM(BP215:BP218)</f>
        <v>0.77</v>
      </c>
      <c r="BQ214" s="665"/>
    </row>
    <row r="215" spans="66:71" x14ac:dyDescent="0.25">
      <c r="BN215" s="1062" t="s">
        <v>2318</v>
      </c>
      <c r="BO215" s="2717">
        <v>0.04</v>
      </c>
      <c r="BP215" s="2717">
        <v>0.04</v>
      </c>
      <c r="BQ215" s="665"/>
    </row>
    <row r="216" spans="66:71" x14ac:dyDescent="0.25">
      <c r="BN216" s="1062" t="s">
        <v>1930</v>
      </c>
      <c r="BO216" s="2717">
        <v>0.08</v>
      </c>
      <c r="BP216" s="2717">
        <v>7.0000000000000007E-2</v>
      </c>
      <c r="BQ216" s="2717"/>
    </row>
    <row r="217" spans="66:71" x14ac:dyDescent="0.25">
      <c r="BN217" s="1062" t="s">
        <v>1645</v>
      </c>
      <c r="BO217" s="2717">
        <v>0.02</v>
      </c>
      <c r="BP217" s="2717">
        <v>0.03</v>
      </c>
      <c r="BQ217" s="665"/>
    </row>
    <row r="218" spans="66:71" x14ac:dyDescent="0.25">
      <c r="BN218" s="1062" t="s">
        <v>808</v>
      </c>
      <c r="BO218" s="2717">
        <v>0.09</v>
      </c>
      <c r="BP218" s="2718">
        <v>0.09</v>
      </c>
      <c r="BQ218" s="665"/>
    </row>
    <row r="220" spans="66:71" x14ac:dyDescent="0.25">
      <c r="BN220" s="2722" t="s">
        <v>2321</v>
      </c>
      <c r="BO220" s="2723"/>
      <c r="BP220" s="2723"/>
      <c r="BQ220" s="2723"/>
      <c r="BR220" s="2724"/>
    </row>
    <row r="221" spans="66:71" x14ac:dyDescent="0.25">
      <c r="BN221" s="2482" t="s">
        <v>1929</v>
      </c>
      <c r="BO221" s="2737">
        <f t="shared" ref="BO221:BP225" si="17">+BO214*BO$175</f>
        <v>1188.1100000000001</v>
      </c>
      <c r="BP221" s="2737">
        <f t="shared" si="17"/>
        <v>1323.63</v>
      </c>
      <c r="BQ221" s="2737">
        <f t="shared" ref="BQ221:BQ226" si="18">+BP221-BO221</f>
        <v>135.51999999999998</v>
      </c>
      <c r="BR221" s="2735">
        <f t="shared" ref="BR221:BR226" si="19">+BP221/BO221-1</f>
        <v>0.11406351263771874</v>
      </c>
    </row>
    <row r="222" spans="66:71" x14ac:dyDescent="0.25">
      <c r="BN222" s="2482" t="s">
        <v>2318</v>
      </c>
      <c r="BO222" s="2584">
        <f t="shared" si="17"/>
        <v>61.72</v>
      </c>
      <c r="BP222" s="2584">
        <f t="shared" si="17"/>
        <v>68.760000000000005</v>
      </c>
      <c r="BQ222" s="2584">
        <f t="shared" si="18"/>
        <v>7.0400000000000063</v>
      </c>
      <c r="BR222" s="2735">
        <f t="shared" si="19"/>
        <v>0.11406351263771874</v>
      </c>
    </row>
    <row r="223" spans="66:71" x14ac:dyDescent="0.25">
      <c r="BN223" s="2482" t="s">
        <v>1930</v>
      </c>
      <c r="BO223" s="2584">
        <f t="shared" si="17"/>
        <v>123.44</v>
      </c>
      <c r="BP223" s="2584">
        <f t="shared" si="17"/>
        <v>120.33000000000001</v>
      </c>
      <c r="BQ223" s="2584">
        <f t="shared" si="18"/>
        <v>-3.1099999999999852</v>
      </c>
      <c r="BR223" s="2735">
        <f t="shared" si="19"/>
        <v>-2.5194426441995987E-2</v>
      </c>
    </row>
    <row r="224" spans="66:71" x14ac:dyDescent="0.25">
      <c r="BN224" s="2482" t="s">
        <v>1645</v>
      </c>
      <c r="BO224" s="2584">
        <f t="shared" si="17"/>
        <v>30.86</v>
      </c>
      <c r="BP224" s="2584">
        <f t="shared" si="17"/>
        <v>51.57</v>
      </c>
      <c r="BQ224" s="2584">
        <f t="shared" si="18"/>
        <v>20.71</v>
      </c>
      <c r="BR224" s="2735">
        <f t="shared" si="19"/>
        <v>0.67109526895657812</v>
      </c>
    </row>
    <row r="225" spans="1:286" x14ac:dyDescent="0.25">
      <c r="BN225" s="2599" t="s">
        <v>808</v>
      </c>
      <c r="BO225" s="2600">
        <f t="shared" si="17"/>
        <v>138.87</v>
      </c>
      <c r="BP225" s="2600">
        <f t="shared" si="17"/>
        <v>154.71</v>
      </c>
      <c r="BQ225" s="2600">
        <f t="shared" si="18"/>
        <v>15.840000000000003</v>
      </c>
      <c r="BR225" s="2736">
        <f t="shared" si="19"/>
        <v>0.11406351263771874</v>
      </c>
    </row>
    <row r="226" spans="1:286" x14ac:dyDescent="0.25">
      <c r="BN226" s="2730" t="s">
        <v>10</v>
      </c>
      <c r="BO226" s="2731">
        <f>SUM(BO221:BO225)</f>
        <v>1543</v>
      </c>
      <c r="BP226" s="2731">
        <f>SUM(BP221:BP225)</f>
        <v>1719</v>
      </c>
      <c r="BQ226" s="2731">
        <f t="shared" si="18"/>
        <v>176</v>
      </c>
      <c r="BR226" s="2732">
        <f t="shared" si="19"/>
        <v>0.11406351263771874</v>
      </c>
    </row>
    <row r="227" spans="1:286" x14ac:dyDescent="0.25">
      <c r="BN227" s="1062"/>
    </row>
    <row r="228" spans="1:286" x14ac:dyDescent="0.25">
      <c r="BN228" s="2722" t="s">
        <v>1614</v>
      </c>
      <c r="BO228" s="2723"/>
      <c r="BP228" s="2723"/>
      <c r="BQ228" s="2723"/>
      <c r="BR228" s="2724"/>
      <c r="BS228" s="2740" t="s">
        <v>2324</v>
      </c>
    </row>
    <row r="229" spans="1:286" x14ac:dyDescent="0.25">
      <c r="BN229" s="2482" t="s">
        <v>1929</v>
      </c>
      <c r="BO229" s="2737">
        <f t="shared" ref="BO229:BP233" si="20">BO206+BO221</f>
        <v>1652.494599397633</v>
      </c>
      <c r="BP229" s="2737">
        <f t="shared" si="20"/>
        <v>1808.3757344922158</v>
      </c>
      <c r="BQ229" s="2737">
        <f t="shared" ref="BQ229:BQ234" si="21">+BP229-BO229</f>
        <v>155.88113509458276</v>
      </c>
      <c r="BR229" s="2735">
        <f t="shared" ref="BR229:BR234" si="22">+BP229/BO229-1</f>
        <v>9.433079850996462E-2</v>
      </c>
      <c r="BS229" s="2741">
        <f t="shared" ref="BS229:BS234" si="23">+BQ229/$BQ$234</f>
        <v>0.62855296409105954</v>
      </c>
    </row>
    <row r="230" spans="1:286" x14ac:dyDescent="0.25">
      <c r="BN230" s="2482" t="s">
        <v>2318</v>
      </c>
      <c r="BO230" s="2584">
        <f t="shared" si="20"/>
        <v>161.87988240255947</v>
      </c>
      <c r="BP230" s="2584">
        <f t="shared" si="20"/>
        <v>186.19981902892357</v>
      </c>
      <c r="BQ230" s="2584">
        <f t="shared" si="21"/>
        <v>24.319936626364097</v>
      </c>
      <c r="BR230" s="2735">
        <f t="shared" si="22"/>
        <v>0.15023445943632319</v>
      </c>
      <c r="BS230" s="2741">
        <f t="shared" si="23"/>
        <v>9.806426059017781E-2</v>
      </c>
    </row>
    <row r="231" spans="1:286" x14ac:dyDescent="0.25">
      <c r="BN231" s="2482" t="s">
        <v>1930</v>
      </c>
      <c r="BO231" s="2584">
        <f t="shared" si="20"/>
        <v>299.81100236779321</v>
      </c>
      <c r="BP231" s="2584">
        <f t="shared" si="20"/>
        <v>288.56390355542919</v>
      </c>
      <c r="BQ231" s="2584">
        <f t="shared" si="21"/>
        <v>-11.247098812364015</v>
      </c>
      <c r="BR231" s="2735">
        <f t="shared" si="22"/>
        <v>-3.7513962875073692E-2</v>
      </c>
      <c r="BS231" s="2741">
        <f t="shared" si="23"/>
        <v>-4.5351204888564575E-2</v>
      </c>
    </row>
    <row r="232" spans="1:286" ht="12.75" customHeight="1" x14ac:dyDescent="0.25">
      <c r="BN232" s="2482" t="s">
        <v>1645</v>
      </c>
      <c r="BO232" s="2584">
        <f t="shared" si="20"/>
        <v>64.242495652963328</v>
      </c>
      <c r="BP232" s="2584">
        <f t="shared" si="20"/>
        <v>108.64292009045998</v>
      </c>
      <c r="BQ232" s="2584">
        <f t="shared" si="21"/>
        <v>44.400424437496653</v>
      </c>
      <c r="BR232" s="2735">
        <f t="shared" si="22"/>
        <v>0.6911379140272953</v>
      </c>
      <c r="BS232" s="2741">
        <f t="shared" si="23"/>
        <v>0.1790339695060349</v>
      </c>
    </row>
    <row r="233" spans="1:286" ht="12.75" customHeight="1" x14ac:dyDescent="0.25">
      <c r="BN233" s="2599" t="s">
        <v>808</v>
      </c>
      <c r="BO233" s="2600">
        <f t="shared" si="20"/>
        <v>314.57202017905087</v>
      </c>
      <c r="BP233" s="2600">
        <f t="shared" si="20"/>
        <v>349.21762283297153</v>
      </c>
      <c r="BQ233" s="2600">
        <f t="shared" si="21"/>
        <v>34.645602653920662</v>
      </c>
      <c r="BR233" s="2736">
        <f t="shared" si="22"/>
        <v>0.11013567778278799</v>
      </c>
      <c r="BS233" s="2743">
        <f t="shared" si="23"/>
        <v>0.13970001070129298</v>
      </c>
    </row>
    <row r="234" spans="1:286" ht="12.75" customHeight="1" x14ac:dyDescent="0.25">
      <c r="BN234" s="2730" t="s">
        <v>10</v>
      </c>
      <c r="BO234" s="2731">
        <f>SUM(BO229:BO233)</f>
        <v>2493</v>
      </c>
      <c r="BP234" s="2731">
        <f>SUM(BP229:BP233)</f>
        <v>2741</v>
      </c>
      <c r="BQ234" s="2731">
        <f t="shared" si="21"/>
        <v>248</v>
      </c>
      <c r="BR234" s="2732">
        <f t="shared" si="22"/>
        <v>9.9478539911752817E-2</v>
      </c>
      <c r="BS234" s="2742">
        <f t="shared" si="23"/>
        <v>1</v>
      </c>
    </row>
    <row r="235" spans="1:286" s="2627" customFormat="1" x14ac:dyDescent="0.25">
      <c r="A235" s="2476"/>
      <c r="B235" s="2476"/>
      <c r="C235" s="2476"/>
      <c r="D235" s="2476"/>
      <c r="E235" s="2476"/>
      <c r="F235" s="2476"/>
      <c r="G235" s="2476"/>
      <c r="H235" s="2476"/>
      <c r="I235" s="2476"/>
      <c r="J235" s="2476"/>
      <c r="K235" s="2476"/>
      <c r="L235" s="2476"/>
      <c r="M235" s="2476"/>
      <c r="N235" s="2476"/>
      <c r="O235" s="2476"/>
      <c r="P235" s="2476"/>
      <c r="Q235" s="2476"/>
      <c r="R235" s="2476"/>
      <c r="S235" s="2476"/>
      <c r="T235" s="2476"/>
      <c r="U235" s="2476"/>
      <c r="V235" s="2476"/>
      <c r="W235" s="2476"/>
      <c r="X235" s="2476"/>
      <c r="Y235" s="2476"/>
      <c r="Z235" s="2476"/>
      <c r="AA235" s="2476"/>
      <c r="AB235" s="2476"/>
      <c r="AC235" s="2476"/>
      <c r="AD235" s="2597"/>
      <c r="AE235" s="2597"/>
      <c r="AF235" s="2476"/>
      <c r="AG235" s="2476"/>
      <c r="AH235" s="2476"/>
      <c r="AI235" s="2476"/>
      <c r="AJ235" s="2476"/>
      <c r="AK235" s="2476"/>
      <c r="AL235" s="2476"/>
      <c r="AM235" s="2476"/>
      <c r="AN235" s="2476"/>
      <c r="AO235" s="2476"/>
      <c r="AP235" s="2476"/>
      <c r="AQ235" s="2476"/>
      <c r="AR235" s="2476"/>
      <c r="AS235" s="2476"/>
      <c r="AT235" s="2476"/>
      <c r="AU235" s="2476"/>
      <c r="AV235" s="2476"/>
      <c r="AW235" s="2476"/>
      <c r="AX235" s="2476"/>
      <c r="AY235" s="2476"/>
      <c r="AZ235" s="2476"/>
      <c r="BA235" s="2476"/>
      <c r="BB235" s="2476"/>
      <c r="BC235" s="2476"/>
      <c r="BD235" s="2476"/>
      <c r="BE235" s="2476"/>
      <c r="BF235" s="2476"/>
      <c r="BG235" s="2476"/>
      <c r="BH235" s="2476"/>
      <c r="BI235" s="2476"/>
      <c r="BJ235" s="2476"/>
      <c r="BK235" s="2476"/>
      <c r="BL235" s="2476"/>
      <c r="BM235" s="2476"/>
      <c r="BN235" s="2476"/>
      <c r="BO235" s="2476"/>
      <c r="BP235" s="2476"/>
      <c r="BQ235" s="2476"/>
      <c r="BR235" s="2476"/>
      <c r="BS235" s="2476"/>
      <c r="BT235" s="2474" t="s">
        <v>2327</v>
      </c>
      <c r="BU235" s="2476"/>
      <c r="BV235" s="2476"/>
      <c r="BW235" s="2476"/>
      <c r="CT235" s="2950"/>
      <c r="CU235" s="2950"/>
      <c r="CV235" s="2950"/>
      <c r="JV235" s="3903"/>
      <c r="JW235" s="3850"/>
      <c r="JX235" s="3850"/>
      <c r="JY235" s="3850"/>
      <c r="JZ235" s="3850"/>
    </row>
    <row r="236" spans="1:286" s="2627" customFormat="1" x14ac:dyDescent="0.25">
      <c r="A236" s="2476"/>
      <c r="B236" s="2476"/>
      <c r="C236" s="2476"/>
      <c r="D236" s="2476"/>
      <c r="E236" s="2476"/>
      <c r="F236" s="2476"/>
      <c r="G236" s="2476"/>
      <c r="H236" s="2476"/>
      <c r="I236" s="2476"/>
      <c r="J236" s="2476"/>
      <c r="K236" s="2476"/>
      <c r="L236" s="2476"/>
      <c r="M236" s="2476"/>
      <c r="N236" s="2476"/>
      <c r="O236" s="2476"/>
      <c r="P236" s="2476"/>
      <c r="Q236" s="2476"/>
      <c r="R236" s="2476"/>
      <c r="S236" s="2476"/>
      <c r="T236" s="2476"/>
      <c r="U236" s="2476"/>
      <c r="V236" s="2476"/>
      <c r="W236" s="2476"/>
      <c r="X236" s="2476"/>
      <c r="Y236" s="2476"/>
      <c r="Z236" s="2476"/>
      <c r="AA236" s="2476"/>
      <c r="AB236" s="2476"/>
      <c r="AC236" s="2476"/>
      <c r="AD236" s="2597"/>
      <c r="AE236" s="2597"/>
      <c r="AF236" s="2476"/>
      <c r="AG236" s="2476"/>
      <c r="AH236" s="2476"/>
      <c r="AI236" s="2476"/>
      <c r="AJ236" s="2476"/>
      <c r="AK236" s="2476"/>
      <c r="AL236" s="2476"/>
      <c r="AM236" s="2476"/>
      <c r="AN236" s="2476"/>
      <c r="AO236" s="2476"/>
      <c r="AP236" s="2476"/>
      <c r="AQ236" s="2476"/>
      <c r="AR236" s="2476"/>
      <c r="AS236" s="2476"/>
      <c r="AT236" s="2476"/>
      <c r="AU236" s="2476"/>
      <c r="AV236" s="2476"/>
      <c r="AW236" s="2476"/>
      <c r="AX236" s="2476"/>
      <c r="AY236" s="2476"/>
      <c r="AZ236" s="2476"/>
      <c r="BA236" s="2476"/>
      <c r="BB236" s="2476"/>
      <c r="BC236" s="2476"/>
      <c r="BD236" s="2476"/>
      <c r="BE236" s="2476"/>
      <c r="BF236" s="2476"/>
      <c r="BG236" s="2476"/>
      <c r="BH236" s="2476"/>
      <c r="BI236" s="2476"/>
      <c r="BJ236" s="2476"/>
      <c r="BK236" s="2476"/>
      <c r="BL236" s="2476"/>
      <c r="BM236" s="2476"/>
      <c r="BN236" s="2476"/>
      <c r="BO236" s="2476"/>
      <c r="BP236" s="2476"/>
      <c r="BQ236" s="2476"/>
      <c r="BR236" s="2476"/>
      <c r="BS236" s="2476"/>
      <c r="BT236" s="2477" t="s">
        <v>1083</v>
      </c>
      <c r="BU236" s="2478">
        <v>2007</v>
      </c>
      <c r="BV236" s="2479">
        <v>2014</v>
      </c>
      <c r="BW236" s="2476"/>
      <c r="CT236" s="2950"/>
      <c r="CU236" s="2950"/>
      <c r="CV236" s="2950"/>
      <c r="JV236" s="3903"/>
      <c r="JW236" s="3850"/>
      <c r="JX236" s="3850"/>
      <c r="JY236" s="3850"/>
      <c r="JZ236" s="3850"/>
    </row>
    <row r="237" spans="1:286" s="2761" customFormat="1" x14ac:dyDescent="0.25">
      <c r="A237" s="2747"/>
      <c r="B237" s="2747"/>
      <c r="C237" s="2747"/>
      <c r="D237" s="2747"/>
      <c r="E237" s="2747"/>
      <c r="F237" s="2747"/>
      <c r="G237" s="2747"/>
      <c r="H237" s="2747"/>
      <c r="I237" s="2747"/>
      <c r="J237" s="2747"/>
      <c r="K237" s="2747"/>
      <c r="L237" s="2747"/>
      <c r="M237" s="2747"/>
      <c r="N237" s="2747"/>
      <c r="O237" s="2747"/>
      <c r="P237" s="2747"/>
      <c r="Q237" s="2747"/>
      <c r="R237" s="2747"/>
      <c r="S237" s="2747"/>
      <c r="T237" s="2747"/>
      <c r="U237" s="2747"/>
      <c r="V237" s="2747"/>
      <c r="W237" s="2747"/>
      <c r="X237" s="2747"/>
      <c r="Y237" s="2747"/>
      <c r="Z237" s="2747"/>
      <c r="AA237" s="2747"/>
      <c r="AB237" s="2747"/>
      <c r="AC237" s="2747"/>
      <c r="AD237" s="2746"/>
      <c r="AE237" s="2746"/>
      <c r="AF237" s="2747"/>
      <c r="AG237" s="2747"/>
      <c r="AH237" s="2747"/>
      <c r="AI237" s="2747"/>
      <c r="AJ237" s="2747"/>
      <c r="AK237" s="2747"/>
      <c r="AL237" s="2747"/>
      <c r="AM237" s="2747"/>
      <c r="AN237" s="2747"/>
      <c r="AO237" s="2747"/>
      <c r="AP237" s="2747"/>
      <c r="AQ237" s="2747"/>
      <c r="AR237" s="2747"/>
      <c r="AS237" s="2747"/>
      <c r="AT237" s="2747"/>
      <c r="AU237" s="2747"/>
      <c r="AV237" s="2747"/>
      <c r="AW237" s="2747"/>
      <c r="AX237" s="2747"/>
      <c r="AY237" s="2747"/>
      <c r="AZ237" s="2747"/>
      <c r="BA237" s="2747"/>
      <c r="BB237" s="2747"/>
      <c r="BC237" s="2747"/>
      <c r="BD237" s="2747"/>
      <c r="BE237" s="2747"/>
      <c r="BF237" s="2747"/>
      <c r="BG237" s="2747"/>
      <c r="BH237" s="2747"/>
      <c r="BI237" s="2747"/>
      <c r="BJ237" s="2747"/>
      <c r="BK237" s="2747"/>
      <c r="BL237" s="2747"/>
      <c r="BM237" s="2747"/>
      <c r="BN237" s="2747"/>
      <c r="BO237" s="2747"/>
      <c r="BP237" s="2747"/>
      <c r="BQ237" s="2747"/>
      <c r="BR237" s="2747"/>
      <c r="BS237" s="2747"/>
      <c r="BT237" s="2748" t="s">
        <v>2325</v>
      </c>
      <c r="BU237" s="2749">
        <f>+MAR!DL100</f>
        <v>0.35787089467723671</v>
      </c>
      <c r="BV237" s="2750">
        <f>+MAR!DS100</f>
        <v>0.55600145932141554</v>
      </c>
      <c r="BW237" s="2747"/>
      <c r="CT237" s="2948"/>
      <c r="CU237" s="2948"/>
      <c r="CV237" s="2948"/>
      <c r="JV237" s="3901"/>
      <c r="JW237" s="3848"/>
      <c r="JX237" s="3848"/>
      <c r="JY237" s="3848"/>
      <c r="JZ237" s="3848"/>
    </row>
    <row r="238" spans="1:286" s="2761" customFormat="1" x14ac:dyDescent="0.25">
      <c r="A238" s="2747"/>
      <c r="B238" s="2747"/>
      <c r="C238" s="2747"/>
      <c r="D238" s="2747"/>
      <c r="E238" s="2747"/>
      <c r="F238" s="2747"/>
      <c r="G238" s="2747"/>
      <c r="H238" s="2747"/>
      <c r="I238" s="2747"/>
      <c r="J238" s="2747"/>
      <c r="K238" s="2747"/>
      <c r="L238" s="2747"/>
      <c r="M238" s="2747"/>
      <c r="N238" s="2747"/>
      <c r="O238" s="2747"/>
      <c r="P238" s="2747"/>
      <c r="Q238" s="2747"/>
      <c r="R238" s="2747"/>
      <c r="S238" s="2747"/>
      <c r="T238" s="2747"/>
      <c r="U238" s="2747"/>
      <c r="V238" s="2747"/>
      <c r="W238" s="2747"/>
      <c r="X238" s="2747"/>
      <c r="Y238" s="2747"/>
      <c r="Z238" s="2747"/>
      <c r="AA238" s="2747"/>
      <c r="AB238" s="2747"/>
      <c r="AC238" s="2747"/>
      <c r="AD238" s="2746"/>
      <c r="AE238" s="2746"/>
      <c r="AF238" s="2747"/>
      <c r="AG238" s="2747"/>
      <c r="AH238" s="2747"/>
      <c r="AI238" s="2747"/>
      <c r="AJ238" s="2747"/>
      <c r="AK238" s="2747"/>
      <c r="AL238" s="2747"/>
      <c r="AM238" s="2747"/>
      <c r="AN238" s="2747"/>
      <c r="AO238" s="2747"/>
      <c r="AP238" s="2747"/>
      <c r="AQ238" s="2747"/>
      <c r="AR238" s="2747"/>
      <c r="AS238" s="2747"/>
      <c r="AT238" s="2747"/>
      <c r="AU238" s="2747"/>
      <c r="AV238" s="2747"/>
      <c r="AW238" s="2747"/>
      <c r="AX238" s="2747"/>
      <c r="AY238" s="2747"/>
      <c r="AZ238" s="2747"/>
      <c r="BA238" s="2747"/>
      <c r="BB238" s="2747"/>
      <c r="BC238" s="2747"/>
      <c r="BD238" s="2747"/>
      <c r="BE238" s="2747"/>
      <c r="BF238" s="2747"/>
      <c r="BG238" s="2747"/>
      <c r="BH238" s="2747"/>
      <c r="BI238" s="2747"/>
      <c r="BJ238" s="2747"/>
      <c r="BK238" s="2747"/>
      <c r="BL238" s="2747"/>
      <c r="BM238" s="2747"/>
      <c r="BN238" s="2747"/>
      <c r="BO238" s="2747"/>
      <c r="BP238" s="2747"/>
      <c r="BQ238" s="2747"/>
      <c r="BR238" s="2747"/>
      <c r="BS238" s="2747"/>
      <c r="BT238" s="2748" t="s">
        <v>1305</v>
      </c>
      <c r="BU238" s="2749">
        <f>+MAR!DL148</f>
        <v>0.17481464184675002</v>
      </c>
      <c r="BV238" s="2750">
        <f>+MAR!DS148</f>
        <v>0.29526298519714589</v>
      </c>
      <c r="BW238" s="2747"/>
      <c r="CT238" s="2948"/>
      <c r="CU238" s="2948"/>
      <c r="CV238" s="2948"/>
      <c r="JV238" s="3901"/>
      <c r="JW238" s="3848"/>
      <c r="JX238" s="3848"/>
      <c r="JY238" s="3848"/>
      <c r="JZ238" s="3848"/>
    </row>
    <row r="239" spans="1:286" s="2761" customFormat="1" x14ac:dyDescent="0.25">
      <c r="A239" s="2747"/>
      <c r="B239" s="2747"/>
      <c r="C239" s="2747"/>
      <c r="D239" s="2747"/>
      <c r="E239" s="2747"/>
      <c r="F239" s="2747"/>
      <c r="G239" s="2747"/>
      <c r="H239" s="2747"/>
      <c r="I239" s="2747"/>
      <c r="J239" s="2747"/>
      <c r="K239" s="2747"/>
      <c r="L239" s="2747"/>
      <c r="M239" s="2747"/>
      <c r="N239" s="2747"/>
      <c r="O239" s="2747"/>
      <c r="P239" s="2747"/>
      <c r="Q239" s="2747"/>
      <c r="R239" s="2747"/>
      <c r="S239" s="2747"/>
      <c r="T239" s="2747"/>
      <c r="U239" s="2747"/>
      <c r="V239" s="2747"/>
      <c r="W239" s="2747"/>
      <c r="X239" s="2747"/>
      <c r="Y239" s="2747"/>
      <c r="Z239" s="2747"/>
      <c r="AA239" s="2747"/>
      <c r="AB239" s="2747"/>
      <c r="AC239" s="2747"/>
      <c r="AD239" s="2746"/>
      <c r="AE239" s="2746"/>
      <c r="AF239" s="2747"/>
      <c r="AG239" s="2747"/>
      <c r="AH239" s="2747"/>
      <c r="AI239" s="2747"/>
      <c r="AJ239" s="2747"/>
      <c r="AK239" s="2747"/>
      <c r="AL239" s="2747"/>
      <c r="AM239" s="2747"/>
      <c r="AN239" s="2747"/>
      <c r="AO239" s="2747"/>
      <c r="AP239" s="2747"/>
      <c r="AQ239" s="2747"/>
      <c r="AR239" s="2747"/>
      <c r="AS239" s="2747"/>
      <c r="AT239" s="2747"/>
      <c r="AU239" s="2747"/>
      <c r="AV239" s="2747"/>
      <c r="AW239" s="2747"/>
      <c r="AX239" s="2747"/>
      <c r="AY239" s="2747"/>
      <c r="AZ239" s="2747"/>
      <c r="BA239" s="2747"/>
      <c r="BB239" s="2747"/>
      <c r="BC239" s="2747"/>
      <c r="BD239" s="2747"/>
      <c r="BE239" s="2747"/>
      <c r="BF239" s="2747"/>
      <c r="BG239" s="2747"/>
      <c r="BH239" s="2747"/>
      <c r="BI239" s="2747"/>
      <c r="BJ239" s="2747"/>
      <c r="BK239" s="2747"/>
      <c r="BL239" s="2747"/>
      <c r="BM239" s="2747"/>
      <c r="BN239" s="2747"/>
      <c r="BO239" s="2747"/>
      <c r="BP239" s="2747"/>
      <c r="BQ239" s="2747"/>
      <c r="BR239" s="2747"/>
      <c r="BS239" s="2747"/>
      <c r="BT239" s="2751" t="s">
        <v>2326</v>
      </c>
      <c r="BU239" s="2752">
        <f>+MAR!DL193</f>
        <v>0.1435483870967742</v>
      </c>
      <c r="BV239" s="2753">
        <f>+MAR!DS193</f>
        <v>0.24168297455968688</v>
      </c>
      <c r="BW239" s="2747"/>
      <c r="CT239" s="2948"/>
      <c r="CU239" s="2948"/>
      <c r="CV239" s="2948"/>
      <c r="JV239" s="3901"/>
      <c r="JW239" s="3848"/>
      <c r="JX239" s="3848"/>
      <c r="JY239" s="3848"/>
      <c r="JZ239" s="3848"/>
    </row>
    <row r="240" spans="1:286" s="2761" customFormat="1" x14ac:dyDescent="0.25">
      <c r="A240" s="2747"/>
      <c r="B240" s="2747"/>
      <c r="C240" s="2747"/>
      <c r="D240" s="2747"/>
      <c r="E240" s="2747"/>
      <c r="F240" s="2747"/>
      <c r="G240" s="2747"/>
      <c r="H240" s="2747"/>
      <c r="I240" s="2747"/>
      <c r="J240" s="2747"/>
      <c r="K240" s="2747"/>
      <c r="L240" s="2747"/>
      <c r="M240" s="2747"/>
      <c r="N240" s="2747"/>
      <c r="O240" s="2747"/>
      <c r="P240" s="2747"/>
      <c r="Q240" s="2747"/>
      <c r="R240" s="2747"/>
      <c r="S240" s="2747"/>
      <c r="T240" s="2747"/>
      <c r="U240" s="2747"/>
      <c r="V240" s="2747"/>
      <c r="W240" s="2747"/>
      <c r="X240" s="2747"/>
      <c r="Y240" s="2747"/>
      <c r="Z240" s="2747"/>
      <c r="AA240" s="2747"/>
      <c r="AB240" s="2747"/>
      <c r="AC240" s="2747"/>
      <c r="AD240" s="2746"/>
      <c r="AE240" s="2746"/>
      <c r="AF240" s="2747"/>
      <c r="AG240" s="2747"/>
      <c r="AH240" s="2747"/>
      <c r="AI240" s="2747"/>
      <c r="AJ240" s="2747"/>
      <c r="AK240" s="2747"/>
      <c r="AL240" s="2747"/>
      <c r="AM240" s="2747"/>
      <c r="AN240" s="2747"/>
      <c r="AO240" s="2747"/>
      <c r="AP240" s="2747"/>
      <c r="AQ240" s="2747"/>
      <c r="AR240" s="2747"/>
      <c r="AS240" s="2747"/>
      <c r="AT240" s="2747"/>
      <c r="AU240" s="2747"/>
      <c r="AV240" s="2747"/>
      <c r="AW240" s="2747"/>
      <c r="AX240" s="2747"/>
      <c r="AY240" s="2747"/>
      <c r="AZ240" s="2747"/>
      <c r="BA240" s="2747"/>
      <c r="BB240" s="2747"/>
      <c r="BC240" s="2747"/>
      <c r="BD240" s="2747"/>
      <c r="BE240" s="2747"/>
      <c r="BF240" s="2747"/>
      <c r="BG240" s="2747"/>
      <c r="BH240" s="2747"/>
      <c r="BI240" s="2747"/>
      <c r="BJ240" s="2747"/>
      <c r="BK240" s="2747"/>
      <c r="BL240" s="2747"/>
      <c r="BM240" s="2747"/>
      <c r="BN240" s="2747"/>
      <c r="BO240" s="2747"/>
      <c r="BP240" s="2747"/>
      <c r="BQ240" s="2747"/>
      <c r="BR240" s="2747"/>
      <c r="BS240" s="2747"/>
      <c r="BT240" s="2795"/>
      <c r="BU240" s="2749"/>
      <c r="BV240" s="2749"/>
      <c r="BW240" s="2747"/>
      <c r="CT240" s="2948"/>
      <c r="CU240" s="2948"/>
      <c r="CV240" s="2948"/>
      <c r="JV240" s="3901"/>
      <c r="JW240" s="3848"/>
      <c r="JX240" s="3848"/>
      <c r="JY240" s="3848"/>
      <c r="JZ240" s="3848"/>
    </row>
    <row r="241" spans="72:80" outlineLevel="1" x14ac:dyDescent="0.25">
      <c r="BT241" s="2745"/>
      <c r="BX241" s="2434" t="s">
        <v>2387</v>
      </c>
    </row>
    <row r="242" spans="72:80" outlineLevel="1" x14ac:dyDescent="0.25">
      <c r="BT242" s="2745"/>
      <c r="BX242" s="2434" t="s">
        <v>1083</v>
      </c>
      <c r="BY242" s="3106">
        <v>42636</v>
      </c>
      <c r="BZ242" s="2763"/>
      <c r="CA242" s="2763"/>
      <c r="CB242" s="2763"/>
    </row>
    <row r="243" spans="72:80" outlineLevel="1" x14ac:dyDescent="0.25">
      <c r="BT243" s="2745"/>
      <c r="BX243" s="1110" t="s">
        <v>2346</v>
      </c>
      <c r="BY243" s="2805"/>
      <c r="BZ243" s="2806"/>
      <c r="CA243" s="2763"/>
      <c r="CB243" s="2763"/>
    </row>
    <row r="244" spans="72:80" outlineLevel="1" x14ac:dyDescent="0.25">
      <c r="BT244" s="2745"/>
      <c r="BX244" s="2765" t="s">
        <v>506</v>
      </c>
      <c r="BY244" s="2925" t="str">
        <f>_xll.ThomsonONEAddinShim.SpreadsheetFormulas.TF($BX242,"TF.PR.PriceClose(sdate=#1)",,TEXT($BY$242,"YYYYMMDD"))</f>
        <v xml:space="preserve">$68.44 </v>
      </c>
      <c r="BZ244" s="2788"/>
      <c r="CA244" s="2763"/>
      <c r="CB244" s="2763"/>
    </row>
    <row r="245" spans="72:80" outlineLevel="1" x14ac:dyDescent="0.25">
      <c r="BT245" s="2745"/>
      <c r="BX245" s="2765" t="s">
        <v>2423</v>
      </c>
      <c r="BY245" s="2631">
        <f>MAR!CL58</f>
        <v>258</v>
      </c>
      <c r="BZ245" s="2788"/>
      <c r="CA245" s="2763"/>
      <c r="CB245" s="2763"/>
    </row>
    <row r="246" spans="72:80" outlineLevel="1" x14ac:dyDescent="0.25">
      <c r="BT246" s="2745"/>
      <c r="BX246" s="2765" t="s">
        <v>2344</v>
      </c>
      <c r="BY246" s="2766">
        <f>BY244*BY245</f>
        <v>17657.52</v>
      </c>
      <c r="BZ246" s="2788"/>
      <c r="CA246" s="2763"/>
      <c r="CB246" s="2763"/>
    </row>
    <row r="247" spans="72:80" outlineLevel="1" x14ac:dyDescent="0.25">
      <c r="BT247" s="2745"/>
      <c r="BX247" s="2765" t="s">
        <v>2424</v>
      </c>
      <c r="BY247" s="2631">
        <f>MAR!CK800</f>
        <v>4060</v>
      </c>
      <c r="BZ247" s="2788"/>
      <c r="CA247" s="2763"/>
      <c r="CB247" s="2763"/>
    </row>
    <row r="248" spans="72:80" ht="3.95" customHeight="1" outlineLevel="1" x14ac:dyDescent="0.25">
      <c r="BT248" s="2745"/>
      <c r="BX248" s="2765"/>
      <c r="BY248" s="2820" t="s">
        <v>2378</v>
      </c>
      <c r="BZ248" s="2788"/>
      <c r="CA248" s="2763"/>
      <c r="CB248" s="2763"/>
    </row>
    <row r="249" spans="72:80" outlineLevel="1" x14ac:dyDescent="0.25">
      <c r="BT249" s="2745"/>
      <c r="BX249" s="2768" t="s">
        <v>2345</v>
      </c>
      <c r="BY249" s="2769">
        <f>BY246+BY247</f>
        <v>21717.52</v>
      </c>
      <c r="BZ249" s="2788"/>
      <c r="CA249" s="2763"/>
      <c r="CB249" s="2763"/>
    </row>
    <row r="250" spans="72:80" outlineLevel="1" x14ac:dyDescent="0.25">
      <c r="BT250" s="2745"/>
      <c r="BX250" s="2783" t="s">
        <v>2354</v>
      </c>
      <c r="BY250" s="2800">
        <f>$BY$249/BZ250</f>
        <v>10.875072608913371</v>
      </c>
      <c r="BZ250" s="2767">
        <f>(MAR!CO98-MAR!CO95)</f>
        <v>1997</v>
      </c>
    </row>
    <row r="251" spans="72:80" outlineLevel="1" x14ac:dyDescent="0.25">
      <c r="BT251" s="2745"/>
      <c r="BX251" s="2783" t="s">
        <v>2355</v>
      </c>
      <c r="BY251" s="2800">
        <f>$BY$249/BZ251</f>
        <v>7.0787222946544981</v>
      </c>
      <c r="BZ251" s="2715">
        <f>(MAR!CT98-MAR!CT95)</f>
        <v>3068</v>
      </c>
      <c r="CA251" s="2763"/>
      <c r="CB251" s="2763"/>
    </row>
    <row r="252" spans="72:80" outlineLevel="1" x14ac:dyDescent="0.25">
      <c r="BT252" s="2745"/>
      <c r="BX252" s="2783" t="s">
        <v>2361</v>
      </c>
      <c r="BY252" s="2800">
        <f ca="1">$BY$249/BZ252</f>
        <v>6.6853583439835722</v>
      </c>
      <c r="BZ252" s="2715">
        <f ca="1">(MAR!CY98-MAR!CY95)</f>
        <v>3248.5199569809874</v>
      </c>
      <c r="CA252" s="2763"/>
      <c r="CB252" s="2763"/>
    </row>
    <row r="253" spans="72:80" outlineLevel="1" x14ac:dyDescent="0.25">
      <c r="BT253" s="2745"/>
      <c r="BX253" s="2783"/>
      <c r="BY253" s="2800"/>
      <c r="BZ253" s="2788"/>
      <c r="CA253" s="2763"/>
      <c r="CB253" s="2763"/>
    </row>
    <row r="254" spans="72:80" outlineLevel="1" x14ac:dyDescent="0.25">
      <c r="BT254" s="2745"/>
      <c r="BX254" s="2783" t="s">
        <v>2362</v>
      </c>
      <c r="BY254" s="2329">
        <f>BZ254/$BY$244</f>
        <v>6.9217495868449191E-2</v>
      </c>
      <c r="BZ254" s="2779">
        <f>MAR!CO117/MAR!CO58</f>
        <v>4.7372454172366627</v>
      </c>
      <c r="CB254" s="2763"/>
    </row>
    <row r="255" spans="72:80" outlineLevel="1" x14ac:dyDescent="0.25">
      <c r="BT255" s="2745"/>
      <c r="BX255" s="2783" t="s">
        <v>2363</v>
      </c>
      <c r="BY255" s="2329">
        <f>BZ255/$BY$244</f>
        <v>8.9841560589023012E-2</v>
      </c>
      <c r="BZ255" s="2779">
        <f>MAR!CT117/MAR!CT58</f>
        <v>6.1487564067127352</v>
      </c>
      <c r="CA255" s="2763"/>
      <c r="CB255" s="2763"/>
    </row>
    <row r="256" spans="72:80" outlineLevel="1" x14ac:dyDescent="0.25">
      <c r="BT256" s="2745"/>
      <c r="BX256" s="2783" t="s">
        <v>2364</v>
      </c>
      <c r="BY256" s="2329">
        <f ca="1">BZ256/$BY$244</f>
        <v>8.0134759858821625E-2</v>
      </c>
      <c r="BZ256" s="2779">
        <f ca="1">MAR!CY117/MAR!CY58</f>
        <v>5.4844229647377523</v>
      </c>
      <c r="CA256" s="2763"/>
      <c r="CB256" s="2763"/>
    </row>
    <row r="257" spans="72:80" outlineLevel="1" x14ac:dyDescent="0.25">
      <c r="BT257" s="2745"/>
      <c r="BX257" s="2765"/>
      <c r="BY257" s="2631"/>
      <c r="BZ257" s="2788"/>
      <c r="CA257" s="2763"/>
      <c r="CB257" s="2763"/>
    </row>
    <row r="258" spans="72:80" outlineLevel="1" x14ac:dyDescent="0.25">
      <c r="BT258" s="2745"/>
      <c r="BX258" s="2783" t="s">
        <v>2365</v>
      </c>
      <c r="BY258" s="2800">
        <f>$BY$244/BZ258</f>
        <v>20.630779381443297</v>
      </c>
      <c r="BZ258" s="2779">
        <f>MAR!CO60</f>
        <v>3.3173734610123122</v>
      </c>
      <c r="CB258" s="2763"/>
    </row>
    <row r="259" spans="72:80" outlineLevel="1" x14ac:dyDescent="0.25">
      <c r="BT259" s="2745"/>
      <c r="BX259" s="2783" t="s">
        <v>2366</v>
      </c>
      <c r="BY259" s="2800">
        <f>$BY$244/BZ259</f>
        <v>15.709151057401812</v>
      </c>
      <c r="BZ259" s="2816">
        <f>MAR!CT60</f>
        <v>4.3566962816716028</v>
      </c>
      <c r="CA259" s="2763"/>
      <c r="CB259" s="2763"/>
    </row>
    <row r="260" spans="72:80" outlineLevel="1" x14ac:dyDescent="0.25">
      <c r="BT260" s="2745"/>
      <c r="BX260" s="2783" t="s">
        <v>2367</v>
      </c>
      <c r="BY260" s="2800">
        <f ca="1">$BY$244/BZ260</f>
        <v>12.869401595632059</v>
      </c>
      <c r="BZ260" s="2816">
        <f ca="1">MAR!CY60</f>
        <v>5.3180405857587729</v>
      </c>
      <c r="CA260" s="2763"/>
      <c r="CB260" s="2763"/>
    </row>
    <row r="261" spans="72:80" outlineLevel="1" x14ac:dyDescent="0.25">
      <c r="BT261" s="2745"/>
      <c r="BX261" s="2765"/>
      <c r="BY261" s="2631"/>
      <c r="BZ261" s="2788"/>
      <c r="CA261" s="2763"/>
      <c r="CB261" s="2763"/>
    </row>
    <row r="262" spans="72:80" outlineLevel="1" x14ac:dyDescent="0.25">
      <c r="BT262" s="2745"/>
      <c r="BX262" s="2768" t="s">
        <v>2347</v>
      </c>
      <c r="BY262" s="2631"/>
      <c r="BZ262" s="2788"/>
      <c r="CA262" s="2763"/>
      <c r="CB262" s="2763"/>
    </row>
    <row r="263" spans="72:80" outlineLevel="1" x14ac:dyDescent="0.25">
      <c r="BT263" s="2745"/>
      <c r="BX263" s="2765" t="s">
        <v>2430</v>
      </c>
      <c r="BY263" s="2791" t="str">
        <f>_xll.ThomsonONEAddinShim.SpreadsheetFormulas.TF($BX241,"TF.PR.PriceClose(sdate=#1)",,TEXT($BY$242,"YYYYMMDD"))</f>
        <v xml:space="preserve">$77.05 </v>
      </c>
      <c r="BZ263" s="2788"/>
      <c r="CA263" s="2763"/>
      <c r="CB263" s="2763"/>
    </row>
    <row r="264" spans="72:80" outlineLevel="1" x14ac:dyDescent="0.25">
      <c r="BT264" s="2745"/>
      <c r="BX264" s="2765" t="s">
        <v>2429</v>
      </c>
      <c r="BY264" s="2902">
        <v>168</v>
      </c>
      <c r="BZ264" s="2788"/>
      <c r="CA264" s="2763"/>
      <c r="CB264" s="2763"/>
    </row>
    <row r="265" spans="72:80" outlineLevel="1" x14ac:dyDescent="0.25">
      <c r="BT265" s="2745"/>
      <c r="BX265" s="2765" t="s">
        <v>2344</v>
      </c>
      <c r="BY265" s="2766">
        <f>BY263*BY264</f>
        <v>12944.4</v>
      </c>
      <c r="BZ265" s="2788"/>
      <c r="CA265" s="2763"/>
      <c r="CB265" s="2763"/>
    </row>
    <row r="266" spans="72:80" outlineLevel="1" x14ac:dyDescent="0.25">
      <c r="BT266" s="2745"/>
      <c r="BX266" s="2765" t="s">
        <v>2431</v>
      </c>
      <c r="BY266" s="3184">
        <v>1003</v>
      </c>
      <c r="BZ266" s="2788"/>
      <c r="CA266" s="2763"/>
      <c r="CB266" s="2763"/>
    </row>
    <row r="267" spans="72:80" outlineLevel="1" x14ac:dyDescent="0.25">
      <c r="BT267" s="2745"/>
      <c r="BX267" s="2768" t="s">
        <v>2345</v>
      </c>
      <c r="BY267" s="2769">
        <f>BY265+BY266</f>
        <v>13947.4</v>
      </c>
      <c r="BZ267" s="2788"/>
      <c r="CA267" s="2763"/>
      <c r="CB267" s="2763"/>
    </row>
    <row r="268" spans="72:80" outlineLevel="1" x14ac:dyDescent="0.25">
      <c r="BT268" s="2745"/>
      <c r="BX268" s="2801" t="s">
        <v>2375</v>
      </c>
      <c r="BY268" s="2802">
        <f>$BY$267/BZ268</f>
        <v>13.152154531369947</v>
      </c>
      <c r="BZ268" s="2903">
        <v>1060.4650338264555</v>
      </c>
    </row>
    <row r="269" spans="72:80" outlineLevel="1" x14ac:dyDescent="0.25">
      <c r="BT269" s="2745"/>
      <c r="BX269" s="2803" t="s">
        <v>2376</v>
      </c>
      <c r="BY269" s="2804">
        <f>$BY$267/BZ269</f>
        <v>12.884399938738815</v>
      </c>
      <c r="BZ269" s="2904">
        <v>1082.502876836749</v>
      </c>
    </row>
    <row r="270" spans="72:80" outlineLevel="1" x14ac:dyDescent="0.25">
      <c r="BT270" s="2745"/>
      <c r="BX270" s="199"/>
      <c r="BY270" s="2762"/>
      <c r="BZ270" s="2763"/>
      <c r="CA270" s="2763"/>
      <c r="CB270" s="2763"/>
    </row>
    <row r="271" spans="72:80" outlineLevel="1" x14ac:dyDescent="0.25">
      <c r="BT271" s="2745"/>
      <c r="BX271" s="2780" t="s">
        <v>2348</v>
      </c>
      <c r="BY271" s="2781"/>
      <c r="BZ271" s="2790"/>
      <c r="CA271" s="2790"/>
      <c r="CB271" s="2781"/>
    </row>
    <row r="272" spans="72:80" outlineLevel="1" x14ac:dyDescent="0.25">
      <c r="BT272" s="2745"/>
      <c r="BX272" s="2771" t="s">
        <v>2402</v>
      </c>
      <c r="BY272" s="2926" t="str">
        <f>+BY244</f>
        <v xml:space="preserve">$68.44 </v>
      </c>
      <c r="BZ272" s="2791"/>
      <c r="CA272" s="2791"/>
      <c r="CB272" s="2822"/>
    </row>
    <row r="273" spans="1:286" s="2631" customFormat="1" outlineLevel="1" x14ac:dyDescent="0.25">
      <c r="A273" s="2481"/>
      <c r="B273" s="2481"/>
      <c r="C273" s="2481"/>
      <c r="D273" s="2481"/>
      <c r="E273" s="2481"/>
      <c r="F273" s="2481"/>
      <c r="G273" s="2481"/>
      <c r="H273" s="2481"/>
      <c r="I273" s="2481"/>
      <c r="J273" s="2481"/>
      <c r="K273" s="2481"/>
      <c r="L273" s="2481"/>
      <c r="M273" s="2481"/>
      <c r="N273" s="2481"/>
      <c r="O273" s="2481"/>
      <c r="P273" s="2481"/>
      <c r="Q273" s="2481"/>
      <c r="R273" s="2481"/>
      <c r="S273" s="2481"/>
      <c r="T273" s="2481"/>
      <c r="U273" s="2481"/>
      <c r="V273" s="2481"/>
      <c r="W273" s="2481"/>
      <c r="X273" s="2481"/>
      <c r="Y273" s="2481"/>
      <c r="Z273" s="2481"/>
      <c r="AA273" s="2481"/>
      <c r="AB273" s="2481"/>
      <c r="AC273" s="2481"/>
      <c r="AD273" s="2481"/>
      <c r="AE273" s="2481"/>
      <c r="AF273" s="2481"/>
      <c r="AG273" s="2481"/>
      <c r="AH273" s="2481"/>
      <c r="AI273" s="2481"/>
      <c r="AJ273" s="2481"/>
      <c r="AK273" s="2481"/>
      <c r="AL273" s="2481"/>
      <c r="AM273" s="2481"/>
      <c r="AN273" s="2481"/>
      <c r="AO273" s="2481"/>
      <c r="AP273" s="2481"/>
      <c r="AQ273" s="2481"/>
      <c r="AR273" s="2481"/>
      <c r="AS273" s="2481"/>
      <c r="AT273" s="2481"/>
      <c r="AU273" s="2481"/>
      <c r="AV273" s="2481"/>
      <c r="AW273" s="2481"/>
      <c r="AX273" s="2481"/>
      <c r="AY273" s="2481"/>
      <c r="AZ273" s="2481"/>
      <c r="BA273" s="2481"/>
      <c r="BB273" s="2481"/>
      <c r="BC273" s="2481"/>
      <c r="BD273" s="2481"/>
      <c r="BE273" s="2481"/>
      <c r="BF273" s="2481"/>
      <c r="BG273" s="2481"/>
      <c r="BH273" s="2481"/>
      <c r="BI273" s="2481"/>
      <c r="BJ273" s="2481"/>
      <c r="BK273" s="2481"/>
      <c r="BL273" s="2481"/>
      <c r="BM273" s="2481"/>
      <c r="BN273" s="2481"/>
      <c r="BO273" s="2481"/>
      <c r="BP273" s="2481"/>
      <c r="BQ273" s="2481"/>
      <c r="BR273" s="2481"/>
      <c r="BS273" s="2481"/>
      <c r="BT273" s="2745"/>
      <c r="BU273" s="2481"/>
      <c r="BV273" s="2481"/>
      <c r="BW273" s="2481"/>
      <c r="BX273" s="2771"/>
      <c r="BY273" s="2822"/>
      <c r="BZ273" s="2791"/>
      <c r="CA273" s="2791"/>
      <c r="CB273" s="2822"/>
      <c r="CT273" s="2907"/>
      <c r="CU273" s="2907"/>
      <c r="CV273" s="2907"/>
      <c r="JV273" s="3877"/>
      <c r="JW273" s="3852"/>
      <c r="JX273" s="3852"/>
      <c r="JY273" s="3852"/>
      <c r="JZ273" s="3852"/>
    </row>
    <row r="274" spans="1:286" outlineLevel="1" x14ac:dyDescent="0.25">
      <c r="BT274" s="2745"/>
      <c r="BX274" s="2765" t="s">
        <v>2356</v>
      </c>
      <c r="BY274" s="2779">
        <f>BY272*0.8</f>
        <v>54.752000000000002</v>
      </c>
      <c r="BZ274" s="2787"/>
      <c r="CA274" s="2787"/>
      <c r="CB274" s="2788"/>
    </row>
    <row r="275" spans="1:286" outlineLevel="1" x14ac:dyDescent="0.25">
      <c r="BT275" s="2745"/>
      <c r="BX275" s="2765" t="s">
        <v>2427</v>
      </c>
      <c r="BY275" s="2715">
        <f>BY264</f>
        <v>168</v>
      </c>
      <c r="BZ275" s="2787"/>
      <c r="CA275" s="2787"/>
      <c r="CB275" s="2788"/>
    </row>
    <row r="276" spans="1:286" ht="3.95" customHeight="1" outlineLevel="1" x14ac:dyDescent="0.25">
      <c r="BT276" s="2745"/>
      <c r="BX276" s="2765"/>
      <c r="BY276" s="2823" t="s">
        <v>2378</v>
      </c>
      <c r="BZ276" s="2787"/>
      <c r="CA276" s="2787"/>
      <c r="CB276" s="2788"/>
    </row>
    <row r="277" spans="1:286" outlineLevel="1" x14ac:dyDescent="0.25">
      <c r="BT277" s="2745"/>
      <c r="BX277" s="2768" t="s">
        <v>2353</v>
      </c>
      <c r="BY277" s="2770">
        <f>BY274*BY275</f>
        <v>9198.3360000000011</v>
      </c>
      <c r="BZ277" s="2787"/>
      <c r="CA277" s="2787"/>
      <c r="CB277" s="2788"/>
    </row>
    <row r="278" spans="1:286" outlineLevel="1" x14ac:dyDescent="0.25">
      <c r="BT278" s="2745"/>
      <c r="BX278" s="2783" t="s">
        <v>2497</v>
      </c>
      <c r="BY278" s="2715">
        <f>BY266</f>
        <v>1003</v>
      </c>
      <c r="BZ278" s="2787"/>
      <c r="CA278" s="2787"/>
      <c r="CB278" s="2788"/>
    </row>
    <row r="279" spans="1:286" outlineLevel="1" x14ac:dyDescent="0.25">
      <c r="BT279" s="2745"/>
      <c r="BX279" s="2783" t="s">
        <v>2357</v>
      </c>
      <c r="BY279" s="2905">
        <f>21*BY275</f>
        <v>3528</v>
      </c>
      <c r="BZ279" s="2906"/>
      <c r="CA279" s="2787"/>
      <c r="CB279" s="2788"/>
    </row>
    <row r="280" spans="1:286" s="2631" customFormat="1" ht="3.95" customHeight="1" outlineLevel="1" x14ac:dyDescent="0.25">
      <c r="A280" s="2481"/>
      <c r="B280" s="2481"/>
      <c r="C280" s="2481"/>
      <c r="D280" s="2481"/>
      <c r="E280" s="2481"/>
      <c r="F280" s="2481"/>
      <c r="G280" s="2481"/>
      <c r="H280" s="2481"/>
      <c r="I280" s="2481"/>
      <c r="J280" s="2481"/>
      <c r="K280" s="2481"/>
      <c r="L280" s="2481"/>
      <c r="M280" s="2481"/>
      <c r="N280" s="2481"/>
      <c r="O280" s="2481"/>
      <c r="P280" s="2481"/>
      <c r="Q280" s="2481"/>
      <c r="R280" s="2481"/>
      <c r="S280" s="2481"/>
      <c r="T280" s="2481"/>
      <c r="U280" s="2481"/>
      <c r="V280" s="2481"/>
      <c r="W280" s="2481"/>
      <c r="X280" s="2481"/>
      <c r="Y280" s="2481"/>
      <c r="Z280" s="2481"/>
      <c r="AA280" s="2481"/>
      <c r="AB280" s="2481"/>
      <c r="AC280" s="2481"/>
      <c r="AD280" s="2481"/>
      <c r="AE280" s="2481"/>
      <c r="AF280" s="2481"/>
      <c r="AG280" s="2481"/>
      <c r="AH280" s="2481"/>
      <c r="AI280" s="2481"/>
      <c r="AJ280" s="2481"/>
      <c r="AK280" s="2481"/>
      <c r="AL280" s="2481"/>
      <c r="AM280" s="2481"/>
      <c r="AN280" s="2481"/>
      <c r="AO280" s="2481"/>
      <c r="AP280" s="2481"/>
      <c r="AQ280" s="2481"/>
      <c r="AR280" s="2481"/>
      <c r="AS280" s="2481"/>
      <c r="AT280" s="2481"/>
      <c r="AU280" s="2481"/>
      <c r="AV280" s="2481"/>
      <c r="AW280" s="2481"/>
      <c r="AX280" s="2481"/>
      <c r="AY280" s="2481"/>
      <c r="AZ280" s="2481"/>
      <c r="BA280" s="2481"/>
      <c r="BB280" s="2481"/>
      <c r="BC280" s="2481"/>
      <c r="BD280" s="2481"/>
      <c r="BE280" s="2481"/>
      <c r="BF280" s="2481"/>
      <c r="BG280" s="2481"/>
      <c r="BH280" s="2481"/>
      <c r="BI280" s="2481"/>
      <c r="BJ280" s="2481"/>
      <c r="BK280" s="2481"/>
      <c r="BL280" s="2481"/>
      <c r="BM280" s="2481"/>
      <c r="BN280" s="2481"/>
      <c r="BO280" s="2481"/>
      <c r="BP280" s="2481"/>
      <c r="BQ280" s="2481"/>
      <c r="BR280" s="2481"/>
      <c r="BS280" s="2481"/>
      <c r="BT280" s="2745"/>
      <c r="BU280" s="2481"/>
      <c r="BV280" s="2481"/>
      <c r="BW280" s="2481"/>
      <c r="BX280" s="2765"/>
      <c r="BY280" s="2823" t="s">
        <v>2378</v>
      </c>
      <c r="BZ280" s="2787"/>
      <c r="CA280" s="2787"/>
      <c r="CB280" s="2788"/>
      <c r="CT280" s="2907"/>
      <c r="CU280" s="2907"/>
      <c r="CV280" s="2907"/>
      <c r="JV280" s="3877"/>
      <c r="JW280" s="3852"/>
      <c r="JX280" s="3852"/>
      <c r="JY280" s="3852"/>
      <c r="JZ280" s="3852"/>
    </row>
    <row r="281" spans="1:286" outlineLevel="1" x14ac:dyDescent="0.25">
      <c r="BT281" s="2745"/>
      <c r="BX281" s="2768" t="s">
        <v>2352</v>
      </c>
      <c r="BY281" s="2770">
        <f>BY277+BY278+BY279</f>
        <v>13729.336000000001</v>
      </c>
      <c r="BZ281" s="2769"/>
      <c r="CA281" s="2769"/>
      <c r="CB281" s="2770"/>
    </row>
    <row r="282" spans="1:286" outlineLevel="1" x14ac:dyDescent="0.25">
      <c r="BT282" s="2745"/>
      <c r="BX282" s="2776" t="s">
        <v>2350</v>
      </c>
      <c r="BY282" s="2905">
        <v>125</v>
      </c>
      <c r="BZ282" s="2773"/>
      <c r="CA282" s="2773"/>
      <c r="CB282" s="2774"/>
    </row>
    <row r="283" spans="1:286" outlineLevel="1" x14ac:dyDescent="0.25">
      <c r="BT283" s="2745"/>
      <c r="BX283" s="2776" t="s">
        <v>2351</v>
      </c>
      <c r="BY283" s="2905">
        <v>140</v>
      </c>
      <c r="BZ283" s="2773"/>
      <c r="CA283" s="2773"/>
      <c r="CB283" s="2774"/>
    </row>
    <row r="284" spans="1:286" s="2631" customFormat="1" ht="3.95" customHeight="1" outlineLevel="1" x14ac:dyDescent="0.25">
      <c r="A284" s="2481"/>
      <c r="B284" s="2481"/>
      <c r="C284" s="2481"/>
      <c r="D284" s="2481"/>
      <c r="E284" s="2481"/>
      <c r="F284" s="2481"/>
      <c r="G284" s="2481"/>
      <c r="H284" s="2481"/>
      <c r="I284" s="2481"/>
      <c r="J284" s="2481"/>
      <c r="K284" s="2481"/>
      <c r="L284" s="2481"/>
      <c r="M284" s="2481"/>
      <c r="N284" s="2481"/>
      <c r="O284" s="2481"/>
      <c r="P284" s="2481"/>
      <c r="Q284" s="2481"/>
      <c r="R284" s="2481"/>
      <c r="S284" s="2481"/>
      <c r="T284" s="2481"/>
      <c r="U284" s="2481"/>
      <c r="V284" s="2481"/>
      <c r="W284" s="2481"/>
      <c r="X284" s="2481"/>
      <c r="Y284" s="2481"/>
      <c r="Z284" s="2481"/>
      <c r="AA284" s="2481"/>
      <c r="AB284" s="2481"/>
      <c r="AC284" s="2481"/>
      <c r="AD284" s="2481"/>
      <c r="AE284" s="2481"/>
      <c r="AF284" s="2481"/>
      <c r="AG284" s="2481"/>
      <c r="AH284" s="2481"/>
      <c r="AI284" s="2481"/>
      <c r="AJ284" s="2481"/>
      <c r="AK284" s="2481"/>
      <c r="AL284" s="2481"/>
      <c r="AM284" s="2481"/>
      <c r="AN284" s="2481"/>
      <c r="AO284" s="2481"/>
      <c r="AP284" s="2481"/>
      <c r="AQ284" s="2481"/>
      <c r="AR284" s="2481"/>
      <c r="AS284" s="2481"/>
      <c r="AT284" s="2481"/>
      <c r="AU284" s="2481"/>
      <c r="AV284" s="2481"/>
      <c r="AW284" s="2481"/>
      <c r="AX284" s="2481"/>
      <c r="AY284" s="2481"/>
      <c r="AZ284" s="2481"/>
      <c r="BA284" s="2481"/>
      <c r="BB284" s="2481"/>
      <c r="BC284" s="2481"/>
      <c r="BD284" s="2481"/>
      <c r="BE284" s="2481"/>
      <c r="BF284" s="2481"/>
      <c r="BG284" s="2481"/>
      <c r="BH284" s="2481"/>
      <c r="BI284" s="2481"/>
      <c r="BJ284" s="2481"/>
      <c r="BK284" s="2481"/>
      <c r="BL284" s="2481"/>
      <c r="BM284" s="2481"/>
      <c r="BN284" s="2481"/>
      <c r="BO284" s="2481"/>
      <c r="BP284" s="2481"/>
      <c r="BQ284" s="2481"/>
      <c r="BR284" s="2481"/>
      <c r="BS284" s="2481"/>
      <c r="BT284" s="2745"/>
      <c r="BU284" s="2481"/>
      <c r="BV284" s="2481"/>
      <c r="BW284" s="2481"/>
      <c r="BX284" s="2765"/>
      <c r="BY284" s="2823" t="s">
        <v>2378</v>
      </c>
      <c r="BZ284" s="2787"/>
      <c r="CA284" s="2787"/>
      <c r="CB284" s="2788"/>
      <c r="CT284" s="2907"/>
      <c r="CU284" s="2907"/>
      <c r="CV284" s="2907"/>
      <c r="JV284" s="3877"/>
      <c r="JW284" s="3852"/>
      <c r="JX284" s="3852"/>
      <c r="JY284" s="3852"/>
      <c r="JZ284" s="3852"/>
    </row>
    <row r="285" spans="1:286" s="2631" customFormat="1" outlineLevel="1" x14ac:dyDescent="0.25">
      <c r="A285" s="2481"/>
      <c r="B285" s="2481"/>
      <c r="C285" s="2481"/>
      <c r="D285" s="2481"/>
      <c r="E285" s="2481"/>
      <c r="F285" s="2481"/>
      <c r="G285" s="2481"/>
      <c r="H285" s="2481"/>
      <c r="I285" s="2481"/>
      <c r="J285" s="2481"/>
      <c r="K285" s="2481"/>
      <c r="L285" s="2481"/>
      <c r="M285" s="2481"/>
      <c r="N285" s="2481"/>
      <c r="O285" s="2481"/>
      <c r="P285" s="2481"/>
      <c r="Q285" s="2481"/>
      <c r="R285" s="2481"/>
      <c r="S285" s="2481"/>
      <c r="T285" s="2481"/>
      <c r="U285" s="2481"/>
      <c r="V285" s="2481"/>
      <c r="W285" s="2481"/>
      <c r="X285" s="2481"/>
      <c r="Y285" s="2481"/>
      <c r="Z285" s="2481"/>
      <c r="AA285" s="2481"/>
      <c r="AB285" s="2481"/>
      <c r="AC285" s="2481"/>
      <c r="AD285" s="2481"/>
      <c r="AE285" s="2481"/>
      <c r="AF285" s="2481"/>
      <c r="AG285" s="2481"/>
      <c r="AH285" s="2481"/>
      <c r="AI285" s="2481"/>
      <c r="AJ285" s="2481"/>
      <c r="AK285" s="2481"/>
      <c r="AL285" s="2481"/>
      <c r="AM285" s="2481"/>
      <c r="AN285" s="2481"/>
      <c r="AO285" s="2481"/>
      <c r="AP285" s="2481"/>
      <c r="AQ285" s="2481"/>
      <c r="AR285" s="2481"/>
      <c r="AS285" s="2481"/>
      <c r="AT285" s="2481"/>
      <c r="AU285" s="2481"/>
      <c r="AV285" s="2481"/>
      <c r="AW285" s="2481"/>
      <c r="AX285" s="2481"/>
      <c r="AY285" s="2481"/>
      <c r="AZ285" s="2481"/>
      <c r="BA285" s="2481"/>
      <c r="BB285" s="2481"/>
      <c r="BC285" s="2481"/>
      <c r="BD285" s="2481"/>
      <c r="BE285" s="2481"/>
      <c r="BF285" s="2481"/>
      <c r="BG285" s="2481"/>
      <c r="BH285" s="2481"/>
      <c r="BI285" s="2481"/>
      <c r="BJ285" s="2481"/>
      <c r="BK285" s="2481"/>
      <c r="BL285" s="2481"/>
      <c r="BM285" s="2481"/>
      <c r="BN285" s="2481"/>
      <c r="BO285" s="2481"/>
      <c r="BP285" s="2481"/>
      <c r="BQ285" s="2481"/>
      <c r="BR285" s="2481"/>
      <c r="BS285" s="2481"/>
      <c r="BT285" s="2745"/>
      <c r="BU285" s="2481"/>
      <c r="BV285" s="2481"/>
      <c r="BW285" s="2481"/>
      <c r="BX285" s="2772" t="s">
        <v>2349</v>
      </c>
      <c r="BY285" s="2770">
        <f>SUM(BY281:BY283)</f>
        <v>13994.336000000001</v>
      </c>
      <c r="BZ285" s="2769"/>
      <c r="CA285" s="2769"/>
      <c r="CB285" s="2770"/>
      <c r="CT285" s="2907"/>
      <c r="CU285" s="2907"/>
      <c r="CV285" s="2907"/>
      <c r="JV285" s="3877"/>
      <c r="JW285" s="3852"/>
      <c r="JX285" s="3852"/>
      <c r="JY285" s="3852"/>
      <c r="JZ285" s="3852"/>
    </row>
    <row r="286" spans="1:286" outlineLevel="1" x14ac:dyDescent="0.25">
      <c r="BT286" s="2745"/>
      <c r="BX286" s="2765"/>
      <c r="BY286" s="2715"/>
      <c r="BZ286" s="2631"/>
      <c r="CA286" s="2631"/>
      <c r="CB286" s="2715"/>
    </row>
    <row r="287" spans="1:286" outlineLevel="1" x14ac:dyDescent="0.25">
      <c r="BT287" s="2745"/>
      <c r="BX287" s="2765">
        <f>+'New Exhibits'!BY285-'New Exhibits'!BY278-'New Exhibits'!BY277-2000</f>
        <v>1793</v>
      </c>
      <c r="BY287" s="2911">
        <f>+BY274+BY279/BY275</f>
        <v>75.75200000000001</v>
      </c>
      <c r="BZ287" s="2631"/>
      <c r="CA287" s="2631"/>
      <c r="CB287" s="2715"/>
    </row>
    <row r="288" spans="1:286" outlineLevel="1" x14ac:dyDescent="0.25">
      <c r="BT288" s="2745"/>
      <c r="BX288" s="2765"/>
      <c r="BY288" s="2911"/>
      <c r="BZ288" s="2631"/>
      <c r="CA288" s="2631"/>
      <c r="CB288" s="2715"/>
    </row>
    <row r="289" spans="72:83" outlineLevel="1" x14ac:dyDescent="0.25">
      <c r="BT289" s="2745"/>
      <c r="BX289" s="2771"/>
      <c r="BY289" s="1811"/>
      <c r="BZ289" s="2786">
        <v>2016</v>
      </c>
      <c r="CA289" s="2786">
        <v>2017</v>
      </c>
      <c r="CB289" s="2782">
        <v>2018</v>
      </c>
    </row>
    <row r="290" spans="72:83" outlineLevel="1" x14ac:dyDescent="0.25">
      <c r="BT290" s="2745"/>
      <c r="BX290" s="2771" t="s">
        <v>2359</v>
      </c>
      <c r="BY290" s="3336">
        <v>136.1</v>
      </c>
      <c r="BZ290" s="2797">
        <f>BY290</f>
        <v>136.1</v>
      </c>
      <c r="CA290" s="2797">
        <f>BZ290</f>
        <v>136.1</v>
      </c>
      <c r="CB290" s="2798">
        <f>CA290</f>
        <v>136.1</v>
      </c>
    </row>
    <row r="291" spans="72:83" outlineLevel="1" x14ac:dyDescent="0.25">
      <c r="BT291" s="2745"/>
      <c r="BX291" s="2771" t="s">
        <v>2360</v>
      </c>
      <c r="BY291" s="2715">
        <f>BY245</f>
        <v>258</v>
      </c>
      <c r="BZ291" s="2631"/>
      <c r="CA291" s="2631"/>
      <c r="CB291" s="2715"/>
    </row>
    <row r="292" spans="72:83" outlineLevel="1" x14ac:dyDescent="0.25">
      <c r="BT292" s="2745"/>
      <c r="BX292" s="2784" t="s">
        <v>2343</v>
      </c>
      <c r="BY292" s="2785">
        <f>SUM(BY290:BY291)</f>
        <v>394.1</v>
      </c>
      <c r="BZ292" s="609"/>
      <c r="CA292" s="609"/>
      <c r="CB292" s="2785"/>
    </row>
    <row r="293" spans="72:83" outlineLevel="1" x14ac:dyDescent="0.25">
      <c r="BT293" s="2745"/>
      <c r="BX293" s="2755"/>
      <c r="BZ293" s="2763"/>
      <c r="CA293" s="2763"/>
      <c r="CB293" s="2763"/>
    </row>
    <row r="294" spans="72:83" outlineLevel="1" x14ac:dyDescent="0.25">
      <c r="BT294" s="2745"/>
      <c r="BX294" s="2755" t="s">
        <v>2358</v>
      </c>
      <c r="BY294" s="2791" t="str">
        <f>BY244</f>
        <v xml:space="preserve">$68.44 </v>
      </c>
      <c r="BZ294" s="2778"/>
      <c r="CA294" s="2778"/>
      <c r="CB294" s="2778"/>
    </row>
    <row r="295" spans="72:83" outlineLevel="1" x14ac:dyDescent="0.25">
      <c r="BT295" s="2745"/>
      <c r="BX295" s="2755" t="s">
        <v>357</v>
      </c>
      <c r="BY295" s="2791"/>
      <c r="BZ295" s="2793"/>
      <c r="CA295" s="2792"/>
      <c r="CB295" s="2792"/>
    </row>
    <row r="296" spans="72:83" outlineLevel="1" x14ac:dyDescent="0.25">
      <c r="BT296" s="2745"/>
      <c r="BX296" s="2755"/>
      <c r="BY296" s="2791"/>
      <c r="BZ296" s="2793"/>
      <c r="CA296" s="2792"/>
      <c r="CB296" s="2792"/>
    </row>
    <row r="297" spans="72:83" x14ac:dyDescent="0.25">
      <c r="CD297" s="1110" t="s">
        <v>2368</v>
      </c>
      <c r="CE297" s="2808" t="s">
        <v>1326</v>
      </c>
    </row>
    <row r="298" spans="72:83" x14ac:dyDescent="0.25">
      <c r="BX298" s="2942"/>
      <c r="CD298" s="2809" t="s">
        <v>2369</v>
      </c>
      <c r="CE298" s="2810">
        <v>388</v>
      </c>
    </row>
    <row r="299" spans="72:83" x14ac:dyDescent="0.25">
      <c r="CD299" s="2811" t="s">
        <v>2370</v>
      </c>
      <c r="CE299" s="2812">
        <v>0.67</v>
      </c>
    </row>
    <row r="300" spans="72:83" ht="3.95" customHeight="1" x14ac:dyDescent="0.25">
      <c r="CD300" s="2811"/>
      <c r="CE300" s="2821" t="s">
        <v>2379</v>
      </c>
    </row>
    <row r="301" spans="72:83" x14ac:dyDescent="0.25">
      <c r="CD301" s="2813" t="s">
        <v>2371</v>
      </c>
      <c r="CE301" s="1826">
        <f>CE298*CE299</f>
        <v>259.96000000000004</v>
      </c>
    </row>
    <row r="302" spans="72:83" x14ac:dyDescent="0.25">
      <c r="CD302" s="44"/>
      <c r="CE302" s="1826"/>
    </row>
    <row r="303" spans="72:83" x14ac:dyDescent="0.25">
      <c r="CD303" s="2811" t="s">
        <v>2377</v>
      </c>
      <c r="CE303" s="2775">
        <v>2340</v>
      </c>
    </row>
    <row r="304" spans="72:83" x14ac:dyDescent="0.25">
      <c r="CD304" s="2811" t="s">
        <v>2372</v>
      </c>
      <c r="CE304" s="2812">
        <v>0.03</v>
      </c>
    </row>
    <row r="305" spans="1:286" x14ac:dyDescent="0.25">
      <c r="CD305" s="2811" t="s">
        <v>2373</v>
      </c>
      <c r="CE305" s="2812">
        <v>0.8</v>
      </c>
    </row>
    <row r="306" spans="1:286" ht="3.95" customHeight="1" x14ac:dyDescent="0.25">
      <c r="CD306" s="2811"/>
      <c r="CE306" s="2821" t="s">
        <v>2379</v>
      </c>
    </row>
    <row r="307" spans="1:286" x14ac:dyDescent="0.25">
      <c r="CD307" s="2813" t="s">
        <v>2342</v>
      </c>
      <c r="CE307" s="1826">
        <f>CE303*CE304*CE305</f>
        <v>56.160000000000004</v>
      </c>
    </row>
    <row r="308" spans="1:286" x14ac:dyDescent="0.25">
      <c r="CD308" s="44"/>
      <c r="CE308" s="1826"/>
    </row>
    <row r="309" spans="1:286" ht="12.75" customHeight="1" x14ac:dyDescent="0.25">
      <c r="CD309" s="2814" t="s">
        <v>2374</v>
      </c>
      <c r="CE309" s="2815">
        <f>CE301+CE307</f>
        <v>316.12000000000006</v>
      </c>
    </row>
    <row r="310" spans="1:286" x14ac:dyDescent="0.25">
      <c r="CF310" s="2434" t="s">
        <v>2381</v>
      </c>
    </row>
    <row r="313" spans="1:286" s="1029" customFormat="1" x14ac:dyDescent="0.25">
      <c r="A313" s="2857"/>
      <c r="B313" s="2857"/>
      <c r="C313" s="2857"/>
      <c r="D313" s="2857"/>
      <c r="E313" s="2857"/>
      <c r="F313" s="2857"/>
      <c r="G313" s="2857"/>
      <c r="H313" s="2857"/>
      <c r="I313" s="2857"/>
      <c r="J313" s="2857"/>
      <c r="K313" s="2857"/>
      <c r="L313" s="2857"/>
      <c r="M313" s="2857"/>
      <c r="N313" s="2857"/>
      <c r="O313" s="2857"/>
      <c r="P313" s="2857"/>
      <c r="Q313" s="2857"/>
      <c r="R313" s="2857"/>
      <c r="S313" s="2857"/>
      <c r="T313" s="2857"/>
      <c r="U313" s="2857"/>
      <c r="V313" s="2857"/>
      <c r="W313" s="2857"/>
      <c r="X313" s="2857"/>
      <c r="Y313" s="2857"/>
      <c r="Z313" s="2857"/>
      <c r="AA313" s="2857"/>
      <c r="AB313" s="2857"/>
      <c r="AC313" s="2857"/>
      <c r="AD313" s="2858"/>
      <c r="AE313" s="2858"/>
      <c r="AF313" s="2857"/>
      <c r="AG313" s="2857"/>
      <c r="AH313" s="2857"/>
      <c r="AI313" s="2857"/>
      <c r="AJ313" s="2857"/>
      <c r="AK313" s="2857"/>
      <c r="AL313" s="2857"/>
      <c r="AM313" s="2857"/>
      <c r="AN313" s="2857"/>
      <c r="AO313" s="2857"/>
      <c r="AP313" s="2857"/>
      <c r="AQ313" s="2857"/>
      <c r="AR313" s="2857"/>
      <c r="AS313" s="2857"/>
      <c r="AT313" s="2857"/>
      <c r="AU313" s="2857"/>
      <c r="AV313" s="2857"/>
      <c r="AW313" s="2857"/>
      <c r="AX313" s="2857"/>
      <c r="AY313" s="2857"/>
      <c r="AZ313" s="2857"/>
      <c r="BA313" s="2857"/>
      <c r="BB313" s="2857"/>
      <c r="BC313" s="2857"/>
      <c r="BD313" s="2857"/>
      <c r="BE313" s="2857"/>
      <c r="BF313" s="2857"/>
      <c r="BG313" s="2857"/>
      <c r="BH313" s="2857"/>
      <c r="BI313" s="2857"/>
      <c r="BJ313" s="2857"/>
      <c r="BK313" s="2857"/>
      <c r="BL313" s="2857"/>
      <c r="BM313" s="2857"/>
      <c r="BN313" s="2857"/>
      <c r="BO313" s="2857"/>
      <c r="BP313" s="2857"/>
      <c r="BQ313" s="2857"/>
      <c r="BR313" s="2857"/>
      <c r="BS313" s="2857"/>
      <c r="BT313" s="2857"/>
      <c r="BU313" s="2857"/>
      <c r="BV313" s="2857"/>
      <c r="BW313" s="2857"/>
      <c r="CF313" s="1110" t="s">
        <v>2386</v>
      </c>
      <c r="CG313" s="2859" t="s">
        <v>1326</v>
      </c>
      <c r="CH313" s="2859" t="s">
        <v>721</v>
      </c>
      <c r="CI313" s="2859" t="s">
        <v>722</v>
      </c>
      <c r="CJ313" s="2859" t="s">
        <v>723</v>
      </c>
      <c r="CK313" s="2859" t="s">
        <v>724</v>
      </c>
      <c r="CL313" s="2860" t="s">
        <v>725</v>
      </c>
      <c r="CT313" s="2952"/>
      <c r="CU313" s="2952"/>
      <c r="CV313" s="2952"/>
      <c r="JV313" s="3905"/>
      <c r="JW313" s="3853"/>
      <c r="JX313" s="3853"/>
      <c r="JY313" s="3853"/>
      <c r="JZ313" s="3853"/>
    </row>
    <row r="314" spans="1:286" s="2627" customFormat="1" x14ac:dyDescent="0.25">
      <c r="A314" s="2476"/>
      <c r="B314" s="2476"/>
      <c r="C314" s="2476"/>
      <c r="D314" s="2476"/>
      <c r="E314" s="2476"/>
      <c r="F314" s="2476"/>
      <c r="G314" s="2476"/>
      <c r="H314" s="2476"/>
      <c r="I314" s="2476"/>
      <c r="J314" s="2476"/>
      <c r="K314" s="2476"/>
      <c r="L314" s="2476"/>
      <c r="M314" s="2476"/>
      <c r="N314" s="2476"/>
      <c r="O314" s="2476"/>
      <c r="P314" s="2476"/>
      <c r="Q314" s="2476"/>
      <c r="R314" s="2476"/>
      <c r="S314" s="2476"/>
      <c r="T314" s="2476"/>
      <c r="U314" s="2476"/>
      <c r="V314" s="2476"/>
      <c r="W314" s="2476"/>
      <c r="X314" s="2476"/>
      <c r="Y314" s="2476"/>
      <c r="Z314" s="2476"/>
      <c r="AA314" s="2476"/>
      <c r="AB314" s="2476"/>
      <c r="AC314" s="2476"/>
      <c r="AD314" s="2597"/>
      <c r="AE314" s="2597"/>
      <c r="AF314" s="2476"/>
      <c r="AG314" s="2476"/>
      <c r="AH314" s="2476"/>
      <c r="AI314" s="2476"/>
      <c r="AJ314" s="2476"/>
      <c r="AK314" s="2476"/>
      <c r="AL314" s="2476"/>
      <c r="AM314" s="2476"/>
      <c r="AN314" s="2476"/>
      <c r="AO314" s="2476"/>
      <c r="AP314" s="2476"/>
      <c r="AQ314" s="2476"/>
      <c r="AR314" s="2476"/>
      <c r="AS314" s="2476"/>
      <c r="AT314" s="2476"/>
      <c r="AU314" s="2476"/>
      <c r="AV314" s="2476"/>
      <c r="AW314" s="2476"/>
      <c r="AX314" s="2476"/>
      <c r="AY314" s="2476"/>
      <c r="AZ314" s="2476"/>
      <c r="BA314" s="2476"/>
      <c r="BB314" s="2476"/>
      <c r="BC314" s="2476"/>
      <c r="BD314" s="2476"/>
      <c r="BE314" s="2476"/>
      <c r="BF314" s="2476"/>
      <c r="BG314" s="2476"/>
      <c r="BH314" s="2476"/>
      <c r="BI314" s="2476"/>
      <c r="BJ314" s="2476"/>
      <c r="BK314" s="2476"/>
      <c r="BL314" s="2476"/>
      <c r="BM314" s="2476"/>
      <c r="BN314" s="2476"/>
      <c r="BO314" s="2476"/>
      <c r="BP314" s="2476"/>
      <c r="BQ314" s="2476"/>
      <c r="BR314" s="2476"/>
      <c r="BS314" s="2476"/>
      <c r="BT314" s="2476"/>
      <c r="BU314" s="2476"/>
      <c r="BV314" s="2476"/>
      <c r="BW314" s="2476"/>
      <c r="CF314" s="2856" t="s">
        <v>2387</v>
      </c>
      <c r="CG314" s="2845"/>
      <c r="CH314" s="2845"/>
      <c r="CI314" s="2845"/>
      <c r="CJ314" s="2845"/>
      <c r="CK314" s="2845"/>
      <c r="CL314" s="2846"/>
      <c r="CT314" s="2950"/>
      <c r="CU314" s="2950"/>
      <c r="CV314" s="2950"/>
      <c r="JV314" s="3903"/>
      <c r="JW314" s="3850"/>
      <c r="JX314" s="3850"/>
      <c r="JY314" s="3850"/>
      <c r="JZ314" s="3850"/>
    </row>
    <row r="315" spans="1:286" s="2757" customFormat="1" x14ac:dyDescent="0.25">
      <c r="A315" s="2212"/>
      <c r="B315" s="2212"/>
      <c r="C315" s="2212"/>
      <c r="D315" s="2212"/>
      <c r="E315" s="2212"/>
      <c r="F315" s="2212"/>
      <c r="G315" s="2212"/>
      <c r="H315" s="2212"/>
      <c r="I315" s="2212"/>
      <c r="J315" s="2212"/>
      <c r="K315" s="2212"/>
      <c r="L315" s="2212"/>
      <c r="M315" s="2212"/>
      <c r="N315" s="2212"/>
      <c r="O315" s="2212"/>
      <c r="P315" s="2212"/>
      <c r="Q315" s="2212"/>
      <c r="R315" s="2212"/>
      <c r="S315" s="2212"/>
      <c r="T315" s="2212"/>
      <c r="U315" s="2212"/>
      <c r="V315" s="2212"/>
      <c r="W315" s="2212"/>
      <c r="X315" s="2212"/>
      <c r="Y315" s="2212"/>
      <c r="Z315" s="2212"/>
      <c r="AA315" s="2212"/>
      <c r="AB315" s="2212"/>
      <c r="AC315" s="2212"/>
      <c r="AD315" s="2271"/>
      <c r="AE315" s="2271"/>
      <c r="AF315" s="2212"/>
      <c r="AG315" s="2212"/>
      <c r="AH315" s="2212"/>
      <c r="AI315" s="2212"/>
      <c r="AJ315" s="2212"/>
      <c r="AK315" s="2212"/>
      <c r="AL315" s="2212"/>
      <c r="AM315" s="2212"/>
      <c r="AN315" s="2212"/>
      <c r="AO315" s="2212"/>
      <c r="AP315" s="2212"/>
      <c r="AQ315" s="2212"/>
      <c r="AR315" s="2212"/>
      <c r="AS315" s="2212"/>
      <c r="AT315" s="2212"/>
      <c r="AU315" s="2212"/>
      <c r="AV315" s="2212"/>
      <c r="AW315" s="2212"/>
      <c r="AX315" s="2212"/>
      <c r="AY315" s="2212"/>
      <c r="AZ315" s="2212"/>
      <c r="BA315" s="2212"/>
      <c r="BB315" s="2212"/>
      <c r="BC315" s="2212"/>
      <c r="BD315" s="2212"/>
      <c r="BE315" s="2212"/>
      <c r="BF315" s="2212"/>
      <c r="BG315" s="2212"/>
      <c r="BH315" s="2212"/>
      <c r="BI315" s="2212"/>
      <c r="BJ315" s="2212"/>
      <c r="BK315" s="2212"/>
      <c r="BL315" s="2212"/>
      <c r="BM315" s="2212"/>
      <c r="BN315" s="2212"/>
      <c r="BO315" s="2212"/>
      <c r="BP315" s="2212"/>
      <c r="BQ315" s="2212"/>
      <c r="BR315" s="2212"/>
      <c r="BS315" s="2212"/>
      <c r="BT315" s="2212"/>
      <c r="BU315" s="2212"/>
      <c r="BV315" s="2212"/>
      <c r="BW315" s="2212"/>
      <c r="CF315" s="2840" t="s">
        <v>2382</v>
      </c>
      <c r="CG315" s="2841">
        <v>917</v>
      </c>
      <c r="CH315" s="2841">
        <v>1026</v>
      </c>
      <c r="CI315" s="2841">
        <v>1127</v>
      </c>
      <c r="CJ315" s="2841">
        <v>1240</v>
      </c>
      <c r="CK315" s="2841">
        <v>1370</v>
      </c>
      <c r="CL315" s="2842">
        <v>1525</v>
      </c>
      <c r="CT315" s="2944"/>
      <c r="CU315" s="2944"/>
      <c r="CV315" s="2944"/>
      <c r="JV315" s="3896"/>
      <c r="JW315" s="3843"/>
      <c r="JX315" s="3843"/>
      <c r="JY315" s="3843"/>
      <c r="JZ315" s="3843"/>
    </row>
    <row r="316" spans="1:286" x14ac:dyDescent="0.25">
      <c r="CF316" s="2783" t="s">
        <v>2384</v>
      </c>
      <c r="CG316" s="2843">
        <v>96</v>
      </c>
      <c r="CH316" s="2843">
        <v>84</v>
      </c>
      <c r="CI316" s="2799">
        <f t="shared" ref="CI316:CL317" si="24">+CH316</f>
        <v>84</v>
      </c>
      <c r="CJ316" s="2799">
        <f t="shared" si="24"/>
        <v>84</v>
      </c>
      <c r="CK316" s="2799">
        <f t="shared" si="24"/>
        <v>84</v>
      </c>
      <c r="CL316" s="2796">
        <f t="shared" si="24"/>
        <v>84</v>
      </c>
    </row>
    <row r="317" spans="1:286" x14ac:dyDescent="0.25">
      <c r="CF317" s="2783" t="s">
        <v>2383</v>
      </c>
      <c r="CG317" s="2843">
        <v>134</v>
      </c>
      <c r="CH317" s="2843">
        <v>165</v>
      </c>
      <c r="CI317" s="2799">
        <f t="shared" si="24"/>
        <v>165</v>
      </c>
      <c r="CJ317" s="2799">
        <f t="shared" si="24"/>
        <v>165</v>
      </c>
      <c r="CK317" s="2799">
        <f t="shared" si="24"/>
        <v>165</v>
      </c>
      <c r="CL317" s="2796">
        <f t="shared" si="24"/>
        <v>165</v>
      </c>
    </row>
    <row r="318" spans="1:286" x14ac:dyDescent="0.25">
      <c r="CF318" s="2783" t="s">
        <v>2388</v>
      </c>
      <c r="CG318" s="2843">
        <v>38</v>
      </c>
      <c r="CH318" s="2843"/>
      <c r="CI318" s="2799"/>
      <c r="CJ318" s="2799"/>
      <c r="CK318" s="2799"/>
      <c r="CL318" s="2796"/>
    </row>
    <row r="319" spans="1:286" ht="3.95" customHeight="1" x14ac:dyDescent="0.25">
      <c r="CF319" s="2765"/>
      <c r="CG319" s="2834" t="s">
        <v>2379</v>
      </c>
      <c r="CH319" s="2834" t="s">
        <v>2379</v>
      </c>
      <c r="CI319" s="2834" t="s">
        <v>2379</v>
      </c>
      <c r="CJ319" s="2834" t="s">
        <v>2379</v>
      </c>
      <c r="CK319" s="2834" t="s">
        <v>2379</v>
      </c>
      <c r="CL319" s="2821" t="s">
        <v>2379</v>
      </c>
    </row>
    <row r="320" spans="1:286" s="2757" customFormat="1" x14ac:dyDescent="0.25">
      <c r="A320" s="2212"/>
      <c r="B320" s="2212"/>
      <c r="C320" s="2212"/>
      <c r="D320" s="2212"/>
      <c r="E320" s="2212"/>
      <c r="F320" s="2212"/>
      <c r="G320" s="2212"/>
      <c r="H320" s="2212"/>
      <c r="I320" s="2212"/>
      <c r="J320" s="2212"/>
      <c r="K320" s="2212"/>
      <c r="L320" s="2212"/>
      <c r="M320" s="2212"/>
      <c r="N320" s="2212"/>
      <c r="O320" s="2212"/>
      <c r="P320" s="2212"/>
      <c r="Q320" s="2212"/>
      <c r="R320" s="2212"/>
      <c r="S320" s="2212"/>
      <c r="T320" s="2212"/>
      <c r="U320" s="2212"/>
      <c r="V320" s="2212"/>
      <c r="W320" s="2212"/>
      <c r="X320" s="2212"/>
      <c r="Y320" s="2212"/>
      <c r="Z320" s="2212"/>
      <c r="AA320" s="2212"/>
      <c r="AB320" s="2212"/>
      <c r="AC320" s="2212"/>
      <c r="AD320" s="2271"/>
      <c r="AE320" s="2271"/>
      <c r="AF320" s="2212"/>
      <c r="AG320" s="2212"/>
      <c r="AH320" s="2212"/>
      <c r="AI320" s="2212"/>
      <c r="AJ320" s="2212"/>
      <c r="AK320" s="2212"/>
      <c r="AL320" s="2212"/>
      <c r="AM320" s="2212"/>
      <c r="AN320" s="2212"/>
      <c r="AO320" s="2212"/>
      <c r="AP320" s="2212"/>
      <c r="AQ320" s="2212"/>
      <c r="AR320" s="2212"/>
      <c r="AS320" s="2212"/>
      <c r="AT320" s="2212"/>
      <c r="AU320" s="2212"/>
      <c r="AV320" s="2212"/>
      <c r="AW320" s="2212"/>
      <c r="AX320" s="2212"/>
      <c r="AY320" s="2212"/>
      <c r="AZ320" s="2212"/>
      <c r="BA320" s="2212"/>
      <c r="BB320" s="2212"/>
      <c r="BC320" s="2212"/>
      <c r="BD320" s="2212"/>
      <c r="BE320" s="2212"/>
      <c r="BF320" s="2212"/>
      <c r="BG320" s="2212"/>
      <c r="BH320" s="2212"/>
      <c r="BI320" s="2212"/>
      <c r="BJ320" s="2212"/>
      <c r="BK320" s="2212"/>
      <c r="BL320" s="2212"/>
      <c r="BM320" s="2212"/>
      <c r="BN320" s="2212"/>
      <c r="BO320" s="2212"/>
      <c r="BP320" s="2212"/>
      <c r="BQ320" s="2212"/>
      <c r="BR320" s="2212"/>
      <c r="BS320" s="2212"/>
      <c r="BT320" s="2212"/>
      <c r="BU320" s="2212"/>
      <c r="BV320" s="2212"/>
      <c r="BW320" s="2212"/>
      <c r="CF320" s="2840" t="s">
        <v>2385</v>
      </c>
      <c r="CG320" s="2764">
        <f t="shared" ref="CG320:CL320" si="25">+SUM(CG315:CG319)</f>
        <v>1185</v>
      </c>
      <c r="CH320" s="2764">
        <f t="shared" si="25"/>
        <v>1275</v>
      </c>
      <c r="CI320" s="2764">
        <f t="shared" si="25"/>
        <v>1376</v>
      </c>
      <c r="CJ320" s="2764">
        <f t="shared" si="25"/>
        <v>1489</v>
      </c>
      <c r="CK320" s="2764">
        <f t="shared" si="25"/>
        <v>1619</v>
      </c>
      <c r="CL320" s="2775">
        <f t="shared" si="25"/>
        <v>1774</v>
      </c>
      <c r="CT320" s="2944"/>
      <c r="CU320" s="2944"/>
      <c r="CV320" s="2944"/>
      <c r="JV320" s="3896"/>
      <c r="JW320" s="3843"/>
      <c r="JX320" s="3843"/>
      <c r="JY320" s="3843"/>
      <c r="JZ320" s="3843"/>
    </row>
    <row r="321" spans="1:286" s="2757" customFormat="1" ht="3.95" customHeight="1" x14ac:dyDescent="0.25">
      <c r="A321" s="2212"/>
      <c r="B321" s="2212"/>
      <c r="C321" s="2212"/>
      <c r="D321" s="2212"/>
      <c r="E321" s="2212"/>
      <c r="F321" s="2212"/>
      <c r="G321" s="2212"/>
      <c r="H321" s="2212"/>
      <c r="I321" s="2212"/>
      <c r="J321" s="2212"/>
      <c r="K321" s="2212"/>
      <c r="L321" s="2212"/>
      <c r="M321" s="2212"/>
      <c r="N321" s="2212"/>
      <c r="O321" s="2212"/>
      <c r="P321" s="2212"/>
      <c r="Q321" s="2212"/>
      <c r="R321" s="2212"/>
      <c r="S321" s="2212"/>
      <c r="T321" s="2212"/>
      <c r="U321" s="2212"/>
      <c r="V321" s="2212"/>
      <c r="W321" s="2212"/>
      <c r="X321" s="2212"/>
      <c r="Y321" s="2212"/>
      <c r="Z321" s="2212"/>
      <c r="AA321" s="2212"/>
      <c r="AB321" s="2212"/>
      <c r="AC321" s="2212"/>
      <c r="AD321" s="2271"/>
      <c r="AE321" s="2271"/>
      <c r="AF321" s="2212"/>
      <c r="AG321" s="2212"/>
      <c r="AH321" s="2212"/>
      <c r="AI321" s="2212"/>
      <c r="AJ321" s="2212"/>
      <c r="AK321" s="2212"/>
      <c r="AL321" s="2212"/>
      <c r="AM321" s="2212"/>
      <c r="AN321" s="2212"/>
      <c r="AO321" s="2212"/>
      <c r="AP321" s="2212"/>
      <c r="AQ321" s="2212"/>
      <c r="AR321" s="2212"/>
      <c r="AS321" s="2212"/>
      <c r="AT321" s="2212"/>
      <c r="AU321" s="2212"/>
      <c r="AV321" s="2212"/>
      <c r="AW321" s="2212"/>
      <c r="AX321" s="2212"/>
      <c r="AY321" s="2212"/>
      <c r="AZ321" s="2212"/>
      <c r="BA321" s="2212"/>
      <c r="BB321" s="2212"/>
      <c r="BC321" s="2212"/>
      <c r="BD321" s="2212"/>
      <c r="BE321" s="2212"/>
      <c r="BF321" s="2212"/>
      <c r="BG321" s="2212"/>
      <c r="BH321" s="2212"/>
      <c r="BI321" s="2212"/>
      <c r="BJ321" s="2212"/>
      <c r="BK321" s="2212"/>
      <c r="BL321" s="2212"/>
      <c r="BM321" s="2212"/>
      <c r="BN321" s="2212"/>
      <c r="BO321" s="2212"/>
      <c r="BP321" s="2212"/>
      <c r="BQ321" s="2212"/>
      <c r="BR321" s="2212"/>
      <c r="BS321" s="2212"/>
      <c r="BT321" s="2212"/>
      <c r="BU321" s="2212"/>
      <c r="BV321" s="2212"/>
      <c r="BW321" s="2212"/>
      <c r="CF321" s="2840"/>
      <c r="CG321" s="2764"/>
      <c r="CH321" s="2764"/>
      <c r="CI321" s="2764"/>
      <c r="CJ321" s="2764"/>
      <c r="CK321" s="2764"/>
      <c r="CL321" s="2775"/>
      <c r="CT321" s="2944"/>
      <c r="CU321" s="2944"/>
      <c r="CV321" s="2944"/>
      <c r="JV321" s="3896"/>
      <c r="JW321" s="3843"/>
      <c r="JX321" s="3843"/>
      <c r="JY321" s="3843"/>
      <c r="JZ321" s="3843"/>
    </row>
    <row r="322" spans="1:286" s="2757" customFormat="1" x14ac:dyDescent="0.25">
      <c r="A322" s="2212"/>
      <c r="B322" s="2212"/>
      <c r="C322" s="2212"/>
      <c r="D322" s="2212"/>
      <c r="E322" s="2212"/>
      <c r="F322" s="2212"/>
      <c r="G322" s="2212"/>
      <c r="H322" s="2212"/>
      <c r="I322" s="2212"/>
      <c r="J322" s="2212"/>
      <c r="K322" s="2212"/>
      <c r="L322" s="2212"/>
      <c r="M322" s="2212"/>
      <c r="N322" s="2212"/>
      <c r="O322" s="2212"/>
      <c r="P322" s="2212"/>
      <c r="Q322" s="2212"/>
      <c r="R322" s="2212"/>
      <c r="S322" s="2212"/>
      <c r="T322" s="2212"/>
      <c r="U322" s="2212"/>
      <c r="V322" s="2212"/>
      <c r="W322" s="2212"/>
      <c r="X322" s="2212"/>
      <c r="Y322" s="2212"/>
      <c r="Z322" s="2212"/>
      <c r="AA322" s="2212"/>
      <c r="AB322" s="2212"/>
      <c r="AC322" s="2212"/>
      <c r="AD322" s="2271"/>
      <c r="AE322" s="2271"/>
      <c r="AF322" s="2212"/>
      <c r="AG322" s="2212"/>
      <c r="AH322" s="2212"/>
      <c r="AI322" s="2212"/>
      <c r="AJ322" s="2212"/>
      <c r="AK322" s="2212"/>
      <c r="AL322" s="2212"/>
      <c r="AM322" s="2212"/>
      <c r="AN322" s="2212"/>
      <c r="AO322" s="2212"/>
      <c r="AP322" s="2212"/>
      <c r="AQ322" s="2212"/>
      <c r="AR322" s="2212"/>
      <c r="AS322" s="2212"/>
      <c r="AT322" s="2212"/>
      <c r="AU322" s="2212"/>
      <c r="AV322" s="2212"/>
      <c r="AW322" s="2212"/>
      <c r="AX322" s="2212"/>
      <c r="AY322" s="2212"/>
      <c r="AZ322" s="2212"/>
      <c r="BA322" s="2212"/>
      <c r="BB322" s="2212"/>
      <c r="BC322" s="2212"/>
      <c r="BD322" s="2212"/>
      <c r="BE322" s="2212"/>
      <c r="BF322" s="2212"/>
      <c r="BG322" s="2212"/>
      <c r="BH322" s="2212"/>
      <c r="BI322" s="2212"/>
      <c r="BJ322" s="2212"/>
      <c r="BK322" s="2212"/>
      <c r="BL322" s="2212"/>
      <c r="BM322" s="2212"/>
      <c r="BN322" s="2212"/>
      <c r="BO322" s="2212"/>
      <c r="BP322" s="2212"/>
      <c r="BQ322" s="2212"/>
      <c r="BR322" s="2212"/>
      <c r="BS322" s="2212"/>
      <c r="BT322" s="2212"/>
      <c r="BU322" s="2212"/>
      <c r="BV322" s="2212"/>
      <c r="BW322" s="2212"/>
      <c r="CF322" s="2840" t="s">
        <v>990</v>
      </c>
      <c r="CG322" s="2841">
        <v>1191.6934716113033</v>
      </c>
      <c r="CH322" s="2841">
        <v>1297.5529394152932</v>
      </c>
      <c r="CI322" s="2841">
        <v>1412.6874980950352</v>
      </c>
      <c r="CJ322" s="2841">
        <v>1502.5591531654204</v>
      </c>
      <c r="CK322" s="2841">
        <v>1511.147047474092</v>
      </c>
      <c r="CL322" s="2842">
        <v>1319.8223825219902</v>
      </c>
      <c r="CT322" s="2944"/>
      <c r="CU322" s="2944"/>
      <c r="CV322" s="2944"/>
      <c r="JV322" s="3896"/>
      <c r="JW322" s="3843"/>
      <c r="JX322" s="3843"/>
      <c r="JY322" s="3843"/>
      <c r="JZ322" s="3843"/>
    </row>
    <row r="323" spans="1:286" s="2757" customFormat="1" x14ac:dyDescent="0.25">
      <c r="A323" s="2835"/>
      <c r="B323" s="2835"/>
      <c r="C323" s="2835"/>
      <c r="D323" s="2835"/>
      <c r="E323" s="2835"/>
      <c r="F323" s="2835"/>
      <c r="G323" s="2835"/>
      <c r="H323" s="2835"/>
      <c r="I323" s="2835"/>
      <c r="J323" s="2835"/>
      <c r="K323" s="2835"/>
      <c r="L323" s="2835"/>
      <c r="M323" s="2835"/>
      <c r="N323" s="2835"/>
      <c r="O323" s="2835"/>
      <c r="P323" s="2835"/>
      <c r="Q323" s="2835"/>
      <c r="R323" s="2835"/>
      <c r="S323" s="2835"/>
      <c r="T323" s="2835"/>
      <c r="U323" s="2835"/>
      <c r="V323" s="2835"/>
      <c r="W323" s="2835"/>
      <c r="X323" s="2835"/>
      <c r="Y323" s="2835"/>
      <c r="Z323" s="2835"/>
      <c r="AA323" s="2835"/>
      <c r="AB323" s="2835"/>
      <c r="AC323" s="2835"/>
      <c r="AD323" s="2836"/>
      <c r="AE323" s="2836"/>
      <c r="AF323" s="2835"/>
      <c r="AG323" s="2835"/>
      <c r="AH323" s="2835"/>
      <c r="AI323" s="2835"/>
      <c r="AJ323" s="2835"/>
      <c r="AK323" s="2835"/>
      <c r="AL323" s="2835"/>
      <c r="AM323" s="2835"/>
      <c r="AN323" s="2835"/>
      <c r="AO323" s="2835"/>
      <c r="AP323" s="2835"/>
      <c r="AQ323" s="2835"/>
      <c r="AR323" s="2835"/>
      <c r="AS323" s="2835"/>
      <c r="AT323" s="2835"/>
      <c r="AU323" s="2835"/>
      <c r="AV323" s="2835"/>
      <c r="AW323" s="2835"/>
      <c r="AX323" s="2835"/>
      <c r="AY323" s="2835"/>
      <c r="AZ323" s="2835"/>
      <c r="BA323" s="2835"/>
      <c r="BB323" s="2835"/>
      <c r="BC323" s="2835"/>
      <c r="BD323" s="2835"/>
      <c r="BE323" s="2835"/>
      <c r="BF323" s="2835"/>
      <c r="BG323" s="2835"/>
      <c r="BH323" s="2835"/>
      <c r="BI323" s="2835"/>
      <c r="BJ323" s="2835"/>
      <c r="BK323" s="2835"/>
      <c r="BL323" s="2835"/>
      <c r="BM323" s="2835"/>
      <c r="BN323" s="2835"/>
      <c r="BO323" s="2835"/>
      <c r="BP323" s="2835"/>
      <c r="BQ323" s="2835"/>
      <c r="BR323" s="2835"/>
      <c r="BS323" s="2835"/>
      <c r="BT323" s="2835"/>
      <c r="BU323" s="2835"/>
      <c r="BV323" s="2835"/>
      <c r="BW323" s="2835"/>
      <c r="CF323" s="2373" t="s">
        <v>1493</v>
      </c>
      <c r="CG323" s="2277">
        <f t="shared" ref="CG323:CL323" si="26">+CG$320/CG322-1</f>
        <v>-5.6167729124612098E-3</v>
      </c>
      <c r="CH323" s="2277">
        <f t="shared" si="26"/>
        <v>-1.7381132384052145E-2</v>
      </c>
      <c r="CI323" s="2277">
        <f t="shared" si="26"/>
        <v>-2.5970002668323389E-2</v>
      </c>
      <c r="CJ323" s="2277">
        <f t="shared" si="26"/>
        <v>-9.0240395107610283E-3</v>
      </c>
      <c r="CK323" s="2277">
        <f t="shared" si="26"/>
        <v>7.1371580089565789E-2</v>
      </c>
      <c r="CL323" s="2303">
        <f t="shared" si="26"/>
        <v>0.34412025700772086</v>
      </c>
      <c r="CT323" s="2944"/>
      <c r="CU323" s="2944"/>
      <c r="CV323" s="2944"/>
      <c r="JV323" s="3896"/>
      <c r="JW323" s="3843"/>
      <c r="JX323" s="3843"/>
      <c r="JY323" s="3843"/>
      <c r="JZ323" s="3843"/>
    </row>
    <row r="324" spans="1:286" s="2757" customFormat="1" x14ac:dyDescent="0.25">
      <c r="A324" s="2835"/>
      <c r="B324" s="2835"/>
      <c r="C324" s="2835"/>
      <c r="D324" s="2835"/>
      <c r="E324" s="2835"/>
      <c r="F324" s="2835"/>
      <c r="G324" s="2835"/>
      <c r="H324" s="2835"/>
      <c r="I324" s="2835"/>
      <c r="J324" s="2835"/>
      <c r="K324" s="2835"/>
      <c r="L324" s="2835"/>
      <c r="M324" s="2835"/>
      <c r="N324" s="2835"/>
      <c r="O324" s="2835"/>
      <c r="P324" s="2835"/>
      <c r="Q324" s="2835"/>
      <c r="R324" s="2835"/>
      <c r="S324" s="2835"/>
      <c r="T324" s="2835"/>
      <c r="U324" s="2835"/>
      <c r="V324" s="2835"/>
      <c r="W324" s="2835"/>
      <c r="X324" s="2835"/>
      <c r="Y324" s="2835"/>
      <c r="Z324" s="2835"/>
      <c r="AA324" s="2835"/>
      <c r="AB324" s="2835"/>
      <c r="AC324" s="2835"/>
      <c r="AD324" s="2836"/>
      <c r="AE324" s="2836"/>
      <c r="AF324" s="2835"/>
      <c r="AG324" s="2835"/>
      <c r="AH324" s="2835"/>
      <c r="AI324" s="2835"/>
      <c r="AJ324" s="2835"/>
      <c r="AK324" s="2835"/>
      <c r="AL324" s="2835"/>
      <c r="AM324" s="2835"/>
      <c r="AN324" s="2835"/>
      <c r="AO324" s="2835"/>
      <c r="AP324" s="2835"/>
      <c r="AQ324" s="2835"/>
      <c r="AR324" s="2835"/>
      <c r="AS324" s="2835"/>
      <c r="AT324" s="2835"/>
      <c r="AU324" s="2835"/>
      <c r="AV324" s="2835"/>
      <c r="AW324" s="2835"/>
      <c r="AX324" s="2835"/>
      <c r="AY324" s="2835"/>
      <c r="AZ324" s="2835"/>
      <c r="BA324" s="2835"/>
      <c r="BB324" s="2835"/>
      <c r="BC324" s="2835"/>
      <c r="BD324" s="2835"/>
      <c r="BE324" s="2835"/>
      <c r="BF324" s="2835"/>
      <c r="BG324" s="2835"/>
      <c r="BH324" s="2835"/>
      <c r="BI324" s="2835"/>
      <c r="BJ324" s="2835"/>
      <c r="BK324" s="2835"/>
      <c r="BL324" s="2835"/>
      <c r="BM324" s="2835"/>
      <c r="BN324" s="2835"/>
      <c r="BO324" s="2835"/>
      <c r="BP324" s="2835"/>
      <c r="BQ324" s="2835"/>
      <c r="BR324" s="2835"/>
      <c r="BS324" s="2835"/>
      <c r="BT324" s="2835"/>
      <c r="BU324" s="2835"/>
      <c r="BV324" s="2835"/>
      <c r="BW324" s="2835"/>
      <c r="CE324" s="2757" t="s">
        <v>2387</v>
      </c>
      <c r="CF324" s="2314" t="s">
        <v>1984</v>
      </c>
      <c r="CG324" s="2849">
        <v>1197</v>
      </c>
      <c r="CH324" s="2849">
        <v>1119.06</v>
      </c>
      <c r="CI324" s="2849">
        <v>1146.67</v>
      </c>
      <c r="CJ324" s="2849">
        <v>1231.52</v>
      </c>
      <c r="CK324" s="2850" t="s">
        <v>1979</v>
      </c>
      <c r="CL324" s="2851" t="s">
        <v>1979</v>
      </c>
      <c r="CT324" s="2944"/>
      <c r="CU324" s="2944"/>
      <c r="CV324" s="2944"/>
      <c r="JV324" s="3896"/>
      <c r="JW324" s="3843"/>
      <c r="JX324" s="3843"/>
      <c r="JY324" s="3843"/>
      <c r="JZ324" s="3843"/>
    </row>
    <row r="325" spans="1:286" s="2757" customFormat="1" x14ac:dyDescent="0.25">
      <c r="A325" s="2835"/>
      <c r="B325" s="2835"/>
      <c r="C325" s="2835"/>
      <c r="D325" s="2835"/>
      <c r="E325" s="2835"/>
      <c r="F325" s="2835"/>
      <c r="G325" s="2835"/>
      <c r="H325" s="2835"/>
      <c r="I325" s="2835"/>
      <c r="J325" s="2835"/>
      <c r="K325" s="2835"/>
      <c r="L325" s="2835"/>
      <c r="M325" s="2835"/>
      <c r="N325" s="2835"/>
      <c r="O325" s="2835"/>
      <c r="P325" s="2835"/>
      <c r="Q325" s="2835"/>
      <c r="R325" s="2835"/>
      <c r="S325" s="2835"/>
      <c r="T325" s="2835"/>
      <c r="U325" s="2835"/>
      <c r="V325" s="2835"/>
      <c r="W325" s="2835"/>
      <c r="X325" s="2835"/>
      <c r="Y325" s="2835"/>
      <c r="Z325" s="2835"/>
      <c r="AA325" s="2835"/>
      <c r="AB325" s="2835"/>
      <c r="AC325" s="2835"/>
      <c r="AD325" s="2836"/>
      <c r="AE325" s="2836"/>
      <c r="AF325" s="2835"/>
      <c r="AG325" s="2835"/>
      <c r="AH325" s="2835"/>
      <c r="AI325" s="2835"/>
      <c r="AJ325" s="2835"/>
      <c r="AK325" s="2835"/>
      <c r="AL325" s="2835"/>
      <c r="AM325" s="2835"/>
      <c r="AN325" s="2835"/>
      <c r="AO325" s="2835"/>
      <c r="AP325" s="2835"/>
      <c r="AQ325" s="2835"/>
      <c r="AR325" s="2835"/>
      <c r="AS325" s="2835"/>
      <c r="AT325" s="2835"/>
      <c r="AU325" s="2835"/>
      <c r="AV325" s="2835"/>
      <c r="AW325" s="2835"/>
      <c r="AX325" s="2835"/>
      <c r="AY325" s="2835"/>
      <c r="AZ325" s="2835"/>
      <c r="BA325" s="2835"/>
      <c r="BB325" s="2835"/>
      <c r="BC325" s="2835"/>
      <c r="BD325" s="2835"/>
      <c r="BE325" s="2835"/>
      <c r="BF325" s="2835"/>
      <c r="BG325" s="2835"/>
      <c r="BH325" s="2835"/>
      <c r="BI325" s="2835"/>
      <c r="BJ325" s="2835"/>
      <c r="BK325" s="2835"/>
      <c r="BL325" s="2835"/>
      <c r="BM325" s="2835"/>
      <c r="BN325" s="2835"/>
      <c r="BO325" s="2835"/>
      <c r="BP325" s="2835"/>
      <c r="BQ325" s="2835"/>
      <c r="BR325" s="2835"/>
      <c r="BS325" s="2835"/>
      <c r="BT325" s="2835"/>
      <c r="BU325" s="2835"/>
      <c r="BV325" s="2835"/>
      <c r="BW325" s="2835"/>
      <c r="CE325" s="2848">
        <f ca="1">TODAY()</f>
        <v>43146</v>
      </c>
      <c r="CF325" s="2373" t="s">
        <v>1493</v>
      </c>
      <c r="CG325" s="2277">
        <f>+CG$320/CG324-1</f>
        <v>-1.0025062656641603E-2</v>
      </c>
      <c r="CH325" s="2277">
        <f>+CH$320/CH324-1</f>
        <v>0.13934909656318695</v>
      </c>
      <c r="CI325" s="2277">
        <f>+CI$320/CI324-1</f>
        <v>0.19999651163804755</v>
      </c>
      <c r="CJ325" s="2277">
        <f>+CJ$320/CJ324-1</f>
        <v>0.20907496427179417</v>
      </c>
      <c r="CK325" s="2850" t="s">
        <v>1979</v>
      </c>
      <c r="CL325" s="2851" t="s">
        <v>1979</v>
      </c>
      <c r="CT325" s="2944"/>
      <c r="CU325" s="2944"/>
      <c r="CV325" s="2944"/>
      <c r="JV325" s="3896"/>
      <c r="JW325" s="3843"/>
      <c r="JX325" s="3843"/>
      <c r="JY325" s="3843"/>
      <c r="JZ325" s="3843"/>
    </row>
    <row r="326" spans="1:286" x14ac:dyDescent="0.25">
      <c r="CF326" s="2765"/>
      <c r="CG326" s="2631"/>
      <c r="CH326" s="2631"/>
      <c r="CI326" s="2631"/>
      <c r="CJ326" s="2631"/>
      <c r="CK326" s="2631"/>
      <c r="CL326" s="2715"/>
    </row>
    <row r="327" spans="1:286" x14ac:dyDescent="0.25">
      <c r="CF327" s="2856" t="s">
        <v>1083</v>
      </c>
      <c r="CG327" s="2845"/>
      <c r="CH327" s="2845"/>
      <c r="CI327" s="2845"/>
      <c r="CJ327" s="2845"/>
      <c r="CK327" s="2845"/>
      <c r="CL327" s="2846"/>
    </row>
    <row r="328" spans="1:286" x14ac:dyDescent="0.25">
      <c r="CF328" s="2840" t="s">
        <v>2385</v>
      </c>
      <c r="CG328" s="2852" t="s">
        <v>1979</v>
      </c>
      <c r="CH328" s="2841">
        <v>1962</v>
      </c>
      <c r="CI328" s="2841">
        <v>2192</v>
      </c>
      <c r="CJ328" s="2841">
        <v>2436</v>
      </c>
      <c r="CK328" s="2852" t="s">
        <v>1979</v>
      </c>
      <c r="CL328" s="2853" t="s">
        <v>1979</v>
      </c>
    </row>
    <row r="329" spans="1:286" s="2757" customFormat="1" ht="3.95" customHeight="1" x14ac:dyDescent="0.25">
      <c r="A329" s="2212"/>
      <c r="B329" s="2212"/>
      <c r="C329" s="2212"/>
      <c r="D329" s="2212"/>
      <c r="E329" s="2212"/>
      <c r="F329" s="2212"/>
      <c r="G329" s="2212"/>
      <c r="H329" s="2212"/>
      <c r="I329" s="2212"/>
      <c r="J329" s="2212"/>
      <c r="K329" s="2212"/>
      <c r="L329" s="2212"/>
      <c r="M329" s="2212"/>
      <c r="N329" s="2212"/>
      <c r="O329" s="2212"/>
      <c r="P329" s="2212"/>
      <c r="Q329" s="2212"/>
      <c r="R329" s="2212"/>
      <c r="S329" s="2212"/>
      <c r="T329" s="2212"/>
      <c r="U329" s="2212"/>
      <c r="V329" s="2212"/>
      <c r="W329" s="2212"/>
      <c r="X329" s="2212"/>
      <c r="Y329" s="2212"/>
      <c r="Z329" s="2212"/>
      <c r="AA329" s="2212"/>
      <c r="AB329" s="2212"/>
      <c r="AC329" s="2212"/>
      <c r="AD329" s="2271"/>
      <c r="AE329" s="2271"/>
      <c r="AF329" s="2212"/>
      <c r="AG329" s="2212"/>
      <c r="AH329" s="2212"/>
      <c r="AI329" s="2212"/>
      <c r="AJ329" s="2212"/>
      <c r="AK329" s="2212"/>
      <c r="AL329" s="2212"/>
      <c r="AM329" s="2212"/>
      <c r="AN329" s="2212"/>
      <c r="AO329" s="2212"/>
      <c r="AP329" s="2212"/>
      <c r="AQ329" s="2212"/>
      <c r="AR329" s="2212"/>
      <c r="AS329" s="2212"/>
      <c r="AT329" s="2212"/>
      <c r="AU329" s="2212"/>
      <c r="AV329" s="2212"/>
      <c r="AW329" s="2212"/>
      <c r="AX329" s="2212"/>
      <c r="AY329" s="2212"/>
      <c r="AZ329" s="2212"/>
      <c r="BA329" s="2212"/>
      <c r="BB329" s="2212"/>
      <c r="BC329" s="2212"/>
      <c r="BD329" s="2212"/>
      <c r="BE329" s="2212"/>
      <c r="BF329" s="2212"/>
      <c r="BG329" s="2212"/>
      <c r="BH329" s="2212"/>
      <c r="BI329" s="2212"/>
      <c r="BJ329" s="2212"/>
      <c r="BK329" s="2212"/>
      <c r="BL329" s="2212"/>
      <c r="BM329" s="2212"/>
      <c r="BN329" s="2212"/>
      <c r="BO329" s="2212"/>
      <c r="BP329" s="2212"/>
      <c r="BQ329" s="2212"/>
      <c r="BR329" s="2212"/>
      <c r="BS329" s="2212"/>
      <c r="BT329" s="2212"/>
      <c r="BU329" s="2212"/>
      <c r="BV329" s="2212"/>
      <c r="BW329" s="2212"/>
      <c r="CF329" s="2840"/>
      <c r="CG329" s="2764"/>
      <c r="CH329" s="2764"/>
      <c r="CI329" s="2764"/>
      <c r="CJ329" s="2764"/>
      <c r="CK329" s="2764"/>
      <c r="CL329" s="2775"/>
      <c r="CT329" s="2944"/>
      <c r="CU329" s="2944"/>
      <c r="CV329" s="2944"/>
      <c r="JV329" s="3896"/>
      <c r="JW329" s="3843"/>
      <c r="JX329" s="3843"/>
      <c r="JY329" s="3843"/>
      <c r="JZ329" s="3843"/>
    </row>
    <row r="330" spans="1:286" x14ac:dyDescent="0.25">
      <c r="CF330" s="2840" t="s">
        <v>990</v>
      </c>
      <c r="CG330" s="2841">
        <v>1741.1816166982076</v>
      </c>
      <c r="CH330" s="2841">
        <v>1955.9165567617517</v>
      </c>
      <c r="CI330" s="2841">
        <v>2163.9379129861181</v>
      </c>
      <c r="CJ330" s="2841">
        <v>2331.8141586552424</v>
      </c>
      <c r="CK330" s="2841">
        <v>2417.1182874513393</v>
      </c>
      <c r="CL330" s="2842">
        <v>2272.0113248723515</v>
      </c>
    </row>
    <row r="331" spans="1:286" s="2757" customFormat="1" x14ac:dyDescent="0.25">
      <c r="A331" s="2835"/>
      <c r="B331" s="2835"/>
      <c r="C331" s="2835"/>
      <c r="D331" s="2835"/>
      <c r="E331" s="2835"/>
      <c r="F331" s="2835"/>
      <c r="G331" s="2835"/>
      <c r="H331" s="2835"/>
      <c r="I331" s="2835"/>
      <c r="J331" s="2835"/>
      <c r="K331" s="2835"/>
      <c r="L331" s="2835"/>
      <c r="M331" s="2835"/>
      <c r="N331" s="2835"/>
      <c r="O331" s="2835"/>
      <c r="P331" s="2835"/>
      <c r="Q331" s="2835"/>
      <c r="R331" s="2835"/>
      <c r="S331" s="2835"/>
      <c r="T331" s="2835"/>
      <c r="U331" s="2835"/>
      <c r="V331" s="2835"/>
      <c r="W331" s="2835"/>
      <c r="X331" s="2835"/>
      <c r="Y331" s="2835"/>
      <c r="Z331" s="2835"/>
      <c r="AA331" s="2835"/>
      <c r="AB331" s="2835"/>
      <c r="AC331" s="2835"/>
      <c r="AD331" s="2836"/>
      <c r="AE331" s="2836"/>
      <c r="AF331" s="2835"/>
      <c r="AG331" s="2835"/>
      <c r="AH331" s="2835"/>
      <c r="AI331" s="2835"/>
      <c r="AJ331" s="2835"/>
      <c r="AK331" s="2835"/>
      <c r="AL331" s="2835"/>
      <c r="AM331" s="2835"/>
      <c r="AN331" s="2835"/>
      <c r="AO331" s="2835"/>
      <c r="AP331" s="2835"/>
      <c r="AQ331" s="2835"/>
      <c r="AR331" s="2835"/>
      <c r="AS331" s="2835"/>
      <c r="AT331" s="2835"/>
      <c r="AU331" s="2835"/>
      <c r="AV331" s="2835"/>
      <c r="AW331" s="2835"/>
      <c r="AX331" s="2835"/>
      <c r="AY331" s="2835"/>
      <c r="AZ331" s="2835"/>
      <c r="BA331" s="2835"/>
      <c r="BB331" s="2835"/>
      <c r="BC331" s="2835"/>
      <c r="BD331" s="2835"/>
      <c r="BE331" s="2835"/>
      <c r="BF331" s="2835"/>
      <c r="BG331" s="2835"/>
      <c r="BH331" s="2835"/>
      <c r="BI331" s="2835"/>
      <c r="BJ331" s="2835"/>
      <c r="BK331" s="2835"/>
      <c r="BL331" s="2835"/>
      <c r="BM331" s="2835"/>
      <c r="BN331" s="2835"/>
      <c r="BO331" s="2835"/>
      <c r="BP331" s="2835"/>
      <c r="BQ331" s="2835"/>
      <c r="BR331" s="2835"/>
      <c r="BS331" s="2835"/>
      <c r="BT331" s="2835"/>
      <c r="BU331" s="2835"/>
      <c r="BV331" s="2835"/>
      <c r="BW331" s="2835"/>
      <c r="CF331" s="2373" t="s">
        <v>1493</v>
      </c>
      <c r="CG331" s="2852" t="s">
        <v>1979</v>
      </c>
      <c r="CH331" s="2277">
        <f>+CH$328/CH330-1</f>
        <v>3.110277489710489E-3</v>
      </c>
      <c r="CI331" s="2277">
        <f>+CI$328/CI330-1</f>
        <v>1.2968064770009002E-2</v>
      </c>
      <c r="CJ331" s="2277">
        <f>+CJ$328/CJ330-1</f>
        <v>4.4680164994298499E-2</v>
      </c>
      <c r="CK331" s="2852" t="s">
        <v>1979</v>
      </c>
      <c r="CL331" s="2853" t="s">
        <v>1979</v>
      </c>
      <c r="CT331" s="2944"/>
      <c r="CU331" s="2944"/>
      <c r="CV331" s="2944"/>
      <c r="JV331" s="3896"/>
      <c r="JW331" s="3843"/>
      <c r="JX331" s="3843"/>
      <c r="JY331" s="3843"/>
      <c r="JZ331" s="3843"/>
    </row>
    <row r="332" spans="1:286" s="2757" customFormat="1" x14ac:dyDescent="0.25">
      <c r="A332" s="2212"/>
      <c r="B332" s="2212"/>
      <c r="C332" s="2212"/>
      <c r="D332" s="2212"/>
      <c r="E332" s="2212"/>
      <c r="F332" s="2212"/>
      <c r="G332" s="2212"/>
      <c r="H332" s="2212"/>
      <c r="I332" s="2212"/>
      <c r="J332" s="2212"/>
      <c r="K332" s="2212"/>
      <c r="L332" s="2212"/>
      <c r="M332" s="2212"/>
      <c r="N332" s="2212"/>
      <c r="O332" s="2212"/>
      <c r="P332" s="2212"/>
      <c r="Q332" s="2212"/>
      <c r="R332" s="2212"/>
      <c r="S332" s="2212"/>
      <c r="T332" s="2212"/>
      <c r="U332" s="2212"/>
      <c r="V332" s="2212"/>
      <c r="W332" s="2212"/>
      <c r="X332" s="2212"/>
      <c r="Y332" s="2212"/>
      <c r="Z332" s="2212"/>
      <c r="AA332" s="2212"/>
      <c r="AB332" s="2212"/>
      <c r="AC332" s="2212"/>
      <c r="AD332" s="2271"/>
      <c r="AE332" s="2271"/>
      <c r="AF332" s="2212"/>
      <c r="AG332" s="2212"/>
      <c r="AH332" s="2212"/>
      <c r="AI332" s="2212"/>
      <c r="AJ332" s="2212"/>
      <c r="AK332" s="2212"/>
      <c r="AL332" s="2212"/>
      <c r="AM332" s="2212"/>
      <c r="AN332" s="2212"/>
      <c r="AO332" s="2212"/>
      <c r="AP332" s="2212"/>
      <c r="AQ332" s="2212"/>
      <c r="AR332" s="2212"/>
      <c r="AS332" s="2212"/>
      <c r="AT332" s="2212"/>
      <c r="AU332" s="2212"/>
      <c r="AV332" s="2212"/>
      <c r="AW332" s="2212"/>
      <c r="AX332" s="2212"/>
      <c r="AY332" s="2212"/>
      <c r="AZ332" s="2212"/>
      <c r="BA332" s="2212"/>
      <c r="BB332" s="2212"/>
      <c r="BC332" s="2212"/>
      <c r="BD332" s="2212"/>
      <c r="BE332" s="2212"/>
      <c r="BF332" s="2212"/>
      <c r="BG332" s="2212"/>
      <c r="BH332" s="2212"/>
      <c r="BI332" s="2212"/>
      <c r="BJ332" s="2212"/>
      <c r="BK332" s="2212"/>
      <c r="BL332" s="2212"/>
      <c r="BM332" s="2212"/>
      <c r="BN332" s="2212"/>
      <c r="BO332" s="2212"/>
      <c r="BP332" s="2212"/>
      <c r="BQ332" s="2212"/>
      <c r="BR332" s="2212"/>
      <c r="BS332" s="2212"/>
      <c r="BT332" s="2212"/>
      <c r="BU332" s="2212"/>
      <c r="BV332" s="2212"/>
      <c r="BW332" s="2212"/>
      <c r="CF332" s="2840" t="s">
        <v>1984</v>
      </c>
      <c r="CG332" s="2764" t="str">
        <f ca="1">+AB41</f>
        <v xml:space="preserve">$1,718 </v>
      </c>
      <c r="CH332" s="2764" t="str">
        <f ca="1">+AC41</f>
        <v xml:space="preserve">$2,987 </v>
      </c>
      <c r="CI332" s="2764" t="str">
        <f ca="1">+AD41</f>
        <v xml:space="preserve">$3,166 </v>
      </c>
      <c r="CJ332" s="2764" t="str">
        <f ca="1">+AE41</f>
        <v xml:space="preserve">$3,436 </v>
      </c>
      <c r="CK332" s="2852" t="s">
        <v>1979</v>
      </c>
      <c r="CL332" s="2853" t="s">
        <v>1979</v>
      </c>
      <c r="CT332" s="2944"/>
      <c r="CU332" s="2944"/>
      <c r="CV332" s="2944"/>
      <c r="JV332" s="3896"/>
      <c r="JW332" s="3843"/>
      <c r="JX332" s="3843"/>
      <c r="JY332" s="3843"/>
      <c r="JZ332" s="3843"/>
    </row>
    <row r="333" spans="1:286" s="2757" customFormat="1" x14ac:dyDescent="0.25">
      <c r="A333" s="2835"/>
      <c r="B333" s="2835"/>
      <c r="C333" s="2835"/>
      <c r="D333" s="2835"/>
      <c r="E333" s="2835"/>
      <c r="F333" s="2835"/>
      <c r="G333" s="2835"/>
      <c r="H333" s="2835"/>
      <c r="I333" s="2835"/>
      <c r="J333" s="2835"/>
      <c r="K333" s="2835"/>
      <c r="L333" s="2835"/>
      <c r="M333" s="2835"/>
      <c r="N333" s="2835"/>
      <c r="O333" s="2835"/>
      <c r="P333" s="2835"/>
      <c r="Q333" s="2835"/>
      <c r="R333" s="2835"/>
      <c r="S333" s="2835"/>
      <c r="T333" s="2835"/>
      <c r="U333" s="2835"/>
      <c r="V333" s="2835"/>
      <c r="W333" s="2835"/>
      <c r="X333" s="2835"/>
      <c r="Y333" s="2835"/>
      <c r="Z333" s="2835"/>
      <c r="AA333" s="2835"/>
      <c r="AB333" s="2835"/>
      <c r="AC333" s="2835"/>
      <c r="AD333" s="2836"/>
      <c r="AE333" s="2836"/>
      <c r="AF333" s="2835"/>
      <c r="AG333" s="2835"/>
      <c r="AH333" s="2835"/>
      <c r="AI333" s="2835"/>
      <c r="AJ333" s="2835"/>
      <c r="AK333" s="2835"/>
      <c r="AL333" s="2835"/>
      <c r="AM333" s="2835"/>
      <c r="AN333" s="2835"/>
      <c r="AO333" s="2835"/>
      <c r="AP333" s="2835"/>
      <c r="AQ333" s="2835"/>
      <c r="AR333" s="2835"/>
      <c r="AS333" s="2835"/>
      <c r="AT333" s="2835"/>
      <c r="AU333" s="2835"/>
      <c r="AV333" s="2835"/>
      <c r="AW333" s="2835"/>
      <c r="AX333" s="2835"/>
      <c r="AY333" s="2835"/>
      <c r="AZ333" s="2835"/>
      <c r="BA333" s="2835"/>
      <c r="BB333" s="2835"/>
      <c r="BC333" s="2835"/>
      <c r="BD333" s="2835"/>
      <c r="BE333" s="2835"/>
      <c r="BF333" s="2835"/>
      <c r="BG333" s="2835"/>
      <c r="BH333" s="2835"/>
      <c r="BI333" s="2835"/>
      <c r="BJ333" s="2835"/>
      <c r="BK333" s="2835"/>
      <c r="BL333" s="2835"/>
      <c r="BM333" s="2835"/>
      <c r="BN333" s="2835"/>
      <c r="BO333" s="2835"/>
      <c r="BP333" s="2835"/>
      <c r="BQ333" s="2835"/>
      <c r="BR333" s="2835"/>
      <c r="BS333" s="2835"/>
      <c r="BT333" s="2835"/>
      <c r="BU333" s="2835"/>
      <c r="BV333" s="2835"/>
      <c r="BW333" s="2835"/>
      <c r="CF333" s="2373" t="s">
        <v>1493</v>
      </c>
      <c r="CG333" s="2852" t="s">
        <v>1979</v>
      </c>
      <c r="CH333" s="2277">
        <f ca="1">+CH$328/CH332-1</f>
        <v>-0.34315366588550389</v>
      </c>
      <c r="CI333" s="2277">
        <f ca="1">+CI$328/CI332-1</f>
        <v>-0.30764371446620342</v>
      </c>
      <c r="CJ333" s="2277">
        <f ca="1">+CJ$328/CJ332-1</f>
        <v>-0.29103608847497087</v>
      </c>
      <c r="CK333" s="2852" t="s">
        <v>1979</v>
      </c>
      <c r="CL333" s="2853" t="s">
        <v>1979</v>
      </c>
      <c r="CT333" s="2944"/>
      <c r="CU333" s="2944"/>
      <c r="CV333" s="2944"/>
      <c r="JV333" s="3896"/>
      <c r="JW333" s="3843"/>
      <c r="JX333" s="3843"/>
      <c r="JY333" s="3843"/>
      <c r="JZ333" s="3843"/>
    </row>
    <row r="334" spans="1:286" x14ac:dyDescent="0.25">
      <c r="CF334" s="2765"/>
      <c r="CG334" s="2631"/>
      <c r="CH334" s="2631"/>
      <c r="CI334" s="2631"/>
      <c r="CJ334" s="2631"/>
      <c r="CK334" s="2631"/>
      <c r="CL334" s="2715"/>
    </row>
    <row r="335" spans="1:286" s="56" customFormat="1" x14ac:dyDescent="0.25">
      <c r="A335" s="2863"/>
      <c r="B335" s="2863"/>
      <c r="C335" s="2863"/>
      <c r="D335" s="2863"/>
      <c r="E335" s="2863"/>
      <c r="F335" s="2863"/>
      <c r="G335" s="2863"/>
      <c r="H335" s="2863"/>
      <c r="I335" s="2863"/>
      <c r="J335" s="2863"/>
      <c r="K335" s="2863"/>
      <c r="L335" s="2863"/>
      <c r="M335" s="2863"/>
      <c r="N335" s="2863"/>
      <c r="O335" s="2863"/>
      <c r="P335" s="2863"/>
      <c r="Q335" s="2863"/>
      <c r="R335" s="2863"/>
      <c r="S335" s="2863"/>
      <c r="T335" s="2863"/>
      <c r="U335" s="2863"/>
      <c r="V335" s="2863"/>
      <c r="W335" s="2863"/>
      <c r="X335" s="2863"/>
      <c r="Y335" s="2863"/>
      <c r="Z335" s="2863"/>
      <c r="AA335" s="2863"/>
      <c r="AB335" s="2863"/>
      <c r="AC335" s="2863"/>
      <c r="AD335" s="2864"/>
      <c r="AE335" s="2864"/>
      <c r="AF335" s="2863"/>
      <c r="AG335" s="2863"/>
      <c r="AH335" s="2863"/>
      <c r="AI335" s="2863"/>
      <c r="AJ335" s="2863"/>
      <c r="AK335" s="2863"/>
      <c r="AL335" s="2863"/>
      <c r="AM335" s="2863"/>
      <c r="AN335" s="2863"/>
      <c r="AO335" s="2863"/>
      <c r="AP335" s="2863"/>
      <c r="AQ335" s="2863"/>
      <c r="AR335" s="2863"/>
      <c r="AS335" s="2863"/>
      <c r="AT335" s="2863"/>
      <c r="AU335" s="2863"/>
      <c r="AV335" s="2863"/>
      <c r="AW335" s="2863"/>
      <c r="AX335" s="2863"/>
      <c r="AY335" s="2863"/>
      <c r="AZ335" s="2863"/>
      <c r="BA335" s="2863"/>
      <c r="BB335" s="2863"/>
      <c r="BC335" s="2863"/>
      <c r="BD335" s="2863"/>
      <c r="BE335" s="2863"/>
      <c r="BF335" s="2863"/>
      <c r="BG335" s="2863"/>
      <c r="BH335" s="2863"/>
      <c r="BI335" s="2863"/>
      <c r="BJ335" s="2863"/>
      <c r="BK335" s="2863"/>
      <c r="BL335" s="2863"/>
      <c r="BM335" s="2863"/>
      <c r="BN335" s="2863"/>
      <c r="BO335" s="2863"/>
      <c r="BP335" s="2863"/>
      <c r="BQ335" s="2863"/>
      <c r="BR335" s="2863"/>
      <c r="BS335" s="2863"/>
      <c r="BT335" s="2863"/>
      <c r="BU335" s="2863"/>
      <c r="BV335" s="2863"/>
      <c r="BW335" s="2863"/>
      <c r="CF335" s="2865" t="s">
        <v>2389</v>
      </c>
      <c r="CG335" s="2866" t="s">
        <v>1979</v>
      </c>
      <c r="CH335" s="2867">
        <f>+CH328+CH320</f>
        <v>3237</v>
      </c>
      <c r="CI335" s="2867">
        <f>+CI328+CI320</f>
        <v>3568</v>
      </c>
      <c r="CJ335" s="2867">
        <f>+CJ328+CJ320</f>
        <v>3925</v>
      </c>
      <c r="CK335" s="2866" t="s">
        <v>1979</v>
      </c>
      <c r="CL335" s="2868" t="s">
        <v>1979</v>
      </c>
      <c r="CT335" s="2953"/>
      <c r="CU335" s="2953"/>
      <c r="CV335" s="2953"/>
      <c r="JV335" s="3906"/>
      <c r="JW335" s="3854"/>
      <c r="JX335" s="3854"/>
      <c r="JY335" s="3854"/>
      <c r="JZ335" s="3854"/>
    </row>
    <row r="336" spans="1:286" ht="3.95" customHeight="1" x14ac:dyDescent="0.25">
      <c r="CF336" s="2765"/>
      <c r="CG336" s="2631"/>
      <c r="CH336" s="2631"/>
      <c r="CI336" s="2631"/>
      <c r="CJ336" s="2631"/>
      <c r="CK336" s="2631"/>
      <c r="CL336" s="2715"/>
    </row>
    <row r="337" spans="1:286" s="2757" customFormat="1" x14ac:dyDescent="0.25">
      <c r="A337" s="2212"/>
      <c r="B337" s="2212"/>
      <c r="C337" s="2212"/>
      <c r="D337" s="2212"/>
      <c r="E337" s="2212"/>
      <c r="F337" s="2212"/>
      <c r="G337" s="2212"/>
      <c r="H337" s="2212"/>
      <c r="I337" s="2212"/>
      <c r="J337" s="2212"/>
      <c r="K337" s="2212"/>
      <c r="L337" s="2212"/>
      <c r="M337" s="2212"/>
      <c r="N337" s="2212"/>
      <c r="O337" s="2212"/>
      <c r="P337" s="2212"/>
      <c r="Q337" s="2212"/>
      <c r="R337" s="2212"/>
      <c r="S337" s="2212"/>
      <c r="T337" s="2212"/>
      <c r="U337" s="2212"/>
      <c r="V337" s="2212"/>
      <c r="W337" s="2212"/>
      <c r="X337" s="2212"/>
      <c r="Y337" s="2212"/>
      <c r="Z337" s="2212"/>
      <c r="AA337" s="2212"/>
      <c r="AB337" s="2212"/>
      <c r="AC337" s="2212"/>
      <c r="AD337" s="2271"/>
      <c r="AE337" s="2271"/>
      <c r="AF337" s="2212"/>
      <c r="AG337" s="2212"/>
      <c r="AH337" s="2212"/>
      <c r="AI337" s="2212"/>
      <c r="AJ337" s="2212"/>
      <c r="AK337" s="2212"/>
      <c r="AL337" s="2212"/>
      <c r="AM337" s="2212"/>
      <c r="AN337" s="2212"/>
      <c r="AO337" s="2212"/>
      <c r="AP337" s="2212"/>
      <c r="AQ337" s="2212"/>
      <c r="AR337" s="2212"/>
      <c r="AS337" s="2212"/>
      <c r="AT337" s="2212"/>
      <c r="AU337" s="2212"/>
      <c r="AV337" s="2212"/>
      <c r="AW337" s="2212"/>
      <c r="AX337" s="2212"/>
      <c r="AY337" s="2212"/>
      <c r="AZ337" s="2212"/>
      <c r="BA337" s="2212"/>
      <c r="BB337" s="2212"/>
      <c r="BC337" s="2212"/>
      <c r="BD337" s="2212"/>
      <c r="BE337" s="2212"/>
      <c r="BF337" s="2212"/>
      <c r="BG337" s="2212"/>
      <c r="BH337" s="2212"/>
      <c r="BI337" s="2212"/>
      <c r="BJ337" s="2212"/>
      <c r="BK337" s="2212"/>
      <c r="BL337" s="2212"/>
      <c r="BM337" s="2212"/>
      <c r="BN337" s="2212"/>
      <c r="BO337" s="2212"/>
      <c r="BP337" s="2212"/>
      <c r="BQ337" s="2212"/>
      <c r="BR337" s="2212"/>
      <c r="BS337" s="2212"/>
      <c r="BT337" s="2212"/>
      <c r="BU337" s="2212"/>
      <c r="BV337" s="2212"/>
      <c r="BW337" s="2212"/>
      <c r="CF337" s="2840" t="s">
        <v>990</v>
      </c>
      <c r="CG337" s="2764">
        <f t="shared" ref="CG337:CL337" si="27">+CG330+CG322</f>
        <v>2932.8750883095108</v>
      </c>
      <c r="CH337" s="2764">
        <f t="shared" si="27"/>
        <v>3253.4694961770447</v>
      </c>
      <c r="CI337" s="2764">
        <f t="shared" si="27"/>
        <v>3576.6254110811533</v>
      </c>
      <c r="CJ337" s="2764">
        <f t="shared" si="27"/>
        <v>3834.3733118206628</v>
      </c>
      <c r="CK337" s="2764">
        <f t="shared" si="27"/>
        <v>3928.2653349254315</v>
      </c>
      <c r="CL337" s="2775">
        <f t="shared" si="27"/>
        <v>3591.8337073943417</v>
      </c>
      <c r="CT337" s="2944"/>
      <c r="CU337" s="2944"/>
      <c r="CV337" s="2944"/>
      <c r="JV337" s="3896"/>
      <c r="JW337" s="3843"/>
      <c r="JX337" s="3843"/>
      <c r="JY337" s="3843"/>
      <c r="JZ337" s="3843"/>
    </row>
    <row r="338" spans="1:286" s="2759" customFormat="1" x14ac:dyDescent="0.25">
      <c r="A338" s="665"/>
      <c r="B338" s="665"/>
      <c r="C338" s="665"/>
      <c r="D338" s="665"/>
      <c r="E338" s="665"/>
      <c r="F338" s="665"/>
      <c r="G338" s="665"/>
      <c r="H338" s="665"/>
      <c r="I338" s="665"/>
      <c r="J338" s="665"/>
      <c r="K338" s="665"/>
      <c r="L338" s="665"/>
      <c r="M338" s="665"/>
      <c r="N338" s="665"/>
      <c r="O338" s="665"/>
      <c r="P338" s="665"/>
      <c r="Q338" s="665"/>
      <c r="R338" s="665"/>
      <c r="S338" s="665"/>
      <c r="T338" s="665"/>
      <c r="U338" s="665"/>
      <c r="V338" s="665"/>
      <c r="W338" s="665"/>
      <c r="X338" s="665"/>
      <c r="Y338" s="665"/>
      <c r="Z338" s="665"/>
      <c r="AA338" s="665"/>
      <c r="AB338" s="665"/>
      <c r="AC338" s="665"/>
      <c r="AD338" s="2273"/>
      <c r="AE338" s="2273"/>
      <c r="AF338" s="665"/>
      <c r="AG338" s="665"/>
      <c r="AH338" s="665"/>
      <c r="AI338" s="665"/>
      <c r="AJ338" s="665"/>
      <c r="AK338" s="665"/>
      <c r="AL338" s="665"/>
      <c r="AM338" s="665"/>
      <c r="AN338" s="665"/>
      <c r="AO338" s="665"/>
      <c r="AP338" s="665"/>
      <c r="AQ338" s="665"/>
      <c r="AR338" s="665"/>
      <c r="AS338" s="665"/>
      <c r="AT338" s="665"/>
      <c r="AU338" s="665"/>
      <c r="AV338" s="665"/>
      <c r="AW338" s="665"/>
      <c r="AX338" s="665"/>
      <c r="AY338" s="665"/>
      <c r="AZ338" s="665"/>
      <c r="BA338" s="665"/>
      <c r="BB338" s="665"/>
      <c r="BC338" s="665"/>
      <c r="BD338" s="665"/>
      <c r="BE338" s="665"/>
      <c r="BF338" s="665"/>
      <c r="BG338" s="665"/>
      <c r="BH338" s="665"/>
      <c r="BI338" s="665"/>
      <c r="BJ338" s="665"/>
      <c r="BK338" s="665"/>
      <c r="BL338" s="665"/>
      <c r="BM338" s="665"/>
      <c r="BN338" s="665"/>
      <c r="BO338" s="665"/>
      <c r="BP338" s="665"/>
      <c r="BQ338" s="665"/>
      <c r="BR338" s="665"/>
      <c r="BS338" s="665"/>
      <c r="BT338" s="665"/>
      <c r="BU338" s="665"/>
      <c r="BV338" s="665"/>
      <c r="BW338" s="665"/>
      <c r="CF338" s="2861" t="s">
        <v>1493</v>
      </c>
      <c r="CG338" s="2852" t="s">
        <v>1979</v>
      </c>
      <c r="CH338" s="2277">
        <f>+CH$335/CH337-1</f>
        <v>-5.0621332692367682E-3</v>
      </c>
      <c r="CI338" s="2277">
        <f>+CI$335/CI337-1</f>
        <v>-2.4116059384999833E-3</v>
      </c>
      <c r="CJ338" s="2277">
        <f>+CJ$335/CJ337-1</f>
        <v>2.3635332506605877E-2</v>
      </c>
      <c r="CK338" s="2852" t="s">
        <v>1979</v>
      </c>
      <c r="CL338" s="2853" t="s">
        <v>1979</v>
      </c>
      <c r="CT338" s="2947"/>
      <c r="CU338" s="2947"/>
      <c r="CV338" s="2947"/>
      <c r="JV338" s="3900"/>
      <c r="JW338" s="3847"/>
      <c r="JX338" s="3847"/>
      <c r="JY338" s="3847"/>
      <c r="JZ338" s="3847"/>
    </row>
    <row r="339" spans="1:286" s="2757" customFormat="1" x14ac:dyDescent="0.25">
      <c r="A339" s="2212"/>
      <c r="B339" s="2212"/>
      <c r="C339" s="2212"/>
      <c r="D339" s="2212"/>
      <c r="E339" s="2212"/>
      <c r="F339" s="2212"/>
      <c r="G339" s="2212"/>
      <c r="H339" s="2212"/>
      <c r="I339" s="2212"/>
      <c r="J339" s="2212"/>
      <c r="K339" s="2212"/>
      <c r="L339" s="2212"/>
      <c r="M339" s="2212"/>
      <c r="N339" s="2212"/>
      <c r="O339" s="2212"/>
      <c r="P339" s="2212"/>
      <c r="Q339" s="2212"/>
      <c r="R339" s="2212"/>
      <c r="S339" s="2212"/>
      <c r="T339" s="2212"/>
      <c r="U339" s="2212"/>
      <c r="V339" s="2212"/>
      <c r="W339" s="2212"/>
      <c r="X339" s="2212"/>
      <c r="Y339" s="2212"/>
      <c r="Z339" s="2212"/>
      <c r="AA339" s="2212"/>
      <c r="AB339" s="2212"/>
      <c r="AC339" s="2212"/>
      <c r="AD339" s="2271"/>
      <c r="AE339" s="2271"/>
      <c r="AF339" s="2212"/>
      <c r="AG339" s="2212"/>
      <c r="AH339" s="2212"/>
      <c r="AI339" s="2212"/>
      <c r="AJ339" s="2212"/>
      <c r="AK339" s="2212"/>
      <c r="AL339" s="2212"/>
      <c r="AM339" s="2212"/>
      <c r="AN339" s="2212"/>
      <c r="AO339" s="2212"/>
      <c r="AP339" s="2212"/>
      <c r="AQ339" s="2212"/>
      <c r="AR339" s="2212"/>
      <c r="AS339" s="2212"/>
      <c r="AT339" s="2212"/>
      <c r="AU339" s="2212"/>
      <c r="AV339" s="2212"/>
      <c r="AW339" s="2212"/>
      <c r="AX339" s="2212"/>
      <c r="AY339" s="2212"/>
      <c r="AZ339" s="2212"/>
      <c r="BA339" s="2212"/>
      <c r="BB339" s="2212"/>
      <c r="BC339" s="2212"/>
      <c r="BD339" s="2212"/>
      <c r="BE339" s="2212"/>
      <c r="BF339" s="2212"/>
      <c r="BG339" s="2212"/>
      <c r="BH339" s="2212"/>
      <c r="BI339" s="2212"/>
      <c r="BJ339" s="2212"/>
      <c r="BK339" s="2212"/>
      <c r="BL339" s="2212"/>
      <c r="BM339" s="2212"/>
      <c r="BN339" s="2212"/>
      <c r="BO339" s="2212"/>
      <c r="BP339" s="2212"/>
      <c r="BQ339" s="2212"/>
      <c r="BR339" s="2212"/>
      <c r="BS339" s="2212"/>
      <c r="BT339" s="2212"/>
      <c r="BU339" s="2212"/>
      <c r="BV339" s="2212"/>
      <c r="BW339" s="2212"/>
      <c r="CF339" s="2840" t="s">
        <v>1984</v>
      </c>
      <c r="CG339" s="2764">
        <f ca="1">+CG332+CG324</f>
        <v>2915</v>
      </c>
      <c r="CH339" s="2764">
        <f ca="1">+CH332+CH324</f>
        <v>4106.0599999999995</v>
      </c>
      <c r="CI339" s="2764">
        <f ca="1">+CI332+CI324</f>
        <v>4312.67</v>
      </c>
      <c r="CJ339" s="2764">
        <f ca="1">+CJ332+CJ324</f>
        <v>4667.5200000000004</v>
      </c>
      <c r="CK339" s="2852" t="s">
        <v>1979</v>
      </c>
      <c r="CL339" s="2853" t="s">
        <v>1979</v>
      </c>
      <c r="CT339" s="2944"/>
      <c r="CU339" s="2944"/>
      <c r="CV339" s="2944"/>
      <c r="JV339" s="3896"/>
      <c r="JW339" s="3843"/>
      <c r="JX339" s="3843"/>
      <c r="JY339" s="3843"/>
      <c r="JZ339" s="3843"/>
    </row>
    <row r="340" spans="1:286" s="2759" customFormat="1" x14ac:dyDescent="0.25">
      <c r="A340" s="665"/>
      <c r="B340" s="665"/>
      <c r="C340" s="665"/>
      <c r="D340" s="665"/>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2273"/>
      <c r="AE340" s="2273"/>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CF340" s="2862" t="s">
        <v>1493</v>
      </c>
      <c r="CG340" s="2854" t="s">
        <v>1979</v>
      </c>
      <c r="CH340" s="2847">
        <f ca="1">+CH$335/CH339-1</f>
        <v>-0.21165302017018739</v>
      </c>
      <c r="CI340" s="2847">
        <f ca="1">+CI$335/CI339-1</f>
        <v>-0.17267029473620754</v>
      </c>
      <c r="CJ340" s="2847">
        <f ca="1">+CJ$335/CJ339-1</f>
        <v>-0.15908233922939818</v>
      </c>
      <c r="CK340" s="2854" t="s">
        <v>1979</v>
      </c>
      <c r="CL340" s="2855" t="s">
        <v>1979</v>
      </c>
      <c r="CT340" s="2947"/>
      <c r="CU340" s="2947"/>
      <c r="CV340" s="2947"/>
      <c r="JV340" s="3900"/>
      <c r="JW340" s="3847"/>
      <c r="JX340" s="3847"/>
      <c r="JY340" s="3847"/>
      <c r="JZ340" s="3847"/>
    </row>
    <row r="342" spans="1:286" x14ac:dyDescent="0.25">
      <c r="CM342" s="2837" t="s">
        <v>1083</v>
      </c>
      <c r="CN342" s="2838">
        <v>2016</v>
      </c>
      <c r="CO342" s="2838">
        <v>2017</v>
      </c>
      <c r="CP342" s="2839">
        <v>2018</v>
      </c>
    </row>
    <row r="343" spans="1:286" x14ac:dyDescent="0.25">
      <c r="CM343" s="2765" t="s">
        <v>1492</v>
      </c>
      <c r="CN343" s="2843">
        <v>2081</v>
      </c>
      <c r="CO343" s="2843">
        <v>2302</v>
      </c>
      <c r="CP343" s="2844">
        <v>2552</v>
      </c>
    </row>
    <row r="344" spans="1:286" x14ac:dyDescent="0.25">
      <c r="CM344" s="2765" t="s">
        <v>2320</v>
      </c>
      <c r="CN344" s="2843">
        <v>834</v>
      </c>
      <c r="CO344" s="2843">
        <v>837</v>
      </c>
      <c r="CP344" s="2844">
        <v>874</v>
      </c>
    </row>
    <row r="345" spans="1:286" x14ac:dyDescent="0.25">
      <c r="CM345" s="2765"/>
      <c r="CN345" s="2843"/>
      <c r="CO345" s="2843"/>
      <c r="CP345" s="2844"/>
    </row>
    <row r="346" spans="1:286" x14ac:dyDescent="0.25">
      <c r="CM346" s="2765" t="s">
        <v>1863</v>
      </c>
      <c r="CN346" s="2843">
        <v>1962</v>
      </c>
      <c r="CO346" s="2843">
        <v>2192</v>
      </c>
      <c r="CP346" s="2844">
        <v>2436</v>
      </c>
    </row>
    <row r="347" spans="1:286" s="2761" customFormat="1" x14ac:dyDescent="0.25">
      <c r="A347" s="2747"/>
      <c r="B347" s="2747"/>
      <c r="C347" s="2747"/>
      <c r="D347" s="2747"/>
      <c r="E347" s="2747"/>
      <c r="F347" s="2747"/>
      <c r="G347" s="2747"/>
      <c r="H347" s="2747"/>
      <c r="I347" s="2747"/>
      <c r="J347" s="2747"/>
      <c r="K347" s="2747"/>
      <c r="L347" s="2747"/>
      <c r="M347" s="2747"/>
      <c r="N347" s="2747"/>
      <c r="O347" s="2747"/>
      <c r="P347" s="2747"/>
      <c r="Q347" s="2747"/>
      <c r="R347" s="2747"/>
      <c r="S347" s="2747"/>
      <c r="T347" s="2747"/>
      <c r="U347" s="2747"/>
      <c r="V347" s="2747"/>
      <c r="W347" s="2747"/>
      <c r="X347" s="2747"/>
      <c r="Y347" s="2747"/>
      <c r="Z347" s="2747"/>
      <c r="AA347" s="2747"/>
      <c r="AB347" s="2747"/>
      <c r="AC347" s="2747"/>
      <c r="AD347" s="2746"/>
      <c r="AE347" s="2746"/>
      <c r="AF347" s="2747"/>
      <c r="AG347" s="2747"/>
      <c r="AH347" s="2747"/>
      <c r="AI347" s="2747"/>
      <c r="AJ347" s="2747"/>
      <c r="AK347" s="2747"/>
      <c r="AL347" s="2747"/>
      <c r="AM347" s="2747"/>
      <c r="AN347" s="2747"/>
      <c r="AO347" s="2747"/>
      <c r="AP347" s="2747"/>
      <c r="AQ347" s="2747"/>
      <c r="AR347" s="2747"/>
      <c r="AS347" s="2747"/>
      <c r="AT347" s="2747"/>
      <c r="AU347" s="2747"/>
      <c r="AV347" s="2747"/>
      <c r="AW347" s="2747"/>
      <c r="AX347" s="2747"/>
      <c r="AY347" s="2747"/>
      <c r="AZ347" s="2747"/>
      <c r="BA347" s="2747"/>
      <c r="BB347" s="2747"/>
      <c r="BC347" s="2747"/>
      <c r="BD347" s="2747"/>
      <c r="BE347" s="2747"/>
      <c r="BF347" s="2747"/>
      <c r="BG347" s="2747"/>
      <c r="BH347" s="2747"/>
      <c r="BI347" s="2747"/>
      <c r="BJ347" s="2747"/>
      <c r="BK347" s="2747"/>
      <c r="BL347" s="2747"/>
      <c r="BM347" s="2747"/>
      <c r="BN347" s="2747"/>
      <c r="BO347" s="2747"/>
      <c r="BP347" s="2747"/>
      <c r="BQ347" s="2747"/>
      <c r="BR347" s="2747"/>
      <c r="BS347" s="2747"/>
      <c r="BT347" s="2747"/>
      <c r="BU347" s="2747"/>
      <c r="BV347" s="2747"/>
      <c r="BW347" s="2747"/>
      <c r="CM347" s="2869" t="s">
        <v>2041</v>
      </c>
      <c r="CN347" s="2870">
        <f>+CN346/SUM(CN343:CN344)</f>
        <v>0.67307032590051463</v>
      </c>
      <c r="CO347" s="2870">
        <f>+CO346/SUM(CO343:CO344)</f>
        <v>0.69831156419241802</v>
      </c>
      <c r="CP347" s="2871">
        <f>+CP346/SUM(CP343:CP344)</f>
        <v>0.71103327495621715</v>
      </c>
      <c r="CT347" s="2948"/>
      <c r="CU347" s="2948"/>
      <c r="CV347" s="2948"/>
      <c r="JV347" s="3901"/>
      <c r="JW347" s="3848"/>
      <c r="JX347" s="3848"/>
      <c r="JY347" s="3848"/>
      <c r="JZ347" s="3848"/>
    </row>
    <row r="348" spans="1:286" x14ac:dyDescent="0.25">
      <c r="CM348" s="2765"/>
      <c r="CN348" s="2631"/>
      <c r="CO348" s="2631"/>
      <c r="CP348" s="2715"/>
    </row>
    <row r="349" spans="1:286" x14ac:dyDescent="0.25">
      <c r="CM349" s="2768" t="s">
        <v>990</v>
      </c>
      <c r="CN349" s="2631"/>
      <c r="CO349" s="2631"/>
      <c r="CP349" s="2715"/>
    </row>
    <row r="350" spans="1:286" x14ac:dyDescent="0.25">
      <c r="CM350" s="2765" t="s">
        <v>1492</v>
      </c>
      <c r="CN350" s="2631">
        <f>+MAR!DU10</f>
        <v>2199</v>
      </c>
      <c r="CO350" s="2631">
        <f>+MAR!DV10</f>
        <v>3327</v>
      </c>
      <c r="CP350" s="2715">
        <f ca="1">+MAR!DW10</f>
        <v>3618.7504967097111</v>
      </c>
    </row>
    <row r="351" spans="1:286" x14ac:dyDescent="0.25">
      <c r="CM351" s="2765" t="s">
        <v>2320</v>
      </c>
      <c r="CN351" s="2631">
        <f>+MAR!DU11</f>
        <v>2140</v>
      </c>
      <c r="CO351" s="2631">
        <f>+MAR!DV11</f>
        <v>1802</v>
      </c>
      <c r="CP351" s="2715">
        <f>+MAR!DW11</f>
        <v>1723.605</v>
      </c>
    </row>
    <row r="352" spans="1:286" x14ac:dyDescent="0.25">
      <c r="CM352" s="2765"/>
      <c r="CN352" s="2631"/>
      <c r="CO352" s="2631"/>
      <c r="CP352" s="2715"/>
    </row>
    <row r="353" spans="1:286" x14ac:dyDescent="0.25">
      <c r="CM353" s="2765" t="s">
        <v>1863</v>
      </c>
      <c r="CN353" s="2631">
        <f>+MAR!DU98</f>
        <v>2136</v>
      </c>
      <c r="CO353" s="2631">
        <f>+MAR!DV98</f>
        <v>3223</v>
      </c>
      <c r="CP353" s="2715">
        <f ca="1">+MAR!DW98</f>
        <v>3408.5199569809874</v>
      </c>
    </row>
    <row r="354" spans="1:286" s="2761" customFormat="1" x14ac:dyDescent="0.25">
      <c r="A354" s="2747"/>
      <c r="B354" s="2747"/>
      <c r="C354" s="2747"/>
      <c r="D354" s="2747"/>
      <c r="E354" s="2747"/>
      <c r="F354" s="2747"/>
      <c r="G354" s="2747"/>
      <c r="H354" s="2747"/>
      <c r="I354" s="2747"/>
      <c r="J354" s="2747"/>
      <c r="K354" s="2747"/>
      <c r="L354" s="2747"/>
      <c r="M354" s="2747"/>
      <c r="N354" s="2747"/>
      <c r="O354" s="2747"/>
      <c r="P354" s="2747"/>
      <c r="Q354" s="2747"/>
      <c r="R354" s="2747"/>
      <c r="S354" s="2747"/>
      <c r="T354" s="2747"/>
      <c r="U354" s="2747"/>
      <c r="V354" s="2747"/>
      <c r="W354" s="2747"/>
      <c r="X354" s="2747"/>
      <c r="Y354" s="2747"/>
      <c r="Z354" s="2747"/>
      <c r="AA354" s="2747"/>
      <c r="AB354" s="2747"/>
      <c r="AC354" s="2747"/>
      <c r="AD354" s="2746"/>
      <c r="AE354" s="2746"/>
      <c r="AF354" s="2747"/>
      <c r="AG354" s="2747"/>
      <c r="AH354" s="2747"/>
      <c r="AI354" s="2747"/>
      <c r="AJ354" s="2747"/>
      <c r="AK354" s="2747"/>
      <c r="AL354" s="2747"/>
      <c r="AM354" s="2747"/>
      <c r="AN354" s="2747"/>
      <c r="AO354" s="2747"/>
      <c r="AP354" s="2747"/>
      <c r="AQ354" s="2747"/>
      <c r="AR354" s="2747"/>
      <c r="AS354" s="2747"/>
      <c r="AT354" s="2747"/>
      <c r="AU354" s="2747"/>
      <c r="AV354" s="2747"/>
      <c r="AW354" s="2747"/>
      <c r="AX354" s="2747"/>
      <c r="AY354" s="2747"/>
      <c r="AZ354" s="2747"/>
      <c r="BA354" s="2747"/>
      <c r="BB354" s="2747"/>
      <c r="BC354" s="2747"/>
      <c r="BD354" s="2747"/>
      <c r="BE354" s="2747"/>
      <c r="BF354" s="2747"/>
      <c r="BG354" s="2747"/>
      <c r="BH354" s="2747"/>
      <c r="BI354" s="2747"/>
      <c r="BJ354" s="2747"/>
      <c r="BK354" s="2747"/>
      <c r="BL354" s="2747"/>
      <c r="BM354" s="2747"/>
      <c r="BN354" s="2747"/>
      <c r="BO354" s="2747"/>
      <c r="BP354" s="2747"/>
      <c r="BQ354" s="2747"/>
      <c r="BR354" s="2747"/>
      <c r="BS354" s="2747"/>
      <c r="BT354" s="2747"/>
      <c r="BU354" s="2747"/>
      <c r="BV354" s="2747"/>
      <c r="BW354" s="2747"/>
      <c r="CM354" s="2869" t="s">
        <v>2041</v>
      </c>
      <c r="CN354" s="2870">
        <f>+CN353/SUM(CN350:CN351)</f>
        <v>0.49227932703387878</v>
      </c>
      <c r="CO354" s="2870">
        <f>+CO353/SUM(CO350:CO351)</f>
        <v>0.6283875999220121</v>
      </c>
      <c r="CP354" s="2871">
        <f ca="1">+CP353/SUM(CP350:CP351)</f>
        <v>0.63801818487748552</v>
      </c>
      <c r="CT354" s="2948"/>
      <c r="CU354" s="2948"/>
      <c r="CV354" s="2948"/>
      <c r="JV354" s="3901"/>
      <c r="JW354" s="3848"/>
      <c r="JX354" s="3848"/>
      <c r="JY354" s="3848"/>
      <c r="JZ354" s="3848"/>
    </row>
    <row r="355" spans="1:286" x14ac:dyDescent="0.25">
      <c r="CM355" s="2765"/>
      <c r="CN355" s="2631"/>
      <c r="CO355" s="2631"/>
      <c r="CP355" s="2715"/>
    </row>
    <row r="356" spans="1:286" x14ac:dyDescent="0.25">
      <c r="CM356" s="2768" t="s">
        <v>1984</v>
      </c>
      <c r="CN356" s="2631"/>
      <c r="CO356" s="2631"/>
      <c r="CP356" s="2715"/>
    </row>
    <row r="357" spans="1:286" x14ac:dyDescent="0.25">
      <c r="CM357" s="2765" t="s">
        <v>1492</v>
      </c>
      <c r="CN357" s="2843">
        <v>2086.8200000000002</v>
      </c>
      <c r="CO357" s="2843">
        <v>2287.34</v>
      </c>
      <c r="CP357" s="2844">
        <v>2442.0700000000002</v>
      </c>
    </row>
    <row r="358" spans="1:286" x14ac:dyDescent="0.25">
      <c r="CM358" s="2765" t="s">
        <v>2320</v>
      </c>
      <c r="CN358" s="2843">
        <v>1039.17</v>
      </c>
      <c r="CO358" s="2843">
        <v>1074.4100000000001</v>
      </c>
      <c r="CP358" s="2844">
        <v>1150.9100000000001</v>
      </c>
    </row>
    <row r="359" spans="1:286" x14ac:dyDescent="0.25">
      <c r="CM359" s="2765"/>
      <c r="CN359" s="2631"/>
      <c r="CO359" s="2631"/>
      <c r="CP359" s="2715"/>
    </row>
    <row r="360" spans="1:286" x14ac:dyDescent="0.25">
      <c r="CM360" s="2872" t="s">
        <v>1863</v>
      </c>
      <c r="CN360" s="2873">
        <v>1917.06</v>
      </c>
      <c r="CO360" s="2873">
        <v>2101.81</v>
      </c>
      <c r="CP360" s="2874">
        <v>2209.36</v>
      </c>
    </row>
    <row r="361" spans="1:286" s="2761" customFormat="1" x14ac:dyDescent="0.25">
      <c r="A361" s="2747"/>
      <c r="B361" s="2747"/>
      <c r="C361" s="2747"/>
      <c r="D361" s="2747"/>
      <c r="E361" s="2747"/>
      <c r="F361" s="2747"/>
      <c r="G361" s="2747"/>
      <c r="H361" s="2747"/>
      <c r="I361" s="2747"/>
      <c r="J361" s="2747"/>
      <c r="K361" s="2747"/>
      <c r="L361" s="2747"/>
      <c r="M361" s="2747"/>
      <c r="N361" s="2747"/>
      <c r="O361" s="2747"/>
      <c r="P361" s="2747"/>
      <c r="Q361" s="2747"/>
      <c r="R361" s="2747"/>
      <c r="S361" s="2747"/>
      <c r="T361" s="2747"/>
      <c r="U361" s="2747"/>
      <c r="V361" s="2747"/>
      <c r="W361" s="2747"/>
      <c r="X361" s="2747"/>
      <c r="Y361" s="2747"/>
      <c r="Z361" s="2747"/>
      <c r="AA361" s="2747"/>
      <c r="AB361" s="2747"/>
      <c r="AC361" s="2747"/>
      <c r="AD361" s="2746"/>
      <c r="AE361" s="2746"/>
      <c r="AF361" s="2747"/>
      <c r="AG361" s="2747"/>
      <c r="AH361" s="2747"/>
      <c r="AI361" s="2747"/>
      <c r="AJ361" s="2747"/>
      <c r="AK361" s="2747"/>
      <c r="AL361" s="2747"/>
      <c r="AM361" s="2747"/>
      <c r="AN361" s="2747"/>
      <c r="AO361" s="2747"/>
      <c r="AP361" s="2747"/>
      <c r="AQ361" s="2747"/>
      <c r="AR361" s="2747"/>
      <c r="AS361" s="2747"/>
      <c r="AT361" s="2747"/>
      <c r="AU361" s="2747"/>
      <c r="AV361" s="2747"/>
      <c r="AW361" s="2747"/>
      <c r="AX361" s="2747"/>
      <c r="AY361" s="2747"/>
      <c r="AZ361" s="2747"/>
      <c r="BA361" s="2747"/>
      <c r="BB361" s="2747"/>
      <c r="BC361" s="2747"/>
      <c r="BD361" s="2747"/>
      <c r="BE361" s="2747"/>
      <c r="BF361" s="2747"/>
      <c r="BG361" s="2747"/>
      <c r="BH361" s="2747"/>
      <c r="BI361" s="2747"/>
      <c r="BJ361" s="2747"/>
      <c r="BK361" s="2747"/>
      <c r="BL361" s="2747"/>
      <c r="BM361" s="2747"/>
      <c r="BN361" s="2747"/>
      <c r="BO361" s="2747"/>
      <c r="BP361" s="2747"/>
      <c r="BQ361" s="2747"/>
      <c r="BR361" s="2747"/>
      <c r="BS361" s="2747"/>
      <c r="BT361" s="2747"/>
      <c r="BU361" s="2747"/>
      <c r="BV361" s="2747"/>
      <c r="BW361" s="2747"/>
      <c r="CM361" s="2875" t="s">
        <v>2041</v>
      </c>
      <c r="CN361" s="2876">
        <f>+CN360/SUM(CN357:CN358)</f>
        <v>0.61326491767408076</v>
      </c>
      <c r="CO361" s="2876">
        <f>+CO360/SUM(CO357:CO358)</f>
        <v>0.62521305867479737</v>
      </c>
      <c r="CP361" s="2877">
        <f>+CP360/SUM(CP357:CP358)</f>
        <v>0.6149101859737599</v>
      </c>
      <c r="CT361" s="2948"/>
      <c r="CU361" s="2948"/>
      <c r="CV361" s="2948"/>
      <c r="JV361" s="3901"/>
      <c r="JW361" s="3848"/>
      <c r="JX361" s="3848"/>
      <c r="JY361" s="3848"/>
      <c r="JZ361" s="3848"/>
    </row>
    <row r="363" spans="1:286" x14ac:dyDescent="0.25">
      <c r="CM363" s="2434" t="s">
        <v>2390</v>
      </c>
      <c r="CR363" s="2910"/>
    </row>
    <row r="364" spans="1:286" x14ac:dyDescent="0.25">
      <c r="CQ364" s="2837" t="s">
        <v>2405</v>
      </c>
      <c r="CR364" s="2928"/>
    </row>
    <row r="365" spans="1:286" x14ac:dyDescent="0.25">
      <c r="CQ365" s="2929" t="s">
        <v>2406</v>
      </c>
      <c r="CR365" s="2930" t="s">
        <v>1591</v>
      </c>
    </row>
    <row r="366" spans="1:286" x14ac:dyDescent="0.25">
      <c r="CQ366" s="2765" t="s">
        <v>2407</v>
      </c>
      <c r="CR366" s="2931">
        <v>14.24</v>
      </c>
    </row>
    <row r="367" spans="1:286" x14ac:dyDescent="0.25">
      <c r="CQ367" s="2765" t="s">
        <v>2408</v>
      </c>
      <c r="CR367" s="2927">
        <v>58.026707999999999</v>
      </c>
    </row>
    <row r="368" spans="1:286" x14ac:dyDescent="0.25">
      <c r="CQ368" s="2765" t="s">
        <v>2409</v>
      </c>
      <c r="CR368" s="2775">
        <f>+CR367*CR366</f>
        <v>826.30032191999999</v>
      </c>
    </row>
    <row r="369" spans="95:101" x14ac:dyDescent="0.25">
      <c r="CQ369" s="2765" t="s">
        <v>2425</v>
      </c>
      <c r="CR369" s="2927">
        <v>72.400000000000006</v>
      </c>
    </row>
    <row r="370" spans="95:101" x14ac:dyDescent="0.25">
      <c r="CQ370" s="2765" t="s">
        <v>2410</v>
      </c>
      <c r="CR370" s="2777">
        <f>+CR367/CR371</f>
        <v>0.44489896961901387</v>
      </c>
    </row>
    <row r="371" spans="95:101" x14ac:dyDescent="0.25">
      <c r="CQ371" s="2765" t="s">
        <v>2414</v>
      </c>
      <c r="CR371" s="2933">
        <f>+CR369+CR367</f>
        <v>130.42670800000002</v>
      </c>
    </row>
    <row r="372" spans="95:101" x14ac:dyDescent="0.25">
      <c r="CQ372" s="2765" t="s">
        <v>2411</v>
      </c>
      <c r="CR372" s="2775">
        <f>+CR371*CR366</f>
        <v>1857.2763219200003</v>
      </c>
    </row>
    <row r="373" spans="95:101" x14ac:dyDescent="0.25">
      <c r="CQ373" s="2783" t="s">
        <v>2415</v>
      </c>
      <c r="CR373" s="2817">
        <f>+CR369</f>
        <v>72.400000000000006</v>
      </c>
    </row>
    <row r="374" spans="95:101" x14ac:dyDescent="0.25">
      <c r="CQ374" s="2783" t="s">
        <v>2416</v>
      </c>
      <c r="CR374" s="2816">
        <f>+CR373/BY264</f>
        <v>0.43095238095238098</v>
      </c>
    </row>
    <row r="375" spans="95:101" x14ac:dyDescent="0.25">
      <c r="CQ375" s="2765" t="s">
        <v>2426</v>
      </c>
      <c r="CR375" s="2927">
        <v>123</v>
      </c>
    </row>
    <row r="376" spans="95:101" x14ac:dyDescent="0.25">
      <c r="CQ376" s="2765" t="s">
        <v>2412</v>
      </c>
      <c r="CR376" s="2775">
        <f>+CR372*(1-CR370)+CR375</f>
        <v>1153.9760000000003</v>
      </c>
    </row>
    <row r="377" spans="95:101" x14ac:dyDescent="0.25">
      <c r="CQ377" s="2929" t="s">
        <v>2413</v>
      </c>
      <c r="CR377" s="2932">
        <f>CR376/BY275</f>
        <v>6.8689047619047638</v>
      </c>
    </row>
    <row r="378" spans="95:101" x14ac:dyDescent="0.25">
      <c r="CS378" s="2434" t="s">
        <v>2446</v>
      </c>
    </row>
    <row r="379" spans="95:101" ht="26.25" x14ac:dyDescent="0.25">
      <c r="CS379" s="2962"/>
      <c r="CT379" s="2963" t="s">
        <v>2447</v>
      </c>
      <c r="CU379" s="2963" t="s">
        <v>2450</v>
      </c>
      <c r="CV379" s="2964" t="s">
        <v>2449</v>
      </c>
    </row>
    <row r="380" spans="95:101" x14ac:dyDescent="0.25">
      <c r="CS380" s="2765" t="s">
        <v>1863</v>
      </c>
      <c r="CT380" s="2955" t="s">
        <v>2153</v>
      </c>
      <c r="CU380" s="2955">
        <f>AVERAGE(2075,2270)</f>
        <v>2172.5</v>
      </c>
      <c r="CV380" s="2956">
        <v>2192</v>
      </c>
    </row>
    <row r="381" spans="95:101" ht="15.75" thickBot="1" x14ac:dyDescent="0.3">
      <c r="CS381" s="2765"/>
      <c r="CT381" s="2907"/>
      <c r="CU381" s="2907"/>
      <c r="CV381" s="2957"/>
    </row>
    <row r="382" spans="95:101" ht="15.75" thickBot="1" x14ac:dyDescent="0.3">
      <c r="CS382" s="2765" t="s">
        <v>1253</v>
      </c>
      <c r="CT382" s="2907" t="s">
        <v>2154</v>
      </c>
      <c r="CU382" s="2958">
        <f>AVERAGE(4,4.6)</f>
        <v>4.3</v>
      </c>
      <c r="CV382" s="2954">
        <f>+CU382+(CV380-CU380)*(1-MAR!CT638)/'New Exhibits'!CU384</f>
        <v>4.3389018946388846</v>
      </c>
      <c r="CW382" s="2434" t="s">
        <v>1252</v>
      </c>
    </row>
    <row r="383" spans="95:101" x14ac:dyDescent="0.25">
      <c r="CS383" s="2765"/>
      <c r="CT383" s="2907"/>
      <c r="CU383" s="2907"/>
      <c r="CV383" s="2957"/>
    </row>
    <row r="384" spans="95:101" x14ac:dyDescent="0.25">
      <c r="CS384" s="2807" t="s">
        <v>1510</v>
      </c>
      <c r="CT384" s="2959" t="s">
        <v>2448</v>
      </c>
      <c r="CU384" s="2960">
        <f>AVERAGE(239,246)</f>
        <v>242.5</v>
      </c>
      <c r="CV384" s="2961"/>
    </row>
    <row r="386" spans="102:126" x14ac:dyDescent="0.25">
      <c r="CX386" s="199" t="s">
        <v>2661</v>
      </c>
    </row>
    <row r="387" spans="102:126" x14ac:dyDescent="0.25">
      <c r="CY387" s="2945" t="s">
        <v>722</v>
      </c>
      <c r="CZ387" s="2945"/>
      <c r="DA387" s="2945"/>
      <c r="DB387" s="2945"/>
      <c r="DC387" s="2945"/>
      <c r="DD387" s="2945"/>
      <c r="DE387" s="2945"/>
      <c r="DF387" s="2945"/>
    </row>
    <row r="388" spans="102:126" x14ac:dyDescent="0.25">
      <c r="CX388" s="2434" t="s">
        <v>2662</v>
      </c>
      <c r="CY388" s="2434">
        <f>+MAR!CT7</f>
        <v>1102</v>
      </c>
      <c r="CZ388" s="2759">
        <f>+CY388/$CY$393</f>
        <v>0.2976769313884387</v>
      </c>
    </row>
    <row r="389" spans="102:126" x14ac:dyDescent="0.25">
      <c r="CX389" s="2434" t="s">
        <v>1209</v>
      </c>
      <c r="CY389" s="2434">
        <f>+MAR!CT8</f>
        <v>1618</v>
      </c>
      <c r="CZ389" s="2759">
        <f>+CY389/$CY$393</f>
        <v>0.43706104808211776</v>
      </c>
    </row>
    <row r="390" spans="102:126" x14ac:dyDescent="0.25">
      <c r="CX390" s="2434" t="s">
        <v>2663</v>
      </c>
      <c r="CY390" s="2434">
        <f>+MAR!CT9</f>
        <v>607</v>
      </c>
      <c r="CZ390" s="2759">
        <f>+CY390/$CY$393</f>
        <v>0.16396542409508374</v>
      </c>
    </row>
    <row r="391" spans="102:126" x14ac:dyDescent="0.25">
      <c r="CX391" s="2434" t="s">
        <v>2664</v>
      </c>
      <c r="CY391" s="2434">
        <f>+MAR!CT11-MAR!CT26</f>
        <v>375</v>
      </c>
      <c r="CZ391" s="2759">
        <f>+CY391/$CY$393</f>
        <v>0.1012965964343598</v>
      </c>
    </row>
    <row r="393" spans="102:126" x14ac:dyDescent="0.25">
      <c r="CX393" s="2434" t="s">
        <v>1735</v>
      </c>
      <c r="CY393" s="2434">
        <f>+SUM(CY388:CY392)</f>
        <v>3702</v>
      </c>
    </row>
    <row r="394" spans="102:126" x14ac:dyDescent="0.25">
      <c r="CX394" s="247" t="s">
        <v>1410</v>
      </c>
      <c r="CY394" s="247">
        <f>+MAR!CT33+MAR!CT30+MAR!CT29</f>
        <v>3702</v>
      </c>
    </row>
    <row r="397" spans="102:126" x14ac:dyDescent="0.25">
      <c r="DC397" s="2434" t="s">
        <v>664</v>
      </c>
    </row>
    <row r="399" spans="102:126" x14ac:dyDescent="0.25">
      <c r="DD399" s="3370">
        <v>2001</v>
      </c>
      <c r="DE399" s="3370">
        <f>DD399+1</f>
        <v>2002</v>
      </c>
      <c r="DF399" s="3370">
        <f>DE399+1</f>
        <v>2003</v>
      </c>
      <c r="DG399" s="3372">
        <f>DF399+1</f>
        <v>2004</v>
      </c>
      <c r="DH399" s="3370">
        <v>2005</v>
      </c>
      <c r="DI399" s="3370">
        <f>DH399+1</f>
        <v>2006</v>
      </c>
      <c r="DJ399" s="3370">
        <f t="shared" ref="DJ399:DR399" si="28">DI399+1</f>
        <v>2007</v>
      </c>
      <c r="DK399" s="3370">
        <f t="shared" si="28"/>
        <v>2008</v>
      </c>
      <c r="DL399" s="3370">
        <f t="shared" si="28"/>
        <v>2009</v>
      </c>
      <c r="DM399" s="3370">
        <f t="shared" si="28"/>
        <v>2010</v>
      </c>
      <c r="DN399" s="3370">
        <f t="shared" si="28"/>
        <v>2011</v>
      </c>
      <c r="DO399" s="3370">
        <f t="shared" si="28"/>
        <v>2012</v>
      </c>
      <c r="DP399" s="3370">
        <f t="shared" si="28"/>
        <v>2013</v>
      </c>
      <c r="DQ399" s="3370">
        <f t="shared" si="28"/>
        <v>2014</v>
      </c>
      <c r="DR399" s="3370">
        <f t="shared" si="28"/>
        <v>2015</v>
      </c>
      <c r="DS399" s="3371" t="s">
        <v>721</v>
      </c>
      <c r="DT399" s="3371" t="s">
        <v>722</v>
      </c>
      <c r="DU399" s="2945" t="s">
        <v>723</v>
      </c>
      <c r="DV399" s="2945"/>
    </row>
    <row r="400" spans="102:126" x14ac:dyDescent="0.25">
      <c r="DC400" s="2434" t="s">
        <v>2665</v>
      </c>
      <c r="DD400" s="2434">
        <f>Rooms!M973-Rooms!M923-Rooms!M947</f>
        <v>428892</v>
      </c>
      <c r="DE400" s="2434">
        <f>Rooms!R973-Rooms!R923-Rooms!R947</f>
        <v>424001</v>
      </c>
      <c r="DF400" s="2434">
        <f>Rooms!W973-Rooms!W923-Rooms!W947</f>
        <v>446581</v>
      </c>
      <c r="DG400" s="2644">
        <f>Rooms!AB973</f>
        <v>464549</v>
      </c>
      <c r="DH400" s="2434">
        <f>Rooms!AG973</f>
        <v>475294</v>
      </c>
      <c r="DI400" s="2434">
        <f>Rooms!AL973</f>
        <v>490647</v>
      </c>
      <c r="DJ400" s="2434">
        <f>Rooms!AQ973</f>
        <v>511092</v>
      </c>
      <c r="DK400" s="2434">
        <f>Rooms!AV973</f>
        <v>533866</v>
      </c>
      <c r="DL400" s="2434">
        <f>Rooms!BA973</f>
        <v>567576</v>
      </c>
      <c r="DM400" s="2434">
        <f>Rooms!BF973</f>
        <v>588761</v>
      </c>
      <c r="DN400" s="2434">
        <f>Rooms!BK973</f>
        <v>604013</v>
      </c>
      <c r="DO400" s="2434">
        <f>Rooms!BP973</f>
        <v>614689</v>
      </c>
      <c r="DP400" s="2434">
        <f>Rooms!BU973</f>
        <v>628169</v>
      </c>
      <c r="DQ400" s="2434">
        <f>Rooms!BZ973</f>
        <v>660287</v>
      </c>
      <c r="DR400" s="2434">
        <f>Rooms!CE973</f>
        <v>692324</v>
      </c>
    </row>
    <row r="401" spans="107:126" x14ac:dyDescent="0.25">
      <c r="DC401" s="1113" t="s">
        <v>2666</v>
      </c>
      <c r="DE401" s="2761">
        <f>DE400/DD400-1</f>
        <v>-1.1403803288473569E-2</v>
      </c>
      <c r="DF401" s="2761">
        <f>DF400/DE400-1</f>
        <v>5.3254591380680782E-2</v>
      </c>
      <c r="DG401" s="3033">
        <f>DG400/DF400-1</f>
        <v>4.0234582304218058E-2</v>
      </c>
      <c r="DH401" s="2761">
        <f>DH400/DG400-1</f>
        <v>2.3129960456270471E-2</v>
      </c>
      <c r="DI401" s="2761">
        <f>DI400/DH400-1</f>
        <v>3.2302111955968327E-2</v>
      </c>
      <c r="DJ401" s="2761">
        <f t="shared" ref="DJ401:DR401" si="29">DJ400/DI400-1</f>
        <v>4.1669469088774669E-2</v>
      </c>
      <c r="DK401" s="2761">
        <f t="shared" si="29"/>
        <v>4.4559492224491848E-2</v>
      </c>
      <c r="DL401" s="2761">
        <f t="shared" si="29"/>
        <v>6.3143185743238961E-2</v>
      </c>
      <c r="DM401" s="2761">
        <f t="shared" si="29"/>
        <v>3.7325397832184581E-2</v>
      </c>
      <c r="DN401" s="2761">
        <f t="shared" si="29"/>
        <v>2.5905248479433984E-2</v>
      </c>
      <c r="DO401" s="2761">
        <f t="shared" si="29"/>
        <v>1.7675116264053825E-2</v>
      </c>
      <c r="DP401" s="2761">
        <f t="shared" si="29"/>
        <v>2.1929788885111101E-2</v>
      </c>
      <c r="DQ401" s="2761">
        <f t="shared" si="29"/>
        <v>5.1129552715909243E-2</v>
      </c>
      <c r="DR401" s="2761">
        <f t="shared" si="29"/>
        <v>4.8519810324904267E-2</v>
      </c>
      <c r="DS401" s="3373">
        <f>Rooms!CJ854</f>
        <v>8.9009239077244784E-2</v>
      </c>
      <c r="DT401" s="3373">
        <f ca="1">Rooms!CO854</f>
        <v>5.6326032837114681E-2</v>
      </c>
      <c r="DU401" s="3373">
        <f ca="1">Rooms!CT854</f>
        <v>5.5650458865867725E-2</v>
      </c>
      <c r="DV401" s="2761"/>
    </row>
    <row r="402" spans="107:126" x14ac:dyDescent="0.25">
      <c r="DC402" s="1113" t="s">
        <v>2667</v>
      </c>
      <c r="DE402" s="3374">
        <v>0</v>
      </c>
      <c r="DF402" s="3374">
        <v>0</v>
      </c>
      <c r="DG402" s="3374">
        <v>0</v>
      </c>
      <c r="DH402" s="3374">
        <v>0</v>
      </c>
      <c r="DI402" s="3374">
        <v>0</v>
      </c>
      <c r="DJ402" s="3374">
        <v>0</v>
      </c>
      <c r="DK402" s="3374">
        <v>0</v>
      </c>
      <c r="DL402" s="3374">
        <v>0</v>
      </c>
      <c r="DM402" s="3374">
        <v>0</v>
      </c>
      <c r="DN402" s="3374">
        <v>0</v>
      </c>
      <c r="DO402" s="3374">
        <v>0</v>
      </c>
      <c r="DP402" s="3374">
        <v>0</v>
      </c>
      <c r="DQ402" s="3374">
        <v>0</v>
      </c>
      <c r="DR402" s="3374">
        <v>0</v>
      </c>
      <c r="DS402" s="3374">
        <v>0</v>
      </c>
      <c r="DT402" s="3374">
        <v>0</v>
      </c>
      <c r="DU402" s="3374">
        <v>0</v>
      </c>
    </row>
    <row r="418" spans="108:147" x14ac:dyDescent="0.25">
      <c r="DD418" s="2434">
        <v>20790</v>
      </c>
    </row>
    <row r="419" spans="108:147" x14ac:dyDescent="0.25">
      <c r="DD419" s="2434">
        <v>19798</v>
      </c>
    </row>
    <row r="420" spans="108:147" x14ac:dyDescent="0.25">
      <c r="DD420" s="2434">
        <f>SUM(DD418:DD419)</f>
        <v>40588</v>
      </c>
    </row>
    <row r="422" spans="108:147" x14ac:dyDescent="0.25">
      <c r="DD422" s="2434">
        <v>19776</v>
      </c>
    </row>
    <row r="423" spans="108:147" x14ac:dyDescent="0.25">
      <c r="DD423" s="2434">
        <f>DD420+DD422</f>
        <v>60364</v>
      </c>
    </row>
    <row r="427" spans="108:147" x14ac:dyDescent="0.25">
      <c r="DV427" t="s">
        <v>2711</v>
      </c>
      <c r="DW427"/>
      <c r="DX427"/>
    </row>
    <row r="428" spans="108:147" x14ac:dyDescent="0.25">
      <c r="DV428" s="2765"/>
      <c r="DW428" s="1051" t="s">
        <v>1591</v>
      </c>
      <c r="DX428" t="s">
        <v>2715</v>
      </c>
    </row>
    <row r="429" spans="108:147" x14ac:dyDescent="0.25">
      <c r="DV429" s="2765" t="s">
        <v>2712</v>
      </c>
      <c r="DW429" s="2631">
        <f ca="1">+MAR!CZ47-DW430</f>
        <v>3161.3117640867022</v>
      </c>
      <c r="DX429" s="2715">
        <f ca="1">+DW429</f>
        <v>3161.3117640867022</v>
      </c>
    </row>
    <row r="430" spans="108:147" x14ac:dyDescent="0.25">
      <c r="DV430" s="2765" t="s">
        <v>2249</v>
      </c>
      <c r="DW430" s="2631">
        <f>+MAR!CZ39</f>
        <v>-360.40811934872193</v>
      </c>
      <c r="DX430" s="2715"/>
    </row>
    <row r="431" spans="108:147" x14ac:dyDescent="0.25">
      <c r="DV431" s="2765" t="s">
        <v>2716</v>
      </c>
      <c r="DW431" s="2631"/>
      <c r="DX431" s="2715">
        <f>+MAR!CZ657+MAR!CZ658</f>
        <v>-502.36413420000002</v>
      </c>
    </row>
    <row r="432" spans="108:147" x14ac:dyDescent="0.25">
      <c r="DV432" s="2765"/>
      <c r="DW432" s="2631"/>
      <c r="DX432" s="2715"/>
      <c r="EJ432" s="2761"/>
      <c r="EK432" s="2761"/>
      <c r="EL432" s="2761"/>
      <c r="EM432" s="2761"/>
      <c r="EN432" s="2761"/>
      <c r="EO432" s="2761"/>
      <c r="EP432" s="2761"/>
      <c r="EQ432" s="2761"/>
    </row>
    <row r="433" spans="1:286" x14ac:dyDescent="0.25">
      <c r="DV433" s="2765" t="s">
        <v>90</v>
      </c>
      <c r="DW433" s="2277">
        <f ca="1">+MAR!CZ50</f>
        <v>0.21999999999999997</v>
      </c>
      <c r="DX433" s="1811">
        <v>0.2</v>
      </c>
    </row>
    <row r="434" spans="1:286" x14ac:dyDescent="0.25">
      <c r="DV434" s="2765" t="s">
        <v>2713</v>
      </c>
      <c r="DW434" s="2631">
        <f ca="1">-(DW429+DW430)*DW433</f>
        <v>-616.19880184235558</v>
      </c>
      <c r="DX434" s="2715">
        <f ca="1">-(DX429+DX431)*DX433</f>
        <v>-531.78952597734042</v>
      </c>
    </row>
    <row r="435" spans="1:286" x14ac:dyDescent="0.25">
      <c r="DV435" s="2765"/>
      <c r="DW435" s="2631"/>
      <c r="DX435" s="2715"/>
    </row>
    <row r="436" spans="1:286" x14ac:dyDescent="0.25">
      <c r="DV436" s="2765" t="s">
        <v>1296</v>
      </c>
      <c r="DW436" s="2631">
        <f ca="1">+DW429+DW434+DW430</f>
        <v>2184.704842895625</v>
      </c>
      <c r="DX436" s="2715">
        <f ca="1">+DX429+DX434+DX431</f>
        <v>2127.1581039093617</v>
      </c>
    </row>
    <row r="437" spans="1:286" x14ac:dyDescent="0.25">
      <c r="DV437" s="2765" t="s">
        <v>2714</v>
      </c>
      <c r="DW437" s="2631">
        <f>+MAR!CZ58</f>
        <v>351.50972501070453</v>
      </c>
      <c r="DX437" s="2715">
        <f>+DW437</f>
        <v>351.50972501070453</v>
      </c>
    </row>
    <row r="438" spans="1:286" x14ac:dyDescent="0.25">
      <c r="DV438" s="2765" t="s">
        <v>1253</v>
      </c>
      <c r="DW438" s="374">
        <f ca="1">+DW436/DW437</f>
        <v>6.2152045518202783</v>
      </c>
      <c r="DX438" s="2911">
        <f ca="1">+DX436/DX437</f>
        <v>6.0514914739402537</v>
      </c>
    </row>
    <row r="439" spans="1:286" x14ac:dyDescent="0.25">
      <c r="DV439" s="2807"/>
      <c r="DW439" s="3581"/>
      <c r="DX439">
        <f ca="1">+DX438/DW438-1</f>
        <v>-2.6340738509093353E-2</v>
      </c>
    </row>
    <row r="442" spans="1:286" x14ac:dyDescent="0.25">
      <c r="EA442" s="3713" t="s">
        <v>2934</v>
      </c>
      <c r="EB442" s="3716">
        <v>2016</v>
      </c>
      <c r="EC442" s="3714" t="s">
        <v>727</v>
      </c>
      <c r="ED442" s="3718" t="s">
        <v>728</v>
      </c>
      <c r="EE442" s="3715"/>
    </row>
    <row r="443" spans="1:286" x14ac:dyDescent="0.25">
      <c r="EA443" s="3700"/>
      <c r="EB443" s="3701"/>
      <c r="EC443" s="2907"/>
      <c r="ED443" s="3719" t="s">
        <v>2935</v>
      </c>
      <c r="EE443" s="3717" t="s">
        <v>2936</v>
      </c>
    </row>
    <row r="444" spans="1:286" s="2757" customFormat="1" x14ac:dyDescent="0.25">
      <c r="A444" s="2212"/>
      <c r="B444" s="2212"/>
      <c r="C444" s="2212"/>
      <c r="D444" s="2212"/>
      <c r="E444" s="2212"/>
      <c r="F444" s="2212"/>
      <c r="G444" s="2212"/>
      <c r="H444" s="2212"/>
      <c r="I444" s="2212"/>
      <c r="J444" s="2212"/>
      <c r="K444" s="2212"/>
      <c r="L444" s="2212"/>
      <c r="M444" s="2212"/>
      <c r="N444" s="2212"/>
      <c r="O444" s="2212"/>
      <c r="P444" s="2212"/>
      <c r="Q444" s="2212"/>
      <c r="R444" s="2212"/>
      <c r="S444" s="2212"/>
      <c r="T444" s="2212"/>
      <c r="U444" s="2212"/>
      <c r="V444" s="2212"/>
      <c r="W444" s="2212"/>
      <c r="X444" s="2212"/>
      <c r="Y444" s="2212"/>
      <c r="Z444" s="2212"/>
      <c r="AA444" s="2212"/>
      <c r="AB444" s="2212"/>
      <c r="AC444" s="2212"/>
      <c r="AD444" s="2271"/>
      <c r="AE444" s="2271"/>
      <c r="AF444" s="2212"/>
      <c r="AG444" s="2212"/>
      <c r="AH444" s="2212"/>
      <c r="AI444" s="2212"/>
      <c r="AJ444" s="2212"/>
      <c r="AK444" s="2212"/>
      <c r="AL444" s="2212"/>
      <c r="AM444" s="2212"/>
      <c r="AN444" s="2212"/>
      <c r="AO444" s="2212"/>
      <c r="AP444" s="2212"/>
      <c r="AQ444" s="2212"/>
      <c r="AR444" s="2212"/>
      <c r="AS444" s="2212"/>
      <c r="AT444" s="2212"/>
      <c r="AU444" s="2212"/>
      <c r="AV444" s="2212"/>
      <c r="AW444" s="2212"/>
      <c r="AX444" s="2212"/>
      <c r="AY444" s="2212"/>
      <c r="AZ444" s="2212"/>
      <c r="BA444" s="2212"/>
      <c r="BB444" s="2212"/>
      <c r="BC444" s="2212"/>
      <c r="BD444" s="2212"/>
      <c r="BE444" s="2212"/>
      <c r="BF444" s="2212"/>
      <c r="BG444" s="2212"/>
      <c r="BH444" s="2212"/>
      <c r="BI444" s="2212"/>
      <c r="BJ444" s="2212"/>
      <c r="BK444" s="2212"/>
      <c r="BL444" s="2212"/>
      <c r="BM444" s="2212"/>
      <c r="BN444" s="2212"/>
      <c r="BO444" s="2212"/>
      <c r="BP444" s="2212"/>
      <c r="BQ444" s="2212"/>
      <c r="BR444" s="2212"/>
      <c r="BS444" s="2212"/>
      <c r="BT444" s="2212"/>
      <c r="BU444" s="2212"/>
      <c r="BV444" s="2212"/>
      <c r="BW444" s="2212"/>
      <c r="CT444" s="2944"/>
      <c r="CU444" s="2944"/>
      <c r="CV444" s="2944"/>
      <c r="EA444" s="3740" t="s">
        <v>2717</v>
      </c>
      <c r="EB444" s="1485">
        <v>60000</v>
      </c>
      <c r="EC444" s="2789">
        <f>+EB444*(EC$453/EB$453)</f>
        <v>83930.635838150294</v>
      </c>
      <c r="ED444" s="3753">
        <f>+EC444*1.15</f>
        <v>96520.23121387283</v>
      </c>
      <c r="EE444" s="3734">
        <f>+ED444</f>
        <v>96520.23121387283</v>
      </c>
      <c r="JV444" s="3896"/>
      <c r="JW444" s="3843"/>
      <c r="JX444" s="3843"/>
      <c r="JY444" s="3843"/>
      <c r="JZ444" s="3843"/>
    </row>
    <row r="445" spans="1:286" hidden="1" outlineLevel="1" x14ac:dyDescent="0.25">
      <c r="EA445" s="3700" t="s">
        <v>2718</v>
      </c>
      <c r="EB445" s="1492">
        <v>4000</v>
      </c>
      <c r="EC445" s="2907"/>
      <c r="ED445" s="3720"/>
      <c r="EE445" s="3702"/>
    </row>
    <row r="446" spans="1:286" ht="4.5" hidden="1" customHeight="1" outlineLevel="1" x14ac:dyDescent="0.25">
      <c r="EA446" s="3700"/>
      <c r="EB446" s="3703" t="s">
        <v>2723</v>
      </c>
      <c r="EC446" s="2907"/>
      <c r="ED446" s="3720"/>
      <c r="EE446" s="3702"/>
    </row>
    <row r="447" spans="1:286" hidden="1" outlineLevel="1" x14ac:dyDescent="0.25">
      <c r="EA447" s="1429" t="s">
        <v>2720</v>
      </c>
      <c r="EB447" s="3704">
        <f>EB445/EB444</f>
        <v>6.6666666666666666E-2</v>
      </c>
      <c r="EC447" s="2907"/>
      <c r="ED447" s="3720"/>
      <c r="EE447" s="3702"/>
    </row>
    <row r="448" spans="1:286" collapsed="1" x14ac:dyDescent="0.25">
      <c r="EA448" s="3700"/>
      <c r="EB448" s="3705"/>
      <c r="EC448" s="2907"/>
      <c r="ED448" s="3720"/>
      <c r="EE448" s="3702"/>
    </row>
    <row r="449" spans="1:286" s="2757" customFormat="1" x14ac:dyDescent="0.25">
      <c r="A449" s="2212"/>
      <c r="B449" s="2212"/>
      <c r="C449" s="2212"/>
      <c r="D449" s="2212"/>
      <c r="E449" s="2212"/>
      <c r="F449" s="2212"/>
      <c r="G449" s="2212"/>
      <c r="H449" s="2212"/>
      <c r="I449" s="2212"/>
      <c r="J449" s="2212"/>
      <c r="K449" s="2212"/>
      <c r="L449" s="2212"/>
      <c r="M449" s="2212"/>
      <c r="N449" s="2212"/>
      <c r="O449" s="2212"/>
      <c r="P449" s="2212"/>
      <c r="Q449" s="2212"/>
      <c r="R449" s="2212"/>
      <c r="S449" s="2212"/>
      <c r="T449" s="2212"/>
      <c r="U449" s="2212"/>
      <c r="V449" s="2212"/>
      <c r="W449" s="2212"/>
      <c r="X449" s="2212"/>
      <c r="Y449" s="2212"/>
      <c r="Z449" s="2212"/>
      <c r="AA449" s="2212"/>
      <c r="AB449" s="2212"/>
      <c r="AC449" s="2212"/>
      <c r="AD449" s="2271"/>
      <c r="AE449" s="2271"/>
      <c r="AF449" s="2212"/>
      <c r="AG449" s="2212"/>
      <c r="AH449" s="2212"/>
      <c r="AI449" s="2212"/>
      <c r="AJ449" s="2212"/>
      <c r="AK449" s="2212"/>
      <c r="AL449" s="2212"/>
      <c r="AM449" s="2212"/>
      <c r="AN449" s="2212"/>
      <c r="AO449" s="2212"/>
      <c r="AP449" s="2212"/>
      <c r="AQ449" s="2212"/>
      <c r="AR449" s="2212"/>
      <c r="AS449" s="2212"/>
      <c r="AT449" s="2212"/>
      <c r="AU449" s="2212"/>
      <c r="AV449" s="2212"/>
      <c r="AW449" s="2212"/>
      <c r="AX449" s="2212"/>
      <c r="AY449" s="2212"/>
      <c r="AZ449" s="2212"/>
      <c r="BA449" s="2212"/>
      <c r="BB449" s="2212"/>
      <c r="BC449" s="2212"/>
      <c r="BD449" s="2212"/>
      <c r="BE449" s="2212"/>
      <c r="BF449" s="2212"/>
      <c r="BG449" s="2212"/>
      <c r="BH449" s="2212"/>
      <c r="BI449" s="2212"/>
      <c r="BJ449" s="2212"/>
      <c r="BK449" s="2212"/>
      <c r="BL449" s="2212"/>
      <c r="BM449" s="2212"/>
      <c r="BN449" s="2212"/>
      <c r="BO449" s="2212"/>
      <c r="BP449" s="2212"/>
      <c r="BQ449" s="2212"/>
      <c r="BR449" s="2212"/>
      <c r="BS449" s="2212"/>
      <c r="BT449" s="2212"/>
      <c r="BU449" s="2212"/>
      <c r="BV449" s="2212"/>
      <c r="BW449" s="2212"/>
      <c r="CT449" s="2944"/>
      <c r="CU449" s="2944"/>
      <c r="CV449" s="2944"/>
      <c r="EA449" s="3740" t="s">
        <v>2719</v>
      </c>
      <c r="EB449" s="1485">
        <v>1300</v>
      </c>
      <c r="EC449" s="2789">
        <f>+EB449*(EC$453/EB$453)</f>
        <v>1818.4971098265896</v>
      </c>
      <c r="ED449" s="3741">
        <f>+ED444*ED451</f>
        <v>2895.6069364161849</v>
      </c>
      <c r="EE449" s="3734">
        <f>+EE444*EE451</f>
        <v>3378.2080924855495</v>
      </c>
      <c r="JV449" s="3896"/>
      <c r="JW449" s="3843"/>
      <c r="JX449" s="3843"/>
      <c r="JY449" s="3843"/>
      <c r="JZ449" s="3843"/>
    </row>
    <row r="450" spans="1:286" ht="4.5" customHeight="1" x14ac:dyDescent="0.25">
      <c r="EA450" s="3700"/>
      <c r="EB450" s="3703" t="s">
        <v>2723</v>
      </c>
      <c r="EC450" s="3703" t="s">
        <v>2723</v>
      </c>
      <c r="ED450" s="3721" t="s">
        <v>2723</v>
      </c>
      <c r="EE450" s="3706" t="s">
        <v>2723</v>
      </c>
    </row>
    <row r="451" spans="1:286" x14ac:dyDescent="0.25">
      <c r="EA451" s="1429" t="s">
        <v>2721</v>
      </c>
      <c r="EB451" s="3707">
        <f>EB449/$EB$444</f>
        <v>2.1666666666666667E-2</v>
      </c>
      <c r="EC451" s="3708">
        <f>+EC449/EC444</f>
        <v>2.1666666666666664E-2</v>
      </c>
      <c r="ED451" s="3722">
        <v>0.03</v>
      </c>
      <c r="EE451" s="3709">
        <v>3.5000000000000003E-2</v>
      </c>
    </row>
    <row r="452" spans="1:286" x14ac:dyDescent="0.25">
      <c r="EA452" s="3700"/>
      <c r="EB452" s="3710"/>
      <c r="EC452" s="3724"/>
      <c r="ED452" s="3720"/>
      <c r="EE452" s="3702"/>
    </row>
    <row r="453" spans="1:286" s="2757" customFormat="1" x14ac:dyDescent="0.25">
      <c r="A453" s="2212"/>
      <c r="B453" s="2212"/>
      <c r="C453" s="2212"/>
      <c r="D453" s="2212"/>
      <c r="E453" s="2212"/>
      <c r="F453" s="2212"/>
      <c r="G453" s="2212"/>
      <c r="H453" s="2212"/>
      <c r="I453" s="2212"/>
      <c r="J453" s="2212"/>
      <c r="K453" s="2212"/>
      <c r="L453" s="2212"/>
      <c r="M453" s="2212"/>
      <c r="N453" s="2212"/>
      <c r="O453" s="2212"/>
      <c r="P453" s="2212"/>
      <c r="Q453" s="2212"/>
      <c r="R453" s="2212"/>
      <c r="S453" s="2212"/>
      <c r="T453" s="2212"/>
      <c r="U453" s="2212"/>
      <c r="V453" s="2212"/>
      <c r="W453" s="2212"/>
      <c r="X453" s="2212"/>
      <c r="Y453" s="2212"/>
      <c r="Z453" s="2212"/>
      <c r="AA453" s="2212"/>
      <c r="AB453" s="2212"/>
      <c r="AC453" s="2212"/>
      <c r="AD453" s="2271"/>
      <c r="AE453" s="2271"/>
      <c r="AF453" s="2212"/>
      <c r="AG453" s="2212"/>
      <c r="AH453" s="2212"/>
      <c r="AI453" s="2212"/>
      <c r="AJ453" s="2212"/>
      <c r="AK453" s="2212"/>
      <c r="AL453" s="2212"/>
      <c r="AM453" s="2212"/>
      <c r="AN453" s="2212"/>
      <c r="AO453" s="2212"/>
      <c r="AP453" s="2212"/>
      <c r="AQ453" s="2212"/>
      <c r="AR453" s="2212"/>
      <c r="AS453" s="2212"/>
      <c r="AT453" s="2212"/>
      <c r="AU453" s="2212"/>
      <c r="AV453" s="2212"/>
      <c r="AW453" s="2212"/>
      <c r="AX453" s="2212"/>
      <c r="AY453" s="2212"/>
      <c r="AZ453" s="2212"/>
      <c r="BA453" s="2212"/>
      <c r="BB453" s="2212"/>
      <c r="BC453" s="2212"/>
      <c r="BD453" s="2212"/>
      <c r="BE453" s="2212"/>
      <c r="BF453" s="2212"/>
      <c r="BG453" s="2212"/>
      <c r="BH453" s="2212"/>
      <c r="BI453" s="2212"/>
      <c r="BJ453" s="2212"/>
      <c r="BK453" s="2212"/>
      <c r="BL453" s="2212"/>
      <c r="BM453" s="2212"/>
      <c r="BN453" s="2212"/>
      <c r="BO453" s="2212"/>
      <c r="BP453" s="2212"/>
      <c r="BQ453" s="2212"/>
      <c r="BR453" s="2212"/>
      <c r="BS453" s="2212"/>
      <c r="BT453" s="2212"/>
      <c r="BU453" s="2212"/>
      <c r="BV453" s="2212"/>
      <c r="BW453" s="2212"/>
      <c r="CT453" s="2944"/>
      <c r="CU453" s="2944"/>
      <c r="CV453" s="2944"/>
      <c r="EA453" s="3740" t="s">
        <v>2737</v>
      </c>
      <c r="EB453" s="1485">
        <v>173</v>
      </c>
      <c r="EC453" s="3742">
        <v>242</v>
      </c>
      <c r="ED453" s="3741">
        <f>+ED449*ED455</f>
        <v>434.34104046242771</v>
      </c>
      <c r="EE453" s="3734">
        <f>+EE449*EE455</f>
        <v>675.6416184971099</v>
      </c>
      <c r="JV453" s="3896"/>
      <c r="JW453" s="3843"/>
      <c r="JX453" s="3843"/>
      <c r="JY453" s="3843"/>
      <c r="JZ453" s="3843"/>
    </row>
    <row r="454" spans="1:286" ht="4.5" customHeight="1" x14ac:dyDescent="0.25">
      <c r="EA454" s="3700"/>
      <c r="EB454" s="3703" t="s">
        <v>2723</v>
      </c>
      <c r="EC454" s="3703" t="s">
        <v>2723</v>
      </c>
      <c r="ED454" s="3721" t="s">
        <v>2723</v>
      </c>
      <c r="EE454" s="3706" t="s">
        <v>2723</v>
      </c>
    </row>
    <row r="455" spans="1:286" x14ac:dyDescent="0.25">
      <c r="DU455" s="2761"/>
      <c r="EA455" s="1429" t="s">
        <v>2739</v>
      </c>
      <c r="EB455" s="3704">
        <f>EB453/$EB$449</f>
        <v>0.13307692307692306</v>
      </c>
      <c r="EC455" s="3711">
        <f>+EC453/EC449</f>
        <v>0.13307692307692306</v>
      </c>
      <c r="ED455" s="3723">
        <v>0.15</v>
      </c>
      <c r="EE455" s="3712">
        <v>0.2</v>
      </c>
    </row>
    <row r="456" spans="1:286" x14ac:dyDescent="0.25">
      <c r="EA456" s="1429"/>
      <c r="EB456" s="3704"/>
      <c r="EC456" s="3711"/>
      <c r="ED456" s="3723"/>
      <c r="EE456" s="3752"/>
    </row>
    <row r="457" spans="1:286" s="56" customFormat="1" x14ac:dyDescent="0.25">
      <c r="A457" s="2863"/>
      <c r="B457" s="2863"/>
      <c r="C457" s="2863"/>
      <c r="D457" s="2863"/>
      <c r="E457" s="2863"/>
      <c r="F457" s="2863"/>
      <c r="G457" s="2863"/>
      <c r="H457" s="2863"/>
      <c r="I457" s="2863"/>
      <c r="J457" s="2863"/>
      <c r="K457" s="2863"/>
      <c r="L457" s="2863"/>
      <c r="M457" s="2863"/>
      <c r="N457" s="2863"/>
      <c r="O457" s="2863"/>
      <c r="P457" s="2863"/>
      <c r="Q457" s="2863"/>
      <c r="R457" s="2863"/>
      <c r="S457" s="2863"/>
      <c r="T457" s="2863"/>
      <c r="U457" s="2863"/>
      <c r="V457" s="2863"/>
      <c r="W457" s="2863"/>
      <c r="X457" s="2863"/>
      <c r="Y457" s="2863"/>
      <c r="Z457" s="2863"/>
      <c r="AA457" s="2863"/>
      <c r="AB457" s="2863"/>
      <c r="AC457" s="2863"/>
      <c r="AD457" s="2864"/>
      <c r="AE457" s="2864"/>
      <c r="AF457" s="2863"/>
      <c r="AG457" s="2863"/>
      <c r="AH457" s="2863"/>
      <c r="AI457" s="2863"/>
      <c r="AJ457" s="2863"/>
      <c r="AK457" s="2863"/>
      <c r="AL457" s="2863"/>
      <c r="AM457" s="2863"/>
      <c r="AN457" s="2863"/>
      <c r="AO457" s="2863"/>
      <c r="AP457" s="2863"/>
      <c r="AQ457" s="2863"/>
      <c r="AR457" s="2863"/>
      <c r="AS457" s="2863"/>
      <c r="AT457" s="2863"/>
      <c r="AU457" s="2863"/>
      <c r="AV457" s="2863"/>
      <c r="AW457" s="2863"/>
      <c r="AX457" s="2863"/>
      <c r="AY457" s="2863"/>
      <c r="AZ457" s="2863"/>
      <c r="BA457" s="2863"/>
      <c r="BB457" s="2863"/>
      <c r="BC457" s="2863"/>
      <c r="BD457" s="2863"/>
      <c r="BE457" s="2863"/>
      <c r="BF457" s="2863"/>
      <c r="BG457" s="2863"/>
      <c r="BH457" s="2863"/>
      <c r="BI457" s="2863"/>
      <c r="BJ457" s="2863"/>
      <c r="BK457" s="2863"/>
      <c r="BL457" s="2863"/>
      <c r="BM457" s="2863"/>
      <c r="BN457" s="2863"/>
      <c r="BO457" s="2863"/>
      <c r="BP457" s="2863"/>
      <c r="BQ457" s="2863"/>
      <c r="BR457" s="2863"/>
      <c r="BS457" s="2863"/>
      <c r="BT457" s="2863"/>
      <c r="BU457" s="2863"/>
      <c r="BV457" s="2863"/>
      <c r="BW457" s="2863"/>
      <c r="CT457" s="2953"/>
      <c r="CU457" s="2953"/>
      <c r="CV457" s="2953"/>
      <c r="EA457" s="3743" t="s">
        <v>2741</v>
      </c>
      <c r="EB457" s="1495"/>
      <c r="EC457" s="1730"/>
      <c r="ED457" s="3744">
        <f>+ED453-EC453</f>
        <v>192.34104046242771</v>
      </c>
      <c r="EE457" s="3745">
        <f>+EE453-EC453</f>
        <v>433.6416184971099</v>
      </c>
      <c r="JV457" s="3906"/>
      <c r="JW457" s="3854"/>
      <c r="JX457" s="3854"/>
      <c r="JY457" s="3854"/>
      <c r="JZ457" s="3854"/>
    </row>
    <row r="458" spans="1:286" s="3746" customFormat="1" x14ac:dyDescent="0.25">
      <c r="A458" s="2835"/>
      <c r="B458" s="2835"/>
      <c r="C458" s="2835"/>
      <c r="D458" s="2835"/>
      <c r="E458" s="2835"/>
      <c r="F458" s="2835"/>
      <c r="G458" s="2835"/>
      <c r="H458" s="2835"/>
      <c r="I458" s="2835"/>
      <c r="J458" s="2835"/>
      <c r="K458" s="2835"/>
      <c r="L458" s="2835"/>
      <c r="M458" s="2835"/>
      <c r="N458" s="2835"/>
      <c r="O458" s="2835"/>
      <c r="P458" s="2835"/>
      <c r="Q458" s="2835"/>
      <c r="R458" s="2835"/>
      <c r="S458" s="2835"/>
      <c r="T458" s="2835"/>
      <c r="U458" s="2835"/>
      <c r="V458" s="2835"/>
      <c r="W458" s="2835"/>
      <c r="X458" s="2835"/>
      <c r="Y458" s="2835"/>
      <c r="Z458" s="2835"/>
      <c r="AA458" s="2835"/>
      <c r="AB458" s="2835"/>
      <c r="AC458" s="2835"/>
      <c r="AD458" s="2836"/>
      <c r="AE458" s="2836"/>
      <c r="AF458" s="2835"/>
      <c r="AG458" s="2835"/>
      <c r="AH458" s="2835"/>
      <c r="AI458" s="2835"/>
      <c r="AJ458" s="2835"/>
      <c r="AK458" s="2835"/>
      <c r="AL458" s="2835"/>
      <c r="AM458" s="2835"/>
      <c r="AN458" s="2835"/>
      <c r="AO458" s="2835"/>
      <c r="AP458" s="2835"/>
      <c r="AQ458" s="2835"/>
      <c r="AR458" s="2835"/>
      <c r="AS458" s="2835"/>
      <c r="AT458" s="2835"/>
      <c r="AU458" s="2835"/>
      <c r="AV458" s="2835"/>
      <c r="AW458" s="2835"/>
      <c r="AX458" s="2835"/>
      <c r="AY458" s="2835"/>
      <c r="AZ458" s="2835"/>
      <c r="BA458" s="2835"/>
      <c r="BB458" s="2835"/>
      <c r="BC458" s="2835"/>
      <c r="BD458" s="2835"/>
      <c r="BE458" s="2835"/>
      <c r="BF458" s="2835"/>
      <c r="BG458" s="2835"/>
      <c r="BH458" s="2835"/>
      <c r="BI458" s="2835"/>
      <c r="BJ458" s="2835"/>
      <c r="BK458" s="2835"/>
      <c r="BL458" s="2835"/>
      <c r="BM458" s="2835"/>
      <c r="BN458" s="2835"/>
      <c r="BO458" s="2835"/>
      <c r="BP458" s="2835"/>
      <c r="BQ458" s="2835"/>
      <c r="BR458" s="2835"/>
      <c r="BS458" s="2835"/>
      <c r="BT458" s="2835"/>
      <c r="BU458" s="2835"/>
      <c r="BV458" s="2835"/>
      <c r="BW458" s="2835"/>
      <c r="CT458" s="3747"/>
      <c r="CU458" s="3747"/>
      <c r="CV458" s="3747"/>
      <c r="EA458" s="3748" t="s">
        <v>2916</v>
      </c>
      <c r="EB458" s="3749">
        <f>+EB449-EB453</f>
        <v>1127</v>
      </c>
      <c r="EC458" s="3749">
        <f>+EC449-EC453</f>
        <v>1576.4971098265896</v>
      </c>
      <c r="ED458" s="3750">
        <f>+ED449-ED453</f>
        <v>2461.2658959537571</v>
      </c>
      <c r="EE458" s="3751">
        <f>+EE449-EE453</f>
        <v>2702.5664739884396</v>
      </c>
      <c r="JV458" s="3896"/>
      <c r="JW458" s="3843"/>
      <c r="JX458" s="3843"/>
      <c r="JY458" s="3843"/>
      <c r="JZ458" s="3843"/>
    </row>
    <row r="459" spans="1:286" s="3746" customFormat="1" x14ac:dyDescent="0.25">
      <c r="A459" s="2835"/>
      <c r="B459" s="2835"/>
      <c r="C459" s="2835"/>
      <c r="D459" s="2835"/>
      <c r="E459" s="2835"/>
      <c r="F459" s="2835"/>
      <c r="G459" s="2835"/>
      <c r="H459" s="2835"/>
      <c r="I459" s="2835"/>
      <c r="J459" s="2835"/>
      <c r="K459" s="2835"/>
      <c r="L459" s="2835"/>
      <c r="M459" s="2835"/>
      <c r="N459" s="2835"/>
      <c r="O459" s="2835"/>
      <c r="P459" s="2835"/>
      <c r="Q459" s="2835"/>
      <c r="R459" s="2835"/>
      <c r="S459" s="2835"/>
      <c r="T459" s="2835"/>
      <c r="U459" s="2835"/>
      <c r="V459" s="2835"/>
      <c r="W459" s="2835"/>
      <c r="X459" s="2835"/>
      <c r="Y459" s="2835"/>
      <c r="Z459" s="2835"/>
      <c r="AA459" s="2835"/>
      <c r="AB459" s="2835"/>
      <c r="AC459" s="2835"/>
      <c r="AD459" s="2836"/>
      <c r="AE459" s="2836"/>
      <c r="AF459" s="2835"/>
      <c r="AG459" s="2835"/>
      <c r="AH459" s="2835"/>
      <c r="AI459" s="2835"/>
      <c r="AJ459" s="2835"/>
      <c r="AK459" s="2835"/>
      <c r="AL459" s="2835"/>
      <c r="AM459" s="2835"/>
      <c r="AN459" s="2835"/>
      <c r="AO459" s="2835"/>
      <c r="AP459" s="2835"/>
      <c r="AQ459" s="2835"/>
      <c r="AR459" s="2835"/>
      <c r="AS459" s="2835"/>
      <c r="AT459" s="2835"/>
      <c r="AU459" s="2835"/>
      <c r="AV459" s="2835"/>
      <c r="AW459" s="2835"/>
      <c r="AX459" s="2835"/>
      <c r="AY459" s="2835"/>
      <c r="AZ459" s="2835"/>
      <c r="BA459" s="2835"/>
      <c r="BB459" s="2835"/>
      <c r="BC459" s="2835"/>
      <c r="BD459" s="2835"/>
      <c r="BE459" s="2835"/>
      <c r="BF459" s="2835"/>
      <c r="BG459" s="2835"/>
      <c r="BH459" s="2835"/>
      <c r="BI459" s="2835"/>
      <c r="BJ459" s="2835"/>
      <c r="BK459" s="2835"/>
      <c r="BL459" s="2835"/>
      <c r="BM459" s="2835"/>
      <c r="BN459" s="2835"/>
      <c r="BO459" s="2835"/>
      <c r="BP459" s="2835"/>
      <c r="BQ459" s="2835"/>
      <c r="BR459" s="2835"/>
      <c r="BS459" s="2835"/>
      <c r="BT459" s="2835"/>
      <c r="BU459" s="2835"/>
      <c r="BV459" s="2835"/>
      <c r="BW459" s="2835"/>
      <c r="CT459" s="3747"/>
      <c r="CU459" s="3747"/>
      <c r="CV459" s="3747"/>
      <c r="EA459" s="3795"/>
      <c r="EB459" s="3795"/>
      <c r="EC459" s="3795"/>
      <c r="ED459" s="3795"/>
      <c r="EE459" s="3795"/>
      <c r="JV459" s="3896"/>
      <c r="JW459" s="3843"/>
      <c r="JX459" s="3843"/>
      <c r="JY459" s="3843"/>
      <c r="JZ459" s="3843"/>
    </row>
    <row r="460" spans="1:286" s="3746" customFormat="1" x14ac:dyDescent="0.25">
      <c r="A460" s="2835"/>
      <c r="B460" s="2835"/>
      <c r="C460" s="2835"/>
      <c r="D460" s="2835"/>
      <c r="E460" s="2835"/>
      <c r="F460" s="2835"/>
      <c r="G460" s="2835"/>
      <c r="H460" s="2835"/>
      <c r="I460" s="2835"/>
      <c r="J460" s="2835"/>
      <c r="K460" s="2835"/>
      <c r="L460" s="2835"/>
      <c r="M460" s="2835"/>
      <c r="N460" s="2835"/>
      <c r="O460" s="2835"/>
      <c r="P460" s="2835"/>
      <c r="Q460" s="2835"/>
      <c r="R460" s="2835"/>
      <c r="S460" s="2835"/>
      <c r="T460" s="2835"/>
      <c r="U460" s="2835"/>
      <c r="V460" s="2835"/>
      <c r="W460" s="2835"/>
      <c r="X460" s="2835"/>
      <c r="Y460" s="2835"/>
      <c r="Z460" s="2835"/>
      <c r="AA460" s="2835"/>
      <c r="AB460" s="2835"/>
      <c r="AC460" s="2835"/>
      <c r="AD460" s="2836"/>
      <c r="AE460" s="2836"/>
      <c r="AF460" s="2835"/>
      <c r="AG460" s="2835"/>
      <c r="AH460" s="2835"/>
      <c r="AI460" s="2835"/>
      <c r="AJ460" s="2835"/>
      <c r="AK460" s="2835"/>
      <c r="AL460" s="2835"/>
      <c r="AM460" s="2835"/>
      <c r="AN460" s="2835"/>
      <c r="AO460" s="2835"/>
      <c r="AP460" s="2835"/>
      <c r="AQ460" s="2835"/>
      <c r="AR460" s="2835"/>
      <c r="AS460" s="2835"/>
      <c r="AT460" s="2835"/>
      <c r="AU460" s="2835"/>
      <c r="AV460" s="2835"/>
      <c r="AW460" s="2835"/>
      <c r="AX460" s="2835"/>
      <c r="AY460" s="2835"/>
      <c r="AZ460" s="2835"/>
      <c r="BA460" s="2835"/>
      <c r="BB460" s="2835"/>
      <c r="BC460" s="2835"/>
      <c r="BD460" s="2835"/>
      <c r="BE460" s="2835"/>
      <c r="BF460" s="2835"/>
      <c r="BG460" s="2835"/>
      <c r="BH460" s="2835"/>
      <c r="BI460" s="2835"/>
      <c r="BJ460" s="2835"/>
      <c r="BK460" s="2835"/>
      <c r="BL460" s="2835"/>
      <c r="BM460" s="2835"/>
      <c r="BN460" s="2835"/>
      <c r="BO460" s="2835"/>
      <c r="BP460" s="2835"/>
      <c r="BQ460" s="2835"/>
      <c r="BR460" s="2835"/>
      <c r="BS460" s="2835"/>
      <c r="BT460" s="2835"/>
      <c r="BU460" s="2835"/>
      <c r="BV460" s="2835"/>
      <c r="BW460" s="2835"/>
      <c r="CT460" s="3747"/>
      <c r="CU460" s="3747"/>
      <c r="CV460" s="3747"/>
      <c r="EA460" s="3795" t="s">
        <v>1204</v>
      </c>
      <c r="EB460" s="3795"/>
      <c r="EC460" s="3795"/>
      <c r="ED460" s="3797">
        <v>0.3</v>
      </c>
      <c r="EE460" s="3797">
        <v>0.3</v>
      </c>
      <c r="JV460" s="3896"/>
      <c r="JW460" s="3843"/>
      <c r="JX460" s="3843"/>
      <c r="JY460" s="3843"/>
      <c r="JZ460" s="3843"/>
    </row>
    <row r="461" spans="1:286" s="3746" customFormat="1" x14ac:dyDescent="0.25">
      <c r="A461" s="2835"/>
      <c r="B461" s="2835"/>
      <c r="C461" s="2835"/>
      <c r="D461" s="2835"/>
      <c r="E461" s="2835"/>
      <c r="F461" s="2835"/>
      <c r="G461" s="2835"/>
      <c r="H461" s="2835"/>
      <c r="I461" s="2835"/>
      <c r="J461" s="2835"/>
      <c r="K461" s="2835"/>
      <c r="L461" s="2835"/>
      <c r="M461" s="2835"/>
      <c r="N461" s="2835"/>
      <c r="O461" s="2835"/>
      <c r="P461" s="2835"/>
      <c r="Q461" s="2835"/>
      <c r="R461" s="2835"/>
      <c r="S461" s="2835"/>
      <c r="T461" s="2835"/>
      <c r="U461" s="2835"/>
      <c r="V461" s="2835"/>
      <c r="W461" s="2835"/>
      <c r="X461" s="2835"/>
      <c r="Y461" s="2835"/>
      <c r="Z461" s="2835"/>
      <c r="AA461" s="2835"/>
      <c r="AB461" s="2835"/>
      <c r="AC461" s="2835"/>
      <c r="AD461" s="2836"/>
      <c r="AE461" s="2836"/>
      <c r="AF461" s="2835"/>
      <c r="AG461" s="2835"/>
      <c r="AH461" s="2835"/>
      <c r="AI461" s="2835"/>
      <c r="AJ461" s="2835"/>
      <c r="AK461" s="2835"/>
      <c r="AL461" s="2835"/>
      <c r="AM461" s="2835"/>
      <c r="AN461" s="2835"/>
      <c r="AO461" s="2835"/>
      <c r="AP461" s="2835"/>
      <c r="AQ461" s="2835"/>
      <c r="AR461" s="2835"/>
      <c r="AS461" s="2835"/>
      <c r="AT461" s="2835"/>
      <c r="AU461" s="2835"/>
      <c r="AV461" s="2835"/>
      <c r="AW461" s="2835"/>
      <c r="AX461" s="2835"/>
      <c r="AY461" s="2835"/>
      <c r="AZ461" s="2835"/>
      <c r="BA461" s="2835"/>
      <c r="BB461" s="2835"/>
      <c r="BC461" s="2835"/>
      <c r="BD461" s="2835"/>
      <c r="BE461" s="2835"/>
      <c r="BF461" s="2835"/>
      <c r="BG461" s="2835"/>
      <c r="BH461" s="2835"/>
      <c r="BI461" s="2835"/>
      <c r="BJ461" s="2835"/>
      <c r="BK461" s="2835"/>
      <c r="BL461" s="2835"/>
      <c r="BM461" s="2835"/>
      <c r="BN461" s="2835"/>
      <c r="BO461" s="2835"/>
      <c r="BP461" s="2835"/>
      <c r="BQ461" s="2835"/>
      <c r="BR461" s="2835"/>
      <c r="BS461" s="2835"/>
      <c r="BT461" s="2835"/>
      <c r="BU461" s="2835"/>
      <c r="BV461" s="2835"/>
      <c r="BW461" s="2835"/>
      <c r="CT461" s="3747"/>
      <c r="CU461" s="3747"/>
      <c r="CV461" s="3747"/>
      <c r="EA461" s="3796" t="s">
        <v>1510</v>
      </c>
      <c r="EB461" s="3795"/>
      <c r="EC461" s="3795"/>
      <c r="ED461" s="3799">
        <f>+MAR!CZ58</f>
        <v>351.50972501070453</v>
      </c>
      <c r="EE461" s="3798">
        <f>+ED461</f>
        <v>351.50972501070453</v>
      </c>
      <c r="JV461" s="3896"/>
      <c r="JW461" s="3843"/>
      <c r="JX461" s="3843"/>
      <c r="JY461" s="3843"/>
      <c r="JZ461" s="3843"/>
    </row>
    <row r="462" spans="1:286" s="3746" customFormat="1" x14ac:dyDescent="0.25">
      <c r="A462" s="2835"/>
      <c r="B462" s="2835"/>
      <c r="C462" s="2835"/>
      <c r="D462" s="2835"/>
      <c r="E462" s="2835"/>
      <c r="F462" s="2835"/>
      <c r="G462" s="2835"/>
      <c r="H462" s="2835"/>
      <c r="I462" s="2835"/>
      <c r="J462" s="2835"/>
      <c r="K462" s="2835"/>
      <c r="L462" s="2835"/>
      <c r="M462" s="2835"/>
      <c r="N462" s="2835"/>
      <c r="O462" s="2835"/>
      <c r="P462" s="2835"/>
      <c r="Q462" s="2835"/>
      <c r="R462" s="2835"/>
      <c r="S462" s="2835"/>
      <c r="T462" s="2835"/>
      <c r="U462" s="2835"/>
      <c r="V462" s="2835"/>
      <c r="W462" s="2835"/>
      <c r="X462" s="2835"/>
      <c r="Y462" s="2835"/>
      <c r="Z462" s="2835"/>
      <c r="AA462" s="2835"/>
      <c r="AB462" s="2835"/>
      <c r="AC462" s="2835"/>
      <c r="AD462" s="2836"/>
      <c r="AE462" s="2836"/>
      <c r="AF462" s="2835"/>
      <c r="AG462" s="2835"/>
      <c r="AH462" s="2835"/>
      <c r="AI462" s="2835"/>
      <c r="AJ462" s="2835"/>
      <c r="AK462" s="2835"/>
      <c r="AL462" s="2835"/>
      <c r="AM462" s="2835"/>
      <c r="AN462" s="2835"/>
      <c r="AO462" s="2835"/>
      <c r="AP462" s="2835"/>
      <c r="AQ462" s="2835"/>
      <c r="AR462" s="2835"/>
      <c r="AS462" s="2835"/>
      <c r="AT462" s="2835"/>
      <c r="AU462" s="2835"/>
      <c r="AV462" s="2835"/>
      <c r="AW462" s="2835"/>
      <c r="AX462" s="2835"/>
      <c r="AY462" s="2835"/>
      <c r="AZ462" s="2835"/>
      <c r="BA462" s="2835"/>
      <c r="BB462" s="2835"/>
      <c r="BC462" s="2835"/>
      <c r="BD462" s="2835"/>
      <c r="BE462" s="2835"/>
      <c r="BF462" s="2835"/>
      <c r="BG462" s="2835"/>
      <c r="BH462" s="2835"/>
      <c r="BI462" s="2835"/>
      <c r="BJ462" s="2835"/>
      <c r="BK462" s="2835"/>
      <c r="BL462" s="2835"/>
      <c r="BM462" s="2835"/>
      <c r="BN462" s="2835"/>
      <c r="BO462" s="2835"/>
      <c r="BP462" s="2835"/>
      <c r="BQ462" s="2835"/>
      <c r="BR462" s="2835"/>
      <c r="BS462" s="2835"/>
      <c r="BT462" s="2835"/>
      <c r="BU462" s="2835"/>
      <c r="BV462" s="2835"/>
      <c r="BW462" s="2835"/>
      <c r="CT462" s="3747"/>
      <c r="CU462" s="3747"/>
      <c r="CV462" s="3747"/>
      <c r="EA462" s="3795" t="s">
        <v>1253</v>
      </c>
      <c r="EB462" s="3795"/>
      <c r="EC462" s="3795"/>
      <c r="ED462" s="3800">
        <f>+(ED457*(1-ED460))/ED461</f>
        <v>0.38302988151920753</v>
      </c>
      <c r="EE462" s="3800">
        <f>+(EE457*(1-EE460))/EE461</f>
        <v>0.86355827833421361</v>
      </c>
      <c r="JV462" s="3896"/>
      <c r="JW462" s="3843"/>
      <c r="JX462" s="3843"/>
      <c r="JY462" s="3843"/>
      <c r="JZ462" s="3843"/>
    </row>
    <row r="463" spans="1:286" x14ac:dyDescent="0.25">
      <c r="EA463" s="310"/>
      <c r="EB463" s="2020"/>
      <c r="EC463" s="2020"/>
      <c r="ED463" s="2020"/>
      <c r="EE463" s="3801"/>
      <c r="EF463" s="2020"/>
      <c r="EG463" s="2020"/>
      <c r="EH463" s="2020"/>
      <c r="EI463" s="2020"/>
    </row>
    <row r="464" spans="1:286" x14ac:dyDescent="0.25">
      <c r="EA464" s="310"/>
      <c r="EB464" s="2020"/>
      <c r="EC464" s="2020"/>
      <c r="ED464" s="2020"/>
      <c r="EE464" s="2020"/>
      <c r="EF464" s="3793" t="s">
        <v>2940</v>
      </c>
      <c r="EG464" s="3793"/>
      <c r="EH464" s="3793"/>
      <c r="EI464" s="3793"/>
      <c r="EJ464" s="3794"/>
      <c r="EK464" s="3794"/>
      <c r="EL464" s="3794"/>
      <c r="EM464" s="3794"/>
      <c r="EN464" s="3794"/>
      <c r="EO464" s="3794"/>
      <c r="EP464" s="3794"/>
    </row>
    <row r="465" spans="131:146" ht="3.95" customHeight="1" x14ac:dyDescent="0.25">
      <c r="EA465" s="310"/>
      <c r="EB465" s="2020"/>
      <c r="EC465" s="2020"/>
      <c r="ED465" s="2020"/>
      <c r="EE465" s="2020"/>
      <c r="EF465" s="2020"/>
      <c r="EG465" s="2020"/>
      <c r="EH465" s="2020"/>
      <c r="EI465" s="2020"/>
    </row>
    <row r="466" spans="131:146" x14ac:dyDescent="0.25">
      <c r="EA466" s="310"/>
      <c r="EB466" s="2020"/>
      <c r="EC466" s="2020"/>
      <c r="ED466" s="2020"/>
      <c r="EE466" s="2020"/>
      <c r="EH466" s="3792" t="s">
        <v>2939</v>
      </c>
      <c r="EI466" s="3792"/>
      <c r="EJ466" s="3792"/>
      <c r="EK466" s="3792"/>
      <c r="EL466" s="3792"/>
      <c r="EM466" s="3792"/>
      <c r="EN466" s="3792"/>
      <c r="EO466" s="3792"/>
      <c r="EP466" s="3792"/>
    </row>
    <row r="467" spans="131:146" x14ac:dyDescent="0.25">
      <c r="EA467" s="310"/>
      <c r="EB467" s="2020"/>
      <c r="EC467" s="2020"/>
      <c r="ED467" s="2020"/>
      <c r="EE467" s="2020"/>
      <c r="EG467" s="3791">
        <f>+ED457</f>
        <v>192.34104046242771</v>
      </c>
      <c r="EH467" s="2831">
        <v>2.1999999999999999E-2</v>
      </c>
      <c r="EI467" s="2831">
        <f t="shared" ref="EI467:EP467" si="30">+EH467+0.002</f>
        <v>2.4E-2</v>
      </c>
      <c r="EJ467" s="2831">
        <f t="shared" si="30"/>
        <v>2.6000000000000002E-2</v>
      </c>
      <c r="EK467" s="2831">
        <f t="shared" si="30"/>
        <v>2.8000000000000004E-2</v>
      </c>
      <c r="EL467" s="2831">
        <f t="shared" si="30"/>
        <v>3.0000000000000006E-2</v>
      </c>
      <c r="EM467" s="2831">
        <f t="shared" si="30"/>
        <v>3.2000000000000008E-2</v>
      </c>
      <c r="EN467" s="2831">
        <f t="shared" si="30"/>
        <v>3.4000000000000009E-2</v>
      </c>
      <c r="EO467" s="2831">
        <f t="shared" si="30"/>
        <v>3.6000000000000011E-2</v>
      </c>
      <c r="EP467" s="2831">
        <f t="shared" si="30"/>
        <v>3.8000000000000013E-2</v>
      </c>
    </row>
    <row r="468" spans="131:146" ht="15" customHeight="1" x14ac:dyDescent="0.25">
      <c r="EA468" s="310"/>
      <c r="EB468" s="2020"/>
      <c r="EC468" s="2020"/>
      <c r="ED468" s="2020"/>
      <c r="EE468" s="2020"/>
      <c r="EF468" s="3934" t="s">
        <v>2944</v>
      </c>
      <c r="EG468" s="2759">
        <v>0.13</v>
      </c>
      <c r="EH468" s="3786">
        <f t="dataTable" ref="EH468:EP475" dt2D="1" dtr="1" r1="ED451" r2="ED455"/>
        <v>34.047861271676311</v>
      </c>
      <c r="EI468" s="3787">
        <v>59.143121387283259</v>
      </c>
      <c r="EJ468" s="3787">
        <v>84.238381502890206</v>
      </c>
      <c r="EK468" s="3787">
        <v>109.33364161849715</v>
      </c>
      <c r="EL468" s="3787">
        <v>134.4289017341041</v>
      </c>
      <c r="EM468" s="3787">
        <v>159.52416184971105</v>
      </c>
      <c r="EN468" s="3787">
        <v>184.61942196531805</v>
      </c>
      <c r="EO468" s="3787">
        <v>209.714682080925</v>
      </c>
      <c r="EP468" s="3787">
        <v>234.80994219653195</v>
      </c>
    </row>
    <row r="469" spans="131:146" ht="15" customHeight="1" x14ac:dyDescent="0.25">
      <c r="EA469" s="310"/>
      <c r="EB469" s="2020"/>
      <c r="EC469" s="2020"/>
      <c r="ED469" s="2020"/>
      <c r="EE469" s="2020"/>
      <c r="EF469" s="3935"/>
      <c r="EG469" s="2759">
        <f>+EG468+0.01</f>
        <v>0.14000000000000001</v>
      </c>
      <c r="EH469" s="3788">
        <v>55.282312138728344</v>
      </c>
      <c r="EI469" s="3789">
        <v>82.307976878612749</v>
      </c>
      <c r="EJ469" s="3790">
        <v>109.33364161849715</v>
      </c>
      <c r="EK469" s="3790">
        <v>136.35930635838156</v>
      </c>
      <c r="EL469" s="3790">
        <v>163.38497109826596</v>
      </c>
      <c r="EM469" s="3790">
        <v>190.41063583815037</v>
      </c>
      <c r="EN469" s="3790">
        <v>217.43630057803489</v>
      </c>
      <c r="EO469" s="3790">
        <v>244.46196531791929</v>
      </c>
      <c r="EP469" s="3790">
        <v>271.4876300578037</v>
      </c>
    </row>
    <row r="470" spans="131:146" ht="15" customHeight="1" x14ac:dyDescent="0.25">
      <c r="EA470" s="310"/>
      <c r="EB470" s="2020"/>
      <c r="EC470" s="2020"/>
      <c r="ED470" s="2020"/>
      <c r="EE470" s="2020"/>
      <c r="EF470" s="3935"/>
      <c r="EG470" s="2759">
        <f t="shared" ref="EG470:EG475" si="31">+EG469+0.01</f>
        <v>0.15000000000000002</v>
      </c>
      <c r="EH470" s="3788">
        <v>76.516763005780376</v>
      </c>
      <c r="EI470" s="3789">
        <v>105.4728323699423</v>
      </c>
      <c r="EJ470" s="3790">
        <v>134.42890173410416</v>
      </c>
      <c r="EK470" s="3790">
        <v>163.38497109826602</v>
      </c>
      <c r="EL470" s="3790">
        <v>192.34104046242788</v>
      </c>
      <c r="EM470" s="3790">
        <v>221.29710982658975</v>
      </c>
      <c r="EN470" s="3790">
        <v>250.25317919075167</v>
      </c>
      <c r="EO470" s="3790">
        <v>279.20924855491353</v>
      </c>
      <c r="EP470" s="3790">
        <v>308.16531791907539</v>
      </c>
    </row>
    <row r="471" spans="131:146" ht="15" customHeight="1" x14ac:dyDescent="0.25">
      <c r="EA471" s="310"/>
      <c r="EB471" s="2020"/>
      <c r="EC471" s="2020"/>
      <c r="ED471" s="2020"/>
      <c r="EE471" s="2020"/>
      <c r="EF471" s="3935"/>
      <c r="EG471" s="2759">
        <f t="shared" si="31"/>
        <v>0.16000000000000003</v>
      </c>
      <c r="EH471" s="3788">
        <v>97.751213872832466</v>
      </c>
      <c r="EI471" s="3789">
        <v>128.63768786127179</v>
      </c>
      <c r="EJ471" s="3790">
        <v>159.52416184971111</v>
      </c>
      <c r="EK471" s="3790">
        <v>190.41063583815043</v>
      </c>
      <c r="EL471" s="3790">
        <v>221.29710982658975</v>
      </c>
      <c r="EM471" s="3790">
        <v>252.18358381502907</v>
      </c>
      <c r="EN471" s="3790">
        <v>283.07005780346844</v>
      </c>
      <c r="EO471" s="3790">
        <v>313.95653179190776</v>
      </c>
      <c r="EP471" s="3790">
        <v>344.84300578034708</v>
      </c>
    </row>
    <row r="472" spans="131:146" ht="15" customHeight="1" x14ac:dyDescent="0.25">
      <c r="EA472" s="310"/>
      <c r="EB472" s="2020"/>
      <c r="EC472" s="2020"/>
      <c r="ED472" s="2020"/>
      <c r="EE472" s="2020"/>
      <c r="EF472" s="3935"/>
      <c r="EG472" s="2759">
        <f t="shared" si="31"/>
        <v>0.17000000000000004</v>
      </c>
      <c r="EH472" s="3788">
        <v>118.9856647398845</v>
      </c>
      <c r="EI472" s="3789">
        <v>151.80254335260128</v>
      </c>
      <c r="EJ472" s="3790">
        <v>184.61942196531805</v>
      </c>
      <c r="EK472" s="3790">
        <v>217.43630057803483</v>
      </c>
      <c r="EL472" s="3790">
        <v>250.25317919075161</v>
      </c>
      <c r="EM472" s="3790">
        <v>283.07005780346844</v>
      </c>
      <c r="EN472" s="3790">
        <v>315.88693641618522</v>
      </c>
      <c r="EO472" s="3790">
        <v>348.70381502890211</v>
      </c>
      <c r="EP472" s="3790">
        <v>381.52069364161889</v>
      </c>
    </row>
    <row r="473" spans="131:146" ht="15" customHeight="1" x14ac:dyDescent="0.25">
      <c r="EA473" s="310"/>
      <c r="EB473" s="2020"/>
      <c r="EC473" s="2020"/>
      <c r="ED473" s="2020"/>
      <c r="EE473" s="2020"/>
      <c r="EF473" s="3935"/>
      <c r="EG473" s="2759">
        <f t="shared" si="31"/>
        <v>0.18000000000000005</v>
      </c>
      <c r="EH473" s="3788">
        <v>140.22011560693653</v>
      </c>
      <c r="EI473" s="3789">
        <v>174.96739884393077</v>
      </c>
      <c r="EJ473" s="3790">
        <v>209.714682080925</v>
      </c>
      <c r="EK473" s="3790">
        <v>244.46196531791924</v>
      </c>
      <c r="EL473" s="3790">
        <v>279.20924855491353</v>
      </c>
      <c r="EM473" s="3790">
        <v>313.95653179190776</v>
      </c>
      <c r="EN473" s="3790">
        <v>348.70381502890211</v>
      </c>
      <c r="EO473" s="3790">
        <v>383.45109826589635</v>
      </c>
      <c r="EP473" s="3790">
        <v>418.19838150289058</v>
      </c>
    </row>
    <row r="474" spans="131:146" ht="15" customHeight="1" x14ac:dyDescent="0.25">
      <c r="EA474" s="310"/>
      <c r="EB474" s="2020"/>
      <c r="EC474" s="2020"/>
      <c r="ED474" s="2020"/>
      <c r="EE474" s="2020"/>
      <c r="EF474" s="3935"/>
      <c r="EG474" s="2759">
        <f t="shared" si="31"/>
        <v>0.19000000000000006</v>
      </c>
      <c r="EH474" s="3788">
        <v>161.45456647398856</v>
      </c>
      <c r="EI474" s="3789">
        <v>198.13225433526026</v>
      </c>
      <c r="EJ474" s="3790">
        <v>234.80994219653201</v>
      </c>
      <c r="EK474" s="3790">
        <v>271.4876300578037</v>
      </c>
      <c r="EL474" s="3790">
        <v>308.16531791907539</v>
      </c>
      <c r="EM474" s="3790">
        <v>344.84300578034708</v>
      </c>
      <c r="EN474" s="3790">
        <v>381.52069364161889</v>
      </c>
      <c r="EO474" s="3790">
        <v>418.19838150289058</v>
      </c>
      <c r="EP474" s="3790">
        <v>454.87606936416228</v>
      </c>
    </row>
    <row r="475" spans="131:146" ht="15" customHeight="1" x14ac:dyDescent="0.25">
      <c r="EA475" s="310"/>
      <c r="EB475" s="2020"/>
      <c r="EC475" s="2020"/>
      <c r="ED475" s="2020"/>
      <c r="EE475" s="2020"/>
      <c r="EF475" s="3935"/>
      <c r="EG475" s="2759">
        <f t="shared" si="31"/>
        <v>0.20000000000000007</v>
      </c>
      <c r="EH475" s="3788">
        <v>182.6890173410406</v>
      </c>
      <c r="EI475" s="3789">
        <v>221.2971098265898</v>
      </c>
      <c r="EJ475" s="3790">
        <v>259.90520231213895</v>
      </c>
      <c r="EK475" s="3790">
        <v>298.5132947976881</v>
      </c>
      <c r="EL475" s="3790">
        <v>337.12138728323725</v>
      </c>
      <c r="EM475" s="3790">
        <v>375.7294797687864</v>
      </c>
      <c r="EN475" s="3790">
        <v>414.33757225433567</v>
      </c>
      <c r="EO475" s="3790">
        <v>452.94566473988482</v>
      </c>
      <c r="EP475" s="3790">
        <v>491.55375722543397</v>
      </c>
    </row>
    <row r="476" spans="131:146" x14ac:dyDescent="0.25">
      <c r="EA476" s="310"/>
      <c r="EB476" s="2020"/>
      <c r="EC476" s="2020"/>
      <c r="ED476" s="2020"/>
      <c r="EE476" s="2020"/>
      <c r="EF476" s="2020"/>
      <c r="EG476" s="2020"/>
      <c r="EH476" s="2020"/>
      <c r="EI476" s="2020"/>
    </row>
    <row r="477" spans="131:146" x14ac:dyDescent="0.25">
      <c r="EA477" s="310"/>
      <c r="EB477" s="2020"/>
      <c r="EC477" s="2020"/>
      <c r="ED477" s="2020"/>
      <c r="EE477" s="2020"/>
      <c r="EF477" s="3793" t="s">
        <v>2941</v>
      </c>
      <c r="EG477" s="3793"/>
      <c r="EH477" s="3793"/>
      <c r="EI477" s="3793"/>
      <c r="EJ477" s="3794"/>
      <c r="EK477" s="3794"/>
      <c r="EL477" s="3794"/>
      <c r="EM477" s="3794"/>
      <c r="EN477" s="3794"/>
      <c r="EO477" s="3794"/>
      <c r="EP477" s="3794"/>
    </row>
    <row r="478" spans="131:146" ht="3.95" customHeight="1" x14ac:dyDescent="0.25">
      <c r="EA478" s="310"/>
      <c r="EB478" s="2020"/>
      <c r="EC478" s="2020"/>
      <c r="ED478" s="2020"/>
      <c r="EE478" s="2020"/>
      <c r="EF478" s="2020"/>
      <c r="EG478" s="2020"/>
      <c r="EH478" s="2020"/>
      <c r="EI478" s="2020"/>
    </row>
    <row r="479" spans="131:146" ht="3.95" customHeight="1" x14ac:dyDescent="0.25">
      <c r="EA479" s="310"/>
      <c r="EB479" s="2020"/>
      <c r="EC479" s="2020"/>
      <c r="ED479" s="2020"/>
      <c r="EE479" s="2020"/>
      <c r="EF479" s="2020"/>
      <c r="EG479" s="2020"/>
      <c r="EH479" s="2020"/>
      <c r="EI479" s="2020"/>
    </row>
    <row r="480" spans="131:146" x14ac:dyDescent="0.25">
      <c r="EA480" s="310"/>
      <c r="EB480" s="2020"/>
      <c r="EC480" s="2020"/>
      <c r="ED480" s="2020"/>
      <c r="EE480" s="2020"/>
      <c r="EH480" s="3792" t="s">
        <v>2939</v>
      </c>
      <c r="EI480" s="3792"/>
      <c r="EJ480" s="3792"/>
      <c r="EK480" s="3792"/>
      <c r="EL480" s="3792"/>
      <c r="EM480" s="3792"/>
      <c r="EN480" s="3792"/>
      <c r="EO480" s="3792"/>
      <c r="EP480" s="3792"/>
    </row>
    <row r="481" spans="131:146" x14ac:dyDescent="0.25">
      <c r="EA481" s="310"/>
      <c r="EB481" s="2020"/>
      <c r="EC481" s="2020"/>
      <c r="ED481" s="2020"/>
      <c r="EE481" s="2020"/>
      <c r="EG481" s="3802">
        <f>+ED462</f>
        <v>0.38302988151920753</v>
      </c>
      <c r="EH481" s="2831">
        <v>2.1999999999999999E-2</v>
      </c>
      <c r="EI481" s="2831">
        <f t="shared" ref="EI481:EP481" si="32">+EH481+0.002</f>
        <v>2.4E-2</v>
      </c>
      <c r="EJ481" s="2831">
        <f t="shared" si="32"/>
        <v>2.6000000000000002E-2</v>
      </c>
      <c r="EK481" s="2831">
        <f t="shared" si="32"/>
        <v>2.8000000000000004E-2</v>
      </c>
      <c r="EL481" s="2831">
        <f t="shared" si="32"/>
        <v>3.0000000000000006E-2</v>
      </c>
      <c r="EM481" s="2831">
        <f t="shared" si="32"/>
        <v>3.2000000000000008E-2</v>
      </c>
      <c r="EN481" s="2831">
        <f t="shared" si="32"/>
        <v>3.4000000000000009E-2</v>
      </c>
      <c r="EO481" s="2831">
        <f t="shared" si="32"/>
        <v>3.6000000000000011E-2</v>
      </c>
      <c r="EP481" s="2831">
        <f t="shared" si="32"/>
        <v>3.8000000000000013E-2</v>
      </c>
    </row>
    <row r="482" spans="131:146" ht="15" customHeight="1" x14ac:dyDescent="0.25">
      <c r="EA482" s="310"/>
      <c r="EB482" s="2020"/>
      <c r="EC482" s="2020"/>
      <c r="ED482" s="2020"/>
      <c r="EE482" s="2020"/>
      <c r="EF482" s="3934" t="s">
        <v>2944</v>
      </c>
      <c r="EG482" s="2759">
        <v>0.13</v>
      </c>
      <c r="EH482" s="3803">
        <f t="dataTable" ref="EH482:EP489" dt2D="1" dtr="1" r1="ED451" r2="ED455" ca="1"/>
        <v>6.7803253208563757E-2</v>
      </c>
      <c r="EI482" s="3804">
        <v>0.1177782064773244</v>
      </c>
      <c r="EJ482" s="3804">
        <v>0.16775315974608504</v>
      </c>
      <c r="EK482" s="3804">
        <v>0.21772811301484565</v>
      </c>
      <c r="EL482" s="3804">
        <v>0.26770306628360629</v>
      </c>
      <c r="EM482" s="3804">
        <v>0.31767801955236696</v>
      </c>
      <c r="EN482" s="3804">
        <v>0.36765297282112774</v>
      </c>
      <c r="EO482" s="3804">
        <v>0.4176279260898883</v>
      </c>
      <c r="EP482" s="3804">
        <v>0.46760287935864897</v>
      </c>
    </row>
    <row r="483" spans="131:146" ht="15" customHeight="1" x14ac:dyDescent="0.25">
      <c r="EA483" s="310"/>
      <c r="EB483" s="2020"/>
      <c r="EC483" s="2020"/>
      <c r="ED483" s="2020"/>
      <c r="EE483" s="2020"/>
      <c r="EF483" s="3935"/>
      <c r="EG483" s="2759">
        <f>+EG482+0.01</f>
        <v>0.14000000000000001</v>
      </c>
      <c r="EH483" s="3805">
        <v>0.1100897521282843</v>
      </c>
      <c r="EI483" s="3800">
        <v>0.163908932571565</v>
      </c>
      <c r="EJ483" s="3806">
        <v>0.21772811301484565</v>
      </c>
      <c r="EK483" s="3806">
        <v>0.27154729345812634</v>
      </c>
      <c r="EL483" s="3806">
        <v>0.32536647390140705</v>
      </c>
      <c r="EM483" s="3806">
        <v>0.37918565434468776</v>
      </c>
      <c r="EN483" s="3806">
        <v>0.4330048347879687</v>
      </c>
      <c r="EO483" s="3806">
        <v>0.48682401523124935</v>
      </c>
      <c r="EP483" s="3806">
        <v>0.54064319567453012</v>
      </c>
    </row>
    <row r="484" spans="131:146" ht="15" customHeight="1" x14ac:dyDescent="0.25">
      <c r="EA484" s="310"/>
      <c r="EB484" s="2020"/>
      <c r="EC484" s="2020"/>
      <c r="ED484" s="2020"/>
      <c r="EE484" s="2020"/>
      <c r="EF484" s="3935"/>
      <c r="EG484" s="2759">
        <f t="shared" ref="EG484:EG489" si="33">+EG483+0.01</f>
        <v>0.15000000000000002</v>
      </c>
      <c r="EH484" s="3805">
        <v>0.15237625104800484</v>
      </c>
      <c r="EI484" s="3800">
        <v>0.21003965866580568</v>
      </c>
      <c r="EJ484" s="3806">
        <v>0.26770306628360641</v>
      </c>
      <c r="EK484" s="3806">
        <v>0.32536647390140716</v>
      </c>
      <c r="EL484" s="3806">
        <v>0.38302988151920786</v>
      </c>
      <c r="EM484" s="3806">
        <v>0.44069328913700861</v>
      </c>
      <c r="EN484" s="3806">
        <v>0.49835669675480954</v>
      </c>
      <c r="EO484" s="3806">
        <v>0.55602010437261029</v>
      </c>
      <c r="EP484" s="3806">
        <v>0.61368351199041105</v>
      </c>
    </row>
    <row r="485" spans="131:146" ht="15" customHeight="1" x14ac:dyDescent="0.25">
      <c r="EA485" s="310"/>
      <c r="EB485" s="2020"/>
      <c r="EC485" s="2020"/>
      <c r="ED485" s="2020"/>
      <c r="EE485" s="2020"/>
      <c r="EF485" s="3935"/>
      <c r="EG485" s="2759">
        <f t="shared" si="33"/>
        <v>0.16000000000000003</v>
      </c>
      <c r="EH485" s="3805">
        <v>0.19466274996772548</v>
      </c>
      <c r="EI485" s="3800">
        <v>0.25617038476004628</v>
      </c>
      <c r="EJ485" s="3806">
        <v>0.31767801955236707</v>
      </c>
      <c r="EK485" s="3806">
        <v>0.37918565434468793</v>
      </c>
      <c r="EL485" s="3806">
        <v>0.44069328913700861</v>
      </c>
      <c r="EM485" s="3806">
        <v>0.50220092392932936</v>
      </c>
      <c r="EN485" s="3806">
        <v>0.56370855872165038</v>
      </c>
      <c r="EO485" s="3806">
        <v>0.62521619351397117</v>
      </c>
      <c r="EP485" s="3806">
        <v>0.68672382830629197</v>
      </c>
    </row>
    <row r="486" spans="131:146" ht="15" customHeight="1" x14ac:dyDescent="0.25">
      <c r="EA486" s="310"/>
      <c r="EB486" s="2020"/>
      <c r="EC486" s="2020"/>
      <c r="ED486" s="2020"/>
      <c r="EE486" s="2020"/>
      <c r="EF486" s="3935"/>
      <c r="EG486" s="2759">
        <f t="shared" si="33"/>
        <v>0.17000000000000004</v>
      </c>
      <c r="EH486" s="3805">
        <v>0.23694924888744603</v>
      </c>
      <c r="EI486" s="3800">
        <v>0.30230111085428685</v>
      </c>
      <c r="EJ486" s="3806">
        <v>0.36765297282112774</v>
      </c>
      <c r="EK486" s="3806">
        <v>0.43300483478796853</v>
      </c>
      <c r="EL486" s="3806">
        <v>0.49835669675480937</v>
      </c>
      <c r="EM486" s="3806">
        <v>0.56370855872165038</v>
      </c>
      <c r="EN486" s="3806">
        <v>0.62906042068849122</v>
      </c>
      <c r="EO486" s="3806">
        <v>0.69441228265533217</v>
      </c>
      <c r="EP486" s="3806">
        <v>0.75976414462217312</v>
      </c>
    </row>
    <row r="487" spans="131:146" ht="15" customHeight="1" x14ac:dyDescent="0.25">
      <c r="EA487" s="310"/>
      <c r="EB487" s="2020"/>
      <c r="EC487" s="2020"/>
      <c r="ED487" s="2020"/>
      <c r="EE487" s="2020"/>
      <c r="EF487" s="3935"/>
      <c r="EG487" s="2759">
        <f t="shared" si="33"/>
        <v>0.18000000000000005</v>
      </c>
      <c r="EH487" s="3805">
        <v>0.27923574780716659</v>
      </c>
      <c r="EI487" s="3800">
        <v>0.34843183694852747</v>
      </c>
      <c r="EJ487" s="3806">
        <v>0.4176279260898883</v>
      </c>
      <c r="EK487" s="3806">
        <v>0.48682401523124919</v>
      </c>
      <c r="EL487" s="3806">
        <v>0.55602010437261029</v>
      </c>
      <c r="EM487" s="3806">
        <v>0.62521619351397117</v>
      </c>
      <c r="EN487" s="3806">
        <v>0.69441228265533217</v>
      </c>
      <c r="EO487" s="3806">
        <v>0.76360837179669316</v>
      </c>
      <c r="EP487" s="3806">
        <v>0.83280446093805405</v>
      </c>
    </row>
    <row r="488" spans="131:146" ht="15" customHeight="1" x14ac:dyDescent="0.25">
      <c r="EA488" s="310"/>
      <c r="EB488" s="2020"/>
      <c r="EC488" s="2020"/>
      <c r="ED488" s="2020"/>
      <c r="EE488" s="2020"/>
      <c r="EF488" s="3935"/>
      <c r="EG488" s="2759">
        <f t="shared" si="33"/>
        <v>0.19000000000000006</v>
      </c>
      <c r="EH488" s="3805">
        <v>0.32152224672688712</v>
      </c>
      <c r="EI488" s="3800">
        <v>0.39456256304276804</v>
      </c>
      <c r="EJ488" s="3806">
        <v>0.46760287935864914</v>
      </c>
      <c r="EK488" s="3806">
        <v>0.54064319567453012</v>
      </c>
      <c r="EL488" s="3806">
        <v>0.61368351199041105</v>
      </c>
      <c r="EM488" s="3806">
        <v>0.68672382830629197</v>
      </c>
      <c r="EN488" s="3806">
        <v>0.75976414462217312</v>
      </c>
      <c r="EO488" s="3806">
        <v>0.83280446093805405</v>
      </c>
      <c r="EP488" s="3806">
        <v>0.90584477725393497</v>
      </c>
    </row>
    <row r="489" spans="131:146" ht="15" customHeight="1" x14ac:dyDescent="0.25">
      <c r="EA489" s="310"/>
      <c r="EB489" s="2020"/>
      <c r="EC489" s="2020"/>
      <c r="ED489" s="2020"/>
      <c r="EE489" s="2020"/>
      <c r="EF489" s="3935"/>
      <c r="EG489" s="2759">
        <f t="shared" si="33"/>
        <v>0.20000000000000007</v>
      </c>
      <c r="EH489" s="3805">
        <v>0.36380874564660765</v>
      </c>
      <c r="EI489" s="3800">
        <v>0.44069328913700878</v>
      </c>
      <c r="EJ489" s="3806">
        <v>0.51757783262740975</v>
      </c>
      <c r="EK489" s="3806">
        <v>0.59446237611781072</v>
      </c>
      <c r="EL489" s="3806">
        <v>0.6713469196082118</v>
      </c>
      <c r="EM489" s="3806">
        <v>0.74823146309861266</v>
      </c>
      <c r="EN489" s="3806">
        <v>0.82511600658901396</v>
      </c>
      <c r="EO489" s="3806">
        <v>0.90200055007941493</v>
      </c>
      <c r="EP489" s="3806">
        <v>0.97888509356981601</v>
      </c>
    </row>
    <row r="490" spans="131:146" x14ac:dyDescent="0.25">
      <c r="EA490" s="310"/>
      <c r="EB490" s="2020"/>
      <c r="EC490" s="2020"/>
      <c r="ED490" s="2020"/>
      <c r="EE490" s="2020"/>
      <c r="EF490" s="2020"/>
      <c r="EG490" s="2020"/>
      <c r="EH490" s="2020"/>
      <c r="EI490" s="2020"/>
    </row>
    <row r="491" spans="131:146" x14ac:dyDescent="0.25">
      <c r="EA491" s="310"/>
      <c r="EB491" s="2020"/>
      <c r="EC491" s="2020"/>
      <c r="ED491" s="2020"/>
      <c r="EE491" s="2020"/>
      <c r="EF491" s="2020"/>
      <c r="EG491" s="2020"/>
      <c r="EH491" s="2020"/>
      <c r="EI491" s="2020"/>
    </row>
    <row r="492" spans="131:146" x14ac:dyDescent="0.25">
      <c r="EA492" s="310"/>
      <c r="EB492" s="2020"/>
      <c r="EC492" s="2020"/>
      <c r="ED492" s="2020"/>
      <c r="EE492" s="2020"/>
      <c r="EF492" s="2020"/>
      <c r="EG492" s="2020"/>
      <c r="EH492" s="2020"/>
      <c r="EI492" s="2020"/>
    </row>
    <row r="493" spans="131:146" x14ac:dyDescent="0.25">
      <c r="EA493" s="310"/>
      <c r="EB493" s="2020"/>
      <c r="EC493" s="2020"/>
      <c r="ED493" s="2020"/>
      <c r="EE493" s="2020"/>
      <c r="EF493" s="2020"/>
      <c r="EG493" s="2020"/>
      <c r="EH493" s="2020"/>
      <c r="EI493" s="2020"/>
    </row>
    <row r="494" spans="131:146" x14ac:dyDescent="0.25">
      <c r="EA494" s="310"/>
      <c r="EB494" s="2020"/>
      <c r="EC494" s="2020"/>
      <c r="ED494" s="2020"/>
      <c r="EE494" s="2020"/>
      <c r="EF494" s="2020"/>
      <c r="EG494" s="2020"/>
      <c r="EH494" s="2020"/>
      <c r="EI494" s="2020"/>
    </row>
    <row r="495" spans="131:146" x14ac:dyDescent="0.25">
      <c r="EA495" s="310"/>
      <c r="EB495" s="2020"/>
      <c r="EC495" s="2020"/>
      <c r="ED495" s="2020"/>
      <c r="EE495" s="2020"/>
      <c r="EF495" s="2020"/>
      <c r="EG495" s="2020"/>
      <c r="EH495" s="2020"/>
      <c r="EI495" s="2020"/>
    </row>
    <row r="496" spans="131:146" x14ac:dyDescent="0.25">
      <c r="EA496" s="310"/>
      <c r="EB496" s="2020"/>
      <c r="EC496" s="2020"/>
      <c r="ED496" s="2020"/>
      <c r="EE496" s="2020"/>
      <c r="EF496" s="2020"/>
      <c r="EG496" s="2020"/>
      <c r="EH496" s="2020"/>
      <c r="EI496" s="2020"/>
    </row>
    <row r="497" spans="131:168" x14ac:dyDescent="0.25">
      <c r="EA497" s="310"/>
      <c r="EB497" s="2020"/>
      <c r="EC497" s="2020"/>
      <c r="ED497" s="2020"/>
      <c r="EE497" s="2020"/>
      <c r="EF497" s="2020"/>
      <c r="EG497" s="2020"/>
      <c r="EH497" s="2020"/>
      <c r="EI497" s="2020"/>
    </row>
    <row r="498" spans="131:168" x14ac:dyDescent="0.25">
      <c r="ER498" s="3603" t="s">
        <v>2725</v>
      </c>
      <c r="ES498" s="3604"/>
      <c r="ET498" s="3604"/>
      <c r="EU498" s="3604"/>
      <c r="EV498" s="3604"/>
      <c r="EW498" s="3605"/>
      <c r="EX498" s="3606" t="s">
        <v>2831</v>
      </c>
      <c r="EY498" s="3604"/>
      <c r="EZ498" s="3604"/>
      <c r="FA498" s="3604"/>
      <c r="FB498" s="3604"/>
      <c r="FC498" s="3583"/>
    </row>
    <row r="499" spans="131:168" ht="15.75" thickBot="1" x14ac:dyDescent="0.3">
      <c r="ER499" s="3607"/>
      <c r="ES499" s="2402"/>
      <c r="ET499" s="2402"/>
      <c r="EU499" s="2402"/>
      <c r="EV499" s="2402"/>
      <c r="EW499" s="3596"/>
      <c r="EX499" s="2402"/>
      <c r="EY499" s="2402"/>
      <c r="EZ499" s="2402"/>
      <c r="FA499" s="2402"/>
      <c r="FB499" s="2402"/>
      <c r="FC499" s="3467"/>
    </row>
    <row r="500" spans="131:168" ht="15.75" thickBot="1" x14ac:dyDescent="0.3">
      <c r="ER500" s="3608" t="s">
        <v>2724</v>
      </c>
      <c r="ES500" s="3597">
        <v>2.5000000000000001E-3</v>
      </c>
      <c r="ET500" s="2402"/>
      <c r="EU500" s="2402"/>
      <c r="EV500" s="2402"/>
      <c r="EW500" s="3596"/>
      <c r="EX500" s="2018" t="s">
        <v>2724</v>
      </c>
      <c r="EY500" s="3597">
        <v>2.5000000000000001E-3</v>
      </c>
      <c r="EZ500" s="2402"/>
      <c r="FA500" s="2402"/>
      <c r="FB500" s="2402"/>
      <c r="FC500" s="3467"/>
    </row>
    <row r="501" spans="131:168" x14ac:dyDescent="0.25">
      <c r="ER501" s="3608"/>
      <c r="ES501" s="3598"/>
      <c r="ET501" s="2402"/>
      <c r="EU501" s="652" t="s">
        <v>2784</v>
      </c>
      <c r="EV501" s="652"/>
      <c r="EW501" s="3596"/>
      <c r="EX501" s="2402"/>
      <c r="EY501" s="2402"/>
      <c r="EZ501" s="652" t="s">
        <v>2729</v>
      </c>
      <c r="FA501" s="652" t="s">
        <v>2730</v>
      </c>
      <c r="FB501" s="2402"/>
      <c r="FC501" s="3467"/>
    </row>
    <row r="502" spans="131:168" x14ac:dyDescent="0.25">
      <c r="ER502" s="3039"/>
      <c r="ES502" s="1199" t="s">
        <v>2726</v>
      </c>
      <c r="ET502" s="652" t="s">
        <v>2722</v>
      </c>
      <c r="EU502" s="652" t="s">
        <v>2783</v>
      </c>
      <c r="EV502" s="652"/>
      <c r="EW502" s="3596"/>
      <c r="EX502" s="2402"/>
      <c r="EY502" s="1199" t="s">
        <v>2727</v>
      </c>
      <c r="EZ502" s="652" t="s">
        <v>2722</v>
      </c>
      <c r="FA502" s="652" t="s">
        <v>2722</v>
      </c>
      <c r="FB502" s="2402"/>
      <c r="FC502" s="3467"/>
      <c r="FG502" s="1359"/>
    </row>
    <row r="503" spans="131:168" x14ac:dyDescent="0.25">
      <c r="ER503" s="3039"/>
      <c r="ES503" s="3609"/>
      <c r="ET503" s="3610"/>
      <c r="EU503" s="3611"/>
      <c r="EV503" s="3611"/>
      <c r="EW503" s="3599"/>
      <c r="EX503" s="3611"/>
      <c r="EY503" s="3609"/>
      <c r="EZ503" s="3611"/>
      <c r="FA503" s="3611"/>
      <c r="FB503" s="3611"/>
      <c r="FC503" s="3585"/>
      <c r="FD503" s="2761"/>
      <c r="FE503" s="2761"/>
      <c r="FF503" s="2761"/>
      <c r="FG503" s="1951"/>
      <c r="FH503" s="2761"/>
      <c r="FI503" s="2761"/>
      <c r="FJ503" s="2761"/>
      <c r="FK503" s="2761"/>
      <c r="FL503" s="2761"/>
    </row>
    <row r="504" spans="131:168" ht="15.75" thickBot="1" x14ac:dyDescent="0.3">
      <c r="ER504" s="3039"/>
      <c r="ES504" s="3609"/>
      <c r="ET504" s="3610"/>
      <c r="EU504" s="2402"/>
      <c r="EV504" s="2402"/>
      <c r="EW504" s="3596"/>
      <c r="EX504" s="2402"/>
      <c r="EY504" s="3609"/>
      <c r="EZ504" s="2402"/>
      <c r="FA504" s="2402"/>
      <c r="FB504" s="2402"/>
      <c r="FC504" s="3467"/>
    </row>
    <row r="505" spans="131:168" ht="15.75" thickBot="1" x14ac:dyDescent="0.3">
      <c r="ER505" s="3039"/>
      <c r="ES505" s="3600">
        <v>0.02</v>
      </c>
      <c r="ET505" s="3610">
        <f>$ES505*$IV$802</f>
        <v>420</v>
      </c>
      <c r="EU505" s="2402">
        <f>ET505-ET505</f>
        <v>0</v>
      </c>
      <c r="EV505" s="2402"/>
      <c r="EW505" s="3596"/>
      <c r="EX505" s="2402"/>
      <c r="EY505" s="3609"/>
      <c r="EZ505" s="2402"/>
      <c r="FA505" s="2402"/>
      <c r="FB505" s="2402"/>
      <c r="FC505" s="3467"/>
    </row>
    <row r="506" spans="131:168" ht="15.75" thickBot="1" x14ac:dyDescent="0.3">
      <c r="ER506" s="3612" t="s">
        <v>1512</v>
      </c>
      <c r="ES506" s="3600">
        <v>1.4999999999999999E-2</v>
      </c>
      <c r="ET506" s="3610">
        <f>$ES506*$IV$802</f>
        <v>315</v>
      </c>
      <c r="EU506" s="2402">
        <f>$ET$505-ET506-EV506</f>
        <v>102.20727185706215</v>
      </c>
      <c r="EV506" s="1201">
        <f>+IT808</f>
        <v>2.7927281429378441</v>
      </c>
      <c r="EW506" s="3596"/>
      <c r="EX506" s="2402"/>
      <c r="EY506" s="3609"/>
      <c r="EZ506" s="2402"/>
      <c r="FA506" s="2402"/>
      <c r="FB506" s="2402"/>
      <c r="FC506" s="3467"/>
    </row>
    <row r="507" spans="131:168" x14ac:dyDescent="0.25">
      <c r="ER507" s="3039"/>
      <c r="ES507" s="3613">
        <v>0.01</v>
      </c>
      <c r="ET507" s="3610">
        <f>$ES507*$IV$802</f>
        <v>210</v>
      </c>
      <c r="EU507" s="2402">
        <f>$ET$505-ET507-EV507</f>
        <v>204.41454371412431</v>
      </c>
      <c r="EV507" s="1201">
        <f>+IV808</f>
        <v>5.5854562858756882</v>
      </c>
      <c r="EW507" s="3596"/>
      <c r="EX507" s="2402"/>
      <c r="EY507" s="3613">
        <f t="shared" ref="EY507:EY512" si="34">EY508+$EY$500</f>
        <v>4.0000000000000008E-2</v>
      </c>
      <c r="EZ507" s="2402">
        <f>$EY507*$EB$444</f>
        <v>2400.0000000000005</v>
      </c>
      <c r="FA507" s="2402">
        <f>EZ507*$EB$455</f>
        <v>319.38461538461542</v>
      </c>
      <c r="FB507" s="2402"/>
      <c r="FC507" s="3467"/>
    </row>
    <row r="508" spans="131:168" x14ac:dyDescent="0.25">
      <c r="ER508" s="1429"/>
      <c r="ES508" s="3613">
        <f>ES507-$ES$500</f>
        <v>7.4999999999999997E-3</v>
      </c>
      <c r="ET508" s="3601">
        <f>$ES508*$EB$445</f>
        <v>30</v>
      </c>
      <c r="EU508" s="2402">
        <f>$ET$505-ET508</f>
        <v>390</v>
      </c>
      <c r="EV508" s="2402"/>
      <c r="EW508" s="3596"/>
      <c r="EX508" s="2402"/>
      <c r="EY508" s="3613">
        <f t="shared" si="34"/>
        <v>3.7500000000000006E-2</v>
      </c>
      <c r="EZ508" s="2402">
        <f t="shared" ref="EZ508:EZ513" si="35">$EY508*$EB$444</f>
        <v>2250.0000000000005</v>
      </c>
      <c r="FA508" s="2402">
        <f t="shared" ref="FA508:FA514" si="36">EZ508*$EB$455</f>
        <v>299.42307692307696</v>
      </c>
      <c r="FB508" s="2402"/>
      <c r="FC508" s="3467"/>
    </row>
    <row r="509" spans="131:168" x14ac:dyDescent="0.25">
      <c r="ER509" s="3039"/>
      <c r="ES509" s="3613">
        <v>6.0000000000000001E-3</v>
      </c>
      <c r="ET509" s="3610">
        <f>$ES509*$EB$445</f>
        <v>24</v>
      </c>
      <c r="EU509" s="2402">
        <f>$ET$505-ET509</f>
        <v>396</v>
      </c>
      <c r="EV509" s="2402"/>
      <c r="EW509" s="3596"/>
      <c r="EX509" s="2402"/>
      <c r="EY509" s="3613">
        <f t="shared" si="34"/>
        <v>3.5000000000000003E-2</v>
      </c>
      <c r="EZ509" s="2402">
        <f t="shared" si="35"/>
        <v>2100</v>
      </c>
      <c r="FA509" s="2402">
        <f t="shared" si="36"/>
        <v>279.46153846153845</v>
      </c>
      <c r="FB509" s="2402"/>
      <c r="FC509" s="3467"/>
    </row>
    <row r="510" spans="131:168" x14ac:dyDescent="0.25">
      <c r="ER510" s="3039"/>
      <c r="ES510" s="3614">
        <v>6.0000000000000001E-3</v>
      </c>
      <c r="ET510" s="3610">
        <f>$ES510*$EB$445</f>
        <v>24</v>
      </c>
      <c r="EU510" s="2402">
        <f>$ET$505-ET510</f>
        <v>396</v>
      </c>
      <c r="EV510" s="2402"/>
      <c r="EW510" s="3596"/>
      <c r="EX510" s="2402"/>
      <c r="EY510" s="3613">
        <f t="shared" si="34"/>
        <v>3.2500000000000001E-2</v>
      </c>
      <c r="EZ510" s="2402">
        <f t="shared" si="35"/>
        <v>1950</v>
      </c>
      <c r="FA510" s="2402">
        <f t="shared" si="36"/>
        <v>259.5</v>
      </c>
      <c r="FB510" s="2402"/>
      <c r="FC510" s="3467"/>
    </row>
    <row r="511" spans="131:168" x14ac:dyDescent="0.25">
      <c r="ER511" s="3039"/>
      <c r="ES511" s="3614">
        <v>4.0000000000000001E-3</v>
      </c>
      <c r="ET511" s="3610">
        <f>$ES511*$EB$445</f>
        <v>16</v>
      </c>
      <c r="EU511" s="2402">
        <f>$ET$505-ET511</f>
        <v>404</v>
      </c>
      <c r="EV511" s="2402"/>
      <c r="EW511" s="3596"/>
      <c r="EX511" s="2402"/>
      <c r="EY511" s="3613">
        <f t="shared" si="34"/>
        <v>0.03</v>
      </c>
      <c r="EZ511" s="2402">
        <f>$EY511*$EB$444</f>
        <v>1800</v>
      </c>
      <c r="FA511" s="2402">
        <f t="shared" si="36"/>
        <v>239.53846153846152</v>
      </c>
      <c r="FB511" s="2402"/>
      <c r="FC511" s="3467"/>
    </row>
    <row r="512" spans="131:168" x14ac:dyDescent="0.25">
      <c r="ER512" s="3039"/>
      <c r="ES512" s="3613">
        <f>ES511-$ES$500</f>
        <v>1.5E-3</v>
      </c>
      <c r="ET512" s="3610">
        <f>$ES512*$EB$445</f>
        <v>6</v>
      </c>
      <c r="EU512" s="2402">
        <f>$ET$505-ET512</f>
        <v>414</v>
      </c>
      <c r="EV512" s="2402"/>
      <c r="EW512" s="3596"/>
      <c r="EX512" s="2402"/>
      <c r="EY512" s="3613">
        <f t="shared" si="34"/>
        <v>2.75E-2</v>
      </c>
      <c r="EZ512" s="257">
        <f t="shared" si="35"/>
        <v>1650</v>
      </c>
      <c r="FA512" s="257">
        <f t="shared" si="36"/>
        <v>219.57692307692307</v>
      </c>
      <c r="FB512" s="2402"/>
      <c r="FC512" s="3467"/>
    </row>
    <row r="513" spans="148:165" ht="15.75" thickBot="1" x14ac:dyDescent="0.3">
      <c r="ER513" s="3039"/>
      <c r="ES513" s="3609"/>
      <c r="ET513" s="3610"/>
      <c r="EU513" s="2402"/>
      <c r="EV513" s="2402"/>
      <c r="EW513" s="3596"/>
      <c r="EX513" s="2402"/>
      <c r="EY513" s="3613">
        <v>2.5000000000000001E-2</v>
      </c>
      <c r="EZ513" s="2402">
        <f t="shared" si="35"/>
        <v>1500</v>
      </c>
      <c r="FA513" s="2402">
        <f t="shared" si="36"/>
        <v>199.61538461538458</v>
      </c>
      <c r="FB513" s="2402"/>
      <c r="FC513" s="3467"/>
    </row>
    <row r="514" spans="148:165" ht="15.75" thickBot="1" x14ac:dyDescent="0.3">
      <c r="ER514" s="3039"/>
      <c r="ES514" s="3609"/>
      <c r="ET514" s="3610"/>
      <c r="EU514" s="2402"/>
      <c r="EV514" s="2402"/>
      <c r="EW514" s="3596"/>
      <c r="EX514" s="3615" t="s">
        <v>1512</v>
      </c>
      <c r="EY514" s="3602">
        <f>EB449/EB444</f>
        <v>2.1666666666666667E-2</v>
      </c>
      <c r="EZ514" s="2402">
        <f>$EY514*$EB$444</f>
        <v>1300</v>
      </c>
      <c r="FA514" s="2402">
        <f t="shared" si="36"/>
        <v>172.99999999999997</v>
      </c>
      <c r="FB514" s="2402"/>
      <c r="FC514" s="3467"/>
      <c r="FG514" s="3462"/>
    </row>
    <row r="515" spans="148:165" x14ac:dyDescent="0.25">
      <c r="ER515" s="3039"/>
      <c r="ES515" s="3609"/>
      <c r="ET515" s="3610"/>
      <c r="EU515" s="2402"/>
      <c r="EV515" s="2402"/>
      <c r="EW515" s="3596"/>
      <c r="EX515" s="2402"/>
      <c r="EY515" s="2402"/>
      <c r="EZ515" s="2402"/>
      <c r="FA515" s="2402"/>
      <c r="FB515" s="2402"/>
      <c r="FC515" s="3467"/>
    </row>
    <row r="516" spans="148:165" x14ac:dyDescent="0.25">
      <c r="ER516" s="1429" t="s">
        <v>2728</v>
      </c>
      <c r="ES516" s="3609"/>
      <c r="ET516" s="3601">
        <f>ET506-ET508</f>
        <v>285</v>
      </c>
      <c r="EU516" s="2402"/>
      <c r="EV516" s="2402"/>
      <c r="EW516" s="3596"/>
      <c r="EX516" s="257" t="s">
        <v>2731</v>
      </c>
      <c r="EY516" s="2402"/>
      <c r="EZ516" s="257">
        <f>EZ509-EZ514</f>
        <v>800</v>
      </c>
      <c r="FA516" s="257">
        <f>FA509-FA514</f>
        <v>106.46153846153848</v>
      </c>
      <c r="FB516" s="2402"/>
      <c r="FC516" s="3467"/>
    </row>
    <row r="517" spans="148:165" x14ac:dyDescent="0.25">
      <c r="ER517" s="2807"/>
      <c r="ES517" s="3573"/>
      <c r="ET517" s="3616"/>
      <c r="EU517" s="3581"/>
      <c r="EV517" s="3581"/>
      <c r="EW517" s="3617"/>
      <c r="EX517" s="3581"/>
      <c r="EY517" s="3581"/>
      <c r="EZ517" s="3581"/>
      <c r="FA517" s="3581"/>
      <c r="FB517" s="3581"/>
      <c r="FC517" s="3586"/>
    </row>
    <row r="518" spans="148:165" x14ac:dyDescent="0.25">
      <c r="ES518" s="3459"/>
      <c r="ET518" s="3460"/>
    </row>
    <row r="519" spans="148:165" x14ac:dyDescent="0.25">
      <c r="ES519" s="3459"/>
      <c r="ET519" s="3460"/>
      <c r="FE519" s="3582" t="s">
        <v>2740</v>
      </c>
      <c r="FF519" s="3583"/>
    </row>
    <row r="520" spans="148:165" x14ac:dyDescent="0.25">
      <c r="ES520" s="3459"/>
      <c r="ET520" s="3460"/>
      <c r="FE520" s="3039"/>
      <c r="FF520" s="3467"/>
    </row>
    <row r="521" spans="148:165" x14ac:dyDescent="0.25">
      <c r="ES521" s="3459"/>
      <c r="ET521" s="3460"/>
      <c r="FE521" s="3039" t="s">
        <v>2732</v>
      </c>
      <c r="FF521" s="3595">
        <v>60000</v>
      </c>
    </row>
    <row r="522" spans="148:165" x14ac:dyDescent="0.25">
      <c r="ES522" s="3459"/>
      <c r="ET522" s="3460"/>
      <c r="FE522" s="3039" t="s">
        <v>2718</v>
      </c>
      <c r="FF522" s="3467">
        <f>EB445</f>
        <v>4000</v>
      </c>
    </row>
    <row r="523" spans="148:165" ht="4.5" customHeight="1" x14ac:dyDescent="0.25">
      <c r="ES523" s="3459"/>
      <c r="ET523" s="3460"/>
      <c r="FE523" s="3039"/>
      <c r="FF523" s="3584" t="s">
        <v>2723</v>
      </c>
    </row>
    <row r="524" spans="148:165" x14ac:dyDescent="0.25">
      <c r="ES524" s="2761"/>
      <c r="FE524" s="3039" t="s">
        <v>2720</v>
      </c>
      <c r="FF524" s="3585">
        <f>FF522/FF521</f>
        <v>6.6666666666666666E-2</v>
      </c>
      <c r="FI524" s="2761">
        <f>1.3/60</f>
        <v>2.1666666666666667E-2</v>
      </c>
    </row>
    <row r="525" spans="148:165" x14ac:dyDescent="0.25">
      <c r="ES525" s="2761"/>
      <c r="FE525" s="3039"/>
      <c r="FF525" s="3467"/>
    </row>
    <row r="526" spans="148:165" x14ac:dyDescent="0.25">
      <c r="ES526" s="2761"/>
      <c r="FE526" s="3039" t="s">
        <v>2743</v>
      </c>
      <c r="FF526" s="2303">
        <v>2.6666666666666665E-2</v>
      </c>
    </row>
    <row r="527" spans="148:165" x14ac:dyDescent="0.25">
      <c r="ES527" s="2761"/>
      <c r="FE527" s="3039" t="s">
        <v>2719</v>
      </c>
      <c r="FF527" s="3467">
        <f>+FF521*FF526</f>
        <v>1600</v>
      </c>
    </row>
    <row r="528" spans="148:165" ht="4.5" customHeight="1" x14ac:dyDescent="0.25">
      <c r="ES528" s="2761"/>
      <c r="FE528" s="3039"/>
      <c r="FF528" s="3584" t="s">
        <v>2723</v>
      </c>
    </row>
    <row r="529" spans="161:171" x14ac:dyDescent="0.25">
      <c r="FE529" s="3039" t="s">
        <v>2721</v>
      </c>
      <c r="FF529" s="3585">
        <f>FF527/FF521</f>
        <v>2.6666666666666668E-2</v>
      </c>
    </row>
    <row r="530" spans="161:171" x14ac:dyDescent="0.25">
      <c r="FE530" s="3039"/>
      <c r="FF530" s="3467"/>
    </row>
    <row r="531" spans="161:171" x14ac:dyDescent="0.25">
      <c r="FE531" s="3039" t="s">
        <v>2739</v>
      </c>
      <c r="FF531" s="3585">
        <f>$EB$455</f>
        <v>0.13307692307692306</v>
      </c>
    </row>
    <row r="532" spans="161:171" ht="4.5" customHeight="1" x14ac:dyDescent="0.25">
      <c r="FE532" s="3039"/>
      <c r="FF532" s="3585"/>
    </row>
    <row r="533" spans="161:171" x14ac:dyDescent="0.25">
      <c r="FE533" s="1429" t="s">
        <v>2734</v>
      </c>
      <c r="FF533" s="3018">
        <f>FF527*FF531</f>
        <v>212.92307692307691</v>
      </c>
    </row>
    <row r="534" spans="161:171" x14ac:dyDescent="0.25">
      <c r="FE534" s="3039"/>
      <c r="FF534" s="3467"/>
    </row>
    <row r="535" spans="161:171" x14ac:dyDescent="0.25">
      <c r="FE535" s="3039" t="s">
        <v>2744</v>
      </c>
      <c r="FF535" s="2715">
        <v>5.0000000000000001E-3</v>
      </c>
    </row>
    <row r="536" spans="161:171" x14ac:dyDescent="0.25">
      <c r="FE536" s="3039" t="s">
        <v>2733</v>
      </c>
      <c r="FF536" s="3467">
        <f>+FF535*FF522</f>
        <v>20</v>
      </c>
    </row>
    <row r="537" spans="161:171" x14ac:dyDescent="0.25">
      <c r="FE537" s="3039" t="s">
        <v>2738</v>
      </c>
      <c r="FF537" s="3467">
        <f>FF536*FF531</f>
        <v>2.6615384615384614</v>
      </c>
    </row>
    <row r="538" spans="161:171" ht="4.5" customHeight="1" x14ac:dyDescent="0.25">
      <c r="FE538" s="3039"/>
      <c r="FF538" s="3467"/>
    </row>
    <row r="539" spans="161:171" x14ac:dyDescent="0.25">
      <c r="FE539" s="1429" t="s">
        <v>2735</v>
      </c>
      <c r="FF539" s="3018">
        <f>FF533+FF537</f>
        <v>215.58461538461538</v>
      </c>
    </row>
    <row r="540" spans="161:171" x14ac:dyDescent="0.25">
      <c r="FE540" s="3039"/>
      <c r="FF540" s="3467"/>
    </row>
    <row r="541" spans="161:171" x14ac:dyDescent="0.25">
      <c r="FE541" s="2807" t="s">
        <v>2736</v>
      </c>
      <c r="FF541" s="3586">
        <f>FF539-EB453</f>
        <v>42.584615384615375</v>
      </c>
    </row>
    <row r="543" spans="161:171" x14ac:dyDescent="0.25">
      <c r="FH543" s="3463" t="s">
        <v>2741</v>
      </c>
      <c r="FI543" s="3464"/>
      <c r="FJ543" s="3465"/>
      <c r="FK543" s="3465"/>
      <c r="FL543" s="3465"/>
      <c r="FM543" s="3465"/>
      <c r="FN543" s="3465"/>
      <c r="FO543" s="3466"/>
    </row>
    <row r="544" spans="161:171" ht="3.95" customHeight="1" x14ac:dyDescent="0.25">
      <c r="FH544" s="3039"/>
      <c r="FI544" s="2402"/>
      <c r="FJ544" s="2402"/>
      <c r="FK544" s="2402"/>
      <c r="FL544" s="2402"/>
      <c r="FM544" s="2402"/>
      <c r="FN544" s="2402"/>
      <c r="FO544" s="3467"/>
    </row>
    <row r="545" spans="164:201" x14ac:dyDescent="0.25">
      <c r="FH545" s="3039"/>
      <c r="FI545" s="2402"/>
      <c r="FJ545" s="3468" t="s">
        <v>2742</v>
      </c>
      <c r="FK545" s="3469"/>
      <c r="FL545" s="3469"/>
      <c r="FM545" s="3469"/>
      <c r="FN545" s="3469"/>
      <c r="FO545" s="3470"/>
    </row>
    <row r="546" spans="164:201" x14ac:dyDescent="0.25">
      <c r="FH546" s="3039"/>
      <c r="FI546" s="3471">
        <f>+FF541</f>
        <v>42.584615384615375</v>
      </c>
      <c r="FJ546" s="3472">
        <f>+EY514</f>
        <v>2.1666666666666667E-2</v>
      </c>
      <c r="FK546" s="3472">
        <f>+FJ546+0.0025</f>
        <v>2.4166666666666666E-2</v>
      </c>
      <c r="FL546" s="3472">
        <f>+FK546+0.0025</f>
        <v>2.6666666666666665E-2</v>
      </c>
      <c r="FM546" s="3472">
        <f>+FL546+0.0025</f>
        <v>2.9166666666666664E-2</v>
      </c>
      <c r="FN546" s="3472">
        <f>+FM546+0.0025</f>
        <v>3.1666666666666662E-2</v>
      </c>
      <c r="FO546" s="3473">
        <f>+FN546+0.0025</f>
        <v>3.4166666666666665E-2</v>
      </c>
    </row>
    <row r="547" spans="164:201" x14ac:dyDescent="0.25">
      <c r="FH547" s="3931" t="s">
        <v>2745</v>
      </c>
      <c r="FI547" s="3472">
        <v>0</v>
      </c>
      <c r="FJ547" s="3474">
        <f t="dataTable" ref="FJ547:FO552" dt2D="1" dtr="0" r1="FF526" r2="FF535"/>
        <v>0</v>
      </c>
      <c r="FK547" s="3475">
        <v>19.961538461538453</v>
      </c>
      <c r="FL547" s="3475">
        <v>39.923076923076906</v>
      </c>
      <c r="FM547" s="3475">
        <v>59.88461538461533</v>
      </c>
      <c r="FN547" s="3475">
        <v>79.846153846153783</v>
      </c>
      <c r="FO547" s="3476">
        <v>99.807692307692264</v>
      </c>
      <c r="GS547" s="2434">
        <f>20/0.02</f>
        <v>1000</v>
      </c>
    </row>
    <row r="548" spans="164:201" x14ac:dyDescent="0.25">
      <c r="FH548" s="3932"/>
      <c r="FI548" s="3472">
        <f>+FI547+0.0025</f>
        <v>2.5000000000000001E-3</v>
      </c>
      <c r="FJ548" s="3477">
        <v>1.3307692307691923</v>
      </c>
      <c r="FK548" s="2443">
        <v>21.292307692307674</v>
      </c>
      <c r="FL548" s="2443">
        <v>41.253846153846126</v>
      </c>
      <c r="FM548" s="2443">
        <v>61.215384615384551</v>
      </c>
      <c r="FN548" s="2443">
        <v>81.176923076923003</v>
      </c>
      <c r="FO548" s="3478">
        <v>101.13846153846151</v>
      </c>
    </row>
    <row r="549" spans="164:201" x14ac:dyDescent="0.25">
      <c r="FH549" s="3932"/>
      <c r="FI549" s="3472">
        <f>+FI548+0.0025</f>
        <v>5.0000000000000001E-3</v>
      </c>
      <c r="FJ549" s="3477">
        <v>2.6615384615384414</v>
      </c>
      <c r="FK549" s="2443">
        <v>22.623076923076923</v>
      </c>
      <c r="FL549" s="2443">
        <v>42.584615384615375</v>
      </c>
      <c r="FM549" s="2443">
        <v>62.5461538461538</v>
      </c>
      <c r="FN549" s="2443">
        <v>82.507692307692253</v>
      </c>
      <c r="FO549" s="3478">
        <v>102.46923076923071</v>
      </c>
    </row>
    <row r="550" spans="164:201" x14ac:dyDescent="0.25">
      <c r="FH550" s="3932"/>
      <c r="FI550" s="3472">
        <f>+FI549+0.0025</f>
        <v>7.4999999999999997E-3</v>
      </c>
      <c r="FJ550" s="3477">
        <v>3.9923076923076621</v>
      </c>
      <c r="FK550" s="2443">
        <v>23.953846153846143</v>
      </c>
      <c r="FL550" s="2443">
        <v>43.915384615384596</v>
      </c>
      <c r="FM550" s="2443">
        <v>63.876923076923021</v>
      </c>
      <c r="FN550" s="2443">
        <v>83.838461538461502</v>
      </c>
      <c r="FO550" s="3478">
        <v>103.79999999999995</v>
      </c>
    </row>
    <row r="551" spans="164:201" x14ac:dyDescent="0.25">
      <c r="FH551" s="3932"/>
      <c r="FI551" s="3472">
        <f>+FI550+0.0025</f>
        <v>0.01</v>
      </c>
      <c r="FJ551" s="3477">
        <v>5.3230769230768828</v>
      </c>
      <c r="FK551" s="2443">
        <v>25.284615384615364</v>
      </c>
      <c r="FL551" s="2443">
        <v>45.246153846153817</v>
      </c>
      <c r="FM551" s="2443">
        <v>65.207692307692241</v>
      </c>
      <c r="FN551" s="2443">
        <v>85.169230769230694</v>
      </c>
      <c r="FO551" s="3478">
        <v>105.1307692307692</v>
      </c>
    </row>
    <row r="552" spans="164:201" x14ac:dyDescent="0.25">
      <c r="FH552" s="3933"/>
      <c r="FI552" s="3479">
        <f>+FI551+0.0025</f>
        <v>1.2500000000000001E-2</v>
      </c>
      <c r="FJ552" s="3480">
        <v>6.653846153846132</v>
      </c>
      <c r="FK552" s="3481">
        <v>26.615384615384613</v>
      </c>
      <c r="FL552" s="3481">
        <v>46.576923076923066</v>
      </c>
      <c r="FM552" s="3481">
        <v>66.53846153846149</v>
      </c>
      <c r="FN552" s="3481">
        <v>86.499999999999943</v>
      </c>
      <c r="FO552" s="3482">
        <v>106.4615384615384</v>
      </c>
    </row>
    <row r="553" spans="164:201" x14ac:dyDescent="0.25">
      <c r="FH553" s="3495"/>
      <c r="FI553" s="3472"/>
      <c r="FJ553" s="2443"/>
      <c r="FK553" s="2443"/>
      <c r="FL553" s="2443"/>
      <c r="FM553" s="2443"/>
      <c r="FN553" s="2443"/>
      <c r="FO553" s="2443"/>
    </row>
    <row r="554" spans="164:201" x14ac:dyDescent="0.25">
      <c r="FH554" s="3495"/>
      <c r="FI554" s="3472"/>
      <c r="FJ554" s="2443"/>
      <c r="FK554" s="2443"/>
      <c r="FL554" s="2443"/>
      <c r="FM554" s="2443"/>
      <c r="FN554" s="2443"/>
      <c r="FO554" s="2443"/>
      <c r="FR554" s="199" t="s">
        <v>2869</v>
      </c>
    </row>
    <row r="555" spans="164:201" x14ac:dyDescent="0.25">
      <c r="FH555" s="3495"/>
      <c r="FI555" s="3472"/>
      <c r="FJ555" s="2443"/>
      <c r="FK555" s="2443"/>
      <c r="FL555" s="2443"/>
      <c r="FM555" s="2443"/>
      <c r="FN555" s="2443"/>
      <c r="FO555" s="2443"/>
      <c r="FR555" t="s">
        <v>2779</v>
      </c>
      <c r="FS555" t="s">
        <v>2780</v>
      </c>
    </row>
    <row r="556" spans="164:201" x14ac:dyDescent="0.25">
      <c r="FH556" s="3495"/>
      <c r="FI556" s="3472"/>
      <c r="FJ556" s="2443"/>
      <c r="FK556" s="2443"/>
      <c r="FL556" s="2443"/>
      <c r="FM556" s="2443"/>
      <c r="FN556" s="2443"/>
      <c r="FO556" s="2443"/>
      <c r="FR556">
        <f>1.3/60</f>
        <v>2.1666666666666667E-2</v>
      </c>
      <c r="FS556" s="2715"/>
    </row>
    <row r="557" spans="164:201" x14ac:dyDescent="0.25">
      <c r="FH557" s="3495"/>
      <c r="FI557" s="3472"/>
      <c r="FJ557" s="2443"/>
      <c r="FK557" s="2443"/>
      <c r="FL557" s="2443"/>
      <c r="FM557" s="2443"/>
      <c r="FN557" s="2443"/>
      <c r="FO557" s="2443"/>
      <c r="FR557" s="2869">
        <f>FR556+0.0025</f>
        <v>2.4166666666666666E-2</v>
      </c>
      <c r="FS557" s="2715">
        <f t="shared" ref="FS557:FS564" si="37">((FR557*$FF$521)-($FR$556*$FF$521))*$FF$531</f>
        <v>19.96153846153846</v>
      </c>
    </row>
    <row r="558" spans="164:201" x14ac:dyDescent="0.25">
      <c r="FH558" s="3495"/>
      <c r="FI558" s="3472"/>
      <c r="FJ558" s="2443"/>
      <c r="FK558" s="2443"/>
      <c r="FL558" s="2443"/>
      <c r="FM558" s="2443"/>
      <c r="FN558" s="2443"/>
      <c r="FO558" s="2443"/>
      <c r="FR558" s="2869">
        <v>0.03</v>
      </c>
      <c r="FS558" s="2715">
        <f t="shared" si="37"/>
        <v>66.538461538461533</v>
      </c>
      <c r="FT558" s="2434">
        <f>FS558/0.133</f>
        <v>500.28918449971076</v>
      </c>
    </row>
    <row r="559" spans="164:201" hidden="1" outlineLevel="1" x14ac:dyDescent="0.25">
      <c r="FH559" s="3495"/>
      <c r="FI559" s="3472"/>
      <c r="FJ559" s="2443"/>
      <c r="FK559" s="2443"/>
      <c r="FL559" s="2443"/>
      <c r="FM559" s="2443"/>
      <c r="FN559" s="2443"/>
      <c r="FO559" s="2443"/>
      <c r="FR559" s="2869">
        <f>FR558+0.0025</f>
        <v>3.2500000000000001E-2</v>
      </c>
      <c r="FS559" s="2715">
        <f t="shared" si="37"/>
        <v>86.499999999999986</v>
      </c>
      <c r="FT559" s="2434">
        <f>FS559/0.133</f>
        <v>650.37593984962393</v>
      </c>
    </row>
    <row r="560" spans="164:201" collapsed="1" x14ac:dyDescent="0.25">
      <c r="FH560" s="3495"/>
      <c r="FI560" s="3472"/>
      <c r="FJ560" s="2443"/>
      <c r="FK560" s="2443"/>
      <c r="FL560" s="2443"/>
      <c r="FM560" s="2443"/>
      <c r="FN560" s="2443"/>
      <c r="FO560" s="2443"/>
      <c r="FR560" s="2869">
        <v>3.5000000000000003E-2</v>
      </c>
      <c r="FS560" s="2715">
        <f t="shared" si="37"/>
        <v>106.46153846153845</v>
      </c>
      <c r="FT560" s="2434">
        <f>FS560/0.133</f>
        <v>800.46269519953717</v>
      </c>
    </row>
    <row r="561" spans="164:206" x14ac:dyDescent="0.25">
      <c r="FH561" s="3495"/>
      <c r="FI561" s="3472"/>
      <c r="FJ561" s="2443"/>
      <c r="FK561" s="2443"/>
      <c r="FL561" s="2443"/>
      <c r="FM561" s="2443"/>
      <c r="FN561" s="2443"/>
      <c r="FO561" s="2443"/>
      <c r="FR561" s="2869">
        <f>FR560+0.0025</f>
        <v>3.7500000000000006E-2</v>
      </c>
      <c r="FS561" s="2715">
        <f t="shared" si="37"/>
        <v>126.42307692307698</v>
      </c>
    </row>
    <row r="562" spans="164:206" x14ac:dyDescent="0.25">
      <c r="FH562" s="3495"/>
      <c r="FI562" s="3472"/>
      <c r="FJ562" s="2443"/>
      <c r="FK562" s="2443"/>
      <c r="FL562" s="2443"/>
      <c r="FM562" s="2443"/>
      <c r="FN562" s="2443"/>
      <c r="FO562" s="2443"/>
      <c r="FR562" s="2869">
        <f>FR561+0.0025</f>
        <v>4.0000000000000008E-2</v>
      </c>
      <c r="FS562" s="2715">
        <f t="shared" si="37"/>
        <v>146.38461538461544</v>
      </c>
    </row>
    <row r="563" spans="164:206" x14ac:dyDescent="0.25">
      <c r="FH563" s="3495"/>
      <c r="FI563" s="3472"/>
      <c r="FJ563" s="2443"/>
      <c r="FK563" s="2443"/>
      <c r="FL563" s="2443"/>
      <c r="FM563" s="2443"/>
      <c r="FN563" s="2443"/>
      <c r="FO563" s="2443"/>
      <c r="FR563" s="2869">
        <f>FR562+0.0025</f>
        <v>4.250000000000001E-2</v>
      </c>
      <c r="FS563" s="2715">
        <f t="shared" si="37"/>
        <v>166.3461538461539</v>
      </c>
    </row>
    <row r="564" spans="164:206" x14ac:dyDescent="0.25">
      <c r="FH564" s="3495"/>
      <c r="FI564" s="3472"/>
      <c r="FJ564" s="2443"/>
      <c r="FK564" s="2443"/>
      <c r="FL564" s="2443"/>
      <c r="FM564" s="2443"/>
      <c r="FN564" s="2443"/>
      <c r="FO564" s="2443"/>
      <c r="FR564" s="2875">
        <v>3.9E-2</v>
      </c>
      <c r="FS564" s="3586">
        <f t="shared" si="37"/>
        <v>138.39999999999998</v>
      </c>
    </row>
    <row r="565" spans="164:206" x14ac:dyDescent="0.25">
      <c r="FH565" s="3495"/>
      <c r="FI565" s="3472"/>
      <c r="FJ565" s="2443"/>
      <c r="FK565" s="2443"/>
      <c r="FL565" s="2443"/>
      <c r="FM565" s="2443"/>
      <c r="FN565" s="2443"/>
      <c r="FO565" s="2443"/>
    </row>
    <row r="566" spans="164:206" x14ac:dyDescent="0.25">
      <c r="FH566" s="3495"/>
      <c r="FI566" s="3472"/>
      <c r="FJ566" s="2443"/>
      <c r="FK566" s="2443"/>
      <c r="FL566" s="2443"/>
      <c r="FM566" s="2443"/>
      <c r="FN566" s="2443"/>
      <c r="FO566" s="2443"/>
    </row>
    <row r="567" spans="164:206" x14ac:dyDescent="0.25">
      <c r="FH567" s="3495"/>
      <c r="FI567" s="3472"/>
      <c r="FJ567" s="2443"/>
      <c r="FK567" s="2443"/>
      <c r="FL567" s="2443"/>
      <c r="FM567" s="2443"/>
      <c r="FN567" s="2443"/>
      <c r="FO567" s="2443"/>
    </row>
    <row r="568" spans="164:206" x14ac:dyDescent="0.25">
      <c r="FH568" s="3495"/>
      <c r="FI568" s="3472"/>
      <c r="FJ568" s="2443"/>
      <c r="FK568" s="2443"/>
      <c r="FL568" s="2443"/>
      <c r="FM568" s="2443"/>
      <c r="FN568" s="2443"/>
      <c r="FO568" s="2443"/>
    </row>
    <row r="569" spans="164:206" x14ac:dyDescent="0.25">
      <c r="GQ569" s="3490"/>
      <c r="GT569" s="3490"/>
      <c r="GX569" s="3459"/>
    </row>
    <row r="570" spans="164:206" x14ac:dyDescent="0.25">
      <c r="GQ570" s="3490"/>
      <c r="GT570" s="3490"/>
      <c r="GX570" s="3459"/>
    </row>
    <row r="571" spans="164:206" x14ac:dyDescent="0.25">
      <c r="GQ571" s="3490"/>
      <c r="GT571" s="3490"/>
      <c r="GX571" s="3459"/>
    </row>
    <row r="572" spans="164:206" x14ac:dyDescent="0.25">
      <c r="GQ572" s="3490"/>
      <c r="GT572" s="3490"/>
      <c r="GX572" s="3459"/>
    </row>
    <row r="573" spans="164:206" x14ac:dyDescent="0.25">
      <c r="GQ573" s="3490"/>
      <c r="GT573" s="3490"/>
      <c r="GX573" s="3459"/>
    </row>
    <row r="574" spans="164:206" x14ac:dyDescent="0.25">
      <c r="GQ574" s="3490"/>
      <c r="GT574" s="3490"/>
      <c r="GX574" s="3459"/>
    </row>
    <row r="575" spans="164:206" x14ac:dyDescent="0.25">
      <c r="GQ575" s="3490"/>
      <c r="GT575" s="3490"/>
      <c r="GX575" s="3459"/>
    </row>
    <row r="576" spans="164:206" x14ac:dyDescent="0.25">
      <c r="GQ576" s="3490"/>
      <c r="GT576" s="3490"/>
      <c r="GX576" s="3459"/>
    </row>
    <row r="577" spans="183:206" x14ac:dyDescent="0.25">
      <c r="GQ577" s="3490"/>
      <c r="GT577" s="3490"/>
      <c r="GX577" s="3459"/>
    </row>
    <row r="578" spans="183:206" x14ac:dyDescent="0.25">
      <c r="GQ578" s="3490"/>
      <c r="GT578" s="3490"/>
      <c r="GX578" s="3459"/>
    </row>
    <row r="579" spans="183:206" x14ac:dyDescent="0.25">
      <c r="GQ579" s="3490"/>
      <c r="GT579" s="3490"/>
      <c r="GX579" s="3459"/>
    </row>
    <row r="580" spans="183:206" x14ac:dyDescent="0.25">
      <c r="GQ580" s="3490"/>
      <c r="GT580" s="3490"/>
      <c r="GX580" s="3459"/>
    </row>
    <row r="581" spans="183:206" x14ac:dyDescent="0.25">
      <c r="GQ581" s="3490"/>
      <c r="GT581" s="3490"/>
      <c r="GX581" s="3459"/>
    </row>
    <row r="582" spans="183:206" x14ac:dyDescent="0.25">
      <c r="GQ582" s="3490"/>
      <c r="GT582" s="3490"/>
      <c r="GX582" s="3459"/>
    </row>
    <row r="583" spans="183:206" x14ac:dyDescent="0.25">
      <c r="GQ583" s="3490"/>
      <c r="GT583" s="3490"/>
      <c r="GX583" s="3459"/>
    </row>
    <row r="584" spans="183:206" x14ac:dyDescent="0.25">
      <c r="GQ584" s="3490"/>
      <c r="GT584" s="3490"/>
      <c r="GX584" s="3459"/>
    </row>
    <row r="585" spans="183:206" x14ac:dyDescent="0.25">
      <c r="GQ585" s="3490"/>
      <c r="GT585" s="3490"/>
      <c r="GX585" s="3459"/>
    </row>
    <row r="586" spans="183:206" x14ac:dyDescent="0.25">
      <c r="GQ586" s="3490"/>
      <c r="GT586" s="3490"/>
      <c r="GX586" s="3459"/>
    </row>
    <row r="587" spans="183:206" x14ac:dyDescent="0.25">
      <c r="GQ587" s="3490"/>
      <c r="GT587" s="3490"/>
      <c r="GX587" s="3459"/>
    </row>
    <row r="588" spans="183:206" x14ac:dyDescent="0.25">
      <c r="GQ588" s="3490"/>
      <c r="GT588" s="3490"/>
      <c r="GX588" s="3459"/>
    </row>
    <row r="589" spans="183:206" x14ac:dyDescent="0.25">
      <c r="GA589" t="s">
        <v>2871</v>
      </c>
      <c r="GB589"/>
      <c r="GC589"/>
      <c r="GD589"/>
      <c r="GE589"/>
      <c r="GF589"/>
      <c r="GQ589" s="3490"/>
      <c r="GT589" s="3490"/>
      <c r="GX589" s="3459"/>
    </row>
    <row r="590" spans="183:206" x14ac:dyDescent="0.25">
      <c r="GA590" s="2768" t="s">
        <v>2865</v>
      </c>
      <c r="GB590" s="2631">
        <f>$EB$449</f>
        <v>1300</v>
      </c>
      <c r="GC590" s="217" t="s">
        <v>2873</v>
      </c>
      <c r="GD590" s="2631">
        <f>-(GB590-($FF$521*$FR$558))</f>
        <v>500</v>
      </c>
      <c r="GE590" s="217" t="s">
        <v>2868</v>
      </c>
      <c r="GF590" s="2715">
        <f>GB590+GD590</f>
        <v>1800</v>
      </c>
      <c r="GQ590" s="3490"/>
      <c r="GT590" s="3490"/>
      <c r="GX590" s="3459"/>
    </row>
    <row r="591" spans="183:206" x14ac:dyDescent="0.25">
      <c r="GA591" s="2929" t="s">
        <v>2866</v>
      </c>
      <c r="GB591" s="3581">
        <f>GB590*$EB$455</f>
        <v>172.99999999999997</v>
      </c>
      <c r="GC591" s="609" t="s">
        <v>2832</v>
      </c>
      <c r="GD591" s="3581">
        <f>GD590*$EB$455</f>
        <v>66.538461538461533</v>
      </c>
      <c r="GE591" s="609" t="s">
        <v>2867</v>
      </c>
      <c r="GF591" s="3586">
        <f>GB591+GD591</f>
        <v>239.53846153846149</v>
      </c>
      <c r="GQ591" s="3490"/>
      <c r="GT591" s="3490"/>
      <c r="GX591" s="3459"/>
    </row>
    <row r="592" spans="183:206" x14ac:dyDescent="0.25">
      <c r="GQ592" s="3490"/>
      <c r="GT592" s="3490"/>
      <c r="GX592" s="3459"/>
    </row>
    <row r="593" spans="199:206" x14ac:dyDescent="0.25">
      <c r="GQ593" s="3490"/>
      <c r="GT593" s="3490"/>
      <c r="GX593" s="3459"/>
    </row>
    <row r="594" spans="199:206" x14ac:dyDescent="0.25">
      <c r="GQ594" s="3490"/>
      <c r="GT594" s="3490"/>
      <c r="GX594" s="3459"/>
    </row>
    <row r="595" spans="199:206" x14ac:dyDescent="0.25">
      <c r="GQ595" s="3490"/>
      <c r="GT595" s="3490"/>
      <c r="GX595" s="3459"/>
    </row>
    <row r="596" spans="199:206" x14ac:dyDescent="0.25">
      <c r="GQ596" s="3490"/>
      <c r="GT596" s="3490"/>
      <c r="GX596" s="3459"/>
    </row>
    <row r="597" spans="199:206" x14ac:dyDescent="0.25">
      <c r="GQ597" s="3490"/>
      <c r="GT597" s="3490"/>
      <c r="GX597" s="3459"/>
    </row>
    <row r="598" spans="199:206" x14ac:dyDescent="0.25">
      <c r="GQ598" s="3490"/>
      <c r="GT598" s="3490"/>
      <c r="GX598" s="3459"/>
    </row>
    <row r="599" spans="199:206" x14ac:dyDescent="0.25">
      <c r="GQ599" s="3490"/>
      <c r="GT599" s="3490"/>
      <c r="GX599" s="3459"/>
    </row>
    <row r="600" spans="199:206" x14ac:dyDescent="0.25">
      <c r="GQ600" s="3490"/>
      <c r="GT600" s="3490"/>
      <c r="GX600" s="3459"/>
    </row>
    <row r="601" spans="199:206" x14ac:dyDescent="0.25">
      <c r="GQ601" s="3490"/>
      <c r="GT601" s="3490"/>
      <c r="GX601" s="3459"/>
    </row>
    <row r="602" spans="199:206" x14ac:dyDescent="0.25">
      <c r="GQ602" s="3490"/>
      <c r="GT602" s="3490"/>
      <c r="GX602" s="3459"/>
    </row>
    <row r="603" spans="199:206" x14ac:dyDescent="0.25">
      <c r="GQ603" s="3490"/>
      <c r="GT603" s="3490"/>
      <c r="GX603" s="3459"/>
    </row>
    <row r="604" spans="199:206" x14ac:dyDescent="0.25">
      <c r="GQ604" s="3490"/>
      <c r="GT604" s="3490"/>
      <c r="GX604" s="3459"/>
    </row>
    <row r="605" spans="199:206" x14ac:dyDescent="0.25">
      <c r="GQ605" s="3490"/>
      <c r="GT605" s="3490"/>
      <c r="GX605" s="3459"/>
    </row>
    <row r="606" spans="199:206" x14ac:dyDescent="0.25">
      <c r="GQ606" s="3490"/>
      <c r="GT606" s="3490"/>
      <c r="GX606" s="3459"/>
    </row>
    <row r="607" spans="199:206" x14ac:dyDescent="0.25">
      <c r="GQ607" s="3490"/>
      <c r="GT607" s="3490"/>
      <c r="GX607" s="3459"/>
    </row>
    <row r="608" spans="199:206" x14ac:dyDescent="0.25">
      <c r="GQ608" s="3490"/>
      <c r="GT608" s="3490"/>
      <c r="GX608" s="3459"/>
    </row>
    <row r="609" spans="190:206" x14ac:dyDescent="0.25">
      <c r="GQ609" s="3490"/>
      <c r="GT609" s="3490"/>
      <c r="GX609" s="3459"/>
    </row>
    <row r="610" spans="190:206" x14ac:dyDescent="0.25">
      <c r="GQ610" s="3490"/>
      <c r="GT610" s="3490"/>
      <c r="GX610" s="3459"/>
    </row>
    <row r="611" spans="190:206" x14ac:dyDescent="0.25">
      <c r="GQ611" s="3490"/>
      <c r="GT611" s="3490"/>
      <c r="GX611" s="3459"/>
    </row>
    <row r="612" spans="190:206" x14ac:dyDescent="0.25">
      <c r="GQ612" s="3490"/>
      <c r="GT612" s="3490"/>
      <c r="GX612" s="3459"/>
    </row>
    <row r="613" spans="190:206" x14ac:dyDescent="0.25">
      <c r="GQ613" s="3490"/>
      <c r="GT613" s="3490"/>
      <c r="GX613" s="3459"/>
    </row>
    <row r="614" spans="190:206" x14ac:dyDescent="0.25">
      <c r="GH614" t="s">
        <v>2872</v>
      </c>
      <c r="GI614"/>
      <c r="GJ614"/>
      <c r="GK614"/>
      <c r="GL614"/>
      <c r="GM614"/>
      <c r="GQ614" s="3490"/>
      <c r="GT614" s="3490"/>
      <c r="GX614" s="3459"/>
    </row>
    <row r="615" spans="190:206" x14ac:dyDescent="0.25">
      <c r="GH615" s="2768" t="s">
        <v>2865</v>
      </c>
      <c r="GI615" s="2631">
        <f>$EB$449</f>
        <v>1300</v>
      </c>
      <c r="GJ615" s="217" t="s">
        <v>2873</v>
      </c>
      <c r="GK615" s="2631">
        <f>-(GI615-($FF$521*$FR$560))</f>
        <v>800</v>
      </c>
      <c r="GL615" s="217" t="s">
        <v>2868</v>
      </c>
      <c r="GM615" s="2715">
        <f>GK615+GI615</f>
        <v>2100</v>
      </c>
      <c r="GQ615" s="3490"/>
      <c r="GT615" s="3490"/>
      <c r="GX615" s="3459"/>
    </row>
    <row r="616" spans="190:206" x14ac:dyDescent="0.25">
      <c r="GH616" s="2929" t="s">
        <v>2866</v>
      </c>
      <c r="GI616" s="3581">
        <f>GI615*$EB$455</f>
        <v>172.99999999999997</v>
      </c>
      <c r="GJ616" s="609" t="s">
        <v>2832</v>
      </c>
      <c r="GK616" s="3581">
        <f>GK615*$EB$455</f>
        <v>106.46153846153845</v>
      </c>
      <c r="GL616" s="609" t="s">
        <v>2867</v>
      </c>
      <c r="GM616" s="3586">
        <f>GK616+GI616</f>
        <v>279.46153846153845</v>
      </c>
      <c r="GQ616" s="3490"/>
      <c r="GT616" s="3490"/>
      <c r="GX616" s="3459"/>
    </row>
    <row r="617" spans="190:206" x14ac:dyDescent="0.25">
      <c r="GQ617" s="3490"/>
      <c r="GT617" s="3490"/>
      <c r="GX617" s="3459"/>
    </row>
    <row r="618" spans="190:206" x14ac:dyDescent="0.25">
      <c r="GQ618" s="3490"/>
      <c r="GT618" s="3490"/>
      <c r="GX618" s="3459"/>
    </row>
    <row r="619" spans="190:206" x14ac:dyDescent="0.25">
      <c r="GQ619" s="3490"/>
      <c r="GT619" s="3490"/>
      <c r="GX619" s="3459"/>
    </row>
    <row r="620" spans="190:206" x14ac:dyDescent="0.25">
      <c r="GQ620" s="3490"/>
      <c r="GT620" s="3490"/>
      <c r="GX620" s="3459"/>
    </row>
    <row r="621" spans="190:206" x14ac:dyDescent="0.25">
      <c r="GQ621" s="3490"/>
      <c r="GT621" s="3490"/>
      <c r="GX621" s="3459"/>
    </row>
    <row r="622" spans="190:206" x14ac:dyDescent="0.25">
      <c r="GQ622" s="3490"/>
      <c r="GT622" s="3490"/>
      <c r="GX622" s="3459"/>
    </row>
    <row r="623" spans="190:206" x14ac:dyDescent="0.25">
      <c r="GQ623" s="3490"/>
      <c r="GT623" s="3490"/>
      <c r="GX623" s="3459"/>
    </row>
    <row r="624" spans="190:206" x14ac:dyDescent="0.25">
      <c r="GQ624" s="3490"/>
      <c r="GT624" s="3490"/>
      <c r="GX624" s="3459"/>
    </row>
    <row r="625" spans="197:209" x14ac:dyDescent="0.25">
      <c r="GQ625" s="3490"/>
      <c r="GT625" s="3490"/>
      <c r="GX625" s="3459"/>
    </row>
    <row r="626" spans="197:209" x14ac:dyDescent="0.25">
      <c r="GQ626" s="3490"/>
      <c r="GT626" s="3490"/>
      <c r="GX626" s="3459"/>
    </row>
    <row r="627" spans="197:209" x14ac:dyDescent="0.25">
      <c r="GQ627" s="3490"/>
      <c r="GT627" s="3490"/>
      <c r="GX627" s="3459"/>
    </row>
    <row r="628" spans="197:209" x14ac:dyDescent="0.25">
      <c r="GQ628" s="3490"/>
      <c r="GT628" s="3490"/>
      <c r="GX628" s="3459"/>
    </row>
    <row r="629" spans="197:209" x14ac:dyDescent="0.25">
      <c r="GQ629" s="3490"/>
      <c r="GT629" s="3490"/>
      <c r="GX629" s="3459"/>
    </row>
    <row r="630" spans="197:209" x14ac:dyDescent="0.25">
      <c r="GQ630" s="3490"/>
      <c r="GT630" s="3490"/>
      <c r="GX630" s="3459"/>
    </row>
    <row r="631" spans="197:209" x14ac:dyDescent="0.25">
      <c r="GQ631" s="3490"/>
      <c r="GT631" s="3490"/>
      <c r="GX631" s="3459"/>
    </row>
    <row r="632" spans="197:209" x14ac:dyDescent="0.25">
      <c r="GQ632" s="3490"/>
      <c r="GT632" s="3490"/>
      <c r="GX632" s="3459"/>
    </row>
    <row r="633" spans="197:209" x14ac:dyDescent="0.25">
      <c r="GQ633" s="3490"/>
      <c r="GT633" s="3490"/>
      <c r="GX633" s="3459"/>
    </row>
    <row r="634" spans="197:209" x14ac:dyDescent="0.25">
      <c r="GQ634" s="3490"/>
      <c r="GT634" s="3490"/>
      <c r="GX634" s="3459"/>
    </row>
    <row r="635" spans="197:209" x14ac:dyDescent="0.25">
      <c r="GQ635" s="3490"/>
      <c r="GT635" s="3490"/>
      <c r="GX635" s="3459"/>
    </row>
    <row r="636" spans="197:209" x14ac:dyDescent="0.25">
      <c r="GQ636" s="3490"/>
      <c r="GT636" s="3490"/>
      <c r="GX636" s="3459"/>
    </row>
    <row r="638" spans="197:209" x14ac:dyDescent="0.25">
      <c r="GP638" s="3485" t="s">
        <v>2747</v>
      </c>
      <c r="GQ638" s="3485"/>
      <c r="GR638" s="3485"/>
      <c r="GS638" s="3485" t="s">
        <v>2764</v>
      </c>
      <c r="GT638" s="3485"/>
      <c r="GU638" s="3485" t="s">
        <v>2749</v>
      </c>
      <c r="GV638" s="3485"/>
      <c r="GW638" s="1207" t="s">
        <v>2763</v>
      </c>
      <c r="GX638" s="1207" t="s">
        <v>2762</v>
      </c>
      <c r="GY638" s="1207" t="s">
        <v>2751</v>
      </c>
      <c r="GZ638" s="1207" t="s">
        <v>2753</v>
      </c>
      <c r="HA638" s="2434" t="s">
        <v>1446</v>
      </c>
    </row>
    <row r="639" spans="197:209" x14ac:dyDescent="0.25">
      <c r="GP639" s="3483" t="s">
        <v>2754</v>
      </c>
      <c r="GQ639" s="3483" t="s">
        <v>2755</v>
      </c>
      <c r="GR639" s="3483" t="s">
        <v>2756</v>
      </c>
      <c r="GS639" s="3483" t="s">
        <v>1735</v>
      </c>
      <c r="GT639" s="3483" t="s">
        <v>2748</v>
      </c>
      <c r="GU639" s="3483" t="s">
        <v>1735</v>
      </c>
      <c r="GV639" s="3483" t="s">
        <v>2748</v>
      </c>
    </row>
    <row r="640" spans="197:209" x14ac:dyDescent="0.25">
      <c r="GO640" s="2434" t="s">
        <v>346</v>
      </c>
      <c r="GP640" s="3484">
        <v>100</v>
      </c>
      <c r="GQ640" s="3487">
        <v>2.4</v>
      </c>
      <c r="GR640" s="3459">
        <f>GQ640/GP640</f>
        <v>2.4E-2</v>
      </c>
      <c r="GS640" s="3484">
        <v>60000</v>
      </c>
      <c r="GT640" s="3484">
        <v>4000</v>
      </c>
      <c r="GU640" s="3486">
        <f>GS640/GQ640</f>
        <v>25000</v>
      </c>
      <c r="GV640" s="3486">
        <f>GT640/GQ640</f>
        <v>1666.6666666666667</v>
      </c>
      <c r="GW640" s="3484">
        <v>1300</v>
      </c>
      <c r="GX640" s="3459">
        <f>GW640/GS640</f>
        <v>2.1666666666666667E-2</v>
      </c>
      <c r="GY640" s="3459">
        <f>GT640/MAR!CO14</f>
        <v>0.23663038334122102</v>
      </c>
      <c r="GZ640" s="3459">
        <f>173/MAR!CO104</f>
        <v>5.7917643120187476E-2</v>
      </c>
    </row>
    <row r="641" spans="180:213" x14ac:dyDescent="0.25">
      <c r="GO641" s="2434" t="s">
        <v>2746</v>
      </c>
      <c r="GP641" s="3484">
        <v>88.1</v>
      </c>
      <c r="GQ641" s="3484">
        <v>11</v>
      </c>
      <c r="GR641" s="3459">
        <f>GQ641/GP641</f>
        <v>0.12485811577752555</v>
      </c>
      <c r="GS641" s="3483">
        <f>GT641/(1-0.7)</f>
        <v>99999.999999999985</v>
      </c>
      <c r="GT641" s="3484">
        <v>30000</v>
      </c>
      <c r="GU641" s="3486">
        <f>GS641/GQ641</f>
        <v>9090.9090909090901</v>
      </c>
      <c r="GV641" s="3486">
        <f>GT641/GQ641</f>
        <v>2727.2727272727275</v>
      </c>
      <c r="GW641" s="3484"/>
      <c r="GX641" s="3484"/>
      <c r="GY641" s="3489">
        <v>0.252697546306825</v>
      </c>
      <c r="GZ641" s="3459"/>
      <c r="HA641" s="2434" t="s">
        <v>2750</v>
      </c>
    </row>
    <row r="642" spans="180:213" x14ac:dyDescent="0.25">
      <c r="GO642" s="2434" t="s">
        <v>2752</v>
      </c>
      <c r="GP642" s="3483"/>
      <c r="GQ642" s="3483"/>
      <c r="GR642" s="3459"/>
      <c r="GS642" s="3483"/>
      <c r="GT642" s="3483"/>
      <c r="GW642" s="3484">
        <v>124</v>
      </c>
      <c r="GX642" s="3484"/>
      <c r="GY642" s="3459">
        <v>0</v>
      </c>
      <c r="GZ642" s="3459">
        <v>2.2920517560073937E-2</v>
      </c>
    </row>
    <row r="643" spans="180:213" x14ac:dyDescent="0.25">
      <c r="GO643" s="2434" t="s">
        <v>2757</v>
      </c>
      <c r="GR643" s="3489">
        <v>0.08</v>
      </c>
      <c r="GS643" s="3483"/>
      <c r="GT643" s="3483"/>
    </row>
    <row r="644" spans="180:213" x14ac:dyDescent="0.25">
      <c r="GO644" s="2434" t="s">
        <v>2758</v>
      </c>
      <c r="GR644" s="3489">
        <v>0.06</v>
      </c>
      <c r="GS644" s="3483"/>
      <c r="GT644" s="3483"/>
    </row>
    <row r="645" spans="180:213" x14ac:dyDescent="0.25">
      <c r="GO645" s="2434" t="s">
        <v>2759</v>
      </c>
      <c r="GR645" s="3489">
        <v>0.05</v>
      </c>
      <c r="GS645" s="3483"/>
      <c r="GT645" s="3483"/>
    </row>
    <row r="646" spans="180:213" x14ac:dyDescent="0.25">
      <c r="GO646" s="2434" t="s">
        <v>2760</v>
      </c>
      <c r="GR646" s="3489">
        <v>0.05</v>
      </c>
      <c r="GS646" s="3483"/>
      <c r="GT646" s="3483"/>
    </row>
    <row r="647" spans="180:213" x14ac:dyDescent="0.25">
      <c r="GO647" s="2434" t="s">
        <v>2761</v>
      </c>
      <c r="GR647" s="3489">
        <v>0.05</v>
      </c>
      <c r="GS647" s="3483"/>
      <c r="GT647" s="3483"/>
    </row>
    <row r="648" spans="180:213" x14ac:dyDescent="0.25">
      <c r="GT648" s="2434">
        <f>GT640*0.02</f>
        <v>80</v>
      </c>
    </row>
    <row r="649" spans="180:213" x14ac:dyDescent="0.25">
      <c r="GT649" s="2434">
        <f>GT640*0.015</f>
        <v>60</v>
      </c>
    </row>
    <row r="651" spans="180:213" x14ac:dyDescent="0.25">
      <c r="HD651" s="199" t="s">
        <v>346</v>
      </c>
    </row>
    <row r="652" spans="180:213" x14ac:dyDescent="0.25">
      <c r="HD652" s="2434" t="s">
        <v>2770</v>
      </c>
      <c r="HE652" s="3281">
        <v>60000</v>
      </c>
    </row>
    <row r="653" spans="180:213" x14ac:dyDescent="0.25">
      <c r="HD653" s="2434" t="s">
        <v>2771</v>
      </c>
      <c r="HE653" s="3282">
        <f>HE652/HE655</f>
        <v>25000</v>
      </c>
    </row>
    <row r="654" spans="180:213" x14ac:dyDescent="0.25">
      <c r="FX654" s="2761">
        <f>239/173-1</f>
        <v>0.38150289017341033</v>
      </c>
      <c r="FY654" s="2761"/>
      <c r="FZ654" s="2761"/>
      <c r="GA654" s="2761"/>
      <c r="GB654" s="2761"/>
      <c r="GC654" s="2761"/>
      <c r="GD654" s="2761"/>
      <c r="GE654" s="2761"/>
      <c r="GF654" s="2761"/>
      <c r="GG654" s="2761"/>
      <c r="HD654" s="2434" t="s">
        <v>2772</v>
      </c>
      <c r="HE654" s="3281">
        <v>100</v>
      </c>
    </row>
    <row r="655" spans="180:213" x14ac:dyDescent="0.25">
      <c r="HD655" s="2434" t="s">
        <v>2773</v>
      </c>
      <c r="HE655" s="3492">
        <v>2.4</v>
      </c>
    </row>
    <row r="656" spans="180:213" x14ac:dyDescent="0.25">
      <c r="HD656" s="199" t="s">
        <v>2766</v>
      </c>
      <c r="HE656" s="1951">
        <f>HE655/HE654</f>
        <v>2.4E-2</v>
      </c>
    </row>
    <row r="657" spans="178:213" x14ac:dyDescent="0.25">
      <c r="HD657" s="199"/>
      <c r="HE657" s="1951"/>
    </row>
    <row r="658" spans="178:213" x14ac:dyDescent="0.25">
      <c r="HD658" s="2434" t="s">
        <v>2765</v>
      </c>
      <c r="HE658" s="3281">
        <f>1*12</f>
        <v>12</v>
      </c>
    </row>
    <row r="659" spans="178:213" x14ac:dyDescent="0.25">
      <c r="HD659" s="2434" t="s">
        <v>2767</v>
      </c>
      <c r="HE659" s="3488">
        <v>4.1500000000000002E-2</v>
      </c>
    </row>
    <row r="660" spans="178:213" x14ac:dyDescent="0.25">
      <c r="HE660" s="3281"/>
    </row>
    <row r="661" spans="178:213" x14ac:dyDescent="0.25">
      <c r="HD661" s="2434" t="s">
        <v>2768</v>
      </c>
      <c r="HE661" s="3491">
        <f>HE655+(HE658*HE659)</f>
        <v>2.8979999999999997</v>
      </c>
    </row>
    <row r="662" spans="178:213" x14ac:dyDescent="0.25">
      <c r="HD662" s="2434" t="s">
        <v>2769</v>
      </c>
      <c r="HE662" s="3493">
        <f>HE661-HE655</f>
        <v>0.49799999999999978</v>
      </c>
    </row>
    <row r="663" spans="178:213" x14ac:dyDescent="0.25">
      <c r="HD663" s="2434" t="s">
        <v>2774</v>
      </c>
      <c r="HE663" s="3282">
        <f>HE662*HE653</f>
        <v>12449.999999999995</v>
      </c>
    </row>
    <row r="664" spans="178:213" x14ac:dyDescent="0.25">
      <c r="FV664" s="3490"/>
      <c r="HE664" s="3281"/>
    </row>
    <row r="665" spans="178:213" x14ac:dyDescent="0.25">
      <c r="HD665" s="2434" t="s">
        <v>2776</v>
      </c>
      <c r="HE665" s="3488">
        <v>0.03</v>
      </c>
    </row>
    <row r="666" spans="178:213" x14ac:dyDescent="0.25">
      <c r="GH666" s="2434">
        <v>2.75</v>
      </c>
      <c r="HD666" s="2434" t="s">
        <v>2775</v>
      </c>
      <c r="HE666" s="2761">
        <f>0.173/1.3</f>
        <v>0.13307692307692306</v>
      </c>
    </row>
    <row r="667" spans="178:213" x14ac:dyDescent="0.25">
      <c r="HD667" s="2434" t="s">
        <v>2777</v>
      </c>
      <c r="HE667" s="2434">
        <f>HE663*HE665</f>
        <v>373.49999999999983</v>
      </c>
    </row>
    <row r="668" spans="178:213" x14ac:dyDescent="0.25">
      <c r="HD668" s="2434" t="s">
        <v>2778</v>
      </c>
      <c r="HE668" s="2434">
        <f>HE667*HE666</f>
        <v>49.70423076923074</v>
      </c>
    </row>
    <row r="673" spans="218:228" ht="39.950000000000003" customHeight="1" x14ac:dyDescent="0.25">
      <c r="HJ673" s="3496" t="s">
        <v>2782</v>
      </c>
      <c r="HK673" s="3496" t="s">
        <v>2781</v>
      </c>
    </row>
    <row r="674" spans="218:228" x14ac:dyDescent="0.25">
      <c r="HJ674" s="3497">
        <f>2.4/100</f>
        <v>2.4E-2</v>
      </c>
      <c r="HK674" s="2434">
        <f>(($HE$658*$HJ674)*$HE$653*$HE$665*$HE$666)</f>
        <v>28.744615384615386</v>
      </c>
    </row>
    <row r="675" spans="218:228" x14ac:dyDescent="0.25">
      <c r="HJ675" s="2761">
        <f t="shared" ref="HJ675:HJ681" si="38">HJ674+0.0025</f>
        <v>2.6499999999999999E-2</v>
      </c>
      <c r="HK675" s="2434">
        <f t="shared" ref="HK675:HK681" si="39">(($HE$658*$HJ675)*$HE$653*$HE$665*$HE$666)</f>
        <v>31.738846153846151</v>
      </c>
    </row>
    <row r="676" spans="218:228" x14ac:dyDescent="0.25">
      <c r="HJ676" s="2761">
        <f t="shared" si="38"/>
        <v>2.8999999999999998E-2</v>
      </c>
      <c r="HK676" s="2434">
        <f t="shared" si="39"/>
        <v>34.733076923076922</v>
      </c>
    </row>
    <row r="677" spans="218:228" x14ac:dyDescent="0.25">
      <c r="HJ677" s="2761">
        <f t="shared" si="38"/>
        <v>3.15E-2</v>
      </c>
      <c r="HK677" s="2434">
        <f t="shared" si="39"/>
        <v>37.72730769230769</v>
      </c>
    </row>
    <row r="678" spans="218:228" x14ac:dyDescent="0.25">
      <c r="HJ678" s="2761">
        <f t="shared" si="38"/>
        <v>3.4000000000000002E-2</v>
      </c>
      <c r="HK678" s="2434">
        <f t="shared" si="39"/>
        <v>40.721538461538458</v>
      </c>
    </row>
    <row r="679" spans="218:228" x14ac:dyDescent="0.25">
      <c r="HJ679" s="2761">
        <f t="shared" si="38"/>
        <v>3.6500000000000005E-2</v>
      </c>
      <c r="HK679" s="2434">
        <f t="shared" si="39"/>
        <v>43.715769230769233</v>
      </c>
    </row>
    <row r="680" spans="218:228" x14ac:dyDescent="0.25">
      <c r="HJ680" s="2761">
        <f t="shared" si="38"/>
        <v>3.9000000000000007E-2</v>
      </c>
      <c r="HK680" s="2434">
        <f t="shared" si="39"/>
        <v>46.71</v>
      </c>
    </row>
    <row r="681" spans="218:228" x14ac:dyDescent="0.25">
      <c r="HJ681" s="2761">
        <f t="shared" si="38"/>
        <v>4.1500000000000009E-2</v>
      </c>
      <c r="HK681" s="2434">
        <f t="shared" si="39"/>
        <v>49.704230769230783</v>
      </c>
    </row>
    <row r="682" spans="218:228" x14ac:dyDescent="0.25">
      <c r="HK682" s="3281"/>
    </row>
    <row r="688" spans="218:228" x14ac:dyDescent="0.25">
      <c r="HT688" s="2434">
        <f>50*10</f>
        <v>500</v>
      </c>
    </row>
    <row r="709" spans="224:232" ht="24.95" customHeight="1" x14ac:dyDescent="0.25">
      <c r="HT709" s="1029">
        <v>2015</v>
      </c>
      <c r="HU709" s="1029">
        <v>2016</v>
      </c>
      <c r="HV709" s="2952" t="s">
        <v>729</v>
      </c>
      <c r="HW709" s="3556" t="s">
        <v>2803</v>
      </c>
      <c r="HX709" s="3557" t="s">
        <v>2802</v>
      </c>
    </row>
    <row r="710" spans="224:232" ht="32.1" customHeight="1" x14ac:dyDescent="0.25">
      <c r="HS710" s="859" t="s">
        <v>2801</v>
      </c>
      <c r="HT710" s="2757">
        <v>330</v>
      </c>
      <c r="HU710" s="2757">
        <v>350</v>
      </c>
      <c r="HV710" s="2757">
        <v>450</v>
      </c>
      <c r="HW710" s="3462">
        <f>(HV710/HU710)^(1/3)-1</f>
        <v>8.7380373002892142E-2</v>
      </c>
      <c r="HX710" s="2761">
        <f>(1+HW710)^3-1</f>
        <v>0.28571428571428581</v>
      </c>
    </row>
    <row r="715" spans="224:232" x14ac:dyDescent="0.25">
      <c r="HP715" s="3555"/>
    </row>
    <row r="716" spans="224:232" x14ac:dyDescent="0.25">
      <c r="HP716" s="3493"/>
    </row>
    <row r="717" spans="224:232" ht="3.95" customHeight="1" x14ac:dyDescent="0.25"/>
    <row r="732" spans="234:235" x14ac:dyDescent="0.25">
      <c r="HZ732" s="2434" t="s">
        <v>2804</v>
      </c>
      <c r="IA732" s="3559">
        <v>20000</v>
      </c>
    </row>
    <row r="733" spans="234:235" x14ac:dyDescent="0.25">
      <c r="HZ733" s="2434" t="s">
        <v>2805</v>
      </c>
      <c r="IA733" s="2434">
        <f>IA734/0.133</f>
        <v>375.93984962406012</v>
      </c>
    </row>
    <row r="734" spans="234:235" x14ac:dyDescent="0.25">
      <c r="HZ734" s="2434" t="s">
        <v>2810</v>
      </c>
      <c r="IA734" s="3559">
        <v>50</v>
      </c>
    </row>
    <row r="735" spans="234:235" ht="3.95" customHeight="1" x14ac:dyDescent="0.25">
      <c r="IA735" s="3558" t="s">
        <v>2723</v>
      </c>
    </row>
    <row r="736" spans="234:235" x14ac:dyDescent="0.25">
      <c r="HZ736" s="2434" t="s">
        <v>2806</v>
      </c>
      <c r="IA736" s="3555">
        <f>IA733/IA732</f>
        <v>1.8796992481203006E-2</v>
      </c>
    </row>
    <row r="739" spans="1:241" x14ac:dyDescent="0.25">
      <c r="IC739" s="2434" t="s">
        <v>2807</v>
      </c>
      <c r="ID739" s="3559">
        <f>60000-IA732</f>
        <v>40000</v>
      </c>
    </row>
    <row r="740" spans="1:241" x14ac:dyDescent="0.25">
      <c r="IC740" s="2434" t="s">
        <v>2808</v>
      </c>
      <c r="ID740" s="2434">
        <f>ID741/0.133</f>
        <v>924.81203007518798</v>
      </c>
    </row>
    <row r="741" spans="1:241" x14ac:dyDescent="0.25">
      <c r="IC741" s="2434" t="s">
        <v>2809</v>
      </c>
      <c r="ID741" s="3559">
        <f>173-IA734</f>
        <v>123</v>
      </c>
    </row>
    <row r="742" spans="1:241" ht="3.95" customHeight="1" x14ac:dyDescent="0.25">
      <c r="ID742" s="3558" t="s">
        <v>2723</v>
      </c>
    </row>
    <row r="743" spans="1:241" x14ac:dyDescent="0.25">
      <c r="IC743" s="2434" t="s">
        <v>2806</v>
      </c>
      <c r="ID743" s="3555">
        <f>ID740/ID739</f>
        <v>2.3120300751879701E-2</v>
      </c>
    </row>
    <row r="745" spans="1:241" ht="15.75" thickBot="1" x14ac:dyDescent="0.3">
      <c r="A745" s="2434"/>
      <c r="B745" s="2434"/>
      <c r="C745" s="2434"/>
      <c r="D745" s="2434"/>
      <c r="E745" s="2434"/>
      <c r="F745" s="2434"/>
      <c r="G745" s="2434"/>
      <c r="H745" s="2434"/>
      <c r="I745" s="2434"/>
      <c r="J745" s="2434"/>
      <c r="K745" s="2434"/>
      <c r="L745" s="2434"/>
      <c r="M745" s="2434"/>
      <c r="N745" s="2434"/>
      <c r="O745" s="2434"/>
      <c r="P745" s="2434"/>
      <c r="Q745" s="2434"/>
      <c r="R745" s="2434"/>
      <c r="S745" s="2434"/>
      <c r="T745" s="2434"/>
      <c r="U745" s="2434"/>
      <c r="V745" s="2434"/>
      <c r="W745" s="2434"/>
      <c r="X745" s="2434"/>
      <c r="Y745" s="2434"/>
      <c r="Z745" s="2434"/>
      <c r="AA745" s="2434"/>
      <c r="AB745" s="2434"/>
      <c r="AC745" s="2434"/>
      <c r="AD745" s="2434"/>
      <c r="AE745" s="2434"/>
      <c r="AF745" s="2434"/>
      <c r="AG745" s="2434"/>
      <c r="AH745" s="2434"/>
      <c r="AI745" s="2434"/>
      <c r="AJ745" s="2434"/>
      <c r="AK745" s="2434"/>
      <c r="AL745" s="2434"/>
      <c r="AM745" s="2434"/>
      <c r="AN745" s="2434"/>
      <c r="AO745" s="2434"/>
      <c r="AP745" s="2434"/>
      <c r="AQ745" s="2434"/>
      <c r="AR745" s="2434"/>
      <c r="AS745" s="2434"/>
      <c r="AT745" s="2434"/>
      <c r="AU745" s="2434"/>
      <c r="AV745" s="2434"/>
      <c r="AW745" s="2434"/>
      <c r="AX745" s="2434"/>
      <c r="AY745" s="2434"/>
      <c r="AZ745" s="2434"/>
      <c r="BA745" s="2434"/>
      <c r="BB745" s="2434"/>
      <c r="BC745" s="2434"/>
      <c r="BD745" s="2434"/>
      <c r="BE745" s="2434"/>
      <c r="BF745" s="2434"/>
      <c r="BG745" s="2434"/>
      <c r="BH745" s="2434"/>
      <c r="BI745" s="2434"/>
      <c r="BJ745" s="2434"/>
      <c r="BK745" s="2434"/>
      <c r="BL745" s="2434"/>
      <c r="BM745" s="2434"/>
      <c r="BN745" s="2434"/>
      <c r="BO745" s="2434"/>
      <c r="BP745" s="2434"/>
      <c r="BQ745" s="2434"/>
      <c r="BR745" s="2434"/>
      <c r="BS745" s="2434"/>
      <c r="BT745" s="2434"/>
      <c r="BU745" s="2434"/>
      <c r="BV745" s="2434"/>
      <c r="BW745" s="2434"/>
      <c r="CT745" s="2434"/>
      <c r="CU745" s="2434"/>
      <c r="CV745" s="2434"/>
      <c r="IF745" s="199" t="s">
        <v>2819</v>
      </c>
    </row>
    <row r="746" spans="1:241" x14ac:dyDescent="0.25">
      <c r="A746" s="2434"/>
      <c r="B746" s="2434"/>
      <c r="C746" s="2434"/>
      <c r="D746" s="2434"/>
      <c r="E746" s="2434"/>
      <c r="F746" s="2434"/>
      <c r="G746" s="2434"/>
      <c r="H746" s="2434"/>
      <c r="I746" s="2434"/>
      <c r="J746" s="2434"/>
      <c r="K746" s="2434"/>
      <c r="L746" s="2434"/>
      <c r="M746" s="2434"/>
      <c r="N746" s="2434"/>
      <c r="O746" s="2434"/>
      <c r="P746" s="2434"/>
      <c r="Q746" s="2434"/>
      <c r="R746" s="2434"/>
      <c r="S746" s="2434"/>
      <c r="T746" s="2434"/>
      <c r="U746" s="2434"/>
      <c r="V746" s="2434"/>
      <c r="W746" s="2434"/>
      <c r="X746" s="2434"/>
      <c r="Y746" s="2434"/>
      <c r="Z746" s="2434"/>
      <c r="AA746" s="2434"/>
      <c r="AB746" s="2434"/>
      <c r="AC746" s="2434"/>
      <c r="AD746" s="2434"/>
      <c r="AE746" s="2434"/>
      <c r="AF746" s="2434"/>
      <c r="AG746" s="2434"/>
      <c r="AH746" s="2434"/>
      <c r="AI746" s="2434"/>
      <c r="AJ746" s="2434"/>
      <c r="AK746" s="2434"/>
      <c r="AL746" s="2434"/>
      <c r="AM746" s="2434"/>
      <c r="AN746" s="2434"/>
      <c r="AO746" s="2434"/>
      <c r="AP746" s="2434"/>
      <c r="AQ746" s="2434"/>
      <c r="AR746" s="2434"/>
      <c r="AS746" s="2434"/>
      <c r="AT746" s="2434"/>
      <c r="AU746" s="2434"/>
      <c r="AV746" s="2434"/>
      <c r="AW746" s="2434"/>
      <c r="AX746" s="2434"/>
      <c r="AY746" s="2434"/>
      <c r="AZ746" s="2434"/>
      <c r="BA746" s="2434"/>
      <c r="BB746" s="2434"/>
      <c r="BC746" s="2434"/>
      <c r="BD746" s="2434"/>
      <c r="BE746" s="2434"/>
      <c r="BF746" s="2434"/>
      <c r="BG746" s="2434"/>
      <c r="BH746" s="2434"/>
      <c r="BI746" s="2434"/>
      <c r="BJ746" s="2434"/>
      <c r="BK746" s="2434"/>
      <c r="BL746" s="2434"/>
      <c r="BM746" s="2434"/>
      <c r="BN746" s="2434"/>
      <c r="BO746" s="2434"/>
      <c r="BP746" s="2434"/>
      <c r="BQ746" s="2434"/>
      <c r="BR746" s="2434"/>
      <c r="BS746" s="2434"/>
      <c r="BT746" s="2434"/>
      <c r="BU746" s="2434"/>
      <c r="BV746" s="2434"/>
      <c r="BW746" s="2434"/>
      <c r="CT746" s="2434"/>
      <c r="CU746" s="2434"/>
      <c r="CV746" s="2434"/>
      <c r="IF746" s="3560" t="s">
        <v>2812</v>
      </c>
      <c r="IG746" s="3561">
        <v>2.5000000000000001E-2</v>
      </c>
    </row>
    <row r="747" spans="1:241" ht="15.75" thickBot="1" x14ac:dyDescent="0.3">
      <c r="A747" s="2434"/>
      <c r="B747" s="2434"/>
      <c r="C747" s="2434"/>
      <c r="D747" s="2434"/>
      <c r="E747" s="2434"/>
      <c r="F747" s="2434"/>
      <c r="G747" s="2434"/>
      <c r="H747" s="2434"/>
      <c r="I747" s="2434"/>
      <c r="J747" s="2434"/>
      <c r="K747" s="2434"/>
      <c r="L747" s="2434"/>
      <c r="M747" s="2434"/>
      <c r="N747" s="2434"/>
      <c r="O747" s="2434"/>
      <c r="P747" s="2434"/>
      <c r="Q747" s="2434"/>
      <c r="R747" s="2434"/>
      <c r="S747" s="2434"/>
      <c r="T747" s="2434"/>
      <c r="U747" s="2434"/>
      <c r="V747" s="2434"/>
      <c r="W747" s="2434"/>
      <c r="X747" s="2434"/>
      <c r="Y747" s="2434"/>
      <c r="Z747" s="2434"/>
      <c r="AA747" s="2434"/>
      <c r="AB747" s="2434"/>
      <c r="AC747" s="2434"/>
      <c r="AD747" s="2434"/>
      <c r="AE747" s="2434"/>
      <c r="AF747" s="2434"/>
      <c r="AG747" s="2434"/>
      <c r="AH747" s="2434"/>
      <c r="AI747" s="2434"/>
      <c r="AJ747" s="2434"/>
      <c r="AK747" s="2434"/>
      <c r="AL747" s="2434"/>
      <c r="AM747" s="2434"/>
      <c r="AN747" s="2434"/>
      <c r="AO747" s="2434"/>
      <c r="AP747" s="2434"/>
      <c r="AQ747" s="2434"/>
      <c r="AR747" s="2434"/>
      <c r="AS747" s="2434"/>
      <c r="AT747" s="2434"/>
      <c r="AU747" s="2434"/>
      <c r="AV747" s="2434"/>
      <c r="AW747" s="2434"/>
      <c r="AX747" s="2434"/>
      <c r="AY747" s="2434"/>
      <c r="AZ747" s="2434"/>
      <c r="BA747" s="2434"/>
      <c r="BB747" s="2434"/>
      <c r="BC747" s="2434"/>
      <c r="BD747" s="2434"/>
      <c r="BE747" s="2434"/>
      <c r="BF747" s="2434"/>
      <c r="BG747" s="2434"/>
      <c r="BH747" s="2434"/>
      <c r="BI747" s="2434"/>
      <c r="BJ747" s="2434"/>
      <c r="BK747" s="2434"/>
      <c r="BL747" s="2434"/>
      <c r="BM747" s="2434"/>
      <c r="BN747" s="2434"/>
      <c r="BO747" s="2434"/>
      <c r="BP747" s="2434"/>
      <c r="BQ747" s="2434"/>
      <c r="BR747" s="2434"/>
      <c r="BS747" s="2434"/>
      <c r="BT747" s="2434"/>
      <c r="BU747" s="2434"/>
      <c r="BV747" s="2434"/>
      <c r="BW747" s="2434"/>
      <c r="CT747" s="2434"/>
      <c r="CU747" s="2434"/>
      <c r="CV747" s="2434"/>
      <c r="IF747" s="3562" t="s">
        <v>2813</v>
      </c>
      <c r="IG747" s="3563">
        <v>0.13300000000000001</v>
      </c>
    </row>
    <row r="748" spans="1:241" ht="3.95" customHeight="1" x14ac:dyDescent="0.25">
      <c r="A748" s="2434"/>
      <c r="B748" s="2434"/>
      <c r="C748" s="2434"/>
      <c r="D748" s="2434"/>
      <c r="E748" s="2434"/>
      <c r="F748" s="2434"/>
      <c r="G748" s="2434"/>
      <c r="H748" s="2434"/>
      <c r="I748" s="2434"/>
      <c r="J748" s="2434"/>
      <c r="K748" s="2434"/>
      <c r="L748" s="2434"/>
      <c r="M748" s="2434"/>
      <c r="N748" s="2434"/>
      <c r="O748" s="2434"/>
      <c r="P748" s="2434"/>
      <c r="Q748" s="2434"/>
      <c r="R748" s="2434"/>
      <c r="S748" s="2434"/>
      <c r="T748" s="2434"/>
      <c r="U748" s="2434"/>
      <c r="V748" s="2434"/>
      <c r="W748" s="2434"/>
      <c r="X748" s="2434"/>
      <c r="Y748" s="2434"/>
      <c r="Z748" s="2434"/>
      <c r="AA748" s="2434"/>
      <c r="AB748" s="2434"/>
      <c r="AC748" s="2434"/>
      <c r="AD748" s="2434"/>
      <c r="AE748" s="2434"/>
      <c r="AF748" s="2434"/>
      <c r="AG748" s="2434"/>
      <c r="AH748" s="2434"/>
      <c r="AI748" s="2434"/>
      <c r="AJ748" s="2434"/>
      <c r="AK748" s="2434"/>
      <c r="AL748" s="2434"/>
      <c r="AM748" s="2434"/>
      <c r="AN748" s="2434"/>
      <c r="AO748" s="2434"/>
      <c r="AP748" s="2434"/>
      <c r="AQ748" s="2434"/>
      <c r="AR748" s="2434"/>
      <c r="AS748" s="2434"/>
      <c r="AT748" s="2434"/>
      <c r="AU748" s="2434"/>
      <c r="AV748" s="2434"/>
      <c r="AW748" s="2434"/>
      <c r="AX748" s="2434"/>
      <c r="AY748" s="2434"/>
      <c r="AZ748" s="2434"/>
      <c r="BA748" s="2434"/>
      <c r="BB748" s="2434"/>
      <c r="BC748" s="2434"/>
      <c r="BD748" s="2434"/>
      <c r="BE748" s="2434"/>
      <c r="BF748" s="2434"/>
      <c r="BG748" s="2434"/>
      <c r="BH748" s="2434"/>
      <c r="BI748" s="2434"/>
      <c r="BJ748" s="2434"/>
      <c r="BK748" s="2434"/>
      <c r="BL748" s="2434"/>
      <c r="BM748" s="2434"/>
      <c r="BN748" s="2434"/>
      <c r="BO748" s="2434"/>
      <c r="BP748" s="2434"/>
      <c r="BQ748" s="2434"/>
      <c r="BR748" s="2434"/>
      <c r="BS748" s="2434"/>
      <c r="BT748" s="2434"/>
      <c r="BU748" s="2434"/>
      <c r="BV748" s="2434"/>
      <c r="BW748" s="2434"/>
      <c r="CT748" s="2434"/>
      <c r="CU748" s="2434"/>
      <c r="CV748" s="2434"/>
      <c r="IF748" s="1582"/>
      <c r="IG748" s="3564"/>
    </row>
    <row r="749" spans="1:241" x14ac:dyDescent="0.25">
      <c r="A749" s="2434"/>
      <c r="B749" s="2434"/>
      <c r="C749" s="2434"/>
      <c r="D749" s="2434"/>
      <c r="E749" s="2434"/>
      <c r="F749" s="2434"/>
      <c r="G749" s="2434"/>
      <c r="H749" s="2434"/>
      <c r="I749" s="2434"/>
      <c r="J749" s="2434"/>
      <c r="K749" s="2434"/>
      <c r="L749" s="2434"/>
      <c r="M749" s="2434"/>
      <c r="N749" s="2434"/>
      <c r="O749" s="2434"/>
      <c r="P749" s="2434"/>
      <c r="Q749" s="2434"/>
      <c r="R749" s="2434"/>
      <c r="S749" s="2434"/>
      <c r="T749" s="2434"/>
      <c r="U749" s="2434"/>
      <c r="V749" s="2434"/>
      <c r="W749" s="2434"/>
      <c r="X749" s="2434"/>
      <c r="Y749" s="2434"/>
      <c r="Z749" s="2434"/>
      <c r="AA749" s="2434"/>
      <c r="AB749" s="2434"/>
      <c r="AC749" s="2434"/>
      <c r="AD749" s="2434"/>
      <c r="AE749" s="2434"/>
      <c r="AF749" s="2434"/>
      <c r="AG749" s="2434"/>
      <c r="AH749" s="2434"/>
      <c r="AI749" s="2434"/>
      <c r="AJ749" s="2434"/>
      <c r="AK749" s="2434"/>
      <c r="AL749" s="2434"/>
      <c r="AM749" s="2434"/>
      <c r="AN749" s="2434"/>
      <c r="AO749" s="2434"/>
      <c r="AP749" s="2434"/>
      <c r="AQ749" s="2434"/>
      <c r="AR749" s="2434"/>
      <c r="AS749" s="2434"/>
      <c r="AT749" s="2434"/>
      <c r="AU749" s="2434"/>
      <c r="AV749" s="2434"/>
      <c r="AW749" s="2434"/>
      <c r="AX749" s="2434"/>
      <c r="AY749" s="2434"/>
      <c r="AZ749" s="2434"/>
      <c r="BA749" s="2434"/>
      <c r="BB749" s="2434"/>
      <c r="BC749" s="2434"/>
      <c r="BD749" s="2434"/>
      <c r="BE749" s="2434"/>
      <c r="BF749" s="2434"/>
      <c r="BG749" s="2434"/>
      <c r="BH749" s="2434"/>
      <c r="BI749" s="2434"/>
      <c r="BJ749" s="2434"/>
      <c r="BK749" s="2434"/>
      <c r="BL749" s="2434"/>
      <c r="BM749" s="2434"/>
      <c r="BN749" s="2434"/>
      <c r="BO749" s="2434"/>
      <c r="BP749" s="2434"/>
      <c r="BQ749" s="2434"/>
      <c r="BR749" s="2434"/>
      <c r="BS749" s="2434"/>
      <c r="BT749" s="2434"/>
      <c r="BU749" s="2434"/>
      <c r="BV749" s="2434"/>
      <c r="BW749" s="2434"/>
      <c r="CT749" s="2434"/>
      <c r="CU749" s="2434"/>
      <c r="CV749" s="2434"/>
      <c r="IF749" s="201" t="s">
        <v>346</v>
      </c>
      <c r="IG749" s="3461"/>
    </row>
    <row r="750" spans="1:241" x14ac:dyDescent="0.25">
      <c r="A750" s="2434"/>
      <c r="B750" s="2434"/>
      <c r="C750" s="2434"/>
      <c r="D750" s="2434"/>
      <c r="E750" s="2434"/>
      <c r="F750" s="2434"/>
      <c r="G750" s="2434"/>
      <c r="H750" s="2434"/>
      <c r="I750" s="2434"/>
      <c r="J750" s="2434"/>
      <c r="K750" s="2434"/>
      <c r="L750" s="2434"/>
      <c r="M750" s="2434"/>
      <c r="N750" s="2434"/>
      <c r="O750" s="2434"/>
      <c r="P750" s="2434"/>
      <c r="Q750" s="2434"/>
      <c r="R750" s="2434"/>
      <c r="S750" s="2434"/>
      <c r="T750" s="2434"/>
      <c r="U750" s="2434"/>
      <c r="V750" s="2434"/>
      <c r="W750" s="2434"/>
      <c r="X750" s="2434"/>
      <c r="Y750" s="2434"/>
      <c r="Z750" s="2434"/>
      <c r="AA750" s="2434"/>
      <c r="AB750" s="2434"/>
      <c r="AC750" s="2434"/>
      <c r="AD750" s="2434"/>
      <c r="AE750" s="2434"/>
      <c r="AF750" s="2434"/>
      <c r="AG750" s="2434"/>
      <c r="AH750" s="2434"/>
      <c r="AI750" s="2434"/>
      <c r="AJ750" s="2434"/>
      <c r="AK750" s="2434"/>
      <c r="AL750" s="2434"/>
      <c r="AM750" s="2434"/>
      <c r="AN750" s="2434"/>
      <c r="AO750" s="2434"/>
      <c r="AP750" s="2434"/>
      <c r="AQ750" s="2434"/>
      <c r="AR750" s="2434"/>
      <c r="AS750" s="2434"/>
      <c r="AT750" s="2434"/>
      <c r="AU750" s="2434"/>
      <c r="AV750" s="2434"/>
      <c r="AW750" s="2434"/>
      <c r="AX750" s="2434"/>
      <c r="AY750" s="2434"/>
      <c r="AZ750" s="2434"/>
      <c r="BA750" s="2434"/>
      <c r="BB750" s="2434"/>
      <c r="BC750" s="2434"/>
      <c r="BD750" s="2434"/>
      <c r="BE750" s="2434"/>
      <c r="BF750" s="2434"/>
      <c r="BG750" s="2434"/>
      <c r="BH750" s="2434"/>
      <c r="BI750" s="2434"/>
      <c r="BJ750" s="2434"/>
      <c r="BK750" s="2434"/>
      <c r="BL750" s="2434"/>
      <c r="BM750" s="2434"/>
      <c r="BN750" s="2434"/>
      <c r="BO750" s="2434"/>
      <c r="BP750" s="2434"/>
      <c r="BQ750" s="2434"/>
      <c r="BR750" s="2434"/>
      <c r="BS750" s="2434"/>
      <c r="BT750" s="2434"/>
      <c r="BU750" s="2434"/>
      <c r="BV750" s="2434"/>
      <c r="BW750" s="2434"/>
      <c r="CT750" s="2434"/>
      <c r="CU750" s="2434"/>
      <c r="CV750" s="2434"/>
      <c r="IF750" s="2434" t="s">
        <v>2816</v>
      </c>
      <c r="IG750" s="2434">
        <f>ID739*IG746</f>
        <v>1000</v>
      </c>
    </row>
    <row r="751" spans="1:241" x14ac:dyDescent="0.25">
      <c r="IF751" s="2434" t="s">
        <v>2814</v>
      </c>
      <c r="IG751" s="2434">
        <f>IG750*IG747</f>
        <v>133</v>
      </c>
    </row>
    <row r="753" spans="1:245" x14ac:dyDescent="0.25">
      <c r="A753" s="2434"/>
      <c r="B753" s="2434"/>
      <c r="C753" s="2434"/>
      <c r="D753" s="2434"/>
      <c r="E753" s="2434"/>
      <c r="F753" s="2434"/>
      <c r="G753" s="2434"/>
      <c r="H753" s="2434"/>
      <c r="I753" s="2434"/>
      <c r="J753" s="2434"/>
      <c r="K753" s="2434"/>
      <c r="L753" s="2434"/>
      <c r="M753" s="2434"/>
      <c r="N753" s="2434"/>
      <c r="O753" s="2434"/>
      <c r="P753" s="2434"/>
      <c r="Q753" s="2434"/>
      <c r="R753" s="2434"/>
      <c r="S753" s="2434"/>
      <c r="T753" s="2434"/>
      <c r="U753" s="2434"/>
      <c r="V753" s="2434"/>
      <c r="W753" s="2434"/>
      <c r="X753" s="2434"/>
      <c r="Y753" s="2434"/>
      <c r="Z753" s="2434"/>
      <c r="AA753" s="2434"/>
      <c r="AB753" s="2434"/>
      <c r="AC753" s="2434"/>
      <c r="AD753" s="2434"/>
      <c r="AE753" s="2434"/>
      <c r="AF753" s="2434"/>
      <c r="AG753" s="2434"/>
      <c r="AH753" s="2434"/>
      <c r="AI753" s="2434"/>
      <c r="AJ753" s="2434"/>
      <c r="AK753" s="2434"/>
      <c r="AL753" s="2434"/>
      <c r="AM753" s="2434"/>
      <c r="AN753" s="2434"/>
      <c r="AO753" s="2434"/>
      <c r="AP753" s="2434"/>
      <c r="AQ753" s="2434"/>
      <c r="AR753" s="2434"/>
      <c r="AS753" s="2434"/>
      <c r="AT753" s="2434"/>
      <c r="AU753" s="2434"/>
      <c r="AV753" s="2434"/>
      <c r="AW753" s="2434"/>
      <c r="AX753" s="2434"/>
      <c r="AY753" s="2434"/>
      <c r="AZ753" s="2434"/>
      <c r="BA753" s="2434"/>
      <c r="BB753" s="2434"/>
      <c r="BC753" s="2434"/>
      <c r="BD753" s="2434"/>
      <c r="BE753" s="2434"/>
      <c r="BF753" s="2434"/>
      <c r="BG753" s="2434"/>
      <c r="BH753" s="2434"/>
      <c r="BI753" s="2434"/>
      <c r="BJ753" s="2434"/>
      <c r="BK753" s="2434"/>
      <c r="BL753" s="2434"/>
      <c r="BM753" s="2434"/>
      <c r="BN753" s="2434"/>
      <c r="BO753" s="2434"/>
      <c r="BP753" s="2434"/>
      <c r="BQ753" s="2434"/>
      <c r="BR753" s="2434"/>
      <c r="BS753" s="2434"/>
      <c r="BT753" s="2434"/>
      <c r="BU753" s="2434"/>
      <c r="BV753" s="2434"/>
      <c r="BW753" s="2434"/>
      <c r="CT753" s="2434"/>
      <c r="CU753" s="2434"/>
      <c r="CV753" s="2434"/>
      <c r="IF753" s="201" t="s">
        <v>2811</v>
      </c>
      <c r="IG753" s="3461"/>
    </row>
    <row r="754" spans="1:245" x14ac:dyDescent="0.25">
      <c r="A754" s="2434"/>
      <c r="B754" s="2434"/>
      <c r="C754" s="2434"/>
      <c r="D754" s="2434"/>
      <c r="E754" s="2434"/>
      <c r="F754" s="2434"/>
      <c r="G754" s="2434"/>
      <c r="H754" s="2434"/>
      <c r="I754" s="2434"/>
      <c r="J754" s="2434"/>
      <c r="K754" s="2434"/>
      <c r="L754" s="2434"/>
      <c r="M754" s="2434"/>
      <c r="N754" s="2434"/>
      <c r="O754" s="2434"/>
      <c r="P754" s="2434"/>
      <c r="Q754" s="2434"/>
      <c r="R754" s="2434"/>
      <c r="S754" s="2434"/>
      <c r="T754" s="2434"/>
      <c r="U754" s="2434"/>
      <c r="V754" s="2434"/>
      <c r="W754" s="2434"/>
      <c r="X754" s="2434"/>
      <c r="Y754" s="2434"/>
      <c r="Z754" s="2434"/>
      <c r="AA754" s="2434"/>
      <c r="AB754" s="2434"/>
      <c r="AC754" s="2434"/>
      <c r="AD754" s="2434"/>
      <c r="AE754" s="2434"/>
      <c r="AF754" s="2434"/>
      <c r="AG754" s="2434"/>
      <c r="AH754" s="2434"/>
      <c r="AI754" s="2434"/>
      <c r="AJ754" s="2434"/>
      <c r="AK754" s="2434"/>
      <c r="AL754" s="2434"/>
      <c r="AM754" s="2434"/>
      <c r="AN754" s="2434"/>
      <c r="AO754" s="2434"/>
      <c r="AP754" s="2434"/>
      <c r="AQ754" s="2434"/>
      <c r="AR754" s="2434"/>
      <c r="AS754" s="2434"/>
      <c r="AT754" s="2434"/>
      <c r="AU754" s="2434"/>
      <c r="AV754" s="2434"/>
      <c r="AW754" s="2434"/>
      <c r="AX754" s="2434"/>
      <c r="AY754" s="2434"/>
      <c r="AZ754" s="2434"/>
      <c r="BA754" s="2434"/>
      <c r="BB754" s="2434"/>
      <c r="BC754" s="2434"/>
      <c r="BD754" s="2434"/>
      <c r="BE754" s="2434"/>
      <c r="BF754" s="2434"/>
      <c r="BG754" s="2434"/>
      <c r="BH754" s="2434"/>
      <c r="BI754" s="2434"/>
      <c r="BJ754" s="2434"/>
      <c r="BK754" s="2434"/>
      <c r="BL754" s="2434"/>
      <c r="BM754" s="2434"/>
      <c r="BN754" s="2434"/>
      <c r="BO754" s="2434"/>
      <c r="BP754" s="2434"/>
      <c r="BQ754" s="2434"/>
      <c r="BR754" s="2434"/>
      <c r="BS754" s="2434"/>
      <c r="BT754" s="2434"/>
      <c r="BU754" s="2434"/>
      <c r="BV754" s="2434"/>
      <c r="BW754" s="2434"/>
      <c r="CT754" s="2434"/>
      <c r="CU754" s="2434"/>
      <c r="CV754" s="2434"/>
      <c r="IF754" s="2434" t="s">
        <v>2815</v>
      </c>
      <c r="IG754" s="2434">
        <f>IA732*IG746</f>
        <v>500</v>
      </c>
    </row>
    <row r="755" spans="1:245" x14ac:dyDescent="0.25">
      <c r="A755" s="2434"/>
      <c r="B755" s="2434"/>
      <c r="C755" s="2434"/>
      <c r="D755" s="2434"/>
      <c r="E755" s="2434"/>
      <c r="F755" s="2434"/>
      <c r="G755" s="2434"/>
      <c r="H755" s="2434"/>
      <c r="I755" s="2434"/>
      <c r="J755" s="2434"/>
      <c r="K755" s="2434"/>
      <c r="L755" s="2434"/>
      <c r="M755" s="2434"/>
      <c r="N755" s="2434"/>
      <c r="O755" s="2434"/>
      <c r="P755" s="2434"/>
      <c r="Q755" s="2434"/>
      <c r="R755" s="2434"/>
      <c r="S755" s="2434"/>
      <c r="T755" s="2434"/>
      <c r="U755" s="2434"/>
      <c r="V755" s="2434"/>
      <c r="W755" s="2434"/>
      <c r="X755" s="2434"/>
      <c r="Y755" s="2434"/>
      <c r="Z755" s="2434"/>
      <c r="AA755" s="2434"/>
      <c r="AB755" s="2434"/>
      <c r="AC755" s="2434"/>
      <c r="AD755" s="2434"/>
      <c r="AE755" s="2434"/>
      <c r="AF755" s="2434"/>
      <c r="AG755" s="2434"/>
      <c r="AH755" s="2434"/>
      <c r="AI755" s="2434"/>
      <c r="AJ755" s="2434"/>
      <c r="AK755" s="2434"/>
      <c r="AL755" s="2434"/>
      <c r="AM755" s="2434"/>
      <c r="AN755" s="2434"/>
      <c r="AO755" s="2434"/>
      <c r="AP755" s="2434"/>
      <c r="AQ755" s="2434"/>
      <c r="AR755" s="2434"/>
      <c r="AS755" s="2434"/>
      <c r="AT755" s="2434"/>
      <c r="AU755" s="2434"/>
      <c r="AV755" s="2434"/>
      <c r="AW755" s="2434"/>
      <c r="AX755" s="2434"/>
      <c r="AY755" s="2434"/>
      <c r="AZ755" s="2434"/>
      <c r="BA755" s="2434"/>
      <c r="BB755" s="2434"/>
      <c r="BC755" s="2434"/>
      <c r="BD755" s="2434"/>
      <c r="BE755" s="2434"/>
      <c r="BF755" s="2434"/>
      <c r="BG755" s="2434"/>
      <c r="BH755" s="2434"/>
      <c r="BI755" s="2434"/>
      <c r="BJ755" s="2434"/>
      <c r="BK755" s="2434"/>
      <c r="BL755" s="2434"/>
      <c r="BM755" s="2434"/>
      <c r="BN755" s="2434"/>
      <c r="BO755" s="2434"/>
      <c r="BP755" s="2434"/>
      <c r="BQ755" s="2434"/>
      <c r="BR755" s="2434"/>
      <c r="BS755" s="2434"/>
      <c r="BT755" s="2434"/>
      <c r="BU755" s="2434"/>
      <c r="BV755" s="2434"/>
      <c r="BW755" s="2434"/>
      <c r="CT755" s="2434"/>
      <c r="CU755" s="2434"/>
      <c r="CV755" s="2434"/>
      <c r="IF755" s="2434" t="s">
        <v>2814</v>
      </c>
      <c r="IG755" s="2434">
        <f>IG754*IG747</f>
        <v>66.5</v>
      </c>
    </row>
    <row r="757" spans="1:245" x14ac:dyDescent="0.25">
      <c r="A757" s="2434"/>
      <c r="B757" s="2434"/>
      <c r="C757" s="2434"/>
      <c r="D757" s="2434"/>
      <c r="E757" s="2434"/>
      <c r="F757" s="2434"/>
      <c r="G757" s="2434"/>
      <c r="H757" s="2434"/>
      <c r="I757" s="2434"/>
      <c r="J757" s="2434"/>
      <c r="K757" s="2434"/>
      <c r="L757" s="2434"/>
      <c r="M757" s="2434"/>
      <c r="N757" s="2434"/>
      <c r="O757" s="2434"/>
      <c r="P757" s="2434"/>
      <c r="Q757" s="2434"/>
      <c r="R757" s="2434"/>
      <c r="S757" s="2434"/>
      <c r="T757" s="2434"/>
      <c r="U757" s="2434"/>
      <c r="V757" s="2434"/>
      <c r="W757" s="2434"/>
      <c r="X757" s="2434"/>
      <c r="Y757" s="2434"/>
      <c r="Z757" s="2434"/>
      <c r="AA757" s="2434"/>
      <c r="AB757" s="2434"/>
      <c r="AC757" s="2434"/>
      <c r="AD757" s="2434"/>
      <c r="AE757" s="2434"/>
      <c r="AF757" s="2434"/>
      <c r="AG757" s="2434"/>
      <c r="AH757" s="2434"/>
      <c r="AI757" s="2434"/>
      <c r="AJ757" s="2434"/>
      <c r="AK757" s="2434"/>
      <c r="AL757" s="2434"/>
      <c r="AM757" s="2434"/>
      <c r="AN757" s="2434"/>
      <c r="AO757" s="2434"/>
      <c r="AP757" s="2434"/>
      <c r="AQ757" s="2434"/>
      <c r="AR757" s="2434"/>
      <c r="AS757" s="2434"/>
      <c r="AT757" s="2434"/>
      <c r="AU757" s="2434"/>
      <c r="AV757" s="2434"/>
      <c r="AW757" s="2434"/>
      <c r="AX757" s="2434"/>
      <c r="AY757" s="2434"/>
      <c r="AZ757" s="2434"/>
      <c r="BA757" s="2434"/>
      <c r="BB757" s="2434"/>
      <c r="BC757" s="2434"/>
      <c r="BD757" s="2434"/>
      <c r="BE757" s="2434"/>
      <c r="BF757" s="2434"/>
      <c r="BG757" s="2434"/>
      <c r="BH757" s="2434"/>
      <c r="BI757" s="2434"/>
      <c r="BJ757" s="2434"/>
      <c r="BK757" s="2434"/>
      <c r="BL757" s="2434"/>
      <c r="BM757" s="2434"/>
      <c r="BN757" s="2434"/>
      <c r="BO757" s="2434"/>
      <c r="BP757" s="2434"/>
      <c r="BQ757" s="2434"/>
      <c r="BR757" s="2434"/>
      <c r="BS757" s="2434"/>
      <c r="BT757" s="2434"/>
      <c r="BU757" s="2434"/>
      <c r="BV757" s="2434"/>
      <c r="BW757" s="2434"/>
      <c r="CT757" s="2434"/>
      <c r="CU757" s="2434"/>
      <c r="CV757" s="2434"/>
      <c r="IF757" s="201" t="s">
        <v>2820</v>
      </c>
      <c r="IG757" s="3461"/>
    </row>
    <row r="758" spans="1:245" x14ac:dyDescent="0.25">
      <c r="A758" s="2434"/>
      <c r="B758" s="2434"/>
      <c r="C758" s="2434"/>
      <c r="D758" s="2434"/>
      <c r="E758" s="2434"/>
      <c r="F758" s="2434"/>
      <c r="G758" s="2434"/>
      <c r="H758" s="2434"/>
      <c r="I758" s="2434"/>
      <c r="J758" s="2434"/>
      <c r="K758" s="2434"/>
      <c r="L758" s="2434"/>
      <c r="M758" s="2434"/>
      <c r="N758" s="2434"/>
      <c r="O758" s="2434"/>
      <c r="P758" s="2434"/>
      <c r="Q758" s="2434"/>
      <c r="R758" s="2434"/>
      <c r="S758" s="2434"/>
      <c r="T758" s="2434"/>
      <c r="U758" s="2434"/>
      <c r="V758" s="2434"/>
      <c r="W758" s="2434"/>
      <c r="X758" s="2434"/>
      <c r="Y758" s="2434"/>
      <c r="Z758" s="2434"/>
      <c r="AA758" s="2434"/>
      <c r="AB758" s="2434"/>
      <c r="AC758" s="2434"/>
      <c r="AD758" s="2434"/>
      <c r="AE758" s="2434"/>
      <c r="AF758" s="2434"/>
      <c r="AG758" s="2434"/>
      <c r="AH758" s="2434"/>
      <c r="AI758" s="2434"/>
      <c r="AJ758" s="2434"/>
      <c r="AK758" s="2434"/>
      <c r="AL758" s="2434"/>
      <c r="AM758" s="2434"/>
      <c r="AN758" s="2434"/>
      <c r="AO758" s="2434"/>
      <c r="AP758" s="2434"/>
      <c r="AQ758" s="2434"/>
      <c r="AR758" s="2434"/>
      <c r="AS758" s="2434"/>
      <c r="AT758" s="2434"/>
      <c r="AU758" s="2434"/>
      <c r="AV758" s="2434"/>
      <c r="AW758" s="2434"/>
      <c r="AX758" s="2434"/>
      <c r="AY758" s="2434"/>
      <c r="AZ758" s="2434"/>
      <c r="BA758" s="2434"/>
      <c r="BB758" s="2434"/>
      <c r="BC758" s="2434"/>
      <c r="BD758" s="2434"/>
      <c r="BE758" s="2434"/>
      <c r="BF758" s="2434"/>
      <c r="BG758" s="2434"/>
      <c r="BH758" s="2434"/>
      <c r="BI758" s="2434"/>
      <c r="BJ758" s="2434"/>
      <c r="BK758" s="2434"/>
      <c r="BL758" s="2434"/>
      <c r="BM758" s="2434"/>
      <c r="BN758" s="2434"/>
      <c r="BO758" s="2434"/>
      <c r="BP758" s="2434"/>
      <c r="BQ758" s="2434"/>
      <c r="BR758" s="2434"/>
      <c r="BS758" s="2434"/>
      <c r="BT758" s="2434"/>
      <c r="BU758" s="2434"/>
      <c r="BV758" s="2434"/>
      <c r="BW758" s="2434"/>
      <c r="CT758" s="2434"/>
      <c r="CU758" s="2434"/>
      <c r="CV758" s="2434"/>
      <c r="IF758" s="2434" t="s">
        <v>2818</v>
      </c>
      <c r="IG758" s="2434">
        <f>IG755+IG751</f>
        <v>199.5</v>
      </c>
    </row>
    <row r="759" spans="1:245" x14ac:dyDescent="0.25">
      <c r="A759" s="2434"/>
      <c r="B759" s="2434"/>
      <c r="C759" s="2434"/>
      <c r="D759" s="2434"/>
      <c r="E759" s="2434"/>
      <c r="F759" s="2434"/>
      <c r="G759" s="2434"/>
      <c r="H759" s="2434"/>
      <c r="I759" s="2434"/>
      <c r="J759" s="2434"/>
      <c r="K759" s="2434"/>
      <c r="L759" s="2434"/>
      <c r="M759" s="2434"/>
      <c r="N759" s="2434"/>
      <c r="O759" s="2434"/>
      <c r="P759" s="2434"/>
      <c r="Q759" s="2434"/>
      <c r="R759" s="2434"/>
      <c r="S759" s="2434"/>
      <c r="T759" s="2434"/>
      <c r="U759" s="2434"/>
      <c r="V759" s="2434"/>
      <c r="W759" s="2434"/>
      <c r="X759" s="2434"/>
      <c r="Y759" s="2434"/>
      <c r="Z759" s="2434"/>
      <c r="AA759" s="2434"/>
      <c r="AB759" s="2434"/>
      <c r="AC759" s="2434"/>
      <c r="AD759" s="2434"/>
      <c r="AE759" s="2434"/>
      <c r="AF759" s="2434"/>
      <c r="AG759" s="2434"/>
      <c r="AH759" s="2434"/>
      <c r="AI759" s="2434"/>
      <c r="AJ759" s="2434"/>
      <c r="AK759" s="2434"/>
      <c r="AL759" s="2434"/>
      <c r="AM759" s="2434"/>
      <c r="AN759" s="2434"/>
      <c r="AO759" s="2434"/>
      <c r="AP759" s="2434"/>
      <c r="AQ759" s="2434"/>
      <c r="AR759" s="2434"/>
      <c r="AS759" s="2434"/>
      <c r="AT759" s="2434"/>
      <c r="AU759" s="2434"/>
      <c r="AV759" s="2434"/>
      <c r="AW759" s="2434"/>
      <c r="AX759" s="2434"/>
      <c r="AY759" s="2434"/>
      <c r="AZ759" s="2434"/>
      <c r="BA759" s="2434"/>
      <c r="BB759" s="2434"/>
      <c r="BC759" s="2434"/>
      <c r="BD759" s="2434"/>
      <c r="BE759" s="2434"/>
      <c r="BF759" s="2434"/>
      <c r="BG759" s="2434"/>
      <c r="BH759" s="2434"/>
      <c r="BI759" s="2434"/>
      <c r="BJ759" s="2434"/>
      <c r="BK759" s="2434"/>
      <c r="BL759" s="2434"/>
      <c r="BM759" s="2434"/>
      <c r="BN759" s="2434"/>
      <c r="BO759" s="2434"/>
      <c r="BP759" s="2434"/>
      <c r="BQ759" s="2434"/>
      <c r="BR759" s="2434"/>
      <c r="BS759" s="2434"/>
      <c r="BT759" s="2434"/>
      <c r="BU759" s="2434"/>
      <c r="BV759" s="2434"/>
      <c r="BW759" s="2434"/>
      <c r="CT759" s="2434"/>
      <c r="CU759" s="2434"/>
      <c r="CV759" s="2434"/>
      <c r="IF759" s="2434" t="s">
        <v>2817</v>
      </c>
      <c r="IG759" s="2434">
        <f>IG758-173</f>
        <v>26.5</v>
      </c>
    </row>
    <row r="766" spans="1:245" x14ac:dyDescent="0.25">
      <c r="A766" s="2434"/>
      <c r="B766" s="2434"/>
      <c r="C766" s="2434"/>
      <c r="D766" s="2434"/>
      <c r="E766" s="2434"/>
      <c r="F766" s="2434"/>
      <c r="G766" s="2434"/>
      <c r="H766" s="2434"/>
      <c r="I766" s="2434"/>
      <c r="J766" s="2434"/>
      <c r="K766" s="2434"/>
      <c r="L766" s="2434"/>
      <c r="M766" s="2434"/>
      <c r="N766" s="2434"/>
      <c r="O766" s="2434"/>
      <c r="P766" s="2434"/>
      <c r="Q766" s="2434"/>
      <c r="R766" s="2434"/>
      <c r="S766" s="2434"/>
      <c r="T766" s="2434"/>
      <c r="U766" s="2434"/>
      <c r="V766" s="2434"/>
      <c r="W766" s="2434"/>
      <c r="X766" s="2434"/>
      <c r="Y766" s="2434"/>
      <c r="Z766" s="2434"/>
      <c r="AA766" s="2434"/>
      <c r="AB766" s="2434"/>
      <c r="AC766" s="2434"/>
      <c r="AD766" s="2434"/>
      <c r="AE766" s="2434"/>
      <c r="AF766" s="2434"/>
      <c r="AG766" s="2434"/>
      <c r="AH766" s="2434"/>
      <c r="AI766" s="2434"/>
      <c r="AJ766" s="2434"/>
      <c r="AK766" s="2434"/>
      <c r="AL766" s="2434"/>
      <c r="AM766" s="2434"/>
      <c r="AN766" s="2434"/>
      <c r="AO766" s="2434"/>
      <c r="AP766" s="2434"/>
      <c r="AQ766" s="2434"/>
      <c r="AR766" s="2434"/>
      <c r="AS766" s="2434"/>
      <c r="AT766" s="2434"/>
      <c r="AU766" s="2434"/>
      <c r="AV766" s="2434"/>
      <c r="AW766" s="2434"/>
      <c r="AX766" s="2434"/>
      <c r="AY766" s="2434"/>
      <c r="AZ766" s="2434"/>
      <c r="BA766" s="2434"/>
      <c r="BB766" s="2434"/>
      <c r="BC766" s="2434"/>
      <c r="BD766" s="2434"/>
      <c r="BE766" s="2434"/>
      <c r="BF766" s="2434"/>
      <c r="BG766" s="2434"/>
      <c r="BH766" s="2434"/>
      <c r="BI766" s="2434"/>
      <c r="BJ766" s="2434"/>
      <c r="BK766" s="2434"/>
      <c r="BL766" s="2434"/>
      <c r="BM766" s="2434"/>
      <c r="BN766" s="2434"/>
      <c r="BO766" s="2434"/>
      <c r="BP766" s="2434"/>
      <c r="BQ766" s="2434"/>
      <c r="BR766" s="2434"/>
      <c r="BS766" s="2434"/>
      <c r="BT766" s="2434"/>
      <c r="BU766" s="2434"/>
      <c r="BV766" s="2434"/>
      <c r="BW766" s="2434"/>
      <c r="CT766" s="2434"/>
      <c r="CU766" s="2434"/>
      <c r="CV766" s="2434"/>
      <c r="IJ766" s="199" t="s">
        <v>2789</v>
      </c>
    </row>
    <row r="767" spans="1:245" x14ac:dyDescent="0.25">
      <c r="A767" s="2434"/>
      <c r="B767" s="2434"/>
      <c r="C767" s="2434"/>
      <c r="D767" s="2434"/>
      <c r="E767" s="2434"/>
      <c r="F767" s="2434"/>
      <c r="G767" s="2434"/>
      <c r="H767" s="2434"/>
      <c r="I767" s="2434"/>
      <c r="J767" s="2434"/>
      <c r="K767" s="2434"/>
      <c r="L767" s="2434"/>
      <c r="M767" s="2434"/>
      <c r="N767" s="2434"/>
      <c r="O767" s="2434"/>
      <c r="P767" s="2434"/>
      <c r="Q767" s="2434"/>
      <c r="R767" s="2434"/>
      <c r="S767" s="2434"/>
      <c r="T767" s="2434"/>
      <c r="U767" s="2434"/>
      <c r="V767" s="2434"/>
      <c r="W767" s="2434"/>
      <c r="X767" s="2434"/>
      <c r="Y767" s="2434"/>
      <c r="Z767" s="2434"/>
      <c r="AA767" s="2434"/>
      <c r="AB767" s="2434"/>
      <c r="AC767" s="2434"/>
      <c r="AD767" s="2434"/>
      <c r="AE767" s="2434"/>
      <c r="AF767" s="2434"/>
      <c r="AG767" s="2434"/>
      <c r="AH767" s="2434"/>
      <c r="AI767" s="2434"/>
      <c r="AJ767" s="2434"/>
      <c r="AK767" s="2434"/>
      <c r="AL767" s="2434"/>
      <c r="AM767" s="2434"/>
      <c r="AN767" s="2434"/>
      <c r="AO767" s="2434"/>
      <c r="AP767" s="2434"/>
      <c r="AQ767" s="2434"/>
      <c r="AR767" s="2434"/>
      <c r="AS767" s="2434"/>
      <c r="AT767" s="2434"/>
      <c r="AU767" s="2434"/>
      <c r="AV767" s="2434"/>
      <c r="AW767" s="2434"/>
      <c r="AX767" s="2434"/>
      <c r="AY767" s="2434"/>
      <c r="AZ767" s="2434"/>
      <c r="BA767" s="2434"/>
      <c r="BB767" s="2434"/>
      <c r="BC767" s="2434"/>
      <c r="BD767" s="2434"/>
      <c r="BE767" s="2434"/>
      <c r="BF767" s="2434"/>
      <c r="BG767" s="2434"/>
      <c r="BH767" s="2434"/>
      <c r="BI767" s="2434"/>
      <c r="BJ767" s="2434"/>
      <c r="BK767" s="2434"/>
      <c r="BL767" s="2434"/>
      <c r="BM767" s="2434"/>
      <c r="BN767" s="2434"/>
      <c r="BO767" s="2434"/>
      <c r="BP767" s="2434"/>
      <c r="BQ767" s="2434"/>
      <c r="BR767" s="2434"/>
      <c r="BS767" s="2434"/>
      <c r="BT767" s="2434"/>
      <c r="BU767" s="2434"/>
      <c r="BV767" s="2434"/>
      <c r="BW767" s="2434"/>
      <c r="CT767" s="2434"/>
      <c r="CU767" s="2434"/>
      <c r="CV767" s="2434"/>
      <c r="IJ767" s="2434" t="s">
        <v>2790</v>
      </c>
      <c r="IK767" s="2434">
        <v>3125</v>
      </c>
    </row>
    <row r="768" spans="1:245" x14ac:dyDescent="0.25">
      <c r="A768" s="2434"/>
      <c r="B768" s="2434"/>
      <c r="C768" s="2434"/>
      <c r="D768" s="2434"/>
      <c r="E768" s="2434"/>
      <c r="F768" s="2434"/>
      <c r="G768" s="2434"/>
      <c r="H768" s="2434"/>
      <c r="I768" s="2434"/>
      <c r="J768" s="2434"/>
      <c r="K768" s="2434"/>
      <c r="L768" s="2434"/>
      <c r="M768" s="2434"/>
      <c r="N768" s="2434"/>
      <c r="O768" s="2434"/>
      <c r="P768" s="2434"/>
      <c r="Q768" s="2434"/>
      <c r="R768" s="2434"/>
      <c r="S768" s="2434"/>
      <c r="T768" s="2434"/>
      <c r="U768" s="2434"/>
      <c r="V768" s="2434"/>
      <c r="W768" s="2434"/>
      <c r="X768" s="2434"/>
      <c r="Y768" s="2434"/>
      <c r="Z768" s="2434"/>
      <c r="AA768" s="2434"/>
      <c r="AB768" s="2434"/>
      <c r="AC768" s="2434"/>
      <c r="AD768" s="2434"/>
      <c r="AE768" s="2434"/>
      <c r="AF768" s="2434"/>
      <c r="AG768" s="2434"/>
      <c r="AH768" s="2434"/>
      <c r="AI768" s="2434"/>
      <c r="AJ768" s="2434"/>
      <c r="AK768" s="2434"/>
      <c r="AL768" s="2434"/>
      <c r="AM768" s="2434"/>
      <c r="AN768" s="2434"/>
      <c r="AO768" s="2434"/>
      <c r="AP768" s="2434"/>
      <c r="AQ768" s="2434"/>
      <c r="AR768" s="2434"/>
      <c r="AS768" s="2434"/>
      <c r="AT768" s="2434"/>
      <c r="AU768" s="2434"/>
      <c r="AV768" s="2434"/>
      <c r="AW768" s="2434"/>
      <c r="AX768" s="2434"/>
      <c r="AY768" s="2434"/>
      <c r="AZ768" s="2434"/>
      <c r="BA768" s="2434"/>
      <c r="BB768" s="2434"/>
      <c r="BC768" s="2434"/>
      <c r="BD768" s="2434"/>
      <c r="BE768" s="2434"/>
      <c r="BF768" s="2434"/>
      <c r="BG768" s="2434"/>
      <c r="BH768" s="2434"/>
      <c r="BI768" s="2434"/>
      <c r="BJ768" s="2434"/>
      <c r="BK768" s="2434"/>
      <c r="BL768" s="2434"/>
      <c r="BM768" s="2434"/>
      <c r="BN768" s="2434"/>
      <c r="BO768" s="2434"/>
      <c r="BP768" s="2434"/>
      <c r="BQ768" s="2434"/>
      <c r="BR768" s="2434"/>
      <c r="BS768" s="2434"/>
      <c r="BT768" s="2434"/>
      <c r="BU768" s="2434"/>
      <c r="BV768" s="2434"/>
      <c r="BW768" s="2434"/>
      <c r="CT768" s="2434"/>
      <c r="CU768" s="2434"/>
      <c r="CV768" s="2434"/>
      <c r="IJ768" s="2434" t="s">
        <v>2791</v>
      </c>
      <c r="IK768" s="2434">
        <v>3148</v>
      </c>
    </row>
    <row r="769" spans="1:245" x14ac:dyDescent="0.25">
      <c r="A769" s="2434"/>
      <c r="B769" s="2434"/>
      <c r="C769" s="2434"/>
      <c r="D769" s="2434"/>
      <c r="E769" s="2434"/>
      <c r="F769" s="2434"/>
      <c r="G769" s="2434"/>
      <c r="H769" s="2434"/>
      <c r="I769" s="2434"/>
      <c r="J769" s="2434"/>
      <c r="K769" s="2434"/>
      <c r="L769" s="2434"/>
      <c r="M769" s="2434"/>
      <c r="N769" s="2434"/>
      <c r="O769" s="2434"/>
      <c r="P769" s="2434"/>
      <c r="Q769" s="2434"/>
      <c r="R769" s="2434"/>
      <c r="S769" s="2434"/>
      <c r="T769" s="2434"/>
      <c r="U769" s="2434"/>
      <c r="V769" s="2434"/>
      <c r="W769" s="2434"/>
      <c r="X769" s="2434"/>
      <c r="Y769" s="2434"/>
      <c r="Z769" s="2434"/>
      <c r="AA769" s="2434"/>
      <c r="AB769" s="2434"/>
      <c r="AC769" s="2434"/>
      <c r="AD769" s="2434"/>
      <c r="AE769" s="2434"/>
      <c r="AF769" s="2434"/>
      <c r="AG769" s="2434"/>
      <c r="AH769" s="2434"/>
      <c r="AI769" s="2434"/>
      <c r="AJ769" s="2434"/>
      <c r="AK769" s="2434"/>
      <c r="AL769" s="2434"/>
      <c r="AM769" s="2434"/>
      <c r="AN769" s="2434"/>
      <c r="AO769" s="2434"/>
      <c r="AP769" s="2434"/>
      <c r="AQ769" s="2434"/>
      <c r="AR769" s="2434"/>
      <c r="AS769" s="2434"/>
      <c r="AT769" s="2434"/>
      <c r="AU769" s="2434"/>
      <c r="AV769" s="2434"/>
      <c r="AW769" s="2434"/>
      <c r="AX769" s="2434"/>
      <c r="AY769" s="2434"/>
      <c r="AZ769" s="2434"/>
      <c r="BA769" s="2434"/>
      <c r="BB769" s="2434"/>
      <c r="BC769" s="2434"/>
      <c r="BD769" s="2434"/>
      <c r="BE769" s="2434"/>
      <c r="BF769" s="2434"/>
      <c r="BG769" s="2434"/>
      <c r="BH769" s="2434"/>
      <c r="BI769" s="2434"/>
      <c r="BJ769" s="2434"/>
      <c r="BK769" s="2434"/>
      <c r="BL769" s="2434"/>
      <c r="BM769" s="2434"/>
      <c r="BN769" s="2434"/>
      <c r="BO769" s="2434"/>
      <c r="BP769" s="2434"/>
      <c r="BQ769" s="2434"/>
      <c r="BR769" s="2434"/>
      <c r="BS769" s="2434"/>
      <c r="BT769" s="2434"/>
      <c r="BU769" s="2434"/>
      <c r="BV769" s="2434"/>
      <c r="BW769" s="2434"/>
      <c r="CT769" s="2434"/>
      <c r="CU769" s="2434"/>
      <c r="CV769" s="2434"/>
      <c r="IK769" s="2434" t="s">
        <v>2403</v>
      </c>
    </row>
    <row r="770" spans="1:245" x14ac:dyDescent="0.25">
      <c r="A770" s="2434"/>
      <c r="B770" s="2434"/>
      <c r="C770" s="2434"/>
      <c r="D770" s="2434"/>
      <c r="E770" s="2434"/>
      <c r="F770" s="2434"/>
      <c r="G770" s="2434"/>
      <c r="H770" s="2434"/>
      <c r="I770" s="2434"/>
      <c r="J770" s="2434"/>
      <c r="K770" s="2434"/>
      <c r="L770" s="2434"/>
      <c r="M770" s="2434"/>
      <c r="N770" s="2434"/>
      <c r="O770" s="2434"/>
      <c r="P770" s="2434"/>
      <c r="Q770" s="2434"/>
      <c r="R770" s="2434"/>
      <c r="S770" s="2434"/>
      <c r="T770" s="2434"/>
      <c r="U770" s="2434"/>
      <c r="V770" s="2434"/>
      <c r="W770" s="2434"/>
      <c r="X770" s="2434"/>
      <c r="Y770" s="2434"/>
      <c r="Z770" s="2434"/>
      <c r="AA770" s="2434"/>
      <c r="AB770" s="2434"/>
      <c r="AC770" s="2434"/>
      <c r="AD770" s="2434"/>
      <c r="AE770" s="2434"/>
      <c r="AF770" s="2434"/>
      <c r="AG770" s="2434"/>
      <c r="AH770" s="2434"/>
      <c r="AI770" s="2434"/>
      <c r="AJ770" s="2434"/>
      <c r="AK770" s="2434"/>
      <c r="AL770" s="2434"/>
      <c r="AM770" s="2434"/>
      <c r="AN770" s="2434"/>
      <c r="AO770" s="2434"/>
      <c r="AP770" s="2434"/>
      <c r="AQ770" s="2434"/>
      <c r="AR770" s="2434"/>
      <c r="AS770" s="2434"/>
      <c r="AT770" s="2434"/>
      <c r="AU770" s="2434"/>
      <c r="AV770" s="2434"/>
      <c r="AW770" s="2434"/>
      <c r="AX770" s="2434"/>
      <c r="AY770" s="2434"/>
      <c r="AZ770" s="2434"/>
      <c r="BA770" s="2434"/>
      <c r="BB770" s="2434"/>
      <c r="BC770" s="2434"/>
      <c r="BD770" s="2434"/>
      <c r="BE770" s="2434"/>
      <c r="BF770" s="2434"/>
      <c r="BG770" s="2434"/>
      <c r="BH770" s="2434"/>
      <c r="BI770" s="2434"/>
      <c r="BJ770" s="2434"/>
      <c r="BK770" s="2434"/>
      <c r="BL770" s="2434"/>
      <c r="BM770" s="2434"/>
      <c r="BN770" s="2434"/>
      <c r="BO770" s="2434"/>
      <c r="BP770" s="2434"/>
      <c r="BQ770" s="2434"/>
      <c r="BR770" s="2434"/>
      <c r="BS770" s="2434"/>
      <c r="BT770" s="2434"/>
      <c r="BU770" s="2434"/>
      <c r="BV770" s="2434"/>
      <c r="BW770" s="2434"/>
      <c r="CT770" s="2434"/>
      <c r="CU770" s="2434"/>
      <c r="CV770" s="2434"/>
      <c r="IJ770" s="2434" t="s">
        <v>2792</v>
      </c>
      <c r="IK770" s="2434">
        <f>+IK768-IK767</f>
        <v>23</v>
      </c>
    </row>
    <row r="772" spans="1:245" x14ac:dyDescent="0.25">
      <c r="A772" s="2434"/>
      <c r="B772" s="2434"/>
      <c r="C772" s="2434"/>
      <c r="D772" s="2434"/>
      <c r="E772" s="2434"/>
      <c r="F772" s="2434"/>
      <c r="G772" s="2434"/>
      <c r="H772" s="2434"/>
      <c r="I772" s="2434"/>
      <c r="J772" s="2434"/>
      <c r="K772" s="2434"/>
      <c r="L772" s="2434"/>
      <c r="M772" s="2434"/>
      <c r="N772" s="2434"/>
      <c r="O772" s="2434"/>
      <c r="P772" s="2434"/>
      <c r="Q772" s="2434"/>
      <c r="R772" s="2434"/>
      <c r="S772" s="2434"/>
      <c r="T772" s="2434"/>
      <c r="U772" s="2434"/>
      <c r="V772" s="2434"/>
      <c r="W772" s="2434"/>
      <c r="X772" s="2434"/>
      <c r="Y772" s="2434"/>
      <c r="Z772" s="2434"/>
      <c r="AA772" s="2434"/>
      <c r="AB772" s="2434"/>
      <c r="AC772" s="2434"/>
      <c r="AD772" s="2434"/>
      <c r="AE772" s="2434"/>
      <c r="AF772" s="2434"/>
      <c r="AG772" s="2434"/>
      <c r="AH772" s="2434"/>
      <c r="AI772" s="2434"/>
      <c r="AJ772" s="2434"/>
      <c r="AK772" s="2434"/>
      <c r="AL772" s="2434"/>
      <c r="AM772" s="2434"/>
      <c r="AN772" s="2434"/>
      <c r="AO772" s="2434"/>
      <c r="AP772" s="2434"/>
      <c r="AQ772" s="2434"/>
      <c r="AR772" s="2434"/>
      <c r="AS772" s="2434"/>
      <c r="AT772" s="2434"/>
      <c r="AU772" s="2434"/>
      <c r="AV772" s="2434"/>
      <c r="AW772" s="2434"/>
      <c r="AX772" s="2434"/>
      <c r="AY772" s="2434"/>
      <c r="AZ772" s="2434"/>
      <c r="BA772" s="2434"/>
      <c r="BB772" s="2434"/>
      <c r="BC772" s="2434"/>
      <c r="BD772" s="2434"/>
      <c r="BE772" s="2434"/>
      <c r="BF772" s="2434"/>
      <c r="BG772" s="2434"/>
      <c r="BH772" s="2434"/>
      <c r="BI772" s="2434"/>
      <c r="BJ772" s="2434"/>
      <c r="BK772" s="2434"/>
      <c r="BL772" s="2434"/>
      <c r="BM772" s="2434"/>
      <c r="BN772" s="2434"/>
      <c r="BO772" s="2434"/>
      <c r="BP772" s="2434"/>
      <c r="BQ772" s="2434"/>
      <c r="BR772" s="2434"/>
      <c r="BS772" s="2434"/>
      <c r="BT772" s="2434"/>
      <c r="BU772" s="2434"/>
      <c r="BV772" s="2434"/>
      <c r="BW772" s="2434"/>
      <c r="CT772" s="2434"/>
      <c r="CU772" s="2434"/>
      <c r="CV772" s="2434"/>
      <c r="IJ772" s="2434" t="s">
        <v>2793</v>
      </c>
      <c r="IK772" s="2434">
        <f>750-697</f>
        <v>53</v>
      </c>
    </row>
    <row r="773" spans="1:245" x14ac:dyDescent="0.25">
      <c r="A773" s="2434"/>
      <c r="B773" s="2434"/>
      <c r="C773" s="2434"/>
      <c r="D773" s="2434"/>
      <c r="E773" s="2434"/>
      <c r="F773" s="2434"/>
      <c r="G773" s="2434"/>
      <c r="H773" s="2434"/>
      <c r="I773" s="2434"/>
      <c r="J773" s="2434"/>
      <c r="K773" s="2434"/>
      <c r="L773" s="2434"/>
      <c r="M773" s="2434"/>
      <c r="N773" s="2434"/>
      <c r="O773" s="2434"/>
      <c r="P773" s="2434"/>
      <c r="Q773" s="2434"/>
      <c r="R773" s="2434"/>
      <c r="S773" s="2434"/>
      <c r="T773" s="2434"/>
      <c r="U773" s="2434"/>
      <c r="V773" s="2434"/>
      <c r="W773" s="2434"/>
      <c r="X773" s="2434"/>
      <c r="Y773" s="2434"/>
      <c r="Z773" s="2434"/>
      <c r="AA773" s="2434"/>
      <c r="AB773" s="2434"/>
      <c r="AC773" s="2434"/>
      <c r="AD773" s="2434"/>
      <c r="AE773" s="2434"/>
      <c r="AF773" s="2434"/>
      <c r="AG773" s="2434"/>
      <c r="AH773" s="2434"/>
      <c r="AI773" s="2434"/>
      <c r="AJ773" s="2434"/>
      <c r="AK773" s="2434"/>
      <c r="AL773" s="2434"/>
      <c r="AM773" s="2434"/>
      <c r="AN773" s="2434"/>
      <c r="AO773" s="2434"/>
      <c r="AP773" s="2434"/>
      <c r="AQ773" s="2434"/>
      <c r="AR773" s="2434"/>
      <c r="AS773" s="2434"/>
      <c r="AT773" s="2434"/>
      <c r="AU773" s="2434"/>
      <c r="AV773" s="2434"/>
      <c r="AW773" s="2434"/>
      <c r="AX773" s="2434"/>
      <c r="AY773" s="2434"/>
      <c r="AZ773" s="2434"/>
      <c r="BA773" s="2434"/>
      <c r="BB773" s="2434"/>
      <c r="BC773" s="2434"/>
      <c r="BD773" s="2434"/>
      <c r="BE773" s="2434"/>
      <c r="BF773" s="2434"/>
      <c r="BG773" s="2434"/>
      <c r="BH773" s="2434"/>
      <c r="BI773" s="2434"/>
      <c r="BJ773" s="2434"/>
      <c r="BK773" s="2434"/>
      <c r="BL773" s="2434"/>
      <c r="BM773" s="2434"/>
      <c r="BN773" s="2434"/>
      <c r="BO773" s="2434"/>
      <c r="BP773" s="2434"/>
      <c r="BQ773" s="2434"/>
      <c r="BR773" s="2434"/>
      <c r="BS773" s="2434"/>
      <c r="BT773" s="2434"/>
      <c r="BU773" s="2434"/>
      <c r="BV773" s="2434"/>
      <c r="BW773" s="2434"/>
      <c r="CT773" s="2434"/>
      <c r="CU773" s="2434"/>
      <c r="CV773" s="2434"/>
      <c r="IJ773" s="2434" t="s">
        <v>2794</v>
      </c>
      <c r="IK773" s="2434">
        <f>+-23.5</f>
        <v>-23.5</v>
      </c>
    </row>
    <row r="774" spans="1:245" x14ac:dyDescent="0.25">
      <c r="A774" s="2434"/>
      <c r="B774" s="2434"/>
      <c r="C774" s="2434"/>
      <c r="D774" s="2434"/>
      <c r="E774" s="2434"/>
      <c r="F774" s="2434"/>
      <c r="G774" s="2434"/>
      <c r="H774" s="2434"/>
      <c r="I774" s="2434"/>
      <c r="J774" s="2434"/>
      <c r="K774" s="2434"/>
      <c r="L774" s="2434"/>
      <c r="M774" s="2434"/>
      <c r="N774" s="2434"/>
      <c r="O774" s="2434"/>
      <c r="P774" s="2434"/>
      <c r="Q774" s="2434"/>
      <c r="R774" s="2434"/>
      <c r="S774" s="2434"/>
      <c r="T774" s="2434"/>
      <c r="U774" s="2434"/>
      <c r="V774" s="2434"/>
      <c r="W774" s="2434"/>
      <c r="X774" s="2434"/>
      <c r="Y774" s="2434"/>
      <c r="Z774" s="2434"/>
      <c r="AA774" s="2434"/>
      <c r="AB774" s="2434"/>
      <c r="AC774" s="2434"/>
      <c r="AD774" s="2434"/>
      <c r="AE774" s="2434"/>
      <c r="AF774" s="2434"/>
      <c r="AG774" s="2434"/>
      <c r="AH774" s="2434"/>
      <c r="AI774" s="2434"/>
      <c r="AJ774" s="2434"/>
      <c r="AK774" s="2434"/>
      <c r="AL774" s="2434"/>
      <c r="AM774" s="2434"/>
      <c r="AN774" s="2434"/>
      <c r="AO774" s="2434"/>
      <c r="AP774" s="2434"/>
      <c r="AQ774" s="2434"/>
      <c r="AR774" s="2434"/>
      <c r="AS774" s="2434"/>
      <c r="AT774" s="2434"/>
      <c r="AU774" s="2434"/>
      <c r="AV774" s="2434"/>
      <c r="AW774" s="2434"/>
      <c r="AX774" s="2434"/>
      <c r="AY774" s="2434"/>
      <c r="AZ774" s="2434"/>
      <c r="BA774" s="2434"/>
      <c r="BB774" s="2434"/>
      <c r="BC774" s="2434"/>
      <c r="BD774" s="2434"/>
      <c r="BE774" s="2434"/>
      <c r="BF774" s="2434"/>
      <c r="BG774" s="2434"/>
      <c r="BH774" s="2434"/>
      <c r="BI774" s="2434"/>
      <c r="BJ774" s="2434"/>
      <c r="BK774" s="2434"/>
      <c r="BL774" s="2434"/>
      <c r="BM774" s="2434"/>
      <c r="BN774" s="2434"/>
      <c r="BO774" s="2434"/>
      <c r="BP774" s="2434"/>
      <c r="BQ774" s="2434"/>
      <c r="BR774" s="2434"/>
      <c r="BS774" s="2434"/>
      <c r="BT774" s="2434"/>
      <c r="BU774" s="2434"/>
      <c r="BV774" s="2434"/>
      <c r="BW774" s="2434"/>
      <c r="CT774" s="2434"/>
      <c r="CU774" s="2434"/>
      <c r="CV774" s="2434"/>
      <c r="IJ774" s="2434" t="s">
        <v>2795</v>
      </c>
      <c r="IK774" s="2434">
        <f>904-MAR!CT616</f>
        <v>9.9999999999997726</v>
      </c>
    </row>
    <row r="775" spans="1:245" x14ac:dyDescent="0.25">
      <c r="A775" s="2434"/>
      <c r="B775" s="2434"/>
      <c r="C775" s="2434"/>
      <c r="D775" s="2434"/>
      <c r="E775" s="2434"/>
      <c r="F775" s="2434"/>
      <c r="G775" s="2434"/>
      <c r="H775" s="2434"/>
      <c r="I775" s="2434"/>
      <c r="J775" s="2434"/>
      <c r="K775" s="2434"/>
      <c r="L775" s="2434"/>
      <c r="M775" s="2434"/>
      <c r="N775" s="2434"/>
      <c r="O775" s="2434"/>
      <c r="P775" s="2434"/>
      <c r="Q775" s="2434"/>
      <c r="R775" s="2434"/>
      <c r="S775" s="2434"/>
      <c r="T775" s="2434"/>
      <c r="U775" s="2434"/>
      <c r="V775" s="2434"/>
      <c r="W775" s="2434"/>
      <c r="X775" s="2434"/>
      <c r="Y775" s="2434"/>
      <c r="Z775" s="2434"/>
      <c r="AA775" s="2434"/>
      <c r="AB775" s="2434"/>
      <c r="AC775" s="2434"/>
      <c r="AD775" s="2434"/>
      <c r="AE775" s="2434"/>
      <c r="AF775" s="2434"/>
      <c r="AG775" s="2434"/>
      <c r="AH775" s="2434"/>
      <c r="AI775" s="2434"/>
      <c r="AJ775" s="2434"/>
      <c r="AK775" s="2434"/>
      <c r="AL775" s="2434"/>
      <c r="AM775" s="2434"/>
      <c r="AN775" s="2434"/>
      <c r="AO775" s="2434"/>
      <c r="AP775" s="2434"/>
      <c r="AQ775" s="2434"/>
      <c r="AR775" s="2434"/>
      <c r="AS775" s="2434"/>
      <c r="AT775" s="2434"/>
      <c r="AU775" s="2434"/>
      <c r="AV775" s="2434"/>
      <c r="AW775" s="2434"/>
      <c r="AX775" s="2434"/>
      <c r="AY775" s="2434"/>
      <c r="AZ775" s="2434"/>
      <c r="BA775" s="2434"/>
      <c r="BB775" s="2434"/>
      <c r="BC775" s="2434"/>
      <c r="BD775" s="2434"/>
      <c r="BE775" s="2434"/>
      <c r="BF775" s="2434"/>
      <c r="BG775" s="2434"/>
      <c r="BH775" s="2434"/>
      <c r="BI775" s="2434"/>
      <c r="BJ775" s="2434"/>
      <c r="BK775" s="2434"/>
      <c r="BL775" s="2434"/>
      <c r="BM775" s="2434"/>
      <c r="BN775" s="2434"/>
      <c r="BO775" s="2434"/>
      <c r="BP775" s="2434"/>
      <c r="BQ775" s="2434"/>
      <c r="BR775" s="2434"/>
      <c r="BS775" s="2434"/>
      <c r="BT775" s="2434"/>
      <c r="BU775" s="2434"/>
      <c r="BV775" s="2434"/>
      <c r="BW775" s="2434"/>
      <c r="CT775" s="2434"/>
      <c r="CU775" s="2434"/>
      <c r="CV775" s="2434"/>
      <c r="IJ775" s="2434" t="s">
        <v>2796</v>
      </c>
      <c r="IK775" s="2434">
        <f>155-190</f>
        <v>-35</v>
      </c>
    </row>
    <row r="776" spans="1:245" x14ac:dyDescent="0.25">
      <c r="A776" s="2434"/>
      <c r="B776" s="2434"/>
      <c r="C776" s="2434"/>
      <c r="D776" s="2434"/>
      <c r="E776" s="2434"/>
      <c r="F776" s="2434"/>
      <c r="G776" s="2434"/>
      <c r="H776" s="2434"/>
      <c r="I776" s="2434"/>
      <c r="J776" s="2434"/>
      <c r="K776" s="2434"/>
      <c r="L776" s="2434"/>
      <c r="M776" s="2434"/>
      <c r="N776" s="2434"/>
      <c r="O776" s="2434"/>
      <c r="P776" s="2434"/>
      <c r="Q776" s="2434"/>
      <c r="R776" s="2434"/>
      <c r="S776" s="2434"/>
      <c r="T776" s="2434"/>
      <c r="U776" s="2434"/>
      <c r="V776" s="2434"/>
      <c r="W776" s="2434"/>
      <c r="X776" s="2434"/>
      <c r="Y776" s="2434"/>
      <c r="Z776" s="2434"/>
      <c r="AA776" s="2434"/>
      <c r="AB776" s="2434"/>
      <c r="AC776" s="2434"/>
      <c r="AD776" s="2434"/>
      <c r="AE776" s="2434"/>
      <c r="AF776" s="2434"/>
      <c r="AG776" s="2434"/>
      <c r="AH776" s="2434"/>
      <c r="AI776" s="2434"/>
      <c r="AJ776" s="2434"/>
      <c r="AK776" s="2434"/>
      <c r="AL776" s="2434"/>
      <c r="AM776" s="2434"/>
      <c r="AN776" s="2434"/>
      <c r="AO776" s="2434"/>
      <c r="AP776" s="2434"/>
      <c r="AQ776" s="2434"/>
      <c r="AR776" s="2434"/>
      <c r="AS776" s="2434"/>
      <c r="AT776" s="2434"/>
      <c r="AU776" s="2434"/>
      <c r="AV776" s="2434"/>
      <c r="AW776" s="2434"/>
      <c r="AX776" s="2434"/>
      <c r="AY776" s="2434"/>
      <c r="AZ776" s="2434"/>
      <c r="BA776" s="2434"/>
      <c r="BB776" s="2434"/>
      <c r="BC776" s="2434"/>
      <c r="BD776" s="2434"/>
      <c r="BE776" s="2434"/>
      <c r="BF776" s="2434"/>
      <c r="BG776" s="2434"/>
      <c r="BH776" s="2434"/>
      <c r="BI776" s="2434"/>
      <c r="BJ776" s="2434"/>
      <c r="BK776" s="2434"/>
      <c r="BL776" s="2434"/>
      <c r="BM776" s="2434"/>
      <c r="BN776" s="2434"/>
      <c r="BO776" s="2434"/>
      <c r="BP776" s="2434"/>
      <c r="BQ776" s="2434"/>
      <c r="BR776" s="2434"/>
      <c r="BS776" s="2434"/>
      <c r="BT776" s="2434"/>
      <c r="BU776" s="2434"/>
      <c r="BV776" s="2434"/>
      <c r="BW776" s="2434"/>
      <c r="CT776" s="2434"/>
      <c r="CU776" s="2434"/>
      <c r="CV776" s="2434"/>
      <c r="IJ776" s="2434" t="s">
        <v>2797</v>
      </c>
      <c r="IK776" s="2434">
        <f>0.2*40</f>
        <v>8</v>
      </c>
    </row>
    <row r="777" spans="1:245" x14ac:dyDescent="0.25">
      <c r="A777" s="2434"/>
      <c r="B777" s="2434"/>
      <c r="C777" s="2434"/>
      <c r="D777" s="2434"/>
      <c r="E777" s="2434"/>
      <c r="F777" s="2434"/>
      <c r="G777" s="2434"/>
      <c r="H777" s="2434"/>
      <c r="I777" s="2434"/>
      <c r="J777" s="2434"/>
      <c r="K777" s="2434"/>
      <c r="L777" s="2434"/>
      <c r="M777" s="2434"/>
      <c r="N777" s="2434"/>
      <c r="O777" s="2434"/>
      <c r="P777" s="2434"/>
      <c r="Q777" s="2434"/>
      <c r="R777" s="2434"/>
      <c r="S777" s="2434"/>
      <c r="T777" s="2434"/>
      <c r="U777" s="2434"/>
      <c r="V777" s="2434"/>
      <c r="W777" s="2434"/>
      <c r="X777" s="2434"/>
      <c r="Y777" s="2434"/>
      <c r="Z777" s="2434"/>
      <c r="AA777" s="2434"/>
      <c r="AB777" s="2434"/>
      <c r="AC777" s="2434"/>
      <c r="AD777" s="2434"/>
      <c r="AE777" s="2434"/>
      <c r="AF777" s="2434"/>
      <c r="AG777" s="2434"/>
      <c r="AH777" s="2434"/>
      <c r="AI777" s="2434"/>
      <c r="AJ777" s="2434"/>
      <c r="AK777" s="2434"/>
      <c r="AL777" s="2434"/>
      <c r="AM777" s="2434"/>
      <c r="AN777" s="2434"/>
      <c r="AO777" s="2434"/>
      <c r="AP777" s="2434"/>
      <c r="AQ777" s="2434"/>
      <c r="AR777" s="2434"/>
      <c r="AS777" s="2434"/>
      <c r="AT777" s="2434"/>
      <c r="AU777" s="2434"/>
      <c r="AV777" s="2434"/>
      <c r="AW777" s="2434"/>
      <c r="AX777" s="2434"/>
      <c r="AY777" s="2434"/>
      <c r="AZ777" s="2434"/>
      <c r="BA777" s="2434"/>
      <c r="BB777" s="2434"/>
      <c r="BC777" s="2434"/>
      <c r="BD777" s="2434"/>
      <c r="BE777" s="2434"/>
      <c r="BF777" s="2434"/>
      <c r="BG777" s="2434"/>
      <c r="BH777" s="2434"/>
      <c r="BI777" s="2434"/>
      <c r="BJ777" s="2434"/>
      <c r="BK777" s="2434"/>
      <c r="BL777" s="2434"/>
      <c r="BM777" s="2434"/>
      <c r="BN777" s="2434"/>
      <c r="BO777" s="2434"/>
      <c r="BP777" s="2434"/>
      <c r="BQ777" s="2434"/>
      <c r="BR777" s="2434"/>
      <c r="BS777" s="2434"/>
      <c r="BT777" s="2434"/>
      <c r="BU777" s="2434"/>
      <c r="BV777" s="2434"/>
      <c r="BW777" s="2434"/>
      <c r="CT777" s="2434"/>
      <c r="CU777" s="2434"/>
      <c r="CV777" s="2434"/>
      <c r="IK777" s="2434" t="s">
        <v>2403</v>
      </c>
    </row>
    <row r="778" spans="1:245" x14ac:dyDescent="0.25">
      <c r="A778" s="2434"/>
      <c r="B778" s="2434"/>
      <c r="C778" s="2434"/>
      <c r="D778" s="2434"/>
      <c r="E778" s="2434"/>
      <c r="F778" s="2434"/>
      <c r="G778" s="2434"/>
      <c r="H778" s="2434"/>
      <c r="I778" s="2434"/>
      <c r="J778" s="2434"/>
      <c r="K778" s="2434"/>
      <c r="L778" s="2434"/>
      <c r="M778" s="2434"/>
      <c r="N778" s="2434"/>
      <c r="O778" s="2434"/>
      <c r="P778" s="2434"/>
      <c r="Q778" s="2434"/>
      <c r="R778" s="2434"/>
      <c r="S778" s="2434"/>
      <c r="T778" s="2434"/>
      <c r="U778" s="2434"/>
      <c r="V778" s="2434"/>
      <c r="W778" s="2434"/>
      <c r="X778" s="2434"/>
      <c r="Y778" s="2434"/>
      <c r="Z778" s="2434"/>
      <c r="AA778" s="2434"/>
      <c r="AB778" s="2434"/>
      <c r="AC778" s="2434"/>
      <c r="AD778" s="2434"/>
      <c r="AE778" s="2434"/>
      <c r="AF778" s="2434"/>
      <c r="AG778" s="2434"/>
      <c r="AH778" s="2434"/>
      <c r="AI778" s="2434"/>
      <c r="AJ778" s="2434"/>
      <c r="AK778" s="2434"/>
      <c r="AL778" s="2434"/>
      <c r="AM778" s="2434"/>
      <c r="AN778" s="2434"/>
      <c r="AO778" s="2434"/>
      <c r="AP778" s="2434"/>
      <c r="AQ778" s="2434"/>
      <c r="AR778" s="2434"/>
      <c r="AS778" s="2434"/>
      <c r="AT778" s="2434"/>
      <c r="AU778" s="2434"/>
      <c r="AV778" s="2434"/>
      <c r="AW778" s="2434"/>
      <c r="AX778" s="2434"/>
      <c r="AY778" s="2434"/>
      <c r="AZ778" s="2434"/>
      <c r="BA778" s="2434"/>
      <c r="BB778" s="2434"/>
      <c r="BC778" s="2434"/>
      <c r="BD778" s="2434"/>
      <c r="BE778" s="2434"/>
      <c r="BF778" s="2434"/>
      <c r="BG778" s="2434"/>
      <c r="BH778" s="2434"/>
      <c r="BI778" s="2434"/>
      <c r="BJ778" s="2434"/>
      <c r="BK778" s="2434"/>
      <c r="BL778" s="2434"/>
      <c r="BM778" s="2434"/>
      <c r="BN778" s="2434"/>
      <c r="BO778" s="2434"/>
      <c r="BP778" s="2434"/>
      <c r="BQ778" s="2434"/>
      <c r="BR778" s="2434"/>
      <c r="BS778" s="2434"/>
      <c r="BT778" s="2434"/>
      <c r="BU778" s="2434"/>
      <c r="BV778" s="2434"/>
      <c r="BW778" s="2434"/>
      <c r="CT778" s="2434"/>
      <c r="CU778" s="2434"/>
      <c r="CV778" s="2434"/>
      <c r="IJ778" s="2434" t="s">
        <v>2798</v>
      </c>
      <c r="IK778" s="2434">
        <f>SUM(IK772:IK776)</f>
        <v>12.499999999999773</v>
      </c>
    </row>
    <row r="780" spans="1:245" x14ac:dyDescent="0.25">
      <c r="A780" s="2434"/>
      <c r="B780" s="2434"/>
      <c r="C780" s="2434"/>
      <c r="D780" s="2434"/>
      <c r="E780" s="2434"/>
      <c r="F780" s="2434"/>
      <c r="G780" s="2434"/>
      <c r="H780" s="2434"/>
      <c r="I780" s="2434"/>
      <c r="J780" s="2434"/>
      <c r="K780" s="2434"/>
      <c r="L780" s="2434"/>
      <c r="M780" s="2434"/>
      <c r="N780" s="2434"/>
      <c r="O780" s="2434"/>
      <c r="P780" s="2434"/>
      <c r="Q780" s="2434"/>
      <c r="R780" s="2434"/>
      <c r="S780" s="2434"/>
      <c r="T780" s="2434"/>
      <c r="U780" s="2434"/>
      <c r="V780" s="2434"/>
      <c r="W780" s="2434"/>
      <c r="X780" s="2434"/>
      <c r="Y780" s="2434"/>
      <c r="Z780" s="2434"/>
      <c r="AA780" s="2434"/>
      <c r="AB780" s="2434"/>
      <c r="AC780" s="2434"/>
      <c r="AD780" s="2434"/>
      <c r="AE780" s="2434"/>
      <c r="AF780" s="2434"/>
      <c r="AG780" s="2434"/>
      <c r="AH780" s="2434"/>
      <c r="AI780" s="2434"/>
      <c r="AJ780" s="2434"/>
      <c r="AK780" s="2434"/>
      <c r="AL780" s="2434"/>
      <c r="AM780" s="2434"/>
      <c r="AN780" s="2434"/>
      <c r="AO780" s="2434"/>
      <c r="AP780" s="2434"/>
      <c r="AQ780" s="2434"/>
      <c r="AR780" s="2434"/>
      <c r="AS780" s="2434"/>
      <c r="AT780" s="2434"/>
      <c r="AU780" s="2434"/>
      <c r="AV780" s="2434"/>
      <c r="AW780" s="2434"/>
      <c r="AX780" s="2434"/>
      <c r="AY780" s="2434"/>
      <c r="AZ780" s="2434"/>
      <c r="BA780" s="2434"/>
      <c r="BB780" s="2434"/>
      <c r="BC780" s="2434"/>
      <c r="BD780" s="2434"/>
      <c r="BE780" s="2434"/>
      <c r="BF780" s="2434"/>
      <c r="BG780" s="2434"/>
      <c r="BH780" s="2434"/>
      <c r="BI780" s="2434"/>
      <c r="BJ780" s="2434"/>
      <c r="BK780" s="2434"/>
      <c r="BL780" s="2434"/>
      <c r="BM780" s="2434"/>
      <c r="BN780" s="2434"/>
      <c r="BO780" s="2434"/>
      <c r="BP780" s="2434"/>
      <c r="BQ780" s="2434"/>
      <c r="BR780" s="2434"/>
      <c r="BS780" s="2434"/>
      <c r="BT780" s="2434"/>
      <c r="BU780" s="2434"/>
      <c r="BV780" s="2434"/>
      <c r="BW780" s="2434"/>
      <c r="CT780" s="2434"/>
      <c r="CU780" s="2434"/>
      <c r="CV780" s="2434"/>
      <c r="IJ780" s="2434" t="s">
        <v>2799</v>
      </c>
      <c r="IK780" s="2434">
        <v>37.759585204635187</v>
      </c>
    </row>
    <row r="787" spans="1:286" x14ac:dyDescent="0.25">
      <c r="IN787" s="3565"/>
      <c r="IO787" s="3566" t="s">
        <v>346</v>
      </c>
      <c r="IP787" s="3567" t="s">
        <v>2821</v>
      </c>
    </row>
    <row r="788" spans="1:286" s="2644" customFormat="1" ht="2.1" customHeight="1" x14ac:dyDescent="0.25">
      <c r="A788" s="781"/>
      <c r="B788" s="781"/>
      <c r="C788" s="781"/>
      <c r="D788" s="781"/>
      <c r="E788" s="781"/>
      <c r="F788" s="781"/>
      <c r="G788" s="781"/>
      <c r="H788" s="781"/>
      <c r="I788" s="781"/>
      <c r="J788" s="781"/>
      <c r="K788" s="781"/>
      <c r="L788" s="781"/>
      <c r="M788" s="781"/>
      <c r="N788" s="781"/>
      <c r="O788" s="781"/>
      <c r="P788" s="781"/>
      <c r="Q788" s="781"/>
      <c r="R788" s="781"/>
      <c r="S788" s="781"/>
      <c r="T788" s="781"/>
      <c r="U788" s="781"/>
      <c r="V788" s="781"/>
      <c r="W788" s="781"/>
      <c r="X788" s="781"/>
      <c r="Y788" s="781"/>
      <c r="Z788" s="781"/>
      <c r="AA788" s="781"/>
      <c r="AB788" s="781"/>
      <c r="AC788" s="781"/>
      <c r="AD788" s="798"/>
      <c r="AE788" s="798"/>
      <c r="AF788" s="781"/>
      <c r="AG788" s="781"/>
      <c r="AH788" s="781"/>
      <c r="AI788" s="781"/>
      <c r="AJ788" s="781"/>
      <c r="AK788" s="781"/>
      <c r="AL788" s="781"/>
      <c r="AM788" s="781"/>
      <c r="AN788" s="781"/>
      <c r="AO788" s="781"/>
      <c r="AP788" s="781"/>
      <c r="AQ788" s="781"/>
      <c r="AR788" s="781"/>
      <c r="AS788" s="781"/>
      <c r="AT788" s="781"/>
      <c r="AU788" s="781"/>
      <c r="AV788" s="781"/>
      <c r="AW788" s="781"/>
      <c r="AX788" s="781"/>
      <c r="AY788" s="781"/>
      <c r="AZ788" s="781"/>
      <c r="BA788" s="781"/>
      <c r="BB788" s="781"/>
      <c r="BC788" s="781"/>
      <c r="BD788" s="781"/>
      <c r="BE788" s="781"/>
      <c r="BF788" s="781"/>
      <c r="BG788" s="781"/>
      <c r="BH788" s="781"/>
      <c r="BI788" s="781"/>
      <c r="BJ788" s="781"/>
      <c r="BK788" s="781"/>
      <c r="BL788" s="781"/>
      <c r="BM788" s="781"/>
      <c r="BN788" s="781"/>
      <c r="BO788" s="781"/>
      <c r="BP788" s="781"/>
      <c r="BQ788" s="781"/>
      <c r="BR788" s="781"/>
      <c r="BS788" s="781"/>
      <c r="BT788" s="781"/>
      <c r="BU788" s="781"/>
      <c r="BV788" s="781"/>
      <c r="BW788" s="781"/>
      <c r="CT788" s="3542"/>
      <c r="CU788" s="3542"/>
      <c r="CV788" s="3542"/>
      <c r="IN788" s="3039"/>
      <c r="IO788" s="1199"/>
      <c r="IP788" s="3575"/>
      <c r="JV788" s="3907"/>
      <c r="JW788" s="3855"/>
      <c r="JX788" s="3855"/>
      <c r="JY788" s="3855"/>
      <c r="JZ788" s="3855"/>
    </row>
    <row r="789" spans="1:286" x14ac:dyDescent="0.25">
      <c r="IN789" s="2765" t="s">
        <v>2830</v>
      </c>
      <c r="IO789" s="3587" t="s">
        <v>2822</v>
      </c>
      <c r="IP789" s="3588" t="s">
        <v>2870</v>
      </c>
    </row>
    <row r="790" spans="1:286" x14ac:dyDescent="0.25">
      <c r="IN790" s="2765" t="s">
        <v>2828</v>
      </c>
      <c r="IO790" s="3589">
        <v>60</v>
      </c>
      <c r="IP790" s="3590">
        <v>72</v>
      </c>
    </row>
    <row r="791" spans="1:286" x14ac:dyDescent="0.25">
      <c r="IN791" s="2765" t="s">
        <v>2829</v>
      </c>
      <c r="IO791" s="3589">
        <v>4</v>
      </c>
      <c r="IP791" s="3588" t="s">
        <v>1979</v>
      </c>
    </row>
    <row r="792" spans="1:286" x14ac:dyDescent="0.25">
      <c r="IN792" s="2765" t="s">
        <v>2823</v>
      </c>
      <c r="IO792" s="3591">
        <v>1.3</v>
      </c>
      <c r="IP792" s="3592">
        <v>2.7</v>
      </c>
    </row>
    <row r="793" spans="1:286" x14ac:dyDescent="0.25">
      <c r="IN793" s="2765" t="s">
        <v>2825</v>
      </c>
      <c r="IO793" s="3589">
        <v>173</v>
      </c>
      <c r="IP793" s="3588" t="s">
        <v>1979</v>
      </c>
    </row>
    <row r="794" spans="1:286" x14ac:dyDescent="0.25">
      <c r="IN794" s="2765" t="s">
        <v>2824</v>
      </c>
      <c r="IO794" s="3593">
        <v>2.4E-2</v>
      </c>
      <c r="IP794" s="3588" t="s">
        <v>1979</v>
      </c>
    </row>
    <row r="795" spans="1:286" ht="3.95" customHeight="1" x14ac:dyDescent="0.25">
      <c r="IN795" s="3571"/>
      <c r="IO795" s="3568"/>
      <c r="IP795" s="3572"/>
    </row>
    <row r="796" spans="1:286" x14ac:dyDescent="0.25">
      <c r="IN796" s="2765" t="s">
        <v>2826</v>
      </c>
      <c r="IO796" s="3570">
        <f>IO792/IO790</f>
        <v>2.1666666666666667E-2</v>
      </c>
      <c r="IP796" s="3574">
        <f>IP792/IP790</f>
        <v>3.7500000000000006E-2</v>
      </c>
    </row>
    <row r="797" spans="1:286" x14ac:dyDescent="0.25">
      <c r="IN797" s="2807" t="s">
        <v>2827</v>
      </c>
      <c r="IO797" s="3573">
        <f>(IO793/1000)/IO792</f>
        <v>0.13307692307692306</v>
      </c>
      <c r="IP797" s="3594" t="s">
        <v>1979</v>
      </c>
    </row>
    <row r="798" spans="1:286" x14ac:dyDescent="0.25">
      <c r="IN798" s="2631"/>
      <c r="IO798" s="3570"/>
      <c r="IP798" s="3569"/>
      <c r="IS798" s="199" t="s">
        <v>2835</v>
      </c>
    </row>
    <row r="799" spans="1:286" x14ac:dyDescent="0.25">
      <c r="IN799" s="2631"/>
      <c r="IO799" s="3570"/>
      <c r="IP799" s="3569"/>
      <c r="IS799" s="3578" t="s">
        <v>2844</v>
      </c>
      <c r="IT799" s="3579"/>
      <c r="IU799" s="3580" t="s">
        <v>2845</v>
      </c>
      <c r="IV799" s="2928"/>
    </row>
    <row r="800" spans="1:286" x14ac:dyDescent="0.25">
      <c r="IS800" s="2765" t="s">
        <v>2847</v>
      </c>
      <c r="IT800">
        <v>60000</v>
      </c>
      <c r="IU800" s="2631" t="s">
        <v>2846</v>
      </c>
      <c r="IV800">
        <v>70000</v>
      </c>
      <c r="IW800" s="2434" t="s">
        <v>8</v>
      </c>
      <c r="IX800" s="2434">
        <f>+MAR!CO174</f>
        <v>1931</v>
      </c>
    </row>
    <row r="801" spans="252:258" x14ac:dyDescent="0.25">
      <c r="IS801" s="2765" t="s">
        <v>2840</v>
      </c>
      <c r="IT801">
        <v>1300</v>
      </c>
      <c r="IU801" s="2631" t="s">
        <v>2848</v>
      </c>
      <c r="IV801" s="327">
        <v>0.3</v>
      </c>
      <c r="IW801" s="1113" t="s">
        <v>2858</v>
      </c>
      <c r="IX801" s="1209">
        <f>+IX800/IV800</f>
        <v>2.7585714285714286E-2</v>
      </c>
    </row>
    <row r="802" spans="252:258" x14ac:dyDescent="0.25">
      <c r="IS802" s="2783" t="s">
        <v>2841</v>
      </c>
      <c r="IT802" s="2870">
        <f>+IT801/IT800</f>
        <v>2.1666666666666667E-2</v>
      </c>
      <c r="IU802" s="2631" t="s">
        <v>2851</v>
      </c>
      <c r="IV802" s="2775">
        <f>+IV800*IV801</f>
        <v>21000</v>
      </c>
      <c r="IW802" s="2434" t="s">
        <v>1616</v>
      </c>
      <c r="IX802" s="2945">
        <f>+Rooms!CK877</f>
        <v>522917</v>
      </c>
    </row>
    <row r="803" spans="252:258" x14ac:dyDescent="0.25">
      <c r="IR803" s="2434">
        <f>+IT800*0.03-IT801</f>
        <v>500</v>
      </c>
      <c r="IS803" s="2765" t="s">
        <v>2842</v>
      </c>
      <c r="IT803">
        <v>173</v>
      </c>
      <c r="IU803" s="2631" t="s">
        <v>2849</v>
      </c>
      <c r="IV803" s="327">
        <v>0.02</v>
      </c>
      <c r="IW803" s="2434" t="s">
        <v>2856</v>
      </c>
      <c r="IX803" s="2945">
        <f>+Rooms!CK898</f>
        <v>624169</v>
      </c>
    </row>
    <row r="804" spans="252:258" x14ac:dyDescent="0.25">
      <c r="IS804" s="2783" t="s">
        <v>2843</v>
      </c>
      <c r="IT804" s="2870">
        <f>+IT803/IT801</f>
        <v>0.13307692307692306</v>
      </c>
      <c r="IU804" s="2631" t="s">
        <v>2852</v>
      </c>
      <c r="IV804" s="2775">
        <f>+IV803*IV802</f>
        <v>420</v>
      </c>
      <c r="IW804" s="1113" t="s">
        <v>2857</v>
      </c>
      <c r="IX804" s="1209">
        <f>+IX802/SUM(IX802:IX803)</f>
        <v>0.45586555846728144</v>
      </c>
    </row>
    <row r="805" spans="252:258" x14ac:dyDescent="0.25">
      <c r="IS805" s="2807"/>
      <c r="IT805" s="3581"/>
      <c r="IU805" s="3581" t="s">
        <v>2853</v>
      </c>
      <c r="IV805" s="327">
        <v>0.06</v>
      </c>
    </row>
    <row r="806" spans="252:258" x14ac:dyDescent="0.25">
      <c r="IS806" s="254" t="s">
        <v>2850</v>
      </c>
      <c r="IT806" s="3577"/>
      <c r="IU806" s="254" t="s">
        <v>2854</v>
      </c>
      <c r="IV806" s="3577"/>
    </row>
    <row r="807" spans="252:258" x14ac:dyDescent="0.25">
      <c r="IR807" s="544">
        <v>0.03</v>
      </c>
      <c r="IS807" s="2765" t="s">
        <v>2832</v>
      </c>
      <c r="IT807" s="2775">
        <f>IT800*IR807*IT804-IT803</f>
        <v>66.538461538461519</v>
      </c>
      <c r="IU807" s="2765" t="s">
        <v>2832</v>
      </c>
      <c r="IV807" s="2775">
        <f>$IT$800*IW807*$IT$804-$IT$803</f>
        <v>106.46153846153845</v>
      </c>
      <c r="IW807" s="327">
        <v>3.5000000000000003E-2</v>
      </c>
    </row>
    <row r="808" spans="252:258" x14ac:dyDescent="0.25">
      <c r="IR808" s="544">
        <v>1.4999999999999999E-2</v>
      </c>
      <c r="IS808" s="2765" t="s">
        <v>2834</v>
      </c>
      <c r="IT808" s="2775">
        <f>(-(IV802*IR808-IV804)-IT815)*IX804*IV805</f>
        <v>2.7927281429378441</v>
      </c>
      <c r="IU808" s="2765" t="s">
        <v>2834</v>
      </c>
      <c r="IV808" s="2775">
        <f>(-(IV802*IW808-IV804)-IV815)*IX804*IV805</f>
        <v>5.5854562858756882</v>
      </c>
      <c r="IW808" s="327">
        <v>0.01</v>
      </c>
    </row>
    <row r="809" spans="252:258" ht="3.95" customHeight="1" x14ac:dyDescent="0.25">
      <c r="IS809" s="2765"/>
      <c r="IT809" s="2820" t="s">
        <v>2838</v>
      </c>
      <c r="IU809" s="2765"/>
      <c r="IV809" s="2823" t="s">
        <v>2838</v>
      </c>
    </row>
    <row r="810" spans="252:258" x14ac:dyDescent="0.25">
      <c r="IS810" s="2768" t="s">
        <v>2837</v>
      </c>
      <c r="IT810" s="1826">
        <f>SUM(IT807:IT808)</f>
        <v>69.331189681399366</v>
      </c>
      <c r="IU810" s="2768" t="s">
        <v>2837</v>
      </c>
      <c r="IV810" s="1826">
        <f>SUM(IV807:IV808)</f>
        <v>112.04699474741415</v>
      </c>
    </row>
    <row r="811" spans="252:258" x14ac:dyDescent="0.25">
      <c r="IS811" s="2765" t="s">
        <v>2839</v>
      </c>
      <c r="IT811">
        <v>14</v>
      </c>
      <c r="IU811" s="2765" t="s">
        <v>2839</v>
      </c>
      <c r="IV811">
        <v>14</v>
      </c>
    </row>
    <row r="812" spans="252:258" ht="3.95" customHeight="1" x14ac:dyDescent="0.25">
      <c r="IS812" s="2765"/>
      <c r="IT812" s="2820" t="s">
        <v>2838</v>
      </c>
      <c r="IU812" s="2765"/>
      <c r="IV812" s="2823" t="s">
        <v>2838</v>
      </c>
    </row>
    <row r="813" spans="252:258" x14ac:dyDescent="0.25">
      <c r="IS813" s="2768" t="s">
        <v>2859</v>
      </c>
      <c r="IT813" s="1826">
        <f>IT810*IT811</f>
        <v>970.63665553959117</v>
      </c>
      <c r="IU813" s="2768" t="s">
        <v>2863</v>
      </c>
      <c r="IV813" s="1826">
        <f>IV810*IV811</f>
        <v>1568.657926463798</v>
      </c>
    </row>
    <row r="814" spans="252:258" ht="3.95" customHeight="1" x14ac:dyDescent="0.25">
      <c r="IS814" s="2768"/>
      <c r="IT814" s="1826"/>
      <c r="IU814" s="2768"/>
      <c r="IV814" s="1826"/>
    </row>
    <row r="815" spans="252:258" x14ac:dyDescent="0.25">
      <c r="IS815" s="2765" t="s">
        <v>2855</v>
      </c>
      <c r="IT815" s="2775">
        <f>-(IV802*IR808-IV804)*IX801</f>
        <v>2.8965000000000001</v>
      </c>
      <c r="IU815" s="2765" t="s">
        <v>2855</v>
      </c>
      <c r="IV815" s="2775">
        <f>-(IV802*IW808-IV804)*IX801</f>
        <v>5.7930000000000001</v>
      </c>
    </row>
    <row r="816" spans="252:258" x14ac:dyDescent="0.25">
      <c r="IS816" s="2765" t="s">
        <v>2860</v>
      </c>
      <c r="IT816">
        <v>12</v>
      </c>
      <c r="IU816" s="2765" t="s">
        <v>2839</v>
      </c>
      <c r="IV816">
        <v>12</v>
      </c>
    </row>
    <row r="817" spans="1:286" ht="3.95" customHeight="1" x14ac:dyDescent="0.25">
      <c r="IS817" s="2765"/>
      <c r="IT817" s="2820" t="s">
        <v>2838</v>
      </c>
      <c r="IU817" s="2765"/>
      <c r="IV817" s="2823" t="s">
        <v>2838</v>
      </c>
    </row>
    <row r="818" spans="1:286" x14ac:dyDescent="0.25">
      <c r="IS818" s="2768" t="s">
        <v>2861</v>
      </c>
      <c r="IT818" s="1826">
        <f>IT815*IT816</f>
        <v>34.758000000000003</v>
      </c>
      <c r="IU818" s="2768" t="s">
        <v>2864</v>
      </c>
      <c r="IV818" s="1826">
        <f>IV815*IV816</f>
        <v>69.516000000000005</v>
      </c>
    </row>
    <row r="819" spans="1:286" ht="3.95" customHeight="1" x14ac:dyDescent="0.25">
      <c r="IS819" s="2765"/>
      <c r="IT819" s="2775"/>
      <c r="IU819" s="2765"/>
      <c r="IV819" s="2775"/>
    </row>
    <row r="820" spans="1:286" s="199" customFormat="1" x14ac:dyDescent="0.25">
      <c r="A820" s="542"/>
      <c r="B820" s="542"/>
      <c r="C820" s="542"/>
      <c r="D820" s="542"/>
      <c r="E820" s="542"/>
      <c r="F820" s="542"/>
      <c r="G820" s="542"/>
      <c r="H820" s="542"/>
      <c r="I820" s="542"/>
      <c r="J820" s="542"/>
      <c r="K820" s="542"/>
      <c r="L820" s="542"/>
      <c r="M820" s="542"/>
      <c r="N820" s="542"/>
      <c r="O820" s="542"/>
      <c r="P820" s="542"/>
      <c r="Q820" s="542"/>
      <c r="R820" s="542"/>
      <c r="S820" s="542"/>
      <c r="T820" s="542"/>
      <c r="U820" s="542"/>
      <c r="V820" s="542"/>
      <c r="W820" s="542"/>
      <c r="X820" s="542"/>
      <c r="Y820" s="542"/>
      <c r="Z820" s="542"/>
      <c r="AA820" s="542"/>
      <c r="AB820" s="542"/>
      <c r="AC820" s="542"/>
      <c r="AD820" s="3347"/>
      <c r="AE820" s="3347"/>
      <c r="AF820" s="542"/>
      <c r="AG820" s="542"/>
      <c r="AH820" s="542"/>
      <c r="AI820" s="542"/>
      <c r="AJ820" s="542"/>
      <c r="AK820" s="542"/>
      <c r="AL820" s="542"/>
      <c r="AM820" s="542"/>
      <c r="AN820" s="542"/>
      <c r="AO820" s="542"/>
      <c r="AP820" s="542"/>
      <c r="AQ820" s="542"/>
      <c r="AR820" s="542"/>
      <c r="AS820" s="542"/>
      <c r="AT820" s="542"/>
      <c r="AU820" s="542"/>
      <c r="AV820" s="542"/>
      <c r="AW820" s="542"/>
      <c r="AX820" s="542"/>
      <c r="AY820" s="542"/>
      <c r="AZ820" s="542"/>
      <c r="BA820" s="542"/>
      <c r="BB820" s="542"/>
      <c r="BC820" s="542"/>
      <c r="BD820" s="542"/>
      <c r="BE820" s="542"/>
      <c r="BF820" s="542"/>
      <c r="BG820" s="542"/>
      <c r="BH820" s="542"/>
      <c r="BI820" s="542"/>
      <c r="BJ820" s="542"/>
      <c r="BK820" s="542"/>
      <c r="BL820" s="542"/>
      <c r="BM820" s="542"/>
      <c r="BN820" s="542"/>
      <c r="BO820" s="542"/>
      <c r="BP820" s="542"/>
      <c r="BQ820" s="542"/>
      <c r="BR820" s="542"/>
      <c r="BS820" s="542"/>
      <c r="BT820" s="542"/>
      <c r="BU820" s="542"/>
      <c r="BV820" s="542"/>
      <c r="BW820" s="542"/>
      <c r="CT820" s="1359"/>
      <c r="CU820" s="1359"/>
      <c r="CV820" s="1359"/>
      <c r="IS820" s="2768" t="s">
        <v>2862</v>
      </c>
      <c r="IT820" s="1826">
        <f>+IT813+IT818</f>
        <v>1005.3946555395912</v>
      </c>
      <c r="IU820" s="2768" t="s">
        <v>2862</v>
      </c>
      <c r="IV820" s="1826">
        <f>+IV813+IV818</f>
        <v>1638.1739264637981</v>
      </c>
      <c r="JV820" s="3899"/>
      <c r="JW820" s="3846"/>
      <c r="JX820" s="3846"/>
      <c r="JY820" s="3846"/>
      <c r="JZ820" s="3846"/>
    </row>
    <row r="821" spans="1:286" x14ac:dyDescent="0.25">
      <c r="IS821" s="2765" t="s">
        <v>2714</v>
      </c>
      <c r="IT821" s="2715">
        <f>'EBITDA Val'!$G$21</f>
        <v>365.1</v>
      </c>
      <c r="IU821" s="2765" t="s">
        <v>2714</v>
      </c>
      <c r="IV821" s="2715">
        <f>'EBITDA Val'!$G$21</f>
        <v>365.1</v>
      </c>
    </row>
    <row r="822" spans="1:286" x14ac:dyDescent="0.25">
      <c r="IS822" s="254" t="s">
        <v>2833</v>
      </c>
      <c r="IT822" s="3576">
        <f>IT820/IT821</f>
        <v>2.7537514531350071</v>
      </c>
      <c r="IU822" s="254" t="s">
        <v>2836</v>
      </c>
      <c r="IV822" s="3576">
        <f>IV820/IV821</f>
        <v>4.486918451010129</v>
      </c>
    </row>
    <row r="824" spans="1:286" x14ac:dyDescent="0.25">
      <c r="IT824" s="2831"/>
      <c r="IY824" s="3726" t="s">
        <v>2917</v>
      </c>
    </row>
    <row r="825" spans="1:286" x14ac:dyDescent="0.25">
      <c r="IT825" s="3491"/>
      <c r="IY825" s="3731" t="s">
        <v>1085</v>
      </c>
      <c r="IZ825" s="3732">
        <v>2019</v>
      </c>
    </row>
    <row r="826" spans="1:286" x14ac:dyDescent="0.25">
      <c r="IT826" s="3491"/>
      <c r="IY826" s="3733" t="s">
        <v>1863</v>
      </c>
      <c r="IZ826" s="3734">
        <f ca="1">+MAR!CZ98</f>
        <v>3806.4767640867026</v>
      </c>
    </row>
    <row r="827" spans="1:286" x14ac:dyDescent="0.25">
      <c r="IT827" s="3491"/>
      <c r="IY827" s="3733" t="s">
        <v>2920</v>
      </c>
      <c r="IZ827" s="3734">
        <f ca="1">+MAR!CZ47</f>
        <v>2800.9036447379804</v>
      </c>
    </row>
    <row r="828" spans="1:286" x14ac:dyDescent="0.25">
      <c r="IY828" s="3733" t="s">
        <v>1296</v>
      </c>
      <c r="IZ828" s="3734">
        <f ca="1">+MAR!CZ53</f>
        <v>2184.704842895625</v>
      </c>
    </row>
    <row r="829" spans="1:286" x14ac:dyDescent="0.25">
      <c r="IY829" s="3733" t="s">
        <v>2918</v>
      </c>
      <c r="IZ829" s="3702">
        <f>+MAR!CZ58</f>
        <v>351.50972501070453</v>
      </c>
    </row>
    <row r="830" spans="1:286" x14ac:dyDescent="0.25">
      <c r="IY830" s="3733" t="s">
        <v>1253</v>
      </c>
      <c r="IZ830" s="3735">
        <f ca="1">+IZ828/IZ829</f>
        <v>6.2152045518202783</v>
      </c>
    </row>
    <row r="831" spans="1:286" ht="12.75" customHeight="1" x14ac:dyDescent="0.25">
      <c r="IY831" s="3733" t="s">
        <v>2919</v>
      </c>
      <c r="IZ831" s="3736">
        <f ca="1">+MAR!CZ824</f>
        <v>2.9703298774630253</v>
      </c>
    </row>
    <row r="832" spans="1:286" ht="12.75" customHeight="1" x14ac:dyDescent="0.25">
      <c r="IY832" s="2765"/>
      <c r="IZ832" s="3702"/>
    </row>
    <row r="833" spans="259:263" x14ac:dyDescent="0.25">
      <c r="IY833" s="3737" t="s">
        <v>2715</v>
      </c>
      <c r="IZ833" s="3702"/>
    </row>
    <row r="834" spans="259:263" x14ac:dyDescent="0.25">
      <c r="IY834" s="3733" t="s">
        <v>2922</v>
      </c>
      <c r="IZ834" s="3702">
        <f ca="1">+MAR!CZ48</f>
        <v>-616.19880184235558</v>
      </c>
    </row>
    <row r="835" spans="259:263" x14ac:dyDescent="0.25">
      <c r="IY835" s="3738" t="s">
        <v>2923</v>
      </c>
      <c r="IZ835" s="3739">
        <f ca="1">-IZ834/IZ827</f>
        <v>0.21999999999999997</v>
      </c>
    </row>
    <row r="836" spans="259:263" x14ac:dyDescent="0.25">
      <c r="IY836" s="3738" t="s">
        <v>2924</v>
      </c>
      <c r="IZ836" s="3709">
        <v>0.22500000000000001</v>
      </c>
    </row>
    <row r="837" spans="259:263" x14ac:dyDescent="0.25">
      <c r="IY837" s="3733" t="s">
        <v>2925</v>
      </c>
      <c r="IZ837" s="3702">
        <f ca="1">-IZ836*IZ827</f>
        <v>-630.20332006604565</v>
      </c>
    </row>
    <row r="838" spans="259:263" x14ac:dyDescent="0.25">
      <c r="IY838" s="3733" t="s">
        <v>2926</v>
      </c>
      <c r="IZ838" s="3702">
        <f ca="1">(IZ837-IZ834)</f>
        <v>-14.00451822369007</v>
      </c>
    </row>
    <row r="839" spans="259:263" ht="25.5" customHeight="1" x14ac:dyDescent="0.25">
      <c r="IY839" s="3754" t="s">
        <v>2930</v>
      </c>
      <c r="IZ839" s="3755">
        <f ca="1">+IZ838/(IZ829-IZ838/150)</f>
        <v>-3.9830475564958133E-2</v>
      </c>
    </row>
    <row r="840" spans="259:263" x14ac:dyDescent="0.25">
      <c r="IY840" s="2765"/>
      <c r="IZ840" s="3702"/>
    </row>
    <row r="841" spans="259:263" x14ac:dyDescent="0.25">
      <c r="IY841" s="3737" t="s">
        <v>2921</v>
      </c>
      <c r="IZ841" s="3702"/>
    </row>
    <row r="842" spans="259:263" x14ac:dyDescent="0.25">
      <c r="IY842" s="3733" t="s">
        <v>2927</v>
      </c>
      <c r="IZ842" s="3702">
        <f>+ED457</f>
        <v>192.34104046242771</v>
      </c>
    </row>
    <row r="843" spans="259:263" x14ac:dyDescent="0.25">
      <c r="IY843" s="3733" t="s">
        <v>2928</v>
      </c>
      <c r="IZ843" s="3702">
        <f>+'New Exhibits'!EE457</f>
        <v>433.6416184971099</v>
      </c>
    </row>
    <row r="844" spans="259:263" x14ac:dyDescent="0.25">
      <c r="IY844" s="3733" t="s">
        <v>2929</v>
      </c>
      <c r="IZ844" s="3702">
        <f>+IZ843-IZ842</f>
        <v>241.30057803468219</v>
      </c>
    </row>
    <row r="845" spans="259:263" ht="25.5" customHeight="1" x14ac:dyDescent="0.25">
      <c r="IY845" s="3754" t="s">
        <v>2931</v>
      </c>
      <c r="IZ845" s="3755">
        <f ca="1">(IZ844*(1-IZ835))/(IZ829-IZ844*4/150)</f>
        <v>0.54543049323144599</v>
      </c>
    </row>
    <row r="846" spans="259:263" ht="3.95" customHeight="1" x14ac:dyDescent="0.25">
      <c r="IY846" s="2807"/>
      <c r="IZ846" s="3586"/>
    </row>
    <row r="847" spans="259:263" x14ac:dyDescent="0.25">
      <c r="JA847" s="3726" t="s">
        <v>2932</v>
      </c>
      <c r="JB847" s="2758">
        <f ca="1">+IZ830</f>
        <v>6.2152045518202783</v>
      </c>
      <c r="JC847" s="2758"/>
    </row>
    <row r="848" spans="259:263" x14ac:dyDescent="0.25">
      <c r="JA848" s="3726" t="s">
        <v>2921</v>
      </c>
      <c r="JB848" s="2758">
        <f ca="1">+JB847</f>
        <v>6.2152045518202783</v>
      </c>
      <c r="JC848" s="2758">
        <f ca="1">+IZ845</f>
        <v>0.54543049323144599</v>
      </c>
    </row>
    <row r="849" spans="261:263" x14ac:dyDescent="0.25">
      <c r="JA849" s="3726" t="s">
        <v>2715</v>
      </c>
      <c r="JB849" s="2758">
        <f ca="1">+JB848+JC848</f>
        <v>6.7606350450517247</v>
      </c>
      <c r="JC849" s="2758">
        <f ca="1">+IZ839</f>
        <v>-3.9830475564958133E-2</v>
      </c>
    </row>
    <row r="850" spans="261:263" x14ac:dyDescent="0.25">
      <c r="JA850" s="3726" t="s">
        <v>2933</v>
      </c>
      <c r="JB850" s="2758">
        <f ca="1">+JB849+JC849</f>
        <v>6.7208045694867664</v>
      </c>
      <c r="JC850" s="2758"/>
    </row>
    <row r="870" spans="1:286" x14ac:dyDescent="0.25">
      <c r="JI870" s="2837"/>
      <c r="JJ870" s="3756" t="s">
        <v>1085</v>
      </c>
      <c r="JK870" s="3775"/>
      <c r="JL870" s="3757" t="s">
        <v>1511</v>
      </c>
    </row>
    <row r="871" spans="1:286" s="2627" customFormat="1" x14ac:dyDescent="0.25">
      <c r="A871" s="2476"/>
      <c r="B871" s="2476"/>
      <c r="C871" s="2476"/>
      <c r="D871" s="2476"/>
      <c r="E871" s="2476"/>
      <c r="F871" s="2476"/>
      <c r="G871" s="2476"/>
      <c r="H871" s="2476"/>
      <c r="I871" s="2476"/>
      <c r="J871" s="2476"/>
      <c r="K871" s="2476"/>
      <c r="L871" s="2476"/>
      <c r="M871" s="2476"/>
      <c r="N871" s="2476"/>
      <c r="O871" s="2476"/>
      <c r="P871" s="2476"/>
      <c r="Q871" s="2476"/>
      <c r="R871" s="2476"/>
      <c r="S871" s="2476"/>
      <c r="T871" s="2476"/>
      <c r="U871" s="2476"/>
      <c r="V871" s="2476"/>
      <c r="W871" s="2476"/>
      <c r="X871" s="2476"/>
      <c r="Y871" s="2476"/>
      <c r="Z871" s="2476"/>
      <c r="AA871" s="2476"/>
      <c r="AB871" s="2476"/>
      <c r="AC871" s="2476"/>
      <c r="AD871" s="2597"/>
      <c r="AE871" s="2597"/>
      <c r="AF871" s="2476"/>
      <c r="AG871" s="2476"/>
      <c r="AH871" s="2476"/>
      <c r="AI871" s="2476"/>
      <c r="AJ871" s="2476"/>
      <c r="AK871" s="2476"/>
      <c r="AL871" s="2476"/>
      <c r="AM871" s="2476"/>
      <c r="AN871" s="2476"/>
      <c r="AO871" s="2476"/>
      <c r="AP871" s="2476"/>
      <c r="AQ871" s="2476"/>
      <c r="AR871" s="2476"/>
      <c r="AS871" s="2476"/>
      <c r="AT871" s="2476"/>
      <c r="AU871" s="2476"/>
      <c r="AV871" s="2476"/>
      <c r="AW871" s="2476"/>
      <c r="AX871" s="2476"/>
      <c r="AY871" s="2476"/>
      <c r="AZ871" s="2476"/>
      <c r="BA871" s="2476"/>
      <c r="BB871" s="2476"/>
      <c r="BC871" s="2476"/>
      <c r="BD871" s="2476"/>
      <c r="BE871" s="2476"/>
      <c r="BF871" s="2476"/>
      <c r="BG871" s="2476"/>
      <c r="BH871" s="2476"/>
      <c r="BI871" s="2476"/>
      <c r="BJ871" s="2476"/>
      <c r="BK871" s="2476"/>
      <c r="BL871" s="2476"/>
      <c r="BM871" s="2476"/>
      <c r="BN871" s="2476"/>
      <c r="BO871" s="2476"/>
      <c r="BP871" s="2476"/>
      <c r="BQ871" s="2476"/>
      <c r="BR871" s="2476"/>
      <c r="BS871" s="2476"/>
      <c r="BT871" s="2476"/>
      <c r="BU871" s="2476"/>
      <c r="BV871" s="2476"/>
      <c r="BW871" s="2476"/>
      <c r="CT871" s="2950"/>
      <c r="CU871" s="2950"/>
      <c r="CV871" s="2950"/>
      <c r="JI871" s="3758" t="s">
        <v>2934</v>
      </c>
      <c r="JJ871" s="3759">
        <v>2018</v>
      </c>
      <c r="JK871" s="3776">
        <v>2019</v>
      </c>
      <c r="JL871" s="3760">
        <v>2019</v>
      </c>
      <c r="JV871" s="3903"/>
      <c r="JW871" s="3850"/>
      <c r="JX871" s="3850"/>
      <c r="JY871" s="3850"/>
      <c r="JZ871" s="3850"/>
    </row>
    <row r="872" spans="1:286" s="2627" customFormat="1" x14ac:dyDescent="0.25">
      <c r="A872" s="2476"/>
      <c r="B872" s="2476"/>
      <c r="C872" s="2476"/>
      <c r="D872" s="2476"/>
      <c r="E872" s="2476"/>
      <c r="F872" s="2476"/>
      <c r="G872" s="2476"/>
      <c r="H872" s="2476"/>
      <c r="I872" s="2476"/>
      <c r="J872" s="2476"/>
      <c r="K872" s="2476"/>
      <c r="L872" s="2476"/>
      <c r="M872" s="2476"/>
      <c r="N872" s="2476"/>
      <c r="O872" s="2476"/>
      <c r="P872" s="2476"/>
      <c r="Q872" s="2476"/>
      <c r="R872" s="2476"/>
      <c r="S872" s="2476"/>
      <c r="T872" s="2476"/>
      <c r="U872" s="2476"/>
      <c r="V872" s="2476"/>
      <c r="W872" s="2476"/>
      <c r="X872" s="2476"/>
      <c r="Y872" s="2476"/>
      <c r="Z872" s="2476"/>
      <c r="AA872" s="2476"/>
      <c r="AB872" s="2476"/>
      <c r="AC872" s="2476"/>
      <c r="AD872" s="2597"/>
      <c r="AE872" s="2597"/>
      <c r="AF872" s="2476"/>
      <c r="AG872" s="2476"/>
      <c r="AH872" s="2476"/>
      <c r="AI872" s="2476"/>
      <c r="AJ872" s="2476"/>
      <c r="AK872" s="2476"/>
      <c r="AL872" s="2476"/>
      <c r="AM872" s="2476"/>
      <c r="AN872" s="2476"/>
      <c r="AO872" s="2476"/>
      <c r="AP872" s="2476"/>
      <c r="AQ872" s="2476"/>
      <c r="AR872" s="2476"/>
      <c r="AS872" s="2476"/>
      <c r="AT872" s="2476"/>
      <c r="AU872" s="2476"/>
      <c r="AV872" s="2476"/>
      <c r="AW872" s="2476"/>
      <c r="AX872" s="2476"/>
      <c r="AY872" s="2476"/>
      <c r="AZ872" s="2476"/>
      <c r="BA872" s="2476"/>
      <c r="BB872" s="2476"/>
      <c r="BC872" s="2476"/>
      <c r="BD872" s="2476"/>
      <c r="BE872" s="2476"/>
      <c r="BF872" s="2476"/>
      <c r="BG872" s="2476"/>
      <c r="BH872" s="2476"/>
      <c r="BI872" s="2476"/>
      <c r="BJ872" s="2476"/>
      <c r="BK872" s="2476"/>
      <c r="BL872" s="2476"/>
      <c r="BM872" s="2476"/>
      <c r="BN872" s="2476"/>
      <c r="BO872" s="2476"/>
      <c r="BP872" s="2476"/>
      <c r="BQ872" s="2476"/>
      <c r="BR872" s="2476"/>
      <c r="BS872" s="2476"/>
      <c r="BT872" s="2476"/>
      <c r="BU872" s="2476"/>
      <c r="BV872" s="2476"/>
      <c r="BW872" s="2476"/>
      <c r="CT872" s="2950"/>
      <c r="CU872" s="2950"/>
      <c r="CV872" s="2950"/>
      <c r="JI872" s="2768" t="s">
        <v>1209</v>
      </c>
      <c r="JJ872" s="2845"/>
      <c r="JK872" s="3777"/>
      <c r="JL872" s="3773"/>
      <c r="JV872" s="3903"/>
      <c r="JW872" s="3850"/>
      <c r="JX872" s="3850"/>
      <c r="JY872" s="3850"/>
      <c r="JZ872" s="3850"/>
    </row>
    <row r="873" spans="1:286" s="2627" customFormat="1" x14ac:dyDescent="0.25">
      <c r="A873" s="2476"/>
      <c r="B873" s="2476"/>
      <c r="C873" s="2476"/>
      <c r="D873" s="2476"/>
      <c r="E873" s="2476"/>
      <c r="F873" s="2476"/>
      <c r="G873" s="2476"/>
      <c r="H873" s="2476"/>
      <c r="I873" s="2476"/>
      <c r="J873" s="2476"/>
      <c r="K873" s="2476"/>
      <c r="L873" s="2476"/>
      <c r="M873" s="2476"/>
      <c r="N873" s="2476"/>
      <c r="O873" s="2476"/>
      <c r="P873" s="2476"/>
      <c r="Q873" s="2476"/>
      <c r="R873" s="2476"/>
      <c r="S873" s="2476"/>
      <c r="T873" s="2476"/>
      <c r="U873" s="2476"/>
      <c r="V873" s="2476"/>
      <c r="W873" s="2476"/>
      <c r="X873" s="2476"/>
      <c r="Y873" s="2476"/>
      <c r="Z873" s="2476"/>
      <c r="AA873" s="2476"/>
      <c r="AB873" s="2476"/>
      <c r="AC873" s="2476"/>
      <c r="AD873" s="2597"/>
      <c r="AE873" s="2597"/>
      <c r="AF873" s="2476"/>
      <c r="AG873" s="2476"/>
      <c r="AH873" s="2476"/>
      <c r="AI873" s="2476"/>
      <c r="AJ873" s="2476"/>
      <c r="AK873" s="2476"/>
      <c r="AL873" s="2476"/>
      <c r="AM873" s="2476"/>
      <c r="AN873" s="2476"/>
      <c r="AO873" s="2476"/>
      <c r="AP873" s="2476"/>
      <c r="AQ873" s="2476"/>
      <c r="AR873" s="2476"/>
      <c r="AS873" s="2476"/>
      <c r="AT873" s="2476"/>
      <c r="AU873" s="2476"/>
      <c r="AV873" s="2476"/>
      <c r="AW873" s="2476"/>
      <c r="AX873" s="2476"/>
      <c r="AY873" s="2476"/>
      <c r="AZ873" s="2476"/>
      <c r="BA873" s="2476"/>
      <c r="BB873" s="2476"/>
      <c r="BC873" s="2476"/>
      <c r="BD873" s="2476"/>
      <c r="BE873" s="2476"/>
      <c r="BF873" s="2476"/>
      <c r="BG873" s="2476"/>
      <c r="BH873" s="2476"/>
      <c r="BI873" s="2476"/>
      <c r="BJ873" s="2476"/>
      <c r="BK873" s="2476"/>
      <c r="BL873" s="2476"/>
      <c r="BM873" s="2476"/>
      <c r="BN873" s="2476"/>
      <c r="BO873" s="2476"/>
      <c r="BP873" s="2476"/>
      <c r="BQ873" s="2476"/>
      <c r="BR873" s="2476"/>
      <c r="BS873" s="2476"/>
      <c r="BT873" s="2476"/>
      <c r="BU873" s="2476"/>
      <c r="BV873" s="2476"/>
      <c r="BW873" s="2476"/>
      <c r="CT873" s="2950"/>
      <c r="CU873" s="2950"/>
      <c r="CV873" s="2950"/>
      <c r="JI873" s="3762" t="s">
        <v>990</v>
      </c>
      <c r="JJ873" s="3289">
        <f>+MAR!CY8</f>
        <v>1840.2667737863478</v>
      </c>
      <c r="JK873" s="3778">
        <f>+MAR!CZ8</f>
        <v>2044.3369334218612</v>
      </c>
      <c r="JL873" s="3774">
        <f>+JK873+IZ844</f>
        <v>2285.6375114565435</v>
      </c>
      <c r="JM873" s="3282"/>
      <c r="JN873" s="3282"/>
      <c r="JV873" s="3903"/>
      <c r="JW873" s="3850"/>
      <c r="JX873" s="3850"/>
      <c r="JY873" s="3850"/>
      <c r="JZ873" s="3850"/>
    </row>
    <row r="874" spans="1:286" x14ac:dyDescent="0.25">
      <c r="JI874" s="3733" t="s">
        <v>1984</v>
      </c>
      <c r="JJ874" s="3764">
        <v>1758.23</v>
      </c>
      <c r="JK874" s="3779">
        <v>1916.22</v>
      </c>
      <c r="JL874" s="3765">
        <f>+JK874</f>
        <v>1916.22</v>
      </c>
    </row>
    <row r="875" spans="1:286" s="2627" customFormat="1" x14ac:dyDescent="0.25">
      <c r="A875" s="2476"/>
      <c r="B875" s="2476"/>
      <c r="C875" s="2476"/>
      <c r="D875" s="2476"/>
      <c r="E875" s="2476"/>
      <c r="F875" s="2476"/>
      <c r="G875" s="2476"/>
      <c r="H875" s="2476"/>
      <c r="I875" s="2476"/>
      <c r="J875" s="2476"/>
      <c r="K875" s="2476"/>
      <c r="L875" s="2476"/>
      <c r="M875" s="2476"/>
      <c r="N875" s="2476"/>
      <c r="O875" s="2476"/>
      <c r="P875" s="2476"/>
      <c r="Q875" s="2476"/>
      <c r="R875" s="2476"/>
      <c r="S875" s="2476"/>
      <c r="T875" s="2476"/>
      <c r="U875" s="2476"/>
      <c r="V875" s="2476"/>
      <c r="W875" s="2476"/>
      <c r="X875" s="2476"/>
      <c r="Y875" s="2476"/>
      <c r="Z875" s="2476"/>
      <c r="AA875" s="2476"/>
      <c r="AB875" s="2476"/>
      <c r="AC875" s="2476"/>
      <c r="AD875" s="2597"/>
      <c r="AE875" s="2597"/>
      <c r="AF875" s="2476"/>
      <c r="AG875" s="2476"/>
      <c r="AH875" s="2476"/>
      <c r="AI875" s="2476"/>
      <c r="AJ875" s="2476"/>
      <c r="AK875" s="2476"/>
      <c r="AL875" s="2476"/>
      <c r="AM875" s="2476"/>
      <c r="AN875" s="2476"/>
      <c r="AO875" s="2476"/>
      <c r="AP875" s="2476"/>
      <c r="AQ875" s="2476"/>
      <c r="AR875" s="2476"/>
      <c r="AS875" s="2476"/>
      <c r="AT875" s="2476"/>
      <c r="AU875" s="2476"/>
      <c r="AV875" s="2476"/>
      <c r="AW875" s="2476"/>
      <c r="AX875" s="2476"/>
      <c r="AY875" s="2476"/>
      <c r="AZ875" s="2476"/>
      <c r="BA875" s="2476"/>
      <c r="BB875" s="2476"/>
      <c r="BC875" s="2476"/>
      <c r="BD875" s="2476"/>
      <c r="BE875" s="2476"/>
      <c r="BF875" s="2476"/>
      <c r="BG875" s="2476"/>
      <c r="BH875" s="2476"/>
      <c r="BI875" s="2476"/>
      <c r="BJ875" s="2476"/>
      <c r="BK875" s="2476"/>
      <c r="BL875" s="2476"/>
      <c r="BM875" s="2476"/>
      <c r="BN875" s="2476"/>
      <c r="BO875" s="2476"/>
      <c r="BP875" s="2476"/>
      <c r="BQ875" s="2476"/>
      <c r="BR875" s="2476"/>
      <c r="BS875" s="2476"/>
      <c r="BT875" s="2476"/>
      <c r="BU875" s="2476"/>
      <c r="BV875" s="2476"/>
      <c r="BW875" s="2476"/>
      <c r="CT875" s="2950"/>
      <c r="CU875" s="2950"/>
      <c r="CV875" s="2950"/>
      <c r="JI875" s="3738" t="s">
        <v>2938</v>
      </c>
      <c r="JJ875" s="2277">
        <f>+JJ873/JJ874-1</f>
        <v>4.6658727121222876E-2</v>
      </c>
      <c r="JK875" s="3780">
        <f t="shared" ref="JK875" si="40">+JK873/JK874-1</f>
        <v>6.6859198537673636E-2</v>
      </c>
      <c r="JL875" s="3766">
        <f t="shared" ref="JL875" si="41">+JL873/JL874-1</f>
        <v>0.19278449836477196</v>
      </c>
      <c r="JV875" s="3903"/>
      <c r="JW875" s="3850"/>
      <c r="JX875" s="3850"/>
      <c r="JY875" s="3850"/>
      <c r="JZ875" s="3850"/>
    </row>
    <row r="876" spans="1:286" s="2627" customFormat="1" x14ac:dyDescent="0.25">
      <c r="A876" s="2476"/>
      <c r="B876" s="2476"/>
      <c r="C876" s="2476"/>
      <c r="D876" s="2476"/>
      <c r="E876" s="2476"/>
      <c r="F876" s="2476"/>
      <c r="G876" s="2476"/>
      <c r="H876" s="2476"/>
      <c r="I876" s="2476"/>
      <c r="J876" s="2476"/>
      <c r="K876" s="2476"/>
      <c r="L876" s="2476"/>
      <c r="M876" s="2476"/>
      <c r="N876" s="2476"/>
      <c r="O876" s="2476"/>
      <c r="P876" s="2476"/>
      <c r="Q876" s="2476"/>
      <c r="R876" s="2476"/>
      <c r="S876" s="2476"/>
      <c r="T876" s="2476"/>
      <c r="U876" s="2476"/>
      <c r="V876" s="2476"/>
      <c r="W876" s="2476"/>
      <c r="X876" s="2476"/>
      <c r="Y876" s="2476"/>
      <c r="Z876" s="2476"/>
      <c r="AA876" s="2476"/>
      <c r="AB876" s="2476"/>
      <c r="AC876" s="2476"/>
      <c r="AD876" s="2597"/>
      <c r="AE876" s="2597"/>
      <c r="AF876" s="2476"/>
      <c r="AG876" s="2476"/>
      <c r="AH876" s="2476"/>
      <c r="AI876" s="2476"/>
      <c r="AJ876" s="2476"/>
      <c r="AK876" s="2476"/>
      <c r="AL876" s="2476"/>
      <c r="AM876" s="2476"/>
      <c r="AN876" s="2476"/>
      <c r="AO876" s="2476"/>
      <c r="AP876" s="2476"/>
      <c r="AQ876" s="2476"/>
      <c r="AR876" s="2476"/>
      <c r="AS876" s="2476"/>
      <c r="AT876" s="2476"/>
      <c r="AU876" s="2476"/>
      <c r="AV876" s="2476"/>
      <c r="AW876" s="2476"/>
      <c r="AX876" s="2476"/>
      <c r="AY876" s="2476"/>
      <c r="AZ876" s="2476"/>
      <c r="BA876" s="2476"/>
      <c r="BB876" s="2476"/>
      <c r="BC876" s="2476"/>
      <c r="BD876" s="2476"/>
      <c r="BE876" s="2476"/>
      <c r="BF876" s="2476"/>
      <c r="BG876" s="2476"/>
      <c r="BH876" s="2476"/>
      <c r="BI876" s="2476"/>
      <c r="BJ876" s="2476"/>
      <c r="BK876" s="2476"/>
      <c r="BL876" s="2476"/>
      <c r="BM876" s="2476"/>
      <c r="BN876" s="2476"/>
      <c r="BO876" s="2476"/>
      <c r="BP876" s="2476"/>
      <c r="BQ876" s="2476"/>
      <c r="BR876" s="2476"/>
      <c r="BS876" s="2476"/>
      <c r="BT876" s="2476"/>
      <c r="BU876" s="2476"/>
      <c r="BV876" s="2476"/>
      <c r="BW876" s="2476"/>
      <c r="CT876" s="2950"/>
      <c r="CU876" s="2950"/>
      <c r="CV876" s="2950"/>
      <c r="JI876" s="3772"/>
      <c r="JJ876" s="2845"/>
      <c r="JK876" s="3777"/>
      <c r="JL876" s="3773"/>
      <c r="JV876" s="3903"/>
      <c r="JW876" s="3850"/>
      <c r="JX876" s="3850"/>
      <c r="JY876" s="3850"/>
      <c r="JZ876" s="3850"/>
    </row>
    <row r="877" spans="1:286" x14ac:dyDescent="0.25">
      <c r="JI877" s="2768" t="s">
        <v>1863</v>
      </c>
      <c r="JJ877" s="2631"/>
      <c r="JK877" s="3781"/>
      <c r="JL877" s="3761"/>
    </row>
    <row r="878" spans="1:286" s="2757" customFormat="1" x14ac:dyDescent="0.25">
      <c r="A878" s="2212"/>
      <c r="B878" s="2212"/>
      <c r="C878" s="2212"/>
      <c r="D878" s="2212"/>
      <c r="E878" s="2212"/>
      <c r="F878" s="2212"/>
      <c r="G878" s="2212"/>
      <c r="H878" s="2212"/>
      <c r="I878" s="2212"/>
      <c r="J878" s="2212"/>
      <c r="K878" s="2212"/>
      <c r="L878" s="2212"/>
      <c r="M878" s="2212"/>
      <c r="N878" s="2212"/>
      <c r="O878" s="2212"/>
      <c r="P878" s="2212"/>
      <c r="Q878" s="2212"/>
      <c r="R878" s="2212"/>
      <c r="S878" s="2212"/>
      <c r="T878" s="2212"/>
      <c r="U878" s="2212"/>
      <c r="V878" s="2212"/>
      <c r="W878" s="2212"/>
      <c r="X878" s="2212"/>
      <c r="Y878" s="2212"/>
      <c r="Z878" s="2212"/>
      <c r="AA878" s="2212"/>
      <c r="AB878" s="2212"/>
      <c r="AC878" s="2212"/>
      <c r="AD878" s="2271"/>
      <c r="AE878" s="2271"/>
      <c r="AF878" s="2212"/>
      <c r="AG878" s="2212"/>
      <c r="AH878" s="2212"/>
      <c r="AI878" s="2212"/>
      <c r="AJ878" s="2212"/>
      <c r="AK878" s="2212"/>
      <c r="AL878" s="2212"/>
      <c r="AM878" s="2212"/>
      <c r="AN878" s="2212"/>
      <c r="AO878" s="2212"/>
      <c r="AP878" s="2212"/>
      <c r="AQ878" s="2212"/>
      <c r="AR878" s="2212"/>
      <c r="AS878" s="2212"/>
      <c r="AT878" s="2212"/>
      <c r="AU878" s="2212"/>
      <c r="AV878" s="2212"/>
      <c r="AW878" s="2212"/>
      <c r="AX878" s="2212"/>
      <c r="AY878" s="2212"/>
      <c r="AZ878" s="2212"/>
      <c r="BA878" s="2212"/>
      <c r="BB878" s="2212"/>
      <c r="BC878" s="2212"/>
      <c r="BD878" s="2212"/>
      <c r="BE878" s="2212"/>
      <c r="BF878" s="2212"/>
      <c r="BG878" s="2212"/>
      <c r="BH878" s="2212"/>
      <c r="BI878" s="2212"/>
      <c r="BJ878" s="2212"/>
      <c r="BK878" s="2212"/>
      <c r="BL878" s="2212"/>
      <c r="BM878" s="2212"/>
      <c r="BN878" s="2212"/>
      <c r="BO878" s="2212"/>
      <c r="BP878" s="2212"/>
      <c r="BQ878" s="2212"/>
      <c r="BR878" s="2212"/>
      <c r="BS878" s="2212"/>
      <c r="BT878" s="2212"/>
      <c r="BU878" s="2212"/>
      <c r="BV878" s="2212"/>
      <c r="BW878" s="2212"/>
      <c r="CT878" s="2944"/>
      <c r="CU878" s="2944"/>
      <c r="CV878" s="2944"/>
      <c r="JI878" s="3762" t="s">
        <v>990</v>
      </c>
      <c r="JJ878" s="2764">
        <f ca="1">+MAR!CY104</f>
        <v>3408.5199569809902</v>
      </c>
      <c r="JK878" s="3782">
        <f ca="1">+MAR!CZ104</f>
        <v>3806.4767640867026</v>
      </c>
      <c r="JL878" s="3763">
        <f ca="1">+JK878+IZ844</f>
        <v>4047.7773421213847</v>
      </c>
      <c r="JV878" s="3896"/>
      <c r="JW878" s="3843"/>
      <c r="JX878" s="3843"/>
      <c r="JY878" s="3843"/>
      <c r="JZ878" s="3843"/>
    </row>
    <row r="879" spans="1:286" x14ac:dyDescent="0.25">
      <c r="JI879" s="3733" t="s">
        <v>1984</v>
      </c>
      <c r="JJ879" s="3764">
        <v>3453.09</v>
      </c>
      <c r="JK879" s="3779">
        <v>3699.65</v>
      </c>
      <c r="JL879" s="3765">
        <f>+JK879</f>
        <v>3699.65</v>
      </c>
    </row>
    <row r="880" spans="1:286" x14ac:dyDescent="0.25">
      <c r="JI880" s="3738" t="s">
        <v>2938</v>
      </c>
      <c r="JJ880" s="2277">
        <f ca="1">+JJ878/JJ879-1</f>
        <v>-1.2907292604308007E-2</v>
      </c>
      <c r="JK880" s="3780">
        <f t="shared" ref="JK880:JL880" ca="1" si="42">+JK878/JK879-1</f>
        <v>2.8874829804630853E-2</v>
      </c>
      <c r="JL880" s="3766">
        <f t="shared" ca="1" si="42"/>
        <v>9.4097371946369135E-2</v>
      </c>
    </row>
    <row r="881" spans="1:286" x14ac:dyDescent="0.25">
      <c r="JI881" s="3738"/>
      <c r="JJ881" s="2277"/>
      <c r="JK881" s="3780"/>
      <c r="JL881" s="3766"/>
    </row>
    <row r="882" spans="1:286" x14ac:dyDescent="0.25">
      <c r="JI882" s="2768" t="s">
        <v>1253</v>
      </c>
      <c r="JJ882" s="2631"/>
      <c r="JK882" s="3781"/>
      <c r="JL882" s="3761"/>
    </row>
    <row r="883" spans="1:286" s="2758" customFormat="1" x14ac:dyDescent="0.25">
      <c r="A883" s="2213"/>
      <c r="B883" s="2213"/>
      <c r="C883" s="2213"/>
      <c r="D883" s="2213"/>
      <c r="E883" s="2213"/>
      <c r="F883" s="2213"/>
      <c r="G883" s="2213"/>
      <c r="H883" s="2213"/>
      <c r="I883" s="2213"/>
      <c r="J883" s="2213"/>
      <c r="K883" s="2213"/>
      <c r="L883" s="2213"/>
      <c r="M883" s="2213"/>
      <c r="N883" s="2213"/>
      <c r="O883" s="2213"/>
      <c r="P883" s="2213"/>
      <c r="Q883" s="2213"/>
      <c r="R883" s="2213"/>
      <c r="S883" s="2213"/>
      <c r="T883" s="2213"/>
      <c r="U883" s="2213"/>
      <c r="V883" s="2213"/>
      <c r="W883" s="2213"/>
      <c r="X883" s="2213"/>
      <c r="Y883" s="2213"/>
      <c r="Z883" s="2213"/>
      <c r="AA883" s="2213"/>
      <c r="AB883" s="2213"/>
      <c r="AC883" s="2213"/>
      <c r="AD883" s="2626"/>
      <c r="AE883" s="2626"/>
      <c r="AF883" s="2213"/>
      <c r="AG883" s="2213"/>
      <c r="AH883" s="2213"/>
      <c r="AI883" s="2213"/>
      <c r="AJ883" s="2213"/>
      <c r="AK883" s="2213"/>
      <c r="AL883" s="2213"/>
      <c r="AM883" s="2213"/>
      <c r="AN883" s="2213"/>
      <c r="AO883" s="2213"/>
      <c r="AP883" s="2213"/>
      <c r="AQ883" s="2213"/>
      <c r="AR883" s="2213"/>
      <c r="AS883" s="2213"/>
      <c r="AT883" s="2213"/>
      <c r="AU883" s="2213"/>
      <c r="AV883" s="2213"/>
      <c r="AW883" s="2213"/>
      <c r="AX883" s="2213"/>
      <c r="AY883" s="2213"/>
      <c r="AZ883" s="2213"/>
      <c r="BA883" s="2213"/>
      <c r="BB883" s="2213"/>
      <c r="BC883" s="2213"/>
      <c r="BD883" s="2213"/>
      <c r="BE883" s="2213"/>
      <c r="BF883" s="2213"/>
      <c r="BG883" s="2213"/>
      <c r="BH883" s="2213"/>
      <c r="BI883" s="2213"/>
      <c r="BJ883" s="2213"/>
      <c r="BK883" s="2213"/>
      <c r="BL883" s="2213"/>
      <c r="BM883" s="2213"/>
      <c r="BN883" s="2213"/>
      <c r="BO883" s="2213"/>
      <c r="BP883" s="2213"/>
      <c r="BQ883" s="2213"/>
      <c r="BR883" s="2213"/>
      <c r="BS883" s="2213"/>
      <c r="BT883" s="2213"/>
      <c r="BU883" s="2213"/>
      <c r="BV883" s="2213"/>
      <c r="BW883" s="2213"/>
      <c r="CT883" s="2946"/>
      <c r="CU883" s="2946"/>
      <c r="CV883" s="2946"/>
      <c r="JI883" s="3767" t="s">
        <v>990</v>
      </c>
      <c r="JJ883" s="3768">
        <f ca="1">+MAR!CY60</f>
        <v>5.3180405857587729</v>
      </c>
      <c r="JK883" s="3783">
        <f ca="1">+MAR!CZ60</f>
        <v>6.2152045518202783</v>
      </c>
      <c r="JL883" s="3769">
        <v>7.07</v>
      </c>
      <c r="JV883" s="3898"/>
      <c r="JW883" s="3845"/>
      <c r="JX883" s="3845"/>
      <c r="JY883" s="3845"/>
      <c r="JZ883" s="3845"/>
    </row>
    <row r="884" spans="1:286" x14ac:dyDescent="0.25">
      <c r="JI884" s="3733" t="s">
        <v>1984</v>
      </c>
      <c r="JJ884" s="3770">
        <v>4.83</v>
      </c>
      <c r="JK884" s="3784">
        <v>5.56</v>
      </c>
      <c r="JL884" s="3771">
        <f>+JK884</f>
        <v>5.56</v>
      </c>
    </row>
    <row r="885" spans="1:286" x14ac:dyDescent="0.25">
      <c r="JI885" s="3738" t="s">
        <v>2938</v>
      </c>
      <c r="JJ885" s="2277">
        <f ca="1">+JJ883/JJ884-1</f>
        <v>0.10104359953597775</v>
      </c>
      <c r="JK885" s="3780">
        <f t="shared" ref="JK885" ca="1" si="43">+JK883/JK884-1</f>
        <v>0.11784254529141713</v>
      </c>
      <c r="JL885" s="3766">
        <f t="shared" ref="JL885" si="44">+JL883/JL884-1</f>
        <v>0.27158273381294973</v>
      </c>
    </row>
    <row r="886" spans="1:286" ht="3.95" customHeight="1" x14ac:dyDescent="0.25">
      <c r="JI886" s="2807"/>
      <c r="JJ886" s="3581"/>
      <c r="JK886" s="3785"/>
      <c r="JL886" s="3586"/>
    </row>
    <row r="887" spans="1:286" x14ac:dyDescent="0.25">
      <c r="JM887" s="3726" t="s">
        <v>2942</v>
      </c>
    </row>
    <row r="888" spans="1:286" x14ac:dyDescent="0.25">
      <c r="JN888" s="3370">
        <v>2016</v>
      </c>
      <c r="JO888" s="3808" t="s">
        <v>722</v>
      </c>
      <c r="JP888" s="3808" t="s">
        <v>723</v>
      </c>
      <c r="JQ888" s="3808" t="s">
        <v>724</v>
      </c>
    </row>
    <row r="889" spans="1:286" x14ac:dyDescent="0.25">
      <c r="JM889" s="3726" t="s">
        <v>2943</v>
      </c>
      <c r="JN889" s="2434">
        <f>+MAR!CO381</f>
        <v>1438</v>
      </c>
      <c r="JO889" s="2434">
        <f>+MAR!CT381</f>
        <v>1618</v>
      </c>
      <c r="JP889" s="2434">
        <f>+MAR!CY378</f>
        <v>1840.2667737863478</v>
      </c>
      <c r="JQ889" s="2434">
        <f>+MAR!CZ378</f>
        <v>2044.3369334218612</v>
      </c>
    </row>
    <row r="890" spans="1:286" x14ac:dyDescent="0.25">
      <c r="JM890" s="3726" t="s">
        <v>989</v>
      </c>
      <c r="JN890" s="3726">
        <f>+JN889</f>
        <v>1438</v>
      </c>
      <c r="JO890" s="3807">
        <v>1599.55</v>
      </c>
      <c r="JP890" s="3807">
        <v>1758.23</v>
      </c>
      <c r="JQ890" s="3807">
        <v>1916.22</v>
      </c>
    </row>
    <row r="892" spans="1:286" x14ac:dyDescent="0.25">
      <c r="JM892" s="3726" t="s">
        <v>2943</v>
      </c>
      <c r="JO892" s="2759">
        <f t="shared" ref="JO892:JQ893" si="45">+JO889/JN889-1</f>
        <v>0.12517385257301816</v>
      </c>
      <c r="JP892" s="2759">
        <f t="shared" si="45"/>
        <v>0.13737130641925077</v>
      </c>
      <c r="JQ892" s="2759">
        <f t="shared" si="45"/>
        <v>0.11089161774933265</v>
      </c>
    </row>
    <row r="893" spans="1:286" x14ac:dyDescent="0.25">
      <c r="JM893" s="3726" t="s">
        <v>989</v>
      </c>
      <c r="JO893" s="2759">
        <f t="shared" si="45"/>
        <v>0.11234353268428365</v>
      </c>
      <c r="JP893" s="2759">
        <f t="shared" si="45"/>
        <v>9.9202900815854589E-2</v>
      </c>
      <c r="JQ893" s="2759">
        <f t="shared" si="45"/>
        <v>8.9857413421452259E-2</v>
      </c>
    </row>
    <row r="912" spans="282:286" x14ac:dyDescent="0.25">
      <c r="JV912" s="3908"/>
      <c r="JW912" s="3856"/>
      <c r="JX912" s="3894">
        <v>2018</v>
      </c>
      <c r="JY912" s="3857"/>
      <c r="JZ912" s="3858"/>
    </row>
    <row r="913" spans="30:287" x14ac:dyDescent="0.25">
      <c r="JV913" s="3909" t="s">
        <v>2969</v>
      </c>
      <c r="JW913" s="3891">
        <v>2017</v>
      </c>
      <c r="JX913" s="3892" t="s">
        <v>573</v>
      </c>
      <c r="JY913" s="3892" t="s">
        <v>574</v>
      </c>
      <c r="JZ913" s="3893" t="s">
        <v>2450</v>
      </c>
    </row>
    <row r="914" spans="30:287" x14ac:dyDescent="0.25">
      <c r="JV914" s="3910" t="s">
        <v>2968</v>
      </c>
      <c r="JW914" s="3859"/>
      <c r="JX914" s="3835">
        <v>3315</v>
      </c>
      <c r="JY914" s="3841">
        <v>3420</v>
      </c>
      <c r="JZ914" s="3840">
        <f>AVERAGE(JX914:JY914)</f>
        <v>3367.5</v>
      </c>
    </row>
    <row r="915" spans="30:287" x14ac:dyDescent="0.25">
      <c r="JV915" s="3911" t="s">
        <v>2967</v>
      </c>
      <c r="JW915" s="3860"/>
      <c r="JX915" s="3834">
        <f t="shared" ref="JX915:JY917" si="46">+JY915</f>
        <v>60</v>
      </c>
      <c r="JY915" s="3834">
        <f t="shared" si="46"/>
        <v>60</v>
      </c>
      <c r="JZ915" s="3837">
        <v>60</v>
      </c>
    </row>
    <row r="916" spans="30:287" x14ac:dyDescent="0.25">
      <c r="JV916" s="3911" t="s">
        <v>2966</v>
      </c>
      <c r="JW916" s="3860"/>
      <c r="JX916" s="3834">
        <f t="shared" si="46"/>
        <v>70</v>
      </c>
      <c r="JY916" s="3834">
        <f t="shared" si="46"/>
        <v>70</v>
      </c>
      <c r="JZ916" s="3837">
        <v>70</v>
      </c>
    </row>
    <row r="917" spans="30:287" x14ac:dyDescent="0.25">
      <c r="JV917" s="3911" t="s">
        <v>2965</v>
      </c>
      <c r="JW917" s="3860"/>
      <c r="JX917" s="3834">
        <f t="shared" si="46"/>
        <v>10</v>
      </c>
      <c r="JY917" s="3834">
        <f t="shared" si="46"/>
        <v>10</v>
      </c>
      <c r="JZ917" s="3837">
        <v>10</v>
      </c>
    </row>
    <row r="918" spans="30:287" ht="3.95" customHeight="1" x14ac:dyDescent="0.25">
      <c r="JV918" s="3912"/>
      <c r="JW918" s="3861"/>
      <c r="JX918" s="3839" t="s">
        <v>2964</v>
      </c>
      <c r="JY918" s="3839" t="s">
        <v>2964</v>
      </c>
      <c r="JZ918" s="3838" t="s">
        <v>2964</v>
      </c>
    </row>
    <row r="919" spans="30:287" x14ac:dyDescent="0.25">
      <c r="JV919" s="3912" t="s">
        <v>2963</v>
      </c>
      <c r="JW919" s="3831">
        <v>3223</v>
      </c>
      <c r="JX919" s="3866">
        <f>SUM(JX914:JX918)</f>
        <v>3455</v>
      </c>
      <c r="JY919" s="3866">
        <f>SUM(JY914:JY918)</f>
        <v>3560</v>
      </c>
      <c r="JZ919" s="3867">
        <f>SUM(JZ914:JZ918)</f>
        <v>3507.5</v>
      </c>
      <c r="KA919" s="2252"/>
    </row>
    <row r="920" spans="30:287" x14ac:dyDescent="0.25">
      <c r="JV920" s="3912" t="s">
        <v>2962</v>
      </c>
      <c r="JW920" s="3831">
        <v>3196</v>
      </c>
      <c r="JX920" s="3834">
        <v>3475.59</v>
      </c>
      <c r="JY920" s="3834">
        <v>3475.59</v>
      </c>
      <c r="JZ920" s="3837">
        <v>3475.59</v>
      </c>
    </row>
    <row r="921" spans="30:287" s="2252" customFormat="1" x14ac:dyDescent="0.25">
      <c r="AD921" s="3868"/>
      <c r="AE921" s="3868"/>
      <c r="CT921" s="3869"/>
      <c r="CU921" s="3869"/>
      <c r="CV921" s="3869"/>
      <c r="JV921" s="3870" t="s">
        <v>1493</v>
      </c>
      <c r="JW921" s="3871">
        <f>+JW919/JW920-1</f>
        <v>8.4480600750937995E-3</v>
      </c>
      <c r="JX921" s="3872">
        <f>+JX919/JX920-1</f>
        <v>-5.9241740251295694E-3</v>
      </c>
      <c r="JY921" s="3872">
        <f>+JY919/JY920-1</f>
        <v>2.4286524014627719E-2</v>
      </c>
      <c r="JZ921" s="3873">
        <f>+JZ919/JZ920-1</f>
        <v>9.1811749947490195E-3</v>
      </c>
    </row>
    <row r="922" spans="30:287" x14ac:dyDescent="0.25">
      <c r="JV922" s="3912"/>
      <c r="JW922" s="3861"/>
      <c r="JX922" s="3862"/>
      <c r="JY922" s="3862"/>
      <c r="JZ922" s="3863"/>
    </row>
    <row r="923" spans="30:287" x14ac:dyDescent="0.25">
      <c r="JV923" s="3913" t="s">
        <v>2961</v>
      </c>
      <c r="JW923" s="3890">
        <v>2017</v>
      </c>
      <c r="JX923" s="3887" t="s">
        <v>573</v>
      </c>
      <c r="JY923" s="3887" t="s">
        <v>574</v>
      </c>
      <c r="JZ923" s="3888" t="s">
        <v>2450</v>
      </c>
    </row>
    <row r="924" spans="30:287" x14ac:dyDescent="0.25">
      <c r="JV924" s="3914" t="s">
        <v>1422</v>
      </c>
      <c r="JW924" s="3836">
        <v>3327</v>
      </c>
      <c r="JX924" s="3835">
        <v>3560</v>
      </c>
      <c r="JY924" s="3835">
        <v>3645</v>
      </c>
      <c r="JZ924" s="3889">
        <f>AVERAGE(JX924:JY924)</f>
        <v>3602.5</v>
      </c>
    </row>
    <row r="925" spans="30:287" x14ac:dyDescent="0.25">
      <c r="JV925" s="3915" t="s">
        <v>2958</v>
      </c>
      <c r="JW925" s="3861"/>
      <c r="JX925" s="3872">
        <f>+JX924/$JW924-1</f>
        <v>7.0033062819356839E-2</v>
      </c>
      <c r="JY925" s="3872">
        <f>+JY924/$JW924-1</f>
        <v>9.5581605049594121E-2</v>
      </c>
      <c r="JZ925" s="3873">
        <f>+JZ924/$JW924-1</f>
        <v>8.280733393447548E-2</v>
      </c>
    </row>
    <row r="926" spans="30:287" x14ac:dyDescent="0.25">
      <c r="JV926" s="3916" t="s">
        <v>2960</v>
      </c>
      <c r="JW926" s="3831">
        <v>242</v>
      </c>
      <c r="JX926" s="3834">
        <v>360</v>
      </c>
      <c r="JY926" s="3834">
        <v>380</v>
      </c>
      <c r="JZ926" s="3867">
        <f>AVERAGE(JX926:JY926)</f>
        <v>370</v>
      </c>
    </row>
    <row r="927" spans="30:287" x14ac:dyDescent="0.25">
      <c r="JV927" s="3915" t="s">
        <v>2958</v>
      </c>
      <c r="JW927" s="3874"/>
      <c r="JX927" s="3872">
        <f>+JX926/$JW926-1</f>
        <v>0.4876033057851239</v>
      </c>
      <c r="JY927" s="3872">
        <f>+JY926/$JW926-1</f>
        <v>0.57024793388429762</v>
      </c>
      <c r="JZ927" s="3873">
        <f>+JZ926/$JW926-1</f>
        <v>0.52892561983471076</v>
      </c>
    </row>
    <row r="928" spans="30:287" x14ac:dyDescent="0.25">
      <c r="JV928" s="3916" t="s">
        <v>2959</v>
      </c>
      <c r="JW928" s="3874">
        <f>+JW924-JW926</f>
        <v>3085</v>
      </c>
      <c r="JX928" s="3866">
        <f>+JX924-JX926</f>
        <v>3200</v>
      </c>
      <c r="JY928" s="3866">
        <f>+JY924-JY926</f>
        <v>3265</v>
      </c>
      <c r="JZ928" s="3867">
        <f>+JZ924-JZ926</f>
        <v>3232.5</v>
      </c>
    </row>
    <row r="929" spans="282:286" x14ac:dyDescent="0.25">
      <c r="JV929" s="3915" t="s">
        <v>2958</v>
      </c>
      <c r="JW929" s="3875"/>
      <c r="JX929" s="3872">
        <f>+JX928/$JW928-1</f>
        <v>3.7277147487844386E-2</v>
      </c>
      <c r="JY929" s="3871">
        <f>+JY928/$JW928-1</f>
        <v>5.8346839546191243E-2</v>
      </c>
      <c r="JZ929" s="3876">
        <f>+JZ928/$JW928-1</f>
        <v>4.7811993517017815E-2</v>
      </c>
    </row>
    <row r="930" spans="282:286" ht="3.95" customHeight="1" x14ac:dyDescent="0.25">
      <c r="JV930" s="3917"/>
      <c r="JW930" s="3875"/>
      <c r="JX930" s="3877"/>
      <c r="JY930" s="3875"/>
      <c r="JZ930" s="3878"/>
    </row>
    <row r="931" spans="282:286" x14ac:dyDescent="0.25">
      <c r="JV931" s="3916" t="s">
        <v>2957</v>
      </c>
      <c r="JW931" s="3831">
        <f>433-JW926</f>
        <v>191</v>
      </c>
      <c r="JX931" s="3866">
        <f>+$JW931*(1+JX932)</f>
        <v>181.45</v>
      </c>
      <c r="JY931" s="3866">
        <f>+$JW931*(1+JY932)</f>
        <v>181.45</v>
      </c>
      <c r="JZ931" s="3867">
        <f>+$JW931*(1+JZ932)</f>
        <v>181.45</v>
      </c>
    </row>
    <row r="932" spans="282:286" x14ac:dyDescent="0.25">
      <c r="JV932" s="3918" t="s">
        <v>2315</v>
      </c>
      <c r="JW932" s="3879"/>
      <c r="JX932" s="3833">
        <v>-0.05</v>
      </c>
      <c r="JY932" s="3832">
        <v>-0.05</v>
      </c>
      <c r="JZ932" s="3880">
        <f>+AVERAGE(JX932:JY932)</f>
        <v>-0.05</v>
      </c>
    </row>
    <row r="933" spans="282:286" x14ac:dyDescent="0.25">
      <c r="JV933" s="3916" t="s">
        <v>2956</v>
      </c>
      <c r="JW933" s="3831">
        <v>607</v>
      </c>
      <c r="JX933" s="3866">
        <f>+$JW$933*(1+JX934)</f>
        <v>613.07000000000005</v>
      </c>
      <c r="JY933" s="3866">
        <f>+$JW$933*(1+JY934)</f>
        <v>625.21</v>
      </c>
      <c r="JZ933" s="3867">
        <f>+$JW$933*(1+JZ934)</f>
        <v>619.14</v>
      </c>
    </row>
    <row r="934" spans="282:286" x14ac:dyDescent="0.25">
      <c r="JV934" s="3919" t="s">
        <v>2955</v>
      </c>
      <c r="JW934" s="3881"/>
      <c r="JX934" s="3830">
        <v>0.01</v>
      </c>
      <c r="JY934" s="3829">
        <v>0.03</v>
      </c>
      <c r="JZ934" s="3828">
        <f>+AVERAGE(JX934:JY934)</f>
        <v>0.02</v>
      </c>
    </row>
    <row r="935" spans="282:286" x14ac:dyDescent="0.25">
      <c r="JV935" s="3920" t="s">
        <v>2954</v>
      </c>
      <c r="JW935" s="3827">
        <f>+JW928-JW931-JW933</f>
        <v>2287</v>
      </c>
      <c r="JX935" s="3882">
        <f>+JX928-JX933-JX931</f>
        <v>2405.48</v>
      </c>
      <c r="JY935" s="3882">
        <f>+JY928-JY933-JY931</f>
        <v>2458.34</v>
      </c>
      <c r="JZ935" s="3883">
        <f>+JZ928-JZ933-JZ931</f>
        <v>2431.9100000000003</v>
      </c>
    </row>
    <row r="936" spans="282:286" x14ac:dyDescent="0.25">
      <c r="JV936" s="3921" t="s">
        <v>2315</v>
      </c>
      <c r="JW936" s="3884"/>
      <c r="JX936" s="3885">
        <f>+JX935/$JW935-1</f>
        <v>5.1805859204197668E-2</v>
      </c>
      <c r="JY936" s="3886">
        <f>+JY935/$JW935-1</f>
        <v>7.4919108001749057E-2</v>
      </c>
      <c r="JZ936" s="3828">
        <f>+JZ935/$JW935-1</f>
        <v>6.3362483602973363E-2</v>
      </c>
    </row>
    <row r="937" spans="282:286" x14ac:dyDescent="0.25">
      <c r="JV937" s="3897" t="s">
        <v>2953</v>
      </c>
      <c r="JW937" s="3865"/>
      <c r="JX937" s="3865"/>
      <c r="JY937" s="3864"/>
      <c r="JZ937" s="3864"/>
    </row>
  </sheetData>
  <mergeCells count="3">
    <mergeCell ref="FH547:FH552"/>
    <mergeCell ref="EF468:EF475"/>
    <mergeCell ref="EF482:EF489"/>
  </mergeCells>
  <phoneticPr fontId="0" type="noConversion"/>
  <pageMargins left="0" right="0" top="0" bottom="0" header="0" footer="0"/>
  <pageSetup paperSize="5" scale="10" orientation="landscape"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K49"/>
  <sheetViews>
    <sheetView zoomScale="70" zoomScaleNormal="70" workbookViewId="0">
      <selection activeCell="E20" sqref="E20"/>
    </sheetView>
  </sheetViews>
  <sheetFormatPr defaultRowHeight="15.75" x14ac:dyDescent="0.25"/>
  <cols>
    <col min="1" max="1" width="63" style="3301" customWidth="1"/>
    <col min="2" max="2" width="19.83203125" style="3301" customWidth="1"/>
    <col min="3" max="3" width="17.1640625" style="3301" customWidth="1"/>
    <col min="4" max="4" width="10.5" style="3301" customWidth="1"/>
    <col min="5" max="5" width="12.83203125" style="3301" customWidth="1"/>
    <col min="6" max="6" width="13.83203125" style="3301" customWidth="1"/>
    <col min="7" max="7" width="26.5" style="3301" customWidth="1"/>
    <col min="8" max="8" width="11.83203125" style="3301" bestFit="1" customWidth="1"/>
    <col min="9" max="10" width="9.33203125" style="3301"/>
    <col min="11" max="11" width="11.83203125" style="3301" bestFit="1" customWidth="1"/>
    <col min="12" max="16384" width="9.33203125" style="3301"/>
  </cols>
  <sheetData>
    <row r="1" spans="1:8" x14ac:dyDescent="0.25">
      <c r="A1" s="3319" t="s">
        <v>2651</v>
      </c>
      <c r="B1" s="3302"/>
      <c r="C1" s="3302"/>
      <c r="D1" s="3302"/>
      <c r="E1" s="3302"/>
      <c r="F1" s="3302"/>
      <c r="G1" s="3302"/>
      <c r="H1" s="3302"/>
    </row>
    <row r="2" spans="1:8" x14ac:dyDescent="0.25">
      <c r="A2" s="3302"/>
      <c r="B2" s="3302"/>
      <c r="C2" s="3302"/>
      <c r="D2" s="3302"/>
      <c r="E2" s="3302"/>
      <c r="F2" s="3302"/>
      <c r="G2" s="3302"/>
      <c r="H2" s="3302"/>
    </row>
    <row r="3" spans="1:8" x14ac:dyDescent="0.25">
      <c r="A3" s="3302"/>
      <c r="B3" s="3302"/>
      <c r="C3" s="3302"/>
      <c r="D3" s="3302"/>
      <c r="E3" s="3318" t="s">
        <v>1591</v>
      </c>
      <c r="F3" s="3318"/>
      <c r="G3" s="3302"/>
      <c r="H3" s="3302"/>
    </row>
    <row r="4" spans="1:8" x14ac:dyDescent="0.25">
      <c r="A4" s="3317" t="s">
        <v>1380</v>
      </c>
      <c r="B4" s="3316" t="s">
        <v>2650</v>
      </c>
      <c r="C4" s="3316" t="s">
        <v>2649</v>
      </c>
      <c r="D4" s="3315" t="s">
        <v>1619</v>
      </c>
      <c r="E4" s="3315" t="s">
        <v>2647</v>
      </c>
      <c r="F4" s="3315" t="s">
        <v>2646</v>
      </c>
      <c r="G4" s="3302"/>
      <c r="H4" s="3302" t="s">
        <v>2648</v>
      </c>
    </row>
    <row r="5" spans="1:8" x14ac:dyDescent="0.25">
      <c r="A5" s="3302" t="s">
        <v>2645</v>
      </c>
      <c r="B5" s="3302" t="s">
        <v>2642</v>
      </c>
      <c r="C5" s="3302" t="s">
        <v>2641</v>
      </c>
      <c r="D5" s="3314">
        <v>238</v>
      </c>
      <c r="E5" s="3314">
        <v>1500000</v>
      </c>
      <c r="F5" s="3302">
        <f t="shared" ref="F5:F23" si="0">D5*E5/1000000</f>
        <v>357</v>
      </c>
      <c r="G5" s="3302"/>
      <c r="H5" s="3302" t="s">
        <v>2644</v>
      </c>
    </row>
    <row r="6" spans="1:8" x14ac:dyDescent="0.25">
      <c r="A6" s="3302" t="s">
        <v>2643</v>
      </c>
      <c r="B6" s="3302" t="s">
        <v>2642</v>
      </c>
      <c r="C6" s="3302" t="s">
        <v>2641</v>
      </c>
      <c r="D6" s="3314">
        <v>509</v>
      </c>
      <c r="E6" s="3314">
        <v>350000</v>
      </c>
      <c r="F6" s="3302">
        <f t="shared" si="0"/>
        <v>178.15</v>
      </c>
      <c r="G6" s="3302" t="s">
        <v>2592</v>
      </c>
      <c r="H6" s="3302" t="s">
        <v>2640</v>
      </c>
    </row>
    <row r="7" spans="1:8" x14ac:dyDescent="0.25">
      <c r="A7" s="3302" t="s">
        <v>2639</v>
      </c>
      <c r="B7" s="3302" t="s">
        <v>2638</v>
      </c>
      <c r="C7" s="3302" t="s">
        <v>2637</v>
      </c>
      <c r="D7" s="3314">
        <v>1073</v>
      </c>
      <c r="E7" s="3314">
        <v>200000</v>
      </c>
      <c r="F7" s="3302">
        <f t="shared" si="0"/>
        <v>214.6</v>
      </c>
      <c r="G7" s="3302"/>
      <c r="H7" s="3302" t="s">
        <v>2636</v>
      </c>
    </row>
    <row r="8" spans="1:8" x14ac:dyDescent="0.25">
      <c r="A8" s="3302" t="s">
        <v>2631</v>
      </c>
      <c r="B8" s="3302" t="s">
        <v>2630</v>
      </c>
      <c r="C8" s="3302" t="s">
        <v>2629</v>
      </c>
      <c r="D8" s="3314">
        <v>135</v>
      </c>
      <c r="E8" s="3314">
        <v>250000</v>
      </c>
      <c r="F8" s="3302">
        <f t="shared" si="0"/>
        <v>33.75</v>
      </c>
      <c r="G8" s="3302"/>
      <c r="H8" s="3302" t="s">
        <v>2628</v>
      </c>
    </row>
    <row r="9" spans="1:8" x14ac:dyDescent="0.25">
      <c r="A9" s="3302" t="s">
        <v>2627</v>
      </c>
      <c r="B9" s="3302" t="s">
        <v>2626</v>
      </c>
      <c r="C9" s="3302" t="s">
        <v>593</v>
      </c>
      <c r="D9" s="3314">
        <v>160</v>
      </c>
      <c r="E9" s="3314">
        <v>100000</v>
      </c>
      <c r="F9" s="3302">
        <f t="shared" si="0"/>
        <v>16</v>
      </c>
      <c r="G9" s="3302" t="s">
        <v>2592</v>
      </c>
      <c r="H9" s="3302"/>
    </row>
    <row r="10" spans="1:8" x14ac:dyDescent="0.25">
      <c r="A10" s="3302" t="s">
        <v>2625</v>
      </c>
      <c r="B10" s="3302" t="s">
        <v>2606</v>
      </c>
      <c r="C10" s="3302" t="s">
        <v>1768</v>
      </c>
      <c r="D10" s="3314">
        <v>181</v>
      </c>
      <c r="E10" s="3314">
        <v>250000</v>
      </c>
      <c r="F10" s="3302">
        <f t="shared" si="0"/>
        <v>45.25</v>
      </c>
      <c r="G10" s="3302"/>
      <c r="H10" s="3302" t="s">
        <v>2620</v>
      </c>
    </row>
    <row r="11" spans="1:8" x14ac:dyDescent="0.25">
      <c r="A11" s="3302" t="s">
        <v>2624</v>
      </c>
      <c r="B11" s="3302" t="s">
        <v>2623</v>
      </c>
      <c r="C11" s="3302" t="s">
        <v>1264</v>
      </c>
      <c r="D11" s="3314">
        <v>151</v>
      </c>
      <c r="E11" s="3314">
        <v>300000</v>
      </c>
      <c r="F11" s="3302">
        <f t="shared" si="0"/>
        <v>45.3</v>
      </c>
      <c r="G11" s="3302" t="s">
        <v>2592</v>
      </c>
      <c r="H11" s="3302" t="s">
        <v>2620</v>
      </c>
    </row>
    <row r="12" spans="1:8" x14ac:dyDescent="0.25">
      <c r="A12" s="3302" t="s">
        <v>2622</v>
      </c>
      <c r="B12" s="3302" t="s">
        <v>2621</v>
      </c>
      <c r="C12" s="3302" t="s">
        <v>1264</v>
      </c>
      <c r="D12" s="3314">
        <v>136</v>
      </c>
      <c r="E12" s="3314">
        <v>300000</v>
      </c>
      <c r="F12" s="3302">
        <f t="shared" si="0"/>
        <v>40.799999999999997</v>
      </c>
      <c r="G12" s="3302" t="s">
        <v>2592</v>
      </c>
      <c r="H12" s="3302" t="s">
        <v>2620</v>
      </c>
    </row>
    <row r="13" spans="1:8" x14ac:dyDescent="0.25">
      <c r="A13" s="3302" t="s">
        <v>2619</v>
      </c>
      <c r="B13" s="3302" t="s">
        <v>2618</v>
      </c>
      <c r="C13" s="3302" t="s">
        <v>1264</v>
      </c>
      <c r="D13" s="3314">
        <v>473</v>
      </c>
      <c r="E13" s="3314">
        <v>400000</v>
      </c>
      <c r="F13" s="3302">
        <f t="shared" si="0"/>
        <v>189.2</v>
      </c>
      <c r="G13" s="3302" t="s">
        <v>2592</v>
      </c>
      <c r="H13" s="3302" t="s">
        <v>2617</v>
      </c>
    </row>
    <row r="14" spans="1:8" x14ac:dyDescent="0.25">
      <c r="A14" s="3302" t="s">
        <v>2616</v>
      </c>
      <c r="B14" s="3302" t="s">
        <v>2615</v>
      </c>
      <c r="C14" s="3302" t="s">
        <v>2614</v>
      </c>
      <c r="D14" s="3314">
        <v>192</v>
      </c>
      <c r="E14" s="3314">
        <v>750000</v>
      </c>
      <c r="F14" s="3302">
        <f t="shared" si="0"/>
        <v>144</v>
      </c>
      <c r="G14" s="3302" t="s">
        <v>2592</v>
      </c>
      <c r="H14" s="3302"/>
    </row>
    <row r="15" spans="1:8" x14ac:dyDescent="0.25">
      <c r="A15" s="3302" t="s">
        <v>2613</v>
      </c>
      <c r="B15" s="3302" t="s">
        <v>2598</v>
      </c>
      <c r="C15" s="3302" t="s">
        <v>2597</v>
      </c>
      <c r="D15" s="3314">
        <v>273</v>
      </c>
      <c r="E15" s="3314">
        <v>300000</v>
      </c>
      <c r="F15" s="3302">
        <f t="shared" si="0"/>
        <v>81.900000000000006</v>
      </c>
      <c r="G15" s="3302"/>
      <c r="H15" s="3302"/>
    </row>
    <row r="16" spans="1:8" x14ac:dyDescent="0.25">
      <c r="A16" s="3302" t="s">
        <v>2611</v>
      </c>
      <c r="B16" s="3302" t="s">
        <v>2610</v>
      </c>
      <c r="C16" s="3302" t="s">
        <v>1772</v>
      </c>
      <c r="D16" s="3314">
        <v>825</v>
      </c>
      <c r="E16" s="3314">
        <v>200000</v>
      </c>
      <c r="F16" s="3302">
        <f t="shared" si="0"/>
        <v>165</v>
      </c>
      <c r="G16" s="3302"/>
      <c r="H16" s="3302"/>
    </row>
    <row r="17" spans="1:11" x14ac:dyDescent="0.25">
      <c r="A17" s="3302" t="s">
        <v>2609</v>
      </c>
      <c r="B17" s="3302" t="s">
        <v>2608</v>
      </c>
      <c r="C17" s="3302" t="s">
        <v>218</v>
      </c>
      <c r="D17" s="3314">
        <v>755</v>
      </c>
      <c r="E17" s="3314">
        <v>200000</v>
      </c>
      <c r="F17" s="3302">
        <f t="shared" si="0"/>
        <v>151</v>
      </c>
      <c r="G17" s="3302"/>
      <c r="H17" s="3302"/>
    </row>
    <row r="18" spans="1:11" x14ac:dyDescent="0.25">
      <c r="A18" s="3302" t="s">
        <v>2607</v>
      </c>
      <c r="B18" s="3302" t="s">
        <v>2606</v>
      </c>
      <c r="C18" s="3302" t="s">
        <v>1768</v>
      </c>
      <c r="D18" s="3314">
        <v>740</v>
      </c>
      <c r="E18" s="3314">
        <v>150000</v>
      </c>
      <c r="F18" s="3302">
        <f t="shared" si="0"/>
        <v>111</v>
      </c>
      <c r="G18" s="3302"/>
      <c r="H18" s="3302"/>
    </row>
    <row r="19" spans="1:11" x14ac:dyDescent="0.25">
      <c r="A19" s="3302" t="s">
        <v>2605</v>
      </c>
      <c r="B19" s="3302" t="s">
        <v>2604</v>
      </c>
      <c r="C19" s="3302" t="s">
        <v>1771</v>
      </c>
      <c r="D19" s="3314">
        <v>539</v>
      </c>
      <c r="E19" s="3314">
        <v>200000</v>
      </c>
      <c r="F19" s="3302">
        <f t="shared" si="0"/>
        <v>107.8</v>
      </c>
      <c r="G19" s="3302"/>
      <c r="H19" s="3302"/>
    </row>
    <row r="20" spans="1:11" x14ac:dyDescent="0.25">
      <c r="A20" s="3302" t="s">
        <v>2603</v>
      </c>
      <c r="B20" s="3302" t="s">
        <v>2602</v>
      </c>
      <c r="C20" s="3302" t="s">
        <v>1772</v>
      </c>
      <c r="D20" s="3314">
        <v>474</v>
      </c>
      <c r="E20" s="3314">
        <v>200000</v>
      </c>
      <c r="F20" s="3302">
        <f t="shared" si="0"/>
        <v>94.8</v>
      </c>
      <c r="G20" s="3302"/>
      <c r="H20" s="3302"/>
    </row>
    <row r="21" spans="1:11" x14ac:dyDescent="0.25">
      <c r="A21" s="3302" t="s">
        <v>2601</v>
      </c>
      <c r="B21" s="3302" t="s">
        <v>2600</v>
      </c>
      <c r="C21" s="3302" t="s">
        <v>1711</v>
      </c>
      <c r="D21" s="3314">
        <v>431</v>
      </c>
      <c r="E21" s="3314">
        <v>200000</v>
      </c>
      <c r="F21" s="3302">
        <f t="shared" si="0"/>
        <v>86.2</v>
      </c>
      <c r="G21" s="3302"/>
      <c r="H21" s="3302"/>
      <c r="I21" s="3302"/>
      <c r="K21" s="3301">
        <f>268000000/1372</f>
        <v>195335.27696793003</v>
      </c>
    </row>
    <row r="22" spans="1:11" x14ac:dyDescent="0.25">
      <c r="A22" s="3302" t="s">
        <v>2599</v>
      </c>
      <c r="B22" s="3302" t="s">
        <v>2598</v>
      </c>
      <c r="C22" s="3302" t="s">
        <v>2597</v>
      </c>
      <c r="D22" s="3314">
        <v>264</v>
      </c>
      <c r="E22" s="3314">
        <v>250000</v>
      </c>
      <c r="F22" s="3302">
        <f t="shared" si="0"/>
        <v>66</v>
      </c>
      <c r="G22" s="3302"/>
      <c r="H22" s="3302"/>
    </row>
    <row r="23" spans="1:11" x14ac:dyDescent="0.25">
      <c r="A23" s="3302" t="s">
        <v>2596</v>
      </c>
      <c r="B23" s="3302" t="s">
        <v>2595</v>
      </c>
      <c r="C23" s="3302" t="s">
        <v>1286</v>
      </c>
      <c r="D23" s="3314">
        <v>106</v>
      </c>
      <c r="E23" s="3314">
        <v>250000</v>
      </c>
      <c r="F23" s="3302">
        <f t="shared" si="0"/>
        <v>26.5</v>
      </c>
      <c r="G23" s="3302" t="s">
        <v>2592</v>
      </c>
      <c r="H23" s="3302"/>
    </row>
    <row r="24" spans="1:11" x14ac:dyDescent="0.25">
      <c r="A24" s="3313" t="s">
        <v>2594</v>
      </c>
      <c r="B24" s="3313"/>
      <c r="C24" s="3313"/>
      <c r="D24" s="3313">
        <f>SUM(D5:D23)</f>
        <v>7655</v>
      </c>
      <c r="E24" s="3312">
        <f>F24*1000000/D24</f>
        <v>281417.37426518614</v>
      </c>
      <c r="F24" s="3312">
        <f>SUM(F5:F23)</f>
        <v>2154.25</v>
      </c>
      <c r="G24" s="3313"/>
      <c r="H24" s="3313"/>
    </row>
    <row r="25" spans="1:11" x14ac:dyDescent="0.25">
      <c r="A25" s="3302"/>
      <c r="B25" s="3302"/>
      <c r="C25" s="3302"/>
      <c r="D25" s="3302"/>
      <c r="E25" s="3302"/>
      <c r="F25" s="3305">
        <f>+F24-H25</f>
        <v>1514.3</v>
      </c>
      <c r="G25" s="3302" t="s">
        <v>2593</v>
      </c>
      <c r="H25" s="3302">
        <f>+SUMIF($G$5:$G$23,I25,$F$5:$F$23)</f>
        <v>639.95000000000005</v>
      </c>
      <c r="I25" s="3301" t="s">
        <v>2592</v>
      </c>
    </row>
    <row r="26" spans="1:11" x14ac:dyDescent="0.25">
      <c r="A26" s="3302"/>
      <c r="B26" s="3302"/>
      <c r="C26" s="3302"/>
      <c r="D26" s="3302"/>
      <c r="E26" s="3302"/>
      <c r="F26" s="3337">
        <f>F25/185</f>
        <v>8.1854054054054046</v>
      </c>
      <c r="G26" s="3302" t="s">
        <v>2660</v>
      </c>
      <c r="H26" s="3302"/>
    </row>
    <row r="27" spans="1:11" x14ac:dyDescent="0.25">
      <c r="A27" s="3313" t="s">
        <v>2591</v>
      </c>
      <c r="B27" s="3313"/>
      <c r="C27" s="3313"/>
      <c r="D27" s="3313"/>
      <c r="E27" s="3313"/>
      <c r="F27" s="3312">
        <f>+F24/F28</f>
        <v>5.9004382360996983</v>
      </c>
      <c r="G27" s="3312"/>
      <c r="H27" s="3312"/>
    </row>
    <row r="28" spans="1:11" x14ac:dyDescent="0.25">
      <c r="A28" s="3309" t="s">
        <v>2590</v>
      </c>
      <c r="B28" s="3309"/>
      <c r="C28" s="3309"/>
      <c r="D28" s="3309"/>
      <c r="E28" s="3309"/>
      <c r="F28" s="3309">
        <f>+'EBITDA Val'!G21</f>
        <v>365.1</v>
      </c>
      <c r="G28" s="3309"/>
      <c r="H28" s="3309"/>
    </row>
    <row r="29" spans="1:11" x14ac:dyDescent="0.25">
      <c r="A29" s="3302"/>
      <c r="B29" s="3302"/>
      <c r="C29" s="3302"/>
      <c r="D29" s="3311" t="s">
        <v>2652</v>
      </c>
      <c r="E29" s="3311" t="s">
        <v>1176</v>
      </c>
      <c r="F29" s="3302"/>
      <c r="G29" s="3302"/>
      <c r="H29" s="3302"/>
    </row>
    <row r="30" spans="1:11" x14ac:dyDescent="0.25">
      <c r="A30" s="3302" t="s">
        <v>2653</v>
      </c>
      <c r="B30" s="3302"/>
      <c r="C30" s="3302"/>
      <c r="D30" s="3302">
        <f>+'EBITDA Val'!B9-185</f>
        <v>108.05500000000006</v>
      </c>
      <c r="E30" s="3308">
        <f>+'EBITDA Val'!E9</f>
        <v>14</v>
      </c>
      <c r="F30" s="3302">
        <f>D30*E30</f>
        <v>1512.7700000000009</v>
      </c>
      <c r="G30" s="3302"/>
      <c r="H30" s="3302"/>
    </row>
    <row r="31" spans="1:11" x14ac:dyDescent="0.25">
      <c r="A31" s="3302" t="s">
        <v>2589</v>
      </c>
      <c r="B31" s="3302"/>
      <c r="C31" s="3302"/>
      <c r="D31" s="3302">
        <f ca="1">+'EBITDA Val'!B10</f>
        <v>3618.7504967097102</v>
      </c>
      <c r="E31" s="3308">
        <f>+'EBITDA Val'!E10</f>
        <v>17</v>
      </c>
      <c r="F31" s="3302">
        <f ca="1">D31*E31</f>
        <v>61518.758444065075</v>
      </c>
      <c r="G31" s="3302"/>
      <c r="H31" s="3302"/>
    </row>
    <row r="32" spans="1:11" x14ac:dyDescent="0.25">
      <c r="A32" s="3302" t="s">
        <v>2042</v>
      </c>
      <c r="B32" s="3302"/>
      <c r="C32" s="3302"/>
      <c r="D32" s="3302">
        <f>+'EBITDA Val'!B11</f>
        <v>89</v>
      </c>
      <c r="E32" s="3308">
        <f>+'EBITDA Val'!E11</f>
        <v>15</v>
      </c>
      <c r="F32" s="3302">
        <f>D32*E32</f>
        <v>1335</v>
      </c>
      <c r="G32" s="3302"/>
      <c r="H32" s="3302"/>
    </row>
    <row r="33" spans="1:8" x14ac:dyDescent="0.25">
      <c r="A33" s="3309" t="s">
        <v>1158</v>
      </c>
      <c r="B33" s="3309"/>
      <c r="C33" s="3309"/>
      <c r="D33" s="3309">
        <f ca="1">+'EBITDA Val'!B13</f>
        <v>-752.28553972872305</v>
      </c>
      <c r="E33" s="3310">
        <f ca="1">+'EBITDA Val'!E13</f>
        <v>16.735761960717802</v>
      </c>
      <c r="F33" s="3309">
        <f ca="1">D33*E33</f>
        <v>-12590.071719390024</v>
      </c>
      <c r="G33" s="3302"/>
      <c r="H33" s="3302"/>
    </row>
    <row r="34" spans="1:8" x14ac:dyDescent="0.25">
      <c r="A34" s="3302" t="s">
        <v>1862</v>
      </c>
      <c r="B34" s="3302"/>
      <c r="C34" s="3302"/>
      <c r="D34" s="3302"/>
      <c r="E34" s="3308"/>
      <c r="F34" s="3302">
        <f ca="1">F25+SUM(F30:F33)</f>
        <v>53290.756724675055</v>
      </c>
      <c r="G34" s="3302"/>
      <c r="H34" s="3302"/>
    </row>
    <row r="35" spans="1:8" x14ac:dyDescent="0.25">
      <c r="A35" s="3302"/>
      <c r="B35" s="3302"/>
      <c r="C35" s="3302"/>
      <c r="D35" s="3302"/>
      <c r="E35" s="3302"/>
      <c r="F35" s="3302"/>
      <c r="G35" s="3302"/>
      <c r="H35" s="3302"/>
    </row>
    <row r="36" spans="1:8" x14ac:dyDescent="0.25">
      <c r="A36" s="3302" t="s">
        <v>2588</v>
      </c>
      <c r="B36" s="3302"/>
      <c r="C36" s="3302"/>
      <c r="D36" s="3302"/>
      <c r="E36" s="3302"/>
      <c r="F36" s="3302">
        <f>+'EBITDA Val'!G16+'EBITDA Val'!G19</f>
        <v>-7855</v>
      </c>
      <c r="G36" s="3302"/>
      <c r="H36" s="3302"/>
    </row>
    <row r="37" spans="1:8" x14ac:dyDescent="0.25">
      <c r="A37" s="3302"/>
      <c r="B37" s="3302"/>
      <c r="C37" s="3302"/>
      <c r="D37" s="3302"/>
      <c r="E37" s="3302"/>
      <c r="F37" s="3302"/>
      <c r="G37" s="3302"/>
      <c r="H37" s="3302"/>
    </row>
    <row r="38" spans="1:8" x14ac:dyDescent="0.25">
      <c r="A38" s="3302" t="s">
        <v>2587</v>
      </c>
      <c r="B38" s="3302"/>
      <c r="C38" s="3302"/>
      <c r="D38" s="3302"/>
      <c r="E38" s="3302"/>
      <c r="F38" s="3302">
        <f ca="1">F34+F36</f>
        <v>45435.756724675055</v>
      </c>
      <c r="G38" s="3302"/>
      <c r="H38" s="3302"/>
    </row>
    <row r="39" spans="1:8" x14ac:dyDescent="0.25">
      <c r="A39" s="3302" t="s">
        <v>157</v>
      </c>
      <c r="B39" s="3302"/>
      <c r="C39" s="3302"/>
      <c r="D39" s="3302"/>
      <c r="E39" s="3302"/>
      <c r="F39" s="3302">
        <f>+F28</f>
        <v>365.1</v>
      </c>
      <c r="G39" s="3302"/>
      <c r="H39" s="3302"/>
    </row>
    <row r="40" spans="1:8" x14ac:dyDescent="0.25">
      <c r="A40" s="3302"/>
      <c r="B40" s="3302"/>
      <c r="C40" s="3302"/>
      <c r="D40" s="3302"/>
      <c r="E40" s="3302"/>
      <c r="F40" s="3302"/>
      <c r="G40" s="3302"/>
      <c r="H40" s="3302"/>
    </row>
    <row r="41" spans="1:8" x14ac:dyDescent="0.25">
      <c r="A41" s="3307" t="s">
        <v>2586</v>
      </c>
      <c r="B41" s="3307"/>
      <c r="C41" s="3307"/>
      <c r="D41" s="3307"/>
      <c r="E41" s="3307"/>
      <c r="F41" s="3306">
        <f ca="1">F38/F39</f>
        <v>124.44743008675719</v>
      </c>
      <c r="G41" s="3302"/>
      <c r="H41" s="3302"/>
    </row>
    <row r="42" spans="1:8" x14ac:dyDescent="0.25">
      <c r="A42" s="3693"/>
      <c r="B42" s="3693"/>
      <c r="C42" s="3693"/>
      <c r="D42" s="3693"/>
      <c r="E42" s="3693"/>
      <c r="F42" s="3694"/>
      <c r="G42" s="3302"/>
      <c r="H42" s="3302"/>
    </row>
    <row r="43" spans="1:8" x14ac:dyDescent="0.25">
      <c r="A43" s="3693"/>
      <c r="B43" s="3693"/>
      <c r="C43" s="3693"/>
      <c r="D43" s="3693"/>
      <c r="E43" s="3693"/>
      <c r="F43" s="3694"/>
      <c r="G43" s="3302"/>
      <c r="H43" s="3302"/>
    </row>
    <row r="44" spans="1:8" x14ac:dyDescent="0.25">
      <c r="A44" s="3319" t="s">
        <v>2910</v>
      </c>
      <c r="B44" s="3302"/>
      <c r="C44" s="3302"/>
      <c r="D44" s="3302"/>
      <c r="E44" s="3302"/>
      <c r="F44" s="3304"/>
      <c r="G44" s="3302"/>
      <c r="H44" s="3302"/>
    </row>
    <row r="45" spans="1:8" s="3692" customFormat="1" x14ac:dyDescent="0.25">
      <c r="A45" s="3690" t="s">
        <v>2635</v>
      </c>
      <c r="B45" s="3690" t="s">
        <v>2634</v>
      </c>
      <c r="C45" s="3690" t="s">
        <v>2633</v>
      </c>
      <c r="D45" s="3691">
        <v>759</v>
      </c>
      <c r="E45" s="3691">
        <v>317</v>
      </c>
      <c r="F45" s="3690">
        <f>E45*1000000/D45</f>
        <v>417654.8089591568</v>
      </c>
      <c r="G45" s="3690"/>
      <c r="H45" s="3690" t="s">
        <v>2632</v>
      </c>
    </row>
    <row r="46" spans="1:8" x14ac:dyDescent="0.25">
      <c r="A46" s="3696" t="s">
        <v>2911</v>
      </c>
      <c r="B46" s="3697" t="s">
        <v>2912</v>
      </c>
      <c r="C46" s="3695" t="s">
        <v>2913</v>
      </c>
      <c r="D46" s="3314">
        <v>446</v>
      </c>
      <c r="E46" s="3314">
        <v>169</v>
      </c>
      <c r="F46" s="3690">
        <f t="shared" ref="F46:F47" si="1">E46*1000000/D46</f>
        <v>378923.76681614347</v>
      </c>
      <c r="G46" s="3302"/>
      <c r="H46" s="3699" t="s">
        <v>2914</v>
      </c>
    </row>
    <row r="47" spans="1:8" x14ac:dyDescent="0.25">
      <c r="A47" s="3302" t="s">
        <v>2612</v>
      </c>
      <c r="B47" s="3302" t="s">
        <v>2602</v>
      </c>
      <c r="C47" s="3302" t="s">
        <v>1772</v>
      </c>
      <c r="D47" s="3314">
        <v>1372</v>
      </c>
      <c r="E47" s="3314">
        <v>269</v>
      </c>
      <c r="F47" s="3690">
        <f t="shared" si="1"/>
        <v>196064.13994169096</v>
      </c>
      <c r="G47" s="3302"/>
      <c r="H47" s="3699" t="s">
        <v>2915</v>
      </c>
    </row>
    <row r="48" spans="1:8" x14ac:dyDescent="0.25">
      <c r="A48" s="3302"/>
      <c r="B48" s="3302"/>
      <c r="C48" s="3302"/>
      <c r="D48" s="3302"/>
      <c r="E48" s="3302"/>
      <c r="F48" s="3302"/>
      <c r="G48" s="3302"/>
      <c r="H48" s="3698"/>
    </row>
    <row r="49" spans="1:8" x14ac:dyDescent="0.25">
      <c r="A49" s="3303"/>
      <c r="B49" s="3303"/>
      <c r="C49" s="3303"/>
      <c r="D49" s="3303"/>
      <c r="E49" s="3303"/>
      <c r="F49" s="3303"/>
      <c r="G49" s="3303"/>
      <c r="H49" s="3302"/>
    </row>
  </sheetData>
  <autoFilter ref="A4:H24"/>
  <pageMargins left="0.75" right="0.75" top="1" bottom="1" header="0.5" footer="0.5"/>
  <pageSetup scale="35"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DB753"/>
  <sheetViews>
    <sheetView showGridLines="0" zoomScale="85" zoomScaleNormal="85" workbookViewId="0">
      <pane xSplit="1" ySplit="5" topLeftCell="BN6" activePane="bottomRight" state="frozen"/>
      <selection pane="topRight" activeCell="B1" sqref="B1"/>
      <selection pane="bottomLeft" activeCell="A10" sqref="A10"/>
      <selection pane="bottomRight" activeCell="CG29" sqref="CG29"/>
    </sheetView>
  </sheetViews>
  <sheetFormatPr defaultRowHeight="12.75" outlineLevelRow="1" outlineLevelCol="1" x14ac:dyDescent="0.2"/>
  <cols>
    <col min="1" max="1" width="50.1640625" style="1031" customWidth="1"/>
    <col min="2" max="3" width="10.83203125" style="70" hidden="1" customWidth="1" outlineLevel="1"/>
    <col min="4" max="4" width="9.5" style="70" hidden="1" customWidth="1" outlineLevel="1"/>
    <col min="5" max="6" width="12" style="70" hidden="1" customWidth="1" outlineLevel="1"/>
    <col min="7" max="8" width="10.83203125" style="70" hidden="1" customWidth="1" outlineLevel="1"/>
    <col min="9" max="9" width="9.5" style="70" hidden="1" customWidth="1" outlineLevel="1"/>
    <col min="10" max="10" width="12" style="70" hidden="1" customWidth="1" outlineLevel="1"/>
    <col min="11" max="11" width="12" style="70" hidden="1" customWidth="1" outlineLevel="1" collapsed="1"/>
    <col min="12" max="13" width="10.83203125" style="70" hidden="1" customWidth="1" outlineLevel="1"/>
    <col min="14" max="14" width="9.5" style="70" hidden="1" customWidth="1" outlineLevel="1"/>
    <col min="15" max="15" width="12" style="70" hidden="1" customWidth="1" outlineLevel="1"/>
    <col min="16" max="16" width="12" style="70" hidden="1" customWidth="1" outlineLevel="1" collapsed="1"/>
    <col min="17" max="18" width="10.83203125" style="70" hidden="1" customWidth="1" outlineLevel="1"/>
    <col min="19" max="19" width="9.5" style="70" hidden="1" customWidth="1" outlineLevel="1"/>
    <col min="20" max="20" width="12" style="70" hidden="1" customWidth="1" outlineLevel="1"/>
    <col min="21" max="21" width="12" style="70" hidden="1" customWidth="1" outlineLevel="1" collapsed="1"/>
    <col min="22" max="24" width="10.83203125" style="70" hidden="1" customWidth="1" outlineLevel="1"/>
    <col min="25" max="25" width="12" style="70" hidden="1" customWidth="1" outlineLevel="1"/>
    <col min="26" max="26" width="12" style="70" hidden="1" customWidth="1" outlineLevel="1" collapsed="1"/>
    <col min="27" max="28" width="10.83203125" style="70" hidden="1" customWidth="1" outlineLevel="1"/>
    <col min="29" max="29" width="9.5" style="70" hidden="1" customWidth="1" outlineLevel="1"/>
    <col min="30" max="30" width="12" style="70" hidden="1" customWidth="1" outlineLevel="1"/>
    <col min="31" max="31" width="12" style="70" hidden="1" customWidth="1" outlineLevel="1" collapsed="1"/>
    <col min="32" max="33" width="10.83203125" style="70" hidden="1" customWidth="1" outlineLevel="1"/>
    <col min="34" max="34" width="9.5" style="70" hidden="1" customWidth="1" outlineLevel="1"/>
    <col min="35" max="35" width="12" style="70" hidden="1" customWidth="1" outlineLevel="1"/>
    <col min="36" max="36" width="12" style="70" hidden="1" customWidth="1" outlineLevel="1" collapsed="1"/>
    <col min="37" max="38" width="10.83203125" style="70" hidden="1" customWidth="1" outlineLevel="1"/>
    <col min="39" max="39" width="9.5" style="70" hidden="1" customWidth="1" outlineLevel="1"/>
    <col min="40" max="40" width="12" style="70" hidden="1" customWidth="1" outlineLevel="1"/>
    <col min="41" max="41" width="12" style="70" hidden="1" customWidth="1" outlineLevel="1" collapsed="1"/>
    <col min="42" max="43" width="10.83203125" style="70" hidden="1" customWidth="1" outlineLevel="1"/>
    <col min="44" max="45" width="9.5" style="70" hidden="1" customWidth="1" outlineLevel="1"/>
    <col min="46" max="46" width="9.5" style="70" hidden="1" customWidth="1" outlineLevel="1" collapsed="1"/>
    <col min="47" max="49" width="10.83203125" style="70" hidden="1" customWidth="1" outlineLevel="1"/>
    <col min="50" max="50" width="9.5" style="70" hidden="1" customWidth="1" outlineLevel="1"/>
    <col min="51" max="51" width="9.5" style="70" hidden="1" customWidth="1" outlineLevel="1" collapsed="1"/>
    <col min="52" max="54" width="10.83203125" style="70" hidden="1" customWidth="1" outlineLevel="1"/>
    <col min="55" max="55" width="12" style="70" hidden="1" customWidth="1" outlineLevel="1"/>
    <col min="56" max="56" width="12" style="70" customWidth="1" collapsed="1"/>
    <col min="57" max="58" width="10.83203125" style="70" hidden="1" customWidth="1" outlineLevel="1"/>
    <col min="59" max="59" width="9.5" style="70" hidden="1" customWidth="1" outlineLevel="1"/>
    <col min="60" max="60" width="12" style="70" hidden="1" customWidth="1" outlineLevel="1"/>
    <col min="61" max="61" width="12" style="70" customWidth="1" collapsed="1"/>
    <col min="62" max="63" width="10.83203125" style="70" hidden="1" customWidth="1" outlineLevel="1"/>
    <col min="64" max="64" width="9.5" style="70" hidden="1" customWidth="1" outlineLevel="1"/>
    <col min="65" max="65" width="12" style="70" hidden="1" customWidth="1" outlineLevel="1"/>
    <col min="66" max="66" width="12" style="70" customWidth="1" collapsed="1"/>
    <col min="67" max="67" width="10.83203125" style="70" hidden="1" customWidth="1" outlineLevel="1"/>
    <col min="68" max="69" width="10.83203125" style="212" hidden="1" customWidth="1" outlineLevel="1"/>
    <col min="70" max="70" width="12" style="70" hidden="1" customWidth="1" outlineLevel="1"/>
    <col min="71" max="71" width="12" style="70" customWidth="1" collapsed="1"/>
    <col min="72" max="74" width="10.83203125" style="70" hidden="1" customWidth="1" outlineLevel="1"/>
    <col min="75" max="75" width="12" style="70" hidden="1" customWidth="1" outlineLevel="1"/>
    <col min="76" max="76" width="12" style="70" customWidth="1" collapsed="1"/>
    <col min="77" max="79" width="10.83203125" style="70" hidden="1" customWidth="1" outlineLevel="1"/>
    <col min="80" max="80" width="12" style="70" hidden="1" customWidth="1" outlineLevel="1"/>
    <col min="81" max="81" width="12" style="70" customWidth="1" collapsed="1"/>
    <col min="82" max="82" width="10.83203125" style="70" customWidth="1" outlineLevel="1"/>
    <col min="83" max="85" width="11.5" style="70" customWidth="1" outlineLevel="1"/>
    <col min="86" max="86" width="11.5" style="70" customWidth="1"/>
    <col min="87" max="90" width="11.5" style="70" customWidth="1" outlineLevel="1"/>
    <col min="91" max="91" width="11.5" style="70" customWidth="1"/>
    <col min="92" max="95" width="11.5" style="70" customWidth="1" outlineLevel="1"/>
    <col min="96" max="98" width="11.5" style="70" customWidth="1"/>
    <col min="99" max="99" width="12.6640625" style="70" bestFit="1" customWidth="1"/>
    <col min="100" max="100" width="9.83203125" bestFit="1" customWidth="1"/>
    <col min="103" max="103" width="9.33203125" style="70"/>
    <col min="104" max="104" width="14.6640625" style="70" bestFit="1" customWidth="1"/>
    <col min="105" max="105" width="9.33203125" style="70"/>
    <col min="107" max="16384" width="9.33203125" style="70"/>
  </cols>
  <sheetData>
    <row r="1" spans="1:106" x14ac:dyDescent="0.2">
      <c r="A1" s="1457" t="s">
        <v>743</v>
      </c>
      <c r="BP1" s="1282"/>
      <c r="BQ1" s="1282"/>
      <c r="BR1" s="259"/>
      <c r="BS1" s="149"/>
    </row>
    <row r="2" spans="1:106" x14ac:dyDescent="0.2">
      <c r="A2" s="1039" t="s">
        <v>666</v>
      </c>
      <c r="BP2" s="1282"/>
      <c r="BQ2" s="1282"/>
      <c r="BR2" s="1282"/>
      <c r="BS2" s="539"/>
    </row>
    <row r="3" spans="1:106" x14ac:dyDescent="0.2">
      <c r="A3" s="865"/>
      <c r="B3" s="911">
        <v>36609</v>
      </c>
      <c r="C3" s="911">
        <v>36693</v>
      </c>
      <c r="D3" s="911">
        <v>36777</v>
      </c>
      <c r="E3" s="911">
        <v>36889</v>
      </c>
      <c r="F3" s="912">
        <f>E3</f>
        <v>36889</v>
      </c>
      <c r="G3" s="911">
        <v>36973</v>
      </c>
      <c r="H3" s="911">
        <v>37057</v>
      </c>
      <c r="I3" s="911">
        <v>37141</v>
      </c>
      <c r="J3" s="911">
        <v>37253</v>
      </c>
      <c r="K3" s="912">
        <f>J3</f>
        <v>37253</v>
      </c>
      <c r="L3" s="911">
        <v>37337</v>
      </c>
      <c r="M3" s="911">
        <f>L3+84</f>
        <v>37421</v>
      </c>
      <c r="N3" s="911">
        <f>M3+84</f>
        <v>37505</v>
      </c>
      <c r="O3" s="911">
        <v>37621</v>
      </c>
      <c r="P3" s="912">
        <f>O3</f>
        <v>37621</v>
      </c>
      <c r="Q3" s="911">
        <f>P3+84</f>
        <v>37705</v>
      </c>
      <c r="R3" s="911">
        <f>Q3+84</f>
        <v>37789</v>
      </c>
      <c r="S3" s="911">
        <f>R3+84</f>
        <v>37873</v>
      </c>
      <c r="T3" s="911">
        <v>37986</v>
      </c>
      <c r="U3" s="912">
        <f>T3</f>
        <v>37986</v>
      </c>
      <c r="V3" s="911">
        <v>38072</v>
      </c>
      <c r="W3" s="911">
        <v>38156</v>
      </c>
      <c r="X3" s="911">
        <v>38240</v>
      </c>
      <c r="Y3" s="911">
        <v>38352</v>
      </c>
      <c r="Z3" s="912">
        <f>Y3</f>
        <v>38352</v>
      </c>
      <c r="AA3" s="916">
        <v>38436</v>
      </c>
      <c r="AB3" s="916">
        <v>38520</v>
      </c>
      <c r="AC3" s="916">
        <v>38604</v>
      </c>
      <c r="AD3" s="916">
        <v>38717</v>
      </c>
      <c r="AE3" s="912">
        <v>38717</v>
      </c>
      <c r="AF3" s="916">
        <f>+MAR!AM3</f>
        <v>38800</v>
      </c>
      <c r="AG3" s="916">
        <f>+MAR!AN3</f>
        <v>38884</v>
      </c>
      <c r="AH3" s="916">
        <f>+MAR!AO3</f>
        <v>38968</v>
      </c>
      <c r="AI3" s="916">
        <f>+MAR!AP3</f>
        <v>39081</v>
      </c>
      <c r="AJ3" s="912">
        <v>39082</v>
      </c>
      <c r="AK3" s="916">
        <f>+MAR!AR3</f>
        <v>39165</v>
      </c>
      <c r="AL3" s="916">
        <f>+MAR!AS3</f>
        <v>39249</v>
      </c>
      <c r="AM3" s="916">
        <f>+MAR!AT3</f>
        <v>39333</v>
      </c>
      <c r="AN3" s="916">
        <f>+MAR!AU3</f>
        <v>39446</v>
      </c>
      <c r="AO3" s="912">
        <f>+MAR!AV3</f>
        <v>39446</v>
      </c>
      <c r="AP3" s="916">
        <f>+MAR!AW3</f>
        <v>39530</v>
      </c>
      <c r="AQ3" s="916">
        <f>+MAR!AX3</f>
        <v>39614</v>
      </c>
      <c r="AR3" s="916">
        <f>+MAR!AY3</f>
        <v>39698</v>
      </c>
      <c r="AS3" s="916">
        <f>+MAR!AZ3</f>
        <v>39815</v>
      </c>
      <c r="AT3" s="912">
        <f>+MAR!BA3</f>
        <v>39815</v>
      </c>
      <c r="AU3" s="916">
        <f>+MAR!BB3</f>
        <v>39899</v>
      </c>
      <c r="AV3" s="916">
        <f>+MAR!BC3</f>
        <v>39983</v>
      </c>
      <c r="AW3" s="916">
        <f>+MAR!BD3</f>
        <v>40067</v>
      </c>
      <c r="AX3" s="916">
        <f>+MAR!BE3</f>
        <v>40179</v>
      </c>
      <c r="AY3" s="912">
        <f>+MAR!BF3</f>
        <v>40179</v>
      </c>
      <c r="AZ3" s="916">
        <f>+MAR!BG3</f>
        <v>40263</v>
      </c>
      <c r="BA3" s="916">
        <f>+MAR!BH3</f>
        <v>40347</v>
      </c>
      <c r="BB3" s="916">
        <f>+MAR!BI3</f>
        <v>40431</v>
      </c>
      <c r="BC3" s="916">
        <f>+MAR!BJ3</f>
        <v>40543</v>
      </c>
      <c r="BD3" s="912">
        <f>+MAR!BK3</f>
        <v>40543</v>
      </c>
      <c r="BE3" s="916">
        <f>+MAR!BL3</f>
        <v>40627</v>
      </c>
      <c r="BF3" s="916">
        <f>+MAR!BM3</f>
        <v>40711</v>
      </c>
      <c r="BG3" s="916">
        <f>+MAR!BN3</f>
        <v>40795</v>
      </c>
      <c r="BH3" s="916">
        <f>+MAR!BO3</f>
        <v>40907</v>
      </c>
      <c r="BI3" s="912">
        <f>+MAR!BP3</f>
        <v>40907</v>
      </c>
      <c r="BJ3" s="916">
        <f>+MAR!BQ3</f>
        <v>40991</v>
      </c>
      <c r="BK3" s="916">
        <f>+MAR!BR3</f>
        <v>41075</v>
      </c>
      <c r="BL3" s="916">
        <f>+MAR!BS3</f>
        <v>41159</v>
      </c>
      <c r="BM3" s="916">
        <f>+MAR!BT3</f>
        <v>41271</v>
      </c>
      <c r="BN3" s="912">
        <f>+MAR!BU3</f>
        <v>41271</v>
      </c>
      <c r="BO3" s="1835">
        <f>+MAR!BV3</f>
        <v>41364</v>
      </c>
      <c r="BP3" s="916">
        <f>+MAR!BW3</f>
        <v>41455</v>
      </c>
      <c r="BQ3" s="916">
        <f>+MAR!BX3</f>
        <v>41547</v>
      </c>
      <c r="BR3" s="915">
        <f>+MAR!BY3</f>
        <v>41639</v>
      </c>
      <c r="BS3" s="912">
        <f>BR3</f>
        <v>41639</v>
      </c>
      <c r="BT3" s="1835">
        <f>+MAR!CA3</f>
        <v>41729</v>
      </c>
      <c r="BU3" s="916">
        <f>+MAR!CB3</f>
        <v>41820</v>
      </c>
      <c r="BV3" s="916">
        <f>+MAR!CC3</f>
        <v>41912</v>
      </c>
      <c r="BW3" s="915">
        <f>+MAR!CD3</f>
        <v>42004</v>
      </c>
      <c r="BX3" s="912">
        <f>BW3</f>
        <v>42004</v>
      </c>
      <c r="BY3" s="916">
        <f>+MAR!CF3</f>
        <v>42094</v>
      </c>
      <c r="BZ3" s="916">
        <f>+MAR!CG3</f>
        <v>42185</v>
      </c>
      <c r="CA3" s="916">
        <f>+MAR!CH3</f>
        <v>42277</v>
      </c>
      <c r="CB3" s="915">
        <f>+MAR!CI3</f>
        <v>42369</v>
      </c>
      <c r="CC3" s="912">
        <f>+MAR!CJ3</f>
        <v>42369</v>
      </c>
      <c r="CD3" s="916">
        <f>+MAR!CK3</f>
        <v>42460</v>
      </c>
      <c r="CE3" s="916">
        <f>+MAR!CL3</f>
        <v>42551</v>
      </c>
      <c r="CF3" s="916">
        <f>+MAR!CM3</f>
        <v>42643</v>
      </c>
      <c r="CG3" s="915">
        <f>+MAR!CN3</f>
        <v>42735</v>
      </c>
      <c r="CH3" s="912">
        <f>+MAR!CO3</f>
        <v>42735</v>
      </c>
      <c r="CI3" s="916">
        <f>+MAR!CP3</f>
        <v>42825</v>
      </c>
      <c r="CJ3" s="916">
        <f>+MAR!CQ3</f>
        <v>42916</v>
      </c>
      <c r="CK3" s="916">
        <f>+MAR!CR3</f>
        <v>43008</v>
      </c>
      <c r="CL3" s="916">
        <f>+MAR!CS3</f>
        <v>43100</v>
      </c>
      <c r="CM3" s="912">
        <f>+MAR!CT3</f>
        <v>43100</v>
      </c>
      <c r="CN3" s="916">
        <f>+MAR!CU3</f>
        <v>43190</v>
      </c>
      <c r="CO3" s="916">
        <f>+MAR!CV3</f>
        <v>43281</v>
      </c>
      <c r="CP3" s="916">
        <f>+MAR!CW3</f>
        <v>43373</v>
      </c>
      <c r="CQ3" s="916">
        <f>+MAR!CX3</f>
        <v>43465</v>
      </c>
      <c r="CR3" s="912">
        <f>+MAR!CY3</f>
        <v>43465</v>
      </c>
      <c r="CS3" s="912">
        <f>+MAR!CZ3</f>
        <v>43830</v>
      </c>
      <c r="CT3" s="912">
        <f>+MAR!DA3</f>
        <v>44196</v>
      </c>
    </row>
    <row r="4" spans="1:106" x14ac:dyDescent="0.2">
      <c r="A4" s="865"/>
      <c r="B4" s="777">
        <v>84</v>
      </c>
      <c r="C4" s="777">
        <f>C$3-B$3</f>
        <v>84</v>
      </c>
      <c r="D4" s="777">
        <f>D$3-C$3</f>
        <v>84</v>
      </c>
      <c r="E4" s="777">
        <f>E$3-D$3</f>
        <v>112</v>
      </c>
      <c r="F4" s="1497">
        <f>SUM(B4:E4)</f>
        <v>364</v>
      </c>
      <c r="G4" s="777">
        <f>G$3-F$3</f>
        <v>84</v>
      </c>
      <c r="H4" s="777">
        <f>H$3-G$3</f>
        <v>84</v>
      </c>
      <c r="I4" s="777">
        <f>I$3-H$3</f>
        <v>84</v>
      </c>
      <c r="J4" s="777">
        <f>J$3-I$3</f>
        <v>112</v>
      </c>
      <c r="K4" s="1497">
        <f>SUM(G4:J4)</f>
        <v>364</v>
      </c>
      <c r="L4" s="777">
        <f>L$3-K$3</f>
        <v>84</v>
      </c>
      <c r="M4" s="777">
        <f>M$3-L$3</f>
        <v>84</v>
      </c>
      <c r="N4" s="777">
        <f>N$3-M$3</f>
        <v>84</v>
      </c>
      <c r="O4" s="777">
        <f>O$3-N$3</f>
        <v>116</v>
      </c>
      <c r="P4" s="1461">
        <f>SUM(L4:O4)</f>
        <v>368</v>
      </c>
      <c r="Q4" s="777">
        <f>Q$3-P$3</f>
        <v>84</v>
      </c>
      <c r="R4" s="777">
        <f>R$3-Q$3</f>
        <v>84</v>
      </c>
      <c r="S4" s="777">
        <f>S$3-R$3</f>
        <v>84</v>
      </c>
      <c r="T4" s="777">
        <f>T$3-S$3</f>
        <v>113</v>
      </c>
      <c r="U4" s="1461">
        <f>SUM(Q4:T4)</f>
        <v>365</v>
      </c>
      <c r="V4" s="777">
        <f>V$3-U$3</f>
        <v>86</v>
      </c>
      <c r="W4" s="777">
        <f>W$3-V$3</f>
        <v>84</v>
      </c>
      <c r="X4" s="777">
        <f>X$3-W$3</f>
        <v>84</v>
      </c>
      <c r="Y4" s="777">
        <f>Y$3-X$3</f>
        <v>112</v>
      </c>
      <c r="Z4" s="1461">
        <f>SUM(V4:Y4)</f>
        <v>366</v>
      </c>
      <c r="AA4" s="275">
        <f>AA$3-Z$3</f>
        <v>84</v>
      </c>
      <c r="AB4" s="275">
        <f>AB$3-AA$3</f>
        <v>84</v>
      </c>
      <c r="AC4" s="275">
        <f>AC$3-AB$3</f>
        <v>84</v>
      </c>
      <c r="AD4" s="275">
        <f>AD$3-AC$3</f>
        <v>113</v>
      </c>
      <c r="AE4" s="1461">
        <f>SUM(AA4:AD4)</f>
        <v>365</v>
      </c>
      <c r="AF4" s="275">
        <f>AF$3-AE$3</f>
        <v>83</v>
      </c>
      <c r="AG4" s="275">
        <f>AG$3-AF$3</f>
        <v>84</v>
      </c>
      <c r="AH4" s="275">
        <f>AH$3-AG$3</f>
        <v>84</v>
      </c>
      <c r="AI4" s="275">
        <f>AI$3-AH$3</f>
        <v>113</v>
      </c>
      <c r="AJ4" s="1461">
        <f>SUM(AF4:AI4)</f>
        <v>364</v>
      </c>
      <c r="AK4" s="275">
        <f>AK$3-AJ$3</f>
        <v>83</v>
      </c>
      <c r="AL4" s="275">
        <f>AL$3-AK$3</f>
        <v>84</v>
      </c>
      <c r="AM4" s="275">
        <f>AM$3-AL$3</f>
        <v>84</v>
      </c>
      <c r="AN4" s="275">
        <f>AN$3-AM$3</f>
        <v>113</v>
      </c>
      <c r="AO4" s="1461">
        <f>SUM(AK4:AN4)</f>
        <v>364</v>
      </c>
      <c r="AP4" s="275">
        <f>AP$3-AO$3</f>
        <v>84</v>
      </c>
      <c r="AQ4" s="275">
        <f>AQ$3-AP$3</f>
        <v>84</v>
      </c>
      <c r="AR4" s="275">
        <f>AR$3-AQ$3</f>
        <v>84</v>
      </c>
      <c r="AS4" s="275">
        <f>AS$3-AR$3</f>
        <v>117</v>
      </c>
      <c r="AT4" s="1461">
        <f>SUM(AP4:AS4)</f>
        <v>369</v>
      </c>
      <c r="AU4" s="275">
        <f>AU$3-AT$3</f>
        <v>84</v>
      </c>
      <c r="AV4" s="275">
        <f>AV$3-AU$3</f>
        <v>84</v>
      </c>
      <c r="AW4" s="275">
        <f>AW$3-AV$3</f>
        <v>84</v>
      </c>
      <c r="AX4" s="275">
        <f>AX$3-AW$3</f>
        <v>112</v>
      </c>
      <c r="AY4" s="1461">
        <f>SUM(AU4:AX4)</f>
        <v>364</v>
      </c>
      <c r="AZ4" s="275">
        <f>AZ$3-AY$3</f>
        <v>84</v>
      </c>
      <c r="BA4" s="275">
        <f>BA$3-AZ$3</f>
        <v>84</v>
      </c>
      <c r="BB4" s="275">
        <f>BB$3-BA$3</f>
        <v>84</v>
      </c>
      <c r="BC4" s="275">
        <f>BC$3-BB$3</f>
        <v>112</v>
      </c>
      <c r="BD4" s="1461">
        <f>SUM(AZ4:BC4)</f>
        <v>364</v>
      </c>
      <c r="BE4" s="275">
        <f>BE$3-BD$3</f>
        <v>84</v>
      </c>
      <c r="BF4" s="275">
        <f>BF$3-BE$3</f>
        <v>84</v>
      </c>
      <c r="BG4" s="275">
        <f>BG$3-BF$3</f>
        <v>84</v>
      </c>
      <c r="BH4" s="275">
        <f>BH$3-BG$3</f>
        <v>112</v>
      </c>
      <c r="BI4" s="1461">
        <f>SUM(BE4:BH4)</f>
        <v>364</v>
      </c>
      <c r="BJ4" s="275">
        <f>BJ$3-BI$3</f>
        <v>84</v>
      </c>
      <c r="BK4" s="275">
        <f>BK$3-BJ$3</f>
        <v>84</v>
      </c>
      <c r="BL4" s="275">
        <f>BL$3-BK$3</f>
        <v>84</v>
      </c>
      <c r="BM4" s="275">
        <f>BM$3-BL$3</f>
        <v>112</v>
      </c>
      <c r="BN4" s="1461">
        <f>SUM(BJ4:BM4)</f>
        <v>364</v>
      </c>
      <c r="BO4" s="1836">
        <v>91</v>
      </c>
      <c r="BP4" s="1459">
        <f>BP$3-BO$3</f>
        <v>91</v>
      </c>
      <c r="BQ4" s="1459">
        <f>BQ$3-BP$3</f>
        <v>92</v>
      </c>
      <c r="BR4" s="1841">
        <f>BR$3-BQ$3</f>
        <v>92</v>
      </c>
      <c r="BS4" s="1461">
        <f>SUM(BO4:BR4)</f>
        <v>366</v>
      </c>
      <c r="BT4" s="1836">
        <f>BT$3-BS$3</f>
        <v>90</v>
      </c>
      <c r="BU4" s="1459">
        <f>BU$3-BT$3</f>
        <v>91</v>
      </c>
      <c r="BV4" s="1459">
        <f>BV$3-BU$3</f>
        <v>92</v>
      </c>
      <c r="BW4" s="1841">
        <f>BW$3-BV$3</f>
        <v>92</v>
      </c>
      <c r="BX4" s="1461">
        <f>SUM(BT4:BW4)</f>
        <v>365</v>
      </c>
      <c r="BY4" s="1459">
        <f>BY$3-BX$3</f>
        <v>90</v>
      </c>
      <c r="BZ4" s="1459">
        <f>BZ$3-BY$3</f>
        <v>91</v>
      </c>
      <c r="CA4" s="1459">
        <f>CA$3-BZ$3</f>
        <v>92</v>
      </c>
      <c r="CB4" s="1841">
        <f>CB$3-CA$3</f>
        <v>92</v>
      </c>
      <c r="CC4" s="1461">
        <f>+BX4</f>
        <v>365</v>
      </c>
      <c r="CD4" s="1459">
        <f>CD$3-CC$3</f>
        <v>91</v>
      </c>
      <c r="CE4" s="1459">
        <f>CE$3-CD$3</f>
        <v>91</v>
      </c>
      <c r="CF4" s="1459">
        <f>CF$3-CE$3</f>
        <v>92</v>
      </c>
      <c r="CG4" s="1841">
        <f>CG$3-CF$3</f>
        <v>92</v>
      </c>
      <c r="CH4" s="1461">
        <f>SUM(CD4:CG4)</f>
        <v>366</v>
      </c>
      <c r="CI4" s="1459">
        <f>CI$3-CH$3</f>
        <v>90</v>
      </c>
      <c r="CJ4" s="1459">
        <f>CJ$3-CI$3</f>
        <v>91</v>
      </c>
      <c r="CK4" s="1459">
        <f>CK$3-CJ$3</f>
        <v>92</v>
      </c>
      <c r="CL4" s="1459">
        <f>CL$3-CK$3</f>
        <v>92</v>
      </c>
      <c r="CM4" s="1461">
        <f>+SUM(CI4:CL4)</f>
        <v>365</v>
      </c>
      <c r="CN4" s="1459">
        <f>CN$3-CM$3</f>
        <v>90</v>
      </c>
      <c r="CO4" s="1459">
        <f>CO$3-CN$3</f>
        <v>91</v>
      </c>
      <c r="CP4" s="1459">
        <f>CP$3-CO$3</f>
        <v>92</v>
      </c>
      <c r="CQ4" s="1459">
        <f>CQ$3-CP$3</f>
        <v>92</v>
      </c>
      <c r="CR4" s="1461">
        <f>+CM4</f>
        <v>365</v>
      </c>
      <c r="CS4" s="1461">
        <f>+CR4</f>
        <v>365</v>
      </c>
      <c r="CT4" s="1461">
        <f>+CS4</f>
        <v>365</v>
      </c>
      <c r="CZ4" s="2434"/>
    </row>
    <row r="5" spans="1:106" x14ac:dyDescent="0.2">
      <c r="A5" s="873" t="s">
        <v>308</v>
      </c>
      <c r="B5" s="1450" t="s">
        <v>499</v>
      </c>
      <c r="C5" s="1450" t="s">
        <v>500</v>
      </c>
      <c r="D5" s="1450" t="s">
        <v>501</v>
      </c>
      <c r="E5" s="1450" t="s">
        <v>502</v>
      </c>
      <c r="F5" s="1451">
        <v>2000</v>
      </c>
      <c r="G5" s="1450" t="s">
        <v>503</v>
      </c>
      <c r="H5" s="1450" t="s">
        <v>504</v>
      </c>
      <c r="I5" s="1450" t="s">
        <v>505</v>
      </c>
      <c r="J5" s="1450" t="s">
        <v>1951</v>
      </c>
      <c r="K5" s="1451">
        <v>2001</v>
      </c>
      <c r="L5" s="1450" t="s">
        <v>1952</v>
      </c>
      <c r="M5" s="1450" t="s">
        <v>1953</v>
      </c>
      <c r="N5" s="1450" t="s">
        <v>1954</v>
      </c>
      <c r="O5" s="1450" t="s">
        <v>1955</v>
      </c>
      <c r="P5" s="1451">
        <v>2002</v>
      </c>
      <c r="Q5" s="1450" t="s">
        <v>1956</v>
      </c>
      <c r="R5" s="1450" t="s">
        <v>1957</v>
      </c>
      <c r="S5" s="1450" t="s">
        <v>1958</v>
      </c>
      <c r="T5" s="1450" t="s">
        <v>1959</v>
      </c>
      <c r="U5" s="1451">
        <v>2003</v>
      </c>
      <c r="V5" s="1450" t="s">
        <v>1960</v>
      </c>
      <c r="W5" s="1450" t="s">
        <v>1961</v>
      </c>
      <c r="X5" s="1450" t="s">
        <v>1962</v>
      </c>
      <c r="Y5" s="1450" t="s">
        <v>1963</v>
      </c>
      <c r="Z5" s="1451" t="s">
        <v>1964</v>
      </c>
      <c r="AA5" s="1450" t="s">
        <v>1965</v>
      </c>
      <c r="AB5" s="1450" t="s">
        <v>1966</v>
      </c>
      <c r="AC5" s="1450" t="s">
        <v>1967</v>
      </c>
      <c r="AD5" s="1450" t="s">
        <v>1968</v>
      </c>
      <c r="AE5" s="1451">
        <v>2005</v>
      </c>
      <c r="AF5" s="1450" t="s">
        <v>1970</v>
      </c>
      <c r="AG5" s="1450" t="s">
        <v>1971</v>
      </c>
      <c r="AH5" s="1450" t="s">
        <v>1972</v>
      </c>
      <c r="AI5" s="1450" t="s">
        <v>831</v>
      </c>
      <c r="AJ5" s="1451">
        <v>2006</v>
      </c>
      <c r="AK5" s="1450" t="str">
        <f>MAR!AR5</f>
        <v>1Q07</v>
      </c>
      <c r="AL5" s="1450" t="str">
        <f>MAR!AS5</f>
        <v>2Q07</v>
      </c>
      <c r="AM5" s="1450" t="str">
        <f>MAR!AT5</f>
        <v>3Q07</v>
      </c>
      <c r="AN5" s="1450" t="str">
        <f>MAR!AU5</f>
        <v>4Q07</v>
      </c>
      <c r="AO5" s="1451" t="str">
        <f>MAR!AV5</f>
        <v>2007</v>
      </c>
      <c r="AP5" s="1450" t="str">
        <f>MAR!AW5</f>
        <v>1Q08</v>
      </c>
      <c r="AQ5" s="1450" t="str">
        <f>MAR!AX5</f>
        <v>2Q08</v>
      </c>
      <c r="AR5" s="1450" t="str">
        <f>MAR!AY5</f>
        <v>3Q08</v>
      </c>
      <c r="AS5" s="1450" t="str">
        <f>MAR!AZ5</f>
        <v>4Q08</v>
      </c>
      <c r="AT5" s="1451" t="str">
        <f>MAR!BA5</f>
        <v>2008</v>
      </c>
      <c r="AU5" s="1450" t="str">
        <f>MAR!BB5</f>
        <v>1Q09</v>
      </c>
      <c r="AV5" s="1450" t="str">
        <f>MAR!BC5</f>
        <v>2Q09</v>
      </c>
      <c r="AW5" s="1450" t="str">
        <f>MAR!BD5</f>
        <v>3Q09</v>
      </c>
      <c r="AX5" s="1450" t="str">
        <f>MAR!BE5</f>
        <v>4Q09</v>
      </c>
      <c r="AY5" s="1451" t="str">
        <f>MAR!BF5</f>
        <v>2009</v>
      </c>
      <c r="AZ5" s="1450" t="str">
        <f>MAR!BG5</f>
        <v>1Q10</v>
      </c>
      <c r="BA5" s="1450" t="str">
        <f>MAR!BH5</f>
        <v>2Q10</v>
      </c>
      <c r="BB5" s="1450" t="str">
        <f>MAR!BI5</f>
        <v>3Q10</v>
      </c>
      <c r="BC5" s="1450" t="str">
        <f>MAR!BJ5</f>
        <v>4Q10</v>
      </c>
      <c r="BD5" s="1451" t="str">
        <f>MAR!BK5</f>
        <v>2010</v>
      </c>
      <c r="BE5" s="1450" t="str">
        <f>MAR!BL5</f>
        <v>1Q11</v>
      </c>
      <c r="BF5" s="1450" t="str">
        <f>MAR!BM5</f>
        <v>2Q11</v>
      </c>
      <c r="BG5" s="1450" t="str">
        <f>MAR!BN5</f>
        <v>3Q11</v>
      </c>
      <c r="BH5" s="1450" t="str">
        <f>MAR!BO5</f>
        <v>4Q11</v>
      </c>
      <c r="BI5" s="1451">
        <f>MAR!BP5</f>
        <v>2011</v>
      </c>
      <c r="BJ5" s="1450" t="str">
        <f>MAR!BQ5</f>
        <v>1Q12</v>
      </c>
      <c r="BK5" s="1450" t="str">
        <f>MAR!BR5</f>
        <v>2Q12</v>
      </c>
      <c r="BL5" s="1450" t="str">
        <f>MAR!BS5</f>
        <v>3Q12</v>
      </c>
      <c r="BM5" s="1450" t="str">
        <f>MAR!BT5</f>
        <v>4Q12</v>
      </c>
      <c r="BN5" s="1451">
        <f>MAR!BU5</f>
        <v>2012</v>
      </c>
      <c r="BO5" s="1834" t="str">
        <f>MAR!BV5</f>
        <v>1Q13</v>
      </c>
      <c r="BP5" s="1450" t="str">
        <f>MAR!BW5</f>
        <v>2Q13</v>
      </c>
      <c r="BQ5" s="1450" t="str">
        <f>MAR!BX5</f>
        <v>3Q13</v>
      </c>
      <c r="BR5" s="1840" t="str">
        <f>MAR!BY5</f>
        <v>4Q13</v>
      </c>
      <c r="BS5" s="1451">
        <f>MAR!BZ5</f>
        <v>2013</v>
      </c>
      <c r="BT5" s="1834" t="str">
        <f>MAR!CA5</f>
        <v>1Q14</v>
      </c>
      <c r="BU5" s="2065" t="str">
        <f>MAR!CB5</f>
        <v>2Q14</v>
      </c>
      <c r="BV5" s="2065" t="str">
        <f>MAR!CC5</f>
        <v>3Q14</v>
      </c>
      <c r="BW5" s="1840" t="str">
        <f>MAR!CD5</f>
        <v>4Q14</v>
      </c>
      <c r="BX5" s="1451">
        <f>MAR!CE5</f>
        <v>2014</v>
      </c>
      <c r="BY5" s="2065" t="str">
        <f>MAR!CF5</f>
        <v>1Q15</v>
      </c>
      <c r="BZ5" s="2065" t="str">
        <f>MAR!CG5</f>
        <v>2Q15</v>
      </c>
      <c r="CA5" s="2065" t="str">
        <f>MAR!CH5</f>
        <v>3Q15</v>
      </c>
      <c r="CB5" s="1840" t="str">
        <f>MAR!CI5</f>
        <v>4Q15</v>
      </c>
      <c r="CC5" s="1451">
        <f>MAR!CJ5</f>
        <v>2015</v>
      </c>
      <c r="CD5" s="2065" t="str">
        <f>MAR!CK5</f>
        <v>1Q16</v>
      </c>
      <c r="CE5" s="2065" t="str">
        <f>MAR!CL5</f>
        <v>2Q16</v>
      </c>
      <c r="CF5" s="2065" t="str">
        <f>MAR!CM5</f>
        <v>3Q16</v>
      </c>
      <c r="CG5" s="1840" t="str">
        <f>MAR!CN5</f>
        <v>4Q16</v>
      </c>
      <c r="CH5" s="1451">
        <f>MAR!CO5</f>
        <v>2016</v>
      </c>
      <c r="CI5" s="2065" t="str">
        <f>MAR!CP5</f>
        <v>1Q17</v>
      </c>
      <c r="CJ5" s="2065" t="str">
        <f>MAR!CQ5</f>
        <v>2Q17</v>
      </c>
      <c r="CK5" s="2065" t="str">
        <f>MAR!CR5</f>
        <v>3Q17</v>
      </c>
      <c r="CL5" s="2065" t="str">
        <f>MAR!CS5</f>
        <v>4Q17A</v>
      </c>
      <c r="CM5" s="1451" t="str">
        <f>MAR!CT5</f>
        <v>2017A</v>
      </c>
      <c r="CN5" s="2065" t="str">
        <f>MAR!CU5</f>
        <v>1Q18E</v>
      </c>
      <c r="CO5" s="2065" t="str">
        <f>MAR!CV5</f>
        <v>2Q18E</v>
      </c>
      <c r="CP5" s="2065" t="str">
        <f>MAR!CW5</f>
        <v>3Q18E</v>
      </c>
      <c r="CQ5" s="2065" t="str">
        <f>MAR!CX5</f>
        <v>4Q18E</v>
      </c>
      <c r="CR5" s="1451" t="str">
        <f>MAR!CY5</f>
        <v>2018E</v>
      </c>
      <c r="CS5" s="1451" t="str">
        <f>MAR!CZ5</f>
        <v>2019E</v>
      </c>
      <c r="CT5" s="1451" t="str">
        <f>MAR!DA5</f>
        <v>2020E</v>
      </c>
    </row>
    <row r="6" spans="1:106" s="234" customFormat="1" x14ac:dyDescent="0.2">
      <c r="A6" s="1437"/>
      <c r="B6" s="770"/>
      <c r="C6" s="770"/>
      <c r="D6" s="770"/>
      <c r="E6" s="770"/>
      <c r="F6" s="1524"/>
      <c r="G6" s="770"/>
      <c r="H6" s="770"/>
      <c r="I6" s="770"/>
      <c r="J6" s="770"/>
      <c r="K6" s="1524"/>
      <c r="L6" s="770"/>
      <c r="M6" s="770"/>
      <c r="N6" s="770"/>
      <c r="O6" s="770"/>
      <c r="P6" s="1524"/>
      <c r="Q6" s="770"/>
      <c r="R6" s="770"/>
      <c r="S6" s="770"/>
      <c r="T6" s="770"/>
      <c r="U6" s="1524"/>
      <c r="V6" s="770"/>
      <c r="W6" s="770"/>
      <c r="X6" s="770"/>
      <c r="Y6" s="770"/>
      <c r="Z6" s="1524"/>
      <c r="AA6" s="770"/>
      <c r="AB6" s="770"/>
      <c r="AC6" s="770"/>
      <c r="AD6" s="770"/>
      <c r="AE6" s="1524"/>
      <c r="AF6" s="770"/>
      <c r="AG6" s="770"/>
      <c r="AH6" s="770"/>
      <c r="AI6" s="770"/>
      <c r="AJ6" s="1524"/>
      <c r="AK6" s="770"/>
      <c r="AL6" s="770"/>
      <c r="AM6" s="770"/>
      <c r="AN6" s="770"/>
      <c r="AO6" s="1524"/>
      <c r="AP6" s="770"/>
      <c r="AQ6" s="770"/>
      <c r="AR6" s="770"/>
      <c r="AS6" s="770"/>
      <c r="AT6" s="1524"/>
      <c r="AU6" s="770"/>
      <c r="AV6" s="770"/>
      <c r="AW6" s="770"/>
      <c r="AX6" s="770"/>
      <c r="AY6" s="1524"/>
      <c r="AZ6" s="770"/>
      <c r="BA6" s="770"/>
      <c r="BB6" s="770"/>
      <c r="BC6" s="770"/>
      <c r="BD6" s="1524"/>
      <c r="BE6" s="770"/>
      <c r="BF6" s="770"/>
      <c r="BG6" s="770"/>
      <c r="BH6" s="770"/>
      <c r="BI6" s="1524"/>
      <c r="BJ6" s="770"/>
      <c r="BK6" s="770"/>
      <c r="BL6" s="770"/>
      <c r="BM6" s="770"/>
      <c r="BN6" s="1524"/>
      <c r="BO6" s="770"/>
      <c r="BP6" s="770"/>
      <c r="BQ6" s="770"/>
      <c r="BR6" s="770"/>
      <c r="BS6" s="1524"/>
      <c r="BT6" s="770"/>
      <c r="BU6" s="770"/>
      <c r="BV6" s="770"/>
      <c r="BW6" s="770"/>
      <c r="BX6" s="1524"/>
      <c r="BY6" s="770"/>
      <c r="BZ6" s="770"/>
      <c r="CA6" s="770"/>
      <c r="CB6" s="770"/>
      <c r="CC6" s="1524"/>
      <c r="CD6" s="770"/>
      <c r="CE6" s="770"/>
      <c r="CF6" s="770"/>
      <c r="CG6" s="770"/>
      <c r="CH6" s="1524"/>
      <c r="CI6" s="770"/>
      <c r="CJ6" s="770"/>
      <c r="CK6" s="770"/>
      <c r="CL6" s="770"/>
      <c r="CM6" s="1524"/>
      <c r="CN6" s="770"/>
      <c r="CO6" s="770"/>
      <c r="CP6" s="770"/>
      <c r="CQ6" s="770"/>
      <c r="CR6" s="1524"/>
      <c r="CS6" s="1524"/>
      <c r="CT6" s="1524"/>
      <c r="DB6" s="807"/>
    </row>
    <row r="7" spans="1:106" customFormat="1" ht="12.75" customHeight="1" x14ac:dyDescent="0.2">
      <c r="A7" s="1437" t="s">
        <v>604</v>
      </c>
      <c r="B7" s="770"/>
      <c r="C7" s="770"/>
      <c r="D7" s="770"/>
      <c r="E7" s="770"/>
      <c r="F7" s="1524"/>
      <c r="G7" s="770"/>
      <c r="H7" s="770"/>
      <c r="I7" s="770"/>
      <c r="J7" s="770"/>
      <c r="K7" s="1616"/>
      <c r="L7" s="374"/>
      <c r="M7" s="374"/>
      <c r="N7" s="374"/>
      <c r="O7" s="374"/>
      <c r="P7" s="1616"/>
      <c r="Q7" s="374"/>
      <c r="R7" s="374"/>
      <c r="S7" s="374"/>
      <c r="T7" s="374"/>
      <c r="U7" s="1616"/>
      <c r="V7" s="374"/>
      <c r="W7" s="374"/>
      <c r="X7" s="374"/>
      <c r="Y7" s="374"/>
      <c r="Z7" s="1616"/>
      <c r="AA7" s="374"/>
      <c r="AB7" s="374"/>
      <c r="AC7" s="374"/>
      <c r="AD7" s="374"/>
      <c r="AE7" s="1616"/>
      <c r="AF7" s="374"/>
      <c r="AG7" s="374"/>
      <c r="AH7" s="374"/>
      <c r="AI7" s="374"/>
      <c r="AJ7" s="1616"/>
      <c r="AK7" s="374"/>
      <c r="AL7" s="374"/>
      <c r="AM7" s="374"/>
      <c r="AN7" s="374"/>
      <c r="AO7" s="1616"/>
      <c r="AP7" s="374"/>
      <c r="AQ7" s="374"/>
      <c r="AR7" s="374"/>
      <c r="AS7" s="374"/>
      <c r="AT7" s="1616"/>
      <c r="AU7" s="374"/>
      <c r="AV7" s="374"/>
      <c r="AW7" s="374"/>
      <c r="AX7" s="374"/>
      <c r="AY7" s="1616"/>
      <c r="AZ7" s="374"/>
      <c r="BA7" s="374"/>
      <c r="BB7" s="374"/>
      <c r="BC7" s="374"/>
      <c r="BD7" s="1616"/>
      <c r="BE7" s="374"/>
      <c r="BF7" s="374"/>
      <c r="BG7" s="374"/>
      <c r="BH7" s="374"/>
      <c r="BI7" s="1616"/>
      <c r="BJ7" s="374"/>
      <c r="BK7" s="374"/>
      <c r="BL7" s="374"/>
      <c r="BM7" s="374"/>
      <c r="BN7" s="1616"/>
      <c r="BO7" s="374"/>
      <c r="BP7" s="374"/>
      <c r="BQ7" s="374"/>
      <c r="BR7" s="374"/>
      <c r="BS7" s="2091"/>
      <c r="BT7" s="374"/>
      <c r="BU7" s="374"/>
      <c r="BV7" s="374"/>
      <c r="BW7" s="374"/>
      <c r="BX7" s="1616"/>
      <c r="BY7" s="374"/>
      <c r="BZ7" s="374"/>
      <c r="CA7" s="374"/>
      <c r="CB7" s="374"/>
      <c r="CC7" s="1616"/>
      <c r="CD7" s="374"/>
      <c r="CE7" s="1201"/>
      <c r="CF7" s="1201"/>
      <c r="CG7" s="1201"/>
      <c r="CH7" s="2898"/>
      <c r="CI7" s="1201"/>
      <c r="CJ7" s="1201"/>
      <c r="CK7" s="1201"/>
      <c r="CL7" s="1201"/>
      <c r="CM7" s="2899"/>
      <c r="CN7" s="1201"/>
      <c r="CO7" s="1201"/>
      <c r="CP7" s="1201"/>
      <c r="CQ7" s="1201"/>
      <c r="CR7" s="1616"/>
      <c r="CS7" s="1616"/>
      <c r="CT7" s="1616"/>
      <c r="DB7" s="657"/>
    </row>
    <row r="8" spans="1:106" s="212" customFormat="1" ht="12.75" customHeight="1" x14ac:dyDescent="0.2">
      <c r="A8" s="1436" t="s">
        <v>1716</v>
      </c>
      <c r="B8" s="777"/>
      <c r="C8" s="777"/>
      <c r="D8" s="777"/>
      <c r="E8" s="777"/>
      <c r="F8" s="235"/>
      <c r="G8" s="777"/>
      <c r="H8" s="777"/>
      <c r="I8" s="777"/>
      <c r="J8" s="777"/>
      <c r="K8" s="235"/>
      <c r="L8" s="777"/>
      <c r="M8" s="777"/>
      <c r="N8" s="777"/>
      <c r="O8" s="777"/>
      <c r="P8" s="631"/>
      <c r="Q8" s="1943">
        <f t="shared" ref="Q8:AY8" si="0">+Q588</f>
        <v>-6.0000000000000001E-3</v>
      </c>
      <c r="R8" s="1943">
        <f t="shared" si="0"/>
        <v>-0.05</v>
      </c>
      <c r="S8" s="1943">
        <f t="shared" si="0"/>
        <v>-7.0000000000000001E-3</v>
      </c>
      <c r="T8" s="1943">
        <f t="shared" si="0"/>
        <v>4.0000000000000001E-3</v>
      </c>
      <c r="U8" s="1944">
        <f t="shared" si="0"/>
        <v>-1.2999999999999999E-2</v>
      </c>
      <c r="V8" s="1943">
        <f t="shared" si="0"/>
        <v>5.3999999999999999E-2</v>
      </c>
      <c r="W8" s="1943">
        <f t="shared" si="0"/>
        <v>9.2999999999999999E-2</v>
      </c>
      <c r="X8" s="1943">
        <f t="shared" si="0"/>
        <v>7.6999999999999999E-2</v>
      </c>
      <c r="Y8" s="1943">
        <f t="shared" si="0"/>
        <v>0.107</v>
      </c>
      <c r="Z8" s="1944">
        <f t="shared" si="0"/>
        <v>8.5000000000000006E-2</v>
      </c>
      <c r="AA8" s="1943">
        <f t="shared" si="0"/>
        <v>8.4000000000000005E-2</v>
      </c>
      <c r="AB8" s="1943">
        <f t="shared" si="0"/>
        <v>9.8000000000000004E-2</v>
      </c>
      <c r="AC8" s="1943">
        <f t="shared" si="0"/>
        <v>8.2000000000000003E-2</v>
      </c>
      <c r="AD8" s="1943">
        <f t="shared" si="0"/>
        <v>0.11</v>
      </c>
      <c r="AE8" s="1944">
        <f t="shared" si="0"/>
        <v>9.5000000000000001E-2</v>
      </c>
      <c r="AF8" s="1943">
        <f t="shared" si="0"/>
        <v>0.109</v>
      </c>
      <c r="AG8" s="1943">
        <f t="shared" si="0"/>
        <v>0.107</v>
      </c>
      <c r="AH8" s="1943">
        <f t="shared" si="0"/>
        <v>8.5999999999999993E-2</v>
      </c>
      <c r="AI8" s="1943">
        <f t="shared" si="0"/>
        <v>7.0000000000000007E-2</v>
      </c>
      <c r="AJ8" s="1944">
        <f t="shared" si="0"/>
        <v>9.0999999999999998E-2</v>
      </c>
      <c r="AK8" s="1943">
        <f t="shared" si="0"/>
        <v>5.0999999999999997E-2</v>
      </c>
      <c r="AL8" s="1943">
        <f t="shared" si="0"/>
        <v>5.6000000000000001E-2</v>
      </c>
      <c r="AM8" s="1943">
        <f t="shared" si="0"/>
        <v>6.7000000000000004E-2</v>
      </c>
      <c r="AN8" s="1943">
        <f t="shared" si="0"/>
        <v>6.2E-2</v>
      </c>
      <c r="AO8" s="1944">
        <f t="shared" si="0"/>
        <v>0.06</v>
      </c>
      <c r="AP8" s="1943">
        <f t="shared" si="0"/>
        <v>2.1999999999999999E-2</v>
      </c>
      <c r="AQ8" s="1943">
        <f t="shared" si="0"/>
        <v>1.2E-2</v>
      </c>
      <c r="AR8" s="1943">
        <f t="shared" si="0"/>
        <v>-7.0000000000000001E-3</v>
      </c>
      <c r="AS8" s="1943">
        <f t="shared" si="0"/>
        <v>-0.10100000000000001</v>
      </c>
      <c r="AT8" s="1944">
        <f t="shared" si="0"/>
        <v>-2.7E-2</v>
      </c>
      <c r="AU8" s="1943">
        <f t="shared" si="0"/>
        <v>-0.16200000000000001</v>
      </c>
      <c r="AV8" s="1943">
        <f t="shared" si="0"/>
        <v>-0.21199999999999999</v>
      </c>
      <c r="AW8" s="1943">
        <f t="shared" si="0"/>
        <v>-0.193</v>
      </c>
      <c r="AX8" s="1943">
        <f t="shared" si="0"/>
        <v>-0.125</v>
      </c>
      <c r="AY8" s="1944">
        <f t="shared" si="0"/>
        <v>-0.17899999999999999</v>
      </c>
      <c r="AZ8" s="1943">
        <f t="shared" ref="AZ8:BN8" si="1">+AZ588</f>
        <v>-1.7999999999999999E-2</v>
      </c>
      <c r="BA8" s="1943">
        <f t="shared" si="1"/>
        <v>6.3E-2</v>
      </c>
      <c r="BB8" s="1943">
        <f t="shared" si="1"/>
        <v>7.1999999999999995E-2</v>
      </c>
      <c r="BC8" s="1943">
        <f t="shared" si="1"/>
        <v>7.4999999999999997E-2</v>
      </c>
      <c r="BD8" s="1944">
        <f t="shared" si="1"/>
        <v>4.9000000000000002E-2</v>
      </c>
      <c r="BE8" s="1943">
        <f t="shared" si="1"/>
        <v>5.8000000000000003E-2</v>
      </c>
      <c r="BF8" s="1943">
        <f t="shared" si="1"/>
        <v>6.6000000000000003E-2</v>
      </c>
      <c r="BG8" s="1943">
        <f t="shared" si="1"/>
        <v>6.9000000000000006E-2</v>
      </c>
      <c r="BH8" s="1943">
        <f t="shared" si="1"/>
        <v>6.4000000000000001E-2</v>
      </c>
      <c r="BI8" s="1944">
        <f t="shared" si="1"/>
        <v>6.5000000000000002E-2</v>
      </c>
      <c r="BJ8" s="1943">
        <f t="shared" si="1"/>
        <v>6.9000000000000006E-2</v>
      </c>
      <c r="BK8" s="1943">
        <f t="shared" si="1"/>
        <v>6.5000000000000002E-2</v>
      </c>
      <c r="BL8" s="1943">
        <f t="shared" si="1"/>
        <v>6.3E-2</v>
      </c>
      <c r="BM8" s="1943">
        <f t="shared" si="1"/>
        <v>5.8999999999999997E-2</v>
      </c>
      <c r="BN8" s="1944">
        <f t="shared" si="1"/>
        <v>6.4000000000000001E-2</v>
      </c>
      <c r="BO8" s="1943">
        <f t="shared" ref="BO8:BU8" si="2">+BO588</f>
        <v>4.8000000000000001E-2</v>
      </c>
      <c r="BP8" s="1943">
        <f t="shared" si="2"/>
        <v>5.1999999999999998E-2</v>
      </c>
      <c r="BQ8" s="1943">
        <f t="shared" si="2"/>
        <v>5.1999999999999998E-2</v>
      </c>
      <c r="BR8" s="1943">
        <f t="shared" si="2"/>
        <v>4.7E-2</v>
      </c>
      <c r="BS8" s="1944">
        <f t="shared" si="2"/>
        <v>0.05</v>
      </c>
      <c r="BT8" s="1943">
        <f t="shared" si="2"/>
        <v>6.3E-2</v>
      </c>
      <c r="BU8" s="1943">
        <f t="shared" si="2"/>
        <v>0.06</v>
      </c>
      <c r="BV8" s="1943">
        <f t="shared" ref="BV8:CA8" si="3">+BV588</f>
        <v>8.6999999999999994E-2</v>
      </c>
      <c r="BW8" s="1943">
        <f t="shared" si="3"/>
        <v>6.7000000000000004E-2</v>
      </c>
      <c r="BX8" s="1944">
        <f t="shared" si="3"/>
        <v>7.0000000000000007E-2</v>
      </c>
      <c r="BY8" s="1943">
        <f t="shared" si="3"/>
        <v>6.9000000000000006E-2</v>
      </c>
      <c r="BZ8" s="1943">
        <f t="shared" si="3"/>
        <v>5.3999999999999999E-2</v>
      </c>
      <c r="CA8" s="2889">
        <f t="shared" si="3"/>
        <v>4.2000000000000003E-2</v>
      </c>
      <c r="CB8" s="2889">
        <f t="shared" ref="CB8:CG8" si="4">+CB588</f>
        <v>0.04</v>
      </c>
      <c r="CC8" s="2890">
        <f t="shared" si="4"/>
        <v>5.1999999999999998E-2</v>
      </c>
      <c r="CD8" s="1943">
        <f t="shared" si="4"/>
        <v>2.4E-2</v>
      </c>
      <c r="CE8" s="1943">
        <f t="shared" si="4"/>
        <v>3.2000000000000001E-2</v>
      </c>
      <c r="CF8" s="1943">
        <f t="shared" si="4"/>
        <v>2.4E-2</v>
      </c>
      <c r="CG8" s="1943">
        <f t="shared" si="4"/>
        <v>1.0999999999999999E-2</v>
      </c>
      <c r="CH8" s="2914">
        <f>AVERAGE(CD8:CG8)</f>
        <v>2.2749999999999999E-2</v>
      </c>
      <c r="CI8" s="1943">
        <f>+CI588</f>
        <v>3.1E-2</v>
      </c>
      <c r="CJ8" s="3628">
        <f>+CJ588</f>
        <v>8.9999999999999993E-3</v>
      </c>
      <c r="CK8" s="3628">
        <f>+CK588</f>
        <v>4.0000000000000001E-3</v>
      </c>
      <c r="CL8" s="1943">
        <f>+CL588</f>
        <v>3.9E-2</v>
      </c>
      <c r="CM8" s="2914">
        <f>AVERAGE(CI8:CL8)</f>
        <v>2.0749999999999998E-2</v>
      </c>
      <c r="CN8" s="3472">
        <f>+CN114</f>
        <v>1.2999999999999999E-2</v>
      </c>
      <c r="CO8" s="3472">
        <f>+CO114</f>
        <v>2.3E-2</v>
      </c>
      <c r="CP8" s="3472">
        <f>+CP114</f>
        <v>0.02</v>
      </c>
      <c r="CQ8" s="3472">
        <f>+CQ114</f>
        <v>1.7500000000000002E-2</v>
      </c>
      <c r="CR8" s="1458">
        <f>AVERAGE(CN8:CQ8)</f>
        <v>1.8374999999999999E-2</v>
      </c>
      <c r="CS8" s="1458">
        <f>+CS114</f>
        <v>1.4999999999999999E-2</v>
      </c>
      <c r="CT8" s="1458">
        <f>+CT114</f>
        <v>-0.03</v>
      </c>
      <c r="CU8" s="1867"/>
      <c r="CV8" s="1867"/>
      <c r="CW8" s="1867"/>
      <c r="CX8" s="1867"/>
      <c r="DB8" s="1226"/>
    </row>
    <row r="9" spans="1:106" s="212" customFormat="1" ht="12.75" customHeight="1" x14ac:dyDescent="0.2">
      <c r="A9" s="1434" t="s">
        <v>1644</v>
      </c>
      <c r="B9" s="777"/>
      <c r="C9" s="777"/>
      <c r="D9" s="777"/>
      <c r="E9" s="777"/>
      <c r="F9" s="235"/>
      <c r="G9" s="777"/>
      <c r="H9" s="777"/>
      <c r="I9" s="777"/>
      <c r="J9" s="777"/>
      <c r="K9" s="235"/>
      <c r="L9" s="777"/>
      <c r="M9" s="777"/>
      <c r="N9" s="777"/>
      <c r="O9" s="777"/>
      <c r="P9" s="631"/>
      <c r="Q9" s="1943">
        <f t="shared" ref="Q9:AY9" si="5">+Q224</f>
        <v>0.16300000000000001</v>
      </c>
      <c r="R9" s="1943">
        <f t="shared" si="5"/>
        <v>5.7000000000000002E-2</v>
      </c>
      <c r="S9" s="1943">
        <f t="shared" si="5"/>
        <v>6.4000000000000001E-2</v>
      </c>
      <c r="T9" s="1943">
        <f t="shared" si="5"/>
        <v>8.2000000000000003E-2</v>
      </c>
      <c r="U9" s="1944">
        <f t="shared" si="5"/>
        <v>8.5000000000000006E-2</v>
      </c>
      <c r="V9" s="1943">
        <f t="shared" si="5"/>
        <v>0.124</v>
      </c>
      <c r="W9" s="1943">
        <f t="shared" si="5"/>
        <v>0.17499999999999999</v>
      </c>
      <c r="X9" s="1943">
        <f t="shared" si="5"/>
        <v>0.21199999999999999</v>
      </c>
      <c r="Y9" s="1943">
        <f t="shared" si="5"/>
        <v>0.13100000000000001</v>
      </c>
      <c r="Z9" s="1944">
        <f t="shared" si="5"/>
        <v>0.14699999999999999</v>
      </c>
      <c r="AA9" s="1943">
        <f t="shared" si="5"/>
        <v>0.126</v>
      </c>
      <c r="AB9" s="1943">
        <f t="shared" si="5"/>
        <v>0.17399999999999999</v>
      </c>
      <c r="AC9" s="1943">
        <f t="shared" si="5"/>
        <v>0.125</v>
      </c>
      <c r="AD9" s="1943">
        <f t="shared" si="5"/>
        <v>0.107</v>
      </c>
      <c r="AE9" s="1944">
        <f t="shared" si="5"/>
        <v>0.13100000000000001</v>
      </c>
      <c r="AF9" s="1943">
        <f t="shared" si="5"/>
        <v>5.5E-2</v>
      </c>
      <c r="AG9" s="1943">
        <f t="shared" si="5"/>
        <v>0.126</v>
      </c>
      <c r="AH9" s="1943">
        <f t="shared" si="5"/>
        <v>8.3000000000000004E-2</v>
      </c>
      <c r="AI9" s="1943">
        <f t="shared" si="5"/>
        <v>0.122</v>
      </c>
      <c r="AJ9" s="1944">
        <f t="shared" si="5"/>
        <v>9.9000000000000005E-2</v>
      </c>
      <c r="AK9" s="1943">
        <f t="shared" si="5"/>
        <v>0.16900000000000001</v>
      </c>
      <c r="AL9" s="1943">
        <f t="shared" si="5"/>
        <v>8.5000000000000006E-2</v>
      </c>
      <c r="AM9" s="1943">
        <f t="shared" si="5"/>
        <v>0.108</v>
      </c>
      <c r="AN9" s="1943">
        <f t="shared" si="5"/>
        <v>0.124</v>
      </c>
      <c r="AO9" s="1944">
        <f t="shared" si="5"/>
        <v>0.11700000000000001</v>
      </c>
      <c r="AP9" s="1943">
        <f t="shared" si="5"/>
        <v>9.8000000000000004E-2</v>
      </c>
      <c r="AQ9" s="1943">
        <f t="shared" si="5"/>
        <v>0.05</v>
      </c>
      <c r="AR9" s="1943">
        <f t="shared" si="5"/>
        <v>8.1000000000000003E-2</v>
      </c>
      <c r="AS9" s="1943">
        <f t="shared" si="5"/>
        <v>6.6000000000000003E-2</v>
      </c>
      <c r="AT9" s="1944">
        <f t="shared" si="5"/>
        <v>7.3999999999999996E-2</v>
      </c>
      <c r="AU9" s="1943">
        <f t="shared" si="5"/>
        <v>-0.14099999999999999</v>
      </c>
      <c r="AV9" s="1943">
        <f t="shared" si="5"/>
        <v>-0.23400000000000001</v>
      </c>
      <c r="AW9" s="1943">
        <f t="shared" si="5"/>
        <v>-0.245</v>
      </c>
      <c r="AX9" s="1943">
        <f t="shared" si="5"/>
        <v>-0.152</v>
      </c>
      <c r="AY9" s="1944">
        <f t="shared" si="5"/>
        <v>-0.19600000000000001</v>
      </c>
      <c r="AZ9" s="1943">
        <f t="shared" ref="AZ9:BM9" si="6">+AZ224</f>
        <v>1.7999999999999999E-2</v>
      </c>
      <c r="BA9" s="1943">
        <f t="shared" si="6"/>
        <v>0.155</v>
      </c>
      <c r="BB9" s="1943">
        <f t="shared" si="6"/>
        <v>0.14199999999999999</v>
      </c>
      <c r="BC9" s="1943">
        <f t="shared" si="6"/>
        <v>9.4E-2</v>
      </c>
      <c r="BD9" s="1944">
        <f t="shared" si="6"/>
        <v>0.106</v>
      </c>
      <c r="BE9" s="1943">
        <f t="shared" si="6"/>
        <v>0.14399999999999999</v>
      </c>
      <c r="BF9" s="1943">
        <f t="shared" si="6"/>
        <v>0.124</v>
      </c>
      <c r="BG9" s="1943">
        <f t="shared" si="6"/>
        <v>0.124</v>
      </c>
      <c r="BH9" s="1943">
        <f t="shared" si="6"/>
        <v>9.4E-2</v>
      </c>
      <c r="BI9" s="1944">
        <f t="shared" si="6"/>
        <v>9.9000000000000005E-2</v>
      </c>
      <c r="BJ9" s="1943">
        <f t="shared" si="6"/>
        <v>7.5999999999999998E-2</v>
      </c>
      <c r="BK9" s="1943">
        <f t="shared" si="6"/>
        <v>6.9000000000000006E-2</v>
      </c>
      <c r="BL9" s="1943">
        <f t="shared" si="6"/>
        <v>0.03</v>
      </c>
      <c r="BM9" s="1943">
        <f t="shared" si="6"/>
        <v>3.4000000000000002E-2</v>
      </c>
      <c r="BN9" s="1944">
        <f t="shared" ref="BN9:BS9" si="7">+BN224</f>
        <v>5.2999999999999999E-2</v>
      </c>
      <c r="BO9" s="1943">
        <f t="shared" si="7"/>
        <v>6.0999999999999999E-2</v>
      </c>
      <c r="BP9" s="1943">
        <f t="shared" si="7"/>
        <v>4.3999999999999997E-2</v>
      </c>
      <c r="BQ9" s="1943">
        <f t="shared" si="7"/>
        <v>7.4999999999999997E-2</v>
      </c>
      <c r="BR9" s="1943">
        <f t="shared" si="7"/>
        <v>7.0999999999999994E-2</v>
      </c>
      <c r="BS9" s="1944">
        <f t="shared" si="7"/>
        <v>6.2E-2</v>
      </c>
      <c r="BT9" s="1943">
        <f t="shared" ref="BT9:BY9" si="8">+BT224</f>
        <v>9.9000000000000005E-2</v>
      </c>
      <c r="BU9" s="1943">
        <f t="shared" si="8"/>
        <v>0.106</v>
      </c>
      <c r="BV9" s="1943">
        <f t="shared" si="8"/>
        <v>0.109</v>
      </c>
      <c r="BW9" s="1943">
        <f t="shared" si="8"/>
        <v>7.6999999999999999E-2</v>
      </c>
      <c r="BX9" s="1944">
        <f t="shared" si="8"/>
        <v>9.4E-2</v>
      </c>
      <c r="BY9" s="1943">
        <f t="shared" si="8"/>
        <v>5.7000000000000002E-2</v>
      </c>
      <c r="BZ9" s="1943">
        <f t="shared" ref="BZ9:CE9" si="9">+BZ224</f>
        <v>0.05</v>
      </c>
      <c r="CA9" s="2889">
        <f t="shared" si="9"/>
        <v>1.4999999999999999E-2</v>
      </c>
      <c r="CB9" s="2889">
        <f t="shared" si="9"/>
        <v>2.9000000000000001E-2</v>
      </c>
      <c r="CC9" s="2890">
        <f t="shared" si="9"/>
        <v>4.1000000000000002E-2</v>
      </c>
      <c r="CD9" s="1943">
        <f t="shared" si="9"/>
        <v>0.04</v>
      </c>
      <c r="CE9" s="1943">
        <f t="shared" si="9"/>
        <v>-7.0000000000000001E-3</v>
      </c>
      <c r="CF9" s="1943">
        <f>+CF224</f>
        <v>2.9000000000000001E-2</v>
      </c>
      <c r="CG9" s="1943">
        <f>+CG224</f>
        <v>-2.5999999999999999E-2</v>
      </c>
      <c r="CH9" s="2914">
        <f>AVERAGE(CD9:CG9)</f>
        <v>9.0000000000000011E-3</v>
      </c>
      <c r="CI9" s="1943">
        <f>+CI224</f>
        <v>-1.6E-2</v>
      </c>
      <c r="CJ9" s="3628">
        <f>+CJ224</f>
        <v>3.5000000000000003E-2</v>
      </c>
      <c r="CK9" s="3628">
        <f>+CK224</f>
        <v>0</v>
      </c>
      <c r="CL9" s="1943">
        <f>+CL224</f>
        <v>5.6000000000000001E-2</v>
      </c>
      <c r="CM9" s="2914">
        <f>AVERAGE(CI9:CL9)</f>
        <v>1.8750000000000003E-2</v>
      </c>
      <c r="CN9" s="3472">
        <f t="shared" ref="CN9:CT9" si="10">+CN223</f>
        <v>0.03</v>
      </c>
      <c r="CO9" s="3472">
        <f t="shared" si="10"/>
        <v>0.03</v>
      </c>
      <c r="CP9" s="3472">
        <f t="shared" si="10"/>
        <v>0.02</v>
      </c>
      <c r="CQ9" s="3472">
        <f t="shared" si="10"/>
        <v>0.02</v>
      </c>
      <c r="CR9" s="1458">
        <f>AVERAGE(CN9:CQ9)</f>
        <v>2.5000000000000001E-2</v>
      </c>
      <c r="CS9" s="1458">
        <f t="shared" si="10"/>
        <v>1.4999999999999999E-2</v>
      </c>
      <c r="CT9" s="1458">
        <f t="shared" si="10"/>
        <v>-0.03</v>
      </c>
      <c r="DB9" s="1226"/>
    </row>
    <row r="10" spans="1:106" s="212" customFormat="1" ht="12.75" customHeight="1" x14ac:dyDescent="0.2">
      <c r="A10" s="1434" t="s">
        <v>1930</v>
      </c>
      <c r="B10" s="777"/>
      <c r="C10" s="777"/>
      <c r="D10" s="777"/>
      <c r="E10" s="777"/>
      <c r="F10" s="235"/>
      <c r="G10" s="777"/>
      <c r="H10" s="777"/>
      <c r="I10" s="777"/>
      <c r="J10" s="777"/>
      <c r="K10" s="235"/>
      <c r="L10" s="777"/>
      <c r="M10" s="777"/>
      <c r="N10" s="777"/>
      <c r="O10" s="777"/>
      <c r="P10" s="631"/>
      <c r="Q10" s="733"/>
      <c r="R10" s="733"/>
      <c r="S10" s="733"/>
      <c r="T10" s="733"/>
      <c r="U10" s="1458"/>
      <c r="V10" s="733"/>
      <c r="W10" s="733"/>
      <c r="X10" s="733"/>
      <c r="Y10" s="733"/>
      <c r="Z10" s="1458"/>
      <c r="AA10" s="733"/>
      <c r="AB10" s="733"/>
      <c r="AC10" s="733"/>
      <c r="AD10" s="733"/>
      <c r="AE10" s="1458"/>
      <c r="AF10" s="733"/>
      <c r="AG10" s="733"/>
      <c r="AH10" s="733"/>
      <c r="AI10" s="733"/>
      <c r="AJ10" s="1458"/>
      <c r="AK10" s="733"/>
      <c r="AL10" s="733"/>
      <c r="AM10" s="733"/>
      <c r="AN10" s="733"/>
      <c r="AO10" s="1458"/>
      <c r="AP10" s="733"/>
      <c r="AQ10" s="733"/>
      <c r="AR10" s="733"/>
      <c r="AS10" s="733"/>
      <c r="AT10" s="1458"/>
      <c r="AU10" s="733"/>
      <c r="AV10" s="733"/>
      <c r="AW10" s="733"/>
      <c r="AX10" s="733"/>
      <c r="AY10" s="1458"/>
      <c r="AZ10" s="1943"/>
      <c r="BA10" s="1943"/>
      <c r="BB10" s="1943"/>
      <c r="BC10" s="1943"/>
      <c r="BD10" s="1944"/>
      <c r="BE10" s="1943">
        <f t="shared" ref="BE10:BM10" si="11">+BE227</f>
        <v>7.1999999999999995E-2</v>
      </c>
      <c r="BF10" s="1943">
        <f t="shared" si="11"/>
        <v>9.0999999999999998E-2</v>
      </c>
      <c r="BG10" s="1943">
        <f t="shared" si="11"/>
        <v>5.8000000000000003E-2</v>
      </c>
      <c r="BH10" s="1943">
        <f t="shared" si="11"/>
        <v>1.6E-2</v>
      </c>
      <c r="BI10" s="1944">
        <f t="shared" si="11"/>
        <v>5.2999999999999999E-2</v>
      </c>
      <c r="BJ10" s="1943">
        <f t="shared" si="11"/>
        <v>3.5000000000000003E-2</v>
      </c>
      <c r="BK10" s="1943">
        <f t="shared" si="11"/>
        <v>2.9000000000000001E-2</v>
      </c>
      <c r="BL10" s="1943">
        <f t="shared" si="11"/>
        <v>3.7999999999999999E-2</v>
      </c>
      <c r="BM10" s="1943">
        <f t="shared" si="11"/>
        <v>1.7999999999999999E-2</v>
      </c>
      <c r="BN10" s="1944">
        <f t="shared" ref="BN10:BS10" si="12">+BN227</f>
        <v>2.8000000000000001E-2</v>
      </c>
      <c r="BO10" s="1943">
        <f t="shared" si="12"/>
        <v>-1.7999999999999999E-2</v>
      </c>
      <c r="BP10" s="1943">
        <f t="shared" si="12"/>
        <v>1.2E-2</v>
      </c>
      <c r="BQ10" s="1943">
        <f t="shared" si="12"/>
        <v>2.1999999999999999E-2</v>
      </c>
      <c r="BR10" s="1943">
        <f t="shared" si="12"/>
        <v>3.3000000000000002E-2</v>
      </c>
      <c r="BS10" s="1944">
        <f t="shared" si="12"/>
        <v>1.4999999999999999E-2</v>
      </c>
      <c r="BT10" s="1943">
        <f t="shared" ref="BT10:BY10" si="13">+BT227</f>
        <v>3.5999999999999997E-2</v>
      </c>
      <c r="BU10" s="1943">
        <f t="shared" si="13"/>
        <v>1.6E-2</v>
      </c>
      <c r="BV10" s="1943">
        <f t="shared" si="13"/>
        <v>3.2000000000000001E-2</v>
      </c>
      <c r="BW10" s="1943">
        <f t="shared" si="13"/>
        <v>2.7E-2</v>
      </c>
      <c r="BX10" s="1944">
        <f t="shared" si="13"/>
        <v>2.7E-2</v>
      </c>
      <c r="BY10" s="1943">
        <f t="shared" si="13"/>
        <v>7.0000000000000007E-2</v>
      </c>
      <c r="BZ10" s="1943">
        <f t="shared" ref="BZ10:CE10" si="14">+BZ227</f>
        <v>4.1000000000000002E-2</v>
      </c>
      <c r="CA10" s="2889">
        <f t="shared" si="14"/>
        <v>9.2999999999999999E-2</v>
      </c>
      <c r="CB10" s="2889">
        <f t="shared" si="14"/>
        <v>4.1000000000000002E-2</v>
      </c>
      <c r="CC10" s="2890">
        <f t="shared" si="14"/>
        <v>6.2E-2</v>
      </c>
      <c r="CD10" s="1943">
        <f t="shared" si="14"/>
        <v>2.7E-2</v>
      </c>
      <c r="CE10" s="1943">
        <f t="shared" si="14"/>
        <v>3.4000000000000002E-2</v>
      </c>
      <c r="CF10" s="1943">
        <f>+CF227</f>
        <v>7.0000000000000001E-3</v>
      </c>
      <c r="CG10" s="1943">
        <f>+CG227</f>
        <v>1.7000000000000001E-2</v>
      </c>
      <c r="CH10" s="2914">
        <f>AVERAGE(CD10:CG10)</f>
        <v>2.1250000000000002E-2</v>
      </c>
      <c r="CI10" s="1943">
        <f>+CI227</f>
        <v>7.0000000000000007E-2</v>
      </c>
      <c r="CJ10" s="3628">
        <f>+CJ227</f>
        <v>7.0000000000000007E-2</v>
      </c>
      <c r="CK10" s="3628">
        <f>+CK227</f>
        <v>0.08</v>
      </c>
      <c r="CL10" s="1943">
        <f>+CL227</f>
        <v>5.3999999999999999E-2</v>
      </c>
      <c r="CM10" s="2914">
        <f>AVERAGE(CI10:CL10)</f>
        <v>6.8500000000000005E-2</v>
      </c>
      <c r="CN10" s="3472">
        <f t="shared" ref="CN10:CT10" si="15">+CN226</f>
        <v>0.04</v>
      </c>
      <c r="CO10" s="3472">
        <f t="shared" si="15"/>
        <v>0.04</v>
      </c>
      <c r="CP10" s="3472">
        <f t="shared" si="15"/>
        <v>0.04</v>
      </c>
      <c r="CQ10" s="3472">
        <f t="shared" si="15"/>
        <v>0.04</v>
      </c>
      <c r="CR10" s="1458">
        <f>AVERAGE(CN10:CQ10)</f>
        <v>0.04</v>
      </c>
      <c r="CS10" s="1458">
        <f t="shared" si="15"/>
        <v>0.02</v>
      </c>
      <c r="CT10" s="1458">
        <f t="shared" si="15"/>
        <v>-0.03</v>
      </c>
      <c r="DB10" s="1226"/>
    </row>
    <row r="11" spans="1:106" s="212" customFormat="1" ht="12.75" customHeight="1" x14ac:dyDescent="0.2">
      <c r="A11" s="1434" t="s">
        <v>1645</v>
      </c>
      <c r="B11" s="777"/>
      <c r="C11" s="777"/>
      <c r="D11" s="777"/>
      <c r="E11" s="777"/>
      <c r="F11" s="235"/>
      <c r="G11" s="777"/>
      <c r="H11" s="777"/>
      <c r="I11" s="777"/>
      <c r="J11" s="777"/>
      <c r="K11" s="235"/>
      <c r="L11" s="777"/>
      <c r="M11" s="777"/>
      <c r="N11" s="777"/>
      <c r="O11" s="777"/>
      <c r="P11" s="631"/>
      <c r="Q11" s="1943">
        <f t="shared" ref="Q11:AY11" si="16">+Q236</f>
        <v>0.34100000000000003</v>
      </c>
      <c r="R11" s="1943">
        <f t="shared" si="16"/>
        <v>-0.14199999999999999</v>
      </c>
      <c r="S11" s="1943">
        <f t="shared" si="16"/>
        <v>0.22600000000000001</v>
      </c>
      <c r="T11" s="1943">
        <f t="shared" si="16"/>
        <v>0.26500000000000001</v>
      </c>
      <c r="U11" s="1944">
        <f t="shared" si="16"/>
        <v>0.158</v>
      </c>
      <c r="V11" s="1943">
        <f t="shared" si="16"/>
        <v>0.28100000000000003</v>
      </c>
      <c r="W11" s="1943">
        <f t="shared" si="16"/>
        <v>0.45</v>
      </c>
      <c r="X11" s="1943">
        <f t="shared" si="16"/>
        <v>2.7E-2</v>
      </c>
      <c r="Y11" s="1943">
        <f t="shared" si="16"/>
        <v>0.19800000000000001</v>
      </c>
      <c r="Z11" s="1944">
        <f t="shared" si="16"/>
        <v>0.28100000000000003</v>
      </c>
      <c r="AA11" s="1943">
        <f t="shared" si="16"/>
        <v>0.28000000000000003</v>
      </c>
      <c r="AB11" s="1943">
        <f t="shared" si="16"/>
        <v>0.313</v>
      </c>
      <c r="AC11" s="1943">
        <f t="shared" si="16"/>
        <v>0.184</v>
      </c>
      <c r="AD11" s="1943">
        <f t="shared" si="16"/>
        <v>0.313</v>
      </c>
      <c r="AE11" s="1944">
        <f t="shared" si="16"/>
        <v>0.29299999999999998</v>
      </c>
      <c r="AF11" s="1943">
        <f t="shared" si="16"/>
        <v>9.0999999999999998E-2</v>
      </c>
      <c r="AG11" s="1943">
        <f t="shared" si="16"/>
        <v>0.14199999999999999</v>
      </c>
      <c r="AH11" s="1943">
        <f t="shared" si="16"/>
        <v>9.4E-2</v>
      </c>
      <c r="AI11" s="1943">
        <f t="shared" si="16"/>
        <v>8.4000000000000005E-2</v>
      </c>
      <c r="AJ11" s="1944">
        <f t="shared" si="16"/>
        <v>0.10299999999999999</v>
      </c>
      <c r="AK11" s="1943">
        <f t="shared" si="16"/>
        <v>0.20699999999999999</v>
      </c>
      <c r="AL11" s="1943">
        <f t="shared" si="16"/>
        <v>0.16500000000000001</v>
      </c>
      <c r="AM11" s="1943">
        <f t="shared" si="16"/>
        <v>0.151</v>
      </c>
      <c r="AN11" s="1943">
        <f t="shared" si="16"/>
        <v>0.155</v>
      </c>
      <c r="AO11" s="1944">
        <f t="shared" si="16"/>
        <v>0.17</v>
      </c>
      <c r="AP11" s="1943">
        <f t="shared" si="16"/>
        <v>0.13900000000000001</v>
      </c>
      <c r="AQ11" s="1943">
        <f t="shared" si="16"/>
        <v>0.222</v>
      </c>
      <c r="AR11" s="1943">
        <f t="shared" si="16"/>
        <v>0.17899999999999999</v>
      </c>
      <c r="AS11" s="1943">
        <f t="shared" si="16"/>
        <v>6.6000000000000003E-2</v>
      </c>
      <c r="AT11" s="1944">
        <f t="shared" si="16"/>
        <v>0.14399999999999999</v>
      </c>
      <c r="AU11" s="1943">
        <f t="shared" si="16"/>
        <v>-0.105</v>
      </c>
      <c r="AV11" s="1943">
        <f t="shared" si="16"/>
        <v>-0.222</v>
      </c>
      <c r="AW11" s="1943">
        <f t="shared" si="16"/>
        <v>-0.27800000000000002</v>
      </c>
      <c r="AX11" s="1943">
        <f t="shared" si="16"/>
        <v>-0.13900000000000001</v>
      </c>
      <c r="AY11" s="1944">
        <f t="shared" si="16"/>
        <v>-0.189</v>
      </c>
      <c r="AZ11" s="1943">
        <f t="shared" ref="AZ11:BM11" si="17">+AZ236</f>
        <v>-0.11600000000000001</v>
      </c>
      <c r="BA11" s="1943">
        <f t="shared" si="17"/>
        <v>-0.02</v>
      </c>
      <c r="BB11" s="1943">
        <f t="shared" si="17"/>
        <v>-1.9E-2</v>
      </c>
      <c r="BC11" s="1943">
        <f t="shared" si="17"/>
        <v>8.9999999999999993E-3</v>
      </c>
      <c r="BD11" s="1944">
        <f t="shared" si="17"/>
        <v>-2.3E-2</v>
      </c>
      <c r="BE11" s="1943">
        <f t="shared" si="17"/>
        <v>5.3999999999999999E-2</v>
      </c>
      <c r="BF11" s="1943">
        <f t="shared" si="17"/>
        <v>-0.159</v>
      </c>
      <c r="BG11" s="1943">
        <f t="shared" si="17"/>
        <v>-9.0999999999999998E-2</v>
      </c>
      <c r="BH11" s="1943">
        <f t="shared" si="17"/>
        <v>-8.5000000000000006E-2</v>
      </c>
      <c r="BI11" s="1944">
        <f t="shared" si="17"/>
        <v>-8.5000000000000006E-2</v>
      </c>
      <c r="BJ11" s="1943">
        <f t="shared" si="17"/>
        <v>-5.7000000000000002E-2</v>
      </c>
      <c r="BK11" s="1943">
        <f t="shared" si="17"/>
        <v>0.114</v>
      </c>
      <c r="BL11" s="1943">
        <f t="shared" si="17"/>
        <v>0.13</v>
      </c>
      <c r="BM11" s="1943">
        <f t="shared" si="17"/>
        <v>0.10100000000000001</v>
      </c>
      <c r="BN11" s="1944">
        <f t="shared" ref="BN11:BS11" si="18">+BN236</f>
        <v>9.1999999999999998E-2</v>
      </c>
      <c r="BO11" s="1943">
        <f t="shared" si="18"/>
        <v>0.112</v>
      </c>
      <c r="BP11" s="1943">
        <f t="shared" si="18"/>
        <v>5.7000000000000002E-2</v>
      </c>
      <c r="BQ11" s="1943">
        <f t="shared" si="18"/>
        <v>-0.113</v>
      </c>
      <c r="BR11" s="1943">
        <f t="shared" si="18"/>
        <v>-0.107</v>
      </c>
      <c r="BS11" s="1944">
        <f t="shared" si="18"/>
        <v>-1.4999999999999999E-2</v>
      </c>
      <c r="BT11" s="1943">
        <f t="shared" ref="BT11:BY11" si="19">+BT236</f>
        <v>4.0000000000000001E-3</v>
      </c>
      <c r="BU11" s="1943">
        <f t="shared" si="19"/>
        <v>4.9000000000000002E-2</v>
      </c>
      <c r="BV11" s="1943">
        <f t="shared" si="19"/>
        <v>0.15</v>
      </c>
      <c r="BW11" s="1943">
        <f t="shared" si="19"/>
        <v>0.14899999999999999</v>
      </c>
      <c r="BX11" s="1944">
        <f t="shared" si="19"/>
        <v>8.1000000000000003E-2</v>
      </c>
      <c r="BY11" s="1943">
        <f t="shared" si="19"/>
        <v>9.2999999999999999E-2</v>
      </c>
      <c r="BZ11" s="1943">
        <f t="shared" ref="BZ11:CE11" si="20">+BZ236</f>
        <v>8.0000000000000002E-3</v>
      </c>
      <c r="CA11" s="2889">
        <f t="shared" si="20"/>
        <v>3.9E-2</v>
      </c>
      <c r="CB11" s="2889">
        <f t="shared" si="20"/>
        <v>-6.4000000000000001E-2</v>
      </c>
      <c r="CC11" s="2890">
        <f t="shared" si="20"/>
        <v>1.6E-2</v>
      </c>
      <c r="CD11" s="1943">
        <f t="shared" si="20"/>
        <v>-2.3E-2</v>
      </c>
      <c r="CE11" s="1943">
        <f t="shared" si="20"/>
        <v>-5.8999999999999997E-2</v>
      </c>
      <c r="CF11" s="1943">
        <f>+CF236</f>
        <v>4.4999999999999998E-2</v>
      </c>
      <c r="CG11" s="1943">
        <f>+CG236</f>
        <v>-1.0999999999999999E-2</v>
      </c>
      <c r="CH11" s="2914">
        <f>AVERAGE(CD11:CG11)</f>
        <v>-1.1999999999999997E-2</v>
      </c>
      <c r="CI11" s="1943">
        <f>+CI236</f>
        <v>-3.0000000000000001E-3</v>
      </c>
      <c r="CJ11" s="3628">
        <f>+CJ236</f>
        <v>2.4E-2</v>
      </c>
      <c r="CK11" s="3628">
        <f>+CK236</f>
        <v>-7.0000000000000001E-3</v>
      </c>
      <c r="CL11" s="1943">
        <f>+CL236</f>
        <v>5.7000000000000002E-2</v>
      </c>
      <c r="CM11" s="2914">
        <f>AVERAGE(CI11:CL11)</f>
        <v>1.7750000000000002E-2</v>
      </c>
      <c r="CN11" s="3472">
        <f t="shared" ref="CN11:CT11" si="21">+CN235</f>
        <v>0</v>
      </c>
      <c r="CO11" s="3472">
        <f t="shared" si="21"/>
        <v>-5.0000000000000001E-3</v>
      </c>
      <c r="CP11" s="3472">
        <f t="shared" si="21"/>
        <v>0.01</v>
      </c>
      <c r="CQ11" s="3472">
        <f t="shared" si="21"/>
        <v>0.01</v>
      </c>
      <c r="CR11" s="1458">
        <f>AVERAGE(CN11:CQ11)</f>
        <v>3.7499999999999999E-3</v>
      </c>
      <c r="CS11" s="1458">
        <f t="shared" si="21"/>
        <v>1.4999999999999999E-2</v>
      </c>
      <c r="CT11" s="1458">
        <f t="shared" si="21"/>
        <v>-0.03</v>
      </c>
      <c r="DB11" s="1226"/>
    </row>
    <row r="12" spans="1:106" s="212" customFormat="1" ht="12.75" customHeight="1" x14ac:dyDescent="0.2">
      <c r="A12" s="1434" t="s">
        <v>808</v>
      </c>
      <c r="B12" s="777"/>
      <c r="C12" s="777"/>
      <c r="D12" s="777"/>
      <c r="E12" s="777"/>
      <c r="F12" s="235"/>
      <c r="G12" s="777"/>
      <c r="H12" s="777"/>
      <c r="I12" s="777"/>
      <c r="J12" s="777"/>
      <c r="K12" s="235"/>
      <c r="L12" s="777"/>
      <c r="M12" s="777"/>
      <c r="N12" s="777"/>
      <c r="O12" s="777"/>
      <c r="P12" s="631"/>
      <c r="Q12" s="1943">
        <f t="shared" ref="Q12:AY12" si="22">+Q239</f>
        <v>7.1999999999999995E-2</v>
      </c>
      <c r="R12" s="1943">
        <f t="shared" si="22"/>
        <v>-0.28299999999999997</v>
      </c>
      <c r="S12" s="1943">
        <f t="shared" si="22"/>
        <v>-0.11</v>
      </c>
      <c r="T12" s="1943">
        <f t="shared" si="22"/>
        <v>3.7999999999999999E-2</v>
      </c>
      <c r="U12" s="1944">
        <f t="shared" si="22"/>
        <v>-6.8000000000000005E-2</v>
      </c>
      <c r="V12" s="1943">
        <f t="shared" si="22"/>
        <v>2.1999999999999999E-2</v>
      </c>
      <c r="W12" s="1943">
        <f t="shared" si="22"/>
        <v>0.54500000000000004</v>
      </c>
      <c r="X12" s="1943">
        <f t="shared" si="22"/>
        <v>0.28899999999999998</v>
      </c>
      <c r="Y12" s="1943">
        <f t="shared" si="22"/>
        <v>0.112</v>
      </c>
      <c r="Z12" s="1944">
        <f t="shared" si="22"/>
        <v>0.22600000000000001</v>
      </c>
      <c r="AA12" s="1943">
        <f t="shared" si="22"/>
        <v>0.14199999999999999</v>
      </c>
      <c r="AB12" s="1943">
        <f t="shared" si="22"/>
        <v>0.18099999999999999</v>
      </c>
      <c r="AC12" s="1943">
        <f t="shared" si="22"/>
        <v>0.12</v>
      </c>
      <c r="AD12" s="1943">
        <f t="shared" si="22"/>
        <v>0.14399999999999999</v>
      </c>
      <c r="AE12" s="1944">
        <f t="shared" si="22"/>
        <v>0.14699999999999999</v>
      </c>
      <c r="AF12" s="1943">
        <f t="shared" si="22"/>
        <v>0.154</v>
      </c>
      <c r="AG12" s="1943">
        <f t="shared" si="22"/>
        <v>9.8000000000000004E-2</v>
      </c>
      <c r="AH12" s="1943">
        <f t="shared" si="22"/>
        <v>0.104</v>
      </c>
      <c r="AI12" s="1943">
        <f t="shared" si="22"/>
        <v>0.112</v>
      </c>
      <c r="AJ12" s="1944">
        <f t="shared" si="22"/>
        <v>0.112</v>
      </c>
      <c r="AK12" s="1943">
        <f t="shared" si="22"/>
        <v>9.9000000000000005E-2</v>
      </c>
      <c r="AL12" s="1943">
        <f t="shared" si="22"/>
        <v>8.8999999999999996E-2</v>
      </c>
      <c r="AM12" s="1943">
        <f t="shared" si="22"/>
        <v>5.2999999999999999E-2</v>
      </c>
      <c r="AN12" s="1943">
        <f t="shared" si="22"/>
        <v>5.1999999999999998E-2</v>
      </c>
      <c r="AO12" s="1944">
        <f t="shared" si="22"/>
        <v>7.0000000000000007E-2</v>
      </c>
      <c r="AP12" s="1943">
        <f t="shared" si="22"/>
        <v>6.6000000000000003E-2</v>
      </c>
      <c r="AQ12" s="1943">
        <f t="shared" si="22"/>
        <v>4.1000000000000002E-2</v>
      </c>
      <c r="AR12" s="1943">
        <f t="shared" si="22"/>
        <v>2.8000000000000001E-2</v>
      </c>
      <c r="AS12" s="1943">
        <f t="shared" si="22"/>
        <v>-0.108</v>
      </c>
      <c r="AT12" s="1944">
        <f t="shared" si="22"/>
        <v>-8.0000000000000002E-3</v>
      </c>
      <c r="AU12" s="1943">
        <f t="shared" si="22"/>
        <v>-0.188</v>
      </c>
      <c r="AV12" s="1943">
        <f t="shared" si="22"/>
        <v>-0.26700000000000002</v>
      </c>
      <c r="AW12" s="1943">
        <f t="shared" si="22"/>
        <v>-0.25</v>
      </c>
      <c r="AX12" s="1943">
        <f t="shared" si="22"/>
        <v>-9.9000000000000005E-2</v>
      </c>
      <c r="AY12" s="1944">
        <f t="shared" si="22"/>
        <v>-0.193</v>
      </c>
      <c r="AZ12" s="1943">
        <f t="shared" ref="AZ12:BM12" si="23">+AZ239</f>
        <v>8.2000000000000003E-2</v>
      </c>
      <c r="BA12" s="1943">
        <f t="shared" si="23"/>
        <v>0.21</v>
      </c>
      <c r="BB12" s="1943">
        <f t="shared" si="23"/>
        <v>0.21</v>
      </c>
      <c r="BC12" s="1943">
        <f t="shared" si="23"/>
        <v>0.13600000000000001</v>
      </c>
      <c r="BD12" s="1944">
        <f t="shared" si="23"/>
        <v>0.16500000000000001</v>
      </c>
      <c r="BE12" s="1943">
        <f t="shared" si="23"/>
        <v>0.17199999999999999</v>
      </c>
      <c r="BF12" s="1943">
        <f t="shared" si="23"/>
        <v>0.11799999999999999</v>
      </c>
      <c r="BG12" s="1943">
        <f t="shared" si="23"/>
        <v>8.5000000000000006E-2</v>
      </c>
      <c r="BH12" s="1943">
        <f t="shared" si="23"/>
        <v>8.4000000000000005E-2</v>
      </c>
      <c r="BI12" s="1944">
        <f t="shared" si="23"/>
        <v>0.10299999999999999</v>
      </c>
      <c r="BJ12" s="1943">
        <f t="shared" si="23"/>
        <v>0.14000000000000001</v>
      </c>
      <c r="BK12" s="1943">
        <f t="shared" si="23"/>
        <v>0.111</v>
      </c>
      <c r="BL12" s="1943">
        <f t="shared" si="23"/>
        <v>6.8000000000000005E-2</v>
      </c>
      <c r="BM12" s="1943">
        <f t="shared" si="23"/>
        <v>3.4000000000000002E-2</v>
      </c>
      <c r="BN12" s="1944">
        <f t="shared" ref="BN12:BS12" si="24">+BN239</f>
        <v>7.5999999999999998E-2</v>
      </c>
      <c r="BO12" s="1943">
        <f t="shared" si="24"/>
        <v>3.3000000000000002E-2</v>
      </c>
      <c r="BP12" s="1943">
        <f t="shared" si="24"/>
        <v>2.5000000000000001E-2</v>
      </c>
      <c r="BQ12" s="1943">
        <f t="shared" si="24"/>
        <v>3.7999999999999999E-2</v>
      </c>
      <c r="BR12" s="1943">
        <f t="shared" si="24"/>
        <v>3.7999999999999999E-2</v>
      </c>
      <c r="BS12" s="1944">
        <f t="shared" si="24"/>
        <v>3.4000000000000002E-2</v>
      </c>
      <c r="BT12" s="1943">
        <f t="shared" ref="BT12:BY12" si="25">+BT239</f>
        <v>6.4000000000000001E-2</v>
      </c>
      <c r="BU12" s="1943">
        <f t="shared" si="25"/>
        <v>5.6000000000000001E-2</v>
      </c>
      <c r="BV12" s="1943">
        <f t="shared" si="25"/>
        <v>4.9000000000000002E-2</v>
      </c>
      <c r="BW12" s="1943">
        <f t="shared" si="25"/>
        <v>2.9000000000000001E-2</v>
      </c>
      <c r="BX12" s="1944">
        <f t="shared" si="25"/>
        <v>0.05</v>
      </c>
      <c r="BY12" s="1943">
        <f t="shared" si="25"/>
        <v>6.2E-2</v>
      </c>
      <c r="BZ12" s="1943">
        <f t="shared" ref="BZ12:CE12" si="26">+BZ239</f>
        <v>5.7000000000000002E-2</v>
      </c>
      <c r="CA12" s="2889">
        <f t="shared" si="26"/>
        <v>4.9000000000000002E-2</v>
      </c>
      <c r="CB12" s="2889">
        <f t="shared" si="26"/>
        <v>4.7E-2</v>
      </c>
      <c r="CC12" s="2890">
        <f t="shared" si="26"/>
        <v>5.5E-2</v>
      </c>
      <c r="CD12" s="1943">
        <f t="shared" si="26"/>
        <v>7.3999999999999996E-2</v>
      </c>
      <c r="CE12" s="1943">
        <f t="shared" si="26"/>
        <v>5.7000000000000002E-2</v>
      </c>
      <c r="CF12" s="1943">
        <f>+CF239</f>
        <v>5.1999999999999998E-2</v>
      </c>
      <c r="CG12" s="1943">
        <f>+CG239</f>
        <v>7.0000000000000001E-3</v>
      </c>
      <c r="CH12" s="2914">
        <f>AVERAGE(CD12:CG12)</f>
        <v>4.7500000000000001E-2</v>
      </c>
      <c r="CI12" s="1943">
        <f>+CI239</f>
        <v>4.9000000000000002E-2</v>
      </c>
      <c r="CJ12" s="3628">
        <f>+CJ239</f>
        <v>6.8000000000000005E-2</v>
      </c>
      <c r="CK12" s="3628">
        <f>+CK239</f>
        <v>6.2E-2</v>
      </c>
      <c r="CL12" s="1943">
        <f>+CL239</f>
        <v>7.1999999999999995E-2</v>
      </c>
      <c r="CM12" s="2914">
        <f>AVERAGE(CI12:CL12)</f>
        <v>6.275E-2</v>
      </c>
      <c r="CN12" s="3472">
        <f t="shared" ref="CN12:CT12" si="27">+CN238</f>
        <v>0.06</v>
      </c>
      <c r="CO12" s="3472">
        <f t="shared" si="27"/>
        <v>7.0000000000000007E-2</v>
      </c>
      <c r="CP12" s="3472">
        <f t="shared" si="27"/>
        <v>0.04</v>
      </c>
      <c r="CQ12" s="3472">
        <f t="shared" si="27"/>
        <v>0.05</v>
      </c>
      <c r="CR12" s="1458">
        <f>AVERAGE(CN12:CQ12)</f>
        <v>5.5000000000000007E-2</v>
      </c>
      <c r="CS12" s="1458">
        <f t="shared" si="27"/>
        <v>0.04</v>
      </c>
      <c r="CT12" s="1458">
        <f t="shared" si="27"/>
        <v>-0.02</v>
      </c>
      <c r="DB12" s="1226"/>
    </row>
    <row r="13" spans="1:106" s="212" customFormat="1" ht="12.75" customHeight="1" x14ac:dyDescent="0.2">
      <c r="A13" s="331" t="s">
        <v>2307</v>
      </c>
      <c r="B13" s="1615"/>
      <c r="C13" s="1615"/>
      <c r="D13" s="1615"/>
      <c r="E13" s="1615"/>
      <c r="F13" s="1634"/>
      <c r="G13" s="1615"/>
      <c r="H13" s="1615"/>
      <c r="I13" s="1615"/>
      <c r="J13" s="1615"/>
      <c r="K13" s="1634"/>
      <c r="L13" s="1615"/>
      <c r="M13" s="1615"/>
      <c r="N13" s="1615"/>
      <c r="O13" s="1615"/>
      <c r="P13" s="1636"/>
      <c r="Q13" s="1871">
        <f t="shared" ref="Q13:AJ13" si="28">Q674</f>
        <v>4.2000000000000003E-2</v>
      </c>
      <c r="R13" s="1871">
        <f t="shared" si="28"/>
        <v>-0.11600000000000001</v>
      </c>
      <c r="S13" s="1871">
        <f t="shared" si="28"/>
        <v>-2.1000000000000001E-2</v>
      </c>
      <c r="T13" s="1871">
        <f t="shared" si="28"/>
        <v>3.4000000000000002E-2</v>
      </c>
      <c r="U13" s="1872">
        <f t="shared" si="28"/>
        <v>1.4999999999999999E-2</v>
      </c>
      <c r="V13" s="1871">
        <f t="shared" si="28"/>
        <v>7.8E-2</v>
      </c>
      <c r="W13" s="1871">
        <f t="shared" si="28"/>
        <v>0.14000000000000001</v>
      </c>
      <c r="X13" s="1871">
        <f t="shared" si="28"/>
        <v>9.2999999999999999E-2</v>
      </c>
      <c r="Y13" s="1871">
        <f t="shared" si="28"/>
        <v>0.10199999999999999</v>
      </c>
      <c r="Z13" s="1872">
        <f t="shared" si="28"/>
        <v>9.6000000000000002E-2</v>
      </c>
      <c r="AA13" s="1871">
        <f t="shared" si="28"/>
        <v>8.7999999999999995E-2</v>
      </c>
      <c r="AB13" s="1871">
        <f t="shared" si="28"/>
        <v>0.104</v>
      </c>
      <c r="AC13" s="1871">
        <f t="shared" si="28"/>
        <v>8.7999999999999995E-2</v>
      </c>
      <c r="AD13" s="1871">
        <f t="shared" si="28"/>
        <v>0.11</v>
      </c>
      <c r="AE13" s="1872">
        <f t="shared" si="28"/>
        <v>9.9000000000000005E-2</v>
      </c>
      <c r="AF13" s="2634">
        <f t="shared" si="28"/>
        <v>0.108</v>
      </c>
      <c r="AG13" s="2634">
        <f t="shared" si="28"/>
        <v>0.107</v>
      </c>
      <c r="AH13" s="2634">
        <f t="shared" si="28"/>
        <v>0.09</v>
      </c>
      <c r="AI13" s="2634">
        <f t="shared" si="28"/>
        <v>7.8E-2</v>
      </c>
      <c r="AJ13" s="2643">
        <f t="shared" si="28"/>
        <v>9.4E-2</v>
      </c>
      <c r="AK13" s="2634">
        <f t="shared" ref="AK13:BG13" si="29">AK674</f>
        <v>0.06</v>
      </c>
      <c r="AL13" s="2634">
        <f t="shared" si="29"/>
        <v>6.4000000000000001E-2</v>
      </c>
      <c r="AM13" s="2634">
        <f t="shared" si="29"/>
        <v>6.6000000000000003E-2</v>
      </c>
      <c r="AN13" s="2634">
        <f t="shared" si="29"/>
        <v>6.6000000000000003E-2</v>
      </c>
      <c r="AO13" s="2643">
        <f t="shared" si="29"/>
        <v>6.4158904109589049E-2</v>
      </c>
      <c r="AP13" s="2634">
        <f t="shared" si="29"/>
        <v>3.5000000000000003E-2</v>
      </c>
      <c r="AQ13" s="2634">
        <f t="shared" si="29"/>
        <v>2.5999999999999999E-2</v>
      </c>
      <c r="AR13" s="2634">
        <f t="shared" si="29"/>
        <v>7.0000000000000001E-3</v>
      </c>
      <c r="AS13" s="2634">
        <f t="shared" si="29"/>
        <v>-6.8000000000000005E-2</v>
      </c>
      <c r="AT13" s="1872">
        <f t="shared" si="29"/>
        <v>-6.0813008130081326E-3</v>
      </c>
      <c r="AU13" s="2634">
        <f t="shared" si="29"/>
        <v>-0.16200000000000001</v>
      </c>
      <c r="AV13" s="2634">
        <f t="shared" si="29"/>
        <v>-0.214</v>
      </c>
      <c r="AW13" s="2634">
        <f t="shared" si="29"/>
        <v>-0.19900000000000001</v>
      </c>
      <c r="AX13" s="2634">
        <f t="shared" si="29"/>
        <v>-0.125</v>
      </c>
      <c r="AY13" s="1872">
        <f t="shared" si="29"/>
        <v>-0.16883468834688348</v>
      </c>
      <c r="AZ13" s="2634">
        <f t="shared" si="29"/>
        <v>-1.2999999999999999E-2</v>
      </c>
      <c r="BA13" s="2634">
        <f t="shared" si="29"/>
        <v>7.0000000000000007E-2</v>
      </c>
      <c r="BB13" s="1871">
        <f t="shared" si="29"/>
        <v>8.2000000000000003E-2</v>
      </c>
      <c r="BC13" s="1871">
        <f t="shared" si="29"/>
        <v>8.1000000000000003E-2</v>
      </c>
      <c r="BD13" s="1872">
        <f t="shared" si="29"/>
        <v>5.6186991869918705E-2</v>
      </c>
      <c r="BE13" s="2634">
        <f t="shared" si="29"/>
        <v>6.5000000000000002E-2</v>
      </c>
      <c r="BF13" s="1871">
        <f t="shared" si="29"/>
        <v>6.8000000000000005E-2</v>
      </c>
      <c r="BG13" s="1871">
        <f t="shared" si="29"/>
        <v>6.9000000000000006E-2</v>
      </c>
      <c r="BH13" s="1871">
        <f t="shared" ref="BH13:BN13" si="30">BH674</f>
        <v>5.8999999999999997E-2</v>
      </c>
      <c r="BI13" s="1872">
        <f t="shared" si="30"/>
        <v>6.4094850948509488E-2</v>
      </c>
      <c r="BJ13" s="2634">
        <f t="shared" si="30"/>
        <v>6.8000000000000005E-2</v>
      </c>
      <c r="BK13" s="1871">
        <f t="shared" si="30"/>
        <v>6.7000000000000004E-2</v>
      </c>
      <c r="BL13" s="1871">
        <f t="shared" si="30"/>
        <v>0.06</v>
      </c>
      <c r="BM13" s="1871">
        <f t="shared" si="30"/>
        <v>5.1999999999999998E-2</v>
      </c>
      <c r="BN13" s="1872">
        <f t="shared" si="30"/>
        <v>6.0999999999999999E-2</v>
      </c>
      <c r="BO13" s="1871">
        <f t="shared" ref="BO13:BU13" si="31">BO674</f>
        <v>4.5999999999999999E-2</v>
      </c>
      <c r="BP13" s="1871">
        <f t="shared" si="31"/>
        <v>4.7E-2</v>
      </c>
      <c r="BQ13" s="1871">
        <f t="shared" si="31"/>
        <v>4.8000000000000001E-2</v>
      </c>
      <c r="BR13" s="1871">
        <f t="shared" si="31"/>
        <v>4.2999999999999997E-2</v>
      </c>
      <c r="BS13" s="1872">
        <f t="shared" si="31"/>
        <v>4.5999999999999999E-2</v>
      </c>
      <c r="BT13" s="1871">
        <f t="shared" si="31"/>
        <v>6.2E-2</v>
      </c>
      <c r="BU13" s="1871">
        <f t="shared" si="31"/>
        <v>5.8000000000000003E-2</v>
      </c>
      <c r="BV13" s="1871">
        <f t="shared" ref="BV13:CA13" si="32">BV674</f>
        <v>8.1000000000000003E-2</v>
      </c>
      <c r="BW13" s="1871">
        <f t="shared" si="32"/>
        <v>6.2E-2</v>
      </c>
      <c r="BX13" s="1872">
        <f t="shared" si="32"/>
        <v>6.6000000000000003E-2</v>
      </c>
      <c r="BY13" s="1871">
        <f t="shared" si="32"/>
        <v>6.8000000000000005E-2</v>
      </c>
      <c r="BZ13" s="1871">
        <f t="shared" si="32"/>
        <v>5.2999999999999999E-2</v>
      </c>
      <c r="CA13" s="2891">
        <f t="shared" si="32"/>
        <v>4.4999999999999998E-2</v>
      </c>
      <c r="CB13" s="2891">
        <f t="shared" ref="CB13:CH13" si="33">CB674</f>
        <v>3.7999999999999999E-2</v>
      </c>
      <c r="CC13" s="2892">
        <f t="shared" si="33"/>
        <v>5.1999999999999998E-2</v>
      </c>
      <c r="CD13" s="1871">
        <f t="shared" si="33"/>
        <v>2.5999999999999999E-2</v>
      </c>
      <c r="CE13" s="1871">
        <f t="shared" si="33"/>
        <v>2.9000000000000001E-2</v>
      </c>
      <c r="CF13" s="1871">
        <f t="shared" si="33"/>
        <v>2.5000000000000001E-2</v>
      </c>
      <c r="CG13" s="1871">
        <f t="shared" si="33"/>
        <v>8.0000000000000002E-3</v>
      </c>
      <c r="CH13" s="2892">
        <f t="shared" si="33"/>
        <v>2.3E-2</v>
      </c>
      <c r="CI13" s="1871">
        <f>CI674</f>
        <v>3.1E-2</v>
      </c>
      <c r="CJ13" s="3629">
        <f>CJ674</f>
        <v>2.1999999999999999E-2</v>
      </c>
      <c r="CK13" s="3629">
        <f>CK674</f>
        <v>2.1000000000000001E-2</v>
      </c>
      <c r="CL13" s="1871">
        <f>CL674</f>
        <v>4.5999999999999999E-2</v>
      </c>
      <c r="CM13" s="2892">
        <f>CM674</f>
        <v>3.1E-2</v>
      </c>
      <c r="CN13" s="1464">
        <f ca="1">CN8*CN28+CN9*CN29+CN10*CN30+CN11*CN31+CN12*CN32</f>
        <v>2.2527629952232269E-2</v>
      </c>
      <c r="CO13" s="1464">
        <f ca="1">CO8*CO28+CO9*CO29+CO10*CO30+CO11*CO31+CO12*CO32</f>
        <v>3.0760512924188702E-2</v>
      </c>
      <c r="CP13" s="1464">
        <f ca="1">CP8*CP28+CP9*CP29+CP10*CP30+CP11*CP31+CP12*CP32</f>
        <v>2.4422777964926656E-2</v>
      </c>
      <c r="CQ13" s="1464">
        <f ca="1">CQ8*CQ28+CQ9*CQ29+CQ10*CQ30+CQ11*CQ31+CQ12*CQ32</f>
        <v>2.4237957804574425E-2</v>
      </c>
      <c r="CR13" s="1465">
        <f ca="1">CR8*CR28+CR9*CR29+CR10*CR30+CR11*CR31+CR12*CR32</f>
        <v>2.5567757117218547E-2</v>
      </c>
      <c r="CS13" s="1465">
        <f t="shared" ref="CS13:CT13" ca="1" si="34">CS8*CS28+CS9*CS29+CS10*CS30+CS11*CS31+CS12*CS32</f>
        <v>1.9215586405411891E-2</v>
      </c>
      <c r="CT13" s="1465">
        <f t="shared" ca="1" si="34"/>
        <v>-2.8498836411974655E-2</v>
      </c>
      <c r="DB13" s="1226"/>
    </row>
    <row r="14" spans="1:106" s="212" customFormat="1" ht="12.75" customHeight="1" x14ac:dyDescent="0.2">
      <c r="A14" s="1437"/>
      <c r="B14" s="777"/>
      <c r="C14" s="777"/>
      <c r="D14" s="777"/>
      <c r="E14" s="777"/>
      <c r="F14" s="235"/>
      <c r="G14" s="777"/>
      <c r="H14" s="777"/>
      <c r="I14" s="777"/>
      <c r="J14" s="777"/>
      <c r="K14" s="235"/>
      <c r="L14" s="777"/>
      <c r="M14" s="777"/>
      <c r="N14" s="777"/>
      <c r="O14" s="777"/>
      <c r="P14" s="631"/>
      <c r="Q14" s="777"/>
      <c r="R14" s="777"/>
      <c r="S14" s="777"/>
      <c r="T14" s="777"/>
      <c r="U14" s="631"/>
      <c r="V14" s="777"/>
      <c r="W14" s="777"/>
      <c r="X14" s="777"/>
      <c r="Y14" s="777"/>
      <c r="Z14" s="631"/>
      <c r="AA14" s="275"/>
      <c r="AB14" s="275"/>
      <c r="AC14" s="275"/>
      <c r="AD14" s="275"/>
      <c r="AE14" s="631"/>
      <c r="AF14" s="275"/>
      <c r="AG14" s="275"/>
      <c r="AH14" s="275"/>
      <c r="AI14" s="275"/>
      <c r="AJ14" s="631"/>
      <c r="AK14" s="275"/>
      <c r="AL14" s="275"/>
      <c r="AM14" s="275"/>
      <c r="AN14" s="275"/>
      <c r="AO14" s="631"/>
      <c r="AP14" s="275"/>
      <c r="AQ14" s="275"/>
      <c r="AR14" s="275"/>
      <c r="AS14" s="275"/>
      <c r="AT14" s="631"/>
      <c r="AU14" s="275"/>
      <c r="AV14" s="275"/>
      <c r="AW14" s="275"/>
      <c r="AX14" s="275"/>
      <c r="AY14" s="631"/>
      <c r="AZ14" s="275"/>
      <c r="BA14" s="275"/>
      <c r="BB14" s="275"/>
      <c r="BC14" s="275"/>
      <c r="BD14" s="631"/>
      <c r="BE14" s="275"/>
      <c r="BF14" s="275"/>
      <c r="BG14" s="275"/>
      <c r="BH14" s="275"/>
      <c r="BI14" s="631"/>
      <c r="BJ14" s="275"/>
      <c r="BK14" s="275"/>
      <c r="BL14" s="275"/>
      <c r="BM14" s="275"/>
      <c r="BN14" s="631"/>
      <c r="BO14" s="884"/>
      <c r="BP14" s="733"/>
      <c r="BQ14" s="733"/>
      <c r="BR14" s="275"/>
      <c r="BS14" s="631"/>
      <c r="BT14" s="884"/>
      <c r="BU14" s="275"/>
      <c r="BV14" s="275"/>
      <c r="BW14" s="275"/>
      <c r="BX14" s="631"/>
      <c r="BY14" s="275"/>
      <c r="BZ14" s="275"/>
      <c r="CA14" s="275"/>
      <c r="CB14" s="275"/>
      <c r="CC14" s="631"/>
      <c r="CD14" s="275"/>
      <c r="CE14" s="733"/>
      <c r="CF14" s="733"/>
      <c r="CG14" s="733"/>
      <c r="CH14" s="2934"/>
      <c r="CI14" s="733"/>
      <c r="CJ14" s="733"/>
      <c r="CK14" s="733"/>
      <c r="CL14" s="733"/>
      <c r="CM14" s="1458"/>
      <c r="CN14" s="733"/>
      <c r="CO14" s="733"/>
      <c r="CP14" s="733"/>
      <c r="CQ14" s="733"/>
      <c r="CR14" s="1458"/>
      <c r="CS14" s="1458"/>
      <c r="CT14" s="1458"/>
      <c r="DB14" s="1226"/>
    </row>
    <row r="15" spans="1:106" s="2644" customFormat="1" x14ac:dyDescent="0.2">
      <c r="A15" s="1437" t="s">
        <v>2419</v>
      </c>
      <c r="F15" s="2401"/>
      <c r="K15" s="2401"/>
      <c r="P15" s="2401"/>
      <c r="U15" s="2401"/>
      <c r="Z15" s="2401"/>
      <c r="AE15" s="2401"/>
      <c r="AJ15" s="2401"/>
      <c r="AO15" s="2401"/>
      <c r="AT15" s="2401"/>
      <c r="AY15" s="2401"/>
      <c r="BD15" s="2401"/>
      <c r="BI15" s="2401"/>
      <c r="BN15" s="2401"/>
      <c r="BP15" s="2402"/>
      <c r="BQ15" s="2402"/>
      <c r="BS15" s="2401"/>
      <c r="BX15" s="2401"/>
      <c r="CC15" s="2401"/>
      <c r="CH15" s="2401"/>
      <c r="CM15" s="2401"/>
      <c r="CR15" s="2401"/>
      <c r="CS15" s="2401"/>
      <c r="CT15" s="2401"/>
      <c r="CV15" s="537"/>
      <c r="CW15" s="537"/>
      <c r="CX15" s="537"/>
      <c r="DA15" s="212"/>
      <c r="DB15" s="1226"/>
    </row>
    <row r="16" spans="1:106" s="2644" customFormat="1" x14ac:dyDescent="0.2">
      <c r="A16" s="2645" t="s">
        <v>611</v>
      </c>
      <c r="B16" s="1882" t="s">
        <v>673</v>
      </c>
      <c r="C16" s="1882" t="s">
        <v>673</v>
      </c>
      <c r="D16" s="1882" t="s">
        <v>673</v>
      </c>
      <c r="E16" s="1882" t="s">
        <v>673</v>
      </c>
      <c r="F16" s="2657" t="s">
        <v>673</v>
      </c>
      <c r="G16" s="1882" t="s">
        <v>673</v>
      </c>
      <c r="H16" s="1882" t="s">
        <v>673</v>
      </c>
      <c r="I16" s="1882" t="s">
        <v>673</v>
      </c>
      <c r="J16" s="1882" t="s">
        <v>673</v>
      </c>
      <c r="K16" s="2657" t="s">
        <v>673</v>
      </c>
      <c r="L16" s="1882" t="s">
        <v>673</v>
      </c>
      <c r="M16" s="1882" t="s">
        <v>673</v>
      </c>
      <c r="N16" s="1882" t="s">
        <v>673</v>
      </c>
      <c r="O16" s="1882" t="s">
        <v>673</v>
      </c>
      <c r="P16" s="2657" t="s">
        <v>673</v>
      </c>
      <c r="Q16" s="1882" t="s">
        <v>673</v>
      </c>
      <c r="R16" s="1882" t="s">
        <v>673</v>
      </c>
      <c r="S16" s="1882" t="s">
        <v>673</v>
      </c>
      <c r="T16" s="1882" t="s">
        <v>673</v>
      </c>
      <c r="U16" s="2657" t="s">
        <v>673</v>
      </c>
      <c r="V16" s="1882">
        <v>0.11</v>
      </c>
      <c r="W16" s="1882">
        <v>0.33100000000000002</v>
      </c>
      <c r="X16" s="1882">
        <v>0.2</v>
      </c>
      <c r="Y16" s="1882" t="s">
        <v>673</v>
      </c>
      <c r="Z16" s="2657" t="s">
        <v>673</v>
      </c>
      <c r="AA16" s="1882" t="s">
        <v>673</v>
      </c>
      <c r="AB16" s="1882">
        <v>0.17299999999999999</v>
      </c>
      <c r="AC16" s="1882">
        <v>0.113</v>
      </c>
      <c r="AD16" s="1882">
        <v>0.11</v>
      </c>
      <c r="AE16" s="2657" t="s">
        <v>673</v>
      </c>
      <c r="AF16" s="1882" t="s">
        <v>673</v>
      </c>
      <c r="AG16" s="1882" t="s">
        <v>673</v>
      </c>
      <c r="AH16" s="1882" t="s">
        <v>673</v>
      </c>
      <c r="AI16" s="1882" t="s">
        <v>673</v>
      </c>
      <c r="AJ16" s="2657" t="s">
        <v>673</v>
      </c>
      <c r="AK16" s="1882" t="s">
        <v>673</v>
      </c>
      <c r="AL16" s="1882" t="s">
        <v>673</v>
      </c>
      <c r="AM16" s="1882" t="s">
        <v>673</v>
      </c>
      <c r="AN16" s="1882" t="s">
        <v>673</v>
      </c>
      <c r="AO16" s="2657" t="s">
        <v>673</v>
      </c>
      <c r="AP16" s="1882" t="s">
        <v>673</v>
      </c>
      <c r="AQ16" s="1882" t="s">
        <v>673</v>
      </c>
      <c r="AR16" s="1882" t="s">
        <v>673</v>
      </c>
      <c r="AS16" s="1882" t="s">
        <v>673</v>
      </c>
      <c r="AT16" s="2657" t="s">
        <v>673</v>
      </c>
      <c r="AU16" s="1882" t="s">
        <v>673</v>
      </c>
      <c r="AV16" s="1882" t="s">
        <v>673</v>
      </c>
      <c r="AW16" s="1882" t="s">
        <v>673</v>
      </c>
      <c r="AX16" s="1882" t="s">
        <v>673</v>
      </c>
      <c r="AY16" s="2657" t="s">
        <v>673</v>
      </c>
      <c r="AZ16" s="1882" t="s">
        <v>673</v>
      </c>
      <c r="BA16" s="1882" t="s">
        <v>673</v>
      </c>
      <c r="BB16" s="1214">
        <v>8.5000000000000006E-2</v>
      </c>
      <c r="BC16" s="1214">
        <v>7.9000000000000001E-2</v>
      </c>
      <c r="BD16" s="2657" t="s">
        <v>673</v>
      </c>
      <c r="BE16" s="1214">
        <v>0.114</v>
      </c>
      <c r="BF16" s="1214">
        <v>0.11899999999999999</v>
      </c>
      <c r="BG16" s="1214">
        <v>0.158</v>
      </c>
      <c r="BH16" s="1214">
        <v>5.8999999999999997E-2</v>
      </c>
      <c r="BI16" s="2657" t="s">
        <v>673</v>
      </c>
      <c r="BJ16" s="1214">
        <v>5.2999999999999999E-2</v>
      </c>
      <c r="BK16" s="1214">
        <v>4.9000000000000002E-2</v>
      </c>
      <c r="BL16" s="1214">
        <v>-1.4999999999999999E-2</v>
      </c>
      <c r="BM16" s="1214">
        <v>7.0000000000000001E-3</v>
      </c>
      <c r="BN16" s="2657" t="s">
        <v>673</v>
      </c>
      <c r="BO16" s="1214">
        <v>3.6999999999999998E-2</v>
      </c>
      <c r="BP16" s="1214">
        <v>1.7000000000000001E-2</v>
      </c>
      <c r="BQ16" s="1214">
        <v>2.9000000000000001E-2</v>
      </c>
      <c r="BR16" s="1214">
        <v>2.3E-2</v>
      </c>
      <c r="BS16" s="2657" t="s">
        <v>673</v>
      </c>
      <c r="BT16" s="1214">
        <v>4.3999999999999997E-2</v>
      </c>
      <c r="BU16" s="1214">
        <v>5.0999999999999997E-2</v>
      </c>
      <c r="BV16" s="1214">
        <v>6.4000000000000001E-2</v>
      </c>
      <c r="BW16" s="1214">
        <v>5.0000000000000001E-3</v>
      </c>
      <c r="BX16" s="2657">
        <v>0.04</v>
      </c>
      <c r="BY16" s="1214">
        <v>2E-3</v>
      </c>
      <c r="BZ16" s="1214">
        <v>-5.2999999999999999E-2</v>
      </c>
      <c r="CA16" s="1214">
        <v>-0.04</v>
      </c>
      <c r="CB16" s="1214">
        <v>-4.4999999999999998E-2</v>
      </c>
      <c r="CC16" s="2914">
        <f>AVERAGE(BY16:CB16)</f>
        <v>-3.4000000000000002E-2</v>
      </c>
      <c r="CD16" s="1214">
        <v>-2.5000000000000001E-2</v>
      </c>
      <c r="CE16" s="1214">
        <v>-8.0000000000000002E-3</v>
      </c>
      <c r="CF16" s="1214">
        <v>-2E-3</v>
      </c>
      <c r="CG16" s="1214">
        <v>-1.4E-2</v>
      </c>
      <c r="CH16" s="2914">
        <f>AVERAGE(CD16:CG16)</f>
        <v>-1.225E-2</v>
      </c>
      <c r="CI16" s="1214">
        <v>1.4E-2</v>
      </c>
      <c r="CJ16" s="1214">
        <v>3.1E-2</v>
      </c>
      <c r="CK16" s="1214">
        <v>6.7000000000000004E-2</v>
      </c>
      <c r="CL16" s="1214">
        <v>8.4000000000000005E-2</v>
      </c>
      <c r="CM16" s="2914">
        <f>AVERAGE(CI16:CL16)</f>
        <v>4.9000000000000002E-2</v>
      </c>
      <c r="CN16" s="1214"/>
      <c r="CO16" s="1214"/>
      <c r="CR16" s="2401"/>
      <c r="CS16" s="2401"/>
      <c r="CT16" s="2401"/>
      <c r="CV16" s="537"/>
      <c r="CW16" s="537"/>
      <c r="CX16" s="537"/>
      <c r="DA16" s="212"/>
      <c r="DB16" s="1226"/>
    </row>
    <row r="17" spans="1:106" s="310" customFormat="1" x14ac:dyDescent="0.2">
      <c r="A17" s="387" t="s">
        <v>612</v>
      </c>
      <c r="B17" s="2247" t="s">
        <v>673</v>
      </c>
      <c r="C17" s="2247" t="s">
        <v>673</v>
      </c>
      <c r="D17" s="2247" t="s">
        <v>673</v>
      </c>
      <c r="E17" s="2247" t="s">
        <v>673</v>
      </c>
      <c r="F17" s="2658" t="s">
        <v>673</v>
      </c>
      <c r="G17" s="2247" t="s">
        <v>673</v>
      </c>
      <c r="H17" s="2247" t="s">
        <v>673</v>
      </c>
      <c r="I17" s="2247" t="s">
        <v>673</v>
      </c>
      <c r="J17" s="2247" t="s">
        <v>673</v>
      </c>
      <c r="K17" s="2658" t="s">
        <v>673</v>
      </c>
      <c r="L17" s="2247" t="s">
        <v>673</v>
      </c>
      <c r="M17" s="2247" t="s">
        <v>673</v>
      </c>
      <c r="N17" s="2247" t="s">
        <v>673</v>
      </c>
      <c r="O17" s="2247" t="s">
        <v>673</v>
      </c>
      <c r="P17" s="2658" t="s">
        <v>673</v>
      </c>
      <c r="Q17" s="2247" t="s">
        <v>673</v>
      </c>
      <c r="R17" s="2247" t="s">
        <v>673</v>
      </c>
      <c r="S17" s="2247" t="s">
        <v>673</v>
      </c>
      <c r="T17" s="2247" t="s">
        <v>673</v>
      </c>
      <c r="U17" s="2658" t="s">
        <v>673</v>
      </c>
      <c r="V17" s="2247">
        <v>7.8E-2</v>
      </c>
      <c r="W17" s="2247">
        <v>0.14000000000000001</v>
      </c>
      <c r="X17" s="2247">
        <v>9.2999999999999999E-2</v>
      </c>
      <c r="Y17" s="2247">
        <v>0.107</v>
      </c>
      <c r="Z17" s="2658" t="s">
        <v>673</v>
      </c>
      <c r="AA17" s="2247">
        <v>9.2999999999999999E-2</v>
      </c>
      <c r="AB17" s="1625">
        <v>0.104</v>
      </c>
      <c r="AC17" s="1625">
        <v>8.7999999999999995E-2</v>
      </c>
      <c r="AD17" s="1625">
        <v>0.11</v>
      </c>
      <c r="AE17" s="2658" t="s">
        <v>673</v>
      </c>
      <c r="AF17" s="1625">
        <v>0.10299999999999999</v>
      </c>
      <c r="AG17" s="1625">
        <v>0.107</v>
      </c>
      <c r="AH17" s="1625">
        <v>0.09</v>
      </c>
      <c r="AI17" s="1625">
        <v>7.8E-2</v>
      </c>
      <c r="AJ17" s="2658" t="s">
        <v>673</v>
      </c>
      <c r="AK17" s="1625">
        <v>0.06</v>
      </c>
      <c r="AL17" s="1625">
        <v>6.4000000000000001E-2</v>
      </c>
      <c r="AM17" s="1625">
        <v>6.6000000000000003E-2</v>
      </c>
      <c r="AN17" s="1625">
        <v>6.6000000000000003E-2</v>
      </c>
      <c r="AO17" s="2658" t="s">
        <v>673</v>
      </c>
      <c r="AP17" s="1625">
        <v>3.5000000000000003E-2</v>
      </c>
      <c r="AQ17" s="1625">
        <v>2.5999999999999999E-2</v>
      </c>
      <c r="AR17" s="1625">
        <v>7.0000000000000001E-3</v>
      </c>
      <c r="AS17" s="1625">
        <v>-6.8000000000000005E-2</v>
      </c>
      <c r="AT17" s="2658" t="s">
        <v>673</v>
      </c>
      <c r="AU17" s="1625">
        <v>-0.16200000000000001</v>
      </c>
      <c r="AV17" s="1625">
        <v>-0.214</v>
      </c>
      <c r="AW17" s="1625">
        <v>-0.19900000000000001</v>
      </c>
      <c r="AX17" s="1625">
        <v>-0.125</v>
      </c>
      <c r="AY17" s="2658" t="s">
        <v>673</v>
      </c>
      <c r="AZ17" s="1625">
        <v>-1.2999999999999999E-2</v>
      </c>
      <c r="BA17" s="1625">
        <v>7.0000000000000007E-2</v>
      </c>
      <c r="BB17" s="1625">
        <v>7.4999999999999997E-2</v>
      </c>
      <c r="BC17" s="1625">
        <v>7.5999999999999998E-2</v>
      </c>
      <c r="BD17" s="2658" t="s">
        <v>673</v>
      </c>
      <c r="BE17" s="1625">
        <v>6.6000000000000003E-2</v>
      </c>
      <c r="BF17" s="1625">
        <v>7.6999999999999999E-2</v>
      </c>
      <c r="BG17" s="1625">
        <v>8.6999999999999994E-2</v>
      </c>
      <c r="BH17" s="1625">
        <v>6.3E-2</v>
      </c>
      <c r="BI17" s="2658" t="s">
        <v>673</v>
      </c>
      <c r="BJ17" s="1625">
        <v>6.7000000000000004E-2</v>
      </c>
      <c r="BK17" s="1625">
        <v>6.2E-2</v>
      </c>
      <c r="BL17" s="1625">
        <v>4.5999999999999999E-2</v>
      </c>
      <c r="BM17" s="1625">
        <v>4.7E-2</v>
      </c>
      <c r="BN17" s="2658" t="s">
        <v>673</v>
      </c>
      <c r="BO17" s="1625">
        <v>4.4999999999999998E-2</v>
      </c>
      <c r="BP17" s="1625">
        <v>4.4999999999999998E-2</v>
      </c>
      <c r="BQ17" s="1625">
        <v>4.7E-2</v>
      </c>
      <c r="BR17" s="1625">
        <v>4.1000000000000002E-2</v>
      </c>
      <c r="BS17" s="2658" t="s">
        <v>673</v>
      </c>
      <c r="BT17" s="1625">
        <v>5.8999999999999997E-2</v>
      </c>
      <c r="BU17" s="1625">
        <v>5.8999999999999997E-2</v>
      </c>
      <c r="BV17" s="1625">
        <v>8.2000000000000003E-2</v>
      </c>
      <c r="BW17" s="1625">
        <v>5.2999999999999999E-2</v>
      </c>
      <c r="BX17" s="2658">
        <v>6.3E-2</v>
      </c>
      <c r="BY17" s="1625">
        <v>5.1999999999999998E-2</v>
      </c>
      <c r="BZ17" s="1625">
        <v>3.1E-2</v>
      </c>
      <c r="CA17" s="1625">
        <v>2.1999999999999999E-2</v>
      </c>
      <c r="CB17" s="1625">
        <v>1.7999999999999999E-2</v>
      </c>
      <c r="CC17" s="1498">
        <f>AVERAGE(BY17:CB17)</f>
        <v>3.0749999999999996E-2</v>
      </c>
      <c r="CD17" s="1625">
        <v>1.2E-2</v>
      </c>
      <c r="CE17" s="1625">
        <v>2.3E-2</v>
      </c>
      <c r="CF17" s="1625">
        <v>1.7999999999999999E-2</v>
      </c>
      <c r="CG17" s="1625">
        <v>3.0000000000000001E-3</v>
      </c>
      <c r="CH17" s="1498">
        <f>AVERAGE(CD17:CG17)</f>
        <v>1.4000000000000002E-2</v>
      </c>
      <c r="CI17" s="1625">
        <v>2.7E-2</v>
      </c>
      <c r="CJ17" s="1625">
        <v>1.4E-2</v>
      </c>
      <c r="CK17" s="1625">
        <v>2.1000000000000001E-2</v>
      </c>
      <c r="CL17" s="1625">
        <v>5.2999999999999999E-2</v>
      </c>
      <c r="CM17" s="1498">
        <f>AVERAGE(CI17:CL17)</f>
        <v>2.8749999999999998E-2</v>
      </c>
      <c r="CN17" s="1625"/>
      <c r="CO17" s="1625"/>
      <c r="CR17" s="1426"/>
      <c r="CS17" s="1426"/>
      <c r="CT17" s="1426"/>
      <c r="CV17" s="780"/>
      <c r="CW17" s="780"/>
      <c r="CX17" s="780"/>
      <c r="DA17" s="212"/>
      <c r="DB17" s="1226"/>
    </row>
    <row r="18" spans="1:106" s="310" customFormat="1" x14ac:dyDescent="0.2">
      <c r="A18" s="387"/>
      <c r="B18" s="2247"/>
      <c r="C18" s="2247"/>
      <c r="D18" s="2247"/>
      <c r="E18" s="2247"/>
      <c r="F18" s="2658"/>
      <c r="G18" s="2247"/>
      <c r="H18" s="2247"/>
      <c r="I18" s="2247"/>
      <c r="J18" s="2247"/>
      <c r="K18" s="2658"/>
      <c r="L18" s="2247"/>
      <c r="M18" s="2247"/>
      <c r="N18" s="2247"/>
      <c r="O18" s="2247"/>
      <c r="P18" s="2658"/>
      <c r="Q18" s="2247"/>
      <c r="R18" s="2247"/>
      <c r="S18" s="2247"/>
      <c r="T18" s="2247"/>
      <c r="U18" s="2658"/>
      <c r="V18" s="2247"/>
      <c r="W18" s="2247"/>
      <c r="X18" s="2247"/>
      <c r="Y18" s="2247"/>
      <c r="Z18" s="2658"/>
      <c r="AA18" s="2247"/>
      <c r="AB18" s="1625"/>
      <c r="AC18" s="1625"/>
      <c r="AD18" s="1625"/>
      <c r="AE18" s="2658"/>
      <c r="AF18" s="1625"/>
      <c r="AG18" s="1625"/>
      <c r="AH18" s="1625"/>
      <c r="AI18" s="1625"/>
      <c r="AJ18" s="2658"/>
      <c r="AK18" s="1625"/>
      <c r="AL18" s="1625"/>
      <c r="AM18" s="1625"/>
      <c r="AN18" s="1625"/>
      <c r="AO18" s="2658"/>
      <c r="AP18" s="1625"/>
      <c r="AQ18" s="1625"/>
      <c r="AR18" s="1625"/>
      <c r="AS18" s="1625"/>
      <c r="AT18" s="2658"/>
      <c r="AU18" s="1625"/>
      <c r="AV18" s="1625"/>
      <c r="AW18" s="1625"/>
      <c r="AX18" s="1625"/>
      <c r="AY18" s="2658"/>
      <c r="AZ18" s="1625"/>
      <c r="BA18" s="1625"/>
      <c r="BB18" s="1625"/>
      <c r="BC18" s="1625"/>
      <c r="BD18" s="2658"/>
      <c r="BE18" s="1625"/>
      <c r="BF18" s="1625"/>
      <c r="BG18" s="1625"/>
      <c r="BH18" s="1625"/>
      <c r="BI18" s="2658"/>
      <c r="BJ18" s="1625"/>
      <c r="BK18" s="1625"/>
      <c r="BL18" s="1625"/>
      <c r="BM18" s="1625"/>
      <c r="BN18" s="2658"/>
      <c r="BO18" s="1625"/>
      <c r="BP18" s="1625"/>
      <c r="BQ18" s="1625"/>
      <c r="BR18" s="1625"/>
      <c r="BS18" s="2658"/>
      <c r="BT18" s="1625"/>
      <c r="BU18" s="1625"/>
      <c r="BV18" s="1625"/>
      <c r="BW18" s="1625"/>
      <c r="BX18" s="2658"/>
      <c r="CC18" s="1426"/>
      <c r="CH18" s="1426"/>
      <c r="CM18" s="1426"/>
      <c r="CR18" s="1426"/>
      <c r="CS18" s="1426"/>
      <c r="CT18" s="1426"/>
      <c r="CV18" s="780"/>
      <c r="CW18" s="780"/>
      <c r="CX18" s="780"/>
      <c r="DA18" s="212"/>
      <c r="DB18" s="1226"/>
    </row>
    <row r="19" spans="1:106" s="212" customFormat="1" ht="12.75" customHeight="1" x14ac:dyDescent="0.2">
      <c r="A19" s="1437" t="s">
        <v>605</v>
      </c>
      <c r="B19" s="777"/>
      <c r="C19" s="777"/>
      <c r="D19" s="777"/>
      <c r="E19" s="777"/>
      <c r="F19" s="235"/>
      <c r="G19" s="777"/>
      <c r="H19" s="777"/>
      <c r="I19" s="777"/>
      <c r="J19" s="777"/>
      <c r="K19" s="235"/>
      <c r="L19" s="777"/>
      <c r="M19" s="777"/>
      <c r="N19" s="777"/>
      <c r="O19" s="777"/>
      <c r="P19" s="631"/>
      <c r="Q19" s="777"/>
      <c r="R19" s="777"/>
      <c r="S19" s="777"/>
      <c r="T19" s="777"/>
      <c r="U19" s="631"/>
      <c r="V19" s="777"/>
      <c r="W19" s="777"/>
      <c r="X19" s="777"/>
      <c r="Y19" s="777"/>
      <c r="Z19" s="631"/>
      <c r="AA19" s="275"/>
      <c r="AB19" s="275"/>
      <c r="AC19" s="275"/>
      <c r="AD19" s="275"/>
      <c r="AE19" s="631"/>
      <c r="AF19" s="275"/>
      <c r="AG19" s="275"/>
      <c r="AH19" s="275"/>
      <c r="AI19" s="275"/>
      <c r="AJ19" s="631"/>
      <c r="AK19" s="275"/>
      <c r="AL19" s="275"/>
      <c r="AM19" s="275"/>
      <c r="AN19" s="275"/>
      <c r="AO19" s="631"/>
      <c r="AP19" s="275"/>
      <c r="AQ19" s="275"/>
      <c r="AR19" s="275"/>
      <c r="AS19" s="275"/>
      <c r="AT19" s="631"/>
      <c r="AU19" s="275"/>
      <c r="AV19" s="275"/>
      <c r="AW19" s="275"/>
      <c r="AX19" s="275"/>
      <c r="AY19" s="631"/>
      <c r="AZ19" s="275"/>
      <c r="BA19" s="275"/>
      <c r="BB19" s="275"/>
      <c r="BC19" s="275"/>
      <c r="BD19" s="631"/>
      <c r="BE19" s="275"/>
      <c r="BF19" s="275"/>
      <c r="BG19" s="275"/>
      <c r="BH19" s="275"/>
      <c r="BI19" s="631"/>
      <c r="BJ19" s="275"/>
      <c r="BK19" s="275"/>
      <c r="BL19" s="275"/>
      <c r="BM19" s="275"/>
      <c r="BN19" s="631"/>
      <c r="BO19" s="275"/>
      <c r="BP19" s="275"/>
      <c r="BQ19" s="275"/>
      <c r="BR19" s="275"/>
      <c r="BS19" s="631"/>
      <c r="BT19" s="275"/>
      <c r="BU19" s="275"/>
      <c r="BV19" s="275"/>
      <c r="BW19" s="275"/>
      <c r="BX19" s="631"/>
      <c r="BY19" s="275"/>
      <c r="BZ19" s="275"/>
      <c r="CA19" s="275"/>
      <c r="CB19" s="275"/>
      <c r="CC19" s="631"/>
      <c r="CD19" s="275"/>
      <c r="CE19" s="275"/>
      <c r="CF19" s="275"/>
      <c r="CG19" s="275"/>
      <c r="CH19" s="631"/>
      <c r="CI19" s="275"/>
      <c r="CJ19" s="275"/>
      <c r="CK19" s="275"/>
      <c r="CL19" s="275"/>
      <c r="CM19" s="236"/>
      <c r="CN19" s="275"/>
      <c r="CO19" s="275"/>
      <c r="CP19" s="275"/>
      <c r="CQ19" s="630"/>
      <c r="CR19" s="208"/>
      <c r="CS19" s="236"/>
      <c r="CT19" s="236"/>
      <c r="DB19" s="1226"/>
    </row>
    <row r="20" spans="1:106" s="212" customFormat="1" ht="12.75" customHeight="1" x14ac:dyDescent="0.2">
      <c r="A20" s="1436" t="s">
        <v>1716</v>
      </c>
      <c r="B20" s="777"/>
      <c r="C20" s="777"/>
      <c r="D20" s="777"/>
      <c r="E20" s="777"/>
      <c r="F20" s="235"/>
      <c r="G20" s="777"/>
      <c r="H20" s="777"/>
      <c r="I20" s="777"/>
      <c r="J20" s="777"/>
      <c r="K20" s="235"/>
      <c r="L20" s="777"/>
      <c r="M20" s="777"/>
      <c r="N20" s="777"/>
      <c r="O20" s="777"/>
      <c r="P20" s="631"/>
      <c r="Q20" s="777"/>
      <c r="R20" s="777"/>
      <c r="S20" s="777"/>
      <c r="T20" s="777"/>
      <c r="U20" s="631"/>
      <c r="V20" s="777"/>
      <c r="W20" s="777"/>
      <c r="X20" s="777"/>
      <c r="Y20" s="777"/>
      <c r="Z20" s="631"/>
      <c r="AA20" s="275"/>
      <c r="AB20" s="275"/>
      <c r="AC20" s="275"/>
      <c r="AD20" s="275"/>
      <c r="AE20" s="631"/>
      <c r="AF20" s="275">
        <f>Rooms!AH871+Rooms!AH893+Rooms!AI457</f>
        <v>393238</v>
      </c>
      <c r="AG20" s="275">
        <f>Rooms!AI871+Rooms!AI893+Rooms!AJ457</f>
        <v>394908</v>
      </c>
      <c r="AH20" s="275">
        <f>Rooms!AJ871+Rooms!AJ893+Rooms!AK457</f>
        <v>397570</v>
      </c>
      <c r="AI20" s="275">
        <f>Rooms!AK871+Rooms!AK893+Rooms!AL457</f>
        <v>399100</v>
      </c>
      <c r="AJ20" s="235">
        <f>Rooms!AL871+Rooms!AL893+Rooms!AM457</f>
        <v>399872</v>
      </c>
      <c r="AK20" s="275">
        <f>Rooms!AM871+Rooms!AM893+Rooms!AN457</f>
        <v>399452</v>
      </c>
      <c r="AL20" s="275">
        <f>Rooms!AN871+Rooms!AN893+Rooms!AO457</f>
        <v>403174</v>
      </c>
      <c r="AM20" s="275">
        <f>Rooms!AO871+Rooms!AO893+Rooms!AP457</f>
        <v>407485</v>
      </c>
      <c r="AN20" s="275">
        <f>Rooms!AP871+Rooms!AP893+Rooms!AQ457</f>
        <v>415153</v>
      </c>
      <c r="AO20" s="235">
        <f>Rooms!AQ871+Rooms!AQ893+Rooms!AR457</f>
        <v>415624</v>
      </c>
      <c r="AP20" s="275">
        <f>Rooms!AR871+Rooms!AR893+Rooms!AS457</f>
        <v>418864</v>
      </c>
      <c r="AQ20" s="275">
        <f>Rooms!AS871+Rooms!AS893+Rooms!AT457</f>
        <v>424517</v>
      </c>
      <c r="AR20" s="275">
        <f>Rooms!AT871+Rooms!AT893+Rooms!AU457</f>
        <v>427877</v>
      </c>
      <c r="AS20" s="275">
        <f>Rooms!AU871+Rooms!AU893+Rooms!AV457</f>
        <v>436044</v>
      </c>
      <c r="AT20" s="235">
        <f>Rooms!AV871+Rooms!AV893+Rooms!AW457</f>
        <v>436043</v>
      </c>
      <c r="AU20" s="275">
        <f>Rooms!AW871+Rooms!AW893+Rooms!AX457</f>
        <v>441225</v>
      </c>
      <c r="AV20" s="275">
        <f>Rooms!AX871+Rooms!AX893+Rooms!AY457</f>
        <v>447015</v>
      </c>
      <c r="AW20" s="275">
        <f>Rooms!AY871+Rooms!AY893+Rooms!AZ457</f>
        <v>456309</v>
      </c>
      <c r="AX20" s="275">
        <f>Rooms!AZ871+Rooms!AZ893+Rooms!BA457</f>
        <v>463747</v>
      </c>
      <c r="AY20" s="235">
        <f>Rooms!BA871+Rooms!BA893+Rooms!BB457</f>
        <v>463747</v>
      </c>
      <c r="AZ20" s="275">
        <f>Rooms!BB871+Rooms!BB893+Rooms!BC457</f>
        <v>468859</v>
      </c>
      <c r="BA20" s="275">
        <f>Rooms!BC871+Rooms!BC893+Rooms!BD457</f>
        <v>472789</v>
      </c>
      <c r="BB20" s="275">
        <f>Rooms!BD871+Rooms!BD893+Rooms!BE457</f>
        <v>474893</v>
      </c>
      <c r="BC20" s="275">
        <f>Rooms!BE871+Rooms!BE893+Rooms!BF457</f>
        <v>480401</v>
      </c>
      <c r="BD20" s="235">
        <f>Rooms!BF871+Rooms!BF893+Rooms!BF457</f>
        <v>480401</v>
      </c>
      <c r="BE20" s="275">
        <f>Rooms!BG871+Rooms!BG893+Rooms!BG457</f>
        <v>482645</v>
      </c>
      <c r="BF20" s="275">
        <f>Rooms!BH871+Rooms!BH893+Rooms!BH457</f>
        <v>484527</v>
      </c>
      <c r="BG20" s="275">
        <f>Rooms!BI871+Rooms!BI893+Rooms!BI457</f>
        <v>486131</v>
      </c>
      <c r="BH20" s="275">
        <f>Rooms!BJ871+Rooms!BJ893+Rooms!BJ457</f>
        <v>488299</v>
      </c>
      <c r="BI20" s="235">
        <f>Rooms!BK871+Rooms!BK893+Rooms!BK457</f>
        <v>488299</v>
      </c>
      <c r="BJ20" s="275">
        <f>Rooms!BL871+Rooms!BL893+Rooms!BL457</f>
        <v>489228</v>
      </c>
      <c r="BK20" s="275">
        <f>Rooms!BM871+Rooms!BM893+Rooms!BM457</f>
        <v>490238</v>
      </c>
      <c r="BL20" s="275">
        <f>Rooms!BN871+Rooms!BN893+Rooms!BN457</f>
        <v>490843</v>
      </c>
      <c r="BM20" s="275">
        <f>Rooms!BO871+Rooms!BO893+Rooms!BO457</f>
        <v>501052</v>
      </c>
      <c r="BN20" s="235">
        <f>Rooms!BP871+Rooms!BP893+Rooms!BP457</f>
        <v>501052</v>
      </c>
      <c r="BO20" s="275">
        <f>Rooms!BQ871+Rooms!BQ893+Rooms!BQ457</f>
        <v>501175</v>
      </c>
      <c r="BP20" s="275">
        <f>Rooms!BR871+Rooms!BR893+Rooms!BR457</f>
        <v>504215</v>
      </c>
      <c r="BQ20" s="275">
        <f>Rooms!BS871+Rooms!BS893+Rooms!BS457</f>
        <v>506436</v>
      </c>
      <c r="BR20" s="275">
        <f>Rooms!BT871+Rooms!BT893+Rooms!BT457</f>
        <v>508194</v>
      </c>
      <c r="BS20" s="235">
        <f>Rooms!BU871+Rooms!BU893+Rooms!BU457</f>
        <v>508194</v>
      </c>
      <c r="BT20" s="275">
        <f>Rooms!BV871+Rooms!BV893+Rooms!BV457</f>
        <v>509518</v>
      </c>
      <c r="BU20" s="275">
        <f>Rooms!BW871+Rooms!BW893+Rooms!BW457</f>
        <v>514598</v>
      </c>
      <c r="BV20" s="275">
        <f>Rooms!BX871+Rooms!BX893+Rooms!BX457</f>
        <v>519012</v>
      </c>
      <c r="BW20" s="275">
        <f>Rooms!BY871+Rooms!BY893+Rooms!BY457</f>
        <v>522777</v>
      </c>
      <c r="BX20" s="235">
        <f>Rooms!BZ871+Rooms!BZ893+Rooms!BZ457</f>
        <v>522777</v>
      </c>
      <c r="BY20" s="275">
        <f>Rooms!CA871+Rooms!CA893+Rooms!CA457</f>
        <v>543996</v>
      </c>
      <c r="BZ20" s="275">
        <f>Rooms!CB871+Rooms!CB893+Rooms!CB457</f>
        <v>559484</v>
      </c>
      <c r="CA20" s="275">
        <f>Rooms!CC871+Rooms!CC893+Rooms!CC457</f>
        <v>567097</v>
      </c>
      <c r="CB20" s="275">
        <f>Rooms!CD871+Rooms!CD893+Rooms!CD457</f>
        <v>569269</v>
      </c>
      <c r="CC20" s="235">
        <f>Rooms!CE871+Rooms!CE893+Rooms!CE457</f>
        <v>576097</v>
      </c>
      <c r="CD20" s="275">
        <f>Rooms!CF871+Rooms!CF893+Rooms!CF457</f>
        <v>575095</v>
      </c>
      <c r="CE20" s="275">
        <f>Rooms!CG871+Rooms!CG893+Rooms!CG457</f>
        <v>583320</v>
      </c>
      <c r="CF20" s="275">
        <f>Rooms!CH871+Rooms!CH893+Rooms!CH457</f>
        <v>590309</v>
      </c>
      <c r="CG20" s="275">
        <f>Rooms!CI871+Rooms!CI893+Rooms!CI457</f>
        <v>785961</v>
      </c>
      <c r="CH20" s="235">
        <f>Rooms!CJ871+Rooms!CJ893+Rooms!CJ457</f>
        <v>785961</v>
      </c>
      <c r="CI20" s="275">
        <f>Rooms!CK871+Rooms!CK893+Rooms!CK457</f>
        <v>793834</v>
      </c>
      <c r="CJ20" s="275">
        <f>Rooms!CL871+Rooms!CL893+Rooms!CL457</f>
        <v>802175</v>
      </c>
      <c r="CK20" s="275">
        <f>Rooms!CM871+Rooms!CM893+Rooms!CM457</f>
        <v>815092</v>
      </c>
      <c r="CL20" s="630">
        <f>Rooms!CN871+Rooms!CN893+Rooms!CN457</f>
        <v>824405</v>
      </c>
      <c r="CM20" s="235">
        <f>Rooms!CO871+Rooms!CO893+Rooms!CO457</f>
        <v>824405</v>
      </c>
      <c r="CN20" s="275">
        <f>Rooms!CP871+Rooms!CP893+Rooms!CP457</f>
        <v>841058.83000000007</v>
      </c>
      <c r="CO20" s="275">
        <f>Rooms!CQ871+Rooms!CQ893+Rooms!CQ457</f>
        <v>847723.68</v>
      </c>
      <c r="CP20" s="275">
        <f>Rooms!CR871+Rooms!CR893+Rooms!CR457</f>
        <v>859630.89</v>
      </c>
      <c r="CQ20" s="630">
        <f>Rooms!CS871+Rooms!CS893+Rooms!CS457</f>
        <v>868457.59</v>
      </c>
      <c r="CR20" s="235">
        <f>Rooms!CT871+Rooms!CT893+Rooms!CT457</f>
        <v>868457.59</v>
      </c>
      <c r="CS20" s="630">
        <f>Rooms!CU871+Rooms!CU893+Rooms!DA457</f>
        <v>909937.62070000009</v>
      </c>
      <c r="CT20" s="235">
        <f>Rooms!CV871+Rooms!CV893+Rooms!DB457</f>
        <v>933668.53225600009</v>
      </c>
      <c r="DB20" s="1226"/>
    </row>
    <row r="21" spans="1:106" s="212" customFormat="1" ht="12.75" customHeight="1" x14ac:dyDescent="0.2">
      <c r="A21" s="1434" t="s">
        <v>1644</v>
      </c>
      <c r="B21" s="777"/>
      <c r="C21" s="777"/>
      <c r="D21" s="777"/>
      <c r="E21" s="777"/>
      <c r="F21" s="235"/>
      <c r="G21" s="777"/>
      <c r="H21" s="777"/>
      <c r="I21" s="777"/>
      <c r="J21" s="777"/>
      <c r="K21" s="235"/>
      <c r="L21" s="777"/>
      <c r="M21" s="777"/>
      <c r="N21" s="777"/>
      <c r="O21" s="777"/>
      <c r="P21" s="631"/>
      <c r="Q21" s="777"/>
      <c r="R21" s="777"/>
      <c r="S21" s="777"/>
      <c r="T21" s="777"/>
      <c r="U21" s="631"/>
      <c r="V21" s="777"/>
      <c r="W21" s="777"/>
      <c r="X21" s="777"/>
      <c r="Y21" s="777"/>
      <c r="Z21" s="631"/>
      <c r="AA21" s="275"/>
      <c r="AB21" s="275"/>
      <c r="AC21" s="275"/>
      <c r="AD21" s="275"/>
      <c r="AE21" s="631"/>
      <c r="AF21" s="275">
        <f t="shared" ref="AF21:BD21" si="35">AF405</f>
        <v>14045</v>
      </c>
      <c r="AG21" s="275">
        <f t="shared" si="35"/>
        <v>14275</v>
      </c>
      <c r="AH21" s="275">
        <f t="shared" si="35"/>
        <v>14505</v>
      </c>
      <c r="AI21" s="275">
        <f t="shared" si="35"/>
        <v>14735</v>
      </c>
      <c r="AJ21" s="235">
        <f t="shared" si="35"/>
        <v>14735</v>
      </c>
      <c r="AK21" s="275">
        <f t="shared" si="35"/>
        <v>14984.5</v>
      </c>
      <c r="AL21" s="275">
        <f t="shared" si="35"/>
        <v>15234</v>
      </c>
      <c r="AM21" s="275">
        <f t="shared" si="35"/>
        <v>15483.5</v>
      </c>
      <c r="AN21" s="275">
        <f t="shared" si="35"/>
        <v>15733</v>
      </c>
      <c r="AO21" s="235">
        <f t="shared" si="35"/>
        <v>15733</v>
      </c>
      <c r="AP21" s="275">
        <f t="shared" si="35"/>
        <v>15721.5</v>
      </c>
      <c r="AQ21" s="275">
        <f t="shared" si="35"/>
        <v>15710</v>
      </c>
      <c r="AR21" s="275">
        <f t="shared" si="35"/>
        <v>15698.5</v>
      </c>
      <c r="AS21" s="275">
        <f t="shared" si="35"/>
        <v>15687</v>
      </c>
      <c r="AT21" s="235">
        <f t="shared" si="35"/>
        <v>15687</v>
      </c>
      <c r="AU21" s="275">
        <f t="shared" si="35"/>
        <v>16020.75</v>
      </c>
      <c r="AV21" s="275">
        <f t="shared" si="35"/>
        <v>16354.5</v>
      </c>
      <c r="AW21" s="275">
        <f t="shared" si="35"/>
        <v>16688.25</v>
      </c>
      <c r="AX21" s="275">
        <f t="shared" si="35"/>
        <v>17022</v>
      </c>
      <c r="AY21" s="235">
        <f t="shared" si="35"/>
        <v>17022</v>
      </c>
      <c r="AZ21" s="275">
        <f t="shared" si="35"/>
        <v>17224.25</v>
      </c>
      <c r="BA21" s="275">
        <f t="shared" si="35"/>
        <v>17426.5</v>
      </c>
      <c r="BB21" s="275">
        <f t="shared" si="35"/>
        <v>17628.75</v>
      </c>
      <c r="BC21" s="275">
        <f t="shared" si="35"/>
        <v>17831</v>
      </c>
      <c r="BD21" s="235">
        <f t="shared" si="35"/>
        <v>17831</v>
      </c>
      <c r="BE21" s="275">
        <f t="shared" ref="BE21:BG24" si="36">BE405</f>
        <v>17990.5</v>
      </c>
      <c r="BF21" s="275">
        <f t="shared" si="36"/>
        <v>18150</v>
      </c>
      <c r="BG21" s="275">
        <f t="shared" si="36"/>
        <v>18309.5</v>
      </c>
      <c r="BH21" s="275">
        <f t="shared" ref="BH21:BV21" si="37">BH405</f>
        <v>18469</v>
      </c>
      <c r="BI21" s="235">
        <f t="shared" si="37"/>
        <v>18469</v>
      </c>
      <c r="BJ21" s="275">
        <f t="shared" si="37"/>
        <v>18477.324577438339</v>
      </c>
      <c r="BK21" s="275">
        <f t="shared" si="37"/>
        <v>18521.105688410335</v>
      </c>
      <c r="BL21" s="275">
        <f t="shared" si="37"/>
        <v>18737.544701807106</v>
      </c>
      <c r="BM21" s="275">
        <f t="shared" si="37"/>
        <v>19113.692274946792</v>
      </c>
      <c r="BN21" s="235">
        <f t="shared" si="37"/>
        <v>19113.692274946792</v>
      </c>
      <c r="BO21" s="275">
        <f t="shared" si="37"/>
        <v>19479.973682233631</v>
      </c>
      <c r="BP21" s="275">
        <f t="shared" si="37"/>
        <v>19560.444597470891</v>
      </c>
      <c r="BQ21" s="275">
        <f t="shared" si="37"/>
        <v>19876.007745920455</v>
      </c>
      <c r="BR21" s="275">
        <f t="shared" si="37"/>
        <v>20377.178139476651</v>
      </c>
      <c r="BS21" s="235">
        <f t="shared" si="37"/>
        <v>20377.178139476651</v>
      </c>
      <c r="BT21" s="275">
        <f>BT405</f>
        <v>20759.800383957263</v>
      </c>
      <c r="BU21" s="275">
        <f t="shared" si="37"/>
        <v>22455.701798756312</v>
      </c>
      <c r="BV21" s="275">
        <f t="shared" si="37"/>
        <v>22657.033245690916</v>
      </c>
      <c r="BW21" s="275">
        <f t="shared" ref="BW21:BX24" si="38">BW405</f>
        <v>23885.062576687116</v>
      </c>
      <c r="BX21" s="235">
        <f t="shared" si="38"/>
        <v>23885.062576687116</v>
      </c>
      <c r="BY21" s="275">
        <f t="shared" ref="BY21:BZ24" si="39">BY405</f>
        <v>21950.8315930053</v>
      </c>
      <c r="BZ21" s="275">
        <f t="shared" si="39"/>
        <v>22436.740261257877</v>
      </c>
      <c r="CA21" s="275">
        <f t="shared" ref="CA21:CE24" si="40">CA405</f>
        <v>22850.810909394429</v>
      </c>
      <c r="CB21" s="275">
        <f t="shared" si="40"/>
        <v>23552.696114519425</v>
      </c>
      <c r="CC21" s="235">
        <f t="shared" si="40"/>
        <v>23552.696114519425</v>
      </c>
      <c r="CD21" s="275">
        <f t="shared" si="40"/>
        <v>23830.027870289217</v>
      </c>
      <c r="CE21" s="275">
        <f t="shared" si="40"/>
        <v>24259.822720253746</v>
      </c>
      <c r="CF21" s="275">
        <f t="shared" ref="CF21:CH24" si="41">CF405</f>
        <v>24483.507199198695</v>
      </c>
      <c r="CG21" s="275">
        <f t="shared" si="41"/>
        <v>47117.178026663583</v>
      </c>
      <c r="CH21" s="235">
        <f t="shared" si="41"/>
        <v>47117.178026663583</v>
      </c>
      <c r="CI21" s="275">
        <f t="shared" ref="CI21:CM24" ca="1" si="42">CI405</f>
        <v>47547.118345387229</v>
      </c>
      <c r="CJ21" s="275">
        <f t="shared" ca="1" si="42"/>
        <v>48151.069542955076</v>
      </c>
      <c r="CK21" s="275">
        <f t="shared" ca="1" si="42"/>
        <v>49086.923039426976</v>
      </c>
      <c r="CL21" s="275">
        <f t="shared" ca="1" si="42"/>
        <v>50095.842607273851</v>
      </c>
      <c r="CM21" s="235">
        <f t="shared" ca="1" si="42"/>
        <v>50095.842607273851</v>
      </c>
      <c r="CN21" s="275">
        <f t="shared" ref="CN21:CR24" ca="1" si="43">CN405</f>
        <v>50286.020510518509</v>
      </c>
      <c r="CO21" s="275">
        <f t="shared" ca="1" si="43"/>
        <v>51283.830864475312</v>
      </c>
      <c r="CP21" s="275">
        <f t="shared" ca="1" si="43"/>
        <v>52415.089196892732</v>
      </c>
      <c r="CQ21" s="275">
        <f t="shared" ca="1" si="43"/>
        <v>53488.975468708995</v>
      </c>
      <c r="CR21" s="235">
        <f t="shared" ca="1" si="43"/>
        <v>53488.975468708995</v>
      </c>
      <c r="CS21" s="235">
        <f t="shared" ref="CS21:CT24" ca="1" si="44">CS405</f>
        <v>56711.660499112179</v>
      </c>
      <c r="CT21" s="235">
        <f t="shared" ca="1" si="44"/>
        <v>58150.168917796123</v>
      </c>
      <c r="DB21" s="1226"/>
    </row>
    <row r="22" spans="1:106" s="212" customFormat="1" ht="12.75" customHeight="1" x14ac:dyDescent="0.2">
      <c r="A22" s="1434" t="s">
        <v>1930</v>
      </c>
      <c r="B22" s="777"/>
      <c r="C22" s="777"/>
      <c r="D22" s="777"/>
      <c r="E22" s="777"/>
      <c r="F22" s="235"/>
      <c r="G22" s="777"/>
      <c r="H22" s="777"/>
      <c r="I22" s="777"/>
      <c r="J22" s="777"/>
      <c r="K22" s="235"/>
      <c r="L22" s="777"/>
      <c r="M22" s="777"/>
      <c r="N22" s="777"/>
      <c r="O22" s="777"/>
      <c r="P22" s="631"/>
      <c r="Q22" s="777"/>
      <c r="R22" s="777"/>
      <c r="S22" s="777"/>
      <c r="T22" s="777"/>
      <c r="U22" s="631"/>
      <c r="V22" s="777"/>
      <c r="W22" s="777"/>
      <c r="X22" s="777"/>
      <c r="Y22" s="777"/>
      <c r="Z22" s="631"/>
      <c r="AA22" s="275"/>
      <c r="AB22" s="275"/>
      <c r="AC22" s="275"/>
      <c r="AD22" s="275"/>
      <c r="AE22" s="631"/>
      <c r="AF22" s="275">
        <f t="shared" ref="AF22:BD22" si="45">AF406</f>
        <v>37674.25</v>
      </c>
      <c r="AG22" s="275">
        <f t="shared" si="45"/>
        <v>37863.5</v>
      </c>
      <c r="AH22" s="275">
        <f t="shared" si="45"/>
        <v>38052.75</v>
      </c>
      <c r="AI22" s="275">
        <f t="shared" si="45"/>
        <v>38242</v>
      </c>
      <c r="AJ22" s="235">
        <f t="shared" si="45"/>
        <v>38242</v>
      </c>
      <c r="AK22" s="275">
        <f t="shared" si="45"/>
        <v>38200</v>
      </c>
      <c r="AL22" s="275">
        <f t="shared" si="45"/>
        <v>38158</v>
      </c>
      <c r="AM22" s="275">
        <f t="shared" si="45"/>
        <v>38116</v>
      </c>
      <c r="AN22" s="275">
        <f t="shared" si="45"/>
        <v>38074</v>
      </c>
      <c r="AO22" s="235">
        <f t="shared" si="45"/>
        <v>38074</v>
      </c>
      <c r="AP22" s="275">
        <f t="shared" si="45"/>
        <v>37870</v>
      </c>
      <c r="AQ22" s="275">
        <f t="shared" si="45"/>
        <v>37666</v>
      </c>
      <c r="AR22" s="275">
        <f t="shared" si="45"/>
        <v>37462</v>
      </c>
      <c r="AS22" s="275">
        <f t="shared" si="45"/>
        <v>37258</v>
      </c>
      <c r="AT22" s="235">
        <f t="shared" si="45"/>
        <v>37258</v>
      </c>
      <c r="AU22" s="275">
        <f t="shared" si="45"/>
        <v>37449.75</v>
      </c>
      <c r="AV22" s="275">
        <f t="shared" si="45"/>
        <v>37641.5</v>
      </c>
      <c r="AW22" s="275">
        <f t="shared" si="45"/>
        <v>37833.25</v>
      </c>
      <c r="AX22" s="275">
        <f t="shared" si="45"/>
        <v>38025</v>
      </c>
      <c r="AY22" s="235">
        <f t="shared" si="45"/>
        <v>38025</v>
      </c>
      <c r="AZ22" s="275">
        <f t="shared" si="45"/>
        <v>38788.5</v>
      </c>
      <c r="BA22" s="275">
        <f t="shared" si="45"/>
        <v>39552</v>
      </c>
      <c r="BB22" s="275">
        <f t="shared" si="45"/>
        <v>40315.5</v>
      </c>
      <c r="BC22" s="275">
        <f t="shared" si="45"/>
        <v>41079</v>
      </c>
      <c r="BD22" s="235">
        <f t="shared" si="45"/>
        <v>41079</v>
      </c>
      <c r="BE22" s="275">
        <f t="shared" si="36"/>
        <v>41792.25</v>
      </c>
      <c r="BF22" s="275">
        <f t="shared" si="36"/>
        <v>42505.5</v>
      </c>
      <c r="BG22" s="275">
        <f t="shared" si="36"/>
        <v>43218.75</v>
      </c>
      <c r="BH22" s="275">
        <f t="shared" ref="BH22:BV22" si="46">BH406</f>
        <v>43932</v>
      </c>
      <c r="BI22" s="235">
        <f t="shared" si="46"/>
        <v>43932</v>
      </c>
      <c r="BJ22" s="275">
        <f t="shared" si="46"/>
        <v>43951.801577563543</v>
      </c>
      <c r="BK22" s="275">
        <f t="shared" si="46"/>
        <v>44055.943207712538</v>
      </c>
      <c r="BL22" s="275">
        <f t="shared" si="46"/>
        <v>44570.784224364601</v>
      </c>
      <c r="BM22" s="275">
        <f t="shared" si="46"/>
        <v>45465.522173532001</v>
      </c>
      <c r="BN22" s="235">
        <f t="shared" si="46"/>
        <v>45465.522173532001</v>
      </c>
      <c r="BO22" s="275">
        <f t="shared" si="46"/>
        <v>46336.791586327789</v>
      </c>
      <c r="BP22" s="275">
        <f t="shared" si="46"/>
        <v>46528.206836108679</v>
      </c>
      <c r="BQ22" s="275">
        <f t="shared" si="46"/>
        <v>47278.833304119202</v>
      </c>
      <c r="BR22" s="275">
        <f t="shared" si="46"/>
        <v>48470.961612620522</v>
      </c>
      <c r="BS22" s="235">
        <f t="shared" si="46"/>
        <v>48470.961612620522</v>
      </c>
      <c r="BT22" s="275">
        <f>BT406</f>
        <v>49381.100788781776</v>
      </c>
      <c r="BU22" s="275">
        <f t="shared" si="46"/>
        <v>53415.122173532</v>
      </c>
      <c r="BV22" s="275">
        <f t="shared" si="46"/>
        <v>53894.026993865045</v>
      </c>
      <c r="BW22" s="275">
        <f t="shared" si="38"/>
        <v>56815.126380368107</v>
      </c>
      <c r="BX22" s="235">
        <f t="shared" si="38"/>
        <v>56815.126380368107</v>
      </c>
      <c r="BY22" s="275">
        <f t="shared" si="39"/>
        <v>52214.19316389133</v>
      </c>
      <c r="BZ22" s="275">
        <f t="shared" si="39"/>
        <v>53370.018580192816</v>
      </c>
      <c r="CA22" s="275">
        <f t="shared" si="40"/>
        <v>54354.963716038561</v>
      </c>
      <c r="CB22" s="275">
        <f t="shared" si="40"/>
        <v>56024.530061349695</v>
      </c>
      <c r="CC22" s="235">
        <f t="shared" si="40"/>
        <v>56024.530061349695</v>
      </c>
      <c r="CD22" s="275">
        <f t="shared" si="40"/>
        <v>56684.215950920247</v>
      </c>
      <c r="CE22" s="275">
        <f t="shared" si="40"/>
        <v>57706.56406660824</v>
      </c>
      <c r="CF22" s="275">
        <f t="shared" si="41"/>
        <v>58238.639789658191</v>
      </c>
      <c r="CG22" s="275">
        <f t="shared" si="41"/>
        <v>102559.65851250119</v>
      </c>
      <c r="CH22" s="235">
        <f t="shared" si="41"/>
        <v>102559.65851250119</v>
      </c>
      <c r="CI22" s="275">
        <f t="shared" ca="1" si="42"/>
        <v>103495.50684034672</v>
      </c>
      <c r="CJ22" s="275">
        <f t="shared" ca="1" si="42"/>
        <v>104810.12352952368</v>
      </c>
      <c r="CK22" s="275">
        <f t="shared" ca="1" si="42"/>
        <v>106847.18981905343</v>
      </c>
      <c r="CL22" s="275">
        <f t="shared" ca="1" si="42"/>
        <v>109043.29855643155</v>
      </c>
      <c r="CM22" s="235">
        <f t="shared" ca="1" si="42"/>
        <v>109043.29855643155</v>
      </c>
      <c r="CN22" s="275">
        <f t="shared" ca="1" si="43"/>
        <v>109457.25757584391</v>
      </c>
      <c r="CO22" s="275">
        <f t="shared" ca="1" si="43"/>
        <v>111629.18495876434</v>
      </c>
      <c r="CP22" s="275">
        <f t="shared" ca="1" si="43"/>
        <v>114091.5876985145</v>
      </c>
      <c r="CQ22" s="275">
        <f t="shared" ca="1" si="43"/>
        <v>116429.10904277694</v>
      </c>
      <c r="CR22" s="235">
        <f t="shared" ca="1" si="43"/>
        <v>116429.10904277694</v>
      </c>
      <c r="CS22" s="235">
        <f t="shared" ca="1" si="44"/>
        <v>123443.90683105832</v>
      </c>
      <c r="CT22" s="235">
        <f t="shared" ca="1" si="44"/>
        <v>126575.0988583927</v>
      </c>
      <c r="DB22" s="1226"/>
    </row>
    <row r="23" spans="1:106" s="212" customFormat="1" ht="12.75" customHeight="1" x14ac:dyDescent="0.2">
      <c r="A23" s="1434" t="s">
        <v>1645</v>
      </c>
      <c r="B23" s="777"/>
      <c r="C23" s="777"/>
      <c r="D23" s="777"/>
      <c r="E23" s="777"/>
      <c r="F23" s="235"/>
      <c r="G23" s="777"/>
      <c r="H23" s="777"/>
      <c r="I23" s="777"/>
      <c r="J23" s="777"/>
      <c r="K23" s="235"/>
      <c r="L23" s="777"/>
      <c r="M23" s="777"/>
      <c r="N23" s="777"/>
      <c r="O23" s="777"/>
      <c r="P23" s="631"/>
      <c r="Q23" s="777"/>
      <c r="R23" s="777"/>
      <c r="S23" s="777"/>
      <c r="T23" s="777"/>
      <c r="U23" s="631"/>
      <c r="V23" s="777"/>
      <c r="W23" s="777"/>
      <c r="X23" s="777"/>
      <c r="Y23" s="777"/>
      <c r="Z23" s="631"/>
      <c r="AA23" s="275"/>
      <c r="AB23" s="275"/>
      <c r="AC23" s="275"/>
      <c r="AD23" s="275"/>
      <c r="AE23" s="631"/>
      <c r="AF23" s="275">
        <f t="shared" ref="AF23:BD23" si="47">AF407</f>
        <v>8114.25</v>
      </c>
      <c r="AG23" s="275">
        <f t="shared" si="47"/>
        <v>8772.5</v>
      </c>
      <c r="AH23" s="275">
        <f t="shared" si="47"/>
        <v>9430.75</v>
      </c>
      <c r="AI23" s="275">
        <f t="shared" si="47"/>
        <v>10089</v>
      </c>
      <c r="AJ23" s="235">
        <f t="shared" si="47"/>
        <v>10089</v>
      </c>
      <c r="AK23" s="275">
        <f t="shared" si="47"/>
        <v>10259.75</v>
      </c>
      <c r="AL23" s="275">
        <f t="shared" si="47"/>
        <v>10430.5</v>
      </c>
      <c r="AM23" s="275">
        <f t="shared" si="47"/>
        <v>10601.25</v>
      </c>
      <c r="AN23" s="275">
        <f t="shared" si="47"/>
        <v>10772</v>
      </c>
      <c r="AO23" s="235">
        <f t="shared" si="47"/>
        <v>10772</v>
      </c>
      <c r="AP23" s="275">
        <f t="shared" si="47"/>
        <v>10599</v>
      </c>
      <c r="AQ23" s="275">
        <f t="shared" si="47"/>
        <v>10426</v>
      </c>
      <c r="AR23" s="275">
        <f t="shared" si="47"/>
        <v>10253</v>
      </c>
      <c r="AS23" s="275">
        <f t="shared" si="47"/>
        <v>10080</v>
      </c>
      <c r="AT23" s="235">
        <f t="shared" si="47"/>
        <v>10080</v>
      </c>
      <c r="AU23" s="275">
        <f t="shared" si="47"/>
        <v>10168.25</v>
      </c>
      <c r="AV23" s="275">
        <f t="shared" si="47"/>
        <v>10256.5</v>
      </c>
      <c r="AW23" s="275">
        <f t="shared" si="47"/>
        <v>10344.75</v>
      </c>
      <c r="AX23" s="275">
        <f t="shared" si="47"/>
        <v>10433</v>
      </c>
      <c r="AY23" s="235">
        <f t="shared" si="47"/>
        <v>10433</v>
      </c>
      <c r="AZ23" s="275">
        <f t="shared" si="47"/>
        <v>10050.75</v>
      </c>
      <c r="BA23" s="275">
        <f t="shared" si="47"/>
        <v>9668.5</v>
      </c>
      <c r="BB23" s="275">
        <f t="shared" si="47"/>
        <v>9286.25</v>
      </c>
      <c r="BC23" s="275">
        <f t="shared" si="47"/>
        <v>8904</v>
      </c>
      <c r="BD23" s="235">
        <f t="shared" si="47"/>
        <v>8904</v>
      </c>
      <c r="BE23" s="275">
        <f t="shared" si="36"/>
        <v>9335.75</v>
      </c>
      <c r="BF23" s="275">
        <f t="shared" si="36"/>
        <v>9767.5</v>
      </c>
      <c r="BG23" s="275">
        <f t="shared" si="36"/>
        <v>10199.25</v>
      </c>
      <c r="BH23" s="275">
        <f t="shared" ref="BH23:BV23" si="48">BH407</f>
        <v>10631</v>
      </c>
      <c r="BI23" s="235">
        <f t="shared" si="48"/>
        <v>10631</v>
      </c>
      <c r="BJ23" s="275">
        <f t="shared" si="48"/>
        <v>10635.79173657193</v>
      </c>
      <c r="BK23" s="275">
        <f t="shared" si="48"/>
        <v>10660.992721505781</v>
      </c>
      <c r="BL23" s="275">
        <f t="shared" si="48"/>
        <v>10785.577872375947</v>
      </c>
      <c r="BM23" s="275">
        <f t="shared" si="48"/>
        <v>11002.093376737201</v>
      </c>
      <c r="BN23" s="235">
        <f t="shared" si="48"/>
        <v>11002.093376737201</v>
      </c>
      <c r="BO23" s="275">
        <f t="shared" si="48"/>
        <v>11212.929785902093</v>
      </c>
      <c r="BP23" s="275">
        <f t="shared" si="48"/>
        <v>11259.24990609741</v>
      </c>
      <c r="BQ23" s="275">
        <f t="shared" si="48"/>
        <v>11440.89221651851</v>
      </c>
      <c r="BR23" s="275">
        <f t="shared" si="48"/>
        <v>11729.372505321149</v>
      </c>
      <c r="BS23" s="235">
        <f t="shared" si="48"/>
        <v>11729.372505321149</v>
      </c>
      <c r="BT23" s="275">
        <f>BT407</f>
        <v>11949.614915905013</v>
      </c>
      <c r="BU23" s="275">
        <f t="shared" si="48"/>
        <v>12925.798138641961</v>
      </c>
      <c r="BV23" s="275">
        <f t="shared" si="48"/>
        <v>13041.6871749927</v>
      </c>
      <c r="BW23" s="275">
        <f t="shared" si="38"/>
        <v>13748.557055214726</v>
      </c>
      <c r="BX23" s="235">
        <f t="shared" si="38"/>
        <v>13748.557055214726</v>
      </c>
      <c r="BY23" s="275">
        <f t="shared" si="39"/>
        <v>12635.188189140688</v>
      </c>
      <c r="BZ23" s="275">
        <f t="shared" si="39"/>
        <v>12914.883627561454</v>
      </c>
      <c r="CA23" s="275">
        <f t="shared" si="40"/>
        <v>13153.228154083718</v>
      </c>
      <c r="CB23" s="275">
        <f t="shared" si="40"/>
        <v>13557.24253578732</v>
      </c>
      <c r="CC23" s="235">
        <f t="shared" si="40"/>
        <v>13557.24253578732</v>
      </c>
      <c r="CD23" s="275">
        <f t="shared" si="40"/>
        <v>13716.878352322523</v>
      </c>
      <c r="CE23" s="275">
        <f t="shared" si="40"/>
        <v>13964.273936813988</v>
      </c>
      <c r="CF23" s="275">
        <f t="shared" si="41"/>
        <v>14093.029673218978</v>
      </c>
      <c r="CG23" s="275">
        <f t="shared" si="41"/>
        <v>39830.584850368759</v>
      </c>
      <c r="CH23" s="235">
        <f t="shared" si="41"/>
        <v>39830.584850368759</v>
      </c>
      <c r="CI23" s="275">
        <f t="shared" ca="1" si="42"/>
        <v>40194.035614245702</v>
      </c>
      <c r="CJ23" s="275">
        <f t="shared" ca="1" si="42"/>
        <v>40704.586764117084</v>
      </c>
      <c r="CK23" s="275">
        <f t="shared" ca="1" si="42"/>
        <v>41495.712074670359</v>
      </c>
      <c r="CL23" s="275">
        <f t="shared" ca="1" si="42"/>
        <v>42348.603910246362</v>
      </c>
      <c r="CM23" s="235">
        <f t="shared" ca="1" si="42"/>
        <v>42348.603910246362</v>
      </c>
      <c r="CN23" s="275">
        <f t="shared" ca="1" si="43"/>
        <v>42509.371117220529</v>
      </c>
      <c r="CO23" s="275">
        <f t="shared" ca="1" si="43"/>
        <v>43352.871760348222</v>
      </c>
      <c r="CP23" s="275">
        <f t="shared" ca="1" si="43"/>
        <v>44309.182874132246</v>
      </c>
      <c r="CQ23" s="275">
        <f t="shared" ca="1" si="43"/>
        <v>45216.994421016876</v>
      </c>
      <c r="CR23" s="235">
        <f t="shared" ca="1" si="43"/>
        <v>45216.994421016876</v>
      </c>
      <c r="CS23" s="235">
        <f t="shared" ca="1" si="44"/>
        <v>47941.296574190135</v>
      </c>
      <c r="CT23" s="235">
        <f t="shared" ca="1" si="44"/>
        <v>49157.342059680297</v>
      </c>
      <c r="DB23" s="1226"/>
    </row>
    <row r="24" spans="1:106" s="212" customFormat="1" ht="12.75" customHeight="1" x14ac:dyDescent="0.2">
      <c r="A24" s="1434" t="s">
        <v>808</v>
      </c>
      <c r="B24" s="777"/>
      <c r="C24" s="777"/>
      <c r="D24" s="777"/>
      <c r="E24" s="777"/>
      <c r="F24" s="235"/>
      <c r="G24" s="777"/>
      <c r="H24" s="777"/>
      <c r="I24" s="777"/>
      <c r="J24" s="777"/>
      <c r="K24" s="235"/>
      <c r="L24" s="777"/>
      <c r="M24" s="777"/>
      <c r="N24" s="777"/>
      <c r="O24" s="777"/>
      <c r="P24" s="631"/>
      <c r="Q24" s="777"/>
      <c r="R24" s="777"/>
      <c r="S24" s="777"/>
      <c r="T24" s="777"/>
      <c r="U24" s="631"/>
      <c r="V24" s="777"/>
      <c r="W24" s="777"/>
      <c r="X24" s="777"/>
      <c r="Y24" s="777"/>
      <c r="Z24" s="631"/>
      <c r="AA24" s="275"/>
      <c r="AB24" s="275"/>
      <c r="AC24" s="275"/>
      <c r="AD24" s="275"/>
      <c r="AE24" s="631"/>
      <c r="AF24" s="275">
        <f t="shared" ref="AF24:BD24" si="49">AF408</f>
        <v>30940</v>
      </c>
      <c r="AG24" s="275">
        <f t="shared" si="49"/>
        <v>30802</v>
      </c>
      <c r="AH24" s="275">
        <f t="shared" si="49"/>
        <v>30664</v>
      </c>
      <c r="AI24" s="275">
        <f t="shared" si="49"/>
        <v>30526</v>
      </c>
      <c r="AJ24" s="235">
        <f t="shared" si="49"/>
        <v>30526</v>
      </c>
      <c r="AK24" s="275">
        <f t="shared" si="49"/>
        <v>30842.75</v>
      </c>
      <c r="AL24" s="275">
        <f t="shared" si="49"/>
        <v>31159.5</v>
      </c>
      <c r="AM24" s="275">
        <f t="shared" si="49"/>
        <v>31476.25</v>
      </c>
      <c r="AN24" s="275">
        <f t="shared" si="49"/>
        <v>31793</v>
      </c>
      <c r="AO24" s="235">
        <f t="shared" si="49"/>
        <v>31793</v>
      </c>
      <c r="AP24" s="275">
        <f t="shared" si="49"/>
        <v>33017.75</v>
      </c>
      <c r="AQ24" s="275">
        <f t="shared" si="49"/>
        <v>34242.5</v>
      </c>
      <c r="AR24" s="275">
        <f t="shared" si="49"/>
        <v>35467.25</v>
      </c>
      <c r="AS24" s="275">
        <f t="shared" si="49"/>
        <v>36692</v>
      </c>
      <c r="AT24" s="235">
        <f t="shared" si="49"/>
        <v>36692</v>
      </c>
      <c r="AU24" s="275">
        <f t="shared" si="49"/>
        <v>37773</v>
      </c>
      <c r="AV24" s="275">
        <f t="shared" si="49"/>
        <v>38854</v>
      </c>
      <c r="AW24" s="275">
        <f t="shared" si="49"/>
        <v>39935</v>
      </c>
      <c r="AX24" s="275">
        <f t="shared" si="49"/>
        <v>41016</v>
      </c>
      <c r="AY24" s="235">
        <f t="shared" si="49"/>
        <v>41016</v>
      </c>
      <c r="AZ24" s="275">
        <f t="shared" si="49"/>
        <v>41741.75</v>
      </c>
      <c r="BA24" s="275">
        <f t="shared" si="49"/>
        <v>42467.5</v>
      </c>
      <c r="BB24" s="275">
        <f t="shared" si="49"/>
        <v>43193.25</v>
      </c>
      <c r="BC24" s="275">
        <f t="shared" si="49"/>
        <v>43919</v>
      </c>
      <c r="BD24" s="235">
        <f t="shared" si="49"/>
        <v>43919</v>
      </c>
      <c r="BE24" s="275">
        <f t="shared" si="36"/>
        <v>44299.5</v>
      </c>
      <c r="BF24" s="275">
        <f t="shared" si="36"/>
        <v>44680</v>
      </c>
      <c r="BG24" s="275">
        <f t="shared" si="36"/>
        <v>45060.5</v>
      </c>
      <c r="BH24" s="275">
        <f t="shared" ref="BH24:BV24" si="50">BH408</f>
        <v>45441</v>
      </c>
      <c r="BI24" s="235">
        <f t="shared" si="50"/>
        <v>45441</v>
      </c>
      <c r="BJ24" s="275">
        <f t="shared" si="50"/>
        <v>45461.481732815831</v>
      </c>
      <c r="BK24" s="275">
        <f t="shared" si="50"/>
        <v>45569.200475773141</v>
      </c>
      <c r="BL24" s="275">
        <f t="shared" si="50"/>
        <v>46101.725528984614</v>
      </c>
      <c r="BM24" s="275">
        <f t="shared" si="50"/>
        <v>47027.196419181186</v>
      </c>
      <c r="BN24" s="235">
        <f t="shared" si="50"/>
        <v>47027.196419181186</v>
      </c>
      <c r="BO24" s="275">
        <f t="shared" si="50"/>
        <v>47928.392663077517</v>
      </c>
      <c r="BP24" s="275">
        <f t="shared" si="50"/>
        <v>48126.382746963827</v>
      </c>
      <c r="BQ24" s="275">
        <f t="shared" si="50"/>
        <v>48902.792137223005</v>
      </c>
      <c r="BR24" s="275">
        <f t="shared" si="50"/>
        <v>50135.868311005404</v>
      </c>
      <c r="BS24" s="235">
        <f t="shared" si="50"/>
        <v>50135.868311005404</v>
      </c>
      <c r="BT24" s="275">
        <f>BT408</f>
        <v>51077.269437836498</v>
      </c>
      <c r="BU24" s="275">
        <f t="shared" si="50"/>
        <v>55249.853562038334</v>
      </c>
      <c r="BV24" s="275">
        <f t="shared" si="50"/>
        <v>55745.208063102567</v>
      </c>
      <c r="BW24" s="275">
        <f t="shared" si="38"/>
        <v>58766.642944785301</v>
      </c>
      <c r="BX24" s="235">
        <f t="shared" si="38"/>
        <v>58766.642944785301</v>
      </c>
      <c r="BY24" s="275">
        <f t="shared" si="39"/>
        <v>54007.674395893344</v>
      </c>
      <c r="BZ24" s="275">
        <f t="shared" si="39"/>
        <v>55203.200726180054</v>
      </c>
      <c r="CA24" s="275">
        <f t="shared" si="40"/>
        <v>56221.977288093156</v>
      </c>
      <c r="CB24" s="275">
        <f t="shared" si="40"/>
        <v>57948.890797546024</v>
      </c>
      <c r="CC24" s="235">
        <f t="shared" si="40"/>
        <v>57948.890797546024</v>
      </c>
      <c r="CD24" s="275">
        <f t="shared" si="40"/>
        <v>58631.235933391778</v>
      </c>
      <c r="CE24" s="275">
        <f t="shared" si="40"/>
        <v>59688.700212845892</v>
      </c>
      <c r="CF24" s="275">
        <f t="shared" si="41"/>
        <v>60239.051959434095</v>
      </c>
      <c r="CG24" s="275">
        <f t="shared" si="41"/>
        <v>167098.57861046647</v>
      </c>
      <c r="CH24" s="235">
        <f t="shared" si="41"/>
        <v>167098.57861046647</v>
      </c>
      <c r="CI24" s="275">
        <f t="shared" ca="1" si="42"/>
        <v>168623.33920002039</v>
      </c>
      <c r="CJ24" s="275">
        <f t="shared" ca="1" si="42"/>
        <v>170765.22016340418</v>
      </c>
      <c r="CK24" s="275">
        <f t="shared" ca="1" si="42"/>
        <v>174084.17506684925</v>
      </c>
      <c r="CL24" s="275">
        <f t="shared" ca="1" si="42"/>
        <v>177662.25492604825</v>
      </c>
      <c r="CM24" s="235">
        <f t="shared" ca="1" si="42"/>
        <v>177662.25492604825</v>
      </c>
      <c r="CN24" s="275">
        <f t="shared" ca="1" si="43"/>
        <v>178336.71079641717</v>
      </c>
      <c r="CO24" s="275">
        <f t="shared" ca="1" si="43"/>
        <v>181875.39241641221</v>
      </c>
      <c r="CP24" s="275">
        <f t="shared" ca="1" si="43"/>
        <v>185887.34023046051</v>
      </c>
      <c r="CQ24" s="275">
        <f t="shared" ca="1" si="43"/>
        <v>189695.82106749713</v>
      </c>
      <c r="CR24" s="235">
        <f t="shared" ca="1" si="43"/>
        <v>189695.82106749713</v>
      </c>
      <c r="CS24" s="235">
        <f t="shared" ca="1" si="44"/>
        <v>201124.90299563934</v>
      </c>
      <c r="CT24" s="235">
        <f t="shared" ca="1" si="44"/>
        <v>206226.49698213086</v>
      </c>
      <c r="DB24" s="1226"/>
    </row>
    <row r="25" spans="1:106" s="212" customFormat="1" ht="12.75" customHeight="1" x14ac:dyDescent="0.2">
      <c r="A25" s="331" t="s">
        <v>1327</v>
      </c>
      <c r="B25" s="1462"/>
      <c r="C25" s="1462"/>
      <c r="D25" s="1462"/>
      <c r="E25" s="1462"/>
      <c r="F25" s="1523"/>
      <c r="G25" s="1462"/>
      <c r="H25" s="1462"/>
      <c r="I25" s="1462"/>
      <c r="J25" s="1462"/>
      <c r="K25" s="1523"/>
      <c r="L25" s="1462"/>
      <c r="M25" s="1462"/>
      <c r="N25" s="1462"/>
      <c r="O25" s="1462"/>
      <c r="P25" s="1637"/>
      <c r="Q25" s="1462"/>
      <c r="R25" s="1462"/>
      <c r="S25" s="1462"/>
      <c r="T25" s="1462"/>
      <c r="U25" s="1637"/>
      <c r="V25" s="1462"/>
      <c r="W25" s="1462"/>
      <c r="X25" s="1462"/>
      <c r="Y25" s="1462"/>
      <c r="Z25" s="1637"/>
      <c r="AA25" s="1463"/>
      <c r="AB25" s="1463"/>
      <c r="AC25" s="1463"/>
      <c r="AD25" s="1463"/>
      <c r="AE25" s="1637"/>
      <c r="AF25" s="1613">
        <f t="shared" ref="AF25:BH25" si="51">SUM(AF20:AF24)</f>
        <v>484011.5</v>
      </c>
      <c r="AG25" s="1613">
        <f t="shared" si="51"/>
        <v>486621</v>
      </c>
      <c r="AH25" s="1613">
        <f t="shared" si="51"/>
        <v>490222.5</v>
      </c>
      <c r="AI25" s="1613">
        <f t="shared" si="51"/>
        <v>492692</v>
      </c>
      <c r="AJ25" s="1634">
        <f t="shared" si="51"/>
        <v>493464</v>
      </c>
      <c r="AK25" s="1613">
        <f t="shared" si="51"/>
        <v>493739</v>
      </c>
      <c r="AL25" s="1613">
        <f t="shared" si="51"/>
        <v>498156</v>
      </c>
      <c r="AM25" s="1613">
        <f t="shared" si="51"/>
        <v>503162</v>
      </c>
      <c r="AN25" s="1613">
        <f t="shared" si="51"/>
        <v>511525</v>
      </c>
      <c r="AO25" s="1634">
        <f t="shared" si="51"/>
        <v>511996</v>
      </c>
      <c r="AP25" s="1613">
        <f t="shared" si="51"/>
        <v>516072.25</v>
      </c>
      <c r="AQ25" s="1613">
        <f t="shared" si="51"/>
        <v>522561.5</v>
      </c>
      <c r="AR25" s="1613">
        <f t="shared" si="51"/>
        <v>526757.75</v>
      </c>
      <c r="AS25" s="1613">
        <f t="shared" si="51"/>
        <v>535761</v>
      </c>
      <c r="AT25" s="1634">
        <f t="shared" si="51"/>
        <v>535760</v>
      </c>
      <c r="AU25" s="1613">
        <f t="shared" si="51"/>
        <v>542636.75</v>
      </c>
      <c r="AV25" s="1613">
        <f t="shared" si="51"/>
        <v>550121.5</v>
      </c>
      <c r="AW25" s="1613">
        <f t="shared" si="51"/>
        <v>561110.25</v>
      </c>
      <c r="AX25" s="1613">
        <f t="shared" si="51"/>
        <v>570243</v>
      </c>
      <c r="AY25" s="1634">
        <f t="shared" si="51"/>
        <v>570243</v>
      </c>
      <c r="AZ25" s="1613">
        <f t="shared" si="51"/>
        <v>576664.25</v>
      </c>
      <c r="BA25" s="1613">
        <f t="shared" si="51"/>
        <v>581903.5</v>
      </c>
      <c r="BB25" s="1613">
        <f t="shared" si="51"/>
        <v>585316.75</v>
      </c>
      <c r="BC25" s="1613">
        <f t="shared" si="51"/>
        <v>592134</v>
      </c>
      <c r="BD25" s="1634">
        <f t="shared" si="51"/>
        <v>592134</v>
      </c>
      <c r="BE25" s="1613">
        <f t="shared" si="51"/>
        <v>596063</v>
      </c>
      <c r="BF25" s="1613">
        <f t="shared" si="51"/>
        <v>599630</v>
      </c>
      <c r="BG25" s="1613">
        <f t="shared" si="51"/>
        <v>602919</v>
      </c>
      <c r="BH25" s="1613">
        <f t="shared" si="51"/>
        <v>606772</v>
      </c>
      <c r="BI25" s="1634">
        <f t="shared" ref="BI25:BT25" si="52">SUM(BI20:BI24)</f>
        <v>606772</v>
      </c>
      <c r="BJ25" s="1613">
        <f t="shared" si="52"/>
        <v>607754.39962438971</v>
      </c>
      <c r="BK25" s="1613">
        <f t="shared" si="52"/>
        <v>609045.24209340184</v>
      </c>
      <c r="BL25" s="1613">
        <f t="shared" si="52"/>
        <v>611038.63232753216</v>
      </c>
      <c r="BM25" s="1613">
        <f t="shared" si="52"/>
        <v>623660.50424439716</v>
      </c>
      <c r="BN25" s="1634">
        <f t="shared" si="52"/>
        <v>623660.50424439716</v>
      </c>
      <c r="BO25" s="1613">
        <f t="shared" si="52"/>
        <v>626133.08771754114</v>
      </c>
      <c r="BP25" s="1613">
        <f t="shared" si="52"/>
        <v>629689.28408664081</v>
      </c>
      <c r="BQ25" s="1613">
        <f t="shared" si="52"/>
        <v>633934.5254037811</v>
      </c>
      <c r="BR25" s="1613">
        <f t="shared" si="52"/>
        <v>638907.38056842377</v>
      </c>
      <c r="BS25" s="1634">
        <f t="shared" si="52"/>
        <v>638907.38056842377</v>
      </c>
      <c r="BT25" s="1613">
        <f t="shared" si="52"/>
        <v>642685.78552648053</v>
      </c>
      <c r="BU25" s="1613">
        <f t="shared" ref="BU25:CC25" si="53">SUM(BU20:BU24)</f>
        <v>658644.47567296866</v>
      </c>
      <c r="BV25" s="1613">
        <f t="shared" si="53"/>
        <v>664349.95547765121</v>
      </c>
      <c r="BW25" s="1613">
        <f t="shared" si="53"/>
        <v>675992.38895705529</v>
      </c>
      <c r="BX25" s="1634">
        <f t="shared" si="53"/>
        <v>675992.38895705529</v>
      </c>
      <c r="BY25" s="1613">
        <f t="shared" si="53"/>
        <v>684803.88734193065</v>
      </c>
      <c r="BZ25" s="1613">
        <f t="shared" si="53"/>
        <v>703408.84319519228</v>
      </c>
      <c r="CA25" s="1613">
        <f t="shared" si="53"/>
        <v>713677.98006760981</v>
      </c>
      <c r="CB25" s="1613">
        <f t="shared" si="53"/>
        <v>720352.35950920242</v>
      </c>
      <c r="CC25" s="1634">
        <f t="shared" si="53"/>
        <v>727180.35950920242</v>
      </c>
      <c r="CD25" s="1613">
        <f t="shared" ref="CD25:CM25" si="54">SUM(CD20:CD24)</f>
        <v>727957.35810692364</v>
      </c>
      <c r="CE25" s="1613">
        <f>SUM(CE20:CE24)</f>
        <v>738939.3609365219</v>
      </c>
      <c r="CF25" s="1613">
        <f t="shared" si="54"/>
        <v>747363.22862150986</v>
      </c>
      <c r="CG25" s="1613">
        <f t="shared" si="54"/>
        <v>1142567</v>
      </c>
      <c r="CH25" s="1634">
        <f t="shared" si="54"/>
        <v>1142567</v>
      </c>
      <c r="CI25" s="1613">
        <f t="shared" ca="1" si="54"/>
        <v>1153694</v>
      </c>
      <c r="CJ25" s="1613">
        <f t="shared" ca="1" si="54"/>
        <v>1166606</v>
      </c>
      <c r="CK25" s="1613">
        <f t="shared" ca="1" si="54"/>
        <v>1186606</v>
      </c>
      <c r="CL25" s="1613">
        <f t="shared" ca="1" si="54"/>
        <v>1203555</v>
      </c>
      <c r="CM25" s="1634">
        <f t="shared" ca="1" si="54"/>
        <v>1203555</v>
      </c>
      <c r="CN25" s="1613">
        <f t="shared" ref="CN25:CT25" ca="1" si="55">SUM(CN20:CN24)</f>
        <v>1221648.1900000002</v>
      </c>
      <c r="CO25" s="1613">
        <f t="shared" ca="1" si="55"/>
        <v>1235864.9600000002</v>
      </c>
      <c r="CP25" s="1613">
        <f t="shared" ca="1" si="55"/>
        <v>1256334.0899999999</v>
      </c>
      <c r="CQ25" s="1613">
        <f t="shared" ca="1" si="55"/>
        <v>1273288.49</v>
      </c>
      <c r="CR25" s="1634">
        <f t="shared" ca="1" si="55"/>
        <v>1273288.49</v>
      </c>
      <c r="CS25" s="1634">
        <f t="shared" ca="1" si="55"/>
        <v>1339159.3876</v>
      </c>
      <c r="CT25" s="1634">
        <f t="shared" ca="1" si="55"/>
        <v>1373777.6390740001</v>
      </c>
      <c r="CZ25" s="1867"/>
      <c r="DB25" s="1226"/>
    </row>
    <row r="26" spans="1:106" s="212" customFormat="1" ht="12.75" customHeight="1" x14ac:dyDescent="0.2">
      <c r="A26" s="1437"/>
      <c r="B26" s="777"/>
      <c r="C26" s="777"/>
      <c r="D26" s="777"/>
      <c r="E26" s="777"/>
      <c r="F26" s="235"/>
      <c r="G26" s="777"/>
      <c r="H26" s="777"/>
      <c r="I26" s="777"/>
      <c r="J26" s="777"/>
      <c r="K26" s="235"/>
      <c r="L26" s="777"/>
      <c r="M26" s="777"/>
      <c r="N26" s="777"/>
      <c r="O26" s="777"/>
      <c r="P26" s="631"/>
      <c r="Q26" s="777"/>
      <c r="R26" s="777"/>
      <c r="S26" s="777"/>
      <c r="T26" s="777"/>
      <c r="U26" s="631"/>
      <c r="V26" s="777"/>
      <c r="W26" s="777"/>
      <c r="X26" s="777"/>
      <c r="Y26" s="777"/>
      <c r="Z26" s="631"/>
      <c r="AA26" s="275"/>
      <c r="AB26" s="275"/>
      <c r="AC26" s="275"/>
      <c r="AD26" s="275"/>
      <c r="AE26" s="631"/>
      <c r="AF26" s="275"/>
      <c r="AG26" s="275"/>
      <c r="AH26" s="275"/>
      <c r="AI26" s="275"/>
      <c r="AJ26" s="631"/>
      <c r="AK26" s="275"/>
      <c r="AL26" s="275"/>
      <c r="AM26" s="275"/>
      <c r="AN26" s="275"/>
      <c r="AO26" s="631"/>
      <c r="AP26" s="275"/>
      <c r="AQ26" s="275"/>
      <c r="AR26" s="275"/>
      <c r="AS26" s="275"/>
      <c r="AT26" s="631"/>
      <c r="AU26" s="275"/>
      <c r="AV26" s="275"/>
      <c r="AW26" s="275"/>
      <c r="AX26" s="275"/>
      <c r="AY26" s="631"/>
      <c r="AZ26" s="275"/>
      <c r="BA26" s="275"/>
      <c r="BB26" s="275"/>
      <c r="BC26" s="275"/>
      <c r="BD26" s="631"/>
      <c r="BE26" s="275"/>
      <c r="BF26" s="275"/>
      <c r="BG26" s="275"/>
      <c r="BH26" s="275"/>
      <c r="BI26" s="631"/>
      <c r="BJ26" s="275"/>
      <c r="BK26" s="275"/>
      <c r="BL26" s="275"/>
      <c r="BM26" s="275"/>
      <c r="BN26" s="631"/>
      <c r="BO26" s="275"/>
      <c r="BP26" s="275"/>
      <c r="BQ26" s="275"/>
      <c r="BR26" s="275"/>
      <c r="BS26" s="631"/>
      <c r="BT26" s="275"/>
      <c r="BU26" s="275"/>
      <c r="BV26" s="275"/>
      <c r="BW26" s="275"/>
      <c r="BX26" s="631"/>
      <c r="BY26" s="275"/>
      <c r="BZ26" s="275"/>
      <c r="CA26" s="275"/>
      <c r="CB26" s="275"/>
      <c r="CC26" s="631"/>
      <c r="CD26" s="275"/>
      <c r="CE26" s="275"/>
      <c r="CF26" s="275"/>
      <c r="CG26" s="884"/>
      <c r="CH26" s="631"/>
      <c r="CI26" s="275"/>
      <c r="CJ26" s="275"/>
      <c r="CK26" s="275"/>
      <c r="CL26" s="275"/>
      <c r="CM26" s="631"/>
      <c r="CN26" s="275"/>
      <c r="CO26" s="275"/>
      <c r="CP26" s="275"/>
      <c r="CQ26" s="275"/>
      <c r="CR26" s="236"/>
      <c r="CS26" s="236"/>
      <c r="CT26" s="236"/>
      <c r="DB26" s="1226"/>
    </row>
    <row r="27" spans="1:106" s="212" customFormat="1" ht="12.75" customHeight="1" x14ac:dyDescent="0.2">
      <c r="A27" s="1437" t="s">
        <v>606</v>
      </c>
      <c r="B27" s="777"/>
      <c r="C27" s="777"/>
      <c r="D27" s="777"/>
      <c r="E27" s="777"/>
      <c r="F27" s="235"/>
      <c r="G27" s="777"/>
      <c r="H27" s="777"/>
      <c r="I27" s="777"/>
      <c r="J27" s="777"/>
      <c r="K27" s="235"/>
      <c r="L27" s="777"/>
      <c r="M27" s="777"/>
      <c r="N27" s="777"/>
      <c r="O27" s="777"/>
      <c r="P27" s="631"/>
      <c r="Q27" s="777"/>
      <c r="R27" s="777"/>
      <c r="S27" s="777"/>
      <c r="T27" s="777"/>
      <c r="U27" s="631"/>
      <c r="V27" s="777"/>
      <c r="W27" s="777"/>
      <c r="X27" s="777"/>
      <c r="Y27" s="777"/>
      <c r="Z27" s="631"/>
      <c r="AA27" s="275"/>
      <c r="AB27" s="275"/>
      <c r="AC27" s="275"/>
      <c r="AD27" s="275"/>
      <c r="AE27" s="631"/>
      <c r="AF27" s="275"/>
      <c r="AG27" s="275"/>
      <c r="AH27" s="275"/>
      <c r="AI27" s="275"/>
      <c r="AJ27" s="631"/>
      <c r="AK27" s="275"/>
      <c r="AL27" s="275"/>
      <c r="AM27" s="275"/>
      <c r="AN27" s="275"/>
      <c r="AO27" s="631"/>
      <c r="AP27" s="275"/>
      <c r="AQ27" s="275"/>
      <c r="AR27" s="275"/>
      <c r="AS27" s="275"/>
      <c r="AT27" s="631"/>
      <c r="AU27" s="275"/>
      <c r="AV27" s="275"/>
      <c r="AW27" s="275"/>
      <c r="AX27" s="275"/>
      <c r="AY27" s="631"/>
      <c r="AZ27" s="275"/>
      <c r="BA27" s="275"/>
      <c r="BB27" s="275"/>
      <c r="BC27" s="275"/>
      <c r="BD27" s="631"/>
      <c r="BE27" s="275"/>
      <c r="BF27" s="275"/>
      <c r="BG27" s="275"/>
      <c r="BH27" s="275"/>
      <c r="BI27" s="631"/>
      <c r="BJ27" s="275"/>
      <c r="BK27" s="275"/>
      <c r="BL27" s="275"/>
      <c r="BM27" s="275"/>
      <c r="BN27" s="631"/>
      <c r="BO27" s="275"/>
      <c r="BP27" s="275"/>
      <c r="BQ27" s="275"/>
      <c r="BR27" s="275"/>
      <c r="BS27" s="631"/>
      <c r="BT27" s="275"/>
      <c r="BU27" s="275"/>
      <c r="BV27" s="275"/>
      <c r="BW27" s="275"/>
      <c r="BX27" s="631"/>
      <c r="BY27" s="275"/>
      <c r="BZ27" s="275"/>
      <c r="CA27" s="275"/>
      <c r="CB27" s="275"/>
      <c r="CC27" s="631"/>
      <c r="CD27" s="275"/>
      <c r="CE27" s="275"/>
      <c r="CF27" s="275"/>
      <c r="CG27" s="275"/>
      <c r="CH27" s="631"/>
      <c r="CI27" s="275"/>
      <c r="CJ27" s="275"/>
      <c r="CK27" s="275"/>
      <c r="CL27" s="275"/>
      <c r="CM27" s="631"/>
      <c r="CN27" s="275"/>
      <c r="CO27" s="275"/>
      <c r="CP27" s="275"/>
      <c r="CQ27" s="275"/>
      <c r="CR27" s="236"/>
      <c r="CS27" s="236"/>
      <c r="CT27" s="236"/>
      <c r="DB27" s="1226"/>
    </row>
    <row r="28" spans="1:106" s="212" customFormat="1" ht="12.75" customHeight="1" x14ac:dyDescent="0.2">
      <c r="A28" s="1436" t="s">
        <v>1716</v>
      </c>
      <c r="B28" s="777"/>
      <c r="C28" s="777"/>
      <c r="D28" s="777"/>
      <c r="E28" s="777"/>
      <c r="F28" s="235"/>
      <c r="G28" s="777"/>
      <c r="H28" s="777"/>
      <c r="I28" s="777"/>
      <c r="J28" s="777"/>
      <c r="K28" s="235"/>
      <c r="L28" s="777"/>
      <c r="M28" s="777"/>
      <c r="N28" s="777"/>
      <c r="O28" s="777"/>
      <c r="P28" s="631"/>
      <c r="Q28" s="777"/>
      <c r="R28" s="777"/>
      <c r="S28" s="777"/>
      <c r="T28" s="777"/>
      <c r="U28" s="631"/>
      <c r="V28" s="777"/>
      <c r="W28" s="777"/>
      <c r="X28" s="777"/>
      <c r="Y28" s="777"/>
      <c r="Z28" s="631"/>
      <c r="AA28" s="275"/>
      <c r="AB28" s="275"/>
      <c r="AC28" s="275"/>
      <c r="AD28" s="275"/>
      <c r="AE28" s="631"/>
      <c r="AF28" s="884">
        <f>AF20/AF$25</f>
        <v>0.81245590239074894</v>
      </c>
      <c r="AG28" s="884">
        <f t="shared" ref="AG28:BZ32" si="56">AG20/AG$25</f>
        <v>0.81153094502703338</v>
      </c>
      <c r="AH28" s="884">
        <f t="shared" si="56"/>
        <v>0.81099908714920266</v>
      </c>
      <c r="AI28" s="884">
        <f t="shared" si="56"/>
        <v>0.8100395378857379</v>
      </c>
      <c r="AJ28" s="1512">
        <f t="shared" si="56"/>
        <v>0.81033672162508308</v>
      </c>
      <c r="AK28" s="884">
        <f t="shared" si="56"/>
        <v>0.80903473292569561</v>
      </c>
      <c r="AL28" s="884">
        <f t="shared" si="56"/>
        <v>0.80933281943808766</v>
      </c>
      <c r="AM28" s="884">
        <f t="shared" si="56"/>
        <v>0.80984851797234292</v>
      </c>
      <c r="AN28" s="884">
        <f t="shared" si="56"/>
        <v>0.81159865109232199</v>
      </c>
      <c r="AO28" s="1512">
        <f t="shared" si="56"/>
        <v>0.81177196696849196</v>
      </c>
      <c r="AP28" s="884">
        <f t="shared" si="56"/>
        <v>0.81163829289406664</v>
      </c>
      <c r="AQ28" s="884">
        <f t="shared" si="56"/>
        <v>0.81237710776626293</v>
      </c>
      <c r="AR28" s="884">
        <f t="shared" si="56"/>
        <v>0.81228420464625339</v>
      </c>
      <c r="AS28" s="884">
        <f t="shared" si="56"/>
        <v>0.81387782985323676</v>
      </c>
      <c r="AT28" s="1512">
        <f t="shared" si="56"/>
        <v>0.81387748245483049</v>
      </c>
      <c r="AU28" s="884">
        <f t="shared" si="56"/>
        <v>0.81311300791920194</v>
      </c>
      <c r="AV28" s="884">
        <f t="shared" si="56"/>
        <v>0.81257504024111038</v>
      </c>
      <c r="AW28" s="884">
        <f t="shared" si="56"/>
        <v>0.81322520841492385</v>
      </c>
      <c r="AX28" s="884">
        <f t="shared" si="56"/>
        <v>0.81324452908672262</v>
      </c>
      <c r="AY28" s="1512">
        <f t="shared" si="56"/>
        <v>0.81324452908672262</v>
      </c>
      <c r="AZ28" s="884">
        <f t="shared" si="56"/>
        <v>0.81305369632329383</v>
      </c>
      <c r="BA28" s="884">
        <f t="shared" si="56"/>
        <v>0.81248695015582484</v>
      </c>
      <c r="BB28" s="884">
        <f t="shared" si="56"/>
        <v>0.81134360156274354</v>
      </c>
      <c r="BC28" s="884">
        <f t="shared" si="56"/>
        <v>0.81130453579764039</v>
      </c>
      <c r="BD28" s="1512">
        <f t="shared" si="56"/>
        <v>0.81130453579764039</v>
      </c>
      <c r="BE28" s="884">
        <f t="shared" si="56"/>
        <v>0.8097214556179464</v>
      </c>
      <c r="BF28" s="884">
        <f t="shared" si="56"/>
        <v>0.8080432933642413</v>
      </c>
      <c r="BG28" s="884">
        <f t="shared" si="56"/>
        <v>0.8062957047298227</v>
      </c>
      <c r="BH28" s="884">
        <f t="shared" si="56"/>
        <v>0.80474873593376095</v>
      </c>
      <c r="BI28" s="1512">
        <f t="shared" si="56"/>
        <v>0.80474873593376095</v>
      </c>
      <c r="BJ28" s="884">
        <f t="shared" si="56"/>
        <v>0.80497648441929415</v>
      </c>
      <c r="BK28" s="884">
        <f t="shared" si="56"/>
        <v>0.80492870827618779</v>
      </c>
      <c r="BL28" s="884">
        <f>BL20/BL$25</f>
        <v>0.8032929082246566</v>
      </c>
      <c r="BM28" s="884">
        <f>BM20/BM$25</f>
        <v>0.8034050522520344</v>
      </c>
      <c r="BN28" s="1512">
        <f t="shared" si="56"/>
        <v>0.8034050522520344</v>
      </c>
      <c r="BO28" s="884">
        <f t="shared" ref="BO28:BZ28" si="57">BO20/BO$25</f>
        <v>0.80042887020544784</v>
      </c>
      <c r="BP28" s="884">
        <f t="shared" si="57"/>
        <v>0.80073619282144803</v>
      </c>
      <c r="BQ28" s="884">
        <f t="shared" si="57"/>
        <v>0.79887745454063785</v>
      </c>
      <c r="BR28" s="884">
        <f t="shared" si="57"/>
        <v>0.79541106497763325</v>
      </c>
      <c r="BS28" s="1512">
        <f t="shared" si="57"/>
        <v>0.79541106497763325</v>
      </c>
      <c r="BT28" s="884">
        <f>BT20/BT$25</f>
        <v>0.79279487966675488</v>
      </c>
      <c r="BU28" s="884">
        <f t="shared" si="57"/>
        <v>0.78129858976530631</v>
      </c>
      <c r="BV28" s="884">
        <f t="shared" si="57"/>
        <v>0.78123283627955264</v>
      </c>
      <c r="BW28" s="884">
        <f t="shared" ref="BW28:BX32" si="58">BW20/BW$25</f>
        <v>0.77334746446858471</v>
      </c>
      <c r="BX28" s="1512">
        <f t="shared" si="58"/>
        <v>0.77334746446858471</v>
      </c>
      <c r="BY28" s="884">
        <f>BY20/BY$25</f>
        <v>0.79438217284589741</v>
      </c>
      <c r="BZ28" s="884">
        <f t="shared" si="57"/>
        <v>0.79538948850653857</v>
      </c>
      <c r="CA28" s="884">
        <f t="shared" ref="CA28:CE32" si="59">CA20/CA$25</f>
        <v>0.79461187795968768</v>
      </c>
      <c r="CB28" s="884">
        <f t="shared" si="59"/>
        <v>0.79026464269216801</v>
      </c>
      <c r="CC28" s="1512">
        <f t="shared" si="59"/>
        <v>0.79223399321294452</v>
      </c>
      <c r="CD28" s="884">
        <f t="shared" si="59"/>
        <v>0.79001193352252519</v>
      </c>
      <c r="CE28" s="884">
        <f>CE20/CE$25</f>
        <v>0.78940171661813763</v>
      </c>
      <c r="CF28" s="884">
        <f t="shared" ref="CF28:CH32" si="60">CF20/CF$25</f>
        <v>0.78985555803810159</v>
      </c>
      <c r="CG28" s="884">
        <f t="shared" si="60"/>
        <v>0.68789051320403971</v>
      </c>
      <c r="CH28" s="1512">
        <f t="shared" si="60"/>
        <v>0.68789051320403971</v>
      </c>
      <c r="CI28" s="884">
        <f t="shared" ref="CI28:CQ32" ca="1" si="61">CI20/CI$25</f>
        <v>0.68808020150923899</v>
      </c>
      <c r="CJ28" s="884">
        <f t="shared" ca="1" si="61"/>
        <v>0.68761432737359485</v>
      </c>
      <c r="CK28" s="884">
        <f t="shared" ca="1" si="61"/>
        <v>0.68691039822822397</v>
      </c>
      <c r="CL28" s="884">
        <f t="shared" ca="1" si="61"/>
        <v>0.6849749284411597</v>
      </c>
      <c r="CM28" s="1512">
        <f t="shared" ca="1" si="61"/>
        <v>0.6849749284411597</v>
      </c>
      <c r="CN28" s="884">
        <f t="shared" ca="1" si="61"/>
        <v>0.68846238784997504</v>
      </c>
      <c r="CO28" s="884">
        <f t="shared" ca="1" si="61"/>
        <v>0.68593552486511145</v>
      </c>
      <c r="CP28" s="884">
        <f t="shared" ca="1" si="61"/>
        <v>0.68423749450275617</v>
      </c>
      <c r="CQ28" s="884">
        <f t="shared" ca="1" si="61"/>
        <v>0.68205877679770743</v>
      </c>
      <c r="CR28" s="1512">
        <f ca="1">CR20/CR$25</f>
        <v>0.68205877679770743</v>
      </c>
      <c r="CS28" s="1512">
        <f t="shared" ref="CS28:CT32" ca="1" si="62">CS20/CS$25</f>
        <v>0.67948418173789016</v>
      </c>
      <c r="CT28" s="1512">
        <f t="shared" ca="1" si="62"/>
        <v>0.6796358491359219</v>
      </c>
      <c r="DB28" s="1226"/>
    </row>
    <row r="29" spans="1:106" s="212" customFormat="1" ht="12.75" customHeight="1" x14ac:dyDescent="0.2">
      <c r="A29" s="1434" t="s">
        <v>1644</v>
      </c>
      <c r="B29" s="777"/>
      <c r="C29" s="777"/>
      <c r="D29" s="777"/>
      <c r="E29" s="777"/>
      <c r="F29" s="235"/>
      <c r="G29" s="777"/>
      <c r="H29" s="777"/>
      <c r="I29" s="777"/>
      <c r="J29" s="777"/>
      <c r="K29" s="235"/>
      <c r="L29" s="777"/>
      <c r="M29" s="777"/>
      <c r="N29" s="777"/>
      <c r="O29" s="777"/>
      <c r="P29" s="631"/>
      <c r="Q29" s="777"/>
      <c r="R29" s="777"/>
      <c r="S29" s="777"/>
      <c r="T29" s="777"/>
      <c r="U29" s="631"/>
      <c r="V29" s="777"/>
      <c r="W29" s="777"/>
      <c r="X29" s="777"/>
      <c r="Y29" s="777"/>
      <c r="Z29" s="631"/>
      <c r="AA29" s="275"/>
      <c r="AB29" s="275"/>
      <c r="AC29" s="275"/>
      <c r="AD29" s="275"/>
      <c r="AE29" s="631"/>
      <c r="AF29" s="884">
        <f>AF21/AF$25</f>
        <v>2.9017905566293363E-2</v>
      </c>
      <c r="AG29" s="884">
        <f t="shared" ref="AG29:AU29" si="63">AG21/AG$25</f>
        <v>2.9334944443416951E-2</v>
      </c>
      <c r="AH29" s="884">
        <f t="shared" si="63"/>
        <v>2.9588605174181111E-2</v>
      </c>
      <c r="AI29" s="884">
        <f t="shared" si="63"/>
        <v>2.990712250249649E-2</v>
      </c>
      <c r="AJ29" s="1512">
        <f t="shared" si="63"/>
        <v>2.9860334289836747E-2</v>
      </c>
      <c r="AK29" s="884">
        <f t="shared" si="63"/>
        <v>3.0349030560680845E-2</v>
      </c>
      <c r="AL29" s="884">
        <f t="shared" si="63"/>
        <v>3.0580781923734732E-2</v>
      </c>
      <c r="AM29" s="884">
        <f t="shared" si="63"/>
        <v>3.0772395371669561E-2</v>
      </c>
      <c r="AN29" s="884">
        <f t="shared" si="63"/>
        <v>3.0757049997556327E-2</v>
      </c>
      <c r="AO29" s="1512">
        <f t="shared" si="63"/>
        <v>3.0728755693403855E-2</v>
      </c>
      <c r="AP29" s="884">
        <f t="shared" si="63"/>
        <v>3.0463757739347543E-2</v>
      </c>
      <c r="AQ29" s="884">
        <f t="shared" si="63"/>
        <v>3.0063447077521017E-2</v>
      </c>
      <c r="AR29" s="884">
        <f t="shared" si="63"/>
        <v>2.9802124411078906E-2</v>
      </c>
      <c r="AS29" s="884">
        <f t="shared" si="63"/>
        <v>2.9279846797359271E-2</v>
      </c>
      <c r="AT29" s="1512">
        <f t="shared" si="63"/>
        <v>2.9279901448409737E-2</v>
      </c>
      <c r="AU29" s="884">
        <f t="shared" si="63"/>
        <v>2.9523894207312718E-2</v>
      </c>
      <c r="AV29" s="884">
        <f t="shared" si="56"/>
        <v>2.9728887164017403E-2</v>
      </c>
      <c r="AW29" s="884">
        <f t="shared" si="56"/>
        <v>2.9741481286431677E-2</v>
      </c>
      <c r="AX29" s="884">
        <f t="shared" si="56"/>
        <v>2.9850432184174117E-2</v>
      </c>
      <c r="AY29" s="1512">
        <f t="shared" si="56"/>
        <v>2.9850432184174117E-2</v>
      </c>
      <c r="AZ29" s="884">
        <f t="shared" si="56"/>
        <v>2.9868766791074704E-2</v>
      </c>
      <c r="BA29" s="884">
        <f t="shared" si="56"/>
        <v>2.9947405368759596E-2</v>
      </c>
      <c r="BB29" s="884">
        <f t="shared" si="56"/>
        <v>3.0118307736793797E-2</v>
      </c>
      <c r="BC29" s="884">
        <f t="shared" si="56"/>
        <v>3.0113116287867274E-2</v>
      </c>
      <c r="BD29" s="1512">
        <f t="shared" si="56"/>
        <v>3.0113116287867274E-2</v>
      </c>
      <c r="BE29" s="884">
        <f t="shared" si="56"/>
        <v>3.0182212282929825E-2</v>
      </c>
      <c r="BF29" s="884">
        <f t="shared" si="56"/>
        <v>3.0268665677167586E-2</v>
      </c>
      <c r="BG29" s="884">
        <f t="shared" si="56"/>
        <v>3.036809256301427E-2</v>
      </c>
      <c r="BH29" s="884">
        <f t="shared" si="56"/>
        <v>3.0438121732710145E-2</v>
      </c>
      <c r="BI29" s="1512">
        <f t="shared" si="56"/>
        <v>3.0438121732710145E-2</v>
      </c>
      <c r="BJ29" s="884">
        <f t="shared" si="56"/>
        <v>3.0402617552185349E-2</v>
      </c>
      <c r="BK29" s="884">
        <f t="shared" si="56"/>
        <v>3.0410065473543225E-2</v>
      </c>
      <c r="BL29" s="884">
        <f>BL21/BL$25</f>
        <v>3.0665073712987934E-2</v>
      </c>
      <c r="BM29" s="884">
        <f t="shared" si="56"/>
        <v>3.0647591349566378E-2</v>
      </c>
      <c r="BN29" s="1512">
        <f t="shared" si="56"/>
        <v>3.0647591349566378E-2</v>
      </c>
      <c r="BO29" s="884">
        <f t="shared" si="56"/>
        <v>3.1111554499131285E-2</v>
      </c>
      <c r="BP29" s="884">
        <f t="shared" si="56"/>
        <v>3.1063645343501686E-2</v>
      </c>
      <c r="BQ29" s="884">
        <f t="shared" si="56"/>
        <v>3.1353407882715553E-2</v>
      </c>
      <c r="BR29" s="884">
        <f t="shared" si="56"/>
        <v>3.1893790491741486E-2</v>
      </c>
      <c r="BS29" s="1512">
        <f t="shared" si="56"/>
        <v>3.1893790491741486E-2</v>
      </c>
      <c r="BT29" s="884">
        <f>BT21/BT$25</f>
        <v>3.2301633008657696E-2</v>
      </c>
      <c r="BU29" s="884">
        <f t="shared" si="56"/>
        <v>3.4093813321385932E-2</v>
      </c>
      <c r="BV29" s="884">
        <f t="shared" si="56"/>
        <v>3.4104063767718733E-2</v>
      </c>
      <c r="BW29" s="884">
        <f t="shared" si="58"/>
        <v>3.5333330621573754E-2</v>
      </c>
      <c r="BX29" s="1512">
        <f t="shared" si="58"/>
        <v>3.5333330621573754E-2</v>
      </c>
      <c r="BY29" s="884">
        <f>BY21/BY$25</f>
        <v>3.2054186605463865E-2</v>
      </c>
      <c r="BZ29" s="884">
        <f t="shared" si="56"/>
        <v>3.189715409226352E-2</v>
      </c>
      <c r="CA29" s="884">
        <f t="shared" si="59"/>
        <v>3.2018377402129844E-2</v>
      </c>
      <c r="CB29" s="884">
        <f t="shared" si="59"/>
        <v>3.2696076862393536E-2</v>
      </c>
      <c r="CC29" s="1512">
        <f t="shared" si="59"/>
        <v>3.2389070753252883E-2</v>
      </c>
      <c r="CD29" s="884">
        <f>CD21/CD$25</f>
        <v>3.2735472215378064E-2</v>
      </c>
      <c r="CE29" s="884">
        <f t="shared" si="59"/>
        <v>3.283060018552425E-2</v>
      </c>
      <c r="CF29" s="884">
        <f t="shared" si="60"/>
        <v>3.2759849911746158E-2</v>
      </c>
      <c r="CG29" s="884">
        <f t="shared" si="60"/>
        <v>4.1238000070598559E-2</v>
      </c>
      <c r="CH29" s="1512">
        <f t="shared" si="60"/>
        <v>4.1238000070598559E-2</v>
      </c>
      <c r="CI29" s="884">
        <f t="shared" ca="1" si="61"/>
        <v>4.1212937178651557E-2</v>
      </c>
      <c r="CJ29" s="884">
        <f t="shared" ca="1" si="61"/>
        <v>4.1274491596095919E-2</v>
      </c>
      <c r="CK29" s="884">
        <f t="shared" ca="1" si="61"/>
        <v>4.1367499439095179E-2</v>
      </c>
      <c r="CL29" s="884">
        <f t="shared" ca="1" si="61"/>
        <v>4.1623226696971764E-2</v>
      </c>
      <c r="CM29" s="1512">
        <f t="shared" ca="1" si="61"/>
        <v>4.1623226696971764E-2</v>
      </c>
      <c r="CN29" s="884">
        <f t="shared" ca="1" si="61"/>
        <v>4.1162440154328309E-2</v>
      </c>
      <c r="CO29" s="884">
        <f t="shared" ca="1" si="61"/>
        <v>4.1496306250543187E-2</v>
      </c>
      <c r="CP29" s="884">
        <f t="shared" ca="1" si="61"/>
        <v>4.1720661418088827E-2</v>
      </c>
      <c r="CQ29" s="884">
        <f t="shared" ca="1" si="61"/>
        <v>4.2008528223410703E-2</v>
      </c>
      <c r="CR29" s="1512">
        <f ca="1">CR21/CR$25</f>
        <v>4.2008528223410703E-2</v>
      </c>
      <c r="CS29" s="1512">
        <f t="shared" ca="1" si="62"/>
        <v>4.2348701001715006E-2</v>
      </c>
      <c r="CT29" s="1512">
        <f t="shared" ca="1" si="62"/>
        <v>4.2328661687194485E-2</v>
      </c>
      <c r="DB29" s="1226"/>
    </row>
    <row r="30" spans="1:106" s="212" customFormat="1" ht="12.75" customHeight="1" x14ac:dyDescent="0.2">
      <c r="A30" s="1434" t="s">
        <v>1930</v>
      </c>
      <c r="B30" s="777"/>
      <c r="C30" s="777"/>
      <c r="D30" s="777"/>
      <c r="E30" s="777"/>
      <c r="F30" s="235"/>
      <c r="G30" s="777"/>
      <c r="H30" s="777"/>
      <c r="I30" s="777"/>
      <c r="J30" s="777"/>
      <c r="K30" s="235"/>
      <c r="L30" s="777"/>
      <c r="M30" s="777"/>
      <c r="N30" s="777"/>
      <c r="O30" s="777"/>
      <c r="P30" s="631"/>
      <c r="Q30" s="777"/>
      <c r="R30" s="777"/>
      <c r="S30" s="777"/>
      <c r="T30" s="777"/>
      <c r="U30" s="631"/>
      <c r="V30" s="777"/>
      <c r="W30" s="777"/>
      <c r="X30" s="777"/>
      <c r="Y30" s="777"/>
      <c r="Z30" s="631"/>
      <c r="AA30" s="275"/>
      <c r="AB30" s="275"/>
      <c r="AC30" s="275"/>
      <c r="AD30" s="275"/>
      <c r="AE30" s="631"/>
      <c r="AF30" s="884">
        <f>AF22/AF$25</f>
        <v>7.7837510059161813E-2</v>
      </c>
      <c r="AG30" s="884">
        <f t="shared" si="56"/>
        <v>7.7809013585521378E-2</v>
      </c>
      <c r="AH30" s="884">
        <f t="shared" si="56"/>
        <v>7.7623426097333359E-2</v>
      </c>
      <c r="AI30" s="884">
        <f t="shared" si="56"/>
        <v>7.7618471580622378E-2</v>
      </c>
      <c r="AJ30" s="1512">
        <f t="shared" si="56"/>
        <v>7.7497041324189803E-2</v>
      </c>
      <c r="AK30" s="884">
        <f t="shared" si="56"/>
        <v>7.7368812267209999E-2</v>
      </c>
      <c r="AL30" s="884">
        <f t="shared" si="56"/>
        <v>7.6598495250483789E-2</v>
      </c>
      <c r="AM30" s="884">
        <f t="shared" si="56"/>
        <v>7.5752938417448054E-2</v>
      </c>
      <c r="AN30" s="884">
        <f t="shared" si="56"/>
        <v>7.4432334685499243E-2</v>
      </c>
      <c r="AO30" s="1512">
        <f t="shared" si="56"/>
        <v>7.4363862217673576E-2</v>
      </c>
      <c r="AP30" s="884">
        <f t="shared" si="56"/>
        <v>7.3381198078369847E-2</v>
      </c>
      <c r="AQ30" s="884">
        <f t="shared" si="56"/>
        <v>7.2079554272559312E-2</v>
      </c>
      <c r="AR30" s="884">
        <f t="shared" si="56"/>
        <v>7.111808036996134E-2</v>
      </c>
      <c r="AS30" s="884">
        <f t="shared" si="56"/>
        <v>6.9542202586601112E-2</v>
      </c>
      <c r="AT30" s="1512">
        <f t="shared" si="56"/>
        <v>6.9542332387636255E-2</v>
      </c>
      <c r="AU30" s="884">
        <f t="shared" si="56"/>
        <v>6.9014400517473248E-2</v>
      </c>
      <c r="AV30" s="884">
        <f t="shared" si="56"/>
        <v>6.8423975430882092E-2</v>
      </c>
      <c r="AW30" s="884">
        <f t="shared" si="56"/>
        <v>6.7425697534486309E-2</v>
      </c>
      <c r="AX30" s="884">
        <f t="shared" si="56"/>
        <v>6.6682098684245142E-2</v>
      </c>
      <c r="AY30" s="1512">
        <f t="shared" si="56"/>
        <v>6.6682098684245142E-2</v>
      </c>
      <c r="AZ30" s="884">
        <f t="shared" si="56"/>
        <v>6.726357668261905E-2</v>
      </c>
      <c r="BA30" s="884">
        <f t="shared" si="56"/>
        <v>6.7970032831904253E-2</v>
      </c>
      <c r="BB30" s="884">
        <f t="shared" si="56"/>
        <v>6.8878090367309672E-2</v>
      </c>
      <c r="BC30" s="884">
        <f t="shared" si="56"/>
        <v>6.9374499690948332E-2</v>
      </c>
      <c r="BD30" s="1512">
        <f t="shared" si="56"/>
        <v>6.9374499690948332E-2</v>
      </c>
      <c r="BE30" s="884">
        <f t="shared" si="56"/>
        <v>7.0113813472736944E-2</v>
      </c>
      <c r="BF30" s="884">
        <f t="shared" si="56"/>
        <v>7.0886213164784953E-2</v>
      </c>
      <c r="BG30" s="884">
        <f t="shared" si="56"/>
        <v>7.1682514566633326E-2</v>
      </c>
      <c r="BH30" s="884">
        <f t="shared" si="56"/>
        <v>7.2402813577422814E-2</v>
      </c>
      <c r="BI30" s="1512">
        <f t="shared" si="56"/>
        <v>7.2402813577422814E-2</v>
      </c>
      <c r="BJ30" s="884">
        <f t="shared" si="56"/>
        <v>7.2318360187482084E-2</v>
      </c>
      <c r="BK30" s="884">
        <f t="shared" si="56"/>
        <v>7.2336076473209221E-2</v>
      </c>
      <c r="BL30" s="884">
        <f>BL22/BL$25</f>
        <v>7.294266166868732E-2</v>
      </c>
      <c r="BM30" s="884">
        <f t="shared" si="56"/>
        <v>7.290107656988197E-2</v>
      </c>
      <c r="BN30" s="1512">
        <f t="shared" si="56"/>
        <v>7.290107656988197E-2</v>
      </c>
      <c r="BO30" s="884">
        <f t="shared" si="56"/>
        <v>7.4004700430766998E-2</v>
      </c>
      <c r="BP30" s="884">
        <f t="shared" si="56"/>
        <v>7.3890739467795563E-2</v>
      </c>
      <c r="BQ30" s="884">
        <f t="shared" si="56"/>
        <v>7.4579994320399592E-2</v>
      </c>
      <c r="BR30" s="884">
        <f t="shared" si="56"/>
        <v>7.5865396279343064E-2</v>
      </c>
      <c r="BS30" s="1512">
        <f t="shared" si="56"/>
        <v>7.5865396279343064E-2</v>
      </c>
      <c r="BT30" s="884">
        <f>BT22/BT$25</f>
        <v>7.6835526630372519E-2</v>
      </c>
      <c r="BU30" s="884">
        <f t="shared" si="56"/>
        <v>8.1098565533333E-2</v>
      </c>
      <c r="BV30" s="884">
        <f t="shared" si="56"/>
        <v>8.1122948153306604E-2</v>
      </c>
      <c r="BW30" s="884">
        <f t="shared" si="58"/>
        <v>8.4046991221342696E-2</v>
      </c>
      <c r="BX30" s="1512">
        <f t="shared" si="58"/>
        <v>8.4046991221342696E-2</v>
      </c>
      <c r="BY30" s="884">
        <f>BY22/BY$25</f>
        <v>7.6246928688680424E-2</v>
      </c>
      <c r="BZ30" s="884">
        <f t="shared" si="56"/>
        <v>7.5873397237604695E-2</v>
      </c>
      <c r="CA30" s="884">
        <f t="shared" si="59"/>
        <v>7.6161749744456567E-2</v>
      </c>
      <c r="CB30" s="884">
        <f t="shared" si="59"/>
        <v>7.7773785733860692E-2</v>
      </c>
      <c r="CC30" s="1512">
        <f t="shared" si="59"/>
        <v>7.7043513797818278E-2</v>
      </c>
      <c r="CD30" s="884">
        <f t="shared" si="59"/>
        <v>7.7867495011423968E-2</v>
      </c>
      <c r="CE30" s="884">
        <f t="shared" si="59"/>
        <v>7.8093774830821985E-2</v>
      </c>
      <c r="CF30" s="884">
        <f t="shared" si="60"/>
        <v>7.7925481960194512E-2</v>
      </c>
      <c r="CG30" s="884">
        <f t="shared" si="60"/>
        <v>8.9762489650498559E-2</v>
      </c>
      <c r="CH30" s="1512">
        <f t="shared" si="60"/>
        <v>8.9762489650498559E-2</v>
      </c>
      <c r="CI30" s="884">
        <f t="shared" ca="1" si="61"/>
        <v>8.970793541471718E-2</v>
      </c>
      <c r="CJ30" s="884">
        <f t="shared" ca="1" si="61"/>
        <v>8.9841920519458746E-2</v>
      </c>
      <c r="CK30" s="884">
        <f t="shared" ca="1" si="61"/>
        <v>9.0044370093403728E-2</v>
      </c>
      <c r="CL30" s="884">
        <f t="shared" ca="1" si="61"/>
        <v>9.0601009971651936E-2</v>
      </c>
      <c r="CM30" s="1512">
        <f t="shared" ca="1" si="61"/>
        <v>9.0601009971651936E-2</v>
      </c>
      <c r="CN30" s="884">
        <f t="shared" ca="1" si="61"/>
        <v>8.9598018866498624E-2</v>
      </c>
      <c r="CO30" s="884">
        <f t="shared" ca="1" si="61"/>
        <v>9.032474305183337E-2</v>
      </c>
      <c r="CP30" s="884">
        <f t="shared" ca="1" si="61"/>
        <v>9.0813095502737265E-2</v>
      </c>
      <c r="CQ30" s="884">
        <f t="shared" ca="1" si="61"/>
        <v>9.14396933272969E-2</v>
      </c>
      <c r="CR30" s="1512">
        <f ca="1">CR22/CR$25</f>
        <v>9.14396933272969E-2</v>
      </c>
      <c r="CS30" s="1512">
        <f t="shared" ca="1" si="62"/>
        <v>9.2180145226992485E-2</v>
      </c>
      <c r="CT30" s="1512">
        <f t="shared" ca="1" si="62"/>
        <v>9.2136525779900683E-2</v>
      </c>
      <c r="DB30" s="1226"/>
    </row>
    <row r="31" spans="1:106" s="212" customFormat="1" ht="12.75" customHeight="1" x14ac:dyDescent="0.2">
      <c r="A31" s="1434" t="s">
        <v>1645</v>
      </c>
      <c r="B31" s="777"/>
      <c r="C31" s="777"/>
      <c r="D31" s="777"/>
      <c r="E31" s="777"/>
      <c r="F31" s="235"/>
      <c r="G31" s="777"/>
      <c r="H31" s="777"/>
      <c r="I31" s="777"/>
      <c r="J31" s="777"/>
      <c r="K31" s="235"/>
      <c r="L31" s="777"/>
      <c r="M31" s="777"/>
      <c r="N31" s="777"/>
      <c r="O31" s="777"/>
      <c r="P31" s="631"/>
      <c r="Q31" s="777"/>
      <c r="R31" s="777"/>
      <c r="S31" s="777"/>
      <c r="T31" s="777"/>
      <c r="U31" s="631"/>
      <c r="V31" s="777"/>
      <c r="W31" s="777"/>
      <c r="X31" s="777"/>
      <c r="Y31" s="777"/>
      <c r="Z31" s="631"/>
      <c r="AA31" s="275"/>
      <c r="AB31" s="275"/>
      <c r="AC31" s="275"/>
      <c r="AD31" s="275"/>
      <c r="AE31" s="631"/>
      <c r="AF31" s="884">
        <f>AF23/AF$25</f>
        <v>1.6764581006856242E-2</v>
      </c>
      <c r="AG31" s="884">
        <f t="shared" si="56"/>
        <v>1.8027376541497386E-2</v>
      </c>
      <c r="AH31" s="884">
        <f t="shared" si="56"/>
        <v>1.9237693088342538E-2</v>
      </c>
      <c r="AI31" s="884">
        <f t="shared" si="56"/>
        <v>2.0477296160684565E-2</v>
      </c>
      <c r="AJ31" s="1512">
        <f t="shared" si="56"/>
        <v>2.0445260444530908E-2</v>
      </c>
      <c r="AK31" s="884">
        <f t="shared" si="56"/>
        <v>2.0779703446557798E-2</v>
      </c>
      <c r="AL31" s="884">
        <f t="shared" si="56"/>
        <v>2.0938220155935088E-2</v>
      </c>
      <c r="AM31" s="884">
        <f t="shared" si="56"/>
        <v>2.1069258012330026E-2</v>
      </c>
      <c r="AN31" s="884">
        <f t="shared" si="56"/>
        <v>2.1058599286447387E-2</v>
      </c>
      <c r="AO31" s="1512">
        <f t="shared" si="56"/>
        <v>2.1039226868959912E-2</v>
      </c>
      <c r="AP31" s="884">
        <f t="shared" si="56"/>
        <v>2.0537821981321414E-2</v>
      </c>
      <c r="AQ31" s="884">
        <f t="shared" si="56"/>
        <v>1.9951718601542594E-2</v>
      </c>
      <c r="AR31" s="884">
        <f t="shared" si="56"/>
        <v>1.9464355294250536E-2</v>
      </c>
      <c r="AS31" s="884">
        <f t="shared" si="56"/>
        <v>1.8814359387861378E-2</v>
      </c>
      <c r="AT31" s="1512">
        <f t="shared" si="56"/>
        <v>1.881439450500224E-2</v>
      </c>
      <c r="AU31" s="884">
        <f t="shared" si="56"/>
        <v>1.8738594464897559E-2</v>
      </c>
      <c r="AV31" s="884">
        <f t="shared" si="56"/>
        <v>1.8644063175134947E-2</v>
      </c>
      <c r="AW31" s="884">
        <f t="shared" si="56"/>
        <v>1.8436216412015285E-2</v>
      </c>
      <c r="AX31" s="884">
        <f t="shared" si="56"/>
        <v>1.8295709022294004E-2</v>
      </c>
      <c r="AY31" s="1512">
        <f t="shared" si="56"/>
        <v>1.8295709022294004E-2</v>
      </c>
      <c r="AZ31" s="884">
        <f t="shared" si="56"/>
        <v>1.742911928388139E-2</v>
      </c>
      <c r="BA31" s="884">
        <f t="shared" si="56"/>
        <v>1.6615297897331772E-2</v>
      </c>
      <c r="BB31" s="884">
        <f t="shared" si="56"/>
        <v>1.5865341287431122E-2</v>
      </c>
      <c r="BC31" s="884">
        <f t="shared" si="56"/>
        <v>1.5037136864290854E-2</v>
      </c>
      <c r="BD31" s="1512">
        <f t="shared" si="56"/>
        <v>1.5037136864290854E-2</v>
      </c>
      <c r="BE31" s="884">
        <f t="shared" si="56"/>
        <v>1.5662354482663746E-2</v>
      </c>
      <c r="BF31" s="884">
        <f t="shared" si="56"/>
        <v>1.628921168053633E-2</v>
      </c>
      <c r="BG31" s="884">
        <f t="shared" si="56"/>
        <v>1.6916451463629443E-2</v>
      </c>
      <c r="BH31" s="884">
        <f t="shared" si="56"/>
        <v>1.7520584338103933E-2</v>
      </c>
      <c r="BI31" s="1512">
        <f t="shared" si="56"/>
        <v>1.7520584338103933E-2</v>
      </c>
      <c r="BJ31" s="884">
        <f t="shared" si="56"/>
        <v>1.7500147663505463E-2</v>
      </c>
      <c r="BK31" s="884">
        <f t="shared" si="56"/>
        <v>1.7504434785274678E-2</v>
      </c>
      <c r="BL31" s="884">
        <f>BL23/BL$25</f>
        <v>1.765122089137337E-2</v>
      </c>
      <c r="BM31" s="884">
        <f t="shared" si="56"/>
        <v>1.7641157812401331E-2</v>
      </c>
      <c r="BN31" s="1512">
        <f t="shared" si="56"/>
        <v>1.7641157812401331E-2</v>
      </c>
      <c r="BO31" s="884">
        <f t="shared" si="56"/>
        <v>1.7908221120811346E-2</v>
      </c>
      <c r="BP31" s="884">
        <f t="shared" si="56"/>
        <v>1.7880643978925036E-2</v>
      </c>
      <c r="BQ31" s="884">
        <f t="shared" si="56"/>
        <v>1.8047435118368569E-2</v>
      </c>
      <c r="BR31" s="884">
        <f t="shared" si="56"/>
        <v>1.8358486475591733E-2</v>
      </c>
      <c r="BS31" s="1512">
        <f t="shared" si="56"/>
        <v>1.8358486475591733E-2</v>
      </c>
      <c r="BT31" s="884">
        <f>BT23/BT$25</f>
        <v>1.859324600763658E-2</v>
      </c>
      <c r="BU31" s="884">
        <f t="shared" si="56"/>
        <v>1.9624848633908381E-2</v>
      </c>
      <c r="BV31" s="884">
        <f t="shared" si="56"/>
        <v>1.9630748926017537E-2</v>
      </c>
      <c r="BW31" s="884">
        <f t="shared" si="58"/>
        <v>2.0338331140719618E-2</v>
      </c>
      <c r="BX31" s="1512">
        <f t="shared" si="58"/>
        <v>2.0338331140719618E-2</v>
      </c>
      <c r="BY31" s="884">
        <f>BY23/BY$25</f>
        <v>1.8450812594222016E-2</v>
      </c>
      <c r="BZ31" s="884">
        <f t="shared" si="56"/>
        <v>1.8360422608416995E-2</v>
      </c>
      <c r="CA31" s="884">
        <f t="shared" si="59"/>
        <v>1.8430200344471404E-2</v>
      </c>
      <c r="CB31" s="884">
        <f t="shared" si="59"/>
        <v>1.8820293092430867E-2</v>
      </c>
      <c r="CC31" s="1512">
        <f t="shared" si="59"/>
        <v>1.8643576326700492E-2</v>
      </c>
      <c r="CD31" s="884">
        <f t="shared" si="59"/>
        <v>1.8842969577220432E-2</v>
      </c>
      <c r="CE31" s="884">
        <f t="shared" si="59"/>
        <v>1.8897726491543032E-2</v>
      </c>
      <c r="CF31" s="884">
        <f t="shared" si="60"/>
        <v>1.8857001700783659E-2</v>
      </c>
      <c r="CG31" s="884">
        <f t="shared" si="60"/>
        <v>3.4860611981939578E-2</v>
      </c>
      <c r="CH31" s="1512">
        <f t="shared" si="60"/>
        <v>3.4860611981939578E-2</v>
      </c>
      <c r="CI31" s="884">
        <f t="shared" ca="1" si="61"/>
        <v>3.4839425024526173E-2</v>
      </c>
      <c r="CJ31" s="884">
        <f t="shared" ca="1" si="61"/>
        <v>3.4891460153742636E-2</v>
      </c>
      <c r="CK31" s="884">
        <f t="shared" ca="1" si="61"/>
        <v>3.4970084488592137E-2</v>
      </c>
      <c r="CL31" s="884">
        <f t="shared" ca="1" si="61"/>
        <v>3.5186263951582072E-2</v>
      </c>
      <c r="CM31" s="1512">
        <f t="shared" ca="1" si="61"/>
        <v>3.5186263951582072E-2</v>
      </c>
      <c r="CN31" s="884">
        <f t="shared" ca="1" si="61"/>
        <v>3.4796737280984737E-2</v>
      </c>
      <c r="CO31" s="884">
        <f t="shared" ca="1" si="61"/>
        <v>3.507897154099119E-2</v>
      </c>
      <c r="CP31" s="884">
        <f t="shared" ca="1" si="61"/>
        <v>3.5268630555215015E-2</v>
      </c>
      <c r="CQ31" s="884">
        <f t="shared" ca="1" si="61"/>
        <v>3.5511979238119773E-2</v>
      </c>
      <c r="CR31" s="1512">
        <f ca="1">CR23/CR$25</f>
        <v>3.5511979238119773E-2</v>
      </c>
      <c r="CS31" s="1512">
        <f t="shared" ca="1" si="62"/>
        <v>3.5799544862325193E-2</v>
      </c>
      <c r="CT31" s="1512">
        <f t="shared" ca="1" si="62"/>
        <v>3.5782604594448771E-2</v>
      </c>
      <c r="DB31" s="1226"/>
    </row>
    <row r="32" spans="1:106" s="212" customFormat="1" ht="12.75" customHeight="1" x14ac:dyDescent="0.2">
      <c r="A32" s="1580" t="s">
        <v>808</v>
      </c>
      <c r="B32" s="1506"/>
      <c r="C32" s="1506"/>
      <c r="D32" s="1506"/>
      <c r="E32" s="1506"/>
      <c r="F32" s="1507"/>
      <c r="G32" s="1506"/>
      <c r="H32" s="1506"/>
      <c r="I32" s="1506"/>
      <c r="J32" s="1506"/>
      <c r="K32" s="1507"/>
      <c r="L32" s="1506"/>
      <c r="M32" s="1506"/>
      <c r="N32" s="1506"/>
      <c r="O32" s="1506"/>
      <c r="P32" s="1508"/>
      <c r="Q32" s="1506"/>
      <c r="R32" s="1506"/>
      <c r="S32" s="1506"/>
      <c r="T32" s="1506"/>
      <c r="U32" s="1508"/>
      <c r="V32" s="1506"/>
      <c r="W32" s="1506"/>
      <c r="X32" s="1506"/>
      <c r="Y32" s="1506"/>
      <c r="Z32" s="1508"/>
      <c r="AA32" s="1509"/>
      <c r="AB32" s="1509"/>
      <c r="AC32" s="1509"/>
      <c r="AD32" s="1509"/>
      <c r="AE32" s="1508"/>
      <c r="AF32" s="1518">
        <f>AF24/AF$25</f>
        <v>6.3924100976939596E-2</v>
      </c>
      <c r="AG32" s="1518">
        <f t="shared" si="56"/>
        <v>6.3297720402530927E-2</v>
      </c>
      <c r="AH32" s="1518">
        <f t="shared" si="56"/>
        <v>6.2551188490940338E-2</v>
      </c>
      <c r="AI32" s="1518">
        <f t="shared" si="56"/>
        <v>6.1957571870458625E-2</v>
      </c>
      <c r="AJ32" s="1519">
        <f t="shared" si="56"/>
        <v>6.1860642316359453E-2</v>
      </c>
      <c r="AK32" s="1518">
        <f t="shared" si="56"/>
        <v>6.2467720799855797E-2</v>
      </c>
      <c r="AL32" s="1518">
        <f t="shared" si="56"/>
        <v>6.2549683231758732E-2</v>
      </c>
      <c r="AM32" s="1518">
        <f t="shared" si="56"/>
        <v>6.2556890226209458E-2</v>
      </c>
      <c r="AN32" s="1518">
        <f t="shared" si="56"/>
        <v>6.2153364938175068E-2</v>
      </c>
      <c r="AO32" s="1519">
        <f t="shared" si="56"/>
        <v>6.2096188251470716E-2</v>
      </c>
      <c r="AP32" s="1518">
        <f t="shared" si="56"/>
        <v>6.3978929306894528E-2</v>
      </c>
      <c r="AQ32" s="1518">
        <f t="shared" si="56"/>
        <v>6.5528172282114161E-2</v>
      </c>
      <c r="AR32" s="1518">
        <f t="shared" si="56"/>
        <v>6.7331235278455803E-2</v>
      </c>
      <c r="AS32" s="1518">
        <f t="shared" si="56"/>
        <v>6.8485761374941445E-2</v>
      </c>
      <c r="AT32" s="1519">
        <f t="shared" si="56"/>
        <v>6.8485889204121242E-2</v>
      </c>
      <c r="AU32" s="1518">
        <f t="shared" si="56"/>
        <v>6.961010289111455E-2</v>
      </c>
      <c r="AV32" s="1518">
        <f t="shared" si="56"/>
        <v>7.0628033988855185E-2</v>
      </c>
      <c r="AW32" s="1518">
        <f t="shared" si="56"/>
        <v>7.117139635214291E-2</v>
      </c>
      <c r="AX32" s="1518">
        <f t="shared" si="56"/>
        <v>7.192723102256407E-2</v>
      </c>
      <c r="AY32" s="1519">
        <f t="shared" si="56"/>
        <v>7.192723102256407E-2</v>
      </c>
      <c r="AZ32" s="1518">
        <f t="shared" si="56"/>
        <v>7.2384840919131013E-2</v>
      </c>
      <c r="BA32" s="1518">
        <f t="shared" si="56"/>
        <v>7.2980313746179568E-2</v>
      </c>
      <c r="BB32" s="1518">
        <f t="shared" si="56"/>
        <v>7.3794659045721828E-2</v>
      </c>
      <c r="BC32" s="1518">
        <f t="shared" si="56"/>
        <v>7.4170711359253141E-2</v>
      </c>
      <c r="BD32" s="1519">
        <f t="shared" si="56"/>
        <v>7.4170711359253141E-2</v>
      </c>
      <c r="BE32" s="1518">
        <f t="shared" si="56"/>
        <v>7.4320164143723069E-2</v>
      </c>
      <c r="BF32" s="1518">
        <f t="shared" si="56"/>
        <v>7.4512616113269856E-2</v>
      </c>
      <c r="BG32" s="1518">
        <f t="shared" si="56"/>
        <v>7.4737236676900215E-2</v>
      </c>
      <c r="BH32" s="1518">
        <f t="shared" si="56"/>
        <v>7.4889744418002155E-2</v>
      </c>
      <c r="BI32" s="1519">
        <f t="shared" si="56"/>
        <v>7.4889744418002155E-2</v>
      </c>
      <c r="BJ32" s="1518">
        <f t="shared" si="56"/>
        <v>7.480239017753286E-2</v>
      </c>
      <c r="BK32" s="1518">
        <f t="shared" si="56"/>
        <v>7.4820714991785039E-2</v>
      </c>
      <c r="BL32" s="1518">
        <f>BL24/BL$25</f>
        <v>7.5448135502294927E-2</v>
      </c>
      <c r="BM32" s="1518">
        <f t="shared" si="56"/>
        <v>7.5405122016115975E-2</v>
      </c>
      <c r="BN32" s="1519">
        <f t="shared" si="56"/>
        <v>7.5405122016115975E-2</v>
      </c>
      <c r="BO32" s="1518">
        <f t="shared" si="56"/>
        <v>7.6546653743842397E-2</v>
      </c>
      <c r="BP32" s="1518">
        <f t="shared" si="56"/>
        <v>7.6428778388329663E-2</v>
      </c>
      <c r="BQ32" s="1518">
        <f t="shared" si="56"/>
        <v>7.7141708137878504E-2</v>
      </c>
      <c r="BR32" s="1518">
        <f t="shared" si="56"/>
        <v>7.847126177569036E-2</v>
      </c>
      <c r="BS32" s="1519">
        <f t="shared" si="56"/>
        <v>7.847126177569036E-2</v>
      </c>
      <c r="BT32" s="1518">
        <f>BT24/BT$25</f>
        <v>7.947471468657831E-2</v>
      </c>
      <c r="BU32" s="1518">
        <f t="shared" si="56"/>
        <v>8.3884182746066321E-2</v>
      </c>
      <c r="BV32" s="1518">
        <f t="shared" si="56"/>
        <v>8.3909402873404482E-2</v>
      </c>
      <c r="BW32" s="1518">
        <f t="shared" si="58"/>
        <v>8.6933882547779173E-2</v>
      </c>
      <c r="BX32" s="1519">
        <f t="shared" si="58"/>
        <v>8.6933882547779173E-2</v>
      </c>
      <c r="BY32" s="1518">
        <f>BY24/BY$25</f>
        <v>7.8865899265736311E-2</v>
      </c>
      <c r="BZ32" s="1518">
        <f t="shared" si="56"/>
        <v>7.8479537555176074E-2</v>
      </c>
      <c r="CA32" s="1518">
        <f t="shared" si="59"/>
        <v>7.8777794549254557E-2</v>
      </c>
      <c r="CB32" s="1518">
        <f t="shared" si="59"/>
        <v>8.0445201619146964E-2</v>
      </c>
      <c r="CC32" s="1519">
        <f t="shared" si="59"/>
        <v>7.9689845909283921E-2</v>
      </c>
      <c r="CD32" s="1518">
        <f t="shared" si="59"/>
        <v>8.0542129673452548E-2</v>
      </c>
      <c r="CE32" s="1518">
        <f t="shared" si="59"/>
        <v>8.0776181873973021E-2</v>
      </c>
      <c r="CF32" s="1518">
        <f t="shared" si="60"/>
        <v>8.0602108389174171E-2</v>
      </c>
      <c r="CG32" s="1518">
        <f t="shared" si="60"/>
        <v>0.14624838509292362</v>
      </c>
      <c r="CH32" s="1519">
        <f t="shared" si="60"/>
        <v>0.14624838509292362</v>
      </c>
      <c r="CI32" s="1518">
        <f t="shared" ca="1" si="61"/>
        <v>0.14615950087286611</v>
      </c>
      <c r="CJ32" s="1518">
        <f t="shared" ca="1" si="61"/>
        <v>0.14637780035710787</v>
      </c>
      <c r="CK32" s="1518">
        <f t="shared" ca="1" si="61"/>
        <v>0.14670764775068493</v>
      </c>
      <c r="CL32" s="1518">
        <f t="shared" ca="1" si="61"/>
        <v>0.1476145709386345</v>
      </c>
      <c r="CM32" s="1519">
        <f t="shared" ca="1" si="61"/>
        <v>0.1476145709386345</v>
      </c>
      <c r="CN32" s="1518">
        <f t="shared" ca="1" si="61"/>
        <v>0.14598041584821334</v>
      </c>
      <c r="CO32" s="1518">
        <f t="shared" ca="1" si="61"/>
        <v>0.14716445429152081</v>
      </c>
      <c r="CP32" s="1518">
        <f t="shared" ca="1" si="61"/>
        <v>0.1479601180212029</v>
      </c>
      <c r="CQ32" s="1518">
        <f t="shared" ca="1" si="61"/>
        <v>0.14898102241346511</v>
      </c>
      <c r="CR32" s="1519">
        <f ca="1">CR24/CR$25</f>
        <v>0.14898102241346511</v>
      </c>
      <c r="CS32" s="1519">
        <f t="shared" ca="1" si="62"/>
        <v>0.15018742717107719</v>
      </c>
      <c r="CT32" s="1519">
        <f t="shared" ca="1" si="62"/>
        <v>0.15011635880253416</v>
      </c>
      <c r="DB32" s="1226"/>
    </row>
    <row r="33" spans="1:106" s="212" customFormat="1" ht="12.75" customHeight="1" x14ac:dyDescent="0.2">
      <c r="A33" s="1435" t="s">
        <v>1327</v>
      </c>
      <c r="B33" s="777"/>
      <c r="C33" s="777"/>
      <c r="D33" s="777"/>
      <c r="E33" s="777"/>
      <c r="F33" s="235"/>
      <c r="G33" s="777"/>
      <c r="H33" s="777"/>
      <c r="I33" s="777"/>
      <c r="J33" s="777"/>
      <c r="K33" s="235"/>
      <c r="L33" s="777"/>
      <c r="M33" s="777"/>
      <c r="N33" s="777"/>
      <c r="O33" s="777"/>
      <c r="P33" s="631"/>
      <c r="Q33" s="777"/>
      <c r="R33" s="777"/>
      <c r="S33" s="777"/>
      <c r="T33" s="777"/>
      <c r="U33" s="631"/>
      <c r="V33" s="777"/>
      <c r="W33" s="777"/>
      <c r="X33" s="777"/>
      <c r="Y33" s="777"/>
      <c r="Z33" s="631"/>
      <c r="AA33" s="275"/>
      <c r="AB33" s="275"/>
      <c r="AC33" s="275"/>
      <c r="AD33" s="275"/>
      <c r="AE33" s="631"/>
      <c r="AF33" s="1520">
        <f t="shared" ref="AF33:BT33" si="64">SUM(AF28:AF32)</f>
        <v>1</v>
      </c>
      <c r="AG33" s="1520">
        <f t="shared" si="64"/>
        <v>1</v>
      </c>
      <c r="AH33" s="1520">
        <f t="shared" si="64"/>
        <v>1</v>
      </c>
      <c r="AI33" s="1520">
        <f t="shared" si="64"/>
        <v>1</v>
      </c>
      <c r="AJ33" s="1522">
        <f t="shared" si="64"/>
        <v>0.99999999999999989</v>
      </c>
      <c r="AK33" s="1520">
        <f t="shared" si="64"/>
        <v>1</v>
      </c>
      <c r="AL33" s="1520">
        <f t="shared" si="64"/>
        <v>0.99999999999999989</v>
      </c>
      <c r="AM33" s="1520">
        <f t="shared" si="64"/>
        <v>1</v>
      </c>
      <c r="AN33" s="1520">
        <f t="shared" si="64"/>
        <v>1</v>
      </c>
      <c r="AO33" s="1522">
        <f t="shared" si="64"/>
        <v>0.99999999999999989</v>
      </c>
      <c r="AP33" s="1520">
        <f t="shared" si="64"/>
        <v>0.99999999999999989</v>
      </c>
      <c r="AQ33" s="1520">
        <f t="shared" si="64"/>
        <v>1</v>
      </c>
      <c r="AR33" s="1520">
        <f t="shared" si="64"/>
        <v>1</v>
      </c>
      <c r="AS33" s="1520">
        <f t="shared" si="64"/>
        <v>1</v>
      </c>
      <c r="AT33" s="1522">
        <f t="shared" si="64"/>
        <v>1</v>
      </c>
      <c r="AU33" s="1520">
        <f t="shared" si="64"/>
        <v>1</v>
      </c>
      <c r="AV33" s="1520">
        <f t="shared" si="64"/>
        <v>1</v>
      </c>
      <c r="AW33" s="1520">
        <f t="shared" si="64"/>
        <v>1.0000000000000002</v>
      </c>
      <c r="AX33" s="1520">
        <f t="shared" si="64"/>
        <v>1</v>
      </c>
      <c r="AY33" s="1522">
        <f t="shared" si="64"/>
        <v>1</v>
      </c>
      <c r="AZ33" s="1520">
        <f t="shared" si="64"/>
        <v>1</v>
      </c>
      <c r="BA33" s="1520">
        <f t="shared" si="64"/>
        <v>1</v>
      </c>
      <c r="BB33" s="1520">
        <f t="shared" si="64"/>
        <v>0.99999999999999989</v>
      </c>
      <c r="BC33" s="1520">
        <f t="shared" si="64"/>
        <v>1</v>
      </c>
      <c r="BD33" s="1522">
        <f t="shared" si="64"/>
        <v>1</v>
      </c>
      <c r="BE33" s="1520">
        <f t="shared" si="64"/>
        <v>1</v>
      </c>
      <c r="BF33" s="1520">
        <f t="shared" si="64"/>
        <v>1</v>
      </c>
      <c r="BG33" s="1520">
        <f t="shared" si="64"/>
        <v>1</v>
      </c>
      <c r="BH33" s="1520">
        <f t="shared" si="64"/>
        <v>0.99999999999999989</v>
      </c>
      <c r="BI33" s="1522">
        <f t="shared" si="64"/>
        <v>0.99999999999999989</v>
      </c>
      <c r="BJ33" s="1520">
        <f t="shared" si="64"/>
        <v>0.99999999999999989</v>
      </c>
      <c r="BK33" s="1520">
        <f t="shared" si="64"/>
        <v>0.99999999999999978</v>
      </c>
      <c r="BL33" s="1520">
        <f t="shared" si="64"/>
        <v>1.0000000000000002</v>
      </c>
      <c r="BM33" s="1520">
        <f t="shared" si="64"/>
        <v>1.0000000000000002</v>
      </c>
      <c r="BN33" s="1522">
        <f t="shared" si="64"/>
        <v>1.0000000000000002</v>
      </c>
      <c r="BO33" s="1520">
        <f t="shared" si="64"/>
        <v>0.99999999999999989</v>
      </c>
      <c r="BP33" s="1520">
        <f t="shared" si="64"/>
        <v>1</v>
      </c>
      <c r="BQ33" s="1520">
        <f t="shared" si="64"/>
        <v>1.0000000000000002</v>
      </c>
      <c r="BR33" s="1520">
        <f t="shared" si="64"/>
        <v>0.99999999999999978</v>
      </c>
      <c r="BS33" s="1522">
        <f t="shared" si="64"/>
        <v>0.99999999999999978</v>
      </c>
      <c r="BT33" s="1520">
        <f t="shared" si="64"/>
        <v>1</v>
      </c>
      <c r="BU33" s="1520">
        <f t="shared" ref="BU33:CC33" si="65">SUM(BU28:BU32)</f>
        <v>1</v>
      </c>
      <c r="BV33" s="1520">
        <f t="shared" si="65"/>
        <v>1</v>
      </c>
      <c r="BW33" s="1520">
        <f t="shared" si="65"/>
        <v>1</v>
      </c>
      <c r="BX33" s="1522">
        <f t="shared" si="65"/>
        <v>1</v>
      </c>
      <c r="BY33" s="1520">
        <f t="shared" si="65"/>
        <v>1</v>
      </c>
      <c r="BZ33" s="1520">
        <f t="shared" si="65"/>
        <v>0.99999999999999989</v>
      </c>
      <c r="CA33" s="1520">
        <f t="shared" si="65"/>
        <v>1</v>
      </c>
      <c r="CB33" s="1520">
        <f t="shared" si="65"/>
        <v>1</v>
      </c>
      <c r="CC33" s="1522">
        <f t="shared" si="65"/>
        <v>1</v>
      </c>
      <c r="CD33" s="1520">
        <f t="shared" ref="CD33:CQ33" si="66">SUM(CD28:CD32)</f>
        <v>1.0000000000000002</v>
      </c>
      <c r="CE33" s="1520">
        <f t="shared" si="66"/>
        <v>0.99999999999999989</v>
      </c>
      <c r="CF33" s="1520">
        <f t="shared" si="66"/>
        <v>1.0000000000000002</v>
      </c>
      <c r="CG33" s="1520">
        <f t="shared" si="66"/>
        <v>1</v>
      </c>
      <c r="CH33" s="1522">
        <f t="shared" si="66"/>
        <v>1</v>
      </c>
      <c r="CI33" s="1520">
        <f t="shared" ca="1" si="66"/>
        <v>1</v>
      </c>
      <c r="CJ33" s="1520">
        <f t="shared" ca="1" si="66"/>
        <v>1</v>
      </c>
      <c r="CK33" s="1520">
        <f t="shared" ca="1" si="66"/>
        <v>1</v>
      </c>
      <c r="CL33" s="1520">
        <f t="shared" ca="1" si="66"/>
        <v>1</v>
      </c>
      <c r="CM33" s="1522">
        <f t="shared" ca="1" si="66"/>
        <v>1</v>
      </c>
      <c r="CN33" s="1520">
        <f t="shared" ca="1" si="66"/>
        <v>1.0000000000000002</v>
      </c>
      <c r="CO33" s="1520">
        <f t="shared" ca="1" si="66"/>
        <v>1</v>
      </c>
      <c r="CP33" s="1520">
        <f t="shared" ca="1" si="66"/>
        <v>1.0000000000000002</v>
      </c>
      <c r="CQ33" s="1520">
        <f t="shared" ca="1" si="66"/>
        <v>1</v>
      </c>
      <c r="CR33" s="1522">
        <f ca="1">SUM(CR28:CR32)</f>
        <v>1</v>
      </c>
      <c r="CS33" s="1522">
        <f ca="1">SUM(CS28:CS32)</f>
        <v>1</v>
      </c>
      <c r="CT33" s="1522">
        <f ca="1">SUM(CT28:CT32)</f>
        <v>1</v>
      </c>
      <c r="DB33" s="1226"/>
    </row>
    <row r="34" spans="1:106" s="212" customFormat="1" ht="12.75" customHeight="1" x14ac:dyDescent="0.2">
      <c r="A34" s="1437"/>
      <c r="B34" s="777"/>
      <c r="C34" s="777"/>
      <c r="D34" s="777"/>
      <c r="E34" s="777"/>
      <c r="F34" s="235"/>
      <c r="G34" s="777"/>
      <c r="H34" s="777"/>
      <c r="I34" s="777"/>
      <c r="J34" s="777"/>
      <c r="K34" s="235"/>
      <c r="L34" s="777"/>
      <c r="M34" s="777"/>
      <c r="N34" s="777"/>
      <c r="O34" s="777"/>
      <c r="P34" s="631"/>
      <c r="Q34" s="777"/>
      <c r="R34" s="777"/>
      <c r="S34" s="777"/>
      <c r="T34" s="777"/>
      <c r="U34" s="631"/>
      <c r="V34" s="777"/>
      <c r="W34" s="777"/>
      <c r="X34" s="777"/>
      <c r="Y34" s="777"/>
      <c r="Z34" s="631"/>
      <c r="AA34" s="275"/>
      <c r="AB34" s="275"/>
      <c r="AC34" s="275"/>
      <c r="AD34" s="275"/>
      <c r="AE34" s="631"/>
      <c r="AF34" s="275"/>
      <c r="AG34" s="275"/>
      <c r="AH34" s="275"/>
      <c r="AI34" s="275"/>
      <c r="AJ34" s="631"/>
      <c r="AK34" s="275"/>
      <c r="AL34" s="275"/>
      <c r="AM34" s="275"/>
      <c r="AN34" s="275"/>
      <c r="AO34" s="631"/>
      <c r="AP34" s="275"/>
      <c r="AQ34" s="275"/>
      <c r="AR34" s="275"/>
      <c r="AS34" s="275"/>
      <c r="AT34" s="631"/>
      <c r="AU34" s="275"/>
      <c r="AV34" s="275"/>
      <c r="AW34" s="275"/>
      <c r="AX34" s="275"/>
      <c r="AY34" s="631"/>
      <c r="AZ34" s="275"/>
      <c r="BA34" s="275"/>
      <c r="BB34" s="275"/>
      <c r="BC34" s="275"/>
      <c r="BD34" s="631"/>
      <c r="BE34" s="275"/>
      <c r="BF34" s="275"/>
      <c r="BG34" s="275"/>
      <c r="BH34" s="275"/>
      <c r="BI34" s="631"/>
      <c r="BJ34" s="275"/>
      <c r="BK34" s="275"/>
      <c r="BL34" s="275"/>
      <c r="BM34" s="275"/>
      <c r="BN34" s="631"/>
      <c r="BO34" s="275"/>
      <c r="BP34" s="275"/>
      <c r="BQ34" s="275"/>
      <c r="BR34" s="275"/>
      <c r="BS34" s="631"/>
      <c r="BT34" s="275"/>
      <c r="BU34" s="275"/>
      <c r="BV34" s="275"/>
      <c r="BW34" s="275"/>
      <c r="BX34" s="631"/>
      <c r="BY34" s="275"/>
      <c r="BZ34" s="275"/>
      <c r="CA34" s="275"/>
      <c r="CB34" s="275"/>
      <c r="CC34" s="631"/>
      <c r="CD34" s="275"/>
      <c r="CE34" s="275"/>
      <c r="CF34" s="275"/>
      <c r="CG34" s="275"/>
      <c r="CH34" s="631"/>
      <c r="CI34" s="275"/>
      <c r="CJ34" s="275"/>
      <c r="CK34" s="275"/>
      <c r="CL34" s="275"/>
      <c r="CM34" s="631"/>
      <c r="CN34" s="2638"/>
      <c r="CO34" s="234"/>
      <c r="CP34" s="234"/>
      <c r="CQ34" s="208"/>
      <c r="CR34" s="236"/>
      <c r="CS34" s="236"/>
      <c r="CT34" s="236"/>
      <c r="DB34" s="1226"/>
    </row>
    <row r="35" spans="1:106" s="212" customFormat="1" ht="12.75" customHeight="1" x14ac:dyDescent="0.2">
      <c r="A35" s="1630" t="s">
        <v>2417</v>
      </c>
      <c r="B35" s="777"/>
      <c r="C35" s="777"/>
      <c r="D35" s="777"/>
      <c r="E35" s="777"/>
      <c r="F35" s="235"/>
      <c r="G35" s="777"/>
      <c r="H35" s="777"/>
      <c r="I35" s="777"/>
      <c r="J35" s="777"/>
      <c r="K35" s="235"/>
      <c r="L35" s="777"/>
      <c r="M35" s="777"/>
      <c r="N35" s="777"/>
      <c r="O35" s="777"/>
      <c r="P35" s="631"/>
      <c r="Q35" s="777"/>
      <c r="R35" s="777"/>
      <c r="S35" s="777"/>
      <c r="T35" s="777"/>
      <c r="U35" s="631"/>
      <c r="V35" s="777"/>
      <c r="W35" s="777"/>
      <c r="X35" s="777"/>
      <c r="Y35" s="777"/>
      <c r="Z35" s="631"/>
      <c r="AA35" s="275"/>
      <c r="AB35" s="275"/>
      <c r="AC35" s="275"/>
      <c r="AD35" s="275"/>
      <c r="AE35" s="631"/>
      <c r="AF35" s="275"/>
      <c r="AG35" s="275"/>
      <c r="AH35" s="275"/>
      <c r="AI35" s="275"/>
      <c r="AJ35" s="631"/>
      <c r="AK35" s="275"/>
      <c r="AL35" s="275"/>
      <c r="AM35" s="275"/>
      <c r="AN35" s="275"/>
      <c r="AO35" s="631"/>
      <c r="AP35" s="275"/>
      <c r="AQ35" s="275"/>
      <c r="AR35" s="275"/>
      <c r="AS35" s="275"/>
      <c r="AT35" s="631"/>
      <c r="AU35" s="275"/>
      <c r="AV35" s="275"/>
      <c r="AW35" s="275"/>
      <c r="AX35" s="275"/>
      <c r="AY35" s="631"/>
      <c r="AZ35" s="275"/>
      <c r="BA35" s="275"/>
      <c r="BB35" s="275"/>
      <c r="BC35" s="275"/>
      <c r="BD35" s="631"/>
      <c r="BE35" s="275"/>
      <c r="BF35" s="275"/>
      <c r="BG35" s="275"/>
      <c r="BH35" s="275"/>
      <c r="BI35" s="631"/>
      <c r="BJ35" s="275"/>
      <c r="BK35" s="275"/>
      <c r="BL35" s="275"/>
      <c r="BM35" s="275"/>
      <c r="BN35" s="631"/>
      <c r="BO35" s="275"/>
      <c r="BP35" s="275"/>
      <c r="BQ35" s="275"/>
      <c r="BR35" s="275"/>
      <c r="BS35" s="631"/>
      <c r="BT35" s="275"/>
      <c r="BU35" s="275"/>
      <c r="BV35" s="275"/>
      <c r="BW35" s="275"/>
      <c r="BX35" s="631"/>
      <c r="BY35" s="275"/>
      <c r="BZ35" s="275"/>
      <c r="CA35" s="275"/>
      <c r="CB35" s="275"/>
      <c r="CC35" s="631"/>
      <c r="CD35" s="275"/>
      <c r="CE35" s="275"/>
      <c r="CF35" s="275"/>
      <c r="CG35" s="275"/>
      <c r="CH35" s="631"/>
      <c r="CI35" s="275"/>
      <c r="CJ35" s="275"/>
      <c r="CK35" s="275"/>
      <c r="CL35" s="275"/>
      <c r="CM35" s="631"/>
      <c r="CN35" s="275"/>
      <c r="CO35" s="275"/>
      <c r="CP35" s="275"/>
      <c r="CQ35" s="275"/>
      <c r="CR35" s="236"/>
      <c r="CS35" s="236"/>
      <c r="CT35" s="236"/>
      <c r="DB35" s="1226"/>
    </row>
    <row r="36" spans="1:106" s="212" customFormat="1" ht="12.75" customHeight="1" x14ac:dyDescent="0.2">
      <c r="A36" s="1436" t="s">
        <v>1716</v>
      </c>
      <c r="B36" s="777"/>
      <c r="C36" s="777"/>
      <c r="D36" s="777"/>
      <c r="E36" s="777"/>
      <c r="F36" s="235"/>
      <c r="G36" s="777"/>
      <c r="H36" s="777"/>
      <c r="I36" s="777"/>
      <c r="J36" s="777"/>
      <c r="K36" s="235"/>
      <c r="L36" s="777"/>
      <c r="M36" s="777"/>
      <c r="N36" s="777"/>
      <c r="O36" s="777"/>
      <c r="P36" s="631"/>
      <c r="Q36" s="777"/>
      <c r="R36" s="777"/>
      <c r="S36" s="777"/>
      <c r="T36" s="777"/>
      <c r="U36" s="631"/>
      <c r="V36" s="777"/>
      <c r="W36" s="777"/>
      <c r="X36" s="777"/>
      <c r="Y36" s="777"/>
      <c r="Z36" s="631"/>
      <c r="AA36" s="275"/>
      <c r="AB36" s="275"/>
      <c r="AC36" s="275"/>
      <c r="AD36" s="275"/>
      <c r="AE36" s="631"/>
      <c r="AF36" s="275"/>
      <c r="AG36" s="275"/>
      <c r="AH36" s="275"/>
      <c r="AI36" s="275"/>
      <c r="AJ36" s="631"/>
      <c r="AK36" s="275"/>
      <c r="AL36" s="275"/>
      <c r="AM36" s="275"/>
      <c r="AN36" s="275"/>
      <c r="AO36" s="631"/>
      <c r="AP36" s="275"/>
      <c r="AQ36" s="275"/>
      <c r="AR36" s="275"/>
      <c r="AS36" s="275"/>
      <c r="AT36" s="631"/>
      <c r="AU36" s="275"/>
      <c r="AV36" s="275"/>
      <c r="AW36" s="275"/>
      <c r="AX36" s="275"/>
      <c r="AY36" s="631"/>
      <c r="AZ36" s="275"/>
      <c r="BA36" s="275"/>
      <c r="BB36" s="275"/>
      <c r="BC36" s="275"/>
      <c r="BD36" s="631">
        <f t="shared" ref="BD36:CF36" si="67">(BD20*BD107*BD$4)/1000000</f>
        <v>13998.3758133464</v>
      </c>
      <c r="BE36" s="275">
        <f t="shared" si="67"/>
        <v>3292.55862913992</v>
      </c>
      <c r="BF36" s="275">
        <f t="shared" si="67"/>
        <v>3775.2633403573191</v>
      </c>
      <c r="BG36" s="275">
        <f t="shared" si="67"/>
        <v>3688.2389844644404</v>
      </c>
      <c r="BH36" s="275">
        <f t="shared" si="67"/>
        <v>4636.3604274125601</v>
      </c>
      <c r="BI36" s="631">
        <f t="shared" si="67"/>
        <v>15392.421381374241</v>
      </c>
      <c r="BJ36" s="275">
        <f t="shared" si="67"/>
        <v>3602.4441464180404</v>
      </c>
      <c r="BK36" s="275">
        <f t="shared" si="67"/>
        <v>4113.0474360212993</v>
      </c>
      <c r="BL36" s="275">
        <f t="shared" si="67"/>
        <v>3994.1318627384994</v>
      </c>
      <c r="BM36" s="275">
        <f t="shared" si="67"/>
        <v>5003.7897798509612</v>
      </c>
      <c r="BN36" s="631">
        <f t="shared" si="67"/>
        <v>16713.413225028802</v>
      </c>
      <c r="BO36" s="275">
        <f t="shared" si="67"/>
        <v>4194.697440393461</v>
      </c>
      <c r="BP36" s="275">
        <f t="shared" si="67"/>
        <v>4749.6002218296453</v>
      </c>
      <c r="BQ36" s="275">
        <f t="shared" si="67"/>
        <v>4638.4272152488393</v>
      </c>
      <c r="BR36" s="275">
        <f t="shared" si="67"/>
        <v>4231.6247765546796</v>
      </c>
      <c r="BS36" s="631">
        <f t="shared" si="67"/>
        <v>17814.349654026624</v>
      </c>
      <c r="BT36" s="275">
        <f t="shared" si="67"/>
        <v>4461.8684522494505</v>
      </c>
      <c r="BU36" s="275">
        <f t="shared" si="67"/>
        <v>5167.2749756109288</v>
      </c>
      <c r="BV36" s="275">
        <f t="shared" si="67"/>
        <v>5173.7091572082791</v>
      </c>
      <c r="BW36" s="275">
        <f t="shared" si="67"/>
        <v>4677.4769592805396</v>
      </c>
      <c r="BX36" s="631">
        <f t="shared" si="67"/>
        <v>19480.329544349199</v>
      </c>
      <c r="BY36" s="275">
        <f t="shared" si="67"/>
        <v>4996.3572194575499</v>
      </c>
      <c r="BZ36" s="275">
        <f t="shared" si="67"/>
        <v>5823.8786384342193</v>
      </c>
      <c r="CA36" s="275">
        <f t="shared" si="67"/>
        <v>5896.1205346990846</v>
      </c>
      <c r="CB36" s="275">
        <f t="shared" si="67"/>
        <v>5255.7112017370609</v>
      </c>
      <c r="CC36" s="631">
        <f>SUM(BY36:CB36)</f>
        <v>21972.067594327913</v>
      </c>
      <c r="CD36" s="275">
        <f t="shared" si="67"/>
        <v>5462.8470238617783</v>
      </c>
      <c r="CE36" s="275">
        <f t="shared" si="67"/>
        <v>6245.5648650264202</v>
      </c>
      <c r="CF36" s="275">
        <f t="shared" si="67"/>
        <v>6157.1624170166215</v>
      </c>
      <c r="CG36" s="275">
        <f>(CG20*CG113*CG$4)/1000000</f>
        <v>7825.9394307600005</v>
      </c>
      <c r="CH36" s="3442">
        <f>(CH20*CH113*CH$4)/1000000</f>
        <v>33503.961227220003</v>
      </c>
      <c r="CI36" s="275">
        <f>(CI20*CI113*CI$4)/1000000</f>
        <v>7974.6975972</v>
      </c>
      <c r="CJ36" s="275">
        <f t="shared" ref="CJ36:CT36" si="68">(CJ20*CJ113*CJ$4)/1000000</f>
        <v>9176.5691517499999</v>
      </c>
      <c r="CK36" s="275">
        <f t="shared" si="68"/>
        <v>9199.5847635200007</v>
      </c>
      <c r="CL36" s="275">
        <f t="shared" si="68"/>
        <v>8460.5387530000007</v>
      </c>
      <c r="CM36" s="631">
        <f>SUM(CI36:CL36)</f>
        <v>34811.390265470007</v>
      </c>
      <c r="CN36" s="275">
        <f>(CN20*CN113*CN$4)/1000000</f>
        <v>8558.9472087413815</v>
      </c>
      <c r="CO36" s="275">
        <f>(CO20*CO113*CO$4)/1000000</f>
        <v>9920.6737375649918</v>
      </c>
      <c r="CP36" s="275">
        <f>(CP20*CP113*CP$4)/1000000</f>
        <v>9896.3211301951687</v>
      </c>
      <c r="CQ36" s="275">
        <f>(CQ20*CQ113*CQ$4)/1000000</f>
        <v>9068.6039382388462</v>
      </c>
      <c r="CR36" s="631">
        <f>SUM(CN36:CQ36)</f>
        <v>37444.546014740386</v>
      </c>
      <c r="CS36" s="236">
        <f t="shared" si="68"/>
        <v>40479.063899129898</v>
      </c>
      <c r="CT36" s="236">
        <f t="shared" si="68"/>
        <v>40288.703861108006</v>
      </c>
      <c r="DB36" s="1226"/>
    </row>
    <row r="37" spans="1:106" s="212" customFormat="1" ht="12.75" customHeight="1" x14ac:dyDescent="0.2">
      <c r="A37" s="1434" t="s">
        <v>1644</v>
      </c>
      <c r="B37" s="777"/>
      <c r="C37" s="777"/>
      <c r="D37" s="777"/>
      <c r="E37" s="777"/>
      <c r="F37" s="235"/>
      <c r="G37" s="777"/>
      <c r="H37" s="777"/>
      <c r="I37" s="777"/>
      <c r="J37" s="777"/>
      <c r="K37" s="235"/>
      <c r="L37" s="777"/>
      <c r="M37" s="777"/>
      <c r="N37" s="777"/>
      <c r="O37" s="777"/>
      <c r="P37" s="631"/>
      <c r="Q37" s="777"/>
      <c r="R37" s="777"/>
      <c r="S37" s="777"/>
      <c r="T37" s="777"/>
      <c r="U37" s="631"/>
      <c r="V37" s="777"/>
      <c r="W37" s="777"/>
      <c r="X37" s="777"/>
      <c r="Y37" s="777"/>
      <c r="Z37" s="631"/>
      <c r="AA37" s="275"/>
      <c r="AB37" s="275"/>
      <c r="AC37" s="275"/>
      <c r="AD37" s="275"/>
      <c r="AE37" s="631"/>
      <c r="AF37" s="275"/>
      <c r="AG37" s="275"/>
      <c r="AH37" s="275"/>
      <c r="AI37" s="275"/>
      <c r="AJ37" s="631"/>
      <c r="AK37" s="275"/>
      <c r="AL37" s="275"/>
      <c r="AM37" s="275"/>
      <c r="AN37" s="275"/>
      <c r="AO37" s="631"/>
      <c r="AP37" s="275"/>
      <c r="AQ37" s="275"/>
      <c r="AR37" s="275"/>
      <c r="AS37" s="275"/>
      <c r="AT37" s="631"/>
      <c r="AU37" s="275"/>
      <c r="AV37" s="275"/>
      <c r="AW37" s="275"/>
      <c r="AX37" s="275"/>
      <c r="AY37" s="631"/>
      <c r="AZ37" s="275"/>
      <c r="BA37" s="275"/>
      <c r="BB37" s="275"/>
      <c r="BC37" s="275"/>
      <c r="BD37" s="631">
        <f t="shared" ref="BD37:CT37" si="69">(BD21*BD222*BD$4)/1000000</f>
        <v>721.22686579944013</v>
      </c>
      <c r="BE37" s="275">
        <f t="shared" si="69"/>
        <v>190.07823195899996</v>
      </c>
      <c r="BF37" s="275">
        <f t="shared" si="69"/>
        <v>194.92762627800002</v>
      </c>
      <c r="BG37" s="275">
        <f t="shared" si="69"/>
        <v>162.27033936497995</v>
      </c>
      <c r="BH37" s="275">
        <f t="shared" si="69"/>
        <v>221.44179701952004</v>
      </c>
      <c r="BI37" s="631">
        <f t="shared" si="69"/>
        <v>783.52377665562005</v>
      </c>
      <c r="BJ37" s="275">
        <f t="shared" si="69"/>
        <v>200.15975740580612</v>
      </c>
      <c r="BK37" s="275">
        <f t="shared" si="69"/>
        <v>206.07378596469937</v>
      </c>
      <c r="BL37" s="275">
        <f t="shared" si="69"/>
        <v>175.26239485619089</v>
      </c>
      <c r="BM37" s="275">
        <f t="shared" si="69"/>
        <v>238.54536295575568</v>
      </c>
      <c r="BN37" s="631">
        <f t="shared" si="69"/>
        <v>842.19442779303517</v>
      </c>
      <c r="BO37" s="275">
        <f t="shared" si="69"/>
        <v>262.20369346407699</v>
      </c>
      <c r="BP37" s="275">
        <f t="shared" si="69"/>
        <v>232.24377980534794</v>
      </c>
      <c r="BQ37" s="275">
        <f t="shared" si="69"/>
        <v>218.56678631155839</v>
      </c>
      <c r="BR37" s="275">
        <f t="shared" si="69"/>
        <v>236.93749558523677</v>
      </c>
      <c r="BS37" s="631">
        <f t="shared" si="69"/>
        <v>977.56745209005555</v>
      </c>
      <c r="BT37" s="275">
        <f t="shared" si="69"/>
        <v>339.08400484277638</v>
      </c>
      <c r="BU37" s="275">
        <f t="shared" si="69"/>
        <v>296.7414114792935</v>
      </c>
      <c r="BV37" s="275">
        <f t="shared" si="69"/>
        <v>260.32338310052887</v>
      </c>
      <c r="BW37" s="275">
        <f t="shared" si="69"/>
        <v>306.09140967059676</v>
      </c>
      <c r="BX37" s="631">
        <f t="shared" si="69"/>
        <v>1287.8383745281078</v>
      </c>
      <c r="BY37" s="275">
        <f t="shared" si="69"/>
        <v>366.15604434404611</v>
      </c>
      <c r="BZ37" s="275">
        <f t="shared" si="69"/>
        <v>301.9379496539085</v>
      </c>
      <c r="CA37" s="275">
        <f t="shared" si="69"/>
        <v>256.60395346445353</v>
      </c>
      <c r="CB37" s="275">
        <f t="shared" si="69"/>
        <v>304.78875898916209</v>
      </c>
      <c r="CC37" s="631">
        <f>SUM(BY37:CB37)</f>
        <v>1229.4867064515702</v>
      </c>
      <c r="CD37" s="275">
        <f t="shared" si="69"/>
        <v>370.51095858682771</v>
      </c>
      <c r="CE37" s="275">
        <f t="shared" si="69"/>
        <v>319.95930067981163</v>
      </c>
      <c r="CF37" s="275">
        <f t="shared" si="69"/>
        <v>293.94628445438474</v>
      </c>
      <c r="CG37" s="275">
        <f t="shared" si="69"/>
        <v>459.48117159713883</v>
      </c>
      <c r="CH37" s="3442">
        <f>(CH21*CH251*CH$4)/1000000</f>
        <v>2017.3068997146327</v>
      </c>
      <c r="CI37" s="275">
        <f t="shared" ca="1" si="69"/>
        <v>554.83145106219592</v>
      </c>
      <c r="CJ37" s="275">
        <f t="shared" ca="1" si="69"/>
        <v>508.86217617961591</v>
      </c>
      <c r="CK37" s="275">
        <f t="shared" ca="1" si="69"/>
        <v>495.79793445499718</v>
      </c>
      <c r="CL37" s="275">
        <f t="shared" ca="1" si="69"/>
        <v>493.3258455352651</v>
      </c>
      <c r="CM37" s="631">
        <f ca="1">SUM(CI37:CL37)</f>
        <v>2052.8174072320739</v>
      </c>
      <c r="CN37" s="275">
        <f ca="1">(CN21*CN222*CN$4)/1000000</f>
        <v>604.39569630873541</v>
      </c>
      <c r="CO37" s="275">
        <f ca="1">(CO21*CO222*CO$4)/1000000</f>
        <v>558.22838588956461</v>
      </c>
      <c r="CP37" s="275">
        <f ca="1">(CP21*CP222*CP$4)/1000000</f>
        <v>540.00204486162397</v>
      </c>
      <c r="CQ37" s="275">
        <f ca="1">(CQ21*CQ222*CQ$4)/1000000</f>
        <v>537.27500187822329</v>
      </c>
      <c r="CR37" s="631">
        <f ca="1">SUM(CN37:CQ37)</f>
        <v>2239.9011289381474</v>
      </c>
      <c r="CS37" s="236">
        <f t="shared" ca="1" si="69"/>
        <v>2491.4250169828742</v>
      </c>
      <c r="CT37" s="236">
        <f t="shared" ca="1" si="69"/>
        <v>2477.9821429892691</v>
      </c>
      <c r="DB37" s="1226"/>
    </row>
    <row r="38" spans="1:106" s="212" customFormat="1" ht="12.75" customHeight="1" x14ac:dyDescent="0.2">
      <c r="A38" s="1434" t="s">
        <v>1930</v>
      </c>
      <c r="B38" s="777"/>
      <c r="C38" s="777"/>
      <c r="D38" s="777"/>
      <c r="E38" s="777"/>
      <c r="F38" s="235"/>
      <c r="G38" s="777"/>
      <c r="H38" s="777"/>
      <c r="I38" s="777"/>
      <c r="J38" s="777"/>
      <c r="K38" s="235"/>
      <c r="L38" s="777"/>
      <c r="M38" s="777"/>
      <c r="N38" s="777"/>
      <c r="O38" s="777"/>
      <c r="P38" s="631"/>
      <c r="Q38" s="777"/>
      <c r="R38" s="777"/>
      <c r="S38" s="777"/>
      <c r="T38" s="777"/>
      <c r="U38" s="631"/>
      <c r="V38" s="777"/>
      <c r="W38" s="777"/>
      <c r="X38" s="777"/>
      <c r="Y38" s="777"/>
      <c r="Z38" s="631"/>
      <c r="AA38" s="275"/>
      <c r="AB38" s="275"/>
      <c r="AC38" s="275"/>
      <c r="AD38" s="275"/>
      <c r="AE38" s="631"/>
      <c r="AF38" s="275"/>
      <c r="AG38" s="275"/>
      <c r="AH38" s="275"/>
      <c r="AI38" s="275"/>
      <c r="AJ38" s="631"/>
      <c r="AK38" s="275"/>
      <c r="AL38" s="275"/>
      <c r="AM38" s="275"/>
      <c r="AN38" s="275"/>
      <c r="AO38" s="631"/>
      <c r="AP38" s="275"/>
      <c r="AQ38" s="275"/>
      <c r="AR38" s="275"/>
      <c r="AS38" s="275"/>
      <c r="AT38" s="631"/>
      <c r="AU38" s="275"/>
      <c r="AV38" s="275"/>
      <c r="AW38" s="275"/>
      <c r="AX38" s="275"/>
      <c r="AY38" s="631"/>
      <c r="AZ38" s="275"/>
      <c r="BA38" s="275"/>
      <c r="BB38" s="275"/>
      <c r="BC38" s="275"/>
      <c r="BD38" s="631">
        <f t="shared" ref="BD38:CT38" si="70">(BD22*BD225*BD$4)/1000000</f>
        <v>0</v>
      </c>
      <c r="BE38" s="275">
        <f t="shared" si="70"/>
        <v>329.59056088223991</v>
      </c>
      <c r="BF38" s="275">
        <f t="shared" si="70"/>
        <v>454.81487557968006</v>
      </c>
      <c r="BG38" s="275">
        <f t="shared" si="70"/>
        <v>490.62198315375002</v>
      </c>
      <c r="BH38" s="275">
        <f t="shared" si="70"/>
        <v>628.00214097600008</v>
      </c>
      <c r="BI38" s="631">
        <f t="shared" si="70"/>
        <v>1935.1199500651201</v>
      </c>
      <c r="BJ38" s="275">
        <f t="shared" si="70"/>
        <v>341.25592234759068</v>
      </c>
      <c r="BK38" s="275">
        <f t="shared" si="70"/>
        <v>458.66003662373004</v>
      </c>
      <c r="BL38" s="275">
        <f t="shared" si="70"/>
        <v>469.74600005659659</v>
      </c>
      <c r="BM38" s="275">
        <f t="shared" si="70"/>
        <v>630.61867905300596</v>
      </c>
      <c r="BN38" s="631">
        <f t="shared" si="70"/>
        <v>1926.6908250322463</v>
      </c>
      <c r="BO38" s="275">
        <f t="shared" si="70"/>
        <v>409.15232205843546</v>
      </c>
      <c r="BP38" s="275">
        <f t="shared" si="70"/>
        <v>557.13426317863957</v>
      </c>
      <c r="BQ38" s="275">
        <f t="shared" si="70"/>
        <v>564.52958820258402</v>
      </c>
      <c r="BR38" s="275">
        <f t="shared" si="70"/>
        <v>565.20115418520083</v>
      </c>
      <c r="BS38" s="631">
        <f t="shared" si="70"/>
        <v>2151.6827018564081</v>
      </c>
      <c r="BT38" s="275">
        <f t="shared" si="70"/>
        <v>479.6977312628614</v>
      </c>
      <c r="BU38" s="275">
        <f t="shared" si="70"/>
        <v>722.81335206124925</v>
      </c>
      <c r="BV38" s="275">
        <f t="shared" si="70"/>
        <v>733.98806542474858</v>
      </c>
      <c r="BW38" s="275">
        <f t="shared" si="70"/>
        <v>688.83762800573095</v>
      </c>
      <c r="BX38" s="631">
        <f t="shared" si="70"/>
        <v>2781.1981299288295</v>
      </c>
      <c r="BY38" s="275">
        <f t="shared" si="70"/>
        <v>484.81504922991076</v>
      </c>
      <c r="BZ38" s="275">
        <f t="shared" si="70"/>
        <v>639.71419003835331</v>
      </c>
      <c r="CA38" s="275">
        <f t="shared" si="70"/>
        <v>696.65098081354017</v>
      </c>
      <c r="CB38" s="275">
        <f t="shared" si="70"/>
        <v>638.19213516664229</v>
      </c>
      <c r="CC38" s="631">
        <f>SUM(BY38:CB38)</f>
        <v>2459.3723552484466</v>
      </c>
      <c r="CD38" s="275">
        <f t="shared" si="70"/>
        <v>432.55496754756956</v>
      </c>
      <c r="CE38" s="275">
        <f t="shared" si="70"/>
        <v>599.94696156050452</v>
      </c>
      <c r="CF38" s="275">
        <f t="shared" si="70"/>
        <v>602.1914770162067</v>
      </c>
      <c r="CG38" s="275">
        <f t="shared" si="70"/>
        <v>1040.5943680708831</v>
      </c>
      <c r="CH38" s="3442">
        <f>(CH22*CH254*CH$4)/1000000</f>
        <v>4302.4720294852568</v>
      </c>
      <c r="CI38" s="275">
        <f t="shared" ca="1" si="70"/>
        <v>827.16235782768706</v>
      </c>
      <c r="CJ38" s="275">
        <f t="shared" ca="1" si="70"/>
        <v>1220.3064147655739</v>
      </c>
      <c r="CK38" s="275">
        <f t="shared" ca="1" si="70"/>
        <v>1697.7472772279746</v>
      </c>
      <c r="CL38" s="275">
        <f t="shared" ca="1" si="70"/>
        <v>1214.5817687571932</v>
      </c>
      <c r="CM38" s="631">
        <f ca="1">SUM(CI38:CL38)</f>
        <v>4959.7978185784286</v>
      </c>
      <c r="CN38" s="275">
        <f ca="1">(CN22*CN225*CN$4)/1000000</f>
        <v>909.80259011004193</v>
      </c>
      <c r="CO38" s="275">
        <f ca="1">(CO22*CO225*CO$4)/1000000</f>
        <v>1351.6889221062252</v>
      </c>
      <c r="CP38" s="275">
        <f ca="1">(CP22*CP225*CP$4)/1000000</f>
        <v>1885.371342060675</v>
      </c>
      <c r="CQ38" s="275">
        <f ca="1">(CQ22*CQ225*CQ$4)/1000000</f>
        <v>1348.7227740797814</v>
      </c>
      <c r="CR38" s="631">
        <f ca="1">SUM(CN38:CQ38)</f>
        <v>5495.5856283567236</v>
      </c>
      <c r="CS38" s="236">
        <f t="shared" ca="1" si="70"/>
        <v>6100.3965497159697</v>
      </c>
      <c r="CT38" s="236">
        <f t="shared" ca="1" si="70"/>
        <v>6067.4809044246804</v>
      </c>
      <c r="DB38" s="1226"/>
    </row>
    <row r="39" spans="1:106" s="212" customFormat="1" ht="12.75" customHeight="1" x14ac:dyDescent="0.2">
      <c r="A39" s="1434" t="s">
        <v>1645</v>
      </c>
      <c r="B39" s="777"/>
      <c r="C39" s="777"/>
      <c r="D39" s="777"/>
      <c r="E39" s="777"/>
      <c r="F39" s="235"/>
      <c r="G39" s="777"/>
      <c r="H39" s="777"/>
      <c r="I39" s="777"/>
      <c r="J39" s="777"/>
      <c r="K39" s="235"/>
      <c r="L39" s="777"/>
      <c r="M39" s="777"/>
      <c r="N39" s="777"/>
      <c r="O39" s="777"/>
      <c r="P39" s="631"/>
      <c r="Q39" s="777"/>
      <c r="R39" s="777"/>
      <c r="S39" s="777"/>
      <c r="T39" s="777"/>
      <c r="U39" s="631"/>
      <c r="V39" s="777"/>
      <c r="W39" s="777"/>
      <c r="X39" s="777"/>
      <c r="Y39" s="777"/>
      <c r="Z39" s="631"/>
      <c r="AA39" s="275"/>
      <c r="AB39" s="275"/>
      <c r="AC39" s="275"/>
      <c r="AD39" s="275"/>
      <c r="AE39" s="631"/>
      <c r="AF39" s="275"/>
      <c r="AG39" s="275"/>
      <c r="AH39" s="275"/>
      <c r="AI39" s="275"/>
      <c r="AJ39" s="631"/>
      <c r="AK39" s="275"/>
      <c r="AL39" s="275"/>
      <c r="AM39" s="275"/>
      <c r="AN39" s="275"/>
      <c r="AO39" s="631"/>
      <c r="AP39" s="275"/>
      <c r="AQ39" s="275"/>
      <c r="AR39" s="275"/>
      <c r="AS39" s="275"/>
      <c r="AT39" s="631"/>
      <c r="AU39" s="275"/>
      <c r="AV39" s="275"/>
      <c r="AW39" s="275"/>
      <c r="AX39" s="275"/>
      <c r="AY39" s="631"/>
      <c r="AZ39" s="275"/>
      <c r="BA39" s="275"/>
      <c r="BB39" s="275"/>
      <c r="BC39" s="275"/>
      <c r="BD39" s="631">
        <f t="shared" ref="BD39:CT39" si="71">(BD23*BD234*BD$4)/1000000</f>
        <v>298.86815324183999</v>
      </c>
      <c r="BE39" s="275">
        <f t="shared" si="71"/>
        <v>70.149624640199988</v>
      </c>
      <c r="BF39" s="275">
        <f t="shared" si="71"/>
        <v>67.357247687099985</v>
      </c>
      <c r="BG39" s="275">
        <f t="shared" si="71"/>
        <v>56.512034589780015</v>
      </c>
      <c r="BH39" s="275">
        <f t="shared" si="71"/>
        <v>102.39237444240001</v>
      </c>
      <c r="BI39" s="631">
        <f t="shared" si="71"/>
        <v>312.96719456912001</v>
      </c>
      <c r="BJ39" s="275">
        <f t="shared" si="71"/>
        <v>72.664253276076181</v>
      </c>
      <c r="BK39" s="275">
        <f t="shared" si="71"/>
        <v>78.59578930572593</v>
      </c>
      <c r="BL39" s="275">
        <f t="shared" si="71"/>
        <v>63.793208079181596</v>
      </c>
      <c r="BM39" s="275">
        <f t="shared" si="71"/>
        <v>107.48767624252164</v>
      </c>
      <c r="BN39" s="631">
        <f t="shared" si="71"/>
        <v>327.1308152608853</v>
      </c>
      <c r="BO39" s="275">
        <f t="shared" si="71"/>
        <v>91.411275361994171</v>
      </c>
      <c r="BP39" s="275">
        <f t="shared" si="71"/>
        <v>88.242963732800192</v>
      </c>
      <c r="BQ39" s="275">
        <f t="shared" si="71"/>
        <v>69.174485411411268</v>
      </c>
      <c r="BR39" s="275">
        <f t="shared" si="71"/>
        <v>90.212475007927011</v>
      </c>
      <c r="BS39" s="631">
        <f t="shared" si="71"/>
        <v>348.83492715855522</v>
      </c>
      <c r="BT39" s="275">
        <f t="shared" si="71"/>
        <v>127.59374595873858</v>
      </c>
      <c r="BU39" s="275">
        <f t="shared" si="71"/>
        <v>136.54517669915919</v>
      </c>
      <c r="BV39" s="275">
        <f t="shared" si="71"/>
        <v>106.3416355244475</v>
      </c>
      <c r="BW39" s="275">
        <f t="shared" si="71"/>
        <v>159.23302490347115</v>
      </c>
      <c r="BX39" s="631">
        <f t="shared" si="71"/>
        <v>563.60321042941484</v>
      </c>
      <c r="BY39" s="275">
        <f t="shared" si="71"/>
        <v>143.99175061501603</v>
      </c>
      <c r="BZ39" s="275">
        <f t="shared" si="71"/>
        <v>129.40309094384617</v>
      </c>
      <c r="CA39" s="275">
        <f t="shared" si="71"/>
        <v>107.73050608035871</v>
      </c>
      <c r="CB39" s="275">
        <f t="shared" si="71"/>
        <v>142.12965088997075</v>
      </c>
      <c r="CC39" s="631">
        <f>SUM(BY39:CB39)</f>
        <v>523.25499852919165</v>
      </c>
      <c r="CD39" s="275">
        <f t="shared" si="71"/>
        <v>126.02988820894626</v>
      </c>
      <c r="CE39" s="275">
        <f t="shared" si="71"/>
        <v>103.79610674584062</v>
      </c>
      <c r="CF39" s="275">
        <f t="shared" si="71"/>
        <v>99.357629280720744</v>
      </c>
      <c r="CG39" s="275">
        <f t="shared" si="71"/>
        <v>417.74123177135027</v>
      </c>
      <c r="CH39" s="3442">
        <f>(CH23*CH257*CH$4)/1000000</f>
        <v>1488.2674130989378</v>
      </c>
      <c r="CI39" s="275">
        <f t="shared" ca="1" si="71"/>
        <v>415.20573439535121</v>
      </c>
      <c r="CJ39" s="275">
        <f t="shared" ca="1" si="71"/>
        <v>348.13443671324092</v>
      </c>
      <c r="CK39" s="275">
        <f t="shared" ca="1" si="71"/>
        <v>324.48413755812209</v>
      </c>
      <c r="CL39" s="275">
        <f t="shared" ca="1" si="71"/>
        <v>455.38967493186072</v>
      </c>
      <c r="CM39" s="631">
        <f ca="1">SUM(CI39:CL39)</f>
        <v>1543.2139835985749</v>
      </c>
      <c r="CN39" s="275">
        <f ca="1">(CN23*CN234*CN$4)/1000000</f>
        <v>439.12322770482052</v>
      </c>
      <c r="CO39" s="275">
        <f ca="1">(CO23*CO234*CO$4)/1000000</f>
        <v>368.93052223484432</v>
      </c>
      <c r="CP39" s="275">
        <f ca="1">(CP23*CP234*CP$4)/1000000</f>
        <v>349.94948959052061</v>
      </c>
      <c r="CQ39" s="275">
        <f ca="1">(CQ23*CQ234*CQ$4)/1000000</f>
        <v>491.09684840539705</v>
      </c>
      <c r="CR39" s="631">
        <f ca="1">SUM(CN39:CQ39)</f>
        <v>1649.1000879355825</v>
      </c>
      <c r="CS39" s="236">
        <f t="shared" ca="1" si="71"/>
        <v>1830.2494046073843</v>
      </c>
      <c r="CT39" s="236">
        <f t="shared" ca="1" si="71"/>
        <v>1820.3740072122007</v>
      </c>
      <c r="DB39" s="1226"/>
    </row>
    <row r="40" spans="1:106" s="212" customFormat="1" ht="12.75" customHeight="1" x14ac:dyDescent="0.2">
      <c r="A40" s="1580" t="s">
        <v>808</v>
      </c>
      <c r="B40" s="777"/>
      <c r="C40" s="777"/>
      <c r="D40" s="777"/>
      <c r="E40" s="777"/>
      <c r="F40" s="235"/>
      <c r="G40" s="777"/>
      <c r="H40" s="777"/>
      <c r="I40" s="777"/>
      <c r="J40" s="777"/>
      <c r="K40" s="235"/>
      <c r="L40" s="777"/>
      <c r="M40" s="777"/>
      <c r="N40" s="777"/>
      <c r="O40" s="777"/>
      <c r="P40" s="631"/>
      <c r="Q40" s="777"/>
      <c r="R40" s="777"/>
      <c r="S40" s="777"/>
      <c r="T40" s="777"/>
      <c r="U40" s="631"/>
      <c r="V40" s="777"/>
      <c r="W40" s="777"/>
      <c r="X40" s="777"/>
      <c r="Y40" s="777"/>
      <c r="Z40" s="631"/>
      <c r="AA40" s="275"/>
      <c r="AB40" s="275"/>
      <c r="AC40" s="275"/>
      <c r="AD40" s="275"/>
      <c r="AE40" s="631"/>
      <c r="AF40" s="275"/>
      <c r="AG40" s="275"/>
      <c r="AH40" s="275"/>
      <c r="AI40" s="275"/>
      <c r="AJ40" s="631"/>
      <c r="AK40" s="275"/>
      <c r="AL40" s="275"/>
      <c r="AM40" s="275"/>
      <c r="AN40" s="275"/>
      <c r="AO40" s="631"/>
      <c r="AP40" s="275"/>
      <c r="AQ40" s="275"/>
      <c r="AR40" s="275"/>
      <c r="AS40" s="275"/>
      <c r="AT40" s="631"/>
      <c r="AU40" s="275"/>
      <c r="AV40" s="275"/>
      <c r="AW40" s="275"/>
      <c r="AX40" s="275"/>
      <c r="AY40" s="631"/>
      <c r="AZ40" s="275"/>
      <c r="BA40" s="275"/>
      <c r="BB40" s="275"/>
      <c r="BC40" s="275"/>
      <c r="BD40" s="1508">
        <f t="shared" ref="BD40:CT40" si="72">(BD24*BD237*BD$4)/1000000</f>
        <v>1412.8981957199198</v>
      </c>
      <c r="BE40" s="1509">
        <f t="shared" si="72"/>
        <v>331.94649477527997</v>
      </c>
      <c r="BF40" s="1509">
        <f t="shared" si="72"/>
        <v>386.06836685759998</v>
      </c>
      <c r="BG40" s="1509">
        <f t="shared" si="72"/>
        <v>390.92478299279992</v>
      </c>
      <c r="BH40" s="1509">
        <f t="shared" si="72"/>
        <v>599.18999906303998</v>
      </c>
      <c r="BI40" s="1508">
        <f t="shared" si="72"/>
        <v>1708.15918319046</v>
      </c>
      <c r="BJ40" s="1509">
        <f t="shared" si="72"/>
        <v>357.64516401706777</v>
      </c>
      <c r="BK40" s="1509">
        <f t="shared" si="72"/>
        <v>401.58196954126618</v>
      </c>
      <c r="BL40" s="1509">
        <f t="shared" si="72"/>
        <v>378.97921442625881</v>
      </c>
      <c r="BM40" s="1509">
        <f t="shared" si="72"/>
        <v>577.81901648484302</v>
      </c>
      <c r="BN40" s="1508">
        <f t="shared" si="72"/>
        <v>1738.0399917677112</v>
      </c>
      <c r="BO40" s="1509">
        <f t="shared" si="72"/>
        <v>459.55052480759849</v>
      </c>
      <c r="BP40" s="1509">
        <f t="shared" si="72"/>
        <v>461.5668039930539</v>
      </c>
      <c r="BQ40" s="1509">
        <f t="shared" si="72"/>
        <v>476.67588590860527</v>
      </c>
      <c r="BR40" s="1509">
        <f t="shared" si="72"/>
        <v>523.79991489648432</v>
      </c>
      <c r="BS40" s="1508">
        <f t="shared" si="72"/>
        <v>1973.8313176180434</v>
      </c>
      <c r="BT40" s="1509">
        <f t="shared" si="72"/>
        <v>589.01473534675824</v>
      </c>
      <c r="BU40" s="1509">
        <f t="shared" si="72"/>
        <v>636.0881275188558</v>
      </c>
      <c r="BV40" s="1509">
        <f t="shared" si="72"/>
        <v>665.58599527684351</v>
      </c>
      <c r="BW40" s="1509">
        <f t="shared" si="72"/>
        <v>738.60622469247357</v>
      </c>
      <c r="BX40" s="1508">
        <f t="shared" si="72"/>
        <v>2794.061294212227</v>
      </c>
      <c r="BY40" s="1509">
        <f t="shared" si="72"/>
        <v>575.08843945951264</v>
      </c>
      <c r="BZ40" s="1509">
        <f t="shared" si="72"/>
        <v>575.37210269939192</v>
      </c>
      <c r="CA40" s="1509">
        <f t="shared" si="72"/>
        <v>583.52677783357308</v>
      </c>
      <c r="CB40" s="1509">
        <f t="shared" si="72"/>
        <v>641.18880729477507</v>
      </c>
      <c r="CC40" s="1508">
        <f>SUM(BY40:CB40)</f>
        <v>2375.1761272872527</v>
      </c>
      <c r="CD40" s="1509">
        <f t="shared" si="72"/>
        <v>604.27791515943227</v>
      </c>
      <c r="CE40" s="1509">
        <f t="shared" si="72"/>
        <v>614.89076748964919</v>
      </c>
      <c r="CF40" s="1509">
        <f t="shared" si="72"/>
        <v>638.41390397769453</v>
      </c>
      <c r="CG40" s="1509">
        <f t="shared" si="72"/>
        <v>1594.6945906599558</v>
      </c>
      <c r="CH40" s="3442">
        <f>(CH24*CH260*CH$4)/1000000</f>
        <v>6085.2289372573578</v>
      </c>
      <c r="CI40" s="1509">
        <f t="shared" ca="1" si="72"/>
        <v>1470.8335169477496</v>
      </c>
      <c r="CJ40" s="1509">
        <f t="shared" ca="1" si="72"/>
        <v>1516.7083162653298</v>
      </c>
      <c r="CK40" s="1509">
        <f t="shared" ca="1" si="72"/>
        <v>1911.3557378394009</v>
      </c>
      <c r="CL40" s="1509">
        <f t="shared" ca="1" si="72"/>
        <v>1790.3099194266124</v>
      </c>
      <c r="CM40" s="1508">
        <f ca="1">SUM(CI40:CL40)</f>
        <v>6689.2074904790925</v>
      </c>
      <c r="CN40" s="1509">
        <f ca="1">(CN24*CN237*CN$4)/1000000</f>
        <v>1648.8929086161145</v>
      </c>
      <c r="CO40" s="1509">
        <f ca="1">(CO24*CO237*CO$4)/1000000</f>
        <v>1728.4641119174851</v>
      </c>
      <c r="CP40" s="1509">
        <f ca="1">(CP24*CP237*CP$4)/1000000</f>
        <v>2122.586430230951</v>
      </c>
      <c r="CQ40" s="1509">
        <f ca="1">(CQ24*CQ237*CQ$4)/1000000</f>
        <v>2007.1512983210421</v>
      </c>
      <c r="CR40" s="1508">
        <f ca="1">SUM(CN40:CQ40)</f>
        <v>7507.0947490855933</v>
      </c>
      <c r="CS40" s="1444">
        <f t="shared" ca="1" si="72"/>
        <v>8518.2895394815732</v>
      </c>
      <c r="CT40" s="1444">
        <f t="shared" ca="1" si="72"/>
        <v>8559.6713590658783</v>
      </c>
      <c r="DB40" s="1226"/>
    </row>
    <row r="41" spans="1:106" s="212" customFormat="1" ht="12.75" customHeight="1" x14ac:dyDescent="0.2">
      <c r="A41" s="1435" t="s">
        <v>1614</v>
      </c>
      <c r="B41" s="777"/>
      <c r="C41" s="777"/>
      <c r="D41" s="777"/>
      <c r="E41" s="777"/>
      <c r="F41" s="235"/>
      <c r="G41" s="777"/>
      <c r="H41" s="777"/>
      <c r="I41" s="777"/>
      <c r="J41" s="777"/>
      <c r="K41" s="235"/>
      <c r="L41" s="777"/>
      <c r="M41" s="777"/>
      <c r="N41" s="777"/>
      <c r="O41" s="777"/>
      <c r="P41" s="631"/>
      <c r="Q41" s="777"/>
      <c r="R41" s="777"/>
      <c r="S41" s="777"/>
      <c r="T41" s="777"/>
      <c r="U41" s="631"/>
      <c r="V41" s="777"/>
      <c r="W41" s="777"/>
      <c r="X41" s="777"/>
      <c r="Y41" s="777"/>
      <c r="Z41" s="631"/>
      <c r="AA41" s="275"/>
      <c r="AB41" s="275"/>
      <c r="AC41" s="275"/>
      <c r="AD41" s="275"/>
      <c r="AE41" s="631"/>
      <c r="AF41" s="275"/>
      <c r="AG41" s="275"/>
      <c r="AH41" s="275"/>
      <c r="AI41" s="275"/>
      <c r="AJ41" s="631"/>
      <c r="AK41" s="275"/>
      <c r="AL41" s="275"/>
      <c r="AM41" s="275"/>
      <c r="AN41" s="275"/>
      <c r="AO41" s="631"/>
      <c r="AP41" s="275"/>
      <c r="AQ41" s="275"/>
      <c r="AR41" s="275"/>
      <c r="AS41" s="275"/>
      <c r="AT41" s="631"/>
      <c r="AU41" s="275"/>
      <c r="AV41" s="275"/>
      <c r="AW41" s="275"/>
      <c r="AX41" s="275"/>
      <c r="AY41" s="631"/>
      <c r="AZ41" s="275"/>
      <c r="BA41" s="275"/>
      <c r="BB41" s="275"/>
      <c r="BC41" s="275"/>
      <c r="BD41" s="1521">
        <f t="shared" ref="BD41:BS41" si="73">SUM(BD36:BD40)</f>
        <v>16431.369028107601</v>
      </c>
      <c r="BE41" s="565">
        <f t="shared" si="73"/>
        <v>4214.3235413966395</v>
      </c>
      <c r="BF41" s="565">
        <f t="shared" si="73"/>
        <v>4878.4314567596994</v>
      </c>
      <c r="BG41" s="565">
        <f t="shared" si="73"/>
        <v>4788.5681245657506</v>
      </c>
      <c r="BH41" s="565">
        <f t="shared" si="73"/>
        <v>6187.3867389135203</v>
      </c>
      <c r="BI41" s="1521">
        <f t="shared" si="73"/>
        <v>20132.191485854561</v>
      </c>
      <c r="BJ41" s="565">
        <f t="shared" si="73"/>
        <v>4574.1692434645811</v>
      </c>
      <c r="BK41" s="565">
        <f t="shared" si="73"/>
        <v>5257.9590174567211</v>
      </c>
      <c r="BL41" s="565">
        <f t="shared" si="73"/>
        <v>5081.9126801567272</v>
      </c>
      <c r="BM41" s="565">
        <f t="shared" si="73"/>
        <v>6558.2605145870875</v>
      </c>
      <c r="BN41" s="1521">
        <f t="shared" si="73"/>
        <v>21547.469284882674</v>
      </c>
      <c r="BO41" s="565">
        <f t="shared" si="73"/>
        <v>5417.0152560855668</v>
      </c>
      <c r="BP41" s="565">
        <f t="shared" si="73"/>
        <v>6088.7880325394872</v>
      </c>
      <c r="BQ41" s="565">
        <f t="shared" si="73"/>
        <v>5967.373961082998</v>
      </c>
      <c r="BR41" s="565">
        <f t="shared" si="73"/>
        <v>5647.7758162295286</v>
      </c>
      <c r="BS41" s="1521">
        <f t="shared" si="73"/>
        <v>23266.266052749681</v>
      </c>
      <c r="BT41" s="565">
        <f>SUM(BT36:BT40)</f>
        <v>5997.2586696605849</v>
      </c>
      <c r="BU41" s="565">
        <f t="shared" ref="BU41:CT41" si="74">SUM(BU36:BU40)</f>
        <v>6959.4630433694865</v>
      </c>
      <c r="BV41" s="565">
        <f t="shared" si="74"/>
        <v>6939.9482365348467</v>
      </c>
      <c r="BW41" s="565">
        <f t="shared" si="74"/>
        <v>6570.2452465528122</v>
      </c>
      <c r="BX41" s="1521">
        <f t="shared" si="74"/>
        <v>26907.030553447777</v>
      </c>
      <c r="BY41" s="565">
        <f t="shared" si="74"/>
        <v>6566.4085031060349</v>
      </c>
      <c r="BZ41" s="565">
        <f t="shared" si="74"/>
        <v>7470.3059717697188</v>
      </c>
      <c r="CA41" s="565">
        <f t="shared" si="74"/>
        <v>7540.6327528910087</v>
      </c>
      <c r="CB41" s="565">
        <f t="shared" si="74"/>
        <v>6982.0105540776112</v>
      </c>
      <c r="CC41" s="1521">
        <f t="shared" si="74"/>
        <v>28559.357781844377</v>
      </c>
      <c r="CD41" s="565">
        <f t="shared" si="74"/>
        <v>6996.2207533645542</v>
      </c>
      <c r="CE41" s="565">
        <f t="shared" si="74"/>
        <v>7884.1580015022264</v>
      </c>
      <c r="CF41" s="565">
        <f t="shared" si="74"/>
        <v>7791.0717117456288</v>
      </c>
      <c r="CG41" s="565">
        <f>SUM(CG36:CG40)</f>
        <v>11338.450792859327</v>
      </c>
      <c r="CH41" s="1521">
        <f t="shared" si="74"/>
        <v>47397.236506776193</v>
      </c>
      <c r="CI41" s="565">
        <f t="shared" ref="CI41:CR41" ca="1" si="75">SUM(CI36:CI40)</f>
        <v>11242.730657432985</v>
      </c>
      <c r="CJ41" s="565">
        <f t="shared" ca="1" si="75"/>
        <v>12770.580495673759</v>
      </c>
      <c r="CK41" s="565">
        <f t="shared" ca="1" si="75"/>
        <v>13628.969850600495</v>
      </c>
      <c r="CL41" s="565">
        <f t="shared" ca="1" si="75"/>
        <v>12414.145961650931</v>
      </c>
      <c r="CM41" s="1521">
        <f t="shared" ca="1" si="75"/>
        <v>50056.42696535818</v>
      </c>
      <c r="CN41" s="565">
        <f t="shared" ca="1" si="75"/>
        <v>12161.161631481094</v>
      </c>
      <c r="CO41" s="565">
        <f t="shared" ca="1" si="75"/>
        <v>13927.985679713111</v>
      </c>
      <c r="CP41" s="565">
        <f t="shared" ca="1" si="75"/>
        <v>14794.230436938939</v>
      </c>
      <c r="CQ41" s="565">
        <f t="shared" ca="1" si="75"/>
        <v>13452.849860923288</v>
      </c>
      <c r="CR41" s="1521">
        <f t="shared" ca="1" si="75"/>
        <v>54336.227609056434</v>
      </c>
      <c r="CS41" s="1426">
        <f t="shared" ca="1" si="74"/>
        <v>59419.424409917701</v>
      </c>
      <c r="CT41" s="1426">
        <f t="shared" ca="1" si="74"/>
        <v>59214.212274800033</v>
      </c>
      <c r="DB41" s="1226"/>
    </row>
    <row r="42" spans="1:106" s="212" customFormat="1" ht="12.75" customHeight="1" x14ac:dyDescent="0.2">
      <c r="A42" s="1437"/>
      <c r="B42" s="777"/>
      <c r="C42" s="777"/>
      <c r="D42" s="777"/>
      <c r="E42" s="777"/>
      <c r="F42" s="235"/>
      <c r="G42" s="777"/>
      <c r="H42" s="777"/>
      <c r="I42" s="777"/>
      <c r="J42" s="777"/>
      <c r="K42" s="235"/>
      <c r="L42" s="777"/>
      <c r="M42" s="777"/>
      <c r="N42" s="777"/>
      <c r="O42" s="777"/>
      <c r="P42" s="631"/>
      <c r="Q42" s="777"/>
      <c r="R42" s="777"/>
      <c r="S42" s="777"/>
      <c r="T42" s="777"/>
      <c r="U42" s="631"/>
      <c r="V42" s="777"/>
      <c r="W42" s="777"/>
      <c r="X42" s="777"/>
      <c r="Y42" s="777"/>
      <c r="Z42" s="631"/>
      <c r="AA42" s="275"/>
      <c r="AB42" s="275"/>
      <c r="AC42" s="275"/>
      <c r="AD42" s="275"/>
      <c r="AE42" s="631"/>
      <c r="AF42" s="275"/>
      <c r="AG42" s="275"/>
      <c r="AH42" s="275"/>
      <c r="AI42" s="275"/>
      <c r="AJ42" s="631"/>
      <c r="AK42" s="275"/>
      <c r="AL42" s="275"/>
      <c r="AM42" s="275"/>
      <c r="AN42" s="275"/>
      <c r="AO42" s="631"/>
      <c r="AP42" s="275"/>
      <c r="AQ42" s="275"/>
      <c r="AR42" s="275"/>
      <c r="AS42" s="275"/>
      <c r="AT42" s="631"/>
      <c r="AU42" s="275"/>
      <c r="AV42" s="275"/>
      <c r="AW42" s="275"/>
      <c r="AX42" s="275"/>
      <c r="AY42" s="631"/>
      <c r="AZ42" s="275"/>
      <c r="BA42" s="275"/>
      <c r="BB42" s="275"/>
      <c r="BC42" s="275"/>
      <c r="BD42" s="631"/>
      <c r="BE42" s="275"/>
      <c r="BF42" s="275"/>
      <c r="BG42" s="275"/>
      <c r="BH42" s="275"/>
      <c r="BI42" s="631"/>
      <c r="BJ42" s="275"/>
      <c r="BK42" s="275"/>
      <c r="BL42" s="275"/>
      <c r="BM42" s="275"/>
      <c r="BN42" s="631"/>
      <c r="BO42" s="275"/>
      <c r="BP42" s="275"/>
      <c r="BQ42" s="275"/>
      <c r="BR42" s="275"/>
      <c r="BS42" s="631"/>
      <c r="BT42" s="275"/>
      <c r="BU42" s="275"/>
      <c r="BV42" s="275"/>
      <c r="BW42" s="275"/>
      <c r="BX42" s="631"/>
      <c r="BY42" s="275"/>
      <c r="BZ42" s="275"/>
      <c r="CA42" s="275"/>
      <c r="CB42" s="275"/>
      <c r="CC42" s="631"/>
      <c r="CD42" s="275"/>
      <c r="CE42" s="884"/>
      <c r="CF42" s="884"/>
      <c r="CG42" s="275"/>
      <c r="CH42" s="631"/>
      <c r="CI42" s="275"/>
      <c r="CJ42" s="275"/>
      <c r="CK42" s="275"/>
      <c r="CL42" s="275"/>
      <c r="CM42" s="631"/>
      <c r="CN42" s="275"/>
      <c r="CO42" s="275"/>
      <c r="CP42" s="275"/>
      <c r="CQ42" s="275"/>
      <c r="CR42" s="631"/>
      <c r="CS42" s="236"/>
      <c r="CT42" s="236"/>
      <c r="DB42" s="1226"/>
    </row>
    <row r="43" spans="1:106" s="212" customFormat="1" ht="12.75" customHeight="1" x14ac:dyDescent="0.2">
      <c r="A43" s="1630" t="s">
        <v>2418</v>
      </c>
      <c r="B43" s="777"/>
      <c r="C43" s="777"/>
      <c r="D43" s="777"/>
      <c r="E43" s="777"/>
      <c r="F43" s="235"/>
      <c r="G43" s="777"/>
      <c r="H43" s="777"/>
      <c r="I43" s="777"/>
      <c r="J43" s="777"/>
      <c r="K43" s="235"/>
      <c r="L43" s="777"/>
      <c r="M43" s="777"/>
      <c r="N43" s="777"/>
      <c r="O43" s="777"/>
      <c r="P43" s="631"/>
      <c r="Q43" s="777"/>
      <c r="R43" s="777"/>
      <c r="S43" s="777"/>
      <c r="T43" s="777"/>
      <c r="U43" s="631"/>
      <c r="V43" s="777"/>
      <c r="W43" s="777"/>
      <c r="X43" s="777"/>
      <c r="Y43" s="777"/>
      <c r="Z43" s="631"/>
      <c r="AA43" s="275"/>
      <c r="AB43" s="275"/>
      <c r="AC43" s="275"/>
      <c r="AD43" s="275"/>
      <c r="AE43" s="631"/>
      <c r="AF43" s="275"/>
      <c r="AG43" s="275"/>
      <c r="AH43" s="275"/>
      <c r="AI43" s="275"/>
      <c r="AJ43" s="631"/>
      <c r="AK43" s="275"/>
      <c r="AL43" s="275"/>
      <c r="AM43" s="275"/>
      <c r="AN43" s="275"/>
      <c r="AO43" s="631"/>
      <c r="AP43" s="275"/>
      <c r="AQ43" s="275"/>
      <c r="AR43" s="275"/>
      <c r="AS43" s="275"/>
      <c r="AT43" s="631"/>
      <c r="AU43" s="275"/>
      <c r="AV43" s="275"/>
      <c r="AW43" s="275"/>
      <c r="AX43" s="275"/>
      <c r="AY43" s="631"/>
      <c r="AZ43" s="275"/>
      <c r="BA43" s="275"/>
      <c r="BB43" s="275"/>
      <c r="BC43" s="275"/>
      <c r="BD43" s="631"/>
      <c r="BE43" s="275"/>
      <c r="BF43" s="275"/>
      <c r="BG43" s="275"/>
      <c r="BH43" s="275"/>
      <c r="BI43" s="631"/>
      <c r="BJ43" s="275"/>
      <c r="BK43" s="275"/>
      <c r="BL43" s="275"/>
      <c r="BM43" s="275"/>
      <c r="BN43" s="631"/>
      <c r="BO43" s="275"/>
      <c r="BP43" s="275"/>
      <c r="BQ43" s="275"/>
      <c r="BR43" s="275"/>
      <c r="BS43" s="631"/>
      <c r="BT43" s="275"/>
      <c r="BU43" s="275"/>
      <c r="BV43" s="275"/>
      <c r="BW43" s="275"/>
      <c r="BX43" s="631"/>
      <c r="BY43" s="275"/>
      <c r="BZ43" s="275"/>
      <c r="CA43" s="275"/>
      <c r="CB43" s="275"/>
      <c r="CC43" s="631"/>
      <c r="CD43" s="275"/>
      <c r="CE43" s="275"/>
      <c r="CF43" s="275"/>
      <c r="CG43" s="275"/>
      <c r="CH43" s="631"/>
      <c r="CI43" s="275"/>
      <c r="CJ43" s="275"/>
      <c r="CK43" s="275"/>
      <c r="CL43" s="275"/>
      <c r="CM43" s="631"/>
      <c r="CN43" s="275"/>
      <c r="CO43" s="275"/>
      <c r="CP43" s="275"/>
      <c r="CQ43" s="275"/>
      <c r="CR43" s="631"/>
      <c r="CS43" s="236"/>
      <c r="CT43" s="236"/>
      <c r="DB43" s="1226"/>
    </row>
    <row r="44" spans="1:106" s="212" customFormat="1" ht="12.75" customHeight="1" x14ac:dyDescent="0.2">
      <c r="A44" s="1436" t="s">
        <v>1716</v>
      </c>
      <c r="B44" s="777"/>
      <c r="C44" s="777"/>
      <c r="D44" s="777"/>
      <c r="E44" s="777"/>
      <c r="F44" s="235"/>
      <c r="G44" s="777"/>
      <c r="H44" s="777"/>
      <c r="I44" s="777"/>
      <c r="J44" s="777"/>
      <c r="K44" s="235"/>
      <c r="L44" s="777"/>
      <c r="M44" s="777"/>
      <c r="N44" s="777"/>
      <c r="O44" s="777"/>
      <c r="P44" s="631"/>
      <c r="Q44" s="777"/>
      <c r="R44" s="777"/>
      <c r="S44" s="777"/>
      <c r="T44" s="777"/>
      <c r="U44" s="631"/>
      <c r="V44" s="777"/>
      <c r="W44" s="777"/>
      <c r="X44" s="777"/>
      <c r="Y44" s="777"/>
      <c r="Z44" s="631"/>
      <c r="AA44" s="275"/>
      <c r="AB44" s="275"/>
      <c r="AC44" s="275"/>
      <c r="AD44" s="275"/>
      <c r="AE44" s="631"/>
      <c r="AF44" s="275"/>
      <c r="AG44" s="275"/>
      <c r="AH44" s="275"/>
      <c r="AI44" s="275"/>
      <c r="AJ44" s="631"/>
      <c r="AK44" s="275"/>
      <c r="AL44" s="275"/>
      <c r="AM44" s="275"/>
      <c r="AN44" s="275"/>
      <c r="AO44" s="631"/>
      <c r="AP44" s="275"/>
      <c r="AQ44" s="275"/>
      <c r="AR44" s="275"/>
      <c r="AS44" s="275"/>
      <c r="AT44" s="631"/>
      <c r="AU44" s="275"/>
      <c r="AV44" s="275"/>
      <c r="AW44" s="275"/>
      <c r="AX44" s="275"/>
      <c r="AY44" s="631"/>
      <c r="AZ44" s="275"/>
      <c r="BA44" s="275"/>
      <c r="BB44" s="275"/>
      <c r="BC44" s="275"/>
      <c r="BD44" s="1481">
        <f t="shared" ref="BD44:BT44" si="76">+BD36/BD$41</f>
        <v>0.85192997548778138</v>
      </c>
      <c r="BE44" s="884">
        <f t="shared" si="76"/>
        <v>0.78127808574677116</v>
      </c>
      <c r="BF44" s="884">
        <f t="shared" si="76"/>
        <v>0.77386827586276774</v>
      </c>
      <c r="BG44" s="884">
        <f t="shared" si="76"/>
        <v>0.77021750312864279</v>
      </c>
      <c r="BH44" s="884">
        <f t="shared" si="76"/>
        <v>0.74932449239898102</v>
      </c>
      <c r="BI44" s="1481">
        <f t="shared" si="76"/>
        <v>0.76456760269687407</v>
      </c>
      <c r="BJ44" s="884">
        <f t="shared" si="76"/>
        <v>0.7875624959800277</v>
      </c>
      <c r="BK44" s="884">
        <f t="shared" si="76"/>
        <v>0.7822517106667719</v>
      </c>
      <c r="BL44" s="884">
        <f t="shared" si="76"/>
        <v>0.78595050999879035</v>
      </c>
      <c r="BM44" s="884">
        <f t="shared" si="76"/>
        <v>0.7629751469496181</v>
      </c>
      <c r="BN44" s="1481">
        <f t="shared" si="76"/>
        <v>0.77565550757065649</v>
      </c>
      <c r="BO44" s="884">
        <f t="shared" si="76"/>
        <v>0.77435584765633925</v>
      </c>
      <c r="BP44" s="884">
        <f t="shared" si="76"/>
        <v>0.78005675291158083</v>
      </c>
      <c r="BQ44" s="884">
        <f t="shared" si="76"/>
        <v>0.77729789443378994</v>
      </c>
      <c r="BR44" s="884">
        <f t="shared" si="76"/>
        <v>0.74925508983458988</v>
      </c>
      <c r="BS44" s="1481">
        <f t="shared" si="76"/>
        <v>0.76567291088469558</v>
      </c>
      <c r="BT44" s="884">
        <f t="shared" si="76"/>
        <v>0.7439846599949923</v>
      </c>
      <c r="BU44" s="884">
        <f t="shared" ref="BU44:CT44" si="77">+BU36/BU$41</f>
        <v>0.74248184714968268</v>
      </c>
      <c r="BV44" s="884">
        <f t="shared" si="77"/>
        <v>0.74549679347342501</v>
      </c>
      <c r="BW44" s="884">
        <f t="shared" si="77"/>
        <v>0.71191816800668972</v>
      </c>
      <c r="BX44" s="1481">
        <f t="shared" si="77"/>
        <v>0.72398659917725683</v>
      </c>
      <c r="BY44" s="884">
        <f t="shared" si="77"/>
        <v>0.76089649571667362</v>
      </c>
      <c r="BZ44" s="884">
        <f t="shared" si="77"/>
        <v>0.77960376193995973</v>
      </c>
      <c r="CA44" s="884">
        <f t="shared" si="77"/>
        <v>0.78191323300270343</v>
      </c>
      <c r="CB44" s="884">
        <f t="shared" si="77"/>
        <v>0.7527503948941523</v>
      </c>
      <c r="CC44" s="1481">
        <f t="shared" si="77"/>
        <v>0.76934739787096662</v>
      </c>
      <c r="CD44" s="884">
        <f t="shared" si="77"/>
        <v>0.78082828093076384</v>
      </c>
      <c r="CE44" s="884">
        <f t="shared" si="77"/>
        <v>0.79216637513307153</v>
      </c>
      <c r="CF44" s="884">
        <f t="shared" si="77"/>
        <v>0.79028439793901961</v>
      </c>
      <c r="CG44" s="884">
        <f t="shared" si="77"/>
        <v>0.69021240853191179</v>
      </c>
      <c r="CH44" s="1481">
        <f t="shared" si="77"/>
        <v>0.70687583700011869</v>
      </c>
      <c r="CI44" s="884">
        <f t="shared" ref="CI44:CQ49" ca="1" si="78">+CI36/CI$41</f>
        <v>0.70932034575849534</v>
      </c>
      <c r="CJ44" s="884">
        <f t="shared" ca="1" si="78"/>
        <v>0.71857102775075188</v>
      </c>
      <c r="CK44" s="884">
        <f t="shared" ca="1" si="78"/>
        <v>0.67500220958480328</v>
      </c>
      <c r="CL44" s="884">
        <f t="shared" ca="1" si="78"/>
        <v>0.68152402743900486</v>
      </c>
      <c r="CM44" s="1481">
        <f t="shared" ca="1" si="78"/>
        <v>0.69544297058120863</v>
      </c>
      <c r="CN44" s="884">
        <f t="shared" ca="1" si="78"/>
        <v>0.70379355756486206</v>
      </c>
      <c r="CO44" s="884">
        <f t="shared" ca="1" si="78"/>
        <v>0.71228345330760978</v>
      </c>
      <c r="CP44" s="884">
        <f t="shared" ca="1" si="78"/>
        <v>0.66893111962657847</v>
      </c>
      <c r="CQ44" s="884">
        <f t="shared" ca="1" si="78"/>
        <v>0.67410281330653721</v>
      </c>
      <c r="CR44" s="1481">
        <f t="shared" ref="CR44:CR49" ca="1" si="79">+CR36/CR$41</f>
        <v>0.68912671457705976</v>
      </c>
      <c r="CS44" s="1512">
        <f t="shared" ca="1" si="77"/>
        <v>0.68124294876834135</v>
      </c>
      <c r="CT44" s="1512">
        <f t="shared" ca="1" si="77"/>
        <v>0.68038908757473737</v>
      </c>
      <c r="DB44" s="1226"/>
    </row>
    <row r="45" spans="1:106" s="212" customFormat="1" ht="12.75" customHeight="1" x14ac:dyDescent="0.2">
      <c r="A45" s="1434" t="s">
        <v>1644</v>
      </c>
      <c r="B45" s="777"/>
      <c r="C45" s="777"/>
      <c r="D45" s="777"/>
      <c r="E45" s="777"/>
      <c r="F45" s="235"/>
      <c r="G45" s="777"/>
      <c r="H45" s="777"/>
      <c r="I45" s="777"/>
      <c r="J45" s="777"/>
      <c r="K45" s="235"/>
      <c r="L45" s="777"/>
      <c r="M45" s="777"/>
      <c r="N45" s="777"/>
      <c r="O45" s="777"/>
      <c r="P45" s="631"/>
      <c r="Q45" s="777"/>
      <c r="R45" s="777"/>
      <c r="S45" s="777"/>
      <c r="T45" s="777"/>
      <c r="U45" s="631"/>
      <c r="V45" s="777"/>
      <c r="W45" s="777"/>
      <c r="X45" s="777"/>
      <c r="Y45" s="777"/>
      <c r="Z45" s="631"/>
      <c r="AA45" s="275"/>
      <c r="AB45" s="275"/>
      <c r="AC45" s="275"/>
      <c r="AD45" s="275"/>
      <c r="AE45" s="631"/>
      <c r="AF45" s="275"/>
      <c r="AG45" s="275"/>
      <c r="AH45" s="275"/>
      <c r="AI45" s="275"/>
      <c r="AJ45" s="631"/>
      <c r="AK45" s="275"/>
      <c r="AL45" s="275"/>
      <c r="AM45" s="275"/>
      <c r="AN45" s="275"/>
      <c r="AO45" s="631"/>
      <c r="AP45" s="275"/>
      <c r="AQ45" s="275"/>
      <c r="AR45" s="275"/>
      <c r="AS45" s="275"/>
      <c r="AT45" s="631"/>
      <c r="AU45" s="275"/>
      <c r="AV45" s="275"/>
      <c r="AW45" s="275"/>
      <c r="AX45" s="275"/>
      <c r="AY45" s="631"/>
      <c r="AZ45" s="275"/>
      <c r="BA45" s="275"/>
      <c r="BB45" s="275"/>
      <c r="BC45" s="275"/>
      <c r="BD45" s="1481">
        <f t="shared" ref="BD45:BT45" si="80">+BD37/BD$41</f>
        <v>4.3893291214244227E-2</v>
      </c>
      <c r="BE45" s="884">
        <f t="shared" si="80"/>
        <v>4.510290443813611E-2</v>
      </c>
      <c r="BF45" s="884">
        <f t="shared" si="80"/>
        <v>3.99570288125915E-2</v>
      </c>
      <c r="BG45" s="884">
        <f t="shared" si="80"/>
        <v>3.3887027425279735E-2</v>
      </c>
      <c r="BH45" s="884">
        <f t="shared" si="80"/>
        <v>3.5789228371136912E-2</v>
      </c>
      <c r="BI45" s="1481">
        <f t="shared" si="80"/>
        <v>3.8918951133866661E-2</v>
      </c>
      <c r="BJ45" s="884">
        <f t="shared" si="80"/>
        <v>4.3758712621267272E-2</v>
      </c>
      <c r="BK45" s="884">
        <f t="shared" si="80"/>
        <v>3.9192733393418007E-2</v>
      </c>
      <c r="BL45" s="884">
        <f t="shared" si="80"/>
        <v>3.4487486481327295E-2</v>
      </c>
      <c r="BM45" s="884">
        <f t="shared" si="80"/>
        <v>3.6373267335930867E-2</v>
      </c>
      <c r="BN45" s="1481">
        <f t="shared" si="80"/>
        <v>3.9085537919012328E-2</v>
      </c>
      <c r="BO45" s="884">
        <f t="shared" si="80"/>
        <v>4.8403720696468949E-2</v>
      </c>
      <c r="BP45" s="884">
        <f t="shared" si="80"/>
        <v>3.8142858408635495E-2</v>
      </c>
      <c r="BQ45" s="884">
        <f t="shared" si="80"/>
        <v>3.6626963172908214E-2</v>
      </c>
      <c r="BR45" s="884">
        <f t="shared" si="80"/>
        <v>4.1952354926052454E-2</v>
      </c>
      <c r="BS45" s="1481">
        <f t="shared" si="80"/>
        <v>4.2016516525414854E-2</v>
      </c>
      <c r="BT45" s="884">
        <f t="shared" si="80"/>
        <v>5.6539833200485723E-2</v>
      </c>
      <c r="BU45" s="884">
        <f t="shared" ref="BU45:CT45" si="81">+BU37/BU$41</f>
        <v>4.2638549788982495E-2</v>
      </c>
      <c r="BV45" s="884">
        <f t="shared" si="81"/>
        <v>3.7510853716469464E-2</v>
      </c>
      <c r="BW45" s="884">
        <f t="shared" si="81"/>
        <v>4.6587516627509859E-2</v>
      </c>
      <c r="BX45" s="1481">
        <f t="shared" si="81"/>
        <v>4.786252321563178E-2</v>
      </c>
      <c r="BY45" s="884">
        <f t="shared" si="81"/>
        <v>5.5761995948142337E-2</v>
      </c>
      <c r="BZ45" s="884">
        <f t="shared" si="81"/>
        <v>4.0418418040028319E-2</v>
      </c>
      <c r="CA45" s="884">
        <f t="shared" si="81"/>
        <v>3.4029498832982411E-2</v>
      </c>
      <c r="CB45" s="884">
        <f t="shared" si="81"/>
        <v>4.3653437162331464E-2</v>
      </c>
      <c r="CC45" s="1481">
        <f t="shared" si="81"/>
        <v>4.3050222482004609E-2</v>
      </c>
      <c r="CD45" s="884">
        <f t="shared" si="81"/>
        <v>5.2958728955006917E-2</v>
      </c>
      <c r="CE45" s="884">
        <f t="shared" si="81"/>
        <v>4.0582558165227975E-2</v>
      </c>
      <c r="CF45" s="884">
        <f t="shared" si="81"/>
        <v>3.7728607222449063E-2</v>
      </c>
      <c r="CG45" s="884">
        <f t="shared" si="81"/>
        <v>4.052415801694078E-2</v>
      </c>
      <c r="CH45" s="1481">
        <f t="shared" si="81"/>
        <v>4.25616987063418E-2</v>
      </c>
      <c r="CI45" s="884">
        <f t="shared" ca="1" si="78"/>
        <v>4.9350239543039867E-2</v>
      </c>
      <c r="CJ45" s="884">
        <f t="shared" ca="1" si="78"/>
        <v>3.9846440524140714E-2</v>
      </c>
      <c r="CK45" s="884">
        <f t="shared" ca="1" si="78"/>
        <v>3.6378239873584593E-2</v>
      </c>
      <c r="CL45" s="884">
        <f t="shared" ca="1" si="78"/>
        <v>3.9739007988082227E-2</v>
      </c>
      <c r="CM45" s="1481">
        <f t="shared" ca="1" si="78"/>
        <v>4.1010066672412263E-2</v>
      </c>
      <c r="CN45" s="884">
        <f t="shared" ca="1" si="78"/>
        <v>4.9698845770141019E-2</v>
      </c>
      <c r="CO45" s="884">
        <f t="shared" ca="1" si="78"/>
        <v>4.0079620896125379E-2</v>
      </c>
      <c r="CP45" s="884">
        <f t="shared" ca="1" si="78"/>
        <v>3.650085397570401E-2</v>
      </c>
      <c r="CQ45" s="884">
        <f t="shared" ca="1" si="78"/>
        <v>3.9937634585431203E-2</v>
      </c>
      <c r="CR45" s="1481">
        <f t="shared" ca="1" si="79"/>
        <v>4.1222978250422634E-2</v>
      </c>
      <c r="CS45" s="1512">
        <f t="shared" ca="1" si="81"/>
        <v>4.1929470736627165E-2</v>
      </c>
      <c r="CT45" s="1512">
        <f t="shared" ca="1" si="81"/>
        <v>4.1847759985212729E-2</v>
      </c>
      <c r="DB45" s="1226"/>
    </row>
    <row r="46" spans="1:106" s="212" customFormat="1" ht="12.75" customHeight="1" x14ac:dyDescent="0.2">
      <c r="A46" s="1434" t="s">
        <v>1930</v>
      </c>
      <c r="B46" s="777"/>
      <c r="C46" s="777"/>
      <c r="D46" s="777"/>
      <c r="E46" s="777"/>
      <c r="F46" s="235"/>
      <c r="G46" s="777"/>
      <c r="H46" s="777"/>
      <c r="I46" s="777"/>
      <c r="J46" s="777"/>
      <c r="K46" s="235"/>
      <c r="L46" s="777"/>
      <c r="M46" s="777"/>
      <c r="N46" s="777"/>
      <c r="O46" s="777"/>
      <c r="P46" s="631"/>
      <c r="Q46" s="777"/>
      <c r="R46" s="777"/>
      <c r="S46" s="777"/>
      <c r="T46" s="777"/>
      <c r="U46" s="631"/>
      <c r="V46" s="777"/>
      <c r="W46" s="777"/>
      <c r="X46" s="777"/>
      <c r="Y46" s="777"/>
      <c r="Z46" s="631"/>
      <c r="AA46" s="275"/>
      <c r="AB46" s="275"/>
      <c r="AC46" s="275"/>
      <c r="AD46" s="275"/>
      <c r="AE46" s="631"/>
      <c r="AF46" s="275"/>
      <c r="AG46" s="275"/>
      <c r="AH46" s="275"/>
      <c r="AI46" s="275"/>
      <c r="AJ46" s="631"/>
      <c r="AK46" s="275"/>
      <c r="AL46" s="275"/>
      <c r="AM46" s="275"/>
      <c r="AN46" s="275"/>
      <c r="AO46" s="631"/>
      <c r="AP46" s="275"/>
      <c r="AQ46" s="275"/>
      <c r="AR46" s="275"/>
      <c r="AS46" s="275"/>
      <c r="AT46" s="631"/>
      <c r="AU46" s="275"/>
      <c r="AV46" s="275"/>
      <c r="AW46" s="275"/>
      <c r="AX46" s="275"/>
      <c r="AY46" s="631"/>
      <c r="AZ46" s="275"/>
      <c r="BA46" s="275"/>
      <c r="BB46" s="275"/>
      <c r="BC46" s="275"/>
      <c r="BD46" s="1481">
        <f t="shared" ref="BD46:BT46" si="82">+BD38/BD$41</f>
        <v>0</v>
      </c>
      <c r="BE46" s="884">
        <f t="shared" si="82"/>
        <v>7.8207227718689251E-2</v>
      </c>
      <c r="BF46" s="884">
        <f t="shared" si="82"/>
        <v>9.3229735748254716E-2</v>
      </c>
      <c r="BG46" s="884">
        <f t="shared" si="82"/>
        <v>0.10245692875012442</v>
      </c>
      <c r="BH46" s="884">
        <f t="shared" si="82"/>
        <v>0.10149715339860503</v>
      </c>
      <c r="BI46" s="1481">
        <f t="shared" si="82"/>
        <v>9.6120680722950075E-2</v>
      </c>
      <c r="BJ46" s="884">
        <f t="shared" si="82"/>
        <v>7.4605005670738064E-2</v>
      </c>
      <c r="BK46" s="884">
        <f t="shared" si="82"/>
        <v>8.7231573144817748E-2</v>
      </c>
      <c r="BL46" s="884">
        <f t="shared" si="82"/>
        <v>9.243488222275191E-2</v>
      </c>
      <c r="BM46" s="884">
        <f t="shared" si="82"/>
        <v>9.615639355136385E-2</v>
      </c>
      <c r="BN46" s="1481">
        <f t="shared" si="82"/>
        <v>8.9416107272698553E-2</v>
      </c>
      <c r="BO46" s="884">
        <f t="shared" si="82"/>
        <v>7.5530952510939817E-2</v>
      </c>
      <c r="BP46" s="884">
        <f t="shared" si="82"/>
        <v>9.1501668345362358E-2</v>
      </c>
      <c r="BQ46" s="884">
        <f t="shared" si="82"/>
        <v>9.4602683170895083E-2</v>
      </c>
      <c r="BR46" s="884">
        <f t="shared" si="82"/>
        <v>0.10007499811891095</v>
      </c>
      <c r="BS46" s="1481">
        <f t="shared" si="82"/>
        <v>9.248079158804752E-2</v>
      </c>
      <c r="BT46" s="884">
        <f t="shared" si="82"/>
        <v>7.9986166628028724E-2</v>
      </c>
      <c r="BU46" s="884">
        <f t="shared" ref="BU46:CT46" si="83">+BU38/BU$41</f>
        <v>0.10386050584030297</v>
      </c>
      <c r="BV46" s="884">
        <f t="shared" si="83"/>
        <v>0.10576275793538667</v>
      </c>
      <c r="BW46" s="884">
        <f t="shared" si="83"/>
        <v>0.1048419963268709</v>
      </c>
      <c r="BX46" s="1481">
        <f t="shared" si="83"/>
        <v>0.10336325015145367</v>
      </c>
      <c r="BY46" s="884">
        <f t="shared" si="83"/>
        <v>7.3832605601766035E-2</v>
      </c>
      <c r="BZ46" s="884">
        <f t="shared" si="83"/>
        <v>8.5634268858040458E-2</v>
      </c>
      <c r="CA46" s="884">
        <f t="shared" si="83"/>
        <v>9.23862762772064E-2</v>
      </c>
      <c r="CB46" s="884">
        <f t="shared" si="83"/>
        <v>9.1405209176306304E-2</v>
      </c>
      <c r="CC46" s="1481">
        <f t="shared" si="83"/>
        <v>8.6114413847635865E-2</v>
      </c>
      <c r="CD46" s="884">
        <f t="shared" si="83"/>
        <v>6.1826946689689494E-2</v>
      </c>
      <c r="CE46" s="884">
        <f t="shared" si="83"/>
        <v>7.609524840143897E-2</v>
      </c>
      <c r="CF46" s="884">
        <f t="shared" si="83"/>
        <v>7.7292508565716012E-2</v>
      </c>
      <c r="CG46" s="884">
        <f t="shared" si="83"/>
        <v>9.1775709669809871E-2</v>
      </c>
      <c r="CH46" s="1481">
        <f t="shared" si="83"/>
        <v>9.0774744406673366E-2</v>
      </c>
      <c r="CI46" s="884">
        <f t="shared" ca="1" si="78"/>
        <v>7.3573083179825124E-2</v>
      </c>
      <c r="CJ46" s="884">
        <f t="shared" ca="1" si="78"/>
        <v>9.5556064595416976E-2</v>
      </c>
      <c r="CK46" s="884">
        <f t="shared" ca="1" si="78"/>
        <v>0.12456900967853939</v>
      </c>
      <c r="CL46" s="884">
        <f t="shared" ca="1" si="78"/>
        <v>9.7838528120195278E-2</v>
      </c>
      <c r="CM46" s="1481">
        <f t="shared" ca="1" si="78"/>
        <v>9.9084136029343114E-2</v>
      </c>
      <c r="CN46" s="884">
        <f t="shared" ca="1" si="78"/>
        <v>7.4812145227547477E-2</v>
      </c>
      <c r="CO46" s="884">
        <f t="shared" ca="1" si="78"/>
        <v>9.7048414120287016E-2</v>
      </c>
      <c r="CP46" s="884">
        <f t="shared" ca="1" si="78"/>
        <v>0.12743963601872729</v>
      </c>
      <c r="CQ46" s="884">
        <f t="shared" ca="1" si="78"/>
        <v>0.10025554347391019</v>
      </c>
      <c r="CR46" s="1481">
        <f t="shared" ca="1" si="79"/>
        <v>0.10114036012762787</v>
      </c>
      <c r="CS46" s="1512">
        <f t="shared" ca="1" si="83"/>
        <v>0.10266670554785368</v>
      </c>
      <c r="CT46" s="1512">
        <f t="shared" ca="1" si="83"/>
        <v>0.10246663210289528</v>
      </c>
      <c r="DB46" s="1226"/>
    </row>
    <row r="47" spans="1:106" s="212" customFormat="1" ht="12.75" customHeight="1" x14ac:dyDescent="0.2">
      <c r="A47" s="1434" t="s">
        <v>1645</v>
      </c>
      <c r="B47" s="777"/>
      <c r="C47" s="777"/>
      <c r="D47" s="777"/>
      <c r="E47" s="777"/>
      <c r="F47" s="235"/>
      <c r="G47" s="777"/>
      <c r="H47" s="777"/>
      <c r="I47" s="777"/>
      <c r="J47" s="777"/>
      <c r="K47" s="235"/>
      <c r="L47" s="777"/>
      <c r="M47" s="777"/>
      <c r="N47" s="777"/>
      <c r="O47" s="777"/>
      <c r="P47" s="631"/>
      <c r="Q47" s="777"/>
      <c r="R47" s="777"/>
      <c r="S47" s="777"/>
      <c r="T47" s="777"/>
      <c r="U47" s="631"/>
      <c r="V47" s="777"/>
      <c r="W47" s="777"/>
      <c r="X47" s="777"/>
      <c r="Y47" s="777"/>
      <c r="Z47" s="631"/>
      <c r="AA47" s="275"/>
      <c r="AB47" s="275"/>
      <c r="AC47" s="275"/>
      <c r="AD47" s="275"/>
      <c r="AE47" s="631"/>
      <c r="AF47" s="275"/>
      <c r="AG47" s="275"/>
      <c r="AH47" s="275"/>
      <c r="AI47" s="275"/>
      <c r="AJ47" s="631"/>
      <c r="AK47" s="275"/>
      <c r="AL47" s="275"/>
      <c r="AM47" s="275"/>
      <c r="AN47" s="275"/>
      <c r="AO47" s="631"/>
      <c r="AP47" s="275"/>
      <c r="AQ47" s="275"/>
      <c r="AR47" s="275"/>
      <c r="AS47" s="275"/>
      <c r="AT47" s="631"/>
      <c r="AU47" s="275"/>
      <c r="AV47" s="275"/>
      <c r="AW47" s="275"/>
      <c r="AX47" s="275"/>
      <c r="AY47" s="631"/>
      <c r="AZ47" s="275"/>
      <c r="BA47" s="275"/>
      <c r="BB47" s="275"/>
      <c r="BC47" s="275"/>
      <c r="BD47" s="1481">
        <f t="shared" ref="BD47:BT47" si="84">+BD39/BD$41</f>
        <v>1.8188877185497707E-2</v>
      </c>
      <c r="BE47" s="884">
        <f t="shared" si="84"/>
        <v>1.6645524234466393E-2</v>
      </c>
      <c r="BF47" s="884">
        <f t="shared" si="84"/>
        <v>1.3807152623568747E-2</v>
      </c>
      <c r="BG47" s="884">
        <f t="shared" si="84"/>
        <v>1.1801447347040674E-2</v>
      </c>
      <c r="BH47" s="884">
        <f t="shared" si="84"/>
        <v>1.6548565454691407E-2</v>
      </c>
      <c r="BI47" s="1481">
        <f t="shared" si="84"/>
        <v>1.5545609865126681E-2</v>
      </c>
      <c r="BJ47" s="884">
        <f t="shared" si="84"/>
        <v>1.5885781528503E-2</v>
      </c>
      <c r="BK47" s="884">
        <f t="shared" si="84"/>
        <v>1.4947965369220922E-2</v>
      </c>
      <c r="BL47" s="884">
        <f t="shared" si="84"/>
        <v>1.2552991775768607E-2</v>
      </c>
      <c r="BM47" s="884">
        <f t="shared" si="84"/>
        <v>1.638966247276152E-2</v>
      </c>
      <c r="BN47" s="1481">
        <f t="shared" si="84"/>
        <v>1.5181867110974119E-2</v>
      </c>
      <c r="BO47" s="884">
        <f t="shared" si="84"/>
        <v>1.6874841779206954E-2</v>
      </c>
      <c r="BP47" s="884">
        <f t="shared" si="84"/>
        <v>1.4492697604386167E-2</v>
      </c>
      <c r="BQ47" s="884">
        <f t="shared" si="84"/>
        <v>1.1592115034610138E-2</v>
      </c>
      <c r="BR47" s="884">
        <f t="shared" si="84"/>
        <v>1.5973097719050953E-2</v>
      </c>
      <c r="BS47" s="1481">
        <f t="shared" si="84"/>
        <v>1.4993163336466223E-2</v>
      </c>
      <c r="BT47" s="884">
        <f t="shared" si="84"/>
        <v>2.1275344784479632E-2</v>
      </c>
      <c r="BU47" s="884">
        <f t="shared" ref="BU47:CT47" si="85">+BU39/BU$41</f>
        <v>1.9620073538467935E-2</v>
      </c>
      <c r="BV47" s="884">
        <f t="shared" si="85"/>
        <v>1.5323116527673764E-2</v>
      </c>
      <c r="BW47" s="884">
        <f t="shared" si="85"/>
        <v>2.4235476596100487E-2</v>
      </c>
      <c r="BX47" s="1481">
        <f t="shared" si="85"/>
        <v>2.0946317703467155E-2</v>
      </c>
      <c r="BY47" s="884">
        <f t="shared" si="85"/>
        <v>2.1928539862682197E-2</v>
      </c>
      <c r="BZ47" s="884">
        <f t="shared" si="85"/>
        <v>1.7322328085738439E-2</v>
      </c>
      <c r="CA47" s="884">
        <f t="shared" si="85"/>
        <v>1.4286666598244799E-2</v>
      </c>
      <c r="CB47" s="884">
        <f t="shared" si="85"/>
        <v>2.0356550565075363E-2</v>
      </c>
      <c r="CC47" s="1481">
        <f t="shared" si="85"/>
        <v>1.8321665442415265E-2</v>
      </c>
      <c r="CD47" s="884">
        <f t="shared" si="85"/>
        <v>1.8013995362901776E-2</v>
      </c>
      <c r="CE47" s="884">
        <f t="shared" si="85"/>
        <v>1.3165147974718872E-2</v>
      </c>
      <c r="CF47" s="884">
        <f t="shared" si="85"/>
        <v>1.275275507102978E-2</v>
      </c>
      <c r="CG47" s="884">
        <f t="shared" si="85"/>
        <v>3.6842884394262511E-2</v>
      </c>
      <c r="CH47" s="1481">
        <f t="shared" si="85"/>
        <v>3.1399877351207306E-2</v>
      </c>
      <c r="CI47" s="884">
        <f t="shared" ca="1" si="78"/>
        <v>3.6931039891171219E-2</v>
      </c>
      <c r="CJ47" s="884">
        <f t="shared" ca="1" si="78"/>
        <v>2.7260658732872565E-2</v>
      </c>
      <c r="CK47" s="884">
        <f t="shared" ca="1" si="78"/>
        <v>2.380841260308645E-2</v>
      </c>
      <c r="CL47" s="884">
        <f t="shared" ca="1" si="78"/>
        <v>3.6683125551981138E-2</v>
      </c>
      <c r="CM47" s="1481">
        <f t="shared" ca="1" si="78"/>
        <v>3.0829487383639359E-2</v>
      </c>
      <c r="CN47" s="884">
        <f t="shared" ca="1" si="78"/>
        <v>3.6108658120954533E-2</v>
      </c>
      <c r="CO47" s="884">
        <f t="shared" ca="1" si="78"/>
        <v>2.6488433483401137E-2</v>
      </c>
      <c r="CP47" s="884">
        <f t="shared" ca="1" si="78"/>
        <v>2.3654457126526168E-2</v>
      </c>
      <c r="CQ47" s="884">
        <f t="shared" ca="1" si="78"/>
        <v>3.6505041941476954E-2</v>
      </c>
      <c r="CR47" s="1481">
        <f t="shared" ca="1" si="79"/>
        <v>3.0349918654653169E-2</v>
      </c>
      <c r="CS47" s="1512">
        <f t="shared" ca="1" si="85"/>
        <v>3.0802206900911972E-2</v>
      </c>
      <c r="CT47" s="1512">
        <f t="shared" ca="1" si="85"/>
        <v>3.0742180589420805E-2</v>
      </c>
      <c r="DB47" s="1226"/>
    </row>
    <row r="48" spans="1:106" s="212" customFormat="1" ht="12.75" customHeight="1" x14ac:dyDescent="0.2">
      <c r="A48" s="1580" t="s">
        <v>808</v>
      </c>
      <c r="B48" s="777"/>
      <c r="C48" s="777"/>
      <c r="D48" s="777"/>
      <c r="E48" s="777"/>
      <c r="F48" s="235"/>
      <c r="G48" s="777"/>
      <c r="H48" s="777"/>
      <c r="I48" s="777"/>
      <c r="J48" s="777"/>
      <c r="K48" s="235"/>
      <c r="L48" s="777"/>
      <c r="M48" s="777"/>
      <c r="N48" s="777"/>
      <c r="O48" s="777"/>
      <c r="P48" s="631"/>
      <c r="Q48" s="777"/>
      <c r="R48" s="777"/>
      <c r="S48" s="777"/>
      <c r="T48" s="777"/>
      <c r="U48" s="631"/>
      <c r="V48" s="777"/>
      <c r="W48" s="777"/>
      <c r="X48" s="777"/>
      <c r="Y48" s="777"/>
      <c r="Z48" s="631"/>
      <c r="AA48" s="275"/>
      <c r="AB48" s="275"/>
      <c r="AC48" s="275"/>
      <c r="AD48" s="275"/>
      <c r="AE48" s="631"/>
      <c r="AF48" s="275"/>
      <c r="AG48" s="275"/>
      <c r="AH48" s="275"/>
      <c r="AI48" s="275"/>
      <c r="AJ48" s="631"/>
      <c r="AK48" s="275"/>
      <c r="AL48" s="275"/>
      <c r="AM48" s="275"/>
      <c r="AN48" s="275"/>
      <c r="AO48" s="631"/>
      <c r="AP48" s="275"/>
      <c r="AQ48" s="275"/>
      <c r="AR48" s="275"/>
      <c r="AS48" s="275"/>
      <c r="AT48" s="631"/>
      <c r="AU48" s="275"/>
      <c r="AV48" s="275"/>
      <c r="AW48" s="275"/>
      <c r="AX48" s="275"/>
      <c r="AY48" s="631"/>
      <c r="AZ48" s="275"/>
      <c r="BA48" s="275"/>
      <c r="BB48" s="275"/>
      <c r="BC48" s="275"/>
      <c r="BD48" s="2912">
        <f t="shared" ref="BD48:BT48" si="86">+BD40/BD$41</f>
        <v>8.5987856112476529E-2</v>
      </c>
      <c r="BE48" s="1518">
        <f t="shared" si="86"/>
        <v>7.8766257861937181E-2</v>
      </c>
      <c r="BF48" s="1518">
        <f t="shared" si="86"/>
        <v>7.9137806952817219E-2</v>
      </c>
      <c r="BG48" s="1518">
        <f t="shared" si="86"/>
        <v>8.1637093348912268E-2</v>
      </c>
      <c r="BH48" s="1518">
        <f t="shared" si="86"/>
        <v>9.6840560376585616E-2</v>
      </c>
      <c r="BI48" s="2912">
        <f t="shared" si="86"/>
        <v>8.4847155581182526E-2</v>
      </c>
      <c r="BJ48" s="1518">
        <f t="shared" si="86"/>
        <v>7.8188004199464006E-2</v>
      </c>
      <c r="BK48" s="1518">
        <f t="shared" si="86"/>
        <v>7.6376017425771353E-2</v>
      </c>
      <c r="BL48" s="1518">
        <f t="shared" si="86"/>
        <v>7.4574129521361832E-2</v>
      </c>
      <c r="BM48" s="1518">
        <f t="shared" si="86"/>
        <v>8.8105529690325646E-2</v>
      </c>
      <c r="BN48" s="2912">
        <f t="shared" si="86"/>
        <v>8.0660980126658746E-2</v>
      </c>
      <c r="BO48" s="1518">
        <f t="shared" si="86"/>
        <v>8.4834637357044843E-2</v>
      </c>
      <c r="BP48" s="1518">
        <f t="shared" si="86"/>
        <v>7.5806022730035075E-2</v>
      </c>
      <c r="BQ48" s="1518">
        <f t="shared" si="86"/>
        <v>7.9880344187796645E-2</v>
      </c>
      <c r="BR48" s="1518">
        <f t="shared" si="86"/>
        <v>9.2744459401395765E-2</v>
      </c>
      <c r="BS48" s="2912">
        <f t="shared" si="86"/>
        <v>8.4836617665376077E-2</v>
      </c>
      <c r="BT48" s="1518">
        <f t="shared" si="86"/>
        <v>9.8213995392013587E-2</v>
      </c>
      <c r="BU48" s="1518">
        <f t="shared" ref="BU48:CT48" si="87">+BU40/BU$41</f>
        <v>9.1399023682563876E-2</v>
      </c>
      <c r="BV48" s="1518">
        <f t="shared" si="87"/>
        <v>9.590647834704516E-2</v>
      </c>
      <c r="BW48" s="1518">
        <f t="shared" si="87"/>
        <v>0.11241684244282898</v>
      </c>
      <c r="BX48" s="2912">
        <f t="shared" si="87"/>
        <v>0.10384130975219059</v>
      </c>
      <c r="BY48" s="1518">
        <f t="shared" si="87"/>
        <v>8.758036287073595E-2</v>
      </c>
      <c r="BZ48" s="1518">
        <f t="shared" si="87"/>
        <v>7.7021223076233117E-2</v>
      </c>
      <c r="CA48" s="1518">
        <f t="shared" si="87"/>
        <v>7.7384325288863104E-2</v>
      </c>
      <c r="CB48" s="1518">
        <f t="shared" si="87"/>
        <v>9.1834408202134565E-2</v>
      </c>
      <c r="CC48" s="2912">
        <f t="shared" si="87"/>
        <v>8.3166300356977516E-2</v>
      </c>
      <c r="CD48" s="1518">
        <f t="shared" si="87"/>
        <v>8.6372048061637965E-2</v>
      </c>
      <c r="CE48" s="1518">
        <f t="shared" si="87"/>
        <v>7.7990670325542633E-2</v>
      </c>
      <c r="CF48" s="1518">
        <f t="shared" si="87"/>
        <v>8.1941731201785425E-2</v>
      </c>
      <c r="CG48" s="1518">
        <f t="shared" si="87"/>
        <v>0.14064483938707523</v>
      </c>
      <c r="CH48" s="2912">
        <f t="shared" si="87"/>
        <v>0.12838784253565874</v>
      </c>
      <c r="CI48" s="1518">
        <f t="shared" ca="1" si="78"/>
        <v>0.13082529162746837</v>
      </c>
      <c r="CJ48" s="1518">
        <f t="shared" ca="1" si="78"/>
        <v>0.11876580839681793</v>
      </c>
      <c r="CK48" s="1518">
        <f t="shared" ca="1" si="78"/>
        <v>0.1402421282599863</v>
      </c>
      <c r="CL48" s="1518">
        <f t="shared" ca="1" si="78"/>
        <v>0.14421531090073658</v>
      </c>
      <c r="CM48" s="2912">
        <f t="shared" ca="1" si="78"/>
        <v>0.13363333933339658</v>
      </c>
      <c r="CN48" s="1518">
        <f t="shared" ca="1" si="78"/>
        <v>0.13558679331649484</v>
      </c>
      <c r="CO48" s="1518">
        <f t="shared" ca="1" si="78"/>
        <v>0.12410007819257667</v>
      </c>
      <c r="CP48" s="1518">
        <f t="shared" ca="1" si="78"/>
        <v>0.14347393325246416</v>
      </c>
      <c r="CQ48" s="1518">
        <f t="shared" ca="1" si="78"/>
        <v>0.1491989666926446</v>
      </c>
      <c r="CR48" s="2912">
        <f t="shared" ca="1" si="79"/>
        <v>0.13816002839023658</v>
      </c>
      <c r="CS48" s="1519">
        <f t="shared" ca="1" si="87"/>
        <v>0.14335866804626576</v>
      </c>
      <c r="CT48" s="1519">
        <f t="shared" ca="1" si="87"/>
        <v>0.14455433974773388</v>
      </c>
      <c r="DB48" s="1226"/>
    </row>
    <row r="49" spans="1:106" s="212" customFormat="1" ht="12.75" customHeight="1" x14ac:dyDescent="0.2">
      <c r="A49" s="1435" t="s">
        <v>1735</v>
      </c>
      <c r="B49" s="777"/>
      <c r="C49" s="777"/>
      <c r="D49" s="777"/>
      <c r="E49" s="777"/>
      <c r="F49" s="235"/>
      <c r="G49" s="777"/>
      <c r="H49" s="777"/>
      <c r="I49" s="777"/>
      <c r="J49" s="777"/>
      <c r="K49" s="235"/>
      <c r="L49" s="777"/>
      <c r="M49" s="777"/>
      <c r="N49" s="777"/>
      <c r="O49" s="777"/>
      <c r="P49" s="631"/>
      <c r="Q49" s="777"/>
      <c r="R49" s="777"/>
      <c r="S49" s="777"/>
      <c r="T49" s="777"/>
      <c r="U49" s="631"/>
      <c r="V49" s="777"/>
      <c r="W49" s="777"/>
      <c r="X49" s="777"/>
      <c r="Y49" s="777"/>
      <c r="Z49" s="631"/>
      <c r="AA49" s="275"/>
      <c r="AB49" s="275"/>
      <c r="AC49" s="275"/>
      <c r="AD49" s="275"/>
      <c r="AE49" s="631"/>
      <c r="AF49" s="275"/>
      <c r="AG49" s="275"/>
      <c r="AH49" s="275"/>
      <c r="AI49" s="275"/>
      <c r="AJ49" s="631"/>
      <c r="AK49" s="275"/>
      <c r="AL49" s="275"/>
      <c r="AM49" s="275"/>
      <c r="AN49" s="275"/>
      <c r="AO49" s="631"/>
      <c r="AP49" s="275"/>
      <c r="AQ49" s="275"/>
      <c r="AR49" s="275"/>
      <c r="AS49" s="275"/>
      <c r="AT49" s="631"/>
      <c r="AU49" s="275"/>
      <c r="AV49" s="275"/>
      <c r="AW49" s="275"/>
      <c r="AX49" s="275"/>
      <c r="AY49" s="631"/>
      <c r="AZ49" s="275"/>
      <c r="BA49" s="275"/>
      <c r="BB49" s="275"/>
      <c r="BC49" s="275"/>
      <c r="BD49" s="2913">
        <f t="shared" ref="BD49:BT49" si="88">+BD41/BD$41</f>
        <v>1</v>
      </c>
      <c r="BE49" s="1520">
        <f t="shared" si="88"/>
        <v>1</v>
      </c>
      <c r="BF49" s="1520">
        <f t="shared" si="88"/>
        <v>1</v>
      </c>
      <c r="BG49" s="1520">
        <f t="shared" si="88"/>
        <v>1</v>
      </c>
      <c r="BH49" s="1520">
        <f t="shared" si="88"/>
        <v>1</v>
      </c>
      <c r="BI49" s="2913">
        <f t="shared" si="88"/>
        <v>1</v>
      </c>
      <c r="BJ49" s="1520">
        <f t="shared" si="88"/>
        <v>1</v>
      </c>
      <c r="BK49" s="1520">
        <f t="shared" si="88"/>
        <v>1</v>
      </c>
      <c r="BL49" s="1520">
        <f t="shared" si="88"/>
        <v>1</v>
      </c>
      <c r="BM49" s="1520">
        <f t="shared" si="88"/>
        <v>1</v>
      </c>
      <c r="BN49" s="2913">
        <f t="shared" si="88"/>
        <v>1</v>
      </c>
      <c r="BO49" s="1520">
        <f t="shared" si="88"/>
        <v>1</v>
      </c>
      <c r="BP49" s="1520">
        <f t="shared" si="88"/>
        <v>1</v>
      </c>
      <c r="BQ49" s="1520">
        <f t="shared" si="88"/>
        <v>1</v>
      </c>
      <c r="BR49" s="1520">
        <f t="shared" si="88"/>
        <v>1</v>
      </c>
      <c r="BS49" s="2913">
        <f t="shared" si="88"/>
        <v>1</v>
      </c>
      <c r="BT49" s="1520">
        <f t="shared" si="88"/>
        <v>1</v>
      </c>
      <c r="BU49" s="1520">
        <f t="shared" ref="BU49:CT49" si="89">+BU41/BU$41</f>
        <v>1</v>
      </c>
      <c r="BV49" s="1520">
        <f t="shared" si="89"/>
        <v>1</v>
      </c>
      <c r="BW49" s="1520">
        <f t="shared" si="89"/>
        <v>1</v>
      </c>
      <c r="BX49" s="2913">
        <f t="shared" si="89"/>
        <v>1</v>
      </c>
      <c r="BY49" s="1520">
        <f t="shared" si="89"/>
        <v>1</v>
      </c>
      <c r="BZ49" s="1520">
        <f t="shared" si="89"/>
        <v>1</v>
      </c>
      <c r="CA49" s="1520">
        <f t="shared" si="89"/>
        <v>1</v>
      </c>
      <c r="CB49" s="1520">
        <f t="shared" si="89"/>
        <v>1</v>
      </c>
      <c r="CC49" s="2913">
        <f t="shared" si="89"/>
        <v>1</v>
      </c>
      <c r="CD49" s="1520">
        <f t="shared" si="89"/>
        <v>1</v>
      </c>
      <c r="CE49" s="1520">
        <f t="shared" si="89"/>
        <v>1</v>
      </c>
      <c r="CF49" s="1520">
        <f t="shared" si="89"/>
        <v>1</v>
      </c>
      <c r="CG49" s="1520">
        <f t="shared" si="89"/>
        <v>1</v>
      </c>
      <c r="CH49" s="2913">
        <f t="shared" si="89"/>
        <v>1</v>
      </c>
      <c r="CI49" s="1520">
        <f t="shared" ca="1" si="78"/>
        <v>1</v>
      </c>
      <c r="CJ49" s="1520">
        <f t="shared" ca="1" si="78"/>
        <v>1</v>
      </c>
      <c r="CK49" s="1520">
        <f t="shared" ca="1" si="78"/>
        <v>1</v>
      </c>
      <c r="CL49" s="1520">
        <f t="shared" ca="1" si="78"/>
        <v>1</v>
      </c>
      <c r="CM49" s="2913">
        <f t="shared" ca="1" si="78"/>
        <v>1</v>
      </c>
      <c r="CN49" s="1520">
        <f t="shared" ca="1" si="78"/>
        <v>1</v>
      </c>
      <c r="CO49" s="1520">
        <f t="shared" ca="1" si="78"/>
        <v>1</v>
      </c>
      <c r="CP49" s="1520">
        <f t="shared" ca="1" si="78"/>
        <v>1</v>
      </c>
      <c r="CQ49" s="1520">
        <f t="shared" ca="1" si="78"/>
        <v>1</v>
      </c>
      <c r="CR49" s="2913">
        <f t="shared" ca="1" si="79"/>
        <v>1</v>
      </c>
      <c r="CS49" s="1522">
        <f t="shared" ca="1" si="89"/>
        <v>1</v>
      </c>
      <c r="CT49" s="1522">
        <f t="shared" ca="1" si="89"/>
        <v>1</v>
      </c>
      <c r="DB49" s="1226"/>
    </row>
    <row r="50" spans="1:106" s="212" customFormat="1" ht="12.75" customHeight="1" x14ac:dyDescent="0.2">
      <c r="A50" s="1437"/>
      <c r="B50" s="777"/>
      <c r="C50" s="777"/>
      <c r="D50" s="777"/>
      <c r="E50" s="777"/>
      <c r="F50" s="235"/>
      <c r="G50" s="777"/>
      <c r="H50" s="777"/>
      <c r="I50" s="777"/>
      <c r="J50" s="777"/>
      <c r="K50" s="235"/>
      <c r="L50" s="777"/>
      <c r="M50" s="777"/>
      <c r="N50" s="777"/>
      <c r="O50" s="777"/>
      <c r="P50" s="631"/>
      <c r="Q50" s="777"/>
      <c r="R50" s="777"/>
      <c r="S50" s="777"/>
      <c r="T50" s="777"/>
      <c r="U50" s="631"/>
      <c r="V50" s="777"/>
      <c r="W50" s="777"/>
      <c r="X50" s="777"/>
      <c r="Y50" s="777"/>
      <c r="Z50" s="631"/>
      <c r="AA50" s="275"/>
      <c r="AB50" s="275"/>
      <c r="AC50" s="275"/>
      <c r="AD50" s="275"/>
      <c r="AE50" s="631"/>
      <c r="AF50" s="275"/>
      <c r="AG50" s="275"/>
      <c r="AH50" s="275"/>
      <c r="AI50" s="275"/>
      <c r="AJ50" s="631"/>
      <c r="AK50" s="275"/>
      <c r="AL50" s="275"/>
      <c r="AM50" s="275"/>
      <c r="AN50" s="275"/>
      <c r="AO50" s="631"/>
      <c r="AP50" s="275"/>
      <c r="AQ50" s="275"/>
      <c r="AR50" s="275"/>
      <c r="AS50" s="275"/>
      <c r="AT50" s="631"/>
      <c r="AU50" s="275"/>
      <c r="AV50" s="275"/>
      <c r="AW50" s="275"/>
      <c r="AX50" s="275"/>
      <c r="AY50" s="631"/>
      <c r="AZ50" s="275"/>
      <c r="BA50" s="275"/>
      <c r="BB50" s="275"/>
      <c r="BC50" s="275"/>
      <c r="BD50" s="631"/>
      <c r="BE50" s="275"/>
      <c r="BF50" s="275"/>
      <c r="BG50" s="275"/>
      <c r="BH50" s="275"/>
      <c r="BI50" s="631"/>
      <c r="BJ50" s="275"/>
      <c r="BK50" s="275"/>
      <c r="BL50" s="275"/>
      <c r="BM50" s="275"/>
      <c r="BN50" s="631"/>
      <c r="BO50" s="275"/>
      <c r="BP50" s="275"/>
      <c r="BQ50" s="275"/>
      <c r="BR50" s="275"/>
      <c r="BS50" s="631"/>
      <c r="BT50" s="275"/>
      <c r="BU50" s="275"/>
      <c r="BV50" s="275"/>
      <c r="BW50" s="275"/>
      <c r="BX50" s="631"/>
      <c r="BY50" s="275"/>
      <c r="BZ50" s="275"/>
      <c r="CA50" s="275"/>
      <c r="CB50" s="275"/>
      <c r="CC50" s="631"/>
      <c r="CD50" s="275"/>
      <c r="CE50" s="275"/>
      <c r="CF50" s="275"/>
      <c r="CG50" s="275"/>
      <c r="CH50" s="631"/>
      <c r="CI50" s="275"/>
      <c r="CJ50" s="275"/>
      <c r="CK50" s="275"/>
      <c r="CL50" s="275"/>
      <c r="CM50" s="631"/>
      <c r="CN50" s="275"/>
      <c r="CO50" s="275"/>
      <c r="CP50" s="275"/>
      <c r="CQ50" s="275"/>
      <c r="CR50" s="236"/>
      <c r="CS50" s="236"/>
      <c r="CT50" s="236"/>
      <c r="DB50" s="1226"/>
    </row>
    <row r="51" spans="1:106" s="212" customFormat="1" ht="12.75" customHeight="1" x14ac:dyDescent="0.2">
      <c r="A51" s="1437" t="s">
        <v>2195</v>
      </c>
      <c r="B51" s="777"/>
      <c r="C51" s="777"/>
      <c r="D51" s="777"/>
      <c r="E51" s="777"/>
      <c r="F51" s="235"/>
      <c r="G51" s="777"/>
      <c r="H51" s="777"/>
      <c r="I51" s="777"/>
      <c r="J51" s="777"/>
      <c r="K51" s="235"/>
      <c r="L51" s="777"/>
      <c r="M51" s="777"/>
      <c r="N51" s="777"/>
      <c r="O51" s="777"/>
      <c r="P51" s="631"/>
      <c r="Q51" s="777"/>
      <c r="R51" s="777"/>
      <c r="S51" s="777"/>
      <c r="T51" s="777"/>
      <c r="U51" s="631"/>
      <c r="V51" s="777"/>
      <c r="W51" s="777"/>
      <c r="X51" s="777"/>
      <c r="Y51" s="777"/>
      <c r="Z51" s="631"/>
      <c r="AA51" s="275"/>
      <c r="AB51" s="275"/>
      <c r="AC51" s="275"/>
      <c r="AD51" s="275"/>
      <c r="AE51" s="631"/>
      <c r="AF51" s="275"/>
      <c r="AG51" s="275"/>
      <c r="AH51" s="275"/>
      <c r="AI51" s="275"/>
      <c r="AJ51" s="631"/>
      <c r="AK51" s="275"/>
      <c r="AL51" s="275"/>
      <c r="AM51" s="275"/>
      <c r="AN51" s="275"/>
      <c r="AO51" s="631"/>
      <c r="AP51" s="275"/>
      <c r="AQ51" s="275"/>
      <c r="AR51" s="275"/>
      <c r="AS51" s="275"/>
      <c r="AT51" s="631"/>
      <c r="AU51" s="275"/>
      <c r="AV51" s="275"/>
      <c r="AW51" s="275"/>
      <c r="AX51" s="275"/>
      <c r="AY51" s="631"/>
      <c r="AZ51" s="275"/>
      <c r="BA51" s="275"/>
      <c r="BB51" s="275"/>
      <c r="BC51" s="275"/>
      <c r="BD51" s="631"/>
      <c r="BE51" s="275"/>
      <c r="BF51" s="275"/>
      <c r="BG51" s="275"/>
      <c r="BH51" s="275"/>
      <c r="BI51" s="631"/>
      <c r="BJ51" s="275"/>
      <c r="BK51" s="275"/>
      <c r="BL51" s="275"/>
      <c r="BM51" s="275"/>
      <c r="BN51" s="631"/>
      <c r="BO51" s="275"/>
      <c r="BP51" s="275"/>
      <c r="BQ51" s="275"/>
      <c r="BR51" s="275"/>
      <c r="BS51" s="631"/>
      <c r="BT51" s="275"/>
      <c r="BU51" s="275"/>
      <c r="BV51" s="275"/>
      <c r="BW51" s="275"/>
      <c r="BX51" s="631"/>
      <c r="BY51" s="275"/>
      <c r="BZ51" s="275"/>
      <c r="CA51" s="275"/>
      <c r="CB51" s="275"/>
      <c r="CC51" s="631"/>
      <c r="CD51" s="275"/>
      <c r="CE51" s="275"/>
      <c r="CF51" s="275"/>
      <c r="CG51" s="275"/>
      <c r="CH51" s="631"/>
      <c r="CI51" s="275"/>
      <c r="CJ51" s="275"/>
      <c r="CK51" s="275"/>
      <c r="CL51" s="275"/>
      <c r="CM51" s="631"/>
      <c r="CN51" s="275"/>
      <c r="CO51" s="275"/>
      <c r="CP51" s="275"/>
      <c r="CQ51" s="275"/>
      <c r="CR51" s="236"/>
      <c r="CS51" s="236"/>
      <c r="CT51" s="236"/>
      <c r="DB51" s="1226"/>
    </row>
    <row r="52" spans="1:106" s="212" customFormat="1" ht="12.75" customHeight="1" x14ac:dyDescent="0.2">
      <c r="A52" s="1436" t="s">
        <v>554</v>
      </c>
      <c r="B52" s="777"/>
      <c r="C52" s="777"/>
      <c r="D52" s="777"/>
      <c r="E52" s="777"/>
      <c r="F52" s="235"/>
      <c r="G52" s="777"/>
      <c r="H52" s="777"/>
      <c r="I52" s="777"/>
      <c r="J52" s="777"/>
      <c r="K52" s="235"/>
      <c r="L52" s="777"/>
      <c r="M52" s="777"/>
      <c r="N52" s="777"/>
      <c r="O52" s="777"/>
      <c r="P52" s="631"/>
      <c r="Q52" s="777"/>
      <c r="R52" s="777"/>
      <c r="S52" s="777"/>
      <c r="T52" s="777"/>
      <c r="U52" s="631"/>
      <c r="V52" s="777"/>
      <c r="W52" s="777"/>
      <c r="X52" s="777"/>
      <c r="Y52" s="777"/>
      <c r="Z52" s="631"/>
      <c r="AA52" s="275"/>
      <c r="AB52" s="275"/>
      <c r="AC52" s="275"/>
      <c r="AD52" s="275"/>
      <c r="AE52" s="631"/>
      <c r="AF52" s="733"/>
      <c r="AG52" s="733"/>
      <c r="AH52" s="733"/>
      <c r="AI52" s="733"/>
      <c r="AJ52" s="1458"/>
      <c r="AK52" s="733">
        <f t="shared" ref="AK52:AY52" si="90">+AK536</f>
        <v>3.8044660825290615E-2</v>
      </c>
      <c r="AL52" s="733">
        <f t="shared" si="90"/>
        <v>9.2843574925595029E-2</v>
      </c>
      <c r="AM52" s="733">
        <f t="shared" si="90"/>
        <v>3.8045309943379374E-2</v>
      </c>
      <c r="AN52" s="733">
        <f t="shared" si="90"/>
        <v>5.0076709789349583E-2</v>
      </c>
      <c r="AO52" s="1458">
        <f t="shared" si="90"/>
        <v>5.4262803742300469E-2</v>
      </c>
      <c r="AP52" s="733">
        <f t="shared" si="90"/>
        <v>1.2309315517473439E-2</v>
      </c>
      <c r="AQ52" s="733">
        <f t="shared" si="90"/>
        <v>1.6442774808547979E-2</v>
      </c>
      <c r="AR52" s="733">
        <f t="shared" si="90"/>
        <v>-7.7563494663197936E-3</v>
      </c>
      <c r="AS52" s="733">
        <f t="shared" si="90"/>
        <v>-0.10910338127027629</v>
      </c>
      <c r="AT52" s="1458">
        <f t="shared" si="90"/>
        <v>-2.958051401784869E-2</v>
      </c>
      <c r="AU52" s="733">
        <f t="shared" si="90"/>
        <v>-0.16933719463627031</v>
      </c>
      <c r="AV52" s="733">
        <f t="shared" si="90"/>
        <v>-0.22610549196647317</v>
      </c>
      <c r="AW52" s="733">
        <f t="shared" si="90"/>
        <v>-0.20205755432999983</v>
      </c>
      <c r="AX52" s="733">
        <f t="shared" si="90"/>
        <v>-0.12779672480014967</v>
      </c>
      <c r="AY52" s="1458">
        <f t="shared" si="90"/>
        <v>-0.17935525012444922</v>
      </c>
      <c r="AZ52" s="733">
        <f t="shared" ref="AZ52:BI52" si="91">+AZ536</f>
        <v>-2.3530659257123995E-2</v>
      </c>
      <c r="BA52" s="733">
        <f t="shared" si="91"/>
        <v>7.2785277487599304E-2</v>
      </c>
      <c r="BB52" s="733">
        <f t="shared" si="91"/>
        <v>6.2139554503656401E-2</v>
      </c>
      <c r="BC52" s="733">
        <f t="shared" si="91"/>
        <v>6.0201111729011977E-2</v>
      </c>
      <c r="BD52" s="1458">
        <f t="shared" si="91"/>
        <v>4.3925296516980739E-2</v>
      </c>
      <c r="BE52" s="733">
        <f t="shared" si="91"/>
        <v>7.3717117474985702E-2</v>
      </c>
      <c r="BF52" s="733">
        <f t="shared" si="91"/>
        <v>6.844765947709773E-2</v>
      </c>
      <c r="BG52" s="733">
        <f t="shared" si="91"/>
        <v>7.5156073513218818E-2</v>
      </c>
      <c r="BH52" s="733">
        <f t="shared" si="91"/>
        <v>7.4326877609191086E-2</v>
      </c>
      <c r="BI52" s="1458">
        <f t="shared" si="91"/>
        <v>7.2875509004459743E-2</v>
      </c>
      <c r="BJ52" s="733">
        <f t="shared" ref="BJ52:BV52" si="92">+BJ536</f>
        <v>7.7095529419463002E-2</v>
      </c>
      <c r="BK52" s="733">
        <f t="shared" si="92"/>
        <v>7.3436391627610079E-2</v>
      </c>
      <c r="BL52" s="733">
        <f t="shared" si="92"/>
        <v>7.0665379622901384E-2</v>
      </c>
      <c r="BM52" s="733">
        <f t="shared" si="92"/>
        <v>6.6348953793253299E-2</v>
      </c>
      <c r="BN52" s="1458">
        <f t="shared" si="92"/>
        <v>7.1391668840104436E-2</v>
      </c>
      <c r="BO52" s="733">
        <f t="shared" si="92"/>
        <v>6.657151493541566E-2</v>
      </c>
      <c r="BP52" s="733">
        <f t="shared" si="92"/>
        <v>5.1690362435192254E-2</v>
      </c>
      <c r="BQ52" s="733">
        <f t="shared" si="92"/>
        <v>5.4469429568541929E-2</v>
      </c>
      <c r="BR52" s="733">
        <f t="shared" si="92"/>
        <v>2.5444166327453995E-2</v>
      </c>
      <c r="BS52" s="1458">
        <f t="shared" si="92"/>
        <v>5.1386117826483682E-2</v>
      </c>
      <c r="BT52" s="733">
        <f>+BT536</f>
        <v>5.8585214714253958E-2</v>
      </c>
      <c r="BU52" s="733">
        <f t="shared" si="92"/>
        <v>5.9073363124311253E-2</v>
      </c>
      <c r="BV52" s="733">
        <f t="shared" si="92"/>
        <v>8.8115579493632343E-2</v>
      </c>
      <c r="BW52" s="733">
        <f t="shared" ref="BW52:CF52" si="93">+BW536</f>
        <v>6.7468447384915822E-2</v>
      </c>
      <c r="BX52" s="1458">
        <f t="shared" si="93"/>
        <v>6.8334686217032217E-2</v>
      </c>
      <c r="BY52" s="733">
        <f t="shared" si="93"/>
        <v>5.4074287052217958E-2</v>
      </c>
      <c r="BZ52" s="733">
        <f t="shared" si="93"/>
        <v>4.9956674123866937E-2</v>
      </c>
      <c r="CA52" s="733">
        <f t="shared" si="93"/>
        <v>4.096736237033885E-2</v>
      </c>
      <c r="CB52" s="733">
        <f t="shared" si="93"/>
        <v>2.8803778452303336E-2</v>
      </c>
      <c r="CC52" s="1458">
        <f t="shared" si="93"/>
        <v>4.3263856337640863E-2</v>
      </c>
      <c r="CD52" s="733">
        <f t="shared" si="93"/>
        <v>1.7598298902993394E-2</v>
      </c>
      <c r="CE52" s="733">
        <f t="shared" si="93"/>
        <v>2.0411606614050969E-2</v>
      </c>
      <c r="CF52" s="733">
        <f t="shared" si="93"/>
        <v>5.5214252518077829E-3</v>
      </c>
      <c r="CG52" s="733"/>
      <c r="CH52" s="1458"/>
      <c r="CI52" s="733"/>
      <c r="CJ52" s="733"/>
      <c r="CK52" s="733"/>
      <c r="CL52" s="733"/>
      <c r="CM52" s="1458"/>
      <c r="CN52" s="733"/>
      <c r="CO52" s="733"/>
      <c r="CP52" s="733"/>
      <c r="CQ52" s="733"/>
      <c r="CR52" s="1458"/>
      <c r="CS52" s="1458"/>
      <c r="CT52" s="1458"/>
      <c r="DB52" s="1226"/>
    </row>
    <row r="53" spans="1:106" s="212" customFormat="1" ht="12.75" customHeight="1" x14ac:dyDescent="0.2">
      <c r="A53" s="1436" t="s">
        <v>555</v>
      </c>
      <c r="B53" s="777"/>
      <c r="C53" s="777"/>
      <c r="D53" s="777"/>
      <c r="E53" s="777"/>
      <c r="F53" s="235"/>
      <c r="G53" s="777"/>
      <c r="H53" s="777"/>
      <c r="I53" s="777"/>
      <c r="J53" s="777"/>
      <c r="K53" s="235"/>
      <c r="L53" s="777"/>
      <c r="M53" s="777"/>
      <c r="N53" s="777"/>
      <c r="O53" s="777"/>
      <c r="P53" s="631"/>
      <c r="Q53" s="777"/>
      <c r="R53" s="777"/>
      <c r="S53" s="777"/>
      <c r="T53" s="777"/>
      <c r="U53" s="631"/>
      <c r="V53" s="777"/>
      <c r="W53" s="777"/>
      <c r="X53" s="777"/>
      <c r="Y53" s="777"/>
      <c r="Z53" s="631"/>
      <c r="AA53" s="275"/>
      <c r="AB53" s="275"/>
      <c r="AC53" s="275"/>
      <c r="AD53" s="275"/>
      <c r="AE53" s="631"/>
      <c r="AF53" s="275"/>
      <c r="AG53" s="275"/>
      <c r="AH53" s="275"/>
      <c r="AI53" s="275"/>
      <c r="AJ53" s="631"/>
      <c r="AK53" s="733"/>
      <c r="AL53" s="733"/>
      <c r="AM53" s="733"/>
      <c r="AN53" s="733"/>
      <c r="AO53" s="1458"/>
      <c r="AP53" s="733"/>
      <c r="AQ53" s="733"/>
      <c r="AR53" s="733"/>
      <c r="AS53" s="733"/>
      <c r="AT53" s="1458"/>
      <c r="AU53" s="733">
        <f>+AU241</f>
        <v>-0.24400922004310288</v>
      </c>
      <c r="AV53" s="733">
        <f>+AV241</f>
        <v>-0.28398451980228834</v>
      </c>
      <c r="AW53" s="733">
        <f>+AW241</f>
        <v>-0.28872819585745324</v>
      </c>
      <c r="AX53" s="733">
        <f>+AX241</f>
        <v>-0.11120613536212487</v>
      </c>
      <c r="AY53" s="1458">
        <f t="shared" ref="AY53:BI53" si="94">+AY241</f>
        <v>-0.23561880751343722</v>
      </c>
      <c r="AZ53" s="733">
        <f t="shared" si="94"/>
        <v>1.3916632040042121E-2</v>
      </c>
      <c r="BA53" s="733">
        <f t="shared" si="94"/>
        <v>0.12962708340661133</v>
      </c>
      <c r="BB53" s="733">
        <f t="shared" si="94"/>
        <v>8.5560832202623116E-2</v>
      </c>
      <c r="BC53" s="733">
        <f t="shared" si="94"/>
        <v>7.6472040279517595E-2</v>
      </c>
      <c r="BD53" s="1458">
        <f t="shared" si="94"/>
        <v>7.6709430811526813E-2</v>
      </c>
      <c r="BE53" s="733">
        <f t="shared" si="94"/>
        <v>5.6015485422537425E-2</v>
      </c>
      <c r="BF53" s="733">
        <f t="shared" si="94"/>
        <v>0.1156075606572502</v>
      </c>
      <c r="BG53" s="733">
        <f t="shared" si="94"/>
        <v>0.11188849001499435</v>
      </c>
      <c r="BH53" s="733">
        <f t="shared" si="94"/>
        <v>5.2100737925700136E-2</v>
      </c>
      <c r="BI53" s="1458">
        <f t="shared" si="94"/>
        <v>8.4119297737275556E-2</v>
      </c>
      <c r="BJ53" s="733">
        <f t="shared" ref="BJ53:BZ53" si="95">+BJ241</f>
        <v>8.5173463028362928E-3</v>
      </c>
      <c r="BK53" s="733">
        <f t="shared" si="95"/>
        <v>-2.0742204469527348E-2</v>
      </c>
      <c r="BL53" s="733">
        <f t="shared" si="95"/>
        <v>-4.0069911203387765E-2</v>
      </c>
      <c r="BM53" s="733">
        <f t="shared" si="95"/>
        <v>-2.4503021479060361E-2</v>
      </c>
      <c r="BN53" s="1458">
        <f t="shared" si="95"/>
        <v>-2.0105325746568647E-2</v>
      </c>
      <c r="BO53" s="733">
        <f t="shared" si="95"/>
        <v>0.12680237489397816</v>
      </c>
      <c r="BP53" s="733">
        <f t="shared" si="95"/>
        <v>2.3432641754763006E-2</v>
      </c>
      <c r="BQ53" s="733">
        <f t="shared" si="95"/>
        <v>4.5624495088355532E-2</v>
      </c>
      <c r="BR53" s="733">
        <f t="shared" si="95"/>
        <v>4.2165169330725075E-2</v>
      </c>
      <c r="BS53" s="1458">
        <f t="shared" si="95"/>
        <v>6.1676203436584975E-2</v>
      </c>
      <c r="BT53" s="733">
        <f>+BT241</f>
        <v>4.2566315882085481E-2</v>
      </c>
      <c r="BU53" s="733">
        <f t="shared" si="95"/>
        <v>5.3703243387558386E-2</v>
      </c>
      <c r="BV53" s="733">
        <f t="shared" si="95"/>
        <v>7.4407497551105983E-2</v>
      </c>
      <c r="BW53" s="733">
        <f>+BW241</f>
        <v>0.15275715779258975</v>
      </c>
      <c r="BX53" s="1458">
        <f>+BX241</f>
        <v>4.8049326678190285E-2</v>
      </c>
      <c r="BY53" s="733">
        <f>+BY241</f>
        <v>-2.7499606184035907E-2</v>
      </c>
      <c r="BZ53" s="733">
        <f t="shared" si="95"/>
        <v>-8.03956979627094E-2</v>
      </c>
      <c r="CA53" s="733">
        <f t="shared" ref="CA53:CF53" si="96">+CA241</f>
        <v>-7.6885541370996902E-2</v>
      </c>
      <c r="CB53" s="733">
        <f t="shared" si="96"/>
        <v>-7.2321786014943212E-2</v>
      </c>
      <c r="CC53" s="1458">
        <f t="shared" si="96"/>
        <v>-6.4756543436640279E-2</v>
      </c>
      <c r="CD53" s="733">
        <f t="shared" si="96"/>
        <v>-0.10518278955847066</v>
      </c>
      <c r="CE53" s="733">
        <f t="shared" si="96"/>
        <v>-7.3175550909931844E-2</v>
      </c>
      <c r="CF53" s="733">
        <f t="shared" si="96"/>
        <v>-5.9001190227970568E-2</v>
      </c>
      <c r="CG53" s="733"/>
      <c r="CH53" s="1458"/>
      <c r="CI53" s="733"/>
      <c r="CJ53" s="733"/>
      <c r="CK53" s="733"/>
      <c r="CL53" s="733"/>
      <c r="CM53" s="1458"/>
      <c r="CN53" s="733"/>
      <c r="CO53" s="733"/>
      <c r="CP53" s="733"/>
      <c r="CQ53" s="733"/>
      <c r="CR53" s="1458"/>
      <c r="CS53" s="1458"/>
      <c r="CT53" s="1458"/>
      <c r="DB53" s="1226"/>
    </row>
    <row r="54" spans="1:106" s="212" customFormat="1" ht="12.75" customHeight="1" x14ac:dyDescent="0.2">
      <c r="A54" s="1619" t="s">
        <v>603</v>
      </c>
      <c r="B54" s="1459"/>
      <c r="C54" s="1459"/>
      <c r="D54" s="1459"/>
      <c r="E54" s="1459"/>
      <c r="F54" s="1497"/>
      <c r="G54" s="1459"/>
      <c r="H54" s="1459"/>
      <c r="I54" s="1459"/>
      <c r="J54" s="1459"/>
      <c r="K54" s="1497"/>
      <c r="L54" s="1459"/>
      <c r="M54" s="1459"/>
      <c r="N54" s="1459"/>
      <c r="O54" s="1459"/>
      <c r="P54" s="1461"/>
      <c r="Q54" s="1459"/>
      <c r="R54" s="1459"/>
      <c r="S54" s="1459"/>
      <c r="T54" s="1459"/>
      <c r="U54" s="1461"/>
      <c r="V54" s="1459"/>
      <c r="W54" s="1459"/>
      <c r="X54" s="1459"/>
      <c r="Y54" s="1459"/>
      <c r="Z54" s="1461"/>
      <c r="AA54" s="1460"/>
      <c r="AB54" s="1460"/>
      <c r="AC54" s="1460"/>
      <c r="AD54" s="1460"/>
      <c r="AE54" s="1461"/>
      <c r="AF54" s="1460"/>
      <c r="AG54" s="1460"/>
      <c r="AH54" s="1460"/>
      <c r="AI54" s="1460"/>
      <c r="AJ54" s="1461"/>
      <c r="AK54" s="1638">
        <f t="shared" ref="AK54:BI54" si="97">+AK541</f>
        <v>3.9704304855851073E-2</v>
      </c>
      <c r="AL54" s="1638">
        <f t="shared" si="97"/>
        <v>0.10687300584150541</v>
      </c>
      <c r="AM54" s="1638">
        <f t="shared" si="97"/>
        <v>8.612813869307781E-2</v>
      </c>
      <c r="AN54" s="1638">
        <f t="shared" si="97"/>
        <v>5.9047359120568035E-2</v>
      </c>
      <c r="AO54" s="1635">
        <f t="shared" si="97"/>
        <v>7.2254040594076599E-2</v>
      </c>
      <c r="AP54" s="1638">
        <f t="shared" si="97"/>
        <v>1.8464850200280356E-2</v>
      </c>
      <c r="AQ54" s="1638">
        <f t="shared" si="97"/>
        <v>8.7561786451599202E-3</v>
      </c>
      <c r="AR54" s="1638">
        <f t="shared" si="97"/>
        <v>-7.8246050945701747E-3</v>
      </c>
      <c r="AS54" s="1638">
        <f t="shared" si="97"/>
        <v>-9.7756734151084004E-2</v>
      </c>
      <c r="AT54" s="1635">
        <f t="shared" si="97"/>
        <v>-2.6603717333294571E-2</v>
      </c>
      <c r="AU54" s="1638">
        <f t="shared" si="97"/>
        <v>-0.15796343665710599</v>
      </c>
      <c r="AV54" s="1638">
        <f t="shared" si="97"/>
        <v>-0.19961208357422672</v>
      </c>
      <c r="AW54" s="1638">
        <f t="shared" si="97"/>
        <v>-0.18732580688515696</v>
      </c>
      <c r="AX54" s="1638">
        <f t="shared" si="97"/>
        <v>-0.13305684680595734</v>
      </c>
      <c r="AY54" s="1635">
        <f t="shared" si="97"/>
        <v>-0.16769134178652237</v>
      </c>
      <c r="AZ54" s="1638">
        <f t="shared" si="97"/>
        <v>-3.2355540421502828E-2</v>
      </c>
      <c r="BA54" s="1638">
        <f t="shared" si="97"/>
        <v>5.564184703966505E-2</v>
      </c>
      <c r="BB54" s="1638">
        <f t="shared" si="97"/>
        <v>6.5254574124400735E-2</v>
      </c>
      <c r="BC54" s="1638">
        <f t="shared" si="97"/>
        <v>6.8461225850862215E-2</v>
      </c>
      <c r="BD54" s="1635">
        <f t="shared" si="97"/>
        <v>4.138861579642527E-2</v>
      </c>
      <c r="BE54" s="1638">
        <f t="shared" si="97"/>
        <v>6.6281651054284296E-2</v>
      </c>
      <c r="BF54" s="1638">
        <f t="shared" si="97"/>
        <v>6.6859215262444038E-2</v>
      </c>
      <c r="BG54" s="1638">
        <f t="shared" si="97"/>
        <v>7.2314573928523737E-2</v>
      </c>
      <c r="BH54" s="1638">
        <f t="shared" si="97"/>
        <v>7.5455752579504237E-2</v>
      </c>
      <c r="BI54" s="1635">
        <f t="shared" si="97"/>
        <v>7.0557732814636828E-2</v>
      </c>
      <c r="BJ54" s="1638">
        <f t="shared" ref="BJ54:BZ54" si="98">+BJ541</f>
        <v>7.4638289865718938E-2</v>
      </c>
      <c r="BK54" s="1638">
        <f t="shared" si="98"/>
        <v>7.3148333439620877E-2</v>
      </c>
      <c r="BL54" s="1638">
        <f t="shared" si="98"/>
        <v>6.7758077225945373E-2</v>
      </c>
      <c r="BM54" s="1638">
        <f t="shared" si="98"/>
        <v>6.6782800818485158E-2</v>
      </c>
      <c r="BN54" s="1635">
        <f t="shared" si="98"/>
        <v>7.0203858239108935E-2</v>
      </c>
      <c r="BO54" s="1638">
        <f t="shared" si="98"/>
        <v>6.3947107639136053E-2</v>
      </c>
      <c r="BP54" s="1638">
        <f t="shared" si="98"/>
        <v>6.1894348889639156E-2</v>
      </c>
      <c r="BQ54" s="1638">
        <f t="shared" si="98"/>
        <v>4.3501832060146704E-2</v>
      </c>
      <c r="BR54" s="1638">
        <f t="shared" si="98"/>
        <v>1.3646915496021768E-2</v>
      </c>
      <c r="BS54" s="1635">
        <f t="shared" si="98"/>
        <v>4.8354728827465415E-2</v>
      </c>
      <c r="BT54" s="1638">
        <f>+BT541</f>
        <v>6.0835814186267725E-2</v>
      </c>
      <c r="BU54" s="1638">
        <f t="shared" si="98"/>
        <v>6.7040300714398177E-2</v>
      </c>
      <c r="BV54" s="1638">
        <f t="shared" si="98"/>
        <v>9.0564412063531899E-2</v>
      </c>
      <c r="BW54" s="1638">
        <f>+BW541</f>
        <v>7.9119104271402105E-2</v>
      </c>
      <c r="BX54" s="1635">
        <f>+BX541</f>
        <v>7.4716853359774682E-2</v>
      </c>
      <c r="BY54" s="1638">
        <f>+BY541</f>
        <v>6.758014666489813E-2</v>
      </c>
      <c r="BZ54" s="1638">
        <f t="shared" si="98"/>
        <v>5.9636012607306693E-2</v>
      </c>
      <c r="CA54" s="1638">
        <f t="shared" ref="CA54:CF54" si="99">+CA541</f>
        <v>5.0397119335879058E-2</v>
      </c>
      <c r="CB54" s="1638">
        <f t="shared" si="99"/>
        <v>3.9334211363231703E-2</v>
      </c>
      <c r="CC54" s="1635">
        <f t="shared" si="99"/>
        <v>5.4094051708145643E-2</v>
      </c>
      <c r="CD54" s="1638">
        <f t="shared" si="99"/>
        <v>1.7789973767902898E-2</v>
      </c>
      <c r="CE54" s="1638">
        <f t="shared" si="99"/>
        <v>2.4762684274481365E-2</v>
      </c>
      <c r="CF54" s="1638">
        <f t="shared" si="99"/>
        <v>1.4048234902703221E-2</v>
      </c>
      <c r="CG54" s="1638"/>
      <c r="CH54" s="1635"/>
      <c r="CI54" s="1638"/>
      <c r="CJ54" s="1638"/>
      <c r="CK54" s="1638"/>
      <c r="CL54" s="1638"/>
      <c r="CM54" s="1635"/>
      <c r="CN54" s="1638"/>
      <c r="CO54" s="1638"/>
      <c r="CP54" s="1638"/>
      <c r="CQ54" s="1638"/>
      <c r="CR54" s="1635"/>
      <c r="CS54" s="1635"/>
      <c r="CT54" s="1635"/>
      <c r="DB54" s="1226"/>
    </row>
    <row r="55" spans="1:106" s="234" customFormat="1" ht="12.75" customHeight="1" x14ac:dyDescent="0.2">
      <c r="A55" s="864"/>
      <c r="B55" s="777"/>
      <c r="C55" s="777"/>
      <c r="D55" s="777"/>
      <c r="E55" s="777"/>
      <c r="F55" s="275"/>
      <c r="G55" s="777"/>
      <c r="H55" s="777"/>
      <c r="I55" s="777"/>
      <c r="J55" s="777"/>
      <c r="K55" s="275"/>
      <c r="L55" s="777"/>
      <c r="M55" s="777"/>
      <c r="N55" s="777"/>
      <c r="O55" s="777"/>
      <c r="P55" s="777"/>
      <c r="Q55" s="777"/>
      <c r="R55" s="777"/>
      <c r="S55" s="777"/>
      <c r="T55" s="777"/>
      <c r="U55" s="777"/>
      <c r="V55" s="777"/>
      <c r="W55" s="777"/>
      <c r="X55" s="777"/>
      <c r="Y55" s="777"/>
      <c r="Z55" s="777"/>
      <c r="AA55" s="275"/>
      <c r="AB55" s="275"/>
      <c r="AC55" s="275"/>
      <c r="AD55" s="275"/>
      <c r="AE55" s="777"/>
      <c r="AF55" s="275"/>
      <c r="AG55" s="275"/>
      <c r="AH55" s="275"/>
      <c r="AI55" s="275"/>
      <c r="AJ55" s="777"/>
      <c r="AK55" s="275"/>
      <c r="AL55" s="275"/>
      <c r="AM55" s="275"/>
      <c r="AN55" s="275"/>
      <c r="AO55" s="777"/>
      <c r="AP55" s="275"/>
      <c r="AQ55" s="275"/>
      <c r="AR55" s="275"/>
      <c r="AS55" s="275"/>
      <c r="AT55" s="777"/>
      <c r="AU55" s="275"/>
      <c r="AV55" s="275"/>
      <c r="AW55" s="275"/>
      <c r="AX55" s="275"/>
      <c r="AY55" s="777"/>
      <c r="AZ55" s="275"/>
      <c r="BA55" s="275"/>
      <c r="BB55" s="275"/>
      <c r="BC55" s="275"/>
      <c r="BD55" s="777"/>
      <c r="BE55" s="275"/>
      <c r="BF55" s="275"/>
      <c r="BG55" s="275"/>
      <c r="BH55" s="275"/>
      <c r="BI55" s="777"/>
      <c r="BJ55" s="1215"/>
      <c r="BK55" s="1215"/>
      <c r="BL55" s="1215"/>
      <c r="BM55" s="1215"/>
      <c r="BN55" s="1215"/>
      <c r="BO55" s="1215"/>
      <c r="BP55" s="1215"/>
      <c r="BQ55" s="1215"/>
      <c r="BR55" s="1215"/>
      <c r="BS55" s="1215"/>
      <c r="BT55" s="1215"/>
      <c r="BU55" s="1215"/>
      <c r="BV55" s="1215"/>
      <c r="BW55" s="1215"/>
      <c r="BX55" s="1215"/>
      <c r="BY55" s="1215"/>
      <c r="BZ55" s="1215"/>
      <c r="CA55" s="1215"/>
      <c r="CB55" s="1215"/>
      <c r="CC55" s="1215"/>
      <c r="CD55" s="1215"/>
      <c r="CE55" s="1215"/>
      <c r="CF55" s="1215"/>
      <c r="CG55" s="1215"/>
      <c r="CH55" s="1215"/>
      <c r="CI55" s="1215"/>
      <c r="CJ55" s="1215"/>
      <c r="CK55" s="1215"/>
      <c r="CL55" s="1215"/>
      <c r="CM55" s="1215"/>
      <c r="CN55" s="1215"/>
      <c r="CO55" s="1215"/>
      <c r="CP55" s="1215"/>
      <c r="CQ55" s="1215"/>
      <c r="CR55" s="1215"/>
      <c r="CS55" s="1215"/>
      <c r="CT55" s="1215"/>
      <c r="DA55" s="212"/>
      <c r="DB55" s="1226"/>
    </row>
    <row r="56" spans="1:106" s="212" customFormat="1" ht="12.75" customHeight="1" x14ac:dyDescent="0.2">
      <c r="A56" s="864"/>
      <c r="B56" s="777"/>
      <c r="C56" s="777"/>
      <c r="D56" s="777"/>
      <c r="E56" s="777"/>
      <c r="F56" s="275"/>
      <c r="G56" s="777"/>
      <c r="H56" s="777"/>
      <c r="I56" s="777"/>
      <c r="J56" s="777"/>
      <c r="K56" s="275"/>
      <c r="L56" s="777"/>
      <c r="M56" s="777"/>
      <c r="N56" s="777"/>
      <c r="O56" s="777"/>
      <c r="P56" s="777"/>
      <c r="Q56" s="777"/>
      <c r="R56" s="777"/>
      <c r="S56" s="777"/>
      <c r="T56" s="777"/>
      <c r="U56" s="777"/>
      <c r="V56" s="777"/>
      <c r="W56" s="777"/>
      <c r="X56" s="777"/>
      <c r="Y56" s="777"/>
      <c r="Z56" s="777"/>
      <c r="AA56" s="275"/>
      <c r="AB56" s="275"/>
      <c r="AC56" s="275"/>
      <c r="AD56" s="275"/>
      <c r="AE56" s="777"/>
      <c r="AF56" s="275"/>
      <c r="AG56" s="275"/>
      <c r="AH56" s="275"/>
      <c r="AI56" s="275"/>
      <c r="AJ56" s="777"/>
      <c r="AK56" s="275"/>
      <c r="AL56" s="275"/>
      <c r="AM56" s="275"/>
      <c r="AN56" s="275"/>
      <c r="AO56" s="777"/>
      <c r="AP56" s="275"/>
      <c r="AQ56" s="275"/>
      <c r="AR56" s="275"/>
      <c r="AS56" s="275"/>
      <c r="AT56" s="777"/>
      <c r="AU56" s="275"/>
      <c r="AV56" s="275"/>
      <c r="AW56" s="275"/>
      <c r="AX56" s="275"/>
      <c r="AY56" s="777"/>
      <c r="AZ56" s="275"/>
      <c r="BA56" s="275"/>
      <c r="BB56" s="275"/>
      <c r="BC56" s="275"/>
      <c r="BD56" s="777"/>
      <c r="BE56" s="275"/>
      <c r="BF56" s="275"/>
      <c r="BG56" s="275"/>
      <c r="BH56" s="275"/>
      <c r="BI56" s="777"/>
      <c r="BJ56" s="275"/>
      <c r="BK56" s="275"/>
      <c r="BL56" s="275"/>
      <c r="BM56" s="275"/>
      <c r="BN56" s="777"/>
      <c r="BO56" s="777"/>
      <c r="BP56" s="777"/>
      <c r="BQ56" s="777"/>
      <c r="BR56" s="777"/>
      <c r="BS56" s="777"/>
      <c r="BT56" s="777"/>
      <c r="BU56" s="234"/>
      <c r="BV56" s="234"/>
      <c r="BW56" s="777"/>
      <c r="BX56" s="777"/>
      <c r="BY56" s="777"/>
      <c r="BZ56" s="234"/>
      <c r="CA56" s="234"/>
      <c r="CB56" s="234"/>
      <c r="CC56" s="777"/>
      <c r="CD56" s="234"/>
      <c r="CE56" s="234"/>
      <c r="CF56" s="234"/>
      <c r="CG56" s="234"/>
      <c r="CH56" s="777"/>
      <c r="CI56" s="234"/>
      <c r="CJ56" s="234"/>
      <c r="CK56" s="234"/>
      <c r="CL56" s="234"/>
      <c r="CM56" s="234"/>
      <c r="CN56" s="234"/>
      <c r="CO56" s="234"/>
      <c r="CP56" s="234"/>
      <c r="CQ56" s="234"/>
      <c r="CR56" s="234"/>
      <c r="CS56" s="234"/>
      <c r="CT56" s="234"/>
      <c r="DB56" s="1226"/>
    </row>
    <row r="57" spans="1:106" s="207" customFormat="1" ht="12.75" customHeight="1" x14ac:dyDescent="0.2">
      <c r="A57" s="873" t="s">
        <v>1041</v>
      </c>
      <c r="B57" s="1053" t="str">
        <f t="shared" ref="B57:AG57" si="100">+B$5</f>
        <v>1Q00</v>
      </c>
      <c r="C57" s="1053" t="str">
        <f t="shared" si="100"/>
        <v>2Q00</v>
      </c>
      <c r="D57" s="1053" t="str">
        <f t="shared" si="100"/>
        <v>3Q00</v>
      </c>
      <c r="E57" s="1053" t="str">
        <f t="shared" si="100"/>
        <v>4Q00</v>
      </c>
      <c r="F57" s="1054">
        <f t="shared" si="100"/>
        <v>2000</v>
      </c>
      <c r="G57" s="1053" t="str">
        <f t="shared" si="100"/>
        <v>1Q01</v>
      </c>
      <c r="H57" s="1053" t="str">
        <f t="shared" si="100"/>
        <v>2Q01</v>
      </c>
      <c r="I57" s="1053" t="str">
        <f t="shared" si="100"/>
        <v>3Q01</v>
      </c>
      <c r="J57" s="1053" t="str">
        <f t="shared" si="100"/>
        <v>4Q01</v>
      </c>
      <c r="K57" s="1054">
        <f t="shared" si="100"/>
        <v>2001</v>
      </c>
      <c r="L57" s="1053" t="str">
        <f t="shared" si="100"/>
        <v>1Q02</v>
      </c>
      <c r="M57" s="1053" t="str">
        <f t="shared" si="100"/>
        <v>2Q02</v>
      </c>
      <c r="N57" s="1053" t="str">
        <f t="shared" si="100"/>
        <v>3Q02</v>
      </c>
      <c r="O57" s="1053" t="str">
        <f t="shared" si="100"/>
        <v>4Q02</v>
      </c>
      <c r="P57" s="1054">
        <f t="shared" si="100"/>
        <v>2002</v>
      </c>
      <c r="Q57" s="1053" t="str">
        <f t="shared" si="100"/>
        <v>1Q03</v>
      </c>
      <c r="R57" s="1053" t="str">
        <f t="shared" si="100"/>
        <v>2Q03</v>
      </c>
      <c r="S57" s="1053" t="str">
        <f t="shared" si="100"/>
        <v>3Q03</v>
      </c>
      <c r="T57" s="1453" t="str">
        <f t="shared" si="100"/>
        <v>4Q03</v>
      </c>
      <c r="U57" s="1054">
        <f t="shared" si="100"/>
        <v>2003</v>
      </c>
      <c r="V57" s="1053" t="str">
        <f t="shared" si="100"/>
        <v>1Q04</v>
      </c>
      <c r="W57" s="1053" t="str">
        <f t="shared" si="100"/>
        <v>2Q04</v>
      </c>
      <c r="X57" s="1053" t="str">
        <f t="shared" si="100"/>
        <v>3Q04</v>
      </c>
      <c r="Y57" s="1453" t="str">
        <f t="shared" si="100"/>
        <v>4Q04</v>
      </c>
      <c r="Z57" s="1054" t="str">
        <f t="shared" si="100"/>
        <v>2004</v>
      </c>
      <c r="AA57" s="1053" t="str">
        <f t="shared" si="100"/>
        <v>1Q05</v>
      </c>
      <c r="AB57" s="1053" t="str">
        <f t="shared" si="100"/>
        <v>2Q05</v>
      </c>
      <c r="AC57" s="1053" t="str">
        <f t="shared" si="100"/>
        <v>3Q05</v>
      </c>
      <c r="AD57" s="1453" t="str">
        <f t="shared" si="100"/>
        <v>4Q05</v>
      </c>
      <c r="AE57" s="1054">
        <f t="shared" si="100"/>
        <v>2005</v>
      </c>
      <c r="AF57" s="1053" t="str">
        <f t="shared" si="100"/>
        <v>1Q06</v>
      </c>
      <c r="AG57" s="1053" t="str">
        <f t="shared" si="100"/>
        <v>2Q06</v>
      </c>
      <c r="AH57" s="1053" t="str">
        <f t="shared" ref="AH57:BM57" si="101">+AH$5</f>
        <v>3Q06</v>
      </c>
      <c r="AI57" s="1453" t="str">
        <f t="shared" si="101"/>
        <v>4Q06</v>
      </c>
      <c r="AJ57" s="1054">
        <f t="shared" si="101"/>
        <v>2006</v>
      </c>
      <c r="AK57" s="1053" t="str">
        <f t="shared" si="101"/>
        <v>1Q07</v>
      </c>
      <c r="AL57" s="1053" t="str">
        <f t="shared" si="101"/>
        <v>2Q07</v>
      </c>
      <c r="AM57" s="1053" t="str">
        <f t="shared" si="101"/>
        <v>3Q07</v>
      </c>
      <c r="AN57" s="1053" t="str">
        <f t="shared" si="101"/>
        <v>4Q07</v>
      </c>
      <c r="AO57" s="1054" t="str">
        <f t="shared" si="101"/>
        <v>2007</v>
      </c>
      <c r="AP57" s="1053" t="str">
        <f t="shared" si="101"/>
        <v>1Q08</v>
      </c>
      <c r="AQ57" s="1053" t="str">
        <f t="shared" si="101"/>
        <v>2Q08</v>
      </c>
      <c r="AR57" s="1053" t="str">
        <f t="shared" si="101"/>
        <v>3Q08</v>
      </c>
      <c r="AS57" s="1053" t="str">
        <f t="shared" si="101"/>
        <v>4Q08</v>
      </c>
      <c r="AT57" s="1054" t="str">
        <f t="shared" si="101"/>
        <v>2008</v>
      </c>
      <c r="AU57" s="1053" t="str">
        <f t="shared" si="101"/>
        <v>1Q09</v>
      </c>
      <c r="AV57" s="1053" t="str">
        <f t="shared" si="101"/>
        <v>2Q09</v>
      </c>
      <c r="AW57" s="1053" t="str">
        <f t="shared" si="101"/>
        <v>3Q09</v>
      </c>
      <c r="AX57" s="1053" t="str">
        <f t="shared" si="101"/>
        <v>4Q09</v>
      </c>
      <c r="AY57" s="1054" t="str">
        <f t="shared" si="101"/>
        <v>2009</v>
      </c>
      <c r="AZ57" s="1053" t="str">
        <f t="shared" si="101"/>
        <v>1Q10</v>
      </c>
      <c r="BA57" s="1053" t="str">
        <f t="shared" si="101"/>
        <v>2Q10</v>
      </c>
      <c r="BB57" s="1053" t="str">
        <f t="shared" si="101"/>
        <v>3Q10</v>
      </c>
      <c r="BC57" s="1053" t="str">
        <f t="shared" si="101"/>
        <v>4Q10</v>
      </c>
      <c r="BD57" s="1054" t="str">
        <f t="shared" si="101"/>
        <v>2010</v>
      </c>
      <c r="BE57" s="1053" t="str">
        <f t="shared" si="101"/>
        <v>1Q11</v>
      </c>
      <c r="BF57" s="1053" t="str">
        <f t="shared" si="101"/>
        <v>2Q11</v>
      </c>
      <c r="BG57" s="1053" t="str">
        <f t="shared" si="101"/>
        <v>3Q11</v>
      </c>
      <c r="BH57" s="1053" t="str">
        <f t="shared" si="101"/>
        <v>4Q11</v>
      </c>
      <c r="BI57" s="1054">
        <f t="shared" si="101"/>
        <v>2011</v>
      </c>
      <c r="BJ57" s="1053" t="str">
        <f t="shared" si="101"/>
        <v>1Q12</v>
      </c>
      <c r="BK57" s="1053" t="str">
        <f t="shared" si="101"/>
        <v>2Q12</v>
      </c>
      <c r="BL57" s="1053" t="str">
        <f t="shared" si="101"/>
        <v>3Q12</v>
      </c>
      <c r="BM57" s="1053" t="str">
        <f t="shared" si="101"/>
        <v>4Q12</v>
      </c>
      <c r="BN57" s="1054">
        <f t="shared" ref="BN57:CT57" si="102">+BN$5</f>
        <v>2012</v>
      </c>
      <c r="BO57" s="1053" t="str">
        <f t="shared" si="102"/>
        <v>1Q13</v>
      </c>
      <c r="BP57" s="1053" t="str">
        <f t="shared" si="102"/>
        <v>2Q13</v>
      </c>
      <c r="BQ57" s="1053" t="str">
        <f t="shared" si="102"/>
        <v>3Q13</v>
      </c>
      <c r="BR57" s="1053" t="str">
        <f t="shared" si="102"/>
        <v>4Q13</v>
      </c>
      <c r="BS57" s="1054">
        <f t="shared" si="102"/>
        <v>2013</v>
      </c>
      <c r="BT57" s="1053" t="str">
        <f t="shared" si="102"/>
        <v>1Q14</v>
      </c>
      <c r="BU57" s="1053" t="str">
        <f t="shared" si="102"/>
        <v>2Q14</v>
      </c>
      <c r="BV57" s="1053" t="str">
        <f t="shared" si="102"/>
        <v>3Q14</v>
      </c>
      <c r="BW57" s="1053" t="str">
        <f t="shared" si="102"/>
        <v>4Q14</v>
      </c>
      <c r="BX57" s="1054">
        <f t="shared" si="102"/>
        <v>2014</v>
      </c>
      <c r="BY57" s="1053" t="str">
        <f t="shared" si="102"/>
        <v>1Q15</v>
      </c>
      <c r="BZ57" s="1053" t="str">
        <f t="shared" si="102"/>
        <v>2Q15</v>
      </c>
      <c r="CA57" s="1053" t="str">
        <f t="shared" si="102"/>
        <v>3Q15</v>
      </c>
      <c r="CB57" s="1053" t="str">
        <f t="shared" si="102"/>
        <v>4Q15</v>
      </c>
      <c r="CC57" s="1054">
        <f t="shared" si="102"/>
        <v>2015</v>
      </c>
      <c r="CD57" s="1053" t="str">
        <f t="shared" si="102"/>
        <v>1Q16</v>
      </c>
      <c r="CE57" s="1053" t="str">
        <f t="shared" si="102"/>
        <v>2Q16</v>
      </c>
      <c r="CF57" s="1053" t="str">
        <f t="shared" si="102"/>
        <v>3Q16</v>
      </c>
      <c r="CG57" s="1053" t="str">
        <f t="shared" si="102"/>
        <v>4Q16</v>
      </c>
      <c r="CH57" s="1054">
        <f t="shared" si="102"/>
        <v>2016</v>
      </c>
      <c r="CI57" s="1053" t="str">
        <f t="shared" si="102"/>
        <v>1Q17</v>
      </c>
      <c r="CJ57" s="1053" t="str">
        <f t="shared" si="102"/>
        <v>2Q17</v>
      </c>
      <c r="CK57" s="1053" t="str">
        <f t="shared" si="102"/>
        <v>3Q17</v>
      </c>
      <c r="CL57" s="1053" t="str">
        <f t="shared" si="102"/>
        <v>4Q17A</v>
      </c>
      <c r="CM57" s="1054" t="str">
        <f t="shared" si="102"/>
        <v>2017A</v>
      </c>
      <c r="CN57" s="1053" t="str">
        <f t="shared" si="102"/>
        <v>1Q18E</v>
      </c>
      <c r="CO57" s="1053" t="str">
        <f t="shared" si="102"/>
        <v>2Q18E</v>
      </c>
      <c r="CP57" s="1053" t="str">
        <f t="shared" si="102"/>
        <v>3Q18E</v>
      </c>
      <c r="CQ57" s="1053" t="str">
        <f t="shared" si="102"/>
        <v>4Q18E</v>
      </c>
      <c r="CR57" s="1054" t="str">
        <f t="shared" si="102"/>
        <v>2018E</v>
      </c>
      <c r="CS57" s="1054" t="str">
        <f t="shared" si="102"/>
        <v>2019E</v>
      </c>
      <c r="CT57" s="1054" t="str">
        <f t="shared" si="102"/>
        <v>2020E</v>
      </c>
      <c r="DA57" s="212"/>
      <c r="DB57" s="1226"/>
    </row>
    <row r="58" spans="1:106" s="207" customFormat="1" ht="12.75" customHeight="1" x14ac:dyDescent="0.2">
      <c r="A58" s="1437"/>
      <c r="B58" s="770"/>
      <c r="C58" s="770"/>
      <c r="D58" s="770"/>
      <c r="E58" s="770"/>
      <c r="F58" s="1524"/>
      <c r="G58" s="770"/>
      <c r="H58" s="770"/>
      <c r="I58" s="770"/>
      <c r="J58" s="770"/>
      <c r="K58" s="1524"/>
      <c r="L58" s="770"/>
      <c r="M58" s="770"/>
      <c r="N58" s="770"/>
      <c r="O58" s="770"/>
      <c r="P58" s="1524"/>
      <c r="Q58" s="770"/>
      <c r="R58" s="770"/>
      <c r="S58" s="770"/>
      <c r="T58" s="909"/>
      <c r="U58" s="1524"/>
      <c r="V58" s="770"/>
      <c r="W58" s="770"/>
      <c r="X58" s="770"/>
      <c r="Y58" s="909"/>
      <c r="Z58" s="1524"/>
      <c r="AA58" s="770"/>
      <c r="AB58" s="770"/>
      <c r="AC58" s="770"/>
      <c r="AD58" s="909"/>
      <c r="AE58" s="1524"/>
      <c r="AF58" s="770"/>
      <c r="AG58" s="770"/>
      <c r="AH58" s="770"/>
      <c r="AI58" s="909"/>
      <c r="AJ58" s="1524"/>
      <c r="AK58" s="770"/>
      <c r="AL58" s="770"/>
      <c r="AM58" s="770"/>
      <c r="AN58" s="770"/>
      <c r="AO58" s="1524"/>
      <c r="AP58" s="770"/>
      <c r="AQ58" s="770"/>
      <c r="AR58" s="770"/>
      <c r="AS58" s="770"/>
      <c r="AT58" s="1524"/>
      <c r="AU58" s="770"/>
      <c r="AV58" s="770"/>
      <c r="AW58" s="770"/>
      <c r="AX58" s="770"/>
      <c r="AY58" s="1524"/>
      <c r="AZ58" s="770"/>
      <c r="BA58" s="770"/>
      <c r="BB58" s="770"/>
      <c r="BC58" s="770"/>
      <c r="BD58" s="1524"/>
      <c r="BE58" s="770"/>
      <c r="BF58" s="770"/>
      <c r="BG58" s="770"/>
      <c r="BH58" s="770"/>
      <c r="BI58" s="1524"/>
      <c r="BJ58" s="770"/>
      <c r="BK58" s="770"/>
      <c r="BL58" s="770"/>
      <c r="BM58" s="770"/>
      <c r="BN58" s="1524"/>
      <c r="BO58" s="770"/>
      <c r="BP58" s="770"/>
      <c r="BQ58" s="770"/>
      <c r="BR58" s="770"/>
      <c r="BS58" s="1524"/>
      <c r="BT58" s="770"/>
      <c r="BU58" s="770"/>
      <c r="BV58" s="770"/>
      <c r="BW58" s="770"/>
      <c r="BX58" s="1524"/>
      <c r="BY58" s="770"/>
      <c r="BZ58" s="770"/>
      <c r="CA58" s="770"/>
      <c r="CB58" s="770"/>
      <c r="CC58" s="1524"/>
      <c r="CD58" s="770"/>
      <c r="CE58" s="770"/>
      <c r="CF58" s="770"/>
      <c r="CG58" s="770"/>
      <c r="CH58" s="1524"/>
      <c r="CI58" s="770"/>
      <c r="CJ58" s="770"/>
      <c r="CK58" s="770"/>
      <c r="CL58" s="770"/>
      <c r="CM58" s="1524"/>
      <c r="CN58" s="770"/>
      <c r="CO58" s="770"/>
      <c r="CP58" s="770"/>
      <c r="CQ58" s="770"/>
      <c r="CR58" s="1524"/>
      <c r="CS58" s="1524"/>
      <c r="CT58" s="1524"/>
      <c r="DA58" s="212"/>
      <c r="DB58" s="1226"/>
    </row>
    <row r="59" spans="1:106" s="207" customFormat="1" ht="12.75" customHeight="1" outlineLevel="1" x14ac:dyDescent="0.2">
      <c r="A59" s="1437" t="s">
        <v>2287</v>
      </c>
      <c r="B59" s="770"/>
      <c r="C59" s="770"/>
      <c r="D59" s="770"/>
      <c r="E59" s="770"/>
      <c r="F59" s="1524"/>
      <c r="G59" s="770"/>
      <c r="H59" s="770"/>
      <c r="I59" s="770"/>
      <c r="J59" s="770"/>
      <c r="K59" s="1524"/>
      <c r="L59" s="770"/>
      <c r="M59" s="770"/>
      <c r="N59" s="770"/>
      <c r="O59" s="770"/>
      <c r="P59" s="1524"/>
      <c r="Q59" s="770"/>
      <c r="R59" s="770"/>
      <c r="S59" s="770"/>
      <c r="T59" s="909"/>
      <c r="U59" s="1524"/>
      <c r="V59" s="770"/>
      <c r="W59" s="770"/>
      <c r="X59" s="770"/>
      <c r="Y59" s="909"/>
      <c r="Z59" s="1524"/>
      <c r="AA59" s="770"/>
      <c r="AB59" s="770"/>
      <c r="AC59" s="770"/>
      <c r="AD59" s="909"/>
      <c r="AE59" s="1524"/>
      <c r="AF59" s="770"/>
      <c r="AG59" s="770"/>
      <c r="AH59" s="770"/>
      <c r="AI59" s="909"/>
      <c r="AJ59" s="1524"/>
      <c r="AK59" s="770"/>
      <c r="AL59" s="770"/>
      <c r="AM59" s="770"/>
      <c r="AN59" s="770"/>
      <c r="AO59" s="1524"/>
      <c r="AP59" s="770"/>
      <c r="AQ59" s="770"/>
      <c r="AR59" s="770"/>
      <c r="AS59" s="770"/>
      <c r="AT59" s="1524"/>
      <c r="AU59" s="770"/>
      <c r="AV59" s="770"/>
      <c r="AW59" s="770"/>
      <c r="AX59" s="770"/>
      <c r="AY59" s="1524"/>
      <c r="AZ59" s="770"/>
      <c r="BA59" s="770"/>
      <c r="BB59" s="770"/>
      <c r="BC59" s="770"/>
      <c r="BD59" s="1524"/>
      <c r="BE59" s="770"/>
      <c r="BF59" s="770"/>
      <c r="BG59" s="770"/>
      <c r="BH59" s="770"/>
      <c r="BI59" s="1524"/>
      <c r="BJ59" s="770"/>
      <c r="BK59" s="770"/>
      <c r="BL59" s="770"/>
      <c r="BM59" s="770"/>
      <c r="BN59" s="1524"/>
      <c r="BO59" s="770"/>
      <c r="BP59" s="770"/>
      <c r="BQ59" s="770"/>
      <c r="BR59" s="770"/>
      <c r="BS59" s="1524"/>
      <c r="BT59" s="770"/>
      <c r="BU59" s="770"/>
      <c r="BV59" s="770"/>
      <c r="BW59" s="770"/>
      <c r="BX59" s="1524"/>
      <c r="BY59" s="1486">
        <v>80</v>
      </c>
      <c r="BZ59" s="1486">
        <v>80</v>
      </c>
      <c r="CA59" s="1486">
        <v>80</v>
      </c>
      <c r="CB59" s="1486">
        <v>80</v>
      </c>
      <c r="CC59" s="1487"/>
      <c r="CD59" s="1486">
        <v>84.767759562841519</v>
      </c>
      <c r="CE59" s="1486">
        <v>84.767759562841519</v>
      </c>
      <c r="CF59" s="1486">
        <f>CE59</f>
        <v>84.767759562841519</v>
      </c>
      <c r="CG59" s="1486">
        <f>CF59</f>
        <v>84.767759562841519</v>
      </c>
      <c r="CH59" s="1487"/>
      <c r="CI59" s="1486">
        <v>88</v>
      </c>
      <c r="CJ59" s="1486">
        <f>CI59</f>
        <v>88</v>
      </c>
      <c r="CK59" s="1486">
        <f>CJ59</f>
        <v>88</v>
      </c>
      <c r="CL59" s="1486">
        <f>CK59</f>
        <v>88</v>
      </c>
      <c r="CM59" s="2701"/>
      <c r="CN59" s="1486">
        <v>91</v>
      </c>
      <c r="CO59" s="1486">
        <v>91</v>
      </c>
      <c r="CP59" s="1486">
        <v>91</v>
      </c>
      <c r="CQ59" s="1486">
        <v>91</v>
      </c>
      <c r="CR59" s="2701">
        <v>91</v>
      </c>
      <c r="CS59" s="2701">
        <v>91</v>
      </c>
      <c r="CT59" s="2701">
        <v>83</v>
      </c>
      <c r="DA59" s="212"/>
      <c r="DB59" s="1226"/>
    </row>
    <row r="60" spans="1:106" s="207" customFormat="1" ht="12.75" customHeight="1" outlineLevel="1" x14ac:dyDescent="0.2">
      <c r="A60" s="1437"/>
      <c r="B60" s="770"/>
      <c r="C60" s="770"/>
      <c r="D60" s="770"/>
      <c r="E60" s="770"/>
      <c r="F60" s="1524"/>
      <c r="G60" s="770"/>
      <c r="H60" s="770"/>
      <c r="I60" s="770"/>
      <c r="J60" s="770"/>
      <c r="K60" s="1524"/>
      <c r="L60" s="770"/>
      <c r="M60" s="770"/>
      <c r="N60" s="770"/>
      <c r="O60" s="770"/>
      <c r="P60" s="1524"/>
      <c r="Q60" s="770"/>
      <c r="R60" s="770"/>
      <c r="S60" s="770"/>
      <c r="T60" s="909"/>
      <c r="U60" s="1524"/>
      <c r="V60" s="770"/>
      <c r="W60" s="770"/>
      <c r="X60" s="770"/>
      <c r="Y60" s="909"/>
      <c r="Z60" s="1524"/>
      <c r="AA60" s="770"/>
      <c r="AB60" s="770"/>
      <c r="AC60" s="770"/>
      <c r="AD60" s="909"/>
      <c r="AE60" s="1524"/>
      <c r="AF60" s="770"/>
      <c r="AG60" s="770"/>
      <c r="AH60" s="770"/>
      <c r="AI60" s="909"/>
      <c r="AJ60" s="1524"/>
      <c r="AK60" s="770"/>
      <c r="AL60" s="770"/>
      <c r="AM60" s="770"/>
      <c r="AN60" s="770"/>
      <c r="AO60" s="1524"/>
      <c r="AP60" s="770"/>
      <c r="AQ60" s="770"/>
      <c r="AR60" s="770"/>
      <c r="AS60" s="770"/>
      <c r="AT60" s="1524"/>
      <c r="AU60" s="770"/>
      <c r="AV60" s="770"/>
      <c r="AW60" s="770"/>
      <c r="AX60" s="770"/>
      <c r="AY60" s="1524"/>
      <c r="AZ60" s="770"/>
      <c r="BA60" s="770"/>
      <c r="BB60" s="770"/>
      <c r="BC60" s="770"/>
      <c r="BD60" s="1524"/>
      <c r="BE60" s="770"/>
      <c r="BF60" s="770"/>
      <c r="BG60" s="770"/>
      <c r="BH60" s="770"/>
      <c r="BI60" s="1524"/>
      <c r="BJ60" s="770"/>
      <c r="BK60" s="770"/>
      <c r="BL60" s="770"/>
      <c r="BM60" s="770"/>
      <c r="BN60" s="1524"/>
      <c r="BO60" s="770"/>
      <c r="BP60" s="770"/>
      <c r="BQ60" s="770"/>
      <c r="BR60" s="770"/>
      <c r="BS60" s="1524"/>
      <c r="BT60" s="770"/>
      <c r="BU60" s="770"/>
      <c r="BV60" s="770"/>
      <c r="BW60" s="770"/>
      <c r="BX60" s="1524"/>
      <c r="BY60" s="770"/>
      <c r="BZ60" s="770"/>
      <c r="CA60" s="770"/>
      <c r="CB60" s="770"/>
      <c r="CC60" s="1524"/>
      <c r="CD60" s="770"/>
      <c r="CE60" s="770"/>
      <c r="CF60" s="770"/>
      <c r="CG60" s="770"/>
      <c r="CH60" s="1524"/>
      <c r="CI60" s="770"/>
      <c r="CJ60" s="770"/>
      <c r="CK60" s="770"/>
      <c r="CL60" s="770"/>
      <c r="CM60" s="1524"/>
      <c r="CN60" s="770"/>
      <c r="CO60" s="770"/>
      <c r="CP60" s="770"/>
      <c r="CQ60" s="770"/>
      <c r="CR60" s="1524"/>
      <c r="CS60" s="1524"/>
      <c r="CT60" s="1524"/>
      <c r="DA60" s="212"/>
      <c r="DB60" s="1226"/>
    </row>
    <row r="61" spans="1:106" s="207" customFormat="1" ht="12.75" customHeight="1" outlineLevel="1" x14ac:dyDescent="0.2">
      <c r="A61" s="1437"/>
      <c r="B61" s="770"/>
      <c r="C61" s="770"/>
      <c r="D61" s="770"/>
      <c r="E61" s="770"/>
      <c r="F61" s="1524"/>
      <c r="G61" s="770"/>
      <c r="H61" s="770"/>
      <c r="I61" s="770"/>
      <c r="J61" s="770"/>
      <c r="K61" s="1524"/>
      <c r="L61" s="770"/>
      <c r="M61" s="770"/>
      <c r="N61" s="770"/>
      <c r="O61" s="770"/>
      <c r="P61" s="1524"/>
      <c r="Q61" s="770"/>
      <c r="R61" s="770"/>
      <c r="S61" s="770"/>
      <c r="T61" s="909"/>
      <c r="U61" s="1524"/>
      <c r="V61" s="770"/>
      <c r="W61" s="770"/>
      <c r="X61" s="770"/>
      <c r="Y61" s="909"/>
      <c r="Z61" s="1524"/>
      <c r="AA61" s="770"/>
      <c r="AB61" s="770"/>
      <c r="AC61" s="770"/>
      <c r="AD61" s="909"/>
      <c r="AE61" s="1524"/>
      <c r="AF61" s="770"/>
      <c r="AG61" s="770"/>
      <c r="AH61" s="770"/>
      <c r="AI61" s="909"/>
      <c r="AJ61" s="1524"/>
      <c r="AK61" s="770"/>
      <c r="AL61" s="770"/>
      <c r="AM61" s="770"/>
      <c r="AN61" s="770"/>
      <c r="AO61" s="1524"/>
      <c r="AP61" s="770"/>
      <c r="AQ61" s="770"/>
      <c r="AR61" s="770"/>
      <c r="AS61" s="770"/>
      <c r="AT61" s="1524"/>
      <c r="AU61" s="770"/>
      <c r="AV61" s="770"/>
      <c r="AW61" s="770"/>
      <c r="AX61" s="770"/>
      <c r="AY61" s="1524"/>
      <c r="AZ61" s="770"/>
      <c r="BA61" s="770"/>
      <c r="BB61" s="770"/>
      <c r="BC61" s="770"/>
      <c r="BD61" s="1524"/>
      <c r="BE61" s="770"/>
      <c r="BF61" s="770"/>
      <c r="BG61" s="770"/>
      <c r="BH61" s="770"/>
      <c r="BI61" s="1524"/>
      <c r="BJ61" s="770"/>
      <c r="BK61" s="770"/>
      <c r="BL61" s="770"/>
      <c r="BM61" s="770"/>
      <c r="BN61" s="1524"/>
      <c r="BO61" s="770"/>
      <c r="BP61" s="770"/>
      <c r="BQ61" s="770"/>
      <c r="BR61" s="770"/>
      <c r="BS61" s="1524"/>
      <c r="BT61" s="770"/>
      <c r="BU61" s="770"/>
      <c r="BV61" s="770"/>
      <c r="BW61" s="770"/>
      <c r="BX61" s="1524"/>
      <c r="BY61" s="770"/>
      <c r="BZ61" s="770"/>
      <c r="CA61" s="770"/>
      <c r="CB61" s="770"/>
      <c r="CC61" s="1524"/>
      <c r="CD61" s="770"/>
      <c r="CE61" s="770"/>
      <c r="CF61" s="770"/>
      <c r="CG61" s="770"/>
      <c r="CH61" s="1524"/>
      <c r="CI61" s="770"/>
      <c r="CJ61" s="770"/>
      <c r="CK61" s="770"/>
      <c r="CL61" s="770"/>
      <c r="CM61" s="1524"/>
      <c r="CN61" s="770"/>
      <c r="CO61" s="770"/>
      <c r="CP61" s="770"/>
      <c r="CQ61" s="770"/>
      <c r="CR61" s="1524"/>
      <c r="CS61" s="1524"/>
      <c r="CT61" s="1524"/>
      <c r="DA61" s="212"/>
      <c r="DB61" s="1226"/>
    </row>
    <row r="62" spans="1:106" s="207" customFormat="1" ht="12.75" customHeight="1" x14ac:dyDescent="0.2">
      <c r="A62" s="1437" t="s">
        <v>518</v>
      </c>
      <c r="B62" s="770"/>
      <c r="C62" s="770"/>
      <c r="D62" s="770"/>
      <c r="E62" s="770"/>
      <c r="F62" s="1524"/>
      <c r="G62" s="770"/>
      <c r="H62" s="770"/>
      <c r="I62" s="770"/>
      <c r="J62" s="770"/>
      <c r="K62" s="1524"/>
      <c r="L62" s="770"/>
      <c r="M62" s="770"/>
      <c r="N62" s="770"/>
      <c r="O62" s="770"/>
      <c r="P62" s="1524"/>
      <c r="Q62" s="770"/>
      <c r="R62" s="770"/>
      <c r="S62" s="770"/>
      <c r="T62" s="909"/>
      <c r="U62" s="1524"/>
      <c r="V62" s="770"/>
      <c r="W62" s="770"/>
      <c r="X62" s="770"/>
      <c r="Y62" s="909"/>
      <c r="Z62" s="1524"/>
      <c r="AA62" s="770"/>
      <c r="AB62" s="770"/>
      <c r="AC62" s="770"/>
      <c r="AD62" s="909"/>
      <c r="AE62" s="1524"/>
      <c r="AF62" s="770"/>
      <c r="AG62" s="770"/>
      <c r="AH62" s="770"/>
      <c r="AI62" s="909"/>
      <c r="AJ62" s="1524"/>
      <c r="AK62" s="770"/>
      <c r="AL62" s="770"/>
      <c r="AM62" s="770"/>
      <c r="AN62" s="770"/>
      <c r="AO62" s="1524"/>
      <c r="AP62" s="770"/>
      <c r="AQ62" s="770"/>
      <c r="AR62" s="770"/>
      <c r="AS62" s="770"/>
      <c r="AT62" s="1524"/>
      <c r="AU62" s="770"/>
      <c r="AV62" s="770"/>
      <c r="AW62" s="770"/>
      <c r="AX62" s="770"/>
      <c r="AY62" s="1524"/>
      <c r="AZ62" s="770"/>
      <c r="BA62" s="770"/>
      <c r="BB62" s="770"/>
      <c r="BC62" s="770"/>
      <c r="BD62" s="1524"/>
      <c r="BE62" s="770"/>
      <c r="BF62" s="770"/>
      <c r="BG62" s="770"/>
      <c r="BH62" s="770"/>
      <c r="BI62" s="1524"/>
      <c r="BJ62" s="770"/>
      <c r="BK62" s="770"/>
      <c r="BL62" s="770"/>
      <c r="BM62" s="770"/>
      <c r="BN62" s="1524"/>
      <c r="BO62" s="770"/>
      <c r="BP62" s="770"/>
      <c r="BQ62" s="770"/>
      <c r="BR62" s="770"/>
      <c r="BS62" s="1524"/>
      <c r="BT62" s="770"/>
      <c r="BU62" s="770"/>
      <c r="BV62" s="770"/>
      <c r="BW62" s="770"/>
      <c r="BX62" s="1524"/>
      <c r="BY62" s="770"/>
      <c r="BZ62" s="770"/>
      <c r="CA62" s="770"/>
      <c r="CB62" s="770"/>
      <c r="CC62" s="1524"/>
      <c r="CD62" s="770"/>
      <c r="CE62" s="770"/>
      <c r="CF62" s="770"/>
      <c r="CG62" s="770"/>
      <c r="CH62" s="1524"/>
      <c r="CI62" s="770"/>
      <c r="CJ62" s="770"/>
      <c r="CK62" s="770"/>
      <c r="CL62" s="770"/>
      <c r="CM62" s="1524"/>
      <c r="CN62" s="770"/>
      <c r="CO62" s="770"/>
      <c r="CP62" s="770"/>
      <c r="CQ62" s="770"/>
      <c r="CR62" s="1524"/>
      <c r="CS62" s="1524"/>
      <c r="CT62" s="1524"/>
      <c r="DA62" s="212"/>
      <c r="DB62" s="1226"/>
    </row>
    <row r="63" spans="1:106" s="207" customFormat="1" ht="12.75" customHeight="1" x14ac:dyDescent="0.2">
      <c r="A63" s="1434" t="s">
        <v>346</v>
      </c>
      <c r="B63" s="1466">
        <f>B169*B119</f>
        <v>112.30923</v>
      </c>
      <c r="C63" s="1466">
        <f>C169*C119</f>
        <v>123.68866999999999</v>
      </c>
      <c r="D63" s="1466">
        <f>D169*D119</f>
        <v>116.91648000000001</v>
      </c>
      <c r="E63" s="1469">
        <f>E169*E119</f>
        <v>116.53691000000001</v>
      </c>
      <c r="F63" s="1487">
        <f>+SUMPRODUCT(B63:E63,B$4:E$4)/F$4</f>
        <v>117.29929076923077</v>
      </c>
      <c r="G63" s="1467">
        <f>G169*G119</f>
        <v>113.80404</v>
      </c>
      <c r="H63" s="1467">
        <f>H169*H119</f>
        <v>115.27664000000001</v>
      </c>
      <c r="I63" s="1467">
        <f>I169*I119</f>
        <v>109.3263</v>
      </c>
      <c r="J63" s="1467">
        <f>J169*J119</f>
        <v>82.992130000000003</v>
      </c>
      <c r="K63" s="1487">
        <f>+SUMPRODUCT(G63:J63,G$4:J$4)/K$4</f>
        <v>103.62995846153846</v>
      </c>
      <c r="L63" s="1467">
        <f>L169*L119</f>
        <v>98.721499999999992</v>
      </c>
      <c r="M63" s="1467">
        <f>M169*M119</f>
        <v>101.32373999999999</v>
      </c>
      <c r="N63" s="1467">
        <f>N169*N119</f>
        <v>97.927320000000009</v>
      </c>
      <c r="O63" s="1467">
        <f>O169*O119</f>
        <v>96.233279999999993</v>
      </c>
      <c r="P63" s="1487">
        <f>+SUMPRODUCT(L63:O63,L$4:O$4)/P$4</f>
        <v>98.349879130434786</v>
      </c>
      <c r="Q63" s="1467">
        <f>Q169*Q119</f>
        <v>87.843899999999991</v>
      </c>
      <c r="R63" s="1467">
        <f>R169*R119</f>
        <v>89.73536</v>
      </c>
      <c r="S63" s="1467">
        <f>S169*S119</f>
        <v>85.743700000000004</v>
      </c>
      <c r="T63" s="1467">
        <f>T169*T119</f>
        <v>83.993579999999994</v>
      </c>
      <c r="U63" s="1487">
        <f>+SUMPRODUCT(Q63:T63,Q$4:T$4)/U$4</f>
        <v>86.60384432876711</v>
      </c>
      <c r="V63" s="1467">
        <f>V169*V119</f>
        <v>94.359300000000019</v>
      </c>
      <c r="W63" s="1467">
        <f>W169*W119</f>
        <v>99.250799999999998</v>
      </c>
      <c r="X63" s="1467">
        <f>X169*X119</f>
        <v>92.100359999999995</v>
      </c>
      <c r="Y63" s="1467">
        <f>Y169*Y119</f>
        <v>94.74015</v>
      </c>
      <c r="Z63" s="1487">
        <f>+SUMPRODUCT(V63:Y63,V$4:Y$4)/Z$4</f>
        <v>95.080038360655735</v>
      </c>
      <c r="AA63" s="1467">
        <f>AA169*AA119</f>
        <v>99.690680000000015</v>
      </c>
      <c r="AB63" s="1467">
        <f>AB169*AB119</f>
        <v>107.40626</v>
      </c>
      <c r="AC63" s="1467">
        <f>AC169*AC119</f>
        <v>99.44550000000001</v>
      </c>
      <c r="AD63" s="1467">
        <f>AD169*AD119</f>
        <v>102.56854019255131</v>
      </c>
      <c r="AE63" s="1487">
        <f>+SUMPRODUCT(AA63:AD63,AA$4:AD$4)/AE$4</f>
        <v>102.30084931988577</v>
      </c>
      <c r="AF63" s="1467">
        <f>AF169*AF119</f>
        <v>106.35504405543173</v>
      </c>
      <c r="AG63" s="1467">
        <f>AG169*AG119</f>
        <v>111.1412894816407</v>
      </c>
      <c r="AH63" s="1467">
        <f>AH169*AH119</f>
        <v>109.82552197671069</v>
      </c>
      <c r="AI63" s="1467">
        <f>AI169*AI119</f>
        <v>108.59203905350999</v>
      </c>
      <c r="AJ63" s="1487">
        <f>+SUMPRODUCT(AF63:AI63,AF$4:AI$4)/AJ$4</f>
        <v>108.95489349491476</v>
      </c>
      <c r="AK63" s="1467">
        <f>AK169*AK119</f>
        <v>108.74994897877798</v>
      </c>
      <c r="AL63" s="1467">
        <f>AL169*AL119</f>
        <v>119.76651000000001</v>
      </c>
      <c r="AM63" s="1467">
        <f>AM169*AM119</f>
        <v>113.25175</v>
      </c>
      <c r="AN63" s="1467">
        <f>AN169*AN119</f>
        <v>112.64880000000001</v>
      </c>
      <c r="AO63" s="1487">
        <f>+SUMPRODUCT(AK63:AN63,AK$4:AN$4)/AO$4</f>
        <v>113.54146704735874</v>
      </c>
      <c r="AP63" s="1467">
        <f>AP169*AP119</f>
        <v>110.10006000000001</v>
      </c>
      <c r="AQ63" s="1467">
        <f>AQ169*AQ119</f>
        <v>122.35495999999999</v>
      </c>
      <c r="AR63" s="1467">
        <f>AR169*AR119</f>
        <v>113.05551</v>
      </c>
      <c r="AS63" s="1467">
        <f>AS169*AS119</f>
        <v>101.7324</v>
      </c>
      <c r="AT63" s="1487">
        <f>+SUMPRODUCT(AP63:AS63,AP$4:AS$4)/AT$4</f>
        <v>110.90941821138212</v>
      </c>
      <c r="AU63" s="1467">
        <f>AU169*AU119</f>
        <v>92.123069999999998</v>
      </c>
      <c r="AV63" s="1467">
        <f>AV169*AV119</f>
        <v>96.147449999999992</v>
      </c>
      <c r="AW63" s="1467">
        <f>AW169*AW119</f>
        <v>90.629429999999999</v>
      </c>
      <c r="AX63" s="1467">
        <f>AX169*AX119</f>
        <v>89.829279999999997</v>
      </c>
      <c r="AY63" s="1487">
        <f>+SUMPRODUCT(AU63:AX63,AU$4:AX$4)/AY$4</f>
        <v>92.001305384615392</v>
      </c>
      <c r="AZ63" s="1467">
        <f>AZ169*AZ119</f>
        <v>89.852500000000006</v>
      </c>
      <c r="BA63" s="1467">
        <f>BA169*BA119</f>
        <v>102.22099999999999</v>
      </c>
      <c r="BB63" s="1467">
        <f>BB169*BB119</f>
        <v>95.195979999999992</v>
      </c>
      <c r="BC63" s="1467">
        <f>BC169*BC119</f>
        <v>93.460620000000006</v>
      </c>
      <c r="BD63" s="1487">
        <f>+SUMPRODUCT(AZ63:BC63,AZ$4:BC$4)/BD$4</f>
        <v>95.050070769230771</v>
      </c>
      <c r="BE63" s="1467">
        <f>BE169*BE119</f>
        <v>96.774599999999992</v>
      </c>
      <c r="BF63" s="1467">
        <f>BF169*BF119</f>
        <v>109.80137999999998</v>
      </c>
      <c r="BG63" s="1467">
        <f>BG169*BG119</f>
        <v>102.0162</v>
      </c>
      <c r="BH63" s="1467">
        <f>BH119*BH169</f>
        <v>100.30418999999999</v>
      </c>
      <c r="BI63" s="1487">
        <f>+SUMPRODUCT(BE63:BH63,BE$4:BH$4)/BI$4</f>
        <v>102.07640769230768</v>
      </c>
      <c r="BJ63" s="1467">
        <f>BJ119*BJ169</f>
        <v>105.11328</v>
      </c>
      <c r="BK63" s="1467">
        <f>BK119*BK169</f>
        <v>117.944</v>
      </c>
      <c r="BL63" s="1467">
        <f>BL119*BL169</f>
        <v>109.8723</v>
      </c>
      <c r="BM63" s="1467">
        <f>BM119*BM169</f>
        <v>107.86256</v>
      </c>
      <c r="BN63" s="1487">
        <f>+SUMPRODUCT(BJ63:BM63,BJ$4:BM$4)/BN$4</f>
        <v>110.01838307692309</v>
      </c>
      <c r="BO63" s="1467">
        <f>BO119*BO169</f>
        <v>112.48385000000002</v>
      </c>
      <c r="BP63" s="1467">
        <f>BP119*BP169</f>
        <v>125.50364999999999</v>
      </c>
      <c r="BQ63" s="1467">
        <f>BQ119*BQ169</f>
        <v>116.75399999999999</v>
      </c>
      <c r="BR63" s="1467">
        <f>BR119*BR169</f>
        <v>111.33696</v>
      </c>
      <c r="BS63" s="1487">
        <f>+SUMPRODUCT(BO63:BR63,BO$4:BR$4)/BS$4</f>
        <v>116.50609513661203</v>
      </c>
      <c r="BT63" s="1467">
        <f>BT119*BT169</f>
        <v>120.76650000000001</v>
      </c>
      <c r="BU63" s="1467">
        <f>BU119*BU169</f>
        <v>132.43788999999998</v>
      </c>
      <c r="BV63" s="1467">
        <f>BV119*BV169</f>
        <v>126.6739</v>
      </c>
      <c r="BW63" s="1467">
        <f>BW119*BW169</f>
        <v>117.43102</v>
      </c>
      <c r="BX63" s="1487">
        <f>+SUMPRODUCT(BT63:BW63,BT$4:BW$4)/BX$4</f>
        <v>124.32461816438355</v>
      </c>
      <c r="BY63" s="1467">
        <f>BY119*BY169</f>
        <v>123.79659999999998</v>
      </c>
      <c r="BZ63" s="1467">
        <f>BZ119*BZ169</f>
        <v>137.58446000000001</v>
      </c>
      <c r="CA63" s="1467">
        <f>CA119*CA169</f>
        <v>131.00880000000001</v>
      </c>
      <c r="CB63" s="1467">
        <f>CB119*CB169</f>
        <v>119.56317</v>
      </c>
      <c r="CC63" s="1487">
        <f>+SUMPRODUCT(BY63:CB63,BY$4:CB$4)/CC$4</f>
        <v>127.98493452054795</v>
      </c>
      <c r="CD63" s="1467">
        <f>CD119*CD169</f>
        <v>125.40527999999999</v>
      </c>
      <c r="CE63" s="1467">
        <f>CE119*CE169</f>
        <v>141.16536000000002</v>
      </c>
      <c r="CF63" s="1467">
        <f>CF119*CF169</f>
        <v>131.71787999999998</v>
      </c>
      <c r="CG63" s="1467"/>
      <c r="CH63" s="2697"/>
      <c r="CI63" s="1467"/>
      <c r="CJ63" s="1467"/>
      <c r="CK63" s="1467"/>
      <c r="CL63" s="1467"/>
      <c r="CM63" s="1487"/>
      <c r="CN63" s="1467"/>
      <c r="CO63" s="1467"/>
      <c r="CP63" s="1467"/>
      <c r="CQ63" s="1467"/>
      <c r="CR63" s="1468"/>
      <c r="CS63" s="1468"/>
      <c r="CT63" s="1468"/>
      <c r="CV63" s="537"/>
      <c r="CW63" s="537"/>
      <c r="CX63" s="537"/>
      <c r="DA63" s="212"/>
      <c r="DB63" s="1226"/>
    </row>
    <row r="64" spans="1:106" s="207" customFormat="1" ht="12.75" customHeight="1" x14ac:dyDescent="0.2">
      <c r="A64" s="1595" t="s">
        <v>652</v>
      </c>
      <c r="B64" s="885"/>
      <c r="C64" s="885"/>
      <c r="D64" s="885"/>
      <c r="E64" s="885"/>
      <c r="F64" s="1044"/>
      <c r="G64" s="885">
        <f>G63/B63-1</f>
        <v>1.3309769820343265E-2</v>
      </c>
      <c r="H64" s="885">
        <f>H63/C63-1</f>
        <v>-6.8009705335177251E-2</v>
      </c>
      <c r="I64" s="885">
        <f>I63/D63-1</f>
        <v>-6.4919675994350889E-2</v>
      </c>
      <c r="J64" s="885">
        <f>J63/E63-1</f>
        <v>-0.28784682895745217</v>
      </c>
      <c r="K64" s="1044">
        <f>+K63/F63-1</f>
        <v>-0.11653380185038553</v>
      </c>
      <c r="L64" s="885">
        <f>L63/G63-1</f>
        <v>-0.13253079591902017</v>
      </c>
      <c r="M64" s="885">
        <f>M63/H63-1</f>
        <v>-0.12103839945369699</v>
      </c>
      <c r="N64" s="885">
        <f>N63/I63-1</f>
        <v>-0.10426567074894144</v>
      </c>
      <c r="O64" s="885">
        <f>O63/J63-1</f>
        <v>0.15954705584734352</v>
      </c>
      <c r="P64" s="1044">
        <f>+P63/K63-1</f>
        <v>-5.0951282905930539E-2</v>
      </c>
      <c r="Q64" s="885">
        <f>Q63/L63-1</f>
        <v>-0.1101847115370006</v>
      </c>
      <c r="R64" s="885">
        <f>R63/M63-1</f>
        <v>-0.11436984067110023</v>
      </c>
      <c r="S64" s="885">
        <f>S63/N63-1</f>
        <v>-0.1244149232308206</v>
      </c>
      <c r="T64" s="885">
        <f>T63/O63-1</f>
        <v>-0.1271878086250412</v>
      </c>
      <c r="U64" s="1044">
        <f>+U63/P63-1</f>
        <v>-0.11943110561518544</v>
      </c>
      <c r="V64" s="885">
        <f>V63/Q63-1</f>
        <v>7.4170204191754019E-2</v>
      </c>
      <c r="W64" s="885">
        <f>W63/R63-1</f>
        <v>0.10603891264268617</v>
      </c>
      <c r="X64" s="885">
        <f>X63/S63-1</f>
        <v>7.4135592469184219E-2</v>
      </c>
      <c r="Y64" s="885">
        <f>Y63/T63-1</f>
        <v>0.12794513580680822</v>
      </c>
      <c r="Z64" s="1044">
        <f>+Z63/U63-1</f>
        <v>9.7873184471016561E-2</v>
      </c>
      <c r="AA64" s="885">
        <f>AA63/V63-1</f>
        <v>5.6500843054155814E-2</v>
      </c>
      <c r="AB64" s="885">
        <f>AB63/W63-1</f>
        <v>8.2170219282867274E-2</v>
      </c>
      <c r="AC64" s="885">
        <f>AC63/X63-1</f>
        <v>7.975147979877617E-2</v>
      </c>
      <c r="AD64" s="885">
        <f>AD63/Y63-1</f>
        <v>8.2630122419600438E-2</v>
      </c>
      <c r="AE64" s="1044">
        <f>+AE63/Z63-1</f>
        <v>7.5944552439495272E-2</v>
      </c>
      <c r="AF64" s="885">
        <f>AF63/AA63-1</f>
        <v>6.6850422280515298E-2</v>
      </c>
      <c r="AG64" s="885">
        <f>AG63/AB63-1</f>
        <v>3.4774783905898055E-2</v>
      </c>
      <c r="AH64" s="885">
        <f>AH63/AC63-1</f>
        <v>0.10437900132947875</v>
      </c>
      <c r="AI64" s="885">
        <f>AI63/AD63-1</f>
        <v>5.8726572978915481E-2</v>
      </c>
      <c r="AJ64" s="1044">
        <f>+AJ63/AE63-1</f>
        <v>6.5043880077890304E-2</v>
      </c>
      <c r="AK64" s="885">
        <f>AK63/AF63-1</f>
        <v>2.251801919331653E-2</v>
      </c>
      <c r="AL64" s="885">
        <f>AL63/AG63-1</f>
        <v>7.760590648702248E-2</v>
      </c>
      <c r="AM64" s="885">
        <f>AM63/AH63-1</f>
        <v>3.1197011055552837E-2</v>
      </c>
      <c r="AN64" s="885">
        <f>AN63/AI63-1</f>
        <v>3.7357811694566312E-2</v>
      </c>
      <c r="AO64" s="1044">
        <f>+AO63/AJ63-1</f>
        <v>4.2096076691204853E-2</v>
      </c>
      <c r="AP64" s="885">
        <f>AP63/AK63-1</f>
        <v>1.2414819812793576E-2</v>
      </c>
      <c r="AQ64" s="885">
        <f>AQ63/AL63-1</f>
        <v>2.1612469128473144E-2</v>
      </c>
      <c r="AR64" s="885">
        <f>AR63/AM63-1</f>
        <v>-1.7327767562090868E-3</v>
      </c>
      <c r="AS64" s="885">
        <f>AS63/AN63-1</f>
        <v>-9.6906491680337603E-2</v>
      </c>
      <c r="AT64" s="1044">
        <f>+AT63/AO63-1</f>
        <v>-2.3181388301762751E-2</v>
      </c>
      <c r="AU64" s="885">
        <f>AU63/AP63-1</f>
        <v>-0.16327865761381066</v>
      </c>
      <c r="AV64" s="885">
        <f>AV63/AQ63-1</f>
        <v>-0.21419246101670097</v>
      </c>
      <c r="AW64" s="885">
        <f>AW63/AR63-1</f>
        <v>-0.19836344110959292</v>
      </c>
      <c r="AX64" s="885">
        <f>AX63/AS63-1</f>
        <v>-0.11700421891157586</v>
      </c>
      <c r="AY64" s="1044">
        <f>+AY63/AT63-1</f>
        <v>-0.17048248139513078</v>
      </c>
      <c r="AZ64" s="885">
        <f>AZ63/AU63-1</f>
        <v>-2.4647137790783535E-2</v>
      </c>
      <c r="BA64" s="885">
        <f>BA63/AV63-1</f>
        <v>6.3169122009996137E-2</v>
      </c>
      <c r="BB64" s="885">
        <f>BB63/AW63-1</f>
        <v>5.0387054183171909E-2</v>
      </c>
      <c r="BC64" s="885">
        <f>BC63/AX63-1</f>
        <v>4.0424903773023768E-2</v>
      </c>
      <c r="BD64" s="1044">
        <f>+BD63/AY63-1</f>
        <v>3.3138283982709682E-2</v>
      </c>
      <c r="BE64" s="885">
        <f>BE63/AZ63-1</f>
        <v>7.7038479730669573E-2</v>
      </c>
      <c r="BF64" s="885">
        <f>BF63/BA63-1</f>
        <v>7.4156777961475573E-2</v>
      </c>
      <c r="BG64" s="885">
        <f>BG63/BB63-1</f>
        <v>7.1643991689565034E-2</v>
      </c>
      <c r="BH64" s="885">
        <f>BH63/BC63-1</f>
        <v>7.3224102301054472E-2</v>
      </c>
      <c r="BI64" s="1044">
        <f>+BI63/BD63-1</f>
        <v>7.3922479659546347E-2</v>
      </c>
      <c r="BJ64" s="885">
        <f>BJ63/BE63-1</f>
        <v>8.6165998102808006E-2</v>
      </c>
      <c r="BK64" s="885">
        <f>BK63/BF63-1</f>
        <v>7.4157720057799192E-2</v>
      </c>
      <c r="BL64" s="885">
        <f>BL63/BG63-1</f>
        <v>7.7008357496162416E-2</v>
      </c>
      <c r="BM64" s="885">
        <f>BM63/BH63-1</f>
        <v>7.5354479209692071E-2</v>
      </c>
      <c r="BN64" s="1044">
        <f>+BN63/BI63-1</f>
        <v>7.7804221016037012E-2</v>
      </c>
      <c r="BO64" s="885">
        <f>BO63/BJ63-1</f>
        <v>7.012025502391328E-2</v>
      </c>
      <c r="BP64" s="885">
        <f>BP63/BK63-1</f>
        <v>6.4095248592552334E-2</v>
      </c>
      <c r="BQ64" s="885">
        <f>BQ63/BL63-1</f>
        <v>6.2633621030960374E-2</v>
      </c>
      <c r="BR64" s="885">
        <f>BR63/BM63-1</f>
        <v>3.221136231144528E-2</v>
      </c>
      <c r="BS64" s="1044">
        <f>+BS63/BN63-1</f>
        <v>5.89693456515612E-2</v>
      </c>
      <c r="BT64" s="885">
        <f>BT63/BO63-1</f>
        <v>7.3634126143441891E-2</v>
      </c>
      <c r="BU64" s="885">
        <f>BU63/BP63-1</f>
        <v>5.525130145617263E-2</v>
      </c>
      <c r="BV64" s="885">
        <f>BV63/BQ63-1</f>
        <v>8.496411257858405E-2</v>
      </c>
      <c r="BW64" s="885">
        <f>BW63/BR63-1</f>
        <v>5.4735282874617708E-2</v>
      </c>
      <c r="BX64" s="1044">
        <f>+BX63/BS63-1</f>
        <v>6.7108274623775888E-2</v>
      </c>
      <c r="BY64" s="885">
        <f>BY63/BT63-1</f>
        <v>2.5090567334484115E-2</v>
      </c>
      <c r="BZ64" s="885">
        <f>BZ63/BU63-1</f>
        <v>3.8860253663056898E-2</v>
      </c>
      <c r="CA64" s="885">
        <f>CA63/BV63-1</f>
        <v>3.4220940541026978E-2</v>
      </c>
      <c r="CB64" s="885">
        <f>CB63/BW63-1</f>
        <v>1.8156616539650283E-2</v>
      </c>
      <c r="CC64" s="1044">
        <f>+CC63/BX63-1</f>
        <v>2.9441605453593089E-2</v>
      </c>
      <c r="CD64" s="885">
        <f>CD63/BY63-1</f>
        <v>1.2994541045553865E-2</v>
      </c>
      <c r="CE64" s="885">
        <f>CE63/BZ63-1</f>
        <v>2.6026921935806024E-2</v>
      </c>
      <c r="CF64" s="885">
        <f>CF63/CA63-1</f>
        <v>5.4124608423249398E-3</v>
      </c>
      <c r="CG64" s="885"/>
      <c r="CH64" s="1044"/>
      <c r="CI64" s="885"/>
      <c r="CJ64" s="885"/>
      <c r="CK64" s="885"/>
      <c r="CL64" s="885"/>
      <c r="CM64" s="1044"/>
      <c r="CN64" s="885"/>
      <c r="CO64" s="885"/>
      <c r="CP64" s="885"/>
      <c r="CQ64" s="885"/>
      <c r="CR64" s="1044"/>
      <c r="CS64" s="1044"/>
      <c r="CT64" s="1044"/>
      <c r="CV64" s="781"/>
      <c r="CW64" s="781"/>
      <c r="CX64" s="781"/>
      <c r="DA64" s="212"/>
      <c r="DB64" s="1226"/>
    </row>
    <row r="65" spans="1:106" s="207" customFormat="1" ht="12.75" customHeight="1" x14ac:dyDescent="0.2">
      <c r="A65" s="1595" t="s">
        <v>359</v>
      </c>
      <c r="B65" s="1924" t="s">
        <v>673</v>
      </c>
      <c r="C65" s="1924" t="s">
        <v>673</v>
      </c>
      <c r="D65" s="1924" t="s">
        <v>673</v>
      </c>
      <c r="E65" s="1924" t="s">
        <v>673</v>
      </c>
      <c r="F65" s="1890" t="s">
        <v>673</v>
      </c>
      <c r="G65" s="1924" t="s">
        <v>673</v>
      </c>
      <c r="H65" s="1924" t="s">
        <v>673</v>
      </c>
      <c r="I65" s="1924" t="s">
        <v>673</v>
      </c>
      <c r="J65" s="1924" t="s">
        <v>673</v>
      </c>
      <c r="K65" s="1890" t="s">
        <v>673</v>
      </c>
      <c r="L65" s="1924" t="s">
        <v>673</v>
      </c>
      <c r="M65" s="1924" t="s">
        <v>673</v>
      </c>
      <c r="N65" s="1924" t="s">
        <v>673</v>
      </c>
      <c r="O65" s="1924" t="s">
        <v>673</v>
      </c>
      <c r="P65" s="1890" t="s">
        <v>673</v>
      </c>
      <c r="Q65" s="1043">
        <f>+Q574</f>
        <v>-1.9E-2</v>
      </c>
      <c r="R65" s="1043">
        <f t="shared" ref="R65:BN65" si="103">+R574</f>
        <v>-6.4000000000000001E-2</v>
      </c>
      <c r="S65" s="1043">
        <f t="shared" si="103"/>
        <v>-0.01</v>
      </c>
      <c r="T65" s="1043">
        <f t="shared" si="103"/>
        <v>-8.9999999999999993E-3</v>
      </c>
      <c r="U65" s="1953">
        <f t="shared" si="103"/>
        <v>-2.4E-2</v>
      </c>
      <c r="V65" s="1043">
        <f t="shared" si="103"/>
        <v>4.3999999999999997E-2</v>
      </c>
      <c r="W65" s="1043">
        <f t="shared" si="103"/>
        <v>8.8999999999999996E-2</v>
      </c>
      <c r="X65" s="1043">
        <f t="shared" si="103"/>
        <v>7.4999999999999997E-2</v>
      </c>
      <c r="Y65" s="1043">
        <f t="shared" si="103"/>
        <v>9.4E-2</v>
      </c>
      <c r="Z65" s="1953">
        <f t="shared" si="103"/>
        <v>7.5999999999999998E-2</v>
      </c>
      <c r="AA65" s="1043">
        <f t="shared" si="103"/>
        <v>6.4000000000000001E-2</v>
      </c>
      <c r="AB65" s="1043">
        <f t="shared" si="103"/>
        <v>9.4E-2</v>
      </c>
      <c r="AC65" s="1043">
        <f t="shared" si="103"/>
        <v>7.4999999999999997E-2</v>
      </c>
      <c r="AD65" s="1043">
        <f t="shared" si="103"/>
        <v>0.104</v>
      </c>
      <c r="AE65" s="1953">
        <f t="shared" si="103"/>
        <v>8.6999999999999994E-2</v>
      </c>
      <c r="AF65" s="1043">
        <f t="shared" si="103"/>
        <v>9.7000000000000003E-2</v>
      </c>
      <c r="AG65" s="1043">
        <f t="shared" si="103"/>
        <v>9.8000000000000004E-2</v>
      </c>
      <c r="AH65" s="1043">
        <f t="shared" si="103"/>
        <v>8.5000000000000006E-2</v>
      </c>
      <c r="AI65" s="1043">
        <f t="shared" si="103"/>
        <v>7.0000000000000007E-2</v>
      </c>
      <c r="AJ65" s="1953">
        <f t="shared" si="103"/>
        <v>8.5999999999999993E-2</v>
      </c>
      <c r="AK65" s="1043">
        <f t="shared" si="103"/>
        <v>5.3999999999999999E-2</v>
      </c>
      <c r="AL65" s="1043">
        <f t="shared" si="103"/>
        <v>6.0999999999999999E-2</v>
      </c>
      <c r="AM65" s="1043">
        <f t="shared" si="103"/>
        <v>7.3999999999999996E-2</v>
      </c>
      <c r="AN65" s="1043">
        <f t="shared" si="103"/>
        <v>6.3E-2</v>
      </c>
      <c r="AO65" s="1953">
        <f t="shared" si="103"/>
        <v>6.4000000000000001E-2</v>
      </c>
      <c r="AP65" s="1043">
        <f t="shared" si="103"/>
        <v>1.6E-2</v>
      </c>
      <c r="AQ65" s="1043">
        <f t="shared" si="103"/>
        <v>2.1999999999999999E-2</v>
      </c>
      <c r="AR65" s="1043">
        <f t="shared" si="103"/>
        <v>-3.0000000000000001E-3</v>
      </c>
      <c r="AS65" s="1043">
        <f t="shared" si="103"/>
        <v>-9.0999999999999998E-2</v>
      </c>
      <c r="AT65" s="1953">
        <f t="shared" si="103"/>
        <v>-2.1999999999999999E-2</v>
      </c>
      <c r="AU65" s="1043">
        <f t="shared" si="103"/>
        <v>-0.16500000000000001</v>
      </c>
      <c r="AV65" s="1043">
        <f t="shared" si="103"/>
        <v>-0.221</v>
      </c>
      <c r="AW65" s="1043">
        <f t="shared" si="103"/>
        <v>-0.19900000000000001</v>
      </c>
      <c r="AX65" s="1043">
        <f t="shared" si="103"/>
        <v>-0.11799999999999999</v>
      </c>
      <c r="AY65" s="1953">
        <f t="shared" si="103"/>
        <v>-0.182</v>
      </c>
      <c r="AZ65" s="1043">
        <f t="shared" si="103"/>
        <v>-0.01</v>
      </c>
      <c r="BA65" s="1043">
        <f t="shared" si="103"/>
        <v>7.0999999999999994E-2</v>
      </c>
      <c r="BB65" s="1043">
        <f t="shared" si="103"/>
        <v>7.3999999999999996E-2</v>
      </c>
      <c r="BC65" s="1043">
        <f t="shared" si="103"/>
        <v>6.3E-2</v>
      </c>
      <c r="BD65" s="1953">
        <f t="shared" si="103"/>
        <v>0.05</v>
      </c>
      <c r="BE65" s="1043">
        <f t="shared" si="103"/>
        <v>4.2999999999999997E-2</v>
      </c>
      <c r="BF65" s="1043">
        <f t="shared" si="103"/>
        <v>5.5E-2</v>
      </c>
      <c r="BG65" s="1043">
        <f t="shared" si="103"/>
        <v>5.0999999999999997E-2</v>
      </c>
      <c r="BH65" s="1043">
        <f t="shared" si="103"/>
        <v>0.05</v>
      </c>
      <c r="BI65" s="1953">
        <f t="shared" si="103"/>
        <v>0.05</v>
      </c>
      <c r="BJ65" s="1043">
        <f t="shared" si="103"/>
        <v>7.0999999999999994E-2</v>
      </c>
      <c r="BK65" s="1043">
        <f t="shared" si="103"/>
        <v>0.06</v>
      </c>
      <c r="BL65" s="1043">
        <f t="shared" si="103"/>
        <v>6.7000000000000004E-2</v>
      </c>
      <c r="BM65" s="1043">
        <f t="shared" si="103"/>
        <v>5.8000000000000003E-2</v>
      </c>
      <c r="BN65" s="1545">
        <f t="shared" si="103"/>
        <v>6.4000000000000001E-2</v>
      </c>
      <c r="BO65" s="1043">
        <f t="shared" ref="BO65:BU65" si="104">+BO574</f>
        <v>4.9000000000000002E-2</v>
      </c>
      <c r="BP65" s="1043">
        <f t="shared" si="104"/>
        <v>5.7000000000000002E-2</v>
      </c>
      <c r="BQ65" s="1043">
        <f t="shared" si="104"/>
        <v>5.3999999999999999E-2</v>
      </c>
      <c r="BR65" s="1043">
        <f t="shared" si="104"/>
        <v>5.1999999999999998E-2</v>
      </c>
      <c r="BS65" s="1545">
        <f t="shared" si="104"/>
        <v>5.3999999999999999E-2</v>
      </c>
      <c r="BT65" s="1043">
        <f t="shared" si="104"/>
        <v>6.3E-2</v>
      </c>
      <c r="BU65" s="1043">
        <f t="shared" si="104"/>
        <v>0.05</v>
      </c>
      <c r="BV65" s="1043">
        <f t="shared" ref="BV65:CC65" si="105">+BV574</f>
        <v>8.5000000000000006E-2</v>
      </c>
      <c r="BW65" s="1043">
        <f t="shared" si="105"/>
        <v>4.9000000000000002E-2</v>
      </c>
      <c r="BX65" s="1545">
        <f t="shared" si="105"/>
        <v>6.2E-2</v>
      </c>
      <c r="BY65" s="1043">
        <f t="shared" si="105"/>
        <v>5.5E-2</v>
      </c>
      <c r="BZ65" s="1043">
        <f t="shared" si="105"/>
        <v>4.9000000000000002E-2</v>
      </c>
      <c r="CA65" s="1043">
        <f t="shared" si="105"/>
        <v>4.3999999999999997E-2</v>
      </c>
      <c r="CB65" s="1043">
        <f t="shared" si="105"/>
        <v>4.4999999999999998E-2</v>
      </c>
      <c r="CC65" s="2881">
        <f t="shared" si="105"/>
        <v>0.05</v>
      </c>
      <c r="CD65" s="1043">
        <f>+CD574</f>
        <v>2.5999999999999999E-2</v>
      </c>
      <c r="CE65" s="1043">
        <f>+CE574</f>
        <v>3.4000000000000002E-2</v>
      </c>
      <c r="CF65" s="1043">
        <f>+CF574</f>
        <v>2.5000000000000001E-2</v>
      </c>
      <c r="CG65" s="1043"/>
      <c r="CH65" s="1545"/>
      <c r="CI65" s="1546"/>
      <c r="CJ65" s="1546"/>
      <c r="CK65" s="1546"/>
      <c r="CL65" s="1546"/>
      <c r="CM65" s="1545"/>
      <c r="CN65" s="1546"/>
      <c r="CO65" s="1546"/>
      <c r="CP65" s="1546"/>
      <c r="CQ65" s="1546"/>
      <c r="CR65" s="1545"/>
      <c r="CS65" s="1545"/>
      <c r="CT65" s="1545"/>
      <c r="CV65" s="537"/>
      <c r="CW65" s="537"/>
      <c r="CX65" s="537"/>
      <c r="DA65" s="212"/>
      <c r="DB65" s="1226"/>
    </row>
    <row r="66" spans="1:106" s="207" customFormat="1" ht="12.75" customHeight="1" x14ac:dyDescent="0.2">
      <c r="A66" s="1434" t="s">
        <v>2194</v>
      </c>
      <c r="B66" s="275"/>
      <c r="C66" s="275"/>
      <c r="D66" s="275"/>
      <c r="E66" s="630"/>
      <c r="F66" s="1569">
        <f>+SUMPRODUCT(B66:E66,B$4:E$4)/F$4</f>
        <v>0</v>
      </c>
      <c r="G66" s="272"/>
      <c r="H66" s="272"/>
      <c r="I66" s="272"/>
      <c r="J66" s="272"/>
      <c r="K66" s="1569">
        <f>+SUMPRODUCT(G66:J66,G$4:J$4)/K$4</f>
        <v>0</v>
      </c>
      <c r="L66" s="272"/>
      <c r="M66" s="272"/>
      <c r="N66" s="272"/>
      <c r="O66" s="272"/>
      <c r="P66" s="1569">
        <f>+SUMPRODUCT(L66:O66,L$4:O$4)/P$4</f>
        <v>0</v>
      </c>
      <c r="Q66" s="272"/>
      <c r="R66" s="272">
        <f>R172*R122</f>
        <v>84.322140000000005</v>
      </c>
      <c r="S66" s="272">
        <f>S172*S122</f>
        <v>80.699850000000012</v>
      </c>
      <c r="T66" s="272">
        <f>T172*T122</f>
        <v>78.568550000000002</v>
      </c>
      <c r="U66" s="1569">
        <f>+SUMPRODUCT(Q66:T66,Q$4:T$4)/U$4</f>
        <v>62.301625506849327</v>
      </c>
      <c r="V66" s="272">
        <f>V172*V122</f>
        <v>90.306260000000009</v>
      </c>
      <c r="W66" s="272">
        <f>W172*W122</f>
        <v>93.786549999999991</v>
      </c>
      <c r="X66" s="272">
        <f>X172*X122</f>
        <v>84.599839999999986</v>
      </c>
      <c r="Y66" s="272">
        <f>Y172*Y122</f>
        <v>88.910969999999978</v>
      </c>
      <c r="Z66" s="1569">
        <f>+SUMPRODUCT(V66:Y66,V$4:Y$4)/Z$4</f>
        <v>89.368370928961738</v>
      </c>
      <c r="AA66" s="272">
        <f>AA172*AA122</f>
        <v>94.255560000000017</v>
      </c>
      <c r="AB66" s="272">
        <f>AB172*AB122</f>
        <v>102.42236</v>
      </c>
      <c r="AC66" s="272">
        <f>AC172*AC122</f>
        <v>96.084800000000001</v>
      </c>
      <c r="AD66" s="272">
        <f>AD172*AD122</f>
        <v>102.2850675693431</v>
      </c>
      <c r="AE66" s="1569">
        <f>+SUMPRODUCT(AA66:AD66,AA$4:AD$4)/AE$4</f>
        <v>99.041866069413089</v>
      </c>
      <c r="AF66" s="272">
        <f>AF172*AF122</f>
        <v>102.56263132406681</v>
      </c>
      <c r="AG66" s="272">
        <f>AG172*AG122</f>
        <v>111.08917726842274</v>
      </c>
      <c r="AH66" s="272">
        <f>AH172*AH122</f>
        <v>110.16840642051015</v>
      </c>
      <c r="AI66" s="272">
        <f>AI172*AI122</f>
        <v>108.80400635562314</v>
      </c>
      <c r="AJ66" s="1569">
        <f>+SUMPRODUCT(AF66:AI66,AF$4:AI$4)/AJ$4</f>
        <v>108.22304436250914</v>
      </c>
      <c r="AK66" s="272">
        <f>AK172*AK122</f>
        <v>105.88323427185858</v>
      </c>
      <c r="AL66" s="272">
        <f>AL172*AL122</f>
        <v>119.10168</v>
      </c>
      <c r="AM66" s="272">
        <f>AM172*AM122</f>
        <v>110.45889</v>
      </c>
      <c r="AN66" s="272">
        <f>AN172*AN122</f>
        <v>112.31450999999998</v>
      </c>
      <c r="AO66" s="1569">
        <f>+SUMPRODUCT(AK66:AN66,AK$4:AN$4)/AO$4</f>
        <v>111.98608778726445</v>
      </c>
      <c r="AP66" s="272">
        <f>AP172*AP122</f>
        <v>108.25230000000001</v>
      </c>
      <c r="AQ66" s="272">
        <f>AQ172*AQ122</f>
        <v>119.18025</v>
      </c>
      <c r="AR66" s="272">
        <f>AR172*AR122</f>
        <v>106.08925000000001</v>
      </c>
      <c r="AS66" s="272">
        <f>AS172*AS122</f>
        <v>97.728840000000005</v>
      </c>
      <c r="AT66" s="1569">
        <f>+SUMPRODUCT(AP66:AS66,AP$4:AS$4)/AT$4</f>
        <v>106.91085495934959</v>
      </c>
      <c r="AU66" s="272">
        <f>AU172*AU122</f>
        <v>93.018749999999997</v>
      </c>
      <c r="AV66" s="272">
        <f>AV172*AV122</f>
        <v>94.987200000000001</v>
      </c>
      <c r="AW66" s="272">
        <f>AW172*AW122</f>
        <v>85.940640000000002</v>
      </c>
      <c r="AX66" s="272">
        <f>AX172*AX122</f>
        <v>86.055840000000003</v>
      </c>
      <c r="AY66" s="1569">
        <f>+SUMPRODUCT(AU66:AX66,AU$4:AX$4)/AY$4</f>
        <v>89.697163846153842</v>
      </c>
      <c r="AZ66" s="272">
        <f>AZ172*AZ122</f>
        <v>87.84432000000001</v>
      </c>
      <c r="BA66" s="272">
        <f>BA172*BA122</f>
        <v>102.03423999999998</v>
      </c>
      <c r="BB66" s="272">
        <f>BB172*BB122</f>
        <v>92.282640000000001</v>
      </c>
      <c r="BC66" s="272">
        <f>BC172*BC122</f>
        <v>93.418180000000007</v>
      </c>
      <c r="BD66" s="1569">
        <f>+SUMPRODUCT(AZ66:BC66,AZ$4:BC$4)/BD$4</f>
        <v>93.858178461538472</v>
      </c>
      <c r="BE66" s="272">
        <f>BE172*BE122</f>
        <v>96.635040000000004</v>
      </c>
      <c r="BF66" s="272">
        <f>BF172*BF122</f>
        <v>108.14479</v>
      </c>
      <c r="BG66" s="272">
        <f>BG172*BG122</f>
        <v>99.583200000000005</v>
      </c>
      <c r="BH66" s="272">
        <f>BH122*BH172</f>
        <v>100.5312</v>
      </c>
      <c r="BI66" s="1569">
        <f>+SUMPRODUCT(BE66:BH66,BE$4:BH$4)/BI$4</f>
        <v>101.17029923076925</v>
      </c>
      <c r="BJ66" s="272">
        <f>BJ122*BJ172</f>
        <v>103.73700000000001</v>
      </c>
      <c r="BK66" s="272">
        <f>BK122*BK172</f>
        <v>116.5758</v>
      </c>
      <c r="BL66" s="272">
        <f>BL122*BL172</f>
        <v>104.56845</v>
      </c>
      <c r="BM66" s="272">
        <f>BM122*BM172</f>
        <v>105.45450000000001</v>
      </c>
      <c r="BN66" s="1569">
        <f>+SUMPRODUCT(BJ66:BM66,BJ$4:BM$4)/BN$4</f>
        <v>107.42013461538463</v>
      </c>
      <c r="BO66" s="272">
        <f>BO122*BO172</f>
        <v>110.56755</v>
      </c>
      <c r="BP66" s="272">
        <f>BP122*BP172</f>
        <v>122.33942</v>
      </c>
      <c r="BQ66" s="272">
        <f>BQ122*BQ172</f>
        <v>108.2225</v>
      </c>
      <c r="BR66" s="272">
        <f>BR122*BR172</f>
        <v>103.20010000000001</v>
      </c>
      <c r="BS66" s="1569">
        <f>+SUMPRODUCT(BO66:BR66,BO$4:BR$4)/BS$4</f>
        <v>111.05304226775957</v>
      </c>
      <c r="BT66" s="272">
        <f>BT122*BT172</f>
        <v>110.38607999999998</v>
      </c>
      <c r="BU66" s="272">
        <f>BU122*BU172</f>
        <v>127.31922000000002</v>
      </c>
      <c r="BV66" s="272">
        <f>BV122*BV172</f>
        <v>119.60709999999999</v>
      </c>
      <c r="BW66" s="272">
        <f>BW122*BW172</f>
        <v>109.37472</v>
      </c>
      <c r="BX66" s="1569">
        <f>+SUMPRODUCT(BT66:BW66,BT$4:BW$4)/BX$4</f>
        <v>116.67705112328767</v>
      </c>
      <c r="BY66" s="272">
        <f>BY122*BY172</f>
        <v>119.49821999999999</v>
      </c>
      <c r="BZ66" s="272">
        <f>BZ122*BZ172</f>
        <v>130.3536</v>
      </c>
      <c r="CA66" s="272">
        <f>CA122*CA172</f>
        <v>120.19646</v>
      </c>
      <c r="CB66" s="272">
        <f>CB122*CB172</f>
        <v>112.95777</v>
      </c>
      <c r="CC66" s="1569">
        <f>+SUMPRODUCT(BY66:CB66,BY$4:CB$4)/CC$4</f>
        <v>120.73207276712328</v>
      </c>
      <c r="CD66" s="272">
        <f>CD122*CD172</f>
        <v>121.52433000000001</v>
      </c>
      <c r="CE66" s="272">
        <f>CE122*CE172</f>
        <v>138.55048000000002</v>
      </c>
      <c r="CF66" s="272">
        <f>CF122*CF172</f>
        <v>126.20499</v>
      </c>
      <c r="CG66" s="272"/>
      <c r="CH66" s="1569"/>
      <c r="CI66" s="272"/>
      <c r="CJ66" s="272"/>
      <c r="CK66" s="272"/>
      <c r="CL66" s="272"/>
      <c r="CM66" s="1569"/>
      <c r="CN66" s="272"/>
      <c r="CO66" s="272"/>
      <c r="CP66" s="272"/>
      <c r="CQ66" s="272"/>
      <c r="CR66" s="235"/>
      <c r="CS66" s="235"/>
      <c r="CT66" s="235"/>
      <c r="CV66" s="537"/>
      <c r="CW66" s="537"/>
      <c r="CX66" s="537"/>
      <c r="DA66" s="212"/>
      <c r="DB66" s="1226"/>
    </row>
    <row r="67" spans="1:106" s="207" customFormat="1" ht="12.75" customHeight="1" x14ac:dyDescent="0.2">
      <c r="A67" s="1595" t="s">
        <v>652</v>
      </c>
      <c r="B67" s="885"/>
      <c r="C67" s="885"/>
      <c r="D67" s="885"/>
      <c r="E67" s="885"/>
      <c r="F67" s="1044"/>
      <c r="G67" s="885"/>
      <c r="H67" s="885"/>
      <c r="I67" s="885"/>
      <c r="J67" s="885"/>
      <c r="K67" s="1044"/>
      <c r="L67" s="885"/>
      <c r="M67" s="885"/>
      <c r="N67" s="885"/>
      <c r="O67" s="885"/>
      <c r="P67" s="1044"/>
      <c r="Q67" s="885"/>
      <c r="R67" s="885"/>
      <c r="S67" s="885"/>
      <c r="T67" s="885"/>
      <c r="U67" s="1044"/>
      <c r="V67" s="885"/>
      <c r="W67" s="885">
        <f>W66/R66-1</f>
        <v>0.11224110298908441</v>
      </c>
      <c r="X67" s="885">
        <f>X66/S66-1</f>
        <v>4.8327103458060572E-2</v>
      </c>
      <c r="Y67" s="885">
        <f>Y66/T66-1</f>
        <v>0.13163562265053863</v>
      </c>
      <c r="Z67" s="1044">
        <f>+Z66/U66-1</f>
        <v>0.43444685755649726</v>
      </c>
      <c r="AA67" s="885">
        <f>AA66/V66-1</f>
        <v>4.3732294970470598E-2</v>
      </c>
      <c r="AB67" s="885">
        <f>AB66/W66-1</f>
        <v>9.2079407974811067E-2</v>
      </c>
      <c r="AC67" s="885">
        <f>AC66/X66-1</f>
        <v>0.13575628511826987</v>
      </c>
      <c r="AD67" s="885">
        <f>AD66/Y66-1</f>
        <v>0.15042123114102934</v>
      </c>
      <c r="AE67" s="1044">
        <f>+AE66/Z66-1</f>
        <v>0.10824293919535299</v>
      </c>
      <c r="AF67" s="885">
        <f>AF66/AA66-1</f>
        <v>8.8133488614006383E-2</v>
      </c>
      <c r="AG67" s="885">
        <f>AG66/AB66-1</f>
        <v>8.461841016378413E-2</v>
      </c>
      <c r="AH67" s="885">
        <f>AH66/AC66-1</f>
        <v>0.14657475917637486</v>
      </c>
      <c r="AI67" s="885">
        <f>AI66/AD66-1</f>
        <v>6.3733044726793642E-2</v>
      </c>
      <c r="AJ67" s="1044">
        <f>+AJ66/AE66-1</f>
        <v>9.2699972824234367E-2</v>
      </c>
      <c r="AK67" s="885">
        <f>AK66/AF66-1</f>
        <v>3.2376343166349519E-2</v>
      </c>
      <c r="AL67" s="885">
        <f>AL66/AG66-1</f>
        <v>7.212676273780283E-2</v>
      </c>
      <c r="AM67" s="885">
        <f>AM66/AH66-1</f>
        <v>2.6367230763153504E-3</v>
      </c>
      <c r="AN67" s="885">
        <f>AN66/AI66-1</f>
        <v>3.226447041759517E-2</v>
      </c>
      <c r="AO67" s="1044">
        <f>+AO66/AJ66-1</f>
        <v>3.4771184334368099E-2</v>
      </c>
      <c r="AP67" s="885">
        <f>AP66/AK66-1</f>
        <v>2.2374323417990505E-2</v>
      </c>
      <c r="AQ67" s="885">
        <f>AQ66/AL66-1</f>
        <v>6.5968842756869428E-4</v>
      </c>
      <c r="AR67" s="885">
        <f>AR66/AM66-1</f>
        <v>-3.9558970762787804E-2</v>
      </c>
      <c r="AS67" s="885">
        <f>AS66/AN66-1</f>
        <v>-0.1298645206216007</v>
      </c>
      <c r="AT67" s="1044">
        <f>+AT66/AO66-1</f>
        <v>-4.5320208324056144E-2</v>
      </c>
      <c r="AU67" s="885">
        <f>AU66/AP66-1</f>
        <v>-0.14072264515395982</v>
      </c>
      <c r="AV67" s="885">
        <f>AV66/AQ66-1</f>
        <v>-0.20299546275494473</v>
      </c>
      <c r="AW67" s="885">
        <f>AW66/AR66-1</f>
        <v>-0.18992131625023279</v>
      </c>
      <c r="AX67" s="885">
        <f>AX66/AS66-1</f>
        <v>-0.1194427356346397</v>
      </c>
      <c r="AY67" s="1044">
        <f>+AY66/AT66-1</f>
        <v>-0.1610097601383963</v>
      </c>
      <c r="AZ67" s="885">
        <f>AZ66/AU66-1</f>
        <v>-5.5627816972384503E-2</v>
      </c>
      <c r="BA67" s="885">
        <f>BA66/AV66-1</f>
        <v>7.4189364461737739E-2</v>
      </c>
      <c r="BB67" s="885">
        <f>BB66/AW66-1</f>
        <v>7.379512184223902E-2</v>
      </c>
      <c r="BC67" s="885">
        <f>BC66/AX66-1</f>
        <v>8.5553054853685806E-2</v>
      </c>
      <c r="BD67" s="1044">
        <f>+BD66/AY66-1</f>
        <v>4.6389589558500255E-2</v>
      </c>
      <c r="BE67" s="885">
        <f>BE66/AZ66-1</f>
        <v>0.10007158117906756</v>
      </c>
      <c r="BF67" s="885">
        <f>BF66/BA66-1</f>
        <v>5.9887249613463256E-2</v>
      </c>
      <c r="BG67" s="885">
        <f>BG66/BB66-1</f>
        <v>7.9110870690305424E-2</v>
      </c>
      <c r="BH67" s="885">
        <f>BH66/BC66-1</f>
        <v>7.6141710318055722E-2</v>
      </c>
      <c r="BI67" s="1044">
        <f>+BI66/BD66-1</f>
        <v>7.7906058790893296E-2</v>
      </c>
      <c r="BJ67" s="885">
        <f>BJ66/BE66-1</f>
        <v>7.3492596474322491E-2</v>
      </c>
      <c r="BK67" s="885">
        <f>BK66/BF66-1</f>
        <v>7.7960389954985443E-2</v>
      </c>
      <c r="BL67" s="885">
        <f>BL66/BG66-1</f>
        <v>5.0061154893596527E-2</v>
      </c>
      <c r="BM67" s="885">
        <f>BM66/BH66-1</f>
        <v>4.8972856187929903E-2</v>
      </c>
      <c r="BN67" s="1044">
        <f>+BN66/BI66-1</f>
        <v>6.1775396851990294E-2</v>
      </c>
      <c r="BO67" s="885">
        <f>BO66/BJ66-1</f>
        <v>6.584487694843677E-2</v>
      </c>
      <c r="BP67" s="885">
        <f>BP66/BK66-1</f>
        <v>4.944096459127878E-2</v>
      </c>
      <c r="BQ67" s="885">
        <f>BQ66/BL66-1</f>
        <v>3.4944096426790194E-2</v>
      </c>
      <c r="BR67" s="885">
        <f>BR66/BM66-1</f>
        <v>-2.1377940249112215E-2</v>
      </c>
      <c r="BS67" s="1044">
        <f>+BS66/BN66-1</f>
        <v>3.3819615525362057E-2</v>
      </c>
      <c r="BT67" s="885">
        <f>BT66/BO66-1</f>
        <v>-1.6412591216864447E-3</v>
      </c>
      <c r="BU67" s="885">
        <f>BU66/BP66-1</f>
        <v>4.0704786731864617E-2</v>
      </c>
      <c r="BV67" s="885">
        <f>BV66/BQ66-1</f>
        <v>0.10519623922936527</v>
      </c>
      <c r="BW67" s="885">
        <f>BW66/BR66-1</f>
        <v>5.9831531170996932E-2</v>
      </c>
      <c r="BX67" s="1044">
        <f>+BX66/BS66-1</f>
        <v>5.0642546486642681E-2</v>
      </c>
      <c r="BY67" s="885">
        <f>BY66/BT66-1</f>
        <v>8.2547908214514187E-2</v>
      </c>
      <c r="BZ67" s="885">
        <f>BZ66/BU66-1</f>
        <v>2.3832851002385746E-2</v>
      </c>
      <c r="CA67" s="885">
        <f>CA66/BV66-1</f>
        <v>4.9274666804897116E-3</v>
      </c>
      <c r="CB67" s="885">
        <f>CB66/BW66-1</f>
        <v>3.2759398149773578E-2</v>
      </c>
      <c r="CC67" s="1044">
        <f>+CC66/BX66-1</f>
        <v>3.4754234914206483E-2</v>
      </c>
      <c r="CD67" s="885">
        <f>CD66/BY66-1</f>
        <v>1.6955147951157823E-2</v>
      </c>
      <c r="CE67" s="885">
        <f>CE66/BZ66-1</f>
        <v>6.2881884351487116E-2</v>
      </c>
      <c r="CF67" s="885">
        <f>CF66/CA66-1</f>
        <v>4.9989242611637508E-2</v>
      </c>
      <c r="CG67" s="885"/>
      <c r="CH67" s="1044"/>
      <c r="CI67" s="885"/>
      <c r="CJ67" s="885"/>
      <c r="CK67" s="885"/>
      <c r="CL67" s="885"/>
      <c r="CM67" s="1044"/>
      <c r="CN67" s="885"/>
      <c r="CO67" s="885"/>
      <c r="CP67" s="885"/>
      <c r="CQ67" s="885"/>
      <c r="CR67" s="1044"/>
      <c r="CS67" s="1044"/>
      <c r="CT67" s="1044"/>
      <c r="CV67" s="781"/>
      <c r="CW67" s="781"/>
      <c r="CX67" s="781"/>
      <c r="DA67" s="212"/>
      <c r="DB67" s="1226"/>
    </row>
    <row r="68" spans="1:106" s="207" customFormat="1" ht="12.75" customHeight="1" x14ac:dyDescent="0.2">
      <c r="A68" s="1595" t="s">
        <v>359</v>
      </c>
      <c r="B68" s="1924" t="s">
        <v>673</v>
      </c>
      <c r="C68" s="1924" t="s">
        <v>673</v>
      </c>
      <c r="D68" s="1924" t="s">
        <v>673</v>
      </c>
      <c r="E68" s="1924" t="s">
        <v>673</v>
      </c>
      <c r="F68" s="1890" t="s">
        <v>673</v>
      </c>
      <c r="G68" s="1924" t="s">
        <v>673</v>
      </c>
      <c r="H68" s="1924" t="s">
        <v>673</v>
      </c>
      <c r="I68" s="1924" t="s">
        <v>673</v>
      </c>
      <c r="J68" s="1924" t="s">
        <v>673</v>
      </c>
      <c r="K68" s="1890" t="s">
        <v>673</v>
      </c>
      <c r="L68" s="1924" t="s">
        <v>673</v>
      </c>
      <c r="M68" s="1924" t="s">
        <v>673</v>
      </c>
      <c r="N68" s="1924" t="s">
        <v>673</v>
      </c>
      <c r="O68" s="1924" t="s">
        <v>673</v>
      </c>
      <c r="P68" s="1890" t="s">
        <v>673</v>
      </c>
      <c r="Q68" s="1043">
        <f>+Q583</f>
        <v>0.01</v>
      </c>
      <c r="R68" s="1043">
        <f t="shared" ref="R68:BN68" si="106">+R583</f>
        <v>-4.9000000000000002E-2</v>
      </c>
      <c r="S68" s="1043">
        <f t="shared" si="106"/>
        <v>2.5999999999999999E-2</v>
      </c>
      <c r="T68" s="1043">
        <f t="shared" si="106"/>
        <v>1.4999999999999999E-2</v>
      </c>
      <c r="U68" s="1953">
        <f t="shared" si="106"/>
        <v>4.0000000000000001E-3</v>
      </c>
      <c r="V68" s="1043">
        <f t="shared" si="106"/>
        <v>7.2999999999999995E-2</v>
      </c>
      <c r="W68" s="1043">
        <f t="shared" si="106"/>
        <v>8.5000000000000006E-2</v>
      </c>
      <c r="X68" s="1043">
        <f t="shared" si="106"/>
        <v>6.0999999999999999E-2</v>
      </c>
      <c r="Y68" s="1043">
        <f t="shared" si="106"/>
        <v>0.125</v>
      </c>
      <c r="Z68" s="1953">
        <f t="shared" si="106"/>
        <v>8.8999999999999996E-2</v>
      </c>
      <c r="AA68" s="1043">
        <f t="shared" si="106"/>
        <v>0.106</v>
      </c>
      <c r="AB68" s="1043">
        <f t="shared" si="106"/>
        <v>0.12</v>
      </c>
      <c r="AC68" s="1043">
        <f t="shared" si="106"/>
        <v>0.122</v>
      </c>
      <c r="AD68" s="1043">
        <f t="shared" si="106"/>
        <v>0.14499999999999999</v>
      </c>
      <c r="AE68" s="1953">
        <f t="shared" si="106"/>
        <v>0.124</v>
      </c>
      <c r="AF68" s="1043">
        <f t="shared" si="106"/>
        <v>0.128</v>
      </c>
      <c r="AG68" s="1043">
        <f t="shared" si="106"/>
        <v>0.14299999999999999</v>
      </c>
      <c r="AH68" s="1043">
        <f t="shared" si="106"/>
        <v>8.4000000000000005E-2</v>
      </c>
      <c r="AI68" s="1043">
        <f t="shared" si="106"/>
        <v>5.8000000000000003E-2</v>
      </c>
      <c r="AJ68" s="1953">
        <f t="shared" si="106"/>
        <v>0.1</v>
      </c>
      <c r="AK68" s="1043">
        <f t="shared" si="106"/>
        <v>4.5999999999999999E-2</v>
      </c>
      <c r="AL68" s="1043">
        <f t="shared" si="106"/>
        <v>3.4000000000000002E-2</v>
      </c>
      <c r="AM68" s="1043">
        <f t="shared" si="106"/>
        <v>7.0000000000000007E-2</v>
      </c>
      <c r="AN68" s="1043">
        <f t="shared" si="106"/>
        <v>6.2E-2</v>
      </c>
      <c r="AO68" s="1953">
        <f t="shared" si="106"/>
        <v>5.0999999999999997E-2</v>
      </c>
      <c r="AP68" s="1043">
        <f t="shared" si="106"/>
        <v>2.1000000000000001E-2</v>
      </c>
      <c r="AQ68" s="1043">
        <f t="shared" si="106"/>
        <v>1.2999999999999999E-2</v>
      </c>
      <c r="AR68" s="1043">
        <f t="shared" si="106"/>
        <v>8.9999999999999993E-3</v>
      </c>
      <c r="AS68" s="1043">
        <f t="shared" si="106"/>
        <v>-9.7000000000000003E-2</v>
      </c>
      <c r="AT68" s="1953">
        <f t="shared" si="106"/>
        <v>-2.1000000000000001E-2</v>
      </c>
      <c r="AU68" s="1043">
        <f t="shared" si="106"/>
        <v>-0.13500000000000001</v>
      </c>
      <c r="AV68" s="1043">
        <f t="shared" si="106"/>
        <v>-0.20599999999999999</v>
      </c>
      <c r="AW68" s="1043">
        <f t="shared" si="106"/>
        <v>-0.19600000000000001</v>
      </c>
      <c r="AX68" s="1043">
        <f t="shared" si="106"/>
        <v>-0.121</v>
      </c>
      <c r="AY68" s="1953">
        <f t="shared" si="106"/>
        <v>-0.17100000000000001</v>
      </c>
      <c r="AZ68" s="1043">
        <f t="shared" si="106"/>
        <v>-2.1999999999999999E-2</v>
      </c>
      <c r="BA68" s="1043">
        <f t="shared" si="106"/>
        <v>7.0999999999999994E-2</v>
      </c>
      <c r="BB68" s="1043">
        <f t="shared" si="106"/>
        <v>6.2E-2</v>
      </c>
      <c r="BC68" s="1043">
        <f t="shared" si="106"/>
        <v>7.3999999999999996E-2</v>
      </c>
      <c r="BD68" s="1953">
        <f t="shared" si="106"/>
        <v>4.3999999999999997E-2</v>
      </c>
      <c r="BE68" s="1043">
        <f t="shared" si="106"/>
        <v>6.8000000000000005E-2</v>
      </c>
      <c r="BF68" s="1043">
        <f t="shared" si="106"/>
        <v>4.4999999999999998E-2</v>
      </c>
      <c r="BG68" s="1043">
        <f t="shared" si="106"/>
        <v>7.9000000000000001E-2</v>
      </c>
      <c r="BH68" s="1043">
        <f t="shared" si="106"/>
        <v>6.2E-2</v>
      </c>
      <c r="BI68" s="1953">
        <f t="shared" si="106"/>
        <v>6.3E-2</v>
      </c>
      <c r="BJ68" s="1043">
        <f t="shared" si="106"/>
        <v>6.4000000000000001E-2</v>
      </c>
      <c r="BK68" s="1043">
        <f t="shared" si="106"/>
        <v>8.1000000000000003E-2</v>
      </c>
      <c r="BL68" s="1043">
        <f t="shared" si="106"/>
        <v>7.0000000000000007E-2</v>
      </c>
      <c r="BM68" s="1043">
        <f t="shared" si="106"/>
        <v>5.8000000000000003E-2</v>
      </c>
      <c r="BN68" s="1545">
        <f t="shared" si="106"/>
        <v>6.8000000000000005E-2</v>
      </c>
      <c r="BO68" s="1043">
        <f t="shared" ref="BO68:BU68" si="107">+BO583</f>
        <v>5.8000000000000003E-2</v>
      </c>
      <c r="BP68" s="1043">
        <f t="shared" si="107"/>
        <v>5.0999999999999997E-2</v>
      </c>
      <c r="BQ68" s="1043">
        <f t="shared" si="107"/>
        <v>4.2000000000000003E-2</v>
      </c>
      <c r="BR68" s="1043">
        <f t="shared" si="107"/>
        <v>2.3E-2</v>
      </c>
      <c r="BS68" s="1545">
        <f t="shared" si="107"/>
        <v>4.2000000000000003E-2</v>
      </c>
      <c r="BT68" s="1043">
        <f t="shared" si="107"/>
        <v>5.8999999999999997E-2</v>
      </c>
      <c r="BU68" s="1043">
        <f t="shared" si="107"/>
        <v>5.1999999999999998E-2</v>
      </c>
      <c r="BV68" s="1043">
        <f t="shared" ref="BV68:CC68" si="108">+BV583</f>
        <v>0.10199999999999999</v>
      </c>
      <c r="BW68" s="1043">
        <f t="shared" si="108"/>
        <v>5.5E-2</v>
      </c>
      <c r="BX68" s="1545">
        <f t="shared" si="108"/>
        <v>6.7000000000000004E-2</v>
      </c>
      <c r="BY68" s="1043">
        <f t="shared" si="108"/>
        <v>7.0000000000000007E-2</v>
      </c>
      <c r="BZ68" s="1043">
        <f t="shared" si="108"/>
        <v>5.3999999999999999E-2</v>
      </c>
      <c r="CA68" s="1043">
        <f t="shared" si="108"/>
        <v>2.9000000000000001E-2</v>
      </c>
      <c r="CB68" s="2882">
        <f t="shared" si="108"/>
        <v>5.1999999999999998E-2</v>
      </c>
      <c r="CC68" s="2881">
        <f t="shared" si="108"/>
        <v>5.3999999999999999E-2</v>
      </c>
      <c r="CD68" s="1043">
        <f>+CD583</f>
        <v>1.6E-2</v>
      </c>
      <c r="CE68" s="1043">
        <f>+CE583</f>
        <v>6.0999999999999999E-2</v>
      </c>
      <c r="CF68" s="1043">
        <f>+CF583</f>
        <v>5.6000000000000001E-2</v>
      </c>
      <c r="CG68" s="1043"/>
      <c r="CH68" s="1953"/>
      <c r="CI68" s="1546"/>
      <c r="CJ68" s="1546"/>
      <c r="CK68" s="1546"/>
      <c r="CL68" s="1546"/>
      <c r="CM68" s="1545"/>
      <c r="CN68" s="1546"/>
      <c r="CO68" s="1546"/>
      <c r="CP68" s="1546"/>
      <c r="CQ68" s="1546"/>
      <c r="CR68" s="1545"/>
      <c r="CS68" s="1545"/>
      <c r="CT68" s="1545"/>
      <c r="CV68" s="537"/>
      <c r="CW68" s="537"/>
      <c r="CX68" s="537"/>
      <c r="DA68" s="212"/>
      <c r="DB68" s="1226"/>
    </row>
    <row r="69" spans="1:106" s="272" customFormat="1" x14ac:dyDescent="0.2">
      <c r="A69" s="1999" t="s">
        <v>2046</v>
      </c>
      <c r="B69" s="1491"/>
      <c r="C69" s="1491"/>
      <c r="D69" s="1491"/>
      <c r="E69" s="1491"/>
      <c r="F69" s="2000"/>
      <c r="G69" s="1491"/>
      <c r="H69" s="1491"/>
      <c r="I69" s="1491"/>
      <c r="J69" s="1491"/>
      <c r="K69" s="2000"/>
      <c r="L69" s="1491"/>
      <c r="M69" s="1491"/>
      <c r="N69" s="1491"/>
      <c r="O69" s="1491"/>
      <c r="P69" s="2000"/>
      <c r="Q69" s="1491"/>
      <c r="R69" s="1491"/>
      <c r="S69" s="1491"/>
      <c r="T69" s="1491"/>
      <c r="U69" s="2000"/>
      <c r="V69" s="1491"/>
      <c r="W69" s="1491"/>
      <c r="X69" s="1491"/>
      <c r="Y69" s="1491"/>
      <c r="Z69" s="2000"/>
      <c r="AA69" s="1491"/>
      <c r="AB69" s="1491"/>
      <c r="AC69" s="1491"/>
      <c r="AD69" s="1491"/>
      <c r="AE69" s="2000"/>
      <c r="AF69" s="1491"/>
      <c r="AG69" s="1491"/>
      <c r="AH69" s="1491"/>
      <c r="AI69" s="1491"/>
      <c r="AJ69" s="2000"/>
      <c r="AK69" s="1491"/>
      <c r="AL69" s="1491"/>
      <c r="AM69" s="1491"/>
      <c r="AN69" s="1491"/>
      <c r="AO69" s="2000"/>
      <c r="AP69" s="1491"/>
      <c r="AQ69" s="1491"/>
      <c r="AR69" s="1491"/>
      <c r="AS69" s="1491"/>
      <c r="AT69" s="2000"/>
      <c r="AU69" s="1491"/>
      <c r="AV69" s="1491"/>
      <c r="AW69" s="1491"/>
      <c r="AX69" s="1491"/>
      <c r="AY69" s="2000"/>
      <c r="AZ69" s="1491"/>
      <c r="BA69" s="1491"/>
      <c r="BB69" s="1491"/>
      <c r="BC69" s="1491"/>
      <c r="BD69" s="2000"/>
      <c r="BE69" s="1491"/>
      <c r="BF69" s="1491"/>
      <c r="BG69" s="1491"/>
      <c r="BH69" s="1491"/>
      <c r="BI69" s="2000"/>
      <c r="BJ69" s="1491"/>
      <c r="BK69" s="1491"/>
      <c r="BL69" s="1491"/>
      <c r="BM69" s="272">
        <f t="shared" ref="BM69:CF69" si="109">BM125*BM175</f>
        <v>139.81852999999998</v>
      </c>
      <c r="BN69" s="2000">
        <f t="shared" si="109"/>
        <v>134.40021000000002</v>
      </c>
      <c r="BO69" s="272">
        <f t="shared" si="109"/>
        <v>151.94204999999999</v>
      </c>
      <c r="BP69" s="272">
        <f t="shared" si="109"/>
        <v>165.30531999999999</v>
      </c>
      <c r="BQ69" s="272">
        <f t="shared" si="109"/>
        <v>149.78834000000001</v>
      </c>
      <c r="BR69" s="272">
        <f t="shared" si="109"/>
        <v>168.42750000000001</v>
      </c>
      <c r="BS69" s="2000">
        <f t="shared" si="109"/>
        <v>159.91899846153845</v>
      </c>
      <c r="BT69" s="272">
        <f t="shared" si="109"/>
        <v>174.8706</v>
      </c>
      <c r="BU69" s="2064">
        <f t="shared" si="109"/>
        <v>185.5975</v>
      </c>
      <c r="BV69" s="2064">
        <f t="shared" si="109"/>
        <v>165.0369</v>
      </c>
      <c r="BW69" s="272">
        <f t="shared" si="109"/>
        <v>167.50509</v>
      </c>
      <c r="BX69" s="2000">
        <f t="shared" si="109"/>
        <v>172.95426</v>
      </c>
      <c r="BY69" s="272">
        <f t="shared" si="109"/>
        <v>175.56943999999999</v>
      </c>
      <c r="BZ69" s="2064">
        <f t="shared" si="109"/>
        <v>185.62926000000002</v>
      </c>
      <c r="CA69" s="2064">
        <f t="shared" si="109"/>
        <v>169.81800000000001</v>
      </c>
      <c r="CB69" s="2063">
        <f t="shared" si="109"/>
        <v>179.78434000000001</v>
      </c>
      <c r="CC69" s="2000">
        <f t="shared" si="109"/>
        <v>177.69365837117661</v>
      </c>
      <c r="CD69" s="272">
        <f t="shared" si="109"/>
        <v>167.13486</v>
      </c>
      <c r="CE69" s="2064">
        <f t="shared" si="109"/>
        <v>182.93639999999999</v>
      </c>
      <c r="CF69" s="2064">
        <f t="shared" si="109"/>
        <v>175.07223999999999</v>
      </c>
      <c r="CG69" s="2064"/>
      <c r="CH69" s="2000"/>
      <c r="CI69" s="2064"/>
      <c r="CJ69" s="2064"/>
      <c r="CK69" s="2064"/>
      <c r="CL69" s="2064"/>
      <c r="CM69" s="2000"/>
      <c r="CN69" s="2064"/>
      <c r="CO69" s="2064"/>
      <c r="CP69" s="2064"/>
      <c r="CQ69" s="2064"/>
      <c r="CR69" s="2000"/>
      <c r="CS69" s="2000"/>
      <c r="CT69" s="2000"/>
      <c r="CV69" s="2972"/>
      <c r="CW69" s="2972"/>
      <c r="CX69" s="2972"/>
      <c r="DA69" s="212"/>
      <c r="DB69" s="1226"/>
    </row>
    <row r="70" spans="1:106" s="207" customFormat="1" x14ac:dyDescent="0.2">
      <c r="A70" s="1595" t="s">
        <v>652</v>
      </c>
      <c r="B70" s="885"/>
      <c r="C70" s="885"/>
      <c r="D70" s="885"/>
      <c r="E70" s="885"/>
      <c r="F70" s="1044"/>
      <c r="G70" s="885"/>
      <c r="H70" s="885"/>
      <c r="I70" s="885"/>
      <c r="J70" s="885"/>
      <c r="K70" s="1044"/>
      <c r="L70" s="885"/>
      <c r="M70" s="885"/>
      <c r="N70" s="885"/>
      <c r="O70" s="885"/>
      <c r="P70" s="1044"/>
      <c r="Q70" s="885"/>
      <c r="R70" s="885"/>
      <c r="S70" s="885"/>
      <c r="T70" s="885"/>
      <c r="U70" s="1044"/>
      <c r="V70" s="885"/>
      <c r="W70" s="885"/>
      <c r="X70" s="885"/>
      <c r="Y70" s="885"/>
      <c r="Z70" s="1044"/>
      <c r="AA70" s="885"/>
      <c r="AB70" s="885"/>
      <c r="AC70" s="885"/>
      <c r="AD70" s="885"/>
      <c r="AE70" s="1044"/>
      <c r="AF70" s="885"/>
      <c r="AG70" s="885"/>
      <c r="AH70" s="885"/>
      <c r="AI70" s="885"/>
      <c r="AJ70" s="1044"/>
      <c r="AK70" s="885"/>
      <c r="AL70" s="885"/>
      <c r="AM70" s="885"/>
      <c r="AN70" s="885"/>
      <c r="AO70" s="1044"/>
      <c r="AP70" s="885"/>
      <c r="AQ70" s="885"/>
      <c r="AR70" s="885"/>
      <c r="AS70" s="885"/>
      <c r="AT70" s="1044"/>
      <c r="AU70" s="885"/>
      <c r="AV70" s="885"/>
      <c r="AW70" s="885"/>
      <c r="AX70" s="885"/>
      <c r="AY70" s="1044"/>
      <c r="AZ70" s="885"/>
      <c r="BA70" s="885"/>
      <c r="BB70" s="885"/>
      <c r="BC70" s="885"/>
      <c r="BD70" s="1044"/>
      <c r="BE70" s="885"/>
      <c r="BF70" s="885"/>
      <c r="BG70" s="885"/>
      <c r="BH70" s="885"/>
      <c r="BI70" s="1044"/>
      <c r="BJ70" s="885"/>
      <c r="BK70" s="885"/>
      <c r="BL70" s="885"/>
      <c r="BM70" s="885"/>
      <c r="BN70" s="1280"/>
      <c r="BO70" s="885"/>
      <c r="BP70" s="885"/>
      <c r="BQ70" s="885"/>
      <c r="BR70" s="885"/>
      <c r="BS70" s="1280"/>
      <c r="BT70" s="885"/>
      <c r="BU70" s="885">
        <f t="shared" ref="BU70:CD70" si="110">BU69/BP69-1</f>
        <v>0.12275575885881951</v>
      </c>
      <c r="BV70" s="885">
        <f t="shared" si="110"/>
        <v>0.10180071426120341</v>
      </c>
      <c r="BW70" s="885">
        <f t="shared" si="110"/>
        <v>-5.4765997239168973E-3</v>
      </c>
      <c r="BX70" s="1280">
        <f t="shared" si="110"/>
        <v>8.1511650672303482E-2</v>
      </c>
      <c r="BY70" s="885">
        <f t="shared" si="110"/>
        <v>3.9963264265119314E-3</v>
      </c>
      <c r="BZ70" s="885">
        <f t="shared" si="110"/>
        <v>1.7112299465260605E-4</v>
      </c>
      <c r="CA70" s="885">
        <f t="shared" si="110"/>
        <v>2.8969884916645983E-2</v>
      </c>
      <c r="CB70" s="885">
        <f t="shared" si="110"/>
        <v>7.3306727574666608E-2</v>
      </c>
      <c r="CC70" s="1044">
        <f>+CC69/BX69-1</f>
        <v>2.7402611367749019E-2</v>
      </c>
      <c r="CD70" s="885">
        <f t="shared" si="110"/>
        <v>-4.804127643170697E-2</v>
      </c>
      <c r="CE70" s="885">
        <f>CE69/BZ69-1</f>
        <v>-1.4506656978538923E-2</v>
      </c>
      <c r="CF70" s="885">
        <f>CF69/CA69-1</f>
        <v>3.0940418565758465E-2</v>
      </c>
      <c r="CG70" s="885"/>
      <c r="CH70" s="1044"/>
      <c r="CI70" s="885"/>
      <c r="CJ70" s="885"/>
      <c r="CK70" s="885"/>
      <c r="CL70" s="885"/>
      <c r="CM70" s="1044"/>
      <c r="CN70" s="885"/>
      <c r="CO70" s="885"/>
      <c r="CP70" s="885"/>
      <c r="CQ70" s="885"/>
      <c r="CR70" s="1044"/>
      <c r="CS70" s="1044"/>
      <c r="CT70" s="1044"/>
      <c r="CV70" s="537"/>
      <c r="CW70" s="537"/>
      <c r="CX70" s="537"/>
      <c r="DA70" s="212"/>
      <c r="DB70" s="1226"/>
    </row>
    <row r="71" spans="1:106" s="207" customFormat="1" x14ac:dyDescent="0.2">
      <c r="A71" s="1595" t="s">
        <v>359</v>
      </c>
      <c r="B71" s="1924"/>
      <c r="C71" s="1924"/>
      <c r="D71" s="1924"/>
      <c r="E71" s="1924"/>
      <c r="F71" s="1890"/>
      <c r="G71" s="1924"/>
      <c r="H71" s="1924"/>
      <c r="I71" s="1924"/>
      <c r="J71" s="1924"/>
      <c r="K71" s="1890"/>
      <c r="L71" s="1924"/>
      <c r="M71" s="1924"/>
      <c r="N71" s="1924"/>
      <c r="O71" s="1924"/>
      <c r="P71" s="1890"/>
      <c r="Q71" s="1043"/>
      <c r="R71" s="1043"/>
      <c r="S71" s="1043"/>
      <c r="T71" s="1043"/>
      <c r="U71" s="1953"/>
      <c r="V71" s="1043"/>
      <c r="W71" s="1043"/>
      <c r="X71" s="1043"/>
      <c r="Y71" s="1043"/>
      <c r="Z71" s="1953"/>
      <c r="AA71" s="1043"/>
      <c r="AB71" s="1043"/>
      <c r="AC71" s="1043"/>
      <c r="AD71" s="1043"/>
      <c r="AE71" s="1953"/>
      <c r="AF71" s="1043"/>
      <c r="AG71" s="1043"/>
      <c r="AH71" s="1043"/>
      <c r="AI71" s="1043"/>
      <c r="AJ71" s="1953"/>
      <c r="AK71" s="1043"/>
      <c r="AL71" s="1043"/>
      <c r="AM71" s="1043"/>
      <c r="AN71" s="1043"/>
      <c r="AO71" s="1953"/>
      <c r="AP71" s="1043"/>
      <c r="AQ71" s="1043"/>
      <c r="AR71" s="1043"/>
      <c r="AS71" s="1043"/>
      <c r="AT71" s="1953"/>
      <c r="AU71" s="1043"/>
      <c r="AV71" s="1043"/>
      <c r="AW71" s="1043"/>
      <c r="AX71" s="1043"/>
      <c r="AY71" s="1953"/>
      <c r="AZ71" s="1043"/>
      <c r="BA71" s="1043"/>
      <c r="BB71" s="1043"/>
      <c r="BC71" s="1043"/>
      <c r="BD71" s="1953"/>
      <c r="BE71" s="1043"/>
      <c r="BF71" s="1043"/>
      <c r="BG71" s="1043"/>
      <c r="BH71" s="1043"/>
      <c r="BI71" s="1953">
        <f t="shared" ref="BI71:BN71" si="111">+BI584</f>
        <v>0.12</v>
      </c>
      <c r="BJ71" s="1043">
        <f t="shared" si="111"/>
        <v>9.1999999999999998E-2</v>
      </c>
      <c r="BK71" s="1043">
        <f t="shared" si="111"/>
        <v>4.8000000000000001E-2</v>
      </c>
      <c r="BL71" s="1043">
        <f t="shared" si="111"/>
        <v>5.1999999999999998E-2</v>
      </c>
      <c r="BM71" s="1043">
        <f t="shared" si="111"/>
        <v>7.9000000000000001E-2</v>
      </c>
      <c r="BN71" s="1545">
        <f t="shared" si="111"/>
        <v>6.6000000000000003E-2</v>
      </c>
      <c r="BO71" s="1043">
        <f t="shared" ref="BO71:BU71" si="112">+BO584</f>
        <v>5.6000000000000001E-2</v>
      </c>
      <c r="BP71" s="1043">
        <f t="shared" si="112"/>
        <v>7.8E-2</v>
      </c>
      <c r="BQ71" s="1043">
        <f t="shared" si="112"/>
        <v>5.3999999999999999E-2</v>
      </c>
      <c r="BR71" s="1043">
        <f t="shared" si="112"/>
        <v>0.16500000000000001</v>
      </c>
      <c r="BS71" s="1545">
        <f t="shared" si="112"/>
        <v>8.7999999999999995E-2</v>
      </c>
      <c r="BT71" s="1043">
        <f t="shared" si="112"/>
        <v>0.13</v>
      </c>
      <c r="BU71" s="1043">
        <f t="shared" si="112"/>
        <v>9.0999999999999998E-2</v>
      </c>
      <c r="BV71" s="1043">
        <f t="shared" ref="BV71:CC71" si="113">+BV584</f>
        <v>9.9000000000000005E-2</v>
      </c>
      <c r="BW71" s="1043">
        <f t="shared" si="113"/>
        <v>1.2E-2</v>
      </c>
      <c r="BX71" s="1545">
        <f t="shared" si="113"/>
        <v>7.4999999999999997E-2</v>
      </c>
      <c r="BY71" s="1043">
        <f t="shared" si="113"/>
        <v>4.7E-2</v>
      </c>
      <c r="BZ71" s="1043">
        <f t="shared" si="113"/>
        <v>3.1E-2</v>
      </c>
      <c r="CA71" s="1043">
        <f t="shared" si="113"/>
        <v>1.6E-2</v>
      </c>
      <c r="CB71" s="1043">
        <f t="shared" si="113"/>
        <v>4.2999999999999997E-2</v>
      </c>
      <c r="CC71" s="2881">
        <f t="shared" si="113"/>
        <v>3.5000000000000003E-2</v>
      </c>
      <c r="CD71" s="1043">
        <f>+CD584</f>
        <v>0.03</v>
      </c>
      <c r="CE71" s="1043">
        <f>+CE584</f>
        <v>2.4E-2</v>
      </c>
      <c r="CF71" s="1043">
        <f>+CF584</f>
        <v>5.0999999999999997E-2</v>
      </c>
      <c r="CG71" s="1043"/>
      <c r="CH71" s="1953"/>
      <c r="CI71" s="1546"/>
      <c r="CJ71" s="1546"/>
      <c r="CK71" s="1546"/>
      <c r="CL71" s="1546"/>
      <c r="CM71" s="1545"/>
      <c r="CN71" s="1546"/>
      <c r="CO71" s="1546"/>
      <c r="CP71" s="1546"/>
      <c r="CQ71" s="1546"/>
      <c r="CR71" s="1545"/>
      <c r="CS71" s="1545"/>
      <c r="CT71" s="1545"/>
      <c r="CV71" s="537"/>
      <c r="CW71" s="537"/>
      <c r="CX71" s="537"/>
      <c r="DA71" s="212"/>
      <c r="DB71" s="1226"/>
    </row>
    <row r="72" spans="1:106" s="207" customFormat="1" ht="12.75" customHeight="1" x14ac:dyDescent="0.2">
      <c r="A72" s="1434" t="s">
        <v>1384</v>
      </c>
      <c r="B72" s="275">
        <f>B178*B128</f>
        <v>0</v>
      </c>
      <c r="C72" s="275">
        <f>C178*C128</f>
        <v>0</v>
      </c>
      <c r="D72" s="275">
        <f>D178*D128</f>
        <v>0</v>
      </c>
      <c r="E72" s="630">
        <f>E178*E128</f>
        <v>0</v>
      </c>
      <c r="F72" s="1569">
        <f>+SUMPRODUCT(B72:E72,B$4:E$4)/F$4</f>
        <v>0</v>
      </c>
      <c r="G72" s="272">
        <f>G178*G128</f>
        <v>132.40416000000002</v>
      </c>
      <c r="H72" s="272">
        <f>H178*H128</f>
        <v>146.55311999999998</v>
      </c>
      <c r="I72" s="272">
        <f>I178*I128</f>
        <v>118.17225000000001</v>
      </c>
      <c r="J72" s="272">
        <f>J178*J128</f>
        <v>107.00315999999998</v>
      </c>
      <c r="K72" s="1569">
        <f>+SUMPRODUCT(G72:J72,G$4:J$4)/K$4</f>
        <v>124.56932538461538</v>
      </c>
      <c r="L72" s="272">
        <f>L178*L128</f>
        <v>117.59616</v>
      </c>
      <c r="M72" s="272">
        <f>M178*M128</f>
        <v>132.31804</v>
      </c>
      <c r="N72" s="272">
        <f>N178*N128</f>
        <v>128.57040999999998</v>
      </c>
      <c r="O72" s="272">
        <f>O178*O128</f>
        <v>126.97507999999999</v>
      </c>
      <c r="P72" s="1569">
        <f>+SUMPRODUCT(L72:O72,L$4:O$4)/P$4</f>
        <v>126.41797967391302</v>
      </c>
      <c r="Q72" s="272">
        <f>Q178*Q128</f>
        <v>162.05835000000002</v>
      </c>
      <c r="R72" s="272">
        <f>R178*R128</f>
        <v>168.25536</v>
      </c>
      <c r="S72" s="272">
        <f>S178*S128</f>
        <v>139.00418000000002</v>
      </c>
      <c r="T72" s="272">
        <f>T178*T128</f>
        <v>144.25295</v>
      </c>
      <c r="U72" s="1569">
        <f>+SUMPRODUCT(Q72:T72,Q$4:T$4)/U$4</f>
        <v>152.66653728767125</v>
      </c>
      <c r="V72" s="272">
        <f>V178*V128</f>
        <v>180.54490000000004</v>
      </c>
      <c r="W72" s="272">
        <f>W178*W128</f>
        <v>200.32272</v>
      </c>
      <c r="X72" s="272">
        <f>X178*X128</f>
        <v>161.73754</v>
      </c>
      <c r="Y72" s="272">
        <f>Y178*Y128</f>
        <v>177.95472000000001</v>
      </c>
      <c r="Z72" s="1569">
        <f>+SUMPRODUCT(V72:Y72,V$4:Y$4)/Z$4</f>
        <v>179.97500513661203</v>
      </c>
      <c r="AA72" s="272">
        <f>AA178*AA128</f>
        <v>205.01062999999999</v>
      </c>
      <c r="AB72" s="272">
        <f>AB178*AB128</f>
        <v>229.89954999999998</v>
      </c>
      <c r="AC72" s="272">
        <f>AC178*AC128</f>
        <v>182.19346999999999</v>
      </c>
      <c r="AD72" s="272">
        <f>AD178*AD128</f>
        <v>199.79737636032615</v>
      </c>
      <c r="AE72" s="1569">
        <f>+SUMPRODUCT(AA72:AD72,AA$4:AD$4)/AE$4</f>
        <v>203.87345240744344</v>
      </c>
      <c r="AF72" s="272">
        <f>AF178*AF128</f>
        <v>228.61343138978563</v>
      </c>
      <c r="AG72" s="272">
        <f>AG178*AG128</f>
        <v>242.1353631605769</v>
      </c>
      <c r="AH72" s="272">
        <f>AH178*AH128</f>
        <v>223.75639784411126</v>
      </c>
      <c r="AI72" s="272">
        <f>AI178*AI128</f>
        <v>219.04427487317091</v>
      </c>
      <c r="AJ72" s="1569">
        <f>+SUMPRODUCT(AF72:AI72,AF$4:AI$4)/AJ$4</f>
        <v>227.64237854509429</v>
      </c>
      <c r="AK72" s="272">
        <f>AK178*AK128</f>
        <v>245.02280745379485</v>
      </c>
      <c r="AL72" s="272">
        <f>AL178*AL128</f>
        <v>268.9479</v>
      </c>
      <c r="AM72" s="272">
        <f>AM178*AM128</f>
        <v>210.22343999999998</v>
      </c>
      <c r="AN72" s="272">
        <f>AN178*AN128</f>
        <v>232.61133000000001</v>
      </c>
      <c r="AO72" s="1569">
        <f>+SUMPRODUCT(AK72:AN72,AK$4:AN$4)/AO$4</f>
        <v>238.66034579303565</v>
      </c>
      <c r="AP72" s="272">
        <f>AP178*AP128</f>
        <v>246.13188</v>
      </c>
      <c r="AQ72" s="272">
        <f>AQ178*AQ128</f>
        <v>277.21316000000002</v>
      </c>
      <c r="AR72" s="272">
        <f>AR178*AR128</f>
        <v>209.09524999999999</v>
      </c>
      <c r="AS72" s="272">
        <f>AS178*AS128</f>
        <v>195.85388</v>
      </c>
      <c r="AT72" s="1569">
        <f>+SUMPRODUCT(AP72:AS72,AP$4:AS$4)/AT$4</f>
        <v>228.83438569105689</v>
      </c>
      <c r="AU72" s="272">
        <f>AU178*AU128</f>
        <v>192.10709999999997</v>
      </c>
      <c r="AV72" s="272">
        <f>AV178*AV128</f>
        <v>185.25431999999998</v>
      </c>
      <c r="AW72" s="272">
        <f>AW178*AW128</f>
        <v>155.10451</v>
      </c>
      <c r="AX72" s="272">
        <f>AX178*AX128</f>
        <v>169.34016</v>
      </c>
      <c r="AY72" s="1569">
        <f>+SUMPRODUCT(AU72:AX72,AU$4:AX$4)/AY$4</f>
        <v>174.98141769230767</v>
      </c>
      <c r="AZ72" s="272">
        <f>AZ178*AZ128</f>
        <v>193.71708000000001</v>
      </c>
      <c r="BA72" s="272">
        <f>BA178*BA128</f>
        <v>212.67347999999998</v>
      </c>
      <c r="BB72" s="272">
        <f>BB178*BB128</f>
        <v>169.52432000000002</v>
      </c>
      <c r="BC72" s="272">
        <f>BC178*BC128</f>
        <v>184.53264000000001</v>
      </c>
      <c r="BD72" s="1569">
        <f>+SUMPRODUCT(AZ72:BC72,AZ$4:BC$4)/BD$4</f>
        <v>189.6827076923077</v>
      </c>
      <c r="BE72" s="272">
        <f>BE178*BE128</f>
        <v>212.86317000000003</v>
      </c>
      <c r="BF72" s="272">
        <f>BF178*BF128</f>
        <v>230.32413</v>
      </c>
      <c r="BG72" s="272">
        <f>BG178*BG128</f>
        <v>188.74397999999997</v>
      </c>
      <c r="BH72" s="272">
        <f>BH128*BH178</f>
        <v>203.57040000000001</v>
      </c>
      <c r="BI72" s="1569">
        <f>+SUMPRODUCT(BE72:BH72,BE$4:BH$4)/BI$4</f>
        <v>208.46734153846154</v>
      </c>
      <c r="BJ72" s="272">
        <f>BJ128*BJ178</f>
        <v>229.84451999999999</v>
      </c>
      <c r="BK72" s="272">
        <f>BK128*BK178</f>
        <v>250.23208</v>
      </c>
      <c r="BL72" s="272">
        <f>BL128*BL178</f>
        <v>204.2372</v>
      </c>
      <c r="BM72" s="272">
        <f>BM128*BM178</f>
        <v>213.85735</v>
      </c>
      <c r="BN72" s="1569">
        <f>+SUMPRODUCT(BJ72:BM72,BJ$4:BM$4)/BN$4</f>
        <v>223.72083076923079</v>
      </c>
      <c r="BO72" s="272">
        <f>BO128*BO178</f>
        <v>245.06343000000001</v>
      </c>
      <c r="BP72" s="272">
        <f>BP128*BP178</f>
        <v>241.30480000000003</v>
      </c>
      <c r="BQ72" s="272">
        <f>BQ128*BQ178</f>
        <v>217.81679999999997</v>
      </c>
      <c r="BR72" s="272">
        <f>BR128*BR178</f>
        <v>230.40682000000001</v>
      </c>
      <c r="BS72" s="1569">
        <f>+SUMPRODUCT(BO72:BR72,BO$4:BR$4)/BS$4</f>
        <v>233.59585237704917</v>
      </c>
      <c r="BT72" s="272">
        <f>BT128*BT178</f>
        <v>252.70599999999999</v>
      </c>
      <c r="BU72" s="272">
        <f>BU128*BU178</f>
        <v>255.85130999999998</v>
      </c>
      <c r="BV72" s="272">
        <f>BV128*BV178</f>
        <v>233.48745</v>
      </c>
      <c r="BW72" s="272">
        <f>BW128*BW178</f>
        <v>245.77538999999999</v>
      </c>
      <c r="BX72" s="1569">
        <f>+SUMPRODUCT(BT72:BW72,BT$4:BW$4)/BX$4</f>
        <v>246.89915202739724</v>
      </c>
      <c r="BY72" s="272">
        <f>BY128*BY178</f>
        <v>272.06256000000002</v>
      </c>
      <c r="BZ72" s="272">
        <f>BZ128*BZ178</f>
        <v>267.35554999999999</v>
      </c>
      <c r="CA72" s="272">
        <f>CA128*CA178</f>
        <v>244.50995999999998</v>
      </c>
      <c r="CB72" s="272">
        <f>CB128*CB178</f>
        <v>252.51929999999999</v>
      </c>
      <c r="CC72" s="1569">
        <f>+SUMPRODUCT(BY72:CB72,BY$4:CB$4)/CC$4</f>
        <v>259.01829416438352</v>
      </c>
      <c r="CD72" s="272">
        <f>CD128*CD178</f>
        <v>279.08909999999997</v>
      </c>
      <c r="CE72" s="272">
        <f>CE128*CE178</f>
        <v>257.04734999999999</v>
      </c>
      <c r="CF72" s="272">
        <f>CF128*CF178</f>
        <v>233.63185999999999</v>
      </c>
      <c r="CG72" s="272"/>
      <c r="CH72" s="1569"/>
      <c r="CI72" s="272"/>
      <c r="CJ72" s="272"/>
      <c r="CK72" s="272"/>
      <c r="CL72" s="272"/>
      <c r="CM72" s="1569"/>
      <c r="CN72" s="272"/>
      <c r="CO72" s="272"/>
      <c r="CP72" s="272"/>
      <c r="CQ72" s="272"/>
      <c r="CR72" s="235"/>
      <c r="CS72" s="235"/>
      <c r="CT72" s="235"/>
      <c r="CV72" s="537"/>
      <c r="CW72" s="537"/>
      <c r="CX72" s="537"/>
      <c r="DA72" s="212"/>
      <c r="DB72" s="1226"/>
    </row>
    <row r="73" spans="1:106" s="207" customFormat="1" ht="12.75" customHeight="1" x14ac:dyDescent="0.2">
      <c r="A73" s="1595" t="s">
        <v>652</v>
      </c>
      <c r="B73" s="885"/>
      <c r="C73" s="885"/>
      <c r="D73" s="885"/>
      <c r="E73" s="885"/>
      <c r="F73" s="1044"/>
      <c r="G73" s="885"/>
      <c r="H73" s="885"/>
      <c r="I73" s="885"/>
      <c r="J73" s="885"/>
      <c r="K73" s="1044"/>
      <c r="L73" s="885">
        <f>L72/G72-1</f>
        <v>-0.11183938631535462</v>
      </c>
      <c r="M73" s="885">
        <f>M72/H72-1</f>
        <v>-9.7132561899739733E-2</v>
      </c>
      <c r="N73" s="885">
        <f>N72/I72-1</f>
        <v>8.7991554700870722E-2</v>
      </c>
      <c r="O73" s="885">
        <f>O72/J72-1</f>
        <v>0.18664794572421983</v>
      </c>
      <c r="P73" s="1044">
        <f>+P72/K72-1</f>
        <v>1.484036526319632E-2</v>
      </c>
      <c r="Q73" s="885">
        <f>Q72/L72-1</f>
        <v>0.37809219280629591</v>
      </c>
      <c r="R73" s="885">
        <f>R72/M72-1</f>
        <v>0.27159803757673551</v>
      </c>
      <c r="S73" s="885">
        <f>S72/N72-1</f>
        <v>8.1152187350106653E-2</v>
      </c>
      <c r="T73" s="885">
        <f>T72/O72-1</f>
        <v>0.13607292076524002</v>
      </c>
      <c r="U73" s="1044">
        <f>+U72/P72-1</f>
        <v>0.20763310473292385</v>
      </c>
      <c r="V73" s="885">
        <f>V72/Q72-1</f>
        <v>0.11407341861743014</v>
      </c>
      <c r="W73" s="885">
        <f>W72/R72-1</f>
        <v>0.19058744993324428</v>
      </c>
      <c r="X73" s="885">
        <f>X72/S72-1</f>
        <v>0.16354443441916611</v>
      </c>
      <c r="Y73" s="885">
        <f>Y72/T72-1</f>
        <v>0.23362967620419561</v>
      </c>
      <c r="Z73" s="1044">
        <f>+Z72/U72-1</f>
        <v>0.1788765785489923</v>
      </c>
      <c r="AA73" s="885">
        <f>AA72/V72-1</f>
        <v>0.13551050181976865</v>
      </c>
      <c r="AB73" s="885">
        <f>AB72/W72-1</f>
        <v>0.14764590856194437</v>
      </c>
      <c r="AC73" s="885">
        <f>AC72/X72-1</f>
        <v>0.12647607970295582</v>
      </c>
      <c r="AD73" s="885">
        <f>AD72/Y72-1</f>
        <v>0.12274277614174078</v>
      </c>
      <c r="AE73" s="1044">
        <f>+AE72/Z72-1</f>
        <v>0.13278759043618882</v>
      </c>
      <c r="AF73" s="885">
        <f>AF72/AA72-1</f>
        <v>0.11512964664215519</v>
      </c>
      <c r="AG73" s="885">
        <f>AG72/AB72-1</f>
        <v>5.3222431973341866E-2</v>
      </c>
      <c r="AH73" s="885">
        <f>AH72/AC72-1</f>
        <v>0.22812523327049683</v>
      </c>
      <c r="AI73" s="885">
        <f>AI72/AD72-1</f>
        <v>9.6332088356024137E-2</v>
      </c>
      <c r="AJ73" s="1044">
        <f>+AJ72/AE72-1</f>
        <v>0.11658666617440883</v>
      </c>
      <c r="AK73" s="885">
        <f>AK72/AF72-1</f>
        <v>7.177783021869466E-2</v>
      </c>
      <c r="AL73" s="885">
        <f>AL72/AG72-1</f>
        <v>0.11073366768670567</v>
      </c>
      <c r="AM73" s="885">
        <f>AM72/AH72-1</f>
        <v>-6.0480763788213765E-2</v>
      </c>
      <c r="AN73" s="885">
        <f>AN72/AI72-1</f>
        <v>6.1937501606396994E-2</v>
      </c>
      <c r="AO73" s="1044">
        <f>+AO72/AJ72-1</f>
        <v>4.8400334412068924E-2</v>
      </c>
      <c r="AP73" s="885">
        <f>AP72/AK72-1</f>
        <v>4.526405348670659E-3</v>
      </c>
      <c r="AQ73" s="885">
        <f>AQ72/AL72-1</f>
        <v>3.0731825755099917E-2</v>
      </c>
      <c r="AR73" s="885">
        <f>AR72/AM72-1</f>
        <v>-5.366623246199298E-3</v>
      </c>
      <c r="AS73" s="885">
        <f>AS72/AN72-1</f>
        <v>-0.15802089261946095</v>
      </c>
      <c r="AT73" s="1044">
        <f>+AT72/AO72-1</f>
        <v>-4.1171314276481241E-2</v>
      </c>
      <c r="AU73" s="885">
        <f>AU72/AP72-1</f>
        <v>-0.21949525595790365</v>
      </c>
      <c r="AV73" s="885">
        <f>AV72/AQ72-1</f>
        <v>-0.33172609842909351</v>
      </c>
      <c r="AW73" s="885">
        <f>AW72/AR72-1</f>
        <v>-0.2582112219191971</v>
      </c>
      <c r="AX73" s="885">
        <f>AX72/AS72-1</f>
        <v>-0.13537500508031808</v>
      </c>
      <c r="AY73" s="1044">
        <f>+AY72/AT72-1</f>
        <v>-0.23533599566393248</v>
      </c>
      <c r="AZ73" s="885">
        <f>AZ72/AU72-1</f>
        <v>8.3806376755468648E-3</v>
      </c>
      <c r="BA73" s="885">
        <f>BA72/AV72-1</f>
        <v>0.14800820839157769</v>
      </c>
      <c r="BB73" s="885">
        <f>BB72/AW72-1</f>
        <v>9.296834759995054E-2</v>
      </c>
      <c r="BC73" s="885">
        <f>BC72/AX72-1</f>
        <v>8.9715753191682346E-2</v>
      </c>
      <c r="BD73" s="1044">
        <f>+BD72/AY72-1</f>
        <v>8.4016292666294401E-2</v>
      </c>
      <c r="BE73" s="885">
        <f>BE72/AZ72-1</f>
        <v>9.8835322109955381E-2</v>
      </c>
      <c r="BF73" s="885">
        <f>BF72/BA72-1</f>
        <v>8.2994127899726822E-2</v>
      </c>
      <c r="BG73" s="885">
        <f>BG72/BB72-1</f>
        <v>0.11337405748036589</v>
      </c>
      <c r="BH73" s="885">
        <f>BH72/BC72-1</f>
        <v>0.10316743964644948</v>
      </c>
      <c r="BI73" s="1044">
        <f>+BI72/BD72-1</f>
        <v>9.9031873145891458E-2</v>
      </c>
      <c r="BJ73" s="885">
        <f>BJ72/BE72-1</f>
        <v>7.9775895473134018E-2</v>
      </c>
      <c r="BK73" s="885">
        <f>BK72/BF72-1</f>
        <v>8.6434495595402838E-2</v>
      </c>
      <c r="BL73" s="885">
        <f>BL72/BG72-1</f>
        <v>8.2085902819258427E-2</v>
      </c>
      <c r="BM73" s="885">
        <f>BM72/BH72-1</f>
        <v>5.0532641287731384E-2</v>
      </c>
      <c r="BN73" s="1044">
        <f>+BN72/BI72-1</f>
        <v>7.3169682686028858E-2</v>
      </c>
      <c r="BO73" s="885">
        <f>BO72/BJ72-1</f>
        <v>6.6213934532787677E-2</v>
      </c>
      <c r="BP73" s="885">
        <f>BP72/BK72-1</f>
        <v>-3.567600125451531E-2</v>
      </c>
      <c r="BQ73" s="885">
        <f>BQ72/BL72-1</f>
        <v>6.6489356493332208E-2</v>
      </c>
      <c r="BR73" s="885">
        <f>BR72/BM72-1</f>
        <v>7.7385556306575509E-2</v>
      </c>
      <c r="BS73" s="1044">
        <f>+BS72/BN72-1</f>
        <v>4.413992909763742E-2</v>
      </c>
      <c r="BT73" s="885">
        <f>BT72/BO72-1</f>
        <v>3.1186089250444082E-2</v>
      </c>
      <c r="BU73" s="885">
        <f>BU72/BP72-1</f>
        <v>6.0282721272017614E-2</v>
      </c>
      <c r="BV73" s="885">
        <f>BV72/BQ72-1</f>
        <v>7.1944175104950769E-2</v>
      </c>
      <c r="BW73" s="885">
        <f>BW72/BR72-1</f>
        <v>6.6701888425003908E-2</v>
      </c>
      <c r="BX73" s="1044">
        <f>+BX72/BS72-1</f>
        <v>5.6950067884232292E-2</v>
      </c>
      <c r="BY73" s="885">
        <f>BY72/BT72-1</f>
        <v>7.6597152422182457E-2</v>
      </c>
      <c r="BZ73" s="885">
        <f>BZ72/BU72-1</f>
        <v>4.49645538262049E-2</v>
      </c>
      <c r="CA73" s="885">
        <f>CA72/BV72-1</f>
        <v>4.7208147589945293E-2</v>
      </c>
      <c r="CB73" s="885">
        <f>CB72/BW72-1</f>
        <v>2.7439321731927757E-2</v>
      </c>
      <c r="CC73" s="1044">
        <f>+CC72/BX72-1</f>
        <v>4.9085393924890752E-2</v>
      </c>
      <c r="CD73" s="885">
        <f>CD72/BY72-1</f>
        <v>2.5826927453744375E-2</v>
      </c>
      <c r="CE73" s="885">
        <f>CE72/BZ72-1</f>
        <v>-3.8556147422411868E-2</v>
      </c>
      <c r="CF73" s="885">
        <f>CF72/CA72-1</f>
        <v>-4.4489394215270428E-2</v>
      </c>
      <c r="CG73" s="885"/>
      <c r="CH73" s="1044"/>
      <c r="CI73" s="885"/>
      <c r="CJ73" s="885"/>
      <c r="CK73" s="885"/>
      <c r="CL73" s="885"/>
      <c r="CM73" s="1044"/>
      <c r="CN73" s="885"/>
      <c r="CO73" s="885"/>
      <c r="CP73" s="885"/>
      <c r="CQ73" s="885"/>
      <c r="CR73" s="1044"/>
      <c r="CS73" s="1044"/>
      <c r="CT73" s="1044"/>
      <c r="CV73" s="781"/>
      <c r="CW73" s="781"/>
      <c r="CX73" s="781"/>
      <c r="DA73" s="212"/>
      <c r="DB73" s="1226"/>
    </row>
    <row r="74" spans="1:106" s="207" customFormat="1" ht="12.75" customHeight="1" x14ac:dyDescent="0.2">
      <c r="A74" s="1595" t="s">
        <v>359</v>
      </c>
      <c r="B74" s="1924" t="s">
        <v>673</v>
      </c>
      <c r="C74" s="1924" t="s">
        <v>673</v>
      </c>
      <c r="D74" s="1924" t="s">
        <v>673</v>
      </c>
      <c r="E74" s="1924" t="s">
        <v>673</v>
      </c>
      <c r="F74" s="1890" t="s">
        <v>673</v>
      </c>
      <c r="G74" s="1924" t="s">
        <v>673</v>
      </c>
      <c r="H74" s="1924" t="s">
        <v>673</v>
      </c>
      <c r="I74" s="1924" t="s">
        <v>673</v>
      </c>
      <c r="J74" s="1924" t="s">
        <v>673</v>
      </c>
      <c r="K74" s="1890" t="s">
        <v>673</v>
      </c>
      <c r="L74" s="1924" t="s">
        <v>673</v>
      </c>
      <c r="M74" s="1924" t="s">
        <v>673</v>
      </c>
      <c r="N74" s="1924" t="s">
        <v>673</v>
      </c>
      <c r="O74" s="1924" t="s">
        <v>673</v>
      </c>
      <c r="P74" s="1890" t="s">
        <v>673</v>
      </c>
      <c r="Q74" s="1043">
        <f t="shared" ref="Q74:AV74" si="114">+Q571</f>
        <v>-8.0000000000000002E-3</v>
      </c>
      <c r="R74" s="1043">
        <f t="shared" si="114"/>
        <v>-5.2999999999999999E-2</v>
      </c>
      <c r="S74" s="1043">
        <f t="shared" si="114"/>
        <v>5.6000000000000001E-2</v>
      </c>
      <c r="T74" s="1043">
        <f t="shared" si="114"/>
        <v>4.8000000000000001E-2</v>
      </c>
      <c r="U74" s="1953">
        <f t="shared" si="114"/>
        <v>0.01</v>
      </c>
      <c r="V74" s="1043">
        <f t="shared" si="114"/>
        <v>0.10100000000000001</v>
      </c>
      <c r="W74" s="1043">
        <f t="shared" si="114"/>
        <v>0.16400000000000001</v>
      </c>
      <c r="X74" s="1043">
        <f t="shared" si="114"/>
        <v>0.13300000000000001</v>
      </c>
      <c r="Y74" s="1043">
        <f t="shared" si="114"/>
        <v>0.10100000000000001</v>
      </c>
      <c r="Z74" s="1953">
        <f t="shared" si="114"/>
        <v>0.129</v>
      </c>
      <c r="AA74" s="1043">
        <f t="shared" si="114"/>
        <v>0.13500000000000001</v>
      </c>
      <c r="AB74" s="1043">
        <f t="shared" si="114"/>
        <v>0.113</v>
      </c>
      <c r="AC74" s="1043">
        <f t="shared" si="114"/>
        <v>0.11</v>
      </c>
      <c r="AD74" s="1043">
        <f t="shared" si="114"/>
        <v>0.129</v>
      </c>
      <c r="AE74" s="1953">
        <f t="shared" si="114"/>
        <v>0.122</v>
      </c>
      <c r="AF74" s="1043">
        <f t="shared" si="114"/>
        <v>0.108</v>
      </c>
      <c r="AG74" s="1043">
        <f t="shared" si="114"/>
        <v>0.104</v>
      </c>
      <c r="AH74" s="1043">
        <f t="shared" si="114"/>
        <v>9.1999999999999998E-2</v>
      </c>
      <c r="AI74" s="1043">
        <f t="shared" si="114"/>
        <v>9.5000000000000001E-2</v>
      </c>
      <c r="AJ74" s="1953">
        <f t="shared" si="114"/>
        <v>0.10299999999999999</v>
      </c>
      <c r="AK74" s="1043">
        <f t="shared" si="114"/>
        <v>8.2000000000000003E-2</v>
      </c>
      <c r="AL74" s="1043">
        <f t="shared" si="114"/>
        <v>7.0999999999999994E-2</v>
      </c>
      <c r="AM74" s="1043">
        <f t="shared" si="114"/>
        <v>8.3000000000000004E-2</v>
      </c>
      <c r="AN74" s="1043">
        <f t="shared" si="114"/>
        <v>7.0000000000000007E-2</v>
      </c>
      <c r="AO74" s="1953">
        <f t="shared" si="114"/>
        <v>7.4999999999999997E-2</v>
      </c>
      <c r="AP74" s="1043">
        <f t="shared" si="114"/>
        <v>4.5999999999999999E-2</v>
      </c>
      <c r="AQ74" s="1043">
        <f t="shared" si="114"/>
        <v>1.0999999999999999E-2</v>
      </c>
      <c r="AR74" s="1043">
        <f t="shared" si="114"/>
        <v>-1.7000000000000001E-2</v>
      </c>
      <c r="AS74" s="1043">
        <f t="shared" si="114"/>
        <v>-0.16400000000000001</v>
      </c>
      <c r="AT74" s="1953">
        <f t="shared" si="114"/>
        <v>-4.7E-2</v>
      </c>
      <c r="AU74" s="1043">
        <f t="shared" si="114"/>
        <v>-0.27100000000000002</v>
      </c>
      <c r="AV74" s="1043">
        <f t="shared" si="114"/>
        <v>-0.314</v>
      </c>
      <c r="AW74" s="1043">
        <f t="shared" ref="AW74:CB74" si="115">+AW571</f>
        <v>-0.23499999999999999</v>
      </c>
      <c r="AX74" s="1043">
        <f t="shared" si="115"/>
        <v>-0.11600000000000001</v>
      </c>
      <c r="AY74" s="1953">
        <f t="shared" si="115"/>
        <v>-0.23100000000000001</v>
      </c>
      <c r="AZ74" s="1043">
        <f t="shared" si="115"/>
        <v>2.5000000000000001E-2</v>
      </c>
      <c r="BA74" s="1043">
        <f t="shared" si="115"/>
        <v>0.159</v>
      </c>
      <c r="BB74" s="1043">
        <f t="shared" si="115"/>
        <v>7.9000000000000001E-2</v>
      </c>
      <c r="BC74" s="1043">
        <f t="shared" si="115"/>
        <v>0.1</v>
      </c>
      <c r="BD74" s="1953">
        <f t="shared" si="115"/>
        <v>9.8000000000000004E-2</v>
      </c>
      <c r="BE74" s="1043">
        <f t="shared" si="115"/>
        <v>6.9000000000000006E-2</v>
      </c>
      <c r="BF74" s="1043">
        <f t="shared" si="115"/>
        <v>0.106</v>
      </c>
      <c r="BG74" s="1043">
        <f t="shared" si="115"/>
        <v>0.13500000000000001</v>
      </c>
      <c r="BH74" s="1043">
        <f t="shared" si="115"/>
        <v>9.2999999999999999E-2</v>
      </c>
      <c r="BI74" s="1953">
        <f t="shared" si="115"/>
        <v>0.10199999999999999</v>
      </c>
      <c r="BJ74" s="1043">
        <f t="shared" si="115"/>
        <v>7.0999999999999994E-2</v>
      </c>
      <c r="BK74" s="1043">
        <f t="shared" si="115"/>
        <v>6.7000000000000004E-2</v>
      </c>
      <c r="BL74" s="1043">
        <f t="shared" si="115"/>
        <v>7.1999999999999995E-2</v>
      </c>
      <c r="BM74" s="1043">
        <f t="shared" si="115"/>
        <v>4.4999999999999998E-2</v>
      </c>
      <c r="BN74" s="1545">
        <f t="shared" si="115"/>
        <v>6.0999999999999999E-2</v>
      </c>
      <c r="BO74" s="1043">
        <f t="shared" si="115"/>
        <v>8.8999999999999996E-2</v>
      </c>
      <c r="BP74" s="1043">
        <f t="shared" si="115"/>
        <v>7.3999999999999996E-2</v>
      </c>
      <c r="BQ74" s="1043">
        <f t="shared" si="115"/>
        <v>8.7999999999999995E-2</v>
      </c>
      <c r="BR74" s="1043">
        <f t="shared" si="115"/>
        <v>0.104</v>
      </c>
      <c r="BS74" s="1545">
        <f t="shared" si="115"/>
        <v>8.6999999999999994E-2</v>
      </c>
      <c r="BT74" s="1043">
        <f t="shared" si="115"/>
        <v>5.1999999999999998E-2</v>
      </c>
      <c r="BU74" s="1043">
        <f t="shared" si="115"/>
        <v>6.4000000000000001E-2</v>
      </c>
      <c r="BV74" s="1043">
        <f t="shared" si="115"/>
        <v>7.5999999999999998E-2</v>
      </c>
      <c r="BW74" s="1043">
        <f t="shared" si="115"/>
        <v>5.7000000000000002E-2</v>
      </c>
      <c r="BX74" s="1545">
        <f t="shared" si="115"/>
        <v>6.2E-2</v>
      </c>
      <c r="BY74" s="1043">
        <f t="shared" si="115"/>
        <v>2.9000000000000001E-2</v>
      </c>
      <c r="BZ74" s="1043">
        <f t="shared" si="115"/>
        <v>3.2000000000000001E-2</v>
      </c>
      <c r="CA74" s="1043">
        <f t="shared" si="115"/>
        <v>3.3000000000000002E-2</v>
      </c>
      <c r="CB74" s="1043">
        <f t="shared" si="115"/>
        <v>1.7000000000000001E-2</v>
      </c>
      <c r="CC74" s="2881">
        <f>+CC571</f>
        <v>2.7E-2</v>
      </c>
      <c r="CD74" s="1043">
        <f>+CD571</f>
        <v>6.2E-2</v>
      </c>
      <c r="CE74" s="1043">
        <f>+CE571</f>
        <v>1.4999999999999999E-2</v>
      </c>
      <c r="CF74" s="1043">
        <f>+CF571</f>
        <v>1.4E-2</v>
      </c>
      <c r="CG74" s="1043"/>
      <c r="CH74" s="1953"/>
      <c r="CI74" s="1546"/>
      <c r="CJ74" s="1546"/>
      <c r="CK74" s="1546"/>
      <c r="CL74" s="1546"/>
      <c r="CM74" s="1545"/>
      <c r="CN74" s="1546"/>
      <c r="CO74" s="1546"/>
      <c r="CP74" s="1546"/>
      <c r="CQ74" s="1546"/>
      <c r="CR74" s="1545"/>
      <c r="CS74" s="1545"/>
      <c r="CT74" s="1545"/>
      <c r="CV74" s="537"/>
      <c r="CW74" s="537"/>
      <c r="CX74" s="537"/>
      <c r="DA74" s="212"/>
      <c r="DB74" s="1226"/>
    </row>
    <row r="75" spans="1:106" s="207" customFormat="1" ht="12.75" customHeight="1" x14ac:dyDescent="0.2">
      <c r="A75" s="1434" t="s">
        <v>452</v>
      </c>
      <c r="B75" s="275">
        <f>B181*B131</f>
        <v>82.968300000000013</v>
      </c>
      <c r="C75" s="275">
        <f>C181*C131</f>
        <v>90.975480000000005</v>
      </c>
      <c r="D75" s="275">
        <f>D181*D131</f>
        <v>88.632959999999997</v>
      </c>
      <c r="E75" s="630">
        <f>E181*E131</f>
        <v>85.324110000000005</v>
      </c>
      <c r="F75" s="1569">
        <f>+SUMPRODUCT(B75:E75,B$4:E$4)/F$4</f>
        <v>86.848204615384617</v>
      </c>
      <c r="G75" s="272">
        <f>G181*G131</f>
        <v>87.783900000000003</v>
      </c>
      <c r="H75" s="272">
        <f>H181*H131</f>
        <v>87.381090000000015</v>
      </c>
      <c r="I75" s="272">
        <f>I181*I131</f>
        <v>87.209879999999998</v>
      </c>
      <c r="J75" s="272">
        <f>J181*J131</f>
        <v>70.375719999999987</v>
      </c>
      <c r="K75" s="1569">
        <f>+SUMPRODUCT(G75:J75,G$4:J$4)/K$4</f>
        <v>82.202114615384616</v>
      </c>
      <c r="L75" s="272">
        <f>L181*L131</f>
        <v>73.739959999999996</v>
      </c>
      <c r="M75" s="272">
        <f>M181*M131</f>
        <v>76.579560000000001</v>
      </c>
      <c r="N75" s="272">
        <f>N181*N131</f>
        <v>77.535030000000006</v>
      </c>
      <c r="O75" s="272">
        <f>O181*O131</f>
        <v>74.869839999999996</v>
      </c>
      <c r="P75" s="1569">
        <f>+SUMPRODUCT(L75:O75,L$4:O$4)/P$4</f>
        <v>75.610553369565224</v>
      </c>
      <c r="Q75" s="272">
        <f>Q181*Q131</f>
        <v>70.007629999999992</v>
      </c>
      <c r="R75" s="272">
        <f>R181*R131</f>
        <v>73.42944</v>
      </c>
      <c r="S75" s="272">
        <f>S181*S131</f>
        <v>76.990499999999997</v>
      </c>
      <c r="T75" s="272">
        <f>T181*T131</f>
        <v>66.635999999999996</v>
      </c>
      <c r="U75" s="1569">
        <f>+SUMPRODUCT(Q75:T75,Q$4:T$4)/U$4</f>
        <v>71.358311999999998</v>
      </c>
      <c r="V75" s="272">
        <f>V181*V131</f>
        <v>72.20501999999999</v>
      </c>
      <c r="W75" s="272">
        <f>W181*W131</f>
        <v>78.036240000000006</v>
      </c>
      <c r="X75" s="272">
        <f>X181*X131</f>
        <v>82.180049999999994</v>
      </c>
      <c r="Y75" s="272">
        <f>Y181*Y131</f>
        <v>76.501379999999997</v>
      </c>
      <c r="Z75" s="1569">
        <f>+SUMPRODUCT(V75:Y75,V$4:Y$4)/Z$4</f>
        <v>77.147417049180319</v>
      </c>
      <c r="AA75" s="272">
        <f>AA181*AA131</f>
        <v>78.47760000000001</v>
      </c>
      <c r="AB75" s="272">
        <f>AB181*AB131</f>
        <v>85.065790000000007</v>
      </c>
      <c r="AC75" s="272">
        <f>AC181*AC131</f>
        <v>89.073539999999994</v>
      </c>
      <c r="AD75" s="272">
        <f>AD181*AD131</f>
        <v>81.618991458238085</v>
      </c>
      <c r="AE75" s="1569">
        <f>+SUMPRODUCT(AA75:AD75,AA$4:AD$4)/AE$4</f>
        <v>83.404844259673723</v>
      </c>
      <c r="AF75" s="272">
        <f>AF181*AF131</f>
        <v>86.272992926620418</v>
      </c>
      <c r="AG75" s="272">
        <f>AG181*AG131</f>
        <v>89.785184955364201</v>
      </c>
      <c r="AH75" s="272">
        <f>AH181*AH131</f>
        <v>91.655824879934883</v>
      </c>
      <c r="AI75" s="272">
        <f>AI181*AI131</f>
        <v>86.469594011934859</v>
      </c>
      <c r="AJ75" s="1569">
        <f>+SUMPRODUCT(AF75:AI75,AF$4:AI$4)/AJ$4</f>
        <v>88.386723523140816</v>
      </c>
      <c r="AK75" s="272">
        <f>AK181*AK131</f>
        <v>90.153934079492373</v>
      </c>
      <c r="AL75" s="272">
        <f>AL181*AL131</f>
        <v>98.655750000000012</v>
      </c>
      <c r="AM75" s="272">
        <f>AM181*AM131</f>
        <v>101.8368</v>
      </c>
      <c r="AN75" s="272">
        <f>AN181*AN131</f>
        <v>92.897279999999995</v>
      </c>
      <c r="AO75" s="1569">
        <f>+SUMPRODUCT(AK75:AN75,AK$4:AN$4)/AO$4</f>
        <v>95.663580682961168</v>
      </c>
      <c r="AP75" s="272">
        <f>AP181*AP131</f>
        <v>92.089500000000001</v>
      </c>
      <c r="AQ75" s="272">
        <f>AQ181*AQ131</f>
        <v>100.45700000000001</v>
      </c>
      <c r="AR75" s="272">
        <f>AR181*AR131</f>
        <v>103.24032</v>
      </c>
      <c r="AS75" s="272">
        <f>AS181*AS131</f>
        <v>86.06125999999999</v>
      </c>
      <c r="AT75" s="1569">
        <f>+SUMPRODUCT(AP75:AS75,AP$4:AS$4)/AT$4</f>
        <v>94.621301626016248</v>
      </c>
      <c r="AU75" s="272">
        <f>AU181*AU131</f>
        <v>79.386340000000004</v>
      </c>
      <c r="AV75" s="272">
        <f>AV181*AV131</f>
        <v>82.703969999999998</v>
      </c>
      <c r="AW75" s="272">
        <f>AW181*AW131</f>
        <v>85.768829999999994</v>
      </c>
      <c r="AX75" s="272">
        <f>AX181*AX131</f>
        <v>75.572420000000008</v>
      </c>
      <c r="AY75" s="1569">
        <f>+SUMPRODUCT(AU75:AX75,AU$4:AX$4)/AY$4</f>
        <v>80.451315384615384</v>
      </c>
      <c r="AZ75" s="272">
        <f>AZ181*AZ131</f>
        <v>78.224799999999988</v>
      </c>
      <c r="BA75" s="272">
        <f>BA181*BA131</f>
        <v>88.463239999999999</v>
      </c>
      <c r="BB75" s="272">
        <f>BB181*BB131</f>
        <v>91.335920000000002</v>
      </c>
      <c r="BC75" s="272">
        <f>BC181*BC131</f>
        <v>81.210599999999999</v>
      </c>
      <c r="BD75" s="1569">
        <f>+SUMPRODUCT(AZ75:BC75,AZ$4:BC$4)/BD$4</f>
        <v>84.531867692307699</v>
      </c>
      <c r="BE75" s="272">
        <f>BE181*BE131</f>
        <v>81.304519999999997</v>
      </c>
      <c r="BF75" s="272">
        <f>BF181*BF131</f>
        <v>92.005350000000007</v>
      </c>
      <c r="BG75" s="272">
        <f>BG181*BG131</f>
        <v>95.94</v>
      </c>
      <c r="BH75" s="272">
        <f>BH131*BH181</f>
        <v>85.243649999999988</v>
      </c>
      <c r="BI75" s="1569">
        <f>+SUMPRODUCT(BE75:BH75,BE$4:BH$4)/BI$4</f>
        <v>88.363400769230765</v>
      </c>
      <c r="BJ75" s="272">
        <f>BJ131*BJ181</f>
        <v>84.919249999999991</v>
      </c>
      <c r="BK75" s="272">
        <f>BK131*BK181</f>
        <v>96.395600000000002</v>
      </c>
      <c r="BL75" s="272">
        <f>BL131*BL181</f>
        <v>101.45088</v>
      </c>
      <c r="BM75" s="272">
        <f>BM131*BM181</f>
        <v>90.134</v>
      </c>
      <c r="BN75" s="1569">
        <f>+SUMPRODUCT(BJ75:BM75,BJ$4:BM$4)/BN$4</f>
        <v>92.987168461538474</v>
      </c>
      <c r="BO75" s="272">
        <f>BO131*BO181</f>
        <v>89.814489999999992</v>
      </c>
      <c r="BP75" s="272">
        <f>BP131*BP181</f>
        <v>102.87745</v>
      </c>
      <c r="BQ75" s="272">
        <f>BQ131*BQ181</f>
        <v>104.43069</v>
      </c>
      <c r="BR75" s="272">
        <f>BR131*BR181</f>
        <v>89.413729999999987</v>
      </c>
      <c r="BS75" s="1569">
        <f>+SUMPRODUCT(BO75:BR75,BO$4:BR$4)/BS$4</f>
        <v>96.635664426229496</v>
      </c>
      <c r="BT75" s="272">
        <f>BT131*BT181</f>
        <v>95.026620000000008</v>
      </c>
      <c r="BU75" s="272">
        <f>BU131*BU181</f>
        <v>109.25157</v>
      </c>
      <c r="BV75" s="272">
        <f>BV131*BV181</f>
        <v>113.21541999999999</v>
      </c>
      <c r="BW75" s="272">
        <f>BW131*BW181</f>
        <v>96.674140000000008</v>
      </c>
      <c r="BX75" s="1569">
        <f>+SUMPRODUCT(BT75:BW75,BT$4:BW$4)/BX$4</f>
        <v>103.57295394520548</v>
      </c>
      <c r="BY75" s="272">
        <f>BY131*BY181</f>
        <v>101.84832</v>
      </c>
      <c r="BZ75" s="272">
        <f>BZ131*BZ181</f>
        <v>117.55289999999999</v>
      </c>
      <c r="CA75" s="272">
        <f>CA131*CA181</f>
        <v>120.09378</v>
      </c>
      <c r="CB75" s="272">
        <f>CB131*CB181</f>
        <v>102.32089000000001</v>
      </c>
      <c r="CC75" s="1569">
        <f>+SUMPRODUCT(BY75:CB75,BY$4:CB$4)/CC$4</f>
        <v>110.48167764383562</v>
      </c>
      <c r="CD75" s="272">
        <f>CD131*CD181</f>
        <v>103.87035</v>
      </c>
      <c r="CE75" s="272">
        <f>CE131*CE181</f>
        <v>120.61964999999999</v>
      </c>
      <c r="CF75" s="272">
        <f>CF131*CF181</f>
        <v>123.16788000000001</v>
      </c>
      <c r="CG75" s="272"/>
      <c r="CH75" s="1569"/>
      <c r="CI75" s="272"/>
      <c r="CJ75" s="272"/>
      <c r="CK75" s="272"/>
      <c r="CL75" s="272"/>
      <c r="CM75" s="1569"/>
      <c r="CN75" s="272"/>
      <c r="CO75" s="272"/>
      <c r="CP75" s="272"/>
      <c r="CQ75" s="272"/>
      <c r="CR75" s="235"/>
      <c r="CS75" s="235"/>
      <c r="CT75" s="235"/>
      <c r="CV75" s="537"/>
      <c r="CW75" s="537"/>
      <c r="CX75" s="537"/>
      <c r="DA75" s="212"/>
      <c r="DB75" s="1226"/>
    </row>
    <row r="76" spans="1:106" s="207" customFormat="1" ht="12.75" customHeight="1" x14ac:dyDescent="0.2">
      <c r="A76" s="1595" t="s">
        <v>652</v>
      </c>
      <c r="B76" s="885"/>
      <c r="C76" s="885"/>
      <c r="D76" s="885"/>
      <c r="E76" s="885"/>
      <c r="F76" s="1044"/>
      <c r="G76" s="885">
        <f>G75/B75-1</f>
        <v>5.8041444744558968E-2</v>
      </c>
      <c r="H76" s="885">
        <f>H75/C75-1</f>
        <v>-3.9509437048312224E-2</v>
      </c>
      <c r="I76" s="885">
        <f>I75/D75-1</f>
        <v>-1.6055878084179964E-2</v>
      </c>
      <c r="J76" s="885">
        <f>J75/E75-1</f>
        <v>-0.17519538146955205</v>
      </c>
      <c r="K76" s="1044">
        <f>+K75/F75-1</f>
        <v>-5.3496672966075076E-2</v>
      </c>
      <c r="L76" s="885">
        <f>L75/G75-1</f>
        <v>-0.15998309484996687</v>
      </c>
      <c r="M76" s="885">
        <f>M75/H75-1</f>
        <v>-0.12361404509831608</v>
      </c>
      <c r="N76" s="885">
        <f>N75/I75-1</f>
        <v>-0.11093754514970089</v>
      </c>
      <c r="O76" s="885">
        <f>O75/J75-1</f>
        <v>6.3858955901268333E-2</v>
      </c>
      <c r="P76" s="1044">
        <f>+P75/K75-1</f>
        <v>-8.0187246723039229E-2</v>
      </c>
      <c r="Q76" s="885">
        <f>Q75/L75-1</f>
        <v>-5.0614754876460499E-2</v>
      </c>
      <c r="R76" s="885">
        <f>R75/M75-1</f>
        <v>-4.1135258546797671E-2</v>
      </c>
      <c r="S76" s="885">
        <f>S75/N75-1</f>
        <v>-7.0230191437342659E-3</v>
      </c>
      <c r="T76" s="885">
        <f>T75/O75-1</f>
        <v>-0.10997539196023398</v>
      </c>
      <c r="U76" s="1044">
        <f>+U75/P75-1</f>
        <v>-5.6238728326472476E-2</v>
      </c>
      <c r="V76" s="885">
        <f>V75/Q75-1</f>
        <v>3.1387864437061985E-2</v>
      </c>
      <c r="W76" s="885">
        <f>W75/R75-1</f>
        <v>6.2737779288525308E-2</v>
      </c>
      <c r="X76" s="885">
        <f>X75/S75-1</f>
        <v>6.740506945662128E-2</v>
      </c>
      <c r="Y76" s="885">
        <f>Y75/T75-1</f>
        <v>0.14804880244912666</v>
      </c>
      <c r="Z76" s="1044">
        <f>+Z75/U75-1</f>
        <v>8.1127270067435475E-2</v>
      </c>
      <c r="AA76" s="885">
        <f>AA75/V75-1</f>
        <v>8.6871799218392498E-2</v>
      </c>
      <c r="AB76" s="885">
        <f>AB75/W75-1</f>
        <v>9.0080583072685183E-2</v>
      </c>
      <c r="AC76" s="885">
        <f>AC75/X75-1</f>
        <v>8.3882767167944072E-2</v>
      </c>
      <c r="AD76" s="885">
        <f>AD75/Y75-1</f>
        <v>6.689567506152283E-2</v>
      </c>
      <c r="AE76" s="1044">
        <f>+AE75/Z75-1</f>
        <v>8.1110002769170908E-2</v>
      </c>
      <c r="AF76" s="885">
        <f>AF75/AA75-1</f>
        <v>9.9332713113301274E-2</v>
      </c>
      <c r="AG76" s="885">
        <f>AG75/AB75-1</f>
        <v>5.5479352573627905E-2</v>
      </c>
      <c r="AH76" s="885">
        <f>AH75/AC75-1</f>
        <v>2.8990482245736304E-2</v>
      </c>
      <c r="AI76" s="885">
        <f>AI75/AD75-1</f>
        <v>5.9429827139908742E-2</v>
      </c>
      <c r="AJ76" s="1044">
        <f>+AJ75/AE75-1</f>
        <v>5.973129387972298E-2</v>
      </c>
      <c r="AK76" s="885">
        <f>AK75/AF75-1</f>
        <v>4.4984427005713146E-2</v>
      </c>
      <c r="AL76" s="885">
        <f>AL75/AG75-1</f>
        <v>9.8797647396346333E-2</v>
      </c>
      <c r="AM76" s="885">
        <f>AM75/AH75-1</f>
        <v>0.1110783208094166</v>
      </c>
      <c r="AN76" s="885">
        <f>AN75/AI75-1</f>
        <v>7.4334638221823512E-2</v>
      </c>
      <c r="AO76" s="1044">
        <f>+AO75/AJ75-1</f>
        <v>8.2329753494201796E-2</v>
      </c>
      <c r="AP76" s="885">
        <f>AP75/AK75-1</f>
        <v>2.1469566916524796E-2</v>
      </c>
      <c r="AQ76" s="885">
        <f>AQ75/AL75-1</f>
        <v>1.8257932254328813E-2</v>
      </c>
      <c r="AR76" s="885">
        <f>AR75/AM75-1</f>
        <v>1.3782051282051233E-2</v>
      </c>
      <c r="AS76" s="885">
        <f>AS75/AN75-1</f>
        <v>-7.3586869281856315E-2</v>
      </c>
      <c r="AT76" s="1044">
        <f>+AT75/AO75-1</f>
        <v>-1.0895254489784789E-2</v>
      </c>
      <c r="AU76" s="885">
        <f>AU75/AP75-1</f>
        <v>-0.13794363092426387</v>
      </c>
      <c r="AV76" s="885">
        <f>AV75/AQ75-1</f>
        <v>-0.17672267736444458</v>
      </c>
      <c r="AW76" s="885">
        <f>AW75/AR75-1</f>
        <v>-0.16923126545907652</v>
      </c>
      <c r="AX76" s="885">
        <f>AX75/AS75-1</f>
        <v>-0.121876440107895</v>
      </c>
      <c r="AY76" s="1044">
        <f>+AY75/AT75-1</f>
        <v>-0.14975471693896891</v>
      </c>
      <c r="AZ76" s="885">
        <f>AZ75/AU75-1</f>
        <v>-1.463148445941731E-2</v>
      </c>
      <c r="BA76" s="885">
        <f>BA75/AV75-1</f>
        <v>6.963716493899863E-2</v>
      </c>
      <c r="BB76" s="885">
        <f>BB75/AW75-1</f>
        <v>6.4908079077212744E-2</v>
      </c>
      <c r="BC76" s="885">
        <f>BC75/AX75-1</f>
        <v>7.4606318019192486E-2</v>
      </c>
      <c r="BD76" s="1044">
        <f>+BD75/AY75-1</f>
        <v>5.0720765573369686E-2</v>
      </c>
      <c r="BE76" s="885">
        <f>BE75/AZ75-1</f>
        <v>3.937012303003673E-2</v>
      </c>
      <c r="BF76" s="885">
        <f>BF75/BA75-1</f>
        <v>4.0040473308461388E-2</v>
      </c>
      <c r="BG76" s="885">
        <f>BG75/BB75-1</f>
        <v>5.0408207417191431E-2</v>
      </c>
      <c r="BH76" s="885">
        <f>BH75/BC75-1</f>
        <v>4.9661620527369443E-2</v>
      </c>
      <c r="BI76" s="1044">
        <f>+BI75/BD75-1</f>
        <v>4.5326492617786318E-2</v>
      </c>
      <c r="BJ76" s="885">
        <f>BJ75/BE75-1</f>
        <v>4.4459151840512634E-2</v>
      </c>
      <c r="BK76" s="885">
        <f>BK75/BF75-1</f>
        <v>4.7717333828956709E-2</v>
      </c>
      <c r="BL76" s="885">
        <f>BL75/BG75-1</f>
        <v>5.7440900562851782E-2</v>
      </c>
      <c r="BM76" s="885">
        <f>BM75/BH75-1</f>
        <v>5.7369082623749845E-2</v>
      </c>
      <c r="BN76" s="1044">
        <f>+BN75/BI75-1</f>
        <v>5.2326728623574681E-2</v>
      </c>
      <c r="BO76" s="885">
        <f>BO75/BJ75-1</f>
        <v>5.7645822354766452E-2</v>
      </c>
      <c r="BP76" s="885">
        <f>BP75/BK75-1</f>
        <v>6.7242177028826955E-2</v>
      </c>
      <c r="BQ76" s="885">
        <f>BQ75/BL75-1</f>
        <v>2.9371948276840865E-2</v>
      </c>
      <c r="BR76" s="885">
        <f>BR75/BM75-1</f>
        <v>-7.9911021368186397E-3</v>
      </c>
      <c r="BS76" s="1044">
        <f>+BS75/BN75-1</f>
        <v>3.9236553011076092E-2</v>
      </c>
      <c r="BT76" s="885">
        <f>BT75/BO75-1</f>
        <v>5.8032172759651779E-2</v>
      </c>
      <c r="BU76" s="885">
        <f>BU75/BP75-1</f>
        <v>6.1958378633996114E-2</v>
      </c>
      <c r="BV76" s="885">
        <f>BV75/BQ75-1</f>
        <v>8.4120194935032977E-2</v>
      </c>
      <c r="BW76" s="885">
        <f>BW75/BR75-1</f>
        <v>8.1200169146282475E-2</v>
      </c>
      <c r="BX76" s="1044">
        <f>+BX75/BS75-1</f>
        <v>7.1788087350212582E-2</v>
      </c>
      <c r="BY76" s="885">
        <f>BY75/BT75-1</f>
        <v>7.178725287714105E-2</v>
      </c>
      <c r="BZ76" s="885">
        <f>BZ75/BU75-1</f>
        <v>7.59836220202601E-2</v>
      </c>
      <c r="CA76" s="885">
        <f>CA75/BV75-1</f>
        <v>6.0754621587766122E-2</v>
      </c>
      <c r="CB76" s="885">
        <f>CB75/BW75-1</f>
        <v>5.8410139464390332E-2</v>
      </c>
      <c r="CC76" s="1044">
        <f>+CC75/BX75-1</f>
        <v>6.6703936070850567E-2</v>
      </c>
      <c r="CD76" s="885">
        <f>CD75/BY75-1</f>
        <v>1.9853346623685209E-2</v>
      </c>
      <c r="CE76" s="885">
        <f>CE75/BZ75-1</f>
        <v>2.6088254734676797E-2</v>
      </c>
      <c r="CF76" s="885">
        <f>CF75/CA75-1</f>
        <v>2.5597495557222238E-2</v>
      </c>
      <c r="CG76" s="885"/>
      <c r="CH76" s="1044"/>
      <c r="CI76" s="885"/>
      <c r="CJ76" s="885"/>
      <c r="CK76" s="885"/>
      <c r="CL76" s="885"/>
      <c r="CM76" s="1044"/>
      <c r="CN76" s="885"/>
      <c r="CO76" s="885"/>
      <c r="CP76" s="885"/>
      <c r="CQ76" s="885"/>
      <c r="CR76" s="1044"/>
      <c r="CS76" s="1044"/>
      <c r="CT76" s="1044"/>
      <c r="CV76" s="781"/>
      <c r="CW76" s="781"/>
      <c r="CX76" s="781"/>
      <c r="DA76" s="212"/>
      <c r="DB76" s="1226"/>
    </row>
    <row r="77" spans="1:106" s="207" customFormat="1" ht="12.75" customHeight="1" x14ac:dyDescent="0.2">
      <c r="A77" s="1595" t="s">
        <v>359</v>
      </c>
      <c r="B77" s="1924" t="s">
        <v>673</v>
      </c>
      <c r="C77" s="1924" t="s">
        <v>673</v>
      </c>
      <c r="D77" s="1924" t="s">
        <v>673</v>
      </c>
      <c r="E77" s="1924" t="s">
        <v>673</v>
      </c>
      <c r="F77" s="1890" t="s">
        <v>673</v>
      </c>
      <c r="G77" s="1924" t="s">
        <v>673</v>
      </c>
      <c r="H77" s="1924" t="s">
        <v>673</v>
      </c>
      <c r="I77" s="1924" t="s">
        <v>673</v>
      </c>
      <c r="J77" s="1924" t="s">
        <v>673</v>
      </c>
      <c r="K77" s="1890" t="s">
        <v>673</v>
      </c>
      <c r="L77" s="1924" t="s">
        <v>673</v>
      </c>
      <c r="M77" s="1924" t="s">
        <v>673</v>
      </c>
      <c r="N77" s="1924" t="s">
        <v>673</v>
      </c>
      <c r="O77" s="1924" t="s">
        <v>673</v>
      </c>
      <c r="P77" s="1890" t="s">
        <v>673</v>
      </c>
      <c r="Q77" s="1043">
        <f t="shared" ref="Q77:AV77" si="116">+Q580</f>
        <v>-1.4999999999999999E-2</v>
      </c>
      <c r="R77" s="1043">
        <f t="shared" si="116"/>
        <v>-3.2000000000000001E-2</v>
      </c>
      <c r="S77" s="1043">
        <f t="shared" si="116"/>
        <v>-1.7999999999999999E-2</v>
      </c>
      <c r="T77" s="1043">
        <f t="shared" si="116"/>
        <v>-7.0000000000000001E-3</v>
      </c>
      <c r="U77" s="1953">
        <f t="shared" si="116"/>
        <v>-1.0999999999999999E-2</v>
      </c>
      <c r="V77" s="1043">
        <f t="shared" si="116"/>
        <v>4.3999999999999997E-2</v>
      </c>
      <c r="W77" s="1043">
        <f t="shared" si="116"/>
        <v>6.3E-2</v>
      </c>
      <c r="X77" s="1043">
        <f t="shared" si="116"/>
        <v>6.5000000000000002E-2</v>
      </c>
      <c r="Y77" s="1043">
        <f t="shared" si="116"/>
        <v>0.106</v>
      </c>
      <c r="Z77" s="1953">
        <f t="shared" si="116"/>
        <v>7.0999999999999994E-2</v>
      </c>
      <c r="AA77" s="1043">
        <f t="shared" si="116"/>
        <v>0.09</v>
      </c>
      <c r="AB77" s="1043">
        <f t="shared" si="116"/>
        <v>7.5999999999999998E-2</v>
      </c>
      <c r="AC77" s="1043">
        <f t="shared" si="116"/>
        <v>6.7000000000000004E-2</v>
      </c>
      <c r="AD77" s="1043">
        <f t="shared" si="116"/>
        <v>9.0999999999999998E-2</v>
      </c>
      <c r="AE77" s="1953">
        <f t="shared" si="116"/>
        <v>8.1000000000000003E-2</v>
      </c>
      <c r="AF77" s="1043">
        <f t="shared" si="116"/>
        <v>0.1</v>
      </c>
      <c r="AG77" s="1043">
        <f t="shared" si="116"/>
        <v>9.1999999999999998E-2</v>
      </c>
      <c r="AH77" s="1043">
        <f t="shared" si="116"/>
        <v>6.8000000000000005E-2</v>
      </c>
      <c r="AI77" s="1043">
        <f t="shared" si="116"/>
        <v>5.1999999999999998E-2</v>
      </c>
      <c r="AJ77" s="1953">
        <f t="shared" si="116"/>
        <v>7.5999999999999998E-2</v>
      </c>
      <c r="AK77" s="1043">
        <f t="shared" si="116"/>
        <v>0.04</v>
      </c>
      <c r="AL77" s="1043">
        <f t="shared" si="116"/>
        <v>4.7E-2</v>
      </c>
      <c r="AM77" s="1043">
        <f t="shared" si="116"/>
        <v>5.7000000000000002E-2</v>
      </c>
      <c r="AN77" s="1043">
        <f t="shared" si="116"/>
        <v>5.6000000000000001E-2</v>
      </c>
      <c r="AO77" s="1953">
        <f t="shared" si="116"/>
        <v>5.0999999999999997E-2</v>
      </c>
      <c r="AP77" s="1043">
        <f t="shared" si="116"/>
        <v>2.7E-2</v>
      </c>
      <c r="AQ77" s="1043">
        <f t="shared" si="116"/>
        <v>1.7999999999999999E-2</v>
      </c>
      <c r="AR77" s="1043">
        <f t="shared" si="116"/>
        <v>8.9999999999999993E-3</v>
      </c>
      <c r="AS77" s="1043">
        <f t="shared" si="116"/>
        <v>-7.3999999999999996E-2</v>
      </c>
      <c r="AT77" s="1953">
        <f t="shared" si="116"/>
        <v>-1.0999999999999999E-2</v>
      </c>
      <c r="AU77" s="1043">
        <f t="shared" si="116"/>
        <v>-0.13400000000000001</v>
      </c>
      <c r="AV77" s="1043">
        <f t="shared" si="116"/>
        <v>-0.17399999999999999</v>
      </c>
      <c r="AW77" s="1043">
        <f t="shared" ref="AW77:CB77" si="117">+AW580</f>
        <v>-0.16400000000000001</v>
      </c>
      <c r="AX77" s="1043">
        <f t="shared" si="117"/>
        <v>-0.113</v>
      </c>
      <c r="AY77" s="1953">
        <f t="shared" si="117"/>
        <v>-0.153</v>
      </c>
      <c r="AZ77" s="1043">
        <f t="shared" si="117"/>
        <v>-8.0000000000000002E-3</v>
      </c>
      <c r="BA77" s="1043">
        <f t="shared" si="117"/>
        <v>5.8000000000000003E-2</v>
      </c>
      <c r="BB77" s="1043">
        <f t="shared" si="117"/>
        <v>6.6000000000000003E-2</v>
      </c>
      <c r="BC77" s="1043">
        <f t="shared" si="117"/>
        <v>0.08</v>
      </c>
      <c r="BD77" s="1953">
        <f t="shared" si="117"/>
        <v>0.05</v>
      </c>
      <c r="BE77" s="1043">
        <f t="shared" si="117"/>
        <v>4.9000000000000002E-2</v>
      </c>
      <c r="BF77" s="1043">
        <f t="shared" si="117"/>
        <v>4.9000000000000002E-2</v>
      </c>
      <c r="BG77" s="1043">
        <f t="shared" si="117"/>
        <v>5.3999999999999999E-2</v>
      </c>
      <c r="BH77" s="1043">
        <f t="shared" si="117"/>
        <v>5.1999999999999998E-2</v>
      </c>
      <c r="BI77" s="1953">
        <f t="shared" si="117"/>
        <v>5.1999999999999998E-2</v>
      </c>
      <c r="BJ77" s="1043">
        <f t="shared" si="117"/>
        <v>4.2999999999999997E-2</v>
      </c>
      <c r="BK77" s="1043">
        <f t="shared" si="117"/>
        <v>4.8000000000000001E-2</v>
      </c>
      <c r="BL77" s="1043">
        <f t="shared" si="117"/>
        <v>5.2999999999999999E-2</v>
      </c>
      <c r="BM77" s="1043">
        <f t="shared" si="117"/>
        <v>5.3999999999999999E-2</v>
      </c>
      <c r="BN77" s="1545">
        <f t="shared" si="117"/>
        <v>0.05</v>
      </c>
      <c r="BO77" s="1043">
        <f t="shared" si="117"/>
        <v>4.2999999999999997E-2</v>
      </c>
      <c r="BP77" s="1043">
        <f t="shared" si="117"/>
        <v>4.4999999999999998E-2</v>
      </c>
      <c r="BQ77" s="1043">
        <f t="shared" si="117"/>
        <v>4.2000000000000003E-2</v>
      </c>
      <c r="BR77" s="1043">
        <f t="shared" si="117"/>
        <v>2.3E-2</v>
      </c>
      <c r="BS77" s="1545">
        <f t="shared" si="117"/>
        <v>3.9E-2</v>
      </c>
      <c r="BT77" s="1043">
        <f t="shared" si="117"/>
        <v>5.7000000000000002E-2</v>
      </c>
      <c r="BU77" s="1043">
        <f t="shared" si="117"/>
        <v>5.7000000000000002E-2</v>
      </c>
      <c r="BV77" s="1043">
        <f t="shared" si="117"/>
        <v>7.5999999999999998E-2</v>
      </c>
      <c r="BW77" s="1043">
        <f t="shared" si="117"/>
        <v>7.4999999999999997E-2</v>
      </c>
      <c r="BX77" s="1545">
        <f t="shared" si="117"/>
        <v>6.7000000000000004E-2</v>
      </c>
      <c r="BY77" s="1043">
        <f t="shared" si="117"/>
        <v>6.9000000000000006E-2</v>
      </c>
      <c r="BZ77" s="1043">
        <f t="shared" si="117"/>
        <v>6.3E-2</v>
      </c>
      <c r="CA77" s="1043">
        <f t="shared" si="117"/>
        <v>4.7E-2</v>
      </c>
      <c r="CB77" s="1043">
        <f t="shared" si="117"/>
        <v>4.2000000000000003E-2</v>
      </c>
      <c r="CC77" s="2881">
        <f>+CC580</f>
        <v>5.5E-2</v>
      </c>
      <c r="CD77" s="1043">
        <f>+CD580</f>
        <v>2.3E-2</v>
      </c>
      <c r="CE77" s="1043">
        <f>+CE580</f>
        <v>2.5999999999999999E-2</v>
      </c>
      <c r="CF77" s="1043">
        <f>+CF580</f>
        <v>2.5999999999999999E-2</v>
      </c>
      <c r="CG77" s="1043"/>
      <c r="CH77" s="1953"/>
      <c r="CI77" s="1546"/>
      <c r="CJ77" s="1546"/>
      <c r="CK77" s="1546"/>
      <c r="CL77" s="1546"/>
      <c r="CM77" s="1545"/>
      <c r="CN77" s="1546"/>
      <c r="CO77" s="1546"/>
      <c r="CP77" s="1546"/>
      <c r="CQ77" s="1546"/>
      <c r="CR77" s="1545"/>
      <c r="CS77" s="1545"/>
      <c r="CT77" s="1545"/>
      <c r="CV77" s="537"/>
      <c r="CW77" s="537"/>
      <c r="CX77" s="537"/>
      <c r="DA77" s="212"/>
      <c r="DB77" s="1226"/>
    </row>
    <row r="78" spans="1:106" s="207" customFormat="1" ht="12.75" customHeight="1" x14ac:dyDescent="0.2">
      <c r="A78" s="1434" t="s">
        <v>1386</v>
      </c>
      <c r="B78" s="275">
        <f>B184*B134</f>
        <v>73.220579999999998</v>
      </c>
      <c r="C78" s="275">
        <f>C184*C134</f>
        <v>81.097499999999997</v>
      </c>
      <c r="D78" s="275">
        <f>D184*D134</f>
        <v>77.923120000000011</v>
      </c>
      <c r="E78" s="630">
        <f>E184*E134</f>
        <v>75.109539999999996</v>
      </c>
      <c r="F78" s="1569">
        <f>+SUMPRODUCT(B78:E78,B$4:E$4)/F$4</f>
        <v>76.70475076923077</v>
      </c>
      <c r="G78" s="272">
        <f>G184*G134</f>
        <v>75.411000000000001</v>
      </c>
      <c r="H78" s="272">
        <f>H184*H134</f>
        <v>79.146900000000002</v>
      </c>
      <c r="I78" s="272">
        <f>I184*I134</f>
        <v>76.170079999999999</v>
      </c>
      <c r="J78" s="272">
        <f>J184*J134</f>
        <v>60.183760000000007</v>
      </c>
      <c r="K78" s="1569">
        <f>+SUMPRODUCT(G78:J78,G$4:J$4)/K$4</f>
        <v>71.762998461538473</v>
      </c>
      <c r="L78" s="272">
        <f>L184*L134</f>
        <v>63.832580000000007</v>
      </c>
      <c r="M78" s="272">
        <f>M184*M134</f>
        <v>67.414559999999994</v>
      </c>
      <c r="N78" s="272">
        <f>N184*N134</f>
        <v>67.380359999999996</v>
      </c>
      <c r="O78" s="272">
        <f>O184*O134</f>
        <v>65.278769999999994</v>
      </c>
      <c r="P78" s="1569">
        <f>+SUMPRODUCT(L78:O78,L$4:O$4)/P$4</f>
        <v>65.915889456521739</v>
      </c>
      <c r="Q78" s="272">
        <f>Q184*Q134</f>
        <v>63.358330000000002</v>
      </c>
      <c r="R78" s="272">
        <f>R184*R134</f>
        <v>65.888369999999995</v>
      </c>
      <c r="S78" s="272">
        <f>S184*S134</f>
        <v>66.993049999999997</v>
      </c>
      <c r="T78" s="272">
        <f>T184*T134</f>
        <v>60.205680000000001</v>
      </c>
      <c r="U78" s="1569">
        <f>+SUMPRODUCT(Q78:T78,Q$4:T$4)/U$4</f>
        <v>63.801043397260266</v>
      </c>
      <c r="V78" s="272">
        <f>V184*V134</f>
        <v>65.862860000000012</v>
      </c>
      <c r="W78" s="272">
        <f>W184*W134</f>
        <v>72.600719999999995</v>
      </c>
      <c r="X78" s="272">
        <f>X184*X134</f>
        <v>72.712500000000006</v>
      </c>
      <c r="Y78" s="272">
        <f>Y184*Y134</f>
        <v>69.386520000000004</v>
      </c>
      <c r="Z78" s="1569">
        <f>+SUMPRODUCT(V78:Y78,V$4:Y$4)/Z$4</f>
        <v>70.059581092896181</v>
      </c>
      <c r="AA78" s="272">
        <f>AA184*AA134</f>
        <v>71.48660000000001</v>
      </c>
      <c r="AB78" s="272">
        <f>AB184*AB134</f>
        <v>79.991860000000003</v>
      </c>
      <c r="AC78" s="272">
        <f>AC184*AC134</f>
        <v>79.363880000000009</v>
      </c>
      <c r="AD78" s="272">
        <f>AD184*AD134</f>
        <v>75.081232767144584</v>
      </c>
      <c r="AE78" s="1569">
        <f>+SUMPRODUCT(AA78:AD78,AA$4:AD$4)/AE$4</f>
        <v>76.369687295033813</v>
      </c>
      <c r="AF78" s="272">
        <f>AF184*AF134</f>
        <v>79.797877008473634</v>
      </c>
      <c r="AG78" s="272">
        <f>AG184*AG134</f>
        <v>84.625958249737522</v>
      </c>
      <c r="AH78" s="272">
        <f>AH184*AH134</f>
        <v>85.578329563529195</v>
      </c>
      <c r="AI78" s="272">
        <f>AI184*AI134</f>
        <v>81.884713836070787</v>
      </c>
      <c r="AJ78" s="1569">
        <f>+SUMPRODUCT(AF78:AI78,AF$4:AI$4)/AJ$4</f>
        <v>82.893836899708006</v>
      </c>
      <c r="AK78" s="272">
        <f>AK184*AK134</f>
        <v>83.613993931784378</v>
      </c>
      <c r="AL78" s="272">
        <f>AL184*AL134</f>
        <v>94.863700000000009</v>
      </c>
      <c r="AM78" s="272">
        <f>AM184*AM134</f>
        <v>93.002070000000003</v>
      </c>
      <c r="AN78" s="272">
        <f>AN184*AN134</f>
        <v>87.619869999999992</v>
      </c>
      <c r="AO78" s="1569">
        <f>+SUMPRODUCT(AK78:AN78,AK$4:AN$4)/AO$4</f>
        <v>89.620141445983805</v>
      </c>
      <c r="AP78" s="272">
        <f>AP184*AP134</f>
        <v>84.259199999999993</v>
      </c>
      <c r="AQ78" s="272">
        <f>AQ184*AQ134</f>
        <v>95.098560000000006</v>
      </c>
      <c r="AR78" s="272">
        <f>AR184*AR134</f>
        <v>91.309809999999999</v>
      </c>
      <c r="AS78" s="272">
        <f>AS184*AS134</f>
        <v>77.392150000000001</v>
      </c>
      <c r="AT78" s="1569">
        <f>+SUMPRODUCT(AP78:AS78,AP$4:AS$4)/AT$4</f>
        <v>86.154356178861789</v>
      </c>
      <c r="AU78" s="272">
        <f>AU184*AU134</f>
        <v>69.235650000000007</v>
      </c>
      <c r="AV78" s="272">
        <f>AV184*AV134</f>
        <v>73.649940000000001</v>
      </c>
      <c r="AW78" s="272">
        <f>AW184*AW134</f>
        <v>72.495360000000005</v>
      </c>
      <c r="AX78" s="272">
        <f>AX184*AX134</f>
        <v>65.563090000000003</v>
      </c>
      <c r="AY78" s="1569">
        <f>+SUMPRODUCT(AU78:AX78,AU$4:AX$4)/AY$4</f>
        <v>69.876554615384606</v>
      </c>
      <c r="AZ78" s="272">
        <f>AZ184*AZ134</f>
        <v>67.024239999999992</v>
      </c>
      <c r="BA78" s="272">
        <f>BA184*BA134</f>
        <v>77.040359999999993</v>
      </c>
      <c r="BB78" s="272">
        <f>BB184*BB134</f>
        <v>76.960259999999991</v>
      </c>
      <c r="BC78" s="272">
        <f>BC184*BC134</f>
        <v>69.734880000000004</v>
      </c>
      <c r="BD78" s="1569">
        <f>+SUMPRODUCT(AZ78:BC78,AZ$4:BC$4)/BD$4</f>
        <v>72.462623076923066</v>
      </c>
      <c r="BE78" s="272">
        <f>BE184*BE134</f>
        <v>70.06595999999999</v>
      </c>
      <c r="BF78" s="272">
        <f>BF184*BF134</f>
        <v>81.660149999999987</v>
      </c>
      <c r="BG78" s="272">
        <f>BG184*BG134</f>
        <v>82.456800000000001</v>
      </c>
      <c r="BH78" s="272">
        <f>BH134*BH184</f>
        <v>74.366339999999994</v>
      </c>
      <c r="BI78" s="1569">
        <f>+SUMPRODUCT(BE78:BH78,BE$4:BH$4)/BI$4</f>
        <v>76.924160769230753</v>
      </c>
      <c r="BJ78" s="272">
        <f>BJ134*BJ184</f>
        <v>74.845800000000011</v>
      </c>
      <c r="BK78" s="272">
        <f>BK134*BK184</f>
        <v>87.271499999999989</v>
      </c>
      <c r="BL78" s="272">
        <f>BL134*BL184</f>
        <v>87.703000000000003</v>
      </c>
      <c r="BM78" s="272">
        <f>BM134*BM184</f>
        <v>79.294880000000006</v>
      </c>
      <c r="BN78" s="1569">
        <f>+SUMPRODUCT(BJ78:BM78,BJ$4:BM$4)/BN$4</f>
        <v>82.049263076923069</v>
      </c>
      <c r="BO78" s="272">
        <f>BO134*BO184</f>
        <v>79.530100000000004</v>
      </c>
      <c r="BP78" s="272">
        <f>BP134*BP184</f>
        <v>93.669120000000007</v>
      </c>
      <c r="BQ78" s="272">
        <f>BQ134*BQ184</f>
        <v>92.26191</v>
      </c>
      <c r="BR78" s="272">
        <f>BR134*BR184</f>
        <v>79.907520000000005</v>
      </c>
      <c r="BS78" s="1569">
        <f>+SUMPRODUCT(BO78:BR78,BO$4:BR$4)/BS$4</f>
        <v>86.34075568306011</v>
      </c>
      <c r="BT78" s="272">
        <f>BT134*BT184</f>
        <v>84.786240000000006</v>
      </c>
      <c r="BU78" s="272">
        <f>BU134*BU184</f>
        <v>100.40029999999999</v>
      </c>
      <c r="BV78" s="272">
        <f>BV134*BV184</f>
        <v>101.45625</v>
      </c>
      <c r="BW78" s="272">
        <f>BW134*BW184</f>
        <v>87.526450000000011</v>
      </c>
      <c r="BX78" s="1569">
        <f>+SUMPRODUCT(BT78:BW78,BT$4:BW$4)/BX$4</f>
        <v>93.571499452054795</v>
      </c>
      <c r="BY78" s="272">
        <f>BY134*BY184</f>
        <v>92.170200000000008</v>
      </c>
      <c r="BZ78" s="272">
        <f>BZ134*BZ184</f>
        <v>108.39927</v>
      </c>
      <c r="CA78" s="272">
        <f>CA134*CA184</f>
        <v>107.32332000000001</v>
      </c>
      <c r="CB78" s="272">
        <f>CB134*CB184</f>
        <v>91.389240000000015</v>
      </c>
      <c r="CC78" s="1569">
        <f>+SUMPRODUCT(BY78:CB78,BY$4:CB$4)/CC$4</f>
        <v>99.838923534246589</v>
      </c>
      <c r="CD78" s="272">
        <f>CD134*CD184</f>
        <v>94.523099999999999</v>
      </c>
      <c r="CE78" s="272">
        <f>CE134*CE184</f>
        <v>111.33936</v>
      </c>
      <c r="CF78" s="272">
        <f>CF134*CF184</f>
        <v>108.30807000000001</v>
      </c>
      <c r="CG78" s="272"/>
      <c r="CH78" s="1569"/>
      <c r="CI78" s="272"/>
      <c r="CJ78" s="272"/>
      <c r="CK78" s="272"/>
      <c r="CL78" s="272"/>
      <c r="CM78" s="1569"/>
      <c r="CN78" s="272"/>
      <c r="CO78" s="272"/>
      <c r="CP78" s="272"/>
      <c r="CQ78" s="272"/>
      <c r="CR78" s="235"/>
      <c r="CS78" s="235"/>
      <c r="CT78" s="235"/>
      <c r="CV78" s="537"/>
      <c r="CW78" s="537"/>
      <c r="CX78" s="537"/>
      <c r="DA78" s="212"/>
      <c r="DB78" s="1226"/>
    </row>
    <row r="79" spans="1:106" s="207" customFormat="1" ht="12.75" customHeight="1" x14ac:dyDescent="0.2">
      <c r="A79" s="1595" t="s">
        <v>652</v>
      </c>
      <c r="B79" s="885"/>
      <c r="C79" s="885"/>
      <c r="D79" s="885"/>
      <c r="E79" s="885"/>
      <c r="F79" s="1044"/>
      <c r="G79" s="885">
        <f>G78/B78-1</f>
        <v>2.9915359861940605E-2</v>
      </c>
      <c r="H79" s="885">
        <f>H78/C78-1</f>
        <v>-2.4052529362803998E-2</v>
      </c>
      <c r="I79" s="885">
        <f>I78/D78-1</f>
        <v>-2.2497045806174287E-2</v>
      </c>
      <c r="J79" s="885">
        <f>J78/E78-1</f>
        <v>-0.19872016257854852</v>
      </c>
      <c r="K79" s="1044">
        <f>+K78/F78-1</f>
        <v>-6.4425635415461424E-2</v>
      </c>
      <c r="L79" s="885">
        <f>L78/G78-1</f>
        <v>-0.15353754757263516</v>
      </c>
      <c r="M79" s="885">
        <f>M78/H78-1</f>
        <v>-0.1482349908840398</v>
      </c>
      <c r="N79" s="885">
        <f>N78/I78-1</f>
        <v>-0.11539596650023209</v>
      </c>
      <c r="O79" s="885">
        <f>O78/J78-1</f>
        <v>8.4657555460143863E-2</v>
      </c>
      <c r="P79" s="1044">
        <f>+P78/K78-1</f>
        <v>-8.1478047606253545E-2</v>
      </c>
      <c r="Q79" s="885">
        <f>Q78/L78-1</f>
        <v>-7.4295915972690807E-3</v>
      </c>
      <c r="R79" s="885">
        <f>R78/M78-1</f>
        <v>-2.2638878010922237E-2</v>
      </c>
      <c r="S79" s="885">
        <f>S78/N78-1</f>
        <v>-5.74811413889742E-3</v>
      </c>
      <c r="T79" s="885">
        <f>T78/O78-1</f>
        <v>-7.7714240020147374E-2</v>
      </c>
      <c r="U79" s="1044">
        <f>+U78/P78-1</f>
        <v>-3.2084010042167876E-2</v>
      </c>
      <c r="V79" s="885">
        <f>V78/Q78-1</f>
        <v>3.95296088138688E-2</v>
      </c>
      <c r="W79" s="885">
        <f>W78/R78-1</f>
        <v>0.10187457968682478</v>
      </c>
      <c r="X79" s="885">
        <f>X78/S78-1</f>
        <v>8.5373781310150942E-2</v>
      </c>
      <c r="Y79" s="885">
        <f>Y78/T78-1</f>
        <v>0.15249125996085433</v>
      </c>
      <c r="Z79" s="1044">
        <f>+Z78/U78-1</f>
        <v>9.809459786835828E-2</v>
      </c>
      <c r="AA79" s="885">
        <f>AA78/V78-1</f>
        <v>8.5385602750928102E-2</v>
      </c>
      <c r="AB79" s="885">
        <f>AB78/W78-1</f>
        <v>0.10180532644855322</v>
      </c>
      <c r="AC79" s="885">
        <f>AC78/X78-1</f>
        <v>9.1475055870723798E-2</v>
      </c>
      <c r="AD79" s="885">
        <f>AD78/Y78-1</f>
        <v>8.2072321354992095E-2</v>
      </c>
      <c r="AE79" s="1044">
        <f>+AE78/Z78-1</f>
        <v>9.0067712419956925E-2</v>
      </c>
      <c r="AF79" s="885">
        <f>AF78/AA78-1</f>
        <v>0.11626342571158266</v>
      </c>
      <c r="AG79" s="885">
        <f>AG78/AB78-1</f>
        <v>5.7932122715205203E-2</v>
      </c>
      <c r="AH79" s="885">
        <f>AH78/AC78-1</f>
        <v>7.8303247819148769E-2</v>
      </c>
      <c r="AI79" s="885">
        <f>AI78/AD78-1</f>
        <v>9.0614935559547582E-2</v>
      </c>
      <c r="AJ79" s="1044">
        <f>+AJ78/AE78-1</f>
        <v>8.5428523223748387E-2</v>
      </c>
      <c r="AK79" s="885">
        <f>AK78/AF78-1</f>
        <v>4.7822286336082875E-2</v>
      </c>
      <c r="AL79" s="885">
        <f>AL78/AG78-1</f>
        <v>0.12097637606714184</v>
      </c>
      <c r="AM79" s="885">
        <f>AM78/AH78-1</f>
        <v>8.6747900716615201E-2</v>
      </c>
      <c r="AN79" s="885">
        <f>AN78/AI78-1</f>
        <v>7.0039399238918998E-2</v>
      </c>
      <c r="AO79" s="1044">
        <f>+AO78/AJ78-1</f>
        <v>8.1143602441926532E-2</v>
      </c>
      <c r="AP79" s="885">
        <f>AP78/AK78-1</f>
        <v>7.7164842614980689E-3</v>
      </c>
      <c r="AQ79" s="885">
        <f>AQ78/AL78-1</f>
        <v>2.4757625941218553E-3</v>
      </c>
      <c r="AR79" s="885">
        <f>AR78/AM78-1</f>
        <v>-1.819593907963557E-2</v>
      </c>
      <c r="AS79" s="885">
        <f>AS78/AN78-1</f>
        <v>-0.11672831744671608</v>
      </c>
      <c r="AT79" s="1044">
        <f>+AT78/AO78-1</f>
        <v>-3.8671945962180043E-2</v>
      </c>
      <c r="AU79" s="885">
        <f>AU78/AP78-1</f>
        <v>-0.17830159792639844</v>
      </c>
      <c r="AV79" s="885">
        <f>AV78/AQ78-1</f>
        <v>-0.22554095456334988</v>
      </c>
      <c r="AW79" s="885">
        <f>AW78/AR78-1</f>
        <v>-0.20605069707186985</v>
      </c>
      <c r="AX79" s="885">
        <f>AX78/AS78-1</f>
        <v>-0.1528457343541948</v>
      </c>
      <c r="AY79" s="1044">
        <f>+AY78/AT78-1</f>
        <v>-0.18893764964923487</v>
      </c>
      <c r="AZ79" s="885">
        <f>AZ78/AU78-1</f>
        <v>-3.1940337095123894E-2</v>
      </c>
      <c r="BA79" s="885">
        <f>BA78/AV78-1</f>
        <v>4.6034253388393731E-2</v>
      </c>
      <c r="BB79" s="885">
        <f>BB78/AW78-1</f>
        <v>6.1588769267439725E-2</v>
      </c>
      <c r="BC79" s="885">
        <f>BC78/AX78-1</f>
        <v>6.3630161421617037E-2</v>
      </c>
      <c r="BD79" s="1044">
        <f>+BD78/AY78-1</f>
        <v>3.7009100917650084E-2</v>
      </c>
      <c r="BE79" s="885">
        <f>BE78/AZ78-1</f>
        <v>4.5382387028931603E-2</v>
      </c>
      <c r="BF79" s="885">
        <f>BF78/BA78-1</f>
        <v>5.9965841281115484E-2</v>
      </c>
      <c r="BG79" s="885">
        <f>BG78/BB78-1</f>
        <v>7.1420496760276064E-2</v>
      </c>
      <c r="BH79" s="885">
        <f>BH78/BC78-1</f>
        <v>6.6415257328900301E-2</v>
      </c>
      <c r="BI79" s="1044">
        <f>+BI78/BD78-1</f>
        <v>6.1570193057619793E-2</v>
      </c>
      <c r="BJ79" s="885">
        <f>BJ78/BE78-1</f>
        <v>6.8219146644105333E-2</v>
      </c>
      <c r="BK79" s="885">
        <f>BK78/BF78-1</f>
        <v>6.8715891410926933E-2</v>
      </c>
      <c r="BL79" s="885">
        <f>BL78/BG78-1</f>
        <v>6.3623618670625159E-2</v>
      </c>
      <c r="BM79" s="885">
        <f>BM78/BH78-1</f>
        <v>6.6273800754481194E-2</v>
      </c>
      <c r="BN79" s="1044">
        <f>+BN78/BI78-1</f>
        <v>6.662539124823752E-2</v>
      </c>
      <c r="BO79" s="885">
        <f>BO78/BJ78-1</f>
        <v>6.2586010170243345E-2</v>
      </c>
      <c r="BP79" s="885">
        <f>BP78/BK78-1</f>
        <v>7.3307093381000943E-2</v>
      </c>
      <c r="BQ79" s="885">
        <f>BQ78/BL78-1</f>
        <v>5.198123211292649E-2</v>
      </c>
      <c r="BR79" s="885">
        <f>BR78/BM78-1</f>
        <v>7.7260978262405633E-3</v>
      </c>
      <c r="BS79" s="1044">
        <f>+BS78/BN78-1</f>
        <v>5.2303853138981449E-2</v>
      </c>
      <c r="BT79" s="885">
        <f>BT78/BO78-1</f>
        <v>6.6089945819255869E-2</v>
      </c>
      <c r="BU79" s="885">
        <f>BU78/BP78-1</f>
        <v>7.1861249470476229E-2</v>
      </c>
      <c r="BV79" s="885">
        <f>BV78/BQ78-1</f>
        <v>9.9654776277664281E-2</v>
      </c>
      <c r="BW79" s="885">
        <f>BW78/BR78-1</f>
        <v>9.5346845953922843E-2</v>
      </c>
      <c r="BX79" s="1044">
        <f>+BX78/BS78-1</f>
        <v>8.3746588870930339E-2</v>
      </c>
      <c r="BY79" s="885">
        <f>BY78/BT78-1</f>
        <v>8.7089131443970125E-2</v>
      </c>
      <c r="BZ79" s="885">
        <f>BZ78/BU78-1</f>
        <v>7.9670777876161836E-2</v>
      </c>
      <c r="CA79" s="885">
        <f>CA78/BV78-1</f>
        <v>5.7828571428571562E-2</v>
      </c>
      <c r="CB79" s="885">
        <f>CB78/BW78-1</f>
        <v>4.4132830704318504E-2</v>
      </c>
      <c r="CC79" s="1044">
        <f>+CC78/BX78-1</f>
        <v>6.6980053957595986E-2</v>
      </c>
      <c r="CD79" s="885">
        <f>CD78/BY78-1</f>
        <v>2.5527773618805094E-2</v>
      </c>
      <c r="CE79" s="885">
        <f>CE78/BZ78-1</f>
        <v>2.712278412945035E-2</v>
      </c>
      <c r="CF79" s="885">
        <f>CF78/CA78-1</f>
        <v>9.1755454452955298E-3</v>
      </c>
      <c r="CG79" s="885"/>
      <c r="CH79" s="1044"/>
      <c r="CI79" s="885"/>
      <c r="CJ79" s="885"/>
      <c r="CK79" s="885"/>
      <c r="CL79" s="885"/>
      <c r="CM79" s="1044"/>
      <c r="CN79" s="885"/>
      <c r="CO79" s="885"/>
      <c r="CP79" s="885"/>
      <c r="CQ79" s="885"/>
      <c r="CR79" s="1044"/>
      <c r="CS79" s="1044"/>
      <c r="CT79" s="1044"/>
      <c r="CV79" s="781"/>
      <c r="CW79" s="781"/>
      <c r="CX79" s="781"/>
      <c r="DA79" s="212"/>
      <c r="DB79" s="1226"/>
    </row>
    <row r="80" spans="1:106" s="207" customFormat="1" ht="12.75" customHeight="1" x14ac:dyDescent="0.2">
      <c r="A80" s="1595" t="s">
        <v>359</v>
      </c>
      <c r="B80" s="1924" t="s">
        <v>673</v>
      </c>
      <c r="C80" s="1924" t="s">
        <v>673</v>
      </c>
      <c r="D80" s="1924" t="s">
        <v>673</v>
      </c>
      <c r="E80" s="1924" t="s">
        <v>673</v>
      </c>
      <c r="F80" s="1890" t="s">
        <v>673</v>
      </c>
      <c r="G80" s="1924" t="s">
        <v>673</v>
      </c>
      <c r="H80" s="1924" t="s">
        <v>673</v>
      </c>
      <c r="I80" s="1924" t="s">
        <v>673</v>
      </c>
      <c r="J80" s="1924" t="s">
        <v>673</v>
      </c>
      <c r="K80" s="1890" t="s">
        <v>673</v>
      </c>
      <c r="L80" s="1924" t="s">
        <v>673</v>
      </c>
      <c r="M80" s="1924" t="s">
        <v>673</v>
      </c>
      <c r="N80" s="1924" t="s">
        <v>673</v>
      </c>
      <c r="O80" s="1924" t="s">
        <v>673</v>
      </c>
      <c r="P80" s="1890" t="s">
        <v>673</v>
      </c>
      <c r="Q80" s="1043">
        <f t="shared" ref="Q80:AV80" si="118">+Q579</f>
        <v>6.0000000000000001E-3</v>
      </c>
      <c r="R80" s="1043">
        <f t="shared" si="118"/>
        <v>-4.9000000000000002E-2</v>
      </c>
      <c r="S80" s="1043">
        <f t="shared" si="118"/>
        <v>-0.02</v>
      </c>
      <c r="T80" s="1043">
        <f t="shared" si="118"/>
        <v>3.0000000000000001E-3</v>
      </c>
      <c r="U80" s="1953">
        <f t="shared" si="118"/>
        <v>-1.4E-2</v>
      </c>
      <c r="V80" s="1043">
        <f t="shared" si="118"/>
        <v>7.1999999999999995E-2</v>
      </c>
      <c r="W80" s="1043">
        <f t="shared" si="118"/>
        <v>0.112</v>
      </c>
      <c r="X80" s="1043">
        <f t="shared" si="118"/>
        <v>8.7999999999999995E-2</v>
      </c>
      <c r="Y80" s="1043">
        <f t="shared" si="118"/>
        <v>0.121</v>
      </c>
      <c r="Z80" s="1953">
        <f t="shared" si="118"/>
        <v>0.1</v>
      </c>
      <c r="AA80" s="1043">
        <f t="shared" si="118"/>
        <v>8.4000000000000005E-2</v>
      </c>
      <c r="AB80" s="1043">
        <f t="shared" si="118"/>
        <v>9.1999999999999998E-2</v>
      </c>
      <c r="AC80" s="1043">
        <f t="shared" si="118"/>
        <v>7.4999999999999997E-2</v>
      </c>
      <c r="AD80" s="1043">
        <f t="shared" si="118"/>
        <v>0.10199999999999999</v>
      </c>
      <c r="AE80" s="1953">
        <f t="shared" si="118"/>
        <v>8.8999999999999996E-2</v>
      </c>
      <c r="AF80" s="1043">
        <f t="shared" si="118"/>
        <v>0.113</v>
      </c>
      <c r="AG80" s="1043">
        <f t="shared" si="118"/>
        <v>0.113</v>
      </c>
      <c r="AH80" s="1043">
        <f t="shared" si="118"/>
        <v>9.2999999999999999E-2</v>
      </c>
      <c r="AI80" s="1043">
        <f t="shared" si="118"/>
        <v>7.6999999999999999E-2</v>
      </c>
      <c r="AJ80" s="1953">
        <f t="shared" si="118"/>
        <v>9.7000000000000003E-2</v>
      </c>
      <c r="AK80" s="1043">
        <f t="shared" si="118"/>
        <v>4.9000000000000002E-2</v>
      </c>
      <c r="AL80" s="1043">
        <f t="shared" si="118"/>
        <v>5.2999999999999999E-2</v>
      </c>
      <c r="AM80" s="1043">
        <f t="shared" si="118"/>
        <v>5.7000000000000002E-2</v>
      </c>
      <c r="AN80" s="1043">
        <f t="shared" si="118"/>
        <v>6.3E-2</v>
      </c>
      <c r="AO80" s="1953">
        <f t="shared" si="118"/>
        <v>5.6000000000000001E-2</v>
      </c>
      <c r="AP80" s="1043">
        <f t="shared" si="118"/>
        <v>1.7999999999999999E-2</v>
      </c>
      <c r="AQ80" s="1043">
        <f t="shared" si="118"/>
        <v>8.0000000000000002E-3</v>
      </c>
      <c r="AR80" s="1043">
        <f t="shared" si="118"/>
        <v>-1.4999999999999999E-2</v>
      </c>
      <c r="AS80" s="1043">
        <f t="shared" si="118"/>
        <v>-0.115</v>
      </c>
      <c r="AT80" s="1953">
        <f t="shared" si="118"/>
        <v>-3.4000000000000002E-2</v>
      </c>
      <c r="AU80" s="1043">
        <f t="shared" si="118"/>
        <v>-0.17</v>
      </c>
      <c r="AV80" s="1043">
        <f t="shared" si="118"/>
        <v>-0.22</v>
      </c>
      <c r="AW80" s="1043">
        <f t="shared" ref="AW80:CB80" si="119">+AW579</f>
        <v>-0.20200000000000001</v>
      </c>
      <c r="AX80" s="1043">
        <f t="shared" si="119"/>
        <v>-0.13900000000000001</v>
      </c>
      <c r="AY80" s="1953">
        <f t="shared" si="119"/>
        <v>-0.192</v>
      </c>
      <c r="AZ80" s="1043">
        <f t="shared" si="119"/>
        <v>-2.9000000000000001E-2</v>
      </c>
      <c r="BA80" s="1043">
        <f t="shared" si="119"/>
        <v>4.2000000000000003E-2</v>
      </c>
      <c r="BB80" s="1043">
        <f t="shared" si="119"/>
        <v>6.8000000000000005E-2</v>
      </c>
      <c r="BC80" s="1043">
        <f t="shared" si="119"/>
        <v>7.0999999999999994E-2</v>
      </c>
      <c r="BD80" s="1953">
        <f t="shared" si="119"/>
        <v>0.04</v>
      </c>
      <c r="BE80" s="1043">
        <f t="shared" si="119"/>
        <v>5.6000000000000001E-2</v>
      </c>
      <c r="BF80" s="1043">
        <f t="shared" si="119"/>
        <v>7.3999999999999996E-2</v>
      </c>
      <c r="BG80" s="1043">
        <f t="shared" si="119"/>
        <v>7.6999999999999999E-2</v>
      </c>
      <c r="BH80" s="1043">
        <f t="shared" si="119"/>
        <v>7.1999999999999995E-2</v>
      </c>
      <c r="BI80" s="1953">
        <f t="shared" si="119"/>
        <v>7.0000000000000007E-2</v>
      </c>
      <c r="BJ80" s="1043">
        <f t="shared" si="119"/>
        <v>6.8000000000000005E-2</v>
      </c>
      <c r="BK80" s="1043">
        <f t="shared" si="119"/>
        <v>6.7000000000000004E-2</v>
      </c>
      <c r="BL80" s="1043">
        <f t="shared" si="119"/>
        <v>5.8999999999999997E-2</v>
      </c>
      <c r="BM80" s="1043">
        <f t="shared" si="119"/>
        <v>6.3E-2</v>
      </c>
      <c r="BN80" s="1545">
        <f t="shared" si="119"/>
        <v>6.5000000000000002E-2</v>
      </c>
      <c r="BO80" s="1043">
        <f t="shared" si="119"/>
        <v>3.9E-2</v>
      </c>
      <c r="BP80" s="1043">
        <f t="shared" si="119"/>
        <v>5.2999999999999999E-2</v>
      </c>
      <c r="BQ80" s="1043">
        <f t="shared" si="119"/>
        <v>5.5E-2</v>
      </c>
      <c r="BR80" s="1043">
        <f t="shared" si="119"/>
        <v>4.4999999999999998E-2</v>
      </c>
      <c r="BS80" s="1545">
        <f t="shared" si="119"/>
        <v>4.9000000000000002E-2</v>
      </c>
      <c r="BT80" s="1043">
        <f t="shared" si="119"/>
        <v>6.4000000000000001E-2</v>
      </c>
      <c r="BU80" s="1043">
        <f t="shared" si="119"/>
        <v>6.7000000000000004E-2</v>
      </c>
      <c r="BV80" s="1043">
        <f t="shared" si="119"/>
        <v>9.4E-2</v>
      </c>
      <c r="BW80" s="1043">
        <f t="shared" si="119"/>
        <v>8.4000000000000005E-2</v>
      </c>
      <c r="BX80" s="1545">
        <f t="shared" si="119"/>
        <v>7.8E-2</v>
      </c>
      <c r="BY80" s="1043">
        <f t="shared" si="119"/>
        <v>9.4E-2</v>
      </c>
      <c r="BZ80" s="1043">
        <f t="shared" si="119"/>
        <v>7.0000000000000007E-2</v>
      </c>
      <c r="CA80" s="1043">
        <f t="shared" si="119"/>
        <v>4.9000000000000002E-2</v>
      </c>
      <c r="CB80" s="1043">
        <f t="shared" si="119"/>
        <v>3.4000000000000002E-2</v>
      </c>
      <c r="CC80" s="2881">
        <f>+CC579</f>
        <v>6.0999999999999999E-2</v>
      </c>
      <c r="CD80" s="1043">
        <f>+CD579</f>
        <v>2.5999999999999999E-2</v>
      </c>
      <c r="CE80" s="1043">
        <f>+CE579</f>
        <v>3.2000000000000001E-2</v>
      </c>
      <c r="CF80" s="1043">
        <f>+CF579</f>
        <v>1.2E-2</v>
      </c>
      <c r="CG80" s="1043"/>
      <c r="CH80" s="1953"/>
      <c r="CI80" s="1546"/>
      <c r="CJ80" s="1546"/>
      <c r="CK80" s="1546"/>
      <c r="CL80" s="1546"/>
      <c r="CM80" s="1545"/>
      <c r="CN80" s="1546"/>
      <c r="CO80" s="1546"/>
      <c r="CP80" s="1546"/>
      <c r="CQ80" s="1546"/>
      <c r="CR80" s="1545"/>
      <c r="CS80" s="1545"/>
      <c r="CT80" s="1545"/>
      <c r="CV80" s="537"/>
      <c r="CW80" s="537"/>
      <c r="CX80" s="537"/>
      <c r="DA80" s="212"/>
      <c r="DB80" s="1226"/>
    </row>
    <row r="81" spans="1:106" s="207" customFormat="1" ht="12.75" customHeight="1" x14ac:dyDescent="0.2">
      <c r="A81" s="1434" t="s">
        <v>1389</v>
      </c>
      <c r="B81" s="275">
        <f>B187*B137</f>
        <v>38.992640000000002</v>
      </c>
      <c r="C81" s="275">
        <f>C187*C137</f>
        <v>45.079000000000001</v>
      </c>
      <c r="D81" s="275">
        <f>D187*D137</f>
        <v>44.30545</v>
      </c>
      <c r="E81" s="630">
        <f>E187*E137</f>
        <v>39.226039999999998</v>
      </c>
      <c r="F81" s="1569">
        <f>+SUMPRODUCT(B81:E81,B$4:E$4)/F$4</f>
        <v>41.695033076923075</v>
      </c>
      <c r="G81" s="272">
        <f>G187*G137</f>
        <v>39.350519999999996</v>
      </c>
      <c r="H81" s="272">
        <f>H187*H137</f>
        <v>44.588239999999999</v>
      </c>
      <c r="I81" s="272">
        <f>I187*I137</f>
        <v>43.671019999999999</v>
      </c>
      <c r="J81" s="272">
        <f>J187*J137</f>
        <v>37.584119999999999</v>
      </c>
      <c r="K81" s="1569">
        <f>+SUMPRODUCT(G81:J81,G$4:J$4)/K$4</f>
        <v>41.012755384615382</v>
      </c>
      <c r="L81" s="272">
        <f>L187*L137</f>
        <v>38.829839999999997</v>
      </c>
      <c r="M81" s="272">
        <f>M187*M137</f>
        <v>42.182000000000002</v>
      </c>
      <c r="N81" s="272">
        <f>N187*N137</f>
        <v>44.373959999999997</v>
      </c>
      <c r="O81" s="272">
        <f>O187*O137</f>
        <v>42.556800000000003</v>
      </c>
      <c r="P81" s="1569">
        <f>+SUMPRODUCT(L81:O81,L$4:O$4)/P$4</f>
        <v>42.0353152173913</v>
      </c>
      <c r="Q81" s="272">
        <f>Q187*Q137</f>
        <v>38.060459999999999</v>
      </c>
      <c r="R81" s="272">
        <f>R187*R137</f>
        <v>43.257539999999999</v>
      </c>
      <c r="S81" s="272">
        <f>S187*S137</f>
        <v>47.288609999999998</v>
      </c>
      <c r="T81" s="272">
        <f>T187*T137</f>
        <v>37.565999999999995</v>
      </c>
      <c r="U81" s="1569">
        <f>+SUMPRODUCT(Q81:T81,Q$4:T$4)/U$4</f>
        <v>41.22715956164383</v>
      </c>
      <c r="V81" s="272">
        <f>V187*V137</f>
        <v>38.836620000000003</v>
      </c>
      <c r="W81" s="272">
        <f>W187*W137</f>
        <v>46.04824</v>
      </c>
      <c r="X81" s="272">
        <f>X187*X137</f>
        <v>50.917499999999997</v>
      </c>
      <c r="Y81" s="272">
        <f>Y187*Y137</f>
        <v>45.26802</v>
      </c>
      <c r="Z81" s="1569">
        <f>+SUMPRODUCT(V81:Y81,V$4:Y$4)/Z$4</f>
        <v>45.232485573770489</v>
      </c>
      <c r="AA81" s="272">
        <f>AA187*AA137</f>
        <v>45.565580000000004</v>
      </c>
      <c r="AB81" s="272">
        <f>AB187*AB137</f>
        <v>53.689979999999998</v>
      </c>
      <c r="AC81" s="272">
        <f>AC187*AC137</f>
        <v>57.264800000000001</v>
      </c>
      <c r="AD81" s="272">
        <f>AD187*AD137</f>
        <v>50.484900030190424</v>
      </c>
      <c r="AE81" s="1569">
        <f>+SUMPRODUCT(AA81:AD81,AA$4:AD$4)/AE$4</f>
        <v>51.650695735374022</v>
      </c>
      <c r="AF81" s="272">
        <f>AF187*AF137</f>
        <v>52.56703664692634</v>
      </c>
      <c r="AG81" s="272">
        <f>AG187*AG137</f>
        <v>56.589222867112547</v>
      </c>
      <c r="AH81" s="272">
        <f>AH187*AH137</f>
        <v>59.361491387645309</v>
      </c>
      <c r="AI81" s="272">
        <f>AI187*AI137</f>
        <v>55.232557487306799</v>
      </c>
      <c r="AJ81" s="1569">
        <f>+SUMPRODUCT(AF81:AI81,AF$4:AI$4)/AJ$4</f>
        <v>55.890667679011578</v>
      </c>
      <c r="AK81" s="272">
        <f>AK187*AK137</f>
        <v>55.132711522176841</v>
      </c>
      <c r="AL81" s="272">
        <f>AL187*AL137</f>
        <v>65.60154</v>
      </c>
      <c r="AM81" s="272">
        <f>AM187*AM137</f>
        <v>69.256140000000002</v>
      </c>
      <c r="AN81" s="272">
        <f>AN187*AN137</f>
        <v>59.295000000000002</v>
      </c>
      <c r="AO81" s="1569">
        <f>+SUMPRODUCT(AK81:AN81,AK$4:AN$4)/AO$4</f>
        <v>62.099986748188684</v>
      </c>
      <c r="AP81" s="272">
        <f>AP187*AP137</f>
        <v>57.521589999999996</v>
      </c>
      <c r="AQ81" s="272">
        <f>AQ187*AQ137</f>
        <v>65.695319999999995</v>
      </c>
      <c r="AR81" s="272">
        <f>AR187*AR137</f>
        <v>68.770059999999987</v>
      </c>
      <c r="AS81" s="272">
        <f>AS187*AS137</f>
        <v>53.742149999999995</v>
      </c>
      <c r="AT81" s="1569">
        <f>+SUMPRODUCT(AP81:AS81,AP$4:AS$4)/AT$4</f>
        <v>60.744544796747959</v>
      </c>
      <c r="AU81" s="272">
        <f>AU187*AU137</f>
        <v>49.222799999999999</v>
      </c>
      <c r="AV81" s="272">
        <f>AV187*AV137</f>
        <v>54.608939999999997</v>
      </c>
      <c r="AW81" s="272">
        <f>AW187*AW137</f>
        <v>56.664650000000002</v>
      </c>
      <c r="AX81" s="272">
        <f>AX187*AX137</f>
        <v>46.652319999999996</v>
      </c>
      <c r="AY81" s="1569">
        <f>+SUMPRODUCT(AU81:AX81,AU$4:AX$4)/AY$4</f>
        <v>51.39218846153846</v>
      </c>
      <c r="AZ81" s="272">
        <f>AZ187*AZ137</f>
        <v>46.620239999999995</v>
      </c>
      <c r="BA81" s="272">
        <f>BA187*BA137</f>
        <v>56.220880000000001</v>
      </c>
      <c r="BB81" s="272">
        <f>BB187*BB137</f>
        <v>61.165799999999997</v>
      </c>
      <c r="BC81" s="272">
        <f>BC187*BC137</f>
        <v>50.55</v>
      </c>
      <c r="BD81" s="1569">
        <f>+SUMPRODUCT(AZ81:BC81,AZ$4:BC$4)/BD$4</f>
        <v>53.401596923076923</v>
      </c>
      <c r="BE81" s="272">
        <f>BE187*BE137</f>
        <v>50.665559999999992</v>
      </c>
      <c r="BF81" s="272">
        <f>BF187*BF137</f>
        <v>61.726399999999998</v>
      </c>
      <c r="BG81" s="272">
        <f>BG187*BG137</f>
        <v>66.923050000000003</v>
      </c>
      <c r="BH81" s="272">
        <f>BH137*BH187</f>
        <v>56.643299999999996</v>
      </c>
      <c r="BI81" s="1569">
        <f>+SUMPRODUCT(BE81:BH81,BE$4:BH$4)/BI$4</f>
        <v>58.809094615384609</v>
      </c>
      <c r="BJ81" s="272">
        <f>BJ137*BJ187</f>
        <v>55.746220000000001</v>
      </c>
      <c r="BK81" s="272">
        <f>BK137*BK187</f>
        <v>67.271549999999991</v>
      </c>
      <c r="BL81" s="272">
        <f>BL137*BL187</f>
        <v>71.466889999999992</v>
      </c>
      <c r="BM81" s="272">
        <f>BM137*BM187</f>
        <v>60.653880000000001</v>
      </c>
      <c r="BN81" s="1569">
        <f>+SUMPRODUCT(BJ81:BM81,BJ$4:BM$4)/BN$4</f>
        <v>63.543807692307695</v>
      </c>
      <c r="BO81" s="272">
        <f>BO137*BO187</f>
        <v>59.32206</v>
      </c>
      <c r="BP81" s="272">
        <f>BP137*BP187</f>
        <v>72.396990000000002</v>
      </c>
      <c r="BQ81" s="272">
        <f>BQ137*BQ187</f>
        <v>73.744599999999991</v>
      </c>
      <c r="BR81" s="272">
        <f>BR137*BR187</f>
        <v>61.166700000000006</v>
      </c>
      <c r="BS81" s="1569">
        <f>+SUMPRODUCT(BO81:BR81,BO$4:BR$4)/BS$4</f>
        <v>66.661948497267758</v>
      </c>
      <c r="BT81" s="272">
        <f>BT137*BT187</f>
        <v>62.782720000000005</v>
      </c>
      <c r="BU81" s="272">
        <f>BU137*BU187</f>
        <v>78.389380000000003</v>
      </c>
      <c r="BV81" s="272">
        <f>BV137*BV187</f>
        <v>80.484360000000009</v>
      </c>
      <c r="BW81" s="272">
        <f>BW137*BW187</f>
        <v>66.557760000000002</v>
      </c>
      <c r="BX81" s="1569">
        <f>+SUMPRODUCT(BT81:BW81,BT$4:BW$4)/BX$4</f>
        <v>72.086995671232884</v>
      </c>
      <c r="BY81" s="272">
        <f>BY137*BY187</f>
        <v>68.028300000000002</v>
      </c>
      <c r="BZ81" s="272">
        <f>BZ137*BZ187</f>
        <v>82.867499999999993</v>
      </c>
      <c r="CA81" s="272">
        <f>CA137*CA187</f>
        <v>85.129440000000002</v>
      </c>
      <c r="CB81" s="272">
        <f>CB137*CB187</f>
        <v>69.809899999999999</v>
      </c>
      <c r="CC81" s="1569">
        <f>+SUMPRODUCT(BY81:CB81,BY$4:CB$4)/CC$4</f>
        <v>76.487421315068502</v>
      </c>
      <c r="CD81" s="272">
        <f>CD137*CD187</f>
        <v>68.66328</v>
      </c>
      <c r="CE81" s="272">
        <f>CE137*CE187</f>
        <v>84.874139999999997</v>
      </c>
      <c r="CF81" s="272">
        <f>CF137*CF187</f>
        <v>86.970240000000004</v>
      </c>
      <c r="CG81" s="272"/>
      <c r="CH81" s="1569"/>
      <c r="CI81" s="272"/>
      <c r="CJ81" s="272"/>
      <c r="CK81" s="272"/>
      <c r="CL81" s="272"/>
      <c r="CM81" s="1569"/>
      <c r="CN81" s="272"/>
      <c r="CO81" s="272"/>
      <c r="CP81" s="272"/>
      <c r="CQ81" s="272"/>
      <c r="CR81" s="235"/>
      <c r="CS81" s="235"/>
      <c r="CT81" s="235"/>
      <c r="CV81" s="537"/>
      <c r="CW81" s="537"/>
      <c r="CX81" s="537"/>
      <c r="DA81" s="212"/>
      <c r="DB81" s="1226"/>
    </row>
    <row r="82" spans="1:106" s="207" customFormat="1" ht="12.75" customHeight="1" x14ac:dyDescent="0.2">
      <c r="A82" s="1595" t="s">
        <v>652</v>
      </c>
      <c r="B82" s="885"/>
      <c r="C82" s="885"/>
      <c r="D82" s="885"/>
      <c r="E82" s="885"/>
      <c r="F82" s="1044"/>
      <c r="G82" s="885">
        <f>G81/B81-1</f>
        <v>9.1781423366048553E-3</v>
      </c>
      <c r="H82" s="885">
        <f>H81/C81-1</f>
        <v>-1.0886665631447023E-2</v>
      </c>
      <c r="I82" s="885">
        <f>I81/D81-1</f>
        <v>-1.4319457312813699E-2</v>
      </c>
      <c r="J82" s="885">
        <f>J81/E81-1</f>
        <v>-4.1857908674951649E-2</v>
      </c>
      <c r="K82" s="1044">
        <f>+K81/F81-1</f>
        <v>-1.6363524428652187E-2</v>
      </c>
      <c r="L82" s="885">
        <f>L81/G81-1</f>
        <v>-1.3231845474977133E-2</v>
      </c>
      <c r="M82" s="885">
        <f>M81/H81-1</f>
        <v>-5.3965799053741437E-2</v>
      </c>
      <c r="N82" s="885">
        <f>N81/I81-1</f>
        <v>1.6096257884519183E-2</v>
      </c>
      <c r="O82" s="885">
        <f>O81/J81-1</f>
        <v>0.13230800667941689</v>
      </c>
      <c r="P82" s="1044">
        <f>+P81/K81-1</f>
        <v>2.4932726981798936E-2</v>
      </c>
      <c r="Q82" s="885">
        <f>Q81/L81-1</f>
        <v>-1.9814142937493395E-2</v>
      </c>
      <c r="R82" s="885">
        <f>R81/M81-1</f>
        <v>2.5497605613768792E-2</v>
      </c>
      <c r="S82" s="885">
        <f>S81/N81-1</f>
        <v>6.5683792927203388E-2</v>
      </c>
      <c r="T82" s="885">
        <f>T81/O81-1</f>
        <v>-0.11727385517708111</v>
      </c>
      <c r="U82" s="1044">
        <f>+U81/P81-1</f>
        <v>-1.9225635672481145E-2</v>
      </c>
      <c r="V82" s="885">
        <f>V81/Q81-1</f>
        <v>2.0392817112562689E-2</v>
      </c>
      <c r="W82" s="885">
        <f>W81/R81-1</f>
        <v>6.4513608494611629E-2</v>
      </c>
      <c r="X82" s="885">
        <f>X81/S81-1</f>
        <v>7.6739197874498677E-2</v>
      </c>
      <c r="Y82" s="885">
        <f>Y81/T81-1</f>
        <v>0.20502635361763311</v>
      </c>
      <c r="Z82" s="1044">
        <f>+Z81/U81-1</f>
        <v>9.7152606551460297E-2</v>
      </c>
      <c r="AA82" s="885">
        <f>AA81/V81-1</f>
        <v>0.17326327574335765</v>
      </c>
      <c r="AB82" s="885">
        <f>AB81/W81-1</f>
        <v>0.16595075077787991</v>
      </c>
      <c r="AC82" s="885">
        <f>AC81/X81-1</f>
        <v>0.12465851622723045</v>
      </c>
      <c r="AD82" s="885">
        <f>AD81/Y81-1</f>
        <v>0.11524427245084778</v>
      </c>
      <c r="AE82" s="1044">
        <f>+AE81/Z81-1</f>
        <v>0.14189381989932781</v>
      </c>
      <c r="AF82" s="885">
        <f>AF81/AA81-1</f>
        <v>0.15365669979239449</v>
      </c>
      <c r="AG82" s="885">
        <f>AG81/AB81-1</f>
        <v>5.399970100775886E-2</v>
      </c>
      <c r="AH82" s="885">
        <f>AH81/AC81-1</f>
        <v>3.6613965082307187E-2</v>
      </c>
      <c r="AI82" s="885">
        <f>AI81/AD81-1</f>
        <v>9.404113812797954E-2</v>
      </c>
      <c r="AJ82" s="1044">
        <f>+AJ81/AE81-1</f>
        <v>8.2089348135028661E-2</v>
      </c>
      <c r="AK82" s="885">
        <f>AK81/AF81-1</f>
        <v>4.8807675663423922E-2</v>
      </c>
      <c r="AL82" s="885">
        <f>AL81/AG81-1</f>
        <v>0.15925854210882018</v>
      </c>
      <c r="AM82" s="885">
        <f>AM81/AH81-1</f>
        <v>0.16668463647148246</v>
      </c>
      <c r="AN82" s="885">
        <f>AN81/AI81-1</f>
        <v>7.3551591624682722E-2</v>
      </c>
      <c r="AO82" s="1044">
        <f>+AO81/AJ81-1</f>
        <v>0.11109760049456119</v>
      </c>
      <c r="AP82" s="885">
        <f>AP81/AK81-1</f>
        <v>4.3329602551150481E-2</v>
      </c>
      <c r="AQ82" s="885">
        <f>AQ81/AL81-1</f>
        <v>1.4295396114176739E-3</v>
      </c>
      <c r="AR82" s="885">
        <f>AR81/AM81-1</f>
        <v>-7.0185834786635759E-3</v>
      </c>
      <c r="AS82" s="885">
        <f>AS81/AN81-1</f>
        <v>-9.364786238300038E-2</v>
      </c>
      <c r="AT82" s="1044">
        <f>+AT81/AO81-1</f>
        <v>-2.1826767160787797E-2</v>
      </c>
      <c r="AU82" s="885">
        <f>AU81/AP81-1</f>
        <v>-0.14427261137948377</v>
      </c>
      <c r="AV82" s="885">
        <f>AV81/AQ81-1</f>
        <v>-0.16875448662096482</v>
      </c>
      <c r="AW82" s="885">
        <f>AW81/AR81-1</f>
        <v>-0.17602732933488774</v>
      </c>
      <c r="AX82" s="885">
        <f>AX81/AS81-1</f>
        <v>-0.13192308085925109</v>
      </c>
      <c r="AY82" s="1044">
        <f>+AY81/AT81-1</f>
        <v>-0.15396207785411198</v>
      </c>
      <c r="AZ82" s="885">
        <f>AZ81/AU81-1</f>
        <v>-5.287305882639759E-2</v>
      </c>
      <c r="BA82" s="885">
        <f>BA81/AV81-1</f>
        <v>2.9517877475739418E-2</v>
      </c>
      <c r="BB82" s="885">
        <f>BB81/AW81-1</f>
        <v>7.9434885770934605E-2</v>
      </c>
      <c r="BC82" s="885">
        <f>BC81/AX81-1</f>
        <v>8.3547399143279577E-2</v>
      </c>
      <c r="BD82" s="1044">
        <f>+BD81/AY81-1</f>
        <v>3.909949199852214E-2</v>
      </c>
      <c r="BE82" s="885">
        <f>BE81/AZ81-1</f>
        <v>8.6771754070763985E-2</v>
      </c>
      <c r="BF82" s="885">
        <f>BF81/BA81-1</f>
        <v>9.7926606627288582E-2</v>
      </c>
      <c r="BG82" s="885">
        <f>BG81/BB81-1</f>
        <v>9.4125311857279792E-2</v>
      </c>
      <c r="BH82" s="885">
        <f>BH81/BC81-1</f>
        <v>0.12054005934718104</v>
      </c>
      <c r="BI82" s="1044">
        <f>+BI81/BD81-1</f>
        <v>0.10126097352663432</v>
      </c>
      <c r="BJ82" s="885">
        <f>BJ81/BE81-1</f>
        <v>0.10027837450133803</v>
      </c>
      <c r="BK82" s="885">
        <f>BK81/BF81-1</f>
        <v>8.9834333445656833E-2</v>
      </c>
      <c r="BL82" s="885">
        <f>BL81/BG81-1</f>
        <v>6.7896487084793566E-2</v>
      </c>
      <c r="BM82" s="885">
        <f>BM81/BH81-1</f>
        <v>7.0804137470804163E-2</v>
      </c>
      <c r="BN82" s="1044">
        <f>+BN81/BI81-1</f>
        <v>8.050987875070037E-2</v>
      </c>
      <c r="BO82" s="885">
        <f>BO81/BJ81-1</f>
        <v>6.4144977004718884E-2</v>
      </c>
      <c r="BP82" s="885">
        <f>BP81/BK81-1</f>
        <v>7.6190306303333566E-2</v>
      </c>
      <c r="BQ82" s="885">
        <f>BQ81/BL81-1</f>
        <v>3.1870842567796043E-2</v>
      </c>
      <c r="BR82" s="885">
        <f>BR81/BM81-1</f>
        <v>8.4548589471935554E-3</v>
      </c>
      <c r="BS82" s="1044">
        <f>+BS81/BN81-1</f>
        <v>4.9070726451564628E-2</v>
      </c>
      <c r="BT82" s="885">
        <f>BT81/BO81-1</f>
        <v>5.8336814331801712E-2</v>
      </c>
      <c r="BU82" s="885">
        <f>BU81/BP81-1</f>
        <v>8.2771258860347752E-2</v>
      </c>
      <c r="BV82" s="885">
        <f>BV81/BQ81-1</f>
        <v>9.1393268117259119E-2</v>
      </c>
      <c r="BW82" s="885">
        <f>BW81/BR81-1</f>
        <v>8.8137172677289932E-2</v>
      </c>
      <c r="BX82" s="1044">
        <f>+BX81/BS81-1</f>
        <v>8.1381467182698453E-2</v>
      </c>
      <c r="BY82" s="885">
        <f>BY81/BT81-1</f>
        <v>8.3551333870211408E-2</v>
      </c>
      <c r="BZ82" s="885">
        <f>BZ81/BU81-1</f>
        <v>5.7126615875772835E-2</v>
      </c>
      <c r="CA82" s="885">
        <f>CA81/BV81-1</f>
        <v>5.7714070162202757E-2</v>
      </c>
      <c r="CB82" s="885">
        <f>CB81/BW81-1</f>
        <v>4.8861920833874084E-2</v>
      </c>
      <c r="CC82" s="1044">
        <f>+CC81/BX81-1</f>
        <v>6.1043265888131026E-2</v>
      </c>
      <c r="CD82" s="885">
        <f>CD81/BY81-1</f>
        <v>9.3340565617543447E-3</v>
      </c>
      <c r="CE82" s="885">
        <f>CE81/BZ81-1</f>
        <v>2.4215042085256711E-2</v>
      </c>
      <c r="CF82" s="885">
        <f>CF81/CA81-1</f>
        <v>2.1623541750069197E-2</v>
      </c>
      <c r="CG82" s="885"/>
      <c r="CH82" s="1044"/>
      <c r="CI82" s="885"/>
      <c r="CJ82" s="885"/>
      <c r="CK82" s="885"/>
      <c r="CL82" s="885"/>
      <c r="CM82" s="1044"/>
      <c r="CN82" s="885"/>
      <c r="CO82" s="885"/>
      <c r="CP82" s="885"/>
      <c r="CQ82" s="885"/>
      <c r="CR82" s="1044"/>
      <c r="CS82" s="1044"/>
      <c r="CT82" s="1044"/>
      <c r="CV82" s="781"/>
      <c r="CW82" s="781"/>
      <c r="CX82" s="781"/>
      <c r="DA82" s="212"/>
      <c r="DB82" s="1226"/>
    </row>
    <row r="83" spans="1:106" s="207" customFormat="1" ht="12.75" customHeight="1" x14ac:dyDescent="0.2">
      <c r="A83" s="1595" t="s">
        <v>359</v>
      </c>
      <c r="B83" s="1924" t="s">
        <v>673</v>
      </c>
      <c r="C83" s="1924" t="s">
        <v>673</v>
      </c>
      <c r="D83" s="1924" t="s">
        <v>673</v>
      </c>
      <c r="E83" s="1924" t="s">
        <v>673</v>
      </c>
      <c r="F83" s="1890" t="s">
        <v>673</v>
      </c>
      <c r="G83" s="1924" t="s">
        <v>673</v>
      </c>
      <c r="H83" s="1924" t="s">
        <v>673</v>
      </c>
      <c r="I83" s="1924" t="s">
        <v>673</v>
      </c>
      <c r="J83" s="1924" t="s">
        <v>673</v>
      </c>
      <c r="K83" s="1890" t="s">
        <v>673</v>
      </c>
      <c r="L83" s="1924" t="s">
        <v>673</v>
      </c>
      <c r="M83" s="1924" t="s">
        <v>673</v>
      </c>
      <c r="N83" s="1924" t="s">
        <v>673</v>
      </c>
      <c r="O83" s="1924" t="s">
        <v>673</v>
      </c>
      <c r="P83" s="1890" t="s">
        <v>673</v>
      </c>
      <c r="Q83" s="1043">
        <f t="shared" ref="Q83:AV83" si="120">+Q581</f>
        <v>0.02</v>
      </c>
      <c r="R83" s="1043">
        <f t="shared" si="120"/>
        <v>-2.7E-2</v>
      </c>
      <c r="S83" s="1043">
        <f t="shared" si="120"/>
        <v>-1.2999999999999999E-2</v>
      </c>
      <c r="T83" s="1043">
        <f t="shared" si="120"/>
        <v>3.0000000000000001E-3</v>
      </c>
      <c r="U83" s="1953">
        <f t="shared" si="120"/>
        <v>-4.0000000000000001E-3</v>
      </c>
      <c r="V83" s="1043">
        <f t="shared" si="120"/>
        <v>2.3E-2</v>
      </c>
      <c r="W83" s="1043">
        <f t="shared" si="120"/>
        <v>4.9000000000000002E-2</v>
      </c>
      <c r="X83" s="1043">
        <f t="shared" si="120"/>
        <v>4.7E-2</v>
      </c>
      <c r="Y83" s="1043">
        <f t="shared" si="120"/>
        <v>0.112</v>
      </c>
      <c r="Z83" s="1953">
        <f t="shared" si="120"/>
        <v>6.2E-2</v>
      </c>
      <c r="AA83" s="1043">
        <f t="shared" si="120"/>
        <v>0.109</v>
      </c>
      <c r="AB83" s="1043">
        <f t="shared" si="120"/>
        <v>0.11799999999999999</v>
      </c>
      <c r="AC83" s="1043">
        <f t="shared" si="120"/>
        <v>0.1</v>
      </c>
      <c r="AD83" s="1043">
        <f t="shared" si="120"/>
        <v>0.13500000000000001</v>
      </c>
      <c r="AE83" s="1953">
        <f t="shared" si="120"/>
        <v>0.11700000000000001</v>
      </c>
      <c r="AF83" s="1043">
        <f t="shared" si="120"/>
        <v>0.14299999999999999</v>
      </c>
      <c r="AG83" s="1043">
        <f t="shared" si="120"/>
        <v>0.124</v>
      </c>
      <c r="AH83" s="1043">
        <f t="shared" si="120"/>
        <v>9.5000000000000001E-2</v>
      </c>
      <c r="AI83" s="1043">
        <f t="shared" si="120"/>
        <v>8.1000000000000003E-2</v>
      </c>
      <c r="AJ83" s="1953">
        <f t="shared" si="120"/>
        <v>0.106</v>
      </c>
      <c r="AK83" s="1043">
        <f t="shared" si="120"/>
        <v>5.5E-2</v>
      </c>
      <c r="AL83" s="1043">
        <f t="shared" si="120"/>
        <v>6.9000000000000006E-2</v>
      </c>
      <c r="AM83" s="1043">
        <f t="shared" si="120"/>
        <v>7.1999999999999995E-2</v>
      </c>
      <c r="AN83" s="1043">
        <f t="shared" si="120"/>
        <v>6.8000000000000005E-2</v>
      </c>
      <c r="AO83" s="1953">
        <f t="shared" si="120"/>
        <v>6.7000000000000004E-2</v>
      </c>
      <c r="AP83" s="1043">
        <f t="shared" si="120"/>
        <v>3.2000000000000001E-2</v>
      </c>
      <c r="AQ83" s="1043">
        <f t="shared" si="120"/>
        <v>-1.2E-2</v>
      </c>
      <c r="AR83" s="1043">
        <f t="shared" si="120"/>
        <v>-2.1999999999999999E-2</v>
      </c>
      <c r="AS83" s="1043">
        <f t="shared" si="120"/>
        <v>-0.108</v>
      </c>
      <c r="AT83" s="1953">
        <f t="shared" si="120"/>
        <v>-3.5000000000000003E-2</v>
      </c>
      <c r="AU83" s="1043">
        <f t="shared" si="120"/>
        <v>-0.14699999999999999</v>
      </c>
      <c r="AV83" s="1043">
        <f t="shared" si="120"/>
        <v>-0.17100000000000001</v>
      </c>
      <c r="AW83" s="1043">
        <f t="shared" ref="AW83:CB83" si="121">+AW581</f>
        <v>-0.17699999999999999</v>
      </c>
      <c r="AX83" s="1043">
        <f t="shared" si="121"/>
        <v>-0.127</v>
      </c>
      <c r="AY83" s="1953">
        <f t="shared" si="121"/>
        <v>-0.16300000000000001</v>
      </c>
      <c r="AZ83" s="1043">
        <f t="shared" si="121"/>
        <v>-3.9E-2</v>
      </c>
      <c r="BA83" s="1043">
        <f t="shared" si="121"/>
        <v>3.1E-2</v>
      </c>
      <c r="BB83" s="1043">
        <f t="shared" si="121"/>
        <v>8.4000000000000005E-2</v>
      </c>
      <c r="BC83" s="1043">
        <f t="shared" si="121"/>
        <v>9.4E-2</v>
      </c>
      <c r="BD83" s="1953">
        <f t="shared" si="121"/>
        <v>4.5999999999999999E-2</v>
      </c>
      <c r="BE83" s="1043">
        <f t="shared" si="121"/>
        <v>8.8999999999999996E-2</v>
      </c>
      <c r="BF83" s="1043">
        <f t="shared" si="121"/>
        <v>9.4E-2</v>
      </c>
      <c r="BG83" s="1043">
        <f t="shared" si="121"/>
        <v>8.6999999999999994E-2</v>
      </c>
      <c r="BH83" s="1043">
        <f t="shared" si="121"/>
        <v>9.5000000000000001E-2</v>
      </c>
      <c r="BI83" s="1953">
        <f t="shared" si="121"/>
        <v>9.0999999999999998E-2</v>
      </c>
      <c r="BJ83" s="1043">
        <f t="shared" si="121"/>
        <v>0.1</v>
      </c>
      <c r="BK83" s="1043">
        <f t="shared" si="121"/>
        <v>8.4000000000000005E-2</v>
      </c>
      <c r="BL83" s="1043">
        <f t="shared" si="121"/>
        <v>6.3E-2</v>
      </c>
      <c r="BM83" s="1043">
        <f t="shared" si="121"/>
        <v>0.06</v>
      </c>
      <c r="BN83" s="1545">
        <f t="shared" si="121"/>
        <v>7.4999999999999997E-2</v>
      </c>
      <c r="BO83" s="1043">
        <f t="shared" si="121"/>
        <v>4.2999999999999997E-2</v>
      </c>
      <c r="BP83" s="1043">
        <f t="shared" si="121"/>
        <v>4.2999999999999997E-2</v>
      </c>
      <c r="BQ83" s="1043">
        <f t="shared" si="121"/>
        <v>0.05</v>
      </c>
      <c r="BR83" s="1043">
        <f t="shared" si="121"/>
        <v>3.2000000000000001E-2</v>
      </c>
      <c r="BS83" s="1545">
        <f t="shared" si="121"/>
        <v>4.2999999999999997E-2</v>
      </c>
      <c r="BT83" s="1043">
        <f t="shared" si="121"/>
        <v>5.1999999999999998E-2</v>
      </c>
      <c r="BU83" s="1043">
        <f t="shared" si="121"/>
        <v>7.2999999999999995E-2</v>
      </c>
      <c r="BV83" s="1043">
        <f t="shared" si="121"/>
        <v>7.9000000000000001E-2</v>
      </c>
      <c r="BW83" s="1043">
        <f t="shared" si="121"/>
        <v>8.1000000000000003E-2</v>
      </c>
      <c r="BX83" s="1545">
        <f t="shared" si="121"/>
        <v>7.2999999999999995E-2</v>
      </c>
      <c r="BY83" s="1043">
        <f t="shared" si="121"/>
        <v>8.2000000000000003E-2</v>
      </c>
      <c r="BZ83" s="1043">
        <f t="shared" si="121"/>
        <v>4.3999999999999997E-2</v>
      </c>
      <c r="CA83" s="1043">
        <f t="shared" si="121"/>
        <v>3.7999999999999999E-2</v>
      </c>
      <c r="CB83" s="1043">
        <f t="shared" si="121"/>
        <v>2.9000000000000001E-2</v>
      </c>
      <c r="CC83" s="2881">
        <f>+CC581</f>
        <v>4.7E-2</v>
      </c>
      <c r="CD83" s="1043">
        <f>+CD581</f>
        <v>5.0000000000000001E-3</v>
      </c>
      <c r="CE83" s="1043">
        <f>+CE581</f>
        <v>1.4E-2</v>
      </c>
      <c r="CF83" s="1043">
        <f>+CF581</f>
        <v>1.2E-2</v>
      </c>
      <c r="CG83" s="1043"/>
      <c r="CH83" s="1953"/>
      <c r="CI83" s="1546"/>
      <c r="CJ83" s="1546"/>
      <c r="CK83" s="1546"/>
      <c r="CL83" s="1546"/>
      <c r="CM83" s="1545"/>
      <c r="CN83" s="1546"/>
      <c r="CO83" s="1546"/>
      <c r="CP83" s="1546"/>
      <c r="CQ83" s="3035"/>
      <c r="CR83" s="3035"/>
      <c r="CS83" s="1545"/>
      <c r="CT83" s="1545"/>
      <c r="CV83" s="537"/>
      <c r="CW83" s="537"/>
      <c r="CX83" s="537"/>
      <c r="DA83" s="212"/>
      <c r="DB83" s="1226"/>
    </row>
    <row r="84" spans="1:106" s="207" customFormat="1" ht="12.75" customHeight="1" x14ac:dyDescent="0.2">
      <c r="A84" s="1434" t="s">
        <v>1391</v>
      </c>
      <c r="B84" s="275">
        <f>B190*B140</f>
        <v>0</v>
      </c>
      <c r="C84" s="275">
        <f>C190*C140</f>
        <v>0</v>
      </c>
      <c r="D84" s="275">
        <f>D190*D140</f>
        <v>0</v>
      </c>
      <c r="E84" s="630">
        <f>E190*E140</f>
        <v>0</v>
      </c>
      <c r="F84" s="1569">
        <f>+SUMPRODUCT(B84:E84,B$4:E$4)/F$4</f>
        <v>0</v>
      </c>
      <c r="G84" s="272">
        <f>G190*G140</f>
        <v>0</v>
      </c>
      <c r="H84" s="272">
        <f>H190*H140</f>
        <v>0</v>
      </c>
      <c r="I84" s="272">
        <f>I190*I140</f>
        <v>0</v>
      </c>
      <c r="J84" s="272">
        <f>J190*J140</f>
        <v>0</v>
      </c>
      <c r="K84" s="1569">
        <f>+SUMPRODUCT(G84:J84,G$4:J$4)/K$4</f>
        <v>0</v>
      </c>
      <c r="L84" s="272">
        <f>L190*L140</f>
        <v>43.806329999999996</v>
      </c>
      <c r="M84" s="272">
        <f>M190*M140</f>
        <v>45.172980000000003</v>
      </c>
      <c r="N84" s="272">
        <f>N190*N140</f>
        <v>47.710390000000004</v>
      </c>
      <c r="O84" s="272">
        <f>O190*O140</f>
        <v>46.08052</v>
      </c>
      <c r="P84" s="1569">
        <f>+SUMPRODUCT(L84:O84,L$4:O$4)/P$4</f>
        <v>45.726291086956515</v>
      </c>
      <c r="Q84" s="272">
        <f>Q190*Q140</f>
        <v>42.294000000000004</v>
      </c>
      <c r="R84" s="272">
        <f>R190*R140</f>
        <v>45.479309999999998</v>
      </c>
      <c r="S84" s="272">
        <f>S190*S140</f>
        <v>49.939819999999997</v>
      </c>
      <c r="T84" s="272">
        <f>T190*T140</f>
        <v>42.620699999999999</v>
      </c>
      <c r="U84" s="1569">
        <f>+SUMPRODUCT(Q84:T84,Q$4:T$4)/U$4</f>
        <v>44.887786356164384</v>
      </c>
      <c r="V84" s="272">
        <f>V190*V140</f>
        <v>44.914679999999997</v>
      </c>
      <c r="W84" s="272">
        <f>W190*W140</f>
        <v>50.076000000000001</v>
      </c>
      <c r="X84" s="272">
        <f>X190*X140</f>
        <v>52.751650000000005</v>
      </c>
      <c r="Y84" s="272">
        <f>Y190*Y140</f>
        <v>48.819820000000007</v>
      </c>
      <c r="Z84" s="1569">
        <f>+SUMPRODUCT(V84:Y84,V$4:Y$4)/Z$4</f>
        <v>49.092909617486335</v>
      </c>
      <c r="AA84" s="272">
        <f>AA190*AA140</f>
        <v>50.4313</v>
      </c>
      <c r="AB84" s="272">
        <f>AB190*AB140</f>
        <v>56.074200000000005</v>
      </c>
      <c r="AC84" s="272">
        <f>AC190*AC140</f>
        <v>58.257840000000002</v>
      </c>
      <c r="AD84" s="272">
        <f>AD190*AD140</f>
        <v>54.087560505207598</v>
      </c>
      <c r="AE84" s="1569">
        <f>+SUMPRODUCT(AA84:AD84,AA$4:AD$4)/AE$4</f>
        <v>54.663054512571122</v>
      </c>
      <c r="AF84" s="272">
        <f>AF190*AF140</f>
        <v>57.239857212709929</v>
      </c>
      <c r="AG84" s="272">
        <f>AG190*AG140</f>
        <v>60.100483506289926</v>
      </c>
      <c r="AH84" s="272">
        <f>AH190*AH140</f>
        <v>61.535954948305402</v>
      </c>
      <c r="AI84" s="272">
        <f>AI190*AI140</f>
        <v>57.672326959407386</v>
      </c>
      <c r="AJ84" s="1569">
        <f>+SUMPRODUCT(AF84:AI84,AF$4:AI$4)/AJ$4</f>
        <v>59.025664629818593</v>
      </c>
      <c r="AK84" s="272">
        <f>AK190*AK140</f>
        <v>60.362793642783068</v>
      </c>
      <c r="AL84" s="272">
        <f>AL190*AL140</f>
        <v>66.253460000000004</v>
      </c>
      <c r="AM84" s="272">
        <f>AM190*AM140</f>
        <v>68.603279999999998</v>
      </c>
      <c r="AN84" s="272">
        <f>AN190*AN140</f>
        <v>61.165799999999997</v>
      </c>
      <c r="AO84" s="1569">
        <f>+SUMPRODUCT(AK84:AN84,AK$4:AN$4)/AO$4</f>
        <v>63.873113825140095</v>
      </c>
      <c r="AP84" s="272">
        <f>AP190*AP140</f>
        <v>60.805410000000002</v>
      </c>
      <c r="AQ84" s="272">
        <f>AQ190*AQ140</f>
        <v>65.400300000000001</v>
      </c>
      <c r="AR84" s="272">
        <f>AR190*AR140</f>
        <v>67.380039999999994</v>
      </c>
      <c r="AS84" s="272">
        <f>AS190*AS140</f>
        <v>56.232780000000005</v>
      </c>
      <c r="AT84" s="1569">
        <f>+SUMPRODUCT(AP84:AS84,AP$4:AS$4)/AT$4</f>
        <v>61.898206666666674</v>
      </c>
      <c r="AU84" s="272">
        <f>AU190*AU140</f>
        <v>51.339459999999995</v>
      </c>
      <c r="AV84" s="272">
        <f>AV190*AV140</f>
        <v>53.414549999999998</v>
      </c>
      <c r="AW84" s="272">
        <f>AW190*AW140</f>
        <v>55.672679999999993</v>
      </c>
      <c r="AX84" s="272">
        <f>AX190*AX140</f>
        <v>46.242139999999999</v>
      </c>
      <c r="AY84" s="1569">
        <f>+SUMPRODUCT(AU84:AX84,AU$4:AX$4)/AY$4</f>
        <v>51.249894615384619</v>
      </c>
      <c r="AZ84" s="272">
        <f>AZ190*AZ140</f>
        <v>49.242289999999997</v>
      </c>
      <c r="BA84" s="272">
        <f>BA190*BA140</f>
        <v>56.846080000000001</v>
      </c>
      <c r="BB84" s="272">
        <f>BB190*BB140</f>
        <v>61.723560000000006</v>
      </c>
      <c r="BC84" s="272">
        <f>BC190*BC140</f>
        <v>52.893100000000004</v>
      </c>
      <c r="BD84" s="1569">
        <f>+SUMPRODUCT(AZ84:BC84,AZ$4:BC$4)/BD$4</f>
        <v>55.000630000000008</v>
      </c>
      <c r="BE84" s="272">
        <f>BE190*BE140</f>
        <v>54.469800000000006</v>
      </c>
      <c r="BF84" s="272">
        <f>BF190*BF140</f>
        <v>62.363459999999996</v>
      </c>
      <c r="BG84" s="272">
        <f>BG190*BG140</f>
        <v>66.27552</v>
      </c>
      <c r="BH84" s="272">
        <f>BH140*BH190</f>
        <v>57.821999999999996</v>
      </c>
      <c r="BI84" s="1569">
        <f>+SUMPRODUCT(BE84:BH84,BE$4:BH$4)/BI$4</f>
        <v>60.047256923076922</v>
      </c>
      <c r="BJ84" s="272">
        <f>BJ140*BJ190</f>
        <v>59.451300000000003</v>
      </c>
      <c r="BK84" s="272">
        <f>BK140*BK190</f>
        <v>67.53022</v>
      </c>
      <c r="BL84" s="272">
        <f>BL140*BL190</f>
        <v>70.583320000000001</v>
      </c>
      <c r="BM84" s="272">
        <f>BM140*BM190</f>
        <v>60.527460000000005</v>
      </c>
      <c r="BN84" s="1569">
        <f>+SUMPRODUCT(BJ84:BM84,BJ$4:BM$4)/BN$4</f>
        <v>64.215720000000005</v>
      </c>
      <c r="BO84" s="272">
        <f>BO140*BO190</f>
        <v>61.658190000000005</v>
      </c>
      <c r="BP84" s="272">
        <f>BP140*BP190</f>
        <v>69.638800000000003</v>
      </c>
      <c r="BQ84" s="272">
        <f>BQ140*BQ190</f>
        <v>71.155569999999997</v>
      </c>
      <c r="BR84" s="272">
        <f>BR140*BR190</f>
        <v>59.404240000000001</v>
      </c>
      <c r="BS84" s="1569">
        <f>+SUMPRODUCT(BO84:BR84,BO$4:BR$4)/BS$4</f>
        <v>65.463192923497274</v>
      </c>
      <c r="BT84" s="272">
        <f>BT140*BT190</f>
        <v>66.784649999999999</v>
      </c>
      <c r="BU84" s="272">
        <f>BU140*BU190</f>
        <v>77.206479999999999</v>
      </c>
      <c r="BV84" s="272">
        <f>BV140*BV190</f>
        <v>79.387110000000007</v>
      </c>
      <c r="BW84" s="272">
        <f>BW140*BW190</f>
        <v>66.42273999999999</v>
      </c>
      <c r="BX84" s="1569">
        <f>+SUMPRODUCT(BT84:BW84,BT$4:BW$4)/BX$4</f>
        <v>72.468258575342446</v>
      </c>
      <c r="BY84" s="272">
        <f>BY140*BY190</f>
        <v>71.587729999999993</v>
      </c>
      <c r="BZ84" s="272">
        <f>BZ140*BZ190</f>
        <v>81.417310000000001</v>
      </c>
      <c r="CA84" s="272">
        <f>CA140*CA190</f>
        <v>83.07978</v>
      </c>
      <c r="CB84" s="272">
        <f>CB140*CB190</f>
        <v>68.542599999999993</v>
      </c>
      <c r="CC84" s="1569">
        <f>+SUMPRODUCT(BY84:CB84,BY$4:CB$4)/CC$4</f>
        <v>76.1674790958904</v>
      </c>
      <c r="CD84" s="272">
        <f>CD140*CD190</f>
        <v>73.129649999999998</v>
      </c>
      <c r="CE84" s="272">
        <f>CE140*CE190</f>
        <v>85.023960000000017</v>
      </c>
      <c r="CF84" s="272">
        <f>CF140*CF190</f>
        <v>86.440350000000009</v>
      </c>
      <c r="CG84" s="272"/>
      <c r="CH84" s="1569"/>
      <c r="CI84" s="272"/>
      <c r="CJ84" s="272"/>
      <c r="CK84" s="272"/>
      <c r="CL84" s="272"/>
      <c r="CM84" s="1569"/>
      <c r="CN84" s="272"/>
      <c r="CO84" s="272"/>
      <c r="CP84" s="272"/>
      <c r="CQ84" s="630"/>
      <c r="CR84" s="630"/>
      <c r="CS84" s="235"/>
      <c r="CT84" s="235"/>
      <c r="CV84" s="537"/>
      <c r="CW84" s="537"/>
      <c r="CX84" s="537"/>
      <c r="DA84" s="212"/>
      <c r="DB84" s="1226"/>
    </row>
    <row r="85" spans="1:106" s="207" customFormat="1" ht="12.75" customHeight="1" x14ac:dyDescent="0.2">
      <c r="A85" s="1595" t="s">
        <v>652</v>
      </c>
      <c r="B85" s="885"/>
      <c r="C85" s="885"/>
      <c r="D85" s="885"/>
      <c r="E85" s="885"/>
      <c r="F85" s="1044"/>
      <c r="G85" s="885"/>
      <c r="H85" s="885"/>
      <c r="I85" s="885"/>
      <c r="J85" s="885"/>
      <c r="K85" s="1044"/>
      <c r="L85" s="885"/>
      <c r="M85" s="885"/>
      <c r="N85" s="885"/>
      <c r="O85" s="885"/>
      <c r="P85" s="1044"/>
      <c r="Q85" s="885">
        <f>Q84/L84-1</f>
        <v>-3.4523092895478613E-2</v>
      </c>
      <c r="R85" s="885">
        <f>R84/M84-1</f>
        <v>6.781266146266951E-3</v>
      </c>
      <c r="S85" s="885">
        <f>S84/N84-1</f>
        <v>4.6728396057965416E-2</v>
      </c>
      <c r="T85" s="885">
        <f>T84/O84-1</f>
        <v>-7.5082052025454593E-2</v>
      </c>
      <c r="U85" s="1044">
        <f>+U84/P84-1</f>
        <v>-1.8337475243674795E-2</v>
      </c>
      <c r="V85" s="885">
        <f>V84/Q84-1</f>
        <v>6.1963399063696745E-2</v>
      </c>
      <c r="W85" s="885">
        <f>W84/R84-1</f>
        <v>0.10107211389091009</v>
      </c>
      <c r="X85" s="885">
        <f>X84/S84-1</f>
        <v>5.6304367937249467E-2</v>
      </c>
      <c r="Y85" s="885">
        <f>Y84/T84-1</f>
        <v>0.14544857311118786</v>
      </c>
      <c r="Z85" s="1044">
        <f>+Z84/U84-1</f>
        <v>9.3680789423568056E-2</v>
      </c>
      <c r="AA85" s="885">
        <f>AA84/V84-1</f>
        <v>0.12282443067611748</v>
      </c>
      <c r="AB85" s="885">
        <f>AB84/W84-1</f>
        <v>0.1197819314641746</v>
      </c>
      <c r="AC85" s="885">
        <f>AC84/X84-1</f>
        <v>0.10437948386448559</v>
      </c>
      <c r="AD85" s="885">
        <f>AD84/Y84-1</f>
        <v>0.10790167815464269</v>
      </c>
      <c r="AE85" s="1044">
        <f>+AE84/Z84-1</f>
        <v>0.11346129081542089</v>
      </c>
      <c r="AF85" s="885">
        <f>AF84/AA84-1</f>
        <v>0.13500657751654099</v>
      </c>
      <c r="AG85" s="885">
        <f>AG84/AB84-1</f>
        <v>7.1802781070259059E-2</v>
      </c>
      <c r="AH85" s="885">
        <f>AH84/AC84-1</f>
        <v>5.626907808983983E-2</v>
      </c>
      <c r="AI85" s="885">
        <f>AI84/AD84-1</f>
        <v>6.627709626235867E-2</v>
      </c>
      <c r="AJ85" s="1044">
        <f>+AJ84/AE84-1</f>
        <v>7.980911707457139E-2</v>
      </c>
      <c r="AK85" s="885">
        <f>AK84/AF84-1</f>
        <v>5.4558773940821537E-2</v>
      </c>
      <c r="AL85" s="885">
        <f>AL84/AG84-1</f>
        <v>0.10237815296554365</v>
      </c>
      <c r="AM85" s="885">
        <f>AM84/AH84-1</f>
        <v>0.11484871011803843</v>
      </c>
      <c r="AN85" s="885">
        <f>AN84/AI84-1</f>
        <v>6.0574511637990325E-2</v>
      </c>
      <c r="AO85" s="1044">
        <f>+AO84/AJ84-1</f>
        <v>8.2124432240152423E-2</v>
      </c>
      <c r="AP85" s="885">
        <f>AP84/AK84-1</f>
        <v>7.3326022621860165E-3</v>
      </c>
      <c r="AQ85" s="885">
        <f>AQ84/AL84-1</f>
        <v>-1.2877214261715619E-2</v>
      </c>
      <c r="AR85" s="885">
        <f>AR84/AM84-1</f>
        <v>-1.7830634337017148E-2</v>
      </c>
      <c r="AS85" s="885">
        <f>AS84/AN84-1</f>
        <v>-8.0649971062260128E-2</v>
      </c>
      <c r="AT85" s="1044">
        <f>+AT84/AO84-1</f>
        <v>-3.0919224697263936E-2</v>
      </c>
      <c r="AU85" s="885">
        <f>AU84/AP84-1</f>
        <v>-0.1556761150035828</v>
      </c>
      <c r="AV85" s="885">
        <f>AV84/AQ84-1</f>
        <v>-0.18326750794721125</v>
      </c>
      <c r="AW85" s="885">
        <f>AW84/AR84-1</f>
        <v>-0.17375115835490751</v>
      </c>
      <c r="AX85" s="885">
        <f>AX84/AS84-1</f>
        <v>-0.17766576719130733</v>
      </c>
      <c r="AY85" s="1044">
        <f>+AY84/AT84-1</f>
        <v>-0.1720294112659061</v>
      </c>
      <c r="AZ85" s="885">
        <f>AZ84/AU84-1</f>
        <v>-4.0849085674060426E-2</v>
      </c>
      <c r="BA85" s="885">
        <f>BA84/AV84-1</f>
        <v>6.4243356913050942E-2</v>
      </c>
      <c r="BB85" s="885">
        <f>BB84/AW84-1</f>
        <v>0.1086867023466449</v>
      </c>
      <c r="BC85" s="885">
        <f>BC84/AX84-1</f>
        <v>0.14382898369322894</v>
      </c>
      <c r="BD85" s="1044">
        <f>+BD84/AY84-1</f>
        <v>7.3185231165128428E-2</v>
      </c>
      <c r="BE85" s="885">
        <f>BE84/AZ84-1</f>
        <v>0.10615895402102571</v>
      </c>
      <c r="BF85" s="885">
        <f>BF84/BA84-1</f>
        <v>9.7058231631802938E-2</v>
      </c>
      <c r="BG85" s="885">
        <f>BG84/BB84-1</f>
        <v>7.3747528496411974E-2</v>
      </c>
      <c r="BH85" s="885">
        <f>BH84/BC84-1</f>
        <v>9.3186067747967005E-2</v>
      </c>
      <c r="BI85" s="1044">
        <f>+BI84/BD84-1</f>
        <v>9.1755802125846886E-2</v>
      </c>
      <c r="BJ85" s="885">
        <f>BJ84/BE84-1</f>
        <v>9.1454347179537931E-2</v>
      </c>
      <c r="BK85" s="885">
        <f>BK84/BF84-1</f>
        <v>8.2849155579244771E-2</v>
      </c>
      <c r="BL85" s="885">
        <f>BL84/BG84-1</f>
        <v>6.4998358368218101E-2</v>
      </c>
      <c r="BM85" s="885">
        <f>BM84/BH84-1</f>
        <v>4.6789457299989845E-2</v>
      </c>
      <c r="BN85" s="1044">
        <f>+BN84/BI84-1</f>
        <v>6.9419708584907758E-2</v>
      </c>
      <c r="BO85" s="885">
        <f>BO84/BJ84-1</f>
        <v>3.7120971282377457E-2</v>
      </c>
      <c r="BP85" s="885">
        <f>BP84/BK84-1</f>
        <v>3.1224243012980102E-2</v>
      </c>
      <c r="BQ85" s="885">
        <f>BQ84/BL84-1</f>
        <v>8.1074395480404959E-3</v>
      </c>
      <c r="BR85" s="885">
        <f>BR84/BM84-1</f>
        <v>-1.8557197014379967E-2</v>
      </c>
      <c r="BS85" s="1044">
        <f>+BS84/BN84-1</f>
        <v>1.9426285705389068E-2</v>
      </c>
      <c r="BT85" s="885">
        <f>BT84/BO84-1</f>
        <v>8.314321260484614E-2</v>
      </c>
      <c r="BU85" s="885">
        <f>BU84/BP84-1</f>
        <v>0.10867045382746388</v>
      </c>
      <c r="BV85" s="885">
        <f>BV84/BQ84-1</f>
        <v>0.11568370543585016</v>
      </c>
      <c r="BW85" s="885">
        <f>BW84/BR84-1</f>
        <v>0.11814813218719733</v>
      </c>
      <c r="BX85" s="1044">
        <f>+BX84/BS84-1</f>
        <v>0.10700769912081065</v>
      </c>
      <c r="BY85" s="885">
        <f>BY84/BT84-1</f>
        <v>7.1918921488695275E-2</v>
      </c>
      <c r="BZ85" s="885">
        <f>BZ84/BU84-1</f>
        <v>5.4539852095316421E-2</v>
      </c>
      <c r="CA85" s="885">
        <f>CA84/BV84-1</f>
        <v>4.651473016211316E-2</v>
      </c>
      <c r="CB85" s="885">
        <f>CB84/BW84-1</f>
        <v>3.1914672595559912E-2</v>
      </c>
      <c r="CC85" s="1044">
        <f>+CC84/BX84-1</f>
        <v>5.1046079942738132E-2</v>
      </c>
      <c r="CD85" s="885">
        <f>CD84/BY84-1</f>
        <v>2.1538886622051168E-2</v>
      </c>
      <c r="CE85" s="885">
        <f>CE84/BZ84-1</f>
        <v>4.4298319362307881E-2</v>
      </c>
      <c r="CF85" s="885">
        <f>CF84/CA84-1</f>
        <v>4.0449914527939335E-2</v>
      </c>
      <c r="CG85" s="885"/>
      <c r="CH85" s="1044"/>
      <c r="CI85" s="885"/>
      <c r="CJ85" s="885"/>
      <c r="CK85" s="885"/>
      <c r="CL85" s="885"/>
      <c r="CM85" s="1044"/>
      <c r="CN85" s="885"/>
      <c r="CO85" s="885"/>
      <c r="CP85" s="885"/>
      <c r="CQ85" s="1640"/>
      <c r="CR85" s="1640"/>
      <c r="CS85" s="1640"/>
      <c r="CT85" s="1640"/>
      <c r="CV85" s="781"/>
      <c r="CW85" s="781"/>
      <c r="CX85" s="781"/>
      <c r="DA85" s="212"/>
      <c r="DB85" s="1226"/>
    </row>
    <row r="86" spans="1:106" s="207" customFormat="1" ht="12.75" customHeight="1" x14ac:dyDescent="0.2">
      <c r="A86" s="1595" t="s">
        <v>359</v>
      </c>
      <c r="B86" s="1924" t="s">
        <v>673</v>
      </c>
      <c r="C86" s="1924" t="s">
        <v>673</v>
      </c>
      <c r="D86" s="1924" t="s">
        <v>673</v>
      </c>
      <c r="E86" s="1924" t="s">
        <v>673</v>
      </c>
      <c r="F86" s="1890" t="s">
        <v>673</v>
      </c>
      <c r="G86" s="1924" t="s">
        <v>673</v>
      </c>
      <c r="H86" s="1924" t="s">
        <v>673</v>
      </c>
      <c r="I86" s="1924" t="s">
        <v>673</v>
      </c>
      <c r="J86" s="1924" t="s">
        <v>673</v>
      </c>
      <c r="K86" s="1890" t="s">
        <v>673</v>
      </c>
      <c r="L86" s="1924" t="s">
        <v>673</v>
      </c>
      <c r="M86" s="1924" t="s">
        <v>673</v>
      </c>
      <c r="N86" s="1924" t="s">
        <v>673</v>
      </c>
      <c r="O86" s="1924" t="s">
        <v>673</v>
      </c>
      <c r="P86" s="1890" t="s">
        <v>673</v>
      </c>
      <c r="Q86" s="1043">
        <f t="shared" ref="Q86:AV86" si="122">+Q586</f>
        <v>-1.2E-2</v>
      </c>
      <c r="R86" s="1043">
        <f t="shared" si="122"/>
        <v>-1.6E-2</v>
      </c>
      <c r="S86" s="1043">
        <f t="shared" si="122"/>
        <v>-8.9999999999999993E-3</v>
      </c>
      <c r="T86" s="1043">
        <f t="shared" si="122"/>
        <v>2.3E-2</v>
      </c>
      <c r="U86" s="1953">
        <f t="shared" si="122"/>
        <v>-1E-3</v>
      </c>
      <c r="V86" s="1043">
        <f t="shared" si="122"/>
        <v>6.6000000000000003E-2</v>
      </c>
      <c r="W86" s="1043">
        <f t="shared" si="122"/>
        <v>0.1</v>
      </c>
      <c r="X86" s="1043">
        <f t="shared" si="122"/>
        <v>5.8999999999999997E-2</v>
      </c>
      <c r="Y86" s="1043">
        <f t="shared" si="122"/>
        <v>0.125</v>
      </c>
      <c r="Z86" s="1953">
        <f t="shared" si="122"/>
        <v>0.09</v>
      </c>
      <c r="AA86" s="1043">
        <f t="shared" si="122"/>
        <v>0.11700000000000001</v>
      </c>
      <c r="AB86" s="1043">
        <f t="shared" si="122"/>
        <v>0.104</v>
      </c>
      <c r="AC86" s="1043">
        <f t="shared" si="122"/>
        <v>9.2999999999999999E-2</v>
      </c>
      <c r="AD86" s="1043">
        <f t="shared" si="122"/>
        <v>0.11799999999999999</v>
      </c>
      <c r="AE86" s="1953">
        <f t="shared" si="122"/>
        <v>0.108</v>
      </c>
      <c r="AF86" s="1043">
        <f t="shared" si="122"/>
        <v>0.13</v>
      </c>
      <c r="AG86" s="1043">
        <f t="shared" si="122"/>
        <v>0.122</v>
      </c>
      <c r="AH86" s="1043">
        <f t="shared" si="122"/>
        <v>9.9000000000000005E-2</v>
      </c>
      <c r="AI86" s="1043">
        <f t="shared" si="122"/>
        <v>6.4000000000000001E-2</v>
      </c>
      <c r="AJ86" s="1953">
        <f t="shared" si="122"/>
        <v>9.9000000000000005E-2</v>
      </c>
      <c r="AK86" s="1043">
        <f t="shared" si="122"/>
        <v>4.9000000000000002E-2</v>
      </c>
      <c r="AL86" s="1043">
        <f t="shared" si="122"/>
        <v>4.2999999999999997E-2</v>
      </c>
      <c r="AM86" s="1043">
        <f t="shared" si="122"/>
        <v>5.6000000000000001E-2</v>
      </c>
      <c r="AN86" s="1043">
        <f t="shared" si="122"/>
        <v>4.9000000000000002E-2</v>
      </c>
      <c r="AO86" s="1953">
        <f t="shared" si="122"/>
        <v>0.05</v>
      </c>
      <c r="AP86" s="1043">
        <f t="shared" si="122"/>
        <v>4.0000000000000001E-3</v>
      </c>
      <c r="AQ86" s="1043">
        <f t="shared" si="122"/>
        <v>-1.7999999999999999E-2</v>
      </c>
      <c r="AR86" s="1043">
        <f t="shared" si="122"/>
        <v>-2.1000000000000001E-2</v>
      </c>
      <c r="AS86" s="1043">
        <f t="shared" si="122"/>
        <v>-8.1000000000000003E-2</v>
      </c>
      <c r="AT86" s="1953">
        <f t="shared" si="122"/>
        <v>-3.4000000000000002E-2</v>
      </c>
      <c r="AU86" s="1043">
        <f t="shared" si="122"/>
        <v>-0.14599999999999999</v>
      </c>
      <c r="AV86" s="1043">
        <f t="shared" si="122"/>
        <v>-0.18</v>
      </c>
      <c r="AW86" s="1043">
        <f t="shared" ref="AW86:BN86" si="123">+AW586</f>
        <v>-0.17599999999999999</v>
      </c>
      <c r="AX86" s="1043">
        <f t="shared" si="123"/>
        <v>-0.17</v>
      </c>
      <c r="AY86" s="1953">
        <f t="shared" si="123"/>
        <v>-0.17699999999999999</v>
      </c>
      <c r="AZ86" s="1043">
        <f t="shared" si="123"/>
        <v>-4.4999999999999998E-2</v>
      </c>
      <c r="BA86" s="1043">
        <f t="shared" si="123"/>
        <v>4.4999999999999998E-2</v>
      </c>
      <c r="BB86" s="1043">
        <f t="shared" si="123"/>
        <v>8.5999999999999993E-2</v>
      </c>
      <c r="BC86" s="1043">
        <f t="shared" si="123"/>
        <v>0.121</v>
      </c>
      <c r="BD86" s="1953">
        <f t="shared" si="123"/>
        <v>5.6000000000000001E-2</v>
      </c>
      <c r="BE86" s="1043">
        <f t="shared" si="123"/>
        <v>0.112</v>
      </c>
      <c r="BF86" s="1043">
        <f t="shared" si="123"/>
        <v>0.10100000000000001</v>
      </c>
      <c r="BG86" s="1043">
        <f t="shared" si="123"/>
        <v>0.08</v>
      </c>
      <c r="BH86" s="1043">
        <f t="shared" si="123"/>
        <v>8.8999999999999996E-2</v>
      </c>
      <c r="BI86" s="1953">
        <f t="shared" si="123"/>
        <v>9.2999999999999999E-2</v>
      </c>
      <c r="BJ86" s="1043">
        <f t="shared" si="123"/>
        <v>8.6999999999999994E-2</v>
      </c>
      <c r="BK86" s="1043">
        <f t="shared" si="123"/>
        <v>7.2999999999999995E-2</v>
      </c>
      <c r="BL86" s="1043">
        <f t="shared" si="123"/>
        <v>4.9000000000000002E-2</v>
      </c>
      <c r="BM86" s="1043">
        <f t="shared" si="123"/>
        <v>3.7999999999999999E-2</v>
      </c>
      <c r="BN86" s="1545">
        <f t="shared" si="123"/>
        <v>5.8999999999999997E-2</v>
      </c>
      <c r="BO86" s="1043">
        <f t="shared" ref="BO86:BU86" si="124">+BO586</f>
        <v>1.4E-2</v>
      </c>
      <c r="BP86" s="1043">
        <f t="shared" si="124"/>
        <v>1.4E-2</v>
      </c>
      <c r="BQ86" s="1043">
        <f t="shared" si="124"/>
        <v>2.1000000000000001E-2</v>
      </c>
      <c r="BR86" s="1043">
        <f t="shared" si="124"/>
        <v>2.1000000000000001E-2</v>
      </c>
      <c r="BS86" s="1545">
        <f t="shared" si="124"/>
        <v>1.7999999999999999E-2</v>
      </c>
      <c r="BT86" s="1043">
        <f t="shared" si="124"/>
        <v>8.2000000000000003E-2</v>
      </c>
      <c r="BU86" s="1043">
        <f t="shared" si="124"/>
        <v>0.10299999999999999</v>
      </c>
      <c r="BV86" s="1043">
        <f t="shared" ref="BV86:CC86" si="125">+BV586</f>
        <v>0.107</v>
      </c>
      <c r="BW86" s="1043">
        <f t="shared" si="125"/>
        <v>0.105</v>
      </c>
      <c r="BX86" s="1545">
        <f t="shared" si="125"/>
        <v>9.9000000000000005E-2</v>
      </c>
      <c r="BY86" s="1043">
        <f t="shared" si="125"/>
        <v>8.4000000000000005E-2</v>
      </c>
      <c r="BZ86" s="1043">
        <f t="shared" si="125"/>
        <v>5.1999999999999998E-2</v>
      </c>
      <c r="CA86" s="1043">
        <f t="shared" si="125"/>
        <v>0.04</v>
      </c>
      <c r="CB86" s="1043">
        <f t="shared" si="125"/>
        <v>2.5000000000000001E-2</v>
      </c>
      <c r="CC86" s="2881">
        <f t="shared" si="125"/>
        <v>0.05</v>
      </c>
      <c r="CD86" s="1043">
        <f>+CD586</f>
        <v>2.1999999999999999E-2</v>
      </c>
      <c r="CE86" s="1043">
        <f>+CE586</f>
        <v>4.3999999999999997E-2</v>
      </c>
      <c r="CF86" s="1043">
        <f>+CF586</f>
        <v>2.7E-2</v>
      </c>
      <c r="CG86" s="1043"/>
      <c r="CH86" s="1953"/>
      <c r="CI86" s="1546"/>
      <c r="CJ86" s="1546"/>
      <c r="CK86" s="1546"/>
      <c r="CL86" s="1546"/>
      <c r="CM86" s="1545"/>
      <c r="CN86" s="1546"/>
      <c r="CO86" s="1546"/>
      <c r="CP86" s="1546"/>
      <c r="CQ86" s="3035"/>
      <c r="CR86" s="3035"/>
      <c r="CS86" s="1545"/>
      <c r="CT86" s="1545"/>
      <c r="CV86" s="537"/>
      <c r="CW86" s="537"/>
      <c r="CX86" s="537"/>
      <c r="DA86" s="212"/>
      <c r="DB86" s="1226"/>
    </row>
    <row r="87" spans="1:106" s="207" customFormat="1" ht="12.75" customHeight="1" x14ac:dyDescent="0.2">
      <c r="A87" s="1434" t="s">
        <v>1390</v>
      </c>
      <c r="B87" s="275">
        <f>B193*B143</f>
        <v>0</v>
      </c>
      <c r="C87" s="275">
        <f>C193*C143</f>
        <v>0</v>
      </c>
      <c r="D87" s="275">
        <f>D193*D143</f>
        <v>0</v>
      </c>
      <c r="E87" s="275">
        <f>E193*E143</f>
        <v>0</v>
      </c>
      <c r="F87" s="1569">
        <f>+SUMPRODUCT(B87:E87,B$4:E$4)/F$4</f>
        <v>0</v>
      </c>
      <c r="G87" s="272">
        <f>G193*G143</f>
        <v>0</v>
      </c>
      <c r="H87" s="272">
        <f>H193*H143</f>
        <v>0</v>
      </c>
      <c r="I87" s="272">
        <f>I193*I143</f>
        <v>0</v>
      </c>
      <c r="J87" s="272">
        <f>J193*J143</f>
        <v>0</v>
      </c>
      <c r="K87" s="1569">
        <f>+SUMPRODUCT(G87:J87,G$4:J$4)/K$4</f>
        <v>0</v>
      </c>
      <c r="L87" s="272">
        <f>L193*L143</f>
        <v>54.105840000000008</v>
      </c>
      <c r="M87" s="272">
        <f>M193*M143</f>
        <v>52.321920000000006</v>
      </c>
      <c r="N87" s="272">
        <f>N193*N143</f>
        <v>54.065960000000004</v>
      </c>
      <c r="O87" s="272">
        <f>O193*O143</f>
        <v>52.733759999999997</v>
      </c>
      <c r="P87" s="1569">
        <f>+SUMPRODUCT(L87:O87,L$4:O$4)/P$4</f>
        <v>53.257034347826092</v>
      </c>
      <c r="Q87" s="272">
        <f>Q193*Q143</f>
        <v>54.18036</v>
      </c>
      <c r="R87" s="272">
        <f>R193*R143</f>
        <v>57.029399999999995</v>
      </c>
      <c r="S87" s="272">
        <f>S193*S143</f>
        <v>58.313609999999997</v>
      </c>
      <c r="T87" s="272">
        <f>T193*T143</f>
        <v>51.3782</v>
      </c>
      <c r="U87" s="1569">
        <f>+SUMPRODUCT(Q87:T87,Q$4:T$4)/U$4</f>
        <v>54.919725150684926</v>
      </c>
      <c r="V87" s="272">
        <f>V193*V143</f>
        <v>56.886620000000008</v>
      </c>
      <c r="W87" s="272">
        <f>W193*W143</f>
        <v>62.733059999999995</v>
      </c>
      <c r="X87" s="272">
        <f>X193*X143</f>
        <v>64.426320000000004</v>
      </c>
      <c r="Y87" s="272">
        <f>Y193*Y143</f>
        <v>60.038549999999994</v>
      </c>
      <c r="Z87" s="1569">
        <f>+SUMPRODUCT(V87:Y87,V$4:Y$4)/Z$4</f>
        <v>60.923373879781415</v>
      </c>
      <c r="AA87" s="272">
        <f>AA193*AA143</f>
        <v>62.980919999999998</v>
      </c>
      <c r="AB87" s="272">
        <f>AB193*AB143</f>
        <v>70.034770000000009</v>
      </c>
      <c r="AC87" s="272">
        <f>AC193*AC143</f>
        <v>70.347200000000001</v>
      </c>
      <c r="AD87" s="272">
        <f>AD193*AD143</f>
        <v>65.659317195767201</v>
      </c>
      <c r="AE87" s="1569">
        <f>+SUMPRODUCT(AA87:AD87,AA$4:AD$4)/AE$4</f>
        <v>67.128727679785456</v>
      </c>
      <c r="AF87" s="272">
        <f>AF193*AF143</f>
        <v>69.213220873541985</v>
      </c>
      <c r="AG87" s="272">
        <f>AG193*AG143</f>
        <v>73.332079938918028</v>
      </c>
      <c r="AH87" s="272">
        <f>AH193*AH143</f>
        <v>74.552138815866087</v>
      </c>
      <c r="AI87" s="272">
        <f>AI193*AI143</f>
        <v>70.01234711675103</v>
      </c>
      <c r="AJ87" s="1569">
        <f>+SUMPRODUCT(AF87:AI87,AF$4:AI$4)/AJ$4</f>
        <v>71.643865198073399</v>
      </c>
      <c r="AK87" s="272">
        <f>AK193*AK143</f>
        <v>73.318976778616772</v>
      </c>
      <c r="AL87" s="272">
        <f>AL193*AL143</f>
        <v>83.224469999999997</v>
      </c>
      <c r="AM87" s="272">
        <f>AM193*AM143</f>
        <v>82.429000000000002</v>
      </c>
      <c r="AN87" s="272">
        <f>AN193*AN143</f>
        <v>74.247779999999992</v>
      </c>
      <c r="AO87" s="1569">
        <f>+SUMPRODUCT(AK87:AN87,AK$4:AN$4)/AO$4</f>
        <v>77.995510144574709</v>
      </c>
      <c r="AP87" s="272">
        <f>AP193*AP143</f>
        <v>75.190080000000009</v>
      </c>
      <c r="AQ87" s="272">
        <f>AQ193*AQ143</f>
        <v>81.585599999999999</v>
      </c>
      <c r="AR87" s="272">
        <f>AR193*AR143</f>
        <v>79.319519999999997</v>
      </c>
      <c r="AS87" s="272">
        <f>AS193*AS143</f>
        <v>66.638080000000002</v>
      </c>
      <c r="AT87" s="1569">
        <f>+SUMPRODUCT(AP87:AS87,AP$4:AS$4)/AT$4</f>
        <v>74.874396097560975</v>
      </c>
      <c r="AU87" s="272">
        <f>AU193*AU143</f>
        <v>62.302079999999997</v>
      </c>
      <c r="AV87" s="272">
        <f>AV193*AV143</f>
        <v>65.68995000000001</v>
      </c>
      <c r="AW87" s="272">
        <f>AW193*AW143</f>
        <v>65.541930000000008</v>
      </c>
      <c r="AX87" s="272">
        <f>AX193*AX143</f>
        <v>56.359909999999999</v>
      </c>
      <c r="AY87" s="1569">
        <f>+SUMPRODUCT(AU87:AX87,AU$4:AX$4)/AY$4</f>
        <v>62.003193846153849</v>
      </c>
      <c r="AZ87" s="272">
        <f>AZ193*AZ143</f>
        <v>58.992049999999999</v>
      </c>
      <c r="BA87" s="272">
        <f>BA193*BA143</f>
        <v>67.973669999999998</v>
      </c>
      <c r="BB87" s="272">
        <f>BB193*BB143</f>
        <v>69.583359999999999</v>
      </c>
      <c r="BC87" s="272">
        <f>BC193*BC143</f>
        <v>60.495240000000003</v>
      </c>
      <c r="BD87" s="1569">
        <f>+SUMPRODUCT(AZ87:BC87,AZ$4:BC$4)/BD$4</f>
        <v>63.971399999999996</v>
      </c>
      <c r="BE87" s="272">
        <f>BE193*BE143</f>
        <v>62.703240000000001</v>
      </c>
      <c r="BF87" s="272">
        <f>BF193*BF143</f>
        <v>71.635469999999998</v>
      </c>
      <c r="BG87" s="272">
        <f>BG193*BG143</f>
        <v>74.277839999999998</v>
      </c>
      <c r="BH87" s="272">
        <f>BH143*BH193</f>
        <v>64.320999999999998</v>
      </c>
      <c r="BI87" s="1569">
        <f>+SUMPRODUCT(BE87:BH87,BE$4:BH$4)/BI$4</f>
        <v>67.933357692307695</v>
      </c>
      <c r="BJ87" s="272">
        <f>BJ143*BJ193</f>
        <v>67.056780000000003</v>
      </c>
      <c r="BK87" s="272">
        <f>BK143*BK193</f>
        <v>78.285679999999999</v>
      </c>
      <c r="BL87" s="272">
        <f>BL143*BL193</f>
        <v>80.203530000000001</v>
      </c>
      <c r="BM87" s="272">
        <f>BM143*BM193</f>
        <v>70.034820000000011</v>
      </c>
      <c r="BN87" s="1569">
        <f>+SUMPRODUCT(BJ87:BM87,BJ$4:BM$4)/BN$4</f>
        <v>73.598250000000007</v>
      </c>
      <c r="BO87" s="272">
        <f>BO143*BO193</f>
        <v>72.001160000000013</v>
      </c>
      <c r="BP87" s="272">
        <f>BP143*BP193</f>
        <v>84.197810000000004</v>
      </c>
      <c r="BQ87" s="272">
        <f>BQ143*BQ193</f>
        <v>82.806899999999999</v>
      </c>
      <c r="BR87" s="272">
        <f>BR143*BR193</f>
        <v>71.178120000000007</v>
      </c>
      <c r="BS87" s="1569">
        <f>+SUMPRODUCT(BO87:BR87,BO$4:BR$4)/BS$4</f>
        <v>77.542972978142089</v>
      </c>
      <c r="BT87" s="272">
        <f>BT143*BT193</f>
        <v>76.992559999999997</v>
      </c>
      <c r="BU87" s="272">
        <f>BU143*BU193</f>
        <v>89.914439999999999</v>
      </c>
      <c r="BV87" s="272">
        <f>BV143*BV193</f>
        <v>89.910539999999997</v>
      </c>
      <c r="BW87" s="272">
        <f>BW143*BW193</f>
        <v>77.083950000000002</v>
      </c>
      <c r="BX87" s="1569">
        <f>+SUMPRODUCT(BT87:BW87,BT$4:BW$4)/BX$4</f>
        <v>83.493253479452051</v>
      </c>
      <c r="BY87" s="272">
        <f>BY143*BY193</f>
        <v>83.028849999999991</v>
      </c>
      <c r="BZ87" s="272">
        <f>BZ143*BZ193</f>
        <v>95.470970000000008</v>
      </c>
      <c r="CA87" s="272">
        <f>CA143*CA193</f>
        <v>95.84772000000001</v>
      </c>
      <c r="CB87" s="272">
        <f>CB143*CB193</f>
        <v>80.706559999999996</v>
      </c>
      <c r="CC87" s="1569">
        <f>+SUMPRODUCT(BY87:CB87,BY$4:CB$4)/CC$4</f>
        <v>88.776571315068495</v>
      </c>
      <c r="CD87" s="272">
        <f>CD143*CD193</f>
        <v>83.775149999999996</v>
      </c>
      <c r="CE87" s="272">
        <f>CE143*CE193</f>
        <v>98.89800000000001</v>
      </c>
      <c r="CF87" s="272">
        <f>CF143*CF193</f>
        <v>97.691940000000002</v>
      </c>
      <c r="CG87" s="272"/>
      <c r="CH87" s="1569"/>
      <c r="CI87" s="272"/>
      <c r="CJ87" s="272"/>
      <c r="CK87" s="272"/>
      <c r="CL87" s="272"/>
      <c r="CM87" s="1569"/>
      <c r="CN87" s="272"/>
      <c r="CO87" s="272"/>
      <c r="CP87" s="272"/>
      <c r="CQ87" s="630"/>
      <c r="CR87" s="630"/>
      <c r="CS87" s="235"/>
      <c r="CT87" s="235"/>
      <c r="CV87" s="537"/>
      <c r="CW87" s="537"/>
      <c r="CX87" s="537"/>
      <c r="DA87" s="212"/>
      <c r="DB87" s="1226"/>
    </row>
    <row r="88" spans="1:106" s="207" customFormat="1" ht="12.75" customHeight="1" x14ac:dyDescent="0.2">
      <c r="A88" s="1595" t="s">
        <v>652</v>
      </c>
      <c r="B88" s="885"/>
      <c r="C88" s="885"/>
      <c r="D88" s="885"/>
      <c r="E88" s="885"/>
      <c r="F88" s="1044"/>
      <c r="G88" s="885"/>
      <c r="H88" s="885"/>
      <c r="I88" s="885"/>
      <c r="J88" s="885"/>
      <c r="K88" s="1044"/>
      <c r="L88" s="885"/>
      <c r="M88" s="885"/>
      <c r="N88" s="885"/>
      <c r="O88" s="885"/>
      <c r="P88" s="1044"/>
      <c r="Q88" s="885">
        <f>Q87/L87-1</f>
        <v>1.3773004910373476E-3</v>
      </c>
      <c r="R88" s="885">
        <f>R87/M87-1</f>
        <v>8.9971468936919541E-2</v>
      </c>
      <c r="S88" s="885">
        <f>S87/N87-1</f>
        <v>7.8564220444804711E-2</v>
      </c>
      <c r="T88" s="885">
        <f>T87/O87-1</f>
        <v>-2.5705733860054703E-2</v>
      </c>
      <c r="U88" s="1044">
        <f>+U87/P87-1</f>
        <v>3.1220116238535933E-2</v>
      </c>
      <c r="V88" s="885">
        <f>V87/Q87-1</f>
        <v>4.9949095945468258E-2</v>
      </c>
      <c r="W88" s="885">
        <f>W87/R87-1</f>
        <v>0.10001262506707076</v>
      </c>
      <c r="X88" s="885">
        <f>X87/S87-1</f>
        <v>0.10482475703356409</v>
      </c>
      <c r="Y88" s="885">
        <f>Y87/T87-1</f>
        <v>0.16856079037412752</v>
      </c>
      <c r="Z88" s="1044">
        <f>+Z87/U87-1</f>
        <v>0.10931680216213935</v>
      </c>
      <c r="AA88" s="885">
        <f>AA87/V87-1</f>
        <v>0.1071306398587224</v>
      </c>
      <c r="AB88" s="885">
        <f>AB87/W87-1</f>
        <v>0.11639333391356987</v>
      </c>
      <c r="AC88" s="885">
        <f>AC87/X87-1</f>
        <v>9.1901570662424881E-2</v>
      </c>
      <c r="AD88" s="885">
        <f>AD87/Y87-1</f>
        <v>9.3619302860698861E-2</v>
      </c>
      <c r="AE88" s="1044">
        <f>+AE87/Z87-1</f>
        <v>0.10185505832702102</v>
      </c>
      <c r="AF88" s="885">
        <f>AF87/AA87-1</f>
        <v>9.8955380034810414E-2</v>
      </c>
      <c r="AG88" s="885">
        <f>AG87/AB87-1</f>
        <v>4.7081041872744311E-2</v>
      </c>
      <c r="AH88" s="885">
        <f>AH87/AC87-1</f>
        <v>5.97740750998772E-2</v>
      </c>
      <c r="AI88" s="885">
        <f>AI87/AD87-1</f>
        <v>6.6297215793533315E-2</v>
      </c>
      <c r="AJ88" s="1044">
        <f>+AJ87/AE87-1</f>
        <v>6.7260883296133001E-2</v>
      </c>
      <c r="AK88" s="885">
        <f>AK87/AF87-1</f>
        <v>5.9320399386936895E-2</v>
      </c>
      <c r="AL88" s="885">
        <f>AL87/AG87-1</f>
        <v>0.13489853375660199</v>
      </c>
      <c r="AM88" s="885">
        <f>AM87/AH87-1</f>
        <v>0.10565573716924104</v>
      </c>
      <c r="AN88" s="885">
        <f>AN87/AI87-1</f>
        <v>6.0495513401172651E-2</v>
      </c>
      <c r="AO88" s="1044">
        <f>+AO87/AJ87-1</f>
        <v>8.8655810639765908E-2</v>
      </c>
      <c r="AP88" s="885">
        <f>AP87/AK87-1</f>
        <v>2.5520040016828727E-2</v>
      </c>
      <c r="AQ88" s="885">
        <f>AQ87/AL87-1</f>
        <v>-1.9692165056743538E-2</v>
      </c>
      <c r="AR88" s="885">
        <f>AR87/AM87-1</f>
        <v>-3.7723131422193745E-2</v>
      </c>
      <c r="AS88" s="885">
        <f>AS87/AN87-1</f>
        <v>-0.102490606453149</v>
      </c>
      <c r="AT88" s="1044">
        <f>+AT87/AO87-1</f>
        <v>-4.0016586098717055E-2</v>
      </c>
      <c r="AU88" s="885">
        <f>AU87/AP87-1</f>
        <v>-0.17140558967353159</v>
      </c>
      <c r="AV88" s="885">
        <f>AV87/AQ87-1</f>
        <v>-0.19483401482614571</v>
      </c>
      <c r="AW88" s="885">
        <f>AW87/AR87-1</f>
        <v>-0.17369734461328046</v>
      </c>
      <c r="AX88" s="885">
        <f>AX87/AS87-1</f>
        <v>-0.1542386875492211</v>
      </c>
      <c r="AY88" s="1044">
        <f>+AY87/AT87-1</f>
        <v>-0.17190392072927052</v>
      </c>
      <c r="AZ88" s="885">
        <f>AZ87/AU87-1</f>
        <v>-5.3128723792207233E-2</v>
      </c>
      <c r="BA88" s="885">
        <f>BA87/AV87-1</f>
        <v>3.4765135306085382E-2</v>
      </c>
      <c r="BB88" s="885">
        <f>BB87/AW87-1</f>
        <v>6.1661748441036002E-2</v>
      </c>
      <c r="BC88" s="885">
        <f>BC87/AX87-1</f>
        <v>7.3373609006827767E-2</v>
      </c>
      <c r="BD88" s="1044">
        <f>+BD87/AY87-1</f>
        <v>3.1743625315976187E-2</v>
      </c>
      <c r="BE88" s="885">
        <f>BE87/AZ87-1</f>
        <v>6.2910002279968236E-2</v>
      </c>
      <c r="BF88" s="885">
        <f>BF87/BA87-1</f>
        <v>5.3870859113536174E-2</v>
      </c>
      <c r="BG88" s="885">
        <f>BG87/BB87-1</f>
        <v>6.7465554983260345E-2</v>
      </c>
      <c r="BH88" s="885">
        <f>BH87/BC87-1</f>
        <v>6.3240678109550252E-2</v>
      </c>
      <c r="BI88" s="1044">
        <f>+BI87/BD87-1</f>
        <v>6.1933265370270218E-2</v>
      </c>
      <c r="BJ88" s="885">
        <f>BJ87/BE87-1</f>
        <v>6.9430861945889877E-2</v>
      </c>
      <c r="BK88" s="885">
        <f>BK87/BF87-1</f>
        <v>9.2834038779950889E-2</v>
      </c>
      <c r="BL88" s="885">
        <f>BL87/BG87-1</f>
        <v>7.9777360246340079E-2</v>
      </c>
      <c r="BM88" s="885">
        <f>BM87/BH87-1</f>
        <v>8.883288506086684E-2</v>
      </c>
      <c r="BN88" s="1044">
        <f>+BN87/BI87-1</f>
        <v>8.3388963833503693E-2</v>
      </c>
      <c r="BO88" s="885">
        <f>BO87/BJ87-1</f>
        <v>7.373422940976293E-2</v>
      </c>
      <c r="BP88" s="885">
        <f>BP87/BK87-1</f>
        <v>7.5519941833551263E-2</v>
      </c>
      <c r="BQ88" s="885">
        <f>BQ87/BL87-1</f>
        <v>3.2459543862969564E-2</v>
      </c>
      <c r="BR88" s="885">
        <f>BR87/BM87-1</f>
        <v>1.6324736752375335E-2</v>
      </c>
      <c r="BS88" s="1044">
        <f>+BS87/BN87-1</f>
        <v>5.3598054004573292E-2</v>
      </c>
      <c r="BT88" s="885">
        <f>BT87/BO87-1</f>
        <v>6.9323883115216312E-2</v>
      </c>
      <c r="BU88" s="885">
        <f>BU87/BP87-1</f>
        <v>6.7895233854657233E-2</v>
      </c>
      <c r="BV88" s="885">
        <f>BV87/BQ87-1</f>
        <v>8.5785604822786521E-2</v>
      </c>
      <c r="BW88" s="885">
        <f>BW87/BR87-1</f>
        <v>8.2972548305574767E-2</v>
      </c>
      <c r="BX88" s="1044">
        <f>+BX87/BS87-1</f>
        <v>7.6735263980493018E-2</v>
      </c>
      <c r="BY88" s="885">
        <f>BY87/BT87-1</f>
        <v>7.8400951988088163E-2</v>
      </c>
      <c r="BZ88" s="885">
        <f>BZ87/BU87-1</f>
        <v>6.1797971493789072E-2</v>
      </c>
      <c r="CA88" s="885">
        <f>CA87/BV87-1</f>
        <v>6.6034304765603791E-2</v>
      </c>
      <c r="CB88" s="885">
        <f>CB87/BW87-1</f>
        <v>4.6995645656456198E-2</v>
      </c>
      <c r="CC88" s="1044">
        <f>+CC87/BX87-1</f>
        <v>6.3278380173754867E-2</v>
      </c>
      <c r="CD88" s="885">
        <f>CD87/BY87-1</f>
        <v>8.9884419692674022E-3</v>
      </c>
      <c r="CE88" s="885">
        <f>CE87/BZ87-1</f>
        <v>3.5896042535233486E-2</v>
      </c>
      <c r="CF88" s="885">
        <f>CF87/CA87-1</f>
        <v>1.9241146268268006E-2</v>
      </c>
      <c r="CG88" s="885"/>
      <c r="CH88" s="1044"/>
      <c r="CI88" s="885"/>
      <c r="CJ88" s="885"/>
      <c r="CK88" s="885"/>
      <c r="CL88" s="885"/>
      <c r="CM88" s="1044"/>
      <c r="CN88" s="885"/>
      <c r="CO88" s="885"/>
      <c r="CP88" s="885"/>
      <c r="CQ88" s="1640"/>
      <c r="CR88" s="1640"/>
      <c r="CS88" s="1044"/>
      <c r="CT88" s="1044"/>
      <c r="CV88" s="781"/>
      <c r="CW88" s="781"/>
      <c r="CX88" s="781"/>
      <c r="DA88" s="212"/>
      <c r="DB88" s="1226"/>
    </row>
    <row r="89" spans="1:106" s="207" customFormat="1" ht="12.75" customHeight="1" x14ac:dyDescent="0.2">
      <c r="A89" s="1595" t="s">
        <v>359</v>
      </c>
      <c r="B89" s="1924" t="s">
        <v>673</v>
      </c>
      <c r="C89" s="1924" t="s">
        <v>673</v>
      </c>
      <c r="D89" s="1924" t="s">
        <v>673</v>
      </c>
      <c r="E89" s="1924" t="s">
        <v>673</v>
      </c>
      <c r="F89" s="1890" t="s">
        <v>673</v>
      </c>
      <c r="G89" s="1924" t="s">
        <v>673</v>
      </c>
      <c r="H89" s="1924" t="s">
        <v>673</v>
      </c>
      <c r="I89" s="1924" t="s">
        <v>673</v>
      </c>
      <c r="J89" s="1924" t="s">
        <v>673</v>
      </c>
      <c r="K89" s="1890" t="s">
        <v>673</v>
      </c>
      <c r="L89" s="1924" t="s">
        <v>673</v>
      </c>
      <c r="M89" s="1924" t="s">
        <v>673</v>
      </c>
      <c r="N89" s="1924" t="s">
        <v>673</v>
      </c>
      <c r="O89" s="1924" t="s">
        <v>673</v>
      </c>
      <c r="P89" s="1890" t="s">
        <v>673</v>
      </c>
      <c r="Q89" s="1043">
        <f>+Q587</f>
        <v>6.0999999999999999E-2</v>
      </c>
      <c r="R89" s="1043">
        <f t="shared" ref="R89:BN89" si="126">+R587</f>
        <v>-6.0000000000000001E-3</v>
      </c>
      <c r="S89" s="1043">
        <f t="shared" si="126"/>
        <v>2.5999999999999999E-2</v>
      </c>
      <c r="T89" s="1043">
        <f t="shared" si="126"/>
        <v>4.1000000000000002E-2</v>
      </c>
      <c r="U89" s="1953">
        <f t="shared" si="126"/>
        <v>3.2000000000000001E-2</v>
      </c>
      <c r="V89" s="1043">
        <f t="shared" si="126"/>
        <v>8.1000000000000003E-2</v>
      </c>
      <c r="W89" s="1043">
        <f t="shared" si="126"/>
        <v>0.10299999999999999</v>
      </c>
      <c r="X89" s="1043">
        <f t="shared" si="126"/>
        <v>8.8999999999999996E-2</v>
      </c>
      <c r="Y89" s="1043">
        <f t="shared" si="126"/>
        <v>0.14000000000000001</v>
      </c>
      <c r="Z89" s="1953">
        <f t="shared" si="126"/>
        <v>0.106</v>
      </c>
      <c r="AA89" s="1043">
        <f t="shared" si="126"/>
        <v>0.14399999999999999</v>
      </c>
      <c r="AB89" s="1043">
        <f t="shared" si="126"/>
        <v>0.14599999999999999</v>
      </c>
      <c r="AC89" s="1043">
        <f t="shared" si="126"/>
        <v>0.111</v>
      </c>
      <c r="AD89" s="1043">
        <f t="shared" si="126"/>
        <v>0.13400000000000001</v>
      </c>
      <c r="AE89" s="1953">
        <f t="shared" si="126"/>
        <v>0.13500000000000001</v>
      </c>
      <c r="AF89" s="1043">
        <f t="shared" si="126"/>
        <v>0.13200000000000001</v>
      </c>
      <c r="AG89" s="1043">
        <f t="shared" si="126"/>
        <v>0.125</v>
      </c>
      <c r="AH89" s="1043">
        <f t="shared" si="126"/>
        <v>0.10100000000000001</v>
      </c>
      <c r="AI89" s="1043">
        <f t="shared" si="126"/>
        <v>0.06</v>
      </c>
      <c r="AJ89" s="1953">
        <f t="shared" si="126"/>
        <v>0.1</v>
      </c>
      <c r="AK89" s="1043">
        <f t="shared" si="126"/>
        <v>5.1999999999999998E-2</v>
      </c>
      <c r="AL89" s="1043">
        <f t="shared" si="126"/>
        <v>6.0999999999999999E-2</v>
      </c>
      <c r="AM89" s="1043">
        <f t="shared" si="126"/>
        <v>6.2E-2</v>
      </c>
      <c r="AN89" s="1043">
        <f t="shared" si="126"/>
        <v>5.2999999999999999E-2</v>
      </c>
      <c r="AO89" s="1953">
        <f t="shared" si="126"/>
        <v>5.7000000000000002E-2</v>
      </c>
      <c r="AP89" s="1043">
        <f t="shared" si="126"/>
        <v>2.7E-2</v>
      </c>
      <c r="AQ89" s="1043">
        <f t="shared" si="126"/>
        <v>-1.2999999999999999E-2</v>
      </c>
      <c r="AR89" s="1043">
        <f t="shared" si="126"/>
        <v>-3.3000000000000002E-2</v>
      </c>
      <c r="AS89" s="1043">
        <f t="shared" si="126"/>
        <v>-9.9000000000000005E-2</v>
      </c>
      <c r="AT89" s="1953">
        <f t="shared" si="126"/>
        <v>-3.5999999999999997E-2</v>
      </c>
      <c r="AU89" s="1043">
        <f t="shared" si="126"/>
        <v>-0.14299999999999999</v>
      </c>
      <c r="AV89" s="1043">
        <f t="shared" si="126"/>
        <v>-0.182</v>
      </c>
      <c r="AW89" s="1043">
        <f t="shared" si="126"/>
        <v>-0.184</v>
      </c>
      <c r="AX89" s="1043">
        <f t="shared" si="126"/>
        <v>-0.13400000000000001</v>
      </c>
      <c r="AY89" s="1953">
        <f t="shared" si="126"/>
        <v>-0.16900000000000001</v>
      </c>
      <c r="AZ89" s="1043">
        <f t="shared" si="126"/>
        <v>-4.3999999999999997E-2</v>
      </c>
      <c r="BA89" s="1043">
        <f t="shared" si="126"/>
        <v>3.5999999999999997E-2</v>
      </c>
      <c r="BB89" s="1043">
        <f t="shared" si="126"/>
        <v>6.9000000000000006E-2</v>
      </c>
      <c r="BC89" s="1043">
        <f t="shared" si="126"/>
        <v>7.8E-2</v>
      </c>
      <c r="BD89" s="1953">
        <f t="shared" si="126"/>
        <v>3.5999999999999997E-2</v>
      </c>
      <c r="BE89" s="1043">
        <f t="shared" si="126"/>
        <v>9.4E-2</v>
      </c>
      <c r="BF89" s="1043">
        <f t="shared" si="126"/>
        <v>8.1000000000000003E-2</v>
      </c>
      <c r="BG89" s="1043">
        <f t="shared" si="126"/>
        <v>8.5000000000000006E-2</v>
      </c>
      <c r="BH89" s="1043">
        <f t="shared" si="126"/>
        <v>7.0999999999999994E-2</v>
      </c>
      <c r="BI89" s="1953">
        <f t="shared" si="126"/>
        <v>8.2000000000000003E-2</v>
      </c>
      <c r="BJ89" s="1043">
        <f t="shared" si="126"/>
        <v>7.3999999999999996E-2</v>
      </c>
      <c r="BK89" s="1043">
        <f t="shared" si="126"/>
        <v>8.8999999999999996E-2</v>
      </c>
      <c r="BL89" s="1043">
        <f t="shared" si="126"/>
        <v>7.4999999999999997E-2</v>
      </c>
      <c r="BM89" s="1043">
        <f t="shared" si="126"/>
        <v>7.6999999999999999E-2</v>
      </c>
      <c r="BN89" s="1545">
        <f t="shared" si="126"/>
        <v>7.8E-2</v>
      </c>
      <c r="BO89" s="1043">
        <f t="shared" ref="BO89:BU89" si="127">+BO587</f>
        <v>0.05</v>
      </c>
      <c r="BP89" s="1043">
        <f t="shared" si="127"/>
        <v>0.05</v>
      </c>
      <c r="BQ89" s="1043">
        <f t="shared" si="127"/>
        <v>5.5E-2</v>
      </c>
      <c r="BR89" s="1043">
        <f t="shared" si="127"/>
        <v>5.1999999999999998E-2</v>
      </c>
      <c r="BS89" s="1545">
        <f t="shared" si="127"/>
        <v>5.1999999999999998E-2</v>
      </c>
      <c r="BT89" s="1043">
        <f t="shared" si="127"/>
        <v>7.0999999999999994E-2</v>
      </c>
      <c r="BU89" s="1043">
        <f t="shared" si="127"/>
        <v>6.9000000000000006E-2</v>
      </c>
      <c r="BV89" s="1043">
        <f t="shared" ref="BV89:CC89" si="128">+BV587</f>
        <v>8.3000000000000004E-2</v>
      </c>
      <c r="BW89" s="1043">
        <f t="shared" si="128"/>
        <v>7.6999999999999999E-2</v>
      </c>
      <c r="BX89" s="1545">
        <f t="shared" si="128"/>
        <v>7.5999999999999998E-2</v>
      </c>
      <c r="BY89" s="1043">
        <f t="shared" si="128"/>
        <v>7.5999999999999998E-2</v>
      </c>
      <c r="BZ89" s="1043">
        <f t="shared" si="128"/>
        <v>5.0999999999999997E-2</v>
      </c>
      <c r="CA89" s="1043">
        <f t="shared" si="128"/>
        <v>4.8000000000000001E-2</v>
      </c>
      <c r="CB89" s="1043">
        <f t="shared" si="128"/>
        <v>3.5999999999999997E-2</v>
      </c>
      <c r="CC89" s="2881">
        <f t="shared" si="128"/>
        <v>5.1999999999999998E-2</v>
      </c>
      <c r="CD89" s="1043">
        <f>+CD587</f>
        <v>1.0999999999999999E-2</v>
      </c>
      <c r="CE89" s="1043">
        <f>+CE587</f>
        <v>3.5999999999999997E-2</v>
      </c>
      <c r="CF89" s="1043">
        <f>+CF587</f>
        <v>1.7000000000000001E-2</v>
      </c>
      <c r="CG89" s="1043"/>
      <c r="CH89" s="1953"/>
      <c r="CI89" s="1546"/>
      <c r="CJ89" s="1546"/>
      <c r="CK89" s="1546"/>
      <c r="CL89" s="1546"/>
      <c r="CM89" s="1545"/>
      <c r="CN89" s="1546"/>
      <c r="CO89" s="1546"/>
      <c r="CP89" s="1546"/>
      <c r="CQ89" s="3035"/>
      <c r="CR89" s="3035"/>
      <c r="CS89" s="1545"/>
      <c r="CT89" s="1545"/>
      <c r="CV89" s="537"/>
      <c r="CW89" s="537"/>
      <c r="CX89" s="537"/>
      <c r="DA89" s="212"/>
      <c r="DB89" s="1226"/>
    </row>
    <row r="90" spans="1:106" s="207" customFormat="1" ht="4.5" customHeight="1" x14ac:dyDescent="0.2">
      <c r="A90" s="1595"/>
      <c r="B90" s="1924"/>
      <c r="C90" s="1924"/>
      <c r="D90" s="1924"/>
      <c r="E90" s="1924"/>
      <c r="F90" s="1890"/>
      <c r="G90" s="1924"/>
      <c r="H90" s="1924"/>
      <c r="I90" s="1924"/>
      <c r="J90" s="1924"/>
      <c r="K90" s="1890"/>
      <c r="L90" s="1924"/>
      <c r="M90" s="1924"/>
      <c r="N90" s="1924"/>
      <c r="O90" s="1924"/>
      <c r="P90" s="1890"/>
      <c r="Q90" s="1043"/>
      <c r="R90" s="1043"/>
      <c r="S90" s="1043"/>
      <c r="T90" s="1043"/>
      <c r="U90" s="1953"/>
      <c r="V90" s="1043"/>
      <c r="W90" s="1043"/>
      <c r="X90" s="1043"/>
      <c r="Y90" s="1043"/>
      <c r="Z90" s="1953"/>
      <c r="AA90" s="1043"/>
      <c r="AB90" s="1043"/>
      <c r="AC90" s="1043"/>
      <c r="AD90" s="1043"/>
      <c r="AE90" s="1953"/>
      <c r="AF90" s="1043"/>
      <c r="AG90" s="1043"/>
      <c r="AH90" s="1043"/>
      <c r="AI90" s="1043"/>
      <c r="AJ90" s="1953"/>
      <c r="AK90" s="1043"/>
      <c r="AL90" s="1043"/>
      <c r="AM90" s="1043"/>
      <c r="AN90" s="1043"/>
      <c r="AO90" s="1953"/>
      <c r="AP90" s="1043"/>
      <c r="AQ90" s="1043"/>
      <c r="AR90" s="1043"/>
      <c r="AS90" s="1043"/>
      <c r="AT90" s="1953"/>
      <c r="AU90" s="1043"/>
      <c r="AV90" s="1043"/>
      <c r="AW90" s="1043"/>
      <c r="AX90" s="1043"/>
      <c r="AY90" s="1953"/>
      <c r="AZ90" s="1043"/>
      <c r="BA90" s="1043"/>
      <c r="BB90" s="1043"/>
      <c r="BC90" s="1043"/>
      <c r="BD90" s="1953"/>
      <c r="BE90" s="1043"/>
      <c r="BF90" s="1043"/>
      <c r="BG90" s="1043"/>
      <c r="BH90" s="1043"/>
      <c r="BI90" s="1953"/>
      <c r="BJ90" s="1043"/>
      <c r="BK90" s="1043"/>
      <c r="BL90" s="1043"/>
      <c r="BM90" s="1043"/>
      <c r="BN90" s="1545"/>
      <c r="BO90" s="1043"/>
      <c r="BP90" s="1043"/>
      <c r="BQ90" s="1043"/>
      <c r="BR90" s="1043"/>
      <c r="BS90" s="1545"/>
      <c r="BT90" s="1043"/>
      <c r="BU90" s="1043"/>
      <c r="BV90" s="1043"/>
      <c r="BW90" s="1043"/>
      <c r="BX90" s="1545"/>
      <c r="BY90" s="1043"/>
      <c r="BZ90" s="1043"/>
      <c r="CA90" s="1043"/>
      <c r="CB90" s="1043"/>
      <c r="CC90" s="2881"/>
      <c r="CD90" s="1043"/>
      <c r="CE90" s="1043"/>
      <c r="CF90" s="1546"/>
      <c r="CG90" s="1546"/>
      <c r="CH90" s="1545"/>
      <c r="CI90" s="1546"/>
      <c r="CJ90" s="1546"/>
      <c r="CK90" s="1546"/>
      <c r="CL90" s="1546"/>
      <c r="CM90" s="1545"/>
      <c r="CN90" s="1546"/>
      <c r="CO90" s="1546"/>
      <c r="CP90" s="1546"/>
      <c r="CQ90" s="3035"/>
      <c r="CR90" s="3035"/>
      <c r="CS90" s="1545"/>
      <c r="CT90" s="1545"/>
      <c r="CV90" s="537"/>
      <c r="CW90" s="537"/>
      <c r="CX90" s="537"/>
      <c r="DA90" s="212"/>
      <c r="DB90" s="1226"/>
    </row>
    <row r="91" spans="1:106" s="2644" customFormat="1" ht="12.75" customHeight="1" x14ac:dyDescent="0.2">
      <c r="A91" s="2765" t="s">
        <v>2454</v>
      </c>
      <c r="B91" s="1278"/>
      <c r="C91" s="1278"/>
      <c r="D91" s="1278"/>
      <c r="E91" s="1278"/>
      <c r="F91" s="2671"/>
      <c r="G91" s="1278"/>
      <c r="H91" s="1278"/>
      <c r="I91" s="1278"/>
      <c r="J91" s="1278"/>
      <c r="K91" s="2671"/>
      <c r="L91" s="1278"/>
      <c r="M91" s="1278"/>
      <c r="N91" s="1278"/>
      <c r="O91" s="1278"/>
      <c r="P91" s="2671"/>
      <c r="Q91" s="885"/>
      <c r="R91" s="885"/>
      <c r="S91" s="885"/>
      <c r="T91" s="885"/>
      <c r="U91" s="1044"/>
      <c r="V91" s="885"/>
      <c r="W91" s="885"/>
      <c r="X91" s="885"/>
      <c r="Y91" s="885"/>
      <c r="Z91" s="1044"/>
      <c r="AA91" s="885"/>
      <c r="AB91" s="885"/>
      <c r="AC91" s="885"/>
      <c r="AD91" s="885"/>
      <c r="AE91" s="1044"/>
      <c r="AF91" s="885"/>
      <c r="AG91" s="885"/>
      <c r="AH91" s="885"/>
      <c r="AI91" s="885"/>
      <c r="AJ91" s="1044"/>
      <c r="AK91" s="885"/>
      <c r="AL91" s="885"/>
      <c r="AM91" s="885"/>
      <c r="AN91" s="885"/>
      <c r="AO91" s="1044"/>
      <c r="AP91" s="885"/>
      <c r="AQ91" s="885"/>
      <c r="AR91" s="885"/>
      <c r="AS91" s="885"/>
      <c r="AT91" s="1044"/>
      <c r="AU91" s="885"/>
      <c r="AV91" s="885"/>
      <c r="AW91" s="885"/>
      <c r="AX91" s="885"/>
      <c r="AY91" s="1044"/>
      <c r="AZ91" s="885"/>
      <c r="BA91" s="885"/>
      <c r="BB91" s="885"/>
      <c r="BC91" s="885"/>
      <c r="BD91" s="1044"/>
      <c r="BE91" s="885"/>
      <c r="BF91" s="885"/>
      <c r="BG91" s="885"/>
      <c r="BH91" s="885"/>
      <c r="BI91" s="1044"/>
      <c r="BJ91" s="885"/>
      <c r="BK91" s="885"/>
      <c r="BL91" s="885"/>
      <c r="BM91" s="885"/>
      <c r="BN91" s="1044"/>
      <c r="BO91" s="885"/>
      <c r="BP91" s="885"/>
      <c r="BQ91" s="885"/>
      <c r="BR91" s="885"/>
      <c r="BS91" s="1044"/>
      <c r="BT91" s="885"/>
      <c r="BU91" s="885"/>
      <c r="BV91" s="885"/>
      <c r="BW91" s="885"/>
      <c r="BX91" s="1044"/>
      <c r="BY91" s="885"/>
      <c r="BZ91" s="885"/>
      <c r="CA91" s="885"/>
      <c r="CB91" s="3082">
        <f>CB147*CB197</f>
        <v>105.29810999999999</v>
      </c>
      <c r="CC91" s="2345">
        <f>CC147*CC197</f>
        <v>111.98400302255584</v>
      </c>
      <c r="CD91" s="3082">
        <f>CD147*CD197</f>
        <v>106.34656</v>
      </c>
      <c r="CE91" s="3082">
        <f>CE147*CE197</f>
        <v>125.02248000000002</v>
      </c>
      <c r="CF91" s="3082">
        <f>CF147*CF197</f>
        <v>121.65901057500002</v>
      </c>
      <c r="CG91" s="3082"/>
      <c r="CH91" s="3083"/>
      <c r="CI91" s="3082"/>
      <c r="CJ91" s="3082"/>
      <c r="CK91" s="3082"/>
      <c r="CL91" s="3082"/>
      <c r="CM91" s="3083"/>
      <c r="CN91" s="3082"/>
      <c r="CO91" s="3082"/>
      <c r="CP91" s="3082"/>
      <c r="CQ91" s="1811"/>
      <c r="CR91" s="3082"/>
      <c r="CS91" s="2345"/>
      <c r="CT91" s="2345"/>
      <c r="CV91" s="2818"/>
      <c r="CW91" s="2818"/>
      <c r="CX91" s="2818"/>
      <c r="DA91" s="212"/>
      <c r="DB91" s="1226"/>
    </row>
    <row r="92" spans="1:106" s="207" customFormat="1" ht="12.75" customHeight="1" x14ac:dyDescent="0.2">
      <c r="A92" s="1737" t="s">
        <v>2469</v>
      </c>
      <c r="B92" s="1924"/>
      <c r="C92" s="1924"/>
      <c r="D92" s="1924"/>
      <c r="E92" s="1924"/>
      <c r="F92" s="1890"/>
      <c r="G92" s="1924"/>
      <c r="H92" s="1924"/>
      <c r="I92" s="1924"/>
      <c r="J92" s="1924"/>
      <c r="K92" s="1890"/>
      <c r="L92" s="1924"/>
      <c r="M92" s="1924"/>
      <c r="N92" s="1924"/>
      <c r="O92" s="1924"/>
      <c r="P92" s="1890"/>
      <c r="Q92" s="1043"/>
      <c r="R92" s="1043"/>
      <c r="S92" s="1043"/>
      <c r="T92" s="1043"/>
      <c r="U92" s="1953"/>
      <c r="V92" s="1043"/>
      <c r="W92" s="1043"/>
      <c r="X92" s="1043"/>
      <c r="Y92" s="1043"/>
      <c r="Z92" s="1953"/>
      <c r="AA92" s="1043"/>
      <c r="AB92" s="1043"/>
      <c r="AC92" s="1043"/>
      <c r="AD92" s="1043"/>
      <c r="AE92" s="1953"/>
      <c r="AF92" s="1043"/>
      <c r="AG92" s="1043"/>
      <c r="AH92" s="1043"/>
      <c r="AI92" s="1043"/>
      <c r="AJ92" s="1953"/>
      <c r="AK92" s="1043"/>
      <c r="AL92" s="1043"/>
      <c r="AM92" s="1043"/>
      <c r="AN92" s="1043"/>
      <c r="AO92" s="1953"/>
      <c r="AP92" s="1043"/>
      <c r="AQ92" s="1043"/>
      <c r="AR92" s="1043"/>
      <c r="AS92" s="1043"/>
      <c r="AT92" s="1953"/>
      <c r="AU92" s="1043"/>
      <c r="AV92" s="1043"/>
      <c r="AW92" s="1043"/>
      <c r="AX92" s="1043"/>
      <c r="AY92" s="1953"/>
      <c r="AZ92" s="1043"/>
      <c r="BA92" s="1043"/>
      <c r="BB92" s="1043"/>
      <c r="BC92" s="1043"/>
      <c r="BD92" s="1953"/>
      <c r="BE92" s="1043"/>
      <c r="BF92" s="1043"/>
      <c r="BG92" s="1043"/>
      <c r="BH92" s="1043"/>
      <c r="BI92" s="1953"/>
      <c r="BJ92" s="1043"/>
      <c r="BK92" s="1043"/>
      <c r="BL92" s="1043"/>
      <c r="BM92" s="1043"/>
      <c r="BN92" s="1545"/>
      <c r="BO92" s="1043"/>
      <c r="BP92" s="1043"/>
      <c r="BQ92" s="1043"/>
      <c r="BR92" s="1043"/>
      <c r="BS92" s="1545"/>
      <c r="BT92" s="1043"/>
      <c r="BU92" s="1043"/>
      <c r="BV92" s="1043"/>
      <c r="BW92" s="1043"/>
      <c r="BX92" s="1545"/>
      <c r="BY92" s="1043"/>
      <c r="BZ92" s="1043"/>
      <c r="CA92" s="1043"/>
      <c r="CB92" s="2882">
        <v>2.53313983142196E-2</v>
      </c>
      <c r="CC92" s="2881">
        <v>2.5224241921618207E-2</v>
      </c>
      <c r="CD92" s="2882">
        <v>2.1300592267865737E-2</v>
      </c>
      <c r="CE92" s="2882">
        <v>3.9458740575467388E-2</v>
      </c>
      <c r="CF92" s="2882">
        <v>2.7500000000000302E-2</v>
      </c>
      <c r="CG92" s="2882"/>
      <c r="CH92" s="2881"/>
      <c r="CI92" s="885"/>
      <c r="CJ92" s="885"/>
      <c r="CK92" s="885"/>
      <c r="CL92" s="885"/>
      <c r="CM92" s="1044"/>
      <c r="CN92" s="885"/>
      <c r="CO92" s="885"/>
      <c r="CP92" s="885"/>
      <c r="CQ92" s="1640"/>
      <c r="CR92" s="1640"/>
      <c r="CS92" s="1044"/>
      <c r="CT92" s="1044"/>
      <c r="CV92" s="537"/>
      <c r="CW92" s="537"/>
      <c r="CX92" s="537"/>
      <c r="DA92" s="212"/>
      <c r="DB92" s="1226"/>
    </row>
    <row r="93" spans="1:106" s="2644" customFormat="1" ht="12.75" customHeight="1" x14ac:dyDescent="0.2">
      <c r="A93" s="2765" t="s">
        <v>2470</v>
      </c>
      <c r="B93" s="1278"/>
      <c r="C93" s="1278"/>
      <c r="D93" s="1278"/>
      <c r="E93" s="1278"/>
      <c r="F93" s="2671"/>
      <c r="G93" s="1278"/>
      <c r="H93" s="1278"/>
      <c r="I93" s="1278"/>
      <c r="J93" s="1278"/>
      <c r="K93" s="2671"/>
      <c r="L93" s="1278"/>
      <c r="M93" s="1278"/>
      <c r="N93" s="1278"/>
      <c r="O93" s="1278"/>
      <c r="P93" s="2671"/>
      <c r="Q93" s="885"/>
      <c r="R93" s="885"/>
      <c r="S93" s="885"/>
      <c r="T93" s="885"/>
      <c r="U93" s="1044"/>
      <c r="V93" s="885"/>
      <c r="W93" s="885"/>
      <c r="X93" s="885"/>
      <c r="Y93" s="885"/>
      <c r="Z93" s="1044"/>
      <c r="AA93" s="885"/>
      <c r="AB93" s="885"/>
      <c r="AC93" s="885"/>
      <c r="AD93" s="885"/>
      <c r="AE93" s="1044"/>
      <c r="AF93" s="885"/>
      <c r="AG93" s="885"/>
      <c r="AH93" s="885"/>
      <c r="AI93" s="885"/>
      <c r="AJ93" s="1044"/>
      <c r="AK93" s="885"/>
      <c r="AL93" s="885"/>
      <c r="AM93" s="885"/>
      <c r="AN93" s="885"/>
      <c r="AO93" s="1044"/>
      <c r="AP93" s="885"/>
      <c r="AQ93" s="885"/>
      <c r="AR93" s="885"/>
      <c r="AS93" s="885"/>
      <c r="AT93" s="1044"/>
      <c r="AU93" s="885"/>
      <c r="AV93" s="885"/>
      <c r="AW93" s="885"/>
      <c r="AX93" s="885"/>
      <c r="AY93" s="1044"/>
      <c r="AZ93" s="885"/>
      <c r="BA93" s="885"/>
      <c r="BB93" s="885"/>
      <c r="BC93" s="885"/>
      <c r="BD93" s="1044"/>
      <c r="BE93" s="885"/>
      <c r="BF93" s="885"/>
      <c r="BG93" s="885"/>
      <c r="BH93" s="885"/>
      <c r="BI93" s="1044"/>
      <c r="BJ93" s="885"/>
      <c r="BK93" s="885"/>
      <c r="BL93" s="885"/>
      <c r="BM93" s="885"/>
      <c r="BN93" s="1044"/>
      <c r="BO93" s="885"/>
      <c r="BP93" s="885"/>
      <c r="BQ93" s="885"/>
      <c r="BR93" s="885"/>
      <c r="BS93" s="1044"/>
      <c r="BT93" s="885"/>
      <c r="BU93" s="885"/>
      <c r="BV93" s="885"/>
      <c r="BW93" s="885"/>
      <c r="BX93" s="1044"/>
      <c r="BY93" s="885"/>
      <c r="BZ93" s="885"/>
      <c r="CA93" s="885"/>
      <c r="CB93" s="3082">
        <f>CB149*CB199</f>
        <v>136.83498</v>
      </c>
      <c r="CC93" s="2345">
        <f>CC149*CC199</f>
        <v>143.85665755496339</v>
      </c>
      <c r="CD93" s="3082">
        <f>CD149*CD199</f>
        <v>141.63695999999999</v>
      </c>
      <c r="CE93" s="3082">
        <f>CE149*CE199</f>
        <v>160.40416000000002</v>
      </c>
      <c r="CF93" s="3082">
        <f>CF149*CF199</f>
        <v>153.64638134999998</v>
      </c>
      <c r="CG93" s="3082"/>
      <c r="CH93" s="2345"/>
      <c r="CI93" s="3082"/>
      <c r="CJ93" s="3082"/>
      <c r="CK93" s="3082"/>
      <c r="CL93" s="3082"/>
      <c r="CM93" s="2345"/>
      <c r="CN93" s="3082"/>
      <c r="CO93" s="3082"/>
      <c r="CP93" s="3082"/>
      <c r="CQ93" s="1811"/>
      <c r="CR93" s="3082"/>
      <c r="CS93" s="2345"/>
      <c r="CT93" s="2345"/>
      <c r="CV93" s="2818"/>
      <c r="CW93" s="2818"/>
      <c r="CX93" s="2818"/>
      <c r="DA93" s="212"/>
      <c r="DB93" s="1226"/>
    </row>
    <row r="94" spans="1:106" s="207" customFormat="1" ht="12.75" customHeight="1" x14ac:dyDescent="0.2">
      <c r="A94" s="1737" t="s">
        <v>2469</v>
      </c>
      <c r="B94" s="1924"/>
      <c r="C94" s="1924"/>
      <c r="D94" s="1924"/>
      <c r="E94" s="1924"/>
      <c r="F94" s="1890"/>
      <c r="G94" s="1924"/>
      <c r="H94" s="1924"/>
      <c r="I94" s="1924"/>
      <c r="J94" s="1924"/>
      <c r="K94" s="1890"/>
      <c r="L94" s="1924"/>
      <c r="M94" s="1924"/>
      <c r="N94" s="1924"/>
      <c r="O94" s="1924"/>
      <c r="P94" s="1890"/>
      <c r="Q94" s="1043"/>
      <c r="R94" s="1043"/>
      <c r="S94" s="1043"/>
      <c r="T94" s="1043"/>
      <c r="U94" s="1953"/>
      <c r="V94" s="1043"/>
      <c r="W94" s="1043"/>
      <c r="X94" s="1043"/>
      <c r="Y94" s="1043"/>
      <c r="Z94" s="1953"/>
      <c r="AA94" s="1043"/>
      <c r="AB94" s="1043"/>
      <c r="AC94" s="1043"/>
      <c r="AD94" s="1043"/>
      <c r="AE94" s="1953"/>
      <c r="AF94" s="1043"/>
      <c r="AG94" s="1043"/>
      <c r="AH94" s="1043"/>
      <c r="AI94" s="1043"/>
      <c r="AJ94" s="1953"/>
      <c r="AK94" s="1043"/>
      <c r="AL94" s="1043"/>
      <c r="AM94" s="1043"/>
      <c r="AN94" s="1043"/>
      <c r="AO94" s="1953"/>
      <c r="AP94" s="1043"/>
      <c r="AQ94" s="1043"/>
      <c r="AR94" s="1043"/>
      <c r="AS94" s="1043"/>
      <c r="AT94" s="1953"/>
      <c r="AU94" s="1043"/>
      <c r="AV94" s="1043"/>
      <c r="AW94" s="1043"/>
      <c r="AX94" s="1043"/>
      <c r="AY94" s="1953"/>
      <c r="AZ94" s="1043"/>
      <c r="BA94" s="1043"/>
      <c r="BB94" s="1043"/>
      <c r="BC94" s="1043"/>
      <c r="BD94" s="1953"/>
      <c r="BE94" s="1043"/>
      <c r="BF94" s="1043"/>
      <c r="BG94" s="1043"/>
      <c r="BH94" s="1043"/>
      <c r="BI94" s="1953"/>
      <c r="BJ94" s="1043"/>
      <c r="BK94" s="1043"/>
      <c r="BL94" s="1043"/>
      <c r="BM94" s="1043"/>
      <c r="BN94" s="1545"/>
      <c r="BO94" s="1043"/>
      <c r="BP94" s="1043"/>
      <c r="BQ94" s="1043"/>
      <c r="BR94" s="1043"/>
      <c r="BS94" s="1545"/>
      <c r="BT94" s="1043"/>
      <c r="BU94" s="1043"/>
      <c r="BV94" s="1043"/>
      <c r="BW94" s="1043"/>
      <c r="BX94" s="1545"/>
      <c r="BY94" s="1043"/>
      <c r="BZ94" s="1043"/>
      <c r="CA94" s="1043"/>
      <c r="CB94" s="2882">
        <v>4.929851851312228E-2</v>
      </c>
      <c r="CC94" s="2881">
        <v>3.7603254062776426E-2</v>
      </c>
      <c r="CD94" s="2882">
        <v>3.4306501008550816E-2</v>
      </c>
      <c r="CE94" s="2882">
        <v>4.7462125169783764E-2</v>
      </c>
      <c r="CF94" s="2882">
        <v>3.499999999999992E-2</v>
      </c>
      <c r="CG94" s="2882"/>
      <c r="CH94" s="2881"/>
      <c r="CI94" s="885"/>
      <c r="CJ94" s="885"/>
      <c r="CK94" s="885"/>
      <c r="CL94" s="885"/>
      <c r="CM94" s="1044"/>
      <c r="CN94" s="885"/>
      <c r="CO94" s="885"/>
      <c r="CP94" s="885"/>
      <c r="CQ94" s="1640"/>
      <c r="CR94" s="1640"/>
      <c r="CS94" s="1044"/>
      <c r="CT94" s="1044"/>
      <c r="CV94" s="537"/>
      <c r="CW94" s="537"/>
      <c r="CX94" s="537"/>
      <c r="DA94" s="212"/>
      <c r="DB94" s="1226"/>
    </row>
    <row r="95" spans="1:106" s="2644" customFormat="1" ht="12.75" customHeight="1" x14ac:dyDescent="0.2">
      <c r="A95" s="2765" t="s">
        <v>2471</v>
      </c>
      <c r="B95" s="1278"/>
      <c r="C95" s="1278"/>
      <c r="D95" s="1278"/>
      <c r="E95" s="1278"/>
      <c r="F95" s="2671"/>
      <c r="G95" s="1278"/>
      <c r="H95" s="1278"/>
      <c r="I95" s="1278"/>
      <c r="J95" s="1278"/>
      <c r="K95" s="2671"/>
      <c r="L95" s="1278"/>
      <c r="M95" s="1278"/>
      <c r="N95" s="1278"/>
      <c r="O95" s="1278"/>
      <c r="P95" s="2671"/>
      <c r="Q95" s="885"/>
      <c r="R95" s="885"/>
      <c r="S95" s="885"/>
      <c r="T95" s="885"/>
      <c r="U95" s="1044"/>
      <c r="V95" s="885"/>
      <c r="W95" s="885"/>
      <c r="X95" s="885"/>
      <c r="Y95" s="885"/>
      <c r="Z95" s="1044"/>
      <c r="AA95" s="885"/>
      <c r="AB95" s="885"/>
      <c r="AC95" s="885"/>
      <c r="AD95" s="885"/>
      <c r="AE95" s="1044"/>
      <c r="AF95" s="885"/>
      <c r="AG95" s="885"/>
      <c r="AH95" s="885"/>
      <c r="AI95" s="885"/>
      <c r="AJ95" s="1044"/>
      <c r="AK95" s="885"/>
      <c r="AL95" s="885"/>
      <c r="AM95" s="885"/>
      <c r="AN95" s="885"/>
      <c r="AO95" s="1044"/>
      <c r="AP95" s="885"/>
      <c r="AQ95" s="885"/>
      <c r="AR95" s="885"/>
      <c r="AS95" s="885"/>
      <c r="AT95" s="1044"/>
      <c r="AU95" s="885"/>
      <c r="AV95" s="885"/>
      <c r="AW95" s="885"/>
      <c r="AX95" s="885"/>
      <c r="AY95" s="1044"/>
      <c r="AZ95" s="885"/>
      <c r="BA95" s="885"/>
      <c r="BB95" s="885"/>
      <c r="BC95" s="885"/>
      <c r="BD95" s="1044"/>
      <c r="BE95" s="885"/>
      <c r="BF95" s="885"/>
      <c r="BG95" s="885"/>
      <c r="BH95" s="885"/>
      <c r="BI95" s="1044"/>
      <c r="BJ95" s="885"/>
      <c r="BK95" s="885"/>
      <c r="BL95" s="885"/>
      <c r="BM95" s="885"/>
      <c r="BN95" s="1044"/>
      <c r="BO95" s="885"/>
      <c r="BP95" s="885"/>
      <c r="BQ95" s="885"/>
      <c r="BR95" s="885"/>
      <c r="BS95" s="1044"/>
      <c r="BT95" s="885"/>
      <c r="BU95" s="885"/>
      <c r="BV95" s="885"/>
      <c r="BW95" s="885"/>
      <c r="BX95" s="1044"/>
      <c r="BY95" s="885"/>
      <c r="BZ95" s="885"/>
      <c r="CA95" s="885"/>
      <c r="CB95" s="3082">
        <f>CB151*CB201</f>
        <v>300.60224999999997</v>
      </c>
      <c r="CC95" s="2345">
        <f>CC151*CC201</f>
        <v>296.31644050846319</v>
      </c>
      <c r="CD95" s="3082">
        <f>CD151*CD201</f>
        <v>337.56718999999998</v>
      </c>
      <c r="CE95" s="3082">
        <f>CE151*CE201</f>
        <v>297.05970000000002</v>
      </c>
      <c r="CF95" s="3082">
        <f>CF151*CF201</f>
        <v>296.7494208</v>
      </c>
      <c r="CG95" s="3082"/>
      <c r="CH95" s="2345"/>
      <c r="CI95" s="3082"/>
      <c r="CJ95" s="3082"/>
      <c r="CK95" s="3082"/>
      <c r="CL95" s="3082"/>
      <c r="CM95" s="2345"/>
      <c r="CN95" s="3082"/>
      <c r="CO95" s="3082"/>
      <c r="CP95" s="3082"/>
      <c r="CQ95" s="1811"/>
      <c r="CR95" s="3082"/>
      <c r="CS95" s="2345"/>
      <c r="CT95" s="2345"/>
      <c r="CV95" s="2818"/>
      <c r="CW95" s="2818"/>
      <c r="CX95" s="2818"/>
      <c r="DA95" s="212"/>
      <c r="DB95" s="1226"/>
    </row>
    <row r="96" spans="1:106" s="207" customFormat="1" ht="12.75" customHeight="1" x14ac:dyDescent="0.2">
      <c r="A96" s="1737" t="s">
        <v>2469</v>
      </c>
      <c r="B96" s="1924"/>
      <c r="C96" s="1924"/>
      <c r="D96" s="1924"/>
      <c r="E96" s="1924"/>
      <c r="F96" s="1890"/>
      <c r="G96" s="1924"/>
      <c r="H96" s="1924"/>
      <c r="I96" s="1924"/>
      <c r="J96" s="1924"/>
      <c r="K96" s="1890"/>
      <c r="L96" s="1924"/>
      <c r="M96" s="1924"/>
      <c r="N96" s="1924"/>
      <c r="O96" s="1924"/>
      <c r="P96" s="1890"/>
      <c r="Q96" s="1043"/>
      <c r="R96" s="1043"/>
      <c r="S96" s="1043"/>
      <c r="T96" s="1043"/>
      <c r="U96" s="1953"/>
      <c r="V96" s="1043"/>
      <c r="W96" s="1043"/>
      <c r="X96" s="1043"/>
      <c r="Y96" s="1043"/>
      <c r="Z96" s="1953"/>
      <c r="AA96" s="1043"/>
      <c r="AB96" s="1043"/>
      <c r="AC96" s="1043"/>
      <c r="AD96" s="1043"/>
      <c r="AE96" s="1953"/>
      <c r="AF96" s="1043"/>
      <c r="AG96" s="1043"/>
      <c r="AH96" s="1043"/>
      <c r="AI96" s="1043"/>
      <c r="AJ96" s="1953"/>
      <c r="AK96" s="1043"/>
      <c r="AL96" s="1043"/>
      <c r="AM96" s="1043"/>
      <c r="AN96" s="1043"/>
      <c r="AO96" s="1953"/>
      <c r="AP96" s="1043"/>
      <c r="AQ96" s="1043"/>
      <c r="AR96" s="1043"/>
      <c r="AS96" s="1043"/>
      <c r="AT96" s="1953"/>
      <c r="AU96" s="1043"/>
      <c r="AV96" s="1043"/>
      <c r="AW96" s="1043"/>
      <c r="AX96" s="1043"/>
      <c r="AY96" s="1953"/>
      <c r="AZ96" s="1043"/>
      <c r="BA96" s="1043"/>
      <c r="BB96" s="1043"/>
      <c r="BC96" s="1043"/>
      <c r="BD96" s="1953"/>
      <c r="BE96" s="1043"/>
      <c r="BF96" s="1043"/>
      <c r="BG96" s="1043"/>
      <c r="BH96" s="1043"/>
      <c r="BI96" s="1953"/>
      <c r="BJ96" s="1043"/>
      <c r="BK96" s="1043"/>
      <c r="BL96" s="1043"/>
      <c r="BM96" s="1043"/>
      <c r="BN96" s="1545"/>
      <c r="BO96" s="1043"/>
      <c r="BP96" s="1043"/>
      <c r="BQ96" s="1043"/>
      <c r="BR96" s="1043"/>
      <c r="BS96" s="1545"/>
      <c r="BT96" s="1043"/>
      <c r="BU96" s="1043"/>
      <c r="BV96" s="1043"/>
      <c r="BW96" s="1043"/>
      <c r="BX96" s="1545"/>
      <c r="BY96" s="1043"/>
      <c r="BZ96" s="1043"/>
      <c r="CA96" s="1043"/>
      <c r="CB96" s="2882">
        <v>6.2612243322383909E-2</v>
      </c>
      <c r="CC96" s="2881">
        <v>8.4423814414752218E-2</v>
      </c>
      <c r="CD96" s="2882">
        <v>6.1447261759595362E-2</v>
      </c>
      <c r="CE96" s="2882">
        <v>6.5587848455219033E-2</v>
      </c>
      <c r="CF96" s="2882">
        <v>3.2499999999999751E-2</v>
      </c>
      <c r="CG96" s="885"/>
      <c r="CH96" s="1044"/>
      <c r="CI96" s="885"/>
      <c r="CJ96" s="885"/>
      <c r="CK96" s="885"/>
      <c r="CL96" s="885"/>
      <c r="CM96" s="1044"/>
      <c r="CN96" s="885"/>
      <c r="CO96" s="885"/>
      <c r="CP96" s="885"/>
      <c r="CQ96" s="1640"/>
      <c r="CR96" s="1640"/>
      <c r="CS96" s="1044"/>
      <c r="CT96" s="1044"/>
      <c r="CV96" s="537"/>
      <c r="CW96" s="537"/>
      <c r="CX96" s="537"/>
      <c r="DA96" s="212"/>
      <c r="DB96" s="1226"/>
    </row>
    <row r="97" spans="1:106" s="2644" customFormat="1" ht="12.75" customHeight="1" x14ac:dyDescent="0.2">
      <c r="A97" s="2765" t="s">
        <v>2460</v>
      </c>
      <c r="B97" s="1278"/>
      <c r="C97" s="1278"/>
      <c r="D97" s="1278"/>
      <c r="E97" s="1278"/>
      <c r="F97" s="2671"/>
      <c r="G97" s="1278"/>
      <c r="H97" s="1278"/>
      <c r="I97" s="1278"/>
      <c r="J97" s="1278"/>
      <c r="K97" s="2671"/>
      <c r="L97" s="1278"/>
      <c r="M97" s="1278"/>
      <c r="N97" s="1278"/>
      <c r="O97" s="1278"/>
      <c r="P97" s="2671"/>
      <c r="Q97" s="885"/>
      <c r="R97" s="885"/>
      <c r="S97" s="885"/>
      <c r="T97" s="885"/>
      <c r="U97" s="1044"/>
      <c r="V97" s="885"/>
      <c r="W97" s="885"/>
      <c r="X97" s="885"/>
      <c r="Y97" s="885"/>
      <c r="Z97" s="1044"/>
      <c r="AA97" s="885"/>
      <c r="AB97" s="885"/>
      <c r="AC97" s="885"/>
      <c r="AD97" s="885"/>
      <c r="AE97" s="1044"/>
      <c r="AF97" s="885"/>
      <c r="AG97" s="885"/>
      <c r="AH97" s="885"/>
      <c r="AI97" s="885"/>
      <c r="AJ97" s="1044"/>
      <c r="AK97" s="885"/>
      <c r="AL97" s="885"/>
      <c r="AM97" s="885"/>
      <c r="AN97" s="885"/>
      <c r="AO97" s="1044"/>
      <c r="AP97" s="885"/>
      <c r="AQ97" s="885"/>
      <c r="AR97" s="885"/>
      <c r="AS97" s="885"/>
      <c r="AT97" s="1044"/>
      <c r="AU97" s="885"/>
      <c r="AV97" s="885"/>
      <c r="AW97" s="885"/>
      <c r="AX97" s="885"/>
      <c r="AY97" s="1044"/>
      <c r="AZ97" s="885"/>
      <c r="BA97" s="885"/>
      <c r="BB97" s="885"/>
      <c r="BC97" s="885"/>
      <c r="BD97" s="1044"/>
      <c r="BE97" s="885"/>
      <c r="BF97" s="885"/>
      <c r="BG97" s="885"/>
      <c r="BH97" s="885"/>
      <c r="BI97" s="1044"/>
      <c r="BJ97" s="885"/>
      <c r="BK97" s="885"/>
      <c r="BL97" s="885"/>
      <c r="BM97" s="885"/>
      <c r="BN97" s="1044"/>
      <c r="BO97" s="885"/>
      <c r="BP97" s="885"/>
      <c r="BQ97" s="885"/>
      <c r="BR97" s="885"/>
      <c r="BS97" s="1044"/>
      <c r="BT97" s="885"/>
      <c r="BU97" s="885"/>
      <c r="BV97" s="885"/>
      <c r="BW97" s="885"/>
      <c r="BX97" s="1044"/>
      <c r="BY97" s="885"/>
      <c r="BZ97" s="885"/>
      <c r="CA97" s="885"/>
      <c r="CB97" s="3082">
        <f>CB153*CB203</f>
        <v>210.58444</v>
      </c>
      <c r="CC97" s="2345">
        <f>CC153*CC203</f>
        <v>208.26177518408707</v>
      </c>
      <c r="CD97" s="3082">
        <f>CD153*CD203</f>
        <v>164.22176999999999</v>
      </c>
      <c r="CE97" s="3082">
        <f>CE153*CE203</f>
        <v>208.26522</v>
      </c>
      <c r="CF97" s="3082">
        <f>CF153*CF203</f>
        <v>208.25900569687502</v>
      </c>
      <c r="CG97" s="3082"/>
      <c r="CH97" s="2345"/>
      <c r="CI97" s="3082"/>
      <c r="CJ97" s="3082"/>
      <c r="CK97" s="3082"/>
      <c r="CL97" s="3082"/>
      <c r="CM97" s="2345"/>
      <c r="CN97" s="3082"/>
      <c r="CO97" s="3082"/>
      <c r="CP97" s="3082"/>
      <c r="CQ97" s="1811"/>
      <c r="CR97" s="3082"/>
      <c r="CS97" s="2345"/>
      <c r="CT97" s="2345"/>
      <c r="CV97" s="2818"/>
      <c r="CW97" s="2818"/>
      <c r="CX97" s="2818"/>
      <c r="DA97" s="212"/>
      <c r="DB97" s="1226"/>
    </row>
    <row r="98" spans="1:106" s="207" customFormat="1" ht="12.75" customHeight="1" x14ac:dyDescent="0.2">
      <c r="A98" s="1737" t="s">
        <v>2469</v>
      </c>
      <c r="B98" s="1924"/>
      <c r="C98" s="1924"/>
      <c r="D98" s="1924"/>
      <c r="E98" s="1924"/>
      <c r="F98" s="1890"/>
      <c r="G98" s="1924"/>
      <c r="H98" s="1924"/>
      <c r="I98" s="1924"/>
      <c r="J98" s="1924"/>
      <c r="K98" s="1890"/>
      <c r="L98" s="1924"/>
      <c r="M98" s="1924"/>
      <c r="N98" s="1924"/>
      <c r="O98" s="1924"/>
      <c r="P98" s="1890"/>
      <c r="Q98" s="1043"/>
      <c r="R98" s="1043"/>
      <c r="S98" s="1043"/>
      <c r="T98" s="1043"/>
      <c r="U98" s="1953"/>
      <c r="V98" s="1043"/>
      <c r="W98" s="1043"/>
      <c r="X98" s="1043"/>
      <c r="Y98" s="1043"/>
      <c r="Z98" s="1953"/>
      <c r="AA98" s="1043"/>
      <c r="AB98" s="1043"/>
      <c r="AC98" s="1043"/>
      <c r="AD98" s="1043"/>
      <c r="AE98" s="1953"/>
      <c r="AF98" s="1043"/>
      <c r="AG98" s="1043"/>
      <c r="AH98" s="1043"/>
      <c r="AI98" s="1043"/>
      <c r="AJ98" s="1953"/>
      <c r="AK98" s="1043"/>
      <c r="AL98" s="1043"/>
      <c r="AM98" s="1043"/>
      <c r="AN98" s="1043"/>
      <c r="AO98" s="1953"/>
      <c r="AP98" s="1043"/>
      <c r="AQ98" s="1043"/>
      <c r="AR98" s="1043"/>
      <c r="AS98" s="1043"/>
      <c r="AT98" s="1953"/>
      <c r="AU98" s="1043"/>
      <c r="AV98" s="1043"/>
      <c r="AW98" s="1043"/>
      <c r="AX98" s="1043"/>
      <c r="AY98" s="1953"/>
      <c r="AZ98" s="1043"/>
      <c r="BA98" s="1043"/>
      <c r="BB98" s="1043"/>
      <c r="BC98" s="1043"/>
      <c r="BD98" s="1953"/>
      <c r="BE98" s="1043"/>
      <c r="BF98" s="1043"/>
      <c r="BG98" s="1043"/>
      <c r="BH98" s="1043"/>
      <c r="BI98" s="1953"/>
      <c r="BJ98" s="1043"/>
      <c r="BK98" s="1043"/>
      <c r="BL98" s="1043"/>
      <c r="BM98" s="1043"/>
      <c r="BN98" s="1545"/>
      <c r="BO98" s="1043"/>
      <c r="BP98" s="1043"/>
      <c r="BQ98" s="1043"/>
      <c r="BR98" s="1043"/>
      <c r="BS98" s="1545"/>
      <c r="BT98" s="1043"/>
      <c r="BU98" s="1043"/>
      <c r="BV98" s="1043"/>
      <c r="BW98" s="1043"/>
      <c r="BX98" s="1545"/>
      <c r="BY98" s="1043"/>
      <c r="BZ98" s="1043"/>
      <c r="CA98" s="1043"/>
      <c r="CB98" s="2882">
        <v>-2.604004501451973E-2</v>
      </c>
      <c r="CC98" s="2881">
        <v>-2.1700897617777937E-2</v>
      </c>
      <c r="CD98" s="2882">
        <v>-6.2899577265100093E-2</v>
      </c>
      <c r="CE98" s="2882">
        <v>-8.6912156890391556E-2</v>
      </c>
      <c r="CF98" s="2882">
        <v>-5.4268749999999866E-2</v>
      </c>
      <c r="CG98" s="885"/>
      <c r="CH98" s="1044"/>
      <c r="CI98" s="885"/>
      <c r="CJ98" s="885"/>
      <c r="CK98" s="885"/>
      <c r="CL98" s="885"/>
      <c r="CM98" s="1044"/>
      <c r="CN98" s="885"/>
      <c r="CO98" s="885"/>
      <c r="CP98" s="885"/>
      <c r="CQ98" s="1640"/>
      <c r="CR98" s="1640"/>
      <c r="CS98" s="1044"/>
      <c r="CT98" s="1044"/>
      <c r="CV98" s="537"/>
      <c r="CW98" s="537"/>
      <c r="CX98" s="537"/>
      <c r="DA98" s="212"/>
      <c r="DB98" s="1226"/>
    </row>
    <row r="99" spans="1:106" s="2644" customFormat="1" ht="12.75" customHeight="1" x14ac:dyDescent="0.2">
      <c r="A99" s="2765" t="s">
        <v>2457</v>
      </c>
      <c r="B99" s="1278"/>
      <c r="C99" s="1278"/>
      <c r="D99" s="1278"/>
      <c r="E99" s="1278"/>
      <c r="F99" s="2671"/>
      <c r="G99" s="1278"/>
      <c r="H99" s="1278"/>
      <c r="I99" s="1278"/>
      <c r="J99" s="1278"/>
      <c r="K99" s="2671"/>
      <c r="L99" s="1278"/>
      <c r="M99" s="1278"/>
      <c r="N99" s="1278"/>
      <c r="O99" s="1278"/>
      <c r="P99" s="2671"/>
      <c r="Q99" s="885"/>
      <c r="R99" s="885"/>
      <c r="S99" s="885"/>
      <c r="T99" s="885"/>
      <c r="U99" s="1044"/>
      <c r="V99" s="885"/>
      <c r="W99" s="885"/>
      <c r="X99" s="885"/>
      <c r="Y99" s="885"/>
      <c r="Z99" s="1044"/>
      <c r="AA99" s="885"/>
      <c r="AB99" s="885"/>
      <c r="AC99" s="885"/>
      <c r="AD99" s="885"/>
      <c r="AE99" s="1044"/>
      <c r="AF99" s="885"/>
      <c r="AG99" s="885"/>
      <c r="AH99" s="885"/>
      <c r="AI99" s="885"/>
      <c r="AJ99" s="1044"/>
      <c r="AK99" s="885"/>
      <c r="AL99" s="885"/>
      <c r="AM99" s="885"/>
      <c r="AN99" s="885"/>
      <c r="AO99" s="1044"/>
      <c r="AP99" s="885"/>
      <c r="AQ99" s="885"/>
      <c r="AR99" s="885"/>
      <c r="AS99" s="885"/>
      <c r="AT99" s="1044"/>
      <c r="AU99" s="885"/>
      <c r="AV99" s="885"/>
      <c r="AW99" s="885"/>
      <c r="AX99" s="885"/>
      <c r="AY99" s="1044"/>
      <c r="AZ99" s="885"/>
      <c r="BA99" s="885"/>
      <c r="BB99" s="885"/>
      <c r="BC99" s="885"/>
      <c r="BD99" s="1044"/>
      <c r="BE99" s="885"/>
      <c r="BF99" s="885"/>
      <c r="BG99" s="885"/>
      <c r="BH99" s="885"/>
      <c r="BI99" s="1044"/>
      <c r="BJ99" s="885"/>
      <c r="BK99" s="885"/>
      <c r="BL99" s="885"/>
      <c r="BM99" s="885"/>
      <c r="BN99" s="1044"/>
      <c r="BO99" s="885"/>
      <c r="BP99" s="885"/>
      <c r="BQ99" s="885"/>
      <c r="BR99" s="885"/>
      <c r="BS99" s="1044"/>
      <c r="BT99" s="885"/>
      <c r="BU99" s="885"/>
      <c r="BV99" s="885"/>
      <c r="BW99" s="885"/>
      <c r="BX99" s="1044"/>
      <c r="BY99" s="885"/>
      <c r="BZ99" s="885"/>
      <c r="CA99" s="885"/>
      <c r="CB99" s="3082">
        <f>CB155*CB205</f>
        <v>239.16460000000001</v>
      </c>
      <c r="CC99" s="2345">
        <f>CC155*CC205</f>
        <v>240.30735934711953</v>
      </c>
      <c r="CD99" s="3082">
        <f>CD155*CD205</f>
        <v>217.22880000000004</v>
      </c>
      <c r="CE99" s="3082">
        <f>CE155*CE205</f>
        <v>247.56196</v>
      </c>
      <c r="CF99" s="3082">
        <f>CF155*CF205</f>
        <v>242.93599265249998</v>
      </c>
      <c r="CG99" s="3082"/>
      <c r="CH99" s="2345"/>
      <c r="CI99" s="3082"/>
      <c r="CJ99" s="3082"/>
      <c r="CK99" s="3082"/>
      <c r="CL99" s="3082"/>
      <c r="CM99" s="2345"/>
      <c r="CN99" s="3082"/>
      <c r="CO99" s="3082"/>
      <c r="CP99" s="3082"/>
      <c r="CQ99" s="1811"/>
      <c r="CR99" s="3082"/>
      <c r="CS99" s="2345"/>
      <c r="CT99" s="2345"/>
      <c r="CV99" s="2818"/>
      <c r="CW99" s="2818"/>
      <c r="CX99" s="2818"/>
      <c r="DA99" s="212"/>
      <c r="DB99" s="1226"/>
    </row>
    <row r="100" spans="1:106" s="207" customFormat="1" ht="12.75" customHeight="1" x14ac:dyDescent="0.2">
      <c r="A100" s="1737" t="s">
        <v>2469</v>
      </c>
      <c r="B100" s="1924"/>
      <c r="C100" s="1924"/>
      <c r="D100" s="1924"/>
      <c r="E100" s="1924"/>
      <c r="F100" s="1890"/>
      <c r="G100" s="1924"/>
      <c r="H100" s="1924"/>
      <c r="I100" s="1924"/>
      <c r="J100" s="1924"/>
      <c r="K100" s="1890"/>
      <c r="L100" s="1924"/>
      <c r="M100" s="1924"/>
      <c r="N100" s="1924"/>
      <c r="O100" s="1924"/>
      <c r="P100" s="1890"/>
      <c r="Q100" s="1043"/>
      <c r="R100" s="1043"/>
      <c r="S100" s="1043"/>
      <c r="T100" s="1043"/>
      <c r="U100" s="1953"/>
      <c r="V100" s="1043"/>
      <c r="W100" s="1043"/>
      <c r="X100" s="1043"/>
      <c r="Y100" s="1043"/>
      <c r="Z100" s="1953"/>
      <c r="AA100" s="1043"/>
      <c r="AB100" s="1043"/>
      <c r="AC100" s="1043"/>
      <c r="AD100" s="1043"/>
      <c r="AE100" s="1953"/>
      <c r="AF100" s="1043"/>
      <c r="AG100" s="1043"/>
      <c r="AH100" s="1043"/>
      <c r="AI100" s="1043"/>
      <c r="AJ100" s="1953"/>
      <c r="AK100" s="1043"/>
      <c r="AL100" s="1043"/>
      <c r="AM100" s="1043"/>
      <c r="AN100" s="1043"/>
      <c r="AO100" s="1953"/>
      <c r="AP100" s="1043"/>
      <c r="AQ100" s="1043"/>
      <c r="AR100" s="1043"/>
      <c r="AS100" s="1043"/>
      <c r="AT100" s="1953"/>
      <c r="AU100" s="1043"/>
      <c r="AV100" s="1043"/>
      <c r="AW100" s="1043"/>
      <c r="AX100" s="1043"/>
      <c r="AY100" s="1953"/>
      <c r="AZ100" s="1043"/>
      <c r="BA100" s="1043"/>
      <c r="BB100" s="1043"/>
      <c r="BC100" s="1043"/>
      <c r="BD100" s="1953"/>
      <c r="BE100" s="1043"/>
      <c r="BF100" s="1043"/>
      <c r="BG100" s="1043"/>
      <c r="BH100" s="1043"/>
      <c r="BI100" s="1953"/>
      <c r="BJ100" s="1043"/>
      <c r="BK100" s="1043"/>
      <c r="BL100" s="1043"/>
      <c r="BM100" s="1043"/>
      <c r="BN100" s="1545"/>
      <c r="BO100" s="1043"/>
      <c r="BP100" s="1043"/>
      <c r="BQ100" s="1043"/>
      <c r="BR100" s="1043"/>
      <c r="BS100" s="1545"/>
      <c r="BT100" s="1043"/>
      <c r="BU100" s="1043"/>
      <c r="BV100" s="1043"/>
      <c r="BW100" s="1043"/>
      <c r="BX100" s="1545"/>
      <c r="BY100" s="1043"/>
      <c r="BZ100" s="1043"/>
      <c r="CA100" s="1043"/>
      <c r="CB100" s="2882">
        <v>1.7835872994094171E-2</v>
      </c>
      <c r="CC100" s="2881">
        <v>5.1170814671214204E-2</v>
      </c>
      <c r="CD100" s="2882">
        <v>-6.2484948663613871E-2</v>
      </c>
      <c r="CE100" s="2882">
        <v>-1.5755030697974237E-2</v>
      </c>
      <c r="CF100" s="2882">
        <v>1.9593749999999854E-2</v>
      </c>
      <c r="CG100" s="2882"/>
      <c r="CH100" s="2881"/>
      <c r="CI100" s="885"/>
      <c r="CJ100" s="885"/>
      <c r="CK100" s="885"/>
      <c r="CL100" s="885"/>
      <c r="CM100" s="1044"/>
      <c r="CN100" s="885"/>
      <c r="CO100" s="885"/>
      <c r="CP100" s="885"/>
      <c r="CQ100" s="1640"/>
      <c r="CR100" s="1640"/>
      <c r="CS100" s="1044"/>
      <c r="CT100" s="1044"/>
      <c r="CV100" s="537"/>
      <c r="CW100" s="537"/>
      <c r="CX100" s="537"/>
      <c r="DA100" s="212"/>
      <c r="DB100" s="1226"/>
    </row>
    <row r="101" spans="1:106" s="2644" customFormat="1" ht="12.75" customHeight="1" x14ac:dyDescent="0.2">
      <c r="A101" s="2765" t="s">
        <v>2456</v>
      </c>
      <c r="B101" s="1278"/>
      <c r="C101" s="1278"/>
      <c r="D101" s="1278"/>
      <c r="E101" s="1278"/>
      <c r="F101" s="2671"/>
      <c r="G101" s="1278"/>
      <c r="H101" s="1278"/>
      <c r="I101" s="1278"/>
      <c r="J101" s="1278"/>
      <c r="K101" s="2671"/>
      <c r="L101" s="1278"/>
      <c r="M101" s="1278"/>
      <c r="N101" s="1278"/>
      <c r="O101" s="1278"/>
      <c r="P101" s="2671"/>
      <c r="Q101" s="885"/>
      <c r="R101" s="885"/>
      <c r="S101" s="885"/>
      <c r="T101" s="885"/>
      <c r="U101" s="1044"/>
      <c r="V101" s="885"/>
      <c r="W101" s="885"/>
      <c r="X101" s="885"/>
      <c r="Y101" s="885"/>
      <c r="Z101" s="1044"/>
      <c r="AA101" s="885"/>
      <c r="AB101" s="885"/>
      <c r="AC101" s="885"/>
      <c r="AD101" s="885"/>
      <c r="AE101" s="1044"/>
      <c r="AF101" s="885"/>
      <c r="AG101" s="885"/>
      <c r="AH101" s="885"/>
      <c r="AI101" s="885"/>
      <c r="AJ101" s="1044"/>
      <c r="AK101" s="885"/>
      <c r="AL101" s="885"/>
      <c r="AM101" s="885"/>
      <c r="AN101" s="885"/>
      <c r="AO101" s="1044"/>
      <c r="AP101" s="885"/>
      <c r="AQ101" s="885"/>
      <c r="AR101" s="885"/>
      <c r="AS101" s="885"/>
      <c r="AT101" s="1044"/>
      <c r="AU101" s="885"/>
      <c r="AV101" s="885"/>
      <c r="AW101" s="885"/>
      <c r="AX101" s="885"/>
      <c r="AY101" s="1044"/>
      <c r="AZ101" s="885"/>
      <c r="BA101" s="885"/>
      <c r="BB101" s="885"/>
      <c r="BC101" s="885"/>
      <c r="BD101" s="1044"/>
      <c r="BE101" s="885"/>
      <c r="BF101" s="885"/>
      <c r="BG101" s="885"/>
      <c r="BH101" s="885"/>
      <c r="BI101" s="1044"/>
      <c r="BJ101" s="885"/>
      <c r="BK101" s="885"/>
      <c r="BL101" s="885"/>
      <c r="BM101" s="885"/>
      <c r="BN101" s="1044"/>
      <c r="BO101" s="885"/>
      <c r="BP101" s="885"/>
      <c r="BQ101" s="885"/>
      <c r="BR101" s="885"/>
      <c r="BS101" s="1044"/>
      <c r="BT101" s="885"/>
      <c r="BU101" s="885"/>
      <c r="BV101" s="885"/>
      <c r="BW101" s="885"/>
      <c r="BX101" s="1044"/>
      <c r="BY101" s="885"/>
      <c r="BZ101" s="885"/>
      <c r="CA101" s="885"/>
      <c r="CB101" s="3082">
        <f>CB157*CB207</f>
        <v>78.20808000000001</v>
      </c>
      <c r="CC101" s="2345">
        <f>CC157*CC207</f>
        <v>84.805730044661317</v>
      </c>
      <c r="CD101" s="3082">
        <f>CD157*CD207</f>
        <v>76.636400000000009</v>
      </c>
      <c r="CE101" s="3082">
        <f>CE157*CE207</f>
        <v>93.542840000000012</v>
      </c>
      <c r="CF101" s="3082">
        <f>CF157*CF207</f>
        <v>97.458253200000016</v>
      </c>
      <c r="CG101" s="3082"/>
      <c r="CH101" s="2345"/>
      <c r="CI101" s="3082"/>
      <c r="CJ101" s="3082"/>
      <c r="CK101" s="3082"/>
      <c r="CL101" s="3082"/>
      <c r="CM101" s="2345"/>
      <c r="CN101" s="3082"/>
      <c r="CO101" s="3082"/>
      <c r="CP101" s="3082"/>
      <c r="CQ101" s="1811"/>
      <c r="CR101" s="3082"/>
      <c r="CS101" s="2345"/>
      <c r="CT101" s="2345"/>
      <c r="CV101" s="2818"/>
      <c r="CW101" s="2818"/>
      <c r="CX101" s="2818"/>
      <c r="DA101" s="212"/>
      <c r="DB101" s="1226"/>
    </row>
    <row r="102" spans="1:106" s="207" customFormat="1" ht="12.75" customHeight="1" x14ac:dyDescent="0.2">
      <c r="A102" s="1737" t="s">
        <v>2469</v>
      </c>
      <c r="B102" s="1924"/>
      <c r="C102" s="1924"/>
      <c r="D102" s="1924"/>
      <c r="E102" s="1924"/>
      <c r="F102" s="1890"/>
      <c r="G102" s="1924"/>
      <c r="H102" s="1924"/>
      <c r="I102" s="1924"/>
      <c r="J102" s="1924"/>
      <c r="K102" s="1890"/>
      <c r="L102" s="1924"/>
      <c r="M102" s="1924"/>
      <c r="N102" s="1924"/>
      <c r="O102" s="1924"/>
      <c r="P102" s="1890"/>
      <c r="Q102" s="1043"/>
      <c r="R102" s="1043"/>
      <c r="S102" s="1043"/>
      <c r="T102" s="1043"/>
      <c r="U102" s="1953"/>
      <c r="V102" s="1043"/>
      <c r="W102" s="1043"/>
      <c r="X102" s="1043"/>
      <c r="Y102" s="1043"/>
      <c r="Z102" s="1953"/>
      <c r="AA102" s="1043"/>
      <c r="AB102" s="1043"/>
      <c r="AC102" s="1043"/>
      <c r="AD102" s="1043"/>
      <c r="AE102" s="1953"/>
      <c r="AF102" s="1043"/>
      <c r="AG102" s="1043"/>
      <c r="AH102" s="1043"/>
      <c r="AI102" s="1043"/>
      <c r="AJ102" s="1953"/>
      <c r="AK102" s="1043"/>
      <c r="AL102" s="1043"/>
      <c r="AM102" s="1043"/>
      <c r="AN102" s="1043"/>
      <c r="AO102" s="1953"/>
      <c r="AP102" s="1043"/>
      <c r="AQ102" s="1043"/>
      <c r="AR102" s="1043"/>
      <c r="AS102" s="1043"/>
      <c r="AT102" s="1953"/>
      <c r="AU102" s="1043"/>
      <c r="AV102" s="1043"/>
      <c r="AW102" s="1043"/>
      <c r="AX102" s="1043"/>
      <c r="AY102" s="1953"/>
      <c r="AZ102" s="1043"/>
      <c r="BA102" s="1043"/>
      <c r="BB102" s="1043"/>
      <c r="BC102" s="1043"/>
      <c r="BD102" s="1953"/>
      <c r="BE102" s="1043"/>
      <c r="BF102" s="1043"/>
      <c r="BG102" s="1043"/>
      <c r="BH102" s="1043"/>
      <c r="BI102" s="1953"/>
      <c r="BJ102" s="1043"/>
      <c r="BK102" s="1043"/>
      <c r="BL102" s="1043"/>
      <c r="BM102" s="1043"/>
      <c r="BN102" s="1545"/>
      <c r="BO102" s="1043"/>
      <c r="BP102" s="1043"/>
      <c r="BQ102" s="1043"/>
      <c r="BR102" s="1043"/>
      <c r="BS102" s="1545"/>
      <c r="BT102" s="1043"/>
      <c r="BU102" s="1043"/>
      <c r="BV102" s="1043"/>
      <c r="BW102" s="1043"/>
      <c r="BX102" s="1545"/>
      <c r="BY102" s="1043"/>
      <c r="BZ102" s="1043"/>
      <c r="CA102" s="1043"/>
      <c r="CB102" s="2882">
        <v>2.0796248452322086E-2</v>
      </c>
      <c r="CC102" s="2881">
        <v>1.0988786696860098E-2</v>
      </c>
      <c r="CD102" s="2882">
        <v>-4.9032630682048772E-3</v>
      </c>
      <c r="CE102" s="2882">
        <v>3.9727176047120505E-2</v>
      </c>
      <c r="CF102" s="2882">
        <v>3.2499999999999973E-2</v>
      </c>
      <c r="CG102" s="885"/>
      <c r="CH102" s="1044"/>
      <c r="CI102" s="885"/>
      <c r="CJ102" s="885"/>
      <c r="CK102" s="885"/>
      <c r="CL102" s="885"/>
      <c r="CM102" s="1044"/>
      <c r="CN102" s="885"/>
      <c r="CO102" s="885"/>
      <c r="CP102" s="885"/>
      <c r="CQ102" s="1640"/>
      <c r="CR102" s="1640"/>
      <c r="CS102" s="1044"/>
      <c r="CT102" s="1044"/>
      <c r="CV102" s="537"/>
      <c r="CW102" s="537"/>
      <c r="CX102" s="537"/>
      <c r="DA102" s="212"/>
      <c r="DB102" s="1226"/>
    </row>
    <row r="103" spans="1:106" s="2644" customFormat="1" ht="12.75" customHeight="1" x14ac:dyDescent="0.2">
      <c r="A103" s="2765" t="s">
        <v>2461</v>
      </c>
      <c r="B103" s="1278"/>
      <c r="C103" s="1278"/>
      <c r="D103" s="1278"/>
      <c r="E103" s="1278"/>
      <c r="F103" s="2671"/>
      <c r="G103" s="1278"/>
      <c r="H103" s="1278"/>
      <c r="I103" s="1278"/>
      <c r="J103" s="1278"/>
      <c r="K103" s="2671"/>
      <c r="L103" s="1278"/>
      <c r="M103" s="1278"/>
      <c r="N103" s="1278"/>
      <c r="O103" s="1278"/>
      <c r="P103" s="2671"/>
      <c r="Q103" s="885"/>
      <c r="R103" s="885"/>
      <c r="S103" s="885"/>
      <c r="T103" s="885"/>
      <c r="U103" s="1044"/>
      <c r="V103" s="885"/>
      <c r="W103" s="885"/>
      <c r="X103" s="885"/>
      <c r="Y103" s="885"/>
      <c r="Z103" s="1044"/>
      <c r="AA103" s="885"/>
      <c r="AB103" s="885"/>
      <c r="AC103" s="885"/>
      <c r="AD103" s="885"/>
      <c r="AE103" s="1044"/>
      <c r="AF103" s="885"/>
      <c r="AG103" s="885"/>
      <c r="AH103" s="885"/>
      <c r="AI103" s="885"/>
      <c r="AJ103" s="1044"/>
      <c r="AK103" s="885"/>
      <c r="AL103" s="885"/>
      <c r="AM103" s="885"/>
      <c r="AN103" s="885"/>
      <c r="AO103" s="1044"/>
      <c r="AP103" s="885"/>
      <c r="AQ103" s="885"/>
      <c r="AR103" s="885"/>
      <c r="AS103" s="885"/>
      <c r="AT103" s="1044"/>
      <c r="AU103" s="885"/>
      <c r="AV103" s="885"/>
      <c r="AW103" s="885"/>
      <c r="AX103" s="885"/>
      <c r="AY103" s="1044"/>
      <c r="AZ103" s="885"/>
      <c r="BA103" s="885"/>
      <c r="BB103" s="885"/>
      <c r="BC103" s="885"/>
      <c r="BD103" s="1044"/>
      <c r="BE103" s="885"/>
      <c r="BF103" s="885"/>
      <c r="BG103" s="885"/>
      <c r="BH103" s="885"/>
      <c r="BI103" s="1044"/>
      <c r="BJ103" s="885"/>
      <c r="BK103" s="885"/>
      <c r="BL103" s="885"/>
      <c r="BM103" s="885"/>
      <c r="BN103" s="1044"/>
      <c r="BO103" s="885"/>
      <c r="BP103" s="885"/>
      <c r="BQ103" s="885"/>
      <c r="BR103" s="885"/>
      <c r="BS103" s="1044"/>
      <c r="BT103" s="885"/>
      <c r="BU103" s="885"/>
      <c r="BV103" s="885"/>
      <c r="BW103" s="885"/>
      <c r="BX103" s="1044"/>
      <c r="BY103" s="885"/>
      <c r="BZ103" s="885"/>
      <c r="CA103" s="885"/>
      <c r="CB103" s="3082">
        <f>CB159*CB209</f>
        <v>97.934989999999999</v>
      </c>
      <c r="CC103" s="2345">
        <f>CC159*CC209</f>
        <v>103.47566018142241</v>
      </c>
      <c r="CD103" s="3082">
        <f>CD159*CD209</f>
        <v>96.738659999999996</v>
      </c>
      <c r="CE103" s="3082">
        <f>CE159*CE209</f>
        <v>113.04683999999999</v>
      </c>
      <c r="CF103" s="3082">
        <f>CF159*CF209</f>
        <v>111.8849214</v>
      </c>
      <c r="CG103" s="3082"/>
      <c r="CH103" s="2345"/>
      <c r="CI103" s="3082"/>
      <c r="CJ103" s="3082"/>
      <c r="CK103" s="3082"/>
      <c r="CL103" s="3082"/>
      <c r="CM103" s="2345"/>
      <c r="CN103" s="3082"/>
      <c r="CO103" s="3082"/>
      <c r="CP103" s="3082"/>
      <c r="CQ103" s="1811"/>
      <c r="CR103" s="3082"/>
      <c r="CS103" s="2345"/>
      <c r="CT103" s="2345"/>
      <c r="CV103" s="2818"/>
      <c r="CW103" s="2818"/>
      <c r="CX103" s="2818"/>
      <c r="DA103" s="212"/>
      <c r="DB103" s="1226"/>
    </row>
    <row r="104" spans="1:106" s="207" customFormat="1" ht="12.75" customHeight="1" x14ac:dyDescent="0.2">
      <c r="A104" s="1737" t="s">
        <v>2469</v>
      </c>
      <c r="B104" s="1924"/>
      <c r="C104" s="1924"/>
      <c r="D104" s="1924"/>
      <c r="E104" s="1924"/>
      <c r="F104" s="1890"/>
      <c r="G104" s="1924"/>
      <c r="H104" s="1924"/>
      <c r="I104" s="1924"/>
      <c r="J104" s="1924"/>
      <c r="K104" s="1890"/>
      <c r="L104" s="1924"/>
      <c r="M104" s="1924"/>
      <c r="N104" s="1924"/>
      <c r="O104" s="1924"/>
      <c r="P104" s="1890"/>
      <c r="Q104" s="1043"/>
      <c r="R104" s="1043"/>
      <c r="S104" s="1043"/>
      <c r="T104" s="1043"/>
      <c r="U104" s="1953"/>
      <c r="V104" s="1043"/>
      <c r="W104" s="1043"/>
      <c r="X104" s="1043"/>
      <c r="Y104" s="1043"/>
      <c r="Z104" s="1953"/>
      <c r="AA104" s="1043"/>
      <c r="AB104" s="1043"/>
      <c r="AC104" s="1043"/>
      <c r="AD104" s="1043"/>
      <c r="AE104" s="1953"/>
      <c r="AF104" s="1043"/>
      <c r="AG104" s="1043"/>
      <c r="AH104" s="1043"/>
      <c r="AI104" s="1043"/>
      <c r="AJ104" s="1953"/>
      <c r="AK104" s="1043"/>
      <c r="AL104" s="1043"/>
      <c r="AM104" s="1043"/>
      <c r="AN104" s="1043"/>
      <c r="AO104" s="1953"/>
      <c r="AP104" s="1043"/>
      <c r="AQ104" s="1043"/>
      <c r="AR104" s="1043"/>
      <c r="AS104" s="1043"/>
      <c r="AT104" s="1953"/>
      <c r="AU104" s="1043"/>
      <c r="AV104" s="1043"/>
      <c r="AW104" s="1043"/>
      <c r="AX104" s="1043"/>
      <c r="AY104" s="1953"/>
      <c r="AZ104" s="1043"/>
      <c r="BA104" s="1043"/>
      <c r="BB104" s="1043"/>
      <c r="BC104" s="1043"/>
      <c r="BD104" s="1953"/>
      <c r="BE104" s="1043"/>
      <c r="BF104" s="1043"/>
      <c r="BG104" s="1043"/>
      <c r="BH104" s="1043"/>
      <c r="BI104" s="1953"/>
      <c r="BJ104" s="1043"/>
      <c r="BK104" s="1043"/>
      <c r="BL104" s="1043"/>
      <c r="BM104" s="1043"/>
      <c r="BN104" s="1545"/>
      <c r="BO104" s="1043"/>
      <c r="BP104" s="1043"/>
      <c r="BQ104" s="1043"/>
      <c r="BR104" s="1043"/>
      <c r="BS104" s="1545"/>
      <c r="BT104" s="1043"/>
      <c r="BU104" s="1043"/>
      <c r="BV104" s="1043"/>
      <c r="BW104" s="1043"/>
      <c r="BX104" s="1545"/>
      <c r="BY104" s="1043"/>
      <c r="BZ104" s="1043"/>
      <c r="CA104" s="1043"/>
      <c r="CB104" s="2882">
        <v>4.8200757089256419E-2</v>
      </c>
      <c r="CC104" s="2881">
        <v>8.1799433118001641E-2</v>
      </c>
      <c r="CD104" s="2882">
        <v>-2.6666716152569103E-3</v>
      </c>
      <c r="CE104" s="2882">
        <v>2.1682045648095505E-2</v>
      </c>
      <c r="CF104" s="2882">
        <v>3.2499999999999973E-2</v>
      </c>
      <c r="CG104" s="885"/>
      <c r="CH104" s="1044"/>
      <c r="CI104" s="885"/>
      <c r="CJ104" s="885"/>
      <c r="CK104" s="885"/>
      <c r="CL104" s="885"/>
      <c r="CM104" s="1044"/>
      <c r="CN104" s="885"/>
      <c r="CO104" s="885"/>
      <c r="CP104" s="885"/>
      <c r="CQ104" s="1640"/>
      <c r="CR104" s="1640"/>
      <c r="CS104" s="1044"/>
      <c r="CT104" s="1044"/>
      <c r="CV104" s="537"/>
      <c r="CW104" s="537"/>
      <c r="CX104" s="537"/>
      <c r="DA104" s="212"/>
      <c r="DB104" s="1226"/>
    </row>
    <row r="105" spans="1:106" s="2644" customFormat="1" ht="12.75" customHeight="1" x14ac:dyDescent="0.2">
      <c r="A105" s="2765" t="s">
        <v>1931</v>
      </c>
      <c r="B105" s="1278"/>
      <c r="C105" s="1278"/>
      <c r="D105" s="1278"/>
      <c r="E105" s="1278"/>
      <c r="F105" s="2671"/>
      <c r="G105" s="1278"/>
      <c r="H105" s="1278"/>
      <c r="I105" s="1278"/>
      <c r="J105" s="1278"/>
      <c r="K105" s="2671"/>
      <c r="L105" s="1278"/>
      <c r="M105" s="1278"/>
      <c r="N105" s="1278"/>
      <c r="O105" s="1278"/>
      <c r="P105" s="2671"/>
      <c r="Q105" s="885"/>
      <c r="R105" s="885"/>
      <c r="S105" s="885"/>
      <c r="T105" s="885"/>
      <c r="U105" s="1044"/>
      <c r="V105" s="885"/>
      <c r="W105" s="885"/>
      <c r="X105" s="885"/>
      <c r="Y105" s="885"/>
      <c r="Z105" s="1044"/>
      <c r="AA105" s="885"/>
      <c r="AB105" s="885"/>
      <c r="AC105" s="885"/>
      <c r="AD105" s="885"/>
      <c r="AE105" s="1044"/>
      <c r="AF105" s="885"/>
      <c r="AG105" s="885"/>
      <c r="AH105" s="885"/>
      <c r="AI105" s="885"/>
      <c r="AJ105" s="1044"/>
      <c r="AK105" s="885"/>
      <c r="AL105" s="885"/>
      <c r="AM105" s="885"/>
      <c r="AN105" s="885"/>
      <c r="AO105" s="1044"/>
      <c r="AP105" s="885"/>
      <c r="AQ105" s="885"/>
      <c r="AR105" s="885"/>
      <c r="AS105" s="885"/>
      <c r="AT105" s="1044"/>
      <c r="AU105" s="885"/>
      <c r="AV105" s="885"/>
      <c r="AW105" s="885"/>
      <c r="AX105" s="885"/>
      <c r="AY105" s="1044"/>
      <c r="AZ105" s="885"/>
      <c r="BA105" s="885"/>
      <c r="BB105" s="885"/>
      <c r="BC105" s="885"/>
      <c r="BD105" s="1044"/>
      <c r="BE105" s="885"/>
      <c r="BF105" s="885"/>
      <c r="BG105" s="885"/>
      <c r="BH105" s="885"/>
      <c r="BI105" s="1044"/>
      <c r="BJ105" s="885"/>
      <c r="BK105" s="885"/>
      <c r="BL105" s="885"/>
      <c r="BM105" s="885"/>
      <c r="BN105" s="1044"/>
      <c r="BO105" s="885"/>
      <c r="BP105" s="885"/>
      <c r="BQ105" s="885"/>
      <c r="BR105" s="885"/>
      <c r="BS105" s="1044"/>
      <c r="BT105" s="885"/>
      <c r="BU105" s="885"/>
      <c r="BV105" s="885"/>
      <c r="BW105" s="885"/>
      <c r="BX105" s="1044"/>
      <c r="BY105" s="885"/>
      <c r="BZ105" s="885"/>
      <c r="CA105" s="885"/>
      <c r="CB105" s="3082"/>
      <c r="CC105" s="3039"/>
      <c r="CD105" s="3088">
        <v>126.97104</v>
      </c>
      <c r="CE105" s="3089">
        <v>145.31776000000002</v>
      </c>
      <c r="CF105" s="3089">
        <v>136.11921700467187</v>
      </c>
      <c r="CG105" s="3089"/>
      <c r="CH105" s="3090"/>
      <c r="CI105" s="3089"/>
      <c r="CJ105" s="3089"/>
      <c r="CK105" s="3089"/>
      <c r="CL105" s="3089"/>
      <c r="CM105" s="3090"/>
      <c r="CN105" s="3089"/>
      <c r="CO105" s="3089"/>
      <c r="CP105" s="3089"/>
      <c r="CQ105" s="1811"/>
      <c r="CR105" s="3089"/>
      <c r="CS105" s="3090"/>
      <c r="CT105" s="3090"/>
      <c r="CV105" s="2818"/>
      <c r="CW105" s="2818"/>
      <c r="CX105" s="2818"/>
      <c r="DA105" s="212"/>
      <c r="DB105" s="1226"/>
    </row>
    <row r="106" spans="1:106" s="207" customFormat="1" ht="12.75" customHeight="1" x14ac:dyDescent="0.2">
      <c r="A106" s="1737" t="s">
        <v>2469</v>
      </c>
      <c r="B106" s="1924"/>
      <c r="C106" s="1924"/>
      <c r="D106" s="1924"/>
      <c r="E106" s="1924"/>
      <c r="F106" s="1890"/>
      <c r="G106" s="1924"/>
      <c r="H106" s="1924"/>
      <c r="I106" s="1924"/>
      <c r="J106" s="1924"/>
      <c r="K106" s="1890"/>
      <c r="L106" s="1924"/>
      <c r="M106" s="1924"/>
      <c r="N106" s="1924"/>
      <c r="O106" s="1924"/>
      <c r="P106" s="1890"/>
      <c r="Q106" s="1043"/>
      <c r="R106" s="1043"/>
      <c r="S106" s="1043"/>
      <c r="T106" s="1043"/>
      <c r="U106" s="1953"/>
      <c r="V106" s="1043"/>
      <c r="W106" s="1043"/>
      <c r="X106" s="1043"/>
      <c r="Y106" s="1043"/>
      <c r="Z106" s="1953"/>
      <c r="AA106" s="1043"/>
      <c r="AB106" s="1043"/>
      <c r="AC106" s="1043"/>
      <c r="AD106" s="1043"/>
      <c r="AE106" s="1953"/>
      <c r="AF106" s="1043"/>
      <c r="AG106" s="1043"/>
      <c r="AH106" s="1043"/>
      <c r="AI106" s="1043"/>
      <c r="AJ106" s="1953"/>
      <c r="AK106" s="1043"/>
      <c r="AL106" s="1043"/>
      <c r="AM106" s="1043"/>
      <c r="AN106" s="1043"/>
      <c r="AO106" s="1953"/>
      <c r="AP106" s="1043"/>
      <c r="AQ106" s="1043"/>
      <c r="AR106" s="1043"/>
      <c r="AS106" s="1043"/>
      <c r="AT106" s="1953"/>
      <c r="AU106" s="1043"/>
      <c r="AV106" s="1043"/>
      <c r="AW106" s="1043"/>
      <c r="AX106" s="1043"/>
      <c r="AY106" s="1953"/>
      <c r="AZ106" s="1043"/>
      <c r="BA106" s="1043"/>
      <c r="BB106" s="1043"/>
      <c r="BC106" s="1043"/>
      <c r="BD106" s="1953"/>
      <c r="BE106" s="1043"/>
      <c r="BF106" s="1043"/>
      <c r="BG106" s="1043"/>
      <c r="BH106" s="1043"/>
      <c r="BI106" s="1953"/>
      <c r="BJ106" s="1043"/>
      <c r="BK106" s="1043"/>
      <c r="BL106" s="1043"/>
      <c r="BM106" s="1043"/>
      <c r="BN106" s="1545"/>
      <c r="BO106" s="1043"/>
      <c r="BP106" s="1043"/>
      <c r="BQ106" s="1043"/>
      <c r="BR106" s="1043"/>
      <c r="BS106" s="1545"/>
      <c r="BT106" s="1043"/>
      <c r="BU106" s="1043"/>
      <c r="BV106" s="1043"/>
      <c r="BW106" s="1043"/>
      <c r="BX106" s="1545"/>
      <c r="BY106" s="1043"/>
      <c r="BZ106" s="1043"/>
      <c r="CA106" s="1043"/>
      <c r="CB106" s="2882"/>
      <c r="CC106" s="2881"/>
      <c r="CD106" s="2882"/>
      <c r="CE106" s="2882"/>
      <c r="CF106" s="2882"/>
      <c r="CG106" s="885"/>
      <c r="CH106" s="1044"/>
      <c r="CI106" s="885"/>
      <c r="CJ106" s="885"/>
      <c r="CK106" s="885"/>
      <c r="CL106" s="885"/>
      <c r="CM106" s="1044"/>
      <c r="CN106" s="885"/>
      <c r="CO106" s="885"/>
      <c r="CP106" s="885"/>
      <c r="CQ106" s="2606"/>
      <c r="CR106" s="1640"/>
      <c r="CS106" s="1044"/>
      <c r="CT106" s="1044"/>
      <c r="CV106" s="537"/>
      <c r="CW106" s="537"/>
      <c r="CX106" s="537"/>
      <c r="DA106" s="212"/>
      <c r="DB106" s="1226"/>
    </row>
    <row r="107" spans="1:106" ht="12.75" customHeight="1" x14ac:dyDescent="0.2">
      <c r="A107" s="331" t="s">
        <v>2692</v>
      </c>
      <c r="B107" s="1475"/>
      <c r="C107" s="1475"/>
      <c r="D107" s="1475"/>
      <c r="E107" s="1475"/>
      <c r="F107" s="1476"/>
      <c r="G107" s="1477"/>
      <c r="H107" s="1477"/>
      <c r="I107" s="1477"/>
      <c r="J107" s="1477"/>
      <c r="K107" s="1478"/>
      <c r="L107" s="1477"/>
      <c r="M107" s="1477"/>
      <c r="N107" s="1477"/>
      <c r="O107" s="1477"/>
      <c r="P107" s="1478"/>
      <c r="Q107" s="1477"/>
      <c r="R107" s="1477"/>
      <c r="S107" s="1477"/>
      <c r="T107" s="1477"/>
      <c r="U107" s="1478"/>
      <c r="V107" s="1477"/>
      <c r="W107" s="1477"/>
      <c r="X107" s="1477"/>
      <c r="Y107" s="1477"/>
      <c r="Z107" s="1478"/>
      <c r="AA107" s="1566"/>
      <c r="AB107" s="1566"/>
      <c r="AC107" s="1566"/>
      <c r="AD107" s="1566"/>
      <c r="AE107" s="1567"/>
      <c r="AF107" s="1566"/>
      <c r="AG107" s="1566"/>
      <c r="AH107" s="1566"/>
      <c r="AI107" s="1566"/>
      <c r="AJ107" s="1567"/>
      <c r="AK107" s="1566">
        <f>AK506*1000000/Rooms!AM563/RevPAR!AK4</f>
        <v>92.97255319461766</v>
      </c>
      <c r="AL107" s="1566">
        <f>AL506*1000000/Rooms!AN563/RevPAR!AL4</f>
        <v>103.74368287284248</v>
      </c>
      <c r="AM107" s="1566">
        <f>AM506*1000000/Rooms!AO563/RevPAR!AM4</f>
        <v>99.918867724996034</v>
      </c>
      <c r="AN107" s="1566">
        <f>AN506*1000000/Rooms!AP563/RevPAR!AN4</f>
        <v>96.026267419698272</v>
      </c>
      <c r="AO107" s="1567">
        <f>AO506*1000000/Rooms!AQ563/RevPAR!AO4</f>
        <v>96.147734926343702</v>
      </c>
      <c r="AP107" s="1566">
        <f>AP506*1000000/Rooms!AR563/RevPAR!AP4</f>
        <v>94.101934944397726</v>
      </c>
      <c r="AQ107" s="1566">
        <f>AQ506*1000000/Rooms!AS563/RevPAR!AQ4</f>
        <v>104.32184032606467</v>
      </c>
      <c r="AR107" s="1566">
        <f>AR506*1000000/Rooms!AT563/RevPAR!AR4</f>
        <v>98.524613990001811</v>
      </c>
      <c r="AS107" s="1566">
        <f>AS506*1000000/Rooms!AU563/RevPAR!AS4</f>
        <v>85.393457919774136</v>
      </c>
      <c r="AT107" s="1567">
        <f>AT506*1000000/Rooms!AV563/RevPAR!AT4</f>
        <v>92.764621291494748</v>
      </c>
      <c r="AU107" s="1566">
        <f>AU506*1000000/Rooms!AW563/RevPAR!AU4</f>
        <v>78.06119742607514</v>
      </c>
      <c r="AV107" s="1566">
        <f>AV506*1000000/Rooms!AX563/RevPAR!AV4</f>
        <v>81.432207510687562</v>
      </c>
      <c r="AW107" s="1566">
        <f>AW506*1000000/Rooms!AY563/RevPAR!AW4</f>
        <v>78.774985852656854</v>
      </c>
      <c r="AX107" s="1566">
        <f>AX506*1000000/Rooms!AZ563/RevPAR!AX4</f>
        <v>73.624047548857448</v>
      </c>
      <c r="AY107" s="1567">
        <f>AY506*1000000/Rooms!BA563/RevPAR!AY4</f>
        <v>75.794119173569584</v>
      </c>
      <c r="AZ107" s="1566">
        <f>AZ506*1000000/Rooms!BB563/RevPAR!AZ4</f>
        <v>75.375746452283039</v>
      </c>
      <c r="BA107" s="1566">
        <f>BA506*1000000/Rooms!BC563/RevPAR!BA4</f>
        <v>86.420058283187629</v>
      </c>
      <c r="BB107" s="1566">
        <f>BB506*1000000/Rooms!BD563/RevPAR!BB4</f>
        <v>83.852284376108287</v>
      </c>
      <c r="BC107" s="1566">
        <f>BC506*1000000/Rooms!BE563/RevPAR!BC4</f>
        <v>78.918167888160113</v>
      </c>
      <c r="BD107" s="1567">
        <f>BD506*1000000/Rooms!BF563/RevPAR!BD4</f>
        <v>80.052032386053128</v>
      </c>
      <c r="BE107" s="1566">
        <f>BE506*1000000/Rooms!BG563/RevPAR!BE4</f>
        <v>81.213161925183101</v>
      </c>
      <c r="BF107" s="1566">
        <f>BF506*1000000/Rooms!BH563/RevPAR!BF4</f>
        <v>92.757702243074135</v>
      </c>
      <c r="BG107" s="1566">
        <f>BG506*1000000/Rooms!BI563/RevPAR!BG4</f>
        <v>90.320524627950078</v>
      </c>
      <c r="BH107" s="1566">
        <f>BH506*1000000/Rooms!BJ563/RevPAR!BH4</f>
        <v>84.776080321186413</v>
      </c>
      <c r="BI107" s="1567">
        <f>BI506*1000000/Rooms!BK563/RevPAR!BI4</f>
        <v>86.600365609702877</v>
      </c>
      <c r="BJ107" s="1566">
        <f>BJ506*1000000/Rooms!BL563/RevPAR!BJ4</f>
        <v>87.661049323239894</v>
      </c>
      <c r="BK107" s="1566">
        <f>BK506*1000000/Rooms!BM563/RevPAR!BK4</f>
        <v>99.87975315831288</v>
      </c>
      <c r="BL107" s="1566">
        <f>BL506*1000000/Rooms!BN563/RevPAR!BL4</f>
        <v>96.872500661362182</v>
      </c>
      <c r="BM107" s="1566">
        <f>BM506*1000000/Rooms!BO563/RevPAR!BM4</f>
        <v>89.165784116129672</v>
      </c>
      <c r="BN107" s="1567">
        <f>BN506*1000000/Rooms!BP563/RevPAR!BN4</f>
        <v>91.639132063001</v>
      </c>
      <c r="BO107" s="1566">
        <f>BO506*1000000/Rooms!BQ563/RevPAR!BO4</f>
        <v>91.975011259659809</v>
      </c>
      <c r="BP107" s="1566">
        <f>BP506*1000000/Rooms!BR563/RevPAR!BP4</f>
        <v>103.51419341172912</v>
      </c>
      <c r="BQ107" s="1566">
        <f>BQ506*1000000/Rooms!BS563/RevPAR!BQ4</f>
        <v>99.553916234766078</v>
      </c>
      <c r="BR107" s="1566">
        <f>BR506*1000000/Rooms!BT563/RevPAR!BR4</f>
        <v>90.508588224752742</v>
      </c>
      <c r="BS107" s="1567">
        <f>BS506*1000000/Rooms!BU563/RevPAR!BS4</f>
        <v>95.776586276916959</v>
      </c>
      <c r="BT107" s="1566">
        <f>BT506*1000000/Rooms!BV563/RevPAR!BT4</f>
        <v>97.300421449497378</v>
      </c>
      <c r="BU107" s="1566">
        <f>BU506*1000000/Rooms!BW563/RevPAR!BU4</f>
        <v>110.3448546054007</v>
      </c>
      <c r="BV107" s="1566">
        <f>BV506*1000000/Rooms!BX563/RevPAR!BV4</f>
        <v>108.35196315324114</v>
      </c>
      <c r="BW107" s="1566">
        <f>BW506*1000000/Rooms!BY563/RevPAR!BW4</f>
        <v>97.253974183533302</v>
      </c>
      <c r="BX107" s="1567">
        <f>BX506*1000000/Rooms!BZ563/RevPAR!BX4</f>
        <v>102.0908836366736</v>
      </c>
      <c r="BY107" s="1566">
        <f>BY506*1000000/Rooms!CA563/RevPAR!BY4</f>
        <v>102.05053018072743</v>
      </c>
      <c r="BZ107" s="1566">
        <f>BZ506*1000000/Rooms!CB563/RevPAR!BZ4</f>
        <v>114.38873382691908</v>
      </c>
      <c r="CA107" s="1566">
        <f>CA506*1000000/Rooms!CC563/RevPAR!CA4</f>
        <v>113.01111922918263</v>
      </c>
      <c r="CB107" s="1566">
        <f>CB506*1000000/Rooms!CD563/RevPAR!CB4</f>
        <v>100.35202280653786</v>
      </c>
      <c r="CC107" s="1567">
        <f>CC506*1000000/Rooms!CE563/RevPAR!CC4</f>
        <v>105.60701249194092</v>
      </c>
      <c r="CD107" s="1566">
        <f>CD506*1000000/Rooms!CF563/RevPAR!CD4</f>
        <v>104.38499026509196</v>
      </c>
      <c r="CE107" s="1566">
        <f>CE506*1000000/Rooms!CG563/RevPAR!CE4</f>
        <v>117.65854236843631</v>
      </c>
      <c r="CF107" s="1566">
        <f>CF506*1000000/Rooms!CH563/RevPAR!CF4</f>
        <v>113.37397608004086</v>
      </c>
      <c r="CG107" s="1566"/>
      <c r="CH107" s="1567"/>
      <c r="CI107" s="1566"/>
      <c r="CJ107" s="1566"/>
      <c r="CK107" s="1566"/>
      <c r="CL107" s="1566"/>
      <c r="CM107" s="1567"/>
      <c r="CN107" s="1566"/>
      <c r="CO107" s="1566"/>
      <c r="CP107" s="1566"/>
      <c r="CQ107" s="1566"/>
      <c r="CR107" s="1567"/>
      <c r="CS107" s="1567"/>
      <c r="CT107" s="1567"/>
      <c r="DA107" s="212"/>
      <c r="DB107" s="1226"/>
    </row>
    <row r="108" spans="1:106" s="207" customFormat="1" ht="12.75" customHeight="1" x14ac:dyDescent="0.2">
      <c r="A108" s="1595" t="s">
        <v>562</v>
      </c>
      <c r="B108" s="1474"/>
      <c r="C108" s="1474"/>
      <c r="D108" s="1474"/>
      <c r="E108" s="1474"/>
      <c r="F108" s="1470"/>
      <c r="G108" s="1471"/>
      <c r="H108" s="1471"/>
      <c r="I108" s="1471"/>
      <c r="J108" s="1471"/>
      <c r="K108" s="1472"/>
      <c r="L108" s="1471"/>
      <c r="M108" s="1471"/>
      <c r="N108" s="1471"/>
      <c r="O108" s="1471"/>
      <c r="P108" s="1472"/>
      <c r="Q108" s="1471"/>
      <c r="R108" s="1471"/>
      <c r="S108" s="1471"/>
      <c r="T108" s="1471"/>
      <c r="U108" s="1472"/>
      <c r="V108" s="1471"/>
      <c r="W108" s="1471"/>
      <c r="X108" s="1471"/>
      <c r="Y108" s="1471"/>
      <c r="Z108" s="1472"/>
      <c r="AA108" s="885"/>
      <c r="AB108" s="885"/>
      <c r="AC108" s="885"/>
      <c r="AD108" s="885"/>
      <c r="AE108" s="1044"/>
      <c r="AF108" s="885"/>
      <c r="AG108" s="885"/>
      <c r="AH108" s="885"/>
      <c r="AI108" s="885"/>
      <c r="AJ108" s="1044"/>
      <c r="AK108" s="885"/>
      <c r="AL108" s="885"/>
      <c r="AM108" s="885"/>
      <c r="AN108" s="885"/>
      <c r="AO108" s="1044"/>
      <c r="AP108" s="885">
        <f>AP107/AK107-1</f>
        <v>1.2147474829651728E-2</v>
      </c>
      <c r="AQ108" s="885">
        <f t="shared" ref="AQ108:BQ108" si="129">AQ107/AL107-1</f>
        <v>5.5729412838643189E-3</v>
      </c>
      <c r="AR108" s="885">
        <f t="shared" si="129"/>
        <v>-1.3953858432739552E-2</v>
      </c>
      <c r="AS108" s="885">
        <f t="shared" si="129"/>
        <v>-0.11072813497427458</v>
      </c>
      <c r="AT108" s="1044">
        <f t="shared" si="129"/>
        <v>-3.5186618150086058E-2</v>
      </c>
      <c r="AU108" s="885">
        <f t="shared" si="129"/>
        <v>-0.17046129314769798</v>
      </c>
      <c r="AV108" s="885">
        <f t="shared" si="129"/>
        <v>-0.21941362176735069</v>
      </c>
      <c r="AW108" s="885">
        <f t="shared" si="129"/>
        <v>-0.20045374792687976</v>
      </c>
      <c r="AX108" s="885">
        <f t="shared" si="129"/>
        <v>-0.1378256678863371</v>
      </c>
      <c r="AY108" s="1044">
        <f t="shared" si="129"/>
        <v>-0.18294153397768609</v>
      </c>
      <c r="AZ108" s="885">
        <f t="shared" si="129"/>
        <v>-3.4401867539058162E-2</v>
      </c>
      <c r="BA108" s="885">
        <f t="shared" si="129"/>
        <v>6.1251572626782158E-2</v>
      </c>
      <c r="BB108" s="885">
        <f t="shared" si="129"/>
        <v>6.4453182295052036E-2</v>
      </c>
      <c r="BC108" s="885">
        <f t="shared" si="129"/>
        <v>7.1907488321522273E-2</v>
      </c>
      <c r="BD108" s="1044">
        <f t="shared" si="129"/>
        <v>5.6177355959937447E-2</v>
      </c>
      <c r="BE108" s="885">
        <f t="shared" si="129"/>
        <v>7.7444214454253757E-2</v>
      </c>
      <c r="BF108" s="885">
        <f t="shared" si="129"/>
        <v>7.3335335404644653E-2</v>
      </c>
      <c r="BG108" s="885">
        <f t="shared" si="129"/>
        <v>7.7138509701528912E-2</v>
      </c>
      <c r="BH108" s="885">
        <f t="shared" si="129"/>
        <v>7.4227678996906299E-2</v>
      </c>
      <c r="BI108" s="1044">
        <f t="shared" si="129"/>
        <v>8.1800961555482221E-2</v>
      </c>
      <c r="BJ108" s="885">
        <f t="shared" si="129"/>
        <v>7.939461098678624E-2</v>
      </c>
      <c r="BK108" s="885">
        <f t="shared" si="129"/>
        <v>7.6781234797895337E-2</v>
      </c>
      <c r="BL108" s="885">
        <f t="shared" si="129"/>
        <v>7.2541385918661661E-2</v>
      </c>
      <c r="BM108" s="885">
        <f t="shared" si="129"/>
        <v>5.1779980606702081E-2</v>
      </c>
      <c r="BN108" s="1044">
        <f t="shared" si="129"/>
        <v>5.8184124487501876E-2</v>
      </c>
      <c r="BO108" s="885">
        <f t="shared" si="129"/>
        <v>4.9211844596026788E-2</v>
      </c>
      <c r="BP108" s="885">
        <f t="shared" si="129"/>
        <v>3.6388158145080007E-2</v>
      </c>
      <c r="BQ108" s="885">
        <f t="shared" si="129"/>
        <v>2.7679842629203311E-2</v>
      </c>
      <c r="BR108" s="885">
        <f>BR107/BM107-1</f>
        <v>1.5059634387044607E-2</v>
      </c>
      <c r="BS108" s="1044">
        <f>BS107/BN107-1</f>
        <v>4.5149426023278982E-2</v>
      </c>
      <c r="BT108" s="885">
        <f>BT107/BO107-1</f>
        <v>5.7900620145651338E-2</v>
      </c>
      <c r="BU108" s="885">
        <f>BU107/BP107-1</f>
        <v>6.5987677327518979E-2</v>
      </c>
      <c r="BV108" s="885">
        <f>BV107/BQ107-1</f>
        <v>8.837469434881573E-2</v>
      </c>
      <c r="BW108" s="885">
        <f t="shared" ref="BW108:CC108" si="130">BW107/BR107-1</f>
        <v>7.4527578996484545E-2</v>
      </c>
      <c r="BX108" s="1044">
        <f t="shared" si="130"/>
        <v>6.5927358712704942E-2</v>
      </c>
      <c r="BY108" s="885">
        <f>BY107/BT107-1</f>
        <v>4.8818994414074002E-2</v>
      </c>
      <c r="BZ108" s="885">
        <f>BZ107/BU107-1</f>
        <v>3.6647646471414719E-2</v>
      </c>
      <c r="CA108" s="885">
        <f t="shared" si="130"/>
        <v>4.3000199907334169E-2</v>
      </c>
      <c r="CB108" s="885">
        <f t="shared" si="130"/>
        <v>3.1855239325830231E-2</v>
      </c>
      <c r="CC108" s="1044">
        <f t="shared" si="130"/>
        <v>3.4441163892563686E-2</v>
      </c>
      <c r="CD108" s="885">
        <f>CD107/BY107-1</f>
        <v>2.2875531172942276E-2</v>
      </c>
      <c r="CE108" s="885">
        <f>CE107/BZ107-1</f>
        <v>2.8585057567511507E-2</v>
      </c>
      <c r="CF108" s="885">
        <f>CF107/CA107-1</f>
        <v>3.2108066297651394E-3</v>
      </c>
      <c r="CG108" s="885"/>
      <c r="CH108" s="1044"/>
      <c r="CI108" s="885"/>
      <c r="CJ108" s="885"/>
      <c r="CK108" s="885"/>
      <c r="CL108" s="885"/>
      <c r="CM108" s="1044"/>
      <c r="CN108" s="885"/>
      <c r="CO108" s="885"/>
      <c r="CP108" s="885"/>
      <c r="CQ108" s="885"/>
      <c r="CR108" s="1044"/>
      <c r="CS108" s="1044"/>
      <c r="CT108" s="1044"/>
      <c r="DA108" s="212"/>
      <c r="DB108" s="1226"/>
    </row>
    <row r="109" spans="1:106" s="207" customFormat="1" ht="12.75" customHeight="1" x14ac:dyDescent="0.2">
      <c r="A109" s="1595" t="s">
        <v>559</v>
      </c>
      <c r="B109" s="1474"/>
      <c r="C109" s="1474"/>
      <c r="D109" s="1474"/>
      <c r="E109" s="1474"/>
      <c r="F109" s="1470"/>
      <c r="G109" s="1471"/>
      <c r="H109" s="1471"/>
      <c r="I109" s="1471"/>
      <c r="J109" s="1471"/>
      <c r="K109" s="1472"/>
      <c r="L109" s="1471"/>
      <c r="M109" s="1471"/>
      <c r="N109" s="1471"/>
      <c r="O109" s="1471"/>
      <c r="P109" s="1472"/>
      <c r="Q109" s="1471"/>
      <c r="R109" s="1471"/>
      <c r="S109" s="1471"/>
      <c r="T109" s="1471"/>
      <c r="U109" s="1472"/>
      <c r="V109" s="1471"/>
      <c r="W109" s="1471"/>
      <c r="X109" s="1471"/>
      <c r="Y109" s="1471"/>
      <c r="Z109" s="1472"/>
      <c r="AA109" s="885"/>
      <c r="AB109" s="885"/>
      <c r="AC109" s="885"/>
      <c r="AD109" s="885"/>
      <c r="AE109" s="1044"/>
      <c r="AF109" s="885"/>
      <c r="AG109" s="885"/>
      <c r="AH109" s="885"/>
      <c r="AI109" s="885"/>
      <c r="AJ109" s="1044"/>
      <c r="AK109" s="885"/>
      <c r="AL109" s="885"/>
      <c r="AM109" s="885"/>
      <c r="AN109" s="885"/>
      <c r="AO109" s="1044"/>
      <c r="AP109" s="885">
        <f t="shared" ref="AP109:CB109" si="131">+AP510*AP64+AP511*AP67+AP512*AP73+AP513*AP76+AP514*AP79+AP515*AP82+AP516*AP85+AP518*AP88</f>
        <v>1.5477150780498588E-2</v>
      </c>
      <c r="AQ109" s="885">
        <f t="shared" si="131"/>
        <v>1.2444730634838084E-2</v>
      </c>
      <c r="AR109" s="885">
        <f t="shared" si="131"/>
        <v>-7.7931451294964999E-3</v>
      </c>
      <c r="AS109" s="885">
        <f t="shared" si="131"/>
        <v>-0.10302213662271172</v>
      </c>
      <c r="AT109" s="1044">
        <f t="shared" si="131"/>
        <v>-2.8008685006004175E-2</v>
      </c>
      <c r="AU109" s="885">
        <f t="shared" si="131"/>
        <v>-0.16323225242995454</v>
      </c>
      <c r="AV109" s="885">
        <f t="shared" si="131"/>
        <v>-0.21161637457076263</v>
      </c>
      <c r="AW109" s="885">
        <f t="shared" si="131"/>
        <v>-0.19370722986364058</v>
      </c>
      <c r="AX109" s="885">
        <f t="shared" si="131"/>
        <v>-0.13070484798197204</v>
      </c>
      <c r="AY109" s="1044">
        <f t="shared" si="131"/>
        <v>-0.17292739268852644</v>
      </c>
      <c r="AZ109" s="885">
        <f t="shared" si="131"/>
        <v>-2.840981250767367E-2</v>
      </c>
      <c r="BA109" s="885">
        <f t="shared" si="131"/>
        <v>6.3164489499997131E-2</v>
      </c>
      <c r="BB109" s="885">
        <f t="shared" si="131"/>
        <v>6.3942091534588991E-2</v>
      </c>
      <c r="BC109" s="885">
        <f t="shared" si="131"/>
        <v>6.4897210000911892E-2</v>
      </c>
      <c r="BD109" s="1044">
        <f t="shared" si="131"/>
        <v>4.2489959759752741E-2</v>
      </c>
      <c r="BE109" s="885">
        <f t="shared" si="131"/>
        <v>6.9528898777443213E-2</v>
      </c>
      <c r="BF109" s="885">
        <f t="shared" si="131"/>
        <v>6.754566659179094E-2</v>
      </c>
      <c r="BG109" s="885">
        <f t="shared" si="131"/>
        <v>7.3493918269066427E-2</v>
      </c>
      <c r="BH109" s="885">
        <f t="shared" si="131"/>
        <v>7.4976190665317757E-2</v>
      </c>
      <c r="BI109" s="1044">
        <f t="shared" si="131"/>
        <v>7.1547007153837092E-2</v>
      </c>
      <c r="BJ109" s="885">
        <f t="shared" si="131"/>
        <v>7.5687644177575147E-2</v>
      </c>
      <c r="BK109" s="885">
        <f t="shared" si="131"/>
        <v>7.3268920364284687E-2</v>
      </c>
      <c r="BL109" s="885">
        <f t="shared" si="131"/>
        <v>6.8923465110049154E-2</v>
      </c>
      <c r="BM109" s="885">
        <f t="shared" si="131"/>
        <v>6.6604494214289642E-2</v>
      </c>
      <c r="BN109" s="1044">
        <f t="shared" si="131"/>
        <v>7.0695498655875363E-2</v>
      </c>
      <c r="BO109" s="885">
        <f t="shared" si="131"/>
        <v>6.5033540983604546E-2</v>
      </c>
      <c r="BP109" s="885">
        <f t="shared" si="131"/>
        <v>5.7786942606716914E-2</v>
      </c>
      <c r="BQ109" s="885">
        <f t="shared" si="131"/>
        <v>4.7754941717502039E-2</v>
      </c>
      <c r="BR109" s="885">
        <f t="shared" si="131"/>
        <v>1.8293046233350513E-2</v>
      </c>
      <c r="BS109" s="1044">
        <f t="shared" si="131"/>
        <v>4.9565222463689586E-2</v>
      </c>
      <c r="BT109" s="885">
        <f t="shared" si="131"/>
        <v>5.9952130561073277E-2</v>
      </c>
      <c r="BU109" s="885">
        <f t="shared" si="131"/>
        <v>6.397373879908301E-2</v>
      </c>
      <c r="BV109" s="885">
        <f t="shared" si="131"/>
        <v>8.9651551503474564E-2</v>
      </c>
      <c r="BW109" s="885">
        <f t="shared" si="131"/>
        <v>7.4714462537817744E-2</v>
      </c>
      <c r="BX109" s="1044">
        <f t="shared" si="131"/>
        <v>7.2280055676076746E-2</v>
      </c>
      <c r="BY109" s="885">
        <f t="shared" si="131"/>
        <v>6.2520300837697093E-2</v>
      </c>
      <c r="BZ109" s="885">
        <f t="shared" si="131"/>
        <v>5.6164229087109281E-2</v>
      </c>
      <c r="CA109" s="885">
        <f t="shared" si="131"/>
        <v>4.7085147047006233E-2</v>
      </c>
      <c r="CB109" s="885">
        <f t="shared" si="131"/>
        <v>3.5568121492597374E-2</v>
      </c>
      <c r="CC109" s="1044">
        <f>AVERAGE(BY109:CB109)</f>
        <v>5.0334449616102492E-2</v>
      </c>
      <c r="CD109" s="885">
        <f>+CD510*CD64+CD511*CD67+CD512*CD73+CD513*CD76+CD514*CD79+CD515*CD82+CD516*CD85+CD518*CD88</f>
        <v>1.7721610384135129E-2</v>
      </c>
      <c r="CE109" s="885">
        <f>+CE510*CE64+CE511*CE67+CE512*CE73+CE513*CE76+CE514*CE79+CE515*CE82+CE516*CE85+CE518*CE88</f>
        <v>2.3278945847434951E-2</v>
      </c>
      <c r="CF109" s="885">
        <f>+CF510*CF64+CF511*CF67+CF512*CF73+CF513*CF76+CF514*CF79+CF515*CF82+CF516*CF85+CF518*CF88</f>
        <v>1.1216509852799381E-2</v>
      </c>
      <c r="CG109" s="885"/>
      <c r="CH109" s="1044"/>
      <c r="CI109" s="885"/>
      <c r="CJ109" s="885"/>
      <c r="CK109" s="885"/>
      <c r="CL109" s="885"/>
      <c r="CM109" s="1044"/>
      <c r="CN109" s="885"/>
      <c r="CO109" s="885"/>
      <c r="CP109" s="885"/>
      <c r="CQ109" s="1640"/>
      <c r="CR109" s="885"/>
      <c r="CS109" s="1044"/>
      <c r="CT109" s="1044"/>
      <c r="DA109" s="212"/>
      <c r="DB109" s="1226"/>
    </row>
    <row r="110" spans="1:106" s="207" customFormat="1" ht="12.75" customHeight="1" x14ac:dyDescent="0.2">
      <c r="A110" s="1595" t="s">
        <v>560</v>
      </c>
      <c r="B110" s="1878"/>
      <c r="C110" s="1878"/>
      <c r="D110" s="1878"/>
      <c r="E110" s="1878"/>
      <c r="F110" s="1879"/>
      <c r="G110" s="1880"/>
      <c r="H110" s="1880"/>
      <c r="I110" s="1880"/>
      <c r="J110" s="1880"/>
      <c r="K110" s="1881"/>
      <c r="L110" s="1880"/>
      <c r="M110" s="1880"/>
      <c r="N110" s="1880"/>
      <c r="O110" s="1880"/>
      <c r="P110" s="1881"/>
      <c r="Q110" s="1043">
        <f>+Q588</f>
        <v>-6.0000000000000001E-3</v>
      </c>
      <c r="R110" s="1043">
        <f t="shared" ref="R110:BN110" si="132">+R588</f>
        <v>-0.05</v>
      </c>
      <c r="S110" s="1043">
        <f t="shared" si="132"/>
        <v>-7.0000000000000001E-3</v>
      </c>
      <c r="T110" s="1043">
        <f t="shared" si="132"/>
        <v>4.0000000000000001E-3</v>
      </c>
      <c r="U110" s="1953">
        <f t="shared" si="132"/>
        <v>-1.2999999999999999E-2</v>
      </c>
      <c r="V110" s="1043">
        <f t="shared" si="132"/>
        <v>5.3999999999999999E-2</v>
      </c>
      <c r="W110" s="1043">
        <f t="shared" si="132"/>
        <v>9.2999999999999999E-2</v>
      </c>
      <c r="X110" s="1043">
        <f t="shared" si="132"/>
        <v>7.6999999999999999E-2</v>
      </c>
      <c r="Y110" s="1875">
        <f t="shared" si="132"/>
        <v>0.107</v>
      </c>
      <c r="Z110" s="1953">
        <f t="shared" si="132"/>
        <v>8.5000000000000006E-2</v>
      </c>
      <c r="AA110" s="1043">
        <f t="shared" si="132"/>
        <v>8.4000000000000005E-2</v>
      </c>
      <c r="AB110" s="1043">
        <f t="shared" si="132"/>
        <v>9.8000000000000004E-2</v>
      </c>
      <c r="AC110" s="1043">
        <f t="shared" si="132"/>
        <v>8.2000000000000003E-2</v>
      </c>
      <c r="AD110" s="1875">
        <f t="shared" si="132"/>
        <v>0.11</v>
      </c>
      <c r="AE110" s="1953">
        <f t="shared" si="132"/>
        <v>9.5000000000000001E-2</v>
      </c>
      <c r="AF110" s="1875">
        <f t="shared" si="132"/>
        <v>0.109</v>
      </c>
      <c r="AG110" s="1875">
        <f t="shared" si="132"/>
        <v>0.107</v>
      </c>
      <c r="AH110" s="1875">
        <f t="shared" si="132"/>
        <v>8.5999999999999993E-2</v>
      </c>
      <c r="AI110" s="1875">
        <f t="shared" si="132"/>
        <v>7.0000000000000007E-2</v>
      </c>
      <c r="AJ110" s="1953">
        <f t="shared" si="132"/>
        <v>9.0999999999999998E-2</v>
      </c>
      <c r="AK110" s="1875">
        <f t="shared" si="132"/>
        <v>5.0999999999999997E-2</v>
      </c>
      <c r="AL110" s="1875">
        <f t="shared" si="132"/>
        <v>5.6000000000000001E-2</v>
      </c>
      <c r="AM110" s="1875">
        <f t="shared" si="132"/>
        <v>6.7000000000000004E-2</v>
      </c>
      <c r="AN110" s="1875">
        <f t="shared" si="132"/>
        <v>6.2E-2</v>
      </c>
      <c r="AO110" s="1953">
        <f t="shared" si="132"/>
        <v>0.06</v>
      </c>
      <c r="AP110" s="1043">
        <f t="shared" si="132"/>
        <v>2.1999999999999999E-2</v>
      </c>
      <c r="AQ110" s="1043">
        <f t="shared" si="132"/>
        <v>1.2E-2</v>
      </c>
      <c r="AR110" s="1875">
        <f t="shared" si="132"/>
        <v>-7.0000000000000001E-3</v>
      </c>
      <c r="AS110" s="1875">
        <f t="shared" si="132"/>
        <v>-0.10100000000000001</v>
      </c>
      <c r="AT110" s="1953">
        <f t="shared" si="132"/>
        <v>-2.7E-2</v>
      </c>
      <c r="AU110" s="1875">
        <f t="shared" si="132"/>
        <v>-0.16200000000000001</v>
      </c>
      <c r="AV110" s="1875">
        <f t="shared" si="132"/>
        <v>-0.21199999999999999</v>
      </c>
      <c r="AW110" s="1875">
        <f t="shared" si="132"/>
        <v>-0.193</v>
      </c>
      <c r="AX110" s="1875">
        <f t="shared" si="132"/>
        <v>-0.125</v>
      </c>
      <c r="AY110" s="1953">
        <f t="shared" si="132"/>
        <v>-0.17899999999999999</v>
      </c>
      <c r="AZ110" s="1875">
        <f t="shared" si="132"/>
        <v>-1.7999999999999999E-2</v>
      </c>
      <c r="BA110" s="1875">
        <f t="shared" si="132"/>
        <v>6.3E-2</v>
      </c>
      <c r="BB110" s="1875">
        <f t="shared" si="132"/>
        <v>7.1999999999999995E-2</v>
      </c>
      <c r="BC110" s="1875">
        <f t="shared" si="132"/>
        <v>7.4999999999999997E-2</v>
      </c>
      <c r="BD110" s="1953">
        <f t="shared" si="132"/>
        <v>4.9000000000000002E-2</v>
      </c>
      <c r="BE110" s="1875">
        <f t="shared" si="132"/>
        <v>5.8000000000000003E-2</v>
      </c>
      <c r="BF110" s="1875">
        <f t="shared" si="132"/>
        <v>6.6000000000000003E-2</v>
      </c>
      <c r="BG110" s="1875">
        <f t="shared" si="132"/>
        <v>6.9000000000000006E-2</v>
      </c>
      <c r="BH110" s="1875">
        <f t="shared" si="132"/>
        <v>6.4000000000000001E-2</v>
      </c>
      <c r="BI110" s="1953">
        <f t="shared" si="132"/>
        <v>6.5000000000000002E-2</v>
      </c>
      <c r="BJ110" s="1875">
        <f>+BJ588</f>
        <v>6.9000000000000006E-2</v>
      </c>
      <c r="BK110" s="1875">
        <f t="shared" si="132"/>
        <v>6.5000000000000002E-2</v>
      </c>
      <c r="BL110" s="1875">
        <f t="shared" si="132"/>
        <v>6.3E-2</v>
      </c>
      <c r="BM110" s="1875">
        <f t="shared" si="132"/>
        <v>5.8999999999999997E-2</v>
      </c>
      <c r="BN110" s="1953">
        <f t="shared" si="132"/>
        <v>6.4000000000000001E-2</v>
      </c>
      <c r="BO110" s="1875">
        <f t="shared" ref="BO110:BU110" si="133">+BO588</f>
        <v>4.8000000000000001E-2</v>
      </c>
      <c r="BP110" s="1875">
        <f t="shared" si="133"/>
        <v>5.1999999999999998E-2</v>
      </c>
      <c r="BQ110" s="1875">
        <f t="shared" si="133"/>
        <v>5.1999999999999998E-2</v>
      </c>
      <c r="BR110" s="1875">
        <f t="shared" si="133"/>
        <v>4.7E-2</v>
      </c>
      <c r="BS110" s="1953">
        <f t="shared" si="133"/>
        <v>0.05</v>
      </c>
      <c r="BT110" s="1875">
        <f t="shared" si="133"/>
        <v>6.3E-2</v>
      </c>
      <c r="BU110" s="1875">
        <f t="shared" si="133"/>
        <v>0.06</v>
      </c>
      <c r="BV110" s="1875">
        <f t="shared" ref="BV110:CC110" si="134">+BV588</f>
        <v>8.6999999999999994E-2</v>
      </c>
      <c r="BW110" s="1875">
        <f t="shared" si="134"/>
        <v>6.7000000000000004E-2</v>
      </c>
      <c r="BX110" s="1953">
        <f t="shared" si="134"/>
        <v>7.0000000000000007E-2</v>
      </c>
      <c r="BY110" s="1875">
        <f t="shared" si="134"/>
        <v>6.9000000000000006E-2</v>
      </c>
      <c r="BZ110" s="1875">
        <f t="shared" si="134"/>
        <v>5.3999999999999999E-2</v>
      </c>
      <c r="CA110" s="1875">
        <f t="shared" si="134"/>
        <v>4.2000000000000003E-2</v>
      </c>
      <c r="CB110" s="2883">
        <f t="shared" si="134"/>
        <v>0.04</v>
      </c>
      <c r="CC110" s="2881">
        <f t="shared" si="134"/>
        <v>5.1999999999999998E-2</v>
      </c>
      <c r="CD110" s="1875">
        <f t="shared" ref="CD110:CM110" si="135">+CD588</f>
        <v>2.4E-2</v>
      </c>
      <c r="CE110" s="1875">
        <f t="shared" si="135"/>
        <v>3.2000000000000001E-2</v>
      </c>
      <c r="CF110" s="1875">
        <f t="shared" si="135"/>
        <v>2.4E-2</v>
      </c>
      <c r="CG110" s="1875">
        <f t="shared" si="135"/>
        <v>1.0999999999999999E-2</v>
      </c>
      <c r="CH110" s="1953">
        <f t="shared" si="135"/>
        <v>2.3E-2</v>
      </c>
      <c r="CI110" s="1875">
        <f t="shared" si="135"/>
        <v>3.1E-2</v>
      </c>
      <c r="CJ110" s="1875">
        <f t="shared" si="135"/>
        <v>8.9999999999999993E-3</v>
      </c>
      <c r="CK110" s="1875">
        <f t="shared" si="135"/>
        <v>4.0000000000000001E-3</v>
      </c>
      <c r="CL110" s="1875">
        <f t="shared" si="135"/>
        <v>3.9E-2</v>
      </c>
      <c r="CM110" s="1953">
        <f t="shared" si="135"/>
        <v>2.1000000000000001E-2</v>
      </c>
      <c r="CN110" s="1875"/>
      <c r="CO110" s="1875"/>
      <c r="CP110" s="1639"/>
      <c r="CQ110" s="1639"/>
      <c r="CR110" s="1046"/>
      <c r="CS110" s="1046"/>
      <c r="CT110" s="1046"/>
      <c r="DA110" s="212"/>
      <c r="DB110" s="1226"/>
    </row>
    <row r="111" spans="1:106" s="1941" customFormat="1" x14ac:dyDescent="0.2">
      <c r="A111" s="1595" t="s">
        <v>1782</v>
      </c>
      <c r="B111" s="1924" t="s">
        <v>673</v>
      </c>
      <c r="C111" s="1924" t="s">
        <v>673</v>
      </c>
      <c r="D111" s="1924" t="s">
        <v>673</v>
      </c>
      <c r="E111" s="1924" t="s">
        <v>673</v>
      </c>
      <c r="F111" s="1936" t="s">
        <v>673</v>
      </c>
      <c r="G111" s="1924" t="s">
        <v>673</v>
      </c>
      <c r="H111" s="1924" t="s">
        <v>673</v>
      </c>
      <c r="I111" s="1924" t="s">
        <v>673</v>
      </c>
      <c r="J111" s="1924" t="s">
        <v>673</v>
      </c>
      <c r="K111" s="1936" t="s">
        <v>673</v>
      </c>
      <c r="L111" s="1924" t="s">
        <v>673</v>
      </c>
      <c r="M111" s="1924" t="s">
        <v>673</v>
      </c>
      <c r="N111" s="1924" t="s">
        <v>673</v>
      </c>
      <c r="O111" s="1924" t="s">
        <v>673</v>
      </c>
      <c r="P111" s="1936" t="s">
        <v>673</v>
      </c>
      <c r="Q111" s="1924">
        <v>-0.03</v>
      </c>
      <c r="R111" s="1924">
        <v>-0.04</v>
      </c>
      <c r="S111" s="1924" t="s">
        <v>1132</v>
      </c>
      <c r="T111" s="1924" t="s">
        <v>1131</v>
      </c>
      <c r="U111" s="1940" t="s">
        <v>1002</v>
      </c>
      <c r="V111" s="1924" t="s">
        <v>1127</v>
      </c>
      <c r="W111" s="1924" t="s">
        <v>1146</v>
      </c>
      <c r="X111" s="1924" t="s">
        <v>1146</v>
      </c>
      <c r="Y111" s="1924" t="s">
        <v>1146</v>
      </c>
      <c r="Z111" s="1936" t="s">
        <v>1146</v>
      </c>
      <c r="AA111" s="1924" t="s">
        <v>1940</v>
      </c>
      <c r="AB111" s="1924" t="s">
        <v>1147</v>
      </c>
      <c r="AC111" s="1924" t="s">
        <v>1146</v>
      </c>
      <c r="AD111" s="1924" t="s">
        <v>956</v>
      </c>
      <c r="AE111" s="1936" t="s">
        <v>956</v>
      </c>
      <c r="AF111" s="1924" t="s">
        <v>956</v>
      </c>
      <c r="AG111" s="1924" t="s">
        <v>956</v>
      </c>
      <c r="AH111" s="1924" t="s">
        <v>956</v>
      </c>
      <c r="AI111" s="1924" t="s">
        <v>1130</v>
      </c>
      <c r="AJ111" s="1936" t="s">
        <v>1147</v>
      </c>
      <c r="AK111" s="1924" t="s">
        <v>1146</v>
      </c>
      <c r="AL111" s="1924" t="s">
        <v>1129</v>
      </c>
      <c r="AM111" s="1924" t="s">
        <v>673</v>
      </c>
      <c r="AN111" s="1924" t="s">
        <v>1940</v>
      </c>
      <c r="AO111" s="1890" t="s">
        <v>1128</v>
      </c>
      <c r="AP111" s="1924" t="s">
        <v>428</v>
      </c>
      <c r="AQ111" s="1924" t="s">
        <v>428</v>
      </c>
      <c r="AR111" s="1924" t="s">
        <v>1121</v>
      </c>
      <c r="AS111" s="1924" t="s">
        <v>1120</v>
      </c>
      <c r="AT111" s="1890" t="s">
        <v>1121</v>
      </c>
      <c r="AU111" s="1924">
        <v>-0.17</v>
      </c>
      <c r="AV111" s="1924" t="s">
        <v>948</v>
      </c>
      <c r="AW111" s="1924" t="s">
        <v>949</v>
      </c>
      <c r="AX111" s="1924" t="s">
        <v>950</v>
      </c>
      <c r="AY111" s="1890" t="s">
        <v>951</v>
      </c>
      <c r="AZ111" s="1924" t="s">
        <v>952</v>
      </c>
      <c r="BA111" s="1924" t="s">
        <v>1571</v>
      </c>
      <c r="BB111" s="1924"/>
      <c r="BC111" s="1924" t="s">
        <v>1940</v>
      </c>
      <c r="BD111" s="1890" t="s">
        <v>953</v>
      </c>
      <c r="BE111" s="1924"/>
      <c r="BF111" s="1924" t="s">
        <v>1940</v>
      </c>
      <c r="BG111" s="1924" t="s">
        <v>2220</v>
      </c>
      <c r="BH111" s="1924" t="s">
        <v>1940</v>
      </c>
      <c r="BI111" s="1890" t="s">
        <v>1940</v>
      </c>
      <c r="BJ111" s="1924" t="s">
        <v>67</v>
      </c>
      <c r="BK111" s="1924"/>
      <c r="BL111" s="1924"/>
      <c r="BM111" s="1924" t="s">
        <v>67</v>
      </c>
      <c r="BN111" s="1890" t="s">
        <v>1940</v>
      </c>
      <c r="BO111" s="1975" t="s">
        <v>306</v>
      </c>
      <c r="BP111" s="1975" t="s">
        <v>67</v>
      </c>
      <c r="BQ111" s="1924" t="s">
        <v>1571</v>
      </c>
      <c r="BR111" s="1924" t="s">
        <v>1397</v>
      </c>
      <c r="BS111" s="1968" t="s">
        <v>1996</v>
      </c>
      <c r="BT111" s="1975" t="s">
        <v>1861</v>
      </c>
      <c r="BU111" s="1975" t="s">
        <v>1861</v>
      </c>
      <c r="BV111" s="1975" t="s">
        <v>68</v>
      </c>
      <c r="BW111" s="1924" t="s">
        <v>67</v>
      </c>
      <c r="BX111" s="1968" t="s">
        <v>2220</v>
      </c>
      <c r="BY111" s="1975" t="s">
        <v>67</v>
      </c>
      <c r="BZ111" s="1975" t="s">
        <v>67</v>
      </c>
      <c r="CA111" s="1975" t="s">
        <v>1861</v>
      </c>
      <c r="CB111" s="1975" t="s">
        <v>67</v>
      </c>
      <c r="CC111" s="1968" t="s">
        <v>2309</v>
      </c>
      <c r="CD111" s="1975" t="s">
        <v>300</v>
      </c>
      <c r="CE111" s="1975" t="s">
        <v>1860</v>
      </c>
      <c r="CF111" s="1975" t="s">
        <v>2442</v>
      </c>
      <c r="CG111" s="1975" t="s">
        <v>2571</v>
      </c>
      <c r="CH111" s="1968"/>
      <c r="CI111" s="1975"/>
      <c r="CJ111" s="1975"/>
      <c r="CK111" s="1975"/>
      <c r="CL111" s="1975"/>
      <c r="CM111" s="1968"/>
      <c r="CN111" s="1975"/>
      <c r="CO111" s="1975"/>
      <c r="CP111" s="1975"/>
      <c r="CQ111" s="1975"/>
      <c r="CR111" s="1890"/>
      <c r="CS111" s="1890"/>
      <c r="CT111" s="1890"/>
      <c r="CV111" s="1942"/>
      <c r="CW111" s="1942"/>
      <c r="CX111" s="1942"/>
      <c r="DA111" s="212"/>
      <c r="DB111" s="1226"/>
    </row>
    <row r="112" spans="1:106" s="207" customFormat="1" x14ac:dyDescent="0.2">
      <c r="A112" s="1435"/>
      <c r="B112" s="1474"/>
      <c r="C112" s="1474"/>
      <c r="D112" s="1474"/>
      <c r="E112" s="1474"/>
      <c r="F112" s="1470"/>
      <c r="G112" s="1471"/>
      <c r="H112" s="1471"/>
      <c r="I112" s="1471"/>
      <c r="J112" s="1471"/>
      <c r="K112" s="1472"/>
      <c r="L112" s="1471"/>
      <c r="M112" s="1471"/>
      <c r="N112" s="1471"/>
      <c r="O112" s="1471"/>
      <c r="P112" s="1472"/>
      <c r="Q112" s="1471"/>
      <c r="R112" s="1471"/>
      <c r="S112" s="1471"/>
      <c r="T112" s="1471"/>
      <c r="U112" s="1472"/>
      <c r="V112" s="1471"/>
      <c r="W112" s="1471"/>
      <c r="X112" s="1471"/>
      <c r="Y112" s="1471"/>
      <c r="Z112" s="1472"/>
      <c r="AA112" s="1471"/>
      <c r="AB112" s="1471"/>
      <c r="AC112" s="1471"/>
      <c r="AD112" s="1471"/>
      <c r="AE112" s="1472"/>
      <c r="AF112" s="1471"/>
      <c r="AG112" s="1471"/>
      <c r="AH112" s="1471"/>
      <c r="AI112" s="1471"/>
      <c r="AJ112" s="1472"/>
      <c r="AK112" s="1471"/>
      <c r="AL112" s="1471"/>
      <c r="AM112" s="1471"/>
      <c r="AN112" s="1471"/>
      <c r="AO112" s="1473"/>
      <c r="AP112" s="1471"/>
      <c r="AQ112" s="1471"/>
      <c r="AR112" s="1471"/>
      <c r="AS112" s="1471"/>
      <c r="AT112" s="1473"/>
      <c r="AU112" s="1471"/>
      <c r="AV112" s="1471"/>
      <c r="AW112" s="1471"/>
      <c r="AX112" s="1471"/>
      <c r="AY112" s="1473"/>
      <c r="AZ112" s="1215"/>
      <c r="BA112" s="1215"/>
      <c r="BB112" s="1215"/>
      <c r="BC112" s="1215"/>
      <c r="BD112" s="1498"/>
      <c r="BE112" s="1568"/>
      <c r="BF112" s="1568"/>
      <c r="BG112" s="1568"/>
      <c r="BH112" s="1568"/>
      <c r="BI112" s="1498"/>
      <c r="BK112" s="885"/>
      <c r="BL112" s="885"/>
      <c r="BM112" s="885"/>
      <c r="BN112" s="1044"/>
      <c r="BO112" s="1771"/>
      <c r="BP112" s="885"/>
      <c r="BQ112" s="885"/>
      <c r="BR112" s="1640"/>
      <c r="BS112" s="1044"/>
      <c r="BT112" s="1771"/>
      <c r="BU112" s="885"/>
      <c r="BV112" s="885"/>
      <c r="BW112" s="1640"/>
      <c r="BX112" s="1044"/>
      <c r="BY112" s="885"/>
      <c r="BZ112" s="885"/>
      <c r="CA112" s="885"/>
      <c r="CB112" s="1640"/>
      <c r="CC112" s="1044"/>
      <c r="CD112" s="885"/>
      <c r="CE112" s="885"/>
      <c r="CF112" s="885"/>
      <c r="CG112" s="1640"/>
      <c r="CH112" s="1044"/>
      <c r="CI112" s="885"/>
      <c r="CJ112" s="885"/>
      <c r="CK112" s="885"/>
      <c r="CL112" s="885"/>
      <c r="CM112" s="1044"/>
      <c r="CN112" s="885"/>
      <c r="CO112" s="885"/>
      <c r="CP112" s="885"/>
      <c r="CQ112" s="885"/>
      <c r="CR112" s="1044"/>
      <c r="CS112" s="1044"/>
      <c r="CT112" s="1044"/>
      <c r="DA112" s="212"/>
      <c r="DB112" s="1226"/>
    </row>
    <row r="113" spans="1:106" ht="12.75" customHeight="1" x14ac:dyDescent="0.2">
      <c r="A113" s="331" t="s">
        <v>2693</v>
      </c>
      <c r="B113" s="1475"/>
      <c r="C113" s="1475"/>
      <c r="D113" s="1475"/>
      <c r="E113" s="1475"/>
      <c r="F113" s="1476"/>
      <c r="G113" s="1477"/>
      <c r="H113" s="1477"/>
      <c r="I113" s="1477"/>
      <c r="J113" s="1477"/>
      <c r="K113" s="1478"/>
      <c r="L113" s="1477"/>
      <c r="M113" s="1477"/>
      <c r="N113" s="1477"/>
      <c r="O113" s="1477"/>
      <c r="P113" s="1478"/>
      <c r="Q113" s="1477"/>
      <c r="R113" s="1477"/>
      <c r="S113" s="1477"/>
      <c r="T113" s="1477"/>
      <c r="U113" s="1478"/>
      <c r="V113" s="1477"/>
      <c r="W113" s="1477"/>
      <c r="X113" s="1477"/>
      <c r="Y113" s="1477"/>
      <c r="Z113" s="1478"/>
      <c r="AA113" s="1566"/>
      <c r="AB113" s="1566"/>
      <c r="AC113" s="1566"/>
      <c r="AD113" s="1566"/>
      <c r="AE113" s="1567"/>
      <c r="AF113" s="1566"/>
      <c r="AG113" s="1566"/>
      <c r="AH113" s="1566"/>
      <c r="AI113" s="1566"/>
      <c r="AJ113" s="1567"/>
      <c r="AK113" s="1566"/>
      <c r="AL113" s="1566"/>
      <c r="AM113" s="1566"/>
      <c r="AN113" s="1566"/>
      <c r="AO113" s="1567"/>
      <c r="AP113" s="1566"/>
      <c r="AQ113" s="1566"/>
      <c r="AR113" s="1566"/>
      <c r="AS113" s="1566"/>
      <c r="AT113" s="1567"/>
      <c r="AU113" s="1566"/>
      <c r="AV113" s="1566"/>
      <c r="AW113" s="1566"/>
      <c r="AX113" s="1566"/>
      <c r="AY113" s="1567"/>
      <c r="AZ113" s="1566"/>
      <c r="BA113" s="1566"/>
      <c r="BB113" s="1566"/>
      <c r="BC113" s="1566"/>
      <c r="BD113" s="1567"/>
      <c r="BE113" s="1566"/>
      <c r="BF113" s="1566"/>
      <c r="BG113" s="1566"/>
      <c r="BH113" s="1566"/>
      <c r="BI113" s="1567"/>
      <c r="BJ113" s="1566"/>
      <c r="BK113" s="1566"/>
      <c r="BL113" s="1566"/>
      <c r="BM113" s="1566"/>
      <c r="BN113" s="1567"/>
      <c r="BO113" s="1566"/>
      <c r="BP113" s="1566"/>
      <c r="BQ113" s="1566"/>
      <c r="BR113" s="1566"/>
      <c r="BS113" s="1567"/>
      <c r="BT113" s="1566"/>
      <c r="BU113" s="1566"/>
      <c r="BV113" s="1566"/>
      <c r="BW113" s="1566"/>
      <c r="BX113" s="1567"/>
      <c r="BY113" s="1566">
        <f>+CD113/(1+CD114)</f>
        <v>106.97947214076247</v>
      </c>
      <c r="BZ113" s="1566">
        <f>+CE113/(1+CE114)</f>
        <v>121.79263565891472</v>
      </c>
      <c r="CA113" s="1566">
        <f>+CF113/(1+CF114)</f>
        <v>119.41520467836257</v>
      </c>
      <c r="CB113" s="1566">
        <f>+CG113/(1+CG114)</f>
        <v>107.05242334322455</v>
      </c>
      <c r="CC113" s="1567">
        <f>+CH113/(1+CH114)</f>
        <v>113.8514173998045</v>
      </c>
      <c r="CD113" s="3407">
        <v>109.44</v>
      </c>
      <c r="CE113" s="3407">
        <v>125.69</v>
      </c>
      <c r="CF113" s="3407">
        <v>122.52</v>
      </c>
      <c r="CG113" s="3407">
        <v>108.23</v>
      </c>
      <c r="CH113" s="3408">
        <v>116.47</v>
      </c>
      <c r="CI113" s="3407">
        <v>111.62</v>
      </c>
      <c r="CJ113" s="3407">
        <v>125.71</v>
      </c>
      <c r="CK113" s="3407">
        <v>122.68</v>
      </c>
      <c r="CL113" s="3407">
        <v>111.55</v>
      </c>
      <c r="CM113" s="3408">
        <v>117.56</v>
      </c>
      <c r="CN113" s="1566">
        <f>+CI113*(1+CN114)</f>
        <v>113.07105999999999</v>
      </c>
      <c r="CO113" s="1566">
        <f>+CJ113*(1+CO114)</f>
        <v>128.60132999999999</v>
      </c>
      <c r="CP113" s="1566">
        <f>+CK113*(1+CP114)</f>
        <v>125.13360000000002</v>
      </c>
      <c r="CQ113" s="1566">
        <f>+CL113*(1+CQ114)</f>
        <v>113.50212500000001</v>
      </c>
      <c r="CR113" s="1567">
        <f>AVERAGE(CN113:CQ113)</f>
        <v>120.07702875000001</v>
      </c>
      <c r="CS113" s="1567">
        <f>+CR113*(1+CS114)</f>
        <v>121.87818418125001</v>
      </c>
      <c r="CT113" s="1567">
        <f>+CS113*(1+CT114)</f>
        <v>118.2218386558125</v>
      </c>
      <c r="CU113"/>
      <c r="DA113" s="212"/>
      <c r="DB113" s="1226"/>
    </row>
    <row r="114" spans="1:106" s="207" customFormat="1" x14ac:dyDescent="0.2">
      <c r="A114" s="1595" t="s">
        <v>562</v>
      </c>
      <c r="B114" s="1474"/>
      <c r="C114" s="1474"/>
      <c r="D114" s="1474"/>
      <c r="E114" s="1474"/>
      <c r="F114" s="1470"/>
      <c r="G114" s="1471"/>
      <c r="H114" s="1471"/>
      <c r="I114" s="1471"/>
      <c r="J114" s="1471"/>
      <c r="K114" s="1472"/>
      <c r="L114" s="1471"/>
      <c r="M114" s="1471"/>
      <c r="N114" s="1471"/>
      <c r="O114" s="1471"/>
      <c r="P114" s="1472"/>
      <c r="Q114" s="1471"/>
      <c r="R114" s="1471"/>
      <c r="S114" s="1471"/>
      <c r="T114" s="1471"/>
      <c r="U114" s="1472"/>
      <c r="V114" s="1471"/>
      <c r="W114" s="1471"/>
      <c r="X114" s="1471"/>
      <c r="Y114" s="1471"/>
      <c r="Z114" s="1472"/>
      <c r="AA114" s="1471"/>
      <c r="AB114" s="1471"/>
      <c r="AC114" s="1471"/>
      <c r="AD114" s="1471"/>
      <c r="AE114" s="1472"/>
      <c r="AF114" s="1471"/>
      <c r="AG114" s="1471"/>
      <c r="AH114" s="1471"/>
      <c r="AI114" s="1471"/>
      <c r="AJ114" s="1472"/>
      <c r="AK114" s="1471"/>
      <c r="AL114" s="1471"/>
      <c r="AM114" s="1471"/>
      <c r="AN114" s="1471"/>
      <c r="AO114" s="1473"/>
      <c r="AP114" s="1471"/>
      <c r="AQ114" s="1471"/>
      <c r="AR114" s="1471"/>
      <c r="AS114" s="1471"/>
      <c r="AT114" s="1473"/>
      <c r="AU114" s="1471"/>
      <c r="AV114" s="1471"/>
      <c r="AW114" s="1471"/>
      <c r="AX114" s="1471"/>
      <c r="AY114" s="1473"/>
      <c r="AZ114" s="1215"/>
      <c r="BA114" s="1215"/>
      <c r="BB114" s="1215"/>
      <c r="BC114" s="1215"/>
      <c r="BD114" s="1498"/>
      <c r="BE114" s="1568"/>
      <c r="BF114" s="1568"/>
      <c r="BG114" s="1568"/>
      <c r="BH114" s="1568"/>
      <c r="BI114" s="1498"/>
      <c r="BK114" s="885"/>
      <c r="BL114" s="885"/>
      <c r="BM114" s="885"/>
      <c r="BN114" s="1044"/>
      <c r="BO114" s="1771"/>
      <c r="BP114" s="885"/>
      <c r="BQ114" s="885"/>
      <c r="BR114" s="1640"/>
      <c r="BS114" s="1044"/>
      <c r="BT114" s="1771"/>
      <c r="BU114" s="885"/>
      <c r="BV114" s="885"/>
      <c r="BW114" s="1640"/>
      <c r="BX114" s="1044"/>
      <c r="BY114" s="885"/>
      <c r="BZ114" s="885"/>
      <c r="CA114" s="885"/>
      <c r="CB114" s="1640"/>
      <c r="CC114" s="1044"/>
      <c r="CD114" s="885">
        <f t="shared" ref="CD114:CL114" si="136">+CD567</f>
        <v>2.3E-2</v>
      </c>
      <c r="CE114" s="885">
        <f t="shared" si="136"/>
        <v>3.2000000000000001E-2</v>
      </c>
      <c r="CF114" s="885">
        <f t="shared" si="136"/>
        <v>2.5999999999999999E-2</v>
      </c>
      <c r="CG114" s="1640">
        <f t="shared" si="136"/>
        <v>1.0999999999999999E-2</v>
      </c>
      <c r="CH114" s="1044">
        <f t="shared" si="136"/>
        <v>2.3E-2</v>
      </c>
      <c r="CI114" s="885">
        <f t="shared" si="136"/>
        <v>3.1E-2</v>
      </c>
      <c r="CJ114" s="885">
        <f t="shared" si="136"/>
        <v>8.9999999999999993E-3</v>
      </c>
      <c r="CK114" s="885">
        <f t="shared" si="136"/>
        <v>4.0000000000000001E-3</v>
      </c>
      <c r="CL114" s="885">
        <f t="shared" si="136"/>
        <v>3.9E-2</v>
      </c>
      <c r="CM114" s="1044">
        <f>AVERAGE(CI114:CL114)</f>
        <v>2.0749999999999998E-2</v>
      </c>
      <c r="CN114" s="2884">
        <v>1.2999999999999999E-2</v>
      </c>
      <c r="CO114" s="2884">
        <v>2.3E-2</v>
      </c>
      <c r="CP114" s="2884">
        <v>0.02</v>
      </c>
      <c r="CQ114" s="2884">
        <v>1.7500000000000002E-2</v>
      </c>
      <c r="CR114" s="1044">
        <f>+CR113/CM113-1</f>
        <v>2.1410588210275749E-2</v>
      </c>
      <c r="CS114" s="2908">
        <v>1.4999999999999999E-2</v>
      </c>
      <c r="CT114" s="2908">
        <v>-0.03</v>
      </c>
      <c r="DA114" s="212"/>
      <c r="DB114" s="1226"/>
    </row>
    <row r="115" spans="1:106" s="207" customFormat="1" x14ac:dyDescent="0.2">
      <c r="A115" s="1595" t="s">
        <v>1782</v>
      </c>
      <c r="B115" s="1474"/>
      <c r="C115" s="1474"/>
      <c r="D115" s="1474"/>
      <c r="E115" s="1474"/>
      <c r="F115" s="1470"/>
      <c r="G115" s="1471"/>
      <c r="H115" s="1471"/>
      <c r="I115" s="1471"/>
      <c r="J115" s="1471"/>
      <c r="K115" s="1472"/>
      <c r="L115" s="1471"/>
      <c r="M115" s="1471"/>
      <c r="N115" s="1471"/>
      <c r="O115" s="1471"/>
      <c r="P115" s="1472"/>
      <c r="Q115" s="1471"/>
      <c r="R115" s="1471"/>
      <c r="S115" s="1471"/>
      <c r="T115" s="1471"/>
      <c r="U115" s="1472"/>
      <c r="V115" s="1471"/>
      <c r="W115" s="1471"/>
      <c r="X115" s="1471"/>
      <c r="Y115" s="1471"/>
      <c r="Z115" s="1472"/>
      <c r="AA115" s="1471"/>
      <c r="AB115" s="1471"/>
      <c r="AC115" s="1471"/>
      <c r="AD115" s="1471"/>
      <c r="AE115" s="1472"/>
      <c r="AF115" s="1471"/>
      <c r="AG115" s="1471"/>
      <c r="AH115" s="1471"/>
      <c r="AI115" s="1471"/>
      <c r="AJ115" s="1472"/>
      <c r="AK115" s="1471"/>
      <c r="AL115" s="1471"/>
      <c r="AM115" s="1471"/>
      <c r="AN115" s="1471"/>
      <c r="AO115" s="1473"/>
      <c r="AP115" s="1471"/>
      <c r="AQ115" s="1471"/>
      <c r="AR115" s="1471"/>
      <c r="AS115" s="1471"/>
      <c r="AT115" s="1473"/>
      <c r="AU115" s="1471"/>
      <c r="AV115" s="1471"/>
      <c r="AW115" s="1471"/>
      <c r="AX115" s="1471"/>
      <c r="AY115" s="1473"/>
      <c r="AZ115" s="1215"/>
      <c r="BA115" s="1215"/>
      <c r="BB115" s="1215"/>
      <c r="BC115" s="1215"/>
      <c r="BD115" s="1498"/>
      <c r="BE115" s="1568"/>
      <c r="BF115" s="1568"/>
      <c r="BG115" s="1568"/>
      <c r="BH115" s="1568"/>
      <c r="BI115" s="1498"/>
      <c r="BK115" s="885"/>
      <c r="BL115" s="885"/>
      <c r="BM115" s="885"/>
      <c r="BN115" s="1044"/>
      <c r="BO115" s="1771"/>
      <c r="BP115" s="885"/>
      <c r="BQ115" s="885"/>
      <c r="BR115" s="1640"/>
      <c r="BS115" s="1044"/>
      <c r="BT115" s="1771"/>
      <c r="BU115" s="885"/>
      <c r="BV115" s="885"/>
      <c r="BW115" s="1640"/>
      <c r="BX115" s="1044"/>
      <c r="BY115" s="885"/>
      <c r="BZ115" s="885"/>
      <c r="CA115" s="885"/>
      <c r="CB115" s="1640"/>
      <c r="CC115" s="1044"/>
      <c r="CD115" s="885"/>
      <c r="CE115" s="885"/>
      <c r="CF115" s="885"/>
      <c r="CG115" s="1640"/>
      <c r="CH115" s="1044"/>
      <c r="CI115" s="3409" t="s">
        <v>2694</v>
      </c>
      <c r="CJ115" s="3409" t="s">
        <v>1992</v>
      </c>
      <c r="CK115" s="3631" t="s">
        <v>265</v>
      </c>
      <c r="CL115" s="1975" t="s">
        <v>2906</v>
      </c>
      <c r="CM115" s="1968" t="s">
        <v>1398</v>
      </c>
      <c r="CN115" s="1975" t="s">
        <v>1992</v>
      </c>
      <c r="CO115" s="3409"/>
      <c r="CP115" s="3631"/>
      <c r="CQ115" s="3631"/>
      <c r="CR115" s="1968" t="s">
        <v>1398</v>
      </c>
      <c r="CS115" s="1044"/>
      <c r="CT115" s="1044"/>
      <c r="DA115" s="212"/>
      <c r="DB115" s="1226"/>
    </row>
    <row r="116" spans="1:106" s="207" customFormat="1" x14ac:dyDescent="0.2">
      <c r="A116" s="1435"/>
      <c r="B116" s="1474"/>
      <c r="C116" s="1474"/>
      <c r="D116" s="1474"/>
      <c r="E116" s="1474"/>
      <c r="F116" s="1470"/>
      <c r="G116" s="1471"/>
      <c r="H116" s="1471"/>
      <c r="I116" s="1471"/>
      <c r="J116" s="1471"/>
      <c r="K116" s="1472"/>
      <c r="L116" s="1471"/>
      <c r="M116" s="1471"/>
      <c r="N116" s="1471"/>
      <c r="O116" s="1471"/>
      <c r="P116" s="1472"/>
      <c r="Q116" s="1471"/>
      <c r="R116" s="1471"/>
      <c r="S116" s="1471"/>
      <c r="T116" s="1471"/>
      <c r="U116" s="1472"/>
      <c r="V116" s="1471"/>
      <c r="W116" s="1471"/>
      <c r="X116" s="1471"/>
      <c r="Y116" s="1471"/>
      <c r="Z116" s="1472"/>
      <c r="AA116" s="1471"/>
      <c r="AB116" s="1471"/>
      <c r="AC116" s="1471"/>
      <c r="AD116" s="1471"/>
      <c r="AE116" s="1472"/>
      <c r="AF116" s="1471"/>
      <c r="AG116" s="1471"/>
      <c r="AH116" s="1471"/>
      <c r="AI116" s="1471"/>
      <c r="AJ116" s="1472"/>
      <c r="AK116" s="1471"/>
      <c r="AL116" s="1471"/>
      <c r="AM116" s="1471"/>
      <c r="AN116" s="1471"/>
      <c r="AO116" s="1473"/>
      <c r="AP116" s="1471"/>
      <c r="AQ116" s="1471"/>
      <c r="AR116" s="1471"/>
      <c r="AS116" s="1471"/>
      <c r="AT116" s="1473"/>
      <c r="AU116" s="1471"/>
      <c r="AV116" s="1471"/>
      <c r="AW116" s="1471"/>
      <c r="AX116" s="1471"/>
      <c r="AY116" s="1473"/>
      <c r="AZ116" s="1215"/>
      <c r="BA116" s="1215"/>
      <c r="BB116" s="1215"/>
      <c r="BC116" s="1215"/>
      <c r="BD116" s="1498"/>
      <c r="BE116" s="1568"/>
      <c r="BF116" s="1568"/>
      <c r="BG116" s="1568"/>
      <c r="BH116" s="1568"/>
      <c r="BI116" s="1498"/>
      <c r="BK116" s="885"/>
      <c r="BL116" s="885"/>
      <c r="BM116" s="885"/>
      <c r="BN116" s="1044"/>
      <c r="BO116" s="1771"/>
      <c r="BP116" s="885"/>
      <c r="BQ116" s="885"/>
      <c r="BR116" s="1640"/>
      <c r="BS116" s="1044"/>
      <c r="BT116" s="1771"/>
      <c r="BU116" s="885"/>
      <c r="BV116" s="885"/>
      <c r="BW116" s="1640"/>
      <c r="BX116" s="1044"/>
      <c r="BY116" s="885"/>
      <c r="BZ116" s="885"/>
      <c r="CA116" s="885"/>
      <c r="CB116" s="1640"/>
      <c r="CC116" s="1044"/>
      <c r="CD116" s="885"/>
      <c r="CE116" s="885"/>
      <c r="CF116" s="885"/>
      <c r="CG116" s="1640"/>
      <c r="CH116" s="1044"/>
      <c r="CI116" s="885"/>
      <c r="CJ116" s="885"/>
      <c r="CK116" s="885"/>
      <c r="CL116" s="885"/>
      <c r="CM116" s="1044"/>
      <c r="CN116" s="885"/>
      <c r="CO116" s="885"/>
      <c r="CP116" s="885"/>
      <c r="CQ116" s="885"/>
      <c r="CR116" s="1044"/>
      <c r="CS116" s="1044"/>
      <c r="CT116" s="1044"/>
      <c r="DA116" s="212"/>
      <c r="DB116" s="1226"/>
    </row>
    <row r="117" spans="1:106" s="207" customFormat="1" x14ac:dyDescent="0.2">
      <c r="A117" s="1435"/>
      <c r="B117" s="1474"/>
      <c r="C117" s="1474"/>
      <c r="D117" s="1474"/>
      <c r="E117" s="1474"/>
      <c r="F117" s="1470"/>
      <c r="G117" s="1471"/>
      <c r="H117" s="1471"/>
      <c r="I117" s="1471"/>
      <c r="J117" s="1471"/>
      <c r="K117" s="1472"/>
      <c r="L117" s="1471"/>
      <c r="M117" s="1471"/>
      <c r="N117" s="1471"/>
      <c r="O117" s="1471"/>
      <c r="P117" s="1472"/>
      <c r="Q117" s="1471"/>
      <c r="R117" s="1471"/>
      <c r="S117" s="1471"/>
      <c r="T117" s="1471"/>
      <c r="U117" s="1472"/>
      <c r="V117" s="1471"/>
      <c r="W117" s="1471"/>
      <c r="X117" s="1471"/>
      <c r="Y117" s="1471"/>
      <c r="Z117" s="1472"/>
      <c r="AA117" s="1471"/>
      <c r="AB117" s="1471"/>
      <c r="AC117" s="1471"/>
      <c r="AD117" s="1471"/>
      <c r="AE117" s="1472"/>
      <c r="AF117" s="1471"/>
      <c r="AG117" s="1471"/>
      <c r="AH117" s="1471"/>
      <c r="AI117" s="1471"/>
      <c r="AJ117" s="1472"/>
      <c r="AK117" s="1471"/>
      <c r="AL117" s="1471"/>
      <c r="AM117" s="1471"/>
      <c r="AN117" s="1471"/>
      <c r="AO117" s="1473"/>
      <c r="AP117" s="1471"/>
      <c r="AQ117" s="1471"/>
      <c r="AR117" s="1471"/>
      <c r="AS117" s="1471"/>
      <c r="AT117" s="1473"/>
      <c r="AU117" s="1471"/>
      <c r="AV117" s="1471"/>
      <c r="AW117" s="1471"/>
      <c r="AX117" s="1471"/>
      <c r="AY117" s="1473"/>
      <c r="AZ117" s="1215"/>
      <c r="BA117" s="1215"/>
      <c r="BB117" s="1215"/>
      <c r="BC117" s="1215"/>
      <c r="BD117" s="1498"/>
      <c r="BE117" s="1568"/>
      <c r="BF117" s="1568"/>
      <c r="BG117" s="1568"/>
      <c r="BH117" s="1568"/>
      <c r="BI117" s="1498"/>
      <c r="BK117" s="885"/>
      <c r="BL117" s="885"/>
      <c r="BM117" s="885"/>
      <c r="BN117" s="1044"/>
      <c r="BO117" s="1771"/>
      <c r="BP117" s="885"/>
      <c r="BQ117" s="885"/>
      <c r="BR117" s="1640"/>
      <c r="BS117" s="1044"/>
      <c r="BT117" s="1771"/>
      <c r="BU117" s="885"/>
      <c r="BV117" s="885"/>
      <c r="BW117" s="1640"/>
      <c r="BX117" s="1044"/>
      <c r="BY117" s="885"/>
      <c r="BZ117" s="885"/>
      <c r="CA117" s="885"/>
      <c r="CB117" s="1640"/>
      <c r="CC117" s="1044"/>
      <c r="CD117" s="885"/>
      <c r="CE117" s="885"/>
      <c r="CF117" s="885"/>
      <c r="CG117" s="1640"/>
      <c r="CH117" s="1044"/>
      <c r="CI117" s="885"/>
      <c r="CJ117" s="885"/>
      <c r="CK117" s="885"/>
      <c r="CL117" s="885"/>
      <c r="CM117" s="1044"/>
      <c r="CN117" s="885"/>
      <c r="CO117" s="885"/>
      <c r="CP117" s="885"/>
      <c r="CQ117" s="885"/>
      <c r="CR117" s="1044"/>
      <c r="CS117" s="1044"/>
      <c r="CT117" s="1044"/>
      <c r="DA117" s="212"/>
      <c r="DB117" s="1226"/>
    </row>
    <row r="118" spans="1:106" s="207" customFormat="1" x14ac:dyDescent="0.2">
      <c r="A118" s="1435" t="s">
        <v>82</v>
      </c>
      <c r="B118" s="1474"/>
      <c r="C118" s="1474"/>
      <c r="D118" s="1474"/>
      <c r="E118" s="1474"/>
      <c r="F118" s="1470"/>
      <c r="G118" s="1471"/>
      <c r="H118" s="1471"/>
      <c r="I118" s="1471"/>
      <c r="J118" s="1471"/>
      <c r="K118" s="1472"/>
      <c r="L118" s="1471"/>
      <c r="M118" s="1471"/>
      <c r="N118" s="1471"/>
      <c r="O118" s="1471"/>
      <c r="P118" s="1472"/>
      <c r="Q118" s="1471"/>
      <c r="R118" s="1471"/>
      <c r="S118" s="1471"/>
      <c r="T118" s="1471"/>
      <c r="U118" s="1472"/>
      <c r="V118" s="1471"/>
      <c r="W118" s="1471"/>
      <c r="X118" s="1471"/>
      <c r="Y118" s="1471"/>
      <c r="Z118" s="1472"/>
      <c r="AA118" s="1471"/>
      <c r="AB118" s="1471"/>
      <c r="AC118" s="1471"/>
      <c r="AD118" s="1471"/>
      <c r="AE118" s="1472"/>
      <c r="AF118" s="1471"/>
      <c r="AG118" s="1471"/>
      <c r="AH118" s="1471"/>
      <c r="AI118" s="1471"/>
      <c r="AJ118" s="1472"/>
      <c r="AK118" s="1471"/>
      <c r="AL118" s="1471"/>
      <c r="AM118" s="1471"/>
      <c r="AN118" s="1471"/>
      <c r="AO118" s="1473"/>
      <c r="AP118" s="1471"/>
      <c r="AQ118" s="1471"/>
      <c r="AR118" s="1471"/>
      <c r="AS118" s="1471"/>
      <c r="AT118" s="1473"/>
      <c r="AU118" s="1471"/>
      <c r="AV118" s="1471"/>
      <c r="AW118" s="1471"/>
      <c r="AX118" s="1471"/>
      <c r="AY118" s="1473"/>
      <c r="AZ118" s="1215"/>
      <c r="BA118" s="1215"/>
      <c r="BB118" s="1215"/>
      <c r="BC118" s="1215"/>
      <c r="BD118" s="1498"/>
      <c r="BE118" s="1215"/>
      <c r="BF118" s="1215"/>
      <c r="BG118" s="1215"/>
      <c r="BH118" s="1215"/>
      <c r="BI118" s="1498"/>
      <c r="BJ118" s="1215"/>
      <c r="BK118" s="1215"/>
      <c r="BL118" s="1215"/>
      <c r="BM118" s="1215"/>
      <c r="BN118" s="1498"/>
      <c r="BO118" s="1837"/>
      <c r="BP118" s="1215"/>
      <c r="BQ118" s="1215"/>
      <c r="BR118" s="1842"/>
      <c r="BS118" s="1498"/>
      <c r="BT118" s="1837"/>
      <c r="BU118" s="1215"/>
      <c r="BV118" s="1215"/>
      <c r="BW118" s="1842"/>
      <c r="BX118" s="1498"/>
      <c r="BY118" s="1215"/>
      <c r="BZ118" s="1215"/>
      <c r="CA118" s="1215"/>
      <c r="CB118" s="1842"/>
      <c r="CC118" s="1498"/>
      <c r="CD118" s="1215"/>
      <c r="CE118" s="1215"/>
      <c r="CF118" s="1215"/>
      <c r="CG118" s="1842"/>
      <c r="CH118" s="2698"/>
      <c r="CI118" s="1215"/>
      <c r="CJ118" s="1215"/>
      <c r="CK118" s="1215"/>
      <c r="CL118" s="1215"/>
      <c r="CM118" s="1498"/>
      <c r="CN118" s="1215"/>
      <c r="CO118" s="1215"/>
      <c r="CP118" s="1215"/>
      <c r="CQ118" s="1215"/>
      <c r="CR118" s="1498"/>
      <c r="CS118" s="1498"/>
      <c r="CT118" s="1498"/>
      <c r="DA118" s="212"/>
      <c r="DB118" s="1226"/>
    </row>
    <row r="119" spans="1:106" s="207" customFormat="1" x14ac:dyDescent="0.2">
      <c r="A119" s="1434" t="s">
        <v>819</v>
      </c>
      <c r="B119" s="1479">
        <v>0.75900000000000001</v>
      </c>
      <c r="C119" s="1479">
        <v>0.82299999999999995</v>
      </c>
      <c r="D119" s="1479">
        <v>0.79600000000000004</v>
      </c>
      <c r="E119" s="1479">
        <v>0.749</v>
      </c>
      <c r="F119" s="1481">
        <f>+SUMPRODUCT(B119:E119,$BJ$4:$BM$4)/$BN$4</f>
        <v>0.77923076923076917</v>
      </c>
      <c r="G119" s="1479">
        <v>0.73199999999999998</v>
      </c>
      <c r="H119" s="1479">
        <v>0.75800000000000001</v>
      </c>
      <c r="I119" s="1479">
        <v>0.746</v>
      </c>
      <c r="J119" s="1479">
        <v>0.61099999999999999</v>
      </c>
      <c r="K119" s="1481">
        <f>+SUMPRODUCT(G119:J119,$BJ$4:$BM$4)/$BN$4</f>
        <v>0.70400000000000007</v>
      </c>
      <c r="L119" s="1479">
        <v>0.69399999999999995</v>
      </c>
      <c r="M119" s="1479">
        <v>0.71399999999999997</v>
      </c>
      <c r="N119" s="1479">
        <v>0.71599999999999997</v>
      </c>
      <c r="O119" s="1479">
        <v>0.70099999999999996</v>
      </c>
      <c r="P119" s="1481">
        <f>+SUMPRODUCT(L119:O119,$BJ$4:$BM$4)/$BN$4</f>
        <v>0.70584615384615379</v>
      </c>
      <c r="Q119" s="1479">
        <v>0.66700000000000004</v>
      </c>
      <c r="R119" s="1479">
        <v>0.68899999999999995</v>
      </c>
      <c r="S119" s="1479">
        <v>0.70599999999999996</v>
      </c>
      <c r="T119" s="1479">
        <v>0.64900000000000002</v>
      </c>
      <c r="U119" s="1481">
        <f>+SUMPRODUCT(Q119:T119,$BJ$4:$BM$4)/$BN$4</f>
        <v>0.67553846153846153</v>
      </c>
      <c r="V119" s="1479">
        <v>0.68600000000000005</v>
      </c>
      <c r="W119" s="1479">
        <v>0.73</v>
      </c>
      <c r="X119" s="1479">
        <v>0.72599999999999998</v>
      </c>
      <c r="Y119" s="1479">
        <v>0.70099999999999996</v>
      </c>
      <c r="Z119" s="1481">
        <f>+SUMPRODUCT(V119:Y119,$BJ$4:$BM$4)/$BN$4</f>
        <v>0.71</v>
      </c>
      <c r="AA119" s="1479">
        <v>0.68300000000000005</v>
      </c>
      <c r="AB119" s="1479">
        <v>0.73899999999999999</v>
      </c>
      <c r="AC119" s="1479">
        <v>0.73499999999999999</v>
      </c>
      <c r="AD119" s="1479">
        <v>0.69005705133132167</v>
      </c>
      <c r="AE119" s="1481">
        <f>+SUMPRODUCT(AA119:AD119,$BJ$4:$BM$4)/$BN$4</f>
        <v>0.71009447733271436</v>
      </c>
      <c r="AF119" s="1479">
        <v>0.68762086093495944</v>
      </c>
      <c r="AG119" s="1479">
        <v>0.71388548931234375</v>
      </c>
      <c r="AH119" s="1479">
        <v>0.71952642333775574</v>
      </c>
      <c r="AI119" s="1479">
        <v>0.68468803215741025</v>
      </c>
      <c r="AJ119" s="1481">
        <f>+SUMPRODUCT(AF119:AI119,$BJ$4:$BM$4)/$BN$4</f>
        <v>0.70014234226037064</v>
      </c>
      <c r="AK119" s="1479">
        <v>0.67140239295509785</v>
      </c>
      <c r="AL119" s="1479">
        <v>0.747</v>
      </c>
      <c r="AM119" s="1479">
        <v>0.73899999999999999</v>
      </c>
      <c r="AN119" s="1479">
        <v>0.68</v>
      </c>
      <c r="AO119" s="1481">
        <f>+SUMPRODUCT(AK119:AN119,$BJ$4:$BM$4)/$BN$4</f>
        <v>0.70709285991271498</v>
      </c>
      <c r="AP119" s="1479">
        <v>0.65700000000000003</v>
      </c>
      <c r="AQ119" s="1479">
        <v>0.72799999999999998</v>
      </c>
      <c r="AR119" s="1479">
        <v>0.72299999999999998</v>
      </c>
      <c r="AS119" s="1479">
        <v>0.63</v>
      </c>
      <c r="AT119" s="1481">
        <f>+SUMPRODUCT(AP119:AS119,$AP$4:$AS$4)/$AT$4</f>
        <v>0.6796260162601625</v>
      </c>
      <c r="AU119" s="1479">
        <v>0.59699999999999998</v>
      </c>
      <c r="AV119" s="1479">
        <v>0.65500000000000003</v>
      </c>
      <c r="AW119" s="1479">
        <v>0.66900000000000004</v>
      </c>
      <c r="AX119" s="1479">
        <v>0.61899999999999999</v>
      </c>
      <c r="AY119" s="1481">
        <f>+SUMPRODUCT(AU119:AX119,$BJ$4:$BM$4)/$BN$4</f>
        <v>0.63376923076923075</v>
      </c>
      <c r="AZ119" s="1479">
        <v>0.63500000000000001</v>
      </c>
      <c r="BA119" s="1479">
        <v>0.7</v>
      </c>
      <c r="BB119" s="1479">
        <v>0.69399999999999995</v>
      </c>
      <c r="BC119" s="1479">
        <v>0.63800000000000001</v>
      </c>
      <c r="BD119" s="1481">
        <f>+SUMPRODUCT(AZ119:BC119,$BJ$4:$BM$4)/$BN$4</f>
        <v>0.66453846153846152</v>
      </c>
      <c r="BE119" s="1479">
        <v>0.65300000000000002</v>
      </c>
      <c r="BF119" s="1479">
        <v>0.71699999999999997</v>
      </c>
      <c r="BG119" s="1479">
        <v>0.71499999999999997</v>
      </c>
      <c r="BH119" s="1479">
        <v>0.65700000000000003</v>
      </c>
      <c r="BI119" s="1481">
        <f>+SUMPRODUCT(BE119:BH119,$BJ$4:$BM$4)/$BN$4</f>
        <v>0.68330769230769228</v>
      </c>
      <c r="BJ119" s="1479">
        <v>0.66900000000000004</v>
      </c>
      <c r="BK119" s="1479">
        <v>0.73599999999999999</v>
      </c>
      <c r="BL119" s="1479">
        <v>0.73</v>
      </c>
      <c r="BM119" s="1479">
        <v>0.67600000000000005</v>
      </c>
      <c r="BN119" s="1481">
        <f>+SUMPRODUCT(BJ119:BM119,$BJ$4:$BM$4)/$BN$4</f>
        <v>0.70069230769230773</v>
      </c>
      <c r="BO119" s="1479">
        <v>0.68500000000000005</v>
      </c>
      <c r="BP119" s="1479">
        <v>0.755</v>
      </c>
      <c r="BQ119" s="1479">
        <v>0.73199999999999998</v>
      </c>
      <c r="BR119" s="1479">
        <v>0.67200000000000004</v>
      </c>
      <c r="BS119" s="1998">
        <v>0.71299999999999997</v>
      </c>
      <c r="BT119" s="1479">
        <v>0.70499999999999996</v>
      </c>
      <c r="BU119" s="1479">
        <v>0.76700000000000002</v>
      </c>
      <c r="BV119" s="1479">
        <v>0.755</v>
      </c>
      <c r="BW119" s="1479">
        <v>0.67400000000000004</v>
      </c>
      <c r="BX119" s="1998">
        <v>0.72599999999999998</v>
      </c>
      <c r="BY119" s="1479">
        <v>0.70099999999999996</v>
      </c>
      <c r="BZ119" s="1479">
        <v>0.76700000000000002</v>
      </c>
      <c r="CA119" s="1479">
        <v>0.76</v>
      </c>
      <c r="CB119" s="1479">
        <v>0.68100000000000005</v>
      </c>
      <c r="CC119" s="1481">
        <f>+SUMPRODUCT(BY119:CB119,$BT$4:$BW$4)/$BX$4</f>
        <v>0.72728493150684936</v>
      </c>
      <c r="CD119" s="1479">
        <v>0.69599999999999995</v>
      </c>
      <c r="CE119" s="1479">
        <v>0.77700000000000002</v>
      </c>
      <c r="CF119" s="1479">
        <v>0.75600000000000001</v>
      </c>
      <c r="CG119" s="1479"/>
      <c r="CH119" s="2699"/>
      <c r="CI119" s="1482"/>
      <c r="CJ119" s="1482"/>
      <c r="CK119" s="1482"/>
      <c r="CL119" s="1482"/>
      <c r="CM119" s="2699"/>
      <c r="CN119" s="1482"/>
      <c r="CO119" s="1482"/>
      <c r="CP119" s="1482"/>
      <c r="CQ119" s="1482"/>
      <c r="CR119" s="1480"/>
      <c r="CS119" s="1480"/>
      <c r="CT119" s="1480"/>
      <c r="CV119" s="537"/>
      <c r="CW119" s="537"/>
      <c r="CX119" s="537"/>
      <c r="DA119" s="212"/>
      <c r="DB119" s="1226"/>
    </row>
    <row r="120" spans="1:106" s="207" customFormat="1" x14ac:dyDescent="0.2">
      <c r="A120" s="1595" t="s">
        <v>652</v>
      </c>
      <c r="B120" s="885"/>
      <c r="C120" s="885"/>
      <c r="D120" s="885"/>
      <c r="E120" s="885"/>
      <c r="F120" s="1044"/>
      <c r="G120" s="885">
        <f>G119/B119-1</f>
        <v>-3.5573122529644285E-2</v>
      </c>
      <c r="H120" s="885">
        <f>H119/C119-1</f>
        <v>-7.8979343863912477E-2</v>
      </c>
      <c r="I120" s="885">
        <f>I119/D119-1</f>
        <v>-6.2814070351758899E-2</v>
      </c>
      <c r="J120" s="885">
        <f>J119/E119-1</f>
        <v>-0.18424566088117489</v>
      </c>
      <c r="K120" s="1044"/>
      <c r="L120" s="885">
        <f>L119/G119-1</f>
        <v>-5.1912568306010987E-2</v>
      </c>
      <c r="M120" s="885">
        <f>M119/H119-1</f>
        <v>-5.8047493403693973E-2</v>
      </c>
      <c r="N120" s="885">
        <f>N119/I119-1</f>
        <v>-4.0214477211796273E-2</v>
      </c>
      <c r="O120" s="885">
        <f>O119/J119-1</f>
        <v>0.14729950900163669</v>
      </c>
      <c r="P120" s="1044">
        <f>+P119/K119-1</f>
        <v>2.6223776223774919E-3</v>
      </c>
      <c r="Q120" s="885">
        <f>Q119/L119-1</f>
        <v>-3.8904899135446591E-2</v>
      </c>
      <c r="R120" s="885">
        <f>R119/M119-1</f>
        <v>-3.5014005602240883E-2</v>
      </c>
      <c r="S120" s="885">
        <f>S119/N119-1</f>
        <v>-1.3966480446927387E-2</v>
      </c>
      <c r="T120" s="885">
        <f>T119/O119-1</f>
        <v>-7.41797432239657E-2</v>
      </c>
      <c r="U120" s="1044">
        <f>+U119/P119-1</f>
        <v>-4.293809938971227E-2</v>
      </c>
      <c r="V120" s="885">
        <f>V119/Q119-1</f>
        <v>2.8485757121439415E-2</v>
      </c>
      <c r="W120" s="885">
        <f>W119/R119-1</f>
        <v>5.9506531204644553E-2</v>
      </c>
      <c r="X120" s="885">
        <f>X119/S119-1</f>
        <v>2.8328611898017053E-2</v>
      </c>
      <c r="Y120" s="885">
        <f>Y119/T119-1</f>
        <v>8.0123266563944417E-2</v>
      </c>
      <c r="Z120" s="1044">
        <f>+Z119/U119-1</f>
        <v>5.1013436574812054E-2</v>
      </c>
      <c r="AA120" s="885">
        <f>AA119/V119-1</f>
        <v>-4.3731778425656342E-3</v>
      </c>
      <c r="AB120" s="885">
        <f>AB119/W119-1</f>
        <v>1.2328767123287676E-2</v>
      </c>
      <c r="AC120" s="885">
        <f>AC119/X119-1</f>
        <v>1.2396694214876103E-2</v>
      </c>
      <c r="AD120" s="885">
        <f>AD119/Y119-1</f>
        <v>-1.5610483122222907E-2</v>
      </c>
      <c r="AE120" s="1044">
        <f>+AE119/Z119-1</f>
        <v>1.3306666579482318E-4</v>
      </c>
      <c r="AF120" s="885">
        <f>AF119/AA119-1</f>
        <v>6.7655357759288659E-3</v>
      </c>
      <c r="AG120" s="885">
        <f>AG119/AB119-1</f>
        <v>-3.3984452892633632E-2</v>
      </c>
      <c r="AH120" s="885">
        <f>AH119/AC119-1</f>
        <v>-2.1052485254754116E-2</v>
      </c>
      <c r="AI120" s="885">
        <f>AI119/AD119-1</f>
        <v>-7.7805438891653811E-3</v>
      </c>
      <c r="AJ120" s="1044">
        <f>+AJ119/AE119-1</f>
        <v>-1.4015226691702076E-2</v>
      </c>
      <c r="AK120" s="885">
        <f>AK119/AF119-1</f>
        <v>-2.3586352452729997E-2</v>
      </c>
      <c r="AL120" s="885">
        <f>AL119/AG119-1</f>
        <v>4.6386305903981961E-2</v>
      </c>
      <c r="AM120" s="885">
        <f>AM119/AH119-1</f>
        <v>2.7064435760273842E-2</v>
      </c>
      <c r="AN120" s="885">
        <f>AN119/AI119-1</f>
        <v>-6.8469608598802356E-3</v>
      </c>
      <c r="AO120" s="1044">
        <f>+AO119/AJ119-1</f>
        <v>9.927292255893283E-3</v>
      </c>
      <c r="AP120" s="885">
        <f>AP119/AK119-1</f>
        <v>-2.1451208852127257E-2</v>
      </c>
      <c r="AQ120" s="885">
        <f>AQ119/AL119-1</f>
        <v>-2.5435073627844695E-2</v>
      </c>
      <c r="AR120" s="885">
        <f>AR119/AM119-1</f>
        <v>-2.1650879566982417E-2</v>
      </c>
      <c r="AS120" s="885">
        <f>AS119/AN119-1</f>
        <v>-7.3529411764705954E-2</v>
      </c>
      <c r="AT120" s="1044">
        <f>+AT119/AO119-1</f>
        <v>-3.8844747570980998E-2</v>
      </c>
      <c r="AU120" s="885">
        <f>AU119/AP119-1</f>
        <v>-9.1324200913242115E-2</v>
      </c>
      <c r="AV120" s="885">
        <f>AV119/AQ119-1</f>
        <v>-0.10027472527472525</v>
      </c>
      <c r="AW120" s="885">
        <f>AW119/AR119-1</f>
        <v>-7.4688796680497882E-2</v>
      </c>
      <c r="AX120" s="885">
        <f>AX119/AS119-1</f>
        <v>-1.7460317460317509E-2</v>
      </c>
      <c r="AY120" s="1044">
        <f>+AY119/AT119-1</f>
        <v>-6.7473558094894415E-2</v>
      </c>
      <c r="AZ120" s="885">
        <f>AZ119/AU119-1</f>
        <v>6.3651591289782372E-2</v>
      </c>
      <c r="BA120" s="885">
        <f>BA119/AV119-1</f>
        <v>6.8702290076335659E-2</v>
      </c>
      <c r="BB120" s="885">
        <f>BB119/AW119-1</f>
        <v>3.7369207772795177E-2</v>
      </c>
      <c r="BC120" s="885">
        <f>BC119/AX119-1</f>
        <v>3.0694668820678617E-2</v>
      </c>
      <c r="BD120" s="1044">
        <f>+BD119/AY119-1</f>
        <v>4.854958125986153E-2</v>
      </c>
      <c r="BE120" s="885">
        <f>BE119/AZ119-1</f>
        <v>2.8346456692913469E-2</v>
      </c>
      <c r="BF120" s="885">
        <f>BF119/BA119-1</f>
        <v>2.4285714285714244E-2</v>
      </c>
      <c r="BG120" s="885">
        <f>BG119/BB119-1</f>
        <v>3.0259365994236287E-2</v>
      </c>
      <c r="BH120" s="885">
        <f>BH119/BC119-1</f>
        <v>2.9780564263322873E-2</v>
      </c>
      <c r="BI120" s="1044">
        <f>+BI119/BD119-1</f>
        <v>2.8244009723347618E-2</v>
      </c>
      <c r="BJ120" s="885">
        <f>BJ119/BE119-1</f>
        <v>2.4502297090352343E-2</v>
      </c>
      <c r="BK120" s="885">
        <f>BK119/BF119-1</f>
        <v>2.6499302649930279E-2</v>
      </c>
      <c r="BL120" s="885">
        <f>BL119/BG119-1</f>
        <v>2.0979020979021046E-2</v>
      </c>
      <c r="BM120" s="885">
        <f>BM119/BH119-1</f>
        <v>2.8919330289193246E-2</v>
      </c>
      <c r="BN120" s="1280">
        <f>+BN119/BI119-1</f>
        <v>2.5441855229089372E-2</v>
      </c>
      <c r="BO120" s="885">
        <f>BO119/BJ119-1</f>
        <v>2.391629297458886E-2</v>
      </c>
      <c r="BP120" s="885">
        <f>BP119/BK119-1</f>
        <v>2.5815217391304435E-2</v>
      </c>
      <c r="BQ120" s="885">
        <f>BQ119/BL119-1</f>
        <v>2.73972602739736E-3</v>
      </c>
      <c r="BR120" s="885">
        <f>BR119/BM119-1</f>
        <v>-5.9171597633136397E-3</v>
      </c>
      <c r="BS120" s="1280">
        <f>+BS119/BN119-1</f>
        <v>1.75650455593368E-2</v>
      </c>
      <c r="BT120" s="885">
        <f>BT119/BO119-1</f>
        <v>2.9197080291970767E-2</v>
      </c>
      <c r="BU120" s="885">
        <f>BU119/BP119-1</f>
        <v>1.5894039735099286E-2</v>
      </c>
      <c r="BV120" s="885">
        <f>BV119/BQ119-1</f>
        <v>3.1420765027322384E-2</v>
      </c>
      <c r="BW120" s="885">
        <f>BW119/BR119-1</f>
        <v>2.9761904761904656E-3</v>
      </c>
      <c r="BX120" s="1280">
        <f>+BX119/BS119-1</f>
        <v>1.8232819074333717E-2</v>
      </c>
      <c r="BY120" s="885">
        <f>BY119/BT119-1</f>
        <v>-5.6737588652482351E-3</v>
      </c>
      <c r="BZ120" s="885">
        <f>BZ119/BU119-1</f>
        <v>0</v>
      </c>
      <c r="CA120" s="885">
        <f>CA119/BV119-1</f>
        <v>6.6225165562914245E-3</v>
      </c>
      <c r="CB120" s="885">
        <f>CB119/BW119-1</f>
        <v>1.0385756676557945E-2</v>
      </c>
      <c r="CC120" s="1280">
        <f>+CC119/BX119-1</f>
        <v>1.7698781086079585E-3</v>
      </c>
      <c r="CD120" s="885">
        <f>CD119/BY119-1</f>
        <v>-7.132667617689048E-3</v>
      </c>
      <c r="CE120" s="885">
        <f>CE119/BZ119-1</f>
        <v>1.3037809647979071E-2</v>
      </c>
      <c r="CF120" s="885">
        <f>CF119/CA119-1</f>
        <v>-5.2631578947368585E-3</v>
      </c>
      <c r="CG120" s="885"/>
      <c r="CH120" s="1280"/>
      <c r="CI120" s="886"/>
      <c r="CJ120" s="886"/>
      <c r="CK120" s="886"/>
      <c r="CL120" s="886"/>
      <c r="CM120" s="1280"/>
      <c r="CN120" s="886"/>
      <c r="CO120" s="886"/>
      <c r="CP120" s="886"/>
      <c r="CQ120" s="886"/>
      <c r="CR120" s="1046"/>
      <c r="CS120" s="1046"/>
      <c r="CT120" s="1046"/>
      <c r="CV120" s="537"/>
      <c r="CW120" s="537"/>
      <c r="CX120" s="537"/>
      <c r="DA120" s="212"/>
      <c r="DB120" s="1226"/>
    </row>
    <row r="121" spans="1:106" s="207" customFormat="1" x14ac:dyDescent="0.2">
      <c r="A121" s="1595" t="s">
        <v>359</v>
      </c>
      <c r="B121" s="1924" t="s">
        <v>673</v>
      </c>
      <c r="C121" s="1924" t="s">
        <v>673</v>
      </c>
      <c r="D121" s="1924" t="s">
        <v>673</v>
      </c>
      <c r="E121" s="1924" t="s">
        <v>673</v>
      </c>
      <c r="F121" s="1890" t="s">
        <v>673</v>
      </c>
      <c r="G121" s="1924" t="s">
        <v>673</v>
      </c>
      <c r="H121" s="1924" t="s">
        <v>673</v>
      </c>
      <c r="I121" s="1924" t="s">
        <v>673</v>
      </c>
      <c r="J121" s="1924" t="s">
        <v>673</v>
      </c>
      <c r="K121" s="1890" t="s">
        <v>673</v>
      </c>
      <c r="L121" s="1924" t="s">
        <v>673</v>
      </c>
      <c r="M121" s="1924" t="s">
        <v>673</v>
      </c>
      <c r="N121" s="1924" t="s">
        <v>673</v>
      </c>
      <c r="O121" s="1924" t="s">
        <v>673</v>
      </c>
      <c r="P121" s="1890" t="s">
        <v>673</v>
      </c>
      <c r="Q121" s="1043">
        <f>+Q648</f>
        <v>3.0000000000000001E-3</v>
      </c>
      <c r="R121" s="1043">
        <f t="shared" ref="R121:BL121" si="137">+R648</f>
        <v>-2.3E-2</v>
      </c>
      <c r="S121" s="1043">
        <f t="shared" si="137"/>
        <v>1E-3</v>
      </c>
      <c r="T121" s="1043">
        <f t="shared" si="137"/>
        <v>-1E-3</v>
      </c>
      <c r="U121" s="1953">
        <f t="shared" si="137"/>
        <v>-1E-3</v>
      </c>
      <c r="V121" s="1043">
        <f t="shared" si="137"/>
        <v>0.02</v>
      </c>
      <c r="W121" s="1043">
        <f t="shared" si="137"/>
        <v>4.3999999999999997E-2</v>
      </c>
      <c r="X121" s="1043">
        <f t="shared" si="137"/>
        <v>2.5999999999999999E-2</v>
      </c>
      <c r="Y121" s="1043">
        <f t="shared" si="137"/>
        <v>2.5999999999999999E-2</v>
      </c>
      <c r="Z121" s="1953">
        <f t="shared" si="137"/>
        <v>2.8000000000000001E-2</v>
      </c>
      <c r="AA121" s="1043">
        <f t="shared" si="137"/>
        <v>4.0000000000000001E-3</v>
      </c>
      <c r="AB121" s="1043">
        <f t="shared" si="137"/>
        <v>1.4E-2</v>
      </c>
      <c r="AC121" s="1043">
        <f t="shared" si="137"/>
        <v>8.9999999999999993E-3</v>
      </c>
      <c r="AD121" s="1043">
        <f t="shared" si="137"/>
        <v>1.7999999999999999E-2</v>
      </c>
      <c r="AE121" s="1953">
        <f t="shared" si="137"/>
        <v>1.2E-2</v>
      </c>
      <c r="AF121" s="1043">
        <f t="shared" si="137"/>
        <v>1.0999999999999999E-2</v>
      </c>
      <c r="AG121" s="1043">
        <f t="shared" si="137"/>
        <v>7.0000000000000001E-3</v>
      </c>
      <c r="AH121" s="1043">
        <f t="shared" si="137"/>
        <v>-1E-3</v>
      </c>
      <c r="AI121" s="1043">
        <f t="shared" si="137"/>
        <v>-6.0000000000000001E-3</v>
      </c>
      <c r="AJ121" s="1953">
        <f t="shared" si="137"/>
        <v>2E-3</v>
      </c>
      <c r="AK121" s="1043">
        <f t="shared" si="137"/>
        <v>-6.0000000000000001E-3</v>
      </c>
      <c r="AL121" s="1043">
        <f t="shared" si="137"/>
        <v>1.4E-2</v>
      </c>
      <c r="AM121" s="1043">
        <f t="shared" si="137"/>
        <v>1.4999999999999999E-2</v>
      </c>
      <c r="AN121" s="1043">
        <f t="shared" si="137"/>
        <v>0</v>
      </c>
      <c r="AO121" s="1953">
        <f t="shared" si="137"/>
        <v>6.0000000000000001E-3</v>
      </c>
      <c r="AP121" s="1043">
        <f t="shared" si="137"/>
        <v>-1.4999999999999999E-2</v>
      </c>
      <c r="AQ121" s="1043">
        <f t="shared" si="137"/>
        <v>-8.0000000000000002E-3</v>
      </c>
      <c r="AR121" s="1043">
        <f t="shared" si="137"/>
        <v>-1.7999999999999999E-2</v>
      </c>
      <c r="AS121" s="1043">
        <f t="shared" si="137"/>
        <v>-4.5999999999999999E-2</v>
      </c>
      <c r="AT121" s="1953">
        <f t="shared" si="137"/>
        <v>-2.5000000000000001E-2</v>
      </c>
      <c r="AU121" s="1043">
        <f t="shared" si="137"/>
        <v>-5.8999999999999997E-2</v>
      </c>
      <c r="AV121" s="1043">
        <f t="shared" si="137"/>
        <v>-7.2999999999999995E-2</v>
      </c>
      <c r="AW121" s="1043">
        <f t="shared" si="137"/>
        <v>-5.2999999999999999E-2</v>
      </c>
      <c r="AX121" s="1043">
        <f t="shared" si="137"/>
        <v>-8.9999999999999993E-3</v>
      </c>
      <c r="AY121" s="1953">
        <f t="shared" si="137"/>
        <v>-5.0999999999999997E-2</v>
      </c>
      <c r="AZ121" s="1043">
        <f t="shared" si="137"/>
        <v>3.9E-2</v>
      </c>
      <c r="BA121" s="1043">
        <f t="shared" si="137"/>
        <v>4.5999999999999999E-2</v>
      </c>
      <c r="BB121" s="1043">
        <f t="shared" si="137"/>
        <v>3.1E-2</v>
      </c>
      <c r="BC121" s="1043">
        <f t="shared" si="137"/>
        <v>2.5000000000000001E-2</v>
      </c>
      <c r="BD121" s="1953">
        <f t="shared" si="137"/>
        <v>3.5000000000000003E-2</v>
      </c>
      <c r="BE121" s="1043">
        <f t="shared" si="137"/>
        <v>1.0999999999999999E-2</v>
      </c>
      <c r="BF121" s="1043">
        <f t="shared" si="137"/>
        <v>1.2E-2</v>
      </c>
      <c r="BG121" s="1043">
        <f t="shared" si="137"/>
        <v>1.6E-2</v>
      </c>
      <c r="BH121" s="1043">
        <f t="shared" si="137"/>
        <v>1.4E-2</v>
      </c>
      <c r="BI121" s="1953">
        <f t="shared" si="137"/>
        <v>1.0999999999999999E-2</v>
      </c>
      <c r="BJ121" s="1043">
        <f t="shared" si="137"/>
        <v>2.3E-2</v>
      </c>
      <c r="BK121" s="1043">
        <f t="shared" si="137"/>
        <v>1.7999999999999999E-2</v>
      </c>
      <c r="BL121" s="1043">
        <f t="shared" si="137"/>
        <v>1.6E-2</v>
      </c>
      <c r="BM121" s="1043">
        <f t="shared" ref="BM121:BS121" si="138">+BM648</f>
        <v>1.6E-2</v>
      </c>
      <c r="BN121" s="1545">
        <f t="shared" si="138"/>
        <v>1.7999999999999999E-2</v>
      </c>
      <c r="BO121" s="1043">
        <f t="shared" si="138"/>
        <v>8.0000000000000002E-3</v>
      </c>
      <c r="BP121" s="1043">
        <f t="shared" si="138"/>
        <v>1.2E-2</v>
      </c>
      <c r="BQ121" s="1043">
        <f t="shared" si="138"/>
        <v>7.0000000000000001E-3</v>
      </c>
      <c r="BR121" s="1043">
        <f t="shared" si="138"/>
        <v>1.0999999999999999E-2</v>
      </c>
      <c r="BS121" s="1545">
        <f t="shared" si="138"/>
        <v>0.01</v>
      </c>
      <c r="BT121" s="1043">
        <f t="shared" ref="BT121:BY121" si="139">+BT648</f>
        <v>1.9E-2</v>
      </c>
      <c r="BU121" s="1043">
        <f t="shared" si="139"/>
        <v>1.2999999999999999E-2</v>
      </c>
      <c r="BV121" s="1043">
        <f t="shared" si="139"/>
        <v>2.5999999999999999E-2</v>
      </c>
      <c r="BW121" s="1043">
        <f t="shared" si="139"/>
        <v>4.0000000000000001E-3</v>
      </c>
      <c r="BX121" s="1545">
        <f t="shared" si="139"/>
        <v>1.4999999999999999E-2</v>
      </c>
      <c r="BY121" s="1043">
        <f t="shared" si="139"/>
        <v>4.0000000000000001E-3</v>
      </c>
      <c r="BZ121" s="1043">
        <f t="shared" ref="BZ121:CF121" si="140">+BZ648</f>
        <v>1E-3</v>
      </c>
      <c r="CA121" s="2882">
        <f t="shared" si="140"/>
        <v>6.0000000000000001E-3</v>
      </c>
      <c r="CB121" s="2882">
        <f t="shared" si="140"/>
        <v>0.01</v>
      </c>
      <c r="CC121" s="2881">
        <f t="shared" si="140"/>
        <v>6.0000000000000001E-3</v>
      </c>
      <c r="CD121" s="2882">
        <f t="shared" si="140"/>
        <v>0</v>
      </c>
      <c r="CE121" s="2882">
        <f t="shared" si="140"/>
        <v>1.2999999999999999E-2</v>
      </c>
      <c r="CF121" s="2882">
        <f t="shared" si="140"/>
        <v>1E-3</v>
      </c>
      <c r="CG121" s="2882"/>
      <c r="CH121" s="1545"/>
      <c r="CI121" s="1546"/>
      <c r="CJ121" s="1546"/>
      <c r="CK121" s="1546"/>
      <c r="CL121" s="1546"/>
      <c r="CM121" s="1545"/>
      <c r="CN121" s="1546"/>
      <c r="CO121" s="1546"/>
      <c r="CP121" s="1546"/>
      <c r="CQ121" s="1546"/>
      <c r="CR121" s="1545"/>
      <c r="CS121" s="1545"/>
      <c r="CT121" s="1545"/>
      <c r="CV121" s="537"/>
      <c r="CW121" s="537"/>
      <c r="CX121" s="537"/>
      <c r="DA121" s="212"/>
      <c r="DB121" s="1226"/>
    </row>
    <row r="122" spans="1:106" s="207" customFormat="1" x14ac:dyDescent="0.2">
      <c r="A122" s="1434" t="s">
        <v>820</v>
      </c>
      <c r="B122" s="1479"/>
      <c r="C122" s="1479"/>
      <c r="D122" s="1479"/>
      <c r="E122" s="1479"/>
      <c r="F122" s="1481">
        <f>+SUMPRODUCT(B122:E122,$BJ$4:$BM$4)/$BN$4</f>
        <v>0</v>
      </c>
      <c r="G122" s="1479"/>
      <c r="H122" s="1479"/>
      <c r="I122" s="1479"/>
      <c r="J122" s="1479"/>
      <c r="K122" s="1481">
        <f>+SUMPRODUCT(G122:J122,$BJ$4:$BM$4)/$BN$4</f>
        <v>0</v>
      </c>
      <c r="L122" s="1479"/>
      <c r="M122" s="1479"/>
      <c r="N122" s="1479"/>
      <c r="O122" s="1479"/>
      <c r="P122" s="1481">
        <f>+SUMPRODUCT(L122:O122,$BJ$4:$BM$4)/$BN$4</f>
        <v>0</v>
      </c>
      <c r="Q122" s="1479"/>
      <c r="R122" s="1479">
        <v>0.66700000000000004</v>
      </c>
      <c r="S122" s="1479">
        <v>0.68500000000000005</v>
      </c>
      <c r="T122" s="1479">
        <v>0.63500000000000001</v>
      </c>
      <c r="U122" s="1481">
        <f>+SUMPRODUCT(Q122:T122,$BJ$4:$BM$4)/$BN$4</f>
        <v>0.50738461538461543</v>
      </c>
      <c r="V122" s="1479">
        <v>0.68300000000000005</v>
      </c>
      <c r="W122" s="1479">
        <v>0.71499999999999997</v>
      </c>
      <c r="X122" s="1479">
        <v>0.71199999999999997</v>
      </c>
      <c r="Y122" s="1479">
        <v>0.69099999999999995</v>
      </c>
      <c r="Z122" s="1481">
        <f>+SUMPRODUCT(V122:Y122,$BJ$4:$BM$4)/$BN$4</f>
        <v>0.69953846153846155</v>
      </c>
      <c r="AA122" s="1479">
        <v>0.67800000000000005</v>
      </c>
      <c r="AB122" s="1479">
        <v>0.73399999999999999</v>
      </c>
      <c r="AC122" s="1479">
        <v>0.73599999999999999</v>
      </c>
      <c r="AD122" s="1479">
        <v>0.69739331594317655</v>
      </c>
      <c r="AE122" s="1481">
        <f>+SUMPRODUCT(AA122:AD122,$BJ$4:$BM$4)/$BN$4</f>
        <v>0.71027486644405446</v>
      </c>
      <c r="AF122" s="1479">
        <v>0.69457304909420514</v>
      </c>
      <c r="AG122" s="1479">
        <v>0.72805706531902514</v>
      </c>
      <c r="AH122" s="1479">
        <v>0.73388082782727537</v>
      </c>
      <c r="AI122" s="1479">
        <v>0.69686095108951263</v>
      </c>
      <c r="AJ122" s="1481">
        <f>+SUMPRODUCT(AF122:AI122,$BJ$4:$BM$4)/$BN$4</f>
        <v>0.71207512546765905</v>
      </c>
      <c r="AK122" s="1479">
        <v>0.68817649592419483</v>
      </c>
      <c r="AL122" s="1479">
        <v>0.747</v>
      </c>
      <c r="AM122" s="1479">
        <v>0.747</v>
      </c>
      <c r="AN122" s="1479">
        <v>0.69299999999999995</v>
      </c>
      <c r="AO122" s="1481">
        <f>+SUMPRODUCT(AK122:AN122,$BJ$4:$BM$4)/$BN$4</f>
        <v>0.71680996059789104</v>
      </c>
      <c r="AP122" s="1479">
        <v>0.67700000000000005</v>
      </c>
      <c r="AQ122" s="1479">
        <v>0.73499999999999999</v>
      </c>
      <c r="AR122" s="1479">
        <v>0.72499999999999998</v>
      </c>
      <c r="AS122" s="1479">
        <v>0.63800000000000001</v>
      </c>
      <c r="AT122" s="1481">
        <f>+SUMPRODUCT(AP122:AS122,$BJ$4:$BM$4)/$BN$4</f>
        <v>0.68946153846153846</v>
      </c>
      <c r="AU122" s="1479">
        <v>0.60499999999999998</v>
      </c>
      <c r="AV122" s="1479">
        <v>0.66</v>
      </c>
      <c r="AW122" s="1479">
        <v>0.66600000000000004</v>
      </c>
      <c r="AX122" s="1479">
        <v>0.624</v>
      </c>
      <c r="AY122" s="1481">
        <f>+SUMPRODUCT(AU122:AX122,$BJ$4:$BM$4)/$BN$4</f>
        <v>0.63761538461538469</v>
      </c>
      <c r="AZ122" s="1479">
        <v>0.63600000000000001</v>
      </c>
      <c r="BA122" s="1479">
        <v>0.70699999999999996</v>
      </c>
      <c r="BB122" s="1479">
        <v>0.69599999999999995</v>
      </c>
      <c r="BC122" s="1479">
        <v>0.65300000000000002</v>
      </c>
      <c r="BD122" s="1481">
        <f>+SUMPRODUCT(AZ122:BC122,$BJ$4:$BM$4)/$BN$4</f>
        <v>0.67146153846153844</v>
      </c>
      <c r="BE122" s="1479">
        <v>0.65400000000000003</v>
      </c>
      <c r="BF122" s="1479">
        <v>0.71899999999999997</v>
      </c>
      <c r="BG122" s="1479">
        <v>0.72</v>
      </c>
      <c r="BH122" s="1479">
        <v>0.67200000000000004</v>
      </c>
      <c r="BI122" s="1481">
        <f>+SUMPRODUCT(BE122:BH122,$BJ$4:$BM$4)/$BN$4</f>
        <v>0.6897692307692308</v>
      </c>
      <c r="BJ122" s="1479">
        <v>0.68700000000000006</v>
      </c>
      <c r="BK122" s="1479">
        <v>0.748</v>
      </c>
      <c r="BL122" s="1479">
        <v>0.73499999999999999</v>
      </c>
      <c r="BM122" s="1479">
        <v>0.68700000000000006</v>
      </c>
      <c r="BN122" s="1481">
        <f>+SUMPRODUCT(BJ122:BM122,$BJ$4:$BM$4)/$BN$4</f>
        <v>0.71215384615384614</v>
      </c>
      <c r="BO122" s="1479">
        <v>0.69499999999999995</v>
      </c>
      <c r="BP122" s="1479">
        <v>0.76300000000000001</v>
      </c>
      <c r="BQ122" s="1479">
        <v>0.73</v>
      </c>
      <c r="BR122" s="1479">
        <v>0.67</v>
      </c>
      <c r="BS122" s="1998">
        <v>0.71299999999999997</v>
      </c>
      <c r="BT122" s="1479">
        <v>0.69899999999999995</v>
      </c>
      <c r="BU122" s="1479">
        <v>0.77700000000000002</v>
      </c>
      <c r="BV122" s="1479">
        <v>0.755</v>
      </c>
      <c r="BW122" s="1479">
        <v>0.67200000000000004</v>
      </c>
      <c r="BX122" s="1998">
        <v>0.72599999999999998</v>
      </c>
      <c r="BY122" s="1479">
        <v>0.72199999999999998</v>
      </c>
      <c r="BZ122" s="1479">
        <v>0.78</v>
      </c>
      <c r="CA122" s="1479">
        <v>0.75700000000000001</v>
      </c>
      <c r="CB122" s="1479">
        <v>0.69099999999999995</v>
      </c>
      <c r="CC122" s="1481">
        <f>+SUMPRODUCT(BY122:CB122,$BT$4:$BW$4)/$BX$4</f>
        <v>0.73746849315068486</v>
      </c>
      <c r="CD122" s="1479">
        <v>0.71699999999999997</v>
      </c>
      <c r="CE122" s="1479">
        <v>0.79700000000000004</v>
      </c>
      <c r="CF122" s="1479">
        <v>0.77100000000000002</v>
      </c>
      <c r="CG122" s="3388"/>
      <c r="CH122" s="1481"/>
      <c r="CI122" s="1482"/>
      <c r="CJ122" s="1482"/>
      <c r="CK122" s="1482"/>
      <c r="CL122" s="1482"/>
      <c r="CM122" s="1481"/>
      <c r="CN122" s="1482"/>
      <c r="CO122" s="1482"/>
      <c r="CP122" s="1482"/>
      <c r="CQ122" s="1482"/>
      <c r="CR122" s="1480"/>
      <c r="CS122" s="1480"/>
      <c r="CT122" s="1480"/>
      <c r="CV122" s="537"/>
      <c r="CW122" s="537"/>
      <c r="CX122" s="537"/>
      <c r="DA122" s="212"/>
      <c r="DB122" s="1226"/>
    </row>
    <row r="123" spans="1:106" s="207" customFormat="1" x14ac:dyDescent="0.2">
      <c r="A123" s="1595" t="s">
        <v>652</v>
      </c>
      <c r="B123" s="885"/>
      <c r="C123" s="885"/>
      <c r="D123" s="885"/>
      <c r="E123" s="885"/>
      <c r="F123" s="1044"/>
      <c r="G123" s="885"/>
      <c r="H123" s="885"/>
      <c r="I123" s="885"/>
      <c r="J123" s="885"/>
      <c r="K123" s="1044"/>
      <c r="L123" s="885"/>
      <c r="M123" s="885"/>
      <c r="N123" s="885"/>
      <c r="O123" s="885"/>
      <c r="P123" s="1044"/>
      <c r="Q123" s="885"/>
      <c r="R123" s="885"/>
      <c r="S123" s="885"/>
      <c r="T123" s="885"/>
      <c r="U123" s="1044"/>
      <c r="V123" s="885"/>
      <c r="W123" s="885">
        <f>W122/R122-1</f>
        <v>7.1964017991004381E-2</v>
      </c>
      <c r="X123" s="885">
        <f>X122/S122-1</f>
        <v>3.9416058394160514E-2</v>
      </c>
      <c r="Y123" s="885">
        <f>Y122/T122-1</f>
        <v>8.8188976377952644E-2</v>
      </c>
      <c r="Z123" s="1044">
        <f>+Z122/U122-1</f>
        <v>0.37871437234687688</v>
      </c>
      <c r="AA123" s="885">
        <f>AA122/V122-1</f>
        <v>-7.3206442166910968E-3</v>
      </c>
      <c r="AB123" s="885">
        <f>AB122/W122-1</f>
        <v>2.657342657342654E-2</v>
      </c>
      <c r="AC123" s="885">
        <f>AC122/X122-1</f>
        <v>3.3707865168539408E-2</v>
      </c>
      <c r="AD123" s="885">
        <f>AD122/Y122-1</f>
        <v>9.2522661985190435E-3</v>
      </c>
      <c r="AE123" s="1044">
        <f>+AE122/Z122-1</f>
        <v>1.5347840749143193E-2</v>
      </c>
      <c r="AF123" s="885">
        <f>AF122/AA122-1</f>
        <v>2.4444025212691844E-2</v>
      </c>
      <c r="AG123" s="885">
        <f>AG122/AB122-1</f>
        <v>-8.0966412547340827E-3</v>
      </c>
      <c r="AH123" s="885">
        <f>AH122/AC122-1</f>
        <v>-2.8793100172889163E-3</v>
      </c>
      <c r="AI123" s="885">
        <f>AI122/AD122-1</f>
        <v>-7.6336386009656643E-4</v>
      </c>
      <c r="AJ123" s="1044">
        <f>+AJ122/AE122-1</f>
        <v>2.5345948570831833E-3</v>
      </c>
      <c r="AK123" s="885">
        <f>AK122/AF122-1</f>
        <v>-9.209331082385197E-3</v>
      </c>
      <c r="AL123" s="885">
        <f>AL122/AG122-1</f>
        <v>2.6018475176357692E-2</v>
      </c>
      <c r="AM123" s="885">
        <f>AM122/AH122-1</f>
        <v>1.7876433986653062E-2</v>
      </c>
      <c r="AN123" s="885">
        <f>AN122/AI122-1</f>
        <v>-5.5404899406061858E-3</v>
      </c>
      <c r="AO123" s="1044">
        <f>+AO122/AJ122-1</f>
        <v>6.6493477456079919E-3</v>
      </c>
      <c r="AP123" s="885">
        <f>AP122/AK122-1</f>
        <v>-1.6240740551862642E-2</v>
      </c>
      <c r="AQ123" s="885">
        <f>AQ122/AL122-1</f>
        <v>-1.6064257028112428E-2</v>
      </c>
      <c r="AR123" s="885">
        <f>AR122/AM122-1</f>
        <v>-2.9451137884872858E-2</v>
      </c>
      <c r="AS123" s="885">
        <f>AS122/AN122-1</f>
        <v>-7.9365079365079305E-2</v>
      </c>
      <c r="AT123" s="1044">
        <f>+AT122/AO122-1</f>
        <v>-3.8152960532999991E-2</v>
      </c>
      <c r="AU123" s="885">
        <f>AU122/AP122-1</f>
        <v>-0.10635155096011828</v>
      </c>
      <c r="AV123" s="885">
        <f>AV122/AQ122-1</f>
        <v>-0.1020408163265305</v>
      </c>
      <c r="AW123" s="885">
        <f>AW122/AR122-1</f>
        <v>-8.1379310344827482E-2</v>
      </c>
      <c r="AX123" s="885">
        <f>AX122/AS122-1</f>
        <v>-2.1943573667711602E-2</v>
      </c>
      <c r="AY123" s="1044">
        <f>+AY122/AT122-1</f>
        <v>-7.5198036371750376E-2</v>
      </c>
      <c r="AZ123" s="885">
        <f>AZ122/AU122-1</f>
        <v>5.123966942148761E-2</v>
      </c>
      <c r="BA123" s="885">
        <f>BA122/AV122-1</f>
        <v>7.121212121212106E-2</v>
      </c>
      <c r="BB123" s="885">
        <f>BB122/AW122-1</f>
        <v>4.5045045045044807E-2</v>
      </c>
      <c r="BC123" s="885">
        <f>BC122/AX122-1</f>
        <v>4.6474358974359031E-2</v>
      </c>
      <c r="BD123" s="1044">
        <f>+BD122/AY122-1</f>
        <v>5.3082398359271199E-2</v>
      </c>
      <c r="BE123" s="885">
        <f>BE122/AZ122-1</f>
        <v>2.8301886792452935E-2</v>
      </c>
      <c r="BF123" s="885">
        <f>BF122/BA122-1</f>
        <v>1.6973125884016893E-2</v>
      </c>
      <c r="BG123" s="885">
        <f>BG122/BB122-1</f>
        <v>3.4482758620689724E-2</v>
      </c>
      <c r="BH123" s="885">
        <f>BH122/BC122-1</f>
        <v>2.9096477794793296E-2</v>
      </c>
      <c r="BI123" s="1044">
        <f>+BI122/BD122-1</f>
        <v>2.7265437048917374E-2</v>
      </c>
      <c r="BJ123" s="885">
        <f>BJ122/BE122-1</f>
        <v>5.0458715596330306E-2</v>
      </c>
      <c r="BK123" s="885">
        <f>BK122/BF122-1</f>
        <v>4.0333796940194677E-2</v>
      </c>
      <c r="BL123" s="885">
        <f>BL122/BG122-1</f>
        <v>2.0833333333333259E-2</v>
      </c>
      <c r="BM123" s="885">
        <f>BM122/BH122-1</f>
        <v>2.2321428571428603E-2</v>
      </c>
      <c r="BN123" s="1280">
        <f>+BN122/BI122-1</f>
        <v>3.2452325192372067E-2</v>
      </c>
      <c r="BO123" s="885">
        <f>BO122/BJ122-1</f>
        <v>1.1644832605531175E-2</v>
      </c>
      <c r="BP123" s="885">
        <f>BP122/BK122-1</f>
        <v>2.0053475935828846E-2</v>
      </c>
      <c r="BQ123" s="885">
        <f>BQ122/BL122-1</f>
        <v>-6.8027210884353817E-3</v>
      </c>
      <c r="BR123" s="885">
        <f>BR122/BM122-1</f>
        <v>-2.4745269286754024E-2</v>
      </c>
      <c r="BS123" s="1280">
        <f>+BS122/BN122-1</f>
        <v>1.1881615899762554E-3</v>
      </c>
      <c r="BT123" s="885">
        <f>BT122/BO122-1</f>
        <v>5.7553956834532904E-3</v>
      </c>
      <c r="BU123" s="885">
        <f>BU122/BP122-1</f>
        <v>1.8348623853211121E-2</v>
      </c>
      <c r="BV123" s="885">
        <f>BV122/BQ122-1</f>
        <v>3.424657534246589E-2</v>
      </c>
      <c r="BW123" s="885">
        <f>BW122/BR122-1</f>
        <v>2.9850746268655914E-3</v>
      </c>
      <c r="BX123" s="1280">
        <f>+BX122/BS122-1</f>
        <v>1.8232819074333717E-2</v>
      </c>
      <c r="BY123" s="885">
        <f>BY122/BT122-1</f>
        <v>3.2904148783977183E-2</v>
      </c>
      <c r="BZ123" s="885">
        <f>BZ122/BU122-1</f>
        <v>3.8610038610038533E-3</v>
      </c>
      <c r="CA123" s="885">
        <f>CA122/BV122-1</f>
        <v>2.6490066225166586E-3</v>
      </c>
      <c r="CB123" s="885">
        <f>CB122/BW122-1</f>
        <v>2.8273809523809312E-2</v>
      </c>
      <c r="CC123" s="1280">
        <f>+CC122/BX122-1</f>
        <v>1.5796822521604525E-2</v>
      </c>
      <c r="CD123" s="885">
        <f>CD122/BY122-1</f>
        <v>-6.9252077562327319E-3</v>
      </c>
      <c r="CE123" s="885">
        <f>CE122/BZ122-1</f>
        <v>2.1794871794871717E-2</v>
      </c>
      <c r="CF123" s="885">
        <f>CF122/CA122-1</f>
        <v>1.8494055482166427E-2</v>
      </c>
      <c r="CG123" s="885"/>
      <c r="CH123" s="1280"/>
      <c r="CI123" s="886"/>
      <c r="CJ123" s="886"/>
      <c r="CK123" s="886"/>
      <c r="CL123" s="886"/>
      <c r="CM123" s="1280"/>
      <c r="CN123" s="886"/>
      <c r="CO123" s="886"/>
      <c r="CP123" s="886"/>
      <c r="CQ123" s="886"/>
      <c r="CR123" s="1046"/>
      <c r="CS123" s="1046"/>
      <c r="CT123" s="1046"/>
      <c r="CV123" s="537"/>
      <c r="CW123" s="537"/>
      <c r="CX123" s="537"/>
      <c r="DA123" s="212"/>
      <c r="DB123" s="1226"/>
    </row>
    <row r="124" spans="1:106" s="207" customFormat="1" x14ac:dyDescent="0.2">
      <c r="A124" s="1595" t="s">
        <v>359</v>
      </c>
      <c r="B124" s="1924" t="s">
        <v>673</v>
      </c>
      <c r="C124" s="1924" t="s">
        <v>673</v>
      </c>
      <c r="D124" s="1924" t="s">
        <v>673</v>
      </c>
      <c r="E124" s="1924" t="s">
        <v>673</v>
      </c>
      <c r="F124" s="1890" t="s">
        <v>673</v>
      </c>
      <c r="G124" s="1924" t="s">
        <v>673</v>
      </c>
      <c r="H124" s="1924" t="s">
        <v>673</v>
      </c>
      <c r="I124" s="1924" t="s">
        <v>673</v>
      </c>
      <c r="J124" s="1924" t="s">
        <v>673</v>
      </c>
      <c r="K124" s="1890" t="s">
        <v>673</v>
      </c>
      <c r="L124" s="1924" t="s">
        <v>673</v>
      </c>
      <c r="M124" s="1924" t="s">
        <v>673</v>
      </c>
      <c r="N124" s="1924" t="s">
        <v>673</v>
      </c>
      <c r="O124" s="1924" t="s">
        <v>673</v>
      </c>
      <c r="P124" s="1890" t="s">
        <v>673</v>
      </c>
      <c r="Q124" s="1043">
        <f>+Q657</f>
        <v>0.02</v>
      </c>
      <c r="R124" s="1043">
        <f t="shared" ref="R124:BL124" si="141">+R657</f>
        <v>-0.01</v>
      </c>
      <c r="S124" s="1043">
        <f t="shared" si="141"/>
        <v>2.5000000000000001E-2</v>
      </c>
      <c r="T124" s="1043">
        <f t="shared" si="141"/>
        <v>2.3E-2</v>
      </c>
      <c r="U124" s="1953">
        <f t="shared" si="141"/>
        <v>1.4999999999999999E-2</v>
      </c>
      <c r="V124" s="1043">
        <f t="shared" si="141"/>
        <v>4.1000000000000002E-2</v>
      </c>
      <c r="W124" s="1043">
        <f t="shared" si="141"/>
        <v>4.5999999999999999E-2</v>
      </c>
      <c r="X124" s="1043">
        <f t="shared" si="141"/>
        <v>3.3000000000000002E-2</v>
      </c>
      <c r="Y124" s="1043">
        <f t="shared" si="141"/>
        <v>4.4999999999999998E-2</v>
      </c>
      <c r="Z124" s="1953">
        <f t="shared" si="141"/>
        <v>4.2000000000000003E-2</v>
      </c>
      <c r="AA124" s="1043">
        <f t="shared" si="141"/>
        <v>2.5999999999999999E-2</v>
      </c>
      <c r="AB124" s="1043">
        <f t="shared" si="141"/>
        <v>2.9000000000000001E-2</v>
      </c>
      <c r="AC124" s="1043">
        <f t="shared" si="141"/>
        <v>2.5000000000000001E-2</v>
      </c>
      <c r="AD124" s="1043">
        <f t="shared" si="141"/>
        <v>0.03</v>
      </c>
      <c r="AE124" s="1953">
        <f t="shared" si="141"/>
        <v>2.5999999999999999E-2</v>
      </c>
      <c r="AF124" s="1043">
        <f t="shared" si="141"/>
        <v>2.3E-2</v>
      </c>
      <c r="AG124" s="1043">
        <f t="shared" si="141"/>
        <v>2.4E-2</v>
      </c>
      <c r="AH124" s="1043">
        <f t="shared" si="141"/>
        <v>-1E-3</v>
      </c>
      <c r="AI124" s="1043">
        <f t="shared" si="141"/>
        <v>-4.0000000000000001E-3</v>
      </c>
      <c r="AJ124" s="1953">
        <f t="shared" si="141"/>
        <v>1.0999999999999999E-2</v>
      </c>
      <c r="AK124" s="1043">
        <f t="shared" si="141"/>
        <v>-1.0999999999999999E-2</v>
      </c>
      <c r="AL124" s="1043">
        <f t="shared" si="141"/>
        <v>-1.2E-2</v>
      </c>
      <c r="AM124" s="1043">
        <f t="shared" si="141"/>
        <v>1.0999999999999999E-2</v>
      </c>
      <c r="AN124" s="1043">
        <f t="shared" si="141"/>
        <v>0</v>
      </c>
      <c r="AO124" s="1953">
        <f t="shared" si="141"/>
        <v>-4.0000000000000001E-3</v>
      </c>
      <c r="AP124" s="1043">
        <f t="shared" si="141"/>
        <v>-4.0000000000000001E-3</v>
      </c>
      <c r="AQ124" s="1043">
        <f t="shared" si="141"/>
        <v>-3.0000000000000001E-3</v>
      </c>
      <c r="AR124" s="1043">
        <f t="shared" si="141"/>
        <v>-5.0000000000000001E-3</v>
      </c>
      <c r="AS124" s="1043">
        <f t="shared" si="141"/>
        <v>-4.2999999999999997E-2</v>
      </c>
      <c r="AT124" s="1953">
        <f t="shared" si="141"/>
        <v>-1.7000000000000001E-2</v>
      </c>
      <c r="AU124" s="1043">
        <f t="shared" si="141"/>
        <v>-0.06</v>
      </c>
      <c r="AV124" s="1043">
        <f t="shared" si="141"/>
        <v>-6.8000000000000005E-2</v>
      </c>
      <c r="AW124" s="1043">
        <f t="shared" si="141"/>
        <v>-0.05</v>
      </c>
      <c r="AX124" s="1043">
        <f t="shared" si="141"/>
        <v>-3.0000000000000001E-3</v>
      </c>
      <c r="AY124" s="1953">
        <f t="shared" si="141"/>
        <v>-4.7E-2</v>
      </c>
      <c r="AZ124" s="1043">
        <f t="shared" si="141"/>
        <v>4.7E-2</v>
      </c>
      <c r="BA124" s="1043">
        <f t="shared" si="141"/>
        <v>4.5999999999999999E-2</v>
      </c>
      <c r="BB124" s="1043">
        <f t="shared" si="141"/>
        <v>2.7E-2</v>
      </c>
      <c r="BC124" s="1043">
        <f t="shared" si="141"/>
        <v>2.5999999999999999E-2</v>
      </c>
      <c r="BD124" s="1953">
        <f t="shared" si="141"/>
        <v>3.5000000000000003E-2</v>
      </c>
      <c r="BE124" s="1043">
        <f t="shared" si="141"/>
        <v>1.4999999999999999E-2</v>
      </c>
      <c r="BF124" s="1043">
        <f t="shared" si="141"/>
        <v>0.01</v>
      </c>
      <c r="BG124" s="1043">
        <f t="shared" si="141"/>
        <v>2.8000000000000001E-2</v>
      </c>
      <c r="BH124" s="1043">
        <f t="shared" si="141"/>
        <v>2.1000000000000001E-2</v>
      </c>
      <c r="BI124" s="1953">
        <f t="shared" si="141"/>
        <v>1.9E-2</v>
      </c>
      <c r="BJ124" s="1043">
        <f t="shared" si="141"/>
        <v>0.02</v>
      </c>
      <c r="BK124" s="1043">
        <f t="shared" si="141"/>
        <v>1.6E-2</v>
      </c>
      <c r="BL124" s="1043">
        <f t="shared" si="141"/>
        <v>1.2E-2</v>
      </c>
      <c r="BM124" s="1043">
        <f t="shared" ref="BM124:BS124" si="142">+BM657</f>
        <v>0.01</v>
      </c>
      <c r="BN124" s="1545">
        <f t="shared" si="142"/>
        <v>1.4E-2</v>
      </c>
      <c r="BO124" s="1043">
        <f t="shared" si="142"/>
        <v>8.0000000000000002E-3</v>
      </c>
      <c r="BP124" s="1043">
        <f t="shared" si="142"/>
        <v>1.0999999999999999E-2</v>
      </c>
      <c r="BQ124" s="1043">
        <f t="shared" si="142"/>
        <v>7.0000000000000001E-3</v>
      </c>
      <c r="BR124" s="1043">
        <f t="shared" si="142"/>
        <v>1E-3</v>
      </c>
      <c r="BS124" s="1545">
        <f t="shared" si="142"/>
        <v>7.0000000000000001E-3</v>
      </c>
      <c r="BT124" s="1043">
        <f t="shared" ref="BT124:BY124" si="143">+BT657</f>
        <v>2.1999999999999999E-2</v>
      </c>
      <c r="BU124" s="1043">
        <f t="shared" si="143"/>
        <v>1.9E-2</v>
      </c>
      <c r="BV124" s="1043">
        <f t="shared" si="143"/>
        <v>2.7E-2</v>
      </c>
      <c r="BW124" s="1043">
        <f t="shared" si="143"/>
        <v>8.0000000000000002E-3</v>
      </c>
      <c r="BX124" s="1545">
        <f t="shared" si="143"/>
        <v>1.9E-2</v>
      </c>
      <c r="BY124" s="1043">
        <f t="shared" si="143"/>
        <v>1.4999999999999999E-2</v>
      </c>
      <c r="BZ124" s="1043">
        <f t="shared" ref="BZ124:CF124" si="144">+BZ657</f>
        <v>0</v>
      </c>
      <c r="CA124" s="1043">
        <f t="shared" si="144"/>
        <v>2E-3</v>
      </c>
      <c r="CB124" s="2882">
        <f t="shared" si="144"/>
        <v>0.01</v>
      </c>
      <c r="CC124" s="2881">
        <f t="shared" si="144"/>
        <v>8.0000000000000002E-3</v>
      </c>
      <c r="CD124" s="2882">
        <f t="shared" si="144"/>
        <v>-8.0000000000000002E-3</v>
      </c>
      <c r="CE124" s="2882">
        <f t="shared" si="144"/>
        <v>0.02</v>
      </c>
      <c r="CF124" s="2882">
        <f t="shared" si="144"/>
        <v>1.7000000000000001E-2</v>
      </c>
      <c r="CG124" s="2882"/>
      <c r="CH124" s="1545"/>
      <c r="CI124" s="1546"/>
      <c r="CJ124" s="1546"/>
      <c r="CK124" s="1546"/>
      <c r="CL124" s="1546"/>
      <c r="CM124" s="1545"/>
      <c r="CN124" s="1546"/>
      <c r="CO124" s="1546"/>
      <c r="CP124" s="1546"/>
      <c r="CQ124" s="1546"/>
      <c r="CR124" s="1545"/>
      <c r="CS124" s="1545"/>
      <c r="CT124" s="1545"/>
      <c r="CV124" s="537"/>
      <c r="CW124" s="537"/>
      <c r="CX124" s="537"/>
      <c r="DA124" s="212"/>
      <c r="DB124" s="1226"/>
    </row>
    <row r="125" spans="1:106" s="207" customFormat="1" x14ac:dyDescent="0.2">
      <c r="A125" s="1434" t="s">
        <v>2046</v>
      </c>
      <c r="B125" s="1479"/>
      <c r="C125" s="1479"/>
      <c r="D125" s="1479"/>
      <c r="E125" s="1479"/>
      <c r="F125" s="1481"/>
      <c r="G125" s="1479"/>
      <c r="H125" s="1479"/>
      <c r="I125" s="1479"/>
      <c r="J125" s="1479"/>
      <c r="K125" s="1481"/>
      <c r="L125" s="1479"/>
      <c r="M125" s="1479"/>
      <c r="N125" s="1479"/>
      <c r="O125" s="1479"/>
      <c r="P125" s="1481"/>
      <c r="Q125" s="1479"/>
      <c r="R125" s="1479"/>
      <c r="S125" s="1479"/>
      <c r="T125" s="1479"/>
      <c r="U125" s="1481"/>
      <c r="V125" s="1479"/>
      <c r="W125" s="1479"/>
      <c r="X125" s="1479"/>
      <c r="Y125" s="1479"/>
      <c r="Z125" s="1481"/>
      <c r="AA125" s="1479"/>
      <c r="AB125" s="1479"/>
      <c r="AC125" s="1479"/>
      <c r="AD125" s="1479"/>
      <c r="AE125" s="1481"/>
      <c r="AF125" s="1479"/>
      <c r="AG125" s="1479"/>
      <c r="AH125" s="1479"/>
      <c r="AI125" s="1479"/>
      <c r="AJ125" s="1481"/>
      <c r="AK125" s="1479"/>
      <c r="AL125" s="1479"/>
      <c r="AM125" s="1479"/>
      <c r="AN125" s="1479"/>
      <c r="AO125" s="1481"/>
      <c r="AP125" s="1479"/>
      <c r="AQ125" s="1479"/>
      <c r="AR125" s="1479"/>
      <c r="AS125" s="1479"/>
      <c r="AT125" s="1481"/>
      <c r="AU125" s="1479"/>
      <c r="AV125" s="1479"/>
      <c r="AW125" s="1479"/>
      <c r="AX125" s="1479"/>
      <c r="AY125" s="1481"/>
      <c r="AZ125" s="1479"/>
      <c r="BA125" s="1479"/>
      <c r="BB125" s="1479"/>
      <c r="BC125" s="1479"/>
      <c r="BD125" s="1481"/>
      <c r="BE125" s="1479"/>
      <c r="BF125" s="1479"/>
      <c r="BG125" s="1479"/>
      <c r="BH125" s="1479"/>
      <c r="BI125" s="1481"/>
      <c r="BJ125" s="1479"/>
      <c r="BK125" s="1479"/>
      <c r="BL125" s="1479"/>
      <c r="BM125" s="1479">
        <v>0.76100000000000001</v>
      </c>
      <c r="BN125" s="1998">
        <v>0.76100000000000001</v>
      </c>
      <c r="BO125" s="1479">
        <v>0.74099999999999999</v>
      </c>
      <c r="BP125" s="1479">
        <v>0.79600000000000004</v>
      </c>
      <c r="BQ125" s="1479">
        <v>0.77800000000000002</v>
      </c>
      <c r="BR125" s="1479">
        <v>0.75</v>
      </c>
      <c r="BS125" s="1998">
        <v>0.76600000000000001</v>
      </c>
      <c r="BT125" s="1479">
        <v>0.75800000000000001</v>
      </c>
      <c r="BU125" s="1479">
        <v>0.79400000000000004</v>
      </c>
      <c r="BV125" s="1479">
        <v>0.76300000000000001</v>
      </c>
      <c r="BW125" s="1479">
        <v>0.71299999999999997</v>
      </c>
      <c r="BX125" s="1998">
        <v>0.754</v>
      </c>
      <c r="BY125" s="1479">
        <v>0.752</v>
      </c>
      <c r="BZ125" s="1479">
        <v>0.79400000000000004</v>
      </c>
      <c r="CA125" s="1479">
        <v>0.77500000000000002</v>
      </c>
      <c r="CB125" s="1479">
        <v>0.77300000000000002</v>
      </c>
      <c r="CC125" s="1481">
        <f>+SUMPRODUCT(BY125:CB125,$BT$4:$BW$4)/$BX$4</f>
        <v>0.77356164383561654</v>
      </c>
      <c r="CD125" s="1479">
        <v>0.73799999999999999</v>
      </c>
      <c r="CE125" s="1479">
        <v>0.78500000000000003</v>
      </c>
      <c r="CF125" s="1479">
        <v>0.79600000000000004</v>
      </c>
      <c r="CG125" s="3388"/>
      <c r="CH125" s="1481"/>
      <c r="CI125" s="1482"/>
      <c r="CJ125" s="1482"/>
      <c r="CK125" s="1482"/>
      <c r="CL125" s="1482"/>
      <c r="CM125" s="1481"/>
      <c r="CN125" s="1482"/>
      <c r="CO125" s="1482"/>
      <c r="CP125" s="1482"/>
      <c r="CQ125" s="1482"/>
      <c r="CR125" s="1480"/>
      <c r="CS125" s="1480"/>
      <c r="CT125" s="1480"/>
      <c r="CV125" s="537"/>
      <c r="CW125" s="537"/>
      <c r="CX125" s="537"/>
      <c r="DA125" s="212"/>
      <c r="DB125" s="1226"/>
    </row>
    <row r="126" spans="1:106" s="207" customFormat="1" x14ac:dyDescent="0.2">
      <c r="A126" s="1595" t="s">
        <v>652</v>
      </c>
      <c r="B126" s="885"/>
      <c r="C126" s="885"/>
      <c r="D126" s="885"/>
      <c r="E126" s="885"/>
      <c r="F126" s="1044"/>
      <c r="G126" s="885"/>
      <c r="H126" s="885"/>
      <c r="I126" s="885"/>
      <c r="J126" s="885"/>
      <c r="K126" s="1044"/>
      <c r="L126" s="885"/>
      <c r="M126" s="885"/>
      <c r="N126" s="885"/>
      <c r="O126" s="885"/>
      <c r="P126" s="1044"/>
      <c r="Q126" s="885"/>
      <c r="R126" s="885"/>
      <c r="S126" s="885"/>
      <c r="T126" s="885"/>
      <c r="U126" s="1044"/>
      <c r="V126" s="885"/>
      <c r="W126" s="885"/>
      <c r="X126" s="885"/>
      <c r="Y126" s="885"/>
      <c r="Z126" s="1044"/>
      <c r="AA126" s="885"/>
      <c r="AB126" s="885"/>
      <c r="AC126" s="885"/>
      <c r="AD126" s="885"/>
      <c r="AE126" s="1044"/>
      <c r="AF126" s="885"/>
      <c r="AG126" s="885"/>
      <c r="AH126" s="885"/>
      <c r="AI126" s="885"/>
      <c r="AJ126" s="1044"/>
      <c r="AK126" s="885"/>
      <c r="AL126" s="885"/>
      <c r="AM126" s="885"/>
      <c r="AN126" s="885"/>
      <c r="AO126" s="1044"/>
      <c r="AP126" s="885"/>
      <c r="AQ126" s="885"/>
      <c r="AR126" s="885"/>
      <c r="AS126" s="885"/>
      <c r="AT126" s="1044"/>
      <c r="AU126" s="885"/>
      <c r="AV126" s="885"/>
      <c r="AW126" s="885"/>
      <c r="AX126" s="885"/>
      <c r="AY126" s="1044"/>
      <c r="AZ126" s="885"/>
      <c r="BA126" s="885"/>
      <c r="BB126" s="885"/>
      <c r="BC126" s="885"/>
      <c r="BD126" s="1044"/>
      <c r="BE126" s="885"/>
      <c r="BF126" s="885"/>
      <c r="BG126" s="885"/>
      <c r="BH126" s="885"/>
      <c r="BI126" s="1044"/>
      <c r="BJ126" s="885"/>
      <c r="BK126" s="885"/>
      <c r="BL126" s="885"/>
      <c r="BM126" s="885"/>
      <c r="BN126" s="1280"/>
      <c r="BO126" s="885"/>
      <c r="BP126" s="886"/>
      <c r="BQ126" s="886"/>
      <c r="BR126" s="885">
        <f>BR125/BM125-1</f>
        <v>-1.4454664914586135E-2</v>
      </c>
      <c r="BS126" s="1280">
        <f>+BS125/BN125-1</f>
        <v>6.5703022339027584E-3</v>
      </c>
      <c r="BT126" s="885">
        <f>BT125/BO125-1</f>
        <v>2.2941970310391469E-2</v>
      </c>
      <c r="BU126" s="885">
        <f>BU125/BP125-1</f>
        <v>-2.5125628140703071E-3</v>
      </c>
      <c r="BV126" s="885">
        <f>BV125/BQ125-1</f>
        <v>-1.9280205655527016E-2</v>
      </c>
      <c r="BW126" s="885">
        <f>BW125/BR125-1</f>
        <v>-4.933333333333334E-2</v>
      </c>
      <c r="BX126" s="1280">
        <f>+BX125/BS125-1</f>
        <v>-1.5665796344647487E-2</v>
      </c>
      <c r="BY126" s="885">
        <f>BY125/BT125-1</f>
        <v>-7.9155672823219003E-3</v>
      </c>
      <c r="BZ126" s="885">
        <f>BZ125/BU125-1</f>
        <v>0</v>
      </c>
      <c r="CA126" s="885">
        <f>CA125/BV125-1</f>
        <v>1.5727391874180929E-2</v>
      </c>
      <c r="CB126" s="885">
        <f>CB125/BW125-1</f>
        <v>8.4151472650771497E-2</v>
      </c>
      <c r="CC126" s="1280">
        <f>+CC125/BX125-1</f>
        <v>2.5943824715671804E-2</v>
      </c>
      <c r="CD126" s="885">
        <f>CD125/BY125-1</f>
        <v>-1.8617021276595813E-2</v>
      </c>
      <c r="CE126" s="885">
        <f>CE125/BZ125-1</f>
        <v>-1.133501259445846E-2</v>
      </c>
      <c r="CF126" s="885">
        <f>CF125/CA125-1</f>
        <v>2.709677419354839E-2</v>
      </c>
      <c r="CG126" s="885"/>
      <c r="CH126" s="1280"/>
      <c r="CI126" s="886"/>
      <c r="CJ126" s="886"/>
      <c r="CK126" s="886"/>
      <c r="CL126" s="886"/>
      <c r="CM126" s="1280"/>
      <c r="CN126" s="886"/>
      <c r="CO126" s="886"/>
      <c r="CP126" s="886"/>
      <c r="CQ126" s="886"/>
      <c r="CR126" s="1046"/>
      <c r="CS126" s="1046"/>
      <c r="CT126" s="1046"/>
      <c r="CV126" s="537"/>
      <c r="CW126" s="537"/>
      <c r="CX126" s="537"/>
      <c r="DA126" s="212"/>
      <c r="DB126" s="1226"/>
    </row>
    <row r="127" spans="1:106" s="207" customFormat="1" x14ac:dyDescent="0.2">
      <c r="A127" s="1595" t="s">
        <v>359</v>
      </c>
      <c r="B127" s="1924"/>
      <c r="C127" s="1924"/>
      <c r="D127" s="1924"/>
      <c r="E127" s="1924"/>
      <c r="F127" s="1890"/>
      <c r="G127" s="1924"/>
      <c r="H127" s="1924"/>
      <c r="I127" s="1924"/>
      <c r="J127" s="1924"/>
      <c r="K127" s="1890"/>
      <c r="L127" s="1924"/>
      <c r="M127" s="1924"/>
      <c r="N127" s="1924"/>
      <c r="O127" s="1924"/>
      <c r="P127" s="1890"/>
      <c r="Q127" s="1043"/>
      <c r="R127" s="1043"/>
      <c r="S127" s="1043"/>
      <c r="T127" s="1043"/>
      <c r="U127" s="1953"/>
      <c r="V127" s="1043"/>
      <c r="W127" s="1043"/>
      <c r="X127" s="1043"/>
      <c r="Y127" s="1043"/>
      <c r="Z127" s="1953"/>
      <c r="AA127" s="1043"/>
      <c r="AB127" s="1043"/>
      <c r="AC127" s="1043"/>
      <c r="AD127" s="1043"/>
      <c r="AE127" s="1953"/>
      <c r="AF127" s="1043"/>
      <c r="AG127" s="1043"/>
      <c r="AH127" s="1043"/>
      <c r="AI127" s="1043"/>
      <c r="AJ127" s="1953"/>
      <c r="AK127" s="1043"/>
      <c r="AL127" s="1043"/>
      <c r="AM127" s="1043"/>
      <c r="AN127" s="1043"/>
      <c r="AO127" s="1953"/>
      <c r="AP127" s="1043"/>
      <c r="AQ127" s="1043"/>
      <c r="AR127" s="1043"/>
      <c r="AS127" s="1043"/>
      <c r="AT127" s="1953"/>
      <c r="AU127" s="1043"/>
      <c r="AV127" s="1043"/>
      <c r="AW127" s="1043"/>
      <c r="AX127" s="1043"/>
      <c r="AY127" s="1953"/>
      <c r="AZ127" s="1043"/>
      <c r="BA127" s="1043"/>
      <c r="BB127" s="1043"/>
      <c r="BC127" s="1043"/>
      <c r="BD127" s="1953"/>
      <c r="BE127" s="1043"/>
      <c r="BF127" s="1043"/>
      <c r="BG127" s="1043"/>
      <c r="BH127" s="1043"/>
      <c r="BI127" s="1953"/>
      <c r="BJ127" s="1043">
        <f t="shared" ref="BJ127:BS127" si="145">+BJ658</f>
        <v>6.3E-2</v>
      </c>
      <c r="BK127" s="1043">
        <f t="shared" si="145"/>
        <v>1.6E-2</v>
      </c>
      <c r="BL127" s="1043">
        <f t="shared" si="145"/>
        <v>3.2000000000000001E-2</v>
      </c>
      <c r="BM127" s="1043">
        <f t="shared" si="145"/>
        <v>4.1000000000000002E-2</v>
      </c>
      <c r="BN127" s="1545">
        <f t="shared" si="145"/>
        <v>3.5999999999999997E-2</v>
      </c>
      <c r="BO127" s="1043">
        <f t="shared" si="145"/>
        <v>0</v>
      </c>
      <c r="BP127" s="1043">
        <f t="shared" si="145"/>
        <v>2.5999999999999999E-2</v>
      </c>
      <c r="BQ127" s="1043">
        <f>+BQ658</f>
        <v>2.3E-2</v>
      </c>
      <c r="BR127" s="1043">
        <f t="shared" si="145"/>
        <v>0.02</v>
      </c>
      <c r="BS127" s="1545">
        <f t="shared" si="145"/>
        <v>1.7000000000000001E-2</v>
      </c>
      <c r="BT127" s="1043">
        <f t="shared" ref="BT127:BY127" si="146">+BT658</f>
        <v>1.4999999999999999E-2</v>
      </c>
      <c r="BU127" s="1043">
        <f t="shared" si="146"/>
        <v>6.0000000000000001E-3</v>
      </c>
      <c r="BV127" s="1043">
        <f t="shared" si="146"/>
        <v>-8.0000000000000002E-3</v>
      </c>
      <c r="BW127" s="1043">
        <f t="shared" si="146"/>
        <v>-3.9E-2</v>
      </c>
      <c r="BX127" s="1545">
        <f t="shared" si="146"/>
        <v>-0.01</v>
      </c>
      <c r="BY127" s="1043">
        <f t="shared" si="146"/>
        <v>6.0000000000000001E-3</v>
      </c>
      <c r="BZ127" s="1043">
        <f t="shared" ref="BZ127:CF127" si="147">+BZ658</f>
        <v>3.0000000000000001E-3</v>
      </c>
      <c r="CA127" s="1043">
        <f t="shared" si="147"/>
        <v>1E-3</v>
      </c>
      <c r="CB127" s="2882">
        <f t="shared" si="147"/>
        <v>3.5000000000000003E-2</v>
      </c>
      <c r="CC127" s="2881">
        <f t="shared" si="147"/>
        <v>1.0999999999999999E-2</v>
      </c>
      <c r="CD127" s="2882">
        <f t="shared" si="147"/>
        <v>1.6E-2</v>
      </c>
      <c r="CE127" s="2882">
        <f t="shared" si="147"/>
        <v>6.0000000000000001E-3</v>
      </c>
      <c r="CF127" s="2882">
        <f t="shared" si="147"/>
        <v>1.9E-2</v>
      </c>
      <c r="CG127" s="2882"/>
      <c r="CH127" s="1545"/>
      <c r="CI127" s="1546"/>
      <c r="CJ127" s="1546"/>
      <c r="CK127" s="1546"/>
      <c r="CL127" s="1546"/>
      <c r="CM127" s="1545"/>
      <c r="CN127" s="1546"/>
      <c r="CO127" s="1546"/>
      <c r="CP127" s="1546"/>
      <c r="CQ127" s="1546"/>
      <c r="CR127" s="1545"/>
      <c r="CS127" s="1545"/>
      <c r="CT127" s="1545"/>
      <c r="CV127" s="537"/>
      <c r="CW127" s="537"/>
      <c r="CX127" s="537"/>
      <c r="DA127" s="212"/>
      <c r="DB127" s="1226"/>
    </row>
    <row r="128" spans="1:106" s="207" customFormat="1" x14ac:dyDescent="0.2">
      <c r="A128" s="1434" t="s">
        <v>821</v>
      </c>
      <c r="B128" s="1479"/>
      <c r="C128" s="1479"/>
      <c r="D128" s="1479"/>
      <c r="E128" s="1479"/>
      <c r="F128" s="1481">
        <f>+SUMPRODUCT(B128:E128,$BJ$4:$BM$4)/$BN$4</f>
        <v>0</v>
      </c>
      <c r="G128" s="1479">
        <v>0.67200000000000004</v>
      </c>
      <c r="H128" s="1479">
        <v>0.74399999999999999</v>
      </c>
      <c r="I128" s="1479">
        <v>0.67500000000000004</v>
      </c>
      <c r="J128" s="1479">
        <v>0.59399999999999997</v>
      </c>
      <c r="K128" s="1481">
        <f>+SUMPRODUCT(G128:J128,$BJ$4:$BM$4)/$BN$4</f>
        <v>0.66530769230769227</v>
      </c>
      <c r="L128" s="1479">
        <v>0.63800000000000001</v>
      </c>
      <c r="M128" s="1479">
        <v>0.69399999999999995</v>
      </c>
      <c r="N128" s="1479">
        <v>0.70099999999999996</v>
      </c>
      <c r="O128" s="1479">
        <v>0.69199999999999995</v>
      </c>
      <c r="P128" s="1481">
        <f>+SUMPRODUCT(L128:O128,$BJ$4:$BM$4)/$BN$4</f>
        <v>0.68207692307692303</v>
      </c>
      <c r="Q128" s="1479">
        <v>0.63500000000000001</v>
      </c>
      <c r="R128" s="1479">
        <v>0.67200000000000004</v>
      </c>
      <c r="S128" s="1479">
        <v>0.68600000000000005</v>
      </c>
      <c r="T128" s="1479">
        <v>0.63500000000000001</v>
      </c>
      <c r="U128" s="1481">
        <f>+SUMPRODUCT(Q128:T128,$BJ$4:$BM$4)/$BN$4</f>
        <v>0.65530769230769237</v>
      </c>
      <c r="V128" s="1479">
        <v>0.67</v>
      </c>
      <c r="W128" s="1479">
        <v>0.73799999999999999</v>
      </c>
      <c r="X128" s="1479">
        <v>0.70599999999999996</v>
      </c>
      <c r="Y128" s="1479">
        <v>0.69199999999999995</v>
      </c>
      <c r="Z128" s="1481">
        <f>+SUMPRODUCT(V128:Y128,$BJ$4:$BM$4)/$BN$4</f>
        <v>0.7007692307692307</v>
      </c>
      <c r="AA128" s="1479">
        <v>0.67100000000000004</v>
      </c>
      <c r="AB128" s="1479">
        <v>0.745</v>
      </c>
      <c r="AC128" s="1479">
        <v>0.72699999999999998</v>
      </c>
      <c r="AD128" s="1479">
        <v>0.68854933437012833</v>
      </c>
      <c r="AE128" s="1481">
        <f>+SUMPRODUCT(AA128:AD128,$BJ$4:$BM$4)/$BN$4</f>
        <v>0.70639979519080875</v>
      </c>
      <c r="AF128" s="1479">
        <v>0.71500473199690273</v>
      </c>
      <c r="AG128" s="1479">
        <v>0.75313250770487694</v>
      </c>
      <c r="AH128" s="1479">
        <v>0.74606276849330078</v>
      </c>
      <c r="AI128" s="1479">
        <v>0.6943367154417005</v>
      </c>
      <c r="AJ128" s="1481">
        <f>+SUMPRODUCT(AF128:AI128,$BJ$4:$BM$4)/$BN$4</f>
        <v>0.72461129895015708</v>
      </c>
      <c r="AK128" s="1479">
        <v>0.70543008692319753</v>
      </c>
      <c r="AL128" s="1479">
        <v>0.76200000000000001</v>
      </c>
      <c r="AM128" s="1479">
        <v>0.74199999999999999</v>
      </c>
      <c r="AN128" s="1479">
        <v>0.68700000000000006</v>
      </c>
      <c r="AO128" s="1481">
        <f>+SUMPRODUCT(AK128:AN128,$BJ$4:$BM$4)/$BN$4</f>
        <v>0.72125309698227646</v>
      </c>
      <c r="AP128" s="1479">
        <v>0.69899999999999995</v>
      </c>
      <c r="AQ128" s="1479">
        <v>0.76300000000000001</v>
      </c>
      <c r="AR128" s="1479">
        <v>0.70699999999999996</v>
      </c>
      <c r="AS128" s="1479">
        <v>0.60099999999999998</v>
      </c>
      <c r="AT128" s="1481">
        <f>+SUMPRODUCT(AP128:AS128,$BJ$4:$BM$4)/$BN$4</f>
        <v>0.68546153846153846</v>
      </c>
      <c r="AU128" s="1479">
        <v>0.56999999999999995</v>
      </c>
      <c r="AV128" s="1479">
        <v>0.61899999999999999</v>
      </c>
      <c r="AW128" s="1479">
        <v>0.64900000000000002</v>
      </c>
      <c r="AX128" s="1479">
        <v>0.60799999999999998</v>
      </c>
      <c r="AY128" s="1481">
        <f>+SUMPRODUCT(AU128:AX128,$BJ$4:$BM$4)/$BN$4</f>
        <v>0.61123076923076924</v>
      </c>
      <c r="AZ128" s="1479">
        <v>0.64200000000000002</v>
      </c>
      <c r="BA128" s="1479">
        <v>0.71599999999999997</v>
      </c>
      <c r="BB128" s="1479">
        <v>0.68600000000000005</v>
      </c>
      <c r="BC128" s="1479">
        <v>0.65400000000000003</v>
      </c>
      <c r="BD128" s="1481">
        <f>+SUMPRODUCT(AZ128:BC128,$BJ$4:$BM$4)/$BN$4</f>
        <v>0.67292307692307696</v>
      </c>
      <c r="BE128" s="1479">
        <v>0.67300000000000004</v>
      </c>
      <c r="BF128" s="1479">
        <v>0.73899999999999999</v>
      </c>
      <c r="BG128" s="1479">
        <v>0.69899999999999995</v>
      </c>
      <c r="BH128" s="1479">
        <v>0.66</v>
      </c>
      <c r="BI128" s="1481">
        <f>+SUMPRODUCT(BE128:BH128,$BJ$4:$BM$4)/$BN$4</f>
        <v>0.69023076923076931</v>
      </c>
      <c r="BJ128" s="1479">
        <v>0.68400000000000005</v>
      </c>
      <c r="BK128" s="1479">
        <v>0.74199999999999999</v>
      </c>
      <c r="BL128" s="1479">
        <v>0.71199999999999997</v>
      </c>
      <c r="BM128" s="1479">
        <v>0.66500000000000004</v>
      </c>
      <c r="BN128" s="1481">
        <f>+SUMPRODUCT(BJ128:BM128,$BJ$4:$BM$4)/$BN$4</f>
        <v>0.69799999999999995</v>
      </c>
      <c r="BO128" s="1479">
        <v>0.71699999999999997</v>
      </c>
      <c r="BP128" s="2164">
        <v>0.748</v>
      </c>
      <c r="BQ128" s="2164">
        <v>0.70499999999999996</v>
      </c>
      <c r="BR128" s="1479">
        <v>0.68600000000000005</v>
      </c>
      <c r="BS128" s="1998">
        <v>0.71299999999999997</v>
      </c>
      <c r="BT128" s="1479">
        <v>0.72499999999999998</v>
      </c>
      <c r="BU128" s="1479">
        <v>0.75900000000000001</v>
      </c>
      <c r="BV128" s="1479">
        <v>0.73499999999999999</v>
      </c>
      <c r="BW128" s="1479">
        <v>0.69899999999999995</v>
      </c>
      <c r="BX128" s="1998">
        <v>0.72899999999999998</v>
      </c>
      <c r="BY128" s="1479">
        <v>0.71399999999999997</v>
      </c>
      <c r="BZ128" s="1479">
        <v>0.749</v>
      </c>
      <c r="CA128" s="1479">
        <v>0.73199999999999998</v>
      </c>
      <c r="CB128" s="1479">
        <v>0.69</v>
      </c>
      <c r="CC128" s="1481">
        <f>+SUMPRODUCT(BY128:CB128,$BT$4:$BW$4)/$BX$4</f>
        <v>0.72121369863013696</v>
      </c>
      <c r="CD128" s="1479">
        <v>0.72199999999999998</v>
      </c>
      <c r="CE128" s="1479">
        <v>0.745</v>
      </c>
      <c r="CF128" s="1479">
        <v>0.71899999999999997</v>
      </c>
      <c r="CG128" s="1479"/>
      <c r="CH128" s="1481"/>
      <c r="CI128" s="1831"/>
      <c r="CJ128" s="1831"/>
      <c r="CK128" s="1831"/>
      <c r="CL128" s="1831"/>
      <c r="CM128" s="1481"/>
      <c r="CN128" s="1831"/>
      <c r="CO128" s="1831"/>
      <c r="CP128" s="1831"/>
      <c r="CQ128" s="1831"/>
      <c r="CR128" s="1480"/>
      <c r="CS128" s="1480"/>
      <c r="CT128" s="1480"/>
      <c r="CV128" s="537"/>
      <c r="CW128" s="537"/>
      <c r="CX128" s="537"/>
      <c r="DA128" s="212"/>
      <c r="DB128" s="1226"/>
    </row>
    <row r="129" spans="1:106" s="207" customFormat="1" x14ac:dyDescent="0.2">
      <c r="A129" s="1595" t="s">
        <v>652</v>
      </c>
      <c r="B129" s="885"/>
      <c r="C129" s="885"/>
      <c r="D129" s="885"/>
      <c r="E129" s="885"/>
      <c r="F129" s="1044"/>
      <c r="G129" s="885"/>
      <c r="H129" s="885"/>
      <c r="I129" s="885"/>
      <c r="J129" s="885"/>
      <c r="K129" s="1044"/>
      <c r="L129" s="885">
        <f>L128/G128-1</f>
        <v>-5.0595238095238138E-2</v>
      </c>
      <c r="M129" s="885">
        <f>M128/H128-1</f>
        <v>-6.7204301075268869E-2</v>
      </c>
      <c r="N129" s="885">
        <f>N128/I128-1</f>
        <v>3.8518518518518396E-2</v>
      </c>
      <c r="O129" s="885">
        <f>O128/J128-1</f>
        <v>0.16498316498316501</v>
      </c>
      <c r="P129" s="1044">
        <f>+P128/K128-1</f>
        <v>2.5205226037692263E-2</v>
      </c>
      <c r="Q129" s="885">
        <f>Q128/L128-1</f>
        <v>-4.7021943573667402E-3</v>
      </c>
      <c r="R129" s="885">
        <f>R128/M128-1</f>
        <v>-3.170028818443793E-2</v>
      </c>
      <c r="S129" s="885">
        <f>S128/N128-1</f>
        <v>-2.1398002853066922E-2</v>
      </c>
      <c r="T129" s="885">
        <f>T128/O128-1</f>
        <v>-8.2369942196531709E-2</v>
      </c>
      <c r="U129" s="1044">
        <f>+U128/P128-1</f>
        <v>-3.9246644862974911E-2</v>
      </c>
      <c r="V129" s="885">
        <f>V128/Q128-1</f>
        <v>5.5118110236220597E-2</v>
      </c>
      <c r="W129" s="885">
        <f>W128/R128-1</f>
        <v>9.8214285714285587E-2</v>
      </c>
      <c r="X129" s="885">
        <f>X128/S128-1</f>
        <v>2.9154518950437192E-2</v>
      </c>
      <c r="Y129" s="885">
        <f>Y128/T128-1</f>
        <v>8.9763779527558984E-2</v>
      </c>
      <c r="Z129" s="1044">
        <f>+Z128/U128-1</f>
        <v>6.9374339711233413E-2</v>
      </c>
      <c r="AA129" s="885">
        <f>AA128/V128-1</f>
        <v>1.4925373134329067E-3</v>
      </c>
      <c r="AB129" s="885">
        <f>AB128/W128-1</f>
        <v>9.4850948509486166E-3</v>
      </c>
      <c r="AC129" s="885">
        <f>AC128/X128-1</f>
        <v>2.9745042492917984E-2</v>
      </c>
      <c r="AD129" s="885">
        <f>AD128/Y128-1</f>
        <v>-4.9865110258260348E-3</v>
      </c>
      <c r="AE129" s="1044">
        <f>+AE128/Z128-1</f>
        <v>8.0348339715163863E-3</v>
      </c>
      <c r="AF129" s="885">
        <f>AF128/AA128-1</f>
        <v>6.5580822648141135E-2</v>
      </c>
      <c r="AG129" s="885">
        <f>AG128/AB128-1</f>
        <v>1.0916117724667052E-2</v>
      </c>
      <c r="AH129" s="885">
        <f>AH128/AC128-1</f>
        <v>2.6221139605640653E-2</v>
      </c>
      <c r="AI129" s="885">
        <f>AI128/AD128-1</f>
        <v>8.4051799670481486E-3</v>
      </c>
      <c r="AJ129" s="1044">
        <f>+AJ128/AE128-1</f>
        <v>2.5780731935842516E-2</v>
      </c>
      <c r="AK129" s="885">
        <f>AK128/AF128-1</f>
        <v>-1.3391023367026689E-2</v>
      </c>
      <c r="AL129" s="885">
        <f>AL128/AG128-1</f>
        <v>1.1774146255014495E-2</v>
      </c>
      <c r="AM129" s="885">
        <f>AM128/AH128-1</f>
        <v>-5.4456121721576656E-3</v>
      </c>
      <c r="AN129" s="885">
        <f>AN128/AI128-1</f>
        <v>-1.0566509416160108E-2</v>
      </c>
      <c r="AO129" s="1044">
        <f>+AO128/AJ128-1</f>
        <v>-4.6344874455395146E-3</v>
      </c>
      <c r="AP129" s="885">
        <f>AP128/AK128-1</f>
        <v>-9.1151299645341188E-3</v>
      </c>
      <c r="AQ129" s="885">
        <f>AQ128/AL128-1</f>
        <v>1.312335958005173E-3</v>
      </c>
      <c r="AR129" s="885">
        <f>AR128/AM128-1</f>
        <v>-4.7169811320754707E-2</v>
      </c>
      <c r="AS129" s="885">
        <f>AS128/AN128-1</f>
        <v>-0.12518195050946157</v>
      </c>
      <c r="AT129" s="1044">
        <f>+AT128/AO128-1</f>
        <v>-4.9624131487947754E-2</v>
      </c>
      <c r="AU129" s="885">
        <f>AU128/AP128-1</f>
        <v>-0.18454935622317603</v>
      </c>
      <c r="AV129" s="885">
        <f>AV128/AQ128-1</f>
        <v>-0.18872870249017037</v>
      </c>
      <c r="AW129" s="885">
        <f>AW128/AR128-1</f>
        <v>-8.2036775106081983E-2</v>
      </c>
      <c r="AX129" s="885">
        <f>AX128/AS128-1</f>
        <v>1.1647254575707144E-2</v>
      </c>
      <c r="AY129" s="1044">
        <f>+AY128/AT128-1</f>
        <v>-0.10829312086185605</v>
      </c>
      <c r="AZ129" s="885">
        <f>AZ128/AU128-1</f>
        <v>0.12631578947368438</v>
      </c>
      <c r="BA129" s="885">
        <f>BA128/AV128-1</f>
        <v>0.15670436187399028</v>
      </c>
      <c r="BB129" s="885">
        <f>BB128/AW128-1</f>
        <v>5.7010785824345156E-2</v>
      </c>
      <c r="BC129" s="885">
        <f>BC128/AX128-1</f>
        <v>7.5657894736842257E-2</v>
      </c>
      <c r="BD129" s="1044">
        <f>+BD128/AY128-1</f>
        <v>0.10093128618172664</v>
      </c>
      <c r="BE129" s="885">
        <f>BE128/AZ128-1</f>
        <v>4.8286604361370777E-2</v>
      </c>
      <c r="BF129" s="885">
        <f>BF128/BA128-1</f>
        <v>3.2122905027933024E-2</v>
      </c>
      <c r="BG129" s="885">
        <f>BG128/BB128-1</f>
        <v>1.8950437317784008E-2</v>
      </c>
      <c r="BH129" s="885">
        <f>BH128/BC128-1</f>
        <v>9.1743119266054496E-3</v>
      </c>
      <c r="BI129" s="1044">
        <f>+BI128/BD128-1</f>
        <v>2.5720164609053464E-2</v>
      </c>
      <c r="BJ129" s="885">
        <f>BJ128/BE128-1</f>
        <v>1.634472511144125E-2</v>
      </c>
      <c r="BK129" s="885">
        <f>BK128/BF128-1</f>
        <v>4.0595399188092518E-3</v>
      </c>
      <c r="BL129" s="885">
        <f>BL128/BG128-1</f>
        <v>1.8597997138769751E-2</v>
      </c>
      <c r="BM129" s="885">
        <f>BM128/BH128-1</f>
        <v>7.575757575757569E-3</v>
      </c>
      <c r="BN129" s="1280">
        <f>+BN128/BI128-1</f>
        <v>1.1255990192800436E-2</v>
      </c>
      <c r="BO129" s="885">
        <f>BO128/BJ128-1</f>
        <v>4.8245614035087536E-2</v>
      </c>
      <c r="BP129" s="885">
        <f>BP128/BK128-1</f>
        <v>8.0862533692722671E-3</v>
      </c>
      <c r="BQ129" s="885">
        <f>BQ128/BL128-1</f>
        <v>-9.8314606741572996E-3</v>
      </c>
      <c r="BR129" s="885">
        <f>BR128/BM128-1</f>
        <v>3.1578947368421151E-2</v>
      </c>
      <c r="BS129" s="1280">
        <f>+BS128/BN128-1</f>
        <v>2.1489971346704939E-2</v>
      </c>
      <c r="BT129" s="885">
        <f>BT128/BO128-1</f>
        <v>1.1157601115760141E-2</v>
      </c>
      <c r="BU129" s="885">
        <f>BU128/BP128-1</f>
        <v>1.4705882352941124E-2</v>
      </c>
      <c r="BV129" s="885">
        <f>BV128/BQ128-1</f>
        <v>4.2553191489361764E-2</v>
      </c>
      <c r="BW129" s="885">
        <f>BW128/BR128-1</f>
        <v>1.8950437317784008E-2</v>
      </c>
      <c r="BX129" s="1280">
        <f>+BX128/BS128-1</f>
        <v>2.244039270687237E-2</v>
      </c>
      <c r="BY129" s="885">
        <f>BY128/BT128-1</f>
        <v>-1.5172413793103412E-2</v>
      </c>
      <c r="BZ129" s="885">
        <f>BZ128/BU128-1</f>
        <v>-1.3175230566534912E-2</v>
      </c>
      <c r="CA129" s="885">
        <f>CA128/BV128-1</f>
        <v>-4.0816326530612734E-3</v>
      </c>
      <c r="CB129" s="885">
        <f>CB128/BW128-1</f>
        <v>-1.2875536480686733E-2</v>
      </c>
      <c r="CC129" s="1280">
        <f>+CC128/BX128-1</f>
        <v>-1.0680797489523997E-2</v>
      </c>
      <c r="CD129" s="885">
        <f>CD128/BY128-1</f>
        <v>1.1204481792717047E-2</v>
      </c>
      <c r="CE129" s="885">
        <f>CE128/BZ128-1</f>
        <v>-5.3404539385847327E-3</v>
      </c>
      <c r="CF129" s="885">
        <f>CF128/CA128-1</f>
        <v>-1.7759562841530019E-2</v>
      </c>
      <c r="CG129" s="885"/>
      <c r="CH129" s="1280"/>
      <c r="CI129" s="886"/>
      <c r="CJ129" s="886"/>
      <c r="CK129" s="886"/>
      <c r="CL129" s="886"/>
      <c r="CM129" s="1280"/>
      <c r="CN129" s="886"/>
      <c r="CO129" s="886"/>
      <c r="CP129" s="886"/>
      <c r="CQ129" s="886"/>
      <c r="CR129" s="1046"/>
      <c r="CS129" s="1046"/>
      <c r="CT129" s="1046"/>
      <c r="CV129" s="537"/>
      <c r="CW129" s="537"/>
      <c r="CX129" s="537"/>
      <c r="DA129" s="212"/>
      <c r="DB129" s="1226"/>
    </row>
    <row r="130" spans="1:106" s="207" customFormat="1" x14ac:dyDescent="0.2">
      <c r="A130" s="1595" t="s">
        <v>359</v>
      </c>
      <c r="B130" s="1924" t="s">
        <v>673</v>
      </c>
      <c r="C130" s="1924" t="s">
        <v>673</v>
      </c>
      <c r="D130" s="1924" t="s">
        <v>673</v>
      </c>
      <c r="E130" s="1924" t="s">
        <v>673</v>
      </c>
      <c r="F130" s="1890" t="s">
        <v>673</v>
      </c>
      <c r="G130" s="1924" t="s">
        <v>673</v>
      </c>
      <c r="H130" s="1924" t="s">
        <v>673</v>
      </c>
      <c r="I130" s="1924" t="s">
        <v>673</v>
      </c>
      <c r="J130" s="1924" t="s">
        <v>673</v>
      </c>
      <c r="K130" s="1890" t="s">
        <v>673</v>
      </c>
      <c r="L130" s="1924" t="s">
        <v>673</v>
      </c>
      <c r="M130" s="1924" t="s">
        <v>673</v>
      </c>
      <c r="N130" s="1924" t="s">
        <v>673</v>
      </c>
      <c r="O130" s="1924" t="s">
        <v>673</v>
      </c>
      <c r="P130" s="1890" t="s">
        <v>673</v>
      </c>
      <c r="Q130" s="1043">
        <f t="shared" ref="Q130:AV130" si="148">+Q645</f>
        <v>-0.02</v>
      </c>
      <c r="R130" s="1043">
        <f t="shared" si="148"/>
        <v>-3.2000000000000001E-2</v>
      </c>
      <c r="S130" s="1043">
        <f t="shared" si="148"/>
        <v>4.9000000000000002E-2</v>
      </c>
      <c r="T130" s="1043">
        <f t="shared" si="148"/>
        <v>3.2000000000000001E-2</v>
      </c>
      <c r="U130" s="1953">
        <f t="shared" si="148"/>
        <v>1.0999999999999999E-2</v>
      </c>
      <c r="V130" s="1043">
        <f t="shared" si="148"/>
        <v>5.6000000000000001E-2</v>
      </c>
      <c r="W130" s="1043">
        <f t="shared" si="148"/>
        <v>7.9000000000000001E-2</v>
      </c>
      <c r="X130" s="1043">
        <f t="shared" si="148"/>
        <v>2.5000000000000001E-2</v>
      </c>
      <c r="Y130" s="1043">
        <f t="shared" si="148"/>
        <v>1.7999999999999999E-2</v>
      </c>
      <c r="Z130" s="1953">
        <f t="shared" si="148"/>
        <v>4.2999999999999997E-2</v>
      </c>
      <c r="AA130" s="1043">
        <f t="shared" si="148"/>
        <v>3.0000000000000001E-3</v>
      </c>
      <c r="AB130" s="1043">
        <f t="shared" si="148"/>
        <v>4.0000000000000001E-3</v>
      </c>
      <c r="AC130" s="1043">
        <f t="shared" si="148"/>
        <v>1.9E-2</v>
      </c>
      <c r="AD130" s="1043">
        <f t="shared" si="148"/>
        <v>3.7999999999999999E-2</v>
      </c>
      <c r="AE130" s="1953">
        <f t="shared" si="148"/>
        <v>1.9E-2</v>
      </c>
      <c r="AF130" s="1043">
        <f t="shared" si="148"/>
        <v>4.3999999999999997E-2</v>
      </c>
      <c r="AG130" s="1043">
        <f t="shared" si="148"/>
        <v>2.5999999999999999E-2</v>
      </c>
      <c r="AH130" s="1043">
        <f t="shared" si="148"/>
        <v>1.4999999999999999E-2</v>
      </c>
      <c r="AI130" s="1043">
        <f t="shared" si="148"/>
        <v>4.0000000000000001E-3</v>
      </c>
      <c r="AJ130" s="1953">
        <f t="shared" si="148"/>
        <v>2.1000000000000001E-2</v>
      </c>
      <c r="AK130" s="1043">
        <f t="shared" si="148"/>
        <v>-0.01</v>
      </c>
      <c r="AL130" s="1043">
        <f t="shared" si="148"/>
        <v>-1E-3</v>
      </c>
      <c r="AM130" s="1043">
        <f t="shared" si="148"/>
        <v>1.6E-2</v>
      </c>
      <c r="AN130" s="1043">
        <f t="shared" si="148"/>
        <v>-1E-3</v>
      </c>
      <c r="AO130" s="1953">
        <f t="shared" si="148"/>
        <v>1E-3</v>
      </c>
      <c r="AP130" s="1043">
        <f t="shared" si="148"/>
        <v>1.4E-2</v>
      </c>
      <c r="AQ130" s="1043">
        <f t="shared" si="148"/>
        <v>5.0000000000000001E-3</v>
      </c>
      <c r="AR130" s="1043">
        <f t="shared" si="148"/>
        <v>-2.8000000000000001E-2</v>
      </c>
      <c r="AS130" s="1043">
        <f t="shared" si="148"/>
        <v>-8.3000000000000004E-2</v>
      </c>
      <c r="AT130" s="1953">
        <f t="shared" si="148"/>
        <v>-3.1E-2</v>
      </c>
      <c r="AU130" s="1043">
        <f t="shared" si="148"/>
        <v>-0.13100000000000001</v>
      </c>
      <c r="AV130" s="1043">
        <f t="shared" si="148"/>
        <v>-0.13900000000000001</v>
      </c>
      <c r="AW130" s="1043">
        <f t="shared" ref="AW130:CF130" si="149">+AW645</f>
        <v>-0.05</v>
      </c>
      <c r="AX130" s="1043">
        <f t="shared" si="149"/>
        <v>0.01</v>
      </c>
      <c r="AY130" s="1953">
        <f t="shared" si="149"/>
        <v>-6.4000000000000001E-2</v>
      </c>
      <c r="AZ130" s="1043">
        <f t="shared" si="149"/>
        <v>6.8000000000000005E-2</v>
      </c>
      <c r="BA130" s="1043">
        <f t="shared" si="149"/>
        <v>9.9000000000000005E-2</v>
      </c>
      <c r="BB130" s="1043">
        <f t="shared" si="149"/>
        <v>2.9000000000000001E-2</v>
      </c>
      <c r="BC130" s="1043">
        <f t="shared" si="149"/>
        <v>4.4999999999999998E-2</v>
      </c>
      <c r="BD130" s="1953">
        <f t="shared" si="149"/>
        <v>5.8000000000000003E-2</v>
      </c>
      <c r="BE130" s="1043">
        <f t="shared" si="149"/>
        <v>2.5999999999999999E-2</v>
      </c>
      <c r="BF130" s="1043">
        <f t="shared" si="149"/>
        <v>3.7999999999999999E-2</v>
      </c>
      <c r="BG130" s="1043">
        <f t="shared" si="149"/>
        <v>2.7E-2</v>
      </c>
      <c r="BH130" s="1043">
        <f t="shared" si="149"/>
        <v>1.0999999999999999E-2</v>
      </c>
      <c r="BI130" s="1953">
        <f t="shared" si="149"/>
        <v>2.4E-2</v>
      </c>
      <c r="BJ130" s="1043">
        <f t="shared" si="149"/>
        <v>8.0000000000000002E-3</v>
      </c>
      <c r="BK130" s="1043">
        <f t="shared" si="149"/>
        <v>3.0000000000000001E-3</v>
      </c>
      <c r="BL130" s="1043">
        <f t="shared" si="149"/>
        <v>1.4E-2</v>
      </c>
      <c r="BM130" s="1043">
        <f t="shared" si="149"/>
        <v>7.0000000000000001E-3</v>
      </c>
      <c r="BN130" s="1953">
        <f t="shared" si="149"/>
        <v>8.0000000000000002E-3</v>
      </c>
      <c r="BO130" s="1043">
        <f t="shared" si="149"/>
        <v>1.2999999999999999E-2</v>
      </c>
      <c r="BP130" s="1043">
        <f t="shared" si="149"/>
        <v>1.6E-2</v>
      </c>
      <c r="BQ130" s="1043">
        <f t="shared" si="149"/>
        <v>8.9999999999999993E-3</v>
      </c>
      <c r="BR130" s="1043">
        <f t="shared" si="149"/>
        <v>1.9E-2</v>
      </c>
      <c r="BS130" s="1953">
        <f t="shared" si="149"/>
        <v>1.4E-2</v>
      </c>
      <c r="BT130" s="1043">
        <f t="shared" si="149"/>
        <v>0.01</v>
      </c>
      <c r="BU130" s="1043">
        <f t="shared" si="149"/>
        <v>1.2E-2</v>
      </c>
      <c r="BV130" s="1043">
        <f t="shared" si="149"/>
        <v>2.8000000000000001E-2</v>
      </c>
      <c r="BW130" s="1043">
        <f t="shared" si="149"/>
        <v>1.0999999999999999E-2</v>
      </c>
      <c r="BX130" s="1953">
        <f t="shared" si="149"/>
        <v>1.4999999999999999E-2</v>
      </c>
      <c r="BY130" s="1043">
        <f t="shared" si="149"/>
        <v>-7.0000000000000001E-3</v>
      </c>
      <c r="BZ130" s="1043">
        <f t="shared" si="149"/>
        <v>-1E-3</v>
      </c>
      <c r="CA130" s="1043">
        <f t="shared" si="149"/>
        <v>-2E-3</v>
      </c>
      <c r="CB130" s="2882">
        <f t="shared" si="149"/>
        <v>4.0000000000000001E-3</v>
      </c>
      <c r="CC130" s="2881">
        <f t="shared" si="149"/>
        <v>-1E-3</v>
      </c>
      <c r="CD130" s="2882">
        <f t="shared" si="149"/>
        <v>1.7999999999999999E-2</v>
      </c>
      <c r="CE130" s="2882">
        <f t="shared" si="149"/>
        <v>0.01</v>
      </c>
      <c r="CF130" s="2882">
        <f t="shared" si="149"/>
        <v>-0.01</v>
      </c>
      <c r="CG130" s="2882"/>
      <c r="CH130" s="1545"/>
      <c r="CI130" s="1546"/>
      <c r="CJ130" s="1546"/>
      <c r="CK130" s="1546"/>
      <c r="CL130" s="1546"/>
      <c r="CM130" s="1545"/>
      <c r="CN130" s="1546"/>
      <c r="CO130" s="1546"/>
      <c r="CP130" s="1546"/>
      <c r="CQ130" s="3035"/>
      <c r="CR130" s="3035"/>
      <c r="CS130" s="1545"/>
      <c r="CT130" s="1545"/>
      <c r="CV130" s="537"/>
      <c r="CW130" s="537"/>
      <c r="CX130" s="537"/>
      <c r="DA130" s="212"/>
      <c r="DB130" s="1226"/>
    </row>
    <row r="131" spans="1:106" s="207" customFormat="1" x14ac:dyDescent="0.2">
      <c r="A131" s="1434" t="s">
        <v>923</v>
      </c>
      <c r="B131" s="1479">
        <v>0.81</v>
      </c>
      <c r="C131" s="1479">
        <v>0.86199999999999999</v>
      </c>
      <c r="D131" s="1479">
        <v>0.84799999999999998</v>
      </c>
      <c r="E131" s="1479">
        <v>0.80700000000000005</v>
      </c>
      <c r="F131" s="1481">
        <f>+SUMPRODUCT(B131:E131,$BJ$4:$BM$4)/$BN$4</f>
        <v>0.8298461538461539</v>
      </c>
      <c r="G131" s="1479">
        <v>0.79500000000000004</v>
      </c>
      <c r="H131" s="1479">
        <v>0.80100000000000005</v>
      </c>
      <c r="I131" s="1479">
        <v>0.80400000000000005</v>
      </c>
      <c r="J131" s="1479">
        <v>0.71899999999999997</v>
      </c>
      <c r="K131" s="1481">
        <f>+SUMPRODUCT(G131:J131,$BJ$4:$BM$4)/$BN$4</f>
        <v>0.77507692307692322</v>
      </c>
      <c r="L131" s="1479">
        <v>0.74199999999999999</v>
      </c>
      <c r="M131" s="1479">
        <v>0.77400000000000002</v>
      </c>
      <c r="N131" s="1479">
        <v>0.78900000000000003</v>
      </c>
      <c r="O131" s="1479">
        <v>0.76900000000000002</v>
      </c>
      <c r="P131" s="1481">
        <f>+SUMPRODUCT(L131:O131,$BJ$4:$BM$4)/$BN$4</f>
        <v>0.7685384615384615</v>
      </c>
      <c r="Q131" s="1479">
        <v>0.73699999999999999</v>
      </c>
      <c r="R131" s="1479">
        <v>0.78400000000000003</v>
      </c>
      <c r="S131" s="1479">
        <v>0.81</v>
      </c>
      <c r="T131" s="1479">
        <v>0.72</v>
      </c>
      <c r="U131" s="1481">
        <f>+SUMPRODUCT(Q131:T131,$BJ$4:$BM$4)/$BN$4</f>
        <v>0.75946153846153852</v>
      </c>
      <c r="V131" s="1479">
        <v>0.747</v>
      </c>
      <c r="W131" s="1479">
        <v>0.80400000000000005</v>
      </c>
      <c r="X131" s="1479">
        <v>0.83899999999999997</v>
      </c>
      <c r="Y131" s="1479">
        <v>0.78600000000000003</v>
      </c>
      <c r="Z131" s="1481">
        <f>+SUMPRODUCT(V131:Y131,$BJ$4:$BM$4)/$BN$4</f>
        <v>0.79338461538461547</v>
      </c>
      <c r="AA131" s="1479">
        <v>0.76</v>
      </c>
      <c r="AB131" s="1479">
        <v>0.81100000000000005</v>
      </c>
      <c r="AC131" s="1479">
        <v>0.83699999999999997</v>
      </c>
      <c r="AD131" s="1479">
        <v>0.77733911460341343</v>
      </c>
      <c r="AE131" s="1481">
        <f>+SUMPRODUCT(AA131:AD131,$BJ$4:$BM$4)/$BN$4</f>
        <v>0.79487357372412715</v>
      </c>
      <c r="AF131" s="1479">
        <v>0.77147191148327721</v>
      </c>
      <c r="AG131" s="1479">
        <v>0.79543887584110606</v>
      </c>
      <c r="AH131" s="1479">
        <v>0.80704465117816382</v>
      </c>
      <c r="AI131" s="1479">
        <v>0.75574338637433291</v>
      </c>
      <c r="AJ131" s="1481">
        <f>+SUMPRODUCT(AF131:AI131,$BJ$4:$BM$4)/$BN$4</f>
        <v>0.78037229700038258</v>
      </c>
      <c r="AK131" s="1479">
        <v>0.74263975793895598</v>
      </c>
      <c r="AL131" s="1479">
        <v>0.80700000000000005</v>
      </c>
      <c r="AM131" s="1479">
        <v>0.83199999999999996</v>
      </c>
      <c r="AN131" s="1479">
        <v>0.75600000000000001</v>
      </c>
      <c r="AO131" s="1481">
        <f>+SUMPRODUCT(AK131:AN131,$BJ$4:$BM$4)/$BN$4</f>
        <v>0.78222455952437453</v>
      </c>
      <c r="AP131" s="1479">
        <v>0.72499999999999998</v>
      </c>
      <c r="AQ131" s="1479">
        <v>0.79100000000000004</v>
      </c>
      <c r="AR131" s="1479">
        <v>0.81599999999999995</v>
      </c>
      <c r="AS131" s="1479">
        <v>0.70299999999999996</v>
      </c>
      <c r="AT131" s="1481">
        <f>+SUMPRODUCT(AP131:AS131,$BJ$4:$BM$4)/$BN$4</f>
        <v>0.75446153846153841</v>
      </c>
      <c r="AU131" s="1479">
        <v>0.66700000000000004</v>
      </c>
      <c r="AV131" s="1479">
        <v>0.72299999999999998</v>
      </c>
      <c r="AW131" s="1479">
        <v>0.76300000000000001</v>
      </c>
      <c r="AX131" s="1479">
        <v>0.68200000000000005</v>
      </c>
      <c r="AY131" s="1481">
        <f>+SUMPRODUCT(AU131:AX131,$BJ$4:$BM$4)/$BN$4</f>
        <v>0.70669230769230762</v>
      </c>
      <c r="AZ131" s="1479">
        <v>0.70599999999999996</v>
      </c>
      <c r="BA131" s="1479">
        <v>0.77900000000000003</v>
      </c>
      <c r="BB131" s="1479">
        <v>0.80600000000000005</v>
      </c>
      <c r="BC131" s="1479">
        <v>0.72899999999999998</v>
      </c>
      <c r="BD131" s="1481">
        <f>+SUMPRODUCT(AZ131:BC131,$BJ$4:$BM$4)/$BN$4</f>
        <v>0.753</v>
      </c>
      <c r="BE131" s="1479">
        <v>0.71899999999999997</v>
      </c>
      <c r="BF131" s="1479">
        <v>0.79500000000000004</v>
      </c>
      <c r="BG131" s="1479">
        <v>0.82</v>
      </c>
      <c r="BH131" s="1479">
        <v>0.73899999999999999</v>
      </c>
      <c r="BI131" s="1481">
        <f>+SUMPRODUCT(BE131:BH131,$BJ$4:$BM$4)/$BN$4</f>
        <v>0.7659999999999999</v>
      </c>
      <c r="BJ131" s="1479">
        <v>0.72499999999999998</v>
      </c>
      <c r="BK131" s="1479">
        <v>0.79600000000000004</v>
      </c>
      <c r="BL131" s="1479">
        <v>0.82399999999999995</v>
      </c>
      <c r="BM131" s="1479">
        <v>0.748</v>
      </c>
      <c r="BN131" s="1481">
        <f>+SUMPRODUCT(BJ131:BM131,$BJ$4:$BM$4)/$BN$4</f>
        <v>0.77130769230769236</v>
      </c>
      <c r="BO131" s="1479">
        <v>0.73299999999999998</v>
      </c>
      <c r="BP131" s="2164">
        <v>0.81499999999999995</v>
      </c>
      <c r="BQ131" s="2164">
        <v>0.81899999999999995</v>
      </c>
      <c r="BR131" s="1479">
        <v>0.72699999999999998</v>
      </c>
      <c r="BS131" s="1998">
        <v>0.77400000000000002</v>
      </c>
      <c r="BT131" s="1479">
        <v>0.754</v>
      </c>
      <c r="BU131" s="1479">
        <v>0.83099999999999996</v>
      </c>
      <c r="BV131" s="1479">
        <v>0.84099999999999997</v>
      </c>
      <c r="BW131" s="1479">
        <v>0.746</v>
      </c>
      <c r="BX131" s="1998">
        <v>0.79300000000000004</v>
      </c>
      <c r="BY131" s="1479">
        <v>0.75600000000000001</v>
      </c>
      <c r="BZ131" s="1479">
        <v>0.83</v>
      </c>
      <c r="CA131" s="1479">
        <v>0.83799999999999997</v>
      </c>
      <c r="CB131" s="1479">
        <v>0.749</v>
      </c>
      <c r="CC131" s="1481">
        <f>+SUMPRODUCT(BY131:CB131,$BT$4:$BW$4)/$BX$4</f>
        <v>0.79335342465753433</v>
      </c>
      <c r="CD131" s="1479">
        <v>0.747</v>
      </c>
      <c r="CE131" s="1479">
        <v>0.83099999999999996</v>
      </c>
      <c r="CF131" s="1479">
        <v>0.83599999999999997</v>
      </c>
      <c r="CG131" s="1479"/>
      <c r="CH131" s="1481"/>
      <c r="CI131" s="1831"/>
      <c r="CJ131" s="1831"/>
      <c r="CK131" s="1831"/>
      <c r="CL131" s="1831"/>
      <c r="CM131" s="1481"/>
      <c r="CN131" s="1831"/>
      <c r="CO131" s="1831"/>
      <c r="CP131" s="1831"/>
      <c r="CQ131" s="1611"/>
      <c r="CR131" s="1611"/>
      <c r="CS131" s="1480"/>
      <c r="CT131" s="1480"/>
      <c r="CV131" s="537"/>
      <c r="CW131" s="537"/>
      <c r="CX131" s="537"/>
      <c r="DA131" s="212"/>
      <c r="DB131" s="1226"/>
    </row>
    <row r="132" spans="1:106" s="207" customFormat="1" x14ac:dyDescent="0.2">
      <c r="A132" s="1595" t="s">
        <v>652</v>
      </c>
      <c r="B132" s="885"/>
      <c r="C132" s="885"/>
      <c r="D132" s="885"/>
      <c r="E132" s="885"/>
      <c r="F132" s="1044"/>
      <c r="G132" s="885">
        <f>G131/B131-1</f>
        <v>-1.851851851851849E-2</v>
      </c>
      <c r="H132" s="885">
        <f>H131/C131-1</f>
        <v>-7.0765661252900181E-2</v>
      </c>
      <c r="I132" s="885">
        <f>I131/D131-1</f>
        <v>-5.1886792452830122E-2</v>
      </c>
      <c r="J132" s="885">
        <f>J131/E131-1</f>
        <v>-0.10904584882280055</v>
      </c>
      <c r="K132" s="1044"/>
      <c r="L132" s="885">
        <f>L131/G131-1</f>
        <v>-6.6666666666666763E-2</v>
      </c>
      <c r="M132" s="885">
        <f>M131/H131-1</f>
        <v>-3.3707865168539408E-2</v>
      </c>
      <c r="N132" s="885">
        <f>N131/I131-1</f>
        <v>-1.8656716417910446E-2</v>
      </c>
      <c r="O132" s="885">
        <f>O131/J131-1</f>
        <v>6.9541029207232263E-2</v>
      </c>
      <c r="P132" s="1044">
        <f>+P131/K131-1</f>
        <v>-8.4358872568481846E-3</v>
      </c>
      <c r="Q132" s="885">
        <f>Q131/L131-1</f>
        <v>-6.7385444743934819E-3</v>
      </c>
      <c r="R132" s="885">
        <f>R131/M131-1</f>
        <v>1.2919896640826822E-2</v>
      </c>
      <c r="S132" s="885">
        <f>S131/N131-1</f>
        <v>2.6615969581749166E-2</v>
      </c>
      <c r="T132" s="885">
        <f>T131/O131-1</f>
        <v>-6.3719115734720444E-2</v>
      </c>
      <c r="U132" s="1044">
        <f>+U131/P131-1</f>
        <v>-1.1810629566609832E-2</v>
      </c>
      <c r="V132" s="885">
        <f>V131/Q131-1</f>
        <v>1.3568521031207537E-2</v>
      </c>
      <c r="W132" s="885">
        <f>W131/R131-1</f>
        <v>2.5510204081632626E-2</v>
      </c>
      <c r="X132" s="885">
        <f>X131/S131-1</f>
        <v>3.5802469135802317E-2</v>
      </c>
      <c r="Y132" s="885">
        <f>Y131/T131-1</f>
        <v>9.1666666666666785E-2</v>
      </c>
      <c r="Z132" s="1044">
        <f>+Z131/U131-1</f>
        <v>4.4667274384685429E-2</v>
      </c>
      <c r="AA132" s="885">
        <f>AA131/V131-1</f>
        <v>1.7402945113788482E-2</v>
      </c>
      <c r="AB132" s="885">
        <f>AB131/W131-1</f>
        <v>8.7064676616914749E-3</v>
      </c>
      <c r="AC132" s="885">
        <f>AC131/X131-1</f>
        <v>-2.3837902264600697E-3</v>
      </c>
      <c r="AD132" s="885">
        <f>AD131/Y131-1</f>
        <v>-1.1018938163596226E-2</v>
      </c>
      <c r="AE132" s="1044">
        <f>+AE131/Z131-1</f>
        <v>1.8767169297704278E-3</v>
      </c>
      <c r="AF132" s="885">
        <f>AF131/AA131-1</f>
        <v>1.5094620372733125E-2</v>
      </c>
      <c r="AG132" s="885">
        <f>AG131/AB131-1</f>
        <v>-1.9187576028229292E-2</v>
      </c>
      <c r="AH132" s="885">
        <f>AH131/AC131-1</f>
        <v>-3.578894721844228E-2</v>
      </c>
      <c r="AI132" s="885">
        <f>AI131/AD131-1</f>
        <v>-2.7781604995007037E-2</v>
      </c>
      <c r="AJ132" s="1044">
        <f>+AJ131/AE131-1</f>
        <v>-1.8243500857379691E-2</v>
      </c>
      <c r="AK132" s="885">
        <f>AK131/AF131-1</f>
        <v>-3.737291418541322E-2</v>
      </c>
      <c r="AL132" s="885">
        <f>AL131/AG131-1</f>
        <v>1.4534270966664931E-2</v>
      </c>
      <c r="AM132" s="885">
        <f>AM131/AH131-1</f>
        <v>3.092189358470443E-2</v>
      </c>
      <c r="AN132" s="885">
        <f>AN131/AI131-1</f>
        <v>3.3955126871587638E-4</v>
      </c>
      <c r="AO132" s="1044">
        <f>+AO131/AJ131-1</f>
        <v>2.3735626330043669E-3</v>
      </c>
      <c r="AP132" s="885">
        <f>AP131/AK131-1</f>
        <v>-2.37527788545977E-2</v>
      </c>
      <c r="AQ132" s="885">
        <f>AQ131/AL131-1</f>
        <v>-1.9826517967781898E-2</v>
      </c>
      <c r="AR132" s="885">
        <f>AR131/AM131-1</f>
        <v>-1.9230769230769273E-2</v>
      </c>
      <c r="AS132" s="885">
        <f>AS131/AN131-1</f>
        <v>-7.0105820105820116E-2</v>
      </c>
      <c r="AT132" s="1044">
        <f>+AT131/AO131-1</f>
        <v>-3.5492392465556466E-2</v>
      </c>
      <c r="AU132" s="885">
        <f>AU131/AP131-1</f>
        <v>-7.999999999999996E-2</v>
      </c>
      <c r="AV132" s="885">
        <f>AV131/AQ131-1</f>
        <v>-8.5967130214917864E-2</v>
      </c>
      <c r="AW132" s="885">
        <f>AW131/AR131-1</f>
        <v>-6.4950980392156743E-2</v>
      </c>
      <c r="AX132" s="885">
        <f>AX131/AS131-1</f>
        <v>-2.987197724039814E-2</v>
      </c>
      <c r="AY132" s="1044">
        <f>+AY131/AT131-1</f>
        <v>-6.331566068515504E-2</v>
      </c>
      <c r="AZ132" s="885">
        <f>AZ131/AU131-1</f>
        <v>5.8470764617690962E-2</v>
      </c>
      <c r="BA132" s="885">
        <f>BA131/AV131-1</f>
        <v>7.7455048409405425E-2</v>
      </c>
      <c r="BB132" s="885">
        <f>BB131/AW131-1</f>
        <v>5.6356487549148238E-2</v>
      </c>
      <c r="BC132" s="885">
        <f>BC131/AX131-1</f>
        <v>6.8914956011730144E-2</v>
      </c>
      <c r="BD132" s="1044">
        <f>+BD131/AY131-1</f>
        <v>6.5527375639490737E-2</v>
      </c>
      <c r="BE132" s="885">
        <f>BE131/AZ131-1</f>
        <v>1.8413597733710985E-2</v>
      </c>
      <c r="BF132" s="885">
        <f>BF131/BA131-1</f>
        <v>2.0539152759948776E-2</v>
      </c>
      <c r="BG132" s="885">
        <f>BG131/BB131-1</f>
        <v>1.7369727047146233E-2</v>
      </c>
      <c r="BH132" s="885">
        <f>BH131/BC131-1</f>
        <v>1.3717421124828544E-2</v>
      </c>
      <c r="BI132" s="1044">
        <f>+BI131/BD131-1</f>
        <v>1.7264276228419417E-2</v>
      </c>
      <c r="BJ132" s="885">
        <f>BJ131/BE131-1</f>
        <v>8.3449235048678183E-3</v>
      </c>
      <c r="BK132" s="885">
        <f>BK131/BF131-1</f>
        <v>1.2578616352201255E-3</v>
      </c>
      <c r="BL132" s="885">
        <f>BL131/BG131-1</f>
        <v>4.8780487804878092E-3</v>
      </c>
      <c r="BM132" s="885">
        <f>BM131/BH131-1</f>
        <v>1.2178619756427533E-2</v>
      </c>
      <c r="BN132" s="1280">
        <f>+BN131/BI131-1</f>
        <v>6.929102229363604E-3</v>
      </c>
      <c r="BO132" s="885">
        <f>BO131/BJ131-1</f>
        <v>1.1034482758620623E-2</v>
      </c>
      <c r="BP132" s="885">
        <f>BP131/BK131-1</f>
        <v>2.386934673366814E-2</v>
      </c>
      <c r="BQ132" s="885">
        <f>BQ131/BL131-1</f>
        <v>-6.0679611650485965E-3</v>
      </c>
      <c r="BR132" s="885">
        <f>BR131/BM131-1</f>
        <v>-2.8074866310160429E-2</v>
      </c>
      <c r="BS132" s="1280">
        <f>+BS131/BN131-1</f>
        <v>3.4905754462950522E-3</v>
      </c>
      <c r="BT132" s="885">
        <f>BT131/BO131-1</f>
        <v>2.8649386084584005E-2</v>
      </c>
      <c r="BU132" s="885">
        <f>BU131/BP131-1</f>
        <v>1.9631901840490906E-2</v>
      </c>
      <c r="BV132" s="885">
        <f>BV131/BQ131-1</f>
        <v>2.6862026862026989E-2</v>
      </c>
      <c r="BW132" s="885">
        <f>BW131/BR131-1</f>
        <v>2.613480055020645E-2</v>
      </c>
      <c r="BX132" s="1280">
        <f>+BX131/BS131-1</f>
        <v>2.4547803617571029E-2</v>
      </c>
      <c r="BY132" s="885">
        <f>BY131/BT131-1</f>
        <v>2.6525198938991412E-3</v>
      </c>
      <c r="BZ132" s="885">
        <f>BZ131/BU131-1</f>
        <v>-1.2033694344163459E-3</v>
      </c>
      <c r="CA132" s="885">
        <f>CA131/BV131-1</f>
        <v>-3.5671819262782511E-3</v>
      </c>
      <c r="CB132" s="885">
        <f>CB131/BW131-1</f>
        <v>4.0214477211797384E-3</v>
      </c>
      <c r="CC132" s="1280">
        <f>+CC131/BX131-1</f>
        <v>4.4568052652493861E-4</v>
      </c>
      <c r="CD132" s="885">
        <f>CD131/BY131-1</f>
        <v>-1.1904761904761862E-2</v>
      </c>
      <c r="CE132" s="885">
        <f>CE131/BZ131-1</f>
        <v>1.2048192771083599E-3</v>
      </c>
      <c r="CF132" s="885">
        <f>CF131/CA131-1</f>
        <v>-2.3866348448687846E-3</v>
      </c>
      <c r="CG132" s="885"/>
      <c r="CH132" s="1280"/>
      <c r="CI132" s="886"/>
      <c r="CJ132" s="886"/>
      <c r="CK132" s="886"/>
      <c r="CL132" s="886"/>
      <c r="CM132" s="1280"/>
      <c r="CN132" s="886"/>
      <c r="CO132" s="886"/>
      <c r="CP132" s="886"/>
      <c r="CQ132" s="1549"/>
      <c r="CR132" s="1549"/>
      <c r="CS132" s="1046"/>
      <c r="CT132" s="1046"/>
      <c r="CV132" s="537"/>
      <c r="CW132" s="537"/>
      <c r="CX132" s="537"/>
      <c r="DA132" s="212"/>
      <c r="DB132" s="1226"/>
    </row>
    <row r="133" spans="1:106" s="207" customFormat="1" x14ac:dyDescent="0.2">
      <c r="A133" s="1595" t="s">
        <v>359</v>
      </c>
      <c r="B133" s="1924" t="s">
        <v>673</v>
      </c>
      <c r="C133" s="1924" t="s">
        <v>673</v>
      </c>
      <c r="D133" s="1924" t="s">
        <v>673</v>
      </c>
      <c r="E133" s="1924" t="s">
        <v>673</v>
      </c>
      <c r="F133" s="1890" t="s">
        <v>673</v>
      </c>
      <c r="G133" s="1924" t="s">
        <v>673</v>
      </c>
      <c r="H133" s="1924" t="s">
        <v>673</v>
      </c>
      <c r="I133" s="1924" t="s">
        <v>673</v>
      </c>
      <c r="J133" s="1924" t="s">
        <v>673</v>
      </c>
      <c r="K133" s="1890" t="s">
        <v>673</v>
      </c>
      <c r="L133" s="1924" t="s">
        <v>673</v>
      </c>
      <c r="M133" s="1924" t="s">
        <v>673</v>
      </c>
      <c r="N133" s="1924" t="s">
        <v>673</v>
      </c>
      <c r="O133" s="1924" t="s">
        <v>673</v>
      </c>
      <c r="P133" s="1890" t="s">
        <v>673</v>
      </c>
      <c r="Q133" s="1043">
        <f t="shared" ref="Q133:AV133" si="150">+Q654</f>
        <v>7.0000000000000001E-3</v>
      </c>
      <c r="R133" s="1043">
        <f t="shared" si="150"/>
        <v>-3.0000000000000001E-3</v>
      </c>
      <c r="S133" s="1043">
        <f t="shared" si="150"/>
        <v>-4.0000000000000001E-3</v>
      </c>
      <c r="T133" s="1043">
        <f t="shared" si="150"/>
        <v>-1E-3</v>
      </c>
      <c r="U133" s="1953">
        <f t="shared" si="150"/>
        <v>2E-3</v>
      </c>
      <c r="V133" s="1043">
        <f t="shared" si="150"/>
        <v>1.9E-2</v>
      </c>
      <c r="W133" s="1043">
        <f t="shared" si="150"/>
        <v>2.1999999999999999E-2</v>
      </c>
      <c r="X133" s="1043">
        <f t="shared" si="150"/>
        <v>0.03</v>
      </c>
      <c r="Y133" s="1043">
        <f t="shared" si="150"/>
        <v>4.2000000000000003E-2</v>
      </c>
      <c r="Z133" s="1953">
        <f t="shared" si="150"/>
        <v>2.9000000000000001E-2</v>
      </c>
      <c r="AA133" s="1043">
        <f t="shared" si="150"/>
        <v>1.9E-2</v>
      </c>
      <c r="AB133" s="1043">
        <f t="shared" si="150"/>
        <v>5.0000000000000001E-3</v>
      </c>
      <c r="AC133" s="1043">
        <f t="shared" si="150"/>
        <v>-3.0000000000000001E-3</v>
      </c>
      <c r="AD133" s="1043">
        <f t="shared" si="150"/>
        <v>1.9E-2</v>
      </c>
      <c r="AE133" s="1953">
        <f t="shared" si="150"/>
        <v>1.0999999999999999E-2</v>
      </c>
      <c r="AF133" s="1043">
        <f t="shared" si="150"/>
        <v>1.2999999999999999E-2</v>
      </c>
      <c r="AG133" s="1043">
        <f t="shared" si="150"/>
        <v>8.0000000000000002E-3</v>
      </c>
      <c r="AH133" s="1043">
        <f t="shared" si="150"/>
        <v>-7.0000000000000001E-3</v>
      </c>
      <c r="AI133" s="1043">
        <f t="shared" si="150"/>
        <v>-2.5000000000000001E-2</v>
      </c>
      <c r="AJ133" s="1953">
        <f t="shared" si="150"/>
        <v>-5.0000000000000001E-3</v>
      </c>
      <c r="AK133" s="1043">
        <f t="shared" si="150"/>
        <v>-2.5000000000000001E-2</v>
      </c>
      <c r="AL133" s="1043">
        <f t="shared" si="150"/>
        <v>-1.0999999999999999E-2</v>
      </c>
      <c r="AM133" s="1043">
        <f t="shared" si="150"/>
        <v>2E-3</v>
      </c>
      <c r="AN133" s="1043">
        <f t="shared" si="150"/>
        <v>0</v>
      </c>
      <c r="AO133" s="1953">
        <f t="shared" si="150"/>
        <v>-8.0000000000000002E-3</v>
      </c>
      <c r="AP133" s="1043">
        <f t="shared" si="150"/>
        <v>-5.0000000000000001E-3</v>
      </c>
      <c r="AQ133" s="1043">
        <f t="shared" si="150"/>
        <v>-8.0000000000000002E-3</v>
      </c>
      <c r="AR133" s="1043">
        <f t="shared" si="150"/>
        <v>-0.01</v>
      </c>
      <c r="AS133" s="1043">
        <f t="shared" si="150"/>
        <v>-4.4999999999999998E-2</v>
      </c>
      <c r="AT133" s="1953">
        <f t="shared" si="150"/>
        <v>-0.02</v>
      </c>
      <c r="AU133" s="1043">
        <f t="shared" si="150"/>
        <v>-5.3999999999999999E-2</v>
      </c>
      <c r="AV133" s="1043">
        <f t="shared" si="150"/>
        <v>-6.6000000000000003E-2</v>
      </c>
      <c r="AW133" s="1043">
        <f t="shared" ref="AW133:CF133" si="151">+AW654</f>
        <v>-0.05</v>
      </c>
      <c r="AX133" s="1043">
        <f t="shared" si="151"/>
        <v>-1.6E-2</v>
      </c>
      <c r="AY133" s="1953">
        <f t="shared" si="151"/>
        <v>-0.05</v>
      </c>
      <c r="AZ133" s="1043">
        <f t="shared" si="151"/>
        <v>4.2999999999999997E-2</v>
      </c>
      <c r="BA133" s="1043">
        <f t="shared" si="151"/>
        <v>5.5E-2</v>
      </c>
      <c r="BB133" s="1043">
        <f t="shared" si="151"/>
        <v>4.3999999999999997E-2</v>
      </c>
      <c r="BC133" s="1043">
        <f t="shared" si="151"/>
        <v>4.8000000000000001E-2</v>
      </c>
      <c r="BD133" s="1953">
        <f t="shared" si="151"/>
        <v>4.8000000000000001E-2</v>
      </c>
      <c r="BE133" s="1043">
        <f t="shared" si="151"/>
        <v>1.7999999999999999E-2</v>
      </c>
      <c r="BF133" s="1043">
        <f t="shared" si="151"/>
        <v>0.02</v>
      </c>
      <c r="BG133" s="1043">
        <f t="shared" si="151"/>
        <v>1.6E-2</v>
      </c>
      <c r="BH133" s="1043">
        <f t="shared" si="151"/>
        <v>1.2999999999999999E-2</v>
      </c>
      <c r="BI133" s="1953">
        <f t="shared" si="151"/>
        <v>1.7000000000000001E-2</v>
      </c>
      <c r="BJ133" s="1043">
        <f t="shared" si="151"/>
        <v>7.0000000000000001E-3</v>
      </c>
      <c r="BK133" s="1043">
        <f t="shared" si="151"/>
        <v>3.0000000000000001E-3</v>
      </c>
      <c r="BL133" s="1043">
        <f t="shared" si="151"/>
        <v>3.0000000000000001E-3</v>
      </c>
      <c r="BM133" s="1043">
        <f t="shared" si="151"/>
        <v>8.9999999999999993E-3</v>
      </c>
      <c r="BN133" s="1545">
        <f t="shared" si="151"/>
        <v>6.0000000000000001E-3</v>
      </c>
      <c r="BO133" s="1043">
        <f t="shared" si="151"/>
        <v>1E-3</v>
      </c>
      <c r="BP133" s="1043">
        <f t="shared" si="151"/>
        <v>8.0000000000000002E-3</v>
      </c>
      <c r="BQ133" s="1043">
        <f t="shared" si="151"/>
        <v>5.0000000000000001E-3</v>
      </c>
      <c r="BR133" s="1043">
        <f t="shared" si="151"/>
        <v>-1E-3</v>
      </c>
      <c r="BS133" s="1545">
        <f t="shared" si="151"/>
        <v>4.0000000000000001E-3</v>
      </c>
      <c r="BT133" s="1043">
        <f t="shared" si="151"/>
        <v>2.1000000000000001E-2</v>
      </c>
      <c r="BU133" s="1043">
        <f t="shared" si="151"/>
        <v>1.4E-2</v>
      </c>
      <c r="BV133" s="1043">
        <f t="shared" si="151"/>
        <v>0.02</v>
      </c>
      <c r="BW133" s="1043">
        <f t="shared" si="151"/>
        <v>1.7999999999999999E-2</v>
      </c>
      <c r="BX133" s="1545">
        <f t="shared" si="151"/>
        <v>1.9E-2</v>
      </c>
      <c r="BY133" s="1043">
        <f t="shared" si="151"/>
        <v>7.0000000000000001E-3</v>
      </c>
      <c r="BZ133" s="1043">
        <f t="shared" si="151"/>
        <v>1E-3</v>
      </c>
      <c r="CA133" s="1043">
        <f t="shared" si="151"/>
        <v>-3.0000000000000001E-3</v>
      </c>
      <c r="CB133" s="2882">
        <f t="shared" si="151"/>
        <v>2E-3</v>
      </c>
      <c r="CC133" s="2881">
        <f t="shared" si="151"/>
        <v>1E-3</v>
      </c>
      <c r="CD133" s="2882">
        <f t="shared" si="151"/>
        <v>-5.0000000000000001E-3</v>
      </c>
      <c r="CE133" s="2882">
        <f t="shared" si="151"/>
        <v>3.0000000000000001E-3</v>
      </c>
      <c r="CF133" s="2882">
        <f t="shared" si="151"/>
        <v>-1E-3</v>
      </c>
      <c r="CG133" s="2882"/>
      <c r="CH133" s="1545"/>
      <c r="CI133" s="1546"/>
      <c r="CJ133" s="1546"/>
      <c r="CK133" s="1546"/>
      <c r="CL133" s="1546"/>
      <c r="CM133" s="1545"/>
      <c r="CN133" s="1546"/>
      <c r="CO133" s="1546"/>
      <c r="CP133" s="1546"/>
      <c r="CQ133" s="3035"/>
      <c r="CR133" s="3035"/>
      <c r="CS133" s="1545"/>
      <c r="CT133" s="1545"/>
      <c r="CV133" s="537"/>
      <c r="CW133" s="537"/>
      <c r="CX133" s="537"/>
      <c r="DA133" s="212"/>
      <c r="DB133" s="1226"/>
    </row>
    <row r="134" spans="1:106" s="207" customFormat="1" x14ac:dyDescent="0.2">
      <c r="A134" s="1434" t="s">
        <v>822</v>
      </c>
      <c r="B134" s="1479">
        <v>0.76200000000000001</v>
      </c>
      <c r="C134" s="1479">
        <v>0.82499999999999996</v>
      </c>
      <c r="D134" s="1479">
        <v>0.80300000000000005</v>
      </c>
      <c r="E134" s="1479">
        <v>0.75700000000000001</v>
      </c>
      <c r="F134" s="1481">
        <f>+SUMPRODUCT(B134:E134,$BJ$4:$BM$4)/$BN$4</f>
        <v>0.78446153846153843</v>
      </c>
      <c r="G134" s="1479">
        <v>0.73499999999999999</v>
      </c>
      <c r="H134" s="1479">
        <v>0.76500000000000001</v>
      </c>
      <c r="I134" s="1479">
        <v>0.752</v>
      </c>
      <c r="J134" s="1479">
        <v>0.63700000000000001</v>
      </c>
      <c r="K134" s="1481">
        <f>+SUMPRODUCT(G134:J134,$BJ$4:$BM$4)/$BN$4</f>
        <v>0.71569230769230774</v>
      </c>
      <c r="L134" s="1479">
        <v>0.65800000000000003</v>
      </c>
      <c r="M134" s="1479">
        <v>0.69599999999999995</v>
      </c>
      <c r="N134" s="1479">
        <v>0.70799999999999996</v>
      </c>
      <c r="O134" s="1479">
        <v>0.69099999999999995</v>
      </c>
      <c r="P134" s="1481">
        <f>+SUMPRODUCT(L134:O134,$BJ$4:$BM$4)/$BN$4</f>
        <v>0.68846153846153846</v>
      </c>
      <c r="Q134" s="1479">
        <v>0.66700000000000004</v>
      </c>
      <c r="R134" s="1479">
        <v>0.71099999999999997</v>
      </c>
      <c r="S134" s="1479">
        <v>0.72699999999999998</v>
      </c>
      <c r="T134" s="1479">
        <v>0.65200000000000002</v>
      </c>
      <c r="U134" s="1481">
        <f>+SUMPRODUCT(Q134:T134,$BJ$4:$BM$4)/$BN$4</f>
        <v>0.68638461538461537</v>
      </c>
      <c r="V134" s="1479">
        <v>0.68600000000000005</v>
      </c>
      <c r="W134" s="1479">
        <v>0.746</v>
      </c>
      <c r="X134" s="1479">
        <v>0.75</v>
      </c>
      <c r="Y134" s="1479">
        <v>0.71399999999999997</v>
      </c>
      <c r="Z134" s="1481">
        <f>+SUMPRODUCT(V134:Y134,$BJ$4:$BM$4)/$BN$4</f>
        <v>0.72323076923076912</v>
      </c>
      <c r="AA134" s="1479">
        <v>0.68500000000000005</v>
      </c>
      <c r="AB134" s="1479">
        <v>0.754</v>
      </c>
      <c r="AC134" s="1479">
        <v>0.75700000000000001</v>
      </c>
      <c r="AD134" s="1479">
        <v>0.69935174057853167</v>
      </c>
      <c r="AE134" s="1481">
        <f>+SUMPRODUCT(AA134:AD134,$BJ$4:$BM$4)/$BN$4</f>
        <v>0.72195438171647131</v>
      </c>
      <c r="AF134" s="1479">
        <v>0.69471994012380622</v>
      </c>
      <c r="AG134" s="1479">
        <v>0.72987092134664255</v>
      </c>
      <c r="AH134" s="1479">
        <v>0.73867839633822641</v>
      </c>
      <c r="AI134" s="1479">
        <v>0.69277444010298306</v>
      </c>
      <c r="AJ134" s="1481">
        <f>+SUMPRODUCT(AF134:AI134,$BJ$4:$BM$4)/$BN$4</f>
        <v>0.71237734875676584</v>
      </c>
      <c r="AK134" s="1479">
        <v>0.67526762832525611</v>
      </c>
      <c r="AL134" s="1479">
        <v>0.75800000000000001</v>
      </c>
      <c r="AM134" s="1479">
        <v>0.76300000000000001</v>
      </c>
      <c r="AN134" s="1479">
        <v>0.69699999999999995</v>
      </c>
      <c r="AO134" s="1481">
        <f>+SUMPRODUCT(AK134:AN134,$BJ$4:$BM$4)/$BN$4</f>
        <v>0.72129252961352064</v>
      </c>
      <c r="AP134" s="1479">
        <v>0.65500000000000003</v>
      </c>
      <c r="AQ134" s="1479">
        <v>0.73599999999999999</v>
      </c>
      <c r="AR134" s="1479">
        <v>0.73299999999999998</v>
      </c>
      <c r="AS134" s="1479">
        <v>0.63100000000000001</v>
      </c>
      <c r="AT134" s="1481">
        <f>+SUMPRODUCT(AP134:AS134,$BJ$4:$BM$4)/$BN$4</f>
        <v>0.68430769230769228</v>
      </c>
      <c r="AU134" s="1479">
        <v>0.59099999999999997</v>
      </c>
      <c r="AV134" s="1479">
        <v>0.65800000000000003</v>
      </c>
      <c r="AW134" s="1479">
        <v>0.67200000000000004</v>
      </c>
      <c r="AX134" s="1479">
        <v>0.60099999999999998</v>
      </c>
      <c r="AY134" s="1481">
        <f>+SUMPRODUCT(AU134:AX134,$BJ$4:$BM$4)/$BN$4</f>
        <v>0.62823076923076915</v>
      </c>
      <c r="AZ134" s="1479">
        <v>0.61399999999999999</v>
      </c>
      <c r="BA134" s="1479">
        <v>0.69199999999999995</v>
      </c>
      <c r="BB134" s="1479">
        <v>0.70199999999999996</v>
      </c>
      <c r="BC134" s="1479">
        <v>0.63200000000000001</v>
      </c>
      <c r="BD134" s="1481">
        <f>+SUMPRODUCT(AZ134:BC134,$BJ$4:$BM$4)/$BN$4</f>
        <v>0.65784615384615386</v>
      </c>
      <c r="BE134" s="1479">
        <v>0.628</v>
      </c>
      <c r="BF134" s="1479">
        <v>0.71499999999999997</v>
      </c>
      <c r="BG134" s="1479">
        <v>0.73099999999999998</v>
      </c>
      <c r="BH134" s="1479">
        <v>0.65400000000000003</v>
      </c>
      <c r="BI134" s="1481">
        <f>+SUMPRODUCT(BE134:BH134,$BJ$4:$BM$4)/$BN$4</f>
        <v>0.67984615384615388</v>
      </c>
      <c r="BJ134" s="1479">
        <v>0.64500000000000002</v>
      </c>
      <c r="BK134" s="1479">
        <v>0.73</v>
      </c>
      <c r="BL134" s="1479">
        <v>0.73699999999999999</v>
      </c>
      <c r="BM134" s="1479">
        <v>0.66400000000000003</v>
      </c>
      <c r="BN134" s="1481">
        <f>+SUMPRODUCT(BJ134:BM134,$BJ$4:$BM$4)/$BN$4</f>
        <v>0.69169230769230772</v>
      </c>
      <c r="BO134" s="1479">
        <v>0.65500000000000003</v>
      </c>
      <c r="BP134" s="2164">
        <v>0.752</v>
      </c>
      <c r="BQ134" s="2164">
        <v>0.74099999999999999</v>
      </c>
      <c r="BR134" s="1479">
        <v>0.65800000000000003</v>
      </c>
      <c r="BS134" s="1998">
        <v>0.70199999999999996</v>
      </c>
      <c r="BT134" s="1479">
        <v>0.67200000000000004</v>
      </c>
      <c r="BU134" s="1479">
        <v>0.77</v>
      </c>
      <c r="BV134" s="1479">
        <v>0.77300000000000002</v>
      </c>
      <c r="BW134" s="1479">
        <v>0.68300000000000005</v>
      </c>
      <c r="BX134" s="1998">
        <v>0.72499999999999998</v>
      </c>
      <c r="BY134" s="1479">
        <v>0.69</v>
      </c>
      <c r="BZ134" s="1479">
        <v>0.77700000000000002</v>
      </c>
      <c r="CA134" s="1479">
        <v>0.77300000000000002</v>
      </c>
      <c r="CB134" s="1479">
        <v>0.68400000000000005</v>
      </c>
      <c r="CC134" s="1481">
        <f>+SUMPRODUCT(BY134:CB134,$BT$4:$BW$4)/$BX$4</f>
        <v>0.73109863013698628</v>
      </c>
      <c r="CD134" s="1479">
        <v>0.69</v>
      </c>
      <c r="CE134" s="1479">
        <v>0.78100000000000003</v>
      </c>
      <c r="CF134" s="1479">
        <v>0.76700000000000002</v>
      </c>
      <c r="CG134" s="1479"/>
      <c r="CH134" s="1481"/>
      <c r="CI134" s="1831"/>
      <c r="CJ134" s="1831"/>
      <c r="CK134" s="1831"/>
      <c r="CL134" s="1831"/>
      <c r="CM134" s="1481"/>
      <c r="CN134" s="1831"/>
      <c r="CO134" s="1831"/>
      <c r="CP134" s="1831"/>
      <c r="CQ134" s="1611"/>
      <c r="CR134" s="1611"/>
      <c r="CS134" s="1611"/>
      <c r="CT134" s="1611"/>
      <c r="CV134" s="537"/>
      <c r="CW134" s="537"/>
      <c r="CX134" s="537"/>
      <c r="DA134" s="212"/>
      <c r="DB134" s="1226"/>
    </row>
    <row r="135" spans="1:106" s="207" customFormat="1" x14ac:dyDescent="0.2">
      <c r="A135" s="1595" t="s">
        <v>652</v>
      </c>
      <c r="B135" s="885"/>
      <c r="C135" s="885"/>
      <c r="D135" s="885"/>
      <c r="E135" s="885"/>
      <c r="F135" s="1044"/>
      <c r="G135" s="885">
        <f>G134/B134-1</f>
        <v>-3.543307086614178E-2</v>
      </c>
      <c r="H135" s="885">
        <f>H134/C134-1</f>
        <v>-7.272727272727264E-2</v>
      </c>
      <c r="I135" s="885">
        <f>I134/D134-1</f>
        <v>-6.3511830635118338E-2</v>
      </c>
      <c r="J135" s="885">
        <f>J134/E134-1</f>
        <v>-0.15852047556142668</v>
      </c>
      <c r="K135" s="1044"/>
      <c r="L135" s="885">
        <f>L134/G134-1</f>
        <v>-0.10476190476190472</v>
      </c>
      <c r="M135" s="885">
        <f>M134/H134-1</f>
        <v>-9.0196078431372673E-2</v>
      </c>
      <c r="N135" s="885">
        <f>N134/I134-1</f>
        <v>-5.8510638297872397E-2</v>
      </c>
      <c r="O135" s="885">
        <f>O134/J134-1</f>
        <v>8.477237048665609E-2</v>
      </c>
      <c r="P135" s="1044">
        <f>+P134/K134-1</f>
        <v>-3.8048151332760183E-2</v>
      </c>
      <c r="Q135" s="885">
        <f>Q134/L134-1</f>
        <v>1.3677811550151908E-2</v>
      </c>
      <c r="R135" s="885">
        <f>R134/M134-1</f>
        <v>2.155172413793105E-2</v>
      </c>
      <c r="S135" s="885">
        <f>S134/N134-1</f>
        <v>2.6836158192090398E-2</v>
      </c>
      <c r="T135" s="885">
        <f>T134/O134-1</f>
        <v>-5.6439942112879726E-2</v>
      </c>
      <c r="U135" s="1044">
        <f>+U134/P134-1</f>
        <v>-3.0167597765363707E-3</v>
      </c>
      <c r="V135" s="885">
        <f>V134/Q134-1</f>
        <v>2.8485757121439415E-2</v>
      </c>
      <c r="W135" s="885">
        <f>W134/R134-1</f>
        <v>4.9226441631504914E-2</v>
      </c>
      <c r="X135" s="885">
        <f>X134/S134-1</f>
        <v>3.1636863823933936E-2</v>
      </c>
      <c r="Y135" s="885">
        <f>Y134/T134-1</f>
        <v>9.5092024539877196E-2</v>
      </c>
      <c r="Z135" s="1044">
        <f>+Z134/U134-1</f>
        <v>5.3681497254286503E-2</v>
      </c>
      <c r="AA135" s="885">
        <f>AA134/V134-1</f>
        <v>-1.4577259475219151E-3</v>
      </c>
      <c r="AB135" s="885">
        <f>AB134/W134-1</f>
        <v>1.072386058981234E-2</v>
      </c>
      <c r="AC135" s="885">
        <f>AC134/X134-1</f>
        <v>9.3333333333334156E-3</v>
      </c>
      <c r="AD135" s="885">
        <f>AD134/Y134-1</f>
        <v>-2.0515769497854719E-2</v>
      </c>
      <c r="AE135" s="1044">
        <f>+AE134/Z134-1</f>
        <v>-1.7648412769486477E-3</v>
      </c>
      <c r="AF135" s="885">
        <f>AF134/AA134-1</f>
        <v>1.4189693611395882E-2</v>
      </c>
      <c r="AG135" s="885">
        <f>AG134/AB134-1</f>
        <v>-3.2001430574744583E-2</v>
      </c>
      <c r="AH135" s="885">
        <f>AH134/AC134-1</f>
        <v>-2.4202911045936082E-2</v>
      </c>
      <c r="AI135" s="885">
        <f>AI134/AD134-1</f>
        <v>-9.4048532289454645E-3</v>
      </c>
      <c r="AJ135" s="1044">
        <f>+AJ134/AE134-1</f>
        <v>-1.3265426739201613E-2</v>
      </c>
      <c r="AK135" s="885">
        <f>AK134/AF134-1</f>
        <v>-2.800022091647969E-2</v>
      </c>
      <c r="AL135" s="885">
        <f>AL134/AG134-1</f>
        <v>3.8539799066741987E-2</v>
      </c>
      <c r="AM135" s="885">
        <f>AM134/AH134-1</f>
        <v>3.2925835901443046E-2</v>
      </c>
      <c r="AN135" s="885">
        <f>AN134/AI134-1</f>
        <v>6.0994743056466127E-3</v>
      </c>
      <c r="AO135" s="1044">
        <f>+AO134/AJ134-1</f>
        <v>1.2514688840561172E-2</v>
      </c>
      <c r="AP135" s="885">
        <f>AP134/AK134-1</f>
        <v>-3.0014215808807809E-2</v>
      </c>
      <c r="AQ135" s="885">
        <f>AQ134/AL134-1</f>
        <v>-2.9023746701847042E-2</v>
      </c>
      <c r="AR135" s="885">
        <f>AR134/AM134-1</f>
        <v>-3.9318479685452212E-2</v>
      </c>
      <c r="AS135" s="885">
        <f>AS134/AN134-1</f>
        <v>-9.4691535150645545E-2</v>
      </c>
      <c r="AT135" s="1044">
        <f>+AT134/AO134-1</f>
        <v>-5.1275780335123367E-2</v>
      </c>
      <c r="AU135" s="885">
        <f>AU134/AP134-1</f>
        <v>-9.7709923664122234E-2</v>
      </c>
      <c r="AV135" s="885">
        <f>AV134/AQ134-1</f>
        <v>-0.10597826086956519</v>
      </c>
      <c r="AW135" s="885">
        <f>AW134/AR134-1</f>
        <v>-8.3219645293315048E-2</v>
      </c>
      <c r="AX135" s="885">
        <f>AX134/AS134-1</f>
        <v>-4.7543581616481867E-2</v>
      </c>
      <c r="AY135" s="1044">
        <f>+AY134/AT134-1</f>
        <v>-8.194694244604328E-2</v>
      </c>
      <c r="AZ135" s="885">
        <f>AZ134/AU134-1</f>
        <v>3.891708967851093E-2</v>
      </c>
      <c r="BA135" s="885">
        <f>BA134/AV134-1</f>
        <v>5.1671732522796221E-2</v>
      </c>
      <c r="BB135" s="885">
        <f>BB134/AW134-1</f>
        <v>4.4642857142856984E-2</v>
      </c>
      <c r="BC135" s="885">
        <f>BC134/AX134-1</f>
        <v>5.1580698835274497E-2</v>
      </c>
      <c r="BD135" s="1044">
        <f>+BD134/AY134-1</f>
        <v>4.714093302314204E-2</v>
      </c>
      <c r="BE135" s="885">
        <f>BE134/AZ134-1</f>
        <v>2.2801302931596101E-2</v>
      </c>
      <c r="BF135" s="885">
        <f>BF134/BA134-1</f>
        <v>3.3236994219653315E-2</v>
      </c>
      <c r="BG135" s="885">
        <f>BG134/BB134-1</f>
        <v>4.131054131054146E-2</v>
      </c>
      <c r="BH135" s="885">
        <f>BH134/BC134-1</f>
        <v>3.4810126582278444E-2</v>
      </c>
      <c r="BI135" s="1044">
        <f>+BI134/BD134-1</f>
        <v>3.3442469597754876E-2</v>
      </c>
      <c r="BJ135" s="885">
        <f>BJ134/BE134-1</f>
        <v>2.7070063694267565E-2</v>
      </c>
      <c r="BK135" s="885">
        <f>BK134/BF134-1</f>
        <v>2.0979020979021046E-2</v>
      </c>
      <c r="BL135" s="885">
        <f>BL134/BG134-1</f>
        <v>8.2079343365253354E-3</v>
      </c>
      <c r="BM135" s="885">
        <f>BM134/BH134-1</f>
        <v>1.5290519877675823E-2</v>
      </c>
      <c r="BN135" s="1280">
        <f>+BN134/BI134-1</f>
        <v>1.7424756732292268E-2</v>
      </c>
      <c r="BO135" s="885">
        <f>BO134/BJ134-1</f>
        <v>1.5503875968992276E-2</v>
      </c>
      <c r="BP135" s="885">
        <f>BP134/BK134-1</f>
        <v>3.013698630136985E-2</v>
      </c>
      <c r="BQ135" s="885">
        <f>BQ134/BL134-1</f>
        <v>5.4274084124830146E-3</v>
      </c>
      <c r="BR135" s="885">
        <f>BR134/BM134-1</f>
        <v>-9.0361445783132543E-3</v>
      </c>
      <c r="BS135" s="1280">
        <f>+BS134/BN134-1</f>
        <v>1.490213523131656E-2</v>
      </c>
      <c r="BT135" s="885">
        <f>BT134/BO134-1</f>
        <v>2.5954198473282508E-2</v>
      </c>
      <c r="BU135" s="885">
        <f>BU134/BP134-1</f>
        <v>2.3936170212766061E-2</v>
      </c>
      <c r="BV135" s="885">
        <f>BV134/BQ134-1</f>
        <v>4.3184885290148411E-2</v>
      </c>
      <c r="BW135" s="885">
        <f>BW134/BR134-1</f>
        <v>3.7993920972644313E-2</v>
      </c>
      <c r="BX135" s="1280">
        <f>+BX134/BS134-1</f>
        <v>3.2763532763532721E-2</v>
      </c>
      <c r="BY135" s="885">
        <f>BY134/BT134-1</f>
        <v>2.6785714285714191E-2</v>
      </c>
      <c r="BZ135" s="885">
        <f>BZ134/BU134-1</f>
        <v>9.0909090909090384E-3</v>
      </c>
      <c r="CA135" s="885">
        <f>CA134/BV134-1</f>
        <v>0</v>
      </c>
      <c r="CB135" s="885">
        <f>CB134/BW134-1</f>
        <v>1.4641288433381305E-3</v>
      </c>
      <c r="CC135" s="1280">
        <f>+CC134/BX134-1</f>
        <v>8.4119036372225509E-3</v>
      </c>
      <c r="CD135" s="885">
        <f>CD134/BY134-1</f>
        <v>0</v>
      </c>
      <c r="CE135" s="885">
        <f>CE134/BZ134-1</f>
        <v>5.1480051480050637E-3</v>
      </c>
      <c r="CF135" s="885">
        <f>CF134/CA134-1</f>
        <v>-7.7619663648124115E-3</v>
      </c>
      <c r="CG135" s="885"/>
      <c r="CH135" s="1280"/>
      <c r="CI135" s="886"/>
      <c r="CJ135" s="886"/>
      <c r="CK135" s="886"/>
      <c r="CL135" s="886"/>
      <c r="CM135" s="1280"/>
      <c r="CN135" s="886"/>
      <c r="CO135" s="886"/>
      <c r="CP135" s="886"/>
      <c r="CQ135" s="1549"/>
      <c r="CR135" s="1549"/>
      <c r="CS135" s="1046"/>
      <c r="CT135" s="1046"/>
      <c r="CV135" s="537"/>
      <c r="CW135" s="537"/>
      <c r="CX135" s="537"/>
      <c r="DA135" s="212"/>
      <c r="DB135" s="1226"/>
    </row>
    <row r="136" spans="1:106" s="207" customFormat="1" x14ac:dyDescent="0.2">
      <c r="A136" s="1595" t="s">
        <v>359</v>
      </c>
      <c r="B136" s="1924" t="s">
        <v>673</v>
      </c>
      <c r="C136" s="1924" t="s">
        <v>673</v>
      </c>
      <c r="D136" s="1924" t="s">
        <v>673</v>
      </c>
      <c r="E136" s="1924" t="s">
        <v>673</v>
      </c>
      <c r="F136" s="1890" t="s">
        <v>673</v>
      </c>
      <c r="G136" s="1924" t="s">
        <v>673</v>
      </c>
      <c r="H136" s="1924" t="s">
        <v>673</v>
      </c>
      <c r="I136" s="1924" t="s">
        <v>673</v>
      </c>
      <c r="J136" s="1924" t="s">
        <v>673</v>
      </c>
      <c r="K136" s="1890" t="s">
        <v>673</v>
      </c>
      <c r="L136" s="1924" t="s">
        <v>673</v>
      </c>
      <c r="M136" s="1924" t="s">
        <v>673</v>
      </c>
      <c r="N136" s="1924" t="s">
        <v>673</v>
      </c>
      <c r="O136" s="1924" t="s">
        <v>673</v>
      </c>
      <c r="P136" s="1890" t="s">
        <v>673</v>
      </c>
      <c r="Q136" s="1043">
        <f t="shared" ref="Q136:AV136" si="152">+Q653</f>
        <v>1.0999999999999999E-2</v>
      </c>
      <c r="R136" s="1043">
        <f t="shared" si="152"/>
        <v>-0.02</v>
      </c>
      <c r="S136" s="1043">
        <f t="shared" si="152"/>
        <v>-1.4E-2</v>
      </c>
      <c r="T136" s="1043">
        <f t="shared" si="152"/>
        <v>-2E-3</v>
      </c>
      <c r="U136" s="1953">
        <f t="shared" si="152"/>
        <v>-6.0000000000000001E-3</v>
      </c>
      <c r="V136" s="1043">
        <f t="shared" si="152"/>
        <v>0.03</v>
      </c>
      <c r="W136" s="1043">
        <f t="shared" si="152"/>
        <v>4.2999999999999997E-2</v>
      </c>
      <c r="X136" s="1043">
        <f t="shared" si="152"/>
        <v>2.7E-2</v>
      </c>
      <c r="Y136" s="1043">
        <f t="shared" si="152"/>
        <v>3.2000000000000001E-2</v>
      </c>
      <c r="Z136" s="1953">
        <f t="shared" si="152"/>
        <v>3.3000000000000002E-2</v>
      </c>
      <c r="AA136" s="1043">
        <f t="shared" si="152"/>
        <v>3.0000000000000001E-3</v>
      </c>
      <c r="AB136" s="1043">
        <f t="shared" si="152"/>
        <v>7.0000000000000001E-3</v>
      </c>
      <c r="AC136" s="1043">
        <f t="shared" si="152"/>
        <v>2E-3</v>
      </c>
      <c r="AD136" s="1043">
        <f t="shared" si="152"/>
        <v>1.2E-2</v>
      </c>
      <c r="AE136" s="1953">
        <f t="shared" si="152"/>
        <v>6.0000000000000001E-3</v>
      </c>
      <c r="AF136" s="1043">
        <f t="shared" si="152"/>
        <v>1.0999999999999999E-2</v>
      </c>
      <c r="AG136" s="1043">
        <f t="shared" si="152"/>
        <v>1.2E-2</v>
      </c>
      <c r="AH136" s="1043">
        <f t="shared" si="152"/>
        <v>-2E-3</v>
      </c>
      <c r="AI136" s="1043">
        <f t="shared" si="152"/>
        <v>-0.01</v>
      </c>
      <c r="AJ136" s="1953">
        <f t="shared" si="152"/>
        <v>1E-3</v>
      </c>
      <c r="AK136" s="1043">
        <f t="shared" si="152"/>
        <v>-1.4999999999999999E-2</v>
      </c>
      <c r="AL136" s="1043">
        <f t="shared" si="152"/>
        <v>-6.0000000000000001E-3</v>
      </c>
      <c r="AM136" s="1043">
        <f t="shared" si="152"/>
        <v>7.0000000000000001E-3</v>
      </c>
      <c r="AN136" s="1043">
        <f t="shared" si="152"/>
        <v>4.0000000000000001E-3</v>
      </c>
      <c r="AO136" s="1953">
        <f t="shared" si="152"/>
        <v>-2E-3</v>
      </c>
      <c r="AP136" s="1043">
        <f t="shared" si="152"/>
        <v>-8.0000000000000002E-3</v>
      </c>
      <c r="AQ136" s="1043">
        <f t="shared" si="152"/>
        <v>-1.2E-2</v>
      </c>
      <c r="AR136" s="1043">
        <f t="shared" si="152"/>
        <v>-2.1000000000000001E-2</v>
      </c>
      <c r="AS136" s="1043">
        <f t="shared" si="152"/>
        <v>-5.5E-2</v>
      </c>
      <c r="AT136" s="1953">
        <f t="shared" si="152"/>
        <v>-2.7E-2</v>
      </c>
      <c r="AU136" s="1043">
        <f t="shared" si="152"/>
        <v>-5.8000000000000003E-2</v>
      </c>
      <c r="AV136" s="1043">
        <f t="shared" si="152"/>
        <v>-7.2999999999999995E-2</v>
      </c>
      <c r="AW136" s="1043">
        <f t="shared" ref="AW136:CF136" si="153">+AW653</f>
        <v>-5.8000000000000003E-2</v>
      </c>
      <c r="AX136" s="1043">
        <f t="shared" si="153"/>
        <v>-2.3E-2</v>
      </c>
      <c r="AY136" s="1953">
        <f t="shared" si="153"/>
        <v>-5.7000000000000002E-2</v>
      </c>
      <c r="AZ136" s="1043">
        <f t="shared" si="153"/>
        <v>2.4E-2</v>
      </c>
      <c r="BA136" s="1043">
        <f t="shared" si="153"/>
        <v>3.4000000000000002E-2</v>
      </c>
      <c r="BB136" s="1043">
        <f t="shared" si="153"/>
        <v>3.3000000000000002E-2</v>
      </c>
      <c r="BC136" s="1043">
        <f t="shared" si="153"/>
        <v>3.3000000000000002E-2</v>
      </c>
      <c r="BD136" s="1953">
        <f t="shared" si="153"/>
        <v>3.1E-2</v>
      </c>
      <c r="BE136" s="1043">
        <f t="shared" si="153"/>
        <v>1.7999999999999999E-2</v>
      </c>
      <c r="BF136" s="1043">
        <f t="shared" si="153"/>
        <v>2.8000000000000001E-2</v>
      </c>
      <c r="BG136" s="1043">
        <f t="shared" si="153"/>
        <v>3.2000000000000001E-2</v>
      </c>
      <c r="BH136" s="1043">
        <f t="shared" si="153"/>
        <v>2.4E-2</v>
      </c>
      <c r="BI136" s="1953">
        <f t="shared" si="153"/>
        <v>2.5000000000000001E-2</v>
      </c>
      <c r="BJ136" s="1043">
        <f t="shared" si="153"/>
        <v>1.7999999999999999E-2</v>
      </c>
      <c r="BK136" s="1043">
        <f t="shared" si="153"/>
        <v>1.4999999999999999E-2</v>
      </c>
      <c r="BL136" s="1043">
        <f t="shared" si="153"/>
        <v>6.0000000000000001E-3</v>
      </c>
      <c r="BM136" s="1043">
        <f t="shared" si="153"/>
        <v>8.9999999999999993E-3</v>
      </c>
      <c r="BN136" s="1545">
        <f t="shared" si="153"/>
        <v>1.2E-2</v>
      </c>
      <c r="BO136" s="1043">
        <f t="shared" si="153"/>
        <v>-1E-3</v>
      </c>
      <c r="BP136" s="1043">
        <f t="shared" si="153"/>
        <v>1.0999999999999999E-2</v>
      </c>
      <c r="BQ136" s="1043">
        <f t="shared" si="153"/>
        <v>1.2999999999999999E-2</v>
      </c>
      <c r="BR136" s="1043">
        <f t="shared" si="153"/>
        <v>1.2999999999999999E-2</v>
      </c>
      <c r="BS136" s="1545">
        <f t="shared" si="153"/>
        <v>8.9999999999999993E-3</v>
      </c>
      <c r="BT136" s="1043">
        <f t="shared" si="153"/>
        <v>1.7000000000000001E-2</v>
      </c>
      <c r="BU136" s="1043">
        <f t="shared" si="153"/>
        <v>1.7999999999999999E-2</v>
      </c>
      <c r="BV136" s="1043">
        <f t="shared" si="153"/>
        <v>3.1E-2</v>
      </c>
      <c r="BW136" s="1043">
        <f t="shared" si="153"/>
        <v>2.3E-2</v>
      </c>
      <c r="BX136" s="1545">
        <f t="shared" si="153"/>
        <v>2.3E-2</v>
      </c>
      <c r="BY136" s="1043">
        <f t="shared" si="153"/>
        <v>2.4E-2</v>
      </c>
      <c r="BZ136" s="1043">
        <f t="shared" si="153"/>
        <v>8.0000000000000002E-3</v>
      </c>
      <c r="CA136" s="1043">
        <f t="shared" si="153"/>
        <v>-1E-3</v>
      </c>
      <c r="CB136" s="2882">
        <f t="shared" si="153"/>
        <v>1E-3</v>
      </c>
      <c r="CC136" s="2881">
        <f t="shared" si="153"/>
        <v>8.0000000000000002E-3</v>
      </c>
      <c r="CD136" s="2882">
        <f t="shared" si="153"/>
        <v>2E-3</v>
      </c>
      <c r="CE136" s="2882">
        <f t="shared" si="153"/>
        <v>7.0000000000000001E-3</v>
      </c>
      <c r="CF136" s="2882">
        <f t="shared" si="153"/>
        <v>-4.0000000000000001E-3</v>
      </c>
      <c r="CG136" s="2882"/>
      <c r="CH136" s="1545"/>
      <c r="CI136" s="1546"/>
      <c r="CJ136" s="1546"/>
      <c r="CK136" s="1546"/>
      <c r="CL136" s="1546"/>
      <c r="CM136" s="1545"/>
      <c r="CN136" s="1546"/>
      <c r="CO136" s="1546"/>
      <c r="CP136" s="1546"/>
      <c r="CQ136" s="3035"/>
      <c r="CR136" s="3035"/>
      <c r="CS136" s="1545"/>
      <c r="CT136" s="1545"/>
      <c r="CV136" s="537"/>
      <c r="CW136" s="537"/>
      <c r="CX136" s="537"/>
      <c r="DA136" s="212"/>
      <c r="DB136" s="1226"/>
    </row>
    <row r="137" spans="1:106" s="207" customFormat="1" x14ac:dyDescent="0.2">
      <c r="A137" s="1434" t="s">
        <v>823</v>
      </c>
      <c r="B137" s="1479">
        <v>0.65600000000000003</v>
      </c>
      <c r="C137" s="1479">
        <v>0.73899999999999999</v>
      </c>
      <c r="D137" s="1479">
        <v>0.72099999999999997</v>
      </c>
      <c r="E137" s="1479">
        <v>0.64400000000000002</v>
      </c>
      <c r="F137" s="1481">
        <f>+SUMPRODUCT(B137:E137,$BJ$4:$BM$4)/$BN$4</f>
        <v>0.68646153846153846</v>
      </c>
      <c r="G137" s="1479">
        <v>0.627</v>
      </c>
      <c r="H137" s="1479">
        <v>0.69799999999999995</v>
      </c>
      <c r="I137" s="1479">
        <v>0.68300000000000005</v>
      </c>
      <c r="J137" s="1479">
        <v>0.60599999999999998</v>
      </c>
      <c r="K137" s="1481">
        <f>+SUMPRODUCT(G137:J137,$BJ$4:$BM$4)/$BN$4</f>
        <v>0.64984615384615385</v>
      </c>
      <c r="L137" s="1479">
        <v>0.60899999999999999</v>
      </c>
      <c r="M137" s="1479">
        <v>0.65500000000000003</v>
      </c>
      <c r="N137" s="1479">
        <v>0.68099999999999994</v>
      </c>
      <c r="O137" s="1479">
        <v>0.66</v>
      </c>
      <c r="P137" s="1481">
        <f>+SUMPRODUCT(L137:O137,$BJ$4:$BM$4)/$BN$4</f>
        <v>0.65192307692307694</v>
      </c>
      <c r="Q137" s="1479">
        <v>0.59899999999999998</v>
      </c>
      <c r="R137" s="1479">
        <v>0.66900000000000004</v>
      </c>
      <c r="S137" s="1479">
        <v>0.71099999999999997</v>
      </c>
      <c r="T137" s="1479">
        <v>0.6</v>
      </c>
      <c r="U137" s="1481">
        <f>+SUMPRODUCT(Q137:T137,$BJ$4:$BM$4)/$BN$4</f>
        <v>0.64130769230769225</v>
      </c>
      <c r="V137" s="1479">
        <v>0.60099999999999998</v>
      </c>
      <c r="W137" s="1479">
        <v>0.69099999999999995</v>
      </c>
      <c r="X137" s="1479">
        <v>0.73</v>
      </c>
      <c r="Y137" s="1479">
        <v>0.66600000000000004</v>
      </c>
      <c r="Z137" s="1481">
        <f>+SUMPRODUCT(V137:Y137,$BJ$4:$BM$4)/$BN$4</f>
        <v>0.67153846153846153</v>
      </c>
      <c r="AA137" s="1479">
        <v>0.63400000000000001</v>
      </c>
      <c r="AB137" s="1479">
        <v>0.72299999999999998</v>
      </c>
      <c r="AC137" s="1479">
        <v>0.752</v>
      </c>
      <c r="AD137" s="1479">
        <v>0.67367153194039986</v>
      </c>
      <c r="AE137" s="1481">
        <f>+SUMPRODUCT(AA137:AD137,$BJ$4:$BM$4)/$BN$4</f>
        <v>0.69397585598166156</v>
      </c>
      <c r="AF137" s="1479">
        <v>0.65928582319429663</v>
      </c>
      <c r="AG137" s="1479">
        <v>0.70089893670139569</v>
      </c>
      <c r="AH137" s="1479">
        <v>0.72394092552455402</v>
      </c>
      <c r="AI137" s="1479">
        <v>0.66979057189105373</v>
      </c>
      <c r="AJ137" s="1481">
        <f>+SUMPRODUCT(AF137:AI137,$BJ$4:$BM$4)/$BN$4</f>
        <v>0.68704148798653486</v>
      </c>
      <c r="AK137" s="1479">
        <v>0.64416242425100256</v>
      </c>
      <c r="AL137" s="1479">
        <v>0.747</v>
      </c>
      <c r="AM137" s="1479">
        <v>0.76900000000000002</v>
      </c>
      <c r="AN137" s="1479">
        <v>0.67</v>
      </c>
      <c r="AO137" s="1481">
        <f>+SUMPRODUCT(AK137:AN137,$BJ$4:$BM$4)/$BN$4</f>
        <v>0.70465286713484676</v>
      </c>
      <c r="AP137" s="1479">
        <v>0.623</v>
      </c>
      <c r="AQ137" s="1479">
        <v>0.70799999999999996</v>
      </c>
      <c r="AR137" s="1479">
        <v>0.73299999999999998</v>
      </c>
      <c r="AS137" s="1479">
        <v>0.60499999999999998</v>
      </c>
      <c r="AT137" s="1481">
        <f>+SUMPRODUCT(AP137:AS137,$BJ$4:$BM$4)/$BN$4</f>
        <v>0.66246153846153844</v>
      </c>
      <c r="AU137" s="1479">
        <v>0.56499999999999995</v>
      </c>
      <c r="AV137" s="1479">
        <v>0.63900000000000001</v>
      </c>
      <c r="AW137" s="1479">
        <v>0.66500000000000004</v>
      </c>
      <c r="AX137" s="1479">
        <v>0.57199999999999995</v>
      </c>
      <c r="AY137" s="1481">
        <f>+SUMPRODUCT(AU137:AX137,$BJ$4:$BM$4)/$BN$4</f>
        <v>0.60730769230769222</v>
      </c>
      <c r="AZ137" s="1479">
        <v>0.56399999999999995</v>
      </c>
      <c r="BA137" s="1479">
        <v>0.66400000000000003</v>
      </c>
      <c r="BB137" s="1479">
        <v>0.70499999999999996</v>
      </c>
      <c r="BC137" s="1479">
        <v>0.6</v>
      </c>
      <c r="BD137" s="1481">
        <f>+SUMPRODUCT(AZ137:BC137,$BJ$4:$BM$4)/$BN$4</f>
        <v>0.63069230769230766</v>
      </c>
      <c r="BE137" s="1479">
        <v>0.58599999999999997</v>
      </c>
      <c r="BF137" s="1479">
        <v>0.69199999999999995</v>
      </c>
      <c r="BG137" s="1479">
        <v>0.73099999999999998</v>
      </c>
      <c r="BH137" s="1479">
        <v>0.63</v>
      </c>
      <c r="BI137" s="1481">
        <f>+SUMPRODUCT(BE137:BH137,$BJ$4:$BM$4)/$BN$4</f>
        <v>0.65746153846153843</v>
      </c>
      <c r="BJ137" s="1479">
        <v>0.61299999999999999</v>
      </c>
      <c r="BK137" s="1479">
        <v>0.71299999999999997</v>
      </c>
      <c r="BL137" s="1479">
        <v>0.73699999999999999</v>
      </c>
      <c r="BM137" s="1479">
        <v>0.63900000000000001</v>
      </c>
      <c r="BN137" s="1481">
        <f>+SUMPRODUCT(BJ137:BM137,$BJ$4:$BM$4)/$BN$4</f>
        <v>0.67269230769230759</v>
      </c>
      <c r="BO137" s="1479">
        <v>0.623</v>
      </c>
      <c r="BP137" s="2164">
        <v>0.72899999999999998</v>
      </c>
      <c r="BQ137" s="2164">
        <v>0.73</v>
      </c>
      <c r="BR137" s="1479">
        <v>0.63</v>
      </c>
      <c r="BS137" s="1998">
        <v>0.67900000000000005</v>
      </c>
      <c r="BT137" s="1479">
        <v>0.63700000000000001</v>
      </c>
      <c r="BU137" s="1479">
        <v>0.751</v>
      </c>
      <c r="BV137" s="1479">
        <v>0.75900000000000001</v>
      </c>
      <c r="BW137" s="1479">
        <v>0.65600000000000003</v>
      </c>
      <c r="BX137" s="1998">
        <v>0.70099999999999996</v>
      </c>
      <c r="BY137" s="1479">
        <v>0.65500000000000003</v>
      </c>
      <c r="BZ137" s="1479">
        <v>0.75</v>
      </c>
      <c r="CA137" s="1479">
        <v>0.75900000000000001</v>
      </c>
      <c r="CB137" s="1479">
        <v>0.65500000000000003</v>
      </c>
      <c r="CC137" s="1481">
        <f>+SUMPRODUCT(BY137:CB137,$BT$4:$BW$4)/$BX$4</f>
        <v>0.70489863013698628</v>
      </c>
      <c r="CD137" s="1479">
        <v>0.64400000000000002</v>
      </c>
      <c r="CE137" s="1479">
        <v>0.747</v>
      </c>
      <c r="CF137" s="1479">
        <v>0.75600000000000001</v>
      </c>
      <c r="CG137" s="1479"/>
      <c r="CH137" s="1481"/>
      <c r="CI137" s="1831"/>
      <c r="CJ137" s="1831"/>
      <c r="CK137" s="1831"/>
      <c r="CL137" s="1831"/>
      <c r="CM137" s="1481"/>
      <c r="CN137" s="1831"/>
      <c r="CO137" s="1831"/>
      <c r="CP137" s="1831"/>
      <c r="CQ137" s="1611"/>
      <c r="CR137" s="1611"/>
      <c r="CS137" s="1611"/>
      <c r="CT137" s="1611"/>
      <c r="CV137" s="537"/>
      <c r="CW137" s="537"/>
      <c r="CX137" s="537"/>
      <c r="DA137" s="212"/>
      <c r="DB137" s="1226"/>
    </row>
    <row r="138" spans="1:106" s="207" customFormat="1" x14ac:dyDescent="0.2">
      <c r="A138" s="1595" t="s">
        <v>652</v>
      </c>
      <c r="B138" s="885"/>
      <c r="C138" s="885"/>
      <c r="D138" s="885"/>
      <c r="E138" s="885"/>
      <c r="F138" s="1044"/>
      <c r="G138" s="885">
        <f>G137/B137-1</f>
        <v>-4.4207317073170715E-2</v>
      </c>
      <c r="H138" s="885">
        <f>H137/C137-1</f>
        <v>-5.5480378890392479E-2</v>
      </c>
      <c r="I138" s="885">
        <f>I137/D137-1</f>
        <v>-5.2704576976421502E-2</v>
      </c>
      <c r="J138" s="885">
        <f>J137/E137-1</f>
        <v>-5.9006211180124279E-2</v>
      </c>
      <c r="K138" s="1044"/>
      <c r="L138" s="885">
        <f>L137/G137-1</f>
        <v>-2.8708133971291905E-2</v>
      </c>
      <c r="M138" s="885">
        <f>M137/H137-1</f>
        <v>-6.1604584527220507E-2</v>
      </c>
      <c r="N138" s="885">
        <f>N137/I137-1</f>
        <v>-2.9282576866765941E-3</v>
      </c>
      <c r="O138" s="885">
        <f>O137/J137-1</f>
        <v>8.9108910891089188E-2</v>
      </c>
      <c r="P138" s="1044">
        <f>+P137/K137-1</f>
        <v>3.1960227272727071E-3</v>
      </c>
      <c r="Q138" s="885">
        <f>Q137/L137-1</f>
        <v>-1.6420361247947435E-2</v>
      </c>
      <c r="R138" s="885">
        <f>R137/M137-1</f>
        <v>2.1374045801526798E-2</v>
      </c>
      <c r="S138" s="885">
        <f>S137/N137-1</f>
        <v>4.4052863436123468E-2</v>
      </c>
      <c r="T138" s="885">
        <f>T137/O137-1</f>
        <v>-9.0909090909090939E-2</v>
      </c>
      <c r="U138" s="1044">
        <f>+U137/P137-1</f>
        <v>-1.6283185840708092E-2</v>
      </c>
      <c r="V138" s="885">
        <f>V137/Q137-1</f>
        <v>3.3388981636059967E-3</v>
      </c>
      <c r="W138" s="885">
        <f>W137/R137-1</f>
        <v>3.2884902840059738E-2</v>
      </c>
      <c r="X138" s="885">
        <f>X137/S137-1</f>
        <v>2.6722925457102642E-2</v>
      </c>
      <c r="Y138" s="885">
        <f>Y137/T137-1</f>
        <v>0.1100000000000001</v>
      </c>
      <c r="Z138" s="1044">
        <f>+Z137/U137-1</f>
        <v>4.7139258726160538E-2</v>
      </c>
      <c r="AA138" s="885">
        <f>AA137/V137-1</f>
        <v>5.4908485856905109E-2</v>
      </c>
      <c r="AB138" s="885">
        <f>AB137/W137-1</f>
        <v>4.6309696092619479E-2</v>
      </c>
      <c r="AC138" s="885">
        <f>AC137/X137-1</f>
        <v>3.013698630136985E-2</v>
      </c>
      <c r="AD138" s="885">
        <f>AD137/Y137-1</f>
        <v>1.1518816727327019E-2</v>
      </c>
      <c r="AE138" s="1044">
        <f>+AE137/Z137-1</f>
        <v>3.3411927578648415E-2</v>
      </c>
      <c r="AF138" s="885">
        <f>AF137/AA137-1</f>
        <v>3.9883001883748603E-2</v>
      </c>
      <c r="AG138" s="885">
        <f>AG137/AB137-1</f>
        <v>-3.0568552280227257E-2</v>
      </c>
      <c r="AH138" s="885">
        <f>AH137/AC137-1</f>
        <v>-3.7312599036497307E-2</v>
      </c>
      <c r="AI138" s="885">
        <f>AI137/AD137-1</f>
        <v>-5.7609084922554121E-3</v>
      </c>
      <c r="AJ138" s="1044">
        <f>+AJ137/AE137-1</f>
        <v>-9.9922323454866291E-3</v>
      </c>
      <c r="AK138" s="885">
        <f>AK137/AF137-1</f>
        <v>-2.2939062863539084E-2</v>
      </c>
      <c r="AL138" s="885">
        <f>AL137/AG137-1</f>
        <v>6.5774194943949205E-2</v>
      </c>
      <c r="AM138" s="885">
        <f>AM137/AH137-1</f>
        <v>6.2241369270285452E-2</v>
      </c>
      <c r="AN138" s="885">
        <f>AN137/AI137-1</f>
        <v>3.1267700343251548E-4</v>
      </c>
      <c r="AO138" s="1044">
        <f>+AO137/AJ137-1</f>
        <v>2.5633647248762825E-2</v>
      </c>
      <c r="AP138" s="885">
        <f>AP137/AK137-1</f>
        <v>-3.2852621410833005E-2</v>
      </c>
      <c r="AQ138" s="885">
        <f>AQ137/AL137-1</f>
        <v>-5.2208835341365556E-2</v>
      </c>
      <c r="AR138" s="885">
        <f>AR137/AM137-1</f>
        <v>-4.6814044213264072E-2</v>
      </c>
      <c r="AS138" s="885">
        <f>AS137/AN137-1</f>
        <v>-9.7014925373134386E-2</v>
      </c>
      <c r="AT138" s="1044">
        <f>+AT137/AO137-1</f>
        <v>-5.9875338114865451E-2</v>
      </c>
      <c r="AU138" s="885">
        <f>AU137/AP137-1</f>
        <v>-9.3097913322632508E-2</v>
      </c>
      <c r="AV138" s="885">
        <f>AV137/AQ137-1</f>
        <v>-9.745762711864403E-2</v>
      </c>
      <c r="AW138" s="885">
        <f>AW137/AR137-1</f>
        <v>-9.2769440654843049E-2</v>
      </c>
      <c r="AX138" s="885">
        <f>AX137/AS137-1</f>
        <v>-5.4545454545454564E-2</v>
      </c>
      <c r="AY138" s="1044">
        <f>+AY137/AT137-1</f>
        <v>-8.325592196934517E-2</v>
      </c>
      <c r="AZ138" s="885">
        <f>AZ137/AU137-1</f>
        <v>-1.7699115044247371E-3</v>
      </c>
      <c r="BA138" s="885">
        <f>BA137/AV137-1</f>
        <v>3.9123630672926568E-2</v>
      </c>
      <c r="BB138" s="885">
        <f>BB137/AW137-1</f>
        <v>6.0150375939849399E-2</v>
      </c>
      <c r="BC138" s="885">
        <f>BC137/AX137-1</f>
        <v>4.8951048951048959E-2</v>
      </c>
      <c r="BD138" s="1044">
        <f>+BD137/AY137-1</f>
        <v>3.8505383153895067E-2</v>
      </c>
      <c r="BE138" s="885">
        <f>BE137/AZ137-1</f>
        <v>3.9007092198581672E-2</v>
      </c>
      <c r="BF138" s="885">
        <f>BF137/BA137-1</f>
        <v>4.2168674698795039E-2</v>
      </c>
      <c r="BG138" s="885">
        <f>BG137/BB137-1</f>
        <v>3.6879432624113528E-2</v>
      </c>
      <c r="BH138" s="885">
        <f>BH137/BC137-1</f>
        <v>5.0000000000000044E-2</v>
      </c>
      <c r="BI138" s="1044">
        <f>+BI137/BD137-1</f>
        <v>4.2444200512257613E-2</v>
      </c>
      <c r="BJ138" s="885">
        <f>BJ137/BE137-1</f>
        <v>4.6075085324232212E-2</v>
      </c>
      <c r="BK138" s="885">
        <f>BK137/BF137-1</f>
        <v>3.0346820809248554E-2</v>
      </c>
      <c r="BL138" s="885">
        <f>BL137/BG137-1</f>
        <v>8.2079343365253354E-3</v>
      </c>
      <c r="BM138" s="885">
        <f>BM137/BH137-1</f>
        <v>1.4285714285714235E-2</v>
      </c>
      <c r="BN138" s="1280">
        <f>+BN137/BI137-1</f>
        <v>2.316602316602312E-2</v>
      </c>
      <c r="BO138" s="885">
        <f>BO137/BJ137-1</f>
        <v>1.6313213703099461E-2</v>
      </c>
      <c r="BP138" s="885">
        <f>BP137/BK137-1</f>
        <v>2.244039270687237E-2</v>
      </c>
      <c r="BQ138" s="885">
        <f>BQ137/BL137-1</f>
        <v>-9.4979647218452756E-3</v>
      </c>
      <c r="BR138" s="885">
        <f>BR137/BM137-1</f>
        <v>-1.4084507042253502E-2</v>
      </c>
      <c r="BS138" s="1280">
        <f>+BS137/BN137-1</f>
        <v>9.3767867352774203E-3</v>
      </c>
      <c r="BT138" s="885">
        <f>BT137/BO137-1</f>
        <v>2.2471910112359605E-2</v>
      </c>
      <c r="BU138" s="885">
        <f>BU137/BP137-1</f>
        <v>3.0178326474622708E-2</v>
      </c>
      <c r="BV138" s="885">
        <f>BV137/BQ137-1</f>
        <v>3.9726027397260388E-2</v>
      </c>
      <c r="BW138" s="885">
        <f>BW137/BR137-1</f>
        <v>4.1269841269841345E-2</v>
      </c>
      <c r="BX138" s="1280">
        <f>+BX137/BS137-1</f>
        <v>3.2400589101619914E-2</v>
      </c>
      <c r="BY138" s="885">
        <f>BY137/BT137-1</f>
        <v>2.8257456828885363E-2</v>
      </c>
      <c r="BZ138" s="885">
        <f>BZ137/BU137-1</f>
        <v>-1.3315579227696217E-3</v>
      </c>
      <c r="CA138" s="885">
        <f>CA137/BV137-1</f>
        <v>0</v>
      </c>
      <c r="CB138" s="885">
        <f>CB137/BW137-1</f>
        <v>-1.5243902439023849E-3</v>
      </c>
      <c r="CC138" s="1280">
        <f>+CC137/BX137-1</f>
        <v>5.5615265862858365E-3</v>
      </c>
      <c r="CD138" s="885">
        <f>CD137/BY137-1</f>
        <v>-1.6793893129770976E-2</v>
      </c>
      <c r="CE138" s="885">
        <f>CE137/BZ137-1</f>
        <v>-4.0000000000000036E-3</v>
      </c>
      <c r="CF138" s="885">
        <f>CF137/CA137-1</f>
        <v>-3.9525691699604515E-3</v>
      </c>
      <c r="CG138" s="885"/>
      <c r="CH138" s="1280"/>
      <c r="CI138" s="886"/>
      <c r="CJ138" s="886"/>
      <c r="CK138" s="886"/>
      <c r="CL138" s="886"/>
      <c r="CM138" s="1280"/>
      <c r="CN138" s="886"/>
      <c r="CO138" s="886"/>
      <c r="CP138" s="886"/>
      <c r="CQ138" s="1549"/>
      <c r="CR138" s="1549"/>
      <c r="CS138" s="1046"/>
      <c r="CT138" s="1046"/>
      <c r="CV138" s="537"/>
      <c r="CW138" s="537"/>
      <c r="CX138" s="537"/>
      <c r="DA138" s="212"/>
      <c r="DB138" s="1226"/>
    </row>
    <row r="139" spans="1:106" s="207" customFormat="1" x14ac:dyDescent="0.2">
      <c r="A139" s="1595" t="s">
        <v>359</v>
      </c>
      <c r="B139" s="1924" t="s">
        <v>673</v>
      </c>
      <c r="C139" s="1924" t="s">
        <v>673</v>
      </c>
      <c r="D139" s="1924" t="s">
        <v>673</v>
      </c>
      <c r="E139" s="1924" t="s">
        <v>673</v>
      </c>
      <c r="F139" s="1890" t="s">
        <v>673</v>
      </c>
      <c r="G139" s="1924" t="s">
        <v>673</v>
      </c>
      <c r="H139" s="1924" t="s">
        <v>673</v>
      </c>
      <c r="I139" s="1924" t="s">
        <v>673</v>
      </c>
      <c r="J139" s="1924" t="s">
        <v>673</v>
      </c>
      <c r="K139" s="1890" t="s">
        <v>673</v>
      </c>
      <c r="L139" s="1924" t="s">
        <v>673</v>
      </c>
      <c r="M139" s="1924" t="s">
        <v>673</v>
      </c>
      <c r="N139" s="1924" t="s">
        <v>673</v>
      </c>
      <c r="O139" s="1924" t="s">
        <v>673</v>
      </c>
      <c r="P139" s="1890" t="s">
        <v>673</v>
      </c>
      <c r="Q139" s="1043">
        <f t="shared" ref="Q139:AV139" si="154">+Q655</f>
        <v>7.0000000000000001E-3</v>
      </c>
      <c r="R139" s="1043">
        <f t="shared" si="154"/>
        <v>-1.7000000000000001E-2</v>
      </c>
      <c r="S139" s="1043">
        <f t="shared" si="154"/>
        <v>-0.01</v>
      </c>
      <c r="T139" s="1043">
        <f t="shared" si="154"/>
        <v>0</v>
      </c>
      <c r="U139" s="1953">
        <f t="shared" si="154"/>
        <v>-3.0000000000000001E-3</v>
      </c>
      <c r="V139" s="1043">
        <f t="shared" si="154"/>
        <v>6.0000000000000001E-3</v>
      </c>
      <c r="W139" s="1043">
        <f t="shared" si="154"/>
        <v>0.02</v>
      </c>
      <c r="X139" s="1043">
        <f t="shared" si="154"/>
        <v>1.4999999999999999E-2</v>
      </c>
      <c r="Y139" s="1043">
        <f t="shared" si="154"/>
        <v>2.9000000000000001E-2</v>
      </c>
      <c r="Z139" s="1953">
        <f t="shared" si="154"/>
        <v>1.9E-2</v>
      </c>
      <c r="AA139" s="1043">
        <f t="shared" si="154"/>
        <v>1.7999999999999999E-2</v>
      </c>
      <c r="AB139" s="1043">
        <f t="shared" si="154"/>
        <v>2.1000000000000001E-2</v>
      </c>
      <c r="AC139" s="1043">
        <f t="shared" si="154"/>
        <v>1.7000000000000001E-2</v>
      </c>
      <c r="AD139" s="1043">
        <f t="shared" si="154"/>
        <v>3.2000000000000001E-2</v>
      </c>
      <c r="AE139" s="1953">
        <f t="shared" si="154"/>
        <v>2.3E-2</v>
      </c>
      <c r="AF139" s="1043">
        <f t="shared" si="154"/>
        <v>2.5999999999999999E-2</v>
      </c>
      <c r="AG139" s="1043">
        <f t="shared" si="154"/>
        <v>2.1999999999999999E-2</v>
      </c>
      <c r="AH139" s="1043">
        <f t="shared" si="154"/>
        <v>5.0000000000000001E-3</v>
      </c>
      <c r="AI139" s="1043">
        <f t="shared" si="154"/>
        <v>-5.0000000000000001E-3</v>
      </c>
      <c r="AJ139" s="1953">
        <f t="shared" si="154"/>
        <v>0.01</v>
      </c>
      <c r="AK139" s="1043">
        <f t="shared" si="154"/>
        <v>-1.4E-2</v>
      </c>
      <c r="AL139" s="1043">
        <f t="shared" si="154"/>
        <v>-3.0000000000000001E-3</v>
      </c>
      <c r="AM139" s="1043">
        <f t="shared" si="154"/>
        <v>4.0000000000000001E-3</v>
      </c>
      <c r="AN139" s="1043">
        <f t="shared" si="154"/>
        <v>-1E-3</v>
      </c>
      <c r="AO139" s="1953">
        <f t="shared" si="154"/>
        <v>-3.0000000000000001E-3</v>
      </c>
      <c r="AP139" s="1043">
        <f t="shared" si="154"/>
        <v>-1.4999999999999999E-2</v>
      </c>
      <c r="AQ139" s="1043">
        <f t="shared" si="154"/>
        <v>-3.5000000000000003E-2</v>
      </c>
      <c r="AR139" s="1043">
        <f t="shared" si="154"/>
        <v>-3.2000000000000001E-2</v>
      </c>
      <c r="AS139" s="1043">
        <f t="shared" si="154"/>
        <v>-6.3E-2</v>
      </c>
      <c r="AT139" s="1953">
        <f t="shared" si="154"/>
        <v>-3.9E-2</v>
      </c>
      <c r="AU139" s="1043">
        <f t="shared" si="154"/>
        <v>-5.8000000000000003E-2</v>
      </c>
      <c r="AV139" s="1043">
        <f t="shared" si="154"/>
        <v>-6.8000000000000005E-2</v>
      </c>
      <c r="AW139" s="1043">
        <f t="shared" ref="AW139:CF139" si="155">+AW655</f>
        <v>-6.7000000000000004E-2</v>
      </c>
      <c r="AX139" s="1043">
        <f t="shared" si="155"/>
        <v>-0.03</v>
      </c>
      <c r="AY139" s="1953">
        <f t="shared" si="155"/>
        <v>-5.8000000000000003E-2</v>
      </c>
      <c r="AZ139" s="1043">
        <f t="shared" si="155"/>
        <v>8.9999999999999993E-3</v>
      </c>
      <c r="BA139" s="1043">
        <f t="shared" si="155"/>
        <v>3.1E-2</v>
      </c>
      <c r="BB139" s="1043">
        <f t="shared" si="155"/>
        <v>4.3999999999999997E-2</v>
      </c>
      <c r="BC139" s="1043">
        <f t="shared" si="155"/>
        <v>3.4000000000000002E-2</v>
      </c>
      <c r="BD139" s="1953">
        <f t="shared" si="155"/>
        <v>2.9000000000000001E-2</v>
      </c>
      <c r="BE139" s="1043">
        <f t="shared" si="155"/>
        <v>2.9000000000000001E-2</v>
      </c>
      <c r="BF139" s="1043">
        <f t="shared" si="155"/>
        <v>3.5000000000000003E-2</v>
      </c>
      <c r="BG139" s="1043">
        <f t="shared" si="155"/>
        <v>3.1E-2</v>
      </c>
      <c r="BH139" s="1043">
        <f t="shared" si="155"/>
        <v>3.1E-2</v>
      </c>
      <c r="BI139" s="1953">
        <f t="shared" si="155"/>
        <v>3.1E-2</v>
      </c>
      <c r="BJ139" s="1043">
        <f t="shared" si="155"/>
        <v>0.03</v>
      </c>
      <c r="BK139" s="1043">
        <f t="shared" si="155"/>
        <v>2.3E-2</v>
      </c>
      <c r="BL139" s="1043">
        <f t="shared" si="155"/>
        <v>8.0000000000000002E-3</v>
      </c>
      <c r="BM139" s="1043">
        <f t="shared" si="155"/>
        <v>8.9999999999999993E-3</v>
      </c>
      <c r="BN139" s="1545">
        <f t="shared" si="155"/>
        <v>1.7000000000000001E-2</v>
      </c>
      <c r="BO139" s="1043">
        <f t="shared" si="155"/>
        <v>3.0000000000000001E-3</v>
      </c>
      <c r="BP139" s="1043">
        <f t="shared" si="155"/>
        <v>5.0000000000000001E-3</v>
      </c>
      <c r="BQ139" s="1043">
        <f t="shared" si="155"/>
        <v>1.0999999999999999E-2</v>
      </c>
      <c r="BR139" s="1043">
        <f t="shared" si="155"/>
        <v>7.0000000000000001E-3</v>
      </c>
      <c r="BS139" s="1545">
        <f t="shared" si="155"/>
        <v>6.0000000000000001E-3</v>
      </c>
      <c r="BT139" s="1043">
        <f t="shared" si="155"/>
        <v>1.4E-2</v>
      </c>
      <c r="BU139" s="1043">
        <f t="shared" si="155"/>
        <v>0.02</v>
      </c>
      <c r="BV139" s="1043">
        <f t="shared" si="155"/>
        <v>2.7E-2</v>
      </c>
      <c r="BW139" s="1043">
        <f t="shared" si="155"/>
        <v>2.4E-2</v>
      </c>
      <c r="BX139" s="1545">
        <f t="shared" si="155"/>
        <v>2.1999999999999999E-2</v>
      </c>
      <c r="BY139" s="1043">
        <f t="shared" si="155"/>
        <v>0.02</v>
      </c>
      <c r="BZ139" s="1043">
        <f t="shared" si="155"/>
        <v>-1E-3</v>
      </c>
      <c r="CA139" s="1043">
        <f t="shared" si="155"/>
        <v>-3.0000000000000001E-3</v>
      </c>
      <c r="CB139" s="2882">
        <f t="shared" si="155"/>
        <v>-3.0000000000000001E-3</v>
      </c>
      <c r="CC139" s="2881">
        <f t="shared" si="155"/>
        <v>3.0000000000000001E-3</v>
      </c>
      <c r="CD139" s="2882">
        <f t="shared" si="155"/>
        <v>-0.01</v>
      </c>
      <c r="CE139" s="2882">
        <f t="shared" si="155"/>
        <v>-4.0000000000000001E-3</v>
      </c>
      <c r="CF139" s="2882">
        <f t="shared" si="155"/>
        <v>-5.0000000000000001E-3</v>
      </c>
      <c r="CG139" s="2882"/>
      <c r="CH139" s="1545"/>
      <c r="CI139" s="1546"/>
      <c r="CJ139" s="1546"/>
      <c r="CK139" s="1546"/>
      <c r="CL139" s="1546"/>
      <c r="CM139" s="1545"/>
      <c r="CN139" s="1546"/>
      <c r="CO139" s="1546"/>
      <c r="CP139" s="1546"/>
      <c r="CQ139" s="3035"/>
      <c r="CR139" s="3035"/>
      <c r="CS139" s="1545"/>
      <c r="CT139" s="1545"/>
      <c r="CV139" s="537"/>
      <c r="CW139" s="537"/>
      <c r="CX139" s="537"/>
      <c r="DA139" s="212"/>
      <c r="DB139" s="1226"/>
    </row>
    <row r="140" spans="1:106" s="207" customFormat="1" x14ac:dyDescent="0.2">
      <c r="A140" s="1434" t="s">
        <v>667</v>
      </c>
      <c r="B140" s="1479"/>
      <c r="C140" s="1479"/>
      <c r="D140" s="1479"/>
      <c r="E140" s="1479"/>
      <c r="F140" s="1481">
        <f>+SUMPRODUCT(B140:E140,$BJ$4:$BM$4)/$BN$4</f>
        <v>0</v>
      </c>
      <c r="G140" s="1479">
        <v>0.69899999999999995</v>
      </c>
      <c r="H140" s="1479">
        <v>0.69899999999999995</v>
      </c>
      <c r="I140" s="1479">
        <v>0.69899999999999995</v>
      </c>
      <c r="J140" s="1479">
        <v>0.69899999999999995</v>
      </c>
      <c r="K140" s="1481">
        <f>+SUMPRODUCT(G140:J140,$BJ$4:$BM$4)/$BN$4</f>
        <v>0.69899999999999995</v>
      </c>
      <c r="L140" s="1479">
        <v>0.69899999999999995</v>
      </c>
      <c r="M140" s="1479">
        <v>0.73799999999999999</v>
      </c>
      <c r="N140" s="1479">
        <v>0.76300000000000001</v>
      </c>
      <c r="O140" s="1479">
        <v>0.73399999999999999</v>
      </c>
      <c r="P140" s="1481">
        <f>+SUMPRODUCT(L140:O140,$BJ$4:$BM$4)/$BN$4</f>
        <v>0.73353846153846169</v>
      </c>
      <c r="Q140" s="1479">
        <v>0.66500000000000004</v>
      </c>
      <c r="R140" s="1479">
        <v>0.71699999999999997</v>
      </c>
      <c r="S140" s="1479">
        <v>0.77800000000000002</v>
      </c>
      <c r="T140" s="1479">
        <v>0.68500000000000005</v>
      </c>
      <c r="U140" s="1481">
        <f>+SUMPRODUCT(Q140:T140,$BJ$4:$BM$4)/$BN$4</f>
        <v>0.70923076923076911</v>
      </c>
      <c r="V140" s="1479">
        <v>0.69699999999999995</v>
      </c>
      <c r="W140" s="1479">
        <v>0.78</v>
      </c>
      <c r="X140" s="1479">
        <v>0.80500000000000005</v>
      </c>
      <c r="Y140" s="1479">
        <v>0.749</v>
      </c>
      <c r="Z140" s="1481">
        <f>+SUMPRODUCT(V140:Y140,$BJ$4:$BM$4)/$BN$4</f>
        <v>0.75707692307692309</v>
      </c>
      <c r="AA140" s="1479">
        <v>0.71</v>
      </c>
      <c r="AB140" s="1479">
        <v>0.78</v>
      </c>
      <c r="AC140" s="1479">
        <v>0.80400000000000005</v>
      </c>
      <c r="AD140" s="1479">
        <v>0.7409907657163507</v>
      </c>
      <c r="AE140" s="1481">
        <f>+SUMPRODUCT(AA140:AD140,$BJ$4:$BM$4)/$BN$4</f>
        <v>0.75738177406656937</v>
      </c>
      <c r="AF140" s="1479">
        <v>0.72723621332215693</v>
      </c>
      <c r="AG140" s="1479">
        <v>0.76082939036141117</v>
      </c>
      <c r="AH140" s="1479">
        <v>0.77616870374794411</v>
      </c>
      <c r="AI140" s="1479">
        <v>0.71469664296900248</v>
      </c>
      <c r="AJ140" s="1481">
        <f>+SUMPRODUCT(AF140:AI140,$BJ$4:$BM$4)/$BN$4</f>
        <v>0.74242226878234963</v>
      </c>
      <c r="AK140" s="1479">
        <v>0.6892458788879996</v>
      </c>
      <c r="AL140" s="1479">
        <v>0.76700000000000002</v>
      </c>
      <c r="AM140" s="1479">
        <v>0.78800000000000003</v>
      </c>
      <c r="AN140" s="1479">
        <v>0.70499999999999996</v>
      </c>
      <c r="AO140" s="1481">
        <f>+SUMPRODUCT(AK140:AN140,$BJ$4:$BM$4)/$BN$4</f>
        <v>0.73482597205107691</v>
      </c>
      <c r="AP140" s="1479">
        <v>0.66900000000000004</v>
      </c>
      <c r="AQ140" s="1479">
        <v>0.73499999999999999</v>
      </c>
      <c r="AR140" s="1479">
        <v>0.749</v>
      </c>
      <c r="AS140" s="1479">
        <v>0.64200000000000002</v>
      </c>
      <c r="AT140" s="1481">
        <f>+SUMPRODUCT(AP140:AS140,$BJ$4:$BM$4)/$BN$4</f>
        <v>0.69438461538461538</v>
      </c>
      <c r="AU140" s="1479">
        <v>0.58599999999999997</v>
      </c>
      <c r="AV140" s="1479">
        <v>0.65100000000000002</v>
      </c>
      <c r="AW140" s="1479">
        <v>0.69399999999999995</v>
      </c>
      <c r="AX140" s="1479">
        <v>0.59299999999999997</v>
      </c>
      <c r="AY140" s="1481">
        <f>+SUMPRODUCT(AU140:AX140,$BJ$4:$BM$4)/$BN$4</f>
        <v>0.62807692307692309</v>
      </c>
      <c r="AZ140" s="1479">
        <v>0.61299999999999999</v>
      </c>
      <c r="BA140" s="1479">
        <v>0.71199999999999997</v>
      </c>
      <c r="BB140" s="1479">
        <v>0.76400000000000001</v>
      </c>
      <c r="BC140" s="1479">
        <v>0.66700000000000004</v>
      </c>
      <c r="BD140" s="1481">
        <f>+SUMPRODUCT(AZ140:BC140,$BJ$4:$BM$4)/$BN$4</f>
        <v>0.68730769230769229</v>
      </c>
      <c r="BE140" s="1479">
        <v>0.66</v>
      </c>
      <c r="BF140" s="1479">
        <v>0.753</v>
      </c>
      <c r="BG140" s="1479">
        <v>0.78600000000000003</v>
      </c>
      <c r="BH140" s="1479">
        <v>0.69</v>
      </c>
      <c r="BI140" s="1481">
        <f>+SUMPRODUCT(BE140:BH140,$BJ$4:$BM$4)/$BN$4</f>
        <v>0.71976923076923072</v>
      </c>
      <c r="BJ140" s="1479">
        <v>0.68100000000000005</v>
      </c>
      <c r="BK140" s="1479">
        <v>0.75800000000000001</v>
      </c>
      <c r="BL140" s="1479">
        <v>0.78200000000000003</v>
      </c>
      <c r="BM140" s="1479">
        <v>0.68300000000000005</v>
      </c>
      <c r="BN140" s="1481">
        <f>+SUMPRODUCT(BJ140:BM140,$BJ$4:$BM$4)/$BN$4</f>
        <v>0.72269230769230786</v>
      </c>
      <c r="BO140" s="1479">
        <v>0.67100000000000004</v>
      </c>
      <c r="BP140" s="2164">
        <v>0.76</v>
      </c>
      <c r="BQ140" s="2164">
        <v>0.76900000000000002</v>
      </c>
      <c r="BR140" s="1479">
        <v>0.65800000000000003</v>
      </c>
      <c r="BS140" s="1998">
        <v>0.71499999999999997</v>
      </c>
      <c r="BT140" s="1479">
        <v>0.70499999999999996</v>
      </c>
      <c r="BU140" s="1479">
        <v>0.79300000000000004</v>
      </c>
      <c r="BV140" s="1479">
        <v>0.80100000000000005</v>
      </c>
      <c r="BW140" s="1479">
        <v>0.69399999999999995</v>
      </c>
      <c r="BX140" s="1998">
        <v>0.747</v>
      </c>
      <c r="BY140" s="1479">
        <v>0.70899999999999996</v>
      </c>
      <c r="BZ140" s="1479">
        <v>0.79300000000000004</v>
      </c>
      <c r="CA140" s="1479">
        <v>0.79800000000000004</v>
      </c>
      <c r="CB140" s="1479">
        <v>0.69199999999999995</v>
      </c>
      <c r="CC140" s="1481">
        <f>+SUMPRODUCT(BY140:CB140,$BT$4:$BW$4)/$BX$4</f>
        <v>0.74809041095890405</v>
      </c>
      <c r="CD140" s="1479">
        <v>0.70499999999999996</v>
      </c>
      <c r="CE140" s="1479">
        <v>0.79700000000000004</v>
      </c>
      <c r="CF140" s="1479">
        <v>0.79500000000000004</v>
      </c>
      <c r="CG140" s="3388"/>
      <c r="CH140" s="1481"/>
      <c r="CI140" s="1831"/>
      <c r="CJ140" s="1831"/>
      <c r="CK140" s="1831"/>
      <c r="CL140" s="1831"/>
      <c r="CM140" s="1481"/>
      <c r="CN140" s="1831"/>
      <c r="CO140" s="1831"/>
      <c r="CP140" s="1831"/>
      <c r="CQ140" s="1611"/>
      <c r="CR140" s="1611"/>
      <c r="CS140" s="1480"/>
      <c r="CT140" s="1480"/>
      <c r="CV140" s="537"/>
      <c r="CW140" s="537"/>
      <c r="CX140" s="537"/>
      <c r="DA140" s="212"/>
      <c r="DB140" s="1226"/>
    </row>
    <row r="141" spans="1:106" s="207" customFormat="1" x14ac:dyDescent="0.2">
      <c r="A141" s="1595" t="s">
        <v>652</v>
      </c>
      <c r="B141" s="885"/>
      <c r="C141" s="885"/>
      <c r="D141" s="885"/>
      <c r="E141" s="885"/>
      <c r="F141" s="1044"/>
      <c r="G141" s="885"/>
      <c r="H141" s="885"/>
      <c r="I141" s="885"/>
      <c r="J141" s="885"/>
      <c r="K141" s="1044"/>
      <c r="L141" s="885">
        <f>L140/G140-1</f>
        <v>0</v>
      </c>
      <c r="M141" s="885">
        <f>M140/H140-1</f>
        <v>5.579399141630903E-2</v>
      </c>
      <c r="N141" s="885">
        <f>N140/I140-1</f>
        <v>9.1559370529327611E-2</v>
      </c>
      <c r="O141" s="885">
        <f>O140/J140-1</f>
        <v>5.0071530758226013E-2</v>
      </c>
      <c r="P141" s="1044">
        <f>+P140/K140-1</f>
        <v>4.9411246836139844E-2</v>
      </c>
      <c r="Q141" s="885">
        <f>Q140/L140-1</f>
        <v>-4.8640915593705203E-2</v>
      </c>
      <c r="R141" s="885">
        <f>R140/M140-1</f>
        <v>-2.8455284552845517E-2</v>
      </c>
      <c r="S141" s="885">
        <f>S140/N140-1</f>
        <v>1.9659239842725995E-2</v>
      </c>
      <c r="T141" s="885">
        <f>T140/O140-1</f>
        <v>-6.675749318801083E-2</v>
      </c>
      <c r="U141" s="1044">
        <f>+U140/P140-1</f>
        <v>-3.3137583892617783E-2</v>
      </c>
      <c r="V141" s="885">
        <f>V140/Q140-1</f>
        <v>4.8120300751879563E-2</v>
      </c>
      <c r="W141" s="885">
        <f>W140/R140-1</f>
        <v>8.7866108786611052E-2</v>
      </c>
      <c r="X141" s="885">
        <f>X140/S140-1</f>
        <v>3.470437017994854E-2</v>
      </c>
      <c r="Y141" s="885">
        <f>Y140/T140-1</f>
        <v>9.3430656934306411E-2</v>
      </c>
      <c r="Z141" s="1044">
        <f>+Z140/U140-1</f>
        <v>6.7462039045553368E-2</v>
      </c>
      <c r="AA141" s="885">
        <f>AA140/V140-1</f>
        <v>1.865136298421799E-2</v>
      </c>
      <c r="AB141" s="885">
        <f>AB140/W140-1</f>
        <v>0</v>
      </c>
      <c r="AC141" s="885">
        <f>AC140/X140-1</f>
        <v>-1.242236024844745E-3</v>
      </c>
      <c r="AD141" s="885">
        <f>AD140/Y140-1</f>
        <v>-1.0693236693790742E-2</v>
      </c>
      <c r="AE141" s="1044">
        <f>+AE140/Z140-1</f>
        <v>4.0266844801895019E-4</v>
      </c>
      <c r="AF141" s="885">
        <f>AF140/AA140-1</f>
        <v>2.4276356791770315E-2</v>
      </c>
      <c r="AG141" s="885">
        <f>AG140/AB140-1</f>
        <v>-2.4577704664857536E-2</v>
      </c>
      <c r="AH141" s="885">
        <f>AH140/AC140-1</f>
        <v>-3.4616040114497482E-2</v>
      </c>
      <c r="AI141" s="885">
        <f>AI140/AD140-1</f>
        <v>-3.5485088295167166E-2</v>
      </c>
      <c r="AJ141" s="1044">
        <f>+AJ140/AE140-1</f>
        <v>-1.9751604536109246E-2</v>
      </c>
      <c r="AK141" s="885">
        <f>AK140/AF140-1</f>
        <v>-5.2239332610528377E-2</v>
      </c>
      <c r="AL141" s="885">
        <f>AL140/AG140-1</f>
        <v>8.1103723341413581E-3</v>
      </c>
      <c r="AM141" s="885">
        <f>AM140/AH140-1</f>
        <v>1.5243201890162927E-2</v>
      </c>
      <c r="AN141" s="885">
        <f>AN140/AI140-1</f>
        <v>-1.3567494774734956E-2</v>
      </c>
      <c r="AO141" s="1044">
        <f>+AO140/AJ140-1</f>
        <v>-1.0231773817522272E-2</v>
      </c>
      <c r="AP141" s="885">
        <f>AP140/AK140-1</f>
        <v>-2.9373957114786631E-2</v>
      </c>
      <c r="AQ141" s="885">
        <f>AQ140/AL140-1</f>
        <v>-4.1720990873533315E-2</v>
      </c>
      <c r="AR141" s="885">
        <f>AR140/AM140-1</f>
        <v>-4.949238578680204E-2</v>
      </c>
      <c r="AS141" s="885">
        <f>AS140/AN140-1</f>
        <v>-8.9361702127659481E-2</v>
      </c>
      <c r="AT141" s="1044">
        <f>+AT140/AO140-1</f>
        <v>-5.5035284822037456E-2</v>
      </c>
      <c r="AU141" s="885">
        <f>AU140/AP140-1</f>
        <v>-0.12406576980568018</v>
      </c>
      <c r="AV141" s="885">
        <f>AV140/AQ140-1</f>
        <v>-0.11428571428571421</v>
      </c>
      <c r="AW141" s="885">
        <f>AW140/AR140-1</f>
        <v>-7.3431241655540824E-2</v>
      </c>
      <c r="AX141" s="885">
        <f>AX140/AS140-1</f>
        <v>-7.6323987538940874E-2</v>
      </c>
      <c r="AY141" s="1044">
        <f>+AY140/AT140-1</f>
        <v>-9.5491303866179211E-2</v>
      </c>
      <c r="AZ141" s="885">
        <f>AZ140/AU140-1</f>
        <v>4.6075085324232212E-2</v>
      </c>
      <c r="BA141" s="885">
        <f>BA140/AV140-1</f>
        <v>9.3701996927803233E-2</v>
      </c>
      <c r="BB141" s="885">
        <f>BB140/AW140-1</f>
        <v>0.10086455331412103</v>
      </c>
      <c r="BC141" s="885">
        <f>BC140/AX140-1</f>
        <v>0.12478920741989885</v>
      </c>
      <c r="BD141" s="1044">
        <f>+BD140/AY140-1</f>
        <v>9.4304960195958243E-2</v>
      </c>
      <c r="BE141" s="885">
        <f>BE140/AZ140-1</f>
        <v>7.6672104404567731E-2</v>
      </c>
      <c r="BF141" s="885">
        <f>BF140/BA140-1</f>
        <v>5.7584269662921406E-2</v>
      </c>
      <c r="BG141" s="885">
        <f>BG140/BB140-1</f>
        <v>2.8795811518324665E-2</v>
      </c>
      <c r="BH141" s="885">
        <f>BH140/BC140-1</f>
        <v>3.4482758620689502E-2</v>
      </c>
      <c r="BI141" s="1044">
        <f>+BI140/BD140-1</f>
        <v>4.7229994404029085E-2</v>
      </c>
      <c r="BJ141" s="885">
        <f>BJ140/BE140-1</f>
        <v>3.1818181818181746E-2</v>
      </c>
      <c r="BK141" s="885">
        <f>BK140/BF140-1</f>
        <v>6.6401062416998613E-3</v>
      </c>
      <c r="BL141" s="885">
        <f>BL140/BG140-1</f>
        <v>-5.0890585241730735E-3</v>
      </c>
      <c r="BM141" s="885">
        <f>BM140/BH140-1</f>
        <v>-1.0144927536231751E-2</v>
      </c>
      <c r="BN141" s="1280">
        <f>+BN140/BI140-1</f>
        <v>4.0611307042859313E-3</v>
      </c>
      <c r="BO141" s="885">
        <f>BO140/BJ140-1</f>
        <v>-1.4684287812041119E-2</v>
      </c>
      <c r="BP141" s="885">
        <f>BP140/BK140-1</f>
        <v>2.6385224274405594E-3</v>
      </c>
      <c r="BQ141" s="885">
        <f>BQ140/BL140-1</f>
        <v>-1.6624040920716121E-2</v>
      </c>
      <c r="BR141" s="885">
        <f>BR140/BM140-1</f>
        <v>-3.6603221083455373E-2</v>
      </c>
      <c r="BS141" s="1280">
        <f>+BS140/BN140-1</f>
        <v>-1.0643959552953941E-2</v>
      </c>
      <c r="BT141" s="885">
        <f>BT140/BO140-1</f>
        <v>5.0670640834575176E-2</v>
      </c>
      <c r="BU141" s="885">
        <f>BU140/BP140-1</f>
        <v>4.3421052631579027E-2</v>
      </c>
      <c r="BV141" s="885">
        <f>BV140/BQ140-1</f>
        <v>4.1612483745123496E-2</v>
      </c>
      <c r="BW141" s="885">
        <f>BW140/BR140-1</f>
        <v>5.4711246200607855E-2</v>
      </c>
      <c r="BX141" s="1280">
        <f>+BX140/BS140-1</f>
        <v>4.4755244755244838E-2</v>
      </c>
      <c r="BY141" s="885">
        <f>BY140/BT140-1</f>
        <v>5.6737588652482351E-3</v>
      </c>
      <c r="BZ141" s="885">
        <f>BZ140/BU140-1</f>
        <v>0</v>
      </c>
      <c r="CA141" s="885">
        <f>CA140/BV140-1</f>
        <v>-3.7453183520599342E-3</v>
      </c>
      <c r="CB141" s="885">
        <f>CB140/BW140-1</f>
        <v>-2.8818443804035088E-3</v>
      </c>
      <c r="CC141" s="1280">
        <f>+CC140/BX140-1</f>
        <v>1.4597201591755038E-3</v>
      </c>
      <c r="CD141" s="885">
        <f>CD140/BY140-1</f>
        <v>-5.6417489421720646E-3</v>
      </c>
      <c r="CE141" s="885">
        <f>CE140/BZ140-1</f>
        <v>5.0441361916770955E-3</v>
      </c>
      <c r="CF141" s="885">
        <f>CF140/CA140-1</f>
        <v>-3.7593984962406291E-3</v>
      </c>
      <c r="CG141" s="885"/>
      <c r="CH141" s="1280"/>
      <c r="CI141" s="886"/>
      <c r="CJ141" s="886"/>
      <c r="CK141" s="886"/>
      <c r="CL141" s="886"/>
      <c r="CM141" s="1280"/>
      <c r="CN141" s="886"/>
      <c r="CO141" s="886"/>
      <c r="CP141" s="886"/>
      <c r="CQ141" s="1549"/>
      <c r="CR141" s="1549"/>
      <c r="CS141" s="1046"/>
      <c r="CT141" s="1046"/>
      <c r="CV141" s="537"/>
      <c r="CW141" s="537"/>
      <c r="CX141" s="537"/>
      <c r="DA141" s="212"/>
      <c r="DB141" s="1226"/>
    </row>
    <row r="142" spans="1:106" s="207" customFormat="1" x14ac:dyDescent="0.2">
      <c r="A142" s="1595" t="s">
        <v>359</v>
      </c>
      <c r="B142" s="1924" t="s">
        <v>673</v>
      </c>
      <c r="C142" s="1924" t="s">
        <v>673</v>
      </c>
      <c r="D142" s="1924" t="s">
        <v>673</v>
      </c>
      <c r="E142" s="1924" t="s">
        <v>673</v>
      </c>
      <c r="F142" s="1890" t="s">
        <v>673</v>
      </c>
      <c r="G142" s="1924" t="s">
        <v>673</v>
      </c>
      <c r="H142" s="1924" t="s">
        <v>673</v>
      </c>
      <c r="I142" s="1924" t="s">
        <v>673</v>
      </c>
      <c r="J142" s="1924" t="s">
        <v>673</v>
      </c>
      <c r="K142" s="1890" t="s">
        <v>673</v>
      </c>
      <c r="L142" s="1924" t="s">
        <v>673</v>
      </c>
      <c r="M142" s="1924" t="s">
        <v>673</v>
      </c>
      <c r="N142" s="1924" t="s">
        <v>673</v>
      </c>
      <c r="O142" s="1924" t="s">
        <v>673</v>
      </c>
      <c r="P142" s="1890" t="s">
        <v>673</v>
      </c>
      <c r="Q142" s="1043">
        <f>+Q659</f>
        <v>-1.6E-2</v>
      </c>
      <c r="R142" s="1043">
        <f t="shared" ref="R142:BL142" si="156">+R659</f>
        <v>-1.9E-2</v>
      </c>
      <c r="S142" s="1043">
        <f t="shared" si="156"/>
        <v>-1E-3</v>
      </c>
      <c r="T142" s="1043">
        <f t="shared" si="156"/>
        <v>2.4E-2</v>
      </c>
      <c r="U142" s="1953">
        <f t="shared" si="156"/>
        <v>0</v>
      </c>
      <c r="V142" s="1043">
        <f t="shared" si="156"/>
        <v>3.7999999999999999E-2</v>
      </c>
      <c r="W142" s="1043">
        <f t="shared" si="156"/>
        <v>6.4000000000000001E-2</v>
      </c>
      <c r="X142" s="1043">
        <f t="shared" si="156"/>
        <v>3.1E-2</v>
      </c>
      <c r="Y142" s="1043">
        <f t="shared" si="156"/>
        <v>0.04</v>
      </c>
      <c r="Z142" s="1953">
        <f t="shared" si="156"/>
        <v>4.2999999999999997E-2</v>
      </c>
      <c r="AA142" s="1043">
        <f t="shared" si="156"/>
        <v>1.4999999999999999E-2</v>
      </c>
      <c r="AB142" s="1043">
        <f t="shared" si="156"/>
        <v>-1E-3</v>
      </c>
      <c r="AC142" s="1043">
        <f t="shared" si="156"/>
        <v>1E-3</v>
      </c>
      <c r="AD142" s="1043">
        <f t="shared" si="156"/>
        <v>2.1999999999999999E-2</v>
      </c>
      <c r="AE142" s="1953">
        <f t="shared" si="156"/>
        <v>1.0999999999999999E-2</v>
      </c>
      <c r="AF142" s="1043">
        <f t="shared" si="156"/>
        <v>1.4999999999999999E-2</v>
      </c>
      <c r="AG142" s="1043">
        <f t="shared" si="156"/>
        <v>1.4E-2</v>
      </c>
      <c r="AH142" s="1043">
        <f t="shared" si="156"/>
        <v>2E-3</v>
      </c>
      <c r="AI142" s="1043">
        <f t="shared" si="156"/>
        <v>-2.5999999999999999E-2</v>
      </c>
      <c r="AJ142" s="1953">
        <f t="shared" si="156"/>
        <v>-2E-3</v>
      </c>
      <c r="AK142" s="1043">
        <f t="shared" si="156"/>
        <v>-3.9E-2</v>
      </c>
      <c r="AL142" s="1043">
        <f t="shared" si="156"/>
        <v>-2.9000000000000001E-2</v>
      </c>
      <c r="AM142" s="1043">
        <f t="shared" si="156"/>
        <v>-2.1999999999999999E-2</v>
      </c>
      <c r="AN142" s="1043">
        <f t="shared" si="156"/>
        <v>-1.2999999999999999E-2</v>
      </c>
      <c r="AO142" s="1953">
        <f t="shared" si="156"/>
        <v>-2.4E-2</v>
      </c>
      <c r="AP142" s="1043">
        <f t="shared" si="156"/>
        <v>-1.2E-2</v>
      </c>
      <c r="AQ142" s="1043">
        <f t="shared" si="156"/>
        <v>-2.5999999999999999E-2</v>
      </c>
      <c r="AR142" s="1043">
        <f t="shared" si="156"/>
        <v>-3.2000000000000001E-2</v>
      </c>
      <c r="AS142" s="1043">
        <f t="shared" si="156"/>
        <v>-5.2999999999999999E-2</v>
      </c>
      <c r="AT142" s="1953">
        <f t="shared" si="156"/>
        <v>-3.4000000000000002E-2</v>
      </c>
      <c r="AU142" s="1043">
        <f t="shared" si="156"/>
        <v>-7.0999999999999994E-2</v>
      </c>
      <c r="AV142" s="1043">
        <f t="shared" si="156"/>
        <v>-7.4999999999999997E-2</v>
      </c>
      <c r="AW142" s="1043">
        <f t="shared" si="156"/>
        <v>-5.2999999999999999E-2</v>
      </c>
      <c r="AX142" s="1043">
        <f t="shared" si="156"/>
        <v>-0.04</v>
      </c>
      <c r="AY142" s="1953">
        <f t="shared" si="156"/>
        <v>-6.5000000000000002E-2</v>
      </c>
      <c r="AZ142" s="1043">
        <f t="shared" si="156"/>
        <v>3.4000000000000002E-2</v>
      </c>
      <c r="BA142" s="1043">
        <f t="shared" si="156"/>
        <v>6.2E-2</v>
      </c>
      <c r="BB142" s="1043">
        <f t="shared" si="156"/>
        <v>7.0999999999999994E-2</v>
      </c>
      <c r="BC142" s="1043">
        <f t="shared" si="156"/>
        <v>7.2999999999999995E-2</v>
      </c>
      <c r="BD142" s="1953">
        <f t="shared" si="156"/>
        <v>6.0999999999999999E-2</v>
      </c>
      <c r="BE142" s="1043">
        <f t="shared" si="156"/>
        <v>5.3999999999999999E-2</v>
      </c>
      <c r="BF142" s="1043">
        <f t="shared" si="156"/>
        <v>4.7E-2</v>
      </c>
      <c r="BG142" s="1043">
        <f t="shared" si="156"/>
        <v>2.9000000000000001E-2</v>
      </c>
      <c r="BH142" s="1043">
        <f t="shared" si="156"/>
        <v>2.5000000000000001E-2</v>
      </c>
      <c r="BI142" s="1953">
        <f t="shared" si="156"/>
        <v>3.6999999999999998E-2</v>
      </c>
      <c r="BJ142" s="1043">
        <f t="shared" si="156"/>
        <v>2.3E-2</v>
      </c>
      <c r="BK142" s="1043">
        <f t="shared" si="156"/>
        <v>0.01</v>
      </c>
      <c r="BL142" s="1043">
        <f t="shared" si="156"/>
        <v>-4.0000000000000001E-3</v>
      </c>
      <c r="BM142" s="1043">
        <f t="shared" ref="BM142:BS142" si="157">+BM659</f>
        <v>-3.0000000000000001E-3</v>
      </c>
      <c r="BN142" s="1545">
        <f t="shared" si="157"/>
        <v>6.0000000000000001E-3</v>
      </c>
      <c r="BO142" s="1043">
        <f t="shared" si="157"/>
        <v>-1.2999999999999999E-2</v>
      </c>
      <c r="BP142" s="1043">
        <f t="shared" si="157"/>
        <v>-6.0000000000000001E-3</v>
      </c>
      <c r="BQ142" s="1043">
        <f t="shared" si="157"/>
        <v>2E-3</v>
      </c>
      <c r="BR142" s="1043">
        <f t="shared" si="157"/>
        <v>-3.0000000000000001E-3</v>
      </c>
      <c r="BS142" s="1545">
        <f t="shared" si="157"/>
        <v>-5.0000000000000001E-3</v>
      </c>
      <c r="BT142" s="1043">
        <f t="shared" ref="BT142:BY142" si="158">+BT659</f>
        <v>3.6999999999999998E-2</v>
      </c>
      <c r="BU142" s="1043">
        <f t="shared" si="158"/>
        <v>3.2000000000000001E-2</v>
      </c>
      <c r="BV142" s="1043">
        <f t="shared" si="158"/>
        <v>2.7E-2</v>
      </c>
      <c r="BW142" s="1043">
        <f t="shared" si="158"/>
        <v>3.1E-2</v>
      </c>
      <c r="BX142" s="1545">
        <f t="shared" si="158"/>
        <v>3.2000000000000001E-2</v>
      </c>
      <c r="BY142" s="1043">
        <f t="shared" si="158"/>
        <v>1.2E-2</v>
      </c>
      <c r="BZ142" s="1043">
        <f t="shared" ref="BZ142:CE142" si="159">+BZ659</f>
        <v>4.0000000000000001E-3</v>
      </c>
      <c r="CA142" s="1043">
        <f t="shared" si="159"/>
        <v>-3.0000000000000001E-3</v>
      </c>
      <c r="CB142" s="2882">
        <f t="shared" si="159"/>
        <v>-3.0000000000000001E-3</v>
      </c>
      <c r="CC142" s="2881">
        <f t="shared" si="159"/>
        <v>3.0000000000000001E-3</v>
      </c>
      <c r="CD142" s="2882">
        <f t="shared" si="159"/>
        <v>3.0000000000000001E-3</v>
      </c>
      <c r="CE142" s="2882">
        <f t="shared" si="159"/>
        <v>1.0999999999999999E-2</v>
      </c>
      <c r="CF142" s="2882">
        <f>+CF659</f>
        <v>-3.0000000000000001E-3</v>
      </c>
      <c r="CG142" s="2882"/>
      <c r="CH142" s="1545"/>
      <c r="CI142" s="1546"/>
      <c r="CJ142" s="1546"/>
      <c r="CK142" s="1546"/>
      <c r="CL142" s="1546"/>
      <c r="CM142" s="1545"/>
      <c r="CN142" s="1546"/>
      <c r="CO142" s="1546"/>
      <c r="CP142" s="1546"/>
      <c r="CQ142" s="3035"/>
      <c r="CR142" s="3035"/>
      <c r="CS142" s="1545"/>
      <c r="CT142" s="1545"/>
      <c r="CV142" s="537"/>
      <c r="CW142" s="537"/>
      <c r="CX142" s="537"/>
      <c r="DA142" s="212"/>
      <c r="DB142" s="1226"/>
    </row>
    <row r="143" spans="1:106" s="207" customFormat="1" x14ac:dyDescent="0.2">
      <c r="A143" s="1434" t="s">
        <v>515</v>
      </c>
      <c r="B143" s="1479"/>
      <c r="C143" s="1479"/>
      <c r="D143" s="1479"/>
      <c r="E143" s="1479"/>
      <c r="F143" s="1481">
        <f>+SUMPRODUCT(B143:E143,$BJ$4:$BM$4)/$BN$4</f>
        <v>0</v>
      </c>
      <c r="G143" s="1479">
        <v>0.67700000000000005</v>
      </c>
      <c r="H143" s="1479">
        <v>0.67700000000000005</v>
      </c>
      <c r="I143" s="1479">
        <v>0.67700000000000005</v>
      </c>
      <c r="J143" s="1479">
        <v>0.67700000000000005</v>
      </c>
      <c r="K143" s="1481">
        <f>+SUMPRODUCT(G143:J143,$BJ$4:$BM$4)/$BN$4</f>
        <v>0.67700000000000005</v>
      </c>
      <c r="L143" s="1479">
        <v>0.67700000000000005</v>
      </c>
      <c r="M143" s="1479">
        <v>0.67200000000000004</v>
      </c>
      <c r="N143" s="1479">
        <v>0.69200000000000006</v>
      </c>
      <c r="O143" s="1479">
        <v>0.67400000000000004</v>
      </c>
      <c r="P143" s="1481">
        <f>+SUMPRODUCT(L143:O143,$BJ$4:$BM$4)/$BN$4</f>
        <v>0.67838461538461547</v>
      </c>
      <c r="Q143" s="1479">
        <v>0.66300000000000003</v>
      </c>
      <c r="R143" s="1479">
        <v>0.70799999999999996</v>
      </c>
      <c r="S143" s="1479">
        <v>0.71699999999999997</v>
      </c>
      <c r="T143" s="1479">
        <v>0.65500000000000003</v>
      </c>
      <c r="U143" s="1481">
        <f>+SUMPRODUCT(Q143:T143,$BJ$4:$BM$4)/$BN$4</f>
        <v>0.68338461538461537</v>
      </c>
      <c r="V143" s="1479">
        <v>0.67900000000000005</v>
      </c>
      <c r="W143" s="1479">
        <v>0.74099999999999999</v>
      </c>
      <c r="X143" s="1479">
        <v>0.75600000000000001</v>
      </c>
      <c r="Y143" s="1479">
        <v>0.71499999999999997</v>
      </c>
      <c r="Z143" s="1481">
        <f>+SUMPRODUCT(V143:Y143,$BJ$4:$BM$4)/$BN$4</f>
        <v>0.72215384615384604</v>
      </c>
      <c r="AA143" s="1479">
        <v>0.69699999999999995</v>
      </c>
      <c r="AB143" s="1479">
        <v>0.76700000000000002</v>
      </c>
      <c r="AC143" s="1479">
        <v>0.77</v>
      </c>
      <c r="AD143" s="1479">
        <v>0.72521617535903249</v>
      </c>
      <c r="AE143" s="1481">
        <f>+SUMPRODUCT(AA143:AD143,$BJ$4:$BM$4)/$BN$4</f>
        <v>0.73868190011047163</v>
      </c>
      <c r="AF143" s="1479">
        <v>0.70853748736878297</v>
      </c>
      <c r="AG143" s="1479">
        <v>0.74543286237645268</v>
      </c>
      <c r="AH143" s="1479">
        <v>0.75452382210176661</v>
      </c>
      <c r="AI143" s="1479">
        <v>0.70968731202340962</v>
      </c>
      <c r="AJ143" s="1481">
        <f>+SUMPRODUCT(AF143:AI143,$BJ$4:$BM$4)/$BN$4</f>
        <v>0.72801782797189585</v>
      </c>
      <c r="AK143" s="1479">
        <v>0.68973417969587292</v>
      </c>
      <c r="AL143" s="1479">
        <v>0.77700000000000002</v>
      </c>
      <c r="AM143" s="1479">
        <v>0.77500000000000002</v>
      </c>
      <c r="AN143" s="1479">
        <v>0.69899999999999995</v>
      </c>
      <c r="AO143" s="1481">
        <f>+SUMPRODUCT(AK143:AN143,$BJ$4:$BM$4)/$BN$4</f>
        <v>0.73240019531443223</v>
      </c>
      <c r="AP143" s="1479">
        <v>0.67200000000000004</v>
      </c>
      <c r="AQ143" s="1479">
        <v>0.73899999999999999</v>
      </c>
      <c r="AR143" s="1479">
        <v>0.73199999999999998</v>
      </c>
      <c r="AS143" s="1479">
        <v>0.63200000000000001</v>
      </c>
      <c r="AT143" s="1481">
        <f>+SUMPRODUCT(AP143:AS143,$BJ$4:$BM$4)/$BN$4</f>
        <v>0.68899999999999995</v>
      </c>
      <c r="AU143" s="1479">
        <v>0.59199999999999997</v>
      </c>
      <c r="AV143" s="1479">
        <v>0.65500000000000003</v>
      </c>
      <c r="AW143" s="1479">
        <v>0.66900000000000004</v>
      </c>
      <c r="AX143" s="1479">
        <v>0.59899999999999998</v>
      </c>
      <c r="AY143" s="1481">
        <f>+SUMPRODUCT(AU143:AX143,$BJ$4:$BM$4)/$BN$4</f>
        <v>0.6264615384615384</v>
      </c>
      <c r="AZ143" s="1479">
        <v>0.61099999999999999</v>
      </c>
      <c r="BA143" s="1479">
        <v>0.69099999999999995</v>
      </c>
      <c r="BB143" s="1479">
        <v>0.70599999999999996</v>
      </c>
      <c r="BC143" s="1479">
        <v>0.628</v>
      </c>
      <c r="BD143" s="1481">
        <f>+SUMPRODUCT(AZ143:BC143,$BJ$4:$BM$4)/$BN$4</f>
        <v>0.6566153846153846</v>
      </c>
      <c r="BE143" s="1479">
        <v>0.63600000000000001</v>
      </c>
      <c r="BF143" s="1479">
        <v>0.71699999999999997</v>
      </c>
      <c r="BG143" s="1479">
        <v>0.74099999999999999</v>
      </c>
      <c r="BH143" s="1479">
        <v>0.65500000000000003</v>
      </c>
      <c r="BI143" s="1481">
        <f>+SUMPRODUCT(BE143:BH143,$BJ$4:$BM$4)/$BN$4</f>
        <v>0.68476923076923069</v>
      </c>
      <c r="BJ143" s="1479">
        <v>0.65800000000000003</v>
      </c>
      <c r="BK143" s="1479">
        <v>0.748</v>
      </c>
      <c r="BL143" s="1479">
        <v>0.75900000000000001</v>
      </c>
      <c r="BM143" s="1479">
        <v>0.68300000000000005</v>
      </c>
      <c r="BN143" s="1481">
        <f>+SUMPRODUCT(BJ143:BM143,$BJ$4:$BM$4)/$BN$4</f>
        <v>0.70976923076923071</v>
      </c>
      <c r="BO143" s="1479">
        <v>0.67900000000000005</v>
      </c>
      <c r="BP143" s="2164">
        <v>0.76900000000000002</v>
      </c>
      <c r="BQ143" s="2164">
        <v>0.75900000000000001</v>
      </c>
      <c r="BR143" s="1479">
        <v>0.68100000000000005</v>
      </c>
      <c r="BS143" s="1998">
        <v>0.72199999999999998</v>
      </c>
      <c r="BT143" s="1479">
        <v>0.70299999999999996</v>
      </c>
      <c r="BU143" s="1479">
        <v>0.78900000000000003</v>
      </c>
      <c r="BV143" s="1479">
        <v>0.78600000000000003</v>
      </c>
      <c r="BW143" s="1479">
        <v>0.70299999999999996</v>
      </c>
      <c r="BX143" s="1998">
        <v>0.746</v>
      </c>
      <c r="BY143" s="1479">
        <v>0.71299999999999997</v>
      </c>
      <c r="BZ143" s="1479">
        <v>0.78700000000000003</v>
      </c>
      <c r="CA143" s="1479">
        <v>0.78900000000000003</v>
      </c>
      <c r="CB143" s="1479">
        <v>0.70399999999999996</v>
      </c>
      <c r="CC143" s="1481">
        <f>+SUMPRODUCT(BY143:CB143,$BT$4:$BW$4)/$BX$4</f>
        <v>0.74833698630136991</v>
      </c>
      <c r="CD143" s="1479">
        <v>0.70499999999999996</v>
      </c>
      <c r="CE143" s="1479">
        <v>0.79500000000000004</v>
      </c>
      <c r="CF143" s="1479">
        <v>0.78600000000000003</v>
      </c>
      <c r="CG143" s="3388"/>
      <c r="CH143" s="1481"/>
      <c r="CI143" s="1831"/>
      <c r="CJ143" s="1831"/>
      <c r="CK143" s="1831"/>
      <c r="CL143" s="1831"/>
      <c r="CM143" s="1481"/>
      <c r="CN143" s="1831"/>
      <c r="CO143" s="1831"/>
      <c r="CP143" s="1831"/>
      <c r="CQ143" s="1611"/>
      <c r="CR143" s="1611"/>
      <c r="CS143" s="1480"/>
      <c r="CT143" s="1480"/>
      <c r="CV143" s="537"/>
      <c r="CW143" s="537"/>
      <c r="CX143" s="537"/>
      <c r="DA143" s="212"/>
      <c r="DB143" s="1226"/>
    </row>
    <row r="144" spans="1:106" s="207" customFormat="1" x14ac:dyDescent="0.2">
      <c r="A144" s="1595" t="s">
        <v>652</v>
      </c>
      <c r="B144" s="885"/>
      <c r="C144" s="885"/>
      <c r="D144" s="885"/>
      <c r="E144" s="885"/>
      <c r="F144" s="1044"/>
      <c r="G144" s="885"/>
      <c r="H144" s="885"/>
      <c r="I144" s="885"/>
      <c r="J144" s="885"/>
      <c r="K144" s="1044"/>
      <c r="L144" s="885">
        <f>L143/G143-1</f>
        <v>0</v>
      </c>
      <c r="M144" s="885">
        <f>M143/H143-1</f>
        <v>-7.3855243722303898E-3</v>
      </c>
      <c r="N144" s="885">
        <f>N143/I143-1</f>
        <v>2.215657311669128E-2</v>
      </c>
      <c r="O144" s="885">
        <f>O143/J143-1</f>
        <v>-4.4313146233382339E-3</v>
      </c>
      <c r="P144" s="1044">
        <f>+P143/K143-1</f>
        <v>2.045222133848501E-3</v>
      </c>
      <c r="Q144" s="885">
        <f>Q143/L143-1</f>
        <v>-2.0679468242245203E-2</v>
      </c>
      <c r="R144" s="885">
        <f>R143/M143-1</f>
        <v>5.3571428571428381E-2</v>
      </c>
      <c r="S144" s="885">
        <f>S143/N143-1</f>
        <v>3.6127167630057633E-2</v>
      </c>
      <c r="T144" s="885">
        <f>T143/O143-1</f>
        <v>-2.8189910979228516E-2</v>
      </c>
      <c r="U144" s="1044">
        <f>+U143/P143-1</f>
        <v>7.370450164417619E-3</v>
      </c>
      <c r="V144" s="885">
        <f>V143/Q143-1</f>
        <v>2.4132730015082871E-2</v>
      </c>
      <c r="W144" s="885">
        <f>W143/R143-1</f>
        <v>4.6610169491525522E-2</v>
      </c>
      <c r="X144" s="885">
        <f>X143/S143-1</f>
        <v>5.439330543933063E-2</v>
      </c>
      <c r="Y144" s="885">
        <f>Y143/T143-1</f>
        <v>9.1603053435114434E-2</v>
      </c>
      <c r="Z144" s="1044">
        <f>+Z143/U143-1</f>
        <v>5.6731202161188543E-2</v>
      </c>
      <c r="AA144" s="885">
        <f>AA143/V143-1</f>
        <v>2.6509572901325384E-2</v>
      </c>
      <c r="AB144" s="885">
        <f>AB143/W143-1</f>
        <v>3.5087719298245723E-2</v>
      </c>
      <c r="AC144" s="885">
        <f>AC143/X143-1</f>
        <v>1.8518518518518601E-2</v>
      </c>
      <c r="AD144" s="885">
        <f>AD143/Y143-1</f>
        <v>1.4288357145499919E-2</v>
      </c>
      <c r="AE144" s="1044">
        <f>+AE143/Z143-1</f>
        <v>2.2887164618250244E-2</v>
      </c>
      <c r="AF144" s="885">
        <f>AF143/AA143-1</f>
        <v>1.6553066526231008E-2</v>
      </c>
      <c r="AG144" s="885">
        <f>AG143/AB143-1</f>
        <v>-2.8118823498757939E-2</v>
      </c>
      <c r="AH144" s="885">
        <f>AH143/AC143-1</f>
        <v>-2.009893233536808E-2</v>
      </c>
      <c r="AI144" s="885">
        <f>AI143/AD143-1</f>
        <v>-2.1412737144114291E-2</v>
      </c>
      <c r="AJ144" s="1044">
        <f>+AJ143/AE143-1</f>
        <v>-1.4436623040284258E-2</v>
      </c>
      <c r="AK144" s="885">
        <f>AK143/AF143-1</f>
        <v>-2.653819735457863E-2</v>
      </c>
      <c r="AL144" s="885">
        <f>AL143/AG143-1</f>
        <v>4.2347391987671124E-2</v>
      </c>
      <c r="AM144" s="885">
        <f>AM143/AH143-1</f>
        <v>2.7137881268209485E-2</v>
      </c>
      <c r="AN144" s="885">
        <f>AN143/AI143-1</f>
        <v>-1.5059184294754835E-2</v>
      </c>
      <c r="AO144" s="1044">
        <f>+AO143/AJ143-1</f>
        <v>6.0195879471038882E-3</v>
      </c>
      <c r="AP144" s="885">
        <f>AP143/AK143-1</f>
        <v>-2.5711615022025569E-2</v>
      </c>
      <c r="AQ144" s="885">
        <f>AQ143/AL143-1</f>
        <v>-4.8906048906048993E-2</v>
      </c>
      <c r="AR144" s="885">
        <f>AR143/AM143-1</f>
        <v>-5.5483870967741988E-2</v>
      </c>
      <c r="AS144" s="885">
        <f>AS143/AN143-1</f>
        <v>-9.5851216022889818E-2</v>
      </c>
      <c r="AT144" s="1044">
        <f>+AT143/AO143-1</f>
        <v>-5.9257487357440963E-2</v>
      </c>
      <c r="AU144" s="885">
        <f>AU143/AP143-1</f>
        <v>-0.11904761904761918</v>
      </c>
      <c r="AV144" s="885">
        <f>AV143/AQ143-1</f>
        <v>-0.11366711772665761</v>
      </c>
      <c r="AW144" s="885">
        <f>AW143/AR143-1</f>
        <v>-8.6065573770491732E-2</v>
      </c>
      <c r="AX144" s="885">
        <f>AX143/AS143-1</f>
        <v>-5.2215189873417778E-2</v>
      </c>
      <c r="AY144" s="1044">
        <f>+AY143/AT143-1</f>
        <v>-9.0766997878754085E-2</v>
      </c>
      <c r="AZ144" s="885">
        <f>AZ143/AU143-1</f>
        <v>3.2094594594594517E-2</v>
      </c>
      <c r="BA144" s="885">
        <f>BA143/AV143-1</f>
        <v>5.4961832061068527E-2</v>
      </c>
      <c r="BB144" s="885">
        <f>BB143/AW143-1</f>
        <v>5.530642750373671E-2</v>
      </c>
      <c r="BC144" s="885">
        <f>BC143/AX143-1</f>
        <v>4.8414023372287174E-2</v>
      </c>
      <c r="BD144" s="1044">
        <f>+BD143/AY143-1</f>
        <v>4.8133595284872266E-2</v>
      </c>
      <c r="BE144" s="885">
        <f>BE143/AZ143-1</f>
        <v>4.0916530278232388E-2</v>
      </c>
      <c r="BF144" s="885">
        <f>BF143/BA143-1</f>
        <v>3.7626628075253299E-2</v>
      </c>
      <c r="BG144" s="885">
        <f>BG143/BB143-1</f>
        <v>4.9575070821529899E-2</v>
      </c>
      <c r="BH144" s="885">
        <f>BH143/BC143-1</f>
        <v>4.2993630573248343E-2</v>
      </c>
      <c r="BI144" s="1044">
        <f>+BI143/BD143-1</f>
        <v>4.2877225866916557E-2</v>
      </c>
      <c r="BJ144" s="885">
        <f>BJ143/BE143-1</f>
        <v>3.4591194968553562E-2</v>
      </c>
      <c r="BK144" s="885">
        <f>BK143/BF143-1</f>
        <v>4.323570432357049E-2</v>
      </c>
      <c r="BL144" s="885">
        <f>BL143/BG143-1</f>
        <v>2.4291497975708509E-2</v>
      </c>
      <c r="BM144" s="885">
        <f>BM143/BH143-1</f>
        <v>4.2748091603053373E-2</v>
      </c>
      <c r="BN144" s="1280">
        <f>+BN143/BI143-1</f>
        <v>3.650864974163115E-2</v>
      </c>
      <c r="BO144" s="885">
        <f>BO143/BJ143-1</f>
        <v>3.1914893617021267E-2</v>
      </c>
      <c r="BP144" s="885">
        <f>BP143/BK143-1</f>
        <v>2.8074866310160429E-2</v>
      </c>
      <c r="BQ144" s="885">
        <f>BQ143/BL143-1</f>
        <v>0</v>
      </c>
      <c r="BR144" s="885">
        <f>BR143/BM143-1</f>
        <v>-2.9282576866764831E-3</v>
      </c>
      <c r="BS144" s="1280">
        <f>+BS143/BN143-1</f>
        <v>1.7232036414869478E-2</v>
      </c>
      <c r="BT144" s="885">
        <f>BT143/BO143-1</f>
        <v>3.5346097201767179E-2</v>
      </c>
      <c r="BU144" s="885">
        <f>BU143/BP143-1</f>
        <v>2.6007802340702213E-2</v>
      </c>
      <c r="BV144" s="885">
        <f>BV143/BQ143-1</f>
        <v>3.5573122529644285E-2</v>
      </c>
      <c r="BW144" s="885">
        <f>BW143/BR143-1</f>
        <v>3.2305433186490262E-2</v>
      </c>
      <c r="BX144" s="1280">
        <f>+BX143/BS143-1</f>
        <v>3.3240997229917024E-2</v>
      </c>
      <c r="BY144" s="885">
        <f>BY143/BT143-1</f>
        <v>1.4224751066856278E-2</v>
      </c>
      <c r="BZ144" s="885">
        <f>BZ143/BU143-1</f>
        <v>-2.5348542458808465E-3</v>
      </c>
      <c r="CA144" s="885">
        <f>CA143/BV143-1</f>
        <v>3.8167938931297218E-3</v>
      </c>
      <c r="CB144" s="885">
        <f>CB143/BW143-1</f>
        <v>1.4224751066855834E-3</v>
      </c>
      <c r="CC144" s="1280">
        <f>+CC143/BX143-1</f>
        <v>3.1326894120240478E-3</v>
      </c>
      <c r="CD144" s="885">
        <f>CD143/BY143-1</f>
        <v>-1.1220196353436185E-2</v>
      </c>
      <c r="CE144" s="885">
        <f>CE143/BZ143-1</f>
        <v>1.0165184243964509E-2</v>
      </c>
      <c r="CF144" s="885">
        <f>CF143/CA143-1</f>
        <v>-3.8022813688213253E-3</v>
      </c>
      <c r="CG144" s="885"/>
      <c r="CH144" s="1280"/>
      <c r="CI144" s="886"/>
      <c r="CJ144" s="886"/>
      <c r="CK144" s="886"/>
      <c r="CL144" s="886"/>
      <c r="CM144" s="1280"/>
      <c r="CN144" s="886"/>
      <c r="CO144" s="886"/>
      <c r="CP144" s="886"/>
      <c r="CQ144" s="1549"/>
      <c r="CR144" s="1549"/>
      <c r="CS144" s="1046"/>
      <c r="CT144" s="1046"/>
      <c r="CV144" s="537"/>
      <c r="CW144" s="537"/>
      <c r="CX144" s="537"/>
      <c r="DA144" s="212"/>
      <c r="DB144" s="1226"/>
    </row>
    <row r="145" spans="1:106" s="234" customFormat="1" x14ac:dyDescent="0.2">
      <c r="A145" s="1595" t="s">
        <v>359</v>
      </c>
      <c r="B145" s="1924" t="s">
        <v>673</v>
      </c>
      <c r="C145" s="1924" t="s">
        <v>673</v>
      </c>
      <c r="D145" s="1924" t="s">
        <v>673</v>
      </c>
      <c r="E145" s="1924" t="s">
        <v>673</v>
      </c>
      <c r="F145" s="1890" t="s">
        <v>673</v>
      </c>
      <c r="G145" s="1924" t="s">
        <v>673</v>
      </c>
      <c r="H145" s="1924" t="s">
        <v>673</v>
      </c>
      <c r="I145" s="1924" t="s">
        <v>673</v>
      </c>
      <c r="J145" s="1924" t="s">
        <v>673</v>
      </c>
      <c r="K145" s="1890" t="s">
        <v>673</v>
      </c>
      <c r="L145" s="1924" t="s">
        <v>673</v>
      </c>
      <c r="M145" s="1924" t="s">
        <v>673</v>
      </c>
      <c r="N145" s="1924" t="s">
        <v>673</v>
      </c>
      <c r="O145" s="1924" t="s">
        <v>673</v>
      </c>
      <c r="P145" s="1890" t="s">
        <v>673</v>
      </c>
      <c r="Q145" s="1043">
        <f>+Q660</f>
        <v>2.5999999999999999E-2</v>
      </c>
      <c r="R145" s="1043">
        <f t="shared" ref="R145:BL145" si="160">+R660</f>
        <v>-8.9999999999999993E-3</v>
      </c>
      <c r="S145" s="1043">
        <f t="shared" si="160"/>
        <v>6.0000000000000001E-3</v>
      </c>
      <c r="T145" s="1043">
        <f t="shared" si="160"/>
        <v>2.1999999999999999E-2</v>
      </c>
      <c r="U145" s="1953">
        <f t="shared" si="160"/>
        <v>1.2999999999999999E-2</v>
      </c>
      <c r="V145" s="1043">
        <f t="shared" si="160"/>
        <v>3.5000000000000003E-2</v>
      </c>
      <c r="W145" s="1043">
        <f t="shared" si="160"/>
        <v>0.04</v>
      </c>
      <c r="X145" s="1043">
        <f t="shared" si="160"/>
        <v>3.7999999999999999E-2</v>
      </c>
      <c r="Y145" s="1043">
        <f t="shared" si="160"/>
        <v>0.05</v>
      </c>
      <c r="Z145" s="1953">
        <f t="shared" si="160"/>
        <v>4.2000000000000003E-2</v>
      </c>
      <c r="AA145" s="1043">
        <f t="shared" si="160"/>
        <v>3.5000000000000003E-2</v>
      </c>
      <c r="AB145" s="1043">
        <f t="shared" si="160"/>
        <v>3.5999999999999997E-2</v>
      </c>
      <c r="AC145" s="1043">
        <f t="shared" si="160"/>
        <v>1.4999999999999999E-2</v>
      </c>
      <c r="AD145" s="1043">
        <f t="shared" si="160"/>
        <v>2.7E-2</v>
      </c>
      <c r="AE145" s="1953">
        <f t="shared" si="160"/>
        <v>2.9000000000000001E-2</v>
      </c>
      <c r="AF145" s="1043">
        <f t="shared" si="160"/>
        <v>1.9E-2</v>
      </c>
      <c r="AG145" s="1043">
        <f t="shared" si="160"/>
        <v>1.7999999999999999E-2</v>
      </c>
      <c r="AH145" s="1043">
        <f t="shared" si="160"/>
        <v>1E-3</v>
      </c>
      <c r="AI145" s="1043">
        <f t="shared" si="160"/>
        <v>-2.1999999999999999E-2</v>
      </c>
      <c r="AJ145" s="1953">
        <f t="shared" si="160"/>
        <v>2E-3</v>
      </c>
      <c r="AK145" s="1043">
        <f t="shared" si="160"/>
        <v>-1.6E-2</v>
      </c>
      <c r="AL145" s="1043">
        <f t="shared" si="160"/>
        <v>-3.0000000000000001E-3</v>
      </c>
      <c r="AM145" s="1043">
        <f t="shared" si="160"/>
        <v>5.0000000000000001E-3</v>
      </c>
      <c r="AN145" s="1043">
        <f t="shared" si="160"/>
        <v>-8.9999999999999993E-3</v>
      </c>
      <c r="AO145" s="1953">
        <f t="shared" si="160"/>
        <v>-6.0000000000000001E-3</v>
      </c>
      <c r="AP145" s="1043">
        <f t="shared" si="160"/>
        <v>-5.0000000000000001E-3</v>
      </c>
      <c r="AQ145" s="1043">
        <f t="shared" si="160"/>
        <v>-2.5000000000000001E-2</v>
      </c>
      <c r="AR145" s="1043">
        <f t="shared" si="160"/>
        <v>-0.03</v>
      </c>
      <c r="AS145" s="1043">
        <f t="shared" si="160"/>
        <v>-5.7000000000000002E-2</v>
      </c>
      <c r="AT145" s="1953">
        <f t="shared" si="160"/>
        <v>3.2000000000000001E-2</v>
      </c>
      <c r="AU145" s="1043">
        <f t="shared" si="160"/>
        <v>-5.8999999999999997E-2</v>
      </c>
      <c r="AV145" s="1043">
        <f t="shared" si="160"/>
        <v>-7.1999999999999995E-2</v>
      </c>
      <c r="AW145" s="1043">
        <f t="shared" si="160"/>
        <v>-6.4000000000000001E-2</v>
      </c>
      <c r="AX145" s="1043">
        <f t="shared" si="160"/>
        <v>-2.1000000000000001E-2</v>
      </c>
      <c r="AY145" s="1953">
        <f t="shared" si="160"/>
        <v>-5.7000000000000002E-2</v>
      </c>
      <c r="AZ145" s="1043">
        <f t="shared" si="160"/>
        <v>2.5999999999999999E-2</v>
      </c>
      <c r="BA145" s="1043">
        <f t="shared" si="160"/>
        <v>4.2999999999999997E-2</v>
      </c>
      <c r="BB145" s="1043">
        <f t="shared" si="160"/>
        <v>4.4999999999999998E-2</v>
      </c>
      <c r="BC145" s="1043">
        <f t="shared" si="160"/>
        <v>3.5999999999999997E-2</v>
      </c>
      <c r="BD145" s="1953">
        <f t="shared" si="160"/>
        <v>3.6999999999999998E-2</v>
      </c>
      <c r="BE145" s="1043">
        <f t="shared" si="160"/>
        <v>3.9E-2</v>
      </c>
      <c r="BF145" s="1043">
        <f t="shared" si="160"/>
        <v>3.6999999999999998E-2</v>
      </c>
      <c r="BG145" s="1043">
        <f t="shared" si="160"/>
        <v>4.2000000000000003E-2</v>
      </c>
      <c r="BH145" s="1043">
        <f t="shared" si="160"/>
        <v>2.7E-2</v>
      </c>
      <c r="BI145" s="1953">
        <f t="shared" si="160"/>
        <v>3.5999999999999997E-2</v>
      </c>
      <c r="BJ145" s="1043">
        <f t="shared" si="160"/>
        <v>2.7E-2</v>
      </c>
      <c r="BK145" s="1043">
        <f t="shared" si="160"/>
        <v>3.3000000000000002E-2</v>
      </c>
      <c r="BL145" s="1043">
        <f t="shared" si="160"/>
        <v>2.1000000000000001E-2</v>
      </c>
      <c r="BM145" s="1043">
        <f t="shared" ref="BM145:BS145" si="161">+BM660</f>
        <v>2.5999999999999999E-2</v>
      </c>
      <c r="BN145" s="1545">
        <f t="shared" si="161"/>
        <v>2.5999999999999999E-2</v>
      </c>
      <c r="BO145" s="1043">
        <f t="shared" si="161"/>
        <v>8.9999999999999993E-3</v>
      </c>
      <c r="BP145" s="1043">
        <f t="shared" si="161"/>
        <v>0.01</v>
      </c>
      <c r="BQ145" s="1043">
        <f t="shared" si="161"/>
        <v>1.7000000000000001E-2</v>
      </c>
      <c r="BR145" s="1043">
        <f t="shared" si="161"/>
        <v>1.6E-2</v>
      </c>
      <c r="BS145" s="1545">
        <f t="shared" si="161"/>
        <v>1.2999999999999999E-2</v>
      </c>
      <c r="BT145" s="1043">
        <f t="shared" ref="BT145:BY145" si="162">+BT660</f>
        <v>2.8000000000000001E-2</v>
      </c>
      <c r="BU145" s="1043">
        <f t="shared" si="162"/>
        <v>2.4E-2</v>
      </c>
      <c r="BV145" s="1043">
        <f t="shared" si="162"/>
        <v>2.8000000000000001E-2</v>
      </c>
      <c r="BW145" s="1043">
        <f t="shared" si="162"/>
        <v>2.3E-2</v>
      </c>
      <c r="BX145" s="1545">
        <f t="shared" si="162"/>
        <v>2.5999999999999999E-2</v>
      </c>
      <c r="BY145" s="1043">
        <f t="shared" si="162"/>
        <v>1.4E-2</v>
      </c>
      <c r="BZ145" s="1043">
        <f t="shared" ref="BZ145:CE145" si="163">+BZ660</f>
        <v>-2E-3</v>
      </c>
      <c r="CA145" s="1043">
        <f t="shared" si="163"/>
        <v>0</v>
      </c>
      <c r="CB145" s="2882">
        <f t="shared" si="163"/>
        <v>1E-3</v>
      </c>
      <c r="CC145" s="2881">
        <f t="shared" si="163"/>
        <v>3.0000000000000001E-3</v>
      </c>
      <c r="CD145" s="2882">
        <f t="shared" si="163"/>
        <v>-5.0000000000000001E-3</v>
      </c>
      <c r="CE145" s="2882">
        <f t="shared" si="163"/>
        <v>0.01</v>
      </c>
      <c r="CF145" s="2882">
        <f>+CF660</f>
        <v>-1E-3</v>
      </c>
      <c r="CG145" s="2882"/>
      <c r="CH145" s="1545"/>
      <c r="CI145" s="1546"/>
      <c r="CJ145" s="1546"/>
      <c r="CK145" s="1546"/>
      <c r="CL145" s="1546"/>
      <c r="CM145" s="1545"/>
      <c r="CN145" s="1546"/>
      <c r="CO145" s="1546"/>
      <c r="CP145" s="1546"/>
      <c r="CQ145" s="3035"/>
      <c r="CR145" s="3035"/>
      <c r="CS145" s="1545"/>
      <c r="CT145" s="1545"/>
      <c r="CV145" s="1201"/>
      <c r="CW145" s="1201"/>
      <c r="CX145" s="1201"/>
      <c r="DA145" s="212"/>
      <c r="DB145" s="1226"/>
    </row>
    <row r="146" spans="1:106" s="234" customFormat="1" ht="4.5" customHeight="1" x14ac:dyDescent="0.2">
      <c r="A146" s="1595"/>
      <c r="B146" s="1924"/>
      <c r="C146" s="1924"/>
      <c r="D146" s="1924"/>
      <c r="E146" s="1924"/>
      <c r="F146" s="1890"/>
      <c r="G146" s="1924"/>
      <c r="H146" s="1924"/>
      <c r="I146" s="1924"/>
      <c r="J146" s="1924"/>
      <c r="K146" s="1890"/>
      <c r="L146" s="1924"/>
      <c r="M146" s="1924"/>
      <c r="N146" s="1924"/>
      <c r="O146" s="1924"/>
      <c r="P146" s="1890"/>
      <c r="Q146" s="1043"/>
      <c r="R146" s="1043"/>
      <c r="S146" s="1043"/>
      <c r="T146" s="1043"/>
      <c r="U146" s="1953"/>
      <c r="V146" s="1043"/>
      <c r="W146" s="1043"/>
      <c r="X146" s="1043"/>
      <c r="Y146" s="1043"/>
      <c r="Z146" s="1953"/>
      <c r="AA146" s="1043"/>
      <c r="AB146" s="1043"/>
      <c r="AC146" s="1043"/>
      <c r="AD146" s="1043"/>
      <c r="AE146" s="1953"/>
      <c r="AF146" s="1043"/>
      <c r="AG146" s="1043"/>
      <c r="AH146" s="1043"/>
      <c r="AI146" s="1043"/>
      <c r="AJ146" s="1953"/>
      <c r="AK146" s="1043"/>
      <c r="AL146" s="1043"/>
      <c r="AM146" s="1043"/>
      <c r="AN146" s="1043"/>
      <c r="AO146" s="1953"/>
      <c r="AP146" s="1043"/>
      <c r="AQ146" s="1043"/>
      <c r="AR146" s="1043"/>
      <c r="AS146" s="1043"/>
      <c r="AT146" s="1953"/>
      <c r="AU146" s="1043"/>
      <c r="AV146" s="1043"/>
      <c r="AW146" s="1043"/>
      <c r="AX146" s="1043"/>
      <c r="AY146" s="1953"/>
      <c r="AZ146" s="1043"/>
      <c r="BA146" s="1043"/>
      <c r="BB146" s="1043"/>
      <c r="BC146" s="1043"/>
      <c r="BD146" s="1953"/>
      <c r="BE146" s="1043"/>
      <c r="BF146" s="1043"/>
      <c r="BG146" s="1043"/>
      <c r="BH146" s="1043"/>
      <c r="BI146" s="1953"/>
      <c r="BJ146" s="1043"/>
      <c r="BK146" s="1043"/>
      <c r="BL146" s="1043"/>
      <c r="BM146" s="1043"/>
      <c r="BN146" s="1545"/>
      <c r="BO146" s="1043"/>
      <c r="BP146" s="1043"/>
      <c r="BQ146" s="1043"/>
      <c r="BR146" s="1043"/>
      <c r="BS146" s="3035"/>
      <c r="BT146" s="1043"/>
      <c r="BU146" s="1043"/>
      <c r="BV146" s="1043"/>
      <c r="BW146" s="1043"/>
      <c r="BX146" s="3035"/>
      <c r="BY146" s="1043"/>
      <c r="BZ146" s="1043"/>
      <c r="CA146" s="1043"/>
      <c r="CB146" s="2882"/>
      <c r="CC146" s="2881"/>
      <c r="CD146" s="2882"/>
      <c r="CE146" s="2882"/>
      <c r="CF146" s="1546"/>
      <c r="CG146" s="1546"/>
      <c r="CH146" s="1545"/>
      <c r="CI146" s="1546"/>
      <c r="CJ146" s="1546"/>
      <c r="CK146" s="1546"/>
      <c r="CL146" s="1546"/>
      <c r="CM146" s="1545"/>
      <c r="CN146" s="1546"/>
      <c r="CO146" s="1546"/>
      <c r="CP146" s="1546"/>
      <c r="CQ146" s="3035"/>
      <c r="CR146" s="3035"/>
      <c r="CS146" s="1546"/>
      <c r="CT146" s="1545"/>
      <c r="CV146" s="1201"/>
      <c r="CW146" s="1201"/>
      <c r="CX146" s="1201"/>
      <c r="DA146" s="212"/>
      <c r="DB146" s="1226"/>
    </row>
    <row r="147" spans="1:106" s="234" customFormat="1" x14ac:dyDescent="0.2">
      <c r="A147" s="2765" t="s">
        <v>2454</v>
      </c>
      <c r="B147" s="1924"/>
      <c r="C147" s="1924"/>
      <c r="D147" s="1924"/>
      <c r="E147" s="1924"/>
      <c r="F147" s="1890"/>
      <c r="G147" s="1924"/>
      <c r="H147" s="1924"/>
      <c r="I147" s="1924"/>
      <c r="J147" s="1924"/>
      <c r="K147" s="1890"/>
      <c r="L147" s="1924"/>
      <c r="M147" s="1924"/>
      <c r="N147" s="1924"/>
      <c r="O147" s="1924"/>
      <c r="P147" s="1890"/>
      <c r="Q147" s="1043"/>
      <c r="R147" s="1043"/>
      <c r="S147" s="1043"/>
      <c r="T147" s="1043"/>
      <c r="U147" s="1953"/>
      <c r="V147" s="1043"/>
      <c r="W147" s="1043"/>
      <c r="X147" s="1043"/>
      <c r="Y147" s="1043"/>
      <c r="Z147" s="1953"/>
      <c r="AA147" s="1043"/>
      <c r="AB147" s="1043"/>
      <c r="AC147" s="1043"/>
      <c r="AD147" s="1043"/>
      <c r="AE147" s="1953"/>
      <c r="AF147" s="1043"/>
      <c r="AG147" s="1043"/>
      <c r="AH147" s="1043"/>
      <c r="AI147" s="1043"/>
      <c r="AJ147" s="1953"/>
      <c r="AK147" s="1043"/>
      <c r="AL147" s="1043"/>
      <c r="AM147" s="1043"/>
      <c r="AN147" s="1043"/>
      <c r="AO147" s="1953"/>
      <c r="AP147" s="1043"/>
      <c r="AQ147" s="1043"/>
      <c r="AR147" s="1043"/>
      <c r="AS147" s="1043"/>
      <c r="AT147" s="1953"/>
      <c r="AU147" s="1043"/>
      <c r="AV147" s="1043"/>
      <c r="AW147" s="1043"/>
      <c r="AX147" s="1043"/>
      <c r="AY147" s="1953"/>
      <c r="AZ147" s="1043"/>
      <c r="BA147" s="1043"/>
      <c r="BB147" s="1043"/>
      <c r="BC147" s="1043"/>
      <c r="BD147" s="1953"/>
      <c r="BE147" s="1043"/>
      <c r="BF147" s="1043"/>
      <c r="BG147" s="1043"/>
      <c r="BH147" s="1043"/>
      <c r="BI147" s="1953"/>
      <c r="BJ147" s="1043"/>
      <c r="BK147" s="1043"/>
      <c r="BL147" s="1043"/>
      <c r="BM147" s="1043"/>
      <c r="BN147" s="1545"/>
      <c r="BO147" s="1043"/>
      <c r="BP147" s="1043"/>
      <c r="BQ147" s="1043"/>
      <c r="BR147" s="1043"/>
      <c r="BS147" s="3035"/>
      <c r="BT147" s="1043"/>
      <c r="BU147" s="1043"/>
      <c r="BV147" s="1043"/>
      <c r="BW147" s="1043"/>
      <c r="BX147" s="3035"/>
      <c r="BY147" s="1043"/>
      <c r="BZ147" s="1043"/>
      <c r="CA147" s="1043"/>
      <c r="CB147" s="2882">
        <v>0.68300000000000005</v>
      </c>
      <c r="CC147" s="2881">
        <v>0.72807671232876714</v>
      </c>
      <c r="CD147" s="2882">
        <v>0.69199999999999995</v>
      </c>
      <c r="CE147" s="2882">
        <v>0.78100000000000003</v>
      </c>
      <c r="CF147" s="2882">
        <v>0.76900000000000002</v>
      </c>
      <c r="CG147" s="2884"/>
      <c r="CH147" s="1044"/>
      <c r="CI147" s="885"/>
      <c r="CJ147" s="885"/>
      <c r="CK147" s="885"/>
      <c r="CL147" s="885"/>
      <c r="CM147" s="1044"/>
      <c r="CN147" s="885"/>
      <c r="CO147" s="885"/>
      <c r="CP147" s="885"/>
      <c r="CQ147" s="1640"/>
      <c r="CR147" s="1640"/>
      <c r="CS147" s="885"/>
      <c r="CT147" s="1044"/>
      <c r="CV147" s="1201"/>
      <c r="CW147" s="1201"/>
      <c r="CX147" s="1201"/>
      <c r="DA147" s="212"/>
      <c r="DB147" s="1226"/>
    </row>
    <row r="148" spans="1:106" s="234" customFormat="1" x14ac:dyDescent="0.2">
      <c r="A148" s="1737" t="s">
        <v>2469</v>
      </c>
      <c r="B148" s="1924"/>
      <c r="C148" s="1924"/>
      <c r="D148" s="1924"/>
      <c r="E148" s="1924"/>
      <c r="F148" s="1890"/>
      <c r="G148" s="1924"/>
      <c r="H148" s="1924"/>
      <c r="I148" s="1924"/>
      <c r="J148" s="1924"/>
      <c r="K148" s="1890"/>
      <c r="L148" s="1924"/>
      <c r="M148" s="1924"/>
      <c r="N148" s="1924"/>
      <c r="O148" s="1924"/>
      <c r="P148" s="1890"/>
      <c r="Q148" s="1043"/>
      <c r="R148" s="1043"/>
      <c r="S148" s="1043"/>
      <c r="T148" s="1043"/>
      <c r="U148" s="1953"/>
      <c r="V148" s="1043"/>
      <c r="W148" s="1043"/>
      <c r="X148" s="1043"/>
      <c r="Y148" s="1043"/>
      <c r="Z148" s="1953"/>
      <c r="AA148" s="1043"/>
      <c r="AB148" s="1043"/>
      <c r="AC148" s="1043"/>
      <c r="AD148" s="1043"/>
      <c r="AE148" s="1953"/>
      <c r="AF148" s="1043"/>
      <c r="AG148" s="1043"/>
      <c r="AH148" s="1043"/>
      <c r="AI148" s="1043"/>
      <c r="AJ148" s="1953"/>
      <c r="AK148" s="1043"/>
      <c r="AL148" s="1043"/>
      <c r="AM148" s="1043"/>
      <c r="AN148" s="1043"/>
      <c r="AO148" s="1953"/>
      <c r="AP148" s="1043"/>
      <c r="AQ148" s="1043"/>
      <c r="AR148" s="1043"/>
      <c r="AS148" s="1043"/>
      <c r="AT148" s="1953"/>
      <c r="AU148" s="1043"/>
      <c r="AV148" s="1043"/>
      <c r="AW148" s="1043"/>
      <c r="AX148" s="1043"/>
      <c r="AY148" s="1953"/>
      <c r="AZ148" s="1043"/>
      <c r="BA148" s="1043"/>
      <c r="BB148" s="1043"/>
      <c r="BC148" s="1043"/>
      <c r="BD148" s="1953"/>
      <c r="BE148" s="1043"/>
      <c r="BF148" s="1043"/>
      <c r="BG148" s="1043"/>
      <c r="BH148" s="1043"/>
      <c r="BI148" s="1953"/>
      <c r="BJ148" s="1043"/>
      <c r="BK148" s="1043"/>
      <c r="BL148" s="1043"/>
      <c r="BM148" s="1043"/>
      <c r="BN148" s="1545"/>
      <c r="BO148" s="1043"/>
      <c r="BP148" s="1043"/>
      <c r="BQ148" s="1043"/>
      <c r="BR148" s="1043"/>
      <c r="BS148" s="3035"/>
      <c r="BT148" s="1043"/>
      <c r="BU148" s="1043"/>
      <c r="BV148" s="1043"/>
      <c r="BW148" s="1043"/>
      <c r="BX148" s="3035"/>
      <c r="BY148" s="1043"/>
      <c r="BZ148" s="1043"/>
      <c r="CA148" s="1043"/>
      <c r="CB148" s="2882">
        <v>7.3746312684366266E-3</v>
      </c>
      <c r="CC148" s="2881">
        <v>5.1819742943814973E-3</v>
      </c>
      <c r="CD148" s="2882">
        <v>-5.7471264367816577E-3</v>
      </c>
      <c r="CE148" s="2882">
        <v>2.2251308900523625E-2</v>
      </c>
      <c r="CF148" s="2882">
        <v>0</v>
      </c>
      <c r="CG148" s="885"/>
      <c r="CH148" s="1044"/>
      <c r="CI148" s="2884"/>
      <c r="CJ148" s="2884"/>
      <c r="CK148" s="2884"/>
      <c r="CL148" s="2884"/>
      <c r="CM148" s="1044"/>
      <c r="CN148" s="2884"/>
      <c r="CO148" s="2884"/>
      <c r="CP148" s="2884"/>
      <c r="CQ148" s="2981"/>
      <c r="CR148" s="2981"/>
      <c r="CS148" s="2884"/>
      <c r="CT148" s="2908"/>
      <c r="CV148" s="1201"/>
      <c r="CW148" s="1201"/>
      <c r="CX148" s="1201"/>
      <c r="DA148" s="212"/>
      <c r="DB148" s="1226"/>
    </row>
    <row r="149" spans="1:106" s="234" customFormat="1" x14ac:dyDescent="0.2">
      <c r="A149" s="2765" t="s">
        <v>2470</v>
      </c>
      <c r="B149" s="1924"/>
      <c r="C149" s="1924"/>
      <c r="D149" s="1924"/>
      <c r="E149" s="1924"/>
      <c r="F149" s="1890"/>
      <c r="G149" s="1924"/>
      <c r="H149" s="1924"/>
      <c r="I149" s="1924"/>
      <c r="J149" s="1924"/>
      <c r="K149" s="1890"/>
      <c r="L149" s="1924"/>
      <c r="M149" s="1924"/>
      <c r="N149" s="1924"/>
      <c r="O149" s="1924"/>
      <c r="P149" s="1890"/>
      <c r="Q149" s="1043"/>
      <c r="R149" s="1043"/>
      <c r="S149" s="1043"/>
      <c r="T149" s="1043"/>
      <c r="U149" s="1953"/>
      <c r="V149" s="1043"/>
      <c r="W149" s="1043"/>
      <c r="X149" s="1043"/>
      <c r="Y149" s="1043"/>
      <c r="Z149" s="1953"/>
      <c r="AA149" s="1043"/>
      <c r="AB149" s="1043"/>
      <c r="AC149" s="1043"/>
      <c r="AD149" s="1043"/>
      <c r="AE149" s="1953"/>
      <c r="AF149" s="1043"/>
      <c r="AG149" s="1043"/>
      <c r="AH149" s="1043"/>
      <c r="AI149" s="1043"/>
      <c r="AJ149" s="1953"/>
      <c r="AK149" s="1043"/>
      <c r="AL149" s="1043"/>
      <c r="AM149" s="1043"/>
      <c r="AN149" s="1043"/>
      <c r="AO149" s="1953"/>
      <c r="AP149" s="1043"/>
      <c r="AQ149" s="1043"/>
      <c r="AR149" s="1043"/>
      <c r="AS149" s="1043"/>
      <c r="AT149" s="1953"/>
      <c r="AU149" s="1043"/>
      <c r="AV149" s="1043"/>
      <c r="AW149" s="1043"/>
      <c r="AX149" s="1043"/>
      <c r="AY149" s="1953"/>
      <c r="AZ149" s="1043"/>
      <c r="BA149" s="1043"/>
      <c r="BB149" s="1043"/>
      <c r="BC149" s="1043"/>
      <c r="BD149" s="1953"/>
      <c r="BE149" s="1043"/>
      <c r="BF149" s="1043"/>
      <c r="BG149" s="1043"/>
      <c r="BH149" s="1043"/>
      <c r="BI149" s="1953"/>
      <c r="BJ149" s="1043"/>
      <c r="BK149" s="1043"/>
      <c r="BL149" s="1043"/>
      <c r="BM149" s="1043"/>
      <c r="BN149" s="1545"/>
      <c r="BO149" s="1043"/>
      <c r="BP149" s="1043"/>
      <c r="BQ149" s="1043"/>
      <c r="BR149" s="1043"/>
      <c r="BS149" s="3035"/>
      <c r="BT149" s="1043"/>
      <c r="BU149" s="1043"/>
      <c r="BV149" s="1043"/>
      <c r="BW149" s="1043"/>
      <c r="BX149" s="3035"/>
      <c r="BY149" s="1043"/>
      <c r="BZ149" s="1043"/>
      <c r="CA149" s="1043"/>
      <c r="CB149" s="2882">
        <v>0.72299999999999998</v>
      </c>
      <c r="CC149" s="2881">
        <v>0.76482739726027393</v>
      </c>
      <c r="CD149" s="2882">
        <v>0.73799999999999999</v>
      </c>
      <c r="CE149" s="2882">
        <v>0.80800000000000005</v>
      </c>
      <c r="CF149" s="2882">
        <v>0.80300000000000005</v>
      </c>
      <c r="CG149" s="2884"/>
      <c r="CH149" s="1044"/>
      <c r="CI149" s="885"/>
      <c r="CJ149" s="885"/>
      <c r="CK149" s="885"/>
      <c r="CL149" s="885"/>
      <c r="CM149" s="1044"/>
      <c r="CN149" s="885"/>
      <c r="CO149" s="885"/>
      <c r="CP149" s="885"/>
      <c r="CQ149" s="1640"/>
      <c r="CR149" s="1640"/>
      <c r="CS149" s="885"/>
      <c r="CT149" s="1044"/>
      <c r="CV149" s="1201"/>
      <c r="CW149" s="1201"/>
      <c r="CX149" s="1201"/>
      <c r="DA149" s="212"/>
      <c r="DB149" s="1226"/>
    </row>
    <row r="150" spans="1:106" s="234" customFormat="1" x14ac:dyDescent="0.2">
      <c r="A150" s="1737" t="s">
        <v>2469</v>
      </c>
      <c r="B150" s="1924"/>
      <c r="C150" s="1924"/>
      <c r="D150" s="1924"/>
      <c r="E150" s="1924"/>
      <c r="F150" s="1890"/>
      <c r="G150" s="1924"/>
      <c r="H150" s="1924"/>
      <c r="I150" s="1924"/>
      <c r="J150" s="1924"/>
      <c r="K150" s="1890"/>
      <c r="L150" s="1924"/>
      <c r="M150" s="1924"/>
      <c r="N150" s="1924"/>
      <c r="O150" s="1924"/>
      <c r="P150" s="1890"/>
      <c r="Q150" s="1043"/>
      <c r="R150" s="1043"/>
      <c r="S150" s="1043"/>
      <c r="T150" s="1043"/>
      <c r="U150" s="1953"/>
      <c r="V150" s="1043"/>
      <c r="W150" s="1043"/>
      <c r="X150" s="1043"/>
      <c r="Y150" s="1043"/>
      <c r="Z150" s="1953"/>
      <c r="AA150" s="1043"/>
      <c r="AB150" s="1043"/>
      <c r="AC150" s="1043"/>
      <c r="AD150" s="1043"/>
      <c r="AE150" s="1953"/>
      <c r="AF150" s="1043"/>
      <c r="AG150" s="1043"/>
      <c r="AH150" s="1043"/>
      <c r="AI150" s="1043"/>
      <c r="AJ150" s="1953"/>
      <c r="AK150" s="1043"/>
      <c r="AL150" s="1043"/>
      <c r="AM150" s="1043"/>
      <c r="AN150" s="1043"/>
      <c r="AO150" s="1953"/>
      <c r="AP150" s="1043"/>
      <c r="AQ150" s="1043"/>
      <c r="AR150" s="1043"/>
      <c r="AS150" s="1043"/>
      <c r="AT150" s="1953"/>
      <c r="AU150" s="1043"/>
      <c r="AV150" s="1043"/>
      <c r="AW150" s="1043"/>
      <c r="AX150" s="1043"/>
      <c r="AY150" s="1953"/>
      <c r="AZ150" s="1043"/>
      <c r="BA150" s="1043"/>
      <c r="BB150" s="1043"/>
      <c r="BC150" s="1043"/>
      <c r="BD150" s="1953"/>
      <c r="BE150" s="1043"/>
      <c r="BF150" s="1043"/>
      <c r="BG150" s="1043"/>
      <c r="BH150" s="1043"/>
      <c r="BI150" s="1953"/>
      <c r="BJ150" s="1043"/>
      <c r="BK150" s="1043"/>
      <c r="BL150" s="1043"/>
      <c r="BM150" s="1043"/>
      <c r="BN150" s="1545"/>
      <c r="BO150" s="1043"/>
      <c r="BP150" s="1043"/>
      <c r="BQ150" s="1043"/>
      <c r="BR150" s="1043"/>
      <c r="BS150" s="3035"/>
      <c r="BT150" s="1043"/>
      <c r="BU150" s="1043"/>
      <c r="BV150" s="1043"/>
      <c r="BW150" s="1043"/>
      <c r="BX150" s="3035"/>
      <c r="BY150" s="1043"/>
      <c r="BZ150" s="1043"/>
      <c r="CA150" s="1043"/>
      <c r="CB150" s="2882">
        <v>2.2630834512022746E-2</v>
      </c>
      <c r="CC150" s="2881">
        <v>1.6657683511297039E-2</v>
      </c>
      <c r="CD150" s="2882">
        <v>6.8212824010913664E-3</v>
      </c>
      <c r="CE150" s="2882">
        <v>1.0000000000000009E-2</v>
      </c>
      <c r="CF150" s="2882">
        <v>0</v>
      </c>
      <c r="CG150" s="885"/>
      <c r="CH150" s="1044"/>
      <c r="CI150" s="2884"/>
      <c r="CJ150" s="2884"/>
      <c r="CK150" s="2884"/>
      <c r="CL150" s="2884"/>
      <c r="CM150" s="1044"/>
      <c r="CN150" s="2884"/>
      <c r="CO150" s="2884"/>
      <c r="CP150" s="2884"/>
      <c r="CQ150" s="2981"/>
      <c r="CR150" s="2981"/>
      <c r="CS150" s="2884"/>
      <c r="CT150" s="2908"/>
      <c r="CV150" s="1201"/>
      <c r="CW150" s="1201"/>
      <c r="CX150" s="1201"/>
      <c r="DA150" s="212"/>
      <c r="DB150" s="1226"/>
    </row>
    <row r="151" spans="1:106" s="234" customFormat="1" x14ac:dyDescent="0.2">
      <c r="A151" s="2765" t="s">
        <v>2471</v>
      </c>
      <c r="B151" s="1924"/>
      <c r="C151" s="1924"/>
      <c r="D151" s="1924"/>
      <c r="E151" s="1924"/>
      <c r="F151" s="1890"/>
      <c r="G151" s="1924"/>
      <c r="H151" s="1924"/>
      <c r="I151" s="1924"/>
      <c r="J151" s="1924"/>
      <c r="K151" s="1890"/>
      <c r="L151" s="1924"/>
      <c r="M151" s="1924"/>
      <c r="N151" s="1924"/>
      <c r="O151" s="1924"/>
      <c r="P151" s="1890"/>
      <c r="Q151" s="1043"/>
      <c r="R151" s="1043"/>
      <c r="S151" s="1043"/>
      <c r="T151" s="1043"/>
      <c r="U151" s="1953"/>
      <c r="V151" s="1043"/>
      <c r="W151" s="1043"/>
      <c r="X151" s="1043"/>
      <c r="Y151" s="1043"/>
      <c r="Z151" s="1953"/>
      <c r="AA151" s="1043"/>
      <c r="AB151" s="1043"/>
      <c r="AC151" s="1043"/>
      <c r="AD151" s="1043"/>
      <c r="AE151" s="1953"/>
      <c r="AF151" s="1043"/>
      <c r="AG151" s="1043"/>
      <c r="AH151" s="1043"/>
      <c r="AI151" s="1043"/>
      <c r="AJ151" s="1953"/>
      <c r="AK151" s="1043"/>
      <c r="AL151" s="1043"/>
      <c r="AM151" s="1043"/>
      <c r="AN151" s="1043"/>
      <c r="AO151" s="1953"/>
      <c r="AP151" s="1043"/>
      <c r="AQ151" s="1043"/>
      <c r="AR151" s="1043"/>
      <c r="AS151" s="1043"/>
      <c r="AT151" s="1953"/>
      <c r="AU151" s="1043"/>
      <c r="AV151" s="1043"/>
      <c r="AW151" s="1043"/>
      <c r="AX151" s="1043"/>
      <c r="AY151" s="1953"/>
      <c r="AZ151" s="1043"/>
      <c r="BA151" s="1043"/>
      <c r="BB151" s="1043"/>
      <c r="BC151" s="1043"/>
      <c r="BD151" s="1953"/>
      <c r="BE151" s="1043"/>
      <c r="BF151" s="1043"/>
      <c r="BG151" s="1043"/>
      <c r="BH151" s="1043"/>
      <c r="BI151" s="1953"/>
      <c r="BJ151" s="1043"/>
      <c r="BK151" s="1043"/>
      <c r="BL151" s="1043"/>
      <c r="BM151" s="1043"/>
      <c r="BN151" s="1545"/>
      <c r="BO151" s="1043"/>
      <c r="BP151" s="1043"/>
      <c r="BQ151" s="1043"/>
      <c r="BR151" s="1043"/>
      <c r="BS151" s="3035"/>
      <c r="BT151" s="1043"/>
      <c r="BU151" s="1043"/>
      <c r="BV151" s="1043"/>
      <c r="BW151" s="1043"/>
      <c r="BX151" s="3035"/>
      <c r="BY151" s="1043"/>
      <c r="BZ151" s="1043"/>
      <c r="CA151" s="1043"/>
      <c r="CB151" s="2882">
        <v>0.71699999999999997</v>
      </c>
      <c r="CC151" s="2881">
        <v>0.7402383561643836</v>
      </c>
      <c r="CD151" s="2882">
        <v>0.74299999999999999</v>
      </c>
      <c r="CE151" s="2882">
        <v>0.74199999999999999</v>
      </c>
      <c r="CF151" s="2882">
        <v>0.76800000000000002</v>
      </c>
      <c r="CG151" s="3389"/>
      <c r="CH151" s="1044"/>
      <c r="CI151" s="885"/>
      <c r="CJ151" s="885"/>
      <c r="CK151" s="885"/>
      <c r="CL151" s="885"/>
      <c r="CM151" s="1044"/>
      <c r="CN151" s="885"/>
      <c r="CO151" s="885"/>
      <c r="CP151" s="885"/>
      <c r="CQ151" s="1640"/>
      <c r="CR151" s="1640"/>
      <c r="CS151" s="885"/>
      <c r="CT151" s="1044"/>
      <c r="CV151" s="1201"/>
      <c r="CW151" s="1201"/>
      <c r="CX151" s="1201"/>
      <c r="DA151" s="212"/>
      <c r="DB151" s="1226"/>
    </row>
    <row r="152" spans="1:106" s="234" customFormat="1" x14ac:dyDescent="0.2">
      <c r="A152" s="1737" t="s">
        <v>2469</v>
      </c>
      <c r="B152" s="1924"/>
      <c r="C152" s="1924"/>
      <c r="D152" s="1924"/>
      <c r="E152" s="1924"/>
      <c r="F152" s="1890"/>
      <c r="G152" s="1924"/>
      <c r="H152" s="1924"/>
      <c r="I152" s="1924"/>
      <c r="J152" s="1924"/>
      <c r="K152" s="1890"/>
      <c r="L152" s="1924"/>
      <c r="M152" s="1924"/>
      <c r="N152" s="1924"/>
      <c r="O152" s="1924"/>
      <c r="P152" s="1890"/>
      <c r="Q152" s="1043"/>
      <c r="R152" s="1043"/>
      <c r="S152" s="1043"/>
      <c r="T152" s="1043"/>
      <c r="U152" s="1953"/>
      <c r="V152" s="1043"/>
      <c r="W152" s="1043"/>
      <c r="X152" s="1043"/>
      <c r="Y152" s="1043"/>
      <c r="Z152" s="1953"/>
      <c r="AA152" s="1043"/>
      <c r="AB152" s="1043"/>
      <c r="AC152" s="1043"/>
      <c r="AD152" s="1043"/>
      <c r="AE152" s="1953"/>
      <c r="AF152" s="1043"/>
      <c r="AG152" s="1043"/>
      <c r="AH152" s="1043"/>
      <c r="AI152" s="1043"/>
      <c r="AJ152" s="1953"/>
      <c r="AK152" s="1043"/>
      <c r="AL152" s="1043"/>
      <c r="AM152" s="1043"/>
      <c r="AN152" s="1043"/>
      <c r="AO152" s="1953"/>
      <c r="AP152" s="1043"/>
      <c r="AQ152" s="1043"/>
      <c r="AR152" s="1043"/>
      <c r="AS152" s="1043"/>
      <c r="AT152" s="1953"/>
      <c r="AU152" s="1043"/>
      <c r="AV152" s="1043"/>
      <c r="AW152" s="1043"/>
      <c r="AX152" s="1043"/>
      <c r="AY152" s="1953"/>
      <c r="AZ152" s="1043"/>
      <c r="BA152" s="1043"/>
      <c r="BB152" s="1043"/>
      <c r="BC152" s="1043"/>
      <c r="BD152" s="1953"/>
      <c r="BE152" s="1043"/>
      <c r="BF152" s="1043"/>
      <c r="BG152" s="1043"/>
      <c r="BH152" s="1043"/>
      <c r="BI152" s="1953"/>
      <c r="BJ152" s="1043"/>
      <c r="BK152" s="1043"/>
      <c r="BL152" s="1043"/>
      <c r="BM152" s="1043"/>
      <c r="BN152" s="1545"/>
      <c r="BO152" s="1043"/>
      <c r="BP152" s="1043"/>
      <c r="BQ152" s="1043"/>
      <c r="BR152" s="1043"/>
      <c r="BS152" s="3035"/>
      <c r="BT152" s="1043"/>
      <c r="BU152" s="1043"/>
      <c r="BV152" s="1043"/>
      <c r="BW152" s="1043"/>
      <c r="BX152" s="3035"/>
      <c r="BY152" s="1043"/>
      <c r="BZ152" s="1043"/>
      <c r="CA152" s="1043"/>
      <c r="CB152" s="2882">
        <v>5.6100981767182034E-3</v>
      </c>
      <c r="CC152" s="2881">
        <v>-2.3778666400818826E-3</v>
      </c>
      <c r="CD152" s="2882">
        <v>-8.0106809078771546E-3</v>
      </c>
      <c r="CE152" s="2882">
        <v>2.0632737276478741E-2</v>
      </c>
      <c r="CF152" s="2882">
        <v>0</v>
      </c>
      <c r="CG152" s="885"/>
      <c r="CH152" s="1044"/>
      <c r="CI152" s="2884"/>
      <c r="CJ152" s="2884"/>
      <c r="CK152" s="2884"/>
      <c r="CL152" s="2884"/>
      <c r="CM152" s="1044"/>
      <c r="CN152" s="2884"/>
      <c r="CO152" s="2884"/>
      <c r="CP152" s="2884"/>
      <c r="CQ152" s="2981"/>
      <c r="CR152" s="2981"/>
      <c r="CS152" s="2884"/>
      <c r="CT152" s="2908"/>
      <c r="CV152" s="1201"/>
      <c r="CW152" s="1201"/>
      <c r="CX152" s="1201"/>
      <c r="DA152" s="212"/>
      <c r="DB152" s="1226"/>
    </row>
    <row r="153" spans="1:106" s="234" customFormat="1" x14ac:dyDescent="0.2">
      <c r="A153" s="2765" t="s">
        <v>2460</v>
      </c>
      <c r="B153" s="1924"/>
      <c r="C153" s="1924"/>
      <c r="D153" s="1924"/>
      <c r="E153" s="1924"/>
      <c r="F153" s="1890"/>
      <c r="G153" s="1924"/>
      <c r="H153" s="1924"/>
      <c r="I153" s="1924"/>
      <c r="J153" s="1924"/>
      <c r="K153" s="1890"/>
      <c r="L153" s="1924"/>
      <c r="M153" s="1924"/>
      <c r="N153" s="1924"/>
      <c r="O153" s="1924"/>
      <c r="P153" s="1890"/>
      <c r="Q153" s="1043"/>
      <c r="R153" s="1043"/>
      <c r="S153" s="1043"/>
      <c r="T153" s="1043"/>
      <c r="U153" s="1953"/>
      <c r="V153" s="1043"/>
      <c r="W153" s="1043"/>
      <c r="X153" s="1043"/>
      <c r="Y153" s="1043"/>
      <c r="Z153" s="1953"/>
      <c r="AA153" s="1043"/>
      <c r="AB153" s="1043"/>
      <c r="AC153" s="1043"/>
      <c r="AD153" s="1043"/>
      <c r="AE153" s="1953"/>
      <c r="AF153" s="1043"/>
      <c r="AG153" s="1043"/>
      <c r="AH153" s="1043"/>
      <c r="AI153" s="1043"/>
      <c r="AJ153" s="1953"/>
      <c r="AK153" s="1043"/>
      <c r="AL153" s="1043"/>
      <c r="AM153" s="1043"/>
      <c r="AN153" s="1043"/>
      <c r="AO153" s="1953"/>
      <c r="AP153" s="1043"/>
      <c r="AQ153" s="1043"/>
      <c r="AR153" s="1043"/>
      <c r="AS153" s="1043"/>
      <c r="AT153" s="1953"/>
      <c r="AU153" s="1043"/>
      <c r="AV153" s="1043"/>
      <c r="AW153" s="1043"/>
      <c r="AX153" s="1043"/>
      <c r="AY153" s="1953"/>
      <c r="AZ153" s="1043"/>
      <c r="BA153" s="1043"/>
      <c r="BB153" s="1043"/>
      <c r="BC153" s="1043"/>
      <c r="BD153" s="1953"/>
      <c r="BE153" s="1043"/>
      <c r="BF153" s="1043"/>
      <c r="BG153" s="1043"/>
      <c r="BH153" s="1043"/>
      <c r="BI153" s="1953"/>
      <c r="BJ153" s="1043"/>
      <c r="BK153" s="1043"/>
      <c r="BL153" s="1043"/>
      <c r="BM153" s="1043"/>
      <c r="BN153" s="1545"/>
      <c r="BO153" s="1043"/>
      <c r="BP153" s="1043"/>
      <c r="BQ153" s="1043"/>
      <c r="BR153" s="1043"/>
      <c r="BS153" s="3035"/>
      <c r="BT153" s="1043"/>
      <c r="BU153" s="1043"/>
      <c r="BV153" s="1043"/>
      <c r="BW153" s="1043"/>
      <c r="BX153" s="3035"/>
      <c r="BY153" s="1043"/>
      <c r="BZ153" s="1043"/>
      <c r="CA153" s="1043"/>
      <c r="CB153" s="2882">
        <v>0.79900000000000004</v>
      </c>
      <c r="CC153" s="2881">
        <v>0.81964383561643828</v>
      </c>
      <c r="CD153" s="2882">
        <v>0.753</v>
      </c>
      <c r="CE153" s="2882">
        <v>0.83099999999999996</v>
      </c>
      <c r="CF153" s="2882">
        <v>0.83087500000000003</v>
      </c>
      <c r="CG153" s="3389"/>
      <c r="CH153" s="1044"/>
      <c r="CI153" s="885"/>
      <c r="CJ153" s="885"/>
      <c r="CK153" s="885"/>
      <c r="CL153" s="885"/>
      <c r="CM153" s="1044"/>
      <c r="CN153" s="885"/>
      <c r="CO153" s="885"/>
      <c r="CP153" s="885"/>
      <c r="CQ153" s="885"/>
      <c r="CR153" s="1044"/>
      <c r="CS153" s="885"/>
      <c r="CT153" s="1044"/>
      <c r="CV153" s="1201"/>
      <c r="CW153" s="1201"/>
      <c r="CX153" s="1201"/>
      <c r="DA153" s="212"/>
      <c r="DB153" s="1226"/>
    </row>
    <row r="154" spans="1:106" s="234" customFormat="1" x14ac:dyDescent="0.2">
      <c r="A154" s="1737" t="s">
        <v>2469</v>
      </c>
      <c r="B154" s="1924"/>
      <c r="C154" s="1924"/>
      <c r="D154" s="1924"/>
      <c r="E154" s="1924"/>
      <c r="F154" s="1890"/>
      <c r="G154" s="1924"/>
      <c r="H154" s="1924"/>
      <c r="I154" s="1924"/>
      <c r="J154" s="1924"/>
      <c r="K154" s="1890"/>
      <c r="L154" s="1924"/>
      <c r="M154" s="1924"/>
      <c r="N154" s="1924"/>
      <c r="O154" s="1924"/>
      <c r="P154" s="1890"/>
      <c r="Q154" s="1043"/>
      <c r="R154" s="1043"/>
      <c r="S154" s="1043"/>
      <c r="T154" s="1043"/>
      <c r="U154" s="1953"/>
      <c r="V154" s="1043"/>
      <c r="W154" s="1043"/>
      <c r="X154" s="1043"/>
      <c r="Y154" s="1043"/>
      <c r="Z154" s="1953"/>
      <c r="AA154" s="1043"/>
      <c r="AB154" s="1043"/>
      <c r="AC154" s="1043"/>
      <c r="AD154" s="1043"/>
      <c r="AE154" s="1953"/>
      <c r="AF154" s="1043"/>
      <c r="AG154" s="1043"/>
      <c r="AH154" s="1043"/>
      <c r="AI154" s="1043"/>
      <c r="AJ154" s="1953"/>
      <c r="AK154" s="1043"/>
      <c r="AL154" s="1043"/>
      <c r="AM154" s="1043"/>
      <c r="AN154" s="1043"/>
      <c r="AO154" s="1953"/>
      <c r="AP154" s="1043"/>
      <c r="AQ154" s="1043"/>
      <c r="AR154" s="1043"/>
      <c r="AS154" s="1043"/>
      <c r="AT154" s="1953"/>
      <c r="AU154" s="1043"/>
      <c r="AV154" s="1043"/>
      <c r="AW154" s="1043"/>
      <c r="AX154" s="1043"/>
      <c r="AY154" s="1953"/>
      <c r="AZ154" s="1043"/>
      <c r="BA154" s="1043"/>
      <c r="BB154" s="1043"/>
      <c r="BC154" s="1043"/>
      <c r="BD154" s="1953"/>
      <c r="BE154" s="1043"/>
      <c r="BF154" s="1043"/>
      <c r="BG154" s="1043"/>
      <c r="BH154" s="1043"/>
      <c r="BI154" s="1953"/>
      <c r="BJ154" s="1043"/>
      <c r="BK154" s="1043"/>
      <c r="BL154" s="1043"/>
      <c r="BM154" s="1043"/>
      <c r="BN154" s="1545"/>
      <c r="BO154" s="1043"/>
      <c r="BP154" s="1043"/>
      <c r="BQ154" s="1043"/>
      <c r="BR154" s="1043"/>
      <c r="BS154" s="3035"/>
      <c r="BT154" s="1043"/>
      <c r="BU154" s="1043"/>
      <c r="BV154" s="1043"/>
      <c r="BW154" s="1043"/>
      <c r="BX154" s="3035"/>
      <c r="BY154" s="1043"/>
      <c r="BZ154" s="1043"/>
      <c r="CA154" s="1043"/>
      <c r="CB154" s="2882">
        <v>-1.842751842751833E-2</v>
      </c>
      <c r="CC154" s="2881">
        <v>-1.0834956207203317E-2</v>
      </c>
      <c r="CD154" s="2882">
        <v>-3.0888030888030937E-2</v>
      </c>
      <c r="CE154" s="2882">
        <v>-2.4647887323943629E-2</v>
      </c>
      <c r="CF154" s="2882">
        <v>-2.2499999999999999E-2</v>
      </c>
      <c r="CG154" s="885"/>
      <c r="CH154" s="1044"/>
      <c r="CI154" s="2884"/>
      <c r="CJ154" s="2884"/>
      <c r="CK154" s="2884"/>
      <c r="CL154" s="2884"/>
      <c r="CM154" s="1044"/>
      <c r="CN154" s="2884"/>
      <c r="CO154" s="2884"/>
      <c r="CP154" s="2884"/>
      <c r="CQ154" s="2884"/>
      <c r="CR154" s="2908"/>
      <c r="CS154" s="2884"/>
      <c r="CT154" s="2908"/>
      <c r="CV154" s="1201"/>
      <c r="CW154" s="1201"/>
      <c r="CX154" s="1201"/>
      <c r="DA154" s="212"/>
      <c r="DB154" s="1226"/>
    </row>
    <row r="155" spans="1:106" s="234" customFormat="1" x14ac:dyDescent="0.2">
      <c r="A155" s="2765" t="s">
        <v>2457</v>
      </c>
      <c r="B155" s="1924"/>
      <c r="C155" s="1924"/>
      <c r="D155" s="1924"/>
      <c r="E155" s="1924"/>
      <c r="F155" s="1890"/>
      <c r="G155" s="1924"/>
      <c r="H155" s="1924"/>
      <c r="I155" s="1924"/>
      <c r="J155" s="1924"/>
      <c r="K155" s="1890"/>
      <c r="L155" s="1924"/>
      <c r="M155" s="1924"/>
      <c r="N155" s="1924"/>
      <c r="O155" s="1924"/>
      <c r="P155" s="1890"/>
      <c r="Q155" s="1043"/>
      <c r="R155" s="1043"/>
      <c r="S155" s="1043"/>
      <c r="T155" s="1043"/>
      <c r="U155" s="1953"/>
      <c r="V155" s="1043"/>
      <c r="W155" s="1043"/>
      <c r="X155" s="1043"/>
      <c r="Y155" s="1043"/>
      <c r="Z155" s="1953"/>
      <c r="AA155" s="1043"/>
      <c r="AB155" s="1043"/>
      <c r="AC155" s="1043"/>
      <c r="AD155" s="1043"/>
      <c r="AE155" s="1953"/>
      <c r="AF155" s="1043"/>
      <c r="AG155" s="1043"/>
      <c r="AH155" s="1043"/>
      <c r="AI155" s="1043"/>
      <c r="AJ155" s="1953"/>
      <c r="AK155" s="1043"/>
      <c r="AL155" s="1043"/>
      <c r="AM155" s="1043"/>
      <c r="AN155" s="1043"/>
      <c r="AO155" s="1953"/>
      <c r="AP155" s="1043"/>
      <c r="AQ155" s="1043"/>
      <c r="AR155" s="1043"/>
      <c r="AS155" s="1043"/>
      <c r="AT155" s="1953"/>
      <c r="AU155" s="1043"/>
      <c r="AV155" s="1043"/>
      <c r="AW155" s="1043"/>
      <c r="AX155" s="1043"/>
      <c r="AY155" s="1953"/>
      <c r="AZ155" s="1043"/>
      <c r="BA155" s="1043"/>
      <c r="BB155" s="1043"/>
      <c r="BC155" s="1043"/>
      <c r="BD155" s="1953"/>
      <c r="BE155" s="1043"/>
      <c r="BF155" s="1043"/>
      <c r="BG155" s="1043"/>
      <c r="BH155" s="1043"/>
      <c r="BI155" s="1953"/>
      <c r="BJ155" s="1043"/>
      <c r="BK155" s="1043"/>
      <c r="BL155" s="1043"/>
      <c r="BM155" s="1043"/>
      <c r="BN155" s="1545"/>
      <c r="BO155" s="1043"/>
      <c r="BP155" s="1043"/>
      <c r="BQ155" s="1043"/>
      <c r="BR155" s="1043"/>
      <c r="BS155" s="3035"/>
      <c r="BT155" s="1043"/>
      <c r="BU155" s="1043"/>
      <c r="BV155" s="1043"/>
      <c r="BW155" s="1043"/>
      <c r="BX155" s="3035"/>
      <c r="BY155" s="1043"/>
      <c r="BZ155" s="1043"/>
      <c r="CA155" s="1043"/>
      <c r="CB155" s="2882">
        <v>0.79</v>
      </c>
      <c r="CC155" s="2881">
        <v>0.81882465753424649</v>
      </c>
      <c r="CD155" s="2882">
        <v>0.76800000000000002</v>
      </c>
      <c r="CE155" s="2882">
        <v>0.83799999999999997</v>
      </c>
      <c r="CF155" s="2882">
        <v>0.83542499999999997</v>
      </c>
      <c r="CG155" s="2884"/>
      <c r="CH155" s="1044"/>
      <c r="CI155" s="885"/>
      <c r="CJ155" s="885"/>
      <c r="CK155" s="885"/>
      <c r="CL155" s="885"/>
      <c r="CM155" s="1044"/>
      <c r="CN155" s="885"/>
      <c r="CO155" s="885"/>
      <c r="CP155" s="885"/>
      <c r="CQ155" s="885"/>
      <c r="CR155" s="1044"/>
      <c r="CS155" s="885"/>
      <c r="CT155" s="1044"/>
      <c r="CV155" s="1201"/>
      <c r="CW155" s="1201"/>
      <c r="CX155" s="1201"/>
      <c r="DA155" s="212"/>
      <c r="DB155" s="1226"/>
    </row>
    <row r="156" spans="1:106" s="234" customFormat="1" x14ac:dyDescent="0.2">
      <c r="A156" s="1737" t="s">
        <v>2469</v>
      </c>
      <c r="B156" s="1924"/>
      <c r="C156" s="1924"/>
      <c r="D156" s="1924"/>
      <c r="E156" s="1924"/>
      <c r="F156" s="1890"/>
      <c r="G156" s="1924"/>
      <c r="H156" s="1924"/>
      <c r="I156" s="1924"/>
      <c r="J156" s="1924"/>
      <c r="K156" s="1890"/>
      <c r="L156" s="1924"/>
      <c r="M156" s="1924"/>
      <c r="N156" s="1924"/>
      <c r="O156" s="1924"/>
      <c r="P156" s="1890"/>
      <c r="Q156" s="1043"/>
      <c r="R156" s="1043"/>
      <c r="S156" s="1043"/>
      <c r="T156" s="1043"/>
      <c r="U156" s="1953"/>
      <c r="V156" s="1043"/>
      <c r="W156" s="1043"/>
      <c r="X156" s="1043"/>
      <c r="Y156" s="1043"/>
      <c r="Z156" s="1953"/>
      <c r="AA156" s="1043"/>
      <c r="AB156" s="1043"/>
      <c r="AC156" s="1043"/>
      <c r="AD156" s="1043"/>
      <c r="AE156" s="1953"/>
      <c r="AF156" s="1043"/>
      <c r="AG156" s="1043"/>
      <c r="AH156" s="1043"/>
      <c r="AI156" s="1043"/>
      <c r="AJ156" s="1953"/>
      <c r="AK156" s="1043"/>
      <c r="AL156" s="1043"/>
      <c r="AM156" s="1043"/>
      <c r="AN156" s="1043"/>
      <c r="AO156" s="1953"/>
      <c r="AP156" s="1043"/>
      <c r="AQ156" s="1043"/>
      <c r="AR156" s="1043"/>
      <c r="AS156" s="1043"/>
      <c r="AT156" s="1953"/>
      <c r="AU156" s="1043"/>
      <c r="AV156" s="1043"/>
      <c r="AW156" s="1043"/>
      <c r="AX156" s="1043"/>
      <c r="AY156" s="1953"/>
      <c r="AZ156" s="1043"/>
      <c r="BA156" s="1043"/>
      <c r="BB156" s="1043"/>
      <c r="BC156" s="1043"/>
      <c r="BD156" s="1953"/>
      <c r="BE156" s="1043"/>
      <c r="BF156" s="1043"/>
      <c r="BG156" s="1043"/>
      <c r="BH156" s="1043"/>
      <c r="BI156" s="1953"/>
      <c r="BJ156" s="1043"/>
      <c r="BK156" s="1043"/>
      <c r="BL156" s="1043"/>
      <c r="BM156" s="1043"/>
      <c r="BN156" s="1545"/>
      <c r="BO156" s="1043"/>
      <c r="BP156" s="1043"/>
      <c r="BQ156" s="1043"/>
      <c r="BR156" s="1043"/>
      <c r="BS156" s="3035"/>
      <c r="BT156" s="1043"/>
      <c r="BU156" s="1043"/>
      <c r="BV156" s="1043"/>
      <c r="BW156" s="1043"/>
      <c r="BX156" s="3035"/>
      <c r="BY156" s="1043"/>
      <c r="BZ156" s="1043"/>
      <c r="CA156" s="1043"/>
      <c r="CB156" s="2882">
        <v>2.3316062176165886E-2</v>
      </c>
      <c r="CC156" s="2881">
        <v>2.9184286284934968E-2</v>
      </c>
      <c r="CD156" s="2882">
        <v>-2.7848101265822822E-2</v>
      </c>
      <c r="CE156" s="2882">
        <v>-1.2956419316843326E-2</v>
      </c>
      <c r="CF156" s="2882">
        <v>-1.2500000000000001E-2</v>
      </c>
      <c r="CG156" s="885"/>
      <c r="CH156" s="1044"/>
      <c r="CI156" s="2884"/>
      <c r="CJ156" s="2884"/>
      <c r="CK156" s="2884"/>
      <c r="CL156" s="2884"/>
      <c r="CM156" s="1044"/>
      <c r="CN156" s="2884"/>
      <c r="CO156" s="2884"/>
      <c r="CP156" s="2884"/>
      <c r="CQ156" s="2884"/>
      <c r="CR156" s="2908"/>
      <c r="CS156" s="2884"/>
      <c r="CT156" s="2908"/>
      <c r="CV156" s="1201"/>
      <c r="CW156" s="1201"/>
      <c r="CX156" s="1201"/>
      <c r="DA156" s="212"/>
      <c r="DB156" s="1226"/>
    </row>
    <row r="157" spans="1:106" s="234" customFormat="1" x14ac:dyDescent="0.2">
      <c r="A157" s="2765" t="s">
        <v>2456</v>
      </c>
      <c r="B157" s="1924"/>
      <c r="C157" s="1924"/>
      <c r="D157" s="1924"/>
      <c r="E157" s="1924"/>
      <c r="F157" s="1890"/>
      <c r="G157" s="1924"/>
      <c r="H157" s="1924"/>
      <c r="I157" s="1924"/>
      <c r="J157" s="1924"/>
      <c r="K157" s="1890"/>
      <c r="L157" s="1924"/>
      <c r="M157" s="1924"/>
      <c r="N157" s="1924"/>
      <c r="O157" s="1924"/>
      <c r="P157" s="1890"/>
      <c r="Q157" s="1043"/>
      <c r="R157" s="1043"/>
      <c r="S157" s="1043"/>
      <c r="T157" s="1043"/>
      <c r="U157" s="1953"/>
      <c r="V157" s="1043"/>
      <c r="W157" s="1043"/>
      <c r="X157" s="1043"/>
      <c r="Y157" s="1043"/>
      <c r="Z157" s="1953"/>
      <c r="AA157" s="1043"/>
      <c r="AB157" s="1043"/>
      <c r="AC157" s="1043"/>
      <c r="AD157" s="1043"/>
      <c r="AE157" s="1953"/>
      <c r="AF157" s="1043"/>
      <c r="AG157" s="1043"/>
      <c r="AH157" s="1043"/>
      <c r="AI157" s="1043"/>
      <c r="AJ157" s="1953"/>
      <c r="AK157" s="1043"/>
      <c r="AL157" s="1043"/>
      <c r="AM157" s="1043"/>
      <c r="AN157" s="1043"/>
      <c r="AO157" s="1953"/>
      <c r="AP157" s="1043"/>
      <c r="AQ157" s="1043"/>
      <c r="AR157" s="1043"/>
      <c r="AS157" s="1043"/>
      <c r="AT157" s="1953"/>
      <c r="AU157" s="1043"/>
      <c r="AV157" s="1043"/>
      <c r="AW157" s="1043"/>
      <c r="AX157" s="1043"/>
      <c r="AY157" s="1953"/>
      <c r="AZ157" s="1043"/>
      <c r="BA157" s="1043"/>
      <c r="BB157" s="1043"/>
      <c r="BC157" s="1043"/>
      <c r="BD157" s="1953"/>
      <c r="BE157" s="1043"/>
      <c r="BF157" s="1043"/>
      <c r="BG157" s="1043"/>
      <c r="BH157" s="1043"/>
      <c r="BI157" s="1953"/>
      <c r="BJ157" s="1043"/>
      <c r="BK157" s="1043"/>
      <c r="BL157" s="1043"/>
      <c r="BM157" s="1043"/>
      <c r="BN157" s="1545"/>
      <c r="BO157" s="1043"/>
      <c r="BP157" s="1043"/>
      <c r="BQ157" s="1043"/>
      <c r="BR157" s="1043"/>
      <c r="BS157" s="3035"/>
      <c r="BT157" s="1043"/>
      <c r="BU157" s="1043"/>
      <c r="BV157" s="1043"/>
      <c r="BW157" s="1043"/>
      <c r="BX157" s="3035"/>
      <c r="BY157" s="1043"/>
      <c r="BZ157" s="1043"/>
      <c r="CA157" s="1043"/>
      <c r="CB157" s="2882">
        <v>0.68700000000000006</v>
      </c>
      <c r="CC157" s="2881">
        <v>0.73044383561643844</v>
      </c>
      <c r="CD157" s="2882">
        <v>0.67700000000000005</v>
      </c>
      <c r="CE157" s="2882">
        <v>0.78200000000000003</v>
      </c>
      <c r="CF157" s="2882">
        <v>0.79200000000000004</v>
      </c>
      <c r="CG157" s="3389"/>
      <c r="CH157" s="1044"/>
      <c r="CI157" s="885"/>
      <c r="CJ157" s="885"/>
      <c r="CK157" s="885"/>
      <c r="CL157" s="885"/>
      <c r="CM157" s="1044"/>
      <c r="CN157" s="885"/>
      <c r="CO157" s="885"/>
      <c r="CP157" s="885"/>
      <c r="CQ157" s="885"/>
      <c r="CR157" s="1044"/>
      <c r="CS157" s="885"/>
      <c r="CT157" s="1044"/>
      <c r="CV157" s="1201"/>
      <c r="CW157" s="1201"/>
      <c r="CX157" s="1201"/>
      <c r="DA157" s="212"/>
      <c r="DB157" s="1226"/>
    </row>
    <row r="158" spans="1:106" s="234" customFormat="1" x14ac:dyDescent="0.2">
      <c r="A158" s="1737" t="s">
        <v>2469</v>
      </c>
      <c r="B158" s="1924"/>
      <c r="C158" s="1924"/>
      <c r="D158" s="1924"/>
      <c r="E158" s="1924"/>
      <c r="F158" s="1890"/>
      <c r="G158" s="1924"/>
      <c r="H158" s="1924"/>
      <c r="I158" s="1924"/>
      <c r="J158" s="1924"/>
      <c r="K158" s="1890"/>
      <c r="L158" s="1924"/>
      <c r="M158" s="1924"/>
      <c r="N158" s="1924"/>
      <c r="O158" s="1924"/>
      <c r="P158" s="1890"/>
      <c r="Q158" s="1043"/>
      <c r="R158" s="1043"/>
      <c r="S158" s="1043"/>
      <c r="T158" s="1043"/>
      <c r="U158" s="1953"/>
      <c r="V158" s="1043"/>
      <c r="W158" s="1043"/>
      <c r="X158" s="1043"/>
      <c r="Y158" s="1043"/>
      <c r="Z158" s="1953"/>
      <c r="AA158" s="1043"/>
      <c r="AB158" s="1043"/>
      <c r="AC158" s="1043"/>
      <c r="AD158" s="1043"/>
      <c r="AE158" s="1953"/>
      <c r="AF158" s="1043"/>
      <c r="AG158" s="1043"/>
      <c r="AH158" s="1043"/>
      <c r="AI158" s="1043"/>
      <c r="AJ158" s="1953"/>
      <c r="AK158" s="1043"/>
      <c r="AL158" s="1043"/>
      <c r="AM158" s="1043"/>
      <c r="AN158" s="1043"/>
      <c r="AO158" s="1953"/>
      <c r="AP158" s="1043"/>
      <c r="AQ158" s="1043"/>
      <c r="AR158" s="1043"/>
      <c r="AS158" s="1043"/>
      <c r="AT158" s="1953"/>
      <c r="AU158" s="1043"/>
      <c r="AV158" s="1043"/>
      <c r="AW158" s="1043"/>
      <c r="AX158" s="1043"/>
      <c r="AY158" s="1953"/>
      <c r="AZ158" s="1043"/>
      <c r="BA158" s="1043"/>
      <c r="BB158" s="1043"/>
      <c r="BC158" s="1043"/>
      <c r="BD158" s="1953"/>
      <c r="BE158" s="1043"/>
      <c r="BF158" s="1043"/>
      <c r="BG158" s="1043"/>
      <c r="BH158" s="1043"/>
      <c r="BI158" s="1953"/>
      <c r="BJ158" s="1043"/>
      <c r="BK158" s="1043"/>
      <c r="BL158" s="1043"/>
      <c r="BM158" s="1043"/>
      <c r="BN158" s="1545"/>
      <c r="BO158" s="1043"/>
      <c r="BP158" s="1043"/>
      <c r="BQ158" s="1043"/>
      <c r="BR158" s="1043"/>
      <c r="BS158" s="3035"/>
      <c r="BT158" s="1043"/>
      <c r="BU158" s="1043"/>
      <c r="BV158" s="1043"/>
      <c r="BW158" s="1043"/>
      <c r="BX158" s="3035"/>
      <c r="BY158" s="1043"/>
      <c r="BZ158" s="1043"/>
      <c r="CA158" s="1043"/>
      <c r="CB158" s="2882">
        <v>2.3845007451564815E-2</v>
      </c>
      <c r="CC158" s="2881">
        <v>1.1844806843497313E-2</v>
      </c>
      <c r="CD158" s="2882">
        <v>-1.4749262536872809E-3</v>
      </c>
      <c r="CE158" s="2882">
        <v>2.3560209424083878E-2</v>
      </c>
      <c r="CF158" s="2882">
        <v>0</v>
      </c>
      <c r="CG158" s="885"/>
      <c r="CH158" s="1044"/>
      <c r="CI158" s="2884"/>
      <c r="CJ158" s="2884"/>
      <c r="CK158" s="2884"/>
      <c r="CL158" s="2884"/>
      <c r="CM158" s="1044"/>
      <c r="CN158" s="2884"/>
      <c r="CO158" s="2884"/>
      <c r="CP158" s="2884"/>
      <c r="CQ158" s="2884"/>
      <c r="CR158" s="2908"/>
      <c r="CS158" s="2884"/>
      <c r="CT158" s="2908"/>
      <c r="CV158" s="1201"/>
      <c r="CW158" s="1201"/>
      <c r="CX158" s="1201"/>
      <c r="DA158" s="212"/>
      <c r="DB158" s="1226"/>
    </row>
    <row r="159" spans="1:106" s="234" customFormat="1" x14ac:dyDescent="0.2">
      <c r="A159" s="2765" t="s">
        <v>2461</v>
      </c>
      <c r="B159" s="1924"/>
      <c r="C159" s="1924"/>
      <c r="D159" s="1924"/>
      <c r="E159" s="1924"/>
      <c r="F159" s="1890"/>
      <c r="G159" s="1924"/>
      <c r="H159" s="1924"/>
      <c r="I159" s="1924"/>
      <c r="J159" s="1924"/>
      <c r="K159" s="1890"/>
      <c r="L159" s="1924"/>
      <c r="M159" s="1924"/>
      <c r="N159" s="1924"/>
      <c r="O159" s="1924"/>
      <c r="P159" s="1890"/>
      <c r="Q159" s="1043"/>
      <c r="R159" s="1043"/>
      <c r="S159" s="1043"/>
      <c r="T159" s="1043"/>
      <c r="U159" s="1953"/>
      <c r="V159" s="1043"/>
      <c r="W159" s="1043"/>
      <c r="X159" s="1043"/>
      <c r="Y159" s="1043"/>
      <c r="Z159" s="1953"/>
      <c r="AA159" s="1043"/>
      <c r="AB159" s="1043"/>
      <c r="AC159" s="1043"/>
      <c r="AD159" s="1043"/>
      <c r="AE159" s="1953"/>
      <c r="AF159" s="1043"/>
      <c r="AG159" s="1043"/>
      <c r="AH159" s="1043"/>
      <c r="AI159" s="1043"/>
      <c r="AJ159" s="1953"/>
      <c r="AK159" s="1043"/>
      <c r="AL159" s="1043"/>
      <c r="AM159" s="1043"/>
      <c r="AN159" s="1043"/>
      <c r="AO159" s="1953"/>
      <c r="AP159" s="1043"/>
      <c r="AQ159" s="1043"/>
      <c r="AR159" s="1043"/>
      <c r="AS159" s="1043"/>
      <c r="AT159" s="1953"/>
      <c r="AU159" s="1043"/>
      <c r="AV159" s="1043"/>
      <c r="AW159" s="1043"/>
      <c r="AX159" s="1043"/>
      <c r="AY159" s="1953"/>
      <c r="AZ159" s="1043"/>
      <c r="BA159" s="1043"/>
      <c r="BB159" s="1043"/>
      <c r="BC159" s="1043"/>
      <c r="BD159" s="1953"/>
      <c r="BE159" s="1043"/>
      <c r="BF159" s="1043"/>
      <c r="BG159" s="1043"/>
      <c r="BH159" s="1043"/>
      <c r="BI159" s="1953"/>
      <c r="BJ159" s="1043"/>
      <c r="BK159" s="1043"/>
      <c r="BL159" s="1043"/>
      <c r="BM159" s="1043"/>
      <c r="BN159" s="1545"/>
      <c r="BO159" s="1043"/>
      <c r="BP159" s="1043"/>
      <c r="BQ159" s="1043"/>
      <c r="BR159" s="1043"/>
      <c r="BS159" s="3035"/>
      <c r="BT159" s="1043"/>
      <c r="BU159" s="1043"/>
      <c r="BV159" s="1043"/>
      <c r="BW159" s="1043"/>
      <c r="BX159" s="3035"/>
      <c r="BY159" s="1043"/>
      <c r="BZ159" s="1043"/>
      <c r="CA159" s="1043"/>
      <c r="CB159" s="2882">
        <v>0.71899999999999997</v>
      </c>
      <c r="CC159" s="2881">
        <v>0.76556986301369856</v>
      </c>
      <c r="CD159" s="2882">
        <v>0.71099999999999997</v>
      </c>
      <c r="CE159" s="2882">
        <v>0.82799999999999996</v>
      </c>
      <c r="CF159" s="2882">
        <v>0.80400000000000005</v>
      </c>
      <c r="CG159" s="3389"/>
      <c r="CH159" s="1044"/>
      <c r="CI159" s="885"/>
      <c r="CJ159" s="885"/>
      <c r="CK159" s="885"/>
      <c r="CL159" s="885"/>
      <c r="CM159" s="1044"/>
      <c r="CN159" s="885"/>
      <c r="CO159" s="885"/>
      <c r="CP159" s="885"/>
      <c r="CQ159" s="885"/>
      <c r="CR159" s="1044"/>
      <c r="CS159" s="885"/>
      <c r="CT159" s="1044"/>
      <c r="CV159" s="1201"/>
      <c r="CW159" s="1201"/>
      <c r="CX159" s="1201"/>
      <c r="DA159" s="212"/>
      <c r="DB159" s="1226"/>
    </row>
    <row r="160" spans="1:106" s="234" customFormat="1" x14ac:dyDescent="0.2">
      <c r="A160" s="1737" t="s">
        <v>2469</v>
      </c>
      <c r="B160" s="1924"/>
      <c r="C160" s="1924"/>
      <c r="D160" s="1924"/>
      <c r="E160" s="1924"/>
      <c r="F160" s="1890"/>
      <c r="G160" s="1924"/>
      <c r="H160" s="1924"/>
      <c r="I160" s="1924"/>
      <c r="J160" s="1924"/>
      <c r="K160" s="1890"/>
      <c r="L160" s="1924"/>
      <c r="M160" s="1924"/>
      <c r="N160" s="1924"/>
      <c r="O160" s="1924"/>
      <c r="P160" s="1890"/>
      <c r="Q160" s="1043"/>
      <c r="R160" s="1043"/>
      <c r="S160" s="1043"/>
      <c r="T160" s="1043"/>
      <c r="U160" s="1953"/>
      <c r="V160" s="1043"/>
      <c r="W160" s="1043"/>
      <c r="X160" s="1043"/>
      <c r="Y160" s="1043"/>
      <c r="Z160" s="1953"/>
      <c r="AA160" s="1043"/>
      <c r="AB160" s="1043"/>
      <c r="AC160" s="1043"/>
      <c r="AD160" s="1043"/>
      <c r="AE160" s="1953"/>
      <c r="AF160" s="1043"/>
      <c r="AG160" s="1043"/>
      <c r="AH160" s="1043"/>
      <c r="AI160" s="1043"/>
      <c r="AJ160" s="1953"/>
      <c r="AK160" s="1043"/>
      <c r="AL160" s="1043"/>
      <c r="AM160" s="1043"/>
      <c r="AN160" s="1043"/>
      <c r="AO160" s="1953"/>
      <c r="AP160" s="1043"/>
      <c r="AQ160" s="1043"/>
      <c r="AR160" s="1043"/>
      <c r="AS160" s="1043"/>
      <c r="AT160" s="1953"/>
      <c r="AU160" s="1043"/>
      <c r="AV160" s="1043"/>
      <c r="AW160" s="1043"/>
      <c r="AX160" s="1043"/>
      <c r="AY160" s="1953"/>
      <c r="AZ160" s="1043"/>
      <c r="BA160" s="1043"/>
      <c r="BB160" s="1043"/>
      <c r="BC160" s="1043"/>
      <c r="BD160" s="1953"/>
      <c r="BE160" s="1043"/>
      <c r="BF160" s="1043"/>
      <c r="BG160" s="1043"/>
      <c r="BH160" s="1043"/>
      <c r="BI160" s="1953"/>
      <c r="BJ160" s="1043"/>
      <c r="BK160" s="1043"/>
      <c r="BL160" s="1043"/>
      <c r="BM160" s="1043"/>
      <c r="BN160" s="1545"/>
      <c r="BO160" s="1043"/>
      <c r="BP160" s="1043"/>
      <c r="BQ160" s="1043"/>
      <c r="BR160" s="1043"/>
      <c r="BS160" s="3035"/>
      <c r="BT160" s="1043"/>
      <c r="BU160" s="1043"/>
      <c r="BV160" s="1043"/>
      <c r="BW160" s="1043"/>
      <c r="BX160" s="3035"/>
      <c r="BY160" s="1043"/>
      <c r="BZ160" s="1043"/>
      <c r="CA160" s="1043"/>
      <c r="CB160" s="2882">
        <v>-1.2362637362637319E-2</v>
      </c>
      <c r="CC160" s="2881">
        <v>1.1470911881388712E-2</v>
      </c>
      <c r="CD160" s="2882">
        <v>-2.8688524590163911E-2</v>
      </c>
      <c r="CE160" s="2882">
        <v>2.6022304832713727E-2</v>
      </c>
      <c r="CF160" s="2882">
        <v>0</v>
      </c>
      <c r="CG160" s="885"/>
      <c r="CH160" s="1044"/>
      <c r="CI160" s="2884"/>
      <c r="CJ160" s="2884"/>
      <c r="CK160" s="2884"/>
      <c r="CL160" s="2884"/>
      <c r="CM160" s="1044"/>
      <c r="CN160" s="2884"/>
      <c r="CO160" s="2884"/>
      <c r="CP160" s="2884"/>
      <c r="CQ160" s="2884"/>
      <c r="CR160" s="2908"/>
      <c r="CS160" s="2884"/>
      <c r="CT160" s="2908"/>
      <c r="CV160" s="1201"/>
      <c r="CW160" s="1201"/>
      <c r="CX160" s="1201"/>
      <c r="DA160" s="212"/>
      <c r="DB160" s="1226"/>
    </row>
    <row r="161" spans="1:106" s="234" customFormat="1" x14ac:dyDescent="0.2">
      <c r="A161" s="2765" t="s">
        <v>1931</v>
      </c>
      <c r="B161" s="1924"/>
      <c r="C161" s="1924"/>
      <c r="D161" s="1924"/>
      <c r="E161" s="1924"/>
      <c r="F161" s="1890"/>
      <c r="G161" s="1924"/>
      <c r="H161" s="1924"/>
      <c r="I161" s="1924"/>
      <c r="J161" s="1924"/>
      <c r="K161" s="1890"/>
      <c r="L161" s="1924"/>
      <c r="M161" s="1924"/>
      <c r="N161" s="1924"/>
      <c r="O161" s="1924"/>
      <c r="P161" s="1890"/>
      <c r="Q161" s="1043"/>
      <c r="R161" s="1043"/>
      <c r="S161" s="1043"/>
      <c r="T161" s="1043"/>
      <c r="U161" s="1953"/>
      <c r="V161" s="1043"/>
      <c r="W161" s="1043"/>
      <c r="X161" s="1043"/>
      <c r="Y161" s="1043"/>
      <c r="Z161" s="1953"/>
      <c r="AA161" s="1043"/>
      <c r="AB161" s="1043"/>
      <c r="AC161" s="1043"/>
      <c r="AD161" s="1043"/>
      <c r="AE161" s="1953"/>
      <c r="AF161" s="1043"/>
      <c r="AG161" s="1043"/>
      <c r="AH161" s="1043"/>
      <c r="AI161" s="1043"/>
      <c r="AJ161" s="1953"/>
      <c r="AK161" s="1043"/>
      <c r="AL161" s="1043"/>
      <c r="AM161" s="1043"/>
      <c r="AN161" s="1043"/>
      <c r="AO161" s="1953"/>
      <c r="AP161" s="1043"/>
      <c r="AQ161" s="1043"/>
      <c r="AR161" s="1043"/>
      <c r="AS161" s="1043"/>
      <c r="AT161" s="1953"/>
      <c r="AU161" s="1043"/>
      <c r="AV161" s="1043"/>
      <c r="AW161" s="1043"/>
      <c r="AX161" s="1043"/>
      <c r="AY161" s="1953"/>
      <c r="AZ161" s="1043"/>
      <c r="BA161" s="1043"/>
      <c r="BB161" s="1043"/>
      <c r="BC161" s="1043"/>
      <c r="BD161" s="1953"/>
      <c r="BE161" s="1043"/>
      <c r="BF161" s="1043"/>
      <c r="BG161" s="1043"/>
      <c r="BH161" s="1043"/>
      <c r="BI161" s="1953"/>
      <c r="BJ161" s="1043"/>
      <c r="BK161" s="1043"/>
      <c r="BL161" s="1043"/>
      <c r="BM161" s="1043"/>
      <c r="BN161" s="1545"/>
      <c r="BO161" s="1043"/>
      <c r="BP161" s="1043"/>
      <c r="BQ161" s="1043"/>
      <c r="BR161" s="1043"/>
      <c r="BS161" s="3035"/>
      <c r="BT161" s="1043"/>
      <c r="BU161" s="1043"/>
      <c r="BV161" s="1043"/>
      <c r="BW161" s="1043"/>
      <c r="BX161" s="3035"/>
      <c r="BY161" s="1043"/>
      <c r="BZ161" s="1043"/>
      <c r="CA161" s="1043"/>
      <c r="CB161" s="2882"/>
      <c r="CC161" s="2881"/>
      <c r="CD161" s="2882"/>
      <c r="CE161" s="2882"/>
      <c r="CF161" s="2882"/>
      <c r="CG161" s="2882"/>
      <c r="CH161" s="2881"/>
      <c r="CI161" s="2882"/>
      <c r="CJ161" s="2882"/>
      <c r="CK161" s="2882"/>
      <c r="CL161" s="2882"/>
      <c r="CM161" s="2881"/>
      <c r="CN161" s="2882"/>
      <c r="CO161" s="2882"/>
      <c r="CP161" s="2882"/>
      <c r="CQ161" s="2882"/>
      <c r="CR161" s="2881"/>
      <c r="CS161" s="2882"/>
      <c r="CT161" s="2881"/>
      <c r="CV161" s="1201"/>
      <c r="CW161" s="1201"/>
      <c r="CX161" s="1201"/>
      <c r="DA161" s="212"/>
      <c r="DB161" s="1226"/>
    </row>
    <row r="162" spans="1:106" s="234" customFormat="1" x14ac:dyDescent="0.2">
      <c r="A162" s="1737" t="s">
        <v>2469</v>
      </c>
      <c r="B162" s="1924"/>
      <c r="C162" s="1924"/>
      <c r="D162" s="1924"/>
      <c r="E162" s="1924"/>
      <c r="F162" s="1890"/>
      <c r="G162" s="1924"/>
      <c r="H162" s="1924"/>
      <c r="I162" s="1924"/>
      <c r="J162" s="1924"/>
      <c r="K162" s="1890"/>
      <c r="L162" s="1924"/>
      <c r="M162" s="1924"/>
      <c r="N162" s="1924"/>
      <c r="O162" s="1924"/>
      <c r="P162" s="1890"/>
      <c r="Q162" s="1043"/>
      <c r="R162" s="1043"/>
      <c r="S162" s="1043"/>
      <c r="T162" s="1043"/>
      <c r="U162" s="1953"/>
      <c r="V162" s="1043"/>
      <c r="W162" s="1043"/>
      <c r="X162" s="1043"/>
      <c r="Y162" s="1043"/>
      <c r="Z162" s="1953"/>
      <c r="AA162" s="1043"/>
      <c r="AB162" s="1043"/>
      <c r="AC162" s="1043"/>
      <c r="AD162" s="1043"/>
      <c r="AE162" s="1953"/>
      <c r="AF162" s="1043"/>
      <c r="AG162" s="1043"/>
      <c r="AH162" s="1043"/>
      <c r="AI162" s="1043"/>
      <c r="AJ162" s="1953"/>
      <c r="AK162" s="1043"/>
      <c r="AL162" s="1043"/>
      <c r="AM162" s="1043"/>
      <c r="AN162" s="1043"/>
      <c r="AO162" s="1953"/>
      <c r="AP162" s="1043"/>
      <c r="AQ162" s="1043"/>
      <c r="AR162" s="1043"/>
      <c r="AS162" s="1043"/>
      <c r="AT162" s="1953"/>
      <c r="AU162" s="1043"/>
      <c r="AV162" s="1043"/>
      <c r="AW162" s="1043"/>
      <c r="AX162" s="1043"/>
      <c r="AY162" s="1953"/>
      <c r="AZ162" s="1043"/>
      <c r="BA162" s="1043"/>
      <c r="BB162" s="1043"/>
      <c r="BC162" s="1043"/>
      <c r="BD162" s="1953"/>
      <c r="BE162" s="1043"/>
      <c r="BF162" s="1043"/>
      <c r="BG162" s="1043"/>
      <c r="BH162" s="1043"/>
      <c r="BI162" s="1953"/>
      <c r="BJ162" s="1043"/>
      <c r="BK162" s="1043"/>
      <c r="BL162" s="1043"/>
      <c r="BM162" s="1043"/>
      <c r="BN162" s="1545"/>
      <c r="BO162" s="1043"/>
      <c r="BP162" s="1043"/>
      <c r="BQ162" s="1043"/>
      <c r="BR162" s="1043"/>
      <c r="BS162" s="3035"/>
      <c r="BT162" s="1043"/>
      <c r="BU162" s="1043"/>
      <c r="BV162" s="1043"/>
      <c r="BW162" s="1043"/>
      <c r="BX162" s="3035"/>
      <c r="BY162" s="1043"/>
      <c r="BZ162" s="1043"/>
      <c r="CA162" s="1043"/>
      <c r="CB162" s="2882"/>
      <c r="CC162" s="2881"/>
      <c r="CD162" s="2882"/>
      <c r="CE162" s="2882"/>
      <c r="CF162" s="2882"/>
      <c r="CG162" s="2882"/>
      <c r="CH162" s="2881"/>
      <c r="CI162" s="2882"/>
      <c r="CJ162" s="2882"/>
      <c r="CK162" s="2882"/>
      <c r="CL162" s="2882"/>
      <c r="CM162" s="2886"/>
      <c r="CN162" s="2882"/>
      <c r="CO162" s="2882"/>
      <c r="CP162" s="2882"/>
      <c r="CQ162" s="2882"/>
      <c r="CR162" s="2886"/>
      <c r="CS162" s="2882"/>
      <c r="CT162" s="2881"/>
      <c r="CV162" s="1201"/>
      <c r="CW162" s="1201"/>
      <c r="CX162" s="1201"/>
      <c r="DA162" s="212"/>
      <c r="DB162" s="1226"/>
    </row>
    <row r="163" spans="1:106" x14ac:dyDescent="0.2">
      <c r="A163" s="331" t="s">
        <v>516</v>
      </c>
      <c r="B163" s="1552"/>
      <c r="C163" s="1552"/>
      <c r="D163" s="1552"/>
      <c r="E163" s="1552"/>
      <c r="F163" s="1553"/>
      <c r="G163" s="1552">
        <f>(G119*Rooms!I530+RevPAR!G122*Rooms!I531+RevPAR!G128*Rooms!I534+RevPAR!G131*Rooms!I540+RevPAR!G134*Rooms!I538+RevPAR!G137*Rooms!I542+RevPAR!G140*Rooms!I541+RevPAR!G143*Rooms!I541)/(Rooms!I563-Rooms!I532-Rooms!I536)</f>
        <v>0.67921319687184301</v>
      </c>
      <c r="H163" s="1552">
        <f>(H119*Rooms!J530+RevPAR!H122*Rooms!J531+RevPAR!H128*Rooms!J534+RevPAR!H131*Rooms!J540+RevPAR!H134*Rooms!J538+RevPAR!H137*Rooms!J542+RevPAR!H140*Rooms!J541+RevPAR!H143*Rooms!J541)/(Rooms!J563-Rooms!J532-Rooms!J536)</f>
        <v>0.70652779743029326</v>
      </c>
      <c r="I163" s="1552">
        <f>(I119*Rooms!K530+RevPAR!I122*Rooms!K531+RevPAR!I128*Rooms!K534+RevPAR!I131*Rooms!K540+RevPAR!I134*Rooms!K538+RevPAR!I137*Rooms!K542+RevPAR!I140*Rooms!K541+RevPAR!I143*Rooms!K541)/(Rooms!K563-Rooms!K532-Rooms!K536)</f>
        <v>0.69560032650268977</v>
      </c>
      <c r="J163" s="1552">
        <f>(J119*Rooms!L530+RevPAR!J122*Rooms!L531+RevPAR!J128*Rooms!L534+RevPAR!J131*Rooms!L540+RevPAR!J134*Rooms!L538+RevPAR!J137*Rooms!L542+RevPAR!J140*Rooms!L541+RevPAR!J143*Rooms!L541)/(Rooms!L563-Rooms!L532-Rooms!L536)</f>
        <v>0.5935790359187797</v>
      </c>
      <c r="K163" s="1553">
        <f>(K119*Rooms!M530+RevPAR!K122*Rooms!M531+RevPAR!K128*Rooms!M534+RevPAR!K131*Rooms!M540+RevPAR!K134*Rooms!M538+RevPAR!K137*Rooms!M542+RevPAR!K140*Rooms!M541+RevPAR!K143*Rooms!M541)/(Rooms!M563-Rooms!M532-Rooms!M536)</f>
        <v>0.65891749759766038</v>
      </c>
      <c r="L163" s="1552">
        <f>(L119*Rooms!N530+RevPAR!L122*Rooms!N531+RevPAR!L128*Rooms!N534+RevPAR!L131*Rooms!N540+RevPAR!L134*Rooms!N538+RevPAR!L137*Rooms!N542+RevPAR!L140*Rooms!N541+RevPAR!L143*Rooms!N541)/(Rooms!N563-Rooms!N532-Rooms!N536)</f>
        <v>0.63198332918711042</v>
      </c>
      <c r="M163" s="1552">
        <f>(M119*Rooms!O530+RevPAR!M122*Rooms!O531+RevPAR!M128*Rooms!O534+RevPAR!M131*Rooms!O540+RevPAR!M134*Rooms!O538+RevPAR!M137*Rooms!O542+RevPAR!M140*Rooms!O541+RevPAR!M143*Rooms!O541)/(Rooms!O563-Rooms!O532-Rooms!O536)</f>
        <v>0.65959119087618012</v>
      </c>
      <c r="N163" s="1552">
        <f>(N119*Rooms!P530+RevPAR!N122*Rooms!P531+RevPAR!N128*Rooms!P534+RevPAR!N131*Rooms!P540+RevPAR!N134*Rooms!P538+RevPAR!N137*Rooms!P542+RevPAR!N140*Rooms!P541+RevPAR!N143*Rooms!P541)/(Rooms!P563-Rooms!P532-Rooms!P536)</f>
        <v>0.67070408918236812</v>
      </c>
      <c r="O163" s="1552">
        <f>(O119*Rooms!Q530+RevPAR!O122*Rooms!Q531+RevPAR!O128*Rooms!Q534+RevPAR!O131*Rooms!Q540+RevPAR!O134*Rooms!Q538+RevPAR!O137*Rooms!Q542+RevPAR!O140*Rooms!Q541+RevPAR!O143*Rooms!Q541)/(Rooms!Q563-Rooms!Q532-Rooms!Q536)</f>
        <v>0.65379529774015666</v>
      </c>
      <c r="P163" s="1553">
        <f>(P119*Rooms!R530+RevPAR!P122*Rooms!R531+RevPAR!P128*Rooms!R534+RevPAR!P131*Rooms!R540+RevPAR!P134*Rooms!R538+RevPAR!P137*Rooms!R542+RevPAR!P140*Rooms!R541+RevPAR!P143*Rooms!R541)/(Rooms!R563-Rooms!R532-Rooms!R536)</f>
        <v>0.65356177208207111</v>
      </c>
      <c r="Q163" s="1552">
        <f>(Q119*Rooms!S530+RevPAR!Q122*Rooms!S531+RevPAR!Q128*Rooms!S534+RevPAR!Q131*Rooms!S540+RevPAR!Q134*Rooms!S538+RevPAR!Q137*Rooms!S542+RevPAR!Q140*Rooms!S541+RevPAR!Q143*Rooms!S541)/(Rooms!S563-Rooms!S532-Rooms!S536)</f>
        <v>0.61818953011135236</v>
      </c>
      <c r="R163" s="1552">
        <f>(R119*Rooms!T530+RevPAR!R122*Rooms!T531+RevPAR!R128*Rooms!T534+RevPAR!R131*Rooms!T540+RevPAR!R134*Rooms!T538+RevPAR!R137*Rooms!T542+RevPAR!R140*Rooms!T541+RevPAR!R143*Rooms!T541)/(Rooms!T563-Rooms!T532-Rooms!T536)</f>
        <v>0.70179382789614952</v>
      </c>
      <c r="S163" s="1552">
        <f>(S119*Rooms!U530+RevPAR!S122*Rooms!U531+RevPAR!S128*Rooms!U534+RevPAR!S131*Rooms!U540+RevPAR!S134*Rooms!U538+RevPAR!S137*Rooms!U542+RevPAR!S140*Rooms!U541+RevPAR!S143*Rooms!U541)/(Rooms!U563-Rooms!U532-Rooms!U536)</f>
        <v>0.72454455540803164</v>
      </c>
      <c r="T163" s="1552">
        <f>(T119*Rooms!V530+RevPAR!T122*Rooms!V531+RevPAR!T128*Rooms!V534+RevPAR!T131*Rooms!V540+RevPAR!T134*Rooms!V538+RevPAR!T137*Rooms!V542+RevPAR!T140*Rooms!V541+RevPAR!T143*Rooms!V541)/(Rooms!V563-Rooms!V532-Rooms!V536)</f>
        <v>0.65077233530778533</v>
      </c>
      <c r="U163" s="1553">
        <f>(U119*Rooms!W530+RevPAR!U122*Rooms!W531+RevPAR!U128*Rooms!W534+RevPAR!U131*Rooms!W540+RevPAR!U134*Rooms!W538+RevPAR!U137*Rooms!W542+RevPAR!U140*Rooms!W541+RevPAR!U143*Rooms!W541)/(Rooms!W563-Rooms!W532-Rooms!W536)</f>
        <v>0.67231834138470092</v>
      </c>
      <c r="V163" s="1552">
        <f>(V119*Rooms!X530+RevPAR!V122*Rooms!X531+RevPAR!V128*Rooms!X534+RevPAR!V131*Rooms!X540+RevPAR!V134*Rooms!X538+RevPAR!V137*Rooms!X542+RevPAR!V140*Rooms!X541+RevPAR!V143*Rooms!X541)/(Rooms!X563-Rooms!X532-Rooms!X536)</f>
        <v>0.67991714143496351</v>
      </c>
      <c r="W163" s="1552">
        <f>(W119*Rooms!Y530+RevPAR!W122*Rooms!Y531+RevPAR!W128*Rooms!Y534+RevPAR!W131*Rooms!Y540+RevPAR!W134*Rooms!Y538+RevPAR!W137*Rooms!Y542+RevPAR!W140*Rooms!Y541+RevPAR!W143*Rooms!Y541)/(Rooms!Y563-Rooms!Y532-Rooms!Y536)</f>
        <v>0.73608275686332358</v>
      </c>
      <c r="X163" s="1552">
        <f>(X119*Rooms!Z530+RevPAR!X122*Rooms!Z531+RevPAR!X128*Rooms!Z534+RevPAR!X131*Rooms!Z540+RevPAR!X134*Rooms!Z538+RevPAR!X137*Rooms!Z542+RevPAR!X140*Rooms!Z541+RevPAR!X143*Rooms!Z541)/(Rooms!Z563-Rooms!Z532-Rooms!Z536)</f>
        <v>0.74480296644664323</v>
      </c>
      <c r="Y163" s="1552">
        <f>(Y119*Rooms!AA530+RevPAR!Y122*Rooms!AA531+RevPAR!Y128*Rooms!AA534+RevPAR!Y131*Rooms!AA540+RevPAR!Y134*Rooms!AA538+RevPAR!Y137*Rooms!AA542+RevPAR!Y140*Rooms!AA541+RevPAR!Y143*Rooms!AA541)/(Rooms!AA563-Rooms!AA532-Rooms!AA536)</f>
        <v>0.70728928623423371</v>
      </c>
      <c r="Z163" s="1553">
        <f>(Z119*Rooms!AB530+RevPAR!Z122*Rooms!AB531+RevPAR!Z128*Rooms!AB534+RevPAR!Z131*Rooms!AB540+RevPAR!Z134*Rooms!AB538+RevPAR!Z137*Rooms!AB542+RevPAR!Z140*Rooms!AB541+RevPAR!Z143*Rooms!AB541)/(Rooms!AB563-Rooms!AB532-Rooms!AB536)</f>
        <v>0.71548186117256352</v>
      </c>
      <c r="AA163" s="1552">
        <f>(AA119*Rooms!AC530+RevPAR!AA122*Rooms!AC531+RevPAR!AA128*Rooms!AC534+RevPAR!AA131*Rooms!AC540+RevPAR!AA134*Rooms!AC538+RevPAR!AA137*Rooms!AC542+RevPAR!AA140*Rooms!AC541+RevPAR!AA143*Rooms!AC541)/(Rooms!AC563-Rooms!AC532-Rooms!AC536)</f>
        <v>0.68391612918517897</v>
      </c>
      <c r="AB163" s="1552">
        <f>(AB119*Rooms!AD530+RevPAR!AB122*Rooms!AD531+RevPAR!AB128*Rooms!AD534+RevPAR!AB131*Rooms!AD540+RevPAR!AB134*Rooms!AD538+RevPAR!AB137*Rooms!AD542+RevPAR!AB140*Rooms!AD541+RevPAR!AB143*Rooms!AD541)/(Rooms!AD563-Rooms!AD532-Rooms!AD536)</f>
        <v>0.74583552389141383</v>
      </c>
      <c r="AC163" s="1552">
        <f>(AC119*Rooms!AE530+RevPAR!AC122*Rooms!AE531+RevPAR!AC128*Rooms!AE534+RevPAR!AC131*Rooms!AE540+RevPAR!AC134*Rooms!AE538+RevPAR!AC137*Rooms!AE542+RevPAR!AC140*Rooms!AE541+RevPAR!AC143*Rooms!AE541)/(Rooms!AE563-Rooms!AE532-Rooms!AE536)</f>
        <v>0.75273531783379877</v>
      </c>
      <c r="AD163" s="1552">
        <f>(AD119*Rooms!AF530+RevPAR!AD122*Rooms!AF531+RevPAR!AD128*Rooms!AF534+RevPAR!AD131*Rooms!AF540+RevPAR!AD134*Rooms!AF538+RevPAR!AD137*Rooms!AF542+RevPAR!AD140*Rooms!AF541+RevPAR!AD143*Rooms!AF541)/(Rooms!AF563-Rooms!AF532-Rooms!AF536)</f>
        <v>0.6995538290406299</v>
      </c>
      <c r="AE163" s="1553">
        <f>(AE119*Rooms!AG530+RevPAR!AE122*Rooms!AG531+RevPAR!AE128*Rooms!AG534+RevPAR!AE131*Rooms!AG540+RevPAR!AE134*Rooms!AG538+RevPAR!AE137*Rooms!AG542+RevPAR!AE140*Rooms!AG541+RevPAR!AE143*Rooms!AG541)/(Rooms!AG563-Rooms!AG532-Rooms!AG536)</f>
        <v>0.71880091047573647</v>
      </c>
      <c r="AF163" s="1552">
        <f>(AF119*Rooms!AH530+RevPAR!AF122*Rooms!AH531+RevPAR!AF128*Rooms!AH534+RevPAR!AF131*Rooms!AH540+RevPAR!AF134*Rooms!AH538+RevPAR!AF137*Rooms!AH542+RevPAR!AF140*Rooms!AH541+RevPAR!AF143*Rooms!AH541)/(Rooms!AH563-Rooms!AH532-Rooms!AH536)</f>
        <v>0.69376919254341241</v>
      </c>
      <c r="AG163" s="1552">
        <f>(AG119*Rooms!AI530+RevPAR!AG122*Rooms!AI531+RevPAR!AG128*Rooms!AI534+RevPAR!AG131*Rooms!AI540+RevPAR!AG134*Rooms!AI538+RevPAR!AG137*Rooms!AI542+RevPAR!AG140*Rooms!AI541+RevPAR!AG143*Rooms!AI541)/(Rooms!AI563-Rooms!AI532-Rooms!AI536)</f>
        <v>0.72438681969973084</v>
      </c>
      <c r="AH163" s="1552">
        <f>(AH119*Rooms!AJ530+RevPAR!AH122*Rooms!AJ531+RevPAR!AH128*Rooms!AJ534+RevPAR!AH131*Rooms!AJ540+RevPAR!AH134*Rooms!AJ538+RevPAR!AH137*Rooms!AJ542+RevPAR!AH140*Rooms!AJ541+RevPAR!AH143*Rooms!AJ541)/(Rooms!AJ563-Rooms!AJ532-Rooms!AJ536)</f>
        <v>0.73291717105229237</v>
      </c>
      <c r="AI163" s="1552">
        <f>(AI119*Rooms!AK530+RevPAR!AI122*Rooms!AK531+RevPAR!AI128*Rooms!AK534+RevPAR!AI131*Rooms!AK540+RevPAR!AI134*Rooms!AK538+RevPAR!AI137*Rooms!AK542+RevPAR!AI140*Rooms!AK541+RevPAR!AI143*Rooms!AK541)/(Rooms!AK563-Rooms!AK532-Rooms!AK536)</f>
        <v>0.68894896019576735</v>
      </c>
      <c r="AJ163" s="1553">
        <f>(AJ119*Rooms!AL530+RevPAR!AJ122*Rooms!AL531+RevPAR!AJ128*Rooms!AL534+RevPAR!AJ131*Rooms!AL540+RevPAR!AJ134*Rooms!AL538+RevPAR!AJ137*Rooms!AL542+RevPAR!AJ140*Rooms!AL541+RevPAR!AJ143*Rooms!AL541)/(Rooms!AL563-Rooms!AL532-Rooms!AL536)</f>
        <v>0.70759426108887691</v>
      </c>
      <c r="AK163" s="1552">
        <f>(AK119*Rooms!AM530+RevPAR!AK122*Rooms!AM531+RevPAR!AK128*Rooms!AM534+RevPAR!AK131*Rooms!AM540+RevPAR!AK134*Rooms!AM538+RevPAR!AK137*Rooms!AM542+RevPAR!AK140*Rooms!AM541+RevPAR!AK143*Rooms!AM541)/(Rooms!AM563-Rooms!AM532-Rooms!AM536)</f>
        <v>0.67328913460277506</v>
      </c>
      <c r="AL163" s="1552">
        <f>(AL119*Rooms!AN530+RevPAR!AL122*Rooms!AN531+RevPAR!AL128*Rooms!AN534+RevPAR!AL131*Rooms!AN540+RevPAR!AL134*Rooms!AN538+RevPAR!AL137*Rooms!AN542+RevPAR!AL140*Rooms!AN541+RevPAR!AL143*Rooms!AN541)/(Rooms!AN563-Rooms!AN532-Rooms!AN536)</f>
        <v>0.74936516379329565</v>
      </c>
      <c r="AM163" s="1552">
        <f>(AM119*Rooms!AO530+RevPAR!AM122*Rooms!AO531+RevPAR!AM128*Rooms!AO534+RevPAR!AM131*Rooms!AO540+RevPAR!AM134*Rooms!AO538+RevPAR!AM137*Rooms!AO542+RevPAR!AM140*Rooms!AO541+RevPAR!AM143*Rooms!AO541)/(Rooms!AO563-Rooms!AO532-Rooms!AO536)</f>
        <v>0.75468322024123569</v>
      </c>
      <c r="AN163" s="1552">
        <f>(AN119*Rooms!AP530+RevPAR!AN122*Rooms!AP531+RevPAR!AN128*Rooms!AP534+RevPAR!AN131*Rooms!AP540+RevPAR!AN134*Rooms!AP538+RevPAR!AN137*Rooms!AP542+RevPAR!AN140*Rooms!AP541+RevPAR!AN143*Rooms!AP541)/(Rooms!AP563-Rooms!AP532-Rooms!AP536)</f>
        <v>0.6864829617032755</v>
      </c>
      <c r="AO163" s="1553">
        <f>(AO119*Rooms!AQ530+RevPAR!AO122*Rooms!AQ531+RevPAR!AO128*Rooms!AQ534+RevPAR!AO131*Rooms!AQ540+RevPAR!AO134*Rooms!AQ538+RevPAR!AO137*Rooms!AQ542+RevPAR!AO140*Rooms!AQ541+RevPAR!AO143*Rooms!AQ541)/(Rooms!AQ563-Rooms!AQ532-Rooms!AQ536)</f>
        <v>0.71353529201741039</v>
      </c>
      <c r="AP163" s="1552">
        <f>(AP119*Rooms!AR530+RevPAR!AP122*Rooms!AR531+RevPAR!AP128*Rooms!AR534+RevPAR!AP131*Rooms!AR540+RevPAR!AP134*Rooms!AR538+RevPAR!AP137*Rooms!AR542+RevPAR!AP140*Rooms!AR541+RevPAR!AP143*Rooms!AR541)/(Rooms!AR563-Rooms!AR532-Rooms!AR536)</f>
        <v>0.6554990705076128</v>
      </c>
      <c r="AQ163" s="1552">
        <f>(AQ119*Rooms!AS530+RevPAR!AQ122*Rooms!AS531+RevPAR!AQ128*Rooms!AS534+RevPAR!AQ131*Rooms!AS540+RevPAR!AQ134*Rooms!AS538+RevPAR!AQ137*Rooms!AS542+RevPAR!AQ140*Rooms!AS541+RevPAR!AQ143*Rooms!AS541)/(Rooms!AS563-Rooms!AS532-Rooms!AS536)</f>
        <v>0.72624031782001652</v>
      </c>
      <c r="AR163" s="1552">
        <f>(AR119*Rooms!AT530+RevPAR!AR122*Rooms!AT531+RevPAR!AR128*Rooms!AT534+RevPAR!AR131*Rooms!AT540+RevPAR!AR134*Rooms!AT538+RevPAR!AR137*Rooms!AT542+RevPAR!AR140*Rooms!AT541+RevPAR!AR143*Rooms!AT541)/(Rooms!AT563-Rooms!AT532-Rooms!AT536)</f>
        <v>0.72851612496114537</v>
      </c>
      <c r="AS163" s="1552">
        <f>(AS119*Rooms!AU530+RevPAR!AS122*Rooms!AU531+RevPAR!AS128*Rooms!AU534+RevPAR!AS131*Rooms!AU540+RevPAR!AS134*Rooms!AU538+RevPAR!AS137*Rooms!AU542+RevPAR!AS140*Rooms!AU541+RevPAR!AS143*Rooms!AU541)/(Rooms!AU563-Rooms!AU532-Rooms!AU536)</f>
        <v>0.62761345644017574</v>
      </c>
      <c r="AT163" s="1553">
        <f>(AT119*Rooms!AV530+RevPAR!AT122*Rooms!AV531+RevPAR!AT128*Rooms!AV534+RevPAR!AT131*Rooms!AV540+RevPAR!AT134*Rooms!AV538+RevPAR!AT137*Rooms!AV542+RevPAR!AT140*Rooms!AV541+RevPAR!AT143*Rooms!AV541)/(Rooms!AV563-Rooms!AV532-Rooms!AV536)</f>
        <v>0.67981926063465536</v>
      </c>
      <c r="AU163" s="1552">
        <f>(AU119*Rooms!AW530+RevPAR!AU122*Rooms!AW531+RevPAR!AU128*Rooms!AW534+RevPAR!AU131*Rooms!AW540+RevPAR!AU134*Rooms!AW538+RevPAR!AU137*Rooms!AW542+RevPAR!AU140*Rooms!AW541+RevPAR!AU143*Rooms!AW541)/(Rooms!AW563-Rooms!AW532-Rooms!AW536)</f>
        <v>0.59019422743498218</v>
      </c>
      <c r="AV163" s="1552">
        <f>(AV119*Rooms!AX530+RevPAR!AV122*Rooms!AX531+RevPAR!AV128*Rooms!AX534+RevPAR!AV131*Rooms!AX540+RevPAR!AV134*Rooms!AX538+RevPAR!AV137*Rooms!AX542+RevPAR!AV140*Rooms!AX541+RevPAR!AV143*Rooms!AX541)/(Rooms!AX563-Rooms!AX532-Rooms!AX536)</f>
        <v>0.65064496269700112</v>
      </c>
      <c r="AW163" s="1552">
        <f>(AW119*Rooms!AY530+RevPAR!AW122*Rooms!AY531+RevPAR!AW128*Rooms!AY534+RevPAR!AW131*Rooms!AY540+RevPAR!AW134*Rooms!AY538+RevPAR!AW137*Rooms!AY542+RevPAR!AW140*Rooms!AY541+RevPAR!AW143*Rooms!AY541)/(Rooms!AY563-Rooms!AY532-Rooms!AY536)</f>
        <v>0.66938859413248475</v>
      </c>
      <c r="AX163" s="1552">
        <f>(AX119*Rooms!AZ530+RevPAR!AX122*Rooms!AZ531+RevPAR!AX128*Rooms!AZ534+RevPAR!AX131*Rooms!AZ540+RevPAR!AX134*Rooms!AZ538+RevPAR!AX137*Rooms!AZ542+RevPAR!AX140*Rooms!AZ541+RevPAR!AX143*Rooms!AZ541)/(Rooms!AZ563-Rooms!AZ532-Rooms!AZ536)</f>
        <v>0.60181391577735255</v>
      </c>
      <c r="AY163" s="1553">
        <f>(AY119*Rooms!BA530+RevPAR!AY122*Rooms!BA531+RevPAR!AY128*Rooms!BA534+RevPAR!AY131*Rooms!BA540+RevPAR!AY134*Rooms!BA538+RevPAR!AY137*Rooms!BA542+RevPAR!AY140*Rooms!BA541+RevPAR!AY143*Rooms!BA541)/(Rooms!BA563-Rooms!BA532-Rooms!BA536)</f>
        <v>0.62403477725172096</v>
      </c>
      <c r="AZ163" s="1552">
        <f>(AZ119*Rooms!BB530+RevPAR!AZ122*Rooms!BB531+RevPAR!AZ128*Rooms!BB534+RevPAR!AZ131*Rooms!BB540+RevPAR!AZ134*Rooms!BB538+RevPAR!AZ137*Rooms!BB542+RevPAR!AZ140*Rooms!BB541+RevPAR!AZ143*Rooms!BB541)/(Rooms!BB563-Rooms!BB532-Rooms!BB536)</f>
        <v>0.61474254724060307</v>
      </c>
      <c r="BA163" s="1552">
        <f>(BA119*Rooms!BC530+RevPAR!BA122*Rooms!BC531+RevPAR!BA128*Rooms!BC534+RevPAR!BA131*Rooms!BC540+RevPAR!BA134*Rooms!BC538+RevPAR!BA137*Rooms!BC542+RevPAR!BA140*Rooms!BC541+RevPAR!BA143*Rooms!BC541)/(Rooms!BC563-Rooms!BC532-Rooms!BC536)</f>
        <v>0.68840392564614017</v>
      </c>
      <c r="BB163" s="1552">
        <f>(BB119*Rooms!BD530+RevPAR!BB122*Rooms!BD531+RevPAR!BB128*Rooms!BD534+RevPAR!BB131*Rooms!BD540+RevPAR!BB134*Rooms!BD538+RevPAR!BB137*Rooms!BD542+RevPAR!BB140*Rooms!BD541+RevPAR!BB143*Rooms!BD541)/(Rooms!BD563-Rooms!BD532-Rooms!BD536)</f>
        <v>0.69909926986653259</v>
      </c>
      <c r="BC163" s="1552">
        <f>(BC119*Rooms!BE530+RevPAR!BC122*Rooms!BE531+RevPAR!BC128*Rooms!BE534+RevPAR!BC131*Rooms!BE540+RevPAR!BC134*Rooms!BE538+RevPAR!BC137*Rooms!BE542+RevPAR!BC140*Rooms!BE541+RevPAR!BC143*Rooms!BE541)/(Rooms!BE563-Rooms!BE532-Rooms!BE536)</f>
        <v>0.63071683465625139</v>
      </c>
      <c r="BD163" s="1553">
        <f>(BD119*Rooms!BF530+RevPAR!BD122*Rooms!BF531+RevPAR!BD128*Rooms!BF534+RevPAR!BD131*Rooms!BF540+RevPAR!BD134*Rooms!BF538+RevPAR!BD137*Rooms!BF542+RevPAR!BD140*Rooms!BF541+RevPAR!BD143*Rooms!BF541)/(Rooms!BF563-Rooms!BF532-Rooms!BF536)</f>
        <v>0.65568382034160033</v>
      </c>
      <c r="BE163" s="1552">
        <f>(BE119*Rooms!BG530+RevPAR!BE122*Rooms!BG531+RevPAR!BE128*Rooms!BG534+RevPAR!BE131*Rooms!BG540+RevPAR!BE134*Rooms!BG538+RevPAR!BE137*Rooms!BG542+RevPAR!BE140*Rooms!BG541+RevPAR!BE143*Rooms!BG541)/(Rooms!BG563-Rooms!BG532-Rooms!BG536)</f>
        <v>0.63188674326522265</v>
      </c>
      <c r="BF163" s="1552">
        <f>(BF119*Rooms!BH530+RevPAR!BF122*Rooms!BH531+RevPAR!BF128*Rooms!BH534+RevPAR!BF131*Rooms!BH540+RevPAR!BF134*Rooms!BH538+RevPAR!BF137*Rooms!BH542+RevPAR!BF140*Rooms!BH541+RevPAR!BF143*Rooms!BH541)/(Rooms!BH563-Rooms!BH532-Rooms!BH536)</f>
        <v>0.70762290024497143</v>
      </c>
      <c r="BG163" s="1552">
        <f>(BG119*Rooms!BI530+RevPAR!BG122*Rooms!BI531+RevPAR!BG128*Rooms!BI534+RevPAR!BG131*Rooms!BI540+RevPAR!BG134*Rooms!BI538+RevPAR!BG137*Rooms!BI542+RevPAR!BG140*Rooms!BI541+RevPAR!BG143*Rooms!BI541)/(Rooms!BI563-Rooms!BI532-Rooms!BI536)</f>
        <v>0.72035293213179263</v>
      </c>
      <c r="BH163" s="1552">
        <f>(BH119*Rooms!BJ530+RevPAR!BH122*Rooms!BJ531+RevPAR!BH128*Rooms!BJ534+RevPAR!BH131*Rooms!BJ540+RevPAR!BH134*Rooms!BJ538+RevPAR!BH137*Rooms!BJ542+RevPAR!BH140*Rooms!BJ541+RevPAR!BH143*Rooms!BJ541)/(Rooms!BJ563-Rooms!BJ532-Rooms!BJ536)</f>
        <v>0.64917223013421876</v>
      </c>
      <c r="BI163" s="1553">
        <f>(BI119*Rooms!BK530+RevPAR!BI122*Rooms!BK531+RevPAR!BI128*Rooms!BK534+RevPAR!BI131*Rooms!BK540+RevPAR!BI134*Rooms!BK538+RevPAR!BI137*Rooms!BK542+RevPAR!BI140*Rooms!BK541+RevPAR!BI143*Rooms!BK541)/(Rooms!BK563-Rooms!BK532-Rooms!BK536)</f>
        <v>0.67475318843552001</v>
      </c>
      <c r="BJ163" s="1552">
        <f>(BJ119*Rooms!BL530+RevPAR!BJ122*Rooms!BL531+RevPAR!BJ128*Rooms!BL534+RevPAR!BJ131*Rooms!BL540+RevPAR!BJ134*Rooms!BL538+RevPAR!BJ137*Rooms!BL542+RevPAR!BJ140*Rooms!BL541+RevPAR!BJ143*Rooms!BL541)/(Rooms!BL563-Rooms!BL532-Rooms!BL536)</f>
        <v>0.64738187636658506</v>
      </c>
      <c r="BK163" s="1552">
        <f>(BK119*Rooms!BM530+RevPAR!BK122*Rooms!BM531+RevPAR!BK128*Rooms!BM534+RevPAR!BK131*Rooms!BM540+RevPAR!BK134*Rooms!BM538+RevPAR!BK137*Rooms!BM542+RevPAR!BK140*Rooms!BM541+RevPAR!BK143*Rooms!BM541)/(Rooms!BM563-Rooms!BM532-Rooms!BM536)</f>
        <v>0.72178239310765169</v>
      </c>
      <c r="BL163" s="1552">
        <f>(BL119*Rooms!BN530+RevPAR!BL122*Rooms!BN531+RevPAR!BL128*Rooms!BN534+RevPAR!BL131*Rooms!BN540+RevPAR!BL134*Rooms!BN538+RevPAR!BL137*Rooms!BN542+RevPAR!BL140*Rooms!BN541+RevPAR!BL143*Rooms!BN541)/(Rooms!BN563-Rooms!BN532-Rooms!BN536)</f>
        <v>0.7285431425357809</v>
      </c>
      <c r="BM163" s="1552">
        <f>(BM119*Rooms!BO530+RevPAR!BM122*Rooms!BO531+RevPAR!BM128*Rooms!BO534+RevPAR!BM131*Rooms!BO540+RevPAR!BM134*Rooms!BO538+RevPAR!BM137*Rooms!BO542+RevPAR!BM140*Rooms!BO541+RevPAR!BM143*Rooms!BO541)/(Rooms!BO563-Rooms!BO532-Rooms!BO536)</f>
        <v>0.64989207047121722</v>
      </c>
      <c r="BN163" s="1553">
        <f>(BN119*Rooms!BP530+RevPAR!BN122*Rooms!BP531+RevPAR!BN128*Rooms!BP534+RevPAR!BN131*Rooms!BP540+RevPAR!BN134*Rooms!BP538+RevPAR!BN137*Rooms!BP542+RevPAR!BN140*Rooms!BP541+RevPAR!BN143*Rooms!BP541)/(Rooms!BP563-Rooms!BP532-Rooms!BP536)</f>
        <v>0.67602780658080042</v>
      </c>
      <c r="BO163" s="1552">
        <f>(BO119*Rooms!BQ530+RevPAR!BO122*Rooms!BQ531+RevPAR!BO128*Rooms!BQ534+RevPAR!BO131*Rooms!BQ540+RevPAR!BO134*Rooms!BQ538+RevPAR!BO137*Rooms!BQ542+RevPAR!BO140*Rooms!BQ541+RevPAR!BO143*Rooms!BQ541)/(Rooms!BQ563-Rooms!BQ532-Rooms!BQ536)</f>
        <v>0.64759804760604134</v>
      </c>
      <c r="BP163" s="1552">
        <f>(BP119*Rooms!BR530+RevPAR!BP122*Rooms!BR531+RevPAR!BP128*Rooms!BR534+RevPAR!BP131*Rooms!BR540+RevPAR!BP134*Rooms!BR538+RevPAR!BP137*Rooms!BR542+RevPAR!BP140*Rooms!BR541+RevPAR!BP143*Rooms!BR541)/(Rooms!BR563-Rooms!BR532-Rooms!BR536)</f>
        <v>0.72794767724784737</v>
      </c>
      <c r="BQ163" s="1552">
        <f>(BQ119*Rooms!BS530+RevPAR!BQ122*Rooms!BS531+RevPAR!BQ128*Rooms!BS534+RevPAR!BQ131*Rooms!BS540+RevPAR!BQ134*Rooms!BS538+RevPAR!BQ137*Rooms!BS542+RevPAR!BQ140*Rooms!BS541+RevPAR!BQ143*Rooms!BS541)/(Rooms!BS563-Rooms!BS532-Rooms!BS536)</f>
        <v>0.71668680938325813</v>
      </c>
      <c r="BR163" s="2165">
        <f>(BR119*Rooms!BT530+RevPAR!BR122*Rooms!BT531+RevPAR!BR128*Rooms!BT534+RevPAR!BR131*Rooms!BT540+RevPAR!BR134*Rooms!BT538+RevPAR!BR137*Rooms!BT542+RevPAR!BR140*Rooms!BT541+RevPAR!BR143*Rooms!BT541)/(Rooms!BT563-Rooms!BT532-Rooms!BT545)</f>
        <v>0.65283361128850537</v>
      </c>
      <c r="BS163" s="2165">
        <f>(BS119*Rooms!BU530+RevPAR!BS122*Rooms!BU531+RevPAR!BS128*Rooms!BU534+RevPAR!BS131*Rooms!BU540+RevPAR!BS134*Rooms!BU538+RevPAR!BS137*Rooms!BU542+RevPAR!BS140*Rooms!BU541+RevPAR!BS143*Rooms!BU541)/(Rooms!BU563-Rooms!BU532-Rooms!BU545)</f>
        <v>0.69586217423314878</v>
      </c>
      <c r="BT163" s="1552">
        <f>(BT119*Rooms!BV530+RevPAR!BT122*Rooms!BV531+RevPAR!BT128*Rooms!BV534+RevPAR!BT131*Rooms!BV540+RevPAR!BT134*Rooms!BV538+RevPAR!BT137*Rooms!BV542+RevPAR!BT140*Rooms!BV541+RevPAR!BT143*Rooms!BV541)/(Rooms!BV563-Rooms!BV532-Rooms!BV536)</f>
        <v>0.66445291366073078</v>
      </c>
      <c r="BU163" s="1552">
        <f>(BU119*Rooms!BW530+RevPAR!BU122*Rooms!BW531+RevPAR!BU128*Rooms!BW534+RevPAR!BU131*Rooms!BW540+RevPAR!BU134*Rooms!BW538+RevPAR!BU137*Rooms!BW542+RevPAR!BU140*Rooms!BW541+RevPAR!BU143*Rooms!BW541)/(Rooms!BW563-Rooms!BW532-Rooms!BW536)</f>
        <v>0.74465556117969933</v>
      </c>
      <c r="BV163" s="1552">
        <f>(BV119*Rooms!BX530+RevPAR!BV122*Rooms!BX531+RevPAR!BV128*Rooms!BX534+RevPAR!BV131*Rooms!BX540+RevPAR!BV134*Rooms!BX538+RevPAR!BV137*Rooms!BX542+RevPAR!BV140*Rooms!BX541+RevPAR!BV143*Rooms!BX541)/(Rooms!BX563-Rooms!BX532-Rooms!BX536)</f>
        <v>0.7439809024850299</v>
      </c>
      <c r="BW163" s="2165">
        <f>(BW119*Rooms!BY530+RevPAR!BW122*Rooms!BY531+RevPAR!BW128*Rooms!BY534+RevPAR!BW131*Rooms!BY540+RevPAR!BW134*Rooms!BY538+RevPAR!BW137*Rooms!BY542+RevPAR!BW140*Rooms!BY541+RevPAR!BW143*Rooms!BY541)/(Rooms!BY563-Rooms!BY532-Rooms!BY545)</f>
        <v>0.67009681983840563</v>
      </c>
      <c r="BX163" s="2165">
        <f>(BX119*Rooms!BZ530+RevPAR!BX122*Rooms!BZ531+RevPAR!BX128*Rooms!BZ534+RevPAR!BX131*Rooms!BZ540+RevPAR!BX134*Rooms!BZ538+RevPAR!BX137*Rooms!BZ542+RevPAR!BX140*Rooms!BZ541+RevPAR!BX143*Rooms!BZ541)/(Rooms!BZ563-Rooms!BZ532-Rooms!BZ545)</f>
        <v>0.71589170962173776</v>
      </c>
      <c r="BY163" s="1552">
        <f>(BY119*Rooms!CA530+RevPAR!BY122*Rooms!CA531+RevPAR!BY128*Rooms!CA534+RevPAR!BY131*Rooms!CA540+RevPAR!BY134*Rooms!CA538+RevPAR!BY137*Rooms!CA542+RevPAR!BY140*Rooms!CA541+RevPAR!BY143*Rooms!CA541)/(Rooms!CA563-Rooms!CA532-Rooms!CA536)</f>
        <v>0.67637388412327115</v>
      </c>
      <c r="BZ163" s="1552">
        <f>(BZ119*Rooms!CB530+RevPAR!BZ122*Rooms!CB531+RevPAR!BZ128*Rooms!CB534+RevPAR!BZ131*Rooms!CB540+RevPAR!BZ134*Rooms!CB538+RevPAR!BZ137*Rooms!CB542+RevPAR!BZ140*Rooms!CB541+RevPAR!BZ143*Rooms!CB541)/(Rooms!CB563-Rooms!CB532-Rooms!CB536)</f>
        <v>0.7368812687949664</v>
      </c>
      <c r="CA163" s="1552">
        <f>(CA119*Rooms!CC530+RevPAR!CA122*Rooms!CC531+RevPAR!CA128*Rooms!CC534+RevPAR!CA131*Rooms!CC540+RevPAR!CA134*Rooms!CC538+RevPAR!CA137*Rooms!CC542+RevPAR!CA140*Rooms!CC541+RevPAR!CA143*Rooms!CC541)/(Rooms!CC563-Rooms!CC532-Rooms!CC545)</f>
        <v>0.74519840042988894</v>
      </c>
      <c r="CB163" s="1552">
        <f>(CB119*Rooms!CD530+RevPAR!CB122*Rooms!CD531+RevPAR!CB128*Rooms!CD534+RevPAR!CB131*Rooms!CD540+RevPAR!CB134*Rooms!CD538+RevPAR!CB137*Rooms!CD542+RevPAR!CB140*Rooms!CD541+RevPAR!CB143*Rooms!CD541)/(Rooms!CD563-Rooms!CD532-Rooms!CD545)</f>
        <v>0.66318517944076671</v>
      </c>
      <c r="CC163" s="1553">
        <f>(CC119*Rooms!CE530+RevPAR!CC122*Rooms!CE531+RevPAR!CC128*Rooms!CE534+RevPAR!CC131*Rooms!CE540+RevPAR!CC134*Rooms!CE538+RevPAR!CC137*Rooms!CE542+RevPAR!CC140*Rooms!CE541+RevPAR!CC143*Rooms!CE543+CC125*Rooms!CE532)/(Rooms!CE563-Rooms!CE545)</f>
        <v>0.72635806657033686</v>
      </c>
      <c r="CD163" s="2920">
        <f>(CD119*Rooms!CF530+RevPAR!CD122*Rooms!CF531+RevPAR!CD128*Rooms!CF534+RevPAR!CD131*Rooms!CF540+RevPAR!CD134*Rooms!CF538+RevPAR!CD137*Rooms!CF542+RevPAR!CD140*Rooms!CF541+RevPAR!CD143*Rooms!CF541)/(Rooms!CF563-Rooms!CF532-Rooms!CF545)</f>
        <v>0.66908693759044902</v>
      </c>
      <c r="CE163" s="1552">
        <f>(CE119*Rooms!CG530+RevPAR!CE122*Rooms!CG531+RevPAR!CE128*Rooms!CG534+RevPAR!CE131*Rooms!CG540+RevPAR!CE134*Rooms!CG538+RevPAR!CE137*Rooms!CG542+RevPAR!CE140*Rooms!CG541+RevPAR!CE143*Rooms!CG541)/(Rooms!CG563-Rooms!CG532-Rooms!CG545)</f>
        <v>0.75243292838771825</v>
      </c>
      <c r="CF163" s="1552">
        <f>(CF119*Rooms!CH530+RevPAR!CF122*Rooms!CH531+RevPAR!CF128*Rooms!CH534+RevPAR!CF131*Rooms!CH540+RevPAR!CF134*Rooms!CH538+RevPAR!CF137*Rooms!CH542+RevPAR!CF140*Rooms!CH541+RevPAR!CF143*Rooms!CH541)/(Rooms!CH563-Rooms!CH532-Rooms!CH545)</f>
        <v>0.7247424554105093</v>
      </c>
      <c r="CG163" s="1552"/>
      <c r="CH163" s="1553"/>
      <c r="CI163" s="1552"/>
      <c r="CJ163" s="1552"/>
      <c r="CK163" s="1552"/>
      <c r="CL163" s="1552"/>
      <c r="CM163" s="1553"/>
      <c r="CN163" s="1552"/>
      <c r="CO163" s="1552"/>
      <c r="CP163" s="1552"/>
      <c r="CQ163" s="1552"/>
      <c r="CR163" s="1553"/>
      <c r="CS163" s="1553"/>
      <c r="CT163" s="1553"/>
      <c r="DA163" s="212"/>
      <c r="DB163" s="1226"/>
    </row>
    <row r="164" spans="1:106" x14ac:dyDescent="0.2">
      <c r="A164" s="1595" t="s">
        <v>562</v>
      </c>
      <c r="B164" s="885"/>
      <c r="C164" s="885"/>
      <c r="D164" s="885"/>
      <c r="E164" s="885"/>
      <c r="F164" s="1044"/>
      <c r="G164" s="885"/>
      <c r="H164" s="885"/>
      <c r="I164" s="885"/>
      <c r="J164" s="885"/>
      <c r="K164" s="1044"/>
      <c r="L164" s="885">
        <f t="shared" ref="L164:AO164" si="164">L163/G163-1</f>
        <v>-6.9536145502255509E-2</v>
      </c>
      <c r="M164" s="885">
        <f t="shared" si="164"/>
        <v>-6.6432781165618571E-2</v>
      </c>
      <c r="N164" s="885">
        <f t="shared" si="164"/>
        <v>-3.5791008675188363E-2</v>
      </c>
      <c r="O164" s="885">
        <f t="shared" si="164"/>
        <v>0.10144607234682801</v>
      </c>
      <c r="P164" s="1044">
        <f t="shared" si="164"/>
        <v>-8.1280669205411327E-3</v>
      </c>
      <c r="Q164" s="885">
        <f t="shared" si="164"/>
        <v>-2.1826207177807033E-2</v>
      </c>
      <c r="R164" s="885">
        <f t="shared" si="164"/>
        <v>6.3983021004129448E-2</v>
      </c>
      <c r="S164" s="885">
        <f t="shared" si="164"/>
        <v>8.0274545949613252E-2</v>
      </c>
      <c r="T164" s="885">
        <f t="shared" si="164"/>
        <v>-4.6237139404645689E-3</v>
      </c>
      <c r="U164" s="1044">
        <f t="shared" si="164"/>
        <v>2.8699000008639564E-2</v>
      </c>
      <c r="V164" s="885">
        <f t="shared" si="164"/>
        <v>9.9852243231121074E-2</v>
      </c>
      <c r="W164" s="885">
        <f t="shared" si="164"/>
        <v>4.8858977671499382E-2</v>
      </c>
      <c r="X164" s="885">
        <f t="shared" si="164"/>
        <v>2.7960200497542775E-2</v>
      </c>
      <c r="Y164" s="885">
        <f t="shared" si="164"/>
        <v>8.6845964187642455E-2</v>
      </c>
      <c r="Z164" s="1044">
        <f t="shared" si="164"/>
        <v>6.4201014803438872E-2</v>
      </c>
      <c r="AA164" s="885">
        <f t="shared" si="164"/>
        <v>5.8815810140859792E-3</v>
      </c>
      <c r="AB164" s="885">
        <f t="shared" si="164"/>
        <v>1.3249552359642092E-2</v>
      </c>
      <c r="AC164" s="885">
        <f t="shared" si="164"/>
        <v>1.0650268251481076E-2</v>
      </c>
      <c r="AD164" s="885">
        <f t="shared" si="164"/>
        <v>-1.0936765682948657E-2</v>
      </c>
      <c r="AE164" s="1044">
        <f t="shared" si="164"/>
        <v>4.6389006951672584E-3</v>
      </c>
      <c r="AF164" s="885">
        <f t="shared" si="164"/>
        <v>1.4406829928067966E-2</v>
      </c>
      <c r="AG164" s="885">
        <f t="shared" si="164"/>
        <v>-2.8757954675816322E-2</v>
      </c>
      <c r="AH164" s="885">
        <f t="shared" si="164"/>
        <v>-2.6328174475111044E-2</v>
      </c>
      <c r="AI164" s="885">
        <f t="shared" si="164"/>
        <v>-1.5159475089152386E-2</v>
      </c>
      <c r="AJ164" s="1044">
        <f t="shared" si="164"/>
        <v>-1.5590755692619362E-2</v>
      </c>
      <c r="AK164" s="885">
        <f t="shared" si="164"/>
        <v>-2.9519987570442274E-2</v>
      </c>
      <c r="AL164" s="885">
        <f t="shared" si="164"/>
        <v>3.4482052149870324E-2</v>
      </c>
      <c r="AM164" s="885">
        <f t="shared" si="164"/>
        <v>2.9697829507381535E-2</v>
      </c>
      <c r="AN164" s="885">
        <f t="shared" si="164"/>
        <v>-3.5793631095561995E-3</v>
      </c>
      <c r="AO164" s="1044">
        <f t="shared" si="164"/>
        <v>8.3960982376978244E-3</v>
      </c>
      <c r="AP164" s="885">
        <f t="shared" ref="AP164:BQ164" si="165">AP163/AK163-1</f>
        <v>-2.6422621695295856E-2</v>
      </c>
      <c r="AQ164" s="885">
        <f t="shared" si="165"/>
        <v>-3.0859248722239552E-2</v>
      </c>
      <c r="AR164" s="885">
        <f t="shared" si="165"/>
        <v>-3.4672952277547631E-2</v>
      </c>
      <c r="AS164" s="885">
        <f t="shared" si="165"/>
        <v>-8.5755231443814695E-2</v>
      </c>
      <c r="AT164" s="1044">
        <f t="shared" si="165"/>
        <v>-4.7252086561027973E-2</v>
      </c>
      <c r="AU164" s="885">
        <f t="shared" si="165"/>
        <v>-9.9626141379665301E-2</v>
      </c>
      <c r="AV164" s="885">
        <f t="shared" si="165"/>
        <v>-0.10409137756208975</v>
      </c>
      <c r="AW164" s="885">
        <f t="shared" si="165"/>
        <v>-8.1161595197105751E-2</v>
      </c>
      <c r="AX164" s="885">
        <f t="shared" si="165"/>
        <v>-4.1107373333194919E-2</v>
      </c>
      <c r="AY164" s="1044">
        <f t="shared" si="165"/>
        <v>-8.2057815382953314E-2</v>
      </c>
      <c r="AZ164" s="885">
        <f t="shared" si="165"/>
        <v>4.1593629121567721E-2</v>
      </c>
      <c r="BA164" s="885">
        <f t="shared" si="165"/>
        <v>5.8033128839764858E-2</v>
      </c>
      <c r="BB164" s="885">
        <f t="shared" si="165"/>
        <v>4.4384795310939529E-2</v>
      </c>
      <c r="BC164" s="885">
        <f t="shared" si="165"/>
        <v>4.8026338576045546E-2</v>
      </c>
      <c r="BD164" s="1044">
        <f t="shared" si="165"/>
        <v>5.0716793748680544E-2</v>
      </c>
      <c r="BE164" s="885">
        <f t="shared" si="165"/>
        <v>2.7888416218423195E-2</v>
      </c>
      <c r="BF164" s="885">
        <f t="shared" si="165"/>
        <v>2.7918165313761456E-2</v>
      </c>
      <c r="BG164" s="885">
        <f t="shared" si="165"/>
        <v>3.0401494010024788E-2</v>
      </c>
      <c r="BH164" s="885">
        <f t="shared" si="165"/>
        <v>2.9260984428972403E-2</v>
      </c>
      <c r="BI164" s="1044">
        <f t="shared" si="165"/>
        <v>2.9083176223541507E-2</v>
      </c>
      <c r="BJ164" s="885">
        <f t="shared" si="165"/>
        <v>2.452201010151378E-2</v>
      </c>
      <c r="BK164" s="885">
        <f t="shared" si="165"/>
        <v>2.0009941534931075E-2</v>
      </c>
      <c r="BL164" s="885">
        <f t="shared" si="165"/>
        <v>1.1369718978932131E-2</v>
      </c>
      <c r="BM164" s="885">
        <f t="shared" si="165"/>
        <v>1.1088587952223783E-3</v>
      </c>
      <c r="BN164" s="1044">
        <f t="shared" si="165"/>
        <v>1.8890138900058417E-3</v>
      </c>
      <c r="BO164" s="885">
        <f t="shared" si="165"/>
        <v>3.3391611249533604E-4</v>
      </c>
      <c r="BP164" s="885">
        <f t="shared" si="165"/>
        <v>8.5417491463748441E-3</v>
      </c>
      <c r="BQ164" s="885">
        <f t="shared" si="165"/>
        <v>-1.6274030267110051E-2</v>
      </c>
      <c r="BR164" s="885">
        <f>BR163/BM163-1</f>
        <v>4.5261989658611501E-3</v>
      </c>
      <c r="BS164" s="1044">
        <f>BS163/BN163-1</f>
        <v>2.9339573696925525E-2</v>
      </c>
      <c r="BT164" s="885">
        <f>BT163/BO163-1</f>
        <v>2.6026740069702736E-2</v>
      </c>
      <c r="BU164" s="885">
        <f>BU163/BP163-1</f>
        <v>2.295203962325898E-2</v>
      </c>
      <c r="BV164" s="885">
        <f>BV163/BQ163-1</f>
        <v>3.808371068704286E-2</v>
      </c>
      <c r="BW164" s="885">
        <f t="shared" ref="BW164:CD164" si="166">BW163/BR163-1</f>
        <v>2.6443504518444794E-2</v>
      </c>
      <c r="BX164" s="1044">
        <f t="shared" si="166"/>
        <v>2.8783768007884403E-2</v>
      </c>
      <c r="BY164" s="885">
        <f>BY163/BT163-1</f>
        <v>1.7941031211471614E-2</v>
      </c>
      <c r="BZ164" s="885">
        <f>BZ163/BU163-1</f>
        <v>-1.0440118613250893E-2</v>
      </c>
      <c r="CA164" s="885">
        <f t="shared" si="166"/>
        <v>1.6364639748041032E-3</v>
      </c>
      <c r="CB164" s="885">
        <f t="shared" si="166"/>
        <v>-1.0314390686566255E-2</v>
      </c>
      <c r="CC164" s="1044">
        <f t="shared" si="166"/>
        <v>1.4620028152203757E-2</v>
      </c>
      <c r="CD164" s="885">
        <f t="shared" si="166"/>
        <v>-1.0773548038844893E-2</v>
      </c>
      <c r="CE164" s="885">
        <f>CE163/BZ163-1</f>
        <v>2.110470200739889E-2</v>
      </c>
      <c r="CF164" s="885">
        <f>CF163/CA163-1</f>
        <v>-2.7450334042020241E-2</v>
      </c>
      <c r="CG164" s="885"/>
      <c r="CH164" s="1044"/>
      <c r="CI164" s="885"/>
      <c r="CJ164" s="885"/>
      <c r="CK164" s="885"/>
      <c r="CL164" s="885"/>
      <c r="CM164" s="1044"/>
      <c r="CN164" s="885"/>
      <c r="CO164" s="885"/>
      <c r="CP164" s="885"/>
      <c r="CQ164" s="885"/>
      <c r="CR164" s="1044"/>
      <c r="CS164" s="1771"/>
      <c r="CT164" s="1044"/>
      <c r="DA164" s="212"/>
      <c r="DB164" s="1226"/>
    </row>
    <row r="165" spans="1:106" s="11" customFormat="1" x14ac:dyDescent="0.2">
      <c r="A165" s="2039" t="s">
        <v>559</v>
      </c>
      <c r="B165" s="885"/>
      <c r="C165" s="885"/>
      <c r="D165" s="885"/>
      <c r="E165" s="885"/>
      <c r="F165" s="1044"/>
      <c r="G165" s="885"/>
      <c r="H165" s="885"/>
      <c r="I165" s="885"/>
      <c r="J165" s="885"/>
      <c r="K165" s="1044"/>
      <c r="L165" s="885">
        <f>+L510*L120+L511*L123+L512*L129+L513*L132+L514*L135+L515*L138+L516*L141+L518*L144</f>
        <v>0</v>
      </c>
      <c r="M165" s="885">
        <f>+M510*M120+M511*M123+M512*M129+M513*M132+M514*M135+M515*M138+M516*M141+M518*M144</f>
        <v>0</v>
      </c>
      <c r="N165" s="885">
        <f>+N510*N120+N511*N123+N512*N129+N513*N132+N514*N135+N515*N138+N516*N141+N518*N144</f>
        <v>0</v>
      </c>
      <c r="O165" s="885">
        <f>+O510*O120+O511*O123+O512*O129+O513*O132+O514*O135+O515*O138+O516*O141+O518*O144</f>
        <v>0</v>
      </c>
      <c r="P165" s="1044">
        <f>AVERAGE(L165:O165)</f>
        <v>0</v>
      </c>
      <c r="Q165" s="885">
        <f>+Q510*Q120+Q511*Q123+Q512*Q129+Q513*Q132+Q514*Q135+Q515*Q138+Q516*Q141+Q518*Q144</f>
        <v>0</v>
      </c>
      <c r="R165" s="885">
        <f>+R510*R120+R511*R123+R512*R129+R513*R132+R514*R135+R515*R138+R516*R141+R518*R144</f>
        <v>0</v>
      </c>
      <c r="S165" s="885">
        <f>+S510*S120+S511*S123+S512*S129+S513*S132+S514*S135+S515*S138+S516*S141+S518*S144</f>
        <v>0</v>
      </c>
      <c r="T165" s="885">
        <f>+T510*T120+T511*T123+T512*T129+T513*T132+T514*T135+T515*T138+T516*T141+T518*T144</f>
        <v>0</v>
      </c>
      <c r="U165" s="1044">
        <f>AVERAGE(Q165:T165)</f>
        <v>0</v>
      </c>
      <c r="V165" s="885">
        <f>+V510*V120+V511*V123+V512*V129+V513*V132+V514*V135+V515*V138+V516*V141+V518*V144</f>
        <v>0</v>
      </c>
      <c r="W165" s="885">
        <f>+W510*W120+W511*W123+W512*W129+W513*W132+W514*W135+W515*W138+W516*W141+W518*W144</f>
        <v>0</v>
      </c>
      <c r="X165" s="885">
        <f>+X510*X120+X511*X123+X512*X129+X513*X132+X514*X135+X515*X138+X516*X141+X518*X144</f>
        <v>0</v>
      </c>
      <c r="Y165" s="885">
        <f>+Y510*Y120+Y511*Y123+Y512*Y129+Y513*Y132+Y514*Y135+Y515*Y138+Y516*Y141+Y518*Y144</f>
        <v>0</v>
      </c>
      <c r="Z165" s="1044">
        <f>AVERAGE(V165:Y165)</f>
        <v>0</v>
      </c>
      <c r="AA165" s="885">
        <f>+AA510*AA120+AA511*AA123+AA512*AA129+AA513*AA132+AA514*AA135+AA515*AA138+AA516*AA141+AA518*AA144</f>
        <v>0</v>
      </c>
      <c r="AB165" s="885">
        <f>+AB510*AB120+AB511*AB123+AB512*AB129+AB513*AB132+AB514*AB135+AB515*AB138+AB516*AB141+AB518*AB144</f>
        <v>0</v>
      </c>
      <c r="AC165" s="885">
        <f>+AC510*AC120+AC511*AC123+AC512*AC129+AC513*AC132+AC514*AC135+AC515*AC138+AC516*AC141+AC518*AC144</f>
        <v>0</v>
      </c>
      <c r="AD165" s="885">
        <f>+AD510*AD120+AD511*AD123+AD512*AD129+AD513*AD132+AD514*AD135+AD515*AD138+AD516*AD141+AD518*AD144</f>
        <v>0</v>
      </c>
      <c r="AE165" s="1044">
        <f>AVERAGE(AA165:AD165)</f>
        <v>0</v>
      </c>
      <c r="AF165" s="885">
        <f>+AF510*AF120+AF511*AF123+AF512*AF129+AF513*AF132+AF514*AF135+AF515*AF138+AF516*AF141+AF518*AF144</f>
        <v>0</v>
      </c>
      <c r="AG165" s="885">
        <f>+AG510*AG120+AG511*AG123+AG512*AG129+AG513*AG132+AG514*AG135+AG515*AG138+AG516*AG141+AG518*AG144</f>
        <v>0</v>
      </c>
      <c r="AH165" s="885">
        <f>+AH510*AH120+AH511*AH123+AH512*AH129+AH513*AH132+AH514*AH135+AH515*AH138+AH516*AH141+AH518*AH144</f>
        <v>0</v>
      </c>
      <c r="AI165" s="885">
        <f>+AI510*AI120+AI511*AI123+AI512*AI129+AI513*AI132+AI514*AI135+AI515*AI138+AI516*AI141+AI518*AI144</f>
        <v>0</v>
      </c>
      <c r="AJ165" s="1044">
        <f>AVERAGE(AF165:AI165)</f>
        <v>0</v>
      </c>
      <c r="AK165" s="885">
        <f>+AK510*AK120+AK511*AK123+AK512*AK129+AK513*AK132+AK514*AK135+AK515*AK138+AK516*AK141+AK518*AK144</f>
        <v>-2.5383954344494038E-2</v>
      </c>
      <c r="AL165" s="885">
        <f>+AL510*AL120+AL511*AL123+AL512*AL129+AL513*AL132+AL514*AL135+AL515*AL138+AL516*AL141+AL518*AL144</f>
        <v>3.6803375788445905E-2</v>
      </c>
      <c r="AM165" s="885">
        <f>+AM510*AM120+AM511*AM123+AM512*AM129+AM513*AM132+AM514*AM135+AM515*AM138+AM516*AM141+AM518*AM144</f>
        <v>2.8846591456433906E-2</v>
      </c>
      <c r="AN165" s="885">
        <f>+AN510*AN120+AN511*AN123+AN512*AN129+AN513*AN132+AN514*AN135+AN515*AN138+AN516*AN141+AN518*AN144</f>
        <v>-3.2578342937807812E-3</v>
      </c>
      <c r="AO165" s="1044">
        <f>AVERAGE(AK165:AN165)</f>
        <v>9.2520446516512478E-3</v>
      </c>
      <c r="AP165" s="885">
        <f>+AP510*AP120+AP511*AP123+AP512*AP129+AP513*AP132+AP514*AP135+AP515*AP138+AP516*AP141+AP518*AP144</f>
        <v>-2.3382270908655363E-2</v>
      </c>
      <c r="AQ165" s="885">
        <f>+AQ510*AQ120+AQ511*AQ123+AQ512*AQ129+AQ513*AQ132+AQ514*AQ135+AQ515*AQ138+AQ516*AQ141+AQ518*AQ144</f>
        <v>-2.6021663434576854E-2</v>
      </c>
      <c r="AR165" s="885">
        <f>+AR510*AR120+AR511*AR123+AR512*AR129+AR513*AR132+AR514*AR135+AR515*AR138+AR516*AR141+AR518*AR144</f>
        <v>-3.1083688778534031E-2</v>
      </c>
      <c r="AS165" s="885">
        <f>+AS510*AS120+AS511*AS123+AS512*AS129+AS513*AS132+AS514*AS135+AS515*AS138+AS516*AS141+AS518*AS144</f>
        <v>-8.3932874283594208E-2</v>
      </c>
      <c r="AT165" s="1044">
        <f>AVERAGE(AP165:AS165)</f>
        <v>-4.1105124351340117E-2</v>
      </c>
      <c r="AU165" s="885">
        <f>+AU510*AU120+AU511*AU123+AU512*AU129+AU513*AU132+AU514*AU135+AU515*AU138+AU516*AU141+AU518*AU144</f>
        <v>-0.10020760740004249</v>
      </c>
      <c r="AV165" s="885">
        <f>+AV510*AV120+AV511*AV123+AV512*AV129+AV513*AV132+AV514*AV135+AV515*AV138+AV516*AV141+AV518*AV144</f>
        <v>-0.10533285408403047</v>
      </c>
      <c r="AW165" s="885">
        <f>+AW510*AW120+AW511*AW123+AW512*AW129+AW513*AW132+AW514*AW135+AW515*AW138+AW516*AW141+AW518*AW144</f>
        <v>-7.7746615317542803E-2</v>
      </c>
      <c r="AX165" s="885">
        <f>+AX510*AX120+AX511*AX123+AX512*AX129+AX513*AX132+AX514*AX135+AX515*AX138+AX516*AX141+AX518*AX144</f>
        <v>-2.999522399254757E-2</v>
      </c>
      <c r="AY165" s="1044">
        <f>AVERAGE(AU165:AX165)</f>
        <v>-7.8320575198540826E-2</v>
      </c>
      <c r="AZ165" s="885">
        <f>+AZ510*AZ120+AZ511*AZ123+AZ512*AZ129+AZ513*AZ132+AZ514*AZ135+AZ515*AZ138+AZ516*AZ141+AZ518*AZ144</f>
        <v>5.4320074959355459E-2</v>
      </c>
      <c r="BA165" s="885">
        <f>+BA510*BA120+BA511*BA123+BA512*BA129+BA513*BA132+BA514*BA135+BA515*BA138+BA516*BA141+BA518*BA144</f>
        <v>7.0409536009476054E-2</v>
      </c>
      <c r="BB165" s="885">
        <f>+BB510*BB120+BB511*BB123+BB512*BB129+BB513*BB132+BB514*BB135+BB515*BB138+BB516*BB141+BB518*BB144</f>
        <v>4.8499719805804004E-2</v>
      </c>
      <c r="BC165" s="885">
        <f>+BC510*BC120+BC511*BC123+BC512*BC129+BC513*BC132+BC514*BC135+BC515*BC138+BC516*BC141+BC518*BC144</f>
        <v>5.0018959761202866E-2</v>
      </c>
      <c r="BD165" s="1044">
        <f>AVERAGE(AZ165:BC165)</f>
        <v>5.5812072633959597E-2</v>
      </c>
      <c r="BE165" s="885">
        <f>+BE510*BE120+BE511*BE123+BE512*BE129+BE513*BE132+BE514*BE135+BE515*BE138+BE516*BE141+BE518*BE144</f>
        <v>3.0213819293627816E-2</v>
      </c>
      <c r="BF165" s="885">
        <f>+BF510*BF120+BF511*BF123+BF512*BF129+BF513*BF132+BF514*BF135+BF515*BF138+BF516*BF141+BF518*BF144</f>
        <v>2.8667448971634816E-2</v>
      </c>
      <c r="BG165" s="885">
        <f>+BG510*BG120+BG511*BG123+BG512*BG129+BG513*BG132+BG514*BG135+BG515*BG138+BG516*BG141+BG518*BG144</f>
        <v>3.1625788115158211E-2</v>
      </c>
      <c r="BH165" s="885">
        <f>+BH510*BH120+BH511*BH123+BH512*BH129+BH513*BH132+BH514*BH135+BH515*BH138+BH516*BH141+BH518*BH144</f>
        <v>2.9143121960747524E-2</v>
      </c>
      <c r="BI165" s="1044">
        <f>AVERAGE(BE165:BH165)</f>
        <v>2.9912544585292092E-2</v>
      </c>
      <c r="BJ165" s="885">
        <f>+BJ510*BJ120+BJ511*BJ123+BJ512*BJ129+BJ513*BJ132+BJ514*BJ135+BJ515*BJ138+BJ516*BJ141+BJ518*BJ144</f>
        <v>2.6186315904950946E-2</v>
      </c>
      <c r="BK165" s="885">
        <f>+BK510*BK120+BK511*BK123+BK512*BK129+BK513*BK132+BK514*BK135+BK515*BK138+BK516*BK141+BK518*BK144</f>
        <v>2.1453916207364053E-2</v>
      </c>
      <c r="BL165" s="885">
        <f>+BL510*BL120+BL511*BL123+BL512*BL129+BL513*BL132+BL514*BL135+BL515*BL138+BL516*BL141+BL518*BL144</f>
        <v>1.3918995583749708E-2</v>
      </c>
      <c r="BM165" s="885">
        <f>+BM510*BM120+BM511*BM123+BM512*BM129+BM513*BM132+BM514*BM135+BM515*BM138+BM516*BM141+BM518*BM144</f>
        <v>1.9949929196645427E-2</v>
      </c>
      <c r="BN165" s="1044">
        <f>AVERAGE(BJ165:BM165)</f>
        <v>2.0377289223177532E-2</v>
      </c>
      <c r="BO165" s="885">
        <f>+BO510*BO120+BO511*BO123+BO512*BO129+BO513*BO132+BO514*BO135+BO515*BO138+BO516*BO141+BO518*BO144</f>
        <v>2.073937316391828E-2</v>
      </c>
      <c r="BP165" s="885">
        <f>+BP510*BP120+BP511*BP123+BP512*BP129+BP513*BP132+BP514*BP135+BP515*BP138+BP516*BP141+BP518*BP144</f>
        <v>2.3713393634882399E-2</v>
      </c>
      <c r="BQ165" s="885">
        <f>+BQ510*BQ120+BQ511*BQ123+BQ512*BQ129+BQ513*BQ132+BQ514*BQ135+BQ515*BQ138+BQ516*BQ141+BQ518*BQ144</f>
        <v>-1.496421609786908E-3</v>
      </c>
      <c r="BR165" s="885">
        <f>+BR510*BR120+BR511*BR123+BR512*BR129+BR513*BR132+BR514*BR135+BR515*BR138+BR516*BR141+BR518*BR144</f>
        <v>-8.6793270599297943E-3</v>
      </c>
      <c r="BS165" s="1044">
        <f>AVERAGE(BO165:BR165)</f>
        <v>8.5692545322709965E-3</v>
      </c>
      <c r="BT165" s="885">
        <f>+BT510*BT120+BT511*BT123+BT512*BT129+BT513*BT132+BT514*BT135+BT515*BT138+BT516*BT141+BT518*BT144</f>
        <v>2.571038240141716E-2</v>
      </c>
      <c r="BU165" s="885">
        <f>+BU510*BU120+BU511*BU123+BU512*BU129+BU513*BU132+BU514*BU135+BU515*BU138+BU516*BU141+BU518*BU144</f>
        <v>2.0800180432123505E-2</v>
      </c>
      <c r="BV165" s="885">
        <f>+BV510*BV120+BV511*BV123+BV512*BV129+BV513*BV132+BV514*BV135+BV515*BV138+BV516*BV141+BV518*BV144</f>
        <v>3.5631959532238092E-2</v>
      </c>
      <c r="BW165" s="885">
        <f>+BW510*BW120+BW511*BW123+BW512*BW129+BW513*BW132+BW514*BW135+BW515*BW138+BW516*BW141+BW518*BW144</f>
        <v>2.1551669019478067E-2</v>
      </c>
      <c r="BX165" s="1044">
        <f>AVERAGE(BT165:BW165)</f>
        <v>2.5923547846314208E-2</v>
      </c>
      <c r="BY165" s="885">
        <f>+BY510*BY120+BY511*BY123+BY512*BY129+BY513*BY132+BY514*BY135+BY515*BY138+BY516*BY141+BY518*BY144</f>
        <v>7.5389666488661919E-3</v>
      </c>
      <c r="BZ165" s="885">
        <f>+BZ510*BZ120+BZ511*BZ123+BZ512*BZ129+BZ513*BZ132+BZ514*BZ135+BZ515*BZ138+BZ516*BZ141+BZ518*BZ144</f>
        <v>4.3078723067241018E-4</v>
      </c>
      <c r="CA165" s="885">
        <f>+CA510*CA120+CA511*CA123+CA512*CA129+CA513*CA132+CA514*CA135+CA515*CA138+CA516*CA141+CA518*CA144</f>
        <v>1.2881061739183457E-3</v>
      </c>
      <c r="CB165" s="885">
        <f>+CB510*CB120+CB511*CB123+CB512*CB129+CB513*CB132+CB514*CB135+CB515*CB138+CB516*CB141+CB518*CB144</f>
        <v>4.1039358724520711E-3</v>
      </c>
      <c r="CC165" s="1044">
        <f>AVERAGE(BY165:CB165)</f>
        <v>3.3404489814772547E-3</v>
      </c>
      <c r="CD165" s="885">
        <f>+CD510*CD120+CD511*CD123+CD512*CD129+CD513*CD132+CD514*CD135+CD515*CD138+CD516*CD141+CD518*CD144</f>
        <v>-5.2421112192274025E-3</v>
      </c>
      <c r="CE165" s="885">
        <f>+CE510*CE120+CE511*CE123+CE512*CE129+CE513*CE132+CE514*CE135+CE515*CE138+CE516*CE141+CE518*CE144</f>
        <v>6.3177196530127449E-3</v>
      </c>
      <c r="CF165" s="885">
        <f>+CF510*CF120+CF511*CF123+CF512*CF129+CF513*CF132+CF514*CF135+CF515*CF138+CF516*CF141+CF518*CF144</f>
        <v>-4.8066639327737472E-3</v>
      </c>
      <c r="CG165" s="885"/>
      <c r="CH165" s="1044"/>
      <c r="CI165" s="885"/>
      <c r="CJ165" s="885"/>
      <c r="CK165" s="885"/>
      <c r="CL165" s="885"/>
      <c r="CM165" s="1044"/>
      <c r="CN165" s="885"/>
      <c r="CO165" s="885"/>
      <c r="CP165" s="885"/>
      <c r="CQ165" s="885"/>
      <c r="CR165" s="1044"/>
      <c r="CS165" s="1771"/>
      <c r="CT165" s="1044"/>
      <c r="CV165" s="1947"/>
      <c r="CW165" s="1947"/>
      <c r="CX165" s="1947"/>
      <c r="DA165" s="212"/>
      <c r="DB165" s="1226"/>
    </row>
    <row r="166" spans="1:106" s="207" customFormat="1" x14ac:dyDescent="0.2">
      <c r="A166" s="1595" t="s">
        <v>560</v>
      </c>
      <c r="B166" s="1882" t="s">
        <v>673</v>
      </c>
      <c r="C166" s="1882" t="s">
        <v>673</v>
      </c>
      <c r="D166" s="1882" t="s">
        <v>673</v>
      </c>
      <c r="E166" s="1882" t="s">
        <v>673</v>
      </c>
      <c r="F166" s="1926" t="s">
        <v>673</v>
      </c>
      <c r="G166" s="1882" t="s">
        <v>673</v>
      </c>
      <c r="H166" s="1882" t="s">
        <v>673</v>
      </c>
      <c r="I166" s="1882" t="s">
        <v>673</v>
      </c>
      <c r="J166" s="1882" t="s">
        <v>673</v>
      </c>
      <c r="K166" s="1926" t="s">
        <v>673</v>
      </c>
      <c r="L166" s="1882" t="s">
        <v>673</v>
      </c>
      <c r="M166" s="1882" t="s">
        <v>673</v>
      </c>
      <c r="N166" s="1882" t="s">
        <v>673</v>
      </c>
      <c r="O166" s="1882" t="s">
        <v>673</v>
      </c>
      <c r="P166" s="1926" t="s">
        <v>673</v>
      </c>
      <c r="Q166" s="1043">
        <f>+Q661</f>
        <v>7.0000000000000001E-3</v>
      </c>
      <c r="R166" s="1043">
        <f t="shared" ref="R166:BO166" si="167">+R661</f>
        <v>-1.7999999999999999E-2</v>
      </c>
      <c r="S166" s="1043">
        <f t="shared" si="167"/>
        <v>-1E-3</v>
      </c>
      <c r="T166" s="1043">
        <f t="shared" si="167"/>
        <v>3.0000000000000001E-3</v>
      </c>
      <c r="U166" s="1944">
        <f t="shared" si="167"/>
        <v>-1E-3</v>
      </c>
      <c r="V166" s="1043">
        <f t="shared" si="167"/>
        <v>2.3E-2</v>
      </c>
      <c r="W166" s="1043">
        <f t="shared" si="167"/>
        <v>3.9E-2</v>
      </c>
      <c r="X166" s="1043">
        <f t="shared" si="167"/>
        <v>2.5999999999999999E-2</v>
      </c>
      <c r="Y166" s="1043">
        <f t="shared" si="167"/>
        <v>3.2000000000000001E-2</v>
      </c>
      <c r="Z166" s="1944">
        <f t="shared" si="167"/>
        <v>3.1E-2</v>
      </c>
      <c r="AA166" s="1043">
        <f t="shared" si="167"/>
        <v>1.0999999999999999E-2</v>
      </c>
      <c r="AB166" s="1043">
        <f t="shared" si="167"/>
        <v>1.2999999999999999E-2</v>
      </c>
      <c r="AC166" s="1043">
        <f t="shared" si="167"/>
        <v>8.0000000000000002E-3</v>
      </c>
      <c r="AD166" s="1043">
        <f t="shared" si="167"/>
        <v>0.02</v>
      </c>
      <c r="AE166" s="1944">
        <f t="shared" si="167"/>
        <v>1.2999999999999999E-2</v>
      </c>
      <c r="AF166" s="1043">
        <f t="shared" si="167"/>
        <v>1.4999999999999999E-2</v>
      </c>
      <c r="AG166" s="1043">
        <f t="shared" si="167"/>
        <v>1.2E-2</v>
      </c>
      <c r="AH166" s="1043">
        <f t="shared" si="167"/>
        <v>-1E-3</v>
      </c>
      <c r="AI166" s="1043">
        <f t="shared" si="167"/>
        <v>-1.0999999999999999E-2</v>
      </c>
      <c r="AJ166" s="1944">
        <f t="shared" si="167"/>
        <v>3.0000000000000001E-3</v>
      </c>
      <c r="AK166" s="1043">
        <f t="shared" si="167"/>
        <v>-1.4E-2</v>
      </c>
      <c r="AL166" s="1043">
        <f t="shared" si="167"/>
        <v>-1E-3</v>
      </c>
      <c r="AM166" s="1043">
        <f t="shared" si="167"/>
        <v>8.0000000000000002E-3</v>
      </c>
      <c r="AN166" s="1043">
        <f t="shared" si="167"/>
        <v>0</v>
      </c>
      <c r="AO166" s="1944">
        <f t="shared" si="167"/>
        <v>-2E-3</v>
      </c>
      <c r="AP166" s="1043">
        <f t="shared" si="167"/>
        <v>-0.01</v>
      </c>
      <c r="AQ166" s="1043">
        <f t="shared" si="167"/>
        <v>-1.2999999999999999E-2</v>
      </c>
      <c r="AR166" s="1875">
        <f t="shared" si="167"/>
        <v>-1.9E-2</v>
      </c>
      <c r="AS166" s="1875">
        <f t="shared" si="167"/>
        <v>-5.0999999999999997E-2</v>
      </c>
      <c r="AT166" s="1953">
        <f t="shared" si="167"/>
        <v>-2.7E-2</v>
      </c>
      <c r="AU166" s="1875">
        <f t="shared" si="167"/>
        <v>-0.06</v>
      </c>
      <c r="AV166" s="1875">
        <f t="shared" si="167"/>
        <v>-7.2999999999999995E-2</v>
      </c>
      <c r="AW166" s="1875">
        <f t="shared" si="167"/>
        <v>-5.6000000000000001E-2</v>
      </c>
      <c r="AX166" s="1875">
        <f t="shared" si="167"/>
        <v>-1.7000000000000001E-2</v>
      </c>
      <c r="AY166" s="1953">
        <f t="shared" si="167"/>
        <v>-5.3999999999999999E-2</v>
      </c>
      <c r="AZ166" s="1875">
        <f t="shared" si="167"/>
        <v>3.3000000000000002E-2</v>
      </c>
      <c r="BA166" s="1875">
        <f t="shared" si="167"/>
        <v>4.4999999999999998E-2</v>
      </c>
      <c r="BB166" s="1875">
        <f t="shared" si="167"/>
        <v>3.6999999999999998E-2</v>
      </c>
      <c r="BC166" s="1875">
        <f t="shared" si="167"/>
        <v>3.5000000000000003E-2</v>
      </c>
      <c r="BD166" s="1953">
        <f t="shared" si="167"/>
        <v>3.6999999999999998E-2</v>
      </c>
      <c r="BE166" s="1875">
        <f t="shared" si="167"/>
        <v>0.02</v>
      </c>
      <c r="BF166" s="1875">
        <f t="shared" si="167"/>
        <v>2.4E-2</v>
      </c>
      <c r="BG166" s="1875">
        <f t="shared" si="167"/>
        <v>2.5000000000000001E-2</v>
      </c>
      <c r="BH166" s="1875">
        <f t="shared" si="167"/>
        <v>0.02</v>
      </c>
      <c r="BI166" s="1953">
        <f t="shared" si="167"/>
        <v>2.1999999999999999E-2</v>
      </c>
      <c r="BJ166" s="1875">
        <f t="shared" si="167"/>
        <v>0.02</v>
      </c>
      <c r="BK166" s="1875">
        <f t="shared" si="167"/>
        <v>1.6E-2</v>
      </c>
      <c r="BL166" s="1875">
        <f t="shared" si="167"/>
        <v>0.01</v>
      </c>
      <c r="BM166" s="1875">
        <f t="shared" si="167"/>
        <v>1.2E-2</v>
      </c>
      <c r="BN166" s="1953">
        <f t="shared" si="167"/>
        <v>1.4E-2</v>
      </c>
      <c r="BO166" s="1875">
        <f t="shared" si="167"/>
        <v>3.0000000000000001E-3</v>
      </c>
      <c r="BP166" s="1875">
        <f t="shared" ref="BP166:BU166" si="168">+BP661</f>
        <v>8.9999999999999993E-3</v>
      </c>
      <c r="BQ166" s="1875">
        <f t="shared" si="168"/>
        <v>8.9999999999999993E-3</v>
      </c>
      <c r="BR166" s="1875">
        <f t="shared" si="168"/>
        <v>8.0000000000000002E-3</v>
      </c>
      <c r="BS166" s="1953">
        <f t="shared" si="168"/>
        <v>8.0000000000000002E-3</v>
      </c>
      <c r="BT166" s="1875">
        <f t="shared" si="168"/>
        <v>0.02</v>
      </c>
      <c r="BU166" s="1875">
        <f t="shared" si="168"/>
        <v>1.7000000000000001E-2</v>
      </c>
      <c r="BV166" s="1875">
        <f t="shared" ref="BV166:CA166" si="169">+BV661</f>
        <v>2.7E-2</v>
      </c>
      <c r="BW166" s="1875">
        <f t="shared" si="169"/>
        <v>1.6E-2</v>
      </c>
      <c r="BX166" s="1953">
        <f t="shared" si="169"/>
        <v>0.02</v>
      </c>
      <c r="BY166" s="1875">
        <f t="shared" si="169"/>
        <v>1.2999999999999999E-2</v>
      </c>
      <c r="BZ166" s="1875">
        <f t="shared" si="169"/>
        <v>2E-3</v>
      </c>
      <c r="CA166" s="1875">
        <f t="shared" si="169"/>
        <v>0</v>
      </c>
      <c r="CB166" s="1639"/>
      <c r="CC166" s="1046"/>
      <c r="CD166" s="1639"/>
      <c r="CE166" s="1639"/>
      <c r="CF166" s="1639"/>
      <c r="CG166" s="1639"/>
      <c r="CH166" s="1046"/>
      <c r="CI166" s="1639"/>
      <c r="CJ166" s="1639"/>
      <c r="CK166" s="1639"/>
      <c r="CL166" s="1639"/>
      <c r="CM166" s="1046"/>
      <c r="CN166" s="1639"/>
      <c r="CO166" s="1639"/>
      <c r="CP166" s="1639"/>
      <c r="CQ166" s="1639"/>
      <c r="CR166" s="1046"/>
      <c r="CS166" s="1046"/>
      <c r="CT166" s="1046"/>
      <c r="DA166" s="212"/>
      <c r="DB166" s="1226"/>
    </row>
    <row r="167" spans="1:106" s="207" customFormat="1" x14ac:dyDescent="0.2">
      <c r="A167" s="1595"/>
      <c r="B167" s="234"/>
      <c r="C167" s="234"/>
      <c r="D167" s="234"/>
      <c r="E167" s="234"/>
      <c r="F167" s="234"/>
      <c r="G167" s="885"/>
      <c r="H167" s="885"/>
      <c r="I167" s="885"/>
      <c r="J167" s="885"/>
      <c r="K167" s="1468"/>
      <c r="L167" s="885"/>
      <c r="M167" s="885"/>
      <c r="N167" s="885"/>
      <c r="O167" s="885"/>
      <c r="P167" s="1468"/>
      <c r="Q167" s="885"/>
      <c r="R167" s="885"/>
      <c r="S167" s="885"/>
      <c r="T167" s="885"/>
      <c r="U167" s="1468"/>
      <c r="V167" s="885"/>
      <c r="W167" s="885"/>
      <c r="X167" s="885"/>
      <c r="Y167" s="885"/>
      <c r="Z167" s="1468"/>
      <c r="AA167" s="885"/>
      <c r="AB167" s="885"/>
      <c r="AC167" s="885"/>
      <c r="AD167" s="885"/>
      <c r="AE167" s="1468"/>
      <c r="AF167" s="885"/>
      <c r="AG167" s="885"/>
      <c r="AH167" s="885"/>
      <c r="AI167" s="885"/>
      <c r="AJ167" s="1468"/>
      <c r="AK167" s="885"/>
      <c r="AL167" s="885"/>
      <c r="AM167" s="885"/>
      <c r="AN167" s="885"/>
      <c r="AO167" s="1468"/>
      <c r="AP167" s="885"/>
      <c r="AQ167" s="885"/>
      <c r="AR167" s="885"/>
      <c r="AS167" s="885"/>
      <c r="AT167" s="1280"/>
      <c r="AU167" s="885"/>
      <c r="AV167" s="885"/>
      <c r="AW167" s="885"/>
      <c r="AX167" s="885"/>
      <c r="AY167" s="1280"/>
      <c r="AZ167" s="1215"/>
      <c r="BA167" s="1215"/>
      <c r="BB167" s="1215"/>
      <c r="BC167" s="1215"/>
      <c r="BD167" s="1498"/>
      <c r="BE167" s="1215"/>
      <c r="BF167" s="1215"/>
      <c r="BG167" s="1215"/>
      <c r="BH167" s="1215"/>
      <c r="BI167" s="1498"/>
      <c r="BJ167" s="1215"/>
      <c r="BK167" s="1215"/>
      <c r="BL167" s="1215"/>
      <c r="BM167" s="1215"/>
      <c r="BN167" s="1498"/>
      <c r="BO167" s="1837"/>
      <c r="BP167" s="1215"/>
      <c r="BQ167" s="1215"/>
      <c r="BR167" s="1842"/>
      <c r="BS167" s="1498"/>
      <c r="BT167" s="1837"/>
      <c r="BU167" s="1215"/>
      <c r="BV167" s="1215"/>
      <c r="BW167" s="1842"/>
      <c r="BX167" s="1498"/>
      <c r="BY167" s="1215"/>
      <c r="BZ167" s="1215"/>
      <c r="CA167" s="1215"/>
      <c r="CB167" s="1842"/>
      <c r="CC167" s="1498"/>
      <c r="CD167" s="1215"/>
      <c r="CE167" s="1215"/>
      <c r="CF167" s="1215"/>
      <c r="CG167" s="1842"/>
      <c r="CH167" s="1498"/>
      <c r="CI167" s="1215"/>
      <c r="CJ167" s="1215"/>
      <c r="CK167" s="1215"/>
      <c r="CL167" s="1215"/>
      <c r="CM167" s="1498"/>
      <c r="CN167" s="1215"/>
      <c r="CO167" s="1215"/>
      <c r="CP167" s="1215"/>
      <c r="CQ167" s="1215"/>
      <c r="CR167" s="1498"/>
      <c r="CS167" s="1498"/>
      <c r="CT167" s="1498"/>
      <c r="DA167" s="212"/>
      <c r="DB167" s="1226"/>
    </row>
    <row r="168" spans="1:106" s="207" customFormat="1" x14ac:dyDescent="0.2">
      <c r="A168" s="1435" t="s">
        <v>1649</v>
      </c>
      <c r="B168" s="234"/>
      <c r="C168" s="234"/>
      <c r="D168" s="234"/>
      <c r="E168" s="234"/>
      <c r="F168" s="234"/>
      <c r="G168" s="885"/>
      <c r="H168" s="885"/>
      <c r="I168" s="885"/>
      <c r="J168" s="885"/>
      <c r="K168" s="1468"/>
      <c r="L168" s="885"/>
      <c r="M168" s="885"/>
      <c r="N168" s="885"/>
      <c r="O168" s="885"/>
      <c r="P168" s="1468"/>
      <c r="Q168" s="885"/>
      <c r="R168" s="885"/>
      <c r="S168" s="885"/>
      <c r="T168" s="885"/>
      <c r="U168" s="1468"/>
      <c r="V168" s="885"/>
      <c r="W168" s="885"/>
      <c r="X168" s="885"/>
      <c r="Y168" s="885"/>
      <c r="Z168" s="1468"/>
      <c r="AA168" s="885"/>
      <c r="AB168" s="885"/>
      <c r="AC168" s="885"/>
      <c r="AD168" s="885"/>
      <c r="AE168" s="1468"/>
      <c r="AF168" s="885"/>
      <c r="AG168" s="885"/>
      <c r="AH168" s="885"/>
      <c r="AI168" s="885"/>
      <c r="AJ168" s="1468"/>
      <c r="AK168" s="885"/>
      <c r="AL168" s="885"/>
      <c r="AM168" s="885"/>
      <c r="AN168" s="885"/>
      <c r="AO168" s="1468"/>
      <c r="AP168" s="885"/>
      <c r="AQ168" s="885"/>
      <c r="AR168" s="885"/>
      <c r="AS168" s="885"/>
      <c r="AT168" s="1280"/>
      <c r="AU168" s="885"/>
      <c r="AV168" s="885"/>
      <c r="AW168" s="885"/>
      <c r="AX168" s="885"/>
      <c r="AY168" s="1280"/>
      <c r="AZ168" s="1215"/>
      <c r="BA168" s="1215"/>
      <c r="BB168" s="1215"/>
      <c r="BC168" s="1215"/>
      <c r="BD168" s="1498"/>
      <c r="BE168" s="1215"/>
      <c r="BF168" s="1215"/>
      <c r="BG168" s="1215"/>
      <c r="BH168" s="1215"/>
      <c r="BI168" s="1498"/>
      <c r="BJ168" s="1215"/>
      <c r="BK168" s="1215"/>
      <c r="BL168" s="1215"/>
      <c r="BM168" s="1215"/>
      <c r="BN168" s="1498"/>
      <c r="BO168" s="1837"/>
      <c r="BP168" s="1215"/>
      <c r="BQ168" s="1215"/>
      <c r="BR168" s="1842"/>
      <c r="BS168" s="1498"/>
      <c r="BT168" s="1837"/>
      <c r="BU168" s="1215"/>
      <c r="BV168" s="1215"/>
      <c r="BW168" s="1842"/>
      <c r="BX168" s="1498"/>
      <c r="BY168" s="1215"/>
      <c r="BZ168" s="1215"/>
      <c r="CA168" s="1215"/>
      <c r="CB168" s="1842"/>
      <c r="CC168" s="1498"/>
      <c r="CD168" s="1215"/>
      <c r="CE168" s="1215"/>
      <c r="CF168" s="1215"/>
      <c r="CG168" s="1842"/>
      <c r="CH168" s="1498"/>
      <c r="CI168" s="1215"/>
      <c r="CJ168" s="1215"/>
      <c r="CK168" s="1215"/>
      <c r="CL168" s="1215"/>
      <c r="CM168" s="1498"/>
      <c r="CN168" s="1215"/>
      <c r="CO168" s="1215"/>
      <c r="CP168" s="1215"/>
      <c r="CQ168" s="1215"/>
      <c r="CR168" s="1498"/>
      <c r="CS168" s="1498"/>
      <c r="CT168" s="1498"/>
      <c r="DA168" s="212"/>
      <c r="DB168" s="1226"/>
    </row>
    <row r="169" spans="1:106" x14ac:dyDescent="0.2">
      <c r="A169" s="1434" t="s">
        <v>819</v>
      </c>
      <c r="B169" s="1486">
        <v>147.97</v>
      </c>
      <c r="C169" s="1488">
        <v>150.29</v>
      </c>
      <c r="D169" s="1488">
        <v>146.88</v>
      </c>
      <c r="E169" s="1488">
        <v>155.59</v>
      </c>
      <c r="F169" s="1487">
        <f>+SUMPRODUCT(B169:E169,$BJ$4:$BM$4)/$BN$4</f>
        <v>150.59846153846152</v>
      </c>
      <c r="G169" s="1486">
        <v>155.47</v>
      </c>
      <c r="H169" s="1488">
        <v>152.08000000000001</v>
      </c>
      <c r="I169" s="1488">
        <v>146.55000000000001</v>
      </c>
      <c r="J169" s="1488">
        <v>135.83000000000001</v>
      </c>
      <c r="K169" s="1487">
        <f>+SUMPRODUCT(G169:J169,$BJ$4:$BM$4)/$BN$4</f>
        <v>146.58615384615385</v>
      </c>
      <c r="L169" s="1486">
        <v>142.25</v>
      </c>
      <c r="M169" s="1488">
        <v>141.91</v>
      </c>
      <c r="N169" s="1488">
        <v>136.77000000000001</v>
      </c>
      <c r="O169" s="1488">
        <v>137.28</v>
      </c>
      <c r="P169" s="1487">
        <f>+SUMPRODUCT(L169:O169,$BJ$4:$BM$4)/$BN$4</f>
        <v>139.37769230769231</v>
      </c>
      <c r="Q169" s="1486">
        <v>131.69999999999999</v>
      </c>
      <c r="R169" s="1488">
        <v>130.24</v>
      </c>
      <c r="S169" s="1488">
        <v>121.45</v>
      </c>
      <c r="T169" s="1488">
        <v>129.41999999999999</v>
      </c>
      <c r="U169" s="1487">
        <f>+SUMPRODUCT(Q169:T169,$BJ$4:$BM$4)/$BN$4</f>
        <v>128.29615384615386</v>
      </c>
      <c r="V169" s="1486">
        <v>137.55000000000001</v>
      </c>
      <c r="W169" s="1488">
        <v>135.96</v>
      </c>
      <c r="X169" s="1488">
        <v>126.86</v>
      </c>
      <c r="Y169" s="1488">
        <v>135.15</v>
      </c>
      <c r="Z169" s="1487">
        <f>+SUMPRODUCT(V169:Y169,$BJ$4:$BM$4)/$BN$4</f>
        <v>133.97769230769231</v>
      </c>
      <c r="AA169" s="1486">
        <v>145.96</v>
      </c>
      <c r="AB169" s="1488">
        <v>145.34</v>
      </c>
      <c r="AC169" s="1488">
        <v>135.30000000000001</v>
      </c>
      <c r="AD169" s="1488">
        <v>148.63776842025834</v>
      </c>
      <c r="AE169" s="1487">
        <f>+SUMPRODUCT(AA169:AD169,$BJ$4:$BM$4)/$BN$4</f>
        <v>144.18085182161795</v>
      </c>
      <c r="AF169" s="1486">
        <v>154.67105507942352</v>
      </c>
      <c r="AG169" s="1488">
        <v>155.68503793052088</v>
      </c>
      <c r="AH169" s="1488">
        <v>152.6358427078321</v>
      </c>
      <c r="AI169" s="1488">
        <v>158.60075531237649</v>
      </c>
      <c r="AJ169" s="1487">
        <f>+SUMPRODUCT(AF169:AI169,$BJ$4:$BM$4)/$BN$4</f>
        <v>155.64452526175657</v>
      </c>
      <c r="AK169" s="1486">
        <v>161.9743243692177</v>
      </c>
      <c r="AL169" s="1488">
        <v>160.33000000000001</v>
      </c>
      <c r="AM169" s="1488">
        <v>153.25</v>
      </c>
      <c r="AN169" s="1488">
        <v>165.66</v>
      </c>
      <c r="AO169" s="1487">
        <f>+SUMPRODUCT(AK169:AN169,$BJ$4:$BM$4)/$BN$4</f>
        <v>160.71561331597331</v>
      </c>
      <c r="AP169" s="1486">
        <v>167.58</v>
      </c>
      <c r="AQ169" s="1488">
        <v>168.07</v>
      </c>
      <c r="AR169" s="1488">
        <v>156.37</v>
      </c>
      <c r="AS169" s="1488">
        <v>161.47999999999999</v>
      </c>
      <c r="AT169" s="1487">
        <f>+SUMPRODUCT(AP169:AS169,$BJ$4:$BM$4)/$BN$4</f>
        <v>163.22923076923078</v>
      </c>
      <c r="AU169" s="1486">
        <v>154.31</v>
      </c>
      <c r="AV169" s="1488">
        <v>146.79</v>
      </c>
      <c r="AW169" s="1488">
        <v>135.47</v>
      </c>
      <c r="AX169" s="1488">
        <v>145.12</v>
      </c>
      <c r="AY169" s="1487">
        <f>+SUMPRODUCT(AU169:AX169,$BJ$4:$BM$4)/$BN$4</f>
        <v>145.3992307692308</v>
      </c>
      <c r="AZ169" s="1486">
        <v>141.5</v>
      </c>
      <c r="BA169" s="1488">
        <v>146.03</v>
      </c>
      <c r="BB169" s="1488">
        <v>137.16999999999999</v>
      </c>
      <c r="BC169" s="1488">
        <v>146.49</v>
      </c>
      <c r="BD169" s="1487">
        <f>+SUMPRODUCT(AZ169:BC169,$BJ$4:$BM$4)/$BN$4</f>
        <v>143.08153846153849</v>
      </c>
      <c r="BE169" s="1486">
        <v>148.19999999999999</v>
      </c>
      <c r="BF169" s="1488">
        <v>153.13999999999999</v>
      </c>
      <c r="BG169" s="1488">
        <v>142.68</v>
      </c>
      <c r="BH169" s="1488">
        <v>152.66999999999999</v>
      </c>
      <c r="BI169" s="1487">
        <f>+SUMPRODUCT(BE169:BH169,$BJ$4:$BM$4)/$BN$4</f>
        <v>149.44153846153847</v>
      </c>
      <c r="BJ169" s="1488">
        <v>157.12</v>
      </c>
      <c r="BK169" s="1488">
        <v>160.25</v>
      </c>
      <c r="BL169" s="1488">
        <v>150.51</v>
      </c>
      <c r="BM169" s="1488">
        <v>159.56</v>
      </c>
      <c r="BN169" s="1487">
        <f>+SUMPRODUCT(BJ169:BM169,$BJ$4:$BM$4)/$BN$4</f>
        <v>157.06769230769231</v>
      </c>
      <c r="BO169" s="1488">
        <v>164.21</v>
      </c>
      <c r="BP169" s="1488">
        <v>166.23</v>
      </c>
      <c r="BQ169" s="1488">
        <v>159.5</v>
      </c>
      <c r="BR169" s="1488">
        <v>165.68</v>
      </c>
      <c r="BS169" s="1487">
        <f>+SUMPRODUCT(BO169:BR169,$BJ$4:$BM$4)/$BN$4</f>
        <v>164.04153846153844</v>
      </c>
      <c r="BT169" s="1488">
        <v>171.3</v>
      </c>
      <c r="BU169" s="1488">
        <v>172.67</v>
      </c>
      <c r="BV169" s="1488">
        <v>167.78</v>
      </c>
      <c r="BW169" s="1488">
        <v>174.23</v>
      </c>
      <c r="BX169" s="1487">
        <f>+SUMPRODUCT(BT169:BW169,$BJ$4:$BM$4)/$BN$4</f>
        <v>171.70538461538459</v>
      </c>
      <c r="BY169" s="1488">
        <v>176.6</v>
      </c>
      <c r="BZ169" s="1488">
        <v>179.38</v>
      </c>
      <c r="CA169" s="1488">
        <v>172.38</v>
      </c>
      <c r="CB169" s="1488">
        <v>175.57</v>
      </c>
      <c r="CC169" s="1487">
        <f>+SUMPRODUCT(BY169:CB169,$BT$4:$BW$4)/$BX$4</f>
        <v>175.96980821917808</v>
      </c>
      <c r="CD169" s="1488">
        <v>180.18</v>
      </c>
      <c r="CE169" s="1488">
        <v>181.68</v>
      </c>
      <c r="CF169" s="1488">
        <v>174.23</v>
      </c>
      <c r="CG169" s="1488"/>
      <c r="CH169" s="1487"/>
      <c r="CI169" s="1489"/>
      <c r="CJ169" s="1489"/>
      <c r="CK169" s="1489"/>
      <c r="CL169" s="1489"/>
      <c r="CM169" s="1487"/>
      <c r="CN169" s="1489"/>
      <c r="CO169" s="1489"/>
      <c r="CP169" s="1489"/>
      <c r="CQ169" s="1489"/>
      <c r="CR169" s="1490"/>
      <c r="CS169" s="1490"/>
      <c r="CT169" s="1490"/>
      <c r="DA169" s="212"/>
      <c r="DB169" s="1226"/>
    </row>
    <row r="170" spans="1:106" x14ac:dyDescent="0.2">
      <c r="A170" s="1595" t="s">
        <v>652</v>
      </c>
      <c r="B170" s="885"/>
      <c r="C170" s="885"/>
      <c r="D170" s="885"/>
      <c r="E170" s="885"/>
      <c r="F170" s="1280"/>
      <c r="G170" s="885">
        <f>G169/B169-1</f>
        <v>5.0685949854700318E-2</v>
      </c>
      <c r="H170" s="885">
        <f>H169/C169-1</f>
        <v>1.1910306740302135E-2</v>
      </c>
      <c r="I170" s="885">
        <f>I169/D169-1</f>
        <v>-2.2467320261436718E-3</v>
      </c>
      <c r="J170" s="885">
        <f>J169/E169-1</f>
        <v>-0.12700044990037918</v>
      </c>
      <c r="K170" s="1280"/>
      <c r="L170" s="885">
        <f>L169/G169-1</f>
        <v>-8.5032482150897315E-2</v>
      </c>
      <c r="M170" s="885">
        <f>M169/H169-1</f>
        <v>-6.6872698579695022E-2</v>
      </c>
      <c r="N170" s="885">
        <f>N169/I169-1</f>
        <v>-6.6734902763561976E-2</v>
      </c>
      <c r="O170" s="885">
        <f>O169/J169-1</f>
        <v>1.0675108591621685E-2</v>
      </c>
      <c r="P170" s="1280">
        <f>+P169/K169-1</f>
        <v>-4.9175596393824517E-2</v>
      </c>
      <c r="Q170" s="885">
        <f>Q169/L169-1</f>
        <v>-7.4165202108963157E-2</v>
      </c>
      <c r="R170" s="885">
        <f>R169/M169-1</f>
        <v>-8.2235219505320201E-2</v>
      </c>
      <c r="S170" s="885">
        <f>S169/N169-1</f>
        <v>-0.11201286831907586</v>
      </c>
      <c r="T170" s="885">
        <f>T169/O169-1</f>
        <v>-5.7255244755244905E-2</v>
      </c>
      <c r="U170" s="1280">
        <f>+U169/P169-1</f>
        <v>-7.9507260294385484E-2</v>
      </c>
      <c r="V170" s="885">
        <f>V169/Q169-1</f>
        <v>4.4419134396355586E-2</v>
      </c>
      <c r="W170" s="885">
        <f>W169/R169-1</f>
        <v>4.3918918918918859E-2</v>
      </c>
      <c r="X170" s="885">
        <f>X169/S169-1</f>
        <v>4.4545080279950522E-2</v>
      </c>
      <c r="Y170" s="885">
        <f>Y169/T169-1</f>
        <v>4.4274455261938073E-2</v>
      </c>
      <c r="Z170" s="1280">
        <f>+Z169/U169-1</f>
        <v>4.4284557963845561E-2</v>
      </c>
      <c r="AA170" s="885">
        <f>AA169/V169-1</f>
        <v>6.1141403126135918E-2</v>
      </c>
      <c r="AB170" s="885">
        <f>AB169/W169-1</f>
        <v>6.8990879670491223E-2</v>
      </c>
      <c r="AC170" s="885">
        <f>AC169/X169-1</f>
        <v>6.6530033107362607E-2</v>
      </c>
      <c r="AD170" s="885">
        <f>AD169/Y169-1</f>
        <v>9.9798508473979419E-2</v>
      </c>
      <c r="AE170" s="1280">
        <f>+AE169/Z169-1</f>
        <v>7.6155659484663518E-2</v>
      </c>
      <c r="AF170" s="885">
        <f>AF169/AA169-1</f>
        <v>5.9681111807505571E-2</v>
      </c>
      <c r="AG170" s="885">
        <f>AG169/AB169-1</f>
        <v>7.1178188595850234E-2</v>
      </c>
      <c r="AH170" s="885">
        <f>AH169/AC169-1</f>
        <v>0.12812891875707377</v>
      </c>
      <c r="AI170" s="885">
        <f>AI169/AD169-1</f>
        <v>6.7028636113190432E-2</v>
      </c>
      <c r="AJ170" s="1280">
        <f>+AJ169/AE169-1</f>
        <v>7.9508986771153145E-2</v>
      </c>
      <c r="AK170" s="885">
        <f>AK169/AF169-1</f>
        <v>4.7218073776272851E-2</v>
      </c>
      <c r="AL170" s="885">
        <f>AL169/AG169-1</f>
        <v>2.9835635660454995E-2</v>
      </c>
      <c r="AM170" s="885">
        <f>AM169/AH169-1</f>
        <v>4.0236767542436436E-3</v>
      </c>
      <c r="AN170" s="885">
        <f>AN169/AI169-1</f>
        <v>4.450952754745563E-2</v>
      </c>
      <c r="AO170" s="1280">
        <f>+AO169/AJ169-1</f>
        <v>3.2581217011574237E-2</v>
      </c>
      <c r="AP170" s="885">
        <f>AP169/AK169-1</f>
        <v>3.4608421134724177E-2</v>
      </c>
      <c r="AQ170" s="885">
        <f>AQ169/AL169-1</f>
        <v>4.8275431921661394E-2</v>
      </c>
      <c r="AR170" s="885">
        <f>AR169/AM169-1</f>
        <v>2.0358890701468235E-2</v>
      </c>
      <c r="AS170" s="885">
        <f>AS169/AN169-1</f>
        <v>-2.5232403718459584E-2</v>
      </c>
      <c r="AT170" s="1280">
        <f>+AT169/AO169-1</f>
        <v>1.5640157178230085E-2</v>
      </c>
      <c r="AU170" s="885">
        <f>AU169/AP169-1</f>
        <v>-7.9186060389067947E-2</v>
      </c>
      <c r="AV170" s="885">
        <f>AV169/AQ169-1</f>
        <v>-0.12661391087047069</v>
      </c>
      <c r="AW170" s="885">
        <f>AW169/AR169-1</f>
        <v>-0.13365735115431354</v>
      </c>
      <c r="AX170" s="885">
        <f>AX169/AS169-1</f>
        <v>-0.1013128560812484</v>
      </c>
      <c r="AY170" s="1280">
        <f>+AY169/AT169-1</f>
        <v>-0.10923288626659999</v>
      </c>
      <c r="AZ170" s="885">
        <f>AZ169/AU169-1</f>
        <v>-8.3014710647398071E-2</v>
      </c>
      <c r="BA170" s="885">
        <f>BA169/AV169-1</f>
        <v>-5.1774644049321639E-3</v>
      </c>
      <c r="BB170" s="885">
        <f>BB169/AW169-1</f>
        <v>1.2548903816343104E-2</v>
      </c>
      <c r="BC170" s="885">
        <f>BC169/AX169-1</f>
        <v>9.4404630650497534E-3</v>
      </c>
      <c r="BD170" s="1280">
        <f>+BD169/AY169-1</f>
        <v>-1.5940196488183789E-2</v>
      </c>
      <c r="BE170" s="885">
        <f>BE169/AZ169-1</f>
        <v>4.7349823321554796E-2</v>
      </c>
      <c r="BF170" s="885">
        <f>BF169/BA169-1</f>
        <v>4.8688625624871529E-2</v>
      </c>
      <c r="BG170" s="885">
        <f>BG169/BB169-1</f>
        <v>4.0169133192389239E-2</v>
      </c>
      <c r="BH170" s="885">
        <f>BH169/BC169-1</f>
        <v>4.2187180012287273E-2</v>
      </c>
      <c r="BI170" s="1280">
        <f>+BI169/BD169-1</f>
        <v>4.445017902648285E-2</v>
      </c>
      <c r="BJ170" s="885">
        <f>BJ169/BE169-1</f>
        <v>6.0188933873144501E-2</v>
      </c>
      <c r="BK170" s="885">
        <f>BK169/BF169-1</f>
        <v>4.6428105001959041E-2</v>
      </c>
      <c r="BL170" s="885">
        <f>BL169/BG169-1</f>
        <v>5.4878048780487632E-2</v>
      </c>
      <c r="BM170" s="885">
        <f>BM169/BH169-1</f>
        <v>4.5130018995218624E-2</v>
      </c>
      <c r="BN170" s="1280">
        <f>+BN169/BI169-1</f>
        <v>5.1031018046676202E-2</v>
      </c>
      <c r="BO170" s="885">
        <f>BO169/BJ169-1</f>
        <v>4.5124745417515211E-2</v>
      </c>
      <c r="BP170" s="885">
        <f>BP169/BK169-1</f>
        <v>3.7316692667706652E-2</v>
      </c>
      <c r="BQ170" s="885">
        <f>BQ169/BL169-1</f>
        <v>5.9730250481695668E-2</v>
      </c>
      <c r="BR170" s="885">
        <f>BR169/BM169-1</f>
        <v>3.8355477563299045E-2</v>
      </c>
      <c r="BS170" s="1280">
        <f>+BS169/BN169-1</f>
        <v>4.4400258585225227E-2</v>
      </c>
      <c r="BT170" s="885">
        <f>BT169/BO169-1</f>
        <v>4.31764204372449E-2</v>
      </c>
      <c r="BU170" s="885">
        <f>BU169/BP169-1</f>
        <v>3.8741502737171363E-2</v>
      </c>
      <c r="BV170" s="885">
        <f>BV169/BQ169-1</f>
        <v>5.1912225705329051E-2</v>
      </c>
      <c r="BW170" s="885">
        <f>BW169/BR169-1</f>
        <v>5.1605504587155959E-2</v>
      </c>
      <c r="BX170" s="1280">
        <f>+BX169/BS169-1</f>
        <v>4.671893610436384E-2</v>
      </c>
      <c r="BY170" s="885">
        <f>BY169/BT169-1</f>
        <v>3.0939871570344391E-2</v>
      </c>
      <c r="BZ170" s="885">
        <f>BZ169/BU169-1</f>
        <v>3.8860253663056676E-2</v>
      </c>
      <c r="CA170" s="885">
        <f>CA169/BV169-1</f>
        <v>2.7416855405888674E-2</v>
      </c>
      <c r="CB170" s="885">
        <f>CB169/BW169-1</f>
        <v>7.6909831831486475E-3</v>
      </c>
      <c r="CC170" s="1280">
        <f>+CC169/BX169-1</f>
        <v>2.4835701066368232E-2</v>
      </c>
      <c r="CD170" s="885">
        <f>CD169/BY169-1</f>
        <v>2.0271800679501739E-2</v>
      </c>
      <c r="CE170" s="885">
        <f>CE169/BZ169-1</f>
        <v>1.2821942245512474E-2</v>
      </c>
      <c r="CF170" s="885">
        <f>CF169/CA169-1</f>
        <v>1.0732103492284484E-2</v>
      </c>
      <c r="CG170" s="885"/>
      <c r="CH170" s="1280"/>
      <c r="CI170" s="2700"/>
      <c r="CJ170" s="2700"/>
      <c r="CK170" s="2700"/>
      <c r="CL170" s="2700"/>
      <c r="CM170" s="1280"/>
      <c r="CN170" s="2700"/>
      <c r="CO170" s="2700"/>
      <c r="CP170" s="2700"/>
      <c r="CQ170" s="2700"/>
      <c r="CR170" s="1046"/>
      <c r="CS170" s="1046"/>
      <c r="CT170" s="1046"/>
      <c r="DA170" s="212"/>
      <c r="DB170" s="1226"/>
    </row>
    <row r="171" spans="1:106" x14ac:dyDescent="0.2">
      <c r="A171" s="1595" t="s">
        <v>359</v>
      </c>
      <c r="B171" s="1924" t="s">
        <v>673</v>
      </c>
      <c r="C171" s="1924" t="s">
        <v>673</v>
      </c>
      <c r="D171" s="1924" t="s">
        <v>673</v>
      </c>
      <c r="E171" s="1924" t="s">
        <v>673</v>
      </c>
      <c r="F171" s="1890" t="s">
        <v>673</v>
      </c>
      <c r="G171" s="1924" t="s">
        <v>673</v>
      </c>
      <c r="H171" s="1924" t="s">
        <v>673</v>
      </c>
      <c r="I171" s="1924" t="s">
        <v>673</v>
      </c>
      <c r="J171" s="1924" t="s">
        <v>673</v>
      </c>
      <c r="K171" s="1890" t="s">
        <v>673</v>
      </c>
      <c r="L171" s="1924" t="s">
        <v>673</v>
      </c>
      <c r="M171" s="1924" t="s">
        <v>673</v>
      </c>
      <c r="N171" s="1924" t="s">
        <v>673</v>
      </c>
      <c r="O171" s="1924" t="s">
        <v>673</v>
      </c>
      <c r="P171" s="1890" t="s">
        <v>673</v>
      </c>
      <c r="Q171" s="1043">
        <f>+Q612</f>
        <v>-2.4E-2</v>
      </c>
      <c r="R171" s="1043">
        <f t="shared" ref="R171:BL171" si="170">+R612</f>
        <v>-3.2000000000000001E-2</v>
      </c>
      <c r="S171" s="1043">
        <f t="shared" si="170"/>
        <v>-1.2E-2</v>
      </c>
      <c r="T171" s="1043">
        <f t="shared" si="170"/>
        <v>-8.0000000000000002E-3</v>
      </c>
      <c r="U171" s="1953">
        <f t="shared" si="170"/>
        <v>-1.7999999999999999E-2</v>
      </c>
      <c r="V171" s="1043">
        <f t="shared" si="170"/>
        <v>1.2999999999999999E-2</v>
      </c>
      <c r="W171" s="1043">
        <f t="shared" si="170"/>
        <v>2.3E-2</v>
      </c>
      <c r="X171" s="1043">
        <f t="shared" si="170"/>
        <v>3.6999999999999998E-2</v>
      </c>
      <c r="Y171" s="1043">
        <f t="shared" si="170"/>
        <v>5.0999999999999997E-2</v>
      </c>
      <c r="Z171" s="1953">
        <f t="shared" si="170"/>
        <v>3.3000000000000002E-2</v>
      </c>
      <c r="AA171" s="1043">
        <f t="shared" si="170"/>
        <v>5.8000000000000003E-2</v>
      </c>
      <c r="AB171" s="1043">
        <f t="shared" si="170"/>
        <v>7.2999999999999995E-2</v>
      </c>
      <c r="AC171" s="1043">
        <f t="shared" si="170"/>
        <v>6.2E-2</v>
      </c>
      <c r="AD171" s="1043">
        <f t="shared" si="170"/>
        <v>7.5999999999999998E-2</v>
      </c>
      <c r="AE171" s="1953">
        <f t="shared" si="170"/>
        <v>6.9000000000000006E-2</v>
      </c>
      <c r="AF171" s="1043">
        <f t="shared" si="170"/>
        <v>0.08</v>
      </c>
      <c r="AG171" s="1043">
        <f t="shared" si="170"/>
        <v>8.7999999999999995E-2</v>
      </c>
      <c r="AH171" s="1043">
        <f t="shared" si="170"/>
        <v>8.5999999999999993E-2</v>
      </c>
      <c r="AI171" s="1043">
        <f t="shared" si="170"/>
        <v>7.9000000000000001E-2</v>
      </c>
      <c r="AJ171" s="1953">
        <f t="shared" si="170"/>
        <v>8.3000000000000004E-2</v>
      </c>
      <c r="AK171" s="1043">
        <f t="shared" si="170"/>
        <v>6.3E-2</v>
      </c>
      <c r="AL171" s="1043">
        <f t="shared" si="170"/>
        <v>4.2000000000000003E-2</v>
      </c>
      <c r="AM171" s="1043">
        <f t="shared" si="170"/>
        <v>5.1999999999999998E-2</v>
      </c>
      <c r="AN171" s="1043">
        <f t="shared" si="170"/>
        <v>6.3E-2</v>
      </c>
      <c r="AO171" s="1953">
        <f t="shared" si="170"/>
        <v>5.5E-2</v>
      </c>
      <c r="AP171" s="1043">
        <f t="shared" si="170"/>
        <v>3.9E-2</v>
      </c>
      <c r="AQ171" s="1043">
        <f t="shared" si="170"/>
        <v>3.3000000000000002E-2</v>
      </c>
      <c r="AR171" s="1043">
        <f t="shared" si="170"/>
        <v>2.1000000000000001E-2</v>
      </c>
      <c r="AS171" s="1043">
        <f t="shared" si="170"/>
        <v>-2.5000000000000001E-2</v>
      </c>
      <c r="AT171" s="1953">
        <f t="shared" si="170"/>
        <v>1.4E-2</v>
      </c>
      <c r="AU171" s="1043">
        <f t="shared" si="170"/>
        <v>8.2000000000000003E-2</v>
      </c>
      <c r="AV171" s="1043">
        <f t="shared" si="170"/>
        <v>-0.13400000000000001</v>
      </c>
      <c r="AW171" s="1043">
        <f t="shared" si="170"/>
        <v>0.13600000000000001</v>
      </c>
      <c r="AX171" s="1043">
        <f t="shared" si="170"/>
        <v>-0.106</v>
      </c>
      <c r="AY171" s="1953">
        <f t="shared" si="170"/>
        <v>-0.11700000000000001</v>
      </c>
      <c r="AZ171" s="1043">
        <f t="shared" si="170"/>
        <v>-7.0999999999999994E-2</v>
      </c>
      <c r="BA171" s="1043">
        <f t="shared" si="170"/>
        <v>0</v>
      </c>
      <c r="BB171" s="1043">
        <f t="shared" si="170"/>
        <v>2.5999999999999999E-2</v>
      </c>
      <c r="BC171" s="1043">
        <f t="shared" si="170"/>
        <v>2.1999999999999999E-2</v>
      </c>
      <c r="BD171" s="1953">
        <f t="shared" si="170"/>
        <v>-6.0000000000000001E-3</v>
      </c>
      <c r="BE171" s="1043">
        <f t="shared" si="170"/>
        <v>2.5999999999999999E-2</v>
      </c>
      <c r="BF171" s="1043">
        <f t="shared" si="170"/>
        <v>3.5999999999999997E-2</v>
      </c>
      <c r="BG171" s="1043">
        <f t="shared" si="170"/>
        <v>2.8000000000000001E-2</v>
      </c>
      <c r="BH171" s="1043">
        <f t="shared" si="170"/>
        <v>2.8000000000000001E-2</v>
      </c>
      <c r="BI171" s="1953">
        <f t="shared" si="170"/>
        <v>3.3000000000000002E-2</v>
      </c>
      <c r="BJ171" s="1043">
        <f t="shared" si="170"/>
        <v>3.4000000000000002E-2</v>
      </c>
      <c r="BK171" s="1043">
        <f t="shared" si="170"/>
        <v>3.4000000000000002E-2</v>
      </c>
      <c r="BL171" s="1043">
        <f t="shared" si="170"/>
        <v>4.3999999999999997E-2</v>
      </c>
      <c r="BM171" s="1043">
        <f t="shared" ref="BM171:BS171" si="171">+BM612</f>
        <v>3.3000000000000002E-2</v>
      </c>
      <c r="BN171" s="1953">
        <f t="shared" si="171"/>
        <v>3.5999999999999997E-2</v>
      </c>
      <c r="BO171" s="1043">
        <f t="shared" si="171"/>
        <v>3.6999999999999998E-2</v>
      </c>
      <c r="BP171" s="1043">
        <f t="shared" si="171"/>
        <v>0.04</v>
      </c>
      <c r="BQ171" s="1043">
        <f t="shared" si="171"/>
        <v>4.3999999999999997E-2</v>
      </c>
      <c r="BR171" s="1043">
        <f t="shared" si="171"/>
        <v>3.5999999999999997E-2</v>
      </c>
      <c r="BS171" s="1953">
        <f t="shared" si="171"/>
        <v>0.04</v>
      </c>
      <c r="BT171" s="1043">
        <f t="shared" ref="BT171:BY171" si="172">+BT612</f>
        <v>3.5000000000000003E-2</v>
      </c>
      <c r="BU171" s="1043">
        <f t="shared" si="172"/>
        <v>3.2000000000000001E-2</v>
      </c>
      <c r="BV171" s="1043">
        <f t="shared" si="172"/>
        <v>4.8000000000000001E-2</v>
      </c>
      <c r="BW171" s="1043">
        <f t="shared" si="172"/>
        <v>4.3999999999999997E-2</v>
      </c>
      <c r="BX171" s="1953">
        <f t="shared" si="172"/>
        <v>0.04</v>
      </c>
      <c r="BY171" s="1043">
        <f t="shared" si="172"/>
        <v>0.05</v>
      </c>
      <c r="BZ171" s="1043">
        <f t="shared" ref="BZ171:CE171" si="173">+BZ612</f>
        <v>4.8000000000000001E-2</v>
      </c>
      <c r="CA171" s="1043">
        <f t="shared" si="173"/>
        <v>3.5000000000000003E-2</v>
      </c>
      <c r="CB171" s="2882">
        <f t="shared" si="173"/>
        <v>2.9000000000000001E-2</v>
      </c>
      <c r="CC171" s="2881">
        <f t="shared" si="173"/>
        <v>4.2000000000000003E-2</v>
      </c>
      <c r="CD171" s="1043">
        <f t="shared" si="173"/>
        <v>2.5999999999999999E-2</v>
      </c>
      <c r="CE171" s="1043">
        <f t="shared" si="173"/>
        <v>1.6E-2</v>
      </c>
      <c r="CF171" s="1043">
        <f>+CF612</f>
        <v>2.3E-2</v>
      </c>
      <c r="CG171" s="1043"/>
      <c r="CH171" s="1280"/>
      <c r="CI171" s="886"/>
      <c r="CJ171" s="886"/>
      <c r="CK171" s="886"/>
      <c r="CL171" s="886"/>
      <c r="CM171" s="1280"/>
      <c r="CN171" s="886"/>
      <c r="CO171" s="886"/>
      <c r="CP171" s="886"/>
      <c r="CQ171" s="886"/>
      <c r="CR171" s="1046"/>
      <c r="CS171" s="1046"/>
      <c r="CT171" s="1046"/>
      <c r="DA171" s="212"/>
      <c r="DB171" s="1226"/>
    </row>
    <row r="172" spans="1:106" x14ac:dyDescent="0.2">
      <c r="A172" s="1434" t="s">
        <v>820</v>
      </c>
      <c r="B172" s="1491"/>
      <c r="C172" s="1494"/>
      <c r="D172" s="1494"/>
      <c r="E172" s="1494"/>
      <c r="F172" s="1493">
        <f>+SUMPRODUCT(B172:E172,$BJ$4:$BM$4)/$BN$4</f>
        <v>0</v>
      </c>
      <c r="G172" s="1491"/>
      <c r="H172" s="1494"/>
      <c r="I172" s="1494"/>
      <c r="J172" s="1494"/>
      <c r="K172" s="1493">
        <f>+SUMPRODUCT(G172:J172,$BJ$4:$BM$4)/$BN$4</f>
        <v>0</v>
      </c>
      <c r="L172" s="1491"/>
      <c r="M172" s="1494"/>
      <c r="N172" s="1494"/>
      <c r="O172" s="1494"/>
      <c r="P172" s="1493">
        <f>+SUMPRODUCT(L172:O172,$BJ$4:$BM$4)/$BN$4</f>
        <v>0</v>
      </c>
      <c r="Q172" s="1491"/>
      <c r="R172" s="1494">
        <v>126.42</v>
      </c>
      <c r="S172" s="1494">
        <v>117.81</v>
      </c>
      <c r="T172" s="1494">
        <v>123.73</v>
      </c>
      <c r="U172" s="1493">
        <f>+SUMPRODUCT(Q172:T172,$BJ$4:$BM$4)/$BN$4</f>
        <v>94.431538461538466</v>
      </c>
      <c r="V172" s="1491">
        <v>132.22</v>
      </c>
      <c r="W172" s="1494">
        <v>131.16999999999999</v>
      </c>
      <c r="X172" s="1494">
        <v>118.82</v>
      </c>
      <c r="Y172" s="1494">
        <v>128.66999999999999</v>
      </c>
      <c r="Z172" s="1493">
        <f>+SUMPRODUCT(V172:Y172,$BJ$4:$BM$4)/$BN$4</f>
        <v>127.79307692307692</v>
      </c>
      <c r="AA172" s="1491">
        <v>139.02000000000001</v>
      </c>
      <c r="AB172" s="1494">
        <v>139.54</v>
      </c>
      <c r="AC172" s="1494">
        <v>130.55000000000001</v>
      </c>
      <c r="AD172" s="1494">
        <v>146.6676912883938</v>
      </c>
      <c r="AE172" s="1493">
        <f>+SUMPRODUCT(AA172:AD172,$BJ$4:$BM$4)/$BN$4</f>
        <v>139.53852039642888</v>
      </c>
      <c r="AF172" s="1491">
        <v>147.66284332197895</v>
      </c>
      <c r="AG172" s="1494">
        <v>152.5830632791743</v>
      </c>
      <c r="AH172" s="1494">
        <v>150.11756983306717</v>
      </c>
      <c r="AI172" s="1494">
        <v>156.13445721920948</v>
      </c>
      <c r="AJ172" s="1493">
        <f>+SUMPRODUCT(AF172:AI172,$BJ$4:$BM$4)/$BN$4</f>
        <v>151.97140447534608</v>
      </c>
      <c r="AK172" s="1491">
        <v>153.86057922489991</v>
      </c>
      <c r="AL172" s="1494">
        <v>159.44</v>
      </c>
      <c r="AM172" s="1494">
        <v>147.87</v>
      </c>
      <c r="AN172" s="1494">
        <v>162.07</v>
      </c>
      <c r="AO172" s="1493">
        <f>+SUMPRODUCT(AK172:AN172,$BJ$4:$BM$4)/$BN$4</f>
        <v>156.29167212882305</v>
      </c>
      <c r="AP172" s="1491">
        <v>159.9</v>
      </c>
      <c r="AQ172" s="1494">
        <v>162.15</v>
      </c>
      <c r="AR172" s="1494">
        <v>146.33000000000001</v>
      </c>
      <c r="AS172" s="1494">
        <v>153.18</v>
      </c>
      <c r="AT172" s="1493">
        <f>+SUMPRODUCT(AP172:AS172,$BJ$4:$BM$4)/$BN$4</f>
        <v>155.22</v>
      </c>
      <c r="AU172" s="1491">
        <v>153.75</v>
      </c>
      <c r="AV172" s="1494">
        <v>143.91999999999999</v>
      </c>
      <c r="AW172" s="1494">
        <v>129.04</v>
      </c>
      <c r="AX172" s="1494">
        <v>137.91</v>
      </c>
      <c r="AY172" s="1493">
        <f>+SUMPRODUCT(AU172:AX172,$BJ$4:$BM$4)/$BN$4</f>
        <v>140.90538461538461</v>
      </c>
      <c r="AZ172" s="1491">
        <v>138.12</v>
      </c>
      <c r="BA172" s="1494">
        <v>144.32</v>
      </c>
      <c r="BB172" s="1494">
        <v>132.59</v>
      </c>
      <c r="BC172" s="1494">
        <v>143.06</v>
      </c>
      <c r="BD172" s="1493">
        <f>+SUMPRODUCT(AZ172:BC172,$BJ$4:$BM$4)/$BN$4</f>
        <v>139.79461538461538</v>
      </c>
      <c r="BE172" s="1491">
        <v>147.76</v>
      </c>
      <c r="BF172" s="1494">
        <v>150.41</v>
      </c>
      <c r="BG172" s="1494">
        <v>138.31</v>
      </c>
      <c r="BH172" s="1494">
        <v>149.6</v>
      </c>
      <c r="BI172" s="1493">
        <f>+SUMPRODUCT(BE172:BH172,$BJ$4:$BM$4)/$BN$4</f>
        <v>146.7569230769231</v>
      </c>
      <c r="BJ172" s="1494">
        <v>151</v>
      </c>
      <c r="BK172" s="1494">
        <v>155.85</v>
      </c>
      <c r="BL172" s="1494">
        <v>142.27000000000001</v>
      </c>
      <c r="BM172" s="1494">
        <v>153.5</v>
      </c>
      <c r="BN172" s="1493">
        <f>+SUMPRODUCT(BJ172:BM172,$BJ$4:$BM$4)/$BN$4</f>
        <v>150.87384615384616</v>
      </c>
      <c r="BO172" s="1494">
        <v>159.09</v>
      </c>
      <c r="BP172" s="1494">
        <v>160.34</v>
      </c>
      <c r="BQ172" s="1494">
        <v>148.25</v>
      </c>
      <c r="BR172" s="1494">
        <v>154.03</v>
      </c>
      <c r="BS172" s="1493">
        <f>+SUMPRODUCT(BO172:BR172,$BJ$4:$BM$4)/$BN$4</f>
        <v>155.32</v>
      </c>
      <c r="BT172" s="1494">
        <v>157.91999999999999</v>
      </c>
      <c r="BU172" s="1494">
        <v>163.86</v>
      </c>
      <c r="BV172" s="1494">
        <v>158.41999999999999</v>
      </c>
      <c r="BW172" s="1494">
        <v>162.76</v>
      </c>
      <c r="BX172" s="1493">
        <f>+SUMPRODUCT(BT172:BW172,$BJ$4:$BM$4)/$BN$4</f>
        <v>160.89538461538461</v>
      </c>
      <c r="BY172" s="1494">
        <v>165.51</v>
      </c>
      <c r="BZ172" s="1494">
        <v>167.12</v>
      </c>
      <c r="CA172" s="1494">
        <v>158.78</v>
      </c>
      <c r="CB172" s="1494">
        <v>163.47</v>
      </c>
      <c r="CC172" s="1493">
        <f>+SUMPRODUCT(BY172:CB172,$BT$4:$BW$4)/$BX$4</f>
        <v>163.70087671232878</v>
      </c>
      <c r="CD172" s="1494">
        <v>169.49</v>
      </c>
      <c r="CE172" s="1494">
        <v>173.84</v>
      </c>
      <c r="CF172" s="1494">
        <v>163.69</v>
      </c>
      <c r="CG172" s="3390"/>
      <c r="CH172" s="1493"/>
      <c r="CI172" s="234"/>
      <c r="CJ172" s="234"/>
      <c r="CK172" s="234"/>
      <c r="CL172" s="234"/>
      <c r="CM172" s="1493"/>
      <c r="CN172" s="234"/>
      <c r="CO172" s="234"/>
      <c r="CP172" s="234"/>
      <c r="CQ172" s="234"/>
      <c r="CR172" s="236"/>
      <c r="CS172" s="236"/>
      <c r="CT172" s="236"/>
      <c r="DA172" s="212"/>
      <c r="DB172" s="1226"/>
    </row>
    <row r="173" spans="1:106" x14ac:dyDescent="0.2">
      <c r="A173" s="1595" t="s">
        <v>652</v>
      </c>
      <c r="B173" s="885"/>
      <c r="C173" s="885"/>
      <c r="D173" s="885"/>
      <c r="E173" s="885"/>
      <c r="F173" s="1280"/>
      <c r="G173" s="885"/>
      <c r="H173" s="885"/>
      <c r="I173" s="885"/>
      <c r="J173" s="885"/>
      <c r="K173" s="1280"/>
      <c r="L173" s="885"/>
      <c r="M173" s="885"/>
      <c r="N173" s="885"/>
      <c r="O173" s="885"/>
      <c r="P173" s="1280"/>
      <c r="Q173" s="885"/>
      <c r="R173" s="885"/>
      <c r="S173" s="885"/>
      <c r="T173" s="885"/>
      <c r="U173" s="1280"/>
      <c r="V173" s="885"/>
      <c r="W173" s="885">
        <f>W172/R172-1</f>
        <v>3.7573168802404577E-2</v>
      </c>
      <c r="X173" s="885">
        <f>X172/S172-1</f>
        <v>8.5731262201849123E-3</v>
      </c>
      <c r="Y173" s="885">
        <f>Y172/T172-1</f>
        <v>3.9925644548613803E-2</v>
      </c>
      <c r="Z173" s="1280">
        <f>+Z172/U172-1</f>
        <v>0.35328809638240144</v>
      </c>
      <c r="AA173" s="885">
        <f>AA172/V172-1</f>
        <v>5.1429435788836964E-2</v>
      </c>
      <c r="AB173" s="885">
        <f>AB172/W172-1</f>
        <v>6.3810322482275028E-2</v>
      </c>
      <c r="AC173" s="885">
        <f>AC172/X172-1</f>
        <v>9.8720754081804474E-2</v>
      </c>
      <c r="AD173" s="885">
        <f>AD172/Y172-1</f>
        <v>0.13987480600290514</v>
      </c>
      <c r="AE173" s="1280">
        <f>+AE172/Z172-1</f>
        <v>9.1909857373744464E-2</v>
      </c>
      <c r="AF173" s="885">
        <f>AF172/AA172-1</f>
        <v>6.2169783642489929E-2</v>
      </c>
      <c r="AG173" s="885">
        <f>AG172/AB172-1</f>
        <v>9.3471859532566315E-2</v>
      </c>
      <c r="AH173" s="885">
        <f>AH172/AC172-1</f>
        <v>0.14988563640802099</v>
      </c>
      <c r="AI173" s="885">
        <f>AI172/AD172-1</f>
        <v>6.4545680426653096E-2</v>
      </c>
      <c r="AJ173" s="1280">
        <f>+AJ172/AE172-1</f>
        <v>8.9100013699409786E-2</v>
      </c>
      <c r="AK173" s="885">
        <f>AK172/AF172-1</f>
        <v>4.1972210228993001E-2</v>
      </c>
      <c r="AL173" s="885">
        <f>AL172/AG172-1</f>
        <v>4.4939042207324587E-2</v>
      </c>
      <c r="AM173" s="885">
        <f>AM172/AH172-1</f>
        <v>-1.4972063800170021E-2</v>
      </c>
      <c r="AN173" s="885">
        <f>AN172/AI172-1</f>
        <v>3.8015585326288015E-2</v>
      </c>
      <c r="AO173" s="1280">
        <f>+AO172/AJ172-1</f>
        <v>2.8428161655753126E-2</v>
      </c>
      <c r="AP173" s="885">
        <f>AP172/AK172-1</f>
        <v>3.9252554523873107E-2</v>
      </c>
      <c r="AQ173" s="885">
        <f>AQ172/AL172-1</f>
        <v>1.6996989463121004E-2</v>
      </c>
      <c r="AR173" s="885">
        <f>AR172/AM172-1</f>
        <v>-1.0414553323865539E-2</v>
      </c>
      <c r="AS173" s="885">
        <f>AS172/AN172-1</f>
        <v>-5.4852841364842253E-2</v>
      </c>
      <c r="AT173" s="1280">
        <f>+AT172/AO172-1</f>
        <v>-6.8568728853302119E-3</v>
      </c>
      <c r="AU173" s="885">
        <f>AU172/AP172-1</f>
        <v>-3.8461538461538547E-2</v>
      </c>
      <c r="AV173" s="885">
        <f>AV172/AQ172-1</f>
        <v>-0.11242676534073404</v>
      </c>
      <c r="AW173" s="885">
        <f>AW172/AR172-1</f>
        <v>-0.11815758901113937</v>
      </c>
      <c r="AX173" s="885">
        <f>AX172/AS172-1</f>
        <v>-9.9686643164904054E-2</v>
      </c>
      <c r="AY173" s="1280">
        <f>+AY172/AT172-1</f>
        <v>-9.222146234129236E-2</v>
      </c>
      <c r="AZ173" s="885">
        <f>AZ172/AU172-1</f>
        <v>-0.10165853658536583</v>
      </c>
      <c r="BA173" s="885">
        <f>BA172/AV172-1</f>
        <v>2.7793218454696955E-3</v>
      </c>
      <c r="BB173" s="885">
        <f>BB172/AW172-1</f>
        <v>2.7510849349039246E-2</v>
      </c>
      <c r="BC173" s="885">
        <f>BC172/AX172-1</f>
        <v>3.7343194837212712E-2</v>
      </c>
      <c r="BD173" s="1280">
        <f>+BD172/AY172-1</f>
        <v>-7.8830857585832081E-3</v>
      </c>
      <c r="BE173" s="885">
        <f>BE172/AZ172-1</f>
        <v>6.979438169707497E-2</v>
      </c>
      <c r="BF173" s="885">
        <f>BF172/BA172-1</f>
        <v>4.2197893569844824E-2</v>
      </c>
      <c r="BG173" s="885">
        <f>BG172/BB172-1</f>
        <v>4.3140508333961769E-2</v>
      </c>
      <c r="BH173" s="885">
        <f>BH172/BC172-1</f>
        <v>4.5715084579896592E-2</v>
      </c>
      <c r="BI173" s="1280">
        <f>+BI172/BD172-1</f>
        <v>4.9803833095805494E-2</v>
      </c>
      <c r="BJ173" s="885">
        <f>BJ172/BE172-1</f>
        <v>2.1927449918787367E-2</v>
      </c>
      <c r="BK173" s="885">
        <f>BK172/BF172-1</f>
        <v>3.6167807991489997E-2</v>
      </c>
      <c r="BL173" s="885">
        <f>BL172/BG172-1</f>
        <v>2.863133540597218E-2</v>
      </c>
      <c r="BM173" s="885">
        <f>BM172/BH172-1</f>
        <v>2.6069518716577589E-2</v>
      </c>
      <c r="BN173" s="1280">
        <f>+BN172/BI172-1</f>
        <v>2.8052666890305167E-2</v>
      </c>
      <c r="BO173" s="885">
        <f>BO172/BJ172-1</f>
        <v>5.3576158940397356E-2</v>
      </c>
      <c r="BP173" s="885">
        <f>BP172/BK172-1</f>
        <v>2.8809752967597024E-2</v>
      </c>
      <c r="BQ173" s="885">
        <f>BQ172/BL172-1</f>
        <v>4.203275462149425E-2</v>
      </c>
      <c r="BR173" s="885">
        <f>BR172/BM172-1</f>
        <v>3.4527687296417309E-3</v>
      </c>
      <c r="BS173" s="1280">
        <f>+BS172/BN172-1</f>
        <v>2.9469347799486068E-2</v>
      </c>
      <c r="BT173" s="885">
        <f>BT172/BO172-1</f>
        <v>-7.3543277390157868E-3</v>
      </c>
      <c r="BU173" s="885">
        <f>BU172/BP172-1</f>
        <v>2.1953349133092326E-2</v>
      </c>
      <c r="BV173" s="885">
        <f>BV172/BQ172-1</f>
        <v>6.8600337268128087E-2</v>
      </c>
      <c r="BW173" s="885">
        <f>BW172/BR172-1</f>
        <v>5.6677270661559476E-2</v>
      </c>
      <c r="BX173" s="1280">
        <f>+BX172/BS172-1</f>
        <v>3.5896115216228486E-2</v>
      </c>
      <c r="BY173" s="885">
        <f>BY172/BT172-1</f>
        <v>4.8062310030395183E-2</v>
      </c>
      <c r="BZ173" s="885">
        <f>BZ172/BU172-1</f>
        <v>1.9895032344684482E-2</v>
      </c>
      <c r="CA173" s="885">
        <f>CA172/BV172-1</f>
        <v>2.2724403484408739E-3</v>
      </c>
      <c r="CB173" s="885">
        <f>CB172/BW172-1</f>
        <v>4.362251167363107E-3</v>
      </c>
      <c r="CC173" s="1280">
        <f>+CC172/BX172-1</f>
        <v>1.7436746887740773E-2</v>
      </c>
      <c r="CD173" s="885">
        <f>CD172/BY172-1</f>
        <v>2.4046885384569006E-2</v>
      </c>
      <c r="CE173" s="885">
        <f>CE172/BZ172-1</f>
        <v>4.0210627094303453E-2</v>
      </c>
      <c r="CF173" s="885">
        <f>CF172/CA172-1</f>
        <v>3.0923290086912747E-2</v>
      </c>
      <c r="CG173" s="885"/>
      <c r="CH173" s="1280"/>
      <c r="CI173" s="2700"/>
      <c r="CJ173" s="2700"/>
      <c r="CK173" s="2700"/>
      <c r="CL173" s="2700"/>
      <c r="CM173" s="1280"/>
      <c r="CN173" s="2700"/>
      <c r="CO173" s="2700"/>
      <c r="CP173" s="2700"/>
      <c r="CQ173" s="2700"/>
      <c r="CR173" s="1046"/>
      <c r="CS173" s="1046"/>
      <c r="CT173" s="1046"/>
      <c r="DA173" s="212"/>
      <c r="DB173" s="1226"/>
    </row>
    <row r="174" spans="1:106" x14ac:dyDescent="0.2">
      <c r="A174" s="1595" t="s">
        <v>359</v>
      </c>
      <c r="B174" s="1924" t="s">
        <v>673</v>
      </c>
      <c r="C174" s="1924" t="s">
        <v>673</v>
      </c>
      <c r="D174" s="1924" t="s">
        <v>673</v>
      </c>
      <c r="E174" s="1924" t="s">
        <v>673</v>
      </c>
      <c r="F174" s="1890" t="s">
        <v>673</v>
      </c>
      <c r="G174" s="1924" t="s">
        <v>673</v>
      </c>
      <c r="H174" s="1924" t="s">
        <v>673</v>
      </c>
      <c r="I174" s="1924" t="s">
        <v>673</v>
      </c>
      <c r="J174" s="1924" t="s">
        <v>673</v>
      </c>
      <c r="K174" s="1890" t="s">
        <v>673</v>
      </c>
      <c r="L174" s="1924" t="s">
        <v>673</v>
      </c>
      <c r="M174" s="1924" t="s">
        <v>673</v>
      </c>
      <c r="N174" s="1924" t="s">
        <v>673</v>
      </c>
      <c r="O174" s="1924" t="s">
        <v>673</v>
      </c>
      <c r="P174" s="1890" t="s">
        <v>673</v>
      </c>
      <c r="Q174" s="1043">
        <f>+Q621</f>
        <v>-2.1999999999999999E-2</v>
      </c>
      <c r="R174" s="1043">
        <f t="shared" ref="R174:BL174" si="174">+R621</f>
        <v>-3.5000000000000003E-2</v>
      </c>
      <c r="S174" s="1043">
        <f t="shared" si="174"/>
        <v>-1.0999999999999999E-2</v>
      </c>
      <c r="T174" s="1043">
        <f t="shared" si="174"/>
        <v>-2.1000000000000001E-2</v>
      </c>
      <c r="U174" s="1953">
        <f t="shared" si="174"/>
        <v>-2.1999999999999999E-2</v>
      </c>
      <c r="V174" s="1043">
        <f t="shared" si="174"/>
        <v>6.0000000000000001E-3</v>
      </c>
      <c r="W174" s="1043">
        <f t="shared" si="174"/>
        <v>1.4999999999999999E-2</v>
      </c>
      <c r="X174" s="1043">
        <f t="shared" si="174"/>
        <v>1.0999999999999999E-2</v>
      </c>
      <c r="Y174" s="1043">
        <f t="shared" si="174"/>
        <v>0.05</v>
      </c>
      <c r="Z174" s="1953">
        <f t="shared" si="174"/>
        <v>2.3E-2</v>
      </c>
      <c r="AA174" s="1043">
        <f t="shared" si="174"/>
        <v>6.3E-2</v>
      </c>
      <c r="AB174" s="1043">
        <f t="shared" si="174"/>
        <v>7.5999999999999998E-2</v>
      </c>
      <c r="AC174" s="1043">
        <f t="shared" si="174"/>
        <v>8.3000000000000004E-2</v>
      </c>
      <c r="AD174" s="1043">
        <f t="shared" si="174"/>
        <v>9.6000000000000002E-2</v>
      </c>
      <c r="AE174" s="1953">
        <f t="shared" si="174"/>
        <v>8.3000000000000004E-2</v>
      </c>
      <c r="AF174" s="1043">
        <f t="shared" si="174"/>
        <v>9.0999999999999998E-2</v>
      </c>
      <c r="AG174" s="1043">
        <f t="shared" si="174"/>
        <v>0.107</v>
      </c>
      <c r="AH174" s="1043">
        <f t="shared" si="174"/>
        <v>8.5000000000000006E-2</v>
      </c>
      <c r="AI174" s="1043">
        <f t="shared" si="174"/>
        <v>6.5000000000000002E-2</v>
      </c>
      <c r="AJ174" s="1953">
        <f t="shared" si="174"/>
        <v>8.4000000000000005E-2</v>
      </c>
      <c r="AK174" s="1043">
        <f t="shared" si="174"/>
        <v>6.3E-2</v>
      </c>
      <c r="AL174" s="1043">
        <f t="shared" si="174"/>
        <v>5.0999999999999997E-2</v>
      </c>
      <c r="AM174" s="1043">
        <f t="shared" si="174"/>
        <v>5.3999999999999999E-2</v>
      </c>
      <c r="AN174" s="1043">
        <f t="shared" si="174"/>
        <v>6.3E-2</v>
      </c>
      <c r="AO174" s="1953">
        <f t="shared" si="174"/>
        <v>5.8000000000000003E-2</v>
      </c>
      <c r="AP174" s="1043">
        <f t="shared" si="174"/>
        <v>2.5999999999999999E-2</v>
      </c>
      <c r="AQ174" s="1043">
        <f t="shared" si="174"/>
        <v>1.7000000000000001E-2</v>
      </c>
      <c r="AR174" s="1043">
        <f t="shared" si="174"/>
        <v>1.4999999999999999E-2</v>
      </c>
      <c r="AS174" s="1043">
        <f t="shared" si="174"/>
        <v>-3.5000000000000003E-2</v>
      </c>
      <c r="AT174" s="1953">
        <f t="shared" si="174"/>
        <v>3.0000000000000001E-3</v>
      </c>
      <c r="AU174" s="1043">
        <f t="shared" si="174"/>
        <v>-0.05</v>
      </c>
      <c r="AV174" s="1043">
        <f t="shared" si="174"/>
        <v>-0.123</v>
      </c>
      <c r="AW174" s="1043">
        <f t="shared" si="174"/>
        <v>-0.13500000000000001</v>
      </c>
      <c r="AX174" s="1043">
        <f t="shared" si="174"/>
        <v>-0.11799999999999999</v>
      </c>
      <c r="AY174" s="1953">
        <f t="shared" si="174"/>
        <v>-0.11</v>
      </c>
      <c r="AZ174" s="1043">
        <f t="shared" si="174"/>
        <v>-9.5000000000000001E-2</v>
      </c>
      <c r="BA174" s="1043">
        <f t="shared" si="174"/>
        <v>2E-3</v>
      </c>
      <c r="BB174" s="1043">
        <f t="shared" si="174"/>
        <v>2.1000000000000001E-2</v>
      </c>
      <c r="BC174" s="1043">
        <f t="shared" si="174"/>
        <v>3.2000000000000001E-2</v>
      </c>
      <c r="BD174" s="1953">
        <f t="shared" si="174"/>
        <v>-0.01</v>
      </c>
      <c r="BE174" s="1043">
        <f t="shared" si="174"/>
        <v>4.2999999999999997E-2</v>
      </c>
      <c r="BF174" s="1043">
        <f t="shared" si="174"/>
        <v>0.03</v>
      </c>
      <c r="BG174" s="1043">
        <f t="shared" si="174"/>
        <v>3.5999999999999997E-2</v>
      </c>
      <c r="BH174" s="1043">
        <f t="shared" si="174"/>
        <v>2.8000000000000001E-2</v>
      </c>
      <c r="BI174" s="1953">
        <f t="shared" si="174"/>
        <v>3.3000000000000002E-2</v>
      </c>
      <c r="BJ174" s="1043">
        <f t="shared" si="174"/>
        <v>3.2000000000000001E-2</v>
      </c>
      <c r="BK174" s="1043">
        <f t="shared" si="174"/>
        <v>5.8000000000000003E-2</v>
      </c>
      <c r="BL174" s="1043">
        <f t="shared" si="174"/>
        <v>5.2999999999999999E-2</v>
      </c>
      <c r="BM174" s="1043">
        <f t="shared" ref="BM174:BS174" si="175">+BM621</f>
        <v>4.2999999999999997E-2</v>
      </c>
      <c r="BN174" s="1953">
        <f t="shared" si="175"/>
        <v>4.7E-2</v>
      </c>
      <c r="BO174" s="1043">
        <f t="shared" si="175"/>
        <v>4.5999999999999999E-2</v>
      </c>
      <c r="BP174" s="1043">
        <f t="shared" si="175"/>
        <v>3.6999999999999998E-2</v>
      </c>
      <c r="BQ174" s="1043">
        <f t="shared" si="175"/>
        <v>3.2000000000000001E-2</v>
      </c>
      <c r="BR174" s="1043">
        <f t="shared" si="175"/>
        <v>2.1000000000000001E-2</v>
      </c>
      <c r="BS174" s="1953">
        <f t="shared" si="175"/>
        <v>3.2000000000000001E-2</v>
      </c>
      <c r="BT174" s="1043">
        <f t="shared" ref="BT174:BY174" si="176">+BT621</f>
        <v>2.5999999999999999E-2</v>
      </c>
      <c r="BU174" s="1043">
        <f t="shared" si="176"/>
        <v>2.5999999999999999E-2</v>
      </c>
      <c r="BV174" s="1043">
        <f t="shared" si="176"/>
        <v>6.2E-2</v>
      </c>
      <c r="BW174" s="1043">
        <f t="shared" si="176"/>
        <v>4.2000000000000003E-2</v>
      </c>
      <c r="BX174" s="1953">
        <f t="shared" si="176"/>
        <v>3.9E-2</v>
      </c>
      <c r="BY174" s="1043">
        <f t="shared" si="176"/>
        <v>4.9000000000000002E-2</v>
      </c>
      <c r="BZ174" s="1043">
        <f t="shared" ref="BZ174:CE174" si="177">+BZ621</f>
        <v>5.3999999999999999E-2</v>
      </c>
      <c r="CA174" s="1043">
        <f t="shared" si="177"/>
        <v>2.7E-2</v>
      </c>
      <c r="CB174" s="2882">
        <f t="shared" si="177"/>
        <v>3.5999999999999997E-2</v>
      </c>
      <c r="CC174" s="2881">
        <f t="shared" si="177"/>
        <v>4.2999999999999997E-2</v>
      </c>
      <c r="CD174" s="1043">
        <f t="shared" si="177"/>
        <v>2.7E-2</v>
      </c>
      <c r="CE174" s="1043">
        <f t="shared" si="177"/>
        <v>3.5000000000000003E-2</v>
      </c>
      <c r="CF174" s="1043">
        <f>+CF621</f>
        <v>3.3000000000000002E-2</v>
      </c>
      <c r="CG174" s="1043"/>
      <c r="CH174" s="1280"/>
      <c r="CI174" s="886"/>
      <c r="CJ174" s="886"/>
      <c r="CK174" s="886"/>
      <c r="CL174" s="886"/>
      <c r="CM174" s="1280"/>
      <c r="CN174" s="886"/>
      <c r="CO174" s="886"/>
      <c r="CP174" s="886"/>
      <c r="CQ174" s="886"/>
      <c r="CR174" s="1046"/>
      <c r="CS174" s="1046"/>
      <c r="CT174" s="1046"/>
      <c r="DA174" s="212"/>
      <c r="DB174" s="1226"/>
    </row>
    <row r="175" spans="1:106" x14ac:dyDescent="0.2">
      <c r="A175" s="1434" t="s">
        <v>2046</v>
      </c>
      <c r="B175" s="1491"/>
      <c r="C175" s="1494"/>
      <c r="D175" s="1494"/>
      <c r="E175" s="1494"/>
      <c r="F175" s="1493"/>
      <c r="G175" s="1491"/>
      <c r="H175" s="1494"/>
      <c r="I175" s="1494"/>
      <c r="J175" s="1494"/>
      <c r="K175" s="1493"/>
      <c r="L175" s="1491"/>
      <c r="M175" s="1494"/>
      <c r="N175" s="1494"/>
      <c r="O175" s="1494"/>
      <c r="P175" s="1493"/>
      <c r="Q175" s="1491"/>
      <c r="R175" s="1494"/>
      <c r="S175" s="1494"/>
      <c r="T175" s="1494"/>
      <c r="U175" s="1493"/>
      <c r="V175" s="1491"/>
      <c r="W175" s="1494"/>
      <c r="X175" s="1494"/>
      <c r="Y175" s="1494"/>
      <c r="Z175" s="1493"/>
      <c r="AA175" s="1491"/>
      <c r="AB175" s="1494"/>
      <c r="AC175" s="1494"/>
      <c r="AD175" s="1494"/>
      <c r="AE175" s="1493"/>
      <c r="AF175" s="1491"/>
      <c r="AG175" s="1494"/>
      <c r="AH175" s="1494"/>
      <c r="AI175" s="1494"/>
      <c r="AJ175" s="1493"/>
      <c r="AK175" s="1491"/>
      <c r="AL175" s="1494"/>
      <c r="AM175" s="1494"/>
      <c r="AN175" s="1494"/>
      <c r="AO175" s="1493"/>
      <c r="AP175" s="1491"/>
      <c r="AQ175" s="1494"/>
      <c r="AR175" s="1494"/>
      <c r="AS175" s="1494"/>
      <c r="AT175" s="1493"/>
      <c r="AU175" s="1491"/>
      <c r="AV175" s="1494"/>
      <c r="AW175" s="1494"/>
      <c r="AX175" s="1494"/>
      <c r="AY175" s="1493"/>
      <c r="AZ175" s="1491"/>
      <c r="BA175" s="1494"/>
      <c r="BB175" s="1494"/>
      <c r="BC175" s="1494"/>
      <c r="BD175" s="1493"/>
      <c r="BE175" s="1491"/>
      <c r="BF175" s="1494"/>
      <c r="BG175" s="1494"/>
      <c r="BH175" s="1494"/>
      <c r="BI175" s="1493"/>
      <c r="BJ175" s="1494"/>
      <c r="BK175" s="1494"/>
      <c r="BL175" s="1494"/>
      <c r="BM175" s="1494">
        <v>183.73</v>
      </c>
      <c r="BN175" s="1996">
        <v>176.61</v>
      </c>
      <c r="BO175" s="1494">
        <v>205.05</v>
      </c>
      <c r="BP175" s="1494">
        <v>207.67</v>
      </c>
      <c r="BQ175" s="1494">
        <v>192.53</v>
      </c>
      <c r="BR175" s="1494">
        <v>224.57</v>
      </c>
      <c r="BS175" s="1493">
        <f>+SUMPRODUCT(BO175:BR175,$BJ$4:$BM$4)/$BN$4</f>
        <v>208.77153846153846</v>
      </c>
      <c r="BT175" s="1494">
        <v>230.7</v>
      </c>
      <c r="BU175" s="1494">
        <v>233.75</v>
      </c>
      <c r="BV175" s="1494">
        <v>216.3</v>
      </c>
      <c r="BW175" s="1494">
        <v>234.93</v>
      </c>
      <c r="BX175" s="1493">
        <f>+SUMPRODUCT(BT175:BW175,$BJ$4:$BM$4)/$BN$4</f>
        <v>229.38230769230771</v>
      </c>
      <c r="BY175" s="1494">
        <v>233.47</v>
      </c>
      <c r="BZ175" s="1494">
        <v>233.79</v>
      </c>
      <c r="CA175" s="1494">
        <v>219.12</v>
      </c>
      <c r="CB175" s="1494">
        <v>232.58</v>
      </c>
      <c r="CC175" s="1493">
        <f>+SUMPRODUCT(BY175:CB175,$BT$4:$BW$4)/$BX$4</f>
        <v>229.70846575342466</v>
      </c>
      <c r="CD175" s="1494">
        <v>226.47</v>
      </c>
      <c r="CE175" s="1494">
        <v>233.04</v>
      </c>
      <c r="CF175" s="1494">
        <v>219.94</v>
      </c>
      <c r="CG175" s="3390"/>
      <c r="CH175" s="1493"/>
      <c r="CI175" s="207"/>
      <c r="CJ175" s="207"/>
      <c r="CK175" s="207"/>
      <c r="CL175" s="207"/>
      <c r="CM175" s="1493"/>
      <c r="CN175" s="207"/>
      <c r="CO175" s="207"/>
      <c r="CP175" s="207"/>
      <c r="CQ175" s="207"/>
      <c r="CR175" s="236"/>
      <c r="CS175" s="236"/>
      <c r="CT175" s="236"/>
      <c r="DA175" s="212"/>
      <c r="DB175" s="1226"/>
    </row>
    <row r="176" spans="1:106" s="207" customFormat="1" x14ac:dyDescent="0.2">
      <c r="A176" s="1595" t="s">
        <v>652</v>
      </c>
      <c r="B176" s="885"/>
      <c r="C176" s="885"/>
      <c r="D176" s="885"/>
      <c r="E176" s="885"/>
      <c r="F176" s="1044"/>
      <c r="G176" s="885"/>
      <c r="H176" s="885"/>
      <c r="I176" s="885"/>
      <c r="J176" s="885"/>
      <c r="K176" s="1044"/>
      <c r="L176" s="885"/>
      <c r="M176" s="885"/>
      <c r="N176" s="885"/>
      <c r="O176" s="885"/>
      <c r="P176" s="1044"/>
      <c r="Q176" s="885"/>
      <c r="R176" s="885"/>
      <c r="S176" s="885"/>
      <c r="T176" s="885"/>
      <c r="U176" s="1044"/>
      <c r="V176" s="885"/>
      <c r="W176" s="885"/>
      <c r="X176" s="885"/>
      <c r="Y176" s="885"/>
      <c r="Z176" s="1044"/>
      <c r="AA176" s="885"/>
      <c r="AB176" s="885"/>
      <c r="AC176" s="885"/>
      <c r="AD176" s="885"/>
      <c r="AE176" s="1044"/>
      <c r="AF176" s="885"/>
      <c r="AG176" s="885"/>
      <c r="AH176" s="885"/>
      <c r="AI176" s="885"/>
      <c r="AJ176" s="1044"/>
      <c r="AK176" s="885"/>
      <c r="AL176" s="885"/>
      <c r="AM176" s="885"/>
      <c r="AN176" s="885"/>
      <c r="AO176" s="1044"/>
      <c r="AP176" s="885"/>
      <c r="AQ176" s="885"/>
      <c r="AR176" s="885"/>
      <c r="AS176" s="885"/>
      <c r="AT176" s="1044"/>
      <c r="AU176" s="885"/>
      <c r="AV176" s="885"/>
      <c r="AW176" s="885"/>
      <c r="AX176" s="885"/>
      <c r="AY176" s="1044"/>
      <c r="AZ176" s="885"/>
      <c r="BA176" s="885"/>
      <c r="BB176" s="885"/>
      <c r="BC176" s="885"/>
      <c r="BD176" s="1044"/>
      <c r="BE176" s="885"/>
      <c r="BF176" s="885"/>
      <c r="BG176" s="885"/>
      <c r="BH176" s="885"/>
      <c r="BI176" s="1044"/>
      <c r="BJ176" s="885"/>
      <c r="BK176" s="885"/>
      <c r="BL176" s="885"/>
      <c r="BM176" s="885"/>
      <c r="BN176" s="1280"/>
      <c r="BO176" s="885"/>
      <c r="BP176" s="885"/>
      <c r="BQ176" s="885"/>
      <c r="BR176" s="885">
        <f t="shared" ref="BR176:CF176" si="178">BR175/BM175-1</f>
        <v>0.22228269743645579</v>
      </c>
      <c r="BS176" s="1280">
        <f t="shared" si="178"/>
        <v>0.18210485511317831</v>
      </c>
      <c r="BT176" s="885">
        <f t="shared" si="178"/>
        <v>0.12509144111192372</v>
      </c>
      <c r="BU176" s="885">
        <f t="shared" si="178"/>
        <v>0.12558385900707858</v>
      </c>
      <c r="BV176" s="885">
        <f t="shared" si="178"/>
        <v>0.1234612787617515</v>
      </c>
      <c r="BW176" s="885">
        <f t="shared" si="178"/>
        <v>4.6132608986062307E-2</v>
      </c>
      <c r="BX176" s="1280">
        <f t="shared" si="178"/>
        <v>9.8724037685655741E-2</v>
      </c>
      <c r="BY176" s="885">
        <f t="shared" si="178"/>
        <v>1.2006935413957587E-2</v>
      </c>
      <c r="BZ176" s="885">
        <f t="shared" si="178"/>
        <v>1.7112299465238401E-4</v>
      </c>
      <c r="CA176" s="885">
        <f t="shared" si="178"/>
        <v>1.3037447988904161E-2</v>
      </c>
      <c r="CB176" s="885">
        <f t="shared" si="178"/>
        <v>-1.0002979610947871E-2</v>
      </c>
      <c r="CC176" s="1280">
        <f>+CC175/BX175-1</f>
        <v>1.4218972003474661E-3</v>
      </c>
      <c r="CD176" s="885">
        <f t="shared" si="178"/>
        <v>-2.9982438857240723E-2</v>
      </c>
      <c r="CE176" s="885">
        <f t="shared" si="178"/>
        <v>-3.208007185936057E-3</v>
      </c>
      <c r="CF176" s="885">
        <f t="shared" si="178"/>
        <v>3.7422416940489089E-3</v>
      </c>
      <c r="CG176" s="885"/>
      <c r="CH176" s="1280"/>
      <c r="CI176" s="2700"/>
      <c r="CJ176" s="2700"/>
      <c r="CK176" s="2700"/>
      <c r="CL176" s="2700"/>
      <c r="CM176" s="1280"/>
      <c r="CN176" s="2700"/>
      <c r="CO176" s="2700"/>
      <c r="CP176" s="2700"/>
      <c r="CQ176" s="2700"/>
      <c r="CR176" s="1046"/>
      <c r="CS176" s="1046"/>
      <c r="CT176" s="1046"/>
      <c r="CV176" s="537"/>
      <c r="CW176" s="537"/>
      <c r="CX176" s="537"/>
      <c r="DA176" s="212"/>
      <c r="DB176" s="1226"/>
    </row>
    <row r="177" spans="1:106" s="207" customFormat="1" x14ac:dyDescent="0.2">
      <c r="A177" s="1595" t="s">
        <v>359</v>
      </c>
      <c r="B177" s="1924"/>
      <c r="C177" s="1924"/>
      <c r="D177" s="1924"/>
      <c r="E177" s="1924"/>
      <c r="F177" s="1890"/>
      <c r="G177" s="1924"/>
      <c r="H177" s="1924"/>
      <c r="I177" s="1924"/>
      <c r="J177" s="1924"/>
      <c r="K177" s="1890"/>
      <c r="L177" s="1924"/>
      <c r="M177" s="1924"/>
      <c r="N177" s="1924"/>
      <c r="O177" s="1924"/>
      <c r="P177" s="1890"/>
      <c r="Q177" s="1043"/>
      <c r="R177" s="1043"/>
      <c r="S177" s="1043"/>
      <c r="T177" s="1043"/>
      <c r="U177" s="1953"/>
      <c r="V177" s="1043"/>
      <c r="W177" s="1043"/>
      <c r="X177" s="1043"/>
      <c r="Y177" s="1043"/>
      <c r="Z177" s="1953"/>
      <c r="AA177" s="1043"/>
      <c r="AB177" s="1043"/>
      <c r="AC177" s="1043"/>
      <c r="AD177" s="1043"/>
      <c r="AE177" s="1953"/>
      <c r="AF177" s="1043"/>
      <c r="AG177" s="1043"/>
      <c r="AH177" s="1043"/>
      <c r="AI177" s="1043"/>
      <c r="AJ177" s="1953"/>
      <c r="AK177" s="1043"/>
      <c r="AL177" s="1043"/>
      <c r="AM177" s="1043"/>
      <c r="AN177" s="1043"/>
      <c r="AO177" s="1953"/>
      <c r="AP177" s="1043"/>
      <c r="AQ177" s="1043"/>
      <c r="AR177" s="1043"/>
      <c r="AS177" s="1043"/>
      <c r="AT177" s="1953"/>
      <c r="AU177" s="1043"/>
      <c r="AV177" s="1043"/>
      <c r="AW177" s="1043"/>
      <c r="AX177" s="1043"/>
      <c r="AY177" s="1953"/>
      <c r="AZ177" s="1043"/>
      <c r="BA177" s="1043"/>
      <c r="BB177" s="1043"/>
      <c r="BC177" s="1043"/>
      <c r="BD177" s="1953"/>
      <c r="BE177" s="1043"/>
      <c r="BF177" s="1043"/>
      <c r="BG177" s="1043"/>
      <c r="BH177" s="1043"/>
      <c r="BI177" s="1953"/>
      <c r="BJ177" s="1043">
        <f t="shared" ref="BJ177:BR177" si="179">+BJ622</f>
        <v>-6.0000000000000001E-3</v>
      </c>
      <c r="BK177" s="1043">
        <f t="shared" si="179"/>
        <v>2.7E-2</v>
      </c>
      <c r="BL177" s="1043">
        <f t="shared" si="179"/>
        <v>8.9999999999999993E-3</v>
      </c>
      <c r="BM177" s="1043">
        <f t="shared" si="179"/>
        <v>2.1999999999999999E-2</v>
      </c>
      <c r="BN177" s="1545">
        <f t="shared" si="179"/>
        <v>1.6E-2</v>
      </c>
      <c r="BO177" s="1043">
        <f t="shared" si="179"/>
        <v>5.6000000000000001E-2</v>
      </c>
      <c r="BP177" s="1043">
        <f t="shared" si="179"/>
        <v>4.2999999999999997E-2</v>
      </c>
      <c r="BQ177" s="1043">
        <f>+BQ622</f>
        <v>2.1999999999999999E-2</v>
      </c>
      <c r="BR177" s="1043">
        <f t="shared" si="179"/>
        <v>0.13500000000000001</v>
      </c>
      <c r="BS177" s="1545">
        <f t="shared" ref="BS177:BX177" si="180">+BS622</f>
        <v>6.4000000000000001E-2</v>
      </c>
      <c r="BT177" s="1043">
        <f t="shared" si="180"/>
        <v>0.107</v>
      </c>
      <c r="BU177" s="1043">
        <f t="shared" si="180"/>
        <v>8.3000000000000004E-2</v>
      </c>
      <c r="BV177" s="1043">
        <f t="shared" si="180"/>
        <v>0.11</v>
      </c>
      <c r="BW177" s="1043">
        <f t="shared" si="180"/>
        <v>6.8000000000000005E-2</v>
      </c>
      <c r="BX177" s="1545">
        <f t="shared" si="180"/>
        <v>8.8999999999999996E-2</v>
      </c>
      <c r="BY177" s="1043">
        <f t="shared" ref="BY177:CD177" si="181">+BY622</f>
        <v>3.9E-2</v>
      </c>
      <c r="BZ177" s="1043">
        <f t="shared" si="181"/>
        <v>2.8000000000000001E-2</v>
      </c>
      <c r="CA177" s="1043">
        <f t="shared" si="181"/>
        <v>1.4999999999999999E-2</v>
      </c>
      <c r="CB177" s="2882">
        <f t="shared" si="181"/>
        <v>-5.0000000000000001E-3</v>
      </c>
      <c r="CC177" s="2881">
        <f t="shared" si="181"/>
        <v>1.9E-2</v>
      </c>
      <c r="CD177" s="1043">
        <f t="shared" si="181"/>
        <v>8.0000000000000002E-3</v>
      </c>
      <c r="CE177" s="1043">
        <f>+CE622</f>
        <v>1.6E-2</v>
      </c>
      <c r="CF177" s="1043">
        <f>+CF622</f>
        <v>2.5000000000000001E-2</v>
      </c>
      <c r="CG177" s="1043"/>
      <c r="CH177" s="1545"/>
      <c r="CI177" s="1546"/>
      <c r="CJ177" s="1546"/>
      <c r="CK177" s="1546"/>
      <c r="CL177" s="1546"/>
      <c r="CM177" s="1545"/>
      <c r="CN177" s="1546"/>
      <c r="CO177" s="1546"/>
      <c r="CP177" s="1546"/>
      <c r="CQ177" s="1546"/>
      <c r="CR177" s="1545"/>
      <c r="CS177" s="1545"/>
      <c r="CT177" s="1545"/>
      <c r="CV177" s="537"/>
      <c r="CW177" s="537"/>
      <c r="CX177" s="537"/>
      <c r="DA177" s="212"/>
      <c r="DB177" s="1226"/>
    </row>
    <row r="178" spans="1:106" x14ac:dyDescent="0.2">
      <c r="A178" s="1434" t="s">
        <v>821</v>
      </c>
      <c r="B178" s="1491"/>
      <c r="C178" s="1494"/>
      <c r="D178" s="1494"/>
      <c r="E178" s="1494"/>
      <c r="F178" s="1493">
        <f>+SUMPRODUCT(B178:E178,$BJ$4:$BM$4)/$BN$4</f>
        <v>0</v>
      </c>
      <c r="G178" s="1491">
        <v>197.03</v>
      </c>
      <c r="H178" s="1494">
        <v>196.98</v>
      </c>
      <c r="I178" s="1494">
        <v>175.07</v>
      </c>
      <c r="J178" s="1494">
        <v>180.14</v>
      </c>
      <c r="K178" s="1493">
        <f>+SUMPRODUCT(G178:J178,$BJ$4:$BM$4)/$BN$4</f>
        <v>186.75384615384613</v>
      </c>
      <c r="L178" s="1491">
        <v>184.32</v>
      </c>
      <c r="M178" s="1494">
        <v>190.66</v>
      </c>
      <c r="N178" s="1494">
        <v>183.41</v>
      </c>
      <c r="O178" s="1494">
        <v>183.49</v>
      </c>
      <c r="P178" s="1493">
        <f>+SUMPRODUCT(L178:O178,$BJ$4:$BM$4)/$BN$4</f>
        <v>185.31769230769231</v>
      </c>
      <c r="Q178" s="1491">
        <v>255.21</v>
      </c>
      <c r="R178" s="1494">
        <v>250.38</v>
      </c>
      <c r="S178" s="1494">
        <v>202.63</v>
      </c>
      <c r="T178" s="1494">
        <v>227.17</v>
      </c>
      <c r="U178" s="1493">
        <f>+SUMPRODUCT(Q178:T178,$BJ$4:$BM$4)/$BN$4</f>
        <v>233.33384615384614</v>
      </c>
      <c r="V178" s="1491">
        <v>269.47000000000003</v>
      </c>
      <c r="W178" s="1494">
        <v>271.44</v>
      </c>
      <c r="X178" s="1494">
        <v>229.09</v>
      </c>
      <c r="Y178" s="1494">
        <v>257.16000000000003</v>
      </c>
      <c r="Z178" s="1493">
        <f>+SUMPRODUCT(V178:Y178,$BJ$4:$BM$4)/$BN$4</f>
        <v>256.81846153846152</v>
      </c>
      <c r="AA178" s="1491">
        <v>305.52999999999997</v>
      </c>
      <c r="AB178" s="1494">
        <v>308.58999999999997</v>
      </c>
      <c r="AC178" s="1494">
        <v>250.61</v>
      </c>
      <c r="AD178" s="1494">
        <v>290.17147557494474</v>
      </c>
      <c r="AE178" s="1493">
        <f>+SUMPRODUCT(AA178:AD178,$BJ$4:$BM$4)/$BN$4</f>
        <v>288.83660786921376</v>
      </c>
      <c r="AF178" s="1491">
        <v>319.73694880494293</v>
      </c>
      <c r="AG178" s="1494">
        <v>321.50433115477767</v>
      </c>
      <c r="AH178" s="1494">
        <v>299.9163170895057</v>
      </c>
      <c r="AI178" s="1494">
        <v>315.47269502207797</v>
      </c>
      <c r="AJ178" s="1493">
        <f>+SUMPRODUCT(AF178:AI178,$BJ$4:$BM$4)/$BN$4</f>
        <v>314.25873624892233</v>
      </c>
      <c r="AK178" s="1491">
        <v>347.33818700941129</v>
      </c>
      <c r="AL178" s="1494">
        <v>352.95</v>
      </c>
      <c r="AM178" s="1494">
        <v>283.32</v>
      </c>
      <c r="AN178" s="1494">
        <v>338.59</v>
      </c>
      <c r="AO178" s="1493">
        <f>+SUMPRODUCT(AK178:AN178,$BJ$4:$BM$4)/$BN$4</f>
        <v>331.16804315601797</v>
      </c>
      <c r="AP178" s="1491">
        <v>352.12</v>
      </c>
      <c r="AQ178" s="1494">
        <v>363.32</v>
      </c>
      <c r="AR178" s="1494">
        <v>295.75</v>
      </c>
      <c r="AS178" s="1494">
        <v>325.88</v>
      </c>
      <c r="AT178" s="1493">
        <f>+SUMPRODUCT(AP178:AS178,$BJ$4:$BM$4)/$BN$4</f>
        <v>333.62230769230769</v>
      </c>
      <c r="AU178" s="1491">
        <v>337.03</v>
      </c>
      <c r="AV178" s="1494">
        <v>299.27999999999997</v>
      </c>
      <c r="AW178" s="1494">
        <v>238.99</v>
      </c>
      <c r="AX178" s="1494">
        <v>278.52</v>
      </c>
      <c r="AY178" s="1493">
        <f>+SUMPRODUCT(AU178:AX178,$BJ$4:$BM$4)/$BN$4</f>
        <v>287.69076923076926</v>
      </c>
      <c r="AZ178" s="1491">
        <v>301.74</v>
      </c>
      <c r="BA178" s="1494">
        <v>297.02999999999997</v>
      </c>
      <c r="BB178" s="1494">
        <v>247.12</v>
      </c>
      <c r="BC178" s="1494">
        <v>282.16000000000003</v>
      </c>
      <c r="BD178" s="1493">
        <f>+SUMPRODUCT(AZ178:BC178,$BJ$4:$BM$4)/$BN$4</f>
        <v>282.02384615384614</v>
      </c>
      <c r="BE178" s="1491">
        <v>316.29000000000002</v>
      </c>
      <c r="BF178" s="1494">
        <v>311.67</v>
      </c>
      <c r="BG178" s="1494">
        <v>270.02</v>
      </c>
      <c r="BH178" s="1494">
        <v>308.44</v>
      </c>
      <c r="BI178" s="1493">
        <f>+SUMPRODUCT(BE178:BH178,$BJ$4:$BM$4)/$BN$4</f>
        <v>302.13076923076926</v>
      </c>
      <c r="BJ178" s="1494">
        <v>336.03</v>
      </c>
      <c r="BK178" s="1494">
        <v>337.24</v>
      </c>
      <c r="BL178" s="1494">
        <v>286.85000000000002</v>
      </c>
      <c r="BM178" s="1494">
        <v>321.58999999999997</v>
      </c>
      <c r="BN178" s="1493">
        <f>+SUMPRODUCT(BJ178:BM178,$BJ$4:$BM$4)/$BN$4</f>
        <v>320.51692307692298</v>
      </c>
      <c r="BO178" s="1494">
        <v>341.79</v>
      </c>
      <c r="BP178" s="1494">
        <v>322.60000000000002</v>
      </c>
      <c r="BQ178" s="1494">
        <v>308.95999999999998</v>
      </c>
      <c r="BR178" s="1494">
        <v>335.87</v>
      </c>
      <c r="BS178" s="1493">
        <f>+SUMPRODUCT(BO178:BR178,$BJ$4:$BM$4)/$BN$4</f>
        <v>327.96384615384613</v>
      </c>
      <c r="BT178" s="1494">
        <v>348.56</v>
      </c>
      <c r="BU178" s="1494">
        <v>337.09</v>
      </c>
      <c r="BV178" s="1494">
        <v>317.67</v>
      </c>
      <c r="BW178" s="1494">
        <v>351.61</v>
      </c>
      <c r="BX178" s="1493">
        <f>+SUMPRODUCT(BT178:BW178,$BJ$4:$BM$4)/$BN$4</f>
        <v>339.72307692307697</v>
      </c>
      <c r="BY178" s="1494">
        <v>381.04</v>
      </c>
      <c r="BZ178" s="1494">
        <v>356.95</v>
      </c>
      <c r="CA178" s="1494">
        <v>334.03</v>
      </c>
      <c r="CB178" s="1494">
        <v>365.97</v>
      </c>
      <c r="CC178" s="1493">
        <f>+SUMPRODUCT(BY178:CB178,$BT$4:$BW$4)/$BX$4</f>
        <v>359.38643835616438</v>
      </c>
      <c r="CD178" s="1494">
        <v>386.55</v>
      </c>
      <c r="CE178" s="1494">
        <v>345.03</v>
      </c>
      <c r="CF178" s="1494">
        <v>324.94</v>
      </c>
      <c r="CG178" s="1494"/>
      <c r="CH178" s="1493"/>
      <c r="CI178" s="234"/>
      <c r="CJ178" s="234"/>
      <c r="CK178" s="234"/>
      <c r="CL178" s="234"/>
      <c r="CM178" s="1493"/>
      <c r="CN178" s="234"/>
      <c r="CO178" s="234"/>
      <c r="CP178" s="234"/>
      <c r="CQ178" s="234"/>
      <c r="CR178" s="236"/>
      <c r="CS178" s="236"/>
      <c r="CT178" s="236"/>
      <c r="DA178" s="212"/>
      <c r="DB178" s="1226"/>
    </row>
    <row r="179" spans="1:106" x14ac:dyDescent="0.2">
      <c r="A179" s="1595" t="s">
        <v>652</v>
      </c>
      <c r="B179" s="885"/>
      <c r="C179" s="885"/>
      <c r="D179" s="885"/>
      <c r="E179" s="885"/>
      <c r="F179" s="1280"/>
      <c r="G179" s="885"/>
      <c r="H179" s="885"/>
      <c r="I179" s="885"/>
      <c r="J179" s="885"/>
      <c r="K179" s="1280"/>
      <c r="L179" s="885">
        <f>L178/G178-1</f>
        <v>-6.4507942952849895E-2</v>
      </c>
      <c r="M179" s="885">
        <f>M178/H178-1</f>
        <v>-3.208447558127725E-2</v>
      </c>
      <c r="N179" s="885">
        <f>N178/I178-1</f>
        <v>4.7638087622094094E-2</v>
      </c>
      <c r="O179" s="885">
        <f>O178/J178-1</f>
        <v>1.8596647052292692E-2</v>
      </c>
      <c r="P179" s="1280">
        <f>+P178/K178-1</f>
        <v>-7.6900897932282719E-3</v>
      </c>
      <c r="Q179" s="885">
        <f>Q178/L178-1</f>
        <v>0.38460286458333348</v>
      </c>
      <c r="R179" s="885">
        <f>R178/M178-1</f>
        <v>0.31322773523549774</v>
      </c>
      <c r="S179" s="885">
        <f>S178/N178-1</f>
        <v>0.10479254130091054</v>
      </c>
      <c r="T179" s="885">
        <f>T178/O178-1</f>
        <v>0.23805111995204076</v>
      </c>
      <c r="U179" s="1280">
        <f>+U178/P178-1</f>
        <v>0.2591018334419477</v>
      </c>
      <c r="V179" s="885">
        <f>V178/Q178-1</f>
        <v>5.5875553465773331E-2</v>
      </c>
      <c r="W179" s="885">
        <f>W178/R178-1</f>
        <v>8.4112149532710401E-2</v>
      </c>
      <c r="X179" s="885">
        <f>X178/S178-1</f>
        <v>0.13058283571040818</v>
      </c>
      <c r="Y179" s="885">
        <f>Y178/T178-1</f>
        <v>0.13201567108332979</v>
      </c>
      <c r="Z179" s="1280">
        <f>+Z178/U178-1</f>
        <v>0.10064813044366927</v>
      </c>
      <c r="AA179" s="885">
        <f>AA178/V178-1</f>
        <v>0.13381823579619234</v>
      </c>
      <c r="AB179" s="885">
        <f>AB178/W178-1</f>
        <v>0.13686265841438239</v>
      </c>
      <c r="AC179" s="885">
        <f>AC178/X178-1</f>
        <v>9.3936880701907643E-2</v>
      </c>
      <c r="AD179" s="885">
        <f>AD178/Y178-1</f>
        <v>0.12836940260905538</v>
      </c>
      <c r="AE179" s="1280">
        <f>+AE178/Z178-1</f>
        <v>0.12467229240043221</v>
      </c>
      <c r="AF179" s="885">
        <f>AF178/AA178-1</f>
        <v>4.649935785337922E-2</v>
      </c>
      <c r="AG179" s="885">
        <f>AG178/AB178-1</f>
        <v>4.1849480393978178E-2</v>
      </c>
      <c r="AH179" s="885">
        <f>AH178/AC178-1</f>
        <v>0.1967452100455116</v>
      </c>
      <c r="AI179" s="885">
        <f>AI178/AD178-1</f>
        <v>8.7194026900822896E-2</v>
      </c>
      <c r="AJ179" s="1280">
        <f>+AJ178/AE178-1</f>
        <v>8.8015603587270341E-2</v>
      </c>
      <c r="AK179" s="885">
        <f>AK178/AF178-1</f>
        <v>8.6324831420426795E-2</v>
      </c>
      <c r="AL179" s="885">
        <f>AL178/AG178-1</f>
        <v>9.7807916715385801E-2</v>
      </c>
      <c r="AM179" s="885">
        <f>AM178/AH178-1</f>
        <v>-5.533649269423635E-2</v>
      </c>
      <c r="AN179" s="885">
        <f>AN178/AI178-1</f>
        <v>7.3278306942869298E-2</v>
      </c>
      <c r="AO179" s="1280">
        <f>+AO178/AJ178-1</f>
        <v>5.3806958905676661E-2</v>
      </c>
      <c r="AP179" s="885">
        <f>AP178/AK178-1</f>
        <v>1.3767023521831012E-2</v>
      </c>
      <c r="AQ179" s="885">
        <f>AQ178/AL178-1</f>
        <v>2.9380932143363125E-2</v>
      </c>
      <c r="AR179" s="885">
        <f>AR178/AM178-1</f>
        <v>4.3872652830721393E-2</v>
      </c>
      <c r="AS179" s="885">
        <f>AS178/AN178-1</f>
        <v>-3.7538025340382086E-2</v>
      </c>
      <c r="AT179" s="1280">
        <f>+AT178/AO178-1</f>
        <v>7.4109340771550958E-3</v>
      </c>
      <c r="AU179" s="885">
        <f>AU178/AP178-1</f>
        <v>-4.2854708622060755E-2</v>
      </c>
      <c r="AV179" s="885">
        <f>AV178/AQ178-1</f>
        <v>-0.17626334911372898</v>
      </c>
      <c r="AW179" s="885">
        <f>AW178/AR178-1</f>
        <v>-0.19191885038038881</v>
      </c>
      <c r="AX179" s="885">
        <f>AX178/AS178-1</f>
        <v>-0.14532956916656448</v>
      </c>
      <c r="AY179" s="1280">
        <f>+AY178/AT178-1</f>
        <v>-0.13767526152327936</v>
      </c>
      <c r="AZ179" s="885">
        <f>AZ178/AU178-1</f>
        <v>-0.10470877963386038</v>
      </c>
      <c r="BA179" s="885">
        <f>BA178/AV178-1</f>
        <v>-7.518043303929467E-3</v>
      </c>
      <c r="BB179" s="885">
        <f>BB178/AW178-1</f>
        <v>3.4018159755638377E-2</v>
      </c>
      <c r="BC179" s="885">
        <f>BC178/AX178-1</f>
        <v>1.3069079419790519E-2</v>
      </c>
      <c r="BD179" s="1280">
        <f>+BD178/AY178-1</f>
        <v>-1.9697966299285219E-2</v>
      </c>
      <c r="BE179" s="885">
        <f>BE178/AZ178-1</f>
        <v>4.8220322131636628E-2</v>
      </c>
      <c r="BF179" s="885">
        <f>BF178/BA178-1</f>
        <v>4.9287950712049389E-2</v>
      </c>
      <c r="BG179" s="885">
        <f>BG178/BB178-1</f>
        <v>9.2667529944965965E-2</v>
      </c>
      <c r="BH179" s="885">
        <f>BH178/BC178-1</f>
        <v>9.3138644740572651E-2</v>
      </c>
      <c r="BI179" s="1280">
        <f>+BI178/BD178-1</f>
        <v>7.1295116888642873E-2</v>
      </c>
      <c r="BJ179" s="885">
        <f>BJ178/BE178-1</f>
        <v>6.2411078440671286E-2</v>
      </c>
      <c r="BK179" s="885">
        <f>BK178/BF178-1</f>
        <v>8.2041903295151819E-2</v>
      </c>
      <c r="BL179" s="885">
        <f>BL178/BG178-1</f>
        <v>6.2328716391378602E-2</v>
      </c>
      <c r="BM179" s="885">
        <f>BM178/BH178-1</f>
        <v>4.2633899623913729E-2</v>
      </c>
      <c r="BN179" s="1280">
        <f>+BN178/BI178-1</f>
        <v>6.0854953280545354E-2</v>
      </c>
      <c r="BO179" s="885">
        <f>BO178/BJ178-1</f>
        <v>1.714132666726198E-2</v>
      </c>
      <c r="BP179" s="885">
        <f>BP178/BK178-1</f>
        <v>-4.3411220495789271E-2</v>
      </c>
      <c r="BQ179" s="885">
        <f>BQ178/BL178-1</f>
        <v>7.707861251525161E-2</v>
      </c>
      <c r="BR179" s="885">
        <f>BR178/BM178-1</f>
        <v>4.4404365807394708E-2</v>
      </c>
      <c r="BS179" s="1280">
        <f>+BS178/BN178-1</f>
        <v>2.3234102603487017E-2</v>
      </c>
      <c r="BT179" s="885">
        <f>BT178/BO178-1</f>
        <v>1.9807484127680741E-2</v>
      </c>
      <c r="BU179" s="885">
        <f>BU178/BP178-1</f>
        <v>4.4916305021698522E-2</v>
      </c>
      <c r="BV179" s="885">
        <f>BV178/BQ178-1</f>
        <v>2.8191351631279282E-2</v>
      </c>
      <c r="BW179" s="885">
        <f>BW178/BR178-1</f>
        <v>4.6863369756155793E-2</v>
      </c>
      <c r="BX179" s="1280">
        <f>+BX178/BS178-1</f>
        <v>3.5855265472507725E-2</v>
      </c>
      <c r="BY179" s="885">
        <f>BY178/BT178-1</f>
        <v>9.3183383061739677E-2</v>
      </c>
      <c r="BZ179" s="885">
        <f>BZ178/BU178-1</f>
        <v>5.8916016494111378E-2</v>
      </c>
      <c r="CA179" s="885">
        <f>CA178/BV178-1</f>
        <v>5.1499984260395815E-2</v>
      </c>
      <c r="CB179" s="885">
        <f>CB178/BW178-1</f>
        <v>4.0840704189300636E-2</v>
      </c>
      <c r="CC179" s="1280">
        <f>+CC178/BX178-1</f>
        <v>5.78805585160167E-2</v>
      </c>
      <c r="CD179" s="885">
        <f>CD178/BY178-1</f>
        <v>1.4460424102456404E-2</v>
      </c>
      <c r="CE179" s="885">
        <f>CE178/BZ178-1</f>
        <v>-3.3394032777700033E-2</v>
      </c>
      <c r="CF179" s="885">
        <f>CF178/CA178-1</f>
        <v>-2.7213124569649305E-2</v>
      </c>
      <c r="CG179" s="885"/>
      <c r="CH179" s="1280"/>
      <c r="CI179" s="2700"/>
      <c r="CJ179" s="2700"/>
      <c r="CK179" s="2700"/>
      <c r="CL179" s="2700"/>
      <c r="CM179" s="1280"/>
      <c r="CN179" s="2700"/>
      <c r="CO179" s="2700"/>
      <c r="CP179" s="2700"/>
      <c r="CQ179" s="2700"/>
      <c r="CR179" s="1046"/>
      <c r="CS179" s="1046"/>
      <c r="CT179" s="1046"/>
      <c r="DA179" s="212"/>
      <c r="DB179" s="1226"/>
    </row>
    <row r="180" spans="1:106" x14ac:dyDescent="0.2">
      <c r="A180" s="1595" t="s">
        <v>359</v>
      </c>
      <c r="B180" s="1924" t="s">
        <v>673</v>
      </c>
      <c r="C180" s="1924" t="s">
        <v>673</v>
      </c>
      <c r="D180" s="1924" t="s">
        <v>673</v>
      </c>
      <c r="E180" s="1924" t="s">
        <v>673</v>
      </c>
      <c r="F180" s="1890" t="s">
        <v>673</v>
      </c>
      <c r="G180" s="1924" t="s">
        <v>673</v>
      </c>
      <c r="H180" s="1924" t="s">
        <v>673</v>
      </c>
      <c r="I180" s="1924" t="s">
        <v>673</v>
      </c>
      <c r="J180" s="1924" t="s">
        <v>673</v>
      </c>
      <c r="K180" s="1890" t="s">
        <v>673</v>
      </c>
      <c r="L180" s="1924" t="s">
        <v>673</v>
      </c>
      <c r="M180" s="1924" t="s">
        <v>673</v>
      </c>
      <c r="N180" s="1924" t="s">
        <v>673</v>
      </c>
      <c r="O180" s="1924" t="s">
        <v>673</v>
      </c>
      <c r="P180" s="1890" t="s">
        <v>673</v>
      </c>
      <c r="Q180" s="1043">
        <f t="shared" ref="Q180:AV180" si="182">+Q609</f>
        <v>2.4E-2</v>
      </c>
      <c r="R180" s="1043">
        <f t="shared" si="182"/>
        <v>-7.0000000000000001E-3</v>
      </c>
      <c r="S180" s="1043">
        <f t="shared" si="182"/>
        <v>-0.02</v>
      </c>
      <c r="T180" s="1043">
        <f t="shared" si="182"/>
        <v>-5.0000000000000001E-3</v>
      </c>
      <c r="U180" s="1953">
        <f t="shared" si="182"/>
        <v>-8.0000000000000002E-3</v>
      </c>
      <c r="V180" s="1043">
        <f t="shared" si="182"/>
        <v>8.9999999999999993E-3</v>
      </c>
      <c r="W180" s="1043">
        <f t="shared" si="182"/>
        <v>3.9E-2</v>
      </c>
      <c r="X180" s="1043">
        <f t="shared" si="182"/>
        <v>9.1999999999999998E-2</v>
      </c>
      <c r="Y180" s="1043">
        <f t="shared" si="182"/>
        <v>7.0999999999999994E-2</v>
      </c>
      <c r="Z180" s="1953">
        <f t="shared" si="182"/>
        <v>5.8999999999999997E-2</v>
      </c>
      <c r="AA180" s="1043">
        <f t="shared" si="182"/>
        <v>0.13100000000000001</v>
      </c>
      <c r="AB180" s="1043">
        <f t="shared" si="182"/>
        <v>0.107</v>
      </c>
      <c r="AC180" s="1043">
        <f t="shared" si="182"/>
        <v>0.08</v>
      </c>
      <c r="AD180" s="1043">
        <f t="shared" si="182"/>
        <v>6.7000000000000004E-2</v>
      </c>
      <c r="AE180" s="1953">
        <f t="shared" si="182"/>
        <v>9.1999999999999998E-2</v>
      </c>
      <c r="AF180" s="1043">
        <f t="shared" si="182"/>
        <v>3.9E-2</v>
      </c>
      <c r="AG180" s="1043">
        <f t="shared" si="182"/>
        <v>6.7000000000000004E-2</v>
      </c>
      <c r="AH180" s="1043">
        <f t="shared" si="182"/>
        <v>7.0000000000000007E-2</v>
      </c>
      <c r="AI180" s="1043">
        <f t="shared" si="182"/>
        <v>8.8999999999999996E-2</v>
      </c>
      <c r="AJ180" s="1953">
        <f t="shared" si="182"/>
        <v>7.0999999999999994E-2</v>
      </c>
      <c r="AK180" s="1043">
        <f t="shared" si="182"/>
        <v>9.8000000000000004E-2</v>
      </c>
      <c r="AL180" s="1043">
        <f t="shared" si="182"/>
        <v>7.2999999999999995E-2</v>
      </c>
      <c r="AM180" s="1043">
        <f t="shared" si="182"/>
        <v>0.06</v>
      </c>
      <c r="AN180" s="1043">
        <f t="shared" si="182"/>
        <v>7.0999999999999994E-2</v>
      </c>
      <c r="AO180" s="1953">
        <f t="shared" si="182"/>
        <v>7.2999999999999995E-2</v>
      </c>
      <c r="AP180" s="1043">
        <f t="shared" si="182"/>
        <v>2.5000000000000001E-2</v>
      </c>
      <c r="AQ180" s="1043">
        <f t="shared" si="182"/>
        <v>4.0000000000000001E-3</v>
      </c>
      <c r="AR180" s="1043">
        <f t="shared" si="182"/>
        <v>2.1999999999999999E-2</v>
      </c>
      <c r="AS180" s="1043">
        <f t="shared" si="182"/>
        <v>-4.9000000000000002E-2</v>
      </c>
      <c r="AT180" s="1953">
        <f t="shared" si="182"/>
        <v>-4.0000000000000001E-3</v>
      </c>
      <c r="AU180" s="1043">
        <f t="shared" si="182"/>
        <v>-0.104</v>
      </c>
      <c r="AV180" s="1043">
        <f t="shared" si="182"/>
        <v>-0.161</v>
      </c>
      <c r="AW180" s="1043">
        <f t="shared" ref="AW180:CF180" si="183">+AW609</f>
        <v>-0.17499999999999999</v>
      </c>
      <c r="AX180" s="1043">
        <f t="shared" si="183"/>
        <v>-0.13</v>
      </c>
      <c r="AY180" s="1953">
        <f t="shared" si="183"/>
        <v>-0.14899999999999999</v>
      </c>
      <c r="AZ180" s="1043">
        <f t="shared" si="183"/>
        <v>-8.4000000000000005E-2</v>
      </c>
      <c r="BA180" s="1043">
        <f t="shared" si="183"/>
        <v>0</v>
      </c>
      <c r="BB180" s="1043">
        <f t="shared" si="183"/>
        <v>3.3000000000000002E-2</v>
      </c>
      <c r="BC180" s="1043">
        <f t="shared" si="183"/>
        <v>2.5000000000000001E-2</v>
      </c>
      <c r="BD180" s="1953">
        <f t="shared" si="183"/>
        <v>3.0000000000000001E-3</v>
      </c>
      <c r="BE180" s="1043">
        <f t="shared" si="183"/>
        <v>2.8000000000000001E-2</v>
      </c>
      <c r="BF180" s="1043">
        <f t="shared" si="183"/>
        <v>4.8000000000000001E-2</v>
      </c>
      <c r="BG180" s="1043">
        <f t="shared" si="183"/>
        <v>9.0999999999999998E-2</v>
      </c>
      <c r="BH180" s="1043">
        <f t="shared" si="183"/>
        <v>7.4999999999999997E-2</v>
      </c>
      <c r="BI180" s="1953">
        <f t="shared" si="183"/>
        <v>6.3E-2</v>
      </c>
      <c r="BJ180" s="1043">
        <f t="shared" si="183"/>
        <v>5.8000000000000003E-2</v>
      </c>
      <c r="BK180" s="1043">
        <f t="shared" si="183"/>
        <v>3.7999999999999999E-2</v>
      </c>
      <c r="BL180" s="1043">
        <f t="shared" si="183"/>
        <v>5.0999999999999997E-2</v>
      </c>
      <c r="BM180" s="1043">
        <f t="shared" si="183"/>
        <v>3.4000000000000002E-2</v>
      </c>
      <c r="BN180" s="1953">
        <f t="shared" si="183"/>
        <v>4.9000000000000002E-2</v>
      </c>
      <c r="BO180" s="1043">
        <f t="shared" si="183"/>
        <v>6.9000000000000006E-2</v>
      </c>
      <c r="BP180" s="1043">
        <f t="shared" si="183"/>
        <v>5.0999999999999997E-2</v>
      </c>
      <c r="BQ180" s="1043">
        <f t="shared" si="183"/>
        <v>7.3999999999999996E-2</v>
      </c>
      <c r="BR180" s="1043">
        <f t="shared" si="183"/>
        <v>7.3999999999999996E-2</v>
      </c>
      <c r="BS180" s="1953">
        <f t="shared" si="183"/>
        <v>6.6000000000000003E-2</v>
      </c>
      <c r="BT180" s="1043">
        <f t="shared" si="183"/>
        <v>3.6999999999999998E-2</v>
      </c>
      <c r="BU180" s="1043">
        <f t="shared" si="183"/>
        <v>4.7E-2</v>
      </c>
      <c r="BV180" s="1043">
        <f t="shared" si="183"/>
        <v>3.5999999999999997E-2</v>
      </c>
      <c r="BW180" s="1043">
        <f t="shared" si="183"/>
        <v>0.04</v>
      </c>
      <c r="BX180" s="1953">
        <f t="shared" si="183"/>
        <v>0.04</v>
      </c>
      <c r="BY180" s="1043">
        <f t="shared" si="183"/>
        <v>3.9E-2</v>
      </c>
      <c r="BZ180" s="1043">
        <f t="shared" si="183"/>
        <v>3.3000000000000002E-2</v>
      </c>
      <c r="CA180" s="1043">
        <f t="shared" si="183"/>
        <v>3.5999999999999997E-2</v>
      </c>
      <c r="CB180" s="2882">
        <f t="shared" si="183"/>
        <v>0.01</v>
      </c>
      <c r="CC180" s="2881">
        <f t="shared" si="183"/>
        <v>2.9000000000000001E-2</v>
      </c>
      <c r="CD180" s="1043">
        <f t="shared" si="183"/>
        <v>3.5999999999999997E-2</v>
      </c>
      <c r="CE180" s="1043">
        <f t="shared" si="183"/>
        <v>2E-3</v>
      </c>
      <c r="CF180" s="1043">
        <f t="shared" si="183"/>
        <v>2.8000000000000001E-2</v>
      </c>
      <c r="CG180" s="1043"/>
      <c r="CH180" s="1280"/>
      <c r="CI180" s="886"/>
      <c r="CJ180" s="886"/>
      <c r="CK180" s="886"/>
      <c r="CL180" s="886"/>
      <c r="CM180" s="1280"/>
      <c r="CN180" s="886"/>
      <c r="CO180" s="886"/>
      <c r="CP180" s="886"/>
      <c r="CQ180" s="886"/>
      <c r="CR180" s="1046"/>
      <c r="CS180" s="1046"/>
      <c r="CT180" s="1046"/>
      <c r="DA180" s="212"/>
      <c r="DB180" s="1226"/>
    </row>
    <row r="181" spans="1:106" x14ac:dyDescent="0.2">
      <c r="A181" s="1434" t="s">
        <v>923</v>
      </c>
      <c r="B181" s="1491">
        <v>102.43</v>
      </c>
      <c r="C181" s="1494">
        <v>105.54</v>
      </c>
      <c r="D181" s="1494">
        <v>104.52</v>
      </c>
      <c r="E181" s="1494">
        <v>105.73</v>
      </c>
      <c r="F181" s="1493">
        <f>+SUMPRODUCT(B181:E181,$BJ$4:$BM$4)/$BN$4</f>
        <v>104.64538461538463</v>
      </c>
      <c r="G181" s="1491">
        <v>110.42</v>
      </c>
      <c r="H181" s="1494">
        <v>109.09</v>
      </c>
      <c r="I181" s="1494">
        <v>108.47</v>
      </c>
      <c r="J181" s="1494">
        <v>97.88</v>
      </c>
      <c r="K181" s="1493">
        <f>+SUMPRODUCT(G181:J181,$BJ$4:$BM$4)/$BN$4</f>
        <v>105.80461538461537</v>
      </c>
      <c r="L181" s="1491">
        <v>99.38</v>
      </c>
      <c r="M181" s="1494">
        <v>98.94</v>
      </c>
      <c r="N181" s="1494">
        <v>98.27</v>
      </c>
      <c r="O181" s="1494">
        <v>97.36</v>
      </c>
      <c r="P181" s="1493">
        <f>+SUMPRODUCT(L181:O181,$BJ$4:$BM$4)/$BN$4</f>
        <v>98.400769230769228</v>
      </c>
      <c r="Q181" s="1491">
        <v>94.99</v>
      </c>
      <c r="R181" s="1494">
        <v>93.66</v>
      </c>
      <c r="S181" s="1494">
        <v>95.05</v>
      </c>
      <c r="T181" s="1494">
        <v>92.55</v>
      </c>
      <c r="U181" s="1493">
        <f>+SUMPRODUCT(Q181:T181,$BJ$4:$BM$4)/$BN$4</f>
        <v>93.946153846153848</v>
      </c>
      <c r="V181" s="1491">
        <v>96.66</v>
      </c>
      <c r="W181" s="1494">
        <v>97.06</v>
      </c>
      <c r="X181" s="1494">
        <v>97.95</v>
      </c>
      <c r="Y181" s="1494">
        <v>97.33</v>
      </c>
      <c r="Z181" s="1493">
        <f>+SUMPRODUCT(V181:Y181,$BJ$4:$BM$4)/$BN$4</f>
        <v>97.256153846153836</v>
      </c>
      <c r="AA181" s="1491">
        <v>103.26</v>
      </c>
      <c r="AB181" s="1494">
        <v>104.89</v>
      </c>
      <c r="AC181" s="1494">
        <v>106.42</v>
      </c>
      <c r="AD181" s="1494">
        <v>104.99792165981361</v>
      </c>
      <c r="AE181" s="1493">
        <f>+SUMPRODUCT(AA181:AD181,$BJ$4:$BM$4)/$BN$4</f>
        <v>104.90012974148109</v>
      </c>
      <c r="AF181" s="1491">
        <v>111.82907846994311</v>
      </c>
      <c r="AG181" s="1494">
        <v>112.87502746257445</v>
      </c>
      <c r="AH181" s="1494">
        <v>113.56970738376268</v>
      </c>
      <c r="AI181" s="1494">
        <v>114.41660697392456</v>
      </c>
      <c r="AJ181" s="1493">
        <f>+SUMPRODUCT(AF181:AI181,$BJ$4:$BM$4)/$BN$4</f>
        <v>113.26829752650299</v>
      </c>
      <c r="AK181" s="1491">
        <v>121.39658982128306</v>
      </c>
      <c r="AL181" s="1494">
        <v>122.25</v>
      </c>
      <c r="AM181" s="1494">
        <v>122.4</v>
      </c>
      <c r="AN181" s="1494">
        <v>122.88</v>
      </c>
      <c r="AO181" s="1493">
        <f>+SUMPRODUCT(AK181:AN181,$BJ$4:$BM$4)/$BN$4</f>
        <v>122.28152072798839</v>
      </c>
      <c r="AP181" s="1491">
        <v>127.02</v>
      </c>
      <c r="AQ181" s="1494">
        <v>127</v>
      </c>
      <c r="AR181" s="1494">
        <v>126.52</v>
      </c>
      <c r="AS181" s="1494">
        <v>122.42</v>
      </c>
      <c r="AT181" s="1493">
        <f>+SUMPRODUCT(AP181:AS181,$BJ$4:$BM$4)/$BN$4</f>
        <v>125.4846153846154</v>
      </c>
      <c r="AU181" s="1491">
        <v>119.02</v>
      </c>
      <c r="AV181" s="1494">
        <v>114.39</v>
      </c>
      <c r="AW181" s="1494">
        <v>112.41</v>
      </c>
      <c r="AX181" s="1494">
        <v>110.81</v>
      </c>
      <c r="AY181" s="1493">
        <f>+SUMPRODUCT(AU181:AX181,$BJ$4:$BM$4)/$BN$4</f>
        <v>113.90000000000002</v>
      </c>
      <c r="AZ181" s="1491">
        <v>110.8</v>
      </c>
      <c r="BA181" s="1494">
        <v>113.56</v>
      </c>
      <c r="BB181" s="1494">
        <v>113.32</v>
      </c>
      <c r="BC181" s="1494">
        <v>111.4</v>
      </c>
      <c r="BD181" s="1493">
        <f>+SUMPRODUCT(AZ181:BC181,$BJ$4:$BM$4)/$BN$4</f>
        <v>112.20307692307692</v>
      </c>
      <c r="BE181" s="1491">
        <v>113.08</v>
      </c>
      <c r="BF181" s="1494">
        <v>115.73</v>
      </c>
      <c r="BG181" s="1494">
        <v>117</v>
      </c>
      <c r="BH181" s="1494">
        <v>115.35</v>
      </c>
      <c r="BI181" s="1493">
        <f>+SUMPRODUCT(BE181:BH181,$BJ$4:$BM$4)/$BN$4</f>
        <v>115.29461538461538</v>
      </c>
      <c r="BJ181" s="1494">
        <v>117.13</v>
      </c>
      <c r="BK181" s="1494">
        <v>121.1</v>
      </c>
      <c r="BL181" s="1494">
        <v>123.12</v>
      </c>
      <c r="BM181" s="1494">
        <v>120.5</v>
      </c>
      <c r="BN181" s="1493">
        <f>+SUMPRODUCT(BJ181:BM181,$BJ$4:$BM$4)/$BN$4</f>
        <v>120.46538461538462</v>
      </c>
      <c r="BO181" s="1494">
        <v>122.53</v>
      </c>
      <c r="BP181" s="1494">
        <v>126.23</v>
      </c>
      <c r="BQ181" s="1494">
        <v>127.51</v>
      </c>
      <c r="BR181" s="1494">
        <v>122.99</v>
      </c>
      <c r="BS181" s="1493">
        <f>+SUMPRODUCT(BO181:BR181,$BJ$4:$BM$4)/$BN$4</f>
        <v>124.67461538461538</v>
      </c>
      <c r="BT181" s="1494">
        <v>126.03</v>
      </c>
      <c r="BU181" s="1494">
        <v>131.47</v>
      </c>
      <c r="BV181" s="1494">
        <v>134.62</v>
      </c>
      <c r="BW181" s="1494">
        <v>129.59</v>
      </c>
      <c r="BX181" s="1493">
        <f>+SUMPRODUCT(BT181:BW181,$BJ$4:$BM$4)/$BN$4</f>
        <v>130.36307692307693</v>
      </c>
      <c r="BY181" s="1494">
        <v>134.72</v>
      </c>
      <c r="BZ181" s="1494">
        <v>141.63</v>
      </c>
      <c r="CA181" s="1494">
        <v>143.31</v>
      </c>
      <c r="CB181" s="1494">
        <v>136.61000000000001</v>
      </c>
      <c r="CC181" s="1493">
        <f>+SUMPRODUCT(BY181:CB181,$BT$4:$BW$4)/$BX$4</f>
        <v>139.084301369863</v>
      </c>
      <c r="CD181" s="1494">
        <v>139.05000000000001</v>
      </c>
      <c r="CE181" s="1494">
        <v>145.15</v>
      </c>
      <c r="CF181" s="1494">
        <v>147.33000000000001</v>
      </c>
      <c r="CG181" s="1494"/>
      <c r="CH181" s="1493"/>
      <c r="CI181" s="234"/>
      <c r="CJ181" s="234"/>
      <c r="CK181" s="234"/>
      <c r="CL181" s="234"/>
      <c r="CM181" s="1493"/>
      <c r="CN181" s="234"/>
      <c r="CO181" s="234"/>
      <c r="CP181" s="234"/>
      <c r="CQ181" s="234"/>
      <c r="CR181" s="236"/>
      <c r="CS181" s="236"/>
      <c r="CT181" s="236"/>
      <c r="DA181" s="212"/>
      <c r="DB181" s="1226"/>
    </row>
    <row r="182" spans="1:106" x14ac:dyDescent="0.2">
      <c r="A182" s="1595" t="s">
        <v>652</v>
      </c>
      <c r="B182" s="885"/>
      <c r="C182" s="885"/>
      <c r="D182" s="885"/>
      <c r="E182" s="885"/>
      <c r="F182" s="1280"/>
      <c r="G182" s="885">
        <f>G181/B181-1</f>
        <v>7.8004490871814935E-2</v>
      </c>
      <c r="H182" s="885">
        <f>H181/C181-1</f>
        <v>3.3636535910555265E-2</v>
      </c>
      <c r="I182" s="885">
        <f>I181/D181-1</f>
        <v>3.7791810179869989E-2</v>
      </c>
      <c r="J182" s="885">
        <f>J181/E181-1</f>
        <v>-7.424572023077658E-2</v>
      </c>
      <c r="K182" s="1280"/>
      <c r="L182" s="885">
        <f>L181/G181-1</f>
        <v>-9.9981887339250175E-2</v>
      </c>
      <c r="M182" s="885">
        <f>M181/H181-1</f>
        <v>-9.3042442020350169E-2</v>
      </c>
      <c r="N182" s="885">
        <f>N181/I181-1</f>
        <v>-9.4035217110721936E-2</v>
      </c>
      <c r="O182" s="885">
        <f>O181/J181-1</f>
        <v>-5.312627707396822E-3</v>
      </c>
      <c r="P182" s="1280">
        <f>+P181/K181-1</f>
        <v>-6.997658965000797E-2</v>
      </c>
      <c r="Q182" s="885">
        <f>Q181/L181-1</f>
        <v>-4.4173878043871961E-2</v>
      </c>
      <c r="R182" s="885">
        <f>R181/M181-1</f>
        <v>-5.3365676167374199E-2</v>
      </c>
      <c r="S182" s="885">
        <f>S181/N181-1</f>
        <v>-3.2766866795563288E-2</v>
      </c>
      <c r="T182" s="885">
        <f>T181/O181-1</f>
        <v>-4.9404272801972127E-2</v>
      </c>
      <c r="U182" s="1280">
        <f>+U181/P181-1</f>
        <v>-4.5270127656913184E-2</v>
      </c>
      <c r="V182" s="885">
        <f>V181/Q181-1</f>
        <v>1.7580797978734575E-2</v>
      </c>
      <c r="W182" s="885">
        <f>W181/R181-1</f>
        <v>3.6301516122144051E-2</v>
      </c>
      <c r="X182" s="885">
        <f>X181/S181-1</f>
        <v>3.0510257759074122E-2</v>
      </c>
      <c r="Y182" s="885">
        <f>Y181/T181-1</f>
        <v>5.1647757968665609E-2</v>
      </c>
      <c r="Z182" s="1280">
        <f>+Z181/U181-1</f>
        <v>3.523294849750247E-2</v>
      </c>
      <c r="AA182" s="885">
        <f>AA181/V181-1</f>
        <v>6.8280571073867202E-2</v>
      </c>
      <c r="AB182" s="885">
        <f>AB181/W181-1</f>
        <v>8.0671749433340212E-2</v>
      </c>
      <c r="AC182" s="885">
        <f>AC181/X181-1</f>
        <v>8.6472690148034603E-2</v>
      </c>
      <c r="AD182" s="885">
        <f>AD181/Y181-1</f>
        <v>7.8782715091067601E-2</v>
      </c>
      <c r="AE182" s="1280">
        <f>+AE181/Z181-1</f>
        <v>7.859632108646819E-2</v>
      </c>
      <c r="AF182" s="885">
        <f>AF181/AA181-1</f>
        <v>8.2985458744364804E-2</v>
      </c>
      <c r="AG182" s="885">
        <f>AG181/AB181-1</f>
        <v>7.6127633354699631E-2</v>
      </c>
      <c r="AH182" s="885">
        <f>AH181/AC181-1</f>
        <v>6.7183869420810671E-2</v>
      </c>
      <c r="AI182" s="885">
        <f>AI181/AD181-1</f>
        <v>8.9703540462704234E-2</v>
      </c>
      <c r="AJ182" s="1280">
        <f>+AJ181/AE181-1</f>
        <v>7.9772711488962367E-2</v>
      </c>
      <c r="AK182" s="885">
        <f>AK181/AF181-1</f>
        <v>8.5554772356560616E-2</v>
      </c>
      <c r="AL182" s="885">
        <f>AL181/AG181-1</f>
        <v>8.305621489690429E-2</v>
      </c>
      <c r="AM182" s="885">
        <f>AM181/AH181-1</f>
        <v>7.7752182511124701E-2</v>
      </c>
      <c r="AN182" s="885">
        <f>AN181/AI181-1</f>
        <v>7.3969970355826309E-2</v>
      </c>
      <c r="AO182" s="1280">
        <f>+AO181/AJ181-1</f>
        <v>7.9574103242581629E-2</v>
      </c>
      <c r="AP182" s="885">
        <f>AP181/AK181-1</f>
        <v>4.6322637126755994E-2</v>
      </c>
      <c r="AQ182" s="885">
        <f>AQ181/AL181-1</f>
        <v>3.8854805725971442E-2</v>
      </c>
      <c r="AR182" s="885">
        <f>AR181/AM181-1</f>
        <v>3.3660130718954129E-2</v>
      </c>
      <c r="AS182" s="885">
        <f>AS181/AN181-1</f>
        <v>-3.7434895833332593E-3</v>
      </c>
      <c r="AT182" s="1280">
        <f>+AT181/AO181-1</f>
        <v>2.6194429359054139E-2</v>
      </c>
      <c r="AU182" s="885">
        <f>AU181/AP181-1</f>
        <v>-6.2982207526373846E-2</v>
      </c>
      <c r="AV182" s="885">
        <f>AV181/AQ181-1</f>
        <v>-9.9291338582677136E-2</v>
      </c>
      <c r="AW182" s="885">
        <f>AW181/AR181-1</f>
        <v>-0.11152386974391404</v>
      </c>
      <c r="AX182" s="885">
        <f>AX181/AS181-1</f>
        <v>-9.483744486195067E-2</v>
      </c>
      <c r="AY182" s="1280">
        <f>+AY181/AT181-1</f>
        <v>-9.2319009379022821E-2</v>
      </c>
      <c r="AZ182" s="885">
        <f>AZ181/AU181-1</f>
        <v>-6.9064022853301932E-2</v>
      </c>
      <c r="BA182" s="885">
        <f>BA181/AV181-1</f>
        <v>-7.2558790104030324E-3</v>
      </c>
      <c r="BB182" s="885">
        <f>BB181/AW181-1</f>
        <v>8.095365181033598E-3</v>
      </c>
      <c r="BC182" s="885">
        <f>BC181/AX181-1</f>
        <v>5.3244292031404683E-3</v>
      </c>
      <c r="BD182" s="1280">
        <f>+BD181/AY181-1</f>
        <v>-1.489835888431168E-2</v>
      </c>
      <c r="BE182" s="885">
        <f>BE181/AZ181-1</f>
        <v>2.0577617328519926E-2</v>
      </c>
      <c r="BF182" s="885">
        <f>BF181/BA181-1</f>
        <v>1.9108841141247002E-2</v>
      </c>
      <c r="BG182" s="885">
        <f>BG181/BB181-1</f>
        <v>3.2474408753971007E-2</v>
      </c>
      <c r="BH182" s="885">
        <f>BH181/BC181-1</f>
        <v>3.5457809694793507E-2</v>
      </c>
      <c r="BI182" s="1280">
        <f>+BI181/BD181-1</f>
        <v>2.7553063127296662E-2</v>
      </c>
      <c r="BJ182" s="885">
        <f>BJ181/BE181-1</f>
        <v>3.5815351963211839E-2</v>
      </c>
      <c r="BK182" s="885">
        <f>BK181/BF181-1</f>
        <v>4.6401106022638805E-2</v>
      </c>
      <c r="BL182" s="885">
        <f>BL181/BG181-1</f>
        <v>5.2307692307692388E-2</v>
      </c>
      <c r="BM182" s="885">
        <f>BM181/BH181-1</f>
        <v>4.464672735153874E-2</v>
      </c>
      <c r="BN182" s="1280">
        <f>+BN181/BI181-1</f>
        <v>4.4848315019048179E-2</v>
      </c>
      <c r="BO182" s="885">
        <f>BO181/BJ181-1</f>
        <v>4.610262101938023E-2</v>
      </c>
      <c r="BP182" s="885">
        <f>BP181/BK181-1</f>
        <v>4.2361684558216428E-2</v>
      </c>
      <c r="BQ182" s="885">
        <f>BQ181/BL181-1</f>
        <v>3.565627030539309E-2</v>
      </c>
      <c r="BR182" s="885">
        <f>BR181/BM181-1</f>
        <v>2.0663900414937819E-2</v>
      </c>
      <c r="BS182" s="1280">
        <f>+BS181/BN181-1</f>
        <v>3.4941413109415231E-2</v>
      </c>
      <c r="BT182" s="885">
        <f>BT181/BO181-1</f>
        <v>2.8564433200032546E-2</v>
      </c>
      <c r="BU182" s="885">
        <f>BU181/BP181-1</f>
        <v>4.1511526578467794E-2</v>
      </c>
      <c r="BV182" s="885">
        <f>BV181/BQ181-1</f>
        <v>5.5760332522939438E-2</v>
      </c>
      <c r="BW182" s="885">
        <f>BW181/BR181-1</f>
        <v>5.3662899422717292E-2</v>
      </c>
      <c r="BX182" s="1280">
        <f>+BX181/BS181-1</f>
        <v>4.5626461496696136E-2</v>
      </c>
      <c r="BY182" s="885">
        <f>BY181/BT181-1</f>
        <v>6.8951836864238558E-2</v>
      </c>
      <c r="BZ182" s="885">
        <f>BZ181/BU181-1</f>
        <v>7.7279987829923069E-2</v>
      </c>
      <c r="CA182" s="885">
        <f>CA181/BV181-1</f>
        <v>6.4552072500371427E-2</v>
      </c>
      <c r="CB182" s="885">
        <f>CB181/BW181-1</f>
        <v>5.4170846515934956E-2</v>
      </c>
      <c r="CC182" s="1280">
        <f>+CC181/BX181-1</f>
        <v>6.6899498329056728E-2</v>
      </c>
      <c r="CD182" s="885">
        <f>CD181/BY181-1</f>
        <v>3.2140736342042953E-2</v>
      </c>
      <c r="CE182" s="885">
        <f>CE181/BZ181-1</f>
        <v>2.4853491491915625E-2</v>
      </c>
      <c r="CF182" s="885">
        <f>CF181/CA181-1</f>
        <v>2.8051078082478531E-2</v>
      </c>
      <c r="CG182" s="885"/>
      <c r="CH182" s="1280"/>
      <c r="CI182" s="2700"/>
      <c r="CJ182" s="2700"/>
      <c r="CK182" s="2700"/>
      <c r="CL182" s="2700"/>
      <c r="CM182" s="1280"/>
      <c r="CN182" s="2700"/>
      <c r="CO182" s="2700"/>
      <c r="CP182" s="2700"/>
      <c r="CQ182" s="2700"/>
      <c r="CR182" s="1046"/>
      <c r="CS182" s="1046"/>
      <c r="CT182" s="1046"/>
      <c r="DA182" s="212"/>
      <c r="DB182" s="1226"/>
    </row>
    <row r="183" spans="1:106" x14ac:dyDescent="0.2">
      <c r="A183" s="1595" t="s">
        <v>359</v>
      </c>
      <c r="B183" s="1924" t="s">
        <v>673</v>
      </c>
      <c r="C183" s="1924" t="s">
        <v>673</v>
      </c>
      <c r="D183" s="1924" t="s">
        <v>673</v>
      </c>
      <c r="E183" s="1924" t="s">
        <v>673</v>
      </c>
      <c r="F183" s="1890" t="s">
        <v>673</v>
      </c>
      <c r="G183" s="1924" t="s">
        <v>673</v>
      </c>
      <c r="H183" s="1924" t="s">
        <v>673</v>
      </c>
      <c r="I183" s="1924" t="s">
        <v>673</v>
      </c>
      <c r="J183" s="1924" t="s">
        <v>673</v>
      </c>
      <c r="K183" s="1890" t="s">
        <v>673</v>
      </c>
      <c r="L183" s="1924" t="s">
        <v>673</v>
      </c>
      <c r="M183" s="1924" t="s">
        <v>673</v>
      </c>
      <c r="N183" s="1924" t="s">
        <v>673</v>
      </c>
      <c r="O183" s="1924" t="s">
        <v>673</v>
      </c>
      <c r="P183" s="1890" t="s">
        <v>673</v>
      </c>
      <c r="Q183" s="1043">
        <f t="shared" ref="Q183:AV183" si="184">+Q618</f>
        <v>-2.1999999999999999E-2</v>
      </c>
      <c r="R183" s="1043">
        <f t="shared" si="184"/>
        <v>-2.8000000000000001E-2</v>
      </c>
      <c r="S183" s="1043">
        <f t="shared" si="184"/>
        <v>-1.4E-2</v>
      </c>
      <c r="T183" s="1043">
        <f t="shared" si="184"/>
        <v>-6.0000000000000001E-3</v>
      </c>
      <c r="U183" s="1953">
        <f t="shared" si="184"/>
        <v>-1.4E-2</v>
      </c>
      <c r="V183" s="1043">
        <f t="shared" si="184"/>
        <v>1.7000000000000001E-2</v>
      </c>
      <c r="W183" s="1043">
        <f t="shared" si="184"/>
        <v>3.3000000000000002E-2</v>
      </c>
      <c r="X183" s="1043">
        <f t="shared" si="184"/>
        <v>2.7E-2</v>
      </c>
      <c r="Y183" s="1043">
        <f t="shared" si="184"/>
        <v>4.7E-2</v>
      </c>
      <c r="Z183" s="1953">
        <f t="shared" si="184"/>
        <v>3.2000000000000001E-2</v>
      </c>
      <c r="AA183" s="1043">
        <f t="shared" si="184"/>
        <v>6.2E-2</v>
      </c>
      <c r="AB183" s="1043">
        <f t="shared" si="184"/>
        <v>7.0000000000000007E-2</v>
      </c>
      <c r="AC183" s="1043">
        <f t="shared" si="184"/>
        <v>7.0999999999999994E-2</v>
      </c>
      <c r="AD183" s="1043">
        <f t="shared" si="184"/>
        <v>6.4000000000000001E-2</v>
      </c>
      <c r="AE183" s="1953">
        <f t="shared" si="184"/>
        <v>6.7000000000000004E-2</v>
      </c>
      <c r="AF183" s="1043">
        <f t="shared" si="184"/>
        <v>8.2000000000000003E-2</v>
      </c>
      <c r="AG183" s="1043">
        <f t="shared" si="184"/>
        <v>8.2000000000000003E-2</v>
      </c>
      <c r="AH183" s="1043">
        <f t="shared" si="184"/>
        <v>7.6999999999999999E-2</v>
      </c>
      <c r="AI183" s="1043">
        <f t="shared" si="184"/>
        <v>8.6999999999999994E-2</v>
      </c>
      <c r="AJ183" s="1953">
        <f t="shared" si="184"/>
        <v>8.2000000000000003E-2</v>
      </c>
      <c r="AK183" s="1043">
        <f t="shared" si="184"/>
        <v>7.5999999999999998E-2</v>
      </c>
      <c r="AL183" s="1043">
        <f t="shared" si="184"/>
        <v>6.0999999999999999E-2</v>
      </c>
      <c r="AM183" s="1043">
        <f t="shared" si="184"/>
        <v>5.3999999999999999E-2</v>
      </c>
      <c r="AN183" s="1043">
        <f t="shared" si="184"/>
        <v>5.6000000000000001E-2</v>
      </c>
      <c r="AO183" s="1953">
        <f t="shared" si="184"/>
        <v>6.0999999999999999E-2</v>
      </c>
      <c r="AP183" s="1043">
        <f t="shared" si="184"/>
        <v>3.4000000000000002E-2</v>
      </c>
      <c r="AQ183" s="1043">
        <f t="shared" si="184"/>
        <v>2.8000000000000001E-2</v>
      </c>
      <c r="AR183" s="1043">
        <f t="shared" si="184"/>
        <v>2.1999999999999999E-2</v>
      </c>
      <c r="AS183" s="1043">
        <f t="shared" si="184"/>
        <v>-1.4E-2</v>
      </c>
      <c r="AT183" s="1953">
        <f t="shared" si="184"/>
        <v>1.4999999999999999E-2</v>
      </c>
      <c r="AU183" s="1043">
        <f t="shared" si="184"/>
        <v>-6.3E-2</v>
      </c>
      <c r="AV183" s="1043">
        <f t="shared" si="184"/>
        <v>-9.9000000000000005E-2</v>
      </c>
      <c r="AW183" s="1043">
        <f t="shared" ref="AW183:CF183" si="185">+AW618</f>
        <v>-0.11</v>
      </c>
      <c r="AX183" s="1043">
        <f t="shared" si="185"/>
        <v>-9.1999999999999998E-2</v>
      </c>
      <c r="AY183" s="1953">
        <f t="shared" si="185"/>
        <v>-9.1999999999999998E-2</v>
      </c>
      <c r="AZ183" s="1043">
        <f t="shared" si="185"/>
        <v>-6.8000000000000005E-2</v>
      </c>
      <c r="BA183" s="1043">
        <f t="shared" si="185"/>
        <v>-1.6E-2</v>
      </c>
      <c r="BB183" s="1043">
        <f t="shared" si="185"/>
        <v>8.9999999999999993E-3</v>
      </c>
      <c r="BC183" s="1043">
        <f t="shared" si="185"/>
        <v>8.0000000000000002E-3</v>
      </c>
      <c r="BD183" s="1953">
        <f t="shared" si="185"/>
        <v>-1.6E-2</v>
      </c>
      <c r="BE183" s="1043">
        <f t="shared" si="185"/>
        <v>2.1999999999999999E-2</v>
      </c>
      <c r="BF183" s="1043">
        <f t="shared" si="185"/>
        <v>2.3E-2</v>
      </c>
      <c r="BG183" s="1043">
        <f t="shared" si="185"/>
        <v>3.3000000000000002E-2</v>
      </c>
      <c r="BH183" s="1043">
        <f t="shared" si="185"/>
        <v>3.3000000000000002E-2</v>
      </c>
      <c r="BI183" s="1953">
        <f t="shared" si="185"/>
        <v>2.9000000000000001E-2</v>
      </c>
      <c r="BJ183" s="1043">
        <f t="shared" si="185"/>
        <v>3.3000000000000002E-2</v>
      </c>
      <c r="BK183" s="1043">
        <f t="shared" si="185"/>
        <v>4.3999999999999997E-2</v>
      </c>
      <c r="BL183" s="1043">
        <f t="shared" si="185"/>
        <v>4.9000000000000002E-2</v>
      </c>
      <c r="BM183" s="1043">
        <f t="shared" si="185"/>
        <v>4.1000000000000002E-2</v>
      </c>
      <c r="BN183" s="1953">
        <f t="shared" si="185"/>
        <v>4.2000000000000003E-2</v>
      </c>
      <c r="BO183" s="1043">
        <f t="shared" si="185"/>
        <v>4.1000000000000002E-2</v>
      </c>
      <c r="BP183" s="1043">
        <f t="shared" si="185"/>
        <v>3.5000000000000003E-2</v>
      </c>
      <c r="BQ183" s="1043">
        <f t="shared" si="185"/>
        <v>3.5999999999999997E-2</v>
      </c>
      <c r="BR183" s="1043">
        <f t="shared" si="185"/>
        <v>2.5000000000000001E-2</v>
      </c>
      <c r="BS183" s="1953">
        <f t="shared" si="185"/>
        <v>3.5000000000000003E-2</v>
      </c>
      <c r="BT183" s="1043">
        <f t="shared" si="185"/>
        <v>2.8000000000000001E-2</v>
      </c>
      <c r="BU183" s="1043">
        <f t="shared" si="185"/>
        <v>3.9E-2</v>
      </c>
      <c r="BV183" s="1043">
        <f t="shared" si="185"/>
        <v>0.05</v>
      </c>
      <c r="BW183" s="1043">
        <f t="shared" si="185"/>
        <v>4.9000000000000002E-2</v>
      </c>
      <c r="BX183" s="1953">
        <f t="shared" si="185"/>
        <v>4.2000000000000003E-2</v>
      </c>
      <c r="BY183" s="1043">
        <f t="shared" si="185"/>
        <v>5.8999999999999997E-2</v>
      </c>
      <c r="BZ183" s="1043">
        <f t="shared" si="185"/>
        <v>6.2E-2</v>
      </c>
      <c r="CA183" s="1043">
        <f t="shared" si="185"/>
        <v>0.05</v>
      </c>
      <c r="CB183" s="2882">
        <f t="shared" si="185"/>
        <v>0.04</v>
      </c>
      <c r="CC183" s="2881">
        <f t="shared" si="185"/>
        <v>5.2999999999999999E-2</v>
      </c>
      <c r="CD183" s="1043">
        <f t="shared" si="185"/>
        <v>0.03</v>
      </c>
      <c r="CE183" s="1043">
        <f t="shared" si="185"/>
        <v>2.3E-2</v>
      </c>
      <c r="CF183" s="1043">
        <f t="shared" si="185"/>
        <v>2.7E-2</v>
      </c>
      <c r="CG183" s="1043"/>
      <c r="CH183" s="1280"/>
      <c r="CI183" s="886"/>
      <c r="CJ183" s="886"/>
      <c r="CK183" s="886"/>
      <c r="CL183" s="886"/>
      <c r="CM183" s="1280"/>
      <c r="CN183" s="886"/>
      <c r="CO183" s="886"/>
      <c r="CP183" s="886"/>
      <c r="CQ183" s="886"/>
      <c r="CR183" s="1046"/>
      <c r="CS183" s="1046"/>
      <c r="CT183" s="1046"/>
      <c r="DA183" s="212"/>
      <c r="DB183" s="1226"/>
    </row>
    <row r="184" spans="1:106" x14ac:dyDescent="0.2">
      <c r="A184" s="1434" t="s">
        <v>822</v>
      </c>
      <c r="B184" s="1491">
        <v>96.09</v>
      </c>
      <c r="C184" s="1494">
        <v>98.3</v>
      </c>
      <c r="D184" s="1494">
        <v>97.04</v>
      </c>
      <c r="E184" s="1494">
        <v>99.22</v>
      </c>
      <c r="F184" s="1493">
        <f>+SUMPRODUCT(B184:E184,$BJ$4:$BM$4)/$BN$4</f>
        <v>97.782307692307683</v>
      </c>
      <c r="G184" s="1491">
        <v>102.6</v>
      </c>
      <c r="H184" s="1494">
        <v>103.46</v>
      </c>
      <c r="I184" s="1494">
        <v>101.29</v>
      </c>
      <c r="J184" s="1494">
        <v>94.48</v>
      </c>
      <c r="K184" s="1493">
        <f>+SUMPRODUCT(G184:J184,$BJ$4:$BM$4)/$BN$4</f>
        <v>99.997692307692319</v>
      </c>
      <c r="L184" s="1491">
        <v>97.01</v>
      </c>
      <c r="M184" s="1494">
        <v>96.86</v>
      </c>
      <c r="N184" s="1494">
        <v>95.17</v>
      </c>
      <c r="O184" s="1494">
        <v>94.47</v>
      </c>
      <c r="P184" s="1493">
        <f>+SUMPRODUCT(L184:O184,$BJ$4:$BM$4)/$BN$4</f>
        <v>95.769230769230774</v>
      </c>
      <c r="Q184" s="1491">
        <v>94.99</v>
      </c>
      <c r="R184" s="1494">
        <v>92.67</v>
      </c>
      <c r="S184" s="1494">
        <v>92.15</v>
      </c>
      <c r="T184" s="1494">
        <v>92.34</v>
      </c>
      <c r="U184" s="1493">
        <f>+SUMPRODUCT(Q184:T184,$BJ$4:$BM$4)/$BN$4</f>
        <v>92.983846153846159</v>
      </c>
      <c r="V184" s="1491">
        <v>96.01</v>
      </c>
      <c r="W184" s="1494">
        <v>97.32</v>
      </c>
      <c r="X184" s="1494">
        <v>96.95</v>
      </c>
      <c r="Y184" s="1494">
        <v>97.18</v>
      </c>
      <c r="Z184" s="1493">
        <f>+SUMPRODUCT(V184:Y184,$BJ$4:$BM$4)/$BN$4</f>
        <v>96.889230769230764</v>
      </c>
      <c r="AA184" s="1491">
        <v>104.36</v>
      </c>
      <c r="AB184" s="1494">
        <v>106.09</v>
      </c>
      <c r="AC184" s="1494">
        <v>104.84</v>
      </c>
      <c r="AD184" s="1494">
        <v>107.3583268771654</v>
      </c>
      <c r="AE184" s="1493">
        <f>+SUMPRODUCT(AA184:AD184,$BJ$4:$BM$4)/$BN$4</f>
        <v>105.79256211605089</v>
      </c>
      <c r="AF184" s="1491">
        <v>114.86337500871622</v>
      </c>
      <c r="AG184" s="1494">
        <v>115.94647186875054</v>
      </c>
      <c r="AH184" s="1494">
        <v>115.85329960610429</v>
      </c>
      <c r="AI184" s="1494">
        <v>118.19823177064438</v>
      </c>
      <c r="AJ184" s="1493">
        <f>+SUMPRODUCT(AF184:AI184,$BJ$4:$BM$4)/$BN$4</f>
        <v>116.36787434871465</v>
      </c>
      <c r="AK184" s="1491">
        <v>123.82348927218237</v>
      </c>
      <c r="AL184" s="1494">
        <v>125.15</v>
      </c>
      <c r="AM184" s="1494">
        <v>121.89</v>
      </c>
      <c r="AN184" s="1494">
        <v>125.71</v>
      </c>
      <c r="AO184" s="1493">
        <f>+SUMPRODUCT(AK184:AN184,$BJ$4:$BM$4)/$BN$4</f>
        <v>124.26388213973439</v>
      </c>
      <c r="AP184" s="1491">
        <v>128.63999999999999</v>
      </c>
      <c r="AQ184" s="1494">
        <v>129.21</v>
      </c>
      <c r="AR184" s="1494">
        <v>124.57</v>
      </c>
      <c r="AS184" s="1494">
        <v>122.65</v>
      </c>
      <c r="AT184" s="1493">
        <f>+SUMPRODUCT(AP184:AS184,$BJ$4:$BM$4)/$BN$4</f>
        <v>125.98923076923077</v>
      </c>
      <c r="AU184" s="1491">
        <v>117.15</v>
      </c>
      <c r="AV184" s="1494">
        <v>111.93</v>
      </c>
      <c r="AW184" s="1494">
        <v>107.88</v>
      </c>
      <c r="AX184" s="1494">
        <v>109.09</v>
      </c>
      <c r="AY184" s="1493">
        <f>+SUMPRODUCT(AU184:AX184,$BJ$4:$BM$4)/$BN$4</f>
        <v>111.32615384615384</v>
      </c>
      <c r="AZ184" s="1491">
        <v>109.16</v>
      </c>
      <c r="BA184" s="1494">
        <v>111.33</v>
      </c>
      <c r="BB184" s="1494">
        <v>109.63</v>
      </c>
      <c r="BC184" s="1494">
        <v>110.34</v>
      </c>
      <c r="BD184" s="1493">
        <f>+SUMPRODUCT(AZ184:BC184,$BJ$4:$BM$4)/$BN$4</f>
        <v>110.13230769230771</v>
      </c>
      <c r="BE184" s="1491">
        <v>111.57</v>
      </c>
      <c r="BF184" s="1494">
        <v>114.21</v>
      </c>
      <c r="BG184" s="1494">
        <v>112.8</v>
      </c>
      <c r="BH184" s="1494">
        <v>113.71</v>
      </c>
      <c r="BI184" s="1493">
        <f>+SUMPRODUCT(BE184:BH184,$BJ$4:$BM$4)/$BN$4</f>
        <v>113.12153846153844</v>
      </c>
      <c r="BJ184" s="1494">
        <v>116.04</v>
      </c>
      <c r="BK184" s="1494">
        <v>119.55</v>
      </c>
      <c r="BL184" s="1494">
        <v>119</v>
      </c>
      <c r="BM184" s="1494">
        <v>119.42</v>
      </c>
      <c r="BN184" s="1493">
        <f>+SUMPRODUCT(BJ184:BM184,$BJ$4:$BM$4)/$BN$4</f>
        <v>118.57307692307693</v>
      </c>
      <c r="BO184" s="1494">
        <v>121.42</v>
      </c>
      <c r="BP184" s="1494">
        <v>124.56</v>
      </c>
      <c r="BQ184" s="1494">
        <v>124.51</v>
      </c>
      <c r="BR184" s="1494">
        <v>121.44</v>
      </c>
      <c r="BS184" s="1493">
        <f>+SUMPRODUCT(BO184:BR184,$BJ$4:$BM$4)/$BN$4</f>
        <v>122.86384615384615</v>
      </c>
      <c r="BT184" s="1494">
        <v>126.17</v>
      </c>
      <c r="BU184" s="1494">
        <v>130.38999999999999</v>
      </c>
      <c r="BV184" s="1494">
        <v>131.25</v>
      </c>
      <c r="BW184" s="1494">
        <v>128.15</v>
      </c>
      <c r="BX184" s="1493">
        <f>+SUMPRODUCT(BT184:BW184,$BJ$4:$BM$4)/$BN$4</f>
        <v>128.92538461538462</v>
      </c>
      <c r="BY184" s="1494">
        <v>133.58000000000001</v>
      </c>
      <c r="BZ184" s="1494">
        <v>139.51</v>
      </c>
      <c r="CA184" s="1494">
        <v>138.84</v>
      </c>
      <c r="CB184" s="1494">
        <v>133.61000000000001</v>
      </c>
      <c r="CC184" s="1493">
        <f>+SUMPRODUCT(BY184:CB184,$BT$4:$BW$4)/$BX$4</f>
        <v>136.39180821917807</v>
      </c>
      <c r="CD184" s="1494">
        <v>136.99</v>
      </c>
      <c r="CE184" s="1494">
        <v>142.56</v>
      </c>
      <c r="CF184" s="1494">
        <v>141.21</v>
      </c>
      <c r="CG184" s="1494"/>
      <c r="CH184" s="1493"/>
      <c r="CI184" s="234"/>
      <c r="CJ184" s="234"/>
      <c r="CK184" s="234"/>
      <c r="CL184" s="234"/>
      <c r="CM184" s="1493"/>
      <c r="CN184" s="234"/>
      <c r="CO184" s="234"/>
      <c r="CP184" s="234"/>
      <c r="CQ184" s="234"/>
      <c r="CR184" s="236"/>
      <c r="CS184" s="236"/>
      <c r="CT184" s="236"/>
      <c r="DA184" s="212"/>
      <c r="DB184" s="1226"/>
    </row>
    <row r="185" spans="1:106" x14ac:dyDescent="0.2">
      <c r="A185" s="1595" t="s">
        <v>652</v>
      </c>
      <c r="B185" s="885"/>
      <c r="C185" s="885"/>
      <c r="D185" s="885"/>
      <c r="E185" s="885"/>
      <c r="F185" s="1280"/>
      <c r="G185" s="885">
        <f>G184/B184-1</f>
        <v>6.7748985326256506E-2</v>
      </c>
      <c r="H185" s="885">
        <f>H184/C184-1</f>
        <v>5.24923702950153E-2</v>
      </c>
      <c r="I185" s="885">
        <f>I184/D184-1</f>
        <v>4.3796372629843372E-2</v>
      </c>
      <c r="J185" s="885">
        <f>J184/E184-1</f>
        <v>-4.7772626486595415E-2</v>
      </c>
      <c r="K185" s="1280"/>
      <c r="L185" s="885">
        <f>L184/G184-1</f>
        <v>-5.4483430799220134E-2</v>
      </c>
      <c r="M185" s="885">
        <f>M184/H184-1</f>
        <v>-6.3792770152716005E-2</v>
      </c>
      <c r="N185" s="885">
        <f>N184/I184-1</f>
        <v>-6.0420574587817244E-2</v>
      </c>
      <c r="O185" s="885">
        <f>O184/J184-1</f>
        <v>-1.0584250635059522E-4</v>
      </c>
      <c r="P185" s="1280">
        <f>+P184/K184-1</f>
        <v>-4.228559120595099E-2</v>
      </c>
      <c r="Q185" s="885">
        <f>Q184/L184-1</f>
        <v>-2.0822595608700256E-2</v>
      </c>
      <c r="R185" s="885">
        <f>R184/M184-1</f>
        <v>-4.3258310964278346E-2</v>
      </c>
      <c r="S185" s="885">
        <f>S184/N184-1</f>
        <v>-3.1732688872543879E-2</v>
      </c>
      <c r="T185" s="885">
        <f>T184/O184-1</f>
        <v>-2.2546840266751356E-2</v>
      </c>
      <c r="U185" s="1280">
        <f>+U184/P184-1</f>
        <v>-2.9084337349397638E-2</v>
      </c>
      <c r="V185" s="885">
        <f>V184/Q184-1</f>
        <v>1.0737972418149333E-2</v>
      </c>
      <c r="W185" s="885">
        <f>W184/R184-1</f>
        <v>5.0178051149239122E-2</v>
      </c>
      <c r="X185" s="885">
        <f>X184/S184-1</f>
        <v>5.2088985349972861E-2</v>
      </c>
      <c r="Y185" s="885">
        <f>Y184/T184-1</f>
        <v>5.2414988087502667E-2</v>
      </c>
      <c r="Z185" s="1280">
        <f>+Z184/U184-1</f>
        <v>4.2000678364314536E-2</v>
      </c>
      <c r="AA185" s="885">
        <f>AA184/V184-1</f>
        <v>8.6970107280491593E-2</v>
      </c>
      <c r="AB185" s="885">
        <f>AB184/W184-1</f>
        <v>9.0115084258117761E-2</v>
      </c>
      <c r="AC185" s="885">
        <f>AC184/X184-1</f>
        <v>8.1382155750386875E-2</v>
      </c>
      <c r="AD185" s="885">
        <f>AD184/Y184-1</f>
        <v>0.10473684788192417</v>
      </c>
      <c r="AE185" s="1280">
        <f>+AE184/Z184-1</f>
        <v>9.1891857083951312E-2</v>
      </c>
      <c r="AF185" s="885">
        <f>AF184/AA184-1</f>
        <v>0.10064560184664839</v>
      </c>
      <c r="AG185" s="885">
        <f>AG184/AB184-1</f>
        <v>9.2906700619761917E-2</v>
      </c>
      <c r="AH185" s="885">
        <f>AH184/AC184-1</f>
        <v>0.10504864179801876</v>
      </c>
      <c r="AI185" s="885">
        <f>AI184/AD184-1</f>
        <v>0.10096939109233261</v>
      </c>
      <c r="AJ185" s="1280">
        <f>+AJ184/AE184-1</f>
        <v>9.9962719695388502E-2</v>
      </c>
      <c r="AK185" s="885">
        <f>AK184/AF184-1</f>
        <v>7.8006712433673631E-2</v>
      </c>
      <c r="AL185" s="885">
        <f>AL184/AG184-1</f>
        <v>7.9377388400983184E-2</v>
      </c>
      <c r="AM185" s="885">
        <f>AM184/AH184-1</f>
        <v>5.2106417464329535E-2</v>
      </c>
      <c r="AN185" s="885">
        <f>AN184/AI184-1</f>
        <v>6.3552289377151405E-2</v>
      </c>
      <c r="AO185" s="1280">
        <f>+AO184/AJ184-1</f>
        <v>6.7853845704512139E-2</v>
      </c>
      <c r="AP185" s="885">
        <f>AP184/AK184-1</f>
        <v>3.8898199009965051E-2</v>
      </c>
      <c r="AQ185" s="885">
        <f>AQ184/AL184-1</f>
        <v>3.2441070715141906E-2</v>
      </c>
      <c r="AR185" s="885">
        <f>AR184/AM184-1</f>
        <v>2.1987037492821271E-2</v>
      </c>
      <c r="AS185" s="885">
        <f>AS184/AN184-1</f>
        <v>-2.4341738922917688E-2</v>
      </c>
      <c r="AT185" s="1280">
        <f>+AT184/AO184-1</f>
        <v>1.3884554383680303E-2</v>
      </c>
      <c r="AU185" s="885">
        <f>AU184/AP184-1</f>
        <v>-8.9319029850746134E-2</v>
      </c>
      <c r="AV185" s="885">
        <f>AV184/AQ184-1</f>
        <v>-0.13373577896447641</v>
      </c>
      <c r="AW185" s="885">
        <f>AW184/AR184-1</f>
        <v>-0.13398089427631055</v>
      </c>
      <c r="AX185" s="885">
        <f>AX184/AS184-1</f>
        <v>-0.11055849979616794</v>
      </c>
      <c r="AY185" s="1280">
        <f>+AY184/AT184-1</f>
        <v>-0.11638357368761676</v>
      </c>
      <c r="AZ185" s="885">
        <f>AZ184/AU184-1</f>
        <v>-6.8203158344003478E-2</v>
      </c>
      <c r="BA185" s="885">
        <f>BA184/AV184-1</f>
        <v>-5.3604931653712384E-3</v>
      </c>
      <c r="BB185" s="885">
        <f>BB184/AW184-1</f>
        <v>1.6221727845754597E-2</v>
      </c>
      <c r="BC185" s="885">
        <f>BC184/AX184-1</f>
        <v>1.1458428820240174E-2</v>
      </c>
      <c r="BD185" s="1280">
        <f>+BD184/AY184-1</f>
        <v>-1.0723860589812229E-2</v>
      </c>
      <c r="BE185" s="885">
        <f>BE184/AZ184-1</f>
        <v>2.2077684133382069E-2</v>
      </c>
      <c r="BF185" s="885">
        <f>BF184/BA184-1</f>
        <v>2.5869037995149613E-2</v>
      </c>
      <c r="BG185" s="885">
        <f>BG184/BB184-1</f>
        <v>2.8915442853233664E-2</v>
      </c>
      <c r="BH185" s="885">
        <f>BH184/BC184-1</f>
        <v>3.0541961210802882E-2</v>
      </c>
      <c r="BI185" s="1280">
        <f>+BI184/BD184-1</f>
        <v>2.7142178638280834E-2</v>
      </c>
      <c r="BJ185" s="885">
        <f>BJ184/BE184-1</f>
        <v>4.0064533476741104E-2</v>
      </c>
      <c r="BK185" s="885">
        <f>BK184/BF184-1</f>
        <v>4.675597583399016E-2</v>
      </c>
      <c r="BL185" s="885">
        <f>BL184/BG184-1</f>
        <v>5.4964539007092306E-2</v>
      </c>
      <c r="BM185" s="885">
        <f>BM184/BH184-1</f>
        <v>5.0215460381672683E-2</v>
      </c>
      <c r="BN185" s="1280">
        <f>+BN184/BI184-1</f>
        <v>4.819186987447166E-2</v>
      </c>
      <c r="BO185" s="885">
        <f>BO184/BJ184-1</f>
        <v>4.6363322992071687E-2</v>
      </c>
      <c r="BP185" s="885">
        <f>BP184/BK184-1</f>
        <v>4.1907151819322586E-2</v>
      </c>
      <c r="BQ185" s="885">
        <f>BQ184/BL184-1</f>
        <v>4.6302521008403374E-2</v>
      </c>
      <c r="BR185" s="885">
        <f>BR184/BM184-1</f>
        <v>1.6915089599732092E-2</v>
      </c>
      <c r="BS185" s="1280">
        <f>+BS184/BN184-1</f>
        <v>3.618670732102891E-2</v>
      </c>
      <c r="BT185" s="885">
        <f>BT184/BO184-1</f>
        <v>3.9120408499423442E-2</v>
      </c>
      <c r="BU185" s="885">
        <f>BU184/BP184-1</f>
        <v>4.6804752729608046E-2</v>
      </c>
      <c r="BV185" s="885">
        <f>BV184/BQ184-1</f>
        <v>5.4132198217010652E-2</v>
      </c>
      <c r="BW185" s="885">
        <f>BW184/BR184-1</f>
        <v>5.5253623188405765E-2</v>
      </c>
      <c r="BX185" s="1280">
        <f>+BX184/BS184-1</f>
        <v>4.9335411931907158E-2</v>
      </c>
      <c r="BY185" s="885">
        <f>BY184/BT184-1</f>
        <v>5.8730284536736344E-2</v>
      </c>
      <c r="BZ185" s="885">
        <f>BZ184/BU184-1</f>
        <v>6.9944014111511743E-2</v>
      </c>
      <c r="CA185" s="885">
        <f>CA184/BV184-1</f>
        <v>5.7828571428571562E-2</v>
      </c>
      <c r="CB185" s="885">
        <f>CB184/BW184-1</f>
        <v>4.2606320717908819E-2</v>
      </c>
      <c r="CC185" s="1280">
        <f>+CC184/BX184-1</f>
        <v>5.7912750278524161E-2</v>
      </c>
      <c r="CD185" s="885">
        <f>CD184/BY184-1</f>
        <v>2.5527773618805094E-2</v>
      </c>
      <c r="CE185" s="885">
        <f>CE184/BZ184-1</f>
        <v>2.1862232098057488E-2</v>
      </c>
      <c r="CF185" s="885">
        <f>CF184/CA184-1</f>
        <v>1.7070008643042422E-2</v>
      </c>
      <c r="CG185" s="885"/>
      <c r="CH185" s="1280"/>
      <c r="CI185" s="2700"/>
      <c r="CJ185" s="2700"/>
      <c r="CK185" s="2700"/>
      <c r="CL185" s="2700"/>
      <c r="CM185" s="1280"/>
      <c r="CN185" s="2700"/>
      <c r="CO185" s="2700"/>
      <c r="CP185" s="2700"/>
      <c r="CQ185" s="2700"/>
      <c r="CR185" s="1046"/>
      <c r="CS185" s="1046"/>
      <c r="CT185" s="1046"/>
      <c r="DA185" s="212"/>
      <c r="DB185" s="1226"/>
    </row>
    <row r="186" spans="1:106" x14ac:dyDescent="0.2">
      <c r="A186" s="1595" t="s">
        <v>359</v>
      </c>
      <c r="B186" s="1924" t="s">
        <v>673</v>
      </c>
      <c r="C186" s="1924" t="s">
        <v>673</v>
      </c>
      <c r="D186" s="1924" t="s">
        <v>673</v>
      </c>
      <c r="E186" s="1924" t="s">
        <v>673</v>
      </c>
      <c r="F186" s="1890" t="s">
        <v>673</v>
      </c>
      <c r="G186" s="1924" t="s">
        <v>673</v>
      </c>
      <c r="H186" s="1924" t="s">
        <v>673</v>
      </c>
      <c r="I186" s="1924" t="s">
        <v>673</v>
      </c>
      <c r="J186" s="1924" t="s">
        <v>673</v>
      </c>
      <c r="K186" s="1890" t="s">
        <v>673</v>
      </c>
      <c r="L186" s="1924" t="s">
        <v>673</v>
      </c>
      <c r="M186" s="1924" t="s">
        <v>673</v>
      </c>
      <c r="N186" s="1924" t="s">
        <v>673</v>
      </c>
      <c r="O186" s="1924" t="s">
        <v>673</v>
      </c>
      <c r="P186" s="1890" t="s">
        <v>673</v>
      </c>
      <c r="Q186" s="1043">
        <f t="shared" ref="Q186:AV186" si="186">+Q617</f>
        <v>-0.01</v>
      </c>
      <c r="R186" s="1043">
        <f t="shared" si="186"/>
        <v>-2.3E-2</v>
      </c>
      <c r="S186" s="1043">
        <f t="shared" si="186"/>
        <v>-2E-3</v>
      </c>
      <c r="T186" s="1043">
        <f t="shared" si="186"/>
        <v>6.0000000000000001E-3</v>
      </c>
      <c r="U186" s="1953">
        <f t="shared" si="186"/>
        <v>-6.0000000000000001E-3</v>
      </c>
      <c r="V186" s="1043">
        <f t="shared" si="186"/>
        <v>2.4E-2</v>
      </c>
      <c r="W186" s="1043">
        <f t="shared" si="186"/>
        <v>4.8000000000000001E-2</v>
      </c>
      <c r="X186" s="1043">
        <f t="shared" si="186"/>
        <v>0.05</v>
      </c>
      <c r="Y186" s="1043">
        <f t="shared" si="186"/>
        <v>6.8000000000000005E-2</v>
      </c>
      <c r="Z186" s="1953">
        <f t="shared" si="186"/>
        <v>4.9000000000000002E-2</v>
      </c>
      <c r="AA186" s="1043">
        <f t="shared" si="186"/>
        <v>7.9000000000000001E-2</v>
      </c>
      <c r="AB186" s="1043">
        <f t="shared" si="186"/>
        <v>8.1000000000000003E-2</v>
      </c>
      <c r="AC186" s="1043">
        <f t="shared" si="186"/>
        <v>7.0999999999999994E-2</v>
      </c>
      <c r="AD186" s="1043">
        <f t="shared" si="186"/>
        <v>8.3000000000000004E-2</v>
      </c>
      <c r="AE186" s="1953">
        <f t="shared" si="186"/>
        <v>7.9000000000000001E-2</v>
      </c>
      <c r="AF186" s="1043">
        <f t="shared" si="186"/>
        <v>9.5000000000000001E-2</v>
      </c>
      <c r="AG186" s="1043">
        <f t="shared" si="186"/>
        <v>9.7000000000000003E-2</v>
      </c>
      <c r="AH186" s="1043">
        <f t="shared" si="186"/>
        <v>9.6000000000000002E-2</v>
      </c>
      <c r="AI186" s="1043">
        <f t="shared" si="186"/>
        <v>9.2999999999999999E-2</v>
      </c>
      <c r="AJ186" s="1953">
        <f t="shared" si="186"/>
        <v>9.5000000000000001E-2</v>
      </c>
      <c r="AK186" s="1043">
        <f t="shared" si="186"/>
        <v>7.1999999999999995E-2</v>
      </c>
      <c r="AL186" s="1043">
        <f t="shared" si="186"/>
        <v>6.2E-2</v>
      </c>
      <c r="AM186" s="1043">
        <f t="shared" si="186"/>
        <v>4.8000000000000001E-2</v>
      </c>
      <c r="AN186" s="1043">
        <f t="shared" si="186"/>
        <v>5.7000000000000002E-2</v>
      </c>
      <c r="AO186" s="1953">
        <f t="shared" si="186"/>
        <v>5.8999999999999997E-2</v>
      </c>
      <c r="AP186" s="1043">
        <f t="shared" si="186"/>
        <v>0.03</v>
      </c>
      <c r="AQ186" s="1043">
        <f t="shared" si="186"/>
        <v>2.5000000000000001E-2</v>
      </c>
      <c r="AR186" s="1043">
        <f t="shared" si="186"/>
        <v>1.2E-2</v>
      </c>
      <c r="AS186" s="1043">
        <f t="shared" si="186"/>
        <v>-3.6999999999999998E-2</v>
      </c>
      <c r="AT186" s="1953">
        <f t="shared" si="186"/>
        <v>4.0000000000000001E-3</v>
      </c>
      <c r="AU186" s="1043">
        <f t="shared" si="186"/>
        <v>-8.8999999999999996E-2</v>
      </c>
      <c r="AV186" s="1043">
        <f t="shared" si="186"/>
        <v>-0.13300000000000001</v>
      </c>
      <c r="AW186" s="1043">
        <f t="shared" ref="AW186:CF186" si="187">+AW617</f>
        <v>-0.13300000000000001</v>
      </c>
      <c r="AX186" s="1043">
        <f t="shared" si="187"/>
        <v>-0.106</v>
      </c>
      <c r="AY186" s="1953">
        <f t="shared" si="187"/>
        <v>-0.11799999999999999</v>
      </c>
      <c r="AZ186" s="1043">
        <f t="shared" si="187"/>
        <v>-6.7000000000000004E-2</v>
      </c>
      <c r="BA186" s="1043">
        <f t="shared" si="187"/>
        <v>-8.9999999999999993E-3</v>
      </c>
      <c r="BB186" s="1043">
        <f t="shared" si="187"/>
        <v>1.7999999999999999E-2</v>
      </c>
      <c r="BC186" s="1043">
        <f t="shared" si="187"/>
        <v>1.4999999999999999E-2</v>
      </c>
      <c r="BD186" s="1953">
        <f t="shared" si="187"/>
        <v>-0.01</v>
      </c>
      <c r="BE186" s="1043">
        <f t="shared" si="187"/>
        <v>2.5000000000000001E-2</v>
      </c>
      <c r="BF186" s="1043">
        <f t="shared" si="187"/>
        <v>3.2000000000000001E-2</v>
      </c>
      <c r="BG186" s="1043">
        <f t="shared" si="187"/>
        <v>0.03</v>
      </c>
      <c r="BH186" s="1043">
        <f t="shared" si="187"/>
        <v>3.3000000000000002E-2</v>
      </c>
      <c r="BI186" s="1953">
        <f t="shared" si="187"/>
        <v>0.03</v>
      </c>
      <c r="BJ186" s="1043">
        <f t="shared" si="187"/>
        <v>3.7999999999999999E-2</v>
      </c>
      <c r="BK186" s="1043">
        <f t="shared" si="187"/>
        <v>4.4999999999999998E-2</v>
      </c>
      <c r="BL186" s="1043">
        <f t="shared" si="187"/>
        <v>5.0999999999999997E-2</v>
      </c>
      <c r="BM186" s="1043">
        <f t="shared" si="187"/>
        <v>4.8000000000000001E-2</v>
      </c>
      <c r="BN186" s="1953">
        <f t="shared" si="187"/>
        <v>4.5999999999999999E-2</v>
      </c>
      <c r="BO186" s="1043">
        <f t="shared" si="187"/>
        <v>0.04</v>
      </c>
      <c r="BP186" s="1043">
        <f t="shared" si="187"/>
        <v>3.7999999999999999E-2</v>
      </c>
      <c r="BQ186" s="1043">
        <f t="shared" si="187"/>
        <v>3.6999999999999998E-2</v>
      </c>
      <c r="BR186" s="1043">
        <f t="shared" si="187"/>
        <v>2.5000000000000001E-2</v>
      </c>
      <c r="BS186" s="1953">
        <f t="shared" si="187"/>
        <v>3.5999999999999997E-2</v>
      </c>
      <c r="BT186" s="1043">
        <f t="shared" si="187"/>
        <v>3.7999999999999999E-2</v>
      </c>
      <c r="BU186" s="1043">
        <f t="shared" si="187"/>
        <v>4.2000000000000003E-2</v>
      </c>
      <c r="BV186" s="1043">
        <f t="shared" si="187"/>
        <v>0.05</v>
      </c>
      <c r="BW186" s="1043">
        <f t="shared" si="187"/>
        <v>4.8000000000000001E-2</v>
      </c>
      <c r="BX186" s="1953">
        <f t="shared" si="187"/>
        <v>4.4999999999999998E-2</v>
      </c>
      <c r="BY186" s="1043">
        <f t="shared" si="187"/>
        <v>5.7000000000000002E-2</v>
      </c>
      <c r="BZ186" s="1043">
        <f t="shared" si="187"/>
        <v>5.8999999999999997E-2</v>
      </c>
      <c r="CA186" s="1043">
        <f t="shared" si="187"/>
        <v>0.05</v>
      </c>
      <c r="CB186" s="2882">
        <f t="shared" si="187"/>
        <v>3.3000000000000002E-2</v>
      </c>
      <c r="CC186" s="2881">
        <f t="shared" si="187"/>
        <v>0.05</v>
      </c>
      <c r="CD186" s="1043">
        <f t="shared" si="187"/>
        <v>2.4E-2</v>
      </c>
      <c r="CE186" s="1043">
        <f t="shared" si="187"/>
        <v>2.3E-2</v>
      </c>
      <c r="CF186" s="1043">
        <f t="shared" si="187"/>
        <v>1.7000000000000001E-2</v>
      </c>
      <c r="CG186" s="1043"/>
      <c r="CH186" s="1280"/>
      <c r="CI186" s="886"/>
      <c r="CJ186" s="886"/>
      <c r="CK186" s="886"/>
      <c r="CL186" s="886"/>
      <c r="CM186" s="1280"/>
      <c r="CN186" s="886"/>
      <c r="CO186" s="886"/>
      <c r="CP186" s="886"/>
      <c r="CQ186" s="886"/>
      <c r="CR186" s="1046"/>
      <c r="CS186" s="1046"/>
      <c r="CT186" s="1046"/>
      <c r="DA186" s="212"/>
      <c r="DB186" s="1226"/>
    </row>
    <row r="187" spans="1:106" x14ac:dyDescent="0.2">
      <c r="A187" s="1434" t="s">
        <v>823</v>
      </c>
      <c r="B187" s="1491">
        <v>59.44</v>
      </c>
      <c r="C187" s="1494">
        <v>61</v>
      </c>
      <c r="D187" s="1494">
        <v>61.45</v>
      </c>
      <c r="E187" s="1494">
        <v>60.91</v>
      </c>
      <c r="F187" s="1493">
        <f>+SUMPRODUCT(B187:E187,$BJ$4:$BM$4)/$BN$4</f>
        <v>60.716153846153844</v>
      </c>
      <c r="G187" s="1491">
        <v>62.76</v>
      </c>
      <c r="H187" s="1494">
        <v>63.88</v>
      </c>
      <c r="I187" s="1494">
        <v>63.94</v>
      </c>
      <c r="J187" s="1494">
        <v>62.02</v>
      </c>
      <c r="K187" s="1493">
        <f>+SUMPRODUCT(G187:J187,$BJ$4:$BM$4)/$BN$4</f>
        <v>63.063076923076927</v>
      </c>
      <c r="L187" s="1491">
        <v>63.76</v>
      </c>
      <c r="M187" s="1494">
        <v>64.400000000000006</v>
      </c>
      <c r="N187" s="1494">
        <v>65.16</v>
      </c>
      <c r="O187" s="1494">
        <v>64.48</v>
      </c>
      <c r="P187" s="1493">
        <f>+SUMPRODUCT(L187:O187,$BJ$4:$BM$4)/$BN$4</f>
        <v>64.452307692307684</v>
      </c>
      <c r="Q187" s="1491">
        <v>63.54</v>
      </c>
      <c r="R187" s="1494">
        <v>64.66</v>
      </c>
      <c r="S187" s="1494">
        <v>66.510000000000005</v>
      </c>
      <c r="T187" s="1494">
        <v>62.61</v>
      </c>
      <c r="U187" s="1493">
        <f>+SUMPRODUCT(Q187:T187,$BJ$4:$BM$4)/$BN$4</f>
        <v>64.197692307692307</v>
      </c>
      <c r="V187" s="1491">
        <v>64.62</v>
      </c>
      <c r="W187" s="1494">
        <v>66.64</v>
      </c>
      <c r="X187" s="1494">
        <v>69.75</v>
      </c>
      <c r="Y187" s="1494">
        <v>67.97</v>
      </c>
      <c r="Z187" s="1493">
        <f>+SUMPRODUCT(V187:Y187,$BJ$4:$BM$4)/$BN$4</f>
        <v>67.300769230769234</v>
      </c>
      <c r="AA187" s="1491">
        <v>71.87</v>
      </c>
      <c r="AB187" s="1494">
        <v>74.260000000000005</v>
      </c>
      <c r="AC187" s="1494">
        <v>76.150000000000006</v>
      </c>
      <c r="AD187" s="1494">
        <v>74.939933835079813</v>
      </c>
      <c r="AE187" s="1493">
        <f>+SUMPRODUCT(AA187:AD187,$BJ$4:$BM$4)/$BN$4</f>
        <v>74.353825795409165</v>
      </c>
      <c r="AF187" s="1491">
        <v>79.733303519609322</v>
      </c>
      <c r="AG187" s="1494">
        <v>80.738063512316728</v>
      </c>
      <c r="AH187" s="1494">
        <v>81.997700771831745</v>
      </c>
      <c r="AI187" s="1494">
        <v>82.462429011752008</v>
      </c>
      <c r="AJ187" s="1493">
        <f>+SUMPRODUCT(AF187:AI187,$BJ$4:$BM$4)/$BN$4</f>
        <v>81.327455342944717</v>
      </c>
      <c r="AK187" s="1491">
        <v>85.588214162417486</v>
      </c>
      <c r="AL187" s="1494">
        <v>87.82</v>
      </c>
      <c r="AM187" s="1494">
        <v>90.06</v>
      </c>
      <c r="AN187" s="1494">
        <v>88.5</v>
      </c>
      <c r="AO187" s="1493">
        <f>+SUMPRODUCT(AK187:AN187,$BJ$4:$BM$4)/$BN$4</f>
        <v>88.031126345173263</v>
      </c>
      <c r="AP187" s="1491">
        <v>92.33</v>
      </c>
      <c r="AQ187" s="1494">
        <v>92.79</v>
      </c>
      <c r="AR187" s="1494">
        <v>93.82</v>
      </c>
      <c r="AS187" s="1494">
        <v>88.83</v>
      </c>
      <c r="AT187" s="1493">
        <f>+SUMPRODUCT(AP187:AS187,$BJ$4:$BM$4)/$BN$4</f>
        <v>91.703076923076921</v>
      </c>
      <c r="AU187" s="1491">
        <v>87.12</v>
      </c>
      <c r="AV187" s="1494">
        <v>85.46</v>
      </c>
      <c r="AW187" s="1494">
        <v>85.21</v>
      </c>
      <c r="AX187" s="1494">
        <v>81.56</v>
      </c>
      <c r="AY187" s="1493">
        <f>+SUMPRODUCT(AU187:AX187,$BJ$4:$BM$4)/$BN$4</f>
        <v>84.585384615384626</v>
      </c>
      <c r="AZ187" s="1491">
        <v>82.66</v>
      </c>
      <c r="BA187" s="1494">
        <v>84.67</v>
      </c>
      <c r="BB187" s="1494">
        <v>86.76</v>
      </c>
      <c r="BC187" s="1494">
        <v>84.25</v>
      </c>
      <c r="BD187" s="1493">
        <f>+SUMPRODUCT(AZ187:BC187,$BJ$4:$BM$4)/$BN$4</f>
        <v>84.559230769230766</v>
      </c>
      <c r="BE187" s="1491">
        <v>86.46</v>
      </c>
      <c r="BF187" s="1494">
        <v>89.2</v>
      </c>
      <c r="BG187" s="1494">
        <v>91.55</v>
      </c>
      <c r="BH187" s="1494">
        <v>89.91</v>
      </c>
      <c r="BI187" s="1493">
        <f>+SUMPRODUCT(BE187:BH187,$BJ$4:$BM$4)/$BN$4</f>
        <v>89.328461538461525</v>
      </c>
      <c r="BJ187" s="1494">
        <v>90.94</v>
      </c>
      <c r="BK187" s="1494">
        <v>94.35</v>
      </c>
      <c r="BL187" s="1494">
        <v>96.97</v>
      </c>
      <c r="BM187" s="1494">
        <v>94.92</v>
      </c>
      <c r="BN187" s="1493">
        <f>+SUMPRODUCT(BJ187:BM187,$BJ$4:$BM$4)/$BN$4</f>
        <v>94.343076923076936</v>
      </c>
      <c r="BO187" s="1494">
        <v>95.22</v>
      </c>
      <c r="BP187" s="1494">
        <v>99.31</v>
      </c>
      <c r="BQ187" s="1494">
        <v>101.02</v>
      </c>
      <c r="BR187" s="1494">
        <v>97.09</v>
      </c>
      <c r="BS187" s="1493">
        <f>+SUMPRODUCT(BO187:BR187,$BJ$4:$BM$4)/$BN$4</f>
        <v>98.077692307692303</v>
      </c>
      <c r="BT187" s="1494">
        <v>98.56</v>
      </c>
      <c r="BU187" s="1494">
        <v>104.38</v>
      </c>
      <c r="BV187" s="1494">
        <v>106.04</v>
      </c>
      <c r="BW187" s="1494">
        <v>101.46</v>
      </c>
      <c r="BX187" s="1493">
        <f>+SUMPRODUCT(BT187:BW187,$BJ$4:$BM$4)/$BN$4</f>
        <v>102.52153846153846</v>
      </c>
      <c r="BY187" s="1494">
        <v>103.86</v>
      </c>
      <c r="BZ187" s="1494">
        <v>110.49</v>
      </c>
      <c r="CA187" s="1494">
        <v>112.16</v>
      </c>
      <c r="CB187" s="1494">
        <v>106.58</v>
      </c>
      <c r="CC187" s="1493">
        <f>+SUMPRODUCT(BY187:CB187,$BT$4:$BW$4)/$BX$4</f>
        <v>108.29060273972603</v>
      </c>
      <c r="CD187" s="1494">
        <v>106.62</v>
      </c>
      <c r="CE187" s="1494">
        <v>113.62</v>
      </c>
      <c r="CF187" s="1494">
        <v>115.04</v>
      </c>
      <c r="CG187" s="1494"/>
      <c r="CH187" s="1493"/>
      <c r="CI187" s="234"/>
      <c r="CJ187" s="234"/>
      <c r="CK187" s="234"/>
      <c r="CL187" s="234"/>
      <c r="CM187" s="1493"/>
      <c r="CN187" s="234"/>
      <c r="CO187" s="234"/>
      <c r="CP187" s="234"/>
      <c r="CQ187" s="234"/>
      <c r="CR187" s="236"/>
      <c r="CS187" s="236"/>
      <c r="CT187" s="236"/>
      <c r="DA187" s="212"/>
      <c r="DB187" s="1226"/>
    </row>
    <row r="188" spans="1:106" x14ac:dyDescent="0.2">
      <c r="A188" s="1595" t="s">
        <v>652</v>
      </c>
      <c r="B188" s="885"/>
      <c r="C188" s="885"/>
      <c r="D188" s="885"/>
      <c r="E188" s="885"/>
      <c r="F188" s="1280"/>
      <c r="G188" s="885">
        <f>G187/B187-1</f>
        <v>5.5854643337819754E-2</v>
      </c>
      <c r="H188" s="885">
        <f>H187/C187-1</f>
        <v>4.7213114754098395E-2</v>
      </c>
      <c r="I188" s="885">
        <f>I187/D187-1</f>
        <v>4.0520748576078125E-2</v>
      </c>
      <c r="J188" s="885">
        <f>J187/E187-1</f>
        <v>1.8223608602856878E-2</v>
      </c>
      <c r="K188" s="1280"/>
      <c r="L188" s="885">
        <f>L187/G187-1</f>
        <v>1.5933715742511234E-2</v>
      </c>
      <c r="M188" s="885">
        <f>M187/H187-1</f>
        <v>8.1402629931122128E-3</v>
      </c>
      <c r="N188" s="885">
        <f>N187/I187-1</f>
        <v>1.9080387863622095E-2</v>
      </c>
      <c r="O188" s="885">
        <f>O187/J187-1</f>
        <v>3.9664624314737162E-2</v>
      </c>
      <c r="P188" s="1280">
        <f>+P187/K187-1</f>
        <v>2.2029225927642448E-2</v>
      </c>
      <c r="Q188" s="885">
        <f>Q187/L187-1</f>
        <v>-3.4504391468004325E-3</v>
      </c>
      <c r="R188" s="885">
        <f>R187/M187-1</f>
        <v>4.0372670807451438E-3</v>
      </c>
      <c r="S188" s="885">
        <f>S187/N187-1</f>
        <v>2.0718232044198981E-2</v>
      </c>
      <c r="T188" s="885">
        <f>T187/O187-1</f>
        <v>-2.9001240694789154E-2</v>
      </c>
      <c r="U188" s="1280">
        <f>+U187/P187-1</f>
        <v>-3.9504463646344856E-3</v>
      </c>
      <c r="V188" s="885">
        <f>V187/Q187-1</f>
        <v>1.6997167138810276E-2</v>
      </c>
      <c r="W188" s="885">
        <f>W187/R187-1</f>
        <v>3.0621713578719456E-2</v>
      </c>
      <c r="X188" s="885">
        <f>X187/S187-1</f>
        <v>4.8714479025710355E-2</v>
      </c>
      <c r="Y188" s="885">
        <f>Y187/T187-1</f>
        <v>8.5609327583453076E-2</v>
      </c>
      <c r="Z188" s="1280">
        <f>+Z187/U187-1</f>
        <v>4.8336268976838515E-2</v>
      </c>
      <c r="AA188" s="885">
        <f>AA187/V187-1</f>
        <v>0.11219436706901886</v>
      </c>
      <c r="AB188" s="885">
        <f>AB187/W187-1</f>
        <v>0.11434573829531813</v>
      </c>
      <c r="AC188" s="885">
        <f>AC187/X187-1</f>
        <v>9.1756272401433803E-2</v>
      </c>
      <c r="AD188" s="885">
        <f>AD187/Y187-1</f>
        <v>0.10254426710430797</v>
      </c>
      <c r="AE188" s="1280">
        <f>+AE187/Z187-1</f>
        <v>0.10479904829104614</v>
      </c>
      <c r="AF188" s="885">
        <f>AF187/AA187-1</f>
        <v>0.10941009488812181</v>
      </c>
      <c r="AG188" s="885">
        <f>AG187/AB187-1</f>
        <v>8.7234897822740631E-2</v>
      </c>
      <c r="AH188" s="885">
        <f>AH187/AC187-1</f>
        <v>7.6791868310331468E-2</v>
      </c>
      <c r="AI188" s="885">
        <f>AI187/AD187-1</f>
        <v>0.10038032850718737</v>
      </c>
      <c r="AJ188" s="1280">
        <f>+AJ187/AE187-1</f>
        <v>9.3789787854683837E-2</v>
      </c>
      <c r="AK188" s="885">
        <f>AK187/AF187-1</f>
        <v>7.3431181004161239E-2</v>
      </c>
      <c r="AL188" s="885">
        <f>AL187/AG187-1</f>
        <v>8.7714965898369579E-2</v>
      </c>
      <c r="AM188" s="885">
        <f>AM187/AH187-1</f>
        <v>9.83234792229426E-2</v>
      </c>
      <c r="AN188" s="885">
        <f>AN187/AI187-1</f>
        <v>7.3216021654995744E-2</v>
      </c>
      <c r="AO188" s="1280">
        <f>+AO187/AJ187-1</f>
        <v>8.2428141566218249E-2</v>
      </c>
      <c r="AP188" s="885">
        <f>AP187/AK187-1</f>
        <v>7.8770025798048371E-2</v>
      </c>
      <c r="AQ188" s="885">
        <f>AQ187/AL187-1</f>
        <v>5.6593031200182331E-2</v>
      </c>
      <c r="AR188" s="885">
        <f>AR187/AM187-1</f>
        <v>4.1749944481456636E-2</v>
      </c>
      <c r="AS188" s="885">
        <f>AS187/AN187-1</f>
        <v>3.7288135593220861E-3</v>
      </c>
      <c r="AT188" s="1280">
        <f>+AT187/AO187-1</f>
        <v>4.1711957240053943E-2</v>
      </c>
      <c r="AU188" s="885">
        <f>AU187/AP187-1</f>
        <v>-5.6428029892775844E-2</v>
      </c>
      <c r="AV188" s="885">
        <f>AV187/AQ187-1</f>
        <v>-7.8995581420411853E-2</v>
      </c>
      <c r="AW188" s="885">
        <f>AW187/AR187-1</f>
        <v>-9.1771477296951565E-2</v>
      </c>
      <c r="AX188" s="885">
        <f>AX187/AS187-1</f>
        <v>-8.1841720139592455E-2</v>
      </c>
      <c r="AY188" s="1280">
        <f>+AY187/AT187-1</f>
        <v>-7.7616722868119381E-2</v>
      </c>
      <c r="AZ188" s="885">
        <f>AZ187/AU187-1</f>
        <v>-5.1193755739210367E-2</v>
      </c>
      <c r="BA188" s="885">
        <f>BA187/AV187-1</f>
        <v>-9.2440908027145996E-3</v>
      </c>
      <c r="BB188" s="885">
        <f>BB187/AW187-1</f>
        <v>1.8190353244924351E-2</v>
      </c>
      <c r="BC188" s="885">
        <f>BC187/AX187-1</f>
        <v>3.2981853849926468E-2</v>
      </c>
      <c r="BD188" s="1280">
        <f>+BD187/AY187-1</f>
        <v>-3.0920053473526554E-4</v>
      </c>
      <c r="BE188" s="885">
        <f>BE187/AZ187-1</f>
        <v>4.5971449310428181E-2</v>
      </c>
      <c r="BF188" s="885">
        <f>BF187/BA187-1</f>
        <v>5.3501830636589087E-2</v>
      </c>
      <c r="BG188" s="885">
        <f>BG187/BB187-1</f>
        <v>5.5209774089441943E-2</v>
      </c>
      <c r="BH188" s="885">
        <f>BH187/BC187-1</f>
        <v>6.7181008902077011E-2</v>
      </c>
      <c r="BI188" s="1280">
        <f>+BI187/BD187-1</f>
        <v>5.6401066162089286E-2</v>
      </c>
      <c r="BJ188" s="885">
        <f>BJ187/BE187-1</f>
        <v>5.1815868609761839E-2</v>
      </c>
      <c r="BK188" s="885">
        <f>BK187/BF187-1</f>
        <v>5.7735426008968416E-2</v>
      </c>
      <c r="BL188" s="885">
        <f>BL187/BG187-1</f>
        <v>5.9202621518296139E-2</v>
      </c>
      <c r="BM188" s="885">
        <f>BM187/BH187-1</f>
        <v>5.5722389055722354E-2</v>
      </c>
      <c r="BN188" s="1280">
        <f>+BN187/BI187-1</f>
        <v>5.6136815727608758E-2</v>
      </c>
      <c r="BO188" s="885">
        <f>BO187/BJ187-1</f>
        <v>4.7063998240598259E-2</v>
      </c>
      <c r="BP188" s="885">
        <f>BP187/BK187-1</f>
        <v>5.2570217276099784E-2</v>
      </c>
      <c r="BQ188" s="885">
        <f>BQ187/BL187-1</f>
        <v>4.1765494482829624E-2</v>
      </c>
      <c r="BR188" s="885">
        <f>BR187/BM187-1</f>
        <v>2.2861356932153409E-2</v>
      </c>
      <c r="BS188" s="1280">
        <f>+BS187/BN187-1</f>
        <v>3.9585473639580426E-2</v>
      </c>
      <c r="BT188" s="885">
        <f>BT187/BO187-1</f>
        <v>3.5076664566267679E-2</v>
      </c>
      <c r="BU188" s="885">
        <f>BU187/BP187-1</f>
        <v>5.1052260598126953E-2</v>
      </c>
      <c r="BV188" s="885">
        <f>BV187/BQ187-1</f>
        <v>4.9693130073252822E-2</v>
      </c>
      <c r="BW188" s="885">
        <f>BW187/BR187-1</f>
        <v>4.5009784735811964E-2</v>
      </c>
      <c r="BX188" s="1280">
        <f>+BX187/BS187-1</f>
        <v>4.5309448553344733E-2</v>
      </c>
      <c r="BY188" s="885">
        <f>BY187/BT187-1</f>
        <v>5.3774350649350655E-2</v>
      </c>
      <c r="BZ188" s="885">
        <f>BZ187/BU187-1</f>
        <v>5.853611803027392E-2</v>
      </c>
      <c r="CA188" s="885">
        <f>CA187/BV187-1</f>
        <v>5.7714070162202757E-2</v>
      </c>
      <c r="CB188" s="885">
        <f>CB187/BW187-1</f>
        <v>5.0463236743544249E-2</v>
      </c>
      <c r="CC188" s="1280">
        <f>+CC187/BX187-1</f>
        <v>5.6271729480062982E-2</v>
      </c>
      <c r="CD188" s="885">
        <f>CD187/BY187-1</f>
        <v>2.6574234546504982E-2</v>
      </c>
      <c r="CE188" s="885">
        <f>CE187/BZ187-1</f>
        <v>2.8328355507285741E-2</v>
      </c>
      <c r="CF188" s="885">
        <f>CF187/CA187-1</f>
        <v>2.5677603423680528E-2</v>
      </c>
      <c r="CG188" s="885"/>
      <c r="CH188" s="1280"/>
      <c r="CI188" s="2700"/>
      <c r="CJ188" s="2700"/>
      <c r="CK188" s="2700"/>
      <c r="CL188" s="2700"/>
      <c r="CM188" s="1280"/>
      <c r="CN188" s="2700"/>
      <c r="CO188" s="2700"/>
      <c r="CP188" s="2700"/>
      <c r="CQ188" s="2700"/>
      <c r="CR188" s="1046"/>
      <c r="CS188" s="1046"/>
      <c r="CT188" s="1046"/>
      <c r="DA188" s="212"/>
      <c r="DB188" s="1226"/>
    </row>
    <row r="189" spans="1:106" x14ac:dyDescent="0.2">
      <c r="A189" s="1595" t="s">
        <v>359</v>
      </c>
      <c r="B189" s="1924" t="s">
        <v>673</v>
      </c>
      <c r="C189" s="1924" t="s">
        <v>673</v>
      </c>
      <c r="D189" s="1924" t="s">
        <v>673</v>
      </c>
      <c r="E189" s="1924" t="s">
        <v>673</v>
      </c>
      <c r="F189" s="1890" t="s">
        <v>673</v>
      </c>
      <c r="G189" s="1924" t="s">
        <v>673</v>
      </c>
      <c r="H189" s="1924" t="s">
        <v>673</v>
      </c>
      <c r="I189" s="1924" t="s">
        <v>673</v>
      </c>
      <c r="J189" s="1924" t="s">
        <v>673</v>
      </c>
      <c r="K189" s="1890" t="s">
        <v>673</v>
      </c>
      <c r="L189" s="1924" t="s">
        <v>673</v>
      </c>
      <c r="M189" s="1924" t="s">
        <v>673</v>
      </c>
      <c r="N189" s="1924" t="s">
        <v>673</v>
      </c>
      <c r="O189" s="1924" t="s">
        <v>673</v>
      </c>
      <c r="P189" s="1890" t="s">
        <v>673</v>
      </c>
      <c r="Q189" s="1043">
        <f t="shared" ref="Q189:AV189" si="188">+Q619</f>
        <v>8.0000000000000002E-3</v>
      </c>
      <c r="R189" s="1043">
        <f t="shared" si="188"/>
        <v>-3.0000000000000001E-3</v>
      </c>
      <c r="S189" s="1043">
        <f t="shared" si="188"/>
        <v>1E-3</v>
      </c>
      <c r="T189" s="1043">
        <f t="shared" si="188"/>
        <v>2E-3</v>
      </c>
      <c r="U189" s="1953">
        <f t="shared" si="188"/>
        <v>2E-3</v>
      </c>
      <c r="V189" s="1043">
        <f t="shared" si="188"/>
        <v>1.2999999999999999E-2</v>
      </c>
      <c r="W189" s="1043">
        <f t="shared" si="188"/>
        <v>1.7999999999999999E-2</v>
      </c>
      <c r="X189" s="1043">
        <f t="shared" si="188"/>
        <v>2.5999999999999999E-2</v>
      </c>
      <c r="Y189" s="1043">
        <f t="shared" si="188"/>
        <v>0.06</v>
      </c>
      <c r="Z189" s="1953">
        <f t="shared" si="188"/>
        <v>3.1E-2</v>
      </c>
      <c r="AA189" s="1043">
        <f t="shared" si="188"/>
        <v>7.6999999999999999E-2</v>
      </c>
      <c r="AB189" s="1043">
        <f t="shared" si="188"/>
        <v>8.5999999999999993E-2</v>
      </c>
      <c r="AC189" s="1043">
        <f t="shared" si="188"/>
        <v>7.4999999999999997E-2</v>
      </c>
      <c r="AD189" s="1043">
        <f t="shared" si="188"/>
        <v>8.1000000000000003E-2</v>
      </c>
      <c r="AE189" s="1953">
        <f t="shared" si="188"/>
        <v>8.1000000000000003E-2</v>
      </c>
      <c r="AF189" s="1043">
        <f t="shared" si="188"/>
        <v>9.7000000000000003E-2</v>
      </c>
      <c r="AG189" s="1043">
        <f t="shared" si="188"/>
        <v>9.0999999999999998E-2</v>
      </c>
      <c r="AH189" s="1043">
        <f t="shared" si="188"/>
        <v>8.7999999999999995E-2</v>
      </c>
      <c r="AI189" s="1043">
        <f t="shared" si="188"/>
        <v>8.8999999999999996E-2</v>
      </c>
      <c r="AJ189" s="1953">
        <f t="shared" si="188"/>
        <v>9.0999999999999998E-2</v>
      </c>
      <c r="AK189" s="1043">
        <f t="shared" si="188"/>
        <v>7.9000000000000001E-2</v>
      </c>
      <c r="AL189" s="1043">
        <f t="shared" si="188"/>
        <v>7.2999999999999995E-2</v>
      </c>
      <c r="AM189" s="1043">
        <f t="shared" si="188"/>
        <v>6.7000000000000004E-2</v>
      </c>
      <c r="AN189" s="1043">
        <f t="shared" si="188"/>
        <v>6.9000000000000006E-2</v>
      </c>
      <c r="AO189" s="1953">
        <f t="shared" si="188"/>
        <v>7.1999999999999995E-2</v>
      </c>
      <c r="AP189" s="1043">
        <f t="shared" si="188"/>
        <v>5.7000000000000002E-2</v>
      </c>
      <c r="AQ189" s="1043">
        <f t="shared" si="188"/>
        <v>3.5999999999999997E-2</v>
      </c>
      <c r="AR189" s="1043">
        <f t="shared" si="188"/>
        <v>2.1000000000000001E-2</v>
      </c>
      <c r="AS189" s="1043">
        <f t="shared" si="188"/>
        <v>-1.4999999999999999E-2</v>
      </c>
      <c r="AT189" s="1953">
        <f t="shared" si="188"/>
        <v>2.1000000000000001E-2</v>
      </c>
      <c r="AU189" s="1043">
        <f t="shared" si="188"/>
        <v>-5.8999999999999997E-2</v>
      </c>
      <c r="AV189" s="1043">
        <f t="shared" si="188"/>
        <v>-8.2000000000000003E-2</v>
      </c>
      <c r="AW189" s="1043">
        <f t="shared" ref="AW189:CF189" si="189">+AW619</f>
        <v>-9.5000000000000001E-2</v>
      </c>
      <c r="AX189" s="1043">
        <f t="shared" si="189"/>
        <v>-8.1000000000000003E-2</v>
      </c>
      <c r="AY189" s="1953">
        <f t="shared" si="189"/>
        <v>-8.3000000000000004E-2</v>
      </c>
      <c r="AZ189" s="1043">
        <f t="shared" si="189"/>
        <v>-5.3999999999999999E-2</v>
      </c>
      <c r="BA189" s="1043">
        <f t="shared" si="189"/>
        <v>-1.7000000000000001E-2</v>
      </c>
      <c r="BB189" s="1043">
        <f t="shared" si="189"/>
        <v>1.7000000000000001E-2</v>
      </c>
      <c r="BC189" s="1043">
        <f t="shared" si="189"/>
        <v>3.2000000000000001E-2</v>
      </c>
      <c r="BD189" s="1953">
        <f t="shared" si="189"/>
        <v>-3.0000000000000001E-3</v>
      </c>
      <c r="BE189" s="1043">
        <f t="shared" si="189"/>
        <v>3.5000000000000003E-2</v>
      </c>
      <c r="BF189" s="1043">
        <f t="shared" si="189"/>
        <v>3.7999999999999999E-2</v>
      </c>
      <c r="BG189" s="1043">
        <f t="shared" si="189"/>
        <v>4.1000000000000002E-2</v>
      </c>
      <c r="BH189" s="1043">
        <f t="shared" si="189"/>
        <v>4.2000000000000003E-2</v>
      </c>
      <c r="BI189" s="1953">
        <f t="shared" si="189"/>
        <v>3.9E-2</v>
      </c>
      <c r="BJ189" s="1043">
        <f t="shared" si="189"/>
        <v>4.5999999999999999E-2</v>
      </c>
      <c r="BK189" s="1043">
        <f t="shared" si="189"/>
        <v>4.9000000000000002E-2</v>
      </c>
      <c r="BL189" s="1043">
        <f t="shared" si="189"/>
        <v>5.0999999999999997E-2</v>
      </c>
      <c r="BM189" s="1043">
        <f t="shared" si="189"/>
        <v>4.5999999999999999E-2</v>
      </c>
      <c r="BN189" s="1953">
        <f t="shared" si="189"/>
        <v>4.8000000000000001E-2</v>
      </c>
      <c r="BO189" s="1043">
        <f t="shared" si="189"/>
        <v>3.7999999999999999E-2</v>
      </c>
      <c r="BP189" s="1043">
        <f t="shared" si="189"/>
        <v>3.5999999999999997E-2</v>
      </c>
      <c r="BQ189" s="1043">
        <f t="shared" si="189"/>
        <v>3.4000000000000002E-2</v>
      </c>
      <c r="BR189" s="1043">
        <f t="shared" si="189"/>
        <v>0.02</v>
      </c>
      <c r="BS189" s="1953">
        <f t="shared" si="189"/>
        <v>3.3000000000000002E-2</v>
      </c>
      <c r="BT189" s="1043">
        <f t="shared" si="189"/>
        <v>2.9000000000000001E-2</v>
      </c>
      <c r="BU189" s="1043">
        <f t="shared" si="189"/>
        <v>4.2999999999999997E-2</v>
      </c>
      <c r="BV189" s="1043">
        <f t="shared" si="189"/>
        <v>4.1000000000000002E-2</v>
      </c>
      <c r="BW189" s="1043">
        <f t="shared" si="189"/>
        <v>4.1000000000000002E-2</v>
      </c>
      <c r="BX189" s="1953">
        <f t="shared" si="189"/>
        <v>3.9E-2</v>
      </c>
      <c r="BY189" s="1043">
        <f t="shared" si="189"/>
        <v>4.8000000000000001E-2</v>
      </c>
      <c r="BZ189" s="1043">
        <f t="shared" si="189"/>
        <v>4.4999999999999998E-2</v>
      </c>
      <c r="CA189" s="1043">
        <f t="shared" si="189"/>
        <v>4.2999999999999997E-2</v>
      </c>
      <c r="CB189" s="2882">
        <f t="shared" si="189"/>
        <v>3.4000000000000002E-2</v>
      </c>
      <c r="CC189" s="2881">
        <f t="shared" si="189"/>
        <v>4.2000000000000003E-2</v>
      </c>
      <c r="CD189" s="1043">
        <f t="shared" si="189"/>
        <v>0.02</v>
      </c>
      <c r="CE189" s="1043">
        <f t="shared" si="189"/>
        <v>0.02</v>
      </c>
      <c r="CF189" s="1043">
        <f t="shared" si="189"/>
        <v>1.9E-2</v>
      </c>
      <c r="CG189" s="1043"/>
      <c r="CH189" s="1280"/>
      <c r="CI189" s="886"/>
      <c r="CJ189" s="886"/>
      <c r="CK189" s="886"/>
      <c r="CL189" s="886"/>
      <c r="CM189" s="1280"/>
      <c r="CN189" s="886"/>
      <c r="CO189" s="886"/>
      <c r="CP189" s="886"/>
      <c r="CQ189" s="886"/>
      <c r="CR189" s="1046"/>
      <c r="CS189" s="1046"/>
      <c r="CT189" s="1046"/>
      <c r="DA189" s="212"/>
      <c r="DB189" s="1226"/>
    </row>
    <row r="190" spans="1:106" x14ac:dyDescent="0.2">
      <c r="A190" s="1434" t="s">
        <v>667</v>
      </c>
      <c r="B190" s="1491"/>
      <c r="C190" s="1494"/>
      <c r="D190" s="1494"/>
      <c r="E190" s="1494"/>
      <c r="F190" s="1493">
        <f>+SUMPRODUCT(B190:E190,$BJ$4:$BM$4)/$BN$4</f>
        <v>0</v>
      </c>
      <c r="G190" s="1491"/>
      <c r="H190" s="1494"/>
      <c r="I190" s="1494"/>
      <c r="J190" s="1494"/>
      <c r="K190" s="1493">
        <f>+SUMPRODUCT(G190:J190,$BJ$4:$BM$4)/$BN$4</f>
        <v>0</v>
      </c>
      <c r="L190" s="1491">
        <v>62.67</v>
      </c>
      <c r="M190" s="1494">
        <v>61.21</v>
      </c>
      <c r="N190" s="1494">
        <v>62.53</v>
      </c>
      <c r="O190" s="1494">
        <v>62.78</v>
      </c>
      <c r="P190" s="1493">
        <f>+SUMPRODUCT(L190:O190,$BJ$4:$BM$4)/$BN$4</f>
        <v>62.33461538461539</v>
      </c>
      <c r="Q190" s="1491">
        <v>63.6</v>
      </c>
      <c r="R190" s="1494">
        <v>63.43</v>
      </c>
      <c r="S190" s="1494">
        <v>64.19</v>
      </c>
      <c r="T190" s="1494">
        <v>62.22</v>
      </c>
      <c r="U190" s="1493">
        <f>+SUMPRODUCT(Q190:T190,$BJ$4:$BM$4)/$BN$4</f>
        <v>63.272307692307692</v>
      </c>
      <c r="V190" s="1491">
        <v>64.44</v>
      </c>
      <c r="W190" s="1494">
        <v>64.2</v>
      </c>
      <c r="X190" s="1494">
        <v>65.53</v>
      </c>
      <c r="Y190" s="1494">
        <v>65.180000000000007</v>
      </c>
      <c r="Z190" s="1493">
        <f>+SUMPRODUCT(V190:Y190,$BJ$4:$BM$4)/$BN$4</f>
        <v>64.863846153846154</v>
      </c>
      <c r="AA190" s="1491">
        <v>71.03</v>
      </c>
      <c r="AB190" s="1494">
        <v>71.89</v>
      </c>
      <c r="AC190" s="1494">
        <v>72.459999999999994</v>
      </c>
      <c r="AD190" s="1494">
        <v>72.993568891399889</v>
      </c>
      <c r="AE190" s="1493">
        <f>+SUMPRODUCT(AA190:AD190,$BJ$4:$BM$4)/$BN$4</f>
        <v>72.162636581969196</v>
      </c>
      <c r="AF190" s="1491">
        <v>78.708755372930469</v>
      </c>
      <c r="AG190" s="1494">
        <v>78.993377842226678</v>
      </c>
      <c r="AH190" s="1494">
        <v>79.281675041987796</v>
      </c>
      <c r="AI190" s="1494">
        <v>80.69483399253734</v>
      </c>
      <c r="AJ190" s="1493">
        <f>+SUMPRODUCT(AF190:AI190,$BJ$4:$BM$4)/$BN$4</f>
        <v>79.517750826275702</v>
      </c>
      <c r="AK190" s="1491">
        <v>87.578026204770154</v>
      </c>
      <c r="AL190" s="1494">
        <v>86.38</v>
      </c>
      <c r="AM190" s="1494">
        <v>87.06</v>
      </c>
      <c r="AN190" s="1494">
        <v>86.76</v>
      </c>
      <c r="AO190" s="1493">
        <f>+SUMPRODUCT(AK190:AN190,$BJ$4:$BM$4)/$BN$4</f>
        <v>86.930313739562351</v>
      </c>
      <c r="AP190" s="1491">
        <v>90.89</v>
      </c>
      <c r="AQ190" s="1494">
        <v>88.98</v>
      </c>
      <c r="AR190" s="1494">
        <v>89.96</v>
      </c>
      <c r="AS190" s="1494">
        <v>87.59</v>
      </c>
      <c r="AT190" s="1493">
        <f>+SUMPRODUCT(AP190:AS190,$BJ$4:$BM$4)/$BN$4</f>
        <v>89.219230769230776</v>
      </c>
      <c r="AU190" s="1491">
        <v>87.61</v>
      </c>
      <c r="AV190" s="1494">
        <v>82.05</v>
      </c>
      <c r="AW190" s="1494">
        <v>80.22</v>
      </c>
      <c r="AX190" s="1494">
        <v>77.98</v>
      </c>
      <c r="AY190" s="1493">
        <f>+SUMPRODUCT(AU190:AX190,$BJ$4:$BM$4)/$BN$4</f>
        <v>81.658461538461538</v>
      </c>
      <c r="AZ190" s="1491">
        <v>80.33</v>
      </c>
      <c r="BA190" s="1494">
        <v>79.84</v>
      </c>
      <c r="BB190" s="1494">
        <v>80.790000000000006</v>
      </c>
      <c r="BC190" s="1494">
        <v>79.3</v>
      </c>
      <c r="BD190" s="1493">
        <f>+SUMPRODUCT(AZ190:BC190,$BJ$4:$BM$4)/$BN$4</f>
        <v>80.006153846153836</v>
      </c>
      <c r="BE190" s="1491">
        <v>82.53</v>
      </c>
      <c r="BF190" s="1494">
        <v>82.82</v>
      </c>
      <c r="BG190" s="1494">
        <v>84.32</v>
      </c>
      <c r="BH190" s="1494">
        <v>83.8</v>
      </c>
      <c r="BI190" s="1493">
        <f>+SUMPRODUCT(BE190:BH190,$BJ$4:$BM$4)/$BN$4</f>
        <v>83.400769230769228</v>
      </c>
      <c r="BJ190" s="1494">
        <v>87.3</v>
      </c>
      <c r="BK190" s="1494">
        <v>89.09</v>
      </c>
      <c r="BL190" s="1494">
        <v>90.26</v>
      </c>
      <c r="BM190" s="1494">
        <v>88.62</v>
      </c>
      <c r="BN190" s="1493">
        <f>+SUMPRODUCT(BJ190:BM190,$BJ$4:$BM$4)/$BN$4</f>
        <v>88.802307692307693</v>
      </c>
      <c r="BO190" s="1494">
        <v>91.89</v>
      </c>
      <c r="BP190" s="1494">
        <v>91.63</v>
      </c>
      <c r="BQ190" s="1494">
        <v>92.53</v>
      </c>
      <c r="BR190" s="1494">
        <v>90.28</v>
      </c>
      <c r="BS190" s="1493">
        <f>+SUMPRODUCT(BO190:BR190,$BJ$4:$BM$4)/$BN$4</f>
        <v>91.482307692307685</v>
      </c>
      <c r="BT190" s="1494">
        <v>94.73</v>
      </c>
      <c r="BU190" s="1494">
        <v>97.36</v>
      </c>
      <c r="BV190" s="1494">
        <v>99.11</v>
      </c>
      <c r="BW190" s="1494">
        <v>95.71</v>
      </c>
      <c r="BX190" s="1493">
        <f>+SUMPRODUCT(BT190:BW190,$BJ$4:$BM$4)/$BN$4</f>
        <v>96.649230769230769</v>
      </c>
      <c r="BY190" s="1494">
        <v>100.97</v>
      </c>
      <c r="BZ190" s="1494">
        <v>102.67</v>
      </c>
      <c r="CA190" s="1494">
        <v>104.11</v>
      </c>
      <c r="CB190" s="1494">
        <v>99.05</v>
      </c>
      <c r="CC190" s="1493">
        <f>+SUMPRODUCT(BY190:CB190,$BT$4:$BW$4)/$BX$4</f>
        <v>101.70134246575341</v>
      </c>
      <c r="CD190" s="1494">
        <v>103.73</v>
      </c>
      <c r="CE190" s="1494">
        <v>106.68</v>
      </c>
      <c r="CF190" s="1494">
        <v>108.73</v>
      </c>
      <c r="CG190" s="3390"/>
      <c r="CH190" s="1493"/>
      <c r="CI190" s="234"/>
      <c r="CJ190" s="234"/>
      <c r="CK190" s="234"/>
      <c r="CL190" s="234"/>
      <c r="CM190" s="1493"/>
      <c r="CN190" s="234"/>
      <c r="CO190" s="234"/>
      <c r="CP190" s="234"/>
      <c r="CQ190" s="234"/>
      <c r="CR190" s="236"/>
      <c r="CS190" s="236"/>
      <c r="CT190" s="236"/>
      <c r="DA190" s="212"/>
      <c r="DB190" s="1226"/>
    </row>
    <row r="191" spans="1:106" x14ac:dyDescent="0.2">
      <c r="A191" s="1595" t="s">
        <v>652</v>
      </c>
      <c r="B191" s="885"/>
      <c r="C191" s="885"/>
      <c r="D191" s="885"/>
      <c r="E191" s="885"/>
      <c r="F191" s="1280"/>
      <c r="G191" s="885"/>
      <c r="H191" s="885"/>
      <c r="I191" s="885"/>
      <c r="J191" s="885"/>
      <c r="K191" s="1280"/>
      <c r="L191" s="885"/>
      <c r="M191" s="885"/>
      <c r="N191" s="885"/>
      <c r="O191" s="885"/>
      <c r="P191" s="1280"/>
      <c r="Q191" s="885">
        <f>Q190/L190-1</f>
        <v>1.4839636189564409E-2</v>
      </c>
      <c r="R191" s="885">
        <f>R190/M190-1</f>
        <v>3.6268583564776913E-2</v>
      </c>
      <c r="S191" s="885">
        <f>S190/N190-1</f>
        <v>2.6547257316487993E-2</v>
      </c>
      <c r="T191" s="885">
        <f>T190/O190-1</f>
        <v>-8.9200382287353275E-3</v>
      </c>
      <c r="U191" s="1280">
        <f>+U190/P190-1</f>
        <v>1.5042882705003979E-2</v>
      </c>
      <c r="V191" s="885">
        <f>V190/Q190-1</f>
        <v>1.3207547169811207E-2</v>
      </c>
      <c r="W191" s="885">
        <f>W190/R190-1</f>
        <v>1.2139366230490278E-2</v>
      </c>
      <c r="X191" s="885">
        <f>X190/S190-1</f>
        <v>2.087552578283236E-2</v>
      </c>
      <c r="Y191" s="885">
        <f>Y190/T190-1</f>
        <v>4.7573127611700627E-2</v>
      </c>
      <c r="Z191" s="1280">
        <f>+Z190/U190-1</f>
        <v>2.5153791912855272E-2</v>
      </c>
      <c r="AA191" s="885">
        <f>AA190/V190-1</f>
        <v>0.10226567349472382</v>
      </c>
      <c r="AB191" s="885">
        <f>AB190/W190-1</f>
        <v>0.11978193146417437</v>
      </c>
      <c r="AC191" s="885">
        <f>AC190/X190-1</f>
        <v>0.10575309018770018</v>
      </c>
      <c r="AD191" s="885">
        <f>AD190/Y190-1</f>
        <v>0.11987678569192828</v>
      </c>
      <c r="AE191" s="1280">
        <f>+AE190/Z190-1</f>
        <v>0.1125247863164256</v>
      </c>
      <c r="AF191" s="885">
        <f>AF190/AA190-1</f>
        <v>0.10810580561636596</v>
      </c>
      <c r="AG191" s="885">
        <f>AG190/AB190-1</f>
        <v>9.8808983756109026E-2</v>
      </c>
      <c r="AH191" s="885">
        <f>AH190/AC190-1</f>
        <v>9.4144011068007183E-2</v>
      </c>
      <c r="AI191" s="885">
        <f>AI190/AD190-1</f>
        <v>0.10550607701611936</v>
      </c>
      <c r="AJ191" s="1280">
        <f>+AJ190/AE190-1</f>
        <v>0.10192413404895295</v>
      </c>
      <c r="AK191" s="885">
        <f>AK190/AF190-1</f>
        <v>0.11268467897651457</v>
      </c>
      <c r="AL191" s="885">
        <f>AL190/AG190-1</f>
        <v>9.3509384704710374E-2</v>
      </c>
      <c r="AM191" s="885">
        <f>AM190/AH190-1</f>
        <v>9.8109997725108311E-2</v>
      </c>
      <c r="AN191" s="885">
        <f>AN190/AI190-1</f>
        <v>7.5161763242781676E-2</v>
      </c>
      <c r="AO191" s="1280">
        <f>+AO190/AJ190-1</f>
        <v>9.3218971063216527E-2</v>
      </c>
      <c r="AP191" s="885">
        <f>AP190/AK190-1</f>
        <v>3.7817406246242191E-2</v>
      </c>
      <c r="AQ191" s="885">
        <f>AQ190/AL190-1</f>
        <v>3.0099560083352683E-2</v>
      </c>
      <c r="AR191" s="885">
        <f>AR190/AM190-1</f>
        <v>3.331036067080162E-2</v>
      </c>
      <c r="AS191" s="885">
        <f>AS190/AN190-1</f>
        <v>9.5666205624711509E-3</v>
      </c>
      <c r="AT191" s="1280">
        <f>+AT190/AO190-1</f>
        <v>2.6330481637577785E-2</v>
      </c>
      <c r="AU191" s="885">
        <f>AU190/AP190-1</f>
        <v>-3.6087578391462261E-2</v>
      </c>
      <c r="AV191" s="885">
        <f>AV190/AQ190-1</f>
        <v>-7.7882670262980569E-2</v>
      </c>
      <c r="AW191" s="885">
        <f>AW190/AR190-1</f>
        <v>-0.1082703423743886</v>
      </c>
      <c r="AX191" s="885">
        <f>AX190/AS190-1</f>
        <v>-0.10971572097271376</v>
      </c>
      <c r="AY191" s="1280">
        <f>+AY190/AT190-1</f>
        <v>-8.4743716859938867E-2</v>
      </c>
      <c r="AZ191" s="885">
        <f>AZ190/AU190-1</f>
        <v>-8.3095537039150846E-2</v>
      </c>
      <c r="BA191" s="885">
        <f>BA190/AV190-1</f>
        <v>-2.693479585618519E-2</v>
      </c>
      <c r="BB191" s="885">
        <f>BB190/AW190-1</f>
        <v>7.1054599850413069E-3</v>
      </c>
      <c r="BC191" s="885">
        <f>BC190/AX190-1</f>
        <v>1.6927417286483726E-2</v>
      </c>
      <c r="BD191" s="1280">
        <f>+BD190/AY190-1</f>
        <v>-2.0234372056219252E-2</v>
      </c>
      <c r="BE191" s="885">
        <f>BE190/AZ190-1</f>
        <v>2.738702850740693E-2</v>
      </c>
      <c r="BF191" s="885">
        <f>BF190/BA190-1</f>
        <v>3.7324649298597024E-2</v>
      </c>
      <c r="BG191" s="885">
        <f>BG190/BB190-1</f>
        <v>4.3693526426537677E-2</v>
      </c>
      <c r="BH191" s="885">
        <f>BH190/BC190-1</f>
        <v>5.6746532156368268E-2</v>
      </c>
      <c r="BI191" s="1280">
        <f>+BI190/BD190-1</f>
        <v>4.2429428505499578E-2</v>
      </c>
      <c r="BJ191" s="885">
        <f>BJ190/BE190-1</f>
        <v>5.7797164667393597E-2</v>
      </c>
      <c r="BK191" s="885">
        <f>BK190/BF190-1</f>
        <v>7.5706351122917237E-2</v>
      </c>
      <c r="BL191" s="885">
        <f>BL190/BG190-1</f>
        <v>7.0445920303605414E-2</v>
      </c>
      <c r="BM191" s="885">
        <f>BM190/BH190-1</f>
        <v>5.7517899761336588E-2</v>
      </c>
      <c r="BN191" s="1280">
        <f>+BN190/BI190-1</f>
        <v>6.4766050857306245E-2</v>
      </c>
      <c r="BO191" s="885">
        <f>BO190/BJ190-1</f>
        <v>5.2577319587628901E-2</v>
      </c>
      <c r="BP191" s="885">
        <f>BP190/BK190-1</f>
        <v>2.8510495005050984E-2</v>
      </c>
      <c r="BQ191" s="885">
        <f>BQ190/BL190-1</f>
        <v>2.5149567914912518E-2</v>
      </c>
      <c r="BR191" s="885">
        <f>BR190/BM190-1</f>
        <v>1.8731663281426281E-2</v>
      </c>
      <c r="BS191" s="1280">
        <f>+BS190/BN190-1</f>
        <v>3.0179395892345084E-2</v>
      </c>
      <c r="BT191" s="885">
        <f>BT190/BO190-1</f>
        <v>3.0906518663619487E-2</v>
      </c>
      <c r="BU191" s="885">
        <f>BU190/BP190-1</f>
        <v>6.2534104550911351E-2</v>
      </c>
      <c r="BV191" s="885">
        <f>BV190/BQ190-1</f>
        <v>7.1112071760510043E-2</v>
      </c>
      <c r="BW191" s="885">
        <f>BW190/BR190-1</f>
        <v>6.0146211785556014E-2</v>
      </c>
      <c r="BX191" s="1280">
        <f>+BX190/BS190-1</f>
        <v>5.648002556189935E-2</v>
      </c>
      <c r="BY191" s="885">
        <f>BY190/BT190-1</f>
        <v>6.5871424047292182E-2</v>
      </c>
      <c r="BZ191" s="885">
        <f>BZ190/BU190-1</f>
        <v>5.4539852095316421E-2</v>
      </c>
      <c r="CA191" s="885">
        <f>CA190/BV190-1</f>
        <v>5.0448996064978324E-2</v>
      </c>
      <c r="CB191" s="885">
        <f>CB190/BW190-1</f>
        <v>3.489708494410193E-2</v>
      </c>
      <c r="CC191" s="1280">
        <f>+CC190/BX190-1</f>
        <v>5.2272652935909658E-2</v>
      </c>
      <c r="CD191" s="885">
        <f>CD190/BY190-1</f>
        <v>2.7334851936218652E-2</v>
      </c>
      <c r="CE191" s="885">
        <f>CE190/BZ190-1</f>
        <v>3.9057173468393991E-2</v>
      </c>
      <c r="CF191" s="885">
        <f>CF190/CA190-1</f>
        <v>4.4376140620497662E-2</v>
      </c>
      <c r="CG191" s="885"/>
      <c r="CH191" s="1280"/>
      <c r="CI191" s="2700"/>
      <c r="CJ191" s="2700"/>
      <c r="CK191" s="2700"/>
      <c r="CL191" s="2700"/>
      <c r="CM191" s="1280"/>
      <c r="CN191" s="2700"/>
      <c r="CO191" s="2700"/>
      <c r="CP191" s="2700"/>
      <c r="CQ191" s="2700"/>
      <c r="CR191" s="1046"/>
      <c r="CS191" s="1046"/>
      <c r="CT191" s="1046"/>
      <c r="DA191" s="212"/>
      <c r="DB191" s="1226"/>
    </row>
    <row r="192" spans="1:106" x14ac:dyDescent="0.2">
      <c r="A192" s="1595" t="s">
        <v>359</v>
      </c>
      <c r="B192" s="1924" t="s">
        <v>673</v>
      </c>
      <c r="C192" s="1924" t="s">
        <v>673</v>
      </c>
      <c r="D192" s="1924" t="s">
        <v>673</v>
      </c>
      <c r="E192" s="1924" t="s">
        <v>673</v>
      </c>
      <c r="F192" s="1890" t="s">
        <v>673</v>
      </c>
      <c r="G192" s="1924" t="s">
        <v>673</v>
      </c>
      <c r="H192" s="1924" t="s">
        <v>673</v>
      </c>
      <c r="I192" s="1924" t="s">
        <v>673</v>
      </c>
      <c r="J192" s="1924" t="s">
        <v>673</v>
      </c>
      <c r="K192" s="1890" t="s">
        <v>673</v>
      </c>
      <c r="L192" s="1924" t="s">
        <v>673</v>
      </c>
      <c r="M192" s="1924" t="s">
        <v>673</v>
      </c>
      <c r="N192" s="1924" t="s">
        <v>673</v>
      </c>
      <c r="O192" s="1924" t="s">
        <v>673</v>
      </c>
      <c r="P192" s="1890" t="s">
        <v>673</v>
      </c>
      <c r="Q192" s="1043">
        <f>+Q623</f>
        <v>1.2E-2</v>
      </c>
      <c r="R192" s="1043">
        <f t="shared" ref="R192:BL192" si="190">+R623</f>
        <v>8.9999999999999993E-3</v>
      </c>
      <c r="S192" s="1043">
        <f t="shared" si="190"/>
        <v>-8.0000000000000002E-3</v>
      </c>
      <c r="T192" s="1043">
        <f t="shared" si="190"/>
        <v>-1.2999999999999999E-2</v>
      </c>
      <c r="U192" s="1953">
        <f t="shared" si="190"/>
        <v>-2E-3</v>
      </c>
      <c r="V192" s="1043">
        <f t="shared" si="190"/>
        <v>7.0000000000000001E-3</v>
      </c>
      <c r="W192" s="1043">
        <f t="shared" si="190"/>
        <v>0.01</v>
      </c>
      <c r="X192" s="1043">
        <f t="shared" si="190"/>
        <v>1.7999999999999999E-2</v>
      </c>
      <c r="Y192" s="1043">
        <f t="shared" si="190"/>
        <v>6.3E-2</v>
      </c>
      <c r="Z192" s="1953">
        <f t="shared" si="190"/>
        <v>2.7E-2</v>
      </c>
      <c r="AA192" s="1043">
        <f t="shared" si="190"/>
        <v>9.2999999999999999E-2</v>
      </c>
      <c r="AB192" s="1043">
        <f t="shared" si="190"/>
        <v>0.105</v>
      </c>
      <c r="AC192" s="1043">
        <f t="shared" si="190"/>
        <v>9.0999999999999998E-2</v>
      </c>
      <c r="AD192" s="1043">
        <f t="shared" si="190"/>
        <v>8.5999999999999993E-2</v>
      </c>
      <c r="AE192" s="1953">
        <f t="shared" si="190"/>
        <v>9.2999999999999999E-2</v>
      </c>
      <c r="AF192" s="1043">
        <f t="shared" si="190"/>
        <v>0.106</v>
      </c>
      <c r="AG192" s="1043">
        <f t="shared" si="190"/>
        <v>0.10299999999999999</v>
      </c>
      <c r="AH192" s="1043">
        <f t="shared" si="190"/>
        <v>9.7000000000000003E-2</v>
      </c>
      <c r="AI192" s="1043">
        <f t="shared" si="190"/>
        <v>0.10299999999999999</v>
      </c>
      <c r="AJ192" s="1953">
        <f t="shared" si="190"/>
        <v>0.10199999999999999</v>
      </c>
      <c r="AK192" s="1043">
        <f t="shared" si="190"/>
        <v>0.108</v>
      </c>
      <c r="AL192" s="1043">
        <f t="shared" si="190"/>
        <v>8.2000000000000003E-2</v>
      </c>
      <c r="AM192" s="1043">
        <f t="shared" si="190"/>
        <v>8.5000000000000006E-2</v>
      </c>
      <c r="AN192" s="1043">
        <f t="shared" si="190"/>
        <v>6.8000000000000005E-2</v>
      </c>
      <c r="AO192" s="1953">
        <f t="shared" si="190"/>
        <v>8.4000000000000005E-2</v>
      </c>
      <c r="AP192" s="1043">
        <f t="shared" si="190"/>
        <v>2.1999999999999999E-2</v>
      </c>
      <c r="AQ192" s="1043">
        <f t="shared" si="190"/>
        <v>1.7000000000000001E-2</v>
      </c>
      <c r="AR192" s="1043">
        <f t="shared" si="190"/>
        <v>2.1000000000000001E-2</v>
      </c>
      <c r="AS192" s="1043">
        <f t="shared" si="190"/>
        <v>-4.0000000000000001E-3</v>
      </c>
      <c r="AT192" s="1953">
        <f t="shared" si="190"/>
        <v>1.2999999999999999E-2</v>
      </c>
      <c r="AU192" s="1043">
        <f t="shared" si="190"/>
        <v>-4.2999999999999997E-2</v>
      </c>
      <c r="AV192" s="1043">
        <f t="shared" si="190"/>
        <v>-8.5999999999999993E-2</v>
      </c>
      <c r="AW192" s="1043">
        <f t="shared" si="190"/>
        <v>-0.113</v>
      </c>
      <c r="AX192" s="1043">
        <f t="shared" si="190"/>
        <v>-0.113</v>
      </c>
      <c r="AY192" s="1953">
        <f t="shared" si="190"/>
        <v>-9.2999999999999999E-2</v>
      </c>
      <c r="AZ192" s="1043">
        <f t="shared" si="190"/>
        <v>-9.7000000000000003E-2</v>
      </c>
      <c r="BA192" s="1043">
        <f t="shared" si="190"/>
        <v>-4.4999999999999998E-2</v>
      </c>
      <c r="BB192" s="1043">
        <f t="shared" si="190"/>
        <v>-1.4E-2</v>
      </c>
      <c r="BC192" s="1043">
        <f t="shared" si="190"/>
        <v>-1E-3</v>
      </c>
      <c r="BD192" s="1953">
        <f t="shared" si="190"/>
        <v>-3.6999999999999998E-2</v>
      </c>
      <c r="BE192" s="1043">
        <f t="shared" si="190"/>
        <v>0.02</v>
      </c>
      <c r="BF192" s="1043">
        <f t="shared" si="190"/>
        <v>3.2000000000000001E-2</v>
      </c>
      <c r="BG192" s="1043">
        <f t="shared" si="190"/>
        <v>0.04</v>
      </c>
      <c r="BH192" s="1043">
        <f t="shared" si="190"/>
        <v>4.9000000000000002E-2</v>
      </c>
      <c r="BI192" s="1953">
        <f t="shared" si="190"/>
        <v>3.6999999999999998E-2</v>
      </c>
      <c r="BJ192" s="1043">
        <f t="shared" si="190"/>
        <v>4.9000000000000002E-2</v>
      </c>
      <c r="BK192" s="1043">
        <f t="shared" si="190"/>
        <v>5.8000000000000003E-2</v>
      </c>
      <c r="BL192" s="1043">
        <f t="shared" si="190"/>
        <v>5.5E-2</v>
      </c>
      <c r="BM192" s="1043">
        <f t="shared" ref="BM192:BS192" si="191">+BM623</f>
        <v>4.2000000000000003E-2</v>
      </c>
      <c r="BN192" s="1953">
        <f t="shared" si="191"/>
        <v>0.05</v>
      </c>
      <c r="BO192" s="1043">
        <f t="shared" si="191"/>
        <v>3.3000000000000002E-2</v>
      </c>
      <c r="BP192" s="1043">
        <f t="shared" si="191"/>
        <v>2.1000000000000001E-2</v>
      </c>
      <c r="BQ192" s="1043">
        <f t="shared" si="191"/>
        <v>1.9E-2</v>
      </c>
      <c r="BR192" s="1043">
        <f t="shared" si="191"/>
        <v>2.5000000000000001E-2</v>
      </c>
      <c r="BS192" s="1953">
        <f t="shared" si="191"/>
        <v>2.4E-2</v>
      </c>
      <c r="BT192" s="1043">
        <f t="shared" ref="BT192:BY192" si="192">+BT623</f>
        <v>2.5999999999999999E-2</v>
      </c>
      <c r="BU192" s="1043">
        <f t="shared" si="192"/>
        <v>5.8000000000000003E-2</v>
      </c>
      <c r="BV192" s="1043">
        <f t="shared" si="192"/>
        <v>6.9000000000000006E-2</v>
      </c>
      <c r="BW192" s="1043">
        <f t="shared" si="192"/>
        <v>5.6000000000000001E-2</v>
      </c>
      <c r="BX192" s="1953">
        <f t="shared" si="192"/>
        <v>5.2999999999999999E-2</v>
      </c>
      <c r="BY192" s="1043">
        <f t="shared" si="192"/>
        <v>6.5000000000000002E-2</v>
      </c>
      <c r="BZ192" s="1043">
        <f t="shared" ref="BZ192:CE192" si="193">+BZ623</f>
        <v>4.7E-2</v>
      </c>
      <c r="CA192" s="1043">
        <f t="shared" si="193"/>
        <v>4.3999999999999997E-2</v>
      </c>
      <c r="CB192" s="2882">
        <f t="shared" si="193"/>
        <v>0.03</v>
      </c>
      <c r="CC192" s="2881">
        <f t="shared" si="193"/>
        <v>4.5999999999999999E-2</v>
      </c>
      <c r="CD192" s="1043">
        <f t="shared" si="193"/>
        <v>1.7999999999999999E-2</v>
      </c>
      <c r="CE192" s="1043">
        <f t="shared" si="193"/>
        <v>2.9000000000000001E-2</v>
      </c>
      <c r="CF192" s="1043">
        <f>+CF623</f>
        <v>3.1E-2</v>
      </c>
      <c r="CG192" s="1043"/>
      <c r="CH192" s="1280"/>
      <c r="CI192" s="886"/>
      <c r="CJ192" s="886"/>
      <c r="CK192" s="886"/>
      <c r="CL192" s="886"/>
      <c r="CM192" s="1280"/>
      <c r="CN192" s="886"/>
      <c r="CO192" s="886"/>
      <c r="CP192" s="886"/>
      <c r="CQ192" s="886"/>
      <c r="CR192" s="1046"/>
      <c r="CS192" s="1046"/>
      <c r="CT192" s="1046"/>
      <c r="DA192" s="212"/>
      <c r="DB192" s="1226"/>
    </row>
    <row r="193" spans="1:106" x14ac:dyDescent="0.2">
      <c r="A193" s="1434" t="s">
        <v>515</v>
      </c>
      <c r="B193" s="1491"/>
      <c r="C193" s="1494"/>
      <c r="D193" s="1494"/>
      <c r="E193" s="1494"/>
      <c r="F193" s="1493">
        <f>+SUMPRODUCT(B193:E193,$BJ$4:$BM$4)/$BN$4</f>
        <v>0</v>
      </c>
      <c r="G193" s="1491"/>
      <c r="H193" s="1494"/>
      <c r="I193" s="1494"/>
      <c r="J193" s="1494"/>
      <c r="K193" s="1493">
        <f>+SUMPRODUCT(G193:J193,$BJ$4:$BM$4)/$BN$4</f>
        <v>0</v>
      </c>
      <c r="L193" s="1491">
        <v>79.92</v>
      </c>
      <c r="M193" s="1494">
        <v>77.86</v>
      </c>
      <c r="N193" s="1494">
        <v>78.13</v>
      </c>
      <c r="O193" s="1494">
        <v>78.239999999999995</v>
      </c>
      <c r="P193" s="1493">
        <f>+SUMPRODUCT(L193:O193,$BJ$4:$BM$4)/$BN$4</f>
        <v>78.514615384615382</v>
      </c>
      <c r="Q193" s="1491">
        <v>81.72</v>
      </c>
      <c r="R193" s="1494">
        <v>80.55</v>
      </c>
      <c r="S193" s="1494">
        <v>81.33</v>
      </c>
      <c r="T193" s="1494">
        <v>78.44</v>
      </c>
      <c r="U193" s="1493">
        <f>+SUMPRODUCT(Q193:T193,$BJ$4:$BM$4)/$BN$4</f>
        <v>80.350769230769231</v>
      </c>
      <c r="V193" s="1491">
        <v>83.78</v>
      </c>
      <c r="W193" s="1494">
        <v>84.66</v>
      </c>
      <c r="X193" s="1494">
        <v>85.22</v>
      </c>
      <c r="Y193" s="1494">
        <v>83.97</v>
      </c>
      <c r="Z193" s="1493">
        <f>+SUMPRODUCT(V193:Y193,$BJ$4:$BM$4)/$BN$4</f>
        <v>84.373846153846145</v>
      </c>
      <c r="AA193" s="1491">
        <v>90.36</v>
      </c>
      <c r="AB193" s="1494">
        <v>91.31</v>
      </c>
      <c r="AC193" s="1494">
        <v>91.36</v>
      </c>
      <c r="AD193" s="1494">
        <v>90.537579588956717</v>
      </c>
      <c r="AE193" s="1493">
        <f>+SUMPRODUCT(AA193:AD193,$BJ$4:$BM$4)/$BN$4</f>
        <v>90.864639873525121</v>
      </c>
      <c r="AF193" s="1491">
        <v>97.684627994167883</v>
      </c>
      <c r="AG193" s="1494">
        <v>98.375163800981497</v>
      </c>
      <c r="AH193" s="1494">
        <v>98.80687213850598</v>
      </c>
      <c r="AI193" s="1494">
        <v>98.652386664680307</v>
      </c>
      <c r="AJ193" s="1493">
        <f>+SUMPRODUCT(AF193:AI193,$BJ$4:$BM$4)/$BN$4</f>
        <v>98.400733727668268</v>
      </c>
      <c r="AK193" s="1491">
        <v>106.30033850279189</v>
      </c>
      <c r="AL193" s="1494">
        <v>107.11</v>
      </c>
      <c r="AM193" s="1494">
        <v>106.36</v>
      </c>
      <c r="AN193" s="1494">
        <v>106.22</v>
      </c>
      <c r="AO193" s="1493">
        <f>+SUMPRODUCT(AK193:AN193,$BJ$4:$BM$4)/$BN$4</f>
        <v>106.47623196218274</v>
      </c>
      <c r="AP193" s="1491">
        <v>111.89</v>
      </c>
      <c r="AQ193" s="1494">
        <v>110.4</v>
      </c>
      <c r="AR193" s="1494">
        <v>108.36</v>
      </c>
      <c r="AS193" s="1494">
        <v>105.44</v>
      </c>
      <c r="AT193" s="1493">
        <f>+SUMPRODUCT(AP193:AS193,$BJ$4:$BM$4)/$BN$4</f>
        <v>108.74692307692307</v>
      </c>
      <c r="AU193" s="1491">
        <v>105.24</v>
      </c>
      <c r="AV193" s="1494">
        <v>100.29</v>
      </c>
      <c r="AW193" s="1494">
        <v>97.97</v>
      </c>
      <c r="AX193" s="1494">
        <v>94.09</v>
      </c>
      <c r="AY193" s="1493">
        <f>+SUMPRODUCT(AU193:AX193,$BJ$4:$BM$4)/$BN$4</f>
        <v>98.989230769230772</v>
      </c>
      <c r="AZ193" s="1491">
        <v>96.55</v>
      </c>
      <c r="BA193" s="1494">
        <v>98.37</v>
      </c>
      <c r="BB193" s="1494">
        <v>98.56</v>
      </c>
      <c r="BC193" s="1494">
        <v>96.33</v>
      </c>
      <c r="BD193" s="1493">
        <f>+SUMPRODUCT(AZ193:BC193,$BJ$4:$BM$4)/$BN$4</f>
        <v>97.36615384615385</v>
      </c>
      <c r="BE193" s="1491">
        <v>98.59</v>
      </c>
      <c r="BF193" s="1494">
        <v>99.91</v>
      </c>
      <c r="BG193" s="1494">
        <v>100.24</v>
      </c>
      <c r="BH193" s="1494">
        <v>98.2</v>
      </c>
      <c r="BI193" s="1493">
        <f>+SUMPRODUCT(BE193:BH193,$BJ$4:$BM$4)/$BN$4</f>
        <v>99.155384615384605</v>
      </c>
      <c r="BJ193" s="1494">
        <v>101.91</v>
      </c>
      <c r="BK193" s="1494">
        <v>104.66</v>
      </c>
      <c r="BL193" s="1494">
        <v>105.67</v>
      </c>
      <c r="BM193" s="1494">
        <v>102.54</v>
      </c>
      <c r="BN193" s="1493">
        <f>+SUMPRODUCT(BJ193:BM193,$BJ$4:$BM$4)/$BN$4</f>
        <v>103.60615384615386</v>
      </c>
      <c r="BO193" s="1494">
        <v>106.04</v>
      </c>
      <c r="BP193" s="1494">
        <v>109.49</v>
      </c>
      <c r="BQ193" s="1494">
        <v>109.1</v>
      </c>
      <c r="BR193" s="1494">
        <v>104.52</v>
      </c>
      <c r="BS193" s="1493">
        <f>+SUMPRODUCT(BO193:BR193,$BJ$4:$BM$4)/$BN$4</f>
        <v>107.07461538461537</v>
      </c>
      <c r="BT193" s="1494">
        <v>109.52</v>
      </c>
      <c r="BU193" s="1494">
        <v>113.96</v>
      </c>
      <c r="BV193" s="1494">
        <v>114.39</v>
      </c>
      <c r="BW193" s="1494">
        <v>109.65</v>
      </c>
      <c r="BX193" s="1493">
        <f>+SUMPRODUCT(BT193:BW193,$BJ$4:$BM$4)/$BN$4</f>
        <v>111.70846153846155</v>
      </c>
      <c r="BY193" s="1494">
        <v>116.45</v>
      </c>
      <c r="BZ193" s="1494">
        <v>121.31</v>
      </c>
      <c r="CA193" s="1494">
        <v>121.48</v>
      </c>
      <c r="CB193" s="1494">
        <v>114.64</v>
      </c>
      <c r="CC193" s="1493">
        <f>+SUMPRODUCT(BY193:CB193,$BT$4:$BW$4)/$BX$4</f>
        <v>118.47328767123288</v>
      </c>
      <c r="CD193" s="1494">
        <v>118.83</v>
      </c>
      <c r="CE193" s="1494">
        <v>124.4</v>
      </c>
      <c r="CF193" s="1494">
        <v>124.29</v>
      </c>
      <c r="CG193" s="3390"/>
      <c r="CH193" s="1493"/>
      <c r="CI193" s="234"/>
      <c r="CJ193" s="234"/>
      <c r="CK193" s="234"/>
      <c r="CL193" s="234"/>
      <c r="CM193" s="1493"/>
      <c r="CN193" s="234"/>
      <c r="CO193" s="234"/>
      <c r="CP193" s="234"/>
      <c r="CQ193" s="234"/>
      <c r="CR193" s="236"/>
      <c r="CS193" s="236"/>
      <c r="CT193" s="236"/>
      <c r="DA193" s="212"/>
      <c r="DB193" s="1226"/>
    </row>
    <row r="194" spans="1:106" x14ac:dyDescent="0.2">
      <c r="A194" s="1595" t="s">
        <v>652</v>
      </c>
      <c r="B194" s="885"/>
      <c r="C194" s="885"/>
      <c r="D194" s="885"/>
      <c r="E194" s="885"/>
      <c r="F194" s="1280"/>
      <c r="G194" s="885"/>
      <c r="H194" s="885"/>
      <c r="I194" s="885"/>
      <c r="J194" s="885"/>
      <c r="K194" s="1280"/>
      <c r="L194" s="885"/>
      <c r="M194" s="885"/>
      <c r="N194" s="885"/>
      <c r="O194" s="885"/>
      <c r="P194" s="1280"/>
      <c r="Q194" s="885">
        <f>Q193/L193-1</f>
        <v>2.2522522522522515E-2</v>
      </c>
      <c r="R194" s="885">
        <f>R193/M193-1</f>
        <v>3.454919085538144E-2</v>
      </c>
      <c r="S194" s="885">
        <f>S193/N193-1</f>
        <v>4.0957378727761506E-2</v>
      </c>
      <c r="T194" s="885">
        <f>T193/O193-1</f>
        <v>2.5562372188139282E-3</v>
      </c>
      <c r="U194" s="1280">
        <f>+U193/P193-1</f>
        <v>2.3386140747925444E-2</v>
      </c>
      <c r="V194" s="885">
        <f>V193/Q193-1</f>
        <v>2.5208027410670519E-2</v>
      </c>
      <c r="W194" s="885">
        <f>W193/R193-1</f>
        <v>5.1024208566107898E-2</v>
      </c>
      <c r="X194" s="885">
        <f>X193/S193-1</f>
        <v>4.7829829091356135E-2</v>
      </c>
      <c r="Y194" s="885">
        <f>Y193/T193-1</f>
        <v>7.0499745028046901E-2</v>
      </c>
      <c r="Z194" s="1280">
        <f>+Z193/U193-1</f>
        <v>5.0068928544075852E-2</v>
      </c>
      <c r="AA194" s="885">
        <f>AA193/V193-1</f>
        <v>7.853903079493918E-2</v>
      </c>
      <c r="AB194" s="885">
        <f>AB193/W193-1</f>
        <v>7.8549492085991046E-2</v>
      </c>
      <c r="AC194" s="885">
        <f>AC193/X193-1</f>
        <v>7.2048814832198937E-2</v>
      </c>
      <c r="AD194" s="885">
        <f>AD193/Y193-1</f>
        <v>7.8213404655909535E-2</v>
      </c>
      <c r="AE194" s="1280">
        <f>+AE193/Z193-1</f>
        <v>7.6928977586771863E-2</v>
      </c>
      <c r="AF194" s="885">
        <f>AF193/AA193-1</f>
        <v>8.1060513437006154E-2</v>
      </c>
      <c r="AG194" s="885">
        <f>AG193/AB193-1</f>
        <v>7.7375575522741213E-2</v>
      </c>
      <c r="AH194" s="885">
        <f>AH193/AC193-1</f>
        <v>8.1511297488025214E-2</v>
      </c>
      <c r="AI194" s="885">
        <f>AI193/AD193-1</f>
        <v>8.9629158550129651E-2</v>
      </c>
      <c r="AJ194" s="1280">
        <f>+AJ193/AE193-1</f>
        <v>8.2937585672850034E-2</v>
      </c>
      <c r="AK194" s="885">
        <f>AK193/AF193-1</f>
        <v>8.8199245731256593E-2</v>
      </c>
      <c r="AL194" s="885">
        <f>AL193/AG193-1</f>
        <v>8.8791071460776028E-2</v>
      </c>
      <c r="AM194" s="885">
        <f>AM193/AH193-1</f>
        <v>7.6443345467976709E-2</v>
      </c>
      <c r="AN194" s="885">
        <f>AN193/AI193-1</f>
        <v>7.6709886006529393E-2</v>
      </c>
      <c r="AO194" s="1280">
        <f>+AO193/AJ193-1</f>
        <v>8.2067459546226962E-2</v>
      </c>
      <c r="AP194" s="885">
        <f>AP193/AK193-1</f>
        <v>5.2583666015901809E-2</v>
      </c>
      <c r="AQ194" s="885">
        <f>AQ193/AL193-1</f>
        <v>3.0716086266455056E-2</v>
      </c>
      <c r="AR194" s="885">
        <f>AR193/AM193-1</f>
        <v>1.8804061677322403E-2</v>
      </c>
      <c r="AS194" s="885">
        <f>AS193/AN193-1</f>
        <v>-7.3432498587836514E-3</v>
      </c>
      <c r="AT194" s="1280">
        <f>+AT193/AO193-1</f>
        <v>2.132580269695139E-2</v>
      </c>
      <c r="AU194" s="885">
        <f>AU193/AP193-1</f>
        <v>-5.9433372061846512E-2</v>
      </c>
      <c r="AV194" s="885">
        <f>AV193/AQ193-1</f>
        <v>-9.1576086956521752E-2</v>
      </c>
      <c r="AW194" s="885">
        <f>AW193/AR193-1</f>
        <v>-9.5884090070136541E-2</v>
      </c>
      <c r="AX194" s="885">
        <f>AX193/AS193-1</f>
        <v>-0.10764415781487091</v>
      </c>
      <c r="AY194" s="1280">
        <f>+AY193/AT193-1</f>
        <v>-8.97284450134751E-2</v>
      </c>
      <c r="AZ194" s="885">
        <f>AZ193/AU193-1</f>
        <v>-8.2573166096541195E-2</v>
      </c>
      <c r="BA194" s="885">
        <f>BA193/AV193-1</f>
        <v>-1.9144481005085257E-2</v>
      </c>
      <c r="BB194" s="885">
        <f>BB193/AW193-1</f>
        <v>6.0222517097070494E-3</v>
      </c>
      <c r="BC194" s="885">
        <f>BC193/AX193-1</f>
        <v>2.3806993304283042E-2</v>
      </c>
      <c r="BD194" s="1280">
        <f>+BD193/AY193-1</f>
        <v>-1.639650000777082E-2</v>
      </c>
      <c r="BE194" s="885">
        <f>BE193/AZ193-1</f>
        <v>2.1128948731227393E-2</v>
      </c>
      <c r="BF194" s="885">
        <f>BF193/BA193-1</f>
        <v>1.5655179424621135E-2</v>
      </c>
      <c r="BG194" s="885">
        <f>BG193/BB193-1</f>
        <v>1.7045454545454364E-2</v>
      </c>
      <c r="BH194" s="885">
        <f>BH193/BC193-1</f>
        <v>1.9412436416485157E-2</v>
      </c>
      <c r="BI194" s="1280">
        <f>+BI193/BD193-1</f>
        <v>1.8376311465048589E-2</v>
      </c>
      <c r="BJ194" s="885">
        <f>BJ193/BE193-1</f>
        <v>3.3674814889948168E-2</v>
      </c>
      <c r="BK194" s="885">
        <f>BK193/BF193-1</f>
        <v>4.7542788509658651E-2</v>
      </c>
      <c r="BL194" s="885">
        <f>BL193/BG193-1</f>
        <v>5.4169992019154067E-2</v>
      </c>
      <c r="BM194" s="885">
        <f>BM193/BH193-1</f>
        <v>4.4195519348268819E-2</v>
      </c>
      <c r="BN194" s="1280">
        <f>+BN193/BI193-1</f>
        <v>4.4886813237964063E-2</v>
      </c>
      <c r="BO194" s="885">
        <f>BO193/BJ193-1</f>
        <v>4.0525954273378462E-2</v>
      </c>
      <c r="BP194" s="885">
        <f>BP193/BK193-1</f>
        <v>4.6149436269826039E-2</v>
      </c>
      <c r="BQ194" s="885">
        <f>BQ193/BL193-1</f>
        <v>3.2459543862969564E-2</v>
      </c>
      <c r="BR194" s="885">
        <f>BR193/BM193-1</f>
        <v>1.9309537741369232E-2</v>
      </c>
      <c r="BS194" s="1280">
        <f>+BS193/BN193-1</f>
        <v>3.3477369921596223E-2</v>
      </c>
      <c r="BT194" s="885">
        <f>BT193/BO193-1</f>
        <v>3.2817804602036871E-2</v>
      </c>
      <c r="BU194" s="885">
        <f>BU193/BP193-1</f>
        <v>4.082564617773321E-2</v>
      </c>
      <c r="BV194" s="885">
        <f>BV193/BQ193-1</f>
        <v>4.8487626031164188E-2</v>
      </c>
      <c r="BW194" s="885">
        <f>BW193/BR193-1</f>
        <v>4.9081515499425965E-2</v>
      </c>
      <c r="BX194" s="1280">
        <f>+BX193/BS193-1</f>
        <v>4.3276794758507986E-2</v>
      </c>
      <c r="BY194" s="885">
        <f>BY193/BT193-1</f>
        <v>6.327611395178967E-2</v>
      </c>
      <c r="BZ194" s="885">
        <f>BZ193/BU193-1</f>
        <v>6.4496314496314655E-2</v>
      </c>
      <c r="CA194" s="885">
        <f>CA193/BV193-1</f>
        <v>6.1980942390069016E-2</v>
      </c>
      <c r="CB194" s="885">
        <f>CB193/BW193-1</f>
        <v>4.5508435932512414E-2</v>
      </c>
      <c r="CC194" s="1280">
        <f>+CC193/BX193-1</f>
        <v>6.0557866786502768E-2</v>
      </c>
      <c r="CD194" s="885">
        <f>CD193/BY193-1</f>
        <v>2.0437956204379493E-2</v>
      </c>
      <c r="CE194" s="885">
        <f>CE193/BZ193-1</f>
        <v>2.5471931415382176E-2</v>
      </c>
      <c r="CF194" s="885">
        <f>CF193/CA193-1</f>
        <v>2.313137965097134E-2</v>
      </c>
      <c r="CG194" s="885"/>
      <c r="CH194" s="1280"/>
      <c r="CI194" s="2700"/>
      <c r="CJ194" s="2700"/>
      <c r="CK194" s="2700"/>
      <c r="CL194" s="2700"/>
      <c r="CM194" s="1280"/>
      <c r="CN194" s="2700"/>
      <c r="CO194" s="2700"/>
      <c r="CP194" s="2700"/>
      <c r="CQ194" s="2700"/>
      <c r="CR194" s="1046"/>
      <c r="CS194" s="1046"/>
      <c r="CT194" s="1046"/>
      <c r="DA194" s="212"/>
      <c r="DB194" s="1226"/>
    </row>
    <row r="195" spans="1:106" s="212" customFormat="1" x14ac:dyDescent="0.2">
      <c r="A195" s="1595" t="s">
        <v>359</v>
      </c>
      <c r="B195" s="1924" t="s">
        <v>673</v>
      </c>
      <c r="C195" s="1924" t="s">
        <v>673</v>
      </c>
      <c r="D195" s="1924" t="s">
        <v>673</v>
      </c>
      <c r="E195" s="1924" t="s">
        <v>673</v>
      </c>
      <c r="F195" s="1890" t="s">
        <v>673</v>
      </c>
      <c r="G195" s="1924" t="s">
        <v>673</v>
      </c>
      <c r="H195" s="1924" t="s">
        <v>673</v>
      </c>
      <c r="I195" s="1924" t="s">
        <v>673</v>
      </c>
      <c r="J195" s="1924" t="s">
        <v>673</v>
      </c>
      <c r="K195" s="1890" t="s">
        <v>673</v>
      </c>
      <c r="L195" s="1924" t="s">
        <v>673</v>
      </c>
      <c r="M195" s="1924" t="s">
        <v>673</v>
      </c>
      <c r="N195" s="1924" t="s">
        <v>673</v>
      </c>
      <c r="O195" s="1924" t="s">
        <v>673</v>
      </c>
      <c r="P195" s="1890" t="s">
        <v>673</v>
      </c>
      <c r="Q195" s="1043">
        <f>+Q624</f>
        <v>1.7999999999999999E-2</v>
      </c>
      <c r="R195" s="1043">
        <f t="shared" ref="R195:BL195" si="194">+R624</f>
        <v>0.01</v>
      </c>
      <c r="S195" s="1043">
        <f t="shared" si="194"/>
        <v>1.7000000000000001E-2</v>
      </c>
      <c r="T195" s="1043">
        <f t="shared" si="194"/>
        <v>6.0000000000000001E-3</v>
      </c>
      <c r="U195" s="1953">
        <f t="shared" si="194"/>
        <v>1.2999999999999999E-2</v>
      </c>
      <c r="V195" s="1043">
        <f t="shared" si="194"/>
        <v>2.5999999999999999E-2</v>
      </c>
      <c r="W195" s="1043">
        <f t="shared" si="194"/>
        <v>4.2999999999999997E-2</v>
      </c>
      <c r="X195" s="1043">
        <f t="shared" si="194"/>
        <v>3.5000000000000003E-2</v>
      </c>
      <c r="Y195" s="1043">
        <f t="shared" si="194"/>
        <v>5.8000000000000003E-2</v>
      </c>
      <c r="Z195" s="1953">
        <f t="shared" si="194"/>
        <v>4.2000000000000003E-2</v>
      </c>
      <c r="AA195" s="1043">
        <f t="shared" si="194"/>
        <v>8.5999999999999993E-2</v>
      </c>
      <c r="AB195" s="1043">
        <f t="shared" si="194"/>
        <v>9.1999999999999998E-2</v>
      </c>
      <c r="AC195" s="1043">
        <f t="shared" si="194"/>
        <v>8.8999999999999996E-2</v>
      </c>
      <c r="AD195" s="1043">
        <f t="shared" si="194"/>
        <v>9.1999999999999998E-2</v>
      </c>
      <c r="AE195" s="1953">
        <f t="shared" si="194"/>
        <v>9.0999999999999998E-2</v>
      </c>
      <c r="AF195" s="1043">
        <f t="shared" si="194"/>
        <v>0.10199999999999999</v>
      </c>
      <c r="AG195" s="1043">
        <f t="shared" si="194"/>
        <v>0.1</v>
      </c>
      <c r="AH195" s="1043">
        <f t="shared" si="194"/>
        <v>0.1</v>
      </c>
      <c r="AI195" s="1043">
        <f t="shared" si="194"/>
        <v>9.1999999999999998E-2</v>
      </c>
      <c r="AJ195" s="1953">
        <f t="shared" si="194"/>
        <v>9.8000000000000004E-2</v>
      </c>
      <c r="AK195" s="1043">
        <f t="shared" si="194"/>
        <v>7.5999999999999998E-2</v>
      </c>
      <c r="AL195" s="1043">
        <f t="shared" si="194"/>
        <v>6.4000000000000001E-2</v>
      </c>
      <c r="AM195" s="1043">
        <f t="shared" si="194"/>
        <v>5.5E-2</v>
      </c>
      <c r="AN195" s="1043">
        <f t="shared" si="194"/>
        <v>6.7000000000000004E-2</v>
      </c>
      <c r="AO195" s="1953">
        <f t="shared" si="194"/>
        <v>6.5000000000000002E-2</v>
      </c>
      <c r="AP195" s="1043">
        <f t="shared" si="194"/>
        <v>3.5000000000000003E-2</v>
      </c>
      <c r="AQ195" s="1043">
        <f t="shared" si="194"/>
        <v>0.02</v>
      </c>
      <c r="AR195" s="1043">
        <f t="shared" si="194"/>
        <v>6.0000000000000001E-3</v>
      </c>
      <c r="AS195" s="1043">
        <f t="shared" si="194"/>
        <v>-1.7999999999999999E-2</v>
      </c>
      <c r="AT195" s="1953">
        <f t="shared" si="194"/>
        <v>8.9999999999999993E-3</v>
      </c>
      <c r="AU195" s="1043">
        <f t="shared" si="194"/>
        <v>-5.8000000000000003E-2</v>
      </c>
      <c r="AV195" s="1043">
        <f t="shared" si="194"/>
        <v>-9.1999999999999998E-2</v>
      </c>
      <c r="AW195" s="1043">
        <f t="shared" si="194"/>
        <v>-0.107</v>
      </c>
      <c r="AX195" s="1043">
        <f t="shared" si="194"/>
        <v>-0.104</v>
      </c>
      <c r="AY195" s="1953">
        <f t="shared" si="194"/>
        <v>-9.4E-2</v>
      </c>
      <c r="AZ195" s="1043">
        <f t="shared" si="194"/>
        <v>-8.5000000000000006E-2</v>
      </c>
      <c r="BA195" s="1043">
        <f t="shared" si="194"/>
        <v>-2.8000000000000001E-2</v>
      </c>
      <c r="BB195" s="1043">
        <f t="shared" si="194"/>
        <v>1E-3</v>
      </c>
      <c r="BC195" s="1043">
        <f t="shared" si="194"/>
        <v>1.6E-2</v>
      </c>
      <c r="BD195" s="1953">
        <f t="shared" si="194"/>
        <v>-2.1999999999999999E-2</v>
      </c>
      <c r="BE195" s="1043">
        <f t="shared" si="194"/>
        <v>2.7E-2</v>
      </c>
      <c r="BF195" s="1043">
        <f t="shared" si="194"/>
        <v>2.5999999999999999E-2</v>
      </c>
      <c r="BG195" s="1043">
        <f t="shared" si="194"/>
        <v>2.3E-2</v>
      </c>
      <c r="BH195" s="1043">
        <f t="shared" si="194"/>
        <v>2.5999999999999999E-2</v>
      </c>
      <c r="BI195" s="1953">
        <f t="shared" si="194"/>
        <v>2.5000000000000001E-2</v>
      </c>
      <c r="BJ195" s="1043">
        <f t="shared" si="194"/>
        <v>2.9000000000000001E-2</v>
      </c>
      <c r="BK195" s="1043">
        <f t="shared" si="194"/>
        <v>4.1000000000000002E-2</v>
      </c>
      <c r="BL195" s="1043">
        <f t="shared" si="194"/>
        <v>4.5999999999999999E-2</v>
      </c>
      <c r="BM195" s="1043">
        <f t="shared" ref="BM195:BS195" si="195">+BM624</f>
        <v>3.5999999999999997E-2</v>
      </c>
      <c r="BN195" s="1953">
        <f t="shared" si="195"/>
        <v>3.7999999999999999E-2</v>
      </c>
      <c r="BO195" s="1043">
        <f t="shared" si="195"/>
        <v>3.6999999999999998E-2</v>
      </c>
      <c r="BP195" s="1043">
        <f t="shared" si="195"/>
        <v>3.5999999999999997E-2</v>
      </c>
      <c r="BQ195" s="1043">
        <f t="shared" si="195"/>
        <v>3.1E-2</v>
      </c>
      <c r="BR195" s="1043">
        <f t="shared" si="195"/>
        <v>2.5999999999999999E-2</v>
      </c>
      <c r="BS195" s="1953">
        <f t="shared" si="195"/>
        <v>3.3000000000000002E-2</v>
      </c>
      <c r="BT195" s="1043">
        <f t="shared" ref="BT195:BY195" si="196">+BT624</f>
        <v>2.9000000000000001E-2</v>
      </c>
      <c r="BU195" s="1043">
        <f t="shared" si="196"/>
        <v>3.6999999999999998E-2</v>
      </c>
      <c r="BV195" s="1043">
        <f t="shared" si="196"/>
        <v>4.3999999999999997E-2</v>
      </c>
      <c r="BW195" s="1043">
        <f t="shared" si="196"/>
        <v>4.2999999999999997E-2</v>
      </c>
      <c r="BX195" s="1953">
        <f t="shared" si="196"/>
        <v>3.9E-2</v>
      </c>
      <c r="BY195" s="1043">
        <f t="shared" si="196"/>
        <v>5.5E-2</v>
      </c>
      <c r="BZ195" s="1043">
        <f t="shared" ref="BZ195:CE195" si="197">+BZ624</f>
        <v>5.2999999999999999E-2</v>
      </c>
      <c r="CA195" s="1043">
        <f t="shared" si="197"/>
        <v>4.8000000000000001E-2</v>
      </c>
      <c r="CB195" s="2882">
        <f t="shared" si="197"/>
        <v>3.5000000000000003E-2</v>
      </c>
      <c r="CC195" s="2881">
        <f t="shared" si="197"/>
        <v>4.8000000000000001E-2</v>
      </c>
      <c r="CD195" s="1043">
        <f t="shared" si="197"/>
        <v>1.9E-2</v>
      </c>
      <c r="CE195" s="1043">
        <f t="shared" si="197"/>
        <v>2.3E-2</v>
      </c>
      <c r="CF195" s="1043">
        <f>+CF624</f>
        <v>1.7999999999999999E-2</v>
      </c>
      <c r="CG195" s="1043"/>
      <c r="CH195" s="1280"/>
      <c r="CI195" s="886"/>
      <c r="CJ195" s="886"/>
      <c r="CK195" s="886"/>
      <c r="CL195" s="886"/>
      <c r="CM195" s="1280"/>
      <c r="CN195" s="886"/>
      <c r="CO195" s="886"/>
      <c r="CP195" s="886"/>
      <c r="CQ195" s="886"/>
      <c r="CR195" s="1046"/>
      <c r="CS195" s="1046"/>
      <c r="CT195" s="1046"/>
      <c r="CV195" s="374"/>
      <c r="CW195" s="374"/>
      <c r="CX195" s="374"/>
      <c r="DB195" s="1226"/>
    </row>
    <row r="196" spans="1:106" s="212" customFormat="1" ht="4.5" customHeight="1" x14ac:dyDescent="0.2">
      <c r="A196" s="1595"/>
      <c r="B196" s="1924"/>
      <c r="C196" s="1924"/>
      <c r="D196" s="1924"/>
      <c r="E196" s="1924"/>
      <c r="F196" s="1890"/>
      <c r="G196" s="1924"/>
      <c r="H196" s="1924"/>
      <c r="I196" s="1924"/>
      <c r="J196" s="1924"/>
      <c r="K196" s="1890"/>
      <c r="L196" s="1924"/>
      <c r="M196" s="1924"/>
      <c r="N196" s="1924"/>
      <c r="O196" s="1924"/>
      <c r="P196" s="1890"/>
      <c r="Q196" s="1043"/>
      <c r="R196" s="1043"/>
      <c r="S196" s="1043"/>
      <c r="T196" s="1043"/>
      <c r="U196" s="1953"/>
      <c r="V196" s="1043"/>
      <c r="W196" s="1043"/>
      <c r="X196" s="1043"/>
      <c r="Y196" s="1043"/>
      <c r="Z196" s="1953"/>
      <c r="AA196" s="1043"/>
      <c r="AB196" s="1043"/>
      <c r="AC196" s="1043"/>
      <c r="AD196" s="1043"/>
      <c r="AE196" s="1953"/>
      <c r="AF196" s="1043"/>
      <c r="AG196" s="1043"/>
      <c r="AH196" s="1043"/>
      <c r="AI196" s="1043"/>
      <c r="AJ196" s="1953"/>
      <c r="AK196" s="1043"/>
      <c r="AL196" s="1043"/>
      <c r="AM196" s="1043"/>
      <c r="AN196" s="1043"/>
      <c r="AO196" s="1953"/>
      <c r="AP196" s="1043"/>
      <c r="AQ196" s="1043"/>
      <c r="AR196" s="1043"/>
      <c r="AS196" s="1043"/>
      <c r="AT196" s="1953"/>
      <c r="AU196" s="1043"/>
      <c r="AV196" s="1043"/>
      <c r="AW196" s="1043"/>
      <c r="AX196" s="1043"/>
      <c r="AY196" s="1953"/>
      <c r="AZ196" s="1043"/>
      <c r="BA196" s="1043"/>
      <c r="BB196" s="1043"/>
      <c r="BC196" s="1043"/>
      <c r="BD196" s="1953"/>
      <c r="BE196" s="1043"/>
      <c r="BF196" s="1043"/>
      <c r="BG196" s="1043"/>
      <c r="BH196" s="1043"/>
      <c r="BI196" s="1953"/>
      <c r="BJ196" s="1043"/>
      <c r="BK196" s="1043"/>
      <c r="BL196" s="1043"/>
      <c r="BM196" s="1043"/>
      <c r="BN196" s="1953"/>
      <c r="BO196" s="1043"/>
      <c r="BP196" s="1043"/>
      <c r="BQ196" s="1043"/>
      <c r="BR196" s="1043"/>
      <c r="BS196" s="1953"/>
      <c r="BT196" s="1043"/>
      <c r="BU196" s="1043"/>
      <c r="BV196" s="1043"/>
      <c r="BW196" s="1043"/>
      <c r="BX196" s="1953"/>
      <c r="BY196" s="1043"/>
      <c r="BZ196" s="1043"/>
      <c r="CA196" s="1043"/>
      <c r="CB196" s="2882"/>
      <c r="CC196" s="2881"/>
      <c r="CD196" s="1043"/>
      <c r="CE196" s="1043"/>
      <c r="CF196" s="886"/>
      <c r="CG196" s="886"/>
      <c r="CH196" s="1280"/>
      <c r="CI196" s="886"/>
      <c r="CJ196" s="886"/>
      <c r="CK196" s="886"/>
      <c r="CL196" s="886"/>
      <c r="CM196" s="1280"/>
      <c r="CN196" s="886"/>
      <c r="CO196" s="886"/>
      <c r="CP196" s="886"/>
      <c r="CQ196" s="886"/>
      <c r="CR196" s="1046"/>
      <c r="CS196" s="1046"/>
      <c r="CT196" s="1046"/>
      <c r="CV196" s="374"/>
      <c r="CW196" s="374"/>
      <c r="CX196" s="374"/>
      <c r="DB196" s="1226"/>
    </row>
    <row r="197" spans="1:106" s="212" customFormat="1" x14ac:dyDescent="0.2">
      <c r="A197" s="2765" t="s">
        <v>2454</v>
      </c>
      <c r="B197" s="1924"/>
      <c r="C197" s="1924"/>
      <c r="D197" s="1924"/>
      <c r="E197" s="1924"/>
      <c r="F197" s="1890"/>
      <c r="G197" s="1924"/>
      <c r="H197" s="1924"/>
      <c r="I197" s="1924"/>
      <c r="J197" s="1924"/>
      <c r="K197" s="1890"/>
      <c r="L197" s="1924"/>
      <c r="M197" s="1924"/>
      <c r="N197" s="1924"/>
      <c r="O197" s="1924"/>
      <c r="P197" s="1890"/>
      <c r="Q197" s="1043"/>
      <c r="R197" s="1043"/>
      <c r="S197" s="1043"/>
      <c r="T197" s="1043"/>
      <c r="U197" s="1953"/>
      <c r="V197" s="1043"/>
      <c r="W197" s="1043"/>
      <c r="X197" s="1043"/>
      <c r="Y197" s="1043"/>
      <c r="Z197" s="1953"/>
      <c r="AA197" s="1043"/>
      <c r="AB197" s="1043"/>
      <c r="AC197" s="1043"/>
      <c r="AD197" s="1043"/>
      <c r="AE197" s="1953"/>
      <c r="AF197" s="1043"/>
      <c r="AG197" s="1043"/>
      <c r="AH197" s="1043"/>
      <c r="AI197" s="1043"/>
      <c r="AJ197" s="1953"/>
      <c r="AK197" s="1043"/>
      <c r="AL197" s="1043"/>
      <c r="AM197" s="1043"/>
      <c r="AN197" s="1043"/>
      <c r="AO197" s="1953"/>
      <c r="AP197" s="1043"/>
      <c r="AQ197" s="1043"/>
      <c r="AR197" s="1043"/>
      <c r="AS197" s="1043"/>
      <c r="AT197" s="1953"/>
      <c r="AU197" s="1043"/>
      <c r="AV197" s="1043"/>
      <c r="AW197" s="1043"/>
      <c r="AX197" s="1043"/>
      <c r="AY197" s="1953"/>
      <c r="AZ197" s="1043"/>
      <c r="BA197" s="1043"/>
      <c r="BB197" s="1043"/>
      <c r="BC197" s="1043"/>
      <c r="BD197" s="1953"/>
      <c r="BE197" s="1043"/>
      <c r="BF197" s="1043"/>
      <c r="BG197" s="1043"/>
      <c r="BH197" s="1043"/>
      <c r="BI197" s="1953"/>
      <c r="BJ197" s="1043"/>
      <c r="BK197" s="1043"/>
      <c r="BL197" s="1043"/>
      <c r="BM197" s="1043"/>
      <c r="BN197" s="1953"/>
      <c r="BO197" s="1043"/>
      <c r="BP197" s="1043"/>
      <c r="BQ197" s="1043"/>
      <c r="BR197" s="1043"/>
      <c r="BS197" s="1953"/>
      <c r="BT197" s="1043"/>
      <c r="BU197" s="1043"/>
      <c r="BV197" s="1043"/>
      <c r="BW197" s="1043"/>
      <c r="BX197" s="1953"/>
      <c r="BY197" s="1043"/>
      <c r="BZ197" s="1043"/>
      <c r="CA197" s="1043"/>
      <c r="CB197" s="2987">
        <v>154.16999999999999</v>
      </c>
      <c r="CC197" s="3036">
        <v>153.80797260273974</v>
      </c>
      <c r="CD197" s="2987">
        <v>153.68</v>
      </c>
      <c r="CE197" s="2987">
        <v>160.08000000000001</v>
      </c>
      <c r="CF197" s="2987">
        <v>158.20417500000002</v>
      </c>
      <c r="CG197" s="1494"/>
      <c r="CH197" s="2401"/>
      <c r="CI197" s="2644"/>
      <c r="CJ197" s="2644"/>
      <c r="CK197" s="2644"/>
      <c r="CL197" s="2644"/>
      <c r="CM197" s="2401"/>
      <c r="CN197" s="2644"/>
      <c r="CO197" s="2644"/>
      <c r="CP197" s="2644"/>
      <c r="CQ197" s="2644"/>
      <c r="CR197" s="2401"/>
      <c r="CS197" s="2401"/>
      <c r="CT197" s="2401"/>
      <c r="CV197" s="374"/>
      <c r="CW197" s="374"/>
      <c r="CX197" s="374"/>
      <c r="DB197" s="1226"/>
    </row>
    <row r="198" spans="1:106" s="212" customFormat="1" x14ac:dyDescent="0.2">
      <c r="A198" s="1737" t="s">
        <v>2469</v>
      </c>
      <c r="B198" s="1924"/>
      <c r="C198" s="1924"/>
      <c r="D198" s="1924"/>
      <c r="E198" s="1924"/>
      <c r="F198" s="1890"/>
      <c r="G198" s="1924"/>
      <c r="H198" s="1924"/>
      <c r="I198" s="1924"/>
      <c r="J198" s="1924"/>
      <c r="K198" s="1890"/>
      <c r="L198" s="1924"/>
      <c r="M198" s="1924"/>
      <c r="N198" s="1924"/>
      <c r="O198" s="1924"/>
      <c r="P198" s="1890"/>
      <c r="Q198" s="1043"/>
      <c r="R198" s="1043"/>
      <c r="S198" s="1043"/>
      <c r="T198" s="1043"/>
      <c r="U198" s="1953"/>
      <c r="V198" s="1043"/>
      <c r="W198" s="1043"/>
      <c r="X198" s="1043"/>
      <c r="Y198" s="1043"/>
      <c r="Z198" s="1953"/>
      <c r="AA198" s="1043"/>
      <c r="AB198" s="1043"/>
      <c r="AC198" s="1043"/>
      <c r="AD198" s="1043"/>
      <c r="AE198" s="1953"/>
      <c r="AF198" s="1043"/>
      <c r="AG198" s="1043"/>
      <c r="AH198" s="1043"/>
      <c r="AI198" s="1043"/>
      <c r="AJ198" s="1953"/>
      <c r="AK198" s="1043"/>
      <c r="AL198" s="1043"/>
      <c r="AM198" s="1043"/>
      <c r="AN198" s="1043"/>
      <c r="AO198" s="1953"/>
      <c r="AP198" s="1043"/>
      <c r="AQ198" s="1043"/>
      <c r="AR198" s="1043"/>
      <c r="AS198" s="1043"/>
      <c r="AT198" s="1953"/>
      <c r="AU198" s="1043"/>
      <c r="AV198" s="1043"/>
      <c r="AW198" s="1043"/>
      <c r="AX198" s="1043"/>
      <c r="AY198" s="1953"/>
      <c r="AZ198" s="1043"/>
      <c r="BA198" s="1043"/>
      <c r="BB198" s="1043"/>
      <c r="BC198" s="1043"/>
      <c r="BD198" s="1953"/>
      <c r="BE198" s="1043"/>
      <c r="BF198" s="1043"/>
      <c r="BG198" s="1043"/>
      <c r="BH198" s="1043"/>
      <c r="BI198" s="1953"/>
      <c r="BJ198" s="1043"/>
      <c r="BK198" s="1043"/>
      <c r="BL198" s="1043"/>
      <c r="BM198" s="1043"/>
      <c r="BN198" s="1953"/>
      <c r="BO198" s="1043"/>
      <c r="BP198" s="1043"/>
      <c r="BQ198" s="1043"/>
      <c r="BR198" s="1043"/>
      <c r="BS198" s="1953"/>
      <c r="BT198" s="1043"/>
      <c r="BU198" s="1043"/>
      <c r="BV198" s="1043"/>
      <c r="BW198" s="1043"/>
      <c r="BX198" s="1953"/>
      <c r="BY198" s="1043"/>
      <c r="BZ198" s="1043"/>
      <c r="CA198" s="1043"/>
      <c r="CB198" s="2882">
        <v>1.7825311942958999E-2</v>
      </c>
      <c r="CC198" s="2881">
        <v>1.9865796781877165E-2</v>
      </c>
      <c r="CD198" s="2882">
        <v>2.7204063899471942E-2</v>
      </c>
      <c r="CE198" s="2882">
        <v>1.6832878104554361E-2</v>
      </c>
      <c r="CF198" s="2882">
        <v>2.75E-2</v>
      </c>
      <c r="CG198" s="885"/>
      <c r="CH198" s="1044"/>
      <c r="CI198" s="2884"/>
      <c r="CJ198" s="2884"/>
      <c r="CK198" s="2884"/>
      <c r="CL198" s="2884"/>
      <c r="CM198" s="1044"/>
      <c r="CN198" s="2884"/>
      <c r="CO198" s="2884"/>
      <c r="CP198" s="2884"/>
      <c r="CQ198" s="2884"/>
      <c r="CR198" s="2908"/>
      <c r="CS198" s="2908"/>
      <c r="CT198" s="2908"/>
      <c r="CV198" s="374"/>
      <c r="CW198" s="374"/>
      <c r="CX198" s="374"/>
      <c r="DB198" s="1226"/>
    </row>
    <row r="199" spans="1:106" s="212" customFormat="1" x14ac:dyDescent="0.2">
      <c r="A199" s="2765" t="s">
        <v>2470</v>
      </c>
      <c r="B199" s="1924"/>
      <c r="C199" s="1924"/>
      <c r="D199" s="1924"/>
      <c r="E199" s="1924"/>
      <c r="F199" s="1890"/>
      <c r="G199" s="1924"/>
      <c r="H199" s="1924"/>
      <c r="I199" s="1924"/>
      <c r="J199" s="1924"/>
      <c r="K199" s="1890"/>
      <c r="L199" s="1924"/>
      <c r="M199" s="1924"/>
      <c r="N199" s="1924"/>
      <c r="O199" s="1924"/>
      <c r="P199" s="1890"/>
      <c r="Q199" s="1043"/>
      <c r="R199" s="1043"/>
      <c r="S199" s="1043"/>
      <c r="T199" s="1043"/>
      <c r="U199" s="1953"/>
      <c r="V199" s="1043"/>
      <c r="W199" s="1043"/>
      <c r="X199" s="1043"/>
      <c r="Y199" s="1043"/>
      <c r="Z199" s="1953"/>
      <c r="AA199" s="1043"/>
      <c r="AB199" s="1043"/>
      <c r="AC199" s="1043"/>
      <c r="AD199" s="1043"/>
      <c r="AE199" s="1953"/>
      <c r="AF199" s="1043"/>
      <c r="AG199" s="1043"/>
      <c r="AH199" s="1043"/>
      <c r="AI199" s="1043"/>
      <c r="AJ199" s="1953"/>
      <c r="AK199" s="1043"/>
      <c r="AL199" s="1043"/>
      <c r="AM199" s="1043"/>
      <c r="AN199" s="1043"/>
      <c r="AO199" s="1953"/>
      <c r="AP199" s="1043"/>
      <c r="AQ199" s="1043"/>
      <c r="AR199" s="1043"/>
      <c r="AS199" s="1043"/>
      <c r="AT199" s="1953"/>
      <c r="AU199" s="1043"/>
      <c r="AV199" s="1043"/>
      <c r="AW199" s="1043"/>
      <c r="AX199" s="1043"/>
      <c r="AY199" s="1953"/>
      <c r="AZ199" s="1043"/>
      <c r="BA199" s="1043"/>
      <c r="BB199" s="1043"/>
      <c r="BC199" s="1043"/>
      <c r="BD199" s="1953"/>
      <c r="BE199" s="1043"/>
      <c r="BF199" s="1043"/>
      <c r="BG199" s="1043"/>
      <c r="BH199" s="1043"/>
      <c r="BI199" s="1953"/>
      <c r="BJ199" s="1043"/>
      <c r="BK199" s="1043"/>
      <c r="BL199" s="1043"/>
      <c r="BM199" s="1043"/>
      <c r="BN199" s="1953"/>
      <c r="BO199" s="1043"/>
      <c r="BP199" s="1043"/>
      <c r="BQ199" s="1043"/>
      <c r="BR199" s="1043"/>
      <c r="BS199" s="1953"/>
      <c r="BT199" s="1043"/>
      <c r="BU199" s="1043"/>
      <c r="BV199" s="1043"/>
      <c r="BW199" s="1043"/>
      <c r="BX199" s="1953"/>
      <c r="BY199" s="1043"/>
      <c r="BZ199" s="1043"/>
      <c r="CA199" s="1043"/>
      <c r="CB199" s="2987">
        <v>189.26</v>
      </c>
      <c r="CC199" s="3036">
        <v>188.09035616438356</v>
      </c>
      <c r="CD199" s="2987">
        <v>191.92</v>
      </c>
      <c r="CE199" s="2987">
        <v>198.52</v>
      </c>
      <c r="CF199" s="2987">
        <v>191.34044999999998</v>
      </c>
      <c r="CG199" s="1494"/>
      <c r="CH199" s="2401"/>
      <c r="CI199" s="2644"/>
      <c r="CJ199" s="2644"/>
      <c r="CK199" s="2644"/>
      <c r="CL199" s="2644"/>
      <c r="CM199" s="2401"/>
      <c r="CN199" s="2644"/>
      <c r="CO199" s="2644"/>
      <c r="CP199" s="2644"/>
      <c r="CQ199" s="2644"/>
      <c r="CR199" s="2401"/>
      <c r="CS199" s="2401"/>
      <c r="CT199" s="2401"/>
      <c r="CV199" s="374"/>
      <c r="CW199" s="374"/>
      <c r="CX199" s="374"/>
      <c r="DB199" s="1226"/>
    </row>
    <row r="200" spans="1:106" s="212" customFormat="1" x14ac:dyDescent="0.2">
      <c r="A200" s="1737" t="s">
        <v>2469</v>
      </c>
      <c r="B200" s="1924"/>
      <c r="C200" s="1924"/>
      <c r="D200" s="1924"/>
      <c r="E200" s="1924"/>
      <c r="F200" s="1890"/>
      <c r="G200" s="1924"/>
      <c r="H200" s="1924"/>
      <c r="I200" s="1924"/>
      <c r="J200" s="1924"/>
      <c r="K200" s="1890"/>
      <c r="L200" s="1924"/>
      <c r="M200" s="1924"/>
      <c r="N200" s="1924"/>
      <c r="O200" s="1924"/>
      <c r="P200" s="1890"/>
      <c r="Q200" s="1043"/>
      <c r="R200" s="1043"/>
      <c r="S200" s="1043"/>
      <c r="T200" s="1043"/>
      <c r="U200" s="1953"/>
      <c r="V200" s="1043"/>
      <c r="W200" s="1043"/>
      <c r="X200" s="1043"/>
      <c r="Y200" s="1043"/>
      <c r="Z200" s="1953"/>
      <c r="AA200" s="1043"/>
      <c r="AB200" s="1043"/>
      <c r="AC200" s="1043"/>
      <c r="AD200" s="1043"/>
      <c r="AE200" s="1953"/>
      <c r="AF200" s="1043"/>
      <c r="AG200" s="1043"/>
      <c r="AH200" s="1043"/>
      <c r="AI200" s="1043"/>
      <c r="AJ200" s="1953"/>
      <c r="AK200" s="1043"/>
      <c r="AL200" s="1043"/>
      <c r="AM200" s="1043"/>
      <c r="AN200" s="1043"/>
      <c r="AO200" s="1953"/>
      <c r="AP200" s="1043"/>
      <c r="AQ200" s="1043"/>
      <c r="AR200" s="1043"/>
      <c r="AS200" s="1043"/>
      <c r="AT200" s="1953"/>
      <c r="AU200" s="1043"/>
      <c r="AV200" s="1043"/>
      <c r="AW200" s="1043"/>
      <c r="AX200" s="1043"/>
      <c r="AY200" s="1953"/>
      <c r="AZ200" s="1043"/>
      <c r="BA200" s="1043"/>
      <c r="BB200" s="1043"/>
      <c r="BC200" s="1043"/>
      <c r="BD200" s="1953"/>
      <c r="BE200" s="1043"/>
      <c r="BF200" s="1043"/>
      <c r="BG200" s="1043"/>
      <c r="BH200" s="1043"/>
      <c r="BI200" s="1953"/>
      <c r="BJ200" s="1043"/>
      <c r="BK200" s="1043"/>
      <c r="BL200" s="1043"/>
      <c r="BM200" s="1043"/>
      <c r="BN200" s="1953"/>
      <c r="BO200" s="1043"/>
      <c r="BP200" s="1043"/>
      <c r="BQ200" s="1043"/>
      <c r="BR200" s="1043"/>
      <c r="BS200" s="1953"/>
      <c r="BT200" s="1043"/>
      <c r="BU200" s="1043"/>
      <c r="BV200" s="1043"/>
      <c r="BW200" s="1043"/>
      <c r="BX200" s="1953"/>
      <c r="BY200" s="1043"/>
      <c r="BZ200" s="1043"/>
      <c r="CA200" s="1043"/>
      <c r="CB200" s="2882">
        <v>2.6077527785307586E-2</v>
      </c>
      <c r="CC200" s="2881">
        <v>2.0565623014517476E-2</v>
      </c>
      <c r="CD200" s="2882">
        <v>2.7299004389251591E-2</v>
      </c>
      <c r="CE200" s="2882">
        <v>3.7091213039389892E-2</v>
      </c>
      <c r="CF200" s="2882">
        <v>3.5000000000000003E-2</v>
      </c>
      <c r="CG200" s="885"/>
      <c r="CH200" s="1044"/>
      <c r="CI200" s="2884"/>
      <c r="CJ200" s="2884"/>
      <c r="CK200" s="2884"/>
      <c r="CL200" s="2884"/>
      <c r="CM200" s="1044"/>
      <c r="CN200" s="2884"/>
      <c r="CO200" s="2884"/>
      <c r="CP200" s="2884"/>
      <c r="CQ200" s="2884"/>
      <c r="CR200" s="2908"/>
      <c r="CS200" s="2908"/>
      <c r="CT200" s="2908"/>
      <c r="CV200" s="374"/>
      <c r="CW200" s="374"/>
      <c r="CX200" s="374"/>
      <c r="DB200" s="1226"/>
    </row>
    <row r="201" spans="1:106" s="212" customFormat="1" x14ac:dyDescent="0.2">
      <c r="A201" s="2765" t="s">
        <v>2471</v>
      </c>
      <c r="B201" s="1924"/>
      <c r="C201" s="1924"/>
      <c r="D201" s="1924"/>
      <c r="E201" s="1924"/>
      <c r="F201" s="1890"/>
      <c r="G201" s="1924"/>
      <c r="H201" s="1924"/>
      <c r="I201" s="1924"/>
      <c r="J201" s="1924"/>
      <c r="K201" s="1890"/>
      <c r="L201" s="1924"/>
      <c r="M201" s="1924"/>
      <c r="N201" s="1924"/>
      <c r="O201" s="1924"/>
      <c r="P201" s="1890"/>
      <c r="Q201" s="1043"/>
      <c r="R201" s="1043"/>
      <c r="S201" s="1043"/>
      <c r="T201" s="1043"/>
      <c r="U201" s="1953"/>
      <c r="V201" s="1043"/>
      <c r="W201" s="1043"/>
      <c r="X201" s="1043"/>
      <c r="Y201" s="1043"/>
      <c r="Z201" s="1953"/>
      <c r="AA201" s="1043"/>
      <c r="AB201" s="1043"/>
      <c r="AC201" s="1043"/>
      <c r="AD201" s="1043"/>
      <c r="AE201" s="1953"/>
      <c r="AF201" s="1043"/>
      <c r="AG201" s="1043"/>
      <c r="AH201" s="1043"/>
      <c r="AI201" s="1043"/>
      <c r="AJ201" s="1953"/>
      <c r="AK201" s="1043"/>
      <c r="AL201" s="1043"/>
      <c r="AM201" s="1043"/>
      <c r="AN201" s="1043"/>
      <c r="AO201" s="1953"/>
      <c r="AP201" s="1043"/>
      <c r="AQ201" s="1043"/>
      <c r="AR201" s="1043"/>
      <c r="AS201" s="1043"/>
      <c r="AT201" s="1953"/>
      <c r="AU201" s="1043"/>
      <c r="AV201" s="1043"/>
      <c r="AW201" s="1043"/>
      <c r="AX201" s="1043"/>
      <c r="AY201" s="1953"/>
      <c r="AZ201" s="1043"/>
      <c r="BA201" s="1043"/>
      <c r="BB201" s="1043"/>
      <c r="BC201" s="1043"/>
      <c r="BD201" s="1953"/>
      <c r="BE201" s="1043"/>
      <c r="BF201" s="1043"/>
      <c r="BG201" s="1043"/>
      <c r="BH201" s="1043"/>
      <c r="BI201" s="1953"/>
      <c r="BJ201" s="1043"/>
      <c r="BK201" s="1043"/>
      <c r="BL201" s="1043"/>
      <c r="BM201" s="1043"/>
      <c r="BN201" s="1953"/>
      <c r="BO201" s="1043"/>
      <c r="BP201" s="1043"/>
      <c r="BQ201" s="1043"/>
      <c r="BR201" s="1043"/>
      <c r="BS201" s="1953"/>
      <c r="BT201" s="1043"/>
      <c r="BU201" s="1043"/>
      <c r="BV201" s="1043"/>
      <c r="BW201" s="1043"/>
      <c r="BX201" s="1953"/>
      <c r="BY201" s="1043"/>
      <c r="BZ201" s="1043"/>
      <c r="CA201" s="1043"/>
      <c r="CB201" s="2987">
        <v>419.25</v>
      </c>
      <c r="CC201" s="3036">
        <v>400.2986849315069</v>
      </c>
      <c r="CD201" s="2987">
        <v>454.33</v>
      </c>
      <c r="CE201" s="2987">
        <v>400.35</v>
      </c>
      <c r="CF201" s="2987">
        <v>386.39247499999999</v>
      </c>
      <c r="CG201" s="3390"/>
      <c r="CH201" s="2401"/>
      <c r="CI201" s="2644"/>
      <c r="CJ201" s="2644"/>
      <c r="CK201" s="2644"/>
      <c r="CL201" s="2644"/>
      <c r="CM201" s="2401"/>
      <c r="CN201" s="2644"/>
      <c r="CO201" s="2644"/>
      <c r="CP201" s="2644"/>
      <c r="CQ201" s="2644"/>
      <c r="CR201" s="2401"/>
      <c r="CS201" s="2401"/>
      <c r="CT201" s="2401"/>
      <c r="CV201" s="374"/>
      <c r="CW201" s="374"/>
      <c r="CX201" s="374"/>
      <c r="DB201" s="1226"/>
    </row>
    <row r="202" spans="1:106" s="212" customFormat="1" x14ac:dyDescent="0.2">
      <c r="A202" s="1737" t="s">
        <v>2469</v>
      </c>
      <c r="B202" s="1924"/>
      <c r="C202" s="1924"/>
      <c r="D202" s="1924"/>
      <c r="E202" s="1924"/>
      <c r="F202" s="1890"/>
      <c r="G202" s="1924"/>
      <c r="H202" s="1924"/>
      <c r="I202" s="1924"/>
      <c r="J202" s="1924"/>
      <c r="K202" s="1890"/>
      <c r="L202" s="1924"/>
      <c r="M202" s="1924"/>
      <c r="N202" s="1924"/>
      <c r="O202" s="1924"/>
      <c r="P202" s="1890"/>
      <c r="Q202" s="1043"/>
      <c r="R202" s="1043"/>
      <c r="S202" s="1043"/>
      <c r="T202" s="1043"/>
      <c r="U202" s="1953"/>
      <c r="V202" s="1043"/>
      <c r="W202" s="1043"/>
      <c r="X202" s="1043"/>
      <c r="Y202" s="1043"/>
      <c r="Z202" s="1953"/>
      <c r="AA202" s="1043"/>
      <c r="AB202" s="1043"/>
      <c r="AC202" s="1043"/>
      <c r="AD202" s="1043"/>
      <c r="AE202" s="1953"/>
      <c r="AF202" s="1043"/>
      <c r="AG202" s="1043"/>
      <c r="AH202" s="1043"/>
      <c r="AI202" s="1043"/>
      <c r="AJ202" s="1953"/>
      <c r="AK202" s="1043"/>
      <c r="AL202" s="1043"/>
      <c r="AM202" s="1043"/>
      <c r="AN202" s="1043"/>
      <c r="AO202" s="1953"/>
      <c r="AP202" s="1043"/>
      <c r="AQ202" s="1043"/>
      <c r="AR202" s="1043"/>
      <c r="AS202" s="1043"/>
      <c r="AT202" s="1953"/>
      <c r="AU202" s="1043"/>
      <c r="AV202" s="1043"/>
      <c r="AW202" s="1043"/>
      <c r="AX202" s="1043"/>
      <c r="AY202" s="1953"/>
      <c r="AZ202" s="1043"/>
      <c r="BA202" s="1043"/>
      <c r="BB202" s="1043"/>
      <c r="BC202" s="1043"/>
      <c r="BD202" s="1953"/>
      <c r="BE202" s="1043"/>
      <c r="BF202" s="1043"/>
      <c r="BG202" s="1043"/>
      <c r="BH202" s="1043"/>
      <c r="BI202" s="1953"/>
      <c r="BJ202" s="1043"/>
      <c r="BK202" s="1043"/>
      <c r="BL202" s="1043"/>
      <c r="BM202" s="1043"/>
      <c r="BN202" s="1953"/>
      <c r="BO202" s="1043"/>
      <c r="BP202" s="1043"/>
      <c r="BQ202" s="1043"/>
      <c r="BR202" s="1043"/>
      <c r="BS202" s="1953"/>
      <c r="BT202" s="1043"/>
      <c r="BU202" s="1043"/>
      <c r="BV202" s="1043"/>
      <c r="BW202" s="1043"/>
      <c r="BX202" s="1953"/>
      <c r="BY202" s="1043"/>
      <c r="BZ202" s="1043"/>
      <c r="CA202" s="1043"/>
      <c r="CB202" s="2882">
        <v>5.6684141546526901E-2</v>
      </c>
      <c r="CC202" s="2881">
        <v>8.6164229638558965E-2</v>
      </c>
      <c r="CD202" s="2882">
        <v>7.0018841262364573E-2</v>
      </c>
      <c r="CE202" s="2882">
        <v>4.4046315130652491E-2</v>
      </c>
      <c r="CF202" s="2882">
        <v>3.2500000000000001E-2</v>
      </c>
      <c r="CG202" s="885"/>
      <c r="CH202" s="1044"/>
      <c r="CI202" s="2884"/>
      <c r="CJ202" s="2884"/>
      <c r="CK202" s="2884"/>
      <c r="CL202" s="2884"/>
      <c r="CM202" s="1044"/>
      <c r="CN202" s="2884"/>
      <c r="CO202" s="2884"/>
      <c r="CP202" s="2884"/>
      <c r="CQ202" s="2884"/>
      <c r="CR202" s="2908"/>
      <c r="CS202" s="2908"/>
      <c r="CT202" s="2908"/>
      <c r="CV202" s="374"/>
      <c r="CW202" s="374"/>
      <c r="CX202" s="374"/>
      <c r="DB202" s="1226"/>
    </row>
    <row r="203" spans="1:106" s="212" customFormat="1" x14ac:dyDescent="0.2">
      <c r="A203" s="2765" t="s">
        <v>2460</v>
      </c>
      <c r="B203" s="1924"/>
      <c r="C203" s="1924"/>
      <c r="D203" s="1924"/>
      <c r="E203" s="1924"/>
      <c r="F203" s="1890"/>
      <c r="G203" s="1924"/>
      <c r="H203" s="1924"/>
      <c r="I203" s="1924"/>
      <c r="J203" s="1924"/>
      <c r="K203" s="1890"/>
      <c r="L203" s="1924"/>
      <c r="M203" s="1924"/>
      <c r="N203" s="1924"/>
      <c r="O203" s="1924"/>
      <c r="P203" s="1890"/>
      <c r="Q203" s="1043"/>
      <c r="R203" s="1043"/>
      <c r="S203" s="1043"/>
      <c r="T203" s="1043"/>
      <c r="U203" s="1953"/>
      <c r="V203" s="1043"/>
      <c r="W203" s="1043"/>
      <c r="X203" s="1043"/>
      <c r="Y203" s="1043"/>
      <c r="Z203" s="1953"/>
      <c r="AA203" s="1043"/>
      <c r="AB203" s="1043"/>
      <c r="AC203" s="1043"/>
      <c r="AD203" s="1043"/>
      <c r="AE203" s="1953"/>
      <c r="AF203" s="1043"/>
      <c r="AG203" s="1043"/>
      <c r="AH203" s="1043"/>
      <c r="AI203" s="1043"/>
      <c r="AJ203" s="1953"/>
      <c r="AK203" s="1043"/>
      <c r="AL203" s="1043"/>
      <c r="AM203" s="1043"/>
      <c r="AN203" s="1043"/>
      <c r="AO203" s="1953"/>
      <c r="AP203" s="1043"/>
      <c r="AQ203" s="1043"/>
      <c r="AR203" s="1043"/>
      <c r="AS203" s="1043"/>
      <c r="AT203" s="1953"/>
      <c r="AU203" s="1043"/>
      <c r="AV203" s="1043"/>
      <c r="AW203" s="1043"/>
      <c r="AX203" s="1043"/>
      <c r="AY203" s="1953"/>
      <c r="AZ203" s="1043"/>
      <c r="BA203" s="1043"/>
      <c r="BB203" s="1043"/>
      <c r="BC203" s="1043"/>
      <c r="BD203" s="1953"/>
      <c r="BE203" s="1043"/>
      <c r="BF203" s="1043"/>
      <c r="BG203" s="1043"/>
      <c r="BH203" s="1043"/>
      <c r="BI203" s="1953"/>
      <c r="BJ203" s="1043"/>
      <c r="BK203" s="1043"/>
      <c r="BL203" s="1043"/>
      <c r="BM203" s="1043"/>
      <c r="BN203" s="1953"/>
      <c r="BO203" s="1043"/>
      <c r="BP203" s="1043"/>
      <c r="BQ203" s="1043"/>
      <c r="BR203" s="1043"/>
      <c r="BS203" s="1953"/>
      <c r="BT203" s="1043"/>
      <c r="BU203" s="1043"/>
      <c r="BV203" s="1043"/>
      <c r="BW203" s="1043"/>
      <c r="BX203" s="1953"/>
      <c r="BY203" s="1043"/>
      <c r="BZ203" s="1043"/>
      <c r="CA203" s="1043"/>
      <c r="CB203" s="2987">
        <v>263.56</v>
      </c>
      <c r="CC203" s="3036">
        <v>254.08813698630138</v>
      </c>
      <c r="CD203" s="2987">
        <v>218.09</v>
      </c>
      <c r="CE203" s="2987">
        <v>250.62</v>
      </c>
      <c r="CF203" s="2987">
        <v>250.65022500000001</v>
      </c>
      <c r="CG203" s="3390"/>
      <c r="CH203" s="2401"/>
      <c r="CI203" s="2644"/>
      <c r="CJ203" s="2644"/>
      <c r="CK203" s="2644"/>
      <c r="CL203" s="2644"/>
      <c r="CM203" s="2401"/>
      <c r="CN203" s="2644"/>
      <c r="CO203" s="2644"/>
      <c r="CP203" s="2644"/>
      <c r="CQ203" s="2644"/>
      <c r="CR203" s="2401"/>
      <c r="CS203" s="2401"/>
      <c r="CT203" s="2401"/>
      <c r="CV203" s="374"/>
      <c r="CW203" s="374"/>
      <c r="CX203" s="374"/>
      <c r="DB203" s="1226"/>
    </row>
    <row r="204" spans="1:106" s="212" customFormat="1" x14ac:dyDescent="0.2">
      <c r="A204" s="1737" t="s">
        <v>2469</v>
      </c>
      <c r="B204" s="1924"/>
      <c r="C204" s="1924"/>
      <c r="D204" s="1924"/>
      <c r="E204" s="1924"/>
      <c r="F204" s="1890"/>
      <c r="G204" s="1924"/>
      <c r="H204" s="1924"/>
      <c r="I204" s="1924"/>
      <c r="J204" s="1924"/>
      <c r="K204" s="1890"/>
      <c r="L204" s="1924"/>
      <c r="M204" s="1924"/>
      <c r="N204" s="1924"/>
      <c r="O204" s="1924"/>
      <c r="P204" s="1890"/>
      <c r="Q204" s="1043"/>
      <c r="R204" s="1043"/>
      <c r="S204" s="1043"/>
      <c r="T204" s="1043"/>
      <c r="U204" s="1953"/>
      <c r="V204" s="1043"/>
      <c r="W204" s="1043"/>
      <c r="X204" s="1043"/>
      <c r="Y204" s="1043"/>
      <c r="Z204" s="1953"/>
      <c r="AA204" s="1043"/>
      <c r="AB204" s="1043"/>
      <c r="AC204" s="1043"/>
      <c r="AD204" s="1043"/>
      <c r="AE204" s="1953"/>
      <c r="AF204" s="1043"/>
      <c r="AG204" s="1043"/>
      <c r="AH204" s="1043"/>
      <c r="AI204" s="1043"/>
      <c r="AJ204" s="1953"/>
      <c r="AK204" s="1043"/>
      <c r="AL204" s="1043"/>
      <c r="AM204" s="1043"/>
      <c r="AN204" s="1043"/>
      <c r="AO204" s="1953"/>
      <c r="AP204" s="1043"/>
      <c r="AQ204" s="1043"/>
      <c r="AR204" s="1043"/>
      <c r="AS204" s="1043"/>
      <c r="AT204" s="1953"/>
      <c r="AU204" s="1043"/>
      <c r="AV204" s="1043"/>
      <c r="AW204" s="1043"/>
      <c r="AX204" s="1043"/>
      <c r="AY204" s="1953"/>
      <c r="AZ204" s="1043"/>
      <c r="BA204" s="1043"/>
      <c r="BB204" s="1043"/>
      <c r="BC204" s="1043"/>
      <c r="BD204" s="1953"/>
      <c r="BE204" s="1043"/>
      <c r="BF204" s="1043"/>
      <c r="BG204" s="1043"/>
      <c r="BH204" s="1043"/>
      <c r="BI204" s="1953"/>
      <c r="BJ204" s="1043"/>
      <c r="BK204" s="1043"/>
      <c r="BL204" s="1043"/>
      <c r="BM204" s="1043"/>
      <c r="BN204" s="1953"/>
      <c r="BO204" s="1043"/>
      <c r="BP204" s="1043"/>
      <c r="BQ204" s="1043"/>
      <c r="BR204" s="1043"/>
      <c r="BS204" s="1953"/>
      <c r="BT204" s="1043"/>
      <c r="BU204" s="1043"/>
      <c r="BV204" s="1043"/>
      <c r="BW204" s="1043"/>
      <c r="BX204" s="1953"/>
      <c r="BY204" s="1043"/>
      <c r="BZ204" s="1043"/>
      <c r="CA204" s="1043"/>
      <c r="CB204" s="2882">
        <v>-7.7554401024019226E-3</v>
      </c>
      <c r="CC204" s="2881">
        <v>-1.1732972106778705E-2</v>
      </c>
      <c r="CD204" s="2882">
        <v>-3.3031834707812346E-2</v>
      </c>
      <c r="CE204" s="2882">
        <v>-6.3837734862351003E-2</v>
      </c>
      <c r="CF204" s="2882">
        <v>-3.2500000000000001E-2</v>
      </c>
      <c r="CG204" s="885"/>
      <c r="CH204" s="1044"/>
      <c r="CI204" s="2884"/>
      <c r="CJ204" s="2884"/>
      <c r="CK204" s="2884"/>
      <c r="CL204" s="2884"/>
      <c r="CM204" s="1044"/>
      <c r="CN204" s="2884"/>
      <c r="CO204" s="2884"/>
      <c r="CP204" s="2884"/>
      <c r="CQ204" s="2884"/>
      <c r="CR204" s="2908"/>
      <c r="CS204" s="2908"/>
      <c r="CT204" s="2908"/>
      <c r="CV204" s="374"/>
      <c r="CW204" s="374"/>
      <c r="CX204" s="374"/>
      <c r="DB204" s="1226"/>
    </row>
    <row r="205" spans="1:106" s="212" customFormat="1" x14ac:dyDescent="0.2">
      <c r="A205" s="2765" t="s">
        <v>2457</v>
      </c>
      <c r="B205" s="1924"/>
      <c r="C205" s="1924"/>
      <c r="D205" s="1924"/>
      <c r="E205" s="1924"/>
      <c r="F205" s="1890"/>
      <c r="G205" s="1924"/>
      <c r="H205" s="1924"/>
      <c r="I205" s="1924"/>
      <c r="J205" s="1924"/>
      <c r="K205" s="1890"/>
      <c r="L205" s="1924"/>
      <c r="M205" s="1924"/>
      <c r="N205" s="1924"/>
      <c r="O205" s="1924"/>
      <c r="P205" s="1890"/>
      <c r="Q205" s="1043"/>
      <c r="R205" s="1043"/>
      <c r="S205" s="1043"/>
      <c r="T205" s="1043"/>
      <c r="U205" s="1953"/>
      <c r="V205" s="1043"/>
      <c r="W205" s="1043"/>
      <c r="X205" s="1043"/>
      <c r="Y205" s="1043"/>
      <c r="Z205" s="1953"/>
      <c r="AA205" s="1043"/>
      <c r="AB205" s="1043"/>
      <c r="AC205" s="1043"/>
      <c r="AD205" s="1043"/>
      <c r="AE205" s="1953"/>
      <c r="AF205" s="1043"/>
      <c r="AG205" s="1043"/>
      <c r="AH205" s="1043"/>
      <c r="AI205" s="1043"/>
      <c r="AJ205" s="1953"/>
      <c r="AK205" s="1043"/>
      <c r="AL205" s="1043"/>
      <c r="AM205" s="1043"/>
      <c r="AN205" s="1043"/>
      <c r="AO205" s="1953"/>
      <c r="AP205" s="1043"/>
      <c r="AQ205" s="1043"/>
      <c r="AR205" s="1043"/>
      <c r="AS205" s="1043"/>
      <c r="AT205" s="1953"/>
      <c r="AU205" s="1043"/>
      <c r="AV205" s="1043"/>
      <c r="AW205" s="1043"/>
      <c r="AX205" s="1043"/>
      <c r="AY205" s="1953"/>
      <c r="AZ205" s="1043"/>
      <c r="BA205" s="1043"/>
      <c r="BB205" s="1043"/>
      <c r="BC205" s="1043"/>
      <c r="BD205" s="1953"/>
      <c r="BE205" s="1043"/>
      <c r="BF205" s="1043"/>
      <c r="BG205" s="1043"/>
      <c r="BH205" s="1043"/>
      <c r="BI205" s="1953"/>
      <c r="BJ205" s="1043"/>
      <c r="BK205" s="1043"/>
      <c r="BL205" s="1043"/>
      <c r="BM205" s="1043"/>
      <c r="BN205" s="1953"/>
      <c r="BO205" s="1043"/>
      <c r="BP205" s="1043"/>
      <c r="BQ205" s="1043"/>
      <c r="BR205" s="1043"/>
      <c r="BS205" s="1953"/>
      <c r="BT205" s="1043"/>
      <c r="BU205" s="1043"/>
      <c r="BV205" s="1043"/>
      <c r="BW205" s="1043"/>
      <c r="BX205" s="1953"/>
      <c r="BY205" s="1043"/>
      <c r="BZ205" s="1043"/>
      <c r="CA205" s="1043"/>
      <c r="CB205" s="2987">
        <v>302.74</v>
      </c>
      <c r="CC205" s="3036">
        <v>293.47841095890413</v>
      </c>
      <c r="CD205" s="2987">
        <v>282.85000000000002</v>
      </c>
      <c r="CE205" s="2987">
        <v>295.42</v>
      </c>
      <c r="CF205" s="2987">
        <v>290.79329999999999</v>
      </c>
      <c r="CG205" s="1494"/>
      <c r="CH205" s="2401"/>
      <c r="CI205" s="2644"/>
      <c r="CJ205" s="2644"/>
      <c r="CK205" s="2644"/>
      <c r="CL205" s="2644"/>
      <c r="CM205" s="2401"/>
      <c r="CN205" s="2644"/>
      <c r="CO205" s="2644"/>
      <c r="CP205" s="2644"/>
      <c r="CQ205" s="2644"/>
      <c r="CR205" s="2401"/>
      <c r="CS205" s="2401"/>
      <c r="CT205" s="2401"/>
      <c r="CV205" s="374"/>
      <c r="CW205" s="374"/>
      <c r="CX205" s="374"/>
      <c r="DB205" s="1226"/>
    </row>
    <row r="206" spans="1:106" s="212" customFormat="1" x14ac:dyDescent="0.2">
      <c r="A206" s="1737" t="s">
        <v>2469</v>
      </c>
      <c r="B206" s="1924"/>
      <c r="C206" s="1924"/>
      <c r="D206" s="1924"/>
      <c r="E206" s="1924"/>
      <c r="F206" s="1890"/>
      <c r="G206" s="1924"/>
      <c r="H206" s="1924"/>
      <c r="I206" s="1924"/>
      <c r="J206" s="1924"/>
      <c r="K206" s="1890"/>
      <c r="L206" s="1924"/>
      <c r="M206" s="1924"/>
      <c r="N206" s="1924"/>
      <c r="O206" s="1924"/>
      <c r="P206" s="1890"/>
      <c r="Q206" s="1043"/>
      <c r="R206" s="1043"/>
      <c r="S206" s="1043"/>
      <c r="T206" s="1043"/>
      <c r="U206" s="1953"/>
      <c r="V206" s="1043"/>
      <c r="W206" s="1043"/>
      <c r="X206" s="1043"/>
      <c r="Y206" s="1043"/>
      <c r="Z206" s="1953"/>
      <c r="AA206" s="1043"/>
      <c r="AB206" s="1043"/>
      <c r="AC206" s="1043"/>
      <c r="AD206" s="1043"/>
      <c r="AE206" s="1953"/>
      <c r="AF206" s="1043"/>
      <c r="AG206" s="1043"/>
      <c r="AH206" s="1043"/>
      <c r="AI206" s="1043"/>
      <c r="AJ206" s="1953"/>
      <c r="AK206" s="1043"/>
      <c r="AL206" s="1043"/>
      <c r="AM206" s="1043"/>
      <c r="AN206" s="1043"/>
      <c r="AO206" s="1953"/>
      <c r="AP206" s="1043"/>
      <c r="AQ206" s="1043"/>
      <c r="AR206" s="1043"/>
      <c r="AS206" s="1043"/>
      <c r="AT206" s="1953"/>
      <c r="AU206" s="1043"/>
      <c r="AV206" s="1043"/>
      <c r="AW206" s="1043"/>
      <c r="AX206" s="1043"/>
      <c r="AY206" s="1953"/>
      <c r="AZ206" s="1043"/>
      <c r="BA206" s="1043"/>
      <c r="BB206" s="1043"/>
      <c r="BC206" s="1043"/>
      <c r="BD206" s="1953"/>
      <c r="BE206" s="1043"/>
      <c r="BF206" s="1043"/>
      <c r="BG206" s="1043"/>
      <c r="BH206" s="1043"/>
      <c r="BI206" s="1953"/>
      <c r="BJ206" s="1043"/>
      <c r="BK206" s="1043"/>
      <c r="BL206" s="1043"/>
      <c r="BM206" s="1043"/>
      <c r="BN206" s="1953"/>
      <c r="BO206" s="1043"/>
      <c r="BP206" s="1043"/>
      <c r="BQ206" s="1043"/>
      <c r="BR206" s="1043"/>
      <c r="BS206" s="1953"/>
      <c r="BT206" s="1043"/>
      <c r="BU206" s="1043"/>
      <c r="BV206" s="1043"/>
      <c r="BW206" s="1043"/>
      <c r="BX206" s="1953"/>
      <c r="BY206" s="1043"/>
      <c r="BZ206" s="1043"/>
      <c r="CA206" s="1043"/>
      <c r="CB206" s="2882">
        <v>-5.3553241121003792E-3</v>
      </c>
      <c r="CC206" s="2881">
        <v>2.1259374011163956E-2</v>
      </c>
      <c r="CD206" s="2882">
        <v>-3.5629048755540405E-2</v>
      </c>
      <c r="CE206" s="2882">
        <v>-2.835347330047866E-3</v>
      </c>
      <c r="CF206" s="2882">
        <v>3.2500000000000001E-2</v>
      </c>
      <c r="CG206" s="885"/>
      <c r="CH206" s="1044"/>
      <c r="CI206" s="2884"/>
      <c r="CJ206" s="2884"/>
      <c r="CK206" s="2884"/>
      <c r="CL206" s="2884"/>
      <c r="CM206" s="1044"/>
      <c r="CN206" s="2884"/>
      <c r="CO206" s="2884"/>
      <c r="CP206" s="2884"/>
      <c r="CQ206" s="2884"/>
      <c r="CR206" s="2908"/>
      <c r="CS206" s="2908"/>
      <c r="CT206" s="2908"/>
      <c r="CV206" s="374"/>
      <c r="CW206" s="374"/>
      <c r="CX206" s="374"/>
      <c r="DB206" s="1226"/>
    </row>
    <row r="207" spans="1:106" s="212" customFormat="1" x14ac:dyDescent="0.2">
      <c r="A207" s="2765" t="s">
        <v>2456</v>
      </c>
      <c r="B207" s="1924"/>
      <c r="C207" s="1924"/>
      <c r="D207" s="1924"/>
      <c r="E207" s="1924"/>
      <c r="F207" s="1890"/>
      <c r="G207" s="1924"/>
      <c r="H207" s="1924"/>
      <c r="I207" s="1924"/>
      <c r="J207" s="1924"/>
      <c r="K207" s="1890"/>
      <c r="L207" s="1924"/>
      <c r="M207" s="1924"/>
      <c r="N207" s="1924"/>
      <c r="O207" s="1924"/>
      <c r="P207" s="1890"/>
      <c r="Q207" s="1043"/>
      <c r="R207" s="1043"/>
      <c r="S207" s="1043"/>
      <c r="T207" s="1043"/>
      <c r="U207" s="1953"/>
      <c r="V207" s="1043"/>
      <c r="W207" s="1043"/>
      <c r="X207" s="1043"/>
      <c r="Y207" s="1043"/>
      <c r="Z207" s="1953"/>
      <c r="AA207" s="1043"/>
      <c r="AB207" s="1043"/>
      <c r="AC207" s="1043"/>
      <c r="AD207" s="1043"/>
      <c r="AE207" s="1953"/>
      <c r="AF207" s="1043"/>
      <c r="AG207" s="1043"/>
      <c r="AH207" s="1043"/>
      <c r="AI207" s="1043"/>
      <c r="AJ207" s="1953"/>
      <c r="AK207" s="1043"/>
      <c r="AL207" s="1043"/>
      <c r="AM207" s="1043"/>
      <c r="AN207" s="1043"/>
      <c r="AO207" s="1953"/>
      <c r="AP207" s="1043"/>
      <c r="AQ207" s="1043"/>
      <c r="AR207" s="1043"/>
      <c r="AS207" s="1043"/>
      <c r="AT207" s="1953"/>
      <c r="AU207" s="1043"/>
      <c r="AV207" s="1043"/>
      <c r="AW207" s="1043"/>
      <c r="AX207" s="1043"/>
      <c r="AY207" s="1953"/>
      <c r="AZ207" s="1043"/>
      <c r="BA207" s="1043"/>
      <c r="BB207" s="1043"/>
      <c r="BC207" s="1043"/>
      <c r="BD207" s="1953"/>
      <c r="BE207" s="1043"/>
      <c r="BF207" s="1043"/>
      <c r="BG207" s="1043"/>
      <c r="BH207" s="1043"/>
      <c r="BI207" s="1953"/>
      <c r="BJ207" s="1043"/>
      <c r="BK207" s="1043"/>
      <c r="BL207" s="1043"/>
      <c r="BM207" s="1043"/>
      <c r="BN207" s="1953"/>
      <c r="BO207" s="1043"/>
      <c r="BP207" s="1043"/>
      <c r="BQ207" s="1043"/>
      <c r="BR207" s="1043"/>
      <c r="BS207" s="1953"/>
      <c r="BT207" s="1043"/>
      <c r="BU207" s="1043"/>
      <c r="BV207" s="1043"/>
      <c r="BW207" s="1043"/>
      <c r="BX207" s="1953"/>
      <c r="BY207" s="1043"/>
      <c r="BZ207" s="1043"/>
      <c r="CA207" s="1043"/>
      <c r="CB207" s="2987">
        <v>113.84</v>
      </c>
      <c r="CC207" s="3036">
        <v>116.10164383561646</v>
      </c>
      <c r="CD207" s="2987">
        <v>113.2</v>
      </c>
      <c r="CE207" s="2987">
        <v>119.62</v>
      </c>
      <c r="CF207" s="2987">
        <v>123.05335000000001</v>
      </c>
      <c r="CG207" s="3390"/>
      <c r="CH207" s="2401"/>
      <c r="CI207" s="2644"/>
      <c r="CJ207" s="2644"/>
      <c r="CK207" s="2644"/>
      <c r="CL207" s="2644"/>
      <c r="CM207" s="2401"/>
      <c r="CN207" s="2644"/>
      <c r="CO207" s="2644"/>
      <c r="CP207" s="2644"/>
      <c r="CQ207" s="2644"/>
      <c r="CR207" s="2401"/>
      <c r="CS207" s="2401"/>
      <c r="CT207" s="2401"/>
      <c r="CV207" s="374"/>
      <c r="CW207" s="374"/>
      <c r="CX207" s="374"/>
      <c r="DB207" s="1226"/>
    </row>
    <row r="208" spans="1:106" s="212" customFormat="1" x14ac:dyDescent="0.2">
      <c r="A208" s="1737" t="s">
        <v>2469</v>
      </c>
      <c r="B208" s="1924"/>
      <c r="C208" s="1924"/>
      <c r="D208" s="1924"/>
      <c r="E208" s="1924"/>
      <c r="F208" s="1890"/>
      <c r="G208" s="1924"/>
      <c r="H208" s="1924"/>
      <c r="I208" s="1924"/>
      <c r="J208" s="1924"/>
      <c r="K208" s="1890"/>
      <c r="L208" s="1924"/>
      <c r="M208" s="1924"/>
      <c r="N208" s="1924"/>
      <c r="O208" s="1924"/>
      <c r="P208" s="1890"/>
      <c r="Q208" s="1043"/>
      <c r="R208" s="1043"/>
      <c r="S208" s="1043"/>
      <c r="T208" s="1043"/>
      <c r="U208" s="1953"/>
      <c r="V208" s="1043"/>
      <c r="W208" s="1043"/>
      <c r="X208" s="1043"/>
      <c r="Y208" s="1043"/>
      <c r="Z208" s="1953"/>
      <c r="AA208" s="1043"/>
      <c r="AB208" s="1043"/>
      <c r="AC208" s="1043"/>
      <c r="AD208" s="1043"/>
      <c r="AE208" s="1953"/>
      <c r="AF208" s="1043"/>
      <c r="AG208" s="1043"/>
      <c r="AH208" s="1043"/>
      <c r="AI208" s="1043"/>
      <c r="AJ208" s="1953"/>
      <c r="AK208" s="1043"/>
      <c r="AL208" s="1043"/>
      <c r="AM208" s="1043"/>
      <c r="AN208" s="1043"/>
      <c r="AO208" s="1953"/>
      <c r="AP208" s="1043"/>
      <c r="AQ208" s="1043"/>
      <c r="AR208" s="1043"/>
      <c r="AS208" s="1043"/>
      <c r="AT208" s="1953"/>
      <c r="AU208" s="1043"/>
      <c r="AV208" s="1043"/>
      <c r="AW208" s="1043"/>
      <c r="AX208" s="1043"/>
      <c r="AY208" s="1953"/>
      <c r="AZ208" s="1043"/>
      <c r="BA208" s="1043"/>
      <c r="BB208" s="1043"/>
      <c r="BC208" s="1043"/>
      <c r="BD208" s="1953"/>
      <c r="BE208" s="1043"/>
      <c r="BF208" s="1043"/>
      <c r="BG208" s="1043"/>
      <c r="BH208" s="1043"/>
      <c r="BI208" s="1953"/>
      <c r="BJ208" s="1043"/>
      <c r="BK208" s="1043"/>
      <c r="BL208" s="1043"/>
      <c r="BM208" s="1043"/>
      <c r="BN208" s="1953"/>
      <c r="BO208" s="1043"/>
      <c r="BP208" s="1043"/>
      <c r="BQ208" s="1043"/>
      <c r="BR208" s="1043"/>
      <c r="BS208" s="1953"/>
      <c r="BT208" s="1043"/>
      <c r="BU208" s="1043"/>
      <c r="BV208" s="1043"/>
      <c r="BW208" s="1043"/>
      <c r="BX208" s="1953"/>
      <c r="BY208" s="1043"/>
      <c r="BZ208" s="1043"/>
      <c r="CA208" s="1043"/>
      <c r="CB208" s="2882">
        <v>-2.9777544228412056E-3</v>
      </c>
      <c r="CC208" s="2881">
        <v>-2.5148769361693635E-4</v>
      </c>
      <c r="CD208" s="2882">
        <v>-3.4334008275376249E-3</v>
      </c>
      <c r="CE208" s="2882">
        <v>1.5794836956521729E-2</v>
      </c>
      <c r="CF208" s="2882">
        <v>3.2500000000000001E-2</v>
      </c>
      <c r="CG208" s="885"/>
      <c r="CH208" s="1044"/>
      <c r="CI208" s="2884"/>
      <c r="CJ208" s="2884"/>
      <c r="CK208" s="2884"/>
      <c r="CL208" s="2884"/>
      <c r="CM208" s="1044"/>
      <c r="CN208" s="2884"/>
      <c r="CO208" s="2884"/>
      <c r="CP208" s="2884"/>
      <c r="CQ208" s="2884"/>
      <c r="CR208" s="2908"/>
      <c r="CS208" s="2908"/>
      <c r="CT208" s="2908"/>
      <c r="CV208" s="374"/>
      <c r="CW208" s="374"/>
      <c r="CX208" s="374"/>
      <c r="DB208" s="1226"/>
    </row>
    <row r="209" spans="1:106" s="212" customFormat="1" x14ac:dyDescent="0.2">
      <c r="A209" s="2765" t="s">
        <v>2461</v>
      </c>
      <c r="B209" s="1924"/>
      <c r="C209" s="1924"/>
      <c r="D209" s="1924"/>
      <c r="E209" s="1924"/>
      <c r="F209" s="1890"/>
      <c r="G209" s="1924"/>
      <c r="H209" s="1924"/>
      <c r="I209" s="1924"/>
      <c r="J209" s="1924"/>
      <c r="K209" s="1890"/>
      <c r="L209" s="1924"/>
      <c r="M209" s="1924"/>
      <c r="N209" s="1924"/>
      <c r="O209" s="1924"/>
      <c r="P209" s="1890"/>
      <c r="Q209" s="1043"/>
      <c r="R209" s="1043"/>
      <c r="S209" s="1043"/>
      <c r="T209" s="1043"/>
      <c r="U209" s="1953"/>
      <c r="V209" s="1043"/>
      <c r="W209" s="1043"/>
      <c r="X209" s="1043"/>
      <c r="Y209" s="1043"/>
      <c r="Z209" s="1953"/>
      <c r="AA209" s="1043"/>
      <c r="AB209" s="1043"/>
      <c r="AC209" s="1043"/>
      <c r="AD209" s="1043"/>
      <c r="AE209" s="1953"/>
      <c r="AF209" s="1043"/>
      <c r="AG209" s="1043"/>
      <c r="AH209" s="1043"/>
      <c r="AI209" s="1043"/>
      <c r="AJ209" s="1953"/>
      <c r="AK209" s="1043"/>
      <c r="AL209" s="1043"/>
      <c r="AM209" s="1043"/>
      <c r="AN209" s="1043"/>
      <c r="AO209" s="1953"/>
      <c r="AP209" s="1043"/>
      <c r="AQ209" s="1043"/>
      <c r="AR209" s="1043"/>
      <c r="AS209" s="1043"/>
      <c r="AT209" s="1953"/>
      <c r="AU209" s="1043"/>
      <c r="AV209" s="1043"/>
      <c r="AW209" s="1043"/>
      <c r="AX209" s="1043"/>
      <c r="AY209" s="1953"/>
      <c r="AZ209" s="1043"/>
      <c r="BA209" s="1043"/>
      <c r="BB209" s="1043"/>
      <c r="BC209" s="1043"/>
      <c r="BD209" s="1953"/>
      <c r="BE209" s="1043"/>
      <c r="BF209" s="1043"/>
      <c r="BG209" s="1043"/>
      <c r="BH209" s="1043"/>
      <c r="BI209" s="1953"/>
      <c r="BJ209" s="1043"/>
      <c r="BK209" s="1043"/>
      <c r="BL209" s="1043"/>
      <c r="BM209" s="1043"/>
      <c r="BN209" s="1953"/>
      <c r="BO209" s="1043"/>
      <c r="BP209" s="1043"/>
      <c r="BQ209" s="1043"/>
      <c r="BR209" s="1043"/>
      <c r="BS209" s="1953"/>
      <c r="BT209" s="1043"/>
      <c r="BU209" s="1043"/>
      <c r="BV209" s="1043"/>
      <c r="BW209" s="1043"/>
      <c r="BX209" s="1953"/>
      <c r="BY209" s="1043"/>
      <c r="BZ209" s="1043"/>
      <c r="CA209" s="1043"/>
      <c r="CB209" s="2987">
        <v>136.21</v>
      </c>
      <c r="CC209" s="3036">
        <v>135.16161643835619</v>
      </c>
      <c r="CD209" s="2987">
        <v>136.06</v>
      </c>
      <c r="CE209" s="2987">
        <v>136.53</v>
      </c>
      <c r="CF209" s="2987">
        <v>139.16034999999999</v>
      </c>
      <c r="CG209" s="3390"/>
      <c r="CH209" s="2401"/>
      <c r="CI209" s="2644"/>
      <c r="CJ209" s="2644"/>
      <c r="CK209" s="2644"/>
      <c r="CL209" s="2644"/>
      <c r="CM209" s="2401"/>
      <c r="CN209" s="2644"/>
      <c r="CO209" s="2644"/>
      <c r="CP209" s="2644"/>
      <c r="CQ209" s="2644"/>
      <c r="CR209" s="2401"/>
      <c r="CS209" s="2401"/>
      <c r="CT209" s="2401"/>
      <c r="CV209" s="374"/>
      <c r="CW209" s="374"/>
      <c r="CX209" s="374"/>
      <c r="DB209" s="1226"/>
    </row>
    <row r="210" spans="1:106" s="212" customFormat="1" x14ac:dyDescent="0.2">
      <c r="A210" s="1737" t="s">
        <v>2469</v>
      </c>
      <c r="B210" s="1924"/>
      <c r="C210" s="1924"/>
      <c r="D210" s="1924"/>
      <c r="E210" s="1924"/>
      <c r="F210" s="1890"/>
      <c r="G210" s="1924"/>
      <c r="H210" s="1924"/>
      <c r="I210" s="1924"/>
      <c r="J210" s="1924"/>
      <c r="K210" s="1890"/>
      <c r="L210" s="1924"/>
      <c r="M210" s="1924"/>
      <c r="N210" s="1924"/>
      <c r="O210" s="1924"/>
      <c r="P210" s="1890"/>
      <c r="Q210" s="1043"/>
      <c r="R210" s="1043"/>
      <c r="S210" s="1043"/>
      <c r="T210" s="1043"/>
      <c r="U210" s="1953"/>
      <c r="V210" s="1043"/>
      <c r="W210" s="1043"/>
      <c r="X210" s="1043"/>
      <c r="Y210" s="1043"/>
      <c r="Z210" s="1953"/>
      <c r="AA210" s="1043"/>
      <c r="AB210" s="1043"/>
      <c r="AC210" s="1043"/>
      <c r="AD210" s="1043"/>
      <c r="AE210" s="1953"/>
      <c r="AF210" s="1043"/>
      <c r="AG210" s="1043"/>
      <c r="AH210" s="1043"/>
      <c r="AI210" s="1043"/>
      <c r="AJ210" s="1953"/>
      <c r="AK210" s="1043"/>
      <c r="AL210" s="1043"/>
      <c r="AM210" s="1043"/>
      <c r="AN210" s="1043"/>
      <c r="AO210" s="1953"/>
      <c r="AP210" s="1043"/>
      <c r="AQ210" s="1043"/>
      <c r="AR210" s="1043"/>
      <c r="AS210" s="1043"/>
      <c r="AT210" s="1953"/>
      <c r="AU210" s="1043"/>
      <c r="AV210" s="1043"/>
      <c r="AW210" s="1043"/>
      <c r="AX210" s="1043"/>
      <c r="AY210" s="1953"/>
      <c r="AZ210" s="1043"/>
      <c r="BA210" s="1043"/>
      <c r="BB210" s="1043"/>
      <c r="BC210" s="1043"/>
      <c r="BD210" s="1953"/>
      <c r="BE210" s="1043"/>
      <c r="BF210" s="1043"/>
      <c r="BG210" s="1043"/>
      <c r="BH210" s="1043"/>
      <c r="BI210" s="1953"/>
      <c r="BJ210" s="1043"/>
      <c r="BK210" s="1043"/>
      <c r="BL210" s="1043"/>
      <c r="BM210" s="1043"/>
      <c r="BN210" s="1953"/>
      <c r="BO210" s="1043"/>
      <c r="BP210" s="1043"/>
      <c r="BQ210" s="1043"/>
      <c r="BR210" s="1043"/>
      <c r="BS210" s="1953"/>
      <c r="BT210" s="1043"/>
      <c r="BU210" s="1043"/>
      <c r="BV210" s="1043"/>
      <c r="BW210" s="1043"/>
      <c r="BX210" s="1953"/>
      <c r="BY210" s="1043"/>
      <c r="BZ210" s="1043"/>
      <c r="CA210" s="1043"/>
      <c r="CB210" s="2882">
        <v>6.1321489792738104E-2</v>
      </c>
      <c r="CC210" s="2881">
        <v>7.0538274669702083E-2</v>
      </c>
      <c r="CD210" s="2882">
        <v>2.679043091087463E-2</v>
      </c>
      <c r="CE210" s="2882">
        <v>-4.2301801473270118E-3</v>
      </c>
      <c r="CF210" s="2882">
        <v>3.2500000000000001E-2</v>
      </c>
      <c r="CG210" s="885"/>
      <c r="CH210" s="1044"/>
      <c r="CI210" s="2884"/>
      <c r="CJ210" s="2884"/>
      <c r="CK210" s="2884"/>
      <c r="CL210" s="2884"/>
      <c r="CM210" s="1044"/>
      <c r="CN210" s="2884"/>
      <c r="CO210" s="2884"/>
      <c r="CP210" s="2884"/>
      <c r="CQ210" s="2884"/>
      <c r="CR210" s="2908"/>
      <c r="CS210" s="2908"/>
      <c r="CT210" s="2908"/>
      <c r="CV210" s="374"/>
      <c r="CW210" s="374"/>
      <c r="CX210" s="374"/>
      <c r="DB210" s="1226"/>
    </row>
    <row r="211" spans="1:106" s="212" customFormat="1" x14ac:dyDescent="0.2">
      <c r="A211" s="2765" t="s">
        <v>1931</v>
      </c>
      <c r="B211" s="1924"/>
      <c r="C211" s="1924"/>
      <c r="D211" s="1924"/>
      <c r="E211" s="1924"/>
      <c r="F211" s="1890"/>
      <c r="G211" s="1924"/>
      <c r="H211" s="1924"/>
      <c r="I211" s="1924"/>
      <c r="J211" s="1924"/>
      <c r="K211" s="1890"/>
      <c r="L211" s="1924"/>
      <c r="M211" s="1924"/>
      <c r="N211" s="1924"/>
      <c r="O211" s="1924"/>
      <c r="P211" s="1890"/>
      <c r="Q211" s="1043"/>
      <c r="R211" s="1043"/>
      <c r="S211" s="1043"/>
      <c r="T211" s="1043"/>
      <c r="U211" s="1953"/>
      <c r="V211" s="1043"/>
      <c r="W211" s="1043"/>
      <c r="X211" s="1043"/>
      <c r="Y211" s="1043"/>
      <c r="Z211" s="1953"/>
      <c r="AA211" s="1043"/>
      <c r="AB211" s="1043"/>
      <c r="AC211" s="1043"/>
      <c r="AD211" s="1043"/>
      <c r="AE211" s="1953"/>
      <c r="AF211" s="1043"/>
      <c r="AG211" s="1043"/>
      <c r="AH211" s="1043"/>
      <c r="AI211" s="1043"/>
      <c r="AJ211" s="1953"/>
      <c r="AK211" s="1043"/>
      <c r="AL211" s="1043"/>
      <c r="AM211" s="1043"/>
      <c r="AN211" s="1043"/>
      <c r="AO211" s="1953"/>
      <c r="AP211" s="1043"/>
      <c r="AQ211" s="1043"/>
      <c r="AR211" s="1043"/>
      <c r="AS211" s="1043"/>
      <c r="AT211" s="1953"/>
      <c r="AU211" s="1043"/>
      <c r="AV211" s="1043"/>
      <c r="AW211" s="1043"/>
      <c r="AX211" s="1043"/>
      <c r="AY211" s="1953"/>
      <c r="AZ211" s="1043"/>
      <c r="BA211" s="1043"/>
      <c r="BB211" s="1043"/>
      <c r="BC211" s="1043"/>
      <c r="BD211" s="1953"/>
      <c r="BE211" s="1043"/>
      <c r="BF211" s="1043"/>
      <c r="BG211" s="1043"/>
      <c r="BH211" s="1043"/>
      <c r="BI211" s="1953"/>
      <c r="BJ211" s="1043"/>
      <c r="BK211" s="1043"/>
      <c r="BL211" s="1043"/>
      <c r="BM211" s="1043"/>
      <c r="BN211" s="1953"/>
      <c r="BO211" s="1043"/>
      <c r="BP211" s="1043"/>
      <c r="BQ211" s="1043"/>
      <c r="BR211" s="1043"/>
      <c r="BS211" s="1953"/>
      <c r="BT211" s="1043"/>
      <c r="BU211" s="1043"/>
      <c r="BV211" s="1043"/>
      <c r="BW211" s="1043"/>
      <c r="BX211" s="1953"/>
      <c r="BY211" s="1043"/>
      <c r="BZ211" s="1043"/>
      <c r="CA211" s="1043"/>
      <c r="CB211" s="2882"/>
      <c r="CC211" s="2881"/>
      <c r="CD211" s="1043"/>
      <c r="CE211" s="2987"/>
      <c r="CF211" s="2987"/>
      <c r="CG211" s="2987"/>
      <c r="CH211" s="3036"/>
      <c r="CI211" s="2987"/>
      <c r="CJ211" s="2987"/>
      <c r="CK211" s="2987"/>
      <c r="CL211" s="2987"/>
      <c r="CM211" s="3036"/>
      <c r="CN211" s="2987"/>
      <c r="CO211" s="2987"/>
      <c r="CP211" s="2987"/>
      <c r="CQ211" s="2987"/>
      <c r="CR211" s="3036"/>
      <c r="CS211" s="3036"/>
      <c r="CT211" s="3036"/>
      <c r="CV211" s="374"/>
      <c r="CW211" s="374"/>
      <c r="CX211" s="374"/>
      <c r="DB211" s="1226"/>
    </row>
    <row r="212" spans="1:106" s="212" customFormat="1" x14ac:dyDescent="0.2">
      <c r="A212" s="1737" t="s">
        <v>2469</v>
      </c>
      <c r="B212" s="1924"/>
      <c r="C212" s="1924"/>
      <c r="D212" s="1924"/>
      <c r="E212" s="1924"/>
      <c r="F212" s="1890"/>
      <c r="G212" s="1924"/>
      <c r="H212" s="1924"/>
      <c r="I212" s="1924"/>
      <c r="J212" s="1924"/>
      <c r="K212" s="1890"/>
      <c r="L212" s="1924"/>
      <c r="M212" s="1924"/>
      <c r="N212" s="1924"/>
      <c r="O212" s="1924"/>
      <c r="P212" s="1890"/>
      <c r="Q212" s="1043"/>
      <c r="R212" s="1043"/>
      <c r="S212" s="1043"/>
      <c r="T212" s="1043"/>
      <c r="U212" s="1953"/>
      <c r="V212" s="1043"/>
      <c r="W212" s="1043"/>
      <c r="X212" s="1043"/>
      <c r="Y212" s="1043"/>
      <c r="Z212" s="1953"/>
      <c r="AA212" s="1043"/>
      <c r="AB212" s="1043"/>
      <c r="AC212" s="1043"/>
      <c r="AD212" s="1043"/>
      <c r="AE212" s="1953"/>
      <c r="AF212" s="1043"/>
      <c r="AG212" s="1043"/>
      <c r="AH212" s="1043"/>
      <c r="AI212" s="1043"/>
      <c r="AJ212" s="1953"/>
      <c r="AK212" s="1043"/>
      <c r="AL212" s="1043"/>
      <c r="AM212" s="1043"/>
      <c r="AN212" s="1043"/>
      <c r="AO212" s="1953"/>
      <c r="AP212" s="1043"/>
      <c r="AQ212" s="1043"/>
      <c r="AR212" s="1043"/>
      <c r="AS212" s="1043"/>
      <c r="AT212" s="1953"/>
      <c r="AU212" s="1043"/>
      <c r="AV212" s="1043"/>
      <c r="AW212" s="1043"/>
      <c r="AX212" s="1043"/>
      <c r="AY212" s="1953"/>
      <c r="AZ212" s="1043"/>
      <c r="BA212" s="1043"/>
      <c r="BB212" s="1043"/>
      <c r="BC212" s="1043"/>
      <c r="BD212" s="1953"/>
      <c r="BE212" s="1043"/>
      <c r="BF212" s="1043"/>
      <c r="BG212" s="1043"/>
      <c r="BH212" s="1043"/>
      <c r="BI212" s="1953"/>
      <c r="BJ212" s="1043"/>
      <c r="BK212" s="1043"/>
      <c r="BL212" s="1043"/>
      <c r="BM212" s="1043"/>
      <c r="BN212" s="1953"/>
      <c r="BO212" s="1043"/>
      <c r="BP212" s="1043"/>
      <c r="BQ212" s="1043"/>
      <c r="BR212" s="1043"/>
      <c r="BS212" s="1953"/>
      <c r="BT212" s="1043"/>
      <c r="BU212" s="1043"/>
      <c r="BV212" s="1043"/>
      <c r="BW212" s="1043"/>
      <c r="BX212" s="1953"/>
      <c r="BY212" s="1043"/>
      <c r="BZ212" s="1043"/>
      <c r="CA212" s="1043"/>
      <c r="CB212" s="2882"/>
      <c r="CC212" s="2881"/>
      <c r="CD212" s="1043"/>
      <c r="CE212" s="2882"/>
      <c r="CF212" s="2882"/>
      <c r="CG212" s="2882"/>
      <c r="CH212" s="2881"/>
      <c r="CI212" s="2882"/>
      <c r="CJ212" s="2882"/>
      <c r="CK212" s="2882"/>
      <c r="CL212" s="2882"/>
      <c r="CM212" s="2881"/>
      <c r="CN212" s="2882"/>
      <c r="CO212" s="2882"/>
      <c r="CP212" s="2882"/>
      <c r="CQ212" s="2882"/>
      <c r="CR212" s="2881"/>
      <c r="CS212" s="2881"/>
      <c r="CT212" s="2881"/>
      <c r="CV212" s="374"/>
      <c r="CW212" s="374"/>
      <c r="CX212" s="374"/>
      <c r="DB212" s="1226"/>
    </row>
    <row r="213" spans="1:106" x14ac:dyDescent="0.2">
      <c r="A213" s="331" t="s">
        <v>517</v>
      </c>
      <c r="B213" s="1566"/>
      <c r="C213" s="1566"/>
      <c r="D213" s="1566"/>
      <c r="E213" s="1566"/>
      <c r="F213" s="1567"/>
      <c r="G213" s="1566"/>
      <c r="H213" s="1566"/>
      <c r="I213" s="1566"/>
      <c r="J213" s="1566"/>
      <c r="K213" s="1567">
        <f>(K169*Rooms!M530*K119+RevPAR!K172*Rooms!M531*K122+RevPAR!K178*Rooms!M534*K128+RevPAR!K181*Rooms!M540*K131+RevPAR!K184*Rooms!M538*K134+RevPAR!K187*Rooms!M542*K137+RevPAR!K190*Rooms!M541*K140+RevPAR!K193*Rooms!M541*K143)/((Rooms!M563-Rooms!M532-Rooms!M536)*K163)</f>
        <v>109.15447765022148</v>
      </c>
      <c r="L213" s="1566"/>
      <c r="M213" s="1566"/>
      <c r="N213" s="1566"/>
      <c r="O213" s="1566"/>
      <c r="P213" s="1567">
        <f>(P169*Rooms!R530*P119+RevPAR!P172*Rooms!R531*P122+RevPAR!P178*Rooms!R534*P128+RevPAR!P181*Rooms!R540*P131+RevPAR!P184*Rooms!R538*P134+RevPAR!P187*Rooms!R542*P137+RevPAR!P190*Rooms!R541*P140+RevPAR!P193*Rooms!R541*P143)/((Rooms!R563-Rooms!R532-Rooms!R536)*P163)</f>
        <v>109.15621128446956</v>
      </c>
      <c r="Q213" s="1566"/>
      <c r="R213" s="1566"/>
      <c r="S213" s="1566"/>
      <c r="T213" s="1566"/>
      <c r="U213" s="1567">
        <f>(U169*Rooms!W530*U119+RevPAR!U172*Rooms!W531*U122+RevPAR!U178*Rooms!W534*U128+RevPAR!U181*Rooms!W540*U131+RevPAR!U184*Rooms!W538*U134+RevPAR!U187*Rooms!W542*U137+RevPAR!U190*Rooms!W541*U140+RevPAR!U193*Rooms!W541*U143)/((Rooms!W563-Rooms!W532-Rooms!W536)*U163)</f>
        <v>104.66211297657951</v>
      </c>
      <c r="V213" s="1566"/>
      <c r="W213" s="1566"/>
      <c r="X213" s="1566"/>
      <c r="Y213" s="1566"/>
      <c r="Z213" s="1567">
        <f>(Z169*Rooms!AB530*Z119+RevPAR!Z172*Rooms!AB531*Z122+RevPAR!Z178*Rooms!AB534*Z128+RevPAR!Z181*Rooms!AB540*Z131+RevPAR!Z184*Rooms!AB538*Z134+RevPAR!Z187*Rooms!AB542*Z137+RevPAR!Z190*Rooms!AB541*Z140+RevPAR!Z193*Rooms!AB541*Z143)/((Rooms!AB563-Rooms!AB532-Rooms!AB536)*Z163)</f>
        <v>111.46451779459046</v>
      </c>
      <c r="AA213" s="1566"/>
      <c r="AB213" s="1566"/>
      <c r="AC213" s="1566"/>
      <c r="AD213" s="1566"/>
      <c r="AE213" s="1567">
        <f>(AE169*Rooms!AG530*AE119+RevPAR!AE172*Rooms!AG531*AE122+RevPAR!AE178*Rooms!AG534*AE128+RevPAR!AE181*Rooms!AG540*AE131+RevPAR!AE184*Rooms!AG538*AE134+RevPAR!AE187*Rooms!AG542*AE137+RevPAR!AE190*Rooms!AG541*AE140+RevPAR!AE193*Rooms!AG541*AE143)/((Rooms!AG563-Rooms!AG532-Rooms!AG536)*AE163)</f>
        <v>120.87550382832073</v>
      </c>
      <c r="AF213" s="1566">
        <f>(AF169*Rooms!AH530*AF119+RevPAR!AF172*Rooms!AH531*AF122+RevPAR!AF178*Rooms!AH534*AF128+RevPAR!AF181*Rooms!AH540*AF131+RevPAR!AF184*Rooms!AH538*AF134+RevPAR!AF187*Rooms!AH542*AF137+RevPAR!AF190*Rooms!AH541*AF140+RevPAR!AF193*Rooms!AH541*AF143)/((Rooms!AH563-Rooms!AH532-Rooms!AH536)*AF163)</f>
        <v>130.50718000508667</v>
      </c>
      <c r="AG213" s="1566">
        <f>(AG169*Rooms!AI530*AG119+RevPAR!AG172*Rooms!AI531*AG122+RevPAR!AG178*Rooms!AI534*AG128+RevPAR!AG181*Rooms!AI540*AG131+RevPAR!AG184*Rooms!AI538*AG134+RevPAR!AG187*Rooms!AI542*AG137+RevPAR!AG190*Rooms!AI541*AG140+RevPAR!AG193*Rooms!AI541*AG143)/((Rooms!AI563-Rooms!AI532-Rooms!AI536)*AG163)</f>
        <v>131.72696377758416</v>
      </c>
      <c r="AH213" s="1566">
        <f>(AH169*Rooms!AJ530*AH119+RevPAR!AH172*Rooms!AJ531*AH122+RevPAR!AH178*Rooms!AJ534*AH128+RevPAR!AH181*Rooms!AJ540*AH131+RevPAR!AH184*Rooms!AJ538*AH134+RevPAR!AH187*Rooms!AJ542*AH137+RevPAR!AH190*Rooms!AJ541*AH140+RevPAR!AH193*Rooms!AJ541*AH143)/((Rooms!AJ563-Rooms!AJ532-Rooms!AJ536)*AH163)</f>
        <v>129.79343999002933</v>
      </c>
      <c r="AI213" s="1566">
        <f>(AI169*Rooms!AK530*AI119+RevPAR!AI172*Rooms!AK531*AI122+RevPAR!AI178*Rooms!AK534*AI128+RevPAR!AI181*Rooms!AK540*AI131+RevPAR!AI184*Rooms!AK538*AI134+RevPAR!AI187*Rooms!AK542*AI137+RevPAR!AI190*Rooms!AK541*AI140+RevPAR!AI193*Rooms!AK541*AI143)/((Rooms!AK563-Rooms!AK532-Rooms!AK536)*AI163)</f>
        <v>133.64165759178454</v>
      </c>
      <c r="AJ213" s="1567">
        <f>(AJ169*Rooms!AL530*AJ119+RevPAR!AJ172*Rooms!AL531*AJ122+RevPAR!AJ178*Rooms!AL534*AJ128+RevPAR!AJ181*Rooms!AL540*AJ131+RevPAR!AJ184*Rooms!AL538*AJ134+RevPAR!AJ187*Rooms!AL542*AJ137+RevPAR!AJ190*Rooms!AL541*AJ140+RevPAR!AJ193*Rooms!AL541*AJ143)/((Rooms!AL563-Rooms!AL532-Rooms!AL536)*AJ163)</f>
        <v>131.57249456713481</v>
      </c>
      <c r="AK213" s="1566">
        <f>(AK169*Rooms!AM530*AK119+RevPAR!AK172*Rooms!AM531*AK122+RevPAR!AK178*Rooms!AM534*AK128+RevPAR!AK181*Rooms!AM540*AK131+RevPAR!AK184*Rooms!AM538*AK134+RevPAR!AK187*Rooms!AM542*AK137+RevPAR!AK190*Rooms!AM541*AK140+RevPAR!AK193*Rooms!AM541*AK143)/((Rooms!AM563-Rooms!AM532-Rooms!AM536)*AK163)</f>
        <v>139.05630161304131</v>
      </c>
      <c r="AL213" s="1566">
        <f>(AL169*Rooms!AN530*AL119+RevPAR!AL172*Rooms!AN531*AL122+RevPAR!AL178*Rooms!AN534*AL128+RevPAR!AL181*Rooms!AN540*AL131+RevPAR!AL184*Rooms!AN538*AL134+RevPAR!AL187*Rooms!AN542*AL137+RevPAR!AL190*Rooms!AN541*AL140+RevPAR!AL193*Rooms!AN541*AL143)/((Rooms!AN563-Rooms!AN532-Rooms!AN536)*AL163)</f>
        <v>139.0752966041953</v>
      </c>
      <c r="AM213" s="1566">
        <f>(AM169*Rooms!AO530*AM119+RevPAR!AM172*Rooms!AO531*AM122+RevPAR!AM178*Rooms!AO534*AM128+RevPAR!AM181*Rooms!AO540*AM131+RevPAR!AM184*Rooms!AO538*AM134+RevPAR!AM187*Rooms!AO542*AM137+RevPAR!AM190*Rooms!AO541*AM140+RevPAR!AM193*Rooms!AO541*AM143)/((Rooms!AO563-Rooms!AO532-Rooms!AO536)*AM163)</f>
        <v>132.85584975443004</v>
      </c>
      <c r="AN213" s="1566">
        <f>(AN169*Rooms!AP530*AN119+RevPAR!AN172*Rooms!AP531*AN122+RevPAR!AN178*Rooms!AP534*AN128+RevPAR!AN181*Rooms!AP540*AN131+RevPAR!AN184*Rooms!AP538*AN134+RevPAR!AN187*Rooms!AP542*AN137+RevPAR!AN190*Rooms!AP541*AN140+RevPAR!AN193*Rooms!AP541*AN143)/((Rooms!AP563-Rooms!AP532-Rooms!AP536)*AN163)</f>
        <v>140.36987828542996</v>
      </c>
      <c r="AO213" s="1567">
        <f>(AO169*Rooms!AQ530*AO119+RevPAR!AO172*Rooms!AQ531*AO122+RevPAR!AO178*Rooms!AQ534*AO128+RevPAR!AO181*Rooms!AQ540*AO131+RevPAR!AO184*Rooms!AQ538*AO134+RevPAR!AO187*Rooms!AQ542*AO137+RevPAR!AO190*Rooms!AQ541*AO140+RevPAR!AO193*Rooms!AQ541*AO143)/((Rooms!AQ563-Rooms!AQ532-Rooms!AQ536)*AO163)</f>
        <v>137.70647262352961</v>
      </c>
      <c r="AP213" s="1566">
        <f>(AP169*Rooms!AR530*AP119+RevPAR!AP172*Rooms!AR531*AP122+RevPAR!AP178*Rooms!AR534*AP128+RevPAR!AP181*Rooms!AR540*AP131+RevPAR!AP184*Rooms!AR538*AP134+RevPAR!AP187*Rooms!AR542*AP137+RevPAR!AP190*Rooms!AR541*AP140+RevPAR!AP193*Rooms!AR541*AP143)/((Rooms!AR563-Rooms!AR532-Rooms!AR536)*AP163)</f>
        <v>143.99008981094249</v>
      </c>
      <c r="AQ213" s="1566">
        <f>(AQ169*Rooms!AS530*AQ119+RevPAR!AQ172*Rooms!AS531*AQ122+RevPAR!AQ178*Rooms!AS534*AQ128+RevPAR!AQ181*Rooms!AS540*AQ131+RevPAR!AQ184*Rooms!AS538*AQ134+RevPAR!AQ187*Rooms!AS542*AQ137+RevPAR!AQ190*Rooms!AS541*AQ140+RevPAR!AQ193*Rooms!AS541*AQ143)/((Rooms!AS563-Rooms!AS532-Rooms!AS536)*AQ163)</f>
        <v>144.11336229252004</v>
      </c>
      <c r="AR213" s="1566">
        <f>(AR169*Rooms!AT530*AR119+RevPAR!AR172*Rooms!AT531*AR122+RevPAR!AR178*Rooms!AT534*AR128+RevPAR!AR181*Rooms!AT540*AR131+RevPAR!AR184*Rooms!AT538*AR134+RevPAR!AR187*Rooms!AT542*AR137+RevPAR!AR190*Rooms!AT541*AR140+RevPAR!AR193*Rooms!AT541*AR143)/((Rooms!AT563-Rooms!AT532-Rooms!AT536)*AR163)</f>
        <v>135.56276938285231</v>
      </c>
      <c r="AS213" s="1566">
        <f>(AS169*Rooms!AU530*AS119+RevPAR!AS172*Rooms!AU531*AS122+RevPAR!AS178*Rooms!AU534*AS128+RevPAR!AS181*Rooms!AU540*AS131+RevPAR!AS184*Rooms!AU538*AS134+RevPAR!AS187*Rooms!AU542*AS137+RevPAR!AS190*Rooms!AU541*AS140+RevPAR!AS193*Rooms!AU541*AS143)/((Rooms!AU563-Rooms!AU532-Rooms!AU536)*AS163)</f>
        <v>136.46221717901025</v>
      </c>
      <c r="AT213" s="1567">
        <f>(AT169*Rooms!AV530*AT119+RevPAR!AT172*Rooms!AV531*AT122+RevPAR!AT178*Rooms!AV534*AT128+RevPAR!AT181*Rooms!AV540*AT131+RevPAR!AT184*Rooms!AV538*AT134+RevPAR!AT187*Rooms!AV542*AT137+RevPAR!AT190*Rooms!AV541*AT140+RevPAR!AT193*Rooms!AV541*AT143)/((Rooms!AV563-Rooms!AV532-Rooms!AV536)*AT163)</f>
        <v>139.34338141029266</v>
      </c>
      <c r="AU213" s="1566">
        <f>(AU169*Rooms!AW530*AU119+RevPAR!AU172*Rooms!AW531*AU122+RevPAR!AU178*Rooms!AW534*AU128+RevPAR!AU181*Rooms!AW540*AU131+RevPAR!AU184*Rooms!AW538*AU134+RevPAR!AU187*Rooms!AW542*AU137+RevPAR!AU190*Rooms!AW541*AU140+RevPAR!AU193*Rooms!AW541*AU143)/((Rooms!AW563-Rooms!AW532-Rooms!AW536)*AU163)</f>
        <v>132.41493570876779</v>
      </c>
      <c r="AV213" s="1566">
        <f>(AV169*Rooms!AX530*AV119+RevPAR!AV172*Rooms!AX531*AV122+RevPAR!AV178*Rooms!AX534*AV128+RevPAR!AV181*Rooms!AX540*AV131+RevPAR!AV184*Rooms!AX538*AV134+RevPAR!AV187*Rooms!AX542*AV137+RevPAR!AV190*Rooms!AX541*AV140+RevPAR!AV193*Rooms!AX541*AV143)/((Rooms!AX563-Rooms!AX532-Rooms!AX536)*AV163)</f>
        <v>125.23826571669943</v>
      </c>
      <c r="AW213" s="1566">
        <f>(AW169*Rooms!AY530*AW119+RevPAR!AW172*Rooms!AY531*AW122+RevPAR!AW178*Rooms!AY534*AW128+RevPAR!AW181*Rooms!AY540*AW131+RevPAR!AW184*Rooms!AY538*AW134+RevPAR!AW187*Rooms!AY542*AW137+RevPAR!AW190*Rooms!AY541*AW140+RevPAR!AW193*Rooms!AY541*AW143)/((Rooms!AY563-Rooms!AY532-Rooms!AY536)*AW163)</f>
        <v>117.41299122259876</v>
      </c>
      <c r="AX213" s="1566">
        <f>(AX169*Rooms!AZ530*AX119+RevPAR!AX172*Rooms!AZ531*AX122+RevPAR!AX178*Rooms!AZ534*AX128+RevPAR!AX181*Rooms!AZ540*AX131+RevPAR!AX184*Rooms!AZ538*AX134+RevPAR!AX187*Rooms!AZ542*AX137+RevPAR!AX190*Rooms!AZ541*AX140+RevPAR!AX193*Rooms!AZ541*AX143)/((Rooms!AZ563-Rooms!AZ532-Rooms!AZ536)*AX163)</f>
        <v>121.97192613318121</v>
      </c>
      <c r="AY213" s="1567">
        <f>(AY169*Rooms!BA530*AY119+RevPAR!AY172*Rooms!BA531*AY122+RevPAR!AY178*Rooms!BA534*AY128+RevPAR!AY181*Rooms!BA540*AY131+RevPAR!AY184*Rooms!BA538*AY134+RevPAR!AY187*Rooms!BA542*AY137+RevPAR!AY190*Rooms!BA541*AY140+RevPAR!AY193*Rooms!BA541*AY143)/((Rooms!BA563-Rooms!BA532-Rooms!BA536)*AY163)</f>
        <v>123.82640373231948</v>
      </c>
      <c r="AZ213" s="1566">
        <f>(AZ169*Rooms!BB530*AZ119+RevPAR!AZ172*Rooms!BB531*AZ122+RevPAR!AZ178*Rooms!BB534*AZ128+RevPAR!AZ181*Rooms!BB540*AZ131+RevPAR!AZ184*Rooms!BB538*AZ134+RevPAR!AZ187*Rooms!BB542*AZ137+RevPAR!AZ190*Rooms!BB541*AZ140+RevPAR!AZ193*Rooms!BB541*AZ143)/((Rooms!BB563-Rooms!BB532-Rooms!BB536)*AZ163)</f>
        <v>122.01716831596001</v>
      </c>
      <c r="BA213" s="1566">
        <f>(BA169*Rooms!BC530*BA119+RevPAR!BA172*Rooms!BC531*BA122+RevPAR!BA178*Rooms!BC534*BA128+RevPAR!BA181*Rooms!BC540*BA131+RevPAR!BA184*Rooms!BC538*BA134+RevPAR!BA187*Rooms!BC542*BA137+RevPAR!BA190*Rooms!BC541*BA140+RevPAR!BA193*Rooms!BC541*BA143)/((Rooms!BC563-Rooms!BC532-Rooms!BC536)*BA163)</f>
        <v>124.1708195506346</v>
      </c>
      <c r="BB213" s="1566">
        <f>(BB169*Rooms!BD530*BB119+RevPAR!BB172*Rooms!BD531*BB122+RevPAR!BB178*Rooms!BD534*BB128+RevPAR!BB181*Rooms!BD540*BB131+RevPAR!BB184*Rooms!BD538*BB134+RevPAR!BB187*Rooms!BD542*BB137+RevPAR!BB190*Rooms!BD541*BB140+RevPAR!BB193*Rooms!BD541*BB143)/((Rooms!BD563-Rooms!BD532-Rooms!BD536)*BB163)</f>
        <v>118.58531421878143</v>
      </c>
      <c r="BC213" s="1566">
        <f>(BC169*Rooms!BE530*BC119+RevPAR!BC172*Rooms!BE531*BC122+RevPAR!BC178*Rooms!BE534*BC128+RevPAR!BC181*Rooms!BE540*BC131+RevPAR!BC184*Rooms!BE538*BC134+RevPAR!BC187*Rooms!BE542*BC137+RevPAR!BC190*Rooms!BE541*BC140+RevPAR!BC193*Rooms!BE541*BC143)/((Rooms!BE563-Rooms!BE532-Rooms!BE536)*BC163)</f>
        <v>122.9315948602885</v>
      </c>
      <c r="BD213" s="1567">
        <f>(BD169*Rooms!BF530*BD119+RevPAR!BD172*Rooms!BF531*BD122+RevPAR!BD178*Rooms!BF534*BD128+RevPAR!BD181*Rooms!BF540*BD131+RevPAR!BD184*Rooms!BF538*BD134+RevPAR!BD187*Rooms!BF542*BD137+RevPAR!BD190*Rooms!BF541*BD140+RevPAR!BD193*Rooms!BF541*BD143)/((Rooms!BF563-Rooms!BF532-Rooms!BF536)*BD163)</f>
        <v>121.81646207507301</v>
      </c>
      <c r="BE213" s="1566">
        <f>(BE169*Rooms!BG530*BE119+RevPAR!BE172*Rooms!BG531*BE122+RevPAR!BE178*Rooms!BG534*BE128+RevPAR!BE181*Rooms!BG540*BE131+RevPAR!BE184*Rooms!BG538*BE134+RevPAR!BE187*Rooms!BG542*BE137+RevPAR!BE190*Rooms!BG541*BE140+RevPAR!BE193*Rooms!BG541*BE143)/((Rooms!BG563-Rooms!BG532-Rooms!BG536)*BE163)</f>
        <v>126.14782680755778</v>
      </c>
      <c r="BF213" s="1566">
        <f>(BF169*Rooms!BH530*BF119+RevPAR!BF172*Rooms!BH531*BF122+RevPAR!BF178*Rooms!BH534*BF128+RevPAR!BF181*Rooms!BH540*BF131+RevPAR!BF184*Rooms!BH538*BF134+RevPAR!BF187*Rooms!BH542*BF137+RevPAR!BF190*Rooms!BH541*BF140+RevPAR!BF193*Rooms!BH541*BF143)/((Rooms!BH563-Rooms!BH532-Rooms!BH536)*BF163)</f>
        <v>128.50592741514791</v>
      </c>
      <c r="BG213" s="1566">
        <f>(BG169*Rooms!BI530*BG119+RevPAR!BG172*Rooms!BI531*BG122+RevPAR!BG178*Rooms!BI534*BG128+RevPAR!BG181*Rooms!BI540*BG131+RevPAR!BG184*Rooms!BI538*BG134+RevPAR!BG187*Rooms!BI542*BG137+RevPAR!BG190*Rooms!BI541*BG140+RevPAR!BG193*Rooms!BI541*BG143)/((Rooms!BI563-Rooms!BI532-Rooms!BI536)*BG163)</f>
        <v>123.04780681168023</v>
      </c>
      <c r="BH213" s="1566">
        <f>(BH169*Rooms!BJ530*BH119+RevPAR!BH172*Rooms!BJ531*BH122+RevPAR!BH178*Rooms!BJ534*BH128+RevPAR!BH181*Rooms!BJ540*BH131+RevPAR!BH184*Rooms!BJ538*BH134+RevPAR!BH187*Rooms!BJ542*BH137+RevPAR!BH190*Rooms!BJ541*BH140+RevPAR!BH193*Rooms!BJ541*BH143)/((Rooms!BJ563-Rooms!BJ532-Rooms!BJ536)*BH163)</f>
        <v>127.79065427689878</v>
      </c>
      <c r="BI213" s="1567">
        <f>(BI169*Rooms!BK530*BI119+RevPAR!BI172*Rooms!BK531*BI122+RevPAR!BI178*Rooms!BK534*BI128+RevPAR!BI181*Rooms!BK540*BI131+RevPAR!BI184*Rooms!BK538*BI134+RevPAR!BI187*Rooms!BK542*BI137+RevPAR!BI190*Rooms!BK541*BI140+RevPAR!BI193*Rooms!BK541*BI143)/((Rooms!BK563-Rooms!BK532-Rooms!BK536)*BI163)</f>
        <v>126.28362410814987</v>
      </c>
      <c r="BJ213" s="1566">
        <f>(BJ169*Rooms!BL530*BJ119+RevPAR!BJ172*Rooms!BL531*BJ122+RevPAR!BJ178*Rooms!BL534*BJ128+RevPAR!BJ181*Rooms!BL540*BJ131+RevPAR!BJ184*Rooms!BL538*BJ134+RevPAR!BJ187*Rooms!BL542*BJ137+RevPAR!BJ190*Rooms!BL541*BJ140+RevPAR!BJ193*Rooms!BL541*BJ143)/((Rooms!BL563-Rooms!BL532-Rooms!BL536)*BJ163)</f>
        <v>131.66207324455607</v>
      </c>
      <c r="BK213" s="1566">
        <f>(BK169*Rooms!BM530*BK119+RevPAR!BK172*Rooms!BM531*BK122+RevPAR!BK178*Rooms!BM534*BK128+RevPAR!BK181*Rooms!BM540*BK131+RevPAR!BK184*Rooms!BM538*BK134+RevPAR!BK187*Rooms!BM542*BK137+RevPAR!BK190*Rooms!BM541*BK140+RevPAR!BK193*Rooms!BM541*BK143)/((Rooms!BM563-Rooms!BM532-Rooms!BM536)*BK163)</f>
        <v>134.47567961801329</v>
      </c>
      <c r="BL213" s="1566">
        <f>(BL169*Rooms!BN530*BL119+RevPAR!BL172*Rooms!BN531*BL122+RevPAR!BL178*Rooms!BN534*BL128+RevPAR!BL181*Rooms!BN540*BL131+RevPAR!BL184*Rooms!BN538*BL134+RevPAR!BL187*Rooms!BN542*BL137+RevPAR!BL190*Rooms!BN541*BL140+RevPAR!BL193*Rooms!BN541*BL143)/((Rooms!BN563-Rooms!BN532-Rooms!BN536)*BL163)</f>
        <v>129.49158100582872</v>
      </c>
      <c r="BM213" s="1566">
        <f>(BM169*Rooms!BO530*BM119+RevPAR!BM172*Rooms!BO531*BM122+RevPAR!BM178*Rooms!BO534*BM128+RevPAR!BM181*Rooms!BO540*BM131+RevPAR!BM184*Rooms!BO538*BM134+RevPAR!BM187*Rooms!BO542*BM137+RevPAR!BM190*Rooms!BO541*BM140+RevPAR!BM193*Rooms!BO541*BM143)/((Rooms!BO563-Rooms!BO532-Rooms!BO536)*BM163)</f>
        <v>133.29816882116813</v>
      </c>
      <c r="BN213" s="1567">
        <f>(BN169*Rooms!BP530*BN119+RevPAR!BN172*Rooms!BP531*BN122+RevPAR!BN178*Rooms!BP534*BN128+RevPAR!BN181*Rooms!BP540*BN131+RevPAR!BN184*Rooms!BP538*BN134+RevPAR!BN187*Rooms!BP542*BN137+RevPAR!BN190*Rooms!BP541*BN140+RevPAR!BN193*Rooms!BP541*BN143)/((Rooms!BP563-Rooms!BP532-Rooms!BP536)*BN163)</f>
        <v>132.08220532803509</v>
      </c>
      <c r="BO213" s="1566">
        <f>(BO169*Rooms!BQ530*BO119+RevPAR!BO172*Rooms!BQ531*BO122+RevPAR!BO178*Rooms!BQ534*BO128+RevPAR!BO181*Rooms!BQ540*BO131+RevPAR!BO184*Rooms!BQ538*BO134+RevPAR!BO187*Rooms!BQ542*BO137+RevPAR!BO190*Rooms!BQ541*BO140+RevPAR!BO193*Rooms!BQ541*BO143)/((Rooms!BQ563-Rooms!BQ532-Rooms!BQ536)*BO163)</f>
        <v>137.25660606184704</v>
      </c>
      <c r="BP213" s="1566">
        <f>(BP169*Rooms!BR530*BP119+RevPAR!BP172*Rooms!BR531*BP122+RevPAR!BP178*Rooms!BR534*BP128+RevPAR!BP181*Rooms!BR540*BP131+RevPAR!BP184*Rooms!BR538*BP134+RevPAR!BP187*Rooms!BR542*BP137+RevPAR!BP190*Rooms!BR541*BP140+RevPAR!BP193*Rooms!BR541*BP143)/((Rooms!BR563-Rooms!BR532-Rooms!BR536)*BP163)</f>
        <v>138.42007553358289</v>
      </c>
      <c r="BQ213" s="1566">
        <f>(BQ169*Rooms!BS530*BQ119+RevPAR!BQ172*Rooms!BS531*BQ122+RevPAR!BQ178*Rooms!BS534*BQ128+RevPAR!BQ181*Rooms!BS540*BQ131+RevPAR!BQ184*Rooms!BS538*BQ134+RevPAR!BQ187*Rooms!BS542*BQ137+RevPAR!BQ190*Rooms!BS541*BQ140+RevPAR!BQ193*Rooms!BS541*BQ143)/((Rooms!BS563-Rooms!BS532-Rooms!BS536)*BQ163)</f>
        <v>135.16602477754211</v>
      </c>
      <c r="BR213" s="1566">
        <f>(BR169*Rooms!BT530*BR119+RevPAR!BR172*Rooms!BT531*BR122+RevPAR!BR178*Rooms!BT534*BR128+RevPAR!BR181*Rooms!BT540*BR131+RevPAR!BR184*Rooms!BT538*BR134+RevPAR!BR187*Rooms!BT542*BR137+RevPAR!BR190*Rooms!BT541*BR140+RevPAR!BR193*Rooms!BT541*BR143)/((Rooms!BT563-Rooms!BT532-Rooms!BT536)*BR163)</f>
        <v>134.06274967496171</v>
      </c>
      <c r="BS213" s="1567">
        <f>(BS169*Rooms!BU530*BS119+RevPAR!BS172*Rooms!BU531*BS122+RevPAR!BS178*Rooms!BU534*BS128+RevPAR!BS181*Rooms!BU540*BS131+RevPAR!BS184*Rooms!BU538*BS134+RevPAR!BS187*Rooms!BU542*BS137+RevPAR!BS190*Rooms!BU541*BS140+RevPAR!BS193*Rooms!BU541*BS143)/((Rooms!BU563-Rooms!BU532-Rooms!BU536)*BS163)</f>
        <v>134.16428087752828</v>
      </c>
      <c r="BT213" s="1566">
        <f>(BT169*Rooms!BV530*BT119+RevPAR!BT172*Rooms!BV531*BT122+RevPAR!BT178*Rooms!BV534*BT128+RevPAR!BT181*Rooms!BV540*BT131+RevPAR!BT184*Rooms!BV538*BT134+RevPAR!BT187*Rooms!BV542*BT137+RevPAR!BT190*Rooms!BV541*BT140+RevPAR!BT193*Rooms!BV541*BT143)/((Rooms!BV563-Rooms!BV532-Rooms!BV536)*BT163)</f>
        <v>140.99959221229631</v>
      </c>
      <c r="BU213" s="1566">
        <f>(BU169*Rooms!BW530*BU119+RevPAR!BU172*Rooms!BW531*BU122+RevPAR!BU178*Rooms!BW534*BU128+RevPAR!BU181*Rooms!BW540*BU131+RevPAR!BU184*Rooms!BW538*BU134+RevPAR!BU187*Rooms!BW542*BU137+RevPAR!BU190*Rooms!BW541*BU140+RevPAR!BU193*Rooms!BW541*BU143)/((Rooms!BW563-Rooms!BW532-Rooms!BW536)*BU163)</f>
        <v>143.59877680986901</v>
      </c>
      <c r="BV213" s="1566">
        <f>(BV169*Rooms!BX530*BV119+RevPAR!BV172*Rooms!BX531*BV122+RevPAR!BV178*Rooms!BX534*BV128+RevPAR!BV181*Rooms!BX540*BV131+RevPAR!BV184*Rooms!BX538*BV134+RevPAR!BV187*Rooms!BX542*BV137+RevPAR!BV190*Rooms!BX541*BV140+RevPAR!BV193*Rooms!BX541*BV143)/((Rooms!BX563-Rooms!BX532-Rooms!BX536)*BV163)</f>
        <v>142.00239605748013</v>
      </c>
      <c r="BW213" s="1566">
        <f>(BW169*Rooms!BY530*BW119+RevPAR!BW172*Rooms!BY531*BW122+RevPAR!BW178*Rooms!BY534*BW128+RevPAR!BW181*Rooms!BY540*BW131+RevPAR!BW184*Rooms!BY538*BW134+RevPAR!BW187*Rooms!BY542*BW137+RevPAR!BW190*Rooms!BY541*BW140+RevPAR!BW193*Rooms!BY541*BW143)/((Rooms!BY563-Rooms!BY532-Rooms!BY536)*BW163)</f>
        <v>140.46344450725084</v>
      </c>
      <c r="BX213" s="1567">
        <f>(BX169*Rooms!BZ530*BX119+RevPAR!BX172*Rooms!BZ531*BX122+RevPAR!BX178*Rooms!BZ534*BX128+RevPAR!BX181*Rooms!BZ540*BX131+RevPAR!BX184*Rooms!BZ538*BX134+RevPAR!BX187*Rooms!BZ542*BX137+RevPAR!BX190*Rooms!BZ541*BX140+RevPAR!BX193*Rooms!BZ541*BX143)/((Rooms!BZ563-Rooms!BZ532-Rooms!BZ536)*BX163)</f>
        <v>139.97711636580109</v>
      </c>
      <c r="BY213" s="1566">
        <f>(BY169*Rooms!CA530*BY119+RevPAR!BY172*Rooms!CA531*BY122+RevPAR!BY178*Rooms!CA534*BY128+RevPAR!BY181*Rooms!CA540*BY131+RevPAR!BY184*Rooms!CA538*BY134+RevPAR!BY187*Rooms!CA542*BY137+RevPAR!BY190*Rooms!CA541*BY140+RevPAR!BY193*Rooms!CA541*BY143)/((Rooms!CA563-Rooms!CA532-Rooms!CA536)*BY163)</f>
        <v>147.48518912253391</v>
      </c>
      <c r="BZ213" s="1566">
        <f>(BZ169*Rooms!CB530*BZ119+RevPAR!BZ172*Rooms!CB531*BZ122+RevPAR!BZ178*Rooms!CB534*BZ128+RevPAR!BZ181*Rooms!CB540*BZ131+RevPAR!BZ184*Rooms!CB538*BZ134+RevPAR!BZ187*Rooms!CB542*BZ137+RevPAR!BZ190*Rooms!CB541*BZ140+RevPAR!BZ193*Rooms!CB541*BZ143)/((Rooms!CB563-Rooms!CB532-Rooms!CB536)*BZ163)</f>
        <v>150.73359777758884</v>
      </c>
      <c r="CA213" s="1566">
        <f>(CA169*Rooms!CC530*CA119+RevPAR!CA172*Rooms!CC531*CA122+RevPAR!CA178*Rooms!CC534*CA128+RevPAR!CA181*Rooms!CC540*CA131+RevPAR!CA184*Rooms!CC538*CA134+RevPAR!CA187*Rooms!CC542*CA137+RevPAR!CA190*Rooms!CC541*CA140+RevPAR!CA193*Rooms!CC541*CA143)/((Rooms!CC563-Rooms!CC532-Rooms!CC536)*CA163)</f>
        <v>145.93885264748496</v>
      </c>
      <c r="CB213" s="1566">
        <f>(CB169*Rooms!CD530*CB119+RevPAR!CB172*Rooms!CD531*CB122+RevPAR!CB178*Rooms!CD534*CB128+RevPAR!CB181*Rooms!CD540*CB131+RevPAR!CB184*Rooms!CD538*CB134+RevPAR!CB187*Rooms!CD542*CB137+RevPAR!CB190*Rooms!CD541*CB140+RevPAR!CB193*Rooms!CD541*CB143)/((Rooms!CD563-Rooms!CD532-Rooms!CD536)*CB163)</f>
        <v>144.41485285821011</v>
      </c>
      <c r="CC213" s="1567">
        <f>(CC169*Rooms!CE530*CC119+RevPAR!CC172*Rooms!CE531*CC122+RevPAR!CC178*Rooms!CE534*CC128+RevPAR!CC181*Rooms!CE540*CC131+RevPAR!CC184*Rooms!CE538*CC134+RevPAR!CC187*Rooms!CE542*CC137+RevPAR!CC190*Rooms!CE541*CC140+RevPAR!CC193*Rooms!CE541*CC143)/((Rooms!CE563-Rooms!CE532-Rooms!CE536)*CC163)</f>
        <v>142.18956971065307</v>
      </c>
      <c r="CD213" s="1566">
        <f>(CD169*Rooms!CF530*CD119+RevPAR!CD172*Rooms!CF531*CD122+RevPAR!CD178*Rooms!CF534*CD128+RevPAR!CD181*Rooms!CF540*CD131+RevPAR!CD184*Rooms!CF538*CD134+RevPAR!CD187*Rooms!CF542*CD137+RevPAR!CD190*Rooms!CF541*CD140+RevPAR!CD193*Rooms!CF541*CD143)/((Rooms!CF563-Rooms!CF532-Rooms!CF536)*CD163)</f>
        <v>148.39256132179119</v>
      </c>
      <c r="CE213" s="1566">
        <f>(CE169*Rooms!CG530*CE119+RevPAR!CE172*Rooms!CG531*CE122+RevPAR!CE178*Rooms!CG534*CE128+RevPAR!CE181*Rooms!CG540*CE131+RevPAR!CE184*Rooms!CG538*CE134+RevPAR!CE187*Rooms!CG542*CE137+RevPAR!CE190*Rooms!CG541*CE140+RevPAR!CE193*Rooms!CG541*CE143)/((Rooms!CG563-Rooms!CG532-Rooms!CG536)*CE163)</f>
        <v>150.85225629028531</v>
      </c>
      <c r="CF213" s="1566">
        <f>(CF169*Rooms!CH530*CF119+RevPAR!CF172*Rooms!CH531*CF122+RevPAR!CF178*Rooms!CH534*CF128+RevPAR!CF181*Rooms!CH540*CF131+RevPAR!CF184*Rooms!CH538*CF134+RevPAR!CF187*Rooms!CH542*CF137+RevPAR!CF190*Rooms!CH541*CF140+RevPAR!CF193*Rooms!CH541*CF143)/((Rooms!CH563-Rooms!CH532-Rooms!CH536)*CF163)</f>
        <v>147.11503378256597</v>
      </c>
      <c r="CG213" s="3095"/>
      <c r="CH213" s="1567"/>
      <c r="CI213" s="1566"/>
      <c r="CJ213" s="1566"/>
      <c r="CK213" s="1566"/>
      <c r="CL213" s="1566"/>
      <c r="CM213" s="1567"/>
      <c r="CN213" s="1566"/>
      <c r="CO213" s="1566"/>
      <c r="CP213" s="1566"/>
      <c r="CQ213" s="1566"/>
      <c r="CR213" s="1567"/>
      <c r="CS213" s="1567"/>
      <c r="CT213" s="1567"/>
      <c r="DA213" s="212"/>
      <c r="DB213" s="1226"/>
    </row>
    <row r="214" spans="1:106" s="537" customFormat="1" x14ac:dyDescent="0.2">
      <c r="A214" s="1595" t="s">
        <v>562</v>
      </c>
      <c r="B214" s="885"/>
      <c r="C214" s="885"/>
      <c r="D214" s="885"/>
      <c r="E214" s="885"/>
      <c r="F214" s="1641"/>
      <c r="G214" s="885"/>
      <c r="H214" s="885"/>
      <c r="I214" s="885"/>
      <c r="J214" s="885"/>
      <c r="K214" s="1641"/>
      <c r="L214" s="885"/>
      <c r="M214" s="885"/>
      <c r="N214" s="885"/>
      <c r="O214" s="885"/>
      <c r="P214" s="1641"/>
      <c r="Q214" s="885"/>
      <c r="R214" s="885"/>
      <c r="S214" s="885"/>
      <c r="T214" s="885"/>
      <c r="U214" s="1641"/>
      <c r="V214" s="885"/>
      <c r="W214" s="885"/>
      <c r="X214" s="885"/>
      <c r="Y214" s="885"/>
      <c r="Z214" s="1641"/>
      <c r="AA214" s="885"/>
      <c r="AB214" s="885"/>
      <c r="AC214" s="885"/>
      <c r="AD214" s="885"/>
      <c r="AE214" s="1641"/>
      <c r="AF214" s="885"/>
      <c r="AG214" s="885"/>
      <c r="AH214" s="885"/>
      <c r="AI214" s="885"/>
      <c r="AJ214" s="1641"/>
      <c r="AK214" s="885">
        <f>AK213/AF213-1</f>
        <v>6.5506906268463005E-2</v>
      </c>
      <c r="AL214" s="885">
        <f>AL213/AG213-1</f>
        <v>5.5784576034247024E-2</v>
      </c>
      <c r="AM214" s="885">
        <f>AM213/AH213-1</f>
        <v>2.3594488016004167E-2</v>
      </c>
      <c r="AN214" s="885">
        <f>AN213/AI213-1</f>
        <v>5.0345235272351463E-2</v>
      </c>
      <c r="AO214" s="1641">
        <f>AO213/AJ213-1</f>
        <v>4.6620519559009699E-2</v>
      </c>
      <c r="AP214" s="885">
        <f t="shared" ref="AP214:BV214" si="198">AP213/AK213-1</f>
        <v>3.5480507827906127E-2</v>
      </c>
      <c r="AQ214" s="885">
        <f t="shared" si="198"/>
        <v>3.62254534869908E-2</v>
      </c>
      <c r="AR214" s="885">
        <f t="shared" si="198"/>
        <v>2.0374862179013853E-2</v>
      </c>
      <c r="AS214" s="885">
        <f t="shared" si="198"/>
        <v>-2.7838316554452125E-2</v>
      </c>
      <c r="AT214" s="1641">
        <f t="shared" si="198"/>
        <v>1.1886941518269412E-2</v>
      </c>
      <c r="AU214" s="885">
        <f t="shared" si="198"/>
        <v>-8.0388546999121679E-2</v>
      </c>
      <c r="AV214" s="885">
        <f t="shared" si="198"/>
        <v>-0.13097395186372862</v>
      </c>
      <c r="AW214" s="885">
        <f t="shared" si="198"/>
        <v>-0.13388468119145225</v>
      </c>
      <c r="AX214" s="885">
        <f t="shared" si="198"/>
        <v>-0.10618537017334817</v>
      </c>
      <c r="AY214" s="1641">
        <f t="shared" si="198"/>
        <v>-0.11135783788886167</v>
      </c>
      <c r="AZ214" s="885">
        <f t="shared" si="198"/>
        <v>-7.8524128242425273E-2</v>
      </c>
      <c r="BA214" s="885">
        <f t="shared" si="198"/>
        <v>-8.5233228035869191E-3</v>
      </c>
      <c r="BB214" s="885">
        <f t="shared" si="198"/>
        <v>9.9846105952630104E-3</v>
      </c>
      <c r="BC214" s="885">
        <f t="shared" si="198"/>
        <v>7.8679476296816819E-3</v>
      </c>
      <c r="BD214" s="1641">
        <f t="shared" si="198"/>
        <v>-1.6231931128287025E-2</v>
      </c>
      <c r="BE214" s="885">
        <f t="shared" si="198"/>
        <v>3.3853092549251285E-2</v>
      </c>
      <c r="BF214" s="885">
        <f t="shared" si="198"/>
        <v>3.4912452701864716E-2</v>
      </c>
      <c r="BG214" s="885">
        <f t="shared" si="198"/>
        <v>3.7631072804393151E-2</v>
      </c>
      <c r="BH214" s="885">
        <f t="shared" si="198"/>
        <v>3.9526530361316814E-2</v>
      </c>
      <c r="BI214" s="1641">
        <f t="shared" si="198"/>
        <v>3.6671250806182831E-2</v>
      </c>
      <c r="BJ214" s="885">
        <f t="shared" si="198"/>
        <v>4.3712575765656458E-2</v>
      </c>
      <c r="BK214" s="885">
        <f t="shared" si="198"/>
        <v>4.6455072718783352E-2</v>
      </c>
      <c r="BL214" s="885">
        <f t="shared" si="198"/>
        <v>5.2368054019934052E-2</v>
      </c>
      <c r="BM214" s="885">
        <f t="shared" si="198"/>
        <v>4.3097944645745345E-2</v>
      </c>
      <c r="BN214" s="1641">
        <f t="shared" si="198"/>
        <v>4.5917127108415112E-2</v>
      </c>
      <c r="BO214" s="885">
        <f t="shared" si="198"/>
        <v>4.2491605056980797E-2</v>
      </c>
      <c r="BP214" s="885">
        <f t="shared" si="198"/>
        <v>2.9331667456702348E-2</v>
      </c>
      <c r="BQ214" s="885">
        <f t="shared" si="198"/>
        <v>4.3820947490462503E-2</v>
      </c>
      <c r="BR214" s="885">
        <f t="shared" si="198"/>
        <v>5.7358691462545686E-3</v>
      </c>
      <c r="BS214" s="1641">
        <f t="shared" si="198"/>
        <v>1.5763482630549719E-2</v>
      </c>
      <c r="BT214" s="885">
        <f t="shared" si="198"/>
        <v>2.7269989094460767E-2</v>
      </c>
      <c r="BU214" s="885">
        <f t="shared" si="198"/>
        <v>3.7412934910801221E-2</v>
      </c>
      <c r="BV214" s="885">
        <f t="shared" si="198"/>
        <v>5.0577586277242403E-2</v>
      </c>
      <c r="BW214" s="885">
        <f t="shared" ref="BW214:CD214" si="199">BW213/BR213-1</f>
        <v>4.7744021719737795E-2</v>
      </c>
      <c r="BX214" s="1641">
        <f t="shared" si="199"/>
        <v>4.3326252339689786E-2</v>
      </c>
      <c r="BY214" s="885">
        <f t="shared" si="199"/>
        <v>4.5997274236598829E-2</v>
      </c>
      <c r="BZ214" s="885">
        <f t="shared" si="199"/>
        <v>4.9685806009104327E-2</v>
      </c>
      <c r="CA214" s="885">
        <f t="shared" si="199"/>
        <v>2.7721057526461923E-2</v>
      </c>
      <c r="CB214" s="885">
        <f t="shared" si="199"/>
        <v>2.8131222075757245E-2</v>
      </c>
      <c r="CC214" s="1641">
        <f t="shared" si="199"/>
        <v>1.5805821710672907E-2</v>
      </c>
      <c r="CD214" s="885">
        <f t="shared" si="199"/>
        <v>6.1522936957649765E-3</v>
      </c>
      <c r="CE214" s="885">
        <f>CE213/BZ213-1</f>
        <v>7.8720679693167206E-4</v>
      </c>
      <c r="CF214" s="885">
        <f>CF213/CA213-1</f>
        <v>8.0594105938469607E-3</v>
      </c>
      <c r="CG214" s="885"/>
      <c r="CH214" s="1641"/>
      <c r="CI214" s="885"/>
      <c r="CJ214" s="885"/>
      <c r="CK214" s="885"/>
      <c r="CL214" s="885"/>
      <c r="CM214" s="1641"/>
      <c r="CN214" s="885"/>
      <c r="CO214" s="885"/>
      <c r="CP214" s="885"/>
      <c r="CQ214" s="885"/>
      <c r="CR214" s="1641"/>
      <c r="CS214" s="1641"/>
      <c r="CT214" s="1641"/>
      <c r="DA214" s="212"/>
      <c r="DB214" s="1226"/>
    </row>
    <row r="215" spans="1:106" s="537" customFormat="1" x14ac:dyDescent="0.2">
      <c r="A215" s="1595" t="s">
        <v>559</v>
      </c>
      <c r="B215" s="885"/>
      <c r="C215" s="885"/>
      <c r="D215" s="885"/>
      <c r="E215" s="885"/>
      <c r="F215" s="1044"/>
      <c r="G215" s="885"/>
      <c r="H215" s="885"/>
      <c r="I215" s="885"/>
      <c r="J215" s="885"/>
      <c r="K215" s="1044"/>
      <c r="L215" s="885"/>
      <c r="M215" s="885"/>
      <c r="N215" s="885"/>
      <c r="O215" s="885"/>
      <c r="P215" s="1044"/>
      <c r="Q215" s="885"/>
      <c r="R215" s="885"/>
      <c r="S215" s="885"/>
      <c r="T215" s="885"/>
      <c r="U215" s="1044"/>
      <c r="V215" s="885"/>
      <c r="W215" s="885"/>
      <c r="X215" s="885"/>
      <c r="Y215" s="885"/>
      <c r="Z215" s="1044"/>
      <c r="AA215" s="885"/>
      <c r="AB215" s="885"/>
      <c r="AC215" s="885"/>
      <c r="AD215" s="885"/>
      <c r="AE215" s="1044"/>
      <c r="AF215" s="885"/>
      <c r="AG215" s="885"/>
      <c r="AH215" s="885"/>
      <c r="AI215" s="885"/>
      <c r="AJ215" s="1044"/>
      <c r="AK215" s="885"/>
      <c r="AL215" s="885"/>
      <c r="AM215" s="885"/>
      <c r="AN215" s="885"/>
      <c r="AO215" s="1044"/>
      <c r="AP215" s="885">
        <f>+AP510*AP170+AP511*AP173+AP512*AP179+AP513*AP182+AP514*AP185+AP515*AP188+AP516*AP191+AP518*AP194</f>
        <v>3.9846979286789617E-2</v>
      </c>
      <c r="AQ215" s="885">
        <f>+AQ510*AQ170+AQ511*AQ173+AQ512*AQ179+AQ513*AQ182+AQ514*AQ185+AQ515*AQ188+AQ516*AQ191+AQ518*AQ194</f>
        <v>3.9545240631128152E-2</v>
      </c>
      <c r="AR215" s="885">
        <f>+AR510*AR170+AR511*AR173+AR512*AR179+AR513*AR182+AR514*AR185+AR515*AR188+AR516*AR191+AR518*AR194</f>
        <v>2.4072697749908466E-2</v>
      </c>
      <c r="AS215" s="885">
        <f>+AS510*AS170+AS511*AS173+AS512*AS179+AS513*AS182+AS514*AS185+AS515*AS188+AS516*AS191+AS518*AS194</f>
        <v>-2.0864602648580515E-2</v>
      </c>
      <c r="AT215" s="1044">
        <f>AVERAGE(AP215:AS215)</f>
        <v>2.0650078754811427E-2</v>
      </c>
      <c r="AU215" s="885">
        <f>+AU510*AU170+AU511*AU173+AU512*AU179+AU513*AU182+AU514*AU185+AU515*AU188+AU516*AU191+AU518*AU194</f>
        <v>-6.9818383449913243E-2</v>
      </c>
      <c r="AV215" s="885">
        <f>+AV510*AV170+AV511*AV173+AV512*AV179+AV513*AV182+AV514*AV185+AV515*AV188+AV516*AV191+AV518*AV194</f>
        <v>-0.11916951231849188</v>
      </c>
      <c r="AW215" s="885">
        <f>+AW510*AW170+AW511*AW173+AW512*AW179+AW513*AW182+AW514*AW185+AW515*AW188+AW516*AW191+AW518*AW194</f>
        <v>-0.12572454169532576</v>
      </c>
      <c r="AX215" s="885">
        <f>+AX510*AX170+AX511*AX173+AX512*AX179+AX513*AX182+AX514*AX185+AX515*AX188+AX516*AX191+AX518*AX194</f>
        <v>-0.10372459233963208</v>
      </c>
      <c r="AY215" s="1044">
        <f>AVERAGE(AU215:AX215)</f>
        <v>-0.10460925745084074</v>
      </c>
      <c r="AZ215" s="885">
        <f>+AZ510*AZ170+AZ511*AZ173+AZ512*AZ179+AZ513*AZ182+AZ514*AZ185+AZ515*AZ188+AZ516*AZ191+AZ518*AZ194</f>
        <v>-7.820874921728542E-2</v>
      </c>
      <c r="BA215" s="885">
        <f>+BA510*BA170+BA511*BA173+BA512*BA179+BA513*BA182+BA514*BA185+BA515*BA188+BA516*BA191+BA518*BA194</f>
        <v>-6.7619496358327126E-3</v>
      </c>
      <c r="BB215" s="885">
        <f>+BB510*BB170+BB511*BB173+BB512*BB179+BB513*BB182+BB514*BB185+BB515*BB188+BB516*BB191+BB518*BB194</f>
        <v>1.4734523628883138E-2</v>
      </c>
      <c r="BC215" s="885">
        <f>+BC510*BC170+BC511*BC173+BC512*BC179+BC513*BC182+BC514*BC185+BC515*BC188+BC516*BC191+BC518*BC194</f>
        <v>1.4168658455554565E-2</v>
      </c>
      <c r="BD215" s="1044">
        <f>AVERAGE(AZ215:BC215)</f>
        <v>-1.4016879192170106E-2</v>
      </c>
      <c r="BE215" s="885">
        <f>+BE510*BE170+BE511*BE173+BE512*BE179+BE513*BE182+BE514*BE185+BE515*BE188+BE516*BE191+BE518*BE194</f>
        <v>3.812178473574878E-2</v>
      </c>
      <c r="BF215" s="885">
        <f>+BF510*BF170+BF511*BF173+BF512*BF179+BF513*BF182+BF514*BF185+BF515*BF188+BF516*BF191+BF518*BF194</f>
        <v>3.7793597493761703E-2</v>
      </c>
      <c r="BG215" s="885">
        <f>+BG510*BG170+BG511*BG173+BG512*BG179+BG513*BG182+BG514*BG185+BG515*BG188+BG516*BG191+BG518*BG194</f>
        <v>4.0649422278798156E-2</v>
      </c>
      <c r="BH215" s="885">
        <f>+BH510*BH170+BH511*BH173+BH512*BH179+BH513*BH182+BH514*BH185+BH515*BH188+BH516*BH191+BH518*BH194</f>
        <v>4.4585796373691006E-2</v>
      </c>
      <c r="BI215" s="1044">
        <f>AVERAGE(BE215:BH215)</f>
        <v>4.0287650220499911E-2</v>
      </c>
      <c r="BJ215" s="885">
        <f>+BJ510*BJ170+BJ511*BJ173+BJ512*BJ179+BJ513*BJ182+BJ514*BJ185+BJ515*BJ188+BJ516*BJ191+BJ518*BJ194</f>
        <v>4.8270603536709158E-2</v>
      </c>
      <c r="BK215" s="885">
        <f>+BK510*BK170+BK511*BK173+BK512*BK179+BK513*BK182+BK514*BK185+BK515*BK188+BK516*BK191+BK518*BK194</f>
        <v>5.0796442927033343E-2</v>
      </c>
      <c r="BL215" s="885">
        <f>+BL510*BL170+BL511*BL173+BL512*BL179+BL513*BL182+BL514*BL185+BL515*BL188+BL516*BL191+BL518*BL194</f>
        <v>5.4265924903486966E-2</v>
      </c>
      <c r="BM215" s="885">
        <f>+BM510*BM170+BM511*BM173+BM512*BM179+BM513*BM182+BM514*BM185+BM515*BM188+BM516*BM191+BM518*BM194</f>
        <v>4.5762731431734677E-2</v>
      </c>
      <c r="BN215" s="1044">
        <f>AVERAGE(BJ215:BM215)</f>
        <v>4.977392569974104E-2</v>
      </c>
      <c r="BO215" s="885">
        <f>+BO510*BO170+BO511*BO173+BO512*BO179+BO513*BO182+BO514*BO185+BO515*BO188+BO516*BO191+BO518*BO194</f>
        <v>4.3485069533526939E-2</v>
      </c>
      <c r="BP215" s="885">
        <f>+BP510*BP170+BP511*BP173+BP512*BP179+BP513*BP182+BP514*BP185+BP515*BP188+BP516*BP191+BP518*BP194</f>
        <v>3.3166635874732522E-2</v>
      </c>
      <c r="BQ215" s="885">
        <f>+BQ510*BQ170+BQ511*BQ173+BQ512*BQ179+BQ513*BQ182+BQ514*BQ185+BQ515*BQ188+BQ516*BQ191+BQ518*BQ194</f>
        <v>4.9306782394231814E-2</v>
      </c>
      <c r="BR215" s="885">
        <f>+BR510*BR170+BR511*BR173+BR512*BR179+BR513*BR182+BR514*BR185+BR515*BR188+BR516*BR191+BR518*BR194</f>
        <v>2.7081943862728268E-2</v>
      </c>
      <c r="BS215" s="1044">
        <f>AVERAGE(BO215:BR215)</f>
        <v>3.8260107916304888E-2</v>
      </c>
      <c r="BT215" s="885">
        <f>+BT510*BT170+BT511*BT173+BT512*BT179+BT513*BT182+BT514*BT185+BT515*BT188+BT516*BT191+BT518*BT194</f>
        <v>3.3309846508948707E-2</v>
      </c>
      <c r="BU215" s="885">
        <f>+BU510*BU170+BU511*BU173+BU512*BU179+BU513*BU182+BU514*BU185+BU515*BU188+BU516*BU191+BU518*BU194</f>
        <v>4.2263615465129543E-2</v>
      </c>
      <c r="BV215" s="885">
        <f>+BV510*BV170+BV511*BV173+BV512*BV179+BV513*BV182+BV514*BV185+BV515*BV188+BV516*BV191+BV518*BV194</f>
        <v>5.2174337682658556E-2</v>
      </c>
      <c r="BW215" s="885">
        <f>+BW510*BW170+BW511*BW173+BW512*BW179+BW513*BW182+BW514*BW185+BW515*BW188+BW516*BW191+BW518*BW194</f>
        <v>5.2035860336938446E-2</v>
      </c>
      <c r="BX215" s="1044">
        <f>AVERAGE(BT215:BW215)</f>
        <v>4.4945914998418809E-2</v>
      </c>
      <c r="BY215" s="885">
        <f>+BY510*BY170+BY511*BY173+BY512*BY179+BY513*BY182+BY514*BY185+BY515*BY188+BY516*BY191+BY518*BY194</f>
        <v>5.4567752729394944E-2</v>
      </c>
      <c r="BZ215" s="885">
        <f>+BZ510*BZ170+BZ511*BZ173+BZ512*BZ179+BZ513*BZ182+BZ514*BZ185+BZ515*BZ188+BZ516*BZ191+BZ518*BZ194</f>
        <v>5.5699805727727723E-2</v>
      </c>
      <c r="CA215" s="885">
        <f>+CA510*CA170+CA511*CA173+CA512*CA179+CA513*CA182+CA514*CA185+CA515*CA188+CA516*CA191+CA518*CA194</f>
        <v>4.5789662616562803E-2</v>
      </c>
      <c r="CB215" s="885">
        <f>+CB510*CB170+CB511*CB173+CB512*CB179+CB513*CB182+CB514*CB185+CB515*CB188+CB516*CB191+CB518*CB194</f>
        <v>3.1448329248837524E-2</v>
      </c>
      <c r="CC215" s="1044">
        <f>AVERAGE(BY215:CB215)</f>
        <v>4.687638758063075E-2</v>
      </c>
      <c r="CD215" s="885">
        <f>+CD510*CD170+CD511*CD173+CD512*CD179+CD513*CD182+CD514*CD185+CD515*CD188+CD516*CD191+CD518*CD194</f>
        <v>2.310927270341772E-2</v>
      </c>
      <c r="CE215" s="885">
        <f>+CE510*CE170+CE511*CE173+CE512*CE179+CE513*CE182+CE514*CE185+CE515*CE188+CE516*CE191+CE518*CE194+CE198*CE520+CE200*CE521+CE202*(CE524+CE525)+CE204*CE526+CE206*CE523+CE208*CE522+CE527*CE210</f>
        <v>1.6805756407344552E-2</v>
      </c>
      <c r="CF215" s="885">
        <f>+CF510*CF170+CF511*CF173+CF512*CF179+CF513*CF182+CF514*CF185+CF515*CF188+CF516*CF191+CF518*CF194+CF198*CF520+CF200*CF521+CF202*(CF524+CF525)+CF204*CF526+CF206*CF523+CF208*CF522+CF527*CF210</f>
        <v>1.6028648055518922E-2</v>
      </c>
      <c r="CG215" s="885"/>
      <c r="CH215" s="1044"/>
      <c r="CI215" s="885"/>
      <c r="CJ215" s="885"/>
      <c r="CK215" s="885"/>
      <c r="CL215" s="885"/>
      <c r="CM215" s="1044"/>
      <c r="CN215" s="885"/>
      <c r="CO215" s="885"/>
      <c r="CP215" s="885"/>
      <c r="CQ215" s="885"/>
      <c r="CR215" s="1044"/>
      <c r="CS215" s="1044"/>
      <c r="CT215" s="1044"/>
      <c r="DA215" s="212"/>
      <c r="DB215" s="1226"/>
    </row>
    <row r="216" spans="1:106" s="537" customFormat="1" x14ac:dyDescent="0.2">
      <c r="A216" s="1596" t="s">
        <v>560</v>
      </c>
      <c r="B216" s="1884" t="s">
        <v>673</v>
      </c>
      <c r="C216" s="1885" t="s">
        <v>673</v>
      </c>
      <c r="D216" s="1885" t="s">
        <v>673</v>
      </c>
      <c r="E216" s="1885" t="s">
        <v>673</v>
      </c>
      <c r="F216" s="1884" t="s">
        <v>673</v>
      </c>
      <c r="G216" s="1884" t="s">
        <v>673</v>
      </c>
      <c r="H216" s="1885" t="s">
        <v>673</v>
      </c>
      <c r="I216" s="1885" t="s">
        <v>673</v>
      </c>
      <c r="J216" s="1885" t="s">
        <v>673</v>
      </c>
      <c r="K216" s="1884" t="s">
        <v>673</v>
      </c>
      <c r="L216" s="1884" t="s">
        <v>673</v>
      </c>
      <c r="M216" s="1885" t="s">
        <v>673</v>
      </c>
      <c r="N216" s="1885" t="s">
        <v>673</v>
      </c>
      <c r="O216" s="1885" t="s">
        <v>673</v>
      </c>
      <c r="P216" s="1884" t="s">
        <v>673</v>
      </c>
      <c r="Q216" s="1958">
        <f>+Q625</f>
        <v>-1.6E-2</v>
      </c>
      <c r="R216" s="1877">
        <f t="shared" ref="R216:BN216" si="200">+R625</f>
        <v>-2.5999999999999999E-2</v>
      </c>
      <c r="S216" s="1877">
        <f t="shared" si="200"/>
        <v>-5.0000000000000001E-3</v>
      </c>
      <c r="T216" s="1877">
        <f t="shared" si="200"/>
        <v>-1E-3</v>
      </c>
      <c r="U216" s="1959">
        <f t="shared" si="200"/>
        <v>-1.0999999999999999E-2</v>
      </c>
      <c r="V216" s="1877">
        <f t="shared" si="200"/>
        <v>1.7999999999999999E-2</v>
      </c>
      <c r="W216" s="1877">
        <f t="shared" si="200"/>
        <v>3.5000000000000003E-2</v>
      </c>
      <c r="X216" s="1877">
        <f t="shared" si="200"/>
        <v>3.9E-2</v>
      </c>
      <c r="Y216" s="1877">
        <f t="shared" si="200"/>
        <v>5.5E-2</v>
      </c>
      <c r="Z216" s="1959">
        <f t="shared" si="200"/>
        <v>3.7999999999999999E-2</v>
      </c>
      <c r="AA216" s="1877">
        <f t="shared" si="200"/>
        <v>6.7000000000000004E-2</v>
      </c>
      <c r="AB216" s="1877">
        <f t="shared" si="200"/>
        <v>7.9000000000000001E-2</v>
      </c>
      <c r="AC216" s="1877">
        <f t="shared" si="200"/>
        <v>7.0999999999999994E-2</v>
      </c>
      <c r="AD216" s="1877">
        <f t="shared" si="200"/>
        <v>7.8E-2</v>
      </c>
      <c r="AE216" s="1959">
        <f t="shared" si="200"/>
        <v>7.4999999999999997E-2</v>
      </c>
      <c r="AF216" s="1877">
        <f t="shared" si="200"/>
        <v>9.0999999999999998E-2</v>
      </c>
      <c r="AG216" s="1877">
        <f t="shared" si="200"/>
        <v>8.8999999999999996E-2</v>
      </c>
      <c r="AH216" s="1877">
        <f t="shared" si="200"/>
        <v>8.6999999999999994E-2</v>
      </c>
      <c r="AI216" s="1877">
        <f t="shared" si="200"/>
        <v>8.5999999999999993E-2</v>
      </c>
      <c r="AJ216" s="1959">
        <f t="shared" si="200"/>
        <v>8.6999999999999994E-2</v>
      </c>
      <c r="AK216" s="1877">
        <f t="shared" si="200"/>
        <v>7.2999999999999995E-2</v>
      </c>
      <c r="AL216" s="1877">
        <f t="shared" si="200"/>
        <v>5.8000000000000003E-2</v>
      </c>
      <c r="AM216" s="1877">
        <f t="shared" si="200"/>
        <v>5.6000000000000001E-2</v>
      </c>
      <c r="AN216" s="1877">
        <f t="shared" si="200"/>
        <v>6.2E-2</v>
      </c>
      <c r="AO216" s="1959">
        <f t="shared" si="200"/>
        <v>6.2E-2</v>
      </c>
      <c r="AP216" s="1877">
        <f t="shared" si="200"/>
        <v>3.6999999999999998E-2</v>
      </c>
      <c r="AQ216" s="1877">
        <f t="shared" si="200"/>
        <v>0.03</v>
      </c>
      <c r="AR216" s="1877">
        <f t="shared" si="200"/>
        <v>1.9E-2</v>
      </c>
      <c r="AS216" s="1877">
        <f t="shared" si="200"/>
        <v>-2.9000000000000001E-2</v>
      </c>
      <c r="AT216" s="1960">
        <f t="shared" si="200"/>
        <v>1.0999999999999999E-2</v>
      </c>
      <c r="AU216" s="1877">
        <f t="shared" si="200"/>
        <v>-7.9000000000000001E-2</v>
      </c>
      <c r="AV216" s="1877">
        <f t="shared" si="200"/>
        <v>-0.126</v>
      </c>
      <c r="AW216" s="1877">
        <f t="shared" si="200"/>
        <v>-0.127</v>
      </c>
      <c r="AX216" s="1877">
        <f t="shared" si="200"/>
        <v>-0.10100000000000001</v>
      </c>
      <c r="AY216" s="1960">
        <f t="shared" si="200"/>
        <v>-0.11</v>
      </c>
      <c r="AZ216" s="1877">
        <f t="shared" si="200"/>
        <v>-6.8000000000000005E-2</v>
      </c>
      <c r="BA216" s="1877">
        <f t="shared" si="200"/>
        <v>-4.0000000000000001E-3</v>
      </c>
      <c r="BB216" s="1877">
        <f t="shared" si="200"/>
        <v>1.7000000000000001E-2</v>
      </c>
      <c r="BC216" s="1877">
        <f t="shared" si="200"/>
        <v>1.7999999999999999E-2</v>
      </c>
      <c r="BD216" s="1960">
        <f t="shared" si="200"/>
        <v>-8.9999999999999993E-3</v>
      </c>
      <c r="BE216" s="1877">
        <f t="shared" si="200"/>
        <v>2.4E-2</v>
      </c>
      <c r="BF216" s="1877">
        <f t="shared" si="200"/>
        <v>3.1E-2</v>
      </c>
      <c r="BG216" s="1877">
        <f t="shared" si="200"/>
        <v>3.5000000000000003E-2</v>
      </c>
      <c r="BH216" s="1877">
        <f t="shared" si="200"/>
        <v>3.2000000000000001E-2</v>
      </c>
      <c r="BI216" s="1960">
        <f t="shared" si="200"/>
        <v>3.2000000000000001E-2</v>
      </c>
      <c r="BJ216" s="1877">
        <f t="shared" si="200"/>
        <v>3.5999999999999997E-2</v>
      </c>
      <c r="BK216" s="1877">
        <f t="shared" si="200"/>
        <v>4.2999999999999997E-2</v>
      </c>
      <c r="BL216" s="1877">
        <f t="shared" si="200"/>
        <v>4.9000000000000002E-2</v>
      </c>
      <c r="BM216" s="1877">
        <f t="shared" si="200"/>
        <v>0.04</v>
      </c>
      <c r="BN216" s="1960">
        <f t="shared" si="200"/>
        <v>4.2000000000000003E-2</v>
      </c>
      <c r="BO216" s="1877">
        <f t="shared" ref="BO216:BT216" si="201">+BO625</f>
        <v>4.2000000000000003E-2</v>
      </c>
      <c r="BP216" s="1877">
        <f t="shared" si="201"/>
        <v>3.9E-2</v>
      </c>
      <c r="BQ216" s="1877">
        <f t="shared" si="201"/>
        <v>3.9E-2</v>
      </c>
      <c r="BR216" s="1877">
        <f t="shared" si="201"/>
        <v>3.3000000000000002E-2</v>
      </c>
      <c r="BS216" s="1960">
        <f t="shared" si="201"/>
        <v>3.7999999999999999E-2</v>
      </c>
      <c r="BT216" s="1877">
        <f t="shared" si="201"/>
        <v>3.3000000000000002E-2</v>
      </c>
      <c r="BU216" s="1877">
        <f t="shared" ref="BU216:CC216" si="202">+BU625</f>
        <v>3.6999999999999998E-2</v>
      </c>
      <c r="BV216" s="1877">
        <f t="shared" si="202"/>
        <v>0.05</v>
      </c>
      <c r="BW216" s="1877">
        <f t="shared" si="202"/>
        <v>4.2000000000000003E-2</v>
      </c>
      <c r="BX216" s="1960">
        <f t="shared" si="202"/>
        <v>4.1000000000000002E-2</v>
      </c>
      <c r="BY216" s="1877">
        <f t="shared" si="202"/>
        <v>4.9000000000000002E-2</v>
      </c>
      <c r="BZ216" s="1877">
        <f t="shared" si="202"/>
        <v>5.0999999999999997E-2</v>
      </c>
      <c r="CA216" s="2885">
        <f t="shared" si="202"/>
        <v>4.2000000000000003E-2</v>
      </c>
      <c r="CB216" s="2885">
        <f t="shared" si="202"/>
        <v>3.3000000000000002E-2</v>
      </c>
      <c r="CC216" s="2886">
        <f t="shared" si="202"/>
        <v>4.4999999999999998E-2</v>
      </c>
      <c r="CD216" s="1877">
        <f>+CD625</f>
        <v>2.5999999999999999E-2</v>
      </c>
      <c r="CE216" s="1877">
        <f>+CE625</f>
        <v>2.1999999999999999E-2</v>
      </c>
      <c r="CF216" s="1877">
        <f>+CF625</f>
        <v>2.4E-2</v>
      </c>
      <c r="CG216" s="1483"/>
      <c r="CH216" s="1484"/>
      <c r="CI216" s="1483"/>
      <c r="CJ216" s="1483"/>
      <c r="CK216" s="1483"/>
      <c r="CL216" s="1483"/>
      <c r="CM216" s="1484"/>
      <c r="CN216" s="1483"/>
      <c r="CO216" s="1483"/>
      <c r="CP216" s="1483"/>
      <c r="CQ216" s="1483"/>
      <c r="CR216" s="1484"/>
      <c r="CS216" s="1484"/>
      <c r="CT216" s="1484"/>
      <c r="DA216" s="212"/>
      <c r="DB216" s="1226"/>
    </row>
    <row r="217" spans="1:106" customFormat="1" x14ac:dyDescent="0.2">
      <c r="A217" s="1038"/>
      <c r="AQ217" s="374"/>
      <c r="BP217" s="374"/>
      <c r="BQ217" s="374"/>
      <c r="DA217" s="212"/>
      <c r="DB217" s="1226"/>
    </row>
    <row r="218" spans="1:106" customFormat="1" x14ac:dyDescent="0.2">
      <c r="A218" s="662"/>
      <c r="AQ218" s="374"/>
      <c r="BP218" s="374"/>
      <c r="BQ218" s="374"/>
      <c r="DA218" s="212"/>
      <c r="DB218" s="1226"/>
    </row>
    <row r="219" spans="1:106" s="212" customFormat="1" x14ac:dyDescent="0.2">
      <c r="A219" s="873" t="s">
        <v>772</v>
      </c>
      <c r="B219" s="1053" t="str">
        <f t="shared" ref="B219:AG219" si="203">+B$5</f>
        <v>1Q00</v>
      </c>
      <c r="C219" s="1053" t="str">
        <f t="shared" si="203"/>
        <v>2Q00</v>
      </c>
      <c r="D219" s="1053" t="str">
        <f t="shared" si="203"/>
        <v>3Q00</v>
      </c>
      <c r="E219" s="1053" t="str">
        <f t="shared" si="203"/>
        <v>4Q00</v>
      </c>
      <c r="F219" s="1054">
        <f t="shared" si="203"/>
        <v>2000</v>
      </c>
      <c r="G219" s="1053" t="str">
        <f t="shared" si="203"/>
        <v>1Q01</v>
      </c>
      <c r="H219" s="1053" t="str">
        <f t="shared" si="203"/>
        <v>2Q01</v>
      </c>
      <c r="I219" s="1053" t="str">
        <f t="shared" si="203"/>
        <v>3Q01</v>
      </c>
      <c r="J219" s="1053" t="str">
        <f t="shared" si="203"/>
        <v>4Q01</v>
      </c>
      <c r="K219" s="1054">
        <f t="shared" si="203"/>
        <v>2001</v>
      </c>
      <c r="L219" s="1053" t="str">
        <f t="shared" si="203"/>
        <v>1Q02</v>
      </c>
      <c r="M219" s="1053" t="str">
        <f t="shared" si="203"/>
        <v>2Q02</v>
      </c>
      <c r="N219" s="1053" t="str">
        <f t="shared" si="203"/>
        <v>3Q02</v>
      </c>
      <c r="O219" s="1053" t="str">
        <f t="shared" si="203"/>
        <v>4Q02</v>
      </c>
      <c r="P219" s="1054">
        <f t="shared" si="203"/>
        <v>2002</v>
      </c>
      <c r="Q219" s="1053" t="str">
        <f t="shared" si="203"/>
        <v>1Q03</v>
      </c>
      <c r="R219" s="1053" t="str">
        <f t="shared" si="203"/>
        <v>2Q03</v>
      </c>
      <c r="S219" s="1053" t="str">
        <f t="shared" si="203"/>
        <v>3Q03</v>
      </c>
      <c r="T219" s="1453" t="str">
        <f t="shared" si="203"/>
        <v>4Q03</v>
      </c>
      <c r="U219" s="1054">
        <f t="shared" si="203"/>
        <v>2003</v>
      </c>
      <c r="V219" s="1053" t="str">
        <f t="shared" si="203"/>
        <v>1Q04</v>
      </c>
      <c r="W219" s="1053" t="str">
        <f t="shared" si="203"/>
        <v>2Q04</v>
      </c>
      <c r="X219" s="1053" t="str">
        <f t="shared" si="203"/>
        <v>3Q04</v>
      </c>
      <c r="Y219" s="1453" t="str">
        <f t="shared" si="203"/>
        <v>4Q04</v>
      </c>
      <c r="Z219" s="1054" t="str">
        <f t="shared" si="203"/>
        <v>2004</v>
      </c>
      <c r="AA219" s="1053" t="str">
        <f t="shared" si="203"/>
        <v>1Q05</v>
      </c>
      <c r="AB219" s="1053" t="str">
        <f t="shared" si="203"/>
        <v>2Q05</v>
      </c>
      <c r="AC219" s="1053" t="str">
        <f t="shared" si="203"/>
        <v>3Q05</v>
      </c>
      <c r="AD219" s="1453" t="str">
        <f t="shared" si="203"/>
        <v>4Q05</v>
      </c>
      <c r="AE219" s="1054">
        <f t="shared" si="203"/>
        <v>2005</v>
      </c>
      <c r="AF219" s="1053" t="str">
        <f t="shared" si="203"/>
        <v>1Q06</v>
      </c>
      <c r="AG219" s="1053" t="str">
        <f t="shared" si="203"/>
        <v>2Q06</v>
      </c>
      <c r="AH219" s="1053" t="str">
        <f t="shared" ref="AH219:BM219" si="204">+AH$5</f>
        <v>3Q06</v>
      </c>
      <c r="AI219" s="1453" t="str">
        <f t="shared" si="204"/>
        <v>4Q06</v>
      </c>
      <c r="AJ219" s="1054">
        <f t="shared" si="204"/>
        <v>2006</v>
      </c>
      <c r="AK219" s="1053" t="str">
        <f t="shared" si="204"/>
        <v>1Q07</v>
      </c>
      <c r="AL219" s="1053" t="str">
        <f t="shared" si="204"/>
        <v>2Q07</v>
      </c>
      <c r="AM219" s="1053" t="str">
        <f t="shared" si="204"/>
        <v>3Q07</v>
      </c>
      <c r="AN219" s="1053" t="str">
        <f t="shared" si="204"/>
        <v>4Q07</v>
      </c>
      <c r="AO219" s="1054" t="str">
        <f t="shared" si="204"/>
        <v>2007</v>
      </c>
      <c r="AP219" s="1053" t="str">
        <f t="shared" si="204"/>
        <v>1Q08</v>
      </c>
      <c r="AQ219" s="1053" t="str">
        <f t="shared" si="204"/>
        <v>2Q08</v>
      </c>
      <c r="AR219" s="1053" t="str">
        <f t="shared" si="204"/>
        <v>3Q08</v>
      </c>
      <c r="AS219" s="1053" t="str">
        <f t="shared" si="204"/>
        <v>4Q08</v>
      </c>
      <c r="AT219" s="1054" t="str">
        <f t="shared" si="204"/>
        <v>2008</v>
      </c>
      <c r="AU219" s="1053" t="str">
        <f t="shared" si="204"/>
        <v>1Q09</v>
      </c>
      <c r="AV219" s="1053" t="str">
        <f t="shared" si="204"/>
        <v>2Q09</v>
      </c>
      <c r="AW219" s="1053" t="str">
        <f t="shared" si="204"/>
        <v>3Q09</v>
      </c>
      <c r="AX219" s="1053" t="str">
        <f t="shared" si="204"/>
        <v>4Q09</v>
      </c>
      <c r="AY219" s="1054" t="str">
        <f t="shared" si="204"/>
        <v>2009</v>
      </c>
      <c r="AZ219" s="1053" t="str">
        <f t="shared" si="204"/>
        <v>1Q10</v>
      </c>
      <c r="BA219" s="1053" t="str">
        <f t="shared" si="204"/>
        <v>2Q10</v>
      </c>
      <c r="BB219" s="1053" t="str">
        <f t="shared" si="204"/>
        <v>3Q10</v>
      </c>
      <c r="BC219" s="1053" t="str">
        <f t="shared" si="204"/>
        <v>4Q10</v>
      </c>
      <c r="BD219" s="1054" t="str">
        <f t="shared" si="204"/>
        <v>2010</v>
      </c>
      <c r="BE219" s="1053" t="str">
        <f t="shared" si="204"/>
        <v>1Q11</v>
      </c>
      <c r="BF219" s="1053" t="str">
        <f t="shared" si="204"/>
        <v>2Q11</v>
      </c>
      <c r="BG219" s="1053" t="str">
        <f t="shared" si="204"/>
        <v>3Q11</v>
      </c>
      <c r="BH219" s="1053" t="str">
        <f t="shared" si="204"/>
        <v>4Q11</v>
      </c>
      <c r="BI219" s="1054">
        <f t="shared" si="204"/>
        <v>2011</v>
      </c>
      <c r="BJ219" s="1053" t="str">
        <f t="shared" si="204"/>
        <v>1Q12</v>
      </c>
      <c r="BK219" s="1053" t="str">
        <f t="shared" si="204"/>
        <v>2Q12</v>
      </c>
      <c r="BL219" s="1053" t="str">
        <f t="shared" si="204"/>
        <v>3Q12</v>
      </c>
      <c r="BM219" s="1053" t="str">
        <f t="shared" si="204"/>
        <v>4Q12</v>
      </c>
      <c r="BN219" s="1054">
        <f t="shared" ref="BN219:CT219" si="205">+BN$5</f>
        <v>2012</v>
      </c>
      <c r="BO219" s="1053" t="str">
        <f t="shared" si="205"/>
        <v>1Q13</v>
      </c>
      <c r="BP219" s="1053" t="str">
        <f t="shared" si="205"/>
        <v>2Q13</v>
      </c>
      <c r="BQ219" s="1053" t="str">
        <f t="shared" si="205"/>
        <v>3Q13</v>
      </c>
      <c r="BR219" s="1053" t="str">
        <f t="shared" si="205"/>
        <v>4Q13</v>
      </c>
      <c r="BS219" s="1054">
        <f t="shared" si="205"/>
        <v>2013</v>
      </c>
      <c r="BT219" s="1053" t="str">
        <f t="shared" si="205"/>
        <v>1Q14</v>
      </c>
      <c r="BU219" s="1053" t="str">
        <f t="shared" si="205"/>
        <v>2Q14</v>
      </c>
      <c r="BV219" s="1053" t="str">
        <f t="shared" si="205"/>
        <v>3Q14</v>
      </c>
      <c r="BW219" s="1053" t="str">
        <f t="shared" si="205"/>
        <v>4Q14</v>
      </c>
      <c r="BX219" s="1054">
        <f t="shared" si="205"/>
        <v>2014</v>
      </c>
      <c r="BY219" s="1053" t="str">
        <f t="shared" si="205"/>
        <v>1Q15</v>
      </c>
      <c r="BZ219" s="1053" t="str">
        <f t="shared" si="205"/>
        <v>2Q15</v>
      </c>
      <c r="CA219" s="1053" t="str">
        <f t="shared" si="205"/>
        <v>3Q15</v>
      </c>
      <c r="CB219" s="1053" t="str">
        <f t="shared" si="205"/>
        <v>4Q15</v>
      </c>
      <c r="CC219" s="1054">
        <f t="shared" si="205"/>
        <v>2015</v>
      </c>
      <c r="CD219" s="1053" t="str">
        <f t="shared" si="205"/>
        <v>1Q16</v>
      </c>
      <c r="CE219" s="1053" t="str">
        <f t="shared" si="205"/>
        <v>2Q16</v>
      </c>
      <c r="CF219" s="1053" t="str">
        <f t="shared" si="205"/>
        <v>3Q16</v>
      </c>
      <c r="CG219" s="1053" t="str">
        <f t="shared" si="205"/>
        <v>4Q16</v>
      </c>
      <c r="CH219" s="1054">
        <f t="shared" si="205"/>
        <v>2016</v>
      </c>
      <c r="CI219" s="1053" t="str">
        <f t="shared" si="205"/>
        <v>1Q17</v>
      </c>
      <c r="CJ219" s="1053" t="str">
        <f t="shared" si="205"/>
        <v>2Q17</v>
      </c>
      <c r="CK219" s="1053" t="str">
        <f t="shared" si="205"/>
        <v>3Q17</v>
      </c>
      <c r="CL219" s="1053" t="str">
        <f t="shared" si="205"/>
        <v>4Q17A</v>
      </c>
      <c r="CM219" s="1054" t="str">
        <f t="shared" si="205"/>
        <v>2017A</v>
      </c>
      <c r="CN219" s="1053" t="str">
        <f t="shared" si="205"/>
        <v>1Q18E</v>
      </c>
      <c r="CO219" s="1053" t="str">
        <f t="shared" si="205"/>
        <v>2Q18E</v>
      </c>
      <c r="CP219" s="1053" t="str">
        <f t="shared" si="205"/>
        <v>3Q18E</v>
      </c>
      <c r="CQ219" s="1053" t="str">
        <f t="shared" si="205"/>
        <v>4Q18E</v>
      </c>
      <c r="CR219" s="1054" t="str">
        <f t="shared" si="205"/>
        <v>2018E</v>
      </c>
      <c r="CS219" s="1054" t="str">
        <f t="shared" si="205"/>
        <v>2019E</v>
      </c>
      <c r="CT219" s="1054" t="str">
        <f t="shared" si="205"/>
        <v>2020E</v>
      </c>
      <c r="DB219" s="1226"/>
    </row>
    <row r="220" spans="1:106" s="212" customFormat="1" x14ac:dyDescent="0.2">
      <c r="A220" s="504"/>
      <c r="F220" s="194"/>
      <c r="K220" s="194"/>
      <c r="P220" s="194"/>
      <c r="Q220" s="2449"/>
      <c r="R220" s="2636"/>
      <c r="S220" s="2636"/>
      <c r="T220" s="2637"/>
      <c r="U220" s="197"/>
      <c r="Z220" s="197"/>
      <c r="AE220" s="197"/>
      <c r="AJ220" s="197"/>
      <c r="AO220" s="197"/>
      <c r="AT220" s="194"/>
      <c r="AY220" s="194"/>
      <c r="BD220" s="194"/>
      <c r="BI220" s="194"/>
      <c r="BN220" s="194"/>
      <c r="BO220" s="193"/>
      <c r="BR220" s="192"/>
      <c r="BS220" s="194"/>
      <c r="BT220" s="193"/>
      <c r="BW220" s="192"/>
      <c r="BX220" s="194"/>
      <c r="CB220" s="192"/>
      <c r="CC220" s="194"/>
      <c r="CG220" s="192"/>
      <c r="CH220" s="194"/>
      <c r="CM220" s="194"/>
      <c r="CR220" s="194"/>
      <c r="CS220" s="194"/>
      <c r="CT220" s="194"/>
      <c r="DB220" s="1226"/>
    </row>
    <row r="221" spans="1:106" s="212" customFormat="1" x14ac:dyDescent="0.2">
      <c r="A221" s="1437" t="s">
        <v>487</v>
      </c>
      <c r="B221" s="234"/>
      <c r="C221" s="234"/>
      <c r="D221" s="234"/>
      <c r="E221" s="234"/>
      <c r="F221" s="236"/>
      <c r="G221" s="234"/>
      <c r="H221" s="234"/>
      <c r="I221" s="234"/>
      <c r="J221" s="234"/>
      <c r="K221" s="236"/>
      <c r="L221" s="234"/>
      <c r="M221" s="234"/>
      <c r="N221" s="234"/>
      <c r="O221" s="234"/>
      <c r="P221" s="236"/>
      <c r="Q221" s="2638"/>
      <c r="R221" s="234"/>
      <c r="S221" s="234"/>
      <c r="T221" s="208"/>
      <c r="U221" s="236"/>
      <c r="V221" s="234"/>
      <c r="W221" s="234"/>
      <c r="X221" s="234"/>
      <c r="Y221" s="234"/>
      <c r="Z221" s="236"/>
      <c r="AA221" s="234"/>
      <c r="AB221" s="234"/>
      <c r="AC221" s="234"/>
      <c r="AD221" s="234"/>
      <c r="AE221" s="236"/>
      <c r="AF221" s="234"/>
      <c r="AG221" s="234"/>
      <c r="AH221" s="234"/>
      <c r="AI221" s="234"/>
      <c r="AJ221" s="236"/>
      <c r="AK221" s="234"/>
      <c r="AL221" s="234"/>
      <c r="AM221" s="234"/>
      <c r="AN221" s="234"/>
      <c r="AO221" s="236"/>
      <c r="AP221" s="234"/>
      <c r="AQ221" s="234"/>
      <c r="AR221" s="234"/>
      <c r="AS221" s="234"/>
      <c r="AT221" s="236"/>
      <c r="AU221" s="234"/>
      <c r="AV221" s="234"/>
      <c r="AW221" s="234"/>
      <c r="AX221" s="234"/>
      <c r="AY221" s="236"/>
      <c r="AZ221" s="234"/>
      <c r="BA221" s="234"/>
      <c r="BB221" s="234"/>
      <c r="BC221" s="234"/>
      <c r="BD221" s="236"/>
      <c r="BE221" s="234"/>
      <c r="BF221" s="234"/>
      <c r="BG221" s="234"/>
      <c r="BH221" s="234"/>
      <c r="BI221" s="236"/>
      <c r="BJ221" s="234"/>
      <c r="BK221" s="234"/>
      <c r="BL221" s="234"/>
      <c r="BN221" s="194"/>
      <c r="BO221" s="193"/>
      <c r="BR221" s="192"/>
      <c r="BS221" s="194"/>
      <c r="BT221" s="193"/>
      <c r="BW221" s="192"/>
      <c r="BX221" s="194"/>
      <c r="CB221" s="192"/>
      <c r="CC221" s="194"/>
      <c r="CG221" s="192"/>
      <c r="CH221" s="194"/>
      <c r="CM221" s="194"/>
      <c r="CR221" s="194"/>
      <c r="CS221" s="194"/>
      <c r="CT221" s="194"/>
      <c r="DB221" s="1226"/>
    </row>
    <row r="222" spans="1:106" s="212" customFormat="1" x14ac:dyDescent="0.2">
      <c r="A222" s="1434" t="s">
        <v>1644</v>
      </c>
      <c r="B222" s="234"/>
      <c r="C222" s="234"/>
      <c r="D222" s="234"/>
      <c r="E222" s="234"/>
      <c r="F222" s="236"/>
      <c r="G222" s="234"/>
      <c r="H222" s="234"/>
      <c r="I222" s="234"/>
      <c r="J222" s="234"/>
      <c r="K222" s="236"/>
      <c r="L222" s="234"/>
      <c r="M222" s="234"/>
      <c r="N222" s="234"/>
      <c r="O222" s="234"/>
      <c r="P222" s="236"/>
      <c r="Q222" s="2638"/>
      <c r="R222" s="234"/>
      <c r="S222" s="234"/>
      <c r="T222" s="208"/>
      <c r="U222" s="236"/>
      <c r="V222" s="234"/>
      <c r="W222" s="234"/>
      <c r="X222" s="234"/>
      <c r="Y222" s="234"/>
      <c r="Z222" s="236"/>
      <c r="AA222" s="234"/>
      <c r="AB222" s="234"/>
      <c r="AC222" s="234"/>
      <c r="AD222" s="234"/>
      <c r="AE222" s="236"/>
      <c r="AF222" s="234"/>
      <c r="AG222" s="234"/>
      <c r="AH222" s="234"/>
      <c r="AI222" s="234"/>
      <c r="AJ222" s="236"/>
      <c r="AK222" s="234"/>
      <c r="AL222" s="234"/>
      <c r="AM222" s="234"/>
      <c r="AN222" s="234"/>
      <c r="AO222" s="236"/>
      <c r="AP222" s="1548">
        <f>AP272*AP301</f>
        <v>135.541</v>
      </c>
      <c r="AQ222" s="1548">
        <f>AQ272*AQ301</f>
        <v>138.47203999999999</v>
      </c>
      <c r="AR222" s="1548">
        <f>AR272*AR301</f>
        <v>117.82691999999999</v>
      </c>
      <c r="AS222" s="1548">
        <f>AS272*AS301</f>
        <v>113.39792000000001</v>
      </c>
      <c r="AT222" s="1547">
        <f>AVERAGE(AP222:AS222)</f>
        <v>126.30946999999999</v>
      </c>
      <c r="AU222" s="1548">
        <f>AU272*AU301</f>
        <v>119.77152</v>
      </c>
      <c r="AV222" s="1548">
        <f>AV272*AV301</f>
        <v>108.24905</v>
      </c>
      <c r="AW222" s="1548">
        <f>AW272*AW301</f>
        <v>90.735839999999996</v>
      </c>
      <c r="AX222" s="1548">
        <f>AX272*AX301</f>
        <v>94.086360000000013</v>
      </c>
      <c r="AY222" s="1547">
        <f>AVERAGE(AU222:AX222)</f>
        <v>103.21069249999999</v>
      </c>
      <c r="AZ222" s="1548">
        <f>AZ272*AZ301</f>
        <v>120.04614000000002</v>
      </c>
      <c r="BA222" s="1548">
        <f>BA272*BA301</f>
        <v>122.34296000000001</v>
      </c>
      <c r="BB222" s="1548">
        <f>BB272*BB301</f>
        <v>100.78712</v>
      </c>
      <c r="BC222" s="1548">
        <f>BC272*BC301</f>
        <v>101.30641999999999</v>
      </c>
      <c r="BD222" s="1547">
        <f>AVERAGE(AZ222:BC222)</f>
        <v>111.12066000000002</v>
      </c>
      <c r="BE222" s="1990">
        <f>BE272*BE301</f>
        <v>125.77949999999998</v>
      </c>
      <c r="BF222" s="1990">
        <f>BF272*BF301</f>
        <v>127.85493000000001</v>
      </c>
      <c r="BG222" s="1990">
        <f>BG272*BG301</f>
        <v>105.50750999999998</v>
      </c>
      <c r="BH222" s="1990">
        <f>BH272*BH301</f>
        <v>107.05284000000002</v>
      </c>
      <c r="BI222" s="1547">
        <f>AVERAGE(BE222:BH222)</f>
        <v>116.548695</v>
      </c>
      <c r="BJ222" s="1990">
        <f>BJ272*BJ301</f>
        <v>128.96099999999998</v>
      </c>
      <c r="BK222" s="1990">
        <f>BK272*BK301</f>
        <v>132.45749999999998</v>
      </c>
      <c r="BL222" s="1990">
        <f>BL272*BL301</f>
        <v>111.35167999999999</v>
      </c>
      <c r="BM222" s="1990">
        <f>BM272*BM301</f>
        <v>111.43160000000002</v>
      </c>
      <c r="BN222" s="1547">
        <f>AVERAGE(BJ222:BM222)</f>
        <v>121.050445</v>
      </c>
      <c r="BO222" s="1990">
        <f>BO272*BO301</f>
        <v>147.91391999999999</v>
      </c>
      <c r="BP222" s="1990">
        <f>BP272*BP301</f>
        <v>130.47399999999999</v>
      </c>
      <c r="BQ222" s="1990">
        <f>BQ272*BQ301</f>
        <v>119.52731999999999</v>
      </c>
      <c r="BR222" s="1990">
        <f>BR272*BR301</f>
        <v>126.38685999999998</v>
      </c>
      <c r="BS222" s="1547">
        <f>AVERAGE(BO222:BR222)</f>
        <v>131.075525</v>
      </c>
      <c r="BT222" s="1990">
        <f>BT272*BT301</f>
        <v>181.48537000000002</v>
      </c>
      <c r="BU222" s="1990">
        <f>BU272*BU301</f>
        <v>145.21455</v>
      </c>
      <c r="BV222" s="1990">
        <f>BV272*BV301</f>
        <v>124.88845999999999</v>
      </c>
      <c r="BW222" s="1990">
        <f>BW272*BW301</f>
        <v>139.29544999999999</v>
      </c>
      <c r="BX222" s="1547">
        <f>AVERAGE(BT222:BW222)</f>
        <v>147.7209575</v>
      </c>
      <c r="BY222" s="1990">
        <f>BY272*BY301</f>
        <v>185.34152</v>
      </c>
      <c r="BZ222" s="1990">
        <f>BZ272*BZ301</f>
        <v>147.88242</v>
      </c>
      <c r="CA222" s="3049">
        <f>CA272*CA301</f>
        <v>122.06015000000001</v>
      </c>
      <c r="CB222" s="1990">
        <f>CB272*CB301</f>
        <v>140.65995999999998</v>
      </c>
      <c r="CC222" s="1547">
        <f>AVERAGE(BY222:CB222)</f>
        <v>148.98601249999999</v>
      </c>
      <c r="CD222" s="1990">
        <f>CD272*CD301</f>
        <v>170.85791999999998</v>
      </c>
      <c r="CE222" s="1990">
        <f>CE272*CE301</f>
        <v>144.93248</v>
      </c>
      <c r="CF222" s="1990">
        <f>CF272*CF301</f>
        <v>130.49880000000002</v>
      </c>
      <c r="CG222" s="1990">
        <f>CG272*CG301</f>
        <v>105.99872000000001</v>
      </c>
      <c r="CH222" s="1547">
        <f>AVERAGE(CD222:CG222)</f>
        <v>138.07198</v>
      </c>
      <c r="CI222" s="1990">
        <f>CI272*CI301</f>
        <v>129.65652</v>
      </c>
      <c r="CJ222" s="1990">
        <f>CJ272*CJ301</f>
        <v>116.13225000000001</v>
      </c>
      <c r="CK222" s="1990">
        <f>CK272*CK301</f>
        <v>109.78704</v>
      </c>
      <c r="CL222" s="1990">
        <f>CL272*CL301</f>
        <v>107.03957000000001</v>
      </c>
      <c r="CM222" s="1547">
        <f>AVERAGE(CI222:CL222)</f>
        <v>115.653845</v>
      </c>
      <c r="CN222" s="3653">
        <f>CI222*(1+CN223)</f>
        <v>133.54621560000001</v>
      </c>
      <c r="CO222" s="3653">
        <f>CJ222*(1+CO223)</f>
        <v>119.61621750000002</v>
      </c>
      <c r="CP222" s="3653">
        <f>CK222*(1+CP223)</f>
        <v>111.9827808</v>
      </c>
      <c r="CQ222" s="3653">
        <f>CL222*(1+CQ223)</f>
        <v>109.18036140000001</v>
      </c>
      <c r="CR222" s="1547">
        <f>AVERAGE(CN222:CQ222)</f>
        <v>118.58139382500002</v>
      </c>
      <c r="CS222" s="1547">
        <f>CR222*(1+CS223)</f>
        <v>120.36011473237501</v>
      </c>
      <c r="CT222" s="1547">
        <f>CS222*(1+CT223)</f>
        <v>116.74931129040375</v>
      </c>
      <c r="CU222"/>
      <c r="DB222" s="1226"/>
    </row>
    <row r="223" spans="1:106" s="212" customFormat="1" x14ac:dyDescent="0.2">
      <c r="A223" s="1595" t="s">
        <v>652</v>
      </c>
      <c r="B223" s="1540"/>
      <c r="C223" s="1540"/>
      <c r="D223" s="1540"/>
      <c r="E223" s="1540"/>
      <c r="F223" s="1541"/>
      <c r="G223" s="1542"/>
      <c r="H223" s="1542"/>
      <c r="I223" s="1542"/>
      <c r="J223" s="1542"/>
      <c r="K223" s="1543"/>
      <c r="L223" s="1542"/>
      <c r="M223" s="1542"/>
      <c r="N223" s="1542"/>
      <c r="O223" s="1542"/>
      <c r="P223" s="1543"/>
      <c r="Q223" s="2639"/>
      <c r="R223" s="1542"/>
      <c r="S223" s="1542"/>
      <c r="T223" s="2640"/>
      <c r="U223" s="1543"/>
      <c r="V223" s="1542"/>
      <c r="W223" s="1542"/>
      <c r="X223" s="1542"/>
      <c r="Y223" s="1542"/>
      <c r="Z223" s="1543"/>
      <c r="AA223" s="1542"/>
      <c r="AB223" s="1542"/>
      <c r="AC223" s="1542"/>
      <c r="AD223" s="1542"/>
      <c r="AE223" s="1543"/>
      <c r="AF223" s="1542"/>
      <c r="AG223" s="1542"/>
      <c r="AH223" s="1542"/>
      <c r="AI223" s="1542"/>
      <c r="AJ223" s="1543"/>
      <c r="AK223" s="1542"/>
      <c r="AL223" s="1542"/>
      <c r="AM223" s="1542"/>
      <c r="AN223" s="1542"/>
      <c r="AO223" s="1544"/>
      <c r="AP223" s="1546"/>
      <c r="AQ223" s="1546"/>
      <c r="AR223" s="1546"/>
      <c r="AS223" s="1546"/>
      <c r="AT223" s="1545"/>
      <c r="AU223" s="1546">
        <f>AU222/AP222-1</f>
        <v>-0.11634472226116088</v>
      </c>
      <c r="AV223" s="1546">
        <f>AV222/AQ222-1</f>
        <v>-0.21826059614634119</v>
      </c>
      <c r="AW223" s="1546">
        <f>AW222/AR222-1</f>
        <v>-0.22992266962422503</v>
      </c>
      <c r="AX223" s="1546">
        <f>AX222/AS222-1</f>
        <v>-0.17029906721393129</v>
      </c>
      <c r="AY223" s="1545">
        <f>+AY222/AT222-1</f>
        <v>-0.18287447093238529</v>
      </c>
      <c r="AZ223" s="1546">
        <f>AZ222/AU222-1</f>
        <v>2.2928656161333993E-3</v>
      </c>
      <c r="BA223" s="1546">
        <f>BA222/AV222-1</f>
        <v>0.13019892553329582</v>
      </c>
      <c r="BB223" s="1546">
        <f>BB222/AW222-1</f>
        <v>0.1107751909278627</v>
      </c>
      <c r="BC223" s="1546">
        <f>BC222/AX222-1</f>
        <v>7.6738647344843258E-2</v>
      </c>
      <c r="BD223" s="2881">
        <f>+BD222/AY222-1</f>
        <v>7.6639031367801591E-2</v>
      </c>
      <c r="BE223" s="2882">
        <f>BE222/AZ222-1</f>
        <v>4.7759636419796303E-2</v>
      </c>
      <c r="BF223" s="2882">
        <f>BF222/BA222-1</f>
        <v>4.5053430127896199E-2</v>
      </c>
      <c r="BG223" s="2882">
        <f>BG222/BB222-1</f>
        <v>4.6835250377230464E-2</v>
      </c>
      <c r="BH223" s="2882">
        <f>BH222/BC222-1</f>
        <v>5.6723157328035345E-2</v>
      </c>
      <c r="BI223" s="2881">
        <f>+BI222/BD222-1</f>
        <v>4.884811699282543E-2</v>
      </c>
      <c r="BJ223" s="2882">
        <f t="shared" ref="BJ223:BO223" si="206">BJ222/BE222-1</f>
        <v>2.5294264963686475E-2</v>
      </c>
      <c r="BK223" s="2882">
        <f t="shared" si="206"/>
        <v>3.5998377223310563E-2</v>
      </c>
      <c r="BL223" s="2882">
        <f t="shared" si="206"/>
        <v>5.5391033301800174E-2</v>
      </c>
      <c r="BM223" s="2882">
        <f t="shared" si="206"/>
        <v>4.0902791556020279E-2</v>
      </c>
      <c r="BN223" s="2887">
        <f t="shared" si="206"/>
        <v>3.8625486111191654E-2</v>
      </c>
      <c r="BO223" s="2882">
        <f t="shared" si="206"/>
        <v>0.14696629213483159</v>
      </c>
      <c r="BP223" s="2882">
        <f t="shared" ref="BP223:BV223" si="207">BP222/BK222-1</f>
        <v>-1.497461449899018E-2</v>
      </c>
      <c r="BQ223" s="2882">
        <f t="shared" si="207"/>
        <v>7.3421793007523606E-2</v>
      </c>
      <c r="BR223" s="2882">
        <f t="shared" si="207"/>
        <v>0.1342102240298082</v>
      </c>
      <c r="BS223" s="2887">
        <f t="shared" si="207"/>
        <v>8.2817374194700477E-2</v>
      </c>
      <c r="BT223" s="2882">
        <f t="shared" si="207"/>
        <v>0.22696613003022326</v>
      </c>
      <c r="BU223" s="2882">
        <f t="shared" si="207"/>
        <v>0.11297691494090789</v>
      </c>
      <c r="BV223" s="2882">
        <f t="shared" si="207"/>
        <v>4.4852842011349425E-2</v>
      </c>
      <c r="BW223" s="2882">
        <f t="shared" ref="BW223:CL223" si="208">BW222/BR222-1</f>
        <v>0.10213553845708323</v>
      </c>
      <c r="BX223" s="2887">
        <f t="shared" si="208"/>
        <v>0.12699115643442971</v>
      </c>
      <c r="BY223" s="2882">
        <f t="shared" si="208"/>
        <v>2.1247718204503219E-2</v>
      </c>
      <c r="BZ223" s="2882">
        <f t="shared" si="208"/>
        <v>1.8371919342793142E-2</v>
      </c>
      <c r="CA223" s="2882">
        <f t="shared" si="208"/>
        <v>-2.2646688092718747E-2</v>
      </c>
      <c r="CB223" s="2882">
        <f t="shared" si="208"/>
        <v>9.795797350164781E-3</v>
      </c>
      <c r="CC223" s="2887">
        <f t="shared" si="208"/>
        <v>8.5638153272868944E-3</v>
      </c>
      <c r="CD223" s="2882">
        <f t="shared" si="208"/>
        <v>-7.8145468969931908E-2</v>
      </c>
      <c r="CE223" s="2882">
        <f t="shared" si="208"/>
        <v>-1.994787480486182E-2</v>
      </c>
      <c r="CF223" s="2882">
        <f t="shared" si="208"/>
        <v>6.9135176386396546E-2</v>
      </c>
      <c r="CG223" s="2882">
        <f t="shared" si="208"/>
        <v>-0.24641866811280189</v>
      </c>
      <c r="CH223" s="1044">
        <f>AVERAGE(CD223:CG223)</f>
        <v>-6.8844208875299767E-2</v>
      </c>
      <c r="CI223" s="2882">
        <f t="shared" si="208"/>
        <v>-0.24114422088247345</v>
      </c>
      <c r="CJ223" s="2882">
        <f t="shared" si="208"/>
        <v>-0.19871480844045442</v>
      </c>
      <c r="CK223" s="2882">
        <f t="shared" si="208"/>
        <v>-0.15871226402081862</v>
      </c>
      <c r="CL223" s="2882">
        <f t="shared" si="208"/>
        <v>9.8194581972310679E-3</v>
      </c>
      <c r="CM223" s="1044">
        <f>AVERAGE(CI223:CL223)</f>
        <v>-0.14718795878662885</v>
      </c>
      <c r="CN223" s="886">
        <v>0.03</v>
      </c>
      <c r="CO223" s="886">
        <v>0.03</v>
      </c>
      <c r="CP223" s="886">
        <v>0.02</v>
      </c>
      <c r="CQ223" s="886">
        <v>0.02</v>
      </c>
      <c r="CR223" s="1044">
        <f>+CR222/CM222-1</f>
        <v>2.5313026341666545E-2</v>
      </c>
      <c r="CS223" s="1046">
        <v>1.4999999999999999E-2</v>
      </c>
      <c r="CT223" s="1046">
        <v>-0.03</v>
      </c>
      <c r="DB223" s="1226"/>
    </row>
    <row r="224" spans="1:106" x14ac:dyDescent="0.2">
      <c r="A224" s="1595" t="s">
        <v>359</v>
      </c>
      <c r="B224" s="1924" t="s">
        <v>673</v>
      </c>
      <c r="C224" s="1924" t="s">
        <v>673</v>
      </c>
      <c r="D224" s="1924" t="s">
        <v>673</v>
      </c>
      <c r="E224" s="1924" t="s">
        <v>673</v>
      </c>
      <c r="F224" s="1890" t="s">
        <v>673</v>
      </c>
      <c r="G224" s="1924" t="s">
        <v>673</v>
      </c>
      <c r="H224" s="1924" t="s">
        <v>673</v>
      </c>
      <c r="I224" s="1924" t="s">
        <v>673</v>
      </c>
      <c r="J224" s="1924" t="s">
        <v>673</v>
      </c>
      <c r="K224" s="1890" t="s">
        <v>673</v>
      </c>
      <c r="L224" s="1924" t="s">
        <v>673</v>
      </c>
      <c r="M224" s="1924" t="s">
        <v>673</v>
      </c>
      <c r="N224" s="1924" t="s">
        <v>673</v>
      </c>
      <c r="O224" s="1924" t="s">
        <v>673</v>
      </c>
      <c r="P224" s="1890" t="s">
        <v>673</v>
      </c>
      <c r="Q224" s="2646">
        <v>0.16300000000000001</v>
      </c>
      <c r="R224" s="2647">
        <v>5.7000000000000002E-2</v>
      </c>
      <c r="S224" s="2647">
        <v>6.4000000000000001E-2</v>
      </c>
      <c r="T224" s="2648">
        <v>8.2000000000000003E-2</v>
      </c>
      <c r="U224" s="2649">
        <v>8.5000000000000006E-2</v>
      </c>
      <c r="V224" s="2647">
        <v>0.124</v>
      </c>
      <c r="W224" s="2647">
        <v>0.17499999999999999</v>
      </c>
      <c r="X224" s="2647">
        <v>0.21199999999999999</v>
      </c>
      <c r="Y224" s="2647">
        <v>0.13100000000000001</v>
      </c>
      <c r="Z224" s="2649">
        <v>0.14699999999999999</v>
      </c>
      <c r="AA224" s="2647">
        <v>0.126</v>
      </c>
      <c r="AB224" s="2647">
        <v>0.17399999999999999</v>
      </c>
      <c r="AC224" s="2647">
        <v>0.125</v>
      </c>
      <c r="AD224" s="2647">
        <v>0.107</v>
      </c>
      <c r="AE224" s="2649">
        <v>0.13100000000000001</v>
      </c>
      <c r="AF224" s="2647">
        <v>5.5E-2</v>
      </c>
      <c r="AG224" s="2647">
        <v>0.126</v>
      </c>
      <c r="AH224" s="2647">
        <v>8.3000000000000004E-2</v>
      </c>
      <c r="AI224" s="2647">
        <v>0.122</v>
      </c>
      <c r="AJ224" s="2649">
        <v>9.9000000000000005E-2</v>
      </c>
      <c r="AK224" s="2647">
        <v>0.16900000000000001</v>
      </c>
      <c r="AL224" s="2647">
        <v>8.5000000000000006E-2</v>
      </c>
      <c r="AM224" s="2647">
        <v>0.108</v>
      </c>
      <c r="AN224" s="2647">
        <v>0.124</v>
      </c>
      <c r="AO224" s="2649">
        <v>0.11700000000000001</v>
      </c>
      <c r="AP224" s="886">
        <v>9.8000000000000004E-2</v>
      </c>
      <c r="AQ224" s="886">
        <v>0.05</v>
      </c>
      <c r="AR224" s="886">
        <v>8.1000000000000003E-2</v>
      </c>
      <c r="AS224" s="886">
        <v>6.6000000000000003E-2</v>
      </c>
      <c r="AT224" s="1046">
        <v>7.3999999999999996E-2</v>
      </c>
      <c r="AU224" s="886">
        <v>-0.14099999999999999</v>
      </c>
      <c r="AV224" s="886">
        <v>-0.23400000000000001</v>
      </c>
      <c r="AW224" s="886">
        <v>-0.245</v>
      </c>
      <c r="AX224" s="886">
        <v>-0.152</v>
      </c>
      <c r="AY224" s="1046">
        <v>-0.19600000000000001</v>
      </c>
      <c r="AZ224" s="886">
        <v>1.7999999999999999E-2</v>
      </c>
      <c r="BA224" s="886">
        <v>0.155</v>
      </c>
      <c r="BB224" s="886">
        <v>0.14199999999999999</v>
      </c>
      <c r="BC224" s="886">
        <v>9.4E-2</v>
      </c>
      <c r="BD224" s="1046">
        <v>0.106</v>
      </c>
      <c r="BE224" s="886">
        <v>0.14399999999999999</v>
      </c>
      <c r="BF224" s="886">
        <v>0.124</v>
      </c>
      <c r="BG224" s="886">
        <v>0.124</v>
      </c>
      <c r="BH224" s="886">
        <v>9.4E-2</v>
      </c>
      <c r="BI224" s="1046">
        <v>9.9000000000000005E-2</v>
      </c>
      <c r="BJ224" s="886">
        <v>7.5999999999999998E-2</v>
      </c>
      <c r="BK224" s="886">
        <v>6.9000000000000006E-2</v>
      </c>
      <c r="BL224" s="886">
        <v>0.03</v>
      </c>
      <c r="BM224" s="886">
        <v>3.4000000000000002E-2</v>
      </c>
      <c r="BN224" s="1046">
        <v>5.2999999999999999E-2</v>
      </c>
      <c r="BO224" s="886">
        <v>6.0999999999999999E-2</v>
      </c>
      <c r="BP224" s="886">
        <v>4.3999999999999997E-2</v>
      </c>
      <c r="BQ224" s="886">
        <v>7.4999999999999997E-2</v>
      </c>
      <c r="BR224" s="886">
        <v>7.0999999999999994E-2</v>
      </c>
      <c r="BS224" s="1046">
        <v>6.2E-2</v>
      </c>
      <c r="BT224" s="886">
        <v>9.9000000000000005E-2</v>
      </c>
      <c r="BU224" s="886">
        <v>0.106</v>
      </c>
      <c r="BV224" s="886">
        <v>0.109</v>
      </c>
      <c r="BW224" s="886">
        <v>7.6999999999999999E-2</v>
      </c>
      <c r="BX224" s="1046">
        <v>9.4E-2</v>
      </c>
      <c r="BY224" s="886">
        <v>5.7000000000000002E-2</v>
      </c>
      <c r="BZ224" s="886">
        <v>0.05</v>
      </c>
      <c r="CA224" s="886">
        <v>1.4999999999999999E-2</v>
      </c>
      <c r="CB224" s="886">
        <v>2.9000000000000001E-2</v>
      </c>
      <c r="CC224" s="1046">
        <v>4.1000000000000002E-2</v>
      </c>
      <c r="CD224" s="886">
        <v>0.04</v>
      </c>
      <c r="CE224" s="886">
        <v>-7.0000000000000001E-3</v>
      </c>
      <c r="CF224" s="886">
        <v>2.9000000000000001E-2</v>
      </c>
      <c r="CG224" s="886">
        <v>-2.5999999999999999E-2</v>
      </c>
      <c r="CH224" s="1046">
        <v>-4.0000000000000001E-3</v>
      </c>
      <c r="CI224" s="886">
        <v>-1.6E-2</v>
      </c>
      <c r="CJ224" s="886">
        <v>3.5000000000000003E-2</v>
      </c>
      <c r="CK224" s="886">
        <v>0</v>
      </c>
      <c r="CL224" s="886">
        <v>5.6000000000000001E-2</v>
      </c>
      <c r="CM224" s="1046">
        <v>0.04</v>
      </c>
      <c r="CN224" s="886"/>
      <c r="CO224" s="886"/>
      <c r="CP224" s="886"/>
      <c r="CQ224" s="886"/>
      <c r="CR224" s="1046"/>
      <c r="CS224" s="1046"/>
      <c r="CT224" s="1046"/>
      <c r="DA224" s="212"/>
      <c r="DB224" s="1226"/>
    </row>
    <row r="225" spans="1:106" s="212" customFormat="1" x14ac:dyDescent="0.2">
      <c r="A225" s="1434" t="s">
        <v>1930</v>
      </c>
      <c r="B225" s="234"/>
      <c r="C225" s="234"/>
      <c r="D225" s="234"/>
      <c r="E225" s="234"/>
      <c r="F225" s="236"/>
      <c r="G225" s="234"/>
      <c r="H225" s="234"/>
      <c r="I225" s="234"/>
      <c r="J225" s="234"/>
      <c r="K225" s="236"/>
      <c r="L225" s="234"/>
      <c r="M225" s="234"/>
      <c r="N225" s="234"/>
      <c r="O225" s="234"/>
      <c r="P225" s="236"/>
      <c r="Q225" s="2638"/>
      <c r="R225" s="234"/>
      <c r="S225" s="234"/>
      <c r="T225" s="208"/>
      <c r="U225" s="236"/>
      <c r="V225" s="234"/>
      <c r="W225" s="234"/>
      <c r="X225" s="234"/>
      <c r="Y225" s="234"/>
      <c r="Z225" s="236"/>
      <c r="AA225" s="234"/>
      <c r="AB225" s="234"/>
      <c r="AC225" s="234"/>
      <c r="AD225" s="234"/>
      <c r="AE225" s="236"/>
      <c r="AF225" s="234"/>
      <c r="AG225" s="234"/>
      <c r="AH225" s="234"/>
      <c r="AI225" s="234"/>
      <c r="AJ225" s="236"/>
      <c r="AK225" s="234"/>
      <c r="AL225" s="234"/>
      <c r="AM225" s="234"/>
      <c r="AN225" s="234"/>
      <c r="AO225" s="236"/>
      <c r="AP225" s="1531"/>
      <c r="AQ225" s="1531"/>
      <c r="AR225" s="1531"/>
      <c r="AS225" s="1531"/>
      <c r="AT225" s="1530"/>
      <c r="AU225" s="1531"/>
      <c r="AV225" s="1531"/>
      <c r="AW225" s="1531"/>
      <c r="AX225" s="1531"/>
      <c r="AY225" s="1530"/>
      <c r="AZ225" s="1531"/>
      <c r="BA225" s="1531"/>
      <c r="BB225" s="1531"/>
      <c r="BC225" s="1531"/>
      <c r="BD225" s="1530"/>
      <c r="BE225" s="1991">
        <f>BE275*BE304</f>
        <v>93.885759999999991</v>
      </c>
      <c r="BF225" s="1991">
        <f>BF275*BF304</f>
        <v>127.38264000000001</v>
      </c>
      <c r="BG225" s="1991">
        <f>BG275*BG304</f>
        <v>135.14361</v>
      </c>
      <c r="BH225" s="1991">
        <f>BH275*BH304</f>
        <v>127.63275</v>
      </c>
      <c r="BI225" s="1530">
        <f>AVERAGE(BE225:BH225)</f>
        <v>121.01119</v>
      </c>
      <c r="BJ225" s="1991">
        <f>BJ275*BJ304</f>
        <v>92.432400000000001</v>
      </c>
      <c r="BK225" s="1991">
        <f>BK275*BK304</f>
        <v>123.93874999999998</v>
      </c>
      <c r="BL225" s="1991">
        <f>BL275*BL304</f>
        <v>125.46816000000001</v>
      </c>
      <c r="BM225" s="1991">
        <f>BM275*BM304</f>
        <v>123.84162000000001</v>
      </c>
      <c r="BN225" s="1530">
        <f>AVERAGE(BJ225:BM225)</f>
        <v>116.4202325</v>
      </c>
      <c r="BO225" s="1991">
        <f>BO275*BO304</f>
        <v>97.032600000000002</v>
      </c>
      <c r="BP225" s="1991">
        <f>BP275*BP304</f>
        <v>131.58372</v>
      </c>
      <c r="BQ225" s="1991">
        <f>BQ275*BQ304</f>
        <v>129.78728000000001</v>
      </c>
      <c r="BR225" s="1991">
        <f>BR275*BR304</f>
        <v>126.7458</v>
      </c>
      <c r="BS225" s="1530">
        <f>AVERAGE(BO225:BR225)</f>
        <v>121.28735</v>
      </c>
      <c r="BT225" s="1991">
        <f>BT275*BT304</f>
        <v>107.93552</v>
      </c>
      <c r="BU225" s="1991">
        <f>BU275*BU304</f>
        <v>148.70327999999998</v>
      </c>
      <c r="BV225" s="1991">
        <f>BV275*BV304</f>
        <v>148.03368</v>
      </c>
      <c r="BW225" s="1991">
        <f>BW275*BW304</f>
        <v>131.78471999999999</v>
      </c>
      <c r="BX225" s="1530">
        <f>AVERAGE(BT225:BW225)</f>
        <v>134.11429999999999</v>
      </c>
      <c r="BY225" s="1991">
        <f>BY275*BY304</f>
        <v>103.16800000000001</v>
      </c>
      <c r="BZ225" s="1991">
        <f>BZ275*BZ304</f>
        <v>131.71863999999999</v>
      </c>
      <c r="CA225" s="1991">
        <f>CA275*CA304</f>
        <v>139.31190000000001</v>
      </c>
      <c r="CB225" s="1991">
        <f>CB275*CB304</f>
        <v>123.81846</v>
      </c>
      <c r="CC225" s="1530">
        <f>AVERAGE(BY225:CB225)</f>
        <v>124.50425</v>
      </c>
      <c r="CD225" s="1991">
        <f>CD275*CD304</f>
        <v>83.856700000000004</v>
      </c>
      <c r="CE225" s="1991">
        <f>CE275*CE304</f>
        <v>114.24738000000001</v>
      </c>
      <c r="CF225" s="1991">
        <f>CF275*CF304</f>
        <v>112.39204000000001</v>
      </c>
      <c r="CG225" s="1991">
        <f>CG275*CG304</f>
        <v>110.28516</v>
      </c>
      <c r="CH225" s="1530">
        <f>AVERAGE(CD225:CG225)</f>
        <v>105.19532000000001</v>
      </c>
      <c r="CI225" s="1991">
        <f>CI275*CI304</f>
        <v>88.802819999999997</v>
      </c>
      <c r="CJ225" s="1991">
        <f>CJ275*CJ304</f>
        <v>127.94528</v>
      </c>
      <c r="CK225" s="1991">
        <f>CK275*CK304</f>
        <v>172.71184</v>
      </c>
      <c r="CL225" s="1991">
        <f>CL275*CL304</f>
        <v>121.07095000000001</v>
      </c>
      <c r="CM225" s="1530">
        <f>AVERAGE(CI225:CL225)</f>
        <v>127.6327225</v>
      </c>
      <c r="CN225" s="3653">
        <f>CI225*(1+CN226)</f>
        <v>92.3549328</v>
      </c>
      <c r="CO225" s="3653">
        <f>CJ225*(1+CO226)</f>
        <v>133.0630912</v>
      </c>
      <c r="CP225" s="3653">
        <f>CK225*(1+CP226)</f>
        <v>179.6203136</v>
      </c>
      <c r="CQ225" s="3653">
        <f>CL225*(1+CQ226)</f>
        <v>125.91378800000001</v>
      </c>
      <c r="CR225" s="1530">
        <f>AVERAGE(CN225:CQ225)</f>
        <v>132.73803140000001</v>
      </c>
      <c r="CS225" s="1530">
        <f>CR225*(1+CS226)</f>
        <v>135.392792028</v>
      </c>
      <c r="CT225" s="1530">
        <f>CS225*(1+CT226)</f>
        <v>131.33100826716</v>
      </c>
      <c r="CU225"/>
      <c r="DB225" s="1226"/>
    </row>
    <row r="226" spans="1:106" s="212" customFormat="1" x14ac:dyDescent="0.2">
      <c r="A226" s="1595" t="s">
        <v>652</v>
      </c>
      <c r="B226" s="234"/>
      <c r="C226" s="234"/>
      <c r="D226" s="234"/>
      <c r="E226" s="234"/>
      <c r="F226" s="236"/>
      <c r="G226" s="234"/>
      <c r="H226" s="234"/>
      <c r="I226" s="234"/>
      <c r="J226" s="234"/>
      <c r="K226" s="236"/>
      <c r="L226" s="234"/>
      <c r="M226" s="234"/>
      <c r="N226" s="234"/>
      <c r="O226" s="234"/>
      <c r="P226" s="236"/>
      <c r="Q226" s="2638"/>
      <c r="R226" s="234"/>
      <c r="S226" s="234"/>
      <c r="T226" s="208"/>
      <c r="U226" s="236"/>
      <c r="V226" s="234"/>
      <c r="W226" s="234"/>
      <c r="X226" s="234"/>
      <c r="Y226" s="234"/>
      <c r="Z226" s="236"/>
      <c r="AA226" s="234"/>
      <c r="AB226" s="234"/>
      <c r="AC226" s="234"/>
      <c r="AD226" s="234"/>
      <c r="AE226" s="236"/>
      <c r="AF226" s="234"/>
      <c r="AG226" s="234"/>
      <c r="AH226" s="234"/>
      <c r="AI226" s="234"/>
      <c r="AJ226" s="236"/>
      <c r="AK226" s="234"/>
      <c r="AL226" s="234"/>
      <c r="AM226" s="234"/>
      <c r="AN226" s="234"/>
      <c r="AO226" s="236"/>
      <c r="AP226" s="1531"/>
      <c r="AQ226" s="1531"/>
      <c r="AR226" s="1531"/>
      <c r="AS226" s="1531"/>
      <c r="AT226" s="1927"/>
      <c r="AU226" s="1531"/>
      <c r="AV226" s="1531"/>
      <c r="AW226" s="1531"/>
      <c r="AX226" s="1531"/>
      <c r="AY226" s="1927"/>
      <c r="AZ226" s="1531"/>
      <c r="BA226" s="1531"/>
      <c r="BB226" s="1531"/>
      <c r="BC226" s="1531"/>
      <c r="BD226" s="1927"/>
      <c r="BE226" s="1531"/>
      <c r="BF226" s="1531"/>
      <c r="BG226" s="1531"/>
      <c r="BH226" s="1531"/>
      <c r="BI226" s="1927"/>
      <c r="BJ226" s="1546">
        <f t="shared" ref="BJ226:BQ226" si="209">BJ225/BE225-1</f>
        <v>-1.5480089845360867E-2</v>
      </c>
      <c r="BK226" s="1546">
        <f t="shared" si="209"/>
        <v>-2.7035787608107542E-2</v>
      </c>
      <c r="BL226" s="1546">
        <f t="shared" si="209"/>
        <v>-7.1593840063914116E-2</v>
      </c>
      <c r="BM226" s="1546">
        <f t="shared" si="209"/>
        <v>-2.9703426432479141E-2</v>
      </c>
      <c r="BN226" s="2887">
        <f t="shared" si="209"/>
        <v>-3.7938289012776405E-2</v>
      </c>
      <c r="BO226" s="2882">
        <f t="shared" si="209"/>
        <v>4.9768263076583441E-2</v>
      </c>
      <c r="BP226" s="2882">
        <f t="shared" si="209"/>
        <v>6.1683452511825498E-2</v>
      </c>
      <c r="BQ226" s="2882">
        <f t="shared" si="209"/>
        <v>3.4424032360082402E-2</v>
      </c>
      <c r="BR226" s="2882">
        <f t="shared" ref="BR226:CL226" si="210">BR225/BM225-1</f>
        <v>2.3450759122821463E-2</v>
      </c>
      <c r="BS226" s="2887">
        <f t="shared" si="210"/>
        <v>4.1806457481520676E-2</v>
      </c>
      <c r="BT226" s="2882">
        <f t="shared" si="210"/>
        <v>0.11236347371914168</v>
      </c>
      <c r="BU226" s="2882">
        <f t="shared" si="210"/>
        <v>0.13010393687000166</v>
      </c>
      <c r="BV226" s="2882">
        <f t="shared" si="210"/>
        <v>0.14058696661182823</v>
      </c>
      <c r="BW226" s="2882">
        <f t="shared" si="210"/>
        <v>3.9756110261641719E-2</v>
      </c>
      <c r="BX226" s="2887">
        <f t="shared" si="210"/>
        <v>0.10575670092552913</v>
      </c>
      <c r="BY226" s="2882">
        <f t="shared" si="210"/>
        <v>-4.4170074874332332E-2</v>
      </c>
      <c r="BZ226" s="2882">
        <f t="shared" si="210"/>
        <v>-0.1142183279346628</v>
      </c>
      <c r="CA226" s="2882">
        <f t="shared" si="210"/>
        <v>-5.8917538225084942E-2</v>
      </c>
      <c r="CB226" s="2882">
        <f t="shared" si="210"/>
        <v>-6.0449041436670292E-2</v>
      </c>
      <c r="CC226" s="2887">
        <f t="shared" si="210"/>
        <v>-7.1655669827900392E-2</v>
      </c>
      <c r="CD226" s="2882">
        <f t="shared" si="210"/>
        <v>-0.1871830412531017</v>
      </c>
      <c r="CE226" s="2882">
        <f t="shared" si="210"/>
        <v>-0.13264075608433235</v>
      </c>
      <c r="CF226" s="2882">
        <f t="shared" si="210"/>
        <v>-0.19323446166479674</v>
      </c>
      <c r="CG226" s="2882">
        <f t="shared" si="210"/>
        <v>-0.10929953417285276</v>
      </c>
      <c r="CH226" s="1044">
        <f>AVERAGE(CD226:CG226)</f>
        <v>-0.15558944829377089</v>
      </c>
      <c r="CI226" s="2882">
        <f t="shared" si="210"/>
        <v>5.8983003147035307E-2</v>
      </c>
      <c r="CJ226" s="2882">
        <f t="shared" si="210"/>
        <v>0.11989684139802592</v>
      </c>
      <c r="CK226" s="2882">
        <f t="shared" si="210"/>
        <v>0.53669103256778672</v>
      </c>
      <c r="CL226" s="2882">
        <f t="shared" si="210"/>
        <v>9.7799105518820539E-2</v>
      </c>
      <c r="CM226" s="1044">
        <f>AVERAGE(CI226:CL226)</f>
        <v>0.20334249565791712</v>
      </c>
      <c r="CN226" s="886">
        <v>0.04</v>
      </c>
      <c r="CO226" s="886">
        <v>0.04</v>
      </c>
      <c r="CP226" s="886">
        <v>0.04</v>
      </c>
      <c r="CQ226" s="886">
        <v>0.04</v>
      </c>
      <c r="CR226" s="1044">
        <f>+CR225/CM225-1</f>
        <v>4.0000000000000036E-2</v>
      </c>
      <c r="CS226" s="1046">
        <v>0.02</v>
      </c>
      <c r="CT226" s="1046">
        <v>-0.03</v>
      </c>
      <c r="DB226" s="1226"/>
    </row>
    <row r="227" spans="1:106" x14ac:dyDescent="0.2">
      <c r="A227" s="1595" t="s">
        <v>359</v>
      </c>
      <c r="B227" s="1924" t="s">
        <v>673</v>
      </c>
      <c r="C227" s="1924" t="s">
        <v>673</v>
      </c>
      <c r="D227" s="1924" t="s">
        <v>673</v>
      </c>
      <c r="E227" s="1924" t="s">
        <v>673</v>
      </c>
      <c r="F227" s="1890" t="s">
        <v>673</v>
      </c>
      <c r="G227" s="1924" t="s">
        <v>673</v>
      </c>
      <c r="H227" s="1924" t="s">
        <v>673</v>
      </c>
      <c r="I227" s="1924" t="s">
        <v>673</v>
      </c>
      <c r="J227" s="1924" t="s">
        <v>673</v>
      </c>
      <c r="K227" s="1890" t="s">
        <v>673</v>
      </c>
      <c r="L227" s="1924" t="s">
        <v>673</v>
      </c>
      <c r="M227" s="1924" t="s">
        <v>673</v>
      </c>
      <c r="N227" s="1924" t="s">
        <v>673</v>
      </c>
      <c r="O227" s="1924" t="s">
        <v>673</v>
      </c>
      <c r="P227" s="1890" t="s">
        <v>673</v>
      </c>
      <c r="Q227" s="2641" t="s">
        <v>673</v>
      </c>
      <c r="R227" s="1924" t="s">
        <v>673</v>
      </c>
      <c r="S227" s="1924" t="s">
        <v>673</v>
      </c>
      <c r="T227" s="2635" t="s">
        <v>673</v>
      </c>
      <c r="U227" s="1890" t="s">
        <v>673</v>
      </c>
      <c r="V227" s="1924" t="s">
        <v>673</v>
      </c>
      <c r="W227" s="1924" t="s">
        <v>673</v>
      </c>
      <c r="X227" s="1924" t="s">
        <v>673</v>
      </c>
      <c r="Y227" s="1924" t="s">
        <v>673</v>
      </c>
      <c r="Z227" s="1890" t="s">
        <v>673</v>
      </c>
      <c r="AA227" s="1924" t="s">
        <v>673</v>
      </c>
      <c r="AB227" s="1924" t="s">
        <v>673</v>
      </c>
      <c r="AC227" s="1924" t="s">
        <v>673</v>
      </c>
      <c r="AD227" s="1924" t="s">
        <v>673</v>
      </c>
      <c r="AE227" s="1890" t="s">
        <v>673</v>
      </c>
      <c r="AF227" s="1924" t="s">
        <v>673</v>
      </c>
      <c r="AG227" s="1924" t="s">
        <v>673</v>
      </c>
      <c r="AH227" s="1924" t="s">
        <v>673</v>
      </c>
      <c r="AI227" s="1924" t="s">
        <v>673</v>
      </c>
      <c r="AJ227" s="1890" t="s">
        <v>673</v>
      </c>
      <c r="AK227" s="1924" t="s">
        <v>673</v>
      </c>
      <c r="AL227" s="1924" t="s">
        <v>673</v>
      </c>
      <c r="AM227" s="1924" t="s">
        <v>673</v>
      </c>
      <c r="AN227" s="1924" t="s">
        <v>673</v>
      </c>
      <c r="AO227" s="1890" t="s">
        <v>673</v>
      </c>
      <c r="AP227" s="886"/>
      <c r="AQ227" s="886"/>
      <c r="AR227" s="886"/>
      <c r="AS227" s="886"/>
      <c r="AT227" s="1046"/>
      <c r="AU227" s="886"/>
      <c r="AV227" s="886"/>
      <c r="AW227" s="886"/>
      <c r="AX227" s="886"/>
      <c r="AY227" s="1046"/>
      <c r="AZ227" s="886"/>
      <c r="BA227" s="886"/>
      <c r="BB227" s="886"/>
      <c r="BC227" s="886"/>
      <c r="BD227" s="1046"/>
      <c r="BE227" s="886">
        <v>7.1999999999999995E-2</v>
      </c>
      <c r="BF227" s="886">
        <v>9.0999999999999998E-2</v>
      </c>
      <c r="BG227" s="886">
        <v>5.8000000000000003E-2</v>
      </c>
      <c r="BH227" s="886">
        <v>1.6E-2</v>
      </c>
      <c r="BI227" s="1046">
        <v>5.2999999999999999E-2</v>
      </c>
      <c r="BJ227" s="886">
        <v>3.5000000000000003E-2</v>
      </c>
      <c r="BK227" s="886">
        <v>2.9000000000000001E-2</v>
      </c>
      <c r="BL227" s="886">
        <v>3.7999999999999999E-2</v>
      </c>
      <c r="BM227" s="886">
        <v>1.7999999999999999E-2</v>
      </c>
      <c r="BN227" s="1046">
        <v>2.8000000000000001E-2</v>
      </c>
      <c r="BO227" s="886">
        <v>-1.7999999999999999E-2</v>
      </c>
      <c r="BP227" s="886">
        <v>1.2E-2</v>
      </c>
      <c r="BQ227" s="886">
        <v>2.1999999999999999E-2</v>
      </c>
      <c r="BR227" s="886">
        <v>3.3000000000000002E-2</v>
      </c>
      <c r="BS227" s="1046">
        <v>1.4999999999999999E-2</v>
      </c>
      <c r="BT227" s="886">
        <v>3.5999999999999997E-2</v>
      </c>
      <c r="BU227" s="886">
        <v>1.6E-2</v>
      </c>
      <c r="BV227" s="886">
        <v>3.2000000000000001E-2</v>
      </c>
      <c r="BW227" s="886">
        <v>2.7E-2</v>
      </c>
      <c r="BX227" s="1046">
        <v>2.7E-2</v>
      </c>
      <c r="BY227" s="886">
        <v>7.0000000000000007E-2</v>
      </c>
      <c r="BZ227" s="886">
        <v>4.1000000000000002E-2</v>
      </c>
      <c r="CA227" s="886">
        <v>9.2999999999999999E-2</v>
      </c>
      <c r="CB227" s="886">
        <v>4.1000000000000002E-2</v>
      </c>
      <c r="CC227" s="1046">
        <v>6.2E-2</v>
      </c>
      <c r="CD227" s="886">
        <v>2.7E-2</v>
      </c>
      <c r="CE227" s="886">
        <v>3.4000000000000002E-2</v>
      </c>
      <c r="CF227" s="886">
        <v>7.0000000000000001E-3</v>
      </c>
      <c r="CG227" s="886">
        <v>1.7000000000000001E-2</v>
      </c>
      <c r="CH227" s="1046">
        <v>1.4E-2</v>
      </c>
      <c r="CI227" s="886">
        <v>7.0000000000000007E-2</v>
      </c>
      <c r="CJ227" s="886">
        <v>7.0000000000000007E-2</v>
      </c>
      <c r="CK227" s="886">
        <v>0.08</v>
      </c>
      <c r="CL227" s="886">
        <v>5.3999999999999999E-2</v>
      </c>
      <c r="CM227" s="1046">
        <v>7.1999999999999995E-2</v>
      </c>
      <c r="CN227" s="886"/>
      <c r="CO227" s="886"/>
      <c r="CP227" s="886"/>
      <c r="CQ227" s="886"/>
      <c r="CR227" s="1046"/>
      <c r="CS227" s="1046"/>
      <c r="CT227" s="1046"/>
      <c r="DA227" s="212"/>
      <c r="DB227" s="1226"/>
    </row>
    <row r="228" spans="1:106" s="212" customFormat="1" outlineLevel="1" x14ac:dyDescent="0.2">
      <c r="A228" s="1434" t="s">
        <v>2266</v>
      </c>
      <c r="B228" s="234"/>
      <c r="C228" s="234"/>
      <c r="D228" s="234"/>
      <c r="E228" s="234"/>
      <c r="F228" s="236"/>
      <c r="G228" s="234"/>
      <c r="H228" s="234"/>
      <c r="I228" s="234"/>
      <c r="J228" s="234"/>
      <c r="K228" s="236"/>
      <c r="L228" s="234"/>
      <c r="M228" s="234"/>
      <c r="N228" s="234"/>
      <c r="O228" s="234"/>
      <c r="P228" s="236"/>
      <c r="Q228" s="2638"/>
      <c r="R228" s="234"/>
      <c r="S228" s="234"/>
      <c r="T228" s="208"/>
      <c r="U228" s="236"/>
      <c r="V228" s="234"/>
      <c r="W228" s="234"/>
      <c r="X228" s="234"/>
      <c r="Y228" s="234"/>
      <c r="Z228" s="236"/>
      <c r="AA228" s="234"/>
      <c r="AB228" s="234"/>
      <c r="AC228" s="234"/>
      <c r="AD228" s="234"/>
      <c r="AE228" s="236"/>
      <c r="AF228" s="234"/>
      <c r="AG228" s="234"/>
      <c r="AH228" s="234"/>
      <c r="AI228" s="234"/>
      <c r="AJ228" s="236"/>
      <c r="AK228" s="234"/>
      <c r="AL228" s="234"/>
      <c r="AM228" s="234"/>
      <c r="AN228" s="234"/>
      <c r="AO228" s="236"/>
      <c r="AP228" s="1531">
        <f>AP278*AP307</f>
        <v>118.94013</v>
      </c>
      <c r="AQ228" s="1531">
        <f>AQ278*AQ307</f>
        <v>156.90827999999999</v>
      </c>
      <c r="AR228" s="1531">
        <f>AR278*AR307</f>
        <v>160.22015999999999</v>
      </c>
      <c r="AS228" s="1531">
        <f>AS278*AS307</f>
        <v>136.16592</v>
      </c>
      <c r="AT228" s="1927">
        <f>AVERAGE(AP228:AS228)</f>
        <v>143.05862250000001</v>
      </c>
      <c r="AU228" s="1531">
        <f>AU278*AU307</f>
        <v>84.334270000000004</v>
      </c>
      <c r="AV228" s="1531">
        <f>AV278*AV307</f>
        <v>100.64236000000001</v>
      </c>
      <c r="AW228" s="1531">
        <f>AW278*AW307</f>
        <v>108.59017999999999</v>
      </c>
      <c r="AX228" s="1531">
        <f>AX278*AX307</f>
        <v>119.23419999999999</v>
      </c>
      <c r="AY228" s="1927">
        <f>AVERAGE(AU228:AX228)</f>
        <v>103.20025249999999</v>
      </c>
      <c r="AZ228" s="1531">
        <f>AZ278*AZ307</f>
        <v>87.532830000000004</v>
      </c>
      <c r="BA228" s="1531">
        <f>BA278*BA307</f>
        <v>111.98316999999999</v>
      </c>
      <c r="BB228" s="1531">
        <f>BB278*BB307</f>
        <v>111.13866</v>
      </c>
      <c r="BC228" s="1531">
        <f>BC278*BC307</f>
        <v>123.51752</v>
      </c>
      <c r="BD228" s="1927">
        <f>AVERAGE(AZ228:BC228)</f>
        <v>108.54304499999999</v>
      </c>
      <c r="BE228" s="1531"/>
      <c r="BF228" s="1531"/>
      <c r="BG228" s="1531"/>
      <c r="BH228" s="1531"/>
      <c r="BI228" s="1927"/>
      <c r="BJ228" s="1531"/>
      <c r="BK228" s="1531"/>
      <c r="BL228" s="1531"/>
      <c r="BM228" s="1531"/>
      <c r="BN228" s="194"/>
      <c r="BO228" s="1531"/>
      <c r="BP228" s="1531"/>
      <c r="BQ228" s="1531"/>
      <c r="BR228" s="1531"/>
      <c r="BS228" s="194"/>
      <c r="BT228" s="1531"/>
      <c r="BU228" s="1531"/>
      <c r="BV228" s="1531"/>
      <c r="BW228" s="1531"/>
      <c r="BX228" s="194"/>
      <c r="BY228" s="1531"/>
      <c r="BZ228" s="1531"/>
      <c r="CA228" s="1531"/>
      <c r="CB228" s="1531"/>
      <c r="CC228" s="194"/>
      <c r="CD228" s="1531"/>
      <c r="CE228" s="1531"/>
      <c r="CF228" s="1531"/>
      <c r="CG228" s="1531"/>
      <c r="CH228" s="194"/>
      <c r="CI228" s="1531"/>
      <c r="CJ228" s="1531"/>
      <c r="CK228" s="1531"/>
      <c r="CL228" s="1531"/>
      <c r="CM228" s="236"/>
      <c r="CN228" s="1531"/>
      <c r="CO228" s="1531"/>
      <c r="CP228" s="1531"/>
      <c r="CQ228" s="1531"/>
      <c r="CR228" s="236"/>
      <c r="CS228" s="236"/>
      <c r="CT228" s="236"/>
      <c r="DB228" s="1226"/>
    </row>
    <row r="229" spans="1:106" s="212" customFormat="1" outlineLevel="1" x14ac:dyDescent="0.2">
      <c r="A229" s="1595" t="s">
        <v>652</v>
      </c>
      <c r="B229" s="234"/>
      <c r="C229" s="234"/>
      <c r="D229" s="234"/>
      <c r="E229" s="234"/>
      <c r="F229" s="236"/>
      <c r="G229" s="234"/>
      <c r="H229" s="234"/>
      <c r="I229" s="234"/>
      <c r="J229" s="234"/>
      <c r="K229" s="236"/>
      <c r="L229" s="234"/>
      <c r="M229" s="234"/>
      <c r="N229" s="234"/>
      <c r="O229" s="234"/>
      <c r="P229" s="236"/>
      <c r="Q229" s="2638"/>
      <c r="R229" s="234"/>
      <c r="S229" s="234"/>
      <c r="T229" s="208"/>
      <c r="U229" s="236"/>
      <c r="V229" s="234"/>
      <c r="W229" s="234"/>
      <c r="X229" s="234"/>
      <c r="Y229" s="234"/>
      <c r="Z229" s="236"/>
      <c r="AA229" s="234"/>
      <c r="AB229" s="234"/>
      <c r="AC229" s="234"/>
      <c r="AD229" s="234"/>
      <c r="AE229" s="236"/>
      <c r="AF229" s="234"/>
      <c r="AG229" s="234"/>
      <c r="AH229" s="234"/>
      <c r="AI229" s="234"/>
      <c r="AJ229" s="236"/>
      <c r="AK229" s="234"/>
      <c r="AL229" s="234"/>
      <c r="AM229" s="234"/>
      <c r="AN229" s="234"/>
      <c r="AO229" s="236"/>
      <c r="AP229" s="1531"/>
      <c r="AQ229" s="1531"/>
      <c r="AR229" s="1531"/>
      <c r="AS229" s="1531"/>
      <c r="AT229" s="1927"/>
      <c r="AU229" s="1531">
        <f>AU228/AP228-1</f>
        <v>-0.29095192682234328</v>
      </c>
      <c r="AV229" s="1531">
        <f>AV228/AQ228-1</f>
        <v>-0.35859114636907619</v>
      </c>
      <c r="AW229" s="1531">
        <f>AW228/AR228-1</f>
        <v>-0.32224396730099392</v>
      </c>
      <c r="AX229" s="1531">
        <f>AX228/AS228-1</f>
        <v>-0.12434623876517714</v>
      </c>
      <c r="AY229" s="1927">
        <f>+AY228/AT228-1</f>
        <v>-0.27861564233920966</v>
      </c>
      <c r="AZ229" s="1531">
        <f>AZ228/AU228-1</f>
        <v>3.7927167686398366E-2</v>
      </c>
      <c r="BA229" s="1531">
        <f>BA228/AV228-1</f>
        <v>0.1126842613786081</v>
      </c>
      <c r="BB229" s="1531">
        <f>BB228/AW228-1</f>
        <v>2.3468788798397977E-2</v>
      </c>
      <c r="BC229" s="1531">
        <f>BC228/AX228-1</f>
        <v>3.5923585682631431E-2</v>
      </c>
      <c r="BD229" s="1927">
        <f>+BD228/AY228-1</f>
        <v>5.1771118486362289E-2</v>
      </c>
      <c r="BE229" s="1531"/>
      <c r="BF229" s="1531"/>
      <c r="BG229" s="1531"/>
      <c r="BH229" s="1531"/>
      <c r="BI229" s="1927"/>
      <c r="BJ229" s="1531"/>
      <c r="BK229" s="1531"/>
      <c r="BL229" s="1531"/>
      <c r="BM229" s="1531"/>
      <c r="BN229" s="194"/>
      <c r="BO229" s="1531"/>
      <c r="BP229" s="1531"/>
      <c r="BQ229" s="1531"/>
      <c r="BR229" s="1531"/>
      <c r="BS229" s="194"/>
      <c r="BT229" s="1531"/>
      <c r="BU229" s="1531"/>
      <c r="BV229" s="1531"/>
      <c r="BW229" s="1531"/>
      <c r="BX229" s="194"/>
      <c r="BY229" s="1531"/>
      <c r="BZ229" s="1531"/>
      <c r="CA229" s="1531"/>
      <c r="CB229" s="1531"/>
      <c r="CC229" s="194"/>
      <c r="CD229" s="1531"/>
      <c r="CE229" s="1531"/>
      <c r="CF229" s="1531"/>
      <c r="CG229" s="1531"/>
      <c r="CH229" s="194"/>
      <c r="CI229" s="1531"/>
      <c r="CJ229" s="1531"/>
      <c r="CK229" s="1531"/>
      <c r="CL229" s="1531"/>
      <c r="CM229" s="236"/>
      <c r="CN229" s="1531"/>
      <c r="CO229" s="1531"/>
      <c r="CP229" s="1531"/>
      <c r="CQ229" s="1531"/>
      <c r="CR229" s="236"/>
      <c r="CS229" s="236"/>
      <c r="CT229" s="236"/>
      <c r="DB229" s="1226"/>
    </row>
    <row r="230" spans="1:106" outlineLevel="1" x14ac:dyDescent="0.2">
      <c r="A230" s="1595" t="s">
        <v>359</v>
      </c>
      <c r="B230" s="1924" t="s">
        <v>673</v>
      </c>
      <c r="C230" s="1924" t="s">
        <v>673</v>
      </c>
      <c r="D230" s="1924" t="s">
        <v>673</v>
      </c>
      <c r="E230" s="1924" t="s">
        <v>673</v>
      </c>
      <c r="F230" s="1890" t="s">
        <v>673</v>
      </c>
      <c r="G230" s="1924" t="s">
        <v>673</v>
      </c>
      <c r="H230" s="1924" t="s">
        <v>673</v>
      </c>
      <c r="I230" s="1924" t="s">
        <v>673</v>
      </c>
      <c r="J230" s="1924" t="s">
        <v>673</v>
      </c>
      <c r="K230" s="1890" t="s">
        <v>673</v>
      </c>
      <c r="L230" s="1924" t="s">
        <v>673</v>
      </c>
      <c r="M230" s="1924" t="s">
        <v>673</v>
      </c>
      <c r="N230" s="1924" t="s">
        <v>673</v>
      </c>
      <c r="O230" s="1924" t="s">
        <v>673</v>
      </c>
      <c r="P230" s="1890" t="s">
        <v>673</v>
      </c>
      <c r="Q230" s="2646">
        <v>-2.3E-2</v>
      </c>
      <c r="R230" s="2647">
        <v>-0.10299999999999999</v>
      </c>
      <c r="S230" s="2647">
        <v>-3.9E-2</v>
      </c>
      <c r="T230" s="2648">
        <v>1.2999999999999999E-2</v>
      </c>
      <c r="U230" s="2649">
        <v>-3.5000000000000003E-2</v>
      </c>
      <c r="V230" s="2647">
        <v>2.1000000000000001E-2</v>
      </c>
      <c r="W230" s="2647">
        <v>0.14499999999999999</v>
      </c>
      <c r="X230" s="2647">
        <v>8.4000000000000005E-2</v>
      </c>
      <c r="Y230" s="2647">
        <v>5.8000000000000003E-2</v>
      </c>
      <c r="Z230" s="2649">
        <v>0.08</v>
      </c>
      <c r="AA230" s="2647">
        <v>7.3999999999999996E-2</v>
      </c>
      <c r="AB230" s="2647">
        <v>3.4000000000000002E-2</v>
      </c>
      <c r="AC230" s="2647">
        <v>7.3999999999999996E-2</v>
      </c>
      <c r="AD230" s="2647">
        <v>7.0000000000000007E-2</v>
      </c>
      <c r="AE230" s="2649">
        <v>5.8999999999999997E-2</v>
      </c>
      <c r="AF230" s="2647">
        <v>5.8000000000000003E-2</v>
      </c>
      <c r="AG230" s="2647">
        <v>0.111</v>
      </c>
      <c r="AH230" s="2647">
        <v>0.13</v>
      </c>
      <c r="AI230" s="2647">
        <v>8.7999999999999995E-2</v>
      </c>
      <c r="AJ230" s="2649">
        <v>0.10199999999999999</v>
      </c>
      <c r="AK230" s="2647">
        <v>0.108</v>
      </c>
      <c r="AL230" s="2647">
        <v>8.3000000000000004E-2</v>
      </c>
      <c r="AM230" s="2647">
        <v>2.1000000000000001E-2</v>
      </c>
      <c r="AN230" s="2647">
        <v>9.2999999999999999E-2</v>
      </c>
      <c r="AO230" s="2649">
        <v>7.2999999999999995E-2</v>
      </c>
      <c r="AP230" s="886">
        <v>0.13500000000000001</v>
      </c>
      <c r="AQ230" s="886">
        <v>8.5999999999999993E-2</v>
      </c>
      <c r="AR230" s="886">
        <v>0.08</v>
      </c>
      <c r="AS230" s="886">
        <v>-4.9000000000000002E-2</v>
      </c>
      <c r="AT230" s="1046">
        <v>4.3999999999999997E-2</v>
      </c>
      <c r="AU230" s="886">
        <v>-0.185</v>
      </c>
      <c r="AV230" s="886">
        <v>-0.19600000000000001</v>
      </c>
      <c r="AW230" s="886">
        <v>-0.20300000000000001</v>
      </c>
      <c r="AX230" s="886">
        <v>-0.11799999999999999</v>
      </c>
      <c r="AY230" s="1046">
        <v>-0.16900000000000001</v>
      </c>
      <c r="AZ230" s="886">
        <v>4.0000000000000001E-3</v>
      </c>
      <c r="BA230" s="886">
        <v>5.0999999999999997E-2</v>
      </c>
      <c r="BB230" s="886">
        <v>0.09</v>
      </c>
      <c r="BC230" s="886">
        <v>9.7000000000000003E-2</v>
      </c>
      <c r="BD230" s="1046">
        <v>7.0999999999999994E-2</v>
      </c>
      <c r="BE230" s="886"/>
      <c r="BF230" s="886"/>
      <c r="BG230" s="886"/>
      <c r="BH230" s="886"/>
      <c r="BI230" s="1046"/>
      <c r="BJ230" s="886"/>
      <c r="BK230" s="886"/>
      <c r="BL230" s="886"/>
      <c r="BM230" s="886"/>
      <c r="BN230" s="1280"/>
      <c r="BO230" s="886"/>
      <c r="BP230" s="886"/>
      <c r="BQ230" s="886"/>
      <c r="BR230" s="886"/>
      <c r="BS230" s="1280"/>
      <c r="BT230" s="886"/>
      <c r="BU230" s="886"/>
      <c r="BV230" s="886"/>
      <c r="BW230" s="886"/>
      <c r="BX230" s="1280"/>
      <c r="BY230" s="886"/>
      <c r="BZ230" s="886"/>
      <c r="CA230" s="886"/>
      <c r="CB230" s="886"/>
      <c r="CC230" s="1280"/>
      <c r="CD230" s="886"/>
      <c r="CE230" s="886"/>
      <c r="CF230" s="886"/>
      <c r="CG230" s="886"/>
      <c r="CH230" s="1280"/>
      <c r="CI230" s="886"/>
      <c r="CJ230" s="886"/>
      <c r="CK230" s="886"/>
      <c r="CL230" s="886"/>
      <c r="CM230" s="1046"/>
      <c r="CN230" s="886"/>
      <c r="CO230" s="886"/>
      <c r="CP230" s="886"/>
      <c r="CQ230" s="886"/>
      <c r="CR230" s="1046"/>
      <c r="CS230" s="1046"/>
      <c r="CT230" s="1046"/>
      <c r="DA230" s="212"/>
      <c r="DB230" s="1226"/>
    </row>
    <row r="231" spans="1:106" s="212" customFormat="1" outlineLevel="1" x14ac:dyDescent="0.2">
      <c r="A231" s="1434" t="s">
        <v>1650</v>
      </c>
      <c r="B231" s="234"/>
      <c r="C231" s="234"/>
      <c r="D231" s="234"/>
      <c r="E231" s="234"/>
      <c r="F231" s="236"/>
      <c r="G231" s="234"/>
      <c r="H231" s="234"/>
      <c r="I231" s="234"/>
      <c r="J231" s="234"/>
      <c r="K231" s="236"/>
      <c r="L231" s="234"/>
      <c r="M231" s="234"/>
      <c r="N231" s="234"/>
      <c r="O231" s="234"/>
      <c r="P231" s="236"/>
      <c r="Q231" s="2638"/>
      <c r="R231" s="234"/>
      <c r="S231" s="234"/>
      <c r="T231" s="208"/>
      <c r="U231" s="236"/>
      <c r="V231" s="234"/>
      <c r="W231" s="234"/>
      <c r="X231" s="234"/>
      <c r="Y231" s="234"/>
      <c r="Z231" s="236"/>
      <c r="AA231" s="234"/>
      <c r="AB231" s="234"/>
      <c r="AC231" s="234"/>
      <c r="AD231" s="234"/>
      <c r="AE231" s="236"/>
      <c r="AF231" s="234"/>
      <c r="AG231" s="234"/>
      <c r="AH231" s="234"/>
      <c r="AI231" s="234"/>
      <c r="AJ231" s="236"/>
      <c r="AK231" s="234"/>
      <c r="AL231" s="234"/>
      <c r="AM231" s="234"/>
      <c r="AN231" s="234"/>
      <c r="AO231" s="236"/>
      <c r="AP231" s="1531">
        <f>AP281*AP310</f>
        <v>124.31751</v>
      </c>
      <c r="AQ231" s="1531">
        <f>AQ281*AQ310</f>
        <v>138.94265000000001</v>
      </c>
      <c r="AR231" s="1531">
        <f>AR281*AR310</f>
        <v>141.97355999999999</v>
      </c>
      <c r="AS231" s="1531">
        <f>AS281*AS310</f>
        <v>114.43794</v>
      </c>
      <c r="AT231" s="1927">
        <f>AVERAGE(AP231:AS231)</f>
        <v>129.91791500000002</v>
      </c>
      <c r="AU231" s="1531">
        <f>AU281*AU310</f>
        <v>79.41494999999999</v>
      </c>
      <c r="AV231" s="1531">
        <f>AV281*AV310</f>
        <v>90.255619999999993</v>
      </c>
      <c r="AW231" s="1531">
        <f>AW281*AW310</f>
        <v>109.27842</v>
      </c>
      <c r="AX231" s="1531">
        <f>AX281*AX310</f>
        <v>108.94923</v>
      </c>
      <c r="AY231" s="1927">
        <f>AVERAGE(AU231:AX231)</f>
        <v>96.974554999999995</v>
      </c>
      <c r="AZ231" s="1531">
        <f>AZ281*AZ310</f>
        <v>101.26016000000001</v>
      </c>
      <c r="BA231" s="1531">
        <f>BA281*BA310</f>
        <v>113.46048</v>
      </c>
      <c r="BB231" s="1531">
        <f>BB281*BB310</f>
        <v>127.65725999999999</v>
      </c>
      <c r="BC231" s="1531">
        <f>BC281*BC310</f>
        <v>128.0369</v>
      </c>
      <c r="BD231" s="1927">
        <f>AVERAGE(AZ231:BC231)</f>
        <v>117.6037</v>
      </c>
      <c r="BE231" s="1531"/>
      <c r="BF231" s="1531"/>
      <c r="BG231" s="1531"/>
      <c r="BH231" s="1531"/>
      <c r="BI231" s="1927"/>
      <c r="BJ231" s="1531"/>
      <c r="BK231" s="1531"/>
      <c r="BL231" s="1531"/>
      <c r="BM231" s="1531"/>
      <c r="BN231" s="194"/>
      <c r="BO231" s="1531"/>
      <c r="BP231" s="1531"/>
      <c r="BQ231" s="1531"/>
      <c r="BR231" s="1531"/>
      <c r="BS231" s="194"/>
      <c r="BT231" s="1531"/>
      <c r="BU231" s="1531"/>
      <c r="BV231" s="1531"/>
      <c r="BW231" s="1531"/>
      <c r="BX231" s="194"/>
      <c r="BY231" s="1531"/>
      <c r="BZ231" s="1531"/>
      <c r="CA231" s="1531"/>
      <c r="CB231" s="1531"/>
      <c r="CC231" s="194"/>
      <c r="CD231" s="1531"/>
      <c r="CE231" s="1531"/>
      <c r="CF231" s="1531"/>
      <c r="CG231" s="1531"/>
      <c r="CH231" s="194"/>
      <c r="CI231" s="1531"/>
      <c r="CJ231" s="1531"/>
      <c r="CK231" s="1531"/>
      <c r="CL231" s="1531"/>
      <c r="CM231" s="236"/>
      <c r="CN231" s="1531"/>
      <c r="CO231" s="1531"/>
      <c r="CP231" s="1531"/>
      <c r="CQ231" s="1531"/>
      <c r="CR231" s="236"/>
      <c r="CS231" s="236"/>
      <c r="CT231" s="236"/>
      <c r="DB231" s="1226"/>
    </row>
    <row r="232" spans="1:106" s="212" customFormat="1" outlineLevel="1" x14ac:dyDescent="0.2">
      <c r="A232" s="1595" t="s">
        <v>652</v>
      </c>
      <c r="B232" s="234"/>
      <c r="C232" s="234"/>
      <c r="D232" s="234"/>
      <c r="E232" s="234"/>
      <c r="F232" s="236"/>
      <c r="G232" s="234"/>
      <c r="H232" s="234"/>
      <c r="I232" s="234"/>
      <c r="J232" s="234"/>
      <c r="K232" s="236"/>
      <c r="L232" s="234"/>
      <c r="M232" s="234"/>
      <c r="N232" s="234"/>
      <c r="O232" s="234"/>
      <c r="P232" s="236"/>
      <c r="Q232" s="2638"/>
      <c r="R232" s="234"/>
      <c r="S232" s="234"/>
      <c r="T232" s="208"/>
      <c r="U232" s="236"/>
      <c r="V232" s="234"/>
      <c r="W232" s="234"/>
      <c r="X232" s="234"/>
      <c r="Y232" s="234"/>
      <c r="Z232" s="236"/>
      <c r="AA232" s="234"/>
      <c r="AB232" s="234"/>
      <c r="AC232" s="234"/>
      <c r="AD232" s="234"/>
      <c r="AE232" s="236"/>
      <c r="AF232" s="234"/>
      <c r="AG232" s="234"/>
      <c r="AH232" s="234"/>
      <c r="AI232" s="234"/>
      <c r="AJ232" s="236"/>
      <c r="AK232" s="234"/>
      <c r="AL232" s="234"/>
      <c r="AM232" s="234"/>
      <c r="AN232" s="234"/>
      <c r="AO232" s="236"/>
      <c r="AP232" s="1531"/>
      <c r="AQ232" s="1531"/>
      <c r="AR232" s="1531"/>
      <c r="AS232" s="1531"/>
      <c r="AT232" s="1927"/>
      <c r="AU232" s="1531">
        <f>AU231/AP231-1</f>
        <v>-0.36119256249582221</v>
      </c>
      <c r="AV232" s="1531">
        <f>AV231/AQ231-1</f>
        <v>-0.35041097891828044</v>
      </c>
      <c r="AW232" s="1531">
        <f>AW231/AR231-1</f>
        <v>-0.23029034420211758</v>
      </c>
      <c r="AX232" s="1531">
        <f>AX231/AS231-1</f>
        <v>-4.7962327878324218E-2</v>
      </c>
      <c r="AY232" s="1927">
        <f>+AY231/AT231-1</f>
        <v>-0.25357057184915588</v>
      </c>
      <c r="AZ232" s="1531">
        <f>AZ231/AU231-1</f>
        <v>0.27507679599370172</v>
      </c>
      <c r="BA232" s="1531">
        <f>BA231/AV231-1</f>
        <v>0.25710155223575004</v>
      </c>
      <c r="BB232" s="1531">
        <f>BB231/AW231-1</f>
        <v>0.16818361758890732</v>
      </c>
      <c r="BC232" s="1531">
        <f>BC231/AX231-1</f>
        <v>0.17519784215088086</v>
      </c>
      <c r="BD232" s="1927">
        <f>+BD231/AY231-1</f>
        <v>0.21272740050212158</v>
      </c>
      <c r="BE232" s="1531"/>
      <c r="BF232" s="1531"/>
      <c r="BG232" s="1531"/>
      <c r="BH232" s="1531"/>
      <c r="BI232" s="1927"/>
      <c r="BJ232" s="1531"/>
      <c r="BK232" s="1531"/>
      <c r="BL232" s="1531"/>
      <c r="BM232" s="1531"/>
      <c r="BN232" s="194"/>
      <c r="BO232" s="1531"/>
      <c r="BP232" s="1531"/>
      <c r="BQ232" s="1531"/>
      <c r="BR232" s="1531"/>
      <c r="BS232" s="194"/>
      <c r="BT232" s="1531"/>
      <c r="BU232" s="1531"/>
      <c r="BV232" s="1531"/>
      <c r="BW232" s="1531"/>
      <c r="BX232" s="194"/>
      <c r="BY232" s="1531"/>
      <c r="BZ232" s="1531"/>
      <c r="CA232" s="1531"/>
      <c r="CB232" s="1531"/>
      <c r="CC232" s="194"/>
      <c r="CD232" s="1531"/>
      <c r="CE232" s="1531"/>
      <c r="CF232" s="1531"/>
      <c r="CG232" s="1531"/>
      <c r="CH232" s="194"/>
      <c r="CI232" s="1531"/>
      <c r="CJ232" s="1531"/>
      <c r="CK232" s="1531"/>
      <c r="CL232" s="1531"/>
      <c r="CM232" s="236"/>
      <c r="CN232" s="1531"/>
      <c r="CO232" s="1531"/>
      <c r="CP232" s="1531"/>
      <c r="CQ232" s="1531"/>
      <c r="CR232" s="236"/>
      <c r="CS232" s="236"/>
      <c r="CT232" s="236"/>
      <c r="DB232" s="1226"/>
    </row>
    <row r="233" spans="1:106" outlineLevel="1" x14ac:dyDescent="0.2">
      <c r="A233" s="1595" t="s">
        <v>359</v>
      </c>
      <c r="B233" s="1924" t="s">
        <v>673</v>
      </c>
      <c r="C233" s="1924" t="s">
        <v>673</v>
      </c>
      <c r="D233" s="1924" t="s">
        <v>673</v>
      </c>
      <c r="E233" s="1924" t="s">
        <v>673</v>
      </c>
      <c r="F233" s="1890" t="s">
        <v>673</v>
      </c>
      <c r="G233" s="1924" t="s">
        <v>673</v>
      </c>
      <c r="H233" s="1924" t="s">
        <v>673</v>
      </c>
      <c r="I233" s="1924" t="s">
        <v>673</v>
      </c>
      <c r="J233" s="1924" t="s">
        <v>673</v>
      </c>
      <c r="K233" s="1890" t="s">
        <v>673</v>
      </c>
      <c r="L233" s="1924" t="s">
        <v>673</v>
      </c>
      <c r="M233" s="1924" t="s">
        <v>673</v>
      </c>
      <c r="N233" s="1924" t="s">
        <v>673</v>
      </c>
      <c r="O233" s="1924" t="s">
        <v>673</v>
      </c>
      <c r="P233" s="1890" t="s">
        <v>673</v>
      </c>
      <c r="Q233" s="2646">
        <v>-9.1999999999999998E-2</v>
      </c>
      <c r="R233" s="2647">
        <v>-8.6999999999999994E-2</v>
      </c>
      <c r="S233" s="2647">
        <v>-8.0000000000000002E-3</v>
      </c>
      <c r="T233" s="2648">
        <v>-1.6E-2</v>
      </c>
      <c r="U233" s="2649">
        <v>-4.2000000000000003E-2</v>
      </c>
      <c r="V233" s="2647">
        <v>4.1000000000000002E-2</v>
      </c>
      <c r="W233" s="2647">
        <v>0.14499999999999999</v>
      </c>
      <c r="X233" s="2647">
        <v>5.5E-2</v>
      </c>
      <c r="Y233" s="2647">
        <v>2.9000000000000001E-2</v>
      </c>
      <c r="Z233" s="2649">
        <v>6.4000000000000001E-2</v>
      </c>
      <c r="AA233" s="2647">
        <v>1.7999999999999999E-2</v>
      </c>
      <c r="AB233" s="2647">
        <v>3.7999999999999999E-2</v>
      </c>
      <c r="AC233" s="2647">
        <v>2.3E-2</v>
      </c>
      <c r="AD233" s="2647">
        <v>4.4999999999999998E-2</v>
      </c>
      <c r="AE233" s="2649">
        <v>3.1E-2</v>
      </c>
      <c r="AF233" s="2647">
        <v>0.188</v>
      </c>
      <c r="AG233" s="2647">
        <v>0.113</v>
      </c>
      <c r="AH233" s="2647">
        <v>0.158</v>
      </c>
      <c r="AI233" s="2647">
        <v>0.11799999999999999</v>
      </c>
      <c r="AJ233" s="2649">
        <v>0.13300000000000001</v>
      </c>
      <c r="AK233" s="2647">
        <v>6.5000000000000002E-2</v>
      </c>
      <c r="AL233" s="2647">
        <v>5.0999999999999997E-2</v>
      </c>
      <c r="AM233" s="2647">
        <v>5.2999999999999999E-2</v>
      </c>
      <c r="AN233" s="2647">
        <v>4.9000000000000002E-2</v>
      </c>
      <c r="AO233" s="2649">
        <v>5.0999999999999997E-2</v>
      </c>
      <c r="AP233" s="886">
        <v>1.2E-2</v>
      </c>
      <c r="AQ233" s="886">
        <v>2.9000000000000001E-2</v>
      </c>
      <c r="AR233" s="886">
        <v>-6.0000000000000001E-3</v>
      </c>
      <c r="AS233" s="886">
        <v>-7.6999999999999999E-2</v>
      </c>
      <c r="AT233" s="1046">
        <v>-1.7000000000000001E-2</v>
      </c>
      <c r="AU233" s="886">
        <v>-0.152</v>
      </c>
      <c r="AV233" s="886">
        <v>-0.156</v>
      </c>
      <c r="AW233" s="886">
        <v>-0.125</v>
      </c>
      <c r="AX233" s="886">
        <v>-0.06</v>
      </c>
      <c r="AY233" s="1046">
        <v>-0.113</v>
      </c>
      <c r="AZ233" s="886">
        <v>5.6000000000000001E-2</v>
      </c>
      <c r="BA233" s="886">
        <v>5.8000000000000003E-2</v>
      </c>
      <c r="BB233" s="886">
        <v>9.6000000000000002E-2</v>
      </c>
      <c r="BC233" s="886">
        <v>8.2000000000000003E-2</v>
      </c>
      <c r="BD233" s="1046">
        <v>7.6999999999999999E-2</v>
      </c>
      <c r="BE233" s="886"/>
      <c r="BF233" s="886"/>
      <c r="BG233" s="886"/>
      <c r="BH233" s="886"/>
      <c r="BI233" s="1046"/>
      <c r="BJ233" s="886"/>
      <c r="BK233" s="886"/>
      <c r="BL233" s="886"/>
      <c r="BM233" s="886"/>
      <c r="BN233" s="1280"/>
      <c r="BO233" s="886"/>
      <c r="BP233" s="886"/>
      <c r="BQ233" s="886"/>
      <c r="BR233" s="886"/>
      <c r="BS233" s="1280"/>
      <c r="BT233" s="886"/>
      <c r="BU233" s="886"/>
      <c r="BV233" s="886"/>
      <c r="BW233" s="886"/>
      <c r="BX233" s="1280"/>
      <c r="BY233" s="886"/>
      <c r="BZ233" s="886"/>
      <c r="CA233" s="886"/>
      <c r="CB233" s="886"/>
      <c r="CC233" s="1280"/>
      <c r="CD233" s="886"/>
      <c r="CE233" s="886"/>
      <c r="CF233" s="886"/>
      <c r="CG233" s="886"/>
      <c r="CH233" s="1280"/>
      <c r="CI233" s="886"/>
      <c r="CJ233" s="886"/>
      <c r="CK233" s="886"/>
      <c r="CL233" s="886"/>
      <c r="CM233" s="1046"/>
      <c r="CN233" s="886"/>
      <c r="CO233" s="886"/>
      <c r="CP233" s="886"/>
      <c r="CQ233" s="886"/>
      <c r="CR233" s="1046"/>
      <c r="CS233" s="1046"/>
      <c r="CT233" s="1046"/>
      <c r="DA233" s="212"/>
      <c r="DB233" s="1226"/>
    </row>
    <row r="234" spans="1:106" s="212" customFormat="1" x14ac:dyDescent="0.2">
      <c r="A234" s="1434" t="s">
        <v>1645</v>
      </c>
      <c r="B234" s="234"/>
      <c r="C234" s="234"/>
      <c r="D234" s="234"/>
      <c r="E234" s="234"/>
      <c r="F234" s="236"/>
      <c r="G234" s="234"/>
      <c r="H234" s="234"/>
      <c r="I234" s="234"/>
      <c r="J234" s="234"/>
      <c r="K234" s="236"/>
      <c r="L234" s="234"/>
      <c r="M234" s="234"/>
      <c r="N234" s="234"/>
      <c r="O234" s="234"/>
      <c r="P234" s="236"/>
      <c r="Q234" s="2638"/>
      <c r="R234" s="234"/>
      <c r="S234" s="234"/>
      <c r="T234" s="208"/>
      <c r="U234" s="236"/>
      <c r="V234" s="234"/>
      <c r="W234" s="234"/>
      <c r="X234" s="234"/>
      <c r="Y234" s="234"/>
      <c r="Z234" s="236"/>
      <c r="AA234" s="234"/>
      <c r="AB234" s="234"/>
      <c r="AC234" s="234"/>
      <c r="AD234" s="234"/>
      <c r="AE234" s="236"/>
      <c r="AF234" s="234"/>
      <c r="AG234" s="234"/>
      <c r="AH234" s="234"/>
      <c r="AI234" s="234"/>
      <c r="AJ234" s="236"/>
      <c r="AK234" s="234"/>
      <c r="AL234" s="234"/>
      <c r="AM234" s="234"/>
      <c r="AN234" s="234"/>
      <c r="AO234" s="236"/>
      <c r="AP234" s="1531">
        <f>AP284*AP313</f>
        <v>130.26143999999999</v>
      </c>
      <c r="AQ234" s="1531">
        <f>AQ284*AQ313</f>
        <v>145.16738999999998</v>
      </c>
      <c r="AR234" s="1531">
        <f>AR284*AR313</f>
        <v>105.31432</v>
      </c>
      <c r="AS234" s="1531">
        <f>AS284*AS313</f>
        <v>122.07986</v>
      </c>
      <c r="AT234" s="1530">
        <f>AVERAGE(AP234:AS234)</f>
        <v>125.70575249999999</v>
      </c>
      <c r="AU234" s="1531">
        <f>AU284*AU313</f>
        <v>103.34765</v>
      </c>
      <c r="AV234" s="1531">
        <f>AV284*AV313</f>
        <v>100.52952000000001</v>
      </c>
      <c r="AW234" s="1531">
        <f>AW284*AW313</f>
        <v>74.572959999999995</v>
      </c>
      <c r="AX234" s="1531">
        <f>AX284*AX313</f>
        <v>98.208209999999994</v>
      </c>
      <c r="AY234" s="1530">
        <f>AVERAGE(AU234:AX234)</f>
        <v>94.164585000000002</v>
      </c>
      <c r="AZ234" s="1531">
        <f>AZ284*AZ313</f>
        <v>92.328080000000014</v>
      </c>
      <c r="BA234" s="1531">
        <f>BA284*BA313</f>
        <v>104.25063999999999</v>
      </c>
      <c r="BB234" s="1531">
        <f>BB284*BB313</f>
        <v>73.866870000000006</v>
      </c>
      <c r="BC234" s="1531">
        <f>BC284*BC313</f>
        <v>98.407219999999995</v>
      </c>
      <c r="BD234" s="1530">
        <f>AVERAGE(AZ234:BC234)</f>
        <v>92.213202500000008</v>
      </c>
      <c r="BE234" s="1991">
        <f>BE284*BE313</f>
        <v>89.453399999999988</v>
      </c>
      <c r="BF234" s="1991">
        <f>BF284*BF313</f>
        <v>82.095929999999981</v>
      </c>
      <c r="BG234" s="1991">
        <f>BG284*BG313</f>
        <v>65.961940000000013</v>
      </c>
      <c r="BH234" s="1991">
        <f>BH284*BH313</f>
        <v>85.995450000000005</v>
      </c>
      <c r="BI234" s="1530">
        <f>AVERAGE(BE234:BH234)</f>
        <v>80.876679999999993</v>
      </c>
      <c r="BJ234" s="1991">
        <f>BJ284*BJ313</f>
        <v>81.333919999999992</v>
      </c>
      <c r="BK234" s="1991">
        <f>BK284*BK313</f>
        <v>87.765199999999993</v>
      </c>
      <c r="BL234" s="1991">
        <f>BL284*BL313</f>
        <v>70.412819999999996</v>
      </c>
      <c r="BM234" s="1991">
        <f>BM284*BM313</f>
        <v>87.229890000000012</v>
      </c>
      <c r="BN234" s="1530">
        <f>AVERAGE(BJ234:BM234)</f>
        <v>81.685457499999998</v>
      </c>
      <c r="BO234" s="1991">
        <f>BO284*BO313</f>
        <v>89.585819999999998</v>
      </c>
      <c r="BP234" s="1991">
        <f>BP284*BP313</f>
        <v>86.125</v>
      </c>
      <c r="BQ234" s="1991">
        <f>BQ284*BQ313</f>
        <v>65.720100000000002</v>
      </c>
      <c r="BR234" s="1991">
        <f>BR284*BR313</f>
        <v>83.599560000000011</v>
      </c>
      <c r="BS234" s="1530">
        <f>AVERAGE(BO234:BR234)</f>
        <v>81.257620000000003</v>
      </c>
      <c r="BT234" s="1991">
        <f>BT284*BT313</f>
        <v>118.64049999999999</v>
      </c>
      <c r="BU234" s="1991">
        <f>BU284*BU313</f>
        <v>116.08539999999999</v>
      </c>
      <c r="BV234" s="1991">
        <f>BV284*BV313</f>
        <v>88.630200000000002</v>
      </c>
      <c r="BW234" s="1991">
        <f>BW284*BW313</f>
        <v>125.88911999999999</v>
      </c>
      <c r="BX234" s="1530">
        <f>AVERAGE(BT234:BW234)</f>
        <v>112.31130499999999</v>
      </c>
      <c r="BY234" s="1991">
        <f>BY284*BY313</f>
        <v>126.62323000000001</v>
      </c>
      <c r="BZ234" s="1991">
        <f>BZ284*BZ313</f>
        <v>110.10645000000001</v>
      </c>
      <c r="CA234" s="1991">
        <f>CA284*CA313</f>
        <v>89.026340000000005</v>
      </c>
      <c r="CB234" s="1991">
        <f>CB284*CB313</f>
        <v>113.95292999999999</v>
      </c>
      <c r="CC234" s="1530">
        <f>AVERAGE(BY234:CB234)</f>
        <v>109.9272375</v>
      </c>
      <c r="CD234" s="1991">
        <f>CD284*CD313</f>
        <v>100.96640000000001</v>
      </c>
      <c r="CE234" s="1991">
        <f>CE284*CE313</f>
        <v>81.681049999999999</v>
      </c>
      <c r="CF234" s="1991">
        <f>CF284*CF313</f>
        <v>76.631799999999998</v>
      </c>
      <c r="CG234" s="1991">
        <f>CG284*CG313</f>
        <v>113.99947</v>
      </c>
      <c r="CH234" s="1530">
        <f>AVERAGE(CD234:CG234)</f>
        <v>93.319680000000005</v>
      </c>
      <c r="CI234" s="1991">
        <f>CI284*CI313</f>
        <v>114.77815000000001</v>
      </c>
      <c r="CJ234" s="1991">
        <f>CJ284*CJ313</f>
        <v>93.985799999999998</v>
      </c>
      <c r="CK234" s="1991">
        <f>CK284*CK313</f>
        <v>84.996769999999998</v>
      </c>
      <c r="CL234" s="1991">
        <f>CL284*CL313</f>
        <v>116.88431999999999</v>
      </c>
      <c r="CM234" s="1530">
        <f>AVERAGE(CI234:CL234)</f>
        <v>102.66126</v>
      </c>
      <c r="CN234" s="3653">
        <f>CI234*(1+CN235)</f>
        <v>114.77815000000001</v>
      </c>
      <c r="CO234" s="3653">
        <f>CJ234*(1+CO235)</f>
        <v>93.515871000000004</v>
      </c>
      <c r="CP234" s="3653">
        <f>CK234*(1+CP235)</f>
        <v>85.846737700000006</v>
      </c>
      <c r="CQ234" s="3653">
        <f>CL234*(1+CQ235)</f>
        <v>118.05316319999999</v>
      </c>
      <c r="CR234" s="1530">
        <f>AVERAGE(CN234:CQ234)</f>
        <v>103.04848047499999</v>
      </c>
      <c r="CS234" s="1530">
        <f>CR234*(1+CS235)</f>
        <v>104.59420768212497</v>
      </c>
      <c r="CT234" s="1530">
        <f>CS234*(1+CT235)</f>
        <v>101.45638145166122</v>
      </c>
      <c r="CU234"/>
      <c r="DB234" s="1226"/>
    </row>
    <row r="235" spans="1:106" s="212" customFormat="1" x14ac:dyDescent="0.2">
      <c r="A235" s="1595" t="s">
        <v>652</v>
      </c>
      <c r="B235" s="234"/>
      <c r="C235" s="234"/>
      <c r="D235" s="234"/>
      <c r="E235" s="234"/>
      <c r="F235" s="236"/>
      <c r="G235" s="234"/>
      <c r="H235" s="234"/>
      <c r="I235" s="234"/>
      <c r="J235" s="234"/>
      <c r="K235" s="236"/>
      <c r="L235" s="234"/>
      <c r="M235" s="234"/>
      <c r="N235" s="234"/>
      <c r="O235" s="234"/>
      <c r="P235" s="236"/>
      <c r="Q235" s="2638"/>
      <c r="R235" s="234"/>
      <c r="S235" s="234"/>
      <c r="T235" s="208"/>
      <c r="U235" s="236"/>
      <c r="V235" s="234"/>
      <c r="W235" s="234"/>
      <c r="X235" s="234"/>
      <c r="Y235" s="234"/>
      <c r="Z235" s="236"/>
      <c r="AA235" s="234"/>
      <c r="AB235" s="234"/>
      <c r="AC235" s="234"/>
      <c r="AD235" s="234"/>
      <c r="AE235" s="236"/>
      <c r="AF235" s="234"/>
      <c r="AG235" s="234"/>
      <c r="AH235" s="234"/>
      <c r="AI235" s="234"/>
      <c r="AJ235" s="236"/>
      <c r="AK235" s="234"/>
      <c r="AL235" s="234"/>
      <c r="AM235" s="234"/>
      <c r="AN235" s="234"/>
      <c r="AO235" s="236"/>
      <c r="AP235" s="1546"/>
      <c r="AQ235" s="1546"/>
      <c r="AR235" s="1546"/>
      <c r="AS235" s="1546"/>
      <c r="AT235" s="1545"/>
      <c r="AU235" s="1546">
        <f>AU234/AP234-1</f>
        <v>-0.206613637926926</v>
      </c>
      <c r="AV235" s="1546">
        <f>AV234/AQ234-1</f>
        <v>-0.30749240583577331</v>
      </c>
      <c r="AW235" s="1546">
        <f>AW234/AR234-1</f>
        <v>-0.29190104441637188</v>
      </c>
      <c r="AX235" s="1546">
        <f>AX234/AS234-1</f>
        <v>-0.19554126290773932</v>
      </c>
      <c r="AY235" s="1545">
        <f>+AY234/AT234-1</f>
        <v>-0.25091268197929117</v>
      </c>
      <c r="AZ235" s="1546">
        <f>AZ234/AU234-1</f>
        <v>-0.10662622710821179</v>
      </c>
      <c r="BA235" s="1546">
        <f>BA234/AV234-1</f>
        <v>3.7015197128166699E-2</v>
      </c>
      <c r="BB235" s="1546">
        <f>BB234/AW234-1</f>
        <v>-9.4684453989756223E-3</v>
      </c>
      <c r="BC235" s="1546">
        <f>BC234/AX234-1</f>
        <v>2.0264089937083174E-3</v>
      </c>
      <c r="BD235" s="1545">
        <f>+BD234/AY234-1</f>
        <v>-2.0723104126673442E-2</v>
      </c>
      <c r="BE235" s="1043">
        <f>BE234/AZ234-1</f>
        <v>-3.1135489874803302E-2</v>
      </c>
      <c r="BF235" s="1043">
        <f>BF234/BA234-1</f>
        <v>-0.21251389919524721</v>
      </c>
      <c r="BG235" s="1043">
        <f>BG234/BB234-1</f>
        <v>-0.10701590577751563</v>
      </c>
      <c r="BH235" s="1043">
        <f>BH234/BC234-1</f>
        <v>-0.12612661957120619</v>
      </c>
      <c r="BI235" s="1545">
        <f>+BI234/BD234-1</f>
        <v>-0.12293817146194452</v>
      </c>
      <c r="BJ235" s="1043">
        <f t="shared" ref="BJ235:BQ235" si="211">BJ234/BE234-1</f>
        <v>-9.0767706984865804E-2</v>
      </c>
      <c r="BK235" s="1043">
        <f t="shared" si="211"/>
        <v>6.9056651164071337E-2</v>
      </c>
      <c r="BL235" s="1043">
        <f t="shared" si="211"/>
        <v>6.7476487198526724E-2</v>
      </c>
      <c r="BM235" s="1043">
        <f t="shared" si="211"/>
        <v>1.4354712952836524E-2</v>
      </c>
      <c r="BN235" s="1281">
        <f t="shared" si="211"/>
        <v>1.0000132300188369E-2</v>
      </c>
      <c r="BO235" s="1043">
        <f t="shared" si="211"/>
        <v>0.10145705506386515</v>
      </c>
      <c r="BP235" s="1043">
        <f t="shared" si="211"/>
        <v>-1.8688500681363407E-2</v>
      </c>
      <c r="BQ235" s="1043">
        <f t="shared" si="211"/>
        <v>-6.6645818190494199E-2</v>
      </c>
      <c r="BR235" s="1043">
        <f t="shared" ref="BR235:CL235" si="212">BR234/BM234-1</f>
        <v>-4.1617959165143992E-2</v>
      </c>
      <c r="BS235" s="1281">
        <f t="shared" si="212"/>
        <v>-5.2376213966849328E-3</v>
      </c>
      <c r="BT235" s="1043">
        <f t="shared" si="212"/>
        <v>0.32432230904399817</v>
      </c>
      <c r="BU235" s="1043">
        <f t="shared" si="212"/>
        <v>0.34787111756168354</v>
      </c>
      <c r="BV235" s="1043">
        <f t="shared" si="212"/>
        <v>0.34860111290153228</v>
      </c>
      <c r="BW235" s="1043">
        <f t="shared" si="212"/>
        <v>0.50585864327515573</v>
      </c>
      <c r="BX235" s="1281">
        <f t="shared" si="212"/>
        <v>0.38216335895636599</v>
      </c>
      <c r="BY235" s="1043">
        <f t="shared" si="212"/>
        <v>6.7285033357074697E-2</v>
      </c>
      <c r="BZ235" s="1043">
        <f t="shared" si="212"/>
        <v>-5.150475425850265E-2</v>
      </c>
      <c r="CA235" s="1043">
        <f t="shared" si="212"/>
        <v>4.4695826027696395E-3</v>
      </c>
      <c r="CB235" s="1043">
        <f t="shared" si="212"/>
        <v>-9.4815103958149849E-2</v>
      </c>
      <c r="CC235" s="1042">
        <f>AVERAGE(CB235,BY236:CA236)</f>
        <v>1.1296224010462538E-2</v>
      </c>
      <c r="CD235" s="1043">
        <f t="shared" si="212"/>
        <v>-0.20262340488392216</v>
      </c>
      <c r="CE235" s="2882">
        <f t="shared" si="212"/>
        <v>-0.25816289599746434</v>
      </c>
      <c r="CF235" s="2882">
        <f t="shared" si="212"/>
        <v>-0.13922329054524774</v>
      </c>
      <c r="CG235" s="2882">
        <f t="shared" si="212"/>
        <v>4.0841424612780841E-4</v>
      </c>
      <c r="CH235" s="1044">
        <f>AVERAGE(CD235:CG235)</f>
        <v>-0.14990029429512661</v>
      </c>
      <c r="CI235" s="1043">
        <f t="shared" si="212"/>
        <v>0.13679550820867137</v>
      </c>
      <c r="CJ235" s="1043">
        <f t="shared" si="212"/>
        <v>0.15064387639483079</v>
      </c>
      <c r="CK235" s="1043">
        <f t="shared" si="212"/>
        <v>0.10915794748394259</v>
      </c>
      <c r="CL235" s="1043">
        <f t="shared" si="212"/>
        <v>2.530581940424792E-2</v>
      </c>
      <c r="CM235" s="1044">
        <f>AVERAGE(CI235:CL235)</f>
        <v>0.10547578787292317</v>
      </c>
      <c r="CN235" s="886">
        <v>0</v>
      </c>
      <c r="CO235" s="886">
        <v>-5.0000000000000001E-3</v>
      </c>
      <c r="CP235" s="886">
        <v>0.01</v>
      </c>
      <c r="CQ235" s="886">
        <v>0.01</v>
      </c>
      <c r="CR235" s="1044">
        <f>+CR234/CM234-1</f>
        <v>3.7718266364545894E-3</v>
      </c>
      <c r="CS235" s="1046">
        <v>1.4999999999999999E-2</v>
      </c>
      <c r="CT235" s="1046">
        <v>-0.03</v>
      </c>
      <c r="DB235" s="1226"/>
    </row>
    <row r="236" spans="1:106" x14ac:dyDescent="0.2">
      <c r="A236" s="1595" t="s">
        <v>359</v>
      </c>
      <c r="B236" s="1924" t="s">
        <v>673</v>
      </c>
      <c r="C236" s="1924" t="s">
        <v>673</v>
      </c>
      <c r="D236" s="1924" t="s">
        <v>673</v>
      </c>
      <c r="E236" s="1924" t="s">
        <v>673</v>
      </c>
      <c r="F236" s="1890" t="s">
        <v>673</v>
      </c>
      <c r="G236" s="1924" t="s">
        <v>673</v>
      </c>
      <c r="H236" s="1924" t="s">
        <v>673</v>
      </c>
      <c r="I236" s="1924" t="s">
        <v>673</v>
      </c>
      <c r="J236" s="1924" t="s">
        <v>673</v>
      </c>
      <c r="K236" s="1890" t="s">
        <v>673</v>
      </c>
      <c r="L236" s="1924" t="s">
        <v>673</v>
      </c>
      <c r="M236" s="1924" t="s">
        <v>673</v>
      </c>
      <c r="N236" s="1924" t="s">
        <v>673</v>
      </c>
      <c r="O236" s="1924" t="s">
        <v>673</v>
      </c>
      <c r="P236" s="1890" t="s">
        <v>673</v>
      </c>
      <c r="Q236" s="2646">
        <v>0.34100000000000003</v>
      </c>
      <c r="R236" s="2647">
        <v>-0.14199999999999999</v>
      </c>
      <c r="S236" s="2647">
        <v>0.22600000000000001</v>
      </c>
      <c r="T236" s="2648">
        <v>0.26500000000000001</v>
      </c>
      <c r="U236" s="2649">
        <v>0.158</v>
      </c>
      <c r="V236" s="2647">
        <v>0.28100000000000003</v>
      </c>
      <c r="W236" s="2647">
        <v>0.45</v>
      </c>
      <c r="X236" s="2647">
        <v>2.7E-2</v>
      </c>
      <c r="Y236" s="2647">
        <v>0.19800000000000001</v>
      </c>
      <c r="Z236" s="2649">
        <v>0.28100000000000003</v>
      </c>
      <c r="AA236" s="2647">
        <v>0.28000000000000003</v>
      </c>
      <c r="AB236" s="2647">
        <v>0.313</v>
      </c>
      <c r="AC236" s="2647">
        <v>0.184</v>
      </c>
      <c r="AD236" s="2647">
        <v>0.313</v>
      </c>
      <c r="AE236" s="2649">
        <v>0.29299999999999998</v>
      </c>
      <c r="AF236" s="2647">
        <v>9.0999999999999998E-2</v>
      </c>
      <c r="AG236" s="2647">
        <v>0.14199999999999999</v>
      </c>
      <c r="AH236" s="2647">
        <v>9.4E-2</v>
      </c>
      <c r="AI236" s="2647">
        <v>8.4000000000000005E-2</v>
      </c>
      <c r="AJ236" s="2649">
        <v>0.10299999999999999</v>
      </c>
      <c r="AK236" s="2647">
        <v>0.20699999999999999</v>
      </c>
      <c r="AL236" s="2647">
        <v>0.16500000000000001</v>
      </c>
      <c r="AM236" s="2647">
        <v>0.151</v>
      </c>
      <c r="AN236" s="2647">
        <v>0.155</v>
      </c>
      <c r="AO236" s="2649">
        <v>0.17</v>
      </c>
      <c r="AP236" s="886">
        <v>0.13900000000000001</v>
      </c>
      <c r="AQ236" s="886">
        <v>0.222</v>
      </c>
      <c r="AR236" s="886">
        <v>0.17899999999999999</v>
      </c>
      <c r="AS236" s="886">
        <v>6.6000000000000003E-2</v>
      </c>
      <c r="AT236" s="1046">
        <v>0.14399999999999999</v>
      </c>
      <c r="AU236" s="886">
        <v>-0.105</v>
      </c>
      <c r="AV236" s="886">
        <v>-0.222</v>
      </c>
      <c r="AW236" s="886">
        <v>-0.27800000000000002</v>
      </c>
      <c r="AX236" s="886">
        <v>-0.13900000000000001</v>
      </c>
      <c r="AY236" s="1046">
        <v>-0.189</v>
      </c>
      <c r="AZ236" s="886">
        <v>-0.11600000000000001</v>
      </c>
      <c r="BA236" s="886">
        <v>-0.02</v>
      </c>
      <c r="BB236" s="886">
        <v>-1.9E-2</v>
      </c>
      <c r="BC236" s="886">
        <v>8.9999999999999993E-3</v>
      </c>
      <c r="BD236" s="1046">
        <v>-2.3E-2</v>
      </c>
      <c r="BE236" s="886">
        <v>5.3999999999999999E-2</v>
      </c>
      <c r="BF236" s="886">
        <v>-0.159</v>
      </c>
      <c r="BG236" s="886">
        <v>-9.0999999999999998E-2</v>
      </c>
      <c r="BH236" s="886">
        <v>-8.5000000000000006E-2</v>
      </c>
      <c r="BI236" s="1046">
        <v>-8.5000000000000006E-2</v>
      </c>
      <c r="BJ236" s="886">
        <v>-5.7000000000000002E-2</v>
      </c>
      <c r="BK236" s="886">
        <v>0.114</v>
      </c>
      <c r="BL236" s="886">
        <v>0.13</v>
      </c>
      <c r="BM236" s="886">
        <v>0.10100000000000001</v>
      </c>
      <c r="BN236" s="1046">
        <v>9.1999999999999998E-2</v>
      </c>
      <c r="BO236" s="886">
        <v>0.112</v>
      </c>
      <c r="BP236" s="886">
        <v>5.7000000000000002E-2</v>
      </c>
      <c r="BQ236" s="886">
        <v>-0.113</v>
      </c>
      <c r="BR236" s="886">
        <v>-0.107</v>
      </c>
      <c r="BS236" s="1046">
        <v>-1.4999999999999999E-2</v>
      </c>
      <c r="BT236" s="886">
        <v>4.0000000000000001E-3</v>
      </c>
      <c r="BU236" s="886">
        <v>4.9000000000000002E-2</v>
      </c>
      <c r="BV236" s="886">
        <v>0.15</v>
      </c>
      <c r="BW236" s="886">
        <v>0.14899999999999999</v>
      </c>
      <c r="BX236" s="1046">
        <v>8.1000000000000003E-2</v>
      </c>
      <c r="BY236" s="886">
        <v>9.2999999999999999E-2</v>
      </c>
      <c r="BZ236" s="886">
        <v>8.0000000000000002E-3</v>
      </c>
      <c r="CA236" s="886">
        <v>3.9E-2</v>
      </c>
      <c r="CB236" s="886">
        <v>-6.4000000000000001E-2</v>
      </c>
      <c r="CC236" s="1046">
        <v>1.6E-2</v>
      </c>
      <c r="CD236" s="886">
        <v>-2.3E-2</v>
      </c>
      <c r="CE236" s="886">
        <v>-5.8999999999999997E-2</v>
      </c>
      <c r="CF236" s="886">
        <v>4.4999999999999998E-2</v>
      </c>
      <c r="CG236" s="886">
        <v>-1.0999999999999999E-2</v>
      </c>
      <c r="CH236" s="1046">
        <v>-3.5000000000000003E-2</v>
      </c>
      <c r="CI236" s="886">
        <v>-3.0000000000000001E-3</v>
      </c>
      <c r="CJ236" s="886">
        <v>2.4E-2</v>
      </c>
      <c r="CK236" s="886">
        <v>-7.0000000000000001E-3</v>
      </c>
      <c r="CL236" s="886">
        <v>5.7000000000000002E-2</v>
      </c>
      <c r="CM236" s="1046">
        <v>0.02</v>
      </c>
      <c r="CN236" s="886"/>
      <c r="CO236" s="886"/>
      <c r="CP236" s="886"/>
      <c r="CQ236" s="886"/>
      <c r="CR236" s="1046"/>
      <c r="CS236" s="1046"/>
      <c r="CT236" s="1046"/>
      <c r="DA236" s="212"/>
      <c r="DB236" s="1226"/>
    </row>
    <row r="237" spans="1:106" s="212" customFormat="1" x14ac:dyDescent="0.2">
      <c r="A237" s="1434" t="s">
        <v>808</v>
      </c>
      <c r="B237" s="234"/>
      <c r="C237" s="234"/>
      <c r="D237" s="234"/>
      <c r="E237" s="234"/>
      <c r="F237" s="236"/>
      <c r="G237" s="234"/>
      <c r="H237" s="234"/>
      <c r="I237" s="234"/>
      <c r="J237" s="234"/>
      <c r="K237" s="236"/>
      <c r="L237" s="234"/>
      <c r="M237" s="234"/>
      <c r="N237" s="234"/>
      <c r="O237" s="234"/>
      <c r="P237" s="236"/>
      <c r="Q237" s="2638"/>
      <c r="R237" s="234"/>
      <c r="S237" s="234"/>
      <c r="T237" s="208"/>
      <c r="U237" s="236"/>
      <c r="V237" s="234"/>
      <c r="W237" s="234"/>
      <c r="X237" s="234"/>
      <c r="Y237" s="234"/>
      <c r="Z237" s="236"/>
      <c r="AA237" s="234"/>
      <c r="AB237" s="234"/>
      <c r="AC237" s="234"/>
      <c r="AD237" s="234"/>
      <c r="AE237" s="236"/>
      <c r="AF237" s="234"/>
      <c r="AG237" s="234"/>
      <c r="AH237" s="234"/>
      <c r="AI237" s="234"/>
      <c r="AJ237" s="236"/>
      <c r="AK237" s="234"/>
      <c r="AL237" s="234"/>
      <c r="AM237" s="234"/>
      <c r="AN237" s="234"/>
      <c r="AO237" s="236"/>
      <c r="AP237" s="1531">
        <f>AP287*AP316</f>
        <v>116.21187</v>
      </c>
      <c r="AQ237" s="1531">
        <f>AQ287*AQ316</f>
        <v>120.2877</v>
      </c>
      <c r="AR237" s="1531">
        <f>AR287*AR316</f>
        <v>111.84045</v>
      </c>
      <c r="AS237" s="1531">
        <f>AS287*AS316</f>
        <v>102.57193000000001</v>
      </c>
      <c r="AT237" s="1530">
        <f>AVERAGE(AP237:AS237)</f>
        <v>112.7279875</v>
      </c>
      <c r="AU237" s="1531">
        <f>AU287*AU316</f>
        <v>83.874399999999994</v>
      </c>
      <c r="AV237" s="1531">
        <f>AV287*AV316</f>
        <v>78.344849999999994</v>
      </c>
      <c r="AW237" s="1531">
        <f>AW287*AW316</f>
        <v>82.364429999999999</v>
      </c>
      <c r="AX237" s="1531">
        <f>AX287*AX316</f>
        <v>98.515869999999993</v>
      </c>
      <c r="AY237" s="1530">
        <f>AVERAGE(AU237:AX237)</f>
        <v>85.774887499999991</v>
      </c>
      <c r="AZ237" s="1531">
        <f>AZ287*AZ316</f>
        <v>76.89376</v>
      </c>
      <c r="BA237" s="1531">
        <f>BA287*BA316</f>
        <v>87.926699999999997</v>
      </c>
      <c r="BB237" s="1531">
        <f>BB287*BB316</f>
        <v>88.216700000000003</v>
      </c>
      <c r="BC237" s="1531">
        <f>BC287*BC316</f>
        <v>100.48532</v>
      </c>
      <c r="BD237" s="1530">
        <f>AVERAGE(AZ237:BC237)</f>
        <v>88.380619999999993</v>
      </c>
      <c r="BE237" s="1991">
        <f>BE287*BE316</f>
        <v>89.205159999999992</v>
      </c>
      <c r="BF237" s="1991">
        <f>BF287*BF316</f>
        <v>102.86597999999999</v>
      </c>
      <c r="BG237" s="1991">
        <f>BG287*BG316</f>
        <v>103.28039999999999</v>
      </c>
      <c r="BH237" s="1991">
        <f>BH287*BH316</f>
        <v>117.73312</v>
      </c>
      <c r="BI237" s="1530">
        <f>AVERAGE(BE237:BH237)</f>
        <v>103.271165</v>
      </c>
      <c r="BJ237" s="1991">
        <f>BJ287*BJ316</f>
        <v>93.654679999999999</v>
      </c>
      <c r="BK237" s="1991">
        <f>BK287*BK316</f>
        <v>104.91159999999999</v>
      </c>
      <c r="BL237" s="1991">
        <f>BL287*BL316</f>
        <v>97.86309</v>
      </c>
      <c r="BM237" s="1991">
        <f>BM287*BM316</f>
        <v>109.70457</v>
      </c>
      <c r="BN237" s="1530">
        <f>AVERAGE(BJ237:BM237)</f>
        <v>101.533485</v>
      </c>
      <c r="BO237" s="1991">
        <f>BO287*BO316</f>
        <v>105.36563999999998</v>
      </c>
      <c r="BP237" s="1991">
        <f>BP287*BP316</f>
        <v>105.39256</v>
      </c>
      <c r="BQ237" s="1991">
        <f>BQ287*BQ316</f>
        <v>105.95017999999999</v>
      </c>
      <c r="BR237" s="1991">
        <f>BR287*BR316</f>
        <v>113.56095999999999</v>
      </c>
      <c r="BS237" s="1530">
        <f>AVERAGE(BO237:BR237)</f>
        <v>107.56733499999999</v>
      </c>
      <c r="BT237" s="1991">
        <f>BT287*BT316</f>
        <v>128.13151999999999</v>
      </c>
      <c r="BU237" s="1991">
        <f>BU287*BU316</f>
        <v>126.5158</v>
      </c>
      <c r="BV237" s="1991">
        <f>BV287*BV316</f>
        <v>129.78031000000001</v>
      </c>
      <c r="BW237" s="1991">
        <f>BW287*BW316</f>
        <v>136.61370000000002</v>
      </c>
      <c r="BX237" s="1530">
        <f>AVERAGE(BT237:BW237)</f>
        <v>130.2603325</v>
      </c>
      <c r="BY237" s="1991">
        <f>BY287*BY316</f>
        <v>118.31413999999999</v>
      </c>
      <c r="BZ237" s="1991">
        <f>BZ287*BZ316</f>
        <v>114.53630000000001</v>
      </c>
      <c r="CA237" s="1991">
        <f>CA287*CA316</f>
        <v>112.815</v>
      </c>
      <c r="CB237" s="1991">
        <f>CB287*CB316</f>
        <v>120.2688</v>
      </c>
      <c r="CC237" s="1530">
        <f>AVERAGE(BY237:CB237)</f>
        <v>116.48356</v>
      </c>
      <c r="CD237" s="1991">
        <f>CD287*CD316</f>
        <v>113.25732000000001</v>
      </c>
      <c r="CE237" s="1991">
        <f>CE287*CE316</f>
        <v>113.2047</v>
      </c>
      <c r="CF237" s="1991">
        <f>CF287*CF316</f>
        <v>115.19573</v>
      </c>
      <c r="CG237" s="1991">
        <f>CG287*CG316</f>
        <v>103.733</v>
      </c>
      <c r="CH237" s="1530">
        <f>AVERAGE(CD237:CG237)</f>
        <v>111.34768749999999</v>
      </c>
      <c r="CI237" s="1991">
        <f>CI287*CI316</f>
        <v>96.917749999999984</v>
      </c>
      <c r="CJ237" s="1991">
        <f>CJ287*CJ316</f>
        <v>97.602569999999986</v>
      </c>
      <c r="CK237" s="1991">
        <f>CK287*CK316</f>
        <v>119.34230000000001</v>
      </c>
      <c r="CL237" s="1991">
        <f>CL287*CL316</f>
        <v>109.53305999999999</v>
      </c>
      <c r="CM237" s="1530">
        <f>AVERAGE(CI237:CL237)</f>
        <v>105.84891999999999</v>
      </c>
      <c r="CN237" s="3653">
        <f>CI237*(1+CN238)</f>
        <v>102.73281499999999</v>
      </c>
      <c r="CO237" s="3653">
        <f>CJ237*(1+CO238)</f>
        <v>104.43474989999999</v>
      </c>
      <c r="CP237" s="3653">
        <f>CK237*(1+CP238)</f>
        <v>124.11599200000002</v>
      </c>
      <c r="CQ237" s="3653">
        <f>CL237*(1+CQ238)</f>
        <v>115.00971299999999</v>
      </c>
      <c r="CR237" s="1530">
        <f>AVERAGE(CN237:CQ237)</f>
        <v>111.573317475</v>
      </c>
      <c r="CS237" s="1530">
        <f>CR237*(1+CS238)</f>
        <v>116.036250174</v>
      </c>
      <c r="CT237" s="1530">
        <f>CS237*(1+CT238)</f>
        <v>113.71552517052</v>
      </c>
      <c r="CU237"/>
      <c r="DB237" s="1226"/>
    </row>
    <row r="238" spans="1:106" s="212" customFormat="1" x14ac:dyDescent="0.2">
      <c r="A238" s="1595" t="s">
        <v>652</v>
      </c>
      <c r="B238" s="234"/>
      <c r="C238" s="234"/>
      <c r="D238" s="234"/>
      <c r="E238" s="234"/>
      <c r="F238" s="236"/>
      <c r="G238" s="234"/>
      <c r="H238" s="234"/>
      <c r="I238" s="234"/>
      <c r="J238" s="234"/>
      <c r="K238" s="236"/>
      <c r="L238" s="234"/>
      <c r="M238" s="234"/>
      <c r="N238" s="234"/>
      <c r="O238" s="234"/>
      <c r="P238" s="236"/>
      <c r="Q238" s="2638"/>
      <c r="R238" s="234"/>
      <c r="S238" s="234"/>
      <c r="T238" s="208"/>
      <c r="U238" s="236"/>
      <c r="V238" s="234"/>
      <c r="W238" s="234"/>
      <c r="X238" s="234"/>
      <c r="Y238" s="234"/>
      <c r="Z238" s="236"/>
      <c r="AA238" s="234"/>
      <c r="AB238" s="234"/>
      <c r="AC238" s="234"/>
      <c r="AD238" s="234"/>
      <c r="AE238" s="236"/>
      <c r="AF238" s="234"/>
      <c r="AG238" s="234"/>
      <c r="AH238" s="234"/>
      <c r="AI238" s="234"/>
      <c r="AJ238" s="236"/>
      <c r="AK238" s="234"/>
      <c r="AL238" s="234"/>
      <c r="AM238" s="234"/>
      <c r="AN238" s="234"/>
      <c r="AO238" s="236"/>
      <c r="AP238" s="1546"/>
      <c r="AQ238" s="1546"/>
      <c r="AR238" s="1546"/>
      <c r="AS238" s="1546"/>
      <c r="AT238" s="1545"/>
      <c r="AU238" s="1546">
        <f>AU237/AP237-1</f>
        <v>-0.27826305522835149</v>
      </c>
      <c r="AV238" s="1546">
        <f>AV237/AQ237-1</f>
        <v>-0.34868777106886251</v>
      </c>
      <c r="AW238" s="1546">
        <f>AW237/AR237-1</f>
        <v>-0.263554197072705</v>
      </c>
      <c r="AX238" s="1546">
        <f>AX237/AS237-1</f>
        <v>-3.954356713381546E-2</v>
      </c>
      <c r="AY238" s="1545">
        <f>+AY237/AT237-1</f>
        <v>-0.23909856458672263</v>
      </c>
      <c r="AZ238" s="1546">
        <f>AZ237/AU237-1</f>
        <v>-8.3227301775035012E-2</v>
      </c>
      <c r="BA238" s="1546">
        <f>BA237/AV237-1</f>
        <v>0.12230350814380264</v>
      </c>
      <c r="BB238" s="1546">
        <f>BB237/AW237-1</f>
        <v>7.1053366119330885E-2</v>
      </c>
      <c r="BC238" s="1546">
        <f>BC237/AX237-1</f>
        <v>1.9991195327209832E-2</v>
      </c>
      <c r="BD238" s="1545">
        <f>+BD237/AY237-1</f>
        <v>3.0378734102099569E-2</v>
      </c>
      <c r="BE238" s="1043">
        <f>BE237/AZ237-1</f>
        <v>0.16010922082624113</v>
      </c>
      <c r="BF238" s="1043">
        <f>BF237/BA237-1</f>
        <v>0.16990606948742526</v>
      </c>
      <c r="BG238" s="1043">
        <f>BG237/BB237-1</f>
        <v>0.170757917718527</v>
      </c>
      <c r="BH238" s="1043">
        <f>BH237/BC237-1</f>
        <v>0.171644972618886</v>
      </c>
      <c r="BI238" s="1545">
        <f>+BI237/BD237-1</f>
        <v>0.16848201562740805</v>
      </c>
      <c r="BJ238" s="1043">
        <f t="shared" ref="BJ238:BQ238" si="213">BJ237/BE237-1</f>
        <v>4.9879625797431437E-2</v>
      </c>
      <c r="BK238" s="1043">
        <f t="shared" si="213"/>
        <v>1.9886263660735981E-2</v>
      </c>
      <c r="BL238" s="1043">
        <f t="shared" si="213"/>
        <v>-5.2452449835593051E-2</v>
      </c>
      <c r="BM238" s="1043">
        <f t="shared" si="213"/>
        <v>-6.8192790609813092E-2</v>
      </c>
      <c r="BN238" s="1281">
        <f t="shared" si="213"/>
        <v>-1.682638130401648E-2</v>
      </c>
      <c r="BO238" s="1043">
        <f t="shared" si="213"/>
        <v>0.12504404478238551</v>
      </c>
      <c r="BP238" s="1043">
        <f t="shared" si="213"/>
        <v>4.5844310829308288E-3</v>
      </c>
      <c r="BQ238" s="1043">
        <f t="shared" si="213"/>
        <v>8.2636773476087777E-2</v>
      </c>
      <c r="BR238" s="1043">
        <f t="shared" ref="BR238:CL238" si="214">BR237/BM237-1</f>
        <v>3.5152500939568787E-2</v>
      </c>
      <c r="BS238" s="1281">
        <f t="shared" si="214"/>
        <v>5.9427192910791904E-2</v>
      </c>
      <c r="BT238" s="1043">
        <f t="shared" si="214"/>
        <v>0.21606550294764038</v>
      </c>
      <c r="BU238" s="1043">
        <f t="shared" si="214"/>
        <v>0.20042439428361924</v>
      </c>
      <c r="BV238" s="1043">
        <f t="shared" si="214"/>
        <v>0.22491825875142468</v>
      </c>
      <c r="BW238" s="1043">
        <f t="shared" si="214"/>
        <v>0.2029988122678783</v>
      </c>
      <c r="BX238" s="1281">
        <f t="shared" si="214"/>
        <v>0.21096550825582905</v>
      </c>
      <c r="BY238" s="1043">
        <f t="shared" si="214"/>
        <v>-7.6619554657589295E-2</v>
      </c>
      <c r="BZ238" s="1043">
        <f t="shared" si="214"/>
        <v>-9.4687778127316768E-2</v>
      </c>
      <c r="CA238" s="1043">
        <f t="shared" si="214"/>
        <v>-0.13072329693156082</v>
      </c>
      <c r="CB238" s="1043">
        <f t="shared" si="214"/>
        <v>-0.11964319830295223</v>
      </c>
      <c r="CC238" s="1042">
        <f>AVERAGE(CB238,BY239:CA239)</f>
        <v>1.2089200424261945E-2</v>
      </c>
      <c r="CD238" s="1043">
        <f t="shared" si="214"/>
        <v>-4.2740622549426344E-2</v>
      </c>
      <c r="CE238" s="1043">
        <f t="shared" si="214"/>
        <v>-1.162600852306217E-2</v>
      </c>
      <c r="CF238" s="1043">
        <f t="shared" si="214"/>
        <v>2.1102956167176279E-2</v>
      </c>
      <c r="CG238" s="1043">
        <f t="shared" si="214"/>
        <v>-0.13749035493827155</v>
      </c>
      <c r="CH238" s="1044">
        <f>AVERAGE(CD238:CG238)</f>
        <v>-4.2688507460895947E-2</v>
      </c>
      <c r="CI238" s="1043">
        <f t="shared" si="214"/>
        <v>-0.14426943883185672</v>
      </c>
      <c r="CJ238" s="1043">
        <f t="shared" si="214"/>
        <v>-0.1378222812303731</v>
      </c>
      <c r="CK238" s="1043">
        <f t="shared" si="214"/>
        <v>3.5995865471749822E-2</v>
      </c>
      <c r="CL238" s="1043">
        <f t="shared" si="214"/>
        <v>5.5913354477360011E-2</v>
      </c>
      <c r="CM238" s="1044">
        <f>AVERAGE(CI238:CL238)</f>
        <v>-4.7545625028279997E-2</v>
      </c>
      <c r="CN238" s="886">
        <v>0.06</v>
      </c>
      <c r="CO238" s="886">
        <v>7.0000000000000007E-2</v>
      </c>
      <c r="CP238" s="886">
        <v>0.04</v>
      </c>
      <c r="CQ238" s="886">
        <v>0.05</v>
      </c>
      <c r="CR238" s="1044">
        <f>+CR237/CM237-1</f>
        <v>5.408083025315702E-2</v>
      </c>
      <c r="CS238" s="1046">
        <v>0.04</v>
      </c>
      <c r="CT238" s="1046">
        <v>-0.02</v>
      </c>
      <c r="DB238" s="1226"/>
    </row>
    <row r="239" spans="1:106" x14ac:dyDescent="0.2">
      <c r="A239" s="1595" t="s">
        <v>359</v>
      </c>
      <c r="B239" s="1924" t="s">
        <v>673</v>
      </c>
      <c r="C239" s="1924" t="s">
        <v>673</v>
      </c>
      <c r="D239" s="1924" t="s">
        <v>673</v>
      </c>
      <c r="E239" s="1924" t="s">
        <v>673</v>
      </c>
      <c r="F239" s="1890" t="s">
        <v>673</v>
      </c>
      <c r="G239" s="1924" t="s">
        <v>673</v>
      </c>
      <c r="H239" s="1924" t="s">
        <v>673</v>
      </c>
      <c r="I239" s="1924" t="s">
        <v>673</v>
      </c>
      <c r="J239" s="1924" t="s">
        <v>673</v>
      </c>
      <c r="K239" s="1890" t="s">
        <v>673</v>
      </c>
      <c r="L239" s="1924" t="s">
        <v>673</v>
      </c>
      <c r="M239" s="1924" t="s">
        <v>673</v>
      </c>
      <c r="N239" s="1924" t="s">
        <v>673</v>
      </c>
      <c r="O239" s="1924" t="s">
        <v>673</v>
      </c>
      <c r="P239" s="1890" t="s">
        <v>673</v>
      </c>
      <c r="Q239" s="2650">
        <v>7.1999999999999995E-2</v>
      </c>
      <c r="R239" s="2651">
        <v>-0.28299999999999997</v>
      </c>
      <c r="S239" s="2651">
        <v>-0.11</v>
      </c>
      <c r="T239" s="2652">
        <v>3.7999999999999999E-2</v>
      </c>
      <c r="U239" s="2653">
        <v>-6.8000000000000005E-2</v>
      </c>
      <c r="V239" s="2647">
        <v>2.1999999999999999E-2</v>
      </c>
      <c r="W239" s="2647">
        <v>0.54500000000000004</v>
      </c>
      <c r="X239" s="2647">
        <v>0.28899999999999998</v>
      </c>
      <c r="Y239" s="2647">
        <v>0.112</v>
      </c>
      <c r="Z239" s="2653">
        <v>0.22600000000000001</v>
      </c>
      <c r="AA239" s="2647">
        <v>0.14199999999999999</v>
      </c>
      <c r="AB239" s="2647">
        <v>0.18099999999999999</v>
      </c>
      <c r="AC239" s="2647">
        <v>0.12</v>
      </c>
      <c r="AD239" s="2647">
        <v>0.14399999999999999</v>
      </c>
      <c r="AE239" s="2653">
        <v>0.14699999999999999</v>
      </c>
      <c r="AF239" s="2647">
        <v>0.154</v>
      </c>
      <c r="AG239" s="2647">
        <v>9.8000000000000004E-2</v>
      </c>
      <c r="AH239" s="2647">
        <v>0.104</v>
      </c>
      <c r="AI239" s="2647">
        <v>0.112</v>
      </c>
      <c r="AJ239" s="2653">
        <v>0.112</v>
      </c>
      <c r="AK239" s="2647">
        <v>9.9000000000000005E-2</v>
      </c>
      <c r="AL239" s="2647">
        <v>8.8999999999999996E-2</v>
      </c>
      <c r="AM239" s="2647">
        <v>5.2999999999999999E-2</v>
      </c>
      <c r="AN239" s="2647">
        <v>5.1999999999999998E-2</v>
      </c>
      <c r="AO239" s="2653">
        <v>7.0000000000000007E-2</v>
      </c>
      <c r="AP239" s="886">
        <v>6.6000000000000003E-2</v>
      </c>
      <c r="AQ239" s="886">
        <v>4.1000000000000002E-2</v>
      </c>
      <c r="AR239" s="886">
        <v>2.8000000000000001E-2</v>
      </c>
      <c r="AS239" s="886">
        <v>-0.108</v>
      </c>
      <c r="AT239" s="1046">
        <v>-8.0000000000000002E-3</v>
      </c>
      <c r="AU239" s="886">
        <v>-0.188</v>
      </c>
      <c r="AV239" s="886">
        <v>-0.26700000000000002</v>
      </c>
      <c r="AW239" s="886">
        <v>-0.25</v>
      </c>
      <c r="AX239" s="886">
        <v>-9.9000000000000005E-2</v>
      </c>
      <c r="AY239" s="1046">
        <v>-0.193</v>
      </c>
      <c r="AZ239" s="886">
        <v>8.2000000000000003E-2</v>
      </c>
      <c r="BA239" s="886">
        <v>0.21</v>
      </c>
      <c r="BB239" s="886">
        <v>0.21</v>
      </c>
      <c r="BC239" s="886">
        <v>0.13600000000000001</v>
      </c>
      <c r="BD239" s="1046">
        <v>0.16500000000000001</v>
      </c>
      <c r="BE239" s="886">
        <v>0.17199999999999999</v>
      </c>
      <c r="BF239" s="886">
        <v>0.11799999999999999</v>
      </c>
      <c r="BG239" s="886">
        <v>8.5000000000000006E-2</v>
      </c>
      <c r="BH239" s="886">
        <v>8.4000000000000005E-2</v>
      </c>
      <c r="BI239" s="1046">
        <v>0.10299999999999999</v>
      </c>
      <c r="BJ239" s="886">
        <v>0.14000000000000001</v>
      </c>
      <c r="BK239" s="886">
        <v>0.111</v>
      </c>
      <c r="BL239" s="886">
        <v>6.8000000000000005E-2</v>
      </c>
      <c r="BM239" s="886">
        <v>3.4000000000000002E-2</v>
      </c>
      <c r="BN239" s="1046">
        <v>7.5999999999999998E-2</v>
      </c>
      <c r="BO239" s="886">
        <v>3.3000000000000002E-2</v>
      </c>
      <c r="BP239" s="886">
        <v>2.5000000000000001E-2</v>
      </c>
      <c r="BQ239" s="886">
        <v>3.7999999999999999E-2</v>
      </c>
      <c r="BR239" s="886">
        <v>3.7999999999999999E-2</v>
      </c>
      <c r="BS239" s="1046">
        <v>3.4000000000000002E-2</v>
      </c>
      <c r="BT239" s="886">
        <v>6.4000000000000001E-2</v>
      </c>
      <c r="BU239" s="886">
        <v>5.6000000000000001E-2</v>
      </c>
      <c r="BV239" s="886">
        <v>4.9000000000000002E-2</v>
      </c>
      <c r="BW239" s="886">
        <v>2.9000000000000001E-2</v>
      </c>
      <c r="BX239" s="1046">
        <v>0.05</v>
      </c>
      <c r="BY239" s="886">
        <v>6.2E-2</v>
      </c>
      <c r="BZ239" s="886">
        <v>5.7000000000000002E-2</v>
      </c>
      <c r="CA239" s="886">
        <v>4.9000000000000002E-2</v>
      </c>
      <c r="CB239" s="886">
        <v>4.7E-2</v>
      </c>
      <c r="CC239" s="1046">
        <v>5.5E-2</v>
      </c>
      <c r="CD239" s="886">
        <v>7.3999999999999996E-2</v>
      </c>
      <c r="CE239" s="886">
        <v>5.7000000000000002E-2</v>
      </c>
      <c r="CF239" s="886">
        <v>5.1999999999999998E-2</v>
      </c>
      <c r="CG239" s="886">
        <v>7.0000000000000001E-3</v>
      </c>
      <c r="CH239" s="1046">
        <v>0.02</v>
      </c>
      <c r="CI239" s="886">
        <v>4.9000000000000002E-2</v>
      </c>
      <c r="CJ239" s="886">
        <v>6.8000000000000005E-2</v>
      </c>
      <c r="CK239" s="886">
        <v>6.2E-2</v>
      </c>
      <c r="CL239" s="886">
        <v>7.1999999999999995E-2</v>
      </c>
      <c r="CM239" s="1046">
        <v>6.8000000000000005E-2</v>
      </c>
      <c r="CN239" s="886"/>
      <c r="CO239" s="886"/>
      <c r="CP239" s="886"/>
      <c r="CQ239" s="886"/>
      <c r="CR239" s="1046"/>
      <c r="CS239" s="1046"/>
      <c r="CT239" s="1046"/>
      <c r="DA239" s="212"/>
      <c r="DB239" s="1226"/>
    </row>
    <row r="240" spans="1:106" s="212" customFormat="1" x14ac:dyDescent="0.2">
      <c r="A240" s="331" t="s">
        <v>556</v>
      </c>
      <c r="B240" s="1441"/>
      <c r="C240" s="1441"/>
      <c r="D240" s="1441"/>
      <c r="E240" s="1441"/>
      <c r="F240" s="1440"/>
      <c r="G240" s="1441"/>
      <c r="H240" s="1441"/>
      <c r="I240" s="1441"/>
      <c r="J240" s="1441"/>
      <c r="K240" s="1440"/>
      <c r="L240" s="1441"/>
      <c r="M240" s="1441"/>
      <c r="N240" s="1441"/>
      <c r="O240" s="1441"/>
      <c r="P240" s="1440"/>
      <c r="Q240" s="1441"/>
      <c r="R240" s="1441"/>
      <c r="S240" s="1441"/>
      <c r="T240" s="1441"/>
      <c r="U240" s="1440"/>
      <c r="V240" s="1441"/>
      <c r="W240" s="1441"/>
      <c r="X240" s="1441"/>
      <c r="Y240" s="1441"/>
      <c r="Z240" s="1440"/>
      <c r="AA240" s="1441"/>
      <c r="AB240" s="1441"/>
      <c r="AC240" s="1441"/>
      <c r="AD240" s="1441"/>
      <c r="AE240" s="1440"/>
      <c r="AF240" s="1441"/>
      <c r="AG240" s="1441"/>
      <c r="AH240" s="1441"/>
      <c r="AI240" s="1441"/>
      <c r="AJ240" s="1440"/>
      <c r="AK240" s="1441"/>
      <c r="AL240" s="1441"/>
      <c r="AM240" s="1441"/>
      <c r="AN240" s="1441"/>
      <c r="AO240" s="1440"/>
      <c r="AP240" s="1550">
        <f>AP290*AP319</f>
        <v>133.44839999999999</v>
      </c>
      <c r="AQ240" s="1550">
        <f>AQ290*AQ319</f>
        <v>144.13511</v>
      </c>
      <c r="AR240" s="1550">
        <f>AR290*AR319</f>
        <v>142.99175</v>
      </c>
      <c r="AS240" s="1550">
        <f>AS290*AS319</f>
        <v>126.07308</v>
      </c>
      <c r="AT240" s="1551">
        <f>AVERAGE(AP240:AS240)</f>
        <v>136.66208499999999</v>
      </c>
      <c r="AU240" s="1550">
        <f>AU290*AU319</f>
        <v>100.88575999999999</v>
      </c>
      <c r="AV240" s="1550">
        <f>AV290*AV319</f>
        <v>103.20296999999999</v>
      </c>
      <c r="AW240" s="1550">
        <f>AW290*AW319</f>
        <v>101.706</v>
      </c>
      <c r="AX240" s="1550">
        <f>AX290*AX319</f>
        <v>112.05298000000001</v>
      </c>
      <c r="AY240" s="1551">
        <f>AVERAGE(AU240:AX240)</f>
        <v>104.4619275</v>
      </c>
      <c r="AZ240" s="1550">
        <f>AZ290*AZ319</f>
        <v>102.28975</v>
      </c>
      <c r="BA240" s="1550">
        <f>BA290*BA319</f>
        <v>116.58087</v>
      </c>
      <c r="BB240" s="1550">
        <f>BB290*BB319</f>
        <v>110.40804999999999</v>
      </c>
      <c r="BC240" s="1550">
        <f>BC290*BC319</f>
        <v>120.62189999999998</v>
      </c>
      <c r="BD240" s="1551">
        <f>AVERAGE(AZ240:BC240)</f>
        <v>112.47514249999999</v>
      </c>
      <c r="BE240" s="1992">
        <f>BE290*BE319</f>
        <v>108.01956</v>
      </c>
      <c r="BF240" s="1992">
        <f>BF290*BF319</f>
        <v>130.05850000000001</v>
      </c>
      <c r="BG240" s="1992">
        <f>BG290*BG319</f>
        <v>122.76143999999999</v>
      </c>
      <c r="BH240" s="1992">
        <f>BH290*BH319</f>
        <v>126.90639</v>
      </c>
      <c r="BI240" s="1551">
        <f>AVERAGE(BE240:BH240)</f>
        <v>121.93647249999999</v>
      </c>
      <c r="BJ240" s="1992">
        <f>BJ290*BJ319</f>
        <v>108.9396</v>
      </c>
      <c r="BK240" s="1992">
        <f>BK290*BK319</f>
        <v>127.36079999999998</v>
      </c>
      <c r="BL240" s="1992">
        <f>BL290*BL319</f>
        <v>117.84239999999998</v>
      </c>
      <c r="BM240" s="1992">
        <f>BM290*BM319</f>
        <v>123.79679999999999</v>
      </c>
      <c r="BN240" s="1551">
        <f>AVERAGE(BJ240:BM240)</f>
        <v>119.48489999999998</v>
      </c>
      <c r="BO240" s="1992">
        <f>BO290*BO319</f>
        <v>122.75340000000001</v>
      </c>
      <c r="BP240" s="1992">
        <f>BP290*BP319</f>
        <v>130.34520000000001</v>
      </c>
      <c r="BQ240" s="1992">
        <f>BQ290*BQ319</f>
        <v>123.2189</v>
      </c>
      <c r="BR240" s="1992">
        <f>BR290*BR319</f>
        <v>131.09959999999998</v>
      </c>
      <c r="BS240" s="1551">
        <f>AVERAGE(BO240:BR240)</f>
        <v>126.854275</v>
      </c>
      <c r="BT240" s="1992">
        <f>BT290*BT319</f>
        <v>127.97856</v>
      </c>
      <c r="BU240" s="1992">
        <f>BU290*BU319</f>
        <v>137.34515999999999</v>
      </c>
      <c r="BV240" s="1992">
        <f>BV290*BV319</f>
        <v>132.38730999999999</v>
      </c>
      <c r="BW240" s="1992">
        <f>BW290*BW319</f>
        <v>134.08712</v>
      </c>
      <c r="BX240" s="1551">
        <f>AVERAGE(BT240:BW240)</f>
        <v>132.94953749999999</v>
      </c>
      <c r="BY240" s="1992">
        <f>BY290*BY319</f>
        <v>124.4592</v>
      </c>
      <c r="BZ240" s="1992">
        <f>BZ290*BZ319</f>
        <v>126.3032</v>
      </c>
      <c r="CA240" s="1992">
        <f>CA290*CA319</f>
        <v>122.20863999999999</v>
      </c>
      <c r="CB240" s="1992">
        <f>CB290*CB319</f>
        <v>124.38969999999999</v>
      </c>
      <c r="CC240" s="1551">
        <f>AVERAGE(BY240:CB240)</f>
        <v>124.34018500000001</v>
      </c>
      <c r="CD240" s="2936">
        <f>CD290*CD319</f>
        <v>111.27528000000001</v>
      </c>
      <c r="CE240" s="2936">
        <f>CE290*CE319</f>
        <v>113.54742</v>
      </c>
      <c r="CF240" s="2936">
        <f>CF290*CF319</f>
        <v>110.07899999999999</v>
      </c>
      <c r="CG240" s="2936">
        <f>CG290*CG319</f>
        <v>107.33103</v>
      </c>
      <c r="CH240" s="1551">
        <f>AVERAGE(CD240:CG240)</f>
        <v>110.5581825</v>
      </c>
      <c r="CI240" s="2936">
        <f>CI290*CI319</f>
        <v>101.98929000000001</v>
      </c>
      <c r="CJ240" s="2936">
        <f>CJ290*CJ319</f>
        <v>108.50778999999999</v>
      </c>
      <c r="CK240" s="2936">
        <f>CK290*CK319</f>
        <v>116.75474999999999</v>
      </c>
      <c r="CL240" s="2936">
        <f>CL290*CL319</f>
        <v>113.71359999999999</v>
      </c>
      <c r="CM240" s="1551">
        <f>AVERAGE(CI240:CL240)</f>
        <v>110.24135749999999</v>
      </c>
      <c r="CN240" s="3414">
        <f ca="1">CI240*(1+CN241)</f>
        <v>106.33412476883944</v>
      </c>
      <c r="CO240" s="3414">
        <f ca="1">CJ240*(1+CO241)</f>
        <v>113.65148321459449</v>
      </c>
      <c r="CP240" s="3414">
        <f ca="1">CK240*(1+CP241)</f>
        <v>120.91723275711263</v>
      </c>
      <c r="CQ240" s="3414">
        <f ca="1">CL240*(1+CQ241)</f>
        <v>118.12190615235833</v>
      </c>
      <c r="CR240" s="3415">
        <f ca="1">AVERAGE(CN240:CQ240)</f>
        <v>114.75618672322624</v>
      </c>
      <c r="CS240" s="3415">
        <f ca="1">CR240*(1+CS241)</f>
        <v>117.95260450143279</v>
      </c>
      <c r="CT240" s="3415">
        <f ca="1">CS240*(1+CT241)</f>
        <v>114.94750504945002</v>
      </c>
      <c r="DB240" s="1226"/>
    </row>
    <row r="241" spans="1:106" s="212" customFormat="1" x14ac:dyDescent="0.2">
      <c r="A241" s="1595" t="s">
        <v>652</v>
      </c>
      <c r="B241" s="234"/>
      <c r="C241" s="234"/>
      <c r="D241" s="234"/>
      <c r="E241" s="234"/>
      <c r="F241" s="234"/>
      <c r="G241" s="234"/>
      <c r="H241" s="234"/>
      <c r="I241" s="234"/>
      <c r="J241" s="234"/>
      <c r="K241" s="709"/>
      <c r="L241" s="234"/>
      <c r="M241" s="234"/>
      <c r="N241" s="234"/>
      <c r="O241" s="234"/>
      <c r="P241" s="234"/>
      <c r="Q241" s="234"/>
      <c r="R241" s="234"/>
      <c r="S241" s="234"/>
      <c r="T241" s="234"/>
      <c r="U241" s="236"/>
      <c r="V241" s="234"/>
      <c r="W241" s="234"/>
      <c r="X241" s="234"/>
      <c r="Y241" s="234"/>
      <c r="Z241" s="236"/>
      <c r="AA241" s="234"/>
      <c r="AB241" s="234"/>
      <c r="AC241" s="234"/>
      <c r="AD241" s="234"/>
      <c r="AE241" s="236"/>
      <c r="AF241" s="234"/>
      <c r="AG241" s="234"/>
      <c r="AH241" s="234"/>
      <c r="AI241" s="234"/>
      <c r="AJ241" s="236"/>
      <c r="AK241" s="234"/>
      <c r="AL241" s="234"/>
      <c r="AM241" s="234"/>
      <c r="AN241" s="234"/>
      <c r="AO241" s="236"/>
      <c r="AP241" s="1546"/>
      <c r="AQ241" s="1546"/>
      <c r="AR241" s="1546"/>
      <c r="AS241" s="1546"/>
      <c r="AT241" s="1545"/>
      <c r="AU241" s="1546">
        <f>AU240/AP240-1</f>
        <v>-0.24400922004310288</v>
      </c>
      <c r="AV241" s="1546">
        <f>AV240/AQ240-1</f>
        <v>-0.28398451980228834</v>
      </c>
      <c r="AW241" s="1546">
        <f>AW240/AR240-1</f>
        <v>-0.28872819585745324</v>
      </c>
      <c r="AX241" s="1546">
        <f>AX240/AS240-1</f>
        <v>-0.11120613536212487</v>
      </c>
      <c r="AY241" s="1545">
        <f>+AY240/AT240-1</f>
        <v>-0.23561880751343722</v>
      </c>
      <c r="AZ241" s="1546">
        <f>AZ240/AU240-1</f>
        <v>1.3916632040042121E-2</v>
      </c>
      <c r="BA241" s="1546">
        <f>BA240/AV240-1</f>
        <v>0.12962708340661133</v>
      </c>
      <c r="BB241" s="1546">
        <f>BB240/AW240-1</f>
        <v>8.5560832202623116E-2</v>
      </c>
      <c r="BC241" s="1546">
        <f>BC240/AX240-1</f>
        <v>7.6472040279517595E-2</v>
      </c>
      <c r="BD241" s="1545">
        <f>+BD240/AY240-1</f>
        <v>7.6709430811526813E-2</v>
      </c>
      <c r="BE241" s="1546">
        <f>BE240/AZ240-1</f>
        <v>5.6015485422537425E-2</v>
      </c>
      <c r="BF241" s="1546">
        <f>BF240/BA240-1</f>
        <v>0.1156075606572502</v>
      </c>
      <c r="BG241" s="1546">
        <f>BG240/BB240-1</f>
        <v>0.11188849001499435</v>
      </c>
      <c r="BH241" s="1546">
        <f>BH240/BC240-1</f>
        <v>5.2100737925700136E-2</v>
      </c>
      <c r="BI241" s="1545">
        <f>+BI240/BD240-1</f>
        <v>8.4119297737275556E-2</v>
      </c>
      <c r="BJ241" s="1546">
        <f>BJ240/BE240-1</f>
        <v>8.5173463028362928E-3</v>
      </c>
      <c r="BK241" s="1546">
        <f>BK240/BF240-1</f>
        <v>-2.0742204469527348E-2</v>
      </c>
      <c r="BL241" s="1546">
        <f>BL240/BG240-1</f>
        <v>-4.0069911203387765E-2</v>
      </c>
      <c r="BM241" s="1546">
        <f>BM240/BH240-1</f>
        <v>-2.4503021479060361E-2</v>
      </c>
      <c r="BN241" s="1545">
        <f>+BN240/BI240-1</f>
        <v>-2.0105325746568647E-2</v>
      </c>
      <c r="BO241" s="1546">
        <f>BO240/BJ240-1</f>
        <v>0.12680237489397816</v>
      </c>
      <c r="BP241" s="1546">
        <f>BP240/BK240-1</f>
        <v>2.3432641754763006E-2</v>
      </c>
      <c r="BQ241" s="1546">
        <f>BQ240/BL240-1</f>
        <v>4.5624495088355532E-2</v>
      </c>
      <c r="BR241" s="1546">
        <f>+BR398*BR223+BR399*BR226+BR400*BR235+BR401*BR238</f>
        <v>4.2165169330725075E-2</v>
      </c>
      <c r="BS241" s="1545">
        <f>+BS240/BN240-1</f>
        <v>6.1676203436584975E-2</v>
      </c>
      <c r="BT241" s="1546">
        <f>BT240/BO240-1</f>
        <v>4.2566315882085481E-2</v>
      </c>
      <c r="BU241" s="1546">
        <f>BU240/BP240-1</f>
        <v>5.3703243387558386E-2</v>
      </c>
      <c r="BV241" s="1546">
        <f>BV240/BQ240-1</f>
        <v>7.4407497551105983E-2</v>
      </c>
      <c r="BW241" s="1546">
        <f>+BW398*BW223+BW399*BW226+BW400*BW235+BW401*BW238</f>
        <v>0.15275715779258975</v>
      </c>
      <c r="BX241" s="1545">
        <f>+BX240/BS240-1</f>
        <v>4.8049326678190285E-2</v>
      </c>
      <c r="BY241" s="1546">
        <f>BY240/BT240-1</f>
        <v>-2.7499606184035907E-2</v>
      </c>
      <c r="BZ241" s="1546">
        <f>BZ240/BU240-1</f>
        <v>-8.03956979627094E-2</v>
      </c>
      <c r="CA241" s="1546">
        <f>CA240/BV240-1</f>
        <v>-7.6885541370996902E-2</v>
      </c>
      <c r="CB241" s="1546">
        <f>CB240/BW240-1</f>
        <v>-7.2321786014943212E-2</v>
      </c>
      <c r="CC241" s="1545">
        <f>+CC240/BX240-1</f>
        <v>-6.4756543436640279E-2</v>
      </c>
      <c r="CD241" s="885">
        <f>+CD398*CD223+CD399*CD226+CD400*CD235+CD401*CD238</f>
        <v>-0.10518278955847066</v>
      </c>
      <c r="CE241" s="885">
        <f>+CE398*CE223+CE399*CE226+CE400*CE235+CE401*CE238</f>
        <v>-7.3175550909931844E-2</v>
      </c>
      <c r="CF241" s="885">
        <f>+CF398*CF223+CF399*CF226+CF400*CF235+CF401*CF238</f>
        <v>-5.9001190227970568E-2</v>
      </c>
      <c r="CG241" s="885">
        <f>+CG398*CG223+CG399*CG226+CG400*CG235+CG401*CG238</f>
        <v>-0.12698769793361125</v>
      </c>
      <c r="CH241" s="1545">
        <f>+CH240/CC240-1</f>
        <v>-0.11084109694705702</v>
      </c>
      <c r="CI241" s="885">
        <f ca="1">+CI398*CI223+CI399*CI226+CI400*CI235+CI401*CI238</f>
        <v>-7.356226826936027E-2</v>
      </c>
      <c r="CJ241" s="885">
        <f ca="1">+CJ398*CJ223+CJ399*CJ226+CJ400*CJ235+CJ401*CJ238</f>
        <v>-3.0995852152240468E-2</v>
      </c>
      <c r="CK241" s="885">
        <f ca="1">+CK398*CK223+CK399*CK226+CK400*CK235+CK401*CK238</f>
        <v>0.21147347422273827</v>
      </c>
      <c r="CL241" s="885">
        <f ca="1">+CL398*CL223+CL399*CL226+CL400*CL235+CL401*CL238</f>
        <v>5.950400044511793E-2</v>
      </c>
      <c r="CM241" s="1545">
        <f>+CM240/CH240-1</f>
        <v>-2.865685676408547E-3</v>
      </c>
      <c r="CN241" s="885">
        <f ca="1">+CN398*CN223+CN399*CN226+CN400*CN235+CN401*CN238</f>
        <v>4.2600892396049098E-2</v>
      </c>
      <c r="CO241" s="885">
        <f t="shared" ref="CO241:CT241" ca="1" si="215">+CO398*CO223+CO399*CO226+CO400*CO235+CO401*CO238</f>
        <v>4.7403907264118916E-2</v>
      </c>
      <c r="CP241" s="885">
        <f t="shared" ca="1" si="215"/>
        <v>3.5651506744801734E-2</v>
      </c>
      <c r="CQ241" s="885">
        <f t="shared" ca="1" si="215"/>
        <v>3.8766745159403523E-2</v>
      </c>
      <c r="CR241" s="1044">
        <f ca="1">AVERAGE(CP241:CQ241,CN241:CO241)</f>
        <v>4.1105762891093314E-2</v>
      </c>
      <c r="CS241" s="1044">
        <f t="shared" ca="1" si="215"/>
        <v>2.7853990878207037E-2</v>
      </c>
      <c r="CT241" s="1044">
        <f t="shared" ca="1" si="215"/>
        <v>-2.5477177589124517E-2</v>
      </c>
      <c r="DB241" s="1226"/>
    </row>
    <row r="242" spans="1:106" x14ac:dyDescent="0.2">
      <c r="A242" s="1595" t="s">
        <v>359</v>
      </c>
      <c r="B242" s="1924" t="s">
        <v>673</v>
      </c>
      <c r="C242" s="1924" t="s">
        <v>673</v>
      </c>
      <c r="D242" s="1924" t="s">
        <v>673</v>
      </c>
      <c r="E242" s="1924" t="s">
        <v>673</v>
      </c>
      <c r="F242" s="1890" t="s">
        <v>673</v>
      </c>
      <c r="G242" s="1924" t="s">
        <v>673</v>
      </c>
      <c r="H242" s="1924" t="s">
        <v>673</v>
      </c>
      <c r="I242" s="1924" t="s">
        <v>673</v>
      </c>
      <c r="J242" s="1924" t="s">
        <v>673</v>
      </c>
      <c r="K242" s="1890" t="s">
        <v>673</v>
      </c>
      <c r="L242" s="1924" t="s">
        <v>673</v>
      </c>
      <c r="M242" s="1924" t="s">
        <v>673</v>
      </c>
      <c r="N242" s="1924" t="s">
        <v>673</v>
      </c>
      <c r="O242" s="1924" t="s">
        <v>673</v>
      </c>
      <c r="P242" s="1890" t="s">
        <v>673</v>
      </c>
      <c r="Q242" s="1924" t="s">
        <v>673</v>
      </c>
      <c r="R242" s="1924" t="s">
        <v>673</v>
      </c>
      <c r="S242" s="1924" t="s">
        <v>673</v>
      </c>
      <c r="T242" s="1924" t="s">
        <v>673</v>
      </c>
      <c r="U242" s="1890" t="s">
        <v>673</v>
      </c>
      <c r="V242" s="1924" t="s">
        <v>673</v>
      </c>
      <c r="W242" s="1924" t="s">
        <v>673</v>
      </c>
      <c r="X242" s="1924" t="s">
        <v>673</v>
      </c>
      <c r="Y242" s="1924" t="s">
        <v>673</v>
      </c>
      <c r="Z242" s="1890" t="s">
        <v>673</v>
      </c>
      <c r="AA242" s="1924" t="s">
        <v>673</v>
      </c>
      <c r="AB242" s="1924" t="s">
        <v>673</v>
      </c>
      <c r="AC242" s="1924" t="s">
        <v>673</v>
      </c>
      <c r="AD242" s="1924" t="s">
        <v>673</v>
      </c>
      <c r="AE242" s="1890" t="s">
        <v>673</v>
      </c>
      <c r="AF242" s="1924" t="s">
        <v>673</v>
      </c>
      <c r="AG242" s="1924" t="s">
        <v>673</v>
      </c>
      <c r="AH242" s="1924" t="s">
        <v>673</v>
      </c>
      <c r="AI242" s="1924" t="s">
        <v>673</v>
      </c>
      <c r="AJ242" s="1890" t="s">
        <v>673</v>
      </c>
      <c r="AK242" s="1924" t="s">
        <v>673</v>
      </c>
      <c r="AL242" s="1924" t="s">
        <v>673</v>
      </c>
      <c r="AM242" s="1924" t="s">
        <v>673</v>
      </c>
      <c r="AN242" s="1924" t="s">
        <v>673</v>
      </c>
      <c r="AO242" s="1890" t="s">
        <v>673</v>
      </c>
      <c r="AP242" s="886">
        <v>0.107</v>
      </c>
      <c r="AQ242" s="886">
        <v>7.4999999999999997E-2</v>
      </c>
      <c r="AR242" s="886">
        <v>6.2E-2</v>
      </c>
      <c r="AS242" s="886">
        <v>-4.7E-2</v>
      </c>
      <c r="AT242" s="1046">
        <v>3.5999999999999997E-2</v>
      </c>
      <c r="AU242" s="886">
        <v>-0.16500000000000001</v>
      </c>
      <c r="AV242" s="886">
        <v>-0.222</v>
      </c>
      <c r="AW242" s="886">
        <v>-0.221</v>
      </c>
      <c r="AX242" s="886">
        <v>-0.12</v>
      </c>
      <c r="AY242" s="1046">
        <v>-0.17899999999999999</v>
      </c>
      <c r="AZ242" s="886">
        <v>1.2E-2</v>
      </c>
      <c r="BA242" s="886">
        <v>9.8000000000000004E-2</v>
      </c>
      <c r="BB242" s="886">
        <v>0.12</v>
      </c>
      <c r="BC242" s="886">
        <v>0.10100000000000001</v>
      </c>
      <c r="BD242" s="1046">
        <v>9.1999999999999998E-2</v>
      </c>
      <c r="BE242" s="886">
        <v>0.112</v>
      </c>
      <c r="BF242" s="886">
        <v>7.2999999999999995E-2</v>
      </c>
      <c r="BG242" s="886">
        <v>6.9000000000000006E-2</v>
      </c>
      <c r="BH242" s="886">
        <v>4.1000000000000002E-2</v>
      </c>
      <c r="BI242" s="1046">
        <v>6.3E-2</v>
      </c>
      <c r="BJ242" s="886">
        <v>5.8999999999999997E-2</v>
      </c>
      <c r="BK242" s="886">
        <v>7.1999999999999995E-2</v>
      </c>
      <c r="BL242" s="886">
        <v>0.05</v>
      </c>
      <c r="BM242" s="886">
        <v>3.2000000000000001E-2</v>
      </c>
      <c r="BN242" s="1046">
        <v>5.0999999999999997E-2</v>
      </c>
      <c r="BO242" s="886">
        <v>4.1000000000000002E-2</v>
      </c>
      <c r="BP242" s="886">
        <v>2.8000000000000001E-2</v>
      </c>
      <c r="BQ242" s="886">
        <v>3.4000000000000002E-2</v>
      </c>
      <c r="BR242" s="886">
        <v>3.2000000000000001E-2</v>
      </c>
      <c r="BS242" s="1046">
        <v>3.4000000000000002E-2</v>
      </c>
      <c r="BT242" s="886">
        <v>5.7000000000000002E-2</v>
      </c>
      <c r="BU242" s="886">
        <v>4.5999999999999999E-2</v>
      </c>
      <c r="BV242" s="886">
        <v>5.6000000000000001E-2</v>
      </c>
      <c r="BW242" s="886">
        <v>4.5999999999999999E-2</v>
      </c>
      <c r="BX242" s="1046">
        <v>5.0999999999999997E-2</v>
      </c>
      <c r="BY242" s="886">
        <v>6.7000000000000004E-2</v>
      </c>
      <c r="BZ242" s="886">
        <v>4.4999999999999998E-2</v>
      </c>
      <c r="CA242" s="886">
        <v>6.2E-2</v>
      </c>
      <c r="CB242" s="886">
        <v>0.03</v>
      </c>
      <c r="CC242" s="1046">
        <v>5.0999999999999997E-2</v>
      </c>
      <c r="CD242" s="886">
        <v>3.5000000000000003E-2</v>
      </c>
      <c r="CE242" s="886">
        <v>1.9E-2</v>
      </c>
      <c r="CF242" s="886">
        <v>2.9000000000000001E-2</v>
      </c>
      <c r="CG242" s="886">
        <v>2E-3</v>
      </c>
      <c r="CH242" s="1046">
        <v>7.0000000000000001E-3</v>
      </c>
      <c r="CI242" s="886">
        <v>3.2000000000000001E-2</v>
      </c>
      <c r="CJ242" s="886">
        <v>5.8000000000000003E-2</v>
      </c>
      <c r="CK242" s="886">
        <v>6.5000000000000002E-2</v>
      </c>
      <c r="CL242" s="886">
        <v>6.2E-2</v>
      </c>
      <c r="CM242" s="1046">
        <v>5.8999999999999997E-2</v>
      </c>
      <c r="CN242" s="886"/>
      <c r="CO242" s="886"/>
      <c r="CP242" s="886"/>
      <c r="CQ242" s="886"/>
      <c r="CR242" s="1046"/>
      <c r="CS242" s="1046"/>
      <c r="CT242" s="1046"/>
      <c r="DA242" s="212"/>
      <c r="DB242" s="1226"/>
    </row>
    <row r="243" spans="1:106" s="212" customFormat="1" x14ac:dyDescent="0.2">
      <c r="A243" s="1561" t="s">
        <v>1647</v>
      </c>
      <c r="B243" s="234"/>
      <c r="C243" s="234"/>
      <c r="D243" s="234"/>
      <c r="E243" s="234"/>
      <c r="F243" s="236"/>
      <c r="G243" s="234"/>
      <c r="H243" s="234"/>
      <c r="I243" s="234"/>
      <c r="J243" s="234"/>
      <c r="K243" s="236"/>
      <c r="L243" s="234"/>
      <c r="M243" s="234"/>
      <c r="N243" s="234"/>
      <c r="O243" s="234"/>
      <c r="P243" s="236"/>
      <c r="Q243" s="234"/>
      <c r="R243" s="234"/>
      <c r="S243" s="234"/>
      <c r="T243" s="234"/>
      <c r="U243" s="236"/>
      <c r="V243" s="234"/>
      <c r="W243" s="234"/>
      <c r="X243" s="234"/>
      <c r="Y243" s="234"/>
      <c r="Z243" s="236"/>
      <c r="AA243" s="234"/>
      <c r="AB243" s="234"/>
      <c r="AC243" s="234"/>
      <c r="AD243" s="234"/>
      <c r="AE243" s="236"/>
      <c r="AF243" s="234"/>
      <c r="AG243" s="234"/>
      <c r="AH243" s="234"/>
      <c r="AI243" s="234"/>
      <c r="AJ243" s="236"/>
      <c r="AK243" s="234"/>
      <c r="AL243" s="234"/>
      <c r="AM243" s="234"/>
      <c r="AN243" s="234"/>
      <c r="AO243" s="236"/>
      <c r="AP243" s="1548">
        <f>AP293*AP322</f>
        <v>123.1956</v>
      </c>
      <c r="AQ243" s="1548">
        <f>AQ293*AQ322</f>
        <v>140.49210000000002</v>
      </c>
      <c r="AR243" s="1548">
        <f>AR293*AR322</f>
        <v>133.35469000000001</v>
      </c>
      <c r="AS243" s="1548">
        <f>AS293*AS322</f>
        <v>119.06621</v>
      </c>
      <c r="AT243" s="1547">
        <f>AVERAGE(AP243:AS243)</f>
        <v>129.02715000000001</v>
      </c>
      <c r="AU243" s="1548">
        <f>AU293*AU322</f>
        <v>92.380679999999998</v>
      </c>
      <c r="AV243" s="1548">
        <f>AV293*AV322</f>
        <v>95.196240000000003</v>
      </c>
      <c r="AW243" s="1548">
        <f>AW293*AW322</f>
        <v>96.593899999999991</v>
      </c>
      <c r="AX243" s="1548">
        <f>AX293*AX322</f>
        <v>106.56260999999999</v>
      </c>
      <c r="AY243" s="1547">
        <f>AVERAGE(AU243:AX243)</f>
        <v>97.6833575</v>
      </c>
      <c r="AZ243" s="1548">
        <f>AZ293*AZ322</f>
        <v>93.773960000000002</v>
      </c>
      <c r="BA243" s="1548">
        <f>BA293*BA322</f>
        <v>106.91391999999999</v>
      </c>
      <c r="BB243" s="1548">
        <f>BB293*BB322</f>
        <v>103.41205999999998</v>
      </c>
      <c r="BC243" s="1548">
        <f>BC293*BC322</f>
        <v>112.49791999999999</v>
      </c>
      <c r="BD243" s="1547">
        <f>AVERAGE(AZ243:BC243)</f>
        <v>104.14946499999999</v>
      </c>
      <c r="BE243" s="1548">
        <f>BE293*BE322</f>
        <v>97.286659999999998</v>
      </c>
      <c r="BF243" s="1548">
        <f>BF293*BF322</f>
        <v>116.82496</v>
      </c>
      <c r="BG243" s="1548">
        <f>BG293*BG322</f>
        <v>115.99769999999999</v>
      </c>
      <c r="BH243" s="1548">
        <f>BH293*BH322</f>
        <v>118.23236</v>
      </c>
      <c r="BI243" s="1547">
        <f>AVERAGE(BE243:BH243)</f>
        <v>112.08542</v>
      </c>
      <c r="BJ243" s="1548">
        <f>BJ293*BJ322</f>
        <v>98.504580000000004</v>
      </c>
      <c r="BK243" s="1548">
        <f>BK293*BK322</f>
        <v>116.56205999999999</v>
      </c>
      <c r="BL243" s="1548">
        <f>BL293*BL322</f>
        <v>110.25396000000001</v>
      </c>
      <c r="BM243" s="1548">
        <f>BM293*BM322</f>
        <v>114.57991999999999</v>
      </c>
      <c r="BN243" s="1547">
        <f>AVERAGE(BJ243:BM243)</f>
        <v>109.97513000000001</v>
      </c>
      <c r="BO243" s="1548">
        <f>BO293*BO322</f>
        <v>107.0256</v>
      </c>
      <c r="BP243" s="1548">
        <f>BP293*BP322</f>
        <v>118.48962</v>
      </c>
      <c r="BQ243" s="1548">
        <f>BQ293*BQ322</f>
        <v>114.33333999999999</v>
      </c>
      <c r="BR243" s="1548">
        <f>BR293*BR322</f>
        <v>118.30168</v>
      </c>
      <c r="BS243" s="1547">
        <f>AVERAGE(BO243:BR243)</f>
        <v>114.53756000000001</v>
      </c>
      <c r="BT243" s="1986" t="str">
        <f t="shared" ref="BT243:BY243" si="216">IF(ISERROR(BT293*BT322),"NM",BT293*BT322)</f>
        <v>NM</v>
      </c>
      <c r="BU243" s="1986" t="str">
        <f t="shared" si="216"/>
        <v>NM</v>
      </c>
      <c r="BV243" s="1986" t="str">
        <f t="shared" si="216"/>
        <v>NM</v>
      </c>
      <c r="BW243" s="1986" t="str">
        <f t="shared" si="216"/>
        <v>NM</v>
      </c>
      <c r="BX243" s="1985" t="str">
        <f t="shared" si="216"/>
        <v>NM</v>
      </c>
      <c r="BY243" s="1986" t="str">
        <f t="shared" si="216"/>
        <v>NM</v>
      </c>
      <c r="BZ243" s="1986" t="str">
        <f t="shared" ref="BZ243:CE243" si="217">IF(ISERROR(BZ293*BZ322),"NM",BZ293*BZ322)</f>
        <v>NM</v>
      </c>
      <c r="CA243" s="1986" t="str">
        <f t="shared" si="217"/>
        <v>NM</v>
      </c>
      <c r="CB243" s="1986" t="str">
        <f t="shared" si="217"/>
        <v>NM</v>
      </c>
      <c r="CC243" s="1985" t="str">
        <f t="shared" si="217"/>
        <v>NM</v>
      </c>
      <c r="CD243" s="1986" t="str">
        <f t="shared" si="217"/>
        <v>NM</v>
      </c>
      <c r="CE243" s="1986" t="str">
        <f t="shared" si="217"/>
        <v>NM</v>
      </c>
      <c r="CF243" s="1986" t="str">
        <f t="shared" ref="CF243:CK243" si="218">IF(ISERROR(CF293*CF322),"NM",CF293*CF322)</f>
        <v>NM</v>
      </c>
      <c r="CG243" s="1986" t="str">
        <f t="shared" si="218"/>
        <v>NM</v>
      </c>
      <c r="CH243" s="1985" t="str">
        <f t="shared" si="218"/>
        <v>NM</v>
      </c>
      <c r="CI243" s="1986" t="str">
        <f t="shared" si="218"/>
        <v>NM</v>
      </c>
      <c r="CJ243" s="1986" t="str">
        <f t="shared" si="218"/>
        <v>NM</v>
      </c>
      <c r="CK243" s="1986" t="str">
        <f t="shared" si="218"/>
        <v>NM</v>
      </c>
      <c r="CL243" s="1986" t="str">
        <f t="shared" ref="CL243:CM243" si="219">IF(ISERROR(CL293*CL322),"NM",CL293*CL322)</f>
        <v>NM</v>
      </c>
      <c r="CM243" s="1985" t="str">
        <f t="shared" si="219"/>
        <v>NM</v>
      </c>
      <c r="CN243" s="1986"/>
      <c r="CO243" s="1986"/>
      <c r="CR243" s="194"/>
      <c r="CS243" s="194"/>
      <c r="CT243" s="194"/>
      <c r="DB243" s="1226"/>
    </row>
    <row r="244" spans="1:106" s="212" customFormat="1" x14ac:dyDescent="0.2">
      <c r="A244" s="1955" t="s">
        <v>652</v>
      </c>
      <c r="B244" s="234"/>
      <c r="C244" s="234"/>
      <c r="D244" s="234"/>
      <c r="E244" s="234"/>
      <c r="F244" s="236"/>
      <c r="G244" s="234"/>
      <c r="H244" s="234"/>
      <c r="I244" s="234"/>
      <c r="J244" s="234"/>
      <c r="K244" s="236"/>
      <c r="L244" s="234"/>
      <c r="M244" s="234"/>
      <c r="N244" s="234"/>
      <c r="O244" s="234"/>
      <c r="P244" s="236"/>
      <c r="Q244" s="234"/>
      <c r="R244" s="234"/>
      <c r="S244" s="234"/>
      <c r="T244" s="234"/>
      <c r="U244" s="236"/>
      <c r="V244" s="234"/>
      <c r="W244" s="234"/>
      <c r="X244" s="234"/>
      <c r="Y244" s="234"/>
      <c r="Z244" s="236"/>
      <c r="AA244" s="234"/>
      <c r="AB244" s="234"/>
      <c r="AC244" s="234"/>
      <c r="AD244" s="234"/>
      <c r="AE244" s="236"/>
      <c r="AF244" s="234"/>
      <c r="AG244" s="234"/>
      <c r="AH244" s="234"/>
      <c r="AI244" s="234"/>
      <c r="AJ244" s="236"/>
      <c r="AK244" s="234"/>
      <c r="AL244" s="234"/>
      <c r="AM244" s="234"/>
      <c r="AN244" s="234"/>
      <c r="AO244" s="236"/>
      <c r="AP244" s="1546"/>
      <c r="AQ244" s="1546"/>
      <c r="AR244" s="1546"/>
      <c r="AS244" s="1546"/>
      <c r="AT244" s="1545"/>
      <c r="AU244" s="1546">
        <f>AU243/AP243-1</f>
        <v>-0.250130037111715</v>
      </c>
      <c r="AV244" s="1546">
        <f>AV243/AQ243-1</f>
        <v>-0.32240859094568319</v>
      </c>
      <c r="AW244" s="1546">
        <f>AW243/AR243-1</f>
        <v>-0.27566177087585009</v>
      </c>
      <c r="AX244" s="1546">
        <f>AX243/AS243-1</f>
        <v>-0.10501384061859365</v>
      </c>
      <c r="AY244" s="1545">
        <f>+AY243/AT243-1</f>
        <v>-0.24292400862919161</v>
      </c>
      <c r="AZ244" s="1546">
        <f>AZ243/AU243-1</f>
        <v>1.5081941375620911E-2</v>
      </c>
      <c r="BA244" s="1546">
        <f>BA243/AV243-1</f>
        <v>0.12308973547694735</v>
      </c>
      <c r="BB244" s="1546">
        <f>BB243/AW243-1</f>
        <v>7.0585823742493004E-2</v>
      </c>
      <c r="BC244" s="1546">
        <f>BC243/AX243-1</f>
        <v>5.569786625909412E-2</v>
      </c>
      <c r="BD244" s="1545">
        <f>+BD243/AY243-1</f>
        <v>6.6194566459286452E-2</v>
      </c>
      <c r="BE244" s="1546">
        <f>BE243/AZ243-1</f>
        <v>3.745922642063948E-2</v>
      </c>
      <c r="BF244" s="1546">
        <f>BF243/BA243-1</f>
        <v>9.2701118806606475E-2</v>
      </c>
      <c r="BG244" s="1546">
        <f>BG243/BB243-1</f>
        <v>0.12170379354206862</v>
      </c>
      <c r="BH244" s="1546">
        <f>BH243/BC243-1</f>
        <v>5.0973742447860459E-2</v>
      </c>
      <c r="BI244" s="1545">
        <f>+BI243/BD243-1</f>
        <v>7.6197750991807922E-2</v>
      </c>
      <c r="BJ244" s="1546">
        <f>BJ243/BE243-1</f>
        <v>1.2518879772416946E-2</v>
      </c>
      <c r="BK244" s="1546">
        <f>BK243/BF243-1</f>
        <v>-2.2503752622728967E-3</v>
      </c>
      <c r="BL244" s="1546">
        <f>BL243/BG243-1</f>
        <v>-4.9515981782397356E-2</v>
      </c>
      <c r="BM244" s="1546">
        <f>BM243/BH243-1</f>
        <v>-3.0892050196748233E-2</v>
      </c>
      <c r="BN244" s="1545">
        <f>+BN243/BI243-1</f>
        <v>-1.8827515657254934E-2</v>
      </c>
      <c r="BO244" s="1546">
        <f>BO243/BJ243-1</f>
        <v>8.6503795051966037E-2</v>
      </c>
      <c r="BP244" s="1546">
        <f>BP243/BK243-1</f>
        <v>1.6536770197781436E-2</v>
      </c>
      <c r="BQ244" s="1546">
        <f>BQ243/BL243-1</f>
        <v>3.6999850164112003E-2</v>
      </c>
      <c r="BR244" s="1546">
        <f>BR243/BM243-1</f>
        <v>3.2481782148215954E-2</v>
      </c>
      <c r="BS244" s="1545">
        <f>+BS243/BN243-1</f>
        <v>4.1486015974702806E-2</v>
      </c>
      <c r="BT244" s="2419" t="str">
        <f t="shared" ref="BT244:CM244" si="220">IF(ISERROR(BT243/BO243-1),"NM",BT243/BO243-1)</f>
        <v>NM</v>
      </c>
      <c r="BU244" s="2419" t="str">
        <f t="shared" si="220"/>
        <v>NM</v>
      </c>
      <c r="BV244" s="2419" t="str">
        <f t="shared" si="220"/>
        <v>NM</v>
      </c>
      <c r="BW244" s="2419" t="str">
        <f t="shared" si="220"/>
        <v>NM</v>
      </c>
      <c r="BX244" s="2888" t="str">
        <f t="shared" si="220"/>
        <v>NM</v>
      </c>
      <c r="BY244" s="2419" t="str">
        <f t="shared" si="220"/>
        <v>NM</v>
      </c>
      <c r="BZ244" s="2419" t="str">
        <f t="shared" si="220"/>
        <v>NM</v>
      </c>
      <c r="CA244" s="2419" t="str">
        <f t="shared" si="220"/>
        <v>NM</v>
      </c>
      <c r="CB244" s="2419" t="str">
        <f t="shared" si="220"/>
        <v>NM</v>
      </c>
      <c r="CC244" s="2888" t="str">
        <f t="shared" si="220"/>
        <v>NM</v>
      </c>
      <c r="CD244" s="2419" t="str">
        <f t="shared" si="220"/>
        <v>NM</v>
      </c>
      <c r="CE244" s="2419" t="str">
        <f t="shared" si="220"/>
        <v>NM</v>
      </c>
      <c r="CF244" s="2419" t="str">
        <f t="shared" si="220"/>
        <v>NM</v>
      </c>
      <c r="CG244" s="2419" t="str">
        <f t="shared" si="220"/>
        <v>NM</v>
      </c>
      <c r="CH244" s="2888" t="str">
        <f t="shared" si="220"/>
        <v>NM</v>
      </c>
      <c r="CI244" s="2419" t="str">
        <f t="shared" si="220"/>
        <v>NM</v>
      </c>
      <c r="CJ244" s="2419" t="str">
        <f t="shared" si="220"/>
        <v>NM</v>
      </c>
      <c r="CK244" s="2419" t="str">
        <f t="shared" si="220"/>
        <v>NM</v>
      </c>
      <c r="CL244" s="2419" t="str">
        <f t="shared" si="220"/>
        <v>NM</v>
      </c>
      <c r="CM244" s="2888" t="str">
        <f t="shared" si="220"/>
        <v>NM</v>
      </c>
      <c r="CN244" s="2419"/>
      <c r="CO244" s="2419"/>
      <c r="CR244" s="194"/>
      <c r="CS244" s="194"/>
      <c r="CT244" s="194"/>
      <c r="DB244" s="1226"/>
    </row>
    <row r="245" spans="1:106" x14ac:dyDescent="0.2">
      <c r="A245" s="1595" t="s">
        <v>359</v>
      </c>
      <c r="B245" s="1924" t="s">
        <v>673</v>
      </c>
      <c r="C245" s="1924" t="s">
        <v>673</v>
      </c>
      <c r="D245" s="1924" t="s">
        <v>673</v>
      </c>
      <c r="E245" s="1924" t="s">
        <v>673</v>
      </c>
      <c r="F245" s="1890" t="s">
        <v>673</v>
      </c>
      <c r="G245" s="1924" t="s">
        <v>673</v>
      </c>
      <c r="H245" s="1924" t="s">
        <v>673</v>
      </c>
      <c r="I245" s="1924" t="s">
        <v>673</v>
      </c>
      <c r="J245" s="1924" t="s">
        <v>673</v>
      </c>
      <c r="K245" s="1890" t="s">
        <v>673</v>
      </c>
      <c r="L245" s="1924" t="s">
        <v>673</v>
      </c>
      <c r="M245" s="1924" t="s">
        <v>673</v>
      </c>
      <c r="N245" s="1924" t="s">
        <v>673</v>
      </c>
      <c r="O245" s="1924" t="s">
        <v>673</v>
      </c>
      <c r="P245" s="1890" t="s">
        <v>673</v>
      </c>
      <c r="Q245" s="1924" t="s">
        <v>673</v>
      </c>
      <c r="R245" s="1924" t="s">
        <v>673</v>
      </c>
      <c r="S245" s="1924" t="s">
        <v>673</v>
      </c>
      <c r="T245" s="1924" t="s">
        <v>673</v>
      </c>
      <c r="U245" s="1890" t="s">
        <v>673</v>
      </c>
      <c r="V245" s="1924" t="s">
        <v>673</v>
      </c>
      <c r="W245" s="1924" t="s">
        <v>673</v>
      </c>
      <c r="X245" s="1924" t="s">
        <v>673</v>
      </c>
      <c r="Y245" s="1924" t="s">
        <v>673</v>
      </c>
      <c r="Z245" s="1890" t="s">
        <v>673</v>
      </c>
      <c r="AA245" s="1924" t="s">
        <v>673</v>
      </c>
      <c r="AB245" s="1924" t="s">
        <v>673</v>
      </c>
      <c r="AC245" s="1924" t="s">
        <v>673</v>
      </c>
      <c r="AD245" s="1924" t="s">
        <v>673</v>
      </c>
      <c r="AE245" s="1890" t="s">
        <v>673</v>
      </c>
      <c r="AF245" s="1924" t="s">
        <v>673</v>
      </c>
      <c r="AG245" s="1924" t="s">
        <v>673</v>
      </c>
      <c r="AH245" s="1924" t="s">
        <v>673</v>
      </c>
      <c r="AI245" s="1924" t="s">
        <v>673</v>
      </c>
      <c r="AJ245" s="1890" t="s">
        <v>673</v>
      </c>
      <c r="AK245" s="1924" t="s">
        <v>673</v>
      </c>
      <c r="AL245" s="1924" t="s">
        <v>673</v>
      </c>
      <c r="AM245" s="1924" t="s">
        <v>673</v>
      </c>
      <c r="AN245" s="1924" t="s">
        <v>673</v>
      </c>
      <c r="AO245" s="1890" t="s">
        <v>673</v>
      </c>
      <c r="AP245" s="886">
        <v>9.1999999999999998E-2</v>
      </c>
      <c r="AQ245" s="886">
        <v>6.9000000000000006E-2</v>
      </c>
      <c r="AR245" s="886">
        <v>5.7000000000000002E-2</v>
      </c>
      <c r="AS245" s="886">
        <v>-4.9000000000000002E-2</v>
      </c>
      <c r="AT245" s="1046">
        <v>3.1E-2</v>
      </c>
      <c r="AU245" s="886">
        <v>-0.16400000000000001</v>
      </c>
      <c r="AV245" s="886">
        <v>-0.214</v>
      </c>
      <c r="AW245" s="886">
        <v>-0.214</v>
      </c>
      <c r="AX245" s="886">
        <v>-0.112</v>
      </c>
      <c r="AY245" s="1046">
        <v>-0.17199999999999999</v>
      </c>
      <c r="AZ245" s="886">
        <v>1.6E-2</v>
      </c>
      <c r="BA245" s="886">
        <v>0.09</v>
      </c>
      <c r="BB245" s="886">
        <v>0.11899999999999999</v>
      </c>
      <c r="BC245" s="886">
        <v>9.5000000000000001E-2</v>
      </c>
      <c r="BD245" s="1046">
        <v>8.8999999999999996E-2</v>
      </c>
      <c r="BE245" s="886">
        <v>0.11</v>
      </c>
      <c r="BF245" s="886">
        <v>8.5000000000000006E-2</v>
      </c>
      <c r="BG245" s="886">
        <v>6.6000000000000003E-2</v>
      </c>
      <c r="BH245" s="886">
        <v>3.9E-2</v>
      </c>
      <c r="BI245" s="1046">
        <v>6.4000000000000001E-2</v>
      </c>
      <c r="BJ245" s="886">
        <v>6.8000000000000005E-2</v>
      </c>
      <c r="BK245" s="886">
        <v>6.4000000000000001E-2</v>
      </c>
      <c r="BL245" s="886">
        <v>4.9000000000000002E-2</v>
      </c>
      <c r="BM245" s="886">
        <v>0.03</v>
      </c>
      <c r="BN245" s="1046">
        <v>0.05</v>
      </c>
      <c r="BO245" s="886">
        <v>2.5000000000000001E-2</v>
      </c>
      <c r="BP245" s="886">
        <v>2.4E-2</v>
      </c>
      <c r="BQ245" s="886">
        <v>2.7E-2</v>
      </c>
      <c r="BR245" s="886">
        <v>0.03</v>
      </c>
      <c r="BS245" s="1046">
        <v>2.7E-2</v>
      </c>
      <c r="BT245" s="1924" t="s">
        <v>673</v>
      </c>
      <c r="BU245" s="1924" t="s">
        <v>673</v>
      </c>
      <c r="BV245" s="1924" t="s">
        <v>673</v>
      </c>
      <c r="BW245" s="1924" t="s">
        <v>673</v>
      </c>
      <c r="BX245" s="1890" t="s">
        <v>673</v>
      </c>
      <c r="BY245" s="1924" t="s">
        <v>673</v>
      </c>
      <c r="BZ245" s="1924" t="s">
        <v>673</v>
      </c>
      <c r="CA245" s="1924" t="s">
        <v>673</v>
      </c>
      <c r="CB245" s="1924" t="s">
        <v>673</v>
      </c>
      <c r="CC245" s="1890" t="s">
        <v>673</v>
      </c>
      <c r="CD245" s="1924" t="s">
        <v>673</v>
      </c>
      <c r="CE245" s="1924" t="s">
        <v>673</v>
      </c>
      <c r="CF245" s="1924" t="s">
        <v>673</v>
      </c>
      <c r="CG245" s="1924" t="s">
        <v>673</v>
      </c>
      <c r="CH245" s="1890" t="s">
        <v>673</v>
      </c>
      <c r="CI245" s="1924" t="s">
        <v>673</v>
      </c>
      <c r="CJ245" s="1924" t="s">
        <v>673</v>
      </c>
      <c r="CK245" s="1924" t="s">
        <v>673</v>
      </c>
      <c r="CL245" s="1924" t="s">
        <v>673</v>
      </c>
      <c r="CM245" s="1890" t="s">
        <v>673</v>
      </c>
      <c r="CN245" s="1924"/>
      <c r="CO245" s="1924"/>
      <c r="CP245" s="886"/>
      <c r="CQ245" s="886"/>
      <c r="CR245" s="1046"/>
      <c r="CS245" s="1046"/>
      <c r="CT245" s="1046"/>
      <c r="DA245" s="212"/>
      <c r="DB245" s="1226"/>
    </row>
    <row r="246" spans="1:106" s="212" customFormat="1" x14ac:dyDescent="0.2">
      <c r="A246" s="1561" t="s">
        <v>1648</v>
      </c>
      <c r="B246" s="234"/>
      <c r="C246" s="234"/>
      <c r="D246" s="234"/>
      <c r="E246" s="234"/>
      <c r="F246" s="236"/>
      <c r="G246" s="234"/>
      <c r="H246" s="234"/>
      <c r="I246" s="234"/>
      <c r="J246" s="234"/>
      <c r="K246" s="236"/>
      <c r="L246" s="234"/>
      <c r="M246" s="234"/>
      <c r="N246" s="234"/>
      <c r="O246" s="234"/>
      <c r="P246" s="236"/>
      <c r="Q246" s="234"/>
      <c r="R246" s="234"/>
      <c r="S246" s="234"/>
      <c r="T246" s="234"/>
      <c r="U246" s="236"/>
      <c r="V246" s="234"/>
      <c r="W246" s="234"/>
      <c r="X246" s="234"/>
      <c r="Y246" s="234"/>
      <c r="Z246" s="236"/>
      <c r="AA246" s="234"/>
      <c r="AB246" s="234"/>
      <c r="AC246" s="234"/>
      <c r="AD246" s="234"/>
      <c r="AE246" s="236"/>
      <c r="AF246" s="234"/>
      <c r="AG246" s="234"/>
      <c r="AH246" s="234"/>
      <c r="AI246" s="234"/>
      <c r="AJ246" s="236"/>
      <c r="AK246" s="234"/>
      <c r="AL246" s="234"/>
      <c r="AM246" s="234"/>
      <c r="AN246" s="234"/>
      <c r="AO246" s="236"/>
      <c r="AP246" s="1548">
        <f>AP296*AP325</f>
        <v>234.44639999999998</v>
      </c>
      <c r="AQ246" s="1548">
        <f>AQ296*AQ325</f>
        <v>258.31664999999998</v>
      </c>
      <c r="AR246" s="1548">
        <f>AR296*AR325</f>
        <v>210.03288000000001</v>
      </c>
      <c r="AS246" s="1548">
        <f>AS296*AS325</f>
        <v>194.24015</v>
      </c>
      <c r="AT246" s="1547">
        <f>AVERAGE(AP246:AS246)</f>
        <v>224.25901999999999</v>
      </c>
      <c r="AU246" s="1548">
        <f>AU296*AU325</f>
        <v>191.51979</v>
      </c>
      <c r="AV246" s="1548">
        <f>AV296*AV325</f>
        <v>188.1515</v>
      </c>
      <c r="AW246" s="1548">
        <f>AW296*AW325</f>
        <v>155.4795</v>
      </c>
      <c r="AX246" s="1548">
        <f>AX296*AX325</f>
        <v>173.35603999999998</v>
      </c>
      <c r="AY246" s="1547">
        <f>AVERAGE(AU246:AX246)</f>
        <v>177.12670750000001</v>
      </c>
      <c r="AZ246" s="1548">
        <f>AZ296*AZ325</f>
        <v>188.64494999999999</v>
      </c>
      <c r="BA246" s="1548">
        <f>BA296*BA325</f>
        <v>213.40156999999999</v>
      </c>
      <c r="BB246" s="1548">
        <f>BB296*BB325</f>
        <v>182.06976</v>
      </c>
      <c r="BC246" s="1548">
        <f>BC296*BC325</f>
        <v>202.24620000000002</v>
      </c>
      <c r="BD246" s="1547">
        <f>AVERAGE(AZ246:BC246)</f>
        <v>196.59062</v>
      </c>
      <c r="BE246" s="1548">
        <f>BE296*BE325</f>
        <v>205.29810000000001</v>
      </c>
      <c r="BF246" s="1548">
        <f>BF296*BF325</f>
        <v>203.73696000000001</v>
      </c>
      <c r="BG246" s="1548">
        <f>BG296*BG325</f>
        <v>185.04488999999998</v>
      </c>
      <c r="BH246" s="1548">
        <f>BH296*BH325</f>
        <v>204.65535999999997</v>
      </c>
      <c r="BI246" s="1547">
        <f>AVERAGE(BE246:BH246)</f>
        <v>199.68382750000001</v>
      </c>
      <c r="BJ246" s="1548">
        <f>BJ296*BJ325</f>
        <v>210.59641999999999</v>
      </c>
      <c r="BK246" s="1548">
        <f>BK296*BK325</f>
        <v>228.50388000000001</v>
      </c>
      <c r="BL246" s="1548">
        <f>BL296*BL325</f>
        <v>195.82520000000002</v>
      </c>
      <c r="BM246" s="1548">
        <f>BM296*BM325</f>
        <v>218.32422000000003</v>
      </c>
      <c r="BN246" s="1547">
        <f>AVERAGE(BJ246:BM246)</f>
        <v>213.31243000000001</v>
      </c>
      <c r="BO246" s="1548">
        <f>BO296*BO325</f>
        <v>255.35429999999999</v>
      </c>
      <c r="BP246" s="1548">
        <f>BP296*BP325</f>
        <v>235.36177000000001</v>
      </c>
      <c r="BQ246" s="1548">
        <f>BQ296*BQ325</f>
        <v>207.46504999999999</v>
      </c>
      <c r="BR246" s="1548">
        <f>BR296*BR325</f>
        <v>251.53810000000001</v>
      </c>
      <c r="BS246" s="1547">
        <f>AVERAGE(BO246:BR246)</f>
        <v>237.42980499999999</v>
      </c>
      <c r="BT246" s="1986" t="str">
        <f t="shared" ref="BT246:BY246" si="221">IF(ISERROR(BT296*BT325),"NM",BT296*BT325)</f>
        <v>NM</v>
      </c>
      <c r="BU246" s="1986" t="str">
        <f t="shared" si="221"/>
        <v>NM</v>
      </c>
      <c r="BV246" s="1986" t="str">
        <f t="shared" si="221"/>
        <v>NM</v>
      </c>
      <c r="BW246" s="1986" t="str">
        <f t="shared" si="221"/>
        <v>NM</v>
      </c>
      <c r="BX246" s="1985" t="str">
        <f t="shared" si="221"/>
        <v>NM</v>
      </c>
      <c r="BY246" s="1986" t="str">
        <f t="shared" si="221"/>
        <v>NM</v>
      </c>
      <c r="BZ246" s="1986" t="str">
        <f t="shared" ref="BZ246:CE246" si="222">IF(ISERROR(BZ296*BZ325),"NM",BZ296*BZ325)</f>
        <v>NM</v>
      </c>
      <c r="CA246" s="1986" t="str">
        <f t="shared" si="222"/>
        <v>NM</v>
      </c>
      <c r="CB246" s="1986" t="str">
        <f t="shared" si="222"/>
        <v>NM</v>
      </c>
      <c r="CC246" s="1985" t="str">
        <f t="shared" si="222"/>
        <v>NM</v>
      </c>
      <c r="CD246" s="1986" t="str">
        <f t="shared" si="222"/>
        <v>NM</v>
      </c>
      <c r="CE246" s="1986" t="str">
        <f t="shared" si="222"/>
        <v>NM</v>
      </c>
      <c r="CF246" s="1986" t="str">
        <f t="shared" ref="CF246:CK246" si="223">IF(ISERROR(CF296*CF325),"NM",CF296*CF325)</f>
        <v>NM</v>
      </c>
      <c r="CG246" s="1986" t="str">
        <f t="shared" si="223"/>
        <v>NM</v>
      </c>
      <c r="CH246" s="1985" t="str">
        <f t="shared" si="223"/>
        <v>NM</v>
      </c>
      <c r="CI246" s="1986" t="str">
        <f t="shared" si="223"/>
        <v>NM</v>
      </c>
      <c r="CJ246" s="1986" t="str">
        <f t="shared" si="223"/>
        <v>NM</v>
      </c>
      <c r="CK246" s="1986" t="str">
        <f t="shared" si="223"/>
        <v>NM</v>
      </c>
      <c r="CL246" s="1986" t="str">
        <f t="shared" ref="CL246:CM246" si="224">IF(ISERROR(CL296*CL325),"NM",CL296*CL325)</f>
        <v>NM</v>
      </c>
      <c r="CM246" s="1985" t="str">
        <f t="shared" si="224"/>
        <v>NM</v>
      </c>
      <c r="CN246" s="1986"/>
      <c r="CO246" s="1986"/>
      <c r="CR246" s="194"/>
      <c r="CS246" s="194"/>
      <c r="CT246" s="194"/>
      <c r="DB246" s="1226"/>
    </row>
    <row r="247" spans="1:106" s="212" customFormat="1" x14ac:dyDescent="0.2">
      <c r="A247" s="1955" t="s">
        <v>652</v>
      </c>
      <c r="B247" s="234"/>
      <c r="C247" s="234"/>
      <c r="D247" s="234"/>
      <c r="E247" s="234"/>
      <c r="F247" s="236"/>
      <c r="G247" s="234"/>
      <c r="H247" s="234"/>
      <c r="I247" s="234"/>
      <c r="J247" s="234"/>
      <c r="K247" s="236"/>
      <c r="L247" s="234"/>
      <c r="M247" s="234"/>
      <c r="N247" s="234"/>
      <c r="O247" s="234"/>
      <c r="P247" s="236"/>
      <c r="Q247" s="234"/>
      <c r="R247" s="234"/>
      <c r="S247" s="234"/>
      <c r="T247" s="234"/>
      <c r="U247" s="236"/>
      <c r="V247" s="234"/>
      <c r="W247" s="234"/>
      <c r="X247" s="234"/>
      <c r="Y247" s="234"/>
      <c r="Z247" s="236"/>
      <c r="AA247" s="234"/>
      <c r="AB247" s="234"/>
      <c r="AC247" s="234"/>
      <c r="AD247" s="234"/>
      <c r="AE247" s="236"/>
      <c r="AF247" s="234"/>
      <c r="AG247" s="234"/>
      <c r="AH247" s="234"/>
      <c r="AI247" s="234"/>
      <c r="AJ247" s="236"/>
      <c r="AK247" s="234"/>
      <c r="AL247" s="234"/>
      <c r="AM247" s="234"/>
      <c r="AN247" s="234"/>
      <c r="AO247" s="236"/>
      <c r="AP247" s="1546"/>
      <c r="AQ247" s="1546"/>
      <c r="AR247" s="1546"/>
      <c r="AS247" s="1546"/>
      <c r="AT247" s="1545"/>
      <c r="AU247" s="1546">
        <f>AU246/AP246-1</f>
        <v>-0.18309775709927723</v>
      </c>
      <c r="AV247" s="1546">
        <f>AV246/AQ246-1</f>
        <v>-0.27162457394829176</v>
      </c>
      <c r="AW247" s="1546">
        <f>AW246/AR246-1</f>
        <v>-0.25973733255478859</v>
      </c>
      <c r="AX247" s="1546">
        <f>AX246/AS246-1</f>
        <v>-0.10751695774534786</v>
      </c>
      <c r="AY247" s="1545">
        <f>+AY246/AT246-1</f>
        <v>-0.2101690826081376</v>
      </c>
      <c r="AZ247" s="1546">
        <f>AZ246/AU246-1</f>
        <v>-1.5010668088138557E-2</v>
      </c>
      <c r="BA247" s="1546">
        <f>BA246/AV246-1</f>
        <v>0.13420073717190673</v>
      </c>
      <c r="BB247" s="1546">
        <f>BB246/AW246-1</f>
        <v>0.17102100276885368</v>
      </c>
      <c r="BC247" s="1546">
        <f>BC246/AX246-1</f>
        <v>0.16665216856591814</v>
      </c>
      <c r="BD247" s="1545">
        <f>+BD246/AY246-1</f>
        <v>0.10988694350342398</v>
      </c>
      <c r="BE247" s="1546">
        <f>BE246/AZ246-1</f>
        <v>8.8277740803557325E-2</v>
      </c>
      <c r="BF247" s="1546">
        <f>BF246/BA246-1</f>
        <v>-4.5288373464168918E-2</v>
      </c>
      <c r="BG247" s="1546">
        <f>BG246/BB246-1</f>
        <v>1.6340604831906136E-2</v>
      </c>
      <c r="BH247" s="1546">
        <f>BH246/BC246-1</f>
        <v>1.1912016146656601E-2</v>
      </c>
      <c r="BI247" s="1545">
        <f>+BI246/BD246-1</f>
        <v>1.5734257819625341E-2</v>
      </c>
      <c r="BJ247" s="1546">
        <f>BJ246/BE246-1</f>
        <v>2.5807934900517804E-2</v>
      </c>
      <c r="BK247" s="1546">
        <f>BK246/BF246-1</f>
        <v>0.12156321562862238</v>
      </c>
      <c r="BL247" s="1546">
        <f>BL246/BG246-1</f>
        <v>5.8257809767132906E-2</v>
      </c>
      <c r="BM247" s="1546">
        <f>BM246/BH246-1</f>
        <v>6.6789650659528466E-2</v>
      </c>
      <c r="BN247" s="1545">
        <f>+BN246/BI246-1</f>
        <v>6.8250907800733174E-2</v>
      </c>
      <c r="BO247" s="1546">
        <f>BO246/BJ246-1</f>
        <v>0.21252915885274781</v>
      </c>
      <c r="BP247" s="1546">
        <f>BP246/BK246-1</f>
        <v>3.001213808710812E-2</v>
      </c>
      <c r="BQ247" s="1546">
        <f>BQ246/BL246-1</f>
        <v>5.9440000571938434E-2</v>
      </c>
      <c r="BR247" s="1546">
        <f>BR246/BM246-1</f>
        <v>0.15213099123862661</v>
      </c>
      <c r="BS247" s="1545">
        <f>+BS246/BN246-1</f>
        <v>0.11306127355072548</v>
      </c>
      <c r="BT247" s="2419" t="str">
        <f t="shared" ref="BT247:CM247" si="225">IF(ISERROR(BT246/BO246-1),"NM",BT246/BO246-1)</f>
        <v>NM</v>
      </c>
      <c r="BU247" s="2419" t="str">
        <f t="shared" si="225"/>
        <v>NM</v>
      </c>
      <c r="BV247" s="2419" t="str">
        <f t="shared" si="225"/>
        <v>NM</v>
      </c>
      <c r="BW247" s="2419" t="str">
        <f t="shared" si="225"/>
        <v>NM</v>
      </c>
      <c r="BX247" s="2888" t="str">
        <f t="shared" si="225"/>
        <v>NM</v>
      </c>
      <c r="BY247" s="2419" t="str">
        <f t="shared" si="225"/>
        <v>NM</v>
      </c>
      <c r="BZ247" s="2419" t="str">
        <f t="shared" si="225"/>
        <v>NM</v>
      </c>
      <c r="CA247" s="2419" t="str">
        <f t="shared" si="225"/>
        <v>NM</v>
      </c>
      <c r="CB247" s="2419" t="str">
        <f t="shared" si="225"/>
        <v>NM</v>
      </c>
      <c r="CC247" s="2888" t="str">
        <f t="shared" si="225"/>
        <v>NM</v>
      </c>
      <c r="CD247" s="2419" t="str">
        <f t="shared" si="225"/>
        <v>NM</v>
      </c>
      <c r="CE247" s="2419" t="str">
        <f t="shared" si="225"/>
        <v>NM</v>
      </c>
      <c r="CF247" s="2419" t="str">
        <f t="shared" si="225"/>
        <v>NM</v>
      </c>
      <c r="CG247" s="2419" t="str">
        <f t="shared" si="225"/>
        <v>NM</v>
      </c>
      <c r="CH247" s="2888" t="str">
        <f t="shared" si="225"/>
        <v>NM</v>
      </c>
      <c r="CI247" s="2419" t="str">
        <f t="shared" si="225"/>
        <v>NM</v>
      </c>
      <c r="CJ247" s="2419" t="str">
        <f t="shared" si="225"/>
        <v>NM</v>
      </c>
      <c r="CK247" s="2419" t="str">
        <f t="shared" si="225"/>
        <v>NM</v>
      </c>
      <c r="CL247" s="2419" t="str">
        <f t="shared" si="225"/>
        <v>NM</v>
      </c>
      <c r="CM247" s="2888" t="str">
        <f t="shared" si="225"/>
        <v>NM</v>
      </c>
      <c r="CN247" s="2419"/>
      <c r="CO247" s="2419"/>
      <c r="CR247" s="194"/>
      <c r="CS247" s="194"/>
      <c r="CT247" s="194"/>
      <c r="DB247" s="1226"/>
    </row>
    <row r="248" spans="1:106" x14ac:dyDescent="0.2">
      <c r="A248" s="1595" t="s">
        <v>359</v>
      </c>
      <c r="B248" s="1924" t="s">
        <v>673</v>
      </c>
      <c r="C248" s="1924" t="s">
        <v>673</v>
      </c>
      <c r="D248" s="1924" t="s">
        <v>673</v>
      </c>
      <c r="E248" s="1924" t="s">
        <v>673</v>
      </c>
      <c r="F248" s="1890" t="s">
        <v>673</v>
      </c>
      <c r="G248" s="1924" t="s">
        <v>673</v>
      </c>
      <c r="H248" s="1924" t="s">
        <v>673</v>
      </c>
      <c r="I248" s="1924" t="s">
        <v>673</v>
      </c>
      <c r="J248" s="1924" t="s">
        <v>673</v>
      </c>
      <c r="K248" s="1890" t="s">
        <v>673</v>
      </c>
      <c r="L248" s="1924" t="s">
        <v>673</v>
      </c>
      <c r="M248" s="1924" t="s">
        <v>673</v>
      </c>
      <c r="N248" s="1924" t="s">
        <v>673</v>
      </c>
      <c r="O248" s="1924" t="s">
        <v>673</v>
      </c>
      <c r="P248" s="1890" t="s">
        <v>673</v>
      </c>
      <c r="Q248" s="1924" t="s">
        <v>673</v>
      </c>
      <c r="R248" s="1924" t="s">
        <v>673</v>
      </c>
      <c r="S248" s="1924" t="s">
        <v>673</v>
      </c>
      <c r="T248" s="1924" t="s">
        <v>673</v>
      </c>
      <c r="U248" s="1890" t="s">
        <v>673</v>
      </c>
      <c r="V248" s="1924" t="s">
        <v>673</v>
      </c>
      <c r="W248" s="1924" t="s">
        <v>673</v>
      </c>
      <c r="X248" s="1924" t="s">
        <v>673</v>
      </c>
      <c r="Y248" s="1924" t="s">
        <v>673</v>
      </c>
      <c r="Z248" s="1890" t="s">
        <v>673</v>
      </c>
      <c r="AA248" s="1924" t="s">
        <v>673</v>
      </c>
      <c r="AB248" s="1924" t="s">
        <v>673</v>
      </c>
      <c r="AC248" s="1924" t="s">
        <v>673</v>
      </c>
      <c r="AD248" s="1924" t="s">
        <v>673</v>
      </c>
      <c r="AE248" s="1890" t="s">
        <v>673</v>
      </c>
      <c r="AF248" s="1924" t="s">
        <v>673</v>
      </c>
      <c r="AG248" s="1924" t="s">
        <v>673</v>
      </c>
      <c r="AH248" s="1924" t="s">
        <v>673</v>
      </c>
      <c r="AI248" s="1924" t="s">
        <v>673</v>
      </c>
      <c r="AJ248" s="1890" t="s">
        <v>673</v>
      </c>
      <c r="AK248" s="1924" t="s">
        <v>673</v>
      </c>
      <c r="AL248" s="1924" t="s">
        <v>673</v>
      </c>
      <c r="AM248" s="1924" t="s">
        <v>673</v>
      </c>
      <c r="AN248" s="1924" t="s">
        <v>673</v>
      </c>
      <c r="AO248" s="1890" t="s">
        <v>673</v>
      </c>
      <c r="AP248" s="886">
        <v>0.182</v>
      </c>
      <c r="AQ248" s="886">
        <v>0.10199999999999999</v>
      </c>
      <c r="AR248" s="886">
        <v>8.7999999999999995E-2</v>
      </c>
      <c r="AS248" s="886">
        <v>-3.7999999999999999E-2</v>
      </c>
      <c r="AT248" s="1046">
        <v>6.6000000000000003E-2</v>
      </c>
      <c r="AU248" s="886">
        <v>-0.17</v>
      </c>
      <c r="AV248" s="886">
        <v>-0.26100000000000001</v>
      </c>
      <c r="AW248" s="886">
        <v>-0.26700000000000002</v>
      </c>
      <c r="AX248" s="886">
        <v>-0.17100000000000001</v>
      </c>
      <c r="AY248" s="1046">
        <v>-0.221</v>
      </c>
      <c r="AZ248" s="886">
        <v>-7.0000000000000001E-3</v>
      </c>
      <c r="BA248" s="886">
        <v>0.14000000000000001</v>
      </c>
      <c r="BB248" s="886">
        <v>0.124</v>
      </c>
      <c r="BC248" s="886">
        <v>0.13700000000000001</v>
      </c>
      <c r="BD248" s="1046">
        <v>0.107</v>
      </c>
      <c r="BE248" s="886">
        <v>0.123</v>
      </c>
      <c r="BF248" s="886">
        <v>1.4E-2</v>
      </c>
      <c r="BG248" s="886">
        <v>8.5000000000000006E-2</v>
      </c>
      <c r="BH248" s="886">
        <v>5.5E-2</v>
      </c>
      <c r="BI248" s="1046">
        <v>6.2E-2</v>
      </c>
      <c r="BJ248" s="886">
        <v>2.1999999999999999E-2</v>
      </c>
      <c r="BK248" s="886">
        <v>0.113</v>
      </c>
      <c r="BL248" s="886">
        <v>5.5E-2</v>
      </c>
      <c r="BM248" s="886">
        <v>4.2000000000000003E-2</v>
      </c>
      <c r="BN248" s="1046">
        <v>5.8999999999999997E-2</v>
      </c>
      <c r="BO248" s="886">
        <v>0.107</v>
      </c>
      <c r="BP248" s="886">
        <v>4.3999999999999997E-2</v>
      </c>
      <c r="BQ248" s="886">
        <v>7.2999999999999995E-2</v>
      </c>
      <c r="BR248" s="886">
        <v>3.9E-2</v>
      </c>
      <c r="BS248" s="1046">
        <v>6.8000000000000005E-2</v>
      </c>
      <c r="BT248" s="1924" t="s">
        <v>673</v>
      </c>
      <c r="BU248" s="1924" t="s">
        <v>673</v>
      </c>
      <c r="BV248" s="1924" t="s">
        <v>673</v>
      </c>
      <c r="BW248" s="1924" t="s">
        <v>673</v>
      </c>
      <c r="BX248" s="1890" t="s">
        <v>673</v>
      </c>
      <c r="BY248" s="1924" t="s">
        <v>673</v>
      </c>
      <c r="BZ248" s="1924" t="s">
        <v>673</v>
      </c>
      <c r="CA248" s="1924" t="s">
        <v>673</v>
      </c>
      <c r="CB248" s="1924" t="s">
        <v>673</v>
      </c>
      <c r="CC248" s="1890" t="s">
        <v>673</v>
      </c>
      <c r="CD248" s="1924" t="s">
        <v>673</v>
      </c>
      <c r="CE248" s="1924" t="s">
        <v>673</v>
      </c>
      <c r="CF248" s="1924" t="s">
        <v>673</v>
      </c>
      <c r="CG248" s="1924" t="s">
        <v>673</v>
      </c>
      <c r="CH248" s="1890" t="s">
        <v>673</v>
      </c>
      <c r="CI248" s="1924" t="s">
        <v>673</v>
      </c>
      <c r="CJ248" s="1924" t="s">
        <v>673</v>
      </c>
      <c r="CK248" s="1924" t="s">
        <v>673</v>
      </c>
      <c r="CL248" s="1924" t="s">
        <v>673</v>
      </c>
      <c r="CM248" s="1890" t="s">
        <v>673</v>
      </c>
      <c r="CN248" s="1924"/>
      <c r="CO248" s="1924"/>
      <c r="CP248" s="886"/>
      <c r="CQ248" s="886"/>
      <c r="CR248" s="1046"/>
      <c r="CS248" s="1046"/>
      <c r="CT248" s="1046"/>
      <c r="DA248" s="212"/>
      <c r="DB248" s="1226"/>
    </row>
    <row r="249" spans="1:106" s="212" customFormat="1" x14ac:dyDescent="0.2">
      <c r="A249" s="1955"/>
      <c r="B249" s="234"/>
      <c r="C249" s="234"/>
      <c r="D249" s="234"/>
      <c r="E249" s="234"/>
      <c r="F249" s="234"/>
      <c r="G249" s="234"/>
      <c r="H249" s="234"/>
      <c r="I249" s="234"/>
      <c r="J249" s="234"/>
      <c r="K249" s="236"/>
      <c r="L249" s="234"/>
      <c r="M249" s="234"/>
      <c r="N249" s="234"/>
      <c r="O249" s="234"/>
      <c r="P249" s="234"/>
      <c r="Q249" s="234"/>
      <c r="R249" s="234"/>
      <c r="S249" s="234"/>
      <c r="T249" s="234"/>
      <c r="U249" s="236"/>
      <c r="V249" s="234"/>
      <c r="W249" s="234"/>
      <c r="X249" s="234"/>
      <c r="Y249" s="234"/>
      <c r="Z249" s="236"/>
      <c r="AA249" s="234"/>
      <c r="AB249" s="234"/>
      <c r="AC249" s="234"/>
      <c r="AD249" s="234"/>
      <c r="AE249" s="236"/>
      <c r="AF249" s="234"/>
      <c r="AG249" s="234"/>
      <c r="AH249" s="234"/>
      <c r="AI249" s="234"/>
      <c r="AJ249" s="236"/>
      <c r="AK249" s="234"/>
      <c r="AL249" s="234"/>
      <c r="AM249" s="234"/>
      <c r="AN249" s="234"/>
      <c r="AO249" s="236"/>
      <c r="AP249" s="1531"/>
      <c r="AQ249" s="1531"/>
      <c r="AR249" s="1531"/>
      <c r="AS249" s="1531"/>
      <c r="AT249" s="1530"/>
      <c r="AU249" s="1546"/>
      <c r="AV249" s="1546"/>
      <c r="AW249" s="1546"/>
      <c r="AX249" s="1546"/>
      <c r="AY249" s="1545"/>
      <c r="AZ249" s="1546"/>
      <c r="BA249" s="1546"/>
      <c r="BB249" s="1546"/>
      <c r="BC249" s="1546"/>
      <c r="BD249" s="1545"/>
      <c r="BE249" s="1546"/>
      <c r="BF249" s="1546"/>
      <c r="BG249" s="1546"/>
      <c r="BH249" s="1546"/>
      <c r="BI249" s="1545"/>
      <c r="BJ249" s="1531"/>
      <c r="BK249" s="1531"/>
      <c r="BL249" s="1531"/>
      <c r="BM249" s="1531"/>
      <c r="BN249" s="194"/>
      <c r="BO249" s="193"/>
      <c r="BR249" s="192"/>
      <c r="BS249" s="194"/>
      <c r="BT249" s="193"/>
      <c r="BW249" s="192"/>
      <c r="BX249" s="194"/>
      <c r="BY249" s="193"/>
      <c r="CB249" s="192"/>
      <c r="CC249" s="194"/>
      <c r="CG249" s="192"/>
      <c r="CH249" s="194"/>
      <c r="CM249" s="194"/>
      <c r="CR249" s="194"/>
      <c r="CS249" s="194"/>
      <c r="CT249" s="194"/>
      <c r="DB249" s="1226"/>
    </row>
    <row r="250" spans="1:106" s="212" customFormat="1" x14ac:dyDescent="0.2">
      <c r="A250" s="1437" t="s">
        <v>2687</v>
      </c>
      <c r="B250" s="234"/>
      <c r="C250" s="234"/>
      <c r="D250" s="234"/>
      <c r="E250" s="234"/>
      <c r="F250" s="234"/>
      <c r="G250" s="234"/>
      <c r="H250" s="234"/>
      <c r="I250" s="234"/>
      <c r="J250" s="234"/>
      <c r="K250" s="236"/>
      <c r="L250" s="234"/>
      <c r="M250" s="234"/>
      <c r="N250" s="234"/>
      <c r="O250" s="234"/>
      <c r="P250" s="234"/>
      <c r="Q250" s="234"/>
      <c r="R250" s="234"/>
      <c r="S250" s="234"/>
      <c r="T250" s="234"/>
      <c r="U250" s="236"/>
      <c r="V250" s="234"/>
      <c r="W250" s="234"/>
      <c r="X250" s="234"/>
      <c r="Y250" s="234"/>
      <c r="Z250" s="236"/>
      <c r="AA250" s="234"/>
      <c r="AB250" s="234"/>
      <c r="AC250" s="234"/>
      <c r="AD250" s="234"/>
      <c r="AE250" s="236"/>
      <c r="AF250" s="234"/>
      <c r="AG250" s="234"/>
      <c r="AH250" s="234"/>
      <c r="AI250" s="234"/>
      <c r="AJ250" s="236"/>
      <c r="AK250" s="234"/>
      <c r="AL250" s="234"/>
      <c r="AM250" s="234"/>
      <c r="AN250" s="234"/>
      <c r="AO250" s="236"/>
      <c r="AP250" s="1531"/>
      <c r="AQ250" s="1531"/>
      <c r="AR250" s="1531"/>
      <c r="AS250" s="1531"/>
      <c r="AT250" s="1530"/>
      <c r="AU250" s="1546"/>
      <c r="AV250" s="1546"/>
      <c r="AW250" s="1546"/>
      <c r="AX250" s="1546"/>
      <c r="AY250" s="1545"/>
      <c r="AZ250" s="1546"/>
      <c r="BA250" s="1546"/>
      <c r="BB250" s="1546"/>
      <c r="BC250" s="1546"/>
      <c r="BD250" s="1545"/>
      <c r="BE250" s="1546"/>
      <c r="BF250" s="1546"/>
      <c r="BG250" s="1546"/>
      <c r="BH250" s="1546"/>
      <c r="BI250" s="1545"/>
      <c r="BJ250" s="1531"/>
      <c r="BK250" s="1531"/>
      <c r="BL250" s="1531"/>
      <c r="BM250" s="1531"/>
      <c r="BN250" s="194"/>
      <c r="BS250" s="194"/>
      <c r="BX250" s="194"/>
      <c r="CC250" s="194"/>
      <c r="CH250" s="194"/>
      <c r="CM250" s="194"/>
      <c r="CR250" s="194"/>
      <c r="CS250" s="194"/>
      <c r="CT250" s="194"/>
      <c r="DB250" s="1226"/>
    </row>
    <row r="251" spans="1:106" s="212" customFormat="1" x14ac:dyDescent="0.2">
      <c r="A251" s="1434" t="s">
        <v>1644</v>
      </c>
      <c r="B251" s="234"/>
      <c r="C251" s="234"/>
      <c r="D251" s="234"/>
      <c r="E251" s="234"/>
      <c r="F251" s="234"/>
      <c r="G251" s="234"/>
      <c r="H251" s="234"/>
      <c r="I251" s="234"/>
      <c r="J251" s="234"/>
      <c r="K251" s="236"/>
      <c r="L251" s="234"/>
      <c r="M251" s="234"/>
      <c r="N251" s="234"/>
      <c r="O251" s="234"/>
      <c r="P251" s="234"/>
      <c r="Q251" s="234"/>
      <c r="R251" s="234"/>
      <c r="S251" s="234"/>
      <c r="T251" s="234"/>
      <c r="U251" s="236"/>
      <c r="V251" s="234"/>
      <c r="W251" s="234"/>
      <c r="X251" s="234"/>
      <c r="Y251" s="234"/>
      <c r="Z251" s="236"/>
      <c r="AA251" s="234"/>
      <c r="AB251" s="234"/>
      <c r="AC251" s="234"/>
      <c r="AD251" s="234"/>
      <c r="AE251" s="236"/>
      <c r="AF251" s="234"/>
      <c r="AG251" s="234"/>
      <c r="AH251" s="234"/>
      <c r="AI251" s="234"/>
      <c r="AJ251" s="236"/>
      <c r="AK251" s="234"/>
      <c r="AL251" s="234"/>
      <c r="AM251" s="234"/>
      <c r="AN251" s="234"/>
      <c r="AO251" s="236"/>
      <c r="AP251" s="1531"/>
      <c r="AQ251" s="1531"/>
      <c r="AR251" s="1531"/>
      <c r="AS251" s="1531"/>
      <c r="AT251" s="1530"/>
      <c r="AU251" s="1546"/>
      <c r="AV251" s="1546"/>
      <c r="AW251" s="1546"/>
      <c r="AX251" s="1546"/>
      <c r="AY251" s="1545"/>
      <c r="AZ251" s="1546"/>
      <c r="BA251" s="1546"/>
      <c r="BB251" s="1546"/>
      <c r="BC251" s="1546"/>
      <c r="BD251" s="1545"/>
      <c r="BE251" s="1546"/>
      <c r="BF251" s="1546"/>
      <c r="BG251" s="1546"/>
      <c r="BH251" s="1546"/>
      <c r="BI251" s="1545"/>
      <c r="BJ251" s="1531"/>
      <c r="BK251" s="1531"/>
      <c r="BL251" s="1531"/>
      <c r="BM251" s="1531"/>
      <c r="BN251" s="194"/>
      <c r="BS251" s="194"/>
      <c r="BX251" s="194"/>
      <c r="BY251" s="1703">
        <f>+CD251/(1+CD252)</f>
        <v>136.92913385826773</v>
      </c>
      <c r="BZ251" s="1703">
        <f>+CE251/(1+CE252)</f>
        <v>117.55036584143529</v>
      </c>
      <c r="CA251" s="1703">
        <f>+CF251/(1+CF252)</f>
        <v>104.24063116370809</v>
      </c>
      <c r="CB251" s="1703">
        <f>+CG251/(1+CG252)</f>
        <v>108.85010266940452</v>
      </c>
      <c r="CC251" s="1704">
        <f>+CH251/(1+CH252)</f>
        <v>117.44979919678715</v>
      </c>
      <c r="CD251" s="3130">
        <v>139.12</v>
      </c>
      <c r="CE251" s="3130">
        <v>117.28</v>
      </c>
      <c r="CF251" s="3130">
        <v>105.7</v>
      </c>
      <c r="CG251" s="3130">
        <v>106.02</v>
      </c>
      <c r="CH251" s="3131">
        <v>116.98</v>
      </c>
      <c r="CM251" s="194"/>
      <c r="CR251" s="194"/>
      <c r="CS251" s="194"/>
      <c r="CT251" s="194"/>
      <c r="DB251" s="1226"/>
    </row>
    <row r="252" spans="1:106" s="212" customFormat="1" x14ac:dyDescent="0.2">
      <c r="A252" s="1595" t="s">
        <v>652</v>
      </c>
      <c r="B252" s="234"/>
      <c r="C252" s="234"/>
      <c r="D252" s="234"/>
      <c r="E252" s="234"/>
      <c r="F252" s="234"/>
      <c r="G252" s="234"/>
      <c r="H252" s="234"/>
      <c r="I252" s="234"/>
      <c r="J252" s="234"/>
      <c r="K252" s="236"/>
      <c r="L252" s="234"/>
      <c r="M252" s="234"/>
      <c r="N252" s="234"/>
      <c r="O252" s="234"/>
      <c r="P252" s="234"/>
      <c r="Q252" s="234"/>
      <c r="R252" s="234"/>
      <c r="S252" s="234"/>
      <c r="T252" s="234"/>
      <c r="U252" s="236"/>
      <c r="V252" s="234"/>
      <c r="W252" s="234"/>
      <c r="X252" s="234"/>
      <c r="Y252" s="234"/>
      <c r="Z252" s="236"/>
      <c r="AA252" s="234"/>
      <c r="AB252" s="234"/>
      <c r="AC252" s="234"/>
      <c r="AD252" s="234"/>
      <c r="AE252" s="236"/>
      <c r="AF252" s="234"/>
      <c r="AG252" s="234"/>
      <c r="AH252" s="234"/>
      <c r="AI252" s="234"/>
      <c r="AJ252" s="236"/>
      <c r="AK252" s="234"/>
      <c r="AL252" s="234"/>
      <c r="AM252" s="234"/>
      <c r="AN252" s="234"/>
      <c r="AO252" s="236"/>
      <c r="AP252" s="1531"/>
      <c r="AQ252" s="1531"/>
      <c r="AR252" s="1531"/>
      <c r="AS252" s="1531"/>
      <c r="AT252" s="1530"/>
      <c r="AU252" s="1546"/>
      <c r="AV252" s="1546"/>
      <c r="AW252" s="1546"/>
      <c r="AX252" s="1546"/>
      <c r="AY252" s="1545"/>
      <c r="AZ252" s="1546"/>
      <c r="BA252" s="1546"/>
      <c r="BB252" s="1546"/>
      <c r="BC252" s="1546"/>
      <c r="BD252" s="1545"/>
      <c r="BE252" s="1546"/>
      <c r="BF252" s="1546"/>
      <c r="BG252" s="1546"/>
      <c r="BH252" s="1546"/>
      <c r="BI252" s="1545"/>
      <c r="BJ252" s="1531"/>
      <c r="BK252" s="1531"/>
      <c r="BL252" s="1531"/>
      <c r="BM252" s="1531"/>
      <c r="BN252" s="194"/>
      <c r="BS252" s="194"/>
      <c r="BX252" s="194"/>
      <c r="CC252" s="194"/>
      <c r="CD252" s="3410">
        <v>1.6E-2</v>
      </c>
      <c r="CE252" s="3410">
        <v>-2.3E-3</v>
      </c>
      <c r="CF252" s="3410">
        <v>1.4E-2</v>
      </c>
      <c r="CG252" s="3410">
        <v>-2.5999999999999999E-2</v>
      </c>
      <c r="CH252" s="3412">
        <v>-4.0000000000000001E-3</v>
      </c>
      <c r="CM252" s="194"/>
      <c r="CR252" s="194"/>
      <c r="CS252" s="194"/>
      <c r="CT252" s="194"/>
      <c r="DB252" s="1226"/>
    </row>
    <row r="253" spans="1:106" s="212" customFormat="1" ht="3.95" customHeight="1" x14ac:dyDescent="0.2">
      <c r="A253" s="1595"/>
      <c r="B253" s="234"/>
      <c r="C253" s="234"/>
      <c r="D253" s="234"/>
      <c r="E253" s="234"/>
      <c r="F253" s="234"/>
      <c r="G253" s="234"/>
      <c r="H253" s="234"/>
      <c r="I253" s="234"/>
      <c r="J253" s="234"/>
      <c r="K253" s="236"/>
      <c r="L253" s="234"/>
      <c r="M253" s="234"/>
      <c r="N253" s="234"/>
      <c r="O253" s="234"/>
      <c r="P253" s="234"/>
      <c r="Q253" s="234"/>
      <c r="R253" s="234"/>
      <c r="S253" s="234"/>
      <c r="T253" s="234"/>
      <c r="U253" s="236"/>
      <c r="V253" s="234"/>
      <c r="W253" s="234"/>
      <c r="X253" s="234"/>
      <c r="Y253" s="234"/>
      <c r="Z253" s="236"/>
      <c r="AA253" s="234"/>
      <c r="AB253" s="234"/>
      <c r="AC253" s="234"/>
      <c r="AD253" s="234"/>
      <c r="AE253" s="236"/>
      <c r="AF253" s="234"/>
      <c r="AG253" s="234"/>
      <c r="AH253" s="234"/>
      <c r="AI253" s="234"/>
      <c r="AJ253" s="236"/>
      <c r="AK253" s="234"/>
      <c r="AL253" s="234"/>
      <c r="AM253" s="234"/>
      <c r="AN253" s="234"/>
      <c r="AO253" s="236"/>
      <c r="AP253" s="1531"/>
      <c r="AQ253" s="1531"/>
      <c r="AR253" s="1531"/>
      <c r="AS253" s="1531"/>
      <c r="AT253" s="1530"/>
      <c r="AU253" s="1546"/>
      <c r="AV253" s="1546"/>
      <c r="AW253" s="1546"/>
      <c r="AX253" s="1546"/>
      <c r="AY253" s="1545"/>
      <c r="AZ253" s="1546"/>
      <c r="BA253" s="1546"/>
      <c r="BB253" s="1546"/>
      <c r="BC253" s="1546"/>
      <c r="BD253" s="1545"/>
      <c r="BE253" s="1546"/>
      <c r="BF253" s="1546"/>
      <c r="BG253" s="1546"/>
      <c r="BH253" s="1546"/>
      <c r="BI253" s="1545"/>
      <c r="BJ253" s="1531"/>
      <c r="BK253" s="1531"/>
      <c r="BL253" s="1531"/>
      <c r="BM253" s="1531"/>
      <c r="BN253" s="194"/>
      <c r="BS253" s="194"/>
      <c r="BX253" s="194"/>
      <c r="CC253" s="194"/>
      <c r="CD253" s="3410"/>
      <c r="CE253" s="3410"/>
      <c r="CF253" s="3410"/>
      <c r="CG253" s="3410"/>
      <c r="CH253" s="3412"/>
      <c r="CM253" s="194"/>
      <c r="CR253" s="194"/>
      <c r="CS253" s="194"/>
      <c r="CT253" s="194"/>
      <c r="DB253" s="1226"/>
    </row>
    <row r="254" spans="1:106" s="212" customFormat="1" x14ac:dyDescent="0.2">
      <c r="A254" s="1434" t="s">
        <v>1930</v>
      </c>
      <c r="B254" s="234"/>
      <c r="C254" s="234"/>
      <c r="D254" s="234"/>
      <c r="E254" s="234"/>
      <c r="F254" s="234"/>
      <c r="G254" s="234"/>
      <c r="H254" s="234"/>
      <c r="I254" s="234"/>
      <c r="J254" s="234"/>
      <c r="K254" s="236"/>
      <c r="L254" s="234"/>
      <c r="M254" s="234"/>
      <c r="N254" s="234"/>
      <c r="O254" s="234"/>
      <c r="P254" s="234"/>
      <c r="Q254" s="234"/>
      <c r="R254" s="234"/>
      <c r="S254" s="234"/>
      <c r="T254" s="234"/>
      <c r="U254" s="236"/>
      <c r="V254" s="234"/>
      <c r="W254" s="234"/>
      <c r="X254" s="234"/>
      <c r="Y254" s="234"/>
      <c r="Z254" s="236"/>
      <c r="AA254" s="234"/>
      <c r="AB254" s="234"/>
      <c r="AC254" s="234"/>
      <c r="AD254" s="234"/>
      <c r="AE254" s="236"/>
      <c r="AF254" s="234"/>
      <c r="AG254" s="234"/>
      <c r="AH254" s="234"/>
      <c r="AI254" s="234"/>
      <c r="AJ254" s="236"/>
      <c r="AK254" s="234"/>
      <c r="AL254" s="234"/>
      <c r="AM254" s="234"/>
      <c r="AN254" s="234"/>
      <c r="AO254" s="236"/>
      <c r="AP254" s="1531"/>
      <c r="AQ254" s="1531"/>
      <c r="AR254" s="1531"/>
      <c r="AS254" s="1531"/>
      <c r="AT254" s="1530"/>
      <c r="AU254" s="1546"/>
      <c r="AV254" s="1546"/>
      <c r="AW254" s="1546"/>
      <c r="AX254" s="1546"/>
      <c r="AY254" s="1545"/>
      <c r="AZ254" s="1546"/>
      <c r="BA254" s="1546"/>
      <c r="BB254" s="1546"/>
      <c r="BC254" s="1546"/>
      <c r="BD254" s="1545"/>
      <c r="BE254" s="1546"/>
      <c r="BF254" s="1546"/>
      <c r="BG254" s="1546"/>
      <c r="BH254" s="1546"/>
      <c r="BI254" s="1545"/>
      <c r="BJ254" s="1531"/>
      <c r="BK254" s="1531"/>
      <c r="BL254" s="1531"/>
      <c r="BM254" s="1531"/>
      <c r="BN254" s="194"/>
      <c r="BS254" s="194"/>
      <c r="BX254" s="194"/>
      <c r="BY254" s="1703">
        <f>+CD254/(1+CD255)</f>
        <v>88.835616438356169</v>
      </c>
      <c r="BZ254" s="1703">
        <f>+CE254/(1+CE255)</f>
        <v>125.27859237536657</v>
      </c>
      <c r="CA254" s="1703">
        <f>+CF254/(1+CF255)</f>
        <v>128.88223552894209</v>
      </c>
      <c r="CB254" s="1703">
        <f>+CG254/(1+CG255)</f>
        <v>108.39724680432646</v>
      </c>
      <c r="CC254" s="1704">
        <f>+CH254/(1+CH255)</f>
        <v>113.03747534516765</v>
      </c>
      <c r="CD254" s="3130">
        <v>90.79</v>
      </c>
      <c r="CE254" s="3130">
        <v>128.16</v>
      </c>
      <c r="CF254" s="3130">
        <v>129.13999999999999</v>
      </c>
      <c r="CG254" s="3130">
        <v>110.24</v>
      </c>
      <c r="CH254" s="3131">
        <v>114.62</v>
      </c>
      <c r="CM254" s="194"/>
      <c r="CR254" s="194"/>
      <c r="CS254" s="194"/>
      <c r="CT254" s="194"/>
      <c r="DB254" s="1226"/>
    </row>
    <row r="255" spans="1:106" s="212" customFormat="1" x14ac:dyDescent="0.2">
      <c r="A255" s="1595" t="s">
        <v>652</v>
      </c>
      <c r="B255" s="234"/>
      <c r="C255" s="234"/>
      <c r="D255" s="234"/>
      <c r="E255" s="234"/>
      <c r="F255" s="234"/>
      <c r="G255" s="234"/>
      <c r="H255" s="234"/>
      <c r="I255" s="234"/>
      <c r="J255" s="234"/>
      <c r="K255" s="236"/>
      <c r="L255" s="234"/>
      <c r="M255" s="234"/>
      <c r="N255" s="234"/>
      <c r="O255" s="234"/>
      <c r="P255" s="234"/>
      <c r="Q255" s="234"/>
      <c r="R255" s="234"/>
      <c r="S255" s="234"/>
      <c r="T255" s="234"/>
      <c r="U255" s="236"/>
      <c r="V255" s="234"/>
      <c r="W255" s="234"/>
      <c r="X255" s="234"/>
      <c r="Y255" s="234"/>
      <c r="Z255" s="236"/>
      <c r="AA255" s="234"/>
      <c r="AB255" s="234"/>
      <c r="AC255" s="234"/>
      <c r="AD255" s="234"/>
      <c r="AE255" s="236"/>
      <c r="AF255" s="234"/>
      <c r="AG255" s="234"/>
      <c r="AH255" s="234"/>
      <c r="AI255" s="234"/>
      <c r="AJ255" s="236"/>
      <c r="AK255" s="234"/>
      <c r="AL255" s="234"/>
      <c r="AM255" s="234"/>
      <c r="AN255" s="234"/>
      <c r="AO255" s="236"/>
      <c r="AP255" s="1531"/>
      <c r="AQ255" s="1531"/>
      <c r="AR255" s="1531"/>
      <c r="AS255" s="1531"/>
      <c r="AT255" s="1530"/>
      <c r="AU255" s="1546"/>
      <c r="AV255" s="1546"/>
      <c r="AW255" s="1546"/>
      <c r="AX255" s="1546"/>
      <c r="AY255" s="1545"/>
      <c r="AZ255" s="1546"/>
      <c r="BA255" s="1546"/>
      <c r="BB255" s="1546"/>
      <c r="BC255" s="1546"/>
      <c r="BD255" s="1545"/>
      <c r="BE255" s="1546"/>
      <c r="BF255" s="1546"/>
      <c r="BG255" s="1546"/>
      <c r="BH255" s="1546"/>
      <c r="BI255" s="1545"/>
      <c r="BJ255" s="1531"/>
      <c r="BK255" s="1531"/>
      <c r="BL255" s="1531"/>
      <c r="BM255" s="1531"/>
      <c r="BN255" s="194"/>
      <c r="BS255" s="194"/>
      <c r="BX255" s="194"/>
      <c r="CC255" s="194"/>
      <c r="CD255" s="3410">
        <v>2.1999999999999999E-2</v>
      </c>
      <c r="CE255" s="3410">
        <v>2.3E-2</v>
      </c>
      <c r="CF255" s="3410">
        <v>2E-3</v>
      </c>
      <c r="CG255" s="3410">
        <v>1.7000000000000001E-2</v>
      </c>
      <c r="CH255" s="3412">
        <v>1.4E-2</v>
      </c>
      <c r="CM255" s="194"/>
      <c r="CR255" s="194"/>
      <c r="CS255" s="194"/>
      <c r="CT255" s="194"/>
      <c r="DB255" s="1226"/>
    </row>
    <row r="256" spans="1:106" s="212" customFormat="1" ht="3.95" customHeight="1" x14ac:dyDescent="0.2">
      <c r="A256" s="1595"/>
      <c r="B256" s="234"/>
      <c r="C256" s="234"/>
      <c r="D256" s="234"/>
      <c r="E256" s="234"/>
      <c r="F256" s="234"/>
      <c r="G256" s="234"/>
      <c r="H256" s="234"/>
      <c r="I256" s="234"/>
      <c r="J256" s="234"/>
      <c r="K256" s="236"/>
      <c r="L256" s="234"/>
      <c r="M256" s="234"/>
      <c r="N256" s="234"/>
      <c r="O256" s="234"/>
      <c r="P256" s="234"/>
      <c r="Q256" s="234"/>
      <c r="R256" s="234"/>
      <c r="S256" s="234"/>
      <c r="T256" s="234"/>
      <c r="U256" s="236"/>
      <c r="V256" s="234"/>
      <c r="W256" s="234"/>
      <c r="X256" s="234"/>
      <c r="Y256" s="234"/>
      <c r="Z256" s="236"/>
      <c r="AA256" s="234"/>
      <c r="AB256" s="234"/>
      <c r="AC256" s="234"/>
      <c r="AD256" s="234"/>
      <c r="AE256" s="236"/>
      <c r="AF256" s="234"/>
      <c r="AG256" s="234"/>
      <c r="AH256" s="234"/>
      <c r="AI256" s="234"/>
      <c r="AJ256" s="236"/>
      <c r="AK256" s="234"/>
      <c r="AL256" s="234"/>
      <c r="AM256" s="234"/>
      <c r="AN256" s="234"/>
      <c r="AO256" s="236"/>
      <c r="AP256" s="1531"/>
      <c r="AQ256" s="1531"/>
      <c r="AR256" s="1531"/>
      <c r="AS256" s="1531"/>
      <c r="AT256" s="1530"/>
      <c r="AU256" s="1546"/>
      <c r="AV256" s="1546"/>
      <c r="AW256" s="1546"/>
      <c r="AX256" s="1546"/>
      <c r="AY256" s="1545"/>
      <c r="AZ256" s="1546"/>
      <c r="BA256" s="1546"/>
      <c r="BB256" s="1546"/>
      <c r="BC256" s="1546"/>
      <c r="BD256" s="1545"/>
      <c r="BE256" s="1546"/>
      <c r="BF256" s="1546"/>
      <c r="BG256" s="1546"/>
      <c r="BH256" s="1546"/>
      <c r="BI256" s="1545"/>
      <c r="BJ256" s="1531"/>
      <c r="BK256" s="1531"/>
      <c r="BL256" s="1531"/>
      <c r="BM256" s="1531"/>
      <c r="BN256" s="194"/>
      <c r="BS256" s="194"/>
      <c r="BX256" s="194"/>
      <c r="CC256" s="194"/>
      <c r="CD256" s="3410"/>
      <c r="CE256" s="3410"/>
      <c r="CF256" s="3410"/>
      <c r="CG256" s="3410"/>
      <c r="CH256" s="3412"/>
      <c r="CM256" s="194"/>
      <c r="CR256" s="194"/>
      <c r="CS256" s="194"/>
      <c r="CT256" s="194"/>
      <c r="DB256" s="1226"/>
    </row>
    <row r="257" spans="1:106" s="212" customFormat="1" x14ac:dyDescent="0.2">
      <c r="A257" s="1434" t="s">
        <v>1645</v>
      </c>
      <c r="B257" s="234"/>
      <c r="C257" s="234"/>
      <c r="D257" s="234"/>
      <c r="E257" s="234"/>
      <c r="F257" s="234"/>
      <c r="G257" s="234"/>
      <c r="H257" s="234"/>
      <c r="I257" s="234"/>
      <c r="J257" s="234"/>
      <c r="K257" s="236"/>
      <c r="L257" s="234"/>
      <c r="M257" s="234"/>
      <c r="N257" s="234"/>
      <c r="O257" s="234"/>
      <c r="P257" s="234"/>
      <c r="Q257" s="234"/>
      <c r="R257" s="234"/>
      <c r="S257" s="234"/>
      <c r="T257" s="234"/>
      <c r="U257" s="236"/>
      <c r="V257" s="234"/>
      <c r="W257" s="234"/>
      <c r="X257" s="234"/>
      <c r="Y257" s="234"/>
      <c r="Z257" s="236"/>
      <c r="AA257" s="234"/>
      <c r="AB257" s="234"/>
      <c r="AC257" s="234"/>
      <c r="AD257" s="234"/>
      <c r="AE257" s="236"/>
      <c r="AF257" s="234"/>
      <c r="AG257" s="234"/>
      <c r="AH257" s="234"/>
      <c r="AI257" s="234"/>
      <c r="AJ257" s="236"/>
      <c r="AK257" s="234"/>
      <c r="AL257" s="234"/>
      <c r="AM257" s="234"/>
      <c r="AN257" s="234"/>
      <c r="AO257" s="236"/>
      <c r="AP257" s="1531"/>
      <c r="AQ257" s="1531"/>
      <c r="AR257" s="1531"/>
      <c r="AS257" s="1531"/>
      <c r="AT257" s="1530"/>
      <c r="AU257" s="1546"/>
      <c r="AV257" s="1546"/>
      <c r="AW257" s="1546"/>
      <c r="AX257" s="1546"/>
      <c r="AY257" s="1545"/>
      <c r="AZ257" s="1546"/>
      <c r="BA257" s="1546"/>
      <c r="BB257" s="1546"/>
      <c r="BC257" s="1546"/>
      <c r="BD257" s="1545"/>
      <c r="BE257" s="1546"/>
      <c r="BF257" s="1546"/>
      <c r="BG257" s="1546"/>
      <c r="BH257" s="1546"/>
      <c r="BI257" s="1545"/>
      <c r="BJ257" s="1531"/>
      <c r="BK257" s="1531"/>
      <c r="BL257" s="1531"/>
      <c r="BM257" s="1531"/>
      <c r="BN257" s="194"/>
      <c r="BS257" s="194"/>
      <c r="BX257" s="194"/>
      <c r="BY257" s="1703">
        <f>+CD257/(1+CD258)</f>
        <v>118.81844669948759</v>
      </c>
      <c r="BZ257" s="1703">
        <f>+CE257/(1+CE258)</f>
        <v>101.39254385964912</v>
      </c>
      <c r="CA257" s="1703">
        <f>+CF257/(1+CF258)</f>
        <v>82.57650542941758</v>
      </c>
      <c r="CB257" s="1703">
        <f>+CG257/(1+CG258)</f>
        <v>115.27805864509607</v>
      </c>
      <c r="CC257" s="1704">
        <f>+CH257/(1+CH258)</f>
        <v>105.79274611398965</v>
      </c>
      <c r="CD257" s="3130">
        <v>118.26</v>
      </c>
      <c r="CE257" s="3130">
        <v>92.47</v>
      </c>
      <c r="CF257" s="3130">
        <v>83.65</v>
      </c>
      <c r="CG257" s="3130">
        <v>114.01</v>
      </c>
      <c r="CH257" s="3131">
        <v>102.09</v>
      </c>
      <c r="CM257" s="194"/>
      <c r="CR257" s="194"/>
      <c r="CS257" s="194"/>
      <c r="CT257" s="194"/>
      <c r="DB257" s="1226"/>
    </row>
    <row r="258" spans="1:106" s="212" customFormat="1" x14ac:dyDescent="0.2">
      <c r="A258" s="1595" t="s">
        <v>652</v>
      </c>
      <c r="B258" s="234"/>
      <c r="C258" s="234"/>
      <c r="D258" s="234"/>
      <c r="E258" s="234"/>
      <c r="F258" s="234"/>
      <c r="G258" s="234"/>
      <c r="H258" s="234"/>
      <c r="I258" s="234"/>
      <c r="J258" s="234"/>
      <c r="K258" s="236"/>
      <c r="L258" s="234"/>
      <c r="M258" s="234"/>
      <c r="N258" s="234"/>
      <c r="O258" s="234"/>
      <c r="P258" s="234"/>
      <c r="Q258" s="234"/>
      <c r="R258" s="234"/>
      <c r="S258" s="234"/>
      <c r="T258" s="234"/>
      <c r="U258" s="236"/>
      <c r="V258" s="234"/>
      <c r="W258" s="234"/>
      <c r="X258" s="234"/>
      <c r="Y258" s="234"/>
      <c r="Z258" s="236"/>
      <c r="AA258" s="234"/>
      <c r="AB258" s="234"/>
      <c r="AC258" s="234"/>
      <c r="AD258" s="234"/>
      <c r="AE258" s="236"/>
      <c r="AF258" s="234"/>
      <c r="AG258" s="234"/>
      <c r="AH258" s="234"/>
      <c r="AI258" s="234"/>
      <c r="AJ258" s="236"/>
      <c r="AK258" s="234"/>
      <c r="AL258" s="234"/>
      <c r="AM258" s="234"/>
      <c r="AN258" s="234"/>
      <c r="AO258" s="236"/>
      <c r="AP258" s="1531"/>
      <c r="AQ258" s="1531"/>
      <c r="AR258" s="1531"/>
      <c r="AS258" s="1531"/>
      <c r="AT258" s="1530"/>
      <c r="AU258" s="1546"/>
      <c r="AV258" s="1546"/>
      <c r="AW258" s="1546"/>
      <c r="AX258" s="1546"/>
      <c r="AY258" s="1545"/>
      <c r="AZ258" s="1546"/>
      <c r="BA258" s="1546"/>
      <c r="BB258" s="1546"/>
      <c r="BC258" s="1546"/>
      <c r="BD258" s="1545"/>
      <c r="BE258" s="1546"/>
      <c r="BF258" s="1546"/>
      <c r="BG258" s="1546"/>
      <c r="BH258" s="1546"/>
      <c r="BI258" s="1545"/>
      <c r="BJ258" s="1531"/>
      <c r="BK258" s="1531"/>
      <c r="BL258" s="1531"/>
      <c r="BM258" s="1531"/>
      <c r="BN258" s="194"/>
      <c r="BS258" s="194"/>
      <c r="BX258" s="194"/>
      <c r="CC258" s="194"/>
      <c r="CD258" s="3410">
        <v>-4.7000000000000002E-3</v>
      </c>
      <c r="CE258" s="3410">
        <v>-8.7999999999999995E-2</v>
      </c>
      <c r="CF258" s="3410">
        <v>1.2999999999999999E-2</v>
      </c>
      <c r="CG258" s="3410">
        <v>-1.0999999999999999E-2</v>
      </c>
      <c r="CH258" s="3412">
        <v>-3.5000000000000003E-2</v>
      </c>
      <c r="CM258" s="194"/>
      <c r="CR258" s="194"/>
      <c r="CS258" s="194"/>
      <c r="CT258" s="194"/>
      <c r="DB258" s="1226"/>
    </row>
    <row r="259" spans="1:106" s="212" customFormat="1" ht="3.95" customHeight="1" x14ac:dyDescent="0.2">
      <c r="A259" s="1595"/>
      <c r="B259" s="234"/>
      <c r="C259" s="234"/>
      <c r="D259" s="234"/>
      <c r="E259" s="234"/>
      <c r="F259" s="234"/>
      <c r="G259" s="234"/>
      <c r="H259" s="234"/>
      <c r="I259" s="234"/>
      <c r="J259" s="234"/>
      <c r="K259" s="236"/>
      <c r="L259" s="234"/>
      <c r="M259" s="234"/>
      <c r="N259" s="234"/>
      <c r="O259" s="234"/>
      <c r="P259" s="234"/>
      <c r="Q259" s="234"/>
      <c r="R259" s="234"/>
      <c r="S259" s="234"/>
      <c r="T259" s="234"/>
      <c r="U259" s="236"/>
      <c r="V259" s="234"/>
      <c r="W259" s="234"/>
      <c r="X259" s="234"/>
      <c r="Y259" s="234"/>
      <c r="Z259" s="236"/>
      <c r="AA259" s="234"/>
      <c r="AB259" s="234"/>
      <c r="AC259" s="234"/>
      <c r="AD259" s="234"/>
      <c r="AE259" s="236"/>
      <c r="AF259" s="234"/>
      <c r="AG259" s="234"/>
      <c r="AH259" s="234"/>
      <c r="AI259" s="234"/>
      <c r="AJ259" s="236"/>
      <c r="AK259" s="234"/>
      <c r="AL259" s="234"/>
      <c r="AM259" s="234"/>
      <c r="AN259" s="234"/>
      <c r="AO259" s="236"/>
      <c r="AP259" s="1531"/>
      <c r="AQ259" s="1531"/>
      <c r="AR259" s="1531"/>
      <c r="AS259" s="1531"/>
      <c r="AT259" s="1530"/>
      <c r="AU259" s="1546"/>
      <c r="AV259" s="1546"/>
      <c r="AW259" s="1546"/>
      <c r="AX259" s="1546"/>
      <c r="AY259" s="1545"/>
      <c r="AZ259" s="1546"/>
      <c r="BA259" s="1546"/>
      <c r="BB259" s="1546"/>
      <c r="BC259" s="1546"/>
      <c r="BD259" s="1545"/>
      <c r="BE259" s="1546"/>
      <c r="BF259" s="1546"/>
      <c r="BG259" s="1546"/>
      <c r="BH259" s="1546"/>
      <c r="BI259" s="1545"/>
      <c r="BJ259" s="1531"/>
      <c r="BK259" s="1531"/>
      <c r="BL259" s="1531"/>
      <c r="BM259" s="1531"/>
      <c r="BN259" s="194"/>
      <c r="BS259" s="194"/>
      <c r="BX259" s="194"/>
      <c r="CC259" s="194"/>
      <c r="CD259" s="3410"/>
      <c r="CE259" s="3410"/>
      <c r="CF259" s="3410"/>
      <c r="CG259" s="3410"/>
      <c r="CH259" s="3412"/>
      <c r="CM259" s="194"/>
      <c r="CR259" s="194"/>
      <c r="CS259" s="194"/>
      <c r="CT259" s="194"/>
      <c r="DB259" s="1226"/>
    </row>
    <row r="260" spans="1:106" s="212" customFormat="1" x14ac:dyDescent="0.2">
      <c r="A260" s="1434" t="s">
        <v>808</v>
      </c>
      <c r="B260" s="234"/>
      <c r="C260" s="234"/>
      <c r="D260" s="234"/>
      <c r="E260" s="234"/>
      <c r="F260" s="234"/>
      <c r="G260" s="234"/>
      <c r="H260" s="234"/>
      <c r="I260" s="234"/>
      <c r="J260" s="234"/>
      <c r="K260" s="236"/>
      <c r="L260" s="234"/>
      <c r="M260" s="234"/>
      <c r="N260" s="234"/>
      <c r="O260" s="234"/>
      <c r="P260" s="234"/>
      <c r="Q260" s="234"/>
      <c r="R260" s="234"/>
      <c r="S260" s="234"/>
      <c r="T260" s="234"/>
      <c r="U260" s="236"/>
      <c r="V260" s="234"/>
      <c r="W260" s="234"/>
      <c r="X260" s="234"/>
      <c r="Y260" s="234"/>
      <c r="Z260" s="236"/>
      <c r="AA260" s="234"/>
      <c r="AB260" s="234"/>
      <c r="AC260" s="234"/>
      <c r="AD260" s="234"/>
      <c r="AE260" s="236"/>
      <c r="AF260" s="234"/>
      <c r="AG260" s="234"/>
      <c r="AH260" s="234"/>
      <c r="AI260" s="234"/>
      <c r="AJ260" s="236"/>
      <c r="AK260" s="234"/>
      <c r="AL260" s="234"/>
      <c r="AM260" s="234"/>
      <c r="AN260" s="234"/>
      <c r="AO260" s="236"/>
      <c r="AP260" s="1531"/>
      <c r="AQ260" s="1531"/>
      <c r="AR260" s="1531"/>
      <c r="AS260" s="1531"/>
      <c r="AT260" s="1530"/>
      <c r="AU260" s="1546"/>
      <c r="AV260" s="1546"/>
      <c r="AW260" s="1546"/>
      <c r="AX260" s="1546"/>
      <c r="AY260" s="1545"/>
      <c r="AZ260" s="1546"/>
      <c r="BA260" s="1546"/>
      <c r="BB260" s="1546"/>
      <c r="BC260" s="1546"/>
      <c r="BD260" s="1545"/>
      <c r="BE260" s="1546"/>
      <c r="BF260" s="1546"/>
      <c r="BG260" s="1546"/>
      <c r="BH260" s="1546"/>
      <c r="BI260" s="1545"/>
      <c r="BJ260" s="1531"/>
      <c r="BK260" s="1531"/>
      <c r="BL260" s="1531"/>
      <c r="BM260" s="1531"/>
      <c r="BN260" s="194"/>
      <c r="BS260" s="194"/>
      <c r="BX260" s="194"/>
      <c r="BY260" s="1703">
        <f>+CD260/(1+CD261)</f>
        <v>94.278846153846146</v>
      </c>
      <c r="BZ260" s="1703">
        <f>+CE260/(1+CE261)</f>
        <v>94.278704612365061</v>
      </c>
      <c r="CA260" s="1703">
        <f>+CF260/(1+CF261)</f>
        <v>98.747534516765285</v>
      </c>
      <c r="CB260" s="1703">
        <f>+CG260/(1+CG261)</f>
        <v>102.9692154915591</v>
      </c>
      <c r="CC260" s="1704">
        <f>+CH260/(1+CH261)</f>
        <v>97.549019607843135</v>
      </c>
      <c r="CD260" s="3130">
        <v>98.05</v>
      </c>
      <c r="CE260" s="3130">
        <v>96.07</v>
      </c>
      <c r="CF260" s="3130">
        <v>100.13</v>
      </c>
      <c r="CG260" s="3130">
        <v>103.69</v>
      </c>
      <c r="CH260" s="3131">
        <v>99.5</v>
      </c>
      <c r="CM260" s="194"/>
      <c r="CR260" s="194"/>
      <c r="CS260" s="194"/>
      <c r="CT260" s="194"/>
      <c r="DB260" s="1226"/>
    </row>
    <row r="261" spans="1:106" s="212" customFormat="1" x14ac:dyDescent="0.2">
      <c r="A261" s="1595" t="s">
        <v>652</v>
      </c>
      <c r="B261" s="234"/>
      <c r="C261" s="234"/>
      <c r="D261" s="234"/>
      <c r="E261" s="234"/>
      <c r="F261" s="234"/>
      <c r="G261" s="234"/>
      <c r="H261" s="234"/>
      <c r="I261" s="234"/>
      <c r="J261" s="234"/>
      <c r="K261" s="236"/>
      <c r="L261" s="234"/>
      <c r="M261" s="234"/>
      <c r="N261" s="234"/>
      <c r="O261" s="234"/>
      <c r="P261" s="234"/>
      <c r="Q261" s="234"/>
      <c r="R261" s="234"/>
      <c r="S261" s="234"/>
      <c r="T261" s="234"/>
      <c r="U261" s="236"/>
      <c r="V261" s="234"/>
      <c r="W261" s="234"/>
      <c r="X261" s="234"/>
      <c r="Y261" s="234"/>
      <c r="Z261" s="236"/>
      <c r="AA261" s="234"/>
      <c r="AB261" s="234"/>
      <c r="AC261" s="234"/>
      <c r="AD261" s="234"/>
      <c r="AE261" s="236"/>
      <c r="AF261" s="234"/>
      <c r="AG261" s="234"/>
      <c r="AH261" s="234"/>
      <c r="AI261" s="234"/>
      <c r="AJ261" s="236"/>
      <c r="AK261" s="234"/>
      <c r="AL261" s="234"/>
      <c r="AM261" s="234"/>
      <c r="AN261" s="234"/>
      <c r="AO261" s="236"/>
      <c r="AP261" s="1531"/>
      <c r="AQ261" s="1531"/>
      <c r="AR261" s="1531"/>
      <c r="AS261" s="1531"/>
      <c r="AT261" s="1530"/>
      <c r="AU261" s="1546"/>
      <c r="AV261" s="1546"/>
      <c r="AW261" s="1546"/>
      <c r="AX261" s="1546"/>
      <c r="AY261" s="1545"/>
      <c r="AZ261" s="1546"/>
      <c r="BA261" s="1546"/>
      <c r="BB261" s="1546"/>
      <c r="BC261" s="1546"/>
      <c r="BD261" s="1545"/>
      <c r="BE261" s="1546"/>
      <c r="BF261" s="1546"/>
      <c r="BG261" s="1546"/>
      <c r="BH261" s="1546"/>
      <c r="BI261" s="1545"/>
      <c r="BJ261" s="1531"/>
      <c r="BK261" s="1531"/>
      <c r="BL261" s="1531"/>
      <c r="BM261" s="1531"/>
      <c r="BN261" s="194"/>
      <c r="BS261" s="194"/>
      <c r="BX261" s="194"/>
      <c r="CC261" s="194"/>
      <c r="CD261" s="3410">
        <v>0.04</v>
      </c>
      <c r="CE261" s="3410">
        <v>1.9E-2</v>
      </c>
      <c r="CF261" s="3410">
        <v>1.4E-2</v>
      </c>
      <c r="CG261" s="3410">
        <v>7.0000000000000001E-3</v>
      </c>
      <c r="CH261" s="3412">
        <v>0.02</v>
      </c>
      <c r="CM261" s="194"/>
      <c r="CR261" s="194"/>
      <c r="CS261" s="194"/>
      <c r="CT261" s="194"/>
      <c r="DB261" s="1226"/>
    </row>
    <row r="262" spans="1:106" s="212" customFormat="1" ht="3.95" customHeight="1" x14ac:dyDescent="0.2">
      <c r="A262" s="1595"/>
      <c r="B262" s="234"/>
      <c r="C262" s="234"/>
      <c r="D262" s="234"/>
      <c r="E262" s="234"/>
      <c r="F262" s="234"/>
      <c r="G262" s="234"/>
      <c r="H262" s="234"/>
      <c r="I262" s="234"/>
      <c r="J262" s="234"/>
      <c r="K262" s="236"/>
      <c r="L262" s="234"/>
      <c r="M262" s="234"/>
      <c r="N262" s="234"/>
      <c r="O262" s="234"/>
      <c r="P262" s="234"/>
      <c r="Q262" s="234"/>
      <c r="R262" s="234"/>
      <c r="S262" s="234"/>
      <c r="T262" s="234"/>
      <c r="U262" s="236"/>
      <c r="V262" s="234"/>
      <c r="W262" s="234"/>
      <c r="X262" s="234"/>
      <c r="Y262" s="234"/>
      <c r="Z262" s="236"/>
      <c r="AA262" s="234"/>
      <c r="AB262" s="234"/>
      <c r="AC262" s="234"/>
      <c r="AD262" s="234"/>
      <c r="AE262" s="236"/>
      <c r="AF262" s="234"/>
      <c r="AG262" s="234"/>
      <c r="AH262" s="234"/>
      <c r="AI262" s="234"/>
      <c r="AJ262" s="236"/>
      <c r="AK262" s="234"/>
      <c r="AL262" s="234"/>
      <c r="AM262" s="234"/>
      <c r="AN262" s="234"/>
      <c r="AO262" s="236"/>
      <c r="AP262" s="1531"/>
      <c r="AQ262" s="1531"/>
      <c r="AR262" s="1531"/>
      <c r="AS262" s="1531"/>
      <c r="AT262" s="1530"/>
      <c r="AU262" s="1546"/>
      <c r="AV262" s="1546"/>
      <c r="AW262" s="1546"/>
      <c r="AX262" s="1546"/>
      <c r="AY262" s="1545"/>
      <c r="AZ262" s="1546"/>
      <c r="BA262" s="1546"/>
      <c r="BB262" s="1546"/>
      <c r="BC262" s="1546"/>
      <c r="BD262" s="1545"/>
      <c r="BE262" s="1546"/>
      <c r="BF262" s="1546"/>
      <c r="BG262" s="1546"/>
      <c r="BH262" s="1546"/>
      <c r="BI262" s="1545"/>
      <c r="BJ262" s="1531"/>
      <c r="BK262" s="1531"/>
      <c r="BL262" s="1531"/>
      <c r="BM262" s="1531"/>
      <c r="BN262" s="194"/>
      <c r="BS262" s="194"/>
      <c r="BX262" s="194"/>
      <c r="CC262" s="194"/>
      <c r="CD262" s="3410"/>
      <c r="CE262" s="3410"/>
      <c r="CF262" s="3410"/>
      <c r="CG262" s="3410"/>
      <c r="CH262" s="3412"/>
      <c r="CM262" s="194"/>
      <c r="CR262" s="194"/>
      <c r="CS262" s="194"/>
      <c r="CT262" s="194"/>
      <c r="DB262" s="1226"/>
    </row>
    <row r="263" spans="1:106" s="212" customFormat="1" x14ac:dyDescent="0.2">
      <c r="A263" s="331" t="s">
        <v>556</v>
      </c>
      <c r="B263" s="1441"/>
      <c r="C263" s="1441"/>
      <c r="D263" s="1441"/>
      <c r="E263" s="1441"/>
      <c r="F263" s="1440"/>
      <c r="G263" s="1441"/>
      <c r="H263" s="1441"/>
      <c r="I263" s="1441"/>
      <c r="J263" s="1441"/>
      <c r="K263" s="1440"/>
      <c r="L263" s="1441"/>
      <c r="M263" s="1441"/>
      <c r="N263" s="1441"/>
      <c r="O263" s="1441"/>
      <c r="P263" s="1440"/>
      <c r="Q263" s="1441"/>
      <c r="R263" s="1441"/>
      <c r="S263" s="1441"/>
      <c r="T263" s="1441"/>
      <c r="U263" s="1440"/>
      <c r="V263" s="1441"/>
      <c r="W263" s="1441"/>
      <c r="X263" s="1441"/>
      <c r="Y263" s="1441"/>
      <c r="Z263" s="1440"/>
      <c r="AA263" s="1441"/>
      <c r="AB263" s="1441"/>
      <c r="AC263" s="1441"/>
      <c r="AD263" s="1441"/>
      <c r="AE263" s="1440"/>
      <c r="AF263" s="1441"/>
      <c r="AG263" s="1441"/>
      <c r="AH263" s="1441"/>
      <c r="AI263" s="1441"/>
      <c r="AJ263" s="1440"/>
      <c r="AK263" s="1441"/>
      <c r="AL263" s="1441"/>
      <c r="AM263" s="1441"/>
      <c r="AN263" s="1441"/>
      <c r="AO263" s="1440"/>
      <c r="AP263" s="1550"/>
      <c r="AQ263" s="1550"/>
      <c r="AR263" s="1550"/>
      <c r="AS263" s="1550"/>
      <c r="AT263" s="1551"/>
      <c r="AU263" s="1550"/>
      <c r="AV263" s="1550"/>
      <c r="AW263" s="1550"/>
      <c r="AX263" s="1550"/>
      <c r="AY263" s="1551"/>
      <c r="AZ263" s="1550"/>
      <c r="BA263" s="1550"/>
      <c r="BB263" s="1550"/>
      <c r="BC263" s="1550"/>
      <c r="BD263" s="1551"/>
      <c r="BE263" s="1992"/>
      <c r="BF263" s="1992"/>
      <c r="BG263" s="1992"/>
      <c r="BH263" s="1992"/>
      <c r="BI263" s="1551"/>
      <c r="BJ263" s="1992"/>
      <c r="BK263" s="1992"/>
      <c r="BL263" s="1992"/>
      <c r="BM263" s="1992"/>
      <c r="BN263" s="1551"/>
      <c r="BO263" s="1992"/>
      <c r="BP263" s="1992"/>
      <c r="BQ263" s="1992"/>
      <c r="BR263" s="1992"/>
      <c r="BS263" s="1551"/>
      <c r="BT263" s="1992"/>
      <c r="BU263" s="1992"/>
      <c r="BV263" s="1992"/>
      <c r="BW263" s="1992"/>
      <c r="BX263" s="1551"/>
      <c r="BY263" s="1550">
        <f>+CD263/(1+CD264)</f>
        <v>102.95275590551181</v>
      </c>
      <c r="BZ263" s="1550">
        <f>+CE263/(1+CE264)</f>
        <v>107.33733733733735</v>
      </c>
      <c r="CA263" s="1550">
        <f>+CF263/(1+CF264)</f>
        <v>105.3960396039604</v>
      </c>
      <c r="CB263" s="1550">
        <f>+CG263/(1+CG264)</f>
        <v>107.06586826347305</v>
      </c>
      <c r="CC263" s="1551">
        <f>+CH263/(1+CH264)</f>
        <v>105.65044687189673</v>
      </c>
      <c r="CD263" s="3411">
        <v>104.6</v>
      </c>
      <c r="CE263" s="3411">
        <v>107.23</v>
      </c>
      <c r="CF263" s="3411">
        <v>106.45</v>
      </c>
      <c r="CG263" s="3411">
        <v>107.28</v>
      </c>
      <c r="CH263" s="3413">
        <v>106.39</v>
      </c>
      <c r="CI263" s="3414"/>
      <c r="CJ263" s="3414"/>
      <c r="CK263" s="3414"/>
      <c r="CL263" s="3414"/>
      <c r="CM263" s="3415"/>
      <c r="CN263" s="3414"/>
      <c r="CO263" s="3414"/>
      <c r="CP263" s="3414"/>
      <c r="CQ263" s="3414"/>
      <c r="CR263" s="3415"/>
      <c r="CS263" s="3415"/>
      <c r="CT263" s="3415"/>
      <c r="DB263" s="1226"/>
    </row>
    <row r="264" spans="1:106" s="212" customFormat="1" x14ac:dyDescent="0.2">
      <c r="A264" s="1595" t="s">
        <v>652</v>
      </c>
      <c r="B264" s="234"/>
      <c r="C264" s="234"/>
      <c r="D264" s="234"/>
      <c r="E264" s="234"/>
      <c r="F264" s="234"/>
      <c r="G264" s="234"/>
      <c r="H264" s="234"/>
      <c r="I264" s="234"/>
      <c r="J264" s="234"/>
      <c r="K264" s="236"/>
      <c r="L264" s="234"/>
      <c r="M264" s="234"/>
      <c r="N264" s="234"/>
      <c r="O264" s="234"/>
      <c r="P264" s="234"/>
      <c r="Q264" s="234"/>
      <c r="R264" s="234"/>
      <c r="S264" s="234"/>
      <c r="T264" s="234"/>
      <c r="U264" s="236"/>
      <c r="V264" s="234"/>
      <c r="W264" s="234"/>
      <c r="X264" s="234"/>
      <c r="Y264" s="234"/>
      <c r="Z264" s="236"/>
      <c r="AA264" s="234"/>
      <c r="AB264" s="234"/>
      <c r="AC264" s="234"/>
      <c r="AD264" s="234"/>
      <c r="AE264" s="236"/>
      <c r="AF264" s="234"/>
      <c r="AG264" s="234"/>
      <c r="AH264" s="234"/>
      <c r="AI264" s="234"/>
      <c r="AJ264" s="236"/>
      <c r="AK264" s="234"/>
      <c r="AL264" s="234"/>
      <c r="AM264" s="234"/>
      <c r="AN264" s="234"/>
      <c r="AO264" s="236"/>
      <c r="AP264" s="1531"/>
      <c r="AQ264" s="1531"/>
      <c r="AR264" s="1531"/>
      <c r="AS264" s="1531"/>
      <c r="AT264" s="1530"/>
      <c r="AU264" s="1546"/>
      <c r="AV264" s="1546"/>
      <c r="AW264" s="1546"/>
      <c r="AX264" s="1546"/>
      <c r="AY264" s="1545"/>
      <c r="AZ264" s="1546"/>
      <c r="BA264" s="1546"/>
      <c r="BB264" s="1546"/>
      <c r="BC264" s="1546"/>
      <c r="BD264" s="1545"/>
      <c r="BE264" s="1546"/>
      <c r="BF264" s="1546"/>
      <c r="BG264" s="1546"/>
      <c r="BH264" s="1546"/>
      <c r="BI264" s="1545"/>
      <c r="BJ264" s="1531"/>
      <c r="BK264" s="1531"/>
      <c r="BL264" s="1531"/>
      <c r="BM264" s="1531"/>
      <c r="BN264" s="194"/>
      <c r="BS264" s="194"/>
      <c r="BX264" s="194"/>
      <c r="CC264" s="194"/>
      <c r="CD264" s="2884">
        <v>1.6E-2</v>
      </c>
      <c r="CE264" s="2884">
        <v>-1E-3</v>
      </c>
      <c r="CF264" s="2884">
        <v>0.01</v>
      </c>
      <c r="CG264" s="2884">
        <v>2E-3</v>
      </c>
      <c r="CH264" s="2908">
        <v>7.0000000000000001E-3</v>
      </c>
      <c r="CM264" s="194"/>
      <c r="CR264" s="194"/>
      <c r="CS264" s="194"/>
      <c r="CT264" s="194"/>
      <c r="DB264" s="1226"/>
    </row>
    <row r="265" spans="1:106" s="212" customFormat="1" x14ac:dyDescent="0.2">
      <c r="A265" s="1595" t="s">
        <v>359</v>
      </c>
      <c r="B265" s="234"/>
      <c r="C265" s="234"/>
      <c r="D265" s="234"/>
      <c r="E265" s="234"/>
      <c r="F265" s="234"/>
      <c r="G265" s="234"/>
      <c r="H265" s="234"/>
      <c r="I265" s="234"/>
      <c r="J265" s="234"/>
      <c r="K265" s="236"/>
      <c r="L265" s="234"/>
      <c r="M265" s="234"/>
      <c r="N265" s="234"/>
      <c r="O265" s="234"/>
      <c r="P265" s="234"/>
      <c r="Q265" s="234"/>
      <c r="R265" s="234"/>
      <c r="S265" s="234"/>
      <c r="T265" s="234"/>
      <c r="U265" s="236"/>
      <c r="V265" s="234"/>
      <c r="W265" s="234"/>
      <c r="X265" s="234"/>
      <c r="Y265" s="234"/>
      <c r="Z265" s="236"/>
      <c r="AA265" s="234"/>
      <c r="AB265" s="234"/>
      <c r="AC265" s="234"/>
      <c r="AD265" s="234"/>
      <c r="AE265" s="236"/>
      <c r="AF265" s="234"/>
      <c r="AG265" s="234"/>
      <c r="AH265" s="234"/>
      <c r="AI265" s="234"/>
      <c r="AJ265" s="236"/>
      <c r="AK265" s="234"/>
      <c r="AL265" s="234"/>
      <c r="AM265" s="234"/>
      <c r="AN265" s="234"/>
      <c r="AO265" s="236"/>
      <c r="AP265" s="1531"/>
      <c r="AQ265" s="1531"/>
      <c r="AR265" s="1531"/>
      <c r="AS265" s="1531"/>
      <c r="AT265" s="1530"/>
      <c r="AU265" s="1546"/>
      <c r="AV265" s="1546"/>
      <c r="AW265" s="1546"/>
      <c r="AX265" s="1546"/>
      <c r="AY265" s="1545"/>
      <c r="AZ265" s="1546"/>
      <c r="BA265" s="1546"/>
      <c r="BB265" s="1546"/>
      <c r="BC265" s="1546"/>
      <c r="BD265" s="1545"/>
      <c r="BE265" s="1546"/>
      <c r="BF265" s="1546"/>
      <c r="BG265" s="1546"/>
      <c r="BH265" s="1546"/>
      <c r="BI265" s="1545"/>
      <c r="BJ265" s="1531"/>
      <c r="BK265" s="1531"/>
      <c r="BL265" s="1531"/>
      <c r="BM265" s="1531"/>
      <c r="BN265" s="194"/>
      <c r="BS265" s="194"/>
      <c r="BX265" s="194"/>
      <c r="CC265" s="194"/>
      <c r="CH265" s="194"/>
      <c r="CM265" s="194"/>
      <c r="CR265" s="194"/>
      <c r="CS265" s="194"/>
      <c r="CT265" s="194"/>
      <c r="DB265" s="1226"/>
    </row>
    <row r="266" spans="1:106" s="212" customFormat="1" x14ac:dyDescent="0.2">
      <c r="A266" s="1955"/>
      <c r="B266" s="234"/>
      <c r="C266" s="234"/>
      <c r="D266" s="234"/>
      <c r="E266" s="234"/>
      <c r="F266" s="234"/>
      <c r="G266" s="234"/>
      <c r="H266" s="234"/>
      <c r="I266" s="234"/>
      <c r="J266" s="234"/>
      <c r="K266" s="236"/>
      <c r="L266" s="234"/>
      <c r="M266" s="234"/>
      <c r="N266" s="234"/>
      <c r="O266" s="234"/>
      <c r="P266" s="234"/>
      <c r="Q266" s="234"/>
      <c r="R266" s="234"/>
      <c r="S266" s="234"/>
      <c r="T266" s="234"/>
      <c r="U266" s="236"/>
      <c r="V266" s="234"/>
      <c r="W266" s="234"/>
      <c r="X266" s="234"/>
      <c r="Y266" s="234"/>
      <c r="Z266" s="236"/>
      <c r="AA266" s="234"/>
      <c r="AB266" s="234"/>
      <c r="AC266" s="234"/>
      <c r="AD266" s="234"/>
      <c r="AE266" s="236"/>
      <c r="AF266" s="234"/>
      <c r="AG266" s="234"/>
      <c r="AH266" s="234"/>
      <c r="AI266" s="234"/>
      <c r="AJ266" s="236"/>
      <c r="AK266" s="234"/>
      <c r="AL266" s="234"/>
      <c r="AM266" s="234"/>
      <c r="AN266" s="234"/>
      <c r="AO266" s="236"/>
      <c r="AP266" s="1531"/>
      <c r="AQ266" s="1531"/>
      <c r="AR266" s="1531"/>
      <c r="AS266" s="1531"/>
      <c r="AT266" s="1530"/>
      <c r="AU266" s="1546"/>
      <c r="AV266" s="1546"/>
      <c r="AW266" s="1546"/>
      <c r="AX266" s="1546"/>
      <c r="AY266" s="1545"/>
      <c r="AZ266" s="1546"/>
      <c r="BA266" s="1546"/>
      <c r="BB266" s="1546"/>
      <c r="BC266" s="1546"/>
      <c r="BD266" s="1545"/>
      <c r="BE266" s="1546"/>
      <c r="BF266" s="1546"/>
      <c r="BG266" s="1546"/>
      <c r="BH266" s="1546"/>
      <c r="BI266" s="1545"/>
      <c r="BJ266" s="1531"/>
      <c r="BK266" s="1531"/>
      <c r="BL266" s="1531"/>
      <c r="BM266" s="1531"/>
      <c r="BN266" s="194"/>
      <c r="BS266" s="194"/>
      <c r="BX266" s="194"/>
      <c r="CC266" s="194"/>
      <c r="CH266" s="194"/>
      <c r="CM266" s="194"/>
      <c r="CR266" s="194"/>
      <c r="CS266" s="194"/>
      <c r="CT266" s="194"/>
      <c r="DB266" s="1226"/>
    </row>
    <row r="267" spans="1:106" s="212" customFormat="1" x14ac:dyDescent="0.2">
      <c r="A267" s="1955"/>
      <c r="B267" s="234"/>
      <c r="C267" s="234"/>
      <c r="D267" s="234"/>
      <c r="E267" s="234"/>
      <c r="F267" s="234"/>
      <c r="G267" s="234"/>
      <c r="H267" s="234"/>
      <c r="I267" s="234"/>
      <c r="J267" s="234"/>
      <c r="K267" s="236"/>
      <c r="L267" s="234"/>
      <c r="M267" s="234"/>
      <c r="N267" s="234"/>
      <c r="O267" s="234"/>
      <c r="P267" s="234"/>
      <c r="Q267" s="234"/>
      <c r="R267" s="234"/>
      <c r="S267" s="234"/>
      <c r="T267" s="234"/>
      <c r="U267" s="236"/>
      <c r="V267" s="234"/>
      <c r="W267" s="234"/>
      <c r="X267" s="234"/>
      <c r="Y267" s="234"/>
      <c r="Z267" s="236"/>
      <c r="AA267" s="234"/>
      <c r="AB267" s="234"/>
      <c r="AC267" s="234"/>
      <c r="AD267" s="234"/>
      <c r="AE267" s="236"/>
      <c r="AF267" s="234"/>
      <c r="AG267" s="234"/>
      <c r="AH267" s="234"/>
      <c r="AI267" s="234"/>
      <c r="AJ267" s="236"/>
      <c r="AK267" s="234"/>
      <c r="AL267" s="234"/>
      <c r="AM267" s="234"/>
      <c r="AN267" s="234"/>
      <c r="AO267" s="236"/>
      <c r="AP267" s="1531"/>
      <c r="AQ267" s="1531"/>
      <c r="AR267" s="1531"/>
      <c r="AS267" s="1531"/>
      <c r="AT267" s="1530"/>
      <c r="AU267" s="1546"/>
      <c r="AV267" s="1546"/>
      <c r="AW267" s="1546"/>
      <c r="AX267" s="1546"/>
      <c r="AY267" s="1545"/>
      <c r="AZ267" s="1546"/>
      <c r="BA267" s="1546"/>
      <c r="BB267" s="1546"/>
      <c r="BC267" s="1546"/>
      <c r="BD267" s="1545"/>
      <c r="BE267" s="1546"/>
      <c r="BF267" s="1546"/>
      <c r="BG267" s="1546"/>
      <c r="BH267" s="1546"/>
      <c r="BI267" s="1545"/>
      <c r="BJ267" s="1531"/>
      <c r="BK267" s="1531"/>
      <c r="BL267" s="1531"/>
      <c r="BM267" s="1531"/>
      <c r="BN267" s="194"/>
      <c r="BS267" s="194"/>
      <c r="BX267" s="194"/>
      <c r="CC267" s="194"/>
      <c r="CH267" s="194"/>
      <c r="CM267" s="194"/>
      <c r="CR267" s="194"/>
      <c r="CS267" s="194"/>
      <c r="CT267" s="194"/>
      <c r="DB267" s="1226"/>
    </row>
    <row r="268" spans="1:106" s="212" customFormat="1" x14ac:dyDescent="0.2">
      <c r="A268" s="1955"/>
      <c r="B268" s="234"/>
      <c r="C268" s="234"/>
      <c r="D268" s="234"/>
      <c r="E268" s="234"/>
      <c r="F268" s="234"/>
      <c r="G268" s="234"/>
      <c r="H268" s="234"/>
      <c r="I268" s="234"/>
      <c r="J268" s="234"/>
      <c r="K268" s="236"/>
      <c r="L268" s="234"/>
      <c r="M268" s="234"/>
      <c r="N268" s="234"/>
      <c r="O268" s="234"/>
      <c r="P268" s="234"/>
      <c r="Q268" s="234"/>
      <c r="R268" s="234"/>
      <c r="S268" s="234"/>
      <c r="T268" s="234"/>
      <c r="U268" s="236"/>
      <c r="V268" s="234"/>
      <c r="W268" s="234"/>
      <c r="X268" s="234"/>
      <c r="Y268" s="234"/>
      <c r="Z268" s="236"/>
      <c r="AA268" s="234"/>
      <c r="AB268" s="234"/>
      <c r="AC268" s="234"/>
      <c r="AD268" s="234"/>
      <c r="AE268" s="236"/>
      <c r="AF268" s="234"/>
      <c r="AG268" s="234"/>
      <c r="AH268" s="234"/>
      <c r="AI268" s="234"/>
      <c r="AJ268" s="236"/>
      <c r="AK268" s="234"/>
      <c r="AL268" s="234"/>
      <c r="AM268" s="234"/>
      <c r="AN268" s="234"/>
      <c r="AO268" s="236"/>
      <c r="AP268" s="1531"/>
      <c r="AQ268" s="1531"/>
      <c r="AR268" s="1531"/>
      <c r="AS268" s="1531"/>
      <c r="AT268" s="1530"/>
      <c r="AU268" s="1546"/>
      <c r="AV268" s="1546"/>
      <c r="AW268" s="1546"/>
      <c r="AX268" s="1546"/>
      <c r="AY268" s="1545"/>
      <c r="AZ268" s="1546"/>
      <c r="BA268" s="1546"/>
      <c r="BB268" s="1546"/>
      <c r="BC268" s="1546"/>
      <c r="BD268" s="1545"/>
      <c r="BE268" s="1546"/>
      <c r="BF268" s="1546"/>
      <c r="BG268" s="1546"/>
      <c r="BH268" s="1546"/>
      <c r="BI268" s="1545"/>
      <c r="BJ268" s="1531"/>
      <c r="BK268" s="1531"/>
      <c r="BL268" s="1531"/>
      <c r="BM268" s="1531"/>
      <c r="BN268" s="194"/>
      <c r="BS268" s="194"/>
      <c r="BX268" s="194"/>
      <c r="CC268" s="194"/>
      <c r="CH268" s="194"/>
      <c r="CM268" s="194"/>
      <c r="CR268" s="194"/>
      <c r="CS268" s="194"/>
      <c r="CT268" s="194"/>
      <c r="DB268" s="1226"/>
    </row>
    <row r="269" spans="1:106" s="1937" customFormat="1" x14ac:dyDescent="0.2">
      <c r="A269" s="1595" t="s">
        <v>1782</v>
      </c>
      <c r="B269" s="1934"/>
      <c r="C269" s="1934"/>
      <c r="D269" s="1934"/>
      <c r="E269" s="1934"/>
      <c r="F269" s="1935"/>
      <c r="G269" s="1924"/>
      <c r="H269" s="1924"/>
      <c r="I269" s="1924"/>
      <c r="J269" s="1924"/>
      <c r="K269" s="1936"/>
      <c r="L269" s="1924"/>
      <c r="M269" s="1924"/>
      <c r="N269" s="1924"/>
      <c r="O269" s="1924"/>
      <c r="P269" s="1936"/>
      <c r="Q269" s="1924"/>
      <c r="R269" s="1924" t="s">
        <v>673</v>
      </c>
      <c r="S269" s="1924" t="s">
        <v>673</v>
      </c>
      <c r="T269" s="1924" t="s">
        <v>673</v>
      </c>
      <c r="U269" s="1936"/>
      <c r="V269" s="1924" t="s">
        <v>673</v>
      </c>
      <c r="W269" s="1924" t="s">
        <v>673</v>
      </c>
      <c r="X269" s="1924" t="s">
        <v>673</v>
      </c>
      <c r="Y269" s="1924" t="s">
        <v>673</v>
      </c>
      <c r="Z269" s="1936" t="s">
        <v>673</v>
      </c>
      <c r="AA269" s="1924" t="s">
        <v>673</v>
      </c>
      <c r="AB269" s="1924" t="s">
        <v>673</v>
      </c>
      <c r="AC269" s="1924" t="s">
        <v>673</v>
      </c>
      <c r="AD269" s="1924" t="s">
        <v>673</v>
      </c>
      <c r="AE269" s="1936" t="s">
        <v>673</v>
      </c>
      <c r="AF269" s="1924" t="s">
        <v>673</v>
      </c>
      <c r="AG269" s="1924" t="s">
        <v>673</v>
      </c>
      <c r="AH269" s="1924" t="s">
        <v>673</v>
      </c>
      <c r="AI269" s="1924" t="s">
        <v>673</v>
      </c>
      <c r="AJ269" s="1936" t="s">
        <v>673</v>
      </c>
      <c r="AK269" s="1924" t="s">
        <v>673</v>
      </c>
      <c r="AL269" s="1924" t="s">
        <v>673</v>
      </c>
      <c r="AM269" s="1924" t="s">
        <v>673</v>
      </c>
      <c r="AN269" s="1924" t="s">
        <v>1940</v>
      </c>
      <c r="AO269" s="1890" t="s">
        <v>673</v>
      </c>
      <c r="AP269" s="1924" t="s">
        <v>1127</v>
      </c>
      <c r="AQ269" s="1924" t="s">
        <v>428</v>
      </c>
      <c r="AR269" s="1924" t="s">
        <v>1122</v>
      </c>
      <c r="AS269" s="1924" t="s">
        <v>1119</v>
      </c>
      <c r="AT269" s="1890" t="s">
        <v>1123</v>
      </c>
      <c r="AU269" s="1924">
        <v>-0.15</v>
      </c>
      <c r="AV269" s="1924" t="s">
        <v>951</v>
      </c>
      <c r="AW269" s="1924" t="s">
        <v>954</v>
      </c>
      <c r="AX269" s="1924" t="s">
        <v>955</v>
      </c>
      <c r="AY269" s="1890" t="s">
        <v>950</v>
      </c>
      <c r="AZ269" s="1924"/>
      <c r="BA269" s="1924" t="s">
        <v>956</v>
      </c>
      <c r="BB269" s="1924"/>
      <c r="BC269" s="1924"/>
      <c r="BD269" s="1890" t="s">
        <v>957</v>
      </c>
      <c r="BE269" s="1924"/>
      <c r="BF269" s="1924" t="s">
        <v>956</v>
      </c>
      <c r="BG269" s="1924" t="s">
        <v>1940</v>
      </c>
      <c r="BH269" s="1924" t="s">
        <v>428</v>
      </c>
      <c r="BI269" s="1890" t="s">
        <v>1146</v>
      </c>
      <c r="BJ269" s="1924"/>
      <c r="BK269" s="1924"/>
      <c r="BL269" s="1924"/>
      <c r="BM269" s="1975" t="s">
        <v>1758</v>
      </c>
      <c r="BN269" s="1890"/>
      <c r="BO269" s="1975" t="s">
        <v>300</v>
      </c>
      <c r="BP269" s="1975" t="s">
        <v>300</v>
      </c>
      <c r="BQ269" s="1924" t="s">
        <v>1992</v>
      </c>
      <c r="BR269" s="1924" t="s">
        <v>1398</v>
      </c>
      <c r="BS269" s="1968" t="s">
        <v>300</v>
      </c>
      <c r="BT269" s="1975" t="s">
        <v>1860</v>
      </c>
      <c r="BU269" s="1975" t="s">
        <v>1861</v>
      </c>
      <c r="BV269" s="1975" t="s">
        <v>1861</v>
      </c>
      <c r="BW269" s="1924" t="s">
        <v>1861</v>
      </c>
      <c r="BX269" s="1968" t="s">
        <v>1861</v>
      </c>
      <c r="BY269" s="1975" t="s">
        <v>1861</v>
      </c>
      <c r="BZ269" s="1975" t="s">
        <v>1860</v>
      </c>
      <c r="CA269" s="1975" t="s">
        <v>1860</v>
      </c>
      <c r="CB269" s="1975" t="s">
        <v>1860</v>
      </c>
      <c r="CC269" s="1968" t="s">
        <v>2310</v>
      </c>
      <c r="CD269" s="1975" t="s">
        <v>300</v>
      </c>
      <c r="CE269" s="1975" t="s">
        <v>300</v>
      </c>
      <c r="CF269" s="1975" t="s">
        <v>2442</v>
      </c>
      <c r="CG269" s="1975">
        <v>0</v>
      </c>
      <c r="CH269" s="1968"/>
      <c r="CI269" s="3416" t="s">
        <v>2695</v>
      </c>
      <c r="CJ269" s="1975" t="s">
        <v>1860</v>
      </c>
      <c r="CK269" s="1975" t="s">
        <v>1860</v>
      </c>
      <c r="CL269" s="1975" t="s">
        <v>1860</v>
      </c>
      <c r="CM269" s="1968" t="s">
        <v>2907</v>
      </c>
      <c r="CN269" s="1975" t="s">
        <v>1860</v>
      </c>
      <c r="CO269" s="1975"/>
      <c r="CP269" s="1975"/>
      <c r="CQ269" s="1975"/>
      <c r="CR269" s="1968" t="s">
        <v>428</v>
      </c>
      <c r="CS269" s="1890"/>
      <c r="CT269" s="1890"/>
      <c r="CV269" s="1939"/>
      <c r="CW269" s="1939"/>
      <c r="CX269" s="1939"/>
      <c r="DA269" s="212"/>
      <c r="DB269" s="1226"/>
    </row>
    <row r="270" spans="1:106" s="212" customFormat="1" x14ac:dyDescent="0.2">
      <c r="A270" s="1595" t="s">
        <v>2395</v>
      </c>
      <c r="K270" s="194"/>
      <c r="U270" s="194"/>
      <c r="Z270" s="194"/>
      <c r="AE270" s="194"/>
      <c r="AJ270" s="194"/>
      <c r="AO270" s="194"/>
      <c r="AP270" s="1531"/>
      <c r="AQ270" s="1531"/>
      <c r="AR270" s="1531"/>
      <c r="AS270" s="1531"/>
      <c r="AT270" s="1530"/>
      <c r="AU270" s="1546"/>
      <c r="AV270" s="1546"/>
      <c r="AW270" s="1546"/>
      <c r="AX270" s="1546"/>
      <c r="AY270" s="1545"/>
      <c r="AZ270" s="1546"/>
      <c r="BA270" s="1546"/>
      <c r="BB270" s="1546"/>
      <c r="BC270" s="1546"/>
      <c r="BD270" s="1545"/>
      <c r="BE270" s="1546"/>
      <c r="BF270" s="1546"/>
      <c r="BG270" s="1546"/>
      <c r="BH270" s="1546"/>
      <c r="BI270" s="1545"/>
      <c r="BJ270" s="1531"/>
      <c r="BK270" s="1531"/>
      <c r="BL270" s="1531"/>
      <c r="BM270" s="1531"/>
      <c r="BN270" s="194"/>
      <c r="BO270" s="193"/>
      <c r="BR270" s="192"/>
      <c r="BS270" s="194"/>
      <c r="BT270" s="193"/>
      <c r="BW270" s="192"/>
      <c r="BX270" s="194"/>
      <c r="CB270" s="192"/>
      <c r="CC270" s="194"/>
      <c r="CG270" s="192"/>
      <c r="CH270" s="1046">
        <v>0.05</v>
      </c>
      <c r="CM270" s="1046">
        <v>4.2999999999999997E-2</v>
      </c>
      <c r="CR270" s="1046">
        <v>3.4000000000000002E-2</v>
      </c>
      <c r="CS270" s="194"/>
      <c r="CT270" s="194"/>
      <c r="DB270" s="1226"/>
    </row>
    <row r="271" spans="1:106" s="212" customFormat="1" x14ac:dyDescent="0.2">
      <c r="A271" s="1560" t="s">
        <v>82</v>
      </c>
      <c r="K271" s="194"/>
      <c r="U271" s="194"/>
      <c r="Z271" s="194"/>
      <c r="AE271" s="194"/>
      <c r="AJ271" s="194"/>
      <c r="AO271" s="194"/>
      <c r="AT271" s="194"/>
      <c r="AY271" s="194"/>
      <c r="BD271" s="194"/>
      <c r="BI271" s="194"/>
      <c r="BN271" s="194"/>
      <c r="BO271" s="193"/>
      <c r="BR271" s="192"/>
      <c r="BS271" s="194"/>
      <c r="BT271" s="193"/>
      <c r="BW271" s="192"/>
      <c r="BX271" s="194"/>
      <c r="CB271" s="192"/>
      <c r="CC271" s="194"/>
      <c r="CG271" s="192"/>
      <c r="CH271" s="194"/>
      <c r="CM271" s="194"/>
      <c r="CR271" s="194"/>
      <c r="CS271" s="194"/>
      <c r="CT271" s="194"/>
      <c r="DB271" s="1226"/>
    </row>
    <row r="272" spans="1:106" s="212" customFormat="1" ht="12" customHeight="1" x14ac:dyDescent="0.2">
      <c r="A272" s="1434" t="s">
        <v>1644</v>
      </c>
      <c r="B272" s="234"/>
      <c r="C272" s="234"/>
      <c r="D272" s="234"/>
      <c r="E272" s="234"/>
      <c r="F272" s="236"/>
      <c r="G272" s="234"/>
      <c r="H272" s="234"/>
      <c r="I272" s="234"/>
      <c r="J272" s="234"/>
      <c r="K272" s="236"/>
      <c r="L272" s="234"/>
      <c r="M272" s="234"/>
      <c r="N272" s="234"/>
      <c r="O272" s="234"/>
      <c r="P272" s="236"/>
      <c r="Q272" s="234"/>
      <c r="R272" s="234"/>
      <c r="S272" s="234"/>
      <c r="T272" s="234"/>
      <c r="U272" s="236"/>
      <c r="V272" s="234"/>
      <c r="W272" s="234"/>
      <c r="X272" s="234"/>
      <c r="Y272" s="234"/>
      <c r="Z272" s="236"/>
      <c r="AA272" s="234"/>
      <c r="AB272" s="234"/>
      <c r="AC272" s="234"/>
      <c r="AD272" s="234"/>
      <c r="AE272" s="236"/>
      <c r="AF272" s="234"/>
      <c r="AG272" s="234"/>
      <c r="AH272" s="234"/>
      <c r="AI272" s="234"/>
      <c r="AJ272" s="236"/>
      <c r="AK272" s="234"/>
      <c r="AL272" s="234"/>
      <c r="AM272" s="234"/>
      <c r="AN272" s="234"/>
      <c r="AO272" s="236"/>
      <c r="AP272" s="1562">
        <v>0.7</v>
      </c>
      <c r="AQ272" s="1562">
        <v>0.74199999999999999</v>
      </c>
      <c r="AR272" s="1562">
        <v>0.71099999999999997</v>
      </c>
      <c r="AS272" s="1562">
        <v>0.66400000000000003</v>
      </c>
      <c r="AT272" s="1480">
        <f>AVERAGE(AP272:AS272)</f>
        <v>0.70425000000000004</v>
      </c>
      <c r="AU272" s="1562">
        <v>0.63600000000000001</v>
      </c>
      <c r="AV272" s="1562">
        <v>0.64300000000000002</v>
      </c>
      <c r="AW272" s="1562">
        <v>0.624</v>
      </c>
      <c r="AX272" s="1562">
        <v>0.63900000000000001</v>
      </c>
      <c r="AY272" s="1480">
        <f>AVERAGE(AU272:AX272)</f>
        <v>0.63549999999999995</v>
      </c>
      <c r="AZ272" s="1562">
        <v>0.67400000000000004</v>
      </c>
      <c r="BA272" s="1562">
        <v>0.71199999999999997</v>
      </c>
      <c r="BB272" s="1562">
        <v>0.68600000000000005</v>
      </c>
      <c r="BC272" s="1562">
        <v>0.65300000000000002</v>
      </c>
      <c r="BD272" s="1480">
        <f>AVERAGE(AZ272:BC272)</f>
        <v>0.68125000000000002</v>
      </c>
      <c r="BE272" s="1562">
        <v>0.69299999999999995</v>
      </c>
      <c r="BF272" s="1562">
        <v>0.72099999999999997</v>
      </c>
      <c r="BG272" s="1562">
        <v>0.70099999999999996</v>
      </c>
      <c r="BH272" s="1562">
        <v>0.66600000000000004</v>
      </c>
      <c r="BI272" s="1480">
        <f>AVERAGE(BE272:BH272)</f>
        <v>0.69524999999999992</v>
      </c>
      <c r="BJ272" s="1562">
        <v>0.69</v>
      </c>
      <c r="BK272" s="1562">
        <v>0.72499999999999998</v>
      </c>
      <c r="BL272" s="1562">
        <v>0.70399999999999996</v>
      </c>
      <c r="BM272" s="1562">
        <v>0.68</v>
      </c>
      <c r="BN272" s="1993">
        <v>0.70199999999999996</v>
      </c>
      <c r="BO272" s="1562">
        <v>0.73599999999999999</v>
      </c>
      <c r="BP272" s="1562">
        <v>0.73299999999999998</v>
      </c>
      <c r="BQ272" s="1562">
        <v>0.71299999999999997</v>
      </c>
      <c r="BR272" s="1562">
        <v>0.69799999999999995</v>
      </c>
      <c r="BS272" s="1993">
        <v>0.72</v>
      </c>
      <c r="BT272" s="1562">
        <v>0.73099999999999998</v>
      </c>
      <c r="BU272" s="1562">
        <v>0.72299999999999998</v>
      </c>
      <c r="BV272" s="1562">
        <v>0.69699999999999995</v>
      </c>
      <c r="BW272" s="1562">
        <v>0.69699999999999995</v>
      </c>
      <c r="BX272" s="1993">
        <v>0.71299999999999997</v>
      </c>
      <c r="BY272" s="1562">
        <v>0.72799999999999998</v>
      </c>
      <c r="BZ272" s="1562">
        <v>0.72299999999999998</v>
      </c>
      <c r="CA272" s="1562">
        <v>0.68500000000000005</v>
      </c>
      <c r="CB272" s="1562">
        <v>0.69099999999999995</v>
      </c>
      <c r="CC272" s="1993">
        <v>0.70699999999999996</v>
      </c>
      <c r="CD272" s="1562">
        <v>0.68799999999999994</v>
      </c>
      <c r="CE272" s="1562">
        <v>0.69199999999999995</v>
      </c>
      <c r="CF272" s="1562">
        <v>0.68</v>
      </c>
      <c r="CG272" s="1562">
        <v>0.60799999999999998</v>
      </c>
      <c r="CH272" s="1993">
        <v>0.63500000000000001</v>
      </c>
      <c r="CI272" s="1562">
        <v>0.64400000000000002</v>
      </c>
      <c r="CJ272" s="1562">
        <v>0.64500000000000002</v>
      </c>
      <c r="CK272" s="1562">
        <v>0.63800000000000001</v>
      </c>
      <c r="CL272" s="1562">
        <v>0.64900000000000002</v>
      </c>
      <c r="CM272" s="1993">
        <v>0.64300000000000002</v>
      </c>
      <c r="CN272" s="1562"/>
      <c r="CO272" s="1562"/>
      <c r="CR272" s="194"/>
      <c r="CS272" s="194"/>
      <c r="CT272" s="194"/>
      <c r="DB272" s="1226"/>
    </row>
    <row r="273" spans="1:106" s="212" customFormat="1" x14ac:dyDescent="0.2">
      <c r="A273" s="1595" t="s">
        <v>652</v>
      </c>
      <c r="B273" s="234"/>
      <c r="C273" s="234"/>
      <c r="D273" s="234"/>
      <c r="E273" s="234"/>
      <c r="F273" s="236"/>
      <c r="G273" s="234"/>
      <c r="H273" s="234"/>
      <c r="I273" s="234"/>
      <c r="J273" s="234"/>
      <c r="K273" s="236"/>
      <c r="L273" s="234"/>
      <c r="M273" s="234"/>
      <c r="N273" s="234"/>
      <c r="O273" s="234"/>
      <c r="P273" s="236"/>
      <c r="Q273" s="234"/>
      <c r="R273" s="234"/>
      <c r="S273" s="234"/>
      <c r="T273" s="234"/>
      <c r="U273" s="236"/>
      <c r="V273" s="234"/>
      <c r="W273" s="234"/>
      <c r="X273" s="234"/>
      <c r="Y273" s="234"/>
      <c r="Z273" s="236"/>
      <c r="AA273" s="234"/>
      <c r="AB273" s="234"/>
      <c r="AC273" s="234"/>
      <c r="AD273" s="234"/>
      <c r="AE273" s="236"/>
      <c r="AF273" s="234"/>
      <c r="AG273" s="234"/>
      <c r="AH273" s="234"/>
      <c r="AI273" s="234"/>
      <c r="AJ273" s="236"/>
      <c r="AK273" s="234"/>
      <c r="AL273" s="234"/>
      <c r="AM273" s="234"/>
      <c r="AN273" s="234"/>
      <c r="AO273" s="236"/>
      <c r="AP273" s="885"/>
      <c r="AQ273" s="885"/>
      <c r="AR273" s="885"/>
      <c r="AS273" s="885"/>
      <c r="AT273" s="1280"/>
      <c r="AU273" s="885">
        <f>AU272/AP272-1</f>
        <v>-9.1428571428571304E-2</v>
      </c>
      <c r="AV273" s="885">
        <f>AV272/AQ272-1</f>
        <v>-0.13342318059299185</v>
      </c>
      <c r="AW273" s="885">
        <f>AW272/AR272-1</f>
        <v>-0.12236286919831219</v>
      </c>
      <c r="AX273" s="885">
        <f>AX272/AS272-1</f>
        <v>-3.7650602409638578E-2</v>
      </c>
      <c r="AY273" s="1280">
        <f>+AY272/AT272-1</f>
        <v>-9.7621583244586585E-2</v>
      </c>
      <c r="AZ273" s="885">
        <f>AZ272/AU272-1</f>
        <v>5.9748427672956073E-2</v>
      </c>
      <c r="BA273" s="885">
        <f>BA272/AV272-1</f>
        <v>0.10730948678071539</v>
      </c>
      <c r="BB273" s="885">
        <f>BB272/AW272-1</f>
        <v>9.935897435897445E-2</v>
      </c>
      <c r="BC273" s="885">
        <f>BC272/AX272-1</f>
        <v>2.1909233176838905E-2</v>
      </c>
      <c r="BD273" s="1280">
        <f>+BD272/AY272-1</f>
        <v>7.19905586152636E-2</v>
      </c>
      <c r="BE273" s="885">
        <f>BE272/AZ272-1</f>
        <v>2.8189910979228294E-2</v>
      </c>
      <c r="BF273" s="885">
        <f>BF272/BA272-1</f>
        <v>1.2640449438202195E-2</v>
      </c>
      <c r="BG273" s="885">
        <f>BG272/BB272-1</f>
        <v>2.1865889212827838E-2</v>
      </c>
      <c r="BH273" s="885">
        <f>BH272/BC272-1</f>
        <v>1.9908116385911168E-2</v>
      </c>
      <c r="BI273" s="1280">
        <f>+BI272/BD272-1</f>
        <v>2.0550458715596243E-2</v>
      </c>
      <c r="BJ273" s="885">
        <f t="shared" ref="BJ273:BQ273" si="226">BJ272/BE272-1</f>
        <v>-4.3290043290042934E-3</v>
      </c>
      <c r="BK273" s="885">
        <f t="shared" si="226"/>
        <v>5.5478502080443803E-3</v>
      </c>
      <c r="BL273" s="885">
        <f t="shared" si="226"/>
        <v>4.2796005706133844E-3</v>
      </c>
      <c r="BM273" s="885">
        <f t="shared" si="226"/>
        <v>2.1021021021021102E-2</v>
      </c>
      <c r="BN273" s="1280">
        <f t="shared" si="226"/>
        <v>9.7087378640776656E-3</v>
      </c>
      <c r="BO273" s="885">
        <f t="shared" si="226"/>
        <v>6.6666666666666652E-2</v>
      </c>
      <c r="BP273" s="885">
        <f t="shared" si="226"/>
        <v>1.1034482758620623E-2</v>
      </c>
      <c r="BQ273" s="885">
        <f t="shared" si="226"/>
        <v>1.2784090909090828E-2</v>
      </c>
      <c r="BR273" s="885">
        <f t="shared" ref="BR273:CM273" si="227">BR272/BM272-1</f>
        <v>2.6470588235294024E-2</v>
      </c>
      <c r="BS273" s="1280">
        <f t="shared" si="227"/>
        <v>2.5641025641025772E-2</v>
      </c>
      <c r="BT273" s="885">
        <f t="shared" si="227"/>
        <v>-6.7934782608696231E-3</v>
      </c>
      <c r="BU273" s="885">
        <f t="shared" si="227"/>
        <v>-1.3642564802182844E-2</v>
      </c>
      <c r="BV273" s="885">
        <f t="shared" si="227"/>
        <v>-2.244039270687237E-2</v>
      </c>
      <c r="BW273" s="885">
        <f t="shared" si="227"/>
        <v>-1.4326647564469885E-3</v>
      </c>
      <c r="BX273" s="1280">
        <f t="shared" si="227"/>
        <v>-9.7222222222221877E-3</v>
      </c>
      <c r="BY273" s="885">
        <f t="shared" si="227"/>
        <v>-4.1039671682626677E-3</v>
      </c>
      <c r="BZ273" s="885">
        <f t="shared" si="227"/>
        <v>0</v>
      </c>
      <c r="CA273" s="885">
        <f t="shared" si="227"/>
        <v>-1.7216642754662725E-2</v>
      </c>
      <c r="CB273" s="885">
        <f t="shared" si="227"/>
        <v>-8.6083213773314737E-3</v>
      </c>
      <c r="CC273" s="1280">
        <f t="shared" si="227"/>
        <v>-8.4151472650771941E-3</v>
      </c>
      <c r="CD273" s="885">
        <f t="shared" si="227"/>
        <v>-5.4945054945054972E-2</v>
      </c>
      <c r="CE273" s="885">
        <f t="shared" si="227"/>
        <v>-4.2876901798063694E-2</v>
      </c>
      <c r="CF273" s="885">
        <f t="shared" si="227"/>
        <v>-7.2992700729926918E-3</v>
      </c>
      <c r="CG273" s="885">
        <f t="shared" si="227"/>
        <v>-0.12011577424023145</v>
      </c>
      <c r="CH273" s="1280">
        <f t="shared" si="227"/>
        <v>-0.1018387553041018</v>
      </c>
      <c r="CI273" s="885">
        <f t="shared" si="227"/>
        <v>-6.3953488372092915E-2</v>
      </c>
      <c r="CJ273" s="885">
        <f t="shared" si="227"/>
        <v>-6.7919075144508567E-2</v>
      </c>
      <c r="CK273" s="885">
        <f t="shared" si="227"/>
        <v>-6.1764705882352944E-2</v>
      </c>
      <c r="CL273" s="885">
        <f t="shared" si="227"/>
        <v>6.743421052631593E-2</v>
      </c>
      <c r="CM273" s="1280">
        <f t="shared" si="227"/>
        <v>1.2598425196850505E-2</v>
      </c>
      <c r="CN273" s="885"/>
      <c r="CO273" s="885"/>
      <c r="CP273" s="886"/>
      <c r="CQ273" s="886"/>
      <c r="CR273" s="1046"/>
      <c r="CS273" s="1046"/>
      <c r="CT273" s="1046"/>
      <c r="DB273" s="1226"/>
    </row>
    <row r="274" spans="1:106" x14ac:dyDescent="0.2">
      <c r="A274" s="1595" t="s">
        <v>359</v>
      </c>
      <c r="B274" s="1924" t="s">
        <v>673</v>
      </c>
      <c r="C274" s="1924" t="s">
        <v>673</v>
      </c>
      <c r="D274" s="1924" t="s">
        <v>673</v>
      </c>
      <c r="E274" s="1924" t="s">
        <v>673</v>
      </c>
      <c r="F274" s="1890" t="s">
        <v>673</v>
      </c>
      <c r="G274" s="1924" t="s">
        <v>673</v>
      </c>
      <c r="H274" s="1924" t="s">
        <v>673</v>
      </c>
      <c r="I274" s="1924" t="s">
        <v>673</v>
      </c>
      <c r="J274" s="1924" t="s">
        <v>673</v>
      </c>
      <c r="K274" s="1890" t="s">
        <v>673</v>
      </c>
      <c r="L274" s="1924" t="s">
        <v>673</v>
      </c>
      <c r="M274" s="1924" t="s">
        <v>673</v>
      </c>
      <c r="N274" s="1924" t="s">
        <v>673</v>
      </c>
      <c r="O274" s="1924" t="s">
        <v>673</v>
      </c>
      <c r="P274" s="1890" t="s">
        <v>673</v>
      </c>
      <c r="Q274" s="1924" t="s">
        <v>673</v>
      </c>
      <c r="R274" s="1924" t="s">
        <v>673</v>
      </c>
      <c r="S274" s="1924" t="s">
        <v>673</v>
      </c>
      <c r="T274" s="1924" t="s">
        <v>673</v>
      </c>
      <c r="U274" s="1890" t="s">
        <v>673</v>
      </c>
      <c r="V274" s="1924" t="s">
        <v>673</v>
      </c>
      <c r="W274" s="1924" t="s">
        <v>673</v>
      </c>
      <c r="X274" s="1924" t="s">
        <v>673</v>
      </c>
      <c r="Y274" s="1924" t="s">
        <v>673</v>
      </c>
      <c r="Z274" s="1890" t="s">
        <v>673</v>
      </c>
      <c r="AA274" s="1924" t="s">
        <v>673</v>
      </c>
      <c r="AB274" s="1924" t="s">
        <v>673</v>
      </c>
      <c r="AC274" s="1924" t="s">
        <v>673</v>
      </c>
      <c r="AD274" s="1924" t="s">
        <v>673</v>
      </c>
      <c r="AE274" s="1890" t="s">
        <v>673</v>
      </c>
      <c r="AF274" s="1924" t="s">
        <v>673</v>
      </c>
      <c r="AG274" s="1924" t="s">
        <v>673</v>
      </c>
      <c r="AH274" s="1924" t="s">
        <v>673</v>
      </c>
      <c r="AI274" s="1924" t="s">
        <v>673</v>
      </c>
      <c r="AJ274" s="1890" t="s">
        <v>673</v>
      </c>
      <c r="AK274" s="1924" t="s">
        <v>673</v>
      </c>
      <c r="AL274" s="1924" t="s">
        <v>673</v>
      </c>
      <c r="AM274" s="1924" t="s">
        <v>673</v>
      </c>
      <c r="AN274" s="1924" t="s">
        <v>673</v>
      </c>
      <c r="AO274" s="1890" t="s">
        <v>673</v>
      </c>
      <c r="AP274" s="886">
        <v>1.4E-2</v>
      </c>
      <c r="AQ274" s="886">
        <v>-8.9999999999999993E-3</v>
      </c>
      <c r="AR274" s="886">
        <v>-2.3E-2</v>
      </c>
      <c r="AS274" s="886">
        <v>-0.04</v>
      </c>
      <c r="AT274" s="1046">
        <v>-1.6E-2</v>
      </c>
      <c r="AU274" s="886">
        <v>-7.0000000000000007E-2</v>
      </c>
      <c r="AV274" s="886">
        <v>-0.10199999999999999</v>
      </c>
      <c r="AW274" s="886">
        <v>-9.5000000000000001E-2</v>
      </c>
      <c r="AX274" s="886">
        <v>-2.5000000000000001E-2</v>
      </c>
      <c r="AY274" s="1046">
        <v>-6.9000000000000006E-2</v>
      </c>
      <c r="AZ274" s="886">
        <v>6.4000000000000001E-2</v>
      </c>
      <c r="BA274" s="886">
        <v>8.7999999999999995E-2</v>
      </c>
      <c r="BB274" s="886">
        <v>8.1000000000000003E-2</v>
      </c>
      <c r="BC274" s="886">
        <v>3.1E-2</v>
      </c>
      <c r="BD274" s="1046">
        <v>6.3E-2</v>
      </c>
      <c r="BE274" s="886">
        <v>3.6999999999999998E-2</v>
      </c>
      <c r="BF274" s="886">
        <v>2.4E-2</v>
      </c>
      <c r="BG274" s="886">
        <v>2.8000000000000001E-2</v>
      </c>
      <c r="BH274" s="886">
        <v>1.2999999999999999E-2</v>
      </c>
      <c r="BI274" s="1046">
        <v>2.3E-2</v>
      </c>
      <c r="BJ274" s="886">
        <v>1.0999999999999999E-2</v>
      </c>
      <c r="BK274" s="886">
        <v>1.4E-2</v>
      </c>
      <c r="BL274" s="886">
        <v>6.0000000000000001E-3</v>
      </c>
      <c r="BM274" s="886">
        <v>1.2999999999999999E-2</v>
      </c>
      <c r="BN274" s="1046">
        <v>1.2999999999999999E-2</v>
      </c>
      <c r="BO274" s="886">
        <v>1.2999999999999999E-2</v>
      </c>
      <c r="BP274" s="886">
        <v>2.3E-2</v>
      </c>
      <c r="BQ274" s="886">
        <v>1.6E-2</v>
      </c>
      <c r="BR274" s="886">
        <v>6.0000000000000001E-3</v>
      </c>
      <c r="BS274" s="1046">
        <v>1.4999999999999999E-2</v>
      </c>
      <c r="BT274" s="886">
        <v>2.5000000000000001E-2</v>
      </c>
      <c r="BU274" s="886">
        <v>1.7000000000000001E-2</v>
      </c>
      <c r="BV274" s="886">
        <v>2.1000000000000001E-2</v>
      </c>
      <c r="BW274" s="886">
        <v>2.4E-2</v>
      </c>
      <c r="BX274" s="1046">
        <v>2.1999999999999999E-2</v>
      </c>
      <c r="BY274" s="886">
        <v>6.0000000000000001E-3</v>
      </c>
      <c r="BZ274" s="886">
        <v>1.4E-2</v>
      </c>
      <c r="CA274" s="886">
        <v>-2E-3</v>
      </c>
      <c r="CB274" s="886">
        <v>3.0000000000000001E-3</v>
      </c>
      <c r="CC274" s="1046">
        <v>6.0000000000000001E-3</v>
      </c>
      <c r="CD274" s="886">
        <v>2E-3</v>
      </c>
      <c r="CE274" s="886">
        <v>-7.0000000000000001E-3</v>
      </c>
      <c r="CF274" s="886">
        <v>0</v>
      </c>
      <c r="CG274" s="886">
        <v>-0.01</v>
      </c>
      <c r="CH274" s="1046">
        <v>0</v>
      </c>
      <c r="CI274" s="886">
        <v>3.0000000000000001E-3</v>
      </c>
      <c r="CJ274" s="886">
        <v>1.2999999999999999E-2</v>
      </c>
      <c r="CK274" s="886">
        <v>1.7000000000000001E-2</v>
      </c>
      <c r="CL274" s="886">
        <v>2.5999999999999999E-2</v>
      </c>
      <c r="CM274" s="1046">
        <v>2.1000000000000001E-2</v>
      </c>
      <c r="CN274" s="886"/>
      <c r="CO274" s="886"/>
      <c r="CP274" s="886"/>
      <c r="CQ274" s="886"/>
      <c r="CR274" s="1046"/>
      <c r="CS274" s="1046"/>
      <c r="CT274" s="1046"/>
      <c r="DA274" s="212"/>
      <c r="DB274" s="1226"/>
    </row>
    <row r="275" spans="1:106" s="212" customFormat="1" x14ac:dyDescent="0.2">
      <c r="A275" s="1434" t="s">
        <v>1930</v>
      </c>
      <c r="B275" s="234"/>
      <c r="C275" s="234"/>
      <c r="D275" s="234"/>
      <c r="E275" s="234"/>
      <c r="F275" s="236"/>
      <c r="G275" s="234"/>
      <c r="H275" s="234"/>
      <c r="I275" s="234"/>
      <c r="J275" s="234"/>
      <c r="K275" s="236"/>
      <c r="L275" s="234"/>
      <c r="M275" s="234"/>
      <c r="N275" s="234"/>
      <c r="O275" s="234"/>
      <c r="P275" s="236"/>
      <c r="Q275" s="234"/>
      <c r="R275" s="234"/>
      <c r="S275" s="234"/>
      <c r="T275" s="234"/>
      <c r="U275" s="236"/>
      <c r="V275" s="234"/>
      <c r="W275" s="234"/>
      <c r="X275" s="234"/>
      <c r="Y275" s="234"/>
      <c r="Z275" s="236"/>
      <c r="AA275" s="234"/>
      <c r="AB275" s="234"/>
      <c r="AC275" s="234"/>
      <c r="AD275" s="234"/>
      <c r="AE275" s="236"/>
      <c r="AF275" s="234"/>
      <c r="AG275" s="234"/>
      <c r="AH275" s="234"/>
      <c r="AI275" s="234"/>
      <c r="AJ275" s="236"/>
      <c r="AK275" s="234"/>
      <c r="AL275" s="234"/>
      <c r="AM275" s="234"/>
      <c r="AN275" s="234"/>
      <c r="AO275" s="236"/>
      <c r="AP275" s="1562"/>
      <c r="AQ275" s="1562"/>
      <c r="AR275" s="1562"/>
      <c r="AS275" s="1562"/>
      <c r="AT275" s="1480"/>
      <c r="AU275" s="1562"/>
      <c r="AV275" s="1562"/>
      <c r="AW275" s="1562"/>
      <c r="AX275" s="1562"/>
      <c r="AY275" s="1480"/>
      <c r="AZ275" s="1562"/>
      <c r="BA275" s="1562"/>
      <c r="BB275" s="1562"/>
      <c r="BC275" s="1562"/>
      <c r="BD275" s="1480"/>
      <c r="BE275" s="1562">
        <v>0.60399999999999998</v>
      </c>
      <c r="BF275" s="1562">
        <v>0.73199999999999998</v>
      </c>
      <c r="BG275" s="1562">
        <v>0.77700000000000002</v>
      </c>
      <c r="BH275" s="1562">
        <v>0.73499999999999999</v>
      </c>
      <c r="BI275" s="1480">
        <f>AVERAGE(BE275:BH275)</f>
        <v>0.71199999999999997</v>
      </c>
      <c r="BJ275" s="1562">
        <v>0.59099999999999997</v>
      </c>
      <c r="BK275" s="1562">
        <v>0.72499999999999998</v>
      </c>
      <c r="BL275" s="1562">
        <v>0.76800000000000002</v>
      </c>
      <c r="BM275" s="1562">
        <v>0.73899999999999999</v>
      </c>
      <c r="BN275" s="1993">
        <v>0.71899999999999997</v>
      </c>
      <c r="BO275" s="1562">
        <v>0.61199999999999999</v>
      </c>
      <c r="BP275" s="1562">
        <v>0.76400000000000001</v>
      </c>
      <c r="BQ275" s="1562">
        <v>0.79100000000000004</v>
      </c>
      <c r="BR275" s="1562">
        <v>0.73199999999999998</v>
      </c>
      <c r="BS275" s="1993">
        <v>0.72499999999999998</v>
      </c>
      <c r="BT275" s="1562">
        <v>0.61599999999999999</v>
      </c>
      <c r="BU275" s="1562">
        <v>0.75900000000000001</v>
      </c>
      <c r="BV275" s="1562">
        <v>0.78800000000000003</v>
      </c>
      <c r="BW275" s="1562">
        <v>0.74399999999999999</v>
      </c>
      <c r="BX275" s="1993">
        <v>0.73099999999999998</v>
      </c>
      <c r="BY275" s="1562">
        <v>0.65</v>
      </c>
      <c r="BZ275" s="1562">
        <v>0.77200000000000002</v>
      </c>
      <c r="CA275" s="1562">
        <v>0.81</v>
      </c>
      <c r="CB275" s="1562">
        <v>0.73399999999999999</v>
      </c>
      <c r="CC275" s="1993">
        <v>0.74299999999999999</v>
      </c>
      <c r="CD275" s="1562">
        <v>0.61</v>
      </c>
      <c r="CE275" s="1562">
        <v>0.74099999999999999</v>
      </c>
      <c r="CF275" s="1562">
        <v>0.76400000000000001</v>
      </c>
      <c r="CG275" s="1562">
        <v>0.70799999999999996</v>
      </c>
      <c r="CH275" s="1993">
        <v>0.70599999999999996</v>
      </c>
      <c r="CI275" s="1562">
        <v>0.61399999999999999</v>
      </c>
      <c r="CJ275" s="1562">
        <v>0.752</v>
      </c>
      <c r="CK275" s="1562">
        <v>0.79900000000000004</v>
      </c>
      <c r="CL275" s="1562">
        <v>0.71499999999999997</v>
      </c>
      <c r="CM275" s="1993">
        <v>0.71899999999999997</v>
      </c>
      <c r="CN275" s="1562"/>
      <c r="CO275" s="1562"/>
      <c r="CR275" s="194"/>
      <c r="CS275" s="194"/>
      <c r="CT275" s="194"/>
      <c r="DB275" s="1226"/>
    </row>
    <row r="276" spans="1:106" s="212" customFormat="1" x14ac:dyDescent="0.2">
      <c r="A276" s="1595" t="s">
        <v>652</v>
      </c>
      <c r="B276" s="234"/>
      <c r="C276" s="234"/>
      <c r="D276" s="234"/>
      <c r="E276" s="234"/>
      <c r="F276" s="236"/>
      <c r="G276" s="234"/>
      <c r="H276" s="234"/>
      <c r="I276" s="234"/>
      <c r="J276" s="234"/>
      <c r="K276" s="236"/>
      <c r="L276" s="234"/>
      <c r="M276" s="234"/>
      <c r="N276" s="234"/>
      <c r="O276" s="234"/>
      <c r="P276" s="236"/>
      <c r="Q276" s="234"/>
      <c r="R276" s="234"/>
      <c r="S276" s="234"/>
      <c r="T276" s="234"/>
      <c r="U276" s="236"/>
      <c r="V276" s="234"/>
      <c r="W276" s="234"/>
      <c r="X276" s="234"/>
      <c r="Y276" s="234"/>
      <c r="Z276" s="236"/>
      <c r="AA276" s="234"/>
      <c r="AB276" s="234"/>
      <c r="AC276" s="234"/>
      <c r="AD276" s="234"/>
      <c r="AE276" s="236"/>
      <c r="AF276" s="234"/>
      <c r="AG276" s="234"/>
      <c r="AH276" s="234"/>
      <c r="AI276" s="234"/>
      <c r="AJ276" s="236"/>
      <c r="AK276" s="234"/>
      <c r="AL276" s="234"/>
      <c r="AM276" s="234"/>
      <c r="AN276" s="234"/>
      <c r="AO276" s="236"/>
      <c r="AP276" s="885"/>
      <c r="AQ276" s="885"/>
      <c r="AR276" s="885"/>
      <c r="AS276" s="885"/>
      <c r="AT276" s="1280"/>
      <c r="AU276" s="885"/>
      <c r="AV276" s="885"/>
      <c r="AW276" s="885"/>
      <c r="AX276" s="885"/>
      <c r="AY276" s="1280"/>
      <c r="AZ276" s="885"/>
      <c r="BA276" s="885"/>
      <c r="BB276" s="885"/>
      <c r="BC276" s="885"/>
      <c r="BD276" s="1280"/>
      <c r="BE276" s="885"/>
      <c r="BF276" s="885"/>
      <c r="BG276" s="885"/>
      <c r="BH276" s="885"/>
      <c r="BI276" s="1280"/>
      <c r="BJ276" s="885">
        <f t="shared" ref="BJ276:BQ276" si="228">BJ275/BE275-1</f>
        <v>-2.1523178807947074E-2</v>
      </c>
      <c r="BK276" s="885">
        <f t="shared" si="228"/>
        <v>-9.5628415300545999E-3</v>
      </c>
      <c r="BL276" s="885">
        <f t="shared" si="228"/>
        <v>-1.158301158301156E-2</v>
      </c>
      <c r="BM276" s="885">
        <f t="shared" si="228"/>
        <v>5.4421768707482165E-3</v>
      </c>
      <c r="BN276" s="1280">
        <f t="shared" si="228"/>
        <v>9.8314606741574107E-3</v>
      </c>
      <c r="BO276" s="885">
        <f t="shared" si="228"/>
        <v>3.5532994923857864E-2</v>
      </c>
      <c r="BP276" s="885">
        <f t="shared" si="228"/>
        <v>5.3793103448275925E-2</v>
      </c>
      <c r="BQ276" s="885">
        <f t="shared" si="228"/>
        <v>2.9947916666666741E-2</v>
      </c>
      <c r="BR276" s="885">
        <f t="shared" ref="BR276:CM276" si="229">BR275/BM275-1</f>
        <v>-9.4722598105547728E-3</v>
      </c>
      <c r="BS276" s="1280">
        <f t="shared" si="229"/>
        <v>8.3449235048678183E-3</v>
      </c>
      <c r="BT276" s="885">
        <f t="shared" si="229"/>
        <v>6.5359477124182774E-3</v>
      </c>
      <c r="BU276" s="885">
        <f t="shared" si="229"/>
        <v>-6.5445026178010401E-3</v>
      </c>
      <c r="BV276" s="885">
        <f t="shared" si="229"/>
        <v>-3.7926675094817064E-3</v>
      </c>
      <c r="BW276" s="885">
        <f t="shared" si="229"/>
        <v>1.6393442622950838E-2</v>
      </c>
      <c r="BX276" s="1280">
        <f t="shared" si="229"/>
        <v>8.2758620689655782E-3</v>
      </c>
      <c r="BY276" s="885">
        <f t="shared" si="229"/>
        <v>5.5194805194805241E-2</v>
      </c>
      <c r="BZ276" s="885">
        <f t="shared" si="229"/>
        <v>1.7127799736495364E-2</v>
      </c>
      <c r="CA276" s="885">
        <f t="shared" si="229"/>
        <v>2.7918781725888353E-2</v>
      </c>
      <c r="CB276" s="885">
        <f t="shared" si="229"/>
        <v>-1.3440860215053752E-2</v>
      </c>
      <c r="CC276" s="1280">
        <f t="shared" si="229"/>
        <v>1.6415868673050671E-2</v>
      </c>
      <c r="CD276" s="885">
        <f t="shared" si="229"/>
        <v>-6.1538461538461542E-2</v>
      </c>
      <c r="CE276" s="885">
        <f t="shared" si="229"/>
        <v>-4.0155440414507804E-2</v>
      </c>
      <c r="CF276" s="885">
        <f t="shared" si="229"/>
        <v>-5.6790123456790131E-2</v>
      </c>
      <c r="CG276" s="885">
        <f t="shared" si="229"/>
        <v>-3.542234332425076E-2</v>
      </c>
      <c r="CH276" s="1280">
        <f t="shared" si="229"/>
        <v>-4.9798115746971794E-2</v>
      </c>
      <c r="CI276" s="885">
        <f t="shared" si="229"/>
        <v>6.5573770491802463E-3</v>
      </c>
      <c r="CJ276" s="885">
        <f t="shared" si="229"/>
        <v>1.4844804318488558E-2</v>
      </c>
      <c r="CK276" s="885">
        <f t="shared" si="229"/>
        <v>4.5811518324607281E-2</v>
      </c>
      <c r="CL276" s="885">
        <f t="shared" si="229"/>
        <v>9.8870056497175618E-3</v>
      </c>
      <c r="CM276" s="1280">
        <f t="shared" si="229"/>
        <v>1.8413597733710985E-2</v>
      </c>
      <c r="CN276" s="885"/>
      <c r="CO276" s="885"/>
      <c r="CP276" s="886"/>
      <c r="CQ276" s="886"/>
      <c r="CR276" s="1046"/>
      <c r="CS276" s="1046"/>
      <c r="CT276" s="1046"/>
      <c r="DB276" s="1226"/>
    </row>
    <row r="277" spans="1:106" x14ac:dyDescent="0.2">
      <c r="A277" s="1595" t="s">
        <v>359</v>
      </c>
      <c r="B277" s="1924" t="s">
        <v>673</v>
      </c>
      <c r="C277" s="1924" t="s">
        <v>673</v>
      </c>
      <c r="D277" s="1924" t="s">
        <v>673</v>
      </c>
      <c r="E277" s="1924" t="s">
        <v>673</v>
      </c>
      <c r="F277" s="1890" t="s">
        <v>673</v>
      </c>
      <c r="G277" s="1924" t="s">
        <v>673</v>
      </c>
      <c r="H277" s="1924" t="s">
        <v>673</v>
      </c>
      <c r="I277" s="1924" t="s">
        <v>673</v>
      </c>
      <c r="J277" s="1924" t="s">
        <v>673</v>
      </c>
      <c r="K277" s="1890" t="s">
        <v>673</v>
      </c>
      <c r="L277" s="1924" t="s">
        <v>673</v>
      </c>
      <c r="M277" s="1924" t="s">
        <v>673</v>
      </c>
      <c r="N277" s="1924" t="s">
        <v>673</v>
      </c>
      <c r="O277" s="1924" t="s">
        <v>673</v>
      </c>
      <c r="P277" s="1890" t="s">
        <v>673</v>
      </c>
      <c r="Q277" s="1924" t="s">
        <v>673</v>
      </c>
      <c r="R277" s="1924" t="s">
        <v>673</v>
      </c>
      <c r="S277" s="1924" t="s">
        <v>673</v>
      </c>
      <c r="T277" s="1924" t="s">
        <v>673</v>
      </c>
      <c r="U277" s="1890" t="s">
        <v>673</v>
      </c>
      <c r="V277" s="1924" t="s">
        <v>673</v>
      </c>
      <c r="W277" s="1924" t="s">
        <v>673</v>
      </c>
      <c r="X277" s="1924" t="s">
        <v>673</v>
      </c>
      <c r="Y277" s="1924" t="s">
        <v>673</v>
      </c>
      <c r="Z277" s="1890" t="s">
        <v>673</v>
      </c>
      <c r="AA277" s="1924" t="s">
        <v>673</v>
      </c>
      <c r="AB277" s="1924" t="s">
        <v>673</v>
      </c>
      <c r="AC277" s="1924" t="s">
        <v>673</v>
      </c>
      <c r="AD277" s="1924" t="s">
        <v>673</v>
      </c>
      <c r="AE277" s="1890" t="s">
        <v>673</v>
      </c>
      <c r="AF277" s="1924" t="s">
        <v>673</v>
      </c>
      <c r="AG277" s="1924" t="s">
        <v>673</v>
      </c>
      <c r="AH277" s="1924" t="s">
        <v>673</v>
      </c>
      <c r="AI277" s="1924" t="s">
        <v>673</v>
      </c>
      <c r="AJ277" s="1890" t="s">
        <v>673</v>
      </c>
      <c r="AK277" s="1924" t="s">
        <v>673</v>
      </c>
      <c r="AL277" s="1924" t="s">
        <v>673</v>
      </c>
      <c r="AM277" s="1924" t="s">
        <v>673</v>
      </c>
      <c r="AN277" s="1924" t="s">
        <v>673</v>
      </c>
      <c r="AO277" s="1890" t="s">
        <v>673</v>
      </c>
      <c r="AP277" s="886"/>
      <c r="AQ277" s="886"/>
      <c r="AR277" s="886"/>
      <c r="AS277" s="886"/>
      <c r="AT277" s="1046"/>
      <c r="AU277" s="886"/>
      <c r="AV277" s="886"/>
      <c r="AW277" s="886"/>
      <c r="AX277" s="886"/>
      <c r="AY277" s="1046"/>
      <c r="AZ277" s="886"/>
      <c r="BA277" s="886"/>
      <c r="BB277" s="886"/>
      <c r="BC277" s="886"/>
      <c r="BD277" s="1046"/>
      <c r="BE277" s="886">
        <v>1.2E-2</v>
      </c>
      <c r="BF277" s="886">
        <v>2.3E-2</v>
      </c>
      <c r="BG277" s="886">
        <v>6.0000000000000001E-3</v>
      </c>
      <c r="BH277" s="886">
        <v>-1.2E-2</v>
      </c>
      <c r="BI277" s="1046">
        <v>5.0000000000000001E-3</v>
      </c>
      <c r="BJ277" s="886">
        <v>3.0000000000000001E-3</v>
      </c>
      <c r="BK277" s="886">
        <v>0</v>
      </c>
      <c r="BL277" s="886">
        <v>-7.0000000000000001E-3</v>
      </c>
      <c r="BM277" s="886">
        <v>0.01</v>
      </c>
      <c r="BN277" s="1046">
        <v>2E-3</v>
      </c>
      <c r="BO277" s="886">
        <v>6.0000000000000001E-3</v>
      </c>
      <c r="BP277" s="886">
        <v>1.4E-2</v>
      </c>
      <c r="BQ277" s="886">
        <v>3.1E-2</v>
      </c>
      <c r="BR277" s="886">
        <v>1.7000000000000001E-2</v>
      </c>
      <c r="BS277" s="1046">
        <v>1.7000000000000001E-2</v>
      </c>
      <c r="BT277" s="886">
        <v>1.7000000000000001E-2</v>
      </c>
      <c r="BU277" s="886">
        <v>8.0000000000000002E-3</v>
      </c>
      <c r="BV277" s="886">
        <v>8.9999999999999993E-3</v>
      </c>
      <c r="BW277" s="886">
        <v>1.4E-2</v>
      </c>
      <c r="BX277" s="1046">
        <v>1.2999999999999999E-2</v>
      </c>
      <c r="BY277" s="886">
        <v>2.8000000000000001E-2</v>
      </c>
      <c r="BZ277" s="886">
        <v>1.4E-2</v>
      </c>
      <c r="CA277" s="886">
        <v>2.8000000000000001E-2</v>
      </c>
      <c r="CB277" s="886">
        <v>-0.01</v>
      </c>
      <c r="CC277" s="1046">
        <v>1.4999999999999999E-2</v>
      </c>
      <c r="CD277" s="886">
        <v>0</v>
      </c>
      <c r="CE277" s="886">
        <v>3.0000000000000001E-3</v>
      </c>
      <c r="CF277" s="886">
        <v>-7.0000000000000001E-3</v>
      </c>
      <c r="CG277" s="886">
        <v>1.2E-2</v>
      </c>
      <c r="CH277" s="1046">
        <v>1E-3</v>
      </c>
      <c r="CI277" s="886">
        <v>3.1E-2</v>
      </c>
      <c r="CJ277" s="886">
        <v>2.4E-2</v>
      </c>
      <c r="CK277" s="886">
        <v>0.03</v>
      </c>
      <c r="CL277" s="886">
        <v>1.4999999999999999E-2</v>
      </c>
      <c r="CM277" s="1046">
        <v>2.7E-2</v>
      </c>
      <c r="CN277" s="886"/>
      <c r="CO277" s="886"/>
      <c r="CP277" s="886"/>
      <c r="CQ277" s="886"/>
      <c r="CR277" s="1046"/>
      <c r="CS277" s="1046"/>
      <c r="CT277" s="1046"/>
      <c r="DA277" s="212"/>
      <c r="DB277" s="1226"/>
    </row>
    <row r="278" spans="1:106" s="212" customFormat="1" outlineLevel="1" x14ac:dyDescent="0.2">
      <c r="A278" s="1434" t="s">
        <v>2266</v>
      </c>
      <c r="B278" s="234"/>
      <c r="C278" s="234"/>
      <c r="D278" s="234"/>
      <c r="E278" s="234"/>
      <c r="F278" s="236"/>
      <c r="G278" s="234"/>
      <c r="H278" s="234"/>
      <c r="I278" s="234"/>
      <c r="J278" s="234"/>
      <c r="K278" s="236"/>
      <c r="L278" s="234"/>
      <c r="M278" s="234"/>
      <c r="N278" s="234"/>
      <c r="O278" s="234"/>
      <c r="P278" s="236"/>
      <c r="Q278" s="234"/>
      <c r="R278" s="234"/>
      <c r="S278" s="234"/>
      <c r="T278" s="234"/>
      <c r="U278" s="236"/>
      <c r="V278" s="234"/>
      <c r="W278" s="234"/>
      <c r="X278" s="234"/>
      <c r="Y278" s="234"/>
      <c r="Z278" s="236"/>
      <c r="AA278" s="234"/>
      <c r="AB278" s="234"/>
      <c r="AC278" s="234"/>
      <c r="AD278" s="234"/>
      <c r="AE278" s="236"/>
      <c r="AF278" s="234"/>
      <c r="AG278" s="234"/>
      <c r="AH278" s="234"/>
      <c r="AI278" s="234"/>
      <c r="AJ278" s="236"/>
      <c r="AK278" s="234"/>
      <c r="AL278" s="234"/>
      <c r="AM278" s="234"/>
      <c r="AN278" s="234"/>
      <c r="AO278" s="236"/>
      <c r="AP278" s="1562">
        <v>0.621</v>
      </c>
      <c r="AQ278" s="1562">
        <v>0.71699999999999997</v>
      </c>
      <c r="AR278" s="1562">
        <v>0.73199999999999998</v>
      </c>
      <c r="AS278" s="1562">
        <v>0.69699999999999995</v>
      </c>
      <c r="AT278" s="1480">
        <f>AVERAGE(AP278:AS278)</f>
        <v>0.69175000000000009</v>
      </c>
      <c r="AU278" s="1562">
        <v>0.52100000000000002</v>
      </c>
      <c r="AV278" s="1562">
        <v>0.64300000000000002</v>
      </c>
      <c r="AW278" s="1562">
        <v>0.69399999999999995</v>
      </c>
      <c r="AX278" s="1562">
        <v>0.69499999999999995</v>
      </c>
      <c r="AY278" s="1480">
        <f>AVERAGE(AU278:AX278)</f>
        <v>0.63824999999999998</v>
      </c>
      <c r="AZ278" s="1562">
        <v>0.56100000000000005</v>
      </c>
      <c r="BA278" s="1562">
        <v>0.68899999999999995</v>
      </c>
      <c r="BB278" s="1562">
        <v>0.747</v>
      </c>
      <c r="BC278" s="1562">
        <v>0.73399999999999999</v>
      </c>
      <c r="BD278" s="1480">
        <f>AVERAGE(AZ278:BC278)</f>
        <v>0.68274999999999997</v>
      </c>
      <c r="BE278" s="1562"/>
      <c r="BF278" s="1562"/>
      <c r="BG278" s="1562"/>
      <c r="BH278" s="1562"/>
      <c r="BI278" s="1480"/>
      <c r="BJ278" s="1214"/>
      <c r="BK278" s="1214"/>
      <c r="BL278" s="1214"/>
      <c r="BM278" s="1214"/>
      <c r="BN278" s="1480"/>
      <c r="BO278" s="1214"/>
      <c r="BP278" s="1214"/>
      <c r="BQ278" s="1214"/>
      <c r="BR278" s="1214"/>
      <c r="BS278" s="1480"/>
      <c r="BT278" s="1214"/>
      <c r="BU278" s="1214"/>
      <c r="BV278" s="1214"/>
      <c r="BW278" s="1214"/>
      <c r="BX278" s="1480"/>
      <c r="BY278" s="1214"/>
      <c r="CB278" s="192"/>
      <c r="CC278" s="194"/>
      <c r="CG278" s="192"/>
      <c r="CH278" s="194"/>
      <c r="CM278" s="194"/>
      <c r="CR278" s="194"/>
      <c r="CS278" s="194"/>
      <c r="CT278" s="194"/>
      <c r="DB278" s="1226"/>
    </row>
    <row r="279" spans="1:106" s="212" customFormat="1" outlineLevel="1" x14ac:dyDescent="0.2">
      <c r="A279" s="1595" t="s">
        <v>652</v>
      </c>
      <c r="B279" s="234"/>
      <c r="C279" s="234"/>
      <c r="D279" s="234"/>
      <c r="E279" s="234"/>
      <c r="F279" s="236"/>
      <c r="G279" s="234"/>
      <c r="H279" s="234"/>
      <c r="I279" s="234"/>
      <c r="J279" s="234"/>
      <c r="K279" s="236"/>
      <c r="L279" s="234"/>
      <c r="M279" s="234"/>
      <c r="N279" s="234"/>
      <c r="O279" s="234"/>
      <c r="P279" s="236"/>
      <c r="Q279" s="234"/>
      <c r="R279" s="234"/>
      <c r="S279" s="234"/>
      <c r="T279" s="234"/>
      <c r="U279" s="236"/>
      <c r="V279" s="234"/>
      <c r="W279" s="234"/>
      <c r="X279" s="234"/>
      <c r="Y279" s="234"/>
      <c r="Z279" s="236"/>
      <c r="AA279" s="234"/>
      <c r="AB279" s="234"/>
      <c r="AC279" s="234"/>
      <c r="AD279" s="234"/>
      <c r="AE279" s="236"/>
      <c r="AF279" s="234"/>
      <c r="AG279" s="234"/>
      <c r="AH279" s="234"/>
      <c r="AI279" s="234"/>
      <c r="AJ279" s="236"/>
      <c r="AK279" s="234"/>
      <c r="AL279" s="234"/>
      <c r="AM279" s="234"/>
      <c r="AN279" s="234"/>
      <c r="AO279" s="236"/>
      <c r="AP279" s="885"/>
      <c r="AQ279" s="885"/>
      <c r="AR279" s="885"/>
      <c r="AS279" s="885"/>
      <c r="AT279" s="1280"/>
      <c r="AU279" s="885">
        <f>AU278/AP278-1</f>
        <v>-0.16103059581320445</v>
      </c>
      <c r="AV279" s="885">
        <f>AV278/AQ278-1</f>
        <v>-0.10320781032078097</v>
      </c>
      <c r="AW279" s="885">
        <f>AW278/AR278-1</f>
        <v>-5.1912568306010987E-2</v>
      </c>
      <c r="AX279" s="885">
        <f>AX278/AS278-1</f>
        <v>-2.8694404591105283E-3</v>
      </c>
      <c r="AY279" s="1280">
        <f>+AY278/AT278-1</f>
        <v>-7.7340079508493087E-2</v>
      </c>
      <c r="AZ279" s="885">
        <f>AZ278/AU278-1</f>
        <v>7.6775431861804355E-2</v>
      </c>
      <c r="BA279" s="885">
        <f>BA278/AV278-1</f>
        <v>7.1539657853810112E-2</v>
      </c>
      <c r="BB279" s="885">
        <f>BB278/AW278-1</f>
        <v>7.6368876080691761E-2</v>
      </c>
      <c r="BC279" s="885">
        <f>BC278/AX278-1</f>
        <v>5.6115107913669027E-2</v>
      </c>
      <c r="BD279" s="1280">
        <f>+BD278/AY278-1</f>
        <v>6.9721895808852352E-2</v>
      </c>
      <c r="BE279" s="885"/>
      <c r="BF279" s="885"/>
      <c r="BG279" s="885"/>
      <c r="BH279" s="885"/>
      <c r="BI279" s="1280"/>
      <c r="BJ279" s="886"/>
      <c r="BK279" s="886"/>
      <c r="BL279" s="886"/>
      <c r="BM279" s="886"/>
      <c r="BN279" s="1280"/>
      <c r="BO279" s="886"/>
      <c r="BP279" s="886"/>
      <c r="BQ279" s="886"/>
      <c r="BR279" s="886"/>
      <c r="BS279" s="1280"/>
      <c r="BT279" s="886"/>
      <c r="BU279" s="886"/>
      <c r="BV279" s="886"/>
      <c r="BW279" s="886"/>
      <c r="BX279" s="1280"/>
      <c r="BY279" s="886"/>
      <c r="BZ279" s="886"/>
      <c r="CA279" s="886"/>
      <c r="CB279" s="1549"/>
      <c r="CC279" s="1280"/>
      <c r="CD279" s="886"/>
      <c r="CE279" s="886"/>
      <c r="CF279" s="886"/>
      <c r="CG279" s="1549"/>
      <c r="CH279" s="1280"/>
      <c r="CI279" s="886"/>
      <c r="CJ279" s="886"/>
      <c r="CK279" s="886"/>
      <c r="CL279" s="886"/>
      <c r="CM279" s="1280"/>
      <c r="CN279" s="886"/>
      <c r="CO279" s="886"/>
      <c r="CP279" s="886"/>
      <c r="CQ279" s="886"/>
      <c r="CR279" s="1046"/>
      <c r="CS279" s="1046"/>
      <c r="CT279" s="1046"/>
      <c r="DB279" s="1226"/>
    </row>
    <row r="280" spans="1:106" outlineLevel="1" x14ac:dyDescent="0.2">
      <c r="A280" s="1595" t="s">
        <v>359</v>
      </c>
      <c r="B280" s="1924" t="s">
        <v>673</v>
      </c>
      <c r="C280" s="1924" t="s">
        <v>673</v>
      </c>
      <c r="D280" s="1924" t="s">
        <v>673</v>
      </c>
      <c r="E280" s="1924" t="s">
        <v>673</v>
      </c>
      <c r="F280" s="1890" t="s">
        <v>673</v>
      </c>
      <c r="G280" s="1924" t="s">
        <v>673</v>
      </c>
      <c r="H280" s="1924" t="s">
        <v>673</v>
      </c>
      <c r="I280" s="1924" t="s">
        <v>673</v>
      </c>
      <c r="J280" s="1924" t="s">
        <v>673</v>
      </c>
      <c r="K280" s="1890" t="s">
        <v>673</v>
      </c>
      <c r="L280" s="1924" t="s">
        <v>673</v>
      </c>
      <c r="M280" s="1924" t="s">
        <v>673</v>
      </c>
      <c r="N280" s="1924" t="s">
        <v>673</v>
      </c>
      <c r="O280" s="1924" t="s">
        <v>673</v>
      </c>
      <c r="P280" s="1890" t="s">
        <v>673</v>
      </c>
      <c r="Q280" s="1924" t="s">
        <v>673</v>
      </c>
      <c r="R280" s="1924" t="s">
        <v>673</v>
      </c>
      <c r="S280" s="1924" t="s">
        <v>673</v>
      </c>
      <c r="T280" s="1924" t="s">
        <v>673</v>
      </c>
      <c r="U280" s="1890" t="s">
        <v>673</v>
      </c>
      <c r="V280" s="1924" t="s">
        <v>673</v>
      </c>
      <c r="W280" s="1924" t="s">
        <v>673</v>
      </c>
      <c r="X280" s="1924" t="s">
        <v>673</v>
      </c>
      <c r="Y280" s="1924" t="s">
        <v>673</v>
      </c>
      <c r="Z280" s="1890" t="s">
        <v>673</v>
      </c>
      <c r="AA280" s="1924" t="s">
        <v>673</v>
      </c>
      <c r="AB280" s="1924" t="s">
        <v>673</v>
      </c>
      <c r="AC280" s="1924" t="s">
        <v>673</v>
      </c>
      <c r="AD280" s="1924" t="s">
        <v>673</v>
      </c>
      <c r="AE280" s="1890" t="s">
        <v>673</v>
      </c>
      <c r="AF280" s="1924" t="s">
        <v>673</v>
      </c>
      <c r="AG280" s="1924" t="s">
        <v>673</v>
      </c>
      <c r="AH280" s="1924" t="s">
        <v>673</v>
      </c>
      <c r="AI280" s="1924" t="s">
        <v>673</v>
      </c>
      <c r="AJ280" s="1890" t="s">
        <v>673</v>
      </c>
      <c r="AK280" s="1924" t="s">
        <v>673</v>
      </c>
      <c r="AL280" s="1924" t="s">
        <v>673</v>
      </c>
      <c r="AM280" s="1924" t="s">
        <v>673</v>
      </c>
      <c r="AN280" s="1924" t="s">
        <v>673</v>
      </c>
      <c r="AO280" s="1890" t="s">
        <v>673</v>
      </c>
      <c r="AP280" s="886">
        <v>2.8000000000000001E-2</v>
      </c>
      <c r="AQ280" s="886">
        <v>-5.0000000000000001E-3</v>
      </c>
      <c r="AR280" s="886">
        <v>-2.3E-2</v>
      </c>
      <c r="AS280" s="886">
        <v>-5.2999999999999999E-2</v>
      </c>
      <c r="AT280" s="1046">
        <v>-2.1000000000000001E-2</v>
      </c>
      <c r="AU280" s="886">
        <v>-8.7999999999999995E-2</v>
      </c>
      <c r="AV280" s="886">
        <v>-7.0000000000000007E-2</v>
      </c>
      <c r="AW280" s="886">
        <v>-3.4000000000000002E-2</v>
      </c>
      <c r="AX280" s="886">
        <v>2E-3</v>
      </c>
      <c r="AY280" s="1046">
        <v>-0.04</v>
      </c>
      <c r="AZ280" s="886">
        <v>4.8000000000000001E-2</v>
      </c>
      <c r="BA280" s="886">
        <v>4.5999999999999999E-2</v>
      </c>
      <c r="BB280" s="886">
        <v>4.8000000000000001E-2</v>
      </c>
      <c r="BC280" s="886">
        <v>3.7999999999999999E-2</v>
      </c>
      <c r="BD280" s="1046">
        <v>4.4999999999999998E-2</v>
      </c>
      <c r="BE280" s="886"/>
      <c r="BF280" s="886"/>
      <c r="BG280" s="886"/>
      <c r="BH280" s="886"/>
      <c r="BI280" s="1046"/>
      <c r="BJ280" s="885"/>
      <c r="BK280" s="885"/>
      <c r="BL280" s="886"/>
      <c r="BM280" s="886"/>
      <c r="BN280" s="1046"/>
      <c r="BO280" s="885"/>
      <c r="BP280" s="885"/>
      <c r="BQ280" s="885"/>
      <c r="BR280" s="886"/>
      <c r="BS280" s="1046"/>
      <c r="BT280" s="885"/>
      <c r="BU280" s="885"/>
      <c r="BV280" s="885"/>
      <c r="BW280" s="886"/>
      <c r="BX280" s="1046"/>
      <c r="BY280" s="885"/>
      <c r="BZ280" s="886"/>
      <c r="CA280" s="886"/>
      <c r="CB280" s="886"/>
      <c r="CC280" s="1280"/>
      <c r="CD280" s="886"/>
      <c r="CE280" s="886"/>
      <c r="CF280" s="886"/>
      <c r="CG280" s="886"/>
      <c r="CH280" s="1280"/>
      <c r="CI280" s="886"/>
      <c r="CJ280" s="886"/>
      <c r="CK280" s="886"/>
      <c r="CL280" s="886"/>
      <c r="CM280" s="1280"/>
      <c r="CN280" s="886"/>
      <c r="CO280" s="886"/>
      <c r="CP280" s="886"/>
      <c r="CQ280" s="886"/>
      <c r="CR280" s="1046"/>
      <c r="CS280" s="1046"/>
      <c r="CT280" s="1046"/>
      <c r="DA280" s="212"/>
      <c r="DB280" s="1226"/>
    </row>
    <row r="281" spans="1:106" s="212" customFormat="1" outlineLevel="1" x14ac:dyDescent="0.2">
      <c r="A281" s="1434" t="s">
        <v>1650</v>
      </c>
      <c r="B281" s="234"/>
      <c r="C281" s="234"/>
      <c r="D281" s="234"/>
      <c r="E281" s="234"/>
      <c r="F281" s="236"/>
      <c r="G281" s="234"/>
      <c r="H281" s="234"/>
      <c r="I281" s="234"/>
      <c r="J281" s="234"/>
      <c r="K281" s="236"/>
      <c r="L281" s="234"/>
      <c r="M281" s="234"/>
      <c r="N281" s="234"/>
      <c r="O281" s="234"/>
      <c r="P281" s="236"/>
      <c r="Q281" s="234"/>
      <c r="R281" s="234"/>
      <c r="S281" s="234"/>
      <c r="T281" s="234"/>
      <c r="U281" s="236"/>
      <c r="V281" s="234"/>
      <c r="W281" s="234"/>
      <c r="X281" s="234"/>
      <c r="Y281" s="234"/>
      <c r="Z281" s="236"/>
      <c r="AA281" s="234"/>
      <c r="AB281" s="234"/>
      <c r="AC281" s="234"/>
      <c r="AD281" s="234"/>
      <c r="AE281" s="236"/>
      <c r="AF281" s="234"/>
      <c r="AG281" s="234"/>
      <c r="AH281" s="234"/>
      <c r="AI281" s="234"/>
      <c r="AJ281" s="236"/>
      <c r="AK281" s="234"/>
      <c r="AL281" s="234"/>
      <c r="AM281" s="234"/>
      <c r="AN281" s="234"/>
      <c r="AO281" s="236"/>
      <c r="AP281" s="1562">
        <v>0.67700000000000005</v>
      </c>
      <c r="AQ281" s="1562">
        <v>0.755</v>
      </c>
      <c r="AR281" s="1562">
        <v>0.78300000000000003</v>
      </c>
      <c r="AS281" s="1562">
        <v>0.73399999999999999</v>
      </c>
      <c r="AT281" s="1480">
        <f>AVERAGE(AP281:AS281)</f>
        <v>0.73724999999999996</v>
      </c>
      <c r="AU281" s="1562">
        <v>0.61499999999999999</v>
      </c>
      <c r="AV281" s="1562">
        <v>0.70699999999999996</v>
      </c>
      <c r="AW281" s="1562">
        <v>0.76200000000000001</v>
      </c>
      <c r="AX281" s="1562">
        <v>0.74099999999999999</v>
      </c>
      <c r="AY281" s="1480">
        <f>AVERAGE(AU281:AX281)</f>
        <v>0.70625000000000004</v>
      </c>
      <c r="AZ281" s="1562">
        <v>0.65600000000000003</v>
      </c>
      <c r="BA281" s="1562">
        <v>0.75600000000000001</v>
      </c>
      <c r="BB281" s="1562">
        <v>0.81299999999999994</v>
      </c>
      <c r="BC281" s="1562">
        <v>0.76600000000000001</v>
      </c>
      <c r="BD281" s="1480">
        <f>AVERAGE(AZ281:BC281)</f>
        <v>0.74774999999999991</v>
      </c>
      <c r="BE281" s="1562"/>
      <c r="BF281" s="1562"/>
      <c r="BG281" s="1562"/>
      <c r="BH281" s="1562"/>
      <c r="BI281" s="1480"/>
      <c r="BJ281" s="1214"/>
      <c r="BK281" s="1214"/>
      <c r="BL281" s="1214"/>
      <c r="BM281" s="1214"/>
      <c r="BN281" s="1480"/>
      <c r="BO281" s="1214"/>
      <c r="BP281" s="1214"/>
      <c r="BQ281" s="1214"/>
      <c r="BR281" s="1214"/>
      <c r="BS281" s="1480"/>
      <c r="BT281" s="1214"/>
      <c r="BU281" s="1214"/>
      <c r="BV281" s="1214"/>
      <c r="BW281" s="1214"/>
      <c r="BX281" s="1480"/>
      <c r="BY281" s="1214"/>
      <c r="CB281" s="192"/>
      <c r="CC281" s="194"/>
      <c r="CG281" s="192"/>
      <c r="CH281" s="194"/>
      <c r="CM281" s="194"/>
      <c r="CR281" s="194"/>
      <c r="CS281" s="194"/>
      <c r="CT281" s="194"/>
      <c r="DB281" s="1226"/>
    </row>
    <row r="282" spans="1:106" s="212" customFormat="1" outlineLevel="1" x14ac:dyDescent="0.2">
      <c r="A282" s="1595" t="s">
        <v>652</v>
      </c>
      <c r="B282" s="234"/>
      <c r="C282" s="234"/>
      <c r="D282" s="234"/>
      <c r="E282" s="234"/>
      <c r="F282" s="236"/>
      <c r="G282" s="234"/>
      <c r="H282" s="234"/>
      <c r="I282" s="234"/>
      <c r="J282" s="234"/>
      <c r="K282" s="236"/>
      <c r="L282" s="234"/>
      <c r="M282" s="234"/>
      <c r="N282" s="234"/>
      <c r="O282" s="234"/>
      <c r="P282" s="236"/>
      <c r="Q282" s="234"/>
      <c r="R282" s="234"/>
      <c r="S282" s="234"/>
      <c r="T282" s="234"/>
      <c r="U282" s="236"/>
      <c r="V282" s="234"/>
      <c r="W282" s="234"/>
      <c r="X282" s="234"/>
      <c r="Y282" s="234"/>
      <c r="Z282" s="236"/>
      <c r="AA282" s="234"/>
      <c r="AB282" s="234"/>
      <c r="AC282" s="234"/>
      <c r="AD282" s="234"/>
      <c r="AE282" s="236"/>
      <c r="AF282" s="234"/>
      <c r="AG282" s="234"/>
      <c r="AH282" s="234"/>
      <c r="AI282" s="234"/>
      <c r="AJ282" s="236"/>
      <c r="AK282" s="234"/>
      <c r="AL282" s="234"/>
      <c r="AM282" s="234"/>
      <c r="AN282" s="234"/>
      <c r="AO282" s="236"/>
      <c r="AP282" s="885"/>
      <c r="AQ282" s="885"/>
      <c r="AR282" s="885"/>
      <c r="AS282" s="885"/>
      <c r="AT282" s="1280"/>
      <c r="AU282" s="885">
        <f>AU281/AP281-1</f>
        <v>-9.1580502215657389E-2</v>
      </c>
      <c r="AV282" s="885">
        <f>AV281/AQ281-1</f>
        <v>-6.3576158940397365E-2</v>
      </c>
      <c r="AW282" s="885">
        <f>AW281/AR281-1</f>
        <v>-2.6819923371647514E-2</v>
      </c>
      <c r="AX282" s="885">
        <f>AX281/AS281-1</f>
        <v>9.5367847411444995E-3</v>
      </c>
      <c r="AY282" s="1280">
        <f>+AY281/AT281-1</f>
        <v>-4.2048151915903609E-2</v>
      </c>
      <c r="AZ282" s="885">
        <f>AZ281/AU281-1</f>
        <v>6.6666666666666652E-2</v>
      </c>
      <c r="BA282" s="885">
        <f>BA281/AV281-1</f>
        <v>6.9306930693069368E-2</v>
      </c>
      <c r="BB282" s="885">
        <f>BB281/AW281-1</f>
        <v>6.6929133858267598E-2</v>
      </c>
      <c r="BC282" s="885">
        <f>BC281/AX281-1</f>
        <v>3.373819163292846E-2</v>
      </c>
      <c r="BD282" s="1280">
        <f>+BD281/AY281-1</f>
        <v>5.876106194690256E-2</v>
      </c>
      <c r="BE282" s="885"/>
      <c r="BF282" s="885"/>
      <c r="BG282" s="885"/>
      <c r="BH282" s="885"/>
      <c r="BI282" s="1280"/>
      <c r="BJ282" s="886"/>
      <c r="BK282" s="886"/>
      <c r="BL282" s="886"/>
      <c r="BM282" s="886"/>
      <c r="BN282" s="1280"/>
      <c r="BO282" s="886"/>
      <c r="BP282" s="886"/>
      <c r="BQ282" s="886"/>
      <c r="BR282" s="886"/>
      <c r="BS282" s="1280"/>
      <c r="BT282" s="886"/>
      <c r="BU282" s="886"/>
      <c r="BV282" s="886"/>
      <c r="BW282" s="886"/>
      <c r="BX282" s="1280"/>
      <c r="BY282" s="886"/>
      <c r="BZ282" s="886"/>
      <c r="CA282" s="886"/>
      <c r="CB282" s="1549"/>
      <c r="CC282" s="1280"/>
      <c r="CD282" s="886"/>
      <c r="CE282" s="886"/>
      <c r="CF282" s="886"/>
      <c r="CG282" s="1549"/>
      <c r="CH282" s="1280"/>
      <c r="CI282" s="886"/>
      <c r="CJ282" s="886"/>
      <c r="CK282" s="886"/>
      <c r="CL282" s="886"/>
      <c r="CM282" s="1280"/>
      <c r="CN282" s="886"/>
      <c r="CO282" s="886"/>
      <c r="CP282" s="886"/>
      <c r="CQ282" s="886"/>
      <c r="CR282" s="1046"/>
      <c r="CS282" s="1046"/>
      <c r="CT282" s="1046"/>
      <c r="DB282" s="1226"/>
    </row>
    <row r="283" spans="1:106" outlineLevel="1" x14ac:dyDescent="0.2">
      <c r="A283" s="1595" t="s">
        <v>359</v>
      </c>
      <c r="B283" s="1924" t="s">
        <v>673</v>
      </c>
      <c r="C283" s="1924" t="s">
        <v>673</v>
      </c>
      <c r="D283" s="1924" t="s">
        <v>673</v>
      </c>
      <c r="E283" s="1924" t="s">
        <v>673</v>
      </c>
      <c r="F283" s="1890" t="s">
        <v>673</v>
      </c>
      <c r="G283" s="1924" t="s">
        <v>673</v>
      </c>
      <c r="H283" s="1924" t="s">
        <v>673</v>
      </c>
      <c r="I283" s="1924" t="s">
        <v>673</v>
      </c>
      <c r="J283" s="1924" t="s">
        <v>673</v>
      </c>
      <c r="K283" s="1890" t="s">
        <v>673</v>
      </c>
      <c r="L283" s="1924" t="s">
        <v>673</v>
      </c>
      <c r="M283" s="1924" t="s">
        <v>673</v>
      </c>
      <c r="N283" s="1924" t="s">
        <v>673</v>
      </c>
      <c r="O283" s="1924" t="s">
        <v>673</v>
      </c>
      <c r="P283" s="1890" t="s">
        <v>673</v>
      </c>
      <c r="Q283" s="1924" t="s">
        <v>673</v>
      </c>
      <c r="R283" s="1924" t="s">
        <v>673</v>
      </c>
      <c r="S283" s="1924" t="s">
        <v>673</v>
      </c>
      <c r="T283" s="1924" t="s">
        <v>673</v>
      </c>
      <c r="U283" s="1890" t="s">
        <v>673</v>
      </c>
      <c r="V283" s="1924" t="s">
        <v>673</v>
      </c>
      <c r="W283" s="1924" t="s">
        <v>673</v>
      </c>
      <c r="X283" s="1924" t="s">
        <v>673</v>
      </c>
      <c r="Y283" s="1924" t="s">
        <v>673</v>
      </c>
      <c r="Z283" s="1890" t="s">
        <v>673</v>
      </c>
      <c r="AA283" s="1924" t="s">
        <v>673</v>
      </c>
      <c r="AB283" s="1924" t="s">
        <v>673</v>
      </c>
      <c r="AC283" s="1924" t="s">
        <v>673</v>
      </c>
      <c r="AD283" s="1924" t="s">
        <v>673</v>
      </c>
      <c r="AE283" s="1890" t="s">
        <v>673</v>
      </c>
      <c r="AF283" s="1924" t="s">
        <v>673</v>
      </c>
      <c r="AG283" s="1924" t="s">
        <v>673</v>
      </c>
      <c r="AH283" s="1924" t="s">
        <v>673</v>
      </c>
      <c r="AI283" s="1924" t="s">
        <v>673</v>
      </c>
      <c r="AJ283" s="1890" t="s">
        <v>673</v>
      </c>
      <c r="AK283" s="1924" t="s">
        <v>673</v>
      </c>
      <c r="AL283" s="1924" t="s">
        <v>673</v>
      </c>
      <c r="AM283" s="1924" t="s">
        <v>673</v>
      </c>
      <c r="AN283" s="1924" t="s">
        <v>673</v>
      </c>
      <c r="AO283" s="1890" t="s">
        <v>673</v>
      </c>
      <c r="AP283" s="886">
        <v>-2.5000000000000001E-2</v>
      </c>
      <c r="AQ283" s="886">
        <v>-5.0000000000000001E-3</v>
      </c>
      <c r="AR283" s="886">
        <v>-2.4E-2</v>
      </c>
      <c r="AS283" s="886">
        <v>-3.5000000000000003E-2</v>
      </c>
      <c r="AT283" s="1046">
        <v>-2.3E-2</v>
      </c>
      <c r="AU283" s="886">
        <v>-0.06</v>
      </c>
      <c r="AV283" s="886">
        <v>-5.6000000000000001E-2</v>
      </c>
      <c r="AW283" s="886">
        <v>-2.8000000000000001E-2</v>
      </c>
      <c r="AX283" s="886">
        <v>-1E-3</v>
      </c>
      <c r="AY283" s="1046">
        <v>-0.03</v>
      </c>
      <c r="AZ283" s="886">
        <v>4.2999999999999997E-2</v>
      </c>
      <c r="BA283" s="886">
        <v>3.9E-2</v>
      </c>
      <c r="BB283" s="886">
        <v>3.4000000000000002E-2</v>
      </c>
      <c r="BC283" s="886">
        <v>1.6E-2</v>
      </c>
      <c r="BD283" s="1046">
        <v>3.1E-2</v>
      </c>
      <c r="BE283" s="886"/>
      <c r="BF283" s="886"/>
      <c r="BG283" s="886"/>
      <c r="BH283" s="886"/>
      <c r="BI283" s="1046"/>
      <c r="BJ283" s="885"/>
      <c r="BK283" s="885"/>
      <c r="BL283" s="886"/>
      <c r="BM283" s="886"/>
      <c r="BN283" s="1046"/>
      <c r="BO283" s="885"/>
      <c r="BP283" s="885"/>
      <c r="BQ283" s="885"/>
      <c r="BR283" s="886"/>
      <c r="BS283" s="1046"/>
      <c r="BT283" s="885"/>
      <c r="BU283" s="885"/>
      <c r="BV283" s="885"/>
      <c r="BW283" s="886"/>
      <c r="BX283" s="1046"/>
      <c r="BY283" s="885"/>
      <c r="BZ283" s="886"/>
      <c r="CA283" s="886"/>
      <c r="CB283" s="886"/>
      <c r="CC283" s="1280"/>
      <c r="CD283" s="886"/>
      <c r="CE283" s="886"/>
      <c r="CF283" s="886"/>
      <c r="CG283" s="886"/>
      <c r="CH283" s="1280"/>
      <c r="CI283" s="886"/>
      <c r="CJ283" s="886"/>
      <c r="CK283" s="886"/>
      <c r="CL283" s="886"/>
      <c r="CM283" s="1280"/>
      <c r="CN283" s="886"/>
      <c r="CO283" s="886"/>
      <c r="CP283" s="886"/>
      <c r="CQ283" s="886"/>
      <c r="CR283" s="1046"/>
      <c r="CS283" s="1046"/>
      <c r="CT283" s="1046"/>
      <c r="DA283" s="212"/>
      <c r="DB283" s="1226"/>
    </row>
    <row r="284" spans="1:106" s="212" customFormat="1" x14ac:dyDescent="0.2">
      <c r="A284" s="1434" t="s">
        <v>1645</v>
      </c>
      <c r="B284" s="234"/>
      <c r="C284" s="234"/>
      <c r="D284" s="234"/>
      <c r="E284" s="234"/>
      <c r="F284" s="236"/>
      <c r="G284" s="234"/>
      <c r="H284" s="234"/>
      <c r="I284" s="234"/>
      <c r="J284" s="234"/>
      <c r="K284" s="236"/>
      <c r="L284" s="234"/>
      <c r="M284" s="234"/>
      <c r="N284" s="234"/>
      <c r="O284" s="234"/>
      <c r="P284" s="236"/>
      <c r="Q284" s="234"/>
      <c r="R284" s="234"/>
      <c r="S284" s="234"/>
      <c r="T284" s="234"/>
      <c r="U284" s="236"/>
      <c r="V284" s="234"/>
      <c r="W284" s="234"/>
      <c r="X284" s="234"/>
      <c r="Y284" s="234"/>
      <c r="Z284" s="236"/>
      <c r="AA284" s="234"/>
      <c r="AB284" s="234"/>
      <c r="AC284" s="234"/>
      <c r="AD284" s="234"/>
      <c r="AE284" s="236"/>
      <c r="AF284" s="234"/>
      <c r="AG284" s="234"/>
      <c r="AH284" s="234"/>
      <c r="AI284" s="234"/>
      <c r="AJ284" s="236"/>
      <c r="AK284" s="234"/>
      <c r="AL284" s="234"/>
      <c r="AM284" s="234"/>
      <c r="AN284" s="234"/>
      <c r="AO284" s="236"/>
      <c r="AP284" s="1562">
        <v>0.752</v>
      </c>
      <c r="AQ284" s="1562">
        <v>0.83099999999999996</v>
      </c>
      <c r="AR284" s="1562">
        <v>0.73399999999999999</v>
      </c>
      <c r="AS284" s="1562">
        <v>0.71299999999999997</v>
      </c>
      <c r="AT284" s="1480">
        <f>AVERAGE(AP284:AS284)</f>
        <v>0.75750000000000006</v>
      </c>
      <c r="AU284" s="1562">
        <v>0.66500000000000004</v>
      </c>
      <c r="AV284" s="1562">
        <v>0.72799999999999998</v>
      </c>
      <c r="AW284" s="1562">
        <v>0.61599999999999999</v>
      </c>
      <c r="AX284" s="1562">
        <v>0.71899999999999997</v>
      </c>
      <c r="AY284" s="1480">
        <f>AVERAGE(AU284:AX284)</f>
        <v>0.68199999999999994</v>
      </c>
      <c r="AZ284" s="1562">
        <v>0.67600000000000005</v>
      </c>
      <c r="BA284" s="1562">
        <v>0.76700000000000002</v>
      </c>
      <c r="BB284" s="1562">
        <v>0.627</v>
      </c>
      <c r="BC284" s="1562">
        <v>0.73099999999999998</v>
      </c>
      <c r="BD284" s="1480">
        <f>AVERAGE(AZ284:BC284)</f>
        <v>0.70025000000000004</v>
      </c>
      <c r="BE284" s="1562">
        <v>0.57999999999999996</v>
      </c>
      <c r="BF284" s="1562">
        <v>0.56699999999999995</v>
      </c>
      <c r="BG284" s="1562">
        <v>0.56200000000000006</v>
      </c>
      <c r="BH284" s="1562">
        <v>0.61499999999999999</v>
      </c>
      <c r="BI284" s="1480">
        <f>AVERAGE(BE284:BH284)</f>
        <v>0.58099999999999996</v>
      </c>
      <c r="BJ284" s="1562">
        <v>0.57699999999999996</v>
      </c>
      <c r="BK284" s="1562">
        <v>0.626</v>
      </c>
      <c r="BL284" s="1562">
        <v>0.59299999999999997</v>
      </c>
      <c r="BM284" s="1562">
        <v>0.65700000000000003</v>
      </c>
      <c r="BN284" s="1993">
        <v>0.61799999999999999</v>
      </c>
      <c r="BO284" s="1562">
        <v>0.59699999999999998</v>
      </c>
      <c r="BP284" s="1562">
        <v>0.625</v>
      </c>
      <c r="BQ284" s="1562">
        <v>0.47399999999999998</v>
      </c>
      <c r="BR284" s="1562">
        <v>0.55800000000000005</v>
      </c>
      <c r="BS284" s="1993">
        <v>0.56299999999999994</v>
      </c>
      <c r="BT284" s="1562">
        <v>0.60499999999999998</v>
      </c>
      <c r="BU284" s="1562">
        <v>0.63400000000000001</v>
      </c>
      <c r="BV284" s="1562">
        <v>0.54</v>
      </c>
      <c r="BW284" s="1562">
        <v>0.64400000000000002</v>
      </c>
      <c r="BX284" s="1993">
        <v>0.60299999999999998</v>
      </c>
      <c r="BY284" s="1562">
        <v>0.65300000000000002</v>
      </c>
      <c r="BZ284" s="1562">
        <v>0.629</v>
      </c>
      <c r="CA284" s="1562">
        <v>0.55900000000000005</v>
      </c>
      <c r="CB284" s="1562">
        <v>0.623</v>
      </c>
      <c r="CC284" s="1993">
        <v>0.61599999999999999</v>
      </c>
      <c r="CD284" s="1562">
        <v>0.68</v>
      </c>
      <c r="CE284" s="1562">
        <v>0.60499999999999998</v>
      </c>
      <c r="CF284" s="1562">
        <v>0.63500000000000001</v>
      </c>
      <c r="CG284" s="1562">
        <v>0.67300000000000004</v>
      </c>
      <c r="CH284" s="1993">
        <v>0.64200000000000002</v>
      </c>
      <c r="CI284" s="1562">
        <v>0.68300000000000005</v>
      </c>
      <c r="CJ284" s="1562">
        <v>0.62</v>
      </c>
      <c r="CK284" s="1562">
        <v>0.629</v>
      </c>
      <c r="CL284" s="1562">
        <v>0.68799999999999994</v>
      </c>
      <c r="CM284" s="1993">
        <v>0.65400000000000003</v>
      </c>
      <c r="CN284" s="1562"/>
      <c r="CO284" s="1562"/>
      <c r="CR284" s="194"/>
      <c r="CS284" s="194"/>
      <c r="CT284" s="194"/>
      <c r="DB284" s="1226"/>
    </row>
    <row r="285" spans="1:106" s="212" customFormat="1" x14ac:dyDescent="0.2">
      <c r="A285" s="1595" t="s">
        <v>652</v>
      </c>
      <c r="B285" s="234"/>
      <c r="C285" s="234"/>
      <c r="D285" s="234"/>
      <c r="E285" s="234"/>
      <c r="F285" s="236"/>
      <c r="G285" s="234"/>
      <c r="H285" s="234"/>
      <c r="I285" s="234"/>
      <c r="J285" s="234"/>
      <c r="K285" s="236"/>
      <c r="L285" s="234"/>
      <c r="M285" s="234"/>
      <c r="N285" s="234"/>
      <c r="O285" s="234"/>
      <c r="P285" s="236"/>
      <c r="Q285" s="234"/>
      <c r="R285" s="234"/>
      <c r="S285" s="234"/>
      <c r="T285" s="234"/>
      <c r="U285" s="236"/>
      <c r="V285" s="234"/>
      <c r="W285" s="234"/>
      <c r="X285" s="234"/>
      <c r="Y285" s="234"/>
      <c r="Z285" s="236"/>
      <c r="AA285" s="234"/>
      <c r="AB285" s="234"/>
      <c r="AC285" s="234"/>
      <c r="AD285" s="234"/>
      <c r="AE285" s="236"/>
      <c r="AF285" s="234"/>
      <c r="AG285" s="234"/>
      <c r="AH285" s="234"/>
      <c r="AI285" s="234"/>
      <c r="AJ285" s="236"/>
      <c r="AK285" s="234"/>
      <c r="AL285" s="234"/>
      <c r="AM285" s="234"/>
      <c r="AN285" s="234"/>
      <c r="AO285" s="236"/>
      <c r="AP285" s="885"/>
      <c r="AQ285" s="885"/>
      <c r="AR285" s="885"/>
      <c r="AS285" s="885"/>
      <c r="AT285" s="1280"/>
      <c r="AU285" s="885">
        <f>AU284/AP284-1</f>
        <v>-0.11569148936170204</v>
      </c>
      <c r="AV285" s="885">
        <f>AV284/AQ284-1</f>
        <v>-0.12394705174488563</v>
      </c>
      <c r="AW285" s="885">
        <f>AW284/AR284-1</f>
        <v>-0.1607629427792916</v>
      </c>
      <c r="AX285" s="885">
        <f>AX284/AS284-1</f>
        <v>8.4151472650770831E-3</v>
      </c>
      <c r="AY285" s="1280">
        <f>+AY284/AT284-1</f>
        <v>-9.9669966996699833E-2</v>
      </c>
      <c r="AZ285" s="885">
        <f>AZ284/AU284-1</f>
        <v>1.6541353383458635E-2</v>
      </c>
      <c r="BA285" s="885">
        <f>BA284/AV284-1</f>
        <v>5.3571428571428603E-2</v>
      </c>
      <c r="BB285" s="885">
        <f>BB284/AW284-1</f>
        <v>1.7857142857142794E-2</v>
      </c>
      <c r="BC285" s="885">
        <f>BC284/AX284-1</f>
        <v>1.6689847009735859E-2</v>
      </c>
      <c r="BD285" s="1280">
        <f>+BD284/AY284-1</f>
        <v>2.6759530791788944E-2</v>
      </c>
      <c r="BE285" s="885">
        <f>BE284/AZ284-1</f>
        <v>-0.1420118343195268</v>
      </c>
      <c r="BF285" s="885">
        <f>BF284/BA284-1</f>
        <v>-0.26075619295958286</v>
      </c>
      <c r="BG285" s="885">
        <f>BG284/BB284-1</f>
        <v>-0.10366826156299835</v>
      </c>
      <c r="BH285" s="885">
        <f>BH284/BC284-1</f>
        <v>-0.15868673050615589</v>
      </c>
      <c r="BI285" s="1280">
        <f>+BI284/BD284-1</f>
        <v>-0.170296322741878</v>
      </c>
      <c r="BJ285" s="885">
        <f t="shared" ref="BJ285:BQ285" si="230">BJ284/BE284-1</f>
        <v>-5.1724137931034031E-3</v>
      </c>
      <c r="BK285" s="885">
        <f t="shared" si="230"/>
        <v>0.10405643738977077</v>
      </c>
      <c r="BL285" s="885">
        <f t="shared" si="230"/>
        <v>5.5160142348754215E-2</v>
      </c>
      <c r="BM285" s="885">
        <f t="shared" si="230"/>
        <v>6.8292682926829329E-2</v>
      </c>
      <c r="BN285" s="1280">
        <f t="shared" si="230"/>
        <v>6.3683304647160099E-2</v>
      </c>
      <c r="BO285" s="885">
        <f t="shared" si="230"/>
        <v>3.4662045060658508E-2</v>
      </c>
      <c r="BP285" s="885">
        <f t="shared" si="230"/>
        <v>-1.5974440894568342E-3</v>
      </c>
      <c r="BQ285" s="885">
        <f t="shared" si="230"/>
        <v>-0.20067453625632381</v>
      </c>
      <c r="BR285" s="885">
        <f t="shared" ref="BR285:CM285" si="231">BR284/BM284-1</f>
        <v>-0.15068493150684925</v>
      </c>
      <c r="BS285" s="1280">
        <f t="shared" si="231"/>
        <v>-8.8996763754045416E-2</v>
      </c>
      <c r="BT285" s="885">
        <f t="shared" si="231"/>
        <v>1.3400335008375119E-2</v>
      </c>
      <c r="BU285" s="885">
        <f t="shared" si="231"/>
        <v>1.4399999999999968E-2</v>
      </c>
      <c r="BV285" s="885">
        <f t="shared" si="231"/>
        <v>0.139240506329114</v>
      </c>
      <c r="BW285" s="885">
        <f t="shared" si="231"/>
        <v>0.15412186379928317</v>
      </c>
      <c r="BX285" s="1280">
        <f t="shared" si="231"/>
        <v>7.1047957371225712E-2</v>
      </c>
      <c r="BY285" s="885">
        <f t="shared" si="231"/>
        <v>7.9338842975206658E-2</v>
      </c>
      <c r="BZ285" s="885">
        <f t="shared" si="231"/>
        <v>-7.8864353312303459E-3</v>
      </c>
      <c r="CA285" s="885">
        <f t="shared" si="231"/>
        <v>3.5185185185185208E-2</v>
      </c>
      <c r="CB285" s="885">
        <f t="shared" si="231"/>
        <v>-3.2608695652173947E-2</v>
      </c>
      <c r="CC285" s="1280">
        <f t="shared" si="231"/>
        <v>2.1558872305140975E-2</v>
      </c>
      <c r="CD285" s="885">
        <f t="shared" si="231"/>
        <v>4.1347626339969468E-2</v>
      </c>
      <c r="CE285" s="885">
        <f t="shared" si="231"/>
        <v>-3.8155802861685295E-2</v>
      </c>
      <c r="CF285" s="885">
        <f t="shared" si="231"/>
        <v>0.13595706618962433</v>
      </c>
      <c r="CG285" s="885">
        <f t="shared" si="231"/>
        <v>8.0256821829855607E-2</v>
      </c>
      <c r="CH285" s="1280">
        <f t="shared" si="231"/>
        <v>4.2207792207792139E-2</v>
      </c>
      <c r="CI285" s="885">
        <f t="shared" si="231"/>
        <v>4.4117647058823373E-3</v>
      </c>
      <c r="CJ285" s="885">
        <f t="shared" si="231"/>
        <v>2.4793388429751984E-2</v>
      </c>
      <c r="CK285" s="885">
        <f t="shared" si="231"/>
        <v>-9.4488188976378229E-3</v>
      </c>
      <c r="CL285" s="885">
        <f t="shared" si="231"/>
        <v>2.2288261515601704E-2</v>
      </c>
      <c r="CM285" s="1280">
        <f t="shared" si="231"/>
        <v>1.8691588785046731E-2</v>
      </c>
      <c r="CN285" s="885"/>
      <c r="CO285" s="885"/>
      <c r="CP285" s="886"/>
      <c r="CQ285" s="886"/>
      <c r="CR285" s="1046"/>
      <c r="CS285" s="1046"/>
      <c r="CT285" s="1046"/>
      <c r="DB285" s="1226"/>
    </row>
    <row r="286" spans="1:106" x14ac:dyDescent="0.2">
      <c r="A286" s="1595" t="s">
        <v>359</v>
      </c>
      <c r="B286" s="1924" t="s">
        <v>673</v>
      </c>
      <c r="C286" s="1924" t="s">
        <v>673</v>
      </c>
      <c r="D286" s="1924" t="s">
        <v>673</v>
      </c>
      <c r="E286" s="1924" t="s">
        <v>673</v>
      </c>
      <c r="F286" s="1890" t="s">
        <v>673</v>
      </c>
      <c r="G286" s="1924" t="s">
        <v>673</v>
      </c>
      <c r="H286" s="1924" t="s">
        <v>673</v>
      </c>
      <c r="I286" s="1924" t="s">
        <v>673</v>
      </c>
      <c r="J286" s="1924" t="s">
        <v>673</v>
      </c>
      <c r="K286" s="1890" t="s">
        <v>673</v>
      </c>
      <c r="L286" s="1924" t="s">
        <v>673</v>
      </c>
      <c r="M286" s="1924" t="s">
        <v>673</v>
      </c>
      <c r="N286" s="1924" t="s">
        <v>673</v>
      </c>
      <c r="O286" s="1924" t="s">
        <v>673</v>
      </c>
      <c r="P286" s="1890" t="s">
        <v>673</v>
      </c>
      <c r="Q286" s="1924" t="s">
        <v>673</v>
      </c>
      <c r="R286" s="1924" t="s">
        <v>673</v>
      </c>
      <c r="S286" s="1924" t="s">
        <v>673</v>
      </c>
      <c r="T286" s="1924" t="s">
        <v>673</v>
      </c>
      <c r="U286" s="1890" t="s">
        <v>673</v>
      </c>
      <c r="V286" s="1924" t="s">
        <v>673</v>
      </c>
      <c r="W286" s="1924" t="s">
        <v>673</v>
      </c>
      <c r="X286" s="1924" t="s">
        <v>673</v>
      </c>
      <c r="Y286" s="1924" t="s">
        <v>673</v>
      </c>
      <c r="Z286" s="1890" t="s">
        <v>673</v>
      </c>
      <c r="AA286" s="1924" t="s">
        <v>673</v>
      </c>
      <c r="AB286" s="1924" t="s">
        <v>673</v>
      </c>
      <c r="AC286" s="1924" t="s">
        <v>673</v>
      </c>
      <c r="AD286" s="1924" t="s">
        <v>673</v>
      </c>
      <c r="AE286" s="1890" t="s">
        <v>673</v>
      </c>
      <c r="AF286" s="1924" t="s">
        <v>673</v>
      </c>
      <c r="AG286" s="1924" t="s">
        <v>673</v>
      </c>
      <c r="AH286" s="1924" t="s">
        <v>673</v>
      </c>
      <c r="AI286" s="1924" t="s">
        <v>673</v>
      </c>
      <c r="AJ286" s="1890" t="s">
        <v>673</v>
      </c>
      <c r="AK286" s="1924" t="s">
        <v>673</v>
      </c>
      <c r="AL286" s="1924" t="s">
        <v>673</v>
      </c>
      <c r="AM286" s="1924" t="s">
        <v>673</v>
      </c>
      <c r="AN286" s="1924" t="s">
        <v>673</v>
      </c>
      <c r="AO286" s="1890" t="s">
        <v>673</v>
      </c>
      <c r="AP286" s="886">
        <v>0.02</v>
      </c>
      <c r="AQ286" s="886">
        <v>6.7000000000000004E-2</v>
      </c>
      <c r="AR286" s="886">
        <v>2.7E-2</v>
      </c>
      <c r="AS286" s="886">
        <v>-4.0000000000000001E-3</v>
      </c>
      <c r="AT286" s="1046">
        <v>2.5000000000000001E-2</v>
      </c>
      <c r="AU286" s="886">
        <v>-9.7000000000000003E-2</v>
      </c>
      <c r="AV286" s="886">
        <v>-0.127</v>
      </c>
      <c r="AW286" s="886">
        <v>-0.13800000000000001</v>
      </c>
      <c r="AX286" s="886">
        <v>-2.4E-2</v>
      </c>
      <c r="AY286" s="1046">
        <v>-9.0999999999999998E-2</v>
      </c>
      <c r="AZ286" s="886">
        <v>1.4999999999999999E-2</v>
      </c>
      <c r="BA286" s="886">
        <v>3.7999999999999999E-2</v>
      </c>
      <c r="BB286" s="886">
        <v>1.6E-2</v>
      </c>
      <c r="BC286" s="886">
        <v>2.7E-2</v>
      </c>
      <c r="BD286" s="1046">
        <v>2.7E-2</v>
      </c>
      <c r="BE286" s="886">
        <v>-4.1000000000000002E-2</v>
      </c>
      <c r="BF286" s="886">
        <v>-0.16900000000000001</v>
      </c>
      <c r="BG286" s="886">
        <v>-7.0000000000000007E-2</v>
      </c>
      <c r="BH286" s="886">
        <v>-9.0999999999999998E-2</v>
      </c>
      <c r="BI286" s="1046">
        <v>-9.7000000000000003E-2</v>
      </c>
      <c r="BJ286" s="886">
        <v>1.4E-2</v>
      </c>
      <c r="BK286" s="886">
        <v>7.6999999999999999E-2</v>
      </c>
      <c r="BL286" s="886">
        <v>4.3999999999999997E-2</v>
      </c>
      <c r="BM286" s="886">
        <v>0.06</v>
      </c>
      <c r="BN286" s="1046">
        <v>5.6000000000000001E-2</v>
      </c>
      <c r="BO286" s="886">
        <v>4.1000000000000002E-2</v>
      </c>
      <c r="BP286" s="886">
        <v>4.4999999999999998E-2</v>
      </c>
      <c r="BQ286" s="886">
        <v>-9.7000000000000003E-2</v>
      </c>
      <c r="BR286" s="886">
        <v>-7.1999999999999995E-2</v>
      </c>
      <c r="BS286" s="1046">
        <v>-2.1000000000000001E-2</v>
      </c>
      <c r="BT286" s="886">
        <v>5.0000000000000001E-3</v>
      </c>
      <c r="BU286" s="886">
        <v>2.1000000000000001E-2</v>
      </c>
      <c r="BV286" s="886">
        <v>9.6000000000000002E-2</v>
      </c>
      <c r="BW286" s="886">
        <v>8.8999999999999996E-2</v>
      </c>
      <c r="BX286" s="1046">
        <v>5.3999999999999999E-2</v>
      </c>
      <c r="BY286" s="886">
        <v>6.5000000000000002E-2</v>
      </c>
      <c r="BZ286" s="886">
        <v>2.3E-2</v>
      </c>
      <c r="CA286" s="886">
        <v>3.3000000000000002E-2</v>
      </c>
      <c r="CB286" s="886">
        <v>-8.9999999999999993E-3</v>
      </c>
      <c r="CC286" s="1046">
        <v>2.8000000000000001E-2</v>
      </c>
      <c r="CD286" s="886">
        <v>7.0000000000000001E-3</v>
      </c>
      <c r="CE286" s="886">
        <v>-2.1000000000000001E-2</v>
      </c>
      <c r="CF286" s="886">
        <v>3.2000000000000001E-2</v>
      </c>
      <c r="CG286" s="886">
        <v>5.0000000000000001E-3</v>
      </c>
      <c r="CH286" s="1046">
        <v>4.0000000000000001E-3</v>
      </c>
      <c r="CI286" s="886">
        <v>1.9E-2</v>
      </c>
      <c r="CJ286" s="886">
        <v>1.2999999999999999E-2</v>
      </c>
      <c r="CK286" s="886">
        <v>8.9999999999999993E-3</v>
      </c>
      <c r="CL286" s="886">
        <v>1.7000000000000001E-2</v>
      </c>
      <c r="CM286" s="1046">
        <v>1.4999999999999999E-2</v>
      </c>
      <c r="CN286" s="886"/>
      <c r="CO286" s="886"/>
      <c r="CP286" s="886"/>
      <c r="CQ286" s="886"/>
      <c r="CR286" s="1046"/>
      <c r="CS286" s="1046"/>
      <c r="CT286" s="1046"/>
      <c r="DA286" s="212"/>
      <c r="DB286" s="1226"/>
    </row>
    <row r="287" spans="1:106" s="212" customFormat="1" x14ac:dyDescent="0.2">
      <c r="A287" s="1434" t="s">
        <v>808</v>
      </c>
      <c r="B287" s="234"/>
      <c r="C287" s="234"/>
      <c r="D287" s="234"/>
      <c r="E287" s="234"/>
      <c r="F287" s="236"/>
      <c r="G287" s="234"/>
      <c r="H287" s="234"/>
      <c r="I287" s="234"/>
      <c r="J287" s="234"/>
      <c r="K287" s="236"/>
      <c r="L287" s="234"/>
      <c r="M287" s="234"/>
      <c r="N287" s="234"/>
      <c r="O287" s="234"/>
      <c r="P287" s="236"/>
      <c r="Q287" s="234"/>
      <c r="R287" s="234"/>
      <c r="S287" s="234"/>
      <c r="T287" s="234"/>
      <c r="U287" s="236"/>
      <c r="V287" s="234"/>
      <c r="W287" s="234"/>
      <c r="X287" s="234"/>
      <c r="Y287" s="234"/>
      <c r="Z287" s="236"/>
      <c r="AA287" s="234"/>
      <c r="AB287" s="234"/>
      <c r="AC287" s="234"/>
      <c r="AD287" s="234"/>
      <c r="AE287" s="236"/>
      <c r="AF287" s="234"/>
      <c r="AG287" s="234"/>
      <c r="AH287" s="234"/>
      <c r="AI287" s="234"/>
      <c r="AJ287" s="236"/>
      <c r="AK287" s="234"/>
      <c r="AL287" s="234"/>
      <c r="AM287" s="234"/>
      <c r="AN287" s="234"/>
      <c r="AO287" s="236"/>
      <c r="AP287" s="1562">
        <v>0.71299999999999997</v>
      </c>
      <c r="AQ287" s="1562">
        <v>0.745</v>
      </c>
      <c r="AR287" s="1562">
        <v>0.71899999999999997</v>
      </c>
      <c r="AS287" s="1562">
        <v>0.67300000000000004</v>
      </c>
      <c r="AT287" s="1480">
        <f>AVERAGE(AP287:AS287)</f>
        <v>0.71250000000000002</v>
      </c>
      <c r="AU287" s="1562">
        <v>0.59</v>
      </c>
      <c r="AV287" s="1562">
        <v>0.61499999999999999</v>
      </c>
      <c r="AW287" s="1562">
        <v>0.63100000000000001</v>
      </c>
      <c r="AX287" s="1562">
        <v>0.69099999999999995</v>
      </c>
      <c r="AY287" s="1480">
        <f>AVERAGE(AU287:AX287)</f>
        <v>0.63175000000000003</v>
      </c>
      <c r="AZ287" s="1562">
        <v>0.60799999999999998</v>
      </c>
      <c r="BA287" s="1562">
        <v>0.69</v>
      </c>
      <c r="BB287" s="1562">
        <v>0.68200000000000005</v>
      </c>
      <c r="BC287" s="1562">
        <v>0.69199999999999995</v>
      </c>
      <c r="BD287" s="1480">
        <f>AVERAGE(AZ287:BC287)</f>
        <v>0.66799999999999993</v>
      </c>
      <c r="BE287" s="1562">
        <v>0.63800000000000001</v>
      </c>
      <c r="BF287" s="1562">
        <v>0.71399999999999997</v>
      </c>
      <c r="BG287" s="1562">
        <v>0.73</v>
      </c>
      <c r="BH287" s="1562">
        <v>0.752</v>
      </c>
      <c r="BI287" s="1480">
        <f>AVERAGE(BE287:BH287)</f>
        <v>0.70849999999999991</v>
      </c>
      <c r="BJ287" s="1562">
        <v>0.67300000000000004</v>
      </c>
      <c r="BK287" s="1562">
        <v>0.74299999999999999</v>
      </c>
      <c r="BL287" s="1562">
        <v>0.71899999999999997</v>
      </c>
      <c r="BM287" s="1562">
        <v>0.753</v>
      </c>
      <c r="BN287" s="1993">
        <v>0.72899999999999998</v>
      </c>
      <c r="BO287" s="1562">
        <v>0.70299999999999996</v>
      </c>
      <c r="BP287" s="1562">
        <v>0.72799999999999998</v>
      </c>
      <c r="BQ287" s="1562">
        <v>0.74199999999999999</v>
      </c>
      <c r="BR287" s="1562">
        <v>0.76400000000000001</v>
      </c>
      <c r="BS287" s="1993">
        <v>0.73399999999999999</v>
      </c>
      <c r="BT287" s="1562">
        <v>0.71199999999999997</v>
      </c>
      <c r="BU287" s="1562">
        <v>0.73299999999999998</v>
      </c>
      <c r="BV287" s="1562">
        <v>0.751</v>
      </c>
      <c r="BW287" s="1562">
        <v>0.76500000000000001</v>
      </c>
      <c r="BX287" s="1993">
        <v>0.74099999999999999</v>
      </c>
      <c r="BY287" s="1562">
        <v>0.72199999999999998</v>
      </c>
      <c r="BZ287" s="1562">
        <v>0.745</v>
      </c>
      <c r="CA287" s="1562">
        <v>0.75</v>
      </c>
      <c r="CB287" s="1562">
        <v>0.76800000000000002</v>
      </c>
      <c r="CC287" s="1993">
        <v>0.746</v>
      </c>
      <c r="CD287" s="1562">
        <v>0.71799999999999997</v>
      </c>
      <c r="CE287" s="1562">
        <v>0.755</v>
      </c>
      <c r="CF287" s="1562">
        <v>0.76700000000000002</v>
      </c>
      <c r="CG287" s="1562">
        <v>0.72499999999999998</v>
      </c>
      <c r="CH287" s="1993">
        <v>0.70199999999999996</v>
      </c>
      <c r="CI287" s="1562">
        <v>0.69499999999999995</v>
      </c>
      <c r="CJ287" s="1562">
        <v>0.71299999999999997</v>
      </c>
      <c r="CK287" s="1562">
        <v>0.77</v>
      </c>
      <c r="CL287" s="1562">
        <v>0.74299999999999999</v>
      </c>
      <c r="CM287" s="1993">
        <v>0.72599999999999998</v>
      </c>
      <c r="CN287" s="1562"/>
      <c r="CO287" s="1562"/>
      <c r="CR287" s="194"/>
      <c r="CS287" s="194"/>
      <c r="CT287" s="194"/>
      <c r="DB287" s="1226"/>
    </row>
    <row r="288" spans="1:106" s="212" customFormat="1" x14ac:dyDescent="0.2">
      <c r="A288" s="1595" t="s">
        <v>652</v>
      </c>
      <c r="B288" s="234"/>
      <c r="C288" s="234"/>
      <c r="D288" s="234"/>
      <c r="E288" s="234"/>
      <c r="F288" s="236"/>
      <c r="G288" s="234"/>
      <c r="H288" s="234"/>
      <c r="I288" s="234"/>
      <c r="J288" s="234"/>
      <c r="K288" s="236"/>
      <c r="L288" s="234"/>
      <c r="M288" s="234"/>
      <c r="N288" s="234"/>
      <c r="O288" s="234"/>
      <c r="P288" s="236"/>
      <c r="Q288" s="234"/>
      <c r="R288" s="234"/>
      <c r="S288" s="234"/>
      <c r="T288" s="234"/>
      <c r="U288" s="236"/>
      <c r="V288" s="234"/>
      <c r="W288" s="234"/>
      <c r="X288" s="234"/>
      <c r="Y288" s="234"/>
      <c r="Z288" s="236"/>
      <c r="AA288" s="234"/>
      <c r="AB288" s="234"/>
      <c r="AC288" s="234"/>
      <c r="AD288" s="234"/>
      <c r="AE288" s="236"/>
      <c r="AF288" s="234"/>
      <c r="AG288" s="234"/>
      <c r="AH288" s="234"/>
      <c r="AI288" s="234"/>
      <c r="AJ288" s="236"/>
      <c r="AK288" s="234"/>
      <c r="AL288" s="234"/>
      <c r="AM288" s="234"/>
      <c r="AN288" s="234"/>
      <c r="AO288" s="236"/>
      <c r="AP288" s="885"/>
      <c r="AQ288" s="885"/>
      <c r="AR288" s="885"/>
      <c r="AS288" s="885"/>
      <c r="AT288" s="1280"/>
      <c r="AU288" s="885">
        <f>AU287/AP287-1</f>
        <v>-0.17251051893408131</v>
      </c>
      <c r="AV288" s="885">
        <f>AV287/AQ287-1</f>
        <v>-0.17449664429530198</v>
      </c>
      <c r="AW288" s="885">
        <f>AW287/AR287-1</f>
        <v>-0.12239221140472878</v>
      </c>
      <c r="AX288" s="885">
        <f>AX287/AS287-1</f>
        <v>2.6745913818722045E-2</v>
      </c>
      <c r="AY288" s="1280">
        <f>+AY287/AT287-1</f>
        <v>-0.11333333333333329</v>
      </c>
      <c r="AZ288" s="885">
        <f>AZ287/AU287-1</f>
        <v>3.050847457627115E-2</v>
      </c>
      <c r="BA288" s="885">
        <f>BA287/AV287-1</f>
        <v>0.12195121951219501</v>
      </c>
      <c r="BB288" s="885">
        <f>BB287/AW287-1</f>
        <v>8.0824088748019163E-2</v>
      </c>
      <c r="BC288" s="885">
        <f>BC287/AX287-1</f>
        <v>1.4471780028944004E-3</v>
      </c>
      <c r="BD288" s="1280">
        <f>+BD287/AY287-1</f>
        <v>5.738029283735635E-2</v>
      </c>
      <c r="BE288" s="885">
        <f>BE287/AZ287-1</f>
        <v>4.9342105263157965E-2</v>
      </c>
      <c r="BF288" s="885">
        <f>BF287/BA287-1</f>
        <v>3.4782608695652195E-2</v>
      </c>
      <c r="BG288" s="885">
        <f>BG287/BB287-1</f>
        <v>7.038123167155419E-2</v>
      </c>
      <c r="BH288" s="885">
        <f>BH287/BC287-1</f>
        <v>8.6705202312138852E-2</v>
      </c>
      <c r="BI288" s="1280">
        <f>+BI287/BD287-1</f>
        <v>6.062874251497008E-2</v>
      </c>
      <c r="BJ288" s="885">
        <f t="shared" ref="BJ288:BQ288" si="232">BJ287/BE287-1</f>
        <v>5.4858934169279117E-2</v>
      </c>
      <c r="BK288" s="885">
        <f t="shared" si="232"/>
        <v>4.0616246498599518E-2</v>
      </c>
      <c r="BL288" s="885">
        <f t="shared" si="232"/>
        <v>-1.5068493150684925E-2</v>
      </c>
      <c r="BM288" s="885">
        <f t="shared" si="232"/>
        <v>1.3297872340425343E-3</v>
      </c>
      <c r="BN288" s="1280">
        <f t="shared" si="232"/>
        <v>2.8934368383909836E-2</v>
      </c>
      <c r="BO288" s="885">
        <f t="shared" si="232"/>
        <v>4.4576523031203408E-2</v>
      </c>
      <c r="BP288" s="885">
        <f t="shared" si="232"/>
        <v>-2.0188425302826385E-2</v>
      </c>
      <c r="BQ288" s="885">
        <f t="shared" si="232"/>
        <v>3.1988873435326859E-2</v>
      </c>
      <c r="BR288" s="885">
        <f t="shared" ref="BR288:CM288" si="233">BR287/BM287-1</f>
        <v>1.4608233731739695E-2</v>
      </c>
      <c r="BS288" s="1280">
        <f t="shared" si="233"/>
        <v>6.8587105624142719E-3</v>
      </c>
      <c r="BT288" s="885">
        <f t="shared" si="233"/>
        <v>1.2802275960170695E-2</v>
      </c>
      <c r="BU288" s="885">
        <f t="shared" si="233"/>
        <v>6.8681318681318437E-3</v>
      </c>
      <c r="BV288" s="885">
        <f t="shared" si="233"/>
        <v>1.2129380053908401E-2</v>
      </c>
      <c r="BW288" s="885">
        <f t="shared" si="233"/>
        <v>1.3089005235602524E-3</v>
      </c>
      <c r="BX288" s="1280">
        <f t="shared" si="233"/>
        <v>9.5367847411444995E-3</v>
      </c>
      <c r="BY288" s="885">
        <f t="shared" si="233"/>
        <v>1.4044943820224809E-2</v>
      </c>
      <c r="BZ288" s="885">
        <f t="shared" si="233"/>
        <v>1.6371077762619368E-2</v>
      </c>
      <c r="CA288" s="885">
        <f t="shared" si="233"/>
        <v>-1.3315579227696217E-3</v>
      </c>
      <c r="CB288" s="885">
        <f t="shared" si="233"/>
        <v>3.9215686274509665E-3</v>
      </c>
      <c r="CC288" s="1280">
        <f t="shared" si="233"/>
        <v>6.7476383265856477E-3</v>
      </c>
      <c r="CD288" s="885">
        <f t="shared" si="233"/>
        <v>-5.5401662049862077E-3</v>
      </c>
      <c r="CE288" s="885">
        <f t="shared" si="233"/>
        <v>1.3422818791946289E-2</v>
      </c>
      <c r="CF288" s="885">
        <f t="shared" si="233"/>
        <v>2.2666666666666613E-2</v>
      </c>
      <c r="CG288" s="885">
        <f t="shared" si="233"/>
        <v>-5.598958333333337E-2</v>
      </c>
      <c r="CH288" s="1280">
        <f t="shared" si="233"/>
        <v>-5.8981233243967868E-2</v>
      </c>
      <c r="CI288" s="885">
        <f t="shared" si="233"/>
        <v>-3.2033426183844083E-2</v>
      </c>
      <c r="CJ288" s="885">
        <f t="shared" si="233"/>
        <v>-5.5629139072847722E-2</v>
      </c>
      <c r="CK288" s="885">
        <f t="shared" si="233"/>
        <v>3.9113428943937656E-3</v>
      </c>
      <c r="CL288" s="885">
        <f t="shared" si="233"/>
        <v>2.4827586206896513E-2</v>
      </c>
      <c r="CM288" s="1280">
        <f t="shared" si="233"/>
        <v>3.4188034188034289E-2</v>
      </c>
      <c r="CN288" s="885"/>
      <c r="CO288" s="885"/>
      <c r="CP288" s="886"/>
      <c r="CQ288" s="886"/>
      <c r="CR288" s="1046"/>
      <c r="CS288" s="1046"/>
      <c r="CT288" s="1046"/>
      <c r="DB288" s="1226"/>
    </row>
    <row r="289" spans="1:106" x14ac:dyDescent="0.2">
      <c r="A289" s="1595" t="s">
        <v>359</v>
      </c>
      <c r="B289" s="1924" t="s">
        <v>673</v>
      </c>
      <c r="C289" s="1924" t="s">
        <v>673</v>
      </c>
      <c r="D289" s="1924" t="s">
        <v>673</v>
      </c>
      <c r="E289" s="1924" t="s">
        <v>673</v>
      </c>
      <c r="F289" s="1890" t="s">
        <v>673</v>
      </c>
      <c r="G289" s="1924" t="s">
        <v>673</v>
      </c>
      <c r="H289" s="1924" t="s">
        <v>673</v>
      </c>
      <c r="I289" s="1924" t="s">
        <v>673</v>
      </c>
      <c r="J289" s="1924" t="s">
        <v>673</v>
      </c>
      <c r="K289" s="1890" t="s">
        <v>673</v>
      </c>
      <c r="L289" s="1924" t="s">
        <v>673</v>
      </c>
      <c r="M289" s="1924" t="s">
        <v>673</v>
      </c>
      <c r="N289" s="1924" t="s">
        <v>673</v>
      </c>
      <c r="O289" s="1924" t="s">
        <v>673</v>
      </c>
      <c r="P289" s="1890" t="s">
        <v>673</v>
      </c>
      <c r="Q289" s="1924" t="s">
        <v>673</v>
      </c>
      <c r="R289" s="1924" t="s">
        <v>673</v>
      </c>
      <c r="S289" s="1924" t="s">
        <v>673</v>
      </c>
      <c r="T289" s="1924" t="s">
        <v>673</v>
      </c>
      <c r="U289" s="1890" t="s">
        <v>673</v>
      </c>
      <c r="V289" s="1924" t="s">
        <v>673</v>
      </c>
      <c r="W289" s="1924" t="s">
        <v>673</v>
      </c>
      <c r="X289" s="1924" t="s">
        <v>673</v>
      </c>
      <c r="Y289" s="1924" t="s">
        <v>673</v>
      </c>
      <c r="Z289" s="1890" t="s">
        <v>673</v>
      </c>
      <c r="AA289" s="1924" t="s">
        <v>673</v>
      </c>
      <c r="AB289" s="1924" t="s">
        <v>673</v>
      </c>
      <c r="AC289" s="1924" t="s">
        <v>673</v>
      </c>
      <c r="AD289" s="1924" t="s">
        <v>673</v>
      </c>
      <c r="AE289" s="1890" t="s">
        <v>673</v>
      </c>
      <c r="AF289" s="1924" t="s">
        <v>673</v>
      </c>
      <c r="AG289" s="1924" t="s">
        <v>673</v>
      </c>
      <c r="AH289" s="1924" t="s">
        <v>673</v>
      </c>
      <c r="AI289" s="1924" t="s">
        <v>673</v>
      </c>
      <c r="AJ289" s="1890" t="s">
        <v>673</v>
      </c>
      <c r="AK289" s="1924" t="s">
        <v>673</v>
      </c>
      <c r="AL289" s="1924" t="s">
        <v>673</v>
      </c>
      <c r="AM289" s="1924" t="s">
        <v>673</v>
      </c>
      <c r="AN289" s="1924" t="s">
        <v>673</v>
      </c>
      <c r="AO289" s="1890" t="s">
        <v>673</v>
      </c>
      <c r="AP289" s="886">
        <v>-8.0000000000000002E-3</v>
      </c>
      <c r="AQ289" s="886">
        <v>-4.0000000000000001E-3</v>
      </c>
      <c r="AR289" s="886">
        <v>-3.2000000000000001E-2</v>
      </c>
      <c r="AS289" s="886">
        <v>-8.8999999999999996E-2</v>
      </c>
      <c r="AT289" s="1046">
        <v>-3.9E-2</v>
      </c>
      <c r="AU289" s="886">
        <v>-9.1999999999999998E-2</v>
      </c>
      <c r="AV289" s="886">
        <v>-0.11</v>
      </c>
      <c r="AW289" s="886">
        <v>-6.7000000000000004E-2</v>
      </c>
      <c r="AX289" s="886">
        <v>2.3E-2</v>
      </c>
      <c r="AY289" s="1046">
        <v>-5.0999999999999997E-2</v>
      </c>
      <c r="AZ289" s="886">
        <v>0.106</v>
      </c>
      <c r="BA289" s="886">
        <v>0.13900000000000001</v>
      </c>
      <c r="BB289" s="886">
        <v>0.113</v>
      </c>
      <c r="BC289" s="886">
        <v>5.8999999999999997E-2</v>
      </c>
      <c r="BD289" s="1046">
        <v>0.10100000000000001</v>
      </c>
      <c r="BE289" s="886">
        <v>7.3999999999999996E-2</v>
      </c>
      <c r="BF289" s="886">
        <v>4.2000000000000003E-2</v>
      </c>
      <c r="BG289" s="886">
        <v>4.4999999999999998E-2</v>
      </c>
      <c r="BH289" s="886">
        <v>3.4000000000000002E-2</v>
      </c>
      <c r="BI289" s="1046">
        <v>4.3999999999999997E-2</v>
      </c>
      <c r="BJ289" s="886">
        <v>5.8999999999999997E-2</v>
      </c>
      <c r="BK289" s="886">
        <v>5.7000000000000002E-2</v>
      </c>
      <c r="BL289" s="886">
        <v>1.9E-2</v>
      </c>
      <c r="BM289" s="886">
        <v>2.3E-2</v>
      </c>
      <c r="BN289" s="1046">
        <v>3.5999999999999997E-2</v>
      </c>
      <c r="BO289" s="886">
        <v>1.7000000000000001E-2</v>
      </c>
      <c r="BP289" s="886">
        <v>8.9999999999999993E-3</v>
      </c>
      <c r="BQ289" s="886">
        <v>2.9000000000000001E-2</v>
      </c>
      <c r="BR289" s="886">
        <v>0.01</v>
      </c>
      <c r="BS289" s="1046">
        <v>1.6E-2</v>
      </c>
      <c r="BT289" s="886">
        <v>2.1999999999999999E-2</v>
      </c>
      <c r="BU289" s="886">
        <v>0.02</v>
      </c>
      <c r="BV289" s="886">
        <v>1.7000000000000001E-2</v>
      </c>
      <c r="BW289" s="886">
        <v>1.0999999999999999E-2</v>
      </c>
      <c r="BX289" s="1046">
        <v>1.7999999999999999E-2</v>
      </c>
      <c r="BY289" s="886">
        <v>3.9E-2</v>
      </c>
      <c r="BZ289" s="886">
        <v>4.3999999999999997E-2</v>
      </c>
      <c r="CA289" s="886">
        <v>2.8000000000000001E-2</v>
      </c>
      <c r="CB289" s="886">
        <v>1.7999999999999999E-2</v>
      </c>
      <c r="CC289" s="1046">
        <v>3.2000000000000001E-2</v>
      </c>
      <c r="CD289" s="886">
        <v>4.1000000000000002E-2</v>
      </c>
      <c r="CE289" s="886">
        <v>3.6999999999999998E-2</v>
      </c>
      <c r="CF289" s="886">
        <v>4.1000000000000002E-2</v>
      </c>
      <c r="CG289" s="886">
        <v>2.8000000000000001E-2</v>
      </c>
      <c r="CH289" s="1046">
        <v>3.1E-2</v>
      </c>
      <c r="CI289" s="886">
        <v>5.1999999999999998E-2</v>
      </c>
      <c r="CJ289" s="886">
        <v>4.9000000000000002E-2</v>
      </c>
      <c r="CK289" s="886">
        <v>3.5000000000000003E-2</v>
      </c>
      <c r="CL289" s="886">
        <v>3.1E-2</v>
      </c>
      <c r="CM289" s="1046">
        <v>4.4999999999999998E-2</v>
      </c>
      <c r="CN289" s="886"/>
      <c r="CO289" s="886"/>
      <c r="CP289" s="886"/>
      <c r="CQ289" s="886"/>
      <c r="CR289" s="1046"/>
      <c r="CS289" s="1046"/>
      <c r="CT289" s="1046"/>
      <c r="DA289" s="212"/>
      <c r="DB289" s="1226"/>
    </row>
    <row r="290" spans="1:106" s="212" customFormat="1" x14ac:dyDescent="0.2">
      <c r="A290" s="331" t="s">
        <v>557</v>
      </c>
      <c r="B290" s="1441"/>
      <c r="C290" s="1441"/>
      <c r="D290" s="1441"/>
      <c r="E290" s="1441"/>
      <c r="F290" s="1440"/>
      <c r="G290" s="1441"/>
      <c r="H290" s="1441"/>
      <c r="I290" s="1441"/>
      <c r="J290" s="1441"/>
      <c r="K290" s="1440"/>
      <c r="L290" s="1441"/>
      <c r="M290" s="1441"/>
      <c r="N290" s="1441"/>
      <c r="O290" s="1441"/>
      <c r="P290" s="1440"/>
      <c r="Q290" s="1441"/>
      <c r="R290" s="1441">
        <v>0.61299999999999999</v>
      </c>
      <c r="S290" s="1441">
        <v>0.69599999999999995</v>
      </c>
      <c r="T290" s="1441">
        <v>0.72199999999999998</v>
      </c>
      <c r="U290" s="1440"/>
      <c r="V290" s="1441">
        <v>0.67500000000000004</v>
      </c>
      <c r="W290" s="1441">
        <v>0.70899999999999996</v>
      </c>
      <c r="X290" s="1441">
        <v>0.749</v>
      </c>
      <c r="Y290" s="1441">
        <v>0.72899999999999998</v>
      </c>
      <c r="Z290" s="1440"/>
      <c r="AA290" s="1441">
        <v>0.67</v>
      </c>
      <c r="AB290" s="1441">
        <v>0.74199999999999999</v>
      </c>
      <c r="AC290" s="1441">
        <v>0.745</v>
      </c>
      <c r="AD290" s="1441">
        <v>0.74802674939280078</v>
      </c>
      <c r="AE290" s="1440"/>
      <c r="AF290" s="1441">
        <v>0.676668392389562</v>
      </c>
      <c r="AG290" s="1441">
        <v>0.76121871407168473</v>
      </c>
      <c r="AH290" s="1441">
        <v>0.75879769391882401</v>
      </c>
      <c r="AI290" s="1441">
        <v>0.73525508032452191</v>
      </c>
      <c r="AJ290" s="1440"/>
      <c r="AK290" s="1555">
        <v>0.67958705146571552</v>
      </c>
      <c r="AL290" s="1555">
        <v>0.754</v>
      </c>
      <c r="AM290" s="1555">
        <v>0.75800000000000001</v>
      </c>
      <c r="AN290" s="1555">
        <v>0.754</v>
      </c>
      <c r="AO290" s="1553">
        <f>AVERAGE(AK290:AN290)</f>
        <v>0.73639676286642886</v>
      </c>
      <c r="AP290" s="1554">
        <v>0.68400000000000005</v>
      </c>
      <c r="AQ290" s="1554">
        <v>0.72099999999999997</v>
      </c>
      <c r="AR290" s="1554">
        <v>0.72499999999999998</v>
      </c>
      <c r="AS290" s="1554">
        <v>0.68600000000000005</v>
      </c>
      <c r="AT290" s="1553">
        <f>AVERAGE(AP290:AS290)</f>
        <v>0.70399999999999996</v>
      </c>
      <c r="AU290" s="1554">
        <v>0.58599999999999997</v>
      </c>
      <c r="AV290" s="1554">
        <v>0.64700000000000002</v>
      </c>
      <c r="AW290" s="1554">
        <v>0.66</v>
      </c>
      <c r="AX290" s="1554">
        <v>0.68300000000000005</v>
      </c>
      <c r="AY290" s="1553">
        <f>AVERAGE(AU290:AX290)</f>
        <v>0.64400000000000013</v>
      </c>
      <c r="AZ290" s="1554">
        <v>0.61899999999999999</v>
      </c>
      <c r="BA290" s="1554">
        <v>0.70899999999999996</v>
      </c>
      <c r="BB290" s="1554">
        <v>0.71299999999999997</v>
      </c>
      <c r="BC290" s="1554">
        <v>0.71</v>
      </c>
      <c r="BD290" s="1553">
        <f>AVERAGE(AZ290:BC290)</f>
        <v>0.68774999999999997</v>
      </c>
      <c r="BE290" s="1554">
        <v>0.627</v>
      </c>
      <c r="BF290" s="1554">
        <v>0.71499999999999997</v>
      </c>
      <c r="BG290" s="1554">
        <v>0.72399999999999998</v>
      </c>
      <c r="BH290" s="1554">
        <v>0.71099999999999997</v>
      </c>
      <c r="BI290" s="1553">
        <f>AVERAGE(BE290:BH290)</f>
        <v>0.69424999999999992</v>
      </c>
      <c r="BJ290" s="1554">
        <v>0.63</v>
      </c>
      <c r="BK290" s="1554">
        <v>0.72</v>
      </c>
      <c r="BL290" s="1554">
        <v>0.72</v>
      </c>
      <c r="BM290" s="1554">
        <v>0.72</v>
      </c>
      <c r="BN290" s="1994">
        <v>0.70499999999999996</v>
      </c>
      <c r="BO290" s="1554">
        <v>0.66</v>
      </c>
      <c r="BP290" s="1554">
        <v>0.72899999999999998</v>
      </c>
      <c r="BQ290" s="1554">
        <v>0.72099999999999997</v>
      </c>
      <c r="BR290" s="1554">
        <v>0.71599999999999997</v>
      </c>
      <c r="BS290" s="1994">
        <v>0.70699999999999996</v>
      </c>
      <c r="BT290" s="1554">
        <v>0.66600000000000004</v>
      </c>
      <c r="BU290" s="1554">
        <v>0.73199999999999998</v>
      </c>
      <c r="BV290" s="1554">
        <v>0.73699999999999999</v>
      </c>
      <c r="BW290" s="1554">
        <v>0.73399999999999999</v>
      </c>
      <c r="BX290" s="1994">
        <v>0.71899999999999997</v>
      </c>
      <c r="BY290" s="1554">
        <v>0.68799999999999994</v>
      </c>
      <c r="BZ290" s="1554">
        <v>0.74</v>
      </c>
      <c r="CA290" s="1554">
        <v>0.74299999999999999</v>
      </c>
      <c r="CB290" s="1554">
        <v>0.72699999999999998</v>
      </c>
      <c r="CC290" s="1994">
        <v>0.72499999999999998</v>
      </c>
      <c r="CD290" s="1554">
        <v>0.66600000000000004</v>
      </c>
      <c r="CE290" s="1554">
        <v>0.71399999999999997</v>
      </c>
      <c r="CF290" s="1554">
        <v>0.72899999999999998</v>
      </c>
      <c r="CG290" s="1554">
        <v>0.69699999999999995</v>
      </c>
      <c r="CH290" s="1994">
        <v>0.68500000000000005</v>
      </c>
      <c r="CI290" s="1554">
        <v>0.66300000000000003</v>
      </c>
      <c r="CJ290" s="1554">
        <v>0.70099999999999996</v>
      </c>
      <c r="CK290" s="1554">
        <v>0.73499999999999999</v>
      </c>
      <c r="CL290" s="1554">
        <v>0.71499999999999997</v>
      </c>
      <c r="CM290" s="1994">
        <v>0.70299999999999996</v>
      </c>
      <c r="CN290" s="1554"/>
      <c r="CO290" s="1554"/>
      <c r="CP290" s="1441"/>
      <c r="CQ290" s="1441"/>
      <c r="CR290" s="1440"/>
      <c r="CS290" s="1440"/>
      <c r="CT290" s="1440"/>
      <c r="DB290" s="1226"/>
    </row>
    <row r="291" spans="1:106" s="212" customFormat="1" x14ac:dyDescent="0.2">
      <c r="A291" s="1595" t="s">
        <v>652</v>
      </c>
      <c r="B291" s="234"/>
      <c r="C291" s="234"/>
      <c r="D291" s="234"/>
      <c r="E291" s="234"/>
      <c r="F291" s="234"/>
      <c r="G291" s="234"/>
      <c r="H291" s="234"/>
      <c r="I291" s="234"/>
      <c r="J291" s="234"/>
      <c r="K291" s="236"/>
      <c r="L291" s="234"/>
      <c r="M291" s="234"/>
      <c r="N291" s="234"/>
      <c r="O291" s="234"/>
      <c r="P291" s="234"/>
      <c r="Q291" s="234"/>
      <c r="R291" s="234"/>
      <c r="S291" s="234"/>
      <c r="T291" s="234"/>
      <c r="U291" s="236"/>
      <c r="V291" s="234"/>
      <c r="W291" s="234"/>
      <c r="X291" s="234"/>
      <c r="Y291" s="234"/>
      <c r="Z291" s="236"/>
      <c r="AA291" s="234"/>
      <c r="AB291" s="234"/>
      <c r="AC291" s="234"/>
      <c r="AD291" s="234"/>
      <c r="AE291" s="236"/>
      <c r="AF291" s="234"/>
      <c r="AG291" s="234"/>
      <c r="AH291" s="234"/>
      <c r="AI291" s="234"/>
      <c r="AJ291" s="236"/>
      <c r="AK291" s="234"/>
      <c r="AL291" s="234"/>
      <c r="AM291" s="234"/>
      <c r="AN291" s="234"/>
      <c r="AO291" s="236"/>
      <c r="AP291" s="885"/>
      <c r="AQ291" s="885"/>
      <c r="AR291" s="885"/>
      <c r="AS291" s="885"/>
      <c r="AT291" s="1044"/>
      <c r="AU291" s="885">
        <f>AU290/AP290-1</f>
        <v>-0.14327485380116967</v>
      </c>
      <c r="AV291" s="885">
        <f>AV290/AQ290-1</f>
        <v>-0.10263522884882104</v>
      </c>
      <c r="AW291" s="885">
        <f>AW290/AR290-1</f>
        <v>-8.9655172413793061E-2</v>
      </c>
      <c r="AX291" s="885">
        <f>AX290/AS290-1</f>
        <v>-4.3731778425656342E-3</v>
      </c>
      <c r="AY291" s="1044">
        <f>+AY290/AT290-1</f>
        <v>-8.5227272727272485E-2</v>
      </c>
      <c r="AZ291" s="885">
        <f>AZ290/AU290-1</f>
        <v>5.6313993174061494E-2</v>
      </c>
      <c r="BA291" s="885">
        <f>BA290/AV290-1</f>
        <v>9.5826893353941234E-2</v>
      </c>
      <c r="BB291" s="885">
        <f>BB290/AW290-1</f>
        <v>8.0303030303030098E-2</v>
      </c>
      <c r="BC291" s="885">
        <f>BC290/AX290-1</f>
        <v>3.9531478770131745E-2</v>
      </c>
      <c r="BD291" s="1044">
        <f>+BD290/AY290-1</f>
        <v>6.7934782608695343E-2</v>
      </c>
      <c r="BE291" s="885">
        <f>BE290/AZ290-1</f>
        <v>1.292407108239102E-2</v>
      </c>
      <c r="BF291" s="885">
        <f>BF290/BA290-1</f>
        <v>8.4626234132580969E-3</v>
      </c>
      <c r="BG291" s="885">
        <f>BG290/BB290-1</f>
        <v>1.5427769985974837E-2</v>
      </c>
      <c r="BH291" s="885">
        <f>BH290/BC290-1</f>
        <v>1.4084507042253502E-3</v>
      </c>
      <c r="BI291" s="1044">
        <f>+BI290/BD290-1</f>
        <v>9.4511086877497874E-3</v>
      </c>
      <c r="BJ291" s="885">
        <f t="shared" ref="BJ291:BQ291" si="234">BJ290/BE290-1</f>
        <v>4.7846889952152249E-3</v>
      </c>
      <c r="BK291" s="885">
        <f t="shared" si="234"/>
        <v>6.9930069930070893E-3</v>
      </c>
      <c r="BL291" s="885">
        <f t="shared" si="234"/>
        <v>-5.5248618784530246E-3</v>
      </c>
      <c r="BM291" s="885">
        <f t="shared" si="234"/>
        <v>1.2658227848101333E-2</v>
      </c>
      <c r="BN291" s="1044">
        <f t="shared" si="234"/>
        <v>1.5484335613972E-2</v>
      </c>
      <c r="BO291" s="885">
        <f t="shared" si="234"/>
        <v>4.7619047619047672E-2</v>
      </c>
      <c r="BP291" s="885">
        <f t="shared" si="234"/>
        <v>1.2499999999999956E-2</v>
      </c>
      <c r="BQ291" s="885">
        <f t="shared" si="234"/>
        <v>1.388888888888884E-3</v>
      </c>
      <c r="BR291" s="885">
        <f t="shared" ref="BR291:CM291" si="235">BR290/BM290-1</f>
        <v>-5.5555555555555358E-3</v>
      </c>
      <c r="BS291" s="1044">
        <f t="shared" si="235"/>
        <v>2.8368794326241176E-3</v>
      </c>
      <c r="BT291" s="885">
        <f t="shared" si="235"/>
        <v>9.0909090909090384E-3</v>
      </c>
      <c r="BU291" s="885">
        <f t="shared" si="235"/>
        <v>4.115226337448652E-3</v>
      </c>
      <c r="BV291" s="885">
        <f t="shared" si="235"/>
        <v>2.2191400832177521E-2</v>
      </c>
      <c r="BW291" s="885">
        <f t="shared" si="235"/>
        <v>2.5139664804469275E-2</v>
      </c>
      <c r="BX291" s="1044">
        <f t="shared" si="235"/>
        <v>1.6973125884016893E-2</v>
      </c>
      <c r="BY291" s="885">
        <f t="shared" si="235"/>
        <v>3.3033033033032844E-2</v>
      </c>
      <c r="BZ291" s="885">
        <f t="shared" si="235"/>
        <v>1.0928961748633892E-2</v>
      </c>
      <c r="CA291" s="885">
        <f t="shared" si="235"/>
        <v>8.141112618724522E-3</v>
      </c>
      <c r="CB291" s="885">
        <f t="shared" si="235"/>
        <v>-9.5367847411443885E-3</v>
      </c>
      <c r="CC291" s="1044">
        <f t="shared" si="235"/>
        <v>8.3449235048678183E-3</v>
      </c>
      <c r="CD291" s="885">
        <f t="shared" si="235"/>
        <v>-3.1976744186046346E-2</v>
      </c>
      <c r="CE291" s="885">
        <f t="shared" si="235"/>
        <v>-3.513513513513522E-2</v>
      </c>
      <c r="CF291" s="885">
        <f t="shared" si="235"/>
        <v>-1.8842530282637937E-2</v>
      </c>
      <c r="CG291" s="885">
        <f t="shared" si="235"/>
        <v>-4.1265474552957371E-2</v>
      </c>
      <c r="CH291" s="1044">
        <f t="shared" si="235"/>
        <v>-5.5172413793103336E-2</v>
      </c>
      <c r="CI291" s="885">
        <f t="shared" si="235"/>
        <v>-4.5045045045044585E-3</v>
      </c>
      <c r="CJ291" s="885">
        <f t="shared" si="235"/>
        <v>-1.8207282913165312E-2</v>
      </c>
      <c r="CK291" s="885">
        <f t="shared" si="235"/>
        <v>8.2304526748970819E-3</v>
      </c>
      <c r="CL291" s="885">
        <f t="shared" si="235"/>
        <v>2.582496413199431E-2</v>
      </c>
      <c r="CM291" s="1044">
        <f t="shared" si="235"/>
        <v>2.6277372262773602E-2</v>
      </c>
      <c r="CN291" s="885"/>
      <c r="CO291" s="885"/>
      <c r="CP291" s="886"/>
      <c r="CQ291" s="886"/>
      <c r="CR291" s="1046"/>
      <c r="CS291" s="1046"/>
      <c r="CT291" s="1046"/>
      <c r="DB291" s="1226"/>
    </row>
    <row r="292" spans="1:106" x14ac:dyDescent="0.2">
      <c r="A292" s="1595" t="s">
        <v>359</v>
      </c>
      <c r="B292" s="1924" t="s">
        <v>673</v>
      </c>
      <c r="C292" s="1924" t="s">
        <v>673</v>
      </c>
      <c r="D292" s="1924" t="s">
        <v>673</v>
      </c>
      <c r="E292" s="1924" t="s">
        <v>673</v>
      </c>
      <c r="F292" s="1890" t="s">
        <v>673</v>
      </c>
      <c r="G292" s="1924" t="s">
        <v>673</v>
      </c>
      <c r="H292" s="1924" t="s">
        <v>673</v>
      </c>
      <c r="I292" s="1924" t="s">
        <v>673</v>
      </c>
      <c r="J292" s="1924" t="s">
        <v>673</v>
      </c>
      <c r="K292" s="1890" t="s">
        <v>673</v>
      </c>
      <c r="L292" s="1924" t="s">
        <v>673</v>
      </c>
      <c r="M292" s="1924" t="s">
        <v>673</v>
      </c>
      <c r="N292" s="1924" t="s">
        <v>673</v>
      </c>
      <c r="O292" s="1924" t="s">
        <v>673</v>
      </c>
      <c r="P292" s="1890" t="s">
        <v>673</v>
      </c>
      <c r="Q292" s="1924" t="s">
        <v>673</v>
      </c>
      <c r="R292" s="1924" t="s">
        <v>673</v>
      </c>
      <c r="S292" s="1924" t="s">
        <v>673</v>
      </c>
      <c r="T292" s="1924" t="s">
        <v>673</v>
      </c>
      <c r="U292" s="1890" t="s">
        <v>673</v>
      </c>
      <c r="V292" s="1924" t="s">
        <v>673</v>
      </c>
      <c r="W292" s="1924" t="s">
        <v>673</v>
      </c>
      <c r="X292" s="1924" t="s">
        <v>673</v>
      </c>
      <c r="Y292" s="1924" t="s">
        <v>673</v>
      </c>
      <c r="Z292" s="1890" t="s">
        <v>673</v>
      </c>
      <c r="AA292" s="1924" t="s">
        <v>673</v>
      </c>
      <c r="AB292" s="1924" t="s">
        <v>673</v>
      </c>
      <c r="AC292" s="1924" t="s">
        <v>673</v>
      </c>
      <c r="AD292" s="1924" t="s">
        <v>673</v>
      </c>
      <c r="AE292" s="1890" t="s">
        <v>673</v>
      </c>
      <c r="AF292" s="1924" t="s">
        <v>673</v>
      </c>
      <c r="AG292" s="1924" t="s">
        <v>673</v>
      </c>
      <c r="AH292" s="1924" t="s">
        <v>673</v>
      </c>
      <c r="AI292" s="1924" t="s">
        <v>673</v>
      </c>
      <c r="AJ292" s="1890" t="s">
        <v>673</v>
      </c>
      <c r="AK292" s="1924" t="s">
        <v>673</v>
      </c>
      <c r="AL292" s="1924" t="s">
        <v>673</v>
      </c>
      <c r="AM292" s="1924" t="s">
        <v>673</v>
      </c>
      <c r="AN292" s="1924" t="s">
        <v>673</v>
      </c>
      <c r="AO292" s="1890" t="s">
        <v>673</v>
      </c>
      <c r="AP292" s="886">
        <v>1.2999999999999999E-2</v>
      </c>
      <c r="AQ292" s="886">
        <v>1E-3</v>
      </c>
      <c r="AR292" s="886">
        <v>-0.02</v>
      </c>
      <c r="AS292" s="886">
        <v>-5.6000000000000001E-2</v>
      </c>
      <c r="AT292" s="1046">
        <v>-2.1000000000000001E-2</v>
      </c>
      <c r="AU292" s="886">
        <v>-8.2000000000000003E-2</v>
      </c>
      <c r="AV292" s="886">
        <v>-8.8999999999999996E-2</v>
      </c>
      <c r="AW292" s="886">
        <v>-6.3E-2</v>
      </c>
      <c r="AX292" s="886">
        <v>0</v>
      </c>
      <c r="AY292" s="1046">
        <v>-5.0999999999999997E-2</v>
      </c>
      <c r="AZ292" s="886">
        <v>0.06</v>
      </c>
      <c r="BA292" s="886">
        <v>7.6999999999999999E-2</v>
      </c>
      <c r="BB292" s="886">
        <v>6.6000000000000003E-2</v>
      </c>
      <c r="BC292" s="886">
        <v>0.04</v>
      </c>
      <c r="BD292" s="1046">
        <v>5.8999999999999997E-2</v>
      </c>
      <c r="BE292" s="886">
        <v>0.03</v>
      </c>
      <c r="BF292" s="886">
        <v>0.01</v>
      </c>
      <c r="BG292" s="886">
        <v>1.4E-2</v>
      </c>
      <c r="BH292" s="886">
        <v>-3.0000000000000001E-3</v>
      </c>
      <c r="BI292" s="1046">
        <v>8.9999999999999993E-3</v>
      </c>
      <c r="BJ292" s="886">
        <v>1.9E-2</v>
      </c>
      <c r="BK292" s="886">
        <v>2.8000000000000001E-2</v>
      </c>
      <c r="BL292" s="886">
        <v>8.0000000000000002E-3</v>
      </c>
      <c r="BM292" s="886">
        <v>1.9E-2</v>
      </c>
      <c r="BN292" s="1046">
        <v>1.7999999999999999E-2</v>
      </c>
      <c r="BO292" s="886">
        <v>1.7000000000000001E-2</v>
      </c>
      <c r="BP292" s="886">
        <v>1.7999999999999999E-2</v>
      </c>
      <c r="BQ292" s="886">
        <v>1.4999999999999999E-2</v>
      </c>
      <c r="BR292" s="886">
        <v>4.0000000000000001E-3</v>
      </c>
      <c r="BS292" s="1046">
        <v>1.2999999999999999E-2</v>
      </c>
      <c r="BT292" s="886">
        <v>1.9E-2</v>
      </c>
      <c r="BU292" s="886">
        <v>1.4999999999999999E-2</v>
      </c>
      <c r="BV292" s="886">
        <v>2.1999999999999999E-2</v>
      </c>
      <c r="BW292" s="886">
        <v>2.1999999999999999E-2</v>
      </c>
      <c r="BX292" s="1046">
        <v>0.02</v>
      </c>
      <c r="BY292" s="886">
        <v>3.2000000000000001E-2</v>
      </c>
      <c r="BZ292" s="886">
        <v>2.5000000000000001E-2</v>
      </c>
      <c r="CA292" s="886">
        <v>2.4E-2</v>
      </c>
      <c r="CB292" s="886">
        <v>2E-3</v>
      </c>
      <c r="CC292" s="1046">
        <v>2.1000000000000001E-2</v>
      </c>
      <c r="CD292" s="886">
        <v>1.2999999999999999E-2</v>
      </c>
      <c r="CE292" s="886">
        <v>7.0000000000000001E-3</v>
      </c>
      <c r="CF292" s="886">
        <v>1.4999999999999999E-2</v>
      </c>
      <c r="CG292" s="886">
        <v>1.4999999999999999E-2</v>
      </c>
      <c r="CH292" s="1046">
        <v>1.4E-2</v>
      </c>
      <c r="CI292" s="886">
        <v>3.4000000000000002E-2</v>
      </c>
      <c r="CJ292" s="886">
        <v>3.1E-2</v>
      </c>
      <c r="CK292" s="886">
        <v>3.7999999999999999E-2</v>
      </c>
      <c r="CL292" s="886">
        <v>2.4E-2</v>
      </c>
      <c r="CM292" s="1046">
        <v>3.2000000000000001E-2</v>
      </c>
      <c r="CN292" s="886"/>
      <c r="CO292" s="886"/>
      <c r="CP292" s="886"/>
      <c r="CQ292" s="886"/>
      <c r="CR292" s="1046"/>
      <c r="CS292" s="1046"/>
      <c r="CT292" s="1046"/>
      <c r="DA292" s="212"/>
      <c r="DB292" s="1226"/>
    </row>
    <row r="293" spans="1:106" s="212" customFormat="1" x14ac:dyDescent="0.2">
      <c r="A293" s="1561" t="s">
        <v>1647</v>
      </c>
      <c r="B293" s="234"/>
      <c r="C293" s="234"/>
      <c r="D293" s="234"/>
      <c r="E293" s="234"/>
      <c r="F293" s="236"/>
      <c r="G293" s="234"/>
      <c r="H293" s="234"/>
      <c r="I293" s="234"/>
      <c r="J293" s="234"/>
      <c r="K293" s="236"/>
      <c r="L293" s="234"/>
      <c r="M293" s="234"/>
      <c r="N293" s="234"/>
      <c r="O293" s="234"/>
      <c r="P293" s="236"/>
      <c r="Q293" s="234"/>
      <c r="R293" s="234"/>
      <c r="S293" s="234"/>
      <c r="T293" s="234"/>
      <c r="U293" s="236"/>
      <c r="V293" s="234"/>
      <c r="W293" s="234"/>
      <c r="X293" s="234"/>
      <c r="Y293" s="234"/>
      <c r="Z293" s="236"/>
      <c r="AA293" s="234"/>
      <c r="AB293" s="234"/>
      <c r="AC293" s="234"/>
      <c r="AD293" s="234"/>
      <c r="AE293" s="236"/>
      <c r="AF293" s="234"/>
      <c r="AG293" s="234"/>
      <c r="AH293" s="234"/>
      <c r="AI293" s="234"/>
      <c r="AJ293" s="236"/>
      <c r="AK293" s="234"/>
      <c r="AL293" s="234"/>
      <c r="AM293" s="234"/>
      <c r="AN293" s="234"/>
      <c r="AO293" s="236"/>
      <c r="AP293" s="1539">
        <v>0.68</v>
      </c>
      <c r="AQ293" s="1539">
        <v>0.745</v>
      </c>
      <c r="AR293" s="1539">
        <v>0.73299999999999998</v>
      </c>
      <c r="AS293" s="1539">
        <v>0.69099999999999995</v>
      </c>
      <c r="AT293" s="1512">
        <f>AVERAGE(AP293:AS293)</f>
        <v>0.71224999999999994</v>
      </c>
      <c r="AU293" s="1539">
        <v>0.58799999999999997</v>
      </c>
      <c r="AV293" s="1539">
        <v>0.65400000000000003</v>
      </c>
      <c r="AW293" s="1539">
        <v>0.67</v>
      </c>
      <c r="AX293" s="1539">
        <v>0.69299999999999995</v>
      </c>
      <c r="AY293" s="1512">
        <f>AVERAGE(AU293:AX293)</f>
        <v>0.65125</v>
      </c>
      <c r="AZ293" s="1539">
        <v>0.623</v>
      </c>
      <c r="BA293" s="1539">
        <v>0.71199999999999997</v>
      </c>
      <c r="BB293" s="1539">
        <v>0.72199999999999998</v>
      </c>
      <c r="BC293" s="1539">
        <v>0.71599999999999997</v>
      </c>
      <c r="BD293" s="1512">
        <f>AVERAGE(AZ293:BC293)</f>
        <v>0.69324999999999992</v>
      </c>
      <c r="BE293" s="1539">
        <v>0.626</v>
      </c>
      <c r="BF293" s="1539">
        <v>0.71199999999999997</v>
      </c>
      <c r="BG293" s="1539">
        <v>0.73499999999999999</v>
      </c>
      <c r="BH293" s="1539">
        <v>0.71899999999999997</v>
      </c>
      <c r="BI293" s="1512">
        <f>AVERAGE(BE293:BH293)</f>
        <v>0.69799999999999995</v>
      </c>
      <c r="BJ293" s="1539">
        <v>0.63400000000000001</v>
      </c>
      <c r="BK293" s="1539">
        <v>0.72299999999999998</v>
      </c>
      <c r="BL293" s="1539">
        <v>0.72899999999999998</v>
      </c>
      <c r="BM293" s="1539">
        <v>0.72799999999999998</v>
      </c>
      <c r="BN293" s="1993">
        <v>0.71199999999999997</v>
      </c>
      <c r="BO293" s="1539">
        <v>0.66</v>
      </c>
      <c r="BP293" s="1539">
        <v>0.73399999999999999</v>
      </c>
      <c r="BQ293" s="1539">
        <v>0.73299999999999998</v>
      </c>
      <c r="BR293" s="1539">
        <v>0.72099999999999997</v>
      </c>
      <c r="BS293" s="1993">
        <v>0.71199999999999997</v>
      </c>
      <c r="BT293" s="2009" t="s">
        <v>673</v>
      </c>
      <c r="BU293" s="2009" t="s">
        <v>673</v>
      </c>
      <c r="BV293" s="2009" t="s">
        <v>673</v>
      </c>
      <c r="BW293" s="2009" t="s">
        <v>673</v>
      </c>
      <c r="BX293" s="2670" t="s">
        <v>673</v>
      </c>
      <c r="BY293" s="2009" t="s">
        <v>673</v>
      </c>
      <c r="BZ293" s="2009" t="s">
        <v>673</v>
      </c>
      <c r="CA293" s="2009" t="s">
        <v>673</v>
      </c>
      <c r="CB293" s="2009" t="s">
        <v>673</v>
      </c>
      <c r="CC293" s="2670" t="s">
        <v>673</v>
      </c>
      <c r="CD293" s="2009" t="s">
        <v>673</v>
      </c>
      <c r="CE293" s="2009" t="s">
        <v>673</v>
      </c>
      <c r="CF293" s="2009" t="s">
        <v>673</v>
      </c>
      <c r="CG293" s="2009" t="s">
        <v>673</v>
      </c>
      <c r="CH293" s="2670" t="s">
        <v>673</v>
      </c>
      <c r="CI293" s="2009" t="s">
        <v>673</v>
      </c>
      <c r="CJ293" s="2009" t="s">
        <v>673</v>
      </c>
      <c r="CK293" s="2009" t="s">
        <v>673</v>
      </c>
      <c r="CL293" s="2009" t="s">
        <v>673</v>
      </c>
      <c r="CM293" s="2670" t="s">
        <v>673</v>
      </c>
      <c r="CN293" s="2009"/>
      <c r="CO293" s="2009"/>
      <c r="CR293" s="194"/>
      <c r="CS293" s="194"/>
      <c r="CT293" s="194"/>
      <c r="DB293" s="1226"/>
    </row>
    <row r="294" spans="1:106" s="212" customFormat="1" x14ac:dyDescent="0.2">
      <c r="A294" s="1955" t="s">
        <v>652</v>
      </c>
      <c r="B294" s="234"/>
      <c r="C294" s="234"/>
      <c r="D294" s="234"/>
      <c r="E294" s="234"/>
      <c r="F294" s="236"/>
      <c r="G294" s="234"/>
      <c r="H294" s="234"/>
      <c r="I294" s="234"/>
      <c r="J294" s="234"/>
      <c r="K294" s="236"/>
      <c r="L294" s="234"/>
      <c r="M294" s="234"/>
      <c r="N294" s="234"/>
      <c r="O294" s="234"/>
      <c r="P294" s="236"/>
      <c r="Q294" s="234"/>
      <c r="R294" s="234"/>
      <c r="S294" s="234"/>
      <c r="T294" s="234"/>
      <c r="U294" s="236"/>
      <c r="V294" s="234"/>
      <c r="W294" s="234"/>
      <c r="X294" s="234"/>
      <c r="Y294" s="234"/>
      <c r="Z294" s="236"/>
      <c r="AA294" s="234"/>
      <c r="AB294" s="234"/>
      <c r="AC294" s="234"/>
      <c r="AD294" s="234"/>
      <c r="AE294" s="236"/>
      <c r="AF294" s="234"/>
      <c r="AG294" s="234"/>
      <c r="AH294" s="234"/>
      <c r="AI294" s="234"/>
      <c r="AJ294" s="236"/>
      <c r="AK294" s="234"/>
      <c r="AL294" s="234"/>
      <c r="AM294" s="234"/>
      <c r="AN294" s="234"/>
      <c r="AO294" s="236"/>
      <c r="AP294" s="885"/>
      <c r="AQ294" s="885"/>
      <c r="AR294" s="885"/>
      <c r="AS294" s="885"/>
      <c r="AT294" s="1044"/>
      <c r="AU294" s="885">
        <f>AU293/AP293-1</f>
        <v>-0.1352941176470589</v>
      </c>
      <c r="AV294" s="885">
        <f>AV293/AQ293-1</f>
        <v>-0.12214765100671132</v>
      </c>
      <c r="AW294" s="885">
        <f>AW293/AR293-1</f>
        <v>-8.5948158253751683E-2</v>
      </c>
      <c r="AX294" s="885">
        <f>AX293/AS293-1</f>
        <v>2.8943560057888007E-3</v>
      </c>
      <c r="AY294" s="1044">
        <f>+AY293/AT293-1</f>
        <v>-8.5644085644085544E-2</v>
      </c>
      <c r="AZ294" s="885">
        <f>AZ293/AU293-1</f>
        <v>5.9523809523809534E-2</v>
      </c>
      <c r="BA294" s="885">
        <f>BA293/AV293-1</f>
        <v>8.8685015290519864E-2</v>
      </c>
      <c r="BB294" s="885">
        <f>BB293/AW293-1</f>
        <v>7.7611940298507376E-2</v>
      </c>
      <c r="BC294" s="885">
        <f>BC293/AX293-1</f>
        <v>3.3189033189033212E-2</v>
      </c>
      <c r="BD294" s="1044">
        <f>+BD293/AY293-1</f>
        <v>6.4491362763915427E-2</v>
      </c>
      <c r="BE294" s="885">
        <f>BE293/AZ293-1</f>
        <v>4.8154093097914075E-3</v>
      </c>
      <c r="BF294" s="885">
        <f>BF293/BA293-1</f>
        <v>0</v>
      </c>
      <c r="BG294" s="885">
        <f>BG293/BB293-1</f>
        <v>1.8005540166204925E-2</v>
      </c>
      <c r="BH294" s="885">
        <f>BH293/BC293-1</f>
        <v>4.1899441340782495E-3</v>
      </c>
      <c r="BI294" s="1044">
        <f>+BI293/BD293-1</f>
        <v>6.8517850703209149E-3</v>
      </c>
      <c r="BJ294" s="885">
        <f t="shared" ref="BJ294:BQ294" si="236">BJ293/BE293-1</f>
        <v>1.2779552715654896E-2</v>
      </c>
      <c r="BK294" s="885">
        <f t="shared" si="236"/>
        <v>1.5449438202247201E-2</v>
      </c>
      <c r="BL294" s="885">
        <f t="shared" si="236"/>
        <v>-8.1632653061224358E-3</v>
      </c>
      <c r="BM294" s="885">
        <f t="shared" si="236"/>
        <v>1.2517385257301727E-2</v>
      </c>
      <c r="BN294" s="1044">
        <f t="shared" si="236"/>
        <v>2.005730659025784E-2</v>
      </c>
      <c r="BO294" s="885">
        <f t="shared" si="236"/>
        <v>4.1009463722397443E-2</v>
      </c>
      <c r="BP294" s="885">
        <f t="shared" si="236"/>
        <v>1.5214384508990264E-2</v>
      </c>
      <c r="BQ294" s="885">
        <f t="shared" si="236"/>
        <v>5.4869684499314619E-3</v>
      </c>
      <c r="BR294" s="885">
        <f>BR293/BM293-1</f>
        <v>-9.6153846153845812E-3</v>
      </c>
      <c r="BS294" s="1044">
        <f>BS293/BN293-1</f>
        <v>0</v>
      </c>
      <c r="BT294" s="1278" t="str">
        <f t="shared" ref="BT294:CM294" si="237">IF(ISERROR(BT293/BO293-1),"NM",BT293/BO293-1)</f>
        <v>NM</v>
      </c>
      <c r="BU294" s="1278" t="str">
        <f t="shared" si="237"/>
        <v>NM</v>
      </c>
      <c r="BV294" s="1278" t="str">
        <f t="shared" si="237"/>
        <v>NM</v>
      </c>
      <c r="BW294" s="1278" t="str">
        <f t="shared" si="237"/>
        <v>NM</v>
      </c>
      <c r="BX294" s="2671" t="str">
        <f t="shared" si="237"/>
        <v>NM</v>
      </c>
      <c r="BY294" s="1278" t="str">
        <f t="shared" si="237"/>
        <v>NM</v>
      </c>
      <c r="BZ294" s="1278" t="str">
        <f t="shared" si="237"/>
        <v>NM</v>
      </c>
      <c r="CA294" s="1278" t="str">
        <f t="shared" si="237"/>
        <v>NM</v>
      </c>
      <c r="CB294" s="1278" t="str">
        <f t="shared" si="237"/>
        <v>NM</v>
      </c>
      <c r="CC294" s="2671" t="str">
        <f t="shared" si="237"/>
        <v>NM</v>
      </c>
      <c r="CD294" s="1278" t="str">
        <f t="shared" si="237"/>
        <v>NM</v>
      </c>
      <c r="CE294" s="1278" t="str">
        <f t="shared" si="237"/>
        <v>NM</v>
      </c>
      <c r="CF294" s="1278" t="str">
        <f t="shared" si="237"/>
        <v>NM</v>
      </c>
      <c r="CG294" s="1278" t="str">
        <f t="shared" si="237"/>
        <v>NM</v>
      </c>
      <c r="CH294" s="2671" t="str">
        <f t="shared" si="237"/>
        <v>NM</v>
      </c>
      <c r="CI294" s="1278" t="str">
        <f t="shared" si="237"/>
        <v>NM</v>
      </c>
      <c r="CJ294" s="1278" t="str">
        <f t="shared" si="237"/>
        <v>NM</v>
      </c>
      <c r="CK294" s="1278" t="str">
        <f t="shared" si="237"/>
        <v>NM</v>
      </c>
      <c r="CL294" s="1278" t="str">
        <f t="shared" si="237"/>
        <v>NM</v>
      </c>
      <c r="CM294" s="2671" t="str">
        <f t="shared" si="237"/>
        <v>NM</v>
      </c>
      <c r="CN294" s="1278"/>
      <c r="CO294" s="1278"/>
      <c r="CP294" s="886"/>
      <c r="CQ294" s="886"/>
      <c r="CR294" s="1046"/>
      <c r="CS294" s="1046"/>
      <c r="CT294" s="1046"/>
      <c r="DB294" s="1226"/>
    </row>
    <row r="295" spans="1:106" x14ac:dyDescent="0.2">
      <c r="A295" s="1595" t="s">
        <v>359</v>
      </c>
      <c r="B295" s="1924" t="s">
        <v>673</v>
      </c>
      <c r="C295" s="1924" t="s">
        <v>673</v>
      </c>
      <c r="D295" s="1924" t="s">
        <v>673</v>
      </c>
      <c r="E295" s="1924" t="s">
        <v>673</v>
      </c>
      <c r="F295" s="1890" t="s">
        <v>673</v>
      </c>
      <c r="G295" s="1924" t="s">
        <v>673</v>
      </c>
      <c r="H295" s="1924" t="s">
        <v>673</v>
      </c>
      <c r="I295" s="1924" t="s">
        <v>673</v>
      </c>
      <c r="J295" s="1924" t="s">
        <v>673</v>
      </c>
      <c r="K295" s="1890" t="s">
        <v>673</v>
      </c>
      <c r="L295" s="1924" t="s">
        <v>673</v>
      </c>
      <c r="M295" s="1924" t="s">
        <v>673</v>
      </c>
      <c r="N295" s="1924" t="s">
        <v>673</v>
      </c>
      <c r="O295" s="1924" t="s">
        <v>673</v>
      </c>
      <c r="P295" s="1890" t="s">
        <v>673</v>
      </c>
      <c r="Q295" s="1924" t="s">
        <v>673</v>
      </c>
      <c r="R295" s="1924" t="s">
        <v>673</v>
      </c>
      <c r="S295" s="1924" t="s">
        <v>673</v>
      </c>
      <c r="T295" s="1924" t="s">
        <v>673</v>
      </c>
      <c r="U295" s="1890" t="s">
        <v>673</v>
      </c>
      <c r="V295" s="1924" t="s">
        <v>673</v>
      </c>
      <c r="W295" s="1924" t="s">
        <v>673</v>
      </c>
      <c r="X295" s="1924" t="s">
        <v>673</v>
      </c>
      <c r="Y295" s="1924" t="s">
        <v>673</v>
      </c>
      <c r="Z295" s="1890" t="s">
        <v>673</v>
      </c>
      <c r="AA295" s="1924" t="s">
        <v>673</v>
      </c>
      <c r="AB295" s="1924" t="s">
        <v>673</v>
      </c>
      <c r="AC295" s="1924" t="s">
        <v>673</v>
      </c>
      <c r="AD295" s="1924" t="s">
        <v>673</v>
      </c>
      <c r="AE295" s="1890" t="s">
        <v>673</v>
      </c>
      <c r="AF295" s="1924" t="s">
        <v>673</v>
      </c>
      <c r="AG295" s="1924" t="s">
        <v>673</v>
      </c>
      <c r="AH295" s="1924" t="s">
        <v>673</v>
      </c>
      <c r="AI295" s="1924" t="s">
        <v>673</v>
      </c>
      <c r="AJ295" s="1890" t="s">
        <v>673</v>
      </c>
      <c r="AK295" s="1924" t="s">
        <v>673</v>
      </c>
      <c r="AL295" s="1924" t="s">
        <v>673</v>
      </c>
      <c r="AM295" s="1924" t="s">
        <v>673</v>
      </c>
      <c r="AN295" s="1924" t="s">
        <v>673</v>
      </c>
      <c r="AO295" s="1890" t="s">
        <v>673</v>
      </c>
      <c r="AP295" s="886">
        <v>8.0000000000000002E-3</v>
      </c>
      <c r="AQ295" s="886">
        <v>0</v>
      </c>
      <c r="AR295" s="886">
        <v>-2.1999999999999999E-2</v>
      </c>
      <c r="AS295" s="886">
        <v>-5.6000000000000001E-2</v>
      </c>
      <c r="AT295" s="1046">
        <v>-2.1999999999999999E-2</v>
      </c>
      <c r="AU295" s="886">
        <v>-8.1000000000000003E-2</v>
      </c>
      <c r="AV295" s="886">
        <v>-8.5999999999999993E-2</v>
      </c>
      <c r="AW295" s="886">
        <v>-0.06</v>
      </c>
      <c r="AX295" s="886">
        <v>1E-3</v>
      </c>
      <c r="AY295" s="1046">
        <v>-4.9000000000000002E-2</v>
      </c>
      <c r="AZ295" s="886">
        <v>6.3E-2</v>
      </c>
      <c r="BA295" s="886">
        <v>7.4999999999999997E-2</v>
      </c>
      <c r="BB295" s="886">
        <v>6.7000000000000004E-2</v>
      </c>
      <c r="BC295" s="886">
        <v>3.9E-2</v>
      </c>
      <c r="BD295" s="1046">
        <v>5.8999999999999997E-2</v>
      </c>
      <c r="BE295" s="886">
        <v>0.03</v>
      </c>
      <c r="BF295" s="886">
        <v>1.2999999999999999E-2</v>
      </c>
      <c r="BG295" s="886">
        <v>1.4999999999999999E-2</v>
      </c>
      <c r="BH295" s="886">
        <v>-1E-3</v>
      </c>
      <c r="BI295" s="1046">
        <v>1.0999999999999999E-2</v>
      </c>
      <c r="BJ295" s="886">
        <v>2.3E-2</v>
      </c>
      <c r="BK295" s="886">
        <v>2.5999999999999999E-2</v>
      </c>
      <c r="BL295" s="886">
        <v>7.0000000000000001E-3</v>
      </c>
      <c r="BM295" s="886">
        <v>1.7999999999999999E-2</v>
      </c>
      <c r="BN295" s="1046">
        <v>1.9E-2</v>
      </c>
      <c r="BO295" s="886">
        <v>1.4E-2</v>
      </c>
      <c r="BP295" s="886">
        <v>1.7000000000000001E-2</v>
      </c>
      <c r="BQ295" s="886">
        <v>1.6E-2</v>
      </c>
      <c r="BR295" s="886">
        <v>4.0000000000000001E-3</v>
      </c>
      <c r="BS295" s="1046">
        <v>1.2999999999999999E-2</v>
      </c>
      <c r="BT295" s="2009" t="s">
        <v>673</v>
      </c>
      <c r="BU295" s="2009" t="s">
        <v>673</v>
      </c>
      <c r="BV295" s="2009" t="s">
        <v>673</v>
      </c>
      <c r="BW295" s="2009" t="s">
        <v>673</v>
      </c>
      <c r="BX295" s="2670" t="s">
        <v>673</v>
      </c>
      <c r="BY295" s="2009" t="s">
        <v>673</v>
      </c>
      <c r="BZ295" s="2009" t="s">
        <v>673</v>
      </c>
      <c r="CA295" s="2009" t="s">
        <v>673</v>
      </c>
      <c r="CB295" s="2009" t="s">
        <v>673</v>
      </c>
      <c r="CC295" s="2670" t="s">
        <v>673</v>
      </c>
      <c r="CD295" s="2009" t="s">
        <v>673</v>
      </c>
      <c r="CE295" s="2009" t="s">
        <v>673</v>
      </c>
      <c r="CF295" s="2009" t="s">
        <v>673</v>
      </c>
      <c r="CG295" s="2009" t="s">
        <v>673</v>
      </c>
      <c r="CH295" s="2670" t="s">
        <v>673</v>
      </c>
      <c r="CI295" s="2009" t="s">
        <v>673</v>
      </c>
      <c r="CJ295" s="2009" t="s">
        <v>673</v>
      </c>
      <c r="CK295" s="2009" t="s">
        <v>673</v>
      </c>
      <c r="CL295" s="2009" t="s">
        <v>673</v>
      </c>
      <c r="CM295" s="2670" t="s">
        <v>673</v>
      </c>
      <c r="CN295" s="2009"/>
      <c r="CO295" s="2009"/>
      <c r="CP295" s="886"/>
      <c r="CQ295" s="886"/>
      <c r="CR295" s="1046"/>
      <c r="CS295" s="1046"/>
      <c r="CT295" s="1046"/>
      <c r="DA295" s="212"/>
      <c r="DB295" s="1226"/>
    </row>
    <row r="296" spans="1:106" s="212" customFormat="1" x14ac:dyDescent="0.2">
      <c r="A296" s="1561" t="s">
        <v>1648</v>
      </c>
      <c r="B296" s="234"/>
      <c r="C296" s="234"/>
      <c r="D296" s="234"/>
      <c r="E296" s="234"/>
      <c r="F296" s="236"/>
      <c r="G296" s="234"/>
      <c r="H296" s="234"/>
      <c r="I296" s="234"/>
      <c r="J296" s="234"/>
      <c r="K296" s="236"/>
      <c r="L296" s="234"/>
      <c r="M296" s="234"/>
      <c r="N296" s="234"/>
      <c r="O296" s="234"/>
      <c r="P296" s="236"/>
      <c r="Q296" s="234"/>
      <c r="R296" s="234"/>
      <c r="S296" s="234"/>
      <c r="T296" s="234"/>
      <c r="U296" s="236"/>
      <c r="V296" s="234"/>
      <c r="W296" s="234"/>
      <c r="X296" s="234"/>
      <c r="Y296" s="234"/>
      <c r="Z296" s="236"/>
      <c r="AA296" s="234"/>
      <c r="AB296" s="234"/>
      <c r="AC296" s="234"/>
      <c r="AD296" s="234"/>
      <c r="AE296" s="236"/>
      <c r="AF296" s="234"/>
      <c r="AG296" s="234"/>
      <c r="AH296" s="234"/>
      <c r="AI296" s="234"/>
      <c r="AJ296" s="236"/>
      <c r="AK296" s="234"/>
      <c r="AL296" s="234"/>
      <c r="AM296" s="234"/>
      <c r="AN296" s="234"/>
      <c r="AO296" s="236"/>
      <c r="AP296" s="1539">
        <v>0.72</v>
      </c>
      <c r="AQ296" s="1539">
        <v>0.753</v>
      </c>
      <c r="AR296" s="1539">
        <v>0.71199999999999997</v>
      </c>
      <c r="AS296" s="1539">
        <v>0.63500000000000001</v>
      </c>
      <c r="AT296" s="1512">
        <f>AVERAGE(AP296:AS296)</f>
        <v>0.70499999999999985</v>
      </c>
      <c r="AU296" s="1539">
        <v>0.56100000000000005</v>
      </c>
      <c r="AV296" s="1539">
        <v>0.57499999999999996</v>
      </c>
      <c r="AW296" s="1539">
        <v>0.55000000000000004</v>
      </c>
      <c r="AX296" s="1539">
        <v>0.57199999999999995</v>
      </c>
      <c r="AY296" s="1512">
        <f>AVERAGE(AU296:AX296)</f>
        <v>0.5645</v>
      </c>
      <c r="AZ296" s="1539">
        <v>0.58499999999999996</v>
      </c>
      <c r="BA296" s="1539">
        <v>0.67300000000000004</v>
      </c>
      <c r="BB296" s="1539">
        <v>0.628</v>
      </c>
      <c r="BC296" s="1539">
        <v>0.64500000000000002</v>
      </c>
      <c r="BD296" s="1512">
        <f>AVERAGE(AZ296:BC296)</f>
        <v>0.63275000000000003</v>
      </c>
      <c r="BE296" s="1539">
        <v>0.63</v>
      </c>
      <c r="BF296" s="1539">
        <v>0.65200000000000002</v>
      </c>
      <c r="BG296" s="1539">
        <v>0.63300000000000001</v>
      </c>
      <c r="BH296" s="1539">
        <v>0.63700000000000001</v>
      </c>
      <c r="BI296" s="1512">
        <f>AVERAGE(BE296:BH296)</f>
        <v>0.63800000000000001</v>
      </c>
      <c r="BJ296" s="1539">
        <v>0.59899999999999998</v>
      </c>
      <c r="BK296" s="1539">
        <v>0.68400000000000005</v>
      </c>
      <c r="BL296" s="1539">
        <v>0.63200000000000001</v>
      </c>
      <c r="BM296" s="1539">
        <v>0.64300000000000002</v>
      </c>
      <c r="BN296" s="1993">
        <v>0.63400000000000001</v>
      </c>
      <c r="BO296" s="1539">
        <v>0.65400000000000003</v>
      </c>
      <c r="BP296" s="1539">
        <v>0.67900000000000005</v>
      </c>
      <c r="BQ296" s="1539">
        <v>0.61099999999999999</v>
      </c>
      <c r="BR296" s="1539">
        <v>0.67</v>
      </c>
      <c r="BS296" s="1993">
        <v>0.65600000000000003</v>
      </c>
      <c r="BT296" s="2009" t="s">
        <v>673</v>
      </c>
      <c r="BU296" s="2009" t="s">
        <v>673</v>
      </c>
      <c r="BV296" s="2009" t="s">
        <v>673</v>
      </c>
      <c r="BW296" s="2009" t="s">
        <v>673</v>
      </c>
      <c r="BX296" s="2670" t="s">
        <v>673</v>
      </c>
      <c r="BY296" s="2009" t="s">
        <v>673</v>
      </c>
      <c r="BZ296" s="2009" t="s">
        <v>673</v>
      </c>
      <c r="CA296" s="2009" t="s">
        <v>673</v>
      </c>
      <c r="CB296" s="2009" t="s">
        <v>673</v>
      </c>
      <c r="CC296" s="2670" t="s">
        <v>673</v>
      </c>
      <c r="CD296" s="2009" t="s">
        <v>673</v>
      </c>
      <c r="CE296" s="2009" t="s">
        <v>673</v>
      </c>
      <c r="CF296" s="2009" t="s">
        <v>673</v>
      </c>
      <c r="CG296" s="2009" t="s">
        <v>673</v>
      </c>
      <c r="CH296" s="2670" t="s">
        <v>673</v>
      </c>
      <c r="CI296" s="2009" t="s">
        <v>673</v>
      </c>
      <c r="CJ296" s="2009" t="s">
        <v>673</v>
      </c>
      <c r="CK296" s="2009" t="s">
        <v>673</v>
      </c>
      <c r="CL296" s="2009" t="s">
        <v>673</v>
      </c>
      <c r="CM296" s="2670" t="s">
        <v>673</v>
      </c>
      <c r="CN296" s="2009"/>
      <c r="CO296" s="2009"/>
      <c r="CR296" s="194"/>
      <c r="CS296" s="194"/>
      <c r="CT296" s="194"/>
      <c r="DB296" s="1226"/>
    </row>
    <row r="297" spans="1:106" s="212" customFormat="1" x14ac:dyDescent="0.2">
      <c r="A297" s="1955" t="s">
        <v>652</v>
      </c>
      <c r="B297" s="234"/>
      <c r="C297" s="234"/>
      <c r="D297" s="234"/>
      <c r="E297" s="234"/>
      <c r="F297" s="236"/>
      <c r="G297" s="234"/>
      <c r="H297" s="234"/>
      <c r="I297" s="234"/>
      <c r="J297" s="234"/>
      <c r="K297" s="236"/>
      <c r="L297" s="234"/>
      <c r="M297" s="234"/>
      <c r="N297" s="234"/>
      <c r="O297" s="234"/>
      <c r="P297" s="236"/>
      <c r="Q297" s="234"/>
      <c r="R297" s="234"/>
      <c r="S297" s="234"/>
      <c r="T297" s="234"/>
      <c r="U297" s="236"/>
      <c r="V297" s="234"/>
      <c r="W297" s="234"/>
      <c r="X297" s="234"/>
      <c r="Y297" s="234"/>
      <c r="Z297" s="236"/>
      <c r="AA297" s="234"/>
      <c r="AB297" s="234"/>
      <c r="AC297" s="234"/>
      <c r="AD297" s="234"/>
      <c r="AE297" s="236"/>
      <c r="AF297" s="234"/>
      <c r="AG297" s="234"/>
      <c r="AH297" s="234"/>
      <c r="AI297" s="234"/>
      <c r="AJ297" s="236"/>
      <c r="AK297" s="234"/>
      <c r="AL297" s="234"/>
      <c r="AM297" s="234"/>
      <c r="AN297" s="234"/>
      <c r="AO297" s="236"/>
      <c r="AP297" s="885"/>
      <c r="AQ297" s="885"/>
      <c r="AR297" s="885"/>
      <c r="AS297" s="885"/>
      <c r="AT297" s="1044"/>
      <c r="AU297" s="885">
        <f>AU296/AP296-1</f>
        <v>-0.22083333333333321</v>
      </c>
      <c r="AV297" s="885">
        <f>AV296/AQ296-1</f>
        <v>-0.23638778220451528</v>
      </c>
      <c r="AW297" s="885">
        <f>AW296/AR296-1</f>
        <v>-0.22752808988764039</v>
      </c>
      <c r="AX297" s="885">
        <f>AX296/AS296-1</f>
        <v>-9.9212598425196918E-2</v>
      </c>
      <c r="AY297" s="1044">
        <f>+AY296/AT296-1</f>
        <v>-0.19929078014184376</v>
      </c>
      <c r="AZ297" s="885">
        <f>AZ296/AU296-1</f>
        <v>4.2780748663101331E-2</v>
      </c>
      <c r="BA297" s="885">
        <f>BA296/AV296-1</f>
        <v>0.17043478260869582</v>
      </c>
      <c r="BB297" s="885">
        <f>BB296/AW296-1</f>
        <v>0.14181818181818162</v>
      </c>
      <c r="BC297" s="885">
        <f>BC296/AX296-1</f>
        <v>0.12762237762237771</v>
      </c>
      <c r="BD297" s="1044">
        <f>+BD296/AY296-1</f>
        <v>0.12090345438441097</v>
      </c>
      <c r="BE297" s="885">
        <f>BE296/AZ296-1</f>
        <v>7.6923076923077094E-2</v>
      </c>
      <c r="BF297" s="885">
        <f>BF296/BA296-1</f>
        <v>-3.1203566121842496E-2</v>
      </c>
      <c r="BG297" s="885">
        <f>BG296/BB296-1</f>
        <v>7.9617834394904996E-3</v>
      </c>
      <c r="BH297" s="885">
        <f>BH296/BC296-1</f>
        <v>-1.2403100775193798E-2</v>
      </c>
      <c r="BI297" s="1044">
        <f>+BI296/BD296-1</f>
        <v>8.2971157645199689E-3</v>
      </c>
      <c r="BJ297" s="885">
        <f t="shared" ref="BJ297:BQ297" si="238">BJ296/BE296-1</f>
        <v>-4.9206349206349254E-2</v>
      </c>
      <c r="BK297" s="885">
        <f t="shared" si="238"/>
        <v>4.9079754601226933E-2</v>
      </c>
      <c r="BL297" s="885">
        <f t="shared" si="238"/>
        <v>-1.5797788309637184E-3</v>
      </c>
      <c r="BM297" s="885">
        <f t="shared" si="238"/>
        <v>9.4191522762951951E-3</v>
      </c>
      <c r="BN297" s="1044">
        <f t="shared" si="238"/>
        <v>-6.2695924764890609E-3</v>
      </c>
      <c r="BO297" s="885">
        <f t="shared" si="238"/>
        <v>9.1819699499165353E-2</v>
      </c>
      <c r="BP297" s="885">
        <f t="shared" si="238"/>
        <v>-7.309941520467822E-3</v>
      </c>
      <c r="BQ297" s="885">
        <f t="shared" si="238"/>
        <v>-3.3227848101265889E-2</v>
      </c>
      <c r="BR297" s="885">
        <f>BR296/BM296-1</f>
        <v>4.1990668740280013E-2</v>
      </c>
      <c r="BS297" s="1044">
        <f>BS296/BN296-1</f>
        <v>3.4700315457413256E-2</v>
      </c>
      <c r="BT297" s="1278" t="str">
        <f t="shared" ref="BT297:CM297" si="239">IF(ISERROR(BT296/BO296-1),"NM",BT296/BO296-1)</f>
        <v>NM</v>
      </c>
      <c r="BU297" s="1278" t="str">
        <f t="shared" si="239"/>
        <v>NM</v>
      </c>
      <c r="BV297" s="1278" t="str">
        <f t="shared" si="239"/>
        <v>NM</v>
      </c>
      <c r="BW297" s="1278" t="str">
        <f t="shared" si="239"/>
        <v>NM</v>
      </c>
      <c r="BX297" s="2671" t="str">
        <f t="shared" si="239"/>
        <v>NM</v>
      </c>
      <c r="BY297" s="1278" t="str">
        <f t="shared" si="239"/>
        <v>NM</v>
      </c>
      <c r="BZ297" s="1278" t="str">
        <f t="shared" si="239"/>
        <v>NM</v>
      </c>
      <c r="CA297" s="1278" t="str">
        <f t="shared" si="239"/>
        <v>NM</v>
      </c>
      <c r="CB297" s="1278" t="str">
        <f t="shared" si="239"/>
        <v>NM</v>
      </c>
      <c r="CC297" s="2671" t="str">
        <f t="shared" si="239"/>
        <v>NM</v>
      </c>
      <c r="CD297" s="1278" t="str">
        <f t="shared" si="239"/>
        <v>NM</v>
      </c>
      <c r="CE297" s="1278" t="str">
        <f t="shared" si="239"/>
        <v>NM</v>
      </c>
      <c r="CF297" s="1278" t="str">
        <f t="shared" si="239"/>
        <v>NM</v>
      </c>
      <c r="CG297" s="1278" t="str">
        <f t="shared" si="239"/>
        <v>NM</v>
      </c>
      <c r="CH297" s="2671" t="str">
        <f t="shared" si="239"/>
        <v>NM</v>
      </c>
      <c r="CI297" s="1278" t="str">
        <f t="shared" si="239"/>
        <v>NM</v>
      </c>
      <c r="CJ297" s="1278" t="str">
        <f t="shared" si="239"/>
        <v>NM</v>
      </c>
      <c r="CK297" s="1278" t="str">
        <f t="shared" si="239"/>
        <v>NM</v>
      </c>
      <c r="CL297" s="1278" t="str">
        <f t="shared" si="239"/>
        <v>NM</v>
      </c>
      <c r="CM297" s="2671" t="str">
        <f t="shared" si="239"/>
        <v>NM</v>
      </c>
      <c r="CN297" s="1278"/>
      <c r="CO297" s="1278"/>
      <c r="CP297" s="886"/>
      <c r="CQ297" s="886"/>
      <c r="CR297" s="1046"/>
      <c r="CS297" s="1046"/>
      <c r="CT297" s="1046"/>
      <c r="DB297" s="1226"/>
    </row>
    <row r="298" spans="1:106" x14ac:dyDescent="0.2">
      <c r="A298" s="1595" t="s">
        <v>359</v>
      </c>
      <c r="B298" s="1924" t="s">
        <v>673</v>
      </c>
      <c r="C298" s="1924" t="s">
        <v>673</v>
      </c>
      <c r="D298" s="1924" t="s">
        <v>673</v>
      </c>
      <c r="E298" s="1924" t="s">
        <v>673</v>
      </c>
      <c r="F298" s="1890" t="s">
        <v>673</v>
      </c>
      <c r="G298" s="1924" t="s">
        <v>673</v>
      </c>
      <c r="H298" s="1924" t="s">
        <v>673</v>
      </c>
      <c r="I298" s="1924" t="s">
        <v>673</v>
      </c>
      <c r="J298" s="1924" t="s">
        <v>673</v>
      </c>
      <c r="K298" s="1890" t="s">
        <v>673</v>
      </c>
      <c r="L298" s="1924" t="s">
        <v>673</v>
      </c>
      <c r="M298" s="1924" t="s">
        <v>673</v>
      </c>
      <c r="N298" s="1924" t="s">
        <v>673</v>
      </c>
      <c r="O298" s="1924" t="s">
        <v>673</v>
      </c>
      <c r="P298" s="1890" t="s">
        <v>673</v>
      </c>
      <c r="Q298" s="1924" t="s">
        <v>673</v>
      </c>
      <c r="R298" s="1924" t="s">
        <v>673</v>
      </c>
      <c r="S298" s="1924" t="s">
        <v>673</v>
      </c>
      <c r="T298" s="1924" t="s">
        <v>673</v>
      </c>
      <c r="U298" s="1890" t="s">
        <v>673</v>
      </c>
      <c r="V298" s="1924" t="s">
        <v>673</v>
      </c>
      <c r="W298" s="1924" t="s">
        <v>673</v>
      </c>
      <c r="X298" s="1924" t="s">
        <v>673</v>
      </c>
      <c r="Y298" s="1924" t="s">
        <v>673</v>
      </c>
      <c r="Z298" s="1890" t="s">
        <v>673</v>
      </c>
      <c r="AA298" s="1924" t="s">
        <v>673</v>
      </c>
      <c r="AB298" s="1924" t="s">
        <v>673</v>
      </c>
      <c r="AC298" s="1924" t="s">
        <v>673</v>
      </c>
      <c r="AD298" s="1924" t="s">
        <v>673</v>
      </c>
      <c r="AE298" s="1890" t="s">
        <v>673</v>
      </c>
      <c r="AF298" s="1924" t="s">
        <v>673</v>
      </c>
      <c r="AG298" s="1924" t="s">
        <v>673</v>
      </c>
      <c r="AH298" s="1924" t="s">
        <v>673</v>
      </c>
      <c r="AI298" s="1924" t="s">
        <v>673</v>
      </c>
      <c r="AJ298" s="1890" t="s">
        <v>673</v>
      </c>
      <c r="AK298" s="1924" t="s">
        <v>673</v>
      </c>
      <c r="AL298" s="1924" t="s">
        <v>673</v>
      </c>
      <c r="AM298" s="1924" t="s">
        <v>673</v>
      </c>
      <c r="AN298" s="1924" t="s">
        <v>673</v>
      </c>
      <c r="AO298" s="1890" t="s">
        <v>673</v>
      </c>
      <c r="AP298" s="886">
        <v>6.7000000000000004E-2</v>
      </c>
      <c r="AQ298" s="886">
        <v>7.0000000000000001E-3</v>
      </c>
      <c r="AR298" s="886">
        <v>0</v>
      </c>
      <c r="AS298" s="886">
        <v>-5.5E-2</v>
      </c>
      <c r="AT298" s="1046">
        <v>-5.0000000000000001E-3</v>
      </c>
      <c r="AU298" s="886">
        <v>-0.09</v>
      </c>
      <c r="AV298" s="886">
        <v>-0.11799999999999999</v>
      </c>
      <c r="AW298" s="886">
        <v>-9.7000000000000003E-2</v>
      </c>
      <c r="AX298" s="886">
        <v>-1.4999999999999999E-2</v>
      </c>
      <c r="AY298" s="1046">
        <v>-7.1999999999999995E-2</v>
      </c>
      <c r="AZ298" s="886">
        <v>3.5999999999999997E-2</v>
      </c>
      <c r="BA298" s="886">
        <v>0.10100000000000001</v>
      </c>
      <c r="BB298" s="886">
        <v>5.2999999999999999E-2</v>
      </c>
      <c r="BC298" s="886">
        <v>4.7E-2</v>
      </c>
      <c r="BD298" s="1046">
        <v>0.06</v>
      </c>
      <c r="BE298" s="886">
        <v>3.6999999999999998E-2</v>
      </c>
      <c r="BF298" s="886">
        <v>-2.5000000000000001E-2</v>
      </c>
      <c r="BG298" s="886">
        <v>4.0000000000000001E-3</v>
      </c>
      <c r="BH298" s="886">
        <v>-1.7000000000000001E-2</v>
      </c>
      <c r="BI298" s="1046">
        <v>-5.0000000000000001E-3</v>
      </c>
      <c r="BJ298" s="886">
        <v>-0.02</v>
      </c>
      <c r="BK298" s="886">
        <v>4.3999999999999997E-2</v>
      </c>
      <c r="BL298" s="886">
        <v>1.7999999999999999E-2</v>
      </c>
      <c r="BM298" s="886">
        <v>2.1999999999999999E-2</v>
      </c>
      <c r="BN298" s="1046">
        <v>1.2999999999999999E-2</v>
      </c>
      <c r="BO298" s="886">
        <v>0.04</v>
      </c>
      <c r="BP298" s="886">
        <v>2.4E-2</v>
      </c>
      <c r="BQ298" s="886">
        <v>1E-3</v>
      </c>
      <c r="BR298" s="886">
        <v>4.0000000000000001E-3</v>
      </c>
      <c r="BS298" s="1046">
        <v>1.7000000000000001E-2</v>
      </c>
      <c r="BT298" s="2009" t="s">
        <v>673</v>
      </c>
      <c r="BU298" s="2009" t="s">
        <v>673</v>
      </c>
      <c r="BV298" s="2009" t="s">
        <v>673</v>
      </c>
      <c r="BW298" s="2009" t="s">
        <v>673</v>
      </c>
      <c r="BX298" s="2670" t="s">
        <v>673</v>
      </c>
      <c r="BY298" s="2009" t="s">
        <v>673</v>
      </c>
      <c r="BZ298" s="2009" t="s">
        <v>673</v>
      </c>
      <c r="CA298" s="2009" t="s">
        <v>673</v>
      </c>
      <c r="CB298" s="2009" t="s">
        <v>673</v>
      </c>
      <c r="CC298" s="2670" t="s">
        <v>673</v>
      </c>
      <c r="CD298" s="2009" t="s">
        <v>673</v>
      </c>
      <c r="CE298" s="2009" t="s">
        <v>673</v>
      </c>
      <c r="CF298" s="2009" t="s">
        <v>673</v>
      </c>
      <c r="CG298" s="2009" t="s">
        <v>673</v>
      </c>
      <c r="CH298" s="2670" t="s">
        <v>673</v>
      </c>
      <c r="CI298" s="2009" t="s">
        <v>673</v>
      </c>
      <c r="CJ298" s="2009" t="s">
        <v>673</v>
      </c>
      <c r="CK298" s="2009" t="s">
        <v>673</v>
      </c>
      <c r="CL298" s="2009" t="s">
        <v>673</v>
      </c>
      <c r="CM298" s="2670" t="s">
        <v>673</v>
      </c>
      <c r="CN298" s="2009"/>
      <c r="CO298" s="2009"/>
      <c r="CP298" s="886"/>
      <c r="CQ298" s="886"/>
      <c r="CR298" s="1046"/>
      <c r="CS298" s="1046"/>
      <c r="CT298" s="1046"/>
      <c r="DA298" s="212"/>
      <c r="DB298" s="1226"/>
    </row>
    <row r="299" spans="1:106" s="212" customFormat="1" x14ac:dyDescent="0.2">
      <c r="A299" s="1956"/>
      <c r="F299" s="194"/>
      <c r="K299" s="194"/>
      <c r="P299" s="194"/>
      <c r="U299" s="194"/>
      <c r="Z299" s="194"/>
      <c r="AE299" s="194"/>
      <c r="AJ299" s="194"/>
      <c r="AO299" s="194"/>
      <c r="AP299" s="1531"/>
      <c r="AQ299" s="1531"/>
      <c r="AR299" s="1531"/>
      <c r="AS299" s="1531"/>
      <c r="AT299" s="1530"/>
      <c r="AU299" s="885"/>
      <c r="AV299" s="885"/>
      <c r="AW299" s="885"/>
      <c r="AX299" s="885"/>
      <c r="AY299" s="1044"/>
      <c r="AZ299" s="885"/>
      <c r="BA299" s="885"/>
      <c r="BB299" s="885"/>
      <c r="BC299" s="885"/>
      <c r="BD299" s="1044"/>
      <c r="BE299" s="885"/>
      <c r="BF299" s="885"/>
      <c r="BG299" s="885"/>
      <c r="BH299" s="885"/>
      <c r="BI299" s="1044"/>
      <c r="BJ299" s="886"/>
      <c r="BK299" s="886"/>
      <c r="BL299" s="886"/>
      <c r="BM299" s="886"/>
      <c r="BN299" s="1044"/>
      <c r="BO299" s="886"/>
      <c r="BP299" s="886"/>
      <c r="BQ299" s="1192"/>
      <c r="BR299" s="886"/>
      <c r="BS299" s="1044"/>
      <c r="BT299" s="886"/>
      <c r="BU299" s="886"/>
      <c r="BV299" s="886"/>
      <c r="BW299" s="886"/>
      <c r="BX299" s="1044"/>
      <c r="BY299" s="886"/>
      <c r="BZ299" s="886"/>
      <c r="CA299" s="886"/>
      <c r="CB299" s="1549"/>
      <c r="CC299" s="1280"/>
      <c r="CD299" s="886"/>
      <c r="CE299" s="886"/>
      <c r="CF299" s="886"/>
      <c r="CG299" s="1549"/>
      <c r="CH299" s="1280"/>
      <c r="CI299" s="886"/>
      <c r="CJ299" s="886"/>
      <c r="CK299" s="886"/>
      <c r="CL299" s="886"/>
      <c r="CM299" s="1046"/>
      <c r="CN299" s="886"/>
      <c r="CO299" s="886"/>
      <c r="CP299" s="886"/>
      <c r="CQ299" s="886"/>
      <c r="CR299" s="1046"/>
      <c r="CS299" s="1046"/>
      <c r="CT299" s="1046"/>
      <c r="DB299" s="1226"/>
    </row>
    <row r="300" spans="1:106" s="212" customFormat="1" x14ac:dyDescent="0.2">
      <c r="A300" s="1560" t="s">
        <v>1649</v>
      </c>
      <c r="F300" s="194"/>
      <c r="K300" s="194"/>
      <c r="P300" s="194"/>
      <c r="U300" s="194"/>
      <c r="Z300" s="194"/>
      <c r="AE300" s="194"/>
      <c r="AJ300" s="194"/>
      <c r="AO300" s="194"/>
      <c r="AP300" s="1531"/>
      <c r="AQ300" s="1531"/>
      <c r="AR300" s="1531"/>
      <c r="AS300" s="1531"/>
      <c r="AT300" s="1530"/>
      <c r="AU300" s="885"/>
      <c r="AV300" s="885"/>
      <c r="AW300" s="885"/>
      <c r="AX300" s="885"/>
      <c r="AY300" s="1044"/>
      <c r="AZ300" s="885"/>
      <c r="BA300" s="885"/>
      <c r="BB300" s="885"/>
      <c r="BC300" s="885"/>
      <c r="BD300" s="1044"/>
      <c r="BE300" s="885"/>
      <c r="BF300" s="885"/>
      <c r="BG300" s="885"/>
      <c r="BH300" s="885"/>
      <c r="BI300" s="1044"/>
      <c r="BJ300" s="886"/>
      <c r="BK300" s="886"/>
      <c r="BL300" s="886"/>
      <c r="BM300" s="886"/>
      <c r="BN300" s="1044"/>
      <c r="BO300" s="886"/>
      <c r="BP300" s="886"/>
      <c r="BQ300" s="1192"/>
      <c r="BR300" s="886"/>
      <c r="BS300" s="1044"/>
      <c r="BT300" s="886"/>
      <c r="BU300" s="886"/>
      <c r="BV300" s="886"/>
      <c r="BW300" s="886"/>
      <c r="BX300" s="1044"/>
      <c r="BY300" s="886"/>
      <c r="BZ300" s="886"/>
      <c r="CA300" s="886"/>
      <c r="CB300" s="1549"/>
      <c r="CC300" s="1280"/>
      <c r="CD300" s="886"/>
      <c r="CE300" s="886"/>
      <c r="CF300" s="886"/>
      <c r="CG300" s="1549"/>
      <c r="CH300" s="1280"/>
      <c r="CI300" s="886"/>
      <c r="CJ300" s="886"/>
      <c r="CK300" s="886"/>
      <c r="CL300" s="886"/>
      <c r="CM300" s="1046"/>
      <c r="CN300" s="886"/>
      <c r="CO300" s="886"/>
      <c r="CP300" s="886"/>
      <c r="CQ300" s="886"/>
      <c r="CR300" s="1046"/>
      <c r="CS300" s="1046"/>
      <c r="CT300" s="1046"/>
      <c r="DB300" s="1226"/>
    </row>
    <row r="301" spans="1:106" s="212" customFormat="1" x14ac:dyDescent="0.2">
      <c r="A301" s="1434" t="s">
        <v>1644</v>
      </c>
      <c r="F301" s="194"/>
      <c r="K301" s="194"/>
      <c r="P301" s="194"/>
      <c r="U301" s="194"/>
      <c r="Z301" s="194"/>
      <c r="AE301" s="194"/>
      <c r="AJ301" s="194"/>
      <c r="AO301" s="194"/>
      <c r="AP301" s="1563">
        <v>193.63</v>
      </c>
      <c r="AQ301" s="1563">
        <v>186.62</v>
      </c>
      <c r="AR301" s="1563">
        <v>165.72</v>
      </c>
      <c r="AS301" s="1563">
        <v>170.78</v>
      </c>
      <c r="AT301" s="1556">
        <f>AVERAGE(AP301:AS301)</f>
        <v>179.1875</v>
      </c>
      <c r="AU301" s="1563">
        <v>188.32</v>
      </c>
      <c r="AV301" s="1563">
        <v>168.35</v>
      </c>
      <c r="AW301" s="1563">
        <v>145.41</v>
      </c>
      <c r="AX301" s="1563">
        <v>147.24</v>
      </c>
      <c r="AY301" s="1556">
        <f>AVERAGE(AU301:AX301)</f>
        <v>162.32999999999998</v>
      </c>
      <c r="AZ301" s="1563">
        <v>178.11</v>
      </c>
      <c r="BA301" s="1563">
        <v>171.83</v>
      </c>
      <c r="BB301" s="1563">
        <v>146.91999999999999</v>
      </c>
      <c r="BC301" s="1563">
        <v>155.13999999999999</v>
      </c>
      <c r="BD301" s="1556">
        <f>AVERAGE(AZ301:BC301)</f>
        <v>163</v>
      </c>
      <c r="BE301" s="1563">
        <v>181.5</v>
      </c>
      <c r="BF301" s="1563">
        <v>177.33</v>
      </c>
      <c r="BG301" s="1563">
        <v>150.51</v>
      </c>
      <c r="BH301" s="1563">
        <v>160.74</v>
      </c>
      <c r="BI301" s="1556">
        <f>AVERAGE(BE301:BH301)</f>
        <v>167.52</v>
      </c>
      <c r="BJ301" s="1563">
        <v>186.9</v>
      </c>
      <c r="BK301" s="1563">
        <v>182.7</v>
      </c>
      <c r="BL301" s="1563">
        <v>158.16999999999999</v>
      </c>
      <c r="BM301" s="1563">
        <v>163.87</v>
      </c>
      <c r="BN301" s="1995">
        <v>171.32</v>
      </c>
      <c r="BO301" s="1563">
        <v>200.97</v>
      </c>
      <c r="BP301" s="1563">
        <v>178</v>
      </c>
      <c r="BQ301" s="1563">
        <v>167.64</v>
      </c>
      <c r="BR301" s="1563">
        <v>181.07</v>
      </c>
      <c r="BS301" s="1995">
        <v>181.95</v>
      </c>
      <c r="BT301" s="1563">
        <v>248.27</v>
      </c>
      <c r="BU301" s="1563">
        <v>200.85</v>
      </c>
      <c r="BV301" s="1563">
        <v>179.18</v>
      </c>
      <c r="BW301" s="1563">
        <v>199.85</v>
      </c>
      <c r="BX301" s="1995">
        <v>205.88</v>
      </c>
      <c r="BY301" s="1563">
        <v>254.59</v>
      </c>
      <c r="BZ301" s="1563">
        <v>204.54</v>
      </c>
      <c r="CA301" s="1563">
        <v>178.19</v>
      </c>
      <c r="CB301" s="1563">
        <v>203.56</v>
      </c>
      <c r="CC301" s="1995">
        <v>210.46</v>
      </c>
      <c r="CD301" s="1563">
        <v>248.34</v>
      </c>
      <c r="CE301" s="1563">
        <v>209.44</v>
      </c>
      <c r="CF301" s="1563">
        <v>191.91</v>
      </c>
      <c r="CG301" s="1563">
        <v>174.34</v>
      </c>
      <c r="CH301" s="1995">
        <v>184.29</v>
      </c>
      <c r="CI301" s="1563">
        <v>201.33</v>
      </c>
      <c r="CJ301" s="1563">
        <v>180.05</v>
      </c>
      <c r="CK301" s="1563">
        <v>172.08</v>
      </c>
      <c r="CL301" s="1563">
        <v>164.93</v>
      </c>
      <c r="CM301" s="1995">
        <v>161.91</v>
      </c>
      <c r="CN301" s="1563"/>
      <c r="CO301" s="1563"/>
      <c r="CR301" s="194"/>
      <c r="CS301" s="194"/>
      <c r="CT301" s="194"/>
      <c r="DB301" s="1226"/>
    </row>
    <row r="302" spans="1:106" s="212" customFormat="1" x14ac:dyDescent="0.2">
      <c r="A302" s="1595" t="s">
        <v>652</v>
      </c>
      <c r="F302" s="194"/>
      <c r="K302" s="194"/>
      <c r="P302" s="194"/>
      <c r="U302" s="194"/>
      <c r="Z302" s="194"/>
      <c r="AE302" s="194"/>
      <c r="AJ302" s="194"/>
      <c r="AO302" s="194"/>
      <c r="AP302" s="885"/>
      <c r="AQ302" s="885"/>
      <c r="AR302" s="885"/>
      <c r="AS302" s="885"/>
      <c r="AT302" s="1280"/>
      <c r="AU302" s="885">
        <f>AU301/AP301-1</f>
        <v>-2.7423436450963234E-2</v>
      </c>
      <c r="AV302" s="885">
        <f>AV301/AQ301-1</f>
        <v>-9.7899474868717196E-2</v>
      </c>
      <c r="AW302" s="885">
        <f>AW301/AR301-1</f>
        <v>-0.12255611875452577</v>
      </c>
      <c r="AX302" s="885">
        <f>AX301/AS301-1</f>
        <v>-0.13783815435062652</v>
      </c>
      <c r="AY302" s="1280">
        <f>+AY301/AT301-1</f>
        <v>-9.4077432856644716E-2</v>
      </c>
      <c r="AZ302" s="885">
        <f>AZ301/AU301-1</f>
        <v>-5.4216227697535979E-2</v>
      </c>
      <c r="BA302" s="885">
        <f>BA301/AV301-1</f>
        <v>2.0671220671220736E-2</v>
      </c>
      <c r="BB302" s="885">
        <f>BB301/AW301-1</f>
        <v>1.038443023175839E-2</v>
      </c>
      <c r="BC302" s="885">
        <f>BC301/AX301-1</f>
        <v>5.3653898397174604E-2</v>
      </c>
      <c r="BD302" s="1280">
        <f>+BD301/AY301-1</f>
        <v>4.1273948130353677E-3</v>
      </c>
      <c r="BE302" s="885">
        <f>BE301/AZ301-1</f>
        <v>1.9033181741620275E-2</v>
      </c>
      <c r="BF302" s="885">
        <f>BF301/BA301-1</f>
        <v>3.2008380375952994E-2</v>
      </c>
      <c r="BG302" s="885">
        <f>BG301/BB301-1</f>
        <v>2.4435066702967578E-2</v>
      </c>
      <c r="BH302" s="885">
        <f>BH301/BC301-1</f>
        <v>3.6096429031842403E-2</v>
      </c>
      <c r="BI302" s="1280">
        <f>+BI301/BD301-1</f>
        <v>2.7730061349693358E-2</v>
      </c>
      <c r="BJ302" s="885">
        <f t="shared" ref="BJ302:BQ302" si="240">BJ301/BE301-1</f>
        <v>2.9752066115702469E-2</v>
      </c>
      <c r="BK302" s="885">
        <f t="shared" si="240"/>
        <v>3.028252410759591E-2</v>
      </c>
      <c r="BL302" s="885">
        <f t="shared" si="240"/>
        <v>5.0893628330343388E-2</v>
      </c>
      <c r="BM302" s="885">
        <f t="shared" si="240"/>
        <v>1.9472439965161126E-2</v>
      </c>
      <c r="BN302" s="1280">
        <f t="shared" si="240"/>
        <v>2.2683858643743893E-2</v>
      </c>
      <c r="BO302" s="885">
        <f t="shared" si="240"/>
        <v>7.5280898876404434E-2</v>
      </c>
      <c r="BP302" s="885">
        <f t="shared" si="240"/>
        <v>-2.5725232621784277E-2</v>
      </c>
      <c r="BQ302" s="885">
        <f t="shared" si="240"/>
        <v>5.9872289308971371E-2</v>
      </c>
      <c r="BR302" s="885">
        <f t="shared" ref="BR302:CM302" si="241">BR301/BM301-1</f>
        <v>0.10496124977116006</v>
      </c>
      <c r="BS302" s="1280">
        <f t="shared" si="241"/>
        <v>6.2047630165771528E-2</v>
      </c>
      <c r="BT302" s="885">
        <f t="shared" si="241"/>
        <v>0.23535851122058027</v>
      </c>
      <c r="BU302" s="885">
        <f t="shared" si="241"/>
        <v>0.12837078651685396</v>
      </c>
      <c r="BV302" s="885">
        <f t="shared" si="241"/>
        <v>6.8837986160821041E-2</v>
      </c>
      <c r="BW302" s="885">
        <f t="shared" si="241"/>
        <v>0.10371679460981942</v>
      </c>
      <c r="BX302" s="1280">
        <f t="shared" si="241"/>
        <v>0.13151964825501516</v>
      </c>
      <c r="BY302" s="885">
        <f t="shared" si="241"/>
        <v>2.5456156603697488E-2</v>
      </c>
      <c r="BZ302" s="885">
        <f t="shared" si="241"/>
        <v>1.8371919342793142E-2</v>
      </c>
      <c r="CA302" s="885">
        <f t="shared" si="241"/>
        <v>-5.5251702198906294E-3</v>
      </c>
      <c r="CB302" s="885">
        <f t="shared" si="241"/>
        <v>1.8563922942206768E-2</v>
      </c>
      <c r="CC302" s="1280">
        <f t="shared" si="241"/>
        <v>2.2245968525354654E-2</v>
      </c>
      <c r="CD302" s="885">
        <f t="shared" si="241"/>
        <v>-2.454927530539297E-2</v>
      </c>
      <c r="CE302" s="885">
        <f t="shared" si="241"/>
        <v>2.3956194387405816E-2</v>
      </c>
      <c r="CF302" s="885">
        <f t="shared" si="241"/>
        <v>7.6996464448060964E-2</v>
      </c>
      <c r="CG302" s="885">
        <f t="shared" si="241"/>
        <v>-0.14354490076635884</v>
      </c>
      <c r="CH302" s="1280">
        <f t="shared" si="241"/>
        <v>-0.12434666920079829</v>
      </c>
      <c r="CI302" s="885">
        <f t="shared" si="241"/>
        <v>-0.18929693162599659</v>
      </c>
      <c r="CJ302" s="885">
        <f t="shared" si="241"/>
        <v>-0.14032658517952634</v>
      </c>
      <c r="CK302" s="885">
        <f t="shared" si="241"/>
        <v>-0.10332968579021407</v>
      </c>
      <c r="CL302" s="885">
        <f t="shared" si="241"/>
        <v>-5.3974991396122496E-2</v>
      </c>
      <c r="CM302" s="1280">
        <f t="shared" si="241"/>
        <v>-0.12143903630148134</v>
      </c>
      <c r="CN302" s="885"/>
      <c r="CO302" s="885"/>
      <c r="CR302" s="194"/>
      <c r="CS302" s="194"/>
      <c r="CT302" s="194"/>
      <c r="DB302" s="1226"/>
    </row>
    <row r="303" spans="1:106" x14ac:dyDescent="0.2">
      <c r="A303" s="1595" t="s">
        <v>359</v>
      </c>
      <c r="B303" s="1924" t="s">
        <v>673</v>
      </c>
      <c r="C303" s="1924" t="s">
        <v>673</v>
      </c>
      <c r="D303" s="1924" t="s">
        <v>673</v>
      </c>
      <c r="E303" s="1924" t="s">
        <v>673</v>
      </c>
      <c r="F303" s="1890" t="s">
        <v>673</v>
      </c>
      <c r="G303" s="1924" t="s">
        <v>673</v>
      </c>
      <c r="H303" s="1924" t="s">
        <v>673</v>
      </c>
      <c r="I303" s="1924" t="s">
        <v>673</v>
      </c>
      <c r="J303" s="1924" t="s">
        <v>673</v>
      </c>
      <c r="K303" s="1890" t="s">
        <v>673</v>
      </c>
      <c r="L303" s="1924" t="s">
        <v>673</v>
      </c>
      <c r="M303" s="1924" t="s">
        <v>673</v>
      </c>
      <c r="N303" s="1924" t="s">
        <v>673</v>
      </c>
      <c r="O303" s="1924" t="s">
        <v>673</v>
      </c>
      <c r="P303" s="1890" t="s">
        <v>673</v>
      </c>
      <c r="Q303" s="1924" t="s">
        <v>673</v>
      </c>
      <c r="R303" s="1924" t="s">
        <v>673</v>
      </c>
      <c r="S303" s="1924" t="s">
        <v>673</v>
      </c>
      <c r="T303" s="1924" t="s">
        <v>673</v>
      </c>
      <c r="U303" s="1890" t="s">
        <v>673</v>
      </c>
      <c r="V303" s="1924" t="s">
        <v>673</v>
      </c>
      <c r="W303" s="1924" t="s">
        <v>673</v>
      </c>
      <c r="X303" s="1924" t="s">
        <v>673</v>
      </c>
      <c r="Y303" s="1924" t="s">
        <v>673</v>
      </c>
      <c r="Z303" s="1890" t="s">
        <v>673</v>
      </c>
      <c r="AA303" s="1924" t="s">
        <v>673</v>
      </c>
      <c r="AB303" s="1924" t="s">
        <v>673</v>
      </c>
      <c r="AC303" s="1924" t="s">
        <v>673</v>
      </c>
      <c r="AD303" s="1924" t="s">
        <v>673</v>
      </c>
      <c r="AE303" s="1890" t="s">
        <v>673</v>
      </c>
      <c r="AF303" s="1924" t="s">
        <v>673</v>
      </c>
      <c r="AG303" s="1924" t="s">
        <v>673</v>
      </c>
      <c r="AH303" s="1924" t="s">
        <v>673</v>
      </c>
      <c r="AI303" s="1924" t="s">
        <v>673</v>
      </c>
      <c r="AJ303" s="1890" t="s">
        <v>673</v>
      </c>
      <c r="AK303" s="1924" t="s">
        <v>673</v>
      </c>
      <c r="AL303" s="1924" t="s">
        <v>673</v>
      </c>
      <c r="AM303" s="1924" t="s">
        <v>673</v>
      </c>
      <c r="AN303" s="1924" t="s">
        <v>673</v>
      </c>
      <c r="AO303" s="1890" t="s">
        <v>673</v>
      </c>
      <c r="AP303" s="886">
        <v>7.5999999999999998E-2</v>
      </c>
      <c r="AQ303" s="886">
        <v>6.3E-2</v>
      </c>
      <c r="AR303" s="886">
        <v>0.11600000000000001</v>
      </c>
      <c r="AS303" s="886">
        <v>0.13100000000000001</v>
      </c>
      <c r="AT303" s="1046">
        <v>9.8000000000000004E-2</v>
      </c>
      <c r="AU303" s="886">
        <v>-4.7E-2</v>
      </c>
      <c r="AV303" s="886">
        <v>-0.113</v>
      </c>
      <c r="AW303" s="886">
        <v>-0.13100000000000001</v>
      </c>
      <c r="AX303" s="886">
        <v>-0.11899999999999999</v>
      </c>
      <c r="AY303" s="1046">
        <v>-0.108</v>
      </c>
      <c r="AZ303" s="886">
        <v>-7.9000000000000001E-2</v>
      </c>
      <c r="BA303" s="886">
        <v>1.2999999999999999E-2</v>
      </c>
      <c r="BB303" s="886">
        <v>7.0000000000000001E-3</v>
      </c>
      <c r="BC303" s="886">
        <v>4.2000000000000003E-2</v>
      </c>
      <c r="BD303" s="1046">
        <v>3.0000000000000001E-3</v>
      </c>
      <c r="BE303" s="886">
        <v>8.3000000000000004E-2</v>
      </c>
      <c r="BF303" s="886">
        <v>8.6999999999999994E-2</v>
      </c>
      <c r="BG303" s="886">
        <v>7.9000000000000001E-2</v>
      </c>
      <c r="BH303" s="886">
        <v>7.2999999999999995E-2</v>
      </c>
      <c r="BI303" s="1046">
        <v>6.2E-2</v>
      </c>
      <c r="BJ303" s="886">
        <v>0.06</v>
      </c>
      <c r="BK303" s="886">
        <v>4.9000000000000002E-2</v>
      </c>
      <c r="BL303" s="886">
        <v>2.1000000000000001E-2</v>
      </c>
      <c r="BM303" s="886">
        <v>1.4E-2</v>
      </c>
      <c r="BN303" s="1046">
        <v>3.4000000000000002E-2</v>
      </c>
      <c r="BO303" s="886">
        <v>4.2000000000000003E-2</v>
      </c>
      <c r="BP303" s="886">
        <v>1.0999999999999999E-2</v>
      </c>
      <c r="BQ303" s="886">
        <v>5.0999999999999997E-2</v>
      </c>
      <c r="BR303" s="886">
        <v>6.2E-2</v>
      </c>
      <c r="BS303" s="1046">
        <v>0.04</v>
      </c>
      <c r="BT303" s="886">
        <v>6.2E-2</v>
      </c>
      <c r="BU303" s="886">
        <v>0.08</v>
      </c>
      <c r="BV303" s="886">
        <v>7.5999999999999998E-2</v>
      </c>
      <c r="BW303" s="886">
        <v>0.04</v>
      </c>
      <c r="BX303" s="1046">
        <v>5.8999999999999997E-2</v>
      </c>
      <c r="BY303" s="886">
        <v>4.8000000000000001E-2</v>
      </c>
      <c r="BZ303" s="886">
        <v>0.03</v>
      </c>
      <c r="CA303" s="886">
        <v>1.9E-2</v>
      </c>
      <c r="CB303" s="886">
        <v>2.5000000000000001E-2</v>
      </c>
      <c r="CC303" s="1046">
        <v>3.3000000000000002E-2</v>
      </c>
      <c r="CD303" s="886">
        <v>3.6999999999999998E-2</v>
      </c>
      <c r="CE303" s="886">
        <v>2E-3</v>
      </c>
      <c r="CF303" s="886">
        <v>2.8000000000000001E-2</v>
      </c>
      <c r="CG303" s="886">
        <v>-0.01</v>
      </c>
      <c r="CH303" s="1046">
        <v>-3.0000000000000001E-3</v>
      </c>
      <c r="CI303" s="886">
        <v>-2.1000000000000001E-2</v>
      </c>
      <c r="CJ303" s="886">
        <v>1.4999999999999999E-2</v>
      </c>
      <c r="CK303" s="886">
        <v>-2.5999999999999999E-2</v>
      </c>
      <c r="CL303" s="886">
        <v>1.4E-2</v>
      </c>
      <c r="CM303" s="1046">
        <v>6.0000000000000001E-3</v>
      </c>
      <c r="CN303" s="886"/>
      <c r="CO303" s="886"/>
      <c r="CP303" s="886"/>
      <c r="CQ303" s="886"/>
      <c r="CR303" s="1046"/>
      <c r="CS303" s="1046"/>
      <c r="CT303" s="1046"/>
      <c r="DA303" s="212"/>
      <c r="DB303" s="1226"/>
    </row>
    <row r="304" spans="1:106" s="212" customFormat="1" x14ac:dyDescent="0.2">
      <c r="A304" s="1434" t="s">
        <v>1930</v>
      </c>
      <c r="F304" s="194"/>
      <c r="K304" s="194"/>
      <c r="P304" s="194"/>
      <c r="U304" s="194"/>
      <c r="Z304" s="194"/>
      <c r="AE304" s="194"/>
      <c r="AJ304" s="194"/>
      <c r="AO304" s="194"/>
      <c r="AP304" s="1564"/>
      <c r="AQ304" s="1564"/>
      <c r="AR304" s="1564"/>
      <c r="AS304" s="1564"/>
      <c r="AT304" s="1530"/>
      <c r="AU304" s="1564"/>
      <c r="AV304" s="1564"/>
      <c r="AW304" s="1564"/>
      <c r="AX304" s="1564"/>
      <c r="AY304" s="1530"/>
      <c r="AZ304" s="1564"/>
      <c r="BA304" s="1564"/>
      <c r="BB304" s="1564"/>
      <c r="BC304" s="1564"/>
      <c r="BD304" s="1530"/>
      <c r="BE304" s="1564">
        <v>155.44</v>
      </c>
      <c r="BF304" s="1564">
        <v>174.02</v>
      </c>
      <c r="BG304" s="1564">
        <v>173.93</v>
      </c>
      <c r="BH304" s="1564">
        <v>173.65</v>
      </c>
      <c r="BI304" s="1530">
        <f>AVERAGE(BE304:BH304)</f>
        <v>169.26000000000002</v>
      </c>
      <c r="BJ304" s="1564">
        <v>156.4</v>
      </c>
      <c r="BK304" s="1564">
        <v>170.95</v>
      </c>
      <c r="BL304" s="1564">
        <v>163.37</v>
      </c>
      <c r="BM304" s="1564">
        <v>167.58</v>
      </c>
      <c r="BN304" s="1996">
        <v>166.02</v>
      </c>
      <c r="BO304" s="1564">
        <v>158.55000000000001</v>
      </c>
      <c r="BP304" s="1564">
        <v>172.23</v>
      </c>
      <c r="BQ304" s="1564">
        <v>164.08</v>
      </c>
      <c r="BR304" s="1564">
        <v>173.15</v>
      </c>
      <c r="BS304" s="1996">
        <v>167.33</v>
      </c>
      <c r="BT304" s="1564">
        <v>175.22</v>
      </c>
      <c r="BU304" s="1564">
        <v>195.92</v>
      </c>
      <c r="BV304" s="1564">
        <v>187.86</v>
      </c>
      <c r="BW304" s="1564">
        <v>177.13</v>
      </c>
      <c r="BX304" s="1996">
        <v>185.06</v>
      </c>
      <c r="BY304" s="1564">
        <v>158.72</v>
      </c>
      <c r="BZ304" s="1564">
        <v>170.62</v>
      </c>
      <c r="CA304" s="1564">
        <v>171.99</v>
      </c>
      <c r="CB304" s="1564">
        <v>168.69</v>
      </c>
      <c r="CC304" s="1996">
        <v>167.63</v>
      </c>
      <c r="CD304" s="1564">
        <v>137.47</v>
      </c>
      <c r="CE304" s="1564">
        <v>154.18</v>
      </c>
      <c r="CF304" s="1564">
        <v>147.11000000000001</v>
      </c>
      <c r="CG304" s="1564">
        <v>155.77000000000001</v>
      </c>
      <c r="CH304" s="1996">
        <v>162.34</v>
      </c>
      <c r="CI304" s="1564">
        <v>144.63</v>
      </c>
      <c r="CJ304" s="1564">
        <v>170.14</v>
      </c>
      <c r="CK304" s="1564">
        <v>216.16</v>
      </c>
      <c r="CL304" s="1564">
        <v>169.33</v>
      </c>
      <c r="CM304" s="1996">
        <v>171.72</v>
      </c>
      <c r="CN304" s="1564"/>
      <c r="CO304" s="1564"/>
      <c r="CR304" s="194"/>
      <c r="CS304" s="194"/>
      <c r="CT304" s="194"/>
      <c r="DB304" s="1226"/>
    </row>
    <row r="305" spans="1:106" s="212" customFormat="1" x14ac:dyDescent="0.2">
      <c r="A305" s="1595" t="s">
        <v>652</v>
      </c>
      <c r="F305" s="194"/>
      <c r="K305" s="194"/>
      <c r="P305" s="194"/>
      <c r="U305" s="194"/>
      <c r="Z305" s="194"/>
      <c r="AE305" s="194"/>
      <c r="AJ305" s="194"/>
      <c r="AO305" s="194"/>
      <c r="AP305" s="885"/>
      <c r="AQ305" s="885"/>
      <c r="AR305" s="885"/>
      <c r="AS305" s="885"/>
      <c r="AT305" s="1280"/>
      <c r="AU305" s="885"/>
      <c r="AV305" s="885"/>
      <c r="AW305" s="885"/>
      <c r="AX305" s="885"/>
      <c r="AY305" s="1280"/>
      <c r="AZ305" s="885"/>
      <c r="BA305" s="885"/>
      <c r="BB305" s="885"/>
      <c r="BC305" s="885"/>
      <c r="BD305" s="1280"/>
      <c r="BE305" s="885"/>
      <c r="BF305" s="885"/>
      <c r="BG305" s="885"/>
      <c r="BH305" s="885"/>
      <c r="BI305" s="1280"/>
      <c r="BJ305" s="885">
        <f t="shared" ref="BJ305:BQ305" si="242">BJ304/BE304-1</f>
        <v>6.1760164693773767E-3</v>
      </c>
      <c r="BK305" s="885">
        <f t="shared" si="242"/>
        <v>-1.7641650385013308E-2</v>
      </c>
      <c r="BL305" s="885">
        <f t="shared" si="242"/>
        <v>-6.0714080377163193E-2</v>
      </c>
      <c r="BM305" s="885">
        <f t="shared" si="242"/>
        <v>-3.4955369997120567E-2</v>
      </c>
      <c r="BN305" s="1280">
        <f t="shared" si="242"/>
        <v>-1.9142148174406293E-2</v>
      </c>
      <c r="BO305" s="885">
        <f t="shared" si="242"/>
        <v>1.3746803069053737E-2</v>
      </c>
      <c r="BP305" s="885">
        <f t="shared" si="242"/>
        <v>7.4875694647558166E-3</v>
      </c>
      <c r="BQ305" s="885">
        <f t="shared" si="242"/>
        <v>4.3459631511293395E-3</v>
      </c>
      <c r="BR305" s="885">
        <f t="shared" ref="BR305:CM305" si="243">BR304/BM304-1</f>
        <v>3.3237856546127098E-2</v>
      </c>
      <c r="BS305" s="1280">
        <f t="shared" si="243"/>
        <v>7.8906155884832518E-3</v>
      </c>
      <c r="BT305" s="885">
        <f t="shared" si="243"/>
        <v>0.10514033427940706</v>
      </c>
      <c r="BU305" s="885">
        <f t="shared" si="243"/>
        <v>0.13754862683620739</v>
      </c>
      <c r="BV305" s="885">
        <f t="shared" si="243"/>
        <v>0.14492930277913207</v>
      </c>
      <c r="BW305" s="885">
        <f t="shared" si="243"/>
        <v>2.298585041871215E-2</v>
      </c>
      <c r="BX305" s="1280">
        <f t="shared" si="243"/>
        <v>0.10595828602163393</v>
      </c>
      <c r="BY305" s="885">
        <f t="shared" si="243"/>
        <v>-9.416733249629039E-2</v>
      </c>
      <c r="BZ305" s="885">
        <f t="shared" si="243"/>
        <v>-0.129134340547162</v>
      </c>
      <c r="CA305" s="885">
        <f t="shared" si="243"/>
        <v>-8.4477802618971642E-2</v>
      </c>
      <c r="CB305" s="885">
        <f t="shared" si="243"/>
        <v>-4.7648619657878366E-2</v>
      </c>
      <c r="CC305" s="1280">
        <f t="shared" si="243"/>
        <v>-9.4185669512590553E-2</v>
      </c>
      <c r="CD305" s="885">
        <f t="shared" si="243"/>
        <v>-0.13388356854838712</v>
      </c>
      <c r="CE305" s="885">
        <f t="shared" si="243"/>
        <v>-9.6354471925917173E-2</v>
      </c>
      <c r="CF305" s="885">
        <f t="shared" si="243"/>
        <v>-0.14465957323100176</v>
      </c>
      <c r="CG305" s="885">
        <f t="shared" si="243"/>
        <v>-7.6590195032307684E-2</v>
      </c>
      <c r="CH305" s="1280">
        <f t="shared" si="243"/>
        <v>-3.155759708882655E-2</v>
      </c>
      <c r="CI305" s="885">
        <f t="shared" si="243"/>
        <v>5.208409107441625E-2</v>
      </c>
      <c r="CJ305" s="885">
        <f t="shared" si="243"/>
        <v>0.1035153716435333</v>
      </c>
      <c r="CK305" s="885">
        <f t="shared" si="243"/>
        <v>0.46937665692339059</v>
      </c>
      <c r="CL305" s="885">
        <f t="shared" si="243"/>
        <v>8.7051421968286524E-2</v>
      </c>
      <c r="CM305" s="1280">
        <f t="shared" si="243"/>
        <v>5.7779967968461188E-2</v>
      </c>
      <c r="CN305" s="885"/>
      <c r="CO305" s="885"/>
      <c r="CR305" s="194"/>
      <c r="CS305" s="194"/>
      <c r="CT305" s="194"/>
      <c r="DB305" s="1226"/>
    </row>
    <row r="306" spans="1:106" x14ac:dyDescent="0.2">
      <c r="A306" s="1595" t="s">
        <v>359</v>
      </c>
      <c r="B306" s="1924" t="s">
        <v>673</v>
      </c>
      <c r="C306" s="1924" t="s">
        <v>673</v>
      </c>
      <c r="D306" s="1924" t="s">
        <v>673</v>
      </c>
      <c r="E306" s="1924" t="s">
        <v>673</v>
      </c>
      <c r="F306" s="1890" t="s">
        <v>673</v>
      </c>
      <c r="G306" s="1924" t="s">
        <v>673</v>
      </c>
      <c r="H306" s="1924" t="s">
        <v>673</v>
      </c>
      <c r="I306" s="1924" t="s">
        <v>673</v>
      </c>
      <c r="J306" s="1924" t="s">
        <v>673</v>
      </c>
      <c r="K306" s="1890" t="s">
        <v>673</v>
      </c>
      <c r="L306" s="1924" t="s">
        <v>673</v>
      </c>
      <c r="M306" s="1924" t="s">
        <v>673</v>
      </c>
      <c r="N306" s="1924" t="s">
        <v>673</v>
      </c>
      <c r="O306" s="1924" t="s">
        <v>673</v>
      </c>
      <c r="P306" s="1890" t="s">
        <v>673</v>
      </c>
      <c r="Q306" s="1924" t="s">
        <v>673</v>
      </c>
      <c r="R306" s="1924" t="s">
        <v>673</v>
      </c>
      <c r="S306" s="1924" t="s">
        <v>673</v>
      </c>
      <c r="T306" s="1924" t="s">
        <v>673</v>
      </c>
      <c r="U306" s="1890" t="s">
        <v>673</v>
      </c>
      <c r="V306" s="1924" t="s">
        <v>673</v>
      </c>
      <c r="W306" s="1924" t="s">
        <v>673</v>
      </c>
      <c r="X306" s="1924" t="s">
        <v>673</v>
      </c>
      <c r="Y306" s="1924" t="s">
        <v>673</v>
      </c>
      <c r="Z306" s="1890" t="s">
        <v>673</v>
      </c>
      <c r="AA306" s="1924" t="s">
        <v>673</v>
      </c>
      <c r="AB306" s="1924" t="s">
        <v>673</v>
      </c>
      <c r="AC306" s="1924" t="s">
        <v>673</v>
      </c>
      <c r="AD306" s="1924" t="s">
        <v>673</v>
      </c>
      <c r="AE306" s="1890" t="s">
        <v>673</v>
      </c>
      <c r="AF306" s="1924" t="s">
        <v>673</v>
      </c>
      <c r="AG306" s="1924" t="s">
        <v>673</v>
      </c>
      <c r="AH306" s="1924" t="s">
        <v>673</v>
      </c>
      <c r="AI306" s="1924" t="s">
        <v>673</v>
      </c>
      <c r="AJ306" s="1890" t="s">
        <v>673</v>
      </c>
      <c r="AK306" s="1924" t="s">
        <v>673</v>
      </c>
      <c r="AL306" s="1924" t="s">
        <v>673</v>
      </c>
      <c r="AM306" s="1924" t="s">
        <v>673</v>
      </c>
      <c r="AN306" s="1924" t="s">
        <v>673</v>
      </c>
      <c r="AO306" s="1890" t="s">
        <v>673</v>
      </c>
      <c r="AP306" s="886"/>
      <c r="AQ306" s="886"/>
      <c r="AR306" s="886"/>
      <c r="AS306" s="886"/>
      <c r="AT306" s="1046"/>
      <c r="AU306" s="886"/>
      <c r="AV306" s="886"/>
      <c r="AW306" s="886"/>
      <c r="AX306" s="886"/>
      <c r="AY306" s="1046"/>
      <c r="AZ306" s="886"/>
      <c r="BA306" s="886"/>
      <c r="BB306" s="886"/>
      <c r="BC306" s="886"/>
      <c r="BD306" s="1046"/>
      <c r="BE306" s="886">
        <v>0.05</v>
      </c>
      <c r="BF306" s="886">
        <v>5.7000000000000002E-2</v>
      </c>
      <c r="BG306" s="886">
        <v>0.05</v>
      </c>
      <c r="BH306" s="886">
        <v>3.3000000000000002E-2</v>
      </c>
      <c r="BI306" s="1046">
        <v>4.5999999999999999E-2</v>
      </c>
      <c r="BJ306" s="886">
        <v>2.8000000000000001E-2</v>
      </c>
      <c r="BK306" s="886">
        <v>0.03</v>
      </c>
      <c r="BL306" s="886">
        <v>4.7E-2</v>
      </c>
      <c r="BM306" s="886">
        <v>5.0000000000000001E-3</v>
      </c>
      <c r="BN306" s="1046">
        <v>2.5999999999999999E-2</v>
      </c>
      <c r="BO306" s="886">
        <v>-2.7E-2</v>
      </c>
      <c r="BP306" s="886">
        <v>-7.0000000000000001E-3</v>
      </c>
      <c r="BQ306" s="886">
        <v>-1.7000000000000001E-2</v>
      </c>
      <c r="BR306" s="886">
        <v>8.9999999999999993E-3</v>
      </c>
      <c r="BS306" s="1046">
        <v>-0.01</v>
      </c>
      <c r="BT306" s="886">
        <v>8.0000000000000002E-3</v>
      </c>
      <c r="BU306" s="886">
        <v>6.0000000000000001E-3</v>
      </c>
      <c r="BV306" s="886">
        <v>0.02</v>
      </c>
      <c r="BW306" s="886">
        <v>8.0000000000000002E-3</v>
      </c>
      <c r="BX306" s="1046">
        <v>8.9999999999999993E-3</v>
      </c>
      <c r="BY306" s="886">
        <v>2.3E-2</v>
      </c>
      <c r="BZ306" s="886">
        <v>2.3E-2</v>
      </c>
      <c r="CA306" s="886">
        <v>5.5E-2</v>
      </c>
      <c r="CB306" s="886">
        <v>5.5E-2</v>
      </c>
      <c r="CC306" s="1046">
        <v>0.04</v>
      </c>
      <c r="CD306" s="886">
        <v>2.8000000000000001E-2</v>
      </c>
      <c r="CE306" s="886">
        <v>2.9000000000000001E-2</v>
      </c>
      <c r="CF306" s="886">
        <v>1.7000000000000001E-2</v>
      </c>
      <c r="CG306" s="886">
        <v>0</v>
      </c>
      <c r="CH306" s="1046">
        <v>1.2999999999999999E-2</v>
      </c>
      <c r="CI306" s="886">
        <v>1.7000000000000001E-2</v>
      </c>
      <c r="CJ306" s="886">
        <v>3.5999999999999997E-2</v>
      </c>
      <c r="CK306" s="886">
        <v>3.9899999999999998E-2</v>
      </c>
      <c r="CL306" s="886">
        <v>3.1E-2</v>
      </c>
      <c r="CM306" s="1046">
        <v>3.2000000000000001E-2</v>
      </c>
      <c r="CN306" s="886"/>
      <c r="CO306" s="886"/>
      <c r="CP306" s="886"/>
      <c r="CQ306" s="886"/>
      <c r="CR306" s="1046"/>
      <c r="CS306" s="1046"/>
      <c r="CT306" s="1046"/>
      <c r="DA306" s="212"/>
      <c r="DB306" s="1226"/>
    </row>
    <row r="307" spans="1:106" s="212" customFormat="1" outlineLevel="1" x14ac:dyDescent="0.2">
      <c r="A307" s="1434" t="s">
        <v>2266</v>
      </c>
      <c r="F307" s="194"/>
      <c r="K307" s="194"/>
      <c r="P307" s="194"/>
      <c r="U307" s="194"/>
      <c r="Z307" s="194"/>
      <c r="AE307" s="194"/>
      <c r="AJ307" s="194"/>
      <c r="AO307" s="194"/>
      <c r="AP307" s="1564">
        <v>191.53</v>
      </c>
      <c r="AQ307" s="1564">
        <v>218.84</v>
      </c>
      <c r="AR307" s="1564">
        <v>218.88</v>
      </c>
      <c r="AS307" s="1564">
        <v>195.36</v>
      </c>
      <c r="AT307" s="1530">
        <f>AVERAGE(AP307:AS307)</f>
        <v>206.1525</v>
      </c>
      <c r="AU307" s="1564">
        <v>161.87</v>
      </c>
      <c r="AV307" s="1564">
        <v>156.52000000000001</v>
      </c>
      <c r="AW307" s="1564">
        <v>156.47</v>
      </c>
      <c r="AX307" s="1564">
        <v>171.56</v>
      </c>
      <c r="AY307" s="1530">
        <f>AVERAGE(AU307:AX307)</f>
        <v>161.60500000000002</v>
      </c>
      <c r="AZ307" s="1564">
        <v>156.03</v>
      </c>
      <c r="BA307" s="1564">
        <v>162.53</v>
      </c>
      <c r="BB307" s="1564">
        <v>148.78</v>
      </c>
      <c r="BC307" s="1564">
        <v>168.28</v>
      </c>
      <c r="BD307" s="1530">
        <f>AVERAGE(AZ307:BC307)</f>
        <v>158.905</v>
      </c>
      <c r="BE307" s="1564"/>
      <c r="BF307" s="1564"/>
      <c r="BG307" s="1564"/>
      <c r="BH307" s="1564"/>
      <c r="BI307" s="1530"/>
      <c r="BJ307" s="1564"/>
      <c r="BK307" s="1564"/>
      <c r="BL307" s="1564"/>
      <c r="BM307" s="1564"/>
      <c r="BN307" s="1530"/>
      <c r="BO307" s="1564"/>
      <c r="BP307" s="1564"/>
      <c r="BQ307" s="1564"/>
      <c r="BR307" s="1564"/>
      <c r="BS307" s="1530"/>
      <c r="BT307" s="1564"/>
      <c r="BU307" s="1564"/>
      <c r="BV307" s="1564"/>
      <c r="BW307" s="1564"/>
      <c r="BX307" s="1530"/>
      <c r="BY307" s="1564"/>
      <c r="BZ307" s="1564"/>
      <c r="CA307" s="1564"/>
      <c r="CB307" s="192"/>
      <c r="CC307" s="194"/>
      <c r="CH307" s="194"/>
      <c r="CM307" s="194"/>
      <c r="CR307" s="194"/>
      <c r="CS307" s="194"/>
      <c r="CT307" s="194"/>
      <c r="DB307" s="1226"/>
    </row>
    <row r="308" spans="1:106" s="212" customFormat="1" outlineLevel="1" x14ac:dyDescent="0.2">
      <c r="A308" s="1595" t="s">
        <v>652</v>
      </c>
      <c r="F308" s="194"/>
      <c r="K308" s="194"/>
      <c r="P308" s="194"/>
      <c r="U308" s="194"/>
      <c r="Z308" s="194"/>
      <c r="AE308" s="194"/>
      <c r="AJ308" s="194"/>
      <c r="AO308" s="194"/>
      <c r="AP308" s="885"/>
      <c r="AQ308" s="885"/>
      <c r="AR308" s="885"/>
      <c r="AS308" s="885"/>
      <c r="AT308" s="1280"/>
      <c r="AU308" s="885">
        <f>AU307/AP307-1</f>
        <v>-0.15485824674985638</v>
      </c>
      <c r="AV308" s="885">
        <f>AV307/AQ307-1</f>
        <v>-0.28477426430268682</v>
      </c>
      <c r="AW308" s="885">
        <f>AW307/AR307-1</f>
        <v>-0.28513340643274854</v>
      </c>
      <c r="AX308" s="885">
        <f>AX307/AS307-1</f>
        <v>-0.1218263718263719</v>
      </c>
      <c r="AY308" s="1280">
        <f>+AY307/AT307-1</f>
        <v>-0.21609003043863151</v>
      </c>
      <c r="AZ308" s="885">
        <f>AZ307/AU307-1</f>
        <v>-3.6078334465929451E-2</v>
      </c>
      <c r="BA308" s="885">
        <f>BA307/AV307-1</f>
        <v>3.8397648862765088E-2</v>
      </c>
      <c r="BB308" s="885">
        <f>BB307/AW307-1</f>
        <v>-4.9146801303764254E-2</v>
      </c>
      <c r="BC308" s="885">
        <f>BC307/AX307-1</f>
        <v>-1.9118675681977115E-2</v>
      </c>
      <c r="BD308" s="1280">
        <f>+BD307/AY307-1</f>
        <v>-1.6707403855078851E-2</v>
      </c>
      <c r="BE308" s="885"/>
      <c r="BF308" s="885"/>
      <c r="BG308" s="885"/>
      <c r="BH308" s="885"/>
      <c r="BI308" s="1280"/>
      <c r="BJ308" s="1564"/>
      <c r="BK308" s="1564"/>
      <c r="BL308" s="1564"/>
      <c r="BM308" s="1564"/>
      <c r="BN308" s="1280"/>
      <c r="BO308" s="1564"/>
      <c r="BP308" s="1564"/>
      <c r="BQ308" s="1564"/>
      <c r="BR308" s="1564"/>
      <c r="BS308" s="1280"/>
      <c r="BT308" s="1564"/>
      <c r="BU308" s="1564"/>
      <c r="BV308" s="1564"/>
      <c r="BW308" s="1564"/>
      <c r="BX308" s="1280"/>
      <c r="BY308" s="1564"/>
      <c r="BZ308" s="1564"/>
      <c r="CA308" s="1564"/>
      <c r="CB308" s="192"/>
      <c r="CC308" s="194"/>
      <c r="CH308" s="194"/>
      <c r="CM308" s="194"/>
      <c r="CR308" s="194"/>
      <c r="CS308" s="194"/>
      <c r="CT308" s="194"/>
      <c r="DB308" s="1226"/>
    </row>
    <row r="309" spans="1:106" outlineLevel="1" x14ac:dyDescent="0.2">
      <c r="A309" s="1595" t="s">
        <v>359</v>
      </c>
      <c r="B309" s="1924" t="s">
        <v>673</v>
      </c>
      <c r="C309" s="1924" t="s">
        <v>673</v>
      </c>
      <c r="D309" s="1924" t="s">
        <v>673</v>
      </c>
      <c r="E309" s="1924" t="s">
        <v>673</v>
      </c>
      <c r="F309" s="1890" t="s">
        <v>673</v>
      </c>
      <c r="G309" s="1924" t="s">
        <v>673</v>
      </c>
      <c r="H309" s="1924" t="s">
        <v>673</v>
      </c>
      <c r="I309" s="1924" t="s">
        <v>673</v>
      </c>
      <c r="J309" s="1924" t="s">
        <v>673</v>
      </c>
      <c r="K309" s="1890" t="s">
        <v>673</v>
      </c>
      <c r="L309" s="1924" t="s">
        <v>673</v>
      </c>
      <c r="M309" s="1924" t="s">
        <v>673</v>
      </c>
      <c r="N309" s="1924" t="s">
        <v>673</v>
      </c>
      <c r="O309" s="1924" t="s">
        <v>673</v>
      </c>
      <c r="P309" s="1890" t="s">
        <v>673</v>
      </c>
      <c r="Q309" s="1924" t="s">
        <v>673</v>
      </c>
      <c r="R309" s="1924" t="s">
        <v>673</v>
      </c>
      <c r="S309" s="1924" t="s">
        <v>673</v>
      </c>
      <c r="T309" s="1924" t="s">
        <v>673</v>
      </c>
      <c r="U309" s="1890" t="s">
        <v>673</v>
      </c>
      <c r="V309" s="1924" t="s">
        <v>673</v>
      </c>
      <c r="W309" s="1924" t="s">
        <v>673</v>
      </c>
      <c r="X309" s="1924" t="s">
        <v>673</v>
      </c>
      <c r="Y309" s="1924" t="s">
        <v>673</v>
      </c>
      <c r="Z309" s="1890" t="s">
        <v>673</v>
      </c>
      <c r="AA309" s="1924" t="s">
        <v>673</v>
      </c>
      <c r="AB309" s="1924" t="s">
        <v>673</v>
      </c>
      <c r="AC309" s="1924" t="s">
        <v>673</v>
      </c>
      <c r="AD309" s="1924" t="s">
        <v>673</v>
      </c>
      <c r="AE309" s="1890" t="s">
        <v>673</v>
      </c>
      <c r="AF309" s="1924" t="s">
        <v>673</v>
      </c>
      <c r="AG309" s="1924" t="s">
        <v>673</v>
      </c>
      <c r="AH309" s="1924" t="s">
        <v>673</v>
      </c>
      <c r="AI309" s="1924" t="s">
        <v>673</v>
      </c>
      <c r="AJ309" s="1890" t="s">
        <v>673</v>
      </c>
      <c r="AK309" s="1924" t="s">
        <v>673</v>
      </c>
      <c r="AL309" s="1924" t="s">
        <v>673</v>
      </c>
      <c r="AM309" s="1924" t="s">
        <v>673</v>
      </c>
      <c r="AN309" s="1924" t="s">
        <v>673</v>
      </c>
      <c r="AO309" s="1890" t="s">
        <v>673</v>
      </c>
      <c r="AP309" s="886">
        <v>8.4000000000000005E-2</v>
      </c>
      <c r="AQ309" s="886">
        <v>9.4E-2</v>
      </c>
      <c r="AR309" s="886">
        <v>0.115</v>
      </c>
      <c r="AS309" s="886">
        <v>2.3E-2</v>
      </c>
      <c r="AT309" s="1046">
        <v>7.3999999999999996E-2</v>
      </c>
      <c r="AU309" s="886">
        <v>-4.7E-2</v>
      </c>
      <c r="AV309" s="886">
        <v>-0.109</v>
      </c>
      <c r="AW309" s="886">
        <v>-0.16300000000000001</v>
      </c>
      <c r="AX309" s="886">
        <v>-0.121</v>
      </c>
      <c r="AY309" s="1046">
        <v>-0.11799999999999999</v>
      </c>
      <c r="AZ309" s="886">
        <v>-8.1000000000000003E-2</v>
      </c>
      <c r="BA309" s="886">
        <v>-1.9E-2</v>
      </c>
      <c r="BB309" s="886">
        <v>0.02</v>
      </c>
      <c r="BC309" s="886">
        <v>3.9E-2</v>
      </c>
      <c r="BD309" s="1046">
        <v>2E-3</v>
      </c>
      <c r="BE309" s="886"/>
      <c r="BF309" s="886"/>
      <c r="BG309" s="886"/>
      <c r="BH309" s="886"/>
      <c r="BI309" s="1046"/>
      <c r="BJ309" s="885"/>
      <c r="BK309" s="885"/>
      <c r="BL309" s="885"/>
      <c r="BM309" s="885"/>
      <c r="BN309" s="1046"/>
      <c r="BO309" s="885"/>
      <c r="BP309" s="885"/>
      <c r="BQ309" s="885"/>
      <c r="BR309" s="885"/>
      <c r="BS309" s="1046"/>
      <c r="BT309" s="885"/>
      <c r="BU309" s="885"/>
      <c r="BV309" s="885"/>
      <c r="BW309" s="885"/>
      <c r="BX309" s="1046"/>
      <c r="BY309" s="885"/>
      <c r="BZ309" s="885"/>
      <c r="CA309" s="885"/>
      <c r="CB309" s="886"/>
      <c r="CC309" s="1280"/>
      <c r="CD309" s="886"/>
      <c r="CE309" s="886"/>
      <c r="CF309" s="886"/>
      <c r="CG309" s="886"/>
      <c r="CH309" s="1280"/>
      <c r="CI309" s="886"/>
      <c r="CJ309" s="886"/>
      <c r="CK309" s="886"/>
      <c r="CL309" s="886"/>
      <c r="CM309" s="1280"/>
      <c r="CN309" s="886"/>
      <c r="CO309" s="886"/>
      <c r="CP309" s="886"/>
      <c r="CQ309" s="886"/>
      <c r="CR309" s="1046"/>
      <c r="CS309" s="1046"/>
      <c r="CT309" s="1046"/>
      <c r="DA309" s="212"/>
      <c r="DB309" s="1226"/>
    </row>
    <row r="310" spans="1:106" s="212" customFormat="1" outlineLevel="1" x14ac:dyDescent="0.2">
      <c r="A310" s="1434" t="s">
        <v>1650</v>
      </c>
      <c r="B310" s="234"/>
      <c r="C310" s="234"/>
      <c r="D310" s="234"/>
      <c r="E310" s="234"/>
      <c r="F310" s="236"/>
      <c r="G310" s="234"/>
      <c r="H310" s="234"/>
      <c r="I310" s="234"/>
      <c r="J310" s="234"/>
      <c r="K310" s="236"/>
      <c r="L310" s="234"/>
      <c r="M310" s="234"/>
      <c r="N310" s="234"/>
      <c r="O310" s="234"/>
      <c r="P310" s="236"/>
      <c r="Q310" s="234"/>
      <c r="R310" s="234"/>
      <c r="S310" s="234"/>
      <c r="T310" s="234"/>
      <c r="U310" s="236"/>
      <c r="V310" s="234"/>
      <c r="W310" s="234"/>
      <c r="X310" s="234"/>
      <c r="Y310" s="234"/>
      <c r="Z310" s="236"/>
      <c r="AA310" s="234"/>
      <c r="AB310" s="234"/>
      <c r="AC310" s="234"/>
      <c r="AD310" s="234"/>
      <c r="AE310" s="236"/>
      <c r="AF310" s="234"/>
      <c r="AG310" s="234"/>
      <c r="AH310" s="234"/>
      <c r="AI310" s="234"/>
      <c r="AJ310" s="236"/>
      <c r="AK310" s="234"/>
      <c r="AL310" s="234"/>
      <c r="AM310" s="234"/>
      <c r="AN310" s="234"/>
      <c r="AO310" s="236"/>
      <c r="AP310" s="1564">
        <v>183.63</v>
      </c>
      <c r="AQ310" s="1564">
        <v>184.03</v>
      </c>
      <c r="AR310" s="1564">
        <v>181.32</v>
      </c>
      <c r="AS310" s="1564">
        <v>155.91</v>
      </c>
      <c r="AT310" s="1530">
        <f>AVERAGE(AP310:AS310)</f>
        <v>176.2225</v>
      </c>
      <c r="AU310" s="1564">
        <v>129.13</v>
      </c>
      <c r="AV310" s="1564">
        <v>127.66</v>
      </c>
      <c r="AW310" s="1564">
        <v>143.41</v>
      </c>
      <c r="AX310" s="1564">
        <v>147.03</v>
      </c>
      <c r="AY310" s="1530">
        <f>AVERAGE(AU310:AX310)</f>
        <v>136.80749999999998</v>
      </c>
      <c r="AZ310" s="1564">
        <v>154.36000000000001</v>
      </c>
      <c r="BA310" s="1564">
        <v>150.08000000000001</v>
      </c>
      <c r="BB310" s="1564">
        <v>157.02000000000001</v>
      </c>
      <c r="BC310" s="1564">
        <v>167.15</v>
      </c>
      <c r="BD310" s="1530">
        <f>AVERAGE(AZ310:BC310)</f>
        <v>157.1525</v>
      </c>
      <c r="BE310" s="1564"/>
      <c r="BF310" s="1564"/>
      <c r="BG310" s="1564"/>
      <c r="BH310" s="1564"/>
      <c r="BI310" s="1530"/>
      <c r="BJ310" s="1564"/>
      <c r="BK310" s="1564"/>
      <c r="BL310" s="1564"/>
      <c r="BM310" s="1564"/>
      <c r="BN310" s="1530"/>
      <c r="BO310" s="1564"/>
      <c r="BP310" s="1564"/>
      <c r="BQ310" s="1564"/>
      <c r="BR310" s="1564"/>
      <c r="BS310" s="1530"/>
      <c r="BT310" s="1564"/>
      <c r="BU310" s="1564"/>
      <c r="BV310" s="1564"/>
      <c r="BW310" s="1564"/>
      <c r="BX310" s="1530"/>
      <c r="BY310" s="1564"/>
      <c r="BZ310" s="1564"/>
      <c r="CA310" s="1564"/>
      <c r="CB310" s="192"/>
      <c r="CC310" s="194"/>
      <c r="CH310" s="194"/>
      <c r="CM310" s="194"/>
      <c r="CR310" s="194"/>
      <c r="CS310" s="194"/>
      <c r="CT310" s="194"/>
      <c r="DB310" s="1226"/>
    </row>
    <row r="311" spans="1:106" s="212" customFormat="1" outlineLevel="1" x14ac:dyDescent="0.2">
      <c r="A311" s="1595" t="s">
        <v>652</v>
      </c>
      <c r="B311" s="234"/>
      <c r="C311" s="234"/>
      <c r="D311" s="234"/>
      <c r="E311" s="234"/>
      <c r="F311" s="236"/>
      <c r="G311" s="234"/>
      <c r="H311" s="234"/>
      <c r="I311" s="234"/>
      <c r="J311" s="234"/>
      <c r="K311" s="236"/>
      <c r="L311" s="234"/>
      <c r="M311" s="234"/>
      <c r="N311" s="234"/>
      <c r="O311" s="234"/>
      <c r="P311" s="236"/>
      <c r="Q311" s="234"/>
      <c r="R311" s="234"/>
      <c r="S311" s="234"/>
      <c r="T311" s="234"/>
      <c r="U311" s="236"/>
      <c r="V311" s="234"/>
      <c r="W311" s="234"/>
      <c r="X311" s="234"/>
      <c r="Y311" s="234"/>
      <c r="Z311" s="236"/>
      <c r="AA311" s="234"/>
      <c r="AB311" s="234"/>
      <c r="AC311" s="234"/>
      <c r="AD311" s="234"/>
      <c r="AE311" s="236"/>
      <c r="AF311" s="234"/>
      <c r="AG311" s="234"/>
      <c r="AH311" s="234"/>
      <c r="AI311" s="234"/>
      <c r="AJ311" s="236"/>
      <c r="AK311" s="234"/>
      <c r="AL311" s="234"/>
      <c r="AM311" s="234"/>
      <c r="AN311" s="234"/>
      <c r="AO311" s="236"/>
      <c r="AP311" s="885"/>
      <c r="AQ311" s="885"/>
      <c r="AR311" s="885"/>
      <c r="AS311" s="885"/>
      <c r="AT311" s="1280"/>
      <c r="AU311" s="885">
        <f>AU310/AP310-1</f>
        <v>-0.29679246310515717</v>
      </c>
      <c r="AV311" s="885">
        <f>AV310/AQ310-1</f>
        <v>-0.3063087540074988</v>
      </c>
      <c r="AW311" s="885">
        <f>AW310/AR310-1</f>
        <v>-0.20907787337304218</v>
      </c>
      <c r="AX311" s="885">
        <f>AX310/AS310-1</f>
        <v>-5.6955936116990569E-2</v>
      </c>
      <c r="AY311" s="1280">
        <f>+AY310/AT310-1</f>
        <v>-0.22366610393110997</v>
      </c>
      <c r="AZ311" s="885">
        <f>AZ310/AU310-1</f>
        <v>0.19538449624409515</v>
      </c>
      <c r="BA311" s="885">
        <f>BA310/AV310-1</f>
        <v>0.17562274792417365</v>
      </c>
      <c r="BB311" s="885">
        <f>BB310/AW310-1</f>
        <v>9.4902726448643948E-2</v>
      </c>
      <c r="BC311" s="885">
        <f>BC310/AX310-1</f>
        <v>0.13684282119295377</v>
      </c>
      <c r="BD311" s="1280">
        <f>+BD310/AY310-1</f>
        <v>0.1487126071304572</v>
      </c>
      <c r="BE311" s="885"/>
      <c r="BF311" s="885"/>
      <c r="BG311" s="885"/>
      <c r="BH311" s="885"/>
      <c r="BI311" s="1280"/>
      <c r="BJ311" s="1564"/>
      <c r="BK311" s="1564"/>
      <c r="BL311" s="1564"/>
      <c r="BM311" s="1564"/>
      <c r="BN311" s="1280"/>
      <c r="BO311" s="1564"/>
      <c r="BP311" s="1564"/>
      <c r="BQ311" s="1564"/>
      <c r="BR311" s="1564"/>
      <c r="BS311" s="1280"/>
      <c r="BT311" s="1564"/>
      <c r="BU311" s="1564"/>
      <c r="BV311" s="1564"/>
      <c r="BW311" s="1564"/>
      <c r="BX311" s="1280"/>
      <c r="BY311" s="1564"/>
      <c r="BZ311" s="1564"/>
      <c r="CA311" s="1564"/>
      <c r="CB311" s="192"/>
      <c r="CC311" s="194"/>
      <c r="CH311" s="194"/>
      <c r="CM311" s="194"/>
      <c r="CR311" s="194"/>
      <c r="CS311" s="194"/>
      <c r="CT311" s="194"/>
      <c r="DB311" s="1226"/>
    </row>
    <row r="312" spans="1:106" outlineLevel="1" x14ac:dyDescent="0.2">
      <c r="A312" s="1595" t="s">
        <v>359</v>
      </c>
      <c r="B312" s="1924" t="s">
        <v>673</v>
      </c>
      <c r="C312" s="1924" t="s">
        <v>673</v>
      </c>
      <c r="D312" s="1924" t="s">
        <v>673</v>
      </c>
      <c r="E312" s="1924" t="s">
        <v>673</v>
      </c>
      <c r="F312" s="1890" t="s">
        <v>673</v>
      </c>
      <c r="G312" s="1924" t="s">
        <v>673</v>
      </c>
      <c r="H312" s="1924" t="s">
        <v>673</v>
      </c>
      <c r="I312" s="1924" t="s">
        <v>673</v>
      </c>
      <c r="J312" s="1924" t="s">
        <v>673</v>
      </c>
      <c r="K312" s="1890" t="s">
        <v>673</v>
      </c>
      <c r="L312" s="1924" t="s">
        <v>673</v>
      </c>
      <c r="M312" s="1924" t="s">
        <v>673</v>
      </c>
      <c r="N312" s="1924" t="s">
        <v>673</v>
      </c>
      <c r="O312" s="1924" t="s">
        <v>673</v>
      </c>
      <c r="P312" s="1890" t="s">
        <v>673</v>
      </c>
      <c r="Q312" s="1924" t="s">
        <v>673</v>
      </c>
      <c r="R312" s="1924" t="s">
        <v>673</v>
      </c>
      <c r="S312" s="1924" t="s">
        <v>673</v>
      </c>
      <c r="T312" s="1924" t="s">
        <v>673</v>
      </c>
      <c r="U312" s="1890" t="s">
        <v>673</v>
      </c>
      <c r="V312" s="1924" t="s">
        <v>673</v>
      </c>
      <c r="W312" s="1924" t="s">
        <v>673</v>
      </c>
      <c r="X312" s="1924" t="s">
        <v>673</v>
      </c>
      <c r="Y312" s="1924" t="s">
        <v>673</v>
      </c>
      <c r="Z312" s="1890" t="s">
        <v>673</v>
      </c>
      <c r="AA312" s="1924" t="s">
        <v>673</v>
      </c>
      <c r="AB312" s="1924" t="s">
        <v>673</v>
      </c>
      <c r="AC312" s="1924" t="s">
        <v>673</v>
      </c>
      <c r="AD312" s="1924" t="s">
        <v>673</v>
      </c>
      <c r="AE312" s="1890" t="s">
        <v>673</v>
      </c>
      <c r="AF312" s="1924" t="s">
        <v>673</v>
      </c>
      <c r="AG312" s="1924" t="s">
        <v>673</v>
      </c>
      <c r="AH312" s="1924" t="s">
        <v>673</v>
      </c>
      <c r="AI312" s="1924" t="s">
        <v>673</v>
      </c>
      <c r="AJ312" s="1890" t="s">
        <v>673</v>
      </c>
      <c r="AK312" s="1924" t="s">
        <v>673</v>
      </c>
      <c r="AL312" s="1924" t="s">
        <v>673</v>
      </c>
      <c r="AM312" s="1924" t="s">
        <v>673</v>
      </c>
      <c r="AN312" s="1924" t="s">
        <v>673</v>
      </c>
      <c r="AO312" s="1890" t="s">
        <v>673</v>
      </c>
      <c r="AP312" s="886">
        <v>0.05</v>
      </c>
      <c r="AQ312" s="886">
        <v>3.5999999999999997E-2</v>
      </c>
      <c r="AR312" s="886">
        <v>2.4E-2</v>
      </c>
      <c r="AS312" s="886">
        <v>-3.2000000000000001E-2</v>
      </c>
      <c r="AT312" s="1046">
        <v>1.4E-2</v>
      </c>
      <c r="AU312" s="886">
        <v>-6.9000000000000006E-2</v>
      </c>
      <c r="AV312" s="886">
        <v>-0.09</v>
      </c>
      <c r="AW312" s="886">
        <v>-9.2999999999999999E-2</v>
      </c>
      <c r="AX312" s="886">
        <v>-5.8999999999999997E-2</v>
      </c>
      <c r="AY312" s="1046">
        <v>-7.5999999999999998E-2</v>
      </c>
      <c r="AZ312" s="886">
        <v>-1.2E-2</v>
      </c>
      <c r="BA312" s="886">
        <v>3.0000000000000001E-3</v>
      </c>
      <c r="BB312" s="886">
        <v>0.05</v>
      </c>
      <c r="BC312" s="886">
        <v>5.8999999999999997E-2</v>
      </c>
      <c r="BD312" s="1046">
        <v>3.3000000000000002E-2</v>
      </c>
      <c r="BE312" s="886"/>
      <c r="BF312" s="886"/>
      <c r="BG312" s="886"/>
      <c r="BH312" s="886"/>
      <c r="BI312" s="1046"/>
      <c r="BJ312" s="885"/>
      <c r="BK312" s="885"/>
      <c r="BL312" s="885"/>
      <c r="BM312" s="885"/>
      <c r="BN312" s="1046"/>
      <c r="BO312" s="885"/>
      <c r="BP312" s="885"/>
      <c r="BQ312" s="885"/>
      <c r="BR312" s="885"/>
      <c r="BS312" s="1046"/>
      <c r="BT312" s="885"/>
      <c r="BU312" s="885"/>
      <c r="BV312" s="885"/>
      <c r="BW312" s="885"/>
      <c r="BX312" s="1046"/>
      <c r="BY312" s="885"/>
      <c r="BZ312" s="885"/>
      <c r="CA312" s="885"/>
      <c r="CB312" s="886"/>
      <c r="CC312" s="1280"/>
      <c r="CD312" s="886"/>
      <c r="CE312" s="886"/>
      <c r="CF312" s="886"/>
      <c r="CG312" s="886"/>
      <c r="CH312" s="1280"/>
      <c r="CI312" s="886"/>
      <c r="CJ312" s="886"/>
      <c r="CK312" s="886"/>
      <c r="CL312" s="886"/>
      <c r="CM312" s="1280"/>
      <c r="CN312" s="886"/>
      <c r="CO312" s="886"/>
      <c r="CP312" s="886"/>
      <c r="CQ312" s="886"/>
      <c r="CR312" s="1046"/>
      <c r="CS312" s="1046"/>
      <c r="CT312" s="1046"/>
      <c r="DA312" s="212"/>
      <c r="DB312" s="1226"/>
    </row>
    <row r="313" spans="1:106" s="212" customFormat="1" x14ac:dyDescent="0.2">
      <c r="A313" s="1434" t="s">
        <v>1645</v>
      </c>
      <c r="B313" s="234"/>
      <c r="C313" s="234"/>
      <c r="D313" s="234"/>
      <c r="E313" s="234"/>
      <c r="F313" s="236"/>
      <c r="G313" s="234"/>
      <c r="H313" s="234"/>
      <c r="I313" s="234"/>
      <c r="J313" s="234"/>
      <c r="K313" s="236"/>
      <c r="L313" s="234"/>
      <c r="M313" s="234"/>
      <c r="N313" s="234"/>
      <c r="O313" s="234"/>
      <c r="P313" s="236"/>
      <c r="Q313" s="234"/>
      <c r="R313" s="234"/>
      <c r="S313" s="234"/>
      <c r="T313" s="234"/>
      <c r="U313" s="236"/>
      <c r="V313" s="234"/>
      <c r="W313" s="234"/>
      <c r="X313" s="234"/>
      <c r="Y313" s="234"/>
      <c r="Z313" s="236"/>
      <c r="AA313" s="234"/>
      <c r="AB313" s="234"/>
      <c r="AC313" s="234"/>
      <c r="AD313" s="234"/>
      <c r="AE313" s="236"/>
      <c r="AF313" s="234"/>
      <c r="AG313" s="234"/>
      <c r="AH313" s="234"/>
      <c r="AI313" s="234"/>
      <c r="AJ313" s="236"/>
      <c r="AK313" s="234"/>
      <c r="AL313" s="234"/>
      <c r="AM313" s="234"/>
      <c r="AN313" s="234"/>
      <c r="AO313" s="236"/>
      <c r="AP313" s="1564">
        <v>173.22</v>
      </c>
      <c r="AQ313" s="1564">
        <v>174.69</v>
      </c>
      <c r="AR313" s="1564">
        <v>143.47999999999999</v>
      </c>
      <c r="AS313" s="1564">
        <v>171.22</v>
      </c>
      <c r="AT313" s="1530">
        <f>AVERAGE(AP313:AS313)</f>
        <v>165.6525</v>
      </c>
      <c r="AU313" s="1564">
        <v>155.41</v>
      </c>
      <c r="AV313" s="1564">
        <v>138.09</v>
      </c>
      <c r="AW313" s="1564">
        <v>121.06</v>
      </c>
      <c r="AX313" s="1564">
        <v>136.59</v>
      </c>
      <c r="AY313" s="1530">
        <f>AVERAGE(AU313:AX313)</f>
        <v>137.78749999999999</v>
      </c>
      <c r="AZ313" s="1564">
        <v>136.58000000000001</v>
      </c>
      <c r="BA313" s="1564">
        <v>135.91999999999999</v>
      </c>
      <c r="BB313" s="1564">
        <v>117.81</v>
      </c>
      <c r="BC313" s="1564">
        <v>134.62</v>
      </c>
      <c r="BD313" s="1530">
        <f>AVERAGE(AZ313:BC313)</f>
        <v>131.23250000000002</v>
      </c>
      <c r="BE313" s="1564">
        <v>154.22999999999999</v>
      </c>
      <c r="BF313" s="1564">
        <v>144.79</v>
      </c>
      <c r="BG313" s="1564">
        <v>117.37</v>
      </c>
      <c r="BH313" s="1564">
        <v>139.83000000000001</v>
      </c>
      <c r="BI313" s="1530">
        <f>AVERAGE(BE313:BH313)</f>
        <v>139.05500000000001</v>
      </c>
      <c r="BJ313" s="1564">
        <v>140.96</v>
      </c>
      <c r="BK313" s="1564">
        <v>140.19999999999999</v>
      </c>
      <c r="BL313" s="1564">
        <v>118.74</v>
      </c>
      <c r="BM313" s="1564">
        <v>132.77000000000001</v>
      </c>
      <c r="BN313" s="1996">
        <v>130.1</v>
      </c>
      <c r="BO313" s="1564">
        <v>150.06</v>
      </c>
      <c r="BP313" s="1564">
        <v>137.80000000000001</v>
      </c>
      <c r="BQ313" s="1564">
        <v>138.65</v>
      </c>
      <c r="BR313" s="1564">
        <v>149.82</v>
      </c>
      <c r="BS313" s="1996">
        <v>144.18</v>
      </c>
      <c r="BT313" s="1564">
        <v>196.1</v>
      </c>
      <c r="BU313" s="1564">
        <v>183.1</v>
      </c>
      <c r="BV313" s="1564">
        <v>164.13</v>
      </c>
      <c r="BW313" s="1564">
        <v>195.48</v>
      </c>
      <c r="BX313" s="1996">
        <v>186.19</v>
      </c>
      <c r="BY313" s="1564">
        <v>193.91</v>
      </c>
      <c r="BZ313" s="1564">
        <v>175.05</v>
      </c>
      <c r="CA313" s="1564">
        <v>159.26</v>
      </c>
      <c r="CB313" s="1564">
        <v>182.91</v>
      </c>
      <c r="CC313" s="1996">
        <v>178.37</v>
      </c>
      <c r="CD313" s="1564">
        <v>148.47999999999999</v>
      </c>
      <c r="CE313" s="1564">
        <v>135.01</v>
      </c>
      <c r="CF313" s="1564">
        <v>120.68</v>
      </c>
      <c r="CG313" s="1564">
        <v>169.39</v>
      </c>
      <c r="CH313" s="1996">
        <v>159.12</v>
      </c>
      <c r="CI313" s="1564">
        <v>168.05</v>
      </c>
      <c r="CJ313" s="1564">
        <v>151.59</v>
      </c>
      <c r="CK313" s="1564">
        <v>135.13</v>
      </c>
      <c r="CL313" s="1564">
        <v>169.89</v>
      </c>
      <c r="CM313" s="1996">
        <v>155.9</v>
      </c>
      <c r="CN313" s="1564"/>
      <c r="CO313" s="1564"/>
      <c r="CR313" s="194"/>
      <c r="CS313" s="194"/>
      <c r="CT313" s="194"/>
      <c r="DB313" s="1226"/>
    </row>
    <row r="314" spans="1:106" s="212" customFormat="1" x14ac:dyDescent="0.2">
      <c r="A314" s="1595" t="s">
        <v>652</v>
      </c>
      <c r="B314" s="234"/>
      <c r="C314" s="234"/>
      <c r="D314" s="234"/>
      <c r="E314" s="234"/>
      <c r="F314" s="236"/>
      <c r="G314" s="234"/>
      <c r="H314" s="234"/>
      <c r="I314" s="234"/>
      <c r="J314" s="234"/>
      <c r="K314" s="236"/>
      <c r="L314" s="234"/>
      <c r="M314" s="234"/>
      <c r="N314" s="234"/>
      <c r="O314" s="234"/>
      <c r="P314" s="236"/>
      <c r="Q314" s="234"/>
      <c r="R314" s="234"/>
      <c r="S314" s="234"/>
      <c r="T314" s="234"/>
      <c r="U314" s="236"/>
      <c r="V314" s="234"/>
      <c r="W314" s="234"/>
      <c r="X314" s="234"/>
      <c r="Y314" s="234"/>
      <c r="Z314" s="236"/>
      <c r="AA314" s="234"/>
      <c r="AB314" s="234"/>
      <c r="AC314" s="234"/>
      <c r="AD314" s="234"/>
      <c r="AE314" s="236"/>
      <c r="AF314" s="234"/>
      <c r="AG314" s="234"/>
      <c r="AH314" s="234"/>
      <c r="AI314" s="234"/>
      <c r="AJ314" s="236"/>
      <c r="AK314" s="234"/>
      <c r="AL314" s="234"/>
      <c r="AM314" s="234"/>
      <c r="AN314" s="234"/>
      <c r="AO314" s="236"/>
      <c r="AP314" s="885"/>
      <c r="AQ314" s="885"/>
      <c r="AR314" s="885"/>
      <c r="AS314" s="885"/>
      <c r="AT314" s="1280"/>
      <c r="AU314" s="885">
        <f>AU313/AP313-1</f>
        <v>-0.10281722664819304</v>
      </c>
      <c r="AV314" s="885">
        <f>AV313/AQ313-1</f>
        <v>-0.20951399622187872</v>
      </c>
      <c r="AW314" s="885">
        <f>AW313/AR313-1</f>
        <v>-0.15625871201561181</v>
      </c>
      <c r="AX314" s="885">
        <f>AX313/AS313-1</f>
        <v>-0.20225440953159679</v>
      </c>
      <c r="AY314" s="1280">
        <f>+AY313/AT313-1</f>
        <v>-0.16821357963206118</v>
      </c>
      <c r="AZ314" s="885">
        <f>AZ313/AU313-1</f>
        <v>-0.12116337430023794</v>
      </c>
      <c r="BA314" s="885">
        <f>BA313/AV313-1</f>
        <v>-1.5714389166485709E-2</v>
      </c>
      <c r="BB314" s="885">
        <f>BB313/AW313-1</f>
        <v>-2.6846191970923527E-2</v>
      </c>
      <c r="BC314" s="885">
        <f>BC313/AX313-1</f>
        <v>-1.4422724943260801E-2</v>
      </c>
      <c r="BD314" s="1280">
        <f>+BD313/AY313-1</f>
        <v>-4.757325591944106E-2</v>
      </c>
      <c r="BE314" s="885">
        <f>BE313/AZ313-1</f>
        <v>0.12922829111143641</v>
      </c>
      <c r="BF314" s="885">
        <f>BF313/BA313-1</f>
        <v>6.5258975868157876E-2</v>
      </c>
      <c r="BG314" s="885">
        <f>BG313/BB313-1</f>
        <v>-3.7348272642390157E-3</v>
      </c>
      <c r="BH314" s="885">
        <f>BH313/BC313-1</f>
        <v>3.8701530233249182E-2</v>
      </c>
      <c r="BI314" s="1280">
        <f>+BI313/BD313-1</f>
        <v>5.9607947726363353E-2</v>
      </c>
      <c r="BJ314" s="885">
        <f t="shared" ref="BJ314:BQ314" si="244">BJ313/BE313-1</f>
        <v>-8.6040329378201275E-2</v>
      </c>
      <c r="BK314" s="885">
        <f t="shared" si="244"/>
        <v>-3.1701084329028295E-2</v>
      </c>
      <c r="BL314" s="885">
        <f t="shared" si="244"/>
        <v>1.1672488710914086E-2</v>
      </c>
      <c r="BM314" s="885">
        <f t="shared" si="244"/>
        <v>-5.0489880569262735E-2</v>
      </c>
      <c r="BN314" s="1280">
        <f t="shared" si="244"/>
        <v>-6.4398978821329722E-2</v>
      </c>
      <c r="BO314" s="885">
        <f t="shared" si="244"/>
        <v>6.4557321225879649E-2</v>
      </c>
      <c r="BP314" s="885">
        <f t="shared" si="244"/>
        <v>-1.7118402282453427E-2</v>
      </c>
      <c r="BQ314" s="885">
        <f t="shared" si="244"/>
        <v>0.16767727808657584</v>
      </c>
      <c r="BR314" s="885">
        <f t="shared" ref="BR314:CM314" si="245">BR313/BM313-1</f>
        <v>0.12841756420878192</v>
      </c>
      <c r="BS314" s="1280">
        <f t="shared" si="245"/>
        <v>0.10822444273635679</v>
      </c>
      <c r="BT314" s="885">
        <f t="shared" si="245"/>
        <v>0.30681060908969737</v>
      </c>
      <c r="BU314" s="885">
        <f t="shared" si="245"/>
        <v>0.32873730043541349</v>
      </c>
      <c r="BV314" s="885">
        <f t="shared" si="245"/>
        <v>0.18377208799134492</v>
      </c>
      <c r="BW314" s="885">
        <f t="shared" si="245"/>
        <v>0.30476571886263515</v>
      </c>
      <c r="BX314" s="1280">
        <f t="shared" si="245"/>
        <v>0.29137189624081006</v>
      </c>
      <c r="BY314" s="885">
        <f t="shared" si="245"/>
        <v>-1.1167771545130045E-2</v>
      </c>
      <c r="BZ314" s="885">
        <f t="shared" si="245"/>
        <v>-4.39650464227197E-2</v>
      </c>
      <c r="CA314" s="885">
        <f t="shared" si="245"/>
        <v>-2.9671601779077572E-2</v>
      </c>
      <c r="CB314" s="885">
        <f t="shared" si="245"/>
        <v>-6.4303253529772841E-2</v>
      </c>
      <c r="CC314" s="1280">
        <f t="shared" si="245"/>
        <v>-4.2000107417154431E-2</v>
      </c>
      <c r="CD314" s="885">
        <f t="shared" si="245"/>
        <v>-0.23428394616059001</v>
      </c>
      <c r="CE314" s="885">
        <f t="shared" si="245"/>
        <v>-0.22873464724364478</v>
      </c>
      <c r="CF314" s="885">
        <f t="shared" si="245"/>
        <v>-0.24224538490518643</v>
      </c>
      <c r="CG314" s="885">
        <f t="shared" si="245"/>
        <v>-7.3916133617626167E-2</v>
      </c>
      <c r="CH314" s="1280">
        <f t="shared" si="245"/>
        <v>-0.10792173571788977</v>
      </c>
      <c r="CI314" s="885">
        <f t="shared" si="245"/>
        <v>0.1318022629310347</v>
      </c>
      <c r="CJ314" s="885">
        <f t="shared" si="245"/>
        <v>0.122805718094956</v>
      </c>
      <c r="CK314" s="885">
        <f t="shared" si="245"/>
        <v>0.11973815048060987</v>
      </c>
      <c r="CL314" s="885">
        <f t="shared" si="245"/>
        <v>2.9517681090973635E-3</v>
      </c>
      <c r="CM314" s="1280">
        <f t="shared" si="245"/>
        <v>-2.0236299648064393E-2</v>
      </c>
      <c r="CN314" s="885"/>
      <c r="CO314" s="885"/>
      <c r="CR314" s="194"/>
      <c r="CS314" s="194"/>
      <c r="CT314" s="194"/>
      <c r="DB314" s="1226"/>
    </row>
    <row r="315" spans="1:106" x14ac:dyDescent="0.2">
      <c r="A315" s="1595" t="s">
        <v>359</v>
      </c>
      <c r="B315" s="1924" t="s">
        <v>673</v>
      </c>
      <c r="C315" s="1924" t="s">
        <v>673</v>
      </c>
      <c r="D315" s="1924" t="s">
        <v>673</v>
      </c>
      <c r="E315" s="1924" t="s">
        <v>673</v>
      </c>
      <c r="F315" s="1890" t="s">
        <v>673</v>
      </c>
      <c r="G315" s="1924" t="s">
        <v>673</v>
      </c>
      <c r="H315" s="1924" t="s">
        <v>673</v>
      </c>
      <c r="I315" s="1924" t="s">
        <v>673</v>
      </c>
      <c r="J315" s="1924" t="s">
        <v>673</v>
      </c>
      <c r="K315" s="1890" t="s">
        <v>673</v>
      </c>
      <c r="L315" s="1924" t="s">
        <v>673</v>
      </c>
      <c r="M315" s="1924" t="s">
        <v>673</v>
      </c>
      <c r="N315" s="1924" t="s">
        <v>673</v>
      </c>
      <c r="O315" s="1924" t="s">
        <v>673</v>
      </c>
      <c r="P315" s="1890" t="s">
        <v>673</v>
      </c>
      <c r="Q315" s="1924" t="s">
        <v>673</v>
      </c>
      <c r="R315" s="1924" t="s">
        <v>673</v>
      </c>
      <c r="S315" s="1924" t="s">
        <v>673</v>
      </c>
      <c r="T315" s="1924" t="s">
        <v>673</v>
      </c>
      <c r="U315" s="1890" t="s">
        <v>673</v>
      </c>
      <c r="V315" s="1924" t="s">
        <v>673</v>
      </c>
      <c r="W315" s="1924" t="s">
        <v>673</v>
      </c>
      <c r="X315" s="1924" t="s">
        <v>673</v>
      </c>
      <c r="Y315" s="1924" t="s">
        <v>673</v>
      </c>
      <c r="Z315" s="1890" t="s">
        <v>673</v>
      </c>
      <c r="AA315" s="1924" t="s">
        <v>673</v>
      </c>
      <c r="AB315" s="1924" t="s">
        <v>673</v>
      </c>
      <c r="AC315" s="1924" t="s">
        <v>673</v>
      </c>
      <c r="AD315" s="1924" t="s">
        <v>673</v>
      </c>
      <c r="AE315" s="1890" t="s">
        <v>673</v>
      </c>
      <c r="AF315" s="1924" t="s">
        <v>673</v>
      </c>
      <c r="AG315" s="1924" t="s">
        <v>673</v>
      </c>
      <c r="AH315" s="1924" t="s">
        <v>673</v>
      </c>
      <c r="AI315" s="1924" t="s">
        <v>673</v>
      </c>
      <c r="AJ315" s="1890" t="s">
        <v>673</v>
      </c>
      <c r="AK315" s="1924" t="s">
        <v>673</v>
      </c>
      <c r="AL315" s="1924" t="s">
        <v>673</v>
      </c>
      <c r="AM315" s="1924" t="s">
        <v>673</v>
      </c>
      <c r="AN315" s="1924" t="s">
        <v>673</v>
      </c>
      <c r="AO315" s="1890" t="s">
        <v>673</v>
      </c>
      <c r="AP315" s="886">
        <v>0.108</v>
      </c>
      <c r="AQ315" s="886">
        <v>0.123</v>
      </c>
      <c r="AR315" s="886">
        <v>0.13600000000000001</v>
      </c>
      <c r="AS315" s="886">
        <v>7.2999999999999995E-2</v>
      </c>
      <c r="AT315" s="1046">
        <v>0.106</v>
      </c>
      <c r="AU315" s="886">
        <v>2.5000000000000001E-2</v>
      </c>
      <c r="AV315" s="886">
        <v>-8.6999999999999994E-2</v>
      </c>
      <c r="AW315" s="886">
        <v>-0.11700000000000001</v>
      </c>
      <c r="AX315" s="886">
        <v>-0.11</v>
      </c>
      <c r="AY315" s="1046">
        <v>-8.1000000000000003E-2</v>
      </c>
      <c r="AZ315" s="886">
        <v>-0.13600000000000001</v>
      </c>
      <c r="BA315" s="886">
        <v>-6.8000000000000005E-2</v>
      </c>
      <c r="BB315" s="886">
        <v>-4.3999999999999997E-2</v>
      </c>
      <c r="BC315" s="886">
        <v>-2.8000000000000001E-2</v>
      </c>
      <c r="BD315" s="1046">
        <v>-0.06</v>
      </c>
      <c r="BE315" s="886">
        <v>0.129</v>
      </c>
      <c r="BF315" s="886">
        <v>9.0999999999999998E-2</v>
      </c>
      <c r="BG315" s="886">
        <v>2.3E-2</v>
      </c>
      <c r="BH315" s="886">
        <v>5.0999999999999997E-2</v>
      </c>
      <c r="BI315" s="1046">
        <v>6.7000000000000004E-2</v>
      </c>
      <c r="BJ315" s="886">
        <v>-7.9000000000000001E-2</v>
      </c>
      <c r="BK315" s="886">
        <v>-2.4E-2</v>
      </c>
      <c r="BL315" s="886">
        <v>4.7E-2</v>
      </c>
      <c r="BM315" s="886">
        <v>0</v>
      </c>
      <c r="BN315" s="1046">
        <v>-6.0000000000000001E-3</v>
      </c>
      <c r="BO315" s="886">
        <v>3.5000000000000003E-2</v>
      </c>
      <c r="BP315" s="886">
        <v>-1.7999999999999999E-2</v>
      </c>
      <c r="BQ315" s="886">
        <v>6.9000000000000006E-2</v>
      </c>
      <c r="BR315" s="886">
        <v>8.0000000000000002E-3</v>
      </c>
      <c r="BS315" s="1046">
        <v>2.1999999999999999E-2</v>
      </c>
      <c r="BT315" s="886">
        <v>-5.0000000000000001E-3</v>
      </c>
      <c r="BU315" s="886">
        <v>1.4999999999999999E-2</v>
      </c>
      <c r="BV315" s="886">
        <v>-5.5E-2</v>
      </c>
      <c r="BW315" s="886">
        <v>-8.9999999999999993E-3</v>
      </c>
      <c r="BX315" s="1046">
        <v>-1.6E-2</v>
      </c>
      <c r="BY315" s="886">
        <v>-1.4999999999999999E-2</v>
      </c>
      <c r="BZ315" s="886">
        <v>-2.9000000000000001E-2</v>
      </c>
      <c r="CA315" s="886">
        <v>-2.1000000000000001E-2</v>
      </c>
      <c r="CB315" s="886">
        <v>-5.0999999999999997E-2</v>
      </c>
      <c r="CC315" s="1046">
        <v>-0.03</v>
      </c>
      <c r="CD315" s="886">
        <v>-3.3000000000000002E-2</v>
      </c>
      <c r="CE315" s="886">
        <v>-2.5999999999999999E-2</v>
      </c>
      <c r="CF315" s="886">
        <v>-8.9999999999999993E-3</v>
      </c>
      <c r="CG315" s="886">
        <v>-1.7999999999999999E-2</v>
      </c>
      <c r="CH315" s="1046">
        <v>-4.1000000000000002E-2</v>
      </c>
      <c r="CI315" s="886">
        <v>-3.1E-2</v>
      </c>
      <c r="CJ315" s="886">
        <v>2E-3</v>
      </c>
      <c r="CK315" s="886">
        <v>-2.1999999999999999E-2</v>
      </c>
      <c r="CL315" s="886">
        <v>0.03</v>
      </c>
      <c r="CM315" s="1046">
        <v>-4.0000000000000001E-3</v>
      </c>
      <c r="CN315" s="886"/>
      <c r="CO315" s="886"/>
      <c r="CP315" s="886"/>
      <c r="CQ315" s="886"/>
      <c r="CR315" s="1046"/>
      <c r="CS315" s="1046"/>
      <c r="CT315" s="1046"/>
      <c r="DA315" s="212"/>
      <c r="DB315" s="1226"/>
    </row>
    <row r="316" spans="1:106" s="212" customFormat="1" x14ac:dyDescent="0.2">
      <c r="A316" s="1434" t="s">
        <v>808</v>
      </c>
      <c r="B316" s="234"/>
      <c r="C316" s="234"/>
      <c r="D316" s="234"/>
      <c r="E316" s="234"/>
      <c r="F316" s="236"/>
      <c r="G316" s="234"/>
      <c r="H316" s="234"/>
      <c r="I316" s="234"/>
      <c r="J316" s="234"/>
      <c r="K316" s="236"/>
      <c r="L316" s="234"/>
      <c r="M316" s="234"/>
      <c r="N316" s="234"/>
      <c r="O316" s="234"/>
      <c r="P316" s="236"/>
      <c r="Q316" s="234"/>
      <c r="R316" s="234"/>
      <c r="S316" s="234"/>
      <c r="T316" s="234"/>
      <c r="U316" s="236"/>
      <c r="V316" s="234"/>
      <c r="W316" s="234"/>
      <c r="X316" s="234"/>
      <c r="Y316" s="234"/>
      <c r="Z316" s="236"/>
      <c r="AA316" s="234"/>
      <c r="AB316" s="234"/>
      <c r="AC316" s="234"/>
      <c r="AD316" s="234"/>
      <c r="AE316" s="236"/>
      <c r="AF316" s="234"/>
      <c r="AG316" s="234"/>
      <c r="AH316" s="234"/>
      <c r="AI316" s="234"/>
      <c r="AJ316" s="236"/>
      <c r="AK316" s="234"/>
      <c r="AL316" s="234"/>
      <c r="AM316" s="234"/>
      <c r="AN316" s="234"/>
      <c r="AO316" s="236"/>
      <c r="AP316" s="1564">
        <v>162.99</v>
      </c>
      <c r="AQ316" s="1564">
        <v>161.46</v>
      </c>
      <c r="AR316" s="1564">
        <v>155.55000000000001</v>
      </c>
      <c r="AS316" s="1564">
        <v>152.41</v>
      </c>
      <c r="AT316" s="1530">
        <f>AVERAGE(AP316:AS316)</f>
        <v>158.10250000000002</v>
      </c>
      <c r="AU316" s="1564">
        <v>142.16</v>
      </c>
      <c r="AV316" s="1564">
        <v>127.39</v>
      </c>
      <c r="AW316" s="1564">
        <v>130.53</v>
      </c>
      <c r="AX316" s="1564">
        <v>142.57</v>
      </c>
      <c r="AY316" s="1530">
        <f>AVERAGE(AU316:AX316)</f>
        <v>135.66250000000002</v>
      </c>
      <c r="AZ316" s="1564">
        <v>126.47</v>
      </c>
      <c r="BA316" s="1564">
        <v>127.43</v>
      </c>
      <c r="BB316" s="1564">
        <v>129.35</v>
      </c>
      <c r="BC316" s="1564">
        <v>145.21</v>
      </c>
      <c r="BD316" s="1530">
        <f>AVERAGE(AZ316:BC316)</f>
        <v>132.11500000000001</v>
      </c>
      <c r="BE316" s="1564">
        <v>139.82</v>
      </c>
      <c r="BF316" s="1564">
        <v>144.07</v>
      </c>
      <c r="BG316" s="1564">
        <v>141.47999999999999</v>
      </c>
      <c r="BH316" s="1564">
        <v>156.56</v>
      </c>
      <c r="BI316" s="1530">
        <f>AVERAGE(BE316:BH316)</f>
        <v>145.48250000000002</v>
      </c>
      <c r="BJ316" s="1564">
        <v>139.16</v>
      </c>
      <c r="BK316" s="1564">
        <v>141.19999999999999</v>
      </c>
      <c r="BL316" s="1564">
        <v>136.11000000000001</v>
      </c>
      <c r="BM316" s="1564">
        <v>145.69</v>
      </c>
      <c r="BN316" s="1996">
        <v>141.16999999999999</v>
      </c>
      <c r="BO316" s="1564">
        <v>149.88</v>
      </c>
      <c r="BP316" s="1564">
        <v>144.77000000000001</v>
      </c>
      <c r="BQ316" s="1564">
        <v>142.79</v>
      </c>
      <c r="BR316" s="1564">
        <v>148.63999999999999</v>
      </c>
      <c r="BS316" s="1996">
        <v>146.49</v>
      </c>
      <c r="BT316" s="1564">
        <v>179.96</v>
      </c>
      <c r="BU316" s="1564">
        <v>172.6</v>
      </c>
      <c r="BV316" s="1564">
        <v>172.81</v>
      </c>
      <c r="BW316" s="1564">
        <v>178.58</v>
      </c>
      <c r="BX316" s="1996">
        <v>176.43</v>
      </c>
      <c r="BY316" s="1564">
        <v>163.87</v>
      </c>
      <c r="BZ316" s="1564">
        <v>153.74</v>
      </c>
      <c r="CA316" s="1564">
        <v>150.41999999999999</v>
      </c>
      <c r="CB316" s="1564">
        <v>156.6</v>
      </c>
      <c r="CC316" s="1996">
        <v>155.24</v>
      </c>
      <c r="CD316" s="1564">
        <v>157.74</v>
      </c>
      <c r="CE316" s="1564">
        <v>149.94</v>
      </c>
      <c r="CF316" s="1564">
        <v>150.19</v>
      </c>
      <c r="CG316" s="1564">
        <v>143.08000000000001</v>
      </c>
      <c r="CH316" s="1996">
        <v>141.82</v>
      </c>
      <c r="CI316" s="1564">
        <v>139.44999999999999</v>
      </c>
      <c r="CJ316" s="1564">
        <v>136.88999999999999</v>
      </c>
      <c r="CK316" s="1564">
        <v>154.99</v>
      </c>
      <c r="CL316" s="1564">
        <v>147.41999999999999</v>
      </c>
      <c r="CM316" s="1996">
        <v>140.94</v>
      </c>
      <c r="CN316" s="1564"/>
      <c r="CO316" s="1564"/>
      <c r="CR316" s="194"/>
      <c r="CS316" s="194"/>
      <c r="CT316" s="194"/>
      <c r="DB316" s="1226"/>
    </row>
    <row r="317" spans="1:106" s="212" customFormat="1" x14ac:dyDescent="0.2">
      <c r="A317" s="1595" t="s">
        <v>652</v>
      </c>
      <c r="B317" s="234"/>
      <c r="C317" s="234"/>
      <c r="D317" s="234"/>
      <c r="E317" s="234"/>
      <c r="F317" s="236"/>
      <c r="G317" s="234"/>
      <c r="H317" s="234"/>
      <c r="I317" s="234"/>
      <c r="J317" s="234"/>
      <c r="K317" s="236"/>
      <c r="L317" s="234"/>
      <c r="M317" s="234"/>
      <c r="N317" s="234"/>
      <c r="O317" s="234"/>
      <c r="P317" s="236"/>
      <c r="Q317" s="234"/>
      <c r="R317" s="234"/>
      <c r="S317" s="234"/>
      <c r="T317" s="234"/>
      <c r="U317" s="236"/>
      <c r="V317" s="234"/>
      <c r="W317" s="234"/>
      <c r="X317" s="234"/>
      <c r="Y317" s="234"/>
      <c r="Z317" s="236"/>
      <c r="AA317" s="234"/>
      <c r="AB317" s="234"/>
      <c r="AC317" s="234"/>
      <c r="AD317" s="234"/>
      <c r="AE317" s="236"/>
      <c r="AF317" s="234"/>
      <c r="AG317" s="234"/>
      <c r="AH317" s="234"/>
      <c r="AI317" s="234"/>
      <c r="AJ317" s="236"/>
      <c r="AK317" s="234"/>
      <c r="AL317" s="234"/>
      <c r="AM317" s="234"/>
      <c r="AN317" s="234"/>
      <c r="AO317" s="236"/>
      <c r="AP317" s="885"/>
      <c r="AQ317" s="885"/>
      <c r="AR317" s="885"/>
      <c r="AS317" s="885"/>
      <c r="AT317" s="1280"/>
      <c r="AU317" s="885">
        <f>AU316/AP316-1</f>
        <v>-0.12779925148782145</v>
      </c>
      <c r="AV317" s="885">
        <f>AV316/AQ316-1</f>
        <v>-0.21101201535984149</v>
      </c>
      <c r="AW317" s="885">
        <f>AW316/AR316-1</f>
        <v>-0.16084860173577631</v>
      </c>
      <c r="AX317" s="885">
        <f>AX316/AS316-1</f>
        <v>-6.4562692736697125E-2</v>
      </c>
      <c r="AY317" s="1280">
        <f>+AY316/AT316-1</f>
        <v>-0.1419332395123416</v>
      </c>
      <c r="AZ317" s="885">
        <f>AZ316/AU316-1</f>
        <v>-0.11036859876195837</v>
      </c>
      <c r="BA317" s="885">
        <f>BA316/AV316-1</f>
        <v>3.1399638904150429E-4</v>
      </c>
      <c r="BB317" s="885">
        <f>BB316/AW316-1</f>
        <v>-9.0400674174520024E-3</v>
      </c>
      <c r="BC317" s="885">
        <f>BC316/AX316-1</f>
        <v>1.8517219611419167E-2</v>
      </c>
      <c r="BD317" s="1280">
        <f>+BD316/AY316-1</f>
        <v>-2.6149451764489129E-2</v>
      </c>
      <c r="BE317" s="885">
        <f>BE316/AZ316-1</f>
        <v>0.10555863050525804</v>
      </c>
      <c r="BF317" s="885">
        <f>BF316/BA316-1</f>
        <v>0.13058149572314193</v>
      </c>
      <c r="BG317" s="885">
        <f>BG316/BB316-1</f>
        <v>9.3776575183610378E-2</v>
      </c>
      <c r="BH317" s="885">
        <f>BH316/BC316-1</f>
        <v>7.816266097376201E-2</v>
      </c>
      <c r="BI317" s="1280">
        <f>+BI316/BD316-1</f>
        <v>0.10118078946372489</v>
      </c>
      <c r="BJ317" s="885">
        <f t="shared" ref="BJ317:BQ317" si="246">BJ316/BE316-1</f>
        <v>-4.7203547418108727E-3</v>
      </c>
      <c r="BK317" s="885">
        <f t="shared" si="246"/>
        <v>-1.9920871798431383E-2</v>
      </c>
      <c r="BL317" s="885">
        <f t="shared" si="246"/>
        <v>-3.7955894826123715E-2</v>
      </c>
      <c r="BM317" s="885">
        <f t="shared" si="246"/>
        <v>-6.9430250383239689E-2</v>
      </c>
      <c r="BN317" s="1280">
        <f t="shared" si="246"/>
        <v>-2.9642740535803513E-2</v>
      </c>
      <c r="BO317" s="885">
        <f t="shared" si="246"/>
        <v>7.7033630353549931E-2</v>
      </c>
      <c r="BP317" s="885">
        <f t="shared" si="246"/>
        <v>2.528328611898023E-2</v>
      </c>
      <c r="BQ317" s="885">
        <f t="shared" si="246"/>
        <v>4.9077951656748109E-2</v>
      </c>
      <c r="BR317" s="885">
        <f t="shared" ref="BR317:CM317" si="247">BR316/BM316-1</f>
        <v>2.0248472784679672E-2</v>
      </c>
      <c r="BS317" s="1280">
        <f t="shared" si="247"/>
        <v>3.7685060565276096E-2</v>
      </c>
      <c r="BT317" s="885">
        <f t="shared" si="247"/>
        <v>0.20069388844408875</v>
      </c>
      <c r="BU317" s="885">
        <f t="shared" si="247"/>
        <v>0.19223596048905156</v>
      </c>
      <c r="BV317" s="885">
        <f t="shared" si="247"/>
        <v>0.21023881224175378</v>
      </c>
      <c r="BW317" s="885">
        <f t="shared" si="247"/>
        <v>0.20142626480086134</v>
      </c>
      <c r="BX317" s="1280">
        <f t="shared" si="247"/>
        <v>0.2043825517100144</v>
      </c>
      <c r="BY317" s="885">
        <f t="shared" si="247"/>
        <v>-8.9408757501667102E-2</v>
      </c>
      <c r="BZ317" s="885">
        <f t="shared" si="247"/>
        <v>-0.10926998841251445</v>
      </c>
      <c r="CA317" s="885">
        <f t="shared" si="247"/>
        <v>-0.12956426132746957</v>
      </c>
      <c r="CB317" s="885">
        <f t="shared" si="247"/>
        <v>-0.12308209205958121</v>
      </c>
      <c r="CC317" s="1280">
        <f t="shared" si="247"/>
        <v>-0.12010429065351691</v>
      </c>
      <c r="CD317" s="885">
        <f t="shared" si="247"/>
        <v>-3.7407701226581991E-2</v>
      </c>
      <c r="CE317" s="885">
        <f t="shared" si="247"/>
        <v>-2.4717054767789848E-2</v>
      </c>
      <c r="CF317" s="885">
        <f t="shared" si="247"/>
        <v>-1.5290519877675379E-3</v>
      </c>
      <c r="CG317" s="885">
        <f t="shared" si="247"/>
        <v>-8.6334610472541429E-2</v>
      </c>
      <c r="CH317" s="1280">
        <f t="shared" si="247"/>
        <v>-8.6446792063901157E-2</v>
      </c>
      <c r="CI317" s="885">
        <f t="shared" si="247"/>
        <v>-0.11595029795866629</v>
      </c>
      <c r="CJ317" s="885">
        <f t="shared" si="247"/>
        <v>-8.7034813925570331E-2</v>
      </c>
      <c r="CK317" s="885">
        <f t="shared" si="247"/>
        <v>3.195951794393781E-2</v>
      </c>
      <c r="CL317" s="885">
        <f t="shared" si="247"/>
        <v>3.0332681017612328E-2</v>
      </c>
      <c r="CM317" s="1280">
        <f t="shared" si="247"/>
        <v>-6.2050486532223559E-3</v>
      </c>
      <c r="CN317" s="885"/>
      <c r="CO317" s="885"/>
      <c r="CR317" s="194"/>
      <c r="CS317" s="194"/>
      <c r="CT317" s="194"/>
      <c r="DB317" s="1226"/>
    </row>
    <row r="318" spans="1:106" x14ac:dyDescent="0.2">
      <c r="A318" s="1595" t="s">
        <v>359</v>
      </c>
      <c r="B318" s="1924" t="s">
        <v>673</v>
      </c>
      <c r="C318" s="1924" t="s">
        <v>673</v>
      </c>
      <c r="D318" s="1924" t="s">
        <v>673</v>
      </c>
      <c r="E318" s="1924" t="s">
        <v>673</v>
      </c>
      <c r="F318" s="1890" t="s">
        <v>673</v>
      </c>
      <c r="G318" s="1924" t="s">
        <v>673</v>
      </c>
      <c r="H318" s="1924" t="s">
        <v>673</v>
      </c>
      <c r="I318" s="1924" t="s">
        <v>673</v>
      </c>
      <c r="J318" s="1924" t="s">
        <v>673</v>
      </c>
      <c r="K318" s="1890" t="s">
        <v>673</v>
      </c>
      <c r="L318" s="1924" t="s">
        <v>673</v>
      </c>
      <c r="M318" s="1924" t="s">
        <v>673</v>
      </c>
      <c r="N318" s="1924" t="s">
        <v>673</v>
      </c>
      <c r="O318" s="1924" t="s">
        <v>673</v>
      </c>
      <c r="P318" s="1890" t="s">
        <v>673</v>
      </c>
      <c r="Q318" s="1924" t="s">
        <v>673</v>
      </c>
      <c r="R318" s="1924" t="s">
        <v>673</v>
      </c>
      <c r="S318" s="1924" t="s">
        <v>673</v>
      </c>
      <c r="T318" s="1924" t="s">
        <v>673</v>
      </c>
      <c r="U318" s="1890" t="s">
        <v>673</v>
      </c>
      <c r="V318" s="1924" t="s">
        <v>673</v>
      </c>
      <c r="W318" s="1924" t="s">
        <v>673</v>
      </c>
      <c r="X318" s="1924" t="s">
        <v>673</v>
      </c>
      <c r="Y318" s="1924" t="s">
        <v>673</v>
      </c>
      <c r="Z318" s="1890" t="s">
        <v>673</v>
      </c>
      <c r="AA318" s="1924" t="s">
        <v>673</v>
      </c>
      <c r="AB318" s="1924" t="s">
        <v>673</v>
      </c>
      <c r="AC318" s="1924" t="s">
        <v>673</v>
      </c>
      <c r="AD318" s="1924" t="s">
        <v>673</v>
      </c>
      <c r="AE318" s="1890" t="s">
        <v>673</v>
      </c>
      <c r="AF318" s="1924" t="s">
        <v>673</v>
      </c>
      <c r="AG318" s="1924" t="s">
        <v>673</v>
      </c>
      <c r="AH318" s="1924" t="s">
        <v>673</v>
      </c>
      <c r="AI318" s="1924" t="s">
        <v>673</v>
      </c>
      <c r="AJ318" s="1890" t="s">
        <v>673</v>
      </c>
      <c r="AK318" s="1924" t="s">
        <v>673</v>
      </c>
      <c r="AL318" s="1924" t="s">
        <v>673</v>
      </c>
      <c r="AM318" s="1924" t="s">
        <v>673</v>
      </c>
      <c r="AN318" s="1924" t="s">
        <v>673</v>
      </c>
      <c r="AO318" s="1890" t="s">
        <v>673</v>
      </c>
      <c r="AP318" s="886">
        <v>7.6999999999999999E-2</v>
      </c>
      <c r="AQ318" s="886">
        <v>4.5999999999999999E-2</v>
      </c>
      <c r="AR318" s="886">
        <v>7.3999999999999996E-2</v>
      </c>
      <c r="AS318" s="886">
        <v>0.01</v>
      </c>
      <c r="AT318" s="1046">
        <v>4.7E-2</v>
      </c>
      <c r="AU318" s="886">
        <v>-6.0999999999999999E-2</v>
      </c>
      <c r="AV318" s="886">
        <v>-0.13600000000000001</v>
      </c>
      <c r="AW318" s="886">
        <v>-0.17</v>
      </c>
      <c r="AX318" s="886">
        <v>-0.13</v>
      </c>
      <c r="AY318" s="1046">
        <v>-0.129</v>
      </c>
      <c r="AZ318" s="886">
        <v>-0.106</v>
      </c>
      <c r="BA318" s="886">
        <v>-3.4000000000000002E-2</v>
      </c>
      <c r="BB318" s="886">
        <v>8.9999999999999993E-3</v>
      </c>
      <c r="BC318" s="886">
        <v>3.9E-2</v>
      </c>
      <c r="BD318" s="1046">
        <v>-0.01</v>
      </c>
      <c r="BE318" s="886">
        <v>3.6999999999999998E-2</v>
      </c>
      <c r="BF318" s="886">
        <v>5.1999999999999998E-2</v>
      </c>
      <c r="BG318" s="886">
        <v>1.7999999999999999E-2</v>
      </c>
      <c r="BH318" s="886">
        <v>3.4000000000000002E-2</v>
      </c>
      <c r="BI318" s="1046">
        <v>3.5999999999999997E-2</v>
      </c>
      <c r="BJ318" s="886">
        <v>0.04</v>
      </c>
      <c r="BK318" s="886">
        <v>2.5000000000000001E-2</v>
      </c>
      <c r="BL318" s="886">
        <v>0.04</v>
      </c>
      <c r="BM318" s="886">
        <v>2E-3</v>
      </c>
      <c r="BN318" s="1046">
        <v>2.1999999999999999E-2</v>
      </c>
      <c r="BO318" s="886">
        <v>8.9999999999999993E-3</v>
      </c>
      <c r="BP318" s="886">
        <v>1.2999999999999999E-2</v>
      </c>
      <c r="BQ318" s="886">
        <v>-2E-3</v>
      </c>
      <c r="BR318" s="886">
        <v>2.5000000000000001E-2</v>
      </c>
      <c r="BS318" s="1046">
        <v>1.0999999999999999E-2</v>
      </c>
      <c r="BT318" s="886">
        <v>3.1E-2</v>
      </c>
      <c r="BU318" s="886">
        <v>2.8000000000000001E-2</v>
      </c>
      <c r="BV318" s="886">
        <v>2.4E-2</v>
      </c>
      <c r="BW318" s="886">
        <v>1.2999999999999999E-2</v>
      </c>
      <c r="BX318" s="1046">
        <v>2.4E-2</v>
      </c>
      <c r="BY318" s="886">
        <v>4.0000000000000001E-3</v>
      </c>
      <c r="BZ318" s="886">
        <v>-5.0000000000000001E-3</v>
      </c>
      <c r="CA318" s="886">
        <v>0.01</v>
      </c>
      <c r="CB318" s="886">
        <v>2.3E-2</v>
      </c>
      <c r="CC318" s="1046">
        <v>8.9999999999999993E-3</v>
      </c>
      <c r="CD318" s="886">
        <v>1.2999999999999999E-2</v>
      </c>
      <c r="CE318" s="886">
        <v>5.0000000000000001E-3</v>
      </c>
      <c r="CF318" s="886">
        <v>-5.0000000000000001E-3</v>
      </c>
      <c r="CG318" s="886">
        <v>-3.2000000000000001E-2</v>
      </c>
      <c r="CH318" s="1046">
        <v>-2.5000000000000001E-2</v>
      </c>
      <c r="CI318" s="886">
        <v>-2.9000000000000001E-2</v>
      </c>
      <c r="CJ318" s="886">
        <v>-5.0000000000000001E-3</v>
      </c>
      <c r="CK318" s="886">
        <v>1.4E-2</v>
      </c>
      <c r="CL318" s="886">
        <v>2.7E-2</v>
      </c>
      <c r="CM318" s="1046">
        <v>2E-3</v>
      </c>
      <c r="CN318" s="886"/>
      <c r="CO318" s="886"/>
      <c r="CP318" s="886"/>
      <c r="CQ318" s="886"/>
      <c r="CR318" s="1046"/>
      <c r="CS318" s="1046"/>
      <c r="CT318" s="1046"/>
      <c r="DA318" s="212"/>
      <c r="DB318" s="1226"/>
    </row>
    <row r="319" spans="1:106" s="212" customFormat="1" x14ac:dyDescent="0.2">
      <c r="A319" s="331" t="s">
        <v>558</v>
      </c>
      <c r="B319" s="1441"/>
      <c r="C319" s="1441"/>
      <c r="D319" s="1441"/>
      <c r="E319" s="1441"/>
      <c r="F319" s="1440"/>
      <c r="G319" s="1441"/>
      <c r="H319" s="1441"/>
      <c r="I319" s="1441"/>
      <c r="J319" s="1441"/>
      <c r="K319" s="1440"/>
      <c r="L319" s="1441"/>
      <c r="M319" s="1441"/>
      <c r="N319" s="1441"/>
      <c r="O319" s="1441"/>
      <c r="P319" s="1440"/>
      <c r="Q319" s="1441"/>
      <c r="R319" s="1557">
        <v>112</v>
      </c>
      <c r="S319" s="1557">
        <v>108.56</v>
      </c>
      <c r="T319" s="1557">
        <v>115.09</v>
      </c>
      <c r="U319" s="1523"/>
      <c r="V319" s="1557">
        <v>112.14</v>
      </c>
      <c r="W319" s="1557">
        <v>128.94</v>
      </c>
      <c r="X319" s="1557">
        <v>123.09</v>
      </c>
      <c r="Y319" s="1557">
        <v>128.44</v>
      </c>
      <c r="Z319" s="1523">
        <f>+Y319</f>
        <v>128.44</v>
      </c>
      <c r="AA319" s="1557">
        <v>137.24</v>
      </c>
      <c r="AB319" s="1557">
        <v>140.94999999999999</v>
      </c>
      <c r="AC319" s="1557">
        <v>131.13999999999999</v>
      </c>
      <c r="AD319" s="1558">
        <v>138.87388903101154</v>
      </c>
      <c r="AE319" s="1523"/>
      <c r="AF319" s="1557">
        <v>143.55279063911044</v>
      </c>
      <c r="AG319" s="1557">
        <v>133.32801578891778</v>
      </c>
      <c r="AH319" s="1557">
        <v>127.95944921032702</v>
      </c>
      <c r="AI319" s="1558">
        <v>152.02445190621555</v>
      </c>
      <c r="AJ319" s="1523"/>
      <c r="AK319" s="1559">
        <v>171.03681739720852</v>
      </c>
      <c r="AL319" s="1559">
        <v>178.73</v>
      </c>
      <c r="AM319" s="1559">
        <v>167.38</v>
      </c>
      <c r="AN319" s="1559">
        <v>185.11</v>
      </c>
      <c r="AO319" s="1551">
        <f>AVERAGE(AK319:AN319)</f>
        <v>175.56420434930212</v>
      </c>
      <c r="AP319" s="1559">
        <v>195.1</v>
      </c>
      <c r="AQ319" s="1559">
        <v>199.91</v>
      </c>
      <c r="AR319" s="1559">
        <v>197.23</v>
      </c>
      <c r="AS319" s="1559">
        <v>183.78</v>
      </c>
      <c r="AT319" s="1551">
        <f>AVERAGE(AP319:AS319)</f>
        <v>194.005</v>
      </c>
      <c r="AU319" s="1559">
        <v>172.16</v>
      </c>
      <c r="AV319" s="1559">
        <v>159.51</v>
      </c>
      <c r="AW319" s="1559">
        <v>154.1</v>
      </c>
      <c r="AX319" s="1559">
        <v>164.06</v>
      </c>
      <c r="AY319" s="1551">
        <f>AVERAGE(AU319:AX319)</f>
        <v>162.45749999999998</v>
      </c>
      <c r="AZ319" s="1559">
        <v>165.25</v>
      </c>
      <c r="BA319" s="1559">
        <v>164.43</v>
      </c>
      <c r="BB319" s="1559">
        <v>154.85</v>
      </c>
      <c r="BC319" s="1559">
        <v>169.89</v>
      </c>
      <c r="BD319" s="1551">
        <f>AVERAGE(AZ319:BC319)</f>
        <v>163.60499999999999</v>
      </c>
      <c r="BE319" s="1559">
        <v>172.28</v>
      </c>
      <c r="BF319" s="1559">
        <v>181.9</v>
      </c>
      <c r="BG319" s="1559">
        <v>169.56</v>
      </c>
      <c r="BH319" s="1559">
        <v>178.49</v>
      </c>
      <c r="BI319" s="1551">
        <f>AVERAGE(BE319:BH319)</f>
        <v>175.5575</v>
      </c>
      <c r="BJ319" s="1559">
        <v>172.92</v>
      </c>
      <c r="BK319" s="1559">
        <v>176.89</v>
      </c>
      <c r="BL319" s="1559">
        <v>163.66999999999999</v>
      </c>
      <c r="BM319" s="1559">
        <v>171.94</v>
      </c>
      <c r="BN319" s="1997">
        <v>171.36</v>
      </c>
      <c r="BO319" s="1559">
        <v>185.99</v>
      </c>
      <c r="BP319" s="1559">
        <v>178.8</v>
      </c>
      <c r="BQ319" s="1559">
        <v>170.9</v>
      </c>
      <c r="BR319" s="1559">
        <v>183.1</v>
      </c>
      <c r="BS319" s="1997">
        <v>179.28</v>
      </c>
      <c r="BT319" s="1559">
        <v>192.16</v>
      </c>
      <c r="BU319" s="1559">
        <v>187.63</v>
      </c>
      <c r="BV319" s="1559">
        <v>179.63</v>
      </c>
      <c r="BW319" s="1559">
        <v>182.68</v>
      </c>
      <c r="BX319" s="1997">
        <v>185.39</v>
      </c>
      <c r="BY319" s="1559">
        <v>180.9</v>
      </c>
      <c r="BZ319" s="1559">
        <v>170.68</v>
      </c>
      <c r="CA319" s="1559">
        <v>164.48</v>
      </c>
      <c r="CB319" s="1559">
        <v>171.1</v>
      </c>
      <c r="CC319" s="1997">
        <v>171.2</v>
      </c>
      <c r="CD319" s="1559">
        <v>167.08</v>
      </c>
      <c r="CE319" s="1559">
        <v>159.03</v>
      </c>
      <c r="CF319" s="1559">
        <v>151</v>
      </c>
      <c r="CG319" s="1559">
        <v>153.99</v>
      </c>
      <c r="CH319" s="1997">
        <v>155.31</v>
      </c>
      <c r="CI319" s="1559">
        <v>153.83000000000001</v>
      </c>
      <c r="CJ319" s="1559">
        <v>154.79</v>
      </c>
      <c r="CK319" s="1559">
        <v>158.85</v>
      </c>
      <c r="CL319" s="1559">
        <v>159.04</v>
      </c>
      <c r="CM319" s="1997">
        <v>154.71</v>
      </c>
      <c r="CN319" s="1559"/>
      <c r="CO319" s="1559"/>
      <c r="CP319" s="1441"/>
      <c r="CQ319" s="1441"/>
      <c r="CR319" s="1440"/>
      <c r="CS319" s="1440"/>
      <c r="CT319" s="1440"/>
      <c r="DB319" s="1226"/>
    </row>
    <row r="320" spans="1:106" s="212" customFormat="1" x14ac:dyDescent="0.2">
      <c r="A320" s="1595" t="s">
        <v>652</v>
      </c>
      <c r="B320" s="234"/>
      <c r="C320" s="234"/>
      <c r="D320" s="234"/>
      <c r="E320" s="234"/>
      <c r="F320" s="236"/>
      <c r="G320" s="234"/>
      <c r="H320" s="234"/>
      <c r="I320" s="234"/>
      <c r="J320" s="234"/>
      <c r="K320" s="236"/>
      <c r="L320" s="234"/>
      <c r="M320" s="234"/>
      <c r="N320" s="234"/>
      <c r="O320" s="234"/>
      <c r="P320" s="236"/>
      <c r="Q320" s="234"/>
      <c r="R320" s="234"/>
      <c r="S320" s="234"/>
      <c r="T320" s="234"/>
      <c r="U320" s="236"/>
      <c r="V320" s="234"/>
      <c r="W320" s="234"/>
      <c r="X320" s="234"/>
      <c r="Y320" s="234"/>
      <c r="Z320" s="236"/>
      <c r="AA320" s="234"/>
      <c r="AB320" s="234"/>
      <c r="AC320" s="234"/>
      <c r="AD320" s="234"/>
      <c r="AE320" s="236"/>
      <c r="AF320" s="234"/>
      <c r="AG320" s="234"/>
      <c r="AH320" s="234"/>
      <c r="AI320" s="234"/>
      <c r="AJ320" s="236"/>
      <c r="AK320" s="234"/>
      <c r="AL320" s="234"/>
      <c r="AM320" s="234"/>
      <c r="AN320" s="234"/>
      <c r="AO320" s="236"/>
      <c r="AP320" s="885"/>
      <c r="AQ320" s="885"/>
      <c r="AR320" s="885"/>
      <c r="AS320" s="885"/>
      <c r="AT320" s="1280"/>
      <c r="AU320" s="885">
        <f>AU319/AP319-1</f>
        <v>-0.11758072783188112</v>
      </c>
      <c r="AV320" s="885">
        <f>AV319/AQ319-1</f>
        <v>-0.20209094092341562</v>
      </c>
      <c r="AW320" s="885">
        <f>AW319/AR319-1</f>
        <v>-0.21867869999492973</v>
      </c>
      <c r="AX320" s="885">
        <f>AX319/AS319-1</f>
        <v>-0.10730220916312982</v>
      </c>
      <c r="AY320" s="1280">
        <f>+AY319/AT319-1</f>
        <v>-0.16261178835597023</v>
      </c>
      <c r="AZ320" s="885">
        <f>AZ319/AU319-1</f>
        <v>-4.0137081784386575E-2</v>
      </c>
      <c r="BA320" s="885">
        <f>BA319/AV319-1</f>
        <v>3.0844461162309766E-2</v>
      </c>
      <c r="BB320" s="885">
        <f>BB319/AW319-1</f>
        <v>4.8669695003245028E-3</v>
      </c>
      <c r="BC320" s="885">
        <f>BC319/AX319-1</f>
        <v>3.5535779592831718E-2</v>
      </c>
      <c r="BD320" s="1280">
        <f>+BD319/AY319-1</f>
        <v>7.0633858085962231E-3</v>
      </c>
      <c r="BE320" s="885">
        <f>BE319/AZ319-1</f>
        <v>4.2541603630862346E-2</v>
      </c>
      <c r="BF320" s="885">
        <f>BF319/BA319-1</f>
        <v>0.10624581888949702</v>
      </c>
      <c r="BG320" s="885">
        <f>BG319/BB319-1</f>
        <v>9.4995156603164377E-2</v>
      </c>
      <c r="BH320" s="885">
        <f>BH319/BC319-1</f>
        <v>5.0620990052387072E-2</v>
      </c>
      <c r="BI320" s="1280">
        <f>+BI319/BD319-1</f>
        <v>7.3057058158369381E-2</v>
      </c>
      <c r="BJ320" s="885">
        <f t="shared" ref="BJ320:BQ320" si="248">BJ319/BE319-1</f>
        <v>3.7148827490132152E-3</v>
      </c>
      <c r="BK320" s="885">
        <f t="shared" si="248"/>
        <v>-2.7542605827377775E-2</v>
      </c>
      <c r="BL320" s="885">
        <f t="shared" si="248"/>
        <v>-3.4736966265628721E-2</v>
      </c>
      <c r="BM320" s="885">
        <f t="shared" si="248"/>
        <v>-3.6696733710572138E-2</v>
      </c>
      <c r="BN320" s="1280">
        <f t="shared" si="248"/>
        <v>-2.3909545305669022E-2</v>
      </c>
      <c r="BO320" s="885">
        <f t="shared" si="248"/>
        <v>7.5584085126070066E-2</v>
      </c>
      <c r="BP320" s="885">
        <f t="shared" si="248"/>
        <v>1.079767086890171E-2</v>
      </c>
      <c r="BQ320" s="885">
        <f t="shared" si="248"/>
        <v>4.4174253070202285E-2</v>
      </c>
      <c r="BR320" s="885">
        <f t="shared" ref="BR320:CM320" si="249">BR319/BM319-1</f>
        <v>6.4906362684657326E-2</v>
      </c>
      <c r="BS320" s="1280">
        <f t="shared" si="249"/>
        <v>4.6218487394957819E-2</v>
      </c>
      <c r="BT320" s="885">
        <f t="shared" si="249"/>
        <v>3.3173826549814489E-2</v>
      </c>
      <c r="BU320" s="885">
        <f t="shared" si="249"/>
        <v>4.9384787472035674E-2</v>
      </c>
      <c r="BV320" s="885">
        <f t="shared" si="249"/>
        <v>5.1082504388531236E-2</v>
      </c>
      <c r="BW320" s="885">
        <f t="shared" si="249"/>
        <v>-2.2938285090113864E-3</v>
      </c>
      <c r="BX320" s="1280">
        <f t="shared" si="249"/>
        <v>3.4080767514502286E-2</v>
      </c>
      <c r="BY320" s="885">
        <f t="shared" si="249"/>
        <v>-5.8597002497918327E-2</v>
      </c>
      <c r="BZ320" s="885">
        <f t="shared" si="249"/>
        <v>-9.0337366092842264E-2</v>
      </c>
      <c r="CA320" s="885">
        <f t="shared" si="249"/>
        <v>-8.4340032288593214E-2</v>
      </c>
      <c r="CB320" s="885">
        <f t="shared" si="249"/>
        <v>-6.3389533610685445E-2</v>
      </c>
      <c r="CC320" s="1280">
        <f t="shared" si="249"/>
        <v>-7.6541345272128969E-2</v>
      </c>
      <c r="CD320" s="885">
        <f t="shared" si="249"/>
        <v>-7.6395798783858493E-2</v>
      </c>
      <c r="CE320" s="885">
        <f t="shared" si="249"/>
        <v>-6.8256386219826659E-2</v>
      </c>
      <c r="CF320" s="885">
        <f t="shared" si="249"/>
        <v>-8.1955252918287869E-2</v>
      </c>
      <c r="CG320" s="885">
        <f t="shared" si="249"/>
        <v>-9.9999999999999867E-2</v>
      </c>
      <c r="CH320" s="1280">
        <f t="shared" si="249"/>
        <v>-9.2815420560747541E-2</v>
      </c>
      <c r="CI320" s="885">
        <f t="shared" si="249"/>
        <v>-7.9303327747186958E-2</v>
      </c>
      <c r="CJ320" s="885">
        <f t="shared" si="249"/>
        <v>-2.6661636169276304E-2</v>
      </c>
      <c r="CK320" s="885">
        <f t="shared" si="249"/>
        <v>5.1986754966887316E-2</v>
      </c>
      <c r="CL320" s="885">
        <f t="shared" si="249"/>
        <v>3.2794337294629328E-2</v>
      </c>
      <c r="CM320" s="1280">
        <f t="shared" si="249"/>
        <v>-3.8632412594166166E-3</v>
      </c>
      <c r="CN320" s="885"/>
      <c r="CO320" s="885"/>
      <c r="CR320" s="194"/>
      <c r="CS320" s="194"/>
      <c r="CT320" s="194"/>
      <c r="DB320" s="1226"/>
    </row>
    <row r="321" spans="1:106" x14ac:dyDescent="0.2">
      <c r="A321" s="1595" t="s">
        <v>359</v>
      </c>
      <c r="B321" s="1924" t="s">
        <v>673</v>
      </c>
      <c r="C321" s="1924" t="s">
        <v>673</v>
      </c>
      <c r="D321" s="1924" t="s">
        <v>673</v>
      </c>
      <c r="E321" s="1924" t="s">
        <v>673</v>
      </c>
      <c r="F321" s="1890" t="s">
        <v>673</v>
      </c>
      <c r="G321" s="1924" t="s">
        <v>673</v>
      </c>
      <c r="H321" s="1924" t="s">
        <v>673</v>
      </c>
      <c r="I321" s="1924" t="s">
        <v>673</v>
      </c>
      <c r="J321" s="1924" t="s">
        <v>673</v>
      </c>
      <c r="K321" s="1890" t="s">
        <v>673</v>
      </c>
      <c r="L321" s="1924" t="s">
        <v>673</v>
      </c>
      <c r="M321" s="1924" t="s">
        <v>673</v>
      </c>
      <c r="N321" s="1924" t="s">
        <v>673</v>
      </c>
      <c r="O321" s="1924" t="s">
        <v>673</v>
      </c>
      <c r="P321" s="1890" t="s">
        <v>673</v>
      </c>
      <c r="Q321" s="1924" t="s">
        <v>673</v>
      </c>
      <c r="R321" s="1924" t="s">
        <v>673</v>
      </c>
      <c r="S321" s="1924" t="s">
        <v>673</v>
      </c>
      <c r="T321" s="1924" t="s">
        <v>673</v>
      </c>
      <c r="U321" s="1890" t="s">
        <v>673</v>
      </c>
      <c r="V321" s="1924" t="s">
        <v>673</v>
      </c>
      <c r="W321" s="1924" t="s">
        <v>673</v>
      </c>
      <c r="X321" s="1924" t="s">
        <v>673</v>
      </c>
      <c r="Y321" s="1924" t="s">
        <v>673</v>
      </c>
      <c r="Z321" s="1890" t="s">
        <v>673</v>
      </c>
      <c r="AA321" s="1924" t="s">
        <v>673</v>
      </c>
      <c r="AB321" s="1924" t="s">
        <v>673</v>
      </c>
      <c r="AC321" s="1924" t="s">
        <v>673</v>
      </c>
      <c r="AD321" s="1924" t="s">
        <v>673</v>
      </c>
      <c r="AE321" s="1890" t="s">
        <v>673</v>
      </c>
      <c r="AF321" s="1924" t="s">
        <v>673</v>
      </c>
      <c r="AG321" s="1924" t="s">
        <v>673</v>
      </c>
      <c r="AH321" s="1924" t="s">
        <v>673</v>
      </c>
      <c r="AI321" s="1924" t="s">
        <v>673</v>
      </c>
      <c r="AJ321" s="1890" t="s">
        <v>673</v>
      </c>
      <c r="AK321" s="1924" t="s">
        <v>673</v>
      </c>
      <c r="AL321" s="1924" t="s">
        <v>673</v>
      </c>
      <c r="AM321" s="1924" t="s">
        <v>673</v>
      </c>
      <c r="AN321" s="1924" t="s">
        <v>673</v>
      </c>
      <c r="AO321" s="1890" t="s">
        <v>673</v>
      </c>
      <c r="AP321" s="886">
        <v>8.5000000000000006E-2</v>
      </c>
      <c r="AQ321" s="886">
        <v>7.2999999999999995E-2</v>
      </c>
      <c r="AR321" s="886">
        <v>9.0999999999999998E-2</v>
      </c>
      <c r="AS321" s="886">
        <v>3.1E-2</v>
      </c>
      <c r="AT321" s="1046">
        <v>6.7000000000000004E-2</v>
      </c>
      <c r="AU321" s="886">
        <v>-4.8000000000000001E-2</v>
      </c>
      <c r="AV321" s="886">
        <v>-0.115</v>
      </c>
      <c r="AW321" s="886">
        <v>-0.14699999999999999</v>
      </c>
      <c r="AX321" s="886">
        <v>-0.12</v>
      </c>
      <c r="AY321" s="1046">
        <v>-0.115</v>
      </c>
      <c r="AZ321" s="886">
        <v>-8.6999999999999994E-2</v>
      </c>
      <c r="BA321" s="886">
        <v>-2.1000000000000001E-2</v>
      </c>
      <c r="BB321" s="886">
        <v>1.6E-2</v>
      </c>
      <c r="BC321" s="886">
        <v>3.9E-2</v>
      </c>
      <c r="BD321" s="1046">
        <v>-2E-3</v>
      </c>
      <c r="BE321" s="886">
        <v>2.9000000000000001E-2</v>
      </c>
      <c r="BF321" s="886">
        <v>5.8000000000000003E-2</v>
      </c>
      <c r="BG321" s="886">
        <v>4.9000000000000002E-2</v>
      </c>
      <c r="BH321" s="886">
        <v>4.4999999999999998E-2</v>
      </c>
      <c r="BI321" s="1046">
        <v>4.9000000000000002E-2</v>
      </c>
      <c r="BJ321" s="886">
        <v>2.7E-2</v>
      </c>
      <c r="BK321" s="886">
        <v>0.03</v>
      </c>
      <c r="BL321" s="886">
        <v>3.7999999999999999E-2</v>
      </c>
      <c r="BM321" s="886">
        <v>5.0000000000000001E-3</v>
      </c>
      <c r="BN321" s="1046">
        <v>2.4E-2</v>
      </c>
      <c r="BO321" s="886">
        <v>1.4999999999999999E-2</v>
      </c>
      <c r="BP321" s="886">
        <v>3.0000000000000001E-3</v>
      </c>
      <c r="BQ321" s="886">
        <v>1.2999999999999999E-2</v>
      </c>
      <c r="BR321" s="886">
        <v>2.5000000000000001E-2</v>
      </c>
      <c r="BS321" s="1046">
        <v>1.4E-2</v>
      </c>
      <c r="BT321" s="886">
        <v>2.7E-2</v>
      </c>
      <c r="BU321" s="886">
        <v>2.5000000000000001E-2</v>
      </c>
      <c r="BV321" s="886">
        <v>2.4E-2</v>
      </c>
      <c r="BW321" s="886">
        <v>1.4999999999999999E-2</v>
      </c>
      <c r="BX321" s="1046">
        <v>2.1000000000000001E-2</v>
      </c>
      <c r="BY321" s="886">
        <v>1.7000000000000001E-2</v>
      </c>
      <c r="BZ321" s="886">
        <v>8.9999999999999993E-3</v>
      </c>
      <c r="CA321" s="886">
        <v>2.8000000000000001E-2</v>
      </c>
      <c r="CB321" s="886">
        <v>2.8000000000000001E-2</v>
      </c>
      <c r="CC321" s="1046">
        <v>2.1000000000000001E-2</v>
      </c>
      <c r="CD321" s="886">
        <v>1.4999999999999999E-2</v>
      </c>
      <c r="CE321" s="886">
        <v>8.9999999999999993E-3</v>
      </c>
      <c r="CF321" s="886">
        <v>8.0000000000000002E-3</v>
      </c>
      <c r="CG321" s="886">
        <v>-1.9E-2</v>
      </c>
      <c r="CH321" s="1046">
        <v>-1.4999999999999999E-2</v>
      </c>
      <c r="CI321" s="886">
        <v>-0.02</v>
      </c>
      <c r="CJ321" s="886">
        <v>1.0999999999999999E-2</v>
      </c>
      <c r="CK321" s="886">
        <v>0.01</v>
      </c>
      <c r="CL321" s="886">
        <v>2.7E-2</v>
      </c>
      <c r="CM321" s="1046">
        <v>1.0999999999999999E-2</v>
      </c>
      <c r="CN321" s="886"/>
      <c r="CO321" s="886"/>
      <c r="CP321" s="886"/>
      <c r="CQ321" s="886"/>
      <c r="CR321" s="1046"/>
      <c r="CS321" s="1046"/>
      <c r="CT321" s="1046"/>
      <c r="DA321" s="212"/>
      <c r="DB321" s="1226"/>
    </row>
    <row r="322" spans="1:106" s="212" customFormat="1" x14ac:dyDescent="0.2">
      <c r="A322" s="1561" t="s">
        <v>1647</v>
      </c>
      <c r="B322" s="234"/>
      <c r="C322" s="234"/>
      <c r="D322" s="234"/>
      <c r="E322" s="234"/>
      <c r="F322" s="236"/>
      <c r="G322" s="234"/>
      <c r="H322" s="234"/>
      <c r="I322" s="234"/>
      <c r="J322" s="234"/>
      <c r="K322" s="236"/>
      <c r="L322" s="234"/>
      <c r="M322" s="234"/>
      <c r="N322" s="234"/>
      <c r="O322" s="234"/>
      <c r="P322" s="236"/>
      <c r="Q322" s="234"/>
      <c r="R322" s="234"/>
      <c r="S322" s="234"/>
      <c r="T322" s="234"/>
      <c r="U322" s="236"/>
      <c r="V322" s="234"/>
      <c r="W322" s="234"/>
      <c r="X322" s="234"/>
      <c r="Y322" s="234"/>
      <c r="Z322" s="236"/>
      <c r="AA322" s="234"/>
      <c r="AB322" s="234"/>
      <c r="AC322" s="234"/>
      <c r="AD322" s="234"/>
      <c r="AE322" s="236"/>
      <c r="AF322" s="234"/>
      <c r="AG322" s="234"/>
      <c r="AH322" s="234"/>
      <c r="AI322" s="234"/>
      <c r="AJ322" s="236"/>
      <c r="AK322" s="234"/>
      <c r="AL322" s="234"/>
      <c r="AM322" s="234"/>
      <c r="AN322" s="234"/>
      <c r="AO322" s="236"/>
      <c r="AP322" s="1564">
        <v>181.17</v>
      </c>
      <c r="AQ322" s="1564">
        <v>188.58</v>
      </c>
      <c r="AR322" s="1564">
        <v>181.93</v>
      </c>
      <c r="AS322" s="1564">
        <v>172.31</v>
      </c>
      <c r="AT322" s="1547">
        <f>AVERAGE(AP322:AS322)</f>
        <v>180.9975</v>
      </c>
      <c r="AU322" s="1564">
        <v>157.11000000000001</v>
      </c>
      <c r="AV322" s="1564">
        <v>145.56</v>
      </c>
      <c r="AW322" s="1564">
        <v>144.16999999999999</v>
      </c>
      <c r="AX322" s="1564">
        <v>153.77000000000001</v>
      </c>
      <c r="AY322" s="1547">
        <f>AVERAGE(AU322:AX322)</f>
        <v>150.1525</v>
      </c>
      <c r="AZ322" s="1564">
        <v>150.52000000000001</v>
      </c>
      <c r="BA322" s="1564">
        <v>150.16</v>
      </c>
      <c r="BB322" s="1564">
        <v>143.22999999999999</v>
      </c>
      <c r="BC322" s="1564">
        <v>157.12</v>
      </c>
      <c r="BD322" s="1547">
        <f>AVERAGE(AZ322:BC322)</f>
        <v>150.25749999999999</v>
      </c>
      <c r="BE322" s="1564">
        <v>155.41</v>
      </c>
      <c r="BF322" s="1564">
        <v>164.08</v>
      </c>
      <c r="BG322" s="1564">
        <v>157.82</v>
      </c>
      <c r="BH322" s="1564">
        <v>164.44</v>
      </c>
      <c r="BI322" s="1547">
        <f>AVERAGE(BE322:BH322)</f>
        <v>160.4375</v>
      </c>
      <c r="BJ322" s="1564">
        <v>155.37</v>
      </c>
      <c r="BK322" s="1564">
        <v>161.22</v>
      </c>
      <c r="BL322" s="1564">
        <v>151.24</v>
      </c>
      <c r="BM322" s="1564">
        <v>157.38999999999999</v>
      </c>
      <c r="BN322" s="1996">
        <v>156.47</v>
      </c>
      <c r="BO322" s="1564">
        <v>162.16</v>
      </c>
      <c r="BP322" s="1564">
        <v>161.43</v>
      </c>
      <c r="BQ322" s="1564">
        <v>155.97999999999999</v>
      </c>
      <c r="BR322" s="1564">
        <v>164.08</v>
      </c>
      <c r="BS322" s="1996">
        <v>160.84</v>
      </c>
      <c r="BT322" s="2418" t="s">
        <v>673</v>
      </c>
      <c r="BU322" s="2418" t="s">
        <v>673</v>
      </c>
      <c r="BV322" s="2418" t="s">
        <v>673</v>
      </c>
      <c r="BW322" s="2418" t="s">
        <v>673</v>
      </c>
      <c r="BX322" s="2672" t="s">
        <v>673</v>
      </c>
      <c r="BY322" s="2418" t="s">
        <v>673</v>
      </c>
      <c r="BZ322" s="2418" t="s">
        <v>673</v>
      </c>
      <c r="CA322" s="2418" t="s">
        <v>673</v>
      </c>
      <c r="CB322" s="2418" t="s">
        <v>673</v>
      </c>
      <c r="CC322" s="2672" t="s">
        <v>673</v>
      </c>
      <c r="CD322" s="2418" t="s">
        <v>673</v>
      </c>
      <c r="CE322" s="2418" t="s">
        <v>673</v>
      </c>
      <c r="CF322" s="2418" t="s">
        <v>673</v>
      </c>
      <c r="CG322" s="2418" t="s">
        <v>673</v>
      </c>
      <c r="CH322" s="2672" t="s">
        <v>673</v>
      </c>
      <c r="CI322" s="2418" t="s">
        <v>673</v>
      </c>
      <c r="CJ322" s="2418" t="s">
        <v>673</v>
      </c>
      <c r="CK322" s="2418" t="s">
        <v>673</v>
      </c>
      <c r="CL322" s="2418" t="s">
        <v>673</v>
      </c>
      <c r="CM322" s="2672" t="s">
        <v>673</v>
      </c>
      <c r="CN322" s="2418"/>
      <c r="CO322" s="2418"/>
      <c r="CR322" s="194"/>
      <c r="CS322" s="194"/>
      <c r="CT322" s="194"/>
      <c r="DB322" s="1226"/>
    </row>
    <row r="323" spans="1:106" s="212" customFormat="1" x14ac:dyDescent="0.2">
      <c r="A323" s="1955" t="s">
        <v>652</v>
      </c>
      <c r="B323" s="234"/>
      <c r="C323" s="234"/>
      <c r="D323" s="234"/>
      <c r="E323" s="234"/>
      <c r="F323" s="236"/>
      <c r="G323" s="234"/>
      <c r="H323" s="234"/>
      <c r="I323" s="234"/>
      <c r="J323" s="234"/>
      <c r="K323" s="236"/>
      <c r="L323" s="234"/>
      <c r="M323" s="234"/>
      <c r="N323" s="234"/>
      <c r="O323" s="234"/>
      <c r="P323" s="236"/>
      <c r="Q323" s="234"/>
      <c r="R323" s="234"/>
      <c r="S323" s="234"/>
      <c r="T323" s="234"/>
      <c r="U323" s="236"/>
      <c r="V323" s="234"/>
      <c r="W323" s="234"/>
      <c r="X323" s="234"/>
      <c r="Y323" s="234"/>
      <c r="Z323" s="236"/>
      <c r="AA323" s="234"/>
      <c r="AB323" s="234"/>
      <c r="AC323" s="234"/>
      <c r="AD323" s="234"/>
      <c r="AE323" s="236"/>
      <c r="AF323" s="234"/>
      <c r="AG323" s="234"/>
      <c r="AH323" s="234"/>
      <c r="AI323" s="234"/>
      <c r="AJ323" s="236"/>
      <c r="AK323" s="234"/>
      <c r="AL323" s="234"/>
      <c r="AM323" s="234"/>
      <c r="AN323" s="234"/>
      <c r="AO323" s="236"/>
      <c r="AP323" s="885"/>
      <c r="AQ323" s="885"/>
      <c r="AR323" s="885"/>
      <c r="AS323" s="885"/>
      <c r="AT323" s="1280"/>
      <c r="AU323" s="885">
        <f>AU322/AP322-1</f>
        <v>-0.13280344427885393</v>
      </c>
      <c r="AV323" s="885">
        <f>AV322/AQ322-1</f>
        <v>-0.22812599427298763</v>
      </c>
      <c r="AW323" s="885">
        <f>AW322/AR322-1</f>
        <v>-0.20755235530148963</v>
      </c>
      <c r="AX323" s="885">
        <f>AX322/AS322-1</f>
        <v>-0.10759677325750094</v>
      </c>
      <c r="AY323" s="1280">
        <f>+AY322/AT322-1</f>
        <v>-0.17041671846296214</v>
      </c>
      <c r="AZ323" s="885">
        <f>AZ322/AU322-1</f>
        <v>-4.1945133982560057E-2</v>
      </c>
      <c r="BA323" s="885">
        <f>BA322/AV322-1</f>
        <v>3.1602088485847668E-2</v>
      </c>
      <c r="BB323" s="885">
        <f>BB322/AW322-1</f>
        <v>-6.5200804605674012E-3</v>
      </c>
      <c r="BC323" s="885">
        <f>BC322/AX322-1</f>
        <v>2.1785783963061744E-2</v>
      </c>
      <c r="BD323" s="1280">
        <f>+BD322/AY322-1</f>
        <v>6.9928905612615111E-4</v>
      </c>
      <c r="BE323" s="885">
        <f>BE322/AZ322-1</f>
        <v>3.2487377092744962E-2</v>
      </c>
      <c r="BF323" s="885">
        <f>BF322/BA322-1</f>
        <v>9.2701118806606475E-2</v>
      </c>
      <c r="BG323" s="885">
        <f>BG322/BB322-1</f>
        <v>0.1018641346086715</v>
      </c>
      <c r="BH323" s="885">
        <f>BH322/BC322-1</f>
        <v>4.6588594704684239E-2</v>
      </c>
      <c r="BI323" s="1280">
        <f>+BI322/BD322-1</f>
        <v>6.7750361878774923E-2</v>
      </c>
      <c r="BJ323" s="885">
        <f t="shared" ref="BJ323:BQ323" si="250">BJ322/BE322-1</f>
        <v>-2.5738369474292977E-4</v>
      </c>
      <c r="BK323" s="885">
        <f t="shared" si="250"/>
        <v>-1.7430521696733425E-2</v>
      </c>
      <c r="BL323" s="885">
        <f t="shared" si="250"/>
        <v>-4.1693068052211291E-2</v>
      </c>
      <c r="BM323" s="885">
        <f t="shared" si="250"/>
        <v>-4.2872780345414863E-2</v>
      </c>
      <c r="BN323" s="1280">
        <f t="shared" si="250"/>
        <v>-2.4729255940786898E-2</v>
      </c>
      <c r="BO323" s="885">
        <f t="shared" si="250"/>
        <v>4.370213039840376E-2</v>
      </c>
      <c r="BP323" s="885">
        <f t="shared" si="250"/>
        <v>1.3025679196130291E-3</v>
      </c>
      <c r="BQ323" s="885">
        <f t="shared" si="250"/>
        <v>3.1340915101824685E-2</v>
      </c>
      <c r="BR323" s="885">
        <f>BR322/BM322-1</f>
        <v>4.250587712052889E-2</v>
      </c>
      <c r="BS323" s="1280">
        <f>BS322/BN322-1</f>
        <v>2.7928676423595533E-2</v>
      </c>
      <c r="BT323" s="1278" t="str">
        <f t="shared" ref="BT323:CM323" si="251">IF(ISERROR(BT322/BO322-1),"NM",BT322/BO322-1)</f>
        <v>NM</v>
      </c>
      <c r="BU323" s="1278" t="str">
        <f t="shared" si="251"/>
        <v>NM</v>
      </c>
      <c r="BV323" s="1278" t="str">
        <f t="shared" si="251"/>
        <v>NM</v>
      </c>
      <c r="BW323" s="1278" t="str">
        <f t="shared" si="251"/>
        <v>NM</v>
      </c>
      <c r="BX323" s="2673" t="str">
        <f t="shared" si="251"/>
        <v>NM</v>
      </c>
      <c r="BY323" s="1278" t="str">
        <f t="shared" si="251"/>
        <v>NM</v>
      </c>
      <c r="BZ323" s="1278" t="str">
        <f t="shared" si="251"/>
        <v>NM</v>
      </c>
      <c r="CA323" s="1278" t="str">
        <f t="shared" si="251"/>
        <v>NM</v>
      </c>
      <c r="CB323" s="1278" t="str">
        <f t="shared" si="251"/>
        <v>NM</v>
      </c>
      <c r="CC323" s="2673" t="str">
        <f t="shared" si="251"/>
        <v>NM</v>
      </c>
      <c r="CD323" s="1278" t="str">
        <f t="shared" si="251"/>
        <v>NM</v>
      </c>
      <c r="CE323" s="1278" t="str">
        <f t="shared" si="251"/>
        <v>NM</v>
      </c>
      <c r="CF323" s="1278" t="str">
        <f t="shared" si="251"/>
        <v>NM</v>
      </c>
      <c r="CG323" s="1278" t="str">
        <f t="shared" si="251"/>
        <v>NM</v>
      </c>
      <c r="CH323" s="2673" t="str">
        <f t="shared" si="251"/>
        <v>NM</v>
      </c>
      <c r="CI323" s="1278" t="str">
        <f t="shared" si="251"/>
        <v>NM</v>
      </c>
      <c r="CJ323" s="1278" t="str">
        <f t="shared" si="251"/>
        <v>NM</v>
      </c>
      <c r="CK323" s="1278" t="str">
        <f t="shared" si="251"/>
        <v>NM</v>
      </c>
      <c r="CL323" s="1278" t="str">
        <f t="shared" si="251"/>
        <v>NM</v>
      </c>
      <c r="CM323" s="2673" t="str">
        <f t="shared" si="251"/>
        <v>NM</v>
      </c>
      <c r="CN323" s="1278"/>
      <c r="CO323" s="1278"/>
      <c r="CR323" s="194"/>
      <c r="CS323" s="194"/>
      <c r="CT323" s="194"/>
      <c r="DB323" s="1226"/>
    </row>
    <row r="324" spans="1:106" x14ac:dyDescent="0.2">
      <c r="A324" s="1595" t="s">
        <v>359</v>
      </c>
      <c r="B324" s="1924" t="s">
        <v>673</v>
      </c>
      <c r="C324" s="1924" t="s">
        <v>673</v>
      </c>
      <c r="D324" s="1924" t="s">
        <v>673</v>
      </c>
      <c r="E324" s="1924" t="s">
        <v>673</v>
      </c>
      <c r="F324" s="1890" t="s">
        <v>673</v>
      </c>
      <c r="G324" s="1924" t="s">
        <v>673</v>
      </c>
      <c r="H324" s="1924" t="s">
        <v>673</v>
      </c>
      <c r="I324" s="1924" t="s">
        <v>673</v>
      </c>
      <c r="J324" s="1924" t="s">
        <v>673</v>
      </c>
      <c r="K324" s="1890" t="s">
        <v>673</v>
      </c>
      <c r="L324" s="1924" t="s">
        <v>673</v>
      </c>
      <c r="M324" s="1924" t="s">
        <v>673</v>
      </c>
      <c r="N324" s="1924" t="s">
        <v>673</v>
      </c>
      <c r="O324" s="1924" t="s">
        <v>673</v>
      </c>
      <c r="P324" s="1890" t="s">
        <v>673</v>
      </c>
      <c r="Q324" s="1924" t="s">
        <v>673</v>
      </c>
      <c r="R324" s="1924" t="s">
        <v>673</v>
      </c>
      <c r="S324" s="1924" t="s">
        <v>673</v>
      </c>
      <c r="T324" s="1924" t="s">
        <v>673</v>
      </c>
      <c r="U324" s="1890" t="s">
        <v>673</v>
      </c>
      <c r="V324" s="1924" t="s">
        <v>673</v>
      </c>
      <c r="W324" s="1924" t="s">
        <v>673</v>
      </c>
      <c r="X324" s="1924" t="s">
        <v>673</v>
      </c>
      <c r="Y324" s="1924" t="s">
        <v>673</v>
      </c>
      <c r="Z324" s="1890" t="s">
        <v>673</v>
      </c>
      <c r="AA324" s="1924" t="s">
        <v>673</v>
      </c>
      <c r="AB324" s="1924" t="s">
        <v>673</v>
      </c>
      <c r="AC324" s="1924" t="s">
        <v>673</v>
      </c>
      <c r="AD324" s="1924" t="s">
        <v>673</v>
      </c>
      <c r="AE324" s="1890" t="s">
        <v>673</v>
      </c>
      <c r="AF324" s="1924" t="s">
        <v>673</v>
      </c>
      <c r="AG324" s="1924" t="s">
        <v>673</v>
      </c>
      <c r="AH324" s="1924" t="s">
        <v>673</v>
      </c>
      <c r="AI324" s="1924" t="s">
        <v>673</v>
      </c>
      <c r="AJ324" s="1890" t="s">
        <v>673</v>
      </c>
      <c r="AK324" s="1924" t="s">
        <v>673</v>
      </c>
      <c r="AL324" s="1924" t="s">
        <v>673</v>
      </c>
      <c r="AM324" s="1924" t="s">
        <v>673</v>
      </c>
      <c r="AN324" s="1924" t="s">
        <v>673</v>
      </c>
      <c r="AO324" s="1890" t="s">
        <v>673</v>
      </c>
      <c r="AP324" s="886">
        <v>0.08</v>
      </c>
      <c r="AQ324" s="886">
        <v>6.9000000000000006E-2</v>
      </c>
      <c r="AR324" s="886">
        <v>8.8999999999999996E-2</v>
      </c>
      <c r="AS324" s="886">
        <v>2.9000000000000001E-2</v>
      </c>
      <c r="AT324" s="1046">
        <v>6.3E-2</v>
      </c>
      <c r="AU324" s="886">
        <v>-4.8000000000000001E-2</v>
      </c>
      <c r="AV324" s="886">
        <v>-0.111</v>
      </c>
      <c r="AW324" s="886">
        <v>-0.14399999999999999</v>
      </c>
      <c r="AX324" s="886">
        <v>-0.113</v>
      </c>
      <c r="AY324" s="1046">
        <v>-0.11</v>
      </c>
      <c r="AZ324" s="886">
        <v>-8.5999999999999993E-2</v>
      </c>
      <c r="BA324" s="886">
        <v>-2.4E-2</v>
      </c>
      <c r="BB324" s="886">
        <v>1.4999999999999999E-2</v>
      </c>
      <c r="BC324" s="886">
        <v>3.5999999999999997E-2</v>
      </c>
      <c r="BD324" s="1046">
        <v>-3.0000000000000001E-3</v>
      </c>
      <c r="BE324" s="886">
        <v>5.8000000000000003E-2</v>
      </c>
      <c r="BF324" s="886">
        <v>6.5000000000000002E-2</v>
      </c>
      <c r="BG324" s="886">
        <v>4.4999999999999998E-2</v>
      </c>
      <c r="BH324" s="886">
        <v>4.1000000000000002E-2</v>
      </c>
      <c r="BI324" s="1046">
        <v>4.7E-2</v>
      </c>
      <c r="BJ324" s="886">
        <v>2.9000000000000001E-2</v>
      </c>
      <c r="BK324" s="886">
        <v>2.5999999999999999E-2</v>
      </c>
      <c r="BL324" s="886">
        <v>3.7999999999999999E-2</v>
      </c>
      <c r="BM324" s="886">
        <v>4.0000000000000001E-3</v>
      </c>
      <c r="BN324" s="1046">
        <v>2.1999999999999999E-2</v>
      </c>
      <c r="BO324" s="886">
        <v>3.0000000000000001E-3</v>
      </c>
      <c r="BP324" s="886">
        <v>1E-3</v>
      </c>
      <c r="BQ324" s="886">
        <v>5.0000000000000001E-3</v>
      </c>
      <c r="BR324" s="886">
        <v>2.4E-2</v>
      </c>
      <c r="BS324" s="1046">
        <v>8.0000000000000002E-3</v>
      </c>
      <c r="BT324" s="2418" t="s">
        <v>673</v>
      </c>
      <c r="BU324" s="2418" t="s">
        <v>673</v>
      </c>
      <c r="BV324" s="2418" t="s">
        <v>673</v>
      </c>
      <c r="BW324" s="2418" t="s">
        <v>673</v>
      </c>
      <c r="BX324" s="2672" t="s">
        <v>673</v>
      </c>
      <c r="BY324" s="2418" t="s">
        <v>673</v>
      </c>
      <c r="BZ324" s="2418" t="s">
        <v>673</v>
      </c>
      <c r="CA324" s="2418" t="s">
        <v>673</v>
      </c>
      <c r="CB324" s="2418" t="s">
        <v>673</v>
      </c>
      <c r="CC324" s="2672" t="s">
        <v>673</v>
      </c>
      <c r="CD324" s="2418" t="s">
        <v>673</v>
      </c>
      <c r="CE324" s="2418" t="s">
        <v>673</v>
      </c>
      <c r="CF324" s="2418" t="s">
        <v>673</v>
      </c>
      <c r="CG324" s="2418" t="s">
        <v>673</v>
      </c>
      <c r="CH324" s="2672" t="s">
        <v>673</v>
      </c>
      <c r="CI324" s="2418" t="s">
        <v>673</v>
      </c>
      <c r="CJ324" s="2418" t="s">
        <v>673</v>
      </c>
      <c r="CK324" s="2418" t="s">
        <v>673</v>
      </c>
      <c r="CL324" s="2418" t="s">
        <v>673</v>
      </c>
      <c r="CM324" s="2672" t="s">
        <v>673</v>
      </c>
      <c r="CN324" s="2418"/>
      <c r="CO324" s="2418"/>
      <c r="CP324" s="886"/>
      <c r="CQ324" s="886"/>
      <c r="CR324" s="1046"/>
      <c r="CS324" s="1046"/>
      <c r="CT324" s="1046"/>
      <c r="DA324" s="212"/>
      <c r="DB324" s="1226"/>
    </row>
    <row r="325" spans="1:106" s="212" customFormat="1" x14ac:dyDescent="0.2">
      <c r="A325" s="1561" t="s">
        <v>1648</v>
      </c>
      <c r="B325" s="234"/>
      <c r="C325" s="234"/>
      <c r="D325" s="234"/>
      <c r="E325" s="234"/>
      <c r="F325" s="236"/>
      <c r="G325" s="234"/>
      <c r="H325" s="234"/>
      <c r="I325" s="234"/>
      <c r="J325" s="234"/>
      <c r="K325" s="236"/>
      <c r="L325" s="234"/>
      <c r="M325" s="234"/>
      <c r="N325" s="234"/>
      <c r="O325" s="234"/>
      <c r="P325" s="236"/>
      <c r="Q325" s="234"/>
      <c r="R325" s="234"/>
      <c r="S325" s="234"/>
      <c r="T325" s="234"/>
      <c r="U325" s="236"/>
      <c r="V325" s="234"/>
      <c r="W325" s="234"/>
      <c r="X325" s="234"/>
      <c r="Y325" s="234"/>
      <c r="Z325" s="236"/>
      <c r="AA325" s="234"/>
      <c r="AB325" s="234"/>
      <c r="AC325" s="234"/>
      <c r="AD325" s="234"/>
      <c r="AE325" s="236"/>
      <c r="AF325" s="234"/>
      <c r="AG325" s="234"/>
      <c r="AH325" s="234"/>
      <c r="AI325" s="234"/>
      <c r="AJ325" s="236"/>
      <c r="AK325" s="234"/>
      <c r="AL325" s="234"/>
      <c r="AM325" s="234"/>
      <c r="AN325" s="234"/>
      <c r="AO325" s="236"/>
      <c r="AP325" s="1564">
        <v>325.62</v>
      </c>
      <c r="AQ325" s="1564">
        <v>343.05</v>
      </c>
      <c r="AR325" s="1564">
        <v>294.99</v>
      </c>
      <c r="AS325" s="1564">
        <v>305.89</v>
      </c>
      <c r="AT325" s="1547">
        <f>AVERAGE(AP325:AS325)</f>
        <v>317.38750000000005</v>
      </c>
      <c r="AU325" s="1564">
        <v>341.39</v>
      </c>
      <c r="AV325" s="1564">
        <v>327.22000000000003</v>
      </c>
      <c r="AW325" s="1564">
        <v>282.69</v>
      </c>
      <c r="AX325" s="1564">
        <v>303.07</v>
      </c>
      <c r="AY325" s="1547">
        <f>AVERAGE(AU325:AX325)</f>
        <v>313.59249999999997</v>
      </c>
      <c r="AZ325" s="1564">
        <v>322.47000000000003</v>
      </c>
      <c r="BA325" s="1564">
        <v>317.08999999999997</v>
      </c>
      <c r="BB325" s="1564">
        <v>289.92</v>
      </c>
      <c r="BC325" s="1564">
        <v>313.56</v>
      </c>
      <c r="BD325" s="1547">
        <f>AVERAGE(AZ325:BC325)</f>
        <v>310.76</v>
      </c>
      <c r="BE325" s="1564">
        <v>325.87</v>
      </c>
      <c r="BF325" s="1564">
        <v>312.48</v>
      </c>
      <c r="BG325" s="1564">
        <v>292.33</v>
      </c>
      <c r="BH325" s="1564">
        <v>321.27999999999997</v>
      </c>
      <c r="BI325" s="1547">
        <f>AVERAGE(BE325:BH325)</f>
        <v>312.99</v>
      </c>
      <c r="BJ325" s="1564">
        <v>351.58</v>
      </c>
      <c r="BK325" s="1564">
        <v>334.07</v>
      </c>
      <c r="BL325" s="1564">
        <v>309.85000000000002</v>
      </c>
      <c r="BM325" s="1564">
        <v>339.54</v>
      </c>
      <c r="BN325" s="1996">
        <v>341.32</v>
      </c>
      <c r="BO325" s="1564">
        <v>390.45</v>
      </c>
      <c r="BP325" s="1564">
        <v>346.63</v>
      </c>
      <c r="BQ325" s="1564">
        <v>339.55</v>
      </c>
      <c r="BR325" s="1564">
        <v>375.43</v>
      </c>
      <c r="BS325" s="1996">
        <v>367.86</v>
      </c>
      <c r="BT325" s="2418" t="s">
        <v>673</v>
      </c>
      <c r="BU325" s="2418" t="s">
        <v>673</v>
      </c>
      <c r="BV325" s="2418" t="s">
        <v>673</v>
      </c>
      <c r="BW325" s="2418" t="s">
        <v>673</v>
      </c>
      <c r="BX325" s="2672" t="s">
        <v>673</v>
      </c>
      <c r="BY325" s="2418" t="s">
        <v>673</v>
      </c>
      <c r="BZ325" s="2418" t="s">
        <v>673</v>
      </c>
      <c r="CA325" s="2418" t="s">
        <v>673</v>
      </c>
      <c r="CB325" s="2418" t="s">
        <v>673</v>
      </c>
      <c r="CC325" s="2672" t="s">
        <v>673</v>
      </c>
      <c r="CD325" s="2418" t="s">
        <v>673</v>
      </c>
      <c r="CE325" s="2418" t="s">
        <v>673</v>
      </c>
      <c r="CF325" s="2418" t="s">
        <v>673</v>
      </c>
      <c r="CG325" s="2418" t="s">
        <v>673</v>
      </c>
      <c r="CH325" s="2672" t="s">
        <v>673</v>
      </c>
      <c r="CI325" s="2418" t="s">
        <v>673</v>
      </c>
      <c r="CJ325" s="2418" t="s">
        <v>673</v>
      </c>
      <c r="CK325" s="2418" t="s">
        <v>673</v>
      </c>
      <c r="CL325" s="2418" t="s">
        <v>673</v>
      </c>
      <c r="CM325" s="2672" t="s">
        <v>673</v>
      </c>
      <c r="CN325" s="2418"/>
      <c r="CO325" s="2418"/>
      <c r="CR325" s="194"/>
      <c r="CS325" s="194"/>
      <c r="CT325" s="194"/>
      <c r="DB325" s="1226"/>
    </row>
    <row r="326" spans="1:106" s="212" customFormat="1" x14ac:dyDescent="0.2">
      <c r="A326" s="1955" t="s">
        <v>652</v>
      </c>
      <c r="B326" s="234"/>
      <c r="C326" s="234"/>
      <c r="D326" s="234"/>
      <c r="E326" s="234"/>
      <c r="F326" s="236"/>
      <c r="G326" s="234"/>
      <c r="H326" s="234"/>
      <c r="I326" s="234"/>
      <c r="J326" s="234"/>
      <c r="K326" s="236"/>
      <c r="L326" s="234"/>
      <c r="M326" s="234"/>
      <c r="N326" s="234"/>
      <c r="O326" s="234"/>
      <c r="P326" s="236"/>
      <c r="Q326" s="234"/>
      <c r="R326" s="234"/>
      <c r="S326" s="234"/>
      <c r="T326" s="234"/>
      <c r="U326" s="236"/>
      <c r="V326" s="234"/>
      <c r="W326" s="234"/>
      <c r="X326" s="234"/>
      <c r="Y326" s="234"/>
      <c r="Z326" s="236"/>
      <c r="AA326" s="234"/>
      <c r="AB326" s="234"/>
      <c r="AC326" s="234"/>
      <c r="AD326" s="234"/>
      <c r="AE326" s="236"/>
      <c r="AF326" s="234"/>
      <c r="AG326" s="234"/>
      <c r="AH326" s="234"/>
      <c r="AI326" s="234"/>
      <c r="AJ326" s="236"/>
      <c r="AK326" s="234"/>
      <c r="AL326" s="234"/>
      <c r="AM326" s="234"/>
      <c r="AN326" s="234"/>
      <c r="AO326" s="236"/>
      <c r="AP326" s="885"/>
      <c r="AQ326" s="885"/>
      <c r="AR326" s="885"/>
      <c r="AS326" s="885"/>
      <c r="AT326" s="1280"/>
      <c r="AU326" s="885">
        <f>AU325/AP325-1</f>
        <v>4.8430686075793705E-2</v>
      </c>
      <c r="AV326" s="885">
        <f>AV325/AQ325-1</f>
        <v>-4.6144876840110705E-2</v>
      </c>
      <c r="AW326" s="885">
        <f>AW325/AR325-1</f>
        <v>-4.1696328689108109E-2</v>
      </c>
      <c r="AX326" s="885">
        <f>AX325/AS325-1</f>
        <v>-9.2190002942234006E-3</v>
      </c>
      <c r="AY326" s="1280">
        <f>+AY325/AT325-1</f>
        <v>-1.1956992635185903E-2</v>
      </c>
      <c r="AZ326" s="885">
        <f>AZ325/AU325-1</f>
        <v>-5.5420486833240412E-2</v>
      </c>
      <c r="BA326" s="885">
        <f>BA325/AV325-1</f>
        <v>-3.0957765417761962E-2</v>
      </c>
      <c r="BB326" s="885">
        <f>BB325/AW325-1</f>
        <v>2.5575718985461071E-2</v>
      </c>
      <c r="BC326" s="885">
        <f>BC325/AX325-1</f>
        <v>3.4612465766984624E-2</v>
      </c>
      <c r="BD326" s="1280">
        <f>+BD325/AY325-1</f>
        <v>-9.0324226504140404E-3</v>
      </c>
      <c r="BE326" s="885">
        <f>BE325/AZ325-1</f>
        <v>1.054361646044577E-2</v>
      </c>
      <c r="BF326" s="885">
        <f>BF325/BA325-1</f>
        <v>-1.4538459112554691E-2</v>
      </c>
      <c r="BG326" s="885">
        <f>BG325/BB325-1</f>
        <v>8.3126379690947605E-3</v>
      </c>
      <c r="BH326" s="885">
        <f>BH325/BC325-1</f>
        <v>2.4620487307054351E-2</v>
      </c>
      <c r="BI326" s="1280">
        <f>+BI325/BD325-1</f>
        <v>7.1759557214572389E-3</v>
      </c>
      <c r="BJ326" s="885">
        <f t="shared" ref="BJ326:BQ326" si="252">BJ325/BE325-1</f>
        <v>7.8896492466320911E-2</v>
      </c>
      <c r="BK326" s="885">
        <f t="shared" si="252"/>
        <v>6.9092421915002422E-2</v>
      </c>
      <c r="BL326" s="885">
        <f t="shared" si="252"/>
        <v>5.9932268326891025E-2</v>
      </c>
      <c r="BM326" s="885">
        <f t="shared" si="252"/>
        <v>5.6835159362550014E-2</v>
      </c>
      <c r="BN326" s="1280">
        <f t="shared" si="252"/>
        <v>9.0514073932074446E-2</v>
      </c>
      <c r="BO326" s="885">
        <f t="shared" si="252"/>
        <v>0.11055805222140047</v>
      </c>
      <c r="BP326" s="885">
        <f t="shared" si="252"/>
        <v>3.7596910827072172E-2</v>
      </c>
      <c r="BQ326" s="885">
        <f t="shared" si="252"/>
        <v>9.5852832015491218E-2</v>
      </c>
      <c r="BR326" s="885">
        <f>BR325/BM325-1</f>
        <v>0.10570183189020432</v>
      </c>
      <c r="BS326" s="1280">
        <f>BS325/BN325-1</f>
        <v>7.7756943630610698E-2</v>
      </c>
      <c r="BT326" s="1278" t="str">
        <f t="shared" ref="BT326:CM326" si="253">IF(ISERROR(BT325/BO325-1),"NM",BT325/BO325-1)</f>
        <v>NM</v>
      </c>
      <c r="BU326" s="1278" t="str">
        <f t="shared" si="253"/>
        <v>NM</v>
      </c>
      <c r="BV326" s="1278" t="str">
        <f t="shared" si="253"/>
        <v>NM</v>
      </c>
      <c r="BW326" s="1278" t="str">
        <f t="shared" si="253"/>
        <v>NM</v>
      </c>
      <c r="BX326" s="2673" t="str">
        <f t="shared" si="253"/>
        <v>NM</v>
      </c>
      <c r="BY326" s="1278" t="str">
        <f t="shared" si="253"/>
        <v>NM</v>
      </c>
      <c r="BZ326" s="1278" t="str">
        <f t="shared" si="253"/>
        <v>NM</v>
      </c>
      <c r="CA326" s="1278" t="str">
        <f t="shared" si="253"/>
        <v>NM</v>
      </c>
      <c r="CB326" s="1278" t="str">
        <f t="shared" si="253"/>
        <v>NM</v>
      </c>
      <c r="CC326" s="2673" t="str">
        <f t="shared" si="253"/>
        <v>NM</v>
      </c>
      <c r="CD326" s="1278" t="str">
        <f t="shared" si="253"/>
        <v>NM</v>
      </c>
      <c r="CE326" s="1278" t="str">
        <f t="shared" si="253"/>
        <v>NM</v>
      </c>
      <c r="CF326" s="1278" t="str">
        <f t="shared" si="253"/>
        <v>NM</v>
      </c>
      <c r="CG326" s="1278" t="str">
        <f t="shared" si="253"/>
        <v>NM</v>
      </c>
      <c r="CH326" s="2673" t="str">
        <f t="shared" si="253"/>
        <v>NM</v>
      </c>
      <c r="CI326" s="1278" t="str">
        <f t="shared" si="253"/>
        <v>NM</v>
      </c>
      <c r="CJ326" s="1278" t="str">
        <f t="shared" si="253"/>
        <v>NM</v>
      </c>
      <c r="CK326" s="1278" t="str">
        <f t="shared" si="253"/>
        <v>NM</v>
      </c>
      <c r="CL326" s="1278" t="str">
        <f t="shared" si="253"/>
        <v>NM</v>
      </c>
      <c r="CM326" s="2673" t="str">
        <f t="shared" si="253"/>
        <v>NM</v>
      </c>
      <c r="CN326" s="1278"/>
      <c r="CO326" s="1278"/>
      <c r="CR326" s="194"/>
      <c r="CS326" s="194"/>
      <c r="CT326" s="194"/>
      <c r="DB326" s="1226"/>
    </row>
    <row r="327" spans="1:106" x14ac:dyDescent="0.2">
      <c r="A327" s="1596" t="s">
        <v>359</v>
      </c>
      <c r="B327" s="1885" t="s">
        <v>673</v>
      </c>
      <c r="C327" s="1885" t="s">
        <v>673</v>
      </c>
      <c r="D327" s="1885" t="s">
        <v>673</v>
      </c>
      <c r="E327" s="1885" t="s">
        <v>673</v>
      </c>
      <c r="F327" s="1989" t="s">
        <v>673</v>
      </c>
      <c r="G327" s="1885" t="s">
        <v>673</v>
      </c>
      <c r="H327" s="1885" t="s">
        <v>673</v>
      </c>
      <c r="I327" s="1885" t="s">
        <v>673</v>
      </c>
      <c r="J327" s="1885" t="s">
        <v>673</v>
      </c>
      <c r="K327" s="1989" t="s">
        <v>673</v>
      </c>
      <c r="L327" s="1885" t="s">
        <v>673</v>
      </c>
      <c r="M327" s="1885" t="s">
        <v>673</v>
      </c>
      <c r="N327" s="1885" t="s">
        <v>673</v>
      </c>
      <c r="O327" s="1885" t="s">
        <v>673</v>
      </c>
      <c r="P327" s="1989" t="s">
        <v>673</v>
      </c>
      <c r="Q327" s="1885" t="s">
        <v>673</v>
      </c>
      <c r="R327" s="1885" t="s">
        <v>673</v>
      </c>
      <c r="S327" s="1885" t="s">
        <v>673</v>
      </c>
      <c r="T327" s="1885" t="s">
        <v>673</v>
      </c>
      <c r="U327" s="1989" t="s">
        <v>673</v>
      </c>
      <c r="V327" s="1885" t="s">
        <v>673</v>
      </c>
      <c r="W327" s="1885" t="s">
        <v>673</v>
      </c>
      <c r="X327" s="1885" t="s">
        <v>673</v>
      </c>
      <c r="Y327" s="1885" t="s">
        <v>673</v>
      </c>
      <c r="Z327" s="1989" t="s">
        <v>673</v>
      </c>
      <c r="AA327" s="1885" t="s">
        <v>673</v>
      </c>
      <c r="AB327" s="1885" t="s">
        <v>673</v>
      </c>
      <c r="AC327" s="1885" t="s">
        <v>673</v>
      </c>
      <c r="AD327" s="1885" t="s">
        <v>673</v>
      </c>
      <c r="AE327" s="1989" t="s">
        <v>673</v>
      </c>
      <c r="AF327" s="1885" t="s">
        <v>673</v>
      </c>
      <c r="AG327" s="1885" t="s">
        <v>673</v>
      </c>
      <c r="AH327" s="1885" t="s">
        <v>673</v>
      </c>
      <c r="AI327" s="1885" t="s">
        <v>673</v>
      </c>
      <c r="AJ327" s="1989" t="s">
        <v>673</v>
      </c>
      <c r="AK327" s="1885" t="s">
        <v>673</v>
      </c>
      <c r="AL327" s="1885" t="s">
        <v>673</v>
      </c>
      <c r="AM327" s="1885" t="s">
        <v>673</v>
      </c>
      <c r="AN327" s="1885" t="s">
        <v>673</v>
      </c>
      <c r="AO327" s="1989" t="s">
        <v>673</v>
      </c>
      <c r="AP327" s="1483">
        <v>7.2999999999999995E-2</v>
      </c>
      <c r="AQ327" s="1483">
        <v>9.0999999999999998E-2</v>
      </c>
      <c r="AR327" s="1483">
        <v>8.7999999999999995E-2</v>
      </c>
      <c r="AS327" s="1483">
        <v>4.5999999999999999E-2</v>
      </c>
      <c r="AT327" s="1484">
        <v>7.3999999999999996E-2</v>
      </c>
      <c r="AU327" s="1483">
        <v>-3.6999999999999998E-2</v>
      </c>
      <c r="AV327" s="1483">
        <v>-0.109</v>
      </c>
      <c r="AW327" s="1483">
        <v>-0.13700000000000001</v>
      </c>
      <c r="AX327" s="1483">
        <v>-0.14899999999999999</v>
      </c>
      <c r="AY327" s="1484">
        <v>-0.122</v>
      </c>
      <c r="AZ327" s="1483">
        <v>-6.8000000000000005E-2</v>
      </c>
      <c r="BA327" s="1483">
        <v>-3.1E-2</v>
      </c>
      <c r="BB327" s="1483">
        <v>2.8000000000000001E-2</v>
      </c>
      <c r="BC327" s="1483">
        <v>5.3999999999999999E-2</v>
      </c>
      <c r="BD327" s="1484">
        <v>4.0000000000000001E-3</v>
      </c>
      <c r="BE327" s="1483">
        <v>5.8000000000000003E-2</v>
      </c>
      <c r="BF327" s="1483">
        <v>5.1999999999999998E-2</v>
      </c>
      <c r="BG327" s="1483">
        <v>7.8E-2</v>
      </c>
      <c r="BH327" s="1483">
        <v>8.5000000000000006E-2</v>
      </c>
      <c r="BI327" s="1484">
        <v>7.0000000000000007E-2</v>
      </c>
      <c r="BJ327" s="1483">
        <v>5.6000000000000001E-2</v>
      </c>
      <c r="BK327" s="1483">
        <v>4.2000000000000003E-2</v>
      </c>
      <c r="BL327" s="1483">
        <v>2.5000000000000001E-2</v>
      </c>
      <c r="BM327" s="1483">
        <v>6.0000000000000001E-3</v>
      </c>
      <c r="BN327" s="1484">
        <v>3.5999999999999997E-2</v>
      </c>
      <c r="BO327" s="1483">
        <v>0.04</v>
      </c>
      <c r="BP327" s="1483">
        <v>8.0000000000000002E-3</v>
      </c>
      <c r="BQ327" s="1483">
        <v>7.0999999999999994E-2</v>
      </c>
      <c r="BR327" s="1483">
        <v>3.3000000000000002E-2</v>
      </c>
      <c r="BS327" s="1484">
        <v>3.9E-2</v>
      </c>
      <c r="BT327" s="1885" t="s">
        <v>673</v>
      </c>
      <c r="BU327" s="1885" t="s">
        <v>673</v>
      </c>
      <c r="BV327" s="1885" t="s">
        <v>673</v>
      </c>
      <c r="BW327" s="1885" t="s">
        <v>673</v>
      </c>
      <c r="BX327" s="1989" t="s">
        <v>673</v>
      </c>
      <c r="BY327" s="1885" t="s">
        <v>673</v>
      </c>
      <c r="BZ327" s="1885" t="s">
        <v>673</v>
      </c>
      <c r="CA327" s="1885" t="s">
        <v>673</v>
      </c>
      <c r="CB327" s="1885" t="s">
        <v>673</v>
      </c>
      <c r="CC327" s="1989" t="s">
        <v>673</v>
      </c>
      <c r="CD327" s="1885" t="s">
        <v>673</v>
      </c>
      <c r="CE327" s="1885" t="s">
        <v>673</v>
      </c>
      <c r="CF327" s="1885" t="s">
        <v>673</v>
      </c>
      <c r="CG327" s="1885" t="s">
        <v>673</v>
      </c>
      <c r="CH327" s="1989" t="s">
        <v>673</v>
      </c>
      <c r="CI327" s="1885" t="s">
        <v>673</v>
      </c>
      <c r="CJ327" s="1885" t="s">
        <v>673</v>
      </c>
      <c r="CK327" s="1885" t="s">
        <v>673</v>
      </c>
      <c r="CL327" s="1885" t="s">
        <v>673</v>
      </c>
      <c r="CM327" s="1989" t="s">
        <v>673</v>
      </c>
      <c r="CN327" s="1885"/>
      <c r="CO327" s="1885"/>
      <c r="CP327" s="1483"/>
      <c r="CQ327" s="1483"/>
      <c r="CR327" s="1484"/>
      <c r="CS327" s="1484"/>
      <c r="CT327" s="1484"/>
      <c r="DA327" s="212"/>
      <c r="DB327" s="1226"/>
    </row>
    <row r="328" spans="1:106" x14ac:dyDescent="0.2">
      <c r="BI328" s="194"/>
      <c r="BU328" s="212"/>
      <c r="BV328" s="212"/>
      <c r="BY328" s="212"/>
      <c r="BZ328" s="212"/>
      <c r="CA328" s="212"/>
      <c r="CB328" s="212"/>
      <c r="CD328" s="212"/>
      <c r="CE328" s="212"/>
      <c r="CF328" s="212"/>
      <c r="CG328" s="212"/>
      <c r="CI328" s="212"/>
      <c r="CJ328" s="212"/>
      <c r="CK328" s="212"/>
      <c r="CL328" s="212"/>
      <c r="CN328" s="212"/>
      <c r="CO328" s="212"/>
      <c r="CP328" s="212"/>
      <c r="CQ328" s="212"/>
      <c r="DA328" s="212"/>
      <c r="DB328" s="1226"/>
    </row>
    <row r="329" spans="1:106" x14ac:dyDescent="0.2">
      <c r="A329" s="2627" t="s">
        <v>2286</v>
      </c>
      <c r="BI329" s="194"/>
      <c r="BU329" s="212"/>
      <c r="BV329" s="212"/>
      <c r="DA329" s="212"/>
      <c r="DB329" s="1226"/>
    </row>
    <row r="330" spans="1:106" s="212" customFormat="1" x14ac:dyDescent="0.2">
      <c r="A330" s="873" t="s">
        <v>561</v>
      </c>
      <c r="B330" s="1053" t="str">
        <f t="shared" ref="B330:AG330" si="254">+B$5</f>
        <v>1Q00</v>
      </c>
      <c r="C330" s="1053" t="str">
        <f t="shared" si="254"/>
        <v>2Q00</v>
      </c>
      <c r="D330" s="1053" t="str">
        <f t="shared" si="254"/>
        <v>3Q00</v>
      </c>
      <c r="E330" s="1053" t="str">
        <f t="shared" si="254"/>
        <v>4Q00</v>
      </c>
      <c r="F330" s="1054">
        <f t="shared" si="254"/>
        <v>2000</v>
      </c>
      <c r="G330" s="1053" t="str">
        <f t="shared" si="254"/>
        <v>1Q01</v>
      </c>
      <c r="H330" s="1053" t="str">
        <f t="shared" si="254"/>
        <v>2Q01</v>
      </c>
      <c r="I330" s="1053" t="str">
        <f t="shared" si="254"/>
        <v>3Q01</v>
      </c>
      <c r="J330" s="1053" t="str">
        <f t="shared" si="254"/>
        <v>4Q01</v>
      </c>
      <c r="K330" s="1054">
        <f t="shared" si="254"/>
        <v>2001</v>
      </c>
      <c r="L330" s="1053" t="str">
        <f t="shared" si="254"/>
        <v>1Q02</v>
      </c>
      <c r="M330" s="1053" t="str">
        <f t="shared" si="254"/>
        <v>2Q02</v>
      </c>
      <c r="N330" s="1053" t="str">
        <f t="shared" si="254"/>
        <v>3Q02</v>
      </c>
      <c r="O330" s="1053" t="str">
        <f t="shared" si="254"/>
        <v>4Q02</v>
      </c>
      <c r="P330" s="1054">
        <f t="shared" si="254"/>
        <v>2002</v>
      </c>
      <c r="Q330" s="1053" t="str">
        <f t="shared" si="254"/>
        <v>1Q03</v>
      </c>
      <c r="R330" s="1053" t="str">
        <f t="shared" si="254"/>
        <v>2Q03</v>
      </c>
      <c r="S330" s="1053" t="str">
        <f t="shared" si="254"/>
        <v>3Q03</v>
      </c>
      <c r="T330" s="1453" t="str">
        <f t="shared" si="254"/>
        <v>4Q03</v>
      </c>
      <c r="U330" s="1054">
        <f t="shared" si="254"/>
        <v>2003</v>
      </c>
      <c r="V330" s="1053" t="str">
        <f t="shared" si="254"/>
        <v>1Q04</v>
      </c>
      <c r="W330" s="1053" t="str">
        <f t="shared" si="254"/>
        <v>2Q04</v>
      </c>
      <c r="X330" s="1053" t="str">
        <f t="shared" si="254"/>
        <v>3Q04</v>
      </c>
      <c r="Y330" s="1453" t="str">
        <f t="shared" si="254"/>
        <v>4Q04</v>
      </c>
      <c r="Z330" s="1054" t="str">
        <f t="shared" si="254"/>
        <v>2004</v>
      </c>
      <c r="AA330" s="1053" t="str">
        <f t="shared" si="254"/>
        <v>1Q05</v>
      </c>
      <c r="AB330" s="1053" t="str">
        <f t="shared" si="254"/>
        <v>2Q05</v>
      </c>
      <c r="AC330" s="1053" t="str">
        <f t="shared" si="254"/>
        <v>3Q05</v>
      </c>
      <c r="AD330" s="1453" t="str">
        <f t="shared" si="254"/>
        <v>4Q05</v>
      </c>
      <c r="AE330" s="1054">
        <f t="shared" si="254"/>
        <v>2005</v>
      </c>
      <c r="AF330" s="1053" t="str">
        <f t="shared" si="254"/>
        <v>1Q06</v>
      </c>
      <c r="AG330" s="1053" t="str">
        <f t="shared" si="254"/>
        <v>2Q06</v>
      </c>
      <c r="AH330" s="1053" t="str">
        <f t="shared" ref="AH330:BM330" si="255">+AH$5</f>
        <v>3Q06</v>
      </c>
      <c r="AI330" s="1453" t="str">
        <f t="shared" si="255"/>
        <v>4Q06</v>
      </c>
      <c r="AJ330" s="1054">
        <f t="shared" si="255"/>
        <v>2006</v>
      </c>
      <c r="AK330" s="1053" t="str">
        <f t="shared" si="255"/>
        <v>1Q07</v>
      </c>
      <c r="AL330" s="1053" t="str">
        <f t="shared" si="255"/>
        <v>2Q07</v>
      </c>
      <c r="AM330" s="1053" t="str">
        <f t="shared" si="255"/>
        <v>3Q07</v>
      </c>
      <c r="AN330" s="1053" t="str">
        <f t="shared" si="255"/>
        <v>4Q07</v>
      </c>
      <c r="AO330" s="1054" t="str">
        <f t="shared" si="255"/>
        <v>2007</v>
      </c>
      <c r="AP330" s="1053" t="str">
        <f t="shared" si="255"/>
        <v>1Q08</v>
      </c>
      <c r="AQ330" s="1053" t="str">
        <f t="shared" si="255"/>
        <v>2Q08</v>
      </c>
      <c r="AR330" s="1053" t="str">
        <f t="shared" si="255"/>
        <v>3Q08</v>
      </c>
      <c r="AS330" s="1053" t="str">
        <f t="shared" si="255"/>
        <v>4Q08</v>
      </c>
      <c r="AT330" s="1054" t="str">
        <f t="shared" si="255"/>
        <v>2008</v>
      </c>
      <c r="AU330" s="1053" t="str">
        <f t="shared" si="255"/>
        <v>1Q09</v>
      </c>
      <c r="AV330" s="1053" t="str">
        <f t="shared" si="255"/>
        <v>2Q09</v>
      </c>
      <c r="AW330" s="1053" t="str">
        <f t="shared" si="255"/>
        <v>3Q09</v>
      </c>
      <c r="AX330" s="1053" t="str">
        <f t="shared" si="255"/>
        <v>4Q09</v>
      </c>
      <c r="AY330" s="1054" t="str">
        <f t="shared" si="255"/>
        <v>2009</v>
      </c>
      <c r="AZ330" s="1053" t="str">
        <f t="shared" si="255"/>
        <v>1Q10</v>
      </c>
      <c r="BA330" s="1053" t="str">
        <f t="shared" si="255"/>
        <v>2Q10</v>
      </c>
      <c r="BB330" s="1053" t="str">
        <f t="shared" si="255"/>
        <v>3Q10</v>
      </c>
      <c r="BC330" s="1053" t="str">
        <f t="shared" si="255"/>
        <v>4Q10</v>
      </c>
      <c r="BD330" s="1054" t="str">
        <f t="shared" si="255"/>
        <v>2010</v>
      </c>
      <c r="BE330" s="1053" t="str">
        <f t="shared" si="255"/>
        <v>1Q11</v>
      </c>
      <c r="BF330" s="1053" t="str">
        <f t="shared" si="255"/>
        <v>2Q11</v>
      </c>
      <c r="BG330" s="1053" t="str">
        <f t="shared" si="255"/>
        <v>3Q11</v>
      </c>
      <c r="BH330" s="1053" t="str">
        <f t="shared" si="255"/>
        <v>4Q11</v>
      </c>
      <c r="BI330" s="1054">
        <f t="shared" si="255"/>
        <v>2011</v>
      </c>
      <c r="BJ330" s="1053" t="str">
        <f t="shared" si="255"/>
        <v>1Q12</v>
      </c>
      <c r="BK330" s="1053" t="str">
        <f t="shared" si="255"/>
        <v>2Q12</v>
      </c>
      <c r="BL330" s="1053" t="str">
        <f t="shared" si="255"/>
        <v>3Q12</v>
      </c>
      <c r="BM330" s="1053" t="str">
        <f t="shared" si="255"/>
        <v>4Q12</v>
      </c>
      <c r="BN330" s="1054">
        <f t="shared" ref="BN330:CT330" si="256">+BN$5</f>
        <v>2012</v>
      </c>
      <c r="BO330" s="1053" t="str">
        <f t="shared" si="256"/>
        <v>1Q13</v>
      </c>
      <c r="BP330" s="1053" t="str">
        <f t="shared" si="256"/>
        <v>2Q13</v>
      </c>
      <c r="BQ330" s="1053" t="str">
        <f t="shared" si="256"/>
        <v>3Q13</v>
      </c>
      <c r="BR330" s="1053" t="str">
        <f t="shared" si="256"/>
        <v>4Q13</v>
      </c>
      <c r="BS330" s="1054">
        <f t="shared" si="256"/>
        <v>2013</v>
      </c>
      <c r="BT330" s="1053" t="str">
        <f t="shared" si="256"/>
        <v>1Q14</v>
      </c>
      <c r="BU330" s="1053" t="str">
        <f t="shared" si="256"/>
        <v>2Q14</v>
      </c>
      <c r="BV330" s="1053" t="str">
        <f t="shared" si="256"/>
        <v>3Q14</v>
      </c>
      <c r="BW330" s="1053" t="str">
        <f t="shared" si="256"/>
        <v>4Q14</v>
      </c>
      <c r="BX330" s="1054">
        <f t="shared" si="256"/>
        <v>2014</v>
      </c>
      <c r="BY330" s="1053" t="str">
        <f t="shared" si="256"/>
        <v>1Q15</v>
      </c>
      <c r="BZ330" s="1053" t="str">
        <f t="shared" si="256"/>
        <v>2Q15</v>
      </c>
      <c r="CA330" s="1053" t="str">
        <f t="shared" si="256"/>
        <v>3Q15</v>
      </c>
      <c r="CB330" s="1053" t="str">
        <f t="shared" si="256"/>
        <v>4Q15</v>
      </c>
      <c r="CC330" s="1054">
        <f t="shared" si="256"/>
        <v>2015</v>
      </c>
      <c r="CD330" s="1053" t="str">
        <f t="shared" si="256"/>
        <v>1Q16</v>
      </c>
      <c r="CE330" s="1053" t="str">
        <f t="shared" si="256"/>
        <v>2Q16</v>
      </c>
      <c r="CF330" s="1053" t="str">
        <f t="shared" si="256"/>
        <v>3Q16</v>
      </c>
      <c r="CG330" s="1053" t="str">
        <f t="shared" si="256"/>
        <v>4Q16</v>
      </c>
      <c r="CH330" s="1054">
        <f t="shared" si="256"/>
        <v>2016</v>
      </c>
      <c r="CI330" s="1053" t="str">
        <f t="shared" si="256"/>
        <v>1Q17</v>
      </c>
      <c r="CJ330" s="1053" t="str">
        <f t="shared" si="256"/>
        <v>2Q17</v>
      </c>
      <c r="CK330" s="1053" t="str">
        <f t="shared" si="256"/>
        <v>3Q17</v>
      </c>
      <c r="CL330" s="1053" t="str">
        <f t="shared" si="256"/>
        <v>4Q17A</v>
      </c>
      <c r="CM330" s="1054" t="str">
        <f t="shared" si="256"/>
        <v>2017A</v>
      </c>
      <c r="CN330" s="1053" t="str">
        <f t="shared" si="256"/>
        <v>1Q18E</v>
      </c>
      <c r="CO330" s="1053" t="str">
        <f t="shared" si="256"/>
        <v>2Q18E</v>
      </c>
      <c r="CP330" s="1053" t="str">
        <f t="shared" si="256"/>
        <v>3Q18E</v>
      </c>
      <c r="CQ330" s="1053" t="str">
        <f t="shared" si="256"/>
        <v>4Q18E</v>
      </c>
      <c r="CR330" s="1054" t="str">
        <f t="shared" si="256"/>
        <v>2018E</v>
      </c>
      <c r="CS330" s="1054" t="str">
        <f t="shared" si="256"/>
        <v>2019E</v>
      </c>
      <c r="CT330" s="1054" t="str">
        <f t="shared" si="256"/>
        <v>2020E</v>
      </c>
      <c r="DB330" s="1226"/>
    </row>
    <row r="331" spans="1:106" s="212" customFormat="1" x14ac:dyDescent="0.2">
      <c r="BS331" s="197"/>
      <c r="BX331" s="3034"/>
      <c r="CC331" s="197"/>
      <c r="CD331" s="2449"/>
      <c r="CH331" s="197"/>
      <c r="CM331" s="197"/>
      <c r="CR331" s="197"/>
      <c r="CS331" s="197"/>
      <c r="CT331" s="197"/>
      <c r="DB331" s="1226"/>
    </row>
    <row r="332" spans="1:106" s="212" customFormat="1" x14ac:dyDescent="0.2">
      <c r="A332" s="1437" t="s">
        <v>563</v>
      </c>
      <c r="B332" s="1499"/>
      <c r="C332" s="1499"/>
      <c r="D332" s="1499"/>
      <c r="E332" s="1499"/>
      <c r="F332" s="1500"/>
      <c r="G332" s="1499"/>
      <c r="H332" s="1499"/>
      <c r="I332" s="1499"/>
      <c r="J332" s="1499"/>
      <c r="K332" s="1500"/>
      <c r="L332" s="1499"/>
      <c r="M332" s="1499"/>
      <c r="N332" s="1499"/>
      <c r="O332" s="1499"/>
      <c r="P332" s="1500"/>
      <c r="Q332" s="1499"/>
      <c r="R332" s="1499"/>
      <c r="S332" s="1499"/>
      <c r="T332" s="1499"/>
      <c r="U332" s="1500"/>
      <c r="V332" s="1499"/>
      <c r="W332" s="1499"/>
      <c r="X332" s="1499"/>
      <c r="Y332" s="1499"/>
      <c r="Z332" s="1500"/>
      <c r="AA332" s="1499"/>
      <c r="AB332" s="1499"/>
      <c r="AC332" s="1499"/>
      <c r="AD332" s="1499"/>
      <c r="AE332" s="1500"/>
      <c r="AF332" s="1499"/>
      <c r="AG332" s="1499"/>
      <c r="AH332" s="1499"/>
      <c r="AI332" s="1499"/>
      <c r="AJ332" s="1500"/>
      <c r="AK332" s="1499"/>
      <c r="AL332" s="1499"/>
      <c r="AM332" s="1499"/>
      <c r="AN332" s="1499"/>
      <c r="AO332" s="1500"/>
      <c r="AP332" s="1499"/>
      <c r="AQ332" s="1499"/>
      <c r="AR332" s="1499"/>
      <c r="AS332" s="1499"/>
      <c r="AT332" s="1500"/>
      <c r="AU332" s="1499"/>
      <c r="AV332" s="1499"/>
      <c r="AW332" s="1499"/>
      <c r="AX332" s="1499"/>
      <c r="AY332" s="1500"/>
      <c r="AZ332" s="1499"/>
      <c r="BA332" s="1499"/>
      <c r="BB332" s="1499"/>
      <c r="BC332" s="1499"/>
      <c r="BD332" s="1500"/>
      <c r="BE332" s="1499"/>
      <c r="BF332" s="1499"/>
      <c r="BG332" s="1499"/>
      <c r="BH332" s="1499"/>
      <c r="BI332" s="1500"/>
      <c r="BJ332" s="1499"/>
      <c r="BK332" s="1499"/>
      <c r="BL332" s="1499"/>
      <c r="BM332" s="1499"/>
      <c r="BN332" s="1500"/>
      <c r="BO332" s="1838"/>
      <c r="BP332" s="1499"/>
      <c r="BQ332" s="1499"/>
      <c r="BR332" s="1503"/>
      <c r="BS332" s="1500"/>
      <c r="BT332" s="1838"/>
      <c r="BU332" s="1499"/>
      <c r="BV332" s="1499"/>
      <c r="BW332" s="1503"/>
      <c r="BX332" s="1500"/>
      <c r="BY332" s="1499"/>
      <c r="BZ332" s="1499"/>
      <c r="CA332" s="1499"/>
      <c r="CB332" s="1503"/>
      <c r="CC332" s="1500"/>
      <c r="CD332" s="1499"/>
      <c r="CE332" s="1499"/>
      <c r="CF332" s="1499"/>
      <c r="CG332" s="1503"/>
      <c r="CH332" s="1500"/>
      <c r="CI332" s="1499"/>
      <c r="CJ332" s="1499"/>
      <c r="CK332" s="1499"/>
      <c r="CL332" s="1499"/>
      <c r="CM332" s="1500"/>
      <c r="CN332" s="1499"/>
      <c r="CO332" s="1499"/>
      <c r="CP332" s="1499"/>
      <c r="CQ332" s="1499"/>
      <c r="CR332" s="1500"/>
      <c r="CS332" s="1500"/>
      <c r="CT332" s="1500"/>
      <c r="DB332" s="1226"/>
    </row>
    <row r="333" spans="1:106" s="212" customFormat="1" x14ac:dyDescent="0.2">
      <c r="A333" s="1434" t="s">
        <v>346</v>
      </c>
      <c r="B333" s="777"/>
      <c r="C333" s="777"/>
      <c r="D333" s="777"/>
      <c r="E333" s="777"/>
      <c r="F333" s="235"/>
      <c r="G333" s="777"/>
      <c r="H333" s="777"/>
      <c r="I333" s="777"/>
      <c r="J333" s="777"/>
      <c r="K333" s="235"/>
      <c r="L333" s="777"/>
      <c r="M333" s="777"/>
      <c r="N333" s="777"/>
      <c r="O333" s="777"/>
      <c r="P333" s="631"/>
      <c r="Q333" s="777"/>
      <c r="R333" s="777"/>
      <c r="S333" s="777"/>
      <c r="T333" s="777"/>
      <c r="U333" s="631"/>
      <c r="V333" s="777"/>
      <c r="W333" s="777"/>
      <c r="X333" s="777"/>
      <c r="Y333" s="777"/>
      <c r="Z333" s="631"/>
      <c r="AA333" s="275"/>
      <c r="AB333" s="275"/>
      <c r="AC333" s="275"/>
      <c r="AD333" s="275"/>
      <c r="AE333" s="631"/>
      <c r="AF333" s="275"/>
      <c r="AG333" s="275"/>
      <c r="AH333" s="275"/>
      <c r="AI333" s="275"/>
      <c r="AJ333" s="631"/>
      <c r="AK333" s="1466">
        <f>+Rooms!AM461*AK$63/1000000*AK$4</f>
        <v>735.33213751092558</v>
      </c>
      <c r="AL333" s="1466">
        <f>+Rooms!AN461*AL$63/1000000*AL$4</f>
        <v>824.5694261800802</v>
      </c>
      <c r="AM333" s="1466">
        <f>+Rooms!AO461*AM$63/1000000*AM$4</f>
        <v>777.08141269500004</v>
      </c>
      <c r="AN333" s="1466">
        <f>+Rooms!AP461*AN$63/1000000*AN$4</f>
        <v>1049.6210774808001</v>
      </c>
      <c r="AO333" s="1565">
        <f t="shared" ref="AO333:AO339" si="257">+SUM(AK333:AN333)</f>
        <v>3386.6040538668058</v>
      </c>
      <c r="AP333" s="1466">
        <f>+Rooms!AR461*AP$63/1000000*AP$4</f>
        <v>763.82577225360012</v>
      </c>
      <c r="AQ333" s="1466">
        <f>+Rooms!AS461*AQ$63/1000000*AQ$4</f>
        <v>845.32986300671996</v>
      </c>
      <c r="AR333" s="1466">
        <f>+Rooms!AT461*AR$63/1000000*AR$4</f>
        <v>779.22967601052005</v>
      </c>
      <c r="AS333" s="1466">
        <f>+Rooms!AU461*AS$63/1000000*AS$4</f>
        <v>974.77086306599995</v>
      </c>
      <c r="AT333" s="1565">
        <f t="shared" ref="AT333:AT339" si="258">+SUM(AP333:AS333)</f>
        <v>3363.1561743368402</v>
      </c>
      <c r="AU333" s="1466">
        <f>+Rooms!AW461*AU$63/1000000*AU$4</f>
        <v>634.56692117363991</v>
      </c>
      <c r="AV333" s="1466">
        <f>+Rooms!AX461*AV$63/1000000*AV$4</f>
        <v>659.91340733219999</v>
      </c>
      <c r="AW333" s="1466">
        <f>+Rooms!AY461*AW$63/1000000*AW$4</f>
        <v>615.04393857479999</v>
      </c>
      <c r="AX333" s="1466">
        <f>+Rooms!AZ461*AX$63/1000000*AX$4</f>
        <v>812.81844349440007</v>
      </c>
      <c r="AY333" s="1565">
        <f t="shared" ref="AY333:AY339" si="259">+SUM(AU333:AX333)</f>
        <v>2722.3427105750397</v>
      </c>
      <c r="AZ333" s="1466">
        <f>+Rooms!BB461*AZ$63/1000000*AZ$4</f>
        <v>621.35699325000007</v>
      </c>
      <c r="BA333" s="1466">
        <f>+Rooms!BC461*BA$63/1000000*BA$4</f>
        <v>706.87170817200001</v>
      </c>
      <c r="BB333" s="1466">
        <f>+Rooms!BD461*BB$63/1000000*BB$4</f>
        <v>659.19636781151996</v>
      </c>
      <c r="BC333" s="1466">
        <f>+Rooms!BE461*BC$63/1000000*BC$4</f>
        <v>873.53080635744004</v>
      </c>
      <c r="BD333" s="1565">
        <f t="shared" ref="BD333:BD339" si="260">+SUM(AZ333:BC333)</f>
        <v>2860.9558755909602</v>
      </c>
      <c r="BE333" s="1466">
        <f>+Rooms!BG461*BE$63/1000000*BE$4</f>
        <v>676.37084074560005</v>
      </c>
      <c r="BF333" s="1466">
        <f>+Rooms!BH461*BF$63/1000000*BF$4</f>
        <v>770.46047206127969</v>
      </c>
      <c r="BG333" s="1466">
        <f>+Rooms!BI461*BG$63/1000000*BG$4</f>
        <v>710.19434566079997</v>
      </c>
      <c r="BH333" s="1466">
        <f>+Rooms!BJ461*BH$63/1000000*BH$4</f>
        <v>923.75504875583988</v>
      </c>
      <c r="BI333" s="1565">
        <f t="shared" ref="BI333:BI339" si="261">+SUM(BE333:BH333)</f>
        <v>3080.78070722352</v>
      </c>
      <c r="BJ333" s="1466">
        <f>+Rooms!BL461*BJ$63/1000000*BJ$4</f>
        <v>724.17037440384001</v>
      </c>
      <c r="BK333" s="1466">
        <f>+Rooms!BM461*BK$63/1000000*BK$4</f>
        <v>805.70093990400005</v>
      </c>
      <c r="BL333" s="1466">
        <f>+Rooms!BN461*BL$63/1000000*BL$4</f>
        <v>742.69807295040005</v>
      </c>
      <c r="BM333" s="1466">
        <f>+Rooms!BO461*BM$63/1000000*BM$4</f>
        <v>978.29961279231998</v>
      </c>
      <c r="BN333" s="1565">
        <f t="shared" ref="BN333:BN339" si="262">+SUM(BJ333:BM333)</f>
        <v>3250.8690000505603</v>
      </c>
      <c r="BO333" s="1466">
        <f>+Rooms!BQ461*BO$63/1000000*BO$4</f>
        <v>828.3200479827002</v>
      </c>
      <c r="BP333" s="1466">
        <f>+Rooms!BR461*BP$63/1000000*BP$4</f>
        <v>924.43641671744979</v>
      </c>
      <c r="BQ333" s="1466">
        <f>+Rooms!BS461*BQ$63/1000000*BQ$4</f>
        <v>858.96571622400006</v>
      </c>
      <c r="BR333" s="1466">
        <f>+Rooms!BT461*BR$63/1000000*BR$4</f>
        <v>802.12935505919995</v>
      </c>
      <c r="BS333" s="1565">
        <f t="shared" ref="BS333:BS339" si="263">+SUM(BO333:BR333)</f>
        <v>3413.85153598335</v>
      </c>
      <c r="BT333" s="1466">
        <f>+Rooms!BV461*BT$63/1000000*BT$4</f>
        <v>851.15021534999994</v>
      </c>
      <c r="BU333" s="1466">
        <f>+Rooms!BW461*BU$63/1000000*BU$4</f>
        <v>954.07249428035982</v>
      </c>
      <c r="BV333" s="1466">
        <f>+Rooms!BX461*BV$63/1000000*BV$4</f>
        <v>919.24411734640023</v>
      </c>
      <c r="BW333" s="1466">
        <f>+Rooms!BY461*BW$63/1000000*BW$4</f>
        <v>850.11791336192005</v>
      </c>
      <c r="BX333" s="1565">
        <f>+SUM(BT333:BW333)</f>
        <v>3574.5847403386797</v>
      </c>
      <c r="BY333" s="1466">
        <f>+Rooms!CA461*BY$63/1000000*BY$4</f>
        <v>892.39398092999988</v>
      </c>
      <c r="BZ333" s="1466">
        <f>+Rooms!CB461*BZ$63/1000000*BZ$4</f>
        <v>999.42383627449999</v>
      </c>
      <c r="CA333" s="1466">
        <f>+Rooms!CC461*CA$63/1000000*CA$4</f>
        <v>968.61199069440022</v>
      </c>
      <c r="CB333" s="1466">
        <f>+Rooms!CD461*CB$63/1000000*CB$4</f>
        <v>885.01184511948009</v>
      </c>
      <c r="CC333" s="1565">
        <f t="shared" ref="CC333:CC341" si="264">+SUM(BY333:CB333)</f>
        <v>3745.4416530183807</v>
      </c>
      <c r="CD333" s="1466">
        <f>+Rooms!CF461*CD$63/1000000*CD$4</f>
        <v>906.9363773870399</v>
      </c>
      <c r="CE333" s="1466">
        <f>+Rooms!CG461*CE$63/1000000*CE$4</f>
        <v>986.62785215904012</v>
      </c>
      <c r="CF333" s="646">
        <f>+(Rooms!CH461+Rooms!CH460)*CF$63/1000000*CF$4</f>
        <v>934.56786340511997</v>
      </c>
      <c r="CG333" s="1466"/>
      <c r="CH333" s="1565"/>
      <c r="CI333" s="1466"/>
      <c r="CJ333" s="1466"/>
      <c r="CK333" s="1466"/>
      <c r="CL333" s="1466"/>
      <c r="CM333" s="1565"/>
      <c r="CN333" s="1466"/>
      <c r="CO333" s="1466"/>
      <c r="CP333" s="1466"/>
      <c r="CQ333" s="1466"/>
      <c r="CR333" s="1565"/>
      <c r="CS333" s="1565"/>
      <c r="CT333" s="1565"/>
      <c r="DB333" s="1226"/>
    </row>
    <row r="334" spans="1:106" s="212" customFormat="1" x14ac:dyDescent="0.2">
      <c r="A334" s="1434" t="s">
        <v>1385</v>
      </c>
      <c r="B334" s="777"/>
      <c r="C334" s="777"/>
      <c r="D334" s="777"/>
      <c r="E334" s="777"/>
      <c r="F334" s="235"/>
      <c r="G334" s="777"/>
      <c r="H334" s="777"/>
      <c r="I334" s="777"/>
      <c r="J334" s="777"/>
      <c r="K334" s="235"/>
      <c r="L334" s="777"/>
      <c r="M334" s="777"/>
      <c r="N334" s="777"/>
      <c r="O334" s="777"/>
      <c r="P334" s="631"/>
      <c r="Q334" s="777"/>
      <c r="R334" s="777"/>
      <c r="S334" s="777"/>
      <c r="T334" s="777"/>
      <c r="U334" s="631"/>
      <c r="V334" s="777"/>
      <c r="W334" s="777"/>
      <c r="X334" s="777"/>
      <c r="Y334" s="777"/>
      <c r="Z334" s="631"/>
      <c r="AA334" s="275"/>
      <c r="AB334" s="275"/>
      <c r="AC334" s="275"/>
      <c r="AD334" s="275"/>
      <c r="AE334" s="631"/>
      <c r="AF334" s="275"/>
      <c r="AG334" s="275"/>
      <c r="AH334" s="275"/>
      <c r="AI334" s="275"/>
      <c r="AJ334" s="631"/>
      <c r="AK334" s="646">
        <f>+Rooms!AM462*AK$66/1000000*AK$4</f>
        <v>130.97216074934121</v>
      </c>
      <c r="AL334" s="646">
        <f>+Rooms!AN462*AL$66/1000000*AL$4</f>
        <v>151.7188660848</v>
      </c>
      <c r="AM334" s="646">
        <f>+Rooms!AO462*AM$66/1000000*AM$4</f>
        <v>137.50806298319998</v>
      </c>
      <c r="AN334" s="646">
        <f>+Rooms!AP462*AN$66/1000000*AN$4</f>
        <v>193.1652331686</v>
      </c>
      <c r="AO334" s="1504">
        <f t="shared" si="257"/>
        <v>613.36432298594116</v>
      </c>
      <c r="AP334" s="646">
        <f>+Rooms!AR462*AP$66/1000000*AP$4</f>
        <v>140.16247998480003</v>
      </c>
      <c r="AQ334" s="646">
        <f>+Rooms!AS462*AQ$66/1000000*AQ$4</f>
        <v>154.331749656</v>
      </c>
      <c r="AR334" s="646">
        <f>+Rooms!AT462*AR$66/1000000*AR$4</f>
        <v>137.40637224300002</v>
      </c>
      <c r="AS334" s="646">
        <f>+Rooms!AU462*AS$66/1000000*AS$4</f>
        <v>176.2593380262</v>
      </c>
      <c r="AT334" s="1504">
        <f t="shared" si="258"/>
        <v>608.15993991000005</v>
      </c>
      <c r="AU334" s="646">
        <f>+Rooms!AW462*AU$66/1000000*AU$4</f>
        <v>122.57936459999999</v>
      </c>
      <c r="AV334" s="646">
        <f>+Rooms!AX462*AV$66/1000000*AV$4</f>
        <v>125.17337226240001</v>
      </c>
      <c r="AW334" s="646">
        <f>+Rooms!AY462*AW$66/1000000*AW$4</f>
        <v>111.99577947264001</v>
      </c>
      <c r="AX334" s="646">
        <f>+Rooms!AZ462*AX$66/1000000*AX$4</f>
        <v>149.52787379711998</v>
      </c>
      <c r="AY334" s="1504">
        <f t="shared" si="259"/>
        <v>509.27639013215997</v>
      </c>
      <c r="AZ334" s="646">
        <f>+Rooms!BB462*AZ$66/1000000*AZ$4</f>
        <v>114.47660956032001</v>
      </c>
      <c r="BA334" s="646">
        <f>+Rooms!BC462*BA$66/1000000*BA$4</f>
        <v>137.00545541759996</v>
      </c>
      <c r="BB334" s="646">
        <f>+Rooms!BD462*BB$66/1000000*BB$4</f>
        <v>123.9115920336</v>
      </c>
      <c r="BC334" s="646">
        <f>+Rooms!BE462*BC$66/1000000*BC$4</f>
        <v>167.2484360176</v>
      </c>
      <c r="BD334" s="1504">
        <f t="shared" si="260"/>
        <v>542.64209302911991</v>
      </c>
      <c r="BE334" s="646">
        <f>+Rooms!BG462*BE$66/1000000*BE$4</f>
        <v>134.65860899904001</v>
      </c>
      <c r="BF334" s="646">
        <f>+Rooms!BH462*BF$66/1000000*BF$4</f>
        <v>150.69716939004002</v>
      </c>
      <c r="BG334" s="646">
        <f>+Rooms!BI462*BG$66/1000000*BG$4</f>
        <v>138.76679920320001</v>
      </c>
      <c r="BH334" s="646">
        <f>+Rooms!BJ462*BH$66/1000000*BH$4</f>
        <v>192.7175061504</v>
      </c>
      <c r="BI334" s="1504">
        <f t="shared" si="261"/>
        <v>616.84008374268001</v>
      </c>
      <c r="BJ334" s="646">
        <f>+Rooms!BL462*BJ$66/1000000*BJ$4</f>
        <v>146.12352325200001</v>
      </c>
      <c r="BK334" s="646">
        <f>+Rooms!BM462*BK$66/1000000*BK$4</f>
        <v>164.2082055768</v>
      </c>
      <c r="BL334" s="646">
        <f>+Rooms!BN462*BL$66/1000000*BL$4</f>
        <v>141.74337052259997</v>
      </c>
      <c r="BM334" s="646">
        <f>+Rooms!BO462*BM$66/1000000*BM$4</f>
        <v>190.59255784800001</v>
      </c>
      <c r="BN334" s="1504">
        <f t="shared" si="262"/>
        <v>642.66765719940008</v>
      </c>
      <c r="BO334" s="646">
        <f>+Rooms!BQ462*BO$66/1000000*BO$4</f>
        <v>158.46087939045</v>
      </c>
      <c r="BP334" s="646">
        <f>+Rooms!BR462*BP$66/1000000*BP$4</f>
        <v>170.95661615032</v>
      </c>
      <c r="BQ334" s="646">
        <f>+Rooms!BS462*BQ$66/1000000*BQ$4</f>
        <v>146.60902074999998</v>
      </c>
      <c r="BR334" s="646">
        <f>+Rooms!BT462*BR$66/1000000*BR$4</f>
        <v>139.80517547000002</v>
      </c>
      <c r="BS334" s="1504">
        <f t="shared" si="263"/>
        <v>615.83169176077001</v>
      </c>
      <c r="BT334" s="646">
        <f>+Rooms!BV462*BT$66/1000000*BT$4</f>
        <v>146.28915251999996</v>
      </c>
      <c r="BU334" s="646">
        <f>+Rooms!BW462*BU$66/1000000*BU$4</f>
        <v>170.60457181950002</v>
      </c>
      <c r="BV334" s="646">
        <f>+Rooms!BX462*BV$66/1000000*BV$4</f>
        <v>162.05374607639999</v>
      </c>
      <c r="BW334" s="646">
        <f>+Rooms!BY462*BW$66/1000000*BW$4</f>
        <v>146.62031215104</v>
      </c>
      <c r="BX334" s="1504">
        <f t="shared" ref="BX334:BX339" si="265">+SUM(BT334:BW334)</f>
        <v>625.56778256693997</v>
      </c>
      <c r="BY334" s="646">
        <f>+Rooms!CA462*BY$66/1000000*BY$4</f>
        <v>156.70877072579998</v>
      </c>
      <c r="BZ334" s="646">
        <f>+Rooms!CB462*BZ$66/1000000*BZ$4</f>
        <v>170.47135428960001</v>
      </c>
      <c r="CA334" s="646">
        <f>+Rooms!CC462*CA$66/1000000*CA$4</f>
        <v>131.80118782008</v>
      </c>
      <c r="CB334" s="646">
        <f>+Rooms!CD462*CB$66/1000000*CB$4</f>
        <v>123.86361677796</v>
      </c>
      <c r="CC334" s="1504">
        <f t="shared" si="264"/>
        <v>582.84492961344006</v>
      </c>
      <c r="CD334" s="646">
        <f>+Rooms!CF462*CD$66/1000000*CD$4</f>
        <v>131.80881252357</v>
      </c>
      <c r="CE334" s="646">
        <f>+Rooms!CG462*CE$66/1000000*CE$4</f>
        <v>150.40194950872001</v>
      </c>
      <c r="CF334" s="646">
        <f>+Rooms!CH462*CF$66/1000000*CF$4</f>
        <v>134.97623680500001</v>
      </c>
      <c r="CG334" s="646"/>
      <c r="CH334" s="1504"/>
      <c r="CI334" s="646"/>
      <c r="CJ334" s="646"/>
      <c r="CK334" s="646"/>
      <c r="CL334" s="646"/>
      <c r="CM334" s="1504"/>
      <c r="CN334" s="646"/>
      <c r="CO334" s="646"/>
      <c r="CP334" s="646"/>
      <c r="CQ334" s="646"/>
      <c r="CR334" s="1505"/>
      <c r="CS334" s="1505"/>
      <c r="CT334" s="1505"/>
      <c r="DB334" s="1226"/>
    </row>
    <row r="335" spans="1:106" s="212" customFormat="1" x14ac:dyDescent="0.2">
      <c r="A335" s="1434" t="s">
        <v>2065</v>
      </c>
      <c r="B335" s="777"/>
      <c r="C335" s="777"/>
      <c r="D335" s="777"/>
      <c r="E335" s="777"/>
      <c r="F335" s="235"/>
      <c r="G335" s="777"/>
      <c r="H335" s="777"/>
      <c r="I335" s="777"/>
      <c r="J335" s="777"/>
      <c r="K335" s="235"/>
      <c r="L335" s="777"/>
      <c r="M335" s="777"/>
      <c r="N335" s="777"/>
      <c r="O335" s="777"/>
      <c r="P335" s="631"/>
      <c r="Q335" s="777"/>
      <c r="R335" s="777"/>
      <c r="S335" s="777"/>
      <c r="T335" s="777"/>
      <c r="U335" s="631"/>
      <c r="V335" s="777"/>
      <c r="W335" s="777"/>
      <c r="X335" s="777"/>
      <c r="Y335" s="777"/>
      <c r="Z335" s="631"/>
      <c r="AA335" s="275"/>
      <c r="AB335" s="275"/>
      <c r="AC335" s="275"/>
      <c r="AD335" s="275"/>
      <c r="AE335" s="631"/>
      <c r="AF335" s="275"/>
      <c r="AG335" s="275"/>
      <c r="AH335" s="275"/>
      <c r="AI335" s="275"/>
      <c r="AJ335" s="631"/>
      <c r="AK335" s="646">
        <f>+Rooms!AM465*AK$72/1000000*AK$4</f>
        <v>230.6813775107168</v>
      </c>
      <c r="AL335" s="646">
        <f>+Rooms!AN465*AL$72/1000000*AL$4</f>
        <v>256.2567864948</v>
      </c>
      <c r="AM335" s="646">
        <f>+Rooms!AO465*AM$72/1000000*AM$4</f>
        <v>203.6056061088</v>
      </c>
      <c r="AN335" s="646">
        <f>+Rooms!AP465*AN$72/1000000*AN$4</f>
        <v>305.61662853183003</v>
      </c>
      <c r="AO335" s="1504">
        <f t="shared" si="257"/>
        <v>996.16039864614686</v>
      </c>
      <c r="AP335" s="646">
        <f>+Rooms!AR465*AP$72/1000000*AP$4</f>
        <v>236.46086617104001</v>
      </c>
      <c r="AQ335" s="646">
        <f>+Rooms!AS465*AQ$72/1000000*AQ$4</f>
        <v>266.32090051727999</v>
      </c>
      <c r="AR335" s="646">
        <f>+Rooms!AT465*AR$72/1000000*AR$4</f>
        <v>203.79510360299997</v>
      </c>
      <c r="AS335" s="646">
        <f>+Rooms!AU465*AS$72/1000000*AS$4</f>
        <v>266.47741815084004</v>
      </c>
      <c r="AT335" s="1504">
        <f t="shared" si="258"/>
        <v>973.05428844215999</v>
      </c>
      <c r="AU335" s="646">
        <f>+Rooms!AW465*AU$72/1000000*AU$4</f>
        <v>188.02828205279997</v>
      </c>
      <c r="AV335" s="646">
        <f>+Rooms!AX465*AV$72/1000000*AV$4</f>
        <v>179.71817990112001</v>
      </c>
      <c r="AW335" s="646">
        <f>+Rooms!AY465*AW$72/1000000*AW$4</f>
        <v>150.46936682315999</v>
      </c>
      <c r="AX335" s="646">
        <f>+Rooms!AZ465*AX$72/1000000*AX$4</f>
        <v>229.77427630079998</v>
      </c>
      <c r="AY335" s="1504">
        <f t="shared" si="259"/>
        <v>747.99010507787989</v>
      </c>
      <c r="AZ335" s="646">
        <f>+Rooms!BB465*AZ$72/1000000*AZ$4</f>
        <v>197.21948480639998</v>
      </c>
      <c r="BA335" s="646">
        <f>+Rooms!BC465*BA$72/1000000*BA$4</f>
        <v>206.99679947184001</v>
      </c>
      <c r="BB335" s="646">
        <f>+Rooms!BD465*BB$72/1000000*BB$4</f>
        <v>164.99937685056003</v>
      </c>
      <c r="BC335" s="646">
        <f>+Rooms!BE465*BC$72/1000000*BC$4</f>
        <v>239.47612636416002</v>
      </c>
      <c r="BD335" s="1504">
        <f t="shared" si="260"/>
        <v>808.69178749295997</v>
      </c>
      <c r="BE335" s="646">
        <f>+Rooms!BG465*BE$72/1000000*BE$4</f>
        <v>207.18142626636001</v>
      </c>
      <c r="BF335" s="646">
        <f>+Rooms!BH465*BF$72/1000000*BF$4</f>
        <v>224.17631832204</v>
      </c>
      <c r="BG335" s="646">
        <f>+Rooms!BI465*BG$72/1000000*BG$4</f>
        <v>183.70602568583993</v>
      </c>
      <c r="BH335" s="646">
        <f>+Rooms!BJ465*BH$72/1000000*BH$4</f>
        <v>264.18226517759996</v>
      </c>
      <c r="BI335" s="1504">
        <f t="shared" si="261"/>
        <v>879.24603545183982</v>
      </c>
      <c r="BJ335" s="646">
        <f>+Rooms!BL465*BJ$72/1000000*BJ$4</f>
        <v>223.70951007215999</v>
      </c>
      <c r="BK335" s="646">
        <f>+Rooms!BM465*BK$72/1000000*BK$4</f>
        <v>243.55288532063997</v>
      </c>
      <c r="BL335" s="646">
        <f>+Rooms!BN465*BL$72/1000000*BL$4</f>
        <v>198.78570065759999</v>
      </c>
      <c r="BM335" s="646">
        <f>+Rooms!BO465*BM$72/1000000*BM$4</f>
        <v>272.02312748239996</v>
      </c>
      <c r="BN335" s="1504">
        <f t="shared" si="262"/>
        <v>938.07122353279988</v>
      </c>
      <c r="BO335" s="646">
        <f>+Rooms!BQ465*BO$72/1000000*BO$4</f>
        <v>253.26986908040999</v>
      </c>
      <c r="BP335" s="646">
        <f>+Rooms!BR465*BP$72/1000000*BP$4</f>
        <v>249.36341510080004</v>
      </c>
      <c r="BQ335" s="646">
        <f>+Rooms!BS465*BQ$72/1000000*BQ$4</f>
        <v>221.3924805888</v>
      </c>
      <c r="BR335" s="646">
        <f>+Rooms!BT465*BR$72/1000000*BR$4</f>
        <v>234.01959893759997</v>
      </c>
      <c r="BS335" s="1504">
        <f t="shared" si="263"/>
        <v>958.04536370761002</v>
      </c>
      <c r="BT335" s="646">
        <f>+Rooms!BV465*BT$72/1000000*BT$4</f>
        <v>251.08868159999997</v>
      </c>
      <c r="BU335" s="646">
        <f>+Rooms!BW465*BU$72/1000000*BU$4</f>
        <v>263.09190207300003</v>
      </c>
      <c r="BV335" s="646">
        <f>+Rooms!BX465*BV$72/1000000*BV$4</f>
        <v>242.73355301999999</v>
      </c>
      <c r="BW335" s="646">
        <f>+Rooms!BY465*BW$72/1000000*BW$4</f>
        <v>258.31190109311996</v>
      </c>
      <c r="BX335" s="1504">
        <f t="shared" si="265"/>
        <v>1015.2260377861201</v>
      </c>
      <c r="BY335" s="646">
        <f>+Rooms!CA465*BY$72/1000000*BY$4</f>
        <v>286.2615050064</v>
      </c>
      <c r="BZ335" s="646">
        <f>+Rooms!CB465*BZ$72/1000000*BZ$4</f>
        <v>284.43448988954998</v>
      </c>
      <c r="CA335" s="646">
        <f>+Rooms!CC465*CA$72/1000000*CA$4</f>
        <v>256.66699521119995</v>
      </c>
      <c r="CB335" s="646">
        <f>+Rooms!CD465*CB$72/1000000*CB$4</f>
        <v>265.07455959600003</v>
      </c>
      <c r="CC335" s="1504">
        <f t="shared" si="264"/>
        <v>1092.4375497031499</v>
      </c>
      <c r="CD335" s="646">
        <f>+Rooms!CF465*CD$72/1000000*CD$4</f>
        <v>289.88259185339996</v>
      </c>
      <c r="CE335" s="646">
        <f>+Rooms!CG465*CE$72/1000000*CE$4</f>
        <v>266.8948339785</v>
      </c>
      <c r="CF335" s="646">
        <f>+Rooms!CH465*CF$72/1000000*CF$4</f>
        <v>245.24803607919995</v>
      </c>
      <c r="CG335" s="646"/>
      <c r="CH335" s="1504"/>
      <c r="CI335" s="646"/>
      <c r="CJ335" s="646"/>
      <c r="CK335" s="646"/>
      <c r="CL335" s="646"/>
      <c r="CM335" s="1504"/>
      <c r="CN335" s="646"/>
      <c r="CO335" s="646"/>
      <c r="CP335" s="646"/>
      <c r="CQ335" s="646"/>
      <c r="CR335" s="1505"/>
      <c r="CS335" s="1505"/>
      <c r="CT335" s="1505"/>
      <c r="DB335" s="1226"/>
    </row>
    <row r="336" spans="1:106" s="212" customFormat="1" x14ac:dyDescent="0.2">
      <c r="A336" s="1434" t="s">
        <v>452</v>
      </c>
      <c r="B336" s="777"/>
      <c r="C336" s="777"/>
      <c r="D336" s="777"/>
      <c r="E336" s="777"/>
      <c r="F336" s="235"/>
      <c r="G336" s="777"/>
      <c r="H336" s="777"/>
      <c r="I336" s="777"/>
      <c r="J336" s="777"/>
      <c r="K336" s="235"/>
      <c r="L336" s="777"/>
      <c r="M336" s="777"/>
      <c r="N336" s="777"/>
      <c r="O336" s="777"/>
      <c r="P336" s="631"/>
      <c r="Q336" s="777"/>
      <c r="R336" s="777"/>
      <c r="S336" s="777"/>
      <c r="T336" s="777"/>
      <c r="U336" s="631"/>
      <c r="V336" s="777"/>
      <c r="W336" s="777"/>
      <c r="X336" s="777"/>
      <c r="Y336" s="777"/>
      <c r="Z336" s="631"/>
      <c r="AA336" s="275"/>
      <c r="AB336" s="275"/>
      <c r="AC336" s="275"/>
      <c r="AD336" s="275"/>
      <c r="AE336" s="631"/>
      <c r="AF336" s="275"/>
      <c r="AG336" s="275"/>
      <c r="AH336" s="275"/>
      <c r="AI336" s="275"/>
      <c r="AJ336" s="631"/>
      <c r="AK336" s="646">
        <f>+Rooms!AM471*AK$75/1000000*AK$4</f>
        <v>136.21646392659557</v>
      </c>
      <c r="AL336" s="646">
        <f>+Rooms!AN471*AL$75/1000000*AL$4</f>
        <v>149.26693899600002</v>
      </c>
      <c r="AM336" s="646">
        <f>+Rooms!AO471*AM$75/1000000*AM$4</f>
        <v>155.773642752</v>
      </c>
      <c r="AN336" s="646">
        <f>+Rooms!AP471*AN$75/1000000*AN$4</f>
        <v>194.21226123264</v>
      </c>
      <c r="AO336" s="1504">
        <f t="shared" si="257"/>
        <v>635.46930690723559</v>
      </c>
      <c r="AP336" s="646">
        <f>+Rooms!AR471*AP$75/1000000*AP$4</f>
        <v>140.306825484</v>
      </c>
      <c r="AQ336" s="646">
        <f>+Rooms!AS471*AQ$75/1000000*AQ$4</f>
        <v>152.380410504</v>
      </c>
      <c r="AR336" s="646">
        <f>+Rooms!AT471*AR$75/1000000*AR$4</f>
        <v>155.76982073855999</v>
      </c>
      <c r="AS336" s="646">
        <f>+Rooms!AU471*AS$75/1000000*AS$4</f>
        <v>185.01088217507998</v>
      </c>
      <c r="AT336" s="1504">
        <f t="shared" si="258"/>
        <v>633.46793890163997</v>
      </c>
      <c r="AU336" s="646">
        <f>+Rooms!AW471*AU$75/1000000*AU$4</f>
        <v>123.91318546991999</v>
      </c>
      <c r="AV336" s="646">
        <f>+Rooms!AX471*AV$75/1000000*AV$4</f>
        <v>131.21745717024001</v>
      </c>
      <c r="AW336" s="646">
        <f>+Rooms!AY471*AW$75/1000000*AW$4</f>
        <v>138.40721942291998</v>
      </c>
      <c r="AX336" s="646">
        <f>+Rooms!AZ471*AX$75/1000000*AX$4</f>
        <v>164.25453884224001</v>
      </c>
      <c r="AY336" s="1504">
        <f t="shared" si="259"/>
        <v>557.79240090531994</v>
      </c>
      <c r="AZ336" s="646">
        <f>+Rooms!BB471*AZ$75/1000000*AZ$4</f>
        <v>123.56545857599997</v>
      </c>
      <c r="BA336" s="646">
        <f>+Rooms!BC471*BA$75/1000000*BA$4</f>
        <v>139.7383031688</v>
      </c>
      <c r="BB336" s="646">
        <f>+Rooms!BD471*BB$75/1000000*BB$4</f>
        <v>144.2760459504</v>
      </c>
      <c r="BC336" s="646">
        <f>+Rooms!BE471*BC$75/1000000*BC$4</f>
        <v>171.04251729600003</v>
      </c>
      <c r="BD336" s="1504">
        <f t="shared" si="260"/>
        <v>578.6223249912</v>
      </c>
      <c r="BE336" s="646">
        <f>+Rooms!BG471*BE$75/1000000*BE$4</f>
        <v>130.64985927839999</v>
      </c>
      <c r="BF336" s="646">
        <f>+Rooms!BH471*BF$75/1000000*BF$4</f>
        <v>149.04314667900002</v>
      </c>
      <c r="BG336" s="646">
        <f>+Rooms!BI471*BG$75/1000000*BG$4</f>
        <v>155.4170436</v>
      </c>
      <c r="BH336" s="646">
        <f>+Rooms!BJ471*BH$75/1000000*BH$4</f>
        <v>183.04062087359998</v>
      </c>
      <c r="BI336" s="1504">
        <f t="shared" si="261"/>
        <v>618.15067043099998</v>
      </c>
      <c r="BJ336" s="646">
        <f>+Rooms!BL471*BJ$75/1000000*BJ$4</f>
        <v>136.772302758</v>
      </c>
      <c r="BK336" s="646">
        <f>+Rooms!BM471*BK$75/1000000*BK$4</f>
        <v>153.58826622719999</v>
      </c>
      <c r="BL336" s="646">
        <f>+Rooms!BN471*BL$75/1000000*BL$4</f>
        <v>159.8703547392</v>
      </c>
      <c r="BM336" s="646">
        <f>+Rooms!BO471*BM$75/1000000*BM$4</f>
        <v>186.87878809599999</v>
      </c>
      <c r="BN336" s="1504">
        <f t="shared" si="262"/>
        <v>637.10971182039998</v>
      </c>
      <c r="BO336" s="646">
        <f>+Rooms!BQ471*BO$75/1000000*BO$4</f>
        <v>151.30077133807998</v>
      </c>
      <c r="BP336" s="646">
        <f>+Rooms!BR471*BP$75/1000000*BP$4</f>
        <v>165.34895849289998</v>
      </c>
      <c r="BQ336" s="646">
        <f>+Rooms!BS471*BQ$75/1000000*BQ$4</f>
        <v>169.97807460816</v>
      </c>
      <c r="BR336" s="646">
        <f>+Rooms!BT471*BR$75/1000000*BR$4</f>
        <v>143.63528883675997</v>
      </c>
      <c r="BS336" s="1504">
        <f t="shared" si="263"/>
        <v>630.26309327589991</v>
      </c>
      <c r="BT336" s="646">
        <f>+Rooms!BV471*BT$75/1000000*BT$4</f>
        <v>144.51838422840001</v>
      </c>
      <c r="BU336" s="646">
        <f>+Rooms!BW471*BU$75/1000000*BU$4</f>
        <v>171.13974386417999</v>
      </c>
      <c r="BV336" s="646">
        <f>+Rooms!BX471*BV$75/1000000*BV$4</f>
        <v>164.11163849183998</v>
      </c>
      <c r="BW336" s="646">
        <f>+Rooms!BY471*BW$75/1000000*BW$4</f>
        <v>139.06691047968002</v>
      </c>
      <c r="BX336" s="1504">
        <f t="shared" si="265"/>
        <v>618.83667706410006</v>
      </c>
      <c r="BY336" s="646">
        <f>+Rooms!CA471*BY$75/1000000*BY$4</f>
        <v>147.9998677248</v>
      </c>
      <c r="BZ336" s="646">
        <f>+Rooms!CB471*BZ$75/1000000*BZ$4</f>
        <v>172.7188302294</v>
      </c>
      <c r="CA336" s="646">
        <f>+Rooms!CC471*CA$75/1000000*CA$4</f>
        <v>182.60067098951998</v>
      </c>
      <c r="CB336" s="646">
        <f>+Rooms!CD471*CB$75/1000000*CB$4</f>
        <v>155.57727611076001</v>
      </c>
      <c r="CC336" s="1504">
        <f t="shared" si="264"/>
        <v>658.89664505448002</v>
      </c>
      <c r="CD336" s="646">
        <f>+Rooms!CF471*CD$75/1000000*CD$4</f>
        <v>158.70246906150001</v>
      </c>
      <c r="CE336" s="646">
        <f>+Rooms!CG471*CE$75/1000000*CE$4</f>
        <v>184.29355703849998</v>
      </c>
      <c r="CF336" s="646">
        <f>+Rooms!CH471*CF$75/1000000*CF$4</f>
        <v>194.39093828880004</v>
      </c>
      <c r="CG336" s="646"/>
      <c r="CH336" s="1504"/>
      <c r="CI336" s="646"/>
      <c r="CJ336" s="646"/>
      <c r="CK336" s="646"/>
      <c r="CL336" s="646"/>
      <c r="CM336" s="1504"/>
      <c r="CN336" s="646"/>
      <c r="CO336" s="646"/>
      <c r="CP336" s="646"/>
      <c r="CQ336" s="646"/>
      <c r="CR336" s="1505"/>
      <c r="CS336" s="1505"/>
      <c r="CT336" s="1505"/>
      <c r="DB336" s="1226"/>
    </row>
    <row r="337" spans="1:106" s="212" customFormat="1" x14ac:dyDescent="0.2">
      <c r="A337" s="1434" t="s">
        <v>1386</v>
      </c>
      <c r="B337" s="777"/>
      <c r="C337" s="777"/>
      <c r="D337" s="777"/>
      <c r="E337" s="777"/>
      <c r="F337" s="235"/>
      <c r="G337" s="777"/>
      <c r="H337" s="777"/>
      <c r="I337" s="777"/>
      <c r="J337" s="777"/>
      <c r="K337" s="235"/>
      <c r="L337" s="777"/>
      <c r="M337" s="777"/>
      <c r="N337" s="777"/>
      <c r="O337" s="777"/>
      <c r="P337" s="631"/>
      <c r="Q337" s="777"/>
      <c r="R337" s="777"/>
      <c r="S337" s="777"/>
      <c r="T337" s="777"/>
      <c r="U337" s="631"/>
      <c r="V337" s="777"/>
      <c r="W337" s="777"/>
      <c r="X337" s="777"/>
      <c r="Y337" s="777"/>
      <c r="Z337" s="631"/>
      <c r="AA337" s="275"/>
      <c r="AB337" s="275"/>
      <c r="AC337" s="275"/>
      <c r="AD337" s="275"/>
      <c r="AE337" s="631"/>
      <c r="AF337" s="275"/>
      <c r="AG337" s="275"/>
      <c r="AH337" s="275"/>
      <c r="AI337" s="275"/>
      <c r="AJ337" s="631"/>
      <c r="AK337" s="646">
        <f>+Rooms!AM469*AK$78/1000000*AK$4</f>
        <v>268.90268809861249</v>
      </c>
      <c r="AL337" s="646">
        <f>+Rooms!AN469*AL$78/1000000*AL$4</f>
        <v>308.75743784760004</v>
      </c>
      <c r="AM337" s="646">
        <f>+Rooms!AO469*AM$78/1000000*AM$4</f>
        <v>305.57318131620002</v>
      </c>
      <c r="AN337" s="646">
        <f>+Rooms!AP469*AN$78/1000000*AN$4</f>
        <v>387.27938730064994</v>
      </c>
      <c r="AO337" s="1504">
        <f t="shared" si="257"/>
        <v>1270.5126945630625</v>
      </c>
      <c r="AP337" s="646">
        <f>+Rooms!AR469*AP$78/1000000*AP$4</f>
        <v>278.70145954560002</v>
      </c>
      <c r="AQ337" s="646">
        <f>+Rooms!AS469*AQ$78/1000000*AQ$4</f>
        <v>315.78465873024004</v>
      </c>
      <c r="AR337" s="646">
        <f>+Rooms!AT469*AR$78/1000000*AR$4</f>
        <v>304.04742296964002</v>
      </c>
      <c r="AS337" s="646">
        <f>+Rooms!AU469*AS$78/1000000*AS$4</f>
        <v>358.94455952354997</v>
      </c>
      <c r="AT337" s="1504">
        <f t="shared" si="258"/>
        <v>1257.4781007690299</v>
      </c>
      <c r="AU337" s="646">
        <f>+Rooms!AW469*AU$78/1000000*AU$4</f>
        <v>231.21273011760005</v>
      </c>
      <c r="AV337" s="646">
        <f>+Rooms!AX469*AV$78/1000000*AV$4</f>
        <v>247.36481288064002</v>
      </c>
      <c r="AW337" s="646">
        <f>+Rooms!AY469*AW$78/1000000*AW$4</f>
        <v>247.10420431871998</v>
      </c>
      <c r="AX337" s="646">
        <f>+Rooms!AZ469*AX$78/1000000*AX$4</f>
        <v>297.98896459248004</v>
      </c>
      <c r="AY337" s="1504">
        <f t="shared" si="259"/>
        <v>1023.6707119094401</v>
      </c>
      <c r="AZ337" s="646">
        <f>+Rooms!BB469*AZ$78/1000000*AZ$4</f>
        <v>228.39930693887999</v>
      </c>
      <c r="BA337" s="646">
        <f>+Rooms!BC469*BA$78/1000000*BA$4</f>
        <v>264.22039210895997</v>
      </c>
      <c r="BB337" s="646">
        <f>+Rooms!BD469*BB$78/1000000*BB$4</f>
        <v>263.94567826535996</v>
      </c>
      <c r="BC337" s="646">
        <f>+Rooms!BE469*BC$78/1000000*BC$4</f>
        <v>318.23875109376007</v>
      </c>
      <c r="BD337" s="1504">
        <f t="shared" si="260"/>
        <v>1074.80412840696</v>
      </c>
      <c r="BE337" s="646">
        <f>+Rooms!BG469*BE$78/1000000*BE$4</f>
        <v>240.69507001343996</v>
      </c>
      <c r="BF337" s="646">
        <f>+Rooms!BH469*BF$78/1000000*BF$4</f>
        <v>280.52417352959992</v>
      </c>
      <c r="BG337" s="646">
        <f>+Rooms!BI469*BG$78/1000000*BG$4</f>
        <v>283.26087659519999</v>
      </c>
      <c r="BH337" s="646">
        <f>+Rooms!BJ469*BH$78/1000000*BH$4</f>
        <v>340.95717535488001</v>
      </c>
      <c r="BI337" s="1504">
        <f t="shared" si="261"/>
        <v>1145.4372954931198</v>
      </c>
      <c r="BJ337" s="646">
        <f>+Rooms!BL469*BJ$78/1000000*BJ$4</f>
        <v>257.36656417920005</v>
      </c>
      <c r="BK337" s="646">
        <f>+Rooms!BM469*BK$78/1000000*BK$4</f>
        <v>301.22281853999999</v>
      </c>
      <c r="BL337" s="646">
        <f>+Rooms!BN469*BL$78/1000000*BL$4</f>
        <v>304.50972736800003</v>
      </c>
      <c r="BM337" s="646">
        <f>+Rooms!BO469*BM$78/1000000*BM$4</f>
        <v>369.35301360384005</v>
      </c>
      <c r="BN337" s="1504">
        <f t="shared" si="262"/>
        <v>1232.4521236910402</v>
      </c>
      <c r="BO337" s="646">
        <f>+Rooms!BQ469*BO$78/1000000*BO$4</f>
        <v>295.97413023359996</v>
      </c>
      <c r="BP337" s="646">
        <f>+Rooms!BR469*BP$78/1000000*BP$4</f>
        <v>344.22877052927998</v>
      </c>
      <c r="BQ337" s="646">
        <f>+Rooms!BS469*BQ$78/1000000*BQ$4</f>
        <v>342.78325755648001</v>
      </c>
      <c r="BR337" s="646">
        <f>+Rooms!BT469*BR$78/1000000*BR$4</f>
        <v>296.88264646656</v>
      </c>
      <c r="BS337" s="1504">
        <f t="shared" si="263"/>
        <v>1279.86880478592</v>
      </c>
      <c r="BT337" s="646">
        <f>+Rooms!BV469*BT$78/1000000*BT$4</f>
        <v>307.60363085760002</v>
      </c>
      <c r="BU337" s="646">
        <f>+Rooms!BW469*BU$78/1000000*BU$4</f>
        <v>369.73293997639996</v>
      </c>
      <c r="BV337" s="646">
        <f>+Rooms!BX469*BV$78/1000000*BV$4</f>
        <v>379.57542735000004</v>
      </c>
      <c r="BW337" s="646">
        <f>+Rooms!BY469*BW$78/1000000*BW$4</f>
        <v>324.69021955480002</v>
      </c>
      <c r="BX337" s="1504">
        <f t="shared" si="265"/>
        <v>1381.6022177387999</v>
      </c>
      <c r="BY337" s="646">
        <f>+Rooms!CA469*BY$78/1000000*BY$4</f>
        <v>335.91060709200002</v>
      </c>
      <c r="BZ337" s="646">
        <f>+Rooms!CB469*BZ$78/1000000*BZ$4</f>
        <v>399.44632358357995</v>
      </c>
      <c r="CA337" s="646">
        <f>+Rooms!CC469*CA$78/1000000*CA$4</f>
        <v>405.55422020256009</v>
      </c>
      <c r="CB337" s="646">
        <f>+Rooms!CD469*CB$78/1000000*CB$4</f>
        <v>345.3423912259201</v>
      </c>
      <c r="CC337" s="1504">
        <f t="shared" si="264"/>
        <v>1486.2535421040602</v>
      </c>
      <c r="CD337" s="646">
        <f>+Rooms!CF469*CD$78/1000000*CD$4</f>
        <v>351.12599932410001</v>
      </c>
      <c r="CE337" s="646">
        <f>+Rooms!CG469*CE$78/1000000*CE$4</f>
        <v>413.59354532495996</v>
      </c>
      <c r="CF337" s="646">
        <f>+Rooms!CH469*CF$78/1000000*CF$4</f>
        <v>406.75442274324007</v>
      </c>
      <c r="CG337" s="646"/>
      <c r="CH337" s="1504"/>
      <c r="CI337" s="646"/>
      <c r="CJ337" s="646"/>
      <c r="CK337" s="646"/>
      <c r="CL337" s="646"/>
      <c r="CM337" s="1504"/>
      <c r="CN337" s="646"/>
      <c r="CO337" s="646"/>
      <c r="CP337" s="646"/>
      <c r="CQ337" s="646"/>
      <c r="CR337" s="1505"/>
      <c r="CS337" s="1505"/>
      <c r="CT337" s="1505"/>
      <c r="DB337" s="1226"/>
    </row>
    <row r="338" spans="1:106" s="212" customFormat="1" x14ac:dyDescent="0.2">
      <c r="A338" s="1434" t="s">
        <v>1389</v>
      </c>
      <c r="B338" s="777"/>
      <c r="C338" s="777"/>
      <c r="D338" s="777"/>
      <c r="E338" s="777"/>
      <c r="F338" s="235"/>
      <c r="G338" s="777"/>
      <c r="H338" s="777"/>
      <c r="I338" s="777"/>
      <c r="J338" s="777"/>
      <c r="K338" s="235"/>
      <c r="L338" s="777"/>
      <c r="M338" s="777"/>
      <c r="N338" s="777"/>
      <c r="O338" s="777"/>
      <c r="P338" s="631"/>
      <c r="Q338" s="777"/>
      <c r="R338" s="777"/>
      <c r="S338" s="777"/>
      <c r="T338" s="777"/>
      <c r="U338" s="631"/>
      <c r="V338" s="777"/>
      <c r="W338" s="777"/>
      <c r="X338" s="777"/>
      <c r="Y338" s="777"/>
      <c r="Z338" s="631"/>
      <c r="AA338" s="275"/>
      <c r="AB338" s="275"/>
      <c r="AC338" s="275"/>
      <c r="AD338" s="275"/>
      <c r="AE338" s="631"/>
      <c r="AF338" s="275"/>
      <c r="AG338" s="275"/>
      <c r="AH338" s="275"/>
      <c r="AI338" s="275"/>
      <c r="AJ338" s="631"/>
      <c r="AK338" s="646">
        <f>+Rooms!AM473*AK$81/1000000*AK$4</f>
        <v>3.9124928731712791</v>
      </c>
      <c r="AL338" s="646">
        <f>+Rooms!AN473*AL$81/1000000*AL$4</f>
        <v>4.7115026028000004</v>
      </c>
      <c r="AM338" s="646">
        <f>+Rooms!AO473*AM$81/1000000*AM$4</f>
        <v>4.9739759748000001</v>
      </c>
      <c r="AN338" s="646">
        <f>+Rooms!AP473*AN$81/1000000*AN$4</f>
        <v>5.728786425</v>
      </c>
      <c r="AO338" s="1504">
        <f t="shared" si="257"/>
        <v>19.326757875771278</v>
      </c>
      <c r="AP338" s="646">
        <f>+Rooms!AR473*AP$81/1000000*AP$4</f>
        <v>4.1312005937999992</v>
      </c>
      <c r="AQ338" s="646">
        <f>+Rooms!AS473*AQ$81/1000000*AQ$4</f>
        <v>4.7182378823999995</v>
      </c>
      <c r="AR338" s="646">
        <f>+Rooms!AT473*AR$81/1000000*AR$4</f>
        <v>4.9390657091999994</v>
      </c>
      <c r="AS338" s="646">
        <f>+Rooms!AU473*AS$81/1000000*AS$4</f>
        <v>5.3760959752500002</v>
      </c>
      <c r="AT338" s="1504">
        <f t="shared" si="258"/>
        <v>19.16460016065</v>
      </c>
      <c r="AU338" s="646">
        <f>+Rooms!AW473*AU$81/1000000*AU$4</f>
        <v>3.5351814959999999</v>
      </c>
      <c r="AV338" s="646">
        <f>+Rooms!AX473*AV$81/1000000*AV$4</f>
        <v>3.9220140708</v>
      </c>
      <c r="AW338" s="646">
        <f>+Rooms!AY473*AW$81/1000000*AW$4</f>
        <v>5.021621283</v>
      </c>
      <c r="AX338" s="646">
        <f>+Rooms!AZ473*AX$81/1000000*AX$4</f>
        <v>5.5124381311999988</v>
      </c>
      <c r="AY338" s="1504">
        <f t="shared" si="259"/>
        <v>17.991254980999997</v>
      </c>
      <c r="AZ338" s="646">
        <f>+Rooms!BB473*AZ$81/1000000*AZ$4</f>
        <v>4.1314856687999999</v>
      </c>
      <c r="BA338" s="646">
        <f>+Rooms!BC473*BA$81/1000000*BA$4</f>
        <v>4.9822943856000004</v>
      </c>
      <c r="BB338" s="646">
        <f>+Rooms!BD473*BB$81/1000000*BB$4</f>
        <v>5.420513195999999</v>
      </c>
      <c r="BC338" s="646">
        <f>+Rooms!BE473*BC$81/1000000*BC$4</f>
        <v>5.972988</v>
      </c>
      <c r="BD338" s="1504">
        <f t="shared" si="260"/>
        <v>20.507281250399998</v>
      </c>
      <c r="BE338" s="646">
        <f>+Rooms!BG473*BE$81/1000000*BE$4</f>
        <v>4.4899819271999997</v>
      </c>
      <c r="BF338" s="646">
        <f>+Rooms!BH473*BF$81/1000000*BF$4</f>
        <v>5.4701935679999991</v>
      </c>
      <c r="BG338" s="646">
        <f>+Rooms!BI473*BG$81/1000000*BG$4</f>
        <v>5.9307206910000003</v>
      </c>
      <c r="BH338" s="646">
        <f>+Rooms!BJ473*BH$81/1000000*BH$4</f>
        <v>6.6929723279999997</v>
      </c>
      <c r="BI338" s="1504">
        <f t="shared" si="261"/>
        <v>22.583868514199999</v>
      </c>
      <c r="BJ338" s="646">
        <f>+Rooms!BL473*BJ$81/1000000*BJ$4</f>
        <v>4.9402300164000001</v>
      </c>
      <c r="BK338" s="646">
        <f>+Rooms!BM473*BK$81/1000000*BK$4</f>
        <v>5.9616047609999985</v>
      </c>
      <c r="BL338" s="646">
        <f>+Rooms!BN473*BL$81/1000000*BL$4</f>
        <v>6.3333957917999983</v>
      </c>
      <c r="BM338" s="646">
        <f>+Rooms!BO473*BM$81/1000000*BM$4</f>
        <v>7.1668624607999991</v>
      </c>
      <c r="BN338" s="1504">
        <f t="shared" si="262"/>
        <v>24.402093029999996</v>
      </c>
      <c r="BO338" s="646">
        <f>+Rooms!BQ473*BO$81/1000000*BO$4</f>
        <v>5.6952143703000004</v>
      </c>
      <c r="BP338" s="646">
        <f>+Rooms!BR473*BP$81/1000000*BP$4</f>
        <v>6.9504730249499991</v>
      </c>
      <c r="BQ338" s="646">
        <f>+Rooms!BS473*BQ$81/1000000*BQ$4</f>
        <v>8.1210503303999992</v>
      </c>
      <c r="BR338" s="646">
        <f>+Rooms!BT473*BR$81/1000000*BR$4</f>
        <v>6.7359216707999998</v>
      </c>
      <c r="BS338" s="1504">
        <f t="shared" si="263"/>
        <v>27.502659396449999</v>
      </c>
      <c r="BT338" s="646">
        <f>+Rooms!BV473*BT$81/1000000*BT$4</f>
        <v>6.7635824256000001</v>
      </c>
      <c r="BU338" s="646">
        <f>+Rooms!BW473*BU$81/1000000*BU$4</f>
        <v>8.5601202960000009</v>
      </c>
      <c r="BV338" s="646">
        <f>+Rooms!BX473*BV$81/1000000*BV$4</f>
        <v>8.8854733440000011</v>
      </c>
      <c r="BW338" s="646">
        <f>+Rooms!BY473*BW$81/1000000*BW$4</f>
        <v>7.3479767040000015</v>
      </c>
      <c r="BX338" s="1504">
        <f t="shared" si="265"/>
        <v>31.557152769600002</v>
      </c>
      <c r="BY338" s="646">
        <f>+Rooms!CA473*BY$81/1000000*BY$4</f>
        <v>7.3470564000000005</v>
      </c>
      <c r="BZ338" s="646">
        <f>+Rooms!CB473*BZ$81/1000000*BZ$4</f>
        <v>9.9842078699999988</v>
      </c>
      <c r="CA338" s="646">
        <f>+Rooms!CC473*CA$81/1000000*CA$4</f>
        <v>10.369446827519999</v>
      </c>
      <c r="CB338" s="646">
        <f>+Rooms!CD473*CB$81/1000000*CB$4</f>
        <v>8.5034042991999996</v>
      </c>
      <c r="CC338" s="1504">
        <f t="shared" si="264"/>
        <v>36.204115396719999</v>
      </c>
      <c r="CD338" s="646">
        <f>+Rooms!CF473*CD$81/1000000*CD$4</f>
        <v>8.2728266275199989</v>
      </c>
      <c r="CE338" s="646">
        <f>+Rooms!CG473*CE$81/1000000*CE$4</f>
        <v>10.225975883759999</v>
      </c>
      <c r="CF338" s="646">
        <f>+Rooms!CH473*CF$81/1000000*CF$4</f>
        <v>10.59367099392</v>
      </c>
      <c r="CG338" s="646"/>
      <c r="CH338" s="1504"/>
      <c r="CI338" s="646"/>
      <c r="CJ338" s="646"/>
      <c r="CK338" s="646"/>
      <c r="CL338" s="646"/>
      <c r="CM338" s="1504"/>
      <c r="CN338" s="646"/>
      <c r="CO338" s="646"/>
      <c r="CP338" s="646"/>
      <c r="CQ338" s="646"/>
      <c r="CR338" s="1505"/>
      <c r="CS338" s="1505"/>
      <c r="CT338" s="1505"/>
      <c r="DB338" s="1226"/>
    </row>
    <row r="339" spans="1:106" s="212" customFormat="1" x14ac:dyDescent="0.2">
      <c r="A339" s="1434" t="s">
        <v>1391</v>
      </c>
      <c r="B339" s="777"/>
      <c r="C339" s="777"/>
      <c r="D339" s="777"/>
      <c r="E339" s="777"/>
      <c r="F339" s="235"/>
      <c r="G339" s="777"/>
      <c r="H339" s="777"/>
      <c r="I339" s="777"/>
      <c r="J339" s="777"/>
      <c r="K339" s="235"/>
      <c r="L339" s="777"/>
      <c r="M339" s="777"/>
      <c r="N339" s="777"/>
      <c r="O339" s="777"/>
      <c r="P339" s="631"/>
      <c r="Q339" s="777"/>
      <c r="R339" s="777"/>
      <c r="S339" s="777"/>
      <c r="T339" s="777"/>
      <c r="U339" s="631"/>
      <c r="V339" s="777"/>
      <c r="W339" s="777"/>
      <c r="X339" s="777"/>
      <c r="Y339" s="777"/>
      <c r="Z339" s="631"/>
      <c r="AA339" s="275"/>
      <c r="AB339" s="275"/>
      <c r="AC339" s="275"/>
      <c r="AD339" s="275"/>
      <c r="AE339" s="631"/>
      <c r="AF339" s="275"/>
      <c r="AG339" s="275"/>
      <c r="AH339" s="275"/>
      <c r="AI339" s="275"/>
      <c r="AJ339" s="631"/>
      <c r="AK339" s="646">
        <f>+Rooms!AM472*AK$84/1000000*AK$4</f>
        <v>18.342019564676992</v>
      </c>
      <c r="AL339" s="646">
        <f>+Rooms!AN472*AL$84/1000000*AL$4</f>
        <v>20.374529033040002</v>
      </c>
      <c r="AM339" s="646">
        <f>+Rooms!AO472*AM$84/1000000*AM$4</f>
        <v>21.09715507872</v>
      </c>
      <c r="AN339" s="646">
        <f>+Rooms!AP472*AN$84/1000000*AN$4</f>
        <v>25.3038632994</v>
      </c>
      <c r="AO339" s="1504">
        <f t="shared" si="257"/>
        <v>85.117566975836993</v>
      </c>
      <c r="AP339" s="646">
        <f>+Rooms!AR472*AP$84/1000000*AP$4</f>
        <v>18.699122904840003</v>
      </c>
      <c r="AQ339" s="646">
        <f>+Rooms!AS472*AQ$84/1000000*AQ$4</f>
        <v>20.1121618572</v>
      </c>
      <c r="AR339" s="646">
        <f>+Rooms!AT472*AR$84/1000000*AR$4</f>
        <v>20.720979420959999</v>
      </c>
      <c r="AS339" s="646">
        <f>+Rooms!AU472*AS$84/1000000*AS$4</f>
        <v>24.086580286860002</v>
      </c>
      <c r="AT339" s="1504">
        <f t="shared" si="258"/>
        <v>83.618844469860008</v>
      </c>
      <c r="AU339" s="646">
        <f>+Rooms!AW472*AU$84/1000000*AU$4</f>
        <v>15.78811609704</v>
      </c>
      <c r="AV339" s="646">
        <f>+Rooms!AX472*AV$84/1000000*AV$4</f>
        <v>16.4172824298</v>
      </c>
      <c r="AW339" s="646">
        <f>+Rooms!AY472*AW$84/1000000*AW$4</f>
        <v>17.111332234079999</v>
      </c>
      <c r="AX339" s="646">
        <f>+Rooms!AZ472*AX$84/1000000*AX$4</f>
        <v>18.950398909119997</v>
      </c>
      <c r="AY339" s="1504">
        <f t="shared" si="259"/>
        <v>68.267129670039992</v>
      </c>
      <c r="AZ339" s="646">
        <f>+Rooms!BB472*AZ$84/1000000*AZ$4</f>
        <v>15.130776932879998</v>
      </c>
      <c r="BA339" s="646">
        <f>+Rooms!BC472*BA$84/1000000*BA$4</f>
        <v>17.46720869376</v>
      </c>
      <c r="BB339" s="646">
        <f>+Rooms!BD472*BB$84/1000000*BB$4</f>
        <v>18.965921728320001</v>
      </c>
      <c r="BC339" s="646">
        <f>+Rooms!BE472*BC$84/1000000*BC$4</f>
        <v>21.670091497600001</v>
      </c>
      <c r="BD339" s="1504">
        <f t="shared" si="260"/>
        <v>73.233998852559992</v>
      </c>
      <c r="BE339" s="646">
        <f>+Rooms!BG472*BE$84/1000000*BE$4</f>
        <v>16.737044385600001</v>
      </c>
      <c r="BF339" s="646">
        <f>+Rooms!BH472*BF$84/1000000*BF$4</f>
        <v>19.162545081119998</v>
      </c>
      <c r="BG339" s="646">
        <f>+Rooms!BI472*BG$84/1000000*BG$4</f>
        <v>20.364611581440002</v>
      </c>
      <c r="BH339" s="646">
        <f>+Rooms!BJ472*BH$84/1000000*BH$4</f>
        <v>19.985133503999997</v>
      </c>
      <c r="BI339" s="1504">
        <f t="shared" si="261"/>
        <v>76.249334552160008</v>
      </c>
      <c r="BJ339" s="646">
        <f>+Rooms!BL472*BJ$84/1000000*BJ$4</f>
        <v>15.411203791200002</v>
      </c>
      <c r="BK339" s="646">
        <f>+Rooms!BM472*BK$84/1000000*BK$4</f>
        <v>13.840993891200002</v>
      </c>
      <c r="BL339" s="646">
        <f>+Rooms!BN472*BL$84/1000000*BL$4</f>
        <v>14.4667572672</v>
      </c>
      <c r="BM339" s="646">
        <f>+Rooms!BO472*BM$84/1000000*BM$4</f>
        <v>16.540944268799997</v>
      </c>
      <c r="BN339" s="1504">
        <f t="shared" si="262"/>
        <v>60.259899218400001</v>
      </c>
      <c r="BO339" s="646">
        <f>+Rooms!BQ472*BO$84/1000000*BO$4</f>
        <v>13.690584507600001</v>
      </c>
      <c r="BP339" s="646">
        <f>+Rooms!BR472*BP$84/1000000*BP$4</f>
        <v>15.462599152000001</v>
      </c>
      <c r="BQ339" s="646">
        <f>+Rooms!BS472*BQ$84/1000000*BQ$4</f>
        <v>15.9730023536</v>
      </c>
      <c r="BR339" s="646">
        <f>+Rooms!BT472*BR$84/1000000*BR$4</f>
        <v>13.3350637952</v>
      </c>
      <c r="BS339" s="1504">
        <f t="shared" si="263"/>
        <v>58.461249808400005</v>
      </c>
      <c r="BT339" s="646">
        <f>+Rooms!BV472*BT$84/1000000*BT$4</f>
        <v>12.760543075500001</v>
      </c>
      <c r="BU339" s="646">
        <f>+Rooms!BW472*BU$84/1000000*BU$4</f>
        <v>14.248301471040003</v>
      </c>
      <c r="BV339" s="646">
        <f>+Rooms!BX472*BV$84/1000000*BV$4</f>
        <v>14.117886093960003</v>
      </c>
      <c r="BW339" s="646">
        <f>+Rooms!BY472*BW$84/1000000*BW$4</f>
        <v>10.651284895439998</v>
      </c>
      <c r="BX339" s="1504">
        <f t="shared" si="265"/>
        <v>51.778015535940007</v>
      </c>
      <c r="BY339" s="646">
        <f>+Rooms!CA472*BY$84/1000000*BY$4</f>
        <v>11.217081413699999</v>
      </c>
      <c r="BZ339" s="646">
        <f>+Rooms!CB472*BZ$84/1000000*BZ$4</f>
        <v>12.899025840610001</v>
      </c>
      <c r="CA339" s="646">
        <f>+Rooms!CC472*CA$84/1000000*CA$4</f>
        <v>13.2994111824</v>
      </c>
      <c r="CB339" s="646">
        <f>+Rooms!CD472*CB$84/1000000*CB$4</f>
        <v>10.972299407999998</v>
      </c>
      <c r="CC339" s="1504">
        <f t="shared" si="264"/>
        <v>48.38781784471</v>
      </c>
      <c r="CD339" s="646">
        <f>+Rooms!CF472*CD$84/1000000*CD$4</f>
        <v>11.579348780999998</v>
      </c>
      <c r="CE339" s="646">
        <f>+Rooms!CG472*CE$84/1000000*CE$4</f>
        <v>13.462693826400002</v>
      </c>
      <c r="CF339" s="646">
        <f>+Rooms!CH472*CF$84/1000000*CF$4</f>
        <v>13.837371228000002</v>
      </c>
      <c r="CG339" s="646"/>
      <c r="CH339" s="1504"/>
      <c r="CI339" s="646"/>
      <c r="CJ339" s="646"/>
      <c r="CK339" s="646"/>
      <c r="CL339" s="646"/>
      <c r="CM339" s="1504"/>
      <c r="CN339" s="646"/>
      <c r="CO339" s="646"/>
      <c r="CP339" s="646"/>
      <c r="CQ339" s="646"/>
      <c r="CR339" s="1505"/>
      <c r="CS339" s="1505"/>
      <c r="CT339" s="1505"/>
      <c r="DB339" s="1226"/>
    </row>
    <row r="340" spans="1:106" s="212" customFormat="1" x14ac:dyDescent="0.2">
      <c r="A340" s="2308" t="s">
        <v>2285</v>
      </c>
      <c r="B340" s="777"/>
      <c r="C340" s="777"/>
      <c r="D340" s="777"/>
      <c r="E340" s="777"/>
      <c r="F340" s="235"/>
      <c r="G340" s="777"/>
      <c r="H340" s="777"/>
      <c r="I340" s="777"/>
      <c r="J340" s="777"/>
      <c r="K340" s="235"/>
      <c r="L340" s="777"/>
      <c r="M340" s="777"/>
      <c r="N340" s="777"/>
      <c r="O340" s="777"/>
      <c r="P340" s="631"/>
      <c r="Q340" s="777"/>
      <c r="R340" s="777"/>
      <c r="S340" s="777"/>
      <c r="T340" s="777"/>
      <c r="U340" s="631"/>
      <c r="V340" s="777"/>
      <c r="W340" s="777"/>
      <c r="X340" s="777"/>
      <c r="Y340" s="777"/>
      <c r="Z340" s="631"/>
      <c r="AA340" s="275"/>
      <c r="AB340" s="275"/>
      <c r="AC340" s="275"/>
      <c r="AD340" s="275"/>
      <c r="AE340" s="631"/>
      <c r="AF340" s="275"/>
      <c r="AG340" s="275"/>
      <c r="AH340" s="275"/>
      <c r="AI340" s="275"/>
      <c r="AJ340" s="631"/>
      <c r="AK340" s="646"/>
      <c r="AL340" s="646"/>
      <c r="AM340" s="646"/>
      <c r="AN340" s="646"/>
      <c r="AO340" s="1504"/>
      <c r="AP340" s="646"/>
      <c r="AQ340" s="646"/>
      <c r="AR340" s="646"/>
      <c r="AS340" s="646"/>
      <c r="AT340" s="1504"/>
      <c r="AU340" s="646"/>
      <c r="AV340" s="646"/>
      <c r="AW340" s="646"/>
      <c r="AX340" s="646"/>
      <c r="AY340" s="1504"/>
      <c r="AZ340" s="646"/>
      <c r="BA340" s="646"/>
      <c r="BB340" s="646"/>
      <c r="BC340" s="646"/>
      <c r="BD340" s="1504"/>
      <c r="BE340" s="646"/>
      <c r="BF340" s="646"/>
      <c r="BG340" s="646"/>
      <c r="BH340" s="646"/>
      <c r="BI340" s="1504"/>
      <c r="BJ340" s="646"/>
      <c r="BK340" s="646"/>
      <c r="BL340" s="646"/>
      <c r="BM340" s="646"/>
      <c r="BN340" s="1504"/>
      <c r="BO340" s="646"/>
      <c r="BP340" s="646"/>
      <c r="BQ340" s="646"/>
      <c r="BR340" s="646"/>
      <c r="BS340" s="1504"/>
      <c r="BT340" s="646"/>
      <c r="BU340" s="646"/>
      <c r="BV340" s="646"/>
      <c r="BW340" s="646"/>
      <c r="BX340" s="1504"/>
      <c r="BY340" s="646">
        <f>+Rooms!CA477*BY59/1000000*BY$4</f>
        <v>0</v>
      </c>
      <c r="BZ340" s="646"/>
      <c r="CA340" s="2661">
        <f>+Rooms!CC477*CA59/1000000*CA$4</f>
        <v>50.26144</v>
      </c>
      <c r="CB340" s="2661">
        <f>+Rooms!CD477*CB59/1000000*CB$4</f>
        <v>50.254079999999995</v>
      </c>
      <c r="CC340" s="1504">
        <f t="shared" si="264"/>
        <v>100.51552</v>
      </c>
      <c r="CD340" s="2661">
        <f>+Rooms!CF477*CD59/1000000*CD$4</f>
        <v>52.17659043715846</v>
      </c>
      <c r="CE340" s="2661">
        <f>+Rooms!CG477*CE59/1000000*CE$4</f>
        <v>52.17659043715846</v>
      </c>
      <c r="CF340" s="2661">
        <f>+Rooms!CH477*CF59/1000000*CF$4</f>
        <v>52.749959562841518</v>
      </c>
      <c r="CG340" s="2661"/>
      <c r="CH340" s="1504"/>
      <c r="CI340" s="2661"/>
      <c r="CJ340" s="2661"/>
      <c r="CK340" s="2661"/>
      <c r="CL340" s="2661"/>
      <c r="CM340" s="1504"/>
      <c r="CN340" s="2661"/>
      <c r="CO340" s="2661"/>
      <c r="CP340" s="2661"/>
      <c r="CQ340" s="2969"/>
      <c r="CR340"/>
      <c r="CS340" s="1505"/>
      <c r="CT340" s="1505"/>
      <c r="DB340" s="1226"/>
    </row>
    <row r="341" spans="1:106" s="2631" customFormat="1" x14ac:dyDescent="0.2">
      <c r="A341" s="2308" t="s">
        <v>1390</v>
      </c>
      <c r="B341" s="777"/>
      <c r="C341" s="777"/>
      <c r="D341" s="777"/>
      <c r="E341" s="777"/>
      <c r="F341" s="2345"/>
      <c r="G341" s="777"/>
      <c r="H341" s="777"/>
      <c r="I341" s="777"/>
      <c r="J341" s="777"/>
      <c r="K341" s="2345"/>
      <c r="L341" s="777"/>
      <c r="M341" s="777"/>
      <c r="N341" s="777"/>
      <c r="O341" s="777"/>
      <c r="P341" s="631"/>
      <c r="Q341" s="777"/>
      <c r="R341" s="777"/>
      <c r="S341" s="777"/>
      <c r="T341" s="777"/>
      <c r="U341" s="631"/>
      <c r="V341" s="777"/>
      <c r="W341" s="777"/>
      <c r="X341" s="777"/>
      <c r="Y341" s="777"/>
      <c r="Z341" s="631"/>
      <c r="AA341" s="3037"/>
      <c r="AB341" s="3037"/>
      <c r="AC341" s="3037"/>
      <c r="AD341" s="3037"/>
      <c r="AE341" s="631"/>
      <c r="AF341" s="3037"/>
      <c r="AG341" s="3037"/>
      <c r="AH341" s="3037"/>
      <c r="AI341" s="3037"/>
      <c r="AJ341" s="631"/>
      <c r="AK341" s="2661">
        <f>+Rooms!AM475*AK$87/1000000*AK$4</f>
        <v>21.548667232165805</v>
      </c>
      <c r="AL341" s="2661">
        <f>+Rooms!AN475*AL$87/1000000*AL$4</f>
        <v>24.754619254680001</v>
      </c>
      <c r="AM341" s="2661">
        <f>+Rooms!AO475*AM$87/1000000*AM$4</f>
        <v>25.618933199999997</v>
      </c>
      <c r="AN341" s="2661">
        <f>+Rooms!AP475*AN$87/1000000*AN$4</f>
        <v>31.042996817999999</v>
      </c>
      <c r="AO341" s="1504">
        <f>+SUM(AK341:AN341)</f>
        <v>102.96521650484581</v>
      </c>
      <c r="AP341" s="2661">
        <f>+Rooms!AR475*AP$87/1000000*AP$4</f>
        <v>23.369076864000004</v>
      </c>
      <c r="AQ341" s="2661">
        <f>+Rooms!AS475*AQ$87/1000000*AQ$4</f>
        <v>26.158627756800001</v>
      </c>
      <c r="AR341" s="2661">
        <f>+Rooms!AT475*AR$87/1000000*AR$4</f>
        <v>26.251588339199998</v>
      </c>
      <c r="AS341" s="2661">
        <f>+Rooms!AU475*AS$87/1000000*AS$4</f>
        <v>30.718822118399999</v>
      </c>
      <c r="AT341" s="1504">
        <f>+SUM(AP341:AS341)</f>
        <v>106.49811507840001</v>
      </c>
      <c r="AU341" s="2661">
        <f>+Rooms!AW475*AU$87/1000000*AU$4</f>
        <v>20.619496396799999</v>
      </c>
      <c r="AV341" s="2661">
        <f>+Rooms!AX475*AV$87/1000000*AV$4</f>
        <v>21.740745852000003</v>
      </c>
      <c r="AW341" s="2661">
        <f>+Rooms!AY475*AW$87/1000000*AW$4</f>
        <v>22.792861576800004</v>
      </c>
      <c r="AX341" s="2661">
        <f>+Rooms!AZ475*AX$87/1000000*AX$4</f>
        <v>31.031315566719996</v>
      </c>
      <c r="AY341" s="1504">
        <f>+SUM(AU341:AX341)</f>
        <v>96.184419392320009</v>
      </c>
      <c r="AZ341" s="2661">
        <f>+Rooms!BB475*AZ$87/1000000*AZ$4</f>
        <v>24.360413095199998</v>
      </c>
      <c r="BA341" s="2661">
        <f>+Rooms!BC475*BA$87/1000000*BA$4</f>
        <v>28.7487839898</v>
      </c>
      <c r="BB341" s="2661">
        <f>+Rooms!BD475*BB$87/1000000*BB$4</f>
        <v>30.13683154944</v>
      </c>
      <c r="BC341" s="2661">
        <f>+Rooms!BE475*BC$87/1000000*BC$4</f>
        <v>34.934307233280002</v>
      </c>
      <c r="BD341" s="1504">
        <f>+SUM(AZ341:BC341)</f>
        <v>118.18033586772</v>
      </c>
      <c r="BE341" s="2661">
        <f>+Rooms!BG475*BE$87/1000000*BE$4</f>
        <v>27.157024056959997</v>
      </c>
      <c r="BF341" s="2661">
        <f>+Rooms!BH475*BF$87/1000000*BF$4</f>
        <v>31.958302418279995</v>
      </c>
      <c r="BG341" s="2661">
        <f>+Rooms!BI475*BG$87/1000000*BG$4</f>
        <v>33.137127092159993</v>
      </c>
      <c r="BH341" s="2661">
        <f>+Rooms!BJ475*BH$87/1000000*BH$4</f>
        <v>38.260189072000003</v>
      </c>
      <c r="BI341" s="1504">
        <f>+SUM(BE341:BH341)</f>
        <v>130.51264263939999</v>
      </c>
      <c r="BJ341" s="2661">
        <f>+Rooms!BL475*BJ$87/1000000*BJ$4</f>
        <v>29.915638920719999</v>
      </c>
      <c r="BK341" s="2661">
        <f>+Rooms!BM475*BK$87/1000000*BK$4</f>
        <v>33.728289228480001</v>
      </c>
      <c r="BL341" s="2661">
        <f>+Rooms!BN475*BL$87/1000000*BL$4</f>
        <v>32.634495542880003</v>
      </c>
      <c r="BM341" s="2661">
        <f>+Rooms!BO475*BM$87/1000000*BM$4</f>
        <v>35.650524772800004</v>
      </c>
      <c r="BN341" s="1504">
        <f>+SUM(BJ341:BM341)</f>
        <v>131.92894846487999</v>
      </c>
      <c r="BO341" s="2661">
        <f>+Rooms!BQ475*BO$87/1000000*BO$4</f>
        <v>29.779319770200004</v>
      </c>
      <c r="BP341" s="2661">
        <f>+Rooms!BR475*BP$87/1000000*BP$4</f>
        <v>35.107287253220008</v>
      </c>
      <c r="BQ341" s="2661">
        <f>+Rooms!BS475*BQ$87/1000000*BQ$4</f>
        <v>34.906751853599999</v>
      </c>
      <c r="BR341" s="2661">
        <f>+Rooms!BT475*BR$87/1000000*BR$4</f>
        <v>30.004709417280001</v>
      </c>
      <c r="BS341" s="1504">
        <f>+SUM(BO341:BR341)</f>
        <v>129.79806829430001</v>
      </c>
      <c r="BT341" s="2661">
        <f>+Rooms!BV475*BT$87/1000000*BT$4</f>
        <v>31.750191892800004</v>
      </c>
      <c r="BU341" s="2661">
        <f>+Rooms!BW475*BU$87/1000000*BU$4</f>
        <v>37.490904731279997</v>
      </c>
      <c r="BV341" s="2661">
        <f>+Rooms!BX475*BV$87/1000000*BV$4</f>
        <v>37.901248673759994</v>
      </c>
      <c r="BW341" s="2661">
        <f>+Rooms!BY475*BW$87/1000000*BW$4</f>
        <v>31.55816913</v>
      </c>
      <c r="BX341" s="1504">
        <f>+SUM(BT341:BW341)</f>
        <v>138.70051442784001</v>
      </c>
      <c r="BY341" s="2661">
        <f>+Rooms!CA475*BY$87/1000000*BY$4</f>
        <v>34.000314074999999</v>
      </c>
      <c r="BZ341" s="2661">
        <f>+Rooms!CB475*BZ$87/1000000*BZ$4</f>
        <v>39.5297551285</v>
      </c>
      <c r="CA341" s="2661">
        <f>+Rooms!CC475*CA$87/1000000*CA$4</f>
        <v>41.620913932800001</v>
      </c>
      <c r="CB341" s="2661">
        <f>+Rooms!CD475*CB$87/1000000*CB$4</f>
        <v>35.046016614399996</v>
      </c>
      <c r="CC341" s="1504">
        <f t="shared" si="264"/>
        <v>150.1969997507</v>
      </c>
      <c r="CD341" s="2661">
        <f>+Rooms!CF475*CD$87/1000000*CD$4</f>
        <v>37.91185770645</v>
      </c>
      <c r="CE341" s="2661">
        <f>+Rooms!CG475*CE$87/1000000*CE$4</f>
        <v>44.755597614000003</v>
      </c>
      <c r="CF341" s="2661">
        <f>+Rooms!CH475*CF$87/1000000*CF$4</f>
        <v>44.695625621040001</v>
      </c>
      <c r="CG341" s="2661"/>
      <c r="CH341" s="1504"/>
      <c r="CI341" s="2661"/>
      <c r="CJ341" s="2661"/>
      <c r="CK341" s="2661"/>
      <c r="CL341" s="2661"/>
      <c r="CM341" s="1504"/>
      <c r="CN341" s="2661"/>
      <c r="CO341" s="2661"/>
      <c r="CP341" s="2661"/>
      <c r="CQ341" s="2969"/>
      <c r="CR341" s="2969"/>
      <c r="CS341" s="3038"/>
      <c r="CT341" s="3038"/>
      <c r="DA341" s="212"/>
      <c r="DB341" s="1226"/>
    </row>
    <row r="342" spans="1:106" s="212" customFormat="1" ht="4.5" customHeight="1" x14ac:dyDescent="0.2">
      <c r="A342" s="1580"/>
      <c r="B342" s="1506"/>
      <c r="C342" s="1506"/>
      <c r="D342" s="1506"/>
      <c r="E342" s="1506"/>
      <c r="F342" s="1507"/>
      <c r="G342" s="1506"/>
      <c r="H342" s="1506"/>
      <c r="I342" s="1506"/>
      <c r="J342" s="1506"/>
      <c r="K342" s="1507"/>
      <c r="L342" s="1506"/>
      <c r="M342" s="1506"/>
      <c r="N342" s="1506"/>
      <c r="O342" s="1506"/>
      <c r="P342" s="1508"/>
      <c r="Q342" s="1506"/>
      <c r="R342" s="1506"/>
      <c r="S342" s="1506"/>
      <c r="T342" s="1506"/>
      <c r="U342" s="1508"/>
      <c r="V342" s="1506"/>
      <c r="W342" s="1506"/>
      <c r="X342" s="1506"/>
      <c r="Y342" s="1506"/>
      <c r="Z342" s="1508"/>
      <c r="AA342" s="1509"/>
      <c r="AB342" s="1509"/>
      <c r="AC342" s="1509"/>
      <c r="AD342" s="1509"/>
      <c r="AE342" s="1508"/>
      <c r="AF342" s="1509"/>
      <c r="AG342" s="1509"/>
      <c r="AH342" s="1509"/>
      <c r="AI342" s="1509"/>
      <c r="AJ342" s="1508"/>
      <c r="AK342" s="728"/>
      <c r="AL342" s="728"/>
      <c r="AM342" s="728"/>
      <c r="AN342" s="728"/>
      <c r="AO342" s="1510"/>
      <c r="AP342" s="728"/>
      <c r="AQ342" s="728"/>
      <c r="AR342" s="728"/>
      <c r="AS342" s="728"/>
      <c r="AT342" s="1510"/>
      <c r="AU342" s="728"/>
      <c r="AV342" s="728"/>
      <c r="AW342" s="728"/>
      <c r="AX342" s="728"/>
      <c r="AY342" s="1510"/>
      <c r="AZ342" s="728"/>
      <c r="BA342" s="728"/>
      <c r="BB342" s="728"/>
      <c r="BC342" s="728"/>
      <c r="BD342" s="1510"/>
      <c r="BE342" s="728"/>
      <c r="BF342" s="728"/>
      <c r="BG342" s="728"/>
      <c r="BH342" s="728"/>
      <c r="BI342" s="1510"/>
      <c r="BJ342" s="728"/>
      <c r="BK342" s="728"/>
      <c r="BL342" s="728"/>
      <c r="BM342" s="728"/>
      <c r="BN342" s="1510"/>
      <c r="BO342" s="728"/>
      <c r="BP342" s="728"/>
      <c r="BQ342" s="728"/>
      <c r="BR342" s="728"/>
      <c r="BS342" s="1510"/>
      <c r="BT342" s="728"/>
      <c r="BU342" s="728"/>
      <c r="BV342" s="728"/>
      <c r="BW342" s="728"/>
      <c r="BX342" s="1510"/>
      <c r="BY342" s="728"/>
      <c r="BZ342" s="728"/>
      <c r="CA342" s="728"/>
      <c r="CB342" s="728"/>
      <c r="CC342" s="1510"/>
      <c r="CD342" s="728"/>
      <c r="CE342" s="728"/>
      <c r="CF342" s="728"/>
      <c r="CG342" s="728"/>
      <c r="CH342" s="1510"/>
      <c r="CI342" s="728"/>
      <c r="CJ342" s="728"/>
      <c r="CK342" s="728"/>
      <c r="CL342" s="728"/>
      <c r="CM342" s="1510"/>
      <c r="CN342" s="728"/>
      <c r="CO342" s="728"/>
      <c r="CP342" s="728"/>
      <c r="CQ342"/>
      <c r="CR342" s="1616"/>
      <c r="CS342" s="1511"/>
      <c r="CT342" s="1511"/>
      <c r="DB342" s="1226"/>
    </row>
    <row r="343" spans="1:106" s="234" customFormat="1" x14ac:dyDescent="0.2">
      <c r="A343" s="3039" t="s">
        <v>2454</v>
      </c>
      <c r="B343" s="1506"/>
      <c r="C343" s="1506"/>
      <c r="D343" s="1506"/>
      <c r="E343" s="1506"/>
      <c r="F343" s="1507"/>
      <c r="G343" s="1506"/>
      <c r="H343" s="1506"/>
      <c r="I343" s="1506"/>
      <c r="J343" s="1506"/>
      <c r="K343" s="1507"/>
      <c r="L343" s="1506"/>
      <c r="M343" s="1506"/>
      <c r="N343" s="1506"/>
      <c r="O343" s="1506"/>
      <c r="P343" s="1508"/>
      <c r="Q343" s="1506"/>
      <c r="R343" s="1506"/>
      <c r="S343" s="1506"/>
      <c r="T343" s="1506"/>
      <c r="U343" s="1508"/>
      <c r="V343" s="1506"/>
      <c r="W343" s="1506"/>
      <c r="X343" s="1506"/>
      <c r="Y343" s="1506"/>
      <c r="Z343" s="1508"/>
      <c r="AA343" s="1509"/>
      <c r="AB343" s="1509"/>
      <c r="AC343" s="1509"/>
      <c r="AD343" s="1509"/>
      <c r="AE343" s="1508"/>
      <c r="AF343" s="1509"/>
      <c r="AG343" s="1509"/>
      <c r="AH343" s="1509"/>
      <c r="AI343" s="1509"/>
      <c r="AJ343" s="1508"/>
      <c r="AK343" s="728"/>
      <c r="AL343" s="728"/>
      <c r="AM343" s="728"/>
      <c r="AN343" s="728"/>
      <c r="AO343" s="1510"/>
      <c r="AP343" s="728"/>
      <c r="AQ343" s="728"/>
      <c r="AR343" s="728"/>
      <c r="AS343" s="728"/>
      <c r="AT343" s="1510"/>
      <c r="AU343" s="728"/>
      <c r="AV343" s="728"/>
      <c r="AW343" s="728"/>
      <c r="AX343" s="728"/>
      <c r="AY343" s="1510"/>
      <c r="AZ343" s="728"/>
      <c r="BA343" s="728"/>
      <c r="BB343" s="728"/>
      <c r="BC343" s="728"/>
      <c r="BD343" s="1510"/>
      <c r="BE343" s="728"/>
      <c r="BF343" s="728"/>
      <c r="BG343" s="728"/>
      <c r="BH343" s="728"/>
      <c r="BI343" s="1510"/>
      <c r="BJ343" s="728"/>
      <c r="BK343" s="728"/>
      <c r="BL343" s="728"/>
      <c r="BM343" s="728"/>
      <c r="BN343" s="1510"/>
      <c r="BO343" s="728"/>
      <c r="BP343" s="728"/>
      <c r="BQ343" s="728"/>
      <c r="BR343" s="728"/>
      <c r="BS343" s="1510"/>
      <c r="BT343" s="728"/>
      <c r="BU343" s="728"/>
      <c r="BV343" s="728"/>
      <c r="BW343" s="728"/>
      <c r="BX343" s="1510"/>
      <c r="BY343" s="728"/>
      <c r="BZ343" s="728"/>
      <c r="CA343" s="728"/>
      <c r="CB343" s="728"/>
      <c r="CC343" s="1510"/>
      <c r="CD343" s="3047">
        <v>219.83492958336001</v>
      </c>
      <c r="CE343" s="2661">
        <f>Rooms!CG480*RevPAR!CE$91/1000000*RevPAR!CE$4</f>
        <v>265.85880345024003</v>
      </c>
      <c r="CF343" s="2661">
        <f>Rooms!CH480*RevPAR!CF$91/1000000*RevPAR!CF$4</f>
        <v>264.75044572497666</v>
      </c>
      <c r="CG343" s="2661"/>
      <c r="CH343" s="3038"/>
      <c r="CI343" s="2661"/>
      <c r="CJ343" s="2661"/>
      <c r="CK343" s="2661"/>
      <c r="CL343" s="2661"/>
      <c r="CM343" s="3038"/>
      <c r="CN343" s="2661"/>
      <c r="CO343" s="2661"/>
      <c r="CP343" s="2661"/>
      <c r="CQ343" s="2969"/>
      <c r="CR343" s="2661"/>
      <c r="CS343" s="3038"/>
      <c r="CT343" s="3038"/>
      <c r="DA343" s="212"/>
      <c r="DB343" s="1226"/>
    </row>
    <row r="344" spans="1:106" s="234" customFormat="1" x14ac:dyDescent="0.2">
      <c r="A344" s="3039" t="s">
        <v>2455</v>
      </c>
      <c r="B344" s="1506"/>
      <c r="C344" s="1506"/>
      <c r="D344" s="1506"/>
      <c r="E344" s="1506"/>
      <c r="F344" s="1507"/>
      <c r="G344" s="1506"/>
      <c r="H344" s="1506"/>
      <c r="I344" s="1506"/>
      <c r="J344" s="1506"/>
      <c r="K344" s="1507"/>
      <c r="L344" s="1506"/>
      <c r="M344" s="1506"/>
      <c r="N344" s="1506"/>
      <c r="O344" s="1506"/>
      <c r="P344" s="1508"/>
      <c r="Q344" s="1506"/>
      <c r="R344" s="1506"/>
      <c r="S344" s="1506"/>
      <c r="T344" s="1506"/>
      <c r="U344" s="1508"/>
      <c r="V344" s="1506"/>
      <c r="W344" s="1506"/>
      <c r="X344" s="1506"/>
      <c r="Y344" s="1506"/>
      <c r="Z344" s="1508"/>
      <c r="AA344" s="1509"/>
      <c r="AB344" s="1509"/>
      <c r="AC344" s="1509"/>
      <c r="AD344" s="1509"/>
      <c r="AE344" s="1508"/>
      <c r="AF344" s="1509"/>
      <c r="AG344" s="1509"/>
      <c r="AH344" s="1509"/>
      <c r="AI344" s="1509"/>
      <c r="AJ344" s="1508"/>
      <c r="AK344" s="728"/>
      <c r="AL344" s="728"/>
      <c r="AM344" s="728"/>
      <c r="AN344" s="728"/>
      <c r="AO344" s="1510"/>
      <c r="AP344" s="728"/>
      <c r="AQ344" s="728"/>
      <c r="AR344" s="728"/>
      <c r="AS344" s="728"/>
      <c r="AT344" s="1510"/>
      <c r="AU344" s="728"/>
      <c r="AV344" s="728"/>
      <c r="AW344" s="728"/>
      <c r="AX344" s="728"/>
      <c r="AY344" s="1510"/>
      <c r="AZ344" s="728"/>
      <c r="BA344" s="728"/>
      <c r="BB344" s="728"/>
      <c r="BC344" s="728"/>
      <c r="BD344" s="1510"/>
      <c r="BE344" s="728"/>
      <c r="BF344" s="728"/>
      <c r="BG344" s="728"/>
      <c r="BH344" s="728"/>
      <c r="BI344" s="1510"/>
      <c r="BJ344" s="728"/>
      <c r="BK344" s="728"/>
      <c r="BL344" s="728"/>
      <c r="BM344" s="728"/>
      <c r="BN344" s="1510"/>
      <c r="BO344" s="728"/>
      <c r="BP344" s="728"/>
      <c r="BQ344" s="728"/>
      <c r="BR344" s="728"/>
      <c r="BS344" s="1510"/>
      <c r="BT344" s="728"/>
      <c r="BU344" s="728"/>
      <c r="BV344" s="728"/>
      <c r="BW344" s="728"/>
      <c r="BX344" s="1510"/>
      <c r="BY344" s="728"/>
      <c r="BZ344" s="728"/>
      <c r="CA344" s="728"/>
      <c r="CB344" s="728"/>
      <c r="CC344" s="1510"/>
      <c r="CD344" s="3047">
        <v>336.24727613567995</v>
      </c>
      <c r="CE344" s="2661">
        <f>Rooms!CG481*RevPAR!CE$93/1000000*RevPAR!CE$4</f>
        <v>373.96946670720001</v>
      </c>
      <c r="CF344" s="2661">
        <f>Rooms!CH481*RevPAR!CF$93/1000000*RevPAR!CF$4</f>
        <v>355.21015235886176</v>
      </c>
      <c r="CG344" s="2661"/>
      <c r="CH344" s="3038"/>
      <c r="CI344" s="2661"/>
      <c r="CJ344" s="2661"/>
      <c r="CK344" s="2661"/>
      <c r="CL344" s="2661"/>
      <c r="CM344" s="3038"/>
      <c r="CN344" s="2661"/>
      <c r="CO344" s="2661"/>
      <c r="CP344" s="2661"/>
      <c r="CQ344" s="2969"/>
      <c r="CR344" s="2661"/>
      <c r="CS344" s="3038"/>
      <c r="CT344" s="3038"/>
      <c r="DA344" s="212"/>
      <c r="DB344" s="1226"/>
    </row>
    <row r="345" spans="1:106" s="234" customFormat="1" x14ac:dyDescent="0.2">
      <c r="A345" s="3039" t="s">
        <v>2456</v>
      </c>
      <c r="B345" s="1506"/>
      <c r="C345" s="1506"/>
      <c r="D345" s="1506"/>
      <c r="E345" s="1506"/>
      <c r="F345" s="1507"/>
      <c r="G345" s="1506"/>
      <c r="H345" s="1506"/>
      <c r="I345" s="1506"/>
      <c r="J345" s="1506"/>
      <c r="K345" s="1507"/>
      <c r="L345" s="1506"/>
      <c r="M345" s="1506"/>
      <c r="N345" s="1506"/>
      <c r="O345" s="1506"/>
      <c r="P345" s="1508"/>
      <c r="Q345" s="1506"/>
      <c r="R345" s="1506"/>
      <c r="S345" s="1506"/>
      <c r="T345" s="1506"/>
      <c r="U345" s="1508"/>
      <c r="V345" s="1506"/>
      <c r="W345" s="1506"/>
      <c r="X345" s="1506"/>
      <c r="Y345" s="1506"/>
      <c r="Z345" s="1508"/>
      <c r="AA345" s="1509"/>
      <c r="AB345" s="1509"/>
      <c r="AC345" s="1509"/>
      <c r="AD345" s="1509"/>
      <c r="AE345" s="1508"/>
      <c r="AF345" s="1509"/>
      <c r="AG345" s="1509"/>
      <c r="AH345" s="1509"/>
      <c r="AI345" s="1509"/>
      <c r="AJ345" s="1508"/>
      <c r="AK345" s="728"/>
      <c r="AL345" s="728"/>
      <c r="AM345" s="728"/>
      <c r="AN345" s="728"/>
      <c r="AO345" s="1510"/>
      <c r="AP345" s="728"/>
      <c r="AQ345" s="728"/>
      <c r="AR345" s="728"/>
      <c r="AS345" s="728"/>
      <c r="AT345" s="1510"/>
      <c r="AU345" s="728"/>
      <c r="AV345" s="728"/>
      <c r="AW345" s="728"/>
      <c r="AX345" s="728"/>
      <c r="AY345" s="1510"/>
      <c r="AZ345" s="728"/>
      <c r="BA345" s="728"/>
      <c r="BB345" s="728"/>
      <c r="BC345" s="728"/>
      <c r="BD345" s="1510"/>
      <c r="BE345" s="728"/>
      <c r="BF345" s="728"/>
      <c r="BG345" s="728"/>
      <c r="BH345" s="728"/>
      <c r="BI345" s="1510"/>
      <c r="BJ345" s="728"/>
      <c r="BK345" s="728"/>
      <c r="BL345" s="728"/>
      <c r="BM345" s="728"/>
      <c r="BN345" s="1510"/>
      <c r="BO345" s="728"/>
      <c r="BP345" s="728"/>
      <c r="BQ345" s="728"/>
      <c r="BR345" s="728"/>
      <c r="BS345" s="1510"/>
      <c r="BT345" s="728"/>
      <c r="BU345" s="728"/>
      <c r="BV345" s="728"/>
      <c r="BW345" s="728"/>
      <c r="BX345" s="1510"/>
      <c r="BY345" s="728"/>
      <c r="BZ345" s="728"/>
      <c r="CA345" s="728"/>
      <c r="CB345" s="728"/>
      <c r="CC345" s="1510"/>
      <c r="CD345" s="3047">
        <v>0.93450426160000011</v>
      </c>
      <c r="CE345" s="2661">
        <f>Rooms!CG482*RevPAR!CE$101/1000000*RevPAR!CE$4</f>
        <v>1.1406613909600001</v>
      </c>
      <c r="CF345" s="2661">
        <f>Rooms!CH482*RevPAR!CF$101/1000000*RevPAR!CF$4</f>
        <v>1.2014653454496003</v>
      </c>
      <c r="CG345" s="2661"/>
      <c r="CH345" s="3038"/>
      <c r="CI345" s="2661"/>
      <c r="CJ345" s="2661"/>
      <c r="CK345" s="2661"/>
      <c r="CL345" s="2661"/>
      <c r="CM345" s="3038"/>
      <c r="CN345" s="2661"/>
      <c r="CO345" s="2661"/>
      <c r="CP345" s="2661"/>
      <c r="CQ345" s="2969"/>
      <c r="CR345" s="2661"/>
      <c r="CS345" s="3038"/>
      <c r="CT345" s="3038"/>
      <c r="DA345" s="212"/>
      <c r="DB345" s="1226"/>
    </row>
    <row r="346" spans="1:106" s="234" customFormat="1" x14ac:dyDescent="0.2">
      <c r="A346" s="3039" t="s">
        <v>2457</v>
      </c>
      <c r="B346" s="1506"/>
      <c r="C346" s="1506"/>
      <c r="D346" s="1506"/>
      <c r="E346" s="1506"/>
      <c r="F346" s="1507"/>
      <c r="G346" s="1506"/>
      <c r="H346" s="1506"/>
      <c r="I346" s="1506"/>
      <c r="J346" s="1506"/>
      <c r="K346" s="1507"/>
      <c r="L346" s="1506"/>
      <c r="M346" s="1506"/>
      <c r="N346" s="1506"/>
      <c r="O346" s="1506"/>
      <c r="P346" s="1508"/>
      <c r="Q346" s="1506"/>
      <c r="R346" s="1506"/>
      <c r="S346" s="1506"/>
      <c r="T346" s="1506"/>
      <c r="U346" s="1508"/>
      <c r="V346" s="1506"/>
      <c r="W346" s="1506"/>
      <c r="X346" s="1506"/>
      <c r="Y346" s="1506"/>
      <c r="Z346" s="1508"/>
      <c r="AA346" s="1509"/>
      <c r="AB346" s="1509"/>
      <c r="AC346" s="1509"/>
      <c r="AD346" s="1509"/>
      <c r="AE346" s="1508"/>
      <c r="AF346" s="1509"/>
      <c r="AG346" s="1509"/>
      <c r="AH346" s="1509"/>
      <c r="AI346" s="1509"/>
      <c r="AJ346" s="1508"/>
      <c r="AK346" s="728"/>
      <c r="AL346" s="728"/>
      <c r="AM346" s="728"/>
      <c r="AN346" s="728"/>
      <c r="AO346" s="1510"/>
      <c r="AP346" s="728"/>
      <c r="AQ346" s="728"/>
      <c r="AR346" s="728"/>
      <c r="AS346" s="728"/>
      <c r="AT346" s="1510"/>
      <c r="AU346" s="728"/>
      <c r="AV346" s="728"/>
      <c r="AW346" s="728"/>
      <c r="AX346" s="728"/>
      <c r="AY346" s="1510"/>
      <c r="AZ346" s="728"/>
      <c r="BA346" s="728"/>
      <c r="BB346" s="728"/>
      <c r="BC346" s="728"/>
      <c r="BD346" s="1510"/>
      <c r="BE346" s="728"/>
      <c r="BF346" s="728"/>
      <c r="BG346" s="728"/>
      <c r="BH346" s="728"/>
      <c r="BI346" s="1510"/>
      <c r="BJ346" s="728"/>
      <c r="BK346" s="728"/>
      <c r="BL346" s="728"/>
      <c r="BM346" s="728"/>
      <c r="BN346" s="1510"/>
      <c r="BO346" s="728"/>
      <c r="BP346" s="728"/>
      <c r="BQ346" s="728"/>
      <c r="BR346" s="728"/>
      <c r="BS346" s="1510"/>
      <c r="BT346" s="728"/>
      <c r="BU346" s="728"/>
      <c r="BV346" s="728"/>
      <c r="BW346" s="728"/>
      <c r="BX346" s="1510"/>
      <c r="BY346" s="728"/>
      <c r="BZ346" s="728"/>
      <c r="CA346" s="728"/>
      <c r="CB346" s="728"/>
      <c r="CC346" s="1510"/>
      <c r="CD346" s="3047">
        <v>144.20625273600004</v>
      </c>
      <c r="CE346" s="2661">
        <f>Rooms!CG483*RevPAR!CE$99/1000000*RevPAR!CE$4</f>
        <v>167.67693381347999</v>
      </c>
      <c r="CF346" s="2661">
        <f>Rooms!CH483*RevPAR!CF$99/1000000*RevPAR!CF$4</f>
        <v>166.30717836210721</v>
      </c>
      <c r="CG346" s="2661"/>
      <c r="CH346" s="3038"/>
      <c r="CI346" s="2661"/>
      <c r="CJ346" s="2661"/>
      <c r="CK346" s="2661"/>
      <c r="CL346" s="2661"/>
      <c r="CM346" s="3038"/>
      <c r="CN346" s="2661"/>
      <c r="CO346" s="2661"/>
      <c r="CP346" s="2661"/>
      <c r="CQ346" s="2969"/>
      <c r="CR346" s="2661"/>
      <c r="CS346" s="3038"/>
      <c r="CT346" s="3038"/>
      <c r="DA346" s="212"/>
      <c r="DB346" s="1226"/>
    </row>
    <row r="347" spans="1:106" s="234" customFormat="1" x14ac:dyDescent="0.2">
      <c r="A347" s="3039" t="s">
        <v>2458</v>
      </c>
      <c r="B347" s="1506"/>
      <c r="C347" s="1506"/>
      <c r="D347" s="1506"/>
      <c r="E347" s="1506"/>
      <c r="F347" s="1507"/>
      <c r="G347" s="1506"/>
      <c r="H347" s="1506"/>
      <c r="I347" s="1506"/>
      <c r="J347" s="1506"/>
      <c r="K347" s="1507"/>
      <c r="L347" s="1506"/>
      <c r="M347" s="1506"/>
      <c r="N347" s="1506"/>
      <c r="O347" s="1506"/>
      <c r="P347" s="1508"/>
      <c r="Q347" s="1506"/>
      <c r="R347" s="1506"/>
      <c r="S347" s="1506"/>
      <c r="T347" s="1506"/>
      <c r="U347" s="1508"/>
      <c r="V347" s="1506"/>
      <c r="W347" s="1506"/>
      <c r="X347" s="1506"/>
      <c r="Y347" s="1506"/>
      <c r="Z347" s="1508"/>
      <c r="AA347" s="1509"/>
      <c r="AB347" s="1509"/>
      <c r="AC347" s="1509"/>
      <c r="AD347" s="1509"/>
      <c r="AE347" s="1508"/>
      <c r="AF347" s="1509"/>
      <c r="AG347" s="1509"/>
      <c r="AH347" s="1509"/>
      <c r="AI347" s="1509"/>
      <c r="AJ347" s="1508"/>
      <c r="AK347" s="728"/>
      <c r="AL347" s="728"/>
      <c r="AM347" s="728"/>
      <c r="AN347" s="728"/>
      <c r="AO347" s="1510"/>
      <c r="AP347" s="728"/>
      <c r="AQ347" s="728"/>
      <c r="AR347" s="728"/>
      <c r="AS347" s="728"/>
      <c r="AT347" s="1510"/>
      <c r="AU347" s="728"/>
      <c r="AV347" s="728"/>
      <c r="AW347" s="728"/>
      <c r="AX347" s="728"/>
      <c r="AY347" s="1510"/>
      <c r="AZ347" s="728"/>
      <c r="BA347" s="728"/>
      <c r="BB347" s="728"/>
      <c r="BC347" s="728"/>
      <c r="BD347" s="1510"/>
      <c r="BE347" s="728"/>
      <c r="BF347" s="728"/>
      <c r="BG347" s="728"/>
      <c r="BH347" s="728"/>
      <c r="BI347" s="1510"/>
      <c r="BJ347" s="728"/>
      <c r="BK347" s="728"/>
      <c r="BL347" s="728"/>
      <c r="BM347" s="728"/>
      <c r="BN347" s="1510"/>
      <c r="BO347" s="728"/>
      <c r="BP347" s="728"/>
      <c r="BQ347" s="728"/>
      <c r="BR347" s="728"/>
      <c r="BS347" s="1510"/>
      <c r="BT347" s="728"/>
      <c r="BU347" s="728"/>
      <c r="BV347" s="728"/>
      <c r="BW347" s="728"/>
      <c r="BX347" s="1510"/>
      <c r="BY347" s="728"/>
      <c r="BZ347" s="728"/>
      <c r="CA347" s="728"/>
      <c r="CB347" s="728"/>
      <c r="CC347" s="1510"/>
      <c r="CD347" s="3047">
        <v>70.468501181259995</v>
      </c>
      <c r="CE347" s="2661">
        <f>Rooms!CG484*RevPAR!CE$95/1000000*RevPAR!CE$4</f>
        <v>62.012400613800004</v>
      </c>
      <c r="CF347" s="2661">
        <f>Rooms!CH484*RevPAR!CF$95/1000000*RevPAR!CF$4</f>
        <v>62.628371760998398</v>
      </c>
      <c r="CG347" s="2661"/>
      <c r="CH347" s="3038"/>
      <c r="CI347" s="2661"/>
      <c r="CJ347" s="2661"/>
      <c r="CK347" s="2661"/>
      <c r="CL347" s="2661"/>
      <c r="CM347" s="3038"/>
      <c r="CN347" s="2661"/>
      <c r="CO347" s="2661"/>
      <c r="CP347" s="2661"/>
      <c r="CQ347" s="2969"/>
      <c r="CR347" s="2661"/>
      <c r="CS347" s="3038"/>
      <c r="CT347" s="3038"/>
      <c r="DA347" s="212"/>
      <c r="DB347" s="1226"/>
    </row>
    <row r="348" spans="1:106" s="234" customFormat="1" x14ac:dyDescent="0.2">
      <c r="A348" s="3039" t="s">
        <v>2459</v>
      </c>
      <c r="B348" s="1506"/>
      <c r="C348" s="1506"/>
      <c r="D348" s="1506"/>
      <c r="E348" s="1506"/>
      <c r="F348" s="1507"/>
      <c r="G348" s="1506"/>
      <c r="H348" s="1506"/>
      <c r="I348" s="1506"/>
      <c r="J348" s="1506"/>
      <c r="K348" s="1507"/>
      <c r="L348" s="1506"/>
      <c r="M348" s="1506"/>
      <c r="N348" s="1506"/>
      <c r="O348" s="1506"/>
      <c r="P348" s="1508"/>
      <c r="Q348" s="1506"/>
      <c r="R348" s="1506"/>
      <c r="S348" s="1506"/>
      <c r="T348" s="1506"/>
      <c r="U348" s="1508"/>
      <c r="V348" s="1506"/>
      <c r="W348" s="1506"/>
      <c r="X348" s="1506"/>
      <c r="Y348" s="1506"/>
      <c r="Z348" s="1508"/>
      <c r="AA348" s="1509"/>
      <c r="AB348" s="1509"/>
      <c r="AC348" s="1509"/>
      <c r="AD348" s="1509"/>
      <c r="AE348" s="1508"/>
      <c r="AF348" s="1509"/>
      <c r="AG348" s="1509"/>
      <c r="AH348" s="1509"/>
      <c r="AI348" s="1509"/>
      <c r="AJ348" s="1508"/>
      <c r="AK348" s="728"/>
      <c r="AL348" s="728"/>
      <c r="AM348" s="728"/>
      <c r="AN348" s="728"/>
      <c r="AO348" s="1510"/>
      <c r="AP348" s="728"/>
      <c r="AQ348" s="728"/>
      <c r="AR348" s="728"/>
      <c r="AS348" s="728"/>
      <c r="AT348" s="1510"/>
      <c r="AU348" s="728"/>
      <c r="AV348" s="728"/>
      <c r="AW348" s="728"/>
      <c r="AX348" s="728"/>
      <c r="AY348" s="1510"/>
      <c r="AZ348" s="728"/>
      <c r="BA348" s="728"/>
      <c r="BB348" s="728"/>
      <c r="BC348" s="728"/>
      <c r="BD348" s="1510"/>
      <c r="BE348" s="728"/>
      <c r="BF348" s="728"/>
      <c r="BG348" s="728"/>
      <c r="BH348" s="728"/>
      <c r="BI348" s="1510"/>
      <c r="BJ348" s="728"/>
      <c r="BK348" s="728"/>
      <c r="BL348" s="728"/>
      <c r="BM348" s="728"/>
      <c r="BN348" s="1510"/>
      <c r="BO348" s="728"/>
      <c r="BP348" s="728"/>
      <c r="BQ348" s="728"/>
      <c r="BR348" s="728"/>
      <c r="BS348" s="1510"/>
      <c r="BT348" s="728"/>
      <c r="BU348" s="728"/>
      <c r="BV348" s="728"/>
      <c r="BW348" s="728"/>
      <c r="BX348" s="1510"/>
      <c r="BY348" s="728"/>
      <c r="BZ348" s="728"/>
      <c r="CA348" s="728"/>
      <c r="CB348" s="728"/>
      <c r="CC348" s="1510"/>
      <c r="CD348" s="3047">
        <v>57.535964565169998</v>
      </c>
      <c r="CE348" s="2661">
        <f>Rooms!CG485*RevPAR!CE$95/1000000*RevPAR!CE$4</f>
        <v>39.5754814728</v>
      </c>
      <c r="CF348" s="2661">
        <f>Rooms!CH485*RevPAR!CF$95/1000000*RevPAR!CF$4</f>
        <v>39.968585988710402</v>
      </c>
      <c r="CG348" s="2661"/>
      <c r="CH348" s="3038"/>
      <c r="CI348" s="2661"/>
      <c r="CJ348" s="2661"/>
      <c r="CK348" s="2661"/>
      <c r="CL348" s="2661"/>
      <c r="CM348" s="3038"/>
      <c r="CN348" s="2661"/>
      <c r="CO348" s="2661"/>
      <c r="CP348" s="2661"/>
      <c r="CQ348" s="2969"/>
      <c r="CR348" s="2661"/>
      <c r="CS348" s="3038"/>
      <c r="CT348" s="3038"/>
      <c r="DA348" s="212"/>
      <c r="DB348" s="1226"/>
    </row>
    <row r="349" spans="1:106" s="234" customFormat="1" x14ac:dyDescent="0.2">
      <c r="A349" s="3039" t="s">
        <v>2460</v>
      </c>
      <c r="B349" s="1506"/>
      <c r="C349" s="1506"/>
      <c r="D349" s="1506"/>
      <c r="E349" s="1506"/>
      <c r="F349" s="1507"/>
      <c r="G349" s="1506"/>
      <c r="H349" s="1506"/>
      <c r="I349" s="1506"/>
      <c r="J349" s="1506"/>
      <c r="K349" s="1507"/>
      <c r="L349" s="1506"/>
      <c r="M349" s="1506"/>
      <c r="N349" s="1506"/>
      <c r="O349" s="1506"/>
      <c r="P349" s="1508"/>
      <c r="Q349" s="1506"/>
      <c r="R349" s="1506"/>
      <c r="S349" s="1506"/>
      <c r="T349" s="1506"/>
      <c r="U349" s="1508"/>
      <c r="V349" s="1506"/>
      <c r="W349" s="1506"/>
      <c r="X349" s="1506"/>
      <c r="Y349" s="1506"/>
      <c r="Z349" s="1508"/>
      <c r="AA349" s="1509"/>
      <c r="AB349" s="1509"/>
      <c r="AC349" s="1509"/>
      <c r="AD349" s="1509"/>
      <c r="AE349" s="1508"/>
      <c r="AF349" s="1509"/>
      <c r="AG349" s="1509"/>
      <c r="AH349" s="1509"/>
      <c r="AI349" s="1509"/>
      <c r="AJ349" s="1508"/>
      <c r="AK349" s="728"/>
      <c r="AL349" s="728"/>
      <c r="AM349" s="728"/>
      <c r="AN349" s="728"/>
      <c r="AO349" s="1510"/>
      <c r="AP349" s="728"/>
      <c r="AQ349" s="728"/>
      <c r="AR349" s="728"/>
      <c r="AS349" s="728"/>
      <c r="AT349" s="1510"/>
      <c r="AU349" s="728"/>
      <c r="AV349" s="728"/>
      <c r="AW349" s="728"/>
      <c r="AX349" s="728"/>
      <c r="AY349" s="1510"/>
      <c r="AZ349" s="728"/>
      <c r="BA349" s="728"/>
      <c r="BB349" s="728"/>
      <c r="BC349" s="728"/>
      <c r="BD349" s="1510"/>
      <c r="BE349" s="728"/>
      <c r="BF349" s="728"/>
      <c r="BG349" s="728"/>
      <c r="BH349" s="728"/>
      <c r="BI349" s="1510"/>
      <c r="BJ349" s="728"/>
      <c r="BK349" s="728"/>
      <c r="BL349" s="728"/>
      <c r="BM349" s="728"/>
      <c r="BN349" s="1510"/>
      <c r="BO349" s="728"/>
      <c r="BP349" s="728"/>
      <c r="BQ349" s="728"/>
      <c r="BR349" s="728"/>
      <c r="BS349" s="1510"/>
      <c r="BT349" s="728"/>
      <c r="BU349" s="728"/>
      <c r="BV349" s="728"/>
      <c r="BW349" s="728"/>
      <c r="BX349" s="1510"/>
      <c r="BY349" s="728"/>
      <c r="BZ349" s="728"/>
      <c r="CA349" s="728"/>
      <c r="CB349" s="728"/>
      <c r="CC349" s="1510"/>
      <c r="CD349" s="3047">
        <v>10.744866189330001</v>
      </c>
      <c r="CE349" s="2661">
        <f>Rooms!CG486*RevPAR!CE$97/1000000*RevPAR!CE$4</f>
        <v>13.62658507938</v>
      </c>
      <c r="CF349" s="2661">
        <f>Rooms!CH486*RevPAR!CF$97/1000000*RevPAR!CF$4</f>
        <v>13.775916708836888</v>
      </c>
      <c r="CG349" s="2661"/>
      <c r="CH349" s="3038"/>
      <c r="CI349" s="2661"/>
      <c r="CJ349" s="2661"/>
      <c r="CK349" s="2661"/>
      <c r="CL349" s="2661"/>
      <c r="CM349" s="3038"/>
      <c r="CN349" s="2661"/>
      <c r="CO349" s="2661"/>
      <c r="CP349" s="2661"/>
      <c r="CQ349" s="2969"/>
      <c r="CR349" s="2661"/>
      <c r="CS349" s="3038"/>
      <c r="CT349" s="3038"/>
      <c r="DA349" s="212"/>
      <c r="DB349" s="1226"/>
    </row>
    <row r="350" spans="1:106" s="234" customFormat="1" x14ac:dyDescent="0.2">
      <c r="A350" s="3039" t="s">
        <v>2464</v>
      </c>
      <c r="B350" s="1506"/>
      <c r="C350" s="1506"/>
      <c r="D350" s="1506"/>
      <c r="E350" s="1506"/>
      <c r="F350" s="1507"/>
      <c r="G350" s="1506"/>
      <c r="H350" s="1506"/>
      <c r="I350" s="1506"/>
      <c r="J350" s="1506"/>
      <c r="K350" s="1507"/>
      <c r="L350" s="1506"/>
      <c r="M350" s="1506"/>
      <c r="N350" s="1506"/>
      <c r="O350" s="1506"/>
      <c r="P350" s="1508"/>
      <c r="Q350" s="1506"/>
      <c r="R350" s="1506"/>
      <c r="S350" s="1506"/>
      <c r="T350" s="1506"/>
      <c r="U350" s="1508"/>
      <c r="V350" s="1506"/>
      <c r="W350" s="1506"/>
      <c r="X350" s="1506"/>
      <c r="Y350" s="1506"/>
      <c r="Z350" s="1508"/>
      <c r="AA350" s="1509"/>
      <c r="AB350" s="1509"/>
      <c r="AC350" s="1509"/>
      <c r="AD350" s="1509"/>
      <c r="AE350" s="1508"/>
      <c r="AF350" s="1509"/>
      <c r="AG350" s="1509"/>
      <c r="AH350" s="1509"/>
      <c r="AI350" s="1509"/>
      <c r="AJ350" s="1508"/>
      <c r="AK350" s="728"/>
      <c r="AL350" s="728"/>
      <c r="AM350" s="728"/>
      <c r="AN350" s="728"/>
      <c r="AO350" s="1510"/>
      <c r="AP350" s="728"/>
      <c r="AQ350" s="728"/>
      <c r="AR350" s="728"/>
      <c r="AS350" s="728"/>
      <c r="AT350" s="1510"/>
      <c r="AU350" s="728"/>
      <c r="AV350" s="728"/>
      <c r="AW350" s="728"/>
      <c r="AX350" s="728"/>
      <c r="AY350" s="1510"/>
      <c r="AZ350" s="728"/>
      <c r="BA350" s="728"/>
      <c r="BB350" s="728"/>
      <c r="BC350" s="728"/>
      <c r="BD350" s="1510"/>
      <c r="BE350" s="728"/>
      <c r="BF350" s="728"/>
      <c r="BG350" s="728"/>
      <c r="BH350" s="728"/>
      <c r="BI350" s="1510"/>
      <c r="BJ350" s="728"/>
      <c r="BK350" s="728"/>
      <c r="BL350" s="728"/>
      <c r="BM350" s="728"/>
      <c r="BN350" s="1510"/>
      <c r="BO350" s="728"/>
      <c r="BP350" s="728"/>
      <c r="BQ350" s="728"/>
      <c r="BR350" s="728"/>
      <c r="BS350" s="1510"/>
      <c r="BT350" s="728"/>
      <c r="BU350" s="728"/>
      <c r="BV350" s="728"/>
      <c r="BW350" s="728"/>
      <c r="BX350" s="1510"/>
      <c r="BY350" s="728"/>
      <c r="BZ350" s="728"/>
      <c r="CA350" s="728"/>
      <c r="CB350" s="728"/>
      <c r="CC350" s="1510"/>
      <c r="CD350" s="3047">
        <v>2.9050619597999998</v>
      </c>
      <c r="CE350" s="2661">
        <f>Rooms!CG487*RevPAR!CE$103/1000000*RevPAR!CE$4</f>
        <v>3.3947966051999998</v>
      </c>
      <c r="CF350" s="2661">
        <f>Rooms!CH487*RevPAR!CF$103/1000000*RevPAR!CF$4</f>
        <v>3.3968262137040002</v>
      </c>
      <c r="CG350" s="2661"/>
      <c r="CH350" s="3038"/>
      <c r="CI350" s="2661"/>
      <c r="CJ350" s="2661"/>
      <c r="CK350" s="2661"/>
      <c r="CL350" s="2661"/>
      <c r="CM350" s="3038"/>
      <c r="CN350" s="2661"/>
      <c r="CO350" s="2661"/>
      <c r="CP350" s="2661"/>
      <c r="CQ350" s="2969"/>
      <c r="CR350" s="2661"/>
      <c r="CS350" s="3038"/>
      <c r="CT350" s="3038"/>
      <c r="DA350" s="212"/>
      <c r="DB350" s="1226"/>
    </row>
    <row r="351" spans="1:106" s="234" customFormat="1" x14ac:dyDescent="0.2">
      <c r="A351" s="3039" t="s">
        <v>2462</v>
      </c>
      <c r="B351" s="1506"/>
      <c r="C351" s="1506"/>
      <c r="D351" s="1506"/>
      <c r="E351" s="1506"/>
      <c r="F351" s="1507"/>
      <c r="G351" s="1506"/>
      <c r="H351" s="1506"/>
      <c r="I351" s="1506"/>
      <c r="J351" s="1506"/>
      <c r="K351" s="1507"/>
      <c r="L351" s="1506"/>
      <c r="M351" s="1506"/>
      <c r="N351" s="1506"/>
      <c r="O351" s="1506"/>
      <c r="P351" s="1508"/>
      <c r="Q351" s="1506"/>
      <c r="R351" s="1506"/>
      <c r="S351" s="1506"/>
      <c r="T351" s="1506"/>
      <c r="U351" s="1508"/>
      <c r="V351" s="1506"/>
      <c r="W351" s="1506"/>
      <c r="X351" s="1506"/>
      <c r="Y351" s="1506"/>
      <c r="Z351" s="1508"/>
      <c r="AA351" s="1509"/>
      <c r="AB351" s="1509"/>
      <c r="AC351" s="1509"/>
      <c r="AD351" s="1509"/>
      <c r="AE351" s="1508"/>
      <c r="AF351" s="1509"/>
      <c r="AG351" s="1509"/>
      <c r="AH351" s="1509"/>
      <c r="AI351" s="1509"/>
      <c r="AJ351" s="1508"/>
      <c r="AK351" s="728"/>
      <c r="AL351" s="728"/>
      <c r="AM351" s="728"/>
      <c r="AN351" s="728"/>
      <c r="AO351" s="1510"/>
      <c r="AP351" s="728"/>
      <c r="AQ351" s="728"/>
      <c r="AR351" s="728"/>
      <c r="AS351" s="728"/>
      <c r="AT351" s="1510"/>
      <c r="AU351" s="728"/>
      <c r="AV351" s="728"/>
      <c r="AW351" s="728"/>
      <c r="AX351" s="728"/>
      <c r="AY351" s="1510"/>
      <c r="AZ351" s="728"/>
      <c r="BA351" s="728"/>
      <c r="BB351" s="728"/>
      <c r="BC351" s="728"/>
      <c r="BD351" s="1510"/>
      <c r="BE351" s="728"/>
      <c r="BF351" s="728"/>
      <c r="BG351" s="728"/>
      <c r="BH351" s="728"/>
      <c r="BI351" s="1510"/>
      <c r="BJ351" s="728"/>
      <c r="BK351" s="728"/>
      <c r="BL351" s="728"/>
      <c r="BM351" s="728"/>
      <c r="BN351" s="1510"/>
      <c r="BO351" s="728"/>
      <c r="BP351" s="728"/>
      <c r="BQ351" s="728"/>
      <c r="BR351" s="728"/>
      <c r="BS351" s="1510"/>
      <c r="BT351" s="728"/>
      <c r="BU351" s="728"/>
      <c r="BV351" s="728"/>
      <c r="BW351" s="728"/>
      <c r="BX351" s="1510"/>
      <c r="BY351" s="728"/>
      <c r="BZ351" s="728"/>
      <c r="CA351" s="728"/>
      <c r="CB351" s="728"/>
      <c r="CC351" s="1510"/>
      <c r="CD351" s="3047">
        <v>2.0797856351999999</v>
      </c>
      <c r="CE351" s="2661">
        <f>Rooms!CG488*RevPAR!CE$103/1000000*RevPAR!CE$4</f>
        <v>1.8517072392</v>
      </c>
      <c r="CF351" s="2661">
        <f>Rooms!CH488*RevPAR!CF$103/1000000*RevPAR!CF$4</f>
        <v>1.8528142983840001</v>
      </c>
      <c r="CG351" s="2661"/>
      <c r="CH351" s="3038"/>
      <c r="CI351" s="2661"/>
      <c r="CJ351" s="2661"/>
      <c r="CK351" s="2661"/>
      <c r="CL351" s="2661"/>
      <c r="CM351" s="3038"/>
      <c r="CN351" s="2661"/>
      <c r="CO351" s="2661"/>
      <c r="CP351" s="2661"/>
      <c r="CQ351" s="2969"/>
      <c r="CR351" s="2661"/>
      <c r="CS351" s="3038"/>
      <c r="CT351" s="3038"/>
      <c r="DA351" s="212"/>
      <c r="DB351" s="1226"/>
    </row>
    <row r="352" spans="1:106" s="234" customFormat="1" x14ac:dyDescent="0.2">
      <c r="A352" s="3039" t="s">
        <v>1931</v>
      </c>
      <c r="B352" s="1506"/>
      <c r="C352" s="1506"/>
      <c r="D352" s="1506"/>
      <c r="E352" s="1506"/>
      <c r="F352" s="1507"/>
      <c r="G352" s="1506"/>
      <c r="H352" s="1506"/>
      <c r="I352" s="1506"/>
      <c r="J352" s="1506"/>
      <c r="K352" s="1507"/>
      <c r="L352" s="1506"/>
      <c r="M352" s="1506"/>
      <c r="N352" s="1506"/>
      <c r="O352" s="1506"/>
      <c r="P352" s="1508"/>
      <c r="Q352" s="1506"/>
      <c r="R352" s="1506"/>
      <c r="S352" s="1506"/>
      <c r="T352" s="1506"/>
      <c r="U352" s="1508"/>
      <c r="V352" s="1506"/>
      <c r="W352" s="1506"/>
      <c r="X352" s="1506"/>
      <c r="Y352" s="1506"/>
      <c r="Z352" s="1508"/>
      <c r="AA352" s="1509"/>
      <c r="AB352" s="1509"/>
      <c r="AC352" s="1509"/>
      <c r="AD352" s="1509"/>
      <c r="AE352" s="1508"/>
      <c r="AF352" s="1509"/>
      <c r="AG352" s="1509"/>
      <c r="AH352" s="1509"/>
      <c r="AI352" s="1509"/>
      <c r="AJ352" s="1508"/>
      <c r="AK352" s="728"/>
      <c r="AL352" s="728"/>
      <c r="AM352" s="728"/>
      <c r="AN352" s="728"/>
      <c r="AO352" s="1510"/>
      <c r="AP352" s="728"/>
      <c r="AQ352" s="728"/>
      <c r="AR352" s="728"/>
      <c r="AS352" s="728"/>
      <c r="AT352" s="1510"/>
      <c r="AU352" s="728"/>
      <c r="AV352" s="728"/>
      <c r="AW352" s="728"/>
      <c r="AX352" s="728"/>
      <c r="AY352" s="1510"/>
      <c r="AZ352" s="728"/>
      <c r="BA352" s="728"/>
      <c r="BB352" s="728"/>
      <c r="BC352" s="728"/>
      <c r="BD352" s="1510"/>
      <c r="BE352" s="728"/>
      <c r="BF352" s="728"/>
      <c r="BG352" s="728"/>
      <c r="BH352" s="728"/>
      <c r="BI352" s="1510"/>
      <c r="BJ352" s="728"/>
      <c r="BK352" s="728"/>
      <c r="BL352" s="728"/>
      <c r="BM352" s="728"/>
      <c r="BN352" s="1510"/>
      <c r="BO352" s="728"/>
      <c r="BP352" s="728"/>
      <c r="BQ352" s="728"/>
      <c r="BR352" s="728"/>
      <c r="BS352" s="1510"/>
      <c r="BT352" s="728"/>
      <c r="BU352" s="728"/>
      <c r="BV352" s="728"/>
      <c r="BW352" s="728"/>
      <c r="BX352" s="1510"/>
      <c r="BY352" s="728"/>
      <c r="BZ352" s="728"/>
      <c r="CA352" s="728"/>
      <c r="CB352" s="728"/>
      <c r="CC352" s="1510"/>
      <c r="CD352" s="3047">
        <v>0</v>
      </c>
      <c r="CE352" s="3040">
        <f>Rooms!CG489*RevPAR!CE$105/1000000*RevPAR!CE$4</f>
        <v>0</v>
      </c>
      <c r="CF352" s="3040">
        <f>Rooms!CH489*RevPAR!CF$105/1000000*RevPAR!CF$4</f>
        <v>0</v>
      </c>
      <c r="CG352" s="3040"/>
      <c r="CH352" s="3038"/>
      <c r="CI352" s="3040"/>
      <c r="CJ352" s="3040"/>
      <c r="CK352" s="3040"/>
      <c r="CL352" s="3040"/>
      <c r="CM352" s="3041"/>
      <c r="CN352" s="3040"/>
      <c r="CO352" s="3040"/>
      <c r="CP352" s="3040"/>
      <c r="CQ352" s="3040"/>
      <c r="CR352" s="3041"/>
      <c r="CS352" s="3041"/>
      <c r="CT352" s="3041"/>
      <c r="DA352" s="212"/>
      <c r="DB352" s="1226"/>
    </row>
    <row r="353" spans="1:106" s="212" customFormat="1" x14ac:dyDescent="0.2">
      <c r="A353" s="1437" t="s">
        <v>2533</v>
      </c>
      <c r="B353" s="777"/>
      <c r="C353" s="777"/>
      <c r="D353" s="777"/>
      <c r="E353" s="777"/>
      <c r="F353" s="235"/>
      <c r="G353" s="777"/>
      <c r="H353" s="777"/>
      <c r="I353" s="777"/>
      <c r="J353" s="777"/>
      <c r="K353" s="235"/>
      <c r="L353" s="777"/>
      <c r="M353" s="777"/>
      <c r="N353" s="777"/>
      <c r="O353" s="777"/>
      <c r="P353" s="631"/>
      <c r="Q353" s="777"/>
      <c r="R353" s="777"/>
      <c r="S353" s="777"/>
      <c r="T353" s="777"/>
      <c r="U353" s="631"/>
      <c r="V353" s="777"/>
      <c r="W353" s="777"/>
      <c r="X353" s="777"/>
      <c r="Y353" s="777"/>
      <c r="Z353" s="631"/>
      <c r="AA353" s="275"/>
      <c r="AB353" s="275"/>
      <c r="AC353" s="275"/>
      <c r="AD353" s="275"/>
      <c r="AE353" s="631"/>
      <c r="AF353" s="275"/>
      <c r="AG353" s="275"/>
      <c r="AH353" s="275"/>
      <c r="AI353" s="275"/>
      <c r="AJ353" s="631"/>
      <c r="AK353" s="1495">
        <f>SUM(AK333:AK341)</f>
        <v>1545.9080074662058</v>
      </c>
      <c r="AL353" s="1495">
        <f>SUM(AL333:AL341)</f>
        <v>1740.4101064938004</v>
      </c>
      <c r="AM353" s="1495">
        <f>SUM(AM333:AM341)</f>
        <v>1631.2319701087201</v>
      </c>
      <c r="AN353" s="1495">
        <f>SUM(AN333:AN341)</f>
        <v>2191.9702342569203</v>
      </c>
      <c r="AO353" s="1570">
        <f>+SUM(AK353:AN353)</f>
        <v>7109.5203183256472</v>
      </c>
      <c r="AP353" s="1495">
        <f>SUM(AP333:AP341)</f>
        <v>1605.6568038016801</v>
      </c>
      <c r="AQ353" s="1495">
        <f>SUM(AQ333:AQ341)</f>
        <v>1785.1366099106403</v>
      </c>
      <c r="AR353" s="1495">
        <f>SUM(AR333:AR341)</f>
        <v>1632.1600290340798</v>
      </c>
      <c r="AS353" s="1495">
        <f>SUM(AS333:AS341)</f>
        <v>2021.6445593221802</v>
      </c>
      <c r="AT353" s="1570">
        <f>+SUM(AP353:AS353)</f>
        <v>7044.5980020685802</v>
      </c>
      <c r="AU353" s="1495">
        <f>SUM(AU333:AU341)</f>
        <v>1340.2432774038002</v>
      </c>
      <c r="AV353" s="1495">
        <f>SUM(AV333:AV341)</f>
        <v>1385.4672718992001</v>
      </c>
      <c r="AW353" s="1495">
        <f>SUM(AW333:AW341)</f>
        <v>1307.94632370612</v>
      </c>
      <c r="AX353" s="1495">
        <f>SUM(AX333:AX341)</f>
        <v>1709.85824963408</v>
      </c>
      <c r="AY353" s="1570">
        <f>+SUM(AU353:AX353)</f>
        <v>5743.5151226432008</v>
      </c>
      <c r="AZ353" s="1495">
        <f>SUM(AZ333:AZ341)</f>
        <v>1328.6405288284805</v>
      </c>
      <c r="BA353" s="1495">
        <f>SUM(BA333:BA341)</f>
        <v>1506.0309454083599</v>
      </c>
      <c r="BB353" s="1495">
        <f>SUM(BB333:BB341)</f>
        <v>1410.8523273851999</v>
      </c>
      <c r="BC353" s="1495">
        <f>SUM(BC333:BC341)</f>
        <v>1832.11402385984</v>
      </c>
      <c r="BD353" s="1570">
        <f>+SUM(AZ353:BC353)</f>
        <v>6077.6378254818801</v>
      </c>
      <c r="BE353" s="1495">
        <f>SUM(BE333:BE341)</f>
        <v>1437.9398556726001</v>
      </c>
      <c r="BF353" s="1495">
        <f>SUM(BF333:BF341)</f>
        <v>1631.4923210493598</v>
      </c>
      <c r="BG353" s="1495">
        <f>SUM(BG333:BG341)</f>
        <v>1530.7775501096398</v>
      </c>
      <c r="BH353" s="1495">
        <f>SUM(BH333:BH341)</f>
        <v>1969.5909112163197</v>
      </c>
      <c r="BI353" s="1570">
        <f>+SUM(BE353:BH353)</f>
        <v>6569.8006380479192</v>
      </c>
      <c r="BJ353" s="1495">
        <f>SUM(BJ333:BJ341)</f>
        <v>1538.4093473935202</v>
      </c>
      <c r="BK353" s="1495">
        <f>SUM(BK333:BK341)</f>
        <v>1721.8040034493199</v>
      </c>
      <c r="BL353" s="1495">
        <f>SUM(BL333:BL341)</f>
        <v>1601.0418748396798</v>
      </c>
      <c r="BM353" s="1495">
        <f>SUM(BM333:BM341)</f>
        <v>2056.5054313249602</v>
      </c>
      <c r="BN353" s="1570">
        <f>+SUM(BJ353:BM353)</f>
        <v>6917.7606570074804</v>
      </c>
      <c r="BO353" s="1495">
        <f>SUM(BO333:BO341)</f>
        <v>1736.4908166733403</v>
      </c>
      <c r="BP353" s="1495">
        <f>SUM(BP333:BP341)</f>
        <v>1911.8545364209197</v>
      </c>
      <c r="BQ353" s="1495">
        <f>SUM(BQ333:BQ341)</f>
        <v>1798.72935426504</v>
      </c>
      <c r="BR353" s="1495">
        <f>SUM(BR333:BR341)</f>
        <v>1666.5477596533999</v>
      </c>
      <c r="BS353" s="1570">
        <f>+SUM(BO353:BR353)</f>
        <v>7113.6224670126994</v>
      </c>
      <c r="BT353" s="1495">
        <f>SUM(BT333:BT341)</f>
        <v>1751.9243819499</v>
      </c>
      <c r="BU353" s="1495">
        <f>SUM(BU333:BU341)</f>
        <v>1988.9409785117596</v>
      </c>
      <c r="BV353" s="1495">
        <f>SUM(BV333:BV341)</f>
        <v>1928.6230903963601</v>
      </c>
      <c r="BW353" s="1495">
        <f>SUM(BW333:BW341)</f>
        <v>1768.3646873700002</v>
      </c>
      <c r="BX353" s="1570">
        <f>+SUM(BT353:BW353)</f>
        <v>7437.8531382280198</v>
      </c>
      <c r="BY353" s="1495">
        <f>SUM(BY333:BY341)</f>
        <v>1871.8391833676999</v>
      </c>
      <c r="BZ353" s="1495">
        <f>SUM(BZ333:BZ341)</f>
        <v>2088.9078231057397</v>
      </c>
      <c r="CA353" s="1495">
        <f>SUM(CA333:CA341)</f>
        <v>2060.7862768604805</v>
      </c>
      <c r="CB353" s="1495">
        <f>SUM(CB333:CB341)</f>
        <v>1879.6454891517201</v>
      </c>
      <c r="CC353" s="1570">
        <f>+SUM(BY353:CB353)</f>
        <v>7901.1787724856404</v>
      </c>
      <c r="CD353" s="1495">
        <f>SUM(CD333:CD341)</f>
        <v>1948.3968737017383</v>
      </c>
      <c r="CE353" s="1495">
        <f>SUM(CE333:CE341)</f>
        <v>2122.4325957710389</v>
      </c>
      <c r="CF353" s="1495">
        <f>SUM(CF333:CF341)</f>
        <v>2037.8141247271615</v>
      </c>
      <c r="CG353" s="3071">
        <f>Rooms!CI492*RevPAR!CG$113/1000000*RevPAR!CG$4</f>
        <v>2492.9044490800002</v>
      </c>
      <c r="CH353" s="1496">
        <f>SUM(CD353:CG353)</f>
        <v>8601.5480432799395</v>
      </c>
      <c r="CI353" s="1495">
        <f>Rooms!CK492*RevPAR!CI$113/1000000*RevPAR!CI$4</f>
        <v>2512.1933892000002</v>
      </c>
      <c r="CJ353" s="1495">
        <f>Rooms!CL492*RevPAR!CJ$113/1000000*RevPAR!CJ$4</f>
        <v>2863.3343829999999</v>
      </c>
      <c r="CK353" s="1495">
        <f>Rooms!CM492*RevPAR!CK$113/1000000*RevPAR!CK$4</f>
        <v>2848.4907262400002</v>
      </c>
      <c r="CL353" s="1495">
        <f>Rooms!CN492*RevPAR!CL$113/1000000*RevPAR!CL$4</f>
        <v>2582.2856746000002</v>
      </c>
      <c r="CM353" s="1496">
        <f>SUM(CI353:CL353)</f>
        <v>10806.30417304</v>
      </c>
      <c r="CN353" s="1495">
        <f>Rooms!CP492*RevPAR!CN$113/1000000*RevPAR!CN$4</f>
        <v>2608.4678073515279</v>
      </c>
      <c r="CO353" s="1495">
        <f>Rooms!CQ492*RevPAR!CO$113/1000000*RevPAR!CO$4</f>
        <v>3002.5447824699318</v>
      </c>
      <c r="CP353" s="1495">
        <f>Rooms!CR492*RevPAR!CP$113/1000000*RevPAR!CP$4</f>
        <v>2978.4400630002237</v>
      </c>
      <c r="CQ353" s="1495">
        <f>Rooms!CS492*RevPAR!CQ$113/1000000*RevPAR!CQ$4</f>
        <v>2693.2691283582153</v>
      </c>
      <c r="CR353" s="1496">
        <f>SUM(CN353:CQ353)</f>
        <v>11282.721781179898</v>
      </c>
      <c r="CS353" s="1496">
        <f>Rooms!CU492*RevPAR!CS$113/1000000*RevPAR!CS$4</f>
        <v>11818.652872438573</v>
      </c>
      <c r="CT353" s="1496">
        <f>Rooms!CV492*RevPAR!CT$113/1000000*RevPAR!CT$4</f>
        <v>11529.430017879566</v>
      </c>
      <c r="DB353" s="1226"/>
    </row>
    <row r="354" spans="1:106" s="212" customFormat="1" x14ac:dyDescent="0.2">
      <c r="A354" s="1571" t="s">
        <v>652</v>
      </c>
      <c r="F354" s="194"/>
      <c r="K354" s="194"/>
      <c r="P354" s="194"/>
      <c r="U354" s="194"/>
      <c r="Z354" s="194"/>
      <c r="AE354" s="194"/>
      <c r="AJ354" s="194"/>
      <c r="AO354" s="194"/>
      <c r="AP354" s="1531"/>
      <c r="AQ354" s="1531"/>
      <c r="AR354" s="1531"/>
      <c r="AS354" s="1531"/>
      <c r="AT354" s="1530"/>
      <c r="AU354" s="885">
        <f>AU353/AP353-1</f>
        <v>-0.16529903885404762</v>
      </c>
      <c r="AV354" s="885">
        <f>AV353/AQ353-1</f>
        <v>-0.22388725646685759</v>
      </c>
      <c r="AW354" s="885">
        <f>AW353/AR353-1</f>
        <v>-0.19864088052678941</v>
      </c>
      <c r="AX354" s="885">
        <f>AX353/AS353-1</f>
        <v>-0.15422409851939367</v>
      </c>
      <c r="AY354" s="1044">
        <f>+AY353/AT353-1</f>
        <v>-0.18469228180846209</v>
      </c>
      <c r="AZ354" s="885">
        <f>AZ353/AU353-1</f>
        <v>-8.6571958770019775E-3</v>
      </c>
      <c r="BA354" s="885">
        <f>BA353/AV353-1</f>
        <v>8.7020224840021587E-2</v>
      </c>
      <c r="BB354" s="885">
        <f>BB353/AW353-1</f>
        <v>7.86775434235647E-2</v>
      </c>
      <c r="BC354" s="885">
        <f>BC353/AX353-1</f>
        <v>7.1500531843457393E-2</v>
      </c>
      <c r="BD354" s="1044">
        <f>+BD353/AY353-1</f>
        <v>5.8173904952637079E-2</v>
      </c>
      <c r="BE354" s="885">
        <f>BE353/AZ353-1</f>
        <v>8.2264031897697265E-2</v>
      </c>
      <c r="BF354" s="885">
        <f>BF353/BA353-1</f>
        <v>8.330597457078226E-2</v>
      </c>
      <c r="BG354" s="885">
        <f>BG353/BB353-1</f>
        <v>8.5001966822922492E-2</v>
      </c>
      <c r="BH354" s="885">
        <f>BH353/BC353-1</f>
        <v>7.5037298752207438E-2</v>
      </c>
      <c r="BI354" s="1044">
        <f>+BI353/BD353-1</f>
        <v>8.0979292728259322E-2</v>
      </c>
      <c r="BJ354" s="885">
        <f>BJ353/BE353-1</f>
        <v>6.9870440912095821E-2</v>
      </c>
      <c r="BK354" s="885">
        <f>BK353/BF353-1</f>
        <v>5.5355260478255008E-2</v>
      </c>
      <c r="BL354" s="885">
        <f>BL353/BG353-1</f>
        <v>4.5901068202239825E-2</v>
      </c>
      <c r="BM354" s="885">
        <f>BM353/BH353-1</f>
        <v>4.4128209372659377E-2</v>
      </c>
      <c r="BN354" s="1044">
        <f>+BN353/BI353-1</f>
        <v>5.2963558276701406E-2</v>
      </c>
      <c r="BO354" s="885">
        <f>BO353/BJ353-1</f>
        <v>0.1287573230203154</v>
      </c>
      <c r="BP354" s="885">
        <f>BP353/BK353-1</f>
        <v>0.1103787263770255</v>
      </c>
      <c r="BQ354" s="885">
        <f>BQ353/BL353-1</f>
        <v>0.12347427168021796</v>
      </c>
      <c r="BR354" s="885">
        <f>BR353/BM353-1</f>
        <v>-0.18962151314150399</v>
      </c>
      <c r="BS354" s="1044">
        <f>+BS353/BN353-1</f>
        <v>2.8312891948179431E-2</v>
      </c>
      <c r="BT354" s="885">
        <f>BT353/BO353-1</f>
        <v>8.8877897472134926E-3</v>
      </c>
      <c r="BU354" s="885">
        <f>BU353/BP353-1</f>
        <v>4.0320244360823265E-2</v>
      </c>
      <c r="BV354" s="885">
        <f>BV353/BQ353-1</f>
        <v>7.2214163750274007E-2</v>
      </c>
      <c r="BW354" s="885">
        <f>BW353/BR353-1</f>
        <v>6.1094515369769953E-2</v>
      </c>
      <c r="BX354" s="1044">
        <f>+BX353/BS353-1</f>
        <v>4.5578841542244231E-2</v>
      </c>
      <c r="BY354" s="885">
        <f>BY353/BT353-1</f>
        <v>6.8447475617831266E-2</v>
      </c>
      <c r="BZ354" s="885">
        <f>BZ353/BU353-1</f>
        <v>5.026134293275053E-2</v>
      </c>
      <c r="CA354" s="885">
        <f>CA353/BV353-1</f>
        <v>6.8527223967311812E-2</v>
      </c>
      <c r="CB354" s="885">
        <f>CB353/BW353-1</f>
        <v>6.2928649602940423E-2</v>
      </c>
      <c r="CC354" s="1044">
        <f>+CC353/BX353-1</f>
        <v>6.2292925881567207E-2</v>
      </c>
      <c r="CD354" s="885">
        <f>CD353/BY353-1</f>
        <v>4.0899715645603907E-2</v>
      </c>
      <c r="CE354" s="885">
        <f>CE353/BZ353-1</f>
        <v>1.6048947825498372E-2</v>
      </c>
      <c r="CF354" s="885">
        <f>CF353/CA353-1</f>
        <v>-1.1147275382829225E-2</v>
      </c>
      <c r="CG354" s="885">
        <f>CG353/CB353-1</f>
        <v>0.32626309773181883</v>
      </c>
      <c r="CH354" s="1044">
        <f>+CH353/CC353-1</f>
        <v>8.8641111783624327E-2</v>
      </c>
      <c r="CI354" s="885">
        <f>CI353/CD353-1</f>
        <v>0.28936430924727929</v>
      </c>
      <c r="CJ354" s="885">
        <f>CJ353/CE353-1</f>
        <v>0.34908142133946329</v>
      </c>
      <c r="CK354" s="885">
        <f>CK353/CF353-1</f>
        <v>0.39781675456851517</v>
      </c>
      <c r="CL354" s="885">
        <f>CL353/CG353-1</f>
        <v>3.5854252477661497E-2</v>
      </c>
      <c r="CM354" s="1044">
        <f>+CM353/CH353-1</f>
        <v>0.25632085278911543</v>
      </c>
      <c r="CN354" s="885">
        <f>CN353/CI353-1</f>
        <v>3.8322853075489549E-2</v>
      </c>
      <c r="CO354" s="885">
        <f>CO353/CJ353-1</f>
        <v>4.8618282341190255E-2</v>
      </c>
      <c r="CP354" s="885">
        <f>CP353/CK353-1</f>
        <v>4.5620417705118044E-2</v>
      </c>
      <c r="CQ354" s="885">
        <f>CQ353/CL353-1</f>
        <v>4.2978766776222921E-2</v>
      </c>
      <c r="CR354" s="1044">
        <f>+CR353/CM353-1</f>
        <v>4.4087007038769555E-2</v>
      </c>
      <c r="CS354" s="1044">
        <f>+CS353/CR353-1</f>
        <v>4.7500160125603097E-2</v>
      </c>
      <c r="CT354" s="1044">
        <f>+CT353/CS353-1</f>
        <v>-2.4471727673251453E-2</v>
      </c>
      <c r="DB354" s="1226"/>
    </row>
    <row r="355" spans="1:106" s="212" customFormat="1" x14ac:dyDescent="0.2">
      <c r="A355" s="1437"/>
      <c r="B355" s="1499"/>
      <c r="C355" s="1499"/>
      <c r="D355" s="1499"/>
      <c r="E355" s="1499"/>
      <c r="F355" s="1500"/>
      <c r="G355" s="1499"/>
      <c r="H355" s="1499"/>
      <c r="I355" s="1499"/>
      <c r="J355" s="1499"/>
      <c r="K355" s="1500"/>
      <c r="L355" s="1499"/>
      <c r="M355" s="1499"/>
      <c r="N355" s="1499"/>
      <c r="O355" s="1499"/>
      <c r="P355" s="1500"/>
      <c r="Q355" s="1499"/>
      <c r="R355" s="1499"/>
      <c r="S355" s="1499"/>
      <c r="T355" s="1499"/>
      <c r="U355" s="1500"/>
      <c r="V355" s="1499"/>
      <c r="W355" s="1499"/>
      <c r="X355" s="1499"/>
      <c r="Y355" s="1499"/>
      <c r="Z355" s="1500"/>
      <c r="AA355" s="1499"/>
      <c r="AB355" s="1499"/>
      <c r="AC355" s="1499"/>
      <c r="AD355" s="1499"/>
      <c r="AE355" s="1500"/>
      <c r="AF355" s="1499"/>
      <c r="AG355" s="1499"/>
      <c r="AH355" s="1499"/>
      <c r="AI355" s="1499"/>
      <c r="AJ355" s="1500"/>
      <c r="AK355" s="1499"/>
      <c r="AL355" s="1499"/>
      <c r="AM355" s="1499"/>
      <c r="AN355" s="1499"/>
      <c r="AO355" s="1500"/>
      <c r="AP355" s="1499"/>
      <c r="AQ355" s="1499"/>
      <c r="AR355" s="1499"/>
      <c r="AS355" s="1499"/>
      <c r="AT355" s="1500"/>
      <c r="AU355" s="1499"/>
      <c r="AV355" s="1499"/>
      <c r="AW355" s="1499"/>
      <c r="AX355" s="1499"/>
      <c r="AY355" s="1500"/>
      <c r="AZ355" s="1499"/>
      <c r="BA355" s="1499"/>
      <c r="BB355" s="1499"/>
      <c r="BC355" s="1499"/>
      <c r="BD355" s="1500"/>
      <c r="BE355" s="1499"/>
      <c r="BF355" s="1499"/>
      <c r="BG355" s="1499"/>
      <c r="BH355" s="1499"/>
      <c r="BI355" s="1500"/>
      <c r="BJ355" s="1499"/>
      <c r="BK355" s="1499"/>
      <c r="BL355" s="1499"/>
      <c r="BM355" s="1499"/>
      <c r="BN355" s="1500"/>
      <c r="BO355" s="1499"/>
      <c r="BP355" s="1499"/>
      <c r="BQ355" s="1499"/>
      <c r="BR355" s="1499"/>
      <c r="BS355" s="1500"/>
      <c r="BT355" s="1499"/>
      <c r="BU355" s="1499"/>
      <c r="BV355" s="1499"/>
      <c r="BW355" s="1499"/>
      <c r="BX355" s="1500"/>
      <c r="BY355" s="1499"/>
      <c r="BZ355" s="1499"/>
      <c r="CA355" s="1499"/>
      <c r="CB355" s="1499"/>
      <c r="CC355" s="1500"/>
      <c r="CD355" s="1499"/>
      <c r="CE355" s="1499"/>
      <c r="CF355" s="1499"/>
      <c r="CG355" s="1499"/>
      <c r="CH355" s="1500"/>
      <c r="CI355" s="1499"/>
      <c r="CJ355" s="1499"/>
      <c r="CK355" s="1499"/>
      <c r="CL355" s="1499"/>
      <c r="CM355" s="1500"/>
      <c r="CN355" s="1499"/>
      <c r="CO355" s="1499"/>
      <c r="CP355" s="1499"/>
      <c r="CQ355" s="1499"/>
      <c r="CR355" s="1500"/>
      <c r="CS355" s="1500"/>
      <c r="CT355" s="1500"/>
      <c r="DB355" s="1226"/>
    </row>
    <row r="356" spans="1:106" s="212" customFormat="1" outlineLevel="1" x14ac:dyDescent="0.2">
      <c r="A356" s="2308" t="s">
        <v>2534</v>
      </c>
      <c r="B356" s="1499"/>
      <c r="C356" s="1499"/>
      <c r="D356" s="1499"/>
      <c r="E356" s="1499"/>
      <c r="F356" s="1500"/>
      <c r="G356" s="1499"/>
      <c r="H356" s="1499"/>
      <c r="I356" s="1499"/>
      <c r="J356" s="1499"/>
      <c r="K356" s="1500"/>
      <c r="L356" s="1499"/>
      <c r="M356" s="1499"/>
      <c r="N356" s="1499"/>
      <c r="O356" s="1499"/>
      <c r="P356" s="1500"/>
      <c r="Q356" s="1499"/>
      <c r="R356" s="1499"/>
      <c r="S356" s="1499"/>
      <c r="T356" s="1499"/>
      <c r="U356" s="1500"/>
      <c r="V356" s="1499"/>
      <c r="W356" s="1499"/>
      <c r="X356" s="1499"/>
      <c r="Y356" s="1499"/>
      <c r="Z356" s="1500"/>
      <c r="AA356" s="1499"/>
      <c r="AB356" s="1499"/>
      <c r="AC356" s="1499"/>
      <c r="AD356" s="1499"/>
      <c r="AE356" s="1500"/>
      <c r="AF356" s="1499"/>
      <c r="AG356" s="1499"/>
      <c r="AH356" s="1499"/>
      <c r="AI356" s="1499"/>
      <c r="AJ356" s="1500"/>
      <c r="AK356" s="1499"/>
      <c r="AL356" s="1499"/>
      <c r="AM356" s="1499"/>
      <c r="AN356" s="1499"/>
      <c r="AO356" s="1500"/>
      <c r="AP356" s="1499"/>
      <c r="AQ356" s="1499"/>
      <c r="AR356" s="1499"/>
      <c r="AS356" s="1499"/>
      <c r="AT356" s="1500"/>
      <c r="AU356" s="1499"/>
      <c r="AV356" s="1499"/>
      <c r="AW356" s="1499"/>
      <c r="AX356" s="1499"/>
      <c r="AY356" s="1500"/>
      <c r="AZ356" s="1499"/>
      <c r="BA356" s="1499"/>
      <c r="BB356" s="1499"/>
      <c r="BC356" s="1499"/>
      <c r="BD356" s="1500"/>
      <c r="BE356" s="1499"/>
      <c r="BF356" s="1499"/>
      <c r="BG356" s="1499"/>
      <c r="BH356" s="1499"/>
      <c r="BI356" s="1500"/>
      <c r="BJ356" s="1499"/>
      <c r="BK356" s="1499"/>
      <c r="BL356" s="1499"/>
      <c r="BM356" s="1499"/>
      <c r="BN356" s="1500"/>
      <c r="BO356" s="1499"/>
      <c r="BP356" s="1499"/>
      <c r="BQ356" s="1499"/>
      <c r="BR356" s="1499"/>
      <c r="BS356" s="1500"/>
      <c r="BT356" s="1499"/>
      <c r="BU356" s="1499"/>
      <c r="BV356" s="1499"/>
      <c r="BW356" s="1499"/>
      <c r="BX356" s="1500"/>
      <c r="BY356" s="2935">
        <v>808.0869561948</v>
      </c>
      <c r="BZ356" s="2935">
        <v>909.55815433209989</v>
      </c>
      <c r="CA356" s="2935">
        <v>885.88751271056003</v>
      </c>
      <c r="CB356" s="2935">
        <v>837.14233777087998</v>
      </c>
      <c r="CC356" s="3185">
        <v>3440.6749610083402</v>
      </c>
      <c r="CD356" s="2935">
        <v>844.95714224739993</v>
      </c>
      <c r="CE356" s="2935">
        <v>929.63543404185998</v>
      </c>
      <c r="CF356" s="2935">
        <v>928.37228263611496</v>
      </c>
      <c r="CG356" s="2935"/>
      <c r="CH356" s="3185"/>
      <c r="CI356" s="2935"/>
      <c r="CJ356" s="2935"/>
      <c r="CK356" s="2935"/>
      <c r="CL356" s="1499"/>
      <c r="CM356" s="1500"/>
      <c r="CN356" s="2935"/>
      <c r="CO356" s="2935"/>
      <c r="CP356" s="2935"/>
      <c r="CQ356" s="2935"/>
      <c r="CR356" s="1500"/>
      <c r="CS356" s="1500"/>
      <c r="CT356" s="1500"/>
      <c r="DB356" s="1226"/>
    </row>
    <row r="357" spans="1:106" s="217" customFormat="1" x14ac:dyDescent="0.2">
      <c r="A357" s="1437" t="s">
        <v>2535</v>
      </c>
      <c r="B357" s="1499"/>
      <c r="C357" s="1499"/>
      <c r="D357" s="1499"/>
      <c r="E357" s="1499"/>
      <c r="F357" s="1500"/>
      <c r="G357" s="1499"/>
      <c r="H357" s="1499"/>
      <c r="I357" s="1499"/>
      <c r="J357" s="1499"/>
      <c r="K357" s="1500"/>
      <c r="L357" s="1499"/>
      <c r="M357" s="1499"/>
      <c r="N357" s="1499"/>
      <c r="O357" s="1499"/>
      <c r="P357" s="1500"/>
      <c r="Q357" s="1499"/>
      <c r="R357" s="1499"/>
      <c r="S357" s="1499"/>
      <c r="T357" s="1499"/>
      <c r="U357" s="1500"/>
      <c r="V357" s="1499"/>
      <c r="W357" s="1499"/>
      <c r="X357" s="1499"/>
      <c r="Y357" s="1499"/>
      <c r="Z357" s="1500"/>
      <c r="AA357" s="1499"/>
      <c r="AB357" s="1499"/>
      <c r="AC357" s="1499"/>
      <c r="AD357" s="1499"/>
      <c r="AE357" s="1500"/>
      <c r="AF357" s="1499"/>
      <c r="AG357" s="1499"/>
      <c r="AH357" s="1499"/>
      <c r="AI357" s="1499"/>
      <c r="AJ357" s="1500"/>
      <c r="AK357" s="1499"/>
      <c r="AL357" s="1499"/>
      <c r="AM357" s="1499"/>
      <c r="AN357" s="1499"/>
      <c r="AO357" s="1500"/>
      <c r="AP357" s="1499"/>
      <c r="AQ357" s="1499"/>
      <c r="AR357" s="1499"/>
      <c r="AS357" s="1499"/>
      <c r="AT357" s="1500"/>
      <c r="AU357" s="1499"/>
      <c r="AV357" s="1499"/>
      <c r="AW357" s="1499"/>
      <c r="AX357" s="1499"/>
      <c r="AY357" s="1500"/>
      <c r="AZ357" s="1499"/>
      <c r="BA357" s="1499"/>
      <c r="BB357" s="1499"/>
      <c r="BC357" s="1499"/>
      <c r="BD357" s="1500"/>
      <c r="BE357" s="1499"/>
      <c r="BF357" s="1499"/>
      <c r="BG357" s="1499"/>
      <c r="BH357" s="1499"/>
      <c r="BI357" s="1500"/>
      <c r="BJ357" s="1499"/>
      <c r="BK357" s="1499"/>
      <c r="BL357" s="1499"/>
      <c r="BM357" s="1499"/>
      <c r="BN357" s="1500"/>
      <c r="BO357" s="1499"/>
      <c r="BP357" s="1499"/>
      <c r="BQ357" s="1499"/>
      <c r="BR357" s="1499"/>
      <c r="BS357" s="1500"/>
      <c r="BT357" s="1499"/>
      <c r="BU357" s="1499"/>
      <c r="BV357" s="1499"/>
      <c r="BW357" s="1499"/>
      <c r="BX357" s="1500"/>
      <c r="BY357" s="3242">
        <f>SUM(Rooms!CA460:CA490)*RevPAR!BY$113/1000000*RevPAR!BY$4</f>
        <v>2317.6118428152495</v>
      </c>
      <c r="BZ357" s="3242">
        <f>SUM(Rooms!CB460:CB490)*RevPAR!BZ$113/1000000*RevPAR!BZ$4</f>
        <v>2747.3416416182172</v>
      </c>
      <c r="CA357" s="3242">
        <f>SUM(Rooms!CC460:CC490)*RevPAR!CA$113/1000000*RevPAR!CA$4</f>
        <v>2706.1095097076022</v>
      </c>
      <c r="CB357" s="3242">
        <f>SUM(Rooms!CD460:CD490)*RevPAR!CB$113/1000000*RevPAR!CB$4</f>
        <v>2429.6455282294764</v>
      </c>
      <c r="CC357" s="1574">
        <f>SUM(BY357:CB357)</f>
        <v>10200.708522370545</v>
      </c>
      <c r="CD357" s="3242">
        <f>SUM(Rooms!CF460:CF490)*RevPAR!CD$113/1000000*RevPAR!CD$4</f>
        <v>2455.6801651199999</v>
      </c>
      <c r="CE357" s="3242">
        <f>SUM(Rooms!CG460:CG490)*RevPAR!CE$113/1000000*RevPAR!CE$4</f>
        <v>2788.9564002299999</v>
      </c>
      <c r="CF357" s="3242">
        <f>SUM(Rooms!CH460:CH490)*RevPAR!CF$113/1000000*RevPAR!CF$4</f>
        <v>2750.4304065599999</v>
      </c>
      <c r="CG357" s="1573">
        <f>+CG353</f>
        <v>2492.9044490800002</v>
      </c>
      <c r="CH357" s="1574">
        <f>SUM(CD357:CG357)</f>
        <v>10487.971420989999</v>
      </c>
      <c r="CI357" s="1573">
        <f t="shared" ref="CI357:CT357" si="266">+CI356+CI353</f>
        <v>2512.1933892000002</v>
      </c>
      <c r="CJ357" s="1573">
        <f t="shared" si="266"/>
        <v>2863.3343829999999</v>
      </c>
      <c r="CK357" s="1573">
        <f t="shared" si="266"/>
        <v>2848.4907262400002</v>
      </c>
      <c r="CL357" s="1573">
        <f t="shared" si="266"/>
        <v>2582.2856746000002</v>
      </c>
      <c r="CM357" s="1574">
        <f t="shared" si="266"/>
        <v>10806.30417304</v>
      </c>
      <c r="CN357" s="1573">
        <f>+CN356+CN353</f>
        <v>2608.4678073515279</v>
      </c>
      <c r="CO357" s="1573">
        <f>+CO356+CO353</f>
        <v>3002.5447824699318</v>
      </c>
      <c r="CP357" s="1573">
        <f>+CP356+CP353</f>
        <v>2978.4400630002237</v>
      </c>
      <c r="CQ357" s="1573">
        <f>+CQ356+CQ353</f>
        <v>2693.2691283582153</v>
      </c>
      <c r="CR357" s="1574">
        <f>+CR356+CR353</f>
        <v>11282.721781179898</v>
      </c>
      <c r="CS357" s="1574">
        <f t="shared" si="266"/>
        <v>11818.652872438573</v>
      </c>
      <c r="CT357" s="1574">
        <f t="shared" si="266"/>
        <v>11529.430017879566</v>
      </c>
      <c r="DA357" s="212"/>
      <c r="DB357" s="1226"/>
    </row>
    <row r="358" spans="1:106" s="212" customFormat="1" x14ac:dyDescent="0.2">
      <c r="A358" s="1595" t="s">
        <v>2531</v>
      </c>
      <c r="B358" s="1499"/>
      <c r="C358" s="1499"/>
      <c r="D358" s="1499"/>
      <c r="E358" s="1499"/>
      <c r="F358" s="1500"/>
      <c r="G358" s="1499"/>
      <c r="H358" s="1499"/>
      <c r="I358" s="1499"/>
      <c r="J358" s="1499"/>
      <c r="K358" s="1500"/>
      <c r="L358" s="1499"/>
      <c r="M358" s="1499"/>
      <c r="N358" s="1499"/>
      <c r="O358" s="1499"/>
      <c r="P358" s="1500"/>
      <c r="Q358" s="1499"/>
      <c r="R358" s="1499"/>
      <c r="S358" s="1499"/>
      <c r="T358" s="1499"/>
      <c r="U358" s="1500"/>
      <c r="V358" s="1499"/>
      <c r="W358" s="1499"/>
      <c r="X358" s="1499"/>
      <c r="Y358" s="1499"/>
      <c r="Z358" s="1500"/>
      <c r="AA358" s="1499"/>
      <c r="AB358" s="1499"/>
      <c r="AC358" s="1499"/>
      <c r="AD358" s="1499"/>
      <c r="AE358" s="1500"/>
      <c r="AF358" s="1499"/>
      <c r="AG358" s="1499"/>
      <c r="AH358" s="1499"/>
      <c r="AI358" s="1499"/>
      <c r="AJ358" s="1500"/>
      <c r="AK358" s="1499"/>
      <c r="AL358" s="1499"/>
      <c r="AM358" s="1499"/>
      <c r="AN358" s="1499"/>
      <c r="AO358" s="1500"/>
      <c r="AP358" s="1499"/>
      <c r="AQ358" s="1499"/>
      <c r="AR358" s="1499"/>
      <c r="AS358" s="1499"/>
      <c r="AT358" s="1500"/>
      <c r="AU358" s="1499"/>
      <c r="AV358" s="1499"/>
      <c r="AW358" s="1499"/>
      <c r="AX358" s="1499"/>
      <c r="AY358" s="1500"/>
      <c r="AZ358" s="1499"/>
      <c r="BA358" s="1499"/>
      <c r="BB358" s="1499"/>
      <c r="BC358" s="1499"/>
      <c r="BD358" s="1500"/>
      <c r="BE358" s="1499"/>
      <c r="BF358" s="1499"/>
      <c r="BG358" s="1499"/>
      <c r="BH358" s="1499"/>
      <c r="BI358" s="1500"/>
      <c r="BJ358" s="1499"/>
      <c r="BK358" s="1499"/>
      <c r="BL358" s="1499"/>
      <c r="BM358" s="1499"/>
      <c r="BN358" s="1500"/>
      <c r="BO358" s="1499"/>
      <c r="BP358" s="1499"/>
      <c r="BQ358" s="1499"/>
      <c r="BR358" s="1499"/>
      <c r="BS358" s="1500"/>
      <c r="BT358" s="1499"/>
      <c r="BU358" s="1499"/>
      <c r="BV358" s="1499"/>
      <c r="BW358" s="1499"/>
      <c r="BX358" s="1500"/>
      <c r="BY358" s="1499"/>
      <c r="BZ358" s="1499"/>
      <c r="CA358" s="1499"/>
      <c r="CB358" s="1499"/>
      <c r="CC358" s="1500"/>
      <c r="CD358" s="1499"/>
      <c r="CE358" s="1499"/>
      <c r="CF358" s="1499"/>
      <c r="CG358" s="3187">
        <f>+CG357/CB357-1</f>
        <v>2.6036275709988788E-2</v>
      </c>
      <c r="CH358" s="2673">
        <f t="shared" ref="CH358:CM358" si="267">+CH357/CC357-1</f>
        <v>2.8161073124428171E-2</v>
      </c>
      <c r="CI358" s="3187">
        <f t="shared" si="267"/>
        <v>2.3013267314979879E-2</v>
      </c>
      <c r="CJ358" s="3187">
        <f t="shared" si="267"/>
        <v>2.6668750635135963E-2</v>
      </c>
      <c r="CK358" s="3187">
        <f t="shared" si="267"/>
        <v>3.5652718005923179E-2</v>
      </c>
      <c r="CL358" s="3187">
        <f t="shared" si="267"/>
        <v>3.5854252477661497E-2</v>
      </c>
      <c r="CM358" s="2673">
        <f t="shared" si="267"/>
        <v>3.0352175770893997E-2</v>
      </c>
      <c r="CN358" s="3187">
        <f>+CN357/CI357-1</f>
        <v>3.8322853075489549E-2</v>
      </c>
      <c r="CO358" s="3187">
        <f>+CO357/CJ357-1</f>
        <v>4.8618282341190255E-2</v>
      </c>
      <c r="CP358" s="3187">
        <f>+CP357/CK357-1</f>
        <v>4.5620417705118044E-2</v>
      </c>
      <c r="CQ358" s="3187">
        <f>+CQ357/CL357-1</f>
        <v>4.2978766776222921E-2</v>
      </c>
      <c r="CR358" s="2673">
        <f>+CR357/CM357-1</f>
        <v>4.4087007038769555E-2</v>
      </c>
      <c r="CS358" s="2673">
        <f>+CS357/CR357-1</f>
        <v>4.7500160125603097E-2</v>
      </c>
      <c r="CT358" s="2673">
        <f>+CT357/CS357-1</f>
        <v>-2.4471727673251453E-2</v>
      </c>
      <c r="DB358" s="1226"/>
    </row>
    <row r="359" spans="1:106" s="212" customFormat="1" x14ac:dyDescent="0.2">
      <c r="A359" s="1437"/>
      <c r="B359" s="1499"/>
      <c r="C359" s="1499"/>
      <c r="D359" s="1499"/>
      <c r="E359" s="1499"/>
      <c r="F359" s="1500"/>
      <c r="G359" s="1499"/>
      <c r="H359" s="1499"/>
      <c r="I359" s="1499"/>
      <c r="J359" s="1499"/>
      <c r="K359" s="1500"/>
      <c r="L359" s="1499"/>
      <c r="M359" s="1499"/>
      <c r="N359" s="1499"/>
      <c r="O359" s="1499"/>
      <c r="P359" s="1500"/>
      <c r="Q359" s="1499"/>
      <c r="R359" s="1499"/>
      <c r="S359" s="1499"/>
      <c r="T359" s="1499"/>
      <c r="U359" s="1500"/>
      <c r="V359" s="1499"/>
      <c r="W359" s="1499"/>
      <c r="X359" s="1499"/>
      <c r="Y359" s="1499"/>
      <c r="Z359" s="1500"/>
      <c r="AA359" s="1499"/>
      <c r="AB359" s="1499"/>
      <c r="AC359" s="1499"/>
      <c r="AD359" s="1499"/>
      <c r="AE359" s="1500"/>
      <c r="AF359" s="1499"/>
      <c r="AG359" s="1499"/>
      <c r="AH359" s="1499"/>
      <c r="AI359" s="1499"/>
      <c r="AJ359" s="1500"/>
      <c r="AK359" s="1499"/>
      <c r="AL359" s="1499"/>
      <c r="AM359" s="1499"/>
      <c r="AN359" s="1499"/>
      <c r="AO359" s="1500"/>
      <c r="AP359" s="1499"/>
      <c r="AQ359" s="1499"/>
      <c r="AR359" s="1499"/>
      <c r="AS359" s="1499"/>
      <c r="AT359" s="1500"/>
      <c r="AU359" s="1499"/>
      <c r="AV359" s="1499"/>
      <c r="AW359" s="1499"/>
      <c r="AX359" s="1499"/>
      <c r="AY359" s="1500"/>
      <c r="AZ359" s="1499"/>
      <c r="BA359" s="1499"/>
      <c r="BB359" s="1499"/>
      <c r="BC359" s="1499"/>
      <c r="BD359" s="1500"/>
      <c r="BE359" s="1499"/>
      <c r="BF359" s="1499"/>
      <c r="BG359" s="1499"/>
      <c r="BH359" s="1499"/>
      <c r="BI359" s="1500"/>
      <c r="BJ359" s="1499"/>
      <c r="BK359" s="1499"/>
      <c r="BL359" s="1499"/>
      <c r="BM359" s="1499"/>
      <c r="BN359" s="1500"/>
      <c r="BO359" s="1499"/>
      <c r="BP359" s="1499"/>
      <c r="BQ359" s="1499"/>
      <c r="BR359" s="1499"/>
      <c r="BS359" s="1500"/>
      <c r="BT359" s="1499"/>
      <c r="BU359" s="1499"/>
      <c r="BV359" s="1499"/>
      <c r="BW359" s="1499"/>
      <c r="BX359" s="1500"/>
      <c r="BY359" s="1499"/>
      <c r="BZ359" s="1499"/>
      <c r="CA359" s="1499"/>
      <c r="CB359" s="1499"/>
      <c r="CC359" s="1500"/>
      <c r="CD359" s="1499"/>
      <c r="CE359" s="1499"/>
      <c r="CF359" s="1499"/>
      <c r="CG359" s="1499"/>
      <c r="CH359" s="1500"/>
      <c r="CI359" s="1499"/>
      <c r="CJ359" s="1499"/>
      <c r="CK359" s="1499"/>
      <c r="CL359" s="1499"/>
      <c r="CM359" s="1500"/>
      <c r="CN359" s="1499"/>
      <c r="CO359" s="1499"/>
      <c r="CP359" s="1499"/>
      <c r="CQ359" s="1499"/>
      <c r="CR359" s="1500"/>
      <c r="CS359" s="1500"/>
      <c r="CT359" s="1500"/>
      <c r="DB359" s="1226"/>
    </row>
    <row r="360" spans="1:106" s="212" customFormat="1" x14ac:dyDescent="0.2">
      <c r="A360" s="1437" t="s">
        <v>564</v>
      </c>
      <c r="B360" s="1499"/>
      <c r="C360" s="1499"/>
      <c r="D360" s="1499"/>
      <c r="E360" s="1499"/>
      <c r="F360" s="1500"/>
      <c r="G360" s="1499"/>
      <c r="H360" s="1499"/>
      <c r="I360" s="1499"/>
      <c r="J360" s="1499"/>
      <c r="K360" s="1500"/>
      <c r="L360" s="1499"/>
      <c r="M360" s="1499"/>
      <c r="N360" s="1499"/>
      <c r="O360" s="1499"/>
      <c r="P360" s="1500"/>
      <c r="Q360" s="1499"/>
      <c r="R360" s="1499"/>
      <c r="S360" s="1499"/>
      <c r="T360" s="1499"/>
      <c r="U360" s="1500"/>
      <c r="V360" s="1499"/>
      <c r="W360" s="1499"/>
      <c r="X360" s="1499"/>
      <c r="Y360" s="1499"/>
      <c r="Z360" s="1500"/>
      <c r="AA360" s="1499"/>
      <c r="AB360" s="1499"/>
      <c r="AC360" s="1499"/>
      <c r="AD360" s="1499"/>
      <c r="AE360" s="1500"/>
      <c r="AF360" s="1499"/>
      <c r="AG360" s="1499"/>
      <c r="AH360" s="1499"/>
      <c r="AI360" s="1499"/>
      <c r="AJ360" s="1500"/>
      <c r="AK360" s="1499"/>
      <c r="AL360" s="1499"/>
      <c r="AM360" s="1499"/>
      <c r="AN360" s="1499"/>
      <c r="AO360" s="1500"/>
      <c r="AP360" s="1499"/>
      <c r="AQ360" s="1499"/>
      <c r="AR360" s="1499"/>
      <c r="AS360" s="1499"/>
      <c r="AT360" s="1500"/>
      <c r="AU360" s="1499"/>
      <c r="AV360" s="1499"/>
      <c r="AW360" s="1499"/>
      <c r="AX360" s="1499"/>
      <c r="AY360" s="1500"/>
      <c r="AZ360" s="1499"/>
      <c r="BA360" s="1499"/>
      <c r="BB360" s="1499"/>
      <c r="BC360" s="1499"/>
      <c r="BD360" s="1500"/>
      <c r="BE360" s="1499"/>
      <c r="BF360" s="1499"/>
      <c r="BG360" s="1499"/>
      <c r="BH360" s="1499"/>
      <c r="BI360" s="1500"/>
      <c r="BJ360" s="1499"/>
      <c r="BK360" s="1499"/>
      <c r="BL360" s="1499"/>
      <c r="BM360" s="1499"/>
      <c r="BN360" s="1500"/>
      <c r="BO360" s="1499"/>
      <c r="BP360" s="1499"/>
      <c r="BQ360" s="1499"/>
      <c r="BR360" s="1499"/>
      <c r="BS360" s="1500"/>
      <c r="BT360" s="1499"/>
      <c r="BU360" s="1499"/>
      <c r="BV360" s="1499"/>
      <c r="BW360" s="1499"/>
      <c r="BX360" s="1500"/>
      <c r="BY360" s="1499"/>
      <c r="BZ360" s="1499"/>
      <c r="CA360" s="1499"/>
      <c r="CB360" s="1499"/>
      <c r="CC360" s="1500"/>
      <c r="CD360" s="1499"/>
      <c r="CE360" s="1499"/>
      <c r="CF360" s="1499"/>
      <c r="CG360" s="3186"/>
      <c r="CH360" s="1500"/>
      <c r="CI360" s="1499"/>
      <c r="CJ360" s="1499"/>
      <c r="CK360" s="1499"/>
      <c r="CL360" s="1499"/>
      <c r="CM360" s="1500"/>
      <c r="CN360" s="1499"/>
      <c r="CO360" s="1499"/>
      <c r="CP360" s="1499"/>
      <c r="CQ360" s="1499"/>
      <c r="CR360" s="1500"/>
      <c r="CS360" s="1500"/>
      <c r="CT360" s="1500"/>
      <c r="DB360" s="1226"/>
    </row>
    <row r="361" spans="1:106" s="212" customFormat="1" x14ac:dyDescent="0.2">
      <c r="A361" s="1434" t="s">
        <v>1644</v>
      </c>
      <c r="B361" s="1499"/>
      <c r="C361" s="1499"/>
      <c r="D361" s="1499"/>
      <c r="E361" s="1499"/>
      <c r="F361" s="1500"/>
      <c r="G361" s="1499"/>
      <c r="H361" s="1499"/>
      <c r="I361" s="1499"/>
      <c r="J361" s="1499"/>
      <c r="K361" s="1500"/>
      <c r="L361" s="1499"/>
      <c r="M361" s="1499"/>
      <c r="N361" s="1499"/>
      <c r="O361" s="1499"/>
      <c r="P361" s="1500"/>
      <c r="Q361" s="1499"/>
      <c r="R361" s="1499"/>
      <c r="S361" s="1499"/>
      <c r="T361" s="1499"/>
      <c r="U361" s="1500"/>
      <c r="V361" s="1499"/>
      <c r="W361" s="1499"/>
      <c r="X361" s="1499"/>
      <c r="Y361" s="1499"/>
      <c r="Z361" s="1500"/>
      <c r="AA361" s="1499"/>
      <c r="AB361" s="1499"/>
      <c r="AC361" s="1499"/>
      <c r="AD361" s="1499"/>
      <c r="AE361" s="1500"/>
      <c r="AF361" s="1499"/>
      <c r="AG361" s="1499"/>
      <c r="AH361" s="1499"/>
      <c r="AI361" s="1499"/>
      <c r="AJ361" s="1500"/>
      <c r="AK361" s="1466">
        <f>AK222*(AK405*AK$415)*AK$4/1000000</f>
        <v>0</v>
      </c>
      <c r="AL361" s="1466">
        <f>AL222*(AL405*AL$415)*AL$4/1000000</f>
        <v>0</v>
      </c>
      <c r="AM361" s="1466">
        <f>AM222*(AM405*AM$415)*AM$4/1000000</f>
        <v>0</v>
      </c>
      <c r="AN361" s="1466">
        <f>AN222*(AN405*AN$415)*AN$4/1000000</f>
        <v>0</v>
      </c>
      <c r="AO361" s="1565">
        <f>+SUM(AK361:AN361)</f>
        <v>0</v>
      </c>
      <c r="AP361" s="1466">
        <f>AP222*(AP405*AP$415)*AP$4/1000000</f>
        <v>133.98430046571914</v>
      </c>
      <c r="AQ361" s="1466">
        <f>AQ222*(AQ405*AQ$415)*AQ$4/1000000</f>
        <v>136.90044547610714</v>
      </c>
      <c r="AR361" s="1466">
        <f>AR222*(AR405*AR$415)*AR$4/1000000</f>
        <v>117.00868381499171</v>
      </c>
      <c r="AS361" s="1466">
        <f>AS222*(AS405*AS$415)*AS$4/1000000</f>
        <v>156.71442942310321</v>
      </c>
      <c r="AT361" s="1565">
        <f>+SUM(AP361:AS361)</f>
        <v>544.60785917992121</v>
      </c>
      <c r="AU361" s="1466">
        <f>AU222*(AU405*AU$415)*AU$4/1000000</f>
        <v>122.11382027996909</v>
      </c>
      <c r="AV361" s="1466">
        <f>AV222*(AV405*AV$415)*AV$4/1000000</f>
        <v>112.92320815375051</v>
      </c>
      <c r="AW361" s="1466">
        <f>AW222*(AW405*AW$415)*AW$4/1000000</f>
        <v>96.776804324607255</v>
      </c>
      <c r="AX361" s="1466">
        <f>AX222*(AX405*AX$415)*AX$4/1000000</f>
        <v>137.15443866846655</v>
      </c>
      <c r="AY361" s="1565">
        <f>+SUM(AU361:AX361)</f>
        <v>468.96827142679342</v>
      </c>
      <c r="AZ361" s="1466">
        <f>AZ222*(AZ405*AZ$415)*AZ$4/1000000</f>
        <v>131.74718936467761</v>
      </c>
      <c r="BA361" s="1466">
        <f>BA222*(BA405*BA$415)*BA$4/1000000</f>
        <v>135.69437232672743</v>
      </c>
      <c r="BB361" s="1466">
        <f>BB222*(BB405*BB$415)*BB$4/1000000</f>
        <v>112.72838469799834</v>
      </c>
      <c r="BC361" s="1466">
        <f>BC222*(BC405*BC$415)*BC$4/1000000</f>
        <v>152.4120544284813</v>
      </c>
      <c r="BD361" s="1565">
        <f>+SUM(AZ361:BC361)</f>
        <v>532.58200081788459</v>
      </c>
      <c r="BE361" s="1466">
        <f>BE222*(BE405*BE$415)*BE$4/1000000</f>
        <v>143.26230106875974</v>
      </c>
      <c r="BF361" s="1466">
        <f>BF222*(BF405*BF$415)*BF$4/1000000</f>
        <v>146.25398822970709</v>
      </c>
      <c r="BG361" s="1466">
        <f>BG222*(BG405*BG$415)*BG$4/1000000</f>
        <v>121.11104388254688</v>
      </c>
      <c r="BH361" s="1466">
        <f>BH222*(BH405*BH$415)*BH$4/1000000</f>
        <v>165.60493506749231</v>
      </c>
      <c r="BI361" s="1565">
        <f>+SUM(BE361:BH361)</f>
        <v>576.23226824850599</v>
      </c>
      <c r="BJ361" s="1466">
        <f>BJ222*(BJ405*BJ$415)*BJ$4/1000000</f>
        <v>148.13381790839264</v>
      </c>
      <c r="BK361" s="1466">
        <f>BK222*(BK405*BK$415)*BK$4/1000000</f>
        <v>152.72989790212267</v>
      </c>
      <c r="BL361" s="1466">
        <f>BL222*(BL405*BL$415)*BL$4/1000000</f>
        <v>129.88915011185529</v>
      </c>
      <c r="BM361" s="1466">
        <f>BM222*(BM405*BM$415)*BM$4/1000000</f>
        <v>176.78894826737368</v>
      </c>
      <c r="BN361" s="1565">
        <f>+SUM(BJ361:BM361)</f>
        <v>607.54181418974429</v>
      </c>
      <c r="BO361" s="1466">
        <f>BO222*(BO405*BO$415)*BO$4/1000000</f>
        <v>194.25653733622948</v>
      </c>
      <c r="BP361" s="1466">
        <f>BP222*(BP405*BP$415)*BP$4/1000000</f>
        <v>172.06040039647863</v>
      </c>
      <c r="BQ361" s="1466">
        <f>BQ222*(BQ405*BQ$415)*BQ$4/1000000</f>
        <v>161.92764687888678</v>
      </c>
      <c r="BR361" s="1466">
        <f>BR222*(BR405*BR$415)*BR$4/1000000</f>
        <v>175.53779220052104</v>
      </c>
      <c r="BS361" s="1565">
        <f>+SUM(BO361:BR361)</f>
        <v>703.7823768121159</v>
      </c>
      <c r="BT361" s="1466">
        <f>BT222*(BT405*BT$415)*BT$4/1000000</f>
        <v>245.30177664414117</v>
      </c>
      <c r="BU361" s="1466">
        <f>BU222*(BU405*BU$415)*BU$4/1000000</f>
        <v>211.30190233609574</v>
      </c>
      <c r="BV361" s="1466">
        <f>BV222*(BV405*BV$415)*BV$4/1000000</f>
        <v>184.18997009798395</v>
      </c>
      <c r="BW361" s="1466">
        <f>BW222*(BW405*BW$415)*BW$4/1000000</f>
        <v>211.51082751528421</v>
      </c>
      <c r="BX361" s="1565">
        <f>+SUM(BT361:BW361)</f>
        <v>852.304476593505</v>
      </c>
      <c r="BY361" s="1466">
        <f>BY222*(BY405*BY$415)*BY$4/1000000</f>
        <v>270.13943838045054</v>
      </c>
      <c r="BZ361" s="1466">
        <f>BZ222*(BZ405*BZ$415)*BZ$4/1000000</f>
        <v>221.69182424380406</v>
      </c>
      <c r="CA361" s="1466">
        <f>CA222*(CA405*CA$415)*CA$4/1000000</f>
        <v>187.71528981453034</v>
      </c>
      <c r="CB361" s="1466">
        <f>CB222*(CB405*CB$415)*CB$4/1000000</f>
        <v>220.22784267681772</v>
      </c>
      <c r="CC361" s="1565">
        <f>+SUM(BY361:CB361)</f>
        <v>899.7743951156026</v>
      </c>
      <c r="CD361" s="1466">
        <f>CD222*(CD405*CD$415)*CD$4/1000000</f>
        <v>266.2709705615132</v>
      </c>
      <c r="CE361" s="1466">
        <f>CE222*(CE405*CE$415)*CE$4/1000000</f>
        <v>229.39338814632967</v>
      </c>
      <c r="CF361" s="1466">
        <f>CF222*(CF405*CF$415)*CF$4/1000000</f>
        <v>208.96800902031711</v>
      </c>
      <c r="CG361" s="1466">
        <f>CG222*(CG405*CG$415)*CG$4/1000000</f>
        <v>344.01753175607388</v>
      </c>
      <c r="CH361" s="1565">
        <f>+SUM(CD361:CG361)</f>
        <v>1048.6498994842339</v>
      </c>
      <c r="CI361" s="1466">
        <f ca="1">CI222*(CI405*CI$415)*CI$4/1000000</f>
        <v>414.20096611170123</v>
      </c>
      <c r="CJ361" s="1466">
        <f ca="1">CJ222*(CJ405*CJ$415)*CJ$4/1000000</f>
        <v>380.09217925438077</v>
      </c>
      <c r="CK361" s="1466">
        <f ca="1">CK222*(CK405*CK$415)*CK$4/1000000</f>
        <v>366.86596945888351</v>
      </c>
      <c r="CL361" s="1466">
        <f ca="1">CL222*(CL405*CL$415)*CL$4/1000000</f>
        <v>364.94532456131407</v>
      </c>
      <c r="CM361" s="1565">
        <f ca="1">+SUM(CI361:CL361)</f>
        <v>1526.1044393862794</v>
      </c>
      <c r="CN361" s="1466">
        <f ca="1">CN222*(CN405*CN$415)*CN$4/1000000</f>
        <v>447.95834484980503</v>
      </c>
      <c r="CO361" s="1466">
        <f ca="1">CO222*(CO405*CO$415)*CO$4/1000000</f>
        <v>414.98464130993312</v>
      </c>
      <c r="CP361" s="1466">
        <f ca="1">CP222*(CP405*CP$415)*CP$4/1000000</f>
        <v>396.65548617894478</v>
      </c>
      <c r="CQ361" s="1466">
        <f ca="1">CQ222*(CQ405*CQ$415)*CQ$4/1000000</f>
        <v>394.54153865938451</v>
      </c>
      <c r="CR361" s="1565">
        <f ca="1">+SUM(CN361:CQ361)</f>
        <v>1654.1400109980675</v>
      </c>
      <c r="CS361" s="1468">
        <f ca="1">CS222*(AVERAGE(CS405,CR405)*CS$415)*CS$4/1000000</f>
        <v>1768.6191274682858</v>
      </c>
      <c r="CT361" s="1468">
        <f ca="1">CT222*(AVERAGE(CT405,CS405)*CT$415)*CT$4/1000000</f>
        <v>1778.715540280333</v>
      </c>
      <c r="DB361" s="1226"/>
    </row>
    <row r="362" spans="1:106" s="212" customFormat="1" x14ac:dyDescent="0.2">
      <c r="A362" s="1434" t="s">
        <v>1930</v>
      </c>
      <c r="B362" s="1499"/>
      <c r="C362" s="1499"/>
      <c r="D362" s="1499"/>
      <c r="E362" s="1499"/>
      <c r="F362" s="1500"/>
      <c r="G362" s="1499"/>
      <c r="H362" s="1499"/>
      <c r="I362" s="1499"/>
      <c r="J362" s="1499"/>
      <c r="K362" s="1500"/>
      <c r="L362" s="1499"/>
      <c r="M362" s="1499"/>
      <c r="N362" s="1499"/>
      <c r="O362" s="1499"/>
      <c r="P362" s="1500"/>
      <c r="Q362" s="1499"/>
      <c r="R362" s="1499"/>
      <c r="S362" s="1499"/>
      <c r="T362" s="1499"/>
      <c r="U362" s="1500"/>
      <c r="V362" s="1499"/>
      <c r="W362" s="1499"/>
      <c r="X362" s="1499"/>
      <c r="Y362" s="1499"/>
      <c r="Z362" s="1500"/>
      <c r="AA362" s="1499"/>
      <c r="AB362" s="1499"/>
      <c r="AC362" s="1499"/>
      <c r="AD362" s="1499"/>
      <c r="AE362" s="1500"/>
      <c r="AF362" s="1499"/>
      <c r="AG362" s="1499"/>
      <c r="AH362" s="1499"/>
      <c r="AI362" s="1499"/>
      <c r="AJ362" s="1500"/>
      <c r="AK362" s="646">
        <f>AK225*(AK406*AK$415)*AK$4/1000000</f>
        <v>0</v>
      </c>
      <c r="AL362" s="646">
        <f>AL225*(AL406*AL$415)*AL$4/1000000</f>
        <v>0</v>
      </c>
      <c r="AM362" s="646">
        <f>AM225*(AM406*AM$415)*AM$4/1000000</f>
        <v>0</v>
      </c>
      <c r="AN362" s="646">
        <f>AN225*(AN406*AN$415)*AN$4/1000000</f>
        <v>0</v>
      </c>
      <c r="AO362" s="1504">
        <f>+SUM(AK362:AN362)</f>
        <v>0</v>
      </c>
      <c r="AP362" s="646">
        <f>(AP228*0.75+AP231*0.25)*(AP406*AP$415)*AP$4/1000000</f>
        <v>286.4139255709332</v>
      </c>
      <c r="AQ362" s="646">
        <f>(AQ228*0.75+AQ231*0.25)*(AQ406*AQ$415)*AQ$4/1000000</f>
        <v>361.2843371685982</v>
      </c>
      <c r="AR362" s="646">
        <f>(AR228*0.75+AR231*0.25)*(AR406*AR$415)*AR$4/1000000</f>
        <v>368.87501483511306</v>
      </c>
      <c r="AS362" s="646">
        <f>(AS228*0.75+AS231*0.25)*(AS406*AS$415)*AS$4/1000000</f>
        <v>429.11316545739749</v>
      </c>
      <c r="AT362" s="1504">
        <f>+SUM(AP362:AS362)</f>
        <v>1445.686443032042</v>
      </c>
      <c r="AU362" s="646">
        <f>(AU228*0.75+AU231*0.25)*(AU406*AU$415)*AU$4/1000000</f>
        <v>198.06218408722674</v>
      </c>
      <c r="AV362" s="646">
        <f>(AV228*0.75+AV231*0.25)*(AV406*AV$415)*AV$4/1000000</f>
        <v>235.4058252763389</v>
      </c>
      <c r="AW362" s="646">
        <f>(AW228*0.75+AW231*0.25)*(AW406*AW$415)*AW$4/1000000</f>
        <v>262.98647234542028</v>
      </c>
      <c r="AX362" s="646">
        <f>(AX228*0.75+AX231*0.25)*(AX406*AX$415)*AX$4/1000000</f>
        <v>379.9048330839006</v>
      </c>
      <c r="AY362" s="1504">
        <f>+SUM(AU362:AX362)</f>
        <v>1076.3593147928864</v>
      </c>
      <c r="AZ362" s="646">
        <f>(AZ228*0.75+AZ231*0.25)*(AZ406*AZ$415)*AZ$4/1000000</f>
        <v>224.81668313452803</v>
      </c>
      <c r="BA362" s="646">
        <f>(BA228*0.75+BA231*0.25)*(BA406*BA$415)*BA$4/1000000</f>
        <v>282.82895054184047</v>
      </c>
      <c r="BB362" s="646">
        <f>(BB228*0.75+BB231*0.25)*(BB406*BB$415)*BB$4/1000000</f>
        <v>294.84156372785651</v>
      </c>
      <c r="BC362" s="646">
        <f>(BC228*0.75+BC231*0.25)*(BC406*BC$415)*BC$4/1000000</f>
        <v>432.02573105167357</v>
      </c>
      <c r="BD362" s="1504">
        <f>+SUM(AZ362:BC362)</f>
        <v>1234.5129284558986</v>
      </c>
      <c r="BE362" s="646">
        <f>BE225*(BE406*BE$415)*BE$4/1000000</f>
        <v>248.41299119784421</v>
      </c>
      <c r="BF362" s="646">
        <f>BF225*(BF406*BF$415)*BF$4/1000000</f>
        <v>341.2471117093454</v>
      </c>
      <c r="BG362" s="646">
        <f>BG225*(BG406*BG$415)*BG$4/1000000</f>
        <v>366.177458949097</v>
      </c>
      <c r="BH362" s="646">
        <f>BH225*(BH406*BH$415)*BH$4/1000000</f>
        <v>469.65051394253743</v>
      </c>
      <c r="BI362" s="1504">
        <f>+SUM(BE362:BH362)</f>
        <v>1425.488075798824</v>
      </c>
      <c r="BJ362" s="646">
        <f>BJ225*(BJ406*BJ$415)*BJ$4/1000000</f>
        <v>252.55597486916321</v>
      </c>
      <c r="BK362" s="646">
        <f>BK225*(BK406*BK$415)*BK$4/1000000</f>
        <v>339.93212788998773</v>
      </c>
      <c r="BL362" s="646">
        <f>BL225*(BL406*BL$415)*BL$4/1000000</f>
        <v>348.13462845728992</v>
      </c>
      <c r="BM362" s="646">
        <f>BM225*(BM406*BM$415)*BM$4/1000000</f>
        <v>467.35938039684049</v>
      </c>
      <c r="BN362" s="1504">
        <f>+SUM(BJ362:BM362)</f>
        <v>1407.9821116132812</v>
      </c>
      <c r="BO362" s="646">
        <f>BO225*(BO406*BO$415)*BO$4/1000000</f>
        <v>303.12507148965324</v>
      </c>
      <c r="BP362" s="646">
        <f>BP225*(BP406*BP$415)*BP$4/1000000</f>
        <v>412.75914677869196</v>
      </c>
      <c r="BQ362" s="646">
        <f>BQ225*(BQ406*BQ$415)*BQ$4/1000000</f>
        <v>418.23805599102258</v>
      </c>
      <c r="BR362" s="646">
        <f>BR225*(BR406*BR$415)*BR$4/1000000</f>
        <v>418.73559315631729</v>
      </c>
      <c r="BS362" s="1504">
        <f>+SUM(BO362:BR362)</f>
        <v>1552.857867415685</v>
      </c>
      <c r="BT362" s="646">
        <f>BT225*(BT406*BT$415)*BT$4/1000000</f>
        <v>347.02523283427729</v>
      </c>
      <c r="BU362" s="646">
        <f>BU225*(BU406*BU$415)*BU$4/1000000</f>
        <v>514.6967373481325</v>
      </c>
      <c r="BV362" s="646">
        <f>BV225*(BV406*BV$415)*BV$4/1000000</f>
        <v>519.32806885293917</v>
      </c>
      <c r="BW362" s="646">
        <f>BW225*(BW406*BW$415)*BW$4/1000000</f>
        <v>475.9905443930964</v>
      </c>
      <c r="BX362" s="1504">
        <f>+SUM(BT362:BW362)</f>
        <v>1857.0405834284454</v>
      </c>
      <c r="BY362" s="646">
        <f>BY225*(BY406*BY$415)*BY$4/1000000</f>
        <v>357.68265235654343</v>
      </c>
      <c r="BZ362" s="646">
        <f>BZ225*(BZ406*BZ$415)*BZ$4/1000000</f>
        <v>469.69718760695133</v>
      </c>
      <c r="CA362" s="646">
        <f>CA225*(CA406*CA$415)*CA$4/1000000</f>
        <v>509.6259780779485</v>
      </c>
      <c r="CB362" s="646">
        <f>CB225*(CB406*CB$415)*CB$4/1000000</f>
        <v>461.13143282314871</v>
      </c>
      <c r="CC362" s="1504">
        <f>+SUM(BY362:CB362)</f>
        <v>1798.137250864592</v>
      </c>
      <c r="CD362" s="646">
        <f>CD225*(CD406*CD$415)*CD$4/1000000</f>
        <v>310.85944520883584</v>
      </c>
      <c r="CE362" s="723">
        <f>CE225*(CE406*CE$415)*CE$4/1000000</f>
        <v>430.12928809399511</v>
      </c>
      <c r="CF362" s="646">
        <f>CF225*(CF406*CF$415)*CF$4/1000000</f>
        <v>428.10118942193571</v>
      </c>
      <c r="CG362" s="646">
        <f>CG225*(CG406*CG$415)*CG$4/1000000</f>
        <v>779.10201373144969</v>
      </c>
      <c r="CH362" s="1504">
        <f>+SUM(CD362:CG362)</f>
        <v>1948.1919364562164</v>
      </c>
      <c r="CI362" s="646">
        <f ca="1">CI225*(CI406*CI$415)*CI$4/1000000</f>
        <v>617.50545519283185</v>
      </c>
      <c r="CJ362" s="646">
        <f ca="1">CJ225*(CJ406*CJ$415)*CJ$4/1000000</f>
        <v>911.5020653109558</v>
      </c>
      <c r="CK362" s="646">
        <f ca="1">CK225*(CK406*CK$415)*CK$4/1000000</f>
        <v>1256.2490834922094</v>
      </c>
      <c r="CL362" s="646">
        <f ca="1">CL225*(CL406*CL$415)*CL$4/1000000</f>
        <v>898.50540330886213</v>
      </c>
      <c r="CM362" s="1504">
        <f ca="1">+SUM(CI362:CL362)</f>
        <v>3683.7620073048593</v>
      </c>
      <c r="CN362" s="646">
        <f ca="1">CN225*(CN406*CN$415)*CN$4/1000000</f>
        <v>674.31595707057249</v>
      </c>
      <c r="CO362" s="646">
        <f ca="1">CO225*(CO406*CO$415)*CO$4/1000000</f>
        <v>1004.8398767987979</v>
      </c>
      <c r="CP362" s="646">
        <f ca="1">CP225*(CP406*CP$415)*CP$4/1000000</f>
        <v>1384.8889896418116</v>
      </c>
      <c r="CQ362" s="646">
        <f ca="1">CQ225*(CQ406*CQ$415)*CQ$4/1000000</f>
        <v>990.4186062075529</v>
      </c>
      <c r="CR362" s="1504">
        <f ca="1">+SUM(CN362:CQ362)</f>
        <v>4054.4634297187345</v>
      </c>
      <c r="CS362" s="1505">
        <f ca="1">CS225*(AVERAGE(CS406,CR406)*CS$415)*CS$4/1000000</f>
        <v>4330.5650177804901</v>
      </c>
      <c r="CT362" s="1505">
        <f ca="1">CT225*(AVERAGE(CT406,CS406)*CT$415)*CT$4/1000000</f>
        <v>4355.2866616041165</v>
      </c>
      <c r="DB362" s="1226"/>
    </row>
    <row r="363" spans="1:106" s="212" customFormat="1" x14ac:dyDescent="0.2">
      <c r="A363" s="1434" t="s">
        <v>1645</v>
      </c>
      <c r="B363" s="1499"/>
      <c r="C363" s="1499"/>
      <c r="D363" s="1499"/>
      <c r="E363" s="1499"/>
      <c r="F363" s="1500"/>
      <c r="G363" s="1499"/>
      <c r="H363" s="1499"/>
      <c r="I363" s="1499"/>
      <c r="J363" s="1499"/>
      <c r="K363" s="1500"/>
      <c r="L363" s="1499"/>
      <c r="M363" s="1499"/>
      <c r="N363" s="1499"/>
      <c r="O363" s="1499"/>
      <c r="P363" s="1500"/>
      <c r="Q363" s="1499"/>
      <c r="R363" s="1499"/>
      <c r="S363" s="1499"/>
      <c r="T363" s="1499"/>
      <c r="U363" s="1500"/>
      <c r="V363" s="1499"/>
      <c r="W363" s="1499"/>
      <c r="X363" s="1499"/>
      <c r="Y363" s="1499"/>
      <c r="Z363" s="1500"/>
      <c r="AA363" s="1499"/>
      <c r="AB363" s="1499"/>
      <c r="AC363" s="1499"/>
      <c r="AD363" s="1499"/>
      <c r="AE363" s="1500"/>
      <c r="AF363" s="1499"/>
      <c r="AG363" s="1499"/>
      <c r="AH363" s="1499"/>
      <c r="AI363" s="1499"/>
      <c r="AJ363" s="1500"/>
      <c r="AK363" s="646">
        <f>AK234*(AK407*AK$415)*AK$4/1000000</f>
        <v>0</v>
      </c>
      <c r="AL363" s="646">
        <f>AL234*(AL407*AL$415)*AL$4/1000000</f>
        <v>0</v>
      </c>
      <c r="AM363" s="646">
        <f>AM234*(AM407*AM$415)*AM$4/1000000</f>
        <v>0</v>
      </c>
      <c r="AN363" s="646">
        <f>AN234*(AN407*AN$415)*AN$4/1000000</f>
        <v>0</v>
      </c>
      <c r="AO363" s="1504">
        <f>+SUM(AK363:AN363)</f>
        <v>0</v>
      </c>
      <c r="AP363" s="646">
        <f>AP234*(AP407*AP$415)*AP$4/1000000</f>
        <v>86.810051653935517</v>
      </c>
      <c r="AQ363" s="646">
        <f>AQ234*(AQ407*AQ$415)*AQ$4/1000000</f>
        <v>95.247453885861901</v>
      </c>
      <c r="AR363" s="646">
        <f>AR234*(AR407*AR$415)*AR$4/1000000</f>
        <v>68.305204635975741</v>
      </c>
      <c r="AS363" s="646">
        <f>AS234*(AS407*AS$415)*AS$4/1000000</f>
        <v>108.40980303002331</v>
      </c>
      <c r="AT363" s="1504">
        <f>+SUM(AP363:AS363)</f>
        <v>358.77251320579649</v>
      </c>
      <c r="AU363" s="646">
        <f>AU234*(AU407*AU$415)*AU$4/1000000</f>
        <v>66.876761573106251</v>
      </c>
      <c r="AV363" s="646">
        <f>AV234*(AV407*AV$415)*AV$4/1000000</f>
        <v>65.768000193607762</v>
      </c>
      <c r="AW363" s="646">
        <f>AW234*(AW407*AW$415)*AW$4/1000000</f>
        <v>49.304095646662354</v>
      </c>
      <c r="AX363" s="646">
        <f>AX234*(AX407*AX$415)*AX$4/1000000</f>
        <v>87.746462464964509</v>
      </c>
      <c r="AY363" s="1504">
        <f>+SUM(AU363:AX363)</f>
        <v>269.69531987834085</v>
      </c>
      <c r="AZ363" s="646">
        <f>AZ234*(AZ407*AZ$415)*AZ$4/1000000</f>
        <v>59.126900485308411</v>
      </c>
      <c r="BA363" s="646">
        <f>BA234*(BA407*BA$415)*BA$4/1000000</f>
        <v>64.152046238077347</v>
      </c>
      <c r="BB363" s="646">
        <f>BB234*(BB407*BB$415)*BB$4/1000000</f>
        <v>43.520792773371113</v>
      </c>
      <c r="BC363" s="646">
        <f>BC234*(BC407*BC$415)*BC$4/1000000</f>
        <v>73.92966925786466</v>
      </c>
      <c r="BD363" s="1504">
        <f>+SUM(AZ363:BC363)</f>
        <v>240.72940875462155</v>
      </c>
      <c r="BE363" s="646">
        <f>BE234*(BE407*BE$415)*BE$4/1000000</f>
        <v>52.871896700052247</v>
      </c>
      <c r="BF363" s="646">
        <f>BF234*(BF407*BF$415)*BF$4/1000000</f>
        <v>50.538070454749189</v>
      </c>
      <c r="BG363" s="646">
        <f>BG234*(BG407*BG$415)*BG$4/1000000</f>
        <v>42.177957646965574</v>
      </c>
      <c r="BH363" s="646">
        <f>BH234*(BH407*BH$415)*BH$4/1000000</f>
        <v>76.57399257577957</v>
      </c>
      <c r="BI363" s="1504">
        <f>+SUM(BE363:BH363)</f>
        <v>222.16191737754656</v>
      </c>
      <c r="BJ363" s="646">
        <f>BJ234*(BJ407*BJ$415)*BJ$4/1000000</f>
        <v>53.777209778609361</v>
      </c>
      <c r="BK363" s="646">
        <f>BK234*(BK407*BK$415)*BK$4/1000000</f>
        <v>58.250625231180791</v>
      </c>
      <c r="BL363" s="646">
        <f>BL234*(BL407*BL$415)*BL$4/1000000</f>
        <v>47.277943378056868</v>
      </c>
      <c r="BM363" s="646">
        <f>BM234*(BM407*BM$415)*BM$4/1000000</f>
        <v>79.660459541793301</v>
      </c>
      <c r="BN363" s="1504">
        <f>+SUM(BJ363:BM363)</f>
        <v>238.96623792964033</v>
      </c>
      <c r="BO363" s="646">
        <f>BO234*(BO407*BO$415)*BO$4/1000000</f>
        <v>67.723065189172829</v>
      </c>
      <c r="BP363" s="646">
        <f>BP234*(BP407*BP$415)*BP$4/1000000</f>
        <v>65.375786101841243</v>
      </c>
      <c r="BQ363" s="646">
        <f>BQ234*(BQ407*BQ$415)*BQ$4/1000000</f>
        <v>51.248690781227623</v>
      </c>
      <c r="BR363" s="646">
        <f>BR234*(BR407*BR$415)*BR$4/1000000</f>
        <v>66.834920546120983</v>
      </c>
      <c r="BS363" s="1504">
        <f>+SUM(BO363:BR363)</f>
        <v>251.18246261836265</v>
      </c>
      <c r="BT363" s="646">
        <f>BT234*(BT407*BT$415)*BT$4/1000000</f>
        <v>92.304479495788144</v>
      </c>
      <c r="BU363" s="646">
        <f>BU234*(BU407*BU$415)*BU$4/1000000</f>
        <v>97.230297070835235</v>
      </c>
      <c r="BV363" s="646">
        <f>BV234*(BV407*BV$415)*BV$4/1000000</f>
        <v>75.241272735975357</v>
      </c>
      <c r="BW363" s="646">
        <f>BW234*(BW407*BW$415)*BW$4/1000000</f>
        <v>110.03088554931863</v>
      </c>
      <c r="BX363" s="1504">
        <f>+SUM(BT363:BW363)</f>
        <v>374.80693485191733</v>
      </c>
      <c r="BY363" s="646">
        <f>BY234*(BY407*BY$415)*BY$4/1000000</f>
        <v>106.2329879389053</v>
      </c>
      <c r="BZ363" s="646">
        <f>BZ234*(BZ407*BZ$415)*BZ$4/1000000</f>
        <v>95.011598664595965</v>
      </c>
      <c r="CA363" s="646">
        <f>CA234*(CA407*CA$415)*CA$4/1000000</f>
        <v>78.808852699699088</v>
      </c>
      <c r="CB363" s="646">
        <f>CB234*(CB407*CB$415)*CB$4/1000000</f>
        <v>102.69704991653094</v>
      </c>
      <c r="CC363" s="1504">
        <f>+SUM(BY363:CB363)</f>
        <v>382.75048921973126</v>
      </c>
      <c r="CD363" s="646">
        <f>CD234*(CD407*CD$415)*CD$4/1000000</f>
        <v>90.572491515904588</v>
      </c>
      <c r="CE363" s="646">
        <f>CE234*(CE407*CE$415)*CE$4/1000000</f>
        <v>74.416154030332947</v>
      </c>
      <c r="CF363" s="646">
        <f>CF234*(CF407*CF$415)*CF$4/1000000</f>
        <v>70.63387792198121</v>
      </c>
      <c r="CG363" s="646">
        <f>CG234*(CG407*CG$415)*CG$4/1000000</f>
        <v>312.76647738837789</v>
      </c>
      <c r="CH363" s="1504">
        <f>+SUM(CD363:CG363)</f>
        <v>548.38900085659657</v>
      </c>
      <c r="CI363" s="646">
        <f ca="1">CI234*(CI407*CI$415)*CI$4/1000000</f>
        <v>309.96551473862706</v>
      </c>
      <c r="CJ363" s="646">
        <f ca="1">CJ234*(CJ407*CJ$415)*CJ$4/1000000</f>
        <v>260.03735965851234</v>
      </c>
      <c r="CK363" s="646">
        <f ca="1">CK234*(CK407*CK$415)*CK$4/1000000</f>
        <v>240.10222598072451</v>
      </c>
      <c r="CL363" s="646">
        <f ca="1">CL234*(CL407*CL$415)*CL$4/1000000</f>
        <v>336.881463284289</v>
      </c>
      <c r="CM363" s="1504">
        <f ca="1">+SUM(CI363:CL363)</f>
        <v>1146.986563662153</v>
      </c>
      <c r="CN363" s="646">
        <f ca="1">CN234*(CN407*CN$415)*CN$4/1000000</f>
        <v>325.46379047555831</v>
      </c>
      <c r="CO363" s="646">
        <f ca="1">CO234*(CO407*CO$415)*CO$4/1000000</f>
        <v>274.26140323183301</v>
      </c>
      <c r="CP363" s="646">
        <f ca="1">CP234*(CP407*CP$415)*CP$4/1000000</f>
        <v>257.05344313496357</v>
      </c>
      <c r="CQ363" s="646">
        <f ca="1">CQ234*(CQ407*CQ$415)*CQ$4/1000000</f>
        <v>360.63115820258525</v>
      </c>
      <c r="CR363" s="1504">
        <f ca="1">+SUM(CN363:CQ363)</f>
        <v>1217.4097950449402</v>
      </c>
      <c r="CS363" s="1505">
        <f ca="1">CS234*(AVERAGE(CS407,CR407)*CS$415)*CS$4/1000000</f>
        <v>1299.262102194871</v>
      </c>
      <c r="CT363" s="1505">
        <f ca="1">CT234*(AVERAGE(CT407,CS407)*CT$415)*CT$4/1000000</f>
        <v>1306.6791239442541</v>
      </c>
      <c r="DB363" s="1226"/>
    </row>
    <row r="364" spans="1:106" s="212" customFormat="1" x14ac:dyDescent="0.2">
      <c r="A364" s="1580" t="s">
        <v>808</v>
      </c>
      <c r="B364" s="1499"/>
      <c r="C364" s="1499"/>
      <c r="D364" s="1499"/>
      <c r="E364" s="1499"/>
      <c r="F364" s="1500"/>
      <c r="G364" s="1499"/>
      <c r="H364" s="1499"/>
      <c r="I364" s="1499"/>
      <c r="J364" s="1499"/>
      <c r="K364" s="1500"/>
      <c r="L364" s="1499"/>
      <c r="M364" s="1499"/>
      <c r="N364" s="1499"/>
      <c r="O364" s="1499"/>
      <c r="P364" s="1500"/>
      <c r="Q364" s="1499"/>
      <c r="R364" s="1499"/>
      <c r="S364" s="1499"/>
      <c r="T364" s="1499"/>
      <c r="U364" s="1500"/>
      <c r="V364" s="1499"/>
      <c r="W364" s="1499"/>
      <c r="X364" s="1499"/>
      <c r="Y364" s="1499"/>
      <c r="Z364" s="1500"/>
      <c r="AA364" s="1499"/>
      <c r="AB364" s="1499"/>
      <c r="AC364" s="1499"/>
      <c r="AD364" s="1499"/>
      <c r="AE364" s="1500"/>
      <c r="AF364" s="1499"/>
      <c r="AG364" s="1499"/>
      <c r="AH364" s="1499"/>
      <c r="AI364" s="1499"/>
      <c r="AJ364" s="1500"/>
      <c r="AK364" s="728">
        <f>AK237*(AK408*AK$415)*AK$4/1000000</f>
        <v>0</v>
      </c>
      <c r="AL364" s="728">
        <f>AL237*(AL408*AL$415)*AL$4/1000000</f>
        <v>0</v>
      </c>
      <c r="AM364" s="728">
        <f>AM237*(AM408*AM$415)*AM$4/1000000</f>
        <v>0</v>
      </c>
      <c r="AN364" s="728">
        <f>AN237*(AN408*AN$415)*AN$4/1000000</f>
        <v>0</v>
      </c>
      <c r="AO364" s="1510">
        <f>+SUM(AK364:AN364)</f>
        <v>0</v>
      </c>
      <c r="AP364" s="728">
        <f>AP237*(AP408*AP$415)*AP$4/1000000</f>
        <v>241.2610491664031</v>
      </c>
      <c r="AQ364" s="728">
        <f>AQ237*(AQ408*AQ$415)*AQ$4/1000000</f>
        <v>259.21090673537094</v>
      </c>
      <c r="AR364" s="728">
        <f>AR237*(AR408*AR$415)*AR$4/1000000</f>
        <v>250.92378706180921</v>
      </c>
      <c r="AS364" s="728">
        <f>AS237*(AS408*AS$415)*AS$4/1000000</f>
        <v>331.56136034959417</v>
      </c>
      <c r="AT364" s="1510">
        <f>+SUM(AP364:AS364)</f>
        <v>1082.9571033131774</v>
      </c>
      <c r="AU364" s="728">
        <f>AU237*(AU408*AU$415)*AU$4/1000000</f>
        <v>201.62265008038972</v>
      </c>
      <c r="AV364" s="728">
        <f>AV237*(AV408*AV$415)*AV$4/1000000</f>
        <v>194.16369689714153</v>
      </c>
      <c r="AW364" s="728">
        <f>AW237*(AW408*AW$415)*AW$4/1000000</f>
        <v>210.22046960522789</v>
      </c>
      <c r="AX364" s="728">
        <f>AX237*(AX408*AX$415)*AX$4/1000000</f>
        <v>346.04463095449375</v>
      </c>
      <c r="AY364" s="1510">
        <f>+SUM(AU364:AX364)</f>
        <v>952.0514475372529</v>
      </c>
      <c r="AZ364" s="728">
        <f>AZ237*(AZ408*AZ$415)*AZ$4/1000000</f>
        <v>204.51001890558265</v>
      </c>
      <c r="BA364" s="728">
        <f>BA237*(BA408*BA$415)*BA$4/1000000</f>
        <v>237.65674871178754</v>
      </c>
      <c r="BB364" s="728">
        <f>BB237*(BB408*BB$415)*BB$4/1000000</f>
        <v>241.75386186397006</v>
      </c>
      <c r="BC364" s="728">
        <f>BC237*(BC408*BC$415)*BC$4/1000000</f>
        <v>372.35887685854908</v>
      </c>
      <c r="BD364" s="1510">
        <f>+SUM(AZ364:BC364)</f>
        <v>1056.2795063398894</v>
      </c>
      <c r="BE364" s="728">
        <f>BE237*(BE408*BE$415)*BE$4/1000000</f>
        <v>250.18866275793943</v>
      </c>
      <c r="BF364" s="728">
        <f>BF237*(BF408*BF$415)*BF$4/1000000</f>
        <v>289.66668019507057</v>
      </c>
      <c r="BG364" s="728">
        <f>BG237*(BG408*BG$415)*BG$4/1000000</f>
        <v>291.76809966069402</v>
      </c>
      <c r="BH364" s="728">
        <f>BH237*(BH408*BH$415)*BH$4/1000000</f>
        <v>448.10339431619815</v>
      </c>
      <c r="BI364" s="1510">
        <f>+SUM(BE364:BH364)</f>
        <v>1279.7268369299022</v>
      </c>
      <c r="BJ364" s="728">
        <f>BJ237*(BJ408*BJ$415)*BJ$4/1000000</f>
        <v>264.68529083451392</v>
      </c>
      <c r="BK364" s="728">
        <f>BK237*(BK408*BK$415)*BK$4/1000000</f>
        <v>297.6291861686737</v>
      </c>
      <c r="BL364" s="728">
        <f>BL237*(BL408*BL$415)*BL$4/1000000</f>
        <v>280.86622981659269</v>
      </c>
      <c r="BM364" s="728">
        <f>BM237*(BM408*BM$415)*BM$4/1000000</f>
        <v>428.22889092247976</v>
      </c>
      <c r="BN364" s="1510">
        <f>+SUM(BJ364:BM364)</f>
        <v>1271.4095977422603</v>
      </c>
      <c r="BO364" s="728">
        <f>BO237*(BO408*BO$415)*BO$4/1000000</f>
        <v>340.46314337063893</v>
      </c>
      <c r="BP364" s="728">
        <f>BP237*(BP408*BP$415)*BP$4/1000000</f>
        <v>341.95692634407879</v>
      </c>
      <c r="BQ364" s="728">
        <f>BQ237*(BQ408*BQ$415)*BQ$4/1000000</f>
        <v>353.15065857747533</v>
      </c>
      <c r="BR364" s="728">
        <f>BR237*(BR408*BR$415)*BR$4/1000000</f>
        <v>388.06302222719512</v>
      </c>
      <c r="BS364" s="1510">
        <f>+SUM(BO364:BR364)</f>
        <v>1423.6337505193883</v>
      </c>
      <c r="BT364" s="728">
        <f>BT237*(BT408*BT$415)*BT$4/1000000</f>
        <v>426.10786408852476</v>
      </c>
      <c r="BU364" s="728">
        <f>BU237*(BU408*BU$415)*BU$4/1000000</f>
        <v>452.9419427106759</v>
      </c>
      <c r="BV364" s="728">
        <f>BV237*(BV408*BV$415)*BV$4/1000000</f>
        <v>470.93066749342518</v>
      </c>
      <c r="BW364" s="728">
        <f>BW237*(BW408*BW$415)*BW$4/1000000</f>
        <v>510.38091516768185</v>
      </c>
      <c r="BX364" s="1510">
        <f>+SUM(BT364:BW364)</f>
        <v>1860.3613894603077</v>
      </c>
      <c r="BY364" s="728">
        <f>BY237*(BY408*BY$415)*BY$4/1000000</f>
        <v>424.28377314648191</v>
      </c>
      <c r="BZ364" s="728">
        <f>BZ237*(BZ408*BZ$415)*BZ$4/1000000</f>
        <v>422.45531312850778</v>
      </c>
      <c r="CA364" s="728">
        <f>CA237*(CA408*CA$415)*CA$4/1000000</f>
        <v>426.87143645564294</v>
      </c>
      <c r="CB364" s="728">
        <f>CB237*(CB408*CB$415)*CB$4/1000000</f>
        <v>463.29670506014719</v>
      </c>
      <c r="CC364" s="1510">
        <f>+SUM(BY364:CB364)</f>
        <v>1736.9072277907796</v>
      </c>
      <c r="CD364" s="728">
        <f>CD237*(CD408*CD$415)*CD$4/1000000</f>
        <v>434.26965715693706</v>
      </c>
      <c r="CE364" s="728">
        <f>CE237*(CE408*CE$415)*CE$4/1000000</f>
        <v>440.84318285062284</v>
      </c>
      <c r="CF364" s="728">
        <f>CF237*(CF408*CF$415)*CF$4/1000000</f>
        <v>453.85190934709465</v>
      </c>
      <c r="CG364" s="728">
        <f>CG237*(CG408*CG$415)*CG$4/1000000</f>
        <v>1193.9616482579213</v>
      </c>
      <c r="CH364" s="1510">
        <f>+SUM(CD364:CG364)</f>
        <v>2522.9263976125758</v>
      </c>
      <c r="CI364" s="728">
        <f ca="1">CI237*(CI408*CI$415)*CI$4/1000000</f>
        <v>1098.0283517506225</v>
      </c>
      <c r="CJ364" s="728">
        <f ca="1">CJ237*(CJ408*CJ$415)*CJ$4/1000000</f>
        <v>1132.898054146287</v>
      </c>
      <c r="CK364" s="728">
        <f ca="1">CK237*(CK408*CK$415)*CK$4/1000000</f>
        <v>1414.308787942115</v>
      </c>
      <c r="CL364" s="728">
        <f ca="1">CL237*(CL408*CL$415)*CL$4/1000000</f>
        <v>1324.4090909155088</v>
      </c>
      <c r="CM364" s="1510">
        <f ca="1">+SUM(CI364:CL364)</f>
        <v>4969.6442847545331</v>
      </c>
      <c r="CN364" s="728">
        <f ca="1">CN237*(CN408*CN$415)*CN$4/1000000</f>
        <v>1222.1055554984432</v>
      </c>
      <c r="CO364" s="728">
        <f ca="1">CO237*(CO408*CO$415)*CO$4/1000000</f>
        <v>1284.932973012719</v>
      </c>
      <c r="CP364" s="728">
        <f ca="1">CP237*(CP408*CP$415)*CP$4/1000000</f>
        <v>1559.1340078273879</v>
      </c>
      <c r="CQ364" s="728">
        <f ca="1">CQ237*(CQ408*CQ$415)*CQ$4/1000000</f>
        <v>1473.9278000900838</v>
      </c>
      <c r="CR364" s="1510">
        <f ca="1">+SUM(CN364:CQ364)</f>
        <v>5540.1003364286344</v>
      </c>
      <c r="CS364" s="1511">
        <f ca="1">CS237*(AVERAGE(CS408,CR408)*CS$415)*CS$4/1000000</f>
        <v>6046.9850427546244</v>
      </c>
      <c r="CT364" s="1511">
        <f ca="1">CT237*(AVERAGE(CT408,CS408)*CT$415)*CT$4/1000000</f>
        <v>6144.2010424240934</v>
      </c>
      <c r="DB364" s="1226"/>
    </row>
    <row r="365" spans="1:106" s="212" customFormat="1" x14ac:dyDescent="0.2">
      <c r="A365" s="1437" t="s">
        <v>76</v>
      </c>
      <c r="B365" s="1499"/>
      <c r="C365" s="1499"/>
      <c r="D365" s="1499"/>
      <c r="E365" s="1499"/>
      <c r="F365" s="1500"/>
      <c r="G365" s="1499"/>
      <c r="H365" s="1499"/>
      <c r="I365" s="1499"/>
      <c r="J365" s="1499"/>
      <c r="K365" s="1500"/>
      <c r="L365" s="1499"/>
      <c r="M365" s="1499"/>
      <c r="N365" s="1499"/>
      <c r="O365" s="1499"/>
      <c r="P365" s="1500"/>
      <c r="Q365" s="1499"/>
      <c r="R365" s="1499"/>
      <c r="S365" s="1499"/>
      <c r="T365" s="1499"/>
      <c r="U365" s="1500"/>
      <c r="V365" s="1499"/>
      <c r="W365" s="1499"/>
      <c r="X365" s="1499"/>
      <c r="Y365" s="1499"/>
      <c r="Z365" s="1500"/>
      <c r="AA365" s="1499"/>
      <c r="AB365" s="1499"/>
      <c r="AC365" s="1499"/>
      <c r="AD365" s="1499"/>
      <c r="AE365" s="1500"/>
      <c r="AF365" s="1499"/>
      <c r="AG365" s="1499"/>
      <c r="AH365" s="1499"/>
      <c r="AI365" s="1499"/>
      <c r="AJ365" s="1500"/>
      <c r="AK365" s="1573">
        <f>SUM(AK361:AK364)</f>
        <v>0</v>
      </c>
      <c r="AL365" s="1573">
        <f>SUM(AL361:AL364)</f>
        <v>0</v>
      </c>
      <c r="AM365" s="1573">
        <f>SUM(AM361:AM364)</f>
        <v>0</v>
      </c>
      <c r="AN365" s="1573">
        <f>SUM(AN361:AN364)</f>
        <v>0</v>
      </c>
      <c r="AO365" s="1570">
        <f>+SUM(AK365:AN365)</f>
        <v>0</v>
      </c>
      <c r="AP365" s="1573">
        <f>SUM(AP361:AP364)</f>
        <v>748.46932685699085</v>
      </c>
      <c r="AQ365" s="1573">
        <f>SUM(AQ361:AQ364)</f>
        <v>852.64314326593819</v>
      </c>
      <c r="AR365" s="1573">
        <f>SUM(AR361:AR364)</f>
        <v>805.11269034788972</v>
      </c>
      <c r="AS365" s="1573">
        <f>SUM(AS361:AS364)</f>
        <v>1025.7987582601181</v>
      </c>
      <c r="AT365" s="1570">
        <f>+SUM(AP365:AS365)</f>
        <v>3432.0239187309371</v>
      </c>
      <c r="AU365" s="1573">
        <f>SUM(AU361:AU364)</f>
        <v>588.67541602069184</v>
      </c>
      <c r="AV365" s="1573">
        <f>SUM(AV361:AV364)</f>
        <v>608.26073052083871</v>
      </c>
      <c r="AW365" s="1573">
        <f>SUM(AW361:AW364)</f>
        <v>619.28784192191779</v>
      </c>
      <c r="AX365" s="1573">
        <f>SUM(AX361:AX364)</f>
        <v>950.8503651718255</v>
      </c>
      <c r="AY365" s="1570">
        <f>+SUM(AU365:AX365)</f>
        <v>2767.0743536352738</v>
      </c>
      <c r="AZ365" s="1573">
        <f>SUM(AZ361:AZ364)</f>
        <v>620.20079189009675</v>
      </c>
      <c r="BA365" s="1573">
        <f>SUM(BA361:BA364)</f>
        <v>720.33211781843283</v>
      </c>
      <c r="BB365" s="1573">
        <f>SUM(BB361:BB364)</f>
        <v>692.84460306319602</v>
      </c>
      <c r="BC365" s="1573">
        <f>SUM(BC361:BC364)</f>
        <v>1030.7263315965686</v>
      </c>
      <c r="BD365" s="1570">
        <f>+SUM(AZ365:BC365)</f>
        <v>3064.1038443682942</v>
      </c>
      <c r="BE365" s="1573">
        <f>SUM(BE361:BE364)</f>
        <v>694.7358517245957</v>
      </c>
      <c r="BF365" s="1573">
        <f>SUM(BF361:BF364)</f>
        <v>827.70585058887218</v>
      </c>
      <c r="BG365" s="1573">
        <f>SUM(BG361:BG364)</f>
        <v>821.23456013930343</v>
      </c>
      <c r="BH365" s="1573">
        <f>SUM(BH361:BH364)</f>
        <v>1159.9328359020074</v>
      </c>
      <c r="BI365" s="1570">
        <f>+SUM(BE365:BH365)</f>
        <v>3503.6090983547788</v>
      </c>
      <c r="BJ365" s="1573">
        <f>SUM(BJ361:BJ364)</f>
        <v>719.15229339067912</v>
      </c>
      <c r="BK365" s="1573">
        <f>SUM(BK361:BK364)</f>
        <v>848.54183719196499</v>
      </c>
      <c r="BL365" s="1573">
        <f>SUM(BL361:BL364)</f>
        <v>806.16795176379469</v>
      </c>
      <c r="BM365" s="1573">
        <f>SUM(BM361:BM364)</f>
        <v>1152.0376791284873</v>
      </c>
      <c r="BN365" s="1570">
        <f>+SUM(BJ365:BM365)</f>
        <v>3525.899761474926</v>
      </c>
      <c r="BO365" s="1573">
        <f>SUM(BO361:BO364)</f>
        <v>905.56781738569453</v>
      </c>
      <c r="BP365" s="1573">
        <f>SUM(BP361:BP364)</f>
        <v>992.15225962109048</v>
      </c>
      <c r="BQ365" s="1573">
        <f>SUM(BQ361:BQ364)</f>
        <v>984.56505222861233</v>
      </c>
      <c r="BR365" s="1573">
        <f>SUM(BR361:BR364)</f>
        <v>1049.1713281301545</v>
      </c>
      <c r="BS365" s="1570">
        <f>+SUM(BO365:BR365)</f>
        <v>3931.4564573655516</v>
      </c>
      <c r="BT365" s="1573">
        <f>SUM(BT361:BT364)</f>
        <v>1110.7393530627314</v>
      </c>
      <c r="BU365" s="1573">
        <f>SUM(BU361:BU364)</f>
        <v>1276.1708794657393</v>
      </c>
      <c r="BV365" s="1573">
        <f>SUM(BV361:BV364)</f>
        <v>1249.6899791803237</v>
      </c>
      <c r="BW365" s="1573">
        <f>SUM(BW361:BW364)</f>
        <v>1307.9131726253811</v>
      </c>
      <c r="BX365" s="1570">
        <f>+SUM(BT365:BW365)</f>
        <v>4944.5133843341755</v>
      </c>
      <c r="BY365" s="1573">
        <f>SUM(BY361:BY364)</f>
        <v>1158.3388518223812</v>
      </c>
      <c r="BZ365" s="1573">
        <f>SUM(BZ361:BZ364)</f>
        <v>1208.8559236438591</v>
      </c>
      <c r="CA365" s="1573">
        <f>SUM(CA361:CA364)</f>
        <v>1203.0215570478208</v>
      </c>
      <c r="CB365" s="1573">
        <f>SUM(CB361:CB364)</f>
        <v>1247.3530304766446</v>
      </c>
      <c r="CC365" s="1570">
        <f>+SUM(BY365:CB365)</f>
        <v>4817.5693629907055</v>
      </c>
      <c r="CD365" s="1573">
        <f>SUM(CD361:CD364)</f>
        <v>1101.9725644431908</v>
      </c>
      <c r="CE365" s="1573">
        <f>SUM(CE361:CE364)</f>
        <v>1174.7820131212807</v>
      </c>
      <c r="CF365" s="1573">
        <f>SUM(CF361:CF364)</f>
        <v>1161.5549857113288</v>
      </c>
      <c r="CG365" s="1573">
        <f>SUM(CG361:CG364)</f>
        <v>2629.8476711338226</v>
      </c>
      <c r="CH365" s="1570">
        <f>+SUM(CD365:CG365)</f>
        <v>6068.1572344096221</v>
      </c>
      <c r="CI365" s="1573">
        <f ca="1">SUM(CI361:CI364)</f>
        <v>2439.7002877937825</v>
      </c>
      <c r="CJ365" s="1573">
        <f ca="1">SUM(CJ361:CJ364)</f>
        <v>2684.5296583701356</v>
      </c>
      <c r="CK365" s="1573">
        <f ca="1">SUM(CK361:CK364)</f>
        <v>3277.5260668739325</v>
      </c>
      <c r="CL365" s="1573">
        <f ca="1">SUM(CL361:CL364)</f>
        <v>2924.7412820699742</v>
      </c>
      <c r="CM365" s="1570">
        <f ca="1">+SUM(CI365:CL365)</f>
        <v>11326.497295107823</v>
      </c>
      <c r="CN365" s="1573">
        <f t="shared" ref="CN365:CT365" ca="1" si="268">SUM(CN361:CN364)</f>
        <v>2669.843647894379</v>
      </c>
      <c r="CO365" s="1573">
        <f t="shared" ca="1" si="268"/>
        <v>2979.018894353283</v>
      </c>
      <c r="CP365" s="1573">
        <f t="shared" ca="1" si="268"/>
        <v>3597.7319267831081</v>
      </c>
      <c r="CQ365" s="1573">
        <f t="shared" ca="1" si="268"/>
        <v>3219.5191031596064</v>
      </c>
      <c r="CR365" s="1570">
        <f ca="1">+SUM(CN365:CQ365)</f>
        <v>12466.113572190376</v>
      </c>
      <c r="CS365" s="1574">
        <f t="shared" ca="1" si="268"/>
        <v>13445.43129019827</v>
      </c>
      <c r="CT365" s="1574">
        <f t="shared" ca="1" si="268"/>
        <v>13584.882368252798</v>
      </c>
      <c r="DB365" s="1226"/>
    </row>
    <row r="366" spans="1:106" s="212" customFormat="1" x14ac:dyDescent="0.2">
      <c r="A366" s="1595" t="s">
        <v>652</v>
      </c>
      <c r="B366" s="653"/>
      <c r="C366" s="653"/>
      <c r="D366" s="653"/>
      <c r="E366" s="653"/>
      <c r="F366" s="1868"/>
      <c r="G366" s="653"/>
      <c r="H366" s="653"/>
      <c r="I366" s="653"/>
      <c r="J366" s="653"/>
      <c r="K366" s="1868"/>
      <c r="L366" s="653"/>
      <c r="M366" s="653"/>
      <c r="N366" s="653"/>
      <c r="O366" s="653"/>
      <c r="P366" s="1868"/>
      <c r="Q366" s="653"/>
      <c r="R366" s="653"/>
      <c r="S366" s="653"/>
      <c r="T366" s="653"/>
      <c r="U366" s="1868"/>
      <c r="V366" s="653"/>
      <c r="W366" s="653"/>
      <c r="X366" s="653"/>
      <c r="Y366" s="653"/>
      <c r="Z366" s="1868"/>
      <c r="AA366" s="653"/>
      <c r="AB366" s="653"/>
      <c r="AC366" s="653"/>
      <c r="AD366" s="653"/>
      <c r="AE366" s="1868"/>
      <c r="AF366" s="653"/>
      <c r="AG366" s="653"/>
      <c r="AH366" s="653"/>
      <c r="AI366" s="653"/>
      <c r="AJ366" s="1868"/>
      <c r="AK366" s="885"/>
      <c r="AL366" s="885"/>
      <c r="AM366" s="885"/>
      <c r="AN366" s="885"/>
      <c r="AO366" s="1044"/>
      <c r="AP366" s="885"/>
      <c r="AQ366" s="885"/>
      <c r="AR366" s="885"/>
      <c r="AS366" s="885"/>
      <c r="AT366" s="1044"/>
      <c r="AU366" s="885">
        <f>AU365/AP365-1</f>
        <v>-0.21349426770408009</v>
      </c>
      <c r="AV366" s="885">
        <f>AV365/AQ365-1</f>
        <v>-0.2866174608629638</v>
      </c>
      <c r="AW366" s="885">
        <f>AW365/AR365-1</f>
        <v>-0.23080601095192887</v>
      </c>
      <c r="AX366" s="885">
        <f>AX365/AS365-1</f>
        <v>-7.3063446884469196E-2</v>
      </c>
      <c r="AY366" s="1044">
        <f>+AY365/AT365-1</f>
        <v>-0.19374852298277179</v>
      </c>
      <c r="AZ366" s="885">
        <f>AZ365/AU365-1</f>
        <v>5.3553070183411267E-2</v>
      </c>
      <c r="BA366" s="885">
        <f>BA365/AV365-1</f>
        <v>0.18424892759660838</v>
      </c>
      <c r="BB366" s="885">
        <f>BB365/AW365-1</f>
        <v>0.1187763688578154</v>
      </c>
      <c r="BC366" s="885">
        <f>BC365/AX365-1</f>
        <v>8.4004770204099355E-2</v>
      </c>
      <c r="BD366" s="1044">
        <f>+BD365/AY365-1</f>
        <v>0.10734423899480494</v>
      </c>
      <c r="BE366" s="885">
        <f>BE365/AZ365-1</f>
        <v>0.12017891755240928</v>
      </c>
      <c r="BF366" s="885">
        <f>BF365/BA365-1</f>
        <v>0.14906142613163897</v>
      </c>
      <c r="BG366" s="885">
        <f>BG365/BB365-1</f>
        <v>0.18530844652389766</v>
      </c>
      <c r="BH366" s="885">
        <f>BH365/BC365-1</f>
        <v>0.1253548108209297</v>
      </c>
      <c r="BI366" s="1044">
        <f>AVERAGE(BE366:BH366)</f>
        <v>0.1449759002572189</v>
      </c>
      <c r="BJ366" s="885">
        <f>BJ365/BE365-1</f>
        <v>3.5144928256505947E-2</v>
      </c>
      <c r="BK366" s="885">
        <f>BK365/BF365-1</f>
        <v>2.5173177872633179E-2</v>
      </c>
      <c r="BL366" s="885">
        <f>BL365/BG365-1</f>
        <v>-1.8346291189880071E-2</v>
      </c>
      <c r="BM366" s="885">
        <f>BM365/BH365-1</f>
        <v>-6.8065637329599582E-3</v>
      </c>
      <c r="BN366" s="1044">
        <f>AVERAGE(BJ366:BM366)</f>
        <v>8.7913128015747743E-3</v>
      </c>
      <c r="BO366" s="885">
        <f>BO365/BJ365-1</f>
        <v>0.25921564278978848</v>
      </c>
      <c r="BP366" s="885">
        <f>BP365/BK365-1</f>
        <v>0.16924377341766417</v>
      </c>
      <c r="BQ366" s="885">
        <f>BQ365/BL365-1</f>
        <v>0.22129024116439644</v>
      </c>
      <c r="BR366" s="885">
        <f>BR365/BM365-1</f>
        <v>-8.9290786978556858E-2</v>
      </c>
      <c r="BS366" s="1044">
        <f>AVERAGE(BO366:BR366)</f>
        <v>0.14011471759832306</v>
      </c>
      <c r="BT366" s="885">
        <f>BT365/BO365-1</f>
        <v>0.22656672613361151</v>
      </c>
      <c r="BU366" s="885">
        <f>BU365/BP365-1</f>
        <v>0.28626515445635059</v>
      </c>
      <c r="BV366" s="885">
        <f>BV365/BQ365-1</f>
        <v>0.26928126927884333</v>
      </c>
      <c r="BW366" s="885">
        <f>BW365/BR365-1</f>
        <v>0.246615435971129</v>
      </c>
      <c r="BX366" s="1044">
        <f>AVERAGE(BT366:BW366)</f>
        <v>0.25718214645998361</v>
      </c>
      <c r="BY366" s="885">
        <f>BY365/BT365-1</f>
        <v>4.2853887033353022E-2</v>
      </c>
      <c r="BZ366" s="885">
        <f>BZ365/BU365-1</f>
        <v>-5.2747603714371816E-2</v>
      </c>
      <c r="CA366" s="885">
        <f>CA365/BV365-1</f>
        <v>-3.7343999639904979E-2</v>
      </c>
      <c r="CB366" s="885">
        <f>CB365/BW365-1</f>
        <v>-4.6302876533595771E-2</v>
      </c>
      <c r="CC366" s="1044">
        <f>AVERAGE(BY366:CB366)</f>
        <v>-2.3385148213629886E-2</v>
      </c>
      <c r="CD366" s="885">
        <f>CD365/BY365-1</f>
        <v>-4.8661311230743021E-2</v>
      </c>
      <c r="CE366" s="885">
        <f>CE365/BZ365-1</f>
        <v>-2.8186907849091947E-2</v>
      </c>
      <c r="CF366" s="885">
        <f>CF365/CA365-1</f>
        <v>-3.4468685198168703E-2</v>
      </c>
      <c r="CG366" s="885">
        <f>CG365/CB365-1</f>
        <v>1.1083427120298834</v>
      </c>
      <c r="CH366" s="1044">
        <f>AVERAGE(CD366:CG366)</f>
        <v>0.24925645193796994</v>
      </c>
      <c r="CI366" s="885">
        <f ca="1">CI365/CD365-1</f>
        <v>1.2139392272678986</v>
      </c>
      <c r="CJ366" s="885">
        <f ca="1">CJ365/CE365-1</f>
        <v>1.2851300312622285</v>
      </c>
      <c r="CK366" s="885">
        <f ca="1">CK365/CF365-1</f>
        <v>1.8216710420013364</v>
      </c>
      <c r="CL366" s="885">
        <f ca="1">CL365/CG365-1</f>
        <v>0.11213334299663535</v>
      </c>
      <c r="CM366" s="1044">
        <f ca="1">AVERAGE(CI366:CL366)</f>
        <v>1.1082184108820248</v>
      </c>
      <c r="CN366" s="885">
        <f ca="1">CN365/CI365-1</f>
        <v>9.4332636370147993E-2</v>
      </c>
      <c r="CO366" s="885">
        <f ca="1">CO365/CJ365-1</f>
        <v>0.10969863382397538</v>
      </c>
      <c r="CP366" s="885">
        <f ca="1">CP365/CK365-1</f>
        <v>9.7697425855893805E-2</v>
      </c>
      <c r="CQ366" s="885">
        <f ca="1">CQ365/CL365-1</f>
        <v>0.10078765697901471</v>
      </c>
      <c r="CR366" s="1044">
        <f ca="1">AVERAGE(CN366:CQ366)</f>
        <v>0.10062908825725797</v>
      </c>
      <c r="CS366" s="1640">
        <f ca="1">CS365/CR365-1</f>
        <v>7.8558382477163846E-2</v>
      </c>
      <c r="CT366" s="1640">
        <f ca="1">CT365/CS365-1</f>
        <v>1.0371632939449649E-2</v>
      </c>
      <c r="DB366" s="1226"/>
    </row>
    <row r="367" spans="1:106" s="212" customFormat="1" x14ac:dyDescent="0.2">
      <c r="A367" s="1437"/>
      <c r="B367" s="1499"/>
      <c r="C367" s="1499"/>
      <c r="D367" s="1499"/>
      <c r="E367" s="1499"/>
      <c r="F367" s="1500"/>
      <c r="G367" s="1499"/>
      <c r="H367" s="1499"/>
      <c r="I367" s="1499"/>
      <c r="J367" s="1499"/>
      <c r="K367" s="1500"/>
      <c r="L367" s="1499"/>
      <c r="M367" s="1499"/>
      <c r="N367" s="1499"/>
      <c r="O367" s="1499"/>
      <c r="P367" s="1500"/>
      <c r="Q367" s="1499"/>
      <c r="R367" s="1499"/>
      <c r="S367" s="1499"/>
      <c r="T367" s="1499"/>
      <c r="U367" s="1500"/>
      <c r="V367" s="1499"/>
      <c r="W367" s="1499"/>
      <c r="X367" s="1499"/>
      <c r="Y367" s="1499"/>
      <c r="Z367" s="1500"/>
      <c r="AA367" s="1499"/>
      <c r="AB367" s="1499"/>
      <c r="AC367" s="1499"/>
      <c r="AD367" s="1499"/>
      <c r="AE367" s="1500"/>
      <c r="AF367" s="1499"/>
      <c r="AG367" s="1499"/>
      <c r="AH367" s="1499"/>
      <c r="AI367" s="1499"/>
      <c r="AJ367" s="1500"/>
      <c r="AK367" s="1499"/>
      <c r="AL367" s="1499"/>
      <c r="AM367" s="1499"/>
      <c r="AN367" s="1499"/>
      <c r="AO367" s="1500"/>
      <c r="AP367" s="1499"/>
      <c r="AQ367" s="1499"/>
      <c r="AR367" s="1499"/>
      <c r="AS367" s="1499"/>
      <c r="AT367" s="1500"/>
      <c r="AU367" s="1499"/>
      <c r="AV367" s="1499"/>
      <c r="AW367" s="1499"/>
      <c r="AX367" s="1499"/>
      <c r="AY367" s="1500"/>
      <c r="AZ367" s="1499"/>
      <c r="BA367" s="1499"/>
      <c r="BB367" s="1499"/>
      <c r="BC367" s="1499"/>
      <c r="BD367" s="1500"/>
      <c r="BE367" s="1499"/>
      <c r="BF367" s="1499"/>
      <c r="BG367" s="1499"/>
      <c r="BH367" s="1499"/>
      <c r="BI367" s="1500"/>
      <c r="BJ367" s="1499"/>
      <c r="BK367" s="1499"/>
      <c r="BL367" s="1499"/>
      <c r="BM367" s="1499"/>
      <c r="BN367" s="1500"/>
      <c r="BO367" s="1838"/>
      <c r="BP367" s="2410"/>
      <c r="BQ367" s="1499"/>
      <c r="BR367" s="1503"/>
      <c r="BS367" s="1500"/>
      <c r="BT367" s="1838"/>
      <c r="BU367" s="1499"/>
      <c r="BV367" s="1499"/>
      <c r="BW367" s="1503"/>
      <c r="BX367" s="1500"/>
      <c r="BY367" s="1838"/>
      <c r="BZ367" s="1499"/>
      <c r="CA367" s="1499"/>
      <c r="CB367" s="1503"/>
      <c r="CC367" s="3084"/>
      <c r="CD367" s="1499"/>
      <c r="CE367" s="1499"/>
      <c r="CF367" s="1499"/>
      <c r="CG367" s="3190"/>
      <c r="CH367" s="3084"/>
      <c r="CI367" s="1499"/>
      <c r="CJ367" s="1499"/>
      <c r="CK367" s="1499"/>
      <c r="CL367" s="1499"/>
      <c r="CM367" s="3084"/>
      <c r="CN367" s="1499"/>
      <c r="CO367" s="1499"/>
      <c r="CP367" s="1499"/>
      <c r="CQ367" s="1499"/>
      <c r="CR367" s="3084"/>
      <c r="CS367" s="1500"/>
      <c r="CT367" s="1500"/>
      <c r="DB367" s="1226"/>
    </row>
    <row r="368" spans="1:106" s="212" customFormat="1" x14ac:dyDescent="0.2">
      <c r="A368" s="2308" t="s">
        <v>2536</v>
      </c>
      <c r="B368" s="1499"/>
      <c r="C368" s="1499"/>
      <c r="D368" s="1499"/>
      <c r="E368" s="1499"/>
      <c r="F368" s="1500"/>
      <c r="G368" s="1499"/>
      <c r="H368" s="1499"/>
      <c r="I368" s="1499"/>
      <c r="J368" s="1499"/>
      <c r="K368" s="1500"/>
      <c r="L368" s="1499"/>
      <c r="M368" s="1499"/>
      <c r="N368" s="1499"/>
      <c r="O368" s="1499"/>
      <c r="P368" s="1500"/>
      <c r="Q368" s="1499"/>
      <c r="R368" s="1499"/>
      <c r="S368" s="1499"/>
      <c r="T368" s="1499"/>
      <c r="U368" s="1500"/>
      <c r="V368" s="1499"/>
      <c r="W368" s="1499"/>
      <c r="X368" s="1499"/>
      <c r="Y368" s="1499"/>
      <c r="Z368" s="1500"/>
      <c r="AA368" s="1499"/>
      <c r="AB368" s="1499"/>
      <c r="AC368" s="1499"/>
      <c r="AD368" s="1499"/>
      <c r="AE368" s="1500"/>
      <c r="AF368" s="1499"/>
      <c r="AG368" s="1499"/>
      <c r="AH368" s="1499"/>
      <c r="AI368" s="1499"/>
      <c r="AJ368" s="1500"/>
      <c r="AK368" s="1466"/>
      <c r="AL368" s="1466"/>
      <c r="AM368" s="1466"/>
      <c r="AN368" s="1466"/>
      <c r="AO368" s="1565"/>
      <c r="AP368" s="1466"/>
      <c r="AQ368" s="1466"/>
      <c r="AR368" s="1466"/>
      <c r="AS368" s="1466"/>
      <c r="AT368" s="1565"/>
      <c r="AU368" s="1466"/>
      <c r="AV368" s="1466"/>
      <c r="AW368" s="1466"/>
      <c r="AX368" s="1466"/>
      <c r="AY368" s="1565"/>
      <c r="AZ368" s="1466"/>
      <c r="BA368" s="1466"/>
      <c r="BB368" s="1466"/>
      <c r="BC368" s="1466"/>
      <c r="BD368" s="1565"/>
      <c r="BE368" s="1466"/>
      <c r="BF368" s="1466"/>
      <c r="BG368" s="1466"/>
      <c r="BH368" s="1466"/>
      <c r="BI368" s="1565"/>
      <c r="BJ368" s="1466"/>
      <c r="BK368" s="1466"/>
      <c r="BL368" s="1466"/>
      <c r="BM368" s="1466"/>
      <c r="BN368" s="1565"/>
      <c r="BO368" s="1466"/>
      <c r="BP368" s="1466"/>
      <c r="BQ368" s="1466"/>
      <c r="BR368" s="1466"/>
      <c r="BS368" s="1565"/>
      <c r="BT368" s="1466"/>
      <c r="BU368" s="1466"/>
      <c r="BV368" s="1466"/>
      <c r="BW368" s="1466"/>
      <c r="BX368" s="1565"/>
      <c r="BY368" s="2935">
        <v>1281.6924758621999</v>
      </c>
      <c r="BZ368" s="2935">
        <v>1293.7364908923</v>
      </c>
      <c r="CA368" s="2935">
        <v>1362.2166004698402</v>
      </c>
      <c r="CB368" s="2935">
        <v>1367.8469580836002</v>
      </c>
      <c r="CC368" s="3185">
        <v>5380.9598928533396</v>
      </c>
      <c r="CD368" s="2935">
        <v>1264.5704735008799</v>
      </c>
      <c r="CE368" s="2935">
        <v>1289.9203388562401</v>
      </c>
      <c r="CF368" s="2935">
        <v>1422.8121695525633</v>
      </c>
      <c r="CG368" s="1466"/>
      <c r="CH368" s="1565"/>
      <c r="CI368" s="1466"/>
      <c r="CJ368" s="1466"/>
      <c r="CK368" s="1466"/>
      <c r="CL368" s="1466"/>
      <c r="CM368" s="1565"/>
      <c r="CN368" s="1466"/>
      <c r="CO368" s="1466"/>
      <c r="CP368" s="1466"/>
      <c r="CQ368" s="1466"/>
      <c r="CR368" s="1565"/>
      <c r="CS368" s="1468"/>
      <c r="CT368" s="1468"/>
      <c r="DB368" s="1226"/>
    </row>
    <row r="369" spans="1:106" s="212" customFormat="1" x14ac:dyDescent="0.2">
      <c r="A369" s="1437" t="s">
        <v>2532</v>
      </c>
      <c r="B369" s="1499"/>
      <c r="C369" s="1499"/>
      <c r="D369" s="1499"/>
      <c r="E369" s="1499"/>
      <c r="F369" s="1500"/>
      <c r="G369" s="1499"/>
      <c r="H369" s="1499"/>
      <c r="I369" s="1499"/>
      <c r="J369" s="1499"/>
      <c r="K369" s="1500"/>
      <c r="L369" s="1499"/>
      <c r="M369" s="1499"/>
      <c r="N369" s="1499"/>
      <c r="O369" s="1499"/>
      <c r="P369" s="1500"/>
      <c r="Q369" s="1499"/>
      <c r="R369" s="1499"/>
      <c r="S369" s="1499"/>
      <c r="T369" s="1499"/>
      <c r="U369" s="1500"/>
      <c r="V369" s="1499"/>
      <c r="W369" s="1499"/>
      <c r="X369" s="1499"/>
      <c r="Y369" s="1499"/>
      <c r="Z369" s="1500"/>
      <c r="AA369" s="1499"/>
      <c r="AB369" s="1499"/>
      <c r="AC369" s="1499"/>
      <c r="AD369" s="1499"/>
      <c r="AE369" s="1500"/>
      <c r="AF369" s="1499"/>
      <c r="AG369" s="1499"/>
      <c r="AH369" s="1499"/>
      <c r="AI369" s="1499"/>
      <c r="AJ369" s="1500"/>
      <c r="AK369" s="1573"/>
      <c r="AL369" s="1573"/>
      <c r="AM369" s="1573"/>
      <c r="AN369" s="1573"/>
      <c r="AO369" s="1570"/>
      <c r="AP369" s="1573"/>
      <c r="AQ369" s="1573"/>
      <c r="AR369" s="1573"/>
      <c r="AS369" s="1573"/>
      <c r="AT369" s="1570"/>
      <c r="AU369" s="1573"/>
      <c r="AV369" s="1573"/>
      <c r="AW369" s="1573"/>
      <c r="AX369" s="1573"/>
      <c r="AY369" s="1570"/>
      <c r="AZ369" s="1573"/>
      <c r="BA369" s="1573"/>
      <c r="BB369" s="1573"/>
      <c r="BC369" s="1573"/>
      <c r="BD369" s="1570"/>
      <c r="BE369" s="1573"/>
      <c r="BF369" s="1573"/>
      <c r="BG369" s="1573"/>
      <c r="BH369" s="1573"/>
      <c r="BI369" s="1570"/>
      <c r="BJ369" s="1573"/>
      <c r="BK369" s="1573"/>
      <c r="BL369" s="1573"/>
      <c r="BM369" s="1573"/>
      <c r="BN369" s="1570"/>
      <c r="BO369" s="1573"/>
      <c r="BP369" s="1573"/>
      <c r="BQ369" s="1573"/>
      <c r="BR369" s="1573"/>
      <c r="BS369" s="1570"/>
      <c r="BT369" s="1573"/>
      <c r="BU369" s="1573"/>
      <c r="BV369" s="1573"/>
      <c r="BW369" s="1573"/>
      <c r="BX369" s="1570"/>
      <c r="BY369" s="3242">
        <f>SUM(Rooms!CA604:CA633)*RevPAR!BY$263/1000000*RevPAR!BY$4</f>
        <v>2249.2418031496063</v>
      </c>
      <c r="BZ369" s="3242">
        <f>SUM(Rooms!CB604:CB633)*RevPAR!BZ$263/1000000*RevPAR!BZ$4</f>
        <v>2389.8528279979982</v>
      </c>
      <c r="CA369" s="3242">
        <f>SUM(Rooms!CC604:CC633)*RevPAR!CA$263/1000000*RevPAR!CA$4</f>
        <v>2402.3985914851487</v>
      </c>
      <c r="CB369" s="3242">
        <f>SUM(Rooms!CD604:CD633)*RevPAR!CB$263/1000000*RevPAR!CB$4</f>
        <v>2497.0689801197605</v>
      </c>
      <c r="CC369" s="1570">
        <f>+CC365+CC368</f>
        <v>10198.529255844045</v>
      </c>
      <c r="CD369" s="3242">
        <f>SUM(Rooms!CF604:CF633)*RevPAR!CD$263/1000000*RevPAR!CD$4</f>
        <v>2414.3643342</v>
      </c>
      <c r="CE369" s="3242">
        <f>SUM(Rooms!CG604:CG633)*RevPAR!CE$263/1000000*RevPAR!CE$4</f>
        <v>2517.94601513</v>
      </c>
      <c r="CF369" s="3242">
        <f>SUM(Rooms!CH604:CH633)*RevPAR!CF$263/1000000*RevPAR!CF$4</f>
        <v>2567.241876</v>
      </c>
      <c r="CG369" s="1573">
        <f>Rooms!CI635*RevPAR!CG$263/1000000*RevPAR!CG$4</f>
        <v>2676.5703446400003</v>
      </c>
      <c r="CH369" s="1570">
        <f>SUM(CD369:CG369)</f>
        <v>10176.122569970001</v>
      </c>
      <c r="CI369" s="1573">
        <f t="shared" ref="CI369:CT369" ca="1" si="269">+CI365</f>
        <v>2439.7002877937825</v>
      </c>
      <c r="CJ369" s="1573">
        <f ca="1">+CJ365</f>
        <v>2684.5296583701356</v>
      </c>
      <c r="CK369" s="1573">
        <f t="shared" ca="1" si="269"/>
        <v>3277.5260668739325</v>
      </c>
      <c r="CL369" s="1573">
        <f t="shared" ca="1" si="269"/>
        <v>2924.7412820699742</v>
      </c>
      <c r="CM369" s="1570">
        <f t="shared" ca="1" si="269"/>
        <v>11326.497295107823</v>
      </c>
      <c r="CN369">
        <f ca="1">+CN365</f>
        <v>2669.843647894379</v>
      </c>
      <c r="CO369">
        <f ca="1">+CO365</f>
        <v>2979.018894353283</v>
      </c>
      <c r="CP369">
        <f ca="1">+CP365</f>
        <v>3597.7319267831081</v>
      </c>
      <c r="CQ369">
        <f ca="1">+CQ365</f>
        <v>3219.5191031596064</v>
      </c>
      <c r="CR369">
        <f ca="1">+CR365</f>
        <v>12466.113572190376</v>
      </c>
      <c r="CS369">
        <f t="shared" ca="1" si="269"/>
        <v>13445.43129019827</v>
      </c>
      <c r="CT369">
        <f t="shared" ca="1" si="269"/>
        <v>13584.882368252798</v>
      </c>
      <c r="DB369" s="1226"/>
    </row>
    <row r="370" spans="1:106" s="212" customFormat="1" x14ac:dyDescent="0.2">
      <c r="A370" s="1595" t="s">
        <v>2531</v>
      </c>
      <c r="B370" s="653"/>
      <c r="C370" s="653"/>
      <c r="D370" s="653"/>
      <c r="E370" s="653"/>
      <c r="F370" s="1868"/>
      <c r="G370" s="653"/>
      <c r="H370" s="653"/>
      <c r="I370" s="653"/>
      <c r="J370" s="653"/>
      <c r="K370" s="1868"/>
      <c r="L370" s="653"/>
      <c r="M370" s="653"/>
      <c r="N370" s="653"/>
      <c r="O370" s="653"/>
      <c r="P370" s="1868"/>
      <c r="Q370" s="653"/>
      <c r="R370" s="653"/>
      <c r="S370" s="653"/>
      <c r="T370" s="653"/>
      <c r="U370" s="1868"/>
      <c r="V370" s="653"/>
      <c r="W370" s="653"/>
      <c r="X370" s="653"/>
      <c r="Y370" s="653"/>
      <c r="Z370" s="1868"/>
      <c r="AA370" s="653"/>
      <c r="AB370" s="653"/>
      <c r="AC370" s="653"/>
      <c r="AD370" s="653"/>
      <c r="AE370" s="1868"/>
      <c r="AF370" s="653"/>
      <c r="AG370" s="653"/>
      <c r="AH370" s="653"/>
      <c r="AI370" s="653"/>
      <c r="AJ370" s="1868"/>
      <c r="AK370" s="885"/>
      <c r="AL370" s="885"/>
      <c r="AM370" s="885"/>
      <c r="AN370" s="885"/>
      <c r="AO370" s="1044"/>
      <c r="AP370" s="885"/>
      <c r="AQ370" s="885"/>
      <c r="AR370" s="885"/>
      <c r="AS370" s="885"/>
      <c r="AT370" s="1044"/>
      <c r="AU370" s="885"/>
      <c r="AV370" s="885"/>
      <c r="AW370" s="885"/>
      <c r="AX370" s="885"/>
      <c r="AY370" s="1044"/>
      <c r="AZ370" s="885"/>
      <c r="BA370" s="885"/>
      <c r="BB370" s="885"/>
      <c r="BC370" s="885"/>
      <c r="BD370" s="1044"/>
      <c r="BE370" s="885"/>
      <c r="BF370" s="885"/>
      <c r="BG370" s="885"/>
      <c r="BH370" s="885"/>
      <c r="BI370" s="1044"/>
      <c r="BJ370" s="885"/>
      <c r="BK370" s="885"/>
      <c r="BL370" s="885"/>
      <c r="BM370" s="885"/>
      <c r="BN370" s="1044"/>
      <c r="BO370" s="885"/>
      <c r="BP370" s="885"/>
      <c r="BQ370" s="885"/>
      <c r="BR370" s="885"/>
      <c r="BS370" s="1044"/>
      <c r="BT370" s="885"/>
      <c r="BU370" s="885"/>
      <c r="BV370" s="885"/>
      <c r="BW370" s="885"/>
      <c r="BX370" s="1044"/>
      <c r="BY370" s="885"/>
      <c r="BZ370" s="885"/>
      <c r="CA370" s="885"/>
      <c r="CB370" s="885"/>
      <c r="CC370" s="1044"/>
      <c r="CD370" s="3187">
        <f t="shared" ref="CD370:CM370" si="270">+CD369/BY369-1</f>
        <v>7.3412529866363485E-2</v>
      </c>
      <c r="CE370" s="3187">
        <f t="shared" si="270"/>
        <v>5.3598776305948004E-2</v>
      </c>
      <c r="CF370" s="3187">
        <f t="shared" si="270"/>
        <v>6.8616126024676927E-2</v>
      </c>
      <c r="CG370" s="3187">
        <f>+CG369/CB369-1</f>
        <v>7.1884824147561588E-2</v>
      </c>
      <c r="CH370" s="2673">
        <f t="shared" si="270"/>
        <v>-2.1970507032869069E-3</v>
      </c>
      <c r="CI370" s="3187">
        <f t="shared" ca="1" si="270"/>
        <v>1.0493840235664909E-2</v>
      </c>
      <c r="CJ370" s="3187">
        <f t="shared" ca="1" si="270"/>
        <v>6.6158544400537922E-2</v>
      </c>
      <c r="CK370" s="3187">
        <f t="shared" ca="1" si="270"/>
        <v>0.27667209603974707</v>
      </c>
      <c r="CL370" s="3187">
        <f t="shared" ca="1" si="270"/>
        <v>9.2719751575725207E-2</v>
      </c>
      <c r="CM370" s="2673">
        <f t="shared" ca="1" si="270"/>
        <v>0.11304646904830018</v>
      </c>
      <c r="CN370">
        <f ca="1">+CN369/CI369-1</f>
        <v>9.4332636370147993E-2</v>
      </c>
      <c r="CO370">
        <f ca="1">+CO369/CJ369-1</f>
        <v>0.10969863382397538</v>
      </c>
      <c r="CP370">
        <f ca="1">+CP369/CK369-1</f>
        <v>9.7697425855893805E-2</v>
      </c>
      <c r="CQ370">
        <f ca="1">+CQ369/CL369-1</f>
        <v>0.10078765697901471</v>
      </c>
      <c r="CR370">
        <f ca="1">+CR369/CM369-1</f>
        <v>0.10061506636961615</v>
      </c>
      <c r="CS370">
        <f ca="1">+CS369/CR369-1</f>
        <v>7.8558382477163846E-2</v>
      </c>
      <c r="CT370">
        <f ca="1">+CT369/CS369-1</f>
        <v>1.0371632939449649E-2</v>
      </c>
      <c r="DB370" s="1226"/>
    </row>
    <row r="371" spans="1:106" s="212" customFormat="1" x14ac:dyDescent="0.2">
      <c r="A371" s="1437"/>
      <c r="B371" s="1499"/>
      <c r="C371" s="1499"/>
      <c r="D371" s="1499"/>
      <c r="E371" s="1499"/>
      <c r="F371" s="1500"/>
      <c r="G371" s="1499"/>
      <c r="H371" s="1499"/>
      <c r="I371" s="1499"/>
      <c r="J371" s="1499"/>
      <c r="K371" s="1500"/>
      <c r="L371" s="1499"/>
      <c r="M371" s="1499"/>
      <c r="N371" s="1499"/>
      <c r="O371" s="1499"/>
      <c r="P371" s="1500"/>
      <c r="Q371" s="1499"/>
      <c r="R371" s="1499"/>
      <c r="S371" s="1499"/>
      <c r="T371" s="1499"/>
      <c r="U371" s="1500"/>
      <c r="V371" s="1499"/>
      <c r="W371" s="1499"/>
      <c r="X371" s="1499"/>
      <c r="Y371" s="1499"/>
      <c r="Z371" s="1500"/>
      <c r="AA371" s="1499"/>
      <c r="AB371" s="1499"/>
      <c r="AC371" s="1499"/>
      <c r="AD371" s="1499"/>
      <c r="AE371" s="1500"/>
      <c r="AF371" s="1499"/>
      <c r="AG371" s="1499"/>
      <c r="AH371" s="1499"/>
      <c r="AI371" s="1499"/>
      <c r="AJ371" s="1500"/>
      <c r="AK371" s="1499"/>
      <c r="AL371" s="1499"/>
      <c r="AM371" s="1499"/>
      <c r="AN371" s="1499"/>
      <c r="AO371" s="1500"/>
      <c r="AP371" s="1499"/>
      <c r="AQ371" s="1499"/>
      <c r="AR371" s="1499"/>
      <c r="AS371" s="1499"/>
      <c r="AT371" s="1500"/>
      <c r="AU371" s="1499"/>
      <c r="AV371" s="1499"/>
      <c r="AW371" s="1499"/>
      <c r="AX371" s="1499"/>
      <c r="AY371" s="1500"/>
      <c r="AZ371" s="1499"/>
      <c r="BA371" s="1499"/>
      <c r="BB371" s="1499"/>
      <c r="BC371" s="1499"/>
      <c r="BD371" s="1500"/>
      <c r="BE371" s="1499"/>
      <c r="BF371" s="1499"/>
      <c r="BG371" s="1499"/>
      <c r="BH371" s="1499"/>
      <c r="BI371" s="1500"/>
      <c r="BJ371" s="1499"/>
      <c r="BK371" s="1499"/>
      <c r="BL371" s="1499"/>
      <c r="BM371" s="1499"/>
      <c r="BN371" s="1500"/>
      <c r="BO371" s="1499"/>
      <c r="BP371" s="2410"/>
      <c r="BQ371" s="1499"/>
      <c r="BR371" s="1499"/>
      <c r="BS371" s="1500"/>
      <c r="BT371" s="1499"/>
      <c r="BU371" s="2410"/>
      <c r="BV371" s="1499"/>
      <c r="BW371" s="1499"/>
      <c r="BX371" s="1500"/>
      <c r="BY371" s="1499"/>
      <c r="BZ371" s="1499"/>
      <c r="CA371" s="1499"/>
      <c r="CB371" s="1499"/>
      <c r="CC371" s="3084"/>
      <c r="CD371" s="1499"/>
      <c r="CE371" s="1499"/>
      <c r="CF371" s="1499"/>
      <c r="CG371" s="1499"/>
      <c r="CH371" s="3084"/>
      <c r="CI371" s="1499"/>
      <c r="CJ371" s="1499"/>
      <c r="CK371" s="1499"/>
      <c r="CL371" s="1499"/>
      <c r="CM371" s="3084"/>
      <c r="CN371" s="1499"/>
      <c r="CO371" s="1499"/>
      <c r="CP371" s="1499"/>
      <c r="CQ371" s="1499"/>
      <c r="CR371" s="3084"/>
      <c r="CS371" s="1500"/>
      <c r="CT371" s="1500"/>
      <c r="DB371" s="1226"/>
    </row>
    <row r="372" spans="1:106" s="212" customFormat="1" x14ac:dyDescent="0.2">
      <c r="A372" s="1271" t="s">
        <v>2057</v>
      </c>
      <c r="B372" s="1575"/>
      <c r="C372" s="1575"/>
      <c r="D372" s="1575"/>
      <c r="E372" s="1575"/>
      <c r="F372" s="1576"/>
      <c r="G372" s="1575"/>
      <c r="H372" s="1575"/>
      <c r="I372" s="1575"/>
      <c r="J372" s="1575"/>
      <c r="K372" s="1576"/>
      <c r="L372" s="1575"/>
      <c r="M372" s="1575"/>
      <c r="N372" s="1575"/>
      <c r="O372" s="1575"/>
      <c r="P372" s="1576"/>
      <c r="Q372" s="1575"/>
      <c r="R372" s="1575"/>
      <c r="S372" s="1575"/>
      <c r="T372" s="1575"/>
      <c r="U372" s="1576"/>
      <c r="V372" s="1575"/>
      <c r="W372" s="1575"/>
      <c r="X372" s="1575"/>
      <c r="Y372" s="1575"/>
      <c r="Z372" s="1576"/>
      <c r="AA372" s="1575"/>
      <c r="AB372" s="1575"/>
      <c r="AC372" s="1575"/>
      <c r="AD372" s="1575"/>
      <c r="AE372" s="1576"/>
      <c r="AF372" s="1575"/>
      <c r="AG372" s="1575"/>
      <c r="AH372" s="1575"/>
      <c r="AI372" s="1575"/>
      <c r="AJ372" s="1576"/>
      <c r="AK372" s="1575"/>
      <c r="AL372" s="1575"/>
      <c r="AM372" s="1575"/>
      <c r="AN372" s="1575"/>
      <c r="AO372" s="1576"/>
      <c r="AP372" s="1577">
        <f t="shared" ref="AP372:BU372" si="271">AP365+AP353</f>
        <v>2354.1261306586712</v>
      </c>
      <c r="AQ372" s="1577">
        <f t="shared" si="271"/>
        <v>2637.7797531765787</v>
      </c>
      <c r="AR372" s="1577">
        <f t="shared" si="271"/>
        <v>2437.2727193819696</v>
      </c>
      <c r="AS372" s="1577">
        <f t="shared" si="271"/>
        <v>3047.4433175822983</v>
      </c>
      <c r="AT372" s="1578">
        <f t="shared" si="271"/>
        <v>10476.621920799516</v>
      </c>
      <c r="AU372" s="1577">
        <f t="shared" si="271"/>
        <v>1928.9186934244922</v>
      </c>
      <c r="AV372" s="1577">
        <f t="shared" si="271"/>
        <v>1993.7280024200388</v>
      </c>
      <c r="AW372" s="1577">
        <f t="shared" si="271"/>
        <v>1927.2341656280378</v>
      </c>
      <c r="AX372" s="1577">
        <f t="shared" si="271"/>
        <v>2660.7086148059057</v>
      </c>
      <c r="AY372" s="1578">
        <f t="shared" si="271"/>
        <v>8510.5894762784737</v>
      </c>
      <c r="AZ372" s="1577">
        <f t="shared" si="271"/>
        <v>1948.8413207185772</v>
      </c>
      <c r="BA372" s="1577">
        <f t="shared" si="271"/>
        <v>2226.3630632267927</v>
      </c>
      <c r="BB372" s="1577">
        <f t="shared" si="271"/>
        <v>2103.696930448396</v>
      </c>
      <c r="BC372" s="1577">
        <f t="shared" si="271"/>
        <v>2862.8403554564084</v>
      </c>
      <c r="BD372" s="1578">
        <f t="shared" si="271"/>
        <v>9141.7416698501747</v>
      </c>
      <c r="BE372" s="1577">
        <f t="shared" si="271"/>
        <v>2132.6757073971958</v>
      </c>
      <c r="BF372" s="1577">
        <f t="shared" si="271"/>
        <v>2459.198171638232</v>
      </c>
      <c r="BG372" s="1577">
        <f t="shared" si="271"/>
        <v>2352.0121102489434</v>
      </c>
      <c r="BH372" s="1577">
        <f t="shared" si="271"/>
        <v>3129.5237471183273</v>
      </c>
      <c r="BI372" s="1578">
        <f t="shared" si="271"/>
        <v>10073.409736402698</v>
      </c>
      <c r="BJ372" s="1577">
        <f t="shared" si="271"/>
        <v>2257.5616407841994</v>
      </c>
      <c r="BK372" s="1577">
        <f t="shared" si="271"/>
        <v>2570.3458406412847</v>
      </c>
      <c r="BL372" s="1577">
        <f t="shared" si="271"/>
        <v>2407.2098266034745</v>
      </c>
      <c r="BM372" s="1577">
        <f t="shared" si="271"/>
        <v>3208.5431104534473</v>
      </c>
      <c r="BN372" s="1578">
        <f t="shared" si="271"/>
        <v>10443.660418482406</v>
      </c>
      <c r="BO372" s="1577">
        <f t="shared" si="271"/>
        <v>2642.0586340590348</v>
      </c>
      <c r="BP372" s="1577">
        <f t="shared" si="271"/>
        <v>2904.0067960420101</v>
      </c>
      <c r="BQ372" s="1577">
        <f t="shared" si="271"/>
        <v>2783.2944064936523</v>
      </c>
      <c r="BR372" s="1577">
        <f t="shared" si="271"/>
        <v>2715.7190877835546</v>
      </c>
      <c r="BS372" s="1578">
        <f t="shared" si="271"/>
        <v>11045.078924378251</v>
      </c>
      <c r="BT372" s="1577">
        <f t="shared" si="271"/>
        <v>2862.6637350126312</v>
      </c>
      <c r="BU372" s="1577">
        <f t="shared" si="271"/>
        <v>3265.1118579774989</v>
      </c>
      <c r="BV372" s="1577">
        <f t="shared" ref="BV372:CT372" si="272">BV365+BV353</f>
        <v>3178.313069576684</v>
      </c>
      <c r="BW372" s="1577">
        <f t="shared" si="272"/>
        <v>3076.2778599953813</v>
      </c>
      <c r="BX372" s="1578">
        <f t="shared" si="272"/>
        <v>12382.366522562195</v>
      </c>
      <c r="BY372" s="1577">
        <f t="shared" si="272"/>
        <v>3030.1780351900811</v>
      </c>
      <c r="BZ372" s="1577">
        <f t="shared" si="272"/>
        <v>3297.7637467495988</v>
      </c>
      <c r="CA372" s="1577">
        <f t="shared" si="272"/>
        <v>3263.8078339083013</v>
      </c>
      <c r="CB372" s="1577">
        <f t="shared" si="272"/>
        <v>3126.9985196283646</v>
      </c>
      <c r="CC372" s="1578">
        <f t="shared" si="272"/>
        <v>12718.748135476346</v>
      </c>
      <c r="CD372" s="1577">
        <f t="shared" si="272"/>
        <v>3050.3694381449291</v>
      </c>
      <c r="CE372" s="1577">
        <f t="shared" si="272"/>
        <v>3297.2146088923196</v>
      </c>
      <c r="CF372" s="1577">
        <f t="shared" si="272"/>
        <v>3199.3691104384902</v>
      </c>
      <c r="CG372" s="1577">
        <f t="shared" si="272"/>
        <v>5122.7521202138232</v>
      </c>
      <c r="CH372" s="1578">
        <f t="shared" si="272"/>
        <v>14669.705277689562</v>
      </c>
      <c r="CI372" s="1577">
        <f t="shared" ca="1" si="272"/>
        <v>4951.8936769937827</v>
      </c>
      <c r="CJ372" s="1577">
        <f t="shared" ca="1" si="272"/>
        <v>5547.864041370136</v>
      </c>
      <c r="CK372" s="1577">
        <f t="shared" ca="1" si="272"/>
        <v>6126.0167931139331</v>
      </c>
      <c r="CL372" s="1577">
        <f t="shared" ca="1" si="272"/>
        <v>5507.0269566699744</v>
      </c>
      <c r="CM372" s="1578">
        <f t="shared" ca="1" si="272"/>
        <v>22132.801468147823</v>
      </c>
      <c r="CN372" s="1577">
        <f ca="1">CN365+CN353</f>
        <v>5278.3114552459065</v>
      </c>
      <c r="CO372" s="1577">
        <f ca="1">CO365+CO353</f>
        <v>5981.5636768232143</v>
      </c>
      <c r="CP372" s="1577">
        <f ca="1">CP365+CP353</f>
        <v>6576.1719897833318</v>
      </c>
      <c r="CQ372" s="1577">
        <f ca="1">CQ365+CQ353</f>
        <v>5912.7882315178213</v>
      </c>
      <c r="CR372" s="1578">
        <f ca="1">CR365+CR353</f>
        <v>23748.835353370276</v>
      </c>
      <c r="CS372" s="1578">
        <f t="shared" ca="1" si="272"/>
        <v>25264.084162636842</v>
      </c>
      <c r="CT372" s="1578">
        <f t="shared" ca="1" si="272"/>
        <v>25114.312386132362</v>
      </c>
      <c r="DB372" s="1226"/>
    </row>
    <row r="373" spans="1:106" s="212" customFormat="1" x14ac:dyDescent="0.2">
      <c r="A373" s="1437"/>
      <c r="B373" s="1499"/>
      <c r="C373" s="1499"/>
      <c r="D373" s="1499"/>
      <c r="E373" s="1499"/>
      <c r="F373" s="1500"/>
      <c r="G373" s="1499"/>
      <c r="H373" s="1499"/>
      <c r="I373" s="1499"/>
      <c r="J373" s="1499"/>
      <c r="K373" s="1500"/>
      <c r="L373" s="1499"/>
      <c r="M373" s="1499"/>
      <c r="N373" s="1499"/>
      <c r="O373" s="1499"/>
      <c r="P373" s="1500"/>
      <c r="Q373" s="1499"/>
      <c r="R373" s="1499"/>
      <c r="S373" s="1499"/>
      <c r="T373" s="1499"/>
      <c r="U373" s="1500"/>
      <c r="V373" s="1499"/>
      <c r="W373" s="1499"/>
      <c r="X373" s="1499"/>
      <c r="Y373" s="1499"/>
      <c r="Z373" s="1500"/>
      <c r="AA373" s="1499"/>
      <c r="AB373" s="1499"/>
      <c r="AC373" s="1499"/>
      <c r="AD373" s="1499"/>
      <c r="AE373" s="1500"/>
      <c r="AF373" s="1499"/>
      <c r="AG373" s="1499"/>
      <c r="AH373" s="1499"/>
      <c r="AI373" s="1499"/>
      <c r="AJ373" s="1500"/>
      <c r="AK373" s="1499"/>
      <c r="AL373" s="1499"/>
      <c r="AM373" s="1499"/>
      <c r="AN373" s="1499"/>
      <c r="AO373" s="1500"/>
      <c r="AP373" s="1499"/>
      <c r="AQ373" s="1499"/>
      <c r="AR373" s="1499"/>
      <c r="AS373" s="1499"/>
      <c r="AT373" s="1500"/>
      <c r="AU373" s="1499"/>
      <c r="AV373" s="1499"/>
      <c r="AW373" s="1499"/>
      <c r="AX373" s="1499"/>
      <c r="AY373" s="1500"/>
      <c r="AZ373" s="1499"/>
      <c r="BA373" s="1499"/>
      <c r="BB373" s="1499"/>
      <c r="BC373" s="1499"/>
      <c r="BD373" s="1500"/>
      <c r="BE373" s="1499"/>
      <c r="BF373" s="1499"/>
      <c r="BG373" s="1499"/>
      <c r="BH373" s="1499"/>
      <c r="BI373" s="1500"/>
      <c r="BJ373" s="1499"/>
      <c r="BK373" s="1499"/>
      <c r="BL373" s="1499"/>
      <c r="BM373" s="1499"/>
      <c r="BN373" s="1500"/>
      <c r="BO373" s="1499"/>
      <c r="BP373" s="1499"/>
      <c r="BQ373" s="1499"/>
      <c r="BR373" s="1499"/>
      <c r="BS373" s="1500"/>
      <c r="BT373" s="1499"/>
      <c r="BU373" s="1499"/>
      <c r="BV373" s="1499"/>
      <c r="BW373" s="1499"/>
      <c r="BX373" s="1500"/>
      <c r="BY373" s="1499"/>
      <c r="BZ373" s="1499"/>
      <c r="CA373" s="1499"/>
      <c r="CB373" s="1499"/>
      <c r="CC373" s="1500"/>
      <c r="CD373" s="1499"/>
      <c r="CE373" s="1499"/>
      <c r="CF373" s="1499"/>
      <c r="CG373" s="1499"/>
      <c r="CH373" s="1500"/>
      <c r="CI373" s="1499"/>
      <c r="CJ373" s="1499"/>
      <c r="CK373" s="1499"/>
      <c r="CL373" s="1499"/>
      <c r="CM373" s="1500"/>
      <c r="CN373" s="1499"/>
      <c r="CO373" s="1499"/>
      <c r="CP373" s="1499"/>
      <c r="CQ373" s="1499"/>
      <c r="CR373" s="1500"/>
      <c r="CS373" s="1500"/>
      <c r="CT373" s="1500"/>
      <c r="DB373" s="1226"/>
    </row>
    <row r="374" spans="1:106" s="212" customFormat="1" x14ac:dyDescent="0.2">
      <c r="A374" s="1437" t="s">
        <v>565</v>
      </c>
      <c r="B374" s="1499"/>
      <c r="C374" s="1499"/>
      <c r="D374" s="1499"/>
      <c r="E374" s="1499"/>
      <c r="F374" s="1500"/>
      <c r="G374" s="1499"/>
      <c r="H374" s="1499"/>
      <c r="I374" s="1499"/>
      <c r="J374" s="1499"/>
      <c r="K374" s="1500"/>
      <c r="L374" s="1499"/>
      <c r="M374" s="1499"/>
      <c r="N374" s="1499"/>
      <c r="O374" s="1499"/>
      <c r="P374" s="1500"/>
      <c r="Q374" s="1499"/>
      <c r="R374" s="1499"/>
      <c r="S374" s="1499"/>
      <c r="T374" s="1499"/>
      <c r="U374" s="1500"/>
      <c r="V374" s="1499"/>
      <c r="W374" s="1499"/>
      <c r="X374" s="1499"/>
      <c r="Y374" s="1499"/>
      <c r="Z374" s="1500"/>
      <c r="AA374" s="1499"/>
      <c r="AB374" s="1499"/>
      <c r="AC374" s="1499"/>
      <c r="AD374" s="1499"/>
      <c r="AE374" s="1500"/>
      <c r="AF374" s="1499"/>
      <c r="AG374" s="1499"/>
      <c r="AH374" s="1499"/>
      <c r="AI374" s="1499"/>
      <c r="AJ374" s="1500"/>
      <c r="AK374" s="1499"/>
      <c r="AL374" s="1499"/>
      <c r="AM374" s="1499"/>
      <c r="AN374" s="1499"/>
      <c r="AO374" s="1500"/>
      <c r="AP374" s="1499"/>
      <c r="AQ374" s="1499"/>
      <c r="AR374" s="1499"/>
      <c r="AS374" s="1499"/>
      <c r="AT374" s="1500"/>
      <c r="AU374" s="1499"/>
      <c r="AV374" s="1499"/>
      <c r="AW374" s="1499"/>
      <c r="AX374" s="1499"/>
      <c r="AY374" s="1500"/>
      <c r="AZ374" s="1499"/>
      <c r="BA374" s="1499"/>
      <c r="BB374" s="1499"/>
      <c r="BC374" s="1499"/>
      <c r="BD374" s="1500"/>
      <c r="BE374" s="1499"/>
      <c r="BF374" s="1499"/>
      <c r="BG374" s="1499"/>
      <c r="BH374" s="1499"/>
      <c r="BI374" s="1500"/>
      <c r="BJ374" s="1499"/>
      <c r="BK374" s="1499"/>
      <c r="BL374" s="1499"/>
      <c r="BM374" s="1499"/>
      <c r="BN374" s="1500"/>
      <c r="BO374" s="1499"/>
      <c r="BP374" s="1499"/>
      <c r="BQ374" s="1499"/>
      <c r="BR374" s="1499"/>
      <c r="BS374" s="1500"/>
      <c r="BT374" s="1499"/>
      <c r="BU374" s="1499"/>
      <c r="BV374" s="1499"/>
      <c r="BW374" s="1499"/>
      <c r="BX374" s="1500"/>
      <c r="BY374" s="1499"/>
      <c r="BZ374" s="1499"/>
      <c r="CA374" s="1499"/>
      <c r="CB374" s="1499"/>
      <c r="CC374" s="1500"/>
      <c r="CD374" s="1499"/>
      <c r="CE374" s="1499"/>
      <c r="CF374" s="1499"/>
      <c r="CG374" s="1499"/>
      <c r="CH374" s="1500"/>
      <c r="CI374" s="1499"/>
      <c r="CJ374" s="1499"/>
      <c r="CK374" s="1499"/>
      <c r="CL374" s="1499"/>
      <c r="CM374" s="1500"/>
      <c r="CN374" s="1499"/>
      <c r="CO374" s="1499"/>
      <c r="CP374" s="1499"/>
      <c r="CQ374" s="1499"/>
      <c r="CR374" s="1500"/>
      <c r="CS374" s="1500"/>
      <c r="CT374" s="1500"/>
      <c r="DB374" s="1226"/>
    </row>
    <row r="375" spans="1:106" s="212" customFormat="1" x14ac:dyDescent="0.2">
      <c r="A375" s="1434" t="s">
        <v>346</v>
      </c>
      <c r="B375" s="1499"/>
      <c r="C375" s="1499"/>
      <c r="D375" s="1499"/>
      <c r="E375" s="1499"/>
      <c r="F375" s="1500"/>
      <c r="G375" s="1499"/>
      <c r="H375" s="1499"/>
      <c r="I375" s="1499"/>
      <c r="J375" s="1499"/>
      <c r="K375" s="1500"/>
      <c r="L375" s="1499"/>
      <c r="M375" s="1499"/>
      <c r="N375" s="1499"/>
      <c r="O375" s="1499"/>
      <c r="P375" s="1500"/>
      <c r="Q375" s="1499"/>
      <c r="R375" s="1499"/>
      <c r="S375" s="1499"/>
      <c r="T375" s="1499"/>
      <c r="U375" s="1500"/>
      <c r="V375" s="1499"/>
      <c r="W375" s="1499"/>
      <c r="X375" s="1499"/>
      <c r="Y375" s="1499"/>
      <c r="Z375" s="1500"/>
      <c r="AA375" s="1499"/>
      <c r="AB375" s="1499"/>
      <c r="AC375" s="1499"/>
      <c r="AD375" s="1499"/>
      <c r="AE375" s="1500"/>
      <c r="AF375" s="1499"/>
      <c r="AG375" s="1499"/>
      <c r="AH375" s="1499"/>
      <c r="AI375" s="1499"/>
      <c r="AJ375" s="1500"/>
      <c r="AK375" s="884">
        <f t="shared" ref="AK375:BP375" si="273">+AK333/AK$353</f>
        <v>0.47566358021274446</v>
      </c>
      <c r="AL375" s="884">
        <f t="shared" si="273"/>
        <v>0.47377880828401031</v>
      </c>
      <c r="AM375" s="884">
        <f t="shared" si="273"/>
        <v>0.47637701254911541</v>
      </c>
      <c r="AN375" s="884">
        <f t="shared" si="273"/>
        <v>0.47884823483318079</v>
      </c>
      <c r="AO375" s="1512">
        <f t="shared" si="273"/>
        <v>0.47634775656206013</v>
      </c>
      <c r="AP375" s="884">
        <f t="shared" si="273"/>
        <v>0.47570923652246594</v>
      </c>
      <c r="AQ375" s="884">
        <f t="shared" si="273"/>
        <v>0.47353791206435186</v>
      </c>
      <c r="AR375" s="884">
        <f t="shared" si="273"/>
        <v>0.4774223496158474</v>
      </c>
      <c r="AS375" s="884">
        <f t="shared" si="273"/>
        <v>0.48216728235987366</v>
      </c>
      <c r="AT375" s="1512">
        <f t="shared" si="273"/>
        <v>0.47740923944124009</v>
      </c>
      <c r="AU375" s="884">
        <f t="shared" si="273"/>
        <v>0.47347144497741211</v>
      </c>
      <c r="AV375" s="884">
        <f t="shared" si="273"/>
        <v>0.47631107621011498</v>
      </c>
      <c r="AW375" s="884">
        <f t="shared" si="273"/>
        <v>0.47023637547452835</v>
      </c>
      <c r="AX375" s="884">
        <f t="shared" si="273"/>
        <v>0.47537182902053321</v>
      </c>
      <c r="AY375" s="1512">
        <f t="shared" si="273"/>
        <v>0.47398546925427104</v>
      </c>
      <c r="AZ375" s="884">
        <f t="shared" si="273"/>
        <v>0.46766373580209636</v>
      </c>
      <c r="BA375" s="884">
        <f t="shared" si="273"/>
        <v>0.46936067969063672</v>
      </c>
      <c r="BB375" s="884">
        <f t="shared" si="273"/>
        <v>0.46723271813517159</v>
      </c>
      <c r="BC375" s="884">
        <f t="shared" si="273"/>
        <v>0.47678845038100459</v>
      </c>
      <c r="BD375" s="1512">
        <f t="shared" si="273"/>
        <v>0.470734841025859</v>
      </c>
      <c r="BE375" s="884">
        <f t="shared" si="273"/>
        <v>0.4703749173356252</v>
      </c>
      <c r="BF375" s="884">
        <f t="shared" si="273"/>
        <v>0.47224278172864897</v>
      </c>
      <c r="BG375" s="884">
        <f t="shared" si="273"/>
        <v>0.46394353353949652</v>
      </c>
      <c r="BH375" s="884">
        <f t="shared" si="273"/>
        <v>0.46900858624767694</v>
      </c>
      <c r="BI375" s="1512">
        <f t="shared" si="273"/>
        <v>0.46893062315798223</v>
      </c>
      <c r="BJ375" s="884">
        <f t="shared" si="273"/>
        <v>0.47072671238690772</v>
      </c>
      <c r="BK375" s="884">
        <f t="shared" si="273"/>
        <v>0.46793998520733215</v>
      </c>
      <c r="BL375" s="884">
        <f t="shared" si="273"/>
        <v>0.46388422727842143</v>
      </c>
      <c r="BM375" s="884">
        <f t="shared" si="273"/>
        <v>0.47570971507817683</v>
      </c>
      <c r="BN375" s="1512">
        <f t="shared" si="273"/>
        <v>0.46993082895366278</v>
      </c>
      <c r="BO375" s="884">
        <f t="shared" si="273"/>
        <v>0.47700802102112094</v>
      </c>
      <c r="BP375" s="884">
        <f t="shared" si="273"/>
        <v>0.48352863625704373</v>
      </c>
      <c r="BQ375" s="884">
        <f t="shared" ref="BQ375:CF375" si="274">+BQ333/BQ$353</f>
        <v>0.47754027818986311</v>
      </c>
      <c r="BR375" s="884">
        <f t="shared" si="274"/>
        <v>0.48131195185550679</v>
      </c>
      <c r="BS375" s="1512">
        <f t="shared" si="274"/>
        <v>0.47990338984308872</v>
      </c>
      <c r="BT375" s="884">
        <f t="shared" si="274"/>
        <v>0.48583730218005516</v>
      </c>
      <c r="BU375" s="884">
        <f t="shared" si="274"/>
        <v>0.47968869091040195</v>
      </c>
      <c r="BV375" s="884">
        <f t="shared" si="274"/>
        <v>0.47663233004095279</v>
      </c>
      <c r="BW375" s="884">
        <f t="shared" si="274"/>
        <v>0.48073676172885904</v>
      </c>
      <c r="BX375" s="1512">
        <f t="shared" si="274"/>
        <v>0.48059361672073592</v>
      </c>
      <c r="BY375" s="884">
        <f t="shared" si="274"/>
        <v>0.47674714198709023</v>
      </c>
      <c r="BZ375" s="884">
        <f t="shared" si="274"/>
        <v>0.47844324446474606</v>
      </c>
      <c r="CA375" s="884">
        <f t="shared" si="274"/>
        <v>0.47002059435781912</v>
      </c>
      <c r="CB375" s="884">
        <f t="shared" si="274"/>
        <v>0.47083976751322615</v>
      </c>
      <c r="CC375" s="1512">
        <f t="shared" si="274"/>
        <v>0.47403580666484507</v>
      </c>
      <c r="CD375" s="884">
        <f t="shared" si="274"/>
        <v>0.46547825529198333</v>
      </c>
      <c r="CE375" s="884">
        <f t="shared" si="274"/>
        <v>0.46485709563870375</v>
      </c>
      <c r="CF375" s="884">
        <f t="shared" si="274"/>
        <v>0.45861290883448325</v>
      </c>
      <c r="CG375" s="884"/>
      <c r="CH375" s="1512"/>
      <c r="CI375" s="884"/>
      <c r="CJ375" s="884"/>
      <c r="CK375" s="884"/>
      <c r="CL375" s="884"/>
      <c r="CM375" s="1512"/>
      <c r="CN375" s="884"/>
      <c r="CO375" s="884"/>
      <c r="CP375" s="884"/>
      <c r="CQ375" s="884"/>
      <c r="CR375" s="1512"/>
      <c r="CS375" s="1512"/>
      <c r="CT375" s="1512"/>
      <c r="DB375" s="1226"/>
    </row>
    <row r="376" spans="1:106" s="212" customFormat="1" x14ac:dyDescent="0.2">
      <c r="A376" s="1434" t="s">
        <v>1385</v>
      </c>
      <c r="B376" s="1499"/>
      <c r="C376" s="1499"/>
      <c r="D376" s="1499"/>
      <c r="E376" s="1499"/>
      <c r="F376" s="1500"/>
      <c r="G376" s="1499"/>
      <c r="H376" s="1499"/>
      <c r="I376" s="1499"/>
      <c r="J376" s="1499"/>
      <c r="K376" s="1500"/>
      <c r="L376" s="1499"/>
      <c r="M376" s="1499"/>
      <c r="N376" s="1499"/>
      <c r="O376" s="1499"/>
      <c r="P376" s="1500"/>
      <c r="Q376" s="1499"/>
      <c r="R376" s="1499"/>
      <c r="S376" s="1499"/>
      <c r="T376" s="1499"/>
      <c r="U376" s="1500"/>
      <c r="V376" s="1499"/>
      <c r="W376" s="1499"/>
      <c r="X376" s="1499"/>
      <c r="Y376" s="1499"/>
      <c r="Z376" s="1500"/>
      <c r="AA376" s="1499"/>
      <c r="AB376" s="1499"/>
      <c r="AC376" s="1499"/>
      <c r="AD376" s="1499"/>
      <c r="AE376" s="1500"/>
      <c r="AF376" s="1499"/>
      <c r="AG376" s="1499"/>
      <c r="AH376" s="1499"/>
      <c r="AI376" s="1499"/>
      <c r="AJ376" s="1500"/>
      <c r="AK376" s="884">
        <f t="shared" ref="AK376:BP376" si="275">+AK334/AK$353</f>
        <v>8.4721833457612333E-2</v>
      </c>
      <c r="AL376" s="884">
        <f t="shared" si="275"/>
        <v>8.7174204239970868E-2</v>
      </c>
      <c r="AM376" s="884">
        <f t="shared" si="275"/>
        <v>8.429706228356669E-2</v>
      </c>
      <c r="AN376" s="884">
        <f t="shared" si="275"/>
        <v>8.812402200985324E-2</v>
      </c>
      <c r="AO376" s="1512">
        <f t="shared" si="275"/>
        <v>8.6273657788827257E-2</v>
      </c>
      <c r="AP376" s="884">
        <f t="shared" si="275"/>
        <v>8.7292925644471622E-2</v>
      </c>
      <c r="AQ376" s="884">
        <f t="shared" si="275"/>
        <v>8.6453747460663796E-2</v>
      </c>
      <c r="AR376" s="884">
        <f t="shared" si="275"/>
        <v>8.4186825923140501E-2</v>
      </c>
      <c r="AS376" s="884">
        <f t="shared" si="275"/>
        <v>8.7186116478010597E-2</v>
      </c>
      <c r="AT376" s="1512">
        <f t="shared" si="275"/>
        <v>8.6329970813298296E-2</v>
      </c>
      <c r="AU376" s="884">
        <f t="shared" si="275"/>
        <v>9.1460533073853434E-2</v>
      </c>
      <c r="AV376" s="884">
        <f t="shared" si="275"/>
        <v>9.0347404663563224E-2</v>
      </c>
      <c r="AW376" s="884">
        <f t="shared" si="275"/>
        <v>8.5627198488769277E-2</v>
      </c>
      <c r="AX376" s="884">
        <f t="shared" si="275"/>
        <v>8.7450450251721074E-2</v>
      </c>
      <c r="AY376" s="1512">
        <f t="shared" si="275"/>
        <v>8.8669809212200329E-2</v>
      </c>
      <c r="AZ376" s="884">
        <f t="shared" si="275"/>
        <v>8.6160708691657151E-2</v>
      </c>
      <c r="BA376" s="884">
        <f t="shared" si="275"/>
        <v>9.0971208682867385E-2</v>
      </c>
      <c r="BB376" s="884">
        <f t="shared" si="275"/>
        <v>8.7827471116875347E-2</v>
      </c>
      <c r="BC376" s="884">
        <f t="shared" si="275"/>
        <v>9.1287132699986798E-2</v>
      </c>
      <c r="BD376" s="1512">
        <f t="shared" si="275"/>
        <v>8.9285032871483289E-2</v>
      </c>
      <c r="BE376" s="884">
        <f t="shared" si="275"/>
        <v>9.3646899394170494E-2</v>
      </c>
      <c r="BF376" s="884">
        <f t="shared" si="275"/>
        <v>9.2367685367414465E-2</v>
      </c>
      <c r="BG376" s="884">
        <f t="shared" si="275"/>
        <v>9.0651185205362486E-2</v>
      </c>
      <c r="BH376" s="884">
        <f t="shared" si="275"/>
        <v>9.7846463980374193E-2</v>
      </c>
      <c r="BI376" s="1512">
        <f t="shared" si="275"/>
        <v>9.3890228596945874E-2</v>
      </c>
      <c r="BJ376" s="884">
        <f t="shared" si="275"/>
        <v>9.4983512352919991E-2</v>
      </c>
      <c r="BK376" s="884">
        <f t="shared" si="275"/>
        <v>9.5369859314903924E-2</v>
      </c>
      <c r="BL376" s="884">
        <f t="shared" si="275"/>
        <v>8.8531957065016445E-2</v>
      </c>
      <c r="BM376" s="884">
        <f t="shared" si="275"/>
        <v>9.2677877210956605E-2</v>
      </c>
      <c r="BN376" s="1512">
        <f t="shared" si="275"/>
        <v>9.2901111944137207E-2</v>
      </c>
      <c r="BO376" s="884">
        <f t="shared" si="275"/>
        <v>9.1253508437216718E-2</v>
      </c>
      <c r="BP376" s="884">
        <f t="shared" si="275"/>
        <v>8.9419259098215034E-2</v>
      </c>
      <c r="BQ376" s="884">
        <f t="shared" ref="BQ376:CF376" si="276">+BQ334/BQ$353</f>
        <v>8.1506992923848942E-2</v>
      </c>
      <c r="BR376" s="884">
        <f t="shared" si="276"/>
        <v>8.3889090282702722E-2</v>
      </c>
      <c r="BS376" s="1512">
        <f t="shared" si="276"/>
        <v>8.6570758374724777E-2</v>
      </c>
      <c r="BT376" s="884">
        <f t="shared" si="276"/>
        <v>8.3501978753888595E-2</v>
      </c>
      <c r="BU376" s="884">
        <f t="shared" si="276"/>
        <v>8.5776588477329385E-2</v>
      </c>
      <c r="BV376" s="884">
        <f t="shared" si="276"/>
        <v>8.4025617490193785E-2</v>
      </c>
      <c r="BW376" s="884">
        <f t="shared" si="276"/>
        <v>8.2912938263374286E-2</v>
      </c>
      <c r="BX376" s="1512">
        <f t="shared" si="276"/>
        <v>8.4105960542799049E-2</v>
      </c>
      <c r="BY376" s="884">
        <f t="shared" si="276"/>
        <v>8.3719142177512834E-2</v>
      </c>
      <c r="BZ376" s="884">
        <f t="shared" si="276"/>
        <v>8.1607887339014876E-2</v>
      </c>
      <c r="CA376" s="884">
        <f t="shared" si="276"/>
        <v>6.3956747625898147E-2</v>
      </c>
      <c r="CB376" s="884">
        <f t="shared" si="276"/>
        <v>6.5897328774405961E-2</v>
      </c>
      <c r="CC376" s="1512">
        <f t="shared" si="276"/>
        <v>7.3766832316601569E-2</v>
      </c>
      <c r="CD376" s="884">
        <f t="shared" si="276"/>
        <v>6.7649878883837389E-2</v>
      </c>
      <c r="CE376" s="884">
        <f t="shared" si="276"/>
        <v>7.0863003992869739E-2</v>
      </c>
      <c r="CF376" s="884">
        <f t="shared" si="276"/>
        <v>6.6235794112513416E-2</v>
      </c>
      <c r="CG376" s="884"/>
      <c r="CH376" s="1512"/>
      <c r="CI376" s="884"/>
      <c r="CJ376" s="884"/>
      <c r="CK376" s="884"/>
      <c r="CL376" s="884"/>
      <c r="CM376" s="1512"/>
      <c r="CN376" s="884"/>
      <c r="CO376" s="884"/>
      <c r="CP376" s="884"/>
      <c r="CQ376" s="884"/>
      <c r="CR376" s="1512"/>
      <c r="CS376" s="1512"/>
      <c r="CT376" s="1512"/>
      <c r="DB376" s="1226"/>
    </row>
    <row r="377" spans="1:106" s="212" customFormat="1" x14ac:dyDescent="0.2">
      <c r="A377" s="1434" t="s">
        <v>2065</v>
      </c>
      <c r="B377" s="1499"/>
      <c r="C377" s="1499"/>
      <c r="D377" s="1499"/>
      <c r="E377" s="1499"/>
      <c r="F377" s="1500"/>
      <c r="G377" s="1499"/>
      <c r="H377" s="1499"/>
      <c r="I377" s="1499"/>
      <c r="J377" s="1499"/>
      <c r="K377" s="1500"/>
      <c r="L377" s="1499"/>
      <c r="M377" s="1499"/>
      <c r="N377" s="1499"/>
      <c r="O377" s="1499"/>
      <c r="P377" s="1500"/>
      <c r="Q377" s="1499"/>
      <c r="R377" s="1499"/>
      <c r="S377" s="1499"/>
      <c r="T377" s="1499"/>
      <c r="U377" s="1500"/>
      <c r="V377" s="1499"/>
      <c r="W377" s="1499"/>
      <c r="X377" s="1499"/>
      <c r="Y377" s="1499"/>
      <c r="Z377" s="1500"/>
      <c r="AA377" s="1499"/>
      <c r="AB377" s="1499"/>
      <c r="AC377" s="1499"/>
      <c r="AD377" s="1499"/>
      <c r="AE377" s="1500"/>
      <c r="AF377" s="1499"/>
      <c r="AG377" s="1499"/>
      <c r="AH377" s="1499"/>
      <c r="AI377" s="1499"/>
      <c r="AJ377" s="1500"/>
      <c r="AK377" s="884">
        <f t="shared" ref="AK377:BP377" si="277">+AK335/AK$353</f>
        <v>0.14922063693092008</v>
      </c>
      <c r="AL377" s="884">
        <f t="shared" si="277"/>
        <v>0.14723931189474096</v>
      </c>
      <c r="AM377" s="884">
        <f t="shared" si="277"/>
        <v>0.12481707681049795</v>
      </c>
      <c r="AN377" s="884">
        <f t="shared" si="277"/>
        <v>0.13942553769916238</v>
      </c>
      <c r="AO377" s="1512">
        <f t="shared" si="277"/>
        <v>0.14011640083205376</v>
      </c>
      <c r="AP377" s="884">
        <f t="shared" si="277"/>
        <v>0.14726737719491273</v>
      </c>
      <c r="AQ377" s="884">
        <f t="shared" si="277"/>
        <v>0.14918796636556089</v>
      </c>
      <c r="AR377" s="884">
        <f t="shared" si="277"/>
        <v>0.12486220712291729</v>
      </c>
      <c r="AS377" s="884">
        <f t="shared" si="277"/>
        <v>0.13181220057802098</v>
      </c>
      <c r="AT377" s="1512">
        <f t="shared" si="277"/>
        <v>0.13812772398885384</v>
      </c>
      <c r="AU377" s="884">
        <f t="shared" si="277"/>
        <v>0.14029414302829527</v>
      </c>
      <c r="AV377" s="884">
        <f t="shared" si="277"/>
        <v>0.12971665484003972</v>
      </c>
      <c r="AW377" s="884">
        <f t="shared" si="277"/>
        <v>0.1150424632081222</v>
      </c>
      <c r="AX377" s="884">
        <f t="shared" si="277"/>
        <v>0.1343820614077062</v>
      </c>
      <c r="AY377" s="1512">
        <f t="shared" si="277"/>
        <v>0.13023211206130686</v>
      </c>
      <c r="AZ377" s="884">
        <f t="shared" si="277"/>
        <v>0.14843705315861236</v>
      </c>
      <c r="BA377" s="884">
        <f t="shared" si="277"/>
        <v>0.13744524978250888</v>
      </c>
      <c r="BB377" s="884">
        <f t="shared" si="277"/>
        <v>0.11695013974734071</v>
      </c>
      <c r="BC377" s="884">
        <f t="shared" si="277"/>
        <v>0.13071027416712813</v>
      </c>
      <c r="BD377" s="1512">
        <f t="shared" si="277"/>
        <v>0.13306021364128273</v>
      </c>
      <c r="BE377" s="884">
        <f t="shared" si="277"/>
        <v>0.14408212238435408</v>
      </c>
      <c r="BF377" s="884">
        <f t="shared" si="277"/>
        <v>0.13740568400460015</v>
      </c>
      <c r="BG377" s="884">
        <f t="shared" si="277"/>
        <v>0.12000830928875475</v>
      </c>
      <c r="BH377" s="884">
        <f t="shared" si="277"/>
        <v>0.13413052612760806</v>
      </c>
      <c r="BI377" s="1512">
        <f t="shared" si="277"/>
        <v>0.13383146367636045</v>
      </c>
      <c r="BJ377" s="884">
        <f t="shared" si="277"/>
        <v>0.14541611467141963</v>
      </c>
      <c r="BK377" s="884">
        <f t="shared" si="277"/>
        <v>0.14145215415501777</v>
      </c>
      <c r="BL377" s="884">
        <f t="shared" si="277"/>
        <v>0.12416021328455595</v>
      </c>
      <c r="BM377" s="884">
        <f t="shared" si="277"/>
        <v>0.13227445127978171</v>
      </c>
      <c r="BN377" s="1512">
        <f t="shared" si="277"/>
        <v>0.13560330720354749</v>
      </c>
      <c r="BO377" s="884">
        <f t="shared" si="277"/>
        <v>0.14585154533993358</v>
      </c>
      <c r="BP377" s="884">
        <f t="shared" si="277"/>
        <v>0.13043011921169478</v>
      </c>
      <c r="BQ377" s="884">
        <f t="shared" ref="BQ377:CF377" si="278">+BQ335/BQ$353</f>
        <v>0.123082708392926</v>
      </c>
      <c r="BR377" s="884">
        <f t="shared" si="278"/>
        <v>0.14042177764306626</v>
      </c>
      <c r="BS377" s="1512">
        <f t="shared" si="278"/>
        <v>0.13467756661957525</v>
      </c>
      <c r="BT377" s="884">
        <f t="shared" si="278"/>
        <v>0.14332164343790746</v>
      </c>
      <c r="BU377" s="884">
        <f t="shared" si="278"/>
        <v>0.13227738023169525</v>
      </c>
      <c r="BV377" s="884">
        <f t="shared" si="278"/>
        <v>0.12585847085866567</v>
      </c>
      <c r="BW377" s="884">
        <f t="shared" si="278"/>
        <v>0.14607388562892773</v>
      </c>
      <c r="BX377" s="1512">
        <f t="shared" si="278"/>
        <v>0.1364944990064681</v>
      </c>
      <c r="BY377" s="884">
        <f t="shared" si="278"/>
        <v>0.15293060832895677</v>
      </c>
      <c r="BZ377" s="884">
        <f t="shared" si="278"/>
        <v>0.13616421306070814</v>
      </c>
      <c r="CA377" s="884">
        <f t="shared" si="278"/>
        <v>0.1245480902571911</v>
      </c>
      <c r="CB377" s="884">
        <f t="shared" si="278"/>
        <v>0.14102369895060776</v>
      </c>
      <c r="CC377" s="1512">
        <f t="shared" si="278"/>
        <v>0.13826260374051488</v>
      </c>
      <c r="CD377" s="884">
        <f t="shared" si="278"/>
        <v>0.14878005388227458</v>
      </c>
      <c r="CE377" s="884">
        <f t="shared" si="278"/>
        <v>0.1257494982456874</v>
      </c>
      <c r="CF377" s="884">
        <f t="shared" si="278"/>
        <v>0.12034857993343023</v>
      </c>
      <c r="CG377" s="884"/>
      <c r="CH377" s="1512"/>
      <c r="CI377" s="884"/>
      <c r="CJ377" s="884"/>
      <c r="CK377" s="884"/>
      <c r="CL377" s="884"/>
      <c r="CM377" s="1512"/>
      <c r="CN377" s="884"/>
      <c r="CO377" s="884"/>
      <c r="CP377" s="884"/>
      <c r="CQ377" s="884"/>
      <c r="CR377" s="1512"/>
      <c r="CS377" s="1512"/>
      <c r="CT377" s="1512"/>
      <c r="DB377" s="1226"/>
    </row>
    <row r="378" spans="1:106" s="212" customFormat="1" x14ac:dyDescent="0.2">
      <c r="A378" s="1434" t="s">
        <v>452</v>
      </c>
      <c r="B378" s="1499"/>
      <c r="C378" s="1499"/>
      <c r="D378" s="1499"/>
      <c r="E378" s="1499"/>
      <c r="F378" s="1500"/>
      <c r="G378" s="1499"/>
      <c r="H378" s="1499"/>
      <c r="I378" s="1499"/>
      <c r="J378" s="1499"/>
      <c r="K378" s="1500"/>
      <c r="L378" s="1499"/>
      <c r="M378" s="1499"/>
      <c r="N378" s="1499"/>
      <c r="O378" s="1499"/>
      <c r="P378" s="1500"/>
      <c r="Q378" s="1499"/>
      <c r="R378" s="1499"/>
      <c r="S378" s="1499"/>
      <c r="T378" s="1499"/>
      <c r="U378" s="1500"/>
      <c r="V378" s="1499"/>
      <c r="W378" s="1499"/>
      <c r="X378" s="1499"/>
      <c r="Y378" s="1499"/>
      <c r="Z378" s="1500"/>
      <c r="AA378" s="1499"/>
      <c r="AB378" s="1499"/>
      <c r="AC378" s="1499"/>
      <c r="AD378" s="1499"/>
      <c r="AE378" s="1500"/>
      <c r="AF378" s="1499"/>
      <c r="AG378" s="1499"/>
      <c r="AH378" s="1499"/>
      <c r="AI378" s="1499"/>
      <c r="AJ378" s="1500"/>
      <c r="AK378" s="884">
        <f t="shared" ref="AK378:BP378" si="279">+AK336/AK$353</f>
        <v>8.8114210721929598E-2</v>
      </c>
      <c r="AL378" s="884">
        <f t="shared" si="279"/>
        <v>8.5765382790559966E-2</v>
      </c>
      <c r="AM378" s="884">
        <f t="shared" si="279"/>
        <v>9.5494476326146202E-2</v>
      </c>
      <c r="AN378" s="884">
        <f t="shared" si="279"/>
        <v>8.8601687284534741E-2</v>
      </c>
      <c r="AO378" s="1512">
        <f t="shared" si="279"/>
        <v>8.938286669907064E-2</v>
      </c>
      <c r="AP378" s="884">
        <f t="shared" si="279"/>
        <v>8.7382823746518221E-2</v>
      </c>
      <c r="AQ378" s="884">
        <f t="shared" si="279"/>
        <v>8.536064391824208E-2</v>
      </c>
      <c r="AR378" s="884">
        <f t="shared" si="279"/>
        <v>9.5437835731552206E-2</v>
      </c>
      <c r="AS378" s="884">
        <f t="shared" si="279"/>
        <v>9.1515039734339207E-2</v>
      </c>
      <c r="AT378" s="1512">
        <f t="shared" si="279"/>
        <v>8.9922510655061946E-2</v>
      </c>
      <c r="AU378" s="884">
        <f t="shared" si="279"/>
        <v>9.2455741102431474E-2</v>
      </c>
      <c r="AV378" s="884">
        <f t="shared" si="279"/>
        <v>9.4709893067605244E-2</v>
      </c>
      <c r="AW378" s="884">
        <f t="shared" si="279"/>
        <v>0.10582025952772847</v>
      </c>
      <c r="AX378" s="884">
        <f t="shared" si="279"/>
        <v>9.6063249030960002E-2</v>
      </c>
      <c r="AY378" s="1512">
        <f t="shared" si="279"/>
        <v>9.711690297571994E-2</v>
      </c>
      <c r="AZ378" s="884">
        <f t="shared" si="279"/>
        <v>9.3001422051269919E-2</v>
      </c>
      <c r="BA378" s="884">
        <f t="shared" si="279"/>
        <v>9.2785811337302904E-2</v>
      </c>
      <c r="BB378" s="884">
        <f t="shared" si="279"/>
        <v>0.1022616209719083</v>
      </c>
      <c r="BC378" s="884">
        <f t="shared" si="279"/>
        <v>9.3358008873079337E-2</v>
      </c>
      <c r="BD378" s="1512">
        <f t="shared" si="279"/>
        <v>9.5205134232447058E-2</v>
      </c>
      <c r="BE378" s="884">
        <f t="shared" si="279"/>
        <v>9.0859056978630157E-2</v>
      </c>
      <c r="BF378" s="884">
        <f t="shared" si="279"/>
        <v>9.1353875685505487E-2</v>
      </c>
      <c r="BG378" s="884">
        <f t="shared" si="279"/>
        <v>0.10152817017003449</v>
      </c>
      <c r="BH378" s="884">
        <f t="shared" si="279"/>
        <v>9.2933319214274474E-2</v>
      </c>
      <c r="BI378" s="1512">
        <f t="shared" si="279"/>
        <v>9.4089715120285702E-2</v>
      </c>
      <c r="BJ378" s="884">
        <f t="shared" si="279"/>
        <v>8.890501282362144E-2</v>
      </c>
      <c r="BK378" s="884">
        <f t="shared" si="279"/>
        <v>8.9201945122391366E-2</v>
      </c>
      <c r="BL378" s="884">
        <f t="shared" si="279"/>
        <v>9.9853949638393183E-2</v>
      </c>
      <c r="BM378" s="884">
        <f t="shared" si="279"/>
        <v>9.0872012905698088E-2</v>
      </c>
      <c r="BN378" s="1512">
        <f t="shared" si="279"/>
        <v>9.209768065262959E-2</v>
      </c>
      <c r="BO378" s="884">
        <f t="shared" si="279"/>
        <v>8.7130188012126936E-2</v>
      </c>
      <c r="BP378" s="884">
        <f t="shared" si="279"/>
        <v>8.6486160606361245E-2</v>
      </c>
      <c r="BQ378" s="884">
        <f t="shared" ref="BQ378:CF378" si="280">+BQ336/BQ$353</f>
        <v>9.4498971846497137E-2</v>
      </c>
      <c r="BR378" s="884">
        <f t="shared" si="280"/>
        <v>8.6187322268299407E-2</v>
      </c>
      <c r="BS378" s="1512">
        <f t="shared" si="280"/>
        <v>8.8599457758484768E-2</v>
      </c>
      <c r="BT378" s="884">
        <f t="shared" si="280"/>
        <v>8.2491222633450864E-2</v>
      </c>
      <c r="BU378" s="884">
        <f t="shared" si="280"/>
        <v>8.6045662346520016E-2</v>
      </c>
      <c r="BV378" s="884">
        <f t="shared" si="280"/>
        <v>8.5092644233618842E-2</v>
      </c>
      <c r="BW378" s="884">
        <f t="shared" si="280"/>
        <v>7.8641533317715839E-2</v>
      </c>
      <c r="BX378" s="1512">
        <f t="shared" si="280"/>
        <v>8.3200980923311227E-2</v>
      </c>
      <c r="BY378" s="884">
        <f t="shared" si="280"/>
        <v>7.9066550716460363E-2</v>
      </c>
      <c r="BZ378" s="884">
        <f t="shared" si="280"/>
        <v>8.268379691958147E-2</v>
      </c>
      <c r="CA378" s="884">
        <f t="shared" si="280"/>
        <v>8.8607282103850327E-2</v>
      </c>
      <c r="CB378" s="884">
        <f t="shared" si="280"/>
        <v>8.2769478079066761E-2</v>
      </c>
      <c r="CC378" s="1512">
        <f t="shared" si="280"/>
        <v>8.3392195522643139E-2</v>
      </c>
      <c r="CD378" s="884">
        <f t="shared" si="280"/>
        <v>8.1452845261439422E-2</v>
      </c>
      <c r="CE378" s="884">
        <f t="shared" si="280"/>
        <v>8.6831288496843725E-2</v>
      </c>
      <c r="CF378" s="884">
        <f t="shared" si="280"/>
        <v>9.5391888754734505E-2</v>
      </c>
      <c r="CG378" s="884"/>
      <c r="CH378" s="1512"/>
      <c r="CI378" s="884"/>
      <c r="CJ378" s="884"/>
      <c r="CK378" s="884"/>
      <c r="CL378" s="884"/>
      <c r="CM378" s="1512"/>
      <c r="CN378" s="884"/>
      <c r="CO378" s="884"/>
      <c r="CP378" s="884"/>
      <c r="CQ378" s="2968"/>
      <c r="CR378" s="2968"/>
      <c r="CS378" s="1512"/>
      <c r="CT378" s="1512"/>
      <c r="DB378" s="1226"/>
    </row>
    <row r="379" spans="1:106" s="212" customFormat="1" x14ac:dyDescent="0.2">
      <c r="A379" s="1434" t="s">
        <v>1386</v>
      </c>
      <c r="B379" s="1499"/>
      <c r="C379" s="1499"/>
      <c r="D379" s="1499"/>
      <c r="E379" s="1499"/>
      <c r="F379" s="1500"/>
      <c r="G379" s="1499"/>
      <c r="H379" s="1499"/>
      <c r="I379" s="1499"/>
      <c r="J379" s="1499"/>
      <c r="K379" s="1500"/>
      <c r="L379" s="1499"/>
      <c r="M379" s="1499"/>
      <c r="N379" s="1499"/>
      <c r="O379" s="1499"/>
      <c r="P379" s="1500"/>
      <c r="Q379" s="1499"/>
      <c r="R379" s="1499"/>
      <c r="S379" s="1499"/>
      <c r="T379" s="1499"/>
      <c r="U379" s="1500"/>
      <c r="V379" s="1499"/>
      <c r="W379" s="1499"/>
      <c r="X379" s="1499"/>
      <c r="Y379" s="1499"/>
      <c r="Z379" s="1500"/>
      <c r="AA379" s="1499"/>
      <c r="AB379" s="1499"/>
      <c r="AC379" s="1499"/>
      <c r="AD379" s="1499"/>
      <c r="AE379" s="1500"/>
      <c r="AF379" s="1499"/>
      <c r="AG379" s="1499"/>
      <c r="AH379" s="1499"/>
      <c r="AI379" s="1499"/>
      <c r="AJ379" s="1500"/>
      <c r="AK379" s="884">
        <f t="shared" ref="AK379:BP379" si="281">+AK337/AK$353</f>
        <v>0.17394481870842551</v>
      </c>
      <c r="AL379" s="884">
        <f t="shared" si="281"/>
        <v>0.17740499017764114</v>
      </c>
      <c r="AM379" s="884">
        <f t="shared" si="281"/>
        <v>0.18732662608116604</v>
      </c>
      <c r="AN379" s="884">
        <f t="shared" si="281"/>
        <v>0.17668095179765886</v>
      </c>
      <c r="AO379" s="1512">
        <f t="shared" si="281"/>
        <v>0.17870582510161234</v>
      </c>
      <c r="AP379" s="884">
        <f t="shared" si="281"/>
        <v>0.17357473831626061</v>
      </c>
      <c r="AQ379" s="884">
        <f t="shared" si="281"/>
        <v>0.17689663467606967</v>
      </c>
      <c r="AR379" s="884">
        <f t="shared" si="281"/>
        <v>0.18628530141715133</v>
      </c>
      <c r="AS379" s="884">
        <f t="shared" si="281"/>
        <v>0.17755077561403643</v>
      </c>
      <c r="AT379" s="1512">
        <f t="shared" si="281"/>
        <v>0.17850246393048733</v>
      </c>
      <c r="AU379" s="884">
        <f t="shared" si="281"/>
        <v>0.17251549328080551</v>
      </c>
      <c r="AV379" s="884">
        <f t="shared" si="281"/>
        <v>0.1785425162310417</v>
      </c>
      <c r="AW379" s="884">
        <f t="shared" si="281"/>
        <v>0.18892534031407343</v>
      </c>
      <c r="AX379" s="884">
        <f t="shared" si="281"/>
        <v>0.17427699907653249</v>
      </c>
      <c r="AY379" s="1512">
        <f t="shared" si="281"/>
        <v>0.17823069845741793</v>
      </c>
      <c r="AZ379" s="884">
        <f t="shared" si="281"/>
        <v>0.17190451591919259</v>
      </c>
      <c r="BA379" s="884">
        <f t="shared" si="281"/>
        <v>0.1754415424958726</v>
      </c>
      <c r="BB379" s="884">
        <f t="shared" si="281"/>
        <v>0.18708242751000248</v>
      </c>
      <c r="BC379" s="884">
        <f t="shared" si="281"/>
        <v>0.17370029755206212</v>
      </c>
      <c r="BD379" s="1512">
        <f t="shared" si="281"/>
        <v>0.17684570210824327</v>
      </c>
      <c r="BE379" s="884">
        <f t="shared" si="281"/>
        <v>0.16738882997359736</v>
      </c>
      <c r="BF379" s="884">
        <f t="shared" si="281"/>
        <v>0.17194329995324129</v>
      </c>
      <c r="BG379" s="884">
        <f t="shared" si="281"/>
        <v>0.18504378808985789</v>
      </c>
      <c r="BH379" s="884">
        <f t="shared" si="281"/>
        <v>0.17311065633640749</v>
      </c>
      <c r="BI379" s="1512">
        <f t="shared" si="281"/>
        <v>0.1743488666702469</v>
      </c>
      <c r="BJ379" s="884">
        <f t="shared" si="281"/>
        <v>0.16729394202865988</v>
      </c>
      <c r="BK379" s="884">
        <f t="shared" si="281"/>
        <v>0.17494605537944799</v>
      </c>
      <c r="BL379" s="884">
        <f t="shared" si="281"/>
        <v>0.19019473016500088</v>
      </c>
      <c r="BM379" s="884">
        <f t="shared" si="281"/>
        <v>0.17960225534919896</v>
      </c>
      <c r="BN379" s="1512">
        <f t="shared" si="281"/>
        <v>0.17815767049451239</v>
      </c>
      <c r="BO379" s="884">
        <f t="shared" si="281"/>
        <v>0.1704438211775911</v>
      </c>
      <c r="BP379" s="884">
        <f t="shared" si="281"/>
        <v>0.18004966589858462</v>
      </c>
      <c r="BQ379" s="884">
        <f t="shared" ref="BQ379:CF379" si="282">+BQ337/BQ$353</f>
        <v>0.19056966894085137</v>
      </c>
      <c r="BR379" s="884">
        <f t="shared" si="282"/>
        <v>0.17814229730104114</v>
      </c>
      <c r="BS379" s="1512">
        <f t="shared" si="282"/>
        <v>0.17991801093197307</v>
      </c>
      <c r="BT379" s="884">
        <f t="shared" si="282"/>
        <v>0.17558042688762385</v>
      </c>
      <c r="BU379" s="884">
        <f t="shared" si="282"/>
        <v>0.18589437493165609</v>
      </c>
      <c r="BV379" s="884">
        <f t="shared" si="282"/>
        <v>0.19681161614216272</v>
      </c>
      <c r="BW379" s="884">
        <f t="shared" si="282"/>
        <v>0.18361044069348356</v>
      </c>
      <c r="BX379" s="1512">
        <f t="shared" si="282"/>
        <v>0.18575282303408727</v>
      </c>
      <c r="BY379" s="884">
        <f t="shared" si="282"/>
        <v>0.17945484317068838</v>
      </c>
      <c r="BZ379" s="884">
        <f t="shared" si="282"/>
        <v>0.19122257055349259</v>
      </c>
      <c r="CA379" s="884">
        <f t="shared" si="282"/>
        <v>0.19679586610039182</v>
      </c>
      <c r="CB379" s="884">
        <f t="shared" si="282"/>
        <v>0.1837274066939997</v>
      </c>
      <c r="CC379" s="1512">
        <f t="shared" si="282"/>
        <v>0.18810529224824743</v>
      </c>
      <c r="CD379" s="884">
        <f t="shared" si="282"/>
        <v>0.18021277084940066</v>
      </c>
      <c r="CE379" s="884">
        <f t="shared" si="282"/>
        <v>0.19486769386648503</v>
      </c>
      <c r="CF379" s="884">
        <f t="shared" si="282"/>
        <v>0.19960329934296611</v>
      </c>
      <c r="CG379" s="884"/>
      <c r="CH379" s="1512"/>
      <c r="CI379" s="884"/>
      <c r="CJ379" s="884"/>
      <c r="CK379" s="884"/>
      <c r="CL379" s="884"/>
      <c r="CM379" s="1512"/>
      <c r="CN379" s="884"/>
      <c r="CO379" s="884"/>
      <c r="CP379" s="884"/>
      <c r="CQ379" s="2968"/>
      <c r="CR379" s="2968"/>
      <c r="CS379" s="1512"/>
      <c r="CT379" s="1512"/>
      <c r="DB379" s="1226"/>
    </row>
    <row r="380" spans="1:106" s="212" customFormat="1" x14ac:dyDescent="0.2">
      <c r="A380" s="1434" t="s">
        <v>1389</v>
      </c>
      <c r="B380" s="1499"/>
      <c r="C380" s="1499"/>
      <c r="D380" s="1499"/>
      <c r="E380" s="1499"/>
      <c r="F380" s="1500"/>
      <c r="G380" s="1499"/>
      <c r="H380" s="1499"/>
      <c r="I380" s="1499"/>
      <c r="J380" s="1499"/>
      <c r="K380" s="1500"/>
      <c r="L380" s="1499"/>
      <c r="M380" s="1499"/>
      <c r="N380" s="1499"/>
      <c r="O380" s="1499"/>
      <c r="P380" s="1500"/>
      <c r="Q380" s="1499"/>
      <c r="R380" s="1499"/>
      <c r="S380" s="1499"/>
      <c r="T380" s="1499"/>
      <c r="U380" s="1500"/>
      <c r="V380" s="1499"/>
      <c r="W380" s="1499"/>
      <c r="X380" s="1499"/>
      <c r="Y380" s="1499"/>
      <c r="Z380" s="1500"/>
      <c r="AA380" s="1499"/>
      <c r="AB380" s="1499"/>
      <c r="AC380" s="1499"/>
      <c r="AD380" s="1499"/>
      <c r="AE380" s="1500"/>
      <c r="AF380" s="1499"/>
      <c r="AG380" s="1499"/>
      <c r="AH380" s="1499"/>
      <c r="AI380" s="1499"/>
      <c r="AJ380" s="1500"/>
      <c r="AK380" s="884">
        <f t="shared" ref="AK380:BP380" si="283">+AK338/AK$353</f>
        <v>2.5308704361936673E-3</v>
      </c>
      <c r="AL380" s="884">
        <f t="shared" si="283"/>
        <v>2.7071220657823637E-3</v>
      </c>
      <c r="AM380" s="884">
        <f t="shared" si="283"/>
        <v>3.049214376584643E-3</v>
      </c>
      <c r="AN380" s="884">
        <f t="shared" si="283"/>
        <v>2.613532946510135E-3</v>
      </c>
      <c r="AO380" s="1512">
        <f t="shared" si="283"/>
        <v>2.7184334540762511E-3</v>
      </c>
      <c r="AP380" s="884">
        <f t="shared" si="283"/>
        <v>2.5729038634025913E-3</v>
      </c>
      <c r="AQ380" s="884">
        <f t="shared" si="283"/>
        <v>2.6430682426238422E-3</v>
      </c>
      <c r="AR380" s="884">
        <f t="shared" si="283"/>
        <v>3.0260915727258449E-3</v>
      </c>
      <c r="AS380" s="884">
        <f t="shared" si="283"/>
        <v>2.6592686387227758E-3</v>
      </c>
      <c r="AT380" s="1512">
        <f t="shared" si="283"/>
        <v>2.7204675348433643E-3</v>
      </c>
      <c r="AU380" s="884">
        <f t="shared" si="283"/>
        <v>2.6377162680853274E-3</v>
      </c>
      <c r="AV380" s="884">
        <f t="shared" si="283"/>
        <v>2.8308240478489965E-3</v>
      </c>
      <c r="AW380" s="884">
        <f t="shared" si="283"/>
        <v>3.8393175560683781E-3</v>
      </c>
      <c r="AX380" s="884">
        <f t="shared" si="283"/>
        <v>3.2239152762398248E-3</v>
      </c>
      <c r="AY380" s="1512">
        <f t="shared" si="283"/>
        <v>3.1324466980284212E-3</v>
      </c>
      <c r="AZ380" s="884">
        <f t="shared" si="283"/>
        <v>3.109558664782647E-3</v>
      </c>
      <c r="BA380" s="884">
        <f t="shared" si="283"/>
        <v>3.3082284270387636E-3</v>
      </c>
      <c r="BB380" s="884">
        <f t="shared" si="283"/>
        <v>3.8420131510475625E-3</v>
      </c>
      <c r="BC380" s="884">
        <f t="shared" si="283"/>
        <v>3.2601617160357178E-3</v>
      </c>
      <c r="BD380" s="1512">
        <f t="shared" si="283"/>
        <v>3.374219036945333E-3</v>
      </c>
      <c r="BE380" s="884">
        <f t="shared" si="283"/>
        <v>3.1225102423354132E-3</v>
      </c>
      <c r="BF380" s="884">
        <f t="shared" si="283"/>
        <v>3.3528772997727775E-3</v>
      </c>
      <c r="BG380" s="884">
        <f t="shared" si="283"/>
        <v>3.8743190939632089E-3</v>
      </c>
      <c r="BH380" s="884">
        <f t="shared" si="283"/>
        <v>3.3981535403546106E-3</v>
      </c>
      <c r="BI380" s="1512">
        <f t="shared" si="283"/>
        <v>3.4375272186204921E-3</v>
      </c>
      <c r="BJ380" s="884">
        <f t="shared" si="283"/>
        <v>3.211258450015323E-3</v>
      </c>
      <c r="BK380" s="884">
        <f t="shared" si="283"/>
        <v>3.4624177601265951E-3</v>
      </c>
      <c r="BL380" s="884">
        <f t="shared" si="283"/>
        <v>3.9557964668689204E-3</v>
      </c>
      <c r="BM380" s="884">
        <f t="shared" si="283"/>
        <v>3.4849713264226835E-3</v>
      </c>
      <c r="BN380" s="1512">
        <f t="shared" si="283"/>
        <v>3.5274555220816176E-3</v>
      </c>
      <c r="BO380" s="884">
        <f t="shared" si="283"/>
        <v>3.2797261670583053E-3</v>
      </c>
      <c r="BP380" s="884">
        <f t="shared" si="283"/>
        <v>3.6354612197440537E-3</v>
      </c>
      <c r="BQ380" s="884">
        <f t="shared" ref="BQ380:CF380" si="284">+BQ338/BQ$353</f>
        <v>4.5148817475757809E-3</v>
      </c>
      <c r="BR380" s="884">
        <f t="shared" si="284"/>
        <v>4.0418413644508471E-3</v>
      </c>
      <c r="BS380" s="1512">
        <f t="shared" si="284"/>
        <v>3.8661960940414497E-3</v>
      </c>
      <c r="BT380" s="884">
        <f t="shared" si="284"/>
        <v>3.8606588819045384E-3</v>
      </c>
      <c r="BU380" s="884">
        <f t="shared" si="284"/>
        <v>4.3038583791486749E-3</v>
      </c>
      <c r="BV380" s="884">
        <f t="shared" si="284"/>
        <v>4.6071590598730757E-3</v>
      </c>
      <c r="BW380" s="884">
        <f t="shared" si="284"/>
        <v>4.1552383150832298E-3</v>
      </c>
      <c r="BX380" s="1512">
        <f t="shared" si="284"/>
        <v>4.2427770733206652E-3</v>
      </c>
      <c r="BY380" s="884">
        <f t="shared" si="284"/>
        <v>3.9250468017138209E-3</v>
      </c>
      <c r="BZ380" s="884">
        <f t="shared" si="284"/>
        <v>4.7796306565388363E-3</v>
      </c>
      <c r="CA380" s="884">
        <f t="shared" si="284"/>
        <v>5.0317914787929427E-3</v>
      </c>
      <c r="CB380" s="884">
        <f t="shared" si="284"/>
        <v>4.5239404708371719E-3</v>
      </c>
      <c r="CC380" s="1512">
        <f t="shared" si="284"/>
        <v>4.5821157119990729E-3</v>
      </c>
      <c r="CD380" s="884">
        <f t="shared" si="284"/>
        <v>4.2459658702913771E-3</v>
      </c>
      <c r="CE380" s="884">
        <f t="shared" si="284"/>
        <v>4.8180450602461171E-3</v>
      </c>
      <c r="CF380" s="884">
        <f t="shared" si="284"/>
        <v>5.1985462586477873E-3</v>
      </c>
      <c r="CG380" s="884"/>
      <c r="CH380" s="1512"/>
      <c r="CI380" s="884"/>
      <c r="CJ380" s="884"/>
      <c r="CK380" s="884"/>
      <c r="CL380" s="884"/>
      <c r="CM380" s="1512"/>
      <c r="CN380" s="884"/>
      <c r="CO380" s="884"/>
      <c r="CP380" s="884"/>
      <c r="CQ380" s="2968"/>
      <c r="CR380" s="2968"/>
      <c r="CS380" s="1512"/>
      <c r="CT380" s="1512"/>
      <c r="DB380" s="1226"/>
    </row>
    <row r="381" spans="1:106" s="212" customFormat="1" x14ac:dyDescent="0.2">
      <c r="A381" s="1434" t="s">
        <v>1391</v>
      </c>
      <c r="B381" s="1499"/>
      <c r="C381" s="1499"/>
      <c r="D381" s="1499"/>
      <c r="E381" s="1499"/>
      <c r="F381" s="1500"/>
      <c r="G381" s="1499"/>
      <c r="H381" s="1499"/>
      <c r="I381" s="1499"/>
      <c r="J381" s="1499"/>
      <c r="K381" s="1500"/>
      <c r="L381" s="1499"/>
      <c r="M381" s="1499"/>
      <c r="N381" s="1499"/>
      <c r="O381" s="1499"/>
      <c r="P381" s="1500"/>
      <c r="Q381" s="1499"/>
      <c r="R381" s="1499"/>
      <c r="S381" s="1499"/>
      <c r="T381" s="1499"/>
      <c r="U381" s="1500"/>
      <c r="V381" s="1499"/>
      <c r="W381" s="1499"/>
      <c r="X381" s="1499"/>
      <c r="Y381" s="1499"/>
      <c r="Z381" s="1500"/>
      <c r="AA381" s="1499"/>
      <c r="AB381" s="1499"/>
      <c r="AC381" s="1499"/>
      <c r="AD381" s="1499"/>
      <c r="AE381" s="1500"/>
      <c r="AF381" s="1499"/>
      <c r="AG381" s="1499"/>
      <c r="AH381" s="1499"/>
      <c r="AI381" s="1499"/>
      <c r="AJ381" s="1500"/>
      <c r="AK381" s="884">
        <f t="shared" ref="AK381:BP381" si="285">+AK339/AK$353</f>
        <v>1.1864884246728345E-2</v>
      </c>
      <c r="AL381" s="884">
        <f t="shared" si="285"/>
        <v>1.170674024301443E-2</v>
      </c>
      <c r="AM381" s="884">
        <f t="shared" si="285"/>
        <v>1.2933264836216945E-2</v>
      </c>
      <c r="AN381" s="884">
        <f t="shared" si="285"/>
        <v>1.1543890014536639E-2</v>
      </c>
      <c r="AO381" s="1512">
        <f t="shared" si="285"/>
        <v>1.1972336130250052E-2</v>
      </c>
      <c r="AP381" s="884">
        <f t="shared" si="285"/>
        <v>1.1645778139242757E-2</v>
      </c>
      <c r="AQ381" s="884">
        <f t="shared" si="285"/>
        <v>1.1266455320865761E-2</v>
      </c>
      <c r="AR381" s="884">
        <f t="shared" si="285"/>
        <v>1.26954336905449E-2</v>
      </c>
      <c r="AS381" s="884">
        <f t="shared" si="285"/>
        <v>1.1914349718793191E-2</v>
      </c>
      <c r="AT381" s="1512">
        <f t="shared" si="285"/>
        <v>1.1869924223540664E-2</v>
      </c>
      <c r="AU381" s="884">
        <f t="shared" si="285"/>
        <v>1.1780037522458856E-2</v>
      </c>
      <c r="AV381" s="884">
        <f t="shared" si="285"/>
        <v>1.1849635688106274E-2</v>
      </c>
      <c r="AW381" s="884">
        <f t="shared" si="285"/>
        <v>1.3082595152371644E-2</v>
      </c>
      <c r="AX381" s="884">
        <f t="shared" si="285"/>
        <v>1.1083023351892179E-2</v>
      </c>
      <c r="AY381" s="1512">
        <f t="shared" si="285"/>
        <v>1.1885949320635381E-2</v>
      </c>
      <c r="AZ381" s="884">
        <f t="shared" si="285"/>
        <v>1.1388164521988093E-2</v>
      </c>
      <c r="BA381" s="884">
        <f t="shared" si="285"/>
        <v>1.1598173827048268E-2</v>
      </c>
      <c r="BB381" s="884">
        <f t="shared" si="285"/>
        <v>1.3442882263567903E-2</v>
      </c>
      <c r="BC381" s="884">
        <f t="shared" si="285"/>
        <v>1.1827916393514709E-2</v>
      </c>
      <c r="BD381" s="1512">
        <f t="shared" si="285"/>
        <v>1.2049747114826386E-2</v>
      </c>
      <c r="BE381" s="884">
        <f t="shared" si="285"/>
        <v>1.1639599750694165E-2</v>
      </c>
      <c r="BF381" s="884">
        <f t="shared" si="285"/>
        <v>1.1745409300360566E-2</v>
      </c>
      <c r="BG381" s="884">
        <f t="shared" si="285"/>
        <v>1.3303442802634135E-2</v>
      </c>
      <c r="BH381" s="884">
        <f t="shared" si="285"/>
        <v>1.0146844905807466E-2</v>
      </c>
      <c r="BI381" s="1512">
        <f t="shared" si="285"/>
        <v>1.1606034757063181E-2</v>
      </c>
      <c r="BJ381" s="884">
        <f t="shared" si="285"/>
        <v>1.0017622304044585E-2</v>
      </c>
      <c r="BK381" s="884">
        <f t="shared" si="285"/>
        <v>8.038658211661779E-3</v>
      </c>
      <c r="BL381" s="884">
        <f t="shared" si="285"/>
        <v>9.0358394084156159E-3</v>
      </c>
      <c r="BM381" s="884">
        <f t="shared" si="285"/>
        <v>8.043229070463986E-3</v>
      </c>
      <c r="BN381" s="1512">
        <f t="shared" si="285"/>
        <v>8.7108968069542214E-3</v>
      </c>
      <c r="BO381" s="884">
        <f t="shared" si="285"/>
        <v>7.8840523521037445E-3</v>
      </c>
      <c r="BP381" s="884">
        <f t="shared" si="285"/>
        <v>8.0877487577829549E-3</v>
      </c>
      <c r="BQ381" s="884">
        <f t="shared" ref="BQ381:CF381" si="286">+BQ339/BQ$353</f>
        <v>8.8801588275221992E-3</v>
      </c>
      <c r="BR381" s="884">
        <f t="shared" si="286"/>
        <v>8.0016091455868982E-3</v>
      </c>
      <c r="BS381" s="1512">
        <f t="shared" si="286"/>
        <v>8.2182109156757471E-3</v>
      </c>
      <c r="BT381" s="884">
        <f t="shared" si="286"/>
        <v>7.2837293703838166E-3</v>
      </c>
      <c r="BU381" s="884">
        <f t="shared" si="286"/>
        <v>7.1637628391071741E-3</v>
      </c>
      <c r="BV381" s="884">
        <f t="shared" si="286"/>
        <v>7.3201892916560339E-3</v>
      </c>
      <c r="BW381" s="884">
        <f t="shared" si="286"/>
        <v>6.0232399863634004E-3</v>
      </c>
      <c r="BX381" s="1512">
        <f t="shared" si="286"/>
        <v>6.9614194544684845E-3</v>
      </c>
      <c r="BY381" s="884">
        <f t="shared" si="286"/>
        <v>5.9925454672440951E-3</v>
      </c>
      <c r="BZ381" s="884">
        <f t="shared" si="286"/>
        <v>6.175009590146505E-3</v>
      </c>
      <c r="CA381" s="884">
        <f t="shared" si="286"/>
        <v>6.4535616001194854E-3</v>
      </c>
      <c r="CB381" s="884">
        <f t="shared" si="286"/>
        <v>5.8374302342255897E-3</v>
      </c>
      <c r="CC381" s="1512">
        <f t="shared" si="286"/>
        <v>6.1241264421470149E-3</v>
      </c>
      <c r="CD381" s="884">
        <f t="shared" si="286"/>
        <v>5.9430134267257975E-3</v>
      </c>
      <c r="CE381" s="884">
        <f t="shared" si="286"/>
        <v>6.3430489397988468E-3</v>
      </c>
      <c r="CF381" s="884">
        <f t="shared" si="286"/>
        <v>6.7903009700910075E-3</v>
      </c>
      <c r="CG381" s="884"/>
      <c r="CH381" s="1512"/>
      <c r="CI381" s="884"/>
      <c r="CJ381" s="884"/>
      <c r="CK381" s="884"/>
      <c r="CL381" s="884"/>
      <c r="CM381" s="1512"/>
      <c r="CN381" s="884"/>
      <c r="CO381" s="884"/>
      <c r="CP381" s="884"/>
      <c r="CQ381" s="2968"/>
      <c r="CR381" s="2968"/>
      <c r="CS381" s="1512"/>
      <c r="CT381" s="1512"/>
      <c r="DB381" s="1226"/>
    </row>
    <row r="382" spans="1:106" s="212" customFormat="1" x14ac:dyDescent="0.2">
      <c r="A382" s="2308" t="s">
        <v>2285</v>
      </c>
      <c r="B382" s="1499"/>
      <c r="C382" s="1499"/>
      <c r="D382" s="1499"/>
      <c r="E382" s="1499"/>
      <c r="F382" s="1500"/>
      <c r="G382" s="1499"/>
      <c r="H382" s="1499"/>
      <c r="I382" s="1499"/>
      <c r="J382" s="1499"/>
      <c r="K382" s="1500"/>
      <c r="L382" s="1499"/>
      <c r="M382" s="1499"/>
      <c r="N382" s="1499"/>
      <c r="O382" s="1499"/>
      <c r="P382" s="1500"/>
      <c r="Q382" s="1499"/>
      <c r="R382" s="1499"/>
      <c r="S382" s="1499"/>
      <c r="T382" s="1499"/>
      <c r="U382" s="1500"/>
      <c r="V382" s="1499"/>
      <c r="W382" s="1499"/>
      <c r="X382" s="1499"/>
      <c r="Y382" s="1499"/>
      <c r="Z382" s="1500"/>
      <c r="AA382" s="1499"/>
      <c r="AB382" s="1499"/>
      <c r="AC382" s="1499"/>
      <c r="AD382" s="1499"/>
      <c r="AE382" s="1500"/>
      <c r="AF382" s="1499"/>
      <c r="AG382" s="1499"/>
      <c r="AH382" s="1499"/>
      <c r="AI382" s="1499"/>
      <c r="AJ382" s="1500"/>
      <c r="AK382" s="884"/>
      <c r="AL382" s="884"/>
      <c r="AM382" s="884"/>
      <c r="AN382" s="884"/>
      <c r="AO382" s="1512"/>
      <c r="AP382" s="884"/>
      <c r="AQ382" s="884"/>
      <c r="AR382" s="884"/>
      <c r="AS382" s="884"/>
      <c r="AT382" s="1512"/>
      <c r="AU382" s="884"/>
      <c r="AV382" s="884"/>
      <c r="AW382" s="884"/>
      <c r="AX382" s="884"/>
      <c r="AY382" s="1512"/>
      <c r="AZ382" s="884"/>
      <c r="BA382" s="884"/>
      <c r="BB382" s="884"/>
      <c r="BC382" s="884"/>
      <c r="BD382" s="1512"/>
      <c r="BE382" s="884"/>
      <c r="BF382" s="884"/>
      <c r="BG382" s="884"/>
      <c r="BH382" s="884"/>
      <c r="BI382" s="1512"/>
      <c r="BJ382" s="884"/>
      <c r="BK382" s="884"/>
      <c r="BL382" s="884"/>
      <c r="BM382" s="884"/>
      <c r="BN382" s="1512"/>
      <c r="BO382" s="884"/>
      <c r="BP382" s="884"/>
      <c r="BQ382" s="884"/>
      <c r="BR382" s="884"/>
      <c r="BS382" s="1512"/>
      <c r="BT382" s="884"/>
      <c r="BU382" s="884"/>
      <c r="BV382" s="884"/>
      <c r="BW382" s="884"/>
      <c r="BX382" s="1512"/>
      <c r="BY382" s="884">
        <f t="shared" ref="BY382:CF383" si="287">+BY340/BY$353</f>
        <v>0</v>
      </c>
      <c r="BZ382" s="884">
        <f t="shared" si="287"/>
        <v>0</v>
      </c>
      <c r="CA382" s="884">
        <f t="shared" si="287"/>
        <v>2.4389448126843676E-2</v>
      </c>
      <c r="CB382" s="884">
        <f t="shared" si="287"/>
        <v>2.6735935201631852E-2</v>
      </c>
      <c r="CC382" s="1512">
        <f t="shared" si="287"/>
        <v>1.2721585334839691E-2</v>
      </c>
      <c r="CD382" s="884">
        <f t="shared" si="287"/>
        <v>2.6779241509471689E-2</v>
      </c>
      <c r="CE382" s="884">
        <f t="shared" si="287"/>
        <v>2.4583391030236091E-2</v>
      </c>
      <c r="CF382" s="884">
        <f t="shared" si="287"/>
        <v>2.5885559886333644E-2</v>
      </c>
      <c r="CG382" s="884"/>
      <c r="CH382" s="1512"/>
      <c r="CI382" s="884"/>
      <c r="CJ382" s="884"/>
      <c r="CK382" s="884"/>
      <c r="CL382" s="884"/>
      <c r="CM382" s="1512"/>
      <c r="CN382" s="884"/>
      <c r="CO382" s="884"/>
      <c r="CP382" s="884"/>
      <c r="CQ382" s="884"/>
      <c r="CR382" s="1512"/>
      <c r="CS382" s="1512"/>
      <c r="CT382" s="1512"/>
      <c r="DB382" s="1226"/>
    </row>
    <row r="383" spans="1:106" s="2631" customFormat="1" x14ac:dyDescent="0.2">
      <c r="A383" s="2308" t="s">
        <v>1390</v>
      </c>
      <c r="B383" s="1499"/>
      <c r="C383" s="1499"/>
      <c r="D383" s="1499"/>
      <c r="E383" s="1499"/>
      <c r="F383" s="1500"/>
      <c r="G383" s="1499"/>
      <c r="H383" s="1499"/>
      <c r="I383" s="1499"/>
      <c r="J383" s="1499"/>
      <c r="K383" s="1500"/>
      <c r="L383" s="1499"/>
      <c r="M383" s="1499"/>
      <c r="N383" s="1499"/>
      <c r="O383" s="1499"/>
      <c r="P383" s="1500"/>
      <c r="Q383" s="1499"/>
      <c r="R383" s="1499"/>
      <c r="S383" s="1499"/>
      <c r="T383" s="1499"/>
      <c r="U383" s="1500"/>
      <c r="V383" s="1499"/>
      <c r="W383" s="1499"/>
      <c r="X383" s="1499"/>
      <c r="Y383" s="1499"/>
      <c r="Z383" s="1500"/>
      <c r="AA383" s="1499"/>
      <c r="AB383" s="1499"/>
      <c r="AC383" s="1499"/>
      <c r="AD383" s="1499"/>
      <c r="AE383" s="1500"/>
      <c r="AF383" s="1499"/>
      <c r="AG383" s="1499"/>
      <c r="AH383" s="1499"/>
      <c r="AI383" s="1499"/>
      <c r="AJ383" s="1500"/>
      <c r="AK383" s="2384">
        <f t="shared" ref="AK383:BX383" si="288">+AK341/AK$353</f>
        <v>1.3939165285445917E-2</v>
      </c>
      <c r="AL383" s="2384">
        <f t="shared" si="288"/>
        <v>1.4223440304279904E-2</v>
      </c>
      <c r="AM383" s="2384">
        <f t="shared" si="288"/>
        <v>1.5705266736706074E-2</v>
      </c>
      <c r="AN383" s="2384">
        <f t="shared" si="288"/>
        <v>1.4162143414563108E-2</v>
      </c>
      <c r="AO383" s="3042">
        <f t="shared" si="288"/>
        <v>1.4482723432049351E-2</v>
      </c>
      <c r="AP383" s="2384">
        <f t="shared" si="288"/>
        <v>1.4554216572725584E-2</v>
      </c>
      <c r="AQ383" s="2384">
        <f t="shared" si="288"/>
        <v>1.4653571951621921E-2</v>
      </c>
      <c r="AR383" s="2384">
        <f t="shared" si="288"/>
        <v>1.6083954926120702E-2</v>
      </c>
      <c r="AS383" s="2384">
        <f t="shared" si="288"/>
        <v>1.5194966878203084E-2</v>
      </c>
      <c r="AT383" s="3042">
        <f t="shared" si="288"/>
        <v>1.5117699412674481E-2</v>
      </c>
      <c r="AU383" s="2384">
        <f t="shared" si="288"/>
        <v>1.5384890746657763E-2</v>
      </c>
      <c r="AV383" s="2384">
        <f t="shared" si="288"/>
        <v>1.5691995251679792E-2</v>
      </c>
      <c r="AW383" s="2384">
        <f t="shared" si="288"/>
        <v>1.7426450278338248E-2</v>
      </c>
      <c r="AX383" s="2384">
        <f t="shared" si="288"/>
        <v>1.8148472584415043E-2</v>
      </c>
      <c r="AY383" s="3042">
        <f t="shared" si="288"/>
        <v>1.6746612020419882E-2</v>
      </c>
      <c r="AZ383" s="2384">
        <f t="shared" si="288"/>
        <v>1.8334841190400554E-2</v>
      </c>
      <c r="BA383" s="2384">
        <f t="shared" si="288"/>
        <v>1.9089105756724522E-2</v>
      </c>
      <c r="BB383" s="2384">
        <f t="shared" si="288"/>
        <v>2.1360727104086104E-2</v>
      </c>
      <c r="BC383" s="2384">
        <f t="shared" si="288"/>
        <v>1.9067758217188636E-2</v>
      </c>
      <c r="BD383" s="3042">
        <f t="shared" si="288"/>
        <v>1.9445109968912928E-2</v>
      </c>
      <c r="BE383" s="2384">
        <f t="shared" si="288"/>
        <v>1.888606394059314E-2</v>
      </c>
      <c r="BF383" s="2384">
        <f t="shared" si="288"/>
        <v>1.9588386660456196E-2</v>
      </c>
      <c r="BG383" s="2384">
        <f t="shared" si="288"/>
        <v>2.1647251809896607E-2</v>
      </c>
      <c r="BH383" s="2384">
        <f t="shared" si="288"/>
        <v>1.9425449647496821E-2</v>
      </c>
      <c r="BI383" s="3042">
        <f t="shared" si="288"/>
        <v>1.9865540802495207E-2</v>
      </c>
      <c r="BJ383" s="2384">
        <f t="shared" si="288"/>
        <v>1.9445824982411312E-2</v>
      </c>
      <c r="BK383" s="2384">
        <f t="shared" si="288"/>
        <v>1.9588924849118443E-2</v>
      </c>
      <c r="BL383" s="2384">
        <f t="shared" si="288"/>
        <v>2.0383286693327653E-2</v>
      </c>
      <c r="BM383" s="2384">
        <f t="shared" si="288"/>
        <v>1.7335487779301013E-2</v>
      </c>
      <c r="BN383" s="3042">
        <f t="shared" si="288"/>
        <v>1.9071048422474691E-2</v>
      </c>
      <c r="BO383" s="2384">
        <f t="shared" si="288"/>
        <v>1.7149137492848566E-2</v>
      </c>
      <c r="BP383" s="2384">
        <f t="shared" si="288"/>
        <v>1.8362948950573655E-2</v>
      </c>
      <c r="BQ383" s="2384">
        <f t="shared" si="288"/>
        <v>1.9406339130915492E-2</v>
      </c>
      <c r="BR383" s="2384">
        <f t="shared" si="288"/>
        <v>1.8004110139345917E-2</v>
      </c>
      <c r="BS383" s="3042">
        <f t="shared" si="288"/>
        <v>1.8246409462436306E-2</v>
      </c>
      <c r="BT383" s="2384">
        <f t="shared" si="288"/>
        <v>1.8123037854785657E-2</v>
      </c>
      <c r="BU383" s="2384">
        <f t="shared" si="288"/>
        <v>1.8849681884141607E-2</v>
      </c>
      <c r="BV383" s="2384">
        <f t="shared" si="288"/>
        <v>1.965197288287715E-2</v>
      </c>
      <c r="BW383" s="2384">
        <f t="shared" si="288"/>
        <v>1.784596206619285E-2</v>
      </c>
      <c r="BX383" s="3042">
        <f t="shared" si="288"/>
        <v>1.8647923244809288E-2</v>
      </c>
      <c r="BY383" s="2384">
        <f t="shared" si="287"/>
        <v>1.8164121350333465E-2</v>
      </c>
      <c r="BZ383" s="2384">
        <f t="shared" si="287"/>
        <v>1.8923647415771596E-2</v>
      </c>
      <c r="CA383" s="2384">
        <f t="shared" si="287"/>
        <v>2.0196618349093278E-2</v>
      </c>
      <c r="CB383" s="2384">
        <f t="shared" si="287"/>
        <v>1.8645014081999148E-2</v>
      </c>
      <c r="CC383" s="3042">
        <f t="shared" si="287"/>
        <v>1.900944201816223E-2</v>
      </c>
      <c r="CD383" s="2384">
        <f t="shared" si="287"/>
        <v>1.9457975024575802E-2</v>
      </c>
      <c r="CE383" s="2384">
        <f t="shared" si="287"/>
        <v>2.1086934729129127E-2</v>
      </c>
      <c r="CF383" s="2384">
        <f t="shared" si="287"/>
        <v>2.1933121906800111E-2</v>
      </c>
      <c r="CG383" s="2384"/>
      <c r="CH383" s="3042"/>
      <c r="CI383" s="2384"/>
      <c r="CJ383" s="2384"/>
      <c r="CK383" s="2384"/>
      <c r="CL383" s="2384"/>
      <c r="CM383" s="3042"/>
      <c r="CN383" s="2384"/>
      <c r="CO383" s="2384"/>
      <c r="CP383" s="2384"/>
      <c r="CQ383" s="2384"/>
      <c r="CR383" s="3042"/>
      <c r="CS383" s="3043"/>
      <c r="CT383" s="3043"/>
      <c r="DA383" s="212"/>
      <c r="DB383" s="1226"/>
    </row>
    <row r="384" spans="1:106" s="212" customFormat="1" ht="4.5" customHeight="1" x14ac:dyDescent="0.2">
      <c r="A384" s="1580"/>
      <c r="B384" s="1499"/>
      <c r="C384" s="1499"/>
      <c r="D384" s="1499"/>
      <c r="E384" s="1499"/>
      <c r="F384" s="1499"/>
      <c r="G384" s="1499"/>
      <c r="H384" s="1499"/>
      <c r="I384" s="1499"/>
      <c r="J384" s="1499"/>
      <c r="K384" s="1500"/>
      <c r="L384" s="1499"/>
      <c r="M384" s="1499"/>
      <c r="N384" s="1499"/>
      <c r="O384" s="1499"/>
      <c r="P384" s="1500"/>
      <c r="Q384" s="1499"/>
      <c r="R384" s="1499"/>
      <c r="S384" s="1499"/>
      <c r="T384" s="1499"/>
      <c r="U384" s="1500"/>
      <c r="V384" s="1499"/>
      <c r="W384" s="1499"/>
      <c r="X384" s="1499"/>
      <c r="Y384" s="1499"/>
      <c r="Z384" s="1500"/>
      <c r="AA384" s="1499"/>
      <c r="AB384" s="1499"/>
      <c r="AC384" s="1499"/>
      <c r="AD384" s="1499"/>
      <c r="AE384" s="1500"/>
      <c r="AF384" s="1499"/>
      <c r="AG384" s="1499"/>
      <c r="AH384" s="1499"/>
      <c r="AI384" s="1499"/>
      <c r="AJ384" s="1500"/>
      <c r="AK384" s="1518"/>
      <c r="AL384" s="1518"/>
      <c r="AM384" s="1518"/>
      <c r="AN384" s="1518"/>
      <c r="AO384" s="1519"/>
      <c r="AP384" s="1518"/>
      <c r="AQ384" s="1518"/>
      <c r="AR384" s="1518"/>
      <c r="AS384" s="1518"/>
      <c r="AT384" s="1519"/>
      <c r="AU384" s="1518"/>
      <c r="AV384" s="1518"/>
      <c r="AW384" s="1518"/>
      <c r="AX384" s="1518"/>
      <c r="AY384" s="1519"/>
      <c r="AZ384" s="1518"/>
      <c r="BA384" s="1518"/>
      <c r="BB384" s="1518"/>
      <c r="BC384" s="1518"/>
      <c r="BD384" s="1519"/>
      <c r="BE384" s="1518"/>
      <c r="BF384" s="1518"/>
      <c r="BG384" s="1518"/>
      <c r="BH384" s="1518"/>
      <c r="BI384" s="1519"/>
      <c r="BJ384" s="1518"/>
      <c r="BK384" s="1518"/>
      <c r="BL384" s="1518"/>
      <c r="BM384" s="1518"/>
      <c r="BN384" s="1519"/>
      <c r="BO384" s="1518"/>
      <c r="BP384" s="1518"/>
      <c r="BQ384" s="1518"/>
      <c r="BR384" s="1518"/>
      <c r="BS384" s="1519"/>
      <c r="BT384" s="1518"/>
      <c r="BU384" s="1518"/>
      <c r="BV384" s="1518"/>
      <c r="BW384" s="1518"/>
      <c r="BX384" s="1519"/>
      <c r="BY384" s="1518"/>
      <c r="BZ384" s="1518"/>
      <c r="CA384" s="1518"/>
      <c r="CB384" s="1518"/>
      <c r="CC384" s="1519"/>
      <c r="CD384" s="1518"/>
      <c r="CE384" s="1518"/>
      <c r="CF384" s="1518"/>
      <c r="CG384" s="1518"/>
      <c r="CH384" s="1519"/>
      <c r="CI384" s="1518"/>
      <c r="CJ384" s="1518"/>
      <c r="CK384" s="1518"/>
      <c r="CL384" s="1518"/>
      <c r="CM384" s="1519"/>
      <c r="CN384" s="1518"/>
      <c r="CO384" s="1518"/>
      <c r="CP384" s="1518"/>
      <c r="CQ384" s="1518"/>
      <c r="CR384" s="1519"/>
      <c r="CS384" s="1519"/>
      <c r="CT384" s="1519"/>
      <c r="DB384" s="1226"/>
    </row>
    <row r="385" spans="1:106" s="212" customFormat="1" x14ac:dyDescent="0.2">
      <c r="A385" s="3039" t="s">
        <v>2454</v>
      </c>
      <c r="B385" s="1499"/>
      <c r="C385" s="1499"/>
      <c r="D385" s="1499"/>
      <c r="E385" s="1499"/>
      <c r="F385" s="1499"/>
      <c r="G385" s="1499"/>
      <c r="H385" s="1499"/>
      <c r="I385" s="1499"/>
      <c r="J385" s="1499"/>
      <c r="K385" s="1500"/>
      <c r="L385" s="1499"/>
      <c r="M385" s="1499"/>
      <c r="N385" s="1499"/>
      <c r="O385" s="1499"/>
      <c r="P385" s="1500"/>
      <c r="Q385" s="1499"/>
      <c r="R385" s="1499"/>
      <c r="S385" s="1499"/>
      <c r="T385" s="1499"/>
      <c r="U385" s="1500"/>
      <c r="V385" s="1499"/>
      <c r="W385" s="1499"/>
      <c r="X385" s="1499"/>
      <c r="Y385" s="1499"/>
      <c r="Z385" s="1500"/>
      <c r="AA385" s="1499"/>
      <c r="AB385" s="1499"/>
      <c r="AC385" s="1499"/>
      <c r="AD385" s="1499"/>
      <c r="AE385" s="1500"/>
      <c r="AF385" s="1499"/>
      <c r="AG385" s="1499"/>
      <c r="AH385" s="1499"/>
      <c r="AI385" s="1499"/>
      <c r="AJ385" s="1500"/>
      <c r="AK385" s="1518"/>
      <c r="AL385" s="1518"/>
      <c r="AM385" s="1518"/>
      <c r="AN385" s="1518"/>
      <c r="AO385" s="1519"/>
      <c r="AP385" s="1518"/>
      <c r="AQ385" s="1518"/>
      <c r="AR385" s="1518"/>
      <c r="AS385" s="1518"/>
      <c r="AT385" s="1519"/>
      <c r="AU385" s="1518"/>
      <c r="AV385" s="1518"/>
      <c r="AW385" s="1518"/>
      <c r="AX385" s="1518"/>
      <c r="AY385" s="1519"/>
      <c r="AZ385" s="1518"/>
      <c r="BA385" s="1518"/>
      <c r="BB385" s="1518"/>
      <c r="BC385" s="1518"/>
      <c r="BD385" s="1519"/>
      <c r="BE385" s="1518"/>
      <c r="BF385" s="1518"/>
      <c r="BG385" s="1518"/>
      <c r="BH385" s="1518"/>
      <c r="BI385" s="1519"/>
      <c r="BJ385" s="1518"/>
      <c r="BK385" s="1518"/>
      <c r="BL385" s="1518"/>
      <c r="BM385" s="1518"/>
      <c r="BN385" s="1519"/>
      <c r="BO385" s="1518"/>
      <c r="BP385" s="1518"/>
      <c r="BQ385" s="1518"/>
      <c r="BR385" s="1518"/>
      <c r="BS385" s="1519"/>
      <c r="BT385" s="1518"/>
      <c r="BU385" s="1518"/>
      <c r="BV385" s="1518"/>
      <c r="BW385" s="1518"/>
      <c r="BX385" s="1519"/>
      <c r="BY385" s="1518"/>
      <c r="BZ385" s="1518"/>
      <c r="CA385" s="1518"/>
      <c r="CB385" s="1518"/>
      <c r="CC385" s="1519"/>
      <c r="CD385" s="1518"/>
      <c r="CE385" s="3045"/>
      <c r="CF385" s="3045"/>
      <c r="CG385" s="3045"/>
      <c r="CH385" s="3046"/>
      <c r="CI385" s="3045"/>
      <c r="CJ385" s="3045"/>
      <c r="CK385" s="3045"/>
      <c r="CL385" s="3045"/>
      <c r="CM385" s="3046"/>
      <c r="CN385" s="3045"/>
      <c r="CO385" s="3045"/>
      <c r="CP385" s="3045"/>
      <c r="CQ385"/>
      <c r="CR385" s="3046"/>
      <c r="CS385" s="3046"/>
      <c r="CT385" s="3046"/>
      <c r="DB385" s="1226"/>
    </row>
    <row r="386" spans="1:106" s="212" customFormat="1" x14ac:dyDescent="0.2">
      <c r="A386" s="3039" t="s">
        <v>2455</v>
      </c>
      <c r="B386" s="1499"/>
      <c r="C386" s="1499"/>
      <c r="D386" s="1499"/>
      <c r="E386" s="1499"/>
      <c r="F386" s="1499"/>
      <c r="G386" s="1499"/>
      <c r="H386" s="1499"/>
      <c r="I386" s="1499"/>
      <c r="J386" s="1499"/>
      <c r="K386" s="1500"/>
      <c r="L386" s="1499"/>
      <c r="M386" s="1499"/>
      <c r="N386" s="1499"/>
      <c r="O386" s="1499"/>
      <c r="P386" s="1500"/>
      <c r="Q386" s="1499"/>
      <c r="R386" s="1499"/>
      <c r="S386" s="1499"/>
      <c r="T386" s="1499"/>
      <c r="U386" s="1500"/>
      <c r="V386" s="1499"/>
      <c r="W386" s="1499"/>
      <c r="X386" s="1499"/>
      <c r="Y386" s="1499"/>
      <c r="Z386" s="1500"/>
      <c r="AA386" s="1499"/>
      <c r="AB386" s="1499"/>
      <c r="AC386" s="1499"/>
      <c r="AD386" s="1499"/>
      <c r="AE386" s="1500"/>
      <c r="AF386" s="1499"/>
      <c r="AG386" s="1499"/>
      <c r="AH386" s="1499"/>
      <c r="AI386" s="1499"/>
      <c r="AJ386" s="1500"/>
      <c r="AK386" s="1518"/>
      <c r="AL386" s="1518"/>
      <c r="AM386" s="1518"/>
      <c r="AN386" s="1518"/>
      <c r="AO386" s="1519"/>
      <c r="AP386" s="1518"/>
      <c r="AQ386" s="1518"/>
      <c r="AR386" s="1518"/>
      <c r="AS386" s="1518"/>
      <c r="AT386" s="1519"/>
      <c r="AU386" s="1518"/>
      <c r="AV386" s="1518"/>
      <c r="AW386" s="1518"/>
      <c r="AX386" s="1518"/>
      <c r="AY386" s="1519"/>
      <c r="AZ386" s="1518"/>
      <c r="BA386" s="1518"/>
      <c r="BB386" s="1518"/>
      <c r="BC386" s="1518"/>
      <c r="BD386" s="1519"/>
      <c r="BE386" s="1518"/>
      <c r="BF386" s="1518"/>
      <c r="BG386" s="1518"/>
      <c r="BH386" s="1518"/>
      <c r="BI386" s="1519"/>
      <c r="BJ386" s="1518"/>
      <c r="BK386" s="1518"/>
      <c r="BL386" s="1518"/>
      <c r="BM386" s="1518"/>
      <c r="BN386" s="1519"/>
      <c r="BO386" s="1518"/>
      <c r="BP386" s="1518"/>
      <c r="BQ386" s="1518"/>
      <c r="BR386" s="1518"/>
      <c r="BS386" s="1519"/>
      <c r="BT386" s="1518"/>
      <c r="BU386" s="1518"/>
      <c r="BV386" s="1518"/>
      <c r="BW386" s="1518"/>
      <c r="BX386" s="1519"/>
      <c r="BY386" s="1518"/>
      <c r="BZ386" s="1518"/>
      <c r="CA386" s="1518"/>
      <c r="CB386" s="1518"/>
      <c r="CC386" s="1519"/>
      <c r="CD386" s="1518"/>
      <c r="CE386" s="3045"/>
      <c r="CF386" s="3045"/>
      <c r="CG386" s="3045"/>
      <c r="CH386" s="3046"/>
      <c r="CI386" s="3045"/>
      <c r="CJ386" s="3045"/>
      <c r="CK386" s="3045"/>
      <c r="CL386" s="3045"/>
      <c r="CM386" s="3046"/>
      <c r="CN386" s="3045"/>
      <c r="CO386" s="3045"/>
      <c r="CP386" s="3045"/>
      <c r="CQ386"/>
      <c r="CR386" s="3046"/>
      <c r="CS386" s="3046"/>
      <c r="CT386" s="3046"/>
      <c r="DB386" s="1226"/>
    </row>
    <row r="387" spans="1:106" s="212" customFormat="1" x14ac:dyDescent="0.2">
      <c r="A387" s="3039" t="s">
        <v>2456</v>
      </c>
      <c r="B387" s="1499"/>
      <c r="C387" s="1499"/>
      <c r="D387" s="1499"/>
      <c r="E387" s="1499"/>
      <c r="F387" s="1499"/>
      <c r="G387" s="1499"/>
      <c r="H387" s="1499"/>
      <c r="I387" s="1499"/>
      <c r="J387" s="1499"/>
      <c r="K387" s="1500"/>
      <c r="L387" s="1499"/>
      <c r="M387" s="1499"/>
      <c r="N387" s="1499"/>
      <c r="O387" s="1499"/>
      <c r="P387" s="1500"/>
      <c r="Q387" s="1499"/>
      <c r="R387" s="1499"/>
      <c r="S387" s="1499"/>
      <c r="T387" s="1499"/>
      <c r="U387" s="1500"/>
      <c r="V387" s="1499"/>
      <c r="W387" s="1499"/>
      <c r="X387" s="1499"/>
      <c r="Y387" s="1499"/>
      <c r="Z387" s="1500"/>
      <c r="AA387" s="1499"/>
      <c r="AB387" s="1499"/>
      <c r="AC387" s="1499"/>
      <c r="AD387" s="1499"/>
      <c r="AE387" s="1500"/>
      <c r="AF387" s="1499"/>
      <c r="AG387" s="1499"/>
      <c r="AH387" s="1499"/>
      <c r="AI387" s="1499"/>
      <c r="AJ387" s="1500"/>
      <c r="AK387" s="1518"/>
      <c r="AL387" s="1518"/>
      <c r="AM387" s="1518"/>
      <c r="AN387" s="1518"/>
      <c r="AO387" s="1519"/>
      <c r="AP387" s="1518"/>
      <c r="AQ387" s="1518"/>
      <c r="AR387" s="1518"/>
      <c r="AS387" s="1518"/>
      <c r="AT387" s="1519"/>
      <c r="AU387" s="1518"/>
      <c r="AV387" s="1518"/>
      <c r="AW387" s="1518"/>
      <c r="AX387" s="1518"/>
      <c r="AY387" s="1519"/>
      <c r="AZ387" s="1518"/>
      <c r="BA387" s="1518"/>
      <c r="BB387" s="1518"/>
      <c r="BC387" s="1518"/>
      <c r="BD387" s="1519"/>
      <c r="BE387" s="1518"/>
      <c r="BF387" s="1518"/>
      <c r="BG387" s="1518"/>
      <c r="BH387" s="1518"/>
      <c r="BI387" s="1519"/>
      <c r="BJ387" s="1518"/>
      <c r="BK387" s="1518"/>
      <c r="BL387" s="1518"/>
      <c r="BM387" s="1518"/>
      <c r="BN387" s="1519"/>
      <c r="BO387" s="1518"/>
      <c r="BP387" s="1518"/>
      <c r="BQ387" s="1518"/>
      <c r="BR387" s="1518"/>
      <c r="BS387" s="1519"/>
      <c r="BT387" s="1518"/>
      <c r="BU387" s="1518"/>
      <c r="BV387" s="1518"/>
      <c r="BW387" s="1518"/>
      <c r="BX387" s="1519"/>
      <c r="BY387" s="1518"/>
      <c r="BZ387" s="1518"/>
      <c r="CA387" s="1518"/>
      <c r="CB387" s="1518"/>
      <c r="CC387" s="1519"/>
      <c r="CD387" s="1518"/>
      <c r="CE387" s="3045"/>
      <c r="CF387" s="3045"/>
      <c r="CG387" s="3045"/>
      <c r="CH387" s="3046"/>
      <c r="CI387" s="3045"/>
      <c r="CJ387" s="3045"/>
      <c r="CK387" s="3045"/>
      <c r="CL387" s="3045"/>
      <c r="CM387" s="3046"/>
      <c r="CN387" s="3045"/>
      <c r="CO387" s="3045"/>
      <c r="CP387" s="3045"/>
      <c r="CQ387"/>
      <c r="CR387" s="3046"/>
      <c r="CS387" s="3046"/>
      <c r="CT387" s="3046"/>
      <c r="DB387" s="1226"/>
    </row>
    <row r="388" spans="1:106" s="212" customFormat="1" x14ac:dyDescent="0.2">
      <c r="A388" s="3039" t="s">
        <v>2457</v>
      </c>
      <c r="B388" s="1499"/>
      <c r="C388" s="1499"/>
      <c r="D388" s="1499"/>
      <c r="E388" s="1499"/>
      <c r="F388" s="1499"/>
      <c r="G388" s="1499"/>
      <c r="H388" s="1499"/>
      <c r="I388" s="1499"/>
      <c r="J388" s="1499"/>
      <c r="K388" s="1500"/>
      <c r="L388" s="1499"/>
      <c r="M388" s="1499"/>
      <c r="N388" s="1499"/>
      <c r="O388" s="1499"/>
      <c r="P388" s="1500"/>
      <c r="Q388" s="1499"/>
      <c r="R388" s="1499"/>
      <c r="S388" s="1499"/>
      <c r="T388" s="1499"/>
      <c r="U388" s="1500"/>
      <c r="V388" s="1499"/>
      <c r="W388" s="1499"/>
      <c r="X388" s="1499"/>
      <c r="Y388" s="1499"/>
      <c r="Z388" s="1500"/>
      <c r="AA388" s="1499"/>
      <c r="AB388" s="1499"/>
      <c r="AC388" s="1499"/>
      <c r="AD388" s="1499"/>
      <c r="AE388" s="1500"/>
      <c r="AF388" s="1499"/>
      <c r="AG388" s="1499"/>
      <c r="AH388" s="1499"/>
      <c r="AI388" s="1499"/>
      <c r="AJ388" s="1500"/>
      <c r="AK388" s="1518"/>
      <c r="AL388" s="1518"/>
      <c r="AM388" s="1518"/>
      <c r="AN388" s="1518"/>
      <c r="AO388" s="1519"/>
      <c r="AP388" s="1518"/>
      <c r="AQ388" s="1518"/>
      <c r="AR388" s="1518"/>
      <c r="AS388" s="1518"/>
      <c r="AT388" s="1519"/>
      <c r="AU388" s="1518"/>
      <c r="AV388" s="1518"/>
      <c r="AW388" s="1518"/>
      <c r="AX388" s="1518"/>
      <c r="AY388" s="1519"/>
      <c r="AZ388" s="1518"/>
      <c r="BA388" s="1518"/>
      <c r="BB388" s="1518"/>
      <c r="BC388" s="1518"/>
      <c r="BD388" s="1519"/>
      <c r="BE388" s="1518"/>
      <c r="BF388" s="1518"/>
      <c r="BG388" s="1518"/>
      <c r="BH388" s="1518"/>
      <c r="BI388" s="1519"/>
      <c r="BJ388" s="1518"/>
      <c r="BK388" s="1518"/>
      <c r="BL388" s="1518"/>
      <c r="BM388" s="1518"/>
      <c r="BN388" s="1519"/>
      <c r="BO388" s="1518"/>
      <c r="BP388" s="1518"/>
      <c r="BQ388" s="1518"/>
      <c r="BR388" s="1518"/>
      <c r="BS388" s="1519"/>
      <c r="BT388" s="1518"/>
      <c r="BU388" s="1518"/>
      <c r="BV388" s="1518"/>
      <c r="BW388" s="1518"/>
      <c r="BX388" s="1519"/>
      <c r="BY388" s="1518"/>
      <c r="BZ388" s="1518"/>
      <c r="CA388" s="1518"/>
      <c r="CB388" s="1518"/>
      <c r="CC388" s="1519"/>
      <c r="CD388" s="1518"/>
      <c r="CE388" s="3045"/>
      <c r="CF388" s="3045"/>
      <c r="CG388" s="3045"/>
      <c r="CH388" s="3046"/>
      <c r="CI388" s="3045"/>
      <c r="CJ388" s="3045"/>
      <c r="CK388" s="3045"/>
      <c r="CL388" s="3045"/>
      <c r="CM388" s="3046"/>
      <c r="CN388" s="3045"/>
      <c r="CO388" s="3045"/>
      <c r="CP388" s="3045"/>
      <c r="CQ388"/>
      <c r="CR388" s="3046"/>
      <c r="CS388" s="3046"/>
      <c r="CT388" s="3046"/>
      <c r="DB388" s="1226"/>
    </row>
    <row r="389" spans="1:106" s="212" customFormat="1" x14ac:dyDescent="0.2">
      <c r="A389" s="3039" t="s">
        <v>2458</v>
      </c>
      <c r="B389" s="1499"/>
      <c r="C389" s="1499"/>
      <c r="D389" s="1499"/>
      <c r="E389" s="1499"/>
      <c r="F389" s="1499"/>
      <c r="G389" s="1499"/>
      <c r="H389" s="1499"/>
      <c r="I389" s="1499"/>
      <c r="J389" s="1499"/>
      <c r="K389" s="1500"/>
      <c r="L389" s="1499"/>
      <c r="M389" s="1499"/>
      <c r="N389" s="1499"/>
      <c r="O389" s="1499"/>
      <c r="P389" s="1500"/>
      <c r="Q389" s="1499"/>
      <c r="R389" s="1499"/>
      <c r="S389" s="1499"/>
      <c r="T389" s="1499"/>
      <c r="U389" s="1500"/>
      <c r="V389" s="1499"/>
      <c r="W389" s="1499"/>
      <c r="X389" s="1499"/>
      <c r="Y389" s="1499"/>
      <c r="Z389" s="1500"/>
      <c r="AA389" s="1499"/>
      <c r="AB389" s="1499"/>
      <c r="AC389" s="1499"/>
      <c r="AD389" s="1499"/>
      <c r="AE389" s="1500"/>
      <c r="AF389" s="1499"/>
      <c r="AG389" s="1499"/>
      <c r="AH389" s="1499"/>
      <c r="AI389" s="1499"/>
      <c r="AJ389" s="1500"/>
      <c r="AK389" s="1518"/>
      <c r="AL389" s="1518"/>
      <c r="AM389" s="1518"/>
      <c r="AN389" s="1518"/>
      <c r="AO389" s="1519"/>
      <c r="AP389" s="1518"/>
      <c r="AQ389" s="1518"/>
      <c r="AR389" s="1518"/>
      <c r="AS389" s="1518"/>
      <c r="AT389" s="1519"/>
      <c r="AU389" s="1518"/>
      <c r="AV389" s="1518"/>
      <c r="AW389" s="1518"/>
      <c r="AX389" s="1518"/>
      <c r="AY389" s="1519"/>
      <c r="AZ389" s="1518"/>
      <c r="BA389" s="1518"/>
      <c r="BB389" s="1518"/>
      <c r="BC389" s="1518"/>
      <c r="BD389" s="1519"/>
      <c r="BE389" s="1518"/>
      <c r="BF389" s="1518"/>
      <c r="BG389" s="1518"/>
      <c r="BH389" s="1518"/>
      <c r="BI389" s="1519"/>
      <c r="BJ389" s="1518"/>
      <c r="BK389" s="1518"/>
      <c r="BL389" s="1518"/>
      <c r="BM389" s="1518"/>
      <c r="BN389" s="1519"/>
      <c r="BO389" s="1518"/>
      <c r="BP389" s="1518"/>
      <c r="BQ389" s="1518"/>
      <c r="BR389" s="1518"/>
      <c r="BS389" s="1519"/>
      <c r="BT389" s="1518"/>
      <c r="BU389" s="1518"/>
      <c r="BV389" s="1518"/>
      <c r="BW389" s="1518"/>
      <c r="BX389" s="1519"/>
      <c r="BY389" s="1518"/>
      <c r="BZ389" s="1518"/>
      <c r="CA389" s="1518"/>
      <c r="CB389" s="1518"/>
      <c r="CC389" s="1519"/>
      <c r="CD389" s="1518"/>
      <c r="CE389" s="3045"/>
      <c r="CF389" s="3045"/>
      <c r="CG389" s="3045"/>
      <c r="CH389" s="3046"/>
      <c r="CI389" s="3045"/>
      <c r="CJ389" s="3045"/>
      <c r="CK389" s="3045"/>
      <c r="CL389" s="3045"/>
      <c r="CM389" s="3046"/>
      <c r="CN389" s="3045"/>
      <c r="CO389" s="3045"/>
      <c r="CP389" s="3045"/>
      <c r="CQ389"/>
      <c r="CR389" s="3046"/>
      <c r="CS389" s="3046"/>
      <c r="CT389" s="3046"/>
      <c r="DB389" s="1226"/>
    </row>
    <row r="390" spans="1:106" s="212" customFormat="1" x14ac:dyDescent="0.2">
      <c r="A390" s="3039" t="s">
        <v>2459</v>
      </c>
      <c r="B390" s="1499"/>
      <c r="C390" s="1499"/>
      <c r="D390" s="1499"/>
      <c r="E390" s="1499"/>
      <c r="F390" s="1499"/>
      <c r="G390" s="1499"/>
      <c r="H390" s="1499"/>
      <c r="I390" s="1499"/>
      <c r="J390" s="1499"/>
      <c r="K390" s="1500"/>
      <c r="L390" s="1499"/>
      <c r="M390" s="1499"/>
      <c r="N390" s="1499"/>
      <c r="O390" s="1499"/>
      <c r="P390" s="1500"/>
      <c r="Q390" s="1499"/>
      <c r="R390" s="1499"/>
      <c r="S390" s="1499"/>
      <c r="T390" s="1499"/>
      <c r="U390" s="1500"/>
      <c r="V390" s="1499"/>
      <c r="W390" s="1499"/>
      <c r="X390" s="1499"/>
      <c r="Y390" s="1499"/>
      <c r="Z390" s="1500"/>
      <c r="AA390" s="1499"/>
      <c r="AB390" s="1499"/>
      <c r="AC390" s="1499"/>
      <c r="AD390" s="1499"/>
      <c r="AE390" s="1500"/>
      <c r="AF390" s="1499"/>
      <c r="AG390" s="1499"/>
      <c r="AH390" s="1499"/>
      <c r="AI390" s="1499"/>
      <c r="AJ390" s="1500"/>
      <c r="AK390" s="1518"/>
      <c r="AL390" s="1518"/>
      <c r="AM390" s="1518"/>
      <c r="AN390" s="1518"/>
      <c r="AO390" s="1519"/>
      <c r="AP390" s="1518"/>
      <c r="AQ390" s="1518"/>
      <c r="AR390" s="1518"/>
      <c r="AS390" s="1518"/>
      <c r="AT390" s="1519"/>
      <c r="AU390" s="1518"/>
      <c r="AV390" s="1518"/>
      <c r="AW390" s="1518"/>
      <c r="AX390" s="1518"/>
      <c r="AY390" s="1519"/>
      <c r="AZ390" s="1518"/>
      <c r="BA390" s="1518"/>
      <c r="BB390" s="1518"/>
      <c r="BC390" s="1518"/>
      <c r="BD390" s="1519"/>
      <c r="BE390" s="1518"/>
      <c r="BF390" s="1518"/>
      <c r="BG390" s="1518"/>
      <c r="BH390" s="1518"/>
      <c r="BI390" s="1519"/>
      <c r="BJ390" s="1518"/>
      <c r="BK390" s="1518"/>
      <c r="BL390" s="1518"/>
      <c r="BM390" s="1518"/>
      <c r="BN390" s="1519"/>
      <c r="BO390" s="1518"/>
      <c r="BP390" s="1518"/>
      <c r="BQ390" s="1518"/>
      <c r="BR390" s="1518"/>
      <c r="BS390" s="1519"/>
      <c r="BT390" s="1518"/>
      <c r="BU390" s="1518"/>
      <c r="BV390" s="1518"/>
      <c r="BW390" s="1518"/>
      <c r="BX390" s="1519"/>
      <c r="BY390" s="1518"/>
      <c r="BZ390" s="1518"/>
      <c r="CA390" s="1518"/>
      <c r="CB390" s="1518"/>
      <c r="CC390" s="1519"/>
      <c r="CD390" s="1518"/>
      <c r="CE390" s="3045"/>
      <c r="CF390" s="3045"/>
      <c r="CG390" s="3045"/>
      <c r="CH390" s="3046"/>
      <c r="CI390" s="3045"/>
      <c r="CJ390" s="3045"/>
      <c r="CK390" s="3045"/>
      <c r="CL390" s="3045"/>
      <c r="CM390" s="3046"/>
      <c r="CN390" s="3045"/>
      <c r="CO390" s="3045"/>
      <c r="CP390" s="3045"/>
      <c r="CQ390"/>
      <c r="CR390" s="3046"/>
      <c r="CS390" s="3046"/>
      <c r="CT390" s="3046"/>
      <c r="DB390" s="1226"/>
    </row>
    <row r="391" spans="1:106" s="212" customFormat="1" x14ac:dyDescent="0.2">
      <c r="A391" s="3039" t="s">
        <v>2460</v>
      </c>
      <c r="B391" s="1499"/>
      <c r="C391" s="1499"/>
      <c r="D391" s="1499"/>
      <c r="E391" s="1499"/>
      <c r="F391" s="1499"/>
      <c r="G391" s="1499"/>
      <c r="H391" s="1499"/>
      <c r="I391" s="1499"/>
      <c r="J391" s="1499"/>
      <c r="K391" s="1500"/>
      <c r="L391" s="1499"/>
      <c r="M391" s="1499"/>
      <c r="N391" s="1499"/>
      <c r="O391" s="1499"/>
      <c r="P391" s="1500"/>
      <c r="Q391" s="1499"/>
      <c r="R391" s="1499"/>
      <c r="S391" s="1499"/>
      <c r="T391" s="1499"/>
      <c r="U391" s="1500"/>
      <c r="V391" s="1499"/>
      <c r="W391" s="1499"/>
      <c r="X391" s="1499"/>
      <c r="Y391" s="1499"/>
      <c r="Z391" s="1500"/>
      <c r="AA391" s="1499"/>
      <c r="AB391" s="1499"/>
      <c r="AC391" s="1499"/>
      <c r="AD391" s="1499"/>
      <c r="AE391" s="1500"/>
      <c r="AF391" s="1499"/>
      <c r="AG391" s="1499"/>
      <c r="AH391" s="1499"/>
      <c r="AI391" s="1499"/>
      <c r="AJ391" s="1500"/>
      <c r="AK391" s="1518"/>
      <c r="AL391" s="1518"/>
      <c r="AM391" s="1518"/>
      <c r="AN391" s="1518"/>
      <c r="AO391" s="1519"/>
      <c r="AP391" s="1518"/>
      <c r="AQ391" s="1518"/>
      <c r="AR391" s="1518"/>
      <c r="AS391" s="1518"/>
      <c r="AT391" s="1519"/>
      <c r="AU391" s="1518"/>
      <c r="AV391" s="1518"/>
      <c r="AW391" s="1518"/>
      <c r="AX391" s="1518"/>
      <c r="AY391" s="1519"/>
      <c r="AZ391" s="1518"/>
      <c r="BA391" s="1518"/>
      <c r="BB391" s="1518"/>
      <c r="BC391" s="1518"/>
      <c r="BD391" s="1519"/>
      <c r="BE391" s="1518"/>
      <c r="BF391" s="1518"/>
      <c r="BG391" s="1518"/>
      <c r="BH391" s="1518"/>
      <c r="BI391" s="1519"/>
      <c r="BJ391" s="1518"/>
      <c r="BK391" s="1518"/>
      <c r="BL391" s="1518"/>
      <c r="BM391" s="1518"/>
      <c r="BN391" s="1519"/>
      <c r="BO391" s="1518"/>
      <c r="BP391" s="1518"/>
      <c r="BQ391" s="1518"/>
      <c r="BR391" s="1518"/>
      <c r="BS391" s="1519"/>
      <c r="BT391" s="1518"/>
      <c r="BU391" s="1518"/>
      <c r="BV391" s="1518"/>
      <c r="BW391" s="1518"/>
      <c r="BX391" s="1519"/>
      <c r="BY391" s="1518"/>
      <c r="BZ391" s="1518"/>
      <c r="CA391" s="1518"/>
      <c r="CB391" s="1518"/>
      <c r="CC391" s="1519"/>
      <c r="CD391" s="1518"/>
      <c r="CE391" s="3045"/>
      <c r="CF391" s="3045"/>
      <c r="CG391" s="3045"/>
      <c r="CH391" s="3046"/>
      <c r="CI391" s="3045"/>
      <c r="CJ391" s="3045"/>
      <c r="CK391" s="3045"/>
      <c r="CL391" s="3045"/>
      <c r="CM391" s="3046"/>
      <c r="CN391" s="3045"/>
      <c r="CO391" s="3045"/>
      <c r="CP391" s="3045"/>
      <c r="CQ391"/>
      <c r="CR391" s="3046"/>
      <c r="CS391" s="3046"/>
      <c r="CT391" s="3046"/>
      <c r="DB391" s="1226"/>
    </row>
    <row r="392" spans="1:106" s="212" customFormat="1" x14ac:dyDescent="0.2">
      <c r="A392" s="3039" t="s">
        <v>2464</v>
      </c>
      <c r="B392" s="1499"/>
      <c r="C392" s="1499"/>
      <c r="D392" s="1499"/>
      <c r="E392" s="1499"/>
      <c r="F392" s="1499"/>
      <c r="G392" s="1499"/>
      <c r="H392" s="1499"/>
      <c r="I392" s="1499"/>
      <c r="J392" s="1499"/>
      <c r="K392" s="1500"/>
      <c r="L392" s="1499"/>
      <c r="M392" s="1499"/>
      <c r="N392" s="1499"/>
      <c r="O392" s="1499"/>
      <c r="P392" s="1500"/>
      <c r="Q392" s="1499"/>
      <c r="R392" s="1499"/>
      <c r="S392" s="1499"/>
      <c r="T392" s="1499"/>
      <c r="U392" s="1500"/>
      <c r="V392" s="1499"/>
      <c r="W392" s="1499"/>
      <c r="X392" s="1499"/>
      <c r="Y392" s="1499"/>
      <c r="Z392" s="1500"/>
      <c r="AA392" s="1499"/>
      <c r="AB392" s="1499"/>
      <c r="AC392" s="1499"/>
      <c r="AD392" s="1499"/>
      <c r="AE392" s="1500"/>
      <c r="AF392" s="1499"/>
      <c r="AG392" s="1499"/>
      <c r="AH392" s="1499"/>
      <c r="AI392" s="1499"/>
      <c r="AJ392" s="1500"/>
      <c r="AK392" s="1518"/>
      <c r="AL392" s="1518"/>
      <c r="AM392" s="1518"/>
      <c r="AN392" s="1518"/>
      <c r="AO392" s="1519"/>
      <c r="AP392" s="1518"/>
      <c r="AQ392" s="1518"/>
      <c r="AR392" s="1518"/>
      <c r="AS392" s="1518"/>
      <c r="AT392" s="1519"/>
      <c r="AU392" s="1518"/>
      <c r="AV392" s="1518"/>
      <c r="AW392" s="1518"/>
      <c r="AX392" s="1518"/>
      <c r="AY392" s="1519"/>
      <c r="AZ392" s="1518"/>
      <c r="BA392" s="1518"/>
      <c r="BB392" s="1518"/>
      <c r="BC392" s="1518"/>
      <c r="BD392" s="1519"/>
      <c r="BE392" s="1518"/>
      <c r="BF392" s="1518"/>
      <c r="BG392" s="1518"/>
      <c r="BH392" s="1518"/>
      <c r="BI392" s="1519"/>
      <c r="BJ392" s="1518"/>
      <c r="BK392" s="1518"/>
      <c r="BL392" s="1518"/>
      <c r="BM392" s="1518"/>
      <c r="BN392" s="1519"/>
      <c r="BO392" s="1518"/>
      <c r="BP392" s="1518"/>
      <c r="BQ392" s="1518"/>
      <c r="BR392" s="1518"/>
      <c r="BS392" s="1519"/>
      <c r="BT392" s="1518"/>
      <c r="BU392" s="1518"/>
      <c r="BV392" s="1518"/>
      <c r="BW392" s="1518"/>
      <c r="BX392" s="1519"/>
      <c r="BY392" s="1518"/>
      <c r="BZ392" s="1518"/>
      <c r="CA392" s="1518"/>
      <c r="CB392" s="1518"/>
      <c r="CC392" s="1519"/>
      <c r="CD392" s="1518"/>
      <c r="CE392" s="3045"/>
      <c r="CF392" s="3045"/>
      <c r="CG392" s="3045"/>
      <c r="CH392" s="3046"/>
      <c r="CI392" s="3045"/>
      <c r="CJ392" s="3045"/>
      <c r="CK392" s="3045"/>
      <c r="CL392" s="3045"/>
      <c r="CM392" s="3046"/>
      <c r="CN392" s="3045"/>
      <c r="CO392" s="3045"/>
      <c r="CP392" s="3045"/>
      <c r="CQ392" s="3045"/>
      <c r="CR392" s="3046"/>
      <c r="CS392" s="3046"/>
      <c r="CT392" s="3046"/>
      <c r="DB392" s="1226"/>
    </row>
    <row r="393" spans="1:106" s="212" customFormat="1" x14ac:dyDescent="0.2">
      <c r="A393" s="3039" t="s">
        <v>2462</v>
      </c>
      <c r="B393" s="1499"/>
      <c r="C393" s="1499"/>
      <c r="D393" s="1499"/>
      <c r="E393" s="1499"/>
      <c r="F393" s="1499"/>
      <c r="G393" s="1499"/>
      <c r="H393" s="1499"/>
      <c r="I393" s="1499"/>
      <c r="J393" s="1499"/>
      <c r="K393" s="1500"/>
      <c r="L393" s="1499"/>
      <c r="M393" s="1499"/>
      <c r="N393" s="1499"/>
      <c r="O393" s="1499"/>
      <c r="P393" s="1500"/>
      <c r="Q393" s="1499"/>
      <c r="R393" s="1499"/>
      <c r="S393" s="1499"/>
      <c r="T393" s="1499"/>
      <c r="U393" s="1500"/>
      <c r="V393" s="1499"/>
      <c r="W393" s="1499"/>
      <c r="X393" s="1499"/>
      <c r="Y393" s="1499"/>
      <c r="Z393" s="1500"/>
      <c r="AA393" s="1499"/>
      <c r="AB393" s="1499"/>
      <c r="AC393" s="1499"/>
      <c r="AD393" s="1499"/>
      <c r="AE393" s="1500"/>
      <c r="AF393" s="1499"/>
      <c r="AG393" s="1499"/>
      <c r="AH393" s="1499"/>
      <c r="AI393" s="1499"/>
      <c r="AJ393" s="1500"/>
      <c r="AK393" s="1518"/>
      <c r="AL393" s="1518"/>
      <c r="AM393" s="1518"/>
      <c r="AN393" s="1518"/>
      <c r="AO393" s="1519"/>
      <c r="AP393" s="1518"/>
      <c r="AQ393" s="1518"/>
      <c r="AR393" s="1518"/>
      <c r="AS393" s="1518"/>
      <c r="AT393" s="1519"/>
      <c r="AU393" s="1518"/>
      <c r="AV393" s="1518"/>
      <c r="AW393" s="1518"/>
      <c r="AX393" s="1518"/>
      <c r="AY393" s="1519"/>
      <c r="AZ393" s="1518"/>
      <c r="BA393" s="1518"/>
      <c r="BB393" s="1518"/>
      <c r="BC393" s="1518"/>
      <c r="BD393" s="1519"/>
      <c r="BE393" s="1518"/>
      <c r="BF393" s="1518"/>
      <c r="BG393" s="1518"/>
      <c r="BH393" s="1518"/>
      <c r="BI393" s="1519"/>
      <c r="BJ393" s="1518"/>
      <c r="BK393" s="1518"/>
      <c r="BL393" s="1518"/>
      <c r="BM393" s="1518"/>
      <c r="BN393" s="1519"/>
      <c r="BO393" s="1518"/>
      <c r="BP393" s="1518"/>
      <c r="BQ393" s="1518"/>
      <c r="BR393" s="1518"/>
      <c r="BS393" s="1519"/>
      <c r="BT393" s="1518"/>
      <c r="BU393" s="1518"/>
      <c r="BV393" s="1518"/>
      <c r="BW393" s="1518"/>
      <c r="BX393" s="1519"/>
      <c r="BY393" s="1518"/>
      <c r="BZ393" s="1518"/>
      <c r="CA393" s="1518"/>
      <c r="CB393" s="1518"/>
      <c r="CC393" s="1519"/>
      <c r="CD393" s="1518"/>
      <c r="CE393" s="3045"/>
      <c r="CF393" s="3045"/>
      <c r="CG393" s="3045"/>
      <c r="CH393" s="3046"/>
      <c r="CI393" s="3045"/>
      <c r="CJ393" s="3045"/>
      <c r="CK393" s="3045"/>
      <c r="CL393" s="3045"/>
      <c r="CM393" s="3046"/>
      <c r="CN393" s="3045"/>
      <c r="CO393" s="3045"/>
      <c r="CP393" s="3045"/>
      <c r="CQ393" s="3045"/>
      <c r="CR393" s="3046"/>
      <c r="CS393" s="3046"/>
      <c r="CT393" s="3046"/>
      <c r="DB393" s="1226"/>
    </row>
    <row r="394" spans="1:106" s="212" customFormat="1" x14ac:dyDescent="0.2">
      <c r="A394" s="3039" t="s">
        <v>1931</v>
      </c>
      <c r="B394" s="1499"/>
      <c r="C394" s="1499"/>
      <c r="D394" s="1499"/>
      <c r="E394" s="1499"/>
      <c r="F394" s="1499"/>
      <c r="G394" s="1499"/>
      <c r="H394" s="1499"/>
      <c r="I394" s="1499"/>
      <c r="J394" s="1499"/>
      <c r="K394" s="1500"/>
      <c r="L394" s="1499"/>
      <c r="M394" s="1499"/>
      <c r="N394" s="1499"/>
      <c r="O394" s="1499"/>
      <c r="P394" s="1500"/>
      <c r="Q394" s="1499"/>
      <c r="R394" s="1499"/>
      <c r="S394" s="1499"/>
      <c r="T394" s="1499"/>
      <c r="U394" s="1500"/>
      <c r="V394" s="1499"/>
      <c r="W394" s="1499"/>
      <c r="X394" s="1499"/>
      <c r="Y394" s="1499"/>
      <c r="Z394" s="1500"/>
      <c r="AA394" s="1499"/>
      <c r="AB394" s="1499"/>
      <c r="AC394" s="1499"/>
      <c r="AD394" s="1499"/>
      <c r="AE394" s="1500"/>
      <c r="AF394" s="1499"/>
      <c r="AG394" s="1499"/>
      <c r="AH394" s="1499"/>
      <c r="AI394" s="1499"/>
      <c r="AJ394" s="1500"/>
      <c r="AK394" s="1518"/>
      <c r="AL394" s="1518"/>
      <c r="AM394" s="1518"/>
      <c r="AN394" s="1518"/>
      <c r="AO394" s="1519"/>
      <c r="AP394" s="1518"/>
      <c r="AQ394" s="1518"/>
      <c r="AR394" s="1518"/>
      <c r="AS394" s="1518"/>
      <c r="AT394" s="1519"/>
      <c r="AU394" s="1518"/>
      <c r="AV394" s="1518"/>
      <c r="AW394" s="1518"/>
      <c r="AX394" s="1518"/>
      <c r="AY394" s="1519"/>
      <c r="AZ394" s="1518"/>
      <c r="BA394" s="1518"/>
      <c r="BB394" s="1518"/>
      <c r="BC394" s="1518"/>
      <c r="BD394" s="1519"/>
      <c r="BE394" s="1518"/>
      <c r="BF394" s="1518"/>
      <c r="BG394" s="1518"/>
      <c r="BH394" s="1518"/>
      <c r="BI394" s="1519"/>
      <c r="BJ394" s="1518"/>
      <c r="BK394" s="1518"/>
      <c r="BL394" s="1518"/>
      <c r="BM394" s="1518"/>
      <c r="BN394" s="1519"/>
      <c r="BO394" s="1518"/>
      <c r="BP394" s="1518"/>
      <c r="BQ394" s="1518"/>
      <c r="BR394" s="1518"/>
      <c r="BS394" s="1519"/>
      <c r="BT394" s="1518"/>
      <c r="BU394" s="1518"/>
      <c r="BV394" s="1518"/>
      <c r="BW394" s="1518"/>
      <c r="BX394" s="1519"/>
      <c r="BY394" s="1518"/>
      <c r="BZ394" s="1518"/>
      <c r="CA394" s="1518"/>
      <c r="CB394" s="1518"/>
      <c r="CC394" s="1519"/>
      <c r="CD394" s="1518"/>
      <c r="CE394" s="3045"/>
      <c r="CF394" s="3045"/>
      <c r="CG394" s="3045"/>
      <c r="CH394" s="3046"/>
      <c r="CI394" s="3045"/>
      <c r="CJ394" s="3045"/>
      <c r="CK394" s="3045"/>
      <c r="CL394" s="3045"/>
      <c r="CM394" s="3046"/>
      <c r="CN394" s="3045"/>
      <c r="CO394" s="3045"/>
      <c r="CP394" s="3045"/>
      <c r="CQ394" s="3045"/>
      <c r="CR394" s="3046"/>
      <c r="CS394" s="3046"/>
      <c r="CT394" s="3046"/>
      <c r="DB394" s="1226"/>
    </row>
    <row r="395" spans="1:106" s="212" customFormat="1" x14ac:dyDescent="0.2">
      <c r="A395" s="1437" t="s">
        <v>76</v>
      </c>
      <c r="B395" s="1499"/>
      <c r="C395" s="1499"/>
      <c r="D395" s="1499"/>
      <c r="E395" s="1499"/>
      <c r="F395" s="1499"/>
      <c r="G395" s="1499"/>
      <c r="H395" s="1499"/>
      <c r="I395" s="1499"/>
      <c r="J395" s="1499"/>
      <c r="K395" s="1500"/>
      <c r="L395" s="1499"/>
      <c r="M395" s="1499"/>
      <c r="N395" s="1499"/>
      <c r="O395" s="1499"/>
      <c r="P395" s="1500"/>
      <c r="Q395" s="1499"/>
      <c r="R395" s="1499"/>
      <c r="S395" s="1499"/>
      <c r="T395" s="1499"/>
      <c r="U395" s="1500"/>
      <c r="V395" s="1499"/>
      <c r="W395" s="1499"/>
      <c r="X395" s="1499"/>
      <c r="Y395" s="1499"/>
      <c r="Z395" s="1500"/>
      <c r="AA395" s="1499"/>
      <c r="AB395" s="1499"/>
      <c r="AC395" s="1499"/>
      <c r="AD395" s="1499"/>
      <c r="AE395" s="1500"/>
      <c r="AF395" s="1499"/>
      <c r="AG395" s="1499"/>
      <c r="AH395" s="1499"/>
      <c r="AI395" s="1499"/>
      <c r="AJ395" s="1500"/>
      <c r="AK395" s="1520">
        <f t="shared" ref="AK395:BP395" si="289">+AK353/AK$353</f>
        <v>1</v>
      </c>
      <c r="AL395" s="1520">
        <f t="shared" si="289"/>
        <v>1</v>
      </c>
      <c r="AM395" s="1520">
        <f t="shared" si="289"/>
        <v>1</v>
      </c>
      <c r="AN395" s="1520">
        <f t="shared" si="289"/>
        <v>1</v>
      </c>
      <c r="AO395" s="1522">
        <f t="shared" si="289"/>
        <v>1</v>
      </c>
      <c r="AP395" s="1520">
        <f t="shared" si="289"/>
        <v>1</v>
      </c>
      <c r="AQ395" s="1520">
        <f t="shared" si="289"/>
        <v>1</v>
      </c>
      <c r="AR395" s="1520">
        <f t="shared" si="289"/>
        <v>1</v>
      </c>
      <c r="AS395" s="1520">
        <f t="shared" si="289"/>
        <v>1</v>
      </c>
      <c r="AT395" s="1522">
        <f t="shared" si="289"/>
        <v>1</v>
      </c>
      <c r="AU395" s="1520">
        <f t="shared" si="289"/>
        <v>1</v>
      </c>
      <c r="AV395" s="1520">
        <f t="shared" si="289"/>
        <v>1</v>
      </c>
      <c r="AW395" s="1520">
        <f t="shared" si="289"/>
        <v>1</v>
      </c>
      <c r="AX395" s="1520">
        <f t="shared" si="289"/>
        <v>1</v>
      </c>
      <c r="AY395" s="1522">
        <f t="shared" si="289"/>
        <v>1</v>
      </c>
      <c r="AZ395" s="1520">
        <f t="shared" si="289"/>
        <v>1</v>
      </c>
      <c r="BA395" s="1520">
        <f t="shared" si="289"/>
        <v>1</v>
      </c>
      <c r="BB395" s="1520">
        <f t="shared" si="289"/>
        <v>1</v>
      </c>
      <c r="BC395" s="1520">
        <f t="shared" si="289"/>
        <v>1</v>
      </c>
      <c r="BD395" s="1522">
        <f t="shared" si="289"/>
        <v>1</v>
      </c>
      <c r="BE395" s="1520">
        <f t="shared" si="289"/>
        <v>1</v>
      </c>
      <c r="BF395" s="1520">
        <f t="shared" si="289"/>
        <v>1</v>
      </c>
      <c r="BG395" s="1520">
        <f t="shared" si="289"/>
        <v>1</v>
      </c>
      <c r="BH395" s="1520">
        <f t="shared" si="289"/>
        <v>1</v>
      </c>
      <c r="BI395" s="1522">
        <f t="shared" si="289"/>
        <v>1</v>
      </c>
      <c r="BJ395" s="1520">
        <f t="shared" si="289"/>
        <v>1</v>
      </c>
      <c r="BK395" s="1520">
        <f t="shared" si="289"/>
        <v>1</v>
      </c>
      <c r="BL395" s="1520">
        <f t="shared" si="289"/>
        <v>1</v>
      </c>
      <c r="BM395" s="1520">
        <f t="shared" si="289"/>
        <v>1</v>
      </c>
      <c r="BN395" s="1522">
        <f t="shared" si="289"/>
        <v>1</v>
      </c>
      <c r="BO395" s="1520">
        <f t="shared" si="289"/>
        <v>1</v>
      </c>
      <c r="BP395" s="1520">
        <f t="shared" si="289"/>
        <v>1</v>
      </c>
      <c r="BQ395" s="1520">
        <f t="shared" ref="BQ395:CT395" si="290">+BQ353/BQ$353</f>
        <v>1</v>
      </c>
      <c r="BR395" s="1520">
        <f t="shared" si="290"/>
        <v>1</v>
      </c>
      <c r="BS395" s="1522">
        <f t="shared" si="290"/>
        <v>1</v>
      </c>
      <c r="BT395" s="1520">
        <f t="shared" si="290"/>
        <v>1</v>
      </c>
      <c r="BU395" s="1520">
        <f t="shared" si="290"/>
        <v>1</v>
      </c>
      <c r="BV395" s="1520">
        <f t="shared" si="290"/>
        <v>1</v>
      </c>
      <c r="BW395" s="1520">
        <f t="shared" si="290"/>
        <v>1</v>
      </c>
      <c r="BX395" s="1522">
        <f t="shared" si="290"/>
        <v>1</v>
      </c>
      <c r="BY395" s="1520">
        <f t="shared" si="290"/>
        <v>1</v>
      </c>
      <c r="BZ395" s="1520">
        <f t="shared" si="290"/>
        <v>1</v>
      </c>
      <c r="CA395" s="1520">
        <f t="shared" si="290"/>
        <v>1</v>
      </c>
      <c r="CB395" s="1520">
        <f t="shared" si="290"/>
        <v>1</v>
      </c>
      <c r="CC395" s="1522">
        <f t="shared" si="290"/>
        <v>1</v>
      </c>
      <c r="CD395" s="1520">
        <f t="shared" si="290"/>
        <v>1</v>
      </c>
      <c r="CE395" s="1520">
        <f t="shared" si="290"/>
        <v>1</v>
      </c>
      <c r="CF395" s="1520">
        <f t="shared" si="290"/>
        <v>1</v>
      </c>
      <c r="CG395" s="1520">
        <f t="shared" si="290"/>
        <v>1</v>
      </c>
      <c r="CH395" s="1522">
        <f t="shared" si="290"/>
        <v>1</v>
      </c>
      <c r="CI395" s="1520">
        <f t="shared" si="290"/>
        <v>1</v>
      </c>
      <c r="CJ395" s="1520">
        <f t="shared" si="290"/>
        <v>1</v>
      </c>
      <c r="CK395" s="1520">
        <f t="shared" si="290"/>
        <v>1</v>
      </c>
      <c r="CL395" s="1520">
        <f t="shared" si="290"/>
        <v>1</v>
      </c>
      <c r="CM395" s="1522">
        <f t="shared" si="290"/>
        <v>1</v>
      </c>
      <c r="CN395" s="1520">
        <f>+CN353/CN$353</f>
        <v>1</v>
      </c>
      <c r="CO395" s="1520">
        <f>+CO353/CO$353</f>
        <v>1</v>
      </c>
      <c r="CP395" s="1520">
        <f>+CP353/CP$353</f>
        <v>1</v>
      </c>
      <c r="CQ395" s="1520">
        <f>+CQ353/CQ$353</f>
        <v>1</v>
      </c>
      <c r="CR395" s="1522">
        <f>+CR353/CR$353</f>
        <v>1</v>
      </c>
      <c r="CS395" s="1522">
        <f t="shared" si="290"/>
        <v>1</v>
      </c>
      <c r="CT395" s="1522">
        <f t="shared" si="290"/>
        <v>1</v>
      </c>
      <c r="DB395" s="1226"/>
    </row>
    <row r="396" spans="1:106" s="212" customFormat="1" x14ac:dyDescent="0.2">
      <c r="A396" s="1437"/>
      <c r="B396" s="1499"/>
      <c r="C396" s="1499"/>
      <c r="D396" s="1499"/>
      <c r="E396" s="1499"/>
      <c r="F396" s="1499"/>
      <c r="G396" s="1499"/>
      <c r="H396" s="1499"/>
      <c r="I396" s="1499"/>
      <c r="J396" s="1499"/>
      <c r="K396" s="1500"/>
      <c r="L396" s="1499"/>
      <c r="M396" s="1499"/>
      <c r="N396" s="1499"/>
      <c r="O396" s="1499"/>
      <c r="P396" s="1500"/>
      <c r="Q396" s="1499"/>
      <c r="R396" s="1499"/>
      <c r="S396" s="1499"/>
      <c r="T396" s="1499"/>
      <c r="U396" s="1500"/>
      <c r="V396" s="1499"/>
      <c r="W396" s="1499"/>
      <c r="X396" s="1499"/>
      <c r="Y396" s="1499"/>
      <c r="Z396" s="1500"/>
      <c r="AA396" s="1499"/>
      <c r="AB396" s="1499"/>
      <c r="AC396" s="1499"/>
      <c r="AD396" s="1499"/>
      <c r="AE396" s="1500"/>
      <c r="AF396" s="1499"/>
      <c r="AG396" s="1499"/>
      <c r="AH396" s="1499"/>
      <c r="AI396" s="1499"/>
      <c r="AJ396" s="1500"/>
      <c r="AK396" s="1520"/>
      <c r="AL396" s="1520"/>
      <c r="AM396" s="1520"/>
      <c r="AN396" s="1520"/>
      <c r="AO396" s="1522"/>
      <c r="AP396" s="1520"/>
      <c r="AQ396" s="1520"/>
      <c r="AR396" s="1520"/>
      <c r="AS396" s="1520"/>
      <c r="AT396" s="1522"/>
      <c r="AU396" s="1520"/>
      <c r="AV396" s="1520"/>
      <c r="AW396" s="1520"/>
      <c r="AX396" s="1520"/>
      <c r="AY396" s="1522"/>
      <c r="AZ396" s="1520"/>
      <c r="BA396" s="1520"/>
      <c r="BB396" s="1520"/>
      <c r="BC396" s="1520"/>
      <c r="BD396" s="1522"/>
      <c r="BE396" s="1520"/>
      <c r="BF396" s="1520"/>
      <c r="BG396" s="1520"/>
      <c r="BH396" s="1520"/>
      <c r="BI396" s="1522"/>
      <c r="BJ396" s="1520"/>
      <c r="BK396" s="1520"/>
      <c r="BL396" s="1520"/>
      <c r="BM396" s="1520"/>
      <c r="BN396" s="1522"/>
      <c r="BO396" s="1520"/>
      <c r="BP396" s="1520"/>
      <c r="BQ396" s="1520"/>
      <c r="BR396" s="1520"/>
      <c r="BS396" s="1522"/>
      <c r="BT396" s="1520"/>
      <c r="BU396" s="1520"/>
      <c r="BV396" s="1520"/>
      <c r="BW396" s="1520"/>
      <c r="BX396" s="1522"/>
      <c r="BY396" s="1520"/>
      <c r="BZ396" s="1520"/>
      <c r="CA396" s="1520"/>
      <c r="CB396" s="1520"/>
      <c r="CC396" s="1522"/>
      <c r="CD396" s="1520"/>
      <c r="CE396" s="1520"/>
      <c r="CF396" s="1520"/>
      <c r="CG396" s="1520"/>
      <c r="CH396" s="1522"/>
      <c r="CI396" s="1520"/>
      <c r="CJ396" s="1520"/>
      <c r="CK396" s="1520"/>
      <c r="CL396" s="1520"/>
      <c r="CM396" s="1522"/>
      <c r="CN396" s="1520"/>
      <c r="CO396" s="1520"/>
      <c r="CP396" s="1520"/>
      <c r="CQ396" s="1520"/>
      <c r="CR396" s="1522"/>
      <c r="CS396" s="1581"/>
      <c r="CT396" s="1581"/>
      <c r="DB396" s="1226"/>
    </row>
    <row r="397" spans="1:106" s="212" customFormat="1" x14ac:dyDescent="0.2">
      <c r="A397" s="508" t="s">
        <v>2058</v>
      </c>
      <c r="B397" s="1582"/>
      <c r="C397" s="1582"/>
      <c r="D397" s="1582"/>
      <c r="E397" s="1582"/>
      <c r="F397" s="1528"/>
      <c r="G397" s="1582"/>
      <c r="H397" s="1582"/>
      <c r="I397" s="1582"/>
      <c r="J397" s="1582"/>
      <c r="K397" s="1528"/>
      <c r="L397" s="1582"/>
      <c r="M397" s="1582"/>
      <c r="N397" s="1582"/>
      <c r="O397" s="1582"/>
      <c r="P397" s="1528"/>
      <c r="Q397" s="1582"/>
      <c r="R397" s="1582"/>
      <c r="S397" s="1582"/>
      <c r="T397" s="1582"/>
      <c r="U397" s="1528"/>
      <c r="V397" s="1582"/>
      <c r="W397" s="1582"/>
      <c r="X397" s="1582"/>
      <c r="Y397" s="1582"/>
      <c r="Z397" s="1528"/>
      <c r="AA397" s="1582"/>
      <c r="AB397" s="1582"/>
      <c r="AC397" s="1582"/>
      <c r="AD397" s="1582"/>
      <c r="AE397" s="1528"/>
      <c r="AF397" s="1582"/>
      <c r="AG397" s="1582"/>
      <c r="AH397" s="1582"/>
      <c r="AI397" s="1582"/>
      <c r="AJ397" s="1528"/>
      <c r="AK397" s="1582"/>
      <c r="AL397" s="1582"/>
      <c r="AM397" s="1582"/>
      <c r="AN397" s="1582"/>
      <c r="AO397" s="1528"/>
      <c r="AP397" s="1582"/>
      <c r="AQ397" s="1582"/>
      <c r="AR397" s="1582"/>
      <c r="AS397" s="1582"/>
      <c r="AT397" s="1528"/>
      <c r="AU397" s="1582"/>
      <c r="AV397" s="1582"/>
      <c r="AW397" s="1582"/>
      <c r="AX397" s="1582"/>
      <c r="AY397" s="1528"/>
      <c r="AZ397" s="1582"/>
      <c r="BA397" s="1582"/>
      <c r="BB397" s="1582"/>
      <c r="BC397" s="1582"/>
      <c r="BD397" s="1528"/>
      <c r="BE397" s="1582"/>
      <c r="BF397" s="1582"/>
      <c r="BG397" s="1582"/>
      <c r="BH397" s="874"/>
      <c r="BI397" s="1528"/>
      <c r="BJ397" s="874"/>
      <c r="BK397" s="874"/>
      <c r="BL397" s="874"/>
      <c r="BM397" s="874"/>
      <c r="BN397" s="1042"/>
      <c r="BO397" s="874"/>
      <c r="BP397" s="874"/>
      <c r="BQ397" s="874"/>
      <c r="BR397" s="874"/>
      <c r="BS397" s="1042"/>
      <c r="BT397" s="874"/>
      <c r="BU397" s="874"/>
      <c r="BV397" s="874"/>
      <c r="BW397" s="874"/>
      <c r="BX397" s="1042"/>
      <c r="BY397" s="874"/>
      <c r="BZ397" s="874"/>
      <c r="CA397" s="874"/>
      <c r="CB397" s="874"/>
      <c r="CC397" s="1042"/>
      <c r="CD397" s="874"/>
      <c r="CE397" s="874"/>
      <c r="CF397" s="874"/>
      <c r="CG397" s="874"/>
      <c r="CH397" s="1042"/>
      <c r="CI397" s="874"/>
      <c r="CJ397" s="874"/>
      <c r="CK397" s="874"/>
      <c r="CL397" s="874"/>
      <c r="CM397" s="1042"/>
      <c r="CN397" s="874"/>
      <c r="CO397" s="874"/>
      <c r="CP397" s="874"/>
      <c r="CQ397" s="874"/>
      <c r="CR397" s="1042"/>
      <c r="CS397" s="1603"/>
      <c r="CT397" s="1603"/>
      <c r="DB397" s="1226"/>
    </row>
    <row r="398" spans="1:106" s="212" customFormat="1" x14ac:dyDescent="0.2">
      <c r="A398" s="1434" t="s">
        <v>1644</v>
      </c>
      <c r="B398" s="1582"/>
      <c r="C398" s="1582"/>
      <c r="D398" s="1582"/>
      <c r="E398" s="1582"/>
      <c r="F398" s="1528"/>
      <c r="G398" s="1582"/>
      <c r="H398" s="1582"/>
      <c r="I398" s="1582"/>
      <c r="J398" s="1582"/>
      <c r="K398" s="1528"/>
      <c r="L398" s="1582"/>
      <c r="M398" s="1582"/>
      <c r="N398" s="1582"/>
      <c r="O398" s="1582"/>
      <c r="P398" s="1528"/>
      <c r="Q398" s="1582"/>
      <c r="R398" s="1582"/>
      <c r="S398" s="1582"/>
      <c r="T398" s="1582"/>
      <c r="U398" s="1528"/>
      <c r="V398" s="1582"/>
      <c r="W398" s="1582"/>
      <c r="X398" s="1582"/>
      <c r="Y398" s="1582"/>
      <c r="Z398" s="1528"/>
      <c r="AA398" s="1582"/>
      <c r="AB398" s="1582"/>
      <c r="AC398" s="1582"/>
      <c r="AD398" s="1582"/>
      <c r="AE398" s="1528"/>
      <c r="AF398" s="1582"/>
      <c r="AG398" s="1582"/>
      <c r="AH398" s="1582"/>
      <c r="AI398" s="1582"/>
      <c r="AJ398" s="1528"/>
      <c r="AK398" s="871"/>
      <c r="AL398" s="871"/>
      <c r="AM398" s="871"/>
      <c r="AN398" s="871"/>
      <c r="AO398" s="920"/>
      <c r="AP398" s="871">
        <f t="shared" ref="AP398:BU398" si="291">AP361/AP$365</f>
        <v>0.1790110772185583</v>
      </c>
      <c r="AQ398" s="871">
        <f t="shared" si="291"/>
        <v>0.16056007317636761</v>
      </c>
      <c r="AR398" s="871">
        <f t="shared" si="291"/>
        <v>0.14533205750915712</v>
      </c>
      <c r="AS398" s="871">
        <f t="shared" si="291"/>
        <v>0.15277307382289126</v>
      </c>
      <c r="AT398" s="920">
        <f t="shared" si="291"/>
        <v>0.15868416773193741</v>
      </c>
      <c r="AU398" s="871">
        <f t="shared" si="291"/>
        <v>0.20743828764827646</v>
      </c>
      <c r="AV398" s="871">
        <f t="shared" si="291"/>
        <v>0.18564934819490508</v>
      </c>
      <c r="AW398" s="871">
        <f t="shared" si="291"/>
        <v>0.15627111945919528</v>
      </c>
      <c r="AX398" s="871">
        <f t="shared" si="291"/>
        <v>0.14424397748817372</v>
      </c>
      <c r="AY398" s="920">
        <f t="shared" si="291"/>
        <v>0.16948162987043744</v>
      </c>
      <c r="AZ398" s="871">
        <f t="shared" si="291"/>
        <v>0.21242667066446441</v>
      </c>
      <c r="BA398" s="871">
        <f t="shared" si="291"/>
        <v>0.18837751221989882</v>
      </c>
      <c r="BB398" s="871">
        <f t="shared" si="291"/>
        <v>0.1627037061407493</v>
      </c>
      <c r="BC398" s="871">
        <f t="shared" si="291"/>
        <v>0.14786859494740853</v>
      </c>
      <c r="BD398" s="920">
        <f t="shared" si="291"/>
        <v>0.17381330002791842</v>
      </c>
      <c r="BE398" s="871">
        <f t="shared" si="291"/>
        <v>0.20621118186592619</v>
      </c>
      <c r="BF398" s="871">
        <f t="shared" si="291"/>
        <v>0.1766980239727127</v>
      </c>
      <c r="BG398" s="871">
        <f t="shared" si="291"/>
        <v>0.14747436330736396</v>
      </c>
      <c r="BH398" s="871">
        <f t="shared" si="291"/>
        <v>0.14277114151933779</v>
      </c>
      <c r="BI398" s="920">
        <f t="shared" si="291"/>
        <v>0.16446819610072727</v>
      </c>
      <c r="BJ398" s="871">
        <f t="shared" si="291"/>
        <v>0.20598393312488406</v>
      </c>
      <c r="BK398" s="871">
        <f t="shared" si="291"/>
        <v>0.17999100481308467</v>
      </c>
      <c r="BL398" s="871">
        <f t="shared" si="291"/>
        <v>0.16111921818235775</v>
      </c>
      <c r="BM398" s="871">
        <f t="shared" si="291"/>
        <v>0.15345760947776807</v>
      </c>
      <c r="BN398" s="920">
        <f t="shared" si="291"/>
        <v>0.17230830576295292</v>
      </c>
      <c r="BO398" s="871">
        <f t="shared" si="291"/>
        <v>0.21451351694126383</v>
      </c>
      <c r="BP398" s="871">
        <f t="shared" si="291"/>
        <v>0.17342136625500368</v>
      </c>
      <c r="BQ398" s="871">
        <f t="shared" si="291"/>
        <v>0.16446617367979438</v>
      </c>
      <c r="BR398" s="871">
        <f t="shared" si="291"/>
        <v>0.16731089336320937</v>
      </c>
      <c r="BS398" s="920">
        <f t="shared" si="291"/>
        <v>0.17901314295204399</v>
      </c>
      <c r="BT398" s="871">
        <f t="shared" si="291"/>
        <v>0.22084548995923367</v>
      </c>
      <c r="BU398" s="871">
        <f t="shared" si="291"/>
        <v>0.16557492866829551</v>
      </c>
      <c r="BV398" s="871">
        <f t="shared" ref="BV398:CT398" si="292">BV361/BV$365</f>
        <v>0.14738853088891282</v>
      </c>
      <c r="BW398" s="871">
        <f t="shared" si="292"/>
        <v>0.16171626063733069</v>
      </c>
      <c r="BX398" s="920">
        <f t="shared" si="292"/>
        <v>0.17237378288708499</v>
      </c>
      <c r="BY398" s="871">
        <f t="shared" si="292"/>
        <v>0.2332127925739933</v>
      </c>
      <c r="BZ398" s="871">
        <f t="shared" si="292"/>
        <v>0.18338978194817257</v>
      </c>
      <c r="CA398" s="871">
        <f t="shared" si="292"/>
        <v>0.15603651382206157</v>
      </c>
      <c r="CB398" s="871">
        <f t="shared" si="292"/>
        <v>0.17655614512970974</v>
      </c>
      <c r="CC398" s="920">
        <f t="shared" si="292"/>
        <v>0.18676937005366342</v>
      </c>
      <c r="CD398" s="871">
        <f t="shared" si="292"/>
        <v>0.24163121583345015</v>
      </c>
      <c r="CE398" s="871">
        <f t="shared" si="292"/>
        <v>0.195264641085927</v>
      </c>
      <c r="CF398" s="871">
        <f t="shared" si="292"/>
        <v>0.17990367360211232</v>
      </c>
      <c r="CG398" s="871">
        <f>CG361/CG$365</f>
        <v>0.13081272179074746</v>
      </c>
      <c r="CH398" s="920">
        <f t="shared" si="292"/>
        <v>0.17281191949639027</v>
      </c>
      <c r="CI398" s="871">
        <f t="shared" ca="1" si="292"/>
        <v>0.16977534830159921</v>
      </c>
      <c r="CJ398" s="871">
        <f t="shared" ca="1" si="292"/>
        <v>0.14158613523575186</v>
      </c>
      <c r="CK398" s="871">
        <f t="shared" ca="1" si="292"/>
        <v>0.11193380677176312</v>
      </c>
      <c r="CL398" s="871">
        <f t="shared" ca="1" si="292"/>
        <v>0.12477866907360279</v>
      </c>
      <c r="CM398" s="920">
        <f t="shared" ca="1" si="292"/>
        <v>0.13473754503481314</v>
      </c>
      <c r="CN398" s="871">
        <f t="shared" ref="CN398:CR401" ca="1" si="293">CN361/CN$365</f>
        <v>0.16778448625749884</v>
      </c>
      <c r="CO398" s="871">
        <f t="shared" ca="1" si="293"/>
        <v>0.13930245360193405</v>
      </c>
      <c r="CP398" s="871">
        <f t="shared" ca="1" si="293"/>
        <v>0.11025154020678024</v>
      </c>
      <c r="CQ398" s="871">
        <f t="shared" ca="1" si="293"/>
        <v>0.12254673012257795</v>
      </c>
      <c r="CR398" s="920">
        <f t="shared" ca="1" si="293"/>
        <v>0.13269091456764456</v>
      </c>
      <c r="CS398" s="1583">
        <f t="shared" ca="1" si="292"/>
        <v>0.13154052772986244</v>
      </c>
      <c r="CT398" s="1583">
        <f t="shared" ca="1" si="292"/>
        <v>0.13093345176378587</v>
      </c>
      <c r="DB398" s="1226"/>
    </row>
    <row r="399" spans="1:106" x14ac:dyDescent="0.2">
      <c r="A399" s="1434" t="s">
        <v>1930</v>
      </c>
      <c r="B399" s="1582"/>
      <c r="C399" s="1582"/>
      <c r="D399" s="1582"/>
      <c r="E399" s="1582"/>
      <c r="F399" s="1528"/>
      <c r="G399" s="1582"/>
      <c r="H399" s="1582"/>
      <c r="I399" s="1582"/>
      <c r="J399" s="1582"/>
      <c r="K399" s="1528"/>
      <c r="L399" s="1582"/>
      <c r="M399" s="1582"/>
      <c r="N399" s="1582"/>
      <c r="O399" s="1582"/>
      <c r="P399" s="1528"/>
      <c r="Q399" s="1582"/>
      <c r="R399" s="1582"/>
      <c r="S399" s="1582"/>
      <c r="T399" s="1582"/>
      <c r="U399" s="1528"/>
      <c r="V399" s="1582"/>
      <c r="W399" s="1582"/>
      <c r="X399" s="1582"/>
      <c r="Y399" s="1582"/>
      <c r="Z399" s="1528"/>
      <c r="AA399" s="1582"/>
      <c r="AB399" s="1582"/>
      <c r="AC399" s="1582"/>
      <c r="AD399" s="1582"/>
      <c r="AE399" s="1528"/>
      <c r="AF399" s="1582"/>
      <c r="AG399" s="1582"/>
      <c r="AH399" s="1582"/>
      <c r="AI399" s="1582"/>
      <c r="AJ399" s="1528"/>
      <c r="AK399" s="871"/>
      <c r="AL399" s="871"/>
      <c r="AM399" s="871"/>
      <c r="AN399" s="871"/>
      <c r="AO399" s="920"/>
      <c r="AP399" s="871">
        <f t="shared" ref="AP399:BU399" si="294">AP362/AP$365</f>
        <v>0.38266621662861805</v>
      </c>
      <c r="AQ399" s="871">
        <f t="shared" si="294"/>
        <v>0.42372279660251033</v>
      </c>
      <c r="AR399" s="871">
        <f t="shared" si="294"/>
        <v>0.45816569438959148</v>
      </c>
      <c r="AS399" s="871">
        <f t="shared" si="294"/>
        <v>0.41832100302521968</v>
      </c>
      <c r="AT399" s="920">
        <f t="shared" si="294"/>
        <v>0.42123437285559912</v>
      </c>
      <c r="AU399" s="871">
        <f t="shared" si="294"/>
        <v>0.33645397564940083</v>
      </c>
      <c r="AV399" s="871">
        <f t="shared" si="294"/>
        <v>0.3870146689804661</v>
      </c>
      <c r="AW399" s="871">
        <f t="shared" si="294"/>
        <v>0.42465951136592578</v>
      </c>
      <c r="AX399" s="871">
        <f t="shared" si="294"/>
        <v>0.39954218560482863</v>
      </c>
      <c r="AY399" s="920">
        <f t="shared" si="294"/>
        <v>0.38898821543367917</v>
      </c>
      <c r="AZ399" s="871">
        <f t="shared" si="294"/>
        <v>0.36249015814602004</v>
      </c>
      <c r="BA399" s="871">
        <f t="shared" si="294"/>
        <v>0.39263687338890868</v>
      </c>
      <c r="BB399" s="871">
        <f t="shared" si="294"/>
        <v>0.42555222689807587</v>
      </c>
      <c r="BC399" s="871">
        <f t="shared" si="294"/>
        <v>0.41914688487920632</v>
      </c>
      <c r="BD399" s="920">
        <f t="shared" si="294"/>
        <v>0.40289526437718037</v>
      </c>
      <c r="BE399" s="871">
        <f t="shared" si="294"/>
        <v>0.35756466372246332</v>
      </c>
      <c r="BF399" s="871">
        <f t="shared" si="294"/>
        <v>0.41228065678956455</v>
      </c>
      <c r="BG399" s="871">
        <f t="shared" si="294"/>
        <v>0.44588656727620363</v>
      </c>
      <c r="BH399" s="871">
        <f t="shared" si="294"/>
        <v>0.40489457613924651</v>
      </c>
      <c r="BI399" s="920">
        <f t="shared" si="294"/>
        <v>0.40686276230650364</v>
      </c>
      <c r="BJ399" s="871">
        <f t="shared" si="294"/>
        <v>0.35118566288429021</v>
      </c>
      <c r="BK399" s="871">
        <f t="shared" si="294"/>
        <v>0.40060738668455914</v>
      </c>
      <c r="BL399" s="871">
        <f t="shared" si="294"/>
        <v>0.43183883419778085</v>
      </c>
      <c r="BM399" s="871">
        <f t="shared" si="294"/>
        <v>0.40568063776385882</v>
      </c>
      <c r="BN399" s="920">
        <f t="shared" si="294"/>
        <v>0.39932562093719459</v>
      </c>
      <c r="BO399" s="871">
        <f t="shared" si="294"/>
        <v>0.33473481021526613</v>
      </c>
      <c r="BP399" s="871">
        <f t="shared" si="294"/>
        <v>0.41602399508350402</v>
      </c>
      <c r="BQ399" s="871">
        <f t="shared" si="294"/>
        <v>0.42479474062614736</v>
      </c>
      <c r="BR399" s="871">
        <f t="shared" si="294"/>
        <v>0.39911078574992398</v>
      </c>
      <c r="BS399" s="920">
        <f t="shared" si="294"/>
        <v>0.3949828477704283</v>
      </c>
      <c r="BT399" s="871">
        <f t="shared" si="294"/>
        <v>0.31242724215847451</v>
      </c>
      <c r="BU399" s="871">
        <f t="shared" si="294"/>
        <v>0.40331333807241154</v>
      </c>
      <c r="BV399" s="871">
        <f t="shared" ref="BV399:CT399" si="295">BV362/BV$365</f>
        <v>0.41556552225342192</v>
      </c>
      <c r="BW399" s="871">
        <f t="shared" si="295"/>
        <v>0.36393130244084781</v>
      </c>
      <c r="BX399" s="920">
        <f t="shared" si="295"/>
        <v>0.37557600497394811</v>
      </c>
      <c r="BY399" s="871">
        <f t="shared" si="295"/>
        <v>0.30878930789018394</v>
      </c>
      <c r="BZ399" s="871">
        <f t="shared" si="295"/>
        <v>0.38854687181508057</v>
      </c>
      <c r="CA399" s="871">
        <f t="shared" si="295"/>
        <v>0.42362165091085774</v>
      </c>
      <c r="CB399" s="871">
        <f t="shared" si="295"/>
        <v>0.36968798852954959</v>
      </c>
      <c r="CC399" s="920">
        <f t="shared" si="295"/>
        <v>0.37324574186272308</v>
      </c>
      <c r="CD399" s="871">
        <f t="shared" si="295"/>
        <v>0.28209363394260922</v>
      </c>
      <c r="CE399" s="871">
        <f t="shared" si="295"/>
        <v>0.36613540494307001</v>
      </c>
      <c r="CF399" s="871">
        <f t="shared" si="295"/>
        <v>0.36855869475672676</v>
      </c>
      <c r="CG399" s="871">
        <f t="shared" si="295"/>
        <v>0.29625366605190123</v>
      </c>
      <c r="CH399" s="920">
        <f t="shared" si="295"/>
        <v>0.32105165723276752</v>
      </c>
      <c r="CI399" s="871">
        <f t="shared" ca="1" si="295"/>
        <v>0.25310709609795601</v>
      </c>
      <c r="CJ399" s="871">
        <f t="shared" ca="1" si="295"/>
        <v>0.33953883223788189</v>
      </c>
      <c r="CK399" s="871">
        <f t="shared" ca="1" si="295"/>
        <v>0.38329186644437757</v>
      </c>
      <c r="CL399" s="871">
        <f t="shared" ca="1" si="295"/>
        <v>0.3072085072334837</v>
      </c>
      <c r="CM399" s="920">
        <f t="shared" ca="1" si="295"/>
        <v>0.32523399876641135</v>
      </c>
      <c r="CN399" s="871">
        <f t="shared" ca="1" si="293"/>
        <v>0.25256758297527426</v>
      </c>
      <c r="CO399" s="871">
        <f t="shared" ca="1" si="293"/>
        <v>0.33730564069380942</v>
      </c>
      <c r="CP399" s="871">
        <f t="shared" ca="1" si="293"/>
        <v>0.38493390219879509</v>
      </c>
      <c r="CQ399" s="871">
        <f t="shared" ca="1" si="293"/>
        <v>0.30762936155140846</v>
      </c>
      <c r="CR399" s="920">
        <f t="shared" ca="1" si="293"/>
        <v>0.32523876878223718</v>
      </c>
      <c r="CS399" s="1583">
        <f t="shared" ca="1" si="295"/>
        <v>0.32208450025232549</v>
      </c>
      <c r="CT399" s="1583">
        <f t="shared" ca="1" si="295"/>
        <v>0.32059804005238995</v>
      </c>
      <c r="DA399" s="212"/>
      <c r="DB399" s="1226"/>
    </row>
    <row r="400" spans="1:106" x14ac:dyDescent="0.2">
      <c r="A400" s="1434" t="s">
        <v>1645</v>
      </c>
      <c r="B400" s="1582"/>
      <c r="C400" s="1582"/>
      <c r="D400" s="1582"/>
      <c r="E400" s="1582"/>
      <c r="F400" s="1528"/>
      <c r="G400" s="1582"/>
      <c r="H400" s="1582"/>
      <c r="I400" s="1582"/>
      <c r="J400" s="1582"/>
      <c r="K400" s="1528"/>
      <c r="L400" s="1582"/>
      <c r="M400" s="1582"/>
      <c r="N400" s="1582"/>
      <c r="O400" s="1582"/>
      <c r="P400" s="1528"/>
      <c r="Q400" s="1582"/>
      <c r="R400" s="1582"/>
      <c r="S400" s="1582"/>
      <c r="T400" s="1582"/>
      <c r="U400" s="1528"/>
      <c r="V400" s="1582"/>
      <c r="W400" s="1582"/>
      <c r="X400" s="1582"/>
      <c r="Y400" s="1582"/>
      <c r="Z400" s="1528"/>
      <c r="AA400" s="1582"/>
      <c r="AB400" s="1582"/>
      <c r="AC400" s="1582"/>
      <c r="AD400" s="1582"/>
      <c r="AE400" s="1528"/>
      <c r="AF400" s="1582"/>
      <c r="AG400" s="1582"/>
      <c r="AH400" s="1582"/>
      <c r="AI400" s="1582"/>
      <c r="AJ400" s="1528"/>
      <c r="AK400" s="871"/>
      <c r="AL400" s="871"/>
      <c r="AM400" s="871"/>
      <c r="AN400" s="871"/>
      <c r="AO400" s="920"/>
      <c r="AP400" s="871">
        <f t="shared" ref="AP400:BU400" si="296">AP363/AP$365</f>
        <v>0.11598344586607516</v>
      </c>
      <c r="AQ400" s="871">
        <f t="shared" si="296"/>
        <v>0.1117084616678309</v>
      </c>
      <c r="AR400" s="871">
        <f t="shared" si="296"/>
        <v>8.4839309397124293E-2</v>
      </c>
      <c r="AS400" s="871">
        <f t="shared" si="296"/>
        <v>0.1056833049923942</v>
      </c>
      <c r="AT400" s="920">
        <f t="shared" si="296"/>
        <v>0.10453671702219959</v>
      </c>
      <c r="AU400" s="871">
        <f t="shared" si="296"/>
        <v>0.11360549422154831</v>
      </c>
      <c r="AV400" s="871">
        <f t="shared" si="296"/>
        <v>0.10812468550664489</v>
      </c>
      <c r="AW400" s="871">
        <f t="shared" si="296"/>
        <v>7.9614183113381393E-2</v>
      </c>
      <c r="AX400" s="871">
        <f t="shared" si="296"/>
        <v>9.2282093670025669E-2</v>
      </c>
      <c r="AY400" s="920">
        <f t="shared" si="296"/>
        <v>9.7465873847598528E-2</v>
      </c>
      <c r="AZ400" s="871">
        <f t="shared" si="296"/>
        <v>9.5335093502728147E-2</v>
      </c>
      <c r="BA400" s="871">
        <f t="shared" si="296"/>
        <v>8.9058983559369115E-2</v>
      </c>
      <c r="BB400" s="871">
        <f t="shared" si="296"/>
        <v>6.2814652204776542E-2</v>
      </c>
      <c r="BC400" s="871">
        <f t="shared" si="296"/>
        <v>7.1725798586468145E-2</v>
      </c>
      <c r="BD400" s="920">
        <f t="shared" si="296"/>
        <v>7.8564376725375348E-2</v>
      </c>
      <c r="BE400" s="871">
        <f t="shared" si="296"/>
        <v>7.6103596163641637E-2</v>
      </c>
      <c r="BF400" s="871">
        <f t="shared" si="296"/>
        <v>6.1058008009480455E-2</v>
      </c>
      <c r="BG400" s="871">
        <f t="shared" si="296"/>
        <v>5.135920928584771E-2</v>
      </c>
      <c r="BH400" s="871">
        <f t="shared" si="296"/>
        <v>6.601588489063917E-2</v>
      </c>
      <c r="BI400" s="920">
        <f t="shared" si="296"/>
        <v>6.3409447555627454E-2</v>
      </c>
      <c r="BJ400" s="871">
        <f t="shared" si="296"/>
        <v>7.4778611252227373E-2</v>
      </c>
      <c r="BK400" s="871">
        <f t="shared" si="296"/>
        <v>6.8647911838910072E-2</v>
      </c>
      <c r="BL400" s="871">
        <f t="shared" si="296"/>
        <v>5.8645277667784532E-2</v>
      </c>
      <c r="BM400" s="871">
        <f t="shared" si="296"/>
        <v>6.9147442818064925E-2</v>
      </c>
      <c r="BN400" s="920">
        <f t="shared" si="296"/>
        <v>6.7774540995367921E-2</v>
      </c>
      <c r="BO400" s="871">
        <f t="shared" si="296"/>
        <v>7.4785194315633005E-2</v>
      </c>
      <c r="BP400" s="871">
        <f t="shared" si="296"/>
        <v>6.5892896445963536E-2</v>
      </c>
      <c r="BQ400" s="871">
        <f t="shared" si="296"/>
        <v>5.205211241778656E-2</v>
      </c>
      <c r="BR400" s="871">
        <f t="shared" si="296"/>
        <v>6.3702580078350945E-2</v>
      </c>
      <c r="BS400" s="920">
        <f t="shared" si="296"/>
        <v>6.3890434840699908E-2</v>
      </c>
      <c r="BT400" s="871">
        <f t="shared" si="296"/>
        <v>8.3101835944922223E-2</v>
      </c>
      <c r="BU400" s="871">
        <f t="shared" si="296"/>
        <v>7.6189089278968711E-2</v>
      </c>
      <c r="BV400" s="871">
        <f t="shared" ref="BV400:CT400" si="297">BV363/BV$365</f>
        <v>6.0207950763377642E-2</v>
      </c>
      <c r="BW400" s="871">
        <f t="shared" si="297"/>
        <v>8.4127056636682573E-2</v>
      </c>
      <c r="BX400" s="920">
        <f t="shared" si="297"/>
        <v>7.5802592837432181E-2</v>
      </c>
      <c r="BY400" s="871">
        <f t="shared" si="297"/>
        <v>9.171149510505669E-2</v>
      </c>
      <c r="BZ400" s="871">
        <f t="shared" si="297"/>
        <v>7.859629655302687E-2</v>
      </c>
      <c r="CA400" s="871">
        <f t="shared" si="297"/>
        <v>6.5509094361611994E-2</v>
      </c>
      <c r="CB400" s="871">
        <f t="shared" si="297"/>
        <v>8.2331984135467925E-2</v>
      </c>
      <c r="CC400" s="920">
        <f t="shared" si="297"/>
        <v>7.9448879794046814E-2</v>
      </c>
      <c r="CD400" s="871">
        <f t="shared" si="297"/>
        <v>8.2191239998492552E-2</v>
      </c>
      <c r="CE400" s="871">
        <f t="shared" si="297"/>
        <v>6.334464879370813E-2</v>
      </c>
      <c r="CF400" s="871">
        <f t="shared" si="297"/>
        <v>6.0809758290284878E-2</v>
      </c>
      <c r="CG400" s="871">
        <f t="shared" si="297"/>
        <v>0.1189295033402193</v>
      </c>
      <c r="CH400" s="920">
        <f t="shared" si="297"/>
        <v>9.0371587233591177E-2</v>
      </c>
      <c r="CI400" s="871">
        <f t="shared" ca="1" si="297"/>
        <v>0.12705065302055132</v>
      </c>
      <c r="CJ400" s="871">
        <f t="shared" ca="1" si="297"/>
        <v>9.6865146878797909E-2</v>
      </c>
      <c r="CK400" s="871">
        <f t="shared" ca="1" si="297"/>
        <v>7.3257152218389923E-2</v>
      </c>
      <c r="CL400" s="871">
        <f t="shared" ca="1" si="297"/>
        <v>0.11518333787317504</v>
      </c>
      <c r="CM400" s="920">
        <f t="shared" ca="1" si="297"/>
        <v>0.10126577827000083</v>
      </c>
      <c r="CN400" s="871">
        <f t="shared" ca="1" si="293"/>
        <v>0.12190368927867415</v>
      </c>
      <c r="CO400" s="871">
        <f t="shared" ca="1" si="293"/>
        <v>9.206433827985927E-2</v>
      </c>
      <c r="CP400" s="871">
        <f t="shared" ca="1" si="293"/>
        <v>7.1448748368755338E-2</v>
      </c>
      <c r="CQ400" s="871">
        <f t="shared" ca="1" si="293"/>
        <v>0.11201398303512632</v>
      </c>
      <c r="CR400" s="920">
        <f t="shared" ca="1" si="293"/>
        <v>9.7657524776668114E-2</v>
      </c>
      <c r="CS400" s="1583">
        <f t="shared" ca="1" si="297"/>
        <v>9.6632236939995675E-2</v>
      </c>
      <c r="CT400" s="1583">
        <f t="shared" ca="1" si="297"/>
        <v>9.6186267096276007E-2</v>
      </c>
      <c r="DA400" s="212"/>
      <c r="DB400" s="1226"/>
    </row>
    <row r="401" spans="1:106" x14ac:dyDescent="0.2">
      <c r="A401" s="1580" t="s">
        <v>808</v>
      </c>
      <c r="B401" s="1582"/>
      <c r="C401" s="1582"/>
      <c r="D401" s="1582"/>
      <c r="E401" s="1582"/>
      <c r="F401" s="1528"/>
      <c r="G401" s="1582"/>
      <c r="H401" s="1582"/>
      <c r="I401" s="1582"/>
      <c r="J401" s="1582"/>
      <c r="K401" s="1528"/>
      <c r="L401" s="1582"/>
      <c r="M401" s="1582"/>
      <c r="N401" s="1582"/>
      <c r="O401" s="1582"/>
      <c r="P401" s="1528"/>
      <c r="Q401" s="1582"/>
      <c r="R401" s="1582"/>
      <c r="S401" s="1582"/>
      <c r="T401" s="1582"/>
      <c r="U401" s="1528"/>
      <c r="V401" s="1582"/>
      <c r="W401" s="1582"/>
      <c r="X401" s="1582"/>
      <c r="Y401" s="1582"/>
      <c r="Z401" s="1528"/>
      <c r="AA401" s="1582"/>
      <c r="AB401" s="1582"/>
      <c r="AC401" s="1582"/>
      <c r="AD401" s="1582"/>
      <c r="AE401" s="1528"/>
      <c r="AF401" s="1582"/>
      <c r="AG401" s="1582"/>
      <c r="AH401" s="1582"/>
      <c r="AI401" s="1582"/>
      <c r="AJ401" s="1528"/>
      <c r="AK401" s="871"/>
      <c r="AL401" s="871"/>
      <c r="AM401" s="871"/>
      <c r="AN401" s="871"/>
      <c r="AO401" s="920"/>
      <c r="AP401" s="1002">
        <f t="shared" ref="AP401:BU401" si="298">AP364/AP$365</f>
        <v>0.32233926028674864</v>
      </c>
      <c r="AQ401" s="1002">
        <f t="shared" si="298"/>
        <v>0.30400866855329117</v>
      </c>
      <c r="AR401" s="1002">
        <f t="shared" si="298"/>
        <v>0.31166293870412709</v>
      </c>
      <c r="AS401" s="1002">
        <f t="shared" si="298"/>
        <v>0.32322261815949488</v>
      </c>
      <c r="AT401" s="1602">
        <f t="shared" si="298"/>
        <v>0.31554474239026387</v>
      </c>
      <c r="AU401" s="1002">
        <f t="shared" si="298"/>
        <v>0.34250224248077438</v>
      </c>
      <c r="AV401" s="1002">
        <f t="shared" si="298"/>
        <v>0.31921129731798392</v>
      </c>
      <c r="AW401" s="1002">
        <f t="shared" si="298"/>
        <v>0.33945518606149755</v>
      </c>
      <c r="AX401" s="1002">
        <f t="shared" si="298"/>
        <v>0.36393174323697186</v>
      </c>
      <c r="AY401" s="1602">
        <f t="shared" si="298"/>
        <v>0.34406428084828478</v>
      </c>
      <c r="AZ401" s="1002">
        <f t="shared" si="298"/>
        <v>0.32974807768678732</v>
      </c>
      <c r="BA401" s="1002">
        <f t="shared" si="298"/>
        <v>0.32992663083182333</v>
      </c>
      <c r="BB401" s="1002">
        <f t="shared" si="298"/>
        <v>0.34892941475639827</v>
      </c>
      <c r="BC401" s="1002">
        <f t="shared" si="298"/>
        <v>0.36125872158691702</v>
      </c>
      <c r="BD401" s="1602">
        <f t="shared" si="298"/>
        <v>0.34472705886952582</v>
      </c>
      <c r="BE401" s="1002">
        <f t="shared" si="298"/>
        <v>0.36012055824796874</v>
      </c>
      <c r="BF401" s="1002">
        <f t="shared" si="298"/>
        <v>0.34996331122824237</v>
      </c>
      <c r="BG401" s="1002">
        <f t="shared" si="298"/>
        <v>0.35527986013058477</v>
      </c>
      <c r="BH401" s="1002">
        <f t="shared" si="298"/>
        <v>0.38631839745077662</v>
      </c>
      <c r="BI401" s="1602">
        <f t="shared" si="298"/>
        <v>0.36525959403714159</v>
      </c>
      <c r="BJ401" s="1002">
        <f t="shared" si="298"/>
        <v>0.36805179273859839</v>
      </c>
      <c r="BK401" s="1002">
        <f t="shared" si="298"/>
        <v>0.35075369666344602</v>
      </c>
      <c r="BL401" s="1002">
        <f t="shared" si="298"/>
        <v>0.34839666995207696</v>
      </c>
      <c r="BM401" s="1002">
        <f t="shared" si="298"/>
        <v>0.37171430994030813</v>
      </c>
      <c r="BN401" s="1602">
        <f t="shared" si="298"/>
        <v>0.3605915323044846</v>
      </c>
      <c r="BO401" s="1002">
        <f t="shared" si="298"/>
        <v>0.37596647852783699</v>
      </c>
      <c r="BP401" s="1002">
        <f t="shared" si="298"/>
        <v>0.34466174221552892</v>
      </c>
      <c r="BQ401" s="1002">
        <f t="shared" si="298"/>
        <v>0.35868697327627169</v>
      </c>
      <c r="BR401" s="1002">
        <f t="shared" si="298"/>
        <v>0.3698757408085156</v>
      </c>
      <c r="BS401" s="1602">
        <f t="shared" si="298"/>
        <v>0.3621135744368279</v>
      </c>
      <c r="BT401" s="1002">
        <f t="shared" si="298"/>
        <v>0.38362543193736953</v>
      </c>
      <c r="BU401" s="1002">
        <f t="shared" si="298"/>
        <v>0.35492264398032425</v>
      </c>
      <c r="BV401" s="1002">
        <f t="shared" ref="BV401:CT401" si="299">BV364/BV$365</f>
        <v>0.37683799609428759</v>
      </c>
      <c r="BW401" s="1002">
        <f t="shared" si="299"/>
        <v>0.39022538028513887</v>
      </c>
      <c r="BX401" s="1602">
        <f t="shared" si="299"/>
        <v>0.37624761930153466</v>
      </c>
      <c r="BY401" s="1002">
        <f t="shared" si="299"/>
        <v>0.36628640443076604</v>
      </c>
      <c r="BZ401" s="1002">
        <f t="shared" si="299"/>
        <v>0.34946704968372005</v>
      </c>
      <c r="CA401" s="1002">
        <f t="shared" si="299"/>
        <v>0.35483274090546868</v>
      </c>
      <c r="CB401" s="1002">
        <f t="shared" si="299"/>
        <v>0.37142388220527273</v>
      </c>
      <c r="CC401" s="1602">
        <f t="shared" si="299"/>
        <v>0.36053600828956672</v>
      </c>
      <c r="CD401" s="1002">
        <f t="shared" si="299"/>
        <v>0.39408391022544798</v>
      </c>
      <c r="CE401" s="1002">
        <f t="shared" si="299"/>
        <v>0.37525530517729472</v>
      </c>
      <c r="CF401" s="1002">
        <f t="shared" si="299"/>
        <v>0.390727873350876</v>
      </c>
      <c r="CG401" s="1002">
        <f t="shared" si="299"/>
        <v>0.45400410881713205</v>
      </c>
      <c r="CH401" s="1602">
        <f t="shared" si="299"/>
        <v>0.41576483603725112</v>
      </c>
      <c r="CI401" s="1002">
        <f t="shared" ca="1" si="299"/>
        <v>0.45006690257989351</v>
      </c>
      <c r="CJ401" s="1002">
        <f t="shared" ca="1" si="299"/>
        <v>0.42200988564756847</v>
      </c>
      <c r="CK401" s="1002">
        <f t="shared" ca="1" si="299"/>
        <v>0.4315171745654694</v>
      </c>
      <c r="CL401" s="1002">
        <f t="shared" ca="1" si="299"/>
        <v>0.45282948581973836</v>
      </c>
      <c r="CM401" s="1602">
        <f t="shared" ca="1" si="299"/>
        <v>0.43876267792877482</v>
      </c>
      <c r="CN401" s="1002">
        <f t="shared" ca="1" si="293"/>
        <v>0.45774424148855275</v>
      </c>
      <c r="CO401" s="1002">
        <f t="shared" ca="1" si="293"/>
        <v>0.43132756742439726</v>
      </c>
      <c r="CP401" s="1002">
        <f t="shared" ca="1" si="293"/>
        <v>0.43336580922566925</v>
      </c>
      <c r="CQ401" s="1002">
        <f t="shared" ca="1" si="293"/>
        <v>0.45780992529088727</v>
      </c>
      <c r="CR401" s="1602">
        <f t="shared" ca="1" si="293"/>
        <v>0.44441279187345023</v>
      </c>
      <c r="CS401" s="1584">
        <f t="shared" ca="1" si="299"/>
        <v>0.44974273507781642</v>
      </c>
      <c r="CT401" s="1584">
        <f t="shared" ca="1" si="299"/>
        <v>0.45228224108754811</v>
      </c>
      <c r="DA401" s="212"/>
      <c r="DB401" s="1226"/>
    </row>
    <row r="402" spans="1:106" x14ac:dyDescent="0.2">
      <c r="A402" s="1435" t="s">
        <v>76</v>
      </c>
      <c r="B402" s="1585"/>
      <c r="C402" s="1585"/>
      <c r="D402" s="1585"/>
      <c r="E402" s="1585"/>
      <c r="F402" s="1529"/>
      <c r="G402" s="1585"/>
      <c r="H402" s="1585"/>
      <c r="I402" s="1585"/>
      <c r="J402" s="1585"/>
      <c r="K402" s="1529"/>
      <c r="L402" s="1585"/>
      <c r="M402" s="1585"/>
      <c r="N402" s="1585"/>
      <c r="O402" s="1585"/>
      <c r="P402" s="1529"/>
      <c r="Q402" s="1585"/>
      <c r="R402" s="1585"/>
      <c r="S402" s="1585"/>
      <c r="T402" s="1585"/>
      <c r="U402" s="1529"/>
      <c r="V402" s="1585"/>
      <c r="W402" s="1585"/>
      <c r="X402" s="1585"/>
      <c r="Y402" s="1585"/>
      <c r="Z402" s="1529"/>
      <c r="AA402" s="1585"/>
      <c r="AB402" s="1585"/>
      <c r="AC402" s="1585"/>
      <c r="AD402" s="1585"/>
      <c r="AE402" s="1529"/>
      <c r="AF402" s="1585"/>
      <c r="AG402" s="1585"/>
      <c r="AH402" s="1585"/>
      <c r="AI402" s="1585"/>
      <c r="AJ402" s="1529"/>
      <c r="AK402" s="1586"/>
      <c r="AL402" s="1586"/>
      <c r="AM402" s="1586"/>
      <c r="AN402" s="1586"/>
      <c r="AO402" s="1601"/>
      <c r="AP402" s="1586">
        <f t="shared" ref="AP402:BJ402" si="300">SUM(AP398:AP401)</f>
        <v>1</v>
      </c>
      <c r="AQ402" s="1586">
        <f t="shared" si="300"/>
        <v>1</v>
      </c>
      <c r="AR402" s="1586">
        <f t="shared" si="300"/>
        <v>0.99999999999999989</v>
      </c>
      <c r="AS402" s="1586">
        <f t="shared" si="300"/>
        <v>1</v>
      </c>
      <c r="AT402" s="1601">
        <f t="shared" si="300"/>
        <v>1</v>
      </c>
      <c r="AU402" s="1586">
        <f t="shared" si="300"/>
        <v>1</v>
      </c>
      <c r="AV402" s="1586">
        <f t="shared" si="300"/>
        <v>1</v>
      </c>
      <c r="AW402" s="1586">
        <f t="shared" si="300"/>
        <v>1</v>
      </c>
      <c r="AX402" s="1586">
        <f t="shared" si="300"/>
        <v>0.99999999999999989</v>
      </c>
      <c r="AY402" s="1601">
        <f t="shared" si="300"/>
        <v>0.99999999999999989</v>
      </c>
      <c r="AZ402" s="1586">
        <f t="shared" si="300"/>
        <v>1</v>
      </c>
      <c r="BA402" s="1586">
        <f t="shared" si="300"/>
        <v>1</v>
      </c>
      <c r="BB402" s="1586">
        <f t="shared" si="300"/>
        <v>1</v>
      </c>
      <c r="BC402" s="1586">
        <f t="shared" si="300"/>
        <v>1</v>
      </c>
      <c r="BD402" s="1601">
        <f t="shared" si="300"/>
        <v>0.99999999999999989</v>
      </c>
      <c r="BE402" s="1586">
        <f t="shared" si="300"/>
        <v>0.99999999999999978</v>
      </c>
      <c r="BF402" s="1586">
        <f t="shared" si="300"/>
        <v>1</v>
      </c>
      <c r="BG402" s="1586">
        <f t="shared" si="300"/>
        <v>1</v>
      </c>
      <c r="BH402" s="1586">
        <f t="shared" si="300"/>
        <v>1</v>
      </c>
      <c r="BI402" s="1601">
        <f t="shared" si="300"/>
        <v>1</v>
      </c>
      <c r="BJ402" s="1586">
        <f t="shared" si="300"/>
        <v>1</v>
      </c>
      <c r="BK402" s="1586">
        <f t="shared" ref="BK402:BT402" si="301">SUM(BK398:BK401)</f>
        <v>0.99999999999999989</v>
      </c>
      <c r="BL402" s="1586">
        <f t="shared" si="301"/>
        <v>1</v>
      </c>
      <c r="BM402" s="1586">
        <f t="shared" si="301"/>
        <v>1</v>
      </c>
      <c r="BN402" s="1601">
        <f t="shared" si="301"/>
        <v>1</v>
      </c>
      <c r="BO402" s="1586">
        <f t="shared" si="301"/>
        <v>1</v>
      </c>
      <c r="BP402" s="1586">
        <f t="shared" si="301"/>
        <v>1</v>
      </c>
      <c r="BQ402" s="1586">
        <f t="shared" si="301"/>
        <v>1</v>
      </c>
      <c r="BR402" s="1586">
        <f t="shared" si="301"/>
        <v>0.99999999999999989</v>
      </c>
      <c r="BS402" s="1601">
        <f t="shared" si="301"/>
        <v>1</v>
      </c>
      <c r="BT402" s="1586">
        <f t="shared" si="301"/>
        <v>1</v>
      </c>
      <c r="BU402" s="1586">
        <f t="shared" ref="BU402:CC402" si="302">SUM(BU398:BU401)</f>
        <v>1</v>
      </c>
      <c r="BV402" s="1586">
        <f t="shared" si="302"/>
        <v>0.99999999999999989</v>
      </c>
      <c r="BW402" s="1586">
        <f t="shared" si="302"/>
        <v>0.99999999999999989</v>
      </c>
      <c r="BX402" s="1601">
        <f t="shared" si="302"/>
        <v>1</v>
      </c>
      <c r="BY402" s="1586">
        <f t="shared" si="302"/>
        <v>1</v>
      </c>
      <c r="BZ402" s="1586">
        <f t="shared" si="302"/>
        <v>1</v>
      </c>
      <c r="CA402" s="1586">
        <f t="shared" si="302"/>
        <v>1</v>
      </c>
      <c r="CB402" s="1586">
        <f t="shared" si="302"/>
        <v>1</v>
      </c>
      <c r="CC402" s="1601">
        <f t="shared" si="302"/>
        <v>1</v>
      </c>
      <c r="CD402" s="1586">
        <f t="shared" ref="CD402:CL402" si="303">SUM(CD398:CD401)</f>
        <v>0.99999999999999989</v>
      </c>
      <c r="CE402" s="1586">
        <f>SUM(CE398:CE401)</f>
        <v>0.99999999999999978</v>
      </c>
      <c r="CF402" s="1586">
        <f t="shared" si="303"/>
        <v>1</v>
      </c>
      <c r="CG402" s="1586">
        <f t="shared" si="303"/>
        <v>1</v>
      </c>
      <c r="CH402" s="1601">
        <f t="shared" si="303"/>
        <v>1</v>
      </c>
      <c r="CI402" s="1586">
        <f t="shared" ca="1" si="303"/>
        <v>1</v>
      </c>
      <c r="CJ402" s="1586">
        <f t="shared" ca="1" si="303"/>
        <v>1</v>
      </c>
      <c r="CK402" s="1586">
        <f t="shared" ca="1" si="303"/>
        <v>1</v>
      </c>
      <c r="CL402" s="1586">
        <f t="shared" ca="1" si="303"/>
        <v>0.99999999999999989</v>
      </c>
      <c r="CM402" s="1601">
        <f t="shared" ref="CM402:CT402" ca="1" si="304">SUM(CM398:CM401)</f>
        <v>1.0000000000000002</v>
      </c>
      <c r="CN402" s="1586">
        <f t="shared" ca="1" si="304"/>
        <v>1</v>
      </c>
      <c r="CO402" s="1586">
        <f t="shared" ca="1" si="304"/>
        <v>1</v>
      </c>
      <c r="CP402" s="1586">
        <f t="shared" ca="1" si="304"/>
        <v>0.99999999999999989</v>
      </c>
      <c r="CQ402" s="1586">
        <f t="shared" ca="1" si="304"/>
        <v>1</v>
      </c>
      <c r="CR402" s="1601">
        <f t="shared" ca="1" si="304"/>
        <v>1</v>
      </c>
      <c r="CS402" s="1587">
        <f t="shared" ca="1" si="304"/>
        <v>1</v>
      </c>
      <c r="CT402" s="1587">
        <f t="shared" ca="1" si="304"/>
        <v>0.99999999999999989</v>
      </c>
      <c r="DA402" s="212"/>
      <c r="DB402" s="1226"/>
    </row>
    <row r="403" spans="1:106" s="212" customFormat="1" x14ac:dyDescent="0.2">
      <c r="A403" s="504"/>
      <c r="K403" s="194"/>
      <c r="P403" s="194"/>
      <c r="U403" s="194"/>
      <c r="Z403" s="194"/>
      <c r="AE403" s="194"/>
      <c r="AJ403" s="194"/>
      <c r="AO403" s="194"/>
      <c r="AT403" s="194"/>
      <c r="AY403" s="194"/>
      <c r="BD403" s="194"/>
      <c r="BI403" s="194"/>
      <c r="BN403" s="194"/>
      <c r="BS403" s="194"/>
      <c r="BX403" s="194"/>
      <c r="CC403" s="194"/>
      <c r="CH403" s="194"/>
      <c r="CM403" s="194"/>
      <c r="CR403" s="194"/>
      <c r="CS403" s="192"/>
      <c r="CT403" s="192"/>
      <c r="DB403" s="1226"/>
    </row>
    <row r="404" spans="1:106" s="212" customFormat="1" x14ac:dyDescent="0.2">
      <c r="A404" s="1560" t="s">
        <v>2054</v>
      </c>
      <c r="F404" s="194"/>
      <c r="K404" s="194"/>
      <c r="P404" s="194"/>
      <c r="U404" s="194"/>
      <c r="Z404" s="194"/>
      <c r="AE404" s="194"/>
      <c r="AJ404" s="194"/>
      <c r="AO404" s="194"/>
      <c r="AT404" s="194"/>
      <c r="AY404" s="194"/>
      <c r="BD404" s="194"/>
      <c r="BI404" s="194"/>
      <c r="BN404" s="194"/>
      <c r="BS404" s="194"/>
      <c r="BX404" s="194"/>
      <c r="CC404" s="194"/>
      <c r="CH404" s="194"/>
      <c r="CM404" s="194"/>
      <c r="CR404" s="194"/>
      <c r="CS404" s="192"/>
      <c r="CT404" s="192"/>
      <c r="DB404" s="1226"/>
    </row>
    <row r="405" spans="1:106" s="212" customFormat="1" x14ac:dyDescent="0.2">
      <c r="A405" s="1434" t="s">
        <v>1644</v>
      </c>
      <c r="B405" s="1588"/>
      <c r="C405" s="1588"/>
      <c r="D405" s="1588"/>
      <c r="E405" s="1588"/>
      <c r="F405" s="1525"/>
      <c r="G405" s="1588"/>
      <c r="H405" s="1588"/>
      <c r="I405" s="1588"/>
      <c r="J405" s="1588"/>
      <c r="K405" s="1525"/>
      <c r="L405" s="1588"/>
      <c r="M405" s="1588"/>
      <c r="N405" s="1588"/>
      <c r="O405" s="1588"/>
      <c r="P405" s="1525"/>
      <c r="Q405" s="1588"/>
      <c r="R405" s="1588"/>
      <c r="S405" s="1588"/>
      <c r="T405" s="1588"/>
      <c r="U405" s="1525"/>
      <c r="V405" s="1588"/>
      <c r="W405" s="1588"/>
      <c r="X405" s="1588"/>
      <c r="Y405" s="1588"/>
      <c r="Z405" s="1525"/>
      <c r="AA405" s="1588"/>
      <c r="AB405" s="1588"/>
      <c r="AC405" s="1588"/>
      <c r="AD405" s="1589">
        <v>13815</v>
      </c>
      <c r="AE405" s="1525">
        <f>AD405</f>
        <v>13815</v>
      </c>
      <c r="AF405" s="1588">
        <f>(AJ405-AE405)/4+AE405</f>
        <v>14045</v>
      </c>
      <c r="AG405" s="1588">
        <f>(AJ405-AE405)/4+AF405</f>
        <v>14275</v>
      </c>
      <c r="AH405" s="1588">
        <f>(AJ405-AE405)/4+AG405</f>
        <v>14505</v>
      </c>
      <c r="AI405" s="1589">
        <v>14735</v>
      </c>
      <c r="AJ405" s="1525">
        <f>AI405</f>
        <v>14735</v>
      </c>
      <c r="AK405" s="1588">
        <f>(AO405-AJ405)/4+AJ405</f>
        <v>14984.5</v>
      </c>
      <c r="AL405" s="1588">
        <f>(AO405-AJ405)/4+AK405</f>
        <v>15234</v>
      </c>
      <c r="AM405" s="1588">
        <f>(AO405-AJ405)/4+AL405</f>
        <v>15483.5</v>
      </c>
      <c r="AN405" s="1589">
        <v>15733</v>
      </c>
      <c r="AO405" s="1525">
        <f>AN405</f>
        <v>15733</v>
      </c>
      <c r="AP405" s="1588">
        <f>(AT405-AO405)/4+AO405</f>
        <v>15721.5</v>
      </c>
      <c r="AQ405" s="1588">
        <f>(AT405-AO405)/4+AP405</f>
        <v>15710</v>
      </c>
      <c r="AR405" s="1588">
        <f>(AT405-AO405)/4+AQ405</f>
        <v>15698.5</v>
      </c>
      <c r="AS405" s="1589">
        <v>15687</v>
      </c>
      <c r="AT405" s="1525">
        <f>AS405</f>
        <v>15687</v>
      </c>
      <c r="AU405" s="1588">
        <f>(AY405-AT405)/4+AT405</f>
        <v>16020.75</v>
      </c>
      <c r="AV405" s="1588">
        <f>(AY405-AT405)/4+AU405</f>
        <v>16354.5</v>
      </c>
      <c r="AW405" s="1588">
        <f>(AY405-AT405)/4+AV405</f>
        <v>16688.25</v>
      </c>
      <c r="AX405" s="1589">
        <v>17022</v>
      </c>
      <c r="AY405" s="1525">
        <f>AX405</f>
        <v>17022</v>
      </c>
      <c r="AZ405" s="1588">
        <f>(BD405-AY405)/4+AY405</f>
        <v>17224.25</v>
      </c>
      <c r="BA405" s="1588">
        <f>(BD405-AY405)/4+AZ405</f>
        <v>17426.5</v>
      </c>
      <c r="BB405" s="1588">
        <f>(BD405-AY405)/4+BA405</f>
        <v>17628.75</v>
      </c>
      <c r="BC405" s="1589">
        <v>17831</v>
      </c>
      <c r="BD405" s="1525">
        <f>+BC405</f>
        <v>17831</v>
      </c>
      <c r="BE405" s="1588">
        <f>(BI405-BD405)/4+BD405</f>
        <v>17990.5</v>
      </c>
      <c r="BF405" s="1588">
        <f>(BI405-BD405)/4+BE405</f>
        <v>18150</v>
      </c>
      <c r="BG405" s="1588">
        <f>(BI405-BD405)/4+BF405</f>
        <v>18309.5</v>
      </c>
      <c r="BH405" s="1590">
        <f>534471-502304-13698</f>
        <v>18469</v>
      </c>
      <c r="BI405" s="1525">
        <f>+BH405</f>
        <v>18469</v>
      </c>
      <c r="BJ405" s="646">
        <f>BI405*(1+(BJ$414/BI$414-1))</f>
        <v>18477.324577438339</v>
      </c>
      <c r="BK405" s="646">
        <f>BJ405*(1+(BK$414/BJ$414-1))</f>
        <v>18521.105688410335</v>
      </c>
      <c r="BL405" s="646">
        <f>BK405*(1+(BL$414/BK$414-1))</f>
        <v>18737.544701807106</v>
      </c>
      <c r="BM405" s="646">
        <f>BL405*(1+(BM$414/BL$414-1))</f>
        <v>19113.692274946792</v>
      </c>
      <c r="BN405" s="1525">
        <f>BM405</f>
        <v>19113.692274946792</v>
      </c>
      <c r="BO405" s="646">
        <f t="shared" ref="BO405:BR408" si="305">BN405*(1+(BO$414/BN$414-1))</f>
        <v>19479.973682233631</v>
      </c>
      <c r="BP405" s="646">
        <f>BO405*(1+(BP$414/BO$414-1))</f>
        <v>19560.444597470891</v>
      </c>
      <c r="BQ405" s="646">
        <f t="shared" si="305"/>
        <v>19876.007745920455</v>
      </c>
      <c r="BR405" s="646">
        <f t="shared" si="305"/>
        <v>20377.178139476651</v>
      </c>
      <c r="BS405" s="1525">
        <f>BR405</f>
        <v>20377.178139476651</v>
      </c>
      <c r="BT405" s="646">
        <f>BS405*(1+(BT$414/BS$414-1))</f>
        <v>20759.800383957263</v>
      </c>
      <c r="BU405" s="646">
        <f t="shared" ref="BU405:BV408" si="306">BT405*(1+(BU$414/BT$414-1))</f>
        <v>22455.701798756312</v>
      </c>
      <c r="BV405" s="646">
        <f t="shared" si="306"/>
        <v>22657.033245690916</v>
      </c>
      <c r="BW405" s="646">
        <f>BV405*(1+(BW$414/BV$414-1))</f>
        <v>23885.062576687116</v>
      </c>
      <c r="BX405" s="1525">
        <f>BW405</f>
        <v>23885.062576687116</v>
      </c>
      <c r="BY405" s="646">
        <f>BX405*(1+(BY$414/BX$414-1))</f>
        <v>21950.8315930053</v>
      </c>
      <c r="BZ405" s="646">
        <f t="shared" ref="BZ405:CD408" si="307">BY405*(1+(BZ$414/BY$414-1))</f>
        <v>22436.740261257877</v>
      </c>
      <c r="CA405" s="646">
        <f t="shared" si="307"/>
        <v>22850.810909394429</v>
      </c>
      <c r="CB405" s="646">
        <f>CA405*(1+(CB$414/CA$414-1))</f>
        <v>23552.696114519425</v>
      </c>
      <c r="CC405" s="1525">
        <f>CB405</f>
        <v>23552.696114519425</v>
      </c>
      <c r="CD405" s="646">
        <f t="shared" si="307"/>
        <v>23830.027870289217</v>
      </c>
      <c r="CE405" s="646">
        <f t="shared" ref="CE405:CF408" si="308">CD405*(1+(CE$414/CD$414-1))</f>
        <v>24259.822720253746</v>
      </c>
      <c r="CF405" s="646">
        <f t="shared" si="308"/>
        <v>24483.507199198695</v>
      </c>
      <c r="CG405" s="3081">
        <f>+CF405*(1+(SUM(Rooms!$CI$605:$CI$620,Rooms!$CI$639:$CI$653)/SUM(Rooms!$CH$605:$CH$620,Rooms!$CH$639:$CH$653)-1))+21705</f>
        <v>47117.178026663583</v>
      </c>
      <c r="CH405" s="1525">
        <f>CG405</f>
        <v>47117.178026663583</v>
      </c>
      <c r="CI405" s="646">
        <f t="shared" ref="CI405:CL408" ca="1" si="309">CH405*(1+(CI$414/CH$414-1))</f>
        <v>47547.118345387229</v>
      </c>
      <c r="CJ405" s="646">
        <f t="shared" ca="1" si="309"/>
        <v>48151.069542955076</v>
      </c>
      <c r="CK405" s="646">
        <f t="shared" ca="1" si="309"/>
        <v>49086.923039426976</v>
      </c>
      <c r="CL405" s="646">
        <f t="shared" ca="1" si="309"/>
        <v>50095.842607273851</v>
      </c>
      <c r="CM405" s="1525">
        <f ca="1">CL405</f>
        <v>50095.842607273851</v>
      </c>
      <c r="CN405" s="646">
        <f t="shared" ref="CN405:CQ408" ca="1" si="310">CM405*(1+(CN$414/CM$414-1))</f>
        <v>50286.020510518509</v>
      </c>
      <c r="CO405" s="646">
        <f t="shared" ca="1" si="310"/>
        <v>51283.830864475312</v>
      </c>
      <c r="CP405" s="646">
        <f t="shared" ca="1" si="310"/>
        <v>52415.089196892732</v>
      </c>
      <c r="CQ405" s="646">
        <f t="shared" ca="1" si="310"/>
        <v>53488.975468708995</v>
      </c>
      <c r="CR405" s="1525">
        <f ca="1">CQ405</f>
        <v>53488.975468708995</v>
      </c>
      <c r="CS405" s="1604">
        <f t="shared" ref="CS405:CT408" ca="1" si="311">CR405*(1+(CS$414/CR$414-1))</f>
        <v>56711.660499112179</v>
      </c>
      <c r="CT405" s="1604">
        <f t="shared" ca="1" si="311"/>
        <v>58150.168917796123</v>
      </c>
      <c r="DB405" s="1226"/>
    </row>
    <row r="406" spans="1:106" s="212" customFormat="1" x14ac:dyDescent="0.2">
      <c r="A406" s="1434" t="s">
        <v>1930</v>
      </c>
      <c r="B406" s="1588"/>
      <c r="C406" s="1588"/>
      <c r="D406" s="1588"/>
      <c r="E406" s="1588"/>
      <c r="F406" s="1525"/>
      <c r="G406" s="1588"/>
      <c r="H406" s="1588"/>
      <c r="I406" s="1588"/>
      <c r="J406" s="1588"/>
      <c r="K406" s="1525"/>
      <c r="L406" s="1588"/>
      <c r="M406" s="1588"/>
      <c r="N406" s="1588"/>
      <c r="O406" s="1588"/>
      <c r="P406" s="1525"/>
      <c r="Q406" s="1588"/>
      <c r="R406" s="1588"/>
      <c r="S406" s="1588"/>
      <c r="T406" s="1588"/>
      <c r="U406" s="1525"/>
      <c r="V406" s="1588"/>
      <c r="W406" s="1588"/>
      <c r="X406" s="1588"/>
      <c r="Y406" s="1588"/>
      <c r="Z406" s="1525"/>
      <c r="AA406" s="1588"/>
      <c r="AB406" s="1588"/>
      <c r="AC406" s="1588"/>
      <c r="AD406" s="1589">
        <v>37485</v>
      </c>
      <c r="AE406" s="1525">
        <f>AD406</f>
        <v>37485</v>
      </c>
      <c r="AF406" s="1588">
        <f>(AJ406-AE406)/4+AE406</f>
        <v>37674.25</v>
      </c>
      <c r="AG406" s="1588">
        <f>(AJ406-AE406)/4+AF406</f>
        <v>37863.5</v>
      </c>
      <c r="AH406" s="1588">
        <f>(AJ406-AE406)/4+AG406</f>
        <v>38052.75</v>
      </c>
      <c r="AI406" s="1589">
        <v>38242</v>
      </c>
      <c r="AJ406" s="1525">
        <f>AI406</f>
        <v>38242</v>
      </c>
      <c r="AK406" s="1588">
        <f>(AO406-AJ406)/4+AJ406</f>
        <v>38200</v>
      </c>
      <c r="AL406" s="1588">
        <f>(AO406-AJ406)/4+AK406</f>
        <v>38158</v>
      </c>
      <c r="AM406" s="1588">
        <f>(AO406-AJ406)/4+AL406</f>
        <v>38116</v>
      </c>
      <c r="AN406" s="1589">
        <v>38074</v>
      </c>
      <c r="AO406" s="1525">
        <f>AN406</f>
        <v>38074</v>
      </c>
      <c r="AP406" s="1588">
        <f>(AT406-AO406)/4+AO406</f>
        <v>37870</v>
      </c>
      <c r="AQ406" s="1588">
        <f>(AT406-AO406)/4+AP406</f>
        <v>37666</v>
      </c>
      <c r="AR406" s="1588">
        <f>(AT406-AO406)/4+AQ406</f>
        <v>37462</v>
      </c>
      <c r="AS406" s="1589">
        <v>37258</v>
      </c>
      <c r="AT406" s="1525">
        <f>AS406</f>
        <v>37258</v>
      </c>
      <c r="AU406" s="1588">
        <f>(AY406-AT406)/4+AT406</f>
        <v>37449.75</v>
      </c>
      <c r="AV406" s="1588">
        <f>(AY406-AT406)/4+AU406</f>
        <v>37641.5</v>
      </c>
      <c r="AW406" s="1588">
        <f>(AY406-AT406)/4+AV406</f>
        <v>37833.25</v>
      </c>
      <c r="AX406" s="1589">
        <v>38025</v>
      </c>
      <c r="AY406" s="1525">
        <f>AX406</f>
        <v>38025</v>
      </c>
      <c r="AZ406" s="1588">
        <f>(BD406-AY406)/4+AY406</f>
        <v>38788.5</v>
      </c>
      <c r="BA406" s="1588">
        <f>(BD406-AY406)/4+AZ406</f>
        <v>39552</v>
      </c>
      <c r="BB406" s="1588">
        <f>(BD406-AY406)/4+BA406</f>
        <v>40315.5</v>
      </c>
      <c r="BC406" s="1590">
        <f>WWRooms_10K!AA176</f>
        <v>41079</v>
      </c>
      <c r="BD406" s="1525">
        <f>+BC406</f>
        <v>41079</v>
      </c>
      <c r="BE406" s="1588">
        <f>(BI406-BD406)/4+BD406</f>
        <v>41792.25</v>
      </c>
      <c r="BF406" s="1588">
        <f>(BI406-BD406)/4+BE406</f>
        <v>42505.5</v>
      </c>
      <c r="BG406" s="1588">
        <f>(BI406-BD406)/4+BF406</f>
        <v>43218.75</v>
      </c>
      <c r="BH406" s="1590">
        <f>40774+11879-8721</f>
        <v>43932</v>
      </c>
      <c r="BI406" s="1525">
        <f>+BH406</f>
        <v>43932</v>
      </c>
      <c r="BJ406" s="646">
        <f t="shared" ref="BJ406:BK408" si="312">BI406*(1+(BJ$414/BI$414-1))</f>
        <v>43951.801577563543</v>
      </c>
      <c r="BK406" s="646">
        <f t="shared" si="312"/>
        <v>44055.943207712538</v>
      </c>
      <c r="BL406" s="646">
        <f t="shared" ref="BL406:BM408" si="313">BK406*(1+(BL$414/BK$414-1))</f>
        <v>44570.784224364601</v>
      </c>
      <c r="BM406" s="646">
        <f t="shared" si="313"/>
        <v>45465.522173532001</v>
      </c>
      <c r="BN406" s="1525">
        <f>BM406</f>
        <v>45465.522173532001</v>
      </c>
      <c r="BO406" s="646">
        <f t="shared" si="305"/>
        <v>46336.791586327789</v>
      </c>
      <c r="BP406" s="646">
        <f>BO406*(1+(BP$414/BO$414-1))</f>
        <v>46528.206836108679</v>
      </c>
      <c r="BQ406" s="646">
        <f t="shared" si="305"/>
        <v>47278.833304119202</v>
      </c>
      <c r="BR406" s="646">
        <f t="shared" si="305"/>
        <v>48470.961612620522</v>
      </c>
      <c r="BS406" s="1525">
        <f>BR406</f>
        <v>48470.961612620522</v>
      </c>
      <c r="BT406" s="646">
        <f>BS406*(1+(BT$414/BS$414-1))</f>
        <v>49381.100788781776</v>
      </c>
      <c r="BU406" s="646">
        <f t="shared" si="306"/>
        <v>53415.122173532</v>
      </c>
      <c r="BV406" s="646">
        <f t="shared" si="306"/>
        <v>53894.026993865045</v>
      </c>
      <c r="BW406" s="646">
        <f>BV406*(1+(BW$414/BV$414-1))</f>
        <v>56815.126380368107</v>
      </c>
      <c r="BX406" s="1525">
        <f>BW406</f>
        <v>56815.126380368107</v>
      </c>
      <c r="BY406" s="646">
        <f>BX406*(1+(BY$414/BX$414-1))</f>
        <v>52214.19316389133</v>
      </c>
      <c r="BZ406" s="646">
        <f t="shared" si="307"/>
        <v>53370.018580192816</v>
      </c>
      <c r="CA406" s="646">
        <f t="shared" si="307"/>
        <v>54354.963716038561</v>
      </c>
      <c r="CB406" s="646">
        <f t="shared" si="307"/>
        <v>56024.530061349695</v>
      </c>
      <c r="CC406" s="1525">
        <f>CB406</f>
        <v>56024.530061349695</v>
      </c>
      <c r="CD406" s="646">
        <f t="shared" si="307"/>
        <v>56684.215950920247</v>
      </c>
      <c r="CE406" s="646">
        <f t="shared" si="308"/>
        <v>57706.56406660824</v>
      </c>
      <c r="CF406" s="646">
        <f t="shared" si="308"/>
        <v>58238.639789658191</v>
      </c>
      <c r="CG406" s="3081">
        <f>+CF406*(1+(SUM(Rooms!$CI$605:$CI$620,Rooms!$CI$639:$CI$653)/SUM(Rooms!$CH$605:$CH$620,Rooms!$CH$639:$CH$653)-1))+42112</f>
        <v>102559.65851250119</v>
      </c>
      <c r="CH406" s="1525">
        <f>CG406</f>
        <v>102559.65851250119</v>
      </c>
      <c r="CI406" s="646">
        <f t="shared" ca="1" si="309"/>
        <v>103495.50684034672</v>
      </c>
      <c r="CJ406" s="646">
        <f t="shared" ca="1" si="309"/>
        <v>104810.12352952368</v>
      </c>
      <c r="CK406" s="646">
        <f t="shared" ca="1" si="309"/>
        <v>106847.18981905343</v>
      </c>
      <c r="CL406" s="646">
        <f t="shared" ca="1" si="309"/>
        <v>109043.29855643155</v>
      </c>
      <c r="CM406" s="1525">
        <f ca="1">CL406</f>
        <v>109043.29855643155</v>
      </c>
      <c r="CN406" s="646">
        <f t="shared" ca="1" si="310"/>
        <v>109457.25757584391</v>
      </c>
      <c r="CO406" s="646">
        <f t="shared" ca="1" si="310"/>
        <v>111629.18495876434</v>
      </c>
      <c r="CP406" s="646">
        <f t="shared" ca="1" si="310"/>
        <v>114091.5876985145</v>
      </c>
      <c r="CQ406" s="646">
        <f t="shared" ca="1" si="310"/>
        <v>116429.10904277694</v>
      </c>
      <c r="CR406" s="1525">
        <f ca="1">CQ406</f>
        <v>116429.10904277694</v>
      </c>
      <c r="CS406" s="1604">
        <f t="shared" ca="1" si="311"/>
        <v>123443.90683105832</v>
      </c>
      <c r="CT406" s="1604">
        <f t="shared" ca="1" si="311"/>
        <v>126575.0988583927</v>
      </c>
      <c r="DB406" s="1226"/>
    </row>
    <row r="407" spans="1:106" s="212" customFormat="1" x14ac:dyDescent="0.2">
      <c r="A407" s="1434" t="s">
        <v>1645</v>
      </c>
      <c r="B407" s="1588"/>
      <c r="C407" s="1588"/>
      <c r="D407" s="1588"/>
      <c r="E407" s="1588"/>
      <c r="F407" s="1525"/>
      <c r="G407" s="1588"/>
      <c r="H407" s="1588"/>
      <c r="I407" s="1588"/>
      <c r="J407" s="1588"/>
      <c r="K407" s="1525"/>
      <c r="L407" s="1588"/>
      <c r="M407" s="1588"/>
      <c r="N407" s="1588"/>
      <c r="O407" s="1588"/>
      <c r="P407" s="1525"/>
      <c r="Q407" s="1588"/>
      <c r="R407" s="1588"/>
      <c r="S407" s="1588"/>
      <c r="T407" s="1588"/>
      <c r="U407" s="1525"/>
      <c r="V407" s="1588"/>
      <c r="W407" s="1588"/>
      <c r="X407" s="1588"/>
      <c r="Y407" s="1588"/>
      <c r="Z407" s="1525"/>
      <c r="AA407" s="1588"/>
      <c r="AB407" s="1588"/>
      <c r="AC407" s="1588"/>
      <c r="AD407" s="1589">
        <v>7456</v>
      </c>
      <c r="AE407" s="1525">
        <f>AD407</f>
        <v>7456</v>
      </c>
      <c r="AF407" s="1588">
        <f>(AJ407-AE407)/4+AE407</f>
        <v>8114.25</v>
      </c>
      <c r="AG407" s="1588">
        <f>(AJ407-AE407)/4+AF407</f>
        <v>8772.5</v>
      </c>
      <c r="AH407" s="1588">
        <f>(AJ407-AE407)/4+AG407</f>
        <v>9430.75</v>
      </c>
      <c r="AI407" s="1589">
        <v>10089</v>
      </c>
      <c r="AJ407" s="1525">
        <f>AI407</f>
        <v>10089</v>
      </c>
      <c r="AK407" s="1588">
        <f>(AO407-AJ407)/4+AJ407</f>
        <v>10259.75</v>
      </c>
      <c r="AL407" s="1588">
        <f>(AO407-AJ407)/4+AK407</f>
        <v>10430.5</v>
      </c>
      <c r="AM407" s="1588">
        <f>(AO407-AJ407)/4+AL407</f>
        <v>10601.25</v>
      </c>
      <c r="AN407" s="1589">
        <v>10772</v>
      </c>
      <c r="AO407" s="1525">
        <f>AN407</f>
        <v>10772</v>
      </c>
      <c r="AP407" s="1588">
        <f>(AT407-AO407)/4+AO407</f>
        <v>10599</v>
      </c>
      <c r="AQ407" s="1588">
        <f>(AT407-AO407)/4+AP407</f>
        <v>10426</v>
      </c>
      <c r="AR407" s="1588">
        <f>(AT407-AO407)/4+AQ407</f>
        <v>10253</v>
      </c>
      <c r="AS407" s="1589">
        <v>10080</v>
      </c>
      <c r="AT407" s="1525">
        <f>AS407</f>
        <v>10080</v>
      </c>
      <c r="AU407" s="1588">
        <f>(AY407-AT407)/4+AT407</f>
        <v>10168.25</v>
      </c>
      <c r="AV407" s="1588">
        <f>(AY407-AT407)/4+AU407</f>
        <v>10256.5</v>
      </c>
      <c r="AW407" s="1588">
        <f>(AY407-AT407)/4+AV407</f>
        <v>10344.75</v>
      </c>
      <c r="AX407" s="1589">
        <v>10433</v>
      </c>
      <c r="AY407" s="1525">
        <f>AX407</f>
        <v>10433</v>
      </c>
      <c r="AZ407" s="1588">
        <f>(BD407-AY407)/4+AY407</f>
        <v>10050.75</v>
      </c>
      <c r="BA407" s="1588">
        <f>(BD407-AY407)/4+AZ407</f>
        <v>9668.5</v>
      </c>
      <c r="BB407" s="1588">
        <f>(BD407-AY407)/4+BA407</f>
        <v>9286.25</v>
      </c>
      <c r="BC407" s="1589">
        <f>WWRooms_10K!AA177</f>
        <v>8904</v>
      </c>
      <c r="BD407" s="1525">
        <f>+BC407</f>
        <v>8904</v>
      </c>
      <c r="BE407" s="1588">
        <f>(BI407-BD407)/4+BD407</f>
        <v>9335.75</v>
      </c>
      <c r="BF407" s="1588">
        <f>(BI407-BD407)/4+BE407</f>
        <v>9767.5</v>
      </c>
      <c r="BG407" s="1588">
        <f>(BI407-BD407)/4+BF407</f>
        <v>10199.25</v>
      </c>
      <c r="BH407" s="1590">
        <v>10631</v>
      </c>
      <c r="BI407" s="1525">
        <f>+BH407</f>
        <v>10631</v>
      </c>
      <c r="BJ407" s="646">
        <f t="shared" si="312"/>
        <v>10635.79173657193</v>
      </c>
      <c r="BK407" s="646">
        <f t="shared" si="312"/>
        <v>10660.992721505781</v>
      </c>
      <c r="BL407" s="646">
        <f t="shared" si="313"/>
        <v>10785.577872375947</v>
      </c>
      <c r="BM407" s="646">
        <f t="shared" si="313"/>
        <v>11002.093376737201</v>
      </c>
      <c r="BN407" s="1525">
        <f>BM407</f>
        <v>11002.093376737201</v>
      </c>
      <c r="BO407" s="646">
        <f t="shared" si="305"/>
        <v>11212.929785902093</v>
      </c>
      <c r="BP407" s="646">
        <f>BO407*(1+(BP$414/BO$414-1))</f>
        <v>11259.24990609741</v>
      </c>
      <c r="BQ407" s="646">
        <f t="shared" si="305"/>
        <v>11440.89221651851</v>
      </c>
      <c r="BR407" s="646">
        <f t="shared" si="305"/>
        <v>11729.372505321149</v>
      </c>
      <c r="BS407" s="1525">
        <f>BR407</f>
        <v>11729.372505321149</v>
      </c>
      <c r="BT407" s="646">
        <f>BS407*(1+(BT$414/BS$414-1))</f>
        <v>11949.614915905013</v>
      </c>
      <c r="BU407" s="646">
        <f t="shared" si="306"/>
        <v>12925.798138641961</v>
      </c>
      <c r="BV407" s="646">
        <f t="shared" si="306"/>
        <v>13041.6871749927</v>
      </c>
      <c r="BW407" s="646">
        <f>BV407*(1+(BW$414/BV$414-1))</f>
        <v>13748.557055214726</v>
      </c>
      <c r="BX407" s="1525">
        <f>BW407</f>
        <v>13748.557055214726</v>
      </c>
      <c r="BY407" s="646">
        <f>BX407*(1+(BY$414/BX$414-1))</f>
        <v>12635.188189140688</v>
      </c>
      <c r="BZ407" s="646">
        <f t="shared" si="307"/>
        <v>12914.883627561454</v>
      </c>
      <c r="CA407" s="646">
        <f t="shared" si="307"/>
        <v>13153.228154083718</v>
      </c>
      <c r="CB407" s="646">
        <f>CA407*(1+(CB$414/CA$414-1))</f>
        <v>13557.24253578732</v>
      </c>
      <c r="CC407" s="1525">
        <f>CB407</f>
        <v>13557.24253578732</v>
      </c>
      <c r="CD407" s="646">
        <f t="shared" si="307"/>
        <v>13716.878352322523</v>
      </c>
      <c r="CE407" s="646">
        <f t="shared" si="308"/>
        <v>13964.273936813988</v>
      </c>
      <c r="CF407" s="646">
        <f t="shared" si="308"/>
        <v>14093.029673218978</v>
      </c>
      <c r="CG407" s="3081">
        <f>+CF407*(1+(SUM(Rooms!$CI$605:$CI$620,Rooms!$CI$639:$CI$653)/SUM(Rooms!$CH$605:$CH$620,Rooms!$CH$639:$CH$653)-1))+25203</f>
        <v>39830.584850368759</v>
      </c>
      <c r="CH407" s="1525">
        <f>CG407</f>
        <v>39830.584850368759</v>
      </c>
      <c r="CI407" s="646">
        <f t="shared" ca="1" si="309"/>
        <v>40194.035614245702</v>
      </c>
      <c r="CJ407" s="646">
        <f t="shared" ca="1" si="309"/>
        <v>40704.586764117084</v>
      </c>
      <c r="CK407" s="646">
        <f t="shared" ca="1" si="309"/>
        <v>41495.712074670359</v>
      </c>
      <c r="CL407" s="646">
        <f t="shared" ca="1" si="309"/>
        <v>42348.603910246362</v>
      </c>
      <c r="CM407" s="1525">
        <f ca="1">CL407</f>
        <v>42348.603910246362</v>
      </c>
      <c r="CN407" s="646">
        <f t="shared" ca="1" si="310"/>
        <v>42509.371117220529</v>
      </c>
      <c r="CO407" s="646">
        <f t="shared" ca="1" si="310"/>
        <v>43352.871760348222</v>
      </c>
      <c r="CP407" s="646">
        <f t="shared" ca="1" si="310"/>
        <v>44309.182874132246</v>
      </c>
      <c r="CQ407" s="646">
        <f t="shared" ca="1" si="310"/>
        <v>45216.994421016876</v>
      </c>
      <c r="CR407" s="1525">
        <f ca="1">CQ407</f>
        <v>45216.994421016876</v>
      </c>
      <c r="CS407" s="1604">
        <f t="shared" ca="1" si="311"/>
        <v>47941.296574190135</v>
      </c>
      <c r="CT407" s="1604">
        <f t="shared" ca="1" si="311"/>
        <v>49157.342059680297</v>
      </c>
      <c r="DB407" s="1226"/>
    </row>
    <row r="408" spans="1:106" s="212" customFormat="1" x14ac:dyDescent="0.2">
      <c r="A408" s="1580" t="s">
        <v>808</v>
      </c>
      <c r="B408" s="1591"/>
      <c r="C408" s="1591"/>
      <c r="D408" s="1591"/>
      <c r="E408" s="1591"/>
      <c r="F408" s="1526"/>
      <c r="G408" s="1591"/>
      <c r="H408" s="1591"/>
      <c r="I408" s="1591"/>
      <c r="J408" s="1591"/>
      <c r="K408" s="1526"/>
      <c r="L408" s="1591"/>
      <c r="M408" s="1591"/>
      <c r="N408" s="1591"/>
      <c r="O408" s="1591"/>
      <c r="P408" s="1526"/>
      <c r="Q408" s="1591"/>
      <c r="R408" s="1591"/>
      <c r="S408" s="1591"/>
      <c r="T408" s="1591"/>
      <c r="U408" s="1526"/>
      <c r="V408" s="1591"/>
      <c r="W408" s="1591"/>
      <c r="X408" s="1591"/>
      <c r="Y408" s="1591"/>
      <c r="Z408" s="1526"/>
      <c r="AA408" s="1591"/>
      <c r="AB408" s="1591"/>
      <c r="AC408" s="1591"/>
      <c r="AD408" s="1592">
        <v>31078</v>
      </c>
      <c r="AE408" s="1526">
        <f>AD408</f>
        <v>31078</v>
      </c>
      <c r="AF408" s="1591">
        <f>(AJ408-AE408)/4+AE408</f>
        <v>30940</v>
      </c>
      <c r="AG408" s="1591">
        <f>(AJ408-AE408)/4+AF408</f>
        <v>30802</v>
      </c>
      <c r="AH408" s="1591">
        <f>(AJ408-AE408)/4+AG408</f>
        <v>30664</v>
      </c>
      <c r="AI408" s="1592">
        <v>30526</v>
      </c>
      <c r="AJ408" s="1526">
        <f>AI408</f>
        <v>30526</v>
      </c>
      <c r="AK408" s="1591">
        <f>(AO408-AJ408)/4+AJ408</f>
        <v>30842.75</v>
      </c>
      <c r="AL408" s="1591">
        <f>(AO408-AJ408)/4+AK408</f>
        <v>31159.5</v>
      </c>
      <c r="AM408" s="1591">
        <f>(AO408-AJ408)/4+AL408</f>
        <v>31476.25</v>
      </c>
      <c r="AN408" s="1592">
        <v>31793</v>
      </c>
      <c r="AO408" s="1526">
        <f>AN408</f>
        <v>31793</v>
      </c>
      <c r="AP408" s="1591">
        <f>(AT408-AO408)/4+AO408</f>
        <v>33017.75</v>
      </c>
      <c r="AQ408" s="1591">
        <f>(AT408-AO408)/4+AP408</f>
        <v>34242.5</v>
      </c>
      <c r="AR408" s="1591">
        <f>(AT408-AO408)/4+AQ408</f>
        <v>35467.25</v>
      </c>
      <c r="AS408" s="1592">
        <v>36692</v>
      </c>
      <c r="AT408" s="1526">
        <f>AS408</f>
        <v>36692</v>
      </c>
      <c r="AU408" s="1591">
        <f>(AY408-AT408)/4+AT408</f>
        <v>37773</v>
      </c>
      <c r="AV408" s="1591">
        <f>(AY408-AT408)/4+AU408</f>
        <v>38854</v>
      </c>
      <c r="AW408" s="1591">
        <f>(AY408-AT408)/4+AV408</f>
        <v>39935</v>
      </c>
      <c r="AX408" s="1592">
        <v>41016</v>
      </c>
      <c r="AY408" s="1526">
        <f>AX408</f>
        <v>41016</v>
      </c>
      <c r="AZ408" s="1591">
        <f>(BD408-AY408)/4+AY408</f>
        <v>41741.75</v>
      </c>
      <c r="BA408" s="1591">
        <f>(BD408-AY408)/4+AZ408</f>
        <v>42467.5</v>
      </c>
      <c r="BB408" s="1591">
        <f>(BD408-AY408)/4+BA408</f>
        <v>43193.25</v>
      </c>
      <c r="BC408" s="1592">
        <v>43919</v>
      </c>
      <c r="BD408" s="1526">
        <f>+BC408</f>
        <v>43919</v>
      </c>
      <c r="BE408" s="1591">
        <f>(BI408-BD408)/4+BD408</f>
        <v>44299.5</v>
      </c>
      <c r="BF408" s="1591">
        <f>(BI408-BD408)/4+BE408</f>
        <v>44680</v>
      </c>
      <c r="BG408" s="1591">
        <f>(BI408-BD408)/4+BF408</f>
        <v>45060.5</v>
      </c>
      <c r="BH408" s="1593">
        <f>43673+1768</f>
        <v>45441</v>
      </c>
      <c r="BI408" s="1526">
        <f>+BH408</f>
        <v>45441</v>
      </c>
      <c r="BJ408" s="728">
        <f t="shared" si="312"/>
        <v>45461.481732815831</v>
      </c>
      <c r="BK408" s="728">
        <f t="shared" si="312"/>
        <v>45569.200475773141</v>
      </c>
      <c r="BL408" s="728">
        <f t="shared" si="313"/>
        <v>46101.725528984614</v>
      </c>
      <c r="BM408" s="728">
        <f t="shared" si="313"/>
        <v>47027.196419181186</v>
      </c>
      <c r="BN408" s="1526">
        <f>BM408</f>
        <v>47027.196419181186</v>
      </c>
      <c r="BO408" s="728">
        <f t="shared" si="305"/>
        <v>47928.392663077517</v>
      </c>
      <c r="BP408" s="728">
        <f>BO408*(1+(BP$414/BO$414-1))</f>
        <v>48126.382746963827</v>
      </c>
      <c r="BQ408" s="728">
        <f t="shared" si="305"/>
        <v>48902.792137223005</v>
      </c>
      <c r="BR408" s="728">
        <f t="shared" si="305"/>
        <v>50135.868311005404</v>
      </c>
      <c r="BS408" s="1526">
        <f>BR408</f>
        <v>50135.868311005404</v>
      </c>
      <c r="BT408" s="728">
        <f>BS408*(1+(BT$414/BS$414-1))</f>
        <v>51077.269437836498</v>
      </c>
      <c r="BU408" s="728">
        <f t="shared" si="306"/>
        <v>55249.853562038334</v>
      </c>
      <c r="BV408" s="728">
        <f t="shared" si="306"/>
        <v>55745.208063102567</v>
      </c>
      <c r="BW408" s="728">
        <f>BV408*(1+(BW$414/BV$414-1))</f>
        <v>58766.642944785301</v>
      </c>
      <c r="BX408" s="1526">
        <f>BW408</f>
        <v>58766.642944785301</v>
      </c>
      <c r="BY408" s="728">
        <f>BX408*(1+(BY$414/BX$414-1))</f>
        <v>54007.674395893344</v>
      </c>
      <c r="BZ408" s="728">
        <f t="shared" si="307"/>
        <v>55203.200726180054</v>
      </c>
      <c r="CA408" s="728">
        <f t="shared" si="307"/>
        <v>56221.977288093156</v>
      </c>
      <c r="CB408" s="728">
        <f>CA408*(1+(CB$414/CA$414-1))</f>
        <v>57948.890797546024</v>
      </c>
      <c r="CC408" s="1526">
        <f>CB408</f>
        <v>57948.890797546024</v>
      </c>
      <c r="CD408" s="728">
        <f t="shared" si="307"/>
        <v>58631.235933391778</v>
      </c>
      <c r="CE408" s="728">
        <f t="shared" si="308"/>
        <v>59688.700212845892</v>
      </c>
      <c r="CF408" s="728">
        <f t="shared" si="308"/>
        <v>60239.051959434095</v>
      </c>
      <c r="CG408" s="3080">
        <f>+CG409-SUM(CG405:CG407)</f>
        <v>167098.57861046647</v>
      </c>
      <c r="CH408" s="1526">
        <f>CG408</f>
        <v>167098.57861046647</v>
      </c>
      <c r="CI408" s="728">
        <f t="shared" ca="1" si="309"/>
        <v>168623.33920002039</v>
      </c>
      <c r="CJ408" s="728">
        <f t="shared" ca="1" si="309"/>
        <v>170765.22016340418</v>
      </c>
      <c r="CK408" s="728">
        <f t="shared" ca="1" si="309"/>
        <v>174084.17506684925</v>
      </c>
      <c r="CL408" s="728">
        <f t="shared" ca="1" si="309"/>
        <v>177662.25492604825</v>
      </c>
      <c r="CM408" s="1526">
        <f ca="1">CL408</f>
        <v>177662.25492604825</v>
      </c>
      <c r="CN408" s="728">
        <f t="shared" ca="1" si="310"/>
        <v>178336.71079641717</v>
      </c>
      <c r="CO408" s="728">
        <f t="shared" ca="1" si="310"/>
        <v>181875.39241641221</v>
      </c>
      <c r="CP408" s="728">
        <f t="shared" ca="1" si="310"/>
        <v>185887.34023046051</v>
      </c>
      <c r="CQ408" s="728">
        <f t="shared" ca="1" si="310"/>
        <v>189695.82106749713</v>
      </c>
      <c r="CR408" s="1526">
        <f ca="1">CQ408</f>
        <v>189695.82106749713</v>
      </c>
      <c r="CS408" s="1605">
        <f t="shared" ca="1" si="311"/>
        <v>201124.90299563934</v>
      </c>
      <c r="CT408" s="1605">
        <f t="shared" ca="1" si="311"/>
        <v>206226.49698213086</v>
      </c>
      <c r="DB408" s="1226"/>
    </row>
    <row r="409" spans="1:106" s="212" customFormat="1" x14ac:dyDescent="0.2">
      <c r="A409" s="1435" t="s">
        <v>76</v>
      </c>
      <c r="B409" s="1594"/>
      <c r="C409" s="1594"/>
      <c r="D409" s="1594"/>
      <c r="E409" s="1594"/>
      <c r="F409" s="1527"/>
      <c r="G409" s="1594"/>
      <c r="H409" s="1594"/>
      <c r="I409" s="1594"/>
      <c r="J409" s="1594"/>
      <c r="K409" s="1527"/>
      <c r="L409" s="1594"/>
      <c r="M409" s="1594"/>
      <c r="N409" s="1594"/>
      <c r="O409" s="1594"/>
      <c r="P409" s="1527"/>
      <c r="Q409" s="1594"/>
      <c r="R409" s="1594"/>
      <c r="S409" s="1594"/>
      <c r="T409" s="1594"/>
      <c r="U409" s="1527"/>
      <c r="V409" s="1594"/>
      <c r="W409" s="1594"/>
      <c r="X409" s="1594"/>
      <c r="Y409" s="1594"/>
      <c r="Z409" s="1527"/>
      <c r="AA409" s="1594"/>
      <c r="AB409" s="1594"/>
      <c r="AC409" s="1594"/>
      <c r="AD409" s="1594">
        <f>SUM(AD405:AD408)</f>
        <v>89834</v>
      </c>
      <c r="AE409" s="1527">
        <f>AD409</f>
        <v>89834</v>
      </c>
      <c r="AF409" s="1594">
        <f>SUM(AF405:AF408)</f>
        <v>90773.5</v>
      </c>
      <c r="AG409" s="1594">
        <f>SUM(AG405:AG408)</f>
        <v>91713</v>
      </c>
      <c r="AH409" s="1594">
        <f>SUM(AH405:AH408)</f>
        <v>92652.5</v>
      </c>
      <c r="AI409" s="1594">
        <f>SUM(AI405:AI408)</f>
        <v>93592</v>
      </c>
      <c r="AJ409" s="1527">
        <f>AI409</f>
        <v>93592</v>
      </c>
      <c r="AK409" s="1594">
        <f>SUM(AK405:AK408)</f>
        <v>94287</v>
      </c>
      <c r="AL409" s="1594">
        <f>SUM(AL405:AL408)</f>
        <v>94982</v>
      </c>
      <c r="AM409" s="1594">
        <f>SUM(AM405:AM408)</f>
        <v>95677</v>
      </c>
      <c r="AN409" s="1594">
        <f>SUM(AN405:AN408)</f>
        <v>96372</v>
      </c>
      <c r="AO409" s="1527">
        <f>AN409</f>
        <v>96372</v>
      </c>
      <c r="AP409" s="1594">
        <f>SUM(AP405:AP408)</f>
        <v>97208.25</v>
      </c>
      <c r="AQ409" s="1594">
        <f>SUM(AQ405:AQ408)</f>
        <v>98044.5</v>
      </c>
      <c r="AR409" s="1594">
        <f>SUM(AR405:AR408)</f>
        <v>98880.75</v>
      </c>
      <c r="AS409" s="1594">
        <f>SUM(AS405:AS408)</f>
        <v>99717</v>
      </c>
      <c r="AT409" s="1527">
        <f>AS409</f>
        <v>99717</v>
      </c>
      <c r="AU409" s="1594">
        <f>SUM(AU405:AU408)</f>
        <v>101411.75</v>
      </c>
      <c r="AV409" s="1594">
        <f>SUM(AV405:AV408)</f>
        <v>103106.5</v>
      </c>
      <c r="AW409" s="1594">
        <f>SUM(AW405:AW408)</f>
        <v>104801.25</v>
      </c>
      <c r="AX409" s="1594">
        <f>SUM(AX405:AX408)</f>
        <v>106496</v>
      </c>
      <c r="AY409" s="1527">
        <f>AX409</f>
        <v>106496</v>
      </c>
      <c r="AZ409" s="1594">
        <f>SUM(AZ405:AZ408)</f>
        <v>107805.25</v>
      </c>
      <c r="BA409" s="1594">
        <f>SUM(BA405:BA408)</f>
        <v>109114.5</v>
      </c>
      <c r="BB409" s="1594">
        <f>SUM(BB405:BB408)</f>
        <v>110423.75</v>
      </c>
      <c r="BC409" s="1594">
        <f>SUM(BC405:BC408)</f>
        <v>111733</v>
      </c>
      <c r="BD409" s="1527">
        <f>+BC409</f>
        <v>111733</v>
      </c>
      <c r="BE409" s="1594">
        <f>SUM(BE405:BE408)</f>
        <v>113418</v>
      </c>
      <c r="BF409" s="1594">
        <f>SUM(BF405:BF408)</f>
        <v>115103</v>
      </c>
      <c r="BG409" s="1594">
        <f>SUM(BG405:BG408)</f>
        <v>116788</v>
      </c>
      <c r="BH409" s="1594">
        <f>+SUM(BH405:BH408)</f>
        <v>118473</v>
      </c>
      <c r="BI409" s="1527">
        <f>+BH409</f>
        <v>118473</v>
      </c>
      <c r="BJ409" s="730">
        <f>+SUM(BJ405:BJ408)</f>
        <v>118526.39962438965</v>
      </c>
      <c r="BK409" s="730">
        <f>+SUM(BK405:BK408)</f>
        <v>118807.24209340179</v>
      </c>
      <c r="BL409" s="730">
        <f>+SUM(BL405:BL408)</f>
        <v>120195.63232753228</v>
      </c>
      <c r="BM409" s="730">
        <f>+SUM(BM405:BM408)</f>
        <v>122608.50424439718</v>
      </c>
      <c r="BN409" s="1747">
        <f>BM409</f>
        <v>122608.50424439718</v>
      </c>
      <c r="BO409" s="730">
        <f>+SUM(BO405:BO408)</f>
        <v>124958.08771754103</v>
      </c>
      <c r="BP409" s="730">
        <f>+SUM(BP405:BP408)</f>
        <v>125474.28408664081</v>
      </c>
      <c r="BQ409" s="730">
        <f>+SUM(BQ405:BQ408)</f>
        <v>127498.52540378117</v>
      </c>
      <c r="BR409" s="730">
        <f>+SUM(BR405:BR408)</f>
        <v>130713.38056842372</v>
      </c>
      <c r="BS409" s="1747">
        <f>BR409</f>
        <v>130713.38056842372</v>
      </c>
      <c r="BT409" s="730">
        <f>+SUM(BT405:BT408)</f>
        <v>133167.78552648055</v>
      </c>
      <c r="BU409" s="730">
        <f>+SUM(BU405:BU408)</f>
        <v>144046.47567296861</v>
      </c>
      <c r="BV409" s="730">
        <f>+SUM(BV405:BV408)</f>
        <v>145337.95547765121</v>
      </c>
      <c r="BW409" s="730">
        <f>+SUM(BW405:BW408)</f>
        <v>153215.38895705523</v>
      </c>
      <c r="BX409" s="1747">
        <f>BW409</f>
        <v>153215.38895705523</v>
      </c>
      <c r="BY409" s="730">
        <f>+SUM(BY405:BY408)</f>
        <v>140807.88734193068</v>
      </c>
      <c r="BZ409" s="730">
        <f>+SUM(BZ405:BZ408)</f>
        <v>143924.8431951922</v>
      </c>
      <c r="CA409" s="730">
        <f>+SUM(CA405:CA408)</f>
        <v>146580.98006760987</v>
      </c>
      <c r="CB409" s="730">
        <f>+SUM(CB405:CB408)</f>
        <v>151083.35950920245</v>
      </c>
      <c r="CC409" s="1747">
        <f>CB409</f>
        <v>151083.35950920245</v>
      </c>
      <c r="CD409" s="730">
        <f>+SUM(CD405:CD408)</f>
        <v>152862.35810692378</v>
      </c>
      <c r="CE409" s="730">
        <f>+SUM(CE405:CE408)</f>
        <v>155619.36093652187</v>
      </c>
      <c r="CF409" s="730">
        <f>+SUM(CF405:CF408)</f>
        <v>157054.22862150994</v>
      </c>
      <c r="CG409" s="3079">
        <f>+(Rooms!CI668+Rooms!CI635-Rooms!CI621)</f>
        <v>356606</v>
      </c>
      <c r="CH409" s="1747">
        <f>CG409</f>
        <v>356606</v>
      </c>
      <c r="CI409" s="730">
        <f ca="1">+SUM(CI405:CI408)</f>
        <v>359860</v>
      </c>
      <c r="CJ409" s="730">
        <f ca="1">+SUM(CJ405:CJ408)</f>
        <v>364431</v>
      </c>
      <c r="CK409" s="730">
        <f ca="1">+SUM(CK405:CK408)</f>
        <v>371514</v>
      </c>
      <c r="CL409" s="730">
        <f ca="1">+SUM(CL405:CL408)</f>
        <v>379150</v>
      </c>
      <c r="CM409" s="1747">
        <f ca="1">CL409</f>
        <v>379150</v>
      </c>
      <c r="CN409" s="730">
        <f t="shared" ref="CN409:CT409" ca="1" si="314">+SUM(CN405:CN408)</f>
        <v>380589.3600000001</v>
      </c>
      <c r="CO409" s="730">
        <f t="shared" ca="1" si="314"/>
        <v>388141.28</v>
      </c>
      <c r="CP409" s="730">
        <f t="shared" ca="1" si="314"/>
        <v>396703.19999999995</v>
      </c>
      <c r="CQ409" s="730">
        <f t="shared" ca="1" si="314"/>
        <v>404830.89999999997</v>
      </c>
      <c r="CR409" s="1747">
        <f ca="1">CQ409</f>
        <v>404830.89999999997</v>
      </c>
      <c r="CS409" s="1748">
        <f t="shared" ca="1" si="314"/>
        <v>429221.76689999999</v>
      </c>
      <c r="CT409" s="1748">
        <f t="shared" ca="1" si="314"/>
        <v>440109.10681799997</v>
      </c>
      <c r="CV409" s="2974"/>
      <c r="CW409" s="2974"/>
      <c r="CX409" s="2974"/>
      <c r="DB409" s="1226"/>
    </row>
    <row r="410" spans="1:106" s="212" customFormat="1" x14ac:dyDescent="0.2">
      <c r="A410" s="1571" t="s">
        <v>652</v>
      </c>
      <c r="B410" s="1594"/>
      <c r="C410" s="1594"/>
      <c r="D410" s="1594"/>
      <c r="E410" s="1594"/>
      <c r="F410" s="1527"/>
      <c r="G410" s="1594"/>
      <c r="H410" s="1594"/>
      <c r="I410" s="1594"/>
      <c r="J410" s="1594"/>
      <c r="K410" s="1527"/>
      <c r="L410" s="1594"/>
      <c r="M410" s="1594"/>
      <c r="N410" s="1594"/>
      <c r="O410" s="1594"/>
      <c r="P410" s="1527"/>
      <c r="Q410" s="1594"/>
      <c r="R410" s="1594"/>
      <c r="S410" s="1594"/>
      <c r="T410" s="1594"/>
      <c r="U410" s="1527"/>
      <c r="V410" s="1594"/>
      <c r="W410" s="1594"/>
      <c r="X410" s="1594"/>
      <c r="Y410" s="1594"/>
      <c r="Z410" s="1527"/>
      <c r="AA410" s="1594"/>
      <c r="AB410" s="1594"/>
      <c r="AC410" s="1594"/>
      <c r="AD410" s="1594"/>
      <c r="AE410" s="1527"/>
      <c r="AF410" s="1594"/>
      <c r="AG410" s="1594"/>
      <c r="AH410" s="1594"/>
      <c r="AI410" s="1594"/>
      <c r="AJ410" s="1527"/>
      <c r="AK410" s="885">
        <f>AK409/AF409-1</f>
        <v>3.8706230342555825E-2</v>
      </c>
      <c r="AL410" s="885">
        <f>AL409/AG409-1</f>
        <v>3.5643801860150592E-2</v>
      </c>
      <c r="AM410" s="885">
        <f>AM409/AH409-1</f>
        <v>3.2643479668654329E-2</v>
      </c>
      <c r="AN410" s="885">
        <f>AN409/AI409-1</f>
        <v>2.9703393452431781E-2</v>
      </c>
      <c r="AO410" s="1044">
        <f>+AO409/AJ409-1</f>
        <v>2.9703393452431781E-2</v>
      </c>
      <c r="AP410" s="885">
        <f>AP409/AK409-1</f>
        <v>3.0982532056381018E-2</v>
      </c>
      <c r="AQ410" s="885">
        <f>AQ409/AL409-1</f>
        <v>3.2242951296034938E-2</v>
      </c>
      <c r="AR410" s="885">
        <f>AR409/AM409-1</f>
        <v>3.3485059105114123E-2</v>
      </c>
      <c r="AS410" s="885">
        <f>AS409/AN409-1</f>
        <v>3.4709251649856832E-2</v>
      </c>
      <c r="AT410" s="1044">
        <f>+AT409/AO409-1</f>
        <v>3.4709251649856832E-2</v>
      </c>
      <c r="AU410" s="885">
        <f>AU409/AP409-1</f>
        <v>4.3242214523973033E-2</v>
      </c>
      <c r="AV410" s="885">
        <f>AV409/AQ409-1</f>
        <v>5.1629617163634789E-2</v>
      </c>
      <c r="AW410" s="885">
        <f>AW409/AR409-1</f>
        <v>5.9875152645990193E-2</v>
      </c>
      <c r="AX410" s="885">
        <f>AX409/AS409-1</f>
        <v>6.7982390164164519E-2</v>
      </c>
      <c r="AY410" s="1044">
        <f>+AY409/AT409-1</f>
        <v>6.7982390164164519E-2</v>
      </c>
      <c r="AZ410" s="885">
        <f>AZ409/AU409-1</f>
        <v>6.3044962738538768E-2</v>
      </c>
      <c r="BA410" s="885">
        <f>BA409/AV409-1</f>
        <v>5.8269847196830371E-2</v>
      </c>
      <c r="BB410" s="885">
        <f>BB409/AW409-1</f>
        <v>5.3649169260862717E-2</v>
      </c>
      <c r="BC410" s="885">
        <f>BC409/AX409-1</f>
        <v>4.9175555889423128E-2</v>
      </c>
      <c r="BD410" s="1044">
        <f>+BD409/AY409-1</f>
        <v>4.9175555889423128E-2</v>
      </c>
      <c r="BE410" s="885">
        <f>BE409/AZ409-1</f>
        <v>5.2063790956377254E-2</v>
      </c>
      <c r="BF410" s="885">
        <f>BF409/BA409-1</f>
        <v>5.4882714946226319E-2</v>
      </c>
      <c r="BG410" s="885">
        <f>BG409/BB409-1</f>
        <v>5.7634793239679016E-2</v>
      </c>
      <c r="BH410" s="885">
        <f>BH409/BC409-1</f>
        <v>6.032237566341192E-2</v>
      </c>
      <c r="BI410" s="1044">
        <f>+BI409/BD409-1</f>
        <v>6.032237566341192E-2</v>
      </c>
      <c r="BJ410" s="885">
        <f>BJ409/BE409-1</f>
        <v>4.5040466454968842E-2</v>
      </c>
      <c r="BK410" s="885">
        <f>BK409/BF409-1</f>
        <v>3.2181976954569258E-2</v>
      </c>
      <c r="BL410" s="885">
        <f>BL409/BG409-1</f>
        <v>2.9177932043808363E-2</v>
      </c>
      <c r="BM410" s="885">
        <f>BM409/BH409-1</f>
        <v>3.4906723425566888E-2</v>
      </c>
      <c r="BN410" s="1044">
        <f>+BN409/BI409-1</f>
        <v>3.4906723425566888E-2</v>
      </c>
      <c r="BO410" s="885">
        <f>BO409/BJ409-1</f>
        <v>5.4263759917903442E-2</v>
      </c>
      <c r="BP410" s="885">
        <f>BP409/BK409-1</f>
        <v>5.6116461217049718E-2</v>
      </c>
      <c r="BQ410" s="885">
        <f>BQ409/BL409-1</f>
        <v>6.0758389758694076E-2</v>
      </c>
      <c r="BR410" s="885">
        <f>BR409/BM409-1</f>
        <v>6.6103704420624743E-2</v>
      </c>
      <c r="BS410" s="1044">
        <f>+BS409/BN409-1</f>
        <v>6.6103704420624743E-2</v>
      </c>
      <c r="BT410" s="885">
        <f>BT409/BO409-1</f>
        <v>6.569961143689218E-2</v>
      </c>
      <c r="BU410" s="885">
        <f>BU409/BP409-1</f>
        <v>0.14801591992749352</v>
      </c>
      <c r="BV410" s="885">
        <f>BV409/BQ409-1</f>
        <v>0.13991871684298696</v>
      </c>
      <c r="BW410" s="885">
        <f>BW409/BR409-1</f>
        <v>0.17214770431901205</v>
      </c>
      <c r="BX410" s="1044">
        <f>+BX409/BS409-1</f>
        <v>0.17214770431901205</v>
      </c>
      <c r="BY410" s="885">
        <f>BY409/BT409-1</f>
        <v>5.7371997178182976E-2</v>
      </c>
      <c r="BZ410" s="885">
        <f>BZ409/BU409-1</f>
        <v>-8.4439745719677717E-4</v>
      </c>
      <c r="CA410" s="885">
        <f>CA409/BV409-1</f>
        <v>8.5526494842553813E-3</v>
      </c>
      <c r="CB410" s="885">
        <f>CB409/BW409-1</f>
        <v>-1.3915243516761655E-2</v>
      </c>
      <c r="CC410" s="1044">
        <f>+CC409/BX409-1</f>
        <v>-1.3915243516761655E-2</v>
      </c>
      <c r="CD410" s="885">
        <f>CD409/BY409-1</f>
        <v>8.5609343287145867E-2</v>
      </c>
      <c r="CE410" s="885">
        <f>CE409/BZ409-1</f>
        <v>8.1254337206186689E-2</v>
      </c>
      <c r="CF410" s="885">
        <f>CF409/CA409-1</f>
        <v>7.1450256022775438E-2</v>
      </c>
      <c r="CG410" s="885">
        <f>CG409/CB409-1</f>
        <v>1.3603261216750955</v>
      </c>
      <c r="CH410" s="1044">
        <f>+CH409/CC409-1</f>
        <v>1.3603261216750955</v>
      </c>
      <c r="CI410" s="885">
        <f ca="1">CI409/CD409-1</f>
        <v>1.3541439793064427</v>
      </c>
      <c r="CJ410" s="885">
        <f ca="1">CJ409/CE409-1</f>
        <v>1.3418101565694882</v>
      </c>
      <c r="CK410" s="885">
        <f ca="1">CK409/CF409-1</f>
        <v>1.365514149226275</v>
      </c>
      <c r="CL410" s="885">
        <f ca="1">CL409/CG409-1</f>
        <v>6.3218229642798995E-2</v>
      </c>
      <c r="CM410" s="1044">
        <f ca="1">+CM409/CH409-1</f>
        <v>6.3218229642798995E-2</v>
      </c>
      <c r="CN410" s="885">
        <f ca="1">CN409/CI409-1</f>
        <v>5.7603957094425784E-2</v>
      </c>
      <c r="CO410" s="885">
        <f ca="1">CO409/CJ409-1</f>
        <v>6.506109524162329E-2</v>
      </c>
      <c r="CP410" s="885">
        <f ca="1">CP409/CK409-1</f>
        <v>6.7801482582082961E-2</v>
      </c>
      <c r="CQ410" s="885">
        <f ca="1">CQ409/CL409-1</f>
        <v>6.7732823420809662E-2</v>
      </c>
      <c r="CR410" s="1044">
        <f ca="1">+CR409/CM409-1</f>
        <v>6.7732823420809662E-2</v>
      </c>
      <c r="CS410" s="1640">
        <f ca="1">CS409/CR409-1</f>
        <v>6.0249518749680542E-2</v>
      </c>
      <c r="CT410" s="1640">
        <f ca="1">CT409/CS409-1</f>
        <v>2.536530240913093E-2</v>
      </c>
      <c r="DB410" s="1226"/>
    </row>
    <row r="411" spans="1:106" s="212" customFormat="1" x14ac:dyDescent="0.2">
      <c r="A411" s="1435"/>
      <c r="B411" s="1594"/>
      <c r="C411" s="1594"/>
      <c r="D411" s="1594"/>
      <c r="E411" s="1594"/>
      <c r="F411" s="1527"/>
      <c r="G411" s="1594"/>
      <c r="H411" s="1594"/>
      <c r="I411" s="1594"/>
      <c r="J411" s="1594"/>
      <c r="K411" s="1527"/>
      <c r="L411" s="1594"/>
      <c r="M411" s="1594"/>
      <c r="N411" s="1594"/>
      <c r="O411" s="1594"/>
      <c r="P411" s="1527"/>
      <c r="Q411" s="1594"/>
      <c r="R411" s="1594"/>
      <c r="S411" s="1594"/>
      <c r="T411" s="1594"/>
      <c r="U411" s="1527"/>
      <c r="V411" s="1594"/>
      <c r="W411" s="1594"/>
      <c r="X411" s="1594"/>
      <c r="Y411" s="1594"/>
      <c r="Z411" s="1527"/>
      <c r="AA411" s="1594"/>
      <c r="AB411" s="1594"/>
      <c r="AC411" s="1594"/>
      <c r="AD411" s="1594"/>
      <c r="AE411" s="1527"/>
      <c r="AF411" s="1594"/>
      <c r="AG411" s="1594"/>
      <c r="AH411" s="1594"/>
      <c r="AI411" s="1594"/>
      <c r="AJ411" s="1527"/>
      <c r="AK411" s="1594"/>
      <c r="AL411" s="1594"/>
      <c r="AM411" s="1594"/>
      <c r="AN411" s="1594"/>
      <c r="AO411" s="1527"/>
      <c r="AP411" s="1594"/>
      <c r="AQ411" s="1594"/>
      <c r="AR411" s="1594"/>
      <c r="AS411" s="1594"/>
      <c r="AT411" s="1527"/>
      <c r="AU411" s="1594"/>
      <c r="AV411" s="1594"/>
      <c r="AW411" s="1594"/>
      <c r="AX411" s="1594"/>
      <c r="AY411" s="1527"/>
      <c r="AZ411" s="1594"/>
      <c r="BA411" s="1594"/>
      <c r="BB411" s="1594"/>
      <c r="BC411" s="1594"/>
      <c r="BD411" s="1527"/>
      <c r="BE411" s="1594"/>
      <c r="BF411" s="1594"/>
      <c r="BG411" s="1594"/>
      <c r="BH411" s="1594"/>
      <c r="BI411" s="1527"/>
      <c r="BJ411" s="1193"/>
      <c r="BK411" s="1193"/>
      <c r="BL411" s="1193"/>
      <c r="BM411" s="730"/>
      <c r="BN411" s="1527"/>
      <c r="BO411" s="1193"/>
      <c r="BP411" s="1193"/>
      <c r="BQ411" s="1193"/>
      <c r="BR411" s="730"/>
      <c r="BS411" s="1527"/>
      <c r="BT411" s="1193"/>
      <c r="BU411" s="1193"/>
      <c r="BV411" s="1193"/>
      <c r="BW411" s="730"/>
      <c r="BX411" s="1527"/>
      <c r="BY411" s="1193"/>
      <c r="BZ411" s="1193"/>
      <c r="CA411" s="1193"/>
      <c r="CB411" s="730"/>
      <c r="CC411" s="1527"/>
      <c r="CD411" s="1193"/>
      <c r="CE411" s="1193"/>
      <c r="CF411" s="1193"/>
      <c r="CG411" s="3189"/>
      <c r="CH411" s="1527"/>
      <c r="CI411" s="1193"/>
      <c r="CJ411" s="1193"/>
      <c r="CK411" s="1193"/>
      <c r="CL411" s="730"/>
      <c r="CM411" s="1527"/>
      <c r="CN411" s="1193"/>
      <c r="CO411" s="1193"/>
      <c r="CP411" s="1193"/>
      <c r="CQ411" s="1193"/>
      <c r="CR411" s="1527"/>
      <c r="CS411" s="1572"/>
      <c r="CT411" s="1572"/>
      <c r="DB411" s="1226"/>
    </row>
    <row r="412" spans="1:106" s="212" customFormat="1" x14ac:dyDescent="0.2">
      <c r="A412" s="1434" t="s">
        <v>2059</v>
      </c>
      <c r="B412" s="1594"/>
      <c r="C412" s="1594"/>
      <c r="D412" s="1594"/>
      <c r="E412" s="1594"/>
      <c r="F412" s="1527"/>
      <c r="G412" s="1594"/>
      <c r="H412" s="1594"/>
      <c r="I412" s="1594"/>
      <c r="J412" s="1594"/>
      <c r="K412" s="1527"/>
      <c r="L412" s="1594"/>
      <c r="M412" s="1594"/>
      <c r="N412" s="1594"/>
      <c r="O412" s="1594"/>
      <c r="P412" s="1527"/>
      <c r="Q412" s="1594"/>
      <c r="R412" s="1594"/>
      <c r="S412" s="1594"/>
      <c r="T412" s="1594"/>
      <c r="U412" s="1527"/>
      <c r="V412" s="1594"/>
      <c r="W412" s="1594"/>
      <c r="X412" s="1594"/>
      <c r="Y412" s="1594"/>
      <c r="Z412" s="1527"/>
      <c r="AA412" s="1594"/>
      <c r="AB412" s="1594"/>
      <c r="AC412" s="1594"/>
      <c r="AD412" s="1594"/>
      <c r="AE412" s="1527"/>
      <c r="AF412" s="1588">
        <f>Rooms!AH635-Rooms!AH621</f>
        <v>68496</v>
      </c>
      <c r="AG412" s="1588">
        <f>Rooms!AI635-Rooms!AI621</f>
        <v>70653</v>
      </c>
      <c r="AH412" s="1588">
        <f>Rooms!AJ635-Rooms!AJ621</f>
        <v>71572</v>
      </c>
      <c r="AI412" s="1588">
        <f>Rooms!AK635-Rooms!AK621</f>
        <v>71479</v>
      </c>
      <c r="AJ412" s="1525">
        <f>+AI412</f>
        <v>71479</v>
      </c>
      <c r="AK412" s="1588">
        <f>Rooms!AM635-Rooms!AM621</f>
        <v>72326</v>
      </c>
      <c r="AL412" s="1588">
        <f>Rooms!AN635-Rooms!AN621</f>
        <v>72782</v>
      </c>
      <c r="AM412" s="1588">
        <f>Rooms!AO635-Rooms!AO621</f>
        <v>74992</v>
      </c>
      <c r="AN412" s="1588">
        <f>Rooms!AP635-Rooms!AP621</f>
        <v>74917</v>
      </c>
      <c r="AO412" s="1525">
        <f>+AN412</f>
        <v>74917</v>
      </c>
      <c r="AP412" s="1588">
        <f>Rooms!AR635-Rooms!AR621</f>
        <v>74282</v>
      </c>
      <c r="AQ412" s="1588">
        <f>Rooms!AS635-Rooms!AS621</f>
        <v>74638</v>
      </c>
      <c r="AR412" s="1588">
        <f>Rooms!AT635-Rooms!AT621</f>
        <v>76500</v>
      </c>
      <c r="AS412" s="1588">
        <f>Rooms!AU635-Rooms!AU621</f>
        <v>77431</v>
      </c>
      <c r="AT412" s="1525">
        <f>+AS412</f>
        <v>77431</v>
      </c>
      <c r="AU412" s="1588">
        <f>Rooms!AW635-Rooms!AW621</f>
        <v>79905</v>
      </c>
      <c r="AV412" s="1588">
        <f>Rooms!AX635-Rooms!AX621</f>
        <v>81104</v>
      </c>
      <c r="AW412" s="1588">
        <f>Rooms!AY635-Rooms!AY621</f>
        <v>81442</v>
      </c>
      <c r="AX412" s="1588">
        <f>Rooms!AZ635-Rooms!AZ621</f>
        <v>82716</v>
      </c>
      <c r="AY412" s="1525">
        <f>+AX412</f>
        <v>82716</v>
      </c>
      <c r="AZ412" s="1588">
        <f>Rooms!BB635-Rooms!BB621</f>
        <v>83176</v>
      </c>
      <c r="BA412" s="1588">
        <f>Rooms!BC635-Rooms!BC621</f>
        <v>83863</v>
      </c>
      <c r="BB412" s="1588">
        <f>Rooms!BD635-Rooms!BD621</f>
        <v>84787</v>
      </c>
      <c r="BC412" s="1588">
        <f>Rooms!BE635-Rooms!BE621</f>
        <v>84348</v>
      </c>
      <c r="BD412" s="1525">
        <f>+BC412</f>
        <v>84348</v>
      </c>
      <c r="BE412" s="1588">
        <f>Rooms!BG635-Rooms!BG621</f>
        <v>86176</v>
      </c>
      <c r="BF412" s="1588">
        <f>Rooms!BH635-Rooms!BH621</f>
        <v>86595</v>
      </c>
      <c r="BG412" s="1588">
        <f>Rooms!BI635-Rooms!BI621</f>
        <v>87654</v>
      </c>
      <c r="BH412" s="1588">
        <f>Rooms!BJ635-Rooms!BJ621</f>
        <v>89596</v>
      </c>
      <c r="BI412" s="1525">
        <f>+BH412</f>
        <v>89596</v>
      </c>
      <c r="BJ412" s="847">
        <f>Rooms!BL635-Rooms!BL621</f>
        <v>88705</v>
      </c>
      <c r="BK412" s="847">
        <f>Rooms!BM635-Rooms!BM621</f>
        <v>89043</v>
      </c>
      <c r="BL412" s="847">
        <f>Rooms!BN635-Rooms!BN621</f>
        <v>90080</v>
      </c>
      <c r="BM412" s="847">
        <f>Rooms!BO635-Rooms!BO621</f>
        <v>91029</v>
      </c>
      <c r="BN412" s="661">
        <f>+BM412</f>
        <v>91029</v>
      </c>
      <c r="BO412" s="847">
        <f>Rooms!BQ635-Rooms!BQ621</f>
        <v>93235</v>
      </c>
      <c r="BP412" s="847">
        <f>Rooms!BR635-Rooms!BR621</f>
        <v>92984</v>
      </c>
      <c r="BQ412" s="847">
        <f>Rooms!BS635-Rooms!BS621</f>
        <v>94186</v>
      </c>
      <c r="BR412" s="847">
        <f>Rooms!BT635-Rooms!BT621</f>
        <v>96324</v>
      </c>
      <c r="BS412" s="661">
        <f>+BR412</f>
        <v>96324</v>
      </c>
      <c r="BT412" s="847">
        <f>Rooms!BV635-Rooms!BV621</f>
        <v>97420</v>
      </c>
      <c r="BU412" s="847">
        <f>Rooms!BW635-Rooms!BW621</f>
        <v>103725</v>
      </c>
      <c r="BV412" s="847">
        <f>Rooms!BX635-Rooms!BX621</f>
        <v>103989</v>
      </c>
      <c r="BW412" s="847">
        <f>Rooms!BY635-Rooms!BY621</f>
        <v>107063</v>
      </c>
      <c r="BX412" s="661">
        <f>+BW412</f>
        <v>107063</v>
      </c>
      <c r="BY412" s="847">
        <f>Rooms!CA635-Rooms!CA621</f>
        <v>105052</v>
      </c>
      <c r="BZ412" s="847">
        <f>Rooms!CB635-Rooms!CB621</f>
        <v>106862</v>
      </c>
      <c r="CA412" s="847">
        <f>Rooms!CC635-Rooms!CC621</f>
        <v>108435</v>
      </c>
      <c r="CB412" s="847">
        <f>Rooms!CD635-Rooms!CD621</f>
        <v>110394</v>
      </c>
      <c r="CC412" s="661">
        <f>+CB412</f>
        <v>110394</v>
      </c>
      <c r="CD412" s="847">
        <f>Rooms!CF635-Rooms!CF621</f>
        <v>111091</v>
      </c>
      <c r="CE412" s="847">
        <f>Rooms!CG635-Rooms!CG621</f>
        <v>112825</v>
      </c>
      <c r="CF412" s="847">
        <f>Rooms!CH635-Rooms!CH621</f>
        <v>112906</v>
      </c>
      <c r="CG412" s="847">
        <f>Rooms!CI635-Rooms!CI621</f>
        <v>266994</v>
      </c>
      <c r="CH412" s="661">
        <f>+CG412</f>
        <v>266994</v>
      </c>
      <c r="CI412" s="847">
        <f>Rooms!CK635-Rooms!CK621</f>
        <v>268648</v>
      </c>
      <c r="CJ412" s="847">
        <f>Rooms!CL635-Rooms!CL621</f>
        <v>272210</v>
      </c>
      <c r="CK412" s="847">
        <f>Rooms!CM635-Rooms!CM621</f>
        <v>274902</v>
      </c>
      <c r="CL412" s="847">
        <f>Rooms!CN635-Rooms!CN621</f>
        <v>280482</v>
      </c>
      <c r="CM412" s="661">
        <f>+CL412</f>
        <v>280482</v>
      </c>
      <c r="CN412" s="847">
        <f>Rooms!CP635-Rooms!CP621</f>
        <v>282080.40000000008</v>
      </c>
      <c r="CO412" s="847">
        <f>Rooms!CQ635-Rooms!CQ621</f>
        <v>288542.60000000003</v>
      </c>
      <c r="CP412" s="847">
        <f>Rooms!CR635-Rooms!CR621</f>
        <v>291396.11999999994</v>
      </c>
      <c r="CQ412" s="847">
        <f>Rooms!CS635-Rooms!CS621</f>
        <v>297282.77999999991</v>
      </c>
      <c r="CR412" s="661">
        <f>+CQ412</f>
        <v>297282.77999999991</v>
      </c>
      <c r="CS412" s="1604">
        <f>Rooms!CU635-Rooms!CU621</f>
        <v>313607.53789999994</v>
      </c>
      <c r="CT412" s="1604">
        <f>Rooms!CV635-Rooms!CV621</f>
        <v>319870.30865799997</v>
      </c>
      <c r="DB412" s="1226"/>
    </row>
    <row r="413" spans="1:106" s="212" customFormat="1" x14ac:dyDescent="0.2">
      <c r="A413" s="1434" t="s">
        <v>2060</v>
      </c>
      <c r="B413" s="1594"/>
      <c r="C413" s="1594"/>
      <c r="D413" s="1594"/>
      <c r="E413" s="1594"/>
      <c r="F413" s="1527"/>
      <c r="G413" s="1594"/>
      <c r="H413" s="1594"/>
      <c r="I413" s="1594"/>
      <c r="J413" s="1594"/>
      <c r="K413" s="1527"/>
      <c r="L413" s="1594"/>
      <c r="M413" s="1594"/>
      <c r="N413" s="1594"/>
      <c r="O413" s="1594"/>
      <c r="P413" s="1527"/>
      <c r="Q413" s="1594"/>
      <c r="R413" s="1594"/>
      <c r="S413" s="1594"/>
      <c r="T413" s="1594"/>
      <c r="U413" s="1527"/>
      <c r="V413" s="1594"/>
      <c r="W413" s="1594"/>
      <c r="X413" s="1594"/>
      <c r="Y413" s="1594"/>
      <c r="Z413" s="1527"/>
      <c r="AA413" s="1594"/>
      <c r="AB413" s="1594"/>
      <c r="AC413" s="1594"/>
      <c r="AD413" s="1594"/>
      <c r="AE413" s="1527"/>
      <c r="AF413" s="1591">
        <f>Rooms!AH668-Rooms!AI654</f>
        <v>23584</v>
      </c>
      <c r="AG413" s="1591">
        <f>Rooms!AI668-Rooms!AJ654</f>
        <v>23227</v>
      </c>
      <c r="AH413" s="1591">
        <f>Rooms!AJ668-Rooms!AK654</f>
        <v>23569</v>
      </c>
      <c r="AI413" s="1591">
        <f>Rooms!AK668-Rooms!AL654</f>
        <v>24226</v>
      </c>
      <c r="AJ413" s="1526">
        <f>+AI413</f>
        <v>24226</v>
      </c>
      <c r="AK413" s="1591">
        <f>Rooms!AM668-Rooms!AN654</f>
        <v>24500</v>
      </c>
      <c r="AL413" s="1591">
        <f>Rooms!AN668-Rooms!AO654</f>
        <v>24172</v>
      </c>
      <c r="AM413" s="1591">
        <f>Rooms!AO668-Rooms!AP654</f>
        <v>25025</v>
      </c>
      <c r="AN413" s="1591">
        <f>Rooms!AP668-Rooms!AQ654</f>
        <v>25357</v>
      </c>
      <c r="AO413" s="1526">
        <f>+AN413</f>
        <v>25357</v>
      </c>
      <c r="AP413" s="1591">
        <f>Rooms!AR668-Rooms!AS654</f>
        <v>24955</v>
      </c>
      <c r="AQ413" s="1591">
        <f>Rooms!AS668-Rooms!AT654</f>
        <v>24988</v>
      </c>
      <c r="AR413" s="1591">
        <f>Rooms!AT668-Rooms!AU654</f>
        <v>25084</v>
      </c>
      <c r="AS413" s="1591">
        <f>Rooms!AU668-Rooms!AV654</f>
        <v>25403</v>
      </c>
      <c r="AT413" s="1526">
        <f>+AS413</f>
        <v>25403</v>
      </c>
      <c r="AU413" s="1591">
        <f>Rooms!AW668-Rooms!AX654</f>
        <v>25564</v>
      </c>
      <c r="AV413" s="1591">
        <f>Rooms!AX668-Rooms!AY654</f>
        <v>25703</v>
      </c>
      <c r="AW413" s="1591">
        <f>Rooms!AY668-Rooms!AZ654</f>
        <v>25598</v>
      </c>
      <c r="AX413" s="1591">
        <f>Rooms!AZ668-Rooms!BA654</f>
        <v>25461</v>
      </c>
      <c r="AY413" s="1526">
        <f>+AX413</f>
        <v>25461</v>
      </c>
      <c r="AZ413" s="1591">
        <f>Rooms!BB668-Rooms!BC654</f>
        <v>26478</v>
      </c>
      <c r="BA413" s="1591">
        <f>Rooms!BC668-Rooms!BD654</f>
        <v>26819</v>
      </c>
      <c r="BB413" s="1591">
        <f>Rooms!BD668-Rooms!BE654</f>
        <v>27467</v>
      </c>
      <c r="BC413" s="1591">
        <f>Rooms!BE668-Rooms!BF654</f>
        <v>27618</v>
      </c>
      <c r="BD413" s="1526">
        <f>+BC413</f>
        <v>27618</v>
      </c>
      <c r="BE413" s="1591">
        <f>Rooms!BG668-Rooms!BH654</f>
        <v>28161</v>
      </c>
      <c r="BF413" s="1591">
        <f>Rooms!BH668-Rooms!BI654</f>
        <v>28819</v>
      </c>
      <c r="BG413" s="1591">
        <f>Rooms!BI668-Rooms!BJ654</f>
        <v>29789</v>
      </c>
      <c r="BH413" s="1591">
        <f>Rooms!BJ668-Rooms!BK654</f>
        <v>30209</v>
      </c>
      <c r="BI413" s="1526">
        <f>+BH413</f>
        <v>30209</v>
      </c>
      <c r="BJ413" s="850">
        <f>Rooms!BL668-Rooms!BM654</f>
        <v>31154</v>
      </c>
      <c r="BK413" s="850">
        <f>Rooms!BM668-Rooms!BN654</f>
        <v>31100</v>
      </c>
      <c r="BL413" s="850">
        <f>Rooms!BN668-Rooms!BO654</f>
        <v>31467</v>
      </c>
      <c r="BM413" s="850">
        <f>Rooms!BO668-Rooms!BP654</f>
        <v>32958</v>
      </c>
      <c r="BN413" s="246">
        <f>+BM413</f>
        <v>32958</v>
      </c>
      <c r="BO413" s="850">
        <f>Rooms!BQ668-Rooms!BR654</f>
        <v>33128</v>
      </c>
      <c r="BP413" s="850">
        <f>Rooms!BR668-Rooms!BS654</f>
        <v>33901</v>
      </c>
      <c r="BQ413" s="850">
        <f>Rooms!BS668-Rooms!BT654</f>
        <v>34746</v>
      </c>
      <c r="BR413" s="850">
        <f>Rooms!BT668-Rooms!BU654</f>
        <v>35859</v>
      </c>
      <c r="BS413" s="246">
        <f>+BR413</f>
        <v>35859</v>
      </c>
      <c r="BT413" s="850">
        <f>Rooms!BV668-Rooms!BW654</f>
        <v>37245</v>
      </c>
      <c r="BU413" s="850">
        <f>Rooms!BW668-Rooms!BX654</f>
        <v>41941</v>
      </c>
      <c r="BV413" s="850">
        <f>Rooms!BX668-Rooms!BY654</f>
        <v>42983</v>
      </c>
      <c r="BW413" s="850">
        <f>Rooms!BY668-Rooms!BZ654</f>
        <v>47875</v>
      </c>
      <c r="BX413" s="246">
        <f>+BW413</f>
        <v>47875</v>
      </c>
      <c r="BY413" s="850">
        <f>Rooms!CA668-Rooms!CB654</f>
        <v>37339</v>
      </c>
      <c r="BZ413" s="850">
        <f>Rooms!CB668-Rooms!CC654</f>
        <v>38681</v>
      </c>
      <c r="CA413" s="850">
        <f>Rooms!CC668-Rooms!CD654</f>
        <v>39794</v>
      </c>
      <c r="CB413" s="850">
        <f>Rooms!CD668-Rooms!CE654</f>
        <v>42388</v>
      </c>
      <c r="CC413" s="246">
        <f>+CB413</f>
        <v>42388</v>
      </c>
      <c r="CD413" s="850">
        <f>Rooms!CF668-Rooms!CG654</f>
        <v>43490</v>
      </c>
      <c r="CE413" s="850">
        <f>Rooms!CG668-Rooms!CH654</f>
        <v>44544</v>
      </c>
      <c r="CF413" s="850">
        <f>Rooms!CH668-Rooms!CI654</f>
        <v>45914</v>
      </c>
      <c r="CG413" s="850">
        <f>Rooms!CI668-Rooms!CJ654</f>
        <v>89612</v>
      </c>
      <c r="CH413" s="246">
        <f>+CG413</f>
        <v>89612</v>
      </c>
      <c r="CI413" s="850">
        <f ca="1">Rooms!CK668-Rooms!CL654</f>
        <v>91212</v>
      </c>
      <c r="CJ413" s="850">
        <f ca="1">Rooms!CL668-Rooms!CM654</f>
        <v>92221</v>
      </c>
      <c r="CK413" s="850">
        <f ca="1">Rooms!CM668-Rooms!CN654</f>
        <v>96612</v>
      </c>
      <c r="CL413" s="850">
        <f ca="1">Rooms!CN668-Rooms!CO654</f>
        <v>98668</v>
      </c>
      <c r="CM413" s="246">
        <f ca="1">+CL413</f>
        <v>98668</v>
      </c>
      <c r="CN413" s="850">
        <f ca="1">Rooms!CP668-Rooms!CQ654</f>
        <v>98508.959999999992</v>
      </c>
      <c r="CO413" s="850">
        <f ca="1">Rooms!CQ668-Rooms!CR654</f>
        <v>99598.68</v>
      </c>
      <c r="CP413" s="850">
        <f ca="1">Rooms!CR668-Rooms!CS654</f>
        <v>105307.07999999999</v>
      </c>
      <c r="CQ413" s="850">
        <f ca="1">Rooms!CS668-Rooms!CT654</f>
        <v>107548.12000000001</v>
      </c>
      <c r="CR413" s="246">
        <f ca="1">+CQ413</f>
        <v>107548.12000000001</v>
      </c>
      <c r="CS413" s="1605">
        <f ca="1">Rooms!CU668-Rooms!DA654</f>
        <v>115614.22899999999</v>
      </c>
      <c r="CT413" s="1605">
        <f ca="1">Rooms!CV668-Rooms!DB654</f>
        <v>120238.79816000001</v>
      </c>
      <c r="DB413" s="1226"/>
    </row>
    <row r="414" spans="1:106" s="212" customFormat="1" x14ac:dyDescent="0.2">
      <c r="A414" s="1435" t="s">
        <v>1735</v>
      </c>
      <c r="B414" s="1594"/>
      <c r="C414" s="1594"/>
      <c r="D414" s="1594"/>
      <c r="E414" s="1594"/>
      <c r="F414" s="1527"/>
      <c r="G414" s="1594"/>
      <c r="H414" s="1594"/>
      <c r="I414" s="1594"/>
      <c r="J414" s="1594"/>
      <c r="K414" s="1527"/>
      <c r="L414" s="1594"/>
      <c r="M414" s="1594"/>
      <c r="N414" s="1594"/>
      <c r="O414" s="1594"/>
      <c r="P414" s="1527"/>
      <c r="Q414" s="1594"/>
      <c r="R414" s="1594"/>
      <c r="S414" s="1594"/>
      <c r="T414" s="1594"/>
      <c r="U414" s="1527"/>
      <c r="V414" s="1594"/>
      <c r="W414" s="1594"/>
      <c r="X414" s="1594"/>
      <c r="Y414" s="1594"/>
      <c r="Z414" s="1527"/>
      <c r="AA414" s="1594"/>
      <c r="AB414" s="1594"/>
      <c r="AC414" s="1594"/>
      <c r="AD414" s="1594"/>
      <c r="AE414" s="1527"/>
      <c r="AF414" s="1594">
        <f>SUM(AF412:AF413)</f>
        <v>92080</v>
      </c>
      <c r="AG414" s="1594">
        <f>SUM(AG412:AG413)</f>
        <v>93880</v>
      </c>
      <c r="AH414" s="1594">
        <f>SUM(AH412:AH413)</f>
        <v>95141</v>
      </c>
      <c r="AI414" s="1594">
        <f>SUM(AI412:AI413)</f>
        <v>95705</v>
      </c>
      <c r="AJ414" s="1527">
        <f>+AI414</f>
        <v>95705</v>
      </c>
      <c r="AK414" s="1594">
        <f>SUM(AK412:AK413)</f>
        <v>96826</v>
      </c>
      <c r="AL414" s="1594">
        <f>SUM(AL412:AL413)</f>
        <v>96954</v>
      </c>
      <c r="AM414" s="1594">
        <f>SUM(AM412:AM413)</f>
        <v>100017</v>
      </c>
      <c r="AN414" s="1594">
        <f>SUM(AN412:AN413)</f>
        <v>100274</v>
      </c>
      <c r="AO414" s="1527">
        <f>+AN414</f>
        <v>100274</v>
      </c>
      <c r="AP414" s="1594">
        <f>SUM(AP412:AP413)</f>
        <v>99237</v>
      </c>
      <c r="AQ414" s="1594">
        <f>SUM(AQ412:AQ413)</f>
        <v>99626</v>
      </c>
      <c r="AR414" s="1594">
        <f>SUM(AR412:AR413)</f>
        <v>101584</v>
      </c>
      <c r="AS414" s="1594">
        <f>SUM(AS412:AS413)</f>
        <v>102834</v>
      </c>
      <c r="AT414" s="1527">
        <f>+AS414</f>
        <v>102834</v>
      </c>
      <c r="AU414" s="1594">
        <f>SUM(AU412:AU413)</f>
        <v>105469</v>
      </c>
      <c r="AV414" s="1594">
        <f>SUM(AV412:AV413)</f>
        <v>106807</v>
      </c>
      <c r="AW414" s="1594">
        <f>SUM(AW412:AW413)</f>
        <v>107040</v>
      </c>
      <c r="AX414" s="1594">
        <f>SUM(AX412:AX413)</f>
        <v>108177</v>
      </c>
      <c r="AY414" s="1527">
        <f>+AX414</f>
        <v>108177</v>
      </c>
      <c r="AZ414" s="1594">
        <f>SUM(AZ412:AZ413)</f>
        <v>109654</v>
      </c>
      <c r="BA414" s="1594">
        <f>SUM(BA412:BA413)</f>
        <v>110682</v>
      </c>
      <c r="BB414" s="1594">
        <f>SUM(BB412:BB413)</f>
        <v>112254</v>
      </c>
      <c r="BC414" s="1594">
        <f>SUM(BC412:BC413)</f>
        <v>111966</v>
      </c>
      <c r="BD414" s="1527">
        <f>+BC414</f>
        <v>111966</v>
      </c>
      <c r="BE414" s="1594">
        <f>SUM(BE412:BE413)</f>
        <v>114337</v>
      </c>
      <c r="BF414" s="1594">
        <f>SUM(BF412:BF413)</f>
        <v>115414</v>
      </c>
      <c r="BG414" s="1594">
        <f>SUM(BG412:BG413)</f>
        <v>117443</v>
      </c>
      <c r="BH414" s="1594">
        <f>SUM(BH412:BH413)</f>
        <v>119805</v>
      </c>
      <c r="BI414" s="1527">
        <f>+BH414</f>
        <v>119805</v>
      </c>
      <c r="BJ414" s="852">
        <f>SUM(BJ412:BJ413)</f>
        <v>119859</v>
      </c>
      <c r="BK414" s="852">
        <f>SUM(BK412:BK413)</f>
        <v>120143</v>
      </c>
      <c r="BL414" s="852">
        <f>SUM(BL412:BL413)</f>
        <v>121547</v>
      </c>
      <c r="BM414" s="852">
        <f>SUM(BM412:BM413)</f>
        <v>123987</v>
      </c>
      <c r="BN414" s="843">
        <f>+BM414</f>
        <v>123987</v>
      </c>
      <c r="BO414" s="852">
        <f>SUM(BO412:BO413)</f>
        <v>126363</v>
      </c>
      <c r="BP414" s="852">
        <f>SUM(BP412:BP413)</f>
        <v>126885</v>
      </c>
      <c r="BQ414" s="852">
        <f>SUM(BQ412:BQ413)</f>
        <v>128932</v>
      </c>
      <c r="BR414" s="852">
        <f>SUM(BR412:BR413)</f>
        <v>132183</v>
      </c>
      <c r="BS414" s="843">
        <f>+BR414</f>
        <v>132183</v>
      </c>
      <c r="BT414" s="852">
        <f>SUM(BT412:BT413)</f>
        <v>134665</v>
      </c>
      <c r="BU414" s="852">
        <f>SUM(BU412:BU413)</f>
        <v>145666</v>
      </c>
      <c r="BV414" s="852">
        <f>SUM(BV412:BV413)</f>
        <v>146972</v>
      </c>
      <c r="BW414" s="852">
        <f>SUM(BW412:BW413)</f>
        <v>154938</v>
      </c>
      <c r="BX414" s="843">
        <f>+BW414</f>
        <v>154938</v>
      </c>
      <c r="BY414" s="852">
        <f>SUM(BY412:BY413)</f>
        <v>142391</v>
      </c>
      <c r="BZ414" s="852">
        <f>SUM(BZ412:BZ413)</f>
        <v>145543</v>
      </c>
      <c r="CA414" s="852">
        <f>SUM(CA412:CA413)</f>
        <v>148229</v>
      </c>
      <c r="CB414" s="852">
        <f>SUM(CB412:CB413)</f>
        <v>152782</v>
      </c>
      <c r="CC414" s="843">
        <f>+CB414</f>
        <v>152782</v>
      </c>
      <c r="CD414" s="852">
        <f>SUM(CD412:CD413)</f>
        <v>154581</v>
      </c>
      <c r="CE414" s="852">
        <f>SUM(CE412:CE413)</f>
        <v>157369</v>
      </c>
      <c r="CF414" s="852">
        <f>SUM(CF412:CF413)</f>
        <v>158820</v>
      </c>
      <c r="CG414" s="852">
        <f>SUM(CG412:CG413)</f>
        <v>356606</v>
      </c>
      <c r="CH414" s="843">
        <f>+CG414</f>
        <v>356606</v>
      </c>
      <c r="CI414" s="852">
        <f ca="1">SUM(CI412:CI413)</f>
        <v>359860</v>
      </c>
      <c r="CJ414" s="852">
        <f ca="1">SUM(CJ412:CJ413)</f>
        <v>364431</v>
      </c>
      <c r="CK414" s="852">
        <f ca="1">SUM(CK412:CK413)</f>
        <v>371514</v>
      </c>
      <c r="CL414" s="852">
        <f ca="1">SUM(CL412:CL413)</f>
        <v>379150</v>
      </c>
      <c r="CM414" s="843">
        <f ca="1">+CL414</f>
        <v>379150</v>
      </c>
      <c r="CN414" s="852">
        <f t="shared" ref="CN414:CT414" ca="1" si="315">SUM(CN412:CN413)</f>
        <v>380589.3600000001</v>
      </c>
      <c r="CO414" s="852">
        <f t="shared" ca="1" si="315"/>
        <v>388141.28</v>
      </c>
      <c r="CP414" s="852">
        <f t="shared" ca="1" si="315"/>
        <v>396703.19999999995</v>
      </c>
      <c r="CQ414" s="852">
        <f t="shared" ca="1" si="315"/>
        <v>404830.89999999991</v>
      </c>
      <c r="CR414" s="843">
        <f ca="1">+CQ414</f>
        <v>404830.89999999991</v>
      </c>
      <c r="CS414" s="1572">
        <f t="shared" ca="1" si="315"/>
        <v>429221.76689999993</v>
      </c>
      <c r="CT414" s="1572">
        <f t="shared" ca="1" si="315"/>
        <v>440109.10681799997</v>
      </c>
      <c r="DB414" s="1226"/>
    </row>
    <row r="415" spans="1:106" s="212" customFormat="1" x14ac:dyDescent="0.2">
      <c r="A415" s="1595" t="s">
        <v>2055</v>
      </c>
      <c r="B415" s="1594"/>
      <c r="C415" s="1594"/>
      <c r="D415" s="1594"/>
      <c r="E415" s="1594"/>
      <c r="F415" s="1527"/>
      <c r="G415" s="1594"/>
      <c r="H415" s="1594"/>
      <c r="I415" s="1594"/>
      <c r="J415" s="1594"/>
      <c r="K415" s="1527"/>
      <c r="L415" s="1594"/>
      <c r="M415" s="1594"/>
      <c r="N415" s="1594"/>
      <c r="O415" s="1594"/>
      <c r="P415" s="1527"/>
      <c r="Q415" s="1594"/>
      <c r="R415" s="1594"/>
      <c r="S415" s="1594"/>
      <c r="T415" s="1594"/>
      <c r="U415" s="1527"/>
      <c r="V415" s="1594"/>
      <c r="W415" s="1594"/>
      <c r="X415" s="1594"/>
      <c r="Y415" s="1594"/>
      <c r="Z415" s="1527"/>
      <c r="AA415" s="1594"/>
      <c r="AB415" s="1594"/>
      <c r="AC415" s="1594"/>
      <c r="AD415" s="1594"/>
      <c r="AE415" s="1527"/>
      <c r="AF415" s="871">
        <f t="shared" ref="AF415:BL415" si="316">AF412/AF414</f>
        <v>0.74387489139878371</v>
      </c>
      <c r="AG415" s="871">
        <f t="shared" si="316"/>
        <v>0.75258841073711125</v>
      </c>
      <c r="AH415" s="871">
        <f t="shared" si="316"/>
        <v>0.75227294226463881</v>
      </c>
      <c r="AI415" s="871">
        <f t="shared" si="316"/>
        <v>0.74686797972937669</v>
      </c>
      <c r="AJ415" s="920">
        <f t="shared" si="316"/>
        <v>0.74686797972937669</v>
      </c>
      <c r="AK415" s="871">
        <f t="shared" si="316"/>
        <v>0.74696878937475475</v>
      </c>
      <c r="AL415" s="871">
        <f t="shared" si="316"/>
        <v>0.75068589227881266</v>
      </c>
      <c r="AM415" s="871">
        <f t="shared" si="316"/>
        <v>0.74979253526900425</v>
      </c>
      <c r="AN415" s="871">
        <f t="shared" si="316"/>
        <v>0.74712288329975862</v>
      </c>
      <c r="AO415" s="920">
        <f t="shared" si="316"/>
        <v>0.74712288329975862</v>
      </c>
      <c r="AP415" s="871">
        <f t="shared" si="316"/>
        <v>0.74853129377147631</v>
      </c>
      <c r="AQ415" s="871">
        <f t="shared" si="316"/>
        <v>0.74918194045731035</v>
      </c>
      <c r="AR415" s="871">
        <f t="shared" si="316"/>
        <v>0.75307134981886914</v>
      </c>
      <c r="AS415" s="871">
        <f t="shared" si="316"/>
        <v>0.75297080732053601</v>
      </c>
      <c r="AT415" s="920">
        <f t="shared" si="316"/>
        <v>0.75297080732053601</v>
      </c>
      <c r="AU415" s="871">
        <f t="shared" si="316"/>
        <v>0.75761598194730206</v>
      </c>
      <c r="AV415" s="871">
        <f t="shared" si="316"/>
        <v>0.75935097886842617</v>
      </c>
      <c r="AW415" s="871">
        <f t="shared" si="316"/>
        <v>0.76085575485799706</v>
      </c>
      <c r="AX415" s="871">
        <f t="shared" si="316"/>
        <v>0.76463573587731215</v>
      </c>
      <c r="AY415" s="920">
        <f t="shared" si="316"/>
        <v>0.76463573587731215</v>
      </c>
      <c r="AZ415" s="871">
        <f t="shared" si="316"/>
        <v>0.75853138052419433</v>
      </c>
      <c r="BA415" s="871">
        <f t="shared" si="316"/>
        <v>0.75769321118158328</v>
      </c>
      <c r="BB415" s="871">
        <f t="shared" si="316"/>
        <v>0.75531384182300854</v>
      </c>
      <c r="BC415" s="871">
        <f t="shared" si="316"/>
        <v>0.75333583409249238</v>
      </c>
      <c r="BD415" s="920">
        <f t="shared" si="316"/>
        <v>0.75333583409249238</v>
      </c>
      <c r="BE415" s="871">
        <f t="shared" si="316"/>
        <v>0.75370177632787283</v>
      </c>
      <c r="BF415" s="871">
        <f t="shared" si="316"/>
        <v>0.75029892387405339</v>
      </c>
      <c r="BG415" s="871">
        <f t="shared" si="316"/>
        <v>0.74635355023287897</v>
      </c>
      <c r="BH415" s="871">
        <f t="shared" si="316"/>
        <v>0.74784858728767578</v>
      </c>
      <c r="BI415" s="920">
        <f t="shared" si="316"/>
        <v>0.74784858728767578</v>
      </c>
      <c r="BJ415" s="871">
        <f t="shared" si="316"/>
        <v>0.74007792489508506</v>
      </c>
      <c r="BK415" s="871">
        <f t="shared" si="316"/>
        <v>0.74114180601449942</v>
      </c>
      <c r="BL415" s="871">
        <f t="shared" si="316"/>
        <v>0.74111249146420721</v>
      </c>
      <c r="BM415" s="871">
        <f>BL415</f>
        <v>0.74111249146420721</v>
      </c>
      <c r="BN415" s="920">
        <f>AVERAGE(BJ415:BM415)</f>
        <v>0.74086117845949973</v>
      </c>
      <c r="BO415" s="871">
        <f>BN415</f>
        <v>0.74086117845949973</v>
      </c>
      <c r="BP415" s="871">
        <f>BO415</f>
        <v>0.74086117845949973</v>
      </c>
      <c r="BQ415" s="871">
        <f>BP415</f>
        <v>0.74086117845949973</v>
      </c>
      <c r="BR415" s="871">
        <f>BQ415</f>
        <v>0.74086117845949973</v>
      </c>
      <c r="BS415" s="920">
        <f>AVERAGE(BO415:BR415)</f>
        <v>0.74086117845949973</v>
      </c>
      <c r="BT415" s="871">
        <f>+BT412/BT$414</f>
        <v>0.7234247948613225</v>
      </c>
      <c r="BU415" s="871">
        <f t="shared" ref="BU415:CH415" si="317">+BU412/BU$414</f>
        <v>0.71207419713591369</v>
      </c>
      <c r="BV415" s="871">
        <f t="shared" si="317"/>
        <v>0.70754293334784857</v>
      </c>
      <c r="BW415" s="871">
        <f t="shared" si="317"/>
        <v>0.69100543443183726</v>
      </c>
      <c r="BX415" s="920">
        <f t="shared" si="317"/>
        <v>0.69100543443183726</v>
      </c>
      <c r="BY415" s="871">
        <f t="shared" si="317"/>
        <v>0.73777134790822452</v>
      </c>
      <c r="BZ415" s="871">
        <f t="shared" si="317"/>
        <v>0.73422974653538819</v>
      </c>
      <c r="CA415" s="871">
        <f t="shared" si="317"/>
        <v>0.73153701367478696</v>
      </c>
      <c r="CB415" s="871">
        <f t="shared" si="317"/>
        <v>0.72255894018928934</v>
      </c>
      <c r="CC415" s="920">
        <f t="shared" si="317"/>
        <v>0.72255894018928934</v>
      </c>
      <c r="CD415" s="871">
        <f t="shared" si="317"/>
        <v>0.7186588261170519</v>
      </c>
      <c r="CE415" s="871">
        <f t="shared" si="317"/>
        <v>0.71694552294289215</v>
      </c>
      <c r="CF415" s="871">
        <f t="shared" si="317"/>
        <v>0.71090542752801911</v>
      </c>
      <c r="CG415" s="871">
        <f>+CG412/CG$414</f>
        <v>0.74870865885599236</v>
      </c>
      <c r="CH415" s="3191">
        <f t="shared" si="317"/>
        <v>0.74870865885599236</v>
      </c>
      <c r="CI415" s="2277">
        <f t="shared" ref="CI415:CT415" ca="1" si="318">+CI412/CI$414</f>
        <v>0.74653476351914638</v>
      </c>
      <c r="CJ415" s="2277">
        <f t="shared" ca="1" si="318"/>
        <v>0.74694523791883782</v>
      </c>
      <c r="CK415" s="2277">
        <f t="shared" ca="1" si="318"/>
        <v>0.73995058059723184</v>
      </c>
      <c r="CL415" s="2277">
        <f t="shared" ca="1" si="318"/>
        <v>0.73976526440722667</v>
      </c>
      <c r="CM415" s="3191">
        <f t="shared" ca="1" si="318"/>
        <v>0.73976526440722667</v>
      </c>
      <c r="CN415" s="2277">
        <f t="shared" ref="CN415:CR416" ca="1" si="319">+CN412/CN$414</f>
        <v>0.74116733058433371</v>
      </c>
      <c r="CO415" s="2277">
        <f t="shared" ca="1" si="319"/>
        <v>0.74339580680519224</v>
      </c>
      <c r="CP415" s="2277">
        <f t="shared" ca="1" si="319"/>
        <v>0.73454441506899859</v>
      </c>
      <c r="CQ415" s="2277">
        <f t="shared" ca="1" si="319"/>
        <v>0.73433816440395228</v>
      </c>
      <c r="CR415" s="3191">
        <f t="shared" ca="1" si="319"/>
        <v>0.73433816440395228</v>
      </c>
      <c r="CS415" s="3191">
        <f t="shared" ca="1" si="318"/>
        <v>0.7306422042968389</v>
      </c>
      <c r="CT415" s="3191">
        <f t="shared" ca="1" si="318"/>
        <v>0.72679775015488868</v>
      </c>
      <c r="DB415" s="1226"/>
    </row>
    <row r="416" spans="1:106" s="212" customFormat="1" x14ac:dyDescent="0.2">
      <c r="A416" s="1596" t="s">
        <v>2056</v>
      </c>
      <c r="B416" s="1597"/>
      <c r="C416" s="1597"/>
      <c r="D416" s="1597"/>
      <c r="E416" s="1597"/>
      <c r="F416" s="1598"/>
      <c r="G416" s="1597"/>
      <c r="H416" s="1597"/>
      <c r="I416" s="1597"/>
      <c r="J416" s="1597"/>
      <c r="K416" s="1598"/>
      <c r="L416" s="1597"/>
      <c r="M416" s="1597"/>
      <c r="N416" s="1597"/>
      <c r="O416" s="1597"/>
      <c r="P416" s="1598"/>
      <c r="Q416" s="1597"/>
      <c r="R416" s="1597"/>
      <c r="S416" s="1597"/>
      <c r="T416" s="1597"/>
      <c r="U416" s="1598"/>
      <c r="V416" s="1597"/>
      <c r="W416" s="1597"/>
      <c r="X416" s="1597"/>
      <c r="Y416" s="1597"/>
      <c r="Z416" s="1598"/>
      <c r="AA416" s="1597"/>
      <c r="AB416" s="1597"/>
      <c r="AC416" s="1597"/>
      <c r="AD416" s="1597"/>
      <c r="AE416" s="1598"/>
      <c r="AF416" s="1599">
        <f t="shared" ref="AF416:BS416" si="320">1-AF415</f>
        <v>0.25612510860121629</v>
      </c>
      <c r="AG416" s="1599">
        <f t="shared" si="320"/>
        <v>0.24741158926288875</v>
      </c>
      <c r="AH416" s="1599">
        <f t="shared" si="320"/>
        <v>0.24772705773536119</v>
      </c>
      <c r="AI416" s="1599">
        <f t="shared" si="320"/>
        <v>0.25313202027062331</v>
      </c>
      <c r="AJ416" s="1600">
        <f t="shared" si="320"/>
        <v>0.25313202027062331</v>
      </c>
      <c r="AK416" s="1599">
        <f t="shared" si="320"/>
        <v>0.25303121062524525</v>
      </c>
      <c r="AL416" s="1599">
        <f t="shared" si="320"/>
        <v>0.24931410772118734</v>
      </c>
      <c r="AM416" s="1599">
        <f t="shared" si="320"/>
        <v>0.25020746473099575</v>
      </c>
      <c r="AN416" s="1599">
        <f t="shared" si="320"/>
        <v>0.25287711670024138</v>
      </c>
      <c r="AO416" s="1600">
        <f t="shared" si="320"/>
        <v>0.25287711670024138</v>
      </c>
      <c r="AP416" s="1599">
        <f t="shared" si="320"/>
        <v>0.25146870622852369</v>
      </c>
      <c r="AQ416" s="1599">
        <f t="shared" si="320"/>
        <v>0.25081805954268965</v>
      </c>
      <c r="AR416" s="1599">
        <f t="shared" si="320"/>
        <v>0.24692865018113086</v>
      </c>
      <c r="AS416" s="1599">
        <f t="shared" si="320"/>
        <v>0.24702919267946399</v>
      </c>
      <c r="AT416" s="1600">
        <f t="shared" si="320"/>
        <v>0.24702919267946399</v>
      </c>
      <c r="AU416" s="1599">
        <f t="shared" si="320"/>
        <v>0.24238401805269794</v>
      </c>
      <c r="AV416" s="1599">
        <f t="shared" si="320"/>
        <v>0.24064902113157383</v>
      </c>
      <c r="AW416" s="1599">
        <f t="shared" si="320"/>
        <v>0.23914424514200294</v>
      </c>
      <c r="AX416" s="1599">
        <f t="shared" si="320"/>
        <v>0.23536426412268785</v>
      </c>
      <c r="AY416" s="1600">
        <f t="shared" si="320"/>
        <v>0.23536426412268785</v>
      </c>
      <c r="AZ416" s="1599">
        <f t="shared" si="320"/>
        <v>0.24146861947580567</v>
      </c>
      <c r="BA416" s="1599">
        <f t="shared" si="320"/>
        <v>0.24230678881841672</v>
      </c>
      <c r="BB416" s="1599">
        <f t="shared" si="320"/>
        <v>0.24468615817699146</v>
      </c>
      <c r="BC416" s="1599">
        <f t="shared" si="320"/>
        <v>0.24666416590750762</v>
      </c>
      <c r="BD416" s="1600">
        <f t="shared" si="320"/>
        <v>0.24666416590750762</v>
      </c>
      <c r="BE416" s="1599">
        <f t="shared" si="320"/>
        <v>0.24629822367212717</v>
      </c>
      <c r="BF416" s="1599">
        <f t="shared" si="320"/>
        <v>0.24970107612594661</v>
      </c>
      <c r="BG416" s="1599">
        <f t="shared" si="320"/>
        <v>0.25364644976712103</v>
      </c>
      <c r="BH416" s="1599">
        <f t="shared" si="320"/>
        <v>0.25215141271232422</v>
      </c>
      <c r="BI416" s="1600">
        <f t="shared" si="320"/>
        <v>0.25215141271232422</v>
      </c>
      <c r="BJ416" s="1599">
        <f t="shared" si="320"/>
        <v>0.25992207510491494</v>
      </c>
      <c r="BK416" s="1599">
        <f t="shared" si="320"/>
        <v>0.25885819398550058</v>
      </c>
      <c r="BL416" s="1599">
        <f t="shared" si="320"/>
        <v>0.25888750853579279</v>
      </c>
      <c r="BM416" s="1599">
        <f t="shared" si="320"/>
        <v>0.25888750853579279</v>
      </c>
      <c r="BN416" s="1600">
        <f t="shared" si="320"/>
        <v>0.25913882154050027</v>
      </c>
      <c r="BO416" s="1599">
        <f t="shared" si="320"/>
        <v>0.25913882154050027</v>
      </c>
      <c r="BP416" s="1599">
        <f t="shared" si="320"/>
        <v>0.25913882154050027</v>
      </c>
      <c r="BQ416" s="1599">
        <f t="shared" si="320"/>
        <v>0.25913882154050027</v>
      </c>
      <c r="BR416" s="1599">
        <f t="shared" si="320"/>
        <v>0.25913882154050027</v>
      </c>
      <c r="BS416" s="1600">
        <f t="shared" si="320"/>
        <v>0.25913882154050027</v>
      </c>
      <c r="BT416" s="3125">
        <f>+BT413/BT$414</f>
        <v>0.27657520513867745</v>
      </c>
      <c r="BU416" s="1599">
        <f t="shared" ref="BU416:CH416" si="321">+BU413/BU$414</f>
        <v>0.28792580286408631</v>
      </c>
      <c r="BV416" s="1599">
        <f t="shared" si="321"/>
        <v>0.29245706665215143</v>
      </c>
      <c r="BW416" s="1599">
        <f t="shared" si="321"/>
        <v>0.30899456556816274</v>
      </c>
      <c r="BX416" s="1600">
        <f t="shared" si="321"/>
        <v>0.30899456556816274</v>
      </c>
      <c r="BY416" s="1599">
        <f t="shared" si="321"/>
        <v>0.26222865209177548</v>
      </c>
      <c r="BZ416" s="1599">
        <f t="shared" si="321"/>
        <v>0.26577025346461181</v>
      </c>
      <c r="CA416" s="1599">
        <f t="shared" si="321"/>
        <v>0.26846298632521304</v>
      </c>
      <c r="CB416" s="1599">
        <f t="shared" si="321"/>
        <v>0.27744105981071071</v>
      </c>
      <c r="CC416" s="1600">
        <f t="shared" si="321"/>
        <v>0.27744105981071071</v>
      </c>
      <c r="CD416" s="1599">
        <f t="shared" si="321"/>
        <v>0.2813411738829481</v>
      </c>
      <c r="CE416" s="1599">
        <f t="shared" si="321"/>
        <v>0.28305447705710779</v>
      </c>
      <c r="CF416" s="1599">
        <f t="shared" si="321"/>
        <v>0.28909457247198084</v>
      </c>
      <c r="CG416" s="1599">
        <f>+CG413/CG$414</f>
        <v>0.2512913411440077</v>
      </c>
      <c r="CH416" s="3192">
        <f t="shared" si="321"/>
        <v>0.2512913411440077</v>
      </c>
      <c r="CI416" s="2847">
        <f t="shared" ref="CI416:CT416" ca="1" si="322">+CI413/CI$414</f>
        <v>0.25346523648085367</v>
      </c>
      <c r="CJ416" s="2847">
        <f t="shared" ca="1" si="322"/>
        <v>0.25305476208116212</v>
      </c>
      <c r="CK416" s="2847">
        <f t="shared" ca="1" si="322"/>
        <v>0.26004941940276816</v>
      </c>
      <c r="CL416" s="2847">
        <f t="shared" ca="1" si="322"/>
        <v>0.26023473559277333</v>
      </c>
      <c r="CM416" s="3192">
        <f t="shared" ca="1" si="322"/>
        <v>0.26023473559277333</v>
      </c>
      <c r="CN416" s="2847">
        <f t="shared" ca="1" si="319"/>
        <v>0.25883266941566618</v>
      </c>
      <c r="CO416" s="2847">
        <f t="shared" ca="1" si="319"/>
        <v>0.25660419319480782</v>
      </c>
      <c r="CP416" s="2847">
        <f t="shared" ca="1" si="319"/>
        <v>0.2654555849310013</v>
      </c>
      <c r="CQ416" s="2847">
        <f t="shared" ca="1" si="319"/>
        <v>0.26566183559604772</v>
      </c>
      <c r="CR416" s="3192">
        <f t="shared" ca="1" si="319"/>
        <v>0.26566183559604772</v>
      </c>
      <c r="CS416" s="3192">
        <f t="shared" ca="1" si="322"/>
        <v>0.26935779570316104</v>
      </c>
      <c r="CT416" s="3192">
        <f t="shared" ca="1" si="322"/>
        <v>0.27320224984511132</v>
      </c>
      <c r="DB416" s="1226"/>
    </row>
    <row r="417" spans="1:106" s="212" customFormat="1" x14ac:dyDescent="0.2">
      <c r="BI417" s="194"/>
      <c r="BJ417" s="1193"/>
      <c r="BK417" s="1193"/>
      <c r="BL417" s="1193"/>
      <c r="BM417" s="1193"/>
      <c r="BU417" s="1193"/>
      <c r="BV417" s="1193"/>
      <c r="BZ417" s="1193"/>
      <c r="CA417" s="1193"/>
      <c r="CB417" s="1193"/>
      <c r="CD417" s="1193"/>
      <c r="CE417" s="1193"/>
      <c r="CF417" s="1193"/>
      <c r="CG417" s="1193"/>
      <c r="CI417" s="1193"/>
      <c r="CJ417" s="1193"/>
      <c r="CK417" s="1193"/>
      <c r="CL417" s="1193"/>
      <c r="CM417" s="1193"/>
      <c r="CN417" s="1193"/>
      <c r="CO417" s="1193"/>
      <c r="CP417" s="1193"/>
      <c r="CQ417" s="1193"/>
      <c r="CR417" s="1193"/>
      <c r="CS417" s="1193"/>
      <c r="CT417" s="1193"/>
      <c r="DB417" s="1226"/>
    </row>
    <row r="418" spans="1:106" s="212" customFormat="1" x14ac:dyDescent="0.2">
      <c r="BI418" s="194"/>
      <c r="DB418" s="1226"/>
    </row>
    <row r="419" spans="1:106" s="207" customFormat="1" x14ac:dyDescent="0.2">
      <c r="A419" s="873" t="s">
        <v>2064</v>
      </c>
      <c r="B419" s="1513" t="str">
        <f t="shared" ref="B419:AG419" si="323">+B$5</f>
        <v>1Q00</v>
      </c>
      <c r="C419" s="1513" t="str">
        <f t="shared" si="323"/>
        <v>2Q00</v>
      </c>
      <c r="D419" s="1513" t="str">
        <f t="shared" si="323"/>
        <v>3Q00</v>
      </c>
      <c r="E419" s="1513" t="str">
        <f t="shared" si="323"/>
        <v>4Q00</v>
      </c>
      <c r="F419" s="1514">
        <f t="shared" si="323"/>
        <v>2000</v>
      </c>
      <c r="G419" s="1513" t="str">
        <f t="shared" si="323"/>
        <v>1Q01</v>
      </c>
      <c r="H419" s="1513" t="str">
        <f t="shared" si="323"/>
        <v>2Q01</v>
      </c>
      <c r="I419" s="1513" t="str">
        <f t="shared" si="323"/>
        <v>3Q01</v>
      </c>
      <c r="J419" s="1513" t="str">
        <f t="shared" si="323"/>
        <v>4Q01</v>
      </c>
      <c r="K419" s="1514">
        <f t="shared" si="323"/>
        <v>2001</v>
      </c>
      <c r="L419" s="1513" t="str">
        <f t="shared" si="323"/>
        <v>1Q02</v>
      </c>
      <c r="M419" s="1513" t="str">
        <f t="shared" si="323"/>
        <v>2Q02</v>
      </c>
      <c r="N419" s="1513" t="str">
        <f t="shared" si="323"/>
        <v>3Q02</v>
      </c>
      <c r="O419" s="1513" t="str">
        <f t="shared" si="323"/>
        <v>4Q02</v>
      </c>
      <c r="P419" s="1514">
        <f t="shared" si="323"/>
        <v>2002</v>
      </c>
      <c r="Q419" s="1513" t="str">
        <f t="shared" si="323"/>
        <v>1Q03</v>
      </c>
      <c r="R419" s="1513" t="str">
        <f t="shared" si="323"/>
        <v>2Q03</v>
      </c>
      <c r="S419" s="1513" t="str">
        <f t="shared" si="323"/>
        <v>3Q03</v>
      </c>
      <c r="T419" s="1513" t="str">
        <f t="shared" si="323"/>
        <v>4Q03</v>
      </c>
      <c r="U419" s="1514">
        <f t="shared" si="323"/>
        <v>2003</v>
      </c>
      <c r="V419" s="1513" t="str">
        <f t="shared" si="323"/>
        <v>1Q04</v>
      </c>
      <c r="W419" s="1513" t="str">
        <f t="shared" si="323"/>
        <v>2Q04</v>
      </c>
      <c r="X419" s="1513" t="str">
        <f t="shared" si="323"/>
        <v>3Q04</v>
      </c>
      <c r="Y419" s="1513" t="str">
        <f t="shared" si="323"/>
        <v>4Q04</v>
      </c>
      <c r="Z419" s="1514" t="str">
        <f t="shared" si="323"/>
        <v>2004</v>
      </c>
      <c r="AA419" s="1513" t="str">
        <f t="shared" si="323"/>
        <v>1Q05</v>
      </c>
      <c r="AB419" s="1513" t="str">
        <f t="shared" si="323"/>
        <v>2Q05</v>
      </c>
      <c r="AC419" s="1513" t="str">
        <f t="shared" si="323"/>
        <v>3Q05</v>
      </c>
      <c r="AD419" s="1513" t="str">
        <f t="shared" si="323"/>
        <v>4Q05</v>
      </c>
      <c r="AE419" s="1514">
        <f t="shared" si="323"/>
        <v>2005</v>
      </c>
      <c r="AF419" s="1513" t="str">
        <f t="shared" si="323"/>
        <v>1Q06</v>
      </c>
      <c r="AG419" s="1513" t="str">
        <f t="shared" si="323"/>
        <v>2Q06</v>
      </c>
      <c r="AH419" s="1513" t="str">
        <f t="shared" ref="AH419:BM419" si="324">+AH$5</f>
        <v>3Q06</v>
      </c>
      <c r="AI419" s="1513" t="str">
        <f t="shared" si="324"/>
        <v>4Q06</v>
      </c>
      <c r="AJ419" s="1514">
        <f t="shared" si="324"/>
        <v>2006</v>
      </c>
      <c r="AK419" s="1513" t="str">
        <f t="shared" si="324"/>
        <v>1Q07</v>
      </c>
      <c r="AL419" s="1513" t="str">
        <f t="shared" si="324"/>
        <v>2Q07</v>
      </c>
      <c r="AM419" s="1513" t="str">
        <f t="shared" si="324"/>
        <v>3Q07</v>
      </c>
      <c r="AN419" s="1513" t="str">
        <f t="shared" si="324"/>
        <v>4Q07</v>
      </c>
      <c r="AO419" s="1514" t="str">
        <f t="shared" si="324"/>
        <v>2007</v>
      </c>
      <c r="AP419" s="1513" t="str">
        <f t="shared" si="324"/>
        <v>1Q08</v>
      </c>
      <c r="AQ419" s="1513" t="str">
        <f t="shared" si="324"/>
        <v>2Q08</v>
      </c>
      <c r="AR419" s="1513" t="str">
        <f t="shared" si="324"/>
        <v>3Q08</v>
      </c>
      <c r="AS419" s="1513" t="str">
        <f t="shared" si="324"/>
        <v>4Q08</v>
      </c>
      <c r="AT419" s="1514" t="str">
        <f t="shared" si="324"/>
        <v>2008</v>
      </c>
      <c r="AU419" s="1513" t="str">
        <f t="shared" si="324"/>
        <v>1Q09</v>
      </c>
      <c r="AV419" s="1513" t="str">
        <f t="shared" si="324"/>
        <v>2Q09</v>
      </c>
      <c r="AW419" s="1513" t="str">
        <f t="shared" si="324"/>
        <v>3Q09</v>
      </c>
      <c r="AX419" s="1513" t="str">
        <f t="shared" si="324"/>
        <v>4Q09</v>
      </c>
      <c r="AY419" s="1514" t="str">
        <f t="shared" si="324"/>
        <v>2009</v>
      </c>
      <c r="AZ419" s="1513" t="str">
        <f t="shared" si="324"/>
        <v>1Q10</v>
      </c>
      <c r="BA419" s="1513" t="str">
        <f t="shared" si="324"/>
        <v>2Q10</v>
      </c>
      <c r="BB419" s="1513" t="str">
        <f t="shared" si="324"/>
        <v>3Q10</v>
      </c>
      <c r="BC419" s="1513" t="str">
        <f t="shared" si="324"/>
        <v>4Q10</v>
      </c>
      <c r="BD419" s="1514" t="str">
        <f t="shared" si="324"/>
        <v>2010</v>
      </c>
      <c r="BE419" s="1513" t="str">
        <f t="shared" si="324"/>
        <v>1Q11</v>
      </c>
      <c r="BF419" s="1513" t="str">
        <f t="shared" si="324"/>
        <v>2Q11</v>
      </c>
      <c r="BG419" s="1513" t="str">
        <f t="shared" si="324"/>
        <v>3Q11</v>
      </c>
      <c r="BH419" s="1513" t="str">
        <f t="shared" si="324"/>
        <v>4Q11</v>
      </c>
      <c r="BI419" s="1514">
        <f t="shared" si="324"/>
        <v>2011</v>
      </c>
      <c r="BJ419" s="1513" t="str">
        <f t="shared" si="324"/>
        <v>1Q12</v>
      </c>
      <c r="BK419" s="1513" t="str">
        <f t="shared" si="324"/>
        <v>2Q12</v>
      </c>
      <c r="BL419" s="1513" t="str">
        <f t="shared" si="324"/>
        <v>3Q12</v>
      </c>
      <c r="BM419" s="1513" t="str">
        <f t="shared" si="324"/>
        <v>4Q12</v>
      </c>
      <c r="BN419" s="1514">
        <f t="shared" ref="BN419:CT419" si="325">+BN$5</f>
        <v>2012</v>
      </c>
      <c r="BO419" s="1513" t="str">
        <f t="shared" si="325"/>
        <v>1Q13</v>
      </c>
      <c r="BP419" s="1513" t="str">
        <f t="shared" si="325"/>
        <v>2Q13</v>
      </c>
      <c r="BQ419" s="1513" t="str">
        <f t="shared" si="325"/>
        <v>3Q13</v>
      </c>
      <c r="BR419" s="1513" t="str">
        <f t="shared" si="325"/>
        <v>4Q13</v>
      </c>
      <c r="BS419" s="1514">
        <f t="shared" si="325"/>
        <v>2013</v>
      </c>
      <c r="BT419" s="1513" t="str">
        <f t="shared" si="325"/>
        <v>1Q14</v>
      </c>
      <c r="BU419" s="1513" t="str">
        <f t="shared" si="325"/>
        <v>2Q14</v>
      </c>
      <c r="BV419" s="1513" t="str">
        <f t="shared" si="325"/>
        <v>3Q14</v>
      </c>
      <c r="BW419" s="1513" t="str">
        <f t="shared" si="325"/>
        <v>4Q14</v>
      </c>
      <c r="BX419" s="1514">
        <f t="shared" si="325"/>
        <v>2014</v>
      </c>
      <c r="BY419" s="1513" t="str">
        <f t="shared" si="325"/>
        <v>1Q15</v>
      </c>
      <c r="BZ419" s="1513" t="str">
        <f t="shared" si="325"/>
        <v>2Q15</v>
      </c>
      <c r="CA419" s="1513" t="str">
        <f t="shared" si="325"/>
        <v>3Q15</v>
      </c>
      <c r="CB419" s="1513" t="str">
        <f t="shared" si="325"/>
        <v>4Q15</v>
      </c>
      <c r="CC419" s="1514">
        <f t="shared" si="325"/>
        <v>2015</v>
      </c>
      <c r="CD419" s="1513" t="str">
        <f t="shared" si="325"/>
        <v>1Q16</v>
      </c>
      <c r="CE419" s="1513" t="str">
        <f t="shared" si="325"/>
        <v>2Q16</v>
      </c>
      <c r="CF419" s="1513" t="str">
        <f t="shared" si="325"/>
        <v>3Q16</v>
      </c>
      <c r="CG419" s="1513" t="str">
        <f t="shared" si="325"/>
        <v>4Q16</v>
      </c>
      <c r="CH419" s="1514">
        <f t="shared" si="325"/>
        <v>2016</v>
      </c>
      <c r="CI419" s="1513" t="str">
        <f t="shared" si="325"/>
        <v>1Q17</v>
      </c>
      <c r="CJ419" s="1513" t="str">
        <f t="shared" si="325"/>
        <v>2Q17</v>
      </c>
      <c r="CK419" s="1513" t="str">
        <f t="shared" si="325"/>
        <v>3Q17</v>
      </c>
      <c r="CL419" s="1513" t="str">
        <f t="shared" si="325"/>
        <v>4Q17A</v>
      </c>
      <c r="CM419" s="1514" t="str">
        <f t="shared" si="325"/>
        <v>2017A</v>
      </c>
      <c r="CN419" s="1513" t="str">
        <f t="shared" si="325"/>
        <v>1Q18E</v>
      </c>
      <c r="CO419" s="1513" t="str">
        <f t="shared" si="325"/>
        <v>2Q18E</v>
      </c>
      <c r="CP419" s="1513" t="str">
        <f t="shared" si="325"/>
        <v>3Q18E</v>
      </c>
      <c r="CQ419" s="1513" t="str">
        <f t="shared" si="325"/>
        <v>4Q18E</v>
      </c>
      <c r="CR419" s="1514" t="str">
        <f t="shared" si="325"/>
        <v>2018E</v>
      </c>
      <c r="CS419" s="1514" t="str">
        <f t="shared" si="325"/>
        <v>2019E</v>
      </c>
      <c r="CT419" s="1514" t="str">
        <f t="shared" si="325"/>
        <v>2020E</v>
      </c>
      <c r="DA419" s="212"/>
      <c r="DB419" s="1226"/>
    </row>
    <row r="420" spans="1:106" s="207" customFormat="1" x14ac:dyDescent="0.2">
      <c r="A420" s="1437"/>
      <c r="B420" s="1499"/>
      <c r="C420" s="1499"/>
      <c r="D420" s="1499"/>
      <c r="E420" s="1499"/>
      <c r="F420" s="1500"/>
      <c r="G420" s="1499"/>
      <c r="H420" s="1499"/>
      <c r="I420" s="1499"/>
      <c r="J420" s="1499"/>
      <c r="K420" s="1500"/>
      <c r="L420" s="1499"/>
      <c r="M420" s="1499"/>
      <c r="N420" s="1499"/>
      <c r="O420" s="1499"/>
      <c r="P420" s="1500"/>
      <c r="Q420" s="1499"/>
      <c r="R420" s="1499"/>
      <c r="S420" s="1499"/>
      <c r="T420" s="1499"/>
      <c r="U420" s="1500"/>
      <c r="V420" s="1499"/>
      <c r="W420" s="1499"/>
      <c r="X420" s="1499"/>
      <c r="Y420" s="1499"/>
      <c r="Z420" s="1500"/>
      <c r="AA420" s="1499"/>
      <c r="AB420" s="1499"/>
      <c r="AC420" s="1499"/>
      <c r="AD420" s="1499"/>
      <c r="AE420" s="1500"/>
      <c r="AF420" s="1499"/>
      <c r="AG420" s="1499"/>
      <c r="AH420" s="1499"/>
      <c r="AI420" s="1499"/>
      <c r="AJ420" s="1500"/>
      <c r="AK420" s="1499"/>
      <c r="AL420" s="1499"/>
      <c r="AM420" s="1499"/>
      <c r="AN420" s="1499"/>
      <c r="AO420" s="1500"/>
      <c r="AP420" s="1499"/>
      <c r="AQ420" s="1499"/>
      <c r="AR420" s="1499"/>
      <c r="AS420" s="1499"/>
      <c r="AT420" s="1500"/>
      <c r="AU420" s="1499"/>
      <c r="AV420" s="1499"/>
      <c r="AW420" s="1499"/>
      <c r="AX420" s="1499"/>
      <c r="AY420" s="1500"/>
      <c r="AZ420" s="1499"/>
      <c r="BA420" s="1499"/>
      <c r="BB420" s="1499"/>
      <c r="BC420" s="1499"/>
      <c r="BD420" s="1500"/>
      <c r="BE420" s="1499"/>
      <c r="BF420" s="1499"/>
      <c r="BG420" s="1499"/>
      <c r="BH420" s="1499"/>
      <c r="BI420" s="1500"/>
      <c r="BJ420" s="1499"/>
      <c r="BK420" s="1499"/>
      <c r="BL420" s="1499"/>
      <c r="BM420" s="1499"/>
      <c r="BN420" s="1500"/>
      <c r="BO420" s="1499"/>
      <c r="BP420" s="1499"/>
      <c r="BQ420" s="1499"/>
      <c r="BR420" s="1499"/>
      <c r="BS420" s="1500"/>
      <c r="BT420" s="1499"/>
      <c r="BU420" s="1499"/>
      <c r="BV420" s="1499"/>
      <c r="BW420" s="1499"/>
      <c r="BX420" s="1500"/>
      <c r="BY420" s="1499"/>
      <c r="BZ420" s="1499"/>
      <c r="CA420" s="1499"/>
      <c r="CB420" s="1499"/>
      <c r="CC420" s="1500"/>
      <c r="CD420" s="1499"/>
      <c r="CE420" s="1499"/>
      <c r="CF420" s="1499"/>
      <c r="CG420" s="1499"/>
      <c r="CH420" s="1500"/>
      <c r="CI420" s="1499"/>
      <c r="CJ420" s="1499"/>
      <c r="CK420" s="1499"/>
      <c r="CL420" s="1502"/>
      <c r="CM420" s="1502"/>
      <c r="CN420" s="1499"/>
      <c r="CO420" s="1499"/>
      <c r="CP420" s="1499"/>
      <c r="CQ420" s="1502"/>
      <c r="CR420" s="1502"/>
      <c r="CS420" s="1502"/>
      <c r="CT420" s="1502"/>
      <c r="DA420" s="212"/>
      <c r="DB420" s="1226"/>
    </row>
    <row r="421" spans="1:106" s="207" customFormat="1" x14ac:dyDescent="0.2">
      <c r="A421" s="1437" t="s">
        <v>2061</v>
      </c>
      <c r="B421" s="1499"/>
      <c r="C421" s="1499"/>
      <c r="D421" s="1499"/>
      <c r="E421" s="1499"/>
      <c r="F421" s="1500"/>
      <c r="G421" s="1499"/>
      <c r="H421" s="1499"/>
      <c r="I421" s="1499"/>
      <c r="J421" s="1499"/>
      <c r="K421" s="1500"/>
      <c r="L421" s="1499"/>
      <c r="M421" s="1499"/>
      <c r="N421" s="1499"/>
      <c r="O421" s="1499"/>
      <c r="P421" s="1500"/>
      <c r="Q421" s="1499"/>
      <c r="R421" s="1499"/>
      <c r="S421" s="1499"/>
      <c r="T421" s="1499"/>
      <c r="U421" s="1500"/>
      <c r="V421" s="1499"/>
      <c r="W421" s="1499"/>
      <c r="X421" s="1499"/>
      <c r="Y421" s="1499"/>
      <c r="Z421" s="1500"/>
      <c r="AA421" s="1499"/>
      <c r="AB421" s="1499"/>
      <c r="AC421" s="1499"/>
      <c r="AD421" s="1499"/>
      <c r="AE421" s="1500"/>
      <c r="AF421" s="1499"/>
      <c r="AG421" s="1499"/>
      <c r="AH421" s="1499"/>
      <c r="AI421" s="1499"/>
      <c r="AJ421" s="1500"/>
      <c r="AK421" s="1499"/>
      <c r="AL421" s="1499"/>
      <c r="AM421" s="1499"/>
      <c r="AN421" s="1499"/>
      <c r="AO421" s="1500"/>
      <c r="AP421" s="1499"/>
      <c r="AQ421" s="1499"/>
      <c r="AR421" s="1499"/>
      <c r="AS421" s="1499"/>
      <c r="AT421" s="1500"/>
      <c r="AU421" s="1499"/>
      <c r="AV421" s="1499"/>
      <c r="AW421" s="1499"/>
      <c r="AX421" s="1499"/>
      <c r="AY421" s="1500"/>
      <c r="AZ421" s="1499"/>
      <c r="BA421" s="1499"/>
      <c r="BB421" s="1499"/>
      <c r="BC421" s="1499"/>
      <c r="BD421" s="1500"/>
      <c r="BE421" s="1499"/>
      <c r="BF421" s="1499"/>
      <c r="BG421" s="1499"/>
      <c r="BH421" s="1499"/>
      <c r="BI421" s="1500"/>
      <c r="BJ421" s="1499"/>
      <c r="BK421" s="1499"/>
      <c r="BL421" s="1499"/>
      <c r="BM421" s="1499"/>
      <c r="BN421" s="1500"/>
      <c r="BO421" s="1499"/>
      <c r="BP421" s="1499"/>
      <c r="BQ421" s="1499"/>
      <c r="BR421" s="1499"/>
      <c r="BS421" s="1500"/>
      <c r="BT421" s="1499"/>
      <c r="BU421" s="1499"/>
      <c r="BV421" s="1499"/>
      <c r="BW421" s="1499"/>
      <c r="BX421" s="1500"/>
      <c r="BY421" s="1499"/>
      <c r="BZ421" s="1499"/>
      <c r="CA421" s="1499"/>
      <c r="CB421" s="1499"/>
      <c r="CC421" s="1500"/>
      <c r="CD421" s="1499"/>
      <c r="CE421" s="1499"/>
      <c r="CF421" s="1499"/>
      <c r="CG421" s="3274"/>
      <c r="CH421" s="1500"/>
      <c r="CI421" s="1499"/>
      <c r="CJ421" s="1499"/>
      <c r="CK421" s="1499"/>
      <c r="CL421" s="1503"/>
      <c r="CM421" s="1503"/>
      <c r="CN421" s="1499"/>
      <c r="CO421" s="1499"/>
      <c r="CP421" s="1499"/>
      <c r="CQ421" s="1503"/>
      <c r="CR421" s="1500"/>
      <c r="CS421" s="1500"/>
      <c r="CT421" s="1500"/>
      <c r="DA421" s="212"/>
      <c r="DB421" s="1226"/>
    </row>
    <row r="422" spans="1:106" s="207" customFormat="1" x14ac:dyDescent="0.2">
      <c r="A422" s="1434" t="s">
        <v>346</v>
      </c>
      <c r="B422" s="777"/>
      <c r="C422" s="777"/>
      <c r="D422" s="777"/>
      <c r="E422" s="777"/>
      <c r="F422" s="235"/>
      <c r="G422" s="777"/>
      <c r="H422" s="777"/>
      <c r="I422" s="777"/>
      <c r="J422" s="777"/>
      <c r="K422" s="235"/>
      <c r="L422" s="777"/>
      <c r="M422" s="777"/>
      <c r="N422" s="777"/>
      <c r="O422" s="777"/>
      <c r="P422" s="631"/>
      <c r="Q422" s="777"/>
      <c r="R422" s="777"/>
      <c r="S422" s="777"/>
      <c r="T422" s="777"/>
      <c r="U422" s="631"/>
      <c r="V422" s="777"/>
      <c r="W422" s="777"/>
      <c r="X422" s="777"/>
      <c r="Y422" s="777"/>
      <c r="Z422" s="631"/>
      <c r="AA422" s="275"/>
      <c r="AB422" s="275"/>
      <c r="AC422" s="275"/>
      <c r="AD422" s="275"/>
      <c r="AE422" s="631"/>
      <c r="AF422" s="275"/>
      <c r="AG422" s="275"/>
      <c r="AH422" s="275"/>
      <c r="AI422" s="275"/>
      <c r="AJ422" s="631"/>
      <c r="AK422" s="1466">
        <f>+Rooms!AM496*AK$63/1000000*AK$4</f>
        <v>473.38145915793689</v>
      </c>
      <c r="AL422" s="1466">
        <f>+Rooms!AN496*AL$63/1000000*AL$4</f>
        <v>525.46406504004005</v>
      </c>
      <c r="AM422" s="1466">
        <f>+Rooms!AO496*AM$63/1000000*AM$4</f>
        <v>496.90972039799999</v>
      </c>
      <c r="AN422" s="1466">
        <f>+Rooms!AP496*AN$63/1000000*AN$4</f>
        <v>664.45748236560007</v>
      </c>
      <c r="AO422" s="1565">
        <f t="shared" ref="AO422:AO428" si="326">+SUM(AK422:AN422)</f>
        <v>2160.2127269615767</v>
      </c>
      <c r="AP422" s="1466">
        <f>+Rooms!AR496*AP$63/1000000*AP$4</f>
        <v>486.40136626872004</v>
      </c>
      <c r="AQ422" s="1466">
        <f>+Rooms!AS496*AQ$63/1000000*AQ$4</f>
        <v>543.01816435775993</v>
      </c>
      <c r="AR422" s="1466">
        <f>+Rooms!AT496*AR$63/1000000*AR$4</f>
        <v>507.09330566747997</v>
      </c>
      <c r="AS422" s="1466">
        <f>+Rooms!AU496*AS$63/1000000*AS$4</f>
        <v>650.72010603600006</v>
      </c>
      <c r="AT422" s="1565">
        <f t="shared" ref="AT422:AT428" si="327">+SUM(AP422:AS422)</f>
        <v>2187.2329423299598</v>
      </c>
      <c r="AU422" s="1466">
        <f>+Rooms!AW496*AU$63/1000000*AU$4</f>
        <v>424.68772119227998</v>
      </c>
      <c r="AV422" s="1466">
        <f>+Rooms!AX496*AV$63/1000000*AV$4</f>
        <v>445.72765591619998</v>
      </c>
      <c r="AW422" s="1466">
        <f>+Rooms!AY496*AW$63/1000000*AW$4</f>
        <v>429.69334106916</v>
      </c>
      <c r="AX422" s="1466">
        <f>+Rooms!AZ496*AX$63/1000000*AX$4</f>
        <v>576.71978755327996</v>
      </c>
      <c r="AY422" s="1565">
        <f t="shared" ref="AY422:AY428" si="328">+SUM(AU422:AX422)</f>
        <v>1876.8285057309199</v>
      </c>
      <c r="AZ422" s="1466">
        <f>+Rooms!BB496*AZ$63/1000000*AZ$4</f>
        <v>437.0820951</v>
      </c>
      <c r="BA422" s="1466">
        <f>+Rooms!BC496*BA$63/1000000*BA$4</f>
        <v>493.28951523599994</v>
      </c>
      <c r="BB422" s="1466">
        <f>+Rooms!BD496*BB$63/1000000*BB$4</f>
        <v>462.14754332207991</v>
      </c>
      <c r="BC422" s="1466">
        <f>+Rooms!BE496*BC$63/1000000*BC$4</f>
        <v>605.56051669344004</v>
      </c>
      <c r="BD422" s="1565">
        <f t="shared" ref="BD422:BD428" si="329">+SUM(AZ422:BC422)</f>
        <v>1998.0796703515198</v>
      </c>
      <c r="BE422" s="1466">
        <f>AVERAGE(Rooms!BG496:'Rooms'!BF496)*BE$63/1000000*BE$4</f>
        <v>473.4205690032</v>
      </c>
      <c r="BF422" s="1466">
        <f>AVERAGE(Rooms!BH496:'Rooms'!BG496)*BF$63/1000000*BF$4</f>
        <v>539.19504868319996</v>
      </c>
      <c r="BG422" s="1466">
        <f>AVERAGE(Rooms!BI496:'Rooms'!BH496)*BG$63/1000000*BG$4</f>
        <v>501.09765746040006</v>
      </c>
      <c r="BH422" s="1466">
        <f>AVERAGE(Rooms!BJ496:'Rooms'!BI496)*BH$63/1000000*BH$4</f>
        <v>660.81604022279987</v>
      </c>
      <c r="BI422" s="1565">
        <f t="shared" ref="BI422:BI428" si="330">+SUM(BE422:BH422)</f>
        <v>2174.5293153695998</v>
      </c>
      <c r="BJ422" s="1466">
        <f>AVERAGE(Rooms!BL496:'Rooms'!BK496)*BJ$63/1000000*BJ$4</f>
        <v>518.23075441536002</v>
      </c>
      <c r="BK422" s="1466">
        <f>AVERAGE(Rooms!BM496:'Rooms'!BL496)*BK$63/1000000*BK$4</f>
        <v>580.65671126399991</v>
      </c>
      <c r="BL422" s="1466">
        <f>AVERAGE(Rooms!BN496:'Rooms'!BM496)*BL$63/1000000*BL$4</f>
        <v>543.89491358579994</v>
      </c>
      <c r="BM422" s="1466">
        <f>AVERAGE(Rooms!BO496:'Rooms'!BN496)*BM$63/1000000*BM$4</f>
        <v>713.20277892863999</v>
      </c>
      <c r="BN422" s="1565">
        <f>+SUM(BJ422:BM422)</f>
        <v>2355.9851581938001</v>
      </c>
      <c r="BO422" s="1466">
        <f>AVERAGE(Rooms!BQ496:'Rooms'!BP496)*BO$63/1000000*BO$4</f>
        <v>599.19162661312509</v>
      </c>
      <c r="BP422" s="1466">
        <f>AVERAGE(Rooms!BR496:'Rooms'!BQ496)*BP$63/1000000*BP$4</f>
        <v>662.76231049665</v>
      </c>
      <c r="BQ422" s="1466">
        <f>AVERAGE(Rooms!BS496:'Rooms'!BR496)*BQ$63/1000000*BQ$4</f>
        <v>624.68036809199987</v>
      </c>
      <c r="BR422" s="1466">
        <f>AVERAGE(Rooms!BT496:'Rooms'!BS496)*BR$63/1000000*BR$4</f>
        <v>597.89417167872</v>
      </c>
      <c r="BS422" s="1565">
        <f>+SUM(BO422:BR422)</f>
        <v>2484.528476880495</v>
      </c>
      <c r="BT422" s="1466">
        <f>AVERAGE(Rooms!BV496:'Rooms'!BU496)*BT$63/1000000*BT$4</f>
        <v>635.25413180249996</v>
      </c>
      <c r="BU422" s="1466">
        <f>AVERAGE(Rooms!BW496:'Rooms'!BV496)*BU$63/1000000*BU$4</f>
        <v>707.60015103686987</v>
      </c>
      <c r="BV422" s="1466">
        <f>AVERAGE(Rooms!BX496:'Rooms'!BW496)*BV$63/1000000*BV$4</f>
        <v>690.9422808544</v>
      </c>
      <c r="BW422" s="1466">
        <f>AVERAGE(Rooms!BY496:'Rooms'!BX496)*BW$63/1000000*BW$4</f>
        <v>644.87009770960003</v>
      </c>
      <c r="BX422" s="1565">
        <f>+SUM(BT422:BW422)</f>
        <v>2678.6666614033697</v>
      </c>
      <c r="BY422" s="1466">
        <f>AVERAGE(Rooms!CA496:'Rooms'!BZ496)*BY$63/1000000*BY$4</f>
        <v>691.91033909399994</v>
      </c>
      <c r="BZ422" s="1466">
        <f>AVERAGE(Rooms!CB496:'Rooms'!CA496)*BZ$63/1000000*BZ$4</f>
        <v>809.83066179652008</v>
      </c>
      <c r="CA422" s="1466">
        <f>AVERAGE(Rooms!CC496:'Rooms'!CB496)*CA$63/1000000*CA$4</f>
        <v>787.74752983679991</v>
      </c>
      <c r="CB422" s="1466">
        <f>AVERAGE(Rooms!CD496:'Rooms'!CC496)*CB$63/1000000*CB$4</f>
        <v>724.85458764108</v>
      </c>
      <c r="CC422" s="1565">
        <f>+SUM(BY422:CB422)</f>
        <v>3014.3431183683997</v>
      </c>
      <c r="CD422" s="1466">
        <f>AVERAGE(Rooms!CF496:'Rooms'!CE496)*CD$63/1000000*CD$4</f>
        <v>756.92720847743988</v>
      </c>
      <c r="CE422" s="1466">
        <f>AVERAGE(Rooms!CG496:'Rooms'!CF496)*CE$63/1000000*CE$4</f>
        <v>871.34741956080018</v>
      </c>
      <c r="CF422" s="1466">
        <f>AVERAGE(Rooms!CH496:'Rooms'!CG496)*CF$63/1000000*CF$4</f>
        <v>811.00015894799981</v>
      </c>
      <c r="CG422" s="1466"/>
      <c r="CH422" s="1565"/>
      <c r="CI422" s="1466"/>
      <c r="CJ422" s="1466"/>
      <c r="CK422" s="1466"/>
      <c r="CL422" s="1469"/>
      <c r="CM422" s="1565"/>
      <c r="CN422" s="1466"/>
      <c r="CO422" s="1466"/>
      <c r="CP422" s="1466"/>
      <c r="CQ422" s="1469"/>
      <c r="CR422" s="1468"/>
      <c r="CS422" s="1468"/>
      <c r="CT422" s="1468"/>
      <c r="CV422"/>
      <c r="CW422"/>
      <c r="CX422"/>
      <c r="DA422" s="212"/>
      <c r="DB422" s="1226"/>
    </row>
    <row r="423" spans="1:106" s="207" customFormat="1" x14ac:dyDescent="0.2">
      <c r="A423" s="1434" t="s">
        <v>1385</v>
      </c>
      <c r="B423" s="777"/>
      <c r="C423" s="777"/>
      <c r="D423" s="777"/>
      <c r="E423" s="777"/>
      <c r="F423" s="235"/>
      <c r="G423" s="777"/>
      <c r="H423" s="777"/>
      <c r="I423" s="777"/>
      <c r="J423" s="777"/>
      <c r="K423" s="235"/>
      <c r="L423" s="777"/>
      <c r="M423" s="777"/>
      <c r="N423" s="777"/>
      <c r="O423" s="777"/>
      <c r="P423" s="631"/>
      <c r="Q423" s="777"/>
      <c r="R423" s="777"/>
      <c r="S423" s="777"/>
      <c r="T423" s="777"/>
      <c r="U423" s="631"/>
      <c r="V423" s="777"/>
      <c r="W423" s="777"/>
      <c r="X423" s="777"/>
      <c r="Y423" s="777"/>
      <c r="Z423" s="631"/>
      <c r="AA423" s="275"/>
      <c r="AB423" s="275"/>
      <c r="AC423" s="275"/>
      <c r="AD423" s="275"/>
      <c r="AE423" s="631"/>
      <c r="AF423" s="275"/>
      <c r="AG423" s="275"/>
      <c r="AH423" s="275"/>
      <c r="AI423" s="275"/>
      <c r="AJ423" s="631"/>
      <c r="AK423" s="758">
        <f>+Rooms!AM497*AK$66/1000000*AK$4</f>
        <v>74.621527002795148</v>
      </c>
      <c r="AL423" s="758">
        <f>+Rooms!AN497*AL$66/1000000*AL$4</f>
        <v>92.301896373120002</v>
      </c>
      <c r="AM423" s="758">
        <f>+Rooms!AO497*AM$66/1000000*AM$4</f>
        <v>85.594593860999993</v>
      </c>
      <c r="AN423" s="758">
        <f>+Rooms!AP497*AN$66/1000000*AN$4</f>
        <v>125.88738158996998</v>
      </c>
      <c r="AO423" s="1262">
        <f t="shared" si="326"/>
        <v>378.40539882688512</v>
      </c>
      <c r="AP423" s="758">
        <f>+Rooms!AR497*AP$66/1000000*AP$4</f>
        <v>96.3241955676</v>
      </c>
      <c r="AQ423" s="758">
        <f>+Rooms!AS497*AQ$66/1000000*AQ$4</f>
        <v>108.68094669599999</v>
      </c>
      <c r="AR423" s="758">
        <f>+Rooms!AT497*AR$66/1000000*AR$4</f>
        <v>95.15696496599999</v>
      </c>
      <c r="AS423" s="758">
        <f>+Rooms!AU497*AS$66/1000000*AS$4</f>
        <v>124.74793239480002</v>
      </c>
      <c r="AT423" s="1262">
        <f t="shared" si="327"/>
        <v>424.91003962440004</v>
      </c>
      <c r="AU423" s="758">
        <f>+Rooms!AW497*AU$66/1000000*AU$4</f>
        <v>85.24610324999999</v>
      </c>
      <c r="AV423" s="758">
        <f>+Rooms!AX497*AV$66/1000000*AV$4</f>
        <v>88.246908288000014</v>
      </c>
      <c r="AW423" s="758">
        <f>+Rooms!AY497*AW$66/1000000*AW$4</f>
        <v>83.343513859200002</v>
      </c>
      <c r="AX423" s="758">
        <f>+Rooms!AZ497*AX$66/1000000*AX$4</f>
        <v>115.22532752640001</v>
      </c>
      <c r="AY423" s="1262">
        <f t="shared" si="328"/>
        <v>372.06185292360004</v>
      </c>
      <c r="AZ423" s="758">
        <f>+Rooms!BB497*AZ$66/1000000*AZ$4</f>
        <v>88.185507338880015</v>
      </c>
      <c r="BA423" s="758">
        <f>+Rooms!BC497*BA$66/1000000*BA$4</f>
        <v>103.75902679295997</v>
      </c>
      <c r="BB423" s="758">
        <f>+Rooms!BD497*BB$66/1000000*BB$4</f>
        <v>91.679849795520013</v>
      </c>
      <c r="BC423" s="758">
        <f>+Rooms!BE497*BC$66/1000000*BC$4</f>
        <v>123.74396326432</v>
      </c>
      <c r="BD423" s="1262">
        <f t="shared" si="329"/>
        <v>407.36834719167996</v>
      </c>
      <c r="BE423" s="758">
        <f>AVERAGE(Rooms!BG497:'Rooms'!BF497)*BE$66/1000000*BE$4</f>
        <v>96.003819918719998</v>
      </c>
      <c r="BF423" s="758">
        <f>AVERAGE(Rooms!BH497:'Rooms'!BG497)*BF$66/1000000*BF$4</f>
        <v>107.43838823172</v>
      </c>
      <c r="BG423" s="758">
        <f>AVERAGE(Rooms!BI497:'Rooms'!BH497)*BG$66/1000000*BG$4</f>
        <v>97.761624105600006</v>
      </c>
      <c r="BH423" s="758">
        <f>AVERAGE(Rooms!BJ497:'Rooms'!BI497)*BH$66/1000000*BH$4</f>
        <v>131.45459711999999</v>
      </c>
      <c r="BI423" s="1262">
        <f t="shared" si="330"/>
        <v>432.65842937603998</v>
      </c>
      <c r="BJ423" s="758">
        <f>AVERAGE(Rooms!BL497:'Rooms'!BK497)*BJ$66/1000000*BJ$4</f>
        <v>104.362119162</v>
      </c>
      <c r="BK423" s="758">
        <f>AVERAGE(Rooms!BM497:'Rooms'!BL497)*BK$66/1000000*BK$4</f>
        <v>118.97726148</v>
      </c>
      <c r="BL423" s="758">
        <f>AVERAGE(Rooms!BN497:'Rooms'!BM497)*BL$66/1000000*BL$4</f>
        <v>106.72256007</v>
      </c>
      <c r="BM423" s="758">
        <f>AVERAGE(Rooms!BO497:'Rooms'!BN497)*BM$66/1000000*BM$4</f>
        <v>143.50248360000001</v>
      </c>
      <c r="BN423" s="1262">
        <f t="shared" ref="BN423:BN430" si="331">+SUM(BJ423:BM423)</f>
        <v>473.56442431199997</v>
      </c>
      <c r="BO423" s="758">
        <f>AVERAGE(Rooms!BQ497:'Rooms'!BP497)*BO$66/1000000*BO$4</f>
        <v>122.24901165749999</v>
      </c>
      <c r="BP423" s="758">
        <f>AVERAGE(Rooms!BR497:'Rooms'!BQ497)*BP$66/1000000*BP$4</f>
        <v>135.28684549744003</v>
      </c>
      <c r="BQ423" s="758">
        <f>AVERAGE(Rooms!BS497:'Rooms'!BR497)*BQ$66/1000000*BQ$4</f>
        <v>121.01093638</v>
      </c>
      <c r="BR423" s="758">
        <f>AVERAGE(Rooms!BT497:'Rooms'!BS497)*BR$66/1000000*BR$4</f>
        <v>115.39504941680002</v>
      </c>
      <c r="BS423" s="1262">
        <f t="shared" ref="BS423:BS430" si="332">+SUM(BO423:BR423)</f>
        <v>493.94184295174</v>
      </c>
      <c r="BT423" s="758">
        <f>AVERAGE(Rooms!BV497:'Rooms'!BU497)*BT$66/1000000*BT$4</f>
        <v>120.74691746879998</v>
      </c>
      <c r="BU423" s="758">
        <f>AVERAGE(Rooms!BW497:'Rooms'!BV497)*BU$66/1000000*BU$4</f>
        <v>142.14923542638002</v>
      </c>
      <c r="BV423" s="758">
        <f>AVERAGE(Rooms!BX497:'Rooms'!BW497)*BV$66/1000000*BV$4</f>
        <v>138.04884032059999</v>
      </c>
      <c r="BW423" s="758">
        <f>AVERAGE(Rooms!BY497:'Rooms'!BX497)*BW$66/1000000*BW$4</f>
        <v>127.86386016767997</v>
      </c>
      <c r="BX423" s="1262">
        <f t="shared" ref="BX423:BX428" si="333">+SUM(BT423:BW423)</f>
        <v>528.8088533834599</v>
      </c>
      <c r="BY423" s="758">
        <f>AVERAGE(Rooms!CA497:'Rooms'!BZ497)*BY$66/1000000*BY$4</f>
        <v>140.60877554519999</v>
      </c>
      <c r="BZ423" s="758">
        <f>AVERAGE(Rooms!CB497:'Rooms'!CA497)*BZ$66/1000000*BZ$4</f>
        <v>160.62574688160001</v>
      </c>
      <c r="CA423" s="758">
        <f>AVERAGE(Rooms!CC497:'Rooms'!CB497)*CA$66/1000000*CA$4</f>
        <v>155.69768642559998</v>
      </c>
      <c r="CB423" s="758">
        <f>AVERAGE(Rooms!CD497:'Rooms'!CC497)*CB$66/1000000*CB$4</f>
        <v>154.05790644557999</v>
      </c>
      <c r="CC423" s="1262">
        <f t="shared" ref="CC423:CC430" si="334">+SUM(BY423:CB423)</f>
        <v>610.99011529797997</v>
      </c>
      <c r="CD423" s="758">
        <f>AVERAGE(Rooms!CF497:'Rooms'!CE497)*CD$66/1000000*CD$4</f>
        <v>171.11148218619002</v>
      </c>
      <c r="CE423" s="758">
        <f>AVERAGE(Rooms!CG497:'Rooms'!CF497)*CE$66/1000000*CE$4</f>
        <v>199.30244084660001</v>
      </c>
      <c r="CF423" s="758">
        <f>AVERAGE(Rooms!CH497:'Rooms'!CG497)*CF$66/1000000*CF$4</f>
        <v>185.20481318507998</v>
      </c>
      <c r="CG423" s="758"/>
      <c r="CH423" s="1262"/>
      <c r="CI423" s="758"/>
      <c r="CJ423" s="758"/>
      <c r="CK423" s="758"/>
      <c r="CL423" s="751"/>
      <c r="CM423" s="1262"/>
      <c r="CN423" s="758"/>
      <c r="CO423" s="758"/>
      <c r="CP423" s="758"/>
      <c r="CQ423" s="751"/>
      <c r="CR423" s="752"/>
      <c r="CS423" s="752"/>
      <c r="CT423" s="752"/>
      <c r="CV423"/>
      <c r="CW423"/>
      <c r="CX423"/>
      <c r="DA423" s="212"/>
      <c r="DB423" s="1226"/>
    </row>
    <row r="424" spans="1:106" s="207" customFormat="1" x14ac:dyDescent="0.2">
      <c r="A424" s="1434" t="s">
        <v>2065</v>
      </c>
      <c r="B424" s="777"/>
      <c r="C424" s="777"/>
      <c r="D424" s="777"/>
      <c r="E424" s="777"/>
      <c r="F424" s="235"/>
      <c r="G424" s="777"/>
      <c r="H424" s="777"/>
      <c r="I424" s="777"/>
      <c r="J424" s="777"/>
      <c r="K424" s="235"/>
      <c r="L424" s="777"/>
      <c r="M424" s="777"/>
      <c r="N424" s="777"/>
      <c r="O424" s="777"/>
      <c r="P424" s="631"/>
      <c r="Q424" s="777"/>
      <c r="R424" s="777"/>
      <c r="S424" s="777"/>
      <c r="T424" s="777"/>
      <c r="U424" s="631"/>
      <c r="V424" s="777"/>
      <c r="W424" s="777"/>
      <c r="X424" s="777"/>
      <c r="Y424" s="777"/>
      <c r="Z424" s="631"/>
      <c r="AA424" s="275"/>
      <c r="AB424" s="275"/>
      <c r="AC424" s="275"/>
      <c r="AD424" s="275"/>
      <c r="AE424" s="631"/>
      <c r="AF424" s="275"/>
      <c r="AG424" s="275"/>
      <c r="AH424" s="275"/>
      <c r="AI424" s="275"/>
      <c r="AJ424" s="631"/>
      <c r="AK424" s="758">
        <f>+Rooms!AM498*AK$72/1000000*AK$4</f>
        <v>0</v>
      </c>
      <c r="AL424" s="758">
        <f>+Rooms!AN498*AL$72/1000000*AL$4</f>
        <v>0</v>
      </c>
      <c r="AM424" s="758">
        <f>+Rooms!AO498*AM$72/1000000*AM$4</f>
        <v>0</v>
      </c>
      <c r="AN424" s="758">
        <f>+Rooms!AP498*AN$72/1000000*AN$4</f>
        <v>0</v>
      </c>
      <c r="AO424" s="1262">
        <f t="shared" si="326"/>
        <v>0</v>
      </c>
      <c r="AP424" s="758">
        <f>+Rooms!AR498*AP$72/1000000*AP$4</f>
        <v>0</v>
      </c>
      <c r="AQ424" s="758">
        <f>+Rooms!AS498*AQ$72/1000000*AQ$4</f>
        <v>0</v>
      </c>
      <c r="AR424" s="758">
        <f>+Rooms!AT498*AR$72/1000000*AR$4</f>
        <v>0</v>
      </c>
      <c r="AS424" s="758">
        <f>+Rooms!AU498*AS$72/1000000*AS$4</f>
        <v>0</v>
      </c>
      <c r="AT424" s="1262">
        <f t="shared" si="327"/>
        <v>0</v>
      </c>
      <c r="AU424" s="758">
        <f>+Rooms!AW498*AU$72/1000000*AU$4</f>
        <v>0</v>
      </c>
      <c r="AV424" s="758">
        <f>+Rooms!AX498*AV$72/1000000*AV$4</f>
        <v>0</v>
      </c>
      <c r="AW424" s="758">
        <f>+Rooms!AY498*AW$72/1000000*AW$4</f>
        <v>0</v>
      </c>
      <c r="AX424" s="758">
        <f>+Rooms!AZ498*AX$72/1000000*AX$4</f>
        <v>0</v>
      </c>
      <c r="AY424" s="1262">
        <f t="shared" si="328"/>
        <v>0</v>
      </c>
      <c r="AZ424" s="758">
        <f>+Rooms!BB498*AZ$72/1000000*AZ$4</f>
        <v>3.9378808022400005</v>
      </c>
      <c r="BA424" s="758">
        <f>+Rooms!BC498*BA$72/1000000*BA$4</f>
        <v>27.314931077279997</v>
      </c>
      <c r="BB424" s="758">
        <f>+Rooms!BD498*BB$72/1000000*BB$4</f>
        <v>23.439110580480001</v>
      </c>
      <c r="BC424" s="758">
        <f>+Rooms!BE498*BC$72/1000000*BC$4</f>
        <v>79.115785943040009</v>
      </c>
      <c r="BD424" s="1262">
        <f t="shared" si="329"/>
        <v>133.80770840304001</v>
      </c>
      <c r="BE424" s="758">
        <f>AVERAGE(Rooms!BG498:'Rooms'!BF498)*BE$72/1000000*BE$4</f>
        <v>69.573049935480014</v>
      </c>
      <c r="BF424" s="758">
        <f>AVERAGE(Rooms!BH498:'Rooms'!BG498)*BF$72/1000000*BF$4</f>
        <v>78.085407849120003</v>
      </c>
      <c r="BG424" s="758">
        <f>AVERAGE(Rooms!BI498:'Rooms'!BH498)*BG$72/1000000*BG$4</f>
        <v>71.170825002479987</v>
      </c>
      <c r="BH424" s="758">
        <f>AVERAGE(Rooms!BJ498:'Rooms'!BI498)*BH$72/1000000*BH$4</f>
        <v>114.7632201408</v>
      </c>
      <c r="BI424" s="1262">
        <f t="shared" si="330"/>
        <v>333.59250292787999</v>
      </c>
      <c r="BJ424" s="758">
        <f>AVERAGE(Rooms!BL498:'Rooms'!BK498)*BJ$72/1000000*BJ$4</f>
        <v>106.40054457647999</v>
      </c>
      <c r="BK424" s="758">
        <f>AVERAGE(Rooms!BM498:'Rooms'!BL498)*BK$72/1000000*BK$4</f>
        <v>126.51633871967999</v>
      </c>
      <c r="BL424" s="758">
        <f>AVERAGE(Rooms!BN498:'Rooms'!BM498)*BL$72/1000000*BL$4</f>
        <v>107.40466721039999</v>
      </c>
      <c r="BM424" s="758">
        <f>AVERAGE(Rooms!BO498:'Rooms'!BN498)*BM$72/1000000*BM$4</f>
        <v>154.57438172119998</v>
      </c>
      <c r="BN424" s="1262">
        <f t="shared" si="331"/>
        <v>494.89593222776</v>
      </c>
      <c r="BO424" s="758">
        <f>AVERAGE(Rooms!BQ498:'Rooms'!BP498)*BO$72/1000000*BO$4</f>
        <v>150.742069212735</v>
      </c>
      <c r="BP424" s="758">
        <f>AVERAGE(Rooms!BR498:'Rooms'!BQ498)*BP$72/1000000*BP$4</f>
        <v>151.81172686680003</v>
      </c>
      <c r="BQ424" s="758">
        <f>AVERAGE(Rooms!BS498:'Rooms'!BR498)*BQ$72/1000000*BQ$4</f>
        <v>150.05312225279999</v>
      </c>
      <c r="BR424" s="758">
        <f>AVERAGE(Rooms!BT498:'Rooms'!BS498)*BR$72/1000000*BR$4</f>
        <v>174.55021625468001</v>
      </c>
      <c r="BS424" s="1262">
        <f t="shared" si="332"/>
        <v>627.15713458701498</v>
      </c>
      <c r="BT424" s="758">
        <f>AVERAGE(Rooms!BV498:'Rooms'!BU498)*BT$72/1000000*BT$4</f>
        <v>196.18577603999998</v>
      </c>
      <c r="BU424" s="758">
        <f>AVERAGE(Rooms!BW498:'Rooms'!BV498)*BU$72/1000000*BU$4</f>
        <v>205.86359275482002</v>
      </c>
      <c r="BV424" s="758">
        <f>AVERAGE(Rooms!BX498:'Rooms'!BW498)*BV$72/1000000*BV$4</f>
        <v>189.66512445929999</v>
      </c>
      <c r="BW424" s="758">
        <f>AVERAGE(Rooms!BY498:'Rooms'!BX498)*BW$72/1000000*BW$4</f>
        <v>211.61949250091999</v>
      </c>
      <c r="BX424" s="1262">
        <f t="shared" si="333"/>
        <v>803.33398575503998</v>
      </c>
      <c r="BY424" s="758">
        <f>AVERAGE(Rooms!CA498:'Rooms'!BZ498)*BY$72/1000000*BY$4</f>
        <v>248.77400486400001</v>
      </c>
      <c r="BZ424" s="758">
        <f>AVERAGE(Rooms!CB498:'Rooms'!CA498)*BZ$72/1000000*BZ$4</f>
        <v>265.18997004500005</v>
      </c>
      <c r="CA424" s="758">
        <f>AVERAGE(Rooms!CC498:'Rooms'!CB498)*CA$72/1000000*CA$4</f>
        <v>260.46863606927997</v>
      </c>
      <c r="CB424" s="758">
        <f>AVERAGE(Rooms!CD498:'Rooms'!CC498)*CB$72/1000000*CB$4</f>
        <v>277.00407636659997</v>
      </c>
      <c r="CC424" s="1262">
        <f t="shared" si="334"/>
        <v>1051.4366873448801</v>
      </c>
      <c r="CD424" s="758">
        <f>AVERAGE(Rooms!CF498:'Rooms'!CE498)*CD$72/1000000*CD$4</f>
        <v>311.27965542764997</v>
      </c>
      <c r="CE424" s="758">
        <f>AVERAGE(Rooms!CG498:'Rooms'!CF498)*CE$72/1000000*CE$4</f>
        <v>293.46736083210004</v>
      </c>
      <c r="CF424" s="758">
        <f>AVERAGE(Rooms!CH498:'Rooms'!CG498)*CF$72/1000000*CF$4</f>
        <v>273.54505969867995</v>
      </c>
      <c r="CG424" s="758"/>
      <c r="CH424" s="1262"/>
      <c r="CI424" s="758"/>
      <c r="CJ424" s="758"/>
      <c r="CK424" s="758"/>
      <c r="CL424" s="751"/>
      <c r="CM424" s="1262"/>
      <c r="CN424" s="758"/>
      <c r="CO424" s="758"/>
      <c r="CP424" s="758"/>
      <c r="CQ424" s="751"/>
      <c r="CR424" s="752"/>
      <c r="CS424" s="752"/>
      <c r="CT424" s="752"/>
      <c r="CV424"/>
      <c r="CW424"/>
      <c r="CX424"/>
      <c r="DA424" s="212"/>
      <c r="DB424" s="1226"/>
    </row>
    <row r="425" spans="1:106" s="207" customFormat="1" x14ac:dyDescent="0.2">
      <c r="A425" s="1434" t="s">
        <v>452</v>
      </c>
      <c r="B425" s="777"/>
      <c r="C425" s="777"/>
      <c r="D425" s="777"/>
      <c r="E425" s="777"/>
      <c r="F425" s="235"/>
      <c r="G425" s="777"/>
      <c r="H425" s="777"/>
      <c r="I425" s="777"/>
      <c r="J425" s="777"/>
      <c r="K425" s="235"/>
      <c r="L425" s="777"/>
      <c r="M425" s="777"/>
      <c r="N425" s="777"/>
      <c r="O425" s="777"/>
      <c r="P425" s="631"/>
      <c r="Q425" s="777"/>
      <c r="R425" s="777"/>
      <c r="S425" s="777"/>
      <c r="T425" s="777"/>
      <c r="U425" s="631"/>
      <c r="V425" s="777"/>
      <c r="W425" s="777"/>
      <c r="X425" s="777"/>
      <c r="Y425" s="777"/>
      <c r="Z425" s="631"/>
      <c r="AA425" s="275"/>
      <c r="AB425" s="275"/>
      <c r="AC425" s="275"/>
      <c r="AD425" s="275"/>
      <c r="AE425" s="631"/>
      <c r="AF425" s="275"/>
      <c r="AG425" s="275"/>
      <c r="AH425" s="275"/>
      <c r="AI425" s="275"/>
      <c r="AJ425" s="631"/>
      <c r="AK425" s="758">
        <f>+Rooms!AM506*AK$75/1000000*AK$4</f>
        <v>311.68757352221553</v>
      </c>
      <c r="AL425" s="758">
        <f>+Rooms!AN506*AL$75/1000000*AL$4</f>
        <v>348.5547109800001</v>
      </c>
      <c r="AM425" s="758">
        <f>+Rooms!AO506*AM$75/1000000*AM$4</f>
        <v>367.99705313280003</v>
      </c>
      <c r="AN425" s="758">
        <f>+Rooms!AP506*AN$75/1000000*AN$4</f>
        <v>463.06098413567997</v>
      </c>
      <c r="AO425" s="1262">
        <f t="shared" si="326"/>
        <v>1491.3003217706955</v>
      </c>
      <c r="AP425" s="758">
        <f>+Rooms!AR506*AP$75/1000000*AP$4</f>
        <v>345.69256390200002</v>
      </c>
      <c r="AQ425" s="758">
        <f>+Rooms!AS506*AQ$75/1000000*AQ$4</f>
        <v>384.73142408400003</v>
      </c>
      <c r="AR425" s="758">
        <f>+Rooms!AT506*AR$75/1000000*AR$4</f>
        <v>402.37212685823999</v>
      </c>
      <c r="AS425" s="758">
        <f>+Rooms!AU506*AS$75/1000000*AS$4</f>
        <v>480.15831759011996</v>
      </c>
      <c r="AT425" s="1262">
        <f t="shared" si="327"/>
        <v>1612.9544324343601</v>
      </c>
      <c r="AU425" s="758">
        <f>+Rooms!AW506*AU$75/1000000*AU$4</f>
        <v>319.79231096736004</v>
      </c>
      <c r="AV425" s="758">
        <f>+Rooms!AX506*AV$75/1000000*AV$4</f>
        <v>338.56160301431999</v>
      </c>
      <c r="AW425" s="758">
        <f>+Rooms!AY506*AW$75/1000000*AW$4</f>
        <v>363.55760275464002</v>
      </c>
      <c r="AX425" s="758">
        <f>+Rooms!AZ506*AX$75/1000000*AX$4</f>
        <v>435.02991512288008</v>
      </c>
      <c r="AY425" s="1262">
        <f t="shared" si="328"/>
        <v>1456.9414318592003</v>
      </c>
      <c r="AZ425" s="758">
        <f>+Rooms!BB506*AZ$75/1000000*AZ$4</f>
        <v>339.88550440319995</v>
      </c>
      <c r="BA425" s="758">
        <f>+Rooms!BC506*BA$75/1000000*BA$4</f>
        <v>386.41486323216003</v>
      </c>
      <c r="BB425" s="758">
        <f>+Rooms!BD506*BB$75/1000000*BB$4</f>
        <v>401.12653605024002</v>
      </c>
      <c r="BC425" s="758">
        <f>+Rooms!BE506*BC$75/1000000*BC$4</f>
        <v>478.19140145279999</v>
      </c>
      <c r="BD425" s="1262">
        <f t="shared" si="329"/>
        <v>1605.6183051383998</v>
      </c>
      <c r="BE425" s="758">
        <f>AVERAGE(Rooms!BG506:'Rooms'!BF506)*BE$75/1000000*BE$4</f>
        <v>359.51590393487999</v>
      </c>
      <c r="BF425" s="758">
        <f>AVERAGE(Rooms!BH506:'Rooms'!BG506)*BF$75/1000000*BF$4</f>
        <v>406.8951324606</v>
      </c>
      <c r="BG425" s="758">
        <f>AVERAGE(Rooms!BI506:'Rooms'!BH506)*BG$75/1000000*BG$4</f>
        <v>423.82070640000001</v>
      </c>
      <c r="BH425" s="758">
        <f>AVERAGE(Rooms!BJ506:'Rooms'!BI506)*BH$75/1000000*BH$4</f>
        <v>502.67430260879991</v>
      </c>
      <c r="BI425" s="1262">
        <f t="shared" si="330"/>
        <v>1692.9060454042799</v>
      </c>
      <c r="BJ425" s="758">
        <f>AVERAGE(Rooms!BL506:'Rooms'!BK506)*BJ$75/1000000*BJ$4</f>
        <v>376.00613450399999</v>
      </c>
      <c r="BK425" s="758">
        <f>AVERAGE(Rooms!BM506:'Rooms'!BL506)*BK$75/1000000*BK$4</f>
        <v>428.5297244592</v>
      </c>
      <c r="BL425" s="758">
        <f>AVERAGE(Rooms!BN506:'Rooms'!BM506)*BL$75/1000000*BL$4</f>
        <v>454.62492988416005</v>
      </c>
      <c r="BM425" s="758">
        <f>AVERAGE(Rooms!BO506:'Rooms'!BN506)*BM$75/1000000*BM$4</f>
        <v>542.6066800000001</v>
      </c>
      <c r="BN425" s="1262">
        <f t="shared" si="331"/>
        <v>1801.7674688473601</v>
      </c>
      <c r="BO425" s="758">
        <f>AVERAGE(Rooms!BQ506:'Rooms'!BP506)*BO$75/1000000*BO$4</f>
        <v>443.32221199948492</v>
      </c>
      <c r="BP425" s="758">
        <f>AVERAGE(Rooms!BR506:'Rooms'!BQ506)*BP$75/1000000*BP$4</f>
        <v>517.43869804445001</v>
      </c>
      <c r="BQ425" s="758">
        <f>AVERAGE(Rooms!BS506:'Rooms'!BR506)*BQ$75/1000000*BQ$4</f>
        <v>543.84913470888</v>
      </c>
      <c r="BR425" s="758">
        <f>AVERAGE(Rooms!BT506:'Rooms'!BS506)*BR$75/1000000*BR$4</f>
        <v>475.54048521643995</v>
      </c>
      <c r="BS425" s="1262">
        <f t="shared" si="332"/>
        <v>1980.1505299692549</v>
      </c>
      <c r="BT425" s="758">
        <f>AVERAGE(Rooms!BV506:'Rooms'!BU506)*BT$75/1000000*BT$4</f>
        <v>500.08851581130006</v>
      </c>
      <c r="BU425" s="758">
        <f>AVERAGE(Rooms!BW506:'Rooms'!BV506)*BU$75/1000000*BU$4</f>
        <v>586.82022665174998</v>
      </c>
      <c r="BV425" s="758">
        <f>AVERAGE(Rooms!BX506:'Rooms'!BW506)*BV$75/1000000*BV$4</f>
        <v>630.86009547819992</v>
      </c>
      <c r="BW425" s="758">
        <f>AVERAGE(Rooms!BY506:'Rooms'!BX506)*BW$75/1000000*BW$4</f>
        <v>552.84789089036008</v>
      </c>
      <c r="BX425" s="1262">
        <f t="shared" si="333"/>
        <v>2270.6167288316101</v>
      </c>
      <c r="BY425" s="758">
        <f>AVERAGE(Rooms!CA506:'Rooms'!BZ506)*BY$75/1000000*BY$4</f>
        <v>590.1662011392001</v>
      </c>
      <c r="BZ425" s="758">
        <f>AVERAGE(Rooms!CB506:'Rooms'!CA506)*BZ$75/1000000*BZ$4</f>
        <v>711.19486867064995</v>
      </c>
      <c r="CA425" s="758">
        <f>AVERAGE(Rooms!CC506:'Rooms'!CB506)*CA$75/1000000*CA$4</f>
        <v>739.08690537743996</v>
      </c>
      <c r="CB425" s="758">
        <f>AVERAGE(Rooms!CD506:'Rooms'!CC506)*CB$75/1000000*CB$4</f>
        <v>633.49236843648009</v>
      </c>
      <c r="CC425" s="1262">
        <f t="shared" si="334"/>
        <v>2673.9403436237699</v>
      </c>
      <c r="CD425" s="758">
        <f>AVERAGE(Rooms!CF506:'Rooms'!CE506)*CD$75/1000000*CD$4</f>
        <v>641.78560121129999</v>
      </c>
      <c r="CE425" s="758">
        <f>AVERAGE(Rooms!CG506:'Rooms'!CF506)*CE$75/1000000*CE$4</f>
        <v>753.02962083667489</v>
      </c>
      <c r="CF425" s="758">
        <f>AVERAGE(Rooms!CH506:'Rooms'!CG506)*CF$75/1000000*CF$4</f>
        <v>791.36545311648001</v>
      </c>
      <c r="CG425" s="758"/>
      <c r="CH425" s="1262"/>
      <c r="CI425" s="758"/>
      <c r="CJ425" s="758"/>
      <c r="CK425" s="758"/>
      <c r="CL425" s="751"/>
      <c r="CM425" s="1262"/>
      <c r="CN425" s="758"/>
      <c r="CO425" s="758"/>
      <c r="CP425" s="758"/>
      <c r="CQ425" s="751"/>
      <c r="CR425" s="752"/>
      <c r="CS425" s="752"/>
      <c r="CT425" s="752"/>
      <c r="CV425"/>
      <c r="CW425"/>
      <c r="CX425"/>
      <c r="DA425" s="212"/>
      <c r="DB425" s="1226"/>
    </row>
    <row r="426" spans="1:106" s="207" customFormat="1" x14ac:dyDescent="0.2">
      <c r="A426" s="1434" t="s">
        <v>1386</v>
      </c>
      <c r="B426" s="777"/>
      <c r="C426" s="777"/>
      <c r="D426" s="777"/>
      <c r="E426" s="777"/>
      <c r="F426" s="235"/>
      <c r="G426" s="777"/>
      <c r="H426" s="777"/>
      <c r="I426" s="777"/>
      <c r="J426" s="777"/>
      <c r="K426" s="235"/>
      <c r="L426" s="777"/>
      <c r="M426" s="777"/>
      <c r="N426" s="777"/>
      <c r="O426" s="777"/>
      <c r="P426" s="631"/>
      <c r="Q426" s="777"/>
      <c r="R426" s="777"/>
      <c r="S426" s="777"/>
      <c r="T426" s="777"/>
      <c r="U426" s="631"/>
      <c r="V426" s="777"/>
      <c r="W426" s="777"/>
      <c r="X426" s="777"/>
      <c r="Y426" s="777"/>
      <c r="Z426" s="631"/>
      <c r="AA426" s="275"/>
      <c r="AB426" s="275"/>
      <c r="AC426" s="275"/>
      <c r="AD426" s="275"/>
      <c r="AE426" s="631"/>
      <c r="AF426" s="275"/>
      <c r="AG426" s="275"/>
      <c r="AH426" s="275"/>
      <c r="AI426" s="275"/>
      <c r="AJ426" s="631"/>
      <c r="AK426" s="758">
        <f>+Rooms!AM504*AK$78/1000000*AK$4</f>
        <v>346.68577654956994</v>
      </c>
      <c r="AL426" s="758">
        <f>+Rooms!AN504*AL$78/1000000*AL$4</f>
        <v>406.90607805119998</v>
      </c>
      <c r="AM426" s="758">
        <f>+Rooms!AO504*AM$78/1000000*AM$4</f>
        <v>409.36572348588004</v>
      </c>
      <c r="AN426" s="758">
        <f>+Rooms!AP504*AN$78/1000000*AN$4</f>
        <v>537.92379169229991</v>
      </c>
      <c r="AO426" s="1262">
        <f t="shared" si="326"/>
        <v>1700.8813697789496</v>
      </c>
      <c r="AP426" s="758">
        <f>+Rooms!AR504*AP$78/1000000*AP$4</f>
        <v>385.38472895999996</v>
      </c>
      <c r="AQ426" s="758">
        <f>+Rooms!AS504*AQ$78/1000000*AQ$4</f>
        <v>447.79096986624006</v>
      </c>
      <c r="AR426" s="758">
        <f>+Rooms!AT504*AR$78/1000000*AR$4</f>
        <v>435.05143357283998</v>
      </c>
      <c r="AS426" s="758">
        <f>+Rooms!AU504*AS$78/1000000*AS$4</f>
        <v>532.3183765614001</v>
      </c>
      <c r="AT426" s="1262">
        <f t="shared" si="327"/>
        <v>1800.54550896048</v>
      </c>
      <c r="AU426" s="758">
        <f>+Rooms!AW504*AU$78/1000000*AU$4</f>
        <v>348.7848337512001</v>
      </c>
      <c r="AV426" s="758">
        <f>+Rooms!AX504*AV$78/1000000*AV$4</f>
        <v>379.60328015063999</v>
      </c>
      <c r="AW426" s="758">
        <f>+Rooms!AY504*AW$78/1000000*AW$4</f>
        <v>383.29833733632</v>
      </c>
      <c r="AX426" s="758">
        <f>+Rooms!AZ504*AX$78/1000000*AX$4</f>
        <v>468.08374726960005</v>
      </c>
      <c r="AY426" s="1262">
        <f t="shared" si="328"/>
        <v>1579.7701985077601</v>
      </c>
      <c r="AZ426" s="758">
        <f>+Rooms!BB504*AZ$78/1000000*AZ$4</f>
        <v>365.8172295321599</v>
      </c>
      <c r="BA426" s="758">
        <f>+Rooms!BC504*BA$78/1000000*BA$4</f>
        <v>423.91488906144002</v>
      </c>
      <c r="BB426" s="758">
        <f>+Rooms!BD504*BB$78/1000000*BB$4</f>
        <v>427.84424989487997</v>
      </c>
      <c r="BC426" s="758">
        <f>+Rooms!BE504*BC$78/1000000*BC$4</f>
        <v>527.77365548544003</v>
      </c>
      <c r="BD426" s="1262">
        <f t="shared" si="329"/>
        <v>1745.3500239739199</v>
      </c>
      <c r="BE426" s="758">
        <f>AVERAGE(Rooms!BG504:'Rooms'!BF504)*BE$78/1000000*BE$4</f>
        <v>398.46581517959987</v>
      </c>
      <c r="BF426" s="758">
        <f>AVERAGE(Rooms!BH504:'Rooms'!BG504)*BF$78/1000000*BF$4</f>
        <v>466.6485603779999</v>
      </c>
      <c r="BG426" s="758">
        <f>AVERAGE(Rooms!BI504:'Rooms'!BH504)*BG$78/1000000*BG$4</f>
        <v>473.06076340319999</v>
      </c>
      <c r="BH426" s="758">
        <f>AVERAGE(Rooms!BJ504:'Rooms'!BI504)*BH$78/1000000*BH$4</f>
        <v>572.74991796623999</v>
      </c>
      <c r="BI426" s="1262">
        <f t="shared" si="330"/>
        <v>1910.9250569270398</v>
      </c>
      <c r="BJ426" s="758">
        <f>AVERAGE(Rooms!BL504:'Rooms'!BK504)*BJ$78/1000000*BJ$4</f>
        <v>435.70808857800006</v>
      </c>
      <c r="BK426" s="758">
        <f>AVERAGE(Rooms!BM504:'Rooms'!BL504)*BK$78/1000000*BK$4</f>
        <v>510.51366443699999</v>
      </c>
      <c r="BL426" s="758">
        <f>AVERAGE(Rooms!BN504:'Rooms'!BM504)*BL$78/1000000*BL$4</f>
        <v>515.17794635999996</v>
      </c>
      <c r="BM426" s="758">
        <f>AVERAGE(Rooms!BO504:'Rooms'!BN504)*BM$78/1000000*BM$4</f>
        <v>624.18518971647995</v>
      </c>
      <c r="BN426" s="1262">
        <f t="shared" si="331"/>
        <v>2085.5848890914804</v>
      </c>
      <c r="BO426" s="758">
        <f>AVERAGE(Rooms!BQ504:'Rooms'!BP504)*BO$78/1000000*BO$4</f>
        <v>513.57619825330005</v>
      </c>
      <c r="BP426" s="758">
        <f>AVERAGE(Rooms!BR504:'Rooms'!BQ504)*BP$78/1000000*BP$4</f>
        <v>613.36207086336003</v>
      </c>
      <c r="BQ426" s="758">
        <f>AVERAGE(Rooms!BS504:'Rooms'!BR504)*BQ$78/1000000*BQ$4</f>
        <v>619.13018991252</v>
      </c>
      <c r="BR426" s="758">
        <f>AVERAGE(Rooms!BT504:'Rooms'!BS504)*BR$78/1000000*BR$4</f>
        <v>543.42962830464</v>
      </c>
      <c r="BS426" s="1262">
        <f t="shared" si="332"/>
        <v>2289.4980873338204</v>
      </c>
      <c r="BT426" s="758">
        <f>AVERAGE(Rooms!BV504:'Rooms'!BU504)*BT$78/1000000*BT$4</f>
        <v>570.33838350719998</v>
      </c>
      <c r="BU426" s="758">
        <f>AVERAGE(Rooms!BW504:'Rooms'!BV504)*BU$78/1000000*BU$4</f>
        <v>688.79068593334989</v>
      </c>
      <c r="BV426" s="758">
        <f>AVERAGE(Rooms!BX504:'Rooms'!BW504)*BV$78/1000000*BV$4</f>
        <v>713.5590538125</v>
      </c>
      <c r="BW426" s="758">
        <f>AVERAGE(Rooms!BY504:'Rooms'!BX504)*BW$78/1000000*BW$4</f>
        <v>623.51199681210016</v>
      </c>
      <c r="BX426" s="1262">
        <f t="shared" si="333"/>
        <v>2596.2001200651498</v>
      </c>
      <c r="BY426" s="758">
        <f>AVERAGE(Rooms!CA504:'Rooms'!BZ504)*BY$78/1000000*BY$4</f>
        <v>664.84485174600002</v>
      </c>
      <c r="BZ426" s="758">
        <f>AVERAGE(Rooms!CB504:'Rooms'!CA504)*BZ$78/1000000*BZ$4</f>
        <v>816.94930976704484</v>
      </c>
      <c r="CA426" s="758">
        <f>AVERAGE(Rooms!CC504:'Rooms'!CB504)*CA$78/1000000*CA$4</f>
        <v>825.25258074791998</v>
      </c>
      <c r="CB426" s="758">
        <f>AVERAGE(Rooms!CD504:'Rooms'!CC504)*CB$78/1000000*CB$4</f>
        <v>711.35538353352013</v>
      </c>
      <c r="CC426" s="1262">
        <f t="shared" si="334"/>
        <v>3018.4021257944851</v>
      </c>
      <c r="CD426" s="758">
        <f>AVERAGE(Rooms!CF504:'Rooms'!CE504)*CD$78/1000000*CD$4</f>
        <v>737.9830537716</v>
      </c>
      <c r="CE426" s="758">
        <f>AVERAGE(Rooms!CG504:'Rooms'!CF504)*CE$78/1000000*CE$4</f>
        <v>883.75845245688004</v>
      </c>
      <c r="CF426" s="758">
        <f>AVERAGE(Rooms!CH504:'Rooms'!CG504)*CF$78/1000000*CF$4</f>
        <v>885.81011423112011</v>
      </c>
      <c r="CG426" s="758"/>
      <c r="CH426" s="1262"/>
      <c r="CI426" s="758"/>
      <c r="CJ426" s="758"/>
      <c r="CK426" s="758"/>
      <c r="CL426" s="751"/>
      <c r="CM426" s="1262"/>
      <c r="CN426" s="758"/>
      <c r="CO426" s="758"/>
      <c r="CP426" s="758"/>
      <c r="CQ426" s="751"/>
      <c r="CR426" s="752"/>
      <c r="CS426" s="752"/>
      <c r="CT426" s="752"/>
      <c r="CV426"/>
      <c r="CW426"/>
      <c r="CX426"/>
      <c r="DA426" s="212"/>
      <c r="DB426" s="1226"/>
    </row>
    <row r="427" spans="1:106" s="207" customFormat="1" x14ac:dyDescent="0.2">
      <c r="A427" s="1434" t="s">
        <v>1389</v>
      </c>
      <c r="B427" s="777"/>
      <c r="C427" s="777"/>
      <c r="D427" s="777"/>
      <c r="E427" s="777"/>
      <c r="F427" s="235"/>
      <c r="G427" s="777"/>
      <c r="H427" s="777"/>
      <c r="I427" s="777"/>
      <c r="J427" s="777"/>
      <c r="K427" s="235"/>
      <c r="L427" s="777"/>
      <c r="M427" s="777"/>
      <c r="N427" s="777"/>
      <c r="O427" s="777"/>
      <c r="P427" s="631"/>
      <c r="Q427" s="777"/>
      <c r="R427" s="777"/>
      <c r="S427" s="777"/>
      <c r="T427" s="777"/>
      <c r="U427" s="631"/>
      <c r="V427" s="777"/>
      <c r="W427" s="777"/>
      <c r="X427" s="777"/>
      <c r="Y427" s="777"/>
      <c r="Z427" s="631"/>
      <c r="AA427" s="275"/>
      <c r="AB427" s="275"/>
      <c r="AC427" s="275"/>
      <c r="AD427" s="275"/>
      <c r="AE427" s="631"/>
      <c r="AF427" s="275"/>
      <c r="AG427" s="275"/>
      <c r="AH427" s="275"/>
      <c r="AI427" s="275"/>
      <c r="AJ427" s="631"/>
      <c r="AK427" s="758">
        <f>+Rooms!AM508*AK$81/1000000*AK$4</f>
        <v>203.04236406489224</v>
      </c>
      <c r="AL427" s="758">
        <f>+Rooms!AN508*AL$81/1000000*AL$4</f>
        <v>246.52455197832001</v>
      </c>
      <c r="AM427" s="758">
        <f>+Rooms!AO508*AM$81/1000000*AM$4</f>
        <v>263.97559512576004</v>
      </c>
      <c r="AN427" s="758">
        <f>+Rooms!AP508*AN$81/1000000*AN$4</f>
        <v>308.717935125</v>
      </c>
      <c r="AO427" s="1262">
        <f t="shared" si="326"/>
        <v>1022.2604462939723</v>
      </c>
      <c r="AP427" s="758">
        <f>+Rooms!AR508*AP$81/1000000*AP$4</f>
        <v>221.03614311575996</v>
      </c>
      <c r="AQ427" s="758">
        <f>+Rooms!AS508*AQ$81/1000000*AQ$4</f>
        <v>257.80341421295998</v>
      </c>
      <c r="AR427" s="758">
        <f>+Rooms!AT508*AR$81/1000000*AR$4</f>
        <v>275.47277950247991</v>
      </c>
      <c r="AS427" s="758">
        <f>+Rooms!AU508*AS$81/1000000*AS$4</f>
        <v>306.99079976564997</v>
      </c>
      <c r="AT427" s="1262">
        <f t="shared" si="327"/>
        <v>1061.30313659685</v>
      </c>
      <c r="AU427" s="758">
        <f>+Rooms!AW508*AU$81/1000000*AU$4</f>
        <v>207.55029889439999</v>
      </c>
      <c r="AV427" s="758">
        <f>+Rooms!AX508*AV$81/1000000*AV$4</f>
        <v>236.6740537812</v>
      </c>
      <c r="AW427" s="758">
        <f>+Rooms!AY508*AW$81/1000000*AW$4</f>
        <v>254.56526014920001</v>
      </c>
      <c r="AX427" s="758">
        <f>+Rooms!AZ508*AX$81/1000000*AX$4</f>
        <v>285.11584028927996</v>
      </c>
      <c r="AY427" s="1262">
        <f t="shared" si="328"/>
        <v>983.90545311408005</v>
      </c>
      <c r="AZ427" s="758">
        <f>+Rooms!BB508*AZ$81/1000000*AZ$4</f>
        <v>218.88258624287997</v>
      </c>
      <c r="BA427" s="758">
        <f>+Rooms!BC508*BA$81/1000000*BA$4</f>
        <v>267.88687111199999</v>
      </c>
      <c r="BB427" s="758">
        <f>+Rooms!BD508*BB$81/1000000*BB$4</f>
        <v>294.62415942960001</v>
      </c>
      <c r="BC427" s="758">
        <f>+Rooms!BE508*BC$81/1000000*BC$4</f>
        <v>325.28722799999997</v>
      </c>
      <c r="BD427" s="1262">
        <f t="shared" si="329"/>
        <v>1106.6808447844799</v>
      </c>
      <c r="BE427" s="758">
        <f>AVERAGE(Rooms!BG508:'Rooms'!BF508)*BE$81/1000000*BE$4</f>
        <v>244.59123349583996</v>
      </c>
      <c r="BF427" s="758">
        <f>AVERAGE(Rooms!BH508:'Rooms'!BG508)*BF$81/1000000*BF$4</f>
        <v>299.25847580159996</v>
      </c>
      <c r="BG427" s="758">
        <f>AVERAGE(Rooms!BI508:'Rooms'!BH508)*BG$81/1000000*BG$4</f>
        <v>328.57879089000005</v>
      </c>
      <c r="BH427" s="758">
        <f>AVERAGE(Rooms!BJ508:'Rooms'!BI508)*BH$81/1000000*BH$4</f>
        <v>375.22515764159999</v>
      </c>
      <c r="BI427" s="1262">
        <f t="shared" si="330"/>
        <v>1247.65365782904</v>
      </c>
      <c r="BJ427" s="758">
        <f>AVERAGE(Rooms!BL508:'Rooms'!BK508)*BJ$81/1000000*BJ$4</f>
        <v>278.53063659288</v>
      </c>
      <c r="BK427" s="758">
        <f>AVERAGE(Rooms!BM508:'Rooms'!BL508)*BK$81/1000000*BK$4</f>
        <v>337.78000511009998</v>
      </c>
      <c r="BL427" s="758">
        <f>AVERAGE(Rooms!BN508:'Rooms'!BM508)*BL$81/1000000*BL$4</f>
        <v>360.78444264786003</v>
      </c>
      <c r="BM427" s="758">
        <f>AVERAGE(Rooms!BO508:'Rooms'!BN508)*BM$81/1000000*BM$4</f>
        <v>409.94792937503996</v>
      </c>
      <c r="BN427" s="1262">
        <f t="shared" si="331"/>
        <v>1387.04301372588</v>
      </c>
      <c r="BO427" s="758">
        <f>AVERAGE(Rooms!BQ508:'Rooms'!BP508)*BO$81/1000000*BO$4</f>
        <v>326.68667340308997</v>
      </c>
      <c r="BP427" s="758">
        <f>AVERAGE(Rooms!BR508:'Rooms'!BQ508)*BP$81/1000000*BP$4</f>
        <v>403.22955140149497</v>
      </c>
      <c r="BQ427" s="758">
        <f>AVERAGE(Rooms!BS508:'Rooms'!BR508)*BQ$81/1000000*BQ$4</f>
        <v>420.25926622079999</v>
      </c>
      <c r="BR427" s="758">
        <f>AVERAGE(Rooms!BT508:'Rooms'!BS508)*BR$81/1000000*BR$4</f>
        <v>348.36588717840004</v>
      </c>
      <c r="BS427" s="1262">
        <f t="shared" si="332"/>
        <v>1498.5413782037849</v>
      </c>
      <c r="BT427" s="758">
        <f>AVERAGE(Rooms!BV508:'Rooms'!BU508)*BT$81/1000000*BT$4</f>
        <v>349.60997111040001</v>
      </c>
      <c r="BU427" s="758">
        <f>AVERAGE(Rooms!BW508:'Rooms'!BV508)*BU$81/1000000*BU$4</f>
        <v>443.37856416490001</v>
      </c>
      <c r="BV427" s="758">
        <f>AVERAGE(Rooms!BX508:'Rooms'!BW508)*BV$81/1000000*BV$4</f>
        <v>464.63991256056005</v>
      </c>
      <c r="BW427" s="758">
        <f>AVERAGE(Rooms!BY508:'Rooms'!BX508)*BW$81/1000000*BW$4</f>
        <v>386.91689832000003</v>
      </c>
      <c r="BX427" s="1262">
        <f t="shared" si="333"/>
        <v>1644.54534615586</v>
      </c>
      <c r="BY427" s="758">
        <f>AVERAGE(Rooms!CA508:'Rooms'!BZ508)*BY$81/1000000*BY$4</f>
        <v>393.77161030500002</v>
      </c>
      <c r="BZ427" s="758">
        <f>AVERAGE(Rooms!CB508:'Rooms'!CA508)*BZ$81/1000000*BZ$4</f>
        <v>499.65907957874998</v>
      </c>
      <c r="CA427" s="758">
        <f>AVERAGE(Rooms!CC508:'Rooms'!CB508)*CA$81/1000000*CA$4</f>
        <v>527.3106500956801</v>
      </c>
      <c r="CB427" s="758">
        <f>AVERAGE(Rooms!CD508:'Rooms'!CC508)*CB$81/1000000*CB$4</f>
        <v>437.53997076079997</v>
      </c>
      <c r="CC427" s="1262">
        <f t="shared" si="334"/>
        <v>1858.2813107402299</v>
      </c>
      <c r="CD427" s="758">
        <f>AVERAGE(Rooms!CF508:'Rooms'!CE508)*CD$81/1000000*CD$4</f>
        <v>431.38354527996</v>
      </c>
      <c r="CE427" s="758">
        <f>AVERAGE(Rooms!CG508:'Rooms'!CF508)*CE$81/1000000*CE$4</f>
        <v>544.37488310205003</v>
      </c>
      <c r="CF427" s="758">
        <f>AVERAGE(Rooms!CH508:'Rooms'!CG508)*CF$81/1000000*CF$4</f>
        <v>579.09534367104004</v>
      </c>
      <c r="CG427" s="758"/>
      <c r="CH427" s="1262"/>
      <c r="CI427" s="758"/>
      <c r="CJ427" s="758"/>
      <c r="CK427" s="758"/>
      <c r="CL427" s="751"/>
      <c r="CM427" s="1262"/>
      <c r="CN427" s="758"/>
      <c r="CO427" s="758"/>
      <c r="CP427" s="758"/>
      <c r="CQ427" s="751"/>
      <c r="CR427" s="752"/>
      <c r="CS427" s="752"/>
      <c r="CT427" s="752"/>
      <c r="CV427"/>
      <c r="CW427"/>
      <c r="CX427"/>
      <c r="DA427" s="212"/>
      <c r="DB427" s="1226"/>
    </row>
    <row r="428" spans="1:106" s="207" customFormat="1" x14ac:dyDescent="0.2">
      <c r="A428" s="1434" t="s">
        <v>1391</v>
      </c>
      <c r="B428" s="777"/>
      <c r="C428" s="777"/>
      <c r="D428" s="777"/>
      <c r="E428" s="777"/>
      <c r="F428" s="235"/>
      <c r="G428" s="777"/>
      <c r="H428" s="777"/>
      <c r="I428" s="777"/>
      <c r="J428" s="777"/>
      <c r="K428" s="235"/>
      <c r="L428" s="777"/>
      <c r="M428" s="777"/>
      <c r="N428" s="777"/>
      <c r="O428" s="777"/>
      <c r="P428" s="631"/>
      <c r="Q428" s="777"/>
      <c r="R428" s="777"/>
      <c r="S428" s="777"/>
      <c r="T428" s="777"/>
      <c r="U428" s="631"/>
      <c r="V428" s="777"/>
      <c r="W428" s="777"/>
      <c r="X428" s="777"/>
      <c r="Y428" s="777"/>
      <c r="Z428" s="631"/>
      <c r="AA428" s="275"/>
      <c r="AB428" s="275"/>
      <c r="AC428" s="275"/>
      <c r="AD428" s="275"/>
      <c r="AE428" s="631"/>
      <c r="AF428" s="275"/>
      <c r="AG428" s="275"/>
      <c r="AH428" s="275"/>
      <c r="AI428" s="275"/>
      <c r="AJ428" s="631"/>
      <c r="AK428" s="758">
        <f>+Rooms!AM507*AK$84/1000000*AK$4</f>
        <v>43.613023848815409</v>
      </c>
      <c r="AL428" s="758">
        <f>+Rooms!AN507*AL$84/1000000*AL$4</f>
        <v>51.178412725440005</v>
      </c>
      <c r="AM428" s="758">
        <f>+Rooms!AO507*AM$84/1000000*AM$4</f>
        <v>56.508796149119995</v>
      </c>
      <c r="AN428" s="758">
        <f>+Rooms!AP507*AN$84/1000000*AN$4</f>
        <v>72.303664019400003</v>
      </c>
      <c r="AO428" s="1262">
        <f t="shared" si="326"/>
        <v>223.60389674277542</v>
      </c>
      <c r="AP428" s="758">
        <f>+Rooms!AR507*AP$84/1000000*AP$4</f>
        <v>55.474234872840007</v>
      </c>
      <c r="AQ428" s="758">
        <f>+Rooms!AS507*AQ$84/1000000*AQ$4</f>
        <v>63.363473056800004</v>
      </c>
      <c r="AR428" s="758">
        <f>+Rooms!AT507*AR$84/1000000*AR$4</f>
        <v>66.458820093119996</v>
      </c>
      <c r="AS428" s="758">
        <f>+Rooms!AU507*AS$84/1000000*AS$4</f>
        <v>83.339173038420014</v>
      </c>
      <c r="AT428" s="1262">
        <f t="shared" si="327"/>
        <v>268.63570106118004</v>
      </c>
      <c r="AU428" s="758">
        <f>+Rooms!AW507*AU$84/1000000*AU$4</f>
        <v>55.985065056479996</v>
      </c>
      <c r="AV428" s="758">
        <f>+Rooms!AX507*AV$84/1000000*AV$4</f>
        <v>61.469464139999992</v>
      </c>
      <c r="AW428" s="758">
        <f>+Rooms!AY507*AW$84/1000000*AW$4</f>
        <v>66.677610000959987</v>
      </c>
      <c r="AX428" s="758">
        <f>+Rooms!AZ507*AX$84/1000000*AX$4</f>
        <v>76.609538306560012</v>
      </c>
      <c r="AY428" s="1262">
        <f t="shared" si="328"/>
        <v>260.74167750399999</v>
      </c>
      <c r="AZ428" s="758">
        <f>+Rooms!BB507*AZ$84/1000000*AZ$4</f>
        <v>62.463056988360002</v>
      </c>
      <c r="BA428" s="758">
        <f>+Rooms!BC507*BA$84/1000000*BA$4</f>
        <v>73.559964441599988</v>
      </c>
      <c r="BB428" s="758">
        <f>+Rooms!BD507*BB$84/1000000*BB$4</f>
        <v>81.204009324479998</v>
      </c>
      <c r="BC428" s="758">
        <f>+Rooms!BE507*BC$84/1000000*BC$4</f>
        <v>92.782114006400008</v>
      </c>
      <c r="BD428" s="1262">
        <f t="shared" si="329"/>
        <v>310.00914476083994</v>
      </c>
      <c r="BE428" s="758">
        <f>AVERAGE(Rooms!BG507:'Rooms'!BF507)*BE$84/1000000*BE$4</f>
        <v>71.864512750800017</v>
      </c>
      <c r="BF428" s="758">
        <f>AVERAGE(Rooms!BH507:'Rooms'!BG507)*BF$84/1000000*BF$4</f>
        <v>83.004517990799997</v>
      </c>
      <c r="BG428" s="758">
        <f>AVERAGE(Rooms!BI507:'Rooms'!BH507)*BG$84/1000000*BG$4</f>
        <v>89.216261043839992</v>
      </c>
      <c r="BH428" s="758">
        <f>AVERAGE(Rooms!BJ507:'Rooms'!BI507)*BH$84/1000000*BH$4</f>
        <v>107.09467036799998</v>
      </c>
      <c r="BI428" s="1262">
        <f t="shared" si="330"/>
        <v>351.17996215343999</v>
      </c>
      <c r="BJ428" s="758">
        <f>AVERAGE(Rooms!BL507:'Rooms'!BK507)*BJ$84/1000000*BJ$4</f>
        <v>85.206078770400012</v>
      </c>
      <c r="BK428" s="758">
        <f>AVERAGE(Rooms!BM507:'Rooms'!BL507)*BK$84/1000000*BK$4</f>
        <v>99.127609937999992</v>
      </c>
      <c r="BL428" s="758">
        <f>AVERAGE(Rooms!BN507:'Rooms'!BM507)*BL$84/1000000*BL$4</f>
        <v>106.26841142568</v>
      </c>
      <c r="BM428" s="758">
        <f>AVERAGE(Rooms!BO507:'Rooms'!BN507)*BM$84/1000000*BM$4</f>
        <v>123.45374429472</v>
      </c>
      <c r="BN428" s="1262">
        <f t="shared" si="331"/>
        <v>414.05584442880001</v>
      </c>
      <c r="BO428" s="758">
        <f>AVERAGE(Rooms!BQ507:'Rooms'!BP507)*BO$84/1000000*BO$4</f>
        <v>103.916586218445</v>
      </c>
      <c r="BP428" s="758">
        <f>AVERAGE(Rooms!BR507:'Rooms'!BQ507)*BP$84/1000000*BP$4</f>
        <v>119.98723456720001</v>
      </c>
      <c r="BQ428" s="758">
        <f>AVERAGE(Rooms!BS507:'Rooms'!BR507)*BQ$84/1000000*BQ$4</f>
        <v>125.62373572359999</v>
      </c>
      <c r="BR428" s="758">
        <f>AVERAGE(Rooms!BT507:'Rooms'!BS507)*BR$84/1000000*BR$4</f>
        <v>105.99462900655999</v>
      </c>
      <c r="BS428" s="1262">
        <f t="shared" si="332"/>
        <v>455.52218551580495</v>
      </c>
      <c r="BT428" s="758">
        <f>AVERAGE(Rooms!BV507:'Rooms'!BU507)*BT$84/1000000*BT$4</f>
        <v>118.89904985775</v>
      </c>
      <c r="BU428" s="758">
        <f>AVERAGE(Rooms!BW507:'Rooms'!BV507)*BU$84/1000000*BU$4</f>
        <v>142.69027550595999</v>
      </c>
      <c r="BV428" s="758">
        <f>AVERAGE(Rooms!BX507:'Rooms'!BW507)*BV$84/1000000*BV$4</f>
        <v>152.83542907512003</v>
      </c>
      <c r="BW428" s="758">
        <f>AVERAGE(Rooms!BY507:'Rooms'!BX507)*BW$84/1000000*BW$4</f>
        <v>132.68885517907998</v>
      </c>
      <c r="BX428" s="1262">
        <f t="shared" si="333"/>
        <v>547.11360961791002</v>
      </c>
      <c r="BY428" s="758">
        <f>AVERAGE(Rooms!CA507:'Rooms'!BZ507)*BY$84/1000000*BY$4</f>
        <v>147.99975712470001</v>
      </c>
      <c r="BZ428" s="758">
        <f>AVERAGE(Rooms!CB507:'Rooms'!CA507)*BZ$84/1000000*BZ$4</f>
        <v>178.11917302360999</v>
      </c>
      <c r="CA428" s="758">
        <f>AVERAGE(Rooms!CC507:'Rooms'!CB507)*CA$84/1000000*CA$4</f>
        <v>187.78921456344</v>
      </c>
      <c r="CB428" s="758">
        <f>AVERAGE(Rooms!CD507:'Rooms'!CC507)*CB$84/1000000*CB$4</f>
        <v>158.13984169759996</v>
      </c>
      <c r="CC428" s="1262">
        <f t="shared" si="334"/>
        <v>672.04798640935007</v>
      </c>
      <c r="CD428" s="758">
        <f>AVERAGE(Rooms!CF507:'Rooms'!CE507)*CD$84/1000000*CD$4</f>
        <v>172.23615831922501</v>
      </c>
      <c r="CE428" s="758">
        <f>AVERAGE(Rooms!CG507:'Rooms'!CF507)*CE$84/1000000*CE$4</f>
        <v>207.31387915602005</v>
      </c>
      <c r="CF428" s="758">
        <f>AVERAGE(Rooms!CH507:'Rooms'!CG507)*CF$84/1000000*CF$4</f>
        <v>218.38791378030001</v>
      </c>
      <c r="CG428" s="758"/>
      <c r="CH428" s="1262"/>
      <c r="CI428" s="758"/>
      <c r="CJ428" s="758"/>
      <c r="CK428" s="758"/>
      <c r="CL428" s="751"/>
      <c r="CM428" s="1262"/>
      <c r="CN428" s="758"/>
      <c r="CO428" s="758"/>
      <c r="CP428" s="758"/>
      <c r="CQ428" s="751"/>
      <c r="CR428" s="751"/>
      <c r="CS428" s="751"/>
      <c r="CT428" s="751"/>
      <c r="CV428"/>
      <c r="CW428"/>
      <c r="CX428"/>
      <c r="DA428" s="212"/>
      <c r="DB428" s="1226"/>
    </row>
    <row r="429" spans="1:106" s="207" customFormat="1" x14ac:dyDescent="0.2">
      <c r="A429" s="2308" t="s">
        <v>2285</v>
      </c>
      <c r="B429" s="777"/>
      <c r="C429" s="777"/>
      <c r="D429" s="777"/>
      <c r="E429" s="777"/>
      <c r="F429" s="235"/>
      <c r="G429" s="777"/>
      <c r="H429" s="777"/>
      <c r="I429" s="777"/>
      <c r="J429" s="777"/>
      <c r="K429" s="235"/>
      <c r="L429" s="777"/>
      <c r="M429" s="777"/>
      <c r="N429" s="777"/>
      <c r="O429" s="777"/>
      <c r="P429" s="631"/>
      <c r="Q429" s="777"/>
      <c r="R429" s="777"/>
      <c r="S429" s="777"/>
      <c r="T429" s="777"/>
      <c r="U429" s="631"/>
      <c r="V429" s="777"/>
      <c r="W429" s="777"/>
      <c r="X429" s="777"/>
      <c r="Y429" s="777"/>
      <c r="Z429" s="631"/>
      <c r="AA429" s="275"/>
      <c r="AB429" s="275"/>
      <c r="AC429" s="275"/>
      <c r="AD429" s="275"/>
      <c r="AE429" s="631"/>
      <c r="AF429" s="275"/>
      <c r="AG429" s="275"/>
      <c r="AH429" s="275"/>
      <c r="AI429" s="275"/>
      <c r="AJ429" s="631"/>
      <c r="AK429" s="758"/>
      <c r="AL429" s="758"/>
      <c r="AM429" s="758"/>
      <c r="AN429" s="758"/>
      <c r="AO429" s="1262"/>
      <c r="AP429" s="758"/>
      <c r="AQ429" s="758"/>
      <c r="AR429" s="758"/>
      <c r="AS429" s="758"/>
      <c r="AT429" s="1262"/>
      <c r="AU429" s="758"/>
      <c r="AV429" s="758"/>
      <c r="AW429" s="758"/>
      <c r="AX429" s="758"/>
      <c r="AY429" s="1262"/>
      <c r="AZ429" s="758"/>
      <c r="BA429" s="758"/>
      <c r="BB429" s="758"/>
      <c r="BC429" s="758"/>
      <c r="BD429" s="1262"/>
      <c r="BE429" s="758"/>
      <c r="BF429" s="758"/>
      <c r="BG429" s="758"/>
      <c r="BH429" s="758"/>
      <c r="BI429" s="1262"/>
      <c r="BJ429" s="758"/>
      <c r="BK429" s="758"/>
      <c r="BL429" s="758"/>
      <c r="BM429" s="758"/>
      <c r="BN429" s="1262"/>
      <c r="BO429" s="758"/>
      <c r="BP429" s="758"/>
      <c r="BQ429" s="758"/>
      <c r="BR429" s="758"/>
      <c r="BS429" s="1262"/>
      <c r="BT429" s="758"/>
      <c r="BU429" s="758"/>
      <c r="BV429" s="758"/>
      <c r="BW429" s="758"/>
      <c r="BX429" s="1262"/>
      <c r="BY429" s="758"/>
      <c r="BZ429" s="2661"/>
      <c r="CA429" s="2661">
        <f>AVERAGE(Rooms!CC511:'Rooms'!CB511)*85/1000000*CA$4</f>
        <v>19.9801</v>
      </c>
      <c r="CB429" s="2661">
        <f>AVERAGE(Rooms!CD511:'Rooms'!CC511)*85/1000000*CB$4</f>
        <v>20.793379999999999</v>
      </c>
      <c r="CC429" s="1262">
        <f t="shared" si="334"/>
        <v>40.773479999999999</v>
      </c>
      <c r="CD429" s="2661">
        <f>AVERAGE(Rooms!CF511:'Rooms'!CE511)*85/1000000*CD$4</f>
        <v>21.5690475</v>
      </c>
      <c r="CE429" s="2661">
        <f>AVERAGE(Rooms!CG511:'Rooms'!CF511)*85/1000000*CE$4</f>
        <v>23.3597</v>
      </c>
      <c r="CF429" s="2661">
        <f>AVERAGE(Rooms!CH511:'Rooms'!CG511)*85/1000000*CF$4</f>
        <v>23.616399999999999</v>
      </c>
      <c r="CG429" s="2661"/>
      <c r="CH429" s="1262"/>
      <c r="CI429" s="2661"/>
      <c r="CJ429" s="2661"/>
      <c r="CK429" s="2661"/>
      <c r="CL429" s="2969"/>
      <c r="CM429" s="1262"/>
      <c r="CN429" s="2661"/>
      <c r="CO429" s="2661"/>
      <c r="CP429" s="2661"/>
      <c r="CQ429" s="2969"/>
      <c r="CR429" s="751"/>
      <c r="CS429" s="751"/>
      <c r="CT429" s="751"/>
      <c r="CV429"/>
      <c r="CW429"/>
      <c r="CX429"/>
      <c r="DA429" s="212"/>
      <c r="DB429" s="1226"/>
    </row>
    <row r="430" spans="1:106" s="2644" customFormat="1" x14ac:dyDescent="0.2">
      <c r="A430" s="2308" t="s">
        <v>1390</v>
      </c>
      <c r="B430" s="777"/>
      <c r="C430" s="777"/>
      <c r="D430" s="777"/>
      <c r="E430" s="777"/>
      <c r="F430" s="2345"/>
      <c r="G430" s="777"/>
      <c r="H430" s="777"/>
      <c r="I430" s="777"/>
      <c r="J430" s="777"/>
      <c r="K430" s="2345"/>
      <c r="L430" s="777"/>
      <c r="M430" s="777"/>
      <c r="N430" s="777"/>
      <c r="O430" s="777"/>
      <c r="P430" s="631"/>
      <c r="Q430" s="777"/>
      <c r="R430" s="777"/>
      <c r="S430" s="777"/>
      <c r="T430" s="777"/>
      <c r="U430" s="631"/>
      <c r="V430" s="777"/>
      <c r="W430" s="777"/>
      <c r="X430" s="777"/>
      <c r="Y430" s="777"/>
      <c r="Z430" s="631"/>
      <c r="AA430" s="3037"/>
      <c r="AB430" s="3037"/>
      <c r="AC430" s="3037"/>
      <c r="AD430" s="3037"/>
      <c r="AE430" s="631"/>
      <c r="AF430" s="3037"/>
      <c r="AG430" s="3037"/>
      <c r="AH430" s="3037"/>
      <c r="AI430" s="3037"/>
      <c r="AJ430" s="631"/>
      <c r="AK430" s="2404">
        <f>+Rooms!AM509*AK$87/1000000*AK$4</f>
        <v>87.995969550160268</v>
      </c>
      <c r="AL430" s="2404">
        <f>+Rooms!AN509*AL$87/1000000*AL$4</f>
        <v>106.24702158503999</v>
      </c>
      <c r="AM430" s="2404">
        <f>+Rooms!AO509*AM$87/1000000*AM$4</f>
        <v>108.51349219199999</v>
      </c>
      <c r="AN430" s="2404">
        <f>+Rooms!AP509*AN$87/1000000*AN$4</f>
        <v>140.49053559929999</v>
      </c>
      <c r="AO430" s="1262">
        <f>+SUM(AK430:AN430)</f>
        <v>443.24701892650023</v>
      </c>
      <c r="AP430" s="2404">
        <f>+Rooms!AR509*AP$87/1000000*AP$4</f>
        <v>112.15262104704001</v>
      </c>
      <c r="AQ430" s="2404">
        <f>+Rooms!AS509*AQ$87/1000000*AQ$4</f>
        <v>129.5321517504</v>
      </c>
      <c r="AR430" s="2404">
        <f>+Rooms!AT509*AR$87/1000000*AR$4</f>
        <v>127.37350616255999</v>
      </c>
      <c r="AS430" s="2404">
        <f>+Rooms!AU509*AS$87/1000000*AS$4</f>
        <v>156.61141621632001</v>
      </c>
      <c r="AT430" s="1262">
        <f>+SUM(AP430:AS430)</f>
        <v>525.66969517632003</v>
      </c>
      <c r="AU430" s="2404">
        <f>+Rooms!AW509*AU$87/1000000*AU$4</f>
        <v>110.88474356736</v>
      </c>
      <c r="AV430" s="2404">
        <f>+Rooms!AX509*AV$87/1000000*AV$4</f>
        <v>121.96889500320002</v>
      </c>
      <c r="AW430" s="2404">
        <f>+Rooms!AY509*AW$87/1000000*AW$4</f>
        <v>130.35975275736001</v>
      </c>
      <c r="AX430" s="2404">
        <f>+Rooms!AZ509*AX$87/1000000*AX$4</f>
        <v>157.36588630560001</v>
      </c>
      <c r="AY430" s="1262">
        <f>+SUM(AU430:AX430)</f>
        <v>520.57927763352006</v>
      </c>
      <c r="AZ430" s="2404">
        <f>+Rooms!BB509*AZ$87/1000000*AZ$4</f>
        <v>126.69793368959999</v>
      </c>
      <c r="BA430" s="2404">
        <f>+Rooms!BC509*BA$87/1000000*BA$4</f>
        <v>149.93904023280001</v>
      </c>
      <c r="BB430" s="2404">
        <f>+Rooms!BD509*BB$87/1000000*BB$4</f>
        <v>155.57057961984</v>
      </c>
      <c r="BC430" s="2404">
        <f>+Rooms!BE509*BC$87/1000000*BC$4</f>
        <v>181.61638971840003</v>
      </c>
      <c r="BD430" s="1262">
        <f>+SUM(AZ430:BC430)</f>
        <v>613.82394326064002</v>
      </c>
      <c r="BE430" s="2404">
        <f>AVERAGE(Rooms!BG509:'Rooms'!BF509)*BE$87/1000000*BE$4</f>
        <v>141.18386924880002</v>
      </c>
      <c r="BF430" s="2404">
        <f>AVERAGE(Rooms!BH509:'Rooms'!BG509)*BF$87/1000000*BF$4</f>
        <v>163.24548791292</v>
      </c>
      <c r="BG430" s="2404">
        <f>AVERAGE(Rooms!BI509:'Rooms'!BH509)*BG$87/1000000*BG$4</f>
        <v>172.75480604927998</v>
      </c>
      <c r="BH430" s="2404">
        <f>AVERAGE(Rooms!BJ509:'Rooms'!BI509)*BH$87/1000000*BH$4</f>
        <v>201.99161012799999</v>
      </c>
      <c r="BI430" s="1262">
        <f>+SUM(BE430:BH430)</f>
        <v>679.17577333899999</v>
      </c>
      <c r="BJ430" s="2404">
        <f>AVERAGE(Rooms!BL509:'Rooms'!BK509)*BJ$87/1000000*BJ$4</f>
        <v>159.5904424254</v>
      </c>
      <c r="BK430" s="2404">
        <f>AVERAGE(Rooms!BM509:'Rooms'!BL509)*BK$87/1000000*BK$4</f>
        <v>189.14211716399998</v>
      </c>
      <c r="BL430" s="2404">
        <f>AVERAGE(Rooms!BN509:'Rooms'!BM509)*BL$87/1000000*BL$4</f>
        <v>198.21211671492</v>
      </c>
      <c r="BM430" s="2404">
        <f>AVERAGE(Rooms!BO509:'Rooms'!BN509)*BM$87/1000000*BM$4</f>
        <v>235.81116088992007</v>
      </c>
      <c r="BN430" s="1262">
        <f t="shared" si="331"/>
        <v>782.75583719424003</v>
      </c>
      <c r="BO430" s="2404">
        <f>AVERAGE(Rooms!BQ509:'Rooms'!BP509)*BO$87/1000000*BO$4</f>
        <v>198.52224636244006</v>
      </c>
      <c r="BP430" s="2404">
        <f>AVERAGE(Rooms!BR509:'Rooms'!BQ509)*BP$87/1000000*BP$4</f>
        <v>233.86724767133001</v>
      </c>
      <c r="BQ430" s="2404">
        <f>AVERAGE(Rooms!BS509:'Rooms'!BR509)*BQ$87/1000000*BQ$4</f>
        <v>235.09110769320003</v>
      </c>
      <c r="BR430" s="2404">
        <f>AVERAGE(Rooms!BT509:'Rooms'!BS509)*BR$87/1000000*BR$4</f>
        <v>203.90694984504003</v>
      </c>
      <c r="BS430" s="1262">
        <f t="shared" si="332"/>
        <v>871.38755157201012</v>
      </c>
      <c r="BT430" s="2404">
        <f>AVERAGE(Rooms!BV509:'Rooms'!BU509)*BT$87/1000000*BT$4</f>
        <v>218.82132470160002</v>
      </c>
      <c r="BU430" s="2404">
        <f>AVERAGE(Rooms!BW509:'Rooms'!BV509)*BU$87/1000000*BU$4</f>
        <v>261.04126562514</v>
      </c>
      <c r="BV430" s="2404">
        <f>AVERAGE(Rooms!BX509:'Rooms'!BW509)*BV$87/1000000*BV$4</f>
        <v>264.53533025124</v>
      </c>
      <c r="BW430" s="2404">
        <f>AVERAGE(Rooms!BY509:'Rooms'!BX509)*BW$87/1000000*BW$4</f>
        <v>228.79318033080003</v>
      </c>
      <c r="BX430" s="1262">
        <f>+SUM(BT430:BW430)</f>
        <v>973.19110090878007</v>
      </c>
      <c r="BY430" s="2404">
        <f>AVERAGE(Rooms!CA509:'Rooms'!BZ509)*BY$87/1000000*BY$4</f>
        <v>246.44249627174995</v>
      </c>
      <c r="BZ430" s="2404">
        <f>AVERAGE(Rooms!CB509:'Rooms'!CA509)*BZ$87/1000000*BZ$4</f>
        <v>293.40200556530505</v>
      </c>
      <c r="CA430" s="2404">
        <f>AVERAGE(Rooms!CC509:'Rooms'!CB509)*CA$87/1000000*CA$4</f>
        <v>303.2947743048</v>
      </c>
      <c r="CB430" s="2404">
        <f>AVERAGE(Rooms!CD509:'Rooms'!CC509)*CB$87/1000000*CB$4</f>
        <v>258.82819770368002</v>
      </c>
      <c r="CC430" s="1262">
        <f t="shared" si="334"/>
        <v>1101.9674738455349</v>
      </c>
      <c r="CD430" s="2404">
        <f>AVERAGE(Rooms!CF509:'Rooms'!CE509)*CD$87/1000000*CD$4</f>
        <v>270.17439798667505</v>
      </c>
      <c r="CE430" s="2404">
        <f>AVERAGE(Rooms!CG509:'Rooms'!CF509)*CE$87/1000000*CE$4</f>
        <v>325.66829540700002</v>
      </c>
      <c r="CF430" s="2404">
        <f>AVERAGE(Rooms!CH509:'Rooms'!CG509)*CF$87/1000000*CF$4</f>
        <v>330.36835040784001</v>
      </c>
      <c r="CG430" s="2404"/>
      <c r="CH430" s="1262"/>
      <c r="CI430" s="2404"/>
      <c r="CJ430" s="2404"/>
      <c r="CK430" s="2404"/>
      <c r="CL430" s="3044"/>
      <c r="CM430" s="1262"/>
      <c r="CN430" s="2404"/>
      <c r="CO430" s="2404"/>
      <c r="CP430" s="2404"/>
      <c r="CQ430" s="3044"/>
      <c r="CR430" s="3044"/>
      <c r="CS430" s="3044"/>
      <c r="CT430" s="3044"/>
      <c r="CV430" s="1062"/>
      <c r="CW430" s="1062"/>
      <c r="CX430" s="1062"/>
      <c r="DA430" s="212"/>
      <c r="DB430" s="1226"/>
    </row>
    <row r="431" spans="1:106" s="207" customFormat="1" ht="4.5" customHeight="1" x14ac:dyDescent="0.2">
      <c r="A431" s="1580"/>
      <c r="B431" s="777"/>
      <c r="C431" s="777"/>
      <c r="D431" s="777"/>
      <c r="E431" s="777"/>
      <c r="F431" s="235"/>
      <c r="G431" s="777"/>
      <c r="H431" s="777"/>
      <c r="I431" s="777"/>
      <c r="J431" s="777"/>
      <c r="K431" s="235"/>
      <c r="L431" s="777"/>
      <c r="M431" s="777"/>
      <c r="N431" s="777"/>
      <c r="O431" s="777"/>
      <c r="P431" s="631"/>
      <c r="Q431" s="777"/>
      <c r="R431" s="777"/>
      <c r="S431" s="777"/>
      <c r="T431" s="777"/>
      <c r="U431" s="631"/>
      <c r="V431" s="777"/>
      <c r="W431" s="777"/>
      <c r="X431" s="777"/>
      <c r="Y431" s="777"/>
      <c r="Z431" s="631"/>
      <c r="AA431" s="275"/>
      <c r="AB431" s="275"/>
      <c r="AC431" s="275"/>
      <c r="AD431" s="275"/>
      <c r="AE431" s="631"/>
      <c r="AF431" s="275"/>
      <c r="AG431" s="275"/>
      <c r="AH431" s="275"/>
      <c r="AI431" s="275"/>
      <c r="AJ431" s="631"/>
      <c r="AK431" s="774"/>
      <c r="AL431" s="774"/>
      <c r="AM431" s="774"/>
      <c r="AN431" s="774"/>
      <c r="AO431" s="1516"/>
      <c r="AP431" s="774"/>
      <c r="AQ431" s="774"/>
      <c r="AR431" s="774"/>
      <c r="AS431" s="774"/>
      <c r="AT431" s="1516"/>
      <c r="AU431" s="774"/>
      <c r="AV431" s="774"/>
      <c r="AW431" s="774"/>
      <c r="AX431" s="774"/>
      <c r="AY431" s="1516"/>
      <c r="AZ431" s="774"/>
      <c r="BA431" s="774"/>
      <c r="BB431" s="774"/>
      <c r="BC431" s="774"/>
      <c r="BD431" s="1516"/>
      <c r="BE431" s="774"/>
      <c r="BF431" s="774"/>
      <c r="BG431" s="774"/>
      <c r="BH431" s="774"/>
      <c r="BI431" s="1516"/>
      <c r="BJ431" s="774"/>
      <c r="BK431" s="774"/>
      <c r="BL431" s="774"/>
      <c r="BM431" s="774"/>
      <c r="BN431" s="1516"/>
      <c r="BO431" s="774"/>
      <c r="BP431" s="774"/>
      <c r="BQ431" s="774"/>
      <c r="BR431" s="774"/>
      <c r="BS431" s="1516"/>
      <c r="BT431" s="774"/>
      <c r="BU431" s="774"/>
      <c r="BV431" s="774"/>
      <c r="BW431" s="774"/>
      <c r="BX431" s="1516"/>
      <c r="BY431" s="774"/>
      <c r="BZ431" s="774"/>
      <c r="CA431" s="774"/>
      <c r="CB431" s="774"/>
      <c r="CC431" s="1516"/>
      <c r="CD431" s="774"/>
      <c r="CE431" s="774"/>
      <c r="CF431" s="774"/>
      <c r="CG431" s="774"/>
      <c r="CH431" s="1516"/>
      <c r="CI431" s="774"/>
      <c r="CJ431" s="774"/>
      <c r="CK431" s="774"/>
      <c r="CL431" s="760"/>
      <c r="CM431" s="1516"/>
      <c r="CN431" s="774"/>
      <c r="CO431" s="774"/>
      <c r="CP431" s="774"/>
      <c r="CQ431" s="760"/>
      <c r="CR431" s="760"/>
      <c r="CS431" s="760"/>
      <c r="CT431" s="760"/>
      <c r="CV431"/>
      <c r="CW431"/>
      <c r="CX431"/>
      <c r="DA431" s="212"/>
      <c r="DB431" s="1226"/>
    </row>
    <row r="432" spans="1:106" s="207" customFormat="1" x14ac:dyDescent="0.2">
      <c r="A432" s="3039" t="s">
        <v>2454</v>
      </c>
      <c r="B432" s="777"/>
      <c r="C432" s="777"/>
      <c r="D432" s="777"/>
      <c r="E432" s="777"/>
      <c r="F432" s="235"/>
      <c r="G432" s="777"/>
      <c r="H432" s="777"/>
      <c r="I432" s="777"/>
      <c r="J432" s="777"/>
      <c r="K432" s="235"/>
      <c r="L432" s="777"/>
      <c r="M432" s="777"/>
      <c r="N432" s="777"/>
      <c r="O432" s="777"/>
      <c r="P432" s="631"/>
      <c r="Q432" s="777"/>
      <c r="R432" s="777"/>
      <c r="S432" s="777"/>
      <c r="T432" s="777"/>
      <c r="U432" s="631"/>
      <c r="V432" s="777"/>
      <c r="W432" s="777"/>
      <c r="X432" s="777"/>
      <c r="Y432" s="777"/>
      <c r="Z432" s="631"/>
      <c r="AA432" s="275"/>
      <c r="AB432" s="275"/>
      <c r="AC432" s="275"/>
      <c r="AD432" s="275"/>
      <c r="AE432" s="631"/>
      <c r="AF432" s="275"/>
      <c r="AG432" s="275"/>
      <c r="AH432" s="275"/>
      <c r="AI432" s="275"/>
      <c r="AJ432" s="631"/>
      <c r="AK432" s="774"/>
      <c r="AL432" s="774"/>
      <c r="AM432" s="774"/>
      <c r="AN432" s="774"/>
      <c r="AO432" s="1516"/>
      <c r="AP432" s="774"/>
      <c r="AQ432" s="774"/>
      <c r="AR432" s="774"/>
      <c r="AS432" s="774"/>
      <c r="AT432" s="1516"/>
      <c r="AU432" s="774"/>
      <c r="AV432" s="774"/>
      <c r="AW432" s="774"/>
      <c r="AX432" s="774"/>
      <c r="AY432" s="1516"/>
      <c r="AZ432" s="774"/>
      <c r="BA432" s="774"/>
      <c r="BB432" s="774"/>
      <c r="BC432" s="774"/>
      <c r="BD432" s="1516"/>
      <c r="BE432" s="774"/>
      <c r="BF432" s="774"/>
      <c r="BG432" s="774"/>
      <c r="BH432" s="774"/>
      <c r="BI432" s="1516"/>
      <c r="BJ432" s="774"/>
      <c r="BK432" s="774"/>
      <c r="BL432" s="774"/>
      <c r="BM432" s="774"/>
      <c r="BN432" s="1516"/>
      <c r="BO432" s="774"/>
      <c r="BP432" s="774"/>
      <c r="BQ432" s="774"/>
      <c r="BR432" s="774"/>
      <c r="BS432" s="1516"/>
      <c r="BT432" s="774"/>
      <c r="BU432" s="774"/>
      <c r="BV432" s="774"/>
      <c r="BW432" s="774"/>
      <c r="BX432" s="1516"/>
      <c r="BY432" s="774"/>
      <c r="BZ432" s="774"/>
      <c r="CA432" s="774"/>
      <c r="CB432" s="2404">
        <f>AVERAGE(Rooms!CC514:CD514)*CB$91/1000000*RevPAR!CB$4</f>
        <v>464.64770641967993</v>
      </c>
      <c r="CC432" s="1516"/>
      <c r="CD432" s="2404">
        <f>AVERAGE(Rooms!CE514:CF514)*CD$91/1000000*RevPAR!CD$4</f>
        <v>464.56048422783999</v>
      </c>
      <c r="CE432" s="2404">
        <f>AVERAGE(Rooms!CF514:CG514)*CE$91/1000000*RevPAR!CE$4</f>
        <v>545.79101240664011</v>
      </c>
      <c r="CF432" s="2404">
        <f>AVERAGE(Rooms!CG514:CH514)*CF$91/1000000*RevPAR!CF$4</f>
        <v>535.20353591164587</v>
      </c>
      <c r="CG432" s="2404"/>
      <c r="CH432" s="2406"/>
      <c r="CI432" s="2404"/>
      <c r="CJ432" s="2404"/>
      <c r="CK432" s="2404"/>
      <c r="CL432" s="2404"/>
      <c r="CM432" s="2406"/>
      <c r="CN432" s="2404"/>
      <c r="CO432" s="2404"/>
      <c r="CP432" s="2404"/>
      <c r="CQ432" s="3044"/>
      <c r="CR432" s="2404"/>
      <c r="CS432" s="2406"/>
      <c r="CT432" s="2406"/>
      <c r="CV432"/>
      <c r="CW432"/>
      <c r="CX432"/>
      <c r="DA432" s="212"/>
      <c r="DB432" s="1226"/>
    </row>
    <row r="433" spans="1:106" s="207" customFormat="1" x14ac:dyDescent="0.2">
      <c r="A433" s="3039" t="s">
        <v>2455</v>
      </c>
      <c r="B433" s="777"/>
      <c r="C433" s="777"/>
      <c r="D433" s="777"/>
      <c r="E433" s="777"/>
      <c r="F433" s="235"/>
      <c r="G433" s="777"/>
      <c r="H433" s="777"/>
      <c r="I433" s="777"/>
      <c r="J433" s="777"/>
      <c r="K433" s="235"/>
      <c r="L433" s="777"/>
      <c r="M433" s="777"/>
      <c r="N433" s="777"/>
      <c r="O433" s="777"/>
      <c r="P433" s="631"/>
      <c r="Q433" s="777"/>
      <c r="R433" s="777"/>
      <c r="S433" s="777"/>
      <c r="T433" s="777"/>
      <c r="U433" s="631"/>
      <c r="V433" s="777"/>
      <c r="W433" s="777"/>
      <c r="X433" s="777"/>
      <c r="Y433" s="777"/>
      <c r="Z433" s="631"/>
      <c r="AA433" s="275"/>
      <c r="AB433" s="275"/>
      <c r="AC433" s="275"/>
      <c r="AD433" s="275"/>
      <c r="AE433" s="631"/>
      <c r="AF433" s="275"/>
      <c r="AG433" s="275"/>
      <c r="AH433" s="275"/>
      <c r="AI433" s="275"/>
      <c r="AJ433" s="631"/>
      <c r="AK433" s="774"/>
      <c r="AL433" s="774"/>
      <c r="AM433" s="774"/>
      <c r="AN433" s="774"/>
      <c r="AO433" s="1516"/>
      <c r="AP433" s="774"/>
      <c r="AQ433" s="774"/>
      <c r="AR433" s="774"/>
      <c r="AS433" s="774"/>
      <c r="AT433" s="1516"/>
      <c r="AU433" s="774"/>
      <c r="AV433" s="774"/>
      <c r="AW433" s="774"/>
      <c r="AX433" s="774"/>
      <c r="AY433" s="1516"/>
      <c r="AZ433" s="774"/>
      <c r="BA433" s="774"/>
      <c r="BB433" s="774"/>
      <c r="BC433" s="774"/>
      <c r="BD433" s="1516"/>
      <c r="BE433" s="774"/>
      <c r="BF433" s="774"/>
      <c r="BG433" s="774"/>
      <c r="BH433" s="774"/>
      <c r="BI433" s="1516"/>
      <c r="BJ433" s="774"/>
      <c r="BK433" s="774"/>
      <c r="BL433" s="774"/>
      <c r="BM433" s="774"/>
      <c r="BN433" s="1516"/>
      <c r="BO433" s="774"/>
      <c r="BP433" s="774"/>
      <c r="BQ433" s="774"/>
      <c r="BR433" s="774"/>
      <c r="BS433" s="1516"/>
      <c r="BT433" s="774"/>
      <c r="BU433" s="774"/>
      <c r="BV433" s="774"/>
      <c r="BW433" s="774"/>
      <c r="BX433" s="1516"/>
      <c r="BY433" s="774"/>
      <c r="BZ433" s="774"/>
      <c r="CA433" s="774"/>
      <c r="CB433" s="2404">
        <f>AVERAGE(Rooms!CC515:CD515)*CB$93/1000000*RevPAR!CB$4</f>
        <v>293.94890403599999</v>
      </c>
      <c r="CC433" s="1516"/>
      <c r="CD433" s="2404">
        <f>AVERAGE(Rooms!CE515:CF515)*CD$93/1000000*RevPAR!CD$4</f>
        <v>300.957294456</v>
      </c>
      <c r="CE433" s="2404">
        <f>AVERAGE(Rooms!CF515:CG515)*CE$93/1000000*RevPAR!CE$4</f>
        <v>344.07526421632002</v>
      </c>
      <c r="CF433" s="2404">
        <f>AVERAGE(Rooms!CG515:CH515)*CF$93/1000000*RevPAR!CF$4</f>
        <v>340.62941806150945</v>
      </c>
      <c r="CG433" s="2404"/>
      <c r="CH433" s="2406"/>
      <c r="CI433" s="2404"/>
      <c r="CJ433" s="2404"/>
      <c r="CK433" s="2404"/>
      <c r="CL433" s="2404"/>
      <c r="CM433" s="2406"/>
      <c r="CN433" s="2404"/>
      <c r="CO433" s="2404"/>
      <c r="CP433" s="2404"/>
      <c r="CQ433" s="3044"/>
      <c r="CR433" s="2404"/>
      <c r="CS433" s="2406"/>
      <c r="CT433" s="2406"/>
      <c r="CV433"/>
      <c r="CW433"/>
      <c r="CX433"/>
      <c r="DA433" s="212"/>
      <c r="DB433" s="1226"/>
    </row>
    <row r="434" spans="1:106" s="207" customFormat="1" x14ac:dyDescent="0.2">
      <c r="A434" s="3039" t="s">
        <v>2456</v>
      </c>
      <c r="B434" s="777"/>
      <c r="C434" s="777"/>
      <c r="D434" s="777"/>
      <c r="E434" s="777"/>
      <c r="F434" s="235"/>
      <c r="G434" s="777"/>
      <c r="H434" s="777"/>
      <c r="I434" s="777"/>
      <c r="J434" s="777"/>
      <c r="K434" s="235"/>
      <c r="L434" s="777"/>
      <c r="M434" s="777"/>
      <c r="N434" s="777"/>
      <c r="O434" s="777"/>
      <c r="P434" s="631"/>
      <c r="Q434" s="777"/>
      <c r="R434" s="777"/>
      <c r="S434" s="777"/>
      <c r="T434" s="777"/>
      <c r="U434" s="631"/>
      <c r="V434" s="777"/>
      <c r="W434" s="777"/>
      <c r="X434" s="777"/>
      <c r="Y434" s="777"/>
      <c r="Z434" s="631"/>
      <c r="AA434" s="275"/>
      <c r="AB434" s="275"/>
      <c r="AC434" s="275"/>
      <c r="AD434" s="275"/>
      <c r="AE434" s="631"/>
      <c r="AF434" s="275"/>
      <c r="AG434" s="275"/>
      <c r="AH434" s="275"/>
      <c r="AI434" s="275"/>
      <c r="AJ434" s="631"/>
      <c r="AK434" s="774"/>
      <c r="AL434" s="774"/>
      <c r="AM434" s="774"/>
      <c r="AN434" s="774"/>
      <c r="AO434" s="1516"/>
      <c r="AP434" s="774"/>
      <c r="AQ434" s="774"/>
      <c r="AR434" s="774"/>
      <c r="AS434" s="774"/>
      <c r="AT434" s="1516"/>
      <c r="AU434" s="774"/>
      <c r="AV434" s="774"/>
      <c r="AW434" s="774"/>
      <c r="AX434" s="774"/>
      <c r="AY434" s="1516"/>
      <c r="AZ434" s="774"/>
      <c r="BA434" s="774"/>
      <c r="BB434" s="774"/>
      <c r="BC434" s="774"/>
      <c r="BD434" s="1516"/>
      <c r="BE434" s="774"/>
      <c r="BF434" s="774"/>
      <c r="BG434" s="774"/>
      <c r="BH434" s="774"/>
      <c r="BI434" s="1516"/>
      <c r="BJ434" s="774"/>
      <c r="BK434" s="774"/>
      <c r="BL434" s="774"/>
      <c r="BM434" s="774"/>
      <c r="BN434" s="1516"/>
      <c r="BO434" s="774"/>
      <c r="BP434" s="774"/>
      <c r="BQ434" s="774"/>
      <c r="BR434" s="774"/>
      <c r="BS434" s="1516"/>
      <c r="BT434" s="774"/>
      <c r="BU434" s="774"/>
      <c r="BV434" s="774"/>
      <c r="BW434" s="774"/>
      <c r="BX434" s="1516"/>
      <c r="BY434" s="774"/>
      <c r="BZ434" s="774"/>
      <c r="CA434" s="774"/>
      <c r="CB434" s="2404">
        <f>AVERAGE(Rooms!CC516:CD516)*CB$101/1000000*RevPAR!CB$4</f>
        <v>130.64221798752001</v>
      </c>
      <c r="CC434" s="1516"/>
      <c r="CD434" s="2404">
        <f>AVERAGE(Rooms!CE516:CF516)*CD$101/1000000*RevPAR!CD$4</f>
        <v>130.70506620080002</v>
      </c>
      <c r="CE434" s="2404">
        <f>AVERAGE(Rooms!CF516:CG516)*CE$101/1000000*RevPAR!CE$4</f>
        <v>163.43805004800001</v>
      </c>
      <c r="CF434" s="2404">
        <f>AVERAGE(Rooms!CG516:CH516)*CF$101/1000000*RevPAR!CF$4</f>
        <v>173.30240992181044</v>
      </c>
      <c r="CG434" s="2404"/>
      <c r="CH434" s="2406"/>
      <c r="CI434" s="2404"/>
      <c r="CJ434" s="2404"/>
      <c r="CK434" s="2404"/>
      <c r="CL434" s="2404"/>
      <c r="CM434" s="2406"/>
      <c r="CN434" s="2404"/>
      <c r="CO434" s="2404"/>
      <c r="CP434" s="2404"/>
      <c r="CQ434" s="3044"/>
      <c r="CR434" s="2404"/>
      <c r="CS434" s="2406"/>
      <c r="CT434" s="2406"/>
      <c r="CV434"/>
      <c r="CW434"/>
      <c r="CX434"/>
      <c r="DA434" s="212"/>
      <c r="DB434" s="1226"/>
    </row>
    <row r="435" spans="1:106" s="207" customFormat="1" x14ac:dyDescent="0.2">
      <c r="A435" s="3039" t="s">
        <v>2457</v>
      </c>
      <c r="B435" s="777"/>
      <c r="C435" s="777"/>
      <c r="D435" s="777"/>
      <c r="E435" s="777"/>
      <c r="F435" s="235"/>
      <c r="G435" s="777"/>
      <c r="H435" s="777"/>
      <c r="I435" s="777"/>
      <c r="J435" s="777"/>
      <c r="K435" s="235"/>
      <c r="L435" s="777"/>
      <c r="M435" s="777"/>
      <c r="N435" s="777"/>
      <c r="O435" s="777"/>
      <c r="P435" s="631"/>
      <c r="Q435" s="777"/>
      <c r="R435" s="777"/>
      <c r="S435" s="777"/>
      <c r="T435" s="777"/>
      <c r="U435" s="631"/>
      <c r="V435" s="777"/>
      <c r="W435" s="777"/>
      <c r="X435" s="777"/>
      <c r="Y435" s="777"/>
      <c r="Z435" s="631"/>
      <c r="AA435" s="275"/>
      <c r="AB435" s="275"/>
      <c r="AC435" s="275"/>
      <c r="AD435" s="275"/>
      <c r="AE435" s="631"/>
      <c r="AF435" s="275"/>
      <c r="AG435" s="275"/>
      <c r="AH435" s="275"/>
      <c r="AI435" s="275"/>
      <c r="AJ435" s="631"/>
      <c r="AK435" s="774"/>
      <c r="AL435" s="774"/>
      <c r="AM435" s="774"/>
      <c r="AN435" s="774"/>
      <c r="AO435" s="1516"/>
      <c r="AP435" s="774"/>
      <c r="AQ435" s="774"/>
      <c r="AR435" s="774"/>
      <c r="AS435" s="774"/>
      <c r="AT435" s="1516"/>
      <c r="AU435" s="774"/>
      <c r="AV435" s="774"/>
      <c r="AW435" s="774"/>
      <c r="AX435" s="774"/>
      <c r="AY435" s="1516"/>
      <c r="AZ435" s="774"/>
      <c r="BA435" s="774"/>
      <c r="BB435" s="774"/>
      <c r="BC435" s="774"/>
      <c r="BD435" s="1516"/>
      <c r="BE435" s="774"/>
      <c r="BF435" s="774"/>
      <c r="BG435" s="774"/>
      <c r="BH435" s="774"/>
      <c r="BI435" s="1516"/>
      <c r="BJ435" s="774"/>
      <c r="BK435" s="774"/>
      <c r="BL435" s="774"/>
      <c r="BM435" s="774"/>
      <c r="BN435" s="1516"/>
      <c r="BO435" s="774"/>
      <c r="BP435" s="774"/>
      <c r="BQ435" s="774"/>
      <c r="BR435" s="774"/>
      <c r="BS435" s="1516"/>
      <c r="BT435" s="774"/>
      <c r="BU435" s="774"/>
      <c r="BV435" s="774"/>
      <c r="BW435" s="774"/>
      <c r="BX435" s="1516"/>
      <c r="BY435" s="774"/>
      <c r="BZ435" s="774"/>
      <c r="CA435" s="774"/>
      <c r="CB435" s="2404">
        <f>AVERAGE(Rooms!CC517:CD517)*CB$99/1000000*RevPAR!CB$4</f>
        <v>0</v>
      </c>
      <c r="CC435" s="1516"/>
      <c r="CD435" s="2404">
        <f>AVERAGE(Rooms!CE517:CF517)*CD$99/1000000*RevPAR!CD$4</f>
        <v>0</v>
      </c>
      <c r="CE435" s="2404">
        <f>AVERAGE(Rooms!CF517:CG517)*CE$99/1000000*RevPAR!CE$4</f>
        <v>0</v>
      </c>
      <c r="CF435" s="2404">
        <f>AVERAGE(Rooms!CG517:CH517)*CF$99/1000000*RevPAR!CF$4</f>
        <v>0</v>
      </c>
      <c r="CG435" s="2404"/>
      <c r="CH435" s="2406"/>
      <c r="CI435" s="2404"/>
      <c r="CJ435" s="2404"/>
      <c r="CK435" s="2404"/>
      <c r="CL435" s="2404"/>
      <c r="CM435" s="2406"/>
      <c r="CN435" s="2404"/>
      <c r="CO435" s="2404"/>
      <c r="CP435" s="2404"/>
      <c r="CQ435" s="3044"/>
      <c r="CR435" s="2404"/>
      <c r="CS435" s="2406"/>
      <c r="CT435" s="2406"/>
      <c r="CV435"/>
      <c r="CW435"/>
      <c r="CX435"/>
      <c r="DA435" s="212"/>
      <c r="DB435" s="1226"/>
    </row>
    <row r="436" spans="1:106" s="207" customFormat="1" x14ac:dyDescent="0.2">
      <c r="A436" s="3039" t="s">
        <v>2458</v>
      </c>
      <c r="B436" s="777"/>
      <c r="C436" s="777"/>
      <c r="D436" s="777"/>
      <c r="E436" s="777"/>
      <c r="F436" s="235"/>
      <c r="G436" s="777"/>
      <c r="H436" s="777"/>
      <c r="I436" s="777"/>
      <c r="J436" s="777"/>
      <c r="K436" s="235"/>
      <c r="L436" s="777"/>
      <c r="M436" s="777"/>
      <c r="N436" s="777"/>
      <c r="O436" s="777"/>
      <c r="P436" s="631"/>
      <c r="Q436" s="777"/>
      <c r="R436" s="777"/>
      <c r="S436" s="777"/>
      <c r="T436" s="777"/>
      <c r="U436" s="631"/>
      <c r="V436" s="777"/>
      <c r="W436" s="777"/>
      <c r="X436" s="777"/>
      <c r="Y436" s="777"/>
      <c r="Z436" s="631"/>
      <c r="AA436" s="275"/>
      <c r="AB436" s="275"/>
      <c r="AC436" s="275"/>
      <c r="AD436" s="275"/>
      <c r="AE436" s="631"/>
      <c r="AF436" s="275"/>
      <c r="AG436" s="275"/>
      <c r="AH436" s="275"/>
      <c r="AI436" s="275"/>
      <c r="AJ436" s="631"/>
      <c r="AK436" s="774"/>
      <c r="AL436" s="774"/>
      <c r="AM436" s="774"/>
      <c r="AN436" s="774"/>
      <c r="AO436" s="1516"/>
      <c r="AP436" s="774"/>
      <c r="AQ436" s="774"/>
      <c r="AR436" s="774"/>
      <c r="AS436" s="774"/>
      <c r="AT436" s="1516"/>
      <c r="AU436" s="774"/>
      <c r="AV436" s="774"/>
      <c r="AW436" s="774"/>
      <c r="AX436" s="774"/>
      <c r="AY436" s="1516"/>
      <c r="AZ436" s="774"/>
      <c r="BA436" s="774"/>
      <c r="BB436" s="774"/>
      <c r="BC436" s="774"/>
      <c r="BD436" s="1516"/>
      <c r="BE436" s="774"/>
      <c r="BF436" s="774"/>
      <c r="BG436" s="774"/>
      <c r="BH436" s="774"/>
      <c r="BI436" s="1516"/>
      <c r="BJ436" s="774"/>
      <c r="BK436" s="774"/>
      <c r="BL436" s="774"/>
      <c r="BM436" s="774"/>
      <c r="BN436" s="1516"/>
      <c r="BO436" s="774"/>
      <c r="BP436" s="774"/>
      <c r="BQ436" s="774"/>
      <c r="BR436" s="774"/>
      <c r="BS436" s="1516"/>
      <c r="BT436" s="774"/>
      <c r="BU436" s="774"/>
      <c r="BV436" s="774"/>
      <c r="BW436" s="774"/>
      <c r="BX436" s="1516"/>
      <c r="BY436" s="774"/>
      <c r="BZ436" s="774"/>
      <c r="CA436" s="774"/>
      <c r="CB436" s="2404">
        <f>AVERAGE(Rooms!CC518:CD518)*CB$95/1000000*RevPAR!CB$4</f>
        <v>59.141087869499991</v>
      </c>
      <c r="CC436" s="1516"/>
      <c r="CD436" s="2404">
        <f>AVERAGE(Rooms!CE518:CF518)*CD$95/1000000*RevPAR!CD$4</f>
        <v>61.713696108610002</v>
      </c>
      <c r="CE436" s="2404">
        <f>AVERAGE(Rooms!CF518:CG518)*CE$95/1000000*RevPAR!CE$4</f>
        <v>54.308157294299995</v>
      </c>
      <c r="CF436" s="2404">
        <f>AVERAGE(Rooms!CG518:CH518)*CF$95/1000000*RevPAR!CF$4</f>
        <v>54.847601947622408</v>
      </c>
      <c r="CG436" s="2404"/>
      <c r="CH436" s="2406"/>
      <c r="CI436" s="2404"/>
      <c r="CJ436" s="2404"/>
      <c r="CK436" s="2404"/>
      <c r="CL436" s="2404"/>
      <c r="CM436" s="2406"/>
      <c r="CN436" s="2404"/>
      <c r="CO436" s="2404"/>
      <c r="CP436" s="2404"/>
      <c r="CQ436" s="3044"/>
      <c r="CR436" s="2404"/>
      <c r="CS436" s="2406"/>
      <c r="CT436" s="2406"/>
      <c r="CV436"/>
      <c r="CW436"/>
      <c r="CX436"/>
      <c r="DA436" s="212"/>
      <c r="DB436" s="1226"/>
    </row>
    <row r="437" spans="1:106" s="207" customFormat="1" x14ac:dyDescent="0.2">
      <c r="A437" s="3039" t="s">
        <v>2459</v>
      </c>
      <c r="B437" s="777"/>
      <c r="C437" s="777"/>
      <c r="D437" s="777"/>
      <c r="E437" s="777"/>
      <c r="F437" s="235"/>
      <c r="G437" s="777"/>
      <c r="H437" s="777"/>
      <c r="I437" s="777"/>
      <c r="J437" s="777"/>
      <c r="K437" s="235"/>
      <c r="L437" s="777"/>
      <c r="M437" s="777"/>
      <c r="N437" s="777"/>
      <c r="O437" s="777"/>
      <c r="P437" s="631"/>
      <c r="Q437" s="777"/>
      <c r="R437" s="777"/>
      <c r="S437" s="777"/>
      <c r="T437" s="777"/>
      <c r="U437" s="631"/>
      <c r="V437" s="777"/>
      <c r="W437" s="777"/>
      <c r="X437" s="777"/>
      <c r="Y437" s="777"/>
      <c r="Z437" s="631"/>
      <c r="AA437" s="275"/>
      <c r="AB437" s="275"/>
      <c r="AC437" s="275"/>
      <c r="AD437" s="275"/>
      <c r="AE437" s="631"/>
      <c r="AF437" s="275"/>
      <c r="AG437" s="275"/>
      <c r="AH437" s="275"/>
      <c r="AI437" s="275"/>
      <c r="AJ437" s="631"/>
      <c r="AK437" s="774"/>
      <c r="AL437" s="774"/>
      <c r="AM437" s="774"/>
      <c r="AN437" s="774"/>
      <c r="AO437" s="1516"/>
      <c r="AP437" s="774"/>
      <c r="AQ437" s="774"/>
      <c r="AR437" s="774"/>
      <c r="AS437" s="774"/>
      <c r="AT437" s="1516"/>
      <c r="AU437" s="774"/>
      <c r="AV437" s="774"/>
      <c r="AW437" s="774"/>
      <c r="AX437" s="774"/>
      <c r="AY437" s="1516"/>
      <c r="AZ437" s="774"/>
      <c r="BA437" s="774"/>
      <c r="BB437" s="774"/>
      <c r="BC437" s="774"/>
      <c r="BD437" s="1516"/>
      <c r="BE437" s="774"/>
      <c r="BF437" s="774"/>
      <c r="BG437" s="774"/>
      <c r="BH437" s="774"/>
      <c r="BI437" s="1516"/>
      <c r="BJ437" s="774"/>
      <c r="BK437" s="774"/>
      <c r="BL437" s="774"/>
      <c r="BM437" s="774"/>
      <c r="BN437" s="1516"/>
      <c r="BO437" s="774"/>
      <c r="BP437" s="774"/>
      <c r="BQ437" s="774"/>
      <c r="BR437" s="774"/>
      <c r="BS437" s="1516"/>
      <c r="BT437" s="774"/>
      <c r="BU437" s="774"/>
      <c r="BV437" s="774"/>
      <c r="BW437" s="774"/>
      <c r="BX437" s="1516"/>
      <c r="BY437" s="774"/>
      <c r="BZ437" s="774"/>
      <c r="CA437" s="774"/>
      <c r="CB437" s="2404">
        <f>AVERAGE(Rooms!CC519:CD519)*CB$95/1000000*RevPAR!CB$4</f>
        <v>0</v>
      </c>
      <c r="CC437" s="1516"/>
      <c r="CD437" s="2404">
        <f>AVERAGE(Rooms!CE519:CF519)*CD$95/1000000*RevPAR!CD$4</f>
        <v>0</v>
      </c>
      <c r="CE437" s="2404">
        <f>AVERAGE(Rooms!CF519:CG519)*CE$95/1000000*RevPAR!CE$4</f>
        <v>0</v>
      </c>
      <c r="CF437" s="2404">
        <f>AVERAGE(Rooms!CG519:CH519)*CF$95/1000000*RevPAR!CF$4</f>
        <v>0</v>
      </c>
      <c r="CG437" s="2404"/>
      <c r="CH437" s="2406"/>
      <c r="CI437" s="2404"/>
      <c r="CJ437" s="2404"/>
      <c r="CK437" s="2404"/>
      <c r="CL437" s="2404"/>
      <c r="CM437" s="2406"/>
      <c r="CN437" s="2404"/>
      <c r="CO437" s="2404"/>
      <c r="CP437" s="2404"/>
      <c r="CQ437" s="3044"/>
      <c r="CR437" s="2404"/>
      <c r="CS437" s="2406"/>
      <c r="CT437" s="2406"/>
      <c r="CV437"/>
      <c r="CW437"/>
      <c r="CX437"/>
      <c r="DA437" s="212"/>
      <c r="DB437" s="1226"/>
    </row>
    <row r="438" spans="1:106" s="207" customFormat="1" x14ac:dyDescent="0.2">
      <c r="A438" s="3039" t="s">
        <v>2460</v>
      </c>
      <c r="B438" s="777"/>
      <c r="C438" s="777"/>
      <c r="D438" s="777"/>
      <c r="E438" s="777"/>
      <c r="F438" s="235"/>
      <c r="G438" s="777"/>
      <c r="H438" s="777"/>
      <c r="I438" s="777"/>
      <c r="J438" s="777"/>
      <c r="K438" s="235"/>
      <c r="L438" s="777"/>
      <c r="M438" s="777"/>
      <c r="N438" s="777"/>
      <c r="O438" s="777"/>
      <c r="P438" s="631"/>
      <c r="Q438" s="777"/>
      <c r="R438" s="777"/>
      <c r="S438" s="777"/>
      <c r="T438" s="777"/>
      <c r="U438" s="631"/>
      <c r="V438" s="777"/>
      <c r="W438" s="777"/>
      <c r="X438" s="777"/>
      <c r="Y438" s="777"/>
      <c r="Z438" s="631"/>
      <c r="AA438" s="275"/>
      <c r="AB438" s="275"/>
      <c r="AC438" s="275"/>
      <c r="AD438" s="275"/>
      <c r="AE438" s="631"/>
      <c r="AF438" s="275"/>
      <c r="AG438" s="275"/>
      <c r="AH438" s="275"/>
      <c r="AI438" s="275"/>
      <c r="AJ438" s="631"/>
      <c r="AK438" s="774"/>
      <c r="AL438" s="774"/>
      <c r="AM438" s="774"/>
      <c r="AN438" s="774"/>
      <c r="AO438" s="1516"/>
      <c r="AP438" s="774"/>
      <c r="AQ438" s="774"/>
      <c r="AR438" s="774"/>
      <c r="AS438" s="774"/>
      <c r="AT438" s="1516"/>
      <c r="AU438" s="774"/>
      <c r="AV438" s="774"/>
      <c r="AW438" s="774"/>
      <c r="AX438" s="774"/>
      <c r="AY438" s="1516"/>
      <c r="AZ438" s="774"/>
      <c r="BA438" s="774"/>
      <c r="BB438" s="774"/>
      <c r="BC438" s="774"/>
      <c r="BD438" s="1516"/>
      <c r="BE438" s="774"/>
      <c r="BF438" s="774"/>
      <c r="BG438" s="774"/>
      <c r="BH438" s="774"/>
      <c r="BI438" s="1516"/>
      <c r="BJ438" s="774"/>
      <c r="BK438" s="774"/>
      <c r="BL438" s="774"/>
      <c r="BM438" s="774"/>
      <c r="BN438" s="1516"/>
      <c r="BO438" s="774"/>
      <c r="BP438" s="774"/>
      <c r="BQ438" s="774"/>
      <c r="BR438" s="774"/>
      <c r="BS438" s="1516"/>
      <c r="BT438" s="774"/>
      <c r="BU438" s="774"/>
      <c r="BV438" s="774"/>
      <c r="BW438" s="774"/>
      <c r="BX438" s="1516"/>
      <c r="BY438" s="774"/>
      <c r="BZ438" s="774"/>
      <c r="CA438" s="774"/>
      <c r="CB438" s="2404">
        <f>AVERAGE(Rooms!CC520:CD520)*CB$97/1000000*RevPAR!CB$4</f>
        <v>72.709753105440001</v>
      </c>
      <c r="CC438" s="1516"/>
      <c r="CD438" s="2404">
        <f>AVERAGE(Rooms!CE520:CF520)*CD$97/1000000*RevPAR!CD$4</f>
        <v>56.085511555710006</v>
      </c>
      <c r="CE438" s="2404">
        <f>AVERAGE(Rooms!CF520:CG520)*CE$97/1000000*RevPAR!CE$4</f>
        <v>71.12736273006</v>
      </c>
      <c r="CF438" s="2404">
        <f>AVERAGE(Rooms!CG520:CH520)*CF$97/1000000*RevPAR!CF$4</f>
        <v>71.90683645099422</v>
      </c>
      <c r="CG438" s="2404"/>
      <c r="CH438" s="2406"/>
      <c r="CI438" s="2404"/>
      <c r="CJ438" s="2404"/>
      <c r="CK438" s="2404"/>
      <c r="CL438" s="2404"/>
      <c r="CM438" s="2406"/>
      <c r="CN438" s="2404"/>
      <c r="CO438" s="2404"/>
      <c r="CP438" s="2404"/>
      <c r="CQ438" s="3044"/>
      <c r="CR438" s="2404"/>
      <c r="CS438" s="2406"/>
      <c r="CT438" s="2406"/>
      <c r="CV438"/>
      <c r="CW438"/>
      <c r="CX438"/>
      <c r="DA438" s="212"/>
      <c r="DB438" s="1226"/>
    </row>
    <row r="439" spans="1:106" s="207" customFormat="1" x14ac:dyDescent="0.2">
      <c r="A439" s="3039" t="s">
        <v>2464</v>
      </c>
      <c r="B439" s="777"/>
      <c r="C439" s="777"/>
      <c r="D439" s="777"/>
      <c r="E439" s="777"/>
      <c r="F439" s="235"/>
      <c r="G439" s="777"/>
      <c r="H439" s="777"/>
      <c r="I439" s="777"/>
      <c r="J439" s="777"/>
      <c r="K439" s="235"/>
      <c r="L439" s="777"/>
      <c r="M439" s="777"/>
      <c r="N439" s="777"/>
      <c r="O439" s="777"/>
      <c r="P439" s="631"/>
      <c r="Q439" s="777"/>
      <c r="R439" s="777"/>
      <c r="S439" s="777"/>
      <c r="T439" s="777"/>
      <c r="U439" s="631"/>
      <c r="V439" s="777"/>
      <c r="W439" s="777"/>
      <c r="X439" s="777"/>
      <c r="Y439" s="777"/>
      <c r="Z439" s="631"/>
      <c r="AA439" s="275"/>
      <c r="AB439" s="275"/>
      <c r="AC439" s="275"/>
      <c r="AD439" s="275"/>
      <c r="AE439" s="631"/>
      <c r="AF439" s="275"/>
      <c r="AG439" s="275"/>
      <c r="AH439" s="275"/>
      <c r="AI439" s="275"/>
      <c r="AJ439" s="631"/>
      <c r="AK439" s="774"/>
      <c r="AL439" s="774"/>
      <c r="AM439" s="774"/>
      <c r="AN439" s="774"/>
      <c r="AO439" s="1516"/>
      <c r="AP439" s="774"/>
      <c r="AQ439" s="774"/>
      <c r="AR439" s="774"/>
      <c r="AS439" s="774"/>
      <c r="AT439" s="1516"/>
      <c r="AU439" s="774"/>
      <c r="AV439" s="774"/>
      <c r="AW439" s="774"/>
      <c r="AX439" s="774"/>
      <c r="AY439" s="1516"/>
      <c r="AZ439" s="774"/>
      <c r="BA439" s="774"/>
      <c r="BB439" s="774"/>
      <c r="BC439" s="774"/>
      <c r="BD439" s="1516"/>
      <c r="BE439" s="774"/>
      <c r="BF439" s="774"/>
      <c r="BG439" s="774"/>
      <c r="BH439" s="774"/>
      <c r="BI439" s="1516"/>
      <c r="BJ439" s="774"/>
      <c r="BK439" s="774"/>
      <c r="BL439" s="774"/>
      <c r="BM439" s="774"/>
      <c r="BN439" s="1516"/>
      <c r="BO439" s="774"/>
      <c r="BP439" s="774"/>
      <c r="BQ439" s="774"/>
      <c r="BR439" s="774"/>
      <c r="BS439" s="1516"/>
      <c r="BT439" s="774"/>
      <c r="BU439" s="774"/>
      <c r="BV439" s="774"/>
      <c r="BW439" s="774"/>
      <c r="BX439" s="1516"/>
      <c r="BY439" s="774"/>
      <c r="BZ439" s="774"/>
      <c r="CA439" s="774"/>
      <c r="CB439" s="2404">
        <f>AVERAGE(Rooms!CC521:CD521)*CB$103/1000000*RevPAR!CB$4</f>
        <v>96.028783354639998</v>
      </c>
      <c r="CC439" s="1516"/>
      <c r="CD439" s="2404">
        <f>AVERAGE(Rooms!CE521:CF521)*CD$103/1000000*RevPAR!CD$4</f>
        <v>96.817792223879991</v>
      </c>
      <c r="CE439" s="2404">
        <f>AVERAGE(Rooms!CF521:CG521)*CE$103/1000000*RevPAR!CE$4</f>
        <v>116.92502489303999</v>
      </c>
      <c r="CF439" s="2404">
        <f>AVERAGE(Rooms!CG521:CH521)*CF$103/1000000*RevPAR!CF$4</f>
        <v>119.71753720752839</v>
      </c>
      <c r="CG439" s="2404"/>
      <c r="CH439" s="2406"/>
      <c r="CI439" s="2404"/>
      <c r="CJ439" s="2404"/>
      <c r="CK439" s="2404"/>
      <c r="CL439" s="2404"/>
      <c r="CM439" s="2406"/>
      <c r="CN439" s="2404"/>
      <c r="CO439" s="2404"/>
      <c r="CP439" s="2404"/>
      <c r="CQ439" s="3044"/>
      <c r="CR439" s="2404"/>
      <c r="CS439" s="2406"/>
      <c r="CT439" s="2406"/>
      <c r="CV439"/>
      <c r="CW439"/>
      <c r="CX439"/>
      <c r="DA439" s="212"/>
      <c r="DB439" s="1226"/>
    </row>
    <row r="440" spans="1:106" s="207" customFormat="1" x14ac:dyDescent="0.2">
      <c r="A440" s="3039" t="s">
        <v>2462</v>
      </c>
      <c r="B440" s="777"/>
      <c r="C440" s="777"/>
      <c r="D440" s="777"/>
      <c r="E440" s="777"/>
      <c r="F440" s="235"/>
      <c r="G440" s="777"/>
      <c r="H440" s="777"/>
      <c r="I440" s="777"/>
      <c r="J440" s="777"/>
      <c r="K440" s="235"/>
      <c r="L440" s="777"/>
      <c r="M440" s="777"/>
      <c r="N440" s="777"/>
      <c r="O440" s="777"/>
      <c r="P440" s="631"/>
      <c r="Q440" s="777"/>
      <c r="R440" s="777"/>
      <c r="S440" s="777"/>
      <c r="T440" s="777"/>
      <c r="U440" s="631"/>
      <c r="V440" s="777"/>
      <c r="W440" s="777"/>
      <c r="X440" s="777"/>
      <c r="Y440" s="777"/>
      <c r="Z440" s="631"/>
      <c r="AA440" s="275"/>
      <c r="AB440" s="275"/>
      <c r="AC440" s="275"/>
      <c r="AD440" s="275"/>
      <c r="AE440" s="631"/>
      <c r="AF440" s="275"/>
      <c r="AG440" s="275"/>
      <c r="AH440" s="275"/>
      <c r="AI440" s="275"/>
      <c r="AJ440" s="631"/>
      <c r="AK440" s="774"/>
      <c r="AL440" s="774"/>
      <c r="AM440" s="774"/>
      <c r="AN440" s="774"/>
      <c r="AO440" s="1516"/>
      <c r="AP440" s="774"/>
      <c r="AQ440" s="774"/>
      <c r="AR440" s="774"/>
      <c r="AS440" s="774"/>
      <c r="AT440" s="1516"/>
      <c r="AU440" s="774"/>
      <c r="AV440" s="774"/>
      <c r="AW440" s="774"/>
      <c r="AX440" s="774"/>
      <c r="AY440" s="1516"/>
      <c r="AZ440" s="774"/>
      <c r="BA440" s="774"/>
      <c r="BB440" s="774"/>
      <c r="BC440" s="774"/>
      <c r="BD440" s="1516"/>
      <c r="BE440" s="774"/>
      <c r="BF440" s="774"/>
      <c r="BG440" s="774"/>
      <c r="BH440" s="774"/>
      <c r="BI440" s="1516"/>
      <c r="BJ440" s="774"/>
      <c r="BK440" s="774"/>
      <c r="BL440" s="774"/>
      <c r="BM440" s="774"/>
      <c r="BN440" s="1516"/>
      <c r="BO440" s="774"/>
      <c r="BP440" s="774"/>
      <c r="BQ440" s="774"/>
      <c r="BR440" s="774"/>
      <c r="BS440" s="1516"/>
      <c r="BT440" s="774"/>
      <c r="BU440" s="774"/>
      <c r="BV440" s="774"/>
      <c r="BW440" s="774"/>
      <c r="BX440" s="1516"/>
      <c r="BY440" s="774"/>
      <c r="BZ440" s="774"/>
      <c r="CA440" s="774"/>
      <c r="CB440" s="2404">
        <f>AVERAGE(Rooms!CC522:CD522)*CB$103/1000000*RevPAR!CB$4</f>
        <v>23.872045552459998</v>
      </c>
      <c r="CC440" s="1516"/>
      <c r="CD440" s="2404">
        <f>AVERAGE(Rooms!CE522:CF522)*CD$103/1000000*RevPAR!CD$4</f>
        <v>23.82150807036</v>
      </c>
      <c r="CE440" s="2404">
        <f>AVERAGE(Rooms!CF522:CG522)*CE$103/1000000*RevPAR!CE$4</f>
        <v>27.837332162639999</v>
      </c>
      <c r="CF440" s="2404">
        <f>AVERAGE(Rooms!CG522:CH522)*CF$103/1000000*RevPAR!CF$4</f>
        <v>27.853974952372798</v>
      </c>
      <c r="CG440" s="2404"/>
      <c r="CH440" s="2406"/>
      <c r="CI440" s="2404"/>
      <c r="CJ440" s="2404"/>
      <c r="CK440" s="2404"/>
      <c r="CL440" s="2404"/>
      <c r="CM440" s="2406"/>
      <c r="CN440" s="2404"/>
      <c r="CO440" s="2404"/>
      <c r="CP440" s="2404"/>
      <c r="CQ440" s="2404"/>
      <c r="CR440" s="2406"/>
      <c r="CS440" s="2406"/>
      <c r="CT440" s="2406"/>
      <c r="CV440"/>
      <c r="CW440"/>
      <c r="CX440"/>
      <c r="DA440" s="212"/>
      <c r="DB440" s="1226"/>
    </row>
    <row r="441" spans="1:106" s="207" customFormat="1" x14ac:dyDescent="0.2">
      <c r="A441" s="3039" t="s">
        <v>1931</v>
      </c>
      <c r="B441" s="777"/>
      <c r="C441" s="777"/>
      <c r="D441" s="777"/>
      <c r="E441" s="777"/>
      <c r="F441" s="235"/>
      <c r="G441" s="777"/>
      <c r="H441" s="777"/>
      <c r="I441" s="777"/>
      <c r="J441" s="777"/>
      <c r="K441" s="235"/>
      <c r="L441" s="777"/>
      <c r="M441" s="777"/>
      <c r="N441" s="777"/>
      <c r="O441" s="777"/>
      <c r="P441" s="631"/>
      <c r="Q441" s="777"/>
      <c r="R441" s="777"/>
      <c r="S441" s="777"/>
      <c r="T441" s="777"/>
      <c r="U441" s="631"/>
      <c r="V441" s="777"/>
      <c r="W441" s="777"/>
      <c r="X441" s="777"/>
      <c r="Y441" s="777"/>
      <c r="Z441" s="631"/>
      <c r="AA441" s="275"/>
      <c r="AB441" s="275"/>
      <c r="AC441" s="275"/>
      <c r="AD441" s="275"/>
      <c r="AE441" s="631"/>
      <c r="AF441" s="275"/>
      <c r="AG441" s="275"/>
      <c r="AH441" s="275"/>
      <c r="AI441" s="275"/>
      <c r="AJ441" s="631"/>
      <c r="AK441" s="774"/>
      <c r="AL441" s="774"/>
      <c r="AM441" s="774"/>
      <c r="AN441" s="774"/>
      <c r="AO441" s="1516"/>
      <c r="AP441" s="774"/>
      <c r="AQ441" s="774"/>
      <c r="AR441" s="774"/>
      <c r="AS441" s="774"/>
      <c r="AT441" s="1516"/>
      <c r="AU441" s="774"/>
      <c r="AV441" s="774"/>
      <c r="AW441" s="774"/>
      <c r="AX441" s="774"/>
      <c r="AY441" s="1516"/>
      <c r="AZ441" s="774"/>
      <c r="BA441" s="774"/>
      <c r="BB441" s="774"/>
      <c r="BC441" s="774"/>
      <c r="BD441" s="1516"/>
      <c r="BE441" s="774"/>
      <c r="BF441" s="774"/>
      <c r="BG441" s="774"/>
      <c r="BH441" s="774"/>
      <c r="BI441" s="1516"/>
      <c r="BJ441" s="774"/>
      <c r="BK441" s="774"/>
      <c r="BL441" s="774"/>
      <c r="BM441" s="774"/>
      <c r="BN441" s="1516"/>
      <c r="BO441" s="774"/>
      <c r="BP441" s="774"/>
      <c r="BQ441" s="774"/>
      <c r="BR441" s="774"/>
      <c r="BS441" s="1516"/>
      <c r="BT441" s="774"/>
      <c r="BU441" s="774"/>
      <c r="BV441" s="774"/>
      <c r="BW441" s="774"/>
      <c r="BX441" s="1516"/>
      <c r="BY441" s="774"/>
      <c r="BZ441" s="774"/>
      <c r="CA441" s="774"/>
      <c r="CB441" s="2404">
        <f>AVERAGE(Rooms!CC523:CD523)*CB$105/1000000*RevPAR!CB$4</f>
        <v>0</v>
      </c>
      <c r="CC441" s="1516"/>
      <c r="CD441" s="2404">
        <f>AVERAGE(Rooms!CE523:CF523)*CD$105/1000000*RevPAR!CD$4</f>
        <v>27.880681876320001</v>
      </c>
      <c r="CE441" s="2404">
        <f>AVERAGE(Rooms!CF523:CG523)*CE$105/1000000*RevPAR!CE$4</f>
        <v>33.469731800960005</v>
      </c>
      <c r="CF441" s="2404">
        <f>AVERAGE(Rooms!CG523:CH523)*CF$105/1000000*RevPAR!CF$4</f>
        <v>38.025992223991118</v>
      </c>
      <c r="CG441" s="2404"/>
      <c r="CH441" s="2406"/>
      <c r="CI441" s="2404"/>
      <c r="CJ441" s="2404"/>
      <c r="CK441" s="2404"/>
      <c r="CL441" s="2404"/>
      <c r="CM441" s="2406"/>
      <c r="CN441" s="2404"/>
      <c r="CO441" s="2404"/>
      <c r="CP441" s="2404"/>
      <c r="CQ441" s="2404"/>
      <c r="CR441" s="2406"/>
      <c r="CS441" s="2406"/>
      <c r="CT441" s="2406"/>
      <c r="CV441"/>
      <c r="CW441"/>
      <c r="CX441"/>
      <c r="DA441" s="212"/>
      <c r="DB441" s="1226"/>
    </row>
    <row r="442" spans="1:106" s="207" customFormat="1" x14ac:dyDescent="0.2">
      <c r="A442" s="1437" t="s">
        <v>76</v>
      </c>
      <c r="B442" s="777"/>
      <c r="C442" s="777"/>
      <c r="D442" s="777"/>
      <c r="E442" s="777"/>
      <c r="F442" s="235"/>
      <c r="G442" s="777"/>
      <c r="H442" s="777"/>
      <c r="I442" s="777"/>
      <c r="J442" s="777"/>
      <c r="K442" s="235"/>
      <c r="L442" s="777"/>
      <c r="M442" s="777"/>
      <c r="N442" s="777"/>
      <c r="O442" s="777"/>
      <c r="P442" s="631"/>
      <c r="Q442" s="777"/>
      <c r="R442" s="777"/>
      <c r="S442" s="777"/>
      <c r="T442" s="777"/>
      <c r="U442" s="631"/>
      <c r="V442" s="777"/>
      <c r="W442" s="777"/>
      <c r="X442" s="777"/>
      <c r="Y442" s="777"/>
      <c r="Z442" s="631"/>
      <c r="AA442" s="275"/>
      <c r="AB442" s="275"/>
      <c r="AC442" s="275"/>
      <c r="AD442" s="275"/>
      <c r="AE442" s="631"/>
      <c r="AF442" s="275"/>
      <c r="AG442" s="275"/>
      <c r="AH442" s="275"/>
      <c r="AI442" s="275"/>
      <c r="AJ442" s="631"/>
      <c r="AK442" s="1495">
        <f>SUM(AK422:AK430)</f>
        <v>1541.0276936963855</v>
      </c>
      <c r="AL442" s="1495">
        <f>SUM(AL422:AL430)</f>
        <v>1777.1767367331604</v>
      </c>
      <c r="AM442" s="1495">
        <f>SUM(AM422:AM430)</f>
        <v>1788.8649743445601</v>
      </c>
      <c r="AN442" s="1495">
        <f>SUM(AN422:AN430)</f>
        <v>2312.84177452725</v>
      </c>
      <c r="AO442" s="1570">
        <f>+SUM(AK442:AN442)</f>
        <v>7419.9111793013562</v>
      </c>
      <c r="AP442" s="1495">
        <f>SUM(AP422:AP430)</f>
        <v>1702.4658537339599</v>
      </c>
      <c r="AQ442" s="1495">
        <f>SUM(AQ422:AQ430)</f>
        <v>1934.9205440241601</v>
      </c>
      <c r="AR442" s="1495">
        <f>SUM(AR422:AR430)</f>
        <v>1908.97893682272</v>
      </c>
      <c r="AS442" s="1495">
        <f>SUM(AS422:AS430)</f>
        <v>2334.8861216027099</v>
      </c>
      <c r="AT442" s="1570">
        <f>+SUM(AP442:AS442)</f>
        <v>7881.2514561835496</v>
      </c>
      <c r="AU442" s="1495">
        <f>SUM(AU422:AU430)</f>
        <v>1552.9310766790798</v>
      </c>
      <c r="AV442" s="1495">
        <f>SUM(AV422:AV430)</f>
        <v>1672.2518602935597</v>
      </c>
      <c r="AW442" s="1495">
        <f>SUM(AW422:AW430)</f>
        <v>1711.4954179268398</v>
      </c>
      <c r="AX442" s="1495">
        <f>SUM(AX422:AX430)</f>
        <v>2114.1500423735997</v>
      </c>
      <c r="AY442" s="1570">
        <f>+SUM(AU442:AX442)</f>
        <v>7050.8283972730787</v>
      </c>
      <c r="AZ442" s="1495">
        <f>SUM(AZ422:AZ430)</f>
        <v>1642.9517940973199</v>
      </c>
      <c r="BA442" s="1495">
        <f>SUM(BA422:BA430)</f>
        <v>1926.0791011862395</v>
      </c>
      <c r="BB442" s="1495">
        <f>SUM(BB422:BB430)</f>
        <v>1937.63603801712</v>
      </c>
      <c r="BC442" s="1495">
        <f>SUM(BC422:BC430)</f>
        <v>2414.0710545638403</v>
      </c>
      <c r="BD442" s="1570">
        <f>+SUM(AZ442:BC442)</f>
        <v>7920.7379878645197</v>
      </c>
      <c r="BE442" s="1495">
        <f>SUM(BE422:BE430)</f>
        <v>1854.6187734673199</v>
      </c>
      <c r="BF442" s="1495">
        <f>SUM(BF422:BF430)</f>
        <v>2143.7710193079602</v>
      </c>
      <c r="BG442" s="1495">
        <f>SUM(BG422:BG430)</f>
        <v>2157.4614343548001</v>
      </c>
      <c r="BH442" s="1495">
        <f>SUM(BH422:BH430)</f>
        <v>2666.7695161962401</v>
      </c>
      <c r="BI442" s="1570">
        <f>+SUM(BE442:BH442)</f>
        <v>8822.6207433263207</v>
      </c>
      <c r="BJ442" s="1495">
        <f>SUM(BJ422:BJ430)</f>
        <v>2064.03479902452</v>
      </c>
      <c r="BK442" s="1495">
        <f>SUM(BK422:BK430)</f>
        <v>2391.2434325719801</v>
      </c>
      <c r="BL442" s="1495">
        <f>SUM(BL422:BL430)</f>
        <v>2393.0899878988198</v>
      </c>
      <c r="BM442" s="1495">
        <f>SUM(BM422:BM430)</f>
        <v>2947.284348526</v>
      </c>
      <c r="BN442" s="1570">
        <f>+SUM(BJ442:BM442)</f>
        <v>9795.6525680213199</v>
      </c>
      <c r="BO442" s="1495">
        <f>SUM(BO422:BO430)</f>
        <v>2458.2066237201202</v>
      </c>
      <c r="BP442" s="1495">
        <f>SUM(BP422:BP430)</f>
        <v>2837.745685408725</v>
      </c>
      <c r="BQ442" s="1495">
        <f>SUM(BQ422:BQ430)</f>
        <v>2839.6978609838002</v>
      </c>
      <c r="BR442" s="1495">
        <f>SUM(BR422:BR430)</f>
        <v>2565.0770169012799</v>
      </c>
      <c r="BS442" s="1570">
        <f>+SUM(BO442:BR442)</f>
        <v>10700.727187013925</v>
      </c>
      <c r="BT442" s="1495">
        <f>SUM(BT422:BT430)</f>
        <v>2709.9440702995503</v>
      </c>
      <c r="BU442" s="1495">
        <f>SUM(BU422:BU430)</f>
        <v>3178.3339970991701</v>
      </c>
      <c r="BV442" s="1495">
        <f>SUM(BV422:BV430)</f>
        <v>3245.0860668119199</v>
      </c>
      <c r="BW442" s="1495">
        <f>SUM(BW422:BW430)</f>
        <v>2909.1122719105406</v>
      </c>
      <c r="BX442" s="1570">
        <f>+SUM(BT442:BW442)</f>
        <v>12042.476406121181</v>
      </c>
      <c r="BY442" s="1495">
        <f>SUM(BY422:BY430)</f>
        <v>3124.5180360898503</v>
      </c>
      <c r="BZ442" s="1495">
        <f>SUM(BZ422:BZ430)</f>
        <v>3734.9708153284801</v>
      </c>
      <c r="CA442" s="1495">
        <f>SUM(CA422:CA430)</f>
        <v>3806.6280774209599</v>
      </c>
      <c r="CB442" s="1495">
        <f>SUM(CB422:CB430)</f>
        <v>3376.06571258534</v>
      </c>
      <c r="CC442" s="1570">
        <f>+SUM(BY442:CB442)</f>
        <v>14042.18264142463</v>
      </c>
      <c r="CD442" s="1495">
        <f>SUM(CD422:CD430)</f>
        <v>3514.4501501600403</v>
      </c>
      <c r="CE442" s="1495">
        <f>SUM(CE422:CE430)</f>
        <v>4101.6220521981249</v>
      </c>
      <c r="CF442" s="1495">
        <f>SUM(CF422:CF430)</f>
        <v>4098.3936070385407</v>
      </c>
      <c r="CG442" s="3071">
        <f>(Rooms!CI526)*CG$113/1000000*RevPAR!CG$4</f>
        <v>5225.4478678799996</v>
      </c>
      <c r="CH442" s="1496">
        <f>SUM(CD442:CG442)</f>
        <v>16939.913677276705</v>
      </c>
      <c r="CI442" s="1495">
        <f>AVERAGE(Rooms!CJ526:CK526)*CI$113/1000000*RevPAR!CI$4</f>
        <v>5290.5251349</v>
      </c>
      <c r="CJ442" s="1495">
        <f>AVERAGE(Rooms!CK526:CL526)*CJ$113/1000000*RevPAR!CJ$4</f>
        <v>6150.0830509299985</v>
      </c>
      <c r="CK442" s="1495">
        <f>AVERAGE(Rooms!CL526:CM526)*CK$113/1000000*RevPAR!CK$4</f>
        <v>6181.4739703200003</v>
      </c>
      <c r="CL442" s="1495">
        <f>AVERAGE(Rooms!CM526:CN526)*CL$113/1000000*RevPAR!CL$4</f>
        <v>5734.9615258999993</v>
      </c>
      <c r="CM442" s="1496">
        <f>SUM(CI442:CL442)</f>
        <v>23357.043682049996</v>
      </c>
      <c r="CN442" s="1495">
        <f>AVERAGE(Rooms!CO526:CP526)*CN$113/1000000*RevPAR!CN$4</f>
        <v>5758.9680863700341</v>
      </c>
      <c r="CO442" s="1495">
        <f>AVERAGE(Rooms!CP526:CQ526)*CO$113/1000000*RevPAR!CO$4</f>
        <v>6728.6714978506016</v>
      </c>
      <c r="CP442" s="1495">
        <f>AVERAGE(Rooms!CQ526:CR526)*CP$113/1000000*RevPAR!CP$4</f>
        <v>6713.3451826402579</v>
      </c>
      <c r="CQ442" s="1495">
        <f>AVERAGE(Rooms!CR526:CS526)*CQ$113/1000000*RevPAR!CQ$4</f>
        <v>6191.2128499378578</v>
      </c>
      <c r="CR442" s="1496">
        <f>SUM(CN442:CQ442)</f>
        <v>25392.197616798752</v>
      </c>
      <c r="CS442" s="1496">
        <f>AVERAGE(Rooms!CT526:CU526)*CS$113/1000000*RevPAR!CS$4</f>
        <v>27518.074145160655</v>
      </c>
      <c r="CT442" s="1496">
        <f>AVERAGE(Rooms!CU526:CV526)*CT$113/1000000*RevPAR!CT$4</f>
        <v>28068.337576388029</v>
      </c>
      <c r="CV442"/>
      <c r="CW442"/>
      <c r="CX442"/>
      <c r="DA442" s="212"/>
      <c r="DB442" s="1226"/>
    </row>
    <row r="443" spans="1:106" s="207" customFormat="1" x14ac:dyDescent="0.2">
      <c r="A443" s="1437" t="s">
        <v>2696</v>
      </c>
      <c r="B443" s="777"/>
      <c r="C443" s="777"/>
      <c r="D443" s="777"/>
      <c r="E443" s="777"/>
      <c r="F443" s="235"/>
      <c r="G443" s="777"/>
      <c r="H443" s="777"/>
      <c r="I443" s="777"/>
      <c r="J443" s="777"/>
      <c r="K443" s="235"/>
      <c r="L443" s="777"/>
      <c r="M443" s="777"/>
      <c r="N443" s="777"/>
      <c r="O443" s="777"/>
      <c r="P443" s="631"/>
      <c r="Q443" s="777"/>
      <c r="R443" s="777"/>
      <c r="S443" s="777"/>
      <c r="T443" s="777"/>
      <c r="U443" s="631"/>
      <c r="V443" s="777"/>
      <c r="W443" s="777"/>
      <c r="X443" s="777"/>
      <c r="Y443" s="777"/>
      <c r="Z443" s="631"/>
      <c r="AA443" s="275"/>
      <c r="AB443" s="275"/>
      <c r="AC443" s="275"/>
      <c r="AD443" s="275"/>
      <c r="AE443" s="631"/>
      <c r="AF443" s="275"/>
      <c r="AG443" s="275"/>
      <c r="AH443" s="275"/>
      <c r="AI443" s="275"/>
      <c r="AJ443" s="631"/>
      <c r="AK443" s="1495"/>
      <c r="AL443" s="1495"/>
      <c r="AM443" s="1495"/>
      <c r="AN443" s="1495"/>
      <c r="AO443" s="1570"/>
      <c r="AP443" s="1495"/>
      <c r="AQ443" s="1495"/>
      <c r="AR443" s="1495"/>
      <c r="AS443" s="1495"/>
      <c r="AT443" s="1570"/>
      <c r="AU443" s="1495"/>
      <c r="AV443" s="1495"/>
      <c r="AW443" s="1495"/>
      <c r="AX443" s="1495"/>
      <c r="AY443" s="1570"/>
      <c r="AZ443" s="1495"/>
      <c r="BA443" s="1495"/>
      <c r="BB443" s="1495"/>
      <c r="BC443" s="1495"/>
      <c r="BD443" s="1570"/>
      <c r="BE443" s="1495"/>
      <c r="BF443" s="1495"/>
      <c r="BG443" s="1495"/>
      <c r="BH443" s="1495"/>
      <c r="BI443" s="1570"/>
      <c r="BJ443" s="1495"/>
      <c r="BK443" s="1495"/>
      <c r="BL443" s="1495"/>
      <c r="BM443" s="1495"/>
      <c r="BN443" s="1570"/>
      <c r="BO443" s="1495"/>
      <c r="BP443" s="1495"/>
      <c r="BQ443" s="1495"/>
      <c r="BR443" s="1495"/>
      <c r="BS443" s="1570"/>
      <c r="BT443" s="1495"/>
      <c r="BU443" s="1495"/>
      <c r="BV443" s="1495"/>
      <c r="BW443" s="1495"/>
      <c r="BX443" s="1570"/>
      <c r="BY443" s="3291">
        <f>SUM(Rooms!CA495:CA524)*BY$113/1000000*RevPAR!BY$4</f>
        <v>4484.3697923753671</v>
      </c>
      <c r="BZ443" s="3291">
        <f>SUM(Rooms!CB495:CB524)*BZ$113/1000000*RevPAR!BZ$4</f>
        <v>5254.1904487306201</v>
      </c>
      <c r="CA443" s="3291">
        <f>SUM(Rooms!CC495:CC524)*CA$113/1000000*RevPAR!CA$4</f>
        <v>5296.303635555556</v>
      </c>
      <c r="CB443" s="3291">
        <f>SUM(Rooms!CD495:CD524)*CB$113/1000000*RevPAR!CB$4</f>
        <v>4825.2830708209704</v>
      </c>
      <c r="CC443" s="1496">
        <f>SUM(BY443:CB443)</f>
        <v>19860.146947482513</v>
      </c>
      <c r="CD443" s="3291">
        <f>SUM(Rooms!CF495:CF524)*CD$113/1000000*RevPAR!CD$4</f>
        <v>4958.2873267200002</v>
      </c>
      <c r="CE443" s="3291">
        <f>SUM(Rooms!CG495:CG524)*CE$113/1000000*RevPAR!CE$4</f>
        <v>5813.07376286</v>
      </c>
      <c r="CF443" s="3291">
        <f>SUM(Rooms!CH495:CH524)*CF$113/1000000*RevPAR!CF$4</f>
        <v>5807.7592008000001</v>
      </c>
      <c r="CG443" s="3071">
        <f>+CG442</f>
        <v>5225.4478678799996</v>
      </c>
      <c r="CH443" s="1496">
        <f>SUM(CD443:CG443)</f>
        <v>21804.568158260001</v>
      </c>
      <c r="CI443" s="1495"/>
      <c r="CJ443" s="1495"/>
      <c r="CK443" s="1495"/>
      <c r="CL443" s="1495"/>
      <c r="CM443" s="1496"/>
      <c r="CN443" s="1495"/>
      <c r="CO443" s="1495"/>
      <c r="CP443" s="1495"/>
      <c r="CQ443" s="1495"/>
      <c r="CR443" s="1496"/>
      <c r="CS443" s="1496"/>
      <c r="CT443" s="1496"/>
      <c r="CV443"/>
      <c r="CW443"/>
      <c r="CX443"/>
      <c r="DA443" s="212"/>
      <c r="DB443" s="1226"/>
    </row>
    <row r="444" spans="1:106" s="207" customFormat="1" x14ac:dyDescent="0.2">
      <c r="A444" s="1595" t="s">
        <v>652</v>
      </c>
      <c r="B444" s="777"/>
      <c r="C444" s="777"/>
      <c r="D444" s="777"/>
      <c r="E444" s="777"/>
      <c r="F444" s="235"/>
      <c r="G444" s="777"/>
      <c r="H444" s="777"/>
      <c r="I444" s="777"/>
      <c r="J444" s="777"/>
      <c r="K444" s="235"/>
      <c r="L444" s="777"/>
      <c r="M444" s="777"/>
      <c r="N444" s="777"/>
      <c r="O444" s="777"/>
      <c r="P444" s="631"/>
      <c r="Q444" s="777"/>
      <c r="R444" s="777"/>
      <c r="S444" s="777"/>
      <c r="T444" s="777"/>
      <c r="U444" s="631"/>
      <c r="V444" s="777"/>
      <c r="W444" s="777"/>
      <c r="X444" s="777"/>
      <c r="Y444" s="777"/>
      <c r="Z444" s="631"/>
      <c r="AA444" s="275"/>
      <c r="AB444" s="275"/>
      <c r="AC444" s="275"/>
      <c r="AD444" s="275"/>
      <c r="AE444" s="631"/>
      <c r="AF444" s="275"/>
      <c r="AG444" s="275"/>
      <c r="AH444" s="275"/>
      <c r="AI444" s="275"/>
      <c r="AJ444" s="631"/>
      <c r="AK444" s="275"/>
      <c r="AL444" s="275"/>
      <c r="AM444" s="275"/>
      <c r="AN444" s="275"/>
      <c r="AO444" s="631"/>
      <c r="AP444" s="899">
        <f t="shared" ref="AP444:BT444" si="335">+AP442/AK442-1</f>
        <v>0.1047600641428712</v>
      </c>
      <c r="AQ444" s="899">
        <f t="shared" si="335"/>
        <v>8.8760900382348851E-2</v>
      </c>
      <c r="AR444" s="899">
        <f t="shared" si="335"/>
        <v>6.7145348699205076E-2</v>
      </c>
      <c r="AS444" s="899">
        <f t="shared" si="335"/>
        <v>9.5312819572215268E-3</v>
      </c>
      <c r="AT444" s="1003">
        <f t="shared" si="335"/>
        <v>6.2175983746160179E-2</v>
      </c>
      <c r="AU444" s="899">
        <f t="shared" si="335"/>
        <v>-8.7834229818419374E-2</v>
      </c>
      <c r="AV444" s="899">
        <f t="shared" si="335"/>
        <v>-0.13575166408865247</v>
      </c>
      <c r="AW444" s="899">
        <f t="shared" si="335"/>
        <v>-0.10344981554619415</v>
      </c>
      <c r="AX444" s="899">
        <f t="shared" si="335"/>
        <v>-9.4538263423996294E-2</v>
      </c>
      <c r="AY444" s="1003">
        <f t="shared" si="335"/>
        <v>-0.10536690315329678</v>
      </c>
      <c r="AZ444" s="899">
        <f t="shared" si="335"/>
        <v>5.7968263221796157E-2</v>
      </c>
      <c r="BA444" s="899">
        <f t="shared" si="335"/>
        <v>0.15178768636449358</v>
      </c>
      <c r="BB444" s="899">
        <f t="shared" si="335"/>
        <v>0.13213042683117893</v>
      </c>
      <c r="BC444" s="899">
        <f t="shared" si="335"/>
        <v>0.14186363606128594</v>
      </c>
      <c r="BD444" s="1003">
        <f t="shared" si="335"/>
        <v>0.12337693411002326</v>
      </c>
      <c r="BE444" s="899">
        <f t="shared" si="335"/>
        <v>0.12883334747279984</v>
      </c>
      <c r="BF444" s="899">
        <f t="shared" si="335"/>
        <v>0.11302335298049182</v>
      </c>
      <c r="BG444" s="899">
        <f t="shared" si="335"/>
        <v>0.11345030337206086</v>
      </c>
      <c r="BH444" s="899">
        <f t="shared" si="335"/>
        <v>0.10467730896100558</v>
      </c>
      <c r="BI444" s="1003">
        <f t="shared" si="335"/>
        <v>0.11386347545438169</v>
      </c>
      <c r="BJ444" s="899">
        <f t="shared" si="335"/>
        <v>0.11291594183837805</v>
      </c>
      <c r="BK444" s="899">
        <f t="shared" si="335"/>
        <v>0.11543789473556165</v>
      </c>
      <c r="BL444" s="899">
        <f t="shared" si="335"/>
        <v>0.10921565029712132</v>
      </c>
      <c r="BM444" s="899">
        <f t="shared" si="335"/>
        <v>0.10518900513377449</v>
      </c>
      <c r="BN444" s="1003">
        <f t="shared" si="335"/>
        <v>0.1102882978882469</v>
      </c>
      <c r="BO444" s="899">
        <f t="shared" si="335"/>
        <v>0.19097150148916531</v>
      </c>
      <c r="BP444" s="899">
        <f t="shared" si="335"/>
        <v>0.18672388045264587</v>
      </c>
      <c r="BQ444" s="899">
        <f t="shared" si="335"/>
        <v>0.18662393614253969</v>
      </c>
      <c r="BR444" s="899">
        <f t="shared" si="335"/>
        <v>-0.12968118662044614</v>
      </c>
      <c r="BS444" s="1003">
        <f t="shared" si="335"/>
        <v>9.2395541053313046E-2</v>
      </c>
      <c r="BT444" s="899">
        <f t="shared" si="335"/>
        <v>0.10240695153545065</v>
      </c>
      <c r="BU444" s="899">
        <f t="shared" ref="BU444:CC444" si="336">+BU442/BP442-1</f>
        <v>0.12002073104778233</v>
      </c>
      <c r="BV444" s="899">
        <f t="shared" si="336"/>
        <v>0.14275751353620225</v>
      </c>
      <c r="BW444" s="899">
        <f>+BW442/BR442-1</f>
        <v>0.13412277789025984</v>
      </c>
      <c r="BX444" s="1003">
        <f>+BX442/BS442-1</f>
        <v>0.12538860169573907</v>
      </c>
      <c r="BY444" s="899">
        <f>+BY442/BT442-1</f>
        <v>0.15298248046295448</v>
      </c>
      <c r="BZ444" s="899">
        <f t="shared" si="336"/>
        <v>0.17513477776009267</v>
      </c>
      <c r="CA444" s="899">
        <f t="shared" si="336"/>
        <v>0.17304379577233142</v>
      </c>
      <c r="CB444" s="899">
        <f t="shared" si="336"/>
        <v>0.16051406650185096</v>
      </c>
      <c r="CC444" s="1003">
        <f t="shared" si="336"/>
        <v>0.16605440341880184</v>
      </c>
      <c r="CD444" s="899">
        <f t="shared" ref="CD444:CM444" si="337">+CD442/BY442-1</f>
        <v>0.12479752383128084</v>
      </c>
      <c r="CE444" s="899">
        <f t="shared" si="337"/>
        <v>9.8167095540584226E-2</v>
      </c>
      <c r="CF444" s="899">
        <f t="shared" si="337"/>
        <v>7.6646712965784625E-2</v>
      </c>
      <c r="CG444" s="899">
        <f t="shared" si="337"/>
        <v>0.54779210854827554</v>
      </c>
      <c r="CH444" s="1003">
        <f t="shared" si="337"/>
        <v>0.20635901909605781</v>
      </c>
      <c r="CI444" s="899">
        <f t="shared" si="337"/>
        <v>0.50536354446771181</v>
      </c>
      <c r="CJ444" s="899">
        <f t="shared" si="337"/>
        <v>0.49942704926556325</v>
      </c>
      <c r="CK444" s="899">
        <f t="shared" si="337"/>
        <v>0.50826752211012582</v>
      </c>
      <c r="CL444" s="1268">
        <f t="shared" si="337"/>
        <v>9.7506217821423435E-2</v>
      </c>
      <c r="CM444" s="1003">
        <f t="shared" si="337"/>
        <v>0.37881716087970774</v>
      </c>
      <c r="CN444" s="899">
        <f>+CN442/CI442-1</f>
        <v>8.8543753129506353E-2</v>
      </c>
      <c r="CO444" s="899">
        <f>+CO442/CJ442-1</f>
        <v>9.4078151811805233E-2</v>
      </c>
      <c r="CP444" s="899">
        <f>+CP442/CK442-1</f>
        <v>8.6042781199760388E-2</v>
      </c>
      <c r="CQ444" s="899">
        <f>+CQ442/CL442-1</f>
        <v>7.9556126397248628E-2</v>
      </c>
      <c r="CR444" s="1003">
        <f>+CR442/CM442-1</f>
        <v>8.7132342707942234E-2</v>
      </c>
      <c r="CS444" s="1003">
        <f>+CS442/CR442-1</f>
        <v>8.3721643964974612E-2</v>
      </c>
      <c r="CT444" s="1003">
        <f>+CT442/CS442-1</f>
        <v>1.999643682638097E-2</v>
      </c>
      <c r="CV444"/>
      <c r="CW444"/>
      <c r="CX444"/>
      <c r="DA444" s="212"/>
      <c r="DB444" s="1226"/>
    </row>
    <row r="445" spans="1:106" s="207" customFormat="1" x14ac:dyDescent="0.2">
      <c r="A445" s="1595" t="s">
        <v>2541</v>
      </c>
      <c r="B445" s="777"/>
      <c r="C445" s="777"/>
      <c r="D445" s="777"/>
      <c r="E445" s="777"/>
      <c r="F445" s="235"/>
      <c r="G445" s="777"/>
      <c r="H445" s="777"/>
      <c r="I445" s="777"/>
      <c r="J445" s="777"/>
      <c r="K445" s="235"/>
      <c r="L445" s="777"/>
      <c r="M445" s="777"/>
      <c r="N445" s="777"/>
      <c r="O445" s="777"/>
      <c r="P445" s="631"/>
      <c r="Q445" s="777"/>
      <c r="R445" s="777"/>
      <c r="S445" s="777"/>
      <c r="T445" s="777"/>
      <c r="U445" s="631"/>
      <c r="V445" s="777"/>
      <c r="W445" s="777"/>
      <c r="X445" s="777"/>
      <c r="Y445" s="777"/>
      <c r="Z445" s="631"/>
      <c r="AA445" s="275"/>
      <c r="AB445" s="275"/>
      <c r="AC445" s="275"/>
      <c r="AD445" s="275"/>
      <c r="AE445" s="631"/>
      <c r="AF445" s="275"/>
      <c r="AG445" s="275"/>
      <c r="AH445" s="275"/>
      <c r="AI445" s="275"/>
      <c r="AJ445" s="631"/>
      <c r="AK445" s="275"/>
      <c r="AL445" s="275"/>
      <c r="AM445" s="275"/>
      <c r="AN445" s="275"/>
      <c r="AO445" s="631"/>
      <c r="AP445" s="899"/>
      <c r="AQ445" s="899"/>
      <c r="AR445" s="899"/>
      <c r="AS445" s="899"/>
      <c r="AT445" s="1003"/>
      <c r="AU445" s="899"/>
      <c r="AV445" s="899"/>
      <c r="AW445" s="899"/>
      <c r="AX445" s="899"/>
      <c r="AY445" s="1003"/>
      <c r="AZ445" s="899"/>
      <c r="BA445" s="899"/>
      <c r="BB445" s="899"/>
      <c r="BC445" s="899"/>
      <c r="BD445" s="1003"/>
      <c r="BE445" s="899"/>
      <c r="BF445" s="899"/>
      <c r="BG445" s="899"/>
      <c r="BH445" s="899"/>
      <c r="BI445" s="1003"/>
      <c r="BJ445" s="899"/>
      <c r="BK445" s="899"/>
      <c r="BL445" s="899"/>
      <c r="BM445" s="899"/>
      <c r="BN445" s="1003"/>
      <c r="BO445" s="899"/>
      <c r="BP445" s="899"/>
      <c r="BQ445" s="899"/>
      <c r="BR445" s="899"/>
      <c r="BS445" s="1003"/>
      <c r="BT445" s="899"/>
      <c r="BU445" s="899"/>
      <c r="BV445" s="899"/>
      <c r="BW445" s="899"/>
      <c r="BX445" s="1003"/>
      <c r="BY445" s="899"/>
      <c r="BZ445" s="899"/>
      <c r="CA445" s="899"/>
      <c r="CB445" s="899"/>
      <c r="CC445" s="1003"/>
      <c r="CD445" s="899">
        <f>+CD443/BY443-1</f>
        <v>0.1056820816049604</v>
      </c>
      <c r="CE445" s="899">
        <f>+CE443/BZ443-1</f>
        <v>0.10636906286189207</v>
      </c>
      <c r="CF445" s="899">
        <f>+CF443/CA443-1</f>
        <v>9.6568399479761924E-2</v>
      </c>
      <c r="CG445" s="899">
        <f>+CG443/CB443-1</f>
        <v>8.2930843887454087E-2</v>
      </c>
      <c r="CH445" s="1003">
        <f>+CH443/CC443-1</f>
        <v>9.7905680955898688E-2</v>
      </c>
      <c r="CI445" s="899">
        <f>+CI442/CD443-1</f>
        <v>6.7006566237011844E-2</v>
      </c>
      <c r="CJ445" s="899">
        <f>+CJ442/CE443-1</f>
        <v>5.7974369811573112E-2</v>
      </c>
      <c r="CK445" s="899">
        <f>+CK442/CF443-1</f>
        <v>6.4347497304730217E-2</v>
      </c>
      <c r="CL445" s="899">
        <f>+CL442/CG443-1</f>
        <v>9.7506217821423435E-2</v>
      </c>
      <c r="CM445" s="1003">
        <f>+CM442/CH443-1</f>
        <v>7.119955380551235E-2</v>
      </c>
      <c r="CN445" s="899"/>
      <c r="CO445" s="899"/>
      <c r="CP445" s="899"/>
      <c r="CQ445" s="899"/>
      <c r="CR445" s="1003">
        <f>+CR442/CM442-1</f>
        <v>8.7132342707942234E-2</v>
      </c>
      <c r="CS445" s="1268"/>
      <c r="CT445" s="1268"/>
      <c r="CV445"/>
      <c r="CW445"/>
      <c r="CX445"/>
      <c r="DA445" s="212"/>
      <c r="DB445" s="1226"/>
    </row>
    <row r="446" spans="1:106" s="207" customFormat="1" x14ac:dyDescent="0.2">
      <c r="A446" s="1571"/>
      <c r="B446" s="777"/>
      <c r="C446" s="777"/>
      <c r="D446" s="777"/>
      <c r="E446" s="777"/>
      <c r="F446" s="235"/>
      <c r="G446" s="777"/>
      <c r="H446" s="777"/>
      <c r="I446" s="777"/>
      <c r="J446" s="777"/>
      <c r="K446" s="235"/>
      <c r="L446" s="777"/>
      <c r="M446" s="777"/>
      <c r="N446" s="777"/>
      <c r="O446" s="777"/>
      <c r="P446" s="631"/>
      <c r="Q446" s="777"/>
      <c r="R446" s="777"/>
      <c r="S446" s="777"/>
      <c r="T446" s="777"/>
      <c r="U446" s="631"/>
      <c r="V446" s="777"/>
      <c r="W446" s="777"/>
      <c r="X446" s="777"/>
      <c r="Y446" s="777"/>
      <c r="Z446" s="631"/>
      <c r="AA446" s="275"/>
      <c r="AB446" s="275"/>
      <c r="AC446" s="275"/>
      <c r="AD446" s="275"/>
      <c r="AE446" s="631"/>
      <c r="AF446" s="275"/>
      <c r="AG446" s="275"/>
      <c r="AH446" s="275"/>
      <c r="AI446" s="275"/>
      <c r="AJ446" s="631"/>
      <c r="AK446" s="275"/>
      <c r="AL446" s="275"/>
      <c r="AM446" s="275"/>
      <c r="AN446" s="275"/>
      <c r="AO446" s="631"/>
      <c r="AP446" s="275"/>
      <c r="AQ446" s="275"/>
      <c r="AR446" s="275"/>
      <c r="AS446" s="275"/>
      <c r="AT446" s="631"/>
      <c r="AU446" s="275"/>
      <c r="AV446" s="275"/>
      <c r="AW446" s="275"/>
      <c r="AX446" s="275"/>
      <c r="AY446" s="631"/>
      <c r="AZ446" s="275"/>
      <c r="BA446" s="275"/>
      <c r="BB446" s="275"/>
      <c r="BC446" s="275"/>
      <c r="BD446" s="631"/>
      <c r="BE446" s="275"/>
      <c r="BF446" s="275"/>
      <c r="BG446" s="275"/>
      <c r="BH446" s="1608"/>
      <c r="BI446" s="631"/>
      <c r="BJ446" s="275"/>
      <c r="BK446" s="275"/>
      <c r="BL446" s="275"/>
      <c r="BM446" s="275"/>
      <c r="BN446" s="631"/>
      <c r="BO446" s="275"/>
      <c r="BP446" s="275"/>
      <c r="BQ446" s="275"/>
      <c r="BR446" s="275"/>
      <c r="BS446" s="631"/>
      <c r="BT446" s="275"/>
      <c r="BU446" s="275"/>
      <c r="BV446" s="275"/>
      <c r="BW446" s="275"/>
      <c r="BX446" s="631"/>
      <c r="BY446" s="275"/>
      <c r="BZ446" s="275"/>
      <c r="CA446" s="275"/>
      <c r="CB446" s="275"/>
      <c r="CC446" s="631"/>
      <c r="CD446" s="275"/>
      <c r="CE446" s="275"/>
      <c r="CF446" s="275"/>
      <c r="CG446" s="275"/>
      <c r="CH446" s="631"/>
      <c r="CI446" s="275"/>
      <c r="CJ446" s="275"/>
      <c r="CK446" s="275"/>
      <c r="CL446" s="630"/>
      <c r="CM446" s="631"/>
      <c r="CN446" s="275"/>
      <c r="CO446" s="275"/>
      <c r="CP446" s="275"/>
      <c r="CQ446" s="275"/>
      <c r="CR446" s="631"/>
      <c r="CS446" s="208"/>
      <c r="CT446" s="208"/>
      <c r="DA446" s="212"/>
      <c r="DB446" s="1226"/>
    </row>
    <row r="447" spans="1:106" s="207" customFormat="1" x14ac:dyDescent="0.2">
      <c r="A447" s="1437" t="s">
        <v>2062</v>
      </c>
      <c r="B447" s="777"/>
      <c r="C447" s="777"/>
      <c r="D447" s="777"/>
      <c r="E447" s="777"/>
      <c r="F447" s="235"/>
      <c r="G447" s="777"/>
      <c r="H447" s="777"/>
      <c r="I447" s="777"/>
      <c r="J447" s="777"/>
      <c r="K447" s="235"/>
      <c r="L447" s="777"/>
      <c r="M447" s="777"/>
      <c r="N447" s="777"/>
      <c r="O447" s="777"/>
      <c r="P447" s="631"/>
      <c r="Q447" s="777"/>
      <c r="R447" s="777"/>
      <c r="S447" s="777"/>
      <c r="T447" s="777"/>
      <c r="U447" s="631"/>
      <c r="V447" s="777"/>
      <c r="W447" s="777"/>
      <c r="X447" s="777"/>
      <c r="Y447" s="777"/>
      <c r="Z447" s="631"/>
      <c r="AA447" s="275"/>
      <c r="AB447" s="275"/>
      <c r="AC447" s="275"/>
      <c r="AD447" s="275"/>
      <c r="AE447" s="631"/>
      <c r="AF447" s="275"/>
      <c r="AG447" s="275"/>
      <c r="AH447" s="275"/>
      <c r="AI447" s="275"/>
      <c r="AJ447" s="631"/>
      <c r="AK447" s="275"/>
      <c r="AL447" s="275"/>
      <c r="AM447" s="275"/>
      <c r="AN447" s="275"/>
      <c r="AO447" s="631"/>
      <c r="AP447" s="275"/>
      <c r="AQ447" s="275"/>
      <c r="AR447" s="275"/>
      <c r="AS447" s="275"/>
      <c r="AT447" s="631"/>
      <c r="AU447" s="275"/>
      <c r="AV447" s="275"/>
      <c r="AW447" s="275"/>
      <c r="AX447" s="275"/>
      <c r="AY447" s="631"/>
      <c r="AZ447" s="275"/>
      <c r="BA447" s="275"/>
      <c r="BB447" s="275"/>
      <c r="BC447" s="275"/>
      <c r="BD447" s="631"/>
      <c r="BE447" s="275"/>
      <c r="BF447" s="275"/>
      <c r="BG447" s="275"/>
      <c r="BH447" s="275"/>
      <c r="BI447" s="631"/>
      <c r="BJ447" s="275"/>
      <c r="BK447" s="275"/>
      <c r="BL447" s="275"/>
      <c r="BM447" s="275"/>
      <c r="BN447" s="631"/>
      <c r="BO447" s="275"/>
      <c r="BP447" s="275"/>
      <c r="BQ447" s="275"/>
      <c r="BR447" s="275"/>
      <c r="BS447" s="631"/>
      <c r="BT447" s="275"/>
      <c r="BU447" s="275"/>
      <c r="BV447" s="275"/>
      <c r="BW447" s="275"/>
      <c r="BX447" s="631"/>
      <c r="BY447" s="275"/>
      <c r="BZ447" s="275"/>
      <c r="CA447" s="275"/>
      <c r="CB447" s="275"/>
      <c r="CC447" s="631"/>
      <c r="CD447" s="275"/>
      <c r="CE447" s="275"/>
      <c r="CF447" s="275"/>
      <c r="CG447" s="275"/>
      <c r="CH447" s="631"/>
      <c r="CI447" s="275"/>
      <c r="CJ447" s="275"/>
      <c r="CK447" s="275"/>
      <c r="CL447" s="630"/>
      <c r="CM447" s="631"/>
      <c r="CN447" s="275"/>
      <c r="CO447" s="275"/>
      <c r="CP447" s="275"/>
      <c r="CQ447" s="275"/>
      <c r="CR447" s="631"/>
      <c r="CS447" s="208"/>
      <c r="CT447" s="208"/>
      <c r="DA447" s="212"/>
      <c r="DB447" s="1226"/>
    </row>
    <row r="448" spans="1:106" s="207" customFormat="1" x14ac:dyDescent="0.2">
      <c r="A448" s="1434" t="s">
        <v>1644</v>
      </c>
      <c r="B448" s="777"/>
      <c r="C448" s="777"/>
      <c r="D448" s="777"/>
      <c r="E448" s="777"/>
      <c r="F448" s="235"/>
      <c r="G448" s="777"/>
      <c r="H448" s="777"/>
      <c r="I448" s="777"/>
      <c r="J448" s="777"/>
      <c r="K448" s="235"/>
      <c r="L448" s="777"/>
      <c r="M448" s="777"/>
      <c r="N448" s="777"/>
      <c r="O448" s="777"/>
      <c r="P448" s="631"/>
      <c r="Q448" s="777"/>
      <c r="R448" s="777"/>
      <c r="S448" s="777"/>
      <c r="T448" s="777"/>
      <c r="U448" s="631"/>
      <c r="V448" s="777"/>
      <c r="W448" s="777"/>
      <c r="X448" s="777"/>
      <c r="Y448" s="777"/>
      <c r="Z448" s="631"/>
      <c r="AA448" s="275"/>
      <c r="AB448" s="275"/>
      <c r="AC448" s="275"/>
      <c r="AD448" s="275"/>
      <c r="AE448" s="631"/>
      <c r="AF448" s="275"/>
      <c r="AG448" s="275"/>
      <c r="AH448" s="275"/>
      <c r="AI448" s="275"/>
      <c r="AJ448" s="631"/>
      <c r="AK448" s="1466">
        <f>AK222*(AVERAGE(AJ405:AK405)*AK$416)*AK$4/1000000</f>
        <v>0</v>
      </c>
      <c r="AL448" s="1466">
        <f>AL222*(AVERAGE(AK405:AL405)*AL$416)*AL$4/1000000</f>
        <v>0</v>
      </c>
      <c r="AM448" s="1466">
        <f>AM222*(AVERAGE(AL405:AM405)*AM$416)*AM$4/1000000</f>
        <v>0</v>
      </c>
      <c r="AN448" s="1466">
        <f>AN222*((AVERAGE(AM405:AN405)*AN$416)*AN$4)/1000000</f>
        <v>0</v>
      </c>
      <c r="AO448" s="1565">
        <f>SUM(AK448:AN448)</f>
        <v>0</v>
      </c>
      <c r="AP448" s="1466">
        <f>AP222*(AVERAGE(AO405:AP405)*AP$416)*AP$4/1000000</f>
        <v>45.028420106797832</v>
      </c>
      <c r="AQ448" s="1466">
        <f>AQ222*(AVERAGE(AP405:AQ405)*AQ$416)*AQ$4/1000000</f>
        <v>45.849572601777332</v>
      </c>
      <c r="AR448" s="1466">
        <f>AR222*(AVERAGE(AQ405:AR405)*AR$416)*AR$4/1000000</f>
        <v>38.380664897924284</v>
      </c>
      <c r="AS448" s="1466">
        <f>AS222*((AVERAGE(AR405:AS405)*AS$416)*AS$4)/1000000</f>
        <v>51.432577062959062</v>
      </c>
      <c r="AT448" s="1565">
        <f>SUM(AP448:AS448)</f>
        <v>180.69123466945851</v>
      </c>
      <c r="AU448" s="1466">
        <f>AU222*(AVERAGE(AT405:AU405)*AU$416)*AU$4/1000000</f>
        <v>38.660926490378941</v>
      </c>
      <c r="AV448" s="1466">
        <f>AV222*(AVERAGE(AU405:AV405)*AV$416)*AV$4/1000000</f>
        <v>35.421798990767932</v>
      </c>
      <c r="AW448" s="1466">
        <f>AW222*(AVERAGE(AV405:AW405)*AW$416)*AW$4/1000000</f>
        <v>30.11371066612061</v>
      </c>
      <c r="AX448" s="1466">
        <f>AX222*((AVERAGE(AW405:AX405)*AX$416)*AX$4)/1000000</f>
        <v>41.803937607485679</v>
      </c>
      <c r="AY448" s="1565">
        <f>SUM(AU448:AX448)</f>
        <v>146.00037375475316</v>
      </c>
      <c r="AZ448" s="1466">
        <f>AZ222*(AVERAGE(AY405:AZ405)*AZ$416)*AZ$4/1000000</f>
        <v>41.69377443162557</v>
      </c>
      <c r="BA448" s="1466">
        <f>BA222*(AVERAGE(AZ405:BA405)*BA$416)*BA$4/1000000</f>
        <v>43.142617980083173</v>
      </c>
      <c r="BB448" s="1466">
        <f>BB222*(AVERAGE(BA405:BB405)*BB$416)*BB$4/1000000</f>
        <v>36.309209729388748</v>
      </c>
      <c r="BC448" s="1466">
        <f>BC222*((AVERAGE(BB405:BC405)*BC$416)*BC$4)/1000000</f>
        <v>49.62113876993407</v>
      </c>
      <c r="BD448" s="1565">
        <f>SUM(AZ448:BC448)</f>
        <v>170.76674091103158</v>
      </c>
      <c r="BE448" s="1466">
        <f>BE222*(AVERAGE(BD405:BE405)*BE$416)*BE$4/1000000</f>
        <v>46.608400777764402</v>
      </c>
      <c r="BF448" s="1466">
        <f>BF222*(AVERAGE(BE405:BF405)*BF$416)*BF$4/1000000</f>
        <v>48.459769032626212</v>
      </c>
      <c r="BG448" s="1466">
        <f>BG222*(AVERAGE(BF405:BG405)*BG$416)*BG$4/1000000</f>
        <v>40.980019488292115</v>
      </c>
      <c r="BH448" s="1466">
        <f>BH222*((AVERAGE(BG405:BH405)*BH$416)*BH$4)/1000000</f>
        <v>55.595755788149106</v>
      </c>
      <c r="BI448" s="1565">
        <f>SUM(BE448:BH448)</f>
        <v>191.64394508683182</v>
      </c>
      <c r="BJ448" s="1466">
        <f>BJ222*(AVERAGE(BI405:BJ405)*BJ$416)*BJ$4/1000000</f>
        <v>52.014219890488434</v>
      </c>
      <c r="BK448" s="1466">
        <f>BK222*(AVERAGE(BJ405:BK405)*BK$416)*BK$4/1000000</f>
        <v>53.280839594460467</v>
      </c>
      <c r="BL448" s="1466">
        <f>BL222*(AVERAGE(BK405:BL405)*BL$416)*BL$4/1000000</f>
        <v>45.111189590275664</v>
      </c>
      <c r="BM448" s="1466">
        <f>BM222*((AVERAGE(BL405:BM405)*BM$416)*BM$4)/1000000</f>
        <v>61.148747546505611</v>
      </c>
      <c r="BN448" s="1565">
        <f>SUM(BJ448:BM448)</f>
        <v>211.55499662173017</v>
      </c>
      <c r="BO448" s="1466">
        <f>BO222*(AVERAGE(BN405:BO405)*BO$416)*BO$4/1000000</f>
        <v>67.308351877553633</v>
      </c>
      <c r="BP448" s="1466">
        <f>BP222*(AVERAGE(BO405:BP405)*BP$416)*BP$4/1000000</f>
        <v>60.059583357123898</v>
      </c>
      <c r="BQ448" s="1466">
        <f>BQ222*(AVERAGE(BP405:BQ405)*BQ$416)*BQ$4/1000000</f>
        <v>56.189521345545494</v>
      </c>
      <c r="BR448" s="1466">
        <f>BR222*(AVERAGE(BQ405:BR405)*BR$416)*BR$4/1000000</f>
        <v>60.644650027991695</v>
      </c>
      <c r="BS448" s="1565">
        <f>SUM(BO448:BR448)</f>
        <v>244.20210660821473</v>
      </c>
      <c r="BT448" s="1466">
        <f>BT222*(AVERAGE(BS405:BT405)*BT$416)*BT$4/1000000</f>
        <v>92.917981770873652</v>
      </c>
      <c r="BU448" s="1466">
        <f>BU222*(AVERAGE(BT405:BU405)*BU$416)*BU$4/1000000</f>
        <v>82.213224217119233</v>
      </c>
      <c r="BV448" s="1466">
        <f>BV222*(AVERAGE(BU405:BV405)*BV$416)*BV$4/1000000</f>
        <v>75.795150485258205</v>
      </c>
      <c r="BW448" s="1466">
        <f>BW222*(AVERAGE(BV405:BW405)*BW$416)*BW$4/1000000</f>
        <v>92.14919373720592</v>
      </c>
      <c r="BX448" s="1565">
        <f>SUM(BT448:BW448)</f>
        <v>343.07555021045698</v>
      </c>
      <c r="BY448" s="1466">
        <f>BY222*(AVERAGE(BX405:BY405)*BY$416)*BY$4/1000000</f>
        <v>100.24693075598145</v>
      </c>
      <c r="BZ448" s="1466">
        <f>BZ222*(AVERAGE(BY405:BZ405)*BZ$416)*BZ$4/1000000</f>
        <v>79.377187064417456</v>
      </c>
      <c r="CA448" s="1466">
        <f>CA222*(AVERAGE(BZ405:CA405)*CA$416)*CA$4/1000000</f>
        <v>68.264511322903203</v>
      </c>
      <c r="CB448" s="1466">
        <f>CB222*(AVERAGE(CA405:CB405)*CB$416)*CB$4/1000000</f>
        <v>83.300931981827389</v>
      </c>
      <c r="CC448" s="1565">
        <f>SUM(BY448:CB448)</f>
        <v>331.1895611251295</v>
      </c>
      <c r="CD448" s="1466">
        <f>CD222*(AVERAGE(CC405:CD405)*CD$416)*CD$4/1000000</f>
        <v>103.63342014679921</v>
      </c>
      <c r="CE448" s="1466">
        <f>CE222*(AVERAGE(CD405:CE405)*CE$416)*CE$4/1000000</f>
        <v>89.763665063702845</v>
      </c>
      <c r="CF448" s="1466">
        <f>CF222*(AVERAGE(CE405:CF405)*CF$416)*CF$4/1000000</f>
        <v>84.590089192867438</v>
      </c>
      <c r="CG448" s="1466">
        <f>CG222*(AVERAGE(CF405:CG405)*CG$416)*CG$4/1000000</f>
        <v>87.731015285062028</v>
      </c>
      <c r="CH448" s="1565">
        <f t="shared" ref="CH448:CH453" si="338">SUM(CD448:CG448)</f>
        <v>365.71818968843149</v>
      </c>
      <c r="CI448" s="1466">
        <f ca="1">CI222*(AVERAGE(CH405:CI405)*CI$416)*CI$4/1000000</f>
        <v>139.99466602364964</v>
      </c>
      <c r="CJ448" s="1466">
        <f ca="1">CJ222*(AVERAGE(CI405:CJ405)*CJ$416)*CJ$4/1000000</f>
        <v>127.96242614236365</v>
      </c>
      <c r="CK448" s="1466">
        <f ca="1">CK222*(AVERAGE(CJ405:CK405)*CK$416)*CK$4/1000000</f>
        <v>127.7029061880103</v>
      </c>
      <c r="CL448" s="1469">
        <f ca="1">CL222*(AVERAGE(CK405:CL405)*CL$416)*CL$4/1000000</f>
        <v>127.08774284107871</v>
      </c>
      <c r="CM448" s="1565">
        <f ca="1">SUM(CI448:CL448)</f>
        <v>522.74774119510232</v>
      </c>
      <c r="CN448" s="1466">
        <f ca="1">CN222*(AVERAGE(CM405:CN405)*CN$416)*CN$4/1000000</f>
        <v>156.14153437907822</v>
      </c>
      <c r="CO448" s="1466">
        <f ca="1">CO222*(AVERAGE(CN405:CO405)*CO$416)*CO$4/1000000</f>
        <v>141.85022454542417</v>
      </c>
      <c r="CP448" s="1466">
        <f ca="1">CP222*(AVERAGE(CO405:CP405)*CP$416)*CP$4/1000000</f>
        <v>141.79965690861187</v>
      </c>
      <c r="CQ448" s="1466">
        <f ca="1">CQ222*(AVERAGE(CP405:CQ405)*CQ$416)*CQ$4/1000000</f>
        <v>141.3006492105655</v>
      </c>
      <c r="CR448" s="1565">
        <f ca="1">SUM(CN448:CQ448)</f>
        <v>581.09206504367967</v>
      </c>
      <c r="CS448" s="1468">
        <f ca="1">CS222*((AVERAGE(CR405:CS405)*CS$416)*CS$4)/1000000</f>
        <v>652.01728946355991</v>
      </c>
      <c r="CT448" s="1468">
        <f ca="1">CT222*((AVERAGE(CS405:CT405)*CT$416)*CT$4)/1000000</f>
        <v>668.61666445099559</v>
      </c>
      <c r="DA448" s="212"/>
      <c r="DB448" s="1226"/>
    </row>
    <row r="449" spans="1:106" s="207" customFormat="1" x14ac:dyDescent="0.2">
      <c r="A449" s="1434" t="s">
        <v>1930</v>
      </c>
      <c r="B449" s="777"/>
      <c r="C449" s="777"/>
      <c r="D449" s="777"/>
      <c r="E449" s="777"/>
      <c r="F449" s="235"/>
      <c r="G449" s="777"/>
      <c r="H449" s="777"/>
      <c r="I449" s="777"/>
      <c r="J449" s="777"/>
      <c r="K449" s="235"/>
      <c r="L449" s="777"/>
      <c r="M449" s="777"/>
      <c r="N449" s="777"/>
      <c r="O449" s="777"/>
      <c r="P449" s="631"/>
      <c r="Q449" s="777"/>
      <c r="R449" s="777"/>
      <c r="S449" s="777"/>
      <c r="T449" s="777"/>
      <c r="U449" s="631"/>
      <c r="V449" s="777"/>
      <c r="W449" s="777"/>
      <c r="X449" s="777"/>
      <c r="Y449" s="777"/>
      <c r="Z449" s="631"/>
      <c r="AA449" s="275"/>
      <c r="AB449" s="275"/>
      <c r="AC449" s="275"/>
      <c r="AD449" s="275"/>
      <c r="AE449" s="631"/>
      <c r="AF449" s="275"/>
      <c r="AG449" s="275"/>
      <c r="AH449" s="275"/>
      <c r="AI449" s="275"/>
      <c r="AJ449" s="631"/>
      <c r="AK449" s="275">
        <f>(AK228*0.75+AK231*0.25)*(AVERAGE(AJ406:AK406)*AK$416)*AK$4/1000000</f>
        <v>0</v>
      </c>
      <c r="AL449" s="275">
        <f>(AL228*0.75+AL231*0.25)*(AVERAGE(AK406:AL406)*AL$416)*AL$4/1000000</f>
        <v>0</v>
      </c>
      <c r="AM449" s="275">
        <f>(AM228*0.75+AM231*0.25)*(AVERAGE(AL406:AM406)*AM$416)*AM$4/1000000</f>
        <v>0</v>
      </c>
      <c r="AN449" s="275">
        <f>(AN228*0.75+AN231*0.25)*(AVERAGE(AM406:AN406)*AN$416)*AN$4/1000000</f>
        <v>0</v>
      </c>
      <c r="AO449" s="631">
        <f>SUM(AK449:AN449)</f>
        <v>0</v>
      </c>
      <c r="AP449" s="275">
        <f>(AP228*0.75+AP231*0.25)*(AVERAGE(AO406:AP406)*AP$416)*AP$4/1000000</f>
        <v>96.479775152310467</v>
      </c>
      <c r="AQ449" s="275">
        <f>(AQ228*0.75+AQ231*0.25)*(AVERAGE(AP406:AQ406)*AQ$416)*AQ$4/1000000</f>
        <v>121.28165732774472</v>
      </c>
      <c r="AR449" s="275">
        <f>(AR228*0.75+AR231*0.25)*(AVERAGE(AQ406:AR406)*AR$416)*AR$4/1000000</f>
        <v>121.28175402506871</v>
      </c>
      <c r="AS449" s="275">
        <f>(AS228*0.75+AS231*0.25)*(AVERAGE(AR406:AS406)*AS$416)*AS$4/1000000</f>
        <v>141.16573980270277</v>
      </c>
      <c r="AT449" s="631">
        <f>SUM(AP449:AS449)</f>
        <v>480.20892630782669</v>
      </c>
      <c r="AU449" s="275">
        <f>(AU228*0.75+AU231*0.25)*(AVERAGE(AT406:AU406)*AU$416)*AU$4/1000000</f>
        <v>63.203794906288934</v>
      </c>
      <c r="AV449" s="275">
        <f>(AV228*0.75+AV231*0.25)*(AVERAGE(AU406:AV406)*AV$416)*AV$4/1000000</f>
        <v>74.413402790120912</v>
      </c>
      <c r="AW449" s="275">
        <f>(AW228*0.75+AW231*0.25)*(AVERAGE(AV406:AW406)*AW$416)*AW$4/1000000</f>
        <v>82.449694600909154</v>
      </c>
      <c r="AX449" s="275">
        <f>(AX228*0.75+AX231*0.25)*(AVERAGE(AW406:AX406)*AX$416)*AX$4/1000000</f>
        <v>116.64452318681271</v>
      </c>
      <c r="AY449" s="631">
        <f>SUM(AU449:AX449)</f>
        <v>336.71141548413169</v>
      </c>
      <c r="AZ449" s="275">
        <f>(AZ228*0.75+AZ231*0.25)*(AVERAGE(AY406:AZ406)*AZ$416)*AZ$4/1000000</f>
        <v>70.863117791829495</v>
      </c>
      <c r="BA449" s="275">
        <f>(BA228*0.75+BA231*0.25)*(AVERAGE(AZ406:BA406)*BA$416)*BA$4/1000000</f>
        <v>89.574407147137663</v>
      </c>
      <c r="BB449" s="275">
        <f>(BB228*0.75+BB231*0.25)*(AVERAGE(BA406:BB406)*BB$416)*BB$4/1000000</f>
        <v>94.610363000377419</v>
      </c>
      <c r="BC449" s="275">
        <f>(BC228*0.75+BC231*0.25)*(AVERAGE(BB406:BC406)*BC$416)*BC$4/1000000</f>
        <v>140.14327129942399</v>
      </c>
      <c r="BD449" s="631">
        <f>SUM(AZ449:BC449)</f>
        <v>395.19115923876859</v>
      </c>
      <c r="BE449" s="275">
        <f>BE225*(AVERAGE(BD406:BE406)*BE$416)*BE$4/1000000</f>
        <v>80.484858696384904</v>
      </c>
      <c r="BF449" s="275">
        <f>BF225*(AVERAGE(BE406:BF406)*BF$416)*BF$4/1000000</f>
        <v>112.61492003153121</v>
      </c>
      <c r="BG449" s="275">
        <f>BG225*(AVERAGE(BF406:BG406)*BG$416)*BG$4/1000000</f>
        <v>123.41765442141109</v>
      </c>
      <c r="BH449" s="275">
        <f>BH225*(AVERAGE(BG406:BH406)*BH$416)*BH$4/1000000</f>
        <v>157.06618250576503</v>
      </c>
      <c r="BI449" s="631">
        <f>SUM(BE449:BH449)</f>
        <v>473.58361565509222</v>
      </c>
      <c r="BJ449" s="275">
        <f>BJ225*(AVERAGE(BI406:BJ406)*BJ$416)*BJ$4/1000000</f>
        <v>88.679966512609994</v>
      </c>
      <c r="BK449" s="275">
        <f>BK225*(AVERAGE(BJ406:BK406)*BK$416)*BK$4/1000000</f>
        <v>118.58758126530728</v>
      </c>
      <c r="BL449" s="275">
        <f>BL225*(AVERAGE(BK406:BL406)*BL$416)*BL$4/1000000</f>
        <v>120.90899981832719</v>
      </c>
      <c r="BM449" s="275">
        <f>BM225*(AVERAGE(BL406:BM406)*BM$416)*BM$4/1000000</f>
        <v>161.65286939857779</v>
      </c>
      <c r="BN449" s="631">
        <f>SUM(BJ449:BM449)</f>
        <v>489.82941699482228</v>
      </c>
      <c r="BO449" s="275">
        <f>BO225*(AVERAGE(BN406:BO406)*BO$416)*BO$4/1000000</f>
        <v>105.03043683631532</v>
      </c>
      <c r="BP449" s="275">
        <f>BP225*(AVERAGE(BO406:BP406)*BP$416)*BP$4/1000000</f>
        <v>144.07813956753725</v>
      </c>
      <c r="BQ449" s="275">
        <f>BQ225*(AVERAGE(BP406:BQ406)*BQ$416)*BQ$4/1000000</f>
        <v>145.13022715759098</v>
      </c>
      <c r="BR449" s="275">
        <f>BR225*(AVERAGE(BQ406:BR406)*BR$416)*BR$4/1000000</f>
        <v>144.664423443472</v>
      </c>
      <c r="BS449" s="631">
        <f>SUM(BO449:BR449)</f>
        <v>538.90322700491561</v>
      </c>
      <c r="BT449" s="275">
        <f>BT225*(AVERAGE(BS406:BT406)*BT$416)*BT$4/1000000</f>
        <v>131.44986024828575</v>
      </c>
      <c r="BU449" s="275">
        <f>BU225*(AVERAGE(BT406:BU406)*BU$416)*BU$4/1000000</f>
        <v>200.25791440398822</v>
      </c>
      <c r="BV449" s="275">
        <f>BV225*(AVERAGE(BU406:BV406)*BV$416)*BV$4/1000000</f>
        <v>213.70625723532768</v>
      </c>
      <c r="BW449" s="275">
        <f>BW225*(AVERAGE(BV406:BW406)*BW$416)*BW$4/1000000</f>
        <v>207.37541149843969</v>
      </c>
      <c r="BX449" s="631">
        <f>SUM(BT449:BW449)</f>
        <v>752.7894433860414</v>
      </c>
      <c r="BY449" s="275">
        <f>BY225*(AVERAGE(BX406:BY406)*BY$416)*BY$4/1000000</f>
        <v>132.73362933739284</v>
      </c>
      <c r="BZ449" s="275">
        <f>BZ225*(AVERAGE(BY406:BZ406)*BZ$416)*BZ$4/1000000</f>
        <v>168.17598777709443</v>
      </c>
      <c r="CA449" s="275">
        <f>CA225*(AVERAGE(BZ406:CA406)*CA$416)*CA$4/1000000</f>
        <v>185.3304991048993</v>
      </c>
      <c r="CB449" s="275">
        <f>CB225*(AVERAGE(CA406:CB406)*CB$416)*CB$4/1000000</f>
        <v>174.42244201907732</v>
      </c>
      <c r="CC449" s="631">
        <f>SUM(BY449:CB449)</f>
        <v>660.66255823846382</v>
      </c>
      <c r="CD449" s="275">
        <f>CD225*(AVERAGE(CC406:CD406)*CD$416)*CD$4/1000000</f>
        <v>120.98738147831953</v>
      </c>
      <c r="CE449" s="275">
        <f>CE225*(AVERAGE(CD406:CE406)*CE$416)*CE$4/1000000</f>
        <v>168.31340110783441</v>
      </c>
      <c r="CF449" s="275">
        <f>CF225*(AVERAGE(CE406:CF406)*CF$416)*CF$4/1000000</f>
        <v>173.2950319359808</v>
      </c>
      <c r="CG449" s="275">
        <f>CG225*(AVERAGE(CF406:CG406)*CG$416)*CG$4/1000000</f>
        <v>204.99056942394617</v>
      </c>
      <c r="CH449" s="631">
        <f t="shared" si="338"/>
        <v>667.58638394608101</v>
      </c>
      <c r="CI449" s="275">
        <f ca="1">CI225*(AVERAGE(CH406:CI406)*CI$416)*CI$4/1000000</f>
        <v>208.70900128269903</v>
      </c>
      <c r="CJ449" s="275">
        <f ca="1">CJ225*(AVERAGE(CI406:CJ406)*CJ$416)*CJ$4/1000000</f>
        <v>306.86770756444287</v>
      </c>
      <c r="CK449" s="275">
        <f ca="1">CK225*(AVERAGE(CJ406:CK406)*CK$416)*CK$4/1000000</f>
        <v>437.28956134744288</v>
      </c>
      <c r="CL449" s="630">
        <f ca="1">CL225*(AVERAGE(CK406:CL406)*CL$416)*CL$4/1000000</f>
        <v>312.89351021087435</v>
      </c>
      <c r="CM449" s="631">
        <f ca="1">SUM(CI449:CL449)</f>
        <v>1265.7597804054592</v>
      </c>
      <c r="CN449" s="275">
        <f ca="1">CN225*(AVERAGE(CM406:CN406)*CN$416)*CN$4/1000000</f>
        <v>235.04133677562774</v>
      </c>
      <c r="CO449" s="275">
        <f ca="1">CO225*(AVERAGE(CN406:CO406)*CO$416)*CO$4/1000000</f>
        <v>343.47478910587353</v>
      </c>
      <c r="CP449" s="275">
        <f ca="1">CP225*(AVERAGE(CO406:CP406)*CP$416)*CP$4/1000000</f>
        <v>495.08147606744751</v>
      </c>
      <c r="CQ449" s="275">
        <f ca="1">CQ225*(AVERAGE(CP406:CQ406)*CQ$416)*CQ$4/1000000</f>
        <v>354.70737130208613</v>
      </c>
      <c r="CR449" s="631">
        <f ca="1">SUM(CN449:CQ449)</f>
        <v>1428.3049732510349</v>
      </c>
      <c r="CS449" s="235">
        <f ca="1">CS225*(AVERAGE(CR406:CS406)*CS$416)*CS$4/1000000</f>
        <v>1596.5015988382045</v>
      </c>
      <c r="CT449" s="235">
        <f ca="1">CT225*(AVERAGE(CS406:CT406)*CT$416)*CT$4/1000000</f>
        <v>1637.146117220469</v>
      </c>
      <c r="DA449" s="212"/>
      <c r="DB449" s="1226"/>
    </row>
    <row r="450" spans="1:106" s="207" customFormat="1" x14ac:dyDescent="0.2">
      <c r="A450" s="1434" t="s">
        <v>1645</v>
      </c>
      <c r="B450" s="777"/>
      <c r="C450" s="777"/>
      <c r="D450" s="777"/>
      <c r="E450" s="777"/>
      <c r="F450" s="235"/>
      <c r="G450" s="777"/>
      <c r="H450" s="777"/>
      <c r="I450" s="777"/>
      <c r="J450" s="777"/>
      <c r="K450" s="235"/>
      <c r="L450" s="777"/>
      <c r="M450" s="777"/>
      <c r="N450" s="777"/>
      <c r="O450" s="777"/>
      <c r="P450" s="631"/>
      <c r="Q450" s="777"/>
      <c r="R450" s="777"/>
      <c r="S450" s="777"/>
      <c r="T450" s="777"/>
      <c r="U450" s="631"/>
      <c r="V450" s="777"/>
      <c r="W450" s="777"/>
      <c r="X450" s="777"/>
      <c r="Y450" s="777"/>
      <c r="Z450" s="631"/>
      <c r="AA450" s="275"/>
      <c r="AB450" s="275"/>
      <c r="AC450" s="275"/>
      <c r="AD450" s="275"/>
      <c r="AE450" s="631"/>
      <c r="AF450" s="275"/>
      <c r="AG450" s="275"/>
      <c r="AH450" s="275"/>
      <c r="AI450" s="275"/>
      <c r="AJ450" s="631"/>
      <c r="AK450" s="275">
        <f>AK234*(AVERAGE(AJ407:AK407)*AK$416)*AK$4/1000000</f>
        <v>0</v>
      </c>
      <c r="AL450" s="275">
        <f>AL234*(AVERAGE(AK407:AL407)*AL$416)*AL$4/1000000</f>
        <v>0</v>
      </c>
      <c r="AM450" s="275">
        <f>AM234*(AVERAGE(AL407:AM407)*AM$416)*AM$4/1000000</f>
        <v>0</v>
      </c>
      <c r="AN450" s="275">
        <f>AN234*(AVERAGE(AM407:AN407)*AN$416)*AN$4/1000000</f>
        <v>0</v>
      </c>
      <c r="AO450" s="631">
        <f>SUM(AK450:AN450)</f>
        <v>0</v>
      </c>
      <c r="AP450" s="275">
        <f>AP234*(AVERAGE(AO407:AP407)*AP$416)*AP$4/1000000</f>
        <v>29.401802567381996</v>
      </c>
      <c r="AQ450" s="275">
        <f>AQ234*(AVERAGE(AP407:AQ407)*AQ$416)*AQ$4/1000000</f>
        <v>32.152383039795083</v>
      </c>
      <c r="AR450" s="275">
        <f>AR234*(AVERAGE(AQ407:AR407)*AR$416)*AR$4/1000000</f>
        <v>22.585917315527361</v>
      </c>
      <c r="AS450" s="275">
        <f>AS234*(AVERAGE(AR407:AS407)*AS$416)*AS$4/1000000</f>
        <v>35.871507505514515</v>
      </c>
      <c r="AT450" s="631">
        <f>SUM(AP450:AS450)</f>
        <v>120.01161042821896</v>
      </c>
      <c r="AU450" s="275">
        <f>AU234*(AVERAGE(AT407:AU407)*AU$416)*AU$4/1000000</f>
        <v>21.303029611468222</v>
      </c>
      <c r="AV450" s="275">
        <f>AV234*(AVERAGE(AU407:AV407)*AV$416)*AV$4/1000000</f>
        <v>20.753136771006996</v>
      </c>
      <c r="AW450" s="275">
        <f>AW234*(AVERAGE(AV407:AW407)*AW$416)*AW$4/1000000</f>
        <v>15.430648514324501</v>
      </c>
      <c r="AX450" s="275">
        <f>AX234*(AVERAGE(AW407:AX407)*AX$416)*AX$4/1000000</f>
        <v>26.895205224586697</v>
      </c>
      <c r="AY450" s="631">
        <f>SUM(AU450:AX450)</f>
        <v>84.382020121386418</v>
      </c>
      <c r="AZ450" s="275">
        <f>AZ234*(AVERAGE(AY407:AZ407)*AZ$416)*AZ$4/1000000</f>
        <v>19.180205705198727</v>
      </c>
      <c r="BA450" s="275">
        <f>BA234*(AVERAGE(AZ407:BA407)*BA$416)*BA$4/1000000</f>
        <v>20.921074950213963</v>
      </c>
      <c r="BB450" s="275">
        <f>BB234*(AVERAGE(BA407:BB407)*BB$416)*BB$4/1000000</f>
        <v>14.388862089903343</v>
      </c>
      <c r="BC450" s="275">
        <f>BC234*(AVERAGE(BB407:BC407)*BC$416)*BC$4/1000000</f>
        <v>24.72633335949272</v>
      </c>
      <c r="BD450" s="631">
        <f>SUM(AZ450:BC450)</f>
        <v>79.216476104808748</v>
      </c>
      <c r="BE450" s="275">
        <f>BE234*(AVERAGE(BD407:BE407)*BE$416)*BE$4/1000000</f>
        <v>16.878206796256851</v>
      </c>
      <c r="BF450" s="275">
        <f>BF234*(AVERAGE(BE407:BF407)*BF$416)*BF$4/1000000</f>
        <v>16.44745059963682</v>
      </c>
      <c r="BG450" s="275">
        <f>BG234*(AVERAGE(BF407:BG407)*BG$416)*BG$4/1000000</f>
        <v>14.030685138512158</v>
      </c>
      <c r="BH450" s="275">
        <f>BH234*(AVERAGE(BG407:BH407)*BH$416)*BH$4/1000000</f>
        <v>25.294109156108103</v>
      </c>
      <c r="BI450" s="631">
        <f>SUM(BE450:BH450)</f>
        <v>72.650451690513933</v>
      </c>
      <c r="BJ450" s="275">
        <f>BJ234*(AVERAGE(BI407:BJ407)*BJ$416)*BJ$4/1000000</f>
        <v>18.882788913543799</v>
      </c>
      <c r="BK450" s="275">
        <f>BK234*(AVERAGE(BJ407:BK407)*BK$416)*BK$4/1000000</f>
        <v>20.321117619083012</v>
      </c>
      <c r="BL450" s="275">
        <f>BL234*(AVERAGE(BK407:BL407)*BL$416)*BL$4/1000000</f>
        <v>16.41988006949919</v>
      </c>
      <c r="BM450" s="275">
        <f>BM234*(AVERAGE(BL407:BM407)*BM$416)*BM$4/1000000</f>
        <v>27.553404088318274</v>
      </c>
      <c r="BN450" s="631">
        <f>SUM(BJ450:BM450)</f>
        <v>83.177190690444277</v>
      </c>
      <c r="BO450" s="275">
        <f>BO234*(AVERAGE(BN407:BO407)*BO$416)*BO$4/1000000</f>
        <v>23.465505791908321</v>
      </c>
      <c r="BP450" s="275">
        <f>BP234*(AVERAGE(BO407:BP407)*BP$416)*BP$4/1000000</f>
        <v>22.820140287209249</v>
      </c>
      <c r="BQ450" s="275">
        <f>BQ234*(AVERAGE(BP407:BQ407)*BQ$416)*BQ$4/1000000</f>
        <v>17.783494419188759</v>
      </c>
      <c r="BR450" s="275">
        <f>BR234*(AVERAGE(BQ407:BR407)*BR$416)*BR$4/1000000</f>
        <v>23.090072601221351</v>
      </c>
      <c r="BS450" s="631">
        <f>SUM(BO450:BR450)</f>
        <v>87.159213099527676</v>
      </c>
      <c r="BT450" s="275">
        <f>BT234*(AVERAGE(BS407:BT407)*BT$416)*BT$4/1000000</f>
        <v>34.964059618703423</v>
      </c>
      <c r="BU450" s="275">
        <f>BU234*(AVERAGE(BT407:BU407)*BU$416)*BU$4/1000000</f>
        <v>37.83030879233204</v>
      </c>
      <c r="BV450" s="275">
        <f>BV234*(AVERAGE(BU407:BV407)*BV$416)*BV$4/1000000</f>
        <v>30.962183156291363</v>
      </c>
      <c r="BW450" s="275">
        <f>BW234*(AVERAGE(BV407:BW407)*BW$416)*BW$4/1000000</f>
        <v>47.937297152448664</v>
      </c>
      <c r="BX450" s="631">
        <f>SUM(BT450:BW450)</f>
        <v>151.69384871977547</v>
      </c>
      <c r="BY450" s="275">
        <f>BY234*(AVERAGE(BX407:BY407)*BY$416)*BY$4/1000000</f>
        <v>39.422348139016272</v>
      </c>
      <c r="BZ450" s="275">
        <f>BZ234*(AVERAGE(BY407:BZ407)*BZ$416)*BZ$4/1000000</f>
        <v>34.019086929407905</v>
      </c>
      <c r="CA450" s="275">
        <f>CA234*(AVERAGE(BZ407:CA407)*CA$416)*CA$4/1000000</f>
        <v>28.659614370140591</v>
      </c>
      <c r="CB450" s="275">
        <f>CB234*(AVERAGE(CA407:CB407)*CB$416)*CB$4/1000000</f>
        <v>38.845042778652221</v>
      </c>
      <c r="CC450" s="631">
        <f>SUM(BY450:CB450)</f>
        <v>140.94609221721697</v>
      </c>
      <c r="CD450" s="275">
        <f>CD234*(AVERAGE(CC407:CD407)*CD$416)*CD$4/1000000</f>
        <v>35.251071670397273</v>
      </c>
      <c r="CE450" s="275">
        <f>CE234*(AVERAGE(CD407:CE407)*CE$416)*CE$4/1000000</f>
        <v>29.119700352682585</v>
      </c>
      <c r="CF450" s="275">
        <f>CF234*(AVERAGE(CE407:CF407)*CF$416)*CF$4/1000000</f>
        <v>28.592539410554384</v>
      </c>
      <c r="CG450" s="275">
        <f>CG234*(AVERAGE(CF407:CG407)*CG$416)*CG$4/1000000</f>
        <v>71.058687831485557</v>
      </c>
      <c r="CH450" s="631">
        <f t="shared" si="338"/>
        <v>164.0219992651198</v>
      </c>
      <c r="CI450" s="275">
        <f ca="1">CI234*(AVERAGE(CH407:CI407)*CI$416)*CI$4/1000000</f>
        <v>104.76440729252288</v>
      </c>
      <c r="CJ450" s="275">
        <f ca="1">CJ234*(AVERAGE(CI407:CJ407)*CJ$416)*CJ$4/1000000</f>
        <v>87.5445832503909</v>
      </c>
      <c r="CK450" s="275">
        <f ca="1">CK234*(AVERAGE(CJ407:CK407)*CK$416)*CK$4/1000000</f>
        <v>83.57753128526501</v>
      </c>
      <c r="CL450" s="630">
        <f ca="1">CL234*(AVERAGE(CK407:CL407)*CL$416)*CL$4/1000000</f>
        <v>117.31484661507692</v>
      </c>
      <c r="CM450" s="631">
        <f ca="1">SUM(CI450:CL450)</f>
        <v>393.20136844325572</v>
      </c>
      <c r="CN450" s="275">
        <f ca="1">CN234*(AVERAGE(CM407:CN407)*CN$416)*CN$4/1000000</f>
        <v>113.44451155770588</v>
      </c>
      <c r="CO450" s="275">
        <f ca="1">CO234*(AVERAGE(CN407:CO407)*CO$416)*CO$4/1000000</f>
        <v>93.748148147784079</v>
      </c>
      <c r="CP450" s="275">
        <f ca="1">CP234*(AVERAGE(CO407:CP407)*CP$416)*CP$4/1000000</f>
        <v>91.893573425255312</v>
      </c>
      <c r="CQ450" s="275">
        <f ca="1">CQ234*(AVERAGE(CP407:CQ407)*CQ$416)*CQ$4/1000000</f>
        <v>129.15602487061827</v>
      </c>
      <c r="CR450" s="631">
        <f ca="1">SUM(CN450:CQ450)</f>
        <v>428.24225800136355</v>
      </c>
      <c r="CS450" s="235">
        <f ca="1">CS234*(AVERAGE(CR407:CS407)*CS$416)*CS$4/1000000</f>
        <v>478.98461631390285</v>
      </c>
      <c r="CT450" s="235">
        <f ca="1">CT234*(AVERAGE(CS407:CT407)*CT$416)*CT$4/1000000</f>
        <v>491.17884089642723</v>
      </c>
      <c r="DA450" s="212"/>
      <c r="DB450" s="1226"/>
    </row>
    <row r="451" spans="1:106" s="207" customFormat="1" x14ac:dyDescent="0.2">
      <c r="A451" s="1580" t="s">
        <v>808</v>
      </c>
      <c r="B451" s="777"/>
      <c r="C451" s="777"/>
      <c r="D451" s="777"/>
      <c r="E451" s="777"/>
      <c r="F451" s="235"/>
      <c r="G451" s="777"/>
      <c r="H451" s="777"/>
      <c r="I451" s="777"/>
      <c r="J451" s="777"/>
      <c r="K451" s="235"/>
      <c r="L451" s="777"/>
      <c r="M451" s="777"/>
      <c r="N451" s="777"/>
      <c r="O451" s="777"/>
      <c r="P451" s="631"/>
      <c r="Q451" s="777"/>
      <c r="R451" s="777"/>
      <c r="S451" s="777"/>
      <c r="T451" s="777"/>
      <c r="U451" s="631"/>
      <c r="V451" s="777"/>
      <c r="W451" s="777"/>
      <c r="X451" s="777"/>
      <c r="Y451" s="777"/>
      <c r="Z451" s="631"/>
      <c r="AA451" s="275"/>
      <c r="AB451" s="275"/>
      <c r="AC451" s="275"/>
      <c r="AD451" s="275"/>
      <c r="AE451" s="631"/>
      <c r="AF451" s="275"/>
      <c r="AG451" s="275"/>
      <c r="AH451" s="275"/>
      <c r="AI451" s="275"/>
      <c r="AJ451" s="631"/>
      <c r="AK451" s="774">
        <f>AK237*(AVERAGE(AJ408:AK408)*AK$416)*AK$4/1000000</f>
        <v>0</v>
      </c>
      <c r="AL451" s="774">
        <f>AL237*(AVERAGE(AK408:AL408)*AL$416)*AL$4/1000000</f>
        <v>0</v>
      </c>
      <c r="AM451" s="774">
        <f>AM237*(AVERAGE(AL408:AM408)*AM$416)*AM$4/1000000</f>
        <v>0</v>
      </c>
      <c r="AN451" s="774">
        <f>AN237*(AVERAGE(AM408:AN408)*AN$416)*AN$4/1000000</f>
        <v>0</v>
      </c>
      <c r="AO451" s="1516">
        <f>SUM(AK451:AN451)</f>
        <v>0</v>
      </c>
      <c r="AP451" s="774">
        <f>AP237*(AVERAGE(AO408:AP408)*AP$416)*AP$4/1000000</f>
        <v>79.548276499746251</v>
      </c>
      <c r="AQ451" s="774">
        <f>AQ237*(AVERAGE(AP408:AQ408)*AQ$416)*AQ$4/1000000</f>
        <v>85.229078352148946</v>
      </c>
      <c r="AR451" s="774">
        <f>AR237*(AVERAGE(AQ408:AR408)*AR$416)*AR$4/1000000</f>
        <v>80.85617708048899</v>
      </c>
      <c r="AS451" s="774">
        <f>AS237*(AVERAGE(AR408:AS408)*AS$416)*AS$4/1000000</f>
        <v>106.96080998981927</v>
      </c>
      <c r="AT451" s="1516">
        <f>SUM(AP451:AS451)</f>
        <v>352.59434192220345</v>
      </c>
      <c r="AU451" s="774">
        <f>AU237*(AVERAGE(AT408:AU408)*AU$416)*AU$4/1000000</f>
        <v>63.582103441379431</v>
      </c>
      <c r="AV451" s="774">
        <f>AV237*(AVERAGE(AU408:AV408)*AV$416)*AV$4/1000000</f>
        <v>60.677218794806244</v>
      </c>
      <c r="AW451" s="774">
        <f>AW237*(AVERAGE(AV408:AW408)*AW$416)*AW$4/1000000</f>
        <v>65.180023146487116</v>
      </c>
      <c r="AX451" s="774">
        <f>AX237*(AVERAGE(AW408:AX408)*AX$416)*AX$4/1000000</f>
        <v>105.11312931595648</v>
      </c>
      <c r="AY451" s="1516">
        <f>SUM(AU451:AX451)</f>
        <v>294.55247469862928</v>
      </c>
      <c r="AZ451" s="774">
        <f>AZ237*(AVERAGE(AY408:AZ408)*AZ$416)*AZ$4/1000000</f>
        <v>64.537146918951834</v>
      </c>
      <c r="BA451" s="774">
        <f>BA237*(AVERAGE(AZ408:BA408)*BA$416)*BA$4/1000000</f>
        <v>75.352114836068338</v>
      </c>
      <c r="BB451" s="774">
        <f>BB237*(AVERAGE(BA408:BB408)*BB$416)*BB$4/1000000</f>
        <v>77.658924692123449</v>
      </c>
      <c r="BC451" s="774">
        <f>BC237*(AVERAGE(BB408:BC408)*BC$416)*BC$4/1000000</f>
        <v>120.91381947871369</v>
      </c>
      <c r="BD451" s="1516">
        <f>SUM(AZ451:BC451)</f>
        <v>338.46200592585728</v>
      </c>
      <c r="BE451" s="774">
        <f>BE237*(AVERAGE(BD408:BE408)*BE$416)*BE$4/1000000</f>
        <v>81.406712308510862</v>
      </c>
      <c r="BF451" s="774">
        <f>BF237*(AVERAGE(BE408:BF408)*BF$416)*BF$4/1000000</f>
        <v>95.991202757257611</v>
      </c>
      <c r="BG451" s="774">
        <f>BG237*(AVERAGE(BF408:BG408)*BG$416)*BG$4/1000000</f>
        <v>98.738033760886481</v>
      </c>
      <c r="BH451" s="774">
        <f>BH237*(AVERAGE(BG408:BH408)*BH$416)*BH$4/1000000</f>
        <v>150.45404325935058</v>
      </c>
      <c r="BI451" s="1516">
        <f>SUM(BE451:BH451)</f>
        <v>426.58999208600551</v>
      </c>
      <c r="BJ451" s="774">
        <f>BJ237*(AVERAGE(BI408:BJ408)*BJ$416)*BJ$4/1000000</f>
        <v>92.938932605910267</v>
      </c>
      <c r="BK451" s="774">
        <f>BK237*(AVERAGE(BJ408:BK408)*BK$416)*BK$4/1000000</f>
        <v>103.82991899232138</v>
      </c>
      <c r="BL451" s="774">
        <f>BL237*(AVERAGE(BK408:BL408)*BL$416)*BL$4/1000000</f>
        <v>97.546328787671442</v>
      </c>
      <c r="BM451" s="774">
        <f>BM237*(AVERAGE(BL408:BM408)*BM$416)*BM$4/1000000</f>
        <v>148.11819743130036</v>
      </c>
      <c r="BN451" s="1516">
        <f>SUM(BJ451:BM451)</f>
        <v>442.43337781720345</v>
      </c>
      <c r="BO451" s="774">
        <f>BO237*(AVERAGE(BN408:BO408)*BO$416)*BO$4/1000000</f>
        <v>117.9677830644366</v>
      </c>
      <c r="BP451" s="774">
        <f>BP237*(AVERAGE(BO408:BP408)*BP$416)*BP$4/1000000</f>
        <v>119.36384243546375</v>
      </c>
      <c r="BQ451" s="774">
        <f>BQ237*(AVERAGE(BP408:BQ408)*BQ$416)*BQ$4/1000000</f>
        <v>122.54464787705015</v>
      </c>
      <c r="BR451" s="774">
        <f>BR237*(AVERAGE(BQ408:BR408)*BR$416)*BR$4/1000000</f>
        <v>134.06768922380897</v>
      </c>
      <c r="BS451" s="1516">
        <f>SUM(BO451:BR451)</f>
        <v>493.94396260075951</v>
      </c>
      <c r="BT451" s="774">
        <f>BT237*(AVERAGE(BS408:BT408)*BT$416)*BT$4/1000000</f>
        <v>161.40560940673927</v>
      </c>
      <c r="BU451" s="774">
        <f>BU237*(AVERAGE(BT408:BU408)*BU$416)*BU$4/1000000</f>
        <v>176.23039396105426</v>
      </c>
      <c r="BV451" s="774">
        <f>BV237*(AVERAGE(BU408:BV408)*BV$416)*BV$4/1000000</f>
        <v>193.79046965368912</v>
      </c>
      <c r="BW451" s="774">
        <f>BW237*(AVERAGE(BV408:BW408)*BW$416)*BW$4/1000000</f>
        <v>222.35830848026254</v>
      </c>
      <c r="BX451" s="1516">
        <f>SUM(BT451:BW451)</f>
        <v>753.78478150174521</v>
      </c>
      <c r="BY451" s="774">
        <f>BY237*(AVERAGE(BX408:BY408)*BY$416)*BY$4/1000000</f>
        <v>157.44885782874999</v>
      </c>
      <c r="BZ451" s="774">
        <f>BZ237*(AVERAGE(BY408:BZ408)*BZ$416)*BZ$4/1000000</f>
        <v>151.26094311750796</v>
      </c>
      <c r="CA451" s="774">
        <f>CA237*(AVERAGE(BZ408:CA408)*CA$416)*CA$4/1000000</f>
        <v>155.23599615216085</v>
      </c>
      <c r="CB451" s="774">
        <f>CB237*(AVERAGE(CA408:CB408)*CB$416)*CB$4/1000000</f>
        <v>175.24145378954194</v>
      </c>
      <c r="CC451" s="1516">
        <f>SUM(BY451:CB451)</f>
        <v>639.18725088796077</v>
      </c>
      <c r="CD451" s="774">
        <f>CD237*(AVERAGE(CC408:CD408)*CD$416)*CD$4/1000000</f>
        <v>169.01898747071417</v>
      </c>
      <c r="CE451" s="774">
        <f>CE237*(AVERAGE(CD408:CE408)*CE$416)*CE$4/1000000</f>
        <v>172.50584304451399</v>
      </c>
      <c r="CF451" s="774">
        <f>CF237*(AVERAGE(CE408:CF408)*CF$416)*CF$4/1000000</f>
        <v>183.71890353939912</v>
      </c>
      <c r="CG451" s="774">
        <f>CG237*(AVERAGE(CF408:CG408)*CG$416)*CG$4/1000000</f>
        <v>272.59860130036049</v>
      </c>
      <c r="CH451" s="1516">
        <f t="shared" si="338"/>
        <v>797.84233535498765</v>
      </c>
      <c r="CI451" s="774">
        <f ca="1">CI237*(AVERAGE(CH408:CI408)*CI$416)*CI$4/1000000</f>
        <v>371.11963748141613</v>
      </c>
      <c r="CJ451" s="774">
        <f ca="1">CJ237*(AVERAGE(CI408:CJ408)*CJ$416)*CJ$4/1000000</f>
        <v>381.40322661966712</v>
      </c>
      <c r="CK451" s="774">
        <f ca="1">CK237*(AVERAGE(CJ408:CK408)*CK$416)*CK$4/1000000</f>
        <v>492.30879259214731</v>
      </c>
      <c r="CL451" s="760">
        <f ca="1">CL237*(AVERAGE(CK408:CL408)*CL$416)*CL$4/1000000</f>
        <v>461.20925693453682</v>
      </c>
      <c r="CM451" s="1516">
        <f ca="1">SUM(CI451:CL451)</f>
        <v>1706.0409136277674</v>
      </c>
      <c r="CN451" s="774">
        <f ca="1">CN237*(AVERAGE(CM408:CN408)*CN$416)*CN$4/1000000</f>
        <v>425.98031447031696</v>
      </c>
      <c r="CO451" s="774">
        <f ca="1">CO237*(AVERAGE(CN408:CO408)*CO$416)*CO$4/1000000</f>
        <v>439.21632900034479</v>
      </c>
      <c r="CP451" s="774">
        <f ca="1">CP237*(AVERAGE(CO408:CP408)*CP$416)*CP$4/1000000</f>
        <v>557.37201447589132</v>
      </c>
      <c r="CQ451" s="774">
        <f ca="1">CQ237*(AVERAGE(CP408:CQ408)*CQ$416)*CQ$4/1000000</f>
        <v>527.87079340213768</v>
      </c>
      <c r="CR451" s="1516">
        <f ca="1">SUM(CN451:CQ451)</f>
        <v>1950.4394513486907</v>
      </c>
      <c r="CS451" s="761">
        <f ca="1">CS237*(AVERAGE(CR408:CS408)*CS$416)*CS$4/1000000</f>
        <v>2229.2752214251163</v>
      </c>
      <c r="CT451" s="761">
        <f ca="1">CT237*(AVERAGE(CS408:CT408)*CT$416)*CT$4/1000000</f>
        <v>2309.5965114548167</v>
      </c>
      <c r="DA451" s="212"/>
      <c r="DB451" s="1226"/>
    </row>
    <row r="452" spans="1:106" s="207" customFormat="1" x14ac:dyDescent="0.2">
      <c r="A452" s="1437" t="s">
        <v>76</v>
      </c>
      <c r="B452" s="777"/>
      <c r="C452" s="777"/>
      <c r="D452" s="777"/>
      <c r="E452" s="777"/>
      <c r="F452" s="235"/>
      <c r="G452" s="777"/>
      <c r="H452" s="777"/>
      <c r="I452" s="777"/>
      <c r="J452" s="777"/>
      <c r="K452" s="235"/>
      <c r="L452" s="777"/>
      <c r="M452" s="777"/>
      <c r="N452" s="777"/>
      <c r="O452" s="777"/>
      <c r="P452" s="631"/>
      <c r="Q452" s="777"/>
      <c r="R452" s="777"/>
      <c r="S452" s="777"/>
      <c r="T452" s="777"/>
      <c r="U452" s="631"/>
      <c r="V452" s="777"/>
      <c r="W452" s="777"/>
      <c r="X452" s="777"/>
      <c r="Y452" s="777"/>
      <c r="Z452" s="631"/>
      <c r="AA452" s="275"/>
      <c r="AB452" s="275"/>
      <c r="AC452" s="275"/>
      <c r="AD452" s="275"/>
      <c r="AE452" s="631"/>
      <c r="AF452" s="275"/>
      <c r="AG452" s="275"/>
      <c r="AH452" s="275"/>
      <c r="AI452" s="275"/>
      <c r="AJ452" s="631"/>
      <c r="AK452" s="565">
        <f>SUM(AK448:AK451)</f>
        <v>0</v>
      </c>
      <c r="AL452" s="565">
        <f>SUM(AL448:AL451)</f>
        <v>0</v>
      </c>
      <c r="AM452" s="565">
        <f>SUM(AM448:AM451)</f>
        <v>0</v>
      </c>
      <c r="AN452" s="565">
        <f>SUM(AN448:AN451)</f>
        <v>0</v>
      </c>
      <c r="AO452" s="1521">
        <f>SUM(AK452:AN452)</f>
        <v>0</v>
      </c>
      <c r="AP452" s="565">
        <f>SUM(AP448:AP451)</f>
        <v>250.45827432623656</v>
      </c>
      <c r="AQ452" s="565">
        <f>SUM(AQ448:AQ451)</f>
        <v>284.51269132146604</v>
      </c>
      <c r="AR452" s="565">
        <f>SUM(AR448:AR451)</f>
        <v>263.10451331900936</v>
      </c>
      <c r="AS452" s="565">
        <f>SUM(AS448:AS451)</f>
        <v>335.43063436099561</v>
      </c>
      <c r="AT452" s="1521">
        <f>SUM(AP452:AS452)</f>
        <v>1133.5061133277075</v>
      </c>
      <c r="AU452" s="565">
        <f>SUM(AU448:AU451)</f>
        <v>186.74985444951551</v>
      </c>
      <c r="AV452" s="565">
        <f>SUM(AV448:AV451)</f>
        <v>191.26555734670208</v>
      </c>
      <c r="AW452" s="565">
        <f>SUM(AW448:AW451)</f>
        <v>193.17407692784138</v>
      </c>
      <c r="AX452" s="565">
        <f>SUM(AX448:AX451)</f>
        <v>290.45679533484156</v>
      </c>
      <c r="AY452" s="1521">
        <f>SUM(AU452:AX452)</f>
        <v>861.64628405890051</v>
      </c>
      <c r="AZ452" s="565">
        <f>SUM(AZ448:AZ451)</f>
        <v>196.27424484760562</v>
      </c>
      <c r="BA452" s="565">
        <f>SUM(BA448:BA451)</f>
        <v>228.99021491350311</v>
      </c>
      <c r="BB452" s="565">
        <f>SUM(BB448:BB451)</f>
        <v>222.96735951179295</v>
      </c>
      <c r="BC452" s="565">
        <f>SUM(BC448:BC451)</f>
        <v>335.40456290756447</v>
      </c>
      <c r="BD452" s="1521">
        <f>SUM(AZ452:BC452)</f>
        <v>983.63638218046617</v>
      </c>
      <c r="BE452" s="565">
        <f>SUM(BE448:BE451)</f>
        <v>225.37817857891702</v>
      </c>
      <c r="BF452" s="565">
        <f>SUM(BF448:BF451)</f>
        <v>273.5133424210519</v>
      </c>
      <c r="BG452" s="565">
        <f>SUM(BG448:BG451)</f>
        <v>277.16639280910181</v>
      </c>
      <c r="BH452" s="565">
        <f>SUM(BH448:BH451)</f>
        <v>388.41009070937287</v>
      </c>
      <c r="BI452" s="1521">
        <f>SUM(BE452:BH452)</f>
        <v>1164.4680045184436</v>
      </c>
      <c r="BJ452" s="565">
        <f>SUM(BJ448:BJ451)</f>
        <v>252.51590792255251</v>
      </c>
      <c r="BK452" s="565">
        <f>SUM(BK448:BK451)</f>
        <v>296.01945747117213</v>
      </c>
      <c r="BL452" s="565">
        <f>SUM(BL448:BL451)</f>
        <v>279.98639826577346</v>
      </c>
      <c r="BM452" s="565">
        <f>SUM(BM448:BM451)</f>
        <v>398.47321846470203</v>
      </c>
      <c r="BN452" s="1521">
        <f>SUM(BJ452:BM452)</f>
        <v>1226.9949821242001</v>
      </c>
      <c r="BO452" s="565">
        <f>SUM(BO448:BO451)</f>
        <v>313.77207757021387</v>
      </c>
      <c r="BP452" s="565">
        <f>SUM(BP448:BP451)</f>
        <v>346.32170564733417</v>
      </c>
      <c r="BQ452" s="565">
        <f>SUM(BQ448:BQ451)</f>
        <v>341.64789079937543</v>
      </c>
      <c r="BR452" s="565">
        <f>SUM(BR448:BR451)</f>
        <v>362.46683529649403</v>
      </c>
      <c r="BS452" s="1521">
        <f>SUM(BO452:BR452)</f>
        <v>1364.2085093134174</v>
      </c>
      <c r="BT452" s="565">
        <f>SUM(BT448:BT451)</f>
        <v>420.73751104460212</v>
      </c>
      <c r="BU452" s="565">
        <f>SUM(BU448:BU451)</f>
        <v>496.53184137449375</v>
      </c>
      <c r="BV452" s="565">
        <f>SUM(BV448:BV451)</f>
        <v>514.25406053056645</v>
      </c>
      <c r="BW452" s="565">
        <f>SUM(BW448:BW451)</f>
        <v>569.82021086835675</v>
      </c>
      <c r="BX452" s="1521">
        <f>SUM(BT452:BW452)</f>
        <v>2001.3436238180191</v>
      </c>
      <c r="BY452" s="565">
        <f>SUM(BY448:BY451)</f>
        <v>429.85176606114055</v>
      </c>
      <c r="BZ452" s="565">
        <f>SUM(BZ448:BZ451)</f>
        <v>432.83320488842776</v>
      </c>
      <c r="CA452" s="565">
        <f>SUM(CA448:CA451)</f>
        <v>437.49062095010396</v>
      </c>
      <c r="CB452" s="565">
        <f>SUM(CB448:CB451)</f>
        <v>471.80987056909885</v>
      </c>
      <c r="CC452" s="1521">
        <f>SUM(BY452:CB452)</f>
        <v>1771.9854624687712</v>
      </c>
      <c r="CD452" s="565">
        <f>SUM(CD448:CD451)</f>
        <v>428.89086076623016</v>
      </c>
      <c r="CE452" s="565">
        <f>SUM(CE448:CE451)</f>
        <v>459.70260956873381</v>
      </c>
      <c r="CF452" s="565">
        <f>SUM(CF448:CF451)</f>
        <v>470.19656407880177</v>
      </c>
      <c r="CG452" s="565">
        <f>SUM(CG448:CG451)</f>
        <v>636.37887384085423</v>
      </c>
      <c r="CH452" s="1521">
        <f t="shared" si="338"/>
        <v>1995.16890825462</v>
      </c>
      <c r="CI452" s="565">
        <f ca="1">SUM(CI448:CI451)</f>
        <v>824.5877120802877</v>
      </c>
      <c r="CJ452" s="565">
        <f ca="1">SUM(CJ448:CJ451)</f>
        <v>903.77794357686457</v>
      </c>
      <c r="CK452" s="565">
        <f ca="1">SUM(CK448:CK451)</f>
        <v>1140.8787914128654</v>
      </c>
      <c r="CL452" s="2966">
        <f ca="1">SUM(CL448:CL451)</f>
        <v>1018.5053566015667</v>
      </c>
      <c r="CM452" s="1521">
        <f ca="1">SUM(CI452:CL452)</f>
        <v>3887.7498036715842</v>
      </c>
      <c r="CN452" s="565">
        <f t="shared" ref="CN452:CT452" ca="1" si="339">SUM(CN448:CN451)</f>
        <v>930.60769718272877</v>
      </c>
      <c r="CO452" s="565">
        <f t="shared" ca="1" si="339"/>
        <v>1018.2894907994265</v>
      </c>
      <c r="CP452" s="565">
        <f t="shared" ca="1" si="339"/>
        <v>1286.146720877206</v>
      </c>
      <c r="CQ452" s="565">
        <f t="shared" ca="1" si="339"/>
        <v>1153.0348387854076</v>
      </c>
      <c r="CR452" s="1521">
        <f ca="1">SUM(CN452:CQ452)</f>
        <v>4388.0787476447686</v>
      </c>
      <c r="CS452" s="1609">
        <f t="shared" ca="1" si="339"/>
        <v>4956.778726040784</v>
      </c>
      <c r="CT452" s="1609">
        <f t="shared" ca="1" si="339"/>
        <v>5106.5381340227086</v>
      </c>
      <c r="DA452" s="212"/>
      <c r="DB452" s="1226"/>
    </row>
    <row r="453" spans="1:106" s="207" customFormat="1" x14ac:dyDescent="0.2">
      <c r="A453" s="1437"/>
      <c r="B453" s="777"/>
      <c r="C453" s="777"/>
      <c r="D453" s="777"/>
      <c r="E453" s="777"/>
      <c r="F453" s="235"/>
      <c r="G453" s="777"/>
      <c r="H453" s="777"/>
      <c r="I453" s="777"/>
      <c r="J453" s="777"/>
      <c r="K453" s="235"/>
      <c r="L453" s="777"/>
      <c r="M453" s="777"/>
      <c r="N453" s="777"/>
      <c r="O453" s="777"/>
      <c r="P453" s="631"/>
      <c r="Q453" s="777"/>
      <c r="R453" s="777"/>
      <c r="S453" s="777"/>
      <c r="T453" s="777"/>
      <c r="U453" s="631"/>
      <c r="V453" s="777"/>
      <c r="W453" s="777"/>
      <c r="X453" s="777"/>
      <c r="Y453" s="777"/>
      <c r="Z453" s="631"/>
      <c r="AA453" s="275"/>
      <c r="AB453" s="275"/>
      <c r="AC453" s="275"/>
      <c r="AD453" s="275"/>
      <c r="AE453" s="631"/>
      <c r="AF453" s="275"/>
      <c r="AG453" s="275"/>
      <c r="AH453" s="275"/>
      <c r="AI453" s="275"/>
      <c r="AJ453" s="631"/>
      <c r="AK453" s="565"/>
      <c r="AL453" s="565"/>
      <c r="AM453" s="565"/>
      <c r="AN453" s="565"/>
      <c r="AO453" s="1521"/>
      <c r="AP453" s="565"/>
      <c r="AQ453" s="565"/>
      <c r="AR453" s="565"/>
      <c r="AS453" s="565"/>
      <c r="AT453" s="1521"/>
      <c r="AU453" s="565"/>
      <c r="AV453" s="565"/>
      <c r="AW453" s="565"/>
      <c r="AX453" s="565"/>
      <c r="AY453" s="1521"/>
      <c r="AZ453" s="565"/>
      <c r="BA453" s="565"/>
      <c r="BB453" s="565"/>
      <c r="BC453" s="565"/>
      <c r="BD453" s="1521"/>
      <c r="BE453" s="565"/>
      <c r="BF453" s="565"/>
      <c r="BG453" s="565"/>
      <c r="BH453" s="565"/>
      <c r="BI453" s="1521"/>
      <c r="BJ453" s="565"/>
      <c r="BK453" s="565"/>
      <c r="BL453" s="565"/>
      <c r="BM453" s="565"/>
      <c r="BN453" s="1521"/>
      <c r="BO453" s="565"/>
      <c r="BP453" s="565"/>
      <c r="BQ453" s="565"/>
      <c r="BR453" s="565"/>
      <c r="BS453" s="1521"/>
      <c r="BT453" s="565"/>
      <c r="BU453" s="565"/>
      <c r="BV453" s="565"/>
      <c r="BW453" s="565"/>
      <c r="BX453" s="1521"/>
      <c r="BY453" s="565"/>
      <c r="BZ453" s="565"/>
      <c r="CA453" s="565"/>
      <c r="CB453" s="565"/>
      <c r="CC453" s="1521"/>
      <c r="CD453" s="3620">
        <f>SUM(Rooms!CF638:CF666)*CD$240/1000000*RevPAR!CD$4</f>
        <v>844.4518537291201</v>
      </c>
      <c r="CE453" s="3620">
        <f>SUM(Rooms!CG638:CG666)*CE$240/1000000*RevPAR!CE$4</f>
        <v>879.51889871118021</v>
      </c>
      <c r="CF453" s="3620">
        <f>SUM(Rooms!CH638:CH666)*CF$240/1000000*RevPAR!CF$4</f>
        <v>897.34683567599996</v>
      </c>
      <c r="CG453" s="3620">
        <f>SUM(Rooms!CI638:CI666)*CG$240/1000000*RevPAR!CG$4</f>
        <v>884.86963995311999</v>
      </c>
      <c r="CH453" s="1521">
        <f t="shared" si="338"/>
        <v>3506.1872280694201</v>
      </c>
      <c r="CI453" s="3620"/>
      <c r="CJ453" s="3620"/>
      <c r="CK453" s="3620"/>
      <c r="CL453" s="3620"/>
      <c r="CM453" s="1521"/>
      <c r="CN453" s="3620"/>
      <c r="CO453" s="3620"/>
      <c r="CP453" s="3620"/>
      <c r="CQ453" s="3620"/>
      <c r="CR453" s="1521"/>
      <c r="CS453" s="1609"/>
      <c r="CT453" s="1609"/>
      <c r="DA453" s="212"/>
      <c r="DB453" s="1226"/>
    </row>
    <row r="454" spans="1:106" s="207" customFormat="1" x14ac:dyDescent="0.2">
      <c r="A454" s="1595" t="s">
        <v>652</v>
      </c>
      <c r="B454" s="777"/>
      <c r="C454" s="777"/>
      <c r="D454" s="777"/>
      <c r="E454" s="777"/>
      <c r="F454" s="235"/>
      <c r="G454" s="777"/>
      <c r="H454" s="777"/>
      <c r="I454" s="777"/>
      <c r="J454" s="777"/>
      <c r="K454" s="235"/>
      <c r="L454" s="777"/>
      <c r="M454" s="777"/>
      <c r="N454" s="777"/>
      <c r="O454" s="777"/>
      <c r="P454" s="631"/>
      <c r="Q454" s="777"/>
      <c r="R454" s="777"/>
      <c r="S454" s="777"/>
      <c r="T454" s="777"/>
      <c r="U454" s="631"/>
      <c r="V454" s="777"/>
      <c r="W454" s="777"/>
      <c r="X454" s="777"/>
      <c r="Y454" s="777"/>
      <c r="Z454" s="631"/>
      <c r="AA454" s="275"/>
      <c r="AB454" s="275"/>
      <c r="AC454" s="275"/>
      <c r="AD454" s="275"/>
      <c r="AE454" s="631"/>
      <c r="AF454" s="275"/>
      <c r="AG454" s="275"/>
      <c r="AH454" s="275"/>
      <c r="AI454" s="275"/>
      <c r="AJ454" s="631"/>
      <c r="AK454" s="275"/>
      <c r="AL454" s="275"/>
      <c r="AM454" s="275"/>
      <c r="AN454" s="275"/>
      <c r="AO454" s="631"/>
      <c r="AP454" s="275"/>
      <c r="AQ454" s="275"/>
      <c r="AR454" s="275"/>
      <c r="AS454" s="275"/>
      <c r="AT454" s="631"/>
      <c r="AU454" s="899">
        <f t="shared" ref="AU454:BT454" si="340">+AU452/AP452-1</f>
        <v>-0.25436739931273789</v>
      </c>
      <c r="AV454" s="899">
        <f t="shared" si="340"/>
        <v>-0.32774331978535753</v>
      </c>
      <c r="AW454" s="899">
        <f t="shared" si="340"/>
        <v>-0.2657895735387048</v>
      </c>
      <c r="AX454" s="899">
        <f t="shared" si="340"/>
        <v>-0.13407791185152307</v>
      </c>
      <c r="AY454" s="1003">
        <f t="shared" si="340"/>
        <v>-0.2398397556680929</v>
      </c>
      <c r="AZ454" s="899">
        <f t="shared" si="340"/>
        <v>5.1000791546345514E-2</v>
      </c>
      <c r="BA454" s="899">
        <f t="shared" si="340"/>
        <v>0.19723706709210864</v>
      </c>
      <c r="BB454" s="899">
        <f t="shared" si="340"/>
        <v>0.15423023139424963</v>
      </c>
      <c r="BC454" s="899">
        <f t="shared" si="340"/>
        <v>0.1547485488191338</v>
      </c>
      <c r="BD454" s="1003">
        <f t="shared" si="340"/>
        <v>0.14157793096595839</v>
      </c>
      <c r="BE454" s="899">
        <f t="shared" si="340"/>
        <v>0.14828198041932983</v>
      </c>
      <c r="BF454" s="899">
        <f t="shared" si="340"/>
        <v>0.19443244561505213</v>
      </c>
      <c r="BG454" s="899">
        <f t="shared" si="340"/>
        <v>0.24308057204418843</v>
      </c>
      <c r="BH454" s="899">
        <f t="shared" si="340"/>
        <v>0.15803460555906756</v>
      </c>
      <c r="BI454" s="1003">
        <f t="shared" si="340"/>
        <v>0.18383990833799868</v>
      </c>
      <c r="BJ454" s="899">
        <f t="shared" si="340"/>
        <v>0.12040974647478175</v>
      </c>
      <c r="BK454" s="899">
        <f t="shared" si="340"/>
        <v>8.2285254718849732E-2</v>
      </c>
      <c r="BL454" s="899">
        <f t="shared" si="340"/>
        <v>1.0174413384287595E-2</v>
      </c>
      <c r="BM454" s="899">
        <f t="shared" si="340"/>
        <v>2.5908512667501382E-2</v>
      </c>
      <c r="BN454" s="1003">
        <f t="shared" si="340"/>
        <v>5.369574549333711E-2</v>
      </c>
      <c r="BO454" s="899">
        <f t="shared" si="340"/>
        <v>0.24258340851321258</v>
      </c>
      <c r="BP454" s="899">
        <f t="shared" si="340"/>
        <v>0.16992885739972263</v>
      </c>
      <c r="BQ454" s="899">
        <f t="shared" si="340"/>
        <v>0.22023031445645658</v>
      </c>
      <c r="BR454" s="899">
        <f t="shared" si="340"/>
        <v>-9.0360861156337791E-2</v>
      </c>
      <c r="BS454" s="1003">
        <f t="shared" si="340"/>
        <v>0.11182892284666912</v>
      </c>
      <c r="BT454" s="899">
        <f t="shared" si="340"/>
        <v>0.34090169623347766</v>
      </c>
      <c r="BU454" s="899">
        <f t="shared" ref="BU454:CD454" si="341">+BU452/BP452-1</f>
        <v>0.4337300644970874</v>
      </c>
      <c r="BV454" s="899">
        <f t="shared" si="341"/>
        <v>0.50521655300529833</v>
      </c>
      <c r="BW454" s="899">
        <f>+BW452/BR452-1</f>
        <v>0.57206164917750302</v>
      </c>
      <c r="BX454" s="1003">
        <f>+BX452/BS452-1</f>
        <v>0.46703646118236053</v>
      </c>
      <c r="BY454" s="899">
        <f>+BY452/BT452-1</f>
        <v>2.1662568174417585E-2</v>
      </c>
      <c r="BZ454" s="899">
        <f t="shared" si="341"/>
        <v>-0.128287113087725</v>
      </c>
      <c r="CA454" s="899">
        <f t="shared" si="341"/>
        <v>-0.14927143113126629</v>
      </c>
      <c r="CB454" s="899">
        <f t="shared" si="341"/>
        <v>-0.17200221829601059</v>
      </c>
      <c r="CC454" s="1003">
        <f t="shared" si="341"/>
        <v>-0.11460208962601581</v>
      </c>
      <c r="CD454" s="899">
        <f t="shared" si="341"/>
        <v>-2.2354340979343634E-3</v>
      </c>
      <c r="CE454" s="899">
        <f t="shared" ref="CE454:CM454" si="342">+CE452/BZ452-1</f>
        <v>6.2077965315143091E-2</v>
      </c>
      <c r="CF454" s="899">
        <f t="shared" si="342"/>
        <v>7.4758044087139375E-2</v>
      </c>
      <c r="CG454" s="899">
        <f t="shared" si="342"/>
        <v>0.34880364642064743</v>
      </c>
      <c r="CH454" s="1003">
        <f t="shared" si="342"/>
        <v>0.12595105914407689</v>
      </c>
      <c r="CI454" s="899">
        <f t="shared" ca="1" si="342"/>
        <v>0.92260499700816601</v>
      </c>
      <c r="CJ454" s="899">
        <f t="shared" ca="1" si="342"/>
        <v>0.96600568446791368</v>
      </c>
      <c r="CK454" s="899">
        <f t="shared" ca="1" si="342"/>
        <v>1.4263869168164782</v>
      </c>
      <c r="CL454" s="1268">
        <f t="shared" ca="1" si="342"/>
        <v>0.60047009488921965</v>
      </c>
      <c r="CM454" s="1003">
        <f t="shared" ca="1" si="342"/>
        <v>0.94858179053752401</v>
      </c>
      <c r="CN454" s="899">
        <f ca="1">+CN452/CI452-1</f>
        <v>0.1285733264627138</v>
      </c>
      <c r="CO454" s="899">
        <f ca="1">+CO452/CJ452-1</f>
        <v>0.12670318858342777</v>
      </c>
      <c r="CP454" s="899">
        <f ca="1">+CP452/CK452-1</f>
        <v>0.12732985358106319</v>
      </c>
      <c r="CQ454" s="899">
        <f ca="1">+CQ452/CL452-1</f>
        <v>0.13208519848410383</v>
      </c>
      <c r="CR454" s="1003">
        <f ca="1">+CR452/CM452-1</f>
        <v>0.12869370953364201</v>
      </c>
      <c r="CS454" s="1003">
        <f ca="1">+CS452/CR452-1</f>
        <v>0.12960113322972067</v>
      </c>
      <c r="CT454" s="1003">
        <f ca="1">+CT452/CS452-1</f>
        <v>3.0213050906459316E-2</v>
      </c>
      <c r="DA454" s="212"/>
      <c r="DB454" s="1226"/>
    </row>
    <row r="455" spans="1:106" s="207" customFormat="1" x14ac:dyDescent="0.2">
      <c r="A455" s="1571"/>
      <c r="B455" s="777"/>
      <c r="C455" s="777"/>
      <c r="D455" s="777"/>
      <c r="E455" s="777"/>
      <c r="F455" s="235"/>
      <c r="G455" s="777"/>
      <c r="H455" s="777"/>
      <c r="I455" s="777"/>
      <c r="J455" s="777"/>
      <c r="K455" s="235"/>
      <c r="L455" s="777"/>
      <c r="M455" s="777"/>
      <c r="N455" s="777"/>
      <c r="O455" s="777"/>
      <c r="P455" s="631"/>
      <c r="Q455" s="777"/>
      <c r="R455" s="777"/>
      <c r="S455" s="777"/>
      <c r="T455" s="777"/>
      <c r="U455" s="631"/>
      <c r="V455" s="777"/>
      <c r="W455" s="777"/>
      <c r="X455" s="777"/>
      <c r="Y455" s="777"/>
      <c r="Z455" s="631"/>
      <c r="AA455" s="275"/>
      <c r="AB455" s="275"/>
      <c r="AC455" s="275"/>
      <c r="AD455" s="275"/>
      <c r="AE455" s="631"/>
      <c r="AF455" s="275"/>
      <c r="AG455" s="275"/>
      <c r="AH455" s="275"/>
      <c r="AI455" s="275"/>
      <c r="AJ455" s="631"/>
      <c r="AK455" s="275"/>
      <c r="AL455" s="275"/>
      <c r="AM455" s="275"/>
      <c r="AN455" s="275"/>
      <c r="AO455" s="631"/>
      <c r="AP455" s="275"/>
      <c r="AQ455" s="275"/>
      <c r="AR455" s="275"/>
      <c r="AS455" s="275"/>
      <c r="AT455" s="631"/>
      <c r="AU455" s="275"/>
      <c r="AV455" s="275"/>
      <c r="AW455" s="275"/>
      <c r="AX455" s="275"/>
      <c r="AY455" s="631"/>
      <c r="AZ455" s="275"/>
      <c r="BA455" s="275"/>
      <c r="BB455" s="275"/>
      <c r="BC455" s="275"/>
      <c r="BD455" s="631"/>
      <c r="BE455" s="275"/>
      <c r="BF455" s="275"/>
      <c r="BG455" s="275"/>
      <c r="BH455" s="275"/>
      <c r="BI455" s="631"/>
      <c r="BJ455" s="275"/>
      <c r="BK455" s="275"/>
      <c r="BL455" s="275"/>
      <c r="BM455" s="275"/>
      <c r="BN455" s="631"/>
      <c r="BO455" s="275"/>
      <c r="BP455" s="275"/>
      <c r="BQ455" s="275"/>
      <c r="BR455" s="275"/>
      <c r="BS455" s="631"/>
      <c r="BT455" s="275"/>
      <c r="BU455" s="275"/>
      <c r="BV455" s="275"/>
      <c r="BW455" s="275"/>
      <c r="BX455" s="631"/>
      <c r="BY455" s="275"/>
      <c r="BZ455" s="275"/>
      <c r="CA455" s="275"/>
      <c r="CB455" s="275"/>
      <c r="CC455" s="631"/>
      <c r="CD455" s="275"/>
      <c r="CE455" s="275"/>
      <c r="CF455" s="275"/>
      <c r="CG455" s="275"/>
      <c r="CH455" s="631"/>
      <c r="CI455" s="275"/>
      <c r="CJ455" s="275"/>
      <c r="CK455" s="275"/>
      <c r="CL455" s="630"/>
      <c r="CM455" s="631"/>
      <c r="CN455" s="275"/>
      <c r="CO455" s="275"/>
      <c r="CP455" s="275"/>
      <c r="CQ455" s="275"/>
      <c r="CR455" s="631"/>
      <c r="CS455" s="236"/>
      <c r="CT455" s="236"/>
      <c r="DA455" s="212"/>
      <c r="DB455" s="1226"/>
    </row>
    <row r="456" spans="1:106" s="207" customFormat="1" x14ac:dyDescent="0.2">
      <c r="A456" s="1271" t="s">
        <v>2063</v>
      </c>
      <c r="B456" s="1575"/>
      <c r="C456" s="1575"/>
      <c r="D456" s="1575"/>
      <c r="E456" s="1575"/>
      <c r="F456" s="1576"/>
      <c r="G456" s="1575"/>
      <c r="H456" s="1575"/>
      <c r="I456" s="1575"/>
      <c r="J456" s="1575"/>
      <c r="K456" s="1576"/>
      <c r="L456" s="1575"/>
      <c r="M456" s="1575"/>
      <c r="N456" s="1575"/>
      <c r="O456" s="1575"/>
      <c r="P456" s="1576"/>
      <c r="Q456" s="1575"/>
      <c r="R456" s="1575"/>
      <c r="S456" s="1575"/>
      <c r="T456" s="1575"/>
      <c r="U456" s="1576"/>
      <c r="V456" s="1575"/>
      <c r="W456" s="1575"/>
      <c r="X456" s="1575"/>
      <c r="Y456" s="1575"/>
      <c r="Z456" s="1576"/>
      <c r="AA456" s="1575"/>
      <c r="AB456" s="1575"/>
      <c r="AC456" s="1575"/>
      <c r="AD456" s="1575"/>
      <c r="AE456" s="1576"/>
      <c r="AF456" s="1575"/>
      <c r="AG456" s="1575"/>
      <c r="AH456" s="1575"/>
      <c r="AI456" s="1575"/>
      <c r="AJ456" s="1576"/>
      <c r="AK456" s="1575"/>
      <c r="AL456" s="1575"/>
      <c r="AM456" s="1575"/>
      <c r="AN456" s="1575"/>
      <c r="AO456" s="1576"/>
      <c r="AP456" s="1577">
        <f>AP452+AP442</f>
        <v>1952.9241280601964</v>
      </c>
      <c r="AQ456" s="1577">
        <f t="shared" ref="AQ456:BI456" si="343">AQ452+AQ442</f>
        <v>2219.4332353456261</v>
      </c>
      <c r="AR456" s="1577">
        <f t="shared" si="343"/>
        <v>2172.0834501417294</v>
      </c>
      <c r="AS456" s="1577">
        <f t="shared" si="343"/>
        <v>2670.3167559637054</v>
      </c>
      <c r="AT456" s="1578">
        <f t="shared" si="343"/>
        <v>9014.7575695112573</v>
      </c>
      <c r="AU456" s="1577">
        <f>AU452+AU442</f>
        <v>1739.6809311285951</v>
      </c>
      <c r="AV456" s="1577">
        <f t="shared" si="343"/>
        <v>1863.5174176402618</v>
      </c>
      <c r="AW456" s="1577">
        <f t="shared" si="343"/>
        <v>1904.669494854681</v>
      </c>
      <c r="AX456" s="1577">
        <f t="shared" si="343"/>
        <v>2404.6068377084412</v>
      </c>
      <c r="AY456" s="1578">
        <f t="shared" si="343"/>
        <v>7912.4746813319789</v>
      </c>
      <c r="AZ456" s="1577">
        <f>AZ452+AZ442</f>
        <v>1839.2260389449254</v>
      </c>
      <c r="BA456" s="1577">
        <f t="shared" si="343"/>
        <v>2155.0693160997425</v>
      </c>
      <c r="BB456" s="1577">
        <f t="shared" si="343"/>
        <v>2160.6033975289129</v>
      </c>
      <c r="BC456" s="1577">
        <f t="shared" si="343"/>
        <v>2749.4756174714048</v>
      </c>
      <c r="BD456" s="1578">
        <f t="shared" si="343"/>
        <v>8904.374370044985</v>
      </c>
      <c r="BE456" s="1577">
        <f>BE452+BE442</f>
        <v>2079.9969520462369</v>
      </c>
      <c r="BF456" s="1577">
        <f t="shared" si="343"/>
        <v>2417.2843617290118</v>
      </c>
      <c r="BG456" s="1577">
        <f t="shared" si="343"/>
        <v>2434.6278271639021</v>
      </c>
      <c r="BH456" s="1577">
        <f t="shared" si="343"/>
        <v>3055.1796069056131</v>
      </c>
      <c r="BI456" s="1578">
        <f t="shared" si="343"/>
        <v>9987.0887478447639</v>
      </c>
      <c r="BJ456" s="1577">
        <f t="shared" ref="BJ456:BZ456" si="344">BJ452+BJ442</f>
        <v>2316.5507069470723</v>
      </c>
      <c r="BK456" s="1577">
        <f t="shared" si="344"/>
        <v>2687.2628900431523</v>
      </c>
      <c r="BL456" s="1577">
        <f t="shared" si="344"/>
        <v>2673.0763861645933</v>
      </c>
      <c r="BM456" s="1577">
        <f t="shared" si="344"/>
        <v>3345.7575669907019</v>
      </c>
      <c r="BN456" s="1578">
        <f t="shared" si="344"/>
        <v>11022.647550145521</v>
      </c>
      <c r="BO456" s="1577">
        <f t="shared" si="344"/>
        <v>2771.9787012903339</v>
      </c>
      <c r="BP456" s="1577">
        <f>BP452+BP442</f>
        <v>3184.067391056059</v>
      </c>
      <c r="BQ456" s="1577">
        <f t="shared" si="344"/>
        <v>3181.3457517831757</v>
      </c>
      <c r="BR456" s="1577">
        <f t="shared" si="344"/>
        <v>2927.543852197774</v>
      </c>
      <c r="BS456" s="1578">
        <f t="shared" si="344"/>
        <v>12064.935696327342</v>
      </c>
      <c r="BT456" s="1577">
        <f>BT452+BT442</f>
        <v>3130.6815813441526</v>
      </c>
      <c r="BU456" s="1577">
        <f t="shared" si="344"/>
        <v>3674.8658384736636</v>
      </c>
      <c r="BV456" s="1577">
        <f t="shared" si="344"/>
        <v>3759.3401273424861</v>
      </c>
      <c r="BW456" s="1577">
        <f>BW452+BW442</f>
        <v>3478.9324827788973</v>
      </c>
      <c r="BX456" s="1578">
        <f>BX452+BX442</f>
        <v>14043.820029939199</v>
      </c>
      <c r="BY456" s="1577">
        <f>BY452+BY442</f>
        <v>3554.3698021509908</v>
      </c>
      <c r="BZ456" s="1577">
        <f t="shared" si="344"/>
        <v>4167.8040202169077</v>
      </c>
      <c r="CA456" s="1577">
        <f>CA452+CA442</f>
        <v>4244.1186983710641</v>
      </c>
      <c r="CB456" s="1577">
        <f>CB452+CB442</f>
        <v>3847.8755831544386</v>
      </c>
      <c r="CC456" s="1578">
        <f>CC452+CC442</f>
        <v>15814.1681038934</v>
      </c>
      <c r="CD456" s="1577">
        <f>CD452+CD443</f>
        <v>5387.1781874862299</v>
      </c>
      <c r="CE456" s="1577">
        <f>CE452+CE442</f>
        <v>4561.3246617668592</v>
      </c>
      <c r="CF456" s="1577">
        <f t="shared" ref="CF456:CL456" si="345">CF452+CF442</f>
        <v>4568.5901711173428</v>
      </c>
      <c r="CG456" s="1577">
        <f t="shared" si="345"/>
        <v>5861.8267417208535</v>
      </c>
      <c r="CH456" s="1578">
        <f t="shared" si="345"/>
        <v>18935.082585531323</v>
      </c>
      <c r="CI456" s="1577">
        <f t="shared" ca="1" si="345"/>
        <v>6115.1128469802879</v>
      </c>
      <c r="CJ456" s="1577">
        <f t="shared" ca="1" si="345"/>
        <v>7053.8609945068629</v>
      </c>
      <c r="CK456" s="1577">
        <f t="shared" ca="1" si="345"/>
        <v>7322.3527617328655</v>
      </c>
      <c r="CL456" s="2967">
        <f t="shared" ca="1" si="345"/>
        <v>6753.466882501566</v>
      </c>
      <c r="CM456" s="1578">
        <f t="shared" ref="CM456:CT456" ca="1" si="346">CM452+CM442</f>
        <v>27244.793485721581</v>
      </c>
      <c r="CN456" s="1577">
        <f t="shared" ca="1" si="346"/>
        <v>6689.5757835527629</v>
      </c>
      <c r="CO456" s="1577">
        <f t="shared" ca="1" si="346"/>
        <v>7746.9609886500284</v>
      </c>
      <c r="CP456" s="1577">
        <f t="shared" ca="1" si="346"/>
        <v>7999.4919035174644</v>
      </c>
      <c r="CQ456" s="1577">
        <f t="shared" ca="1" si="346"/>
        <v>7344.2476887232651</v>
      </c>
      <c r="CR456" s="1578">
        <f ca="1">CR452+CR442</f>
        <v>29780.276364443522</v>
      </c>
      <c r="CS456" s="1578">
        <f t="shared" ca="1" si="346"/>
        <v>32474.852871201438</v>
      </c>
      <c r="CT456" s="1578">
        <f t="shared" ca="1" si="346"/>
        <v>33174.875710410735</v>
      </c>
      <c r="DA456" s="212"/>
      <c r="DB456" s="1226"/>
    </row>
    <row r="457" spans="1:106" s="207" customFormat="1" x14ac:dyDescent="0.2">
      <c r="A457" s="1571" t="s">
        <v>652</v>
      </c>
      <c r="B457" s="777"/>
      <c r="C457" s="777"/>
      <c r="D457" s="777"/>
      <c r="E457" s="777"/>
      <c r="F457" s="235"/>
      <c r="G457" s="777"/>
      <c r="H457" s="777"/>
      <c r="I457" s="777"/>
      <c r="J457" s="777"/>
      <c r="K457" s="235"/>
      <c r="L457" s="777"/>
      <c r="M457" s="777"/>
      <c r="N457" s="777"/>
      <c r="O457" s="777"/>
      <c r="P457" s="631"/>
      <c r="Q457" s="777"/>
      <c r="R457" s="777"/>
      <c r="S457" s="777"/>
      <c r="T457" s="777"/>
      <c r="U457" s="631"/>
      <c r="V457" s="777"/>
      <c r="W457" s="777"/>
      <c r="X457" s="777"/>
      <c r="Y457" s="777"/>
      <c r="Z457" s="631"/>
      <c r="AA457" s="275"/>
      <c r="AB457" s="275"/>
      <c r="AC457" s="275"/>
      <c r="AD457" s="275"/>
      <c r="AE457" s="631"/>
      <c r="AF457" s="275"/>
      <c r="AG457" s="275"/>
      <c r="AH457" s="275"/>
      <c r="AI457" s="275"/>
      <c r="AJ457" s="631"/>
      <c r="AK457" s="275"/>
      <c r="AL457" s="275"/>
      <c r="AM457" s="275"/>
      <c r="AN457" s="275"/>
      <c r="AO457" s="631"/>
      <c r="AP457" s="899"/>
      <c r="AQ457" s="899"/>
      <c r="AR457" s="899"/>
      <c r="AS457" s="899"/>
      <c r="AT457" s="1003"/>
      <c r="AU457" s="899">
        <f t="shared" ref="AU457:BT457" si="347">+AU456/AP456-1</f>
        <v>-0.1091917468106719</v>
      </c>
      <c r="AV457" s="899">
        <f t="shared" si="347"/>
        <v>-0.1603633810818097</v>
      </c>
      <c r="AW457" s="899">
        <f t="shared" si="347"/>
        <v>-0.12311403379534036</v>
      </c>
      <c r="AX457" s="899">
        <f t="shared" si="347"/>
        <v>-9.9505018519561617E-2</v>
      </c>
      <c r="AY457" s="1003">
        <f t="shared" si="347"/>
        <v>-0.12227537786565679</v>
      </c>
      <c r="AZ457" s="899">
        <f t="shared" si="347"/>
        <v>5.7220324736072081E-2</v>
      </c>
      <c r="BA457" s="899">
        <f t="shared" si="347"/>
        <v>0.15645246762902154</v>
      </c>
      <c r="BB457" s="899">
        <f t="shared" si="347"/>
        <v>0.13437181797976905</v>
      </c>
      <c r="BC457" s="899">
        <f t="shared" si="347"/>
        <v>0.14342002790427855</v>
      </c>
      <c r="BD457" s="1003">
        <f t="shared" si="347"/>
        <v>0.12535897158106679</v>
      </c>
      <c r="BE457" s="899">
        <f t="shared" si="347"/>
        <v>0.1309088214298173</v>
      </c>
      <c r="BF457" s="899">
        <f t="shared" si="347"/>
        <v>0.12167360171218422</v>
      </c>
      <c r="BG457" s="899">
        <f t="shared" si="347"/>
        <v>0.12682773245121792</v>
      </c>
      <c r="BH457" s="899">
        <f t="shared" si="347"/>
        <v>0.11118628857503876</v>
      </c>
      <c r="BI457" s="1003">
        <f t="shared" si="347"/>
        <v>0.12159353737889944</v>
      </c>
      <c r="BJ457" s="899">
        <f t="shared" si="347"/>
        <v>0.1137279334318837</v>
      </c>
      <c r="BK457" s="899">
        <f t="shared" si="347"/>
        <v>0.11168670620159582</v>
      </c>
      <c r="BL457" s="899">
        <f t="shared" si="347"/>
        <v>9.7940455760936462E-2</v>
      </c>
      <c r="BM457" s="899">
        <f t="shared" si="347"/>
        <v>9.5109943594902324E-2</v>
      </c>
      <c r="BN457" s="1003">
        <f t="shared" si="347"/>
        <v>0.10368975668952896</v>
      </c>
      <c r="BO457" s="899">
        <f t="shared" si="347"/>
        <v>0.19659746405614387</v>
      </c>
      <c r="BP457" s="899">
        <f t="shared" si="347"/>
        <v>0.18487379960243833</v>
      </c>
      <c r="BQ457" s="899">
        <f t="shared" si="347"/>
        <v>0.19014397353150914</v>
      </c>
      <c r="BR457" s="899">
        <f t="shared" si="347"/>
        <v>-0.12499821233882313</v>
      </c>
      <c r="BS457" s="1003">
        <f t="shared" si="347"/>
        <v>9.4558783762260568E-2</v>
      </c>
      <c r="BT457" s="899">
        <f t="shared" si="347"/>
        <v>0.129403187653226</v>
      </c>
      <c r="BU457" s="899">
        <f t="shared" ref="BU457:CD457" si="348">+BU456/BP456-1</f>
        <v>0.15414197852603295</v>
      </c>
      <c r="BV457" s="899">
        <f t="shared" si="348"/>
        <v>0.18168235100989527</v>
      </c>
      <c r="BW457" s="899">
        <f>+BW456/BR456-1</f>
        <v>0.18834513107879958</v>
      </c>
      <c r="BX457" s="1003">
        <f>+BX456/BS456-1</f>
        <v>0.16401946793750799</v>
      </c>
      <c r="BY457" s="899">
        <f>+BY456/BT456-1</f>
        <v>0.13533417877168086</v>
      </c>
      <c r="BZ457" s="899">
        <f t="shared" si="348"/>
        <v>0.13413773547389773</v>
      </c>
      <c r="CA457" s="899">
        <f t="shared" si="348"/>
        <v>0.12895310203582788</v>
      </c>
      <c r="CB457" s="899">
        <f t="shared" si="348"/>
        <v>0.1060506641625989</v>
      </c>
      <c r="CC457" s="1003">
        <f t="shared" si="348"/>
        <v>0.1260588693233109</v>
      </c>
      <c r="CD457" s="899">
        <f t="shared" si="348"/>
        <v>0.51564932389029483</v>
      </c>
      <c r="CE457" s="899">
        <f t="shared" ref="CE457:CM457" si="349">+CE456/BZ456-1</f>
        <v>9.4419180854255158E-2</v>
      </c>
      <c r="CF457" s="899">
        <f t="shared" si="349"/>
        <v>7.6452025922558287E-2</v>
      </c>
      <c r="CG457" s="899">
        <f t="shared" si="349"/>
        <v>0.52339300350127327</v>
      </c>
      <c r="CH457" s="1003">
        <f t="shared" si="349"/>
        <v>0.19734926688110543</v>
      </c>
      <c r="CI457" s="899">
        <f t="shared" ca="1" si="349"/>
        <v>0.13512355340036142</v>
      </c>
      <c r="CJ457" s="899">
        <f t="shared" ca="1" si="349"/>
        <v>0.54645010332908495</v>
      </c>
      <c r="CK457" s="899">
        <f t="shared" ca="1" si="349"/>
        <v>0.60275982031061304</v>
      </c>
      <c r="CL457" s="1268">
        <f t="shared" ca="1" si="349"/>
        <v>0.15210960338260593</v>
      </c>
      <c r="CM457" s="1003">
        <f t="shared" ca="1" si="349"/>
        <v>0.43885263571756883</v>
      </c>
      <c r="CN457" s="899">
        <f ca="1">+CN456/CI456-1</f>
        <v>9.3941510311809084E-2</v>
      </c>
      <c r="CO457" s="899">
        <f ca="1">+CO456/CJ456-1</f>
        <v>9.8258243915340993E-2</v>
      </c>
      <c r="CP457" s="899">
        <f ca="1">+CP456/CK456-1</f>
        <v>9.247562413591659E-2</v>
      </c>
      <c r="CQ457" s="899">
        <f ca="1">+CQ456/CL456-1</f>
        <v>8.7478152554864685E-2</v>
      </c>
      <c r="CR457" s="1003">
        <f ca="1">+CR456/CM456-1</f>
        <v>9.3063024318783549E-2</v>
      </c>
      <c r="CS457" s="1268">
        <f ca="1">+CS456/CR456-1</f>
        <v>9.0481917420186742E-2</v>
      </c>
      <c r="CT457" s="1268">
        <f ca="1">+CT456/CS456-1</f>
        <v>2.1555843285438803E-2</v>
      </c>
      <c r="DA457" s="212"/>
      <c r="DB457" s="1226"/>
    </row>
    <row r="458" spans="1:106" s="207" customFormat="1" x14ac:dyDescent="0.2">
      <c r="A458" s="1571"/>
      <c r="B458" s="777"/>
      <c r="C458" s="777"/>
      <c r="D458" s="777"/>
      <c r="E458" s="777"/>
      <c r="F458" s="235"/>
      <c r="G458" s="777"/>
      <c r="H458" s="777"/>
      <c r="I458" s="777"/>
      <c r="J458" s="777"/>
      <c r="K458" s="235"/>
      <c r="L458" s="777"/>
      <c r="M458" s="777"/>
      <c r="N458" s="777"/>
      <c r="O458" s="777"/>
      <c r="P458" s="631"/>
      <c r="Q458" s="777"/>
      <c r="R458" s="777"/>
      <c r="S458" s="777"/>
      <c r="T458" s="777"/>
      <c r="U458" s="631"/>
      <c r="V458" s="777"/>
      <c r="W458" s="777"/>
      <c r="X458" s="777"/>
      <c r="Y458" s="777"/>
      <c r="Z458" s="631"/>
      <c r="AA458" s="275"/>
      <c r="AB458" s="275"/>
      <c r="AC458" s="275"/>
      <c r="AD458" s="275"/>
      <c r="AE458" s="631"/>
      <c r="AF458" s="275"/>
      <c r="AG458" s="275"/>
      <c r="AH458" s="275"/>
      <c r="AI458" s="275"/>
      <c r="AJ458" s="631"/>
      <c r="AK458" s="275"/>
      <c r="AL458" s="275"/>
      <c r="AM458" s="275"/>
      <c r="AN458" s="275"/>
      <c r="AO458" s="631"/>
      <c r="AP458" s="275"/>
      <c r="AQ458" s="275"/>
      <c r="AR458" s="275"/>
      <c r="AS458" s="275"/>
      <c r="AT458" s="631"/>
      <c r="AU458" s="275"/>
      <c r="AV458" s="275"/>
      <c r="AW458" s="275"/>
      <c r="AX458" s="275"/>
      <c r="AY458" s="631"/>
      <c r="AZ458" s="275"/>
      <c r="BA458" s="275"/>
      <c r="BB458" s="275"/>
      <c r="BC458" s="275"/>
      <c r="BD458" s="631"/>
      <c r="BE458" s="275"/>
      <c r="BF458" s="275"/>
      <c r="BG458" s="275"/>
      <c r="BH458" s="275"/>
      <c r="BI458" s="631"/>
      <c r="BJ458" s="275"/>
      <c r="BK458" s="275"/>
      <c r="BL458" s="275"/>
      <c r="BM458" s="275"/>
      <c r="BN458" s="631"/>
      <c r="BO458" s="275"/>
      <c r="BP458" s="275"/>
      <c r="BQ458" s="275"/>
      <c r="BR458" s="275"/>
      <c r="BS458" s="631"/>
      <c r="BT458" s="275"/>
      <c r="BU458" s="275"/>
      <c r="BV458" s="275"/>
      <c r="BW458" s="275"/>
      <c r="BX458" s="631"/>
      <c r="BY458" s="275"/>
      <c r="BZ458" s="275"/>
      <c r="CA458" s="275"/>
      <c r="CB458" s="275"/>
      <c r="CC458" s="631"/>
      <c r="CD458" s="275"/>
      <c r="CE458" s="275"/>
      <c r="CF458" s="275"/>
      <c r="CG458" s="275"/>
      <c r="CH458" s="631"/>
      <c r="CI458" s="275"/>
      <c r="CJ458" s="275"/>
      <c r="CK458" s="275"/>
      <c r="CL458" s="630"/>
      <c r="CM458" s="631"/>
      <c r="CN458" s="275"/>
      <c r="CO458" s="275"/>
      <c r="CP458" s="275"/>
      <c r="CQ458" s="630"/>
      <c r="CR458" s="236"/>
      <c r="CS458" s="236"/>
      <c r="CT458" s="236"/>
      <c r="DA458" s="212"/>
      <c r="DB458" s="1226"/>
    </row>
    <row r="459" spans="1:106" s="207" customFormat="1" x14ac:dyDescent="0.2">
      <c r="A459" s="1437" t="s">
        <v>549</v>
      </c>
      <c r="B459" s="777"/>
      <c r="C459" s="777"/>
      <c r="D459" s="777"/>
      <c r="E459" s="777"/>
      <c r="F459" s="235"/>
      <c r="G459" s="777"/>
      <c r="H459" s="777"/>
      <c r="I459" s="777"/>
      <c r="J459" s="777"/>
      <c r="K459" s="235"/>
      <c r="L459" s="777"/>
      <c r="M459" s="777"/>
      <c r="N459" s="777"/>
      <c r="O459" s="777"/>
      <c r="P459" s="631"/>
      <c r="Q459" s="777"/>
      <c r="R459" s="777"/>
      <c r="S459" s="777"/>
      <c r="T459" s="777"/>
      <c r="U459" s="631"/>
      <c r="V459" s="777"/>
      <c r="W459" s="777"/>
      <c r="X459" s="777"/>
      <c r="Y459" s="777"/>
      <c r="Z459" s="631"/>
      <c r="AA459" s="275"/>
      <c r="AB459" s="275"/>
      <c r="AC459" s="275"/>
      <c r="AD459" s="275"/>
      <c r="AE459" s="631"/>
      <c r="AF459" s="275"/>
      <c r="AG459" s="275"/>
      <c r="AH459" s="275"/>
      <c r="AI459" s="275"/>
      <c r="AJ459" s="631"/>
      <c r="AK459" s="275"/>
      <c r="AL459" s="275"/>
      <c r="AM459" s="275"/>
      <c r="AN459" s="275"/>
      <c r="AO459" s="631"/>
      <c r="AP459" s="275"/>
      <c r="AQ459" s="275"/>
      <c r="AR459" s="275"/>
      <c r="AS459" s="275"/>
      <c r="AT459" s="631"/>
      <c r="AU459" s="275"/>
      <c r="AV459" s="275"/>
      <c r="AW459" s="275"/>
      <c r="AX459" s="275"/>
      <c r="AY459" s="631"/>
      <c r="AZ459" s="275"/>
      <c r="BA459" s="275"/>
      <c r="BB459" s="275"/>
      <c r="BC459" s="275"/>
      <c r="BD459" s="631"/>
      <c r="BE459" s="275"/>
      <c r="BF459" s="275"/>
      <c r="BG459" s="275"/>
      <c r="BH459" s="275"/>
      <c r="BI459" s="631"/>
      <c r="BJ459" s="275"/>
      <c r="BK459" s="275"/>
      <c r="BL459" s="275"/>
      <c r="BM459" s="275"/>
      <c r="BN459" s="631"/>
      <c r="BO459" s="275"/>
      <c r="BP459" s="275"/>
      <c r="BQ459" s="275"/>
      <c r="BR459" s="275"/>
      <c r="BS459" s="631"/>
      <c r="BT459" s="275"/>
      <c r="BU459" s="275"/>
      <c r="BV459" s="275"/>
      <c r="BW459" s="275"/>
      <c r="BX459" s="631"/>
      <c r="BY459" s="275"/>
      <c r="BZ459" s="275"/>
      <c r="CA459" s="275"/>
      <c r="CB459" s="275"/>
      <c r="CC459" s="631"/>
      <c r="CD459" s="275"/>
      <c r="CE459" s="275"/>
      <c r="CF459" s="275"/>
      <c r="CG459" s="275"/>
      <c r="CH459" s="631"/>
      <c r="CI459" s="275"/>
      <c r="CJ459" s="275"/>
      <c r="CK459" s="275"/>
      <c r="CL459" s="630"/>
      <c r="CM459" s="631"/>
      <c r="CN459" s="275"/>
      <c r="CO459" s="275"/>
      <c r="CP459" s="275"/>
      <c r="CQ459" s="630"/>
      <c r="CR459" s="236"/>
      <c r="CS459" s="236"/>
      <c r="CT459" s="236"/>
      <c r="DA459" s="212"/>
      <c r="DB459" s="1226"/>
    </row>
    <row r="460" spans="1:106" s="207" customFormat="1" x14ac:dyDescent="0.2">
      <c r="A460" s="1434" t="s">
        <v>346</v>
      </c>
      <c r="B460" s="777"/>
      <c r="C460" s="777"/>
      <c r="D460" s="777"/>
      <c r="E460" s="777"/>
      <c r="F460" s="235"/>
      <c r="G460" s="777"/>
      <c r="H460" s="777"/>
      <c r="I460" s="777"/>
      <c r="J460" s="777"/>
      <c r="K460" s="235"/>
      <c r="L460" s="777"/>
      <c r="M460" s="777"/>
      <c r="N460" s="777"/>
      <c r="O460" s="777"/>
      <c r="P460" s="631"/>
      <c r="Q460" s="777"/>
      <c r="R460" s="777"/>
      <c r="S460" s="777"/>
      <c r="T460" s="777"/>
      <c r="U460" s="631"/>
      <c r="V460" s="777"/>
      <c r="W460" s="777"/>
      <c r="X460" s="777"/>
      <c r="Y460" s="777"/>
      <c r="Z460" s="631"/>
      <c r="AA460" s="275"/>
      <c r="AB460" s="275"/>
      <c r="AC460" s="275"/>
      <c r="AD460" s="275"/>
      <c r="AE460" s="631"/>
      <c r="AF460" s="275"/>
      <c r="AG460" s="275"/>
      <c r="AH460" s="275"/>
      <c r="AI460" s="275"/>
      <c r="AJ460" s="631"/>
      <c r="AK460" s="884">
        <f t="shared" ref="AK460:BP460" si="350">+AK422/AK$442</f>
        <v>0.30718556265686608</v>
      </c>
      <c r="AL460" s="884">
        <f t="shared" si="350"/>
        <v>0.29567349953384936</v>
      </c>
      <c r="AM460" s="884">
        <f t="shared" si="350"/>
        <v>0.27777933355761947</v>
      </c>
      <c r="AN460" s="884">
        <f t="shared" si="350"/>
        <v>0.28729050542223827</v>
      </c>
      <c r="AO460" s="1512">
        <f t="shared" si="350"/>
        <v>0.29113727573824921</v>
      </c>
      <c r="AP460" s="884">
        <f t="shared" si="350"/>
        <v>0.2857040364139537</v>
      </c>
      <c r="AQ460" s="884">
        <f t="shared" si="350"/>
        <v>0.28064106613309059</v>
      </c>
      <c r="AR460" s="884">
        <f t="shared" si="350"/>
        <v>0.26563588308181102</v>
      </c>
      <c r="AS460" s="884">
        <f t="shared" si="350"/>
        <v>0.2786945795837501</v>
      </c>
      <c r="AT460" s="1512">
        <f t="shared" si="350"/>
        <v>0.27752355758346969</v>
      </c>
      <c r="AU460" s="884">
        <f t="shared" si="350"/>
        <v>0.27347493238429382</v>
      </c>
      <c r="AV460" s="884">
        <f t="shared" si="350"/>
        <v>0.26654337573166376</v>
      </c>
      <c r="AW460" s="884">
        <f t="shared" si="350"/>
        <v>0.25106309755106093</v>
      </c>
      <c r="AX460" s="884">
        <f t="shared" si="350"/>
        <v>0.27279037721740168</v>
      </c>
      <c r="AY460" s="1512">
        <f t="shared" si="350"/>
        <v>0.26618553168260156</v>
      </c>
      <c r="AZ460" s="884">
        <f t="shared" si="350"/>
        <v>0.26603464366411567</v>
      </c>
      <c r="BA460" s="884">
        <f t="shared" si="350"/>
        <v>0.25611072511621735</v>
      </c>
      <c r="BB460" s="884">
        <f t="shared" si="350"/>
        <v>0.23851101768060562</v>
      </c>
      <c r="BC460" s="884">
        <f t="shared" si="350"/>
        <v>0.25084618596814623</v>
      </c>
      <c r="BD460" s="1512">
        <f t="shared" si="350"/>
        <v>0.2522592810686084</v>
      </c>
      <c r="BE460" s="884">
        <f t="shared" si="350"/>
        <v>0.25526570515519592</v>
      </c>
      <c r="BF460" s="884">
        <f t="shared" si="350"/>
        <v>0.25151709013085727</v>
      </c>
      <c r="BG460" s="884">
        <f t="shared" si="350"/>
        <v>0.23226262564005271</v>
      </c>
      <c r="BH460" s="884">
        <f t="shared" si="350"/>
        <v>0.24779645792762703</v>
      </c>
      <c r="BI460" s="1512">
        <f t="shared" si="350"/>
        <v>0.24647203802957018</v>
      </c>
      <c r="BJ460" s="884">
        <f t="shared" si="350"/>
        <v>0.25107655871901008</v>
      </c>
      <c r="BK460" s="884">
        <f t="shared" si="350"/>
        <v>0.2428262649275551</v>
      </c>
      <c r="BL460" s="884">
        <f t="shared" si="350"/>
        <v>0.22727725089157655</v>
      </c>
      <c r="BM460" s="884">
        <f t="shared" si="350"/>
        <v>0.2419864168468604</v>
      </c>
      <c r="BN460" s="1512">
        <f t="shared" si="350"/>
        <v>0.24051334424468049</v>
      </c>
      <c r="BO460" s="884">
        <f t="shared" si="350"/>
        <v>0.24375153041705669</v>
      </c>
      <c r="BP460" s="884">
        <f t="shared" si="350"/>
        <v>0.23355239826615798</v>
      </c>
      <c r="BQ460" s="884">
        <f t="shared" ref="BQ460:CF460" si="351">+BQ422/BQ$442</f>
        <v>0.21998127923214417</v>
      </c>
      <c r="BR460" s="884">
        <f t="shared" si="351"/>
        <v>0.2330901441707981</v>
      </c>
      <c r="BS460" s="1512">
        <f t="shared" si="351"/>
        <v>0.23218314358071315</v>
      </c>
      <c r="BT460" s="884">
        <f t="shared" si="351"/>
        <v>0.23441595668514317</v>
      </c>
      <c r="BU460" s="884">
        <f t="shared" si="351"/>
        <v>0.22263240794790246</v>
      </c>
      <c r="BV460" s="884">
        <f t="shared" si="351"/>
        <v>0.21291955486814088</v>
      </c>
      <c r="BW460" s="884">
        <f t="shared" si="351"/>
        <v>0.22167246824272127</v>
      </c>
      <c r="BX460" s="1512">
        <f t="shared" si="351"/>
        <v>0.22243486896447692</v>
      </c>
      <c r="BY460" s="884">
        <f t="shared" si="351"/>
        <v>0.22144546170067395</v>
      </c>
      <c r="BZ460" s="884">
        <f t="shared" si="351"/>
        <v>0.21682382589790003</v>
      </c>
      <c r="CA460" s="884">
        <f t="shared" si="351"/>
        <v>0.20694102859938687</v>
      </c>
      <c r="CB460" s="884">
        <f t="shared" si="351"/>
        <v>0.21470393332065724</v>
      </c>
      <c r="CC460" s="1512">
        <f t="shared" si="351"/>
        <v>0.21466343198499971</v>
      </c>
      <c r="CD460" s="884">
        <f t="shared" si="351"/>
        <v>0.21537571345064352</v>
      </c>
      <c r="CE460" s="884">
        <f t="shared" si="351"/>
        <v>0.21243971494005187</v>
      </c>
      <c r="CF460" s="884">
        <f t="shared" si="351"/>
        <v>0.19788244778519959</v>
      </c>
      <c r="CG460" s="884"/>
      <c r="CH460" s="1512"/>
      <c r="CI460" s="884"/>
      <c r="CJ460" s="884"/>
      <c r="CK460" s="884"/>
      <c r="CL460" s="2968"/>
      <c r="CM460" s="1512"/>
      <c r="CN460" s="884"/>
      <c r="CO460" s="884"/>
      <c r="CP460" s="884"/>
      <c r="CQ460" s="2968"/>
      <c r="CR460" s="1512"/>
      <c r="CS460" s="1512"/>
      <c r="CT460" s="1512"/>
      <c r="DA460" s="212"/>
      <c r="DB460" s="1226"/>
    </row>
    <row r="461" spans="1:106" s="207" customFormat="1" x14ac:dyDescent="0.2">
      <c r="A461" s="1434" t="s">
        <v>1385</v>
      </c>
      <c r="B461" s="777"/>
      <c r="C461" s="777"/>
      <c r="D461" s="777"/>
      <c r="E461" s="777"/>
      <c r="F461" s="235"/>
      <c r="G461" s="777"/>
      <c r="H461" s="777"/>
      <c r="I461" s="777"/>
      <c r="J461" s="777"/>
      <c r="K461" s="235"/>
      <c r="L461" s="777"/>
      <c r="M461" s="777"/>
      <c r="N461" s="777"/>
      <c r="O461" s="777"/>
      <c r="P461" s="631"/>
      <c r="Q461" s="777"/>
      <c r="R461" s="777"/>
      <c r="S461" s="777"/>
      <c r="T461" s="777"/>
      <c r="U461" s="631"/>
      <c r="V461" s="777"/>
      <c r="W461" s="777"/>
      <c r="X461" s="777"/>
      <c r="Y461" s="777"/>
      <c r="Z461" s="631"/>
      <c r="AA461" s="275"/>
      <c r="AB461" s="275"/>
      <c r="AC461" s="275"/>
      <c r="AD461" s="275"/>
      <c r="AE461" s="631"/>
      <c r="AF461" s="275"/>
      <c r="AG461" s="275"/>
      <c r="AH461" s="275"/>
      <c r="AI461" s="275"/>
      <c r="AJ461" s="631"/>
      <c r="AK461" s="884">
        <f t="shared" ref="AK461:BP461" si="352">+AK423/AK$442</f>
        <v>4.842322257285607E-2</v>
      </c>
      <c r="AL461" s="884">
        <f t="shared" si="352"/>
        <v>5.1937375988159215E-2</v>
      </c>
      <c r="AM461" s="884">
        <f t="shared" si="352"/>
        <v>4.7848549269271616E-2</v>
      </c>
      <c r="AN461" s="884">
        <f t="shared" si="352"/>
        <v>5.4429742222942008E-2</v>
      </c>
      <c r="AO461" s="1512">
        <f t="shared" si="352"/>
        <v>5.0998642663336438E-2</v>
      </c>
      <c r="AP461" s="884">
        <f t="shared" si="352"/>
        <v>5.657922322279501E-2</v>
      </c>
      <c r="AQ461" s="884">
        <f t="shared" si="352"/>
        <v>5.6168170332188565E-2</v>
      </c>
      <c r="AR461" s="884">
        <f t="shared" si="352"/>
        <v>4.9847048142070138E-2</v>
      </c>
      <c r="AS461" s="884">
        <f t="shared" si="352"/>
        <v>5.3427844399182384E-2</v>
      </c>
      <c r="AT461" s="1512">
        <f t="shared" si="352"/>
        <v>5.3914031545208463E-2</v>
      </c>
      <c r="AU461" s="884">
        <f t="shared" si="352"/>
        <v>5.489368107198777E-2</v>
      </c>
      <c r="AV461" s="884">
        <f t="shared" si="352"/>
        <v>5.2771302208333905E-2</v>
      </c>
      <c r="AW461" s="884">
        <f t="shared" si="352"/>
        <v>4.8696311416454308E-2</v>
      </c>
      <c r="AX461" s="884">
        <f t="shared" si="352"/>
        <v>5.4501963066459637E-2</v>
      </c>
      <c r="AY461" s="1512">
        <f t="shared" si="352"/>
        <v>5.2768530442110273E-2</v>
      </c>
      <c r="AZ461" s="884">
        <f t="shared" si="352"/>
        <v>5.3675042478852165E-2</v>
      </c>
      <c r="BA461" s="884">
        <f t="shared" si="352"/>
        <v>5.3870594789724127E-2</v>
      </c>
      <c r="BB461" s="884">
        <f t="shared" si="352"/>
        <v>4.7315309994616223E-2</v>
      </c>
      <c r="BC461" s="884">
        <f t="shared" si="352"/>
        <v>5.1259453623115209E-2</v>
      </c>
      <c r="BD461" s="1512">
        <f t="shared" si="352"/>
        <v>5.143060505420266E-2</v>
      </c>
      <c r="BE461" s="884">
        <f t="shared" si="352"/>
        <v>5.1764719139144245E-2</v>
      </c>
      <c r="BF461" s="884">
        <f t="shared" si="352"/>
        <v>5.0116541022372174E-2</v>
      </c>
      <c r="BG461" s="884">
        <f t="shared" si="352"/>
        <v>4.5313266113994811E-2</v>
      </c>
      <c r="BH461" s="884">
        <f t="shared" si="352"/>
        <v>4.9293572737212361E-2</v>
      </c>
      <c r="BI461" s="1512">
        <f t="shared" si="352"/>
        <v>4.9039672220220397E-2</v>
      </c>
      <c r="BJ461" s="884">
        <f t="shared" si="352"/>
        <v>5.0562189751511166E-2</v>
      </c>
      <c r="BK461" s="884">
        <f t="shared" si="352"/>
        <v>4.9755394979602768E-2</v>
      </c>
      <c r="BL461" s="884">
        <f t="shared" si="352"/>
        <v>4.4596133287785181E-2</v>
      </c>
      <c r="BM461" s="884">
        <f t="shared" si="352"/>
        <v>4.8689731505468306E-2</v>
      </c>
      <c r="BN461" s="1512">
        <f t="shared" si="352"/>
        <v>4.8344346741940235E-2</v>
      </c>
      <c r="BO461" s="884">
        <f t="shared" si="352"/>
        <v>4.9730974800033197E-2</v>
      </c>
      <c r="BP461" s="884">
        <f t="shared" si="352"/>
        <v>4.7674055569202442E-2</v>
      </c>
      <c r="BQ461" s="884">
        <f t="shared" ref="BQ461:CF461" si="353">+BQ423/BQ$442</f>
        <v>4.2614018217443851E-2</v>
      </c>
      <c r="BR461" s="884">
        <f t="shared" si="353"/>
        <v>4.4986972576832041E-2</v>
      </c>
      <c r="BS461" s="1512">
        <f t="shared" si="353"/>
        <v>4.6159651986191437E-2</v>
      </c>
      <c r="BT461" s="884">
        <f t="shared" si="353"/>
        <v>4.4556977685319139E-2</v>
      </c>
      <c r="BU461" s="884">
        <f t="shared" si="353"/>
        <v>4.4724448580960349E-2</v>
      </c>
      <c r="BV461" s="884">
        <f t="shared" si="353"/>
        <v>4.2540887199402924E-2</v>
      </c>
      <c r="BW461" s="884">
        <f t="shared" si="353"/>
        <v>4.3952879166023459E-2</v>
      </c>
      <c r="BX461" s="1512">
        <f t="shared" si="353"/>
        <v>4.3911969228743249E-2</v>
      </c>
      <c r="BY461" s="884">
        <f t="shared" si="353"/>
        <v>4.5001748724473219E-2</v>
      </c>
      <c r="BZ461" s="884">
        <f t="shared" si="353"/>
        <v>4.3005890761551618E-2</v>
      </c>
      <c r="CA461" s="884">
        <f t="shared" si="353"/>
        <v>4.0901733308048104E-2</v>
      </c>
      <c r="CB461" s="884">
        <f t="shared" si="353"/>
        <v>4.5632377909968103E-2</v>
      </c>
      <c r="CC461" s="1512">
        <f t="shared" si="353"/>
        <v>4.3511050304640732E-2</v>
      </c>
      <c r="CD461" s="884">
        <f t="shared" si="353"/>
        <v>4.8687981014156077E-2</v>
      </c>
      <c r="CE461" s="884">
        <f t="shared" si="353"/>
        <v>4.859112768320295E-2</v>
      </c>
      <c r="CF461" s="884">
        <f t="shared" si="353"/>
        <v>4.5189611087380933E-2</v>
      </c>
      <c r="CG461" s="884"/>
      <c r="CH461" s="1512"/>
      <c r="CI461" s="884"/>
      <c r="CJ461" s="884"/>
      <c r="CK461" s="884"/>
      <c r="CL461" s="2968"/>
      <c r="CM461" s="1512"/>
      <c r="CN461" s="884"/>
      <c r="CO461" s="884"/>
      <c r="CP461" s="884"/>
      <c r="CQ461" s="2968"/>
      <c r="CR461" s="1512"/>
      <c r="CS461" s="1512"/>
      <c r="CT461" s="1512"/>
      <c r="DA461" s="212"/>
      <c r="DB461" s="1226"/>
    </row>
    <row r="462" spans="1:106" s="207" customFormat="1" x14ac:dyDescent="0.2">
      <c r="A462" s="1434" t="s">
        <v>2065</v>
      </c>
      <c r="B462" s="777"/>
      <c r="C462" s="777"/>
      <c r="D462" s="777"/>
      <c r="E462" s="777"/>
      <c r="F462" s="235"/>
      <c r="G462" s="777"/>
      <c r="H462" s="777"/>
      <c r="I462" s="777"/>
      <c r="J462" s="777"/>
      <c r="K462" s="235"/>
      <c r="L462" s="777"/>
      <c r="M462" s="777"/>
      <c r="N462" s="777"/>
      <c r="O462" s="777"/>
      <c r="P462" s="631"/>
      <c r="Q462" s="777"/>
      <c r="R462" s="777"/>
      <c r="S462" s="777"/>
      <c r="T462" s="777"/>
      <c r="U462" s="631"/>
      <c r="V462" s="777"/>
      <c r="W462" s="777"/>
      <c r="X462" s="777"/>
      <c r="Y462" s="777"/>
      <c r="Z462" s="631"/>
      <c r="AA462" s="275"/>
      <c r="AB462" s="275"/>
      <c r="AC462" s="275"/>
      <c r="AD462" s="275"/>
      <c r="AE462" s="631"/>
      <c r="AF462" s="275"/>
      <c r="AG462" s="275"/>
      <c r="AH462" s="275"/>
      <c r="AI462" s="275"/>
      <c r="AJ462" s="631"/>
      <c r="AK462" s="884">
        <f t="shared" ref="AK462:BP462" si="354">+AK424/AK$442</f>
        <v>0</v>
      </c>
      <c r="AL462" s="884">
        <f t="shared" si="354"/>
        <v>0</v>
      </c>
      <c r="AM462" s="884">
        <f t="shared" si="354"/>
        <v>0</v>
      </c>
      <c r="AN462" s="884">
        <f t="shared" si="354"/>
        <v>0</v>
      </c>
      <c r="AO462" s="1512">
        <f t="shared" si="354"/>
        <v>0</v>
      </c>
      <c r="AP462" s="884">
        <f t="shared" si="354"/>
        <v>0</v>
      </c>
      <c r="AQ462" s="884">
        <f t="shared" si="354"/>
        <v>0</v>
      </c>
      <c r="AR462" s="884">
        <f t="shared" si="354"/>
        <v>0</v>
      </c>
      <c r="AS462" s="884">
        <f t="shared" si="354"/>
        <v>0</v>
      </c>
      <c r="AT462" s="1512">
        <f t="shared" si="354"/>
        <v>0</v>
      </c>
      <c r="AU462" s="884">
        <f t="shared" si="354"/>
        <v>0</v>
      </c>
      <c r="AV462" s="884">
        <f t="shared" si="354"/>
        <v>0</v>
      </c>
      <c r="AW462" s="884">
        <f t="shared" si="354"/>
        <v>0</v>
      </c>
      <c r="AX462" s="884">
        <f t="shared" si="354"/>
        <v>0</v>
      </c>
      <c r="AY462" s="1512">
        <f t="shared" si="354"/>
        <v>0</v>
      </c>
      <c r="AZ462" s="884">
        <f t="shared" si="354"/>
        <v>2.3968328324590763E-3</v>
      </c>
      <c r="BA462" s="884">
        <f t="shared" si="354"/>
        <v>1.4181624763207903E-2</v>
      </c>
      <c r="BB462" s="884">
        <f t="shared" si="354"/>
        <v>1.2096756109298223E-2</v>
      </c>
      <c r="BC462" s="884">
        <f t="shared" si="354"/>
        <v>3.2772766068119803E-2</v>
      </c>
      <c r="BD462" s="1512">
        <f t="shared" si="354"/>
        <v>1.6893338551035118E-2</v>
      </c>
      <c r="BE462" s="884">
        <f t="shared" si="354"/>
        <v>3.7513396785803621E-2</v>
      </c>
      <c r="BF462" s="884">
        <f t="shared" si="354"/>
        <v>3.642432290848259E-2</v>
      </c>
      <c r="BG462" s="884">
        <f t="shared" si="354"/>
        <v>3.2988225823727867E-2</v>
      </c>
      <c r="BH462" s="884">
        <f t="shared" si="354"/>
        <v>4.3034547771677353E-2</v>
      </c>
      <c r="BI462" s="1512">
        <f t="shared" si="354"/>
        <v>3.7811044204775407E-2</v>
      </c>
      <c r="BJ462" s="884">
        <f t="shared" si="354"/>
        <v>5.1549782313149842E-2</v>
      </c>
      <c r="BK462" s="884">
        <f t="shared" si="354"/>
        <v>5.2908180320061018E-2</v>
      </c>
      <c r="BL462" s="884">
        <f t="shared" si="354"/>
        <v>4.4881165252253385E-2</v>
      </c>
      <c r="BM462" s="884">
        <f t="shared" si="354"/>
        <v>5.2446375524813522E-2</v>
      </c>
      <c r="BN462" s="1512">
        <f t="shared" si="354"/>
        <v>5.0521997262682306E-2</v>
      </c>
      <c r="BO462" s="884">
        <f t="shared" si="354"/>
        <v>6.1321968527043469E-2</v>
      </c>
      <c r="BP462" s="884">
        <f t="shared" si="354"/>
        <v>5.3497298100881212E-2</v>
      </c>
      <c r="BQ462" s="884">
        <f t="shared" ref="BQ462:CF462" si="355">+BQ424/BQ$442</f>
        <v>5.2841228045583263E-2</v>
      </c>
      <c r="BR462" s="884">
        <f t="shared" si="355"/>
        <v>6.8048723334453304E-2</v>
      </c>
      <c r="BS462" s="1512">
        <f t="shared" si="355"/>
        <v>5.8608833178002494E-2</v>
      </c>
      <c r="BT462" s="884">
        <f t="shared" si="355"/>
        <v>7.2394769394009711E-2</v>
      </c>
      <c r="BU462" s="884">
        <f t="shared" si="355"/>
        <v>6.4770912353047036E-2</v>
      </c>
      <c r="BV462" s="884">
        <f t="shared" si="355"/>
        <v>5.8446870300002028E-2</v>
      </c>
      <c r="BW462" s="884">
        <f t="shared" si="355"/>
        <v>7.2743666356314352E-2</v>
      </c>
      <c r="BX462" s="1512">
        <f t="shared" si="355"/>
        <v>6.6708371157505941E-2</v>
      </c>
      <c r="BY462" s="884">
        <f t="shared" si="355"/>
        <v>7.9619961219787344E-2</v>
      </c>
      <c r="BZ462" s="884">
        <f t="shared" si="355"/>
        <v>7.1001885464981165E-2</v>
      </c>
      <c r="CA462" s="884">
        <f t="shared" si="355"/>
        <v>6.8425028863274409E-2</v>
      </c>
      <c r="CB462" s="884">
        <f t="shared" si="355"/>
        <v>8.2049373427176109E-2</v>
      </c>
      <c r="CC462" s="1512">
        <f t="shared" si="355"/>
        <v>7.487701265493639E-2</v>
      </c>
      <c r="CD462" s="884">
        <f t="shared" si="355"/>
        <v>8.8571367391133707E-2</v>
      </c>
      <c r="CE462" s="884">
        <f t="shared" si="355"/>
        <v>7.1549098648625159E-2</v>
      </c>
      <c r="CF462" s="884">
        <f t="shared" si="355"/>
        <v>6.6744457933200066E-2</v>
      </c>
      <c r="CG462" s="884"/>
      <c r="CH462" s="1512"/>
      <c r="CI462" s="884"/>
      <c r="CJ462" s="884"/>
      <c r="CK462" s="884"/>
      <c r="CL462" s="2968"/>
      <c r="CM462" s="1512"/>
      <c r="CN462" s="884"/>
      <c r="CO462" s="884"/>
      <c r="CP462" s="884"/>
      <c r="CQ462" s="2968"/>
      <c r="CR462" s="1512"/>
      <c r="CS462" s="1512"/>
      <c r="CT462" s="1512"/>
      <c r="DA462" s="212"/>
      <c r="DB462" s="1226"/>
    </row>
    <row r="463" spans="1:106" s="207" customFormat="1" x14ac:dyDescent="0.2">
      <c r="A463" s="1434" t="s">
        <v>452</v>
      </c>
      <c r="B463" s="777"/>
      <c r="C463" s="777"/>
      <c r="D463" s="777"/>
      <c r="E463" s="777"/>
      <c r="F463" s="235"/>
      <c r="G463" s="777"/>
      <c r="H463" s="777"/>
      <c r="I463" s="777"/>
      <c r="J463" s="777"/>
      <c r="K463" s="235"/>
      <c r="L463" s="777"/>
      <c r="M463" s="777"/>
      <c r="N463" s="777"/>
      <c r="O463" s="777"/>
      <c r="P463" s="631"/>
      <c r="Q463" s="777"/>
      <c r="R463" s="777"/>
      <c r="S463" s="777"/>
      <c r="T463" s="777"/>
      <c r="U463" s="631"/>
      <c r="V463" s="777"/>
      <c r="W463" s="777"/>
      <c r="X463" s="777"/>
      <c r="Y463" s="777"/>
      <c r="Z463" s="631"/>
      <c r="AA463" s="275"/>
      <c r="AB463" s="275"/>
      <c r="AC463" s="275"/>
      <c r="AD463" s="275"/>
      <c r="AE463" s="631"/>
      <c r="AF463" s="275"/>
      <c r="AG463" s="275"/>
      <c r="AH463" s="275"/>
      <c r="AI463" s="275"/>
      <c r="AJ463" s="631"/>
      <c r="AK463" s="884">
        <f t="shared" ref="AK463:BP463" si="356">+AK425/AK$442</f>
        <v>0.20225955367134657</v>
      </c>
      <c r="AL463" s="884">
        <f t="shared" si="356"/>
        <v>0.19612833308898692</v>
      </c>
      <c r="AM463" s="884">
        <f t="shared" si="356"/>
        <v>0.20571538847845913</v>
      </c>
      <c r="AN463" s="884">
        <f t="shared" si="356"/>
        <v>0.20021299737649831</v>
      </c>
      <c r="AO463" s="1512">
        <f t="shared" si="356"/>
        <v>0.20098627675366773</v>
      </c>
      <c r="AP463" s="884">
        <f t="shared" si="356"/>
        <v>0.20305403667498198</v>
      </c>
      <c r="AQ463" s="884">
        <f t="shared" si="356"/>
        <v>0.19883577404364783</v>
      </c>
      <c r="AR463" s="884">
        <f t="shared" si="356"/>
        <v>0.21077871478662985</v>
      </c>
      <c r="AS463" s="884">
        <f t="shared" si="356"/>
        <v>0.20564528314577082</v>
      </c>
      <c r="AT463" s="1512">
        <f t="shared" si="356"/>
        <v>0.20465714631765142</v>
      </c>
      <c r="AU463" s="884">
        <f t="shared" si="356"/>
        <v>0.2059282061965243</v>
      </c>
      <c r="AV463" s="884">
        <f t="shared" si="356"/>
        <v>0.2024584998547326</v>
      </c>
      <c r="AW463" s="884">
        <f t="shared" si="356"/>
        <v>0.21242102020642442</v>
      </c>
      <c r="AX463" s="884">
        <f t="shared" si="356"/>
        <v>0.20577059641162604</v>
      </c>
      <c r="AY463" s="1512">
        <f t="shared" si="356"/>
        <v>0.20663407897186595</v>
      </c>
      <c r="AZ463" s="884">
        <f t="shared" si="356"/>
        <v>0.20687490991781765</v>
      </c>
      <c r="BA463" s="884">
        <f t="shared" si="356"/>
        <v>0.20062253050467846</v>
      </c>
      <c r="BB463" s="884">
        <f t="shared" si="356"/>
        <v>0.20701851543839622</v>
      </c>
      <c r="BC463" s="884">
        <f t="shared" si="356"/>
        <v>0.198085056588857</v>
      </c>
      <c r="BD463" s="1512">
        <f t="shared" si="356"/>
        <v>0.20271069534156938</v>
      </c>
      <c r="BE463" s="884">
        <f t="shared" si="356"/>
        <v>0.19384895110424427</v>
      </c>
      <c r="BF463" s="884">
        <f t="shared" si="356"/>
        <v>0.18980344859403481</v>
      </c>
      <c r="BG463" s="884">
        <f t="shared" si="356"/>
        <v>0.19644416333529771</v>
      </c>
      <c r="BH463" s="884">
        <f t="shared" si="356"/>
        <v>0.18849559347213174</v>
      </c>
      <c r="BI463" s="1512">
        <f t="shared" si="356"/>
        <v>0.1918824456650074</v>
      </c>
      <c r="BJ463" s="884">
        <f t="shared" si="356"/>
        <v>0.18217044338676053</v>
      </c>
      <c r="BK463" s="884">
        <f t="shared" si="356"/>
        <v>0.17920790439904349</v>
      </c>
      <c r="BL463" s="884">
        <f t="shared" si="356"/>
        <v>0.18997402194780386</v>
      </c>
      <c r="BM463" s="884">
        <f t="shared" si="356"/>
        <v>0.1841039464927669</v>
      </c>
      <c r="BN463" s="1512">
        <f t="shared" si="356"/>
        <v>0.18393541995653992</v>
      </c>
      <c r="BO463" s="884">
        <f t="shared" si="356"/>
        <v>0.18034375455737098</v>
      </c>
      <c r="BP463" s="884">
        <f t="shared" si="356"/>
        <v>0.18234146234634219</v>
      </c>
      <c r="BQ463" s="884">
        <f t="shared" ref="BQ463:CF463" si="357">+BQ425/BQ$442</f>
        <v>0.19151654906007007</v>
      </c>
      <c r="BR463" s="884">
        <f t="shared" si="357"/>
        <v>0.18539033412373432</v>
      </c>
      <c r="BS463" s="1512">
        <f t="shared" si="357"/>
        <v>0.18504822105663107</v>
      </c>
      <c r="BT463" s="884">
        <f t="shared" si="357"/>
        <v>0.18453831623027614</v>
      </c>
      <c r="BU463" s="884">
        <f t="shared" si="357"/>
        <v>0.18463139090710234</v>
      </c>
      <c r="BV463" s="884">
        <f t="shared" si="357"/>
        <v>0.19440473457087004</v>
      </c>
      <c r="BW463" s="884">
        <f t="shared" si="357"/>
        <v>0.19004006694017375</v>
      </c>
      <c r="BX463" s="1512">
        <f t="shared" si="357"/>
        <v>0.18855064791137621</v>
      </c>
      <c r="BY463" s="884">
        <f t="shared" si="357"/>
        <v>0.18888231539151498</v>
      </c>
      <c r="BZ463" s="884">
        <f t="shared" si="357"/>
        <v>0.19041510732878442</v>
      </c>
      <c r="CA463" s="884">
        <f t="shared" si="357"/>
        <v>0.19415789784175105</v>
      </c>
      <c r="CB463" s="884">
        <f t="shared" si="357"/>
        <v>0.18764219134566584</v>
      </c>
      <c r="CC463" s="1512">
        <f t="shared" si="357"/>
        <v>0.19042198865407217</v>
      </c>
      <c r="CD463" s="884">
        <f t="shared" si="357"/>
        <v>0.18261337443698683</v>
      </c>
      <c r="CE463" s="884">
        <f t="shared" si="357"/>
        <v>0.18359312760987187</v>
      </c>
      <c r="CF463" s="884">
        <f t="shared" si="357"/>
        <v>0.19309161808114203</v>
      </c>
      <c r="CG463" s="884"/>
      <c r="CH463" s="1512"/>
      <c r="CI463" s="884"/>
      <c r="CJ463" s="884"/>
      <c r="CK463" s="884"/>
      <c r="CL463" s="2968"/>
      <c r="CM463" s="1512"/>
      <c r="CN463" s="884"/>
      <c r="CO463" s="884"/>
      <c r="CP463" s="884"/>
      <c r="CQ463" s="2968"/>
      <c r="CR463" s="1512"/>
      <c r="CS463" s="1512"/>
      <c r="CT463" s="1512"/>
      <c r="DA463" s="212"/>
      <c r="DB463" s="1226"/>
    </row>
    <row r="464" spans="1:106" s="207" customFormat="1" x14ac:dyDescent="0.2">
      <c r="A464" s="1434" t="s">
        <v>1386</v>
      </c>
      <c r="B464" s="777"/>
      <c r="C464" s="777"/>
      <c r="D464" s="777"/>
      <c r="E464" s="777"/>
      <c r="F464" s="235"/>
      <c r="G464" s="777"/>
      <c r="H464" s="777"/>
      <c r="I464" s="777"/>
      <c r="J464" s="777"/>
      <c r="K464" s="235"/>
      <c r="L464" s="777"/>
      <c r="M464" s="777"/>
      <c r="N464" s="777"/>
      <c r="O464" s="777"/>
      <c r="P464" s="631"/>
      <c r="Q464" s="777"/>
      <c r="R464" s="777"/>
      <c r="S464" s="777"/>
      <c r="T464" s="777"/>
      <c r="U464" s="631"/>
      <c r="V464" s="777"/>
      <c r="W464" s="777"/>
      <c r="X464" s="777"/>
      <c r="Y464" s="777"/>
      <c r="Z464" s="631"/>
      <c r="AA464" s="275"/>
      <c r="AB464" s="275"/>
      <c r="AC464" s="275"/>
      <c r="AD464" s="275"/>
      <c r="AE464" s="631"/>
      <c r="AF464" s="275"/>
      <c r="AG464" s="275"/>
      <c r="AH464" s="275"/>
      <c r="AI464" s="275"/>
      <c r="AJ464" s="631"/>
      <c r="AK464" s="884">
        <f t="shared" ref="AK464:BP464" si="358">+AK426/AK$442</f>
        <v>0.22497050375388922</v>
      </c>
      <c r="AL464" s="884">
        <f t="shared" si="358"/>
        <v>0.22896207768237073</v>
      </c>
      <c r="AM464" s="884">
        <f t="shared" si="358"/>
        <v>0.22884104130658134</v>
      </c>
      <c r="AN464" s="884">
        <f t="shared" si="358"/>
        <v>0.23258131949050112</v>
      </c>
      <c r="AO464" s="1512">
        <f t="shared" si="358"/>
        <v>0.22923203912787285</v>
      </c>
      <c r="AP464" s="884">
        <f t="shared" si="358"/>
        <v>0.22636855130735742</v>
      </c>
      <c r="AQ464" s="884">
        <f t="shared" si="358"/>
        <v>0.23142602483042776</v>
      </c>
      <c r="AR464" s="884">
        <f t="shared" si="358"/>
        <v>0.22789745092574673</v>
      </c>
      <c r="AS464" s="884">
        <f t="shared" si="358"/>
        <v>0.22798472766457953</v>
      </c>
      <c r="AT464" s="1512">
        <f t="shared" si="358"/>
        <v>0.22845934036881799</v>
      </c>
      <c r="AU464" s="884">
        <f t="shared" si="358"/>
        <v>0.22459775516700414</v>
      </c>
      <c r="AV464" s="884">
        <f t="shared" si="358"/>
        <v>0.22700126049433819</v>
      </c>
      <c r="AW464" s="884">
        <f t="shared" si="358"/>
        <v>0.22395522262082074</v>
      </c>
      <c r="AX464" s="884">
        <f t="shared" si="358"/>
        <v>0.22140516892740159</v>
      </c>
      <c r="AY464" s="1512">
        <f t="shared" si="358"/>
        <v>0.22405455210323078</v>
      </c>
      <c r="AZ464" s="884">
        <f t="shared" si="358"/>
        <v>0.22265852890294285</v>
      </c>
      <c r="BA464" s="884">
        <f t="shared" si="358"/>
        <v>0.22009214927899795</v>
      </c>
      <c r="BB464" s="884">
        <f t="shared" si="358"/>
        <v>0.2208073350724393</v>
      </c>
      <c r="BC464" s="884">
        <f t="shared" si="358"/>
        <v>0.21862391104341167</v>
      </c>
      <c r="BD464" s="1512">
        <f t="shared" si="358"/>
        <v>0.22035194531721622</v>
      </c>
      <c r="BE464" s="884">
        <f t="shared" si="358"/>
        <v>0.21485052393524756</v>
      </c>
      <c r="BF464" s="884">
        <f t="shared" si="358"/>
        <v>0.21767649444605361</v>
      </c>
      <c r="BG464" s="884">
        <f t="shared" si="358"/>
        <v>0.21926730919511025</v>
      </c>
      <c r="BH464" s="884">
        <f t="shared" si="358"/>
        <v>0.21477293575156231</v>
      </c>
      <c r="BI464" s="1512">
        <f t="shared" si="358"/>
        <v>0.21659381180728157</v>
      </c>
      <c r="BJ464" s="884">
        <f t="shared" si="358"/>
        <v>0.21109532105947018</v>
      </c>
      <c r="BK464" s="884">
        <f t="shared" si="358"/>
        <v>0.21349297084651073</v>
      </c>
      <c r="BL464" s="884">
        <f t="shared" si="358"/>
        <v>0.2152772979558267</v>
      </c>
      <c r="BM464" s="884">
        <f t="shared" si="358"/>
        <v>0.21178315897095179</v>
      </c>
      <c r="BN464" s="1512">
        <f t="shared" si="358"/>
        <v>0.21290923443937126</v>
      </c>
      <c r="BO464" s="884">
        <f t="shared" si="358"/>
        <v>0.2089231203339941</v>
      </c>
      <c r="BP464" s="884">
        <f t="shared" si="358"/>
        <v>0.21614412948178496</v>
      </c>
      <c r="BQ464" s="884">
        <f t="shared" ref="BQ464:CF464" si="359">+BQ426/BQ$442</f>
        <v>0.2180267832078534</v>
      </c>
      <c r="BR464" s="884">
        <f t="shared" si="359"/>
        <v>0.21185704161083072</v>
      </c>
      <c r="BS464" s="1512">
        <f t="shared" si="359"/>
        <v>0.21395724302851915</v>
      </c>
      <c r="BT464" s="884">
        <f t="shared" si="359"/>
        <v>0.2104613116403381</v>
      </c>
      <c r="BU464" s="884">
        <f t="shared" si="359"/>
        <v>0.21671438135891363</v>
      </c>
      <c r="BV464" s="884">
        <f t="shared" si="359"/>
        <v>0.2198890997407425</v>
      </c>
      <c r="BW464" s="884">
        <f t="shared" si="359"/>
        <v>0.2143306749734388</v>
      </c>
      <c r="BX464" s="1512">
        <f t="shared" si="359"/>
        <v>0.2155868969563024</v>
      </c>
      <c r="BY464" s="884">
        <f t="shared" si="359"/>
        <v>0.21278316977744641</v>
      </c>
      <c r="BZ464" s="884">
        <f t="shared" si="359"/>
        <v>0.21872977063548929</v>
      </c>
      <c r="CA464" s="884">
        <f t="shared" si="359"/>
        <v>0.21679359369067633</v>
      </c>
      <c r="CB464" s="884">
        <f t="shared" si="359"/>
        <v>0.21070543173425821</v>
      </c>
      <c r="CC464" s="1512">
        <f t="shared" si="359"/>
        <v>0.21495249014139425</v>
      </c>
      <c r="CD464" s="884">
        <f t="shared" si="359"/>
        <v>0.20998535254170383</v>
      </c>
      <c r="CE464" s="884">
        <f t="shared" si="359"/>
        <v>0.21546559902642901</v>
      </c>
      <c r="CF464" s="884">
        <f t="shared" si="359"/>
        <v>0.21613593011413998</v>
      </c>
      <c r="CG464" s="884"/>
      <c r="CH464" s="1512"/>
      <c r="CI464" s="884"/>
      <c r="CJ464" s="884"/>
      <c r="CK464" s="884"/>
      <c r="CL464" s="2968"/>
      <c r="CM464" s="1512"/>
      <c r="CN464" s="884"/>
      <c r="CO464" s="884"/>
      <c r="CP464" s="884"/>
      <c r="CQ464" s="2968"/>
      <c r="CR464" s="1512"/>
      <c r="CS464" s="1512"/>
      <c r="CT464" s="1512"/>
      <c r="DA464" s="212"/>
      <c r="DB464" s="1226"/>
    </row>
    <row r="465" spans="1:106" s="207" customFormat="1" x14ac:dyDescent="0.2">
      <c r="A465" s="1434" t="s">
        <v>1389</v>
      </c>
      <c r="B465" s="777"/>
      <c r="C465" s="777"/>
      <c r="D465" s="777"/>
      <c r="E465" s="777"/>
      <c r="F465" s="235"/>
      <c r="G465" s="777"/>
      <c r="H465" s="777"/>
      <c r="I465" s="777"/>
      <c r="J465" s="777"/>
      <c r="K465" s="235"/>
      <c r="L465" s="777"/>
      <c r="M465" s="777"/>
      <c r="N465" s="777"/>
      <c r="O465" s="777"/>
      <c r="P465" s="631"/>
      <c r="Q465" s="777"/>
      <c r="R465" s="777"/>
      <c r="S465" s="777"/>
      <c r="T465" s="777"/>
      <c r="U465" s="631"/>
      <c r="V465" s="777"/>
      <c r="W465" s="777"/>
      <c r="X465" s="777"/>
      <c r="Y465" s="777"/>
      <c r="Z465" s="631"/>
      <c r="AA465" s="275"/>
      <c r="AB465" s="275"/>
      <c r="AC465" s="275"/>
      <c r="AD465" s="275"/>
      <c r="AE465" s="631"/>
      <c r="AF465" s="275"/>
      <c r="AG465" s="275"/>
      <c r="AH465" s="275"/>
      <c r="AI465" s="275"/>
      <c r="AJ465" s="631"/>
      <c r="AK465" s="884">
        <f t="shared" ref="AK465:BP465" si="360">+AK427/AK$442</f>
        <v>0.13175776457194274</v>
      </c>
      <c r="AL465" s="884">
        <f t="shared" si="360"/>
        <v>0.1387169586922942</v>
      </c>
      <c r="AM465" s="884">
        <f t="shared" si="360"/>
        <v>0.14756596999305699</v>
      </c>
      <c r="AN465" s="884">
        <f t="shared" si="360"/>
        <v>0.13347992003824066</v>
      </c>
      <c r="AO465" s="1512">
        <f t="shared" si="360"/>
        <v>0.13777259883456264</v>
      </c>
      <c r="AP465" s="884">
        <f t="shared" si="360"/>
        <v>0.12983293769503157</v>
      </c>
      <c r="AQ465" s="884">
        <f t="shared" si="360"/>
        <v>0.13323720966691072</v>
      </c>
      <c r="AR465" s="884">
        <f t="shared" si="360"/>
        <v>0.14430372917627537</v>
      </c>
      <c r="AS465" s="884">
        <f t="shared" si="360"/>
        <v>0.13147998822097828</v>
      </c>
      <c r="AT465" s="1512">
        <f t="shared" si="360"/>
        <v>0.13466175295855615</v>
      </c>
      <c r="AU465" s="884">
        <f t="shared" si="360"/>
        <v>0.13365068289974805</v>
      </c>
      <c r="AV465" s="884">
        <f t="shared" si="360"/>
        <v>0.14153014829934316</v>
      </c>
      <c r="AW465" s="884">
        <f t="shared" si="360"/>
        <v>0.14873849937475075</v>
      </c>
      <c r="AX465" s="884">
        <f t="shared" si="360"/>
        <v>0.13486074052207503</v>
      </c>
      <c r="AY465" s="1512">
        <f t="shared" si="360"/>
        <v>0.13954466024086012</v>
      </c>
      <c r="AZ465" s="884">
        <f t="shared" si="360"/>
        <v>0.1332252029726409</v>
      </c>
      <c r="BA465" s="884">
        <f t="shared" si="360"/>
        <v>0.13908404434013796</v>
      </c>
      <c r="BB465" s="884">
        <f t="shared" si="360"/>
        <v>0.15205340613457194</v>
      </c>
      <c r="BC465" s="884">
        <f t="shared" si="360"/>
        <v>0.13474633540095649</v>
      </c>
      <c r="BD465" s="1512">
        <f t="shared" si="360"/>
        <v>0.13971941080238257</v>
      </c>
      <c r="BE465" s="884">
        <f t="shared" si="360"/>
        <v>0.13188221590066304</v>
      </c>
      <c r="BF465" s="884">
        <f t="shared" si="360"/>
        <v>0.13959442174855263</v>
      </c>
      <c r="BG465" s="884">
        <f t="shared" si="360"/>
        <v>0.15229880157197953</v>
      </c>
      <c r="BH465" s="884">
        <f t="shared" si="360"/>
        <v>0.14070400736273761</v>
      </c>
      <c r="BI465" s="1512">
        <f t="shared" si="360"/>
        <v>0.14141531117868808</v>
      </c>
      <c r="BJ465" s="884">
        <f t="shared" si="360"/>
        <v>0.13494473868585738</v>
      </c>
      <c r="BK465" s="884">
        <f t="shared" si="360"/>
        <v>0.14125705501542754</v>
      </c>
      <c r="BL465" s="884">
        <f t="shared" si="360"/>
        <v>0.1507609176722334</v>
      </c>
      <c r="BM465" s="884">
        <f t="shared" si="360"/>
        <v>0.1390934436238104</v>
      </c>
      <c r="BN465" s="1512">
        <f t="shared" si="360"/>
        <v>0.14159781638785263</v>
      </c>
      <c r="BO465" s="884">
        <f t="shared" si="360"/>
        <v>0.13289634412777701</v>
      </c>
      <c r="BP465" s="884">
        <f t="shared" si="360"/>
        <v>0.14209502756883488</v>
      </c>
      <c r="BQ465" s="884">
        <f t="shared" ref="BQ465:CF465" si="361">+BQ427/BQ$442</f>
        <v>0.14799435953908249</v>
      </c>
      <c r="BR465" s="884">
        <f t="shared" si="361"/>
        <v>0.13581108281857385</v>
      </c>
      <c r="BS465" s="1512">
        <f t="shared" si="361"/>
        <v>0.14004107870560131</v>
      </c>
      <c r="BT465" s="884">
        <f t="shared" si="361"/>
        <v>0.12901003195676841</v>
      </c>
      <c r="BU465" s="884">
        <f t="shared" si="361"/>
        <v>0.13950030568516925</v>
      </c>
      <c r="BV465" s="884">
        <f t="shared" si="361"/>
        <v>0.14318261611379623</v>
      </c>
      <c r="BW465" s="884">
        <f t="shared" si="361"/>
        <v>0.13300170710355391</v>
      </c>
      <c r="BX465" s="1512">
        <f t="shared" si="361"/>
        <v>0.1365620567311171</v>
      </c>
      <c r="BY465" s="884">
        <f t="shared" si="361"/>
        <v>0.12602635214670802</v>
      </c>
      <c r="BZ465" s="884">
        <f t="shared" si="361"/>
        <v>0.13377857667003118</v>
      </c>
      <c r="CA465" s="884">
        <f t="shared" si="361"/>
        <v>0.13852434211354317</v>
      </c>
      <c r="CB465" s="884">
        <f t="shared" si="361"/>
        <v>0.12960054928129303</v>
      </c>
      <c r="CC465" s="1512">
        <f t="shared" si="361"/>
        <v>0.13233564597417175</v>
      </c>
      <c r="CD465" s="884">
        <f t="shared" si="361"/>
        <v>0.12274567196815006</v>
      </c>
      <c r="CE465" s="884">
        <f t="shared" si="361"/>
        <v>0.13272185398220951</v>
      </c>
      <c r="CF465" s="884">
        <f t="shared" si="361"/>
        <v>0.14129812780219728</v>
      </c>
      <c r="CG465" s="884"/>
      <c r="CH465" s="1512"/>
      <c r="CI465" s="884"/>
      <c r="CJ465" s="884"/>
      <c r="CK465" s="884"/>
      <c r="CL465" s="2968"/>
      <c r="CM465" s="1512"/>
      <c r="CN465" s="884"/>
      <c r="CO465" s="884"/>
      <c r="CP465" s="884"/>
      <c r="CQ465" s="2968"/>
      <c r="CR465" s="1512"/>
      <c r="CS465" s="1512"/>
      <c r="CT465" s="1512"/>
      <c r="DA465" s="212"/>
      <c r="DB465" s="1226"/>
    </row>
    <row r="466" spans="1:106" s="207" customFormat="1" x14ac:dyDescent="0.2">
      <c r="A466" s="1434" t="s">
        <v>1391</v>
      </c>
      <c r="B466" s="777"/>
      <c r="C466" s="777"/>
      <c r="D466" s="777"/>
      <c r="E466" s="777"/>
      <c r="F466" s="235"/>
      <c r="G466" s="777"/>
      <c r="H466" s="777"/>
      <c r="I466" s="777"/>
      <c r="J466" s="777"/>
      <c r="K466" s="235"/>
      <c r="L466" s="777"/>
      <c r="M466" s="777"/>
      <c r="N466" s="777"/>
      <c r="O466" s="777"/>
      <c r="P466" s="631"/>
      <c r="Q466" s="777"/>
      <c r="R466" s="777"/>
      <c r="S466" s="777"/>
      <c r="T466" s="777"/>
      <c r="U466" s="631"/>
      <c r="V466" s="777"/>
      <c r="W466" s="777"/>
      <c r="X466" s="777"/>
      <c r="Y466" s="777"/>
      <c r="Z466" s="631"/>
      <c r="AA466" s="275"/>
      <c r="AB466" s="275"/>
      <c r="AC466" s="275"/>
      <c r="AD466" s="275"/>
      <c r="AE466" s="631"/>
      <c r="AF466" s="275"/>
      <c r="AG466" s="275"/>
      <c r="AH466" s="275"/>
      <c r="AI466" s="275"/>
      <c r="AJ466" s="631"/>
      <c r="AK466" s="884">
        <f t="shared" ref="AK466:BP466" si="362">+AK428/AK$442</f>
        <v>2.8301258976211548E-2</v>
      </c>
      <c r="AL466" s="884">
        <f t="shared" si="362"/>
        <v>2.879759320928155E-2</v>
      </c>
      <c r="AM466" s="884">
        <f t="shared" si="362"/>
        <v>3.1589190329932425E-2</v>
      </c>
      <c r="AN466" s="884">
        <f t="shared" si="362"/>
        <v>3.1261828982736634E-2</v>
      </c>
      <c r="AO466" s="1512">
        <f t="shared" si="362"/>
        <v>3.0135656794186789E-2</v>
      </c>
      <c r="AP466" s="884">
        <f t="shared" si="362"/>
        <v>3.2584638776261075E-2</v>
      </c>
      <c r="AQ466" s="884">
        <f t="shared" si="362"/>
        <v>3.2747325595613101E-2</v>
      </c>
      <c r="AR466" s="884">
        <f t="shared" si="362"/>
        <v>3.481380481009036E-2</v>
      </c>
      <c r="AS466" s="884">
        <f t="shared" si="362"/>
        <v>3.5693035419309627E-2</v>
      </c>
      <c r="AT466" s="1512">
        <f t="shared" si="362"/>
        <v>3.4085411759119957E-2</v>
      </c>
      <c r="AU466" s="884">
        <f t="shared" si="362"/>
        <v>3.6051223326796472E-2</v>
      </c>
      <c r="AV466" s="884">
        <f t="shared" si="362"/>
        <v>3.6758496491795904E-2</v>
      </c>
      <c r="AW466" s="884">
        <f t="shared" si="362"/>
        <v>3.8958684494596885E-2</v>
      </c>
      <c r="AX466" s="884">
        <f t="shared" si="362"/>
        <v>3.6236566360516642E-2</v>
      </c>
      <c r="AY466" s="1512">
        <f t="shared" si="362"/>
        <v>3.6980289806066241E-2</v>
      </c>
      <c r="AZ466" s="884">
        <f t="shared" si="362"/>
        <v>3.8018800802782422E-2</v>
      </c>
      <c r="BA466" s="884">
        <f t="shared" si="362"/>
        <v>3.8191559420532442E-2</v>
      </c>
      <c r="BB466" s="884">
        <f t="shared" si="362"/>
        <v>4.1908804198119751E-2</v>
      </c>
      <c r="BC466" s="884">
        <f t="shared" si="362"/>
        <v>3.8433878667735948E-2</v>
      </c>
      <c r="BD466" s="1512">
        <f t="shared" si="362"/>
        <v>3.9138921807009591E-2</v>
      </c>
      <c r="BE466" s="884">
        <f t="shared" si="362"/>
        <v>3.8748940633467788E-2</v>
      </c>
      <c r="BF466" s="884">
        <f t="shared" si="362"/>
        <v>3.8718929047559865E-2</v>
      </c>
      <c r="BG466" s="884">
        <f t="shared" si="362"/>
        <v>4.1352424485177681E-2</v>
      </c>
      <c r="BH466" s="884">
        <f t="shared" si="362"/>
        <v>4.015895251448464E-2</v>
      </c>
      <c r="BI466" s="1512">
        <f t="shared" si="362"/>
        <v>3.9804494874052299E-2</v>
      </c>
      <c r="BJ466" s="884">
        <f t="shared" si="362"/>
        <v>4.1281318905412402E-2</v>
      </c>
      <c r="BK466" s="884">
        <f t="shared" si="362"/>
        <v>4.1454420151351992E-2</v>
      </c>
      <c r="BL466" s="884">
        <f t="shared" si="362"/>
        <v>4.4406358291183924E-2</v>
      </c>
      <c r="BM466" s="884">
        <f t="shared" si="362"/>
        <v>4.1887286632679967E-2</v>
      </c>
      <c r="BN466" s="1512">
        <f t="shared" si="362"/>
        <v>4.2269347708443435E-2</v>
      </c>
      <c r="BO466" s="884">
        <f t="shared" si="362"/>
        <v>4.2273332605858464E-2</v>
      </c>
      <c r="BP466" s="884">
        <f t="shared" si="362"/>
        <v>4.2282589022743261E-2</v>
      </c>
      <c r="BQ466" s="884">
        <f t="shared" ref="BQ466:CF466" si="363">+BQ428/BQ$442</f>
        <v>4.4238416153216463E-2</v>
      </c>
      <c r="BR466" s="884">
        <f t="shared" si="363"/>
        <v>4.1322201363998778E-2</v>
      </c>
      <c r="BS466" s="1512">
        <f t="shared" si="363"/>
        <v>4.2569273803056369E-2</v>
      </c>
      <c r="BT466" s="884">
        <f t="shared" si="363"/>
        <v>4.3875093645237929E-2</v>
      </c>
      <c r="BU466" s="884">
        <f t="shared" si="363"/>
        <v>4.4894676153038604E-2</v>
      </c>
      <c r="BV466" s="884">
        <f t="shared" si="363"/>
        <v>4.709749631548929E-2</v>
      </c>
      <c r="BW466" s="884">
        <f t="shared" si="363"/>
        <v>4.5611459021462047E-2</v>
      </c>
      <c r="BX466" s="1512">
        <f t="shared" si="363"/>
        <v>4.5431985180374744E-2</v>
      </c>
      <c r="BY466" s="884">
        <f t="shared" si="363"/>
        <v>4.7367227654064994E-2</v>
      </c>
      <c r="BZ466" s="884">
        <f t="shared" si="363"/>
        <v>4.7689575589881794E-2</v>
      </c>
      <c r="CA466" s="884">
        <f t="shared" si="363"/>
        <v>4.9332167667577767E-2</v>
      </c>
      <c r="CB466" s="884">
        <f t="shared" si="363"/>
        <v>4.684145841951011E-2</v>
      </c>
      <c r="CC466" s="1512">
        <f t="shared" si="363"/>
        <v>4.785922556133114E-2</v>
      </c>
      <c r="CD466" s="884">
        <f t="shared" si="363"/>
        <v>4.900799583439297E-2</v>
      </c>
      <c r="CE466" s="884">
        <f t="shared" si="363"/>
        <v>5.0544364282642092E-2</v>
      </c>
      <c r="CF466" s="884">
        <f t="shared" si="363"/>
        <v>5.3286222534908008E-2</v>
      </c>
      <c r="CG466" s="884"/>
      <c r="CH466" s="1512"/>
      <c r="CI466" s="884"/>
      <c r="CJ466" s="884"/>
      <c r="CK466" s="884"/>
      <c r="CL466" s="2968"/>
      <c r="CM466" s="1512"/>
      <c r="CN466" s="884"/>
      <c r="CO466" s="884"/>
      <c r="CP466" s="884"/>
      <c r="CQ466" s="2968"/>
      <c r="CR466" s="2968"/>
      <c r="CS466" s="1512"/>
      <c r="CT466" s="1512"/>
      <c r="DA466" s="212"/>
      <c r="DB466" s="1226"/>
    </row>
    <row r="467" spans="1:106" s="207" customFormat="1" x14ac:dyDescent="0.2">
      <c r="A467" s="2308" t="s">
        <v>2285</v>
      </c>
      <c r="B467" s="777"/>
      <c r="C467" s="777"/>
      <c r="D467" s="777"/>
      <c r="E467" s="777"/>
      <c r="F467" s="235"/>
      <c r="G467" s="777"/>
      <c r="H467" s="777"/>
      <c r="I467" s="777"/>
      <c r="J467" s="777"/>
      <c r="K467" s="235"/>
      <c r="L467" s="777"/>
      <c r="M467" s="777"/>
      <c r="N467" s="777"/>
      <c r="O467" s="777"/>
      <c r="P467" s="631"/>
      <c r="Q467" s="777"/>
      <c r="R467" s="777"/>
      <c r="S467" s="777"/>
      <c r="T467" s="777"/>
      <c r="U467" s="631"/>
      <c r="V467" s="777"/>
      <c r="W467" s="777"/>
      <c r="X467" s="777"/>
      <c r="Y467" s="777"/>
      <c r="Z467" s="631"/>
      <c r="AA467" s="275"/>
      <c r="AB467" s="275"/>
      <c r="AC467" s="275"/>
      <c r="AD467" s="275"/>
      <c r="AE467" s="631"/>
      <c r="AF467" s="275"/>
      <c r="AG467" s="275"/>
      <c r="AH467" s="275"/>
      <c r="AI467" s="275"/>
      <c r="AJ467" s="631"/>
      <c r="AK467" s="884"/>
      <c r="AL467" s="884"/>
      <c r="AM467" s="884"/>
      <c r="AN467" s="884"/>
      <c r="AO467" s="1512"/>
      <c r="AP467" s="884"/>
      <c r="AQ467" s="884"/>
      <c r="AR467" s="884"/>
      <c r="AS467" s="884"/>
      <c r="AT467" s="1512"/>
      <c r="AU467" s="884"/>
      <c r="AV467" s="884"/>
      <c r="AW467" s="884"/>
      <c r="AX467" s="884"/>
      <c r="AY467" s="1512"/>
      <c r="AZ467" s="884"/>
      <c r="BA467" s="884"/>
      <c r="BB467" s="884"/>
      <c r="BC467" s="884"/>
      <c r="BD467" s="1512"/>
      <c r="BE467" s="884"/>
      <c r="BF467" s="884"/>
      <c r="BG467" s="884"/>
      <c r="BH467" s="884"/>
      <c r="BI467" s="1512"/>
      <c r="BJ467" s="884"/>
      <c r="BK467" s="884"/>
      <c r="BL467" s="884"/>
      <c r="BM467" s="884"/>
      <c r="BN467" s="1512"/>
      <c r="BO467" s="884"/>
      <c r="BP467" s="884"/>
      <c r="BQ467" s="884"/>
      <c r="BR467" s="884"/>
      <c r="BS467" s="1512"/>
      <c r="BT467" s="884"/>
      <c r="BU467" s="884"/>
      <c r="BV467" s="884"/>
      <c r="BW467" s="884"/>
      <c r="BX467" s="1512"/>
      <c r="BY467" s="884">
        <f t="shared" ref="BY467:CF468" si="364">+BY429/BY$442</f>
        <v>0</v>
      </c>
      <c r="BZ467" s="884">
        <f t="shared" si="364"/>
        <v>0</v>
      </c>
      <c r="CA467" s="884">
        <f t="shared" si="364"/>
        <v>5.2487659927987441E-3</v>
      </c>
      <c r="CB467" s="884">
        <f t="shared" si="364"/>
        <v>6.1590566565354983E-3</v>
      </c>
      <c r="CC467" s="1512">
        <f t="shared" si="364"/>
        <v>2.9036426203229745E-3</v>
      </c>
      <c r="CD467" s="884">
        <f t="shared" si="364"/>
        <v>6.1372466754202768E-3</v>
      </c>
      <c r="CE467" s="884">
        <f t="shared" si="364"/>
        <v>5.6952346419829594E-3</v>
      </c>
      <c r="CF467" s="884">
        <f t="shared" si="364"/>
        <v>5.7623552699871058E-3</v>
      </c>
      <c r="CG467" s="884"/>
      <c r="CH467" s="1512"/>
      <c r="CI467" s="884"/>
      <c r="CJ467" s="884"/>
      <c r="CK467" s="884"/>
      <c r="CL467" s="2968"/>
      <c r="CM467" s="1512"/>
      <c r="CN467" s="884"/>
      <c r="CO467" s="884"/>
      <c r="CP467" s="884"/>
      <c r="CQ467" s="2968"/>
      <c r="CR467" s="2968"/>
      <c r="CS467" s="1512"/>
      <c r="CT467" s="1512"/>
      <c r="DA467" s="212"/>
      <c r="DB467" s="1226"/>
    </row>
    <row r="468" spans="1:106" s="2644" customFormat="1" x14ac:dyDescent="0.2">
      <c r="A468" s="2308" t="s">
        <v>1390</v>
      </c>
      <c r="B468" s="777"/>
      <c r="C468" s="777"/>
      <c r="D468" s="777"/>
      <c r="E468" s="777"/>
      <c r="F468" s="2345"/>
      <c r="G468" s="777"/>
      <c r="H468" s="777"/>
      <c r="I468" s="777"/>
      <c r="J468" s="777"/>
      <c r="K468" s="2345"/>
      <c r="L468" s="777"/>
      <c r="M468" s="777"/>
      <c r="N468" s="777"/>
      <c r="O468" s="777"/>
      <c r="P468" s="631"/>
      <c r="Q468" s="777"/>
      <c r="R468" s="777"/>
      <c r="S468" s="777"/>
      <c r="T468" s="777"/>
      <c r="U468" s="631"/>
      <c r="V468" s="777"/>
      <c r="W468" s="777"/>
      <c r="X468" s="777"/>
      <c r="Y468" s="777"/>
      <c r="Z468" s="631"/>
      <c r="AA468" s="3037"/>
      <c r="AB468" s="3037"/>
      <c r="AC468" s="3037"/>
      <c r="AD468" s="3037"/>
      <c r="AE468" s="631"/>
      <c r="AF468" s="3037"/>
      <c r="AG468" s="3037"/>
      <c r="AH468" s="3037"/>
      <c r="AI468" s="3037"/>
      <c r="AJ468" s="631"/>
      <c r="AK468" s="2384">
        <f t="shared" ref="AK468:BX468" si="365">+AK430/AK$442</f>
        <v>5.7102133796887687E-2</v>
      </c>
      <c r="AL468" s="2384">
        <f t="shared" si="365"/>
        <v>5.978416180505787E-2</v>
      </c>
      <c r="AM468" s="2384">
        <f t="shared" si="365"/>
        <v>6.0660527065078969E-2</v>
      </c>
      <c r="AN468" s="2384">
        <f t="shared" si="365"/>
        <v>6.0743686466842965E-2</v>
      </c>
      <c r="AO468" s="3042">
        <f t="shared" si="365"/>
        <v>5.9737510088124189E-2</v>
      </c>
      <c r="AP468" s="2384">
        <f t="shared" si="365"/>
        <v>6.5876575909619289E-2</v>
      </c>
      <c r="AQ468" s="2384">
        <f t="shared" si="365"/>
        <v>6.6944429398121383E-2</v>
      </c>
      <c r="AR468" s="2384">
        <f t="shared" si="365"/>
        <v>6.6723369077376415E-2</v>
      </c>
      <c r="AS468" s="2384">
        <f t="shared" si="365"/>
        <v>6.7074541566429363E-2</v>
      </c>
      <c r="AT468" s="3042">
        <f t="shared" si="365"/>
        <v>6.6698759467176363E-2</v>
      </c>
      <c r="AU468" s="2384">
        <f t="shared" si="365"/>
        <v>7.1403518953645648E-2</v>
      </c>
      <c r="AV468" s="2384">
        <f t="shared" si="365"/>
        <v>7.2936916919792621E-2</v>
      </c>
      <c r="AW468" s="2384">
        <f t="shared" si="365"/>
        <v>7.6167164335892143E-2</v>
      </c>
      <c r="AX468" s="2384">
        <f t="shared" si="365"/>
        <v>7.4434587494519588E-2</v>
      </c>
      <c r="AY468" s="3042">
        <f t="shared" si="365"/>
        <v>7.3832356753265341E-2</v>
      </c>
      <c r="AZ468" s="2384">
        <f t="shared" si="365"/>
        <v>7.7116038428389252E-2</v>
      </c>
      <c r="BA468" s="2384">
        <f t="shared" si="365"/>
        <v>7.7846771786504038E-2</v>
      </c>
      <c r="BB468" s="2384">
        <f t="shared" si="365"/>
        <v>8.0288855371952711E-2</v>
      </c>
      <c r="BC468" s="2384">
        <f t="shared" si="365"/>
        <v>7.523241263965752E-2</v>
      </c>
      <c r="BD468" s="3042">
        <f t="shared" si="365"/>
        <v>7.7495802057976015E-2</v>
      </c>
      <c r="BE468" s="2384">
        <f t="shared" si="365"/>
        <v>7.612554734623353E-2</v>
      </c>
      <c r="BF468" s="2384">
        <f t="shared" si="365"/>
        <v>7.6148752102086895E-2</v>
      </c>
      <c r="BG468" s="2384">
        <f t="shared" si="365"/>
        <v>8.0073183834659459E-2</v>
      </c>
      <c r="BH468" s="2384">
        <f t="shared" si="365"/>
        <v>7.5743932462566818E-2</v>
      </c>
      <c r="BI468" s="3042">
        <f t="shared" si="365"/>
        <v>7.6981182020404507E-2</v>
      </c>
      <c r="BJ468" s="2384">
        <f t="shared" si="365"/>
        <v>7.7319647178828457E-2</v>
      </c>
      <c r="BK468" s="2384">
        <f t="shared" si="365"/>
        <v>7.9097809360447247E-2</v>
      </c>
      <c r="BL468" s="2384">
        <f t="shared" si="365"/>
        <v>8.2826854701337049E-2</v>
      </c>
      <c r="BM468" s="2384">
        <f t="shared" si="365"/>
        <v>8.0009640402648727E-2</v>
      </c>
      <c r="BN468" s="3042">
        <f t="shared" si="365"/>
        <v>7.990849325848981E-2</v>
      </c>
      <c r="BO468" s="2384">
        <f t="shared" si="365"/>
        <v>8.0758974630866037E-2</v>
      </c>
      <c r="BP468" s="2384">
        <f t="shared" si="365"/>
        <v>8.2413039644053138E-2</v>
      </c>
      <c r="BQ468" s="2384">
        <f t="shared" si="365"/>
        <v>8.2787366544606195E-2</v>
      </c>
      <c r="BR468" s="2384">
        <f t="shared" si="365"/>
        <v>7.9493500000778983E-2</v>
      </c>
      <c r="BS468" s="3042">
        <f t="shared" si="365"/>
        <v>8.1432554661285017E-2</v>
      </c>
      <c r="BT468" s="2384">
        <f t="shared" si="365"/>
        <v>8.0747542762907312E-2</v>
      </c>
      <c r="BU468" s="2384">
        <f t="shared" si="365"/>
        <v>8.2131477013866208E-2</v>
      </c>
      <c r="BV468" s="2384">
        <f t="shared" si="365"/>
        <v>8.1518740891556155E-2</v>
      </c>
      <c r="BW468" s="2384">
        <f t="shared" si="365"/>
        <v>7.8647078196312309E-2</v>
      </c>
      <c r="BX468" s="3042">
        <f t="shared" si="365"/>
        <v>8.0813203870103309E-2</v>
      </c>
      <c r="BY468" s="2384">
        <f t="shared" si="364"/>
        <v>7.8873763385331003E-2</v>
      </c>
      <c r="BZ468" s="2384">
        <f t="shared" si="364"/>
        <v>7.8555367651380478E-2</v>
      </c>
      <c r="CA468" s="2384">
        <f t="shared" si="364"/>
        <v>7.9675441922943568E-2</v>
      </c>
      <c r="CB468" s="2384">
        <f t="shared" si="364"/>
        <v>7.6665627904935918E-2</v>
      </c>
      <c r="CC468" s="3042">
        <f t="shared" si="364"/>
        <v>7.8475512104130868E-2</v>
      </c>
      <c r="CD468" s="2384">
        <f t="shared" si="364"/>
        <v>7.687529668741265E-2</v>
      </c>
      <c r="CE468" s="2384">
        <f t="shared" si="364"/>
        <v>7.9399879184984673E-2</v>
      </c>
      <c r="CF468" s="2384">
        <f t="shared" si="364"/>
        <v>8.0609229391844811E-2</v>
      </c>
      <c r="CG468" s="2384"/>
      <c r="CH468" s="3042"/>
      <c r="CI468" s="2384"/>
      <c r="CJ468" s="2384"/>
      <c r="CK468" s="2384"/>
      <c r="CL468" s="3043"/>
      <c r="CM468" s="3042"/>
      <c r="CN468" s="2384"/>
      <c r="CO468" s="2384"/>
      <c r="CP468" s="2384"/>
      <c r="CQ468" s="3043"/>
      <c r="CR468" s="3043"/>
      <c r="CS468" s="3042"/>
      <c r="CT468" s="3042"/>
      <c r="DA468" s="212"/>
      <c r="DB468" s="1226"/>
    </row>
    <row r="469" spans="1:106" s="207" customFormat="1" ht="4.5" customHeight="1" x14ac:dyDescent="0.2">
      <c r="A469" s="1580"/>
      <c r="B469" s="777"/>
      <c r="C469" s="777"/>
      <c r="D469" s="777"/>
      <c r="E469" s="777"/>
      <c r="F469" s="275"/>
      <c r="G469" s="777"/>
      <c r="H469" s="777"/>
      <c r="I469" s="777"/>
      <c r="J469" s="777"/>
      <c r="K469" s="275"/>
      <c r="L469" s="777"/>
      <c r="M469" s="777"/>
      <c r="N469" s="777"/>
      <c r="O469" s="777"/>
      <c r="P469" s="777"/>
      <c r="Q469" s="777"/>
      <c r="R469" s="777"/>
      <c r="S469" s="777"/>
      <c r="T469" s="777"/>
      <c r="U469" s="777"/>
      <c r="V469" s="777"/>
      <c r="W469" s="777"/>
      <c r="X469" s="777"/>
      <c r="Y469" s="777"/>
      <c r="Z469" s="777"/>
      <c r="AA469" s="275"/>
      <c r="AB469" s="275"/>
      <c r="AC469" s="275"/>
      <c r="AD469" s="275"/>
      <c r="AE469" s="777"/>
      <c r="AF469" s="275"/>
      <c r="AG469" s="275"/>
      <c r="AH469" s="275"/>
      <c r="AI469" s="275"/>
      <c r="AJ469" s="777"/>
      <c r="AK469" s="884"/>
      <c r="AL469" s="884"/>
      <c r="AM469" s="884"/>
      <c r="AN469" s="884"/>
      <c r="AO469" s="1512"/>
      <c r="AP469" s="884"/>
      <c r="AQ469" s="884"/>
      <c r="AR469" s="884"/>
      <c r="AS469" s="884"/>
      <c r="AT469" s="1512"/>
      <c r="AU469" s="884"/>
      <c r="AV469" s="884"/>
      <c r="AW469" s="884"/>
      <c r="AX469" s="1518"/>
      <c r="AY469" s="1519"/>
      <c r="AZ469" s="1518"/>
      <c r="BA469" s="1518"/>
      <c r="BB469" s="1518"/>
      <c r="BC469" s="1518"/>
      <c r="BD469" s="1519"/>
      <c r="BE469" s="1518"/>
      <c r="BF469" s="1518"/>
      <c r="BG469" s="1518"/>
      <c r="BH469" s="1518"/>
      <c r="BI469" s="1519"/>
      <c r="BJ469" s="1518"/>
      <c r="BK469" s="1518"/>
      <c r="BL469" s="1518"/>
      <c r="BM469" s="1518"/>
      <c r="BN469" s="1519"/>
      <c r="BO469" s="1518"/>
      <c r="BP469" s="1518"/>
      <c r="BQ469" s="1518"/>
      <c r="BR469" s="1518"/>
      <c r="BS469" s="1519"/>
      <c r="BT469" s="1518"/>
      <c r="BU469" s="1518"/>
      <c r="BV469" s="1518"/>
      <c r="BW469" s="1518"/>
      <c r="BX469" s="1519"/>
      <c r="BY469" s="1518"/>
      <c r="BZ469" s="1518"/>
      <c r="CA469" s="1518"/>
      <c r="CB469" s="1518"/>
      <c r="CC469" s="1519"/>
      <c r="CD469" s="1518"/>
      <c r="CE469" s="1518"/>
      <c r="CF469" s="1518"/>
      <c r="CG469" s="1518"/>
      <c r="CH469" s="1519"/>
      <c r="CI469" s="1518"/>
      <c r="CJ469" s="1518"/>
      <c r="CK469" s="1518"/>
      <c r="CL469" s="1579"/>
      <c r="CM469" s="1519"/>
      <c r="CN469" s="1518"/>
      <c r="CO469" s="1518"/>
      <c r="CP469" s="1518"/>
      <c r="CQ469" s="1579"/>
      <c r="CR469" s="1579"/>
      <c r="CS469" s="1579"/>
      <c r="CT469" s="1579"/>
      <c r="DA469" s="212"/>
      <c r="DB469" s="1226"/>
    </row>
    <row r="470" spans="1:106" s="207" customFormat="1" x14ac:dyDescent="0.2">
      <c r="A470" s="3039" t="s">
        <v>2454</v>
      </c>
      <c r="B470" s="777"/>
      <c r="C470" s="777"/>
      <c r="D470" s="777"/>
      <c r="E470" s="777"/>
      <c r="F470" s="275"/>
      <c r="G470" s="777"/>
      <c r="H470" s="777"/>
      <c r="I470" s="777"/>
      <c r="J470" s="777"/>
      <c r="K470" s="275"/>
      <c r="L470" s="777"/>
      <c r="M470" s="777"/>
      <c r="N470" s="777"/>
      <c r="O470" s="777"/>
      <c r="P470" s="777"/>
      <c r="Q470" s="777"/>
      <c r="R470" s="777"/>
      <c r="S470" s="777"/>
      <c r="T470" s="777"/>
      <c r="U470" s="777"/>
      <c r="V470" s="777"/>
      <c r="W470" s="777"/>
      <c r="X470" s="777"/>
      <c r="Y470" s="777"/>
      <c r="Z470" s="777"/>
      <c r="AA470" s="275"/>
      <c r="AB470" s="275"/>
      <c r="AC470" s="275"/>
      <c r="AD470" s="275"/>
      <c r="AE470" s="777"/>
      <c r="AF470" s="275"/>
      <c r="AG470" s="275"/>
      <c r="AH470" s="275"/>
      <c r="AI470" s="275"/>
      <c r="AJ470" s="777"/>
      <c r="AK470" s="884"/>
      <c r="AL470" s="884"/>
      <c r="AM470" s="884"/>
      <c r="AN470" s="884"/>
      <c r="AO470" s="1512"/>
      <c r="AP470" s="884"/>
      <c r="AQ470" s="884"/>
      <c r="AR470" s="884"/>
      <c r="AS470" s="884"/>
      <c r="AT470" s="1512"/>
      <c r="AU470" s="884"/>
      <c r="AV470" s="884"/>
      <c r="AW470" s="884"/>
      <c r="AX470" s="1518"/>
      <c r="AY470" s="1519"/>
      <c r="AZ470" s="1518"/>
      <c r="BA470" s="1518"/>
      <c r="BB470" s="1518"/>
      <c r="BC470" s="1518"/>
      <c r="BD470" s="1519"/>
      <c r="BE470" s="1518"/>
      <c r="BF470" s="1518"/>
      <c r="BG470" s="1518"/>
      <c r="BH470" s="1518"/>
      <c r="BI470" s="1519"/>
      <c r="BJ470" s="1518"/>
      <c r="BK470" s="1518"/>
      <c r="BL470" s="1518"/>
      <c r="BM470" s="1518"/>
      <c r="BN470" s="1519"/>
      <c r="BO470" s="1518"/>
      <c r="BP470" s="1518"/>
      <c r="BQ470" s="1518"/>
      <c r="BR470" s="1518"/>
      <c r="BS470" s="1519"/>
      <c r="BT470" s="1518"/>
      <c r="BU470" s="1518"/>
      <c r="BV470" s="1518"/>
      <c r="BW470" s="1518"/>
      <c r="BX470" s="1519"/>
      <c r="BY470" s="1518"/>
      <c r="BZ470" s="1518"/>
      <c r="CA470" s="1518"/>
      <c r="CB470" s="1518"/>
      <c r="CC470" s="1519"/>
      <c r="CD470" s="3045"/>
      <c r="CE470" s="3045"/>
      <c r="CF470" s="3045"/>
      <c r="CG470" s="2384"/>
      <c r="CH470" s="3042"/>
      <c r="CI470" s="2384"/>
      <c r="CJ470" s="2384"/>
      <c r="CK470" s="2384"/>
      <c r="CL470" s="2384"/>
      <c r="CM470" s="3042"/>
      <c r="CN470" s="2384"/>
      <c r="CO470" s="2384"/>
      <c r="CP470" s="2384"/>
      <c r="CQ470" s="3043"/>
      <c r="CR470" s="2384"/>
      <c r="CS470" s="3042"/>
      <c r="CT470" s="3042"/>
      <c r="DA470" s="212"/>
      <c r="DB470" s="1226"/>
    </row>
    <row r="471" spans="1:106" s="207" customFormat="1" x14ac:dyDescent="0.2">
      <c r="A471" s="3039" t="s">
        <v>2455</v>
      </c>
      <c r="B471" s="777"/>
      <c r="C471" s="777"/>
      <c r="D471" s="777"/>
      <c r="E471" s="777"/>
      <c r="F471" s="275"/>
      <c r="G471" s="777"/>
      <c r="H471" s="777"/>
      <c r="I471" s="777"/>
      <c r="J471" s="777"/>
      <c r="K471" s="275"/>
      <c r="L471" s="777"/>
      <c r="M471" s="777"/>
      <c r="N471" s="777"/>
      <c r="O471" s="777"/>
      <c r="P471" s="777"/>
      <c r="Q471" s="777"/>
      <c r="R471" s="777"/>
      <c r="S471" s="777"/>
      <c r="T471" s="777"/>
      <c r="U471" s="777"/>
      <c r="V471" s="777"/>
      <c r="W471" s="777"/>
      <c r="X471" s="777"/>
      <c r="Y471" s="777"/>
      <c r="Z471" s="777"/>
      <c r="AA471" s="275"/>
      <c r="AB471" s="275"/>
      <c r="AC471" s="275"/>
      <c r="AD471" s="275"/>
      <c r="AE471" s="777"/>
      <c r="AF471" s="275"/>
      <c r="AG471" s="275"/>
      <c r="AH471" s="275"/>
      <c r="AI471" s="275"/>
      <c r="AJ471" s="777"/>
      <c r="AK471" s="884"/>
      <c r="AL471" s="884"/>
      <c r="AM471" s="884"/>
      <c r="AN471" s="884"/>
      <c r="AO471" s="1512"/>
      <c r="AP471" s="884"/>
      <c r="AQ471" s="884"/>
      <c r="AR471" s="884"/>
      <c r="AS471" s="884"/>
      <c r="AT471" s="1512"/>
      <c r="AU471" s="884"/>
      <c r="AV471" s="884"/>
      <c r="AW471" s="884"/>
      <c r="AX471" s="1518"/>
      <c r="AY471" s="1519"/>
      <c r="AZ471" s="1518"/>
      <c r="BA471" s="1518"/>
      <c r="BB471" s="1518"/>
      <c r="BC471" s="1518"/>
      <c r="BD471" s="1519"/>
      <c r="BE471" s="1518"/>
      <c r="BF471" s="1518"/>
      <c r="BG471" s="1518"/>
      <c r="BH471" s="1518"/>
      <c r="BI471" s="1519"/>
      <c r="BJ471" s="1518"/>
      <c r="BK471" s="1518"/>
      <c r="BL471" s="1518"/>
      <c r="BM471" s="1518"/>
      <c r="BN471" s="1519"/>
      <c r="BO471" s="1518"/>
      <c r="BP471" s="1518"/>
      <c r="BQ471" s="1518"/>
      <c r="BR471" s="1518"/>
      <c r="BS471" s="1519"/>
      <c r="BT471" s="1518"/>
      <c r="BU471" s="1518"/>
      <c r="BV471" s="1518"/>
      <c r="BW471" s="1518"/>
      <c r="BX471" s="1519"/>
      <c r="BY471" s="1518"/>
      <c r="BZ471" s="1518"/>
      <c r="CA471" s="1518"/>
      <c r="CB471" s="1518"/>
      <c r="CC471" s="1519"/>
      <c r="CD471" s="3045"/>
      <c r="CE471" s="3045"/>
      <c r="CF471" s="3045"/>
      <c r="CG471" s="2384"/>
      <c r="CH471" s="3042"/>
      <c r="CI471" s="2384"/>
      <c r="CJ471" s="2384"/>
      <c r="CK471" s="2384"/>
      <c r="CL471" s="2384"/>
      <c r="CM471" s="3042"/>
      <c r="CN471" s="2384"/>
      <c r="CO471" s="2384"/>
      <c r="CP471" s="2384"/>
      <c r="CQ471" s="3043"/>
      <c r="CR471" s="2384"/>
      <c r="CS471" s="3042"/>
      <c r="CT471" s="3042"/>
      <c r="DA471" s="212"/>
      <c r="DB471" s="1226"/>
    </row>
    <row r="472" spans="1:106" s="207" customFormat="1" x14ac:dyDescent="0.2">
      <c r="A472" s="3039" t="s">
        <v>2456</v>
      </c>
      <c r="B472" s="777"/>
      <c r="C472" s="777"/>
      <c r="D472" s="777"/>
      <c r="E472" s="777"/>
      <c r="F472" s="275"/>
      <c r="G472" s="777"/>
      <c r="H472" s="777"/>
      <c r="I472" s="777"/>
      <c r="J472" s="777"/>
      <c r="K472" s="275"/>
      <c r="L472" s="777"/>
      <c r="M472" s="777"/>
      <c r="N472" s="777"/>
      <c r="O472" s="777"/>
      <c r="P472" s="777"/>
      <c r="Q472" s="777"/>
      <c r="R472" s="777"/>
      <c r="S472" s="777"/>
      <c r="T472" s="777"/>
      <c r="U472" s="777"/>
      <c r="V472" s="777"/>
      <c r="W472" s="777"/>
      <c r="X472" s="777"/>
      <c r="Y472" s="777"/>
      <c r="Z472" s="777"/>
      <c r="AA472" s="275"/>
      <c r="AB472" s="275"/>
      <c r="AC472" s="275"/>
      <c r="AD472" s="275"/>
      <c r="AE472" s="777"/>
      <c r="AF472" s="275"/>
      <c r="AG472" s="275"/>
      <c r="AH472" s="275"/>
      <c r="AI472" s="275"/>
      <c r="AJ472" s="777"/>
      <c r="AK472" s="884"/>
      <c r="AL472" s="884"/>
      <c r="AM472" s="884"/>
      <c r="AN472" s="884"/>
      <c r="AO472" s="1512"/>
      <c r="AP472" s="884"/>
      <c r="AQ472" s="884"/>
      <c r="AR472" s="884"/>
      <c r="AS472" s="884"/>
      <c r="AT472" s="1512"/>
      <c r="AU472" s="884"/>
      <c r="AV472" s="884"/>
      <c r="AW472" s="884"/>
      <c r="AX472" s="1518"/>
      <c r="AY472" s="1519"/>
      <c r="AZ472" s="1518"/>
      <c r="BA472" s="1518"/>
      <c r="BB472" s="1518"/>
      <c r="BC472" s="1518"/>
      <c r="BD472" s="1519"/>
      <c r="BE472" s="1518"/>
      <c r="BF472" s="1518"/>
      <c r="BG472" s="1518"/>
      <c r="BH472" s="1518"/>
      <c r="BI472" s="1519"/>
      <c r="BJ472" s="1518"/>
      <c r="BK472" s="1518"/>
      <c r="BL472" s="1518"/>
      <c r="BM472" s="1518"/>
      <c r="BN472" s="1519"/>
      <c r="BO472" s="1518"/>
      <c r="BP472" s="1518"/>
      <c r="BQ472" s="1518"/>
      <c r="BR472" s="1518"/>
      <c r="BS472" s="1519"/>
      <c r="BT472" s="1518"/>
      <c r="BU472" s="1518"/>
      <c r="BV472" s="1518"/>
      <c r="BW472" s="1518"/>
      <c r="BX472" s="1519"/>
      <c r="BY472" s="1518"/>
      <c r="BZ472" s="1518"/>
      <c r="CA472" s="1518"/>
      <c r="CB472" s="1518"/>
      <c r="CC472" s="1519"/>
      <c r="CD472" s="3045"/>
      <c r="CE472" s="3045"/>
      <c r="CF472" s="3045"/>
      <c r="CG472" s="2384"/>
      <c r="CH472" s="3042"/>
      <c r="CI472" s="2384"/>
      <c r="CJ472" s="2384"/>
      <c r="CK472" s="2384"/>
      <c r="CL472" s="2384"/>
      <c r="CM472" s="3042"/>
      <c r="CN472" s="2384"/>
      <c r="CO472" s="2384"/>
      <c r="CP472" s="2384"/>
      <c r="CQ472" s="3043"/>
      <c r="CR472" s="2384"/>
      <c r="CS472" s="3042"/>
      <c r="CT472" s="3042"/>
      <c r="DA472" s="212"/>
      <c r="DB472" s="1226"/>
    </row>
    <row r="473" spans="1:106" s="207" customFormat="1" x14ac:dyDescent="0.2">
      <c r="A473" s="3039" t="s">
        <v>2457</v>
      </c>
      <c r="B473" s="777"/>
      <c r="C473" s="777"/>
      <c r="D473" s="777"/>
      <c r="E473" s="777"/>
      <c r="F473" s="275"/>
      <c r="G473" s="777"/>
      <c r="H473" s="777"/>
      <c r="I473" s="777"/>
      <c r="J473" s="777"/>
      <c r="K473" s="275"/>
      <c r="L473" s="777"/>
      <c r="M473" s="777"/>
      <c r="N473" s="777"/>
      <c r="O473" s="777"/>
      <c r="P473" s="777"/>
      <c r="Q473" s="777"/>
      <c r="R473" s="777"/>
      <c r="S473" s="777"/>
      <c r="T473" s="777"/>
      <c r="U473" s="777"/>
      <c r="V473" s="777"/>
      <c r="W473" s="777"/>
      <c r="X473" s="777"/>
      <c r="Y473" s="777"/>
      <c r="Z473" s="777"/>
      <c r="AA473" s="275"/>
      <c r="AB473" s="275"/>
      <c r="AC473" s="275"/>
      <c r="AD473" s="275"/>
      <c r="AE473" s="777"/>
      <c r="AF473" s="275"/>
      <c r="AG473" s="275"/>
      <c r="AH473" s="275"/>
      <c r="AI473" s="275"/>
      <c r="AJ473" s="777"/>
      <c r="AK473" s="884"/>
      <c r="AL473" s="884"/>
      <c r="AM473" s="884"/>
      <c r="AN473" s="884"/>
      <c r="AO473" s="1512"/>
      <c r="AP473" s="884"/>
      <c r="AQ473" s="884"/>
      <c r="AR473" s="884"/>
      <c r="AS473" s="884"/>
      <c r="AT473" s="1512"/>
      <c r="AU473" s="884"/>
      <c r="AV473" s="884"/>
      <c r="AW473" s="884"/>
      <c r="AX473" s="1518"/>
      <c r="AY473" s="1519"/>
      <c r="AZ473" s="1518"/>
      <c r="BA473" s="1518"/>
      <c r="BB473" s="1518"/>
      <c r="BC473" s="1518"/>
      <c r="BD473" s="1519"/>
      <c r="BE473" s="1518"/>
      <c r="BF473" s="1518"/>
      <c r="BG473" s="1518"/>
      <c r="BH473" s="1518"/>
      <c r="BI473" s="1519"/>
      <c r="BJ473" s="1518"/>
      <c r="BK473" s="1518"/>
      <c r="BL473" s="1518"/>
      <c r="BM473" s="1518"/>
      <c r="BN473" s="1519"/>
      <c r="BO473" s="1518"/>
      <c r="BP473" s="1518"/>
      <c r="BQ473" s="1518"/>
      <c r="BR473" s="1518"/>
      <c r="BS473" s="1519"/>
      <c r="BT473" s="1518"/>
      <c r="BU473" s="1518"/>
      <c r="BV473" s="1518"/>
      <c r="BW473" s="1518"/>
      <c r="BX473" s="1519"/>
      <c r="BY473" s="1518"/>
      <c r="BZ473" s="1518"/>
      <c r="CA473" s="1518"/>
      <c r="CB473" s="1518"/>
      <c r="CC473" s="1519"/>
      <c r="CD473" s="3045"/>
      <c r="CE473" s="3045"/>
      <c r="CF473" s="3045"/>
      <c r="CG473" s="2384"/>
      <c r="CH473" s="3042"/>
      <c r="CI473" s="2384"/>
      <c r="CJ473" s="2384"/>
      <c r="CK473" s="2384"/>
      <c r="CL473" s="2384"/>
      <c r="CM473" s="3042"/>
      <c r="CN473" s="2384"/>
      <c r="CO473" s="2384"/>
      <c r="CP473" s="2384"/>
      <c r="CQ473" s="3043"/>
      <c r="CR473" s="2384"/>
      <c r="CS473" s="3042"/>
      <c r="CT473" s="3042"/>
      <c r="DA473" s="212"/>
      <c r="DB473" s="1226"/>
    </row>
    <row r="474" spans="1:106" s="207" customFormat="1" x14ac:dyDescent="0.2">
      <c r="A474" s="3039" t="s">
        <v>2458</v>
      </c>
      <c r="B474" s="777"/>
      <c r="C474" s="777"/>
      <c r="D474" s="777"/>
      <c r="E474" s="777"/>
      <c r="F474" s="275"/>
      <c r="G474" s="777"/>
      <c r="H474" s="777"/>
      <c r="I474" s="777"/>
      <c r="J474" s="777"/>
      <c r="K474" s="275"/>
      <c r="L474" s="777"/>
      <c r="M474" s="777"/>
      <c r="N474" s="777"/>
      <c r="O474" s="777"/>
      <c r="P474" s="777"/>
      <c r="Q474" s="777"/>
      <c r="R474" s="777"/>
      <c r="S474" s="777"/>
      <c r="T474" s="777"/>
      <c r="U474" s="777"/>
      <c r="V474" s="777"/>
      <c r="W474" s="777"/>
      <c r="X474" s="777"/>
      <c r="Y474" s="777"/>
      <c r="Z474" s="777"/>
      <c r="AA474" s="275"/>
      <c r="AB474" s="275"/>
      <c r="AC474" s="275"/>
      <c r="AD474" s="275"/>
      <c r="AE474" s="777"/>
      <c r="AF474" s="275"/>
      <c r="AG474" s="275"/>
      <c r="AH474" s="275"/>
      <c r="AI474" s="275"/>
      <c r="AJ474" s="777"/>
      <c r="AK474" s="884"/>
      <c r="AL474" s="884"/>
      <c r="AM474" s="884"/>
      <c r="AN474" s="884"/>
      <c r="AO474" s="1512"/>
      <c r="AP474" s="884"/>
      <c r="AQ474" s="884"/>
      <c r="AR474" s="884"/>
      <c r="AS474" s="884"/>
      <c r="AT474" s="1512"/>
      <c r="AU474" s="884"/>
      <c r="AV474" s="884"/>
      <c r="AW474" s="884"/>
      <c r="AX474" s="1518"/>
      <c r="AY474" s="1519"/>
      <c r="AZ474" s="1518"/>
      <c r="BA474" s="1518"/>
      <c r="BB474" s="1518"/>
      <c r="BC474" s="1518"/>
      <c r="BD474" s="1519"/>
      <c r="BE474" s="1518"/>
      <c r="BF474" s="1518"/>
      <c r="BG474" s="1518"/>
      <c r="BH474" s="1518"/>
      <c r="BI474" s="1519"/>
      <c r="BJ474" s="1518"/>
      <c r="BK474" s="1518"/>
      <c r="BL474" s="1518"/>
      <c r="BM474" s="1518"/>
      <c r="BN474" s="1519"/>
      <c r="BO474" s="1518"/>
      <c r="BP474" s="1518"/>
      <c r="BQ474" s="1518"/>
      <c r="BR474" s="1518"/>
      <c r="BS474" s="1519"/>
      <c r="BT474" s="1518"/>
      <c r="BU474" s="1518"/>
      <c r="BV474" s="1518"/>
      <c r="BW474" s="1518"/>
      <c r="BX474" s="1519"/>
      <c r="BY474" s="1518"/>
      <c r="BZ474" s="1518"/>
      <c r="CA474" s="1518"/>
      <c r="CB474" s="1518"/>
      <c r="CC474" s="1519"/>
      <c r="CD474" s="3045"/>
      <c r="CE474" s="3045"/>
      <c r="CF474" s="3045"/>
      <c r="CG474" s="2384"/>
      <c r="CH474" s="3042"/>
      <c r="CI474" s="2384"/>
      <c r="CJ474" s="2384"/>
      <c r="CK474" s="2384"/>
      <c r="CL474" s="2384"/>
      <c r="CM474" s="3042"/>
      <c r="CN474" s="2384"/>
      <c r="CO474" s="2384"/>
      <c r="CP474" s="2384"/>
      <c r="CQ474" s="3043"/>
      <c r="CR474" s="2384"/>
      <c r="CS474" s="3042"/>
      <c r="CT474" s="3042"/>
      <c r="DA474" s="212"/>
      <c r="DB474" s="1226"/>
    </row>
    <row r="475" spans="1:106" s="207" customFormat="1" x14ac:dyDescent="0.2">
      <c r="A475" s="3039" t="s">
        <v>2459</v>
      </c>
      <c r="B475" s="777"/>
      <c r="C475" s="777"/>
      <c r="D475" s="777"/>
      <c r="E475" s="777"/>
      <c r="F475" s="275"/>
      <c r="G475" s="777"/>
      <c r="H475" s="777"/>
      <c r="I475" s="777"/>
      <c r="J475" s="777"/>
      <c r="K475" s="275"/>
      <c r="L475" s="777"/>
      <c r="M475" s="777"/>
      <c r="N475" s="777"/>
      <c r="O475" s="777"/>
      <c r="P475" s="777"/>
      <c r="Q475" s="777"/>
      <c r="R475" s="777"/>
      <c r="S475" s="777"/>
      <c r="T475" s="777"/>
      <c r="U475" s="777"/>
      <c r="V475" s="777"/>
      <c r="W475" s="777"/>
      <c r="X475" s="777"/>
      <c r="Y475" s="777"/>
      <c r="Z475" s="777"/>
      <c r="AA475" s="275"/>
      <c r="AB475" s="275"/>
      <c r="AC475" s="275"/>
      <c r="AD475" s="275"/>
      <c r="AE475" s="777"/>
      <c r="AF475" s="275"/>
      <c r="AG475" s="275"/>
      <c r="AH475" s="275"/>
      <c r="AI475" s="275"/>
      <c r="AJ475" s="777"/>
      <c r="AK475" s="884"/>
      <c r="AL475" s="884"/>
      <c r="AM475" s="884"/>
      <c r="AN475" s="884"/>
      <c r="AO475" s="1512"/>
      <c r="AP475" s="884"/>
      <c r="AQ475" s="884"/>
      <c r="AR475" s="884"/>
      <c r="AS475" s="884"/>
      <c r="AT475" s="1512"/>
      <c r="AU475" s="884"/>
      <c r="AV475" s="884"/>
      <c r="AW475" s="884"/>
      <c r="AX475" s="1518"/>
      <c r="AY475" s="1519"/>
      <c r="AZ475" s="1518"/>
      <c r="BA475" s="1518"/>
      <c r="BB475" s="1518"/>
      <c r="BC475" s="1518"/>
      <c r="BD475" s="1519"/>
      <c r="BE475" s="1518"/>
      <c r="BF475" s="1518"/>
      <c r="BG475" s="1518"/>
      <c r="BH475" s="1518"/>
      <c r="BI475" s="1519"/>
      <c r="BJ475" s="1518"/>
      <c r="BK475" s="1518"/>
      <c r="BL475" s="1518"/>
      <c r="BM475" s="1518"/>
      <c r="BN475" s="1519"/>
      <c r="BO475" s="1518"/>
      <c r="BP475" s="1518"/>
      <c r="BQ475" s="1518"/>
      <c r="BR475" s="1518"/>
      <c r="BS475" s="1519"/>
      <c r="BT475" s="1518"/>
      <c r="BU475" s="1518"/>
      <c r="BV475" s="1518"/>
      <c r="BW475" s="1518"/>
      <c r="BX475" s="1519"/>
      <c r="BY475" s="1518"/>
      <c r="BZ475" s="1518"/>
      <c r="CA475" s="1518"/>
      <c r="CB475" s="1518"/>
      <c r="CC475" s="1519"/>
      <c r="CD475" s="3045"/>
      <c r="CE475" s="3045"/>
      <c r="CF475" s="3045"/>
      <c r="CG475" s="2384"/>
      <c r="CH475" s="3042"/>
      <c r="CI475" s="2384"/>
      <c r="CJ475" s="2384"/>
      <c r="CK475" s="2384"/>
      <c r="CL475" s="2384"/>
      <c r="CM475" s="3042"/>
      <c r="CN475" s="2384"/>
      <c r="CO475" s="2384"/>
      <c r="CP475" s="2384"/>
      <c r="CQ475" s="3043"/>
      <c r="CR475" s="2384"/>
      <c r="CS475" s="3042"/>
      <c r="CT475" s="3042"/>
      <c r="DA475" s="212"/>
      <c r="DB475" s="1226"/>
    </row>
    <row r="476" spans="1:106" s="207" customFormat="1" x14ac:dyDescent="0.2">
      <c r="A476" s="3039" t="s">
        <v>2460</v>
      </c>
      <c r="B476" s="777"/>
      <c r="C476" s="777"/>
      <c r="D476" s="777"/>
      <c r="E476" s="777"/>
      <c r="F476" s="275"/>
      <c r="G476" s="777"/>
      <c r="H476" s="777"/>
      <c r="I476" s="777"/>
      <c r="J476" s="777"/>
      <c r="K476" s="275"/>
      <c r="L476" s="777"/>
      <c r="M476" s="777"/>
      <c r="N476" s="777"/>
      <c r="O476" s="777"/>
      <c r="P476" s="777"/>
      <c r="Q476" s="777"/>
      <c r="R476" s="777"/>
      <c r="S476" s="777"/>
      <c r="T476" s="777"/>
      <c r="U476" s="777"/>
      <c r="V476" s="777"/>
      <c r="W476" s="777"/>
      <c r="X476" s="777"/>
      <c r="Y476" s="777"/>
      <c r="Z476" s="777"/>
      <c r="AA476" s="275"/>
      <c r="AB476" s="275"/>
      <c r="AC476" s="275"/>
      <c r="AD476" s="275"/>
      <c r="AE476" s="777"/>
      <c r="AF476" s="275"/>
      <c r="AG476" s="275"/>
      <c r="AH476" s="275"/>
      <c r="AI476" s="275"/>
      <c r="AJ476" s="777"/>
      <c r="AK476" s="884"/>
      <c r="AL476" s="884"/>
      <c r="AM476" s="884"/>
      <c r="AN476" s="884"/>
      <c r="AO476" s="1512"/>
      <c r="AP476" s="884"/>
      <c r="AQ476" s="884"/>
      <c r="AR476" s="884"/>
      <c r="AS476" s="884"/>
      <c r="AT476" s="1512"/>
      <c r="AU476" s="884"/>
      <c r="AV476" s="884"/>
      <c r="AW476" s="884"/>
      <c r="AX476" s="1518"/>
      <c r="AY476" s="1519"/>
      <c r="AZ476" s="1518"/>
      <c r="BA476" s="1518"/>
      <c r="BB476" s="1518"/>
      <c r="BC476" s="1518"/>
      <c r="BD476" s="1519"/>
      <c r="BE476" s="1518"/>
      <c r="BF476" s="1518"/>
      <c r="BG476" s="1518"/>
      <c r="BH476" s="1518"/>
      <c r="BI476" s="1519"/>
      <c r="BJ476" s="1518"/>
      <c r="BK476" s="1518"/>
      <c r="BL476" s="1518"/>
      <c r="BM476" s="1518"/>
      <c r="BN476" s="1519"/>
      <c r="BO476" s="1518"/>
      <c r="BP476" s="1518"/>
      <c r="BQ476" s="1518"/>
      <c r="BR476" s="1518"/>
      <c r="BS476" s="1519"/>
      <c r="BT476" s="1518"/>
      <c r="BU476" s="1518"/>
      <c r="BV476" s="1518"/>
      <c r="BW476" s="1518"/>
      <c r="BX476" s="1519"/>
      <c r="BY476" s="1518"/>
      <c r="BZ476" s="1518"/>
      <c r="CA476" s="1518"/>
      <c r="CB476" s="1518"/>
      <c r="CC476" s="1519"/>
      <c r="CD476" s="3045"/>
      <c r="CE476" s="3045"/>
      <c r="CF476" s="3045"/>
      <c r="CG476" s="2384"/>
      <c r="CH476" s="3042"/>
      <c r="CI476" s="2384"/>
      <c r="CJ476" s="2384"/>
      <c r="CK476" s="2384"/>
      <c r="CL476" s="2384"/>
      <c r="CM476" s="3042"/>
      <c r="CN476" s="2384"/>
      <c r="CO476" s="2384"/>
      <c r="CP476" s="2384"/>
      <c r="CQ476" s="3043"/>
      <c r="CR476" s="2384"/>
      <c r="CS476" s="3042"/>
      <c r="CT476" s="3042"/>
      <c r="DA476" s="212"/>
      <c r="DB476" s="1226"/>
    </row>
    <row r="477" spans="1:106" s="207" customFormat="1" x14ac:dyDescent="0.2">
      <c r="A477" s="3039" t="s">
        <v>2464</v>
      </c>
      <c r="B477" s="777"/>
      <c r="C477" s="777"/>
      <c r="D477" s="777"/>
      <c r="E477" s="777"/>
      <c r="F477" s="275"/>
      <c r="G477" s="777"/>
      <c r="H477" s="777"/>
      <c r="I477" s="777"/>
      <c r="J477" s="777"/>
      <c r="K477" s="275"/>
      <c r="L477" s="777"/>
      <c r="M477" s="777"/>
      <c r="N477" s="777"/>
      <c r="O477" s="777"/>
      <c r="P477" s="777"/>
      <c r="Q477" s="777"/>
      <c r="R477" s="777"/>
      <c r="S477" s="777"/>
      <c r="T477" s="777"/>
      <c r="U477" s="777"/>
      <c r="V477" s="777"/>
      <c r="W477" s="777"/>
      <c r="X477" s="777"/>
      <c r="Y477" s="777"/>
      <c r="Z477" s="777"/>
      <c r="AA477" s="275"/>
      <c r="AB477" s="275"/>
      <c r="AC477" s="275"/>
      <c r="AD477" s="275"/>
      <c r="AE477" s="777"/>
      <c r="AF477" s="275"/>
      <c r="AG477" s="275"/>
      <c r="AH477" s="275"/>
      <c r="AI477" s="275"/>
      <c r="AJ477" s="777"/>
      <c r="AK477" s="884"/>
      <c r="AL477" s="884"/>
      <c r="AM477" s="884"/>
      <c r="AN477" s="884"/>
      <c r="AO477" s="1512"/>
      <c r="AP477" s="884"/>
      <c r="AQ477" s="884"/>
      <c r="AR477" s="884"/>
      <c r="AS477" s="884"/>
      <c r="AT477" s="1512"/>
      <c r="AU477" s="884"/>
      <c r="AV477" s="884"/>
      <c r="AW477" s="884"/>
      <c r="AX477" s="1518"/>
      <c r="AY477" s="1519"/>
      <c r="AZ477" s="1518"/>
      <c r="BA477" s="1518"/>
      <c r="BB477" s="1518"/>
      <c r="BC477" s="1518"/>
      <c r="BD477" s="1519"/>
      <c r="BE477" s="1518"/>
      <c r="BF477" s="1518"/>
      <c r="BG477" s="1518"/>
      <c r="BH477" s="1518"/>
      <c r="BI477" s="1519"/>
      <c r="BJ477" s="1518"/>
      <c r="BK477" s="1518"/>
      <c r="BL477" s="1518"/>
      <c r="BM477" s="1518"/>
      <c r="BN477" s="1519"/>
      <c r="BO477" s="1518"/>
      <c r="BP477" s="1518"/>
      <c r="BQ477" s="1518"/>
      <c r="BR477" s="1518"/>
      <c r="BS477" s="1519"/>
      <c r="BT477" s="1518"/>
      <c r="BU477" s="1518"/>
      <c r="BV477" s="1518"/>
      <c r="BW477" s="1518"/>
      <c r="BX477" s="1519"/>
      <c r="BY477" s="1518"/>
      <c r="BZ477" s="1518"/>
      <c r="CA477" s="1518"/>
      <c r="CB477" s="1518"/>
      <c r="CC477" s="1519"/>
      <c r="CD477" s="3045"/>
      <c r="CE477" s="3045"/>
      <c r="CF477" s="3045"/>
      <c r="CG477" s="2384"/>
      <c r="CH477" s="3042"/>
      <c r="CI477" s="2384"/>
      <c r="CJ477" s="2384"/>
      <c r="CK477" s="2384"/>
      <c r="CL477" s="2384"/>
      <c r="CM477" s="3042"/>
      <c r="CN477" s="2384"/>
      <c r="CO477" s="2384"/>
      <c r="CP477" s="2384"/>
      <c r="CQ477" s="3043"/>
      <c r="CR477" s="2384"/>
      <c r="CS477" s="3042"/>
      <c r="CT477" s="3042"/>
      <c r="DA477" s="212"/>
      <c r="DB477" s="1226"/>
    </row>
    <row r="478" spans="1:106" s="207" customFormat="1" x14ac:dyDescent="0.2">
      <c r="A478" s="3039" t="s">
        <v>2462</v>
      </c>
      <c r="B478" s="777"/>
      <c r="C478" s="777"/>
      <c r="D478" s="777"/>
      <c r="E478" s="777"/>
      <c r="F478" s="275"/>
      <c r="G478" s="777"/>
      <c r="H478" s="777"/>
      <c r="I478" s="777"/>
      <c r="J478" s="777"/>
      <c r="K478" s="275"/>
      <c r="L478" s="777"/>
      <c r="M478" s="777"/>
      <c r="N478" s="777"/>
      <c r="O478" s="777"/>
      <c r="P478" s="777"/>
      <c r="Q478" s="777"/>
      <c r="R478" s="777"/>
      <c r="S478" s="777"/>
      <c r="T478" s="777"/>
      <c r="U478" s="777"/>
      <c r="V478" s="777"/>
      <c r="W478" s="777"/>
      <c r="X478" s="777"/>
      <c r="Y478" s="777"/>
      <c r="Z478" s="777"/>
      <c r="AA478" s="275"/>
      <c r="AB478" s="275"/>
      <c r="AC478" s="275"/>
      <c r="AD478" s="275"/>
      <c r="AE478" s="777"/>
      <c r="AF478" s="275"/>
      <c r="AG478" s="275"/>
      <c r="AH478" s="275"/>
      <c r="AI478" s="275"/>
      <c r="AJ478" s="777"/>
      <c r="AK478" s="884"/>
      <c r="AL478" s="884"/>
      <c r="AM478" s="884"/>
      <c r="AN478" s="884"/>
      <c r="AO478" s="1512"/>
      <c r="AP478" s="884"/>
      <c r="AQ478" s="884"/>
      <c r="AR478" s="884"/>
      <c r="AS478" s="884"/>
      <c r="AT478" s="1512"/>
      <c r="AU478" s="884"/>
      <c r="AV478" s="884"/>
      <c r="AW478" s="884"/>
      <c r="AX478" s="1518"/>
      <c r="AY478" s="1519"/>
      <c r="AZ478" s="1518"/>
      <c r="BA478" s="1518"/>
      <c r="BB478" s="1518"/>
      <c r="BC478" s="1518"/>
      <c r="BD478" s="1519"/>
      <c r="BE478" s="1518"/>
      <c r="BF478" s="1518"/>
      <c r="BG478" s="1518"/>
      <c r="BH478" s="1518"/>
      <c r="BI478" s="1519"/>
      <c r="BJ478" s="1518"/>
      <c r="BK478" s="1518"/>
      <c r="BL478" s="1518"/>
      <c r="BM478" s="1518"/>
      <c r="BN478" s="1519"/>
      <c r="BO478" s="1518"/>
      <c r="BP478" s="1518"/>
      <c r="BQ478" s="1518"/>
      <c r="BR478" s="1518"/>
      <c r="BS478" s="1519"/>
      <c r="BT478" s="1518"/>
      <c r="BU478" s="1518"/>
      <c r="BV478" s="1518"/>
      <c r="BW478" s="1518"/>
      <c r="BX478" s="1519"/>
      <c r="BY478" s="1518"/>
      <c r="BZ478" s="1518"/>
      <c r="CA478" s="1518"/>
      <c r="CB478" s="1518"/>
      <c r="CC478" s="1519"/>
      <c r="CD478" s="3045"/>
      <c r="CE478" s="3045"/>
      <c r="CF478" s="3045"/>
      <c r="CG478" s="2384"/>
      <c r="CH478" s="3042"/>
      <c r="CI478" s="2384"/>
      <c r="CJ478" s="2384"/>
      <c r="CK478" s="2384"/>
      <c r="CL478" s="2384"/>
      <c r="CM478" s="3042"/>
      <c r="CN478" s="2384"/>
      <c r="CO478" s="2384"/>
      <c r="CP478" s="2384"/>
      <c r="CQ478" s="3043"/>
      <c r="CR478" s="2384"/>
      <c r="CS478" s="3042"/>
      <c r="CT478" s="3042"/>
      <c r="DA478" s="212"/>
      <c r="DB478" s="1226"/>
    </row>
    <row r="479" spans="1:106" s="207" customFormat="1" x14ac:dyDescent="0.2">
      <c r="A479" s="3039" t="s">
        <v>1931</v>
      </c>
      <c r="B479" s="777"/>
      <c r="C479" s="777"/>
      <c r="D479" s="777"/>
      <c r="E479" s="777"/>
      <c r="F479" s="275"/>
      <c r="G479" s="777"/>
      <c r="H479" s="777"/>
      <c r="I479" s="777"/>
      <c r="J479" s="777"/>
      <c r="K479" s="275"/>
      <c r="L479" s="777"/>
      <c r="M479" s="777"/>
      <c r="N479" s="777"/>
      <c r="O479" s="777"/>
      <c r="P479" s="777"/>
      <c r="Q479" s="777"/>
      <c r="R479" s="777"/>
      <c r="S479" s="777"/>
      <c r="T479" s="777"/>
      <c r="U479" s="777"/>
      <c r="V479" s="777"/>
      <c r="W479" s="777"/>
      <c r="X479" s="777"/>
      <c r="Y479" s="777"/>
      <c r="Z479" s="777"/>
      <c r="AA479" s="275"/>
      <c r="AB479" s="275"/>
      <c r="AC479" s="275"/>
      <c r="AD479" s="275"/>
      <c r="AE479" s="777"/>
      <c r="AF479" s="275"/>
      <c r="AG479" s="275"/>
      <c r="AH479" s="275"/>
      <c r="AI479" s="275"/>
      <c r="AJ479" s="777"/>
      <c r="AK479" s="884"/>
      <c r="AL479" s="884"/>
      <c r="AM479" s="884"/>
      <c r="AN479" s="884"/>
      <c r="AO479" s="1512"/>
      <c r="AP479" s="884"/>
      <c r="AQ479" s="884"/>
      <c r="AR479" s="884"/>
      <c r="AS479" s="884"/>
      <c r="AT479" s="1512"/>
      <c r="AU479" s="884"/>
      <c r="AV479" s="884"/>
      <c r="AW479" s="884"/>
      <c r="AX479" s="1518"/>
      <c r="AY479" s="1519"/>
      <c r="AZ479" s="1518"/>
      <c r="BA479" s="1518"/>
      <c r="BB479" s="1518"/>
      <c r="BC479" s="1518"/>
      <c r="BD479" s="1519"/>
      <c r="BE479" s="1518"/>
      <c r="BF479" s="1518"/>
      <c r="BG479" s="1518"/>
      <c r="BH479" s="1518"/>
      <c r="BI479" s="1519"/>
      <c r="BJ479" s="1518"/>
      <c r="BK479" s="1518"/>
      <c r="BL479" s="1518"/>
      <c r="BM479" s="1518"/>
      <c r="BN479" s="1519"/>
      <c r="BO479" s="1518"/>
      <c r="BP479" s="1518"/>
      <c r="BQ479" s="1518"/>
      <c r="BR479" s="1518"/>
      <c r="BS479" s="1519"/>
      <c r="BT479" s="1518"/>
      <c r="BU479" s="1518"/>
      <c r="BV479" s="1518"/>
      <c r="BW479" s="1518"/>
      <c r="BX479" s="1519"/>
      <c r="BY479" s="1518"/>
      <c r="BZ479" s="1518"/>
      <c r="CA479" s="1518"/>
      <c r="CB479" s="1518"/>
      <c r="CC479" s="1519"/>
      <c r="CD479" s="3045"/>
      <c r="CE479" s="3045"/>
      <c r="CF479" s="3045"/>
      <c r="CG479" s="2384"/>
      <c r="CH479" s="3042"/>
      <c r="CI479" s="2384"/>
      <c r="CJ479" s="2384"/>
      <c r="CK479" s="2384"/>
      <c r="CL479" s="2384"/>
      <c r="CM479" s="3042"/>
      <c r="CN479" s="2384"/>
      <c r="CO479" s="2384"/>
      <c r="CP479" s="2384"/>
      <c r="CQ479" s="3043"/>
      <c r="CR479" s="2384"/>
      <c r="CS479" s="3042"/>
      <c r="CT479" s="3042"/>
      <c r="DA479" s="212"/>
      <c r="DB479" s="1226"/>
    </row>
    <row r="480" spans="1:106" s="207" customFormat="1" x14ac:dyDescent="0.2">
      <c r="A480" s="1606" t="s">
        <v>76</v>
      </c>
      <c r="B480" s="1459"/>
      <c r="C480" s="1459"/>
      <c r="D480" s="1459"/>
      <c r="E480" s="1459"/>
      <c r="F480" s="1460"/>
      <c r="G480" s="1459"/>
      <c r="H480" s="1459"/>
      <c r="I480" s="1459"/>
      <c r="J480" s="1459"/>
      <c r="K480" s="1460"/>
      <c r="L480" s="1459"/>
      <c r="M480" s="1459"/>
      <c r="N480" s="1459"/>
      <c r="O480" s="1459"/>
      <c r="P480" s="1459"/>
      <c r="Q480" s="1459"/>
      <c r="R480" s="1459"/>
      <c r="S480" s="1459"/>
      <c r="T480" s="1459"/>
      <c r="U480" s="1459"/>
      <c r="V480" s="1459"/>
      <c r="W480" s="1459"/>
      <c r="X480" s="1459"/>
      <c r="Y480" s="1459"/>
      <c r="Z480" s="1459"/>
      <c r="AA480" s="1460"/>
      <c r="AB480" s="1460"/>
      <c r="AC480" s="1460"/>
      <c r="AD480" s="1460"/>
      <c r="AE480" s="1459"/>
      <c r="AF480" s="1460"/>
      <c r="AG480" s="1460"/>
      <c r="AH480" s="1460"/>
      <c r="AI480" s="1460"/>
      <c r="AJ480" s="1459"/>
      <c r="AK480" s="1607">
        <f t="shared" ref="AK480:BP480" si="366">+AK442/AK$442</f>
        <v>1</v>
      </c>
      <c r="AL480" s="1607">
        <f t="shared" si="366"/>
        <v>1</v>
      </c>
      <c r="AM480" s="1607">
        <f t="shared" si="366"/>
        <v>1</v>
      </c>
      <c r="AN480" s="1607">
        <f t="shared" si="366"/>
        <v>1</v>
      </c>
      <c r="AO480" s="1610">
        <f t="shared" si="366"/>
        <v>1</v>
      </c>
      <c r="AP480" s="1607">
        <f t="shared" si="366"/>
        <v>1</v>
      </c>
      <c r="AQ480" s="1607">
        <f t="shared" si="366"/>
        <v>1</v>
      </c>
      <c r="AR480" s="1607">
        <f t="shared" si="366"/>
        <v>1</v>
      </c>
      <c r="AS480" s="1607">
        <f t="shared" si="366"/>
        <v>1</v>
      </c>
      <c r="AT480" s="1610">
        <f t="shared" si="366"/>
        <v>1</v>
      </c>
      <c r="AU480" s="1607">
        <f t="shared" si="366"/>
        <v>1</v>
      </c>
      <c r="AV480" s="1607">
        <f t="shared" si="366"/>
        <v>1</v>
      </c>
      <c r="AW480" s="1607">
        <f t="shared" si="366"/>
        <v>1</v>
      </c>
      <c r="AX480" s="1607">
        <f t="shared" si="366"/>
        <v>1</v>
      </c>
      <c r="AY480" s="1610">
        <f t="shared" si="366"/>
        <v>1</v>
      </c>
      <c r="AZ480" s="1607">
        <f t="shared" si="366"/>
        <v>1</v>
      </c>
      <c r="BA480" s="1607">
        <f t="shared" si="366"/>
        <v>1</v>
      </c>
      <c r="BB480" s="1607">
        <f t="shared" si="366"/>
        <v>1</v>
      </c>
      <c r="BC480" s="1607">
        <f t="shared" si="366"/>
        <v>1</v>
      </c>
      <c r="BD480" s="1610">
        <f t="shared" si="366"/>
        <v>1</v>
      </c>
      <c r="BE480" s="1607">
        <f t="shared" si="366"/>
        <v>1</v>
      </c>
      <c r="BF480" s="1607">
        <f t="shared" si="366"/>
        <v>1</v>
      </c>
      <c r="BG480" s="1607">
        <f t="shared" si="366"/>
        <v>1</v>
      </c>
      <c r="BH480" s="1607">
        <f t="shared" si="366"/>
        <v>1</v>
      </c>
      <c r="BI480" s="1610">
        <f t="shared" si="366"/>
        <v>1</v>
      </c>
      <c r="BJ480" s="1607">
        <f t="shared" si="366"/>
        <v>1</v>
      </c>
      <c r="BK480" s="1607">
        <f t="shared" si="366"/>
        <v>1</v>
      </c>
      <c r="BL480" s="1607">
        <f t="shared" si="366"/>
        <v>1</v>
      </c>
      <c r="BM480" s="1607">
        <f t="shared" si="366"/>
        <v>1</v>
      </c>
      <c r="BN480" s="1610">
        <f t="shared" si="366"/>
        <v>1</v>
      </c>
      <c r="BO480" s="1607">
        <f t="shared" si="366"/>
        <v>1</v>
      </c>
      <c r="BP480" s="1607">
        <f t="shared" si="366"/>
        <v>1</v>
      </c>
      <c r="BQ480" s="1607">
        <f t="shared" ref="BQ480:CT480" si="367">+BQ442/BQ$442</f>
        <v>1</v>
      </c>
      <c r="BR480" s="1607">
        <f t="shared" si="367"/>
        <v>1</v>
      </c>
      <c r="BS480" s="1610">
        <f t="shared" si="367"/>
        <v>1</v>
      </c>
      <c r="BT480" s="1607">
        <f t="shared" si="367"/>
        <v>1</v>
      </c>
      <c r="BU480" s="1607">
        <f t="shared" si="367"/>
        <v>1</v>
      </c>
      <c r="BV480" s="1607">
        <f t="shared" si="367"/>
        <v>1</v>
      </c>
      <c r="BW480" s="1607">
        <f t="shared" si="367"/>
        <v>1</v>
      </c>
      <c r="BX480" s="1610">
        <f t="shared" si="367"/>
        <v>1</v>
      </c>
      <c r="BY480" s="1607">
        <f t="shared" si="367"/>
        <v>1</v>
      </c>
      <c r="BZ480" s="1607">
        <f t="shared" si="367"/>
        <v>1</v>
      </c>
      <c r="CA480" s="1607">
        <f t="shared" si="367"/>
        <v>1</v>
      </c>
      <c r="CB480" s="1607">
        <f t="shared" si="367"/>
        <v>1</v>
      </c>
      <c r="CC480" s="1610">
        <f t="shared" si="367"/>
        <v>1</v>
      </c>
      <c r="CD480" s="1607">
        <f t="shared" si="367"/>
        <v>1</v>
      </c>
      <c r="CE480" s="1607">
        <f t="shared" si="367"/>
        <v>1</v>
      </c>
      <c r="CF480" s="1607">
        <f t="shared" si="367"/>
        <v>1</v>
      </c>
      <c r="CG480" s="1607">
        <f t="shared" si="367"/>
        <v>1</v>
      </c>
      <c r="CH480" s="1610">
        <f t="shared" si="367"/>
        <v>1</v>
      </c>
      <c r="CI480" s="1607">
        <f t="shared" si="367"/>
        <v>1</v>
      </c>
      <c r="CJ480" s="1607">
        <f t="shared" si="367"/>
        <v>1</v>
      </c>
      <c r="CK480" s="1607">
        <f t="shared" si="367"/>
        <v>1</v>
      </c>
      <c r="CL480" s="1607">
        <f t="shared" si="367"/>
        <v>1</v>
      </c>
      <c r="CM480" s="1610">
        <f t="shared" si="367"/>
        <v>1</v>
      </c>
      <c r="CN480" s="1607">
        <f>+CN442/CN$442</f>
        <v>1</v>
      </c>
      <c r="CO480" s="1607">
        <f>+CO442/CO$442</f>
        <v>1</v>
      </c>
      <c r="CP480" s="1607">
        <f>+CP442/CP$442</f>
        <v>1</v>
      </c>
      <c r="CQ480" s="3648">
        <f t="shared" si="367"/>
        <v>1</v>
      </c>
      <c r="CR480" s="1607">
        <f t="shared" si="367"/>
        <v>1</v>
      </c>
      <c r="CS480" s="1610">
        <f t="shared" si="367"/>
        <v>1</v>
      </c>
      <c r="CT480" s="1610">
        <f t="shared" si="367"/>
        <v>1</v>
      </c>
      <c r="DA480" s="212"/>
      <c r="DB480" s="1226"/>
    </row>
    <row r="481" spans="1:106" s="234" customFormat="1" x14ac:dyDescent="0.2">
      <c r="A481" s="864"/>
      <c r="B481" s="777"/>
      <c r="C481" s="777"/>
      <c r="D481" s="777"/>
      <c r="E481" s="777"/>
      <c r="F481" s="275"/>
      <c r="G481" s="777"/>
      <c r="H481" s="777"/>
      <c r="I481" s="777"/>
      <c r="J481" s="777"/>
      <c r="K481" s="275"/>
      <c r="L481" s="777"/>
      <c r="M481" s="777"/>
      <c r="N481" s="777"/>
      <c r="O481" s="777"/>
      <c r="P481" s="777"/>
      <c r="Q481" s="777"/>
      <c r="R481" s="777"/>
      <c r="S481" s="777"/>
      <c r="T481" s="777"/>
      <c r="U481" s="777"/>
      <c r="V481" s="777"/>
      <c r="W481" s="777"/>
      <c r="X481" s="777"/>
      <c r="Y481" s="777"/>
      <c r="Z481" s="777"/>
      <c r="AA481" s="275"/>
      <c r="AB481" s="275"/>
      <c r="AC481" s="275"/>
      <c r="AD481" s="275"/>
      <c r="AE481" s="777"/>
      <c r="AF481" s="275"/>
      <c r="AG481" s="275"/>
      <c r="AH481" s="275"/>
      <c r="AI481" s="275"/>
      <c r="AJ481" s="777"/>
      <c r="AK481" s="275"/>
      <c r="AL481" s="275"/>
      <c r="AM481" s="275"/>
      <c r="AN481" s="275"/>
      <c r="AO481" s="777"/>
      <c r="AP481" s="275"/>
      <c r="AQ481" s="275"/>
      <c r="AR481" s="275"/>
      <c r="AS481" s="275"/>
      <c r="AT481" s="777"/>
      <c r="AU481" s="275"/>
      <c r="AV481" s="275"/>
      <c r="AW481" s="275"/>
      <c r="AX481" s="275"/>
      <c r="AY481" s="777"/>
      <c r="AZ481" s="275"/>
      <c r="BA481" s="275"/>
      <c r="BB481" s="275"/>
      <c r="BC481" s="275"/>
      <c r="BD481" s="777"/>
      <c r="BE481" s="275"/>
      <c r="BF481" s="275"/>
      <c r="BG481" s="275"/>
      <c r="BH481" s="275"/>
      <c r="BI481" s="631"/>
      <c r="BJ481" s="275"/>
      <c r="BK481" s="275"/>
      <c r="BL481" s="275"/>
      <c r="BM481" s="275"/>
      <c r="BN481" s="777"/>
      <c r="BO481" s="777"/>
      <c r="BP481" s="777"/>
      <c r="BQ481" s="777"/>
      <c r="BR481" s="777"/>
      <c r="BS481" s="777"/>
      <c r="BT481" s="777"/>
      <c r="BW481" s="777"/>
      <c r="BX481" s="777"/>
      <c r="BY481" s="777"/>
      <c r="CC481" s="777"/>
      <c r="CG481" s="1831"/>
      <c r="CH481" s="777"/>
      <c r="DA481" s="212"/>
      <c r="DB481" s="1226"/>
    </row>
    <row r="482" spans="1:106" s="234" customFormat="1" x14ac:dyDescent="0.2">
      <c r="A482" s="864"/>
      <c r="B482" s="777"/>
      <c r="C482" s="777"/>
      <c r="D482" s="777"/>
      <c r="E482" s="777"/>
      <c r="F482" s="275"/>
      <c r="G482" s="777"/>
      <c r="H482" s="777"/>
      <c r="I482" s="777"/>
      <c r="J482" s="777"/>
      <c r="K482" s="275"/>
      <c r="L482" s="777"/>
      <c r="M482" s="777"/>
      <c r="N482" s="777"/>
      <c r="O482" s="777"/>
      <c r="P482" s="777"/>
      <c r="Q482" s="777"/>
      <c r="R482" s="777"/>
      <c r="S482" s="777"/>
      <c r="T482" s="777"/>
      <c r="U482" s="777"/>
      <c r="V482" s="777"/>
      <c r="W482" s="777"/>
      <c r="X482" s="777"/>
      <c r="Y482" s="777"/>
      <c r="Z482" s="777"/>
      <c r="AA482" s="275"/>
      <c r="AB482" s="275"/>
      <c r="AC482" s="275"/>
      <c r="AD482" s="275"/>
      <c r="AE482" s="777"/>
      <c r="AF482" s="275"/>
      <c r="AG482" s="275"/>
      <c r="AH482" s="275"/>
      <c r="AI482" s="275"/>
      <c r="AJ482" s="777"/>
      <c r="AK482" s="275"/>
      <c r="AL482" s="275"/>
      <c r="AM482" s="275"/>
      <c r="AN482" s="275"/>
      <c r="AO482" s="777"/>
      <c r="AP482" s="275"/>
      <c r="AQ482" s="275"/>
      <c r="AR482" s="275"/>
      <c r="AS482" s="275"/>
      <c r="AT482" s="777"/>
      <c r="AU482" s="275"/>
      <c r="AV482" s="275"/>
      <c r="AW482" s="275"/>
      <c r="AX482" s="275"/>
      <c r="AY482" s="777"/>
      <c r="AZ482" s="275"/>
      <c r="BA482" s="275"/>
      <c r="BB482" s="275"/>
      <c r="BC482" s="275"/>
      <c r="BD482" s="777"/>
      <c r="BE482" s="275"/>
      <c r="BF482" s="275"/>
      <c r="BG482" s="275"/>
      <c r="BH482" s="275"/>
      <c r="BI482" s="631"/>
      <c r="BJ482" s="275"/>
      <c r="BK482" s="275"/>
      <c r="BL482" s="275"/>
      <c r="BM482" s="275"/>
      <c r="BN482" s="777"/>
      <c r="BO482" s="777"/>
      <c r="BP482" s="777"/>
      <c r="BQ482" s="777"/>
      <c r="BR482" s="777"/>
      <c r="BS482" s="777"/>
      <c r="BT482" s="777"/>
      <c r="BW482" s="777"/>
      <c r="BX482" s="777"/>
      <c r="BY482" s="777"/>
      <c r="CC482" s="777"/>
      <c r="CH482" s="777"/>
      <c r="DA482" s="212"/>
      <c r="DB482" s="1226"/>
    </row>
    <row r="483" spans="1:106" s="207" customFormat="1" x14ac:dyDescent="0.2">
      <c r="A483" s="873" t="s">
        <v>551</v>
      </c>
      <c r="B483" s="1513" t="str">
        <f t="shared" ref="B483:AG483" si="368">+B$5</f>
        <v>1Q00</v>
      </c>
      <c r="C483" s="1513" t="str">
        <f t="shared" si="368"/>
        <v>2Q00</v>
      </c>
      <c r="D483" s="1513" t="str">
        <f t="shared" si="368"/>
        <v>3Q00</v>
      </c>
      <c r="E483" s="1513" t="str">
        <f t="shared" si="368"/>
        <v>4Q00</v>
      </c>
      <c r="F483" s="1514">
        <f t="shared" si="368"/>
        <v>2000</v>
      </c>
      <c r="G483" s="1513" t="str">
        <f t="shared" si="368"/>
        <v>1Q01</v>
      </c>
      <c r="H483" s="1513" t="str">
        <f t="shared" si="368"/>
        <v>2Q01</v>
      </c>
      <c r="I483" s="1513" t="str">
        <f t="shared" si="368"/>
        <v>3Q01</v>
      </c>
      <c r="J483" s="1513" t="str">
        <f t="shared" si="368"/>
        <v>4Q01</v>
      </c>
      <c r="K483" s="1514">
        <f t="shared" si="368"/>
        <v>2001</v>
      </c>
      <c r="L483" s="1513" t="str">
        <f t="shared" si="368"/>
        <v>1Q02</v>
      </c>
      <c r="M483" s="1513" t="str">
        <f t="shared" si="368"/>
        <v>2Q02</v>
      </c>
      <c r="N483" s="1513" t="str">
        <f t="shared" si="368"/>
        <v>3Q02</v>
      </c>
      <c r="O483" s="1513" t="str">
        <f t="shared" si="368"/>
        <v>4Q02</v>
      </c>
      <c r="P483" s="1514">
        <f t="shared" si="368"/>
        <v>2002</v>
      </c>
      <c r="Q483" s="1513" t="str">
        <f t="shared" si="368"/>
        <v>1Q03</v>
      </c>
      <c r="R483" s="1513" t="str">
        <f t="shared" si="368"/>
        <v>2Q03</v>
      </c>
      <c r="S483" s="1513" t="str">
        <f t="shared" si="368"/>
        <v>3Q03</v>
      </c>
      <c r="T483" s="1513" t="str">
        <f t="shared" si="368"/>
        <v>4Q03</v>
      </c>
      <c r="U483" s="1514">
        <f t="shared" si="368"/>
        <v>2003</v>
      </c>
      <c r="V483" s="1513" t="str">
        <f t="shared" si="368"/>
        <v>1Q04</v>
      </c>
      <c r="W483" s="1513" t="str">
        <f t="shared" si="368"/>
        <v>2Q04</v>
      </c>
      <c r="X483" s="1513" t="str">
        <f t="shared" si="368"/>
        <v>3Q04</v>
      </c>
      <c r="Y483" s="1513" t="str">
        <f t="shared" si="368"/>
        <v>4Q04</v>
      </c>
      <c r="Z483" s="1514" t="str">
        <f t="shared" si="368"/>
        <v>2004</v>
      </c>
      <c r="AA483" s="1513" t="str">
        <f t="shared" si="368"/>
        <v>1Q05</v>
      </c>
      <c r="AB483" s="1513" t="str">
        <f t="shared" si="368"/>
        <v>2Q05</v>
      </c>
      <c r="AC483" s="1513" t="str">
        <f t="shared" si="368"/>
        <v>3Q05</v>
      </c>
      <c r="AD483" s="1513" t="str">
        <f t="shared" si="368"/>
        <v>4Q05</v>
      </c>
      <c r="AE483" s="1514">
        <f t="shared" si="368"/>
        <v>2005</v>
      </c>
      <c r="AF483" s="1513" t="str">
        <f t="shared" si="368"/>
        <v>1Q06</v>
      </c>
      <c r="AG483" s="1513" t="str">
        <f t="shared" si="368"/>
        <v>2Q06</v>
      </c>
      <c r="AH483" s="1513" t="str">
        <f t="shared" ref="AH483:BM483" si="369">+AH$5</f>
        <v>3Q06</v>
      </c>
      <c r="AI483" s="1513" t="str">
        <f t="shared" si="369"/>
        <v>4Q06</v>
      </c>
      <c r="AJ483" s="1514">
        <f t="shared" si="369"/>
        <v>2006</v>
      </c>
      <c r="AK483" s="1513" t="str">
        <f t="shared" si="369"/>
        <v>1Q07</v>
      </c>
      <c r="AL483" s="1513" t="str">
        <f t="shared" si="369"/>
        <v>2Q07</v>
      </c>
      <c r="AM483" s="1513" t="str">
        <f t="shared" si="369"/>
        <v>3Q07</v>
      </c>
      <c r="AN483" s="1513" t="str">
        <f t="shared" si="369"/>
        <v>4Q07</v>
      </c>
      <c r="AO483" s="1514" t="str">
        <f t="shared" si="369"/>
        <v>2007</v>
      </c>
      <c r="AP483" s="1513" t="str">
        <f t="shared" si="369"/>
        <v>1Q08</v>
      </c>
      <c r="AQ483" s="1513" t="str">
        <f t="shared" si="369"/>
        <v>2Q08</v>
      </c>
      <c r="AR483" s="1513" t="str">
        <f t="shared" si="369"/>
        <v>3Q08</v>
      </c>
      <c r="AS483" s="1513" t="str">
        <f t="shared" si="369"/>
        <v>4Q08</v>
      </c>
      <c r="AT483" s="1514" t="str">
        <f t="shared" si="369"/>
        <v>2008</v>
      </c>
      <c r="AU483" s="1513" t="str">
        <f t="shared" si="369"/>
        <v>1Q09</v>
      </c>
      <c r="AV483" s="1513" t="str">
        <f t="shared" si="369"/>
        <v>2Q09</v>
      </c>
      <c r="AW483" s="1513" t="str">
        <f t="shared" si="369"/>
        <v>3Q09</v>
      </c>
      <c r="AX483" s="1513" t="str">
        <f t="shared" si="369"/>
        <v>4Q09</v>
      </c>
      <c r="AY483" s="1514" t="str">
        <f t="shared" si="369"/>
        <v>2009</v>
      </c>
      <c r="AZ483" s="1513" t="str">
        <f t="shared" si="369"/>
        <v>1Q10</v>
      </c>
      <c r="BA483" s="1513" t="str">
        <f t="shared" si="369"/>
        <v>2Q10</v>
      </c>
      <c r="BB483" s="1513" t="str">
        <f t="shared" si="369"/>
        <v>3Q10</v>
      </c>
      <c r="BC483" s="1513" t="str">
        <f t="shared" si="369"/>
        <v>4Q10</v>
      </c>
      <c r="BD483" s="1514" t="str">
        <f t="shared" si="369"/>
        <v>2010</v>
      </c>
      <c r="BE483" s="1513" t="str">
        <f t="shared" si="369"/>
        <v>1Q11</v>
      </c>
      <c r="BF483" s="1513" t="str">
        <f t="shared" si="369"/>
        <v>2Q11</v>
      </c>
      <c r="BG483" s="1513" t="str">
        <f t="shared" si="369"/>
        <v>3Q11</v>
      </c>
      <c r="BH483" s="1513" t="str">
        <f t="shared" si="369"/>
        <v>4Q11</v>
      </c>
      <c r="BI483" s="1514">
        <f t="shared" si="369"/>
        <v>2011</v>
      </c>
      <c r="BJ483" s="1513" t="str">
        <f t="shared" si="369"/>
        <v>1Q12</v>
      </c>
      <c r="BK483" s="1513" t="str">
        <f t="shared" si="369"/>
        <v>2Q12</v>
      </c>
      <c r="BL483" s="1513" t="str">
        <f t="shared" si="369"/>
        <v>3Q12</v>
      </c>
      <c r="BM483" s="1513" t="str">
        <f t="shared" si="369"/>
        <v>4Q12</v>
      </c>
      <c r="BN483" s="1514">
        <f t="shared" ref="BN483:CT483" si="370">+BN$5</f>
        <v>2012</v>
      </c>
      <c r="BO483" s="1513" t="str">
        <f t="shared" si="370"/>
        <v>1Q13</v>
      </c>
      <c r="BP483" s="1513" t="str">
        <f t="shared" si="370"/>
        <v>2Q13</v>
      </c>
      <c r="BQ483" s="1513" t="str">
        <f t="shared" si="370"/>
        <v>3Q13</v>
      </c>
      <c r="BR483" s="1513" t="str">
        <f t="shared" si="370"/>
        <v>4Q13</v>
      </c>
      <c r="BS483" s="1514">
        <f t="shared" si="370"/>
        <v>2013</v>
      </c>
      <c r="BT483" s="1513" t="str">
        <f t="shared" si="370"/>
        <v>1Q14</v>
      </c>
      <c r="BU483" s="1513" t="str">
        <f t="shared" si="370"/>
        <v>2Q14</v>
      </c>
      <c r="BV483" s="1513" t="str">
        <f t="shared" si="370"/>
        <v>3Q14</v>
      </c>
      <c r="BW483" s="1513" t="str">
        <f t="shared" si="370"/>
        <v>4Q14</v>
      </c>
      <c r="BX483" s="1514">
        <f t="shared" si="370"/>
        <v>2014</v>
      </c>
      <c r="BY483" s="1513" t="str">
        <f t="shared" si="370"/>
        <v>1Q15</v>
      </c>
      <c r="BZ483" s="1513" t="str">
        <f t="shared" si="370"/>
        <v>2Q15</v>
      </c>
      <c r="CA483" s="1513" t="str">
        <f t="shared" si="370"/>
        <v>3Q15</v>
      </c>
      <c r="CB483" s="1513" t="str">
        <f t="shared" si="370"/>
        <v>4Q15</v>
      </c>
      <c r="CC483" s="1514">
        <f t="shared" si="370"/>
        <v>2015</v>
      </c>
      <c r="CD483" s="1513" t="str">
        <f t="shared" si="370"/>
        <v>1Q16</v>
      </c>
      <c r="CE483" s="1513" t="str">
        <f t="shared" si="370"/>
        <v>2Q16</v>
      </c>
      <c r="CF483" s="1513" t="str">
        <f t="shared" si="370"/>
        <v>3Q16</v>
      </c>
      <c r="CG483" s="1513" t="str">
        <f t="shared" si="370"/>
        <v>4Q16</v>
      </c>
      <c r="CH483" s="1514">
        <f t="shared" si="370"/>
        <v>2016</v>
      </c>
      <c r="CI483" s="1513" t="str">
        <f t="shared" si="370"/>
        <v>1Q17</v>
      </c>
      <c r="CJ483" s="1513" t="str">
        <f t="shared" si="370"/>
        <v>2Q17</v>
      </c>
      <c r="CK483" s="1513" t="str">
        <f t="shared" si="370"/>
        <v>3Q17</v>
      </c>
      <c r="CL483" s="1513" t="str">
        <f t="shared" si="370"/>
        <v>4Q17A</v>
      </c>
      <c r="CM483" s="1514" t="str">
        <f t="shared" si="370"/>
        <v>2017A</v>
      </c>
      <c r="CN483" s="1513" t="str">
        <f t="shared" si="370"/>
        <v>1Q18E</v>
      </c>
      <c r="CO483" s="1513" t="str">
        <f t="shared" si="370"/>
        <v>2Q18E</v>
      </c>
      <c r="CP483" s="1513" t="str">
        <f t="shared" si="370"/>
        <v>3Q18E</v>
      </c>
      <c r="CQ483" s="1513" t="str">
        <f t="shared" si="370"/>
        <v>4Q18E</v>
      </c>
      <c r="CR483" s="1514" t="str">
        <f t="shared" si="370"/>
        <v>2018E</v>
      </c>
      <c r="CS483" s="1514" t="str">
        <f t="shared" si="370"/>
        <v>2019E</v>
      </c>
      <c r="CT483" s="1514" t="str">
        <f t="shared" si="370"/>
        <v>2020E</v>
      </c>
      <c r="DA483" s="212"/>
      <c r="DB483" s="1226"/>
    </row>
    <row r="484" spans="1:106" s="234" customFormat="1" x14ac:dyDescent="0.2">
      <c r="A484" s="1437"/>
      <c r="B484" s="1499"/>
      <c r="C484" s="1499"/>
      <c r="D484" s="1499"/>
      <c r="E484" s="1499"/>
      <c r="F484" s="1499"/>
      <c r="G484" s="1499"/>
      <c r="H484" s="1499"/>
      <c r="I484" s="1499"/>
      <c r="J484" s="1499"/>
      <c r="K484" s="1499"/>
      <c r="L484" s="1499"/>
      <c r="M484" s="1499"/>
      <c r="N484" s="1499"/>
      <c r="O484" s="1499"/>
      <c r="P484" s="1500"/>
      <c r="Q484" s="1499"/>
      <c r="R484" s="1499"/>
      <c r="S484" s="1499"/>
      <c r="T484" s="1499"/>
      <c r="U484" s="1500"/>
      <c r="V484" s="1499"/>
      <c r="W484" s="1499"/>
      <c r="X484" s="1499"/>
      <c r="Y484" s="1499"/>
      <c r="Z484" s="1500"/>
      <c r="AA484" s="1499"/>
      <c r="AB484" s="1499"/>
      <c r="AC484" s="1499"/>
      <c r="AD484" s="1499"/>
      <c r="AE484" s="1500"/>
      <c r="AF484" s="1499"/>
      <c r="AG484" s="1499"/>
      <c r="AH484" s="1499"/>
      <c r="AI484" s="1499"/>
      <c r="AJ484" s="1500"/>
      <c r="AK484" s="1499"/>
      <c r="AL484" s="1499"/>
      <c r="AM484" s="1499"/>
      <c r="AN484" s="1499"/>
      <c r="AO484" s="1499"/>
      <c r="AP484" s="1499"/>
      <c r="AQ484" s="1499"/>
      <c r="AR484" s="1499"/>
      <c r="AS484" s="1499"/>
      <c r="AT484" s="1501"/>
      <c r="AU484" s="1499"/>
      <c r="AV484" s="1499"/>
      <c r="AW484" s="1499"/>
      <c r="AX484" s="1499"/>
      <c r="AY484" s="1501"/>
      <c r="AZ484" s="1499"/>
      <c r="BA484" s="1499"/>
      <c r="BB484" s="1499"/>
      <c r="BC484" s="1499"/>
      <c r="BD484" s="1500"/>
      <c r="BE484" s="1499"/>
      <c r="BF484" s="1499"/>
      <c r="BG484" s="1499"/>
      <c r="BH484" s="1499"/>
      <c r="BI484" s="1500"/>
      <c r="BJ484" s="1499"/>
      <c r="BK484" s="1499"/>
      <c r="BL484" s="1499"/>
      <c r="BM484" s="1499"/>
      <c r="BN484" s="1500"/>
      <c r="BO484" s="1499"/>
      <c r="BP484" s="1499"/>
      <c r="BQ484" s="1499"/>
      <c r="BR484" s="1499"/>
      <c r="BS484" s="1500"/>
      <c r="BT484" s="1499"/>
      <c r="BU484" s="1499"/>
      <c r="BV484" s="1499"/>
      <c r="BW484" s="1499"/>
      <c r="BX484" s="1500"/>
      <c r="BY484" s="1499"/>
      <c r="BZ484" s="1499"/>
      <c r="CA484" s="1499"/>
      <c r="CB484" s="1499"/>
      <c r="CC484" s="1500"/>
      <c r="CD484" s="1499"/>
      <c r="CE484" s="1499"/>
      <c r="CF484" s="1499"/>
      <c r="CG484" s="1499"/>
      <c r="CH484" s="1500"/>
      <c r="CI484" s="1499"/>
      <c r="CJ484" s="1499"/>
      <c r="CK484" s="1499"/>
      <c r="CL484" s="1499"/>
      <c r="CM484" s="1500"/>
      <c r="CN484" s="1499"/>
      <c r="CO484" s="1499"/>
      <c r="CP484" s="1499"/>
      <c r="CQ484" s="1499"/>
      <c r="CR484" s="1500"/>
      <c r="CS484" s="1500"/>
      <c r="CT484" s="1500"/>
      <c r="DA484" s="212"/>
      <c r="DB484" s="1226"/>
    </row>
    <row r="485" spans="1:106" s="234" customFormat="1" x14ac:dyDescent="0.2">
      <c r="A485" s="1437" t="s">
        <v>550</v>
      </c>
      <c r="B485" s="1499"/>
      <c r="C485" s="1499"/>
      <c r="D485" s="1499"/>
      <c r="E485" s="1499"/>
      <c r="F485" s="1499"/>
      <c r="G485" s="1499"/>
      <c r="H485" s="1499"/>
      <c r="I485" s="1499"/>
      <c r="J485" s="1499"/>
      <c r="K485" s="1499"/>
      <c r="L485" s="1499"/>
      <c r="M485" s="1499"/>
      <c r="N485" s="1499"/>
      <c r="O485" s="1499"/>
      <c r="P485" s="1500"/>
      <c r="Q485" s="1499"/>
      <c r="R485" s="1499"/>
      <c r="S485" s="1499"/>
      <c r="T485" s="1499"/>
      <c r="U485" s="1500"/>
      <c r="V485" s="1499"/>
      <c r="W485" s="1499"/>
      <c r="X485" s="1499"/>
      <c r="Y485" s="1499"/>
      <c r="Z485" s="1500"/>
      <c r="AA485" s="1499"/>
      <c r="AB485" s="1499"/>
      <c r="AC485" s="1499"/>
      <c r="AD485" s="1499"/>
      <c r="AE485" s="1500"/>
      <c r="AF485" s="1499"/>
      <c r="AG485" s="1499"/>
      <c r="AH485" s="1499"/>
      <c r="AI485" s="1499"/>
      <c r="AJ485" s="1500"/>
      <c r="AK485" s="1499"/>
      <c r="AL485" s="1499"/>
      <c r="AM485" s="1499"/>
      <c r="AN485" s="1499"/>
      <c r="AO485" s="1499"/>
      <c r="AP485" s="1499"/>
      <c r="AQ485" s="1499"/>
      <c r="AR485" s="1499"/>
      <c r="AS485" s="1499"/>
      <c r="AT485" s="1500"/>
      <c r="AU485" s="1499"/>
      <c r="AV485" s="1499"/>
      <c r="AW485" s="1499"/>
      <c r="AX485" s="1499"/>
      <c r="AY485" s="1500"/>
      <c r="AZ485" s="1499"/>
      <c r="BA485" s="1499"/>
      <c r="BB485" s="1499"/>
      <c r="BC485" s="1499"/>
      <c r="BD485" s="1500"/>
      <c r="BE485" s="1499"/>
      <c r="BF485" s="1499"/>
      <c r="BG485" s="1499"/>
      <c r="BH485" s="1499"/>
      <c r="BI485" s="1500"/>
      <c r="BJ485" s="1499"/>
      <c r="BK485" s="1499"/>
      <c r="BL485" s="1499"/>
      <c r="BM485" s="1499"/>
      <c r="BN485" s="1500"/>
      <c r="BO485" s="1499"/>
      <c r="BP485" s="1499"/>
      <c r="BQ485" s="1499"/>
      <c r="BR485" s="1499"/>
      <c r="BS485" s="1500"/>
      <c r="BT485" s="1499"/>
      <c r="BU485" s="1499"/>
      <c r="BV485" s="1499"/>
      <c r="BW485" s="1499"/>
      <c r="BX485" s="1500"/>
      <c r="BY485" s="1499"/>
      <c r="BZ485" s="1499"/>
      <c r="CA485" s="1499"/>
      <c r="CB485" s="1499"/>
      <c r="CC485" s="1500"/>
      <c r="CD485" s="1499"/>
      <c r="CE485" s="1499"/>
      <c r="CF485" s="1499"/>
      <c r="CG485" s="1499"/>
      <c r="CH485" s="1500"/>
      <c r="CI485" s="1499"/>
      <c r="CJ485" s="1499"/>
      <c r="CK485" s="1499"/>
      <c r="CL485" s="1499"/>
      <c r="CM485" s="1500"/>
      <c r="CN485" s="1499"/>
      <c r="CO485" s="1499"/>
      <c r="CP485" s="1499"/>
      <c r="CQ485" s="1499"/>
      <c r="CR485" s="1500"/>
      <c r="CS485" s="1500"/>
      <c r="CT485" s="1500"/>
      <c r="DA485" s="212"/>
      <c r="DB485" s="1226"/>
    </row>
    <row r="486" spans="1:106" s="207" customFormat="1" x14ac:dyDescent="0.2">
      <c r="A486" s="1434" t="s">
        <v>346</v>
      </c>
      <c r="B486" s="777"/>
      <c r="C486" s="777"/>
      <c r="D486" s="777"/>
      <c r="E486" s="777"/>
      <c r="F486" s="235"/>
      <c r="G486" s="777"/>
      <c r="H486" s="777"/>
      <c r="I486" s="777"/>
      <c r="J486" s="777"/>
      <c r="K486" s="235"/>
      <c r="L486" s="777"/>
      <c r="M486" s="777"/>
      <c r="N486" s="777"/>
      <c r="O486" s="777"/>
      <c r="P486" s="631"/>
      <c r="Q486" s="777"/>
      <c r="R486" s="777"/>
      <c r="S486" s="777"/>
      <c r="T486" s="777"/>
      <c r="U486" s="631"/>
      <c r="V486" s="777"/>
      <c r="W486" s="777"/>
      <c r="X486" s="777"/>
      <c r="Y486" s="777"/>
      <c r="Z486" s="631"/>
      <c r="AA486" s="275"/>
      <c r="AB486" s="275"/>
      <c r="AC486" s="275"/>
      <c r="AD486" s="275"/>
      <c r="AE486" s="631"/>
      <c r="AF486" s="275"/>
      <c r="AG486" s="275"/>
      <c r="AH486" s="275"/>
      <c r="AI486" s="275"/>
      <c r="AJ486" s="631"/>
      <c r="AK486" s="1466">
        <f t="shared" ref="AK486:AN492" si="371">+AK333+AK422</f>
        <v>1208.7135966688625</v>
      </c>
      <c r="AL486" s="1466">
        <f t="shared" si="371"/>
        <v>1350.0334912201201</v>
      </c>
      <c r="AM486" s="1466">
        <f t="shared" si="371"/>
        <v>1273.9911330929999</v>
      </c>
      <c r="AN486" s="1466">
        <f t="shared" si="371"/>
        <v>1714.0785598464001</v>
      </c>
      <c r="AO486" s="1565">
        <f t="shared" ref="AO486:AO492" si="372">+SUM(AK486:AN486)</f>
        <v>5546.8167808283824</v>
      </c>
      <c r="AP486" s="1466">
        <f t="shared" ref="AP486:AS492" si="373">+AP333+AP422</f>
        <v>1250.2271385223203</v>
      </c>
      <c r="AQ486" s="1466">
        <f t="shared" si="373"/>
        <v>1388.34802736448</v>
      </c>
      <c r="AR486" s="1466">
        <f t="shared" si="373"/>
        <v>1286.3229816779999</v>
      </c>
      <c r="AS486" s="1466">
        <f t="shared" si="373"/>
        <v>1625.490969102</v>
      </c>
      <c r="AT486" s="1565">
        <f t="shared" ref="AT486:AT492" si="374">+SUM(AP486:AS486)</f>
        <v>5550.3891166668</v>
      </c>
      <c r="AU486" s="1466">
        <f t="shared" ref="AU486:AX492" si="375">+AU333+AU422</f>
        <v>1059.2546423659198</v>
      </c>
      <c r="AV486" s="1466">
        <f t="shared" si="375"/>
        <v>1105.6410632483999</v>
      </c>
      <c r="AW486" s="1466">
        <f t="shared" si="375"/>
        <v>1044.7372796439599</v>
      </c>
      <c r="AX486" s="1466">
        <f t="shared" si="375"/>
        <v>1389.53823104768</v>
      </c>
      <c r="AY486" s="1565">
        <f t="shared" ref="AY486:AY492" si="376">+SUM(AU486:AX486)</f>
        <v>4599.1712163059601</v>
      </c>
      <c r="AZ486" s="1466">
        <f t="shared" ref="AZ486:BC492" si="377">+AZ333+AZ422</f>
        <v>1058.43908835</v>
      </c>
      <c r="BA486" s="1466">
        <f t="shared" si="377"/>
        <v>1200.1612234079998</v>
      </c>
      <c r="BB486" s="1466">
        <f t="shared" si="377"/>
        <v>1121.3439111335999</v>
      </c>
      <c r="BC486" s="1466">
        <f t="shared" si="377"/>
        <v>1479.09132305088</v>
      </c>
      <c r="BD486" s="1565">
        <f t="shared" ref="BD486:BD492" si="378">+SUM(AZ486:BC486)</f>
        <v>4859.0355459424791</v>
      </c>
      <c r="BE486" s="1466">
        <f t="shared" ref="BE486:BH492" si="379">+BE333+BE422</f>
        <v>1149.7914097488001</v>
      </c>
      <c r="BF486" s="1466">
        <f t="shared" si="379"/>
        <v>1309.6555207444796</v>
      </c>
      <c r="BG486" s="1466">
        <f t="shared" si="379"/>
        <v>1211.2920031212</v>
      </c>
      <c r="BH486" s="1466">
        <f t="shared" si="379"/>
        <v>1584.5710889786396</v>
      </c>
      <c r="BI486" s="1565">
        <f t="shared" ref="BI486:BI492" si="380">+SUM(BE486:BH486)</f>
        <v>5255.3100225931194</v>
      </c>
      <c r="BJ486" s="1466">
        <f t="shared" ref="BJ486:BM492" si="381">+BJ333+BJ422</f>
        <v>1242.4011288192</v>
      </c>
      <c r="BK486" s="1466">
        <f t="shared" si="381"/>
        <v>1386.3576511679998</v>
      </c>
      <c r="BL486" s="1466">
        <f t="shared" si="381"/>
        <v>1286.5929865362</v>
      </c>
      <c r="BM486" s="1466">
        <f t="shared" si="381"/>
        <v>1691.5023917209601</v>
      </c>
      <c r="BN486" s="1468">
        <f t="shared" ref="BN486:BN492" si="382">+SUM(BJ486:BM486)</f>
        <v>5606.8541582443595</v>
      </c>
      <c r="BO486" s="1466">
        <f t="shared" ref="BO486:BR492" si="383">+BO333+BO422</f>
        <v>1427.5116745958253</v>
      </c>
      <c r="BP486" s="1466">
        <f t="shared" si="383"/>
        <v>1587.1987272140998</v>
      </c>
      <c r="BQ486" s="1466">
        <f t="shared" si="383"/>
        <v>1483.6460843159998</v>
      </c>
      <c r="BR486" s="1466">
        <f t="shared" si="383"/>
        <v>1400.0235267379198</v>
      </c>
      <c r="BS486" s="1468">
        <f t="shared" ref="BS486:BS492" si="384">+SUM(BO486:BR486)</f>
        <v>5898.380012863845</v>
      </c>
      <c r="BT486" s="1466">
        <f t="shared" ref="BT486:BW492" si="385">+BT333+BT422</f>
        <v>1486.4043471524999</v>
      </c>
      <c r="BU486" s="1466">
        <f t="shared" si="385"/>
        <v>1661.6726453172296</v>
      </c>
      <c r="BV486" s="1466">
        <f t="shared" si="385"/>
        <v>1610.1863982008003</v>
      </c>
      <c r="BW486" s="1466">
        <f t="shared" si="385"/>
        <v>1494.9880110715201</v>
      </c>
      <c r="BX486" s="1468">
        <f>+SUM(BT486:BW486)</f>
        <v>6253.2514017420508</v>
      </c>
      <c r="BY486" s="1466">
        <f t="shared" ref="BY486:CB494" si="386">+BY333+BY422</f>
        <v>1584.3043200239999</v>
      </c>
      <c r="BZ486" s="1466">
        <f t="shared" si="386"/>
        <v>1809.25449807102</v>
      </c>
      <c r="CA486" s="1466">
        <f t="shared" si="386"/>
        <v>1756.3595205312001</v>
      </c>
      <c r="CB486" s="1466">
        <f t="shared" si="386"/>
        <v>1609.8664327605602</v>
      </c>
      <c r="CC486" s="1468">
        <f t="shared" ref="CC486:CC494" si="387">+SUM(BY486:CB486)</f>
        <v>6759.7847713867804</v>
      </c>
      <c r="CD486" s="1466">
        <f t="shared" ref="CD486:CF494" si="388">+CD333+CD422</f>
        <v>1663.8635858644798</v>
      </c>
      <c r="CE486" s="1466">
        <f t="shared" si="388"/>
        <v>1857.9752717198403</v>
      </c>
      <c r="CF486" s="1466">
        <f t="shared" si="388"/>
        <v>1745.5680223531199</v>
      </c>
      <c r="CG486" s="1466"/>
      <c r="CH486" s="1468"/>
      <c r="CI486" s="1466"/>
      <c r="CJ486" s="1466"/>
      <c r="CK486" s="1466"/>
      <c r="CL486" s="1466"/>
      <c r="CM486" s="1468"/>
      <c r="CN486" s="1466"/>
      <c r="CO486" s="1466"/>
      <c r="CP486" s="1466"/>
      <c r="CQ486" s="1466"/>
      <c r="CR486" s="1468"/>
      <c r="CS486" s="1468"/>
      <c r="CT486" s="1468"/>
      <c r="DA486" s="212"/>
      <c r="DB486" s="1226"/>
    </row>
    <row r="487" spans="1:106" s="207" customFormat="1" x14ac:dyDescent="0.2">
      <c r="A487" s="1434" t="s">
        <v>1385</v>
      </c>
      <c r="B487" s="777"/>
      <c r="C487" s="777"/>
      <c r="D487" s="777"/>
      <c r="E487" s="777"/>
      <c r="F487" s="235"/>
      <c r="G487" s="777"/>
      <c r="H487" s="777"/>
      <c r="I487" s="777"/>
      <c r="J487" s="777"/>
      <c r="K487" s="235"/>
      <c r="L487" s="777"/>
      <c r="M487" s="777"/>
      <c r="N487" s="777"/>
      <c r="O487" s="777"/>
      <c r="P487" s="631"/>
      <c r="Q487" s="777"/>
      <c r="R487" s="777"/>
      <c r="S487" s="777"/>
      <c r="T487" s="777"/>
      <c r="U487" s="631"/>
      <c r="V487" s="777"/>
      <c r="W487" s="777"/>
      <c r="X487" s="777"/>
      <c r="Y487" s="777"/>
      <c r="Z487" s="631"/>
      <c r="AA487" s="275"/>
      <c r="AB487" s="275"/>
      <c r="AC487" s="275"/>
      <c r="AD487" s="275"/>
      <c r="AE487" s="631"/>
      <c r="AF487" s="275"/>
      <c r="AG487" s="275"/>
      <c r="AH487" s="275"/>
      <c r="AI487" s="275"/>
      <c r="AJ487" s="631"/>
      <c r="AK487" s="758">
        <f t="shared" si="371"/>
        <v>205.59368775213636</v>
      </c>
      <c r="AL487" s="758">
        <f t="shared" si="371"/>
        <v>244.02076245792</v>
      </c>
      <c r="AM487" s="758">
        <f t="shared" si="371"/>
        <v>223.10265684419997</v>
      </c>
      <c r="AN487" s="758">
        <f t="shared" si="371"/>
        <v>319.05261475856997</v>
      </c>
      <c r="AO487" s="1262">
        <f t="shared" si="372"/>
        <v>991.76972181282622</v>
      </c>
      <c r="AP487" s="758">
        <f t="shared" si="373"/>
        <v>236.48667555240002</v>
      </c>
      <c r="AQ487" s="758">
        <f t="shared" si="373"/>
        <v>263.01269635199998</v>
      </c>
      <c r="AR487" s="758">
        <f t="shared" si="373"/>
        <v>232.563337209</v>
      </c>
      <c r="AS487" s="758">
        <f t="shared" si="373"/>
        <v>301.00727042100004</v>
      </c>
      <c r="AT487" s="1262">
        <f t="shared" si="374"/>
        <v>1033.0699795343999</v>
      </c>
      <c r="AU487" s="758">
        <f t="shared" si="375"/>
        <v>207.82546785</v>
      </c>
      <c r="AV487" s="758">
        <f t="shared" si="375"/>
        <v>213.42028055040004</v>
      </c>
      <c r="AW487" s="758">
        <f t="shared" si="375"/>
        <v>195.33929333184</v>
      </c>
      <c r="AX487" s="758">
        <f t="shared" si="375"/>
        <v>264.75320132351999</v>
      </c>
      <c r="AY487" s="1262">
        <f t="shared" si="376"/>
        <v>881.33824305576002</v>
      </c>
      <c r="AZ487" s="758">
        <f t="shared" si="377"/>
        <v>202.66211689920004</v>
      </c>
      <c r="BA487" s="758">
        <f t="shared" si="377"/>
        <v>240.76448221055995</v>
      </c>
      <c r="BB487" s="758">
        <f t="shared" si="377"/>
        <v>215.59144182912001</v>
      </c>
      <c r="BC487" s="758">
        <f t="shared" si="377"/>
        <v>290.99239928192003</v>
      </c>
      <c r="BD487" s="1262">
        <f t="shared" si="378"/>
        <v>950.01044022079998</v>
      </c>
      <c r="BE487" s="758">
        <f t="shared" si="379"/>
        <v>230.66242891776</v>
      </c>
      <c r="BF487" s="758">
        <f t="shared" si="379"/>
        <v>258.13555762176003</v>
      </c>
      <c r="BG487" s="758">
        <f t="shared" si="379"/>
        <v>236.52842330880003</v>
      </c>
      <c r="BH487" s="758">
        <f t="shared" si="379"/>
        <v>324.17210327039999</v>
      </c>
      <c r="BI487" s="1262">
        <f t="shared" si="380"/>
        <v>1049.49851311872</v>
      </c>
      <c r="BJ487" s="758">
        <f t="shared" si="381"/>
        <v>250.48564241400001</v>
      </c>
      <c r="BK487" s="758">
        <f t="shared" si="381"/>
        <v>283.18546705680001</v>
      </c>
      <c r="BL487" s="758">
        <f t="shared" si="381"/>
        <v>248.46593059259999</v>
      </c>
      <c r="BM487" s="758">
        <f t="shared" si="381"/>
        <v>334.09504144800002</v>
      </c>
      <c r="BN487" s="752">
        <f t="shared" si="382"/>
        <v>1116.2320815114001</v>
      </c>
      <c r="BO487" s="758">
        <f t="shared" si="383"/>
        <v>280.70989104795001</v>
      </c>
      <c r="BP487" s="758">
        <f t="shared" si="383"/>
        <v>306.24346164776</v>
      </c>
      <c r="BQ487" s="758">
        <f t="shared" si="383"/>
        <v>267.61995712999999</v>
      </c>
      <c r="BR487" s="758">
        <f t="shared" si="383"/>
        <v>255.20022488680004</v>
      </c>
      <c r="BS487" s="752">
        <f t="shared" si="384"/>
        <v>1109.7735347125101</v>
      </c>
      <c r="BT487" s="758">
        <f t="shared" si="385"/>
        <v>267.03606998879991</v>
      </c>
      <c r="BU487" s="758">
        <f t="shared" si="385"/>
        <v>312.75380724588001</v>
      </c>
      <c r="BV487" s="758">
        <f t="shared" si="385"/>
        <v>300.10258639699998</v>
      </c>
      <c r="BW487" s="758">
        <f t="shared" si="385"/>
        <v>274.48417231871997</v>
      </c>
      <c r="BX487" s="752">
        <f t="shared" ref="BX487:BX492" si="389">+SUM(BT487:BW487)</f>
        <v>1154.3766359503998</v>
      </c>
      <c r="BY487" s="758">
        <f t="shared" si="386"/>
        <v>297.31754627099997</v>
      </c>
      <c r="BZ487" s="758">
        <f t="shared" si="386"/>
        <v>331.09710117120005</v>
      </c>
      <c r="CA487" s="758">
        <f t="shared" si="386"/>
        <v>287.49887424567999</v>
      </c>
      <c r="CB487" s="758">
        <f t="shared" si="386"/>
        <v>277.92152322354002</v>
      </c>
      <c r="CC487" s="752">
        <f t="shared" si="387"/>
        <v>1193.83504491142</v>
      </c>
      <c r="CD487" s="758">
        <f t="shared" si="388"/>
        <v>302.92029470976001</v>
      </c>
      <c r="CE487" s="723">
        <f t="shared" si="388"/>
        <v>349.70439035532002</v>
      </c>
      <c r="CF487" s="758">
        <f t="shared" si="388"/>
        <v>320.18104999008</v>
      </c>
      <c r="CG487" s="758"/>
      <c r="CH487" s="752"/>
      <c r="CI487" s="758"/>
      <c r="CJ487" s="758"/>
      <c r="CK487" s="758"/>
      <c r="CL487" s="758"/>
      <c r="CM487" s="752"/>
      <c r="CN487" s="758"/>
      <c r="CO487" s="758"/>
      <c r="CP487" s="758"/>
      <c r="CQ487" s="758"/>
      <c r="CR487" s="752"/>
      <c r="CS487" s="752"/>
      <c r="CT487" s="752"/>
      <c r="DA487" s="212"/>
      <c r="DB487" s="1226"/>
    </row>
    <row r="488" spans="1:106" s="207" customFormat="1" x14ac:dyDescent="0.2">
      <c r="A488" s="1434" t="s">
        <v>2065</v>
      </c>
      <c r="B488" s="777"/>
      <c r="C488" s="777"/>
      <c r="D488" s="777"/>
      <c r="E488" s="777"/>
      <c r="F488" s="235"/>
      <c r="G488" s="777"/>
      <c r="H488" s="777"/>
      <c r="I488" s="777"/>
      <c r="J488" s="777"/>
      <c r="K488" s="235"/>
      <c r="L488" s="777"/>
      <c r="M488" s="777"/>
      <c r="N488" s="777"/>
      <c r="O488" s="777"/>
      <c r="P488" s="631"/>
      <c r="Q488" s="777"/>
      <c r="R488" s="777"/>
      <c r="S488" s="777"/>
      <c r="T488" s="777"/>
      <c r="U488" s="631"/>
      <c r="V488" s="777"/>
      <c r="W488" s="777"/>
      <c r="X488" s="777"/>
      <c r="Y488" s="777"/>
      <c r="Z488" s="631"/>
      <c r="AA488" s="275"/>
      <c r="AB488" s="275"/>
      <c r="AC488" s="275"/>
      <c r="AD488" s="275"/>
      <c r="AE488" s="631"/>
      <c r="AF488" s="275"/>
      <c r="AG488" s="275"/>
      <c r="AH488" s="275"/>
      <c r="AI488" s="275"/>
      <c r="AJ488" s="631"/>
      <c r="AK488" s="758">
        <f t="shared" si="371"/>
        <v>230.6813775107168</v>
      </c>
      <c r="AL488" s="758">
        <f t="shared" si="371"/>
        <v>256.2567864948</v>
      </c>
      <c r="AM488" s="758">
        <f t="shared" si="371"/>
        <v>203.6056061088</v>
      </c>
      <c r="AN488" s="758">
        <f t="shared" si="371"/>
        <v>305.61662853183003</v>
      </c>
      <c r="AO488" s="1262">
        <f t="shared" si="372"/>
        <v>996.16039864614686</v>
      </c>
      <c r="AP488" s="758">
        <f t="shared" si="373"/>
        <v>236.46086617104001</v>
      </c>
      <c r="AQ488" s="758">
        <f t="shared" si="373"/>
        <v>266.32090051727999</v>
      </c>
      <c r="AR488" s="758">
        <f t="shared" si="373"/>
        <v>203.79510360299997</v>
      </c>
      <c r="AS488" s="758">
        <f t="shared" si="373"/>
        <v>266.47741815084004</v>
      </c>
      <c r="AT488" s="1262">
        <f t="shared" si="374"/>
        <v>973.05428844215999</v>
      </c>
      <c r="AU488" s="758">
        <f t="shared" si="375"/>
        <v>188.02828205279997</v>
      </c>
      <c r="AV488" s="758">
        <f t="shared" si="375"/>
        <v>179.71817990112001</v>
      </c>
      <c r="AW488" s="758">
        <f t="shared" si="375"/>
        <v>150.46936682315999</v>
      </c>
      <c r="AX488" s="758">
        <f t="shared" si="375"/>
        <v>229.77427630079998</v>
      </c>
      <c r="AY488" s="1262">
        <f t="shared" si="376"/>
        <v>747.99010507787989</v>
      </c>
      <c r="AZ488" s="758">
        <f t="shared" si="377"/>
        <v>201.15736560863996</v>
      </c>
      <c r="BA488" s="758">
        <f t="shared" si="377"/>
        <v>234.31173054912</v>
      </c>
      <c r="BB488" s="758">
        <f t="shared" si="377"/>
        <v>188.43848743104002</v>
      </c>
      <c r="BC488" s="758">
        <f t="shared" si="377"/>
        <v>318.5919123072</v>
      </c>
      <c r="BD488" s="1262">
        <f t="shared" si="378"/>
        <v>942.49949589599998</v>
      </c>
      <c r="BE488" s="758">
        <f t="shared" si="379"/>
        <v>276.75447620184002</v>
      </c>
      <c r="BF488" s="758">
        <f t="shared" si="379"/>
        <v>302.26172617116003</v>
      </c>
      <c r="BG488" s="758">
        <f t="shared" si="379"/>
        <v>254.87685068831991</v>
      </c>
      <c r="BH488" s="758">
        <f t="shared" si="379"/>
        <v>378.94548531839996</v>
      </c>
      <c r="BI488" s="1262">
        <f t="shared" si="380"/>
        <v>1212.8385383797199</v>
      </c>
      <c r="BJ488" s="758">
        <f t="shared" si="381"/>
        <v>330.11005464863996</v>
      </c>
      <c r="BK488" s="758">
        <f t="shared" si="381"/>
        <v>370.06922404031997</v>
      </c>
      <c r="BL488" s="758">
        <f t="shared" si="381"/>
        <v>306.19036786799995</v>
      </c>
      <c r="BM488" s="758">
        <f t="shared" si="381"/>
        <v>426.59750920359994</v>
      </c>
      <c r="BN488" s="752">
        <f t="shared" si="382"/>
        <v>1432.9671557605598</v>
      </c>
      <c r="BO488" s="758">
        <f t="shared" si="383"/>
        <v>404.01193829314502</v>
      </c>
      <c r="BP488" s="758">
        <f t="shared" si="383"/>
        <v>401.1751419676001</v>
      </c>
      <c r="BQ488" s="758">
        <f t="shared" si="383"/>
        <v>371.44560284160002</v>
      </c>
      <c r="BR488" s="758">
        <f t="shared" si="383"/>
        <v>408.56981519227998</v>
      </c>
      <c r="BS488" s="752">
        <f t="shared" si="384"/>
        <v>1585.2024982946252</v>
      </c>
      <c r="BT488" s="758">
        <f t="shared" si="385"/>
        <v>447.27445763999992</v>
      </c>
      <c r="BU488" s="758">
        <f t="shared" si="385"/>
        <v>468.95549482782008</v>
      </c>
      <c r="BV488" s="758">
        <f t="shared" si="385"/>
        <v>432.39867747929998</v>
      </c>
      <c r="BW488" s="758">
        <f t="shared" si="385"/>
        <v>469.93139359403995</v>
      </c>
      <c r="BX488" s="752">
        <f t="shared" si="389"/>
        <v>1818.5600235411598</v>
      </c>
      <c r="BY488" s="758">
        <f t="shared" si="386"/>
        <v>535.03550987040001</v>
      </c>
      <c r="BZ488" s="758">
        <f t="shared" si="386"/>
        <v>549.62445993455003</v>
      </c>
      <c r="CA488" s="758">
        <f t="shared" si="386"/>
        <v>517.13563128047986</v>
      </c>
      <c r="CB488" s="758">
        <f t="shared" si="386"/>
        <v>542.07863596259995</v>
      </c>
      <c r="CC488" s="752">
        <f t="shared" si="387"/>
        <v>2143.8742370480295</v>
      </c>
      <c r="CD488" s="758">
        <f t="shared" si="388"/>
        <v>601.16224728104999</v>
      </c>
      <c r="CE488" s="758">
        <f t="shared" si="388"/>
        <v>560.36219481060004</v>
      </c>
      <c r="CF488" s="758">
        <f t="shared" si="388"/>
        <v>518.7930957778799</v>
      </c>
      <c r="CG488" s="758"/>
      <c r="CH488" s="752"/>
      <c r="CI488" s="758"/>
      <c r="CJ488" s="758"/>
      <c r="CK488" s="758"/>
      <c r="CL488" s="758"/>
      <c r="CM488" s="752"/>
      <c r="CN488" s="758"/>
      <c r="CO488" s="758"/>
      <c r="CP488" s="758"/>
      <c r="CQ488" s="758"/>
      <c r="CR488" s="752"/>
      <c r="CS488" s="752"/>
      <c r="CT488" s="752"/>
      <c r="DA488" s="212"/>
      <c r="DB488" s="1226"/>
    </row>
    <row r="489" spans="1:106" s="207" customFormat="1" x14ac:dyDescent="0.2">
      <c r="A489" s="1434" t="s">
        <v>452</v>
      </c>
      <c r="B489" s="777"/>
      <c r="C489" s="777"/>
      <c r="D489" s="777"/>
      <c r="E489" s="777"/>
      <c r="F489" s="235"/>
      <c r="G489" s="777"/>
      <c r="H489" s="777"/>
      <c r="I489" s="777"/>
      <c r="J489" s="777"/>
      <c r="K489" s="235"/>
      <c r="L489" s="777"/>
      <c r="M489" s="777"/>
      <c r="N489" s="777"/>
      <c r="O489" s="777"/>
      <c r="P489" s="631"/>
      <c r="Q489" s="777"/>
      <c r="R489" s="777"/>
      <c r="S489" s="777"/>
      <c r="T489" s="777"/>
      <c r="U489" s="631"/>
      <c r="V489" s="777"/>
      <c r="W489" s="777"/>
      <c r="X489" s="777"/>
      <c r="Y489" s="777"/>
      <c r="Z489" s="631"/>
      <c r="AA489" s="275"/>
      <c r="AB489" s="275"/>
      <c r="AC489" s="275"/>
      <c r="AD489" s="275"/>
      <c r="AE489" s="631"/>
      <c r="AF489" s="275"/>
      <c r="AG489" s="275"/>
      <c r="AH489" s="275"/>
      <c r="AI489" s="275"/>
      <c r="AJ489" s="631"/>
      <c r="AK489" s="758">
        <f t="shared" si="371"/>
        <v>447.9040374488111</v>
      </c>
      <c r="AL489" s="758">
        <f t="shared" si="371"/>
        <v>497.82164997600012</v>
      </c>
      <c r="AM489" s="758">
        <f t="shared" si="371"/>
        <v>523.77069588480003</v>
      </c>
      <c r="AN489" s="758">
        <f t="shared" si="371"/>
        <v>657.27324536831998</v>
      </c>
      <c r="AO489" s="1262">
        <f t="shared" si="372"/>
        <v>2126.769628677931</v>
      </c>
      <c r="AP489" s="758">
        <f t="shared" si="373"/>
        <v>485.99938938600002</v>
      </c>
      <c r="AQ489" s="758">
        <f t="shared" si="373"/>
        <v>537.11183458799997</v>
      </c>
      <c r="AR489" s="758">
        <f t="shared" si="373"/>
        <v>558.14194759680004</v>
      </c>
      <c r="AS489" s="758">
        <f t="shared" si="373"/>
        <v>665.16919976519989</v>
      </c>
      <c r="AT489" s="1262">
        <f t="shared" si="374"/>
        <v>2246.4223713359997</v>
      </c>
      <c r="AU489" s="758">
        <f t="shared" si="375"/>
        <v>443.70549643728003</v>
      </c>
      <c r="AV489" s="758">
        <f t="shared" si="375"/>
        <v>469.77906018455997</v>
      </c>
      <c r="AW489" s="758">
        <f t="shared" si="375"/>
        <v>501.96482217755999</v>
      </c>
      <c r="AX489" s="758">
        <f t="shared" si="375"/>
        <v>599.28445396512006</v>
      </c>
      <c r="AY489" s="1262">
        <f t="shared" si="376"/>
        <v>2014.7338327645202</v>
      </c>
      <c r="AZ489" s="758">
        <f t="shared" si="377"/>
        <v>463.45096297919991</v>
      </c>
      <c r="BA489" s="758">
        <f t="shared" si="377"/>
        <v>526.15316640096</v>
      </c>
      <c r="BB489" s="758">
        <f t="shared" si="377"/>
        <v>545.40258200064</v>
      </c>
      <c r="BC489" s="758">
        <f t="shared" si="377"/>
        <v>649.23391874880008</v>
      </c>
      <c r="BD489" s="1262">
        <f t="shared" si="378"/>
        <v>2184.2406301296</v>
      </c>
      <c r="BE489" s="758">
        <f t="shared" si="379"/>
        <v>490.16576321328</v>
      </c>
      <c r="BF489" s="758">
        <f t="shared" si="379"/>
        <v>555.93827913960001</v>
      </c>
      <c r="BG489" s="758">
        <f t="shared" si="379"/>
        <v>579.23775000000001</v>
      </c>
      <c r="BH489" s="758">
        <f t="shared" si="379"/>
        <v>685.71492348239985</v>
      </c>
      <c r="BI489" s="1262">
        <f t="shared" si="380"/>
        <v>2311.0567158352796</v>
      </c>
      <c r="BJ489" s="758">
        <f t="shared" si="381"/>
        <v>512.77843726200001</v>
      </c>
      <c r="BK489" s="758">
        <f t="shared" si="381"/>
        <v>582.11799068639993</v>
      </c>
      <c r="BL489" s="758">
        <f t="shared" si="381"/>
        <v>614.49528462336002</v>
      </c>
      <c r="BM489" s="758">
        <f t="shared" si="381"/>
        <v>729.48546809600009</v>
      </c>
      <c r="BN489" s="752">
        <f t="shared" si="382"/>
        <v>2438.8771806677601</v>
      </c>
      <c r="BO489" s="758">
        <f t="shared" si="383"/>
        <v>594.62298333756485</v>
      </c>
      <c r="BP489" s="758">
        <f t="shared" si="383"/>
        <v>682.78765653735002</v>
      </c>
      <c r="BQ489" s="758">
        <f t="shared" si="383"/>
        <v>713.82720931704</v>
      </c>
      <c r="BR489" s="758">
        <f t="shared" si="383"/>
        <v>619.17577405319992</v>
      </c>
      <c r="BS489" s="752">
        <f t="shared" si="384"/>
        <v>2610.4136232451547</v>
      </c>
      <c r="BT489" s="758">
        <f t="shared" si="385"/>
        <v>644.60690003970012</v>
      </c>
      <c r="BU489" s="758">
        <f t="shared" si="385"/>
        <v>757.95997051592997</v>
      </c>
      <c r="BV489" s="758">
        <f t="shared" si="385"/>
        <v>794.97173397003985</v>
      </c>
      <c r="BW489" s="758">
        <f t="shared" si="385"/>
        <v>691.9148013700401</v>
      </c>
      <c r="BX489" s="752">
        <f t="shared" si="389"/>
        <v>2889.4534058957101</v>
      </c>
      <c r="BY489" s="758">
        <f t="shared" si="386"/>
        <v>738.16606886400007</v>
      </c>
      <c r="BZ489" s="758">
        <f t="shared" si="386"/>
        <v>883.91369890004989</v>
      </c>
      <c r="CA489" s="758">
        <f t="shared" si="386"/>
        <v>921.68757636696</v>
      </c>
      <c r="CB489" s="758">
        <f t="shared" si="386"/>
        <v>789.06964454724016</v>
      </c>
      <c r="CC489" s="752">
        <f t="shared" si="387"/>
        <v>3332.8369886782502</v>
      </c>
      <c r="CD489" s="758">
        <f t="shared" si="388"/>
        <v>800.48807027279997</v>
      </c>
      <c r="CE489" s="758">
        <f t="shared" si="388"/>
        <v>937.32317787517491</v>
      </c>
      <c r="CF489" s="758">
        <f t="shared" si="388"/>
        <v>985.75639140528006</v>
      </c>
      <c r="CG489" s="758"/>
      <c r="CH489" s="752"/>
      <c r="CI489" s="758"/>
      <c r="CJ489" s="758"/>
      <c r="CK489" s="758"/>
      <c r="CL489" s="758"/>
      <c r="CM489" s="752"/>
      <c r="CN489" s="758"/>
      <c r="CO489" s="758"/>
      <c r="CP489" s="758"/>
      <c r="CQ489" s="758"/>
      <c r="CR489" s="752"/>
      <c r="CS489" s="752"/>
      <c r="CT489" s="752"/>
      <c r="DA489" s="212"/>
      <c r="DB489" s="1226"/>
    </row>
    <row r="490" spans="1:106" s="207" customFormat="1" x14ac:dyDescent="0.2">
      <c r="A490" s="1434" t="s">
        <v>1386</v>
      </c>
      <c r="B490" s="777"/>
      <c r="C490" s="777"/>
      <c r="D490" s="777"/>
      <c r="E490" s="777"/>
      <c r="F490" s="235"/>
      <c r="G490" s="777"/>
      <c r="H490" s="777"/>
      <c r="I490" s="777"/>
      <c r="J490" s="777"/>
      <c r="K490" s="235"/>
      <c r="L490" s="777"/>
      <c r="M490" s="777"/>
      <c r="N490" s="777"/>
      <c r="O490" s="777"/>
      <c r="P490" s="631"/>
      <c r="Q490" s="777"/>
      <c r="R490" s="777"/>
      <c r="S490" s="777"/>
      <c r="T490" s="777"/>
      <c r="U490" s="631"/>
      <c r="V490" s="777"/>
      <c r="W490" s="777"/>
      <c r="X490" s="777"/>
      <c r="Y490" s="777"/>
      <c r="Z490" s="631"/>
      <c r="AA490" s="275"/>
      <c r="AB490" s="275"/>
      <c r="AC490" s="275"/>
      <c r="AD490" s="275"/>
      <c r="AE490" s="631"/>
      <c r="AF490" s="275"/>
      <c r="AG490" s="275"/>
      <c r="AH490" s="275"/>
      <c r="AI490" s="275"/>
      <c r="AJ490" s="631"/>
      <c r="AK490" s="758">
        <f t="shared" si="371"/>
        <v>615.58846464818248</v>
      </c>
      <c r="AL490" s="758">
        <f t="shared" si="371"/>
        <v>715.66351589880003</v>
      </c>
      <c r="AM490" s="758">
        <f t="shared" si="371"/>
        <v>714.93890480208006</v>
      </c>
      <c r="AN490" s="758">
        <f t="shared" si="371"/>
        <v>925.20317899294992</v>
      </c>
      <c r="AO490" s="1262">
        <f t="shared" si="372"/>
        <v>2971.3940643420124</v>
      </c>
      <c r="AP490" s="758">
        <f t="shared" si="373"/>
        <v>664.08618850559992</v>
      </c>
      <c r="AQ490" s="758">
        <f t="shared" si="373"/>
        <v>763.5756285964801</v>
      </c>
      <c r="AR490" s="758">
        <f t="shared" si="373"/>
        <v>739.09885654248001</v>
      </c>
      <c r="AS490" s="758">
        <f t="shared" si="373"/>
        <v>891.26293608495007</v>
      </c>
      <c r="AT490" s="1262">
        <f t="shared" si="374"/>
        <v>3058.0236097295101</v>
      </c>
      <c r="AU490" s="758">
        <f t="shared" si="375"/>
        <v>579.99756386880017</v>
      </c>
      <c r="AV490" s="758">
        <f t="shared" si="375"/>
        <v>626.96809303127998</v>
      </c>
      <c r="AW490" s="758">
        <f t="shared" si="375"/>
        <v>630.40254165503995</v>
      </c>
      <c r="AX490" s="758">
        <f t="shared" si="375"/>
        <v>766.07271186208004</v>
      </c>
      <c r="AY490" s="1262">
        <f t="shared" si="376"/>
        <v>2603.4409104172</v>
      </c>
      <c r="AZ490" s="758">
        <f t="shared" si="377"/>
        <v>594.21653647103994</v>
      </c>
      <c r="BA490" s="758">
        <f t="shared" si="377"/>
        <v>688.13528117040005</v>
      </c>
      <c r="BB490" s="758">
        <f t="shared" si="377"/>
        <v>691.78992816023992</v>
      </c>
      <c r="BC490" s="758">
        <f t="shared" si="377"/>
        <v>846.01240657920016</v>
      </c>
      <c r="BD490" s="1262">
        <f t="shared" si="378"/>
        <v>2820.1541523808801</v>
      </c>
      <c r="BE490" s="758">
        <f t="shared" si="379"/>
        <v>639.1608851930398</v>
      </c>
      <c r="BF490" s="758">
        <f t="shared" si="379"/>
        <v>747.17273390759988</v>
      </c>
      <c r="BG490" s="758">
        <f t="shared" si="379"/>
        <v>756.32163999839997</v>
      </c>
      <c r="BH490" s="758">
        <f t="shared" si="379"/>
        <v>913.70709332112006</v>
      </c>
      <c r="BI490" s="1262">
        <f t="shared" si="380"/>
        <v>3056.3623524201594</v>
      </c>
      <c r="BJ490" s="758">
        <f t="shared" si="381"/>
        <v>693.07465275720006</v>
      </c>
      <c r="BK490" s="758">
        <f t="shared" si="381"/>
        <v>811.73648297699992</v>
      </c>
      <c r="BL490" s="758">
        <f t="shared" si="381"/>
        <v>819.68767372799994</v>
      </c>
      <c r="BM490" s="758">
        <f t="shared" si="381"/>
        <v>993.53820332032001</v>
      </c>
      <c r="BN490" s="752">
        <f t="shared" si="382"/>
        <v>3318.0370127825199</v>
      </c>
      <c r="BO490" s="758">
        <f t="shared" si="383"/>
        <v>809.55032848690007</v>
      </c>
      <c r="BP490" s="758">
        <f t="shared" si="383"/>
        <v>957.59084139263996</v>
      </c>
      <c r="BQ490" s="758">
        <f t="shared" si="383"/>
        <v>961.91344746899995</v>
      </c>
      <c r="BR490" s="758">
        <f t="shared" si="383"/>
        <v>840.31227477120001</v>
      </c>
      <c r="BS490" s="752">
        <f t="shared" si="384"/>
        <v>3569.36689211974</v>
      </c>
      <c r="BT490" s="758">
        <f t="shared" si="385"/>
        <v>877.9420143648</v>
      </c>
      <c r="BU490" s="758">
        <f t="shared" si="385"/>
        <v>1058.5236259097499</v>
      </c>
      <c r="BV490" s="758">
        <f t="shared" si="385"/>
        <v>1093.1344811624999</v>
      </c>
      <c r="BW490" s="758">
        <f t="shared" si="385"/>
        <v>948.20221636690019</v>
      </c>
      <c r="BX490" s="752">
        <f t="shared" si="389"/>
        <v>3977.8023378039502</v>
      </c>
      <c r="BY490" s="758">
        <f t="shared" si="386"/>
        <v>1000.7554588380001</v>
      </c>
      <c r="BZ490" s="758">
        <f t="shared" si="386"/>
        <v>1216.3956333506248</v>
      </c>
      <c r="CA490" s="758">
        <f t="shared" si="386"/>
        <v>1230.80680095048</v>
      </c>
      <c r="CB490" s="758">
        <f t="shared" si="386"/>
        <v>1056.6977747594401</v>
      </c>
      <c r="CC490" s="752">
        <f t="shared" si="387"/>
        <v>4504.6556678985453</v>
      </c>
      <c r="CD490" s="758">
        <f t="shared" si="388"/>
        <v>1089.1090530956999</v>
      </c>
      <c r="CE490" s="758">
        <f t="shared" si="388"/>
        <v>1297.3519977818401</v>
      </c>
      <c r="CF490" s="758">
        <f t="shared" si="388"/>
        <v>1292.5645369743602</v>
      </c>
      <c r="CG490" s="758"/>
      <c r="CH490" s="752"/>
      <c r="CI490" s="758"/>
      <c r="CJ490" s="758"/>
      <c r="CK490" s="758"/>
      <c r="CL490" s="758"/>
      <c r="CM490" s="752"/>
      <c r="CN490" s="758"/>
      <c r="CO490" s="758"/>
      <c r="CP490" s="758"/>
      <c r="CQ490" s="758"/>
      <c r="CR490" s="752"/>
      <c r="CS490" s="752"/>
      <c r="CT490" s="752"/>
      <c r="DA490" s="212"/>
      <c r="DB490" s="1226"/>
    </row>
    <row r="491" spans="1:106" s="207" customFormat="1" x14ac:dyDescent="0.2">
      <c r="A491" s="1434" t="s">
        <v>1389</v>
      </c>
      <c r="B491" s="777"/>
      <c r="C491" s="777"/>
      <c r="D491" s="777"/>
      <c r="E491" s="777"/>
      <c r="F491" s="235"/>
      <c r="G491" s="777"/>
      <c r="H491" s="777"/>
      <c r="I491" s="777"/>
      <c r="J491" s="777"/>
      <c r="K491" s="235"/>
      <c r="L491" s="777"/>
      <c r="M491" s="777"/>
      <c r="N491" s="777"/>
      <c r="O491" s="777"/>
      <c r="P491" s="631"/>
      <c r="Q491" s="777"/>
      <c r="R491" s="777"/>
      <c r="S491" s="777"/>
      <c r="T491" s="777"/>
      <c r="U491" s="631"/>
      <c r="V491" s="777"/>
      <c r="W491" s="777"/>
      <c r="X491" s="777"/>
      <c r="Y491" s="777"/>
      <c r="Z491" s="631"/>
      <c r="AA491" s="275"/>
      <c r="AB491" s="275"/>
      <c r="AC491" s="275"/>
      <c r="AD491" s="275"/>
      <c r="AE491" s="631"/>
      <c r="AF491" s="275"/>
      <c r="AG491" s="275"/>
      <c r="AH491" s="275"/>
      <c r="AI491" s="275"/>
      <c r="AJ491" s="631"/>
      <c r="AK491" s="758">
        <f t="shared" si="371"/>
        <v>206.95485693806353</v>
      </c>
      <c r="AL491" s="758">
        <f t="shared" si="371"/>
        <v>251.23605458112002</v>
      </c>
      <c r="AM491" s="758">
        <f t="shared" si="371"/>
        <v>268.94957110056004</v>
      </c>
      <c r="AN491" s="758">
        <f t="shared" si="371"/>
        <v>314.44672155000001</v>
      </c>
      <c r="AO491" s="1262">
        <f t="shared" si="372"/>
        <v>1041.5872041697435</v>
      </c>
      <c r="AP491" s="758">
        <f t="shared" si="373"/>
        <v>225.16734370955996</v>
      </c>
      <c r="AQ491" s="758">
        <f t="shared" si="373"/>
        <v>262.52165209535997</v>
      </c>
      <c r="AR491" s="758">
        <f t="shared" si="373"/>
        <v>280.41184521167992</v>
      </c>
      <c r="AS491" s="758">
        <f t="shared" si="373"/>
        <v>312.36689574089996</v>
      </c>
      <c r="AT491" s="1262">
        <f t="shared" si="374"/>
        <v>1080.4677367574998</v>
      </c>
      <c r="AU491" s="758">
        <f t="shared" si="375"/>
        <v>211.08548039039999</v>
      </c>
      <c r="AV491" s="758">
        <f t="shared" si="375"/>
        <v>240.596067852</v>
      </c>
      <c r="AW491" s="758">
        <f t="shared" si="375"/>
        <v>259.58688143220002</v>
      </c>
      <c r="AX491" s="758">
        <f t="shared" si="375"/>
        <v>290.62827842047994</v>
      </c>
      <c r="AY491" s="1262">
        <f t="shared" si="376"/>
        <v>1001.8967080950799</v>
      </c>
      <c r="AZ491" s="758">
        <f t="shared" si="377"/>
        <v>223.01407191167996</v>
      </c>
      <c r="BA491" s="758">
        <f t="shared" si="377"/>
        <v>272.86916549760002</v>
      </c>
      <c r="BB491" s="758">
        <f t="shared" si="377"/>
        <v>300.04467262560001</v>
      </c>
      <c r="BC491" s="758">
        <f t="shared" si="377"/>
        <v>331.26021599999996</v>
      </c>
      <c r="BD491" s="1262">
        <f t="shared" si="378"/>
        <v>1127.18812603488</v>
      </c>
      <c r="BE491" s="758">
        <f t="shared" si="379"/>
        <v>249.08121542303996</v>
      </c>
      <c r="BF491" s="758">
        <f t="shared" si="379"/>
        <v>304.72866936959997</v>
      </c>
      <c r="BG491" s="758">
        <f t="shared" si="379"/>
        <v>334.50951158100003</v>
      </c>
      <c r="BH491" s="758">
        <f t="shared" si="379"/>
        <v>381.91812996959999</v>
      </c>
      <c r="BI491" s="1262">
        <f t="shared" si="380"/>
        <v>1270.2375263432398</v>
      </c>
      <c r="BJ491" s="758">
        <f t="shared" si="381"/>
        <v>283.47086660927999</v>
      </c>
      <c r="BK491" s="758">
        <f t="shared" si="381"/>
        <v>343.74160987109997</v>
      </c>
      <c r="BL491" s="758">
        <f t="shared" si="381"/>
        <v>367.11783843966003</v>
      </c>
      <c r="BM491" s="758">
        <f t="shared" si="381"/>
        <v>417.11479183583998</v>
      </c>
      <c r="BN491" s="752">
        <f t="shared" si="382"/>
        <v>1411.44510675588</v>
      </c>
      <c r="BO491" s="758">
        <f t="shared" si="383"/>
        <v>332.38188777338996</v>
      </c>
      <c r="BP491" s="758">
        <f t="shared" si="383"/>
        <v>410.18002442644496</v>
      </c>
      <c r="BQ491" s="758">
        <f t="shared" si="383"/>
        <v>428.3803165512</v>
      </c>
      <c r="BR491" s="758">
        <f t="shared" si="383"/>
        <v>355.10180884920004</v>
      </c>
      <c r="BS491" s="752">
        <f t="shared" si="384"/>
        <v>1526.044037600235</v>
      </c>
      <c r="BT491" s="758">
        <f t="shared" si="385"/>
        <v>356.37355353600003</v>
      </c>
      <c r="BU491" s="758">
        <f t="shared" si="385"/>
        <v>451.93868446089999</v>
      </c>
      <c r="BV491" s="758">
        <f t="shared" si="385"/>
        <v>473.52538590456004</v>
      </c>
      <c r="BW491" s="758">
        <f t="shared" si="385"/>
        <v>394.26487502400005</v>
      </c>
      <c r="BX491" s="752">
        <f t="shared" si="389"/>
        <v>1676.1024989254602</v>
      </c>
      <c r="BY491" s="758">
        <f t="shared" si="386"/>
        <v>401.11866670500001</v>
      </c>
      <c r="BZ491" s="758">
        <f t="shared" si="386"/>
        <v>509.64328744874996</v>
      </c>
      <c r="CA491" s="758">
        <f t="shared" si="386"/>
        <v>537.68009692320015</v>
      </c>
      <c r="CB491" s="758">
        <f t="shared" si="386"/>
        <v>446.04337505999996</v>
      </c>
      <c r="CC491" s="752">
        <f t="shared" si="387"/>
        <v>1894.4854261369501</v>
      </c>
      <c r="CD491" s="758">
        <f t="shared" si="388"/>
        <v>439.65637190747998</v>
      </c>
      <c r="CE491" s="758">
        <f t="shared" si="388"/>
        <v>554.60085898581008</v>
      </c>
      <c r="CF491" s="758">
        <f t="shared" si="388"/>
        <v>589.68901466496004</v>
      </c>
      <c r="CG491" s="758"/>
      <c r="CH491" s="752"/>
      <c r="CI491" s="758"/>
      <c r="CJ491" s="758"/>
      <c r="CK491" s="758"/>
      <c r="CL491" s="758"/>
      <c r="CM491" s="752"/>
      <c r="CN491" s="758"/>
      <c r="CO491" s="758"/>
      <c r="CP491" s="758"/>
      <c r="CQ491" s="758"/>
      <c r="CR491" s="752"/>
      <c r="CS491" s="752"/>
      <c r="CT491" s="752"/>
      <c r="DA491" s="212"/>
      <c r="DB491" s="1226"/>
    </row>
    <row r="492" spans="1:106" s="207" customFormat="1" x14ac:dyDescent="0.2">
      <c r="A492" s="1434" t="s">
        <v>1391</v>
      </c>
      <c r="B492" s="777"/>
      <c r="C492" s="777"/>
      <c r="D492" s="777"/>
      <c r="E492" s="777"/>
      <c r="F492" s="235"/>
      <c r="G492" s="777"/>
      <c r="H492" s="777"/>
      <c r="I492" s="777"/>
      <c r="J492" s="777"/>
      <c r="K492" s="235"/>
      <c r="L492" s="777"/>
      <c r="M492" s="777"/>
      <c r="N492" s="777"/>
      <c r="O492" s="777"/>
      <c r="P492" s="631"/>
      <c r="Q492" s="777"/>
      <c r="R492" s="777"/>
      <c r="S492" s="777"/>
      <c r="T492" s="777"/>
      <c r="U492" s="631"/>
      <c r="V492" s="777"/>
      <c r="W492" s="777"/>
      <c r="X492" s="777"/>
      <c r="Y492" s="777"/>
      <c r="Z492" s="631"/>
      <c r="AA492" s="275"/>
      <c r="AB492" s="275"/>
      <c r="AC492" s="275"/>
      <c r="AD492" s="275"/>
      <c r="AE492" s="631"/>
      <c r="AF492" s="275"/>
      <c r="AG492" s="275"/>
      <c r="AH492" s="275"/>
      <c r="AI492" s="275"/>
      <c r="AJ492" s="631"/>
      <c r="AK492" s="758">
        <f t="shared" si="371"/>
        <v>61.955043413492405</v>
      </c>
      <c r="AL492" s="758">
        <f t="shared" si="371"/>
        <v>71.552941758480003</v>
      </c>
      <c r="AM492" s="758">
        <f t="shared" si="371"/>
        <v>77.605951227839995</v>
      </c>
      <c r="AN492" s="758">
        <f t="shared" si="371"/>
        <v>97.60752731880001</v>
      </c>
      <c r="AO492" s="1262">
        <f t="shared" si="372"/>
        <v>308.72146371861243</v>
      </c>
      <c r="AP492" s="758">
        <f t="shared" si="373"/>
        <v>74.17335777768001</v>
      </c>
      <c r="AQ492" s="758">
        <f t="shared" si="373"/>
        <v>83.475634914000011</v>
      </c>
      <c r="AR492" s="758">
        <f t="shared" si="373"/>
        <v>87.179799514080003</v>
      </c>
      <c r="AS492" s="758">
        <f t="shared" si="373"/>
        <v>107.42575332528001</v>
      </c>
      <c r="AT492" s="1262">
        <f t="shared" si="374"/>
        <v>352.25454553104004</v>
      </c>
      <c r="AU492" s="758">
        <f t="shared" si="375"/>
        <v>71.773181153519999</v>
      </c>
      <c r="AV492" s="758">
        <f t="shared" si="375"/>
        <v>77.886746569799996</v>
      </c>
      <c r="AW492" s="758">
        <f t="shared" si="375"/>
        <v>83.788942235039983</v>
      </c>
      <c r="AX492" s="758">
        <f t="shared" si="375"/>
        <v>95.559937215680009</v>
      </c>
      <c r="AY492" s="1262">
        <f t="shared" si="376"/>
        <v>329.00880717403999</v>
      </c>
      <c r="AZ492" s="758">
        <f t="shared" si="377"/>
        <v>77.593833921240005</v>
      </c>
      <c r="BA492" s="758">
        <f t="shared" si="377"/>
        <v>91.027173135359988</v>
      </c>
      <c r="BB492" s="758">
        <f t="shared" si="377"/>
        <v>100.1699310528</v>
      </c>
      <c r="BC492" s="758">
        <f t="shared" si="377"/>
        <v>114.45220550400001</v>
      </c>
      <c r="BD492" s="1262">
        <f t="shared" si="378"/>
        <v>383.24314361339998</v>
      </c>
      <c r="BE492" s="758">
        <f t="shared" si="379"/>
        <v>88.601557136400018</v>
      </c>
      <c r="BF492" s="758">
        <f t="shared" si="379"/>
        <v>102.16706307192</v>
      </c>
      <c r="BG492" s="758">
        <f t="shared" si="379"/>
        <v>109.58087262527999</v>
      </c>
      <c r="BH492" s="758">
        <f t="shared" si="379"/>
        <v>127.07980387199999</v>
      </c>
      <c r="BI492" s="1262">
        <f t="shared" si="380"/>
        <v>427.4292967056</v>
      </c>
      <c r="BJ492" s="758">
        <f t="shared" si="381"/>
        <v>100.61728256160001</v>
      </c>
      <c r="BK492" s="758">
        <f t="shared" si="381"/>
        <v>112.96860382919999</v>
      </c>
      <c r="BL492" s="758">
        <f t="shared" si="381"/>
        <v>120.73516869287999</v>
      </c>
      <c r="BM492" s="758">
        <f t="shared" si="381"/>
        <v>139.99468856351999</v>
      </c>
      <c r="BN492" s="752">
        <f t="shared" si="382"/>
        <v>474.31574364719995</v>
      </c>
      <c r="BO492" s="758">
        <f t="shared" si="383"/>
        <v>117.60717072604501</v>
      </c>
      <c r="BP492" s="758">
        <f t="shared" si="383"/>
        <v>135.4498337192</v>
      </c>
      <c r="BQ492" s="758">
        <f t="shared" si="383"/>
        <v>141.5967380772</v>
      </c>
      <c r="BR492" s="758">
        <f t="shared" si="383"/>
        <v>119.32969280175999</v>
      </c>
      <c r="BS492" s="752">
        <f t="shared" si="384"/>
        <v>513.98343532420495</v>
      </c>
      <c r="BT492" s="758">
        <f t="shared" si="385"/>
        <v>131.65959293325</v>
      </c>
      <c r="BU492" s="758">
        <f t="shared" si="385"/>
        <v>156.938576977</v>
      </c>
      <c r="BV492" s="758">
        <f t="shared" si="385"/>
        <v>166.95331516908004</v>
      </c>
      <c r="BW492" s="758">
        <f t="shared" si="385"/>
        <v>143.34014007451998</v>
      </c>
      <c r="BX492" s="752">
        <f t="shared" si="389"/>
        <v>598.8916251538501</v>
      </c>
      <c r="BY492" s="758">
        <f t="shared" si="386"/>
        <v>159.2168385384</v>
      </c>
      <c r="BZ492" s="758">
        <f t="shared" si="386"/>
        <v>191.01819886421998</v>
      </c>
      <c r="CA492" s="758">
        <f t="shared" si="386"/>
        <v>201.08862574584001</v>
      </c>
      <c r="CB492" s="758">
        <f t="shared" si="386"/>
        <v>169.11214110559996</v>
      </c>
      <c r="CC492" s="752">
        <f t="shared" si="387"/>
        <v>720.43580425406003</v>
      </c>
      <c r="CD492" s="758">
        <f t="shared" si="388"/>
        <v>183.81550710022501</v>
      </c>
      <c r="CE492" s="723">
        <f t="shared" si="388"/>
        <v>220.77657298242005</v>
      </c>
      <c r="CF492" s="758">
        <f t="shared" si="388"/>
        <v>232.22528500830001</v>
      </c>
      <c r="CG492" s="758"/>
      <c r="CH492" s="752"/>
      <c r="CI492" s="758"/>
      <c r="CJ492" s="758"/>
      <c r="CK492" s="758"/>
      <c r="CL492" s="758"/>
      <c r="CM492" s="752"/>
      <c r="CN492" s="758"/>
      <c r="CO492" s="758"/>
      <c r="CP492" s="758"/>
      <c r="CQ492" s="758"/>
      <c r="CR492" s="752"/>
      <c r="CS492" s="752"/>
      <c r="CT492" s="752"/>
      <c r="DA492" s="212"/>
      <c r="DB492" s="1226"/>
    </row>
    <row r="493" spans="1:106" s="207" customFormat="1" x14ac:dyDescent="0.2">
      <c r="A493" s="2308" t="s">
        <v>2285</v>
      </c>
      <c r="B493" s="777"/>
      <c r="C493" s="777"/>
      <c r="D493" s="777"/>
      <c r="E493" s="777"/>
      <c r="F493" s="235"/>
      <c r="G493" s="777"/>
      <c r="H493" s="777"/>
      <c r="I493" s="777"/>
      <c r="J493" s="777"/>
      <c r="K493" s="235"/>
      <c r="L493" s="777"/>
      <c r="M493" s="777"/>
      <c r="N493" s="777"/>
      <c r="O493" s="777"/>
      <c r="P493" s="631"/>
      <c r="Q493" s="777"/>
      <c r="R493" s="777"/>
      <c r="S493" s="777"/>
      <c r="T493" s="777"/>
      <c r="U493" s="631"/>
      <c r="V493" s="777"/>
      <c r="W493" s="777"/>
      <c r="X493" s="777"/>
      <c r="Y493" s="777"/>
      <c r="Z493" s="631"/>
      <c r="AA493" s="275"/>
      <c r="AB493" s="275"/>
      <c r="AC493" s="275"/>
      <c r="AD493" s="275"/>
      <c r="AE493" s="631"/>
      <c r="AF493" s="275"/>
      <c r="AG493" s="275"/>
      <c r="AH493" s="275"/>
      <c r="AI493" s="275"/>
      <c r="AJ493" s="631"/>
      <c r="AK493" s="758"/>
      <c r="AL493" s="758"/>
      <c r="AM493" s="758"/>
      <c r="AN493" s="758"/>
      <c r="AO493" s="1262"/>
      <c r="AP493" s="758"/>
      <c r="AQ493" s="758"/>
      <c r="AR493" s="758"/>
      <c r="AS493" s="758"/>
      <c r="AT493" s="1262"/>
      <c r="AU493" s="758"/>
      <c r="AV493" s="758"/>
      <c r="AW493" s="758"/>
      <c r="AX493" s="758"/>
      <c r="AY493" s="1262"/>
      <c r="AZ493" s="758"/>
      <c r="BA493" s="758"/>
      <c r="BB493" s="758"/>
      <c r="BC493" s="758"/>
      <c r="BD493" s="1262"/>
      <c r="BE493" s="758"/>
      <c r="BF493" s="758"/>
      <c r="BG493" s="758"/>
      <c r="BH493" s="758"/>
      <c r="BI493" s="1262"/>
      <c r="BJ493" s="758"/>
      <c r="BK493" s="758"/>
      <c r="BL493" s="758"/>
      <c r="BM493" s="758"/>
      <c r="BN493" s="752"/>
      <c r="BO493" s="758"/>
      <c r="BP493" s="758"/>
      <c r="BQ493" s="758"/>
      <c r="BR493" s="758"/>
      <c r="BS493" s="752"/>
      <c r="BT493" s="758"/>
      <c r="BU493" s="758"/>
      <c r="BV493" s="758"/>
      <c r="BW493" s="758"/>
      <c r="BX493" s="752"/>
      <c r="BY493" s="758">
        <f t="shared" si="386"/>
        <v>0</v>
      </c>
      <c r="BZ493" s="758">
        <f t="shared" si="386"/>
        <v>0</v>
      </c>
      <c r="CA493" s="758">
        <f t="shared" si="386"/>
        <v>70.241540000000001</v>
      </c>
      <c r="CB493" s="758">
        <f t="shared" si="386"/>
        <v>71.047460000000001</v>
      </c>
      <c r="CC493" s="752">
        <f t="shared" si="387"/>
        <v>141.28899999999999</v>
      </c>
      <c r="CD493" s="758">
        <f t="shared" si="388"/>
        <v>73.745637937158463</v>
      </c>
      <c r="CE493" s="758">
        <f t="shared" si="388"/>
        <v>75.536290437158456</v>
      </c>
      <c r="CF493" s="758">
        <f t="shared" si="388"/>
        <v>76.366359562841524</v>
      </c>
      <c r="CG493" s="758"/>
      <c r="CH493" s="752"/>
      <c r="CI493" s="758"/>
      <c r="CJ493" s="758"/>
      <c r="CK493" s="758"/>
      <c r="CL493" s="758"/>
      <c r="CM493" s="752"/>
      <c r="CN493" s="758"/>
      <c r="CO493" s="758"/>
      <c r="CP493" s="758"/>
      <c r="CQ493" s="758"/>
      <c r="CR493" s="752"/>
      <c r="CS493" s="752"/>
      <c r="CT493" s="752"/>
      <c r="DA493" s="212"/>
      <c r="DB493" s="1226"/>
    </row>
    <row r="494" spans="1:106" s="2644" customFormat="1" x14ac:dyDescent="0.2">
      <c r="A494" s="2308" t="s">
        <v>1390</v>
      </c>
      <c r="B494" s="777"/>
      <c r="C494" s="777"/>
      <c r="D494" s="777"/>
      <c r="E494" s="777"/>
      <c r="F494" s="2345"/>
      <c r="G494" s="777"/>
      <c r="H494" s="777"/>
      <c r="I494" s="777"/>
      <c r="J494" s="777"/>
      <c r="K494" s="2345"/>
      <c r="L494" s="777"/>
      <c r="M494" s="777"/>
      <c r="N494" s="777"/>
      <c r="O494" s="777"/>
      <c r="P494" s="631"/>
      <c r="Q494" s="777"/>
      <c r="R494" s="777"/>
      <c r="S494" s="777"/>
      <c r="T494" s="777"/>
      <c r="U494" s="631"/>
      <c r="V494" s="777"/>
      <c r="W494" s="777"/>
      <c r="X494" s="777"/>
      <c r="Y494" s="777"/>
      <c r="Z494" s="631"/>
      <c r="AA494" s="3037"/>
      <c r="AB494" s="3037"/>
      <c r="AC494" s="3037"/>
      <c r="AD494" s="3037"/>
      <c r="AE494" s="631"/>
      <c r="AF494" s="3037"/>
      <c r="AG494" s="3037"/>
      <c r="AH494" s="3037"/>
      <c r="AI494" s="3037"/>
      <c r="AJ494" s="631"/>
      <c r="AK494" s="2404">
        <f>+AK341+AK430</f>
        <v>109.54463678232608</v>
      </c>
      <c r="AL494" s="2404">
        <f>+AL341+AL430</f>
        <v>131.00164083971998</v>
      </c>
      <c r="AM494" s="2404">
        <f>+AM341+AM430</f>
        <v>134.13242539199999</v>
      </c>
      <c r="AN494" s="2404">
        <f>+AN341+AN430</f>
        <v>171.53353241729999</v>
      </c>
      <c r="AO494" s="1262">
        <f>+SUM(AK494:AN494)</f>
        <v>546.21223543134602</v>
      </c>
      <c r="AP494" s="2404">
        <f>+AP341+AP430</f>
        <v>135.52169791104001</v>
      </c>
      <c r="AQ494" s="2404">
        <f>+AQ341+AQ430</f>
        <v>155.69077950720001</v>
      </c>
      <c r="AR494" s="2404">
        <f>+AR341+AR430</f>
        <v>153.62509450175997</v>
      </c>
      <c r="AS494" s="2404">
        <f>+AS341+AS430</f>
        <v>187.33023833472001</v>
      </c>
      <c r="AT494" s="1262">
        <f>+SUM(AP494:AS494)</f>
        <v>632.16781025472005</v>
      </c>
      <c r="AU494" s="2404">
        <f>+AU341+AU430</f>
        <v>131.50423996416001</v>
      </c>
      <c r="AV494" s="2404">
        <f>+AV341+AV430</f>
        <v>143.70964085520001</v>
      </c>
      <c r="AW494" s="2404">
        <f>+AW341+AW430</f>
        <v>153.15261433416001</v>
      </c>
      <c r="AX494" s="2404">
        <f>+AX341+AX430</f>
        <v>188.39720187232001</v>
      </c>
      <c r="AY494" s="1262">
        <f>+SUM(AU494:AX494)</f>
        <v>616.76369702584009</v>
      </c>
      <c r="AZ494" s="2404">
        <f>+AZ341+AZ430</f>
        <v>151.05834678479999</v>
      </c>
      <c r="BA494" s="2404">
        <f>+BA341+BA430</f>
        <v>178.6878242226</v>
      </c>
      <c r="BB494" s="2404">
        <f>+BB341+BB430</f>
        <v>185.70741116927999</v>
      </c>
      <c r="BC494" s="2404">
        <f>+BC341+BC430</f>
        <v>216.55069695168004</v>
      </c>
      <c r="BD494" s="1262">
        <f>+SUM(AZ494:BC494)</f>
        <v>732.00427912836005</v>
      </c>
      <c r="BE494" s="2404">
        <f>+BE341+BE430</f>
        <v>168.34089330576001</v>
      </c>
      <c r="BF494" s="2404">
        <f>+BF341+BF430</f>
        <v>195.2037903312</v>
      </c>
      <c r="BG494" s="2404">
        <f>+BG341+BG430</f>
        <v>205.89193314143998</v>
      </c>
      <c r="BH494" s="2404">
        <f>+BH341+BH430</f>
        <v>240.25179919999999</v>
      </c>
      <c r="BI494" s="1262">
        <f>+SUM(BE494:BH494)</f>
        <v>809.68841597839992</v>
      </c>
      <c r="BJ494" s="2404">
        <f>+BJ341+BJ430</f>
        <v>189.50608134612</v>
      </c>
      <c r="BK494" s="2404">
        <f>+BK341+BK430</f>
        <v>222.87040639247999</v>
      </c>
      <c r="BL494" s="2404">
        <f>+BL341+BL430</f>
        <v>230.84661225780002</v>
      </c>
      <c r="BM494" s="2404">
        <f>+BM341+BM430</f>
        <v>271.46168566272007</v>
      </c>
      <c r="BN494" s="2406">
        <f>+SUM(BJ494:BM494)</f>
        <v>914.68478565912005</v>
      </c>
      <c r="BO494" s="2404">
        <f>+BO341+BO430</f>
        <v>228.30156613264006</v>
      </c>
      <c r="BP494" s="2404">
        <f>+BP341+BP430</f>
        <v>268.97453492455003</v>
      </c>
      <c r="BQ494" s="2404">
        <f>+BQ341+BQ430</f>
        <v>269.99785954680004</v>
      </c>
      <c r="BR494" s="2404">
        <f>+BR341+BR430</f>
        <v>233.91165926232003</v>
      </c>
      <c r="BS494" s="2406">
        <f>+SUM(BO494:BR494)</f>
        <v>1001.1856198663102</v>
      </c>
      <c r="BT494" s="2404">
        <f>+BT341+BT430</f>
        <v>250.57151659440001</v>
      </c>
      <c r="BU494" s="2404">
        <f>+BU341+BU430</f>
        <v>298.53217035642001</v>
      </c>
      <c r="BV494" s="2404">
        <f>+BV341+BV430</f>
        <v>302.43657892499999</v>
      </c>
      <c r="BW494" s="2404">
        <f>+BW341+BW430</f>
        <v>260.35134946080001</v>
      </c>
      <c r="BX494" s="2406">
        <f>+SUM(BT494:BW494)</f>
        <v>1111.8916153366201</v>
      </c>
      <c r="BY494" s="2404">
        <f t="shared" si="386"/>
        <v>280.44281034674992</v>
      </c>
      <c r="BZ494" s="2404">
        <f t="shared" si="386"/>
        <v>332.93176069380502</v>
      </c>
      <c r="CA494" s="2404">
        <f t="shared" si="386"/>
        <v>344.91568823760002</v>
      </c>
      <c r="CB494" s="2404">
        <f t="shared" si="386"/>
        <v>293.87421431808002</v>
      </c>
      <c r="CC494" s="2406">
        <f t="shared" si="387"/>
        <v>1252.164473596235</v>
      </c>
      <c r="CD494" s="2404">
        <f t="shared" si="388"/>
        <v>308.08625569312505</v>
      </c>
      <c r="CE494" s="2404">
        <f t="shared" si="388"/>
        <v>370.42389302100003</v>
      </c>
      <c r="CF494" s="2404">
        <f t="shared" si="388"/>
        <v>375.06397602888001</v>
      </c>
      <c r="CG494" s="2404"/>
      <c r="CH494" s="2406"/>
      <c r="CI494" s="2404"/>
      <c r="CJ494" s="2404"/>
      <c r="CK494" s="2404"/>
      <c r="CL494" s="2404"/>
      <c r="CM494" s="2406"/>
      <c r="CN494" s="2404"/>
      <c r="CO494" s="2404"/>
      <c r="CP494" s="2404"/>
      <c r="CQ494" s="2404"/>
      <c r="CR494" s="3048"/>
      <c r="CS494" s="2406"/>
      <c r="CT494" s="2406"/>
      <c r="DA494" s="212"/>
      <c r="DB494" s="1226"/>
    </row>
    <row r="495" spans="1:106" s="207" customFormat="1" ht="4.5" customHeight="1" x14ac:dyDescent="0.2">
      <c r="A495" s="1580"/>
      <c r="B495" s="777"/>
      <c r="C495" s="777"/>
      <c r="D495" s="777"/>
      <c r="E495" s="777"/>
      <c r="F495" s="235"/>
      <c r="G495" s="777"/>
      <c r="H495" s="777"/>
      <c r="I495" s="777"/>
      <c r="J495" s="777"/>
      <c r="K495" s="235"/>
      <c r="L495" s="777"/>
      <c r="M495" s="777"/>
      <c r="N495" s="777"/>
      <c r="O495" s="777"/>
      <c r="P495" s="631"/>
      <c r="Q495" s="777"/>
      <c r="R495" s="777"/>
      <c r="S495" s="777"/>
      <c r="T495" s="777"/>
      <c r="U495" s="631"/>
      <c r="V495" s="777"/>
      <c r="W495" s="777"/>
      <c r="X495" s="777"/>
      <c r="Y495" s="777"/>
      <c r="Z495" s="631"/>
      <c r="AA495" s="275"/>
      <c r="AB495" s="275"/>
      <c r="AC495" s="275"/>
      <c r="AD495" s="275"/>
      <c r="AE495" s="631"/>
      <c r="AF495" s="275"/>
      <c r="AG495" s="275"/>
      <c r="AH495" s="275"/>
      <c r="AI495" s="275"/>
      <c r="AJ495" s="631"/>
      <c r="AK495" s="774"/>
      <c r="AL495" s="774"/>
      <c r="AM495" s="774"/>
      <c r="AN495" s="774"/>
      <c r="AO495" s="1516"/>
      <c r="AP495" s="774"/>
      <c r="AQ495" s="774"/>
      <c r="AR495" s="774"/>
      <c r="AS495" s="774"/>
      <c r="AT495" s="1516"/>
      <c r="AU495" s="774"/>
      <c r="AV495" s="774"/>
      <c r="AW495" s="774"/>
      <c r="AX495" s="774"/>
      <c r="AY495" s="1516"/>
      <c r="AZ495" s="774"/>
      <c r="BA495" s="774"/>
      <c r="BB495" s="774"/>
      <c r="BC495" s="774"/>
      <c r="BD495" s="1516"/>
      <c r="BE495" s="774"/>
      <c r="BF495" s="774"/>
      <c r="BG495" s="774"/>
      <c r="BH495" s="774"/>
      <c r="BI495" s="1516"/>
      <c r="BJ495" s="774"/>
      <c r="BK495" s="774"/>
      <c r="BL495" s="774"/>
      <c r="BM495" s="774"/>
      <c r="BN495" s="761"/>
      <c r="BO495" s="774"/>
      <c r="BP495" s="774"/>
      <c r="BQ495" s="774"/>
      <c r="BR495" s="774"/>
      <c r="BS495" s="761"/>
      <c r="BT495" s="774"/>
      <c r="BU495" s="774"/>
      <c r="BV495" s="774"/>
      <c r="BW495" s="774"/>
      <c r="BX495" s="761"/>
      <c r="BY495" s="774"/>
      <c r="BZ495" s="774"/>
      <c r="CA495" s="774"/>
      <c r="CB495" s="774"/>
      <c r="CC495" s="761"/>
      <c r="CD495" s="774"/>
      <c r="CE495" s="774"/>
      <c r="CF495" s="774"/>
      <c r="CG495" s="774"/>
      <c r="CH495" s="761"/>
      <c r="CI495" s="774"/>
      <c r="CJ495" s="774"/>
      <c r="CK495" s="774"/>
      <c r="CL495" s="774"/>
      <c r="CM495" s="761"/>
      <c r="CN495" s="774"/>
      <c r="CO495" s="774"/>
      <c r="CP495" s="774"/>
      <c r="CQ495" s="774"/>
      <c r="CR495" s="761"/>
      <c r="CS495" s="761"/>
      <c r="CT495" s="761"/>
      <c r="DA495" s="212"/>
      <c r="DB495" s="1226"/>
    </row>
    <row r="496" spans="1:106" s="207" customFormat="1" x14ac:dyDescent="0.2">
      <c r="A496" s="3039" t="s">
        <v>2454</v>
      </c>
      <c r="B496" s="777"/>
      <c r="C496" s="777"/>
      <c r="D496" s="777"/>
      <c r="E496" s="777"/>
      <c r="F496" s="235"/>
      <c r="G496" s="777"/>
      <c r="H496" s="777"/>
      <c r="I496" s="777"/>
      <c r="J496" s="777"/>
      <c r="K496" s="235"/>
      <c r="L496" s="777"/>
      <c r="M496" s="777"/>
      <c r="N496" s="777"/>
      <c r="O496" s="777"/>
      <c r="P496" s="631"/>
      <c r="Q496" s="777"/>
      <c r="R496" s="777"/>
      <c r="S496" s="777"/>
      <c r="T496" s="777"/>
      <c r="U496" s="631"/>
      <c r="V496" s="777"/>
      <c r="W496" s="777"/>
      <c r="X496" s="777"/>
      <c r="Y496" s="777"/>
      <c r="Z496" s="631"/>
      <c r="AA496" s="275"/>
      <c r="AB496" s="275"/>
      <c r="AC496" s="275"/>
      <c r="AD496" s="275"/>
      <c r="AE496" s="631"/>
      <c r="AF496" s="275"/>
      <c r="AG496" s="275"/>
      <c r="AH496" s="275"/>
      <c r="AI496" s="275"/>
      <c r="AJ496" s="631"/>
      <c r="AK496" s="774"/>
      <c r="AL496" s="774"/>
      <c r="AM496" s="774"/>
      <c r="AN496" s="774"/>
      <c r="AO496" s="1516"/>
      <c r="AP496" s="774"/>
      <c r="AQ496" s="774"/>
      <c r="AR496" s="774"/>
      <c r="AS496" s="774"/>
      <c r="AT496" s="1516"/>
      <c r="AU496" s="774"/>
      <c r="AV496" s="774"/>
      <c r="AW496" s="774"/>
      <c r="AX496" s="774"/>
      <c r="AY496" s="1516"/>
      <c r="AZ496" s="774"/>
      <c r="BA496" s="774"/>
      <c r="BB496" s="774"/>
      <c r="BC496" s="774"/>
      <c r="BD496" s="1516"/>
      <c r="BE496" s="774"/>
      <c r="BF496" s="774"/>
      <c r="BG496" s="774"/>
      <c r="BH496" s="774"/>
      <c r="BI496" s="1516"/>
      <c r="BJ496" s="774"/>
      <c r="BK496" s="774"/>
      <c r="BL496" s="774"/>
      <c r="BM496" s="774"/>
      <c r="BN496" s="761"/>
      <c r="BO496" s="774"/>
      <c r="BP496" s="774"/>
      <c r="BQ496" s="774"/>
      <c r="BR496" s="774"/>
      <c r="BS496" s="761"/>
      <c r="BT496" s="774"/>
      <c r="BU496" s="774"/>
      <c r="BV496" s="774"/>
      <c r="BW496" s="774"/>
      <c r="BX496" s="761"/>
      <c r="BY496" s="774"/>
      <c r="BZ496" s="774"/>
      <c r="CA496" s="774"/>
      <c r="CB496" s="774"/>
      <c r="CC496" s="761"/>
      <c r="CD496" s="2937"/>
      <c r="CE496" s="2937"/>
      <c r="CF496" s="2937"/>
      <c r="CG496" s="2404"/>
      <c r="CH496" s="2406"/>
      <c r="CI496" s="2404"/>
      <c r="CJ496" s="2404"/>
      <c r="CK496" s="2404"/>
      <c r="CL496" s="2404"/>
      <c r="CM496" s="2406"/>
      <c r="CN496" s="2404"/>
      <c r="CO496" s="2404"/>
      <c r="CP496" s="2404"/>
      <c r="CQ496" s="2404"/>
      <c r="CR496" s="2406"/>
      <c r="CS496" s="2406"/>
      <c r="CT496" s="2406"/>
      <c r="DA496" s="212"/>
      <c r="DB496" s="1226"/>
    </row>
    <row r="497" spans="1:106" s="207" customFormat="1" x14ac:dyDescent="0.2">
      <c r="A497" s="3039" t="s">
        <v>2455</v>
      </c>
      <c r="B497" s="777"/>
      <c r="C497" s="777"/>
      <c r="D497" s="777"/>
      <c r="E497" s="777"/>
      <c r="F497" s="235"/>
      <c r="G497" s="777"/>
      <c r="H497" s="777"/>
      <c r="I497" s="777"/>
      <c r="J497" s="777"/>
      <c r="K497" s="235"/>
      <c r="L497" s="777"/>
      <c r="M497" s="777"/>
      <c r="N497" s="777"/>
      <c r="O497" s="777"/>
      <c r="P497" s="631"/>
      <c r="Q497" s="777"/>
      <c r="R497" s="777"/>
      <c r="S497" s="777"/>
      <c r="T497" s="777"/>
      <c r="U497" s="631"/>
      <c r="V497" s="777"/>
      <c r="W497" s="777"/>
      <c r="X497" s="777"/>
      <c r="Y497" s="777"/>
      <c r="Z497" s="631"/>
      <c r="AA497" s="275"/>
      <c r="AB497" s="275"/>
      <c r="AC497" s="275"/>
      <c r="AD497" s="275"/>
      <c r="AE497" s="631"/>
      <c r="AF497" s="275"/>
      <c r="AG497" s="275"/>
      <c r="AH497" s="275"/>
      <c r="AI497" s="275"/>
      <c r="AJ497" s="631"/>
      <c r="AK497" s="774"/>
      <c r="AL497" s="774"/>
      <c r="AM497" s="774"/>
      <c r="AN497" s="774"/>
      <c r="AO497" s="1516"/>
      <c r="AP497" s="774"/>
      <c r="AQ497" s="774"/>
      <c r="AR497" s="774"/>
      <c r="AS497" s="774"/>
      <c r="AT497" s="1516"/>
      <c r="AU497" s="774"/>
      <c r="AV497" s="774"/>
      <c r="AW497" s="774"/>
      <c r="AX497" s="774"/>
      <c r="AY497" s="1516"/>
      <c r="AZ497" s="774"/>
      <c r="BA497" s="774"/>
      <c r="BB497" s="774"/>
      <c r="BC497" s="774"/>
      <c r="BD497" s="1516"/>
      <c r="BE497" s="774"/>
      <c r="BF497" s="774"/>
      <c r="BG497" s="774"/>
      <c r="BH497" s="774"/>
      <c r="BI497" s="1516"/>
      <c r="BJ497" s="774"/>
      <c r="BK497" s="774"/>
      <c r="BL497" s="774"/>
      <c r="BM497" s="774"/>
      <c r="BN497" s="761"/>
      <c r="BO497" s="774"/>
      <c r="BP497" s="774"/>
      <c r="BQ497" s="774"/>
      <c r="BR497" s="774"/>
      <c r="BS497" s="761"/>
      <c r="BT497" s="774"/>
      <c r="BU497" s="774"/>
      <c r="BV497" s="774"/>
      <c r="BW497" s="774"/>
      <c r="BX497" s="761"/>
      <c r="BY497" s="774"/>
      <c r="BZ497" s="774"/>
      <c r="CA497" s="774"/>
      <c r="CB497" s="774"/>
      <c r="CC497" s="761"/>
      <c r="CD497" s="2937"/>
      <c r="CE497" s="2937"/>
      <c r="CF497" s="2937"/>
      <c r="CG497" s="2404"/>
      <c r="CH497" s="2406"/>
      <c r="CI497" s="2404"/>
      <c r="CJ497" s="2404"/>
      <c r="CK497" s="2404"/>
      <c r="CL497" s="2404"/>
      <c r="CM497" s="2406"/>
      <c r="CN497" s="2404"/>
      <c r="CO497" s="2404"/>
      <c r="CP497" s="2404"/>
      <c r="CQ497" s="2404"/>
      <c r="CR497" s="2406"/>
      <c r="CS497" s="2406"/>
      <c r="CT497" s="2406"/>
      <c r="DA497" s="212"/>
      <c r="DB497" s="1226"/>
    </row>
    <row r="498" spans="1:106" s="207" customFormat="1" x14ac:dyDescent="0.2">
      <c r="A498" s="3039" t="s">
        <v>2456</v>
      </c>
      <c r="B498" s="777"/>
      <c r="C498" s="777"/>
      <c r="D498" s="777"/>
      <c r="E498" s="777"/>
      <c r="F498" s="235"/>
      <c r="G498" s="777"/>
      <c r="H498" s="777"/>
      <c r="I498" s="777"/>
      <c r="J498" s="777"/>
      <c r="K498" s="235"/>
      <c r="L498" s="777"/>
      <c r="M498" s="777"/>
      <c r="N498" s="777"/>
      <c r="O498" s="777"/>
      <c r="P498" s="631"/>
      <c r="Q498" s="777"/>
      <c r="R498" s="777"/>
      <c r="S498" s="777"/>
      <c r="T498" s="777"/>
      <c r="U498" s="631"/>
      <c r="V498" s="777"/>
      <c r="W498" s="777"/>
      <c r="X498" s="777"/>
      <c r="Y498" s="777"/>
      <c r="Z498" s="631"/>
      <c r="AA498" s="275"/>
      <c r="AB498" s="275"/>
      <c r="AC498" s="275"/>
      <c r="AD498" s="275"/>
      <c r="AE498" s="631"/>
      <c r="AF498" s="275"/>
      <c r="AG498" s="275"/>
      <c r="AH498" s="275"/>
      <c r="AI498" s="275"/>
      <c r="AJ498" s="631"/>
      <c r="AK498" s="774"/>
      <c r="AL498" s="774"/>
      <c r="AM498" s="774"/>
      <c r="AN498" s="774"/>
      <c r="AO498" s="1516"/>
      <c r="AP498" s="774"/>
      <c r="AQ498" s="774"/>
      <c r="AR498" s="774"/>
      <c r="AS498" s="774"/>
      <c r="AT498" s="1516"/>
      <c r="AU498" s="774"/>
      <c r="AV498" s="774"/>
      <c r="AW498" s="774"/>
      <c r="AX498" s="774"/>
      <c r="AY498" s="1516"/>
      <c r="AZ498" s="774"/>
      <c r="BA498" s="774"/>
      <c r="BB498" s="774"/>
      <c r="BC498" s="774"/>
      <c r="BD498" s="1516"/>
      <c r="BE498" s="774"/>
      <c r="BF498" s="774"/>
      <c r="BG498" s="774"/>
      <c r="BH498" s="774"/>
      <c r="BI498" s="1516"/>
      <c r="BJ498" s="774"/>
      <c r="BK498" s="774"/>
      <c r="BL498" s="774"/>
      <c r="BM498" s="774"/>
      <c r="BN498" s="761"/>
      <c r="BO498" s="774"/>
      <c r="BP498" s="774"/>
      <c r="BQ498" s="774"/>
      <c r="BR498" s="774"/>
      <c r="BS498" s="761"/>
      <c r="BT498" s="774"/>
      <c r="BU498" s="774"/>
      <c r="BV498" s="774"/>
      <c r="BW498" s="774"/>
      <c r="BX498" s="761"/>
      <c r="BY498" s="774"/>
      <c r="BZ498" s="774"/>
      <c r="CA498" s="774"/>
      <c r="CB498" s="774"/>
      <c r="CC498" s="761"/>
      <c r="CD498" s="2937"/>
      <c r="CE498" s="2937"/>
      <c r="CF498" s="2937"/>
      <c r="CG498" s="2404"/>
      <c r="CH498" s="2406"/>
      <c r="CI498" s="2404"/>
      <c r="CJ498" s="2404"/>
      <c r="CK498" s="2404"/>
      <c r="CL498" s="2404"/>
      <c r="CM498" s="2406"/>
      <c r="CN498" s="2404"/>
      <c r="CO498" s="2404"/>
      <c r="CP498" s="2404"/>
      <c r="CQ498" s="2404"/>
      <c r="CR498" s="2406"/>
      <c r="CS498" s="2406"/>
      <c r="CT498" s="2406"/>
      <c r="DA498" s="212"/>
      <c r="DB498" s="1226"/>
    </row>
    <row r="499" spans="1:106" s="207" customFormat="1" x14ac:dyDescent="0.2">
      <c r="A499" s="3039" t="s">
        <v>2457</v>
      </c>
      <c r="B499" s="777"/>
      <c r="C499" s="777"/>
      <c r="D499" s="777"/>
      <c r="E499" s="777"/>
      <c r="F499" s="235"/>
      <c r="G499" s="777"/>
      <c r="H499" s="777"/>
      <c r="I499" s="777"/>
      <c r="J499" s="777"/>
      <c r="K499" s="235"/>
      <c r="L499" s="777"/>
      <c r="M499" s="777"/>
      <c r="N499" s="777"/>
      <c r="O499" s="777"/>
      <c r="P499" s="631"/>
      <c r="Q499" s="777"/>
      <c r="R499" s="777"/>
      <c r="S499" s="777"/>
      <c r="T499" s="777"/>
      <c r="U499" s="631"/>
      <c r="V499" s="777"/>
      <c r="W499" s="777"/>
      <c r="X499" s="777"/>
      <c r="Y499" s="777"/>
      <c r="Z499" s="631"/>
      <c r="AA499" s="275"/>
      <c r="AB499" s="275"/>
      <c r="AC499" s="275"/>
      <c r="AD499" s="275"/>
      <c r="AE499" s="631"/>
      <c r="AF499" s="275"/>
      <c r="AG499" s="275"/>
      <c r="AH499" s="275"/>
      <c r="AI499" s="275"/>
      <c r="AJ499" s="631"/>
      <c r="AK499" s="774"/>
      <c r="AL499" s="774"/>
      <c r="AM499" s="774"/>
      <c r="AN499" s="774"/>
      <c r="AO499" s="1516"/>
      <c r="AP499" s="774"/>
      <c r="AQ499" s="774"/>
      <c r="AR499" s="774"/>
      <c r="AS499" s="774"/>
      <c r="AT499" s="1516"/>
      <c r="AU499" s="774"/>
      <c r="AV499" s="774"/>
      <c r="AW499" s="774"/>
      <c r="AX499" s="774"/>
      <c r="AY499" s="1516"/>
      <c r="AZ499" s="774"/>
      <c r="BA499" s="774"/>
      <c r="BB499" s="774"/>
      <c r="BC499" s="774"/>
      <c r="BD499" s="1516"/>
      <c r="BE499" s="774"/>
      <c r="BF499" s="774"/>
      <c r="BG499" s="774"/>
      <c r="BH499" s="774"/>
      <c r="BI499" s="1516"/>
      <c r="BJ499" s="774"/>
      <c r="BK499" s="774"/>
      <c r="BL499" s="774"/>
      <c r="BM499" s="774"/>
      <c r="BN499" s="761"/>
      <c r="BO499" s="774"/>
      <c r="BP499" s="774"/>
      <c r="BQ499" s="774"/>
      <c r="BR499" s="774"/>
      <c r="BS499" s="761"/>
      <c r="BT499" s="774"/>
      <c r="BU499" s="774"/>
      <c r="BV499" s="774"/>
      <c r="BW499" s="774"/>
      <c r="BX499" s="761"/>
      <c r="BY499" s="774"/>
      <c r="BZ499" s="774"/>
      <c r="CA499" s="774"/>
      <c r="CB499" s="774"/>
      <c r="CC499" s="761"/>
      <c r="CD499" s="2937"/>
      <c r="CE499" s="2937"/>
      <c r="CF499" s="2937"/>
      <c r="CG499" s="2404"/>
      <c r="CH499" s="2406"/>
      <c r="CI499" s="2404"/>
      <c r="CJ499" s="2404"/>
      <c r="CK499" s="2404"/>
      <c r="CL499" s="2404"/>
      <c r="CM499" s="2406"/>
      <c r="CN499" s="2404"/>
      <c r="CO499" s="2404"/>
      <c r="CP499" s="2404"/>
      <c r="CQ499" s="2404"/>
      <c r="CR499" s="2406"/>
      <c r="CS499" s="2406"/>
      <c r="CT499" s="2406"/>
      <c r="DA499" s="212"/>
      <c r="DB499" s="1226"/>
    </row>
    <row r="500" spans="1:106" s="207" customFormat="1" x14ac:dyDescent="0.2">
      <c r="A500" s="3039" t="s">
        <v>2458</v>
      </c>
      <c r="B500" s="777"/>
      <c r="C500" s="777"/>
      <c r="D500" s="777"/>
      <c r="E500" s="777"/>
      <c r="F500" s="235"/>
      <c r="G500" s="777"/>
      <c r="H500" s="777"/>
      <c r="I500" s="777"/>
      <c r="J500" s="777"/>
      <c r="K500" s="235"/>
      <c r="L500" s="777"/>
      <c r="M500" s="777"/>
      <c r="N500" s="777"/>
      <c r="O500" s="777"/>
      <c r="P500" s="631"/>
      <c r="Q500" s="777"/>
      <c r="R500" s="777"/>
      <c r="S500" s="777"/>
      <c r="T500" s="777"/>
      <c r="U500" s="631"/>
      <c r="V500" s="777"/>
      <c r="W500" s="777"/>
      <c r="X500" s="777"/>
      <c r="Y500" s="777"/>
      <c r="Z500" s="631"/>
      <c r="AA500" s="275"/>
      <c r="AB500" s="275"/>
      <c r="AC500" s="275"/>
      <c r="AD500" s="275"/>
      <c r="AE500" s="631"/>
      <c r="AF500" s="275"/>
      <c r="AG500" s="275"/>
      <c r="AH500" s="275"/>
      <c r="AI500" s="275"/>
      <c r="AJ500" s="631"/>
      <c r="AK500" s="774"/>
      <c r="AL500" s="774"/>
      <c r="AM500" s="774"/>
      <c r="AN500" s="774"/>
      <c r="AO500" s="1516"/>
      <c r="AP500" s="774"/>
      <c r="AQ500" s="774"/>
      <c r="AR500" s="774"/>
      <c r="AS500" s="774"/>
      <c r="AT500" s="1516"/>
      <c r="AU500" s="774"/>
      <c r="AV500" s="774"/>
      <c r="AW500" s="774"/>
      <c r="AX500" s="774"/>
      <c r="AY500" s="1516"/>
      <c r="AZ500" s="774"/>
      <c r="BA500" s="774"/>
      <c r="BB500" s="774"/>
      <c r="BC500" s="774"/>
      <c r="BD500" s="1516"/>
      <c r="BE500" s="774"/>
      <c r="BF500" s="774"/>
      <c r="BG500" s="774"/>
      <c r="BH500" s="774"/>
      <c r="BI500" s="1516"/>
      <c r="BJ500" s="774"/>
      <c r="BK500" s="774"/>
      <c r="BL500" s="774"/>
      <c r="BM500" s="774"/>
      <c r="BN500" s="761"/>
      <c r="BO500" s="774"/>
      <c r="BP500" s="774"/>
      <c r="BQ500" s="774"/>
      <c r="BR500" s="774"/>
      <c r="BS500" s="761"/>
      <c r="BT500" s="774"/>
      <c r="BU500" s="774"/>
      <c r="BV500" s="774"/>
      <c r="BW500" s="774"/>
      <c r="BX500" s="761"/>
      <c r="BY500" s="774"/>
      <c r="BZ500" s="774"/>
      <c r="CA500" s="774"/>
      <c r="CB500" s="774"/>
      <c r="CC500" s="761"/>
      <c r="CD500" s="2937"/>
      <c r="CE500" s="2937"/>
      <c r="CF500" s="2937"/>
      <c r="CG500" s="2404"/>
      <c r="CH500" s="2406"/>
      <c r="CI500" s="2404"/>
      <c r="CJ500" s="2404"/>
      <c r="CK500" s="2404"/>
      <c r="CL500" s="2404"/>
      <c r="CM500" s="2406"/>
      <c r="CN500" s="2404"/>
      <c r="CO500" s="2404"/>
      <c r="CP500" s="2404"/>
      <c r="CQ500" s="2404"/>
      <c r="CR500" s="2406"/>
      <c r="CS500" s="2406"/>
      <c r="CT500" s="2406"/>
      <c r="DA500" s="212"/>
      <c r="DB500" s="1226"/>
    </row>
    <row r="501" spans="1:106" s="207" customFormat="1" x14ac:dyDescent="0.2">
      <c r="A501" s="3039" t="s">
        <v>2459</v>
      </c>
      <c r="B501" s="777"/>
      <c r="C501" s="777"/>
      <c r="D501" s="777"/>
      <c r="E501" s="777"/>
      <c r="F501" s="235"/>
      <c r="G501" s="777"/>
      <c r="H501" s="777"/>
      <c r="I501" s="777"/>
      <c r="J501" s="777"/>
      <c r="K501" s="235"/>
      <c r="L501" s="777"/>
      <c r="M501" s="777"/>
      <c r="N501" s="777"/>
      <c r="O501" s="777"/>
      <c r="P501" s="631"/>
      <c r="Q501" s="777"/>
      <c r="R501" s="777"/>
      <c r="S501" s="777"/>
      <c r="T501" s="777"/>
      <c r="U501" s="631"/>
      <c r="V501" s="777"/>
      <c r="W501" s="777"/>
      <c r="X501" s="777"/>
      <c r="Y501" s="777"/>
      <c r="Z501" s="631"/>
      <c r="AA501" s="275"/>
      <c r="AB501" s="275"/>
      <c r="AC501" s="275"/>
      <c r="AD501" s="275"/>
      <c r="AE501" s="631"/>
      <c r="AF501" s="275"/>
      <c r="AG501" s="275"/>
      <c r="AH501" s="275"/>
      <c r="AI501" s="275"/>
      <c r="AJ501" s="631"/>
      <c r="AK501" s="774"/>
      <c r="AL501" s="774"/>
      <c r="AM501" s="774"/>
      <c r="AN501" s="774"/>
      <c r="AO501" s="1516"/>
      <c r="AP501" s="774"/>
      <c r="AQ501" s="774"/>
      <c r="AR501" s="774"/>
      <c r="AS501" s="774"/>
      <c r="AT501" s="1516"/>
      <c r="AU501" s="774"/>
      <c r="AV501" s="774"/>
      <c r="AW501" s="774"/>
      <c r="AX501" s="774"/>
      <c r="AY501" s="1516"/>
      <c r="AZ501" s="774"/>
      <c r="BA501" s="774"/>
      <c r="BB501" s="774"/>
      <c r="BC501" s="774"/>
      <c r="BD501" s="1516"/>
      <c r="BE501" s="774"/>
      <c r="BF501" s="774"/>
      <c r="BG501" s="774"/>
      <c r="BH501" s="774"/>
      <c r="BI501" s="1516"/>
      <c r="BJ501" s="774"/>
      <c r="BK501" s="774"/>
      <c r="BL501" s="774"/>
      <c r="BM501" s="774"/>
      <c r="BN501" s="761"/>
      <c r="BO501" s="774"/>
      <c r="BP501" s="774"/>
      <c r="BQ501" s="774"/>
      <c r="BR501" s="774"/>
      <c r="BS501" s="761"/>
      <c r="BT501" s="774"/>
      <c r="BU501" s="774"/>
      <c r="BV501" s="774"/>
      <c r="BW501" s="774"/>
      <c r="BX501" s="761"/>
      <c r="BY501" s="774"/>
      <c r="BZ501" s="774"/>
      <c r="CA501" s="774"/>
      <c r="CB501" s="774"/>
      <c r="CC501" s="761"/>
      <c r="CD501" s="2937"/>
      <c r="CE501" s="2937"/>
      <c r="CF501" s="2937"/>
      <c r="CG501" s="2404"/>
      <c r="CH501" s="2406"/>
      <c r="CI501" s="2404"/>
      <c r="CJ501" s="2404"/>
      <c r="CK501" s="2404"/>
      <c r="CL501" s="2404"/>
      <c r="CM501" s="2406"/>
      <c r="CN501" s="2404"/>
      <c r="CO501" s="2404"/>
      <c r="CP501" s="2404"/>
      <c r="CQ501" s="2404"/>
      <c r="CR501" s="2406"/>
      <c r="CS501" s="2406"/>
      <c r="CT501" s="2406"/>
      <c r="DA501" s="212"/>
      <c r="DB501" s="1226"/>
    </row>
    <row r="502" spans="1:106" s="207" customFormat="1" x14ac:dyDescent="0.2">
      <c r="A502" s="3039" t="s">
        <v>2460</v>
      </c>
      <c r="B502" s="777"/>
      <c r="C502" s="777"/>
      <c r="D502" s="777"/>
      <c r="E502" s="777"/>
      <c r="F502" s="235"/>
      <c r="G502" s="777"/>
      <c r="H502" s="777"/>
      <c r="I502" s="777"/>
      <c r="J502" s="777"/>
      <c r="K502" s="235"/>
      <c r="L502" s="777"/>
      <c r="M502" s="777"/>
      <c r="N502" s="777"/>
      <c r="O502" s="777"/>
      <c r="P502" s="631"/>
      <c r="Q502" s="777"/>
      <c r="R502" s="777"/>
      <c r="S502" s="777"/>
      <c r="T502" s="777"/>
      <c r="U502" s="631"/>
      <c r="V502" s="777"/>
      <c r="W502" s="777"/>
      <c r="X502" s="777"/>
      <c r="Y502" s="777"/>
      <c r="Z502" s="631"/>
      <c r="AA502" s="275"/>
      <c r="AB502" s="275"/>
      <c r="AC502" s="275"/>
      <c r="AD502" s="275"/>
      <c r="AE502" s="631"/>
      <c r="AF502" s="275"/>
      <c r="AG502" s="275"/>
      <c r="AH502" s="275"/>
      <c r="AI502" s="275"/>
      <c r="AJ502" s="631"/>
      <c r="AK502" s="774"/>
      <c r="AL502" s="774"/>
      <c r="AM502" s="774"/>
      <c r="AN502" s="774"/>
      <c r="AO502" s="1516"/>
      <c r="AP502" s="774"/>
      <c r="AQ502" s="774"/>
      <c r="AR502" s="774"/>
      <c r="AS502" s="774"/>
      <c r="AT502" s="1516"/>
      <c r="AU502" s="774"/>
      <c r="AV502" s="774"/>
      <c r="AW502" s="774"/>
      <c r="AX502" s="774"/>
      <c r="AY502" s="1516"/>
      <c r="AZ502" s="774"/>
      <c r="BA502" s="774"/>
      <c r="BB502" s="774"/>
      <c r="BC502" s="774"/>
      <c r="BD502" s="1516"/>
      <c r="BE502" s="774"/>
      <c r="BF502" s="774"/>
      <c r="BG502" s="774"/>
      <c r="BH502" s="774"/>
      <c r="BI502" s="1516"/>
      <c r="BJ502" s="774"/>
      <c r="BK502" s="774"/>
      <c r="BL502" s="774"/>
      <c r="BM502" s="774"/>
      <c r="BN502" s="761"/>
      <c r="BO502" s="774"/>
      <c r="BP502" s="774"/>
      <c r="BQ502" s="774"/>
      <c r="BR502" s="774"/>
      <c r="BS502" s="761"/>
      <c r="BT502" s="774"/>
      <c r="BU502" s="774"/>
      <c r="BV502" s="774"/>
      <c r="BW502" s="774"/>
      <c r="BX502" s="761"/>
      <c r="BY502" s="774"/>
      <c r="BZ502" s="774"/>
      <c r="CA502" s="774"/>
      <c r="CB502" s="774"/>
      <c r="CC502" s="761"/>
      <c r="CD502" s="2937"/>
      <c r="CE502" s="2937"/>
      <c r="CF502" s="2937"/>
      <c r="CG502" s="2404"/>
      <c r="CH502" s="2406"/>
      <c r="CI502" s="2404"/>
      <c r="CJ502" s="2404"/>
      <c r="CK502" s="2404"/>
      <c r="CL502" s="2404"/>
      <c r="CM502" s="2406"/>
      <c r="CN502" s="2404"/>
      <c r="CO502" s="2404"/>
      <c r="CP502" s="2404"/>
      <c r="CQ502" s="2404"/>
      <c r="CR502" s="2406"/>
      <c r="CS502" s="2406"/>
      <c r="CT502" s="2406"/>
      <c r="DA502" s="212"/>
      <c r="DB502" s="1226"/>
    </row>
    <row r="503" spans="1:106" s="207" customFormat="1" x14ac:dyDescent="0.2">
      <c r="A503" s="3039" t="s">
        <v>2464</v>
      </c>
      <c r="B503" s="777"/>
      <c r="C503" s="777"/>
      <c r="D503" s="777"/>
      <c r="E503" s="777"/>
      <c r="F503" s="235"/>
      <c r="G503" s="777"/>
      <c r="H503" s="777"/>
      <c r="I503" s="777"/>
      <c r="J503" s="777"/>
      <c r="K503" s="235"/>
      <c r="L503" s="777"/>
      <c r="M503" s="777"/>
      <c r="N503" s="777"/>
      <c r="O503" s="777"/>
      <c r="P503" s="631"/>
      <c r="Q503" s="777"/>
      <c r="R503" s="777"/>
      <c r="S503" s="777"/>
      <c r="T503" s="777"/>
      <c r="U503" s="631"/>
      <c r="V503" s="777"/>
      <c r="W503" s="777"/>
      <c r="X503" s="777"/>
      <c r="Y503" s="777"/>
      <c r="Z503" s="631"/>
      <c r="AA503" s="275"/>
      <c r="AB503" s="275"/>
      <c r="AC503" s="275"/>
      <c r="AD503" s="275"/>
      <c r="AE503" s="631"/>
      <c r="AF503" s="275"/>
      <c r="AG503" s="275"/>
      <c r="AH503" s="275"/>
      <c r="AI503" s="275"/>
      <c r="AJ503" s="631"/>
      <c r="AK503" s="774"/>
      <c r="AL503" s="774"/>
      <c r="AM503" s="774"/>
      <c r="AN503" s="774"/>
      <c r="AO503" s="1516"/>
      <c r="AP503" s="774"/>
      <c r="AQ503" s="774"/>
      <c r="AR503" s="774"/>
      <c r="AS503" s="774"/>
      <c r="AT503" s="1516"/>
      <c r="AU503" s="774"/>
      <c r="AV503" s="774"/>
      <c r="AW503" s="774"/>
      <c r="AX503" s="774"/>
      <c r="AY503" s="1516"/>
      <c r="AZ503" s="774"/>
      <c r="BA503" s="774"/>
      <c r="BB503" s="774"/>
      <c r="BC503" s="774"/>
      <c r="BD503" s="1516"/>
      <c r="BE503" s="774"/>
      <c r="BF503" s="774"/>
      <c r="BG503" s="774"/>
      <c r="BH503" s="774"/>
      <c r="BI503" s="1516"/>
      <c r="BJ503" s="774"/>
      <c r="BK503" s="774"/>
      <c r="BL503" s="774"/>
      <c r="BM503" s="774"/>
      <c r="BN503" s="761"/>
      <c r="BO503" s="774"/>
      <c r="BP503" s="774"/>
      <c r="BQ503" s="774"/>
      <c r="BR503" s="774"/>
      <c r="BS503" s="761"/>
      <c r="BT503" s="774"/>
      <c r="BU503" s="774"/>
      <c r="BV503" s="774"/>
      <c r="BW503" s="774"/>
      <c r="BX503" s="761"/>
      <c r="BY503" s="774"/>
      <c r="BZ503" s="774"/>
      <c r="CA503" s="774"/>
      <c r="CB503" s="774"/>
      <c r="CC503" s="761"/>
      <c r="CD503" s="2937"/>
      <c r="CE503" s="2937"/>
      <c r="CF503" s="2937"/>
      <c r="CG503" s="2404"/>
      <c r="CH503" s="2406"/>
      <c r="CI503" s="2404"/>
      <c r="CJ503" s="2404"/>
      <c r="CK503" s="2404"/>
      <c r="CL503" s="2404"/>
      <c r="CM503" s="2406"/>
      <c r="CN503"/>
      <c r="CO503" s="2404"/>
      <c r="CP503" s="2404"/>
      <c r="CQ503" s="2404"/>
      <c r="CR503" s="2406"/>
      <c r="CS503" s="2406"/>
      <c r="CT503" s="2406"/>
      <c r="DA503" s="212"/>
      <c r="DB503" s="1226"/>
    </row>
    <row r="504" spans="1:106" s="207" customFormat="1" x14ac:dyDescent="0.2">
      <c r="A504" s="3039" t="s">
        <v>2462</v>
      </c>
      <c r="B504" s="777"/>
      <c r="C504" s="777"/>
      <c r="D504" s="777"/>
      <c r="E504" s="777"/>
      <c r="F504" s="235"/>
      <c r="G504" s="777"/>
      <c r="H504" s="777"/>
      <c r="I504" s="777"/>
      <c r="J504" s="777"/>
      <c r="K504" s="235"/>
      <c r="L504" s="777"/>
      <c r="M504" s="777"/>
      <c r="N504" s="777"/>
      <c r="O504" s="777"/>
      <c r="P504" s="631"/>
      <c r="Q504" s="777"/>
      <c r="R504" s="777"/>
      <c r="S504" s="777"/>
      <c r="T504" s="777"/>
      <c r="U504" s="631"/>
      <c r="V504" s="777"/>
      <c r="W504" s="777"/>
      <c r="X504" s="777"/>
      <c r="Y504" s="777"/>
      <c r="Z504" s="631"/>
      <c r="AA504" s="275"/>
      <c r="AB504" s="275"/>
      <c r="AC504" s="275"/>
      <c r="AD504" s="275"/>
      <c r="AE504" s="631"/>
      <c r="AF504" s="275"/>
      <c r="AG504" s="275"/>
      <c r="AH504" s="275"/>
      <c r="AI504" s="275"/>
      <c r="AJ504" s="631"/>
      <c r="AK504" s="774"/>
      <c r="AL504" s="774"/>
      <c r="AM504" s="774"/>
      <c r="AN504" s="774"/>
      <c r="AO504" s="1516"/>
      <c r="AP504" s="774"/>
      <c r="AQ504" s="774"/>
      <c r="AR504" s="774"/>
      <c r="AS504" s="774"/>
      <c r="AT504" s="1516"/>
      <c r="AU504" s="774"/>
      <c r="AV504" s="774"/>
      <c r="AW504" s="774"/>
      <c r="AX504" s="774"/>
      <c r="AY504" s="1516"/>
      <c r="AZ504" s="774"/>
      <c r="BA504" s="774"/>
      <c r="BB504" s="774"/>
      <c r="BC504" s="774"/>
      <c r="BD504" s="1516"/>
      <c r="BE504" s="774"/>
      <c r="BF504" s="774"/>
      <c r="BG504" s="774"/>
      <c r="BH504" s="774"/>
      <c r="BI504" s="1516"/>
      <c r="BJ504" s="774"/>
      <c r="BK504" s="774"/>
      <c r="BL504" s="774"/>
      <c r="BM504" s="774"/>
      <c r="BN504" s="761"/>
      <c r="BO504" s="774"/>
      <c r="BP504" s="774"/>
      <c r="BQ504" s="774"/>
      <c r="BR504" s="774"/>
      <c r="BS504" s="761"/>
      <c r="BT504" s="774"/>
      <c r="BU504" s="774"/>
      <c r="BV504" s="774"/>
      <c r="BW504" s="774"/>
      <c r="BX504" s="761"/>
      <c r="BY504" s="774"/>
      <c r="BZ504" s="774"/>
      <c r="CA504" s="774"/>
      <c r="CB504" s="774"/>
      <c r="CC504" s="761"/>
      <c r="CD504" s="2937"/>
      <c r="CE504" s="2937"/>
      <c r="CF504" s="2937"/>
      <c r="CG504" s="2404"/>
      <c r="CH504" s="2406"/>
      <c r="CI504" s="2404"/>
      <c r="CJ504" s="2404"/>
      <c r="CK504" s="2404"/>
      <c r="CL504" s="2404"/>
      <c r="CM504" s="2406"/>
      <c r="CN504"/>
      <c r="CO504" s="2404"/>
      <c r="CP504" s="2404"/>
      <c r="CQ504" s="2404"/>
      <c r="CR504" s="2406"/>
      <c r="CS504" s="2406"/>
      <c r="CT504" s="2406"/>
      <c r="DA504" s="212"/>
      <c r="DB504" s="1226"/>
    </row>
    <row r="505" spans="1:106" s="207" customFormat="1" x14ac:dyDescent="0.2">
      <c r="A505" s="3039" t="s">
        <v>1931</v>
      </c>
      <c r="B505" s="777"/>
      <c r="C505" s="777"/>
      <c r="D505" s="777"/>
      <c r="E505" s="777"/>
      <c r="F505" s="235"/>
      <c r="G505" s="777"/>
      <c r="H505" s="777"/>
      <c r="I505" s="777"/>
      <c r="J505" s="777"/>
      <c r="K505" s="235"/>
      <c r="L505" s="777"/>
      <c r="M505" s="777"/>
      <c r="N505" s="777"/>
      <c r="O505" s="777"/>
      <c r="P505" s="631"/>
      <c r="Q505" s="777"/>
      <c r="R505" s="777"/>
      <c r="S505" s="777"/>
      <c r="T505" s="777"/>
      <c r="U505" s="631"/>
      <c r="V505" s="777"/>
      <c r="W505" s="777"/>
      <c r="X505" s="777"/>
      <c r="Y505" s="777"/>
      <c r="Z505" s="631"/>
      <c r="AA505" s="275"/>
      <c r="AB505" s="275"/>
      <c r="AC505" s="275"/>
      <c r="AD505" s="275"/>
      <c r="AE505" s="631"/>
      <c r="AF505" s="275"/>
      <c r="AG505" s="275"/>
      <c r="AH505" s="275"/>
      <c r="AI505" s="275"/>
      <c r="AJ505" s="631"/>
      <c r="AK505" s="774"/>
      <c r="AL505" s="774"/>
      <c r="AM505" s="774"/>
      <c r="AN505" s="774"/>
      <c r="AO505" s="1516"/>
      <c r="AP505" s="774"/>
      <c r="AQ505" s="774"/>
      <c r="AR505" s="774"/>
      <c r="AS505" s="774"/>
      <c r="AT505" s="1516"/>
      <c r="AU505" s="774"/>
      <c r="AV505" s="774"/>
      <c r="AW505" s="774"/>
      <c r="AX505" s="774"/>
      <c r="AY505" s="1516"/>
      <c r="AZ505" s="774"/>
      <c r="BA505" s="774"/>
      <c r="BB505" s="774"/>
      <c r="BC505" s="774"/>
      <c r="BD505" s="1516"/>
      <c r="BE505" s="774"/>
      <c r="BF505" s="774"/>
      <c r="BG505" s="774"/>
      <c r="BH505" s="774"/>
      <c r="BI505" s="1516"/>
      <c r="BJ505" s="774"/>
      <c r="BK505" s="774"/>
      <c r="BL505" s="774"/>
      <c r="BM505" s="774"/>
      <c r="BN505" s="761"/>
      <c r="BO505" s="774"/>
      <c r="BP505" s="774"/>
      <c r="BQ505" s="774"/>
      <c r="BR505" s="774"/>
      <c r="BS505" s="761"/>
      <c r="BT505" s="774"/>
      <c r="BU505" s="774"/>
      <c r="BV505" s="774"/>
      <c r="BW505" s="774"/>
      <c r="BX505" s="761"/>
      <c r="BY505" s="774"/>
      <c r="BZ505" s="774"/>
      <c r="CA505" s="774"/>
      <c r="CB505" s="774"/>
      <c r="CC505" s="761"/>
      <c r="CD505" s="2937"/>
      <c r="CE505" s="2937"/>
      <c r="CF505" s="2937"/>
      <c r="CG505" s="2404"/>
      <c r="CH505" s="2406"/>
      <c r="CI505" s="2404"/>
      <c r="CJ505" s="2404"/>
      <c r="CK505" s="2404"/>
      <c r="CL505" s="2404"/>
      <c r="CM505" s="2406"/>
      <c r="CN505"/>
      <c r="CO505" s="2404"/>
      <c r="CP505" s="2404"/>
      <c r="CQ505" s="2404"/>
      <c r="CR505" s="2406"/>
      <c r="CS505" s="2406"/>
      <c r="CT505" s="2406"/>
      <c r="DA505" s="212"/>
      <c r="DB505" s="1226"/>
    </row>
    <row r="506" spans="1:106" s="207" customFormat="1" x14ac:dyDescent="0.2">
      <c r="A506" s="1437" t="s">
        <v>76</v>
      </c>
      <c r="B506" s="777"/>
      <c r="C506" s="777"/>
      <c r="D506" s="777"/>
      <c r="E506" s="777"/>
      <c r="F506" s="235"/>
      <c r="G506" s="777"/>
      <c r="H506" s="777"/>
      <c r="I506" s="777"/>
      <c r="J506" s="777"/>
      <c r="K506" s="235"/>
      <c r="L506" s="777"/>
      <c r="M506" s="777"/>
      <c r="N506" s="777"/>
      <c r="O506" s="777"/>
      <c r="P506" s="631"/>
      <c r="Q506" s="777"/>
      <c r="R506" s="777"/>
      <c r="S506" s="777"/>
      <c r="T506" s="777"/>
      <c r="U506" s="631"/>
      <c r="V506" s="777"/>
      <c r="W506" s="777"/>
      <c r="X506" s="777"/>
      <c r="Y506" s="777"/>
      <c r="Z506" s="631"/>
      <c r="AA506" s="275"/>
      <c r="AB506" s="275"/>
      <c r="AC506" s="275"/>
      <c r="AD506" s="275"/>
      <c r="AE506" s="631"/>
      <c r="AF506" s="275"/>
      <c r="AG506" s="275"/>
      <c r="AH506" s="275"/>
      <c r="AI506" s="275"/>
      <c r="AJ506" s="631"/>
      <c r="AK506" s="1248">
        <f>SUM(AK486:AK494)</f>
        <v>3086.9357011625912</v>
      </c>
      <c r="AL506" s="1248">
        <f>SUM(AL486:AL494)</f>
        <v>3517.5868432269599</v>
      </c>
      <c r="AM506" s="1248">
        <f>SUM(AM486:AM494)</f>
        <v>3420.0969444532802</v>
      </c>
      <c r="AN506" s="1248">
        <f>SUM(AN486:AN494)</f>
        <v>4504.8120087841698</v>
      </c>
      <c r="AO506" s="1517">
        <f>+SUM(AK506:AN506)</f>
        <v>14529.431497627</v>
      </c>
      <c r="AP506" s="1248">
        <f>SUM(AP486:AP494)</f>
        <v>3308.1226575356404</v>
      </c>
      <c r="AQ506" s="1248">
        <f>SUM(AQ486:AQ494)</f>
        <v>3720.0571539348002</v>
      </c>
      <c r="AR506" s="1248">
        <f>SUM(AR486:AR494)</f>
        <v>3541.1389658568</v>
      </c>
      <c r="AS506" s="1248">
        <f>SUM(AS486:AS494)</f>
        <v>4356.5306809248896</v>
      </c>
      <c r="AT506" s="1517">
        <f>+SUM(AP506:AS506)</f>
        <v>14925.849458252131</v>
      </c>
      <c r="AU506" s="1248">
        <f>SUM(AU486:AU494)</f>
        <v>2893.1743540828802</v>
      </c>
      <c r="AV506" s="1248">
        <f>SUM(AV486:AV494)</f>
        <v>3057.7191321927598</v>
      </c>
      <c r="AW506" s="1248">
        <f>SUM(AW486:AW494)</f>
        <v>3019.4417416329597</v>
      </c>
      <c r="AX506" s="1248">
        <f>SUM(AX486:AX494)</f>
        <v>3824.0082920076793</v>
      </c>
      <c r="AY506" s="1517">
        <f>+SUM(AU506:AX506)</f>
        <v>12794.343519916278</v>
      </c>
      <c r="AZ506" s="1248">
        <f>SUM(AZ486:AZ494)</f>
        <v>2971.5923229257996</v>
      </c>
      <c r="BA506" s="1248">
        <f>SUM(BA486:BA494)</f>
        <v>3432.1100465945997</v>
      </c>
      <c r="BB506" s="1248">
        <f>SUM(BB486:BB494)</f>
        <v>3348.4883654023201</v>
      </c>
      <c r="BC506" s="1248">
        <f>SUM(BC486:BC494)</f>
        <v>4246.1850784236804</v>
      </c>
      <c r="BD506" s="1517">
        <f>+SUM(AZ506:BC506)</f>
        <v>13998.3758133464</v>
      </c>
      <c r="BE506" s="1248">
        <f>SUM(BE486:BE494)</f>
        <v>3292.55862913992</v>
      </c>
      <c r="BF506" s="1248">
        <f>SUM(BF486:BF494)</f>
        <v>3775.2633403573191</v>
      </c>
      <c r="BG506" s="1248">
        <f>SUM(BG486:BG494)</f>
        <v>3688.2389844644399</v>
      </c>
      <c r="BH506" s="1248">
        <f>SUM(BH486:BH494)</f>
        <v>4636.3604274125601</v>
      </c>
      <c r="BI506" s="1517">
        <f>+SUM(BE506:BH506)</f>
        <v>15392.421381374239</v>
      </c>
      <c r="BJ506" s="1248">
        <f>SUM(BJ486:BJ494)</f>
        <v>3602.4441464180404</v>
      </c>
      <c r="BK506" s="1248">
        <f>SUM(BK486:BK494)</f>
        <v>4113.0474360212993</v>
      </c>
      <c r="BL506" s="1248">
        <f>SUM(BL486:BL494)</f>
        <v>3994.1318627384999</v>
      </c>
      <c r="BM506" s="1248">
        <f>SUM(BM486:BM494)</f>
        <v>5003.7897798509603</v>
      </c>
      <c r="BN506" s="763">
        <f>+SUM(BJ506:BM506)</f>
        <v>16713.413225028802</v>
      </c>
      <c r="BO506" s="1248">
        <f>SUM(BO486:BO494)</f>
        <v>4194.6974403934601</v>
      </c>
      <c r="BP506" s="1248">
        <f>SUM(BP486:BP494)</f>
        <v>4749.6002218296453</v>
      </c>
      <c r="BQ506" s="1248">
        <f>SUM(BQ486:BQ494)</f>
        <v>4638.4272152488393</v>
      </c>
      <c r="BR506" s="1248">
        <f>SUM(BR486:BR494)</f>
        <v>4231.6247765546796</v>
      </c>
      <c r="BS506" s="763">
        <f>+SUM(BO506:BR506)</f>
        <v>17814.349654026624</v>
      </c>
      <c r="BT506" s="1248">
        <f>SUM(BT486:BT494)</f>
        <v>4461.8684522494505</v>
      </c>
      <c r="BU506" s="1248">
        <f>SUM(BU486:BU494)</f>
        <v>5167.2749756109297</v>
      </c>
      <c r="BV506" s="1248">
        <f>SUM(BV486:BV494)</f>
        <v>5173.70915720828</v>
      </c>
      <c r="BW506" s="1248">
        <f>SUM(BW486:BW494)</f>
        <v>4677.4769592805396</v>
      </c>
      <c r="BX506" s="763">
        <f>+SUM(BT506:BW506)</f>
        <v>19480.329544349199</v>
      </c>
      <c r="BY506" s="1248">
        <f>SUM(BY486:BY494)</f>
        <v>4996.3572194575499</v>
      </c>
      <c r="BZ506" s="1248">
        <f>SUM(BZ486:BZ494)</f>
        <v>5823.8786384342193</v>
      </c>
      <c r="CA506" s="1248">
        <f>SUM(CA486:CA494)</f>
        <v>5867.41435428144</v>
      </c>
      <c r="CB506" s="1248">
        <f>SUM(CB486:CB494)</f>
        <v>5255.71120173706</v>
      </c>
      <c r="CC506" s="763">
        <f>+SUM(BY506:CB506)</f>
        <v>21943.361413910272</v>
      </c>
      <c r="CD506" s="1248">
        <f>SUM(CD486:CD494)</f>
        <v>5462.8470238617783</v>
      </c>
      <c r="CE506" s="1248">
        <f>SUM(CE486:CE494)</f>
        <v>6224.0546479691657</v>
      </c>
      <c r="CF506" s="1248">
        <f>SUM(CF486:CF494)</f>
        <v>6136.2077317657004</v>
      </c>
      <c r="CG506" s="3072">
        <f>+CG353+CG442</f>
        <v>7718.3523169599994</v>
      </c>
      <c r="CH506" s="763">
        <f>SUM(CD506:CG506)</f>
        <v>25541.461720556646</v>
      </c>
      <c r="CI506" s="1248">
        <f t="shared" ref="CI506:CT506" si="390">+CI353+CI442</f>
        <v>7802.7185241000006</v>
      </c>
      <c r="CJ506" s="1248">
        <f t="shared" si="390"/>
        <v>9013.4174339299989</v>
      </c>
      <c r="CK506" s="1248">
        <f t="shared" si="390"/>
        <v>9029.9646965600004</v>
      </c>
      <c r="CL506" s="1248">
        <f t="shared" si="390"/>
        <v>8317.2472005</v>
      </c>
      <c r="CM506" s="763">
        <f>SUM(CI506:CL506)</f>
        <v>34163.347855089996</v>
      </c>
      <c r="CN506" s="1248">
        <f>+CN353+CN442</f>
        <v>8367.435893721562</v>
      </c>
      <c r="CO506" s="1248">
        <f>+CO353+CO442</f>
        <v>9731.2162803205338</v>
      </c>
      <c r="CP506" s="1248">
        <f>+CP353+CP442</f>
        <v>9691.7852456404817</v>
      </c>
      <c r="CQ506" s="1248">
        <f>+CQ353+CQ442</f>
        <v>8884.4819782960731</v>
      </c>
      <c r="CR506" s="763">
        <f>SUM(CN506:CQ506)</f>
        <v>36674.919397978651</v>
      </c>
      <c r="CS506" s="763">
        <f t="shared" si="390"/>
        <v>39336.727017599231</v>
      </c>
      <c r="CT506" s="763">
        <f t="shared" si="390"/>
        <v>39597.767594267592</v>
      </c>
      <c r="DA506" s="212"/>
      <c r="DB506" s="1226"/>
    </row>
    <row r="507" spans="1:106" s="207" customFormat="1" x14ac:dyDescent="0.2">
      <c r="A507" s="1571" t="s">
        <v>652</v>
      </c>
      <c r="B507" s="777"/>
      <c r="C507" s="777"/>
      <c r="D507" s="777"/>
      <c r="E507" s="777"/>
      <c r="F507" s="235"/>
      <c r="G507" s="777"/>
      <c r="H507" s="777"/>
      <c r="I507" s="777"/>
      <c r="J507" s="777"/>
      <c r="K507" s="235"/>
      <c r="L507" s="777"/>
      <c r="M507" s="777"/>
      <c r="N507" s="777"/>
      <c r="O507" s="777"/>
      <c r="P507" s="631"/>
      <c r="Q507" s="777"/>
      <c r="R507" s="777"/>
      <c r="S507" s="777"/>
      <c r="T507" s="777"/>
      <c r="U507" s="631"/>
      <c r="V507" s="777"/>
      <c r="W507" s="777"/>
      <c r="X507" s="777"/>
      <c r="Y507" s="777"/>
      <c r="Z507" s="631"/>
      <c r="AA507" s="275"/>
      <c r="AB507" s="275"/>
      <c r="AC507" s="275"/>
      <c r="AD507" s="275"/>
      <c r="AE507" s="631"/>
      <c r="AF507" s="275"/>
      <c r="AG507" s="275"/>
      <c r="AH507" s="275"/>
      <c r="AI507" s="275"/>
      <c r="AJ507" s="631"/>
      <c r="AK507" s="275"/>
      <c r="AL507" s="275"/>
      <c r="AM507" s="275"/>
      <c r="AN507" s="275"/>
      <c r="AO507" s="631"/>
      <c r="AP507" s="899">
        <f t="shared" ref="AP507:BT507" si="391">+AP506/AK506-1</f>
        <v>7.1652595902709226E-2</v>
      </c>
      <c r="AQ507" s="899">
        <f t="shared" si="391"/>
        <v>5.755943484314896E-2</v>
      </c>
      <c r="AR507" s="899">
        <f t="shared" si="391"/>
        <v>3.5391400702786013E-2</v>
      </c>
      <c r="AS507" s="899">
        <f t="shared" si="391"/>
        <v>-3.2916207728566405E-2</v>
      </c>
      <c r="AT507" s="1003">
        <f t="shared" si="391"/>
        <v>2.7283790194397861E-2</v>
      </c>
      <c r="AU507" s="899">
        <f t="shared" si="391"/>
        <v>-0.12543316751195455</v>
      </c>
      <c r="AV507" s="899">
        <f t="shared" si="391"/>
        <v>-0.1780451198287285</v>
      </c>
      <c r="AW507" s="899">
        <f t="shared" si="391"/>
        <v>-0.14732469673005688</v>
      </c>
      <c r="AX507" s="899">
        <f t="shared" si="391"/>
        <v>-0.1222354272056122</v>
      </c>
      <c r="AY507" s="1003">
        <f t="shared" si="391"/>
        <v>-0.14280634038938378</v>
      </c>
      <c r="AZ507" s="899">
        <f t="shared" si="391"/>
        <v>2.7104473925760875E-2</v>
      </c>
      <c r="BA507" s="899">
        <f t="shared" si="391"/>
        <v>0.12244123747669255</v>
      </c>
      <c r="BB507" s="899">
        <f t="shared" si="391"/>
        <v>0.10897598030535516</v>
      </c>
      <c r="BC507" s="899">
        <f t="shared" si="391"/>
        <v>0.11040163989664098</v>
      </c>
      <c r="BD507" s="1003">
        <f t="shared" si="391"/>
        <v>9.4106609812052433E-2</v>
      </c>
      <c r="BE507" s="899">
        <f t="shared" si="391"/>
        <v>0.10801155452511746</v>
      </c>
      <c r="BF507" s="899">
        <f t="shared" si="391"/>
        <v>9.9983185009816955E-2</v>
      </c>
      <c r="BG507" s="899">
        <f t="shared" si="391"/>
        <v>0.10146387921562883</v>
      </c>
      <c r="BH507" s="899">
        <f t="shared" si="391"/>
        <v>9.1888446165828697E-2</v>
      </c>
      <c r="BI507" s="1003">
        <f t="shared" si="391"/>
        <v>9.9586236761747937E-2</v>
      </c>
      <c r="BJ507" s="899">
        <f t="shared" si="391"/>
        <v>9.4116932204505233E-2</v>
      </c>
      <c r="BK507" s="899">
        <f t="shared" si="391"/>
        <v>8.9472989090082944E-2</v>
      </c>
      <c r="BL507" s="899">
        <f t="shared" si="391"/>
        <v>8.2937380024054486E-2</v>
      </c>
      <c r="BM507" s="899">
        <f t="shared" si="391"/>
        <v>7.9249523023699364E-2</v>
      </c>
      <c r="BN507" s="1003">
        <f t="shared" si="391"/>
        <v>8.5820925176401719E-2</v>
      </c>
      <c r="BO507" s="899">
        <f t="shared" si="391"/>
        <v>0.16440318569943835</v>
      </c>
      <c r="BP507" s="899">
        <f t="shared" si="391"/>
        <v>0.15476427046124863</v>
      </c>
      <c r="BQ507" s="899">
        <f t="shared" si="391"/>
        <v>0.16131048614619115</v>
      </c>
      <c r="BR507" s="899">
        <f t="shared" si="391"/>
        <v>-0.15431603589855047</v>
      </c>
      <c r="BS507" s="1003">
        <f t="shared" si="391"/>
        <v>6.5871429981108731E-2</v>
      </c>
      <c r="BT507" s="899">
        <f t="shared" si="391"/>
        <v>6.3692558438953828E-2</v>
      </c>
      <c r="BU507" s="899">
        <f t="shared" ref="BU507:CD507" si="392">+BU506/BP506-1</f>
        <v>8.7938928388458626E-2</v>
      </c>
      <c r="BV507" s="899">
        <f t="shared" si="392"/>
        <v>0.11540160427648849</v>
      </c>
      <c r="BW507" s="899">
        <f>+BW506/BR506-1</f>
        <v>0.10536193690804163</v>
      </c>
      <c r="BX507" s="1003">
        <f>+BX506/BS506-1</f>
        <v>9.3518984564559204E-2</v>
      </c>
      <c r="BY507" s="899">
        <f>+BY506/BT506-1</f>
        <v>0.11979034633767327</v>
      </c>
      <c r="BZ507" s="899">
        <f t="shared" si="392"/>
        <v>0.12706961907821812</v>
      </c>
      <c r="CA507" s="899">
        <f t="shared" si="392"/>
        <v>0.13408275880886222</v>
      </c>
      <c r="CB507" s="899">
        <f t="shared" si="392"/>
        <v>0.1236209707691347</v>
      </c>
      <c r="CC507" s="1003">
        <f t="shared" si="392"/>
        <v>0.1264368687374462</v>
      </c>
      <c r="CD507" s="899">
        <f t="shared" si="392"/>
        <v>9.3365983238259176E-2</v>
      </c>
      <c r="CE507" s="899">
        <f t="shared" ref="CE507:CM507" si="393">+CE506/BZ506-1</f>
        <v>6.8712971952062496E-2</v>
      </c>
      <c r="CF507" s="899">
        <f t="shared" si="393"/>
        <v>4.5811214489756003E-2</v>
      </c>
      <c r="CG507" s="899">
        <f t="shared" si="393"/>
        <v>0.4685647709122629</v>
      </c>
      <c r="CH507" s="1003">
        <f t="shared" si="393"/>
        <v>0.16397215717212199</v>
      </c>
      <c r="CI507" s="899">
        <f t="shared" si="393"/>
        <v>0.42832455128573743</v>
      </c>
      <c r="CJ507" s="899">
        <f t="shared" si="393"/>
        <v>0.44815846642204038</v>
      </c>
      <c r="CK507" s="899">
        <f t="shared" si="393"/>
        <v>0.47158719054017717</v>
      </c>
      <c r="CL507" s="899">
        <f t="shared" si="393"/>
        <v>7.7593618293895883E-2</v>
      </c>
      <c r="CM507" s="1003">
        <f t="shared" si="393"/>
        <v>0.3375643191005846</v>
      </c>
      <c r="CN507" s="899">
        <f>+CN506/CI506-1</f>
        <v>7.2374438200908831E-2</v>
      </c>
      <c r="CO507" s="899">
        <f>+CO506/CJ506-1</f>
        <v>7.9636702910092838E-2</v>
      </c>
      <c r="CP507" s="899">
        <f>+CP506/CK506-1</f>
        <v>7.3291598729350982E-2</v>
      </c>
      <c r="CQ507" s="899">
        <f>+CQ506/CL506-1</f>
        <v>6.8199821902849456E-2</v>
      </c>
      <c r="CR507" s="1003">
        <f>+CR506/CM506-1</f>
        <v>7.3516552111401401E-2</v>
      </c>
      <c r="CS507" s="1268">
        <f>+CS506/CR506-1</f>
        <v>7.2578417712004129E-2</v>
      </c>
      <c r="CT507" s="1268">
        <f>+CT506/CS506-1</f>
        <v>6.6360522712418657E-3</v>
      </c>
      <c r="DA507" s="212"/>
      <c r="DB507" s="1226"/>
    </row>
    <row r="508" spans="1:106" s="207" customFormat="1" x14ac:dyDescent="0.2">
      <c r="A508" s="1437"/>
      <c r="B508" s="777"/>
      <c r="C508" s="777"/>
      <c r="D508" s="777"/>
      <c r="E508" s="777"/>
      <c r="F508" s="235"/>
      <c r="G508" s="777"/>
      <c r="H508" s="777"/>
      <c r="I508" s="777"/>
      <c r="J508" s="777"/>
      <c r="K508" s="235"/>
      <c r="L508" s="777"/>
      <c r="M508" s="777"/>
      <c r="N508" s="777"/>
      <c r="O508" s="777"/>
      <c r="P508" s="631"/>
      <c r="Q508" s="777"/>
      <c r="R508" s="777"/>
      <c r="S508" s="777"/>
      <c r="T508" s="777"/>
      <c r="U508" s="631"/>
      <c r="V508" s="777"/>
      <c r="W508" s="777"/>
      <c r="X508" s="777"/>
      <c r="Y508" s="777"/>
      <c r="Z508" s="631"/>
      <c r="AA508" s="275"/>
      <c r="AB508" s="275"/>
      <c r="AC508" s="275"/>
      <c r="AD508" s="275"/>
      <c r="AE508" s="631"/>
      <c r="AF508" s="275"/>
      <c r="AG508" s="275"/>
      <c r="AH508" s="275"/>
      <c r="AI508" s="275"/>
      <c r="AJ508" s="631"/>
      <c r="AK508" s="275"/>
      <c r="AL508" s="275"/>
      <c r="AM508" s="275"/>
      <c r="AN508" s="275"/>
      <c r="AO508" s="631"/>
      <c r="AP508" s="275"/>
      <c r="AQ508" s="275"/>
      <c r="AR508" s="275"/>
      <c r="AS508" s="275"/>
      <c r="AT508" s="631"/>
      <c r="AU508" s="275"/>
      <c r="AV508" s="275"/>
      <c r="AW508" s="275"/>
      <c r="AX508" s="275"/>
      <c r="AY508" s="631"/>
      <c r="AZ508" s="275"/>
      <c r="BA508" s="275"/>
      <c r="BB508" s="275"/>
      <c r="BC508" s="275"/>
      <c r="BD508" s="631"/>
      <c r="BE508" s="275"/>
      <c r="BF508" s="275"/>
      <c r="BG508" s="275"/>
      <c r="BH508" s="275"/>
      <c r="BI508" s="631"/>
      <c r="BJ508" s="275"/>
      <c r="BK508" s="275"/>
      <c r="BL508" s="275"/>
      <c r="BM508" s="275"/>
      <c r="BN508" s="236"/>
      <c r="BO508" s="275"/>
      <c r="BP508" s="275"/>
      <c r="BQ508" s="275"/>
      <c r="BR508" s="275"/>
      <c r="BS508" s="236"/>
      <c r="BT508" s="275"/>
      <c r="BU508" s="275"/>
      <c r="BV508" s="275"/>
      <c r="BW508" s="275"/>
      <c r="BX508" s="236"/>
      <c r="BY508" s="275"/>
      <c r="BZ508" s="275"/>
      <c r="CA508" s="275"/>
      <c r="CB508" s="275"/>
      <c r="CC508" s="236"/>
      <c r="CD508" s="275"/>
      <c r="CE508" s="275"/>
      <c r="CF508" s="275"/>
      <c r="CG508" s="275"/>
      <c r="CH508" s="236"/>
      <c r="CI508" s="275"/>
      <c r="CJ508" s="275"/>
      <c r="CK508" s="275"/>
      <c r="CL508" s="275"/>
      <c r="CM508" s="236"/>
      <c r="CN508" s="3266"/>
      <c r="CO508" s="275"/>
      <c r="CP508" s="275"/>
      <c r="CQ508" s="275"/>
      <c r="CR508" s="236"/>
      <c r="CS508" s="236"/>
      <c r="CT508" s="236"/>
      <c r="DA508" s="212"/>
      <c r="DB508" s="1226"/>
    </row>
    <row r="509" spans="1:106" s="207" customFormat="1" x14ac:dyDescent="0.2">
      <c r="A509" s="1437" t="s">
        <v>549</v>
      </c>
      <c r="B509" s="777"/>
      <c r="C509" s="777"/>
      <c r="D509" s="777"/>
      <c r="E509" s="777"/>
      <c r="F509" s="235"/>
      <c r="G509" s="777"/>
      <c r="H509" s="777"/>
      <c r="I509" s="777"/>
      <c r="J509" s="777"/>
      <c r="K509" s="235"/>
      <c r="L509" s="777"/>
      <c r="M509" s="777"/>
      <c r="N509" s="777"/>
      <c r="O509" s="777"/>
      <c r="P509" s="631"/>
      <c r="Q509" s="777"/>
      <c r="R509" s="777"/>
      <c r="S509" s="777"/>
      <c r="T509" s="777"/>
      <c r="U509" s="631"/>
      <c r="V509" s="777"/>
      <c r="W509" s="777"/>
      <c r="X509" s="777"/>
      <c r="Y509" s="777"/>
      <c r="Z509" s="631"/>
      <c r="AA509" s="275"/>
      <c r="AB509" s="275"/>
      <c r="AC509" s="275"/>
      <c r="AD509" s="275"/>
      <c r="AE509" s="631"/>
      <c r="AF509" s="275"/>
      <c r="AG509" s="275"/>
      <c r="AH509" s="275"/>
      <c r="AI509" s="275"/>
      <c r="AJ509" s="631"/>
      <c r="AK509" s="275"/>
      <c r="AL509" s="275"/>
      <c r="AM509" s="275"/>
      <c r="AN509" s="275"/>
      <c r="AO509" s="631"/>
      <c r="AP509" s="275"/>
      <c r="AQ509" s="275"/>
      <c r="AR509" s="275"/>
      <c r="AS509" s="275"/>
      <c r="AT509" s="631"/>
      <c r="AU509" s="275"/>
      <c r="AV509" s="275"/>
      <c r="AW509" s="275"/>
      <c r="AX509" s="275"/>
      <c r="AY509" s="631"/>
      <c r="AZ509" s="275"/>
      <c r="BA509" s="275"/>
      <c r="BB509" s="275"/>
      <c r="BC509" s="275"/>
      <c r="BD509" s="631"/>
      <c r="BE509" s="275"/>
      <c r="BF509" s="275"/>
      <c r="BG509" s="275"/>
      <c r="BH509" s="275"/>
      <c r="BI509" s="631"/>
      <c r="BJ509" s="275"/>
      <c r="BK509" s="275"/>
      <c r="BL509" s="275"/>
      <c r="BM509" s="275"/>
      <c r="BN509" s="236"/>
      <c r="BO509" s="275"/>
      <c r="BP509" s="275"/>
      <c r="BQ509" s="275"/>
      <c r="BR509" s="275"/>
      <c r="BS509" s="236"/>
      <c r="BT509" s="275"/>
      <c r="BU509" s="275"/>
      <c r="BV509" s="275"/>
      <c r="BW509" s="275"/>
      <c r="BX509" s="236"/>
      <c r="BY509" s="275"/>
      <c r="BZ509" s="275"/>
      <c r="CA509" s="275"/>
      <c r="CB509" s="275"/>
      <c r="CC509" s="236"/>
      <c r="CD509" s="275"/>
      <c r="CE509" s="275"/>
      <c r="CF509" s="275"/>
      <c r="CG509" s="275"/>
      <c r="CH509" s="236"/>
      <c r="CI509" s="275"/>
      <c r="CJ509" s="275"/>
      <c r="CK509" s="275"/>
      <c r="CL509" s="275"/>
      <c r="CM509" s="236"/>
      <c r="CN509" s="3266"/>
      <c r="CO509" s="275"/>
      <c r="CP509" s="275"/>
      <c r="CQ509" s="275"/>
      <c r="CR509" s="236"/>
      <c r="CS509" s="236"/>
      <c r="CT509" s="236"/>
      <c r="DA509" s="212"/>
      <c r="DB509" s="1226"/>
    </row>
    <row r="510" spans="1:106" s="207" customFormat="1" x14ac:dyDescent="0.2">
      <c r="A510" s="1434" t="s">
        <v>346</v>
      </c>
      <c r="B510" s="777"/>
      <c r="C510" s="777"/>
      <c r="D510" s="777"/>
      <c r="E510" s="777"/>
      <c r="F510" s="235"/>
      <c r="G510" s="777"/>
      <c r="H510" s="777"/>
      <c r="I510" s="777"/>
      <c r="J510" s="777"/>
      <c r="K510" s="235"/>
      <c r="L510" s="777"/>
      <c r="M510" s="777"/>
      <c r="N510" s="777"/>
      <c r="O510" s="777"/>
      <c r="P510" s="631"/>
      <c r="Q510" s="777"/>
      <c r="R510" s="777"/>
      <c r="S510" s="777"/>
      <c r="T510" s="777"/>
      <c r="U510" s="631"/>
      <c r="V510" s="777"/>
      <c r="W510" s="777"/>
      <c r="X510" s="777"/>
      <c r="Y510" s="777"/>
      <c r="Z510" s="631"/>
      <c r="AA510" s="275"/>
      <c r="AB510" s="275"/>
      <c r="AC510" s="275"/>
      <c r="AD510" s="275"/>
      <c r="AE510" s="631"/>
      <c r="AF510" s="275"/>
      <c r="AG510" s="275"/>
      <c r="AH510" s="275"/>
      <c r="AI510" s="275"/>
      <c r="AJ510" s="631"/>
      <c r="AK510" s="884">
        <f t="shared" ref="AK510:BP510" si="394">+AK486/AK$506</f>
        <v>0.39155774971718421</v>
      </c>
      <c r="AL510" s="884">
        <f t="shared" si="394"/>
        <v>0.38379535499445633</v>
      </c>
      <c r="AM510" s="884">
        <f t="shared" si="394"/>
        <v>0.37250146817012342</v>
      </c>
      <c r="AN510" s="884">
        <f t="shared" si="394"/>
        <v>0.38049946512840671</v>
      </c>
      <c r="AO510" s="1512">
        <f t="shared" si="394"/>
        <v>0.38176419922103</v>
      </c>
      <c r="AP510" s="884">
        <f t="shared" si="394"/>
        <v>0.37792647611611446</v>
      </c>
      <c r="AQ510" s="884">
        <f t="shared" si="394"/>
        <v>0.37320610138905758</v>
      </c>
      <c r="AR510" s="884">
        <f t="shared" si="394"/>
        <v>0.36325120083695056</v>
      </c>
      <c r="AS510" s="884">
        <f t="shared" si="394"/>
        <v>0.37311592369112134</v>
      </c>
      <c r="AT510" s="1512">
        <f t="shared" si="394"/>
        <v>0.37186420325297653</v>
      </c>
      <c r="AU510" s="884">
        <f t="shared" si="394"/>
        <v>0.36612195212883997</v>
      </c>
      <c r="AV510" s="884">
        <f t="shared" si="394"/>
        <v>0.36159013154864866</v>
      </c>
      <c r="AW510" s="884">
        <f t="shared" si="394"/>
        <v>0.34600345661213194</v>
      </c>
      <c r="AX510" s="884">
        <f t="shared" si="394"/>
        <v>0.36337218042959452</v>
      </c>
      <c r="AY510" s="1512">
        <f t="shared" si="394"/>
        <v>0.35946910516719155</v>
      </c>
      <c r="AZ510" s="884">
        <f t="shared" si="394"/>
        <v>0.35618583349544786</v>
      </c>
      <c r="BA510" s="884">
        <f t="shared" si="394"/>
        <v>0.34968611353205908</v>
      </c>
      <c r="BB510" s="884">
        <f t="shared" si="394"/>
        <v>0.3348806353098589</v>
      </c>
      <c r="BC510" s="884">
        <f t="shared" si="394"/>
        <v>0.3483341624854388</v>
      </c>
      <c r="BD510" s="1512">
        <f t="shared" si="394"/>
        <v>0.34711423744672965</v>
      </c>
      <c r="BE510" s="884">
        <f t="shared" si="394"/>
        <v>0.34920909215492024</v>
      </c>
      <c r="BF510" s="884">
        <f t="shared" si="394"/>
        <v>0.34690441504950065</v>
      </c>
      <c r="BG510" s="884">
        <f t="shared" si="394"/>
        <v>0.32842015070698805</v>
      </c>
      <c r="BH510" s="884">
        <f t="shared" si="394"/>
        <v>0.34177047142621531</v>
      </c>
      <c r="BI510" s="1512">
        <f t="shared" si="394"/>
        <v>0.34142191747377459</v>
      </c>
      <c r="BJ510" s="884">
        <f t="shared" si="394"/>
        <v>0.34487727729367756</v>
      </c>
      <c r="BK510" s="884">
        <f t="shared" si="394"/>
        <v>0.33706337520606722</v>
      </c>
      <c r="BL510" s="884">
        <f t="shared" si="394"/>
        <v>0.3221208089144238</v>
      </c>
      <c r="BM510" s="884">
        <f t="shared" si="394"/>
        <v>0.33804425568240842</v>
      </c>
      <c r="BN510" s="1512">
        <f t="shared" si="394"/>
        <v>0.3354703245084576</v>
      </c>
      <c r="BO510" s="884">
        <f t="shared" si="394"/>
        <v>0.34031338252179771</v>
      </c>
      <c r="BP510" s="884">
        <f t="shared" si="394"/>
        <v>0.33417522593147381</v>
      </c>
      <c r="BQ510" s="884">
        <f t="shared" ref="BQ510:CF510" si="395">+BQ486/BQ$506</f>
        <v>0.31985973164319798</v>
      </c>
      <c r="BR510" s="884">
        <f t="shared" si="395"/>
        <v>0.33084774777167186</v>
      </c>
      <c r="BS510" s="1512">
        <f t="shared" si="395"/>
        <v>0.33110274174564763</v>
      </c>
      <c r="BT510" s="884">
        <f t="shared" si="395"/>
        <v>0.33313495524573999</v>
      </c>
      <c r="BU510" s="884">
        <f t="shared" si="395"/>
        <v>0.3215761988979054</v>
      </c>
      <c r="BV510" s="884">
        <f t="shared" si="395"/>
        <v>0.3112247614378178</v>
      </c>
      <c r="BW510" s="884">
        <f t="shared" si="395"/>
        <v>0.31961419031799354</v>
      </c>
      <c r="BX510" s="1512">
        <f t="shared" si="395"/>
        <v>0.32100336842381483</v>
      </c>
      <c r="BY510" s="884">
        <f t="shared" si="395"/>
        <v>0.31709188323328219</v>
      </c>
      <c r="BZ510" s="884">
        <f t="shared" si="395"/>
        <v>0.31066143551326608</v>
      </c>
      <c r="CA510" s="884">
        <f t="shared" si="395"/>
        <v>0.29934131364859007</v>
      </c>
      <c r="CB510" s="884">
        <f t="shared" si="395"/>
        <v>0.30630800874836595</v>
      </c>
      <c r="CC510" s="1512">
        <f t="shared" si="395"/>
        <v>0.30805602860378706</v>
      </c>
      <c r="CD510" s="884">
        <f t="shared" si="395"/>
        <v>0.30457810343154484</v>
      </c>
      <c r="CE510" s="884">
        <f t="shared" si="395"/>
        <v>0.29851525682315072</v>
      </c>
      <c r="CF510" s="884">
        <f t="shared" si="395"/>
        <v>0.2844701644171409</v>
      </c>
      <c r="CG510" s="884"/>
      <c r="CH510" s="1512"/>
      <c r="CI510" s="884"/>
      <c r="CJ510" s="884"/>
      <c r="CK510" s="884"/>
      <c r="CL510" s="884"/>
      <c r="CM510" s="1512"/>
      <c r="CN510" s="3200"/>
      <c r="CO510" s="884"/>
      <c r="CP510" s="884"/>
      <c r="CQ510" s="884"/>
      <c r="CR510" s="1512"/>
      <c r="CS510" s="1512"/>
      <c r="CT510" s="1512"/>
      <c r="DA510" s="212"/>
      <c r="DB510" s="1226"/>
    </row>
    <row r="511" spans="1:106" s="207" customFormat="1" x14ac:dyDescent="0.2">
      <c r="A511" s="1434" t="s">
        <v>1385</v>
      </c>
      <c r="B511" s="777"/>
      <c r="C511" s="777"/>
      <c r="D511" s="777"/>
      <c r="E511" s="777"/>
      <c r="F511" s="235"/>
      <c r="G511" s="777"/>
      <c r="H511" s="777"/>
      <c r="I511" s="777"/>
      <c r="J511" s="777"/>
      <c r="K511" s="235"/>
      <c r="L511" s="777"/>
      <c r="M511" s="777"/>
      <c r="N511" s="777"/>
      <c r="O511" s="777"/>
      <c r="P511" s="631"/>
      <c r="Q511" s="777"/>
      <c r="R511" s="777"/>
      <c r="S511" s="777"/>
      <c r="T511" s="777"/>
      <c r="U511" s="631"/>
      <c r="V511" s="777"/>
      <c r="W511" s="777"/>
      <c r="X511" s="777"/>
      <c r="Y511" s="777"/>
      <c r="Z511" s="631"/>
      <c r="AA511" s="275"/>
      <c r="AB511" s="275"/>
      <c r="AC511" s="275"/>
      <c r="AD511" s="275"/>
      <c r="AE511" s="631"/>
      <c r="AF511" s="275"/>
      <c r="AG511" s="275"/>
      <c r="AH511" s="275"/>
      <c r="AI511" s="275"/>
      <c r="AJ511" s="631"/>
      <c r="AK511" s="884">
        <f t="shared" ref="AK511:BP511" si="396">+AK487/AK$506</f>
        <v>6.6601221293565133E-2</v>
      </c>
      <c r="AL511" s="884">
        <f t="shared" si="396"/>
        <v>6.9371638379810543E-2</v>
      </c>
      <c r="AM511" s="884">
        <f t="shared" si="396"/>
        <v>6.5232845871819004E-2</v>
      </c>
      <c r="AN511" s="884">
        <f t="shared" si="396"/>
        <v>7.0824845551031315E-2</v>
      </c>
      <c r="AO511" s="1512">
        <f t="shared" si="396"/>
        <v>6.8259361832209722E-2</v>
      </c>
      <c r="AP511" s="884">
        <f t="shared" si="396"/>
        <v>7.1486670850520656E-2</v>
      </c>
      <c r="AQ511" s="884">
        <f t="shared" si="396"/>
        <v>7.0701251477764168E-2</v>
      </c>
      <c r="AR511" s="884">
        <f t="shared" si="396"/>
        <v>6.5674727665687604E-2</v>
      </c>
      <c r="AS511" s="884">
        <f t="shared" si="396"/>
        <v>6.9093343411757255E-2</v>
      </c>
      <c r="AT511" s="1512">
        <f t="shared" si="396"/>
        <v>6.921347977037523E-2</v>
      </c>
      <c r="AU511" s="884">
        <f t="shared" si="396"/>
        <v>7.183302574098735E-2</v>
      </c>
      <c r="AV511" s="884">
        <f t="shared" si="396"/>
        <v>6.9797215284894895E-2</v>
      </c>
      <c r="AW511" s="884">
        <f t="shared" si="396"/>
        <v>6.4693844109804735E-2</v>
      </c>
      <c r="AX511" s="884">
        <f t="shared" si="396"/>
        <v>6.9234473648204189E-2</v>
      </c>
      <c r="AY511" s="1512">
        <f t="shared" si="396"/>
        <v>6.8884991377934121E-2</v>
      </c>
      <c r="AZ511" s="884">
        <f t="shared" si="396"/>
        <v>6.819983863050938E-2</v>
      </c>
      <c r="BA511" s="884">
        <f t="shared" si="396"/>
        <v>7.0150571788760302E-2</v>
      </c>
      <c r="BB511" s="884">
        <f t="shared" si="396"/>
        <v>6.438470685957326E-2</v>
      </c>
      <c r="BC511" s="884">
        <f t="shared" si="396"/>
        <v>6.8530314601817993E-2</v>
      </c>
      <c r="BD511" s="1512">
        <f t="shared" si="396"/>
        <v>6.7865761920396256E-2</v>
      </c>
      <c r="BE511" s="884">
        <f t="shared" si="396"/>
        <v>7.0055678546265848E-2</v>
      </c>
      <c r="BF511" s="884">
        <f t="shared" si="396"/>
        <v>6.8375510355081132E-2</v>
      </c>
      <c r="BG511" s="884">
        <f t="shared" si="396"/>
        <v>6.4130449329640099E-2</v>
      </c>
      <c r="BH511" s="884">
        <f t="shared" si="396"/>
        <v>6.991952164756797E-2</v>
      </c>
      <c r="BI511" s="1512">
        <f t="shared" si="396"/>
        <v>6.8182808092083338E-2</v>
      </c>
      <c r="BJ511" s="884">
        <f t="shared" si="396"/>
        <v>6.9532137691311974E-2</v>
      </c>
      <c r="BK511" s="884">
        <f t="shared" si="396"/>
        <v>6.8850522990985888E-2</v>
      </c>
      <c r="BL511" s="884">
        <f t="shared" si="396"/>
        <v>6.2207743542609051E-2</v>
      </c>
      <c r="BM511" s="884">
        <f t="shared" si="396"/>
        <v>6.6768400781607409E-2</v>
      </c>
      <c r="BN511" s="1512">
        <f t="shared" si="396"/>
        <v>6.6786602262655204E-2</v>
      </c>
      <c r="BO511" s="884">
        <f t="shared" si="396"/>
        <v>6.6920176016704455E-2</v>
      </c>
      <c r="BP511" s="884">
        <f t="shared" si="396"/>
        <v>6.4477734408094803E-2</v>
      </c>
      <c r="BQ511" s="884">
        <f t="shared" ref="BQ511:CF511" si="397">+BQ487/BQ$506</f>
        <v>5.769627175569314E-2</v>
      </c>
      <c r="BR511" s="884">
        <f t="shared" si="397"/>
        <v>6.0307857705328011E-2</v>
      </c>
      <c r="BS511" s="1512">
        <f t="shared" si="397"/>
        <v>6.2296606739256695E-2</v>
      </c>
      <c r="BT511" s="884">
        <f t="shared" si="397"/>
        <v>5.9848485639278248E-2</v>
      </c>
      <c r="BU511" s="884">
        <f t="shared" si="397"/>
        <v>6.0525868803585965E-2</v>
      </c>
      <c r="BV511" s="884">
        <f t="shared" si="397"/>
        <v>5.800530669159891E-2</v>
      </c>
      <c r="BW511" s="884">
        <f t="shared" si="397"/>
        <v>5.8682100352011018E-2</v>
      </c>
      <c r="BX511" s="1512">
        <f t="shared" si="397"/>
        <v>5.9258578419955847E-2</v>
      </c>
      <c r="BY511" s="884">
        <f t="shared" si="397"/>
        <v>5.9506863342985605E-2</v>
      </c>
      <c r="BZ511" s="884">
        <f t="shared" si="397"/>
        <v>5.685164848493774E-2</v>
      </c>
      <c r="CA511" s="884">
        <f t="shared" si="397"/>
        <v>4.8999245133572789E-2</v>
      </c>
      <c r="CB511" s="884">
        <f t="shared" si="397"/>
        <v>5.2879907695781388E-2</v>
      </c>
      <c r="CC511" s="1512">
        <f t="shared" si="397"/>
        <v>5.4405294721829971E-2</v>
      </c>
      <c r="CD511" s="884">
        <f t="shared" si="397"/>
        <v>5.5450993481347854E-2</v>
      </c>
      <c r="CE511" s="884">
        <f t="shared" si="397"/>
        <v>5.6185944715222633E-2</v>
      </c>
      <c r="CF511" s="884">
        <f t="shared" si="397"/>
        <v>5.2178978285330566E-2</v>
      </c>
      <c r="CG511" s="884"/>
      <c r="CH511" s="1512"/>
      <c r="CI511" s="884"/>
      <c r="CJ511" s="884"/>
      <c r="CK511" s="884"/>
      <c r="CL511" s="884"/>
      <c r="CM511" s="1512"/>
      <c r="CN511" s="3200"/>
      <c r="CO511" s="884"/>
      <c r="CP511" s="884"/>
      <c r="CQ511" s="884"/>
      <c r="CR511" s="1512"/>
      <c r="CS511" s="1512"/>
      <c r="CT511" s="1512"/>
      <c r="DA511" s="212"/>
      <c r="DB511" s="1226"/>
    </row>
    <row r="512" spans="1:106" s="207" customFormat="1" x14ac:dyDescent="0.2">
      <c r="A512" s="1434" t="s">
        <v>2065</v>
      </c>
      <c r="B512" s="777"/>
      <c r="C512" s="777"/>
      <c r="D512" s="777"/>
      <c r="E512" s="777"/>
      <c r="F512" s="235"/>
      <c r="G512" s="777"/>
      <c r="H512" s="777"/>
      <c r="I512" s="777"/>
      <c r="J512" s="777"/>
      <c r="K512" s="235"/>
      <c r="L512" s="777"/>
      <c r="M512" s="777"/>
      <c r="N512" s="777"/>
      <c r="O512" s="777"/>
      <c r="P512" s="631"/>
      <c r="Q512" s="777"/>
      <c r="R512" s="777"/>
      <c r="S512" s="777"/>
      <c r="T512" s="777"/>
      <c r="U512" s="631"/>
      <c r="V512" s="777"/>
      <c r="W512" s="777"/>
      <c r="X512" s="777"/>
      <c r="Y512" s="777"/>
      <c r="Z512" s="631"/>
      <c r="AA512" s="275"/>
      <c r="AB512" s="275"/>
      <c r="AC512" s="275"/>
      <c r="AD512" s="275"/>
      <c r="AE512" s="631"/>
      <c r="AF512" s="275"/>
      <c r="AG512" s="275"/>
      <c r="AH512" s="275"/>
      <c r="AI512" s="275"/>
      <c r="AJ512" s="631"/>
      <c r="AK512" s="884">
        <f t="shared" ref="AK512:BP512" si="398">+AK488/AK$506</f>
        <v>7.472827419885629E-2</v>
      </c>
      <c r="AL512" s="884">
        <f t="shared" si="398"/>
        <v>7.2850166297448227E-2</v>
      </c>
      <c r="AM512" s="884">
        <f t="shared" si="398"/>
        <v>5.9532115438718183E-2</v>
      </c>
      <c r="AN512" s="884">
        <f t="shared" si="398"/>
        <v>6.7842260217716541E-2</v>
      </c>
      <c r="AO512" s="1512">
        <f t="shared" si="398"/>
        <v>6.8561553754449611E-2</v>
      </c>
      <c r="AP512" s="884">
        <f t="shared" si="398"/>
        <v>7.1478869029357461E-2</v>
      </c>
      <c r="AQ512" s="884">
        <f t="shared" si="398"/>
        <v>7.1590540009737622E-2</v>
      </c>
      <c r="AR512" s="884">
        <f t="shared" si="398"/>
        <v>5.755072183497055E-2</v>
      </c>
      <c r="AS512" s="884">
        <f t="shared" si="398"/>
        <v>6.1167345685780181E-2</v>
      </c>
      <c r="AT512" s="1512">
        <f t="shared" si="398"/>
        <v>6.5192556789736511E-2</v>
      </c>
      <c r="AU512" s="884">
        <f t="shared" si="398"/>
        <v>6.4990304434107929E-2</v>
      </c>
      <c r="AV512" s="884">
        <f t="shared" si="398"/>
        <v>5.8775241325791761E-2</v>
      </c>
      <c r="AW512" s="884">
        <f t="shared" si="398"/>
        <v>4.9833505561125306E-2</v>
      </c>
      <c r="AX512" s="884">
        <f t="shared" si="398"/>
        <v>6.0087285056634639E-2</v>
      </c>
      <c r="AY512" s="1512">
        <f t="shared" si="398"/>
        <v>5.8462562296652677E-2</v>
      </c>
      <c r="AZ512" s="884">
        <f t="shared" si="398"/>
        <v>6.7693459852050789E-2</v>
      </c>
      <c r="BA512" s="884">
        <f t="shared" si="398"/>
        <v>6.8270459678764744E-2</v>
      </c>
      <c r="BB512" s="884">
        <f t="shared" si="398"/>
        <v>5.6275688271175815E-2</v>
      </c>
      <c r="BC512" s="884">
        <f t="shared" si="398"/>
        <v>7.5030152106669717E-2</v>
      </c>
      <c r="BD512" s="1512">
        <f t="shared" si="398"/>
        <v>6.7329203649283187E-2</v>
      </c>
      <c r="BE512" s="884">
        <f t="shared" si="398"/>
        <v>8.405453246982382E-2</v>
      </c>
      <c r="BF512" s="884">
        <f t="shared" si="398"/>
        <v>8.0063746266386737E-2</v>
      </c>
      <c r="BG512" s="884">
        <f t="shared" si="398"/>
        <v>6.9105297070474386E-2</v>
      </c>
      <c r="BH512" s="884">
        <f t="shared" si="398"/>
        <v>8.1733396540501532E-2</v>
      </c>
      <c r="BI512" s="1512">
        <f t="shared" si="398"/>
        <v>7.8794525457010156E-2</v>
      </c>
      <c r="BJ512" s="884">
        <f t="shared" si="398"/>
        <v>9.1635023676043093E-2</v>
      </c>
      <c r="BK512" s="884">
        <f t="shared" si="398"/>
        <v>8.9974460493531638E-2</v>
      </c>
      <c r="BL512" s="884">
        <f t="shared" si="398"/>
        <v>7.6660054898154112E-2</v>
      </c>
      <c r="BM512" s="884">
        <f t="shared" si="398"/>
        <v>8.5254882393621723E-2</v>
      </c>
      <c r="BN512" s="1512">
        <f t="shared" si="398"/>
        <v>8.5737553213526219E-2</v>
      </c>
      <c r="BO512" s="884">
        <f t="shared" si="398"/>
        <v>9.6314917591588903E-2</v>
      </c>
      <c r="BP512" s="884">
        <f t="shared" si="398"/>
        <v>8.4465033525086677E-2</v>
      </c>
      <c r="BQ512" s="884">
        <f t="shared" ref="BQ512:CF512" si="399">+BQ488/BQ$506</f>
        <v>8.008007576802581E-2</v>
      </c>
      <c r="BR512" s="884">
        <f t="shared" si="399"/>
        <v>9.6551522586775976E-2</v>
      </c>
      <c r="BS512" s="1512">
        <f t="shared" si="399"/>
        <v>8.8984584286315366E-2</v>
      </c>
      <c r="BT512" s="884">
        <f t="shared" si="399"/>
        <v>0.10024375716736036</v>
      </c>
      <c r="BU512" s="884">
        <f t="shared" si="399"/>
        <v>9.0754894415576409E-2</v>
      </c>
      <c r="BV512" s="884">
        <f t="shared" si="399"/>
        <v>8.3576147081414448E-2</v>
      </c>
      <c r="BW512" s="884">
        <f t="shared" si="399"/>
        <v>0.10046685375149808</v>
      </c>
      <c r="BX512" s="1512">
        <f t="shared" si="399"/>
        <v>9.3353658078576124E-2</v>
      </c>
      <c r="BY512" s="884">
        <f t="shared" si="399"/>
        <v>0.1070851194920143</v>
      </c>
      <c r="BZ512" s="884">
        <f t="shared" si="399"/>
        <v>9.4374298308235266E-2</v>
      </c>
      <c r="CA512" s="884">
        <f t="shared" si="399"/>
        <v>8.8136886208339302E-2</v>
      </c>
      <c r="CB512" s="884">
        <f t="shared" si="399"/>
        <v>0.10314087193060342</v>
      </c>
      <c r="CC512" s="1512">
        <f t="shared" si="399"/>
        <v>9.7700356686874365E-2</v>
      </c>
      <c r="CD512" s="884">
        <f t="shared" si="399"/>
        <v>0.11004559429454393</v>
      </c>
      <c r="CE512" s="884">
        <f t="shared" si="399"/>
        <v>9.0031695816398319E-2</v>
      </c>
      <c r="CF512" s="884">
        <f t="shared" si="399"/>
        <v>8.4546208090741509E-2</v>
      </c>
      <c r="CG512" s="884"/>
      <c r="CH512" s="1512"/>
      <c r="CI512" s="884"/>
      <c r="CJ512" s="884"/>
      <c r="CK512" s="884"/>
      <c r="CL512" s="884"/>
      <c r="CM512" s="1512"/>
      <c r="CN512" s="3200"/>
      <c r="CO512" s="884"/>
      <c r="CP512" s="884"/>
      <c r="CQ512" s="884"/>
      <c r="CR512" s="1512"/>
      <c r="CS512" s="1512"/>
      <c r="CT512" s="1512"/>
      <c r="DA512" s="212"/>
      <c r="DB512" s="1226"/>
    </row>
    <row r="513" spans="1:106" s="207" customFormat="1" x14ac:dyDescent="0.2">
      <c r="A513" s="1434" t="s">
        <v>452</v>
      </c>
      <c r="B513" s="777"/>
      <c r="C513" s="777"/>
      <c r="D513" s="777"/>
      <c r="E513" s="777"/>
      <c r="F513" s="235"/>
      <c r="G513" s="777"/>
      <c r="H513" s="777"/>
      <c r="I513" s="777"/>
      <c r="J513" s="777"/>
      <c r="K513" s="235"/>
      <c r="L513" s="777"/>
      <c r="M513" s="777"/>
      <c r="N513" s="777"/>
      <c r="O513" s="777"/>
      <c r="P513" s="631"/>
      <c r="Q513" s="777"/>
      <c r="R513" s="777"/>
      <c r="S513" s="777"/>
      <c r="T513" s="777"/>
      <c r="U513" s="631"/>
      <c r="V513" s="777"/>
      <c r="W513" s="777"/>
      <c r="X513" s="777"/>
      <c r="Y513" s="777"/>
      <c r="Z513" s="631"/>
      <c r="AA513" s="275"/>
      <c r="AB513" s="275"/>
      <c r="AC513" s="275"/>
      <c r="AD513" s="275"/>
      <c r="AE513" s="631"/>
      <c r="AF513" s="275"/>
      <c r="AG513" s="275"/>
      <c r="AH513" s="275"/>
      <c r="AI513" s="275"/>
      <c r="AJ513" s="631"/>
      <c r="AK513" s="884">
        <f t="shared" ref="AK513:BP513" si="400">+AK489/AK$506</f>
        <v>0.14509665273563133</v>
      </c>
      <c r="AL513" s="884">
        <f t="shared" si="400"/>
        <v>0.14152362746481875</v>
      </c>
      <c r="AM513" s="884">
        <f t="shared" si="400"/>
        <v>0.15314498518360783</v>
      </c>
      <c r="AN513" s="884">
        <f t="shared" si="400"/>
        <v>0.1459047001487894</v>
      </c>
      <c r="AO513" s="1512">
        <f t="shared" si="400"/>
        <v>0.14637665823506466</v>
      </c>
      <c r="AP513" s="884">
        <f t="shared" si="400"/>
        <v>0.14691093399421937</v>
      </c>
      <c r="AQ513" s="884">
        <f t="shared" si="400"/>
        <v>0.14438268348105429</v>
      </c>
      <c r="AR513" s="884">
        <f t="shared" si="400"/>
        <v>0.15761650502234786</v>
      </c>
      <c r="AS513" s="884">
        <f t="shared" si="400"/>
        <v>0.15268323546478152</v>
      </c>
      <c r="AT513" s="1512">
        <f t="shared" si="400"/>
        <v>0.15050549569183874</v>
      </c>
      <c r="AU513" s="884">
        <f t="shared" si="400"/>
        <v>0.1533628610426184</v>
      </c>
      <c r="AV513" s="884">
        <f t="shared" si="400"/>
        <v>0.15363708695104078</v>
      </c>
      <c r="AW513" s="884">
        <f t="shared" si="400"/>
        <v>0.16624424815233885</v>
      </c>
      <c r="AX513" s="884">
        <f t="shared" si="400"/>
        <v>0.15671630608585421</v>
      </c>
      <c r="AY513" s="1512">
        <f t="shared" si="400"/>
        <v>0.15747066894274728</v>
      </c>
      <c r="AZ513" s="884">
        <f t="shared" si="400"/>
        <v>0.15596047930386722</v>
      </c>
      <c r="BA513" s="884">
        <f t="shared" si="400"/>
        <v>0.15330311652536271</v>
      </c>
      <c r="BB513" s="884">
        <f t="shared" si="400"/>
        <v>0.16288023803096296</v>
      </c>
      <c r="BC513" s="884">
        <f t="shared" si="400"/>
        <v>0.15289816782781793</v>
      </c>
      <c r="BD513" s="1512">
        <f t="shared" si="400"/>
        <v>0.15603529004036959</v>
      </c>
      <c r="BE513" s="884">
        <f t="shared" si="400"/>
        <v>0.14887077753914463</v>
      </c>
      <c r="BF513" s="884">
        <f t="shared" si="400"/>
        <v>0.14725814572897633</v>
      </c>
      <c r="BG513" s="884">
        <f t="shared" si="400"/>
        <v>0.15704995051564147</v>
      </c>
      <c r="BH513" s="884">
        <f t="shared" si="400"/>
        <v>0.14789939958681786</v>
      </c>
      <c r="BI513" s="1512">
        <f t="shared" si="400"/>
        <v>0.15014250575492938</v>
      </c>
      <c r="BJ513" s="884">
        <f t="shared" si="400"/>
        <v>0.14234181472927557</v>
      </c>
      <c r="BK513" s="884">
        <f t="shared" si="400"/>
        <v>0.1415296078494791</v>
      </c>
      <c r="BL513" s="884">
        <f t="shared" si="400"/>
        <v>0.15384952368649218</v>
      </c>
      <c r="BM513" s="884">
        <f t="shared" si="400"/>
        <v>0.14578659380005529</v>
      </c>
      <c r="BN513" s="1512">
        <f t="shared" si="400"/>
        <v>0.14592334598748946</v>
      </c>
      <c r="BO513" s="884">
        <f t="shared" si="400"/>
        <v>0.14175586959182199</v>
      </c>
      <c r="BP513" s="884">
        <f t="shared" si="400"/>
        <v>0.1437568689253442</v>
      </c>
      <c r="BQ513" s="884">
        <f t="shared" ref="BQ513:CF513" si="401">+BQ489/BQ$506</f>
        <v>0.15389423530681512</v>
      </c>
      <c r="BR513" s="884">
        <f t="shared" si="401"/>
        <v>0.14632104847380226</v>
      </c>
      <c r="BS513" s="1512">
        <f t="shared" si="401"/>
        <v>0.14653432058661295</v>
      </c>
      <c r="BT513" s="884">
        <f t="shared" si="401"/>
        <v>0.14447017139528656</v>
      </c>
      <c r="BU513" s="884">
        <f t="shared" si="401"/>
        <v>0.14668465953397727</v>
      </c>
      <c r="BV513" s="884">
        <f t="shared" si="401"/>
        <v>0.1536560540637357</v>
      </c>
      <c r="BW513" s="884">
        <f t="shared" si="401"/>
        <v>0.14792479094893632</v>
      </c>
      <c r="BX513" s="1512">
        <f t="shared" si="401"/>
        <v>0.14832672102992606</v>
      </c>
      <c r="BY513" s="884">
        <f t="shared" si="401"/>
        <v>0.14774085127246808</v>
      </c>
      <c r="BZ513" s="884">
        <f t="shared" si="401"/>
        <v>0.15177405879764261</v>
      </c>
      <c r="CA513" s="884">
        <f t="shared" si="401"/>
        <v>0.15708581680351355</v>
      </c>
      <c r="CB513" s="884">
        <f t="shared" si="401"/>
        <v>0.15013565514909677</v>
      </c>
      <c r="CC513" s="1512">
        <f t="shared" si="401"/>
        <v>0.15188361189573754</v>
      </c>
      <c r="CD513" s="884">
        <f t="shared" si="401"/>
        <v>0.14653312947923655</v>
      </c>
      <c r="CE513" s="884">
        <f t="shared" si="401"/>
        <v>0.15059687468859423</v>
      </c>
      <c r="CF513" s="884">
        <f t="shared" si="401"/>
        <v>0.16064586378036905</v>
      </c>
      <c r="CG513" s="884"/>
      <c r="CH513" s="1512"/>
      <c r="CI513" s="884"/>
      <c r="CJ513" s="884"/>
      <c r="CK513" s="884"/>
      <c r="CL513" s="884"/>
      <c r="CM513" s="1512"/>
      <c r="CN513" s="3200"/>
      <c r="CO513" s="884"/>
      <c r="CP513" s="884"/>
      <c r="CQ513" s="884"/>
      <c r="CR513" s="1512"/>
      <c r="CS513" s="1512"/>
      <c r="CT513" s="1512"/>
      <c r="DA513" s="212"/>
      <c r="DB513" s="1226"/>
    </row>
    <row r="514" spans="1:106" s="207" customFormat="1" x14ac:dyDescent="0.2">
      <c r="A514" s="1434" t="s">
        <v>1386</v>
      </c>
      <c r="B514" s="777"/>
      <c r="C514" s="777"/>
      <c r="D514" s="777"/>
      <c r="E514" s="777"/>
      <c r="F514" s="235"/>
      <c r="G514" s="777"/>
      <c r="H514" s="777"/>
      <c r="I514" s="777"/>
      <c r="J514" s="777"/>
      <c r="K514" s="235"/>
      <c r="L514" s="777"/>
      <c r="M514" s="777"/>
      <c r="N514" s="777"/>
      <c r="O514" s="777"/>
      <c r="P514" s="631"/>
      <c r="Q514" s="777"/>
      <c r="R514" s="777"/>
      <c r="S514" s="777"/>
      <c r="T514" s="777"/>
      <c r="U514" s="631"/>
      <c r="V514" s="777"/>
      <c r="W514" s="777"/>
      <c r="X514" s="777"/>
      <c r="Y514" s="777"/>
      <c r="Z514" s="631"/>
      <c r="AA514" s="275"/>
      <c r="AB514" s="275"/>
      <c r="AC514" s="275"/>
      <c r="AD514" s="275"/>
      <c r="AE514" s="631"/>
      <c r="AF514" s="275"/>
      <c r="AG514" s="275"/>
      <c r="AH514" s="275"/>
      <c r="AI514" s="275"/>
      <c r="AJ514" s="631"/>
      <c r="AK514" s="884">
        <f t="shared" ref="AK514:BP514" si="402">+AK490/AK$506</f>
        <v>0.19941732651455671</v>
      </c>
      <c r="AL514" s="884">
        <f t="shared" si="402"/>
        <v>0.20345297722408623</v>
      </c>
      <c r="AM514" s="884">
        <f t="shared" si="402"/>
        <v>0.20904053786006543</v>
      </c>
      <c r="AN514" s="884">
        <f t="shared" si="402"/>
        <v>0.20538108520152396</v>
      </c>
      <c r="AO514" s="1512">
        <f t="shared" si="402"/>
        <v>0.2045086254632407</v>
      </c>
      <c r="AP514" s="884">
        <f t="shared" si="402"/>
        <v>0.20074412506829648</v>
      </c>
      <c r="AQ514" s="884">
        <f t="shared" si="402"/>
        <v>0.20525911215875448</v>
      </c>
      <c r="AR514" s="884">
        <f t="shared" si="402"/>
        <v>0.20871783447889924</v>
      </c>
      <c r="AS514" s="884">
        <f t="shared" si="402"/>
        <v>0.20458089277033056</v>
      </c>
      <c r="AT514" s="1512">
        <f t="shared" si="402"/>
        <v>0.20488104333913168</v>
      </c>
      <c r="AU514" s="884">
        <f t="shared" si="402"/>
        <v>0.20047100274143556</v>
      </c>
      <c r="AV514" s="884">
        <f t="shared" si="402"/>
        <v>0.20504436997837239</v>
      </c>
      <c r="AW514" s="884">
        <f t="shared" si="402"/>
        <v>0.20878115744472311</v>
      </c>
      <c r="AX514" s="884">
        <f t="shared" si="402"/>
        <v>0.20033238773650169</v>
      </c>
      <c r="AY514" s="1512">
        <f t="shared" si="402"/>
        <v>0.20348374313731388</v>
      </c>
      <c r="AZ514" s="884">
        <f t="shared" si="402"/>
        <v>0.19996569915956047</v>
      </c>
      <c r="BA514" s="884">
        <f t="shared" si="402"/>
        <v>0.20049918907850289</v>
      </c>
      <c r="BB514" s="884">
        <f t="shared" si="402"/>
        <v>0.20659768010784815</v>
      </c>
      <c r="BC514" s="884">
        <f t="shared" si="402"/>
        <v>0.19924058677472131</v>
      </c>
      <c r="BD514" s="1512">
        <f t="shared" si="402"/>
        <v>0.2014629547016501</v>
      </c>
      <c r="BE514" s="884">
        <f t="shared" si="402"/>
        <v>0.19412285616915528</v>
      </c>
      <c r="BF514" s="884">
        <f t="shared" si="402"/>
        <v>0.19791274582633006</v>
      </c>
      <c r="BG514" s="884">
        <f t="shared" si="402"/>
        <v>0.20506307839165785</v>
      </c>
      <c r="BH514" s="884">
        <f t="shared" si="402"/>
        <v>0.197074215351941</v>
      </c>
      <c r="BI514" s="1512">
        <f t="shared" si="402"/>
        <v>0.1985628041679357</v>
      </c>
      <c r="BJ514" s="884">
        <f t="shared" si="402"/>
        <v>0.19239011753904184</v>
      </c>
      <c r="BK514" s="884">
        <f t="shared" si="402"/>
        <v>0.19735646028975104</v>
      </c>
      <c r="BL514" s="884">
        <f t="shared" si="402"/>
        <v>0.20522298759710872</v>
      </c>
      <c r="BM514" s="884">
        <f t="shared" si="402"/>
        <v>0.19855714309203312</v>
      </c>
      <c r="BN514" s="1512">
        <f t="shared" si="402"/>
        <v>0.19852539802065489</v>
      </c>
      <c r="BO514" s="884">
        <f t="shared" si="402"/>
        <v>0.19299373554126106</v>
      </c>
      <c r="BP514" s="884">
        <f t="shared" si="402"/>
        <v>0.20161504056519433</v>
      </c>
      <c r="BQ514" s="884">
        <f t="shared" ref="BQ514:CF514" si="403">+BQ490/BQ$506</f>
        <v>0.20737922636938388</v>
      </c>
      <c r="BR514" s="884">
        <f t="shared" si="403"/>
        <v>0.19857910829593181</v>
      </c>
      <c r="BS514" s="1512">
        <f t="shared" si="403"/>
        <v>0.20036470381690002</v>
      </c>
      <c r="BT514" s="884">
        <f t="shared" si="403"/>
        <v>0.19676555321172359</v>
      </c>
      <c r="BU514" s="884">
        <f t="shared" si="403"/>
        <v>0.20485142186275854</v>
      </c>
      <c r="BV514" s="884">
        <f t="shared" si="403"/>
        <v>0.21128641907508239</v>
      </c>
      <c r="BW514" s="884">
        <f t="shared" si="403"/>
        <v>0.20271659799105601</v>
      </c>
      <c r="BX514" s="1512">
        <f t="shared" si="403"/>
        <v>0.20419584426167062</v>
      </c>
      <c r="BY514" s="884">
        <f t="shared" si="403"/>
        <v>0.200297019384585</v>
      </c>
      <c r="BZ514" s="884">
        <f t="shared" si="403"/>
        <v>0.20886349267704851</v>
      </c>
      <c r="CA514" s="884">
        <f t="shared" si="403"/>
        <v>0.20976987930848329</v>
      </c>
      <c r="CB514" s="884">
        <f t="shared" si="403"/>
        <v>0.20105704712431535</v>
      </c>
      <c r="CC514" s="1512">
        <f t="shared" si="403"/>
        <v>0.20528557967618247</v>
      </c>
      <c r="CD514" s="884">
        <f t="shared" si="403"/>
        <v>0.19936656624988017</v>
      </c>
      <c r="CE514" s="884">
        <f t="shared" si="403"/>
        <v>0.20844161421448162</v>
      </c>
      <c r="CF514" s="884">
        <f t="shared" si="403"/>
        <v>0.21064549856796053</v>
      </c>
      <c r="CG514" s="884"/>
      <c r="CH514" s="1512"/>
      <c r="CI514" s="884"/>
      <c r="CJ514" s="884"/>
      <c r="CK514" s="884"/>
      <c r="CL514" s="884"/>
      <c r="CM514" s="1512"/>
      <c r="CN514" s="3200"/>
      <c r="CO514" s="884"/>
      <c r="CP514" s="884"/>
      <c r="CQ514" s="884"/>
      <c r="CR514" s="1512"/>
      <c r="CS514" s="1512"/>
      <c r="CT514" s="1512"/>
      <c r="DA514" s="212"/>
      <c r="DB514" s="1226"/>
    </row>
    <row r="515" spans="1:106" s="207" customFormat="1" x14ac:dyDescent="0.2">
      <c r="A515" s="1434" t="s">
        <v>1389</v>
      </c>
      <c r="B515" s="777"/>
      <c r="C515" s="777"/>
      <c r="D515" s="777"/>
      <c r="E515" s="777"/>
      <c r="F515" s="235"/>
      <c r="G515" s="777"/>
      <c r="H515" s="777"/>
      <c r="I515" s="777"/>
      <c r="J515" s="777"/>
      <c r="K515" s="235"/>
      <c r="L515" s="777"/>
      <c r="M515" s="777"/>
      <c r="N515" s="777"/>
      <c r="O515" s="777"/>
      <c r="P515" s="631"/>
      <c r="Q515" s="777"/>
      <c r="R515" s="777"/>
      <c r="S515" s="777"/>
      <c r="T515" s="777"/>
      <c r="U515" s="631"/>
      <c r="V515" s="777"/>
      <c r="W515" s="777"/>
      <c r="X515" s="777"/>
      <c r="Y515" s="777"/>
      <c r="Z515" s="631"/>
      <c r="AA515" s="275"/>
      <c r="AB515" s="275"/>
      <c r="AC515" s="275"/>
      <c r="AD515" s="275"/>
      <c r="AE515" s="631"/>
      <c r="AF515" s="275"/>
      <c r="AG515" s="275"/>
      <c r="AH515" s="275"/>
      <c r="AI515" s="275"/>
      <c r="AJ515" s="631"/>
      <c r="AK515" s="884">
        <f t="shared" ref="AK515:BP515" si="404">+AK491/AK$506</f>
        <v>6.7042166398257302E-2</v>
      </c>
      <c r="AL515" s="884">
        <f t="shared" si="404"/>
        <v>7.1422843494218138E-2</v>
      </c>
      <c r="AM515" s="884">
        <f t="shared" si="404"/>
        <v>7.8637996369296775E-2</v>
      </c>
      <c r="AN515" s="884">
        <f t="shared" si="404"/>
        <v>6.9802407056464025E-2</v>
      </c>
      <c r="AO515" s="1512">
        <f t="shared" si="404"/>
        <v>7.1688090779041105E-2</v>
      </c>
      <c r="AP515" s="884">
        <f t="shared" si="404"/>
        <v>6.8064992450218451E-2</v>
      </c>
      <c r="AQ515" s="884">
        <f t="shared" si="404"/>
        <v>7.056925236153537E-2</v>
      </c>
      <c r="AR515" s="884">
        <f t="shared" si="404"/>
        <v>7.9186907917304108E-2</v>
      </c>
      <c r="AS515" s="884">
        <f t="shared" si="404"/>
        <v>7.1700836885781924E-2</v>
      </c>
      <c r="AT515" s="1512">
        <f t="shared" si="404"/>
        <v>7.2389028160815064E-2</v>
      </c>
      <c r="AU515" s="884">
        <f t="shared" si="404"/>
        <v>7.2959820099508965E-2</v>
      </c>
      <c r="AV515" s="884">
        <f t="shared" si="404"/>
        <v>7.8684816181747566E-2</v>
      </c>
      <c r="AW515" s="884">
        <f t="shared" si="404"/>
        <v>8.5971813217304044E-2</v>
      </c>
      <c r="AX515" s="884">
        <f t="shared" si="404"/>
        <v>7.6000954032422977E-2</v>
      </c>
      <c r="AY515" s="1512">
        <f t="shared" si="404"/>
        <v>7.8307785509704367E-2</v>
      </c>
      <c r="AZ515" s="884">
        <f t="shared" si="404"/>
        <v>7.5048676829297556E-2</v>
      </c>
      <c r="BA515" s="884">
        <f t="shared" si="404"/>
        <v>7.9504783294564119E-2</v>
      </c>
      <c r="BB515" s="884">
        <f t="shared" si="404"/>
        <v>8.9606007213810263E-2</v>
      </c>
      <c r="BC515" s="884">
        <f t="shared" si="404"/>
        <v>7.8013607481041386E-2</v>
      </c>
      <c r="BD515" s="1512">
        <f t="shared" si="404"/>
        <v>8.0522779289879526E-2</v>
      </c>
      <c r="BE515" s="884">
        <f t="shared" si="404"/>
        <v>7.564974339974162E-2</v>
      </c>
      <c r="BF515" s="884">
        <f t="shared" si="404"/>
        <v>8.0717195569397868E-2</v>
      </c>
      <c r="BG515" s="884">
        <f t="shared" si="404"/>
        <v>9.0696268053674756E-2</v>
      </c>
      <c r="BH515" s="884">
        <f t="shared" si="404"/>
        <v>8.23745556345237E-2</v>
      </c>
      <c r="BI515" s="1512">
        <f t="shared" si="404"/>
        <v>8.2523567596733294E-2</v>
      </c>
      <c r="BJ515" s="884">
        <f t="shared" si="404"/>
        <v>7.8688483453973598E-2</v>
      </c>
      <c r="BK515" s="884">
        <f t="shared" si="404"/>
        <v>8.3573461093756254E-2</v>
      </c>
      <c r="BL515" s="884">
        <f t="shared" si="404"/>
        <v>9.1914301043619709E-2</v>
      </c>
      <c r="BM515" s="884">
        <f t="shared" si="404"/>
        <v>8.3359775327784436E-2</v>
      </c>
      <c r="BN515" s="1512">
        <f t="shared" si="404"/>
        <v>8.4449842037184933E-2</v>
      </c>
      <c r="BO515" s="884">
        <f t="shared" si="404"/>
        <v>7.9238584545495316E-2</v>
      </c>
      <c r="BP515" s="884">
        <f t="shared" si="404"/>
        <v>8.6360957821505879E-2</v>
      </c>
      <c r="BQ515" s="884">
        <f t="shared" ref="BQ515:CF515" si="405">+BQ491/BQ$506</f>
        <v>9.2354648822104785E-2</v>
      </c>
      <c r="BR515" s="884">
        <f t="shared" si="405"/>
        <v>8.3916185295218493E-2</v>
      </c>
      <c r="BS515" s="1512">
        <f t="shared" si="405"/>
        <v>8.5663752381513358E-2</v>
      </c>
      <c r="BT515" s="884">
        <f t="shared" si="405"/>
        <v>7.9870923437093788E-2</v>
      </c>
      <c r="BU515" s="884">
        <f t="shared" si="405"/>
        <v>8.746170594636625E-2</v>
      </c>
      <c r="BV515" s="884">
        <f t="shared" si="405"/>
        <v>9.1525319942815084E-2</v>
      </c>
      <c r="BW515" s="884">
        <f t="shared" si="405"/>
        <v>8.4290073143330549E-2</v>
      </c>
      <c r="BX515" s="1512">
        <f t="shared" si="405"/>
        <v>8.6040767180535688E-2</v>
      </c>
      <c r="BY515" s="884">
        <f t="shared" si="405"/>
        <v>8.0282223445294232E-2</v>
      </c>
      <c r="BZ515" s="884">
        <f t="shared" si="405"/>
        <v>8.7509256131369229E-2</v>
      </c>
      <c r="CA515" s="884">
        <f t="shared" si="405"/>
        <v>9.1638337512477894E-2</v>
      </c>
      <c r="CB515" s="884">
        <f t="shared" si="405"/>
        <v>8.486831904168908E-2</v>
      </c>
      <c r="CC515" s="1512">
        <f t="shared" si="405"/>
        <v>8.6335242372483703E-2</v>
      </c>
      <c r="CD515" s="884">
        <f t="shared" si="405"/>
        <v>8.0481179499820504E-2</v>
      </c>
      <c r="CE515" s="884">
        <f t="shared" si="405"/>
        <v>8.9106039447576141E-2</v>
      </c>
      <c r="CF515" s="884">
        <f t="shared" si="405"/>
        <v>9.6099910635730118E-2</v>
      </c>
      <c r="CG515" s="884"/>
      <c r="CH515" s="1512"/>
      <c r="CI515" s="884"/>
      <c r="CJ515" s="884"/>
      <c r="CK515" s="884"/>
      <c r="CL515" s="884"/>
      <c r="CM515" s="1512"/>
      <c r="CN515" s="3200"/>
      <c r="CO515" s="884"/>
      <c r="CP515" s="884"/>
      <c r="CQ515" s="884"/>
      <c r="CR515" s="1512"/>
      <c r="CS515" s="1512"/>
      <c r="CT515" s="1512"/>
      <c r="DA515" s="212"/>
      <c r="DB515" s="1226"/>
    </row>
    <row r="516" spans="1:106" s="207" customFormat="1" x14ac:dyDescent="0.2">
      <c r="A516" s="1434" t="s">
        <v>1391</v>
      </c>
      <c r="B516" s="777"/>
      <c r="C516" s="777"/>
      <c r="D516" s="777"/>
      <c r="E516" s="777"/>
      <c r="F516" s="235"/>
      <c r="G516" s="777"/>
      <c r="H516" s="777"/>
      <c r="I516" s="777"/>
      <c r="J516" s="777"/>
      <c r="K516" s="235"/>
      <c r="L516" s="777"/>
      <c r="M516" s="777"/>
      <c r="N516" s="777"/>
      <c r="O516" s="777"/>
      <c r="P516" s="631"/>
      <c r="Q516" s="777"/>
      <c r="R516" s="777"/>
      <c r="S516" s="777"/>
      <c r="T516" s="777"/>
      <c r="U516" s="631"/>
      <c r="V516" s="777"/>
      <c r="W516" s="777"/>
      <c r="X516" s="777"/>
      <c r="Y516" s="777"/>
      <c r="Z516" s="631"/>
      <c r="AA516" s="275"/>
      <c r="AB516" s="275"/>
      <c r="AC516" s="275"/>
      <c r="AD516" s="275"/>
      <c r="AE516" s="631"/>
      <c r="AF516" s="275"/>
      <c r="AG516" s="275"/>
      <c r="AH516" s="275"/>
      <c r="AI516" s="275"/>
      <c r="AJ516" s="631"/>
      <c r="AK516" s="884">
        <f t="shared" ref="AK516:BP516" si="406">+AK492/AK$506</f>
        <v>2.0070079007528115E-2</v>
      </c>
      <c r="AL516" s="884">
        <f t="shared" si="406"/>
        <v>2.0341485497722311E-2</v>
      </c>
      <c r="AM516" s="884">
        <f t="shared" si="406"/>
        <v>2.2691155393621657E-2</v>
      </c>
      <c r="AN516" s="884">
        <f t="shared" si="406"/>
        <v>2.1667391919678328E-2</v>
      </c>
      <c r="AO516" s="1512">
        <f t="shared" si="406"/>
        <v>2.1248007106749768E-2</v>
      </c>
      <c r="AP516" s="884">
        <f t="shared" si="406"/>
        <v>2.2421586336503877E-2</v>
      </c>
      <c r="AQ516" s="884">
        <f t="shared" si="406"/>
        <v>2.243934204766335E-2</v>
      </c>
      <c r="AR516" s="884">
        <f t="shared" si="406"/>
        <v>2.4619141003687305E-2</v>
      </c>
      <c r="AS516" s="884">
        <f t="shared" si="406"/>
        <v>2.4658555440833844E-2</v>
      </c>
      <c r="AT516" s="1512">
        <f t="shared" si="406"/>
        <v>2.3600301377573338E-2</v>
      </c>
      <c r="AU516" s="884">
        <f t="shared" si="406"/>
        <v>2.4807762121986487E-2</v>
      </c>
      <c r="AV516" s="884">
        <f t="shared" si="406"/>
        <v>2.5472171642509769E-2</v>
      </c>
      <c r="AW516" s="884">
        <f t="shared" si="406"/>
        <v>2.7749812516576544E-2</v>
      </c>
      <c r="AX516" s="884">
        <f t="shared" si="406"/>
        <v>2.4989469142994238E-2</v>
      </c>
      <c r="AY516" s="1512">
        <f t="shared" si="406"/>
        <v>2.5715176918760182E-2</v>
      </c>
      <c r="AZ516" s="884">
        <f t="shared" si="406"/>
        <v>2.6111870502088894E-2</v>
      </c>
      <c r="BA516" s="884">
        <f t="shared" si="406"/>
        <v>2.652221866419428E-2</v>
      </c>
      <c r="BB516" s="884">
        <f t="shared" si="406"/>
        <v>2.9914970614139971E-2</v>
      </c>
      <c r="BC516" s="884">
        <f t="shared" si="406"/>
        <v>2.6954125500928076E-2</v>
      </c>
      <c r="BD516" s="1512">
        <f t="shared" si="406"/>
        <v>2.7377686434736696E-2</v>
      </c>
      <c r="BE516" s="884">
        <f t="shared" si="406"/>
        <v>2.6909636886115057E-2</v>
      </c>
      <c r="BF516" s="884">
        <f t="shared" si="406"/>
        <v>2.7062234832670017E-2</v>
      </c>
      <c r="BG516" s="884">
        <f t="shared" si="406"/>
        <v>2.9710892674486483E-2</v>
      </c>
      <c r="BH516" s="884">
        <f t="shared" si="406"/>
        <v>2.7409388433357874E-2</v>
      </c>
      <c r="BI516" s="1512">
        <f t="shared" si="406"/>
        <v>2.776881467283733E-2</v>
      </c>
      <c r="BJ516" s="884">
        <f t="shared" si="406"/>
        <v>2.7930282461601841E-2</v>
      </c>
      <c r="BK516" s="884">
        <f t="shared" si="406"/>
        <v>2.7465913191236774E-2</v>
      </c>
      <c r="BL516" s="884">
        <f t="shared" si="406"/>
        <v>3.0228137888792746E-2</v>
      </c>
      <c r="BM516" s="884">
        <f t="shared" si="406"/>
        <v>2.7977731823835689E-2</v>
      </c>
      <c r="BN516" s="1512">
        <f t="shared" si="406"/>
        <v>2.837934641243112E-2</v>
      </c>
      <c r="BO516" s="884">
        <f t="shared" si="406"/>
        <v>2.8037104558133168E-2</v>
      </c>
      <c r="BP516" s="884">
        <f t="shared" si="406"/>
        <v>2.8518154664188115E-2</v>
      </c>
      <c r="BQ516" s="884">
        <f t="shared" ref="BQ516:CF516" si="407">+BQ492/BQ$506</f>
        <v>3.0526885840032249E-2</v>
      </c>
      <c r="BR516" s="884">
        <f t="shared" si="407"/>
        <v>2.8199497616827052E-2</v>
      </c>
      <c r="BS516" s="1512">
        <f t="shared" si="407"/>
        <v>2.8852214383702068E-2</v>
      </c>
      <c r="BT516" s="884">
        <f t="shared" si="407"/>
        <v>2.9507726268100491E-2</v>
      </c>
      <c r="BU516" s="884">
        <f t="shared" si="407"/>
        <v>3.0371632575726254E-2</v>
      </c>
      <c r="BV516" s="884">
        <f t="shared" si="407"/>
        <v>3.2269559439086756E-2</v>
      </c>
      <c r="BW516" s="884">
        <f t="shared" si="407"/>
        <v>3.0644755991821638E-2</v>
      </c>
      <c r="BX516" s="1512">
        <f t="shared" si="407"/>
        <v>3.0743403174489672E-2</v>
      </c>
      <c r="BY516" s="884">
        <f t="shared" si="407"/>
        <v>3.1866584302330171E-2</v>
      </c>
      <c r="BZ516" s="884">
        <f t="shared" si="407"/>
        <v>3.2799137949683692E-2</v>
      </c>
      <c r="CA516" s="884">
        <f t="shared" si="407"/>
        <v>3.4272102429429761E-2</v>
      </c>
      <c r="CB516" s="884">
        <f t="shared" si="407"/>
        <v>3.2176832899362288E-2</v>
      </c>
      <c r="CC516" s="1512">
        <f t="shared" si="407"/>
        <v>3.2831606364436189E-2</v>
      </c>
      <c r="CD516" s="884">
        <f t="shared" si="407"/>
        <v>3.3648298460000212E-2</v>
      </c>
      <c r="CE516" s="884">
        <f t="shared" si="407"/>
        <v>3.5471502978280695E-2</v>
      </c>
      <c r="CF516" s="884">
        <f t="shared" si="407"/>
        <v>3.7845082037579088E-2</v>
      </c>
      <c r="CG516" s="884"/>
      <c r="CH516" s="1512"/>
      <c r="CI516" s="884"/>
      <c r="CJ516" s="884"/>
      <c r="CK516" s="884"/>
      <c r="CL516" s="884"/>
      <c r="CM516" s="1512"/>
      <c r="CN516" s="3200"/>
      <c r="CO516" s="884"/>
      <c r="CP516" s="884"/>
      <c r="CQ516" s="884"/>
      <c r="CR516" s="1512"/>
      <c r="CS516" s="1512"/>
      <c r="CT516" s="1512"/>
      <c r="DA516" s="212"/>
      <c r="DB516" s="1226"/>
    </row>
    <row r="517" spans="1:106" s="207" customFormat="1" x14ac:dyDescent="0.2">
      <c r="A517" s="2308" t="s">
        <v>2285</v>
      </c>
      <c r="B517" s="777"/>
      <c r="C517" s="777"/>
      <c r="D517" s="777"/>
      <c r="E517" s="777"/>
      <c r="F517" s="235"/>
      <c r="G517" s="777"/>
      <c r="H517" s="777"/>
      <c r="I517" s="777"/>
      <c r="J517" s="777"/>
      <c r="K517" s="235"/>
      <c r="L517" s="777"/>
      <c r="M517" s="777"/>
      <c r="N517" s="777"/>
      <c r="O517" s="777"/>
      <c r="P517" s="631"/>
      <c r="Q517" s="777"/>
      <c r="R517" s="777"/>
      <c r="S517" s="777"/>
      <c r="T517" s="777"/>
      <c r="U517" s="631"/>
      <c r="V517" s="777"/>
      <c r="W517" s="777"/>
      <c r="X517" s="777"/>
      <c r="Y517" s="777"/>
      <c r="Z517" s="631"/>
      <c r="AA517" s="275"/>
      <c r="AB517" s="275"/>
      <c r="AC517" s="275"/>
      <c r="AD517" s="275"/>
      <c r="AE517" s="631"/>
      <c r="AF517" s="275"/>
      <c r="AG517" s="275"/>
      <c r="AH517" s="275"/>
      <c r="AI517" s="275"/>
      <c r="AJ517" s="631"/>
      <c r="AK517" s="884"/>
      <c r="AL517" s="884"/>
      <c r="AM517" s="884"/>
      <c r="AN517" s="884"/>
      <c r="AO517" s="1512"/>
      <c r="AP517" s="884"/>
      <c r="AQ517" s="884"/>
      <c r="AR517" s="884"/>
      <c r="AS517" s="884"/>
      <c r="AT517" s="1512"/>
      <c r="AU517" s="884"/>
      <c r="AV517" s="884"/>
      <c r="AW517" s="884"/>
      <c r="AX517" s="884"/>
      <c r="AY517" s="1512"/>
      <c r="AZ517" s="884"/>
      <c r="BA517" s="884"/>
      <c r="BB517" s="884"/>
      <c r="BC517" s="884"/>
      <c r="BD517" s="1512"/>
      <c r="BE517" s="884"/>
      <c r="BF517" s="884"/>
      <c r="BG517" s="884"/>
      <c r="BH517" s="884"/>
      <c r="BI517" s="1512"/>
      <c r="BJ517" s="884"/>
      <c r="BK517" s="884"/>
      <c r="BL517" s="884"/>
      <c r="BM517" s="884"/>
      <c r="BN517" s="1512"/>
      <c r="BO517" s="884"/>
      <c r="BP517" s="884"/>
      <c r="BQ517" s="884"/>
      <c r="BR517" s="884"/>
      <c r="BS517" s="1512"/>
      <c r="BT517" s="884"/>
      <c r="BU517" s="884"/>
      <c r="BV517" s="884"/>
      <c r="BW517" s="884"/>
      <c r="BX517" s="1512"/>
      <c r="BY517" s="884"/>
      <c r="BZ517" s="884"/>
      <c r="CA517" s="884">
        <f t="shared" ref="CA517:CF518" si="408">+CA493/CA$506</f>
        <v>1.1971464048511403E-2</v>
      </c>
      <c r="CB517" s="884">
        <f t="shared" si="408"/>
        <v>1.351814383874787E-2</v>
      </c>
      <c r="CC517" s="1512">
        <f t="shared" si="408"/>
        <v>6.4388038521041935E-3</v>
      </c>
      <c r="CD517" s="884">
        <f t="shared" si="408"/>
        <v>1.3499488016969296E-2</v>
      </c>
      <c r="CE517" s="884">
        <f t="shared" si="408"/>
        <v>1.21361868925436E-2</v>
      </c>
      <c r="CF517" s="884">
        <f t="shared" si="408"/>
        <v>1.2445204416322297E-2</v>
      </c>
      <c r="CG517" s="884"/>
      <c r="CH517" s="1512"/>
      <c r="CI517" s="884"/>
      <c r="CJ517" s="884"/>
      <c r="CK517" s="884"/>
      <c r="CL517" s="884"/>
      <c r="CM517" s="1512"/>
      <c r="CN517" s="3200"/>
      <c r="CO517" s="884"/>
      <c r="CP517" s="884"/>
      <c r="CQ517" s="884"/>
      <c r="CR517" s="1512"/>
      <c r="CS517" s="1512"/>
      <c r="CT517" s="1512"/>
      <c r="DA517" s="212"/>
      <c r="DB517" s="1226"/>
    </row>
    <row r="518" spans="1:106" s="2644" customFormat="1" x14ac:dyDescent="0.2">
      <c r="A518" s="2308" t="s">
        <v>1390</v>
      </c>
      <c r="B518" s="777"/>
      <c r="C518" s="777"/>
      <c r="D518" s="777"/>
      <c r="E518" s="777"/>
      <c r="F518" s="2345"/>
      <c r="G518" s="777"/>
      <c r="H518" s="777"/>
      <c r="I518" s="777"/>
      <c r="J518" s="777"/>
      <c r="K518" s="2345"/>
      <c r="L518" s="777"/>
      <c r="M518" s="777"/>
      <c r="N518" s="777"/>
      <c r="O518" s="777"/>
      <c r="P518" s="631"/>
      <c r="Q518" s="777"/>
      <c r="R518" s="777"/>
      <c r="S518" s="777"/>
      <c r="T518" s="777"/>
      <c r="U518" s="631"/>
      <c r="V518" s="777"/>
      <c r="W518" s="777"/>
      <c r="X518" s="777"/>
      <c r="Y518" s="777"/>
      <c r="Z518" s="631"/>
      <c r="AA518" s="3037"/>
      <c r="AB518" s="3037"/>
      <c r="AC518" s="3037"/>
      <c r="AD518" s="3037"/>
      <c r="AE518" s="631"/>
      <c r="AF518" s="3037"/>
      <c r="AG518" s="3037"/>
      <c r="AH518" s="3037"/>
      <c r="AI518" s="3037"/>
      <c r="AJ518" s="631"/>
      <c r="AK518" s="2384">
        <f t="shared" ref="AK518:BZ518" si="409">+AK494/AK$506</f>
        <v>3.5486530134420928E-2</v>
      </c>
      <c r="AL518" s="2384">
        <f t="shared" si="409"/>
        <v>3.7241906647439538E-2</v>
      </c>
      <c r="AM518" s="2384">
        <f t="shared" si="409"/>
        <v>3.9218895712747621E-2</v>
      </c>
      <c r="AN518" s="2384">
        <f t="shared" si="409"/>
        <v>3.8077844776389723E-2</v>
      </c>
      <c r="AO518" s="3042">
        <f t="shared" si="409"/>
        <v>3.75935036082145E-2</v>
      </c>
      <c r="AP518" s="2384">
        <f t="shared" si="409"/>
        <v>4.0966346154769184E-2</v>
      </c>
      <c r="AQ518" s="2384">
        <f t="shared" si="409"/>
        <v>4.1851717074433081E-2</v>
      </c>
      <c r="AR518" s="2384">
        <f t="shared" si="409"/>
        <v>4.3382961240152701E-2</v>
      </c>
      <c r="AS518" s="2384">
        <f t="shared" si="409"/>
        <v>4.2999866649613465E-2</v>
      </c>
      <c r="AT518" s="3042">
        <f t="shared" si="409"/>
        <v>4.2353891617552812E-2</v>
      </c>
      <c r="AU518" s="2384">
        <f t="shared" si="409"/>
        <v>4.5453271690515211E-2</v>
      </c>
      <c r="AV518" s="2384">
        <f t="shared" si="409"/>
        <v>4.6998967086994206E-2</v>
      </c>
      <c r="AW518" s="2384">
        <f t="shared" si="409"/>
        <v>5.0722162385995487E-2</v>
      </c>
      <c r="AX518" s="2384">
        <f t="shared" si="409"/>
        <v>4.9266943867793705E-2</v>
      </c>
      <c r="AY518" s="3042">
        <f t="shared" si="409"/>
        <v>4.8205966649696147E-2</v>
      </c>
      <c r="AZ518" s="2384">
        <f t="shared" si="409"/>
        <v>5.083414222717788E-2</v>
      </c>
      <c r="BA518" s="2384">
        <f t="shared" si="409"/>
        <v>5.2063547437791867E-2</v>
      </c>
      <c r="BB518" s="2384">
        <f t="shared" si="409"/>
        <v>5.5460073592630589E-2</v>
      </c>
      <c r="BC518" s="2384">
        <f t="shared" si="409"/>
        <v>5.0998883221564748E-2</v>
      </c>
      <c r="BD518" s="3042">
        <f t="shared" si="409"/>
        <v>5.2292086516954987E-2</v>
      </c>
      <c r="BE518" s="2384">
        <f t="shared" si="409"/>
        <v>5.1127682834833502E-2</v>
      </c>
      <c r="BF518" s="2384">
        <f t="shared" si="409"/>
        <v>5.1706006371657363E-2</v>
      </c>
      <c r="BG518" s="2384">
        <f t="shared" si="409"/>
        <v>5.582391325743688E-2</v>
      </c>
      <c r="BH518" s="2384">
        <f t="shared" si="409"/>
        <v>5.1819051379074658E-2</v>
      </c>
      <c r="BI518" s="3042">
        <f t="shared" si="409"/>
        <v>5.260305678469613E-2</v>
      </c>
      <c r="BJ518" s="2384">
        <f t="shared" si="409"/>
        <v>5.2604863155074448E-2</v>
      </c>
      <c r="BK518" s="2384">
        <f t="shared" si="409"/>
        <v>5.4186198885192209E-2</v>
      </c>
      <c r="BL518" s="2384">
        <f t="shared" si="409"/>
        <v>5.7796442428799652E-2</v>
      </c>
      <c r="BM518" s="2384">
        <f t="shared" si="409"/>
        <v>5.4251217098653902E-2</v>
      </c>
      <c r="BN518" s="3042">
        <f t="shared" si="409"/>
        <v>5.4727587557600391E-2</v>
      </c>
      <c r="BO518" s="2384">
        <f t="shared" si="409"/>
        <v>5.4426229633197459E-2</v>
      </c>
      <c r="BP518" s="2384">
        <f t="shared" si="409"/>
        <v>5.6630984159112115E-2</v>
      </c>
      <c r="BQ518" s="2384">
        <f t="shared" si="409"/>
        <v>5.8208924494747162E-2</v>
      </c>
      <c r="BR518" s="2384">
        <f t="shared" si="409"/>
        <v>5.5277032254444622E-2</v>
      </c>
      <c r="BS518" s="3042">
        <f t="shared" si="409"/>
        <v>5.6201076060051931E-2</v>
      </c>
      <c r="BT518" s="2384">
        <f t="shared" si="409"/>
        <v>5.615842763541682E-2</v>
      </c>
      <c r="BU518" s="2384">
        <f t="shared" si="409"/>
        <v>5.7773617964103872E-2</v>
      </c>
      <c r="BV518" s="2384">
        <f t="shared" si="409"/>
        <v>5.8456432268448967E-2</v>
      </c>
      <c r="BW518" s="2384">
        <f t="shared" si="409"/>
        <v>5.5660637503353011E-2</v>
      </c>
      <c r="BX518" s="3042">
        <f t="shared" si="409"/>
        <v>5.7077659431031269E-2</v>
      </c>
      <c r="BY518" s="2384">
        <f t="shared" si="409"/>
        <v>5.6129455527040427E-2</v>
      </c>
      <c r="BZ518" s="2384">
        <f t="shared" si="409"/>
        <v>5.7166672137816989E-2</v>
      </c>
      <c r="CA518" s="2384">
        <f t="shared" si="408"/>
        <v>5.8784954907081986E-2</v>
      </c>
      <c r="CB518" s="2384">
        <f t="shared" si="408"/>
        <v>5.5915213572037964E-2</v>
      </c>
      <c r="CC518" s="3042">
        <f t="shared" si="408"/>
        <v>5.706347582656441E-2</v>
      </c>
      <c r="CD518" s="2384">
        <f t="shared" si="408"/>
        <v>5.63966470866566E-2</v>
      </c>
      <c r="CE518" s="2384">
        <f t="shared" si="408"/>
        <v>5.9514884423751788E-2</v>
      </c>
      <c r="CF518" s="2384">
        <f t="shared" si="408"/>
        <v>6.1123089768826154E-2</v>
      </c>
      <c r="CG518" s="2384"/>
      <c r="CH518" s="3042"/>
      <c r="CI518" s="2384"/>
      <c r="CJ518" s="2384"/>
      <c r="CK518" s="2384"/>
      <c r="CL518" s="2384"/>
      <c r="CM518" s="3042"/>
      <c r="CN518"/>
      <c r="CO518" s="2384"/>
      <c r="CP518" s="2384"/>
      <c r="CQ518" s="2384"/>
      <c r="CR518" s="3042"/>
      <c r="CS518" s="3042"/>
      <c r="CT518" s="3042"/>
      <c r="DA518" s="212"/>
      <c r="DB518" s="1226"/>
    </row>
    <row r="519" spans="1:106" s="207" customFormat="1" ht="4.5" customHeight="1" x14ac:dyDescent="0.2">
      <c r="A519" s="1580"/>
      <c r="B519" s="777"/>
      <c r="C519" s="777"/>
      <c r="D519" s="777"/>
      <c r="E519" s="777"/>
      <c r="F519" s="235"/>
      <c r="G519" s="777"/>
      <c r="H519" s="777"/>
      <c r="I519" s="777"/>
      <c r="J519" s="777"/>
      <c r="K519" s="235"/>
      <c r="L519" s="777"/>
      <c r="M519" s="777"/>
      <c r="N519" s="777"/>
      <c r="O519" s="777"/>
      <c r="P519" s="631"/>
      <c r="Q519" s="777"/>
      <c r="R519" s="777"/>
      <c r="S519" s="777"/>
      <c r="T519" s="777"/>
      <c r="U519" s="631"/>
      <c r="V519" s="777"/>
      <c r="W519" s="777"/>
      <c r="X519" s="777"/>
      <c r="Y519" s="777"/>
      <c r="Z519" s="631"/>
      <c r="AA519" s="275"/>
      <c r="AB519" s="275"/>
      <c r="AC519" s="275"/>
      <c r="AD519" s="275"/>
      <c r="AE519" s="631"/>
      <c r="AF519" s="275"/>
      <c r="AG519" s="275"/>
      <c r="AH519" s="275"/>
      <c r="AI519" s="275"/>
      <c r="AJ519" s="631"/>
      <c r="AK519" s="1518"/>
      <c r="AL519" s="1518"/>
      <c r="AM519" s="1518"/>
      <c r="AN519" s="1518"/>
      <c r="AO519" s="1519"/>
      <c r="AP519" s="1518"/>
      <c r="AQ519" s="1518"/>
      <c r="AR519" s="1518"/>
      <c r="AS519" s="1518"/>
      <c r="AT519" s="1519"/>
      <c r="AU519" s="1518"/>
      <c r="AV519" s="1518"/>
      <c r="AW519" s="1518"/>
      <c r="AX519" s="1518"/>
      <c r="AY519" s="1519"/>
      <c r="AZ519" s="1518"/>
      <c r="BA519" s="1518"/>
      <c r="BB519" s="1518"/>
      <c r="BC519" s="1518"/>
      <c r="BD519" s="1519"/>
      <c r="BE519" s="1518"/>
      <c r="BF519" s="1518"/>
      <c r="BG519" s="1518"/>
      <c r="BH519" s="1518"/>
      <c r="BI519" s="1519"/>
      <c r="BJ519" s="1518"/>
      <c r="BK519" s="1518"/>
      <c r="BL519" s="1518"/>
      <c r="BM519" s="1518"/>
      <c r="BN519" s="1519"/>
      <c r="BO519" s="1518"/>
      <c r="BP519" s="1518"/>
      <c r="BQ519" s="1518"/>
      <c r="BR519" s="1518"/>
      <c r="BS519" s="1519"/>
      <c r="BT519" s="1518"/>
      <c r="BU519" s="1518"/>
      <c r="BV519" s="1518"/>
      <c r="BW519" s="1518"/>
      <c r="BX519" s="1519"/>
      <c r="BY519" s="1518"/>
      <c r="BZ519" s="1518"/>
      <c r="CA519" s="1518"/>
      <c r="CB519" s="1518"/>
      <c r="CC519" s="1519"/>
      <c r="CD519" s="1518"/>
      <c r="CE519" s="1518"/>
      <c r="CF519" s="1518"/>
      <c r="CG519" s="1518"/>
      <c r="CH519" s="1519"/>
      <c r="CI519" s="1518"/>
      <c r="CJ519" s="1518"/>
      <c r="CK519" s="1518"/>
      <c r="CL519" s="1518"/>
      <c r="CM519" s="1519"/>
      <c r="CN519"/>
      <c r="CO519" s="1518"/>
      <c r="CP519" s="1518"/>
      <c r="CQ519" s="1518"/>
      <c r="CR519" s="1519"/>
      <c r="CS519" s="1519"/>
      <c r="CT519" s="1519"/>
      <c r="DA519" s="212"/>
      <c r="DB519" s="1226"/>
    </row>
    <row r="520" spans="1:106" s="207" customFormat="1" x14ac:dyDescent="0.2">
      <c r="A520" s="3039" t="s">
        <v>2454</v>
      </c>
      <c r="B520" s="777"/>
      <c r="C520" s="777"/>
      <c r="D520" s="777"/>
      <c r="E520" s="777"/>
      <c r="F520" s="235"/>
      <c r="G520" s="777"/>
      <c r="H520" s="777"/>
      <c r="I520" s="777"/>
      <c r="J520" s="777"/>
      <c r="K520" s="235"/>
      <c r="L520" s="777"/>
      <c r="M520" s="777"/>
      <c r="N520" s="777"/>
      <c r="O520" s="777"/>
      <c r="P520" s="631"/>
      <c r="Q520" s="777"/>
      <c r="R520" s="777"/>
      <c r="S520" s="777"/>
      <c r="T520" s="777"/>
      <c r="U520" s="631"/>
      <c r="V520" s="777"/>
      <c r="W520" s="777"/>
      <c r="X520" s="777"/>
      <c r="Y520" s="777"/>
      <c r="Z520" s="631"/>
      <c r="AA520" s="275"/>
      <c r="AB520" s="275"/>
      <c r="AC520" s="275"/>
      <c r="AD520" s="275"/>
      <c r="AE520" s="631"/>
      <c r="AF520" s="275"/>
      <c r="AG520" s="275"/>
      <c r="AH520" s="275"/>
      <c r="AI520" s="275"/>
      <c r="AJ520" s="631"/>
      <c r="AK520" s="1518"/>
      <c r="AL520" s="1518"/>
      <c r="AM520" s="1518"/>
      <c r="AN520" s="1518"/>
      <c r="AO520" s="1519"/>
      <c r="AP520" s="1518"/>
      <c r="AQ520" s="1518"/>
      <c r="AR520" s="1518"/>
      <c r="AS520" s="1518"/>
      <c r="AT520" s="1519"/>
      <c r="AU520" s="1518"/>
      <c r="AV520" s="1518"/>
      <c r="AW520" s="1518"/>
      <c r="AX520" s="1518"/>
      <c r="AY520" s="1519"/>
      <c r="AZ520" s="1518"/>
      <c r="BA520" s="1518"/>
      <c r="BB520" s="1518"/>
      <c r="BC520" s="1518"/>
      <c r="BD520" s="1519"/>
      <c r="BE520" s="1518"/>
      <c r="BF520" s="1518"/>
      <c r="BG520" s="1518"/>
      <c r="BH520" s="1518"/>
      <c r="BI520" s="1519"/>
      <c r="BJ520" s="1518"/>
      <c r="BK520" s="1518"/>
      <c r="BL520" s="1518"/>
      <c r="BM520" s="1518"/>
      <c r="BN520" s="1519"/>
      <c r="BO520" s="1518"/>
      <c r="BP520" s="1518"/>
      <c r="BQ520" s="1518"/>
      <c r="BR520" s="1518"/>
      <c r="BS520" s="1519"/>
      <c r="BT520" s="1518"/>
      <c r="BU520" s="1518"/>
      <c r="BV520" s="1518"/>
      <c r="BW520" s="1518"/>
      <c r="BX520" s="1519"/>
      <c r="BY520" s="1518"/>
      <c r="BZ520" s="1518"/>
      <c r="CA520" s="1518"/>
      <c r="CB520" s="1518"/>
      <c r="CC520" s="1519"/>
      <c r="CD520" s="1518"/>
      <c r="CE520" s="3045"/>
      <c r="CF520" s="3045"/>
      <c r="CG520" s="3045"/>
      <c r="CH520" s="3046"/>
      <c r="CI520" s="3045"/>
      <c r="CJ520" s="3045"/>
      <c r="CK520" s="3045"/>
      <c r="CL520" s="3045"/>
      <c r="CM520" s="3046"/>
      <c r="CN520"/>
      <c r="CO520" s="3045"/>
      <c r="CP520" s="3045"/>
      <c r="CQ520"/>
      <c r="CR520" s="3046"/>
      <c r="CS520" s="3046"/>
      <c r="CT520" s="3046"/>
      <c r="DA520" s="212"/>
      <c r="DB520" s="1226"/>
    </row>
    <row r="521" spans="1:106" s="207" customFormat="1" x14ac:dyDescent="0.2">
      <c r="A521" s="3039" t="s">
        <v>2455</v>
      </c>
      <c r="B521" s="777"/>
      <c r="C521" s="777"/>
      <c r="D521" s="777"/>
      <c r="E521" s="777"/>
      <c r="F521" s="235"/>
      <c r="G521" s="777"/>
      <c r="H521" s="777"/>
      <c r="I521" s="777"/>
      <c r="J521" s="777"/>
      <c r="K521" s="235"/>
      <c r="L521" s="777"/>
      <c r="M521" s="777"/>
      <c r="N521" s="777"/>
      <c r="O521" s="777"/>
      <c r="P521" s="631"/>
      <c r="Q521" s="777"/>
      <c r="R521" s="777"/>
      <c r="S521" s="777"/>
      <c r="T521" s="777"/>
      <c r="U521" s="631"/>
      <c r="V521" s="777"/>
      <c r="W521" s="777"/>
      <c r="X521" s="777"/>
      <c r="Y521" s="777"/>
      <c r="Z521" s="631"/>
      <c r="AA521" s="275"/>
      <c r="AB521" s="275"/>
      <c r="AC521" s="275"/>
      <c r="AD521" s="275"/>
      <c r="AE521" s="631"/>
      <c r="AF521" s="275"/>
      <c r="AG521" s="275"/>
      <c r="AH521" s="275"/>
      <c r="AI521" s="275"/>
      <c r="AJ521" s="631"/>
      <c r="AK521" s="1518"/>
      <c r="AL521" s="1518"/>
      <c r="AM521" s="1518"/>
      <c r="AN521" s="1518"/>
      <c r="AO521" s="1519"/>
      <c r="AP521" s="1518"/>
      <c r="AQ521" s="1518"/>
      <c r="AR521" s="1518"/>
      <c r="AS521" s="1518"/>
      <c r="AT521" s="1519"/>
      <c r="AU521" s="1518"/>
      <c r="AV521" s="1518"/>
      <c r="AW521" s="1518"/>
      <c r="AX521" s="1518"/>
      <c r="AY521" s="1519"/>
      <c r="AZ521" s="1518"/>
      <c r="BA521" s="1518"/>
      <c r="BB521" s="1518"/>
      <c r="BC521" s="1518"/>
      <c r="BD521" s="1519"/>
      <c r="BE521" s="1518"/>
      <c r="BF521" s="1518"/>
      <c r="BG521" s="1518"/>
      <c r="BH521" s="1518"/>
      <c r="BI521" s="1519"/>
      <c r="BJ521" s="1518"/>
      <c r="BK521" s="1518"/>
      <c r="BL521" s="1518"/>
      <c r="BM521" s="1518"/>
      <c r="BN521" s="1519"/>
      <c r="BO521" s="1518"/>
      <c r="BP521" s="1518"/>
      <c r="BQ521" s="1518"/>
      <c r="BR521" s="1518"/>
      <c r="BS521" s="1519"/>
      <c r="BT521" s="1518"/>
      <c r="BU521" s="1518"/>
      <c r="BV521" s="1518"/>
      <c r="BW521" s="1518"/>
      <c r="BX521" s="1519"/>
      <c r="BY521" s="1518"/>
      <c r="BZ521" s="1518"/>
      <c r="CA521" s="1518"/>
      <c r="CB521" s="1518"/>
      <c r="CC521" s="1519"/>
      <c r="CD521" s="1518"/>
      <c r="CE521" s="3045"/>
      <c r="CF521" s="3045"/>
      <c r="CG521" s="3045"/>
      <c r="CH521" s="3046"/>
      <c r="CI521" s="3045"/>
      <c r="CJ521" s="3045"/>
      <c r="CK521" s="3045"/>
      <c r="CL521" s="3045"/>
      <c r="CM521" s="3046"/>
      <c r="CN521"/>
      <c r="CO521" s="3045"/>
      <c r="CP521" s="3045"/>
      <c r="CQ521"/>
      <c r="CR521" s="3046"/>
      <c r="CS521" s="3046"/>
      <c r="CT521" s="3046"/>
      <c r="DA521" s="212"/>
      <c r="DB521" s="1226"/>
    </row>
    <row r="522" spans="1:106" s="207" customFormat="1" x14ac:dyDescent="0.2">
      <c r="A522" s="3039" t="s">
        <v>2456</v>
      </c>
      <c r="B522" s="777"/>
      <c r="C522" s="777"/>
      <c r="D522" s="777"/>
      <c r="E522" s="777"/>
      <c r="F522" s="235"/>
      <c r="G522" s="777"/>
      <c r="H522" s="777"/>
      <c r="I522" s="777"/>
      <c r="J522" s="777"/>
      <c r="K522" s="235"/>
      <c r="L522" s="777"/>
      <c r="M522" s="777"/>
      <c r="N522" s="777"/>
      <c r="O522" s="777"/>
      <c r="P522" s="631"/>
      <c r="Q522" s="777"/>
      <c r="R522" s="777"/>
      <c r="S522" s="777"/>
      <c r="T522" s="777"/>
      <c r="U522" s="631"/>
      <c r="V522" s="777"/>
      <c r="W522" s="777"/>
      <c r="X522" s="777"/>
      <c r="Y522" s="777"/>
      <c r="Z522" s="631"/>
      <c r="AA522" s="275"/>
      <c r="AB522" s="275"/>
      <c r="AC522" s="275"/>
      <c r="AD522" s="275"/>
      <c r="AE522" s="631"/>
      <c r="AF522" s="275"/>
      <c r="AG522" s="275"/>
      <c r="AH522" s="275"/>
      <c r="AI522" s="275"/>
      <c r="AJ522" s="631"/>
      <c r="AK522" s="1518"/>
      <c r="AL522" s="1518"/>
      <c r="AM522" s="1518"/>
      <c r="AN522" s="1518"/>
      <c r="AO522" s="1519"/>
      <c r="AP522" s="1518"/>
      <c r="AQ522" s="1518"/>
      <c r="AR522" s="1518"/>
      <c r="AS522" s="1518"/>
      <c r="AT522" s="1519"/>
      <c r="AU522" s="1518"/>
      <c r="AV522" s="1518"/>
      <c r="AW522" s="1518"/>
      <c r="AX522" s="1518"/>
      <c r="AY522" s="1519"/>
      <c r="AZ522" s="1518"/>
      <c r="BA522" s="1518"/>
      <c r="BB522" s="1518"/>
      <c r="BC522" s="1518"/>
      <c r="BD522" s="1519"/>
      <c r="BE522" s="1518"/>
      <c r="BF522" s="1518"/>
      <c r="BG522" s="1518"/>
      <c r="BH522" s="1518"/>
      <c r="BI522" s="1519"/>
      <c r="BJ522" s="1518"/>
      <c r="BK522" s="1518"/>
      <c r="BL522" s="1518"/>
      <c r="BM522" s="1518"/>
      <c r="BN522" s="1519"/>
      <c r="BO522" s="1518"/>
      <c r="BP522" s="1518"/>
      <c r="BQ522" s="1518"/>
      <c r="BR522" s="1518"/>
      <c r="BS522" s="1519"/>
      <c r="BT522" s="1518"/>
      <c r="BU522" s="1518"/>
      <c r="BV522" s="1518"/>
      <c r="BW522" s="1518"/>
      <c r="BX522" s="1519"/>
      <c r="BY522" s="1518"/>
      <c r="BZ522" s="1518"/>
      <c r="CA522" s="1518"/>
      <c r="CB522" s="1518"/>
      <c r="CC522" s="1519"/>
      <c r="CD522" s="1518"/>
      <c r="CE522" s="3045"/>
      <c r="CF522" s="3045"/>
      <c r="CG522" s="3045"/>
      <c r="CH522" s="3046"/>
      <c r="CI522" s="3045"/>
      <c r="CJ522" s="3045"/>
      <c r="CK522" s="3045"/>
      <c r="CL522" s="3045"/>
      <c r="CM522" s="3046"/>
      <c r="CN522"/>
      <c r="CO522" s="3045"/>
      <c r="CP522" s="3045"/>
      <c r="CQ522"/>
      <c r="CR522" s="3046"/>
      <c r="CS522" s="3046"/>
      <c r="CT522" s="3046"/>
      <c r="DA522" s="212"/>
      <c r="DB522" s="1226"/>
    </row>
    <row r="523" spans="1:106" s="207" customFormat="1" x14ac:dyDescent="0.2">
      <c r="A523" s="3039" t="s">
        <v>2457</v>
      </c>
      <c r="B523" s="777"/>
      <c r="C523" s="777"/>
      <c r="D523" s="777"/>
      <c r="E523" s="777"/>
      <c r="F523" s="235"/>
      <c r="G523" s="777"/>
      <c r="H523" s="777"/>
      <c r="I523" s="777"/>
      <c r="J523" s="777"/>
      <c r="K523" s="235"/>
      <c r="L523" s="777"/>
      <c r="M523" s="777"/>
      <c r="N523" s="777"/>
      <c r="O523" s="777"/>
      <c r="P523" s="631"/>
      <c r="Q523" s="777"/>
      <c r="R523" s="777"/>
      <c r="S523" s="777"/>
      <c r="T523" s="777"/>
      <c r="U523" s="631"/>
      <c r="V523" s="777"/>
      <c r="W523" s="777"/>
      <c r="X523" s="777"/>
      <c r="Y523" s="777"/>
      <c r="Z523" s="631"/>
      <c r="AA523" s="275"/>
      <c r="AB523" s="275"/>
      <c r="AC523" s="275"/>
      <c r="AD523" s="275"/>
      <c r="AE523" s="631"/>
      <c r="AF523" s="275"/>
      <c r="AG523" s="275"/>
      <c r="AH523" s="275"/>
      <c r="AI523" s="275"/>
      <c r="AJ523" s="631"/>
      <c r="AK523" s="1518"/>
      <c r="AL523" s="1518"/>
      <c r="AM523" s="1518"/>
      <c r="AN523" s="1518"/>
      <c r="AO523" s="1519"/>
      <c r="AP523" s="1518"/>
      <c r="AQ523" s="1518"/>
      <c r="AR523" s="1518"/>
      <c r="AS523" s="1518"/>
      <c r="AT523" s="1519"/>
      <c r="AU523" s="1518"/>
      <c r="AV523" s="1518"/>
      <c r="AW523" s="1518"/>
      <c r="AX523" s="1518"/>
      <c r="AY523" s="1519"/>
      <c r="AZ523" s="1518"/>
      <c r="BA523" s="1518"/>
      <c r="BB523" s="1518"/>
      <c r="BC523" s="1518"/>
      <c r="BD523" s="1519"/>
      <c r="BE523" s="1518"/>
      <c r="BF523" s="1518"/>
      <c r="BG523" s="1518"/>
      <c r="BH523" s="1518"/>
      <c r="BI523" s="1519"/>
      <c r="BJ523" s="1518"/>
      <c r="BK523" s="1518"/>
      <c r="BL523" s="1518"/>
      <c r="BM523" s="1518"/>
      <c r="BN523" s="1519"/>
      <c r="BO523" s="1518"/>
      <c r="BP523" s="1518"/>
      <c r="BQ523" s="1518"/>
      <c r="BR523" s="1518"/>
      <c r="BS523" s="1519"/>
      <c r="BT523" s="1518"/>
      <c r="BU523" s="1518"/>
      <c r="BV523" s="1518"/>
      <c r="BW523" s="1518"/>
      <c r="BX523" s="1519"/>
      <c r="BY523" s="1518"/>
      <c r="BZ523" s="1518"/>
      <c r="CA523" s="1518"/>
      <c r="CB523" s="1518"/>
      <c r="CC523" s="1519"/>
      <c r="CD523" s="1518"/>
      <c r="CE523" s="3045"/>
      <c r="CF523" s="3045"/>
      <c r="CG523" s="3045"/>
      <c r="CH523" s="3046"/>
      <c r="CI523" s="3045"/>
      <c r="CJ523" s="3045"/>
      <c r="CK523" s="3045"/>
      <c r="CL523" s="3045"/>
      <c r="CM523" s="3046"/>
      <c r="CN523"/>
      <c r="CO523" s="3045"/>
      <c r="CP523" s="3045"/>
      <c r="CQ523"/>
      <c r="CR523" s="3046"/>
      <c r="CS523" s="3046"/>
      <c r="CT523" s="3046"/>
      <c r="DA523" s="212"/>
      <c r="DB523" s="1226"/>
    </row>
    <row r="524" spans="1:106" s="207" customFormat="1" x14ac:dyDescent="0.2">
      <c r="A524" s="3039" t="s">
        <v>2458</v>
      </c>
      <c r="B524" s="777"/>
      <c r="C524" s="777"/>
      <c r="D524" s="777"/>
      <c r="E524" s="777"/>
      <c r="F524" s="235"/>
      <c r="G524" s="777"/>
      <c r="H524" s="777"/>
      <c r="I524" s="777"/>
      <c r="J524" s="777"/>
      <c r="K524" s="235"/>
      <c r="L524" s="777"/>
      <c r="M524" s="777"/>
      <c r="N524" s="777"/>
      <c r="O524" s="777"/>
      <c r="P524" s="631"/>
      <c r="Q524" s="777"/>
      <c r="R524" s="777"/>
      <c r="S524" s="777"/>
      <c r="T524" s="777"/>
      <c r="U524" s="631"/>
      <c r="V524" s="777"/>
      <c r="W524" s="777"/>
      <c r="X524" s="777"/>
      <c r="Y524" s="777"/>
      <c r="Z524" s="631"/>
      <c r="AA524" s="275"/>
      <c r="AB524" s="275"/>
      <c r="AC524" s="275"/>
      <c r="AD524" s="275"/>
      <c r="AE524" s="631"/>
      <c r="AF524" s="275"/>
      <c r="AG524" s="275"/>
      <c r="AH524" s="275"/>
      <c r="AI524" s="275"/>
      <c r="AJ524" s="631"/>
      <c r="AK524" s="1518"/>
      <c r="AL524" s="1518"/>
      <c r="AM524" s="1518"/>
      <c r="AN524" s="1518"/>
      <c r="AO524" s="1519"/>
      <c r="AP524" s="1518"/>
      <c r="AQ524" s="1518"/>
      <c r="AR524" s="1518"/>
      <c r="AS524" s="1518"/>
      <c r="AT524" s="1519"/>
      <c r="AU524" s="1518"/>
      <c r="AV524" s="1518"/>
      <c r="AW524" s="1518"/>
      <c r="AX524" s="1518"/>
      <c r="AY524" s="1519"/>
      <c r="AZ524" s="1518"/>
      <c r="BA524" s="1518"/>
      <c r="BB524" s="1518"/>
      <c r="BC524" s="1518"/>
      <c r="BD524" s="1519"/>
      <c r="BE524" s="1518"/>
      <c r="BF524" s="1518"/>
      <c r="BG524" s="1518"/>
      <c r="BH524" s="1518"/>
      <c r="BI524" s="1519"/>
      <c r="BJ524" s="1518"/>
      <c r="BK524" s="1518"/>
      <c r="BL524" s="1518"/>
      <c r="BM524" s="1518"/>
      <c r="BN524" s="1519"/>
      <c r="BO524" s="1518"/>
      <c r="BP524" s="1518"/>
      <c r="BQ524" s="1518"/>
      <c r="BR524" s="1518"/>
      <c r="BS524" s="1519"/>
      <c r="BT524" s="1518"/>
      <c r="BU524" s="1518"/>
      <c r="BV524" s="1518"/>
      <c r="BW524" s="1518"/>
      <c r="BX524" s="1519"/>
      <c r="BY524" s="1518"/>
      <c r="BZ524" s="1518"/>
      <c r="CA524" s="1518"/>
      <c r="CB524" s="1518"/>
      <c r="CC524" s="1519"/>
      <c r="CD524" s="1518"/>
      <c r="CE524" s="3045"/>
      <c r="CF524" s="3045"/>
      <c r="CG524" s="3045"/>
      <c r="CH524" s="3046"/>
      <c r="CI524" s="3045"/>
      <c r="CJ524" s="3045"/>
      <c r="CK524" s="3045"/>
      <c r="CL524" s="3045"/>
      <c r="CM524" s="3046"/>
      <c r="CN524"/>
      <c r="CO524" s="3045"/>
      <c r="CP524" s="3045"/>
      <c r="CQ524"/>
      <c r="CR524" s="3046"/>
      <c r="CS524" s="3046"/>
      <c r="CT524" s="3046"/>
      <c r="DA524" s="212"/>
      <c r="DB524" s="1226"/>
    </row>
    <row r="525" spans="1:106" s="207" customFormat="1" x14ac:dyDescent="0.2">
      <c r="A525" s="3039" t="s">
        <v>2459</v>
      </c>
      <c r="B525" s="777"/>
      <c r="C525" s="777"/>
      <c r="D525" s="777"/>
      <c r="E525" s="777"/>
      <c r="F525" s="235"/>
      <c r="G525" s="777"/>
      <c r="H525" s="777"/>
      <c r="I525" s="777"/>
      <c r="J525" s="777"/>
      <c r="K525" s="235"/>
      <c r="L525" s="777"/>
      <c r="M525" s="777"/>
      <c r="N525" s="777"/>
      <c r="O525" s="777"/>
      <c r="P525" s="631"/>
      <c r="Q525" s="777"/>
      <c r="R525" s="777"/>
      <c r="S525" s="777"/>
      <c r="T525" s="777"/>
      <c r="U525" s="631"/>
      <c r="V525" s="777"/>
      <c r="W525" s="777"/>
      <c r="X525" s="777"/>
      <c r="Y525" s="777"/>
      <c r="Z525" s="631"/>
      <c r="AA525" s="275"/>
      <c r="AB525" s="275"/>
      <c r="AC525" s="275"/>
      <c r="AD525" s="275"/>
      <c r="AE525" s="631"/>
      <c r="AF525" s="275"/>
      <c r="AG525" s="275"/>
      <c r="AH525" s="275"/>
      <c r="AI525" s="275"/>
      <c r="AJ525" s="631"/>
      <c r="AK525" s="1518"/>
      <c r="AL525" s="1518"/>
      <c r="AM525" s="1518"/>
      <c r="AN525" s="1518"/>
      <c r="AO525" s="1519"/>
      <c r="AP525" s="1518"/>
      <c r="AQ525" s="1518"/>
      <c r="AR525" s="1518"/>
      <c r="AS525" s="1518"/>
      <c r="AT525" s="1519"/>
      <c r="AU525" s="1518"/>
      <c r="AV525" s="1518"/>
      <c r="AW525" s="1518"/>
      <c r="AX525" s="1518"/>
      <c r="AY525" s="1519"/>
      <c r="AZ525" s="1518"/>
      <c r="BA525" s="1518"/>
      <c r="BB525" s="1518"/>
      <c r="BC525" s="1518"/>
      <c r="BD525" s="1519"/>
      <c r="BE525" s="1518"/>
      <c r="BF525" s="1518"/>
      <c r="BG525" s="1518"/>
      <c r="BH525" s="1518"/>
      <c r="BI525" s="1519"/>
      <c r="BJ525" s="1518"/>
      <c r="BK525" s="1518"/>
      <c r="BL525" s="1518"/>
      <c r="BM525" s="1518"/>
      <c r="BN525" s="1519"/>
      <c r="BO525" s="1518"/>
      <c r="BP525" s="1518"/>
      <c r="BQ525" s="1518"/>
      <c r="BR525" s="1518"/>
      <c r="BS525" s="1519"/>
      <c r="BT525" s="1518"/>
      <c r="BU525" s="1518"/>
      <c r="BV525" s="1518"/>
      <c r="BW525" s="1518"/>
      <c r="BX525" s="1519"/>
      <c r="BY525" s="1518"/>
      <c r="BZ525" s="1518"/>
      <c r="CA525" s="1518"/>
      <c r="CB525" s="1518"/>
      <c r="CC525" s="1519"/>
      <c r="CD525" s="1518"/>
      <c r="CE525" s="3045"/>
      <c r="CF525" s="3045"/>
      <c r="CG525" s="3045"/>
      <c r="CH525" s="3046"/>
      <c r="CI525" s="3045"/>
      <c r="CJ525" s="3045"/>
      <c r="CK525" s="3045"/>
      <c r="CL525" s="3045"/>
      <c r="CM525" s="3046"/>
      <c r="CN525"/>
      <c r="CO525" s="3045"/>
      <c r="CP525" s="3045"/>
      <c r="CQ525"/>
      <c r="CR525" s="3046"/>
      <c r="CS525" s="3046"/>
      <c r="CT525" s="3046"/>
      <c r="DA525" s="212"/>
      <c r="DB525" s="1226"/>
    </row>
    <row r="526" spans="1:106" s="207" customFormat="1" x14ac:dyDescent="0.2">
      <c r="A526" s="3039" t="s">
        <v>2460</v>
      </c>
      <c r="B526" s="777"/>
      <c r="C526" s="777"/>
      <c r="D526" s="777"/>
      <c r="E526" s="777"/>
      <c r="F526" s="235"/>
      <c r="G526" s="777"/>
      <c r="H526" s="777"/>
      <c r="I526" s="777"/>
      <c r="J526" s="777"/>
      <c r="K526" s="235"/>
      <c r="L526" s="777"/>
      <c r="M526" s="777"/>
      <c r="N526" s="777"/>
      <c r="O526" s="777"/>
      <c r="P526" s="631"/>
      <c r="Q526" s="777"/>
      <c r="R526" s="777"/>
      <c r="S526" s="777"/>
      <c r="T526" s="777"/>
      <c r="U526" s="631"/>
      <c r="V526" s="777"/>
      <c r="W526" s="777"/>
      <c r="X526" s="777"/>
      <c r="Y526" s="777"/>
      <c r="Z526" s="631"/>
      <c r="AA526" s="275"/>
      <c r="AB526" s="275"/>
      <c r="AC526" s="275"/>
      <c r="AD526" s="275"/>
      <c r="AE526" s="631"/>
      <c r="AF526" s="275"/>
      <c r="AG526" s="275"/>
      <c r="AH526" s="275"/>
      <c r="AI526" s="275"/>
      <c r="AJ526" s="631"/>
      <c r="AK526" s="1518"/>
      <c r="AL526" s="1518"/>
      <c r="AM526" s="1518"/>
      <c r="AN526" s="1518"/>
      <c r="AO526" s="1519"/>
      <c r="AP526" s="1518"/>
      <c r="AQ526" s="1518"/>
      <c r="AR526" s="1518"/>
      <c r="AS526" s="1518"/>
      <c r="AT526" s="1519"/>
      <c r="AU526" s="1518"/>
      <c r="AV526" s="1518"/>
      <c r="AW526" s="1518"/>
      <c r="AX526" s="1518"/>
      <c r="AY526" s="1519"/>
      <c r="AZ526" s="1518"/>
      <c r="BA526" s="1518"/>
      <c r="BB526" s="1518"/>
      <c r="BC526" s="1518"/>
      <c r="BD526" s="1519"/>
      <c r="BE526" s="1518"/>
      <c r="BF526" s="1518"/>
      <c r="BG526" s="1518"/>
      <c r="BH526" s="1518"/>
      <c r="BI526" s="1519"/>
      <c r="BJ526" s="1518"/>
      <c r="BK526" s="1518"/>
      <c r="BL526" s="1518"/>
      <c r="BM526" s="1518"/>
      <c r="BN526" s="1519"/>
      <c r="BO526" s="1518"/>
      <c r="BP526" s="1518"/>
      <c r="BQ526" s="1518"/>
      <c r="BR526" s="1518"/>
      <c r="BS526" s="1519"/>
      <c r="BT526" s="1518"/>
      <c r="BU526" s="1518"/>
      <c r="BV526" s="1518"/>
      <c r="BW526" s="1518"/>
      <c r="BX526" s="1519"/>
      <c r="BY526" s="1518"/>
      <c r="BZ526" s="1518"/>
      <c r="CA526" s="1518"/>
      <c r="CB526" s="1518"/>
      <c r="CC526" s="1519"/>
      <c r="CD526" s="1518"/>
      <c r="CE526" s="3045"/>
      <c r="CF526" s="3045"/>
      <c r="CG526" s="3045"/>
      <c r="CH526" s="3046"/>
      <c r="CI526" s="3045"/>
      <c r="CJ526" s="3045"/>
      <c r="CK526" s="3045"/>
      <c r="CL526" s="3045"/>
      <c r="CM526" s="3046"/>
      <c r="CN526"/>
      <c r="CO526" s="3045"/>
      <c r="CP526" s="3045"/>
      <c r="CQ526"/>
      <c r="CR526" s="3046"/>
      <c r="CS526" s="3046"/>
      <c r="CT526" s="3046"/>
      <c r="DA526" s="212"/>
      <c r="DB526" s="1226"/>
    </row>
    <row r="527" spans="1:106" s="207" customFormat="1" x14ac:dyDescent="0.2">
      <c r="A527" s="3039" t="s">
        <v>2464</v>
      </c>
      <c r="B527" s="777"/>
      <c r="C527" s="777"/>
      <c r="D527" s="777"/>
      <c r="E527" s="777"/>
      <c r="F527" s="235"/>
      <c r="G527" s="777"/>
      <c r="H527" s="777"/>
      <c r="I527" s="777"/>
      <c r="J527" s="777"/>
      <c r="K527" s="235"/>
      <c r="L527" s="777"/>
      <c r="M527" s="777"/>
      <c r="N527" s="777"/>
      <c r="O527" s="777"/>
      <c r="P527" s="631"/>
      <c r="Q527" s="777"/>
      <c r="R527" s="777"/>
      <c r="S527" s="777"/>
      <c r="T527" s="777"/>
      <c r="U527" s="631"/>
      <c r="V527" s="777"/>
      <c r="W527" s="777"/>
      <c r="X527" s="777"/>
      <c r="Y527" s="777"/>
      <c r="Z527" s="631"/>
      <c r="AA527" s="275"/>
      <c r="AB527" s="275"/>
      <c r="AC527" s="275"/>
      <c r="AD527" s="275"/>
      <c r="AE527" s="631"/>
      <c r="AF527" s="275"/>
      <c r="AG527" s="275"/>
      <c r="AH527" s="275"/>
      <c r="AI527" s="275"/>
      <c r="AJ527" s="631"/>
      <c r="AK527" s="1518"/>
      <c r="AL527" s="1518"/>
      <c r="AM527" s="1518"/>
      <c r="AN527" s="1518"/>
      <c r="AO527" s="1519"/>
      <c r="AP527" s="1518"/>
      <c r="AQ527" s="1518"/>
      <c r="AR527" s="1518"/>
      <c r="AS527" s="1518"/>
      <c r="AT527" s="1519"/>
      <c r="AU527" s="1518"/>
      <c r="AV527" s="1518"/>
      <c r="AW527" s="1518"/>
      <c r="AX527" s="1518"/>
      <c r="AY527" s="1519"/>
      <c r="AZ527" s="1518"/>
      <c r="BA527" s="1518"/>
      <c r="BB527" s="1518"/>
      <c r="BC527" s="1518"/>
      <c r="BD527" s="1519"/>
      <c r="BE527" s="1518"/>
      <c r="BF527" s="1518"/>
      <c r="BG527" s="1518"/>
      <c r="BH527" s="1518"/>
      <c r="BI527" s="1519"/>
      <c r="BJ527" s="1518"/>
      <c r="BK527" s="1518"/>
      <c r="BL527" s="1518"/>
      <c r="BM527" s="1518"/>
      <c r="BN527" s="1519"/>
      <c r="BO527" s="1518"/>
      <c r="BP527" s="1518"/>
      <c r="BQ527" s="1518"/>
      <c r="BR527" s="1518"/>
      <c r="BS527" s="1519"/>
      <c r="BT527" s="1518"/>
      <c r="BU527" s="1518"/>
      <c r="BV527" s="1518"/>
      <c r="BW527" s="1518"/>
      <c r="BX527" s="1519"/>
      <c r="BY527" s="1518"/>
      <c r="BZ527" s="1518"/>
      <c r="CA527" s="1518"/>
      <c r="CB527" s="1518"/>
      <c r="CC527" s="1519"/>
      <c r="CD527" s="1518"/>
      <c r="CE527" s="3045"/>
      <c r="CF527" s="3045"/>
      <c r="CG527" s="3045"/>
      <c r="CH527" s="3046"/>
      <c r="CI527" s="3045"/>
      <c r="CJ527" s="3045"/>
      <c r="CK527" s="3045"/>
      <c r="CL527" s="3045"/>
      <c r="CM527" s="3046"/>
      <c r="CN527"/>
      <c r="CO527" s="3045"/>
      <c r="CP527" s="3045"/>
      <c r="CQ527"/>
      <c r="CR527" s="3046"/>
      <c r="CS527" s="3046"/>
      <c r="CT527" s="3046"/>
      <c r="DA527" s="212"/>
      <c r="DB527" s="1226"/>
    </row>
    <row r="528" spans="1:106" s="207" customFormat="1" x14ac:dyDescent="0.2">
      <c r="A528" s="3039" t="s">
        <v>2462</v>
      </c>
      <c r="B528" s="777"/>
      <c r="C528" s="777"/>
      <c r="D528" s="777"/>
      <c r="E528" s="777"/>
      <c r="F528" s="235"/>
      <c r="G528" s="777"/>
      <c r="H528" s="777"/>
      <c r="I528" s="777"/>
      <c r="J528" s="777"/>
      <c r="K528" s="235"/>
      <c r="L528" s="777"/>
      <c r="M528" s="777"/>
      <c r="N528" s="777"/>
      <c r="O528" s="777"/>
      <c r="P528" s="631"/>
      <c r="Q528" s="777"/>
      <c r="R528" s="777"/>
      <c r="S528" s="777"/>
      <c r="T528" s="777"/>
      <c r="U528" s="631"/>
      <c r="V528" s="777"/>
      <c r="W528" s="777"/>
      <c r="X528" s="777"/>
      <c r="Y528" s="777"/>
      <c r="Z528" s="631"/>
      <c r="AA528" s="275"/>
      <c r="AB528" s="275"/>
      <c r="AC528" s="275"/>
      <c r="AD528" s="275"/>
      <c r="AE528" s="631"/>
      <c r="AF528" s="275"/>
      <c r="AG528" s="275"/>
      <c r="AH528" s="275"/>
      <c r="AI528" s="275"/>
      <c r="AJ528" s="631"/>
      <c r="AK528" s="1518"/>
      <c r="AL528" s="1518"/>
      <c r="AM528" s="1518"/>
      <c r="AN528" s="1518"/>
      <c r="AO528" s="1519"/>
      <c r="AP528" s="1518"/>
      <c r="AQ528" s="1518"/>
      <c r="AR528" s="1518"/>
      <c r="AS528" s="1518"/>
      <c r="AT528" s="1519"/>
      <c r="AU528" s="1518"/>
      <c r="AV528" s="1518"/>
      <c r="AW528" s="1518"/>
      <c r="AX528" s="1518"/>
      <c r="AY528" s="1519"/>
      <c r="AZ528" s="1518"/>
      <c r="BA528" s="1518"/>
      <c r="BB528" s="1518"/>
      <c r="BC528" s="1518"/>
      <c r="BD528" s="1519"/>
      <c r="BE528" s="1518"/>
      <c r="BF528" s="1518"/>
      <c r="BG528" s="1518"/>
      <c r="BH528" s="1518"/>
      <c r="BI528" s="1519"/>
      <c r="BJ528" s="1518"/>
      <c r="BK528" s="1518"/>
      <c r="BL528" s="1518"/>
      <c r="BM528" s="1518"/>
      <c r="BN528" s="1519"/>
      <c r="BO528" s="1518"/>
      <c r="BP528" s="1518"/>
      <c r="BQ528" s="1518"/>
      <c r="BR528" s="1518"/>
      <c r="BS528" s="1519"/>
      <c r="BT528" s="1518"/>
      <c r="BU528" s="1518"/>
      <c r="BV528" s="1518"/>
      <c r="BW528" s="1518"/>
      <c r="BX528" s="1519"/>
      <c r="BY528" s="1518"/>
      <c r="BZ528" s="1518"/>
      <c r="CA528" s="1518"/>
      <c r="CB528" s="1518"/>
      <c r="CC528" s="1519"/>
      <c r="CD528" s="1518"/>
      <c r="CE528" s="3045"/>
      <c r="CF528" s="3045"/>
      <c r="CG528" s="3045"/>
      <c r="CH528" s="3046"/>
      <c r="CI528" s="3045"/>
      <c r="CJ528" s="3045"/>
      <c r="CK528" s="3045"/>
      <c r="CL528" s="3045"/>
      <c r="CM528" s="3046"/>
      <c r="CN528"/>
      <c r="CO528" s="3045"/>
      <c r="CP528" s="3045"/>
      <c r="CQ528"/>
      <c r="CR528" s="3046"/>
      <c r="CS528" s="3046"/>
      <c r="CT528" s="3046"/>
      <c r="DA528" s="212"/>
      <c r="DB528" s="1226"/>
    </row>
    <row r="529" spans="1:106" s="207" customFormat="1" x14ac:dyDescent="0.2">
      <c r="A529" s="3039" t="s">
        <v>1931</v>
      </c>
      <c r="B529" s="777"/>
      <c r="C529" s="777"/>
      <c r="D529" s="777"/>
      <c r="E529" s="777"/>
      <c r="F529" s="235"/>
      <c r="G529" s="777"/>
      <c r="H529" s="777"/>
      <c r="I529" s="777"/>
      <c r="J529" s="777"/>
      <c r="K529" s="235"/>
      <c r="L529" s="777"/>
      <c r="M529" s="777"/>
      <c r="N529" s="777"/>
      <c r="O529" s="777"/>
      <c r="P529" s="631"/>
      <c r="Q529" s="777"/>
      <c r="R529" s="777"/>
      <c r="S529" s="777"/>
      <c r="T529" s="777"/>
      <c r="U529" s="631"/>
      <c r="V529" s="777"/>
      <c r="W529" s="777"/>
      <c r="X529" s="777"/>
      <c r="Y529" s="777"/>
      <c r="Z529" s="631"/>
      <c r="AA529" s="275"/>
      <c r="AB529" s="275"/>
      <c r="AC529" s="275"/>
      <c r="AD529" s="275"/>
      <c r="AE529" s="631"/>
      <c r="AF529" s="275"/>
      <c r="AG529" s="275"/>
      <c r="AH529" s="275"/>
      <c r="AI529" s="275"/>
      <c r="AJ529" s="631"/>
      <c r="AK529" s="1518"/>
      <c r="AL529" s="1518"/>
      <c r="AM529" s="1518"/>
      <c r="AN529" s="1518"/>
      <c r="AO529" s="1519"/>
      <c r="AP529" s="1518"/>
      <c r="AQ529" s="1518"/>
      <c r="AR529" s="1518"/>
      <c r="AS529" s="1518"/>
      <c r="AT529" s="1519"/>
      <c r="AU529" s="1518"/>
      <c r="AV529" s="1518"/>
      <c r="AW529" s="1518"/>
      <c r="AX529" s="1518"/>
      <c r="AY529" s="1519"/>
      <c r="AZ529" s="1518"/>
      <c r="BA529" s="1518"/>
      <c r="BB529" s="1518"/>
      <c r="BC529" s="1518"/>
      <c r="BD529" s="1519"/>
      <c r="BE529" s="1518"/>
      <c r="BF529" s="1518"/>
      <c r="BG529" s="1518"/>
      <c r="BH529" s="1518"/>
      <c r="BI529" s="1519"/>
      <c r="BJ529" s="1518"/>
      <c r="BK529" s="1518"/>
      <c r="BL529" s="1518"/>
      <c r="BM529" s="1518"/>
      <c r="BN529" s="1519"/>
      <c r="BO529" s="1518"/>
      <c r="BP529" s="1518"/>
      <c r="BQ529" s="1518"/>
      <c r="BR529" s="1518"/>
      <c r="BS529" s="1519"/>
      <c r="BT529" s="1518"/>
      <c r="BU529" s="1518"/>
      <c r="BV529" s="1518"/>
      <c r="BW529" s="1518"/>
      <c r="BX529" s="1519"/>
      <c r="BY529" s="1518"/>
      <c r="BZ529" s="1518"/>
      <c r="CA529" s="1518"/>
      <c r="CB529" s="1518"/>
      <c r="CC529" s="1519"/>
      <c r="CD529" s="1518"/>
      <c r="CE529" s="3045"/>
      <c r="CF529" s="3045"/>
      <c r="CG529" s="3045"/>
      <c r="CH529" s="3046"/>
      <c r="CI529" s="3045"/>
      <c r="CJ529" s="3045"/>
      <c r="CK529" s="3045"/>
      <c r="CL529" s="3045"/>
      <c r="CM529" s="3046"/>
      <c r="CN529" s="44"/>
      <c r="CO529" s="3045"/>
      <c r="CP529" s="3045"/>
      <c r="CQ529" s="374"/>
      <c r="CR529" s="3046"/>
      <c r="CS529" s="3046"/>
      <c r="CT529" s="3046"/>
      <c r="DA529" s="212"/>
      <c r="DB529" s="1226"/>
    </row>
    <row r="530" spans="1:106" s="207" customFormat="1" x14ac:dyDescent="0.2">
      <c r="A530" s="1606" t="s">
        <v>447</v>
      </c>
      <c r="B530" s="1459"/>
      <c r="C530" s="1459"/>
      <c r="D530" s="1459"/>
      <c r="E530" s="1459"/>
      <c r="F530" s="1497"/>
      <c r="G530" s="1459"/>
      <c r="H530" s="1459"/>
      <c r="I530" s="1459"/>
      <c r="J530" s="1459"/>
      <c r="K530" s="1497"/>
      <c r="L530" s="1459"/>
      <c r="M530" s="1459"/>
      <c r="N530" s="1459"/>
      <c r="O530" s="1459"/>
      <c r="P530" s="1461"/>
      <c r="Q530" s="1459"/>
      <c r="R530" s="1459"/>
      <c r="S530" s="1459"/>
      <c r="T530" s="1459"/>
      <c r="U530" s="1461"/>
      <c r="V530" s="1459"/>
      <c r="W530" s="1459"/>
      <c r="X530" s="1459"/>
      <c r="Y530" s="1459"/>
      <c r="Z530" s="1461"/>
      <c r="AA530" s="1460"/>
      <c r="AB530" s="1460"/>
      <c r="AC530" s="1460"/>
      <c r="AD530" s="1460"/>
      <c r="AE530" s="1461"/>
      <c r="AF530" s="1460"/>
      <c r="AG530" s="1460"/>
      <c r="AH530" s="1460"/>
      <c r="AI530" s="1460"/>
      <c r="AJ530" s="1461"/>
      <c r="AK530" s="1607">
        <f t="shared" ref="AK530:AY530" si="410">+AK506/AK$506</f>
        <v>1</v>
      </c>
      <c r="AL530" s="1607">
        <f t="shared" si="410"/>
        <v>1</v>
      </c>
      <c r="AM530" s="1607">
        <f t="shared" si="410"/>
        <v>1</v>
      </c>
      <c r="AN530" s="1607">
        <f t="shared" si="410"/>
        <v>1</v>
      </c>
      <c r="AO530" s="1610">
        <f t="shared" si="410"/>
        <v>1</v>
      </c>
      <c r="AP530" s="1607">
        <f t="shared" si="410"/>
        <v>1</v>
      </c>
      <c r="AQ530" s="1607">
        <f t="shared" si="410"/>
        <v>1</v>
      </c>
      <c r="AR530" s="1607">
        <f t="shared" si="410"/>
        <v>1</v>
      </c>
      <c r="AS530" s="1607">
        <f t="shared" si="410"/>
        <v>1</v>
      </c>
      <c r="AT530" s="1610">
        <f t="shared" si="410"/>
        <v>1</v>
      </c>
      <c r="AU530" s="1607">
        <f t="shared" si="410"/>
        <v>1</v>
      </c>
      <c r="AV530" s="1607">
        <f t="shared" si="410"/>
        <v>1</v>
      </c>
      <c r="AW530" s="1607">
        <f t="shared" si="410"/>
        <v>1</v>
      </c>
      <c r="AX530" s="1607">
        <f t="shared" si="410"/>
        <v>1</v>
      </c>
      <c r="AY530" s="1610">
        <f t="shared" si="410"/>
        <v>1</v>
      </c>
      <c r="AZ530" s="1607">
        <f t="shared" ref="AZ530:BN530" si="411">+AZ506/AZ$506</f>
        <v>1</v>
      </c>
      <c r="BA530" s="1607">
        <f t="shared" si="411"/>
        <v>1</v>
      </c>
      <c r="BB530" s="1607">
        <f t="shared" si="411"/>
        <v>1</v>
      </c>
      <c r="BC530" s="1607">
        <f t="shared" si="411"/>
        <v>1</v>
      </c>
      <c r="BD530" s="1610">
        <f t="shared" si="411"/>
        <v>1</v>
      </c>
      <c r="BE530" s="1607">
        <f t="shared" si="411"/>
        <v>1</v>
      </c>
      <c r="BF530" s="1607">
        <f t="shared" si="411"/>
        <v>1</v>
      </c>
      <c r="BG530" s="1607">
        <f t="shared" si="411"/>
        <v>1</v>
      </c>
      <c r="BH530" s="1607">
        <f t="shared" si="411"/>
        <v>1</v>
      </c>
      <c r="BI530" s="1610">
        <f t="shared" si="411"/>
        <v>1</v>
      </c>
      <c r="BJ530" s="1607">
        <f t="shared" si="411"/>
        <v>1</v>
      </c>
      <c r="BK530" s="1607">
        <f t="shared" si="411"/>
        <v>1</v>
      </c>
      <c r="BL530" s="1607">
        <f t="shared" si="411"/>
        <v>1</v>
      </c>
      <c r="BM530" s="1607">
        <f t="shared" si="411"/>
        <v>1</v>
      </c>
      <c r="BN530" s="1610">
        <f t="shared" si="411"/>
        <v>1</v>
      </c>
      <c r="BO530" s="1607">
        <f t="shared" ref="BO530:BV530" si="412">+BO506/BO$506</f>
        <v>1</v>
      </c>
      <c r="BP530" s="1607">
        <f>+BP506/BP$506</f>
        <v>1</v>
      </c>
      <c r="BQ530" s="1607">
        <f t="shared" si="412"/>
        <v>1</v>
      </c>
      <c r="BR530" s="1607">
        <f t="shared" si="412"/>
        <v>1</v>
      </c>
      <c r="BS530" s="1610">
        <f t="shared" si="412"/>
        <v>1</v>
      </c>
      <c r="BT530" s="1607">
        <f>+BT506/BT$506</f>
        <v>1</v>
      </c>
      <c r="BU530" s="1607">
        <f t="shared" si="412"/>
        <v>1</v>
      </c>
      <c r="BV530" s="1607">
        <f t="shared" si="412"/>
        <v>1</v>
      </c>
      <c r="BW530" s="1607">
        <f t="shared" ref="BW530:CF530" si="413">+BW506/BW$506</f>
        <v>1</v>
      </c>
      <c r="BX530" s="1610">
        <f t="shared" si="413"/>
        <v>1</v>
      </c>
      <c r="BY530" s="1607">
        <f t="shared" si="413"/>
        <v>1</v>
      </c>
      <c r="BZ530" s="1607">
        <f t="shared" si="413"/>
        <v>1</v>
      </c>
      <c r="CA530" s="1607">
        <f t="shared" si="413"/>
        <v>1</v>
      </c>
      <c r="CB530" s="1607">
        <f t="shared" si="413"/>
        <v>1</v>
      </c>
      <c r="CC530" s="1610">
        <f t="shared" si="413"/>
        <v>1</v>
      </c>
      <c r="CD530" s="1607">
        <f t="shared" si="413"/>
        <v>1</v>
      </c>
      <c r="CE530" s="1607">
        <f t="shared" si="413"/>
        <v>1</v>
      </c>
      <c r="CF530" s="1607">
        <f t="shared" si="413"/>
        <v>1</v>
      </c>
      <c r="CG530" s="1607"/>
      <c r="CH530" s="1610"/>
      <c r="CI530" s="1607"/>
      <c r="CJ530" s="1607"/>
      <c r="CK530" s="1607"/>
      <c r="CL530" s="1607"/>
      <c r="CM530" s="1610"/>
      <c r="CN530" s="2665"/>
      <c r="CO530" s="1607"/>
      <c r="CP530" s="1607"/>
      <c r="CQ530" s="9"/>
      <c r="CR530" s="77"/>
      <c r="CS530" s="1610"/>
      <c r="CT530" s="1610"/>
      <c r="DA530" s="212"/>
      <c r="DB530" s="1226"/>
    </row>
    <row r="531" spans="1:106" customFormat="1" x14ac:dyDescent="0.2">
      <c r="A531" s="662"/>
      <c r="BI531" s="1616"/>
      <c r="CE531" s="3045"/>
      <c r="DA531" s="212"/>
      <c r="DB531" s="1226"/>
    </row>
    <row r="532" spans="1:106" customFormat="1" x14ac:dyDescent="0.2">
      <c r="A532" s="662"/>
      <c r="BI532" s="1616"/>
      <c r="DA532" s="212"/>
      <c r="DB532" s="1226"/>
    </row>
    <row r="533" spans="1:106" s="207" customFormat="1" x14ac:dyDescent="0.2">
      <c r="A533" s="873" t="s">
        <v>552</v>
      </c>
      <c r="B533" s="1513" t="str">
        <f t="shared" ref="B533:AG533" si="414">+B$5</f>
        <v>1Q00</v>
      </c>
      <c r="C533" s="1513" t="str">
        <f t="shared" si="414"/>
        <v>2Q00</v>
      </c>
      <c r="D533" s="1513" t="str">
        <f t="shared" si="414"/>
        <v>3Q00</v>
      </c>
      <c r="E533" s="1513" t="str">
        <f t="shared" si="414"/>
        <v>4Q00</v>
      </c>
      <c r="F533" s="1514">
        <f t="shared" si="414"/>
        <v>2000</v>
      </c>
      <c r="G533" s="1513" t="str">
        <f t="shared" si="414"/>
        <v>1Q01</v>
      </c>
      <c r="H533" s="1513" t="str">
        <f t="shared" si="414"/>
        <v>2Q01</v>
      </c>
      <c r="I533" s="1513" t="str">
        <f t="shared" si="414"/>
        <v>3Q01</v>
      </c>
      <c r="J533" s="1513" t="str">
        <f t="shared" si="414"/>
        <v>4Q01</v>
      </c>
      <c r="K533" s="1514">
        <f t="shared" si="414"/>
        <v>2001</v>
      </c>
      <c r="L533" s="1513" t="str">
        <f t="shared" si="414"/>
        <v>1Q02</v>
      </c>
      <c r="M533" s="1513" t="str">
        <f t="shared" si="414"/>
        <v>2Q02</v>
      </c>
      <c r="N533" s="1513" t="str">
        <f t="shared" si="414"/>
        <v>3Q02</v>
      </c>
      <c r="O533" s="1513" t="str">
        <f t="shared" si="414"/>
        <v>4Q02</v>
      </c>
      <c r="P533" s="1514">
        <f t="shared" si="414"/>
        <v>2002</v>
      </c>
      <c r="Q533" s="1513" t="str">
        <f t="shared" si="414"/>
        <v>1Q03</v>
      </c>
      <c r="R533" s="1513" t="str">
        <f t="shared" si="414"/>
        <v>2Q03</v>
      </c>
      <c r="S533" s="1513" t="str">
        <f t="shared" si="414"/>
        <v>3Q03</v>
      </c>
      <c r="T533" s="1513" t="str">
        <f t="shared" si="414"/>
        <v>4Q03</v>
      </c>
      <c r="U533" s="1514">
        <f t="shared" si="414"/>
        <v>2003</v>
      </c>
      <c r="V533" s="1513" t="str">
        <f t="shared" si="414"/>
        <v>1Q04</v>
      </c>
      <c r="W533" s="1513" t="str">
        <f t="shared" si="414"/>
        <v>2Q04</v>
      </c>
      <c r="X533" s="1513" t="str">
        <f t="shared" si="414"/>
        <v>3Q04</v>
      </c>
      <c r="Y533" s="1513" t="str">
        <f t="shared" si="414"/>
        <v>4Q04</v>
      </c>
      <c r="Z533" s="1514" t="str">
        <f t="shared" si="414"/>
        <v>2004</v>
      </c>
      <c r="AA533" s="1513" t="str">
        <f t="shared" si="414"/>
        <v>1Q05</v>
      </c>
      <c r="AB533" s="1513" t="str">
        <f t="shared" si="414"/>
        <v>2Q05</v>
      </c>
      <c r="AC533" s="1513" t="str">
        <f t="shared" si="414"/>
        <v>3Q05</v>
      </c>
      <c r="AD533" s="1513" t="str">
        <f t="shared" si="414"/>
        <v>4Q05</v>
      </c>
      <c r="AE533" s="1514">
        <f t="shared" si="414"/>
        <v>2005</v>
      </c>
      <c r="AF533" s="1513" t="str">
        <f t="shared" si="414"/>
        <v>1Q06</v>
      </c>
      <c r="AG533" s="1513" t="str">
        <f t="shared" si="414"/>
        <v>2Q06</v>
      </c>
      <c r="AH533" s="1513" t="str">
        <f t="shared" ref="AH533:BM533" si="415">+AH$5</f>
        <v>3Q06</v>
      </c>
      <c r="AI533" s="1513" t="str">
        <f t="shared" si="415"/>
        <v>4Q06</v>
      </c>
      <c r="AJ533" s="1514">
        <f t="shared" si="415"/>
        <v>2006</v>
      </c>
      <c r="AK533" s="1513" t="str">
        <f t="shared" si="415"/>
        <v>1Q07</v>
      </c>
      <c r="AL533" s="1513" t="str">
        <f t="shared" si="415"/>
        <v>2Q07</v>
      </c>
      <c r="AM533" s="1513" t="str">
        <f t="shared" si="415"/>
        <v>3Q07</v>
      </c>
      <c r="AN533" s="1513" t="str">
        <f t="shared" si="415"/>
        <v>4Q07</v>
      </c>
      <c r="AO533" s="1514" t="str">
        <f t="shared" si="415"/>
        <v>2007</v>
      </c>
      <c r="AP533" s="1513" t="str">
        <f t="shared" si="415"/>
        <v>1Q08</v>
      </c>
      <c r="AQ533" s="1513" t="str">
        <f t="shared" si="415"/>
        <v>2Q08</v>
      </c>
      <c r="AR533" s="1513" t="str">
        <f t="shared" si="415"/>
        <v>3Q08</v>
      </c>
      <c r="AS533" s="1513" t="str">
        <f t="shared" si="415"/>
        <v>4Q08</v>
      </c>
      <c r="AT533" s="1514" t="str">
        <f t="shared" si="415"/>
        <v>2008</v>
      </c>
      <c r="AU533" s="1513" t="str">
        <f t="shared" si="415"/>
        <v>1Q09</v>
      </c>
      <c r="AV533" s="1513" t="str">
        <f t="shared" si="415"/>
        <v>2Q09</v>
      </c>
      <c r="AW533" s="1513" t="str">
        <f t="shared" si="415"/>
        <v>3Q09</v>
      </c>
      <c r="AX533" s="1513" t="str">
        <f t="shared" si="415"/>
        <v>4Q09</v>
      </c>
      <c r="AY533" s="1514" t="str">
        <f t="shared" si="415"/>
        <v>2009</v>
      </c>
      <c r="AZ533" s="1513" t="str">
        <f t="shared" si="415"/>
        <v>1Q10</v>
      </c>
      <c r="BA533" s="1513" t="str">
        <f t="shared" si="415"/>
        <v>2Q10</v>
      </c>
      <c r="BB533" s="1513" t="str">
        <f t="shared" si="415"/>
        <v>3Q10</v>
      </c>
      <c r="BC533" s="1513" t="str">
        <f t="shared" si="415"/>
        <v>4Q10</v>
      </c>
      <c r="BD533" s="1514" t="str">
        <f t="shared" si="415"/>
        <v>2010</v>
      </c>
      <c r="BE533" s="1513" t="str">
        <f t="shared" si="415"/>
        <v>1Q11</v>
      </c>
      <c r="BF533" s="1513" t="str">
        <f t="shared" si="415"/>
        <v>2Q11</v>
      </c>
      <c r="BG533" s="1513" t="str">
        <f t="shared" si="415"/>
        <v>3Q11</v>
      </c>
      <c r="BH533" s="1513" t="str">
        <f t="shared" si="415"/>
        <v>4Q11</v>
      </c>
      <c r="BI533" s="1514">
        <f t="shared" si="415"/>
        <v>2011</v>
      </c>
      <c r="BJ533" s="1513" t="str">
        <f t="shared" si="415"/>
        <v>1Q12</v>
      </c>
      <c r="BK533" s="1513" t="str">
        <f t="shared" si="415"/>
        <v>2Q12</v>
      </c>
      <c r="BL533" s="1513" t="str">
        <f t="shared" si="415"/>
        <v>3Q12</v>
      </c>
      <c r="BM533" s="1513" t="str">
        <f t="shared" si="415"/>
        <v>4Q12</v>
      </c>
      <c r="BN533" s="1514">
        <f t="shared" ref="BN533:CT533" si="416">+BN$5</f>
        <v>2012</v>
      </c>
      <c r="BO533" s="1513" t="str">
        <f t="shared" si="416"/>
        <v>1Q13</v>
      </c>
      <c r="BP533" s="1513" t="str">
        <f t="shared" si="416"/>
        <v>2Q13</v>
      </c>
      <c r="BQ533" s="1513" t="str">
        <f t="shared" si="416"/>
        <v>3Q13</v>
      </c>
      <c r="BR533" s="1513" t="str">
        <f t="shared" si="416"/>
        <v>4Q13</v>
      </c>
      <c r="BS533" s="1514">
        <f t="shared" si="416"/>
        <v>2013</v>
      </c>
      <c r="BT533" s="1513" t="str">
        <f t="shared" si="416"/>
        <v>1Q14</v>
      </c>
      <c r="BU533" s="1513" t="str">
        <f t="shared" si="416"/>
        <v>2Q14</v>
      </c>
      <c r="BV533" s="1513" t="str">
        <f t="shared" si="416"/>
        <v>3Q14</v>
      </c>
      <c r="BW533" s="1513" t="str">
        <f t="shared" si="416"/>
        <v>4Q14</v>
      </c>
      <c r="BX533" s="1514">
        <f t="shared" si="416"/>
        <v>2014</v>
      </c>
      <c r="BY533" s="1513" t="str">
        <f t="shared" si="416"/>
        <v>1Q15</v>
      </c>
      <c r="BZ533" s="1513" t="str">
        <f t="shared" si="416"/>
        <v>2Q15</v>
      </c>
      <c r="CA533" s="1513" t="str">
        <f t="shared" si="416"/>
        <v>3Q15</v>
      </c>
      <c r="CB533" s="1513" t="str">
        <f t="shared" si="416"/>
        <v>4Q15</v>
      </c>
      <c r="CC533" s="1514">
        <f t="shared" si="416"/>
        <v>2015</v>
      </c>
      <c r="CD533" s="1513" t="str">
        <f t="shared" si="416"/>
        <v>1Q16</v>
      </c>
      <c r="CE533" s="1513" t="str">
        <f t="shared" si="416"/>
        <v>2Q16</v>
      </c>
      <c r="CF533" s="1513" t="str">
        <f t="shared" si="416"/>
        <v>3Q16</v>
      </c>
      <c r="CG533" s="1513" t="str">
        <f t="shared" si="416"/>
        <v>4Q16</v>
      </c>
      <c r="CH533" s="1514">
        <f t="shared" si="416"/>
        <v>2016</v>
      </c>
      <c r="CI533" s="1513" t="str">
        <f t="shared" si="416"/>
        <v>1Q17</v>
      </c>
      <c r="CJ533" s="1513" t="str">
        <f t="shared" si="416"/>
        <v>2Q17</v>
      </c>
      <c r="CK533" s="1513" t="str">
        <f t="shared" si="416"/>
        <v>3Q17</v>
      </c>
      <c r="CL533" s="1513" t="str">
        <f t="shared" si="416"/>
        <v>4Q17A</v>
      </c>
      <c r="CM533" s="1514" t="str">
        <f t="shared" si="416"/>
        <v>2017A</v>
      </c>
      <c r="CN533" s="1513" t="str">
        <f t="shared" si="416"/>
        <v>1Q18E</v>
      </c>
      <c r="CO533" s="1513" t="str">
        <f t="shared" si="416"/>
        <v>2Q18E</v>
      </c>
      <c r="CP533" s="1513" t="str">
        <f t="shared" si="416"/>
        <v>3Q18E</v>
      </c>
      <c r="CQ533" s="1513" t="str">
        <f t="shared" si="416"/>
        <v>4Q18E</v>
      </c>
      <c r="CR533" s="1514" t="str">
        <f t="shared" si="416"/>
        <v>2018E</v>
      </c>
      <c r="CS533" s="1624" t="str">
        <f t="shared" si="416"/>
        <v>2019E</v>
      </c>
      <c r="CT533" s="1624" t="str">
        <f t="shared" si="416"/>
        <v>2020E</v>
      </c>
      <c r="DA533" s="212"/>
      <c r="DB533" s="1226"/>
    </row>
    <row r="534" spans="1:106" s="207" customFormat="1" x14ac:dyDescent="0.2">
      <c r="A534" s="1437"/>
      <c r="B534" s="1499"/>
      <c r="C534" s="1499"/>
      <c r="D534" s="1499"/>
      <c r="E534" s="1499"/>
      <c r="F534" s="1500"/>
      <c r="G534" s="1499"/>
      <c r="H534" s="1499"/>
      <c r="I534" s="1499"/>
      <c r="J534" s="1499"/>
      <c r="K534" s="1500"/>
      <c r="L534" s="1499"/>
      <c r="M534" s="1499"/>
      <c r="N534" s="1499"/>
      <c r="O534" s="1499"/>
      <c r="P534" s="1500"/>
      <c r="Q534" s="1499"/>
      <c r="R534" s="1499"/>
      <c r="S534" s="1499"/>
      <c r="T534" s="1499"/>
      <c r="U534" s="1500"/>
      <c r="V534" s="1499"/>
      <c r="W534" s="1499"/>
      <c r="X534" s="1499"/>
      <c r="Y534" s="1499"/>
      <c r="Z534" s="1500"/>
      <c r="AA534" s="1499"/>
      <c r="AB534" s="1499"/>
      <c r="AC534" s="1499"/>
      <c r="AD534" s="1499"/>
      <c r="AE534" s="1500"/>
      <c r="AF534" s="1499"/>
      <c r="AG534" s="1499"/>
      <c r="AH534" s="1499"/>
      <c r="AI534" s="1499"/>
      <c r="AJ534" s="1500"/>
      <c r="AK534" s="1499"/>
      <c r="AL534" s="1499"/>
      <c r="AM534" s="1499"/>
      <c r="AN534" s="1499"/>
      <c r="AO534" s="1500"/>
      <c r="AP534" s="1499"/>
      <c r="AQ534" s="1499"/>
      <c r="AR534" s="1499"/>
      <c r="AS534" s="1499"/>
      <c r="AT534" s="1500"/>
      <c r="AU534" s="1499"/>
      <c r="AV534" s="1499"/>
      <c r="AW534" s="1499"/>
      <c r="AX534" s="1499"/>
      <c r="AY534" s="1500"/>
      <c r="AZ534" s="1499"/>
      <c r="BA534" s="1499"/>
      <c r="BB534" s="1499"/>
      <c r="BC534" s="1499"/>
      <c r="BD534" s="1500"/>
      <c r="BE534" s="1499"/>
      <c r="BF534" s="1499"/>
      <c r="BG534" s="1499"/>
      <c r="BH534" s="1499"/>
      <c r="BI534" s="1500"/>
      <c r="BJ534" s="1499"/>
      <c r="BK534" s="1499"/>
      <c r="BL534" s="1499"/>
      <c r="BM534" s="1499"/>
      <c r="BN534" s="1500"/>
      <c r="BO534" s="1499"/>
      <c r="BP534" s="1499"/>
      <c r="BQ534" s="1499"/>
      <c r="BR534" s="1499"/>
      <c r="BS534" s="1500"/>
      <c r="BT534" s="1499"/>
      <c r="BU534" s="1499"/>
      <c r="BV534" s="1499"/>
      <c r="BW534" s="1499"/>
      <c r="BX534" s="1500"/>
      <c r="BY534" s="1499"/>
      <c r="BZ534" s="1499"/>
      <c r="CA534" s="1499"/>
      <c r="CB534" s="1499"/>
      <c r="CC534" s="1500"/>
      <c r="CD534" s="1499"/>
      <c r="CE534" s="1499"/>
      <c r="CF534" s="1499"/>
      <c r="CG534" s="1499"/>
      <c r="CH534" s="1500"/>
      <c r="CI534" s="1499"/>
      <c r="CJ534" s="1499"/>
      <c r="CK534" s="1499"/>
      <c r="CL534" s="1502"/>
      <c r="CM534" s="1503"/>
      <c r="CN534"/>
      <c r="CO534"/>
      <c r="CP534"/>
      <c r="CQ534" s="3649"/>
      <c r="CR534" s="1500"/>
      <c r="CS534" s="1503"/>
      <c r="CT534" s="1503"/>
      <c r="DA534" s="212"/>
      <c r="DB534" s="1226"/>
    </row>
    <row r="535" spans="1:106" s="207" customFormat="1" x14ac:dyDescent="0.2">
      <c r="A535" s="1437" t="s">
        <v>9</v>
      </c>
      <c r="B535" s="924"/>
      <c r="C535" s="924"/>
      <c r="D535" s="924"/>
      <c r="E535" s="924"/>
      <c r="F535" s="1622"/>
      <c r="G535" s="924"/>
      <c r="H535" s="924"/>
      <c r="I535" s="924"/>
      <c r="J535" s="924"/>
      <c r="K535" s="1622"/>
      <c r="L535" s="924"/>
      <c r="M535" s="924"/>
      <c r="N535" s="924"/>
      <c r="O535" s="924"/>
      <c r="P535" s="1622"/>
      <c r="Q535" s="924"/>
      <c r="R535" s="924"/>
      <c r="S535" s="924"/>
      <c r="T535" s="924"/>
      <c r="U535" s="1622"/>
      <c r="V535" s="924"/>
      <c r="W535" s="924"/>
      <c r="X535" s="924"/>
      <c r="Y535" s="924"/>
      <c r="Z535" s="1622"/>
      <c r="AA535" s="924"/>
      <c r="AB535" s="924"/>
      <c r="AC535" s="924"/>
      <c r="AD535" s="924"/>
      <c r="AE535" s="1622"/>
      <c r="AF535" s="924"/>
      <c r="AG535" s="924"/>
      <c r="AH535" s="924"/>
      <c r="AI535" s="924"/>
      <c r="AJ535" s="1622"/>
      <c r="AK535" s="924"/>
      <c r="AL535" s="924"/>
      <c r="AM535" s="924"/>
      <c r="AN535" s="924"/>
      <c r="AO535" s="1622"/>
      <c r="AP535" s="924"/>
      <c r="AQ535" s="924"/>
      <c r="AR535" s="924"/>
      <c r="AS535" s="924"/>
      <c r="AT535" s="1622"/>
      <c r="AU535" s="924"/>
      <c r="AV535" s="924"/>
      <c r="AW535" s="924"/>
      <c r="AX535" s="924"/>
      <c r="AY535" s="1622"/>
      <c r="AZ535" s="924"/>
      <c r="BA535" s="924"/>
      <c r="BB535" s="924"/>
      <c r="BC535" s="924"/>
      <c r="BD535" s="1622"/>
      <c r="BE535" s="924"/>
      <c r="BF535" s="924"/>
      <c r="BG535" s="924"/>
      <c r="BH535" s="924"/>
      <c r="BI535" s="1622"/>
      <c r="BJ535" s="924"/>
      <c r="BK535" s="924"/>
      <c r="BL535" s="924"/>
      <c r="BM535" s="924"/>
      <c r="BN535" s="1622"/>
      <c r="BO535" s="924"/>
      <c r="BP535" s="924"/>
      <c r="BQ535" s="924"/>
      <c r="BR535" s="924"/>
      <c r="BS535" s="1622"/>
      <c r="BT535" s="924"/>
      <c r="BU535" s="924"/>
      <c r="BV535" s="924"/>
      <c r="BW535" s="924"/>
      <c r="BX535" s="1622"/>
      <c r="BY535" s="924"/>
      <c r="BZ535" s="924"/>
      <c r="CA535" s="924"/>
      <c r="CB535" s="924"/>
      <c r="CC535" s="1622"/>
      <c r="CD535" s="924"/>
      <c r="CE535" s="924"/>
      <c r="CF535" s="924"/>
      <c r="CG535" s="924"/>
      <c r="CH535" s="1622"/>
      <c r="CI535" s="924"/>
      <c r="CJ535" s="924"/>
      <c r="CK535" s="924"/>
      <c r="CL535" s="1617"/>
      <c r="CM535" s="1617"/>
      <c r="CN535"/>
      <c r="CO535" s="924"/>
      <c r="CP535" s="924"/>
      <c r="CQ535" s="924"/>
      <c r="CR535" s="1622"/>
      <c r="CS535" s="1617"/>
      <c r="CT535" s="1617"/>
      <c r="DA535" s="212"/>
      <c r="DB535" s="1226"/>
    </row>
    <row r="536" spans="1:106" s="207" customFormat="1" x14ac:dyDescent="0.2">
      <c r="A536" s="1436" t="s">
        <v>137</v>
      </c>
      <c r="B536" s="924"/>
      <c r="C536" s="924"/>
      <c r="D536" s="924"/>
      <c r="E536" s="924"/>
      <c r="F536" s="1622"/>
      <c r="G536" s="924"/>
      <c r="H536" s="924"/>
      <c r="I536" s="924"/>
      <c r="J536" s="924"/>
      <c r="K536" s="1622"/>
      <c r="L536" s="924"/>
      <c r="M536" s="924"/>
      <c r="N536" s="924"/>
      <c r="O536" s="924"/>
      <c r="P536" s="1622"/>
      <c r="Q536" s="924"/>
      <c r="R536" s="924"/>
      <c r="S536" s="924"/>
      <c r="T536" s="924"/>
      <c r="U536" s="1622"/>
      <c r="V536" s="924"/>
      <c r="W536" s="924"/>
      <c r="X536" s="924"/>
      <c r="Y536" s="924"/>
      <c r="Z536" s="1622"/>
      <c r="AA536" s="924"/>
      <c r="AB536" s="924"/>
      <c r="AC536" s="924"/>
      <c r="AD536" s="924"/>
      <c r="AE536" s="1622"/>
      <c r="AF536" s="924"/>
      <c r="AG536" s="924"/>
      <c r="AH536" s="924"/>
      <c r="AI536" s="924"/>
      <c r="AJ536" s="1458"/>
      <c r="AK536" s="733">
        <f t="shared" ref="AK536:CF536" si="417">+AK375*AK64+AK376*AK67+AK377*AK73+AK378*AK76+AK379*AK79+AK380*AK82+AK381*AK85+AK383*AK88</f>
        <v>3.8044660825290615E-2</v>
      </c>
      <c r="AL536" s="733">
        <f t="shared" si="417"/>
        <v>9.2843574925595029E-2</v>
      </c>
      <c r="AM536" s="733">
        <f t="shared" si="417"/>
        <v>3.8045309943379374E-2</v>
      </c>
      <c r="AN536" s="733">
        <f t="shared" si="417"/>
        <v>5.0076709789349583E-2</v>
      </c>
      <c r="AO536" s="1458">
        <f t="shared" si="417"/>
        <v>5.4262803742300469E-2</v>
      </c>
      <c r="AP536" s="733">
        <f t="shared" si="417"/>
        <v>1.2309315517473439E-2</v>
      </c>
      <c r="AQ536" s="733">
        <f t="shared" si="417"/>
        <v>1.6442774808547979E-2</v>
      </c>
      <c r="AR536" s="733">
        <f t="shared" si="417"/>
        <v>-7.7563494663197936E-3</v>
      </c>
      <c r="AS536" s="733">
        <f t="shared" si="417"/>
        <v>-0.10910338127027629</v>
      </c>
      <c r="AT536" s="1458">
        <f t="shared" si="417"/>
        <v>-2.958051401784869E-2</v>
      </c>
      <c r="AU536" s="733">
        <f t="shared" si="417"/>
        <v>-0.16933719463627031</v>
      </c>
      <c r="AV536" s="733">
        <f t="shared" si="417"/>
        <v>-0.22610549196647317</v>
      </c>
      <c r="AW536" s="733">
        <f t="shared" si="417"/>
        <v>-0.20205755432999983</v>
      </c>
      <c r="AX536" s="733">
        <f t="shared" si="417"/>
        <v>-0.12779672480014967</v>
      </c>
      <c r="AY536" s="1458">
        <f t="shared" si="417"/>
        <v>-0.17935525012444922</v>
      </c>
      <c r="AZ536" s="733">
        <f t="shared" si="417"/>
        <v>-2.3530659257123995E-2</v>
      </c>
      <c r="BA536" s="733">
        <f t="shared" si="417"/>
        <v>7.2785277487599304E-2</v>
      </c>
      <c r="BB536" s="733">
        <f t="shared" si="417"/>
        <v>6.2139554503656401E-2</v>
      </c>
      <c r="BC536" s="733">
        <f t="shared" si="417"/>
        <v>6.0201111729011977E-2</v>
      </c>
      <c r="BD536" s="1458">
        <f t="shared" si="417"/>
        <v>4.3925296516980739E-2</v>
      </c>
      <c r="BE536" s="733">
        <f t="shared" si="417"/>
        <v>7.3717117474985702E-2</v>
      </c>
      <c r="BF536" s="733">
        <f t="shared" si="417"/>
        <v>6.844765947709773E-2</v>
      </c>
      <c r="BG536" s="733">
        <f t="shared" si="417"/>
        <v>7.5156073513218818E-2</v>
      </c>
      <c r="BH536" s="733">
        <f t="shared" si="417"/>
        <v>7.4326877609191086E-2</v>
      </c>
      <c r="BI536" s="1458">
        <f t="shared" si="417"/>
        <v>7.2875509004459743E-2</v>
      </c>
      <c r="BJ536" s="733">
        <f t="shared" si="417"/>
        <v>7.7095529419463002E-2</v>
      </c>
      <c r="BK536" s="733">
        <f t="shared" si="417"/>
        <v>7.3436391627610079E-2</v>
      </c>
      <c r="BL536" s="733">
        <f t="shared" si="417"/>
        <v>7.0665379622901384E-2</v>
      </c>
      <c r="BM536" s="733">
        <f t="shared" si="417"/>
        <v>6.6348953793253299E-2</v>
      </c>
      <c r="BN536" s="1458">
        <f t="shared" si="417"/>
        <v>7.1391668840104436E-2</v>
      </c>
      <c r="BO536" s="733">
        <f t="shared" si="417"/>
        <v>6.657151493541566E-2</v>
      </c>
      <c r="BP536" s="733">
        <f t="shared" si="417"/>
        <v>5.1690362435192254E-2</v>
      </c>
      <c r="BQ536" s="733">
        <f t="shared" si="417"/>
        <v>5.4469429568541929E-2</v>
      </c>
      <c r="BR536" s="733">
        <f t="shared" si="417"/>
        <v>2.5444166327453995E-2</v>
      </c>
      <c r="BS536" s="1458">
        <f t="shared" si="417"/>
        <v>5.1386117826483682E-2</v>
      </c>
      <c r="BT536" s="733">
        <f t="shared" si="417"/>
        <v>5.8585214714253958E-2</v>
      </c>
      <c r="BU536" s="733">
        <f t="shared" si="417"/>
        <v>5.9073363124311253E-2</v>
      </c>
      <c r="BV536" s="733">
        <f t="shared" si="417"/>
        <v>8.8115579493632343E-2</v>
      </c>
      <c r="BW536" s="733">
        <f t="shared" si="417"/>
        <v>6.7468447384915822E-2</v>
      </c>
      <c r="BX536" s="1458">
        <f t="shared" si="417"/>
        <v>6.8334686217032217E-2</v>
      </c>
      <c r="BY536" s="733">
        <f t="shared" si="417"/>
        <v>5.4074287052217958E-2</v>
      </c>
      <c r="BZ536" s="733">
        <f t="shared" si="417"/>
        <v>4.9956674123866937E-2</v>
      </c>
      <c r="CA536" s="733">
        <f t="shared" si="417"/>
        <v>4.096736237033885E-2</v>
      </c>
      <c r="CB536" s="733">
        <f t="shared" si="417"/>
        <v>2.8803778452303336E-2</v>
      </c>
      <c r="CC536" s="1458">
        <f t="shared" si="417"/>
        <v>4.3263856337640863E-2</v>
      </c>
      <c r="CD536" s="733">
        <f t="shared" si="417"/>
        <v>1.7598298902993394E-2</v>
      </c>
      <c r="CE536" s="733">
        <f t="shared" si="417"/>
        <v>2.0411606614050969E-2</v>
      </c>
      <c r="CF536" s="733">
        <f t="shared" si="417"/>
        <v>5.5214252518077829E-3</v>
      </c>
      <c r="CG536" s="733"/>
      <c r="CH536" s="1458"/>
      <c r="CI536" s="2889"/>
      <c r="CJ536" s="2889"/>
      <c r="CK536" s="2889"/>
      <c r="CL536" s="2889"/>
      <c r="CM536" s="2890"/>
      <c r="CN536"/>
      <c r="CO536" s="2889"/>
      <c r="CP536" s="2889"/>
      <c r="CQ536"/>
      <c r="CR536" s="2890"/>
      <c r="CS536" s="2890"/>
      <c r="CT536" s="2890"/>
      <c r="DA536" s="212"/>
      <c r="DB536" s="1226"/>
    </row>
    <row r="537" spans="1:106" s="207" customFormat="1" x14ac:dyDescent="0.2">
      <c r="A537" s="1446" t="s">
        <v>934</v>
      </c>
      <c r="B537" s="928"/>
      <c r="C537" s="928"/>
      <c r="D537" s="928"/>
      <c r="E537" s="928"/>
      <c r="F537" s="1642"/>
      <c r="G537" s="928"/>
      <c r="H537" s="928"/>
      <c r="I537" s="928"/>
      <c r="J537" s="928"/>
      <c r="K537" s="1642"/>
      <c r="L537" s="1643">
        <f>+Rooms!N872</f>
        <v>7.3796660117877444E-3</v>
      </c>
      <c r="M537" s="1643">
        <f>+Rooms!O872</f>
        <v>3.4843205574912606E-3</v>
      </c>
      <c r="N537" s="1643">
        <f>+Rooms!P872</f>
        <v>-1.3898557191729832E-2</v>
      </c>
      <c r="O537" s="1643">
        <f>+Rooms!Q872</f>
        <v>4.4576615281459731E-2</v>
      </c>
      <c r="P537" s="1644">
        <f>+Rooms!R872</f>
        <v>4.4576615281459731E-2</v>
      </c>
      <c r="Q537" s="1643">
        <f>+Rooms!S872</f>
        <v>3.082605038943953E-2</v>
      </c>
      <c r="R537" s="1643">
        <f>+Rooms!T872</f>
        <v>2.5332125603864775E-2</v>
      </c>
      <c r="S537" s="1643">
        <f>+Rooms!U872</f>
        <v>3.024031760780499E-2</v>
      </c>
      <c r="T537" s="1643">
        <f>+Rooms!V872</f>
        <v>2.4023631360289066E-2</v>
      </c>
      <c r="U537" s="1644">
        <f>+Rooms!W872</f>
        <v>2.4023631360289066E-2</v>
      </c>
      <c r="V537" s="1643">
        <f>+Rooms!X872</f>
        <v>1.4792479602695918E-2</v>
      </c>
      <c r="W537" s="1643">
        <f>+Rooms!Y872</f>
        <v>2.4017197208398455E-2</v>
      </c>
      <c r="X537" s="1643">
        <f>+Rooms!Z872</f>
        <v>3.1747983906390109E-2</v>
      </c>
      <c r="Y537" s="1643">
        <f>+Rooms!AA872</f>
        <v>3.1765655017905514E-2</v>
      </c>
      <c r="Z537" s="1644">
        <f>+Rooms!AB872</f>
        <v>3.1765655017905514E-2</v>
      </c>
      <c r="AA537" s="1643">
        <f>+Rooms!AC872</f>
        <v>2.7615618554899246E-2</v>
      </c>
      <c r="AB537" s="1643">
        <f>+Rooms!AD872</f>
        <v>1.3527114618140823E-2</v>
      </c>
      <c r="AC537" s="1643">
        <f>+Rooms!AE872</f>
        <v>-1.8618168607951291E-2</v>
      </c>
      <c r="AD537" s="1643">
        <f>+Rooms!AF872</f>
        <v>-2.4757265168817488E-2</v>
      </c>
      <c r="AE537" s="1644">
        <f>+Rooms!AG872</f>
        <v>-2.4757265168817488E-2</v>
      </c>
      <c r="AF537" s="1643">
        <f>+Rooms!AH872</f>
        <v>-1.9361386082480059E-2</v>
      </c>
      <c r="AG537" s="1643">
        <f>+Rooms!AI872</f>
        <v>-1.7063413250106407E-2</v>
      </c>
      <c r="AH537" s="1643">
        <f>+Rooms!AJ872</f>
        <v>6.8944774772690121E-3</v>
      </c>
      <c r="AI537" s="1643">
        <f>+Rooms!AK872</f>
        <v>1.5401032503676859E-3</v>
      </c>
      <c r="AJ537" s="1644">
        <f>+Rooms!AL872</f>
        <v>1.5401032503676859E-3</v>
      </c>
      <c r="AK537" s="1643">
        <f>+Rooms!AM872</f>
        <v>-1.4280180612487037E-3</v>
      </c>
      <c r="AL537" s="1643">
        <f>+Rooms!AN872</f>
        <v>3.9256890161531999E-4</v>
      </c>
      <c r="AM537" s="1643">
        <f>+Rooms!AO872</f>
        <v>-2.9181314767583455E-3</v>
      </c>
      <c r="AN537" s="1643">
        <f>+Rooms!AP872</f>
        <v>8.6619977884261345E-3</v>
      </c>
      <c r="AO537" s="1644">
        <f>+Rooms!AQ872</f>
        <v>8.6619977884261345E-3</v>
      </c>
      <c r="AP537" s="1643">
        <f>+Rooms!AR872</f>
        <v>1.4196387216303785E-2</v>
      </c>
      <c r="AQ537" s="1643">
        <f>+Rooms!AS872</f>
        <v>1.0023891139503416E-2</v>
      </c>
      <c r="AR537" s="1643">
        <f>+Rooms!AT872</f>
        <v>8.9758952850624851E-3</v>
      </c>
      <c r="AS537" s="1643">
        <f>+Rooms!AU872</f>
        <v>1.564498446921192E-3</v>
      </c>
      <c r="AT537" s="1644">
        <f>+Rooms!AV872</f>
        <v>1.564498446921192E-3</v>
      </c>
      <c r="AU537" s="1643">
        <f>+Rooms!AW872</f>
        <v>5.5088712807982443E-3</v>
      </c>
      <c r="AV537" s="1643">
        <f>+Rooms!AX872</f>
        <v>7.1362049559200447E-3</v>
      </c>
      <c r="AW537" s="1643">
        <f>+Rooms!AY872</f>
        <v>7.7769022576998914E-3</v>
      </c>
      <c r="AX537" s="1643">
        <f>+Rooms!AZ872</f>
        <v>1.4970640214355013E-2</v>
      </c>
      <c r="AY537" s="1644">
        <f>+Rooms!BA872</f>
        <v>1.4970640214355013E-2</v>
      </c>
      <c r="AZ537" s="1643">
        <f>+Rooms!BB872</f>
        <v>1.6032974332479855E-2</v>
      </c>
      <c r="BA537" s="1643">
        <f>+Rooms!BC872</f>
        <v>1.7047517472996265E-2</v>
      </c>
      <c r="BB537" s="1643">
        <f>+Rooms!BD872</f>
        <v>1.708254011422361E-2</v>
      </c>
      <c r="BC537" s="1643">
        <f>+Rooms!BE872</f>
        <v>1.5502482643959592E-2</v>
      </c>
      <c r="BD537" s="1644">
        <f>+Rooms!BF872</f>
        <v>1.5502482643959592E-2</v>
      </c>
      <c r="BE537" s="1643">
        <f>+Rooms!BG872</f>
        <v>1.4902688295215238E-2</v>
      </c>
      <c r="BF537" s="1643">
        <f>+Rooms!BH872</f>
        <v>1.6683679445773869E-2</v>
      </c>
      <c r="BG537" s="1643">
        <f>+Rooms!BI872</f>
        <v>9.7264234503735558E-3</v>
      </c>
      <c r="BH537" s="1643">
        <f>+Rooms!BJ872</f>
        <v>-1.6869842253147693E-3</v>
      </c>
      <c r="BI537" s="1644">
        <f>+Rooms!BK872</f>
        <v>-1.6869842253147693E-3</v>
      </c>
      <c r="BJ537" s="1643">
        <f>+Rooms!BL872</f>
        <v>-9.3212500275288157E-3</v>
      </c>
      <c r="BK537" s="1643">
        <f>+Rooms!BM872</f>
        <v>-2.142998222397785E-2</v>
      </c>
      <c r="BL537" s="1643">
        <f>+Rooms!BN872</f>
        <v>-2.5532807008832759E-2</v>
      </c>
      <c r="BM537" s="1643">
        <f>+Rooms!BO872</f>
        <v>2.3397288507460257E-2</v>
      </c>
      <c r="BN537" s="1644">
        <f>+Rooms!BP872</f>
        <v>2.3397288507460257E-2</v>
      </c>
      <c r="BO537" s="1643">
        <f>+Rooms!BQ872</f>
        <v>2.022396976686025E-2</v>
      </c>
      <c r="BP537" s="1643">
        <f>+Rooms!BR872</f>
        <v>1.9701505926150276E-2</v>
      </c>
      <c r="BQ537" s="1643">
        <f>+Rooms!BS872</f>
        <v>1.9843853500840725E-2</v>
      </c>
      <c r="BR537" s="1643">
        <f>+Rooms!BT872</f>
        <v>-3.5065019435451594E-2</v>
      </c>
      <c r="BS537" s="1644">
        <f>+Rooms!BU872</f>
        <v>-3.5065019435451594E-2</v>
      </c>
      <c r="BT537" s="1643">
        <f>+Rooms!BV872</f>
        <v>-3.4264111475481251E-2</v>
      </c>
      <c r="BU537" s="1643">
        <f>+Rooms!BW872</f>
        <v>-1.702808506894804E-2</v>
      </c>
      <c r="BV537" s="1643">
        <f>+Rooms!BX872</f>
        <v>-1.5616152419865248E-2</v>
      </c>
      <c r="BW537" s="1643">
        <f>+Rooms!BY872</f>
        <v>-1.0794616157139059E-2</v>
      </c>
      <c r="BX537" s="1644">
        <f>+Rooms!BZ872</f>
        <v>-1.0794616157139059E-2</v>
      </c>
      <c r="BY537" s="1643">
        <f>+Rooms!CA872</f>
        <v>1.0029105841474761E-2</v>
      </c>
      <c r="BZ537" s="1643">
        <f>+Rooms!CB872</f>
        <v>4.1705121966226555E-2</v>
      </c>
      <c r="CA537" s="1643">
        <f>+Rooms!CC872</f>
        <v>4.6903638034976103E-2</v>
      </c>
      <c r="CB537" s="1643">
        <f>+Rooms!CD872</f>
        <v>5.3410695751305859E-2</v>
      </c>
      <c r="CC537" s="1644">
        <f>+Rooms!CE872</f>
        <v>9.2137278589780713E-2</v>
      </c>
      <c r="CD537" s="1643">
        <f>+Rooms!CF872</f>
        <v>3.2876880633523564E-2</v>
      </c>
      <c r="CE537" s="1643">
        <f>+Rooms!CG872</f>
        <v>-2.1209761860015552E-2</v>
      </c>
      <c r="CF537" s="1643">
        <f>+Rooms!CH872</f>
        <v>-1.6020426852260905E-2</v>
      </c>
      <c r="CG537" s="1643"/>
      <c r="CH537" s="1644"/>
      <c r="CI537" s="1643"/>
      <c r="CJ537" s="1643"/>
      <c r="CK537" s="1643"/>
      <c r="CL537" s="1643"/>
      <c r="CM537" s="1644"/>
      <c r="CN537"/>
      <c r="CO537" s="1643"/>
      <c r="CP537" s="1643"/>
      <c r="CQ537" s="1643"/>
      <c r="CR537" s="1644"/>
      <c r="CS537" s="1644"/>
      <c r="CT537" s="1644"/>
      <c r="DA537" s="212"/>
      <c r="DB537" s="1226"/>
    </row>
    <row r="538" spans="1:106" s="207" customFormat="1" x14ac:dyDescent="0.2">
      <c r="A538" s="1436" t="s">
        <v>553</v>
      </c>
      <c r="B538" s="924"/>
      <c r="C538" s="924"/>
      <c r="D538" s="924"/>
      <c r="E538" s="924"/>
      <c r="F538" s="1622"/>
      <c r="G538" s="924"/>
      <c r="H538" s="924"/>
      <c r="I538" s="924"/>
      <c r="J538" s="924"/>
      <c r="K538" s="1622"/>
      <c r="L538" s="1612"/>
      <c r="M538" s="1612"/>
      <c r="N538" s="1612"/>
      <c r="O538" s="1612"/>
      <c r="P538" s="1533"/>
      <c r="Q538" s="1612"/>
      <c r="R538" s="1612"/>
      <c r="S538" s="1612"/>
      <c r="T538" s="1612"/>
      <c r="U538" s="1533"/>
      <c r="V538" s="1612"/>
      <c r="W538" s="1612"/>
      <c r="X538" s="1612"/>
      <c r="Y538" s="1612"/>
      <c r="Z538" s="1533"/>
      <c r="AA538" s="1612"/>
      <c r="AB538" s="1612"/>
      <c r="AC538" s="1612"/>
      <c r="AD538" s="1612"/>
      <c r="AE538" s="1533"/>
      <c r="AF538" s="1612"/>
      <c r="AG538" s="1612"/>
      <c r="AH538" s="1612"/>
      <c r="AI538" s="1612"/>
      <c r="AJ538" s="1533"/>
      <c r="AK538" s="1612"/>
      <c r="AL538" s="1612"/>
      <c r="AM538" s="1612"/>
      <c r="AN538" s="1612"/>
      <c r="AO538" s="1533"/>
      <c r="AP538" s="1612"/>
      <c r="AQ538" s="1612"/>
      <c r="AR538" s="1612"/>
      <c r="AS538" s="1612"/>
      <c r="AT538" s="1533"/>
      <c r="AU538" s="1612"/>
      <c r="AV538" s="1612"/>
      <c r="AW538" s="1612"/>
      <c r="AX538" s="1612"/>
      <c r="AY538" s="1533"/>
      <c r="AZ538" s="1612">
        <f t="shared" ref="AZ538:CF538" si="418">AZ354</f>
        <v>-8.6571958770019775E-3</v>
      </c>
      <c r="BA538" s="1612">
        <f t="shared" si="418"/>
        <v>8.7020224840021587E-2</v>
      </c>
      <c r="BB538" s="1612">
        <f t="shared" si="418"/>
        <v>7.86775434235647E-2</v>
      </c>
      <c r="BC538" s="1612">
        <f t="shared" si="418"/>
        <v>7.1500531843457393E-2</v>
      </c>
      <c r="BD538" s="1533">
        <f t="shared" si="418"/>
        <v>5.8173904952637079E-2</v>
      </c>
      <c r="BE538" s="1612">
        <f t="shared" si="418"/>
        <v>8.2264031897697265E-2</v>
      </c>
      <c r="BF538" s="1612">
        <f t="shared" si="418"/>
        <v>8.330597457078226E-2</v>
      </c>
      <c r="BG538" s="1612">
        <f t="shared" si="418"/>
        <v>8.5001966822922492E-2</v>
      </c>
      <c r="BH538" s="1612">
        <f t="shared" si="418"/>
        <v>7.5037298752207438E-2</v>
      </c>
      <c r="BI538" s="1533">
        <f t="shared" si="418"/>
        <v>8.0979292728259322E-2</v>
      </c>
      <c r="BJ538" s="1612">
        <f t="shared" si="418"/>
        <v>6.9870440912095821E-2</v>
      </c>
      <c r="BK538" s="1612">
        <f t="shared" si="418"/>
        <v>5.5355260478255008E-2</v>
      </c>
      <c r="BL538" s="1612">
        <f t="shared" si="418"/>
        <v>4.5901068202239825E-2</v>
      </c>
      <c r="BM538" s="1612">
        <f t="shared" si="418"/>
        <v>4.4128209372659377E-2</v>
      </c>
      <c r="BN538" s="1533">
        <f t="shared" si="418"/>
        <v>5.2963558276701406E-2</v>
      </c>
      <c r="BO538" s="1612">
        <f t="shared" si="418"/>
        <v>0.1287573230203154</v>
      </c>
      <c r="BP538" s="1612">
        <f t="shared" si="418"/>
        <v>0.1103787263770255</v>
      </c>
      <c r="BQ538" s="1612">
        <f t="shared" si="418"/>
        <v>0.12347427168021796</v>
      </c>
      <c r="BR538" s="1612">
        <f t="shared" si="418"/>
        <v>-0.18962151314150399</v>
      </c>
      <c r="BS538" s="1533">
        <f t="shared" si="418"/>
        <v>2.8312891948179431E-2</v>
      </c>
      <c r="BT538" s="1612">
        <f t="shared" si="418"/>
        <v>8.8877897472134926E-3</v>
      </c>
      <c r="BU538" s="1612">
        <f t="shared" si="418"/>
        <v>4.0320244360823265E-2</v>
      </c>
      <c r="BV538" s="1612">
        <f t="shared" si="418"/>
        <v>7.2214163750274007E-2</v>
      </c>
      <c r="BW538" s="1612">
        <f t="shared" si="418"/>
        <v>6.1094515369769953E-2</v>
      </c>
      <c r="BX538" s="1533">
        <f t="shared" si="418"/>
        <v>4.5578841542244231E-2</v>
      </c>
      <c r="BY538" s="1612">
        <f t="shared" si="418"/>
        <v>6.8447475617831266E-2</v>
      </c>
      <c r="BZ538" s="1612">
        <f t="shared" si="418"/>
        <v>5.026134293275053E-2</v>
      </c>
      <c r="CA538" s="1612">
        <f t="shared" si="418"/>
        <v>6.8527223967311812E-2</v>
      </c>
      <c r="CB538" s="1612">
        <f t="shared" si="418"/>
        <v>6.2928649602940423E-2</v>
      </c>
      <c r="CC538" s="1533">
        <f t="shared" si="418"/>
        <v>6.2292925881567207E-2</v>
      </c>
      <c r="CD538" s="1612">
        <f t="shared" si="418"/>
        <v>4.0899715645603907E-2</v>
      </c>
      <c r="CE538" s="1612">
        <f t="shared" si="418"/>
        <v>1.6048947825498372E-2</v>
      </c>
      <c r="CF538" s="1612">
        <f t="shared" si="418"/>
        <v>-1.1147275382829225E-2</v>
      </c>
      <c r="CG538" s="1612"/>
      <c r="CH538" s="1533"/>
      <c r="CI538" s="1612"/>
      <c r="CJ538" s="1612"/>
      <c r="CK538" s="1612"/>
      <c r="CL538" s="1612"/>
      <c r="CM538" s="1533"/>
      <c r="CN538"/>
      <c r="CO538" s="1612"/>
      <c r="CP538" s="1612"/>
      <c r="CQ538" s="1612"/>
      <c r="CR538" s="1533"/>
      <c r="CS538" s="1533"/>
      <c r="CT538" s="1533"/>
      <c r="DA538" s="212"/>
      <c r="DB538" s="1226"/>
    </row>
    <row r="539" spans="1:106" s="207" customFormat="1" x14ac:dyDescent="0.2">
      <c r="A539" s="1436"/>
      <c r="B539" s="924"/>
      <c r="C539" s="924"/>
      <c r="D539" s="924"/>
      <c r="E539" s="924"/>
      <c r="F539" s="1622"/>
      <c r="G539" s="924"/>
      <c r="H539" s="924"/>
      <c r="I539" s="924"/>
      <c r="J539" s="924"/>
      <c r="K539" s="1622"/>
      <c r="L539" s="1612"/>
      <c r="M539" s="1612"/>
      <c r="N539" s="1612"/>
      <c r="O539" s="1612"/>
      <c r="P539" s="1533"/>
      <c r="Q539" s="1612"/>
      <c r="R539" s="1612"/>
      <c r="S539" s="1612"/>
      <c r="T539" s="1612"/>
      <c r="U539" s="1533"/>
      <c r="V539" s="1612"/>
      <c r="W539" s="1612"/>
      <c r="X539" s="1612"/>
      <c r="Y539" s="1612"/>
      <c r="Z539" s="1533"/>
      <c r="AA539" s="1612"/>
      <c r="AB539" s="1612"/>
      <c r="AC539" s="1612"/>
      <c r="AD539" s="1612"/>
      <c r="AE539" s="1533"/>
      <c r="AF539" s="1612"/>
      <c r="AG539" s="1612"/>
      <c r="AH539" s="1612"/>
      <c r="AI539" s="1612"/>
      <c r="AJ539" s="1533"/>
      <c r="AK539" s="1612"/>
      <c r="AL539" s="1612"/>
      <c r="AM539" s="1612"/>
      <c r="AN539" s="1612"/>
      <c r="AO539" s="1533"/>
      <c r="AP539" s="1612"/>
      <c r="AQ539" s="1612"/>
      <c r="AR539" s="1612"/>
      <c r="AS539" s="1612"/>
      <c r="AT539" s="1533"/>
      <c r="AU539" s="1612"/>
      <c r="AV539" s="1612"/>
      <c r="AW539" s="1612"/>
      <c r="AX539" s="1612"/>
      <c r="AY539" s="1533"/>
      <c r="AZ539" s="1612"/>
      <c r="BA539" s="1612"/>
      <c r="BB539" s="1612"/>
      <c r="BC539" s="1612"/>
      <c r="BD539" s="1533"/>
      <c r="BE539" s="1612"/>
      <c r="BF539" s="1612"/>
      <c r="BG539" s="1612"/>
      <c r="BH539" s="1612"/>
      <c r="BI539" s="1533"/>
      <c r="BJ539" s="1612"/>
      <c r="BK539" s="1612"/>
      <c r="BL539" s="1612"/>
      <c r="BM539" s="1612"/>
      <c r="BN539" s="1533"/>
      <c r="BO539" s="1612"/>
      <c r="BP539" s="1612"/>
      <c r="BQ539" s="1612"/>
      <c r="BR539" s="1612"/>
      <c r="BS539" s="1533"/>
      <c r="BT539" s="1612"/>
      <c r="BU539" s="1612"/>
      <c r="BV539" s="1612"/>
      <c r="BW539" s="1612"/>
      <c r="BX539" s="1533"/>
      <c r="BY539" s="1612"/>
      <c r="BZ539" s="1612"/>
      <c r="CA539" s="1612"/>
      <c r="CB539" s="1612"/>
      <c r="CC539" s="1533"/>
      <c r="CD539" s="1612"/>
      <c r="CE539" s="1612"/>
      <c r="CF539" s="1612"/>
      <c r="CG539" s="1612"/>
      <c r="CH539" s="1533"/>
      <c r="CI539" s="1612"/>
      <c r="CJ539" s="1612"/>
      <c r="CK539" s="1612"/>
      <c r="CL539" s="1612"/>
      <c r="CM539" s="1533"/>
      <c r="CN539"/>
      <c r="CO539" s="1612"/>
      <c r="CP539" s="1612"/>
      <c r="CQ539" s="1612"/>
      <c r="CR539" s="1533"/>
      <c r="CS539" s="1533"/>
      <c r="CT539" s="1533"/>
      <c r="DA539" s="212"/>
      <c r="DB539" s="1226"/>
    </row>
    <row r="540" spans="1:106" s="234" customFormat="1" x14ac:dyDescent="0.2">
      <c r="A540" s="1437" t="s">
        <v>1416</v>
      </c>
      <c r="B540" s="777"/>
      <c r="C540" s="777"/>
      <c r="D540" s="777"/>
      <c r="E540" s="777"/>
      <c r="F540" s="235"/>
      <c r="G540" s="777"/>
      <c r="H540" s="777"/>
      <c r="I540" s="777"/>
      <c r="J540" s="777"/>
      <c r="K540" s="1616"/>
      <c r="L540" s="777"/>
      <c r="M540" s="777"/>
      <c r="N540" s="777"/>
      <c r="O540" s="777"/>
      <c r="P540" s="631"/>
      <c r="Q540" s="777"/>
      <c r="R540" s="777"/>
      <c r="S540" s="777"/>
      <c r="T540" s="777"/>
      <c r="U540" s="631"/>
      <c r="V540" s="777"/>
      <c r="W540" s="777"/>
      <c r="X540" s="777"/>
      <c r="Y540" s="777"/>
      <c r="Z540" s="631"/>
      <c r="AA540" s="275"/>
      <c r="AB540" s="275"/>
      <c r="AC540" s="275"/>
      <c r="AD540" s="275"/>
      <c r="AE540" s="631"/>
      <c r="AF540" s="275"/>
      <c r="AG540" s="275"/>
      <c r="AH540" s="275"/>
      <c r="AI540" s="275"/>
      <c r="AJ540" s="631"/>
      <c r="AK540" s="275"/>
      <c r="AL540" s="275"/>
      <c r="AM540" s="275"/>
      <c r="AN540" s="275"/>
      <c r="AO540" s="631"/>
      <c r="AP540" s="275"/>
      <c r="AQ540" s="275"/>
      <c r="AR540" s="275"/>
      <c r="AS540" s="275"/>
      <c r="AT540" s="631"/>
      <c r="AU540" s="275"/>
      <c r="AV540" s="275"/>
      <c r="AW540" s="275"/>
      <c r="AX540" s="275"/>
      <c r="AY540" s="631"/>
      <c r="AZ540" s="275"/>
      <c r="BA540" s="275"/>
      <c r="BB540" s="275"/>
      <c r="BC540" s="275"/>
      <c r="BD540" s="631"/>
      <c r="BE540" s="275"/>
      <c r="BF540" s="275"/>
      <c r="BG540" s="275"/>
      <c r="BH540" s="275"/>
      <c r="BI540" s="631"/>
      <c r="BJ540" s="275"/>
      <c r="BK540" s="275"/>
      <c r="BL540" s="275"/>
      <c r="BM540" s="275"/>
      <c r="BN540" s="236"/>
      <c r="BO540" s="275"/>
      <c r="BP540" s="275"/>
      <c r="BQ540" s="275"/>
      <c r="BR540" s="275"/>
      <c r="BS540" s="236"/>
      <c r="BT540" s="275"/>
      <c r="BU540" s="275"/>
      <c r="BV540" s="275"/>
      <c r="BW540" s="275"/>
      <c r="BX540" s="236"/>
      <c r="BY540" s="275"/>
      <c r="BZ540" s="275"/>
      <c r="CA540" s="275"/>
      <c r="CB540" s="275"/>
      <c r="CC540" s="236"/>
      <c r="CD540" s="275"/>
      <c r="CE540" s="275"/>
      <c r="CF540" s="275"/>
      <c r="CG540" s="275"/>
      <c r="CH540" s="236"/>
      <c r="CI540" s="275"/>
      <c r="CJ540" s="275"/>
      <c r="CK540" s="275"/>
      <c r="CL540" s="275"/>
      <c r="CM540" s="236"/>
      <c r="CN540" s="3266"/>
      <c r="CO540" s="275"/>
      <c r="CP540" s="275"/>
      <c r="CQ540" s="275"/>
      <c r="CR540" s="236"/>
      <c r="CS540" s="236"/>
      <c r="CT540" s="236"/>
      <c r="DA540" s="212"/>
      <c r="DB540" s="1226"/>
    </row>
    <row r="541" spans="1:106" s="207" customFormat="1" x14ac:dyDescent="0.2">
      <c r="A541" s="1436" t="s">
        <v>137</v>
      </c>
      <c r="B541" s="924"/>
      <c r="C541" s="924"/>
      <c r="D541" s="924"/>
      <c r="E541" s="924"/>
      <c r="F541" s="1622"/>
      <c r="G541" s="924"/>
      <c r="H541" s="924"/>
      <c r="I541" s="924"/>
      <c r="J541" s="924"/>
      <c r="K541" s="1622"/>
      <c r="L541" s="924"/>
      <c r="M541" s="924"/>
      <c r="N541" s="924"/>
      <c r="O541" s="924"/>
      <c r="P541" s="1622"/>
      <c r="Q541" s="924"/>
      <c r="R541" s="924"/>
      <c r="S541" s="924"/>
      <c r="T541" s="924"/>
      <c r="U541" s="1622"/>
      <c r="V541" s="924"/>
      <c r="W541" s="924"/>
      <c r="X541" s="924"/>
      <c r="Y541" s="924"/>
      <c r="Z541" s="1622"/>
      <c r="AA541" s="924"/>
      <c r="AB541" s="924"/>
      <c r="AC541" s="924"/>
      <c r="AD541" s="924"/>
      <c r="AE541" s="1622"/>
      <c r="AF541" s="924"/>
      <c r="AG541" s="924"/>
      <c r="AH541" s="924"/>
      <c r="AI541" s="924"/>
      <c r="AJ541" s="1458"/>
      <c r="AK541" s="733">
        <f t="shared" ref="AK541:CF541" si="419">+AK460*AK64+AK461*AK67+AK462*AK73+AK463*AK76+AK464*AK79+AK465*AK82+AK466*AK85+AK468*AK88</f>
        <v>3.9704304855851073E-2</v>
      </c>
      <c r="AL541" s="733">
        <f t="shared" si="419"/>
        <v>0.10687300584150541</v>
      </c>
      <c r="AM541" s="733">
        <f t="shared" si="419"/>
        <v>8.612813869307781E-2</v>
      </c>
      <c r="AN541" s="733">
        <f t="shared" si="419"/>
        <v>5.9047359120568035E-2</v>
      </c>
      <c r="AO541" s="1458">
        <f t="shared" si="419"/>
        <v>7.2254040594076599E-2</v>
      </c>
      <c r="AP541" s="733">
        <f t="shared" si="419"/>
        <v>1.8464850200280356E-2</v>
      </c>
      <c r="AQ541" s="733">
        <f t="shared" si="419"/>
        <v>8.7561786451599202E-3</v>
      </c>
      <c r="AR541" s="733">
        <f t="shared" si="419"/>
        <v>-7.8246050945701747E-3</v>
      </c>
      <c r="AS541" s="733">
        <f t="shared" si="419"/>
        <v>-9.7756734151084004E-2</v>
      </c>
      <c r="AT541" s="1458">
        <f t="shared" si="419"/>
        <v>-2.6603717333294571E-2</v>
      </c>
      <c r="AU541" s="733">
        <f t="shared" si="419"/>
        <v>-0.15796343665710599</v>
      </c>
      <c r="AV541" s="733">
        <f t="shared" si="419"/>
        <v>-0.19961208357422672</v>
      </c>
      <c r="AW541" s="733">
        <f t="shared" si="419"/>
        <v>-0.18732580688515696</v>
      </c>
      <c r="AX541" s="733">
        <f t="shared" si="419"/>
        <v>-0.13305684680595734</v>
      </c>
      <c r="AY541" s="1458">
        <f t="shared" si="419"/>
        <v>-0.16769134178652237</v>
      </c>
      <c r="AZ541" s="733">
        <f t="shared" si="419"/>
        <v>-3.2355540421502828E-2</v>
      </c>
      <c r="BA541" s="733">
        <f t="shared" si="419"/>
        <v>5.564184703966505E-2</v>
      </c>
      <c r="BB541" s="733">
        <f t="shared" si="419"/>
        <v>6.5254574124400735E-2</v>
      </c>
      <c r="BC541" s="733">
        <f t="shared" si="419"/>
        <v>6.8461225850862215E-2</v>
      </c>
      <c r="BD541" s="1458">
        <f t="shared" si="419"/>
        <v>4.138861579642527E-2</v>
      </c>
      <c r="BE541" s="733">
        <f t="shared" si="419"/>
        <v>6.6281651054284296E-2</v>
      </c>
      <c r="BF541" s="733">
        <f t="shared" si="419"/>
        <v>6.6859215262444038E-2</v>
      </c>
      <c r="BG541" s="733">
        <f t="shared" si="419"/>
        <v>7.2314573928523737E-2</v>
      </c>
      <c r="BH541" s="733">
        <f t="shared" si="419"/>
        <v>7.5455752579504237E-2</v>
      </c>
      <c r="BI541" s="1458">
        <f t="shared" si="419"/>
        <v>7.0557732814636828E-2</v>
      </c>
      <c r="BJ541" s="733">
        <f t="shared" si="419"/>
        <v>7.4638289865718938E-2</v>
      </c>
      <c r="BK541" s="733">
        <f t="shared" si="419"/>
        <v>7.3148333439620877E-2</v>
      </c>
      <c r="BL541" s="733">
        <f t="shared" si="419"/>
        <v>6.7758077225945373E-2</v>
      </c>
      <c r="BM541" s="733">
        <f t="shared" si="419"/>
        <v>6.6782800818485158E-2</v>
      </c>
      <c r="BN541" s="1458">
        <f t="shared" si="419"/>
        <v>7.0203858239108935E-2</v>
      </c>
      <c r="BO541" s="733">
        <f t="shared" si="419"/>
        <v>6.3947107639136053E-2</v>
      </c>
      <c r="BP541" s="733">
        <f t="shared" si="419"/>
        <v>6.1894348889639156E-2</v>
      </c>
      <c r="BQ541" s="733">
        <f t="shared" si="419"/>
        <v>4.3501832060146704E-2</v>
      </c>
      <c r="BR541" s="733">
        <f t="shared" si="419"/>
        <v>1.3646915496021768E-2</v>
      </c>
      <c r="BS541" s="1458">
        <f t="shared" si="419"/>
        <v>4.8354728827465415E-2</v>
      </c>
      <c r="BT541" s="733">
        <f t="shared" si="419"/>
        <v>6.0835814186267725E-2</v>
      </c>
      <c r="BU541" s="733">
        <f t="shared" si="419"/>
        <v>6.7040300714398177E-2</v>
      </c>
      <c r="BV541" s="733">
        <f t="shared" si="419"/>
        <v>9.0564412063531899E-2</v>
      </c>
      <c r="BW541" s="733">
        <f t="shared" si="419"/>
        <v>7.9119104271402105E-2</v>
      </c>
      <c r="BX541" s="1458">
        <f t="shared" si="419"/>
        <v>7.4716853359774682E-2</v>
      </c>
      <c r="BY541" s="733">
        <f t="shared" si="419"/>
        <v>6.758014666489813E-2</v>
      </c>
      <c r="BZ541" s="733">
        <f t="shared" si="419"/>
        <v>5.9636012607306693E-2</v>
      </c>
      <c r="CA541" s="733">
        <f t="shared" si="419"/>
        <v>5.0397119335879058E-2</v>
      </c>
      <c r="CB541" s="733">
        <f t="shared" si="419"/>
        <v>3.9334211363231703E-2</v>
      </c>
      <c r="CC541" s="1458">
        <f t="shared" si="419"/>
        <v>5.4094051708145643E-2</v>
      </c>
      <c r="CD541" s="733">
        <f t="shared" si="419"/>
        <v>1.7789973767902898E-2</v>
      </c>
      <c r="CE541" s="733">
        <f t="shared" si="419"/>
        <v>2.4762684274481365E-2</v>
      </c>
      <c r="CF541" s="733">
        <f t="shared" si="419"/>
        <v>1.4048234902703221E-2</v>
      </c>
      <c r="CG541" s="733"/>
      <c r="CH541" s="1458"/>
      <c r="CI541" s="2889"/>
      <c r="CJ541" s="2889"/>
      <c r="CK541" s="2889"/>
      <c r="CL541" s="2889"/>
      <c r="CM541" s="2890"/>
      <c r="CN541"/>
      <c r="CO541" s="2889"/>
      <c r="CP541" s="2889"/>
      <c r="CQ541"/>
      <c r="CR541" s="2890"/>
      <c r="CS541" s="2890"/>
      <c r="CT541" s="2890"/>
      <c r="DA541" s="212"/>
      <c r="DB541" s="1226"/>
    </row>
    <row r="542" spans="1:106" s="1515" customFormat="1" x14ac:dyDescent="0.2">
      <c r="A542" s="1446" t="s">
        <v>934</v>
      </c>
      <c r="B542" s="1643"/>
      <c r="C542" s="1643"/>
      <c r="D542" s="1643"/>
      <c r="E542" s="1643"/>
      <c r="F542" s="1644"/>
      <c r="G542" s="1643"/>
      <c r="H542" s="1643"/>
      <c r="I542" s="1643"/>
      <c r="J542" s="1643"/>
      <c r="K542" s="1644"/>
      <c r="L542" s="1643">
        <f>+Rooms!N894</f>
        <v>0.18607972413997231</v>
      </c>
      <c r="M542" s="1643">
        <f>+Rooms!O894</f>
        <v>0.15495041445165669</v>
      </c>
      <c r="N542" s="1643">
        <f>+Rooms!P894</f>
        <v>0.15285502089882197</v>
      </c>
      <c r="O542" s="1643">
        <f>+Rooms!Q894</f>
        <v>9.4818396406000094E-2</v>
      </c>
      <c r="P542" s="1644">
        <f>+Rooms!R894</f>
        <v>9.4818396406000094E-2</v>
      </c>
      <c r="Q542" s="1643">
        <f>+Rooms!S894</f>
        <v>0.10445572968656425</v>
      </c>
      <c r="R542" s="1643">
        <f>+Rooms!T894</f>
        <v>0.11070660268078769</v>
      </c>
      <c r="S542" s="1643">
        <f>+Rooms!U894</f>
        <v>0.10571702522922033</v>
      </c>
      <c r="T542" s="1643">
        <f>+Rooms!V894</f>
        <v>8.2103176673099965E-2</v>
      </c>
      <c r="U542" s="1644">
        <f>+Rooms!W894</f>
        <v>8.2103176673099965E-2</v>
      </c>
      <c r="V542" s="1643">
        <f>+Rooms!X894</f>
        <v>7.5099841270737988E-2</v>
      </c>
      <c r="W542" s="1643">
        <f>+Rooms!Y894</f>
        <v>6.0085860592415941E-2</v>
      </c>
      <c r="X542" s="1643">
        <f>+Rooms!Z894</f>
        <v>4.3498761591449941E-2</v>
      </c>
      <c r="Y542" s="1643">
        <f>+Rooms!AA894</f>
        <v>4.8509681047641973E-2</v>
      </c>
      <c r="Z542" s="1644">
        <f>+Rooms!AB894</f>
        <v>4.8509681047641973E-2</v>
      </c>
      <c r="AA542" s="1643">
        <f>+Rooms!AC894</f>
        <v>4.0493679266101257E-2</v>
      </c>
      <c r="AB542" s="1643">
        <f>+Rooms!AD894</f>
        <v>4.6852633606262906E-2</v>
      </c>
      <c r="AC542" s="1643">
        <f>+Rooms!AE894</f>
        <v>6.168165079958654E-2</v>
      </c>
      <c r="AD542" s="1643">
        <f>+Rooms!AF894</f>
        <v>6.4813395858235978E-2</v>
      </c>
      <c r="AE542" s="1644">
        <f>+Rooms!AG894</f>
        <v>6.4813395858235978E-2</v>
      </c>
      <c r="AF542" s="1643">
        <f>+Rooms!AH894</f>
        <v>7.6603394383764289E-2</v>
      </c>
      <c r="AG542" s="1643">
        <f>+Rooms!AI894</f>
        <v>7.1153674035621561E-2</v>
      </c>
      <c r="AH542" s="1643">
        <f>+Rooms!AJ894</f>
        <v>6.1708404064320765E-2</v>
      </c>
      <c r="AI542" s="1643">
        <f>+Rooms!AK894</f>
        <v>5.0654833293355628E-2</v>
      </c>
      <c r="AJ542" s="1644">
        <f>+Rooms!AL894</f>
        <v>5.0654833293355628E-2</v>
      </c>
      <c r="AK542" s="1643">
        <f>+Rooms!AM894</f>
        <v>3.226033404783224E-2</v>
      </c>
      <c r="AL542" s="1643">
        <f>+Rooms!AN894</f>
        <v>3.8472964943553123E-2</v>
      </c>
      <c r="AM542" s="1643">
        <f>+Rooms!AO894</f>
        <v>4.9330267662548888E-2</v>
      </c>
      <c r="AN542" s="1643">
        <f>+Rooms!AP894</f>
        <v>6.7723244250236236E-2</v>
      </c>
      <c r="AO542" s="1644">
        <f>+Rooms!AQ894</f>
        <v>6.7723244250236236E-2</v>
      </c>
      <c r="AP542" s="1643">
        <f>+Rooms!AR894</f>
        <v>7.546312494036278E-2</v>
      </c>
      <c r="AQ542" s="1643">
        <f>+Rooms!AS894</f>
        <v>8.3942747818623875E-2</v>
      </c>
      <c r="AR542" s="1643">
        <f>+Rooms!AT894</f>
        <v>7.9070666087040609E-2</v>
      </c>
      <c r="AS542" s="1643">
        <f>+Rooms!AU894</f>
        <v>8.4630154677751035E-2</v>
      </c>
      <c r="AT542" s="1644">
        <f>+Rooms!AV894</f>
        <v>8.4630154677751035E-2</v>
      </c>
      <c r="AU542" s="1643">
        <f>+Rooms!AW894</f>
        <v>9.0401328325355301E-2</v>
      </c>
      <c r="AV542" s="1643">
        <f>+Rooms!AX894</f>
        <v>8.7632118305421614E-2</v>
      </c>
      <c r="AW542" s="1643">
        <f>+Rooms!AY894</f>
        <v>0.11016114592658899</v>
      </c>
      <c r="AX542" s="1643">
        <f>+Rooms!AZ894</f>
        <v>9.8875926050049134E-2</v>
      </c>
      <c r="AY542" s="1644">
        <f>+Rooms!BA894</f>
        <v>9.8875926050049134E-2</v>
      </c>
      <c r="AZ542" s="1643">
        <f>+Rooms!BB894</f>
        <v>9.7955720186294393E-2</v>
      </c>
      <c r="BA542" s="1643">
        <f>+Rooms!BC894</f>
        <v>8.8116750903348251E-2</v>
      </c>
      <c r="BB542" s="1643">
        <f>+Rooms!BD894</f>
        <v>6.063538493682441E-2</v>
      </c>
      <c r="BC542" s="1643">
        <f>+Rooms!BE894</f>
        <v>5.3342375021976363E-2</v>
      </c>
      <c r="BD542" s="1644">
        <f>+Rooms!BF894</f>
        <v>5.3342375021976363E-2</v>
      </c>
      <c r="BE542" s="1643">
        <f>+Rooms!BG894</f>
        <v>4.1010421114667572E-2</v>
      </c>
      <c r="BF542" s="1643">
        <f>+Rooms!BH894</f>
        <v>3.2807049944072908E-2</v>
      </c>
      <c r="BG542" s="1643">
        <f>+Rooms!BI894</f>
        <v>3.3377915556431104E-2</v>
      </c>
      <c r="BH542" s="1643">
        <f>+Rooms!BJ894</f>
        <v>2.9811701228983356E-2</v>
      </c>
      <c r="BI542" s="1644">
        <f>+Rooms!BK894</f>
        <v>2.9811701228983356E-2</v>
      </c>
      <c r="BJ542" s="1643">
        <f>+Rooms!BL894</f>
        <v>2.9916471178488724E-2</v>
      </c>
      <c r="BK542" s="1643">
        <f>+Rooms!BM894</f>
        <v>3.5418831563178932E-2</v>
      </c>
      <c r="BL542" s="1643">
        <f>+Rooms!BN894</f>
        <v>3.4182688931176486E-2</v>
      </c>
      <c r="BM542" s="1643">
        <f>+Rooms!BO894</f>
        <v>2.9861607260988077E-2</v>
      </c>
      <c r="BN542" s="1644">
        <f>+Rooms!BP894</f>
        <v>2.9861607260988077E-2</v>
      </c>
      <c r="BO542" s="1643">
        <f>+Rooms!BQ894</f>
        <v>2.8984934811874474E-2</v>
      </c>
      <c r="BP542" s="1643">
        <f>+Rooms!BR894</f>
        <v>3.4093204819905187E-2</v>
      </c>
      <c r="BQ542" s="1643">
        <f>+Rooms!BS894</f>
        <v>3.9090391680033143E-2</v>
      </c>
      <c r="BR542" s="1643">
        <f>+Rooms!BT894</f>
        <v>4.2334176954996749E-2</v>
      </c>
      <c r="BS542" s="1644">
        <f>+Rooms!BU894</f>
        <v>4.2334176954996749E-2</v>
      </c>
      <c r="BT542" s="1643">
        <f>+Rooms!BV894</f>
        <v>4.540670912516509E-2</v>
      </c>
      <c r="BU542" s="1643">
        <f>+Rooms!BW894</f>
        <v>4.1095674587294351E-2</v>
      </c>
      <c r="BV542" s="1643">
        <f>+Rooms!BX894</f>
        <v>4.6529939001618281E-2</v>
      </c>
      <c r="BW542" s="1643">
        <f>+Rooms!BY894</f>
        <v>4.9954242505477087E-2</v>
      </c>
      <c r="BX542" s="1644">
        <f>+Rooms!BZ894</f>
        <v>4.9954242505477087E-2</v>
      </c>
      <c r="BY542" s="1643">
        <f>+Rooms!CA894</f>
        <v>0.10005691310653764</v>
      </c>
      <c r="BZ542" s="1643">
        <f>+Rooms!CB894</f>
        <v>0.11328726781860721</v>
      </c>
      <c r="CA542" s="1643">
        <f>+Rooms!CC894</f>
        <v>0.11826175911690284</v>
      </c>
      <c r="CB542" s="1643">
        <f>+Rooms!CD894</f>
        <v>0.10967016777745497</v>
      </c>
      <c r="CC542" s="1644">
        <f>+Rooms!CE894</f>
        <v>0.10967016777745497</v>
      </c>
      <c r="CD542" s="1643">
        <f>+Rooms!CF894</f>
        <v>7.012800614162451E-2</v>
      </c>
      <c r="CE542" s="1643">
        <f>+Rooms!CG894</f>
        <v>7.5540536499297151E-2</v>
      </c>
      <c r="CF542" s="1643">
        <f>+Rooms!CH894</f>
        <v>6.9636394097420728E-2</v>
      </c>
      <c r="CG542" s="1643"/>
      <c r="CH542" s="1644"/>
      <c r="CI542" s="1643"/>
      <c r="CJ542" s="1643"/>
      <c r="CK542" s="1643"/>
      <c r="CL542" s="1645"/>
      <c r="CM542" s="1644"/>
      <c r="CN542" s="44"/>
      <c r="CO542" s="1643"/>
      <c r="CP542" s="1643"/>
      <c r="CQ542" s="1643"/>
      <c r="CR542" s="1644"/>
      <c r="CS542" s="1645"/>
      <c r="CT542" s="1644"/>
      <c r="DA542" s="212"/>
      <c r="DB542" s="1226"/>
    </row>
    <row r="543" spans="1:106" s="1515" customFormat="1" x14ac:dyDescent="0.2">
      <c r="A543" s="1619" t="s">
        <v>553</v>
      </c>
      <c r="B543" s="1620"/>
      <c r="C543" s="1620"/>
      <c r="D543" s="1620"/>
      <c r="E543" s="1620"/>
      <c r="F543" s="1623"/>
      <c r="G543" s="1620"/>
      <c r="H543" s="1620"/>
      <c r="I543" s="1620"/>
      <c r="J543" s="1620"/>
      <c r="K543" s="1623"/>
      <c r="L543" s="1620"/>
      <c r="M543" s="1620"/>
      <c r="N543" s="1620"/>
      <c r="O543" s="1620"/>
      <c r="P543" s="1623"/>
      <c r="Q543" s="1620"/>
      <c r="R543" s="1620"/>
      <c r="S543" s="1620"/>
      <c r="T543" s="1620"/>
      <c r="U543" s="1623"/>
      <c r="V543" s="1620"/>
      <c r="W543" s="1620"/>
      <c r="X543" s="1620"/>
      <c r="Y543" s="1620"/>
      <c r="Z543" s="1623"/>
      <c r="AA543" s="1620"/>
      <c r="AB543" s="1620"/>
      <c r="AC543" s="1620"/>
      <c r="AD543" s="1620"/>
      <c r="AE543" s="1623"/>
      <c r="AF543" s="1620"/>
      <c r="AG543" s="1620"/>
      <c r="AH543" s="1620"/>
      <c r="AI543" s="1620"/>
      <c r="AJ543" s="1623"/>
      <c r="AK543" s="1620"/>
      <c r="AL543" s="1620"/>
      <c r="AM543" s="1620"/>
      <c r="AN543" s="1620"/>
      <c r="AO543" s="1623"/>
      <c r="AP543" s="1620"/>
      <c r="AQ543" s="1620"/>
      <c r="AR543" s="1620"/>
      <c r="AS543" s="1620"/>
      <c r="AT543" s="1623"/>
      <c r="AU543" s="1620">
        <f t="shared" ref="AU543:BN543" si="420">+AU444</f>
        <v>-8.7834229818419374E-2</v>
      </c>
      <c r="AV543" s="1620">
        <f t="shared" si="420"/>
        <v>-0.13575166408865247</v>
      </c>
      <c r="AW543" s="1620">
        <f t="shared" si="420"/>
        <v>-0.10344981554619415</v>
      </c>
      <c r="AX543" s="1620">
        <f t="shared" si="420"/>
        <v>-9.4538263423996294E-2</v>
      </c>
      <c r="AY543" s="1623">
        <f t="shared" si="420"/>
        <v>-0.10536690315329678</v>
      </c>
      <c r="AZ543" s="1620">
        <f t="shared" si="420"/>
        <v>5.7968263221796157E-2</v>
      </c>
      <c r="BA543" s="1620">
        <f t="shared" si="420"/>
        <v>0.15178768636449358</v>
      </c>
      <c r="BB543" s="1620">
        <f t="shared" si="420"/>
        <v>0.13213042683117893</v>
      </c>
      <c r="BC543" s="1620">
        <f t="shared" si="420"/>
        <v>0.14186363606128594</v>
      </c>
      <c r="BD543" s="1623">
        <f t="shared" si="420"/>
        <v>0.12337693411002326</v>
      </c>
      <c r="BE543" s="1620">
        <f t="shared" si="420"/>
        <v>0.12883334747279984</v>
      </c>
      <c r="BF543" s="1620">
        <f t="shared" si="420"/>
        <v>0.11302335298049182</v>
      </c>
      <c r="BG543" s="1620">
        <f t="shared" si="420"/>
        <v>0.11345030337206086</v>
      </c>
      <c r="BH543" s="1620">
        <f t="shared" si="420"/>
        <v>0.10467730896100558</v>
      </c>
      <c r="BI543" s="1623">
        <f t="shared" si="420"/>
        <v>0.11386347545438169</v>
      </c>
      <c r="BJ543" s="1620">
        <f t="shared" si="420"/>
        <v>0.11291594183837805</v>
      </c>
      <c r="BK543" s="1620">
        <f t="shared" si="420"/>
        <v>0.11543789473556165</v>
      </c>
      <c r="BL543" s="1620">
        <f>+BL444</f>
        <v>0.10921565029712132</v>
      </c>
      <c r="BM543" s="1620">
        <f t="shared" si="420"/>
        <v>0.10518900513377449</v>
      </c>
      <c r="BN543" s="1623">
        <f t="shared" si="420"/>
        <v>0.1102882978882469</v>
      </c>
      <c r="BO543" s="1620">
        <f t="shared" ref="BO543:BV543" si="421">+BO444</f>
        <v>0.19097150148916531</v>
      </c>
      <c r="BP543" s="1620">
        <f>+BP444</f>
        <v>0.18672388045264587</v>
      </c>
      <c r="BQ543" s="1620">
        <f t="shared" si="421"/>
        <v>0.18662393614253969</v>
      </c>
      <c r="BR543" s="1620">
        <f t="shared" si="421"/>
        <v>-0.12968118662044614</v>
      </c>
      <c r="BS543" s="1623">
        <f t="shared" si="421"/>
        <v>9.2395541053313046E-2</v>
      </c>
      <c r="BT543" s="1620">
        <f>+BT444</f>
        <v>0.10240695153545065</v>
      </c>
      <c r="BU543" s="1620">
        <f t="shared" si="421"/>
        <v>0.12002073104778233</v>
      </c>
      <c r="BV543" s="1620">
        <f t="shared" si="421"/>
        <v>0.14275751353620225</v>
      </c>
      <c r="BW543" s="1620">
        <f t="shared" ref="BW543:CE543" si="422">+BW444</f>
        <v>0.13412277789025984</v>
      </c>
      <c r="BX543" s="1623">
        <f t="shared" si="422"/>
        <v>0.12538860169573907</v>
      </c>
      <c r="BY543" s="1620">
        <f t="shared" si="422"/>
        <v>0.15298248046295448</v>
      </c>
      <c r="BZ543" s="1620">
        <f t="shared" si="422"/>
        <v>0.17513477776009267</v>
      </c>
      <c r="CA543" s="1620">
        <f t="shared" si="422"/>
        <v>0.17304379577233142</v>
      </c>
      <c r="CB543" s="1620">
        <f t="shared" si="422"/>
        <v>0.16051406650185096</v>
      </c>
      <c r="CC543" s="1623">
        <f t="shared" si="422"/>
        <v>0.16605440341880184</v>
      </c>
      <c r="CD543" s="1620">
        <f t="shared" si="422"/>
        <v>0.12479752383128084</v>
      </c>
      <c r="CE543" s="1620">
        <f t="shared" si="422"/>
        <v>9.8167095540584226E-2</v>
      </c>
      <c r="CF543" s="1620">
        <f>+CF444</f>
        <v>7.6646712965784625E-2</v>
      </c>
      <c r="CG543" s="1620"/>
      <c r="CH543" s="1623"/>
      <c r="CI543" s="1620"/>
      <c r="CJ543" s="1620"/>
      <c r="CK543" s="1620"/>
      <c r="CL543" s="1621"/>
      <c r="CM543" s="1623"/>
      <c r="CN543" s="2665"/>
      <c r="CO543" s="1620"/>
      <c r="CP543" s="1620"/>
      <c r="CQ543" s="1620"/>
      <c r="CR543" s="1623"/>
      <c r="CS543" s="1621"/>
      <c r="CT543" s="1623"/>
      <c r="DA543" s="212"/>
      <c r="DB543" s="1226"/>
    </row>
    <row r="544" spans="1:106" s="207" customFormat="1" x14ac:dyDescent="0.2">
      <c r="BI544" s="236"/>
      <c r="BQ544" s="234"/>
      <c r="DA544" s="212"/>
      <c r="DB544" s="1226"/>
    </row>
    <row r="545" spans="1:106" s="212" customFormat="1" x14ac:dyDescent="0.2">
      <c r="BI545" s="194"/>
      <c r="DB545" s="1226"/>
    </row>
    <row r="546" spans="1:106" x14ac:dyDescent="0.2">
      <c r="A546" s="1029" t="s">
        <v>2099</v>
      </c>
      <c r="BI546" s="194"/>
      <c r="DA546" s="212"/>
      <c r="DB546" s="1226"/>
    </row>
    <row r="547" spans="1:106" x14ac:dyDescent="0.2">
      <c r="A547" s="1633" t="s">
        <v>2100</v>
      </c>
      <c r="BI547" s="194"/>
      <c r="DA547" s="212"/>
      <c r="DB547" s="1226"/>
    </row>
    <row r="548" spans="1:106" x14ac:dyDescent="0.2">
      <c r="A548" s="1031" t="s">
        <v>2196</v>
      </c>
      <c r="BI548" s="194"/>
      <c r="DA548" s="212"/>
      <c r="DB548" s="1226"/>
    </row>
    <row r="549" spans="1:106" x14ac:dyDescent="0.2">
      <c r="BI549" s="194"/>
      <c r="DA549" s="212"/>
      <c r="DB549" s="1226"/>
    </row>
    <row r="550" spans="1:106" x14ac:dyDescent="0.2">
      <c r="A550" s="873" t="s">
        <v>2197</v>
      </c>
      <c r="B550" s="1053" t="str">
        <f t="shared" ref="B550:AG550" si="423">+B$5</f>
        <v>1Q00</v>
      </c>
      <c r="C550" s="1053" t="str">
        <f t="shared" si="423"/>
        <v>2Q00</v>
      </c>
      <c r="D550" s="1053" t="str">
        <f t="shared" si="423"/>
        <v>3Q00</v>
      </c>
      <c r="E550" s="1053" t="str">
        <f t="shared" si="423"/>
        <v>4Q00</v>
      </c>
      <c r="F550" s="1054">
        <f t="shared" si="423"/>
        <v>2000</v>
      </c>
      <c r="G550" s="1053" t="str">
        <f t="shared" si="423"/>
        <v>1Q01</v>
      </c>
      <c r="H550" s="1053" t="str">
        <f t="shared" si="423"/>
        <v>2Q01</v>
      </c>
      <c r="I550" s="1053" t="str">
        <f t="shared" si="423"/>
        <v>3Q01</v>
      </c>
      <c r="J550" s="1053" t="str">
        <f t="shared" si="423"/>
        <v>4Q01</v>
      </c>
      <c r="K550" s="1054">
        <f t="shared" si="423"/>
        <v>2001</v>
      </c>
      <c r="L550" s="1053" t="str">
        <f t="shared" si="423"/>
        <v>1Q02</v>
      </c>
      <c r="M550" s="1053" t="str">
        <f t="shared" si="423"/>
        <v>2Q02</v>
      </c>
      <c r="N550" s="1053" t="str">
        <f t="shared" si="423"/>
        <v>3Q02</v>
      </c>
      <c r="O550" s="1053" t="str">
        <f t="shared" si="423"/>
        <v>4Q02</v>
      </c>
      <c r="P550" s="1054">
        <f t="shared" si="423"/>
        <v>2002</v>
      </c>
      <c r="Q550" s="1053" t="str">
        <f t="shared" si="423"/>
        <v>1Q03</v>
      </c>
      <c r="R550" s="1053" t="str">
        <f t="shared" si="423"/>
        <v>2Q03</v>
      </c>
      <c r="S550" s="1053" t="str">
        <f t="shared" si="423"/>
        <v>3Q03</v>
      </c>
      <c r="T550" s="1453" t="str">
        <f t="shared" si="423"/>
        <v>4Q03</v>
      </c>
      <c r="U550" s="1054">
        <f t="shared" si="423"/>
        <v>2003</v>
      </c>
      <c r="V550" s="1053" t="str">
        <f t="shared" si="423"/>
        <v>1Q04</v>
      </c>
      <c r="W550" s="1053" t="str">
        <f t="shared" si="423"/>
        <v>2Q04</v>
      </c>
      <c r="X550" s="1053" t="str">
        <f t="shared" si="423"/>
        <v>3Q04</v>
      </c>
      <c r="Y550" s="1453" t="str">
        <f t="shared" si="423"/>
        <v>4Q04</v>
      </c>
      <c r="Z550" s="1054" t="str">
        <f t="shared" si="423"/>
        <v>2004</v>
      </c>
      <c r="AA550" s="1053" t="str">
        <f t="shared" si="423"/>
        <v>1Q05</v>
      </c>
      <c r="AB550" s="1053" t="str">
        <f t="shared" si="423"/>
        <v>2Q05</v>
      </c>
      <c r="AC550" s="1053" t="str">
        <f t="shared" si="423"/>
        <v>3Q05</v>
      </c>
      <c r="AD550" s="1453" t="str">
        <f t="shared" si="423"/>
        <v>4Q05</v>
      </c>
      <c r="AE550" s="1054">
        <f t="shared" si="423"/>
        <v>2005</v>
      </c>
      <c r="AF550" s="1053" t="str">
        <f t="shared" si="423"/>
        <v>1Q06</v>
      </c>
      <c r="AG550" s="1053" t="str">
        <f t="shared" si="423"/>
        <v>2Q06</v>
      </c>
      <c r="AH550" s="1053" t="str">
        <f t="shared" ref="AH550:BM550" si="424">+AH$5</f>
        <v>3Q06</v>
      </c>
      <c r="AI550" s="1453" t="str">
        <f t="shared" si="424"/>
        <v>4Q06</v>
      </c>
      <c r="AJ550" s="1054">
        <f t="shared" si="424"/>
        <v>2006</v>
      </c>
      <c r="AK550" s="1053" t="str">
        <f t="shared" si="424"/>
        <v>1Q07</v>
      </c>
      <c r="AL550" s="1053" t="str">
        <f t="shared" si="424"/>
        <v>2Q07</v>
      </c>
      <c r="AM550" s="1053" t="str">
        <f t="shared" si="424"/>
        <v>3Q07</v>
      </c>
      <c r="AN550" s="1053" t="str">
        <f t="shared" si="424"/>
        <v>4Q07</v>
      </c>
      <c r="AO550" s="1054" t="str">
        <f t="shared" si="424"/>
        <v>2007</v>
      </c>
      <c r="AP550" s="1053" t="str">
        <f t="shared" si="424"/>
        <v>1Q08</v>
      </c>
      <c r="AQ550" s="1053" t="str">
        <f t="shared" si="424"/>
        <v>2Q08</v>
      </c>
      <c r="AR550" s="1053" t="str">
        <f t="shared" si="424"/>
        <v>3Q08</v>
      </c>
      <c r="AS550" s="1053" t="str">
        <f t="shared" si="424"/>
        <v>4Q08</v>
      </c>
      <c r="AT550" s="1054" t="str">
        <f t="shared" si="424"/>
        <v>2008</v>
      </c>
      <c r="AU550" s="1053" t="str">
        <f t="shared" si="424"/>
        <v>1Q09</v>
      </c>
      <c r="AV550" s="1053" t="str">
        <f t="shared" si="424"/>
        <v>2Q09</v>
      </c>
      <c r="AW550" s="1053" t="str">
        <f t="shared" si="424"/>
        <v>3Q09</v>
      </c>
      <c r="AX550" s="1053" t="str">
        <f t="shared" si="424"/>
        <v>4Q09</v>
      </c>
      <c r="AY550" s="1054" t="str">
        <f t="shared" si="424"/>
        <v>2009</v>
      </c>
      <c r="AZ550" s="1053" t="str">
        <f t="shared" si="424"/>
        <v>1Q10</v>
      </c>
      <c r="BA550" s="1053" t="str">
        <f t="shared" si="424"/>
        <v>2Q10</v>
      </c>
      <c r="BB550" s="1053" t="str">
        <f t="shared" si="424"/>
        <v>3Q10</v>
      </c>
      <c r="BC550" s="1053" t="str">
        <f t="shared" si="424"/>
        <v>4Q10</v>
      </c>
      <c r="BD550" s="1054" t="str">
        <f t="shared" si="424"/>
        <v>2010</v>
      </c>
      <c r="BE550" s="1053" t="str">
        <f t="shared" si="424"/>
        <v>1Q11</v>
      </c>
      <c r="BF550" s="1053" t="str">
        <f t="shared" si="424"/>
        <v>2Q11</v>
      </c>
      <c r="BG550" s="1053" t="str">
        <f t="shared" si="424"/>
        <v>3Q11</v>
      </c>
      <c r="BH550" s="1053" t="str">
        <f t="shared" si="424"/>
        <v>4Q11</v>
      </c>
      <c r="BI550" s="1054">
        <f t="shared" si="424"/>
        <v>2011</v>
      </c>
      <c r="BJ550" s="1053" t="str">
        <f t="shared" si="424"/>
        <v>1Q12</v>
      </c>
      <c r="BK550" s="1053" t="str">
        <f t="shared" si="424"/>
        <v>2Q12</v>
      </c>
      <c r="BL550" s="1053" t="str">
        <f t="shared" si="424"/>
        <v>3Q12</v>
      </c>
      <c r="BM550" s="1053" t="str">
        <f t="shared" si="424"/>
        <v>4Q12</v>
      </c>
      <c r="BN550" s="1054">
        <f t="shared" ref="BN550:CT550" si="425">+BN$5</f>
        <v>2012</v>
      </c>
      <c r="BO550" s="1052" t="str">
        <f t="shared" si="425"/>
        <v>1Q13</v>
      </c>
      <c r="BP550" s="1053" t="str">
        <f t="shared" si="425"/>
        <v>2Q13</v>
      </c>
      <c r="BQ550" s="1053" t="str">
        <f t="shared" si="425"/>
        <v>3Q13</v>
      </c>
      <c r="BR550" s="1453" t="str">
        <f t="shared" si="425"/>
        <v>4Q13</v>
      </c>
      <c r="BS550" s="1054">
        <f t="shared" si="425"/>
        <v>2013</v>
      </c>
      <c r="BT550" s="1052" t="str">
        <f t="shared" si="425"/>
        <v>1Q14</v>
      </c>
      <c r="BU550" s="1053" t="str">
        <f t="shared" si="425"/>
        <v>2Q14</v>
      </c>
      <c r="BV550" s="1053" t="str">
        <f t="shared" si="425"/>
        <v>3Q14</v>
      </c>
      <c r="BW550" s="1453" t="str">
        <f t="shared" si="425"/>
        <v>4Q14</v>
      </c>
      <c r="BX550" s="1054">
        <f t="shared" si="425"/>
        <v>2014</v>
      </c>
      <c r="BY550" s="1052" t="str">
        <f t="shared" si="425"/>
        <v>1Q15</v>
      </c>
      <c r="BZ550" s="1053" t="str">
        <f t="shared" si="425"/>
        <v>2Q15</v>
      </c>
      <c r="CA550" s="1053" t="str">
        <f t="shared" si="425"/>
        <v>3Q15</v>
      </c>
      <c r="CB550" s="1453" t="str">
        <f t="shared" si="425"/>
        <v>4Q15</v>
      </c>
      <c r="CC550" s="1054">
        <f t="shared" si="425"/>
        <v>2015</v>
      </c>
      <c r="CD550" s="1053" t="str">
        <f t="shared" si="425"/>
        <v>1Q16</v>
      </c>
      <c r="CE550" s="1053" t="str">
        <f t="shared" si="425"/>
        <v>2Q16</v>
      </c>
      <c r="CF550" s="1053" t="str">
        <f t="shared" si="425"/>
        <v>3Q16</v>
      </c>
      <c r="CG550" s="1453" t="str">
        <f t="shared" si="425"/>
        <v>4Q16</v>
      </c>
      <c r="CH550" s="1054">
        <f t="shared" si="425"/>
        <v>2016</v>
      </c>
      <c r="CI550" s="1053" t="str">
        <f t="shared" si="425"/>
        <v>1Q17</v>
      </c>
      <c r="CJ550" s="1053" t="str">
        <f t="shared" si="425"/>
        <v>2Q17</v>
      </c>
      <c r="CK550" s="1053" t="str">
        <f t="shared" si="425"/>
        <v>3Q17</v>
      </c>
      <c r="CL550" s="1053" t="str">
        <f t="shared" si="425"/>
        <v>4Q17A</v>
      </c>
      <c r="CM550" s="1054" t="str">
        <f t="shared" si="425"/>
        <v>2017A</v>
      </c>
      <c r="CN550" s="1053" t="str">
        <f t="shared" si="425"/>
        <v>1Q18E</v>
      </c>
      <c r="CO550" s="1053" t="str">
        <f t="shared" si="425"/>
        <v>2Q18E</v>
      </c>
      <c r="CP550" s="1053" t="str">
        <f t="shared" si="425"/>
        <v>3Q18E</v>
      </c>
      <c r="CQ550" s="1053" t="str">
        <f t="shared" si="425"/>
        <v>4Q18E</v>
      </c>
      <c r="CR550" s="1054" t="str">
        <f t="shared" si="425"/>
        <v>2018E</v>
      </c>
      <c r="CS550" s="1054" t="str">
        <f t="shared" si="425"/>
        <v>2019E</v>
      </c>
      <c r="CT550" s="1054" t="str">
        <f t="shared" si="425"/>
        <v>2020E</v>
      </c>
      <c r="DA550" s="212"/>
      <c r="DB550" s="1226"/>
    </row>
    <row r="551" spans="1:106" x14ac:dyDescent="0.2">
      <c r="A551" s="1931" t="s">
        <v>305</v>
      </c>
      <c r="B551" s="234"/>
      <c r="C551" s="234"/>
      <c r="D551" s="234"/>
      <c r="E551" s="234"/>
      <c r="F551" s="234"/>
      <c r="G551" s="234"/>
      <c r="H551" s="234"/>
      <c r="I551" s="234"/>
      <c r="J551" s="234"/>
      <c r="K551" s="236"/>
      <c r="L551" s="234"/>
      <c r="M551" s="234"/>
      <c r="N551" s="234"/>
      <c r="O551" s="234"/>
      <c r="P551" s="194"/>
      <c r="Q551" s="234"/>
      <c r="R551" s="234"/>
      <c r="S551" s="234"/>
      <c r="T551" s="234"/>
      <c r="U551" s="194"/>
      <c r="V551" s="234"/>
      <c r="W551" s="234"/>
      <c r="X551" s="234"/>
      <c r="Y551" s="234"/>
      <c r="Z551" s="194"/>
      <c r="AA551" s="234"/>
      <c r="AB551" s="234"/>
      <c r="AC551" s="234"/>
      <c r="AD551" s="234"/>
      <c r="AE551" s="194"/>
      <c r="AF551" s="234"/>
      <c r="AG551" s="234"/>
      <c r="AH551" s="234"/>
      <c r="AI551" s="234"/>
      <c r="AJ551" s="194"/>
      <c r="AK551" s="234"/>
      <c r="AL551" s="234"/>
      <c r="AM551" s="234"/>
      <c r="AN551" s="234"/>
      <c r="AO551" s="194"/>
      <c r="AP551" s="234"/>
      <c r="AQ551" s="234"/>
      <c r="AR551" s="234"/>
      <c r="AS551" s="234"/>
      <c r="AT551" s="194"/>
      <c r="AU551" s="234"/>
      <c r="AV551" s="234"/>
      <c r="AW551" s="234"/>
      <c r="AX551" s="234"/>
      <c r="AY551" s="194"/>
      <c r="AZ551" s="234"/>
      <c r="BA551" s="234"/>
      <c r="BB551" s="234"/>
      <c r="BC551" s="234"/>
      <c r="BD551" s="194"/>
      <c r="BE551" s="234"/>
      <c r="BF551" s="234"/>
      <c r="BG551" s="234"/>
      <c r="BH551" s="234"/>
      <c r="BI551" s="194"/>
      <c r="BJ551" s="234"/>
      <c r="BK551" s="234"/>
      <c r="BL551" s="234"/>
      <c r="BM551" s="234"/>
      <c r="BN551" s="194"/>
      <c r="BO551" s="193"/>
      <c r="BR551" s="192"/>
      <c r="BS551" s="194"/>
      <c r="BT551" s="193"/>
      <c r="BU551" s="212"/>
      <c r="BV551" s="212"/>
      <c r="BW551" s="192"/>
      <c r="BX551" s="194"/>
      <c r="BY551" s="193"/>
      <c r="BZ551" s="212"/>
      <c r="CA551" s="212"/>
      <c r="CB551" s="192"/>
      <c r="CC551" s="194"/>
      <c r="CD551" s="212"/>
      <c r="CE551" s="212"/>
      <c r="CF551" s="212"/>
      <c r="CG551" s="192"/>
      <c r="CH551" s="194"/>
      <c r="CI551" s="212"/>
      <c r="CJ551" s="212"/>
      <c r="CK551" s="212"/>
      <c r="CL551" s="212"/>
      <c r="CM551" s="194"/>
      <c r="CN551" s="212"/>
      <c r="CO551" s="212"/>
      <c r="CP551" s="212"/>
      <c r="CQ551" s="212"/>
      <c r="CR551" s="194"/>
      <c r="CS551" s="194"/>
      <c r="CT551" s="194"/>
      <c r="DA551" s="212"/>
      <c r="DB551" s="1226"/>
    </row>
    <row r="552" spans="1:106" x14ac:dyDescent="0.2">
      <c r="A552" s="1630" t="s">
        <v>1309</v>
      </c>
      <c r="B552" s="234"/>
      <c r="C552" s="234"/>
      <c r="D552" s="234"/>
      <c r="E552" s="234"/>
      <c r="F552" s="234"/>
      <c r="G552" s="234"/>
      <c r="H552" s="234"/>
      <c r="I552" s="234"/>
      <c r="J552" s="234"/>
      <c r="K552" s="236"/>
      <c r="L552" s="234"/>
      <c r="M552" s="234"/>
      <c r="N552" s="234"/>
      <c r="O552" s="234"/>
      <c r="P552" s="194"/>
      <c r="Q552" s="234"/>
      <c r="R552" s="234"/>
      <c r="S552" s="234"/>
      <c r="T552" s="234"/>
      <c r="U552" s="194"/>
      <c r="V552" s="234"/>
      <c r="W552" s="234"/>
      <c r="X552" s="234"/>
      <c r="Y552" s="234"/>
      <c r="Z552" s="194"/>
      <c r="AA552" s="234"/>
      <c r="AB552" s="234"/>
      <c r="AC552" s="234"/>
      <c r="AD552" s="234"/>
      <c r="AE552" s="194"/>
      <c r="AF552" s="234"/>
      <c r="AG552" s="234"/>
      <c r="AH552" s="234"/>
      <c r="AI552" s="234"/>
      <c r="AJ552" s="194"/>
      <c r="AK552" s="234"/>
      <c r="AL552" s="234"/>
      <c r="AM552" s="234"/>
      <c r="AN552" s="234"/>
      <c r="AO552" s="194"/>
      <c r="AP552" s="234"/>
      <c r="AQ552" s="234"/>
      <c r="AR552" s="234"/>
      <c r="AS552" s="234"/>
      <c r="AT552" s="194"/>
      <c r="AU552" s="234"/>
      <c r="AV552" s="234"/>
      <c r="AW552" s="234"/>
      <c r="AX552" s="234"/>
      <c r="AY552" s="194"/>
      <c r="AZ552" s="234"/>
      <c r="BA552" s="234"/>
      <c r="BB552" s="234"/>
      <c r="BC552" s="234"/>
      <c r="BD552" s="194"/>
      <c r="BE552" s="234"/>
      <c r="BF552" s="234"/>
      <c r="BG552" s="234"/>
      <c r="BH552" s="234"/>
      <c r="BI552" s="194"/>
      <c r="BJ552" s="234"/>
      <c r="BK552" s="234"/>
      <c r="BL552" s="234"/>
      <c r="BM552" s="234"/>
      <c r="BN552" s="194"/>
      <c r="BO552" s="193"/>
      <c r="BR552" s="192"/>
      <c r="BS552" s="194"/>
      <c r="BT552" s="193"/>
      <c r="BU552" s="212"/>
      <c r="BV552" s="212"/>
      <c r="BW552" s="192"/>
      <c r="BX552" s="194"/>
      <c r="BY552" s="212"/>
      <c r="BZ552" s="212"/>
      <c r="CA552" s="212"/>
      <c r="CB552" s="192"/>
      <c r="CC552" s="194"/>
      <c r="CD552" s="212"/>
      <c r="CE552" s="212"/>
      <c r="CF552" s="212"/>
      <c r="CG552" s="192"/>
      <c r="CH552" s="194"/>
      <c r="CI552" s="212"/>
      <c r="CJ552" s="212"/>
      <c r="CK552" s="212"/>
      <c r="CL552" s="212"/>
      <c r="CM552" s="194"/>
      <c r="CN552" s="212"/>
      <c r="CO552" s="212"/>
      <c r="CP552" s="212"/>
      <c r="CQ552" s="212"/>
      <c r="CR552" s="194"/>
      <c r="CS552" s="194"/>
      <c r="CT552" s="194"/>
      <c r="CU552" s="212"/>
      <c r="DA552" s="212"/>
      <c r="DB552" s="1226"/>
    </row>
    <row r="553" spans="1:106" x14ac:dyDescent="0.2">
      <c r="A553" s="1437" t="s">
        <v>2687</v>
      </c>
      <c r="B553" s="234"/>
      <c r="C553" s="234"/>
      <c r="D553" s="234"/>
      <c r="E553" s="234"/>
      <c r="F553" s="234"/>
      <c r="G553" s="234"/>
      <c r="H553" s="234"/>
      <c r="I553" s="234"/>
      <c r="J553" s="234"/>
      <c r="K553" s="236"/>
      <c r="L553" s="234"/>
      <c r="M553" s="234"/>
      <c r="N553" s="234"/>
      <c r="O553" s="234"/>
      <c r="P553" s="194"/>
      <c r="Q553" s="234"/>
      <c r="R553" s="234"/>
      <c r="S553" s="234"/>
      <c r="T553" s="234"/>
      <c r="U553" s="194"/>
      <c r="V553" s="234"/>
      <c r="W553" s="234"/>
      <c r="X553" s="234"/>
      <c r="Y553" s="234"/>
      <c r="Z553" s="194"/>
      <c r="AA553" s="234"/>
      <c r="AB553" s="234"/>
      <c r="AC553" s="234"/>
      <c r="AD553" s="234"/>
      <c r="AE553" s="194"/>
      <c r="AF553" s="234"/>
      <c r="AG553" s="234"/>
      <c r="AH553" s="234"/>
      <c r="AI553" s="234"/>
      <c r="AJ553" s="194"/>
      <c r="AK553" s="234"/>
      <c r="AL553" s="234"/>
      <c r="AM553" s="234"/>
      <c r="AN553" s="234"/>
      <c r="AO553" s="194"/>
      <c r="AP553" s="234"/>
      <c r="AQ553" s="234"/>
      <c r="AR553" s="234"/>
      <c r="AS553" s="234"/>
      <c r="AT553" s="194"/>
      <c r="AU553" s="234"/>
      <c r="AV553" s="234"/>
      <c r="AW553" s="234"/>
      <c r="AX553" s="234"/>
      <c r="AY553" s="194"/>
      <c r="AZ553" s="234"/>
      <c r="BA553" s="234"/>
      <c r="BB553" s="234"/>
      <c r="BC553" s="234"/>
      <c r="BD553" s="194"/>
      <c r="BE553" s="234"/>
      <c r="BF553" s="234"/>
      <c r="BG553" s="234"/>
      <c r="BH553" s="234"/>
      <c r="BI553" s="194"/>
      <c r="BJ553" s="234"/>
      <c r="BK553" s="234"/>
      <c r="BL553" s="234"/>
      <c r="BM553" s="234"/>
      <c r="BN553" s="194"/>
      <c r="BO553" s="193"/>
      <c r="BR553" s="192"/>
      <c r="BS553" s="194"/>
      <c r="BT553" s="193"/>
      <c r="BU553" s="212"/>
      <c r="BV553" s="212"/>
      <c r="BW553" s="192"/>
      <c r="BX553" s="194"/>
      <c r="BY553" s="212"/>
      <c r="BZ553" s="212"/>
      <c r="CA553" s="212"/>
      <c r="CB553" s="192"/>
      <c r="CC553" s="194"/>
      <c r="CD553" s="212"/>
      <c r="CE553" s="212"/>
      <c r="CF553" s="212"/>
      <c r="CG553" s="212"/>
      <c r="CH553" s="194"/>
      <c r="CI553" s="212"/>
      <c r="CJ553" s="212"/>
      <c r="CK553" s="212"/>
      <c r="CL553" s="212"/>
      <c r="CM553" s="194"/>
      <c r="CN553" s="212"/>
      <c r="CO553" s="212"/>
      <c r="CP553" s="212"/>
      <c r="CQ553" s="212"/>
      <c r="CR553" s="194"/>
      <c r="CS553" s="194"/>
      <c r="CT553" s="194"/>
      <c r="CU553" s="212"/>
      <c r="DA553" s="212"/>
      <c r="DB553" s="1226"/>
    </row>
    <row r="554" spans="1:106" x14ac:dyDescent="0.2">
      <c r="A554" s="2308" t="s">
        <v>2672</v>
      </c>
      <c r="B554" s="234"/>
      <c r="C554" s="234"/>
      <c r="D554" s="234"/>
      <c r="E554" s="234"/>
      <c r="F554" s="234"/>
      <c r="G554" s="234"/>
      <c r="H554" s="234"/>
      <c r="I554" s="234"/>
      <c r="J554" s="234"/>
      <c r="K554" s="236"/>
      <c r="L554" s="234"/>
      <c r="M554" s="234"/>
      <c r="N554" s="234"/>
      <c r="O554" s="234"/>
      <c r="P554" s="194"/>
      <c r="Q554" s="234"/>
      <c r="R554" s="234"/>
      <c r="S554" s="234"/>
      <c r="T554" s="234"/>
      <c r="U554" s="194"/>
      <c r="V554" s="234"/>
      <c r="W554" s="234"/>
      <c r="X554" s="234"/>
      <c r="Y554" s="234"/>
      <c r="Z554" s="194"/>
      <c r="AA554" s="234"/>
      <c r="AB554" s="234"/>
      <c r="AC554" s="234"/>
      <c r="AD554" s="234"/>
      <c r="AE554" s="194"/>
      <c r="AF554" s="234"/>
      <c r="AG554" s="234"/>
      <c r="AH554" s="234"/>
      <c r="AI554" s="234"/>
      <c r="AJ554" s="194"/>
      <c r="AK554" s="234"/>
      <c r="AL554" s="234"/>
      <c r="AM554" s="234"/>
      <c r="AN554" s="234"/>
      <c r="AO554" s="194"/>
      <c r="AP554" s="234"/>
      <c r="AQ554" s="234"/>
      <c r="AR554" s="234"/>
      <c r="AS554" s="234"/>
      <c r="AT554" s="194"/>
      <c r="AU554" s="234"/>
      <c r="AV554" s="234"/>
      <c r="AW554" s="234"/>
      <c r="AX554" s="234"/>
      <c r="AY554" s="194"/>
      <c r="AZ554" s="234"/>
      <c r="BA554" s="234"/>
      <c r="BB554" s="234"/>
      <c r="BC554" s="234"/>
      <c r="BD554" s="194"/>
      <c r="BE554" s="234"/>
      <c r="BF554" s="234"/>
      <c r="BG554" s="234"/>
      <c r="BH554" s="234"/>
      <c r="BI554" s="194"/>
      <c r="BJ554" s="234"/>
      <c r="BK554" s="234"/>
      <c r="BL554" s="234"/>
      <c r="BM554" s="234"/>
      <c r="BN554" s="194"/>
      <c r="BO554" s="193"/>
      <c r="BR554" s="192"/>
      <c r="BS554" s="194"/>
      <c r="BT554" s="193"/>
      <c r="BU554" s="212"/>
      <c r="BV554" s="212"/>
      <c r="BW554" s="192"/>
      <c r="BX554" s="194"/>
      <c r="BY554" s="212"/>
      <c r="BZ554" s="212"/>
      <c r="CA554" s="212"/>
      <c r="CB554" s="192"/>
      <c r="CC554" s="194"/>
      <c r="CD554" s="1214">
        <v>4.7E-2</v>
      </c>
      <c r="CE554" s="1214">
        <v>3.2000000000000001E-2</v>
      </c>
      <c r="CF554" s="1214">
        <v>4.3999999999999997E-2</v>
      </c>
      <c r="CG554" s="1214">
        <v>1.9E-2</v>
      </c>
      <c r="CH554" s="1952">
        <v>3.5000000000000003E-2</v>
      </c>
      <c r="CI554" s="1214">
        <v>4.7E-2</v>
      </c>
      <c r="CJ554" s="1214">
        <v>2.8000000000000001E-2</v>
      </c>
      <c r="CK554" s="1214">
        <v>-7.0000000000000001E-3</v>
      </c>
      <c r="CL554" s="1214">
        <v>4.1000000000000002E-2</v>
      </c>
      <c r="CM554" s="1952">
        <v>3.1E-2</v>
      </c>
      <c r="CN554" s="1214"/>
      <c r="CO554" s="1214"/>
      <c r="CP554" s="212"/>
      <c r="CQ554" s="212"/>
      <c r="CR554" s="194"/>
      <c r="CS554" s="194"/>
      <c r="CT554" s="194"/>
      <c r="CU554" s="212"/>
      <c r="DA554" s="212"/>
      <c r="DB554" s="1226"/>
    </row>
    <row r="555" spans="1:106" x14ac:dyDescent="0.2">
      <c r="A555" s="1945" t="s">
        <v>821</v>
      </c>
      <c r="B555" s="234"/>
      <c r="C555" s="234"/>
      <c r="D555" s="234"/>
      <c r="E555" s="234"/>
      <c r="F555" s="234"/>
      <c r="G555" s="234"/>
      <c r="H555" s="234"/>
      <c r="I555" s="234"/>
      <c r="J555" s="234"/>
      <c r="K555" s="236"/>
      <c r="L555" s="234"/>
      <c r="M555" s="234"/>
      <c r="N555" s="234"/>
      <c r="O555" s="234"/>
      <c r="P555" s="194"/>
      <c r="Q555" s="234"/>
      <c r="R555" s="234"/>
      <c r="S555" s="234"/>
      <c r="T555" s="234"/>
      <c r="U555" s="194"/>
      <c r="V555" s="234"/>
      <c r="W555" s="234"/>
      <c r="X555" s="234"/>
      <c r="Y555" s="234"/>
      <c r="Z555" s="194"/>
      <c r="AA555" s="234"/>
      <c r="AB555" s="234"/>
      <c r="AC555" s="234"/>
      <c r="AD555" s="234"/>
      <c r="AE555" s="194"/>
      <c r="AF555" s="234"/>
      <c r="AG555" s="234"/>
      <c r="AH555" s="234"/>
      <c r="AI555" s="234"/>
      <c r="AJ555" s="194"/>
      <c r="AK555" s="234"/>
      <c r="AL555" s="234"/>
      <c r="AM555" s="234"/>
      <c r="AN555" s="234"/>
      <c r="AO555" s="194"/>
      <c r="AP555" s="234"/>
      <c r="AQ555" s="234"/>
      <c r="AR555" s="234"/>
      <c r="AS555" s="234"/>
      <c r="AT555" s="194"/>
      <c r="AU555" s="234"/>
      <c r="AV555" s="234"/>
      <c r="AW555" s="234"/>
      <c r="AX555" s="234"/>
      <c r="AY555" s="194"/>
      <c r="AZ555" s="234"/>
      <c r="BA555" s="234"/>
      <c r="BB555" s="234"/>
      <c r="BC555" s="234"/>
      <c r="BD555" s="194"/>
      <c r="BE555" s="234"/>
      <c r="BF555" s="234"/>
      <c r="BG555" s="234"/>
      <c r="BH555" s="234"/>
      <c r="BI555" s="194"/>
      <c r="BJ555" s="234"/>
      <c r="BK555" s="234"/>
      <c r="BL555" s="234"/>
      <c r="BM555" s="234"/>
      <c r="BN555" s="194"/>
      <c r="BO555" s="193"/>
      <c r="BR555" s="192"/>
      <c r="BS555" s="194"/>
      <c r="BT555" s="193"/>
      <c r="BU555" s="212"/>
      <c r="BV555" s="212"/>
      <c r="BW555" s="192"/>
      <c r="BX555" s="194"/>
      <c r="BY555" s="212"/>
      <c r="BZ555" s="212"/>
      <c r="CA555" s="212"/>
      <c r="CB555" s="192"/>
      <c r="CC555" s="194"/>
      <c r="CD555" s="1214">
        <v>6.0999999999999999E-2</v>
      </c>
      <c r="CE555" s="1214">
        <v>0.02</v>
      </c>
      <c r="CF555" s="1214">
        <v>2.8000000000000001E-2</v>
      </c>
      <c r="CG555" s="1214">
        <v>3.2000000000000001E-2</v>
      </c>
      <c r="CH555" s="1952">
        <v>3.5999999999999997E-2</v>
      </c>
      <c r="CI555" s="1214">
        <v>0.03</v>
      </c>
      <c r="CJ555" s="1214">
        <v>0.04</v>
      </c>
      <c r="CK555" s="1214">
        <v>1.7999999999999999E-2</v>
      </c>
      <c r="CL555" s="1214">
        <v>7.2999999999999995E-2</v>
      </c>
      <c r="CM555" s="1952">
        <v>4.9000000000000002E-2</v>
      </c>
      <c r="CN555" s="1214"/>
      <c r="CO555" s="1214"/>
      <c r="CP555" s="212"/>
      <c r="CQ555" s="212"/>
      <c r="CR555" s="194"/>
      <c r="CS555" s="194"/>
      <c r="CT555" s="194"/>
      <c r="CU555" s="212"/>
      <c r="DA555" s="212"/>
      <c r="DB555" s="1226"/>
    </row>
    <row r="556" spans="1:106" x14ac:dyDescent="0.2">
      <c r="A556" s="3391" t="s">
        <v>2671</v>
      </c>
      <c r="B556" s="234"/>
      <c r="C556" s="234"/>
      <c r="D556" s="234"/>
      <c r="E556" s="234"/>
      <c r="F556" s="234"/>
      <c r="G556" s="234"/>
      <c r="H556" s="234"/>
      <c r="I556" s="234"/>
      <c r="J556" s="234"/>
      <c r="K556" s="236"/>
      <c r="L556" s="234"/>
      <c r="M556" s="234"/>
      <c r="N556" s="234"/>
      <c r="O556" s="234"/>
      <c r="P556" s="194"/>
      <c r="Q556" s="234"/>
      <c r="R556" s="234"/>
      <c r="S556" s="234"/>
      <c r="T556" s="234"/>
      <c r="U556" s="194"/>
      <c r="V556" s="234"/>
      <c r="W556" s="234"/>
      <c r="X556" s="234"/>
      <c r="Y556" s="234"/>
      <c r="Z556" s="194"/>
      <c r="AA556" s="234"/>
      <c r="AB556" s="234"/>
      <c r="AC556" s="234"/>
      <c r="AD556" s="234"/>
      <c r="AE556" s="194"/>
      <c r="AF556" s="234"/>
      <c r="AG556" s="234"/>
      <c r="AH556" s="234"/>
      <c r="AI556" s="234"/>
      <c r="AJ556" s="194"/>
      <c r="AK556" s="234"/>
      <c r="AL556" s="234"/>
      <c r="AM556" s="234"/>
      <c r="AN556" s="234"/>
      <c r="AO556" s="194"/>
      <c r="AP556" s="234"/>
      <c r="AQ556" s="234"/>
      <c r="AR556" s="234"/>
      <c r="AS556" s="234"/>
      <c r="AT556" s="194"/>
      <c r="AU556" s="234"/>
      <c r="AV556" s="234"/>
      <c r="AW556" s="234"/>
      <c r="AX556" s="234"/>
      <c r="AY556" s="194"/>
      <c r="AZ556" s="234"/>
      <c r="BA556" s="234"/>
      <c r="BB556" s="234"/>
      <c r="BC556" s="234"/>
      <c r="BD556" s="194"/>
      <c r="BE556" s="234"/>
      <c r="BF556" s="234"/>
      <c r="BG556" s="234"/>
      <c r="BH556" s="234"/>
      <c r="BI556" s="194"/>
      <c r="BJ556" s="234"/>
      <c r="BK556" s="234"/>
      <c r="BL556" s="234"/>
      <c r="BM556" s="234"/>
      <c r="BN556" s="194"/>
      <c r="BO556" s="193"/>
      <c r="BR556" s="192"/>
      <c r="BS556" s="194"/>
      <c r="BT556" s="193"/>
      <c r="BU556" s="212"/>
      <c r="BV556" s="212"/>
      <c r="BW556" s="192"/>
      <c r="BX556" s="194"/>
      <c r="BY556" s="212"/>
      <c r="BZ556" s="212"/>
      <c r="CA556" s="212"/>
      <c r="CB556" s="192"/>
      <c r="CC556" s="194"/>
      <c r="CD556" s="1214">
        <v>-2.8000000000000001E-2</v>
      </c>
      <c r="CE556" s="1214">
        <v>-2.8000000000000001E-2</v>
      </c>
      <c r="CF556" s="1214">
        <v>-2.1000000000000001E-2</v>
      </c>
      <c r="CG556" s="1214">
        <v>-1.0999999999999999E-2</v>
      </c>
      <c r="CH556" s="1952">
        <v>-2.1999999999999999E-2</v>
      </c>
      <c r="CI556" s="1214">
        <v>1E-3</v>
      </c>
      <c r="CJ556" s="1214">
        <v>1E-3</v>
      </c>
      <c r="CK556" s="1214">
        <v>-3.3000000000000002E-2</v>
      </c>
      <c r="CL556" s="1214">
        <v>4.0000000000000001E-3</v>
      </c>
      <c r="CM556" s="1952">
        <v>-7.0000000000000001E-3</v>
      </c>
      <c r="CN556" s="1214"/>
      <c r="CO556" s="1214"/>
      <c r="CP556" s="212"/>
      <c r="CQ556" s="212"/>
      <c r="CR556" s="194"/>
      <c r="CS556" s="194"/>
      <c r="CT556" s="194"/>
      <c r="CU556" s="212"/>
      <c r="DA556" s="212"/>
      <c r="DB556" s="1226"/>
    </row>
    <row r="557" spans="1:106" x14ac:dyDescent="0.2">
      <c r="A557" s="2014" t="s">
        <v>2673</v>
      </c>
      <c r="B557" s="234"/>
      <c r="C557" s="234"/>
      <c r="D557" s="234"/>
      <c r="E557" s="234"/>
      <c r="F557" s="234"/>
      <c r="G557" s="234"/>
      <c r="H557" s="234"/>
      <c r="I557" s="234"/>
      <c r="J557" s="234"/>
      <c r="K557" s="236"/>
      <c r="L557" s="234"/>
      <c r="M557" s="234"/>
      <c r="N557" s="234"/>
      <c r="O557" s="234"/>
      <c r="P557" s="194"/>
      <c r="Q557" s="234"/>
      <c r="R557" s="234"/>
      <c r="S557" s="234"/>
      <c r="T557" s="234"/>
      <c r="U557" s="194"/>
      <c r="V557" s="234"/>
      <c r="W557" s="234"/>
      <c r="X557" s="234"/>
      <c r="Y557" s="234"/>
      <c r="Z557" s="194"/>
      <c r="AA557" s="234"/>
      <c r="AB557" s="234"/>
      <c r="AC557" s="234"/>
      <c r="AD557" s="234"/>
      <c r="AE557" s="194"/>
      <c r="AF557" s="234"/>
      <c r="AG557" s="234"/>
      <c r="AH557" s="234"/>
      <c r="AI557" s="234"/>
      <c r="AJ557" s="194"/>
      <c r="AK557" s="234"/>
      <c r="AL557" s="234"/>
      <c r="AM557" s="234"/>
      <c r="AN557" s="234"/>
      <c r="AO557" s="194"/>
      <c r="AP557" s="234"/>
      <c r="AQ557" s="234"/>
      <c r="AR557" s="234"/>
      <c r="AS557" s="234"/>
      <c r="AT557" s="194"/>
      <c r="AU557" s="234"/>
      <c r="AV557" s="234"/>
      <c r="AW557" s="234"/>
      <c r="AX557" s="234"/>
      <c r="AY557" s="194"/>
      <c r="AZ557" s="234"/>
      <c r="BA557" s="234"/>
      <c r="BB557" s="234"/>
      <c r="BC557" s="234"/>
      <c r="BD557" s="194"/>
      <c r="BE557" s="234"/>
      <c r="BF557" s="234"/>
      <c r="BG557" s="234"/>
      <c r="BH557" s="234"/>
      <c r="BI557" s="194"/>
      <c r="BJ557" s="234"/>
      <c r="BK557" s="234"/>
      <c r="BL557" s="234"/>
      <c r="BM557" s="234"/>
      <c r="BN557" s="194"/>
      <c r="BO557" s="193"/>
      <c r="BR557" s="192"/>
      <c r="BS557" s="194"/>
      <c r="BT557" s="193"/>
      <c r="BU557" s="212"/>
      <c r="BV557" s="212"/>
      <c r="BW557" s="192"/>
      <c r="BX557" s="194"/>
      <c r="BY557" s="212"/>
      <c r="BZ557" s="212"/>
      <c r="CA557" s="212"/>
      <c r="CB557" s="192"/>
      <c r="CC557" s="194"/>
      <c r="CD557" s="1625">
        <v>0.04</v>
      </c>
      <c r="CE557" s="1625">
        <v>2.3E-2</v>
      </c>
      <c r="CF557" s="1625">
        <v>2.9000000000000001E-2</v>
      </c>
      <c r="CG557" s="1625">
        <v>0.02</v>
      </c>
      <c r="CH557" s="1952">
        <v>2.8000000000000001E-2</v>
      </c>
      <c r="CI557" s="1625">
        <v>3.5999999999999997E-2</v>
      </c>
      <c r="CJ557" s="1625">
        <v>2.3E-2</v>
      </c>
      <c r="CK557" s="1625">
        <v>-2E-3</v>
      </c>
      <c r="CL557" s="1625">
        <v>4.7E-2</v>
      </c>
      <c r="CM557" s="1952">
        <v>2.8000000000000001E-2</v>
      </c>
      <c r="CN557" s="1625"/>
      <c r="CO557" s="1625"/>
      <c r="CP557" s="212"/>
      <c r="CQ557" s="212"/>
      <c r="CR557" s="194"/>
      <c r="CS557" s="194"/>
      <c r="CT557" s="194"/>
      <c r="CU557" s="212"/>
      <c r="DA557" s="212"/>
      <c r="DB557" s="1226"/>
    </row>
    <row r="558" spans="1:106" x14ac:dyDescent="0.2">
      <c r="A558" s="1945" t="s">
        <v>819</v>
      </c>
      <c r="B558" s="234"/>
      <c r="C558" s="234"/>
      <c r="D558" s="234"/>
      <c r="E558" s="234"/>
      <c r="F558" s="234"/>
      <c r="G558" s="234"/>
      <c r="H558" s="234"/>
      <c r="I558" s="234"/>
      <c r="J558" s="234"/>
      <c r="K558" s="236"/>
      <c r="L558" s="234"/>
      <c r="M558" s="234"/>
      <c r="N558" s="234"/>
      <c r="O558" s="234"/>
      <c r="P558" s="194"/>
      <c r="Q558" s="234"/>
      <c r="R558" s="234"/>
      <c r="S558" s="234"/>
      <c r="T558" s="234"/>
      <c r="U558" s="194"/>
      <c r="V558" s="234"/>
      <c r="W558" s="234"/>
      <c r="X558" s="234"/>
      <c r="Y558" s="234"/>
      <c r="Z558" s="194"/>
      <c r="AA558" s="234"/>
      <c r="AB558" s="234"/>
      <c r="AC558" s="234"/>
      <c r="AD558" s="234"/>
      <c r="AE558" s="194"/>
      <c r="AF558" s="234"/>
      <c r="AG558" s="234"/>
      <c r="AH558" s="234"/>
      <c r="AI558" s="234"/>
      <c r="AJ558" s="194"/>
      <c r="AK558" s="234"/>
      <c r="AL558" s="234"/>
      <c r="AM558" s="234"/>
      <c r="AN558" s="234"/>
      <c r="AO558" s="194"/>
      <c r="AP558" s="234"/>
      <c r="AQ558" s="234"/>
      <c r="AR558" s="234"/>
      <c r="AS558" s="234"/>
      <c r="AT558" s="194"/>
      <c r="AU558" s="234"/>
      <c r="AV558" s="234"/>
      <c r="AW558" s="234"/>
      <c r="AX558" s="234"/>
      <c r="AY558" s="194"/>
      <c r="AZ558" s="234"/>
      <c r="BA558" s="234"/>
      <c r="BB558" s="234"/>
      <c r="BC558" s="234"/>
      <c r="BD558" s="194"/>
      <c r="BE558" s="234"/>
      <c r="BF558" s="234"/>
      <c r="BG558" s="234"/>
      <c r="BH558" s="234"/>
      <c r="BI558" s="194"/>
      <c r="BJ558" s="234"/>
      <c r="BK558" s="234"/>
      <c r="BL558" s="234"/>
      <c r="BM558" s="234"/>
      <c r="BN558" s="194"/>
      <c r="BO558" s="193"/>
      <c r="BR558" s="192"/>
      <c r="BS558" s="194"/>
      <c r="BT558" s="193"/>
      <c r="BU558" s="212"/>
      <c r="BV558" s="212"/>
      <c r="BW558" s="192"/>
      <c r="BX558" s="194"/>
      <c r="BY558" s="212"/>
      <c r="BZ558" s="212"/>
      <c r="CA558" s="212"/>
      <c r="CB558" s="192"/>
      <c r="CC558" s="194"/>
      <c r="CD558" s="1214">
        <v>2.5000000000000001E-2</v>
      </c>
      <c r="CE558" s="1214">
        <v>3.4000000000000002E-2</v>
      </c>
      <c r="CF558" s="1214">
        <v>2.1999999999999999E-2</v>
      </c>
      <c r="CG558" s="1214">
        <v>-2E-3</v>
      </c>
      <c r="CH558" s="1952">
        <v>0.02</v>
      </c>
      <c r="CI558" s="1214">
        <v>2.5000000000000001E-2</v>
      </c>
      <c r="CJ558" s="1214">
        <v>3.0000000000000001E-3</v>
      </c>
      <c r="CK558" s="1214">
        <v>-3.0000000000000001E-3</v>
      </c>
      <c r="CL558" s="1214">
        <v>4.4999999999999998E-2</v>
      </c>
      <c r="CM558" s="1952">
        <v>1.7999999999999999E-2</v>
      </c>
      <c r="CN558" s="1214"/>
      <c r="CO558" s="1214"/>
      <c r="CP558" s="212"/>
      <c r="CQ558" s="212"/>
      <c r="CR558" s="194"/>
      <c r="CS558" s="194"/>
      <c r="CT558" s="194"/>
      <c r="CU558" s="212"/>
      <c r="DA558" s="212"/>
      <c r="DB558" s="1226"/>
    </row>
    <row r="559" spans="1:106" x14ac:dyDescent="0.2">
      <c r="A559" s="3391" t="s">
        <v>2674</v>
      </c>
      <c r="B559" s="234"/>
      <c r="C559" s="234"/>
      <c r="D559" s="234"/>
      <c r="E559" s="234"/>
      <c r="F559" s="234"/>
      <c r="G559" s="234"/>
      <c r="H559" s="234"/>
      <c r="I559" s="234"/>
      <c r="J559" s="234"/>
      <c r="K559" s="236"/>
      <c r="L559" s="234"/>
      <c r="M559" s="234"/>
      <c r="N559" s="234"/>
      <c r="O559" s="234"/>
      <c r="P559" s="194"/>
      <c r="Q559" s="234"/>
      <c r="R559" s="234"/>
      <c r="S559" s="234"/>
      <c r="T559" s="234"/>
      <c r="U559" s="194"/>
      <c r="V559" s="234"/>
      <c r="W559" s="234"/>
      <c r="X559" s="234"/>
      <c r="Y559" s="234"/>
      <c r="Z559" s="194"/>
      <c r="AA559" s="234"/>
      <c r="AB559" s="234"/>
      <c r="AC559" s="234"/>
      <c r="AD559" s="234"/>
      <c r="AE559" s="194"/>
      <c r="AF559" s="234"/>
      <c r="AG559" s="234"/>
      <c r="AH559" s="234"/>
      <c r="AI559" s="234"/>
      <c r="AJ559" s="194"/>
      <c r="AK559" s="234"/>
      <c r="AL559" s="234"/>
      <c r="AM559" s="234"/>
      <c r="AN559" s="234"/>
      <c r="AO559" s="194"/>
      <c r="AP559" s="234"/>
      <c r="AQ559" s="234"/>
      <c r="AR559" s="234"/>
      <c r="AS559" s="234"/>
      <c r="AT559" s="194"/>
      <c r="AU559" s="234"/>
      <c r="AV559" s="234"/>
      <c r="AW559" s="234"/>
      <c r="AX559" s="234"/>
      <c r="AY559" s="194"/>
      <c r="AZ559" s="234"/>
      <c r="BA559" s="234"/>
      <c r="BB559" s="234"/>
      <c r="BC559" s="234"/>
      <c r="BD559" s="194"/>
      <c r="BE559" s="234"/>
      <c r="BF559" s="234"/>
      <c r="BG559" s="234"/>
      <c r="BH559" s="234"/>
      <c r="BI559" s="194"/>
      <c r="BJ559" s="234"/>
      <c r="BK559" s="234"/>
      <c r="BL559" s="234"/>
      <c r="BM559" s="234"/>
      <c r="BN559" s="194"/>
      <c r="BO559" s="193"/>
      <c r="BR559" s="192"/>
      <c r="BS559" s="194"/>
      <c r="BT559" s="193"/>
      <c r="BU559" s="212"/>
      <c r="BV559" s="212"/>
      <c r="BW559" s="192"/>
      <c r="BX559" s="194"/>
      <c r="BY559" s="212"/>
      <c r="BZ559" s="212"/>
      <c r="CA559" s="212"/>
      <c r="CB559" s="192"/>
      <c r="CC559" s="194"/>
      <c r="CD559" s="1214">
        <v>8.0000000000000002E-3</v>
      </c>
      <c r="CE559" s="1214">
        <v>3.5000000000000003E-2</v>
      </c>
      <c r="CF559" s="1214">
        <v>4.1000000000000002E-2</v>
      </c>
      <c r="CG559" s="1214">
        <v>8.9999999999999993E-3</v>
      </c>
      <c r="CH559" s="1952">
        <v>2.4E-2</v>
      </c>
      <c r="CI559" s="1214">
        <v>3.5000000000000003E-2</v>
      </c>
      <c r="CJ559" s="1214">
        <v>4.0000000000000001E-3</v>
      </c>
      <c r="CK559" s="1214">
        <v>-8.9999999999999993E-3</v>
      </c>
      <c r="CL559" s="1214">
        <v>3.4000000000000002E-2</v>
      </c>
      <c r="CM559" s="1952">
        <v>1.4999999999999999E-2</v>
      </c>
      <c r="CN559" s="1214"/>
      <c r="CO559" s="1214"/>
      <c r="CP559" s="212"/>
      <c r="CQ559" s="212"/>
      <c r="CR559" s="194"/>
      <c r="CS559" s="194"/>
      <c r="CT559" s="194"/>
      <c r="CU559" s="212"/>
      <c r="DA559" s="212"/>
      <c r="DB559" s="1226"/>
    </row>
    <row r="560" spans="1:106" x14ac:dyDescent="0.2">
      <c r="A560" s="3391" t="s">
        <v>2675</v>
      </c>
      <c r="B560" s="234"/>
      <c r="C560" s="234"/>
      <c r="D560" s="234"/>
      <c r="E560" s="234"/>
      <c r="F560" s="234"/>
      <c r="G560" s="234"/>
      <c r="H560" s="234"/>
      <c r="I560" s="234"/>
      <c r="J560" s="234"/>
      <c r="K560" s="236"/>
      <c r="L560" s="234"/>
      <c r="M560" s="234"/>
      <c r="N560" s="234"/>
      <c r="O560" s="234"/>
      <c r="P560" s="194"/>
      <c r="Q560" s="234"/>
      <c r="R560" s="234"/>
      <c r="S560" s="234"/>
      <c r="T560" s="234"/>
      <c r="U560" s="194"/>
      <c r="V560" s="234"/>
      <c r="W560" s="234"/>
      <c r="X560" s="234"/>
      <c r="Y560" s="234"/>
      <c r="Z560" s="194"/>
      <c r="AA560" s="234"/>
      <c r="AB560" s="234"/>
      <c r="AC560" s="234"/>
      <c r="AD560" s="234"/>
      <c r="AE560" s="194"/>
      <c r="AF560" s="234"/>
      <c r="AG560" s="234"/>
      <c r="AH560" s="234"/>
      <c r="AI560" s="234"/>
      <c r="AJ560" s="194"/>
      <c r="AK560" s="234"/>
      <c r="AL560" s="234"/>
      <c r="AM560" s="234"/>
      <c r="AN560" s="234"/>
      <c r="AO560" s="194"/>
      <c r="AP560" s="234"/>
      <c r="AQ560" s="234"/>
      <c r="AR560" s="234"/>
      <c r="AS560" s="234"/>
      <c r="AT560" s="194"/>
      <c r="AU560" s="234"/>
      <c r="AV560" s="234"/>
      <c r="AW560" s="234"/>
      <c r="AX560" s="234"/>
      <c r="AY560" s="194"/>
      <c r="AZ560" s="234"/>
      <c r="BA560" s="234"/>
      <c r="BB560" s="234"/>
      <c r="BC560" s="234"/>
      <c r="BD560" s="194"/>
      <c r="BE560" s="234"/>
      <c r="BF560" s="234"/>
      <c r="BG560" s="234"/>
      <c r="BH560" s="234"/>
      <c r="BI560" s="194"/>
      <c r="BJ560" s="234"/>
      <c r="BK560" s="234"/>
      <c r="BL560" s="234"/>
      <c r="BM560" s="234"/>
      <c r="BN560" s="194"/>
      <c r="BO560" s="193"/>
      <c r="BR560" s="192"/>
      <c r="BS560" s="194"/>
      <c r="BT560" s="193"/>
      <c r="BU560" s="212"/>
      <c r="BV560" s="212"/>
      <c r="BW560" s="192"/>
      <c r="BX560" s="194"/>
      <c r="BY560" s="212"/>
      <c r="BZ560" s="212"/>
      <c r="CA560" s="212"/>
      <c r="CB560" s="192"/>
      <c r="CC560" s="194"/>
      <c r="CD560" s="1214">
        <v>3.5999999999999997E-2</v>
      </c>
      <c r="CE560" s="1214">
        <v>2.9000000000000001E-2</v>
      </c>
      <c r="CF560" s="1214">
        <v>3.2000000000000001E-2</v>
      </c>
      <c r="CG560" s="1214">
        <v>-1E-3</v>
      </c>
      <c r="CH560" s="1952">
        <v>2.4E-2</v>
      </c>
      <c r="CI560" s="1214">
        <v>4.5999999999999999E-2</v>
      </c>
      <c r="CJ560" s="1214">
        <v>1.2E-2</v>
      </c>
      <c r="CK560" s="1214">
        <v>-4.0000000000000001E-3</v>
      </c>
      <c r="CL560" s="1214">
        <v>2.1999999999999999E-2</v>
      </c>
      <c r="CM560" s="1952">
        <v>1.7999999999999999E-2</v>
      </c>
      <c r="CN560" s="1214"/>
      <c r="CO560" s="1214"/>
      <c r="CP560" s="212"/>
      <c r="CQ560" s="212"/>
      <c r="CR560" s="194"/>
      <c r="CS560" s="194"/>
      <c r="CT560" s="194"/>
      <c r="CU560" s="212"/>
      <c r="DA560" s="212"/>
      <c r="DB560" s="1226"/>
    </row>
    <row r="561" spans="1:106" x14ac:dyDescent="0.2">
      <c r="A561" s="2014" t="s">
        <v>2676</v>
      </c>
      <c r="B561" s="234"/>
      <c r="C561" s="234"/>
      <c r="D561" s="234"/>
      <c r="E561" s="234"/>
      <c r="F561" s="234"/>
      <c r="G561" s="234"/>
      <c r="H561" s="234"/>
      <c r="I561" s="234"/>
      <c r="J561" s="234"/>
      <c r="K561" s="236"/>
      <c r="L561" s="234"/>
      <c r="M561" s="234"/>
      <c r="N561" s="234"/>
      <c r="O561" s="234"/>
      <c r="P561" s="194"/>
      <c r="Q561" s="234"/>
      <c r="R561" s="234"/>
      <c r="S561" s="234"/>
      <c r="T561" s="234"/>
      <c r="U561" s="194"/>
      <c r="V561" s="234"/>
      <c r="W561" s="234"/>
      <c r="X561" s="234"/>
      <c r="Y561" s="234"/>
      <c r="Z561" s="194"/>
      <c r="AA561" s="234"/>
      <c r="AB561" s="234"/>
      <c r="AC561" s="234"/>
      <c r="AD561" s="234"/>
      <c r="AE561" s="194"/>
      <c r="AF561" s="234"/>
      <c r="AG561" s="234"/>
      <c r="AH561" s="234"/>
      <c r="AI561" s="234"/>
      <c r="AJ561" s="194"/>
      <c r="AK561" s="234"/>
      <c r="AL561" s="234"/>
      <c r="AM561" s="234"/>
      <c r="AN561" s="234"/>
      <c r="AO561" s="194"/>
      <c r="AP561" s="234"/>
      <c r="AQ561" s="234"/>
      <c r="AR561" s="234"/>
      <c r="AS561" s="234"/>
      <c r="AT561" s="194"/>
      <c r="AU561" s="234"/>
      <c r="AV561" s="234"/>
      <c r="AW561" s="234"/>
      <c r="AX561" s="234"/>
      <c r="AY561" s="194"/>
      <c r="AZ561" s="234"/>
      <c r="BA561" s="234"/>
      <c r="BB561" s="234"/>
      <c r="BC561" s="234"/>
      <c r="BD561" s="194"/>
      <c r="BE561" s="234"/>
      <c r="BF561" s="234"/>
      <c r="BG561" s="234"/>
      <c r="BH561" s="234"/>
      <c r="BI561" s="194"/>
      <c r="BJ561" s="234"/>
      <c r="BK561" s="234"/>
      <c r="BL561" s="234"/>
      <c r="BM561" s="234"/>
      <c r="BN561" s="194"/>
      <c r="BO561" s="193"/>
      <c r="BR561" s="192"/>
      <c r="BS561" s="194"/>
      <c r="BT561" s="193"/>
      <c r="BU561" s="212"/>
      <c r="BV561" s="212"/>
      <c r="BW561" s="192"/>
      <c r="BX561" s="194"/>
      <c r="BY561" s="212"/>
      <c r="BZ561" s="212"/>
      <c r="CA561" s="212"/>
      <c r="CB561" s="192"/>
      <c r="CC561" s="194"/>
      <c r="CD561" s="1625">
        <v>2.3E-2</v>
      </c>
      <c r="CE561" s="1625">
        <v>3.5999999999999997E-2</v>
      </c>
      <c r="CF561" s="1625">
        <v>3.5000000000000003E-2</v>
      </c>
      <c r="CG561" s="1625">
        <v>6.0000000000000001E-3</v>
      </c>
      <c r="CH561" s="1952">
        <v>2.5000000000000001E-2</v>
      </c>
      <c r="CI561" s="1625">
        <v>3.9E-2</v>
      </c>
      <c r="CJ561" s="1625">
        <v>7.0000000000000001E-3</v>
      </c>
      <c r="CK561" s="1625">
        <v>-3.0000000000000001E-3</v>
      </c>
      <c r="CL561" s="1625">
        <v>3.6999999999999998E-2</v>
      </c>
      <c r="CM561" s="1952">
        <v>0.02</v>
      </c>
      <c r="CN561" s="1625"/>
      <c r="CO561" s="1625"/>
      <c r="CP561" s="212"/>
      <c r="CQ561" s="212"/>
      <c r="CR561" s="194"/>
      <c r="CS561" s="194"/>
      <c r="CT561" s="194"/>
      <c r="CU561" s="212"/>
      <c r="DA561" s="212"/>
      <c r="DB561" s="1226"/>
    </row>
    <row r="562" spans="1:106" x14ac:dyDescent="0.2">
      <c r="A562" s="2014" t="s">
        <v>50</v>
      </c>
      <c r="B562" s="234"/>
      <c r="C562" s="234"/>
      <c r="D562" s="234"/>
      <c r="E562" s="234"/>
      <c r="F562" s="234"/>
      <c r="G562" s="234"/>
      <c r="H562" s="234"/>
      <c r="I562" s="234"/>
      <c r="J562" s="234"/>
      <c r="K562" s="236"/>
      <c r="L562" s="234"/>
      <c r="M562" s="234"/>
      <c r="N562" s="234"/>
      <c r="O562" s="234"/>
      <c r="P562" s="194"/>
      <c r="Q562" s="234"/>
      <c r="R562" s="234"/>
      <c r="S562" s="234"/>
      <c r="T562" s="234"/>
      <c r="U562" s="194"/>
      <c r="V562" s="234"/>
      <c r="W562" s="234"/>
      <c r="X562" s="234"/>
      <c r="Y562" s="234"/>
      <c r="Z562" s="194"/>
      <c r="AA562" s="234"/>
      <c r="AB562" s="234"/>
      <c r="AC562" s="234"/>
      <c r="AD562" s="234"/>
      <c r="AE562" s="194"/>
      <c r="AF562" s="234"/>
      <c r="AG562" s="234"/>
      <c r="AH562" s="234"/>
      <c r="AI562" s="234"/>
      <c r="AJ562" s="194"/>
      <c r="AK562" s="234"/>
      <c r="AL562" s="234"/>
      <c r="AM562" s="234"/>
      <c r="AN562" s="234"/>
      <c r="AO562" s="194"/>
      <c r="AP562" s="234"/>
      <c r="AQ562" s="234"/>
      <c r="AR562" s="234"/>
      <c r="AS562" s="234"/>
      <c r="AT562" s="194"/>
      <c r="AU562" s="234"/>
      <c r="AV562" s="234"/>
      <c r="AW562" s="234"/>
      <c r="AX562" s="234"/>
      <c r="AY562" s="194"/>
      <c r="AZ562" s="234"/>
      <c r="BA562" s="234"/>
      <c r="BB562" s="234"/>
      <c r="BC562" s="234"/>
      <c r="BD562" s="194"/>
      <c r="BE562" s="234"/>
      <c r="BF562" s="234"/>
      <c r="BG562" s="234"/>
      <c r="BH562" s="234"/>
      <c r="BI562" s="194"/>
      <c r="BJ562" s="234"/>
      <c r="BK562" s="234"/>
      <c r="BL562" s="234"/>
      <c r="BM562" s="234"/>
      <c r="BN562" s="194"/>
      <c r="BO562" s="193"/>
      <c r="BR562" s="192"/>
      <c r="BS562" s="194"/>
      <c r="BT562" s="193"/>
      <c r="BU562" s="212"/>
      <c r="BV562" s="212"/>
      <c r="BW562" s="192"/>
      <c r="BX562" s="194"/>
      <c r="BY562" s="212"/>
      <c r="BZ562" s="212"/>
      <c r="CA562" s="212"/>
      <c r="CB562" s="192"/>
      <c r="CC562" s="194"/>
      <c r="CD562" s="2247">
        <v>2.5999999999999999E-2</v>
      </c>
      <c r="CE562" s="2247">
        <v>3.4000000000000002E-2</v>
      </c>
      <c r="CF562" s="2247">
        <v>3.4000000000000002E-2</v>
      </c>
      <c r="CG562" s="2247">
        <v>8.9999999999999993E-3</v>
      </c>
      <c r="CH562" s="2017">
        <v>2.5999999999999999E-2</v>
      </c>
      <c r="CI562" s="2247">
        <v>3.9E-2</v>
      </c>
      <c r="CJ562" s="2247">
        <v>0.01</v>
      </c>
      <c r="CK562" s="2247">
        <v>-3.0000000000000001E-3</v>
      </c>
      <c r="CL562" s="2247">
        <v>3.9E-2</v>
      </c>
      <c r="CM562" s="2017">
        <v>2.1000000000000001E-2</v>
      </c>
      <c r="CN562" s="2247"/>
      <c r="CO562" s="2247"/>
      <c r="CP562" s="212"/>
      <c r="CQ562" s="212"/>
      <c r="CR562" s="194"/>
      <c r="CS562" s="194"/>
      <c r="CT562" s="194"/>
      <c r="CU562" s="212"/>
      <c r="DA562" s="212"/>
      <c r="DB562" s="1226"/>
    </row>
    <row r="563" spans="1:106" x14ac:dyDescent="0.2">
      <c r="A563" s="1945" t="s">
        <v>822</v>
      </c>
      <c r="B563" s="234"/>
      <c r="C563" s="234"/>
      <c r="D563" s="234"/>
      <c r="E563" s="234"/>
      <c r="F563" s="234"/>
      <c r="G563" s="234"/>
      <c r="H563" s="234"/>
      <c r="I563" s="234"/>
      <c r="J563" s="234"/>
      <c r="K563" s="236"/>
      <c r="L563" s="234"/>
      <c r="M563" s="234"/>
      <c r="N563" s="234"/>
      <c r="O563" s="234"/>
      <c r="P563" s="194"/>
      <c r="Q563" s="234"/>
      <c r="R563" s="234"/>
      <c r="S563" s="234"/>
      <c r="T563" s="234"/>
      <c r="U563" s="194"/>
      <c r="V563" s="234"/>
      <c r="W563" s="234"/>
      <c r="X563" s="234"/>
      <c r="Y563" s="234"/>
      <c r="Z563" s="194"/>
      <c r="AA563" s="234"/>
      <c r="AB563" s="234"/>
      <c r="AC563" s="234"/>
      <c r="AD563" s="234"/>
      <c r="AE563" s="194"/>
      <c r="AF563" s="234"/>
      <c r="AG563" s="234"/>
      <c r="AH563" s="234"/>
      <c r="AI563" s="234"/>
      <c r="AJ563" s="194"/>
      <c r="AK563" s="234"/>
      <c r="AL563" s="234"/>
      <c r="AM563" s="234"/>
      <c r="AN563" s="234"/>
      <c r="AO563" s="194"/>
      <c r="AP563" s="234"/>
      <c r="AQ563" s="234"/>
      <c r="AR563" s="234"/>
      <c r="AS563" s="234"/>
      <c r="AT563" s="194"/>
      <c r="AU563" s="234"/>
      <c r="AV563" s="234"/>
      <c r="AW563" s="234"/>
      <c r="AX563" s="234"/>
      <c r="AY563" s="194"/>
      <c r="AZ563" s="234"/>
      <c r="BA563" s="234"/>
      <c r="BB563" s="234"/>
      <c r="BC563" s="234"/>
      <c r="BD563" s="194"/>
      <c r="BE563" s="234"/>
      <c r="BF563" s="234"/>
      <c r="BG563" s="234"/>
      <c r="BH563" s="234"/>
      <c r="BI563" s="194"/>
      <c r="BJ563" s="234"/>
      <c r="BK563" s="234"/>
      <c r="BL563" s="234"/>
      <c r="BM563" s="234"/>
      <c r="BN563" s="194"/>
      <c r="BO563" s="193"/>
      <c r="BR563" s="192"/>
      <c r="BS563" s="194"/>
      <c r="BT563" s="193"/>
      <c r="BU563" s="212"/>
      <c r="BV563" s="212"/>
      <c r="BW563" s="192"/>
      <c r="BX563" s="194"/>
      <c r="BY563" s="212"/>
      <c r="BZ563" s="212"/>
      <c r="CA563" s="212"/>
      <c r="CB563" s="192"/>
      <c r="CC563" s="194"/>
      <c r="CD563" s="1214">
        <v>2.5999999999999999E-2</v>
      </c>
      <c r="CE563" s="1214">
        <v>3.2000000000000001E-2</v>
      </c>
      <c r="CF563" s="1214">
        <v>1.2E-2</v>
      </c>
      <c r="CG563" s="1214">
        <v>6.0000000000000001E-3</v>
      </c>
      <c r="CH563" s="1952">
        <v>1.9E-2</v>
      </c>
      <c r="CI563" s="1214">
        <v>1.2E-2</v>
      </c>
      <c r="CJ563" s="1214">
        <v>-1E-3</v>
      </c>
      <c r="CK563" s="1214">
        <v>8.0000000000000002E-3</v>
      </c>
      <c r="CL563" s="1214">
        <v>4.1000000000000002E-2</v>
      </c>
      <c r="CM563" s="1952">
        <v>1.4E-2</v>
      </c>
      <c r="CN563" s="1214"/>
      <c r="CO563" s="1214"/>
      <c r="CP563" s="212"/>
      <c r="CQ563" s="212"/>
      <c r="CR563" s="194"/>
      <c r="CS563" s="194"/>
      <c r="CT563" s="194"/>
      <c r="CU563" s="212"/>
      <c r="DA563" s="212"/>
      <c r="DB563" s="1226"/>
    </row>
    <row r="564" spans="1:106" x14ac:dyDescent="0.2">
      <c r="A564" s="1945" t="s">
        <v>923</v>
      </c>
      <c r="B564" s="234"/>
      <c r="C564" s="234"/>
      <c r="D564" s="234"/>
      <c r="E564" s="234"/>
      <c r="F564" s="234"/>
      <c r="G564" s="234"/>
      <c r="H564" s="234"/>
      <c r="I564" s="234"/>
      <c r="J564" s="234"/>
      <c r="K564" s="236"/>
      <c r="L564" s="234"/>
      <c r="M564" s="234"/>
      <c r="N564" s="234"/>
      <c r="O564" s="234"/>
      <c r="P564" s="194"/>
      <c r="Q564" s="234"/>
      <c r="R564" s="234"/>
      <c r="S564" s="234"/>
      <c r="T564" s="234"/>
      <c r="U564" s="194"/>
      <c r="V564" s="234"/>
      <c r="W564" s="234"/>
      <c r="X564" s="234"/>
      <c r="Y564" s="234"/>
      <c r="Z564" s="194"/>
      <c r="AA564" s="234"/>
      <c r="AB564" s="234"/>
      <c r="AC564" s="234"/>
      <c r="AD564" s="234"/>
      <c r="AE564" s="194"/>
      <c r="AF564" s="234"/>
      <c r="AG564" s="234"/>
      <c r="AH564" s="234"/>
      <c r="AI564" s="234"/>
      <c r="AJ564" s="194"/>
      <c r="AK564" s="234"/>
      <c r="AL564" s="234"/>
      <c r="AM564" s="234"/>
      <c r="AN564" s="234"/>
      <c r="AO564" s="194"/>
      <c r="AP564" s="234"/>
      <c r="AQ564" s="234"/>
      <c r="AR564" s="234"/>
      <c r="AS564" s="234"/>
      <c r="AT564" s="194"/>
      <c r="AU564" s="234"/>
      <c r="AV564" s="234"/>
      <c r="AW564" s="234"/>
      <c r="AX564" s="234"/>
      <c r="AY564" s="194"/>
      <c r="AZ564" s="234"/>
      <c r="BA564" s="234"/>
      <c r="BB564" s="234"/>
      <c r="BC564" s="234"/>
      <c r="BD564" s="194"/>
      <c r="BE564" s="234"/>
      <c r="BF564" s="234"/>
      <c r="BG564" s="234"/>
      <c r="BH564" s="234"/>
      <c r="BI564" s="194"/>
      <c r="BJ564" s="234"/>
      <c r="BK564" s="234"/>
      <c r="BL564" s="234"/>
      <c r="BM564" s="234"/>
      <c r="BN564" s="194"/>
      <c r="BO564" s="193"/>
      <c r="BR564" s="192"/>
      <c r="BS564" s="194"/>
      <c r="BT564" s="193"/>
      <c r="BU564" s="212"/>
      <c r="BV564" s="212"/>
      <c r="BW564" s="192"/>
      <c r="BX564" s="194"/>
      <c r="BY564" s="212"/>
      <c r="BZ564" s="212"/>
      <c r="CA564" s="212"/>
      <c r="CB564" s="192"/>
      <c r="CC564" s="194"/>
      <c r="CD564" s="1214">
        <v>2.3E-2</v>
      </c>
      <c r="CE564" s="1214">
        <v>2.5999999999999999E-2</v>
      </c>
      <c r="CF564" s="1214">
        <v>2.5999999999999999E-2</v>
      </c>
      <c r="CG564" s="1214">
        <v>0.02</v>
      </c>
      <c r="CH564" s="1952">
        <v>2.4E-2</v>
      </c>
      <c r="CI564" s="1214">
        <v>2.5999999999999999E-2</v>
      </c>
      <c r="CJ564" s="1214">
        <v>1.2E-2</v>
      </c>
      <c r="CK564" s="1214">
        <v>4.0000000000000001E-3</v>
      </c>
      <c r="CL564" s="1214">
        <v>2.9000000000000001E-2</v>
      </c>
      <c r="CM564" s="1952">
        <v>1.7000000000000001E-2</v>
      </c>
      <c r="CN564" s="1214"/>
      <c r="CO564" s="1214"/>
      <c r="CP564" s="212"/>
      <c r="CQ564" s="212"/>
      <c r="CR564" s="194"/>
      <c r="CS564" s="194"/>
      <c r="CT564" s="194"/>
      <c r="CU564" s="212"/>
      <c r="DA564" s="212"/>
      <c r="DB564" s="1226"/>
    </row>
    <row r="565" spans="1:106" x14ac:dyDescent="0.2">
      <c r="A565" s="1945" t="s">
        <v>823</v>
      </c>
      <c r="B565" s="234"/>
      <c r="C565" s="234"/>
      <c r="D565" s="234"/>
      <c r="E565" s="234"/>
      <c r="F565" s="234"/>
      <c r="G565" s="234"/>
      <c r="H565" s="234"/>
      <c r="I565" s="234"/>
      <c r="J565" s="234"/>
      <c r="K565" s="236"/>
      <c r="L565" s="234"/>
      <c r="M565" s="234"/>
      <c r="N565" s="234"/>
      <c r="O565" s="234"/>
      <c r="P565" s="194"/>
      <c r="Q565" s="234"/>
      <c r="R565" s="234"/>
      <c r="S565" s="234"/>
      <c r="T565" s="234"/>
      <c r="U565" s="194"/>
      <c r="V565" s="234"/>
      <c r="W565" s="234"/>
      <c r="X565" s="234"/>
      <c r="Y565" s="234"/>
      <c r="Z565" s="194"/>
      <c r="AA565" s="234"/>
      <c r="AB565" s="234"/>
      <c r="AC565" s="234"/>
      <c r="AD565" s="234"/>
      <c r="AE565" s="194"/>
      <c r="AF565" s="234"/>
      <c r="AG565" s="234"/>
      <c r="AH565" s="234"/>
      <c r="AI565" s="234"/>
      <c r="AJ565" s="194"/>
      <c r="AK565" s="234"/>
      <c r="AL565" s="234"/>
      <c r="AM565" s="234"/>
      <c r="AN565" s="234"/>
      <c r="AO565" s="194"/>
      <c r="AP565" s="234"/>
      <c r="AQ565" s="234"/>
      <c r="AR565" s="234"/>
      <c r="AS565" s="234"/>
      <c r="AT565" s="194"/>
      <c r="AU565" s="234"/>
      <c r="AV565" s="234"/>
      <c r="AW565" s="234"/>
      <c r="AX565" s="234"/>
      <c r="AY565" s="194"/>
      <c r="AZ565" s="234"/>
      <c r="BA565" s="234"/>
      <c r="BB565" s="234"/>
      <c r="BC565" s="234"/>
      <c r="BD565" s="194"/>
      <c r="BE565" s="234"/>
      <c r="BF565" s="234"/>
      <c r="BG565" s="234"/>
      <c r="BH565" s="234"/>
      <c r="BI565" s="194"/>
      <c r="BJ565" s="234"/>
      <c r="BK565" s="234"/>
      <c r="BL565" s="234"/>
      <c r="BM565" s="234"/>
      <c r="BN565" s="194"/>
      <c r="BO565" s="193"/>
      <c r="BR565" s="192"/>
      <c r="BS565" s="194"/>
      <c r="BT565" s="193"/>
      <c r="BU565" s="212"/>
      <c r="BV565" s="212"/>
      <c r="BW565" s="192"/>
      <c r="BX565" s="194"/>
      <c r="BY565" s="212"/>
      <c r="BZ565" s="212"/>
      <c r="CA565" s="212"/>
      <c r="CB565" s="192"/>
      <c r="CC565" s="194"/>
      <c r="CD565" s="1214">
        <v>5.0000000000000001E-3</v>
      </c>
      <c r="CE565" s="1214">
        <v>1.6E-2</v>
      </c>
      <c r="CF565" s="1214">
        <v>1.2E-2</v>
      </c>
      <c r="CG565" s="1214">
        <v>1.4E-2</v>
      </c>
      <c r="CH565" s="1952">
        <v>1.2E-2</v>
      </c>
      <c r="CI565" s="1214">
        <v>3.1E-2</v>
      </c>
      <c r="CJ565" s="1214">
        <v>2.7E-2</v>
      </c>
      <c r="CK565" s="1214">
        <v>2.5000000000000001E-2</v>
      </c>
      <c r="CL565" s="1214">
        <v>4.1000000000000002E-2</v>
      </c>
      <c r="CM565" s="1952">
        <v>3.1E-2</v>
      </c>
      <c r="CN565" s="1214"/>
      <c r="CO565" s="1214"/>
      <c r="CP565" s="212"/>
      <c r="CQ565" s="212"/>
      <c r="CR565" s="194"/>
      <c r="CS565" s="194"/>
      <c r="CT565" s="194"/>
      <c r="CU565" s="212"/>
      <c r="DA565" s="212"/>
      <c r="DB565" s="1226"/>
    </row>
    <row r="566" spans="1:106" x14ac:dyDescent="0.2">
      <c r="A566" s="2014" t="s">
        <v>52</v>
      </c>
      <c r="B566" s="234"/>
      <c r="C566" s="234"/>
      <c r="D566" s="234"/>
      <c r="E566" s="234"/>
      <c r="F566" s="234"/>
      <c r="G566" s="234"/>
      <c r="H566" s="234"/>
      <c r="I566" s="234"/>
      <c r="J566" s="234"/>
      <c r="K566" s="236"/>
      <c r="L566" s="234"/>
      <c r="M566" s="234"/>
      <c r="N566" s="234"/>
      <c r="O566" s="234"/>
      <c r="P566" s="194"/>
      <c r="Q566" s="234"/>
      <c r="R566" s="234"/>
      <c r="S566" s="234"/>
      <c r="T566" s="234"/>
      <c r="U566" s="194"/>
      <c r="V566" s="234"/>
      <c r="W566" s="234"/>
      <c r="X566" s="234"/>
      <c r="Y566" s="234"/>
      <c r="Z566" s="194"/>
      <c r="AA566" s="234"/>
      <c r="AB566" s="234"/>
      <c r="AC566" s="234"/>
      <c r="AD566" s="234"/>
      <c r="AE566" s="194"/>
      <c r="AF566" s="234"/>
      <c r="AG566" s="234"/>
      <c r="AH566" s="234"/>
      <c r="AI566" s="234"/>
      <c r="AJ566" s="194"/>
      <c r="AK566" s="234"/>
      <c r="AL566" s="234"/>
      <c r="AM566" s="234"/>
      <c r="AN566" s="234"/>
      <c r="AO566" s="194"/>
      <c r="AP566" s="234"/>
      <c r="AQ566" s="234"/>
      <c r="AR566" s="234"/>
      <c r="AS566" s="234"/>
      <c r="AT566" s="194"/>
      <c r="AU566" s="234"/>
      <c r="AV566" s="234"/>
      <c r="AW566" s="234"/>
      <c r="AX566" s="234"/>
      <c r="AY566" s="194"/>
      <c r="AZ566" s="234"/>
      <c r="BA566" s="234"/>
      <c r="BB566" s="234"/>
      <c r="BC566" s="234"/>
      <c r="BD566" s="194"/>
      <c r="BE566" s="234"/>
      <c r="BF566" s="234"/>
      <c r="BG566" s="234"/>
      <c r="BH566" s="234"/>
      <c r="BI566" s="194"/>
      <c r="BJ566" s="234"/>
      <c r="BK566" s="234"/>
      <c r="BL566" s="234"/>
      <c r="BM566" s="234"/>
      <c r="BN566" s="194"/>
      <c r="BO566" s="193"/>
      <c r="BR566" s="192"/>
      <c r="BS566" s="194"/>
      <c r="BT566" s="193"/>
      <c r="BU566" s="212"/>
      <c r="BV566" s="212"/>
      <c r="BW566" s="192"/>
      <c r="BX566" s="194"/>
      <c r="BY566" s="212"/>
      <c r="BZ566" s="212"/>
      <c r="CA566" s="212"/>
      <c r="CB566" s="192"/>
      <c r="CC566" s="194"/>
      <c r="CD566" s="1625">
        <v>1.9E-2</v>
      </c>
      <c r="CE566" s="1625">
        <v>2.9000000000000001E-2</v>
      </c>
      <c r="CF566" s="1625">
        <v>1.7000000000000001E-2</v>
      </c>
      <c r="CG566" s="1625">
        <v>1.2999999999999999E-2</v>
      </c>
      <c r="CH566" s="2249">
        <v>0.02</v>
      </c>
      <c r="CI566" s="1625">
        <v>2.1999999999999999E-2</v>
      </c>
      <c r="CJ566" s="1625">
        <v>8.9999999999999993E-3</v>
      </c>
      <c r="CK566" s="1625">
        <v>1.2E-2</v>
      </c>
      <c r="CL566" s="1625">
        <v>0.04</v>
      </c>
      <c r="CM566" s="2249">
        <v>0.02</v>
      </c>
      <c r="CN566" s="1625"/>
      <c r="CO566" s="1625"/>
      <c r="CP566" s="212"/>
      <c r="CQ566" s="212"/>
      <c r="CR566" s="194"/>
      <c r="CS566" s="194"/>
      <c r="CT566" s="194"/>
      <c r="CU566" s="212"/>
      <c r="DA566" s="212"/>
      <c r="DB566" s="1226"/>
    </row>
    <row r="567" spans="1:106" x14ac:dyDescent="0.2">
      <c r="A567" s="2014" t="s">
        <v>2026</v>
      </c>
      <c r="B567" s="234"/>
      <c r="C567" s="234"/>
      <c r="D567" s="234"/>
      <c r="E567" s="234"/>
      <c r="F567" s="234"/>
      <c r="G567" s="234"/>
      <c r="H567" s="234"/>
      <c r="I567" s="234"/>
      <c r="J567" s="234"/>
      <c r="K567" s="236"/>
      <c r="L567" s="234"/>
      <c r="M567" s="234"/>
      <c r="N567" s="234"/>
      <c r="O567" s="234"/>
      <c r="P567" s="194"/>
      <c r="Q567" s="234"/>
      <c r="R567" s="234"/>
      <c r="S567" s="234"/>
      <c r="T567" s="234"/>
      <c r="U567" s="194"/>
      <c r="V567" s="234"/>
      <c r="W567" s="234"/>
      <c r="X567" s="234"/>
      <c r="Y567" s="234"/>
      <c r="Z567" s="194"/>
      <c r="AA567" s="234"/>
      <c r="AB567" s="234"/>
      <c r="AC567" s="234"/>
      <c r="AD567" s="234"/>
      <c r="AE567" s="194"/>
      <c r="AF567" s="234"/>
      <c r="AG567" s="234"/>
      <c r="AH567" s="234"/>
      <c r="AI567" s="234"/>
      <c r="AJ567" s="194"/>
      <c r="AK567" s="234"/>
      <c r="AL567" s="234"/>
      <c r="AM567" s="234"/>
      <c r="AN567" s="234"/>
      <c r="AO567" s="194"/>
      <c r="AP567" s="234"/>
      <c r="AQ567" s="234"/>
      <c r="AR567" s="234"/>
      <c r="AS567" s="234"/>
      <c r="AT567" s="194"/>
      <c r="AU567" s="234"/>
      <c r="AV567" s="234"/>
      <c r="AW567" s="234"/>
      <c r="AX567" s="234"/>
      <c r="AY567" s="194"/>
      <c r="AZ567" s="234"/>
      <c r="BA567" s="234"/>
      <c r="BB567" s="234"/>
      <c r="BC567" s="234"/>
      <c r="BD567" s="194"/>
      <c r="BE567" s="234"/>
      <c r="BF567" s="234"/>
      <c r="BG567" s="234"/>
      <c r="BH567" s="234"/>
      <c r="BI567" s="194"/>
      <c r="BJ567" s="234"/>
      <c r="BK567" s="234"/>
      <c r="BL567" s="234"/>
      <c r="BM567" s="234"/>
      <c r="BN567" s="194"/>
      <c r="BO567" s="193"/>
      <c r="BR567" s="192"/>
      <c r="BS567" s="194"/>
      <c r="BT567" s="193"/>
      <c r="BU567" s="212"/>
      <c r="BV567" s="212"/>
      <c r="BW567" s="192"/>
      <c r="BX567" s="194"/>
      <c r="BY567" s="212"/>
      <c r="BZ567" s="212"/>
      <c r="CA567" s="212"/>
      <c r="CB567" s="192"/>
      <c r="CC567" s="194"/>
      <c r="CD567" s="1625">
        <v>2.3E-2</v>
      </c>
      <c r="CE567" s="1625">
        <v>3.2000000000000001E-2</v>
      </c>
      <c r="CF567" s="1625">
        <v>2.5999999999999999E-2</v>
      </c>
      <c r="CG567" s="1625">
        <v>1.0999999999999999E-2</v>
      </c>
      <c r="CH567" s="2249">
        <v>2.3E-2</v>
      </c>
      <c r="CI567" s="1625">
        <v>3.1E-2</v>
      </c>
      <c r="CJ567" s="1625">
        <v>8.9999999999999993E-3</v>
      </c>
      <c r="CK567" s="1625">
        <v>4.0000000000000001E-3</v>
      </c>
      <c r="CL567" s="1625">
        <v>3.9E-2</v>
      </c>
      <c r="CM567" s="2249">
        <v>2.1000000000000001E-2</v>
      </c>
      <c r="CN567" s="1625"/>
      <c r="CO567" s="1625"/>
      <c r="CP567" s="212"/>
      <c r="CQ567" s="212"/>
      <c r="CR567" s="194"/>
      <c r="CS567" s="194"/>
      <c r="CT567" s="194"/>
      <c r="CU567" s="212"/>
      <c r="DA567" s="212"/>
      <c r="DB567" s="1226"/>
    </row>
    <row r="568" spans="1:106" x14ac:dyDescent="0.2">
      <c r="A568" s="1437"/>
      <c r="B568" s="234"/>
      <c r="C568" s="234"/>
      <c r="D568" s="234"/>
      <c r="E568" s="234"/>
      <c r="F568" s="234"/>
      <c r="G568" s="234"/>
      <c r="H568" s="234"/>
      <c r="I568" s="234"/>
      <c r="J568" s="234"/>
      <c r="K568" s="236"/>
      <c r="L568" s="234"/>
      <c r="M568" s="234"/>
      <c r="N568" s="234"/>
      <c r="O568" s="234"/>
      <c r="P568" s="194"/>
      <c r="Q568" s="234"/>
      <c r="R568" s="234"/>
      <c r="S568" s="234"/>
      <c r="T568" s="234"/>
      <c r="U568" s="194"/>
      <c r="V568" s="234"/>
      <c r="W568" s="234"/>
      <c r="X568" s="234"/>
      <c r="Y568" s="234"/>
      <c r="Z568" s="194"/>
      <c r="AA568" s="234"/>
      <c r="AB568" s="234"/>
      <c r="AC568" s="234"/>
      <c r="AD568" s="234"/>
      <c r="AE568" s="194"/>
      <c r="AF568" s="234"/>
      <c r="AG568" s="234"/>
      <c r="AH568" s="234"/>
      <c r="AI568" s="234"/>
      <c r="AJ568" s="194"/>
      <c r="AK568" s="234"/>
      <c r="AL568" s="234"/>
      <c r="AM568" s="234"/>
      <c r="AN568" s="234"/>
      <c r="AO568" s="194"/>
      <c r="AP568" s="234"/>
      <c r="AQ568" s="234"/>
      <c r="AR568" s="234"/>
      <c r="AS568" s="234"/>
      <c r="AT568" s="194"/>
      <c r="AU568" s="234"/>
      <c r="AV568" s="234"/>
      <c r="AW568" s="234"/>
      <c r="AX568" s="234"/>
      <c r="AY568" s="194"/>
      <c r="AZ568" s="234"/>
      <c r="BA568" s="234"/>
      <c r="BB568" s="234"/>
      <c r="BC568" s="234"/>
      <c r="BD568" s="194"/>
      <c r="BE568" s="234"/>
      <c r="BF568" s="234"/>
      <c r="BG568" s="234"/>
      <c r="BH568" s="234"/>
      <c r="BI568" s="194"/>
      <c r="BJ568" s="234"/>
      <c r="BK568" s="234"/>
      <c r="BL568" s="234"/>
      <c r="BM568" s="234"/>
      <c r="BN568" s="194"/>
      <c r="BO568" s="193"/>
      <c r="BR568" s="192"/>
      <c r="BS568" s="194"/>
      <c r="BT568" s="193"/>
      <c r="BU568" s="212"/>
      <c r="BV568" s="212"/>
      <c r="BW568" s="192"/>
      <c r="BX568" s="194"/>
      <c r="BY568" s="212"/>
      <c r="BZ568" s="212"/>
      <c r="CA568" s="212"/>
      <c r="CB568" s="192"/>
      <c r="CC568" s="194"/>
      <c r="CD568" s="212"/>
      <c r="CE568" s="212"/>
      <c r="CF568" s="212"/>
      <c r="CG568" s="192"/>
      <c r="CH568" s="194"/>
      <c r="CI568" s="212"/>
      <c r="CJ568" s="212"/>
      <c r="CK568" s="212"/>
      <c r="CL568" s="212"/>
      <c r="CM568" s="194"/>
      <c r="CN568" s="212"/>
      <c r="CO568" s="212"/>
      <c r="CP568" s="212"/>
      <c r="CQ568" s="212"/>
      <c r="CR568" s="194"/>
      <c r="CS568" s="194"/>
      <c r="CT568" s="194"/>
      <c r="CU568" s="212"/>
      <c r="DA568" s="212"/>
      <c r="DB568" s="1226"/>
    </row>
    <row r="569" spans="1:106" hidden="1" outlineLevel="1" x14ac:dyDescent="0.2">
      <c r="A569" s="1435" t="s">
        <v>2686</v>
      </c>
      <c r="B569" s="257"/>
      <c r="C569" s="257"/>
      <c r="D569" s="257"/>
      <c r="E569" s="257"/>
      <c r="F569" s="257"/>
      <c r="G569" s="1495"/>
      <c r="H569" s="1495"/>
      <c r="I569" s="1495"/>
      <c r="J569" s="1495"/>
      <c r="K569" s="1496"/>
      <c r="L569" s="1495"/>
      <c r="M569" s="1495"/>
      <c r="N569" s="1495"/>
      <c r="O569" s="1495"/>
      <c r="P569" s="194"/>
      <c r="Q569" s="1495"/>
      <c r="R569" s="1495"/>
      <c r="S569" s="1495"/>
      <c r="T569" s="1495"/>
      <c r="U569" s="194"/>
      <c r="V569" s="1495"/>
      <c r="W569" s="1495"/>
      <c r="X569" s="1495"/>
      <c r="Y569" s="1495"/>
      <c r="Z569" s="194"/>
      <c r="AA569" s="1495"/>
      <c r="AB569" s="1495"/>
      <c r="AC569" s="1495"/>
      <c r="AD569" s="1495"/>
      <c r="AE569" s="194"/>
      <c r="AF569" s="1495"/>
      <c r="AG569" s="1495"/>
      <c r="AH569" s="1495"/>
      <c r="AI569" s="1495"/>
      <c r="AJ569" s="194"/>
      <c r="AK569" s="1495"/>
      <c r="AL569" s="1495"/>
      <c r="AM569" s="1495"/>
      <c r="AN569" s="1495"/>
      <c r="AO569" s="194"/>
      <c r="AP569" s="1495"/>
      <c r="AQ569" s="1495"/>
      <c r="AR569" s="1495"/>
      <c r="AS569" s="1495"/>
      <c r="AT569" s="194"/>
      <c r="AU569" s="1495"/>
      <c r="AV569" s="1495"/>
      <c r="AW569" s="1495"/>
      <c r="AX569" s="1495"/>
      <c r="AY569" s="194"/>
      <c r="AZ569" s="1495"/>
      <c r="BA569" s="1495"/>
      <c r="BB569" s="1495"/>
      <c r="BC569" s="1495"/>
      <c r="BD569" s="194"/>
      <c r="BE569" s="1495"/>
      <c r="BF569" s="1495"/>
      <c r="BG569" s="1495"/>
      <c r="BH569" s="1495"/>
      <c r="BI569" s="194"/>
      <c r="BJ569" s="1495"/>
      <c r="BK569" s="1495"/>
      <c r="BL569" s="1495"/>
      <c r="BM569" s="1495"/>
      <c r="BN569" s="194"/>
      <c r="BO569" s="193"/>
      <c r="BR569" s="192"/>
      <c r="BS569" s="194"/>
      <c r="BT569" s="193"/>
      <c r="BU569" s="212"/>
      <c r="BV569" s="212"/>
      <c r="BW569" s="192"/>
      <c r="BX569" s="194"/>
      <c r="BY569" s="212"/>
      <c r="BZ569" s="212"/>
      <c r="CA569" s="212"/>
      <c r="CB569" s="192"/>
      <c r="CC569" s="194"/>
      <c r="CD569" s="212"/>
      <c r="CE569" s="212"/>
      <c r="CF569" s="212"/>
      <c r="CG569" s="192"/>
      <c r="CH569" s="194"/>
      <c r="CI569" s="212"/>
      <c r="CJ569" s="212"/>
      <c r="CK569" s="212"/>
      <c r="CL569" s="212"/>
      <c r="CM569" s="194"/>
      <c r="CN569" s="212"/>
      <c r="CO569" s="212"/>
      <c r="CP569" s="212"/>
      <c r="CQ569" s="212"/>
      <c r="CR569" s="194"/>
      <c r="CS569" s="194"/>
      <c r="CT569" s="194"/>
      <c r="CU569" s="212"/>
      <c r="DA569" s="212"/>
      <c r="DB569" s="1226"/>
    </row>
    <row r="570" spans="1:106" hidden="1" outlineLevel="1" x14ac:dyDescent="0.2">
      <c r="A570" s="2308" t="s">
        <v>2672</v>
      </c>
      <c r="B570" s="257"/>
      <c r="C570" s="257"/>
      <c r="D570" s="257"/>
      <c r="E570" s="257"/>
      <c r="F570" s="257"/>
      <c r="G570" s="1495"/>
      <c r="H570" s="1495"/>
      <c r="I570" s="1495"/>
      <c r="J570" s="1495"/>
      <c r="K570" s="1496"/>
      <c r="L570" s="1495"/>
      <c r="M570" s="1495"/>
      <c r="N570" s="1495"/>
      <c r="O570" s="1495"/>
      <c r="P570" s="194"/>
      <c r="Q570" s="1495"/>
      <c r="R570" s="1495"/>
      <c r="S570" s="1495"/>
      <c r="T570" s="1495"/>
      <c r="U570" s="194"/>
      <c r="V570" s="1495"/>
      <c r="W570" s="1495"/>
      <c r="X570" s="1495"/>
      <c r="Y570" s="1495"/>
      <c r="Z570" s="194"/>
      <c r="AA570" s="1495"/>
      <c r="AB570" s="1495"/>
      <c r="AC570" s="1495"/>
      <c r="AD570" s="1495"/>
      <c r="AE570" s="194"/>
      <c r="AF570" s="1495"/>
      <c r="AG570" s="1495"/>
      <c r="AH570" s="1495"/>
      <c r="AI570" s="1495"/>
      <c r="AJ570" s="194"/>
      <c r="AK570" s="1495"/>
      <c r="AL570" s="1495"/>
      <c r="AM570" s="1495"/>
      <c r="AN570" s="1495"/>
      <c r="AO570" s="194"/>
      <c r="AP570" s="1495"/>
      <c r="AQ570" s="1495"/>
      <c r="AR570" s="1495"/>
      <c r="AS570" s="1495"/>
      <c r="AT570" s="194"/>
      <c r="AU570" s="1495"/>
      <c r="AV570" s="1495"/>
      <c r="AW570" s="1495"/>
      <c r="AX570" s="1495"/>
      <c r="AY570" s="194"/>
      <c r="AZ570" s="1495"/>
      <c r="BA570" s="1495"/>
      <c r="BB570" s="1495"/>
      <c r="BC570" s="1495"/>
      <c r="BD570" s="194"/>
      <c r="BE570" s="1495"/>
      <c r="BF570" s="1495"/>
      <c r="BG570" s="1495"/>
      <c r="BH570" s="1495"/>
      <c r="BI570" s="194"/>
      <c r="BJ570" s="1495"/>
      <c r="BK570" s="1495"/>
      <c r="BL570" s="1495"/>
      <c r="BM570" s="1495"/>
      <c r="BN570" s="194"/>
      <c r="BO570" s="212"/>
      <c r="BR570" s="212"/>
      <c r="BS570" s="194"/>
      <c r="BT570" s="212"/>
      <c r="BU570" s="212"/>
      <c r="BV570" s="212"/>
      <c r="BW570" s="212"/>
      <c r="BX570" s="194"/>
      <c r="BY570" s="212"/>
      <c r="BZ570" s="212"/>
      <c r="CA570" s="212"/>
      <c r="CB570" s="212"/>
      <c r="CC570" s="194"/>
      <c r="CD570" s="212"/>
      <c r="CE570" s="212"/>
      <c r="CF570" s="212"/>
      <c r="CG570" s="1214">
        <v>1.9E-2</v>
      </c>
      <c r="CH570" s="1952">
        <v>3.5000000000000003E-2</v>
      </c>
      <c r="CI570" s="212"/>
      <c r="CJ570" s="212"/>
      <c r="CK570" s="212"/>
      <c r="CL570" s="212"/>
      <c r="CM570" s="194"/>
      <c r="CN570" s="212"/>
      <c r="CO570" s="212"/>
      <c r="CP570" s="212"/>
      <c r="CQ570" s="212"/>
      <c r="CR570" s="194"/>
      <c r="CS570" s="194"/>
      <c r="CT570" s="194"/>
      <c r="CU570" s="212"/>
      <c r="DA570" s="212"/>
      <c r="DB570" s="1226"/>
    </row>
    <row r="571" spans="1:106" s="11" customFormat="1" hidden="1" outlineLevel="1" x14ac:dyDescent="0.2">
      <c r="A571" s="1945" t="s">
        <v>821</v>
      </c>
      <c r="B571" s="1302" t="s">
        <v>673</v>
      </c>
      <c r="C571" s="1302" t="s">
        <v>673</v>
      </c>
      <c r="D571" s="1302" t="s">
        <v>673</v>
      </c>
      <c r="E571" s="1302" t="s">
        <v>673</v>
      </c>
      <c r="F571" s="1302" t="s">
        <v>673</v>
      </c>
      <c r="G571" s="1302" t="s">
        <v>673</v>
      </c>
      <c r="H571" s="1302" t="s">
        <v>673</v>
      </c>
      <c r="I571" s="1302" t="s">
        <v>673</v>
      </c>
      <c r="J571" s="1302" t="s">
        <v>673</v>
      </c>
      <c r="K571" s="2001" t="s">
        <v>673</v>
      </c>
      <c r="L571" s="1882" t="s">
        <v>673</v>
      </c>
      <c r="M571" s="1882" t="s">
        <v>673</v>
      </c>
      <c r="N571" s="1882" t="s">
        <v>673</v>
      </c>
      <c r="O571" s="1882" t="s">
        <v>673</v>
      </c>
      <c r="P571" s="2002" t="s">
        <v>673</v>
      </c>
      <c r="Q571" s="1214">
        <v>-8.0000000000000002E-3</v>
      </c>
      <c r="R571" s="1214">
        <v>-5.2999999999999999E-2</v>
      </c>
      <c r="S571" s="1214">
        <v>5.6000000000000001E-2</v>
      </c>
      <c r="T571" s="1214">
        <v>4.8000000000000001E-2</v>
      </c>
      <c r="U571" s="1952">
        <v>0.01</v>
      </c>
      <c r="V571" s="1214">
        <v>0.10100000000000001</v>
      </c>
      <c r="W571" s="1214">
        <v>0.16400000000000001</v>
      </c>
      <c r="X571" s="1214">
        <v>0.13300000000000001</v>
      </c>
      <c r="Y571" s="1214">
        <v>0.10100000000000001</v>
      </c>
      <c r="Z571" s="1952">
        <v>0.129</v>
      </c>
      <c r="AA571" s="1214">
        <v>0.13500000000000001</v>
      </c>
      <c r="AB571" s="1214">
        <v>0.113</v>
      </c>
      <c r="AC571" s="1214">
        <v>0.11</v>
      </c>
      <c r="AD571" s="1214">
        <v>0.129</v>
      </c>
      <c r="AE571" s="1952">
        <v>0.122</v>
      </c>
      <c r="AF571" s="1214">
        <v>0.108</v>
      </c>
      <c r="AG571" s="1214">
        <v>0.104</v>
      </c>
      <c r="AH571" s="1214">
        <v>9.1999999999999998E-2</v>
      </c>
      <c r="AI571" s="1214">
        <v>9.5000000000000001E-2</v>
      </c>
      <c r="AJ571" s="1952">
        <v>0.10299999999999999</v>
      </c>
      <c r="AK571" s="1214">
        <v>8.2000000000000003E-2</v>
      </c>
      <c r="AL571" s="1214">
        <v>7.0999999999999994E-2</v>
      </c>
      <c r="AM571" s="1214">
        <v>8.3000000000000004E-2</v>
      </c>
      <c r="AN571" s="1214">
        <v>7.0000000000000007E-2</v>
      </c>
      <c r="AO571" s="1952">
        <v>7.4999999999999997E-2</v>
      </c>
      <c r="AP571" s="1214">
        <v>4.5999999999999999E-2</v>
      </c>
      <c r="AQ571" s="1214">
        <v>1.0999999999999999E-2</v>
      </c>
      <c r="AR571" s="1214">
        <v>-1.7000000000000001E-2</v>
      </c>
      <c r="AS571" s="1214">
        <v>-0.16400000000000001</v>
      </c>
      <c r="AT571" s="1952">
        <v>-4.7E-2</v>
      </c>
      <c r="AU571" s="1214">
        <v>-0.27100000000000002</v>
      </c>
      <c r="AV571" s="1214">
        <v>-0.314</v>
      </c>
      <c r="AW571" s="1214">
        <v>-0.23499999999999999</v>
      </c>
      <c r="AX571" s="1214">
        <v>-0.11600000000000001</v>
      </c>
      <c r="AY571" s="1952">
        <v>-0.23100000000000001</v>
      </c>
      <c r="AZ571" s="1214">
        <v>2.5000000000000001E-2</v>
      </c>
      <c r="BA571" s="1214">
        <v>0.159</v>
      </c>
      <c r="BB571" s="1214">
        <v>7.9000000000000001E-2</v>
      </c>
      <c r="BC571" s="1214">
        <v>0.1</v>
      </c>
      <c r="BD571" s="1952">
        <v>9.8000000000000004E-2</v>
      </c>
      <c r="BE571" s="1214">
        <v>6.9000000000000006E-2</v>
      </c>
      <c r="BF571" s="1214">
        <v>0.106</v>
      </c>
      <c r="BG571" s="1214">
        <v>0.13500000000000001</v>
      </c>
      <c r="BH571" s="1214">
        <v>9.2999999999999999E-2</v>
      </c>
      <c r="BI571" s="1952">
        <v>0.10199999999999999</v>
      </c>
      <c r="BJ571" s="1214">
        <v>7.0999999999999994E-2</v>
      </c>
      <c r="BK571" s="1214">
        <v>6.7000000000000004E-2</v>
      </c>
      <c r="BL571" s="1214">
        <v>7.1999999999999995E-2</v>
      </c>
      <c r="BM571" s="1214">
        <v>4.4999999999999998E-2</v>
      </c>
      <c r="BN571" s="1952">
        <v>6.0999999999999999E-2</v>
      </c>
      <c r="BO571" s="1214">
        <v>8.8999999999999996E-2</v>
      </c>
      <c r="BP571" s="1214">
        <v>7.3999999999999996E-2</v>
      </c>
      <c r="BQ571" s="1214">
        <v>8.7999999999999995E-2</v>
      </c>
      <c r="BR571" s="1214">
        <v>0.104</v>
      </c>
      <c r="BS571" s="1952">
        <v>8.6999999999999994E-2</v>
      </c>
      <c r="BT571" s="1214">
        <v>5.1999999999999998E-2</v>
      </c>
      <c r="BU571" s="1214">
        <v>6.4000000000000001E-2</v>
      </c>
      <c r="BV571" s="1214">
        <v>7.5999999999999998E-2</v>
      </c>
      <c r="BW571" s="1214">
        <v>5.7000000000000002E-2</v>
      </c>
      <c r="BX571" s="1952">
        <v>6.2E-2</v>
      </c>
      <c r="BY571" s="1214">
        <v>2.9000000000000001E-2</v>
      </c>
      <c r="BZ571" s="1214">
        <v>3.2000000000000001E-2</v>
      </c>
      <c r="CA571" s="1214">
        <v>3.3000000000000002E-2</v>
      </c>
      <c r="CB571" s="1214">
        <v>1.7000000000000001E-2</v>
      </c>
      <c r="CC571" s="1952">
        <v>2.7E-2</v>
      </c>
      <c r="CD571" s="1214">
        <v>6.2E-2</v>
      </c>
      <c r="CE571" s="1214">
        <v>1.4999999999999999E-2</v>
      </c>
      <c r="CF571" s="1214">
        <v>1.4E-2</v>
      </c>
      <c r="CG571" s="1214">
        <v>3.2000000000000001E-2</v>
      </c>
      <c r="CH571" s="1952">
        <v>3.5999999999999997E-2</v>
      </c>
      <c r="CI571" s="1193"/>
      <c r="CJ571" s="1193"/>
      <c r="CK571" s="1193"/>
      <c r="CL571" s="1193"/>
      <c r="CM571" s="1946"/>
      <c r="CN571" s="1193"/>
      <c r="CO571" s="1193"/>
      <c r="CP571" s="1193"/>
      <c r="CQ571" s="1193"/>
      <c r="CR571" s="1946"/>
      <c r="CS571" s="1946"/>
      <c r="CT571" s="1946"/>
      <c r="CU571" s="1193"/>
      <c r="CV571" s="1947"/>
      <c r="CW571" s="1947"/>
      <c r="CX571" s="1947"/>
      <c r="DA571" s="212"/>
      <c r="DB571" s="1226"/>
    </row>
    <row r="572" spans="1:106" s="11" customFormat="1" hidden="1" outlineLevel="1" x14ac:dyDescent="0.2">
      <c r="A572" s="3391" t="s">
        <v>2671</v>
      </c>
      <c r="B572" s="1302"/>
      <c r="C572" s="1302"/>
      <c r="D572" s="1302"/>
      <c r="E572" s="1302"/>
      <c r="F572" s="1302"/>
      <c r="G572" s="1302"/>
      <c r="H572" s="1302"/>
      <c r="I572" s="1302"/>
      <c r="J572" s="1302"/>
      <c r="K572" s="2001"/>
      <c r="L572" s="1882"/>
      <c r="M572" s="1882"/>
      <c r="N572" s="1882"/>
      <c r="O572" s="1882"/>
      <c r="P572" s="2002"/>
      <c r="Q572" s="1214"/>
      <c r="R572" s="1214"/>
      <c r="S572" s="1214"/>
      <c r="T572" s="1214"/>
      <c r="U572" s="1952"/>
      <c r="V572" s="1214"/>
      <c r="W572" s="1214"/>
      <c r="X572" s="1214"/>
      <c r="Y572" s="1214"/>
      <c r="Z572" s="1952"/>
      <c r="AA572" s="1214"/>
      <c r="AB572" s="1214"/>
      <c r="AC572" s="1214"/>
      <c r="AD572" s="1214"/>
      <c r="AE572" s="1952"/>
      <c r="AF572" s="1214"/>
      <c r="AG572" s="1214"/>
      <c r="AH572" s="1214"/>
      <c r="AI572" s="1214"/>
      <c r="AJ572" s="1952"/>
      <c r="AK572" s="1214"/>
      <c r="AL572" s="1214"/>
      <c r="AM572" s="1214"/>
      <c r="AN572" s="1214"/>
      <c r="AO572" s="1952"/>
      <c r="AP572" s="1214"/>
      <c r="AQ572" s="1214"/>
      <c r="AR572" s="1214"/>
      <c r="AS572" s="1214"/>
      <c r="AT572" s="1952"/>
      <c r="AU572" s="1214"/>
      <c r="AV572" s="1214"/>
      <c r="AW572" s="1214"/>
      <c r="AX572" s="1214"/>
      <c r="AY572" s="1952"/>
      <c r="AZ572" s="1214"/>
      <c r="BA572" s="1214"/>
      <c r="BB572" s="1214"/>
      <c r="BC572" s="1214"/>
      <c r="BD572" s="1952"/>
      <c r="BE572" s="1214"/>
      <c r="BF572" s="1214"/>
      <c r="BG572" s="1214"/>
      <c r="BH572" s="1214"/>
      <c r="BI572" s="1952"/>
      <c r="BJ572" s="1214"/>
      <c r="BK572" s="1214"/>
      <c r="BL572" s="1214"/>
      <c r="BM572" s="1214"/>
      <c r="BN572" s="1952"/>
      <c r="BO572" s="1214"/>
      <c r="BP572" s="1214"/>
      <c r="BQ572" s="1214"/>
      <c r="BR572" s="1214"/>
      <c r="BS572" s="1952"/>
      <c r="BT572" s="1214"/>
      <c r="BU572" s="1214"/>
      <c r="BV572" s="1214"/>
      <c r="BW572" s="1214"/>
      <c r="BX572" s="1952"/>
      <c r="BY572" s="1214"/>
      <c r="BZ572" s="1214"/>
      <c r="CA572" s="1214"/>
      <c r="CB572" s="1214"/>
      <c r="CC572" s="1952"/>
      <c r="CD572" s="1214"/>
      <c r="CE572" s="1214"/>
      <c r="CF572" s="1214"/>
      <c r="CG572" s="1214">
        <v>-1.0999999999999999E-2</v>
      </c>
      <c r="CH572" s="1952">
        <v>-2.1999999999999999E-2</v>
      </c>
      <c r="CI572" s="1193"/>
      <c r="CJ572" s="1193"/>
      <c r="CK572" s="1193"/>
      <c r="CL572" s="1193"/>
      <c r="CM572" s="1946"/>
      <c r="CN572" s="1193"/>
      <c r="CO572" s="1193"/>
      <c r="CP572" s="1193"/>
      <c r="CQ572" s="1193"/>
      <c r="CR572" s="1946"/>
      <c r="CS572" s="1946"/>
      <c r="CT572" s="1946"/>
      <c r="CU572" s="1193"/>
      <c r="CV572" s="1947"/>
      <c r="CW572" s="1947"/>
      <c r="CX572" s="1947"/>
      <c r="DA572" s="212"/>
      <c r="DB572" s="1226"/>
    </row>
    <row r="573" spans="1:106" s="11" customFormat="1" hidden="1" outlineLevel="1" x14ac:dyDescent="0.2">
      <c r="A573" s="2014" t="s">
        <v>2673</v>
      </c>
      <c r="B573" s="1302"/>
      <c r="C573" s="1302"/>
      <c r="D573" s="1302"/>
      <c r="E573" s="1302"/>
      <c r="F573" s="1302"/>
      <c r="G573" s="1302"/>
      <c r="H573" s="1302"/>
      <c r="I573" s="1302"/>
      <c r="J573" s="1302"/>
      <c r="K573" s="2001"/>
      <c r="L573" s="1882"/>
      <c r="M573" s="1882"/>
      <c r="N573" s="1882"/>
      <c r="O573" s="1882"/>
      <c r="P573" s="2002"/>
      <c r="Q573" s="1214"/>
      <c r="R573" s="1214"/>
      <c r="S573" s="1214"/>
      <c r="T573" s="1214"/>
      <c r="U573" s="1952"/>
      <c r="V573" s="1214"/>
      <c r="W573" s="1214"/>
      <c r="X573" s="1214"/>
      <c r="Y573" s="1214"/>
      <c r="Z573" s="1952"/>
      <c r="AA573" s="1214"/>
      <c r="AB573" s="1214"/>
      <c r="AC573" s="1214"/>
      <c r="AD573" s="1214"/>
      <c r="AE573" s="1952"/>
      <c r="AF573" s="1214"/>
      <c r="AG573" s="1214"/>
      <c r="AH573" s="1214"/>
      <c r="AI573" s="1214"/>
      <c r="AJ573" s="1952"/>
      <c r="AK573" s="1214"/>
      <c r="AL573" s="1214"/>
      <c r="AM573" s="1214"/>
      <c r="AN573" s="1214"/>
      <c r="AO573" s="1952"/>
      <c r="AP573" s="1214"/>
      <c r="AQ573" s="1214"/>
      <c r="AR573" s="1214"/>
      <c r="AS573" s="1214"/>
      <c r="AT573" s="1952"/>
      <c r="AU573" s="1214"/>
      <c r="AV573" s="1214"/>
      <c r="AW573" s="1214"/>
      <c r="AX573" s="1214"/>
      <c r="AY573" s="1952"/>
      <c r="AZ573" s="1214"/>
      <c r="BA573" s="1214"/>
      <c r="BB573" s="1214"/>
      <c r="BC573" s="1214"/>
      <c r="BD573" s="1952"/>
      <c r="BE573" s="1214"/>
      <c r="BF573" s="1214"/>
      <c r="BG573" s="1214"/>
      <c r="BH573" s="1214"/>
      <c r="BI573" s="1952"/>
      <c r="BJ573" s="1214"/>
      <c r="BK573" s="1214"/>
      <c r="BL573" s="1214"/>
      <c r="BM573" s="1214"/>
      <c r="BN573" s="1952"/>
      <c r="BO573" s="1214"/>
      <c r="BP573" s="1214"/>
      <c r="BQ573" s="1214"/>
      <c r="BR573" s="1214"/>
      <c r="BS573" s="1952"/>
      <c r="BT573" s="1214"/>
      <c r="BU573" s="1214"/>
      <c r="BV573" s="1214"/>
      <c r="BW573" s="1214"/>
      <c r="BX573" s="1952"/>
      <c r="BY573" s="1214"/>
      <c r="BZ573" s="1214"/>
      <c r="CA573" s="1214"/>
      <c r="CB573" s="1214"/>
      <c r="CC573" s="1952"/>
      <c r="CD573" s="1214"/>
      <c r="CE573" s="1214"/>
      <c r="CF573" s="1214"/>
      <c r="CG573" s="1625">
        <v>0.02</v>
      </c>
      <c r="CH573" s="1952">
        <v>2.8000000000000001E-2</v>
      </c>
      <c r="CI573" s="1193"/>
      <c r="CJ573" s="1193"/>
      <c r="CK573" s="1193"/>
      <c r="CL573" s="1193"/>
      <c r="CM573" s="1946"/>
      <c r="CN573" s="1193"/>
      <c r="CO573" s="1193"/>
      <c r="CP573" s="1193"/>
      <c r="CQ573" s="1193"/>
      <c r="CR573" s="1946"/>
      <c r="CS573" s="1946"/>
      <c r="CT573" s="1946"/>
      <c r="CU573" s="1193"/>
      <c r="CV573" s="1947"/>
      <c r="CW573" s="1947"/>
      <c r="CX573" s="1947"/>
      <c r="DA573" s="212"/>
      <c r="DB573" s="1226"/>
    </row>
    <row r="574" spans="1:106" s="11" customFormat="1" hidden="1" outlineLevel="1" x14ac:dyDescent="0.2">
      <c r="A574" s="1945" t="s">
        <v>819</v>
      </c>
      <c r="B574" s="1302" t="s">
        <v>673</v>
      </c>
      <c r="C574" s="1302" t="s">
        <v>673</v>
      </c>
      <c r="D574" s="1302" t="s">
        <v>673</v>
      </c>
      <c r="E574" s="1302" t="s">
        <v>673</v>
      </c>
      <c r="F574" s="1302" t="s">
        <v>673</v>
      </c>
      <c r="G574" s="1302" t="s">
        <v>673</v>
      </c>
      <c r="H574" s="1302" t="s">
        <v>673</v>
      </c>
      <c r="I574" s="1302" t="s">
        <v>673</v>
      </c>
      <c r="J574" s="1302" t="s">
        <v>673</v>
      </c>
      <c r="K574" s="2001" t="s">
        <v>673</v>
      </c>
      <c r="L574" s="1882" t="s">
        <v>673</v>
      </c>
      <c r="M574" s="1882" t="s">
        <v>673</v>
      </c>
      <c r="N574" s="1882" t="s">
        <v>673</v>
      </c>
      <c r="O574" s="1882" t="s">
        <v>673</v>
      </c>
      <c r="P574" s="2002" t="s">
        <v>673</v>
      </c>
      <c r="Q574" s="1214">
        <v>-1.9E-2</v>
      </c>
      <c r="R574" s="1214">
        <v>-6.4000000000000001E-2</v>
      </c>
      <c r="S574" s="1214">
        <v>-0.01</v>
      </c>
      <c r="T574" s="1214">
        <v>-8.9999999999999993E-3</v>
      </c>
      <c r="U574" s="1952">
        <v>-2.4E-2</v>
      </c>
      <c r="V574" s="1214">
        <v>4.3999999999999997E-2</v>
      </c>
      <c r="W574" s="1214">
        <v>8.8999999999999996E-2</v>
      </c>
      <c r="X574" s="1214">
        <v>7.4999999999999997E-2</v>
      </c>
      <c r="Y574" s="1214">
        <v>9.4E-2</v>
      </c>
      <c r="Z574" s="1952">
        <v>7.5999999999999998E-2</v>
      </c>
      <c r="AA574" s="1214">
        <v>6.4000000000000001E-2</v>
      </c>
      <c r="AB574" s="1214">
        <v>9.4E-2</v>
      </c>
      <c r="AC574" s="1214">
        <v>7.4999999999999997E-2</v>
      </c>
      <c r="AD574" s="1214">
        <v>0.104</v>
      </c>
      <c r="AE574" s="1952">
        <v>8.6999999999999994E-2</v>
      </c>
      <c r="AF574" s="1214">
        <v>9.7000000000000003E-2</v>
      </c>
      <c r="AG574" s="1214">
        <v>9.8000000000000004E-2</v>
      </c>
      <c r="AH574" s="1214">
        <v>8.5000000000000006E-2</v>
      </c>
      <c r="AI574" s="1214">
        <v>7.0000000000000007E-2</v>
      </c>
      <c r="AJ574" s="1952">
        <v>8.5999999999999993E-2</v>
      </c>
      <c r="AK574" s="1214">
        <v>5.3999999999999999E-2</v>
      </c>
      <c r="AL574" s="1214">
        <v>6.0999999999999999E-2</v>
      </c>
      <c r="AM574" s="1214">
        <v>7.3999999999999996E-2</v>
      </c>
      <c r="AN574" s="1214">
        <v>6.3E-2</v>
      </c>
      <c r="AO574" s="1952">
        <v>6.4000000000000001E-2</v>
      </c>
      <c r="AP574" s="1214">
        <v>1.6E-2</v>
      </c>
      <c r="AQ574" s="1214">
        <v>2.1999999999999999E-2</v>
      </c>
      <c r="AR574" s="1214">
        <v>-3.0000000000000001E-3</v>
      </c>
      <c r="AS574" s="1214">
        <v>-9.0999999999999998E-2</v>
      </c>
      <c r="AT574" s="1952">
        <v>-2.1999999999999999E-2</v>
      </c>
      <c r="AU574" s="1214">
        <v>-0.16500000000000001</v>
      </c>
      <c r="AV574" s="1214">
        <v>-0.221</v>
      </c>
      <c r="AW574" s="1214">
        <v>-0.19900000000000001</v>
      </c>
      <c r="AX574" s="1214">
        <v>-0.11799999999999999</v>
      </c>
      <c r="AY574" s="1952">
        <v>-0.182</v>
      </c>
      <c r="AZ574" s="1214">
        <v>-0.01</v>
      </c>
      <c r="BA574" s="1214">
        <v>7.0999999999999994E-2</v>
      </c>
      <c r="BB574" s="1214">
        <v>7.3999999999999996E-2</v>
      </c>
      <c r="BC574" s="1214">
        <v>6.3E-2</v>
      </c>
      <c r="BD574" s="1952">
        <v>0.05</v>
      </c>
      <c r="BE574" s="1214">
        <v>4.2999999999999997E-2</v>
      </c>
      <c r="BF574" s="1214">
        <v>5.5E-2</v>
      </c>
      <c r="BG574" s="1214">
        <v>5.0999999999999997E-2</v>
      </c>
      <c r="BH574" s="1214">
        <v>0.05</v>
      </c>
      <c r="BI574" s="1952">
        <v>0.05</v>
      </c>
      <c r="BJ574" s="1214">
        <v>7.0999999999999994E-2</v>
      </c>
      <c r="BK574" s="1214">
        <v>0.06</v>
      </c>
      <c r="BL574" s="1214">
        <v>6.7000000000000004E-2</v>
      </c>
      <c r="BM574" s="1214">
        <v>5.8000000000000003E-2</v>
      </c>
      <c r="BN574" s="1952">
        <v>6.4000000000000001E-2</v>
      </c>
      <c r="BO574" s="1214">
        <v>4.9000000000000002E-2</v>
      </c>
      <c r="BP574" s="1214">
        <v>5.7000000000000002E-2</v>
      </c>
      <c r="BQ574" s="1214">
        <v>5.3999999999999999E-2</v>
      </c>
      <c r="BR574" s="1214">
        <v>5.1999999999999998E-2</v>
      </c>
      <c r="BS574" s="1952">
        <v>5.3999999999999999E-2</v>
      </c>
      <c r="BT574" s="1214">
        <v>6.3E-2</v>
      </c>
      <c r="BU574" s="1214">
        <v>0.05</v>
      </c>
      <c r="BV574" s="1214">
        <v>8.5000000000000006E-2</v>
      </c>
      <c r="BW574" s="1214">
        <v>4.9000000000000002E-2</v>
      </c>
      <c r="BX574" s="1952">
        <v>6.2E-2</v>
      </c>
      <c r="BY574" s="1214">
        <v>5.5E-2</v>
      </c>
      <c r="BZ574" s="1214">
        <v>4.9000000000000002E-2</v>
      </c>
      <c r="CA574" s="1214">
        <v>4.3999999999999997E-2</v>
      </c>
      <c r="CB574" s="1214">
        <v>4.4999999999999998E-2</v>
      </c>
      <c r="CC574" s="1952">
        <v>0.05</v>
      </c>
      <c r="CD574" s="1214">
        <v>2.5999999999999999E-2</v>
      </c>
      <c r="CE574" s="1214">
        <v>3.4000000000000002E-2</v>
      </c>
      <c r="CF574" s="1214">
        <v>2.5000000000000001E-2</v>
      </c>
      <c r="CG574" s="1214">
        <v>-2E-3</v>
      </c>
      <c r="CH574" s="1952">
        <v>0.02</v>
      </c>
      <c r="CI574" s="1193"/>
      <c r="CJ574" s="1193"/>
      <c r="CK574" s="1193"/>
      <c r="CL574" s="1193"/>
      <c r="CM574" s="1946"/>
      <c r="CN574" s="1193"/>
      <c r="CO574" s="1193"/>
      <c r="CP574" s="1193"/>
      <c r="CQ574" s="1193"/>
      <c r="CR574" s="1946"/>
      <c r="CS574" s="1946"/>
      <c r="CT574" s="1946"/>
      <c r="CU574" s="1193"/>
      <c r="CV574" s="1947"/>
      <c r="CW574" s="1947"/>
      <c r="CX574" s="1947"/>
      <c r="DA574" s="212"/>
      <c r="DB574" s="1226"/>
    </row>
    <row r="575" spans="1:106" s="11" customFormat="1" hidden="1" outlineLevel="1" x14ac:dyDescent="0.2">
      <c r="A575" s="3391" t="s">
        <v>2674</v>
      </c>
      <c r="B575" s="1302"/>
      <c r="C575" s="1302"/>
      <c r="D575" s="1302"/>
      <c r="E575" s="1302"/>
      <c r="F575" s="1302"/>
      <c r="G575" s="1302"/>
      <c r="H575" s="1302"/>
      <c r="I575" s="1302"/>
      <c r="J575" s="1302"/>
      <c r="K575" s="2001"/>
      <c r="L575" s="1882"/>
      <c r="M575" s="1882"/>
      <c r="N575" s="1882"/>
      <c r="O575" s="1882"/>
      <c r="P575" s="2002"/>
      <c r="Q575" s="1214"/>
      <c r="R575" s="1214"/>
      <c r="S575" s="1214"/>
      <c r="T575" s="1214"/>
      <c r="U575" s="1952"/>
      <c r="V575" s="1214"/>
      <c r="W575" s="1214"/>
      <c r="X575" s="1214"/>
      <c r="Y575" s="1214"/>
      <c r="Z575" s="1952"/>
      <c r="AA575" s="1214"/>
      <c r="AB575" s="1214"/>
      <c r="AC575" s="1214"/>
      <c r="AD575" s="1214"/>
      <c r="AE575" s="1952"/>
      <c r="AF575" s="1214"/>
      <c r="AG575" s="1214"/>
      <c r="AH575" s="1214"/>
      <c r="AI575" s="1214"/>
      <c r="AJ575" s="1952"/>
      <c r="AK575" s="1214"/>
      <c r="AL575" s="1214"/>
      <c r="AM575" s="1214"/>
      <c r="AN575" s="1214"/>
      <c r="AO575" s="1952"/>
      <c r="AP575" s="1214"/>
      <c r="AQ575" s="1214"/>
      <c r="AR575" s="1214"/>
      <c r="AS575" s="1214"/>
      <c r="AT575" s="1952"/>
      <c r="AU575" s="1214"/>
      <c r="AV575" s="1214"/>
      <c r="AW575" s="1214"/>
      <c r="AX575" s="1214"/>
      <c r="AY575" s="1952"/>
      <c r="AZ575" s="1214"/>
      <c r="BA575" s="1214"/>
      <c r="BB575" s="1214"/>
      <c r="BC575" s="1214"/>
      <c r="BD575" s="1952"/>
      <c r="BE575" s="1214"/>
      <c r="BF575" s="1214"/>
      <c r="BG575" s="1214"/>
      <c r="BH575" s="1214"/>
      <c r="BI575" s="1952"/>
      <c r="BJ575" s="1214"/>
      <c r="BK575" s="1214"/>
      <c r="BL575" s="1214"/>
      <c r="BM575" s="1214"/>
      <c r="BN575" s="1952"/>
      <c r="BO575" s="1214"/>
      <c r="BP575" s="1214"/>
      <c r="BQ575" s="1214"/>
      <c r="BR575" s="1214"/>
      <c r="BS575" s="1952"/>
      <c r="BT575" s="1214"/>
      <c r="BU575" s="1214"/>
      <c r="BV575" s="1214"/>
      <c r="BW575" s="1214"/>
      <c r="BX575" s="1952"/>
      <c r="BY575" s="1214"/>
      <c r="BZ575" s="1214"/>
      <c r="CA575" s="1214"/>
      <c r="CB575" s="1214"/>
      <c r="CC575" s="1952"/>
      <c r="CD575" s="1214"/>
      <c r="CE575" s="1214"/>
      <c r="CF575" s="1214"/>
      <c r="CG575" s="1214">
        <v>8.9999999999999993E-3</v>
      </c>
      <c r="CH575" s="1952">
        <v>2.4E-2</v>
      </c>
      <c r="CI575" s="1193"/>
      <c r="CJ575" s="1193"/>
      <c r="CK575" s="1193"/>
      <c r="CL575" s="1193"/>
      <c r="CM575" s="1946"/>
      <c r="CN575" s="1193"/>
      <c r="CO575" s="1193"/>
      <c r="CP575" s="1193"/>
      <c r="CQ575" s="1193"/>
      <c r="CR575" s="1946"/>
      <c r="CS575" s="1946"/>
      <c r="CT575" s="1946"/>
      <c r="CU575" s="1193"/>
      <c r="CV575" s="1947"/>
      <c r="CW575" s="1947"/>
      <c r="CX575" s="1947"/>
      <c r="DA575" s="212"/>
      <c r="DB575" s="1226"/>
    </row>
    <row r="576" spans="1:106" s="11" customFormat="1" hidden="1" outlineLevel="1" x14ac:dyDescent="0.2">
      <c r="A576" s="3391" t="s">
        <v>2675</v>
      </c>
      <c r="B576" s="1302"/>
      <c r="C576" s="1302"/>
      <c r="D576" s="1302"/>
      <c r="E576" s="1302"/>
      <c r="F576" s="1302"/>
      <c r="G576" s="1302"/>
      <c r="H576" s="1302"/>
      <c r="I576" s="1302"/>
      <c r="J576" s="1302"/>
      <c r="K576" s="2001"/>
      <c r="L576" s="1882"/>
      <c r="M576" s="1882"/>
      <c r="N576" s="1882"/>
      <c r="O576" s="1882"/>
      <c r="P576" s="2002"/>
      <c r="Q576" s="1214"/>
      <c r="R576" s="1214"/>
      <c r="S576" s="1214"/>
      <c r="T576" s="1214"/>
      <c r="U576" s="1952"/>
      <c r="V576" s="1214"/>
      <c r="W576" s="1214"/>
      <c r="X576" s="1214"/>
      <c r="Y576" s="1214"/>
      <c r="Z576" s="1952"/>
      <c r="AA576" s="1214"/>
      <c r="AB576" s="1214"/>
      <c r="AC576" s="1214"/>
      <c r="AD576" s="1214"/>
      <c r="AE576" s="1952"/>
      <c r="AF576" s="1214"/>
      <c r="AG576" s="1214"/>
      <c r="AH576" s="1214"/>
      <c r="AI576" s="1214"/>
      <c r="AJ576" s="1952"/>
      <c r="AK576" s="1214"/>
      <c r="AL576" s="1214"/>
      <c r="AM576" s="1214"/>
      <c r="AN576" s="1214"/>
      <c r="AO576" s="1952"/>
      <c r="AP576" s="1214"/>
      <c r="AQ576" s="1214"/>
      <c r="AR576" s="1214"/>
      <c r="AS576" s="1214"/>
      <c r="AT576" s="1952"/>
      <c r="AU576" s="1214"/>
      <c r="AV576" s="1214"/>
      <c r="AW576" s="1214"/>
      <c r="AX576" s="1214"/>
      <c r="AY576" s="1952"/>
      <c r="AZ576" s="1214"/>
      <c r="BA576" s="1214"/>
      <c r="BB576" s="1214"/>
      <c r="BC576" s="1214"/>
      <c r="BD576" s="1952"/>
      <c r="BE576" s="1214"/>
      <c r="BF576" s="1214"/>
      <c r="BG576" s="1214"/>
      <c r="BH576" s="1214"/>
      <c r="BI576" s="1952"/>
      <c r="BJ576" s="1214"/>
      <c r="BK576" s="1214"/>
      <c r="BL576" s="1214"/>
      <c r="BM576" s="1214"/>
      <c r="BN576" s="1952"/>
      <c r="BO576" s="1214"/>
      <c r="BP576" s="1214"/>
      <c r="BQ576" s="1214"/>
      <c r="BR576" s="1214"/>
      <c r="BS576" s="1952"/>
      <c r="BT576" s="1214"/>
      <c r="BU576" s="1214"/>
      <c r="BV576" s="1214"/>
      <c r="BW576" s="1214"/>
      <c r="BX576" s="1952"/>
      <c r="BY576" s="1214"/>
      <c r="BZ576" s="1214"/>
      <c r="CA576" s="1214"/>
      <c r="CB576" s="1214"/>
      <c r="CC576" s="1952"/>
      <c r="CD576" s="1214"/>
      <c r="CE576" s="1214"/>
      <c r="CF576" s="1214"/>
      <c r="CG576" s="1214">
        <v>-1E-3</v>
      </c>
      <c r="CH576" s="1952">
        <v>2.4E-2</v>
      </c>
      <c r="CI576" s="1193"/>
      <c r="CJ576" s="1193"/>
      <c r="CK576" s="1193"/>
      <c r="CL576" s="1193"/>
      <c r="CM576" s="1946"/>
      <c r="CN576" s="1193"/>
      <c r="CO576" s="1193"/>
      <c r="CP576" s="1193"/>
      <c r="CQ576" s="1193"/>
      <c r="CR576" s="1946"/>
      <c r="CS576" s="1946"/>
      <c r="CT576" s="1946"/>
      <c r="CU576" s="1193"/>
      <c r="CV576" s="1947"/>
      <c r="CW576" s="1947"/>
      <c r="CX576" s="1947"/>
      <c r="DA576" s="212"/>
      <c r="DB576" s="1226"/>
    </row>
    <row r="577" spans="1:106" s="11" customFormat="1" hidden="1" outlineLevel="1" x14ac:dyDescent="0.2">
      <c r="A577" s="2014" t="s">
        <v>2676</v>
      </c>
      <c r="B577" s="1302"/>
      <c r="C577" s="1302"/>
      <c r="D577" s="1302"/>
      <c r="E577" s="1302"/>
      <c r="F577" s="1302"/>
      <c r="G577" s="1302"/>
      <c r="H577" s="1302"/>
      <c r="I577" s="1302"/>
      <c r="J577" s="1302"/>
      <c r="K577" s="2001"/>
      <c r="L577" s="1882"/>
      <c r="M577" s="1882"/>
      <c r="N577" s="1882"/>
      <c r="O577" s="1882"/>
      <c r="P577" s="2002"/>
      <c r="Q577" s="1214"/>
      <c r="R577" s="1214"/>
      <c r="S577" s="1214"/>
      <c r="T577" s="1214"/>
      <c r="U577" s="1952"/>
      <c r="V577" s="1214"/>
      <c r="W577" s="1214"/>
      <c r="X577" s="1214"/>
      <c r="Y577" s="1214"/>
      <c r="Z577" s="1952"/>
      <c r="AA577" s="1214"/>
      <c r="AB577" s="1214"/>
      <c r="AC577" s="1214"/>
      <c r="AD577" s="1214"/>
      <c r="AE577" s="1952"/>
      <c r="AF577" s="1214"/>
      <c r="AG577" s="1214"/>
      <c r="AH577" s="1214"/>
      <c r="AI577" s="1214"/>
      <c r="AJ577" s="1952"/>
      <c r="AK577" s="1214"/>
      <c r="AL577" s="1214"/>
      <c r="AM577" s="1214"/>
      <c r="AN577" s="1214"/>
      <c r="AO577" s="1952"/>
      <c r="AP577" s="1214"/>
      <c r="AQ577" s="1214"/>
      <c r="AR577" s="1214"/>
      <c r="AS577" s="1214"/>
      <c r="AT577" s="1952"/>
      <c r="AU577" s="1214"/>
      <c r="AV577" s="1214"/>
      <c r="AW577" s="1214"/>
      <c r="AX577" s="1214"/>
      <c r="AY577" s="1952"/>
      <c r="AZ577" s="1214"/>
      <c r="BA577" s="1214"/>
      <c r="BB577" s="1214"/>
      <c r="BC577" s="1214"/>
      <c r="BD577" s="1952"/>
      <c r="BE577" s="1214"/>
      <c r="BF577" s="1214"/>
      <c r="BG577" s="1214"/>
      <c r="BH577" s="1214"/>
      <c r="BI577" s="1952"/>
      <c r="BJ577" s="1214"/>
      <c r="BK577" s="1214"/>
      <c r="BL577" s="1214"/>
      <c r="BM577" s="1214"/>
      <c r="BN577" s="1952"/>
      <c r="BO577" s="1214"/>
      <c r="BP577" s="1214"/>
      <c r="BQ577" s="1214"/>
      <c r="BR577" s="1214"/>
      <c r="BS577" s="1952"/>
      <c r="BT577" s="1214"/>
      <c r="BU577" s="1214"/>
      <c r="BV577" s="1214"/>
      <c r="BW577" s="1214"/>
      <c r="BX577" s="1952"/>
      <c r="BY577" s="1214"/>
      <c r="BZ577" s="1214"/>
      <c r="CA577" s="1214"/>
      <c r="CB577" s="1214"/>
      <c r="CC577" s="1952"/>
      <c r="CD577" s="1214"/>
      <c r="CE577" s="1214"/>
      <c r="CF577" s="1214"/>
      <c r="CG577" s="1625">
        <v>6.0000000000000001E-3</v>
      </c>
      <c r="CH577" s="1952">
        <v>2.5000000000000001E-2</v>
      </c>
      <c r="CI577" s="1193"/>
      <c r="CJ577" s="1193"/>
      <c r="CK577" s="1193"/>
      <c r="CL577" s="1193"/>
      <c r="CM577" s="1946"/>
      <c r="CN577" s="1193"/>
      <c r="CO577" s="1193"/>
      <c r="CP577" s="1193"/>
      <c r="CQ577" s="1193"/>
      <c r="CR577" s="1946"/>
      <c r="CS577" s="1946"/>
      <c r="CT577" s="1946"/>
      <c r="CU577" s="1193"/>
      <c r="CV577" s="1947"/>
      <c r="CW577" s="1947"/>
      <c r="CX577" s="1947"/>
      <c r="DA577" s="212"/>
      <c r="DB577" s="1226"/>
    </row>
    <row r="578" spans="1:106" s="2020" customFormat="1" hidden="1" outlineLevel="1" x14ac:dyDescent="0.2">
      <c r="A578" s="2014" t="s">
        <v>50</v>
      </c>
      <c r="B578" s="1302" t="s">
        <v>673</v>
      </c>
      <c r="C578" s="1302" t="s">
        <v>673</v>
      </c>
      <c r="D578" s="1302" t="s">
        <v>673</v>
      </c>
      <c r="E578" s="1302" t="s">
        <v>673</v>
      </c>
      <c r="F578" s="1302" t="s">
        <v>673</v>
      </c>
      <c r="G578" s="1302" t="s">
        <v>673</v>
      </c>
      <c r="H578" s="1302" t="s">
        <v>673</v>
      </c>
      <c r="I578" s="1302" t="s">
        <v>673</v>
      </c>
      <c r="J578" s="1302" t="s">
        <v>673</v>
      </c>
      <c r="K578" s="2001" t="s">
        <v>673</v>
      </c>
      <c r="L578" s="1302" t="s">
        <v>673</v>
      </c>
      <c r="M578" s="1302" t="s">
        <v>673</v>
      </c>
      <c r="N578" s="1302" t="s">
        <v>673</v>
      </c>
      <c r="O578" s="1302" t="s">
        <v>673</v>
      </c>
      <c r="P578" s="2001" t="s">
        <v>673</v>
      </c>
      <c r="Q578" s="2015">
        <v>-1.4999999999999999E-2</v>
      </c>
      <c r="R578" s="2015">
        <v>-6.0999999999999999E-2</v>
      </c>
      <c r="S578" s="2015">
        <v>2E-3</v>
      </c>
      <c r="T578" s="2015">
        <v>4.0000000000000001E-3</v>
      </c>
      <c r="U578" s="2016">
        <v>-1.6E-2</v>
      </c>
      <c r="V578" s="2015">
        <v>5.3999999999999999E-2</v>
      </c>
      <c r="W578" s="1625">
        <v>9.9000000000000005E-2</v>
      </c>
      <c r="X578" s="1625">
        <v>0.08</v>
      </c>
      <c r="Y578" s="1625">
        <v>9.9000000000000005E-2</v>
      </c>
      <c r="Z578" s="2016">
        <v>8.4000000000000005E-2</v>
      </c>
      <c r="AA578" s="1625">
        <v>7.4999999999999997E-2</v>
      </c>
      <c r="AB578" s="1625">
        <v>0.1</v>
      </c>
      <c r="AC578" s="1625">
        <v>8.5000000000000006E-2</v>
      </c>
      <c r="AD578" s="1625">
        <v>0.113</v>
      </c>
      <c r="AE578" s="2016">
        <v>9.6000000000000002E-2</v>
      </c>
      <c r="AF578" s="1625">
        <v>0.10199999999999999</v>
      </c>
      <c r="AG578" s="1625">
        <v>0.105</v>
      </c>
      <c r="AH578" s="1625">
        <v>8.5999999999999993E-2</v>
      </c>
      <c r="AI578" s="1625">
        <v>6.9000000000000006E-2</v>
      </c>
      <c r="AJ578" s="2016">
        <v>8.8999999999999996E-2</v>
      </c>
      <c r="AK578" s="1625">
        <v>5.2999999999999999E-2</v>
      </c>
      <c r="AL578" s="1625">
        <v>5.7000000000000002E-2</v>
      </c>
      <c r="AM578" s="1625">
        <v>7.2999999999999995E-2</v>
      </c>
      <c r="AN578" s="1625">
        <v>6.3E-2</v>
      </c>
      <c r="AO578" s="2017">
        <v>6.2E-2</v>
      </c>
      <c r="AP578" s="1625">
        <v>1.7000000000000001E-2</v>
      </c>
      <c r="AQ578" s="1625">
        <v>2.1000000000000001E-2</v>
      </c>
      <c r="AR578" s="1625">
        <v>-2E-3</v>
      </c>
      <c r="AS578" s="1625">
        <v>-9.1999999999999998E-2</v>
      </c>
      <c r="AT578" s="2017">
        <v>-2.1999999999999999E-2</v>
      </c>
      <c r="AU578" s="1625">
        <v>-0.16</v>
      </c>
      <c r="AV578" s="1625">
        <v>-0.218</v>
      </c>
      <c r="AW578" s="1625">
        <v>-0.19800000000000001</v>
      </c>
      <c r="AX578" s="2015">
        <v>-0.11899999999999999</v>
      </c>
      <c r="AY578" s="2017">
        <v>-0.18</v>
      </c>
      <c r="AZ578" s="2015">
        <v>-1.2E-2</v>
      </c>
      <c r="BA578" s="2015">
        <v>7.0999999999999994E-2</v>
      </c>
      <c r="BB578" s="2015">
        <v>7.1999999999999995E-2</v>
      </c>
      <c r="BC578" s="2015">
        <v>6.5000000000000002E-2</v>
      </c>
      <c r="BD578" s="2017">
        <v>4.9000000000000002E-2</v>
      </c>
      <c r="BE578" s="2015">
        <v>4.7E-2</v>
      </c>
      <c r="BF578" s="1625">
        <v>5.2999999999999999E-2</v>
      </c>
      <c r="BG578" s="1625">
        <v>5.6000000000000001E-2</v>
      </c>
      <c r="BH578" s="1625">
        <v>5.1999999999999998E-2</v>
      </c>
      <c r="BI578" s="2017">
        <v>5.1999999999999998E-2</v>
      </c>
      <c r="BJ578" s="1625">
        <v>7.0000000000000007E-2</v>
      </c>
      <c r="BK578" s="1625">
        <v>6.3E-2</v>
      </c>
      <c r="BL578" s="1625">
        <v>6.7000000000000004E-2</v>
      </c>
      <c r="BM578" s="1625">
        <v>5.8000000000000003E-2</v>
      </c>
      <c r="BN578" s="2016">
        <v>6.4000000000000001E-2</v>
      </c>
      <c r="BO578" s="1625">
        <v>5.0999999999999997E-2</v>
      </c>
      <c r="BP578" s="1625">
        <v>5.7000000000000002E-2</v>
      </c>
      <c r="BQ578" s="1625">
        <v>5.2999999999999999E-2</v>
      </c>
      <c r="BR578" s="1625">
        <v>5.2999999999999999E-2</v>
      </c>
      <c r="BS578" s="2016">
        <v>5.3999999999999999E-2</v>
      </c>
      <c r="BT578" s="2247" t="s">
        <v>673</v>
      </c>
      <c r="BU578" s="2247" t="s">
        <v>673</v>
      </c>
      <c r="BV578" s="2247" t="s">
        <v>673</v>
      </c>
      <c r="BW578" s="2247" t="s">
        <v>673</v>
      </c>
      <c r="BX578" s="2017" t="s">
        <v>673</v>
      </c>
      <c r="BY578" s="2247" t="s">
        <v>673</v>
      </c>
      <c r="BZ578" s="2247" t="s">
        <v>673</v>
      </c>
      <c r="CA578" s="2247" t="s">
        <v>673</v>
      </c>
      <c r="CB578" s="2247" t="s">
        <v>673</v>
      </c>
      <c r="CC578" s="2017" t="s">
        <v>673</v>
      </c>
      <c r="CD578" s="2247" t="s">
        <v>673</v>
      </c>
      <c r="CE578" s="2247" t="s">
        <v>673</v>
      </c>
      <c r="CF578" s="2247" t="s">
        <v>673</v>
      </c>
      <c r="CG578" s="2247">
        <v>8.9999999999999993E-3</v>
      </c>
      <c r="CH578" s="2017">
        <v>2.5999999999999999E-2</v>
      </c>
      <c r="CI578" s="2018"/>
      <c r="CJ578" s="2018"/>
      <c r="CK578" s="2018"/>
      <c r="CL578" s="2018"/>
      <c r="CM578" s="2019"/>
      <c r="CN578" s="2018"/>
      <c r="CO578" s="2018"/>
      <c r="CP578" s="2018"/>
      <c r="CQ578" s="2018"/>
      <c r="CR578" s="2019"/>
      <c r="CS578" s="2019"/>
      <c r="CT578" s="2019"/>
      <c r="CU578" s="2018"/>
      <c r="CV578" s="2021"/>
      <c r="CW578" s="2021"/>
      <c r="CX578" s="2021"/>
      <c r="DA578" s="212"/>
      <c r="DB578" s="1226"/>
    </row>
    <row r="579" spans="1:106" s="11" customFormat="1" hidden="1" outlineLevel="1" x14ac:dyDescent="0.2">
      <c r="A579" s="1945" t="s">
        <v>822</v>
      </c>
      <c r="B579" s="1302" t="s">
        <v>673</v>
      </c>
      <c r="C579" s="1302" t="s">
        <v>673</v>
      </c>
      <c r="D579" s="1302" t="s">
        <v>673</v>
      </c>
      <c r="E579" s="1302" t="s">
        <v>673</v>
      </c>
      <c r="F579" s="1302" t="s">
        <v>673</v>
      </c>
      <c r="G579" s="1302" t="s">
        <v>673</v>
      </c>
      <c r="H579" s="1302" t="s">
        <v>673</v>
      </c>
      <c r="I579" s="1302" t="s">
        <v>673</v>
      </c>
      <c r="J579" s="1302" t="s">
        <v>673</v>
      </c>
      <c r="K579" s="2001" t="s">
        <v>673</v>
      </c>
      <c r="L579" s="1882" t="s">
        <v>673</v>
      </c>
      <c r="M579" s="1882" t="s">
        <v>673</v>
      </c>
      <c r="N579" s="1882" t="s">
        <v>673</v>
      </c>
      <c r="O579" s="1882" t="s">
        <v>673</v>
      </c>
      <c r="P579" s="2002" t="s">
        <v>673</v>
      </c>
      <c r="Q579" s="1214">
        <v>6.0000000000000001E-3</v>
      </c>
      <c r="R579" s="1214">
        <v>-4.9000000000000002E-2</v>
      </c>
      <c r="S579" s="1214">
        <v>-0.02</v>
      </c>
      <c r="T579" s="1214">
        <v>3.0000000000000001E-3</v>
      </c>
      <c r="U579" s="1952">
        <v>-1.4E-2</v>
      </c>
      <c r="V579" s="1214">
        <v>7.1999999999999995E-2</v>
      </c>
      <c r="W579" s="1214">
        <v>0.112</v>
      </c>
      <c r="X579" s="1214">
        <v>8.7999999999999995E-2</v>
      </c>
      <c r="Y579" s="1214">
        <v>0.121</v>
      </c>
      <c r="Z579" s="1952">
        <v>0.1</v>
      </c>
      <c r="AA579" s="1214">
        <v>8.4000000000000005E-2</v>
      </c>
      <c r="AB579" s="1214">
        <v>9.1999999999999998E-2</v>
      </c>
      <c r="AC579" s="1214">
        <v>7.4999999999999997E-2</v>
      </c>
      <c r="AD579" s="1214">
        <v>0.10199999999999999</v>
      </c>
      <c r="AE579" s="1952">
        <v>8.8999999999999996E-2</v>
      </c>
      <c r="AF579" s="1214">
        <v>0.113</v>
      </c>
      <c r="AG579" s="1214">
        <v>0.113</v>
      </c>
      <c r="AH579" s="1214">
        <v>9.2999999999999999E-2</v>
      </c>
      <c r="AI579" s="1214">
        <v>7.6999999999999999E-2</v>
      </c>
      <c r="AJ579" s="1952">
        <v>9.7000000000000003E-2</v>
      </c>
      <c r="AK579" s="1214">
        <v>4.9000000000000002E-2</v>
      </c>
      <c r="AL579" s="1214">
        <v>5.2999999999999999E-2</v>
      </c>
      <c r="AM579" s="1214">
        <v>5.7000000000000002E-2</v>
      </c>
      <c r="AN579" s="1214">
        <v>6.3E-2</v>
      </c>
      <c r="AO579" s="1952">
        <v>5.6000000000000001E-2</v>
      </c>
      <c r="AP579" s="1214">
        <v>1.7999999999999999E-2</v>
      </c>
      <c r="AQ579" s="1214">
        <v>8.0000000000000002E-3</v>
      </c>
      <c r="AR579" s="1214">
        <v>-1.4999999999999999E-2</v>
      </c>
      <c r="AS579" s="1214">
        <v>-0.115</v>
      </c>
      <c r="AT579" s="1952">
        <v>-3.4000000000000002E-2</v>
      </c>
      <c r="AU579" s="1214">
        <v>-0.17</v>
      </c>
      <c r="AV579" s="1214">
        <v>-0.22</v>
      </c>
      <c r="AW579" s="1214">
        <v>-0.20200000000000001</v>
      </c>
      <c r="AX579" s="1214">
        <v>-0.13900000000000001</v>
      </c>
      <c r="AY579" s="1952">
        <v>-0.192</v>
      </c>
      <c r="AZ579" s="1214">
        <v>-2.9000000000000001E-2</v>
      </c>
      <c r="BA579" s="1214">
        <v>4.2000000000000003E-2</v>
      </c>
      <c r="BB579" s="1214">
        <v>6.8000000000000005E-2</v>
      </c>
      <c r="BC579" s="1214">
        <v>7.0999999999999994E-2</v>
      </c>
      <c r="BD579" s="1952">
        <v>0.04</v>
      </c>
      <c r="BE579" s="1214">
        <v>5.6000000000000001E-2</v>
      </c>
      <c r="BF579" s="1214">
        <v>7.3999999999999996E-2</v>
      </c>
      <c r="BG579" s="1214">
        <v>7.6999999999999999E-2</v>
      </c>
      <c r="BH579" s="1214">
        <v>7.1999999999999995E-2</v>
      </c>
      <c r="BI579" s="1952">
        <v>7.0000000000000007E-2</v>
      </c>
      <c r="BJ579" s="1214">
        <v>6.8000000000000005E-2</v>
      </c>
      <c r="BK579" s="1214">
        <v>6.7000000000000004E-2</v>
      </c>
      <c r="BL579" s="1214">
        <v>5.8999999999999997E-2</v>
      </c>
      <c r="BM579" s="1214">
        <v>6.3E-2</v>
      </c>
      <c r="BN579" s="1952">
        <v>6.5000000000000002E-2</v>
      </c>
      <c r="BO579" s="1214">
        <v>3.9E-2</v>
      </c>
      <c r="BP579" s="1214">
        <v>5.2999999999999999E-2</v>
      </c>
      <c r="BQ579" s="1214">
        <v>5.5E-2</v>
      </c>
      <c r="BR579" s="1214">
        <v>4.4999999999999998E-2</v>
      </c>
      <c r="BS579" s="1952">
        <v>4.9000000000000002E-2</v>
      </c>
      <c r="BT579" s="1214">
        <v>6.4000000000000001E-2</v>
      </c>
      <c r="BU579" s="1214">
        <v>6.7000000000000004E-2</v>
      </c>
      <c r="BV579" s="1214">
        <v>9.4E-2</v>
      </c>
      <c r="BW579" s="1214">
        <v>8.4000000000000005E-2</v>
      </c>
      <c r="BX579" s="1952">
        <v>7.8E-2</v>
      </c>
      <c r="BY579" s="1214">
        <v>9.4E-2</v>
      </c>
      <c r="BZ579" s="1214">
        <v>7.0000000000000007E-2</v>
      </c>
      <c r="CA579" s="1214">
        <v>4.9000000000000002E-2</v>
      </c>
      <c r="CB579" s="1214">
        <v>3.4000000000000002E-2</v>
      </c>
      <c r="CC579" s="1952">
        <v>6.0999999999999999E-2</v>
      </c>
      <c r="CD579" s="1214">
        <v>2.5999999999999999E-2</v>
      </c>
      <c r="CE579" s="1214">
        <v>3.2000000000000001E-2</v>
      </c>
      <c r="CF579" s="1214">
        <v>1.2E-2</v>
      </c>
      <c r="CG579" s="1214">
        <v>6.0000000000000001E-3</v>
      </c>
      <c r="CH579" s="1952">
        <v>1.9E-2</v>
      </c>
      <c r="CI579" s="1193"/>
      <c r="CJ579" s="1193"/>
      <c r="CK579" s="1193"/>
      <c r="CL579" s="1193"/>
      <c r="CM579" s="1946"/>
      <c r="CN579" s="1193"/>
      <c r="CO579" s="1193"/>
      <c r="CP579" s="1193"/>
      <c r="CQ579" s="1193"/>
      <c r="CR579" s="1946"/>
      <c r="CS579" s="1946"/>
      <c r="CT579" s="1946"/>
      <c r="CU579" s="1193"/>
      <c r="CV579" s="1947"/>
      <c r="CW579" s="1947"/>
      <c r="CX579" s="1947"/>
      <c r="DA579" s="212"/>
      <c r="DB579" s="1226"/>
    </row>
    <row r="580" spans="1:106" s="11" customFormat="1" hidden="1" outlineLevel="1" x14ac:dyDescent="0.2">
      <c r="A580" s="1945" t="s">
        <v>923</v>
      </c>
      <c r="B580" s="1302" t="s">
        <v>673</v>
      </c>
      <c r="C580" s="1302" t="s">
        <v>673</v>
      </c>
      <c r="D580" s="1302" t="s">
        <v>673</v>
      </c>
      <c r="E580" s="1302" t="s">
        <v>673</v>
      </c>
      <c r="F580" s="1302" t="s">
        <v>673</v>
      </c>
      <c r="G580" s="1302" t="s">
        <v>673</v>
      </c>
      <c r="H580" s="1302" t="s">
        <v>673</v>
      </c>
      <c r="I580" s="1302" t="s">
        <v>673</v>
      </c>
      <c r="J580" s="1302" t="s">
        <v>673</v>
      </c>
      <c r="K580" s="2001" t="s">
        <v>673</v>
      </c>
      <c r="L580" s="1882" t="s">
        <v>673</v>
      </c>
      <c r="M580" s="1882" t="s">
        <v>673</v>
      </c>
      <c r="N580" s="1882" t="s">
        <v>673</v>
      </c>
      <c r="O580" s="1882" t="s">
        <v>673</v>
      </c>
      <c r="P580" s="2002" t="s">
        <v>673</v>
      </c>
      <c r="Q580" s="1214">
        <v>-1.4999999999999999E-2</v>
      </c>
      <c r="R580" s="1214">
        <v>-3.2000000000000001E-2</v>
      </c>
      <c r="S580" s="1214">
        <v>-1.7999999999999999E-2</v>
      </c>
      <c r="T580" s="1214">
        <v>-7.0000000000000001E-3</v>
      </c>
      <c r="U580" s="1952">
        <v>-1.0999999999999999E-2</v>
      </c>
      <c r="V580" s="1214">
        <v>4.3999999999999997E-2</v>
      </c>
      <c r="W580" s="1214">
        <v>6.3E-2</v>
      </c>
      <c r="X580" s="1214">
        <v>6.5000000000000002E-2</v>
      </c>
      <c r="Y580" s="1214">
        <v>0.106</v>
      </c>
      <c r="Z580" s="1952">
        <v>7.0999999999999994E-2</v>
      </c>
      <c r="AA580" s="1214">
        <v>0.09</v>
      </c>
      <c r="AB580" s="1214">
        <v>7.5999999999999998E-2</v>
      </c>
      <c r="AC580" s="1214">
        <v>6.7000000000000004E-2</v>
      </c>
      <c r="AD580" s="1214">
        <v>9.0999999999999998E-2</v>
      </c>
      <c r="AE580" s="1952">
        <v>8.1000000000000003E-2</v>
      </c>
      <c r="AF580" s="1214">
        <v>0.1</v>
      </c>
      <c r="AG580" s="1214">
        <v>9.1999999999999998E-2</v>
      </c>
      <c r="AH580" s="1214">
        <v>6.8000000000000005E-2</v>
      </c>
      <c r="AI580" s="1214">
        <v>5.1999999999999998E-2</v>
      </c>
      <c r="AJ580" s="1952">
        <v>7.5999999999999998E-2</v>
      </c>
      <c r="AK580" s="1214">
        <v>0.04</v>
      </c>
      <c r="AL580" s="1214">
        <v>4.7E-2</v>
      </c>
      <c r="AM580" s="1214">
        <v>5.7000000000000002E-2</v>
      </c>
      <c r="AN580" s="1214">
        <v>5.6000000000000001E-2</v>
      </c>
      <c r="AO580" s="1952">
        <v>5.0999999999999997E-2</v>
      </c>
      <c r="AP580" s="1214">
        <v>2.7E-2</v>
      </c>
      <c r="AQ580" s="1214">
        <v>1.7999999999999999E-2</v>
      </c>
      <c r="AR580" s="1214">
        <v>8.9999999999999993E-3</v>
      </c>
      <c r="AS580" s="1214">
        <v>-7.3999999999999996E-2</v>
      </c>
      <c r="AT580" s="1952">
        <v>-1.0999999999999999E-2</v>
      </c>
      <c r="AU580" s="1214">
        <v>-0.13400000000000001</v>
      </c>
      <c r="AV580" s="1214">
        <v>-0.17399999999999999</v>
      </c>
      <c r="AW580" s="1214">
        <v>-0.16400000000000001</v>
      </c>
      <c r="AX580" s="1214">
        <v>-0.113</v>
      </c>
      <c r="AY580" s="1952">
        <v>-0.153</v>
      </c>
      <c r="AZ580" s="1214">
        <v>-8.0000000000000002E-3</v>
      </c>
      <c r="BA580" s="1214">
        <v>5.8000000000000003E-2</v>
      </c>
      <c r="BB580" s="1214">
        <v>6.6000000000000003E-2</v>
      </c>
      <c r="BC580" s="1214">
        <v>0.08</v>
      </c>
      <c r="BD580" s="1952">
        <v>0.05</v>
      </c>
      <c r="BE580" s="1214">
        <v>4.9000000000000002E-2</v>
      </c>
      <c r="BF580" s="1214">
        <v>4.9000000000000002E-2</v>
      </c>
      <c r="BG580" s="1214">
        <v>5.3999999999999999E-2</v>
      </c>
      <c r="BH580" s="1214">
        <v>5.1999999999999998E-2</v>
      </c>
      <c r="BI580" s="1952">
        <v>5.1999999999999998E-2</v>
      </c>
      <c r="BJ580" s="1214">
        <v>4.2999999999999997E-2</v>
      </c>
      <c r="BK580" s="1214">
        <v>4.8000000000000001E-2</v>
      </c>
      <c r="BL580" s="1214">
        <v>5.2999999999999999E-2</v>
      </c>
      <c r="BM580" s="1214">
        <v>5.3999999999999999E-2</v>
      </c>
      <c r="BN580" s="1952">
        <v>0.05</v>
      </c>
      <c r="BO580" s="1214">
        <v>4.2999999999999997E-2</v>
      </c>
      <c r="BP580" s="1214">
        <v>4.4999999999999998E-2</v>
      </c>
      <c r="BQ580" s="1214">
        <v>4.2000000000000003E-2</v>
      </c>
      <c r="BR580" s="1214">
        <v>2.3E-2</v>
      </c>
      <c r="BS580" s="1952">
        <v>3.9E-2</v>
      </c>
      <c r="BT580" s="1214">
        <v>5.7000000000000002E-2</v>
      </c>
      <c r="BU580" s="1214">
        <v>5.7000000000000002E-2</v>
      </c>
      <c r="BV580" s="1214">
        <v>7.5999999999999998E-2</v>
      </c>
      <c r="BW580" s="1214">
        <v>7.4999999999999997E-2</v>
      </c>
      <c r="BX580" s="1952">
        <v>6.7000000000000004E-2</v>
      </c>
      <c r="BY580" s="1214">
        <v>6.9000000000000006E-2</v>
      </c>
      <c r="BZ580" s="1214">
        <v>6.3E-2</v>
      </c>
      <c r="CA580" s="1214">
        <v>4.7E-2</v>
      </c>
      <c r="CB580" s="1214">
        <v>4.2000000000000003E-2</v>
      </c>
      <c r="CC580" s="1952">
        <v>5.5E-2</v>
      </c>
      <c r="CD580" s="1214">
        <v>2.3E-2</v>
      </c>
      <c r="CE580" s="1214">
        <v>2.5999999999999999E-2</v>
      </c>
      <c r="CF580" s="1214">
        <v>2.5999999999999999E-2</v>
      </c>
      <c r="CG580" s="1214">
        <v>0.02</v>
      </c>
      <c r="CH580" s="1952">
        <v>2.4E-2</v>
      </c>
      <c r="CI580" s="1193"/>
      <c r="CJ580" s="1193"/>
      <c r="CK580" s="1193"/>
      <c r="CL580" s="1193"/>
      <c r="CM580" s="1946"/>
      <c r="CN580" s="1193"/>
      <c r="CO580" s="1193"/>
      <c r="CP580" s="1193"/>
      <c r="CQ580" s="1193"/>
      <c r="CR580" s="1946"/>
      <c r="CS580" s="1946"/>
      <c r="CT580" s="1946"/>
      <c r="CU580" s="1193"/>
      <c r="CV580" s="1947"/>
      <c r="CW580" s="1947"/>
      <c r="CX580" s="1947"/>
      <c r="DA580" s="212"/>
      <c r="DB580" s="1226"/>
    </row>
    <row r="581" spans="1:106" s="11" customFormat="1" hidden="1" outlineLevel="1" x14ac:dyDescent="0.2">
      <c r="A581" s="1945" t="s">
        <v>823</v>
      </c>
      <c r="B581" s="1302" t="s">
        <v>673</v>
      </c>
      <c r="C581" s="1302" t="s">
        <v>673</v>
      </c>
      <c r="D581" s="1302" t="s">
        <v>673</v>
      </c>
      <c r="E581" s="1302" t="s">
        <v>673</v>
      </c>
      <c r="F581" s="1302" t="s">
        <v>673</v>
      </c>
      <c r="G581" s="1302" t="s">
        <v>673</v>
      </c>
      <c r="H581" s="1302" t="s">
        <v>673</v>
      </c>
      <c r="I581" s="1302" t="s">
        <v>673</v>
      </c>
      <c r="J581" s="1302" t="s">
        <v>673</v>
      </c>
      <c r="K581" s="2001" t="s">
        <v>673</v>
      </c>
      <c r="L581" s="1882" t="s">
        <v>673</v>
      </c>
      <c r="M581" s="1882" t="s">
        <v>673</v>
      </c>
      <c r="N581" s="1882" t="s">
        <v>673</v>
      </c>
      <c r="O581" s="1882" t="s">
        <v>673</v>
      </c>
      <c r="P581" s="2002" t="s">
        <v>673</v>
      </c>
      <c r="Q581" s="1214">
        <v>0.02</v>
      </c>
      <c r="R581" s="1214">
        <v>-2.7E-2</v>
      </c>
      <c r="S581" s="1214">
        <v>-1.2999999999999999E-2</v>
      </c>
      <c r="T581" s="1214">
        <v>3.0000000000000001E-3</v>
      </c>
      <c r="U581" s="1952">
        <v>-4.0000000000000001E-3</v>
      </c>
      <c r="V581" s="1214">
        <v>2.3E-2</v>
      </c>
      <c r="W581" s="1214">
        <v>4.9000000000000002E-2</v>
      </c>
      <c r="X581" s="1214">
        <v>4.7E-2</v>
      </c>
      <c r="Y581" s="1214">
        <v>0.112</v>
      </c>
      <c r="Z581" s="1952">
        <v>6.2E-2</v>
      </c>
      <c r="AA581" s="1214">
        <v>0.109</v>
      </c>
      <c r="AB581" s="1214">
        <v>0.11799999999999999</v>
      </c>
      <c r="AC581" s="1214">
        <v>0.1</v>
      </c>
      <c r="AD581" s="1214">
        <v>0.13500000000000001</v>
      </c>
      <c r="AE581" s="1952">
        <v>0.11700000000000001</v>
      </c>
      <c r="AF581" s="1214">
        <v>0.14299999999999999</v>
      </c>
      <c r="AG581" s="1214">
        <v>0.124</v>
      </c>
      <c r="AH581" s="1214">
        <v>9.5000000000000001E-2</v>
      </c>
      <c r="AI581" s="1214">
        <v>8.1000000000000003E-2</v>
      </c>
      <c r="AJ581" s="1952">
        <v>0.106</v>
      </c>
      <c r="AK581" s="1214">
        <v>5.5E-2</v>
      </c>
      <c r="AL581" s="1214">
        <v>6.9000000000000006E-2</v>
      </c>
      <c r="AM581" s="1214">
        <v>7.1999999999999995E-2</v>
      </c>
      <c r="AN581" s="1214">
        <v>6.8000000000000005E-2</v>
      </c>
      <c r="AO581" s="1952">
        <v>6.7000000000000004E-2</v>
      </c>
      <c r="AP581" s="1214">
        <v>3.2000000000000001E-2</v>
      </c>
      <c r="AQ581" s="1214">
        <v>-1.2E-2</v>
      </c>
      <c r="AR581" s="1214">
        <v>-2.1999999999999999E-2</v>
      </c>
      <c r="AS581" s="1214">
        <v>-0.108</v>
      </c>
      <c r="AT581" s="1952">
        <v>-3.5000000000000003E-2</v>
      </c>
      <c r="AU581" s="1214">
        <v>-0.14699999999999999</v>
      </c>
      <c r="AV581" s="1214">
        <v>-0.17100000000000001</v>
      </c>
      <c r="AW581" s="1214">
        <v>-0.17699999999999999</v>
      </c>
      <c r="AX581" s="1214">
        <v>-0.127</v>
      </c>
      <c r="AY581" s="1952">
        <v>-0.16300000000000001</v>
      </c>
      <c r="AZ581" s="1214">
        <v>-3.9E-2</v>
      </c>
      <c r="BA581" s="1214">
        <v>3.1E-2</v>
      </c>
      <c r="BB581" s="1214">
        <v>8.4000000000000005E-2</v>
      </c>
      <c r="BC581" s="1214">
        <v>9.4E-2</v>
      </c>
      <c r="BD581" s="1952">
        <v>4.5999999999999999E-2</v>
      </c>
      <c r="BE581" s="1214">
        <v>8.8999999999999996E-2</v>
      </c>
      <c r="BF581" s="1214">
        <v>9.4E-2</v>
      </c>
      <c r="BG581" s="1214">
        <v>8.6999999999999994E-2</v>
      </c>
      <c r="BH581" s="1214">
        <v>9.5000000000000001E-2</v>
      </c>
      <c r="BI581" s="1952">
        <v>9.0999999999999998E-2</v>
      </c>
      <c r="BJ581" s="1214">
        <v>0.1</v>
      </c>
      <c r="BK581" s="1214">
        <v>8.4000000000000005E-2</v>
      </c>
      <c r="BL581" s="1214">
        <v>6.3E-2</v>
      </c>
      <c r="BM581" s="1214">
        <v>0.06</v>
      </c>
      <c r="BN581" s="1952">
        <v>7.4999999999999997E-2</v>
      </c>
      <c r="BO581" s="1214">
        <v>4.2999999999999997E-2</v>
      </c>
      <c r="BP581" s="1214">
        <v>4.2999999999999997E-2</v>
      </c>
      <c r="BQ581" s="1214">
        <v>0.05</v>
      </c>
      <c r="BR581" s="1214">
        <v>3.2000000000000001E-2</v>
      </c>
      <c r="BS581" s="1952">
        <v>4.2999999999999997E-2</v>
      </c>
      <c r="BT581" s="1214">
        <v>5.1999999999999998E-2</v>
      </c>
      <c r="BU581" s="1214">
        <v>7.2999999999999995E-2</v>
      </c>
      <c r="BV581" s="1214">
        <v>7.9000000000000001E-2</v>
      </c>
      <c r="BW581" s="1214">
        <v>8.1000000000000003E-2</v>
      </c>
      <c r="BX581" s="1952">
        <v>7.2999999999999995E-2</v>
      </c>
      <c r="BY581" s="1214">
        <v>8.2000000000000003E-2</v>
      </c>
      <c r="BZ581" s="1214">
        <v>4.3999999999999997E-2</v>
      </c>
      <c r="CA581" s="1214">
        <v>3.7999999999999999E-2</v>
      </c>
      <c r="CB581" s="1214">
        <v>2.9000000000000001E-2</v>
      </c>
      <c r="CC581" s="1952">
        <v>4.7E-2</v>
      </c>
      <c r="CD581" s="1214">
        <v>5.0000000000000001E-3</v>
      </c>
      <c r="CE581" s="1214">
        <v>1.4E-2</v>
      </c>
      <c r="CF581" s="1214">
        <v>1.2E-2</v>
      </c>
      <c r="CG581" s="1214">
        <v>1.4E-2</v>
      </c>
      <c r="CH581" s="1952">
        <v>1.2E-2</v>
      </c>
      <c r="CI581" s="1193"/>
      <c r="CJ581" s="1193"/>
      <c r="CK581" s="1193"/>
      <c r="CL581" s="1193"/>
      <c r="CM581" s="1946"/>
      <c r="CN581" s="1193"/>
      <c r="CO581" s="1193"/>
      <c r="CP581" s="1193"/>
      <c r="CQ581" s="1193"/>
      <c r="CR581" s="1946"/>
      <c r="CS581" s="1946"/>
      <c r="CT581" s="1946"/>
      <c r="CU581" s="1193"/>
      <c r="CV581" s="1947"/>
      <c r="CW581" s="1947"/>
      <c r="CX581" s="1947"/>
      <c r="DA581" s="212"/>
      <c r="DB581" s="1226"/>
    </row>
    <row r="582" spans="1:106" s="1951" customFormat="1" hidden="1" outlineLevel="1" x14ac:dyDescent="0.2">
      <c r="A582" s="2014" t="s">
        <v>52</v>
      </c>
      <c r="B582" s="2246"/>
      <c r="C582" s="2246"/>
      <c r="D582" s="2246"/>
      <c r="E582" s="2246"/>
      <c r="F582" s="2246"/>
      <c r="G582" s="2246"/>
      <c r="H582" s="2246"/>
      <c r="I582" s="2246"/>
      <c r="J582" s="2246"/>
      <c r="K582" s="2017"/>
      <c r="L582" s="2247"/>
      <c r="M582" s="2247"/>
      <c r="N582" s="2247"/>
      <c r="O582" s="2247"/>
      <c r="P582" s="2248"/>
      <c r="Q582" s="1625"/>
      <c r="R582" s="1625"/>
      <c r="S582" s="1625"/>
      <c r="T582" s="1625"/>
      <c r="U582" s="2249"/>
      <c r="V582" s="1625"/>
      <c r="W582" s="1625"/>
      <c r="X582" s="1625"/>
      <c r="Y582" s="1625"/>
      <c r="Z582" s="2249"/>
      <c r="AA582" s="1625"/>
      <c r="AB582" s="1625"/>
      <c r="AC582" s="1625"/>
      <c r="AD582" s="1625"/>
      <c r="AE582" s="2249"/>
      <c r="AF582" s="1625"/>
      <c r="AG582" s="1625"/>
      <c r="AH582" s="1625"/>
      <c r="AI582" s="1625"/>
      <c r="AJ582" s="2249"/>
      <c r="AK582" s="1625"/>
      <c r="AL582" s="1625"/>
      <c r="AM582" s="1625"/>
      <c r="AN582" s="1625"/>
      <c r="AO582" s="2249"/>
      <c r="AP582" s="1625"/>
      <c r="AQ582" s="1625"/>
      <c r="AR582" s="1625"/>
      <c r="AS582" s="1625"/>
      <c r="AT582" s="2249"/>
      <c r="AU582" s="1625"/>
      <c r="AV582" s="1625"/>
      <c r="AW582" s="1625"/>
      <c r="AX582" s="1625"/>
      <c r="AY582" s="2249"/>
      <c r="AZ582" s="1625"/>
      <c r="BA582" s="1625"/>
      <c r="BB582" s="1625"/>
      <c r="BC582" s="1625">
        <v>0.08</v>
      </c>
      <c r="BD582" s="2249">
        <v>4.3999999999999997E-2</v>
      </c>
      <c r="BE582" s="1625">
        <v>6.5000000000000002E-2</v>
      </c>
      <c r="BF582" s="1625">
        <v>7.1999999999999995E-2</v>
      </c>
      <c r="BG582" s="1625">
        <v>7.2999999999999995E-2</v>
      </c>
      <c r="BH582" s="1625">
        <v>7.0000000000000007E-2</v>
      </c>
      <c r="BI582" s="2249">
        <v>7.0000000000000007E-2</v>
      </c>
      <c r="BJ582" s="1625">
        <v>6.7000000000000004E-2</v>
      </c>
      <c r="BK582" s="1625">
        <v>6.7000000000000004E-2</v>
      </c>
      <c r="BL582" s="1625">
        <v>5.8999999999999997E-2</v>
      </c>
      <c r="BM582" s="1625">
        <v>0.06</v>
      </c>
      <c r="BN582" s="2249">
        <v>6.3E-2</v>
      </c>
      <c r="BO582" s="1625">
        <v>4.1000000000000002E-2</v>
      </c>
      <c r="BP582" s="1625">
        <v>4.7E-2</v>
      </c>
      <c r="BQ582" s="1625">
        <v>4.9000000000000002E-2</v>
      </c>
      <c r="BR582" s="1625">
        <v>3.5999999999999997E-2</v>
      </c>
      <c r="BS582" s="2249">
        <v>4.3999999999999997E-2</v>
      </c>
      <c r="BT582" s="1625">
        <v>6.2E-2</v>
      </c>
      <c r="BU582" s="1625">
        <v>6.8000000000000005E-2</v>
      </c>
      <c r="BV582" s="1625">
        <v>8.5999999999999993E-2</v>
      </c>
      <c r="BW582" s="1625">
        <v>8.2000000000000003E-2</v>
      </c>
      <c r="BX582" s="2249">
        <v>7.4999999999999997E-2</v>
      </c>
      <c r="BY582" s="1625">
        <v>8.3000000000000004E-2</v>
      </c>
      <c r="BZ582" s="1625">
        <v>6.0999999999999999E-2</v>
      </c>
      <c r="CA582" s="1625">
        <v>4.5999999999999999E-2</v>
      </c>
      <c r="CB582" s="1625">
        <v>3.5000000000000003E-2</v>
      </c>
      <c r="CC582" s="2249">
        <v>5.6000000000000001E-2</v>
      </c>
      <c r="CD582" s="1625">
        <v>0.02</v>
      </c>
      <c r="CE582" s="1625">
        <v>2.8000000000000001E-2</v>
      </c>
      <c r="CF582" s="1625">
        <v>1.7000000000000001E-2</v>
      </c>
      <c r="CG582" s="1625">
        <v>1.2999999999999999E-2</v>
      </c>
      <c r="CH582" s="2249">
        <v>0.02</v>
      </c>
      <c r="CI582" s="1950"/>
      <c r="CJ582" s="1950"/>
      <c r="CK582" s="1950"/>
      <c r="CL582" s="1950"/>
      <c r="CM582" s="2250"/>
      <c r="CN582" s="1950"/>
      <c r="CO582" s="1950"/>
      <c r="CP582" s="1950"/>
      <c r="CQ582" s="1950"/>
      <c r="CR582" s="2250"/>
      <c r="CS582" s="2250"/>
      <c r="CT582" s="2250"/>
      <c r="CU582" s="1950"/>
      <c r="CV582" s="4"/>
      <c r="CW582" s="4"/>
      <c r="CX582" s="4"/>
      <c r="DA582" s="212"/>
      <c r="DB582" s="1226"/>
    </row>
    <row r="583" spans="1:106" s="11" customFormat="1" hidden="1" outlineLevel="1" x14ac:dyDescent="0.2">
      <c r="A583" s="1945" t="s">
        <v>820</v>
      </c>
      <c r="B583" s="1302" t="s">
        <v>673</v>
      </c>
      <c r="C583" s="1302" t="s">
        <v>673</v>
      </c>
      <c r="D583" s="1302" t="s">
        <v>673</v>
      </c>
      <c r="E583" s="1302" t="s">
        <v>673</v>
      </c>
      <c r="F583" s="1302" t="s">
        <v>673</v>
      </c>
      <c r="G583" s="1302" t="s">
        <v>673</v>
      </c>
      <c r="H583" s="1302" t="s">
        <v>673</v>
      </c>
      <c r="I583" s="1302" t="s">
        <v>673</v>
      </c>
      <c r="J583" s="1302" t="s">
        <v>673</v>
      </c>
      <c r="K583" s="2001" t="s">
        <v>673</v>
      </c>
      <c r="L583" s="1882" t="s">
        <v>673</v>
      </c>
      <c r="M583" s="1882" t="s">
        <v>673</v>
      </c>
      <c r="N583" s="1882" t="s">
        <v>673</v>
      </c>
      <c r="O583" s="1882" t="s">
        <v>673</v>
      </c>
      <c r="P583" s="2002" t="s">
        <v>673</v>
      </c>
      <c r="Q583" s="1214">
        <v>0.01</v>
      </c>
      <c r="R583" s="1214">
        <v>-4.9000000000000002E-2</v>
      </c>
      <c r="S583" s="1214">
        <v>2.5999999999999999E-2</v>
      </c>
      <c r="T583" s="1214">
        <v>1.4999999999999999E-2</v>
      </c>
      <c r="U583" s="1952">
        <v>4.0000000000000001E-3</v>
      </c>
      <c r="V583" s="1214">
        <v>7.2999999999999995E-2</v>
      </c>
      <c r="W583" s="1214">
        <v>8.5000000000000006E-2</v>
      </c>
      <c r="X583" s="1214">
        <v>6.0999999999999999E-2</v>
      </c>
      <c r="Y583" s="1214">
        <v>0.125</v>
      </c>
      <c r="Z583" s="1952">
        <v>8.8999999999999996E-2</v>
      </c>
      <c r="AA583" s="1214">
        <v>0.106</v>
      </c>
      <c r="AB583" s="1214">
        <v>0.12</v>
      </c>
      <c r="AC583" s="1214">
        <v>0.122</v>
      </c>
      <c r="AD583" s="1214">
        <v>0.14499999999999999</v>
      </c>
      <c r="AE583" s="1952">
        <v>0.124</v>
      </c>
      <c r="AF583" s="1214">
        <v>0.128</v>
      </c>
      <c r="AG583" s="1214">
        <v>0.14299999999999999</v>
      </c>
      <c r="AH583" s="1214">
        <v>8.4000000000000005E-2</v>
      </c>
      <c r="AI583" s="1214">
        <v>5.8000000000000003E-2</v>
      </c>
      <c r="AJ583" s="1952">
        <v>0.1</v>
      </c>
      <c r="AK583" s="1214">
        <v>4.5999999999999999E-2</v>
      </c>
      <c r="AL583" s="1214">
        <v>3.4000000000000002E-2</v>
      </c>
      <c r="AM583" s="1214">
        <v>7.0000000000000007E-2</v>
      </c>
      <c r="AN583" s="1214">
        <v>6.2E-2</v>
      </c>
      <c r="AO583" s="1952">
        <v>5.0999999999999997E-2</v>
      </c>
      <c r="AP583" s="1214">
        <v>2.1000000000000001E-2</v>
      </c>
      <c r="AQ583" s="1214">
        <v>1.2999999999999999E-2</v>
      </c>
      <c r="AR583" s="1214">
        <v>8.9999999999999993E-3</v>
      </c>
      <c r="AS583" s="1214">
        <v>-9.7000000000000003E-2</v>
      </c>
      <c r="AT583" s="1952">
        <v>-2.1000000000000001E-2</v>
      </c>
      <c r="AU583" s="1214">
        <v>-0.13500000000000001</v>
      </c>
      <c r="AV583" s="1214">
        <v>-0.20599999999999999</v>
      </c>
      <c r="AW583" s="1214">
        <v>-0.19600000000000001</v>
      </c>
      <c r="AX583" s="1214">
        <v>-0.121</v>
      </c>
      <c r="AY583" s="1952">
        <v>-0.17100000000000001</v>
      </c>
      <c r="AZ583" s="1214">
        <v>-2.1999999999999999E-2</v>
      </c>
      <c r="BA583" s="1214">
        <v>7.0999999999999994E-2</v>
      </c>
      <c r="BB583" s="1214">
        <v>6.2E-2</v>
      </c>
      <c r="BC583" s="1214">
        <v>7.3999999999999996E-2</v>
      </c>
      <c r="BD583" s="1952">
        <v>4.3999999999999997E-2</v>
      </c>
      <c r="BE583" s="1214">
        <v>6.8000000000000005E-2</v>
      </c>
      <c r="BF583" s="1214">
        <v>4.4999999999999998E-2</v>
      </c>
      <c r="BG583" s="1214">
        <v>7.9000000000000001E-2</v>
      </c>
      <c r="BH583" s="1214">
        <v>6.2E-2</v>
      </c>
      <c r="BI583" s="1952">
        <v>6.3E-2</v>
      </c>
      <c r="BJ583" s="1214">
        <v>6.4000000000000001E-2</v>
      </c>
      <c r="BK583" s="1214">
        <v>8.1000000000000003E-2</v>
      </c>
      <c r="BL583" s="1214">
        <v>7.0000000000000007E-2</v>
      </c>
      <c r="BM583" s="1214">
        <v>5.8000000000000003E-2</v>
      </c>
      <c r="BN583" s="1952">
        <v>6.8000000000000005E-2</v>
      </c>
      <c r="BO583" s="1214">
        <v>5.8000000000000003E-2</v>
      </c>
      <c r="BP583" s="1214">
        <v>5.0999999999999997E-2</v>
      </c>
      <c r="BQ583" s="1214">
        <v>4.2000000000000003E-2</v>
      </c>
      <c r="BR583" s="1214">
        <v>2.3E-2</v>
      </c>
      <c r="BS583" s="1952">
        <v>4.2000000000000003E-2</v>
      </c>
      <c r="BT583" s="1214">
        <v>5.8999999999999997E-2</v>
      </c>
      <c r="BU583" s="1214">
        <v>5.1999999999999998E-2</v>
      </c>
      <c r="BV583" s="1214">
        <v>0.10199999999999999</v>
      </c>
      <c r="BW583" s="1214">
        <v>5.5E-2</v>
      </c>
      <c r="BX583" s="1952">
        <v>6.7000000000000004E-2</v>
      </c>
      <c r="BY583" s="1214">
        <v>7.0000000000000007E-2</v>
      </c>
      <c r="BZ583" s="1214">
        <v>5.3999999999999999E-2</v>
      </c>
      <c r="CA583" s="1214">
        <v>2.9000000000000001E-2</v>
      </c>
      <c r="CB583" s="1214">
        <v>5.1999999999999998E-2</v>
      </c>
      <c r="CC583" s="1952">
        <v>5.3999999999999999E-2</v>
      </c>
      <c r="CD583" s="1214">
        <v>1.6E-2</v>
      </c>
      <c r="CE583" s="1214">
        <v>6.0999999999999999E-2</v>
      </c>
      <c r="CF583" s="1214">
        <v>5.6000000000000001E-2</v>
      </c>
      <c r="CG583" s="1214"/>
      <c r="CH583" s="1952"/>
      <c r="CI583" s="1193"/>
      <c r="CJ583" s="1193"/>
      <c r="CK583" s="1193"/>
      <c r="CL583" s="1193"/>
      <c r="CM583" s="1946"/>
      <c r="CN583" s="1193"/>
      <c r="CO583" s="1193"/>
      <c r="CP583" s="1193"/>
      <c r="CQ583" s="1193"/>
      <c r="CR583" s="1946"/>
      <c r="CS583" s="1946"/>
      <c r="CT583" s="1946"/>
      <c r="CU583" s="1193"/>
      <c r="CV583" s="1947"/>
      <c r="CW583" s="1947"/>
      <c r="CX583" s="1947"/>
      <c r="DA583" s="212"/>
      <c r="DB583" s="1226"/>
    </row>
    <row r="584" spans="1:106" s="1515" customFormat="1" hidden="1" outlineLevel="1" x14ac:dyDescent="0.2">
      <c r="A584" s="1945" t="s">
        <v>1762</v>
      </c>
      <c r="B584" s="1302" t="s">
        <v>673</v>
      </c>
      <c r="C584" s="1302" t="s">
        <v>673</v>
      </c>
      <c r="D584" s="1302" t="s">
        <v>673</v>
      </c>
      <c r="E584" s="1302" t="s">
        <v>673</v>
      </c>
      <c r="F584" s="1302" t="s">
        <v>673</v>
      </c>
      <c r="G584" s="1302" t="s">
        <v>673</v>
      </c>
      <c r="H584" s="1302" t="s">
        <v>673</v>
      </c>
      <c r="I584" s="1302" t="s">
        <v>673</v>
      </c>
      <c r="J584" s="1302" t="s">
        <v>673</v>
      </c>
      <c r="K584" s="2001" t="s">
        <v>673</v>
      </c>
      <c r="L584" s="1882" t="s">
        <v>673</v>
      </c>
      <c r="M584" s="1882" t="s">
        <v>673</v>
      </c>
      <c r="N584" s="1882" t="s">
        <v>673</v>
      </c>
      <c r="O584" s="1882" t="s">
        <v>673</v>
      </c>
      <c r="P584" s="2001" t="s">
        <v>673</v>
      </c>
      <c r="Q584" s="1882" t="s">
        <v>673</v>
      </c>
      <c r="R584" s="1882" t="s">
        <v>673</v>
      </c>
      <c r="S584" s="1882" t="s">
        <v>673</v>
      </c>
      <c r="T584" s="1882" t="s">
        <v>673</v>
      </c>
      <c r="U584" s="2001" t="s">
        <v>673</v>
      </c>
      <c r="V584" s="1882" t="s">
        <v>673</v>
      </c>
      <c r="W584" s="1882" t="s">
        <v>673</v>
      </c>
      <c r="X584" s="1882" t="s">
        <v>673</v>
      </c>
      <c r="Y584" s="1882" t="s">
        <v>673</v>
      </c>
      <c r="Z584" s="2001" t="s">
        <v>673</v>
      </c>
      <c r="AA584" s="1882" t="s">
        <v>673</v>
      </c>
      <c r="AB584" s="1882" t="s">
        <v>673</v>
      </c>
      <c r="AC584" s="1882" t="s">
        <v>673</v>
      </c>
      <c r="AD584" s="1882" t="s">
        <v>673</v>
      </c>
      <c r="AE584" s="2001" t="s">
        <v>673</v>
      </c>
      <c r="AF584" s="1882" t="s">
        <v>673</v>
      </c>
      <c r="AG584" s="1882" t="s">
        <v>673</v>
      </c>
      <c r="AH584" s="1882" t="s">
        <v>673</v>
      </c>
      <c r="AI584" s="1882" t="s">
        <v>673</v>
      </c>
      <c r="AJ584" s="2001" t="s">
        <v>673</v>
      </c>
      <c r="AK584" s="1882" t="s">
        <v>673</v>
      </c>
      <c r="AL584" s="1882" t="s">
        <v>673</v>
      </c>
      <c r="AM584" s="1882" t="s">
        <v>673</v>
      </c>
      <c r="AN584" s="1882" t="s">
        <v>673</v>
      </c>
      <c r="AO584" s="2001" t="s">
        <v>673</v>
      </c>
      <c r="AP584" s="1882" t="s">
        <v>673</v>
      </c>
      <c r="AQ584" s="1882" t="s">
        <v>673</v>
      </c>
      <c r="AR584" s="1882" t="s">
        <v>673</v>
      </c>
      <c r="AS584" s="1882" t="s">
        <v>673</v>
      </c>
      <c r="AT584" s="2001" t="s">
        <v>673</v>
      </c>
      <c r="AU584" s="1882" t="s">
        <v>673</v>
      </c>
      <c r="AV584" s="1882" t="s">
        <v>673</v>
      </c>
      <c r="AW584" s="1882" t="s">
        <v>673</v>
      </c>
      <c r="AX584" s="1882" t="s">
        <v>673</v>
      </c>
      <c r="AY584" s="2001" t="s">
        <v>673</v>
      </c>
      <c r="AZ584" s="1882" t="s">
        <v>673</v>
      </c>
      <c r="BA584" s="1882" t="s">
        <v>673</v>
      </c>
      <c r="BB584" s="1882" t="s">
        <v>673</v>
      </c>
      <c r="BC584" s="1882" t="s">
        <v>673</v>
      </c>
      <c r="BD584" s="2001" t="s">
        <v>673</v>
      </c>
      <c r="BE584" s="1882">
        <v>0.17</v>
      </c>
      <c r="BF584" s="1882">
        <v>0.19</v>
      </c>
      <c r="BG584" s="1882">
        <v>0.12</v>
      </c>
      <c r="BH584" s="1882" t="s">
        <v>673</v>
      </c>
      <c r="BI584" s="2001">
        <v>0.12</v>
      </c>
      <c r="BJ584" s="1214">
        <v>9.1999999999999998E-2</v>
      </c>
      <c r="BK584" s="1214">
        <v>4.8000000000000001E-2</v>
      </c>
      <c r="BL584" s="1214">
        <v>5.1999999999999998E-2</v>
      </c>
      <c r="BM584" s="1214">
        <v>7.9000000000000001E-2</v>
      </c>
      <c r="BN584" s="2010">
        <v>6.6000000000000003E-2</v>
      </c>
      <c r="BO584" s="1214">
        <v>5.6000000000000001E-2</v>
      </c>
      <c r="BP584" s="1214">
        <v>7.8E-2</v>
      </c>
      <c r="BQ584" s="1214">
        <v>5.3999999999999999E-2</v>
      </c>
      <c r="BR584" s="1214">
        <v>0.16500000000000001</v>
      </c>
      <c r="BS584" s="2010">
        <v>8.7999999999999995E-2</v>
      </c>
      <c r="BT584" s="1214">
        <v>0.13</v>
      </c>
      <c r="BU584" s="1214">
        <v>9.0999999999999998E-2</v>
      </c>
      <c r="BV584" s="1214">
        <v>9.9000000000000005E-2</v>
      </c>
      <c r="BW584" s="1214">
        <v>1.2E-2</v>
      </c>
      <c r="BX584" s="2010">
        <v>7.4999999999999997E-2</v>
      </c>
      <c r="BY584" s="1214">
        <v>4.7E-2</v>
      </c>
      <c r="BZ584" s="1214">
        <v>3.1E-2</v>
      </c>
      <c r="CA584" s="1214">
        <v>1.6E-2</v>
      </c>
      <c r="CB584" s="1214">
        <v>4.2999999999999997E-2</v>
      </c>
      <c r="CC584" s="2010">
        <v>3.5000000000000003E-2</v>
      </c>
      <c r="CD584" s="1214">
        <v>0.03</v>
      </c>
      <c r="CE584" s="1214">
        <v>2.4E-2</v>
      </c>
      <c r="CF584" s="1214">
        <v>5.0999999999999997E-2</v>
      </c>
      <c r="CG584" s="1214"/>
      <c r="CH584" s="2010"/>
      <c r="CI584" s="243"/>
      <c r="CJ584" s="243"/>
      <c r="CK584" s="243"/>
      <c r="CL584" s="243"/>
      <c r="CM584" s="2012"/>
      <c r="CN584" s="243"/>
      <c r="CO584" s="243"/>
      <c r="CP584" s="243"/>
      <c r="CQ584" s="243"/>
      <c r="CR584" s="2012"/>
      <c r="CS584" s="2012"/>
      <c r="CT584" s="2012"/>
      <c r="CU584" s="243"/>
      <c r="CV584" s="2013"/>
      <c r="CW584" s="2013"/>
      <c r="CX584" s="2013"/>
      <c r="DA584" s="212"/>
      <c r="DB584" s="1226"/>
    </row>
    <row r="585" spans="1:106" s="1951" customFormat="1" hidden="1" outlineLevel="1" x14ac:dyDescent="0.2">
      <c r="A585" s="2014" t="s">
        <v>51</v>
      </c>
      <c r="B585" s="2246"/>
      <c r="C585" s="2246"/>
      <c r="D585" s="2246"/>
      <c r="E585" s="2246"/>
      <c r="F585" s="2246"/>
      <c r="G585" s="2246"/>
      <c r="H585" s="2246"/>
      <c r="I585" s="2246"/>
      <c r="J585" s="2246"/>
      <c r="K585" s="2017"/>
      <c r="L585" s="2247"/>
      <c r="M585" s="2247"/>
      <c r="N585" s="2247"/>
      <c r="O585" s="2247"/>
      <c r="P585" s="2248"/>
      <c r="Q585" s="1625"/>
      <c r="R585" s="1625"/>
      <c r="S585" s="1625"/>
      <c r="T585" s="1625"/>
      <c r="U585" s="2249"/>
      <c r="V585" s="1625"/>
      <c r="W585" s="1625"/>
      <c r="X585" s="1625"/>
      <c r="Y585" s="1625"/>
      <c r="Z585" s="2249"/>
      <c r="AA585" s="1625"/>
      <c r="AB585" s="1625"/>
      <c r="AC585" s="1625"/>
      <c r="AD585" s="1625"/>
      <c r="AE585" s="2249"/>
      <c r="AF585" s="1625"/>
      <c r="AG585" s="1625"/>
      <c r="AH585" s="1625"/>
      <c r="AI585" s="1625"/>
      <c r="AJ585" s="2249"/>
      <c r="AK585" s="1625"/>
      <c r="AL585" s="1625"/>
      <c r="AM585" s="1625"/>
      <c r="AN585" s="1625"/>
      <c r="AO585" s="2249"/>
      <c r="AP585" s="1625"/>
      <c r="AQ585" s="1625"/>
      <c r="AR585" s="1625"/>
      <c r="AS585" s="1625"/>
      <c r="AT585" s="2249"/>
      <c r="AU585" s="1625"/>
      <c r="AV585" s="1625"/>
      <c r="AW585" s="1625"/>
      <c r="AX585" s="1625"/>
      <c r="AY585" s="2249"/>
      <c r="AZ585" s="1625"/>
      <c r="BA585" s="1625"/>
      <c r="BB585" s="1625"/>
      <c r="BC585" s="1625">
        <v>7.0000000000000007E-2</v>
      </c>
      <c r="BD585" s="2249">
        <v>5.5E-2</v>
      </c>
      <c r="BE585" s="1625">
        <v>4.9000000000000002E-2</v>
      </c>
      <c r="BF585" s="1625">
        <v>0.06</v>
      </c>
      <c r="BG585" s="1625">
        <v>6.5000000000000002E-2</v>
      </c>
      <c r="BH585" s="1625">
        <v>5.8000000000000003E-2</v>
      </c>
      <c r="BI585" s="2249">
        <v>5.8000000000000003E-2</v>
      </c>
      <c r="BJ585" s="1625">
        <v>7.0999999999999994E-2</v>
      </c>
      <c r="BK585" s="1625">
        <v>6.4000000000000001E-2</v>
      </c>
      <c r="BL585" s="1625">
        <v>6.8000000000000005E-2</v>
      </c>
      <c r="BM585" s="1625">
        <v>5.7000000000000002E-2</v>
      </c>
      <c r="BN585" s="2249">
        <v>6.4000000000000001E-2</v>
      </c>
      <c r="BO585" s="1625">
        <v>5.5E-2</v>
      </c>
      <c r="BP585" s="1625">
        <v>5.8999999999999997E-2</v>
      </c>
      <c r="BQ585" s="1625">
        <v>5.6000000000000001E-2</v>
      </c>
      <c r="BR585" s="1625">
        <v>5.8999999999999997E-2</v>
      </c>
      <c r="BS585" s="2249">
        <v>5.7000000000000002E-2</v>
      </c>
      <c r="BT585" s="1625">
        <v>6.5000000000000002E-2</v>
      </c>
      <c r="BU585" s="1625">
        <v>5.2999999999999999E-2</v>
      </c>
      <c r="BV585" s="1625">
        <v>8.7999999999999995E-2</v>
      </c>
      <c r="BW585" s="1625">
        <v>5.1999999999999998E-2</v>
      </c>
      <c r="BX585" s="2249">
        <v>6.4000000000000001E-2</v>
      </c>
      <c r="BY585" s="1625">
        <v>5.2999999999999999E-2</v>
      </c>
      <c r="BZ585" s="1625">
        <v>4.5999999999999999E-2</v>
      </c>
      <c r="CA585" s="1625">
        <v>3.6999999999999998E-2</v>
      </c>
      <c r="CB585" s="1625">
        <v>4.4999999999999998E-2</v>
      </c>
      <c r="CC585" s="2249">
        <v>4.5999999999999999E-2</v>
      </c>
      <c r="CD585" s="1625">
        <v>2.9000000000000001E-2</v>
      </c>
      <c r="CE585" s="1625">
        <v>3.6999999999999998E-2</v>
      </c>
      <c r="CF585" s="1625">
        <v>3.3000000000000002E-2</v>
      </c>
      <c r="CG585" s="1625"/>
      <c r="CH585" s="2249"/>
      <c r="CI585" s="1950"/>
      <c r="CJ585" s="1950"/>
      <c r="CK585" s="1950"/>
      <c r="CL585" s="1950"/>
      <c r="CM585" s="2250"/>
      <c r="CN585" s="1950"/>
      <c r="CO585" s="1950"/>
      <c r="CP585" s="1950"/>
      <c r="CQ585" s="1950"/>
      <c r="CR585" s="2250"/>
      <c r="CS585" s="2250"/>
      <c r="CT585" s="2250"/>
      <c r="CU585" s="1950"/>
      <c r="CV585" s="4"/>
      <c r="CW585" s="4"/>
      <c r="CX585" s="4"/>
      <c r="DA585" s="212"/>
      <c r="DB585" s="1226"/>
    </row>
    <row r="586" spans="1:106" s="11" customFormat="1" hidden="1" outlineLevel="1" x14ac:dyDescent="0.2">
      <c r="A586" s="1945" t="s">
        <v>925</v>
      </c>
      <c r="B586" s="1302" t="s">
        <v>673</v>
      </c>
      <c r="C586" s="1302" t="s">
        <v>673</v>
      </c>
      <c r="D586" s="1302" t="s">
        <v>673</v>
      </c>
      <c r="E586" s="1302" t="s">
        <v>673</v>
      </c>
      <c r="F586" s="1302" t="s">
        <v>673</v>
      </c>
      <c r="G586" s="1302" t="s">
        <v>673</v>
      </c>
      <c r="H586" s="1302" t="s">
        <v>673</v>
      </c>
      <c r="I586" s="1302" t="s">
        <v>673</v>
      </c>
      <c r="J586" s="1302" t="s">
        <v>673</v>
      </c>
      <c r="K586" s="2001" t="s">
        <v>673</v>
      </c>
      <c r="L586" s="1882" t="s">
        <v>673</v>
      </c>
      <c r="M586" s="1882" t="s">
        <v>673</v>
      </c>
      <c r="N586" s="1882" t="s">
        <v>673</v>
      </c>
      <c r="O586" s="1882" t="s">
        <v>673</v>
      </c>
      <c r="P586" s="2002" t="s">
        <v>673</v>
      </c>
      <c r="Q586" s="1214">
        <v>-1.2E-2</v>
      </c>
      <c r="R586" s="1214">
        <v>-1.6E-2</v>
      </c>
      <c r="S586" s="1214">
        <v>-8.9999999999999993E-3</v>
      </c>
      <c r="T586" s="1214">
        <v>2.3E-2</v>
      </c>
      <c r="U586" s="1952">
        <v>-1E-3</v>
      </c>
      <c r="V586" s="1214">
        <v>6.6000000000000003E-2</v>
      </c>
      <c r="W586" s="1214">
        <v>0.1</v>
      </c>
      <c r="X586" s="1214">
        <v>5.8999999999999997E-2</v>
      </c>
      <c r="Y586" s="1214">
        <v>0.125</v>
      </c>
      <c r="Z586" s="1952">
        <v>0.09</v>
      </c>
      <c r="AA586" s="1214">
        <v>0.11700000000000001</v>
      </c>
      <c r="AB586" s="1214">
        <v>0.104</v>
      </c>
      <c r="AC586" s="1214">
        <v>9.2999999999999999E-2</v>
      </c>
      <c r="AD586" s="1214">
        <v>0.11799999999999999</v>
      </c>
      <c r="AE586" s="1952">
        <v>0.108</v>
      </c>
      <c r="AF586" s="1214">
        <v>0.13</v>
      </c>
      <c r="AG586" s="1214">
        <v>0.122</v>
      </c>
      <c r="AH586" s="1214">
        <v>9.9000000000000005E-2</v>
      </c>
      <c r="AI586" s="1214">
        <v>6.4000000000000001E-2</v>
      </c>
      <c r="AJ586" s="1952">
        <v>9.9000000000000005E-2</v>
      </c>
      <c r="AK586" s="1214">
        <v>4.9000000000000002E-2</v>
      </c>
      <c r="AL586" s="1214">
        <v>4.2999999999999997E-2</v>
      </c>
      <c r="AM586" s="1214">
        <v>5.6000000000000001E-2</v>
      </c>
      <c r="AN586" s="1214">
        <v>4.9000000000000002E-2</v>
      </c>
      <c r="AO586" s="1952">
        <v>0.05</v>
      </c>
      <c r="AP586" s="1214">
        <v>4.0000000000000001E-3</v>
      </c>
      <c r="AQ586" s="1214">
        <v>-1.7999999999999999E-2</v>
      </c>
      <c r="AR586" s="1214">
        <v>-2.1000000000000001E-2</v>
      </c>
      <c r="AS586" s="1214">
        <v>-8.1000000000000003E-2</v>
      </c>
      <c r="AT586" s="1952">
        <v>-3.4000000000000002E-2</v>
      </c>
      <c r="AU586" s="1214">
        <v>-0.14599999999999999</v>
      </c>
      <c r="AV586" s="1214">
        <v>-0.18</v>
      </c>
      <c r="AW586" s="1214">
        <v>-0.17599999999999999</v>
      </c>
      <c r="AX586" s="1214">
        <v>-0.17</v>
      </c>
      <c r="AY586" s="1952">
        <v>-0.17699999999999999</v>
      </c>
      <c r="AZ586" s="1214">
        <v>-4.4999999999999998E-2</v>
      </c>
      <c r="BA586" s="1214">
        <v>4.4999999999999998E-2</v>
      </c>
      <c r="BB586" s="1214">
        <v>8.5999999999999993E-2</v>
      </c>
      <c r="BC586" s="1214">
        <v>0.121</v>
      </c>
      <c r="BD586" s="1952">
        <v>5.6000000000000001E-2</v>
      </c>
      <c r="BE586" s="1214">
        <v>0.112</v>
      </c>
      <c r="BF586" s="1214">
        <v>0.10100000000000001</v>
      </c>
      <c r="BG586" s="1214">
        <v>0.08</v>
      </c>
      <c r="BH586" s="1214">
        <v>8.8999999999999996E-2</v>
      </c>
      <c r="BI586" s="1952">
        <v>9.2999999999999999E-2</v>
      </c>
      <c r="BJ586" s="1214">
        <v>8.6999999999999994E-2</v>
      </c>
      <c r="BK586" s="1214">
        <v>7.2999999999999995E-2</v>
      </c>
      <c r="BL586" s="1214">
        <v>4.9000000000000002E-2</v>
      </c>
      <c r="BM586" s="1214">
        <v>3.7999999999999999E-2</v>
      </c>
      <c r="BN586" s="1952">
        <v>5.8999999999999997E-2</v>
      </c>
      <c r="BO586" s="1214">
        <v>1.4E-2</v>
      </c>
      <c r="BP586" s="1214">
        <v>1.4E-2</v>
      </c>
      <c r="BQ586" s="1214">
        <v>2.1000000000000001E-2</v>
      </c>
      <c r="BR586" s="1214">
        <v>2.1000000000000001E-2</v>
      </c>
      <c r="BS586" s="1952">
        <v>1.7999999999999999E-2</v>
      </c>
      <c r="BT586" s="1214">
        <v>8.2000000000000003E-2</v>
      </c>
      <c r="BU586" s="1214">
        <v>0.10299999999999999</v>
      </c>
      <c r="BV586" s="1214">
        <v>0.107</v>
      </c>
      <c r="BW586" s="1214">
        <v>0.105</v>
      </c>
      <c r="BX586" s="1952">
        <v>9.9000000000000005E-2</v>
      </c>
      <c r="BY586" s="1214">
        <v>8.4000000000000005E-2</v>
      </c>
      <c r="BZ586" s="1214">
        <v>5.1999999999999998E-2</v>
      </c>
      <c r="CA586" s="1214">
        <v>0.04</v>
      </c>
      <c r="CB586" s="1214">
        <v>2.5000000000000001E-2</v>
      </c>
      <c r="CC586" s="1952">
        <v>0.05</v>
      </c>
      <c r="CD586" s="1214">
        <v>2.1999999999999999E-2</v>
      </c>
      <c r="CE586" s="1214">
        <v>4.3999999999999997E-2</v>
      </c>
      <c r="CF586" s="1214">
        <v>2.7E-2</v>
      </c>
      <c r="CG586" s="1214"/>
      <c r="CH586" s="1952"/>
      <c r="CI586" s="1193"/>
      <c r="CJ586" s="1193"/>
      <c r="CK586" s="1193"/>
      <c r="CL586" s="1193"/>
      <c r="CM586" s="1946"/>
      <c r="CN586" s="1193"/>
      <c r="CO586" s="1193"/>
      <c r="CP586" s="1193"/>
      <c r="CQ586" s="1193"/>
      <c r="CR586" s="1946"/>
      <c r="CS586" s="1946"/>
      <c r="CT586" s="1946"/>
      <c r="CU586" s="1193"/>
      <c r="CV586" s="1947"/>
      <c r="CW586" s="1947"/>
      <c r="CX586" s="1947"/>
      <c r="DA586" s="212"/>
      <c r="DB586" s="1226"/>
    </row>
    <row r="587" spans="1:106" s="11" customFormat="1" hidden="1" outlineLevel="1" x14ac:dyDescent="0.2">
      <c r="A587" s="1945" t="s">
        <v>924</v>
      </c>
      <c r="B587" s="1302" t="s">
        <v>673</v>
      </c>
      <c r="C587" s="1302" t="s">
        <v>673</v>
      </c>
      <c r="D587" s="1302" t="s">
        <v>673</v>
      </c>
      <c r="E587" s="1302" t="s">
        <v>673</v>
      </c>
      <c r="F587" s="1302" t="s">
        <v>673</v>
      </c>
      <c r="G587" s="1302" t="s">
        <v>673</v>
      </c>
      <c r="H587" s="1302" t="s">
        <v>673</v>
      </c>
      <c r="I587" s="1302" t="s">
        <v>673</v>
      </c>
      <c r="J587" s="1302" t="s">
        <v>673</v>
      </c>
      <c r="K587" s="2001" t="s">
        <v>673</v>
      </c>
      <c r="L587" s="1882" t="s">
        <v>673</v>
      </c>
      <c r="M587" s="1882" t="s">
        <v>673</v>
      </c>
      <c r="N587" s="1882" t="s">
        <v>673</v>
      </c>
      <c r="O587" s="1882" t="s">
        <v>673</v>
      </c>
      <c r="P587" s="2002" t="s">
        <v>673</v>
      </c>
      <c r="Q587" s="1214">
        <v>6.0999999999999999E-2</v>
      </c>
      <c r="R587" s="1214">
        <v>-6.0000000000000001E-3</v>
      </c>
      <c r="S587" s="1214">
        <v>2.5999999999999999E-2</v>
      </c>
      <c r="T587" s="1214">
        <v>4.1000000000000002E-2</v>
      </c>
      <c r="U587" s="1952">
        <v>3.2000000000000001E-2</v>
      </c>
      <c r="V587" s="1214">
        <v>8.1000000000000003E-2</v>
      </c>
      <c r="W587" s="1214">
        <v>0.10299999999999999</v>
      </c>
      <c r="X587" s="1214">
        <v>8.8999999999999996E-2</v>
      </c>
      <c r="Y587" s="1214">
        <v>0.14000000000000001</v>
      </c>
      <c r="Z587" s="1952">
        <v>0.106</v>
      </c>
      <c r="AA587" s="1214">
        <v>0.14399999999999999</v>
      </c>
      <c r="AB587" s="1214">
        <v>0.14599999999999999</v>
      </c>
      <c r="AC587" s="1214">
        <v>0.111</v>
      </c>
      <c r="AD587" s="1214">
        <v>0.13400000000000001</v>
      </c>
      <c r="AE587" s="1952">
        <v>0.13500000000000001</v>
      </c>
      <c r="AF587" s="1214">
        <v>0.13200000000000001</v>
      </c>
      <c r="AG587" s="1214">
        <v>0.125</v>
      </c>
      <c r="AH587" s="1214">
        <v>0.10100000000000001</v>
      </c>
      <c r="AI587" s="1214">
        <v>0.06</v>
      </c>
      <c r="AJ587" s="1952">
        <v>0.1</v>
      </c>
      <c r="AK587" s="1214">
        <v>5.1999999999999998E-2</v>
      </c>
      <c r="AL587" s="1214">
        <v>6.0999999999999999E-2</v>
      </c>
      <c r="AM587" s="1214">
        <v>6.2E-2</v>
      </c>
      <c r="AN587" s="1214">
        <v>5.2999999999999999E-2</v>
      </c>
      <c r="AO587" s="1952">
        <v>5.7000000000000002E-2</v>
      </c>
      <c r="AP587" s="1214">
        <v>2.7E-2</v>
      </c>
      <c r="AQ587" s="1214">
        <v>-1.2999999999999999E-2</v>
      </c>
      <c r="AR587" s="1214">
        <v>-3.3000000000000002E-2</v>
      </c>
      <c r="AS587" s="1214">
        <v>-9.9000000000000005E-2</v>
      </c>
      <c r="AT587" s="1952">
        <v>-3.5999999999999997E-2</v>
      </c>
      <c r="AU587" s="1214">
        <v>-0.14299999999999999</v>
      </c>
      <c r="AV587" s="1214">
        <v>-0.182</v>
      </c>
      <c r="AW587" s="1214">
        <v>-0.184</v>
      </c>
      <c r="AX587" s="1214">
        <v>-0.13400000000000001</v>
      </c>
      <c r="AY587" s="1952">
        <v>-0.16900000000000001</v>
      </c>
      <c r="AZ587" s="1214">
        <v>-4.3999999999999997E-2</v>
      </c>
      <c r="BA587" s="1214">
        <v>3.5999999999999997E-2</v>
      </c>
      <c r="BB587" s="1214">
        <v>6.9000000000000006E-2</v>
      </c>
      <c r="BC587" s="1214">
        <v>7.8E-2</v>
      </c>
      <c r="BD587" s="1952">
        <v>3.5999999999999997E-2</v>
      </c>
      <c r="BE587" s="1214">
        <v>9.4E-2</v>
      </c>
      <c r="BF587" s="1214">
        <v>8.1000000000000003E-2</v>
      </c>
      <c r="BG587" s="1214">
        <v>8.5000000000000006E-2</v>
      </c>
      <c r="BH587" s="1214">
        <v>7.0999999999999994E-2</v>
      </c>
      <c r="BI587" s="1952">
        <v>8.2000000000000003E-2</v>
      </c>
      <c r="BJ587" s="1214">
        <v>7.3999999999999996E-2</v>
      </c>
      <c r="BK587" s="1214">
        <v>8.8999999999999996E-2</v>
      </c>
      <c r="BL587" s="1214">
        <v>7.4999999999999997E-2</v>
      </c>
      <c r="BM587" s="1214">
        <v>7.6999999999999999E-2</v>
      </c>
      <c r="BN587" s="1952">
        <v>7.8E-2</v>
      </c>
      <c r="BO587" s="1214">
        <v>0.05</v>
      </c>
      <c r="BP587" s="1214">
        <v>0.05</v>
      </c>
      <c r="BQ587" s="1214">
        <v>5.5E-2</v>
      </c>
      <c r="BR587" s="1214">
        <v>5.1999999999999998E-2</v>
      </c>
      <c r="BS587" s="1952">
        <v>5.1999999999999998E-2</v>
      </c>
      <c r="BT587" s="1214">
        <v>7.0999999999999994E-2</v>
      </c>
      <c r="BU587" s="1214">
        <v>6.9000000000000006E-2</v>
      </c>
      <c r="BV587" s="1214">
        <v>8.3000000000000004E-2</v>
      </c>
      <c r="BW587" s="1214">
        <v>7.6999999999999999E-2</v>
      </c>
      <c r="BX587" s="1952">
        <v>7.5999999999999998E-2</v>
      </c>
      <c r="BY587" s="1214">
        <v>7.5999999999999998E-2</v>
      </c>
      <c r="BZ587" s="1214">
        <v>5.0999999999999997E-2</v>
      </c>
      <c r="CA587" s="1214">
        <v>4.8000000000000001E-2</v>
      </c>
      <c r="CB587" s="1214">
        <v>3.5999999999999997E-2</v>
      </c>
      <c r="CC587" s="1952">
        <v>5.1999999999999998E-2</v>
      </c>
      <c r="CD587" s="1214">
        <v>1.0999999999999999E-2</v>
      </c>
      <c r="CE587" s="1214">
        <v>3.5999999999999997E-2</v>
      </c>
      <c r="CF587" s="1214">
        <v>1.7000000000000001E-2</v>
      </c>
      <c r="CG587" s="1214"/>
      <c r="CH587" s="1952"/>
      <c r="CI587" s="1193"/>
      <c r="CJ587" s="1193"/>
      <c r="CK587" s="1193"/>
      <c r="CL587" s="1193"/>
      <c r="CM587" s="1946"/>
      <c r="CN587" s="1193"/>
      <c r="CO587" s="1193"/>
      <c r="CP587" s="1193"/>
      <c r="CQ587" s="1193"/>
      <c r="CR587" s="1946"/>
      <c r="CS587" s="1946"/>
      <c r="CT587" s="1946"/>
      <c r="CU587" s="1193"/>
      <c r="CV587" s="1947"/>
      <c r="CW587" s="1947"/>
      <c r="CX587" s="1947"/>
      <c r="DA587" s="212"/>
      <c r="DB587" s="1226"/>
    </row>
    <row r="588" spans="1:106" s="1951" customFormat="1" collapsed="1" x14ac:dyDescent="0.2">
      <c r="A588" s="1948" t="s">
        <v>2026</v>
      </c>
      <c r="B588" s="2003" t="s">
        <v>673</v>
      </c>
      <c r="C588" s="2003" t="s">
        <v>673</v>
      </c>
      <c r="D588" s="2003" t="s">
        <v>673</v>
      </c>
      <c r="E588" s="2003" t="s">
        <v>673</v>
      </c>
      <c r="F588" s="2003" t="s">
        <v>673</v>
      </c>
      <c r="G588" s="2003" t="s">
        <v>673</v>
      </c>
      <c r="H588" s="2003" t="s">
        <v>673</v>
      </c>
      <c r="I588" s="2003" t="s">
        <v>673</v>
      </c>
      <c r="J588" s="2003" t="s">
        <v>673</v>
      </c>
      <c r="K588" s="2004" t="s">
        <v>673</v>
      </c>
      <c r="L588" s="2005" t="s">
        <v>673</v>
      </c>
      <c r="M588" s="2005" t="s">
        <v>673</v>
      </c>
      <c r="N588" s="2005" t="s">
        <v>673</v>
      </c>
      <c r="O588" s="2005" t="s">
        <v>673</v>
      </c>
      <c r="P588" s="2004" t="s">
        <v>673</v>
      </c>
      <c r="Q588" s="1628">
        <v>-6.0000000000000001E-3</v>
      </c>
      <c r="R588" s="1628">
        <v>-0.05</v>
      </c>
      <c r="S588" s="1628">
        <v>-7.0000000000000001E-3</v>
      </c>
      <c r="T588" s="1628">
        <v>4.0000000000000001E-3</v>
      </c>
      <c r="U588" s="1954">
        <v>-1.2999999999999999E-2</v>
      </c>
      <c r="V588" s="1628">
        <v>5.3999999999999999E-2</v>
      </c>
      <c r="W588" s="1628">
        <v>9.2999999999999999E-2</v>
      </c>
      <c r="X588" s="1628">
        <v>7.6999999999999999E-2</v>
      </c>
      <c r="Y588" s="1628">
        <v>0.107</v>
      </c>
      <c r="Z588" s="1954">
        <v>8.5000000000000006E-2</v>
      </c>
      <c r="AA588" s="1628">
        <v>8.4000000000000005E-2</v>
      </c>
      <c r="AB588" s="1628">
        <v>9.8000000000000004E-2</v>
      </c>
      <c r="AC588" s="1628">
        <v>8.2000000000000003E-2</v>
      </c>
      <c r="AD588" s="1628">
        <v>0.11</v>
      </c>
      <c r="AE588" s="1954">
        <v>9.5000000000000001E-2</v>
      </c>
      <c r="AF588" s="1628">
        <v>0.109</v>
      </c>
      <c r="AG588" s="1628">
        <v>0.107</v>
      </c>
      <c r="AH588" s="1628">
        <v>8.5999999999999993E-2</v>
      </c>
      <c r="AI588" s="1628">
        <v>7.0000000000000007E-2</v>
      </c>
      <c r="AJ588" s="1954">
        <v>9.0999999999999998E-2</v>
      </c>
      <c r="AK588" s="1628">
        <v>5.0999999999999997E-2</v>
      </c>
      <c r="AL588" s="1628">
        <v>5.6000000000000001E-2</v>
      </c>
      <c r="AM588" s="1628">
        <v>6.7000000000000004E-2</v>
      </c>
      <c r="AN588" s="1628">
        <v>6.2E-2</v>
      </c>
      <c r="AO588" s="1954">
        <v>0.06</v>
      </c>
      <c r="AP588" s="1628">
        <v>2.1999999999999999E-2</v>
      </c>
      <c r="AQ588" s="1628">
        <v>1.2E-2</v>
      </c>
      <c r="AR588" s="1628">
        <v>-7.0000000000000001E-3</v>
      </c>
      <c r="AS588" s="1628">
        <v>-0.10100000000000001</v>
      </c>
      <c r="AT588" s="1954">
        <v>-2.7E-2</v>
      </c>
      <c r="AU588" s="1628">
        <v>-0.16200000000000001</v>
      </c>
      <c r="AV588" s="1628">
        <v>-0.21199999999999999</v>
      </c>
      <c r="AW588" s="1628">
        <v>-0.193</v>
      </c>
      <c r="AX588" s="1628">
        <v>-0.125</v>
      </c>
      <c r="AY588" s="1954">
        <v>-0.17899999999999999</v>
      </c>
      <c r="AZ588" s="1628">
        <v>-1.7999999999999999E-2</v>
      </c>
      <c r="BA588" s="1628">
        <v>6.3E-2</v>
      </c>
      <c r="BB588" s="1628">
        <v>7.1999999999999995E-2</v>
      </c>
      <c r="BC588" s="1628">
        <v>7.4999999999999997E-2</v>
      </c>
      <c r="BD588" s="1954">
        <v>4.9000000000000002E-2</v>
      </c>
      <c r="BE588" s="1628">
        <v>5.8000000000000003E-2</v>
      </c>
      <c r="BF588" s="1628">
        <v>6.6000000000000003E-2</v>
      </c>
      <c r="BG588" s="1628">
        <v>6.9000000000000006E-2</v>
      </c>
      <c r="BH588" s="1628">
        <v>6.4000000000000001E-2</v>
      </c>
      <c r="BI588" s="1954">
        <v>6.5000000000000002E-2</v>
      </c>
      <c r="BJ588" s="1628">
        <v>6.9000000000000006E-2</v>
      </c>
      <c r="BK588" s="1628">
        <v>6.5000000000000002E-2</v>
      </c>
      <c r="BL588" s="1628">
        <v>6.3E-2</v>
      </c>
      <c r="BM588" s="1628">
        <v>5.8999999999999997E-2</v>
      </c>
      <c r="BN588" s="1954">
        <v>6.4000000000000001E-2</v>
      </c>
      <c r="BO588" s="1628">
        <v>4.8000000000000001E-2</v>
      </c>
      <c r="BP588" s="1628">
        <v>5.1999999999999998E-2</v>
      </c>
      <c r="BQ588" s="1628">
        <v>5.1999999999999998E-2</v>
      </c>
      <c r="BR588" s="1628">
        <v>4.7E-2</v>
      </c>
      <c r="BS588" s="1954">
        <v>0.05</v>
      </c>
      <c r="BT588" s="1628">
        <v>6.3E-2</v>
      </c>
      <c r="BU588" s="1628">
        <v>0.06</v>
      </c>
      <c r="BV588" s="1628">
        <v>8.6999999999999994E-2</v>
      </c>
      <c r="BW588" s="1628">
        <v>6.7000000000000004E-2</v>
      </c>
      <c r="BX588" s="1954">
        <v>7.0000000000000007E-2</v>
      </c>
      <c r="BY588" s="1628">
        <v>6.9000000000000006E-2</v>
      </c>
      <c r="BZ588" s="1628">
        <v>5.3999999999999999E-2</v>
      </c>
      <c r="CA588" s="1628">
        <v>4.2000000000000003E-2</v>
      </c>
      <c r="CB588" s="1628">
        <v>0.04</v>
      </c>
      <c r="CC588" s="1954">
        <v>5.1999999999999998E-2</v>
      </c>
      <c r="CD588" s="1628">
        <v>2.4E-2</v>
      </c>
      <c r="CE588" s="1628">
        <v>3.2000000000000001E-2</v>
      </c>
      <c r="CF588" s="1628">
        <v>2.4E-2</v>
      </c>
      <c r="CG588" s="1628">
        <v>1.0999999999999999E-2</v>
      </c>
      <c r="CH588" s="1954">
        <v>2.3E-2</v>
      </c>
      <c r="CI588" s="1628">
        <v>3.1E-2</v>
      </c>
      <c r="CJ588" s="1628">
        <v>8.9999999999999993E-3</v>
      </c>
      <c r="CK588" s="1628">
        <v>4.0000000000000001E-3</v>
      </c>
      <c r="CL588" s="1628">
        <v>3.9E-2</v>
      </c>
      <c r="CM588" s="1954">
        <v>2.1000000000000001E-2</v>
      </c>
      <c r="CN588" s="1628"/>
      <c r="CO588" s="1628"/>
      <c r="CP588" s="1949"/>
      <c r="CQ588" s="1949"/>
      <c r="CR588" s="1751"/>
      <c r="CS588" s="1751"/>
      <c r="CT588" s="1751"/>
      <c r="CU588" s="1950"/>
      <c r="DA588" s="212"/>
      <c r="DB588" s="1226"/>
    </row>
    <row r="589" spans="1:106" s="2020" customFormat="1" x14ac:dyDescent="0.2">
      <c r="A589" s="2022" t="s">
        <v>304</v>
      </c>
      <c r="B589" s="2023" t="s">
        <v>673</v>
      </c>
      <c r="C589" s="2023" t="s">
        <v>673</v>
      </c>
      <c r="D589" s="2023" t="s">
        <v>673</v>
      </c>
      <c r="E589" s="2023" t="s">
        <v>673</v>
      </c>
      <c r="F589" s="2023" t="s">
        <v>673</v>
      </c>
      <c r="G589" s="2023" t="s">
        <v>673</v>
      </c>
      <c r="H589" s="2023" t="s">
        <v>673</v>
      </c>
      <c r="I589" s="2023" t="s">
        <v>673</v>
      </c>
      <c r="J589" s="2023" t="s">
        <v>673</v>
      </c>
      <c r="K589" s="2024" t="s">
        <v>673</v>
      </c>
      <c r="L589" s="2025" t="s">
        <v>673</v>
      </c>
      <c r="M589" s="2025" t="s">
        <v>673</v>
      </c>
      <c r="N589" s="2025" t="s">
        <v>673</v>
      </c>
      <c r="O589" s="2025" t="s">
        <v>673</v>
      </c>
      <c r="P589" s="2024" t="s">
        <v>673</v>
      </c>
      <c r="Q589" s="2026">
        <v>-1.4999999999999999E-2</v>
      </c>
      <c r="R589" s="2026">
        <v>-6.2E-2</v>
      </c>
      <c r="S589" s="2026">
        <v>-5.0000000000000001E-3</v>
      </c>
      <c r="T589" s="2026">
        <v>0</v>
      </c>
      <c r="U589" s="2027">
        <v>-1.9E-2</v>
      </c>
      <c r="V589" s="2026">
        <v>0.05</v>
      </c>
      <c r="W589" s="2026">
        <v>0.1</v>
      </c>
      <c r="X589" s="2026">
        <v>8.3000000000000004E-2</v>
      </c>
      <c r="Y589" s="2026">
        <v>0.104</v>
      </c>
      <c r="Z589" s="2027">
        <v>8.5999999999999993E-2</v>
      </c>
      <c r="AA589" s="2026">
        <v>0.08</v>
      </c>
      <c r="AB589" s="2026">
        <v>0.1</v>
      </c>
      <c r="AC589" s="2026">
        <v>8.7999999999999995E-2</v>
      </c>
      <c r="AD589" s="2026">
        <v>0.114</v>
      </c>
      <c r="AE589" s="2027">
        <v>9.8000000000000004E-2</v>
      </c>
      <c r="AF589" s="2026">
        <v>9.6000000000000002E-2</v>
      </c>
      <c r="AG589" s="2026">
        <v>0.107</v>
      </c>
      <c r="AH589" s="2026">
        <v>8.1000000000000003E-2</v>
      </c>
      <c r="AI589" s="2026">
        <v>7.1999999999999995E-2</v>
      </c>
      <c r="AJ589" s="2027">
        <v>8.8999999999999996E-2</v>
      </c>
      <c r="AK589" s="2026">
        <v>5.1999999999999998E-2</v>
      </c>
      <c r="AL589" s="2026">
        <v>5.6000000000000001E-2</v>
      </c>
      <c r="AM589" s="2026">
        <v>7.1999999999999995E-2</v>
      </c>
      <c r="AN589" s="2026">
        <v>6.2E-2</v>
      </c>
      <c r="AO589" s="2027">
        <v>6.2E-2</v>
      </c>
      <c r="AP589" s="2026">
        <v>2.3E-2</v>
      </c>
      <c r="AQ589" s="2026">
        <v>1.4E-2</v>
      </c>
      <c r="AR589" s="2026">
        <v>-0.01</v>
      </c>
      <c r="AS589" s="2026">
        <v>-0.109</v>
      </c>
      <c r="AT589" s="2027">
        <v>-2.9000000000000001E-2</v>
      </c>
      <c r="AU589" s="2026">
        <v>-0.18</v>
      </c>
      <c r="AV589" s="2026">
        <v>-0.23400000000000001</v>
      </c>
      <c r="AW589" s="2026">
        <v>-0.20599999999999999</v>
      </c>
      <c r="AX589" s="2026">
        <v>-0.126</v>
      </c>
      <c r="AY589" s="2027">
        <v>-0.193</v>
      </c>
      <c r="AZ589" s="2026">
        <v>-1.9E-2</v>
      </c>
      <c r="BA589" s="2026">
        <v>7.4999999999999997E-2</v>
      </c>
      <c r="BB589" s="2026">
        <v>6.5000000000000002E-2</v>
      </c>
      <c r="BC589" s="2026">
        <v>6.5000000000000002E-2</v>
      </c>
      <c r="BD589" s="2027">
        <v>4.7E-2</v>
      </c>
      <c r="BE589" s="2026">
        <v>4.8000000000000001E-2</v>
      </c>
      <c r="BF589" s="2026">
        <v>6.6000000000000003E-2</v>
      </c>
      <c r="BG589" s="2026">
        <v>7.0000000000000007E-2</v>
      </c>
      <c r="BH589" s="2026">
        <v>6.2E-2</v>
      </c>
      <c r="BI589" s="2027">
        <v>6.2E-2</v>
      </c>
      <c r="BJ589" s="2026">
        <v>6.2E-2</v>
      </c>
      <c r="BK589" s="2026">
        <v>0.06</v>
      </c>
      <c r="BL589" s="2026">
        <v>7.0000000000000007E-2</v>
      </c>
      <c r="BM589" s="2026">
        <v>5.1999999999999998E-2</v>
      </c>
      <c r="BN589" s="2027">
        <v>0.06</v>
      </c>
      <c r="BO589" s="2026">
        <v>5.8000000000000003E-2</v>
      </c>
      <c r="BP589" s="2026">
        <v>5.2999999999999999E-2</v>
      </c>
      <c r="BQ589" s="2241">
        <v>5.5E-2</v>
      </c>
      <c r="BR589" s="2026">
        <v>5.0999999999999997E-2</v>
      </c>
      <c r="BS589" s="2027">
        <v>5.3999999999999999E-2</v>
      </c>
      <c r="BT589" s="2026">
        <v>0.06</v>
      </c>
      <c r="BU589" s="2026">
        <v>5.2999999999999999E-2</v>
      </c>
      <c r="BV589" s="2026">
        <v>9.4E-2</v>
      </c>
      <c r="BW589" s="2026">
        <v>6.3E-2</v>
      </c>
      <c r="BX589" s="2027">
        <v>6.7000000000000004E-2</v>
      </c>
      <c r="BY589" s="2026">
        <v>5.6000000000000001E-2</v>
      </c>
      <c r="BZ589" s="2026">
        <v>5.6000000000000001E-2</v>
      </c>
      <c r="CA589" s="2026">
        <v>3.5999999999999997E-2</v>
      </c>
      <c r="CB589" s="2026">
        <v>4.5999999999999999E-2</v>
      </c>
      <c r="CC589" s="2027">
        <v>0.05</v>
      </c>
      <c r="CD589" s="2026">
        <v>3.5000000000000003E-2</v>
      </c>
      <c r="CE589" s="2026">
        <v>3.5999999999999997E-2</v>
      </c>
      <c r="CF589" s="2026">
        <v>3.9E-2</v>
      </c>
      <c r="CG589" s="2026">
        <v>5.0000000000000001E-3</v>
      </c>
      <c r="CH589" s="2027">
        <v>2.5000000000000001E-2</v>
      </c>
      <c r="CI589" s="2026">
        <v>0.04</v>
      </c>
      <c r="CJ589" s="2026">
        <v>1.0999999999999999E-2</v>
      </c>
      <c r="CK589" s="2026">
        <v>-5.0000000000000001E-3</v>
      </c>
      <c r="CL589" s="2026">
        <v>3.9E-2</v>
      </c>
      <c r="CM589" s="2027">
        <v>2.1999999999999999E-2</v>
      </c>
      <c r="CN589" s="2026"/>
      <c r="CO589" s="2026"/>
      <c r="CP589" s="2028"/>
      <c r="CQ589" s="2028"/>
      <c r="CR589" s="2029"/>
      <c r="CS589" s="2029"/>
      <c r="CT589" s="2029"/>
      <c r="CU589" s="2018"/>
      <c r="DA589" s="212"/>
      <c r="DB589" s="1226"/>
    </row>
    <row r="590" spans="1:106" x14ac:dyDescent="0.2">
      <c r="A590" s="1142"/>
      <c r="B590" s="1883"/>
      <c r="C590" s="1883"/>
      <c r="D590" s="1883"/>
      <c r="E590" s="1883"/>
      <c r="F590" s="1883"/>
      <c r="G590" s="1883"/>
      <c r="H590" s="1883"/>
      <c r="I590" s="1883"/>
      <c r="J590" s="1883"/>
      <c r="K590" s="1973"/>
      <c r="L590" s="1883"/>
      <c r="M590" s="1883"/>
      <c r="N590" s="1883"/>
      <c r="O590" s="1883"/>
      <c r="P590" s="1973"/>
      <c r="Q590" s="212"/>
      <c r="R590" s="212"/>
      <c r="S590" s="212"/>
      <c r="T590" s="212"/>
      <c r="U590" s="194"/>
      <c r="V590" s="212"/>
      <c r="W590" s="212"/>
      <c r="X590" s="212"/>
      <c r="Y590" s="212"/>
      <c r="Z590" s="194"/>
      <c r="AA590" s="212"/>
      <c r="AB590" s="212"/>
      <c r="AC590" s="212"/>
      <c r="AD590" s="212"/>
      <c r="AE590" s="194"/>
      <c r="AF590" s="212"/>
      <c r="AG590" s="212"/>
      <c r="AH590" s="212"/>
      <c r="AI590" s="212"/>
      <c r="AJ590" s="194"/>
      <c r="AK590" s="212"/>
      <c r="AL590" s="212"/>
      <c r="AM590" s="212"/>
      <c r="AN590" s="212"/>
      <c r="AO590" s="194"/>
      <c r="AP590" s="212"/>
      <c r="AQ590" s="212"/>
      <c r="AR590" s="212"/>
      <c r="AS590" s="234"/>
      <c r="AT590" s="194"/>
      <c r="AU590" s="212"/>
      <c r="AV590" s="212"/>
      <c r="AW590" s="212"/>
      <c r="AX590" s="212"/>
      <c r="AY590" s="194"/>
      <c r="AZ590" s="212"/>
      <c r="BA590" s="212"/>
      <c r="BB590" s="212"/>
      <c r="BC590" s="212"/>
      <c r="BD590" s="194"/>
      <c r="BE590" s="212"/>
      <c r="BF590" s="212"/>
      <c r="BG590" s="212"/>
      <c r="BH590" s="212"/>
      <c r="BI590" s="194"/>
      <c r="BJ590" s="212"/>
      <c r="BK590" s="212"/>
      <c r="BL590" s="212"/>
      <c r="BM590" s="212"/>
      <c r="BN590" s="194"/>
      <c r="BO590" s="212"/>
      <c r="BR590" s="212"/>
      <c r="BS590" s="194"/>
      <c r="BT590" s="212"/>
      <c r="BU590" s="212"/>
      <c r="BV590" s="212"/>
      <c r="BW590" s="212"/>
      <c r="BX590" s="194"/>
      <c r="BY590" s="212"/>
      <c r="BZ590" s="212"/>
      <c r="CA590" s="212"/>
      <c r="CB590" s="192"/>
      <c r="CC590" s="194"/>
      <c r="CD590" s="212"/>
      <c r="CE590" s="212"/>
      <c r="CF590" s="212"/>
      <c r="CG590" s="212"/>
      <c r="CH590" s="194"/>
      <c r="CI590" s="212"/>
      <c r="CJ590" s="212"/>
      <c r="CK590" s="212"/>
      <c r="CL590" s="212"/>
      <c r="CM590" s="194"/>
      <c r="CN590" s="212"/>
      <c r="CO590" s="212"/>
      <c r="CP590" s="212"/>
      <c r="CQ590" s="212"/>
      <c r="CR590" s="194"/>
      <c r="CS590" s="194"/>
      <c r="CT590" s="194"/>
      <c r="CU590" s="212"/>
      <c r="DA590" s="212"/>
      <c r="DB590" s="1226"/>
    </row>
    <row r="591" spans="1:106" x14ac:dyDescent="0.2">
      <c r="A591" s="1437" t="s">
        <v>2688</v>
      </c>
      <c r="B591" s="234"/>
      <c r="C591" s="234"/>
      <c r="D591" s="234"/>
      <c r="E591" s="234"/>
      <c r="F591" s="234"/>
      <c r="G591" s="234"/>
      <c r="H591" s="234"/>
      <c r="I591" s="234"/>
      <c r="J591" s="234"/>
      <c r="K591" s="236"/>
      <c r="L591" s="234"/>
      <c r="M591" s="234"/>
      <c r="N591" s="234"/>
      <c r="O591" s="234"/>
      <c r="P591" s="194"/>
      <c r="Q591" s="234"/>
      <c r="R591" s="234"/>
      <c r="S591" s="234"/>
      <c r="T591" s="234"/>
      <c r="U591" s="194"/>
      <c r="V591" s="234"/>
      <c r="W591" s="234"/>
      <c r="X591" s="234"/>
      <c r="Y591" s="234"/>
      <c r="Z591" s="194"/>
      <c r="AA591" s="234"/>
      <c r="AB591" s="234"/>
      <c r="AC591" s="234"/>
      <c r="AD591" s="234"/>
      <c r="AE591" s="194"/>
      <c r="AF591" s="234"/>
      <c r="AG591" s="234"/>
      <c r="AH591" s="234"/>
      <c r="AI591" s="234"/>
      <c r="AJ591" s="194"/>
      <c r="AK591" s="234"/>
      <c r="AL591" s="234"/>
      <c r="AM591" s="234"/>
      <c r="AN591" s="234"/>
      <c r="AO591" s="194"/>
      <c r="AP591" s="234"/>
      <c r="AQ591" s="234"/>
      <c r="AR591" s="234"/>
      <c r="AS591" s="234"/>
      <c r="AT591" s="194"/>
      <c r="AU591" s="234"/>
      <c r="AV591" s="234"/>
      <c r="AW591" s="234"/>
      <c r="AX591" s="234"/>
      <c r="AY591" s="194"/>
      <c r="AZ591" s="234"/>
      <c r="BA591" s="234"/>
      <c r="BB591" s="234"/>
      <c r="BC591" s="234"/>
      <c r="BD591" s="194"/>
      <c r="BE591" s="234"/>
      <c r="BF591" s="234"/>
      <c r="BG591" s="234"/>
      <c r="BH591" s="234"/>
      <c r="BI591" s="194"/>
      <c r="BJ591" s="234"/>
      <c r="BK591" s="234"/>
      <c r="BL591" s="234"/>
      <c r="BM591" s="234"/>
      <c r="BN591" s="194"/>
      <c r="BO591" s="193"/>
      <c r="BR591" s="192"/>
      <c r="BS591" s="194"/>
      <c r="BT591" s="193"/>
      <c r="BU591" s="212"/>
      <c r="BV591" s="212"/>
      <c r="BW591" s="192"/>
      <c r="BX591" s="194"/>
      <c r="BY591" s="212"/>
      <c r="BZ591" s="212"/>
      <c r="CA591" s="212"/>
      <c r="CB591" s="192"/>
      <c r="CC591" s="194"/>
      <c r="CD591" s="212"/>
      <c r="CE591" s="212"/>
      <c r="CF591" s="212"/>
      <c r="CG591" s="212"/>
      <c r="CH591" s="194"/>
      <c r="CI591" s="212"/>
      <c r="CJ591" s="212"/>
      <c r="CK591" s="212"/>
      <c r="CL591" s="212"/>
      <c r="CM591" s="194"/>
      <c r="CN591" s="212"/>
      <c r="CO591" s="212"/>
      <c r="CP591" s="212"/>
      <c r="CQ591" s="212"/>
      <c r="CR591" s="194"/>
      <c r="CS591" s="194"/>
      <c r="CT591" s="194"/>
      <c r="CU591" s="212"/>
      <c r="DA591" s="212"/>
      <c r="DB591" s="1226"/>
    </row>
    <row r="592" spans="1:106" x14ac:dyDescent="0.2">
      <c r="A592" s="2308" t="s">
        <v>2672</v>
      </c>
      <c r="B592" s="234"/>
      <c r="C592" s="234"/>
      <c r="D592" s="234"/>
      <c r="E592" s="234"/>
      <c r="F592" s="234"/>
      <c r="G592" s="234"/>
      <c r="H592" s="234"/>
      <c r="I592" s="234"/>
      <c r="J592" s="234"/>
      <c r="K592" s="236"/>
      <c r="L592" s="234"/>
      <c r="M592" s="234"/>
      <c r="N592" s="234"/>
      <c r="O592" s="234"/>
      <c r="P592" s="194"/>
      <c r="Q592" s="234"/>
      <c r="R592" s="234"/>
      <c r="S592" s="234"/>
      <c r="T592" s="234"/>
      <c r="U592" s="194"/>
      <c r="V592" s="234"/>
      <c r="W592" s="234"/>
      <c r="X592" s="234"/>
      <c r="Y592" s="234"/>
      <c r="Z592" s="194"/>
      <c r="AA592" s="234"/>
      <c r="AB592" s="234"/>
      <c r="AC592" s="234"/>
      <c r="AD592" s="234"/>
      <c r="AE592" s="194"/>
      <c r="AF592" s="234"/>
      <c r="AG592" s="234"/>
      <c r="AH592" s="234"/>
      <c r="AI592" s="234"/>
      <c r="AJ592" s="194"/>
      <c r="AK592" s="234"/>
      <c r="AL592" s="234"/>
      <c r="AM592" s="234"/>
      <c r="AN592" s="234"/>
      <c r="AO592" s="194"/>
      <c r="AP592" s="234"/>
      <c r="AQ592" s="234"/>
      <c r="AR592" s="234"/>
      <c r="AS592" s="234"/>
      <c r="AT592" s="194"/>
      <c r="AU592" s="234"/>
      <c r="AV592" s="234"/>
      <c r="AW592" s="234"/>
      <c r="AX592" s="234"/>
      <c r="AY592" s="194"/>
      <c r="AZ592" s="234"/>
      <c r="BA592" s="234"/>
      <c r="BB592" s="234"/>
      <c r="BC592" s="234"/>
      <c r="BD592" s="194"/>
      <c r="BE592" s="234"/>
      <c r="BF592" s="234"/>
      <c r="BG592" s="234"/>
      <c r="BH592" s="234"/>
      <c r="BI592" s="194"/>
      <c r="BJ592" s="234"/>
      <c r="BK592" s="234"/>
      <c r="BL592" s="234"/>
      <c r="BM592" s="234"/>
      <c r="BN592" s="194"/>
      <c r="BO592" s="193"/>
      <c r="BR592" s="192"/>
      <c r="BS592" s="194"/>
      <c r="BT592" s="193"/>
      <c r="BU592" s="212"/>
      <c r="BV592" s="212"/>
      <c r="BW592" s="192"/>
      <c r="BX592" s="194"/>
      <c r="BY592" s="212"/>
      <c r="BZ592" s="212"/>
      <c r="CA592" s="212"/>
      <c r="CB592" s="192"/>
      <c r="CC592" s="194"/>
      <c r="CD592" s="1214">
        <v>2.3E-2</v>
      </c>
      <c r="CE592" s="1214">
        <v>2.1999999999999999E-2</v>
      </c>
      <c r="CF592" s="1214">
        <v>2.1000000000000001E-2</v>
      </c>
      <c r="CG592" s="1214">
        <v>6.0000000000000001E-3</v>
      </c>
      <c r="CH592" s="2642">
        <v>1.7999999999999999E-2</v>
      </c>
      <c r="CI592" s="1214">
        <v>2.4E-2</v>
      </c>
      <c r="CJ592" s="1214">
        <v>8.9999999999999993E-3</v>
      </c>
      <c r="CK592" s="1214">
        <v>-1E-3</v>
      </c>
      <c r="CL592" s="1214">
        <v>0.01</v>
      </c>
      <c r="CM592" s="2642">
        <v>1.4E-2</v>
      </c>
      <c r="CN592" s="1214"/>
      <c r="CO592" s="1214"/>
      <c r="CP592" s="212"/>
      <c r="CQ592" s="212"/>
      <c r="CR592" s="194"/>
      <c r="CS592" s="194"/>
      <c r="CT592" s="194"/>
      <c r="CU592" s="212"/>
      <c r="DA592" s="212"/>
      <c r="DB592" s="1226"/>
    </row>
    <row r="593" spans="1:106" x14ac:dyDescent="0.2">
      <c r="A593" s="1945" t="s">
        <v>821</v>
      </c>
      <c r="B593" s="234"/>
      <c r="C593" s="234"/>
      <c r="D593" s="234"/>
      <c r="E593" s="234"/>
      <c r="F593" s="234"/>
      <c r="G593" s="234"/>
      <c r="H593" s="234"/>
      <c r="I593" s="234"/>
      <c r="J593" s="234"/>
      <c r="K593" s="236"/>
      <c r="L593" s="234"/>
      <c r="M593" s="234"/>
      <c r="N593" s="234"/>
      <c r="O593" s="234"/>
      <c r="P593" s="194"/>
      <c r="Q593" s="234"/>
      <c r="R593" s="234"/>
      <c r="S593" s="234"/>
      <c r="T593" s="234"/>
      <c r="U593" s="194"/>
      <c r="V593" s="234"/>
      <c r="W593" s="234"/>
      <c r="X593" s="234"/>
      <c r="Y593" s="234"/>
      <c r="Z593" s="194"/>
      <c r="AA593" s="234"/>
      <c r="AB593" s="234"/>
      <c r="AC593" s="234"/>
      <c r="AD593" s="234"/>
      <c r="AE593" s="194"/>
      <c r="AF593" s="234"/>
      <c r="AG593" s="234"/>
      <c r="AH593" s="234"/>
      <c r="AI593" s="234"/>
      <c r="AJ593" s="194"/>
      <c r="AK593" s="234"/>
      <c r="AL593" s="234"/>
      <c r="AM593" s="234"/>
      <c r="AN593" s="234"/>
      <c r="AO593" s="194"/>
      <c r="AP593" s="234"/>
      <c r="AQ593" s="234"/>
      <c r="AR593" s="234"/>
      <c r="AS593" s="234"/>
      <c r="AT593" s="194"/>
      <c r="AU593" s="234"/>
      <c r="AV593" s="234"/>
      <c r="AW593" s="234"/>
      <c r="AX593" s="234"/>
      <c r="AY593" s="194"/>
      <c r="AZ593" s="234"/>
      <c r="BA593" s="234"/>
      <c r="BB593" s="234"/>
      <c r="BC593" s="234"/>
      <c r="BD593" s="194"/>
      <c r="BE593" s="234"/>
      <c r="BF593" s="234"/>
      <c r="BG593" s="234"/>
      <c r="BH593" s="234"/>
      <c r="BI593" s="194"/>
      <c r="BJ593" s="234"/>
      <c r="BK593" s="234"/>
      <c r="BL593" s="234"/>
      <c r="BM593" s="234"/>
      <c r="BN593" s="194"/>
      <c r="BO593" s="193"/>
      <c r="BR593" s="192"/>
      <c r="BS593" s="194"/>
      <c r="BT593" s="193"/>
      <c r="BU593" s="212"/>
      <c r="BV593" s="212"/>
      <c r="BW593" s="192"/>
      <c r="BX593" s="194"/>
      <c r="BY593" s="212"/>
      <c r="BZ593" s="212"/>
      <c r="CA593" s="212"/>
      <c r="CB593" s="192"/>
      <c r="CC593" s="194"/>
      <c r="CD593" s="1214">
        <v>3.3000000000000002E-2</v>
      </c>
      <c r="CE593" s="1214">
        <v>2E-3</v>
      </c>
      <c r="CF593" s="1214">
        <v>2.7E-2</v>
      </c>
      <c r="CG593" s="1214">
        <v>2.1000000000000001E-2</v>
      </c>
      <c r="CH593" s="1952">
        <v>2.1999999999999999E-2</v>
      </c>
      <c r="CI593" s="1214">
        <v>-3.0000000000000001E-3</v>
      </c>
      <c r="CJ593" s="1214">
        <v>3.2000000000000001E-2</v>
      </c>
      <c r="CK593" s="1214">
        <v>1.7999999999999999E-2</v>
      </c>
      <c r="CL593" s="1214">
        <v>1.7999999999999999E-2</v>
      </c>
      <c r="CM593" s="1952">
        <v>1.7999999999999999E-2</v>
      </c>
      <c r="CN593" s="1214"/>
      <c r="CO593" s="1214"/>
      <c r="CP593" s="212"/>
      <c r="CQ593" s="212"/>
      <c r="CR593" s="194"/>
      <c r="CS593" s="194"/>
      <c r="CT593" s="194"/>
      <c r="CU593" s="212"/>
      <c r="DA593" s="212"/>
      <c r="DB593" s="1226"/>
    </row>
    <row r="594" spans="1:106" x14ac:dyDescent="0.2">
      <c r="A594" s="3391" t="s">
        <v>2671</v>
      </c>
      <c r="B594" s="234"/>
      <c r="C594" s="234"/>
      <c r="D594" s="234"/>
      <c r="E594" s="234"/>
      <c r="F594" s="234"/>
      <c r="G594" s="234"/>
      <c r="H594" s="234"/>
      <c r="I594" s="234"/>
      <c r="J594" s="234"/>
      <c r="K594" s="236"/>
      <c r="L594" s="234"/>
      <c r="M594" s="234"/>
      <c r="N594" s="234"/>
      <c r="O594" s="234"/>
      <c r="P594" s="194"/>
      <c r="Q594" s="234"/>
      <c r="R594" s="234"/>
      <c r="S594" s="234"/>
      <c r="T594" s="234"/>
      <c r="U594" s="194"/>
      <c r="V594" s="234"/>
      <c r="W594" s="234"/>
      <c r="X594" s="234"/>
      <c r="Y594" s="234"/>
      <c r="Z594" s="194"/>
      <c r="AA594" s="234"/>
      <c r="AB594" s="234"/>
      <c r="AC594" s="234"/>
      <c r="AD594" s="234"/>
      <c r="AE594" s="194"/>
      <c r="AF594" s="234"/>
      <c r="AG594" s="234"/>
      <c r="AH594" s="234"/>
      <c r="AI594" s="234"/>
      <c r="AJ594" s="194"/>
      <c r="AK594" s="234"/>
      <c r="AL594" s="234"/>
      <c r="AM594" s="234"/>
      <c r="AN594" s="234"/>
      <c r="AO594" s="194"/>
      <c r="AP594" s="234"/>
      <c r="AQ594" s="234"/>
      <c r="AR594" s="234"/>
      <c r="AS594" s="234"/>
      <c r="AT594" s="194"/>
      <c r="AU594" s="234"/>
      <c r="AV594" s="234"/>
      <c r="AW594" s="234"/>
      <c r="AX594" s="234"/>
      <c r="AY594" s="194"/>
      <c r="AZ594" s="234"/>
      <c r="BA594" s="234"/>
      <c r="BB594" s="234"/>
      <c r="BC594" s="234"/>
      <c r="BD594" s="194"/>
      <c r="BE594" s="234"/>
      <c r="BF594" s="234"/>
      <c r="BG594" s="234"/>
      <c r="BH594" s="234"/>
      <c r="BI594" s="194"/>
      <c r="BJ594" s="234"/>
      <c r="BK594" s="234"/>
      <c r="BL594" s="234"/>
      <c r="BM594" s="234"/>
      <c r="BN594" s="194"/>
      <c r="BO594" s="193"/>
      <c r="BR594" s="192"/>
      <c r="BS594" s="194"/>
      <c r="BT594" s="193"/>
      <c r="BU594" s="212"/>
      <c r="BV594" s="212"/>
      <c r="BW594" s="192"/>
      <c r="BX594" s="194"/>
      <c r="BY594" s="212"/>
      <c r="BZ594" s="212"/>
      <c r="CA594" s="212"/>
      <c r="CB594" s="192"/>
      <c r="CC594" s="194"/>
      <c r="CD594" s="1214">
        <v>-3.7999999999999999E-2</v>
      </c>
      <c r="CE594" s="1214">
        <v>-2.3E-2</v>
      </c>
      <c r="CF594" s="1214">
        <v>-1.9E-2</v>
      </c>
      <c r="CG594" s="1214">
        <v>-0.02</v>
      </c>
      <c r="CH594" s="1952">
        <v>-2.5000000000000001E-2</v>
      </c>
      <c r="CI594" s="1214">
        <v>0</v>
      </c>
      <c r="CJ594" s="1214">
        <v>-2E-3</v>
      </c>
      <c r="CK594" s="1214">
        <v>-2.5999999999999999E-2</v>
      </c>
      <c r="CL594" s="1214">
        <v>3.0000000000000001E-3</v>
      </c>
      <c r="CM594" s="1952">
        <v>-7.0000000000000001E-3</v>
      </c>
      <c r="CN594" s="1214"/>
      <c r="CO594" s="1214"/>
      <c r="CP594" s="212"/>
      <c r="CQ594" s="212"/>
      <c r="CR594" s="194"/>
      <c r="CS594" s="194"/>
      <c r="CT594" s="194"/>
      <c r="CU594" s="212"/>
      <c r="DA594" s="212"/>
      <c r="DB594" s="1226"/>
    </row>
    <row r="595" spans="1:106" x14ac:dyDescent="0.2">
      <c r="A595" s="2014" t="s">
        <v>2673</v>
      </c>
      <c r="B595" s="234"/>
      <c r="C595" s="234"/>
      <c r="D595" s="234"/>
      <c r="E595" s="234"/>
      <c r="F595" s="234"/>
      <c r="G595" s="234"/>
      <c r="H595" s="234"/>
      <c r="I595" s="234"/>
      <c r="J595" s="234"/>
      <c r="K595" s="236"/>
      <c r="L595" s="234"/>
      <c r="M595" s="234"/>
      <c r="N595" s="234"/>
      <c r="O595" s="234"/>
      <c r="P595" s="194"/>
      <c r="Q595" s="234"/>
      <c r="R595" s="234"/>
      <c r="S595" s="234"/>
      <c r="T595" s="234"/>
      <c r="U595" s="194"/>
      <c r="V595" s="234"/>
      <c r="W595" s="234"/>
      <c r="X595" s="234"/>
      <c r="Y595" s="234"/>
      <c r="Z595" s="194"/>
      <c r="AA595" s="234"/>
      <c r="AB595" s="234"/>
      <c r="AC595" s="234"/>
      <c r="AD595" s="234"/>
      <c r="AE595" s="194"/>
      <c r="AF595" s="234"/>
      <c r="AG595" s="234"/>
      <c r="AH595" s="234"/>
      <c r="AI595" s="234"/>
      <c r="AJ595" s="194"/>
      <c r="AK595" s="234"/>
      <c r="AL595" s="234"/>
      <c r="AM595" s="234"/>
      <c r="AN595" s="234"/>
      <c r="AO595" s="194"/>
      <c r="AP595" s="234"/>
      <c r="AQ595" s="234"/>
      <c r="AR595" s="234"/>
      <c r="AS595" s="234"/>
      <c r="AT595" s="194"/>
      <c r="AU595" s="234"/>
      <c r="AV595" s="234"/>
      <c r="AW595" s="234"/>
      <c r="AX595" s="234"/>
      <c r="AY595" s="194"/>
      <c r="AZ595" s="234"/>
      <c r="BA595" s="234"/>
      <c r="BB595" s="234"/>
      <c r="BC595" s="234"/>
      <c r="BD595" s="194"/>
      <c r="BE595" s="234"/>
      <c r="BF595" s="234"/>
      <c r="BG595" s="234"/>
      <c r="BH595" s="234"/>
      <c r="BI595" s="194"/>
      <c r="BJ595" s="234"/>
      <c r="BK595" s="234"/>
      <c r="BL595" s="234"/>
      <c r="BM595" s="234"/>
      <c r="BN595" s="194"/>
      <c r="BO595" s="193"/>
      <c r="BR595" s="192"/>
      <c r="BS595" s="194"/>
      <c r="BT595" s="193"/>
      <c r="BU595" s="212"/>
      <c r="BV595" s="212"/>
      <c r="BW595" s="192"/>
      <c r="BX595" s="194"/>
      <c r="BY595" s="212"/>
      <c r="BZ595" s="212"/>
      <c r="CA595" s="212"/>
      <c r="CB595" s="192"/>
      <c r="CC595" s="194"/>
      <c r="CD595" s="1625">
        <v>1.7999999999999999E-2</v>
      </c>
      <c r="CE595" s="1625">
        <v>8.0000000000000002E-3</v>
      </c>
      <c r="CF595" s="1625">
        <v>1.4999999999999999E-2</v>
      </c>
      <c r="CG595" s="1625">
        <v>7.0000000000000001E-3</v>
      </c>
      <c r="CH595" s="2249">
        <v>1.2E-2</v>
      </c>
      <c r="CI595" s="1625">
        <v>1.0999999999999999E-2</v>
      </c>
      <c r="CJ595" s="1625">
        <v>1.2E-2</v>
      </c>
      <c r="CK595" s="1625">
        <v>2E-3</v>
      </c>
      <c r="CL595" s="1625">
        <v>1.9E-2</v>
      </c>
      <c r="CM595" s="2249">
        <v>1.2E-2</v>
      </c>
      <c r="CN595" s="1625"/>
      <c r="CO595" s="1625"/>
      <c r="CP595" s="212"/>
      <c r="CQ595" s="212"/>
      <c r="CR595" s="194"/>
      <c r="CS595" s="194"/>
      <c r="CT595" s="194"/>
      <c r="CU595" s="212"/>
      <c r="DA595" s="212"/>
      <c r="DB595" s="1226"/>
    </row>
    <row r="596" spans="1:106" x14ac:dyDescent="0.2">
      <c r="A596" s="1945" t="s">
        <v>819</v>
      </c>
      <c r="B596" s="234"/>
      <c r="C596" s="234"/>
      <c r="D596" s="234"/>
      <c r="E596" s="234"/>
      <c r="F596" s="234"/>
      <c r="G596" s="234"/>
      <c r="H596" s="234"/>
      <c r="I596" s="234"/>
      <c r="J596" s="234"/>
      <c r="K596" s="236"/>
      <c r="L596" s="234"/>
      <c r="M596" s="234"/>
      <c r="N596" s="234"/>
      <c r="O596" s="234"/>
      <c r="P596" s="194"/>
      <c r="Q596" s="234"/>
      <c r="R596" s="234"/>
      <c r="S596" s="234"/>
      <c r="T596" s="234"/>
      <c r="U596" s="194"/>
      <c r="V596" s="234"/>
      <c r="W596" s="234"/>
      <c r="X596" s="234"/>
      <c r="Y596" s="234"/>
      <c r="Z596" s="194"/>
      <c r="AA596" s="234"/>
      <c r="AB596" s="234"/>
      <c r="AC596" s="234"/>
      <c r="AD596" s="234"/>
      <c r="AE596" s="194"/>
      <c r="AF596" s="234"/>
      <c r="AG596" s="234"/>
      <c r="AH596" s="234"/>
      <c r="AI596" s="234"/>
      <c r="AJ596" s="194"/>
      <c r="AK596" s="234"/>
      <c r="AL596" s="234"/>
      <c r="AM596" s="234"/>
      <c r="AN596" s="234"/>
      <c r="AO596" s="194"/>
      <c r="AP596" s="234"/>
      <c r="AQ596" s="234"/>
      <c r="AR596" s="234"/>
      <c r="AS596" s="234"/>
      <c r="AT596" s="194"/>
      <c r="AU596" s="234"/>
      <c r="AV596" s="234"/>
      <c r="AW596" s="234"/>
      <c r="AX596" s="234"/>
      <c r="AY596" s="194"/>
      <c r="AZ596" s="234"/>
      <c r="BA596" s="234"/>
      <c r="BB596" s="234"/>
      <c r="BC596" s="234"/>
      <c r="BD596" s="194"/>
      <c r="BE596" s="234"/>
      <c r="BF596" s="234"/>
      <c r="BG596" s="234"/>
      <c r="BH596" s="234"/>
      <c r="BI596" s="194"/>
      <c r="BJ596" s="234"/>
      <c r="BK596" s="234"/>
      <c r="BL596" s="234"/>
      <c r="BM596" s="234"/>
      <c r="BN596" s="194"/>
      <c r="BO596" s="193"/>
      <c r="BR596" s="192"/>
      <c r="BS596" s="194"/>
      <c r="BT596" s="193"/>
      <c r="BU596" s="212"/>
      <c r="BV596" s="212"/>
      <c r="BW596" s="192"/>
      <c r="BX596" s="194"/>
      <c r="BY596" s="212"/>
      <c r="BZ596" s="212"/>
      <c r="CA596" s="212"/>
      <c r="CB596" s="192"/>
      <c r="CC596" s="194"/>
      <c r="CD596" s="1214">
        <v>2.4E-2</v>
      </c>
      <c r="CE596" s="1214">
        <v>1.4999999999999999E-2</v>
      </c>
      <c r="CF596" s="1214">
        <v>2.1999999999999999E-2</v>
      </c>
      <c r="CG596" s="1214">
        <v>-2E-3</v>
      </c>
      <c r="CH596" s="1952">
        <v>1.4999999999999999E-2</v>
      </c>
      <c r="CI596" s="1214">
        <v>1.0999999999999999E-2</v>
      </c>
      <c r="CJ596" s="1214">
        <v>8.0000000000000002E-3</v>
      </c>
      <c r="CK596" s="1214">
        <v>4.0000000000000001E-3</v>
      </c>
      <c r="CL596" s="1214">
        <v>2.5999999999999999E-2</v>
      </c>
      <c r="CM596" s="1952">
        <v>1.2E-2</v>
      </c>
      <c r="CN596" s="1214"/>
      <c r="CO596" s="1214"/>
      <c r="CP596" s="212"/>
      <c r="CQ596" s="212"/>
      <c r="CR596" s="194"/>
      <c r="CS596" s="194"/>
      <c r="CT596" s="194"/>
      <c r="CU596" s="212"/>
      <c r="DA596" s="212"/>
      <c r="DB596" s="1226"/>
    </row>
    <row r="597" spans="1:106" x14ac:dyDescent="0.2">
      <c r="A597" s="3391" t="s">
        <v>2674</v>
      </c>
      <c r="B597" s="234"/>
      <c r="C597" s="234"/>
      <c r="D597" s="234"/>
      <c r="E597" s="234"/>
      <c r="F597" s="234"/>
      <c r="G597" s="234"/>
      <c r="H597" s="234"/>
      <c r="I597" s="234"/>
      <c r="J597" s="234"/>
      <c r="K597" s="236"/>
      <c r="L597" s="234"/>
      <c r="M597" s="234"/>
      <c r="N597" s="234"/>
      <c r="O597" s="234"/>
      <c r="P597" s="194"/>
      <c r="Q597" s="234"/>
      <c r="R597" s="234"/>
      <c r="S597" s="234"/>
      <c r="T597" s="234"/>
      <c r="U597" s="194"/>
      <c r="V597" s="234"/>
      <c r="W597" s="234"/>
      <c r="X597" s="234"/>
      <c r="Y597" s="234"/>
      <c r="Z597" s="194"/>
      <c r="AA597" s="234"/>
      <c r="AB597" s="234"/>
      <c r="AC597" s="234"/>
      <c r="AD597" s="234"/>
      <c r="AE597" s="194"/>
      <c r="AF597" s="234"/>
      <c r="AG597" s="234"/>
      <c r="AH597" s="234"/>
      <c r="AI597" s="234"/>
      <c r="AJ597" s="194"/>
      <c r="AK597" s="234"/>
      <c r="AL597" s="234"/>
      <c r="AM597" s="234"/>
      <c r="AN597" s="234"/>
      <c r="AO597" s="194"/>
      <c r="AP597" s="234"/>
      <c r="AQ597" s="234"/>
      <c r="AR597" s="234"/>
      <c r="AS597" s="234"/>
      <c r="AT597" s="194"/>
      <c r="AU597" s="234"/>
      <c r="AV597" s="234"/>
      <c r="AW597" s="234"/>
      <c r="AX597" s="234"/>
      <c r="AY597" s="194"/>
      <c r="AZ597" s="234"/>
      <c r="BA597" s="234"/>
      <c r="BB597" s="234"/>
      <c r="BC597" s="234"/>
      <c r="BD597" s="194"/>
      <c r="BE597" s="234"/>
      <c r="BF597" s="234"/>
      <c r="BG597" s="234"/>
      <c r="BH597" s="234"/>
      <c r="BI597" s="194"/>
      <c r="BJ597" s="234"/>
      <c r="BK597" s="234"/>
      <c r="BL597" s="234"/>
      <c r="BM597" s="234"/>
      <c r="BN597" s="194"/>
      <c r="BO597" s="193"/>
      <c r="BR597" s="192"/>
      <c r="BS597" s="194"/>
      <c r="BT597" s="193"/>
      <c r="BU597" s="212"/>
      <c r="BV597" s="212"/>
      <c r="BW597" s="192"/>
      <c r="BX597" s="194"/>
      <c r="BY597" s="212"/>
      <c r="BZ597" s="212"/>
      <c r="CA597" s="212"/>
      <c r="CB597" s="192"/>
      <c r="CC597" s="194"/>
      <c r="CD597" s="1214">
        <v>1.6E-2</v>
      </c>
      <c r="CE597" s="1214">
        <v>1.4999999999999999E-2</v>
      </c>
      <c r="CF597" s="1214">
        <v>2.9000000000000001E-2</v>
      </c>
      <c r="CG597" s="1214">
        <v>0.02</v>
      </c>
      <c r="CH597" s="1952">
        <v>0.02</v>
      </c>
      <c r="CI597" s="1214">
        <v>1.7999999999999999E-2</v>
      </c>
      <c r="CJ597" s="1214">
        <v>1.4999999999999999E-2</v>
      </c>
      <c r="CK597" s="1214">
        <v>1E-3</v>
      </c>
      <c r="CL597" s="1214">
        <v>2.1000000000000001E-2</v>
      </c>
      <c r="CM597" s="1952">
        <v>1.4E-2</v>
      </c>
      <c r="CN597" s="1214"/>
      <c r="CO597" s="1214"/>
      <c r="CP597" s="212"/>
      <c r="CQ597" s="212"/>
      <c r="CR597" s="194"/>
      <c r="CS597" s="194"/>
      <c r="CT597" s="194"/>
      <c r="CU597" s="212"/>
      <c r="DA597" s="212"/>
      <c r="DB597" s="1226"/>
    </row>
    <row r="598" spans="1:106" x14ac:dyDescent="0.2">
      <c r="A598" s="3391" t="s">
        <v>2675</v>
      </c>
      <c r="B598" s="234"/>
      <c r="C598" s="234"/>
      <c r="D598" s="234"/>
      <c r="E598" s="234"/>
      <c r="F598" s="234"/>
      <c r="G598" s="234"/>
      <c r="H598" s="234"/>
      <c r="I598" s="234"/>
      <c r="J598" s="234"/>
      <c r="K598" s="236"/>
      <c r="L598" s="234"/>
      <c r="M598" s="234"/>
      <c r="N598" s="234"/>
      <c r="O598" s="234"/>
      <c r="P598" s="194"/>
      <c r="Q598" s="234"/>
      <c r="R598" s="234"/>
      <c r="S598" s="234"/>
      <c r="T598" s="234"/>
      <c r="U598" s="194"/>
      <c r="V598" s="234"/>
      <c r="W598" s="234"/>
      <c r="X598" s="234"/>
      <c r="Y598" s="234"/>
      <c r="Z598" s="194"/>
      <c r="AA598" s="234"/>
      <c r="AB598" s="234"/>
      <c r="AC598" s="234"/>
      <c r="AD598" s="234"/>
      <c r="AE598" s="194"/>
      <c r="AF598" s="234"/>
      <c r="AG598" s="234"/>
      <c r="AH598" s="234"/>
      <c r="AI598" s="234"/>
      <c r="AJ598" s="194"/>
      <c r="AK598" s="234"/>
      <c r="AL598" s="234"/>
      <c r="AM598" s="234"/>
      <c r="AN598" s="234"/>
      <c r="AO598" s="194"/>
      <c r="AP598" s="234"/>
      <c r="AQ598" s="234"/>
      <c r="AR598" s="234"/>
      <c r="AS598" s="234"/>
      <c r="AT598" s="194"/>
      <c r="AU598" s="234"/>
      <c r="AV598" s="234"/>
      <c r="AW598" s="234"/>
      <c r="AX598" s="234"/>
      <c r="AY598" s="194"/>
      <c r="AZ598" s="234"/>
      <c r="BA598" s="234"/>
      <c r="BB598" s="234"/>
      <c r="BC598" s="234"/>
      <c r="BD598" s="194"/>
      <c r="BE598" s="234"/>
      <c r="BF598" s="234"/>
      <c r="BG598" s="234"/>
      <c r="BH598" s="234"/>
      <c r="BI598" s="194"/>
      <c r="BJ598" s="234"/>
      <c r="BK598" s="234"/>
      <c r="BL598" s="234"/>
      <c r="BM598" s="234"/>
      <c r="BN598" s="194"/>
      <c r="BO598" s="193"/>
      <c r="BR598" s="192"/>
      <c r="BS598" s="194"/>
      <c r="BT598" s="193"/>
      <c r="BU598" s="212"/>
      <c r="BV598" s="212"/>
      <c r="BW598" s="192"/>
      <c r="BX598" s="194"/>
      <c r="BY598" s="212"/>
      <c r="BZ598" s="212"/>
      <c r="CA598" s="212"/>
      <c r="CB598" s="192"/>
      <c r="CC598" s="194"/>
      <c r="CD598" s="1214">
        <v>2.5000000000000001E-2</v>
      </c>
      <c r="CE598" s="1214">
        <v>2.1000000000000001E-2</v>
      </c>
      <c r="CF598" s="1214">
        <v>0.03</v>
      </c>
      <c r="CG598" s="1214">
        <v>1.4999999999999999E-2</v>
      </c>
      <c r="CH598" s="1952">
        <v>2.3E-2</v>
      </c>
      <c r="CI598" s="1214">
        <v>3.4000000000000002E-2</v>
      </c>
      <c r="CJ598" s="1214">
        <v>2.1999999999999999E-2</v>
      </c>
      <c r="CK598" s="1214">
        <v>8.9999999999999993E-3</v>
      </c>
      <c r="CL598" s="1214">
        <v>1.7000000000000001E-2</v>
      </c>
      <c r="CM598" s="1952">
        <v>0.02</v>
      </c>
      <c r="CN598" s="1214"/>
      <c r="CO598" s="1214"/>
      <c r="CP598" s="212"/>
      <c r="CQ598" s="212"/>
      <c r="CR598" s="194"/>
      <c r="CS598" s="194"/>
      <c r="CT598" s="194"/>
      <c r="CU598" s="212"/>
      <c r="DA598" s="212"/>
      <c r="DB598" s="1226"/>
    </row>
    <row r="599" spans="1:106" x14ac:dyDescent="0.2">
      <c r="A599" s="2014" t="s">
        <v>2676</v>
      </c>
      <c r="B599" s="234"/>
      <c r="C599" s="234"/>
      <c r="D599" s="234"/>
      <c r="E599" s="234"/>
      <c r="F599" s="234"/>
      <c r="G599" s="234"/>
      <c r="H599" s="234"/>
      <c r="I599" s="234"/>
      <c r="J599" s="234"/>
      <c r="K599" s="236"/>
      <c r="L599" s="234"/>
      <c r="M599" s="234"/>
      <c r="N599" s="234"/>
      <c r="O599" s="234"/>
      <c r="P599" s="194"/>
      <c r="Q599" s="234"/>
      <c r="R599" s="234"/>
      <c r="S599" s="234"/>
      <c r="T599" s="234"/>
      <c r="U599" s="194"/>
      <c r="V599" s="234"/>
      <c r="W599" s="234"/>
      <c r="X599" s="234"/>
      <c r="Y599" s="234"/>
      <c r="Z599" s="194"/>
      <c r="AA599" s="234"/>
      <c r="AB599" s="234"/>
      <c r="AC599" s="234"/>
      <c r="AD599" s="234"/>
      <c r="AE599" s="194"/>
      <c r="AF599" s="234"/>
      <c r="AG599" s="234"/>
      <c r="AH599" s="234"/>
      <c r="AI599" s="234"/>
      <c r="AJ599" s="194"/>
      <c r="AK599" s="234"/>
      <c r="AL599" s="234"/>
      <c r="AM599" s="234"/>
      <c r="AN599" s="234"/>
      <c r="AO599" s="194"/>
      <c r="AP599" s="234"/>
      <c r="AQ599" s="234"/>
      <c r="AR599" s="234"/>
      <c r="AS599" s="234"/>
      <c r="AT599" s="194"/>
      <c r="AU599" s="234"/>
      <c r="AV599" s="234"/>
      <c r="AW599" s="234"/>
      <c r="AX599" s="234"/>
      <c r="AY599" s="194"/>
      <c r="AZ599" s="234"/>
      <c r="BA599" s="234"/>
      <c r="BB599" s="234"/>
      <c r="BC599" s="234"/>
      <c r="BD599" s="194"/>
      <c r="BE599" s="234"/>
      <c r="BF599" s="234"/>
      <c r="BG599" s="234"/>
      <c r="BH599" s="234"/>
      <c r="BI599" s="194"/>
      <c r="BJ599" s="234"/>
      <c r="BK599" s="234"/>
      <c r="BL599" s="234"/>
      <c r="BM599" s="234"/>
      <c r="BN599" s="194"/>
      <c r="BO599" s="193"/>
      <c r="BR599" s="192"/>
      <c r="BS599" s="194"/>
      <c r="BT599" s="193"/>
      <c r="BU599" s="212"/>
      <c r="BV599" s="212"/>
      <c r="BW599" s="192"/>
      <c r="BX599" s="194"/>
      <c r="BY599" s="212"/>
      <c r="BZ599" s="212"/>
      <c r="CA599" s="212"/>
      <c r="CB599" s="192"/>
      <c r="CC599" s="194"/>
      <c r="CD599" s="1625">
        <v>2.1999999999999999E-2</v>
      </c>
      <c r="CE599" s="1625">
        <v>1.7999999999999999E-2</v>
      </c>
      <c r="CF599" s="1625">
        <v>2.7E-2</v>
      </c>
      <c r="CG599" s="1625">
        <v>8.9999999999999993E-3</v>
      </c>
      <c r="CH599" s="2249">
        <v>1.9E-2</v>
      </c>
      <c r="CI599" s="1625">
        <v>0.02</v>
      </c>
      <c r="CJ599" s="1625">
        <v>1.4E-2</v>
      </c>
      <c r="CK599" s="1625">
        <v>5.0000000000000001E-3</v>
      </c>
      <c r="CL599" s="1625">
        <v>2.3E-2</v>
      </c>
      <c r="CM599" s="2249">
        <v>1.4999999999999999E-2</v>
      </c>
      <c r="CN599" s="1625"/>
      <c r="CO599" s="1625"/>
      <c r="CP599" s="212"/>
      <c r="CQ599" s="212"/>
      <c r="CR599" s="194"/>
      <c r="CS599" s="194"/>
      <c r="CT599" s="194"/>
      <c r="CU599" s="212"/>
      <c r="DA599" s="212"/>
      <c r="DB599" s="1226"/>
    </row>
    <row r="600" spans="1:106" x14ac:dyDescent="0.2">
      <c r="A600" s="2014" t="s">
        <v>50</v>
      </c>
      <c r="B600" s="234"/>
      <c r="C600" s="234"/>
      <c r="D600" s="234"/>
      <c r="E600" s="234"/>
      <c r="F600" s="234"/>
      <c r="G600" s="234"/>
      <c r="H600" s="234"/>
      <c r="I600" s="234"/>
      <c r="J600" s="234"/>
      <c r="K600" s="236"/>
      <c r="L600" s="234"/>
      <c r="M600" s="234"/>
      <c r="N600" s="234"/>
      <c r="O600" s="234"/>
      <c r="P600" s="194"/>
      <c r="Q600" s="234"/>
      <c r="R600" s="234"/>
      <c r="S600" s="234"/>
      <c r="T600" s="234"/>
      <c r="U600" s="194"/>
      <c r="V600" s="234"/>
      <c r="W600" s="234"/>
      <c r="X600" s="234"/>
      <c r="Y600" s="234"/>
      <c r="Z600" s="194"/>
      <c r="AA600" s="234"/>
      <c r="AB600" s="234"/>
      <c r="AC600" s="234"/>
      <c r="AD600" s="234"/>
      <c r="AE600" s="194"/>
      <c r="AF600" s="234"/>
      <c r="AG600" s="234"/>
      <c r="AH600" s="234"/>
      <c r="AI600" s="234"/>
      <c r="AJ600" s="194"/>
      <c r="AK600" s="234"/>
      <c r="AL600" s="234"/>
      <c r="AM600" s="234"/>
      <c r="AN600" s="234"/>
      <c r="AO600" s="194"/>
      <c r="AP600" s="234"/>
      <c r="AQ600" s="234"/>
      <c r="AR600" s="234"/>
      <c r="AS600" s="234"/>
      <c r="AT600" s="194"/>
      <c r="AU600" s="234"/>
      <c r="AV600" s="234"/>
      <c r="AW600" s="234"/>
      <c r="AX600" s="234"/>
      <c r="AY600" s="194"/>
      <c r="AZ600" s="234"/>
      <c r="BA600" s="234"/>
      <c r="BB600" s="234"/>
      <c r="BC600" s="234"/>
      <c r="BD600" s="194"/>
      <c r="BE600" s="234"/>
      <c r="BF600" s="234"/>
      <c r="BG600" s="234"/>
      <c r="BH600" s="234"/>
      <c r="BI600" s="194"/>
      <c r="BJ600" s="234"/>
      <c r="BK600" s="234"/>
      <c r="BL600" s="234"/>
      <c r="BM600" s="234"/>
      <c r="BN600" s="194"/>
      <c r="BO600" s="193"/>
      <c r="BR600" s="192"/>
      <c r="BS600" s="194"/>
      <c r="BT600" s="193"/>
      <c r="BU600" s="212"/>
      <c r="BV600" s="212"/>
      <c r="BW600" s="192"/>
      <c r="BX600" s="194"/>
      <c r="BY600" s="212"/>
      <c r="BZ600" s="212"/>
      <c r="CA600" s="212"/>
      <c r="CB600" s="192"/>
      <c r="CC600" s="194"/>
      <c r="CD600" s="2247">
        <v>2.3E-2</v>
      </c>
      <c r="CE600" s="2247">
        <v>1.6E-2</v>
      </c>
      <c r="CF600" s="2247">
        <v>2.5000000000000001E-2</v>
      </c>
      <c r="CG600" s="1625">
        <v>0.01</v>
      </c>
      <c r="CH600" s="2249">
        <v>1.9E-2</v>
      </c>
      <c r="CI600" s="1625">
        <v>1.9E-2</v>
      </c>
      <c r="CJ600" s="1625">
        <v>1.4999999999999999E-2</v>
      </c>
      <c r="CK600" s="1625">
        <v>5.0000000000000001E-3</v>
      </c>
      <c r="CL600" s="1625">
        <v>2.3E-2</v>
      </c>
      <c r="CM600" s="2249">
        <v>1.6E-2</v>
      </c>
      <c r="CN600" s="1625"/>
      <c r="CO600" s="1625"/>
      <c r="CP600" s="212"/>
      <c r="CQ600" s="212"/>
      <c r="CR600" s="194"/>
      <c r="CS600" s="194"/>
      <c r="CT600" s="194"/>
      <c r="CU600" s="212"/>
      <c r="DA600" s="212"/>
      <c r="DB600" s="1226"/>
    </row>
    <row r="601" spans="1:106" x14ac:dyDescent="0.2">
      <c r="A601" s="1945" t="s">
        <v>822</v>
      </c>
      <c r="B601" s="234"/>
      <c r="C601" s="234"/>
      <c r="D601" s="234"/>
      <c r="E601" s="234"/>
      <c r="F601" s="234"/>
      <c r="G601" s="234"/>
      <c r="H601" s="234"/>
      <c r="I601" s="234"/>
      <c r="J601" s="234"/>
      <c r="K601" s="236"/>
      <c r="L601" s="234"/>
      <c r="M601" s="234"/>
      <c r="N601" s="234"/>
      <c r="O601" s="234"/>
      <c r="P601" s="194"/>
      <c r="Q601" s="234"/>
      <c r="R601" s="234"/>
      <c r="S601" s="234"/>
      <c r="T601" s="234"/>
      <c r="U601" s="194"/>
      <c r="V601" s="234"/>
      <c r="W601" s="234"/>
      <c r="X601" s="234"/>
      <c r="Y601" s="234"/>
      <c r="Z601" s="194"/>
      <c r="AA601" s="234"/>
      <c r="AB601" s="234"/>
      <c r="AC601" s="234"/>
      <c r="AD601" s="234"/>
      <c r="AE601" s="194"/>
      <c r="AF601" s="234"/>
      <c r="AG601" s="234"/>
      <c r="AH601" s="234"/>
      <c r="AI601" s="234"/>
      <c r="AJ601" s="194"/>
      <c r="AK601" s="234"/>
      <c r="AL601" s="234"/>
      <c r="AM601" s="234"/>
      <c r="AN601" s="234"/>
      <c r="AO601" s="194"/>
      <c r="AP601" s="234"/>
      <c r="AQ601" s="234"/>
      <c r="AR601" s="234"/>
      <c r="AS601" s="234"/>
      <c r="AT601" s="194"/>
      <c r="AU601" s="234"/>
      <c r="AV601" s="234"/>
      <c r="AW601" s="234"/>
      <c r="AX601" s="234"/>
      <c r="AY601" s="194"/>
      <c r="AZ601" s="234"/>
      <c r="BA601" s="234"/>
      <c r="BB601" s="234"/>
      <c r="BC601" s="234"/>
      <c r="BD601" s="194"/>
      <c r="BE601" s="234"/>
      <c r="BF601" s="234"/>
      <c r="BG601" s="234"/>
      <c r="BH601" s="234"/>
      <c r="BI601" s="194"/>
      <c r="BJ601" s="234"/>
      <c r="BK601" s="234"/>
      <c r="BL601" s="234"/>
      <c r="BM601" s="234"/>
      <c r="BN601" s="194"/>
      <c r="BO601" s="193"/>
      <c r="BR601" s="192"/>
      <c r="BS601" s="194"/>
      <c r="BT601" s="193"/>
      <c r="BU601" s="212"/>
      <c r="BV601" s="212"/>
      <c r="BW601" s="192"/>
      <c r="BX601" s="194"/>
      <c r="BY601" s="212"/>
      <c r="BZ601" s="212"/>
      <c r="CA601" s="212"/>
      <c r="CB601" s="192"/>
      <c r="CC601" s="194"/>
      <c r="CD601" s="1214">
        <v>2.3E-2</v>
      </c>
      <c r="CE601" s="1214">
        <v>2.3E-2</v>
      </c>
      <c r="CF601" s="1214">
        <v>1.7000000000000001E-2</v>
      </c>
      <c r="CG601" s="1214">
        <v>1.2E-2</v>
      </c>
      <c r="CH601" s="1952">
        <v>1.9E-2</v>
      </c>
      <c r="CI601" s="1214">
        <v>6.0000000000000001E-3</v>
      </c>
      <c r="CJ601" s="1214">
        <v>4.0000000000000001E-3</v>
      </c>
      <c r="CK601" s="1214">
        <v>1E-3</v>
      </c>
      <c r="CL601" s="1214">
        <v>1.2E-2</v>
      </c>
      <c r="CM601" s="1952">
        <v>6.0000000000000001E-3</v>
      </c>
      <c r="CN601" s="1214"/>
      <c r="CO601" s="1214"/>
      <c r="CP601" s="212"/>
      <c r="CQ601" s="212"/>
      <c r="CR601" s="194"/>
      <c r="CS601" s="194"/>
      <c r="CT601" s="194"/>
      <c r="CU601" s="212"/>
      <c r="DA601" s="212"/>
      <c r="DB601" s="1226"/>
    </row>
    <row r="602" spans="1:106" x14ac:dyDescent="0.2">
      <c r="A602" s="1945" t="s">
        <v>923</v>
      </c>
      <c r="B602" s="234"/>
      <c r="C602" s="234"/>
      <c r="D602" s="234"/>
      <c r="E602" s="234"/>
      <c r="F602" s="234"/>
      <c r="G602" s="234"/>
      <c r="H602" s="234"/>
      <c r="I602" s="234"/>
      <c r="J602" s="234"/>
      <c r="K602" s="236"/>
      <c r="L602" s="234"/>
      <c r="M602" s="234"/>
      <c r="N602" s="234"/>
      <c r="O602" s="234"/>
      <c r="P602" s="194"/>
      <c r="Q602" s="234"/>
      <c r="R602" s="234"/>
      <c r="S602" s="234"/>
      <c r="T602" s="234"/>
      <c r="U602" s="194"/>
      <c r="V602" s="234"/>
      <c r="W602" s="234"/>
      <c r="X602" s="234"/>
      <c r="Y602" s="234"/>
      <c r="Z602" s="194"/>
      <c r="AA602" s="234"/>
      <c r="AB602" s="234"/>
      <c r="AC602" s="234"/>
      <c r="AD602" s="234"/>
      <c r="AE602" s="194"/>
      <c r="AF602" s="234"/>
      <c r="AG602" s="234"/>
      <c r="AH602" s="234"/>
      <c r="AI602" s="234"/>
      <c r="AJ602" s="194"/>
      <c r="AK602" s="234"/>
      <c r="AL602" s="234"/>
      <c r="AM602" s="234"/>
      <c r="AN602" s="234"/>
      <c r="AO602" s="194"/>
      <c r="AP602" s="234"/>
      <c r="AQ602" s="234"/>
      <c r="AR602" s="234"/>
      <c r="AS602" s="234"/>
      <c r="AT602" s="194"/>
      <c r="AU602" s="234"/>
      <c r="AV602" s="234"/>
      <c r="AW602" s="234"/>
      <c r="AX602" s="234"/>
      <c r="AY602" s="194"/>
      <c r="AZ602" s="234"/>
      <c r="BA602" s="234"/>
      <c r="BB602" s="234"/>
      <c r="BC602" s="234"/>
      <c r="BD602" s="194"/>
      <c r="BE602" s="234"/>
      <c r="BF602" s="234"/>
      <c r="BG602" s="234"/>
      <c r="BH602" s="234"/>
      <c r="BI602" s="194"/>
      <c r="BJ602" s="234"/>
      <c r="BK602" s="234"/>
      <c r="BL602" s="234"/>
      <c r="BM602" s="234"/>
      <c r="BN602" s="194"/>
      <c r="BO602" s="193"/>
      <c r="BR602" s="192"/>
      <c r="BS602" s="194"/>
      <c r="BT602" s="193"/>
      <c r="BU602" s="212"/>
      <c r="BV602" s="212"/>
      <c r="BW602" s="192"/>
      <c r="BX602" s="194"/>
      <c r="BY602" s="212"/>
      <c r="BZ602" s="212"/>
      <c r="CA602" s="212"/>
      <c r="CB602" s="192"/>
      <c r="CC602" s="194"/>
      <c r="CD602" s="1214">
        <v>3.1E-2</v>
      </c>
      <c r="CE602" s="1214">
        <v>2.3E-2</v>
      </c>
      <c r="CF602" s="1214">
        <v>2.8000000000000001E-2</v>
      </c>
      <c r="CG602" s="1214">
        <v>2.1000000000000001E-2</v>
      </c>
      <c r="CH602" s="1952">
        <v>2.5999999999999999E-2</v>
      </c>
      <c r="CI602" s="1214">
        <v>1.9E-2</v>
      </c>
      <c r="CJ602" s="1214">
        <v>0.02</v>
      </c>
      <c r="CK602" s="1214">
        <v>4.0000000000000001E-3</v>
      </c>
      <c r="CL602" s="1214">
        <v>8.9999999999999993E-3</v>
      </c>
      <c r="CM602" s="1952">
        <v>1.2999999999999999E-2</v>
      </c>
      <c r="CN602" s="1214"/>
      <c r="CO602" s="1214"/>
      <c r="CP602" s="212"/>
      <c r="CQ602" s="212"/>
      <c r="CR602" s="194"/>
      <c r="CS602" s="194"/>
      <c r="CT602" s="194"/>
      <c r="CU602" s="212"/>
      <c r="DA602" s="212"/>
      <c r="DB602" s="1226"/>
    </row>
    <row r="603" spans="1:106" x14ac:dyDescent="0.2">
      <c r="A603" s="1945" t="s">
        <v>823</v>
      </c>
      <c r="B603" s="234"/>
      <c r="C603" s="234"/>
      <c r="D603" s="234"/>
      <c r="E603" s="234"/>
      <c r="F603" s="234"/>
      <c r="G603" s="234"/>
      <c r="H603" s="234"/>
      <c r="I603" s="234"/>
      <c r="J603" s="234"/>
      <c r="K603" s="236"/>
      <c r="L603" s="234"/>
      <c r="M603" s="234"/>
      <c r="N603" s="234"/>
      <c r="O603" s="234"/>
      <c r="P603" s="194"/>
      <c r="Q603" s="234"/>
      <c r="R603" s="234"/>
      <c r="S603" s="234"/>
      <c r="T603" s="234"/>
      <c r="U603" s="194"/>
      <c r="V603" s="234"/>
      <c r="W603" s="234"/>
      <c r="X603" s="234"/>
      <c r="Y603" s="234"/>
      <c r="Z603" s="194"/>
      <c r="AA603" s="234"/>
      <c r="AB603" s="234"/>
      <c r="AC603" s="234"/>
      <c r="AD603" s="234"/>
      <c r="AE603" s="194"/>
      <c r="AF603" s="234"/>
      <c r="AG603" s="234"/>
      <c r="AH603" s="234"/>
      <c r="AI603" s="234"/>
      <c r="AJ603" s="194"/>
      <c r="AK603" s="234"/>
      <c r="AL603" s="234"/>
      <c r="AM603" s="234"/>
      <c r="AN603" s="234"/>
      <c r="AO603" s="194"/>
      <c r="AP603" s="234"/>
      <c r="AQ603" s="234"/>
      <c r="AR603" s="234"/>
      <c r="AS603" s="234"/>
      <c r="AT603" s="194"/>
      <c r="AU603" s="234"/>
      <c r="AV603" s="234"/>
      <c r="AW603" s="234"/>
      <c r="AX603" s="234"/>
      <c r="AY603" s="194"/>
      <c r="AZ603" s="234"/>
      <c r="BA603" s="234"/>
      <c r="BB603" s="234"/>
      <c r="BC603" s="234"/>
      <c r="BD603" s="194"/>
      <c r="BE603" s="234"/>
      <c r="BF603" s="234"/>
      <c r="BG603" s="234"/>
      <c r="BH603" s="234"/>
      <c r="BI603" s="194"/>
      <c r="BJ603" s="234"/>
      <c r="BK603" s="234"/>
      <c r="BL603" s="234"/>
      <c r="BM603" s="234"/>
      <c r="BN603" s="194"/>
      <c r="BO603" s="193"/>
      <c r="BR603" s="192"/>
      <c r="BS603" s="194"/>
      <c r="BT603" s="193"/>
      <c r="BU603" s="212"/>
      <c r="BV603" s="212"/>
      <c r="BW603" s="192"/>
      <c r="BX603" s="194"/>
      <c r="BY603" s="212"/>
      <c r="BZ603" s="212"/>
      <c r="CA603" s="212"/>
      <c r="CB603" s="192"/>
      <c r="CC603" s="194"/>
      <c r="CD603" s="1214">
        <v>0.02</v>
      </c>
      <c r="CE603" s="1214">
        <v>0.02</v>
      </c>
      <c r="CF603" s="1214">
        <v>1.9E-2</v>
      </c>
      <c r="CG603" s="1214">
        <v>1.4999999999999999E-2</v>
      </c>
      <c r="CH603" s="1952">
        <v>1.9E-2</v>
      </c>
      <c r="CI603" s="1214">
        <v>0.01</v>
      </c>
      <c r="CJ603" s="1214">
        <v>1.0999999999999999E-2</v>
      </c>
      <c r="CK603" s="1214">
        <v>3.0000000000000001E-3</v>
      </c>
      <c r="CL603" s="1214">
        <v>8.9999999999999993E-3</v>
      </c>
      <c r="CM603" s="1952">
        <v>8.9999999999999993E-3</v>
      </c>
      <c r="CN603" s="1214"/>
      <c r="CO603" s="1214"/>
      <c r="CP603" s="212"/>
      <c r="CQ603" s="212"/>
      <c r="CR603" s="194"/>
      <c r="CS603" s="194"/>
      <c r="CT603" s="194"/>
      <c r="CU603" s="212"/>
      <c r="DA603" s="212"/>
      <c r="DB603" s="1226"/>
    </row>
    <row r="604" spans="1:106" x14ac:dyDescent="0.2">
      <c r="A604" s="2014" t="s">
        <v>52</v>
      </c>
      <c r="B604" s="234"/>
      <c r="C604" s="234"/>
      <c r="D604" s="234"/>
      <c r="E604" s="234"/>
      <c r="F604" s="234"/>
      <c r="G604" s="234"/>
      <c r="H604" s="234"/>
      <c r="I604" s="234"/>
      <c r="J604" s="234"/>
      <c r="K604" s="236"/>
      <c r="L604" s="234"/>
      <c r="M604" s="234"/>
      <c r="N604" s="234"/>
      <c r="O604" s="234"/>
      <c r="P604" s="194"/>
      <c r="Q604" s="234"/>
      <c r="R604" s="234"/>
      <c r="S604" s="234"/>
      <c r="T604" s="234"/>
      <c r="U604" s="194"/>
      <c r="V604" s="234"/>
      <c r="W604" s="234"/>
      <c r="X604" s="234"/>
      <c r="Y604" s="234"/>
      <c r="Z604" s="194"/>
      <c r="AA604" s="234"/>
      <c r="AB604" s="234"/>
      <c r="AC604" s="234"/>
      <c r="AD604" s="234"/>
      <c r="AE604" s="194"/>
      <c r="AF604" s="234"/>
      <c r="AG604" s="234"/>
      <c r="AH604" s="234"/>
      <c r="AI604" s="234"/>
      <c r="AJ604" s="194"/>
      <c r="AK604" s="234"/>
      <c r="AL604" s="234"/>
      <c r="AM604" s="234"/>
      <c r="AN604" s="234"/>
      <c r="AO604" s="194"/>
      <c r="AP604" s="234"/>
      <c r="AQ604" s="234"/>
      <c r="AR604" s="234"/>
      <c r="AS604" s="234"/>
      <c r="AT604" s="194"/>
      <c r="AU604" s="234"/>
      <c r="AV604" s="234"/>
      <c r="AW604" s="234"/>
      <c r="AX604" s="234"/>
      <c r="AY604" s="194"/>
      <c r="AZ604" s="234"/>
      <c r="BA604" s="234"/>
      <c r="BB604" s="234"/>
      <c r="BC604" s="234"/>
      <c r="BD604" s="194"/>
      <c r="BE604" s="234"/>
      <c r="BF604" s="234"/>
      <c r="BG604" s="234"/>
      <c r="BH604" s="234"/>
      <c r="BI604" s="194"/>
      <c r="BJ604" s="234"/>
      <c r="BK604" s="234"/>
      <c r="BL604" s="234"/>
      <c r="BM604" s="234"/>
      <c r="BN604" s="194"/>
      <c r="BO604" s="193"/>
      <c r="BR604" s="192"/>
      <c r="BS604" s="194"/>
      <c r="BT604" s="193"/>
      <c r="BU604" s="212"/>
      <c r="BV604" s="212"/>
      <c r="BW604" s="192"/>
      <c r="BX604" s="194"/>
      <c r="BY604" s="212"/>
      <c r="BZ604" s="212"/>
      <c r="CA604" s="212"/>
      <c r="CB604" s="192"/>
      <c r="CC604" s="194"/>
      <c r="CD604" s="1625">
        <v>2.3E-2</v>
      </c>
      <c r="CE604" s="1625">
        <v>2.1000000000000001E-2</v>
      </c>
      <c r="CF604" s="1625">
        <v>2.1000000000000001E-2</v>
      </c>
      <c r="CG604" s="1625">
        <v>1.6E-2</v>
      </c>
      <c r="CH604" s="2249">
        <v>0.02</v>
      </c>
      <c r="CI604" s="1625">
        <v>1.2E-2</v>
      </c>
      <c r="CJ604" s="1625">
        <v>1.0999999999999999E-2</v>
      </c>
      <c r="CK604" s="1625">
        <v>6.0000000000000001E-3</v>
      </c>
      <c r="CL604" s="1625">
        <v>1.2999999999999999E-2</v>
      </c>
      <c r="CM604" s="2249">
        <v>0.01</v>
      </c>
      <c r="CN604" s="1625"/>
      <c r="CO604" s="1625"/>
      <c r="CP604" s="212"/>
      <c r="CQ604" s="212"/>
      <c r="CR604" s="194"/>
      <c r="CS604" s="194"/>
      <c r="CT604" s="194"/>
      <c r="CU604" s="212"/>
      <c r="DA604" s="212"/>
      <c r="DB604" s="1226"/>
    </row>
    <row r="605" spans="1:106" s="1951" customFormat="1" collapsed="1" x14ac:dyDescent="0.2">
      <c r="A605" s="1948" t="s">
        <v>2026</v>
      </c>
      <c r="B605" s="2003"/>
      <c r="C605" s="2003"/>
      <c r="D605" s="2003"/>
      <c r="E605" s="2003"/>
      <c r="F605" s="2003"/>
      <c r="G605" s="2003"/>
      <c r="H605" s="2003"/>
      <c r="I605" s="2003"/>
      <c r="J605" s="2003"/>
      <c r="K605" s="2004"/>
      <c r="L605" s="2005"/>
      <c r="M605" s="2005"/>
      <c r="N605" s="2005"/>
      <c r="O605" s="2005"/>
      <c r="P605" s="2004"/>
      <c r="Q605" s="1628"/>
      <c r="R605" s="1628"/>
      <c r="S605" s="1628"/>
      <c r="T605" s="1628"/>
      <c r="U605" s="1954"/>
      <c r="V605" s="1628"/>
      <c r="W605" s="1628"/>
      <c r="X605" s="1628"/>
      <c r="Y605" s="1628"/>
      <c r="Z605" s="1954"/>
      <c r="AA605" s="1628"/>
      <c r="AB605" s="1628"/>
      <c r="AC605" s="1628"/>
      <c r="AD605" s="1628"/>
      <c r="AE605" s="1954"/>
      <c r="AF605" s="1628"/>
      <c r="AG605" s="1628"/>
      <c r="AH605" s="1628"/>
      <c r="AI605" s="1628"/>
      <c r="AJ605" s="1954"/>
      <c r="AK605" s="1628"/>
      <c r="AL605" s="1628"/>
      <c r="AM605" s="1628"/>
      <c r="AN605" s="1628"/>
      <c r="AO605" s="1954"/>
      <c r="AP605" s="1628"/>
      <c r="AQ605" s="1628"/>
      <c r="AR605" s="1628"/>
      <c r="AS605" s="1628"/>
      <c r="AT605" s="1954"/>
      <c r="AU605" s="1628"/>
      <c r="AV605" s="1628"/>
      <c r="AW605" s="1628"/>
      <c r="AX605" s="1628"/>
      <c r="AY605" s="1954"/>
      <c r="AZ605" s="1628"/>
      <c r="BA605" s="1628"/>
      <c r="BB605" s="1628"/>
      <c r="BC605" s="1628"/>
      <c r="BD605" s="1954"/>
      <c r="BE605" s="1628"/>
      <c r="BF605" s="1628"/>
      <c r="BG605" s="1628"/>
      <c r="BH605" s="1628"/>
      <c r="BI605" s="1954"/>
      <c r="BJ605" s="1628"/>
      <c r="BK605" s="1628"/>
      <c r="BL605" s="1628"/>
      <c r="BM605" s="1628"/>
      <c r="BN605" s="1954"/>
      <c r="BO605" s="1628"/>
      <c r="BP605" s="1628"/>
      <c r="BQ605" s="1628"/>
      <c r="BR605" s="1628"/>
      <c r="BS605" s="1954"/>
      <c r="BT605" s="1628"/>
      <c r="BU605" s="1628"/>
      <c r="BV605" s="1628"/>
      <c r="BW605" s="1628"/>
      <c r="BX605" s="1954"/>
      <c r="BY605" s="1628"/>
      <c r="BZ605" s="1628"/>
      <c r="CA605" s="1628"/>
      <c r="CB605" s="1628"/>
      <c r="CC605" s="1954"/>
      <c r="CD605" s="1628">
        <v>2.4E-2</v>
      </c>
      <c r="CE605" s="1628">
        <v>1.9E-2</v>
      </c>
      <c r="CF605" s="1628">
        <v>2.4E-2</v>
      </c>
      <c r="CG605" s="1628">
        <v>1.2999999999999999E-2</v>
      </c>
      <c r="CH605" s="1954">
        <v>0.02</v>
      </c>
      <c r="CI605" s="1628">
        <v>1.7000000000000001E-2</v>
      </c>
      <c r="CJ605" s="1628">
        <v>1.2999999999999999E-2</v>
      </c>
      <c r="CK605" s="1628">
        <v>4.0000000000000001E-3</v>
      </c>
      <c r="CL605" s="1628">
        <v>1.7000000000000001E-2</v>
      </c>
      <c r="CM605" s="1954">
        <v>1.2999999999999999E-2</v>
      </c>
      <c r="CN605" s="1628"/>
      <c r="CO605" s="1628"/>
      <c r="CP605" s="1949"/>
      <c r="CQ605" s="1949"/>
      <c r="CR605" s="1751"/>
      <c r="CS605" s="1751"/>
      <c r="CT605" s="1751"/>
      <c r="CU605" s="1950"/>
      <c r="DA605" s="212"/>
      <c r="DB605" s="1226"/>
    </row>
    <row r="606" spans="1:106" x14ac:dyDescent="0.2">
      <c r="A606" s="1437"/>
      <c r="B606" s="234"/>
      <c r="C606" s="234"/>
      <c r="D606" s="234"/>
      <c r="E606" s="234"/>
      <c r="F606" s="234"/>
      <c r="G606" s="234"/>
      <c r="H606" s="234"/>
      <c r="I606" s="234"/>
      <c r="J606" s="234"/>
      <c r="K606" s="236"/>
      <c r="L606" s="234"/>
      <c r="M606" s="234"/>
      <c r="N606" s="234"/>
      <c r="O606" s="234"/>
      <c r="P606" s="194"/>
      <c r="Q606" s="234"/>
      <c r="R606" s="234"/>
      <c r="S606" s="234"/>
      <c r="T606" s="234"/>
      <c r="U606" s="194"/>
      <c r="V606" s="234"/>
      <c r="W606" s="234"/>
      <c r="X606" s="234"/>
      <c r="Y606" s="234"/>
      <c r="Z606" s="194"/>
      <c r="AA606" s="234"/>
      <c r="AB606" s="234"/>
      <c r="AC606" s="234"/>
      <c r="AD606" s="234"/>
      <c r="AE606" s="194"/>
      <c r="AF606" s="234"/>
      <c r="AG606" s="234"/>
      <c r="AH606" s="234"/>
      <c r="AI606" s="234"/>
      <c r="AJ606" s="194"/>
      <c r="AK606" s="234"/>
      <c r="AL606" s="234"/>
      <c r="AM606" s="234"/>
      <c r="AN606" s="234"/>
      <c r="AO606" s="194"/>
      <c r="AP606" s="234"/>
      <c r="AQ606" s="234"/>
      <c r="AR606" s="234"/>
      <c r="AS606" s="234"/>
      <c r="AT606" s="194"/>
      <c r="AU606" s="234"/>
      <c r="AV606" s="234"/>
      <c r="AW606" s="234"/>
      <c r="AX606" s="234"/>
      <c r="AY606" s="194"/>
      <c r="AZ606" s="234"/>
      <c r="BA606" s="234"/>
      <c r="BB606" s="234"/>
      <c r="BC606" s="234"/>
      <c r="BD606" s="194"/>
      <c r="BE606" s="234"/>
      <c r="BF606" s="234"/>
      <c r="BG606" s="234"/>
      <c r="BH606" s="234"/>
      <c r="BI606" s="194"/>
      <c r="BJ606" s="234"/>
      <c r="BK606" s="234"/>
      <c r="BL606" s="234"/>
      <c r="BM606" s="234"/>
      <c r="BN606" s="194"/>
      <c r="BO606" s="193"/>
      <c r="BR606" s="192"/>
      <c r="BS606" s="194"/>
      <c r="BT606" s="193"/>
      <c r="BU606" s="212"/>
      <c r="BV606" s="212"/>
      <c r="BW606" s="192"/>
      <c r="BX606" s="194"/>
      <c r="BY606" s="212"/>
      <c r="BZ606" s="212"/>
      <c r="CA606" s="212"/>
      <c r="CB606" s="192"/>
      <c r="CC606" s="194"/>
      <c r="CD606" s="212"/>
      <c r="CE606" s="212"/>
      <c r="CF606" s="212"/>
      <c r="CG606" s="192"/>
      <c r="CH606" s="194"/>
      <c r="CI606" s="212"/>
      <c r="CJ606" s="212"/>
      <c r="CK606" s="212"/>
      <c r="CL606" s="212"/>
      <c r="CM606" s="194"/>
      <c r="CN606" s="212"/>
      <c r="CO606" s="212"/>
      <c r="CP606" s="212"/>
      <c r="CQ606" s="212"/>
      <c r="CR606" s="194"/>
      <c r="CS606" s="194"/>
      <c r="CT606" s="194"/>
      <c r="CU606" s="212"/>
      <c r="DA606" s="212"/>
      <c r="DB606" s="1226"/>
    </row>
    <row r="607" spans="1:106" outlineLevel="1" x14ac:dyDescent="0.2">
      <c r="A607" s="1560" t="s">
        <v>2689</v>
      </c>
      <c r="B607" s="1920"/>
      <c r="C607" s="1920"/>
      <c r="D607" s="1920"/>
      <c r="E607" s="1920"/>
      <c r="F607" s="1920"/>
      <c r="G607" s="2006"/>
      <c r="H607" s="2006"/>
      <c r="I607" s="2006"/>
      <c r="J607" s="2006"/>
      <c r="K607" s="1926"/>
      <c r="L607" s="1882"/>
      <c r="M607" s="1882"/>
      <c r="N607" s="1882"/>
      <c r="O607" s="1882"/>
      <c r="P607" s="1973"/>
      <c r="Q607" s="733"/>
      <c r="R607" s="733"/>
      <c r="S607" s="733"/>
      <c r="T607" s="733"/>
      <c r="U607" s="194"/>
      <c r="V607" s="733"/>
      <c r="W607" s="733"/>
      <c r="X607" s="733"/>
      <c r="Y607" s="733"/>
      <c r="Z607" s="194"/>
      <c r="AA607" s="733"/>
      <c r="AB607" s="733"/>
      <c r="AC607" s="733"/>
      <c r="AD607" s="733"/>
      <c r="AE607" s="194"/>
      <c r="AF607" s="733"/>
      <c r="AG607" s="733"/>
      <c r="AH607" s="733"/>
      <c r="AI607" s="733"/>
      <c r="AJ607" s="194"/>
      <c r="AK607" s="733"/>
      <c r="AL607" s="733"/>
      <c r="AM607" s="733"/>
      <c r="AN607" s="733"/>
      <c r="AO607" s="194"/>
      <c r="AP607" s="1214"/>
      <c r="AQ607" s="1214"/>
      <c r="AR607" s="1214"/>
      <c r="AS607" s="733"/>
      <c r="AT607" s="194"/>
      <c r="AU607" s="1214"/>
      <c r="AV607" s="1214"/>
      <c r="AW607" s="1214"/>
      <c r="AX607" s="1214"/>
      <c r="AY607" s="194"/>
      <c r="AZ607" s="1214"/>
      <c r="BA607" s="1214"/>
      <c r="BB607" s="1214"/>
      <c r="BC607" s="1214"/>
      <c r="BD607" s="194"/>
      <c r="BE607" s="1214"/>
      <c r="BF607" s="1214"/>
      <c r="BG607" s="1214"/>
      <c r="BH607" s="1214"/>
      <c r="BI607" s="194"/>
      <c r="BJ607" s="1214"/>
      <c r="BK607" s="1214"/>
      <c r="BL607" s="1214"/>
      <c r="BM607" s="1214"/>
      <c r="BN607" s="194"/>
      <c r="BO607" s="1214"/>
      <c r="BP607" s="1214"/>
      <c r="BR607" s="1214"/>
      <c r="BS607" s="194"/>
      <c r="BT607" s="1214"/>
      <c r="BU607" s="212"/>
      <c r="BV607" s="212"/>
      <c r="BW607" s="1214"/>
      <c r="BX607" s="194"/>
      <c r="BY607" s="1214"/>
      <c r="BZ607" s="212"/>
      <c r="CA607" s="212"/>
      <c r="CB607" s="212"/>
      <c r="CC607" s="194"/>
      <c r="CD607" s="212"/>
      <c r="CE607" s="212"/>
      <c r="CF607" s="212"/>
      <c r="CG607" s="212"/>
      <c r="CH607" s="194"/>
      <c r="CI607" s="212"/>
      <c r="CJ607" s="212"/>
      <c r="CK607" s="212"/>
      <c r="CL607" s="212"/>
      <c r="CM607" s="194"/>
      <c r="CN607" s="212"/>
      <c r="CO607" s="212"/>
      <c r="CP607" s="212"/>
      <c r="CQ607" s="212"/>
      <c r="CR607" s="194"/>
      <c r="CS607" s="194"/>
      <c r="CT607" s="194"/>
      <c r="CU607" s="212"/>
      <c r="DA607" s="212"/>
      <c r="DB607" s="1226"/>
    </row>
    <row r="608" spans="1:106" outlineLevel="1" x14ac:dyDescent="0.2">
      <c r="A608" s="2285" t="s">
        <v>2672</v>
      </c>
      <c r="B608" s="1920"/>
      <c r="C608" s="1920"/>
      <c r="D608" s="1920"/>
      <c r="E608" s="1920"/>
      <c r="F608" s="1920"/>
      <c r="G608" s="2006"/>
      <c r="H608" s="2006"/>
      <c r="I608" s="2006"/>
      <c r="J608" s="2006"/>
      <c r="K608" s="1926"/>
      <c r="L608" s="1882"/>
      <c r="M608" s="1882"/>
      <c r="N608" s="1882"/>
      <c r="O608" s="1882"/>
      <c r="P608" s="1973"/>
      <c r="Q608" s="733"/>
      <c r="R608" s="733"/>
      <c r="S608" s="733"/>
      <c r="T608" s="733"/>
      <c r="U608" s="194"/>
      <c r="V608" s="733"/>
      <c r="W608" s="733"/>
      <c r="X608" s="733"/>
      <c r="Y608" s="733"/>
      <c r="Z608" s="194"/>
      <c r="AA608" s="733"/>
      <c r="AB608" s="733"/>
      <c r="AC608" s="733"/>
      <c r="AD608" s="733"/>
      <c r="AE608" s="194"/>
      <c r="AF608" s="733"/>
      <c r="AG608" s="733"/>
      <c r="AH608" s="733"/>
      <c r="AI608" s="733"/>
      <c r="AJ608" s="194"/>
      <c r="AK608" s="733"/>
      <c r="AL608" s="733"/>
      <c r="AM608" s="733"/>
      <c r="AN608" s="733"/>
      <c r="AO608" s="194"/>
      <c r="AP608" s="1214"/>
      <c r="AQ608" s="1214"/>
      <c r="AR608" s="1214"/>
      <c r="AS608" s="733"/>
      <c r="AT608" s="194"/>
      <c r="AU608" s="1214"/>
      <c r="AV608" s="1214"/>
      <c r="AW608" s="1214"/>
      <c r="AX608" s="1214"/>
      <c r="AY608" s="194"/>
      <c r="AZ608" s="1214"/>
      <c r="BA608" s="1214"/>
      <c r="BB608" s="1214"/>
      <c r="BC608" s="1214"/>
      <c r="BD608" s="194"/>
      <c r="BE608" s="1214"/>
      <c r="BF608" s="1214"/>
      <c r="BG608" s="1214"/>
      <c r="BH608" s="1214"/>
      <c r="BI608" s="194"/>
      <c r="BJ608" s="1214"/>
      <c r="BK608" s="1214"/>
      <c r="BL608" s="1214"/>
      <c r="BM608" s="1214"/>
      <c r="BN608" s="194"/>
      <c r="BO608" s="1214"/>
      <c r="BP608" s="1214"/>
      <c r="BR608" s="1214"/>
      <c r="BS608" s="194"/>
      <c r="BT608" s="1214"/>
      <c r="BU608" s="212"/>
      <c r="BV608" s="212"/>
      <c r="BW608" s="1214"/>
      <c r="BX608" s="194"/>
      <c r="BY608" s="1214"/>
      <c r="BZ608" s="212"/>
      <c r="CA608" s="212"/>
      <c r="CB608" s="212"/>
      <c r="CC608" s="194"/>
      <c r="CD608" s="212"/>
      <c r="CE608" s="212"/>
      <c r="CF608" s="212"/>
      <c r="CG608" s="1214">
        <v>6.0000000000000001E-3</v>
      </c>
      <c r="CH608" s="2642">
        <v>1.7999999999999999E-2</v>
      </c>
      <c r="CI608" s="212"/>
      <c r="CJ608" s="212"/>
      <c r="CK608" s="212"/>
      <c r="CL608" s="212"/>
      <c r="CM608" s="194"/>
      <c r="CN608" s="212"/>
      <c r="CO608" s="212"/>
      <c r="CP608" s="212"/>
      <c r="CQ608" s="212"/>
      <c r="CR608" s="194"/>
      <c r="CS608" s="194"/>
      <c r="CT608" s="194"/>
      <c r="CU608" s="212"/>
      <c r="DA608" s="212"/>
      <c r="DB608" s="1226"/>
    </row>
    <row r="609" spans="1:106" s="11" customFormat="1" outlineLevel="1" x14ac:dyDescent="0.2">
      <c r="A609" s="1945" t="s">
        <v>821</v>
      </c>
      <c r="B609" s="1302" t="s">
        <v>673</v>
      </c>
      <c r="C609" s="1302" t="s">
        <v>673</v>
      </c>
      <c r="D609" s="1302" t="s">
        <v>673</v>
      </c>
      <c r="E609" s="1302" t="s">
        <v>673</v>
      </c>
      <c r="F609" s="1302" t="s">
        <v>673</v>
      </c>
      <c r="G609" s="1302" t="s">
        <v>673</v>
      </c>
      <c r="H609" s="1302" t="s">
        <v>673</v>
      </c>
      <c r="I609" s="1302" t="s">
        <v>673</v>
      </c>
      <c r="J609" s="1302" t="s">
        <v>673</v>
      </c>
      <c r="K609" s="2001" t="s">
        <v>673</v>
      </c>
      <c r="L609" s="1882" t="s">
        <v>673</v>
      </c>
      <c r="M609" s="1882" t="s">
        <v>673</v>
      </c>
      <c r="N609" s="1882" t="s">
        <v>673</v>
      </c>
      <c r="O609" s="1882" t="s">
        <v>673</v>
      </c>
      <c r="P609" s="2002" t="s">
        <v>673</v>
      </c>
      <c r="Q609" s="1214">
        <v>2.4E-2</v>
      </c>
      <c r="R609" s="1214">
        <v>-7.0000000000000001E-3</v>
      </c>
      <c r="S609" s="1214">
        <v>-0.02</v>
      </c>
      <c r="T609" s="1214">
        <v>-5.0000000000000001E-3</v>
      </c>
      <c r="U609" s="1952">
        <v>-8.0000000000000002E-3</v>
      </c>
      <c r="V609" s="1214">
        <v>8.9999999999999993E-3</v>
      </c>
      <c r="W609" s="1214">
        <v>3.9E-2</v>
      </c>
      <c r="X609" s="1214">
        <v>9.1999999999999998E-2</v>
      </c>
      <c r="Y609" s="1214">
        <v>7.0999999999999994E-2</v>
      </c>
      <c r="Z609" s="1952">
        <v>5.8999999999999997E-2</v>
      </c>
      <c r="AA609" s="1214">
        <v>0.13100000000000001</v>
      </c>
      <c r="AB609" s="1214">
        <v>0.107</v>
      </c>
      <c r="AC609" s="1214">
        <v>0.08</v>
      </c>
      <c r="AD609" s="1214">
        <v>6.7000000000000004E-2</v>
      </c>
      <c r="AE609" s="1952">
        <v>9.1999999999999998E-2</v>
      </c>
      <c r="AF609" s="1214">
        <v>3.9E-2</v>
      </c>
      <c r="AG609" s="1214">
        <v>6.7000000000000004E-2</v>
      </c>
      <c r="AH609" s="1214">
        <v>7.0000000000000007E-2</v>
      </c>
      <c r="AI609" s="1214">
        <v>8.8999999999999996E-2</v>
      </c>
      <c r="AJ609" s="1952">
        <v>7.0999999999999994E-2</v>
      </c>
      <c r="AK609" s="1214">
        <v>9.8000000000000004E-2</v>
      </c>
      <c r="AL609" s="1214">
        <v>7.2999999999999995E-2</v>
      </c>
      <c r="AM609" s="1214">
        <v>0.06</v>
      </c>
      <c r="AN609" s="1214">
        <v>7.0999999999999994E-2</v>
      </c>
      <c r="AO609" s="1952">
        <v>7.2999999999999995E-2</v>
      </c>
      <c r="AP609" s="1214">
        <v>2.5000000000000001E-2</v>
      </c>
      <c r="AQ609" s="1214">
        <v>4.0000000000000001E-3</v>
      </c>
      <c r="AR609" s="1214">
        <v>2.1999999999999999E-2</v>
      </c>
      <c r="AS609" s="1214">
        <v>-4.9000000000000002E-2</v>
      </c>
      <c r="AT609" s="1952">
        <v>-4.0000000000000001E-3</v>
      </c>
      <c r="AU609" s="1214">
        <v>-0.104</v>
      </c>
      <c r="AV609" s="1214">
        <v>-0.161</v>
      </c>
      <c r="AW609" s="1214">
        <v>-0.17499999999999999</v>
      </c>
      <c r="AX609" s="1214">
        <v>-0.13</v>
      </c>
      <c r="AY609" s="1952">
        <v>-0.14899999999999999</v>
      </c>
      <c r="AZ609" s="1214">
        <v>-8.4000000000000005E-2</v>
      </c>
      <c r="BA609" s="1214">
        <v>0</v>
      </c>
      <c r="BB609" s="1214">
        <v>3.3000000000000002E-2</v>
      </c>
      <c r="BC609" s="1214">
        <v>2.5000000000000001E-2</v>
      </c>
      <c r="BD609" s="1952">
        <v>3.0000000000000001E-3</v>
      </c>
      <c r="BE609" s="1214">
        <v>2.8000000000000001E-2</v>
      </c>
      <c r="BF609" s="1214">
        <v>4.8000000000000001E-2</v>
      </c>
      <c r="BG609" s="1214">
        <v>9.0999999999999998E-2</v>
      </c>
      <c r="BH609" s="1214">
        <v>7.4999999999999997E-2</v>
      </c>
      <c r="BI609" s="1952">
        <v>6.3E-2</v>
      </c>
      <c r="BJ609" s="1214">
        <v>5.8000000000000003E-2</v>
      </c>
      <c r="BK609" s="1214">
        <v>3.7999999999999999E-2</v>
      </c>
      <c r="BL609" s="1214">
        <v>5.0999999999999997E-2</v>
      </c>
      <c r="BM609" s="1214">
        <v>3.4000000000000002E-2</v>
      </c>
      <c r="BN609" s="1952">
        <v>4.9000000000000002E-2</v>
      </c>
      <c r="BO609" s="1214">
        <v>6.9000000000000006E-2</v>
      </c>
      <c r="BP609" s="1214">
        <v>5.0999999999999997E-2</v>
      </c>
      <c r="BQ609" s="1214">
        <v>7.3999999999999996E-2</v>
      </c>
      <c r="BR609" s="1214">
        <v>7.3999999999999996E-2</v>
      </c>
      <c r="BS609" s="1952">
        <v>6.6000000000000003E-2</v>
      </c>
      <c r="BT609" s="1214">
        <v>3.6999999999999998E-2</v>
      </c>
      <c r="BU609" s="1214">
        <v>4.7E-2</v>
      </c>
      <c r="BV609" s="1214">
        <v>3.5999999999999997E-2</v>
      </c>
      <c r="BW609" s="1214">
        <v>0.04</v>
      </c>
      <c r="BX609" s="1952">
        <v>0.04</v>
      </c>
      <c r="BY609" s="1214">
        <v>3.9E-2</v>
      </c>
      <c r="BZ609" s="1214">
        <v>3.3000000000000002E-2</v>
      </c>
      <c r="CA609" s="1214">
        <v>3.5999999999999997E-2</v>
      </c>
      <c r="CB609" s="1214">
        <v>0.01</v>
      </c>
      <c r="CC609" s="1952">
        <v>2.9000000000000001E-2</v>
      </c>
      <c r="CD609" s="1214">
        <v>3.5999999999999997E-2</v>
      </c>
      <c r="CE609" s="1214">
        <v>2E-3</v>
      </c>
      <c r="CF609" s="1214">
        <v>2.8000000000000001E-2</v>
      </c>
      <c r="CG609" s="1214">
        <v>2.1000000000000001E-2</v>
      </c>
      <c r="CH609" s="1952">
        <v>2.1999999999999999E-2</v>
      </c>
      <c r="CI609" s="1193"/>
      <c r="CJ609" s="1193"/>
      <c r="CK609" s="1193"/>
      <c r="CL609" s="1193"/>
      <c r="CM609" s="1946"/>
      <c r="CN609" s="1193"/>
      <c r="CO609" s="1193"/>
      <c r="CP609" s="1193"/>
      <c r="CQ609" s="1193"/>
      <c r="CR609" s="1946"/>
      <c r="CS609" s="1946"/>
      <c r="CT609" s="1946"/>
      <c r="CU609" s="1193"/>
      <c r="CV609" s="1947"/>
      <c r="CW609" s="1947"/>
      <c r="CX609" s="1947"/>
      <c r="DA609" s="212"/>
      <c r="DB609" s="1226"/>
    </row>
    <row r="610" spans="1:106" s="11" customFormat="1" outlineLevel="1" x14ac:dyDescent="0.2">
      <c r="A610" s="3391" t="s">
        <v>2671</v>
      </c>
      <c r="B610" s="1302"/>
      <c r="C610" s="1302"/>
      <c r="D610" s="1302"/>
      <c r="E610" s="1302"/>
      <c r="F610" s="1302"/>
      <c r="G610" s="1302"/>
      <c r="H610" s="1302"/>
      <c r="I610" s="1302"/>
      <c r="J610" s="1302"/>
      <c r="K610" s="2001"/>
      <c r="L610" s="1882"/>
      <c r="M610" s="1882"/>
      <c r="N610" s="1882"/>
      <c r="O610" s="1882"/>
      <c r="P610" s="2002"/>
      <c r="Q610" s="1214"/>
      <c r="R610" s="1214"/>
      <c r="S610" s="1214"/>
      <c r="T610" s="1214"/>
      <c r="U610" s="1952"/>
      <c r="V610" s="1214"/>
      <c r="W610" s="1214"/>
      <c r="X610" s="1214"/>
      <c r="Y610" s="1214"/>
      <c r="Z610" s="1952"/>
      <c r="AA610" s="1214"/>
      <c r="AB610" s="1214"/>
      <c r="AC610" s="1214"/>
      <c r="AD610" s="1214"/>
      <c r="AE610" s="1952"/>
      <c r="AF610" s="1214"/>
      <c r="AG610" s="1214"/>
      <c r="AH610" s="1214"/>
      <c r="AI610" s="1214"/>
      <c r="AJ610" s="1952"/>
      <c r="AK610" s="1214"/>
      <c r="AL610" s="1214"/>
      <c r="AM610" s="1214"/>
      <c r="AN610" s="1214"/>
      <c r="AO610" s="1952"/>
      <c r="AP610" s="1214"/>
      <c r="AQ610" s="1214"/>
      <c r="AR610" s="1214"/>
      <c r="AS610" s="1214"/>
      <c r="AT610" s="1952"/>
      <c r="AU610" s="1214"/>
      <c r="AV610" s="1214"/>
      <c r="AW610" s="1214"/>
      <c r="AX610" s="1214"/>
      <c r="AY610" s="1952"/>
      <c r="AZ610" s="1214"/>
      <c r="BA610" s="1214"/>
      <c r="BB610" s="1214"/>
      <c r="BC610" s="1214"/>
      <c r="BD610" s="1952"/>
      <c r="BE610" s="1214"/>
      <c r="BF610" s="1214"/>
      <c r="BG610" s="1214"/>
      <c r="BH610" s="1214"/>
      <c r="BI610" s="1952"/>
      <c r="BJ610" s="1214"/>
      <c r="BK610" s="1214"/>
      <c r="BL610" s="1214"/>
      <c r="BM610" s="1214"/>
      <c r="BN610" s="1952"/>
      <c r="BO610" s="1214"/>
      <c r="BP610" s="1214"/>
      <c r="BQ610" s="1214"/>
      <c r="BR610" s="1214"/>
      <c r="BS610" s="1952"/>
      <c r="BT610" s="1214"/>
      <c r="BU610" s="1214"/>
      <c r="BV610" s="1214"/>
      <c r="BW610" s="1214"/>
      <c r="BX610" s="1952"/>
      <c r="BY610" s="1214"/>
      <c r="BZ610" s="1214"/>
      <c r="CA610" s="1214"/>
      <c r="CB610" s="1214"/>
      <c r="CC610" s="1952"/>
      <c r="CD610" s="1214"/>
      <c r="CE610" s="1214"/>
      <c r="CF610" s="1214"/>
      <c r="CG610" s="1214">
        <v>-0.02</v>
      </c>
      <c r="CH610" s="1952">
        <v>-2.5000000000000001E-2</v>
      </c>
      <c r="CI610" s="1193"/>
      <c r="CJ610" s="1193"/>
      <c r="CK610" s="1193"/>
      <c r="CL610" s="1193"/>
      <c r="CM610" s="1946"/>
      <c r="CN610" s="1193"/>
      <c r="CO610" s="1193"/>
      <c r="CP610" s="1193"/>
      <c r="CQ610" s="1193"/>
      <c r="CR610" s="1946"/>
      <c r="CS610" s="1946"/>
      <c r="CT610" s="1946"/>
      <c r="CU610" s="1193"/>
      <c r="CV610" s="1947"/>
      <c r="CW610" s="1947"/>
      <c r="CX610" s="1947"/>
      <c r="DA610" s="212"/>
      <c r="DB610" s="1226"/>
    </row>
    <row r="611" spans="1:106" s="11" customFormat="1" outlineLevel="1" x14ac:dyDescent="0.2">
      <c r="A611" s="2014" t="s">
        <v>2673</v>
      </c>
      <c r="B611" s="1302"/>
      <c r="C611" s="1302"/>
      <c r="D611" s="1302"/>
      <c r="E611" s="1302"/>
      <c r="F611" s="1302"/>
      <c r="G611" s="1302"/>
      <c r="H611" s="1302"/>
      <c r="I611" s="1302"/>
      <c r="J611" s="1302"/>
      <c r="K611" s="1302"/>
      <c r="L611" s="1882"/>
      <c r="M611" s="1882"/>
      <c r="N611" s="1882"/>
      <c r="O611" s="1882"/>
      <c r="P611" s="3392"/>
      <c r="Q611" s="1214"/>
      <c r="R611" s="1214"/>
      <c r="S611" s="1214"/>
      <c r="T611" s="1214"/>
      <c r="U611" s="1532"/>
      <c r="V611" s="1214"/>
      <c r="W611" s="1214"/>
      <c r="X611" s="1214"/>
      <c r="Y611" s="1214"/>
      <c r="Z611" s="1532"/>
      <c r="AA611" s="1214"/>
      <c r="AB611" s="1214"/>
      <c r="AC611" s="1214"/>
      <c r="AD611" s="1214"/>
      <c r="AE611" s="1532"/>
      <c r="AF611" s="1214"/>
      <c r="AG611" s="1214"/>
      <c r="AH611" s="1214"/>
      <c r="AI611" s="1214"/>
      <c r="AJ611" s="1532"/>
      <c r="AK611" s="1214"/>
      <c r="AL611" s="1214"/>
      <c r="AM611" s="1214"/>
      <c r="AN611" s="1214"/>
      <c r="AO611" s="1532"/>
      <c r="AP611" s="1214"/>
      <c r="AQ611" s="1214"/>
      <c r="AR611" s="1214"/>
      <c r="AS611" s="1214"/>
      <c r="AT611" s="1532"/>
      <c r="AU611" s="1214"/>
      <c r="AV611" s="1214"/>
      <c r="AW611" s="1214"/>
      <c r="AX611" s="1214"/>
      <c r="AY611" s="1532"/>
      <c r="AZ611" s="1214"/>
      <c r="BA611" s="1214"/>
      <c r="BB611" s="1214"/>
      <c r="BC611" s="1214"/>
      <c r="BD611" s="1532"/>
      <c r="BE611" s="1214"/>
      <c r="BF611" s="1214"/>
      <c r="BG611" s="1214"/>
      <c r="BH611" s="1214"/>
      <c r="BI611" s="1952"/>
      <c r="BJ611" s="1214"/>
      <c r="BK611" s="1214"/>
      <c r="BL611" s="1214"/>
      <c r="BM611" s="1214"/>
      <c r="BN611" s="1952"/>
      <c r="BO611" s="1214"/>
      <c r="BP611" s="1214"/>
      <c r="BQ611" s="1214"/>
      <c r="BR611" s="1214"/>
      <c r="BS611" s="1952"/>
      <c r="BT611" s="1214"/>
      <c r="BU611" s="1214"/>
      <c r="BV611" s="1214"/>
      <c r="BW611" s="1214"/>
      <c r="BX611" s="1952"/>
      <c r="BY611" s="1214"/>
      <c r="BZ611" s="1214"/>
      <c r="CA611" s="1214"/>
      <c r="CB611" s="1214"/>
      <c r="CC611" s="1952"/>
      <c r="CD611" s="1214"/>
      <c r="CE611" s="1214"/>
      <c r="CF611" s="1214"/>
      <c r="CG611" s="1625">
        <v>7.0000000000000001E-3</v>
      </c>
      <c r="CH611" s="2249">
        <v>1.2E-2</v>
      </c>
      <c r="CI611" s="1193"/>
      <c r="CJ611" s="1193"/>
      <c r="CK611" s="1193"/>
      <c r="CL611" s="1193"/>
      <c r="CM611" s="1946"/>
      <c r="CN611" s="1193"/>
      <c r="CO611" s="1193"/>
      <c r="CP611" s="1193"/>
      <c r="CQ611" s="1193"/>
      <c r="CR611" s="1946"/>
      <c r="CS611" s="1946"/>
      <c r="CT611" s="1946"/>
      <c r="CU611" s="1193"/>
      <c r="CV611" s="1947"/>
      <c r="CW611" s="1947"/>
      <c r="CX611" s="1947"/>
      <c r="DA611" s="212"/>
      <c r="DB611" s="1226"/>
    </row>
    <row r="612" spans="1:106" s="1193" customFormat="1" outlineLevel="1" x14ac:dyDescent="0.2">
      <c r="A612" s="2043" t="s">
        <v>819</v>
      </c>
      <c r="B612" s="1302" t="s">
        <v>673</v>
      </c>
      <c r="C612" s="1302" t="s">
        <v>673</v>
      </c>
      <c r="D612" s="1302" t="s">
        <v>673</v>
      </c>
      <c r="E612" s="1302" t="s">
        <v>673</v>
      </c>
      <c r="F612" s="1302" t="s">
        <v>673</v>
      </c>
      <c r="G612" s="1302" t="s">
        <v>673</v>
      </c>
      <c r="H612" s="1302" t="s">
        <v>673</v>
      </c>
      <c r="I612" s="1302" t="s">
        <v>673</v>
      </c>
      <c r="J612" s="1302" t="s">
        <v>673</v>
      </c>
      <c r="K612" s="1302" t="s">
        <v>673</v>
      </c>
      <c r="L612" s="1882" t="s">
        <v>673</v>
      </c>
      <c r="M612" s="1882" t="s">
        <v>673</v>
      </c>
      <c r="N612" s="1882" t="s">
        <v>673</v>
      </c>
      <c r="O612" s="1882" t="s">
        <v>673</v>
      </c>
      <c r="P612" s="3392" t="s">
        <v>673</v>
      </c>
      <c r="Q612" s="1214">
        <v>-2.4E-2</v>
      </c>
      <c r="R612" s="1214">
        <v>-3.2000000000000001E-2</v>
      </c>
      <c r="S612" s="1214">
        <v>-1.2E-2</v>
      </c>
      <c r="T612" s="1214">
        <v>-8.0000000000000002E-3</v>
      </c>
      <c r="U612" s="1532">
        <v>-1.7999999999999999E-2</v>
      </c>
      <c r="V612" s="1214">
        <v>1.2999999999999999E-2</v>
      </c>
      <c r="W612" s="1214">
        <v>2.3E-2</v>
      </c>
      <c r="X612" s="1214">
        <v>3.6999999999999998E-2</v>
      </c>
      <c r="Y612" s="1214">
        <v>5.0999999999999997E-2</v>
      </c>
      <c r="Z612" s="1532">
        <v>3.3000000000000002E-2</v>
      </c>
      <c r="AA612" s="1214">
        <v>5.8000000000000003E-2</v>
      </c>
      <c r="AB612" s="1214">
        <v>7.2999999999999995E-2</v>
      </c>
      <c r="AC612" s="1214">
        <v>6.2E-2</v>
      </c>
      <c r="AD612" s="1214">
        <v>7.5999999999999998E-2</v>
      </c>
      <c r="AE612" s="1532">
        <v>6.9000000000000006E-2</v>
      </c>
      <c r="AF612" s="1214">
        <v>0.08</v>
      </c>
      <c r="AG612" s="1214">
        <v>8.7999999999999995E-2</v>
      </c>
      <c r="AH612" s="1214">
        <v>8.5999999999999993E-2</v>
      </c>
      <c r="AI612" s="1214">
        <v>7.9000000000000001E-2</v>
      </c>
      <c r="AJ612" s="1532">
        <v>8.3000000000000004E-2</v>
      </c>
      <c r="AK612" s="1214">
        <v>6.3E-2</v>
      </c>
      <c r="AL612" s="1214">
        <v>4.2000000000000003E-2</v>
      </c>
      <c r="AM612" s="1214">
        <v>5.1999999999999998E-2</v>
      </c>
      <c r="AN612" s="1214">
        <v>6.3E-2</v>
      </c>
      <c r="AO612" s="1532">
        <v>5.5E-2</v>
      </c>
      <c r="AP612" s="1214">
        <v>3.9E-2</v>
      </c>
      <c r="AQ612" s="1214">
        <v>3.3000000000000002E-2</v>
      </c>
      <c r="AR612" s="1214">
        <v>2.1000000000000001E-2</v>
      </c>
      <c r="AS612" s="1214">
        <v>-2.5000000000000001E-2</v>
      </c>
      <c r="AT612" s="1532">
        <v>1.4E-2</v>
      </c>
      <c r="AU612" s="1214">
        <v>8.2000000000000003E-2</v>
      </c>
      <c r="AV612" s="1214">
        <v>-0.13400000000000001</v>
      </c>
      <c r="AW612" s="1214">
        <v>0.13600000000000001</v>
      </c>
      <c r="AX612" s="1214">
        <v>-0.106</v>
      </c>
      <c r="AY612" s="1532">
        <v>-0.11700000000000001</v>
      </c>
      <c r="AZ612" s="1214">
        <v>-7.0999999999999994E-2</v>
      </c>
      <c r="BA612" s="1214">
        <v>0</v>
      </c>
      <c r="BB612" s="1214">
        <v>2.5999999999999999E-2</v>
      </c>
      <c r="BC612" s="1214">
        <v>2.1999999999999999E-2</v>
      </c>
      <c r="BD612" s="1532">
        <v>-6.0000000000000001E-3</v>
      </c>
      <c r="BE612" s="1214">
        <v>2.5999999999999999E-2</v>
      </c>
      <c r="BF612" s="1214">
        <v>3.5999999999999997E-2</v>
      </c>
      <c r="BG612" s="1214">
        <v>2.8000000000000001E-2</v>
      </c>
      <c r="BH612" s="1214">
        <v>2.8000000000000001E-2</v>
      </c>
      <c r="BI612" s="1952">
        <v>3.3000000000000002E-2</v>
      </c>
      <c r="BJ612" s="1214">
        <v>3.4000000000000002E-2</v>
      </c>
      <c r="BK612" s="1214">
        <v>3.4000000000000002E-2</v>
      </c>
      <c r="BL612" s="1214">
        <v>4.3999999999999997E-2</v>
      </c>
      <c r="BM612" s="1214">
        <v>3.3000000000000002E-2</v>
      </c>
      <c r="BN612" s="1952">
        <v>3.5999999999999997E-2</v>
      </c>
      <c r="BO612" s="1214">
        <v>3.6999999999999998E-2</v>
      </c>
      <c r="BP612" s="1214">
        <v>0.04</v>
      </c>
      <c r="BQ612" s="1214">
        <v>4.3999999999999997E-2</v>
      </c>
      <c r="BR612" s="1214">
        <v>3.5999999999999997E-2</v>
      </c>
      <c r="BS612" s="1952">
        <v>0.04</v>
      </c>
      <c r="BT612" s="1214">
        <v>3.5000000000000003E-2</v>
      </c>
      <c r="BU612" s="1214">
        <v>3.2000000000000001E-2</v>
      </c>
      <c r="BV612" s="1214">
        <v>4.8000000000000001E-2</v>
      </c>
      <c r="BW612" s="1214">
        <v>4.3999999999999997E-2</v>
      </c>
      <c r="BX612" s="1952">
        <v>0.04</v>
      </c>
      <c r="BY612" s="1214">
        <v>0.05</v>
      </c>
      <c r="BZ612" s="1214">
        <v>4.8000000000000001E-2</v>
      </c>
      <c r="CA612" s="1214">
        <v>3.5000000000000003E-2</v>
      </c>
      <c r="CB612" s="1214">
        <v>2.9000000000000001E-2</v>
      </c>
      <c r="CC612" s="1952">
        <v>4.2000000000000003E-2</v>
      </c>
      <c r="CD612" s="1214">
        <v>2.5999999999999999E-2</v>
      </c>
      <c r="CE612" s="1214">
        <v>1.6E-2</v>
      </c>
      <c r="CF612" s="1214">
        <v>2.3E-2</v>
      </c>
      <c r="CG612" s="1214">
        <v>-2E-3</v>
      </c>
      <c r="CH612" s="1952">
        <v>1.4999999999999999E-2</v>
      </c>
      <c r="CM612" s="1946"/>
      <c r="CR612" s="1946"/>
      <c r="CS612" s="1946"/>
      <c r="CT612" s="1946"/>
      <c r="CV612" s="2702"/>
      <c r="CW612" s="2702"/>
      <c r="CX612" s="2702"/>
      <c r="DA612" s="212"/>
      <c r="DB612" s="1226"/>
    </row>
    <row r="613" spans="1:106" s="1193" customFormat="1" outlineLevel="1" x14ac:dyDescent="0.2">
      <c r="A613" s="3391" t="s">
        <v>2674</v>
      </c>
      <c r="B613" s="1302"/>
      <c r="C613" s="1302"/>
      <c r="D613" s="1302"/>
      <c r="E613" s="1302"/>
      <c r="F613" s="1302"/>
      <c r="G613" s="1302"/>
      <c r="H613" s="1302"/>
      <c r="I613" s="1302"/>
      <c r="J613" s="1302"/>
      <c r="K613" s="1302"/>
      <c r="L613" s="1882"/>
      <c r="M613" s="1882"/>
      <c r="N613" s="1882"/>
      <c r="O613" s="1882"/>
      <c r="P613" s="3392"/>
      <c r="Q613" s="1214"/>
      <c r="R613" s="1214"/>
      <c r="S613" s="1214"/>
      <c r="T613" s="1214"/>
      <c r="U613" s="1532"/>
      <c r="V613" s="1214"/>
      <c r="W613" s="1214"/>
      <c r="X613" s="1214"/>
      <c r="Y613" s="1214"/>
      <c r="Z613" s="1532"/>
      <c r="AA613" s="1214"/>
      <c r="AB613" s="1214"/>
      <c r="AC613" s="1214"/>
      <c r="AD613" s="1214"/>
      <c r="AE613" s="1532"/>
      <c r="AF613" s="1214"/>
      <c r="AG613" s="1214"/>
      <c r="AH613" s="1214"/>
      <c r="AI613" s="1214"/>
      <c r="AJ613" s="1532"/>
      <c r="AK613" s="1214"/>
      <c r="AL613" s="1214"/>
      <c r="AM613" s="1214"/>
      <c r="AN613" s="1214"/>
      <c r="AO613" s="1532"/>
      <c r="AP613" s="1214"/>
      <c r="AQ613" s="1214"/>
      <c r="AR613" s="1214"/>
      <c r="AS613" s="1214"/>
      <c r="AT613" s="1532"/>
      <c r="AU613" s="1214"/>
      <c r="AV613" s="1214"/>
      <c r="AW613" s="1214"/>
      <c r="AX613" s="1214"/>
      <c r="AY613" s="1532"/>
      <c r="AZ613" s="1214"/>
      <c r="BA613" s="1214"/>
      <c r="BB613" s="1214"/>
      <c r="BC613" s="1214"/>
      <c r="BD613" s="1532"/>
      <c r="BE613" s="1214"/>
      <c r="BF613" s="1214"/>
      <c r="BG613" s="1214"/>
      <c r="BH613" s="1214"/>
      <c r="BI613" s="1952"/>
      <c r="BJ613" s="1214"/>
      <c r="BK613" s="1214"/>
      <c r="BL613" s="1214"/>
      <c r="BM613" s="1214"/>
      <c r="BN613" s="1952"/>
      <c r="BO613" s="1214"/>
      <c r="BP613" s="1214"/>
      <c r="BQ613" s="1214"/>
      <c r="BR613" s="1214"/>
      <c r="BS613" s="1952"/>
      <c r="BT613" s="1214"/>
      <c r="BU613" s="1214"/>
      <c r="BV613" s="1214"/>
      <c r="BW613" s="1214"/>
      <c r="BX613" s="1952"/>
      <c r="BY613" s="1214"/>
      <c r="BZ613" s="1214"/>
      <c r="CA613" s="1214"/>
      <c r="CB613" s="1214"/>
      <c r="CC613" s="1952"/>
      <c r="CD613" s="1214"/>
      <c r="CE613" s="1214"/>
      <c r="CF613" s="1214"/>
      <c r="CG613" s="1214">
        <v>0.02</v>
      </c>
      <c r="CH613" s="1952">
        <v>0.02</v>
      </c>
      <c r="CM613" s="1946"/>
      <c r="CR613" s="1946"/>
      <c r="CS613" s="1946"/>
      <c r="CT613" s="1946"/>
      <c r="CV613" s="2702"/>
      <c r="CW613" s="2702"/>
      <c r="CX613" s="2702"/>
      <c r="DA613" s="212"/>
      <c r="DB613" s="1226"/>
    </row>
    <row r="614" spans="1:106" s="1193" customFormat="1" outlineLevel="1" x14ac:dyDescent="0.2">
      <c r="A614" s="3391" t="s">
        <v>2675</v>
      </c>
      <c r="B614" s="1302"/>
      <c r="C614" s="1302"/>
      <c r="D614" s="1302"/>
      <c r="E614" s="1302"/>
      <c r="F614" s="1302"/>
      <c r="G614" s="1302"/>
      <c r="H614" s="1302"/>
      <c r="I614" s="1302"/>
      <c r="J614" s="1302"/>
      <c r="K614" s="1302"/>
      <c r="L614" s="1882"/>
      <c r="M614" s="1882"/>
      <c r="N614" s="1882"/>
      <c r="O614" s="1882"/>
      <c r="P614" s="3392"/>
      <c r="Q614" s="1214"/>
      <c r="R614" s="1214"/>
      <c r="S614" s="1214"/>
      <c r="T614" s="1214"/>
      <c r="U614" s="1532"/>
      <c r="V614" s="1214"/>
      <c r="W614" s="1214"/>
      <c r="X614" s="1214"/>
      <c r="Y614" s="1214"/>
      <c r="Z614" s="1532"/>
      <c r="AA614" s="1214"/>
      <c r="AB614" s="1214"/>
      <c r="AC614" s="1214"/>
      <c r="AD614" s="1214"/>
      <c r="AE614" s="1532"/>
      <c r="AF614" s="1214"/>
      <c r="AG614" s="1214"/>
      <c r="AH614" s="1214"/>
      <c r="AI614" s="1214"/>
      <c r="AJ614" s="1532"/>
      <c r="AK614" s="1214"/>
      <c r="AL614" s="1214"/>
      <c r="AM614" s="1214"/>
      <c r="AN614" s="1214"/>
      <c r="AO614" s="1532"/>
      <c r="AP614" s="1214"/>
      <c r="AQ614" s="1214"/>
      <c r="AR614" s="1214"/>
      <c r="AS614" s="1214"/>
      <c r="AT614" s="1532"/>
      <c r="AU614" s="1214"/>
      <c r="AV614" s="1214"/>
      <c r="AW614" s="1214"/>
      <c r="AX614" s="1214"/>
      <c r="AY614" s="1532"/>
      <c r="AZ614" s="1214"/>
      <c r="BA614" s="1214"/>
      <c r="BB614" s="1214"/>
      <c r="BC614" s="1214"/>
      <c r="BD614" s="1532"/>
      <c r="BE614" s="1214"/>
      <c r="BF614" s="1214"/>
      <c r="BG614" s="1214"/>
      <c r="BH614" s="1214"/>
      <c r="BI614" s="1952"/>
      <c r="BJ614" s="1214"/>
      <c r="BK614" s="1214"/>
      <c r="BL614" s="1214"/>
      <c r="BM614" s="1214"/>
      <c r="BN614" s="1952"/>
      <c r="BO614" s="1214"/>
      <c r="BP614" s="1214"/>
      <c r="BQ614" s="1214"/>
      <c r="BR614" s="1214"/>
      <c r="BS614" s="1952"/>
      <c r="BT614" s="1214"/>
      <c r="BU614" s="1214"/>
      <c r="BV614" s="1214"/>
      <c r="BW614" s="1214"/>
      <c r="BX614" s="1952"/>
      <c r="BY614" s="1214"/>
      <c r="BZ614" s="1214"/>
      <c r="CA614" s="1214"/>
      <c r="CB614" s="1214"/>
      <c r="CC614" s="1952"/>
      <c r="CD614" s="1214"/>
      <c r="CE614" s="1214"/>
      <c r="CF614" s="1214"/>
      <c r="CG614" s="1214">
        <v>1.4999999999999999E-2</v>
      </c>
      <c r="CH614" s="1952">
        <v>2.3E-2</v>
      </c>
      <c r="CM614" s="1946"/>
      <c r="CR614" s="1946"/>
      <c r="CS614" s="1946"/>
      <c r="CT614" s="1946"/>
      <c r="CV614" s="2702"/>
      <c r="CW614" s="2702"/>
      <c r="CX614" s="2702"/>
      <c r="DA614" s="212"/>
      <c r="DB614" s="1226"/>
    </row>
    <row r="615" spans="1:106" s="1193" customFormat="1" outlineLevel="1" x14ac:dyDescent="0.2">
      <c r="A615" s="2014" t="s">
        <v>2676</v>
      </c>
      <c r="B615" s="1302"/>
      <c r="C615" s="1302"/>
      <c r="D615" s="1302"/>
      <c r="E615" s="1302"/>
      <c r="F615" s="1302"/>
      <c r="G615" s="1302"/>
      <c r="H615" s="1302"/>
      <c r="I615" s="1302"/>
      <c r="J615" s="1302"/>
      <c r="K615" s="1302"/>
      <c r="L615" s="1882"/>
      <c r="M615" s="1882"/>
      <c r="N615" s="1882"/>
      <c r="O615" s="1882"/>
      <c r="P615" s="3392"/>
      <c r="Q615" s="1214"/>
      <c r="R615" s="1214"/>
      <c r="S615" s="1214"/>
      <c r="T615" s="1214"/>
      <c r="U615" s="1532"/>
      <c r="V615" s="1214"/>
      <c r="W615" s="1214"/>
      <c r="X615" s="1214"/>
      <c r="Y615" s="1214"/>
      <c r="Z615" s="1532"/>
      <c r="AA615" s="1214"/>
      <c r="AB615" s="1214"/>
      <c r="AC615" s="1214"/>
      <c r="AD615" s="1214"/>
      <c r="AE615" s="1532"/>
      <c r="AF615" s="1214"/>
      <c r="AG615" s="1214"/>
      <c r="AH615" s="1214"/>
      <c r="AI615" s="1214"/>
      <c r="AJ615" s="1532"/>
      <c r="AK615" s="1214"/>
      <c r="AL615" s="1214"/>
      <c r="AM615" s="1214"/>
      <c r="AN615" s="1214"/>
      <c r="AO615" s="1532"/>
      <c r="AP615" s="1214"/>
      <c r="AQ615" s="1214"/>
      <c r="AR615" s="1214"/>
      <c r="AS615" s="1214"/>
      <c r="AT615" s="1532"/>
      <c r="AU615" s="1214"/>
      <c r="AV615" s="1214"/>
      <c r="AW615" s="1214"/>
      <c r="AX615" s="1214"/>
      <c r="AY615" s="1532"/>
      <c r="AZ615" s="1214"/>
      <c r="BA615" s="1214"/>
      <c r="BB615" s="1214"/>
      <c r="BC615" s="1214"/>
      <c r="BD615" s="1532"/>
      <c r="BE615" s="1214"/>
      <c r="BF615" s="1214"/>
      <c r="BG615" s="1214"/>
      <c r="BH615" s="1214"/>
      <c r="BI615" s="1952"/>
      <c r="BJ615" s="1214"/>
      <c r="BK615" s="1214"/>
      <c r="BL615" s="1214"/>
      <c r="BM615" s="1214"/>
      <c r="BN615" s="1952"/>
      <c r="BO615" s="1214"/>
      <c r="BP615" s="1214"/>
      <c r="BQ615" s="1214"/>
      <c r="BR615" s="1214"/>
      <c r="BS615" s="1952"/>
      <c r="BT615" s="1214"/>
      <c r="BU615" s="1214"/>
      <c r="BV615" s="1214"/>
      <c r="BW615" s="1214"/>
      <c r="BX615" s="1952"/>
      <c r="BY615" s="1214"/>
      <c r="BZ615" s="1214"/>
      <c r="CA615" s="1214"/>
      <c r="CB615" s="1214"/>
      <c r="CC615" s="1952"/>
      <c r="CD615" s="1214"/>
      <c r="CE615" s="1214"/>
      <c r="CF615" s="1214"/>
      <c r="CG615" s="1625">
        <v>8.9999999999999993E-3</v>
      </c>
      <c r="CH615" s="2249">
        <v>1.9E-2</v>
      </c>
      <c r="CM615" s="1946"/>
      <c r="CR615" s="1946"/>
      <c r="CS615" s="1946"/>
      <c r="CT615" s="1946"/>
      <c r="CV615" s="2702"/>
      <c r="CW615" s="2702"/>
      <c r="CX615" s="2702"/>
      <c r="DA615" s="212"/>
      <c r="DB615" s="1226"/>
    </row>
    <row r="616" spans="1:106" s="1193" customFormat="1" outlineLevel="1" x14ac:dyDescent="0.2">
      <c r="A616" s="2014" t="s">
        <v>50</v>
      </c>
      <c r="B616" s="1302"/>
      <c r="C616" s="1302"/>
      <c r="D616" s="1302"/>
      <c r="E616" s="1302"/>
      <c r="F616" s="1302"/>
      <c r="G616" s="1302"/>
      <c r="H616" s="1302"/>
      <c r="I616" s="1302"/>
      <c r="J616" s="1302"/>
      <c r="K616" s="1302"/>
      <c r="L616" s="1882"/>
      <c r="M616" s="1882"/>
      <c r="N616" s="1882"/>
      <c r="O616" s="1882"/>
      <c r="P616" s="3392"/>
      <c r="Q616" s="1214"/>
      <c r="R616" s="1214"/>
      <c r="S616" s="1214"/>
      <c r="T616" s="1214"/>
      <c r="U616" s="1532"/>
      <c r="V616" s="1214"/>
      <c r="W616" s="1214"/>
      <c r="X616" s="1214"/>
      <c r="Y616" s="1214"/>
      <c r="Z616" s="1532"/>
      <c r="AA616" s="1214"/>
      <c r="AB616" s="1214"/>
      <c r="AC616" s="1214"/>
      <c r="AD616" s="1214"/>
      <c r="AE616" s="1532"/>
      <c r="AF616" s="1214"/>
      <c r="AG616" s="1214"/>
      <c r="AH616" s="1214"/>
      <c r="AI616" s="1214"/>
      <c r="AJ616" s="1532"/>
      <c r="AK616" s="1214"/>
      <c r="AL616" s="1214"/>
      <c r="AM616" s="1214"/>
      <c r="AN616" s="1214"/>
      <c r="AO616" s="1532"/>
      <c r="AP616" s="1214"/>
      <c r="AQ616" s="1214"/>
      <c r="AR616" s="1214"/>
      <c r="AS616" s="1214"/>
      <c r="AT616" s="1532"/>
      <c r="AU616" s="1214"/>
      <c r="AV616" s="1214"/>
      <c r="AW616" s="1214"/>
      <c r="AX616" s="1214"/>
      <c r="AY616" s="1532"/>
      <c r="AZ616" s="1214"/>
      <c r="BA616" s="1214"/>
      <c r="BB616" s="1214"/>
      <c r="BC616" s="1214"/>
      <c r="BD616" s="1532"/>
      <c r="BE616" s="1214"/>
      <c r="BF616" s="1214"/>
      <c r="BG616" s="1214"/>
      <c r="BH616" s="1214"/>
      <c r="BI616" s="1952"/>
      <c r="BJ616" s="1214"/>
      <c r="BK616" s="1214"/>
      <c r="BL616" s="1214"/>
      <c r="BM616" s="1214"/>
      <c r="BN616" s="1952"/>
      <c r="BO616" s="1214"/>
      <c r="BP616" s="1214"/>
      <c r="BQ616" s="1214"/>
      <c r="BR616" s="1214"/>
      <c r="BS616" s="1952"/>
      <c r="BT616" s="1214"/>
      <c r="BU616" s="1214"/>
      <c r="BV616" s="1214"/>
      <c r="BW616" s="1214"/>
      <c r="BX616" s="1952"/>
      <c r="BY616" s="1214"/>
      <c r="BZ616" s="1214"/>
      <c r="CA616" s="1214"/>
      <c r="CB616" s="1214"/>
      <c r="CC616" s="1952"/>
      <c r="CD616" s="1214"/>
      <c r="CE616" s="1214"/>
      <c r="CF616" s="1214"/>
      <c r="CG616" s="1625">
        <v>0.01</v>
      </c>
      <c r="CH616" s="2249">
        <v>1.9E-2</v>
      </c>
      <c r="CM616" s="1946"/>
      <c r="CR616" s="1946"/>
      <c r="CS616" s="1946"/>
      <c r="CT616" s="1946"/>
      <c r="CV616" s="2702"/>
      <c r="CW616" s="2702"/>
      <c r="CX616" s="2702"/>
      <c r="DA616" s="212"/>
      <c r="DB616" s="1226"/>
    </row>
    <row r="617" spans="1:106" s="11" customFormat="1" outlineLevel="1" x14ac:dyDescent="0.2">
      <c r="A617" s="1945" t="s">
        <v>822</v>
      </c>
      <c r="B617" s="1302" t="s">
        <v>673</v>
      </c>
      <c r="C617" s="1302" t="s">
        <v>673</v>
      </c>
      <c r="D617" s="1302" t="s">
        <v>673</v>
      </c>
      <c r="E617" s="1302" t="s">
        <v>673</v>
      </c>
      <c r="F617" s="1302" t="s">
        <v>673</v>
      </c>
      <c r="G617" s="1302" t="s">
        <v>673</v>
      </c>
      <c r="H617" s="1302" t="s">
        <v>673</v>
      </c>
      <c r="I617" s="1302" t="s">
        <v>673</v>
      </c>
      <c r="J617" s="1302" t="s">
        <v>673</v>
      </c>
      <c r="K617" s="2001" t="s">
        <v>673</v>
      </c>
      <c r="L617" s="1882" t="s">
        <v>673</v>
      </c>
      <c r="M617" s="1882" t="s">
        <v>673</v>
      </c>
      <c r="N617" s="1882" t="s">
        <v>673</v>
      </c>
      <c r="O617" s="1882" t="s">
        <v>673</v>
      </c>
      <c r="P617" s="2002" t="s">
        <v>673</v>
      </c>
      <c r="Q617" s="1214">
        <v>-0.01</v>
      </c>
      <c r="R617" s="1214">
        <v>-2.3E-2</v>
      </c>
      <c r="S617" s="1214">
        <v>-2E-3</v>
      </c>
      <c r="T617" s="1214">
        <v>6.0000000000000001E-3</v>
      </c>
      <c r="U617" s="1952">
        <v>-6.0000000000000001E-3</v>
      </c>
      <c r="V617" s="1214">
        <v>2.4E-2</v>
      </c>
      <c r="W617" s="1214">
        <v>4.8000000000000001E-2</v>
      </c>
      <c r="X617" s="1214">
        <v>0.05</v>
      </c>
      <c r="Y617" s="1214">
        <v>6.8000000000000005E-2</v>
      </c>
      <c r="Z617" s="1952">
        <v>4.9000000000000002E-2</v>
      </c>
      <c r="AA617" s="1214">
        <v>7.9000000000000001E-2</v>
      </c>
      <c r="AB617" s="1214">
        <v>8.1000000000000003E-2</v>
      </c>
      <c r="AC617" s="1214">
        <v>7.0999999999999994E-2</v>
      </c>
      <c r="AD617" s="1214">
        <v>8.3000000000000004E-2</v>
      </c>
      <c r="AE617" s="1952">
        <v>7.9000000000000001E-2</v>
      </c>
      <c r="AF617" s="1214">
        <v>9.5000000000000001E-2</v>
      </c>
      <c r="AG617" s="1214">
        <v>9.7000000000000003E-2</v>
      </c>
      <c r="AH617" s="1214">
        <v>9.6000000000000002E-2</v>
      </c>
      <c r="AI617" s="1214">
        <v>9.2999999999999999E-2</v>
      </c>
      <c r="AJ617" s="1952">
        <v>9.5000000000000001E-2</v>
      </c>
      <c r="AK617" s="1214">
        <v>7.1999999999999995E-2</v>
      </c>
      <c r="AL617" s="1214">
        <v>6.2E-2</v>
      </c>
      <c r="AM617" s="1214">
        <v>4.8000000000000001E-2</v>
      </c>
      <c r="AN617" s="1214">
        <v>5.7000000000000002E-2</v>
      </c>
      <c r="AO617" s="1952">
        <v>5.8999999999999997E-2</v>
      </c>
      <c r="AP617" s="1214">
        <v>0.03</v>
      </c>
      <c r="AQ617" s="1214">
        <v>2.5000000000000001E-2</v>
      </c>
      <c r="AR617" s="1214">
        <v>1.2E-2</v>
      </c>
      <c r="AS617" s="1214">
        <v>-3.6999999999999998E-2</v>
      </c>
      <c r="AT617" s="1952">
        <v>4.0000000000000001E-3</v>
      </c>
      <c r="AU617" s="1214">
        <v>-8.8999999999999996E-2</v>
      </c>
      <c r="AV617" s="1214">
        <v>-0.13300000000000001</v>
      </c>
      <c r="AW617" s="1214">
        <v>-0.13300000000000001</v>
      </c>
      <c r="AX617" s="1214">
        <v>-0.106</v>
      </c>
      <c r="AY617" s="1952">
        <v>-0.11799999999999999</v>
      </c>
      <c r="AZ617" s="1214">
        <v>-6.7000000000000004E-2</v>
      </c>
      <c r="BA617" s="1214">
        <v>-8.9999999999999993E-3</v>
      </c>
      <c r="BB617" s="1214">
        <v>1.7999999999999999E-2</v>
      </c>
      <c r="BC617" s="1214">
        <v>1.4999999999999999E-2</v>
      </c>
      <c r="BD617" s="1952">
        <v>-0.01</v>
      </c>
      <c r="BE617" s="1214">
        <v>2.5000000000000001E-2</v>
      </c>
      <c r="BF617" s="1214">
        <v>3.2000000000000001E-2</v>
      </c>
      <c r="BG617" s="1214">
        <v>0.03</v>
      </c>
      <c r="BH617" s="1214">
        <v>3.3000000000000002E-2</v>
      </c>
      <c r="BI617" s="1952">
        <v>0.03</v>
      </c>
      <c r="BJ617" s="1214">
        <v>3.7999999999999999E-2</v>
      </c>
      <c r="BK617" s="1214">
        <v>4.4999999999999998E-2</v>
      </c>
      <c r="BL617" s="1214">
        <v>5.0999999999999997E-2</v>
      </c>
      <c r="BM617" s="1214">
        <v>4.8000000000000001E-2</v>
      </c>
      <c r="BN617" s="1952">
        <v>4.5999999999999999E-2</v>
      </c>
      <c r="BO617" s="1214">
        <v>0.04</v>
      </c>
      <c r="BP617" s="1214">
        <v>3.7999999999999999E-2</v>
      </c>
      <c r="BQ617" s="1214">
        <v>3.6999999999999998E-2</v>
      </c>
      <c r="BR617" s="1214">
        <v>2.5000000000000001E-2</v>
      </c>
      <c r="BS617" s="1952">
        <v>3.5999999999999997E-2</v>
      </c>
      <c r="BT617" s="1214">
        <v>3.7999999999999999E-2</v>
      </c>
      <c r="BU617" s="1214">
        <v>4.2000000000000003E-2</v>
      </c>
      <c r="BV617" s="1214">
        <v>0.05</v>
      </c>
      <c r="BW617" s="1214">
        <v>4.8000000000000001E-2</v>
      </c>
      <c r="BX617" s="1952">
        <v>4.4999999999999998E-2</v>
      </c>
      <c r="BY617" s="1214">
        <v>5.7000000000000002E-2</v>
      </c>
      <c r="BZ617" s="1214">
        <v>5.8999999999999997E-2</v>
      </c>
      <c r="CA617" s="1214">
        <v>0.05</v>
      </c>
      <c r="CB617" s="1214">
        <v>3.3000000000000002E-2</v>
      </c>
      <c r="CC617" s="1952">
        <v>0.05</v>
      </c>
      <c r="CD617" s="1214">
        <v>2.4E-2</v>
      </c>
      <c r="CE617" s="1214">
        <v>2.3E-2</v>
      </c>
      <c r="CF617" s="1214">
        <v>1.7000000000000001E-2</v>
      </c>
      <c r="CG617" s="1214">
        <v>1.2E-2</v>
      </c>
      <c r="CH617" s="1952">
        <v>1.9E-2</v>
      </c>
      <c r="CI617" s="1193"/>
      <c r="CJ617" s="1193"/>
      <c r="CK617" s="1193"/>
      <c r="CL617" s="1193"/>
      <c r="CM617" s="1946"/>
      <c r="CN617" s="1193"/>
      <c r="CO617" s="1193"/>
      <c r="CP617" s="1193"/>
      <c r="CQ617" s="1193"/>
      <c r="CR617" s="1946"/>
      <c r="CS617" s="1946"/>
      <c r="CT617" s="1946"/>
      <c r="CU617" s="1193"/>
      <c r="CV617" s="1947"/>
      <c r="CW617" s="1947"/>
      <c r="CX617" s="1947"/>
      <c r="DA617" s="212"/>
      <c r="DB617" s="1226"/>
    </row>
    <row r="618" spans="1:106" s="11" customFormat="1" outlineLevel="1" x14ac:dyDescent="0.2">
      <c r="A618" s="1945" t="s">
        <v>923</v>
      </c>
      <c r="B618" s="1302" t="s">
        <v>673</v>
      </c>
      <c r="C618" s="1302" t="s">
        <v>673</v>
      </c>
      <c r="D618" s="1302" t="s">
        <v>673</v>
      </c>
      <c r="E618" s="1302" t="s">
        <v>673</v>
      </c>
      <c r="F618" s="1302" t="s">
        <v>673</v>
      </c>
      <c r="G618" s="1302" t="s">
        <v>673</v>
      </c>
      <c r="H618" s="1302" t="s">
        <v>673</v>
      </c>
      <c r="I618" s="1302" t="s">
        <v>673</v>
      </c>
      <c r="J618" s="1302" t="s">
        <v>673</v>
      </c>
      <c r="K618" s="2001" t="s">
        <v>673</v>
      </c>
      <c r="L618" s="1882" t="s">
        <v>673</v>
      </c>
      <c r="M618" s="1882" t="s">
        <v>673</v>
      </c>
      <c r="N618" s="1882" t="s">
        <v>673</v>
      </c>
      <c r="O618" s="1882" t="s">
        <v>673</v>
      </c>
      <c r="P618" s="2002" t="s">
        <v>673</v>
      </c>
      <c r="Q618" s="1214">
        <v>-2.1999999999999999E-2</v>
      </c>
      <c r="R618" s="1214">
        <v>-2.8000000000000001E-2</v>
      </c>
      <c r="S618" s="1214">
        <v>-1.4E-2</v>
      </c>
      <c r="T618" s="1214">
        <v>-6.0000000000000001E-3</v>
      </c>
      <c r="U618" s="1952">
        <v>-1.4E-2</v>
      </c>
      <c r="V618" s="1214">
        <v>1.7000000000000001E-2</v>
      </c>
      <c r="W618" s="1214">
        <v>3.3000000000000002E-2</v>
      </c>
      <c r="X618" s="1214">
        <v>2.7E-2</v>
      </c>
      <c r="Y618" s="1214">
        <v>4.7E-2</v>
      </c>
      <c r="Z618" s="1952">
        <v>3.2000000000000001E-2</v>
      </c>
      <c r="AA618" s="1214">
        <v>6.2E-2</v>
      </c>
      <c r="AB618" s="1214">
        <v>7.0000000000000007E-2</v>
      </c>
      <c r="AC618" s="1214">
        <v>7.0999999999999994E-2</v>
      </c>
      <c r="AD618" s="1214">
        <v>6.4000000000000001E-2</v>
      </c>
      <c r="AE618" s="1952">
        <v>6.7000000000000004E-2</v>
      </c>
      <c r="AF618" s="1214">
        <v>8.2000000000000003E-2</v>
      </c>
      <c r="AG618" s="1214">
        <v>8.2000000000000003E-2</v>
      </c>
      <c r="AH618" s="1214">
        <v>7.6999999999999999E-2</v>
      </c>
      <c r="AI618" s="1214">
        <v>8.6999999999999994E-2</v>
      </c>
      <c r="AJ618" s="1952">
        <v>8.2000000000000003E-2</v>
      </c>
      <c r="AK618" s="1214">
        <v>7.5999999999999998E-2</v>
      </c>
      <c r="AL618" s="1214">
        <v>6.0999999999999999E-2</v>
      </c>
      <c r="AM618" s="1214">
        <v>5.3999999999999999E-2</v>
      </c>
      <c r="AN618" s="1214">
        <v>5.6000000000000001E-2</v>
      </c>
      <c r="AO618" s="1952">
        <v>6.0999999999999999E-2</v>
      </c>
      <c r="AP618" s="1214">
        <v>3.4000000000000002E-2</v>
      </c>
      <c r="AQ618" s="1214">
        <v>2.8000000000000001E-2</v>
      </c>
      <c r="AR618" s="1214">
        <v>2.1999999999999999E-2</v>
      </c>
      <c r="AS618" s="1214">
        <v>-1.4E-2</v>
      </c>
      <c r="AT618" s="1952">
        <v>1.4999999999999999E-2</v>
      </c>
      <c r="AU618" s="1214">
        <v>-6.3E-2</v>
      </c>
      <c r="AV618" s="1214">
        <v>-9.9000000000000005E-2</v>
      </c>
      <c r="AW618" s="1214">
        <v>-0.11</v>
      </c>
      <c r="AX618" s="1214">
        <v>-9.1999999999999998E-2</v>
      </c>
      <c r="AY618" s="1952">
        <v>-9.1999999999999998E-2</v>
      </c>
      <c r="AZ618" s="1214">
        <v>-6.8000000000000005E-2</v>
      </c>
      <c r="BA618" s="1214">
        <v>-1.6E-2</v>
      </c>
      <c r="BB618" s="1214">
        <v>8.9999999999999993E-3</v>
      </c>
      <c r="BC618" s="1214">
        <v>8.0000000000000002E-3</v>
      </c>
      <c r="BD618" s="1952">
        <v>-1.6E-2</v>
      </c>
      <c r="BE618" s="1214">
        <v>2.1999999999999999E-2</v>
      </c>
      <c r="BF618" s="1214">
        <v>2.3E-2</v>
      </c>
      <c r="BG618" s="1214">
        <v>3.3000000000000002E-2</v>
      </c>
      <c r="BH618" s="1214">
        <v>3.3000000000000002E-2</v>
      </c>
      <c r="BI618" s="1952">
        <v>2.9000000000000001E-2</v>
      </c>
      <c r="BJ618" s="1214">
        <v>3.3000000000000002E-2</v>
      </c>
      <c r="BK618" s="1214">
        <v>4.3999999999999997E-2</v>
      </c>
      <c r="BL618" s="1214">
        <v>4.9000000000000002E-2</v>
      </c>
      <c r="BM618" s="1214">
        <v>4.1000000000000002E-2</v>
      </c>
      <c r="BN618" s="1952">
        <v>4.2000000000000003E-2</v>
      </c>
      <c r="BO618" s="1214">
        <v>4.1000000000000002E-2</v>
      </c>
      <c r="BP618" s="1214">
        <v>3.5000000000000003E-2</v>
      </c>
      <c r="BQ618" s="1214">
        <v>3.5999999999999997E-2</v>
      </c>
      <c r="BR618" s="1214">
        <v>2.5000000000000001E-2</v>
      </c>
      <c r="BS618" s="1952">
        <v>3.5000000000000003E-2</v>
      </c>
      <c r="BT618" s="1214">
        <v>2.8000000000000001E-2</v>
      </c>
      <c r="BU618" s="1214">
        <v>3.9E-2</v>
      </c>
      <c r="BV618" s="1214">
        <v>0.05</v>
      </c>
      <c r="BW618" s="1214">
        <v>4.9000000000000002E-2</v>
      </c>
      <c r="BX618" s="1952">
        <v>4.2000000000000003E-2</v>
      </c>
      <c r="BY618" s="1214">
        <v>5.8999999999999997E-2</v>
      </c>
      <c r="BZ618" s="1214">
        <v>6.2E-2</v>
      </c>
      <c r="CA618" s="1214">
        <v>0.05</v>
      </c>
      <c r="CB618" s="1214">
        <v>0.04</v>
      </c>
      <c r="CC618" s="1952">
        <v>5.2999999999999999E-2</v>
      </c>
      <c r="CD618" s="1214">
        <v>0.03</v>
      </c>
      <c r="CE618" s="1214">
        <v>2.3E-2</v>
      </c>
      <c r="CF618" s="1214">
        <v>2.7E-2</v>
      </c>
      <c r="CG618" s="1214">
        <v>2.1000000000000001E-2</v>
      </c>
      <c r="CH618" s="1952">
        <v>2.5999999999999999E-2</v>
      </c>
      <c r="CI618" s="1193"/>
      <c r="CJ618" s="1193"/>
      <c r="CK618" s="1193"/>
      <c r="CL618" s="1193"/>
      <c r="CM618" s="1946"/>
      <c r="CN618" s="1193"/>
      <c r="CO618" s="1193"/>
      <c r="CP618" s="1193"/>
      <c r="CQ618" s="1193"/>
      <c r="CR618" s="1946"/>
      <c r="CS618" s="1946"/>
      <c r="CT618" s="1946"/>
      <c r="CU618" s="1193"/>
      <c r="CV618" s="1947"/>
      <c r="CW618" s="1947"/>
      <c r="CX618" s="1947"/>
      <c r="DA618" s="212"/>
      <c r="DB618" s="1226"/>
    </row>
    <row r="619" spans="1:106" s="11" customFormat="1" outlineLevel="1" x14ac:dyDescent="0.2">
      <c r="A619" s="1945" t="s">
        <v>823</v>
      </c>
      <c r="B619" s="1302" t="s">
        <v>673</v>
      </c>
      <c r="C619" s="1302" t="s">
        <v>673</v>
      </c>
      <c r="D619" s="1302" t="s">
        <v>673</v>
      </c>
      <c r="E619" s="1302" t="s">
        <v>673</v>
      </c>
      <c r="F619" s="1302" t="s">
        <v>673</v>
      </c>
      <c r="G619" s="1302" t="s">
        <v>673</v>
      </c>
      <c r="H619" s="1302" t="s">
        <v>673</v>
      </c>
      <c r="I619" s="1302" t="s">
        <v>673</v>
      </c>
      <c r="J619" s="1302" t="s">
        <v>673</v>
      </c>
      <c r="K619" s="2001" t="s">
        <v>673</v>
      </c>
      <c r="L619" s="1882" t="s">
        <v>673</v>
      </c>
      <c r="M619" s="1882" t="s">
        <v>673</v>
      </c>
      <c r="N619" s="1882" t="s">
        <v>673</v>
      </c>
      <c r="O619" s="1882" t="s">
        <v>673</v>
      </c>
      <c r="P619" s="2002" t="s">
        <v>673</v>
      </c>
      <c r="Q619" s="1214">
        <v>8.0000000000000002E-3</v>
      </c>
      <c r="R619" s="1214">
        <v>-3.0000000000000001E-3</v>
      </c>
      <c r="S619" s="1214">
        <v>1E-3</v>
      </c>
      <c r="T619" s="1214">
        <v>2E-3</v>
      </c>
      <c r="U619" s="1952">
        <v>2E-3</v>
      </c>
      <c r="V619" s="1214">
        <v>1.2999999999999999E-2</v>
      </c>
      <c r="W619" s="1214">
        <v>1.7999999999999999E-2</v>
      </c>
      <c r="X619" s="1214">
        <v>2.5999999999999999E-2</v>
      </c>
      <c r="Y619" s="1214">
        <v>0.06</v>
      </c>
      <c r="Z619" s="1952">
        <v>3.1E-2</v>
      </c>
      <c r="AA619" s="1214">
        <v>7.6999999999999999E-2</v>
      </c>
      <c r="AB619" s="1214">
        <v>8.5999999999999993E-2</v>
      </c>
      <c r="AC619" s="1214">
        <v>7.4999999999999997E-2</v>
      </c>
      <c r="AD619" s="1214">
        <v>8.1000000000000003E-2</v>
      </c>
      <c r="AE619" s="1952">
        <v>8.1000000000000003E-2</v>
      </c>
      <c r="AF619" s="1214">
        <v>9.7000000000000003E-2</v>
      </c>
      <c r="AG619" s="1214">
        <v>9.0999999999999998E-2</v>
      </c>
      <c r="AH619" s="1214">
        <v>8.7999999999999995E-2</v>
      </c>
      <c r="AI619" s="1214">
        <v>8.8999999999999996E-2</v>
      </c>
      <c r="AJ619" s="1952">
        <v>9.0999999999999998E-2</v>
      </c>
      <c r="AK619" s="1214">
        <v>7.9000000000000001E-2</v>
      </c>
      <c r="AL619" s="1214">
        <v>7.2999999999999995E-2</v>
      </c>
      <c r="AM619" s="1214">
        <v>6.7000000000000004E-2</v>
      </c>
      <c r="AN619" s="1214">
        <v>6.9000000000000006E-2</v>
      </c>
      <c r="AO619" s="1952">
        <v>7.1999999999999995E-2</v>
      </c>
      <c r="AP619" s="1214">
        <v>5.7000000000000002E-2</v>
      </c>
      <c r="AQ619" s="1214">
        <v>3.5999999999999997E-2</v>
      </c>
      <c r="AR619" s="1214">
        <v>2.1000000000000001E-2</v>
      </c>
      <c r="AS619" s="1214">
        <v>-1.4999999999999999E-2</v>
      </c>
      <c r="AT619" s="1952">
        <v>2.1000000000000001E-2</v>
      </c>
      <c r="AU619" s="1214">
        <v>-5.8999999999999997E-2</v>
      </c>
      <c r="AV619" s="1214">
        <v>-8.2000000000000003E-2</v>
      </c>
      <c r="AW619" s="1214">
        <v>-9.5000000000000001E-2</v>
      </c>
      <c r="AX619" s="1214">
        <v>-8.1000000000000003E-2</v>
      </c>
      <c r="AY619" s="1952">
        <v>-8.3000000000000004E-2</v>
      </c>
      <c r="AZ619" s="1214">
        <v>-5.3999999999999999E-2</v>
      </c>
      <c r="BA619" s="1214">
        <v>-1.7000000000000001E-2</v>
      </c>
      <c r="BB619" s="1214">
        <v>1.7000000000000001E-2</v>
      </c>
      <c r="BC619" s="1214">
        <v>3.2000000000000001E-2</v>
      </c>
      <c r="BD619" s="1952">
        <v>-3.0000000000000001E-3</v>
      </c>
      <c r="BE619" s="1214">
        <v>3.5000000000000003E-2</v>
      </c>
      <c r="BF619" s="1214">
        <v>3.7999999999999999E-2</v>
      </c>
      <c r="BG619" s="1214">
        <v>4.1000000000000002E-2</v>
      </c>
      <c r="BH619" s="1214">
        <v>4.2000000000000003E-2</v>
      </c>
      <c r="BI619" s="1952">
        <v>3.9E-2</v>
      </c>
      <c r="BJ619" s="1214">
        <v>4.5999999999999999E-2</v>
      </c>
      <c r="BK619" s="1214">
        <v>4.9000000000000002E-2</v>
      </c>
      <c r="BL619" s="1214">
        <v>5.0999999999999997E-2</v>
      </c>
      <c r="BM619" s="1214">
        <v>4.5999999999999999E-2</v>
      </c>
      <c r="BN619" s="1952">
        <v>4.8000000000000001E-2</v>
      </c>
      <c r="BO619" s="1214">
        <v>3.7999999999999999E-2</v>
      </c>
      <c r="BP619" s="1214">
        <v>3.5999999999999997E-2</v>
      </c>
      <c r="BQ619" s="1214">
        <v>3.4000000000000002E-2</v>
      </c>
      <c r="BR619" s="1214">
        <v>0.02</v>
      </c>
      <c r="BS619" s="1952">
        <v>3.3000000000000002E-2</v>
      </c>
      <c r="BT619" s="1214">
        <v>2.9000000000000001E-2</v>
      </c>
      <c r="BU619" s="1214">
        <v>4.2999999999999997E-2</v>
      </c>
      <c r="BV619" s="1214">
        <v>4.1000000000000002E-2</v>
      </c>
      <c r="BW619" s="1214">
        <v>4.1000000000000002E-2</v>
      </c>
      <c r="BX619" s="1952">
        <v>3.9E-2</v>
      </c>
      <c r="BY619" s="1214">
        <v>4.8000000000000001E-2</v>
      </c>
      <c r="BZ619" s="1214">
        <v>4.4999999999999998E-2</v>
      </c>
      <c r="CA619" s="1214">
        <v>4.2999999999999997E-2</v>
      </c>
      <c r="CB619" s="1214">
        <v>3.4000000000000002E-2</v>
      </c>
      <c r="CC619" s="1952">
        <v>4.2000000000000003E-2</v>
      </c>
      <c r="CD619" s="1214">
        <v>0.02</v>
      </c>
      <c r="CE619" s="1214">
        <v>0.02</v>
      </c>
      <c r="CF619" s="1214">
        <v>1.9E-2</v>
      </c>
      <c r="CG619" s="1214">
        <v>1.4999999999999999E-2</v>
      </c>
      <c r="CH619" s="1952">
        <v>1.9E-2</v>
      </c>
      <c r="CI619" s="1193"/>
      <c r="CJ619" s="1193"/>
      <c r="CK619" s="1193"/>
      <c r="CL619" s="1193"/>
      <c r="CM619" s="1946"/>
      <c r="CN619" s="1193"/>
      <c r="CO619" s="1193"/>
      <c r="CP619" s="1193"/>
      <c r="CQ619" s="1193"/>
      <c r="CR619" s="1946"/>
      <c r="CS619" s="1946"/>
      <c r="CT619" s="1946"/>
      <c r="CU619" s="1193"/>
      <c r="CV619" s="1947"/>
      <c r="CW619" s="1947"/>
      <c r="CX619" s="1947"/>
      <c r="DA619" s="212"/>
      <c r="DB619" s="1226"/>
    </row>
    <row r="620" spans="1:106" s="11" customFormat="1" outlineLevel="1" x14ac:dyDescent="0.2">
      <c r="A620" s="2014" t="s">
        <v>52</v>
      </c>
      <c r="B620" s="1302"/>
      <c r="C620" s="1302"/>
      <c r="D620" s="1302"/>
      <c r="E620" s="1302"/>
      <c r="F620" s="1302"/>
      <c r="G620" s="1302"/>
      <c r="H620" s="1302"/>
      <c r="I620" s="1302"/>
      <c r="J620" s="1302"/>
      <c r="K620" s="2001"/>
      <c r="L620" s="1882"/>
      <c r="M620" s="1882"/>
      <c r="N620" s="1882"/>
      <c r="O620" s="1882"/>
      <c r="P620" s="2002"/>
      <c r="Q620" s="1214"/>
      <c r="R620" s="1214"/>
      <c r="S620" s="1214"/>
      <c r="T620" s="1214"/>
      <c r="U620" s="1952"/>
      <c r="V620" s="1214"/>
      <c r="W620" s="1214"/>
      <c r="X620" s="1214"/>
      <c r="Y620" s="1214"/>
      <c r="Z620" s="1952"/>
      <c r="AA620" s="1214"/>
      <c r="AB620" s="1214"/>
      <c r="AC620" s="1214"/>
      <c r="AD620" s="1214"/>
      <c r="AE620" s="1952"/>
      <c r="AF620" s="1214"/>
      <c r="AG620" s="1214"/>
      <c r="AH620" s="1214"/>
      <c r="AI620" s="1214"/>
      <c r="AJ620" s="1952"/>
      <c r="AK620" s="1214"/>
      <c r="AL620" s="1214"/>
      <c r="AM620" s="1214"/>
      <c r="AN620" s="1214"/>
      <c r="AO620" s="1952"/>
      <c r="AP620" s="1214"/>
      <c r="AQ620" s="1214"/>
      <c r="AR620" s="1214"/>
      <c r="AS620" s="1214"/>
      <c r="AT620" s="1952"/>
      <c r="AU620" s="1214"/>
      <c r="AV620" s="1214"/>
      <c r="AW620" s="1214"/>
      <c r="AX620" s="1214"/>
      <c r="AY620" s="1952"/>
      <c r="AZ620" s="1214"/>
      <c r="BA620" s="1214"/>
      <c r="BB620" s="1214"/>
      <c r="BC620" s="1214"/>
      <c r="BD620" s="1952"/>
      <c r="BE620" s="1214"/>
      <c r="BF620" s="1214"/>
      <c r="BG620" s="1214"/>
      <c r="BH620" s="1214"/>
      <c r="BI620" s="1952"/>
      <c r="BJ620" s="1214"/>
      <c r="BK620" s="1214"/>
      <c r="BL620" s="1214"/>
      <c r="BM620" s="1214"/>
      <c r="BN620" s="1952"/>
      <c r="BO620" s="1214"/>
      <c r="BP620" s="1214"/>
      <c r="BQ620" s="1214"/>
      <c r="BR620" s="1214"/>
      <c r="BS620" s="1952"/>
      <c r="BT620" s="1214"/>
      <c r="BU620" s="1214"/>
      <c r="BV620" s="1214"/>
      <c r="BW620" s="1214"/>
      <c r="BX620" s="1952"/>
      <c r="BY620" s="1214"/>
      <c r="BZ620" s="1214"/>
      <c r="CA620" s="1214"/>
      <c r="CB620" s="1214"/>
      <c r="CC620" s="1952"/>
      <c r="CD620" s="1214"/>
      <c r="CE620" s="1214"/>
      <c r="CF620" s="1214"/>
      <c r="CG620" s="1625">
        <v>1.6E-2</v>
      </c>
      <c r="CH620" s="2249">
        <v>0.02</v>
      </c>
      <c r="CI620" s="1193"/>
      <c r="CJ620" s="1193"/>
      <c r="CK620" s="1193"/>
      <c r="CL620" s="1193"/>
      <c r="CM620" s="1946"/>
      <c r="CN620" s="1193"/>
      <c r="CO620" s="1193"/>
      <c r="CP620" s="1193"/>
      <c r="CQ620" s="1193"/>
      <c r="CR620" s="1946"/>
      <c r="CS620" s="1946"/>
      <c r="CT620" s="1946"/>
      <c r="CU620" s="1193"/>
      <c r="CV620" s="1947"/>
      <c r="CW620" s="1947"/>
      <c r="CX620" s="1947"/>
      <c r="DA620" s="212"/>
      <c r="DB620" s="1226"/>
    </row>
    <row r="621" spans="1:106" s="11" customFormat="1" outlineLevel="1" x14ac:dyDescent="0.2">
      <c r="A621" s="1945" t="s">
        <v>820</v>
      </c>
      <c r="B621" s="1302" t="s">
        <v>673</v>
      </c>
      <c r="C621" s="1302" t="s">
        <v>673</v>
      </c>
      <c r="D621" s="1302" t="s">
        <v>673</v>
      </c>
      <c r="E621" s="1302" t="s">
        <v>673</v>
      </c>
      <c r="F621" s="1302" t="s">
        <v>673</v>
      </c>
      <c r="G621" s="1302" t="s">
        <v>673</v>
      </c>
      <c r="H621" s="1302" t="s">
        <v>673</v>
      </c>
      <c r="I621" s="1302" t="s">
        <v>673</v>
      </c>
      <c r="J621" s="1302" t="s">
        <v>673</v>
      </c>
      <c r="K621" s="2001" t="s">
        <v>673</v>
      </c>
      <c r="L621" s="1882" t="s">
        <v>673</v>
      </c>
      <c r="M621" s="1882" t="s">
        <v>673</v>
      </c>
      <c r="N621" s="1882" t="s">
        <v>673</v>
      </c>
      <c r="O621" s="1882" t="s">
        <v>673</v>
      </c>
      <c r="P621" s="2002" t="s">
        <v>673</v>
      </c>
      <c r="Q621" s="1214">
        <v>-2.1999999999999999E-2</v>
      </c>
      <c r="R621" s="1214">
        <v>-3.5000000000000003E-2</v>
      </c>
      <c r="S621" s="1214">
        <v>-1.0999999999999999E-2</v>
      </c>
      <c r="T621" s="1214">
        <v>-2.1000000000000001E-2</v>
      </c>
      <c r="U621" s="1952">
        <v>-2.1999999999999999E-2</v>
      </c>
      <c r="V621" s="1214">
        <v>6.0000000000000001E-3</v>
      </c>
      <c r="W621" s="1214">
        <v>1.4999999999999999E-2</v>
      </c>
      <c r="X621" s="1214">
        <v>1.0999999999999999E-2</v>
      </c>
      <c r="Y621" s="1214">
        <v>0.05</v>
      </c>
      <c r="Z621" s="1952">
        <v>2.3E-2</v>
      </c>
      <c r="AA621" s="1214">
        <v>6.3E-2</v>
      </c>
      <c r="AB621" s="1214">
        <v>7.5999999999999998E-2</v>
      </c>
      <c r="AC621" s="1214">
        <v>8.3000000000000004E-2</v>
      </c>
      <c r="AD621" s="1214">
        <v>9.6000000000000002E-2</v>
      </c>
      <c r="AE621" s="1952">
        <v>8.3000000000000004E-2</v>
      </c>
      <c r="AF621" s="1214">
        <v>9.0999999999999998E-2</v>
      </c>
      <c r="AG621" s="1214">
        <v>0.107</v>
      </c>
      <c r="AH621" s="1214">
        <v>8.5000000000000006E-2</v>
      </c>
      <c r="AI621" s="1214">
        <v>6.5000000000000002E-2</v>
      </c>
      <c r="AJ621" s="1952">
        <v>8.4000000000000005E-2</v>
      </c>
      <c r="AK621" s="1214">
        <v>6.3E-2</v>
      </c>
      <c r="AL621" s="1214">
        <v>5.0999999999999997E-2</v>
      </c>
      <c r="AM621" s="1214">
        <v>5.3999999999999999E-2</v>
      </c>
      <c r="AN621" s="1214">
        <v>6.3E-2</v>
      </c>
      <c r="AO621" s="1952">
        <v>5.8000000000000003E-2</v>
      </c>
      <c r="AP621" s="1214">
        <v>2.5999999999999999E-2</v>
      </c>
      <c r="AQ621" s="1214">
        <v>1.7000000000000001E-2</v>
      </c>
      <c r="AR621" s="1214">
        <v>1.4999999999999999E-2</v>
      </c>
      <c r="AS621" s="1214">
        <v>-3.5000000000000003E-2</v>
      </c>
      <c r="AT621" s="1952">
        <v>3.0000000000000001E-3</v>
      </c>
      <c r="AU621" s="1214">
        <v>-0.05</v>
      </c>
      <c r="AV621" s="1214">
        <v>-0.123</v>
      </c>
      <c r="AW621" s="1214">
        <v>-0.13500000000000001</v>
      </c>
      <c r="AX621" s="1214">
        <v>-0.11799999999999999</v>
      </c>
      <c r="AY621" s="1952">
        <v>-0.11</v>
      </c>
      <c r="AZ621" s="1214">
        <v>-9.5000000000000001E-2</v>
      </c>
      <c r="BA621" s="1214">
        <v>2E-3</v>
      </c>
      <c r="BB621" s="1214">
        <v>2.1000000000000001E-2</v>
      </c>
      <c r="BC621" s="1214">
        <v>3.2000000000000001E-2</v>
      </c>
      <c r="BD621" s="1952">
        <v>-0.01</v>
      </c>
      <c r="BE621" s="1214">
        <v>4.2999999999999997E-2</v>
      </c>
      <c r="BF621" s="1214">
        <v>0.03</v>
      </c>
      <c r="BG621" s="1214">
        <v>3.5999999999999997E-2</v>
      </c>
      <c r="BH621" s="1214">
        <v>2.8000000000000001E-2</v>
      </c>
      <c r="BI621" s="1952">
        <v>3.3000000000000002E-2</v>
      </c>
      <c r="BJ621" s="1214">
        <v>3.2000000000000001E-2</v>
      </c>
      <c r="BK621" s="1214">
        <v>5.8000000000000003E-2</v>
      </c>
      <c r="BL621" s="1214">
        <v>5.2999999999999999E-2</v>
      </c>
      <c r="BM621" s="1214">
        <v>4.2999999999999997E-2</v>
      </c>
      <c r="BN621" s="1952">
        <v>4.7E-2</v>
      </c>
      <c r="BO621" s="1214">
        <v>4.5999999999999999E-2</v>
      </c>
      <c r="BP621" s="1214">
        <v>3.6999999999999998E-2</v>
      </c>
      <c r="BQ621" s="1214">
        <v>3.2000000000000001E-2</v>
      </c>
      <c r="BR621" s="1214">
        <v>2.1000000000000001E-2</v>
      </c>
      <c r="BS621" s="1952">
        <v>3.2000000000000001E-2</v>
      </c>
      <c r="BT621" s="1214">
        <v>2.5999999999999999E-2</v>
      </c>
      <c r="BU621" s="1214">
        <v>2.5999999999999999E-2</v>
      </c>
      <c r="BV621" s="1214">
        <v>6.2E-2</v>
      </c>
      <c r="BW621" s="1214">
        <v>4.2000000000000003E-2</v>
      </c>
      <c r="BX621" s="1952">
        <v>3.9E-2</v>
      </c>
      <c r="BY621" s="1214">
        <v>4.9000000000000002E-2</v>
      </c>
      <c r="BZ621" s="1214">
        <v>5.3999999999999999E-2</v>
      </c>
      <c r="CA621" s="1214">
        <v>2.7E-2</v>
      </c>
      <c r="CB621" s="1214">
        <v>3.5999999999999997E-2</v>
      </c>
      <c r="CC621" s="1952">
        <v>4.2999999999999997E-2</v>
      </c>
      <c r="CD621" s="1214">
        <v>2.7E-2</v>
      </c>
      <c r="CE621" s="1214">
        <v>3.5000000000000003E-2</v>
      </c>
      <c r="CF621" s="1214">
        <v>3.3000000000000002E-2</v>
      </c>
      <c r="CG621" s="1214"/>
      <c r="CH621" s="1952"/>
      <c r="CI621" s="1193"/>
      <c r="CJ621" s="1193"/>
      <c r="CK621" s="1193"/>
      <c r="CL621" s="1193"/>
      <c r="CM621" s="1946"/>
      <c r="CN621" s="1193"/>
      <c r="CO621" s="1193"/>
      <c r="CP621" s="1193"/>
      <c r="CQ621" s="1193"/>
      <c r="CR621" s="1946"/>
      <c r="CS621" s="1946"/>
      <c r="CT621" s="1946"/>
      <c r="CU621" s="1193"/>
      <c r="CV621" s="1947"/>
      <c r="CW621" s="1947"/>
      <c r="CX621" s="1947"/>
      <c r="DA621" s="212"/>
      <c r="DB621" s="1226"/>
    </row>
    <row r="622" spans="1:106" s="1515" customFormat="1" outlineLevel="1" x14ac:dyDescent="0.2">
      <c r="A622" s="1945" t="s">
        <v>1762</v>
      </c>
      <c r="B622" s="1302" t="s">
        <v>673</v>
      </c>
      <c r="C622" s="1302" t="s">
        <v>673</v>
      </c>
      <c r="D622" s="1302" t="s">
        <v>673</v>
      </c>
      <c r="E622" s="1302" t="s">
        <v>673</v>
      </c>
      <c r="F622" s="1302" t="s">
        <v>673</v>
      </c>
      <c r="G622" s="1302" t="s">
        <v>673</v>
      </c>
      <c r="H622" s="1302" t="s">
        <v>673</v>
      </c>
      <c r="I622" s="1302" t="s">
        <v>673</v>
      </c>
      <c r="J622" s="1302" t="s">
        <v>673</v>
      </c>
      <c r="K622" s="2001" t="s">
        <v>673</v>
      </c>
      <c r="L622" s="1882" t="s">
        <v>673</v>
      </c>
      <c r="M622" s="1882" t="s">
        <v>673</v>
      </c>
      <c r="N622" s="1882" t="s">
        <v>673</v>
      </c>
      <c r="O622" s="1882" t="s">
        <v>673</v>
      </c>
      <c r="P622" s="2001" t="s">
        <v>673</v>
      </c>
      <c r="Q622" s="1882" t="s">
        <v>673</v>
      </c>
      <c r="R622" s="1882" t="s">
        <v>673</v>
      </c>
      <c r="S622" s="1882" t="s">
        <v>673</v>
      </c>
      <c r="T622" s="1882" t="s">
        <v>673</v>
      </c>
      <c r="U622" s="2001" t="s">
        <v>673</v>
      </c>
      <c r="V622" s="1882" t="s">
        <v>673</v>
      </c>
      <c r="W622" s="1882" t="s">
        <v>673</v>
      </c>
      <c r="X622" s="1882" t="s">
        <v>673</v>
      </c>
      <c r="Y622" s="1882" t="s">
        <v>673</v>
      </c>
      <c r="Z622" s="2001" t="s">
        <v>673</v>
      </c>
      <c r="AA622" s="1882" t="s">
        <v>673</v>
      </c>
      <c r="AB622" s="1882" t="s">
        <v>673</v>
      </c>
      <c r="AC622" s="1882" t="s">
        <v>673</v>
      </c>
      <c r="AD622" s="1882" t="s">
        <v>673</v>
      </c>
      <c r="AE622" s="2001" t="s">
        <v>673</v>
      </c>
      <c r="AF622" s="1882" t="s">
        <v>673</v>
      </c>
      <c r="AG622" s="1882" t="s">
        <v>673</v>
      </c>
      <c r="AH622" s="1882" t="s">
        <v>673</v>
      </c>
      <c r="AI622" s="1882" t="s">
        <v>673</v>
      </c>
      <c r="AJ622" s="2001" t="s">
        <v>673</v>
      </c>
      <c r="AK622" s="1882" t="s">
        <v>673</v>
      </c>
      <c r="AL622" s="1882" t="s">
        <v>673</v>
      </c>
      <c r="AM622" s="1882" t="s">
        <v>673</v>
      </c>
      <c r="AN622" s="1882" t="s">
        <v>673</v>
      </c>
      <c r="AO622" s="2001" t="s">
        <v>673</v>
      </c>
      <c r="AP622" s="1882" t="s">
        <v>673</v>
      </c>
      <c r="AQ622" s="1882" t="s">
        <v>673</v>
      </c>
      <c r="AR622" s="1882" t="s">
        <v>673</v>
      </c>
      <c r="AS622" s="1882" t="s">
        <v>673</v>
      </c>
      <c r="AT622" s="2001" t="s">
        <v>673</v>
      </c>
      <c r="AU622" s="1882" t="s">
        <v>673</v>
      </c>
      <c r="AV622" s="1882" t="s">
        <v>673</v>
      </c>
      <c r="AW622" s="1882" t="s">
        <v>673</v>
      </c>
      <c r="AX622" s="1882" t="s">
        <v>673</v>
      </c>
      <c r="AY622" s="2001" t="s">
        <v>673</v>
      </c>
      <c r="AZ622" s="1882" t="s">
        <v>673</v>
      </c>
      <c r="BA622" s="1882" t="s">
        <v>673</v>
      </c>
      <c r="BB622" s="1882" t="s">
        <v>673</v>
      </c>
      <c r="BC622" s="1882" t="s">
        <v>673</v>
      </c>
      <c r="BD622" s="2001" t="s">
        <v>673</v>
      </c>
      <c r="BE622" s="1882" t="s">
        <v>673</v>
      </c>
      <c r="BF622" s="1882" t="s">
        <v>673</v>
      </c>
      <c r="BG622" s="1882" t="s">
        <v>673</v>
      </c>
      <c r="BH622" s="1882" t="s">
        <v>673</v>
      </c>
      <c r="BI622" s="2001" t="s">
        <v>673</v>
      </c>
      <c r="BJ622" s="1214">
        <v>-6.0000000000000001E-3</v>
      </c>
      <c r="BK622" s="1214">
        <v>2.7E-2</v>
      </c>
      <c r="BL622" s="1214">
        <v>8.9999999999999993E-3</v>
      </c>
      <c r="BM622" s="1214">
        <v>2.1999999999999999E-2</v>
      </c>
      <c r="BN622" s="2010">
        <v>1.6E-2</v>
      </c>
      <c r="BO622" s="1214">
        <v>5.6000000000000001E-2</v>
      </c>
      <c r="BP622" s="1214">
        <v>4.2999999999999997E-2</v>
      </c>
      <c r="BQ622" s="1214">
        <v>2.1999999999999999E-2</v>
      </c>
      <c r="BR622" s="1214">
        <v>0.13500000000000001</v>
      </c>
      <c r="BS622" s="2010">
        <v>6.4000000000000001E-2</v>
      </c>
      <c r="BT622" s="1214">
        <v>0.107</v>
      </c>
      <c r="BU622" s="1214">
        <v>8.3000000000000004E-2</v>
      </c>
      <c r="BV622" s="1214">
        <v>0.11</v>
      </c>
      <c r="BW622" s="1214">
        <v>6.8000000000000005E-2</v>
      </c>
      <c r="BX622" s="2010">
        <v>8.8999999999999996E-2</v>
      </c>
      <c r="BY622" s="1214">
        <v>3.9E-2</v>
      </c>
      <c r="BZ622" s="1214">
        <v>2.8000000000000001E-2</v>
      </c>
      <c r="CA622" s="1214">
        <v>1.4999999999999999E-2</v>
      </c>
      <c r="CB622" s="1214">
        <v>-5.0000000000000001E-3</v>
      </c>
      <c r="CC622" s="2010">
        <v>1.9E-2</v>
      </c>
      <c r="CD622" s="1214">
        <v>8.0000000000000002E-3</v>
      </c>
      <c r="CE622" s="1214">
        <v>1.6E-2</v>
      </c>
      <c r="CF622" s="1214">
        <v>2.5000000000000001E-2</v>
      </c>
      <c r="CG622" s="1214"/>
      <c r="CH622" s="2010"/>
      <c r="CI622" s="243"/>
      <c r="CJ622" s="243"/>
      <c r="CK622" s="243"/>
      <c r="CL622" s="243"/>
      <c r="CM622" s="2012"/>
      <c r="CN622" s="243"/>
      <c r="CO622" s="243"/>
      <c r="CP622" s="243"/>
      <c r="CQ622" s="243"/>
      <c r="CR622" s="2012"/>
      <c r="CS622" s="2012"/>
      <c r="CT622" s="2012"/>
      <c r="CU622" s="243"/>
      <c r="CV622" s="2013"/>
      <c r="CW622" s="2013"/>
      <c r="CX622" s="2013"/>
      <c r="DA622" s="212"/>
      <c r="DB622" s="1226"/>
    </row>
    <row r="623" spans="1:106" s="11" customFormat="1" outlineLevel="1" x14ac:dyDescent="0.2">
      <c r="A623" s="1945" t="s">
        <v>925</v>
      </c>
      <c r="B623" s="1302" t="s">
        <v>673</v>
      </c>
      <c r="C623" s="1302" t="s">
        <v>673</v>
      </c>
      <c r="D623" s="1302" t="s">
        <v>673</v>
      </c>
      <c r="E623" s="1302" t="s">
        <v>673</v>
      </c>
      <c r="F623" s="1302" t="s">
        <v>673</v>
      </c>
      <c r="G623" s="1302" t="s">
        <v>673</v>
      </c>
      <c r="H623" s="1302" t="s">
        <v>673</v>
      </c>
      <c r="I623" s="1302" t="s">
        <v>673</v>
      </c>
      <c r="J623" s="1302" t="s">
        <v>673</v>
      </c>
      <c r="K623" s="2001" t="s">
        <v>673</v>
      </c>
      <c r="L623" s="1882" t="s">
        <v>673</v>
      </c>
      <c r="M623" s="1882" t="s">
        <v>673</v>
      </c>
      <c r="N623" s="1882" t="s">
        <v>673</v>
      </c>
      <c r="O623" s="1882" t="s">
        <v>673</v>
      </c>
      <c r="P623" s="2002" t="s">
        <v>673</v>
      </c>
      <c r="Q623" s="1214">
        <v>1.2E-2</v>
      </c>
      <c r="R623" s="1214">
        <v>8.9999999999999993E-3</v>
      </c>
      <c r="S623" s="1214">
        <v>-8.0000000000000002E-3</v>
      </c>
      <c r="T623" s="1214">
        <v>-1.2999999999999999E-2</v>
      </c>
      <c r="U623" s="1952">
        <v>-2E-3</v>
      </c>
      <c r="V623" s="1214">
        <v>7.0000000000000001E-3</v>
      </c>
      <c r="W623" s="1214">
        <v>0.01</v>
      </c>
      <c r="X623" s="1214">
        <v>1.7999999999999999E-2</v>
      </c>
      <c r="Y623" s="1214">
        <v>6.3E-2</v>
      </c>
      <c r="Z623" s="1952">
        <v>2.7E-2</v>
      </c>
      <c r="AA623" s="1214">
        <v>9.2999999999999999E-2</v>
      </c>
      <c r="AB623" s="1214">
        <v>0.105</v>
      </c>
      <c r="AC623" s="1214">
        <v>9.0999999999999998E-2</v>
      </c>
      <c r="AD623" s="1214">
        <v>8.5999999999999993E-2</v>
      </c>
      <c r="AE623" s="1952">
        <v>9.2999999999999999E-2</v>
      </c>
      <c r="AF623" s="1214">
        <v>0.106</v>
      </c>
      <c r="AG623" s="1214">
        <v>0.10299999999999999</v>
      </c>
      <c r="AH623" s="1214">
        <v>9.7000000000000003E-2</v>
      </c>
      <c r="AI623" s="1214">
        <v>0.10299999999999999</v>
      </c>
      <c r="AJ623" s="1952">
        <v>0.10199999999999999</v>
      </c>
      <c r="AK623" s="1214">
        <v>0.108</v>
      </c>
      <c r="AL623" s="1214">
        <v>8.2000000000000003E-2</v>
      </c>
      <c r="AM623" s="1214">
        <v>8.5000000000000006E-2</v>
      </c>
      <c r="AN623" s="1214">
        <v>6.8000000000000005E-2</v>
      </c>
      <c r="AO623" s="1952">
        <v>8.4000000000000005E-2</v>
      </c>
      <c r="AP623" s="1214">
        <v>2.1999999999999999E-2</v>
      </c>
      <c r="AQ623" s="1214">
        <v>1.7000000000000001E-2</v>
      </c>
      <c r="AR623" s="1214">
        <v>2.1000000000000001E-2</v>
      </c>
      <c r="AS623" s="1214">
        <v>-4.0000000000000001E-3</v>
      </c>
      <c r="AT623" s="1952">
        <v>1.2999999999999999E-2</v>
      </c>
      <c r="AU623" s="1214">
        <v>-4.2999999999999997E-2</v>
      </c>
      <c r="AV623" s="1214">
        <v>-8.5999999999999993E-2</v>
      </c>
      <c r="AW623" s="1214">
        <v>-0.113</v>
      </c>
      <c r="AX623" s="1214">
        <v>-0.113</v>
      </c>
      <c r="AY623" s="1952">
        <v>-9.2999999999999999E-2</v>
      </c>
      <c r="AZ623" s="1214">
        <v>-9.7000000000000003E-2</v>
      </c>
      <c r="BA623" s="1214">
        <v>-4.4999999999999998E-2</v>
      </c>
      <c r="BB623" s="1214">
        <v>-1.4E-2</v>
      </c>
      <c r="BC623" s="1214">
        <v>-1E-3</v>
      </c>
      <c r="BD623" s="1952">
        <v>-3.6999999999999998E-2</v>
      </c>
      <c r="BE623" s="1214">
        <v>0.02</v>
      </c>
      <c r="BF623" s="1214">
        <v>3.2000000000000001E-2</v>
      </c>
      <c r="BG623" s="1214">
        <v>0.04</v>
      </c>
      <c r="BH623" s="1214">
        <v>4.9000000000000002E-2</v>
      </c>
      <c r="BI623" s="1952">
        <v>3.6999999999999998E-2</v>
      </c>
      <c r="BJ623" s="1214">
        <v>4.9000000000000002E-2</v>
      </c>
      <c r="BK623" s="1214">
        <v>5.8000000000000003E-2</v>
      </c>
      <c r="BL623" s="1214">
        <v>5.5E-2</v>
      </c>
      <c r="BM623" s="1214">
        <v>4.2000000000000003E-2</v>
      </c>
      <c r="BN623" s="1952">
        <v>0.05</v>
      </c>
      <c r="BO623" s="1214">
        <v>3.3000000000000002E-2</v>
      </c>
      <c r="BP623" s="1214">
        <v>2.1000000000000001E-2</v>
      </c>
      <c r="BQ623" s="1214">
        <v>1.9E-2</v>
      </c>
      <c r="BR623" s="1214">
        <v>2.5000000000000001E-2</v>
      </c>
      <c r="BS623" s="1952">
        <v>2.4E-2</v>
      </c>
      <c r="BT623" s="1214">
        <v>2.5999999999999999E-2</v>
      </c>
      <c r="BU623" s="1214">
        <v>5.8000000000000003E-2</v>
      </c>
      <c r="BV623" s="1214">
        <v>6.9000000000000006E-2</v>
      </c>
      <c r="BW623" s="1214">
        <v>5.6000000000000001E-2</v>
      </c>
      <c r="BX623" s="1952">
        <v>5.2999999999999999E-2</v>
      </c>
      <c r="BY623" s="1214">
        <v>6.5000000000000002E-2</v>
      </c>
      <c r="BZ623" s="1214">
        <v>4.7E-2</v>
      </c>
      <c r="CA623" s="1214">
        <v>4.3999999999999997E-2</v>
      </c>
      <c r="CB623" s="1214">
        <v>0.03</v>
      </c>
      <c r="CC623" s="1952">
        <v>4.5999999999999999E-2</v>
      </c>
      <c r="CD623" s="1214">
        <v>1.7999999999999999E-2</v>
      </c>
      <c r="CE623" s="1214">
        <v>2.9000000000000001E-2</v>
      </c>
      <c r="CF623" s="1214">
        <v>3.1E-2</v>
      </c>
      <c r="CG623" s="1214"/>
      <c r="CH623" s="1952"/>
      <c r="CI623" s="1193"/>
      <c r="CJ623" s="1193"/>
      <c r="CK623" s="1193"/>
      <c r="CL623" s="1193"/>
      <c r="CM623" s="1946"/>
      <c r="CN623" s="1193"/>
      <c r="CO623" s="1193"/>
      <c r="CP623" s="1193"/>
      <c r="CQ623" s="1193"/>
      <c r="CR623" s="1946"/>
      <c r="CS623" s="1946"/>
      <c r="CT623" s="1946"/>
      <c r="CU623" s="1193"/>
      <c r="CV623" s="1947"/>
      <c r="CW623" s="1947"/>
      <c r="CX623" s="1947"/>
      <c r="DA623" s="212"/>
      <c r="DB623" s="1226"/>
    </row>
    <row r="624" spans="1:106" s="11" customFormat="1" outlineLevel="1" x14ac:dyDescent="0.2">
      <c r="A624" s="1945" t="s">
        <v>924</v>
      </c>
      <c r="B624" s="1302" t="s">
        <v>673</v>
      </c>
      <c r="C624" s="1302" t="s">
        <v>673</v>
      </c>
      <c r="D624" s="1302" t="s">
        <v>673</v>
      </c>
      <c r="E624" s="1302" t="s">
        <v>673</v>
      </c>
      <c r="F624" s="1302" t="s">
        <v>673</v>
      </c>
      <c r="G624" s="1302" t="s">
        <v>673</v>
      </c>
      <c r="H624" s="1302" t="s">
        <v>673</v>
      </c>
      <c r="I624" s="1302" t="s">
        <v>673</v>
      </c>
      <c r="J624" s="1302" t="s">
        <v>673</v>
      </c>
      <c r="K624" s="2001" t="s">
        <v>673</v>
      </c>
      <c r="L624" s="1882" t="s">
        <v>673</v>
      </c>
      <c r="M624" s="1882" t="s">
        <v>673</v>
      </c>
      <c r="N624" s="1882" t="s">
        <v>673</v>
      </c>
      <c r="O624" s="1882" t="s">
        <v>673</v>
      </c>
      <c r="P624" s="2002" t="s">
        <v>673</v>
      </c>
      <c r="Q624" s="1214">
        <v>1.7999999999999999E-2</v>
      </c>
      <c r="R624" s="1214">
        <v>0.01</v>
      </c>
      <c r="S624" s="1214">
        <v>1.7000000000000001E-2</v>
      </c>
      <c r="T624" s="1214">
        <v>6.0000000000000001E-3</v>
      </c>
      <c r="U624" s="1952">
        <v>1.2999999999999999E-2</v>
      </c>
      <c r="V624" s="1214">
        <v>2.5999999999999999E-2</v>
      </c>
      <c r="W624" s="1214">
        <v>4.2999999999999997E-2</v>
      </c>
      <c r="X624" s="1214">
        <v>3.5000000000000003E-2</v>
      </c>
      <c r="Y624" s="1214">
        <v>5.8000000000000003E-2</v>
      </c>
      <c r="Z624" s="1952">
        <v>4.2000000000000003E-2</v>
      </c>
      <c r="AA624" s="1214">
        <v>8.5999999999999993E-2</v>
      </c>
      <c r="AB624" s="1214">
        <v>9.1999999999999998E-2</v>
      </c>
      <c r="AC624" s="1214">
        <v>8.8999999999999996E-2</v>
      </c>
      <c r="AD624" s="1214">
        <v>9.1999999999999998E-2</v>
      </c>
      <c r="AE624" s="1952">
        <v>9.0999999999999998E-2</v>
      </c>
      <c r="AF624" s="1214">
        <v>0.10199999999999999</v>
      </c>
      <c r="AG624" s="1214">
        <v>0.1</v>
      </c>
      <c r="AH624" s="1214">
        <v>0.1</v>
      </c>
      <c r="AI624" s="1214">
        <v>9.1999999999999998E-2</v>
      </c>
      <c r="AJ624" s="1952">
        <v>9.8000000000000004E-2</v>
      </c>
      <c r="AK624" s="1214">
        <v>7.5999999999999998E-2</v>
      </c>
      <c r="AL624" s="1214">
        <v>6.4000000000000001E-2</v>
      </c>
      <c r="AM624" s="1214">
        <v>5.5E-2</v>
      </c>
      <c r="AN624" s="1214">
        <v>6.7000000000000004E-2</v>
      </c>
      <c r="AO624" s="1952">
        <v>6.5000000000000002E-2</v>
      </c>
      <c r="AP624" s="1214">
        <v>3.5000000000000003E-2</v>
      </c>
      <c r="AQ624" s="1214">
        <v>0.02</v>
      </c>
      <c r="AR624" s="1214">
        <v>6.0000000000000001E-3</v>
      </c>
      <c r="AS624" s="1214">
        <v>-1.7999999999999999E-2</v>
      </c>
      <c r="AT624" s="1952">
        <v>8.9999999999999993E-3</v>
      </c>
      <c r="AU624" s="1214">
        <v>-5.8000000000000003E-2</v>
      </c>
      <c r="AV624" s="1214">
        <v>-9.1999999999999998E-2</v>
      </c>
      <c r="AW624" s="1214">
        <v>-0.107</v>
      </c>
      <c r="AX624" s="1214">
        <v>-0.104</v>
      </c>
      <c r="AY624" s="1952">
        <v>-9.4E-2</v>
      </c>
      <c r="AZ624" s="1214">
        <v>-8.5000000000000006E-2</v>
      </c>
      <c r="BA624" s="1214">
        <v>-2.8000000000000001E-2</v>
      </c>
      <c r="BB624" s="1214">
        <v>1E-3</v>
      </c>
      <c r="BC624" s="1214">
        <v>1.6E-2</v>
      </c>
      <c r="BD624" s="1952">
        <v>-2.1999999999999999E-2</v>
      </c>
      <c r="BE624" s="1214">
        <v>2.7E-2</v>
      </c>
      <c r="BF624" s="1214">
        <v>2.5999999999999999E-2</v>
      </c>
      <c r="BG624" s="1214">
        <v>2.3E-2</v>
      </c>
      <c r="BH624" s="1214">
        <v>2.5999999999999999E-2</v>
      </c>
      <c r="BI624" s="1952">
        <v>2.5000000000000001E-2</v>
      </c>
      <c r="BJ624" s="1214">
        <v>2.9000000000000001E-2</v>
      </c>
      <c r="BK624" s="1214">
        <v>4.1000000000000002E-2</v>
      </c>
      <c r="BL624" s="1214">
        <v>4.5999999999999999E-2</v>
      </c>
      <c r="BM624" s="1214">
        <v>3.5999999999999997E-2</v>
      </c>
      <c r="BN624" s="1952">
        <v>3.7999999999999999E-2</v>
      </c>
      <c r="BO624" s="1214">
        <v>3.6999999999999998E-2</v>
      </c>
      <c r="BP624" s="1214">
        <v>3.5999999999999997E-2</v>
      </c>
      <c r="BQ624" s="1214">
        <v>3.1E-2</v>
      </c>
      <c r="BR624" s="1214">
        <v>2.5999999999999999E-2</v>
      </c>
      <c r="BS624" s="1952">
        <v>3.3000000000000002E-2</v>
      </c>
      <c r="BT624" s="1214">
        <v>2.9000000000000001E-2</v>
      </c>
      <c r="BU624" s="1214">
        <v>3.6999999999999998E-2</v>
      </c>
      <c r="BV624" s="1214">
        <v>4.3999999999999997E-2</v>
      </c>
      <c r="BW624" s="1214">
        <v>4.2999999999999997E-2</v>
      </c>
      <c r="BX624" s="1952">
        <v>3.9E-2</v>
      </c>
      <c r="BY624" s="1214">
        <v>5.5E-2</v>
      </c>
      <c r="BZ624" s="1214">
        <v>5.2999999999999999E-2</v>
      </c>
      <c r="CA624" s="1214">
        <v>4.8000000000000001E-2</v>
      </c>
      <c r="CB624" s="1214">
        <v>3.5000000000000003E-2</v>
      </c>
      <c r="CC624" s="1952">
        <v>4.8000000000000001E-2</v>
      </c>
      <c r="CD624" s="1214">
        <v>1.9E-2</v>
      </c>
      <c r="CE624" s="1214">
        <v>2.3E-2</v>
      </c>
      <c r="CF624" s="1214">
        <v>1.7999999999999999E-2</v>
      </c>
      <c r="CG624" s="1214"/>
      <c r="CH624" s="1952"/>
      <c r="CI624" s="1193"/>
      <c r="CJ624" s="1193"/>
      <c r="CK624" s="1193"/>
      <c r="CL624" s="1193"/>
      <c r="CM624" s="1946"/>
      <c r="CN624" s="1193"/>
      <c r="CO624" s="1193"/>
      <c r="CP624" s="1193"/>
      <c r="CQ624" s="1193"/>
      <c r="CR624" s="1946"/>
      <c r="CS624" s="1946"/>
      <c r="CT624" s="1946"/>
      <c r="CU624" s="1193"/>
      <c r="CV624" s="1947"/>
      <c r="CW624" s="1947"/>
      <c r="CX624" s="1947"/>
      <c r="DA624" s="212"/>
      <c r="DB624" s="1226"/>
    </row>
    <row r="625" spans="1:106" s="11" customFormat="1" outlineLevel="1" x14ac:dyDescent="0.2">
      <c r="A625" s="1948" t="s">
        <v>744</v>
      </c>
      <c r="B625" s="2003" t="s">
        <v>673</v>
      </c>
      <c r="C625" s="2003" t="s">
        <v>673</v>
      </c>
      <c r="D625" s="2003" t="s">
        <v>673</v>
      </c>
      <c r="E625" s="2003" t="s">
        <v>673</v>
      </c>
      <c r="F625" s="2003" t="s">
        <v>673</v>
      </c>
      <c r="G625" s="2003" t="s">
        <v>673</v>
      </c>
      <c r="H625" s="2003" t="s">
        <v>673</v>
      </c>
      <c r="I625" s="2003" t="s">
        <v>673</v>
      </c>
      <c r="J625" s="2003" t="s">
        <v>673</v>
      </c>
      <c r="K625" s="2004" t="s">
        <v>673</v>
      </c>
      <c r="L625" s="2005" t="s">
        <v>673</v>
      </c>
      <c r="M625" s="2005" t="s">
        <v>673</v>
      </c>
      <c r="N625" s="2005" t="s">
        <v>673</v>
      </c>
      <c r="O625" s="2005" t="s">
        <v>673</v>
      </c>
      <c r="P625" s="2004" t="s">
        <v>673</v>
      </c>
      <c r="Q625" s="1628">
        <v>-1.6E-2</v>
      </c>
      <c r="R625" s="1628">
        <v>-2.5999999999999999E-2</v>
      </c>
      <c r="S625" s="1628">
        <v>-5.0000000000000001E-3</v>
      </c>
      <c r="T625" s="1628">
        <v>-1E-3</v>
      </c>
      <c r="U625" s="1954">
        <v>-1.0999999999999999E-2</v>
      </c>
      <c r="V625" s="1628">
        <v>1.7999999999999999E-2</v>
      </c>
      <c r="W625" s="1628">
        <v>3.5000000000000003E-2</v>
      </c>
      <c r="X625" s="1628">
        <v>3.9E-2</v>
      </c>
      <c r="Y625" s="1628">
        <v>5.5E-2</v>
      </c>
      <c r="Z625" s="1954">
        <v>3.7999999999999999E-2</v>
      </c>
      <c r="AA625" s="1628">
        <v>6.7000000000000004E-2</v>
      </c>
      <c r="AB625" s="1628">
        <v>7.9000000000000001E-2</v>
      </c>
      <c r="AC625" s="1628">
        <v>7.0999999999999994E-2</v>
      </c>
      <c r="AD625" s="1628">
        <v>7.8E-2</v>
      </c>
      <c r="AE625" s="1954">
        <v>7.4999999999999997E-2</v>
      </c>
      <c r="AF625" s="1628">
        <v>9.0999999999999998E-2</v>
      </c>
      <c r="AG625" s="1628">
        <v>8.8999999999999996E-2</v>
      </c>
      <c r="AH625" s="1628">
        <v>8.6999999999999994E-2</v>
      </c>
      <c r="AI625" s="1628">
        <v>8.5999999999999993E-2</v>
      </c>
      <c r="AJ625" s="1954">
        <v>8.6999999999999994E-2</v>
      </c>
      <c r="AK625" s="1628">
        <v>7.2999999999999995E-2</v>
      </c>
      <c r="AL625" s="1628">
        <v>5.8000000000000003E-2</v>
      </c>
      <c r="AM625" s="1628">
        <v>5.6000000000000001E-2</v>
      </c>
      <c r="AN625" s="1628">
        <v>6.2E-2</v>
      </c>
      <c r="AO625" s="1954">
        <v>6.2E-2</v>
      </c>
      <c r="AP625" s="1628">
        <v>3.6999999999999998E-2</v>
      </c>
      <c r="AQ625" s="1628">
        <v>0.03</v>
      </c>
      <c r="AR625" s="1628">
        <v>1.9E-2</v>
      </c>
      <c r="AS625" s="1628">
        <v>-2.9000000000000001E-2</v>
      </c>
      <c r="AT625" s="1954">
        <v>1.0999999999999999E-2</v>
      </c>
      <c r="AU625" s="1628">
        <v>-7.9000000000000001E-2</v>
      </c>
      <c r="AV625" s="1628">
        <v>-0.126</v>
      </c>
      <c r="AW625" s="1628">
        <v>-0.127</v>
      </c>
      <c r="AX625" s="1628">
        <v>-0.10100000000000001</v>
      </c>
      <c r="AY625" s="1954">
        <v>-0.11</v>
      </c>
      <c r="AZ625" s="1628">
        <v>-6.8000000000000005E-2</v>
      </c>
      <c r="BA625" s="1628">
        <v>-4.0000000000000001E-3</v>
      </c>
      <c r="BB625" s="1628">
        <v>1.7000000000000001E-2</v>
      </c>
      <c r="BC625" s="1628">
        <v>1.7999999999999999E-2</v>
      </c>
      <c r="BD625" s="1954">
        <v>-8.9999999999999993E-3</v>
      </c>
      <c r="BE625" s="1628">
        <v>2.4E-2</v>
      </c>
      <c r="BF625" s="1628">
        <v>3.1E-2</v>
      </c>
      <c r="BG625" s="1628">
        <v>3.5000000000000003E-2</v>
      </c>
      <c r="BH625" s="1628">
        <v>3.2000000000000001E-2</v>
      </c>
      <c r="BI625" s="1954">
        <v>3.2000000000000001E-2</v>
      </c>
      <c r="BJ625" s="1628">
        <v>3.5999999999999997E-2</v>
      </c>
      <c r="BK625" s="1628">
        <v>4.2999999999999997E-2</v>
      </c>
      <c r="BL625" s="1628">
        <v>4.9000000000000002E-2</v>
      </c>
      <c r="BM625" s="1628">
        <v>0.04</v>
      </c>
      <c r="BN625" s="1954">
        <v>4.2000000000000003E-2</v>
      </c>
      <c r="BO625" s="1628">
        <v>4.2000000000000003E-2</v>
      </c>
      <c r="BP625" s="1628">
        <v>3.9E-2</v>
      </c>
      <c r="BQ625" s="1628">
        <v>3.9E-2</v>
      </c>
      <c r="BR625" s="1628">
        <v>3.3000000000000002E-2</v>
      </c>
      <c r="BS625" s="1954">
        <v>3.7999999999999999E-2</v>
      </c>
      <c r="BT625" s="1628">
        <v>3.3000000000000002E-2</v>
      </c>
      <c r="BU625" s="1628">
        <v>3.6999999999999998E-2</v>
      </c>
      <c r="BV625" s="1628">
        <v>0.05</v>
      </c>
      <c r="BW625" s="1628">
        <v>4.2000000000000003E-2</v>
      </c>
      <c r="BX625" s="1954">
        <v>4.1000000000000002E-2</v>
      </c>
      <c r="BY625" s="1628">
        <v>4.9000000000000002E-2</v>
      </c>
      <c r="BZ625" s="1628">
        <v>5.0999999999999997E-2</v>
      </c>
      <c r="CA625" s="1628">
        <v>4.2000000000000003E-2</v>
      </c>
      <c r="CB625" s="1628">
        <v>3.3000000000000002E-2</v>
      </c>
      <c r="CC625" s="1954">
        <v>4.4999999999999998E-2</v>
      </c>
      <c r="CD625" s="1628">
        <v>2.5999999999999999E-2</v>
      </c>
      <c r="CE625" s="1628">
        <v>2.1999999999999999E-2</v>
      </c>
      <c r="CF625" s="1628">
        <v>2.4E-2</v>
      </c>
      <c r="CG625" s="1628">
        <v>1.2999999999999999E-2</v>
      </c>
      <c r="CH625" s="1954">
        <v>0.02</v>
      </c>
      <c r="CI625" s="1628"/>
      <c r="CJ625" s="1949"/>
      <c r="CK625" s="1949"/>
      <c r="CL625" s="1949"/>
      <c r="CM625" s="1751"/>
      <c r="CN625" s="1628"/>
      <c r="CO625" s="1949"/>
      <c r="CP625" s="1949"/>
      <c r="CQ625" s="1949"/>
      <c r="CR625" s="1751"/>
      <c r="CS625" s="1751"/>
      <c r="CT625" s="1751"/>
      <c r="CU625" s="1193"/>
      <c r="CV625" s="1947"/>
      <c r="CW625" s="1947"/>
      <c r="CX625" s="1947"/>
      <c r="DA625" s="212"/>
      <c r="DB625" s="1226"/>
    </row>
    <row r="626" spans="1:106" x14ac:dyDescent="0.2">
      <c r="A626" s="1142"/>
      <c r="B626" s="1920"/>
      <c r="C626" s="1920"/>
      <c r="D626" s="1920"/>
      <c r="E626" s="1920"/>
      <c r="F626" s="1920"/>
      <c r="G626" s="2006"/>
      <c r="H626" s="2006"/>
      <c r="I626" s="2006"/>
      <c r="J626" s="2006"/>
      <c r="K626" s="1926"/>
      <c r="L626" s="1882"/>
      <c r="M626" s="1882"/>
      <c r="N626" s="1882"/>
      <c r="O626" s="1882"/>
      <c r="P626" s="1973"/>
      <c r="Q626" s="733"/>
      <c r="R626" s="733"/>
      <c r="S626" s="733"/>
      <c r="T626" s="733"/>
      <c r="U626" s="194"/>
      <c r="V626" s="733"/>
      <c r="W626" s="733"/>
      <c r="X626" s="733"/>
      <c r="Y626" s="733"/>
      <c r="Z626" s="194"/>
      <c r="AA626" s="733"/>
      <c r="AB626" s="733"/>
      <c r="AC626" s="733"/>
      <c r="AD626" s="733"/>
      <c r="AE626" s="194"/>
      <c r="AF626" s="733"/>
      <c r="AG626" s="733"/>
      <c r="AH626" s="733"/>
      <c r="AI626" s="733"/>
      <c r="AJ626" s="194"/>
      <c r="AK626" s="733"/>
      <c r="AL626" s="733"/>
      <c r="AM626" s="733"/>
      <c r="AN626" s="733"/>
      <c r="AO626" s="194"/>
      <c r="AP626" s="1214"/>
      <c r="AQ626" s="1214"/>
      <c r="AR626" s="1214"/>
      <c r="AS626" s="733"/>
      <c r="AT626" s="194"/>
      <c r="AU626" s="1214"/>
      <c r="AV626" s="1214"/>
      <c r="AW626" s="1214"/>
      <c r="AX626" s="1214"/>
      <c r="AY626" s="194"/>
      <c r="AZ626" s="1214"/>
      <c r="BA626" s="1214"/>
      <c r="BB626" s="1214"/>
      <c r="BC626" s="1214"/>
      <c r="BD626" s="194"/>
      <c r="BE626" s="1214"/>
      <c r="BF626" s="1214"/>
      <c r="BG626" s="1214"/>
      <c r="BH626" s="1214"/>
      <c r="BI626" s="194"/>
      <c r="BJ626" s="1214"/>
      <c r="BK626" s="1214"/>
      <c r="BL626" s="1214"/>
      <c r="BM626" s="1214"/>
      <c r="BN626" s="194"/>
      <c r="BO626" s="1214"/>
      <c r="BP626" s="1214"/>
      <c r="BR626" s="1214"/>
      <c r="BS626" s="194"/>
      <c r="BT626" s="1214"/>
      <c r="BU626" s="212"/>
      <c r="BV626" s="212"/>
      <c r="BW626" s="1214"/>
      <c r="BX626" s="194"/>
      <c r="BY626" s="1214"/>
      <c r="BZ626" s="212"/>
      <c r="CA626" s="212"/>
      <c r="CB626" s="192"/>
      <c r="CC626" s="194"/>
      <c r="CD626" s="212"/>
      <c r="CE626" s="212"/>
      <c r="CF626" s="212"/>
      <c r="CG626" s="212"/>
      <c r="CH626" s="194"/>
      <c r="CI626" s="212"/>
      <c r="CJ626" s="212"/>
      <c r="CK626" s="212"/>
      <c r="CL626" s="212"/>
      <c r="CM626" s="194"/>
      <c r="CN626" s="212"/>
      <c r="CO626" s="212"/>
      <c r="CP626" s="212"/>
      <c r="CQ626" s="212"/>
      <c r="CR626" s="194"/>
      <c r="CS626" s="194"/>
      <c r="CT626" s="194"/>
      <c r="CU626" s="212"/>
      <c r="DA626" s="212"/>
      <c r="DB626" s="1226"/>
    </row>
    <row r="627" spans="1:106" x14ac:dyDescent="0.2">
      <c r="A627" s="1437" t="s">
        <v>2690</v>
      </c>
      <c r="B627" s="234"/>
      <c r="C627" s="234"/>
      <c r="D627" s="234"/>
      <c r="E627" s="234"/>
      <c r="F627" s="234"/>
      <c r="G627" s="234"/>
      <c r="H627" s="234"/>
      <c r="I627" s="234"/>
      <c r="J627" s="234"/>
      <c r="K627" s="236"/>
      <c r="L627" s="234"/>
      <c r="M627" s="234"/>
      <c r="N627" s="234"/>
      <c r="O627" s="234"/>
      <c r="P627" s="194"/>
      <c r="Q627" s="234"/>
      <c r="R627" s="234"/>
      <c r="S627" s="234"/>
      <c r="T627" s="234"/>
      <c r="U627" s="194"/>
      <c r="V627" s="234"/>
      <c r="W627" s="234"/>
      <c r="X627" s="234"/>
      <c r="Y627" s="234"/>
      <c r="Z627" s="194"/>
      <c r="AA627" s="234"/>
      <c r="AB627" s="234"/>
      <c r="AC627" s="234"/>
      <c r="AD627" s="234"/>
      <c r="AE627" s="194"/>
      <c r="AF627" s="234"/>
      <c r="AG627" s="234"/>
      <c r="AH627" s="234"/>
      <c r="AI627" s="234"/>
      <c r="AJ627" s="194"/>
      <c r="AK627" s="234"/>
      <c r="AL627" s="234"/>
      <c r="AM627" s="234"/>
      <c r="AN627" s="234"/>
      <c r="AO627" s="194"/>
      <c r="AP627" s="234"/>
      <c r="AQ627" s="234"/>
      <c r="AR627" s="234"/>
      <c r="AS627" s="234"/>
      <c r="AT627" s="194"/>
      <c r="AU627" s="234"/>
      <c r="AV627" s="234"/>
      <c r="AW627" s="234"/>
      <c r="AX627" s="234"/>
      <c r="AY627" s="194"/>
      <c r="AZ627" s="234"/>
      <c r="BA627" s="234"/>
      <c r="BB627" s="234"/>
      <c r="BC627" s="234"/>
      <c r="BD627" s="194"/>
      <c r="BE627" s="234"/>
      <c r="BF627" s="234"/>
      <c r="BG627" s="234"/>
      <c r="BH627" s="234"/>
      <c r="BI627" s="194"/>
      <c r="BJ627" s="234"/>
      <c r="BK627" s="234"/>
      <c r="BL627" s="234"/>
      <c r="BM627" s="234"/>
      <c r="BN627" s="194"/>
      <c r="BO627" s="193"/>
      <c r="BR627" s="192"/>
      <c r="BS627" s="194"/>
      <c r="BT627" s="193"/>
      <c r="BU627" s="212"/>
      <c r="BV627" s="212"/>
      <c r="BW627" s="192"/>
      <c r="BX627" s="194"/>
      <c r="BY627" s="212"/>
      <c r="BZ627" s="212"/>
      <c r="CA627" s="212"/>
      <c r="CB627" s="192"/>
      <c r="CC627" s="194"/>
      <c r="CD627" s="212"/>
      <c r="CE627" s="212"/>
      <c r="CF627" s="212"/>
      <c r="CG627" s="212"/>
      <c r="CH627" s="194"/>
      <c r="CI627" s="212"/>
      <c r="CJ627" s="212"/>
      <c r="CK627" s="212"/>
      <c r="CL627" s="212"/>
      <c r="CM627" s="194"/>
      <c r="CN627" s="212"/>
      <c r="CO627" s="212"/>
      <c r="CP627" s="212"/>
      <c r="CQ627" s="212"/>
      <c r="CR627" s="194"/>
      <c r="CS627" s="194"/>
      <c r="CT627" s="194"/>
      <c r="CU627" s="212"/>
      <c r="DA627" s="212"/>
      <c r="DB627" s="1226"/>
    </row>
    <row r="628" spans="1:106" x14ac:dyDescent="0.2">
      <c r="A628" s="2308" t="s">
        <v>2672</v>
      </c>
      <c r="B628" s="234"/>
      <c r="C628" s="234"/>
      <c r="D628" s="234"/>
      <c r="E628" s="234"/>
      <c r="F628" s="234"/>
      <c r="G628" s="234"/>
      <c r="H628" s="234"/>
      <c r="I628" s="234"/>
      <c r="J628" s="234"/>
      <c r="K628" s="236"/>
      <c r="L628" s="234"/>
      <c r="M628" s="234"/>
      <c r="N628" s="234"/>
      <c r="O628" s="234"/>
      <c r="P628" s="194"/>
      <c r="Q628" s="234"/>
      <c r="R628" s="234"/>
      <c r="S628" s="234"/>
      <c r="T628" s="234"/>
      <c r="U628" s="194"/>
      <c r="V628" s="234"/>
      <c r="W628" s="234"/>
      <c r="X628" s="234"/>
      <c r="Y628" s="234"/>
      <c r="Z628" s="194"/>
      <c r="AA628" s="234"/>
      <c r="AB628" s="234"/>
      <c r="AC628" s="234"/>
      <c r="AD628" s="234"/>
      <c r="AE628" s="194"/>
      <c r="AF628" s="234"/>
      <c r="AG628" s="234"/>
      <c r="AH628" s="234"/>
      <c r="AI628" s="234"/>
      <c r="AJ628" s="194"/>
      <c r="AK628" s="234"/>
      <c r="AL628" s="234"/>
      <c r="AM628" s="234"/>
      <c r="AN628" s="234"/>
      <c r="AO628" s="194"/>
      <c r="AP628" s="234"/>
      <c r="AQ628" s="234"/>
      <c r="AR628" s="234"/>
      <c r="AS628" s="234"/>
      <c r="AT628" s="194"/>
      <c r="AU628" s="234"/>
      <c r="AV628" s="234"/>
      <c r="AW628" s="234"/>
      <c r="AX628" s="234"/>
      <c r="AY628" s="194"/>
      <c r="AZ628" s="234"/>
      <c r="BA628" s="234"/>
      <c r="BB628" s="234"/>
      <c r="BC628" s="234"/>
      <c r="BD628" s="194"/>
      <c r="BE628" s="234"/>
      <c r="BF628" s="234"/>
      <c r="BG628" s="234"/>
      <c r="BH628" s="234"/>
      <c r="BI628" s="194"/>
      <c r="BJ628" s="234"/>
      <c r="BK628" s="234"/>
      <c r="BL628" s="234"/>
      <c r="BM628" s="234"/>
      <c r="BN628" s="194"/>
      <c r="BO628" s="193"/>
      <c r="BR628" s="192"/>
      <c r="BS628" s="194"/>
      <c r="BT628" s="193"/>
      <c r="BU628" s="212"/>
      <c r="BV628" s="212"/>
      <c r="BW628" s="192"/>
      <c r="BX628" s="194"/>
      <c r="BY628" s="212"/>
      <c r="BZ628" s="212"/>
      <c r="CA628" s="212"/>
      <c r="CB628" s="192"/>
      <c r="CC628" s="194"/>
      <c r="CD628" s="1214">
        <v>1.7000000000000001E-2</v>
      </c>
      <c r="CE628" s="1214">
        <v>8.0000000000000002E-3</v>
      </c>
      <c r="CF628" s="1214">
        <v>1.7000000000000001E-2</v>
      </c>
      <c r="CG628" s="1214">
        <v>8.9999999999999993E-3</v>
      </c>
      <c r="CH628" s="2642">
        <v>1.2999999999999999E-2</v>
      </c>
      <c r="CI628" s="1214">
        <v>1.7000000000000001E-2</v>
      </c>
      <c r="CJ628" s="1214">
        <v>1.4E-2</v>
      </c>
      <c r="CK628" s="1214">
        <v>-4.0000000000000001E-3</v>
      </c>
      <c r="CL628" s="1214">
        <v>2.1999999999999999E-2</v>
      </c>
      <c r="CM628" s="2642">
        <v>1.2E-2</v>
      </c>
      <c r="CN628" s="1214"/>
      <c r="CO628" s="1214"/>
      <c r="CP628" s="212"/>
      <c r="CQ628" s="212"/>
      <c r="CR628" s="194"/>
      <c r="CS628" s="194"/>
      <c r="CT628" s="194"/>
      <c r="CU628" s="212"/>
      <c r="DA628" s="212"/>
      <c r="DB628" s="1226"/>
    </row>
    <row r="629" spans="1:106" x14ac:dyDescent="0.2">
      <c r="A629" s="1945" t="s">
        <v>821</v>
      </c>
      <c r="B629" s="234"/>
      <c r="C629" s="234"/>
      <c r="D629" s="234"/>
      <c r="E629" s="234"/>
      <c r="F629" s="234"/>
      <c r="G629" s="234"/>
      <c r="H629" s="234"/>
      <c r="I629" s="234"/>
      <c r="J629" s="234"/>
      <c r="K629" s="236"/>
      <c r="L629" s="234"/>
      <c r="M629" s="234"/>
      <c r="N629" s="234"/>
      <c r="O629" s="234"/>
      <c r="P629" s="194"/>
      <c r="Q629" s="234"/>
      <c r="R629" s="234"/>
      <c r="S629" s="234"/>
      <c r="T629" s="234"/>
      <c r="U629" s="194"/>
      <c r="V629" s="234"/>
      <c r="W629" s="234"/>
      <c r="X629" s="234"/>
      <c r="Y629" s="234"/>
      <c r="Z629" s="194"/>
      <c r="AA629" s="234"/>
      <c r="AB629" s="234"/>
      <c r="AC629" s="234"/>
      <c r="AD629" s="234"/>
      <c r="AE629" s="194"/>
      <c r="AF629" s="234"/>
      <c r="AG629" s="234"/>
      <c r="AH629" s="234"/>
      <c r="AI629" s="234"/>
      <c r="AJ629" s="194"/>
      <c r="AK629" s="234"/>
      <c r="AL629" s="234"/>
      <c r="AM629" s="234"/>
      <c r="AN629" s="234"/>
      <c r="AO629" s="194"/>
      <c r="AP629" s="234"/>
      <c r="AQ629" s="234"/>
      <c r="AR629" s="234"/>
      <c r="AS629" s="234"/>
      <c r="AT629" s="194"/>
      <c r="AU629" s="234"/>
      <c r="AV629" s="234"/>
      <c r="AW629" s="234"/>
      <c r="AX629" s="234"/>
      <c r="AY629" s="194"/>
      <c r="AZ629" s="234"/>
      <c r="BA629" s="234"/>
      <c r="BB629" s="234"/>
      <c r="BC629" s="234"/>
      <c r="BD629" s="194"/>
      <c r="BE629" s="234"/>
      <c r="BF629" s="234"/>
      <c r="BG629" s="234"/>
      <c r="BH629" s="234"/>
      <c r="BI629" s="194"/>
      <c r="BJ629" s="234"/>
      <c r="BK629" s="234"/>
      <c r="BL629" s="234"/>
      <c r="BM629" s="234"/>
      <c r="BN629" s="194"/>
      <c r="BO629" s="193"/>
      <c r="BR629" s="192"/>
      <c r="BS629" s="194"/>
      <c r="BT629" s="193"/>
      <c r="BU629" s="212"/>
      <c r="BV629" s="212"/>
      <c r="BW629" s="192"/>
      <c r="BX629" s="194"/>
      <c r="BY629" s="212"/>
      <c r="BZ629" s="212"/>
      <c r="CA629" s="212"/>
      <c r="CB629" s="192"/>
      <c r="CC629" s="194"/>
      <c r="CD629" s="1214">
        <v>1.9E-2</v>
      </c>
      <c r="CE629" s="1214">
        <v>1.2999999999999999E-2</v>
      </c>
      <c r="CF629" s="1214">
        <v>1E-3</v>
      </c>
      <c r="CG629" s="1214">
        <v>7.0000000000000001E-3</v>
      </c>
      <c r="CH629" s="1952">
        <v>0.01</v>
      </c>
      <c r="CI629" s="1214">
        <v>2.4E-2</v>
      </c>
      <c r="CJ629" s="1214">
        <v>6.0000000000000001E-3</v>
      </c>
      <c r="CK629" s="1214">
        <v>0</v>
      </c>
      <c r="CL629" s="1214">
        <v>3.7999999999999999E-2</v>
      </c>
      <c r="CM629" s="1952">
        <v>2.1999999999999999E-2</v>
      </c>
      <c r="CN629" s="1214"/>
      <c r="CO629" s="1214"/>
      <c r="CP629" s="212"/>
      <c r="CQ629" s="212"/>
      <c r="CR629" s="194"/>
      <c r="CS629" s="194"/>
      <c r="CT629" s="194"/>
      <c r="CU629" s="212"/>
      <c r="DA629" s="212"/>
      <c r="DB629" s="1226"/>
    </row>
    <row r="630" spans="1:106" x14ac:dyDescent="0.2">
      <c r="A630" s="3391" t="s">
        <v>2671</v>
      </c>
      <c r="B630" s="234"/>
      <c r="C630" s="234"/>
      <c r="D630" s="234"/>
      <c r="E630" s="234"/>
      <c r="F630" s="234"/>
      <c r="G630" s="234"/>
      <c r="H630" s="234"/>
      <c r="I630" s="234"/>
      <c r="J630" s="234"/>
      <c r="K630" s="236"/>
      <c r="L630" s="234"/>
      <c r="M630" s="234"/>
      <c r="N630" s="234"/>
      <c r="O630" s="234"/>
      <c r="P630" s="194"/>
      <c r="Q630" s="234"/>
      <c r="R630" s="234"/>
      <c r="S630" s="234"/>
      <c r="T630" s="234"/>
      <c r="U630" s="194"/>
      <c r="V630" s="234"/>
      <c r="W630" s="234"/>
      <c r="X630" s="234"/>
      <c r="Y630" s="234"/>
      <c r="Z630" s="194"/>
      <c r="AA630" s="234"/>
      <c r="AB630" s="234"/>
      <c r="AC630" s="234"/>
      <c r="AD630" s="234"/>
      <c r="AE630" s="194"/>
      <c r="AF630" s="234"/>
      <c r="AG630" s="234"/>
      <c r="AH630" s="234"/>
      <c r="AI630" s="234"/>
      <c r="AJ630" s="194"/>
      <c r="AK630" s="234"/>
      <c r="AL630" s="234"/>
      <c r="AM630" s="234"/>
      <c r="AN630" s="234"/>
      <c r="AO630" s="194"/>
      <c r="AP630" s="234"/>
      <c r="AQ630" s="234"/>
      <c r="AR630" s="234"/>
      <c r="AS630" s="234"/>
      <c r="AT630" s="194"/>
      <c r="AU630" s="234"/>
      <c r="AV630" s="234"/>
      <c r="AW630" s="234"/>
      <c r="AX630" s="234"/>
      <c r="AY630" s="194"/>
      <c r="AZ630" s="234"/>
      <c r="BA630" s="234"/>
      <c r="BB630" s="234"/>
      <c r="BC630" s="234"/>
      <c r="BD630" s="194"/>
      <c r="BE630" s="234"/>
      <c r="BF630" s="234"/>
      <c r="BG630" s="234"/>
      <c r="BH630" s="234"/>
      <c r="BI630" s="194"/>
      <c r="BJ630" s="234"/>
      <c r="BK630" s="234"/>
      <c r="BL630" s="234"/>
      <c r="BM630" s="234"/>
      <c r="BN630" s="194"/>
      <c r="BO630" s="193"/>
      <c r="BR630" s="192"/>
      <c r="BS630" s="194"/>
      <c r="BT630" s="193"/>
      <c r="BU630" s="212"/>
      <c r="BV630" s="212"/>
      <c r="BW630" s="192"/>
      <c r="BX630" s="194"/>
      <c r="BY630" s="212"/>
      <c r="BZ630" s="212"/>
      <c r="CA630" s="212"/>
      <c r="CB630" s="192"/>
      <c r="CC630" s="194"/>
      <c r="CD630" s="1214">
        <v>8.0000000000000002E-3</v>
      </c>
      <c r="CE630" s="1214">
        <v>-4.0000000000000001E-3</v>
      </c>
      <c r="CF630" s="1214">
        <v>-2E-3</v>
      </c>
      <c r="CG630" s="1214">
        <v>8.0000000000000002E-3</v>
      </c>
      <c r="CH630" s="1952">
        <v>2E-3</v>
      </c>
      <c r="CI630" s="1214">
        <v>1E-3</v>
      </c>
      <c r="CJ630" s="1214">
        <v>3.0000000000000001E-3</v>
      </c>
      <c r="CK630" s="1214">
        <v>-6.0000000000000001E-3</v>
      </c>
      <c r="CL630" s="1214">
        <v>1E-3</v>
      </c>
      <c r="CM630" s="1952">
        <v>0</v>
      </c>
      <c r="CN630" s="1214"/>
      <c r="CO630" s="1214"/>
      <c r="CP630" s="212"/>
      <c r="CQ630" s="212"/>
      <c r="CR630" s="194"/>
      <c r="CS630" s="194"/>
      <c r="CT630" s="194"/>
      <c r="CU630" s="212"/>
      <c r="DA630" s="212"/>
      <c r="DB630" s="1226"/>
    </row>
    <row r="631" spans="1:106" x14ac:dyDescent="0.2">
      <c r="A631" s="2014" t="s">
        <v>2673</v>
      </c>
      <c r="B631" s="234"/>
      <c r="C631" s="234"/>
      <c r="D631" s="234"/>
      <c r="E631" s="234"/>
      <c r="F631" s="234"/>
      <c r="G631" s="234"/>
      <c r="H631" s="234"/>
      <c r="I631" s="234"/>
      <c r="J631" s="234"/>
      <c r="K631" s="236"/>
      <c r="L631" s="234"/>
      <c r="M631" s="234"/>
      <c r="N631" s="234"/>
      <c r="O631" s="234"/>
      <c r="P631" s="194"/>
      <c r="Q631" s="234"/>
      <c r="R631" s="234"/>
      <c r="S631" s="234"/>
      <c r="T631" s="234"/>
      <c r="U631" s="194"/>
      <c r="V631" s="234"/>
      <c r="W631" s="234"/>
      <c r="X631" s="234"/>
      <c r="Y631" s="234"/>
      <c r="Z631" s="194"/>
      <c r="AA631" s="234"/>
      <c r="AB631" s="234"/>
      <c r="AC631" s="234"/>
      <c r="AD631" s="234"/>
      <c r="AE631" s="194"/>
      <c r="AF631" s="234"/>
      <c r="AG631" s="234"/>
      <c r="AH631" s="234"/>
      <c r="AI631" s="234"/>
      <c r="AJ631" s="194"/>
      <c r="AK631" s="234"/>
      <c r="AL631" s="234"/>
      <c r="AM631" s="234"/>
      <c r="AN631" s="234"/>
      <c r="AO631" s="194"/>
      <c r="AP631" s="234"/>
      <c r="AQ631" s="234"/>
      <c r="AR631" s="234"/>
      <c r="AS631" s="234"/>
      <c r="AT631" s="194"/>
      <c r="AU631" s="234"/>
      <c r="AV631" s="234"/>
      <c r="AW631" s="234"/>
      <c r="AX631" s="234"/>
      <c r="AY631" s="194"/>
      <c r="AZ631" s="234"/>
      <c r="BA631" s="234"/>
      <c r="BB631" s="234"/>
      <c r="BC631" s="234"/>
      <c r="BD631" s="194"/>
      <c r="BE631" s="234"/>
      <c r="BF631" s="234"/>
      <c r="BG631" s="234"/>
      <c r="BH631" s="234"/>
      <c r="BI631" s="194"/>
      <c r="BJ631" s="234"/>
      <c r="BK631" s="234"/>
      <c r="BL631" s="234"/>
      <c r="BM631" s="234"/>
      <c r="BN631" s="194"/>
      <c r="BO631" s="193"/>
      <c r="BR631" s="192"/>
      <c r="BS631" s="194"/>
      <c r="BT631" s="193"/>
      <c r="BU631" s="212"/>
      <c r="BV631" s="212"/>
      <c r="BW631" s="192"/>
      <c r="BX631" s="194"/>
      <c r="BY631" s="212"/>
      <c r="BZ631" s="212"/>
      <c r="CA631" s="212"/>
      <c r="CB631" s="192"/>
      <c r="CC631" s="194"/>
      <c r="CD631" s="1625">
        <v>1.6E-2</v>
      </c>
      <c r="CE631" s="1625">
        <v>1.0999999999999999E-2</v>
      </c>
      <c r="CF631" s="1625">
        <v>0.01</v>
      </c>
      <c r="CG631" s="1625">
        <v>8.9999999999999993E-3</v>
      </c>
      <c r="CH631" s="2249">
        <v>1.2E-2</v>
      </c>
      <c r="CI631" s="1625">
        <v>1.7999999999999999E-2</v>
      </c>
      <c r="CJ631" s="1625">
        <v>8.0000000000000002E-3</v>
      </c>
      <c r="CK631" s="1625">
        <v>-3.0000000000000001E-3</v>
      </c>
      <c r="CL631" s="1625">
        <v>0.02</v>
      </c>
      <c r="CM631" s="2249">
        <v>1.2E-2</v>
      </c>
      <c r="CN631" s="1625"/>
      <c r="CO631" s="1625"/>
      <c r="CP631" s="212"/>
      <c r="CQ631" s="212"/>
      <c r="CR631" s="194"/>
      <c r="CS631" s="194"/>
      <c r="CT631" s="194"/>
      <c r="CU631" s="212"/>
      <c r="DA631" s="212"/>
      <c r="DB631" s="1226"/>
    </row>
    <row r="632" spans="1:106" x14ac:dyDescent="0.2">
      <c r="A632" s="1945" t="s">
        <v>819</v>
      </c>
      <c r="B632" s="234"/>
      <c r="C632" s="234"/>
      <c r="D632" s="234"/>
      <c r="E632" s="234"/>
      <c r="F632" s="234"/>
      <c r="G632" s="234"/>
      <c r="H632" s="234"/>
      <c r="I632" s="234"/>
      <c r="J632" s="234"/>
      <c r="K632" s="236"/>
      <c r="L632" s="234"/>
      <c r="M632" s="234"/>
      <c r="N632" s="234"/>
      <c r="O632" s="234"/>
      <c r="P632" s="194"/>
      <c r="Q632" s="234"/>
      <c r="R632" s="234"/>
      <c r="S632" s="234"/>
      <c r="T632" s="234"/>
      <c r="U632" s="194"/>
      <c r="V632" s="234"/>
      <c r="W632" s="234"/>
      <c r="X632" s="234"/>
      <c r="Y632" s="234"/>
      <c r="Z632" s="194"/>
      <c r="AA632" s="234"/>
      <c r="AB632" s="234"/>
      <c r="AC632" s="234"/>
      <c r="AD632" s="234"/>
      <c r="AE632" s="194"/>
      <c r="AF632" s="234"/>
      <c r="AG632" s="234"/>
      <c r="AH632" s="234"/>
      <c r="AI632" s="234"/>
      <c r="AJ632" s="194"/>
      <c r="AK632" s="234"/>
      <c r="AL632" s="234"/>
      <c r="AM632" s="234"/>
      <c r="AN632" s="234"/>
      <c r="AO632" s="194"/>
      <c r="AP632" s="234"/>
      <c r="AQ632" s="234"/>
      <c r="AR632" s="234"/>
      <c r="AS632" s="234"/>
      <c r="AT632" s="194"/>
      <c r="AU632" s="234"/>
      <c r="AV632" s="234"/>
      <c r="AW632" s="234"/>
      <c r="AX632" s="234"/>
      <c r="AY632" s="194"/>
      <c r="AZ632" s="234"/>
      <c r="BA632" s="234"/>
      <c r="BB632" s="234"/>
      <c r="BC632" s="234"/>
      <c r="BD632" s="194"/>
      <c r="BE632" s="234"/>
      <c r="BF632" s="234"/>
      <c r="BG632" s="234"/>
      <c r="BH632" s="234"/>
      <c r="BI632" s="194"/>
      <c r="BJ632" s="234"/>
      <c r="BK632" s="234"/>
      <c r="BL632" s="234"/>
      <c r="BM632" s="234"/>
      <c r="BN632" s="194"/>
      <c r="BO632" s="193"/>
      <c r="BR632" s="192"/>
      <c r="BS632" s="194"/>
      <c r="BT632" s="193"/>
      <c r="BU632" s="212"/>
      <c r="BV632" s="212"/>
      <c r="BW632" s="192"/>
      <c r="BX632" s="194"/>
      <c r="BY632" s="212"/>
      <c r="BZ632" s="212"/>
      <c r="CA632" s="212"/>
      <c r="CB632" s="192"/>
      <c r="CC632" s="194"/>
      <c r="CD632" s="1214">
        <v>0.01</v>
      </c>
      <c r="CE632" s="1214">
        <v>1.4E-2</v>
      </c>
      <c r="CF632" s="1214">
        <v>0</v>
      </c>
      <c r="CG632" s="1214">
        <v>0</v>
      </c>
      <c r="CH632" s="1952">
        <v>3.0000000000000001E-3</v>
      </c>
      <c r="CI632" s="1214">
        <v>1E-3</v>
      </c>
      <c r="CJ632" s="1214">
        <v>-3.0000000000000001E-3</v>
      </c>
      <c r="CK632" s="1214">
        <v>-5.0000000000000001E-3</v>
      </c>
      <c r="CL632" s="1214">
        <v>1.2E-2</v>
      </c>
      <c r="CM632" s="1952">
        <v>4.0000000000000001E-3</v>
      </c>
      <c r="CN632" s="1214"/>
      <c r="CO632" s="1214"/>
      <c r="CP632" s="212"/>
      <c r="CQ632" s="212"/>
      <c r="CR632" s="194"/>
      <c r="CS632" s="194"/>
      <c r="CT632" s="194"/>
      <c r="CU632" s="212"/>
      <c r="DA632" s="212"/>
      <c r="DB632" s="1226"/>
    </row>
    <row r="633" spans="1:106" x14ac:dyDescent="0.2">
      <c r="A633" s="3391" t="s">
        <v>2674</v>
      </c>
      <c r="B633" s="234"/>
      <c r="C633" s="234"/>
      <c r="D633" s="234"/>
      <c r="E633" s="234"/>
      <c r="F633" s="234"/>
      <c r="G633" s="234"/>
      <c r="H633" s="234"/>
      <c r="I633" s="234"/>
      <c r="J633" s="234"/>
      <c r="K633" s="236"/>
      <c r="L633" s="234"/>
      <c r="M633" s="234"/>
      <c r="N633" s="234"/>
      <c r="O633" s="234"/>
      <c r="P633" s="194"/>
      <c r="Q633" s="234"/>
      <c r="R633" s="234"/>
      <c r="S633" s="234"/>
      <c r="T633" s="234"/>
      <c r="U633" s="194"/>
      <c r="V633" s="234"/>
      <c r="W633" s="234"/>
      <c r="X633" s="234"/>
      <c r="Y633" s="234"/>
      <c r="Z633" s="194"/>
      <c r="AA633" s="234"/>
      <c r="AB633" s="234"/>
      <c r="AC633" s="234"/>
      <c r="AD633" s="234"/>
      <c r="AE633" s="194"/>
      <c r="AF633" s="234"/>
      <c r="AG633" s="234"/>
      <c r="AH633" s="234"/>
      <c r="AI633" s="234"/>
      <c r="AJ633" s="194"/>
      <c r="AK633" s="234"/>
      <c r="AL633" s="234"/>
      <c r="AM633" s="234"/>
      <c r="AN633" s="234"/>
      <c r="AO633" s="194"/>
      <c r="AP633" s="234"/>
      <c r="AQ633" s="234"/>
      <c r="AR633" s="234"/>
      <c r="AS633" s="234"/>
      <c r="AT633" s="194"/>
      <c r="AU633" s="234"/>
      <c r="AV633" s="234"/>
      <c r="AW633" s="234"/>
      <c r="AX633" s="234"/>
      <c r="AY633" s="194"/>
      <c r="AZ633" s="234"/>
      <c r="BA633" s="234"/>
      <c r="BB633" s="234"/>
      <c r="BC633" s="234"/>
      <c r="BD633" s="194"/>
      <c r="BE633" s="234"/>
      <c r="BF633" s="234"/>
      <c r="BG633" s="234"/>
      <c r="BH633" s="234"/>
      <c r="BI633" s="194"/>
      <c r="BJ633" s="234"/>
      <c r="BK633" s="234"/>
      <c r="BL633" s="234"/>
      <c r="BM633" s="234"/>
      <c r="BN633" s="194"/>
      <c r="BO633" s="193"/>
      <c r="BR633" s="192"/>
      <c r="BS633" s="194"/>
      <c r="BT633" s="193"/>
      <c r="BU633" s="212"/>
      <c r="BV633" s="212"/>
      <c r="BW633" s="192"/>
      <c r="BX633" s="194"/>
      <c r="BY633" s="212"/>
      <c r="BZ633" s="212"/>
      <c r="CA633" s="212"/>
      <c r="CB633" s="192"/>
      <c r="CC633" s="194"/>
      <c r="CD633" s="1214">
        <v>-5.0000000000000001E-3</v>
      </c>
      <c r="CE633" s="1214">
        <v>1.4999999999999999E-2</v>
      </c>
      <c r="CF633" s="1214">
        <v>8.9999999999999993E-3</v>
      </c>
      <c r="CG633" s="1214">
        <v>-8.0000000000000002E-3</v>
      </c>
      <c r="CH633" s="1952">
        <v>3.0000000000000001E-3</v>
      </c>
      <c r="CI633" s="1214">
        <v>1.2E-2</v>
      </c>
      <c r="CJ633" s="1214">
        <v>-8.0000000000000002E-3</v>
      </c>
      <c r="CK633" s="1214">
        <v>-8.0000000000000002E-3</v>
      </c>
      <c r="CL633" s="1214">
        <v>8.0000000000000002E-3</v>
      </c>
      <c r="CM633" s="1952">
        <v>1E-3</v>
      </c>
      <c r="CN633" s="1214"/>
      <c r="CO633" s="1214"/>
      <c r="CP633" s="212"/>
      <c r="CQ633" s="212"/>
      <c r="CR633" s="194"/>
      <c r="CS633" s="194"/>
      <c r="CT633" s="194"/>
      <c r="CU633" s="212"/>
      <c r="DA633" s="212"/>
      <c r="DB633" s="1226"/>
    </row>
    <row r="634" spans="1:106" x14ac:dyDescent="0.2">
      <c r="A634" s="3391" t="s">
        <v>2675</v>
      </c>
      <c r="B634" s="234"/>
      <c r="C634" s="234"/>
      <c r="D634" s="234"/>
      <c r="E634" s="234"/>
      <c r="F634" s="234"/>
      <c r="G634" s="234"/>
      <c r="H634" s="234"/>
      <c r="I634" s="234"/>
      <c r="J634" s="234"/>
      <c r="K634" s="236"/>
      <c r="L634" s="234"/>
      <c r="M634" s="234"/>
      <c r="N634" s="234"/>
      <c r="O634" s="234"/>
      <c r="P634" s="194"/>
      <c r="Q634" s="234"/>
      <c r="R634" s="234"/>
      <c r="S634" s="234"/>
      <c r="T634" s="234"/>
      <c r="U634" s="194"/>
      <c r="V634" s="234"/>
      <c r="W634" s="234"/>
      <c r="X634" s="234"/>
      <c r="Y634" s="234"/>
      <c r="Z634" s="194"/>
      <c r="AA634" s="234"/>
      <c r="AB634" s="234"/>
      <c r="AC634" s="234"/>
      <c r="AD634" s="234"/>
      <c r="AE634" s="194"/>
      <c r="AF634" s="234"/>
      <c r="AG634" s="234"/>
      <c r="AH634" s="234"/>
      <c r="AI634" s="234"/>
      <c r="AJ634" s="194"/>
      <c r="AK634" s="234"/>
      <c r="AL634" s="234"/>
      <c r="AM634" s="234"/>
      <c r="AN634" s="234"/>
      <c r="AO634" s="194"/>
      <c r="AP634" s="234"/>
      <c r="AQ634" s="234"/>
      <c r="AR634" s="234"/>
      <c r="AS634" s="234"/>
      <c r="AT634" s="194"/>
      <c r="AU634" s="234"/>
      <c r="AV634" s="234"/>
      <c r="AW634" s="234"/>
      <c r="AX634" s="234"/>
      <c r="AY634" s="194"/>
      <c r="AZ634" s="234"/>
      <c r="BA634" s="234"/>
      <c r="BB634" s="234"/>
      <c r="BC634" s="234"/>
      <c r="BD634" s="194"/>
      <c r="BE634" s="234"/>
      <c r="BF634" s="234"/>
      <c r="BG634" s="234"/>
      <c r="BH634" s="234"/>
      <c r="BI634" s="194"/>
      <c r="BJ634" s="234"/>
      <c r="BK634" s="234"/>
      <c r="BL634" s="234"/>
      <c r="BM634" s="234"/>
      <c r="BN634" s="194"/>
      <c r="BO634" s="193"/>
      <c r="BR634" s="192"/>
      <c r="BS634" s="194"/>
      <c r="BT634" s="193"/>
      <c r="BU634" s="212"/>
      <c r="BV634" s="212"/>
      <c r="BW634" s="192"/>
      <c r="BX634" s="194"/>
      <c r="BY634" s="212"/>
      <c r="BZ634" s="212"/>
      <c r="CA634" s="212"/>
      <c r="CB634" s="192"/>
      <c r="CC634" s="194"/>
      <c r="CD634" s="1214">
        <v>8.0000000000000002E-3</v>
      </c>
      <c r="CE634" s="1214">
        <v>7.0000000000000001E-3</v>
      </c>
      <c r="CF634" s="1214">
        <v>1E-3</v>
      </c>
      <c r="CG634" s="1214">
        <v>-1.0999999999999999E-2</v>
      </c>
      <c r="CH634" s="1952">
        <v>1E-3</v>
      </c>
      <c r="CI634" s="1214">
        <v>8.9999999999999993E-3</v>
      </c>
      <c r="CJ634" s="1214">
        <v>-8.0000000000000002E-3</v>
      </c>
      <c r="CK634" s="1214">
        <v>-1.0999999999999999E-2</v>
      </c>
      <c r="CL634" s="1214">
        <v>3.0000000000000001E-3</v>
      </c>
      <c r="CM634" s="1952">
        <v>-2E-3</v>
      </c>
      <c r="CN634" s="1214"/>
      <c r="CO634" s="1214"/>
      <c r="CP634" s="212"/>
      <c r="CQ634" s="212"/>
      <c r="CR634" s="194"/>
      <c r="CS634" s="194"/>
      <c r="CT634" s="194"/>
      <c r="CU634" s="212"/>
      <c r="DA634" s="212"/>
      <c r="DB634" s="1226"/>
    </row>
    <row r="635" spans="1:106" x14ac:dyDescent="0.2">
      <c r="A635" s="2014" t="s">
        <v>2676</v>
      </c>
      <c r="B635" s="234"/>
      <c r="C635" s="234"/>
      <c r="D635" s="234"/>
      <c r="E635" s="234"/>
      <c r="F635" s="234"/>
      <c r="G635" s="234"/>
      <c r="H635" s="234"/>
      <c r="I635" s="234"/>
      <c r="J635" s="234"/>
      <c r="K635" s="236"/>
      <c r="L635" s="234"/>
      <c r="M635" s="234"/>
      <c r="N635" s="234"/>
      <c r="O635" s="234"/>
      <c r="P635" s="194"/>
      <c r="Q635" s="234"/>
      <c r="R635" s="234"/>
      <c r="S635" s="234"/>
      <c r="T635" s="234"/>
      <c r="U635" s="194"/>
      <c r="V635" s="234"/>
      <c r="W635" s="234"/>
      <c r="X635" s="234"/>
      <c r="Y635" s="234"/>
      <c r="Z635" s="194"/>
      <c r="AA635" s="234"/>
      <c r="AB635" s="234"/>
      <c r="AC635" s="234"/>
      <c r="AD635" s="234"/>
      <c r="AE635" s="194"/>
      <c r="AF635" s="234"/>
      <c r="AG635" s="234"/>
      <c r="AH635" s="234"/>
      <c r="AI635" s="234"/>
      <c r="AJ635" s="194"/>
      <c r="AK635" s="234"/>
      <c r="AL635" s="234"/>
      <c r="AM635" s="234"/>
      <c r="AN635" s="234"/>
      <c r="AO635" s="194"/>
      <c r="AP635" s="234"/>
      <c r="AQ635" s="234"/>
      <c r="AR635" s="234"/>
      <c r="AS635" s="234"/>
      <c r="AT635" s="194"/>
      <c r="AU635" s="234"/>
      <c r="AV635" s="234"/>
      <c r="AW635" s="234"/>
      <c r="AX635" s="234"/>
      <c r="AY635" s="194"/>
      <c r="AZ635" s="234"/>
      <c r="BA635" s="234"/>
      <c r="BB635" s="234"/>
      <c r="BC635" s="234"/>
      <c r="BD635" s="194"/>
      <c r="BE635" s="234"/>
      <c r="BF635" s="234"/>
      <c r="BG635" s="234"/>
      <c r="BH635" s="234"/>
      <c r="BI635" s="194"/>
      <c r="BJ635" s="234"/>
      <c r="BK635" s="234"/>
      <c r="BL635" s="234"/>
      <c r="BM635" s="234"/>
      <c r="BN635" s="194"/>
      <c r="BO635" s="193"/>
      <c r="BR635" s="192"/>
      <c r="BS635" s="194"/>
      <c r="BT635" s="193"/>
      <c r="BU635" s="212"/>
      <c r="BV635" s="212"/>
      <c r="BW635" s="192"/>
      <c r="BX635" s="194"/>
      <c r="BY635" s="212"/>
      <c r="BZ635" s="212"/>
      <c r="CA635" s="212"/>
      <c r="CB635" s="192"/>
      <c r="CC635" s="194"/>
      <c r="CD635" s="1625">
        <v>0</v>
      </c>
      <c r="CE635" s="1625">
        <v>1.4E-2</v>
      </c>
      <c r="CF635" s="1625">
        <v>6.0000000000000001E-3</v>
      </c>
      <c r="CG635" s="1625">
        <v>-2E-3</v>
      </c>
      <c r="CH635" s="2249">
        <v>4.0000000000000001E-3</v>
      </c>
      <c r="CI635" s="1625">
        <v>1.2999999999999999E-2</v>
      </c>
      <c r="CJ635" s="1625">
        <v>-5.0000000000000001E-3</v>
      </c>
      <c r="CK635" s="1625">
        <v>-6.0000000000000001E-3</v>
      </c>
      <c r="CL635" s="1625">
        <v>0.01</v>
      </c>
      <c r="CM635" s="2249">
        <v>3.0000000000000001E-3</v>
      </c>
      <c r="CN635" s="1625"/>
      <c r="CO635" s="1625"/>
      <c r="CP635" s="212"/>
      <c r="CQ635" s="212"/>
      <c r="CR635" s="194"/>
      <c r="CS635" s="194"/>
      <c r="CT635" s="194"/>
      <c r="CU635" s="212"/>
      <c r="DA635" s="212"/>
      <c r="DB635" s="1226"/>
    </row>
    <row r="636" spans="1:106" x14ac:dyDescent="0.2">
      <c r="A636" s="2014" t="s">
        <v>50</v>
      </c>
      <c r="B636" s="234"/>
      <c r="C636" s="234"/>
      <c r="D636" s="234"/>
      <c r="E636" s="234"/>
      <c r="F636" s="234"/>
      <c r="G636" s="234"/>
      <c r="H636" s="234"/>
      <c r="I636" s="234"/>
      <c r="J636" s="234"/>
      <c r="K636" s="236"/>
      <c r="L636" s="234"/>
      <c r="M636" s="234"/>
      <c r="N636" s="234"/>
      <c r="O636" s="234"/>
      <c r="P636" s="194"/>
      <c r="Q636" s="234"/>
      <c r="R636" s="234"/>
      <c r="S636" s="234"/>
      <c r="T636" s="234"/>
      <c r="U636" s="194"/>
      <c r="V636" s="234"/>
      <c r="W636" s="234"/>
      <c r="X636" s="234"/>
      <c r="Y636" s="234"/>
      <c r="Z636" s="194"/>
      <c r="AA636" s="234"/>
      <c r="AB636" s="234"/>
      <c r="AC636" s="234"/>
      <c r="AD636" s="234"/>
      <c r="AE636" s="194"/>
      <c r="AF636" s="234"/>
      <c r="AG636" s="234"/>
      <c r="AH636" s="234"/>
      <c r="AI636" s="234"/>
      <c r="AJ636" s="194"/>
      <c r="AK636" s="234"/>
      <c r="AL636" s="234"/>
      <c r="AM636" s="234"/>
      <c r="AN636" s="234"/>
      <c r="AO636" s="194"/>
      <c r="AP636" s="234"/>
      <c r="AQ636" s="234"/>
      <c r="AR636" s="234"/>
      <c r="AS636" s="234"/>
      <c r="AT636" s="194"/>
      <c r="AU636" s="234"/>
      <c r="AV636" s="234"/>
      <c r="AW636" s="234"/>
      <c r="AX636" s="234"/>
      <c r="AY636" s="194"/>
      <c r="AZ636" s="234"/>
      <c r="BA636" s="234"/>
      <c r="BB636" s="234"/>
      <c r="BC636" s="234"/>
      <c r="BD636" s="194"/>
      <c r="BE636" s="234"/>
      <c r="BF636" s="234"/>
      <c r="BG636" s="234"/>
      <c r="BH636" s="234"/>
      <c r="BI636" s="194"/>
      <c r="BJ636" s="234"/>
      <c r="BK636" s="234"/>
      <c r="BL636" s="234"/>
      <c r="BM636" s="234"/>
      <c r="BN636" s="194"/>
      <c r="BO636" s="193"/>
      <c r="BR636" s="192"/>
      <c r="BS636" s="194"/>
      <c r="BT636" s="193"/>
      <c r="BU636" s="212"/>
      <c r="BV636" s="212"/>
      <c r="BW636" s="192"/>
      <c r="BX636" s="194"/>
      <c r="BY636" s="212"/>
      <c r="BZ636" s="212"/>
      <c r="CA636" s="212"/>
      <c r="CB636" s="192"/>
      <c r="CC636" s="194"/>
      <c r="CD636" s="2247">
        <v>2E-3</v>
      </c>
      <c r="CE636" s="2247">
        <v>1.4E-2</v>
      </c>
      <c r="CF636" s="2247">
        <v>6.0000000000000001E-3</v>
      </c>
      <c r="CG636" s="1625">
        <v>-1E-3</v>
      </c>
      <c r="CH636" s="2249">
        <v>5.0000000000000001E-3</v>
      </c>
      <c r="CI636" s="1625">
        <v>1.2999999999999999E-2</v>
      </c>
      <c r="CJ636" s="1625">
        <v>-4.0000000000000001E-3</v>
      </c>
      <c r="CK636" s="1625">
        <v>-6.0000000000000001E-3</v>
      </c>
      <c r="CL636" s="1625">
        <v>1.0999999999999999E-2</v>
      </c>
      <c r="CM636" s="2249">
        <v>4.0000000000000001E-3</v>
      </c>
      <c r="CN636" s="1625"/>
      <c r="CO636" s="1625"/>
      <c r="CP636" s="212"/>
      <c r="CQ636" s="212"/>
      <c r="CR636" s="194"/>
      <c r="CS636" s="194"/>
      <c r="CT636" s="194"/>
      <c r="CU636" s="212"/>
      <c r="DA636" s="212"/>
      <c r="DB636" s="1226"/>
    </row>
    <row r="637" spans="1:106" x14ac:dyDescent="0.2">
      <c r="A637" s="1945" t="s">
        <v>822</v>
      </c>
      <c r="B637" s="234"/>
      <c r="C637" s="234"/>
      <c r="D637" s="234"/>
      <c r="E637" s="234"/>
      <c r="F637" s="234"/>
      <c r="G637" s="234"/>
      <c r="H637" s="234"/>
      <c r="I637" s="234"/>
      <c r="J637" s="234"/>
      <c r="K637" s="236"/>
      <c r="L637" s="234"/>
      <c r="M637" s="234"/>
      <c r="N637" s="234"/>
      <c r="O637" s="234"/>
      <c r="P637" s="194"/>
      <c r="Q637" s="234"/>
      <c r="R637" s="234"/>
      <c r="S637" s="234"/>
      <c r="T637" s="234"/>
      <c r="U637" s="194"/>
      <c r="V637" s="234"/>
      <c r="W637" s="234"/>
      <c r="X637" s="234"/>
      <c r="Y637" s="234"/>
      <c r="Z637" s="194"/>
      <c r="AA637" s="234"/>
      <c r="AB637" s="234"/>
      <c r="AC637" s="234"/>
      <c r="AD637" s="234"/>
      <c r="AE637" s="194"/>
      <c r="AF637" s="234"/>
      <c r="AG637" s="234"/>
      <c r="AH637" s="234"/>
      <c r="AI637" s="234"/>
      <c r="AJ637" s="194"/>
      <c r="AK637" s="234"/>
      <c r="AL637" s="234"/>
      <c r="AM637" s="234"/>
      <c r="AN637" s="234"/>
      <c r="AO637" s="194"/>
      <c r="AP637" s="234"/>
      <c r="AQ637" s="234"/>
      <c r="AR637" s="234"/>
      <c r="AS637" s="234"/>
      <c r="AT637" s="194"/>
      <c r="AU637" s="234"/>
      <c r="AV637" s="234"/>
      <c r="AW637" s="234"/>
      <c r="AX637" s="234"/>
      <c r="AY637" s="194"/>
      <c r="AZ637" s="234"/>
      <c r="BA637" s="234"/>
      <c r="BB637" s="234"/>
      <c r="BC637" s="234"/>
      <c r="BD637" s="194"/>
      <c r="BE637" s="234"/>
      <c r="BF637" s="234"/>
      <c r="BG637" s="234"/>
      <c r="BH637" s="234"/>
      <c r="BI637" s="194"/>
      <c r="BJ637" s="234"/>
      <c r="BK637" s="234"/>
      <c r="BL637" s="234"/>
      <c r="BM637" s="234"/>
      <c r="BN637" s="194"/>
      <c r="BO637" s="193"/>
      <c r="BR637" s="192"/>
      <c r="BS637" s="194"/>
      <c r="BT637" s="193"/>
      <c r="BU637" s="212"/>
      <c r="BV637" s="212"/>
      <c r="BW637" s="192"/>
      <c r="BX637" s="194"/>
      <c r="BY637" s="212"/>
      <c r="BZ637" s="212"/>
      <c r="CA637" s="212"/>
      <c r="CB637" s="192"/>
      <c r="CC637" s="194"/>
      <c r="CD637" s="1214">
        <v>2E-3</v>
      </c>
      <c r="CE637" s="1214">
        <v>7.0000000000000001E-3</v>
      </c>
      <c r="CF637" s="1214">
        <v>-4.0000000000000001E-3</v>
      </c>
      <c r="CG637" s="1214">
        <v>-4.0000000000000001E-3</v>
      </c>
      <c r="CH637" s="1952">
        <v>0</v>
      </c>
      <c r="CI637" s="1214">
        <v>4.0000000000000001E-3</v>
      </c>
      <c r="CJ637" s="1214">
        <v>-4.0000000000000001E-3</v>
      </c>
      <c r="CK637" s="1214">
        <v>5.0000000000000001E-3</v>
      </c>
      <c r="CL637" s="1214">
        <v>1.9E-2</v>
      </c>
      <c r="CM637" s="1952">
        <v>6.0000000000000001E-3</v>
      </c>
      <c r="CN637" s="1214"/>
      <c r="CO637" s="1214"/>
      <c r="CP637" s="212"/>
      <c r="CQ637" s="212"/>
      <c r="CR637" s="194"/>
      <c r="CS637" s="194"/>
      <c r="CT637" s="194"/>
      <c r="CU637" s="212"/>
      <c r="DA637" s="212"/>
      <c r="DB637" s="1226"/>
    </row>
    <row r="638" spans="1:106" x14ac:dyDescent="0.2">
      <c r="A638" s="1945" t="s">
        <v>923</v>
      </c>
      <c r="B638" s="234"/>
      <c r="C638" s="234"/>
      <c r="D638" s="234"/>
      <c r="E638" s="234"/>
      <c r="F638" s="234"/>
      <c r="G638" s="234"/>
      <c r="H638" s="234"/>
      <c r="I638" s="234"/>
      <c r="J638" s="234"/>
      <c r="K638" s="236"/>
      <c r="L638" s="234"/>
      <c r="M638" s="234"/>
      <c r="N638" s="234"/>
      <c r="O638" s="234"/>
      <c r="P638" s="194"/>
      <c r="Q638" s="234"/>
      <c r="R638" s="234"/>
      <c r="S638" s="234"/>
      <c r="T638" s="234"/>
      <c r="U638" s="194"/>
      <c r="V638" s="234"/>
      <c r="W638" s="234"/>
      <c r="X638" s="234"/>
      <c r="Y638" s="234"/>
      <c r="Z638" s="194"/>
      <c r="AA638" s="234"/>
      <c r="AB638" s="234"/>
      <c r="AC638" s="234"/>
      <c r="AD638" s="234"/>
      <c r="AE638" s="194"/>
      <c r="AF638" s="234"/>
      <c r="AG638" s="234"/>
      <c r="AH638" s="234"/>
      <c r="AI638" s="234"/>
      <c r="AJ638" s="194"/>
      <c r="AK638" s="234"/>
      <c r="AL638" s="234"/>
      <c r="AM638" s="234"/>
      <c r="AN638" s="234"/>
      <c r="AO638" s="194"/>
      <c r="AP638" s="234"/>
      <c r="AQ638" s="234"/>
      <c r="AR638" s="234"/>
      <c r="AS638" s="234"/>
      <c r="AT638" s="194"/>
      <c r="AU638" s="234"/>
      <c r="AV638" s="234"/>
      <c r="AW638" s="234"/>
      <c r="AX638" s="234"/>
      <c r="AY638" s="194"/>
      <c r="AZ638" s="234"/>
      <c r="BA638" s="234"/>
      <c r="BB638" s="234"/>
      <c r="BC638" s="234"/>
      <c r="BD638" s="194"/>
      <c r="BE638" s="234"/>
      <c r="BF638" s="234"/>
      <c r="BG638" s="234"/>
      <c r="BH638" s="234"/>
      <c r="BI638" s="194"/>
      <c r="BJ638" s="234"/>
      <c r="BK638" s="234"/>
      <c r="BL638" s="234"/>
      <c r="BM638" s="234"/>
      <c r="BN638" s="194"/>
      <c r="BO638" s="193"/>
      <c r="BR638" s="192"/>
      <c r="BS638" s="194"/>
      <c r="BT638" s="193"/>
      <c r="BU638" s="212"/>
      <c r="BV638" s="212"/>
      <c r="BW638" s="192"/>
      <c r="BX638" s="194"/>
      <c r="BY638" s="212"/>
      <c r="BZ638" s="212"/>
      <c r="CA638" s="212"/>
      <c r="CB638" s="192"/>
      <c r="CC638" s="194"/>
      <c r="CD638" s="1214">
        <v>-5.0000000000000001E-3</v>
      </c>
      <c r="CE638" s="1214">
        <v>3.0000000000000001E-3</v>
      </c>
      <c r="CF638" s="1214">
        <v>-1E-3</v>
      </c>
      <c r="CG638" s="1214">
        <v>-1E-3</v>
      </c>
      <c r="CH638" s="1952">
        <v>-1E-3</v>
      </c>
      <c r="CI638" s="1214">
        <v>5.0000000000000001E-3</v>
      </c>
      <c r="CJ638" s="1214">
        <v>-6.0000000000000001E-3</v>
      </c>
      <c r="CK638" s="1214">
        <v>0</v>
      </c>
      <c r="CL638" s="1214">
        <v>1.4E-2</v>
      </c>
      <c r="CM638" s="1952">
        <v>3.0000000000000001E-3</v>
      </c>
      <c r="CN638" s="1214"/>
      <c r="CO638" s="1214"/>
      <c r="CP638" s="212"/>
      <c r="CQ638" s="212"/>
      <c r="CR638" s="194"/>
      <c r="CS638" s="194"/>
      <c r="CT638" s="194"/>
      <c r="CU638" s="212"/>
      <c r="DA638" s="212"/>
      <c r="DB638" s="1226"/>
    </row>
    <row r="639" spans="1:106" x14ac:dyDescent="0.2">
      <c r="A639" s="1945" t="s">
        <v>823</v>
      </c>
      <c r="B639" s="234"/>
      <c r="C639" s="234"/>
      <c r="D639" s="234"/>
      <c r="E639" s="234"/>
      <c r="F639" s="234"/>
      <c r="G639" s="234"/>
      <c r="H639" s="234"/>
      <c r="I639" s="234"/>
      <c r="J639" s="234"/>
      <c r="K639" s="236"/>
      <c r="L639" s="234"/>
      <c r="M639" s="234"/>
      <c r="N639" s="234"/>
      <c r="O639" s="234"/>
      <c r="P639" s="194"/>
      <c r="Q639" s="234"/>
      <c r="R639" s="234"/>
      <c r="S639" s="234"/>
      <c r="T639" s="234"/>
      <c r="U639" s="194"/>
      <c r="V639" s="234"/>
      <c r="W639" s="234"/>
      <c r="X639" s="234"/>
      <c r="Y639" s="234"/>
      <c r="Z639" s="194"/>
      <c r="AA639" s="234"/>
      <c r="AB639" s="234"/>
      <c r="AC639" s="234"/>
      <c r="AD639" s="234"/>
      <c r="AE639" s="194"/>
      <c r="AF639" s="234"/>
      <c r="AG639" s="234"/>
      <c r="AH639" s="234"/>
      <c r="AI639" s="234"/>
      <c r="AJ639" s="194"/>
      <c r="AK639" s="234"/>
      <c r="AL639" s="234"/>
      <c r="AM639" s="234"/>
      <c r="AN639" s="234"/>
      <c r="AO639" s="194"/>
      <c r="AP639" s="234"/>
      <c r="AQ639" s="234"/>
      <c r="AR639" s="234"/>
      <c r="AS639" s="234"/>
      <c r="AT639" s="194"/>
      <c r="AU639" s="234"/>
      <c r="AV639" s="234"/>
      <c r="AW639" s="234"/>
      <c r="AX639" s="234"/>
      <c r="AY639" s="194"/>
      <c r="AZ639" s="234"/>
      <c r="BA639" s="234"/>
      <c r="BB639" s="234"/>
      <c r="BC639" s="234"/>
      <c r="BD639" s="194"/>
      <c r="BE639" s="234"/>
      <c r="BF639" s="234"/>
      <c r="BG639" s="234"/>
      <c r="BH639" s="234"/>
      <c r="BI639" s="194"/>
      <c r="BJ639" s="234"/>
      <c r="BK639" s="234"/>
      <c r="BL639" s="234"/>
      <c r="BM639" s="234"/>
      <c r="BN639" s="194"/>
      <c r="BO639" s="193"/>
      <c r="BR639" s="192"/>
      <c r="BS639" s="194"/>
      <c r="BT639" s="193"/>
      <c r="BU639" s="212"/>
      <c r="BV639" s="212"/>
      <c r="BW639" s="192"/>
      <c r="BX639" s="194"/>
      <c r="BY639" s="212"/>
      <c r="BZ639" s="212"/>
      <c r="CA639" s="212"/>
      <c r="CB639" s="192"/>
      <c r="CC639" s="194"/>
      <c r="CD639" s="1214">
        <v>-0.01</v>
      </c>
      <c r="CE639" s="1214">
        <v>-3.0000000000000001E-3</v>
      </c>
      <c r="CF639" s="1214">
        <v>-5.0000000000000001E-3</v>
      </c>
      <c r="CG639" s="1214">
        <v>-1E-3</v>
      </c>
      <c r="CH639" s="1952">
        <v>-5.0000000000000001E-3</v>
      </c>
      <c r="CI639" s="1214">
        <v>1.2999999999999999E-2</v>
      </c>
      <c r="CJ639" s="1214">
        <v>1.2E-2</v>
      </c>
      <c r="CK639" s="1214">
        <v>1.7000000000000001E-2</v>
      </c>
      <c r="CL639" s="1214">
        <v>2.1000000000000001E-2</v>
      </c>
      <c r="CM639" s="1952">
        <v>1.6E-2</v>
      </c>
      <c r="CN639" s="1214"/>
      <c r="CO639" s="1214"/>
      <c r="CP639" s="212"/>
      <c r="CQ639" s="212"/>
      <c r="CR639" s="194"/>
      <c r="CS639" s="194"/>
      <c r="CT639" s="194"/>
      <c r="CU639" s="212"/>
      <c r="DA639" s="212"/>
      <c r="DB639" s="1226"/>
    </row>
    <row r="640" spans="1:106" x14ac:dyDescent="0.2">
      <c r="A640" s="2014" t="s">
        <v>52</v>
      </c>
      <c r="B640" s="234"/>
      <c r="C640" s="234"/>
      <c r="D640" s="234"/>
      <c r="E640" s="234"/>
      <c r="F640" s="234"/>
      <c r="G640" s="234"/>
      <c r="H640" s="234"/>
      <c r="I640" s="234"/>
      <c r="J640" s="234"/>
      <c r="K640" s="236"/>
      <c r="L640" s="234"/>
      <c r="M640" s="234"/>
      <c r="N640" s="234"/>
      <c r="O640" s="234"/>
      <c r="P640" s="194"/>
      <c r="Q640" s="234"/>
      <c r="R640" s="234"/>
      <c r="S640" s="234"/>
      <c r="T640" s="234"/>
      <c r="U640" s="194"/>
      <c r="V640" s="234"/>
      <c r="W640" s="234"/>
      <c r="X640" s="234"/>
      <c r="Y640" s="234"/>
      <c r="Z640" s="194"/>
      <c r="AA640" s="234"/>
      <c r="AB640" s="234"/>
      <c r="AC640" s="234"/>
      <c r="AD640" s="234"/>
      <c r="AE640" s="194"/>
      <c r="AF640" s="234"/>
      <c r="AG640" s="234"/>
      <c r="AH640" s="234"/>
      <c r="AI640" s="234"/>
      <c r="AJ640" s="194"/>
      <c r="AK640" s="234"/>
      <c r="AL640" s="234"/>
      <c r="AM640" s="234"/>
      <c r="AN640" s="234"/>
      <c r="AO640" s="194"/>
      <c r="AP640" s="234"/>
      <c r="AQ640" s="234"/>
      <c r="AR640" s="234"/>
      <c r="AS640" s="234"/>
      <c r="AT640" s="194"/>
      <c r="AU640" s="234"/>
      <c r="AV640" s="234"/>
      <c r="AW640" s="234"/>
      <c r="AX640" s="234"/>
      <c r="AY640" s="194"/>
      <c r="AZ640" s="234"/>
      <c r="BA640" s="234"/>
      <c r="BB640" s="234"/>
      <c r="BC640" s="234"/>
      <c r="BD640" s="194"/>
      <c r="BE640" s="234"/>
      <c r="BF640" s="234"/>
      <c r="BG640" s="234"/>
      <c r="BH640" s="234"/>
      <c r="BI640" s="194"/>
      <c r="BJ640" s="234"/>
      <c r="BK640" s="234"/>
      <c r="BL640" s="234"/>
      <c r="BM640" s="234"/>
      <c r="BN640" s="194"/>
      <c r="BO640" s="193"/>
      <c r="BR640" s="192"/>
      <c r="BS640" s="194"/>
      <c r="BT640" s="193"/>
      <c r="BU640" s="212"/>
      <c r="BV640" s="212"/>
      <c r="BW640" s="192"/>
      <c r="BX640" s="194"/>
      <c r="BY640" s="212"/>
      <c r="BZ640" s="212"/>
      <c r="CA640" s="212"/>
      <c r="CB640" s="192"/>
      <c r="CC640" s="194"/>
      <c r="CD640" s="1625">
        <v>-3.0000000000000001E-3</v>
      </c>
      <c r="CE640" s="1625">
        <v>6.0000000000000001E-3</v>
      </c>
      <c r="CF640" s="1625">
        <v>-3.0000000000000001E-3</v>
      </c>
      <c r="CG640" s="1625">
        <v>-2E-3</v>
      </c>
      <c r="CH640" s="2249">
        <v>0</v>
      </c>
      <c r="CI640" s="1625">
        <v>7.0000000000000001E-3</v>
      </c>
      <c r="CJ640" s="1625">
        <v>-2E-3</v>
      </c>
      <c r="CK640" s="1625">
        <v>5.0000000000000001E-3</v>
      </c>
      <c r="CL640" s="1625">
        <v>1.9E-2</v>
      </c>
      <c r="CM640" s="2249">
        <v>7.0000000000000001E-3</v>
      </c>
      <c r="CN640" s="1625"/>
      <c r="CO640" s="1625"/>
      <c r="CP640" s="212"/>
      <c r="CQ640" s="212"/>
      <c r="CR640" s="194"/>
      <c r="CS640" s="194"/>
      <c r="CT640" s="194"/>
      <c r="CU640" s="212"/>
      <c r="DA640" s="212"/>
      <c r="DB640" s="1226"/>
    </row>
    <row r="641" spans="1:106" s="1951" customFormat="1" collapsed="1" x14ac:dyDescent="0.2">
      <c r="A641" s="1948" t="s">
        <v>2026</v>
      </c>
      <c r="B641" s="2003"/>
      <c r="C641" s="2003"/>
      <c r="D641" s="2003"/>
      <c r="E641" s="2003"/>
      <c r="F641" s="2003"/>
      <c r="G641" s="2003"/>
      <c r="H641" s="2003"/>
      <c r="I641" s="2003"/>
      <c r="J641" s="2003"/>
      <c r="K641" s="2004"/>
      <c r="L641" s="2005"/>
      <c r="M641" s="2005"/>
      <c r="N641" s="2005"/>
      <c r="O641" s="2005"/>
      <c r="P641" s="2004"/>
      <c r="Q641" s="1628"/>
      <c r="R641" s="1628"/>
      <c r="S641" s="1628"/>
      <c r="T641" s="1628"/>
      <c r="U641" s="1954"/>
      <c r="V641" s="1628"/>
      <c r="W641" s="1628"/>
      <c r="X641" s="1628"/>
      <c r="Y641" s="1628"/>
      <c r="Z641" s="1954"/>
      <c r="AA641" s="1628"/>
      <c r="AB641" s="1628"/>
      <c r="AC641" s="1628"/>
      <c r="AD641" s="1628"/>
      <c r="AE641" s="1954"/>
      <c r="AF641" s="1628"/>
      <c r="AG641" s="1628"/>
      <c r="AH641" s="1628"/>
      <c r="AI641" s="1628"/>
      <c r="AJ641" s="1954"/>
      <c r="AK641" s="1628"/>
      <c r="AL641" s="1628"/>
      <c r="AM641" s="1628"/>
      <c r="AN641" s="1628"/>
      <c r="AO641" s="1954"/>
      <c r="AP641" s="1628"/>
      <c r="AQ641" s="1628"/>
      <c r="AR641" s="1628"/>
      <c r="AS641" s="1628"/>
      <c r="AT641" s="1954"/>
      <c r="AU641" s="1628"/>
      <c r="AV641" s="1628"/>
      <c r="AW641" s="1628"/>
      <c r="AX641" s="1628"/>
      <c r="AY641" s="1954"/>
      <c r="AZ641" s="1628"/>
      <c r="BA641" s="1628"/>
      <c r="BB641" s="1628"/>
      <c r="BC641" s="1628"/>
      <c r="BD641" s="1954"/>
      <c r="BE641" s="1628"/>
      <c r="BF641" s="1628"/>
      <c r="BG641" s="1628"/>
      <c r="BH641" s="1628"/>
      <c r="BI641" s="1954"/>
      <c r="BJ641" s="1628"/>
      <c r="BK641" s="1628"/>
      <c r="BL641" s="1628"/>
      <c r="BM641" s="1628"/>
      <c r="BN641" s="1954"/>
      <c r="BO641" s="1628"/>
      <c r="BP641" s="1628"/>
      <c r="BQ641" s="1628"/>
      <c r="BR641" s="1628"/>
      <c r="BS641" s="1954"/>
      <c r="BT641" s="1628"/>
      <c r="BU641" s="1628"/>
      <c r="BV641" s="1628"/>
      <c r="BW641" s="1628"/>
      <c r="BX641" s="1954"/>
      <c r="BY641" s="1628"/>
      <c r="BZ641" s="1628"/>
      <c r="CA641" s="1628"/>
      <c r="CB641" s="1628"/>
      <c r="CC641" s="1954"/>
      <c r="CD641" s="1628">
        <v>-1E-3</v>
      </c>
      <c r="CE641" s="1628">
        <v>0.01</v>
      </c>
      <c r="CF641" s="1628">
        <v>1E-3</v>
      </c>
      <c r="CG641" s="1628">
        <v>-1E-3</v>
      </c>
      <c r="CH641" s="1954">
        <v>-2E-3</v>
      </c>
      <c r="CI641" s="1628">
        <v>0.01</v>
      </c>
      <c r="CJ641" s="1628">
        <v>-3.0000000000000001E-3</v>
      </c>
      <c r="CK641" s="1628">
        <v>0</v>
      </c>
      <c r="CL641" s="1628">
        <v>1.4999999999999999E-2</v>
      </c>
      <c r="CM641" s="1954">
        <v>6.0000000000000001E-3</v>
      </c>
      <c r="CN641" s="1628"/>
      <c r="CO641" s="1628"/>
      <c r="CP641" s="1949"/>
      <c r="CQ641" s="1949"/>
      <c r="CR641" s="1751"/>
      <c r="CS641" s="1751"/>
      <c r="CT641" s="1751"/>
      <c r="CU641" s="1950"/>
      <c r="DA641" s="212"/>
      <c r="DB641" s="1226"/>
    </row>
    <row r="642" spans="1:106" x14ac:dyDescent="0.2">
      <c r="A642" s="1437"/>
      <c r="B642" s="234"/>
      <c r="C642" s="234"/>
      <c r="D642" s="234"/>
      <c r="E642" s="234"/>
      <c r="F642" s="234"/>
      <c r="G642" s="234"/>
      <c r="H642" s="234"/>
      <c r="I642" s="234"/>
      <c r="J642" s="234"/>
      <c r="K642" s="236"/>
      <c r="L642" s="234"/>
      <c r="M642" s="234"/>
      <c r="N642" s="234"/>
      <c r="O642" s="234"/>
      <c r="P642" s="194"/>
      <c r="Q642" s="234"/>
      <c r="R642" s="234"/>
      <c r="S642" s="234"/>
      <c r="T642" s="234"/>
      <c r="U642" s="194"/>
      <c r="V642" s="234"/>
      <c r="W642" s="234"/>
      <c r="X642" s="234"/>
      <c r="Y642" s="234"/>
      <c r="Z642" s="194"/>
      <c r="AA642" s="234"/>
      <c r="AB642" s="234"/>
      <c r="AC642" s="234"/>
      <c r="AD642" s="234"/>
      <c r="AE642" s="194"/>
      <c r="AF642" s="234"/>
      <c r="AG642" s="234"/>
      <c r="AH642" s="234"/>
      <c r="AI642" s="234"/>
      <c r="AJ642" s="194"/>
      <c r="AK642" s="234"/>
      <c r="AL642" s="234"/>
      <c r="AM642" s="234"/>
      <c r="AN642" s="234"/>
      <c r="AO642" s="194"/>
      <c r="AP642" s="234"/>
      <c r="AQ642" s="234"/>
      <c r="AR642" s="234"/>
      <c r="AS642" s="234"/>
      <c r="AT642" s="194"/>
      <c r="AU642" s="234"/>
      <c r="AV642" s="234"/>
      <c r="AW642" s="234"/>
      <c r="AX642" s="234"/>
      <c r="AY642" s="194"/>
      <c r="AZ642" s="234"/>
      <c r="BA642" s="234"/>
      <c r="BB642" s="234"/>
      <c r="BC642" s="234"/>
      <c r="BD642" s="194"/>
      <c r="BE642" s="234"/>
      <c r="BF642" s="234"/>
      <c r="BG642" s="234"/>
      <c r="BH642" s="234"/>
      <c r="BI642" s="194"/>
      <c r="BJ642" s="234"/>
      <c r="BK642" s="234"/>
      <c r="BL642" s="234"/>
      <c r="BM642" s="234"/>
      <c r="BN642" s="194"/>
      <c r="BO642" s="193"/>
      <c r="BR642" s="192"/>
      <c r="BS642" s="194"/>
      <c r="BT642" s="193"/>
      <c r="BU642" s="212"/>
      <c r="BV642" s="212"/>
      <c r="BW642" s="192"/>
      <c r="BX642" s="194"/>
      <c r="BY642" s="212"/>
      <c r="BZ642" s="212"/>
      <c r="CA642" s="212"/>
      <c r="CB642" s="192"/>
      <c r="CC642" s="194"/>
      <c r="CD642" s="212"/>
      <c r="CE642" s="212"/>
      <c r="CF642" s="212"/>
      <c r="CG642" s="192"/>
      <c r="CH642" s="194"/>
      <c r="CI642" s="212"/>
      <c r="CJ642" s="212"/>
      <c r="CK642" s="212"/>
      <c r="CL642" s="212"/>
      <c r="CM642" s="194"/>
      <c r="CN642" s="212"/>
      <c r="CO642" s="212"/>
      <c r="CP642" s="212"/>
      <c r="CQ642" s="212"/>
      <c r="CR642" s="194"/>
      <c r="CS642" s="194"/>
      <c r="CT642" s="194"/>
      <c r="CU642" s="212"/>
      <c r="DA642" s="212"/>
      <c r="DB642" s="1226"/>
    </row>
    <row r="643" spans="1:106" outlineLevel="1" x14ac:dyDescent="0.2">
      <c r="A643" s="1560" t="s">
        <v>2691</v>
      </c>
      <c r="B643" s="1920"/>
      <c r="C643" s="1920"/>
      <c r="D643" s="1920"/>
      <c r="E643" s="1920"/>
      <c r="F643" s="1920"/>
      <c r="G643" s="2006"/>
      <c r="H643" s="2006"/>
      <c r="I643" s="2006"/>
      <c r="J643" s="2006"/>
      <c r="K643" s="1926"/>
      <c r="L643" s="1882"/>
      <c r="M643" s="1882"/>
      <c r="N643" s="1882"/>
      <c r="O643" s="1882"/>
      <c r="P643" s="1973"/>
      <c r="Q643" s="733"/>
      <c r="R643" s="733"/>
      <c r="S643" s="733"/>
      <c r="T643" s="733"/>
      <c r="U643" s="194"/>
      <c r="V643" s="733"/>
      <c r="W643" s="733"/>
      <c r="X643" s="733"/>
      <c r="Y643" s="733"/>
      <c r="Z643" s="194"/>
      <c r="AA643" s="733"/>
      <c r="AB643" s="733"/>
      <c r="AC643" s="733"/>
      <c r="AD643" s="733"/>
      <c r="AE643" s="194"/>
      <c r="AF643" s="733"/>
      <c r="AG643" s="733"/>
      <c r="AH643" s="733"/>
      <c r="AI643" s="733"/>
      <c r="AJ643" s="194"/>
      <c r="AK643" s="733"/>
      <c r="AL643" s="733"/>
      <c r="AM643" s="733"/>
      <c r="AN643" s="733"/>
      <c r="AO643" s="194"/>
      <c r="AP643" s="1214"/>
      <c r="AQ643" s="1214"/>
      <c r="AR643" s="1214"/>
      <c r="AS643" s="733"/>
      <c r="AT643" s="194"/>
      <c r="AU643" s="1214"/>
      <c r="AV643" s="1214"/>
      <c r="AW643" s="1214"/>
      <c r="AX643" s="1214"/>
      <c r="AY643" s="194"/>
      <c r="AZ643" s="1214"/>
      <c r="BA643" s="1214"/>
      <c r="BB643" s="1214"/>
      <c r="BC643" s="1214"/>
      <c r="BD643" s="194"/>
      <c r="BE643" s="1214"/>
      <c r="BF643" s="1214"/>
      <c r="BG643" s="1214"/>
      <c r="BH643" s="1214"/>
      <c r="BI643" s="194"/>
      <c r="BJ643" s="1214"/>
      <c r="BK643" s="1214"/>
      <c r="BL643" s="1214"/>
      <c r="BM643" s="1214"/>
      <c r="BN643" s="194"/>
      <c r="BO643" s="1214"/>
      <c r="BP643" s="1214"/>
      <c r="BR643" s="1214"/>
      <c r="BS643" s="194"/>
      <c r="BT643" s="1214"/>
      <c r="BU643" s="212"/>
      <c r="BV643" s="212"/>
      <c r="BW643" s="1214"/>
      <c r="BX643" s="194"/>
      <c r="BY643" s="1214"/>
      <c r="BZ643" s="212"/>
      <c r="CA643" s="212"/>
      <c r="CB643" s="212"/>
      <c r="CC643" s="194"/>
      <c r="CD643" s="212"/>
      <c r="CE643" s="212"/>
      <c r="CF643" s="212"/>
      <c r="CG643" s="212"/>
      <c r="CH643" s="194"/>
      <c r="CI643" s="212"/>
      <c r="CJ643" s="212"/>
      <c r="CK643" s="212"/>
      <c r="CL643" s="212"/>
      <c r="CM643" s="194"/>
      <c r="CN643" s="212"/>
      <c r="CO643" s="212"/>
      <c r="CP643" s="212"/>
      <c r="CQ643" s="212"/>
      <c r="CR643" s="194"/>
      <c r="CS643" s="194"/>
      <c r="CT643" s="194"/>
      <c r="CU643" s="212"/>
      <c r="DA643" s="212"/>
      <c r="DB643" s="1226"/>
    </row>
    <row r="644" spans="1:106" outlineLevel="1" x14ac:dyDescent="0.2">
      <c r="A644" s="2285" t="s">
        <v>2672</v>
      </c>
      <c r="B644" s="1920"/>
      <c r="C644" s="1920"/>
      <c r="D644" s="1920"/>
      <c r="E644" s="1920"/>
      <c r="F644" s="1920"/>
      <c r="G644" s="2006"/>
      <c r="H644" s="2006"/>
      <c r="I644" s="2006"/>
      <c r="J644" s="2006"/>
      <c r="K644" s="1926"/>
      <c r="L644" s="1882"/>
      <c r="M644" s="1882"/>
      <c r="N644" s="1882"/>
      <c r="O644" s="1882"/>
      <c r="P644" s="1973"/>
      <c r="Q644" s="733"/>
      <c r="R644" s="733"/>
      <c r="S644" s="733"/>
      <c r="T644" s="733"/>
      <c r="U644" s="194"/>
      <c r="V644" s="733"/>
      <c r="W644" s="733"/>
      <c r="X644" s="733"/>
      <c r="Y644" s="733"/>
      <c r="Z644" s="194"/>
      <c r="AA644" s="733"/>
      <c r="AB644" s="733"/>
      <c r="AC644" s="733"/>
      <c r="AD644" s="733"/>
      <c r="AE644" s="194"/>
      <c r="AF644" s="733"/>
      <c r="AG644" s="733"/>
      <c r="AH644" s="733"/>
      <c r="AI644" s="733"/>
      <c r="AJ644" s="194"/>
      <c r="AK644" s="733"/>
      <c r="AL644" s="733"/>
      <c r="AM644" s="733"/>
      <c r="AN644" s="733"/>
      <c r="AO644" s="194"/>
      <c r="AP644" s="1214"/>
      <c r="AQ644" s="1214"/>
      <c r="AR644" s="1214"/>
      <c r="AS644" s="733"/>
      <c r="AT644" s="194"/>
      <c r="AU644" s="1214"/>
      <c r="AV644" s="1214"/>
      <c r="AW644" s="1214"/>
      <c r="AX644" s="1214"/>
      <c r="AY644" s="194"/>
      <c r="AZ644" s="1214"/>
      <c r="BA644" s="1214"/>
      <c r="BB644" s="1214"/>
      <c r="BC644" s="1214"/>
      <c r="BD644" s="194"/>
      <c r="BE644" s="1214"/>
      <c r="BF644" s="1214"/>
      <c r="BG644" s="1214"/>
      <c r="BH644" s="1214"/>
      <c r="BI644" s="194"/>
      <c r="BJ644" s="1214"/>
      <c r="BK644" s="1214"/>
      <c r="BL644" s="1214"/>
      <c r="BM644" s="1214"/>
      <c r="BN644" s="194"/>
      <c r="BO644" s="1214"/>
      <c r="BP644" s="1214"/>
      <c r="BR644" s="1214"/>
      <c r="BS644" s="194"/>
      <c r="BT644" s="1214"/>
      <c r="BU644" s="212"/>
      <c r="BV644" s="212"/>
      <c r="BW644" s="1214"/>
      <c r="BX644" s="194"/>
      <c r="BY644" s="1214"/>
      <c r="BZ644" s="212"/>
      <c r="CA644" s="212"/>
      <c r="CB644" s="212"/>
      <c r="CC644" s="194"/>
      <c r="CD644" s="212"/>
      <c r="CE644" s="212"/>
      <c r="CF644" s="212"/>
      <c r="CG644" s="1214">
        <v>8.9999999999999993E-3</v>
      </c>
      <c r="CH644" s="2642">
        <v>1.2999999999999999E-2</v>
      </c>
      <c r="CI644" s="212"/>
      <c r="CJ644" s="212"/>
      <c r="CK644" s="212"/>
      <c r="CL644" s="212"/>
      <c r="CM644" s="194"/>
      <c r="CN644" s="212"/>
      <c r="CO644" s="212"/>
      <c r="CP644" s="212"/>
      <c r="CQ644" s="212"/>
      <c r="CR644" s="194"/>
      <c r="CS644" s="194"/>
      <c r="CT644" s="194"/>
      <c r="CU644" s="212"/>
      <c r="DA644" s="212"/>
      <c r="DB644" s="1226"/>
    </row>
    <row r="645" spans="1:106" s="11" customFormat="1" outlineLevel="1" x14ac:dyDescent="0.2">
      <c r="A645" s="1945" t="s">
        <v>821</v>
      </c>
      <c r="B645" s="1302" t="s">
        <v>673</v>
      </c>
      <c r="C645" s="1302" t="s">
        <v>673</v>
      </c>
      <c r="D645" s="1302" t="s">
        <v>673</v>
      </c>
      <c r="E645" s="1302" t="s">
        <v>673</v>
      </c>
      <c r="F645" s="1302" t="s">
        <v>673</v>
      </c>
      <c r="G645" s="1302" t="s">
        <v>673</v>
      </c>
      <c r="H645" s="1302" t="s">
        <v>673</v>
      </c>
      <c r="I645" s="1302" t="s">
        <v>673</v>
      </c>
      <c r="J645" s="1302" t="s">
        <v>673</v>
      </c>
      <c r="K645" s="2001" t="s">
        <v>673</v>
      </c>
      <c r="L645" s="1882" t="s">
        <v>673</v>
      </c>
      <c r="M645" s="1882" t="s">
        <v>673</v>
      </c>
      <c r="N645" s="1882" t="s">
        <v>673</v>
      </c>
      <c r="O645" s="1882" t="s">
        <v>673</v>
      </c>
      <c r="P645" s="2002" t="s">
        <v>673</v>
      </c>
      <c r="Q645" s="1214">
        <v>-0.02</v>
      </c>
      <c r="R645" s="1214">
        <v>-3.2000000000000001E-2</v>
      </c>
      <c r="S645" s="1214">
        <v>4.9000000000000002E-2</v>
      </c>
      <c r="T645" s="1214">
        <v>3.2000000000000001E-2</v>
      </c>
      <c r="U645" s="1952">
        <v>1.0999999999999999E-2</v>
      </c>
      <c r="V645" s="1214">
        <v>5.6000000000000001E-2</v>
      </c>
      <c r="W645" s="1214">
        <v>7.9000000000000001E-2</v>
      </c>
      <c r="X645" s="1214">
        <v>2.5000000000000001E-2</v>
      </c>
      <c r="Y645" s="1214">
        <v>1.7999999999999999E-2</v>
      </c>
      <c r="Z645" s="1952">
        <v>4.2999999999999997E-2</v>
      </c>
      <c r="AA645" s="1214">
        <v>3.0000000000000001E-3</v>
      </c>
      <c r="AB645" s="1214">
        <v>4.0000000000000001E-3</v>
      </c>
      <c r="AC645" s="1214">
        <v>1.9E-2</v>
      </c>
      <c r="AD645" s="1214">
        <v>3.7999999999999999E-2</v>
      </c>
      <c r="AE645" s="1952">
        <v>1.9E-2</v>
      </c>
      <c r="AF645" s="1214">
        <v>4.3999999999999997E-2</v>
      </c>
      <c r="AG645" s="1214">
        <v>2.5999999999999999E-2</v>
      </c>
      <c r="AH645" s="1214">
        <v>1.4999999999999999E-2</v>
      </c>
      <c r="AI645" s="1214">
        <v>4.0000000000000001E-3</v>
      </c>
      <c r="AJ645" s="1952">
        <v>2.1000000000000001E-2</v>
      </c>
      <c r="AK645" s="1214">
        <v>-0.01</v>
      </c>
      <c r="AL645" s="1214">
        <v>-1E-3</v>
      </c>
      <c r="AM645" s="1214">
        <v>1.6E-2</v>
      </c>
      <c r="AN645" s="1214">
        <v>-1E-3</v>
      </c>
      <c r="AO645" s="1952">
        <v>1E-3</v>
      </c>
      <c r="AP645" s="1214">
        <v>1.4E-2</v>
      </c>
      <c r="AQ645" s="1214">
        <v>5.0000000000000001E-3</v>
      </c>
      <c r="AR645" s="1214">
        <v>-2.8000000000000001E-2</v>
      </c>
      <c r="AS645" s="1214">
        <v>-8.3000000000000004E-2</v>
      </c>
      <c r="AT645" s="1952">
        <v>-3.1E-2</v>
      </c>
      <c r="AU645" s="1214">
        <v>-0.13100000000000001</v>
      </c>
      <c r="AV645" s="1214">
        <v>-0.13900000000000001</v>
      </c>
      <c r="AW645" s="1214">
        <v>-0.05</v>
      </c>
      <c r="AX645" s="1214">
        <v>0.01</v>
      </c>
      <c r="AY645" s="1952">
        <v>-6.4000000000000001E-2</v>
      </c>
      <c r="AZ645" s="1214">
        <v>6.8000000000000005E-2</v>
      </c>
      <c r="BA645" s="1214">
        <v>9.9000000000000005E-2</v>
      </c>
      <c r="BB645" s="1214">
        <v>2.9000000000000001E-2</v>
      </c>
      <c r="BC645" s="1214">
        <v>4.4999999999999998E-2</v>
      </c>
      <c r="BD645" s="1952">
        <v>5.8000000000000003E-2</v>
      </c>
      <c r="BE645" s="1214">
        <v>2.5999999999999999E-2</v>
      </c>
      <c r="BF645" s="1214">
        <v>3.7999999999999999E-2</v>
      </c>
      <c r="BG645" s="1214">
        <v>2.7E-2</v>
      </c>
      <c r="BH645" s="1214">
        <v>1.0999999999999999E-2</v>
      </c>
      <c r="BI645" s="1952">
        <v>2.4E-2</v>
      </c>
      <c r="BJ645" s="1214">
        <v>8.0000000000000002E-3</v>
      </c>
      <c r="BK645" s="1214">
        <v>3.0000000000000001E-3</v>
      </c>
      <c r="BL645" s="1214">
        <v>1.4E-2</v>
      </c>
      <c r="BM645" s="1214">
        <v>7.0000000000000001E-3</v>
      </c>
      <c r="BN645" s="1952">
        <v>8.0000000000000002E-3</v>
      </c>
      <c r="BO645" s="1214">
        <v>1.2999999999999999E-2</v>
      </c>
      <c r="BP645" s="1214">
        <v>1.6E-2</v>
      </c>
      <c r="BQ645" s="1214">
        <v>8.9999999999999993E-3</v>
      </c>
      <c r="BR645" s="1214">
        <v>1.9E-2</v>
      </c>
      <c r="BS645" s="1952">
        <v>1.4E-2</v>
      </c>
      <c r="BT645" s="1214">
        <v>0.01</v>
      </c>
      <c r="BU645" s="1214">
        <v>1.2E-2</v>
      </c>
      <c r="BV645" s="1214">
        <v>2.8000000000000001E-2</v>
      </c>
      <c r="BW645" s="1214">
        <v>1.0999999999999999E-2</v>
      </c>
      <c r="BX645" s="1952">
        <v>1.4999999999999999E-2</v>
      </c>
      <c r="BY645" s="1214">
        <v>-7.0000000000000001E-3</v>
      </c>
      <c r="BZ645" s="1214">
        <v>-1E-3</v>
      </c>
      <c r="CA645" s="1214">
        <v>-2E-3</v>
      </c>
      <c r="CB645" s="1214">
        <v>4.0000000000000001E-3</v>
      </c>
      <c r="CC645" s="1952">
        <v>-1E-3</v>
      </c>
      <c r="CD645" s="1214">
        <v>1.7999999999999999E-2</v>
      </c>
      <c r="CE645" s="1214">
        <v>0.01</v>
      </c>
      <c r="CF645" s="1214">
        <v>-0.01</v>
      </c>
      <c r="CG645" s="1214">
        <v>7.0000000000000001E-3</v>
      </c>
      <c r="CH645" s="1952">
        <v>0.01</v>
      </c>
      <c r="CI645" s="1193"/>
      <c r="CJ645" s="1193"/>
      <c r="CK645" s="1193"/>
      <c r="CL645" s="1193"/>
      <c r="CM645" s="1946"/>
      <c r="CN645" s="1193"/>
      <c r="CO645" s="1193"/>
      <c r="CP645" s="1193"/>
      <c r="CQ645" s="1193"/>
      <c r="CR645" s="1946"/>
      <c r="CS645" s="1946"/>
      <c r="CT645" s="1946"/>
      <c r="CU645" s="1193"/>
      <c r="CV645" s="1947"/>
      <c r="CW645" s="1947"/>
      <c r="CX645" s="1947"/>
      <c r="DA645" s="212"/>
      <c r="DB645" s="1226"/>
    </row>
    <row r="646" spans="1:106" s="11" customFormat="1" outlineLevel="1" x14ac:dyDescent="0.2">
      <c r="A646" s="3391" t="s">
        <v>2671</v>
      </c>
      <c r="B646" s="1302"/>
      <c r="C646" s="1302"/>
      <c r="D646" s="1302"/>
      <c r="E646" s="1302"/>
      <c r="F646" s="1302"/>
      <c r="G646" s="1302"/>
      <c r="H646" s="1302"/>
      <c r="I646" s="1302"/>
      <c r="J646" s="1302"/>
      <c r="K646" s="2001"/>
      <c r="L646" s="1882"/>
      <c r="M646" s="1882"/>
      <c r="N646" s="1882"/>
      <c r="O646" s="1882"/>
      <c r="P646" s="2002"/>
      <c r="Q646" s="1214"/>
      <c r="R646" s="1214"/>
      <c r="S646" s="1214"/>
      <c r="T646" s="1214"/>
      <c r="U646" s="1952"/>
      <c r="V646" s="1214"/>
      <c r="W646" s="1214"/>
      <c r="X646" s="1214"/>
      <c r="Y646" s="1214"/>
      <c r="Z646" s="1952"/>
      <c r="AA646" s="1214"/>
      <c r="AB646" s="1214"/>
      <c r="AC646" s="1214"/>
      <c r="AD646" s="1214"/>
      <c r="AE646" s="1952"/>
      <c r="AF646" s="1214"/>
      <c r="AG646" s="1214"/>
      <c r="AH646" s="1214"/>
      <c r="AI646" s="1214"/>
      <c r="AJ646" s="1952"/>
      <c r="AK646" s="1214"/>
      <c r="AL646" s="1214"/>
      <c r="AM646" s="1214"/>
      <c r="AN646" s="1214"/>
      <c r="AO646" s="1952"/>
      <c r="AP646" s="1214"/>
      <c r="AQ646" s="1214"/>
      <c r="AR646" s="1214"/>
      <c r="AS646" s="1214"/>
      <c r="AT646" s="1952"/>
      <c r="AU646" s="1214"/>
      <c r="AV646" s="1214"/>
      <c r="AW646" s="1214"/>
      <c r="AX646" s="1214"/>
      <c r="AY646" s="1952"/>
      <c r="AZ646" s="1214"/>
      <c r="BA646" s="1214"/>
      <c r="BB646" s="1214"/>
      <c r="BC646" s="1214"/>
      <c r="BD646" s="1952"/>
      <c r="BE646" s="1214"/>
      <c r="BF646" s="1214"/>
      <c r="BG646" s="1214"/>
      <c r="BH646" s="1214"/>
      <c r="BI646" s="1952"/>
      <c r="BJ646" s="1214"/>
      <c r="BK646" s="1214"/>
      <c r="BL646" s="1214"/>
      <c r="BM646" s="1214"/>
      <c r="BN646" s="1952"/>
      <c r="BO646" s="1214"/>
      <c r="BP646" s="1214"/>
      <c r="BQ646" s="1214"/>
      <c r="BR646" s="1214"/>
      <c r="BS646" s="1952"/>
      <c r="BT646" s="1214"/>
      <c r="BU646" s="1214"/>
      <c r="BV646" s="1214"/>
      <c r="BW646" s="1214"/>
      <c r="BX646" s="1952"/>
      <c r="BY646" s="1214"/>
      <c r="BZ646" s="1214"/>
      <c r="CA646" s="1214"/>
      <c r="CB646" s="1214"/>
      <c r="CC646" s="1952"/>
      <c r="CD646" s="1214"/>
      <c r="CE646" s="1214"/>
      <c r="CF646" s="1214"/>
      <c r="CG646" s="1214">
        <v>8.0000000000000002E-3</v>
      </c>
      <c r="CH646" s="1952">
        <v>2E-3</v>
      </c>
      <c r="CI646" s="1193"/>
      <c r="CJ646" s="1193"/>
      <c r="CK646" s="1193"/>
      <c r="CL646" s="1193"/>
      <c r="CM646" s="1946"/>
      <c r="CN646" s="1193"/>
      <c r="CO646" s="1193"/>
      <c r="CP646" s="1193"/>
      <c r="CQ646" s="1193"/>
      <c r="CR646" s="1946"/>
      <c r="CS646" s="1946"/>
      <c r="CT646" s="1946"/>
      <c r="CU646" s="1193"/>
      <c r="CV646" s="1947"/>
      <c r="CW646" s="1947"/>
      <c r="CX646" s="1947"/>
      <c r="DA646" s="212"/>
      <c r="DB646" s="1226"/>
    </row>
    <row r="647" spans="1:106" s="11" customFormat="1" outlineLevel="1" x14ac:dyDescent="0.2">
      <c r="A647" s="2014" t="s">
        <v>2673</v>
      </c>
      <c r="B647" s="1302"/>
      <c r="C647" s="1302"/>
      <c r="D647" s="1302"/>
      <c r="E647" s="1302"/>
      <c r="F647" s="1302"/>
      <c r="G647" s="1302"/>
      <c r="H647" s="1302"/>
      <c r="I647" s="1302"/>
      <c r="J647" s="1302"/>
      <c r="K647" s="1302"/>
      <c r="L647" s="1882"/>
      <c r="M647" s="1882"/>
      <c r="N647" s="1882"/>
      <c r="O647" s="1882"/>
      <c r="P647" s="3392"/>
      <c r="Q647" s="1214"/>
      <c r="R647" s="1214"/>
      <c r="S647" s="1214"/>
      <c r="T647" s="1214"/>
      <c r="U647" s="1532"/>
      <c r="V647" s="1214"/>
      <c r="W647" s="1214"/>
      <c r="X647" s="1214"/>
      <c r="Y647" s="1214"/>
      <c r="Z647" s="1532"/>
      <c r="AA647" s="1214"/>
      <c r="AB647" s="1214"/>
      <c r="AC647" s="1214"/>
      <c r="AD647" s="1214"/>
      <c r="AE647" s="1532"/>
      <c r="AF647" s="1214"/>
      <c r="AG647" s="1214"/>
      <c r="AH647" s="1214"/>
      <c r="AI647" s="1214"/>
      <c r="AJ647" s="1532"/>
      <c r="AK647" s="1214"/>
      <c r="AL647" s="1214"/>
      <c r="AM647" s="1214"/>
      <c r="AN647" s="1214"/>
      <c r="AO647" s="1532"/>
      <c r="AP647" s="1214"/>
      <c r="AQ647" s="1214"/>
      <c r="AR647" s="1214"/>
      <c r="AS647" s="1214"/>
      <c r="AT647" s="1532"/>
      <c r="AU647" s="1214"/>
      <c r="AV647" s="1214"/>
      <c r="AW647" s="1214"/>
      <c r="AX647" s="1214"/>
      <c r="AY647" s="1532"/>
      <c r="AZ647" s="1214"/>
      <c r="BA647" s="1214"/>
      <c r="BB647" s="1214"/>
      <c r="BC647" s="1214"/>
      <c r="BD647" s="1532"/>
      <c r="BE647" s="1214"/>
      <c r="BF647" s="1214"/>
      <c r="BG647" s="1214"/>
      <c r="BH647" s="1214"/>
      <c r="BI647" s="1952"/>
      <c r="BJ647" s="1214"/>
      <c r="BK647" s="1214"/>
      <c r="BL647" s="1214"/>
      <c r="BM647" s="1214"/>
      <c r="BN647" s="1952"/>
      <c r="BO647" s="1214"/>
      <c r="BP647" s="1214"/>
      <c r="BQ647" s="1214"/>
      <c r="BR647" s="1214"/>
      <c r="BS647" s="1952"/>
      <c r="BT647" s="1214"/>
      <c r="BU647" s="1214"/>
      <c r="BV647" s="1214"/>
      <c r="BW647" s="1214"/>
      <c r="BX647" s="1952"/>
      <c r="BY647" s="1214"/>
      <c r="BZ647" s="1214"/>
      <c r="CA647" s="1214"/>
      <c r="CB647" s="1214"/>
      <c r="CC647" s="1952"/>
      <c r="CD647" s="1214"/>
      <c r="CE647" s="1214"/>
      <c r="CF647" s="1214"/>
      <c r="CG647" s="1625">
        <v>8.9999999999999993E-3</v>
      </c>
      <c r="CH647" s="2249">
        <v>1.2E-2</v>
      </c>
      <c r="CI647" s="1193"/>
      <c r="CJ647" s="1193"/>
      <c r="CK647" s="1193"/>
      <c r="CL647" s="1193"/>
      <c r="CM647" s="1946"/>
      <c r="CN647" s="1193"/>
      <c r="CO647" s="1193"/>
      <c r="CP647" s="1193"/>
      <c r="CQ647" s="1193"/>
      <c r="CR647" s="1946"/>
      <c r="CS647" s="1946"/>
      <c r="CT647" s="1946"/>
      <c r="CU647" s="1193"/>
      <c r="CV647" s="1947"/>
      <c r="CW647" s="1947"/>
      <c r="CX647" s="1947"/>
      <c r="DA647" s="212"/>
      <c r="DB647" s="1226"/>
    </row>
    <row r="648" spans="1:106" s="1193" customFormat="1" outlineLevel="1" x14ac:dyDescent="0.2">
      <c r="A648" s="2043" t="s">
        <v>819</v>
      </c>
      <c r="B648" s="1302" t="s">
        <v>673</v>
      </c>
      <c r="C648" s="1302" t="s">
        <v>673</v>
      </c>
      <c r="D648" s="1302" t="s">
        <v>673</v>
      </c>
      <c r="E648" s="1302" t="s">
        <v>673</v>
      </c>
      <c r="F648" s="1302" t="s">
        <v>673</v>
      </c>
      <c r="G648" s="1302" t="s">
        <v>673</v>
      </c>
      <c r="H648" s="1302" t="s">
        <v>673</v>
      </c>
      <c r="I648" s="1302" t="s">
        <v>673</v>
      </c>
      <c r="J648" s="1302" t="s">
        <v>673</v>
      </c>
      <c r="K648" s="1302" t="s">
        <v>673</v>
      </c>
      <c r="L648" s="1882" t="s">
        <v>673</v>
      </c>
      <c r="M648" s="1882" t="s">
        <v>673</v>
      </c>
      <c r="N648" s="1882" t="s">
        <v>673</v>
      </c>
      <c r="O648" s="1882" t="s">
        <v>673</v>
      </c>
      <c r="P648" s="3392" t="s">
        <v>673</v>
      </c>
      <c r="Q648" s="1214">
        <v>3.0000000000000001E-3</v>
      </c>
      <c r="R648" s="1214">
        <v>-2.3E-2</v>
      </c>
      <c r="S648" s="1214">
        <v>1E-3</v>
      </c>
      <c r="T648" s="1214">
        <v>-1E-3</v>
      </c>
      <c r="U648" s="1532">
        <v>-1E-3</v>
      </c>
      <c r="V648" s="1214">
        <v>0.02</v>
      </c>
      <c r="W648" s="1214">
        <v>4.3999999999999997E-2</v>
      </c>
      <c r="X648" s="1214">
        <v>2.5999999999999999E-2</v>
      </c>
      <c r="Y648" s="1214">
        <v>2.5999999999999999E-2</v>
      </c>
      <c r="Z648" s="1532">
        <v>2.8000000000000001E-2</v>
      </c>
      <c r="AA648" s="1214">
        <v>4.0000000000000001E-3</v>
      </c>
      <c r="AB648" s="1214">
        <v>1.4E-2</v>
      </c>
      <c r="AC648" s="1214">
        <v>8.9999999999999993E-3</v>
      </c>
      <c r="AD648" s="1214">
        <v>1.7999999999999999E-2</v>
      </c>
      <c r="AE648" s="1532">
        <v>1.2E-2</v>
      </c>
      <c r="AF648" s="1214">
        <v>1.0999999999999999E-2</v>
      </c>
      <c r="AG648" s="1214">
        <v>7.0000000000000001E-3</v>
      </c>
      <c r="AH648" s="1214">
        <v>-1E-3</v>
      </c>
      <c r="AI648" s="1214">
        <v>-6.0000000000000001E-3</v>
      </c>
      <c r="AJ648" s="1532">
        <v>2E-3</v>
      </c>
      <c r="AK648" s="1214">
        <v>-6.0000000000000001E-3</v>
      </c>
      <c r="AL648" s="1214">
        <v>1.4E-2</v>
      </c>
      <c r="AM648" s="1214">
        <v>1.4999999999999999E-2</v>
      </c>
      <c r="AN648" s="1214">
        <v>0</v>
      </c>
      <c r="AO648" s="1532">
        <v>6.0000000000000001E-3</v>
      </c>
      <c r="AP648" s="1214">
        <v>-1.4999999999999999E-2</v>
      </c>
      <c r="AQ648" s="1214">
        <v>-8.0000000000000002E-3</v>
      </c>
      <c r="AR648" s="1214">
        <v>-1.7999999999999999E-2</v>
      </c>
      <c r="AS648" s="1214">
        <v>-4.5999999999999999E-2</v>
      </c>
      <c r="AT648" s="1532">
        <v>-2.5000000000000001E-2</v>
      </c>
      <c r="AU648" s="1214">
        <v>-5.8999999999999997E-2</v>
      </c>
      <c r="AV648" s="1214">
        <v>-7.2999999999999995E-2</v>
      </c>
      <c r="AW648" s="1214">
        <v>-5.2999999999999999E-2</v>
      </c>
      <c r="AX648" s="1214">
        <v>-8.9999999999999993E-3</v>
      </c>
      <c r="AY648" s="1532">
        <v>-5.0999999999999997E-2</v>
      </c>
      <c r="AZ648" s="1214">
        <v>3.9E-2</v>
      </c>
      <c r="BA648" s="1214">
        <v>4.5999999999999999E-2</v>
      </c>
      <c r="BB648" s="1214">
        <v>3.1E-2</v>
      </c>
      <c r="BC648" s="1214">
        <v>2.5000000000000001E-2</v>
      </c>
      <c r="BD648" s="1532">
        <v>3.5000000000000003E-2</v>
      </c>
      <c r="BE648" s="1214">
        <v>1.0999999999999999E-2</v>
      </c>
      <c r="BF648" s="1214">
        <v>1.2E-2</v>
      </c>
      <c r="BG648" s="1214">
        <v>1.6E-2</v>
      </c>
      <c r="BH648" s="1214">
        <v>1.4E-2</v>
      </c>
      <c r="BI648" s="1952">
        <v>1.0999999999999999E-2</v>
      </c>
      <c r="BJ648" s="1214">
        <v>2.3E-2</v>
      </c>
      <c r="BK648" s="1214">
        <v>1.7999999999999999E-2</v>
      </c>
      <c r="BL648" s="1214">
        <v>1.6E-2</v>
      </c>
      <c r="BM648" s="1214">
        <v>1.6E-2</v>
      </c>
      <c r="BN648" s="1952">
        <v>1.7999999999999999E-2</v>
      </c>
      <c r="BO648" s="1214">
        <v>8.0000000000000002E-3</v>
      </c>
      <c r="BP648" s="1214">
        <v>1.2E-2</v>
      </c>
      <c r="BQ648" s="1214">
        <v>7.0000000000000001E-3</v>
      </c>
      <c r="BR648" s="1214">
        <v>1.0999999999999999E-2</v>
      </c>
      <c r="BS648" s="1952">
        <v>0.01</v>
      </c>
      <c r="BT648" s="1214">
        <v>1.9E-2</v>
      </c>
      <c r="BU648" s="1214">
        <v>1.2999999999999999E-2</v>
      </c>
      <c r="BV648" s="1214">
        <v>2.5999999999999999E-2</v>
      </c>
      <c r="BW648" s="1214">
        <v>4.0000000000000001E-3</v>
      </c>
      <c r="BX648" s="1952">
        <v>1.4999999999999999E-2</v>
      </c>
      <c r="BY648" s="1214">
        <v>4.0000000000000001E-3</v>
      </c>
      <c r="BZ648" s="1214">
        <v>1E-3</v>
      </c>
      <c r="CA648" s="1214">
        <v>6.0000000000000001E-3</v>
      </c>
      <c r="CB648" s="1214">
        <v>0.01</v>
      </c>
      <c r="CC648" s="1952">
        <v>6.0000000000000001E-3</v>
      </c>
      <c r="CD648" s="1214">
        <v>0</v>
      </c>
      <c r="CE648" s="1214">
        <v>1.2999999999999999E-2</v>
      </c>
      <c r="CF648" s="1214">
        <v>1E-3</v>
      </c>
      <c r="CG648" s="1214">
        <v>0</v>
      </c>
      <c r="CH648" s="1952">
        <v>3.0000000000000001E-3</v>
      </c>
      <c r="CM648" s="1946"/>
      <c r="CR648" s="1946"/>
      <c r="CS648" s="1946"/>
      <c r="CT648" s="1946"/>
      <c r="CV648" s="2702"/>
      <c r="CW648" s="2702"/>
      <c r="CX648" s="2702"/>
      <c r="DA648" s="212"/>
      <c r="DB648" s="1226"/>
    </row>
    <row r="649" spans="1:106" s="1193" customFormat="1" outlineLevel="1" x14ac:dyDescent="0.2">
      <c r="A649" s="3391" t="s">
        <v>2674</v>
      </c>
      <c r="B649" s="1302"/>
      <c r="C649" s="1302"/>
      <c r="D649" s="1302"/>
      <c r="E649" s="1302"/>
      <c r="F649" s="1302"/>
      <c r="G649" s="1302"/>
      <c r="H649" s="1302"/>
      <c r="I649" s="1302"/>
      <c r="J649" s="1302"/>
      <c r="K649" s="1302"/>
      <c r="L649" s="1882"/>
      <c r="M649" s="1882"/>
      <c r="N649" s="1882"/>
      <c r="O649" s="1882"/>
      <c r="P649" s="3392"/>
      <c r="Q649" s="1214"/>
      <c r="R649" s="1214"/>
      <c r="S649" s="1214"/>
      <c r="T649" s="1214"/>
      <c r="U649" s="1532"/>
      <c r="V649" s="1214"/>
      <c r="W649" s="1214"/>
      <c r="X649" s="1214"/>
      <c r="Y649" s="1214"/>
      <c r="Z649" s="1532"/>
      <c r="AA649" s="1214"/>
      <c r="AB649" s="1214"/>
      <c r="AC649" s="1214"/>
      <c r="AD649" s="1214"/>
      <c r="AE649" s="1532"/>
      <c r="AF649" s="1214"/>
      <c r="AG649" s="1214"/>
      <c r="AH649" s="1214"/>
      <c r="AI649" s="1214"/>
      <c r="AJ649" s="1532"/>
      <c r="AK649" s="1214"/>
      <c r="AL649" s="1214"/>
      <c r="AM649" s="1214"/>
      <c r="AN649" s="1214"/>
      <c r="AO649" s="1532"/>
      <c r="AP649" s="1214"/>
      <c r="AQ649" s="1214"/>
      <c r="AR649" s="1214"/>
      <c r="AS649" s="1214"/>
      <c r="AT649" s="1532"/>
      <c r="AU649" s="1214"/>
      <c r="AV649" s="1214"/>
      <c r="AW649" s="1214"/>
      <c r="AX649" s="1214"/>
      <c r="AY649" s="1532"/>
      <c r="AZ649" s="1214"/>
      <c r="BA649" s="1214"/>
      <c r="BB649" s="1214"/>
      <c r="BC649" s="1214"/>
      <c r="BD649" s="1532"/>
      <c r="BE649" s="1214"/>
      <c r="BF649" s="1214"/>
      <c r="BG649" s="1214"/>
      <c r="BH649" s="1214"/>
      <c r="BI649" s="1952"/>
      <c r="BJ649" s="1214"/>
      <c r="BK649" s="1214"/>
      <c r="BL649" s="1214"/>
      <c r="BM649" s="1214"/>
      <c r="BN649" s="1952"/>
      <c r="BO649" s="1214"/>
      <c r="BP649" s="1214"/>
      <c r="BQ649" s="1214"/>
      <c r="BR649" s="1214"/>
      <c r="BS649" s="1952"/>
      <c r="BT649" s="1214"/>
      <c r="BU649" s="1214"/>
      <c r="BV649" s="1214"/>
      <c r="BW649" s="1214"/>
      <c r="BX649" s="1952"/>
      <c r="BY649" s="1214"/>
      <c r="BZ649" s="1214"/>
      <c r="CA649" s="1214"/>
      <c r="CB649" s="1214"/>
      <c r="CC649" s="1952"/>
      <c r="CD649" s="1214"/>
      <c r="CE649" s="1214"/>
      <c r="CF649" s="1214"/>
      <c r="CG649" s="1214">
        <v>-8.0000000000000002E-3</v>
      </c>
      <c r="CH649" s="1952">
        <v>3.0000000000000001E-3</v>
      </c>
      <c r="CM649" s="1946"/>
      <c r="CR649" s="1946"/>
      <c r="CS649" s="1946"/>
      <c r="CT649" s="1946"/>
      <c r="CV649" s="2702"/>
      <c r="CW649" s="2702"/>
      <c r="CX649" s="2702"/>
      <c r="DA649" s="212"/>
      <c r="DB649" s="1226"/>
    </row>
    <row r="650" spans="1:106" s="1193" customFormat="1" outlineLevel="1" x14ac:dyDescent="0.2">
      <c r="A650" s="3391" t="s">
        <v>2675</v>
      </c>
      <c r="B650" s="1302"/>
      <c r="C650" s="1302"/>
      <c r="D650" s="1302"/>
      <c r="E650" s="1302"/>
      <c r="F650" s="1302"/>
      <c r="G650" s="1302"/>
      <c r="H650" s="1302"/>
      <c r="I650" s="1302"/>
      <c r="J650" s="1302"/>
      <c r="K650" s="1302"/>
      <c r="L650" s="1882"/>
      <c r="M650" s="1882"/>
      <c r="N650" s="1882"/>
      <c r="O650" s="1882"/>
      <c r="P650" s="3392"/>
      <c r="Q650" s="1214"/>
      <c r="R650" s="1214"/>
      <c r="S650" s="1214"/>
      <c r="T650" s="1214"/>
      <c r="U650" s="1532"/>
      <c r="V650" s="1214"/>
      <c r="W650" s="1214"/>
      <c r="X650" s="1214"/>
      <c r="Y650" s="1214"/>
      <c r="Z650" s="1532"/>
      <c r="AA650" s="1214"/>
      <c r="AB650" s="1214"/>
      <c r="AC650" s="1214"/>
      <c r="AD650" s="1214"/>
      <c r="AE650" s="1532"/>
      <c r="AF650" s="1214"/>
      <c r="AG650" s="1214"/>
      <c r="AH650" s="1214"/>
      <c r="AI650" s="1214"/>
      <c r="AJ650" s="1532"/>
      <c r="AK650" s="1214"/>
      <c r="AL650" s="1214"/>
      <c r="AM650" s="1214"/>
      <c r="AN650" s="1214"/>
      <c r="AO650" s="1532"/>
      <c r="AP650" s="1214"/>
      <c r="AQ650" s="1214"/>
      <c r="AR650" s="1214"/>
      <c r="AS650" s="1214"/>
      <c r="AT650" s="1532"/>
      <c r="AU650" s="1214"/>
      <c r="AV650" s="1214"/>
      <c r="AW650" s="1214"/>
      <c r="AX650" s="1214"/>
      <c r="AY650" s="1532"/>
      <c r="AZ650" s="1214"/>
      <c r="BA650" s="1214"/>
      <c r="BB650" s="1214"/>
      <c r="BC650" s="1214"/>
      <c r="BD650" s="1532"/>
      <c r="BE650" s="1214"/>
      <c r="BF650" s="1214"/>
      <c r="BG650" s="1214"/>
      <c r="BH650" s="1214"/>
      <c r="BI650" s="1952"/>
      <c r="BJ650" s="1214"/>
      <c r="BK650" s="1214"/>
      <c r="BL650" s="1214"/>
      <c r="BM650" s="1214"/>
      <c r="BN650" s="1952"/>
      <c r="BO650" s="1214"/>
      <c r="BP650" s="1214"/>
      <c r="BQ650" s="1214"/>
      <c r="BR650" s="1214"/>
      <c r="BS650" s="1952"/>
      <c r="BT650" s="1214"/>
      <c r="BU650" s="1214"/>
      <c r="BV650" s="1214"/>
      <c r="BW650" s="1214"/>
      <c r="BX650" s="1952"/>
      <c r="BY650" s="1214"/>
      <c r="BZ650" s="1214"/>
      <c r="CA650" s="1214"/>
      <c r="CB650" s="1214"/>
      <c r="CC650" s="1952"/>
      <c r="CD650" s="1214"/>
      <c r="CE650" s="1214"/>
      <c r="CF650" s="1214"/>
      <c r="CG650" s="1214">
        <v>-1.0999999999999999E-2</v>
      </c>
      <c r="CH650" s="1952">
        <v>1E-3</v>
      </c>
      <c r="CM650" s="1946"/>
      <c r="CR650" s="1946"/>
      <c r="CS650" s="1946"/>
      <c r="CT650" s="1946"/>
      <c r="CV650" s="2702"/>
      <c r="CW650" s="2702"/>
      <c r="CX650" s="2702"/>
      <c r="DA650" s="212"/>
      <c r="DB650" s="1226"/>
    </row>
    <row r="651" spans="1:106" s="1193" customFormat="1" outlineLevel="1" x14ac:dyDescent="0.2">
      <c r="A651" s="2014" t="s">
        <v>2676</v>
      </c>
      <c r="B651" s="1302"/>
      <c r="C651" s="1302"/>
      <c r="D651" s="1302"/>
      <c r="E651" s="1302"/>
      <c r="F651" s="1302"/>
      <c r="G651" s="1302"/>
      <c r="H651" s="1302"/>
      <c r="I651" s="1302"/>
      <c r="J651" s="1302"/>
      <c r="K651" s="1302"/>
      <c r="L651" s="1882"/>
      <c r="M651" s="1882"/>
      <c r="N651" s="1882"/>
      <c r="O651" s="1882"/>
      <c r="P651" s="3392"/>
      <c r="Q651" s="1214"/>
      <c r="R651" s="1214"/>
      <c r="S651" s="1214"/>
      <c r="T651" s="1214"/>
      <c r="U651" s="1532"/>
      <c r="V651" s="1214"/>
      <c r="W651" s="1214"/>
      <c r="X651" s="1214"/>
      <c r="Y651" s="1214"/>
      <c r="Z651" s="1532"/>
      <c r="AA651" s="1214"/>
      <c r="AB651" s="1214"/>
      <c r="AC651" s="1214"/>
      <c r="AD651" s="1214"/>
      <c r="AE651" s="1532"/>
      <c r="AF651" s="1214"/>
      <c r="AG651" s="1214"/>
      <c r="AH651" s="1214"/>
      <c r="AI651" s="1214"/>
      <c r="AJ651" s="1532"/>
      <c r="AK651" s="1214"/>
      <c r="AL651" s="1214"/>
      <c r="AM651" s="1214"/>
      <c r="AN651" s="1214"/>
      <c r="AO651" s="1532"/>
      <c r="AP651" s="1214"/>
      <c r="AQ651" s="1214"/>
      <c r="AR651" s="1214"/>
      <c r="AS651" s="1214"/>
      <c r="AT651" s="1532"/>
      <c r="AU651" s="1214"/>
      <c r="AV651" s="1214"/>
      <c r="AW651" s="1214"/>
      <c r="AX651" s="1214"/>
      <c r="AY651" s="1532"/>
      <c r="AZ651" s="1214"/>
      <c r="BA651" s="1214"/>
      <c r="BB651" s="1214"/>
      <c r="BC651" s="1214"/>
      <c r="BD651" s="1532"/>
      <c r="BE651" s="1214"/>
      <c r="BF651" s="1214"/>
      <c r="BG651" s="1214"/>
      <c r="BH651" s="1214"/>
      <c r="BI651" s="1952"/>
      <c r="BJ651" s="1214"/>
      <c r="BK651" s="1214"/>
      <c r="BL651" s="1214"/>
      <c r="BM651" s="1214"/>
      <c r="BN651" s="1952"/>
      <c r="BO651" s="1214"/>
      <c r="BP651" s="1214"/>
      <c r="BQ651" s="1214"/>
      <c r="BR651" s="1214"/>
      <c r="BS651" s="1952"/>
      <c r="BT651" s="1214"/>
      <c r="BU651" s="1214"/>
      <c r="BV651" s="1214"/>
      <c r="BW651" s="1214"/>
      <c r="BX651" s="1952"/>
      <c r="BY651" s="1214"/>
      <c r="BZ651" s="1214"/>
      <c r="CA651" s="1214"/>
      <c r="CB651" s="1214"/>
      <c r="CC651" s="1952"/>
      <c r="CD651" s="1214"/>
      <c r="CE651" s="1214"/>
      <c r="CF651" s="1214"/>
      <c r="CG651" s="1625">
        <v>-2E-3</v>
      </c>
      <c r="CH651" s="2249">
        <v>4.0000000000000001E-3</v>
      </c>
      <c r="CM651" s="1946"/>
      <c r="CR651" s="1946"/>
      <c r="CS651" s="1946"/>
      <c r="CT651" s="1946"/>
      <c r="CV651" s="2702"/>
      <c r="CW651" s="2702"/>
      <c r="CX651" s="2702"/>
      <c r="DA651" s="212"/>
      <c r="DB651" s="1226"/>
    </row>
    <row r="652" spans="1:106" s="1193" customFormat="1" outlineLevel="1" x14ac:dyDescent="0.2">
      <c r="A652" s="2014" t="s">
        <v>50</v>
      </c>
      <c r="B652" s="1302"/>
      <c r="C652" s="1302"/>
      <c r="D652" s="1302"/>
      <c r="E652" s="1302"/>
      <c r="F652" s="1302"/>
      <c r="G652" s="1302"/>
      <c r="H652" s="1302"/>
      <c r="I652" s="1302"/>
      <c r="J652" s="1302"/>
      <c r="K652" s="1302"/>
      <c r="L652" s="1882"/>
      <c r="M652" s="1882"/>
      <c r="N652" s="1882"/>
      <c r="O652" s="1882"/>
      <c r="P652" s="3392"/>
      <c r="Q652" s="1214"/>
      <c r="R652" s="1214"/>
      <c r="S652" s="1214"/>
      <c r="T652" s="1214"/>
      <c r="U652" s="1532"/>
      <c r="V652" s="1214"/>
      <c r="W652" s="1214"/>
      <c r="X652" s="1214"/>
      <c r="Y652" s="1214"/>
      <c r="Z652" s="1532"/>
      <c r="AA652" s="1214"/>
      <c r="AB652" s="1214"/>
      <c r="AC652" s="1214"/>
      <c r="AD652" s="1214"/>
      <c r="AE652" s="1532"/>
      <c r="AF652" s="1214"/>
      <c r="AG652" s="1214"/>
      <c r="AH652" s="1214"/>
      <c r="AI652" s="1214"/>
      <c r="AJ652" s="1532"/>
      <c r="AK652" s="1214"/>
      <c r="AL652" s="1214"/>
      <c r="AM652" s="1214"/>
      <c r="AN652" s="1214"/>
      <c r="AO652" s="1532"/>
      <c r="AP652" s="1214"/>
      <c r="AQ652" s="1214"/>
      <c r="AR652" s="1214"/>
      <c r="AS652" s="1214"/>
      <c r="AT652" s="1532"/>
      <c r="AU652" s="1214"/>
      <c r="AV652" s="1214"/>
      <c r="AW652" s="1214"/>
      <c r="AX652" s="1214"/>
      <c r="AY652" s="1532"/>
      <c r="AZ652" s="1214"/>
      <c r="BA652" s="1214"/>
      <c r="BB652" s="1214"/>
      <c r="BC652" s="1214"/>
      <c r="BD652" s="1532"/>
      <c r="BE652" s="1214"/>
      <c r="BF652" s="1214"/>
      <c r="BG652" s="1214"/>
      <c r="BH652" s="1214"/>
      <c r="BI652" s="1952"/>
      <c r="BJ652" s="1214"/>
      <c r="BK652" s="1214"/>
      <c r="BL652" s="1214"/>
      <c r="BM652" s="1214"/>
      <c r="BN652" s="1952"/>
      <c r="BO652" s="1214"/>
      <c r="BP652" s="1214"/>
      <c r="BQ652" s="1214"/>
      <c r="BR652" s="1214"/>
      <c r="BS652" s="1952"/>
      <c r="BT652" s="1214"/>
      <c r="BU652" s="1214"/>
      <c r="BV652" s="1214"/>
      <c r="BW652" s="1214"/>
      <c r="BX652" s="1952"/>
      <c r="BY652" s="1214"/>
      <c r="BZ652" s="1214"/>
      <c r="CA652" s="1214"/>
      <c r="CB652" s="1214"/>
      <c r="CC652" s="1952"/>
      <c r="CD652" s="1214"/>
      <c r="CE652" s="1214"/>
      <c r="CF652" s="1214"/>
      <c r="CG652" s="1625">
        <v>-1E-3</v>
      </c>
      <c r="CH652" s="2249">
        <v>5.0000000000000001E-3</v>
      </c>
      <c r="CM652" s="1946"/>
      <c r="CR652" s="1946"/>
      <c r="CS652" s="1946"/>
      <c r="CT652" s="1946"/>
      <c r="CV652" s="2702"/>
      <c r="CW652" s="2702"/>
      <c r="CX652" s="2702"/>
      <c r="DA652" s="212"/>
      <c r="DB652" s="1226"/>
    </row>
    <row r="653" spans="1:106" s="11" customFormat="1" outlineLevel="1" x14ac:dyDescent="0.2">
      <c r="A653" s="1945" t="s">
        <v>822</v>
      </c>
      <c r="B653" s="1302" t="s">
        <v>673</v>
      </c>
      <c r="C653" s="1302" t="s">
        <v>673</v>
      </c>
      <c r="D653" s="1302" t="s">
        <v>673</v>
      </c>
      <c r="E653" s="1302" t="s">
        <v>673</v>
      </c>
      <c r="F653" s="1302" t="s">
        <v>673</v>
      </c>
      <c r="G653" s="1302" t="s">
        <v>673</v>
      </c>
      <c r="H653" s="1302" t="s">
        <v>673</v>
      </c>
      <c r="I653" s="1302" t="s">
        <v>673</v>
      </c>
      <c r="J653" s="1302" t="s">
        <v>673</v>
      </c>
      <c r="K653" s="2001" t="s">
        <v>673</v>
      </c>
      <c r="L653" s="1882" t="s">
        <v>673</v>
      </c>
      <c r="M653" s="1882" t="s">
        <v>673</v>
      </c>
      <c r="N653" s="1882" t="s">
        <v>673</v>
      </c>
      <c r="O653" s="1882" t="s">
        <v>673</v>
      </c>
      <c r="P653" s="2002" t="s">
        <v>673</v>
      </c>
      <c r="Q653" s="1214">
        <v>1.0999999999999999E-2</v>
      </c>
      <c r="R653" s="1214">
        <v>-0.02</v>
      </c>
      <c r="S653" s="1214">
        <v>-1.4E-2</v>
      </c>
      <c r="T653" s="1214">
        <v>-2E-3</v>
      </c>
      <c r="U653" s="1952">
        <v>-6.0000000000000001E-3</v>
      </c>
      <c r="V653" s="1214">
        <v>0.03</v>
      </c>
      <c r="W653" s="1214">
        <v>4.2999999999999997E-2</v>
      </c>
      <c r="X653" s="1214">
        <v>2.7E-2</v>
      </c>
      <c r="Y653" s="1214">
        <v>3.2000000000000001E-2</v>
      </c>
      <c r="Z653" s="1952">
        <v>3.3000000000000002E-2</v>
      </c>
      <c r="AA653" s="1214">
        <v>3.0000000000000001E-3</v>
      </c>
      <c r="AB653" s="1214">
        <v>7.0000000000000001E-3</v>
      </c>
      <c r="AC653" s="1214">
        <v>2E-3</v>
      </c>
      <c r="AD653" s="1214">
        <v>1.2E-2</v>
      </c>
      <c r="AE653" s="1952">
        <v>6.0000000000000001E-3</v>
      </c>
      <c r="AF653" s="1214">
        <v>1.0999999999999999E-2</v>
      </c>
      <c r="AG653" s="1214">
        <v>1.2E-2</v>
      </c>
      <c r="AH653" s="1214">
        <v>-2E-3</v>
      </c>
      <c r="AI653" s="1214">
        <v>-0.01</v>
      </c>
      <c r="AJ653" s="1952">
        <v>1E-3</v>
      </c>
      <c r="AK653" s="1214">
        <v>-1.4999999999999999E-2</v>
      </c>
      <c r="AL653" s="1214">
        <v>-6.0000000000000001E-3</v>
      </c>
      <c r="AM653" s="1214">
        <v>7.0000000000000001E-3</v>
      </c>
      <c r="AN653" s="1214">
        <v>4.0000000000000001E-3</v>
      </c>
      <c r="AO653" s="1952">
        <v>-2E-3</v>
      </c>
      <c r="AP653" s="1214">
        <v>-8.0000000000000002E-3</v>
      </c>
      <c r="AQ653" s="1214">
        <v>-1.2E-2</v>
      </c>
      <c r="AR653" s="1214">
        <v>-2.1000000000000001E-2</v>
      </c>
      <c r="AS653" s="1214">
        <v>-5.5E-2</v>
      </c>
      <c r="AT653" s="1952">
        <v>-2.7E-2</v>
      </c>
      <c r="AU653" s="1214">
        <v>-5.8000000000000003E-2</v>
      </c>
      <c r="AV653" s="1214">
        <v>-7.2999999999999995E-2</v>
      </c>
      <c r="AW653" s="1214">
        <v>-5.8000000000000003E-2</v>
      </c>
      <c r="AX653" s="1214">
        <v>-2.3E-2</v>
      </c>
      <c r="AY653" s="1952">
        <v>-5.7000000000000002E-2</v>
      </c>
      <c r="AZ653" s="1214">
        <v>2.4E-2</v>
      </c>
      <c r="BA653" s="1214">
        <v>3.4000000000000002E-2</v>
      </c>
      <c r="BB653" s="1214">
        <v>3.3000000000000002E-2</v>
      </c>
      <c r="BC653" s="1214">
        <v>3.3000000000000002E-2</v>
      </c>
      <c r="BD653" s="1952">
        <v>3.1E-2</v>
      </c>
      <c r="BE653" s="1214">
        <v>1.7999999999999999E-2</v>
      </c>
      <c r="BF653" s="1214">
        <v>2.8000000000000001E-2</v>
      </c>
      <c r="BG653" s="1214">
        <v>3.2000000000000001E-2</v>
      </c>
      <c r="BH653" s="1214">
        <v>2.4E-2</v>
      </c>
      <c r="BI653" s="1952">
        <v>2.5000000000000001E-2</v>
      </c>
      <c r="BJ653" s="1214">
        <v>1.7999999999999999E-2</v>
      </c>
      <c r="BK653" s="1214">
        <v>1.4999999999999999E-2</v>
      </c>
      <c r="BL653" s="1214">
        <v>6.0000000000000001E-3</v>
      </c>
      <c r="BM653" s="1214">
        <v>8.9999999999999993E-3</v>
      </c>
      <c r="BN653" s="1952">
        <v>1.2E-2</v>
      </c>
      <c r="BO653" s="1214">
        <v>-1E-3</v>
      </c>
      <c r="BP653" s="1214">
        <v>1.0999999999999999E-2</v>
      </c>
      <c r="BQ653" s="1214">
        <v>1.2999999999999999E-2</v>
      </c>
      <c r="BR653" s="1214">
        <v>1.2999999999999999E-2</v>
      </c>
      <c r="BS653" s="1952">
        <v>8.9999999999999993E-3</v>
      </c>
      <c r="BT653" s="1214">
        <v>1.7000000000000001E-2</v>
      </c>
      <c r="BU653" s="1214">
        <v>1.7999999999999999E-2</v>
      </c>
      <c r="BV653" s="1214">
        <v>3.1E-2</v>
      </c>
      <c r="BW653" s="1214">
        <v>2.3E-2</v>
      </c>
      <c r="BX653" s="1952">
        <v>2.3E-2</v>
      </c>
      <c r="BY653" s="1214">
        <v>2.4E-2</v>
      </c>
      <c r="BZ653" s="1214">
        <v>8.0000000000000002E-3</v>
      </c>
      <c r="CA653" s="1214">
        <v>-1E-3</v>
      </c>
      <c r="CB653" s="1214">
        <v>1E-3</v>
      </c>
      <c r="CC653" s="1952">
        <v>8.0000000000000002E-3</v>
      </c>
      <c r="CD653" s="1214">
        <v>2E-3</v>
      </c>
      <c r="CE653" s="1214">
        <v>7.0000000000000001E-3</v>
      </c>
      <c r="CF653" s="1214">
        <v>-4.0000000000000001E-3</v>
      </c>
      <c r="CG653" s="1214">
        <v>-4.0000000000000001E-3</v>
      </c>
      <c r="CH653" s="1952">
        <v>0</v>
      </c>
      <c r="CI653" s="1193"/>
      <c r="CJ653" s="1193"/>
      <c r="CK653" s="1193"/>
      <c r="CL653" s="1193"/>
      <c r="CM653" s="1946"/>
      <c r="CN653" s="1193"/>
      <c r="CO653" s="1193"/>
      <c r="CP653" s="1193"/>
      <c r="CQ653" s="1193"/>
      <c r="CR653" s="1946"/>
      <c r="CS653" s="1946"/>
      <c r="CT653" s="1946"/>
      <c r="CU653" s="1193"/>
      <c r="CV653" s="1947"/>
      <c r="CW653" s="1947"/>
      <c r="CX653" s="1947"/>
      <c r="DA653" s="212"/>
      <c r="DB653" s="1226"/>
    </row>
    <row r="654" spans="1:106" s="11" customFormat="1" outlineLevel="1" x14ac:dyDescent="0.2">
      <c r="A654" s="1945" t="s">
        <v>923</v>
      </c>
      <c r="B654" s="1302" t="s">
        <v>673</v>
      </c>
      <c r="C654" s="1302" t="s">
        <v>673</v>
      </c>
      <c r="D654" s="1302" t="s">
        <v>673</v>
      </c>
      <c r="E654" s="1302" t="s">
        <v>673</v>
      </c>
      <c r="F654" s="1302" t="s">
        <v>673</v>
      </c>
      <c r="G654" s="1302" t="s">
        <v>673</v>
      </c>
      <c r="H654" s="1302" t="s">
        <v>673</v>
      </c>
      <c r="I654" s="1302" t="s">
        <v>673</v>
      </c>
      <c r="J654" s="1302" t="s">
        <v>673</v>
      </c>
      <c r="K654" s="2001" t="s">
        <v>673</v>
      </c>
      <c r="L654" s="1882" t="s">
        <v>673</v>
      </c>
      <c r="M654" s="1882" t="s">
        <v>673</v>
      </c>
      <c r="N654" s="1882" t="s">
        <v>673</v>
      </c>
      <c r="O654" s="1882" t="s">
        <v>673</v>
      </c>
      <c r="P654" s="2002" t="s">
        <v>673</v>
      </c>
      <c r="Q654" s="1214">
        <v>7.0000000000000001E-3</v>
      </c>
      <c r="R654" s="1214">
        <v>-3.0000000000000001E-3</v>
      </c>
      <c r="S654" s="1214">
        <v>-4.0000000000000001E-3</v>
      </c>
      <c r="T654" s="1214">
        <v>-1E-3</v>
      </c>
      <c r="U654" s="1952">
        <v>2E-3</v>
      </c>
      <c r="V654" s="1214">
        <v>1.9E-2</v>
      </c>
      <c r="W654" s="1214">
        <v>2.1999999999999999E-2</v>
      </c>
      <c r="X654" s="1214">
        <v>0.03</v>
      </c>
      <c r="Y654" s="1214">
        <v>4.2000000000000003E-2</v>
      </c>
      <c r="Z654" s="1952">
        <v>2.9000000000000001E-2</v>
      </c>
      <c r="AA654" s="1214">
        <v>1.9E-2</v>
      </c>
      <c r="AB654" s="1214">
        <v>5.0000000000000001E-3</v>
      </c>
      <c r="AC654" s="1214">
        <v>-3.0000000000000001E-3</v>
      </c>
      <c r="AD654" s="1214">
        <v>1.9E-2</v>
      </c>
      <c r="AE654" s="1952">
        <v>1.0999999999999999E-2</v>
      </c>
      <c r="AF654" s="1214">
        <v>1.2999999999999999E-2</v>
      </c>
      <c r="AG654" s="1214">
        <v>8.0000000000000002E-3</v>
      </c>
      <c r="AH654" s="1214">
        <v>-7.0000000000000001E-3</v>
      </c>
      <c r="AI654" s="1214">
        <v>-2.5000000000000001E-2</v>
      </c>
      <c r="AJ654" s="1952">
        <v>-5.0000000000000001E-3</v>
      </c>
      <c r="AK654" s="1214">
        <v>-2.5000000000000001E-2</v>
      </c>
      <c r="AL654" s="1214">
        <v>-1.0999999999999999E-2</v>
      </c>
      <c r="AM654" s="1214">
        <v>2E-3</v>
      </c>
      <c r="AN654" s="1214">
        <v>0</v>
      </c>
      <c r="AO654" s="1952">
        <v>-8.0000000000000002E-3</v>
      </c>
      <c r="AP654" s="1214">
        <v>-5.0000000000000001E-3</v>
      </c>
      <c r="AQ654" s="1214">
        <v>-8.0000000000000002E-3</v>
      </c>
      <c r="AR654" s="1214">
        <v>-0.01</v>
      </c>
      <c r="AS654" s="1214">
        <v>-4.4999999999999998E-2</v>
      </c>
      <c r="AT654" s="1952">
        <v>-0.02</v>
      </c>
      <c r="AU654" s="1214">
        <v>-5.3999999999999999E-2</v>
      </c>
      <c r="AV654" s="1214">
        <v>-6.6000000000000003E-2</v>
      </c>
      <c r="AW654" s="1214">
        <v>-0.05</v>
      </c>
      <c r="AX654" s="1214">
        <v>-1.6E-2</v>
      </c>
      <c r="AY654" s="1952">
        <v>-0.05</v>
      </c>
      <c r="AZ654" s="1214">
        <v>4.2999999999999997E-2</v>
      </c>
      <c r="BA654" s="1214">
        <v>5.5E-2</v>
      </c>
      <c r="BB654" s="1214">
        <v>4.3999999999999997E-2</v>
      </c>
      <c r="BC654" s="1214">
        <v>4.8000000000000001E-2</v>
      </c>
      <c r="BD654" s="1952">
        <v>4.8000000000000001E-2</v>
      </c>
      <c r="BE654" s="1214">
        <v>1.7999999999999999E-2</v>
      </c>
      <c r="BF654" s="1214">
        <v>0.02</v>
      </c>
      <c r="BG654" s="1214">
        <v>1.6E-2</v>
      </c>
      <c r="BH654" s="1214">
        <v>1.2999999999999999E-2</v>
      </c>
      <c r="BI654" s="1952">
        <v>1.7000000000000001E-2</v>
      </c>
      <c r="BJ654" s="1214">
        <v>7.0000000000000001E-3</v>
      </c>
      <c r="BK654" s="1214">
        <v>3.0000000000000001E-3</v>
      </c>
      <c r="BL654" s="1214">
        <v>3.0000000000000001E-3</v>
      </c>
      <c r="BM654" s="1214">
        <v>8.9999999999999993E-3</v>
      </c>
      <c r="BN654" s="1952">
        <v>6.0000000000000001E-3</v>
      </c>
      <c r="BO654" s="1214">
        <v>1E-3</v>
      </c>
      <c r="BP654" s="1214">
        <v>8.0000000000000002E-3</v>
      </c>
      <c r="BQ654" s="1214">
        <v>5.0000000000000001E-3</v>
      </c>
      <c r="BR654" s="1214">
        <v>-1E-3</v>
      </c>
      <c r="BS654" s="1952">
        <v>4.0000000000000001E-3</v>
      </c>
      <c r="BT654" s="1214">
        <v>2.1000000000000001E-2</v>
      </c>
      <c r="BU654" s="1214">
        <v>1.4E-2</v>
      </c>
      <c r="BV654" s="1214">
        <v>0.02</v>
      </c>
      <c r="BW654" s="1214">
        <v>1.7999999999999999E-2</v>
      </c>
      <c r="BX654" s="1952">
        <v>1.9E-2</v>
      </c>
      <c r="BY654" s="1214">
        <v>7.0000000000000001E-3</v>
      </c>
      <c r="BZ654" s="1214">
        <v>1E-3</v>
      </c>
      <c r="CA654" s="1214">
        <v>-3.0000000000000001E-3</v>
      </c>
      <c r="CB654" s="1214">
        <v>2E-3</v>
      </c>
      <c r="CC654" s="1952">
        <v>1E-3</v>
      </c>
      <c r="CD654" s="1214">
        <v>-5.0000000000000001E-3</v>
      </c>
      <c r="CE654" s="1214">
        <v>3.0000000000000001E-3</v>
      </c>
      <c r="CF654" s="1214">
        <v>-1E-3</v>
      </c>
      <c r="CG654" s="1214">
        <v>-1E-3</v>
      </c>
      <c r="CH654" s="1952">
        <v>-1E-3</v>
      </c>
      <c r="CI654" s="1193"/>
      <c r="CJ654" s="1193"/>
      <c r="CK654" s="1193"/>
      <c r="CL654" s="1193"/>
      <c r="CM654" s="1946"/>
      <c r="CN654" s="1193"/>
      <c r="CO654" s="1193"/>
      <c r="CP654" s="1193"/>
      <c r="CQ654" s="1193"/>
      <c r="CR654" s="1946"/>
      <c r="CS654" s="1946"/>
      <c r="CT654" s="1946"/>
      <c r="CU654" s="1193"/>
      <c r="CV654" s="1947"/>
      <c r="CW654" s="1947"/>
      <c r="CX654" s="1947"/>
      <c r="DA654" s="212"/>
      <c r="DB654" s="1226"/>
    </row>
    <row r="655" spans="1:106" s="11" customFormat="1" outlineLevel="1" x14ac:dyDescent="0.2">
      <c r="A655" s="1945" t="s">
        <v>823</v>
      </c>
      <c r="B655" s="1302" t="s">
        <v>673</v>
      </c>
      <c r="C655" s="1302" t="s">
        <v>673</v>
      </c>
      <c r="D655" s="1302" t="s">
        <v>673</v>
      </c>
      <c r="E655" s="1302" t="s">
        <v>673</v>
      </c>
      <c r="F655" s="1302" t="s">
        <v>673</v>
      </c>
      <c r="G655" s="1302" t="s">
        <v>673</v>
      </c>
      <c r="H655" s="1302" t="s">
        <v>673</v>
      </c>
      <c r="I655" s="1302" t="s">
        <v>673</v>
      </c>
      <c r="J655" s="1302" t="s">
        <v>673</v>
      </c>
      <c r="K655" s="2001" t="s">
        <v>673</v>
      </c>
      <c r="L655" s="1882" t="s">
        <v>673</v>
      </c>
      <c r="M655" s="1882" t="s">
        <v>673</v>
      </c>
      <c r="N655" s="1882" t="s">
        <v>673</v>
      </c>
      <c r="O655" s="1882" t="s">
        <v>673</v>
      </c>
      <c r="P655" s="2002" t="s">
        <v>673</v>
      </c>
      <c r="Q655" s="1214">
        <v>7.0000000000000001E-3</v>
      </c>
      <c r="R655" s="1214">
        <v>-1.7000000000000001E-2</v>
      </c>
      <c r="S655" s="1214">
        <v>-0.01</v>
      </c>
      <c r="T655" s="1214">
        <v>0</v>
      </c>
      <c r="U655" s="1952">
        <v>-3.0000000000000001E-3</v>
      </c>
      <c r="V655" s="1214">
        <v>6.0000000000000001E-3</v>
      </c>
      <c r="W655" s="1214">
        <v>0.02</v>
      </c>
      <c r="X655" s="1214">
        <v>1.4999999999999999E-2</v>
      </c>
      <c r="Y655" s="1214">
        <v>2.9000000000000001E-2</v>
      </c>
      <c r="Z655" s="1952">
        <v>1.9E-2</v>
      </c>
      <c r="AA655" s="1214">
        <v>1.7999999999999999E-2</v>
      </c>
      <c r="AB655" s="1214">
        <v>2.1000000000000001E-2</v>
      </c>
      <c r="AC655" s="1214">
        <v>1.7000000000000001E-2</v>
      </c>
      <c r="AD655" s="1214">
        <v>3.2000000000000001E-2</v>
      </c>
      <c r="AE655" s="1952">
        <v>2.3E-2</v>
      </c>
      <c r="AF655" s="1214">
        <v>2.5999999999999999E-2</v>
      </c>
      <c r="AG655" s="1214">
        <v>2.1999999999999999E-2</v>
      </c>
      <c r="AH655" s="1214">
        <v>5.0000000000000001E-3</v>
      </c>
      <c r="AI655" s="1214">
        <v>-5.0000000000000001E-3</v>
      </c>
      <c r="AJ655" s="1952">
        <v>0.01</v>
      </c>
      <c r="AK655" s="1214">
        <v>-1.4E-2</v>
      </c>
      <c r="AL655" s="1214">
        <v>-3.0000000000000001E-3</v>
      </c>
      <c r="AM655" s="1214">
        <v>4.0000000000000001E-3</v>
      </c>
      <c r="AN655" s="1214">
        <v>-1E-3</v>
      </c>
      <c r="AO655" s="1952">
        <v>-3.0000000000000001E-3</v>
      </c>
      <c r="AP655" s="1214">
        <v>-1.4999999999999999E-2</v>
      </c>
      <c r="AQ655" s="1214">
        <v>-3.5000000000000003E-2</v>
      </c>
      <c r="AR655" s="1214">
        <v>-3.2000000000000001E-2</v>
      </c>
      <c r="AS655" s="1214">
        <v>-6.3E-2</v>
      </c>
      <c r="AT655" s="1952">
        <v>-3.9E-2</v>
      </c>
      <c r="AU655" s="1214">
        <v>-5.8000000000000003E-2</v>
      </c>
      <c r="AV655" s="1214">
        <v>-6.8000000000000005E-2</v>
      </c>
      <c r="AW655" s="1214">
        <v>-6.7000000000000004E-2</v>
      </c>
      <c r="AX655" s="1214">
        <v>-0.03</v>
      </c>
      <c r="AY655" s="1952">
        <v>-5.8000000000000003E-2</v>
      </c>
      <c r="AZ655" s="1214">
        <v>8.9999999999999993E-3</v>
      </c>
      <c r="BA655" s="1214">
        <v>3.1E-2</v>
      </c>
      <c r="BB655" s="1214">
        <v>4.3999999999999997E-2</v>
      </c>
      <c r="BC655" s="1214">
        <v>3.4000000000000002E-2</v>
      </c>
      <c r="BD655" s="1952">
        <v>2.9000000000000001E-2</v>
      </c>
      <c r="BE655" s="1214">
        <v>2.9000000000000001E-2</v>
      </c>
      <c r="BF655" s="1214">
        <v>3.5000000000000003E-2</v>
      </c>
      <c r="BG655" s="1214">
        <v>3.1E-2</v>
      </c>
      <c r="BH655" s="1214">
        <v>3.1E-2</v>
      </c>
      <c r="BI655" s="1952">
        <v>3.1E-2</v>
      </c>
      <c r="BJ655" s="1214">
        <v>0.03</v>
      </c>
      <c r="BK655" s="1214">
        <v>2.3E-2</v>
      </c>
      <c r="BL655" s="1214">
        <v>8.0000000000000002E-3</v>
      </c>
      <c r="BM655" s="1214">
        <v>8.9999999999999993E-3</v>
      </c>
      <c r="BN655" s="1952">
        <v>1.7000000000000001E-2</v>
      </c>
      <c r="BO655" s="1214">
        <v>3.0000000000000001E-3</v>
      </c>
      <c r="BP655" s="1214">
        <v>5.0000000000000001E-3</v>
      </c>
      <c r="BQ655" s="1214">
        <v>1.0999999999999999E-2</v>
      </c>
      <c r="BR655" s="1214">
        <v>7.0000000000000001E-3</v>
      </c>
      <c r="BS655" s="1952">
        <v>6.0000000000000001E-3</v>
      </c>
      <c r="BT655" s="1214">
        <v>1.4E-2</v>
      </c>
      <c r="BU655" s="1214">
        <v>0.02</v>
      </c>
      <c r="BV655" s="1214">
        <v>2.7E-2</v>
      </c>
      <c r="BW655" s="1214">
        <v>2.4E-2</v>
      </c>
      <c r="BX655" s="1952">
        <v>2.1999999999999999E-2</v>
      </c>
      <c r="BY655" s="1214">
        <v>0.02</v>
      </c>
      <c r="BZ655" s="1214">
        <v>-1E-3</v>
      </c>
      <c r="CA655" s="1214">
        <v>-3.0000000000000001E-3</v>
      </c>
      <c r="CB655" s="1214">
        <v>-3.0000000000000001E-3</v>
      </c>
      <c r="CC655" s="1952">
        <v>3.0000000000000001E-3</v>
      </c>
      <c r="CD655" s="1214">
        <v>-0.01</v>
      </c>
      <c r="CE655" s="1214">
        <v>-4.0000000000000001E-3</v>
      </c>
      <c r="CF655" s="1214">
        <v>-5.0000000000000001E-3</v>
      </c>
      <c r="CG655" s="1214">
        <v>-1E-3</v>
      </c>
      <c r="CH655" s="1952">
        <v>-5.0000000000000001E-3</v>
      </c>
      <c r="CI655" s="1193"/>
      <c r="CJ655" s="1193"/>
      <c r="CK655" s="1193"/>
      <c r="CL655" s="1193"/>
      <c r="CM655" s="1946"/>
      <c r="CN655" s="1193"/>
      <c r="CO655" s="1193"/>
      <c r="CP655" s="1193"/>
      <c r="CQ655" s="1193"/>
      <c r="CR655" s="1946"/>
      <c r="CS655" s="1946"/>
      <c r="CT655" s="1946"/>
      <c r="CU655" s="1193"/>
      <c r="CV655" s="1947"/>
      <c r="CW655" s="1947"/>
      <c r="CX655" s="1947"/>
      <c r="DA655" s="212"/>
      <c r="DB655" s="1226"/>
    </row>
    <row r="656" spans="1:106" s="11" customFormat="1" outlineLevel="1" x14ac:dyDescent="0.2">
      <c r="A656" s="2014" t="s">
        <v>52</v>
      </c>
      <c r="B656" s="1302"/>
      <c r="C656" s="1302"/>
      <c r="D656" s="1302"/>
      <c r="E656" s="1302"/>
      <c r="F656" s="1302"/>
      <c r="G656" s="1302"/>
      <c r="H656" s="1302"/>
      <c r="I656" s="1302"/>
      <c r="J656" s="1302"/>
      <c r="K656" s="2001"/>
      <c r="L656" s="1882"/>
      <c r="M656" s="1882"/>
      <c r="N656" s="1882"/>
      <c r="O656" s="1882"/>
      <c r="P656" s="2002"/>
      <c r="Q656" s="1214"/>
      <c r="R656" s="1214"/>
      <c r="S656" s="1214"/>
      <c r="T656" s="1214"/>
      <c r="U656" s="1952"/>
      <c r="V656" s="1214"/>
      <c r="W656" s="1214"/>
      <c r="X656" s="1214"/>
      <c r="Y656" s="1214"/>
      <c r="Z656" s="1952"/>
      <c r="AA656" s="1214"/>
      <c r="AB656" s="1214"/>
      <c r="AC656" s="1214"/>
      <c r="AD656" s="1214"/>
      <c r="AE656" s="1952"/>
      <c r="AF656" s="1214"/>
      <c r="AG656" s="1214"/>
      <c r="AH656" s="1214"/>
      <c r="AI656" s="1214"/>
      <c r="AJ656" s="1952"/>
      <c r="AK656" s="1214"/>
      <c r="AL656" s="1214"/>
      <c r="AM656" s="1214"/>
      <c r="AN656" s="1214"/>
      <c r="AO656" s="1952"/>
      <c r="AP656" s="1214"/>
      <c r="AQ656" s="1214"/>
      <c r="AR656" s="1214"/>
      <c r="AS656" s="1214"/>
      <c r="AT656" s="1952"/>
      <c r="AU656" s="1214"/>
      <c r="AV656" s="1214"/>
      <c r="AW656" s="1214"/>
      <c r="AX656" s="1214"/>
      <c r="AY656" s="1952"/>
      <c r="AZ656" s="1214"/>
      <c r="BA656" s="1214"/>
      <c r="BB656" s="1214"/>
      <c r="BC656" s="1214"/>
      <c r="BD656" s="1952"/>
      <c r="BE656" s="1214"/>
      <c r="BF656" s="1214"/>
      <c r="BG656" s="1214"/>
      <c r="BH656" s="1214"/>
      <c r="BI656" s="1952"/>
      <c r="BJ656" s="1214"/>
      <c r="BK656" s="1214"/>
      <c r="BL656" s="1214"/>
      <c r="BM656" s="1214"/>
      <c r="BN656" s="1952"/>
      <c r="BO656" s="1214"/>
      <c r="BP656" s="1214"/>
      <c r="BQ656" s="1214"/>
      <c r="BR656" s="1214"/>
      <c r="BS656" s="1952"/>
      <c r="BT656" s="1214"/>
      <c r="BU656" s="1214"/>
      <c r="BV656" s="1214"/>
      <c r="BW656" s="1214"/>
      <c r="BX656" s="1952"/>
      <c r="BY656" s="1214"/>
      <c r="BZ656" s="1214"/>
      <c r="CA656" s="1214"/>
      <c r="CB656" s="1214"/>
      <c r="CC656" s="1952"/>
      <c r="CD656" s="1214"/>
      <c r="CE656" s="1214"/>
      <c r="CF656" s="1214"/>
      <c r="CG656" s="1625">
        <v>-2E-3</v>
      </c>
      <c r="CH656" s="2249">
        <v>0</v>
      </c>
      <c r="CI656" s="1193"/>
      <c r="CJ656" s="1193"/>
      <c r="CK656" s="1193"/>
      <c r="CL656" s="1193"/>
      <c r="CM656" s="1946"/>
      <c r="CN656" s="1193"/>
      <c r="CO656" s="1193"/>
      <c r="CP656" s="1193"/>
      <c r="CQ656" s="1193"/>
      <c r="CR656" s="1946"/>
      <c r="CS656" s="1946"/>
      <c r="CT656" s="1946"/>
      <c r="CU656" s="1193"/>
      <c r="CV656" s="1947"/>
      <c r="CW656" s="1947"/>
      <c r="CX656" s="1947"/>
      <c r="DA656" s="212"/>
      <c r="DB656" s="1226"/>
    </row>
    <row r="657" spans="1:106" s="11" customFormat="1" outlineLevel="1" x14ac:dyDescent="0.2">
      <c r="A657" s="1945" t="s">
        <v>820</v>
      </c>
      <c r="B657" s="1302" t="s">
        <v>673</v>
      </c>
      <c r="C657" s="1302" t="s">
        <v>673</v>
      </c>
      <c r="D657" s="1302" t="s">
        <v>673</v>
      </c>
      <c r="E657" s="1302" t="s">
        <v>673</v>
      </c>
      <c r="F657" s="1302" t="s">
        <v>673</v>
      </c>
      <c r="G657" s="1302" t="s">
        <v>673</v>
      </c>
      <c r="H657" s="1302" t="s">
        <v>673</v>
      </c>
      <c r="I657" s="1302" t="s">
        <v>673</v>
      </c>
      <c r="J657" s="1302" t="s">
        <v>673</v>
      </c>
      <c r="K657" s="2001" t="s">
        <v>673</v>
      </c>
      <c r="L657" s="1882" t="s">
        <v>673</v>
      </c>
      <c r="M657" s="1882" t="s">
        <v>673</v>
      </c>
      <c r="N657" s="1882" t="s">
        <v>673</v>
      </c>
      <c r="O657" s="1882" t="s">
        <v>673</v>
      </c>
      <c r="P657" s="2002" t="s">
        <v>673</v>
      </c>
      <c r="Q657" s="1214">
        <v>0.02</v>
      </c>
      <c r="R657" s="1214">
        <v>-0.01</v>
      </c>
      <c r="S657" s="1214">
        <v>2.5000000000000001E-2</v>
      </c>
      <c r="T657" s="1214">
        <v>2.3E-2</v>
      </c>
      <c r="U657" s="1952">
        <v>1.4999999999999999E-2</v>
      </c>
      <c r="V657" s="1214">
        <v>4.1000000000000002E-2</v>
      </c>
      <c r="W657" s="1214">
        <v>4.5999999999999999E-2</v>
      </c>
      <c r="X657" s="1214">
        <v>3.3000000000000002E-2</v>
      </c>
      <c r="Y657" s="1214">
        <v>4.4999999999999998E-2</v>
      </c>
      <c r="Z657" s="1952">
        <v>4.2000000000000003E-2</v>
      </c>
      <c r="AA657" s="1214">
        <v>2.5999999999999999E-2</v>
      </c>
      <c r="AB657" s="1214">
        <v>2.9000000000000001E-2</v>
      </c>
      <c r="AC657" s="1214">
        <v>2.5000000000000001E-2</v>
      </c>
      <c r="AD657" s="1214">
        <v>0.03</v>
      </c>
      <c r="AE657" s="1952">
        <v>2.5999999999999999E-2</v>
      </c>
      <c r="AF657" s="1214">
        <v>2.3E-2</v>
      </c>
      <c r="AG657" s="1214">
        <v>2.4E-2</v>
      </c>
      <c r="AH657" s="1214">
        <v>-1E-3</v>
      </c>
      <c r="AI657" s="1214">
        <v>-4.0000000000000001E-3</v>
      </c>
      <c r="AJ657" s="1952">
        <v>1.0999999999999999E-2</v>
      </c>
      <c r="AK657" s="1214">
        <v>-1.0999999999999999E-2</v>
      </c>
      <c r="AL657" s="1214">
        <v>-1.2E-2</v>
      </c>
      <c r="AM657" s="1214">
        <v>1.0999999999999999E-2</v>
      </c>
      <c r="AN657" s="1214">
        <v>0</v>
      </c>
      <c r="AO657" s="1952">
        <v>-4.0000000000000001E-3</v>
      </c>
      <c r="AP657" s="1214">
        <v>-4.0000000000000001E-3</v>
      </c>
      <c r="AQ657" s="1214">
        <v>-3.0000000000000001E-3</v>
      </c>
      <c r="AR657" s="1214">
        <v>-5.0000000000000001E-3</v>
      </c>
      <c r="AS657" s="1214">
        <v>-4.2999999999999997E-2</v>
      </c>
      <c r="AT657" s="1952">
        <v>-1.7000000000000001E-2</v>
      </c>
      <c r="AU657" s="1214">
        <v>-0.06</v>
      </c>
      <c r="AV657" s="1214">
        <v>-6.8000000000000005E-2</v>
      </c>
      <c r="AW657" s="1214">
        <v>-0.05</v>
      </c>
      <c r="AX657" s="1214">
        <v>-3.0000000000000001E-3</v>
      </c>
      <c r="AY657" s="1952">
        <v>-4.7E-2</v>
      </c>
      <c r="AZ657" s="1214">
        <v>4.7E-2</v>
      </c>
      <c r="BA657" s="1214">
        <v>4.5999999999999999E-2</v>
      </c>
      <c r="BB657" s="1214">
        <v>2.7E-2</v>
      </c>
      <c r="BC657" s="1214">
        <v>2.5999999999999999E-2</v>
      </c>
      <c r="BD657" s="1952">
        <v>3.5000000000000003E-2</v>
      </c>
      <c r="BE657" s="1214">
        <v>1.4999999999999999E-2</v>
      </c>
      <c r="BF657" s="1214">
        <v>0.01</v>
      </c>
      <c r="BG657" s="1214">
        <v>2.8000000000000001E-2</v>
      </c>
      <c r="BH657" s="1214">
        <v>2.1000000000000001E-2</v>
      </c>
      <c r="BI657" s="1952">
        <v>1.9E-2</v>
      </c>
      <c r="BJ657" s="1214">
        <v>0.02</v>
      </c>
      <c r="BK657" s="1214">
        <v>1.6E-2</v>
      </c>
      <c r="BL657" s="1214">
        <v>1.2E-2</v>
      </c>
      <c r="BM657" s="1214">
        <v>0.01</v>
      </c>
      <c r="BN657" s="1952">
        <v>1.4E-2</v>
      </c>
      <c r="BO657" s="1214">
        <v>8.0000000000000002E-3</v>
      </c>
      <c r="BP657" s="1214">
        <v>1.0999999999999999E-2</v>
      </c>
      <c r="BQ657" s="1214">
        <v>7.0000000000000001E-3</v>
      </c>
      <c r="BR657" s="1214">
        <v>1E-3</v>
      </c>
      <c r="BS657" s="1952">
        <v>7.0000000000000001E-3</v>
      </c>
      <c r="BT657" s="1214">
        <v>2.1999999999999999E-2</v>
      </c>
      <c r="BU657" s="1214">
        <v>1.9E-2</v>
      </c>
      <c r="BV657" s="1214">
        <v>2.7E-2</v>
      </c>
      <c r="BW657" s="1214">
        <v>8.0000000000000002E-3</v>
      </c>
      <c r="BX657" s="1952">
        <v>1.9E-2</v>
      </c>
      <c r="BY657" s="1214">
        <v>1.4999999999999999E-2</v>
      </c>
      <c r="BZ657" s="1214">
        <v>0</v>
      </c>
      <c r="CA657" s="1214">
        <v>2E-3</v>
      </c>
      <c r="CB657" s="1214">
        <v>0.01</v>
      </c>
      <c r="CC657" s="1952">
        <v>8.0000000000000002E-3</v>
      </c>
      <c r="CD657" s="1214">
        <v>-8.0000000000000002E-3</v>
      </c>
      <c r="CE657" s="1214">
        <v>0.02</v>
      </c>
      <c r="CF657" s="1214">
        <v>1.7000000000000001E-2</v>
      </c>
      <c r="CG657" s="1214"/>
      <c r="CH657" s="1952"/>
      <c r="CI657" s="1193"/>
      <c r="CJ657" s="1193"/>
      <c r="CK657" s="1193"/>
      <c r="CL657" s="1193"/>
      <c r="CM657" s="1946"/>
      <c r="CN657" s="1193"/>
      <c r="CO657" s="1193"/>
      <c r="CP657" s="1193"/>
      <c r="CQ657" s="1193"/>
      <c r="CR657" s="1946"/>
      <c r="CS657" s="1946"/>
      <c r="CT657" s="1946"/>
      <c r="CU657" s="1193"/>
      <c r="CV657" s="1947"/>
      <c r="CW657" s="1947"/>
      <c r="CX657" s="1947"/>
      <c r="DA657" s="212"/>
      <c r="DB657" s="1226"/>
    </row>
    <row r="658" spans="1:106" s="1515" customFormat="1" outlineLevel="1" x14ac:dyDescent="0.2">
      <c r="A658" s="1945" t="s">
        <v>1762</v>
      </c>
      <c r="B658" s="1302" t="s">
        <v>673</v>
      </c>
      <c r="C658" s="1302" t="s">
        <v>673</v>
      </c>
      <c r="D658" s="1302" t="s">
        <v>673</v>
      </c>
      <c r="E658" s="1302" t="s">
        <v>673</v>
      </c>
      <c r="F658" s="1302" t="s">
        <v>673</v>
      </c>
      <c r="G658" s="1302" t="s">
        <v>673</v>
      </c>
      <c r="H658" s="1302" t="s">
        <v>673</v>
      </c>
      <c r="I658" s="1302" t="s">
        <v>673</v>
      </c>
      <c r="J658" s="1302" t="s">
        <v>673</v>
      </c>
      <c r="K658" s="2001" t="s">
        <v>673</v>
      </c>
      <c r="L658" s="1882" t="s">
        <v>673</v>
      </c>
      <c r="M658" s="1882" t="s">
        <v>673</v>
      </c>
      <c r="N658" s="1882" t="s">
        <v>673</v>
      </c>
      <c r="O658" s="1882" t="s">
        <v>673</v>
      </c>
      <c r="P658" s="2001" t="s">
        <v>673</v>
      </c>
      <c r="Q658" s="1882" t="s">
        <v>673</v>
      </c>
      <c r="R658" s="1882" t="s">
        <v>673</v>
      </c>
      <c r="S658" s="1882" t="s">
        <v>673</v>
      </c>
      <c r="T658" s="1882" t="s">
        <v>673</v>
      </c>
      <c r="U658" s="2001" t="s">
        <v>673</v>
      </c>
      <c r="V658" s="1882" t="s">
        <v>673</v>
      </c>
      <c r="W658" s="1882" t="s">
        <v>673</v>
      </c>
      <c r="X658" s="1882" t="s">
        <v>673</v>
      </c>
      <c r="Y658" s="1882" t="s">
        <v>673</v>
      </c>
      <c r="Z658" s="2001" t="s">
        <v>673</v>
      </c>
      <c r="AA658" s="1882" t="s">
        <v>673</v>
      </c>
      <c r="AB658" s="1882" t="s">
        <v>673</v>
      </c>
      <c r="AC658" s="1882" t="s">
        <v>673</v>
      </c>
      <c r="AD658" s="1882" t="s">
        <v>673</v>
      </c>
      <c r="AE658" s="2001" t="s">
        <v>673</v>
      </c>
      <c r="AF658" s="1882" t="s">
        <v>673</v>
      </c>
      <c r="AG658" s="1882" t="s">
        <v>673</v>
      </c>
      <c r="AH658" s="1882" t="s">
        <v>673</v>
      </c>
      <c r="AI658" s="1882" t="s">
        <v>673</v>
      </c>
      <c r="AJ658" s="2001" t="s">
        <v>673</v>
      </c>
      <c r="AK658" s="1882" t="s">
        <v>673</v>
      </c>
      <c r="AL658" s="1882" t="s">
        <v>673</v>
      </c>
      <c r="AM658" s="1882" t="s">
        <v>673</v>
      </c>
      <c r="AN658" s="1882" t="s">
        <v>673</v>
      </c>
      <c r="AO658" s="2001" t="s">
        <v>673</v>
      </c>
      <c r="AP658" s="1882" t="s">
        <v>673</v>
      </c>
      <c r="AQ658" s="1882" t="s">
        <v>673</v>
      </c>
      <c r="AR658" s="1882" t="s">
        <v>673</v>
      </c>
      <c r="AS658" s="1882" t="s">
        <v>673</v>
      </c>
      <c r="AT658" s="2001" t="s">
        <v>673</v>
      </c>
      <c r="AU658" s="1882" t="s">
        <v>673</v>
      </c>
      <c r="AV658" s="1882" t="s">
        <v>673</v>
      </c>
      <c r="AW658" s="1882" t="s">
        <v>673</v>
      </c>
      <c r="AX658" s="1882" t="s">
        <v>673</v>
      </c>
      <c r="AY658" s="2001" t="s">
        <v>673</v>
      </c>
      <c r="AZ658" s="1882" t="s">
        <v>673</v>
      </c>
      <c r="BA658" s="1882" t="s">
        <v>673</v>
      </c>
      <c r="BB658" s="1882" t="s">
        <v>673</v>
      </c>
      <c r="BC658" s="1882" t="s">
        <v>673</v>
      </c>
      <c r="BD658" s="2001" t="s">
        <v>673</v>
      </c>
      <c r="BE658" s="1882" t="s">
        <v>673</v>
      </c>
      <c r="BF658" s="1882" t="s">
        <v>673</v>
      </c>
      <c r="BG658" s="1882" t="s">
        <v>673</v>
      </c>
      <c r="BH658" s="1882" t="s">
        <v>673</v>
      </c>
      <c r="BI658" s="2001" t="s">
        <v>673</v>
      </c>
      <c r="BJ658" s="1214">
        <v>6.3E-2</v>
      </c>
      <c r="BK658" s="1214">
        <v>1.6E-2</v>
      </c>
      <c r="BL658" s="1214">
        <v>3.2000000000000001E-2</v>
      </c>
      <c r="BM658" s="1214">
        <v>4.1000000000000002E-2</v>
      </c>
      <c r="BN658" s="2010">
        <v>3.5999999999999997E-2</v>
      </c>
      <c r="BO658" s="1214">
        <v>0</v>
      </c>
      <c r="BP658" s="1214">
        <v>2.5999999999999999E-2</v>
      </c>
      <c r="BQ658" s="1214">
        <v>2.3E-2</v>
      </c>
      <c r="BR658" s="1214">
        <v>0.02</v>
      </c>
      <c r="BS658" s="2010">
        <v>1.7000000000000001E-2</v>
      </c>
      <c r="BT658" s="1214">
        <v>1.4999999999999999E-2</v>
      </c>
      <c r="BU658" s="1214">
        <v>6.0000000000000001E-3</v>
      </c>
      <c r="BV658" s="1214">
        <v>-8.0000000000000002E-3</v>
      </c>
      <c r="BW658" s="1214">
        <v>-3.9E-2</v>
      </c>
      <c r="BX658" s="2010">
        <v>-0.01</v>
      </c>
      <c r="BY658" s="1214">
        <v>6.0000000000000001E-3</v>
      </c>
      <c r="BZ658" s="1214">
        <v>3.0000000000000001E-3</v>
      </c>
      <c r="CA658" s="1214">
        <v>1E-3</v>
      </c>
      <c r="CB658" s="1214">
        <v>3.5000000000000003E-2</v>
      </c>
      <c r="CC658" s="2010">
        <v>1.0999999999999999E-2</v>
      </c>
      <c r="CD658" s="1214">
        <v>1.6E-2</v>
      </c>
      <c r="CE658" s="1214">
        <v>6.0000000000000001E-3</v>
      </c>
      <c r="CF658" s="1214">
        <v>1.9E-2</v>
      </c>
      <c r="CG658" s="1214"/>
      <c r="CH658" s="2010"/>
      <c r="CI658" s="243"/>
      <c r="CJ658" s="243"/>
      <c r="CK658" s="243"/>
      <c r="CL658" s="243"/>
      <c r="CM658" s="2012"/>
      <c r="CN658" s="243"/>
      <c r="CO658" s="243"/>
      <c r="CP658" s="243"/>
      <c r="CQ658" s="243"/>
      <c r="CR658" s="2012"/>
      <c r="CS658" s="2012"/>
      <c r="CT658" s="2012"/>
      <c r="CU658" s="243"/>
      <c r="CV658" s="2013"/>
      <c r="CW658" s="2013"/>
      <c r="CX658" s="2013"/>
      <c r="DA658" s="212"/>
      <c r="DB658" s="1226"/>
    </row>
    <row r="659" spans="1:106" s="11" customFormat="1" outlineLevel="1" x14ac:dyDescent="0.2">
      <c r="A659" s="1945" t="s">
        <v>925</v>
      </c>
      <c r="B659" s="1302" t="s">
        <v>673</v>
      </c>
      <c r="C659" s="1302" t="s">
        <v>673</v>
      </c>
      <c r="D659" s="1302" t="s">
        <v>673</v>
      </c>
      <c r="E659" s="1302" t="s">
        <v>673</v>
      </c>
      <c r="F659" s="1302" t="s">
        <v>673</v>
      </c>
      <c r="G659" s="1302" t="s">
        <v>673</v>
      </c>
      <c r="H659" s="1302" t="s">
        <v>673</v>
      </c>
      <c r="I659" s="1302" t="s">
        <v>673</v>
      </c>
      <c r="J659" s="1302" t="s">
        <v>673</v>
      </c>
      <c r="K659" s="2001" t="s">
        <v>673</v>
      </c>
      <c r="L659" s="1882" t="s">
        <v>673</v>
      </c>
      <c r="M659" s="1882" t="s">
        <v>673</v>
      </c>
      <c r="N659" s="1882" t="s">
        <v>673</v>
      </c>
      <c r="O659" s="1882" t="s">
        <v>673</v>
      </c>
      <c r="P659" s="2002" t="s">
        <v>673</v>
      </c>
      <c r="Q659" s="1214">
        <v>-1.6E-2</v>
      </c>
      <c r="R659" s="1214">
        <v>-1.9E-2</v>
      </c>
      <c r="S659" s="1214">
        <v>-1E-3</v>
      </c>
      <c r="T659" s="1214">
        <v>2.4E-2</v>
      </c>
      <c r="U659" s="1952">
        <v>0</v>
      </c>
      <c r="V659" s="1214">
        <v>3.7999999999999999E-2</v>
      </c>
      <c r="W659" s="1214">
        <v>6.4000000000000001E-2</v>
      </c>
      <c r="X659" s="1214">
        <v>3.1E-2</v>
      </c>
      <c r="Y659" s="1214">
        <v>0.04</v>
      </c>
      <c r="Z659" s="1952">
        <v>4.2999999999999997E-2</v>
      </c>
      <c r="AA659" s="1214">
        <v>1.4999999999999999E-2</v>
      </c>
      <c r="AB659" s="1214">
        <v>-1E-3</v>
      </c>
      <c r="AC659" s="1214">
        <v>1E-3</v>
      </c>
      <c r="AD659" s="1214">
        <v>2.1999999999999999E-2</v>
      </c>
      <c r="AE659" s="1952">
        <v>1.0999999999999999E-2</v>
      </c>
      <c r="AF659" s="1214">
        <v>1.4999999999999999E-2</v>
      </c>
      <c r="AG659" s="1214">
        <v>1.4E-2</v>
      </c>
      <c r="AH659" s="1214">
        <v>2E-3</v>
      </c>
      <c r="AI659" s="1214">
        <v>-2.5999999999999999E-2</v>
      </c>
      <c r="AJ659" s="1952">
        <v>-2E-3</v>
      </c>
      <c r="AK659" s="1214">
        <v>-3.9E-2</v>
      </c>
      <c r="AL659" s="1214">
        <v>-2.9000000000000001E-2</v>
      </c>
      <c r="AM659" s="1214">
        <v>-2.1999999999999999E-2</v>
      </c>
      <c r="AN659" s="1214">
        <v>-1.2999999999999999E-2</v>
      </c>
      <c r="AO659" s="1952">
        <v>-2.4E-2</v>
      </c>
      <c r="AP659" s="1214">
        <v>-1.2E-2</v>
      </c>
      <c r="AQ659" s="1214">
        <v>-2.5999999999999999E-2</v>
      </c>
      <c r="AR659" s="1214">
        <v>-3.2000000000000001E-2</v>
      </c>
      <c r="AS659" s="1214">
        <v>-5.2999999999999999E-2</v>
      </c>
      <c r="AT659" s="1952">
        <v>-3.4000000000000002E-2</v>
      </c>
      <c r="AU659" s="1214">
        <v>-7.0999999999999994E-2</v>
      </c>
      <c r="AV659" s="1214">
        <v>-7.4999999999999997E-2</v>
      </c>
      <c r="AW659" s="1214">
        <v>-5.2999999999999999E-2</v>
      </c>
      <c r="AX659" s="1214">
        <v>-0.04</v>
      </c>
      <c r="AY659" s="1952">
        <v>-6.5000000000000002E-2</v>
      </c>
      <c r="AZ659" s="1214">
        <v>3.4000000000000002E-2</v>
      </c>
      <c r="BA659" s="1214">
        <v>6.2E-2</v>
      </c>
      <c r="BB659" s="1214">
        <v>7.0999999999999994E-2</v>
      </c>
      <c r="BC659" s="1214">
        <v>7.2999999999999995E-2</v>
      </c>
      <c r="BD659" s="1952">
        <v>6.0999999999999999E-2</v>
      </c>
      <c r="BE659" s="1214">
        <v>5.3999999999999999E-2</v>
      </c>
      <c r="BF659" s="1214">
        <v>4.7E-2</v>
      </c>
      <c r="BG659" s="1214">
        <v>2.9000000000000001E-2</v>
      </c>
      <c r="BH659" s="1214">
        <v>2.5000000000000001E-2</v>
      </c>
      <c r="BI659" s="1952">
        <v>3.6999999999999998E-2</v>
      </c>
      <c r="BJ659" s="1214">
        <v>2.3E-2</v>
      </c>
      <c r="BK659" s="1214">
        <v>0.01</v>
      </c>
      <c r="BL659" s="1214">
        <v>-4.0000000000000001E-3</v>
      </c>
      <c r="BM659" s="1214">
        <v>-3.0000000000000001E-3</v>
      </c>
      <c r="BN659" s="1952">
        <v>6.0000000000000001E-3</v>
      </c>
      <c r="BO659" s="1214">
        <v>-1.2999999999999999E-2</v>
      </c>
      <c r="BP659" s="1214">
        <v>-6.0000000000000001E-3</v>
      </c>
      <c r="BQ659" s="1214">
        <v>2E-3</v>
      </c>
      <c r="BR659" s="1214">
        <v>-3.0000000000000001E-3</v>
      </c>
      <c r="BS659" s="1952">
        <v>-5.0000000000000001E-3</v>
      </c>
      <c r="BT659" s="1214">
        <v>3.6999999999999998E-2</v>
      </c>
      <c r="BU659" s="1214">
        <v>3.2000000000000001E-2</v>
      </c>
      <c r="BV659" s="1214">
        <v>2.7E-2</v>
      </c>
      <c r="BW659" s="1214">
        <v>3.1E-2</v>
      </c>
      <c r="BX659" s="1952">
        <v>3.2000000000000001E-2</v>
      </c>
      <c r="BY659" s="1214">
        <v>1.2E-2</v>
      </c>
      <c r="BZ659" s="1214">
        <v>4.0000000000000001E-3</v>
      </c>
      <c r="CA659" s="1214">
        <v>-3.0000000000000001E-3</v>
      </c>
      <c r="CB659" s="1214">
        <v>-3.0000000000000001E-3</v>
      </c>
      <c r="CC659" s="1952">
        <v>3.0000000000000001E-3</v>
      </c>
      <c r="CD659" s="1214">
        <v>3.0000000000000001E-3</v>
      </c>
      <c r="CE659" s="1214">
        <v>1.0999999999999999E-2</v>
      </c>
      <c r="CF659" s="1214">
        <v>-3.0000000000000001E-3</v>
      </c>
      <c r="CG659" s="1214"/>
      <c r="CH659" s="1952"/>
      <c r="CI659" s="1193"/>
      <c r="CJ659" s="1193"/>
      <c r="CK659" s="1193"/>
      <c r="CL659" s="1193"/>
      <c r="CM659" s="1946"/>
      <c r="CN659" s="1193"/>
      <c r="CO659" s="1193"/>
      <c r="CP659" s="1193"/>
      <c r="CQ659" s="1193"/>
      <c r="CR659" s="1946"/>
      <c r="CS659" s="1946"/>
      <c r="CT659" s="1946"/>
      <c r="CU659" s="1193"/>
      <c r="CV659" s="1947"/>
      <c r="CW659" s="1947"/>
      <c r="CX659" s="1947"/>
      <c r="DA659" s="212"/>
      <c r="DB659" s="1226"/>
    </row>
    <row r="660" spans="1:106" s="11" customFormat="1" outlineLevel="1" x14ac:dyDescent="0.2">
      <c r="A660" s="1945" t="s">
        <v>924</v>
      </c>
      <c r="B660" s="1302" t="s">
        <v>673</v>
      </c>
      <c r="C660" s="1302" t="s">
        <v>673</v>
      </c>
      <c r="D660" s="1302" t="s">
        <v>673</v>
      </c>
      <c r="E660" s="1302" t="s">
        <v>673</v>
      </c>
      <c r="F660" s="1302" t="s">
        <v>673</v>
      </c>
      <c r="G660" s="1302" t="s">
        <v>673</v>
      </c>
      <c r="H660" s="1302" t="s">
        <v>673</v>
      </c>
      <c r="I660" s="1302" t="s">
        <v>673</v>
      </c>
      <c r="J660" s="1302" t="s">
        <v>673</v>
      </c>
      <c r="K660" s="2001" t="s">
        <v>673</v>
      </c>
      <c r="L660" s="1882" t="s">
        <v>673</v>
      </c>
      <c r="M660" s="1882" t="s">
        <v>673</v>
      </c>
      <c r="N660" s="1882" t="s">
        <v>673</v>
      </c>
      <c r="O660" s="1882" t="s">
        <v>673</v>
      </c>
      <c r="P660" s="2002" t="s">
        <v>673</v>
      </c>
      <c r="Q660" s="1214">
        <v>2.5999999999999999E-2</v>
      </c>
      <c r="R660" s="1214">
        <v>-8.9999999999999993E-3</v>
      </c>
      <c r="S660" s="1214">
        <v>6.0000000000000001E-3</v>
      </c>
      <c r="T660" s="1214">
        <v>2.1999999999999999E-2</v>
      </c>
      <c r="U660" s="1952">
        <v>1.2999999999999999E-2</v>
      </c>
      <c r="V660" s="1214">
        <v>3.5000000000000003E-2</v>
      </c>
      <c r="W660" s="1214">
        <v>0.04</v>
      </c>
      <c r="X660" s="1214">
        <v>3.7999999999999999E-2</v>
      </c>
      <c r="Y660" s="1214">
        <v>0.05</v>
      </c>
      <c r="Z660" s="1952">
        <v>4.2000000000000003E-2</v>
      </c>
      <c r="AA660" s="1214">
        <v>3.5000000000000003E-2</v>
      </c>
      <c r="AB660" s="1214">
        <v>3.5999999999999997E-2</v>
      </c>
      <c r="AC660" s="1214">
        <v>1.4999999999999999E-2</v>
      </c>
      <c r="AD660" s="1214">
        <v>2.7E-2</v>
      </c>
      <c r="AE660" s="1952">
        <v>2.9000000000000001E-2</v>
      </c>
      <c r="AF660" s="1214">
        <v>1.9E-2</v>
      </c>
      <c r="AG660" s="1214">
        <v>1.7999999999999999E-2</v>
      </c>
      <c r="AH660" s="1214">
        <v>1E-3</v>
      </c>
      <c r="AI660" s="1214">
        <v>-2.1999999999999999E-2</v>
      </c>
      <c r="AJ660" s="1952">
        <v>2E-3</v>
      </c>
      <c r="AK660" s="1214">
        <v>-1.6E-2</v>
      </c>
      <c r="AL660" s="1214">
        <v>-3.0000000000000001E-3</v>
      </c>
      <c r="AM660" s="1214">
        <v>5.0000000000000001E-3</v>
      </c>
      <c r="AN660" s="1214">
        <v>-8.9999999999999993E-3</v>
      </c>
      <c r="AO660" s="1952">
        <v>-6.0000000000000001E-3</v>
      </c>
      <c r="AP660" s="1214">
        <v>-5.0000000000000001E-3</v>
      </c>
      <c r="AQ660" s="1214">
        <v>-2.5000000000000001E-2</v>
      </c>
      <c r="AR660" s="1214">
        <v>-0.03</v>
      </c>
      <c r="AS660" s="1214">
        <v>-5.7000000000000002E-2</v>
      </c>
      <c r="AT660" s="1952">
        <v>3.2000000000000001E-2</v>
      </c>
      <c r="AU660" s="1214">
        <v>-5.8999999999999997E-2</v>
      </c>
      <c r="AV660" s="1214">
        <v>-7.1999999999999995E-2</v>
      </c>
      <c r="AW660" s="1214">
        <v>-6.4000000000000001E-2</v>
      </c>
      <c r="AX660" s="1214">
        <v>-2.1000000000000001E-2</v>
      </c>
      <c r="AY660" s="1952">
        <v>-5.7000000000000002E-2</v>
      </c>
      <c r="AZ660" s="1214">
        <v>2.5999999999999999E-2</v>
      </c>
      <c r="BA660" s="1214">
        <v>4.2999999999999997E-2</v>
      </c>
      <c r="BB660" s="1214">
        <v>4.4999999999999998E-2</v>
      </c>
      <c r="BC660" s="1214">
        <v>3.5999999999999997E-2</v>
      </c>
      <c r="BD660" s="1952">
        <v>3.6999999999999998E-2</v>
      </c>
      <c r="BE660" s="1214">
        <v>3.9E-2</v>
      </c>
      <c r="BF660" s="1214">
        <v>3.6999999999999998E-2</v>
      </c>
      <c r="BG660" s="1214">
        <v>4.2000000000000003E-2</v>
      </c>
      <c r="BH660" s="1214">
        <v>2.7E-2</v>
      </c>
      <c r="BI660" s="1952">
        <v>3.5999999999999997E-2</v>
      </c>
      <c r="BJ660" s="1214">
        <v>2.7E-2</v>
      </c>
      <c r="BK660" s="1214">
        <v>3.3000000000000002E-2</v>
      </c>
      <c r="BL660" s="1214">
        <v>2.1000000000000001E-2</v>
      </c>
      <c r="BM660" s="1214">
        <v>2.5999999999999999E-2</v>
      </c>
      <c r="BN660" s="1952">
        <v>2.5999999999999999E-2</v>
      </c>
      <c r="BO660" s="1214">
        <v>8.9999999999999993E-3</v>
      </c>
      <c r="BP660" s="1214">
        <v>0.01</v>
      </c>
      <c r="BQ660" s="1214">
        <v>1.7000000000000001E-2</v>
      </c>
      <c r="BR660" s="1214">
        <v>1.6E-2</v>
      </c>
      <c r="BS660" s="1952">
        <v>1.2999999999999999E-2</v>
      </c>
      <c r="BT660" s="1214">
        <v>2.8000000000000001E-2</v>
      </c>
      <c r="BU660" s="1214">
        <v>2.4E-2</v>
      </c>
      <c r="BV660" s="1214">
        <v>2.8000000000000001E-2</v>
      </c>
      <c r="BW660" s="1214">
        <v>2.3E-2</v>
      </c>
      <c r="BX660" s="1952">
        <v>2.5999999999999999E-2</v>
      </c>
      <c r="BY660" s="1214">
        <v>1.4E-2</v>
      </c>
      <c r="BZ660" s="1214">
        <v>-2E-3</v>
      </c>
      <c r="CA660" s="1214">
        <v>0</v>
      </c>
      <c r="CB660" s="1214">
        <v>1E-3</v>
      </c>
      <c r="CC660" s="1952">
        <v>3.0000000000000001E-3</v>
      </c>
      <c r="CD660" s="1214">
        <v>-5.0000000000000001E-3</v>
      </c>
      <c r="CE660" s="1214">
        <v>0.01</v>
      </c>
      <c r="CF660" s="1214">
        <v>-1E-3</v>
      </c>
      <c r="CG660" s="1214"/>
      <c r="CH660" s="1952"/>
      <c r="CI660" s="1193"/>
      <c r="CJ660" s="1193"/>
      <c r="CK660" s="1193"/>
      <c r="CL660" s="1193"/>
      <c r="CM660" s="1946"/>
      <c r="CN660" s="1193"/>
      <c r="CO660" s="1193"/>
      <c r="CP660" s="1193"/>
      <c r="CQ660" s="1193"/>
      <c r="CR660" s="1946"/>
      <c r="CS660" s="1946"/>
      <c r="CT660" s="1946"/>
      <c r="CU660" s="1193"/>
      <c r="CV660" s="1947"/>
      <c r="CW660" s="1947"/>
      <c r="CX660" s="1947"/>
      <c r="DA660" s="212"/>
      <c r="DB660" s="1226"/>
    </row>
    <row r="661" spans="1:106" s="11" customFormat="1" outlineLevel="1" x14ac:dyDescent="0.2">
      <c r="A661" s="1948" t="s">
        <v>744</v>
      </c>
      <c r="B661" s="2003" t="s">
        <v>673</v>
      </c>
      <c r="C661" s="2003" t="s">
        <v>673</v>
      </c>
      <c r="D661" s="2003" t="s">
        <v>673</v>
      </c>
      <c r="E661" s="2003" t="s">
        <v>673</v>
      </c>
      <c r="F661" s="2003" t="s">
        <v>673</v>
      </c>
      <c r="G661" s="2003" t="s">
        <v>673</v>
      </c>
      <c r="H661" s="2003" t="s">
        <v>673</v>
      </c>
      <c r="I661" s="2003" t="s">
        <v>673</v>
      </c>
      <c r="J661" s="2003" t="s">
        <v>673</v>
      </c>
      <c r="K661" s="2004" t="s">
        <v>673</v>
      </c>
      <c r="L661" s="2005" t="s">
        <v>673</v>
      </c>
      <c r="M661" s="2005" t="s">
        <v>673</v>
      </c>
      <c r="N661" s="2005" t="s">
        <v>673</v>
      </c>
      <c r="O661" s="2005" t="s">
        <v>673</v>
      </c>
      <c r="P661" s="2004" t="s">
        <v>673</v>
      </c>
      <c r="Q661" s="1628">
        <v>7.0000000000000001E-3</v>
      </c>
      <c r="R661" s="1628">
        <v>-1.7999999999999999E-2</v>
      </c>
      <c r="S661" s="1628">
        <v>-1E-3</v>
      </c>
      <c r="T661" s="1628">
        <v>3.0000000000000001E-3</v>
      </c>
      <c r="U661" s="1954">
        <v>-1E-3</v>
      </c>
      <c r="V661" s="1628">
        <v>2.3E-2</v>
      </c>
      <c r="W661" s="1628">
        <v>3.9E-2</v>
      </c>
      <c r="X661" s="1628">
        <v>2.5999999999999999E-2</v>
      </c>
      <c r="Y661" s="1628">
        <v>3.2000000000000001E-2</v>
      </c>
      <c r="Z661" s="1954">
        <v>3.1E-2</v>
      </c>
      <c r="AA661" s="1628">
        <v>1.0999999999999999E-2</v>
      </c>
      <c r="AB661" s="1628">
        <v>1.2999999999999999E-2</v>
      </c>
      <c r="AC661" s="1628">
        <v>8.0000000000000002E-3</v>
      </c>
      <c r="AD661" s="1628">
        <v>0.02</v>
      </c>
      <c r="AE661" s="1954">
        <v>1.2999999999999999E-2</v>
      </c>
      <c r="AF661" s="1628">
        <v>1.4999999999999999E-2</v>
      </c>
      <c r="AG661" s="1628">
        <v>1.2E-2</v>
      </c>
      <c r="AH661" s="1628">
        <v>-1E-3</v>
      </c>
      <c r="AI661" s="1628">
        <v>-1.0999999999999999E-2</v>
      </c>
      <c r="AJ661" s="1954">
        <v>3.0000000000000001E-3</v>
      </c>
      <c r="AK661" s="1628">
        <v>-1.4E-2</v>
      </c>
      <c r="AL661" s="1628">
        <v>-1E-3</v>
      </c>
      <c r="AM661" s="1628">
        <v>8.0000000000000002E-3</v>
      </c>
      <c r="AN661" s="1628">
        <v>0</v>
      </c>
      <c r="AO661" s="1954">
        <v>-2E-3</v>
      </c>
      <c r="AP661" s="1628">
        <v>-0.01</v>
      </c>
      <c r="AQ661" s="1628">
        <v>-1.2999999999999999E-2</v>
      </c>
      <c r="AR661" s="1628">
        <v>-1.9E-2</v>
      </c>
      <c r="AS661" s="1628">
        <v>-5.0999999999999997E-2</v>
      </c>
      <c r="AT661" s="1954">
        <v>-2.7E-2</v>
      </c>
      <c r="AU661" s="1628">
        <v>-0.06</v>
      </c>
      <c r="AV661" s="1628">
        <v>-7.2999999999999995E-2</v>
      </c>
      <c r="AW661" s="1628">
        <v>-5.6000000000000001E-2</v>
      </c>
      <c r="AX661" s="1628">
        <v>-1.7000000000000001E-2</v>
      </c>
      <c r="AY661" s="1954">
        <v>-5.3999999999999999E-2</v>
      </c>
      <c r="AZ661" s="1628">
        <v>3.3000000000000002E-2</v>
      </c>
      <c r="BA661" s="1628">
        <v>4.4999999999999998E-2</v>
      </c>
      <c r="BB661" s="1628">
        <v>3.6999999999999998E-2</v>
      </c>
      <c r="BC661" s="1628">
        <v>3.5000000000000003E-2</v>
      </c>
      <c r="BD661" s="1954">
        <v>3.6999999999999998E-2</v>
      </c>
      <c r="BE661" s="1628">
        <v>0.02</v>
      </c>
      <c r="BF661" s="1628">
        <v>2.4E-2</v>
      </c>
      <c r="BG661" s="1628">
        <v>2.5000000000000001E-2</v>
      </c>
      <c r="BH661" s="1628">
        <v>0.02</v>
      </c>
      <c r="BI661" s="1954">
        <v>2.1999999999999999E-2</v>
      </c>
      <c r="BJ661" s="1628">
        <v>0.02</v>
      </c>
      <c r="BK661" s="1628">
        <v>1.6E-2</v>
      </c>
      <c r="BL661" s="1628">
        <v>0.01</v>
      </c>
      <c r="BM661" s="1628">
        <v>1.2E-2</v>
      </c>
      <c r="BN661" s="1954">
        <v>1.4E-2</v>
      </c>
      <c r="BO661" s="1628">
        <v>3.0000000000000001E-3</v>
      </c>
      <c r="BP661" s="1628">
        <v>8.9999999999999993E-3</v>
      </c>
      <c r="BQ661" s="1628">
        <v>8.9999999999999993E-3</v>
      </c>
      <c r="BR661" s="1628">
        <v>8.0000000000000002E-3</v>
      </c>
      <c r="BS661" s="1954">
        <v>8.0000000000000002E-3</v>
      </c>
      <c r="BT661" s="1628">
        <v>0.02</v>
      </c>
      <c r="BU661" s="1628">
        <v>1.7000000000000001E-2</v>
      </c>
      <c r="BV661" s="1628">
        <v>2.7E-2</v>
      </c>
      <c r="BW661" s="1628">
        <v>1.6E-2</v>
      </c>
      <c r="BX661" s="1954">
        <v>0.02</v>
      </c>
      <c r="BY661" s="1628">
        <v>1.2999999999999999E-2</v>
      </c>
      <c r="BZ661" s="1628">
        <v>2E-3</v>
      </c>
      <c r="CA661" s="1628">
        <v>0</v>
      </c>
      <c r="CB661" s="1628">
        <v>4.0000000000000001E-3</v>
      </c>
      <c r="CC661" s="1954">
        <v>5.0000000000000001E-3</v>
      </c>
      <c r="CD661" s="1628">
        <v>-1E-3</v>
      </c>
      <c r="CE661" s="1628">
        <v>8.0000000000000002E-3</v>
      </c>
      <c r="CF661" s="1628">
        <v>0</v>
      </c>
      <c r="CG661" s="1628">
        <v>-1E-3</v>
      </c>
      <c r="CH661" s="1954">
        <v>-2E-3</v>
      </c>
      <c r="CI661" s="1949"/>
      <c r="CJ661" s="1949"/>
      <c r="CK661" s="1949"/>
      <c r="CL661" s="1949"/>
      <c r="CM661" s="1751"/>
      <c r="CN661" s="1949"/>
      <c r="CO661" s="1949"/>
      <c r="CP661" s="1949"/>
      <c r="CQ661" s="1949"/>
      <c r="CR661" s="1751"/>
      <c r="CS661" s="1751"/>
      <c r="CT661" s="1751"/>
      <c r="CU661" s="1193"/>
      <c r="CV661" s="1947"/>
      <c r="CW661" s="1947"/>
      <c r="CX661" s="1947"/>
      <c r="DA661" s="212"/>
      <c r="DB661" s="1226"/>
    </row>
    <row r="662" spans="1:106" x14ac:dyDescent="0.2">
      <c r="A662" s="1435"/>
      <c r="B662" s="257"/>
      <c r="C662" s="257"/>
      <c r="D662" s="257"/>
      <c r="E662" s="257"/>
      <c r="F662" s="257"/>
      <c r="G662" s="1495"/>
      <c r="H662" s="1495"/>
      <c r="I662" s="1495"/>
      <c r="J662" s="1495"/>
      <c r="K662" s="1496"/>
      <c r="L662" s="1215"/>
      <c r="M662" s="1215"/>
      <c r="N662" s="1215"/>
      <c r="O662" s="1215"/>
      <c r="P662" s="232"/>
      <c r="Q662" s="1215"/>
      <c r="R662" s="1215"/>
      <c r="S662" s="1215"/>
      <c r="T662" s="1215"/>
      <c r="U662" s="232"/>
      <c r="V662" s="1215"/>
      <c r="W662" s="1215"/>
      <c r="X662" s="1215"/>
      <c r="Y662" s="1215"/>
      <c r="Z662" s="232"/>
      <c r="AA662" s="1215"/>
      <c r="AB662" s="1215"/>
      <c r="AC662" s="1215"/>
      <c r="AD662" s="1215"/>
      <c r="AE662" s="232"/>
      <c r="AF662" s="1215"/>
      <c r="AG662" s="1215"/>
      <c r="AH662" s="1215"/>
      <c r="AI662" s="1215"/>
      <c r="AJ662" s="232"/>
      <c r="AK662" s="1215"/>
      <c r="AL662" s="1215"/>
      <c r="AM662" s="1215"/>
      <c r="AN662" s="1215"/>
      <c r="AO662" s="232"/>
      <c r="AP662" s="1625"/>
      <c r="AQ662" s="1625"/>
      <c r="AR662" s="1625"/>
      <c r="AS662" s="1215"/>
      <c r="AT662" s="232"/>
      <c r="AU662" s="1625"/>
      <c r="AV662" s="1625"/>
      <c r="AW662" s="1625"/>
      <c r="AX662" s="1625"/>
      <c r="AY662" s="232"/>
      <c r="AZ662" s="1625"/>
      <c r="BA662" s="1625"/>
      <c r="BB662" s="1625"/>
      <c r="BC662" s="1625"/>
      <c r="BD662" s="232"/>
      <c r="BE662" s="1625"/>
      <c r="BF662" s="1625"/>
      <c r="BG662" s="1625"/>
      <c r="BH662" s="1625"/>
      <c r="BI662" s="232"/>
      <c r="BJ662" s="1625"/>
      <c r="BK662" s="1625"/>
      <c r="BL662" s="1625"/>
      <c r="BM662" s="1625"/>
      <c r="BN662" s="232"/>
      <c r="BO662" s="1625"/>
      <c r="BP662" s="2166"/>
      <c r="BQ662" s="217"/>
      <c r="BR662" s="204"/>
      <c r="BS662" s="232"/>
      <c r="BT662" s="1625"/>
      <c r="BU662" s="217"/>
      <c r="BV662" s="217"/>
      <c r="BW662" s="204"/>
      <c r="BX662" s="232"/>
      <c r="BY662" s="217"/>
      <c r="BZ662" s="217"/>
      <c r="CA662" s="217"/>
      <c r="CB662" s="204"/>
      <c r="CC662" s="232"/>
      <c r="CD662" s="217"/>
      <c r="CE662" s="217"/>
      <c r="CF662" s="217"/>
      <c r="CG662" s="204"/>
      <c r="CH662" s="232"/>
      <c r="CI662" s="217"/>
      <c r="CJ662" s="217"/>
      <c r="CK662" s="217"/>
      <c r="CL662" s="217"/>
      <c r="CM662" s="232"/>
      <c r="CN662" s="217"/>
      <c r="CO662" s="217"/>
      <c r="CP662" s="217"/>
      <c r="CQ662" s="217"/>
      <c r="CR662" s="232"/>
      <c r="CS662" s="232"/>
      <c r="CT662" s="232"/>
      <c r="CU662" s="212"/>
      <c r="DA662" s="212"/>
      <c r="DB662" s="1226"/>
    </row>
    <row r="663" spans="1:106" x14ac:dyDescent="0.2">
      <c r="A663" s="1631" t="s">
        <v>2202</v>
      </c>
      <c r="B663" s="212"/>
      <c r="C663" s="212"/>
      <c r="D663" s="212"/>
      <c r="E663" s="212"/>
      <c r="F663" s="212"/>
      <c r="G663" s="212"/>
      <c r="H663" s="212"/>
      <c r="I663" s="212"/>
      <c r="J663" s="212"/>
      <c r="K663" s="194"/>
      <c r="L663" s="212"/>
      <c r="M663" s="212"/>
      <c r="N663" s="212"/>
      <c r="O663" s="212"/>
      <c r="P663" s="194"/>
      <c r="Q663" s="212"/>
      <c r="R663" s="212"/>
      <c r="S663" s="212"/>
      <c r="T663" s="212"/>
      <c r="U663" s="194"/>
      <c r="V663" s="212"/>
      <c r="W663" s="212"/>
      <c r="X663" s="212"/>
      <c r="Y663" s="212"/>
      <c r="Z663" s="194"/>
      <c r="AA663" s="212"/>
      <c r="AB663" s="212"/>
      <c r="AC663" s="212"/>
      <c r="AD663" s="212"/>
      <c r="AE663" s="194"/>
      <c r="AF663" s="212"/>
      <c r="AG663" s="212"/>
      <c r="AH663" s="212"/>
      <c r="AI663" s="212"/>
      <c r="AJ663" s="194"/>
      <c r="AK663" s="212"/>
      <c r="AL663" s="212"/>
      <c r="AM663" s="212"/>
      <c r="AN663" s="212"/>
      <c r="AO663" s="194"/>
      <c r="AP663" s="212"/>
      <c r="AQ663" s="212"/>
      <c r="AR663" s="212"/>
      <c r="AS663" s="212"/>
      <c r="AT663" s="194"/>
      <c r="AU663" s="212"/>
      <c r="AV663" s="212"/>
      <c r="AW663" s="212"/>
      <c r="AX663" s="212"/>
      <c r="AY663" s="194"/>
      <c r="AZ663" s="212"/>
      <c r="BA663" s="212"/>
      <c r="BB663" s="212"/>
      <c r="BC663" s="212"/>
      <c r="BD663" s="194"/>
      <c r="BE663" s="212"/>
      <c r="BF663" s="212"/>
      <c r="BG663" s="234"/>
      <c r="BH663" s="212"/>
      <c r="BI663" s="194"/>
      <c r="BJ663" s="212"/>
      <c r="BK663" s="212"/>
      <c r="BL663" s="212"/>
      <c r="BM663" s="212"/>
      <c r="BN663" s="194"/>
      <c r="BO663" s="212"/>
      <c r="BR663" s="192"/>
      <c r="BS663" s="194"/>
      <c r="BT663" s="212"/>
      <c r="BU663" s="212"/>
      <c r="BV663" s="212"/>
      <c r="BW663" s="192"/>
      <c r="BX663" s="194"/>
      <c r="BY663" s="212"/>
      <c r="BZ663" s="212"/>
      <c r="CA663" s="212"/>
      <c r="CB663" s="192"/>
      <c r="CC663" s="194"/>
      <c r="CD663" s="212"/>
      <c r="CE663" s="212"/>
      <c r="CF663" s="212"/>
      <c r="CG663" s="192"/>
      <c r="CH663" s="194"/>
      <c r="CI663" s="212"/>
      <c r="CJ663" s="212"/>
      <c r="CK663" s="212"/>
      <c r="CL663" s="212"/>
      <c r="CM663" s="194"/>
      <c r="CN663" s="212"/>
      <c r="CO663" s="212"/>
      <c r="CP663" s="212"/>
      <c r="CQ663" s="212"/>
      <c r="CR663" s="194"/>
      <c r="CS663" s="194"/>
      <c r="CT663" s="194"/>
      <c r="CU663" s="212"/>
      <c r="DA663" s="212"/>
      <c r="DB663" s="1226"/>
    </row>
    <row r="664" spans="1:106" s="212" customFormat="1" x14ac:dyDescent="0.2">
      <c r="A664" s="1436" t="s">
        <v>2198</v>
      </c>
      <c r="B664" s="1920" t="s">
        <v>673</v>
      </c>
      <c r="C664" s="1920" t="s">
        <v>673</v>
      </c>
      <c r="D664" s="1920" t="s">
        <v>673</v>
      </c>
      <c r="E664" s="1920" t="s">
        <v>673</v>
      </c>
      <c r="F664" s="1921" t="s">
        <v>673</v>
      </c>
      <c r="G664" s="1920" t="s">
        <v>673</v>
      </c>
      <c r="H664" s="1920" t="s">
        <v>673</v>
      </c>
      <c r="I664" s="1920" t="s">
        <v>673</v>
      </c>
      <c r="J664" s="1920" t="s">
        <v>673</v>
      </c>
      <c r="K664" s="1921" t="s">
        <v>673</v>
      </c>
      <c r="L664" s="1920" t="s">
        <v>673</v>
      </c>
      <c r="M664" s="1920" t="s">
        <v>673</v>
      </c>
      <c r="N664" s="1920" t="s">
        <v>673</v>
      </c>
      <c r="O664" s="1920" t="s">
        <v>673</v>
      </c>
      <c r="P664" s="1921" t="s">
        <v>673</v>
      </c>
      <c r="Q664" s="1920" t="s">
        <v>673</v>
      </c>
      <c r="R664" s="1920" t="s">
        <v>673</v>
      </c>
      <c r="S664" s="1920" t="s">
        <v>673</v>
      </c>
      <c r="T664" s="1920" t="s">
        <v>673</v>
      </c>
      <c r="U664" s="1921" t="s">
        <v>673</v>
      </c>
      <c r="V664" s="1537">
        <v>40</v>
      </c>
      <c r="W664" s="1537">
        <v>200</v>
      </c>
      <c r="X664" s="1920" t="s">
        <v>673</v>
      </c>
      <c r="Y664" s="1537">
        <v>130</v>
      </c>
      <c r="Z664" s="1922">
        <v>130</v>
      </c>
      <c r="AA664" s="1492">
        <v>130</v>
      </c>
      <c r="AB664" s="1492">
        <v>170</v>
      </c>
      <c r="AC664" s="1492">
        <v>190</v>
      </c>
      <c r="AD664" s="1492">
        <v>210</v>
      </c>
      <c r="AE664" s="1922">
        <v>180</v>
      </c>
      <c r="AF664" s="1492">
        <v>200</v>
      </c>
      <c r="AG664" s="1492">
        <v>280</v>
      </c>
      <c r="AH664" s="1492">
        <v>210</v>
      </c>
      <c r="AI664" s="1492">
        <v>230</v>
      </c>
      <c r="AJ664" s="1922">
        <v>230</v>
      </c>
      <c r="AK664" s="1492">
        <v>160</v>
      </c>
      <c r="AL664" s="1492">
        <v>160</v>
      </c>
      <c r="AM664" s="1492">
        <v>180</v>
      </c>
      <c r="AN664" s="1492">
        <v>130</v>
      </c>
      <c r="AO664" s="1922">
        <v>150</v>
      </c>
      <c r="AP664" s="1492">
        <v>40</v>
      </c>
      <c r="AQ664" s="1492">
        <v>0</v>
      </c>
      <c r="AR664" s="1492">
        <v>-50</v>
      </c>
      <c r="AS664" s="1492">
        <v>-210</v>
      </c>
      <c r="AT664" s="1922">
        <v>-70</v>
      </c>
      <c r="AU664" s="1492">
        <v>-340</v>
      </c>
      <c r="AV664" s="1492">
        <v>-450</v>
      </c>
      <c r="AW664" s="1492">
        <v>-490</v>
      </c>
      <c r="AX664" s="1492">
        <v>-260</v>
      </c>
      <c r="AY664" s="1922">
        <v>-380</v>
      </c>
      <c r="AZ664" s="1492">
        <v>-110</v>
      </c>
      <c r="BA664" s="1492">
        <v>90</v>
      </c>
      <c r="BB664" s="1492">
        <v>90</v>
      </c>
      <c r="BC664" s="1537">
        <v>100</v>
      </c>
      <c r="BD664" s="1922">
        <v>50</v>
      </c>
      <c r="BE664" s="1537">
        <v>30</v>
      </c>
      <c r="BF664" s="1537">
        <v>70</v>
      </c>
      <c r="BG664" s="1537">
        <v>90</v>
      </c>
      <c r="BH664" s="1537">
        <v>60</v>
      </c>
      <c r="BI664" s="1922">
        <v>60</v>
      </c>
      <c r="BJ664" s="1920">
        <v>120</v>
      </c>
      <c r="BK664" s="1920">
        <v>110</v>
      </c>
      <c r="BL664" s="1920">
        <v>180</v>
      </c>
      <c r="BM664" s="1883">
        <v>90</v>
      </c>
      <c r="BN664" s="1962">
        <v>120</v>
      </c>
      <c r="BO664" s="1920"/>
      <c r="BQ664" s="1626">
        <v>110</v>
      </c>
      <c r="BR664" s="192"/>
      <c r="BS664" s="1962">
        <v>100</v>
      </c>
      <c r="BT664" s="1920"/>
      <c r="BW664" s="192"/>
      <c r="BX664" s="1962"/>
      <c r="CB664" s="192"/>
      <c r="CC664" s="194"/>
      <c r="CG664" s="192"/>
      <c r="CH664" s="194"/>
      <c r="CM664" s="194"/>
      <c r="CR664" s="194"/>
      <c r="CS664" s="194"/>
      <c r="CT664" s="194"/>
      <c r="DB664" s="1226"/>
    </row>
    <row r="665" spans="1:106" s="212" customFormat="1" x14ac:dyDescent="0.2">
      <c r="A665" s="1436" t="s">
        <v>2199</v>
      </c>
      <c r="B665" s="1920" t="s">
        <v>673</v>
      </c>
      <c r="C665" s="1920" t="s">
        <v>673</v>
      </c>
      <c r="D665" s="1920" t="s">
        <v>673</v>
      </c>
      <c r="E665" s="1920" t="s">
        <v>673</v>
      </c>
      <c r="F665" s="1921" t="s">
        <v>673</v>
      </c>
      <c r="G665" s="1920" t="s">
        <v>673</v>
      </c>
      <c r="H665" s="1920" t="s">
        <v>673</v>
      </c>
      <c r="I665" s="1920" t="s">
        <v>673</v>
      </c>
      <c r="J665" s="1920" t="s">
        <v>673</v>
      </c>
      <c r="K665" s="1921" t="s">
        <v>673</v>
      </c>
      <c r="L665" s="1920" t="s">
        <v>673</v>
      </c>
      <c r="M665" s="1920" t="s">
        <v>673</v>
      </c>
      <c r="N665" s="1920" t="s">
        <v>673</v>
      </c>
      <c r="O665" s="1920" t="s">
        <v>673</v>
      </c>
      <c r="P665" s="1921" t="s">
        <v>673</v>
      </c>
      <c r="Q665" s="1920" t="s">
        <v>673</v>
      </c>
      <c r="R665" s="1920" t="s">
        <v>673</v>
      </c>
      <c r="S665" s="1920" t="s">
        <v>673</v>
      </c>
      <c r="T665" s="1920" t="s">
        <v>673</v>
      </c>
      <c r="U665" s="1921" t="s">
        <v>673</v>
      </c>
      <c r="V665" s="1537"/>
      <c r="W665" s="1537">
        <v>50</v>
      </c>
      <c r="X665" s="1537">
        <v>70</v>
      </c>
      <c r="Y665" s="1537">
        <v>180</v>
      </c>
      <c r="Z665" s="1921">
        <v>80</v>
      </c>
      <c r="AA665" s="1492">
        <v>100</v>
      </c>
      <c r="AB665" s="1492">
        <v>120</v>
      </c>
      <c r="AC665" s="1492">
        <v>180</v>
      </c>
      <c r="AD665" s="1492">
        <v>250</v>
      </c>
      <c r="AE665" s="1921" t="s">
        <v>673</v>
      </c>
      <c r="AF665" s="1492">
        <v>210</v>
      </c>
      <c r="AG665" s="1492">
        <v>300</v>
      </c>
      <c r="AH665" s="1492">
        <v>210</v>
      </c>
      <c r="AI665" s="1492">
        <v>210</v>
      </c>
      <c r="AJ665" s="1922">
        <v>240</v>
      </c>
      <c r="AK665" s="1492">
        <v>170</v>
      </c>
      <c r="AL665" s="1492">
        <v>130</v>
      </c>
      <c r="AM665" s="1492">
        <v>190</v>
      </c>
      <c r="AN665" s="1492">
        <v>140</v>
      </c>
      <c r="AO665" s="1922">
        <v>160</v>
      </c>
      <c r="AP665" s="1492">
        <v>-70</v>
      </c>
      <c r="AQ665" s="1492">
        <v>-70</v>
      </c>
      <c r="AR665" s="1492">
        <v>-130</v>
      </c>
      <c r="AS665" s="1492">
        <v>-260</v>
      </c>
      <c r="AT665" s="1922">
        <v>-140</v>
      </c>
      <c r="AU665" s="1492">
        <v>-360</v>
      </c>
      <c r="AV665" s="1492">
        <v>-530</v>
      </c>
      <c r="AW665" s="1492">
        <v>-520</v>
      </c>
      <c r="AX665" s="1492">
        <v>-360</v>
      </c>
      <c r="AY665" s="1922">
        <v>-440</v>
      </c>
      <c r="AZ665" s="1492">
        <v>-180</v>
      </c>
      <c r="BA665" s="1492">
        <v>90</v>
      </c>
      <c r="BB665" s="1492">
        <v>30</v>
      </c>
      <c r="BC665" s="1537">
        <v>70</v>
      </c>
      <c r="BD665" s="1922">
        <v>0</v>
      </c>
      <c r="BE665" s="1537">
        <v>-30</v>
      </c>
      <c r="BF665" s="1537">
        <v>100</v>
      </c>
      <c r="BG665" s="1537">
        <v>130</v>
      </c>
      <c r="BH665" s="1537">
        <v>100</v>
      </c>
      <c r="BI665" s="1922">
        <v>70</v>
      </c>
      <c r="BJ665" s="1920">
        <v>130</v>
      </c>
      <c r="BK665" s="1920">
        <v>110</v>
      </c>
      <c r="BL665" s="1920">
        <v>200</v>
      </c>
      <c r="BM665" s="1883">
        <v>120</v>
      </c>
      <c r="BN665" s="1962">
        <v>140</v>
      </c>
      <c r="BO665" s="1920"/>
      <c r="BR665" s="192"/>
      <c r="BS665" s="194"/>
      <c r="BT665" s="1920"/>
      <c r="BW665" s="192"/>
      <c r="BX665" s="194"/>
      <c r="CB665" s="192"/>
      <c r="CC665" s="194"/>
      <c r="CG665" s="192"/>
      <c r="CH665" s="194"/>
      <c r="CM665" s="194"/>
      <c r="CR665" s="194"/>
      <c r="CS665" s="194"/>
      <c r="CT665" s="194"/>
      <c r="DB665" s="1226"/>
    </row>
    <row r="666" spans="1:106" s="1536" customFormat="1" x14ac:dyDescent="0.2">
      <c r="A666" s="1436" t="s">
        <v>2200</v>
      </c>
      <c r="B666" s="1920" t="s">
        <v>673</v>
      </c>
      <c r="C666" s="1920" t="s">
        <v>673</v>
      </c>
      <c r="D666" s="1920" t="s">
        <v>673</v>
      </c>
      <c r="E666" s="1920" t="s">
        <v>673</v>
      </c>
      <c r="F666" s="1921" t="s">
        <v>673</v>
      </c>
      <c r="G666" s="1920" t="s">
        <v>673</v>
      </c>
      <c r="H666" s="1920" t="s">
        <v>673</v>
      </c>
      <c r="I666" s="1920" t="s">
        <v>673</v>
      </c>
      <c r="J666" s="1920" t="s">
        <v>673</v>
      </c>
      <c r="K666" s="1921" t="s">
        <v>673</v>
      </c>
      <c r="L666" s="1920" t="s">
        <v>673</v>
      </c>
      <c r="M666" s="1920" t="s">
        <v>673</v>
      </c>
      <c r="N666" s="1920" t="s">
        <v>673</v>
      </c>
      <c r="O666" s="1920" t="s">
        <v>673</v>
      </c>
      <c r="P666" s="1921" t="s">
        <v>673</v>
      </c>
      <c r="Q666" s="1920" t="s">
        <v>673</v>
      </c>
      <c r="R666" s="1920" t="s">
        <v>673</v>
      </c>
      <c r="S666" s="1920" t="s">
        <v>673</v>
      </c>
      <c r="T666" s="1920" t="s">
        <v>673</v>
      </c>
      <c r="U666" s="1921" t="s">
        <v>673</v>
      </c>
      <c r="V666" s="1920">
        <v>250</v>
      </c>
      <c r="W666" s="1920">
        <v>600</v>
      </c>
      <c r="X666" s="1920">
        <v>150</v>
      </c>
      <c r="Y666" s="1920">
        <v>120</v>
      </c>
      <c r="Z666" s="1921" t="s">
        <v>673</v>
      </c>
      <c r="AA666" s="1303">
        <v>230</v>
      </c>
      <c r="AB666" s="1303" t="s">
        <v>673</v>
      </c>
      <c r="AC666" s="1303" t="s">
        <v>673</v>
      </c>
      <c r="AD666" s="1303" t="s">
        <v>673</v>
      </c>
      <c r="AE666" s="1921" t="s">
        <v>673</v>
      </c>
      <c r="AF666" s="1303" t="s">
        <v>673</v>
      </c>
      <c r="AG666" s="1303" t="s">
        <v>673</v>
      </c>
      <c r="AH666" s="1303" t="s">
        <v>673</v>
      </c>
      <c r="AI666" s="1303" t="s">
        <v>673</v>
      </c>
      <c r="AJ666" s="1921" t="s">
        <v>673</v>
      </c>
      <c r="AK666" s="1303" t="s">
        <v>673</v>
      </c>
      <c r="AL666" s="1303" t="s">
        <v>673</v>
      </c>
      <c r="AM666" s="1303" t="s">
        <v>673</v>
      </c>
      <c r="AN666" s="1303" t="s">
        <v>673</v>
      </c>
      <c r="AO666" s="1921" t="s">
        <v>673</v>
      </c>
      <c r="AP666" s="1303">
        <v>350</v>
      </c>
      <c r="AQ666" s="1303">
        <v>120</v>
      </c>
      <c r="AR666" s="1303">
        <v>80</v>
      </c>
      <c r="AS666" s="1303">
        <v>-120</v>
      </c>
      <c r="AT666" s="1921" t="s">
        <v>673</v>
      </c>
      <c r="AU666" s="1303">
        <v>-310</v>
      </c>
      <c r="AV666" s="1303">
        <v>-310</v>
      </c>
      <c r="AW666" s="1303">
        <v>-430</v>
      </c>
      <c r="AX666" s="1303">
        <v>-100</v>
      </c>
      <c r="AY666" s="1921">
        <v>-270</v>
      </c>
      <c r="AZ666" s="1303">
        <v>40</v>
      </c>
      <c r="BA666" s="1303">
        <v>90</v>
      </c>
      <c r="BB666" s="1303">
        <v>170</v>
      </c>
      <c r="BC666" s="1920">
        <v>130</v>
      </c>
      <c r="BD666" s="1921">
        <v>120</v>
      </c>
      <c r="BE666" s="1920">
        <v>180</v>
      </c>
      <c r="BF666" s="1920">
        <v>10</v>
      </c>
      <c r="BG666" s="1920">
        <v>40</v>
      </c>
      <c r="BH666" s="1920">
        <v>20</v>
      </c>
      <c r="BI666" s="1921">
        <v>40</v>
      </c>
      <c r="BJ666" s="1920">
        <v>70</v>
      </c>
      <c r="BK666" s="1920">
        <v>110</v>
      </c>
      <c r="BL666" s="1920">
        <v>160</v>
      </c>
      <c r="BM666" s="1883">
        <v>30</v>
      </c>
      <c r="BN666" s="1973">
        <v>90</v>
      </c>
      <c r="BO666" s="1920"/>
      <c r="BR666" s="1887"/>
      <c r="BS666" s="1886"/>
      <c r="BT666" s="1920"/>
      <c r="BW666" s="1887"/>
      <c r="BX666" s="1886"/>
      <c r="CB666" s="1887"/>
      <c r="CC666" s="1886"/>
      <c r="CG666" s="1887"/>
      <c r="CH666" s="1886"/>
      <c r="CM666" s="1886"/>
      <c r="CR666" s="1886"/>
      <c r="CS666" s="1886"/>
      <c r="CT666" s="1886"/>
      <c r="DA666" s="212"/>
      <c r="DB666" s="1226"/>
    </row>
    <row r="667" spans="1:106" s="212" customFormat="1" x14ac:dyDescent="0.2">
      <c r="A667" s="504"/>
      <c r="K667" s="194"/>
      <c r="P667" s="194"/>
      <c r="U667" s="194"/>
      <c r="Z667" s="194"/>
      <c r="AA667" s="1535"/>
      <c r="AB667" s="1535"/>
      <c r="AE667" s="194"/>
      <c r="AF667" s="1535"/>
      <c r="AJ667" s="194"/>
      <c r="AO667" s="194"/>
      <c r="AR667" s="1535"/>
      <c r="AS667" s="1535"/>
      <c r="AT667" s="194"/>
      <c r="AY667" s="194"/>
      <c r="AZ667" s="1535"/>
      <c r="BA667" s="1535"/>
      <c r="BB667" s="1535"/>
      <c r="BC667" s="1492"/>
      <c r="BD667" s="194"/>
      <c r="BE667" s="1537"/>
      <c r="BF667" s="1537"/>
      <c r="BG667" s="234"/>
      <c r="BH667" s="234"/>
      <c r="BI667" s="194"/>
      <c r="BN667" s="194"/>
      <c r="BR667" s="192"/>
      <c r="BS667" s="194"/>
      <c r="BW667" s="192"/>
      <c r="BX667" s="194"/>
      <c r="CB667" s="192"/>
      <c r="CC667" s="194"/>
      <c r="CG667" s="192"/>
      <c r="CH667" s="194"/>
      <c r="CM667" s="194"/>
      <c r="CR667" s="194"/>
      <c r="CS667" s="194"/>
      <c r="CT667" s="194"/>
      <c r="DB667" s="1226"/>
    </row>
    <row r="668" spans="1:106" s="212" customFormat="1" x14ac:dyDescent="0.2">
      <c r="A668" s="1631" t="s">
        <v>2201</v>
      </c>
      <c r="K668" s="194"/>
      <c r="P668" s="194"/>
      <c r="U668" s="194"/>
      <c r="Z668" s="194"/>
      <c r="AE668" s="194"/>
      <c r="AJ668" s="194"/>
      <c r="AO668" s="194"/>
      <c r="AT668" s="194"/>
      <c r="AY668" s="194"/>
      <c r="BC668" s="234"/>
      <c r="BD668" s="194">
        <v>744</v>
      </c>
      <c r="BE668" s="234"/>
      <c r="BF668" s="234"/>
      <c r="BG668" s="234"/>
      <c r="BH668" s="234"/>
      <c r="BI668" s="194">
        <v>814.73140035097265</v>
      </c>
      <c r="BN668" s="194">
        <v>853.61082060474291</v>
      </c>
      <c r="BO668" s="193"/>
      <c r="BR668" s="192"/>
      <c r="BS668" s="194"/>
      <c r="BT668" s="193"/>
      <c r="BW668" s="192"/>
      <c r="BX668" s="194"/>
      <c r="CB668" s="192"/>
      <c r="CC668" s="194"/>
      <c r="CG668" s="192"/>
      <c r="CH668" s="194"/>
      <c r="CM668" s="194"/>
      <c r="CR668" s="194"/>
      <c r="CS668" s="194"/>
      <c r="CT668" s="194"/>
      <c r="DB668" s="1226"/>
    </row>
    <row r="669" spans="1:106" s="212" customFormat="1" x14ac:dyDescent="0.2">
      <c r="A669" s="504" t="s">
        <v>2203</v>
      </c>
      <c r="K669" s="194"/>
      <c r="P669" s="194"/>
      <c r="U669" s="194"/>
      <c r="V669" s="1538">
        <v>0.2</v>
      </c>
      <c r="W669" s="1538">
        <v>0.28000000000000003</v>
      </c>
      <c r="X669" s="1538">
        <v>0.27</v>
      </c>
      <c r="Y669" s="1538">
        <v>0.31</v>
      </c>
      <c r="Z669" s="918">
        <v>0.32</v>
      </c>
      <c r="AA669" s="1538">
        <v>0.28000000000000003</v>
      </c>
      <c r="AB669" s="1538">
        <v>0.42</v>
      </c>
      <c r="AC669" s="1538">
        <v>0.44</v>
      </c>
      <c r="AD669" s="1538">
        <v>0.35</v>
      </c>
      <c r="AE669" s="918">
        <v>0.5</v>
      </c>
      <c r="AF669" s="1538">
        <v>0.49</v>
      </c>
      <c r="AG669" s="1538">
        <v>0.56000000000000005</v>
      </c>
      <c r="AH669" s="1538">
        <v>0.5</v>
      </c>
      <c r="AI669" s="1538">
        <v>0.6</v>
      </c>
      <c r="AJ669" s="918">
        <v>0.62</v>
      </c>
      <c r="AK669" s="1538">
        <v>0.55000000000000004</v>
      </c>
      <c r="AL669" s="1538">
        <v>0.63</v>
      </c>
      <c r="AM669" s="1538">
        <v>0.59</v>
      </c>
      <c r="AN669" s="1538">
        <v>0.62370000000000003</v>
      </c>
      <c r="AO669" s="918">
        <v>0.67</v>
      </c>
      <c r="AP669" s="1538">
        <v>0.52</v>
      </c>
      <c r="AQ669" s="1538">
        <v>0.57999999999999996</v>
      </c>
      <c r="AR669" s="1538">
        <v>0.55000000000000004</v>
      </c>
      <c r="AS669" s="1538">
        <v>0.39</v>
      </c>
      <c r="AT669" s="194"/>
      <c r="AU669" s="1538">
        <v>0.25</v>
      </c>
      <c r="AV669" s="1538">
        <v>0.23</v>
      </c>
      <c r="AW669" s="1538">
        <v>0.2</v>
      </c>
      <c r="AX669" s="1538">
        <v>0.22</v>
      </c>
      <c r="AY669" s="194"/>
      <c r="AZ669" s="1538">
        <v>0.23</v>
      </c>
      <c r="BA669" s="1538">
        <v>0.25</v>
      </c>
      <c r="BB669" s="1538">
        <v>0.23</v>
      </c>
      <c r="BC669" s="234"/>
      <c r="BD669" s="194"/>
      <c r="BE669" s="1539">
        <v>0.25</v>
      </c>
      <c r="BF669" s="1539">
        <v>0.25</v>
      </c>
      <c r="BG669" s="234"/>
      <c r="BH669" s="234"/>
      <c r="BI669" s="918">
        <v>9.506908649324286E-2</v>
      </c>
      <c r="BN669" s="918">
        <v>4.7720537390631534E-2</v>
      </c>
      <c r="BO669" s="1839"/>
      <c r="BP669" s="1627"/>
      <c r="BQ669" s="1627"/>
      <c r="BR669" s="1843"/>
      <c r="BS669" s="918"/>
      <c r="BT669" s="1839"/>
      <c r="BU669" s="1627"/>
      <c r="BV669" s="1627"/>
      <c r="BW669" s="1843"/>
      <c r="BX669" s="918"/>
      <c r="BY669" s="1627"/>
      <c r="BZ669" s="1627"/>
      <c r="CA669" s="1627"/>
      <c r="CB669" s="1843"/>
      <c r="CC669" s="918"/>
      <c r="CD669" s="1627"/>
      <c r="CE669" s="1627"/>
      <c r="CF669" s="1627"/>
      <c r="CG669" s="1843"/>
      <c r="CH669" s="918"/>
      <c r="CI669" s="1627"/>
      <c r="CJ669" s="1627"/>
      <c r="CK669" s="1627"/>
      <c r="CL669" s="1627"/>
      <c r="CM669" s="194"/>
      <c r="CN669" s="1627"/>
      <c r="CO669" s="1627"/>
      <c r="CP669" s="1627"/>
      <c r="CQ669" s="1627"/>
      <c r="CR669" s="194"/>
      <c r="CS669" s="194"/>
      <c r="CT669" s="194"/>
      <c r="DB669" s="1226"/>
    </row>
    <row r="670" spans="1:106" s="212" customFormat="1" x14ac:dyDescent="0.2">
      <c r="A670" s="504" t="s">
        <v>2204</v>
      </c>
      <c r="K670" s="194"/>
      <c r="P670" s="194"/>
      <c r="U670" s="194"/>
      <c r="Z670" s="194"/>
      <c r="AE670" s="194"/>
      <c r="AJ670" s="918"/>
      <c r="AM670" s="1538">
        <v>0.45</v>
      </c>
      <c r="AN670" s="1538">
        <v>0.4</v>
      </c>
      <c r="AO670" s="918">
        <v>0.36</v>
      </c>
      <c r="AP670" s="1538">
        <v>0.43</v>
      </c>
      <c r="AQ670" s="1320" t="s">
        <v>1206</v>
      </c>
      <c r="AR670" s="1538">
        <v>0.7</v>
      </c>
      <c r="AS670" s="1538">
        <v>0.55000000000000004</v>
      </c>
      <c r="AT670" s="194"/>
      <c r="AU670" s="1538">
        <v>0.55000000000000004</v>
      </c>
      <c r="AV670" s="1538">
        <v>0.61</v>
      </c>
      <c r="AW670" s="1320" t="s">
        <v>1207</v>
      </c>
      <c r="AX670" s="1320">
        <v>0.7</v>
      </c>
      <c r="AY670" s="194"/>
      <c r="AZ670" s="1538">
        <v>0.6</v>
      </c>
      <c r="BA670" s="1538">
        <v>0.62</v>
      </c>
      <c r="BB670" s="1320" t="s">
        <v>1207</v>
      </c>
      <c r="BC670" s="234"/>
      <c r="BD670" s="194"/>
      <c r="BE670" s="234"/>
      <c r="BF670" s="234"/>
      <c r="BG670" s="257"/>
      <c r="BH670" s="234"/>
      <c r="BI670" s="918"/>
      <c r="BN670" s="194"/>
      <c r="BO670" s="193"/>
      <c r="BR670" s="192"/>
      <c r="BS670" s="194"/>
      <c r="BT670" s="193"/>
      <c r="BW670" s="192"/>
      <c r="BX670" s="194"/>
      <c r="CB670" s="192"/>
      <c r="CC670" s="194"/>
      <c r="CG670" s="192"/>
      <c r="CH670" s="194"/>
      <c r="CM670" s="194"/>
      <c r="CR670" s="194"/>
      <c r="CS670" s="194"/>
      <c r="CT670" s="194"/>
      <c r="DB670" s="1226"/>
    </row>
    <row r="671" spans="1:106" x14ac:dyDescent="0.2">
      <c r="A671" s="1142"/>
      <c r="B671" s="212"/>
      <c r="C671" s="212"/>
      <c r="D671" s="212"/>
      <c r="E671" s="212"/>
      <c r="F671" s="212"/>
      <c r="G671" s="212"/>
      <c r="H671" s="212"/>
      <c r="I671" s="212"/>
      <c r="J671" s="212"/>
      <c r="K671" s="194"/>
      <c r="L671" s="212"/>
      <c r="M671" s="212"/>
      <c r="N671" s="212"/>
      <c r="O671" s="212"/>
      <c r="P671" s="194"/>
      <c r="Q671" s="212"/>
      <c r="R671" s="212"/>
      <c r="S671" s="212"/>
      <c r="T671" s="212"/>
      <c r="U671" s="194"/>
      <c r="V671" s="212"/>
      <c r="W671" s="212"/>
      <c r="X671" s="212"/>
      <c r="Y671" s="212"/>
      <c r="Z671" s="194"/>
      <c r="AA671" s="212"/>
      <c r="AB671" s="212"/>
      <c r="AC671" s="212"/>
      <c r="AD671" s="212"/>
      <c r="AE671" s="194"/>
      <c r="AF671" s="212"/>
      <c r="AG671" s="212"/>
      <c r="AH671" s="212"/>
      <c r="AI671" s="212"/>
      <c r="AJ671" s="918"/>
      <c r="AK671" s="212"/>
      <c r="AL671" s="212"/>
      <c r="AM671" s="212"/>
      <c r="AN671" s="212"/>
      <c r="AO671" s="918"/>
      <c r="AP671" s="212"/>
      <c r="AQ671" s="212"/>
      <c r="AR671" s="212"/>
      <c r="AS671" s="212"/>
      <c r="AT671" s="194"/>
      <c r="AU671" s="212"/>
      <c r="AV671" s="212"/>
      <c r="AW671" s="212"/>
      <c r="AX671" s="212"/>
      <c r="AY671" s="194"/>
      <c r="AZ671" s="212"/>
      <c r="BA671" s="212"/>
      <c r="BB671" s="212"/>
      <c r="BC671" s="212"/>
      <c r="BD671" s="194"/>
      <c r="BE671" s="212"/>
      <c r="BF671" s="212"/>
      <c r="BG671" s="212"/>
      <c r="BH671" s="212"/>
      <c r="BI671" s="918"/>
      <c r="BJ671" s="212"/>
      <c r="BK671" s="212"/>
      <c r="BL671" s="212"/>
      <c r="BM671" s="212"/>
      <c r="BN671" s="194"/>
      <c r="BO671" s="193"/>
      <c r="BR671" s="192"/>
      <c r="BS671" s="194"/>
      <c r="BT671" s="193"/>
      <c r="BU671" s="212"/>
      <c r="BV671" s="212"/>
      <c r="BW671" s="192"/>
      <c r="BX671" s="194"/>
      <c r="BY671" s="212"/>
      <c r="BZ671" s="212"/>
      <c r="CA671" s="212"/>
      <c r="CB671" s="192"/>
      <c r="CC671" s="194"/>
      <c r="CD671" s="212"/>
      <c r="CE671" s="212"/>
      <c r="CF671" s="212"/>
      <c r="CG671" s="192"/>
      <c r="CH671" s="194"/>
      <c r="CI671" s="212"/>
      <c r="CJ671" s="212"/>
      <c r="CK671" s="212"/>
      <c r="CL671" s="212"/>
      <c r="CM671" s="194"/>
      <c r="CN671" s="212"/>
      <c r="CO671" s="212"/>
      <c r="CP671" s="212"/>
      <c r="CQ671" s="212"/>
      <c r="CR671" s="194"/>
      <c r="CS671" s="194"/>
      <c r="CT671" s="194"/>
      <c r="CU671" s="212"/>
      <c r="DA671" s="212"/>
      <c r="DB671" s="1226"/>
    </row>
    <row r="672" spans="1:106" x14ac:dyDescent="0.2">
      <c r="A672" s="1631" t="s">
        <v>2205</v>
      </c>
      <c r="B672" s="212"/>
      <c r="C672" s="212"/>
      <c r="D672" s="212"/>
      <c r="E672" s="212"/>
      <c r="F672" s="212"/>
      <c r="G672" s="212"/>
      <c r="H672" s="212"/>
      <c r="I672" s="212"/>
      <c r="J672" s="212"/>
      <c r="K672" s="194"/>
      <c r="L672" s="212"/>
      <c r="M672" s="212"/>
      <c r="N672" s="212"/>
      <c r="O672" s="212"/>
      <c r="P672" s="194"/>
      <c r="Q672" s="212"/>
      <c r="R672" s="212"/>
      <c r="S672" s="212"/>
      <c r="T672" s="212"/>
      <c r="U672" s="194"/>
      <c r="V672" s="212"/>
      <c r="W672" s="212"/>
      <c r="X672" s="212"/>
      <c r="Y672" s="212"/>
      <c r="Z672" s="194"/>
      <c r="AA672" s="212"/>
      <c r="AB672" s="212"/>
      <c r="AC672" s="212"/>
      <c r="AD672" s="212"/>
      <c r="AE672" s="194"/>
      <c r="AF672" s="212"/>
      <c r="AG672" s="212"/>
      <c r="AH672" s="212"/>
      <c r="AI672" s="212"/>
      <c r="AJ672" s="918"/>
      <c r="AK672" s="212"/>
      <c r="AL672" s="212"/>
      <c r="AM672" s="212"/>
      <c r="AN672" s="212"/>
      <c r="AO672" s="918"/>
      <c r="AP672" s="212"/>
      <c r="AQ672" s="212"/>
      <c r="AR672" s="212"/>
      <c r="AS672" s="212"/>
      <c r="AT672" s="194"/>
      <c r="AU672" s="212"/>
      <c r="AV672" s="212"/>
      <c r="AW672" s="212"/>
      <c r="AX672" s="212"/>
      <c r="AY672" s="194"/>
      <c r="AZ672" s="212"/>
      <c r="BA672" s="212"/>
      <c r="BB672" s="212"/>
      <c r="BC672" s="212"/>
      <c r="BD672" s="194"/>
      <c r="BE672" s="212"/>
      <c r="BF672" s="212"/>
      <c r="BG672" s="212"/>
      <c r="BH672" s="212"/>
      <c r="BI672" s="918"/>
      <c r="BJ672" s="212"/>
      <c r="BK672" s="212"/>
      <c r="BL672" s="212"/>
      <c r="BM672" s="212"/>
      <c r="BN672" s="194"/>
      <c r="BO672" s="193"/>
      <c r="BR672" s="192"/>
      <c r="BS672" s="194"/>
      <c r="BT672" s="193"/>
      <c r="BU672" s="212"/>
      <c r="BV672" s="212"/>
      <c r="BW672" s="192"/>
      <c r="BX672" s="194"/>
      <c r="BY672" s="212"/>
      <c r="BZ672" s="212"/>
      <c r="CA672" s="212"/>
      <c r="CB672" s="192"/>
      <c r="CC672" s="194"/>
      <c r="CD672" s="212"/>
      <c r="CE672" s="212"/>
      <c r="CF672" s="212"/>
      <c r="CG672" s="192"/>
      <c r="CH672" s="194"/>
      <c r="CI672" s="212"/>
      <c r="CJ672" s="212"/>
      <c r="CK672" s="212"/>
      <c r="CL672" s="212"/>
      <c r="CM672" s="194"/>
      <c r="CN672" s="212"/>
      <c r="CO672" s="212"/>
      <c r="CP672" s="212"/>
      <c r="CQ672" s="212"/>
      <c r="CR672" s="194"/>
      <c r="CS672" s="194"/>
      <c r="CT672" s="194"/>
      <c r="CU672" s="212"/>
      <c r="DA672" s="212"/>
      <c r="DB672" s="1226"/>
    </row>
    <row r="673" spans="1:106" x14ac:dyDescent="0.2">
      <c r="A673" s="1436" t="s">
        <v>2207</v>
      </c>
      <c r="B673" s="212"/>
      <c r="C673" s="212"/>
      <c r="D673" s="212"/>
      <c r="E673" s="212"/>
      <c r="F673" s="212"/>
      <c r="G673" s="212"/>
      <c r="H673" s="212"/>
      <c r="I673" s="212"/>
      <c r="J673" s="212"/>
      <c r="K673" s="194"/>
      <c r="L673" s="212"/>
      <c r="M673" s="212"/>
      <c r="N673" s="212"/>
      <c r="O673" s="212"/>
      <c r="P673" s="194"/>
      <c r="Q673" s="212"/>
      <c r="R673" s="212"/>
      <c r="S673" s="212"/>
      <c r="T673" s="212"/>
      <c r="U673" s="194"/>
      <c r="V673" s="212"/>
      <c r="W673" s="212"/>
      <c r="X673" s="212"/>
      <c r="Y673" s="212"/>
      <c r="Z673" s="194"/>
      <c r="AA673" s="1532">
        <v>8.7999999999999995E-2</v>
      </c>
      <c r="AB673" s="1532">
        <v>0.111</v>
      </c>
      <c r="AC673" s="1532">
        <v>8.6999999999999994E-2</v>
      </c>
      <c r="AD673" s="1532">
        <v>0.11</v>
      </c>
      <c r="AE673" s="2630">
        <f>AVERAGE(AA673:AD673)</f>
        <v>9.9000000000000005E-2</v>
      </c>
      <c r="AF673" s="212"/>
      <c r="AG673" s="212"/>
      <c r="AH673" s="212"/>
      <c r="AI673" s="212"/>
      <c r="AJ673" s="918"/>
      <c r="AK673" s="1532">
        <v>8.8999999999999996E-2</v>
      </c>
      <c r="AL673" s="212"/>
      <c r="AM673" s="1532">
        <v>0.09</v>
      </c>
      <c r="AN673" s="212"/>
      <c r="AO673" s="918"/>
      <c r="AP673" s="212"/>
      <c r="AQ673" s="212"/>
      <c r="AR673" s="212"/>
      <c r="AS673" s="212"/>
      <c r="AT673" s="918"/>
      <c r="AU673" s="212"/>
      <c r="AV673" s="212"/>
      <c r="AW673" s="212"/>
      <c r="AX673" s="212"/>
      <c r="AY673" s="918"/>
      <c r="AZ673" s="1532">
        <v>-1.2999999999999999E-2</v>
      </c>
      <c r="BA673" s="1532">
        <v>7.0000000000000007E-2</v>
      </c>
      <c r="BB673" s="212"/>
      <c r="BC673" s="212"/>
      <c r="BD673" s="918"/>
      <c r="BE673" s="212"/>
      <c r="BF673" s="212"/>
      <c r="BG673" s="212"/>
      <c r="BH673" s="212"/>
      <c r="BI673" s="918">
        <f>+BE673*(MAR!BL4/MAR!$BK$4)+BF673*(MAR!BM4/MAR!$BA$4)+BG673*(MAR!BN4/MAR!$BA$4)+BH673*(MAR!BO4/MAR!$BA$4)</f>
        <v>0</v>
      </c>
      <c r="BJ673" s="212"/>
      <c r="BK673" s="212"/>
      <c r="BL673" s="212"/>
      <c r="BM673" s="212"/>
      <c r="BN673" s="194"/>
      <c r="BO673" s="193"/>
      <c r="BQ673" s="2242">
        <v>4.3999999999999997E-2</v>
      </c>
      <c r="BR673" s="2412">
        <v>4.4999999999999998E-2</v>
      </c>
      <c r="BS673" s="1750">
        <v>4.5999999999999999E-2</v>
      </c>
      <c r="BT673" s="2242">
        <v>5.8000000000000003E-2</v>
      </c>
      <c r="BU673" s="2242">
        <v>5.0999999999999997E-2</v>
      </c>
      <c r="BV673" s="2242">
        <v>8.5000000000000006E-2</v>
      </c>
      <c r="BW673" s="2412">
        <v>0.06</v>
      </c>
      <c r="BX673" s="1750">
        <v>6.3E-2</v>
      </c>
      <c r="BY673" s="2242">
        <v>6.0999999999999999E-2</v>
      </c>
      <c r="BZ673" s="2242">
        <v>5.3999999999999999E-2</v>
      </c>
      <c r="CA673" s="2242">
        <v>4.2000000000000003E-2</v>
      </c>
      <c r="CB673" s="2412">
        <v>3.7999999999999999E-2</v>
      </c>
      <c r="CC673" s="1750">
        <v>0.05</v>
      </c>
      <c r="CD673" s="2242">
        <v>3.4000000000000002E-2</v>
      </c>
      <c r="CE673" s="2242">
        <v>2.8000000000000001E-2</v>
      </c>
      <c r="CF673" s="2242">
        <v>0.04</v>
      </c>
      <c r="CG673" s="2242">
        <v>4.0000000000000001E-3</v>
      </c>
      <c r="CH673" s="1750">
        <v>2.5000000000000001E-2</v>
      </c>
      <c r="CI673" s="2242">
        <v>0.04</v>
      </c>
      <c r="CJ673" s="2242">
        <v>3.2000000000000001E-2</v>
      </c>
      <c r="CK673" s="2242">
        <v>-5.0000000000000001E-3</v>
      </c>
      <c r="CL673" s="2242">
        <v>5.0999999999999997E-2</v>
      </c>
      <c r="CM673" s="1750">
        <v>3.7999999999999999E-2</v>
      </c>
      <c r="CN673" s="2242"/>
      <c r="CO673" s="2242"/>
      <c r="CP673" s="212"/>
      <c r="CQ673" s="212"/>
      <c r="CR673" s="194"/>
      <c r="CS673" s="194"/>
      <c r="CT673" s="194"/>
      <c r="CU673" s="212"/>
      <c r="DA673" s="212"/>
      <c r="DB673" s="1226"/>
    </row>
    <row r="674" spans="1:106" s="11" customFormat="1" x14ac:dyDescent="0.2">
      <c r="A674" s="1961" t="s">
        <v>2208</v>
      </c>
      <c r="B674" s="1193"/>
      <c r="C674" s="1193"/>
      <c r="D674" s="1193"/>
      <c r="E674" s="1193"/>
      <c r="F674" s="1193"/>
      <c r="G674" s="1193"/>
      <c r="H674" s="1193"/>
      <c r="I674" s="1193"/>
      <c r="J674" s="1193"/>
      <c r="K674" s="1946"/>
      <c r="L674" s="1193"/>
      <c r="M674" s="1193"/>
      <c r="N674" s="1193"/>
      <c r="O674" s="1193"/>
      <c r="P674" s="1946"/>
      <c r="Q674" s="2654">
        <v>4.2000000000000003E-2</v>
      </c>
      <c r="R674" s="2654">
        <v>-0.11600000000000001</v>
      </c>
      <c r="S674" s="2654">
        <v>-2.1000000000000001E-2</v>
      </c>
      <c r="T674" s="2654">
        <v>3.4000000000000002E-2</v>
      </c>
      <c r="U674" s="2655">
        <v>1.4999999999999999E-2</v>
      </c>
      <c r="V674" s="2654">
        <v>7.8E-2</v>
      </c>
      <c r="W674" s="2654">
        <v>0.14000000000000001</v>
      </c>
      <c r="X674" s="2654">
        <v>9.2999999999999999E-2</v>
      </c>
      <c r="Y674" s="2654">
        <v>0.10199999999999999</v>
      </c>
      <c r="Z674" s="2655">
        <v>9.6000000000000002E-2</v>
      </c>
      <c r="AA674" s="2654">
        <v>8.7999999999999995E-2</v>
      </c>
      <c r="AB674" s="2654">
        <v>0.104</v>
      </c>
      <c r="AC674" s="2654">
        <v>8.7999999999999995E-2</v>
      </c>
      <c r="AD674" s="2654">
        <v>0.11</v>
      </c>
      <c r="AE674" s="2655">
        <v>9.9000000000000005E-2</v>
      </c>
      <c r="AF674" s="1534">
        <v>0.108</v>
      </c>
      <c r="AG674" s="1534">
        <v>0.107</v>
      </c>
      <c r="AH674" s="1534">
        <v>0.09</v>
      </c>
      <c r="AI674" s="1534">
        <v>7.8E-2</v>
      </c>
      <c r="AJ674" s="2642">
        <v>9.4E-2</v>
      </c>
      <c r="AK674" s="1534">
        <v>0.06</v>
      </c>
      <c r="AL674" s="1534">
        <v>6.4000000000000001E-2</v>
      </c>
      <c r="AM674" s="1534">
        <v>6.6000000000000003E-2</v>
      </c>
      <c r="AN674" s="1534">
        <v>6.6000000000000003E-2</v>
      </c>
      <c r="AO674" s="1750">
        <f>+AK674*(MAR!AR4/MAR!$AV$4)+AL674*(MAR!AS4/MAR!$AV$4)+AM674*(MAR!AT4/MAR!$AV$4)+AN674*(MAR!AU4/MAR!$AV$4)</f>
        <v>6.4158904109589049E-2</v>
      </c>
      <c r="AP674" s="1534">
        <v>3.5000000000000003E-2</v>
      </c>
      <c r="AQ674" s="1534">
        <v>2.5999999999999999E-2</v>
      </c>
      <c r="AR674" s="1534">
        <v>7.0000000000000001E-3</v>
      </c>
      <c r="AS674" s="1534">
        <v>-6.8000000000000005E-2</v>
      </c>
      <c r="AT674" s="1750">
        <f>+AP674*(MAR!AW4/MAR!$BA$4)+AQ674*(MAR!AX4/MAR!$BA$4)+AR674*(MAR!AY4/MAR!$BA$4)+AS674*(MAR!AZ4/MAR!$BA$4)</f>
        <v>-6.0813008130081326E-3</v>
      </c>
      <c r="AU674" s="1534">
        <v>-0.16200000000000001</v>
      </c>
      <c r="AV674" s="1534">
        <v>-0.214</v>
      </c>
      <c r="AW674" s="1534">
        <v>-0.19900000000000001</v>
      </c>
      <c r="AX674" s="1534">
        <v>-0.125</v>
      </c>
      <c r="AY674" s="1750">
        <f>+AU674*(MAR!BB4/MAR!$BA$4)+AV674*(MAR!BC4/MAR!$BA$4)+AW674*(MAR!BD4/MAR!$BA$4)+AX674*(MAR!BE4/MAR!$BA$4)</f>
        <v>-0.16883468834688348</v>
      </c>
      <c r="AZ674" s="1534">
        <v>-1.2999999999999999E-2</v>
      </c>
      <c r="BA674" s="1534">
        <v>7.0000000000000007E-2</v>
      </c>
      <c r="BB674" s="1532">
        <v>8.2000000000000003E-2</v>
      </c>
      <c r="BC674" s="1532">
        <v>8.1000000000000003E-2</v>
      </c>
      <c r="BD674" s="1750">
        <f>+AZ674*(MAR!BG4/MAR!$BK$4)+BA674*(MAR!BH4/MAR!$BA$4)+BB674*(MAR!BI4/MAR!$BA$4)+BC674*(MAR!BJ4/MAR!$BA$4)</f>
        <v>5.6186991869918705E-2</v>
      </c>
      <c r="BE674" s="1534">
        <v>6.5000000000000002E-2</v>
      </c>
      <c r="BF674" s="1214">
        <v>6.8000000000000005E-2</v>
      </c>
      <c r="BG674" s="1214">
        <v>6.9000000000000006E-2</v>
      </c>
      <c r="BH674" s="1214">
        <v>5.8999999999999997E-2</v>
      </c>
      <c r="BI674" s="1750">
        <f>+BE674*(MAR!BL4/MAR!$BK$4)+BF674*(MAR!BM4/MAR!$BA$4)+BG674*(MAR!BN4/MAR!$BA$4)+BH674*(MAR!BO4/MAR!$BA$4)</f>
        <v>6.4094850948509488E-2</v>
      </c>
      <c r="BJ674" s="1214">
        <v>6.8000000000000005E-2</v>
      </c>
      <c r="BK674" s="1214">
        <v>6.7000000000000004E-2</v>
      </c>
      <c r="BL674" s="1214">
        <v>0.06</v>
      </c>
      <c r="BM674" s="1532">
        <v>5.1999999999999998E-2</v>
      </c>
      <c r="BN674" s="1952">
        <v>6.0999999999999999E-2</v>
      </c>
      <c r="BO674" s="2092">
        <v>4.5999999999999999E-2</v>
      </c>
      <c r="BP674" s="1214">
        <v>4.7E-2</v>
      </c>
      <c r="BQ674" s="1532">
        <v>4.8000000000000001E-2</v>
      </c>
      <c r="BR674" s="2411">
        <v>4.2999999999999997E-2</v>
      </c>
      <c r="BS674" s="1952">
        <v>4.5999999999999999E-2</v>
      </c>
      <c r="BT674" s="1532">
        <v>6.2E-2</v>
      </c>
      <c r="BU674" s="1532">
        <v>5.8000000000000003E-2</v>
      </c>
      <c r="BV674" s="1532">
        <v>8.1000000000000003E-2</v>
      </c>
      <c r="BW674" s="2411">
        <v>6.2E-2</v>
      </c>
      <c r="BX674" s="1952">
        <v>6.6000000000000003E-2</v>
      </c>
      <c r="BY674" s="1532">
        <v>6.8000000000000005E-2</v>
      </c>
      <c r="BZ674" s="1532">
        <v>5.2999999999999999E-2</v>
      </c>
      <c r="CA674" s="1532">
        <v>4.4999999999999998E-2</v>
      </c>
      <c r="CB674" s="2411">
        <v>3.7999999999999999E-2</v>
      </c>
      <c r="CC674" s="1952">
        <v>5.1999999999999998E-2</v>
      </c>
      <c r="CD674" s="1532">
        <v>2.5999999999999999E-2</v>
      </c>
      <c r="CE674" s="1532">
        <v>2.9000000000000001E-2</v>
      </c>
      <c r="CF674" s="1532">
        <v>2.5000000000000001E-2</v>
      </c>
      <c r="CG674" s="1532">
        <v>8.0000000000000002E-3</v>
      </c>
      <c r="CH674" s="1952">
        <v>2.3E-2</v>
      </c>
      <c r="CI674" s="2242">
        <v>3.1E-2</v>
      </c>
      <c r="CJ674" s="2242">
        <v>2.1999999999999999E-2</v>
      </c>
      <c r="CK674" s="2242">
        <v>2.1000000000000001E-2</v>
      </c>
      <c r="CL674" s="2242">
        <v>4.5999999999999999E-2</v>
      </c>
      <c r="CM674" s="1952">
        <v>3.1E-2</v>
      </c>
      <c r="CN674" s="2242"/>
      <c r="CO674" s="2242"/>
      <c r="CP674" s="1193"/>
      <c r="CQ674" s="1193"/>
      <c r="CR674" s="1946"/>
      <c r="CS674" s="1946"/>
      <c r="CT674" s="1946"/>
      <c r="CU674" s="1193"/>
      <c r="CV674" s="1947"/>
      <c r="CW674" s="1947"/>
      <c r="CX674" s="1947"/>
      <c r="DA674" s="212"/>
      <c r="DB674" s="1226"/>
    </row>
    <row r="675" spans="1:106" s="247" customFormat="1" x14ac:dyDescent="0.2">
      <c r="A675" s="1629" t="s">
        <v>1782</v>
      </c>
      <c r="B675" s="1582"/>
      <c r="C675" s="1582"/>
      <c r="D675" s="1582"/>
      <c r="E675" s="1582"/>
      <c r="F675" s="1582"/>
      <c r="G675" s="1582"/>
      <c r="H675" s="1582"/>
      <c r="I675" s="1582"/>
      <c r="J675" s="1582"/>
      <c r="K675" s="1528"/>
      <c r="L675" s="1582"/>
      <c r="M675" s="1582"/>
      <c r="N675" s="1582"/>
      <c r="O675" s="1582"/>
      <c r="P675" s="1528"/>
      <c r="Q675" s="1582"/>
      <c r="R675" s="1582"/>
      <c r="S675" s="1582"/>
      <c r="T675" s="1582"/>
      <c r="U675" s="1528"/>
      <c r="V675" s="1582"/>
      <c r="W675" s="1582"/>
      <c r="X675" s="1582"/>
      <c r="Y675" s="1582"/>
      <c r="Z675" s="1528"/>
      <c r="AA675" s="1582"/>
      <c r="AB675" s="1582"/>
      <c r="AC675" s="1582"/>
      <c r="AD675" s="1582"/>
      <c r="AE675" s="1528"/>
      <c r="AF675" s="1869"/>
      <c r="AG675" s="1869"/>
      <c r="AH675" s="1869"/>
      <c r="AI675" s="1869"/>
      <c r="AJ675" s="998"/>
      <c r="AK675" s="1869"/>
      <c r="AL675" s="1869"/>
      <c r="AM675" s="1869"/>
      <c r="AN675" s="1869"/>
      <c r="AO675" s="998"/>
      <c r="AP675" s="1869"/>
      <c r="AQ675" s="1869"/>
      <c r="AR675" s="1869"/>
      <c r="AS675" s="1869"/>
      <c r="AT675" s="998"/>
      <c r="AU675" s="1869"/>
      <c r="AV675" s="1869"/>
      <c r="AW675" s="1869"/>
      <c r="AX675" s="1869"/>
      <c r="AY675" s="998"/>
      <c r="AZ675" s="1869"/>
      <c r="BA675" s="1869"/>
      <c r="BB675" s="1869"/>
      <c r="BC675" s="1869"/>
      <c r="BD675" s="998"/>
      <c r="BE675" s="1869"/>
      <c r="BF675" s="886"/>
      <c r="BG675" s="886"/>
      <c r="BH675" s="886"/>
      <c r="BI675" s="1870"/>
      <c r="BJ675" s="886"/>
      <c r="BK675" s="886"/>
      <c r="BL675" s="886"/>
      <c r="BM675" s="1923" t="s">
        <v>1571</v>
      </c>
      <c r="BN675" s="1528"/>
      <c r="BO675" s="1974" t="s">
        <v>953</v>
      </c>
      <c r="BP675" s="1938" t="s">
        <v>1571</v>
      </c>
      <c r="BQ675" s="1938" t="s">
        <v>428</v>
      </c>
      <c r="BR675" s="2243" t="s">
        <v>1399</v>
      </c>
      <c r="BS675" s="2711" t="s">
        <v>1571</v>
      </c>
      <c r="BT675" s="1883" t="s">
        <v>1571</v>
      </c>
      <c r="BU675" s="1883" t="s">
        <v>1571</v>
      </c>
      <c r="BV675" s="2712" t="s">
        <v>2126</v>
      </c>
      <c r="BW675" s="2713" t="s">
        <v>2220</v>
      </c>
      <c r="BX675" s="2711" t="s">
        <v>2220</v>
      </c>
      <c r="BY675" s="2712" t="s">
        <v>2220</v>
      </c>
      <c r="BZ675" s="1883" t="s">
        <v>2220</v>
      </c>
      <c r="CA675" s="1883" t="s">
        <v>1571</v>
      </c>
      <c r="CB675" s="1883" t="s">
        <v>1571</v>
      </c>
      <c r="CC675" s="2714" t="s">
        <v>2309</v>
      </c>
      <c r="CD675" s="2712" t="s">
        <v>1127</v>
      </c>
      <c r="CE675" s="2712" t="s">
        <v>428</v>
      </c>
      <c r="CF675" s="2712" t="s">
        <v>2443</v>
      </c>
      <c r="CG675" s="2712" t="s">
        <v>2583</v>
      </c>
      <c r="CH675" s="2714"/>
      <c r="CI675" s="2712" t="s">
        <v>2694</v>
      </c>
      <c r="CJ675" s="2712" t="s">
        <v>2694</v>
      </c>
      <c r="CK675" s="2712"/>
      <c r="CL675" s="2712"/>
      <c r="CM675" s="2940" t="s">
        <v>2694</v>
      </c>
      <c r="CN675" s="2712"/>
      <c r="CO675" s="2712"/>
      <c r="CP675" s="2712"/>
      <c r="CQ675" s="2712"/>
      <c r="CR675" s="1528"/>
      <c r="CS675" s="1528"/>
      <c r="CT675" s="1528"/>
      <c r="CU675" s="1582"/>
      <c r="CV675" s="549"/>
      <c r="CW675" s="549"/>
      <c r="CX675" s="549"/>
      <c r="DA675" s="212"/>
      <c r="DB675" s="1226"/>
    </row>
    <row r="676" spans="1:106" x14ac:dyDescent="0.2">
      <c r="A676" s="1436" t="s">
        <v>2206</v>
      </c>
      <c r="B676" s="212"/>
      <c r="C676" s="212"/>
      <c r="D676" s="212"/>
      <c r="E676" s="212"/>
      <c r="F676" s="212"/>
      <c r="G676" s="212"/>
      <c r="H676" s="212"/>
      <c r="I676" s="212"/>
      <c r="J676" s="212"/>
      <c r="K676" s="194"/>
      <c r="L676" s="212"/>
      <c r="M676" s="212"/>
      <c r="N676" s="212"/>
      <c r="O676" s="212"/>
      <c r="P676" s="194"/>
      <c r="Q676" s="212"/>
      <c r="R676" s="212"/>
      <c r="S676" s="212"/>
      <c r="T676" s="212"/>
      <c r="U676" s="194"/>
      <c r="V676" s="212"/>
      <c r="W676" s="212"/>
      <c r="X676" s="212"/>
      <c r="Y676" s="212"/>
      <c r="Z676" s="194"/>
      <c r="AA676" s="1532">
        <v>8.4000000000000005E-2</v>
      </c>
      <c r="AB676" s="1532">
        <v>0.1</v>
      </c>
      <c r="AC676" s="1532">
        <v>8.7999999999999995E-2</v>
      </c>
      <c r="AD676" s="1532">
        <v>0.11</v>
      </c>
      <c r="AE676" s="194"/>
      <c r="AF676" s="1532">
        <v>9.6000000000000002E-2</v>
      </c>
      <c r="AG676" s="1532">
        <v>0.107</v>
      </c>
      <c r="AH676" s="1532">
        <v>8.1000000000000003E-2</v>
      </c>
      <c r="AI676" s="1532">
        <v>7.1999999999999995E-2</v>
      </c>
      <c r="AJ676" s="918">
        <v>8.8999999999999996E-2</v>
      </c>
      <c r="AK676" s="1532">
        <v>5.1999999999999998E-2</v>
      </c>
      <c r="AL676" s="1532">
        <v>5.6000000000000001E-2</v>
      </c>
      <c r="AM676" s="1532">
        <v>7.1999999999999995E-2</v>
      </c>
      <c r="AN676" s="1532">
        <v>6.2E-2</v>
      </c>
      <c r="AO676" s="918">
        <f>+AK676*(MAR!AR4/MAR!$AV$4)+AL676*(MAR!AS4/MAR!$AV$4)+AM676*(MAR!AT4/MAR!$AV$4)+AN676*(MAR!AU4/MAR!$AV$4)</f>
        <v>6.0619178082191777E-2</v>
      </c>
      <c r="AP676" s="1532">
        <v>2.3E-2</v>
      </c>
      <c r="AQ676" s="1532">
        <v>1.4E-2</v>
      </c>
      <c r="AR676" s="1532">
        <v>-0.01</v>
      </c>
      <c r="AS676" s="1532">
        <v>-8.3000000000000004E-2</v>
      </c>
      <c r="AT676" s="918">
        <f>+AP676*(MAR!AW4/MAR!$BA$4)+AQ676*(MAR!AX4/MAR!$BA$4)+AR676*(MAR!AY4/MAR!$BA$4)+AS676*(MAR!AZ4/MAR!$BA$4)</f>
        <v>-2.0170731707317077E-2</v>
      </c>
      <c r="AU676" s="1532">
        <v>-0.18</v>
      </c>
      <c r="AV676" s="1532">
        <v>-0.23400000000000001</v>
      </c>
      <c r="AW676" s="1532">
        <v>-0.193</v>
      </c>
      <c r="AX676" s="1532">
        <v>-0.13100000000000001</v>
      </c>
      <c r="AY676" s="918">
        <f>+AU676*(MAR!BB4/MAR!$BA$4)+AV676*(MAR!BC4/MAR!$BA$4)+AW676*(MAR!BD4/MAR!$BA$4)+AX676*(MAR!BE4/MAR!$BA$4)</f>
        <v>-0.17794037940379404</v>
      </c>
      <c r="AZ676" s="1532">
        <v>-1.9E-2</v>
      </c>
      <c r="BA676" s="1532">
        <v>6.3E-2</v>
      </c>
      <c r="BB676" s="1534">
        <v>7.1999999999999995E-2</v>
      </c>
      <c r="BC676" s="1534">
        <v>7.4999999999999997E-2</v>
      </c>
      <c r="BD676" s="918">
        <f>+AZ676*(MAR!BG4/MAR!$BK$4)+BA676*(MAR!BH4/MAR!$BA$4)+BB676*(MAR!BI4/MAR!$BA$4)+BC676*(MAR!BJ4/MAR!$BA$4)</f>
        <v>4.9111319574734205E-2</v>
      </c>
      <c r="BE676" s="1534">
        <v>5.8000000000000003E-2</v>
      </c>
      <c r="BF676" s="1214">
        <v>6.6000000000000003E-2</v>
      </c>
      <c r="BG676" s="1214"/>
      <c r="BH676" s="1214"/>
      <c r="BI676" s="918">
        <f>+BE676*(MAR!BL4/MAR!$BK$4)+BF676*(MAR!BM4/MAR!$BA$4)+BG676*(MAR!BN4/MAR!$BA$4)+BH676*(MAR!BO4/MAR!$BA$4)</f>
        <v>2.8409005628517822E-2</v>
      </c>
      <c r="BJ676" s="1214"/>
      <c r="BK676" s="1627"/>
      <c r="BL676" s="1627"/>
      <c r="BM676" s="1627"/>
      <c r="BN676" s="194"/>
      <c r="BO676" s="193"/>
      <c r="BR676" s="192"/>
      <c r="BS676" s="194"/>
      <c r="BT676" s="193"/>
      <c r="BU676" s="212"/>
      <c r="BV676" s="212"/>
      <c r="BW676" s="192"/>
      <c r="BX676" s="194"/>
      <c r="BY676" s="212"/>
      <c r="BZ676" s="212"/>
      <c r="CA676" s="212"/>
      <c r="CB676" s="192"/>
      <c r="CC676" s="194"/>
      <c r="CD676" s="212"/>
      <c r="CE676" s="212"/>
      <c r="CF676" s="212"/>
      <c r="CG676" s="192"/>
      <c r="CH676" s="194"/>
      <c r="CI676" s="212"/>
      <c r="CJ676" s="212"/>
      <c r="CK676" s="212"/>
      <c r="CL676" s="212"/>
      <c r="CM676" s="194"/>
      <c r="CN676" s="212"/>
      <c r="CO676" s="212"/>
      <c r="CP676" s="212"/>
      <c r="CQ676" s="212"/>
      <c r="CR676" s="194"/>
      <c r="CS676" s="194"/>
      <c r="CT676" s="194"/>
      <c r="CU676" s="212"/>
      <c r="DA676" s="212"/>
      <c r="DB676" s="1226"/>
    </row>
    <row r="677" spans="1:106" x14ac:dyDescent="0.2">
      <c r="A677" s="1436" t="s">
        <v>2209</v>
      </c>
      <c r="B677" s="212"/>
      <c r="C677" s="212"/>
      <c r="D677" s="212"/>
      <c r="E677" s="212"/>
      <c r="F677" s="212"/>
      <c r="G677" s="212"/>
      <c r="H677" s="212"/>
      <c r="I677" s="212"/>
      <c r="J677" s="212"/>
      <c r="K677" s="194"/>
      <c r="L677" s="212"/>
      <c r="M677" s="212"/>
      <c r="N677" s="212"/>
      <c r="O677" s="212"/>
      <c r="P677" s="194"/>
      <c r="Q677" s="212"/>
      <c r="R677" s="212"/>
      <c r="S677" s="212"/>
      <c r="T677" s="212"/>
      <c r="U677" s="194"/>
      <c r="V677" s="212"/>
      <c r="W677" s="212"/>
      <c r="X677" s="212"/>
      <c r="Y677" s="212"/>
      <c r="Z677" s="194"/>
      <c r="AA677" s="212"/>
      <c r="AB677" s="212"/>
      <c r="AC677" s="212"/>
      <c r="AD677" s="212"/>
      <c r="AE677" s="194"/>
      <c r="AF677" s="1532">
        <v>0.109</v>
      </c>
      <c r="AG677" s="1532">
        <v>0.107</v>
      </c>
      <c r="AH677" s="1532">
        <v>8.5999999999999993E-2</v>
      </c>
      <c r="AI677" s="212"/>
      <c r="AJ677" s="918"/>
      <c r="AK677" s="212"/>
      <c r="AL677" s="212"/>
      <c r="AM677" s="212"/>
      <c r="AN677" s="212"/>
      <c r="AO677" s="918"/>
      <c r="AP677" s="212"/>
      <c r="AQ677" s="212"/>
      <c r="AR677" s="212"/>
      <c r="AS677" s="212"/>
      <c r="AT677" s="918"/>
      <c r="AU677" s="212"/>
      <c r="AV677" s="212"/>
      <c r="AW677" s="212"/>
      <c r="AX677" s="212"/>
      <c r="AY677" s="918"/>
      <c r="AZ677" s="212"/>
      <c r="BA677" s="212"/>
      <c r="BB677" s="212"/>
      <c r="BC677" s="212"/>
      <c r="BD677" s="918"/>
      <c r="BE677" s="212"/>
      <c r="BF677" s="212"/>
      <c r="BG677" s="212"/>
      <c r="BH677" s="212"/>
      <c r="BI677" s="918"/>
      <c r="BJ677" s="1214"/>
      <c r="BK677" s="1214"/>
      <c r="BL677" s="212"/>
      <c r="BM677" s="212"/>
      <c r="BN677" s="194"/>
      <c r="BO677" s="193"/>
      <c r="BR677" s="192"/>
      <c r="BS677" s="194"/>
      <c r="BT677" s="193"/>
      <c r="BU677" s="212"/>
      <c r="BV677" s="212"/>
      <c r="BW677" s="192"/>
      <c r="BX677" s="194"/>
      <c r="BY677" s="212"/>
      <c r="BZ677" s="212"/>
      <c r="CA677" s="212"/>
      <c r="CB677" s="192"/>
      <c r="CC677" s="194"/>
      <c r="CD677" s="212"/>
      <c r="CE677" s="212"/>
      <c r="CF677" s="212"/>
      <c r="CG677" s="192"/>
      <c r="CH677" s="194"/>
      <c r="CI677" s="212"/>
      <c r="CJ677" s="212"/>
      <c r="CK677" s="212"/>
      <c r="CL677" s="212"/>
      <c r="CM677" s="194"/>
      <c r="CN677" s="212"/>
      <c r="CO677" s="212"/>
      <c r="CP677" s="212"/>
      <c r="CQ677" s="212"/>
      <c r="CR677" s="194"/>
      <c r="CS677" s="194"/>
      <c r="CT677" s="194"/>
      <c r="CU677" s="212"/>
      <c r="DA677" s="212"/>
      <c r="DB677" s="1226"/>
    </row>
    <row r="678" spans="1:106" x14ac:dyDescent="0.2">
      <c r="A678" s="1436" t="s">
        <v>2210</v>
      </c>
      <c r="B678" s="212"/>
      <c r="C678" s="212"/>
      <c r="D678" s="212"/>
      <c r="E678" s="212"/>
      <c r="F678" s="212"/>
      <c r="G678" s="212"/>
      <c r="H678" s="212"/>
      <c r="I678" s="212"/>
      <c r="J678" s="212"/>
      <c r="K678" s="194"/>
      <c r="L678" s="212"/>
      <c r="M678" s="212"/>
      <c r="N678" s="212"/>
      <c r="O678" s="212"/>
      <c r="P678" s="194"/>
      <c r="Q678" s="212"/>
      <c r="R678" s="212"/>
      <c r="S678" s="212"/>
      <c r="T678" s="212"/>
      <c r="U678" s="194"/>
      <c r="V678" s="212"/>
      <c r="W678" s="212"/>
      <c r="X678" s="212"/>
      <c r="Y678" s="212"/>
      <c r="Z678" s="194"/>
      <c r="AA678" s="1532">
        <v>7.4999999999999997E-2</v>
      </c>
      <c r="AB678" s="1532">
        <v>0.10299999999999999</v>
      </c>
      <c r="AC678" s="1532">
        <v>9.1999999999999998E-2</v>
      </c>
      <c r="AD678" s="1532">
        <v>0.113</v>
      </c>
      <c r="AE678" s="194"/>
      <c r="AF678" s="1532">
        <v>0.10199999999999999</v>
      </c>
      <c r="AG678" s="1532">
        <v>0.105</v>
      </c>
      <c r="AH678" s="1532">
        <v>8.5999999999999993E-2</v>
      </c>
      <c r="AI678" s="212"/>
      <c r="AJ678" s="918">
        <v>8.5000000000000006E-2</v>
      </c>
      <c r="AK678" s="1532">
        <v>5.8999999999999997E-2</v>
      </c>
      <c r="AL678" s="212"/>
      <c r="AM678" s="212"/>
      <c r="AN678" s="212"/>
      <c r="AO678" s="918"/>
      <c r="AP678" s="212"/>
      <c r="AQ678" s="212"/>
      <c r="AR678" s="212"/>
      <c r="AS678" s="212"/>
      <c r="AT678" s="194"/>
      <c r="AU678" s="212"/>
      <c r="AV678" s="212"/>
      <c r="AW678" s="212"/>
      <c r="AX678" s="212"/>
      <c r="AY678" s="918"/>
      <c r="AZ678" s="212"/>
      <c r="BA678" s="212"/>
      <c r="BB678" s="212"/>
      <c r="BC678" s="212"/>
      <c r="BD678" s="918"/>
      <c r="BE678" s="212"/>
      <c r="BF678" s="212"/>
      <c r="BG678" s="212"/>
      <c r="BH678" s="212"/>
      <c r="BI678" s="918"/>
      <c r="BJ678" s="212"/>
      <c r="BK678" s="212"/>
      <c r="BL678" s="212"/>
      <c r="BM678" s="212"/>
      <c r="BN678" s="194"/>
      <c r="BO678" s="193"/>
      <c r="BR678" s="192"/>
      <c r="BS678" s="194"/>
      <c r="BT678" s="193"/>
      <c r="BU678" s="212"/>
      <c r="BV678" s="212"/>
      <c r="BW678" s="192"/>
      <c r="BX678" s="194"/>
      <c r="BY678" s="212"/>
      <c r="BZ678" s="212"/>
      <c r="CA678" s="212"/>
      <c r="CB678" s="192"/>
      <c r="CC678" s="194"/>
      <c r="CD678" s="212"/>
      <c r="CE678" s="212"/>
      <c r="CF678" s="212"/>
      <c r="CG678" s="192"/>
      <c r="CH678" s="194"/>
      <c r="CI678" s="212"/>
      <c r="CJ678" s="212"/>
      <c r="CK678" s="212"/>
      <c r="CL678" s="212"/>
      <c r="CM678" s="194"/>
      <c r="CN678" s="212"/>
      <c r="CO678" s="212"/>
      <c r="CP678" s="212"/>
      <c r="CQ678" s="212"/>
      <c r="CR678" s="194"/>
      <c r="CS678" s="194"/>
      <c r="CT678" s="194"/>
      <c r="CU678" s="212"/>
      <c r="DA678" s="212"/>
      <c r="DB678" s="1226"/>
    </row>
    <row r="679" spans="1:106" x14ac:dyDescent="0.2">
      <c r="A679" s="1436" t="s">
        <v>2211</v>
      </c>
      <c r="B679" s="212"/>
      <c r="C679" s="212"/>
      <c r="D679" s="212"/>
      <c r="E679" s="212"/>
      <c r="F679" s="212"/>
      <c r="G679" s="212"/>
      <c r="H679" s="212"/>
      <c r="I679" s="212"/>
      <c r="J679" s="212"/>
      <c r="K679" s="194"/>
      <c r="L679" s="212"/>
      <c r="M679" s="212"/>
      <c r="N679" s="212"/>
      <c r="O679" s="212"/>
      <c r="P679" s="194"/>
      <c r="Q679" s="212"/>
      <c r="R679" s="212"/>
      <c r="S679" s="212"/>
      <c r="T679" s="212"/>
      <c r="U679" s="194"/>
      <c r="V679" s="212"/>
      <c r="W679" s="212"/>
      <c r="X679" s="212"/>
      <c r="Y679" s="212"/>
      <c r="Z679" s="194"/>
      <c r="AA679" s="1532">
        <v>9.5000000000000001E-2</v>
      </c>
      <c r="AB679" s="1532">
        <v>9.1999999999999998E-2</v>
      </c>
      <c r="AC679" s="1532">
        <v>0.08</v>
      </c>
      <c r="AD679" s="1532">
        <v>0.106</v>
      </c>
      <c r="AE679" s="194"/>
      <c r="AF679" s="1532">
        <v>0.11600000000000001</v>
      </c>
      <c r="AG679" s="1532">
        <v>0.11</v>
      </c>
      <c r="AH679" s="1532">
        <v>8.6999999999999994E-2</v>
      </c>
      <c r="AI679" s="212"/>
      <c r="AJ679" s="194"/>
      <c r="AK679" s="1532">
        <v>3.3000000000000002E-2</v>
      </c>
      <c r="AL679" s="212"/>
      <c r="AM679" s="212"/>
      <c r="AN679" s="212"/>
      <c r="AO679" s="918"/>
      <c r="AP679" s="212"/>
      <c r="AQ679" s="212"/>
      <c r="AR679" s="212"/>
      <c r="AS679" s="212"/>
      <c r="AT679" s="194"/>
      <c r="AU679" s="212"/>
      <c r="AV679" s="212"/>
      <c r="AW679" s="212"/>
      <c r="AX679" s="212"/>
      <c r="AY679" s="918"/>
      <c r="AZ679" s="212"/>
      <c r="BA679" s="212"/>
      <c r="BB679" s="212"/>
      <c r="BC679" s="212"/>
      <c r="BD679" s="918"/>
      <c r="BE679" s="212"/>
      <c r="BF679" s="212"/>
      <c r="BG679" s="212"/>
      <c r="BH679" s="212"/>
      <c r="BI679" s="918"/>
      <c r="BJ679" s="212"/>
      <c r="BK679" s="212"/>
      <c r="BL679" s="212"/>
      <c r="BM679" s="212"/>
      <c r="BN679" s="194"/>
      <c r="BO679" s="193"/>
      <c r="BR679" s="192"/>
      <c r="BS679" s="194"/>
      <c r="BT679" s="193"/>
      <c r="BU679" s="212"/>
      <c r="BV679" s="212"/>
      <c r="BW679" s="192"/>
      <c r="BX679" s="194"/>
      <c r="BY679" s="212"/>
      <c r="BZ679" s="212"/>
      <c r="CA679" s="212"/>
      <c r="CB679" s="192"/>
      <c r="CC679" s="194"/>
      <c r="CD679" s="212"/>
      <c r="CE679" s="212"/>
      <c r="CF679" s="212"/>
      <c r="CG679" s="192"/>
      <c r="CH679" s="194"/>
      <c r="CI679" s="212"/>
      <c r="CJ679" s="212"/>
      <c r="CK679" s="212"/>
      <c r="CL679" s="212"/>
      <c r="CM679" s="194"/>
      <c r="CN679" s="212"/>
      <c r="CO679" s="212"/>
      <c r="CP679" s="212"/>
      <c r="CQ679" s="212"/>
      <c r="CR679" s="194"/>
      <c r="CS679" s="194"/>
      <c r="CT679" s="194"/>
      <c r="CU679" s="212"/>
      <c r="DA679" s="212"/>
      <c r="DB679" s="1226"/>
    </row>
    <row r="680" spans="1:106" x14ac:dyDescent="0.2">
      <c r="A680" s="1436" t="s">
        <v>2212</v>
      </c>
      <c r="B680" s="212"/>
      <c r="C680" s="212"/>
      <c r="D680" s="212"/>
      <c r="E680" s="212"/>
      <c r="F680" s="212"/>
      <c r="G680" s="212"/>
      <c r="H680" s="212"/>
      <c r="I680" s="212"/>
      <c r="J680" s="212"/>
      <c r="K680" s="194"/>
      <c r="L680" s="212"/>
      <c r="M680" s="212"/>
      <c r="N680" s="212"/>
      <c r="O680" s="212"/>
      <c r="P680" s="194"/>
      <c r="Q680" s="212"/>
      <c r="R680" s="212"/>
      <c r="S680" s="212"/>
      <c r="T680" s="212"/>
      <c r="U680" s="194"/>
      <c r="V680" s="212"/>
      <c r="W680" s="212"/>
      <c r="X680" s="212"/>
      <c r="Y680" s="212"/>
      <c r="Z680" s="194"/>
      <c r="AA680" s="212"/>
      <c r="AB680" s="212"/>
      <c r="AC680" s="212"/>
      <c r="AD680" s="212"/>
      <c r="AE680" s="194"/>
      <c r="AF680" s="212"/>
      <c r="AG680" s="212"/>
      <c r="AH680" s="212"/>
      <c r="AI680" s="1532">
        <v>0.13900000000000001</v>
      </c>
      <c r="AJ680" s="194"/>
      <c r="AK680" s="1532">
        <v>0.16200000000000001</v>
      </c>
      <c r="AL680" s="212"/>
      <c r="AM680" s="212"/>
      <c r="AN680" s="212"/>
      <c r="AO680" s="194"/>
      <c r="AP680" s="212"/>
      <c r="AQ680" s="212"/>
      <c r="AR680" s="212"/>
      <c r="AS680" s="212"/>
      <c r="AT680" s="194"/>
      <c r="AU680" s="212"/>
      <c r="AV680" s="212"/>
      <c r="AW680" s="212"/>
      <c r="AX680" s="212"/>
      <c r="AY680" s="918"/>
      <c r="AZ680" s="212"/>
      <c r="BA680" s="212"/>
      <c r="BB680" s="212"/>
      <c r="BC680" s="212"/>
      <c r="BD680" s="918"/>
      <c r="BE680" s="212"/>
      <c r="BF680" s="212"/>
      <c r="BG680" s="212"/>
      <c r="BH680" s="212"/>
      <c r="BI680" s="918"/>
      <c r="BJ680" s="212"/>
      <c r="BK680" s="212"/>
      <c r="BL680" s="212"/>
      <c r="BM680" s="212"/>
      <c r="BN680" s="194"/>
      <c r="BO680" s="193"/>
      <c r="BR680" s="192"/>
      <c r="BS680" s="194"/>
      <c r="BT680" s="193"/>
      <c r="BU680" s="212"/>
      <c r="BV680" s="212"/>
      <c r="BW680" s="192"/>
      <c r="BX680" s="194"/>
      <c r="BY680" s="212"/>
      <c r="BZ680" s="212"/>
      <c r="CA680" s="212"/>
      <c r="CB680" s="192"/>
      <c r="CC680" s="194"/>
      <c r="CD680" s="212"/>
      <c r="CE680" s="212"/>
      <c r="CF680" s="212"/>
      <c r="CG680" s="192"/>
      <c r="CH680" s="194"/>
      <c r="CI680" s="212"/>
      <c r="CJ680" s="212"/>
      <c r="CK680" s="212"/>
      <c r="CL680" s="212"/>
      <c r="CM680" s="194"/>
      <c r="CN680" s="212"/>
      <c r="CO680" s="212"/>
      <c r="CP680" s="212"/>
      <c r="CQ680" s="212"/>
      <c r="CR680" s="194"/>
      <c r="CS680" s="194"/>
      <c r="CT680" s="194"/>
      <c r="CU680" s="212"/>
      <c r="DA680" s="212"/>
      <c r="DB680" s="1226"/>
    </row>
    <row r="681" spans="1:106" x14ac:dyDescent="0.2">
      <c r="A681" s="1436" t="s">
        <v>2213</v>
      </c>
      <c r="B681" s="212"/>
      <c r="C681" s="212"/>
      <c r="D681" s="212"/>
      <c r="E681" s="212"/>
      <c r="F681" s="212"/>
      <c r="G681" s="212"/>
      <c r="H681" s="212"/>
      <c r="I681" s="212"/>
      <c r="J681" s="212"/>
      <c r="K681" s="194"/>
      <c r="L681" s="212"/>
      <c r="M681" s="212"/>
      <c r="N681" s="212"/>
      <c r="O681" s="212"/>
      <c r="P681" s="194"/>
      <c r="Q681" s="212"/>
      <c r="R681" s="212"/>
      <c r="S681" s="212"/>
      <c r="T681" s="212"/>
      <c r="U681" s="194"/>
      <c r="V681" s="212"/>
      <c r="W681" s="212"/>
      <c r="X681" s="212"/>
      <c r="Y681" s="212"/>
      <c r="Z681" s="194"/>
      <c r="AA681" s="212"/>
      <c r="AB681" s="212"/>
      <c r="AC681" s="212"/>
      <c r="AD681" s="212"/>
      <c r="AE681" s="194"/>
      <c r="AF681" s="212"/>
      <c r="AG681" s="1532">
        <v>9.6000000000000002E-2</v>
      </c>
      <c r="AH681" s="1532">
        <v>0.14000000000000001</v>
      </c>
      <c r="AI681" s="212"/>
      <c r="AJ681" s="194"/>
      <c r="AK681" s="212"/>
      <c r="AL681" s="1532">
        <v>0.155</v>
      </c>
      <c r="AM681" s="1532">
        <v>0.129</v>
      </c>
      <c r="AN681" s="1532">
        <v>8.5000000000000006E-2</v>
      </c>
      <c r="AO681" s="194"/>
      <c r="AP681" s="1532">
        <v>0.115</v>
      </c>
      <c r="AQ681" s="1532">
        <v>0.155</v>
      </c>
      <c r="AR681" s="1532">
        <v>5.7000000000000002E-2</v>
      </c>
      <c r="AS681" s="1532">
        <v>-5.2999999999999999E-2</v>
      </c>
      <c r="AT681" s="194"/>
      <c r="AU681" s="1532">
        <v>-0.24099999999999999</v>
      </c>
      <c r="AV681" s="1532">
        <v>-0.315</v>
      </c>
      <c r="AW681" s="1532">
        <v>-0.214</v>
      </c>
      <c r="AX681" s="1532">
        <v>-0.111</v>
      </c>
      <c r="AY681" s="918">
        <f>+AU681*(MAR!BB4/MAR!$BA$4)+AV681*(MAR!BC4/MAR!$BA$4)+AW681*(MAR!BD4/MAR!$BA$4)+AX681*(MAR!BE4/MAR!$BA$4)</f>
        <v>-0.20897560975609752</v>
      </c>
      <c r="AZ681" s="1532">
        <v>5.8000000000000003E-2</v>
      </c>
      <c r="BA681" s="1532">
        <v>0.14099999999999999</v>
      </c>
      <c r="BB681" s="1532">
        <v>0.12</v>
      </c>
      <c r="BC681" s="1532">
        <v>0.10100000000000001</v>
      </c>
      <c r="BD681" s="918">
        <f>+AZ681*(MAR!BG4/MAR!$BK$4)+BA681*(MAR!BH4/MAR!$BA$4)+BB681*(MAR!BI4/MAR!$BA$4)+BC681*(MAR!BJ4/MAR!$BA$4)</f>
        <v>0.10345507608922243</v>
      </c>
      <c r="BE681" s="1532">
        <v>0.114</v>
      </c>
      <c r="BF681" s="1214">
        <v>7.2999999999999995E-2</v>
      </c>
      <c r="BG681" s="1214"/>
      <c r="BH681" s="1214"/>
      <c r="BI681" s="918">
        <f>+BE681*(MAR!BL4/MAR!$BK$4)+BF681*(MAR!BM4/MAR!$BA$4)+BG681*(MAR!BN4/MAR!$BA$4)+BH681*(MAR!BO4/MAR!$BA$4)</f>
        <v>4.2925578486554095E-2</v>
      </c>
      <c r="BJ681" s="212"/>
      <c r="BK681" s="212"/>
      <c r="BL681" s="212"/>
      <c r="BM681" s="212"/>
      <c r="BN681" s="194"/>
      <c r="BO681" s="193"/>
      <c r="BR681" s="192"/>
      <c r="BS681" s="194"/>
      <c r="BT681" s="193"/>
      <c r="BU681" s="212"/>
      <c r="BV681" s="212"/>
      <c r="BW681" s="192"/>
      <c r="BX681" s="194"/>
      <c r="BY681" s="212"/>
      <c r="BZ681" s="212"/>
      <c r="CA681" s="212"/>
      <c r="CB681" s="192"/>
      <c r="CC681" s="194"/>
      <c r="CD681" s="212"/>
      <c r="CE681" s="212"/>
      <c r="CF681" s="212"/>
      <c r="CG681" s="192"/>
      <c r="CH681" s="194"/>
      <c r="CI681" s="212"/>
      <c r="CJ681" s="212"/>
      <c r="CK681" s="212"/>
      <c r="CL681" s="212"/>
      <c r="CM681" s="194"/>
      <c r="CN681" s="212"/>
      <c r="CO681" s="212"/>
      <c r="CP681" s="212"/>
      <c r="CQ681" s="212"/>
      <c r="CR681" s="194"/>
      <c r="CS681" s="194"/>
      <c r="CT681" s="194"/>
      <c r="CU681" s="212"/>
      <c r="DA681" s="212"/>
      <c r="DB681" s="1226"/>
    </row>
    <row r="682" spans="1:106" x14ac:dyDescent="0.2">
      <c r="A682" s="1632"/>
      <c r="B682" s="195"/>
      <c r="C682" s="195"/>
      <c r="D682" s="195"/>
      <c r="E682" s="195"/>
      <c r="F682" s="195"/>
      <c r="G682" s="195"/>
      <c r="H682" s="195"/>
      <c r="I682" s="195"/>
      <c r="J682" s="195"/>
      <c r="K682" s="196"/>
      <c r="L682" s="195"/>
      <c r="M682" s="195"/>
      <c r="N682" s="195"/>
      <c r="O682" s="195"/>
      <c r="P682" s="196"/>
      <c r="Q682" s="195"/>
      <c r="R682" s="195"/>
      <c r="S682" s="195"/>
      <c r="T682" s="195"/>
      <c r="U682" s="196"/>
      <c r="V682" s="195"/>
      <c r="W682" s="195"/>
      <c r="X682" s="195"/>
      <c r="Y682" s="195"/>
      <c r="Z682" s="196"/>
      <c r="AA682" s="195"/>
      <c r="AB682" s="195"/>
      <c r="AC682" s="195"/>
      <c r="AD682" s="195"/>
      <c r="AE682" s="196"/>
      <c r="AF682" s="195"/>
      <c r="AG682" s="195"/>
      <c r="AH682" s="195"/>
      <c r="AI682" s="195"/>
      <c r="AJ682" s="196"/>
      <c r="AK682" s="195"/>
      <c r="AL682" s="195"/>
      <c r="AM682" s="195"/>
      <c r="AN682" s="195"/>
      <c r="AO682" s="196"/>
      <c r="AP682" s="195"/>
      <c r="AQ682" s="195"/>
      <c r="AR682" s="195"/>
      <c r="AS682" s="195"/>
      <c r="AT682" s="196"/>
      <c r="AU682" s="195"/>
      <c r="AV682" s="195"/>
      <c r="AW682" s="195"/>
      <c r="AX682" s="195"/>
      <c r="AY682" s="196"/>
      <c r="AZ682" s="195"/>
      <c r="BA682" s="195"/>
      <c r="BB682" s="195"/>
      <c r="BC682" s="195"/>
      <c r="BD682" s="196"/>
      <c r="BE682" s="195"/>
      <c r="BF682" s="195"/>
      <c r="BG682" s="195"/>
      <c r="BH682" s="195"/>
      <c r="BI682" s="196"/>
      <c r="BJ682" s="195"/>
      <c r="BK682" s="195"/>
      <c r="BL682" s="195"/>
      <c r="BM682" s="195"/>
      <c r="BN682" s="196"/>
      <c r="BO682" s="1339"/>
      <c r="BP682" s="195"/>
      <c r="BQ682" s="195"/>
      <c r="BR682" s="1340"/>
      <c r="BS682" s="196"/>
      <c r="BT682" s="1339"/>
      <c r="BU682" s="195"/>
      <c r="BV682" s="195"/>
      <c r="BW682" s="1340"/>
      <c r="BX682" s="196"/>
      <c r="BY682" s="195"/>
      <c r="BZ682" s="195"/>
      <c r="CA682" s="195"/>
      <c r="CB682" s="1340"/>
      <c r="CC682" s="196"/>
      <c r="CD682" s="195"/>
      <c r="CE682" s="195"/>
      <c r="CF682" s="195"/>
      <c r="CG682" s="1340"/>
      <c r="CH682" s="196"/>
      <c r="CI682" s="195"/>
      <c r="CJ682" s="195"/>
      <c r="CK682" s="195"/>
      <c r="CL682" s="195"/>
      <c r="CM682" s="196"/>
      <c r="CN682" s="195"/>
      <c r="CO682" s="195"/>
      <c r="CP682" s="195"/>
      <c r="CQ682" s="195"/>
      <c r="CR682" s="196"/>
      <c r="CS682" s="196"/>
      <c r="CT682" s="196"/>
      <c r="CU682" s="212"/>
      <c r="DA682" s="212"/>
      <c r="DB682" s="1226"/>
    </row>
    <row r="683" spans="1:106" x14ac:dyDescent="0.2">
      <c r="A683" s="923"/>
      <c r="B683" s="212"/>
      <c r="C683" s="212"/>
      <c r="D683" s="212"/>
      <c r="E683" s="212"/>
      <c r="F683" s="212"/>
      <c r="G683" s="212"/>
      <c r="H683" s="212"/>
      <c r="I683" s="212"/>
      <c r="J683" s="212"/>
      <c r="K683" s="212"/>
      <c r="L683" s="212"/>
      <c r="M683" s="212"/>
      <c r="N683" s="212"/>
      <c r="O683" s="212"/>
      <c r="P683" s="212"/>
      <c r="Q683" s="212"/>
      <c r="R683" s="212"/>
      <c r="S683" s="212"/>
      <c r="T683" s="212"/>
      <c r="U683" s="212"/>
      <c r="V683" s="212"/>
      <c r="W683" s="212"/>
      <c r="X683" s="212"/>
      <c r="Y683" s="212"/>
      <c r="Z683" s="212"/>
      <c r="AA683" s="212"/>
      <c r="AB683" s="212"/>
      <c r="AC683" s="212"/>
      <c r="AD683" s="212"/>
      <c r="AE683" s="212"/>
      <c r="AF683" s="212"/>
      <c r="AG683" s="212"/>
      <c r="AH683" s="212"/>
      <c r="AI683" s="212"/>
      <c r="AJ683" s="212"/>
      <c r="AK683" s="212"/>
      <c r="AL683" s="212"/>
      <c r="AM683" s="212"/>
      <c r="AN683" s="212"/>
      <c r="AO683" s="212"/>
      <c r="AP683" s="212"/>
      <c r="AQ683" s="212"/>
      <c r="AR683" s="212"/>
      <c r="AS683" s="212"/>
      <c r="AT683" s="212"/>
      <c r="AU683" s="212"/>
      <c r="AV683" s="212"/>
      <c r="AW683" s="212"/>
      <c r="AX683" s="212"/>
      <c r="AY683" s="212"/>
      <c r="AZ683" s="212"/>
      <c r="BA683" s="212"/>
      <c r="BB683" s="212"/>
      <c r="BC683" s="212"/>
      <c r="BD683" s="212"/>
      <c r="BE683" s="212"/>
      <c r="BF683" s="212"/>
      <c r="BG683" s="212"/>
      <c r="BH683" s="212"/>
      <c r="BI683" s="212"/>
      <c r="BJ683" s="212"/>
      <c r="BK683" s="212"/>
      <c r="BL683" s="212"/>
      <c r="BM683" s="212"/>
      <c r="BN683" s="212"/>
      <c r="BO683" s="212"/>
      <c r="BR683" s="212"/>
      <c r="BS683" s="212"/>
      <c r="BT683" s="212"/>
      <c r="BU683" s="212"/>
      <c r="BV683" s="212"/>
      <c r="BW683" s="212"/>
      <c r="BX683" s="212"/>
      <c r="BY683" s="212"/>
      <c r="BZ683" s="212"/>
      <c r="CA683" s="212"/>
      <c r="CB683" s="212"/>
      <c r="CC683" s="212"/>
      <c r="CD683" s="212"/>
      <c r="CE683" s="212"/>
      <c r="CF683" s="212"/>
      <c r="CG683" s="212"/>
      <c r="CH683" s="212"/>
      <c r="CI683" s="212"/>
      <c r="CJ683" s="212"/>
      <c r="CK683" s="212"/>
      <c r="CL683" s="212"/>
      <c r="CM683" s="212"/>
      <c r="CN683" s="212"/>
      <c r="CO683" s="212"/>
      <c r="CP683" s="212"/>
      <c r="CQ683" s="212"/>
      <c r="CR683" s="212"/>
      <c r="CS683" s="212"/>
      <c r="CT683" s="212"/>
      <c r="CU683" s="212"/>
      <c r="DA683" s="212"/>
      <c r="DB683" s="1226"/>
    </row>
    <row r="684" spans="1:106" x14ac:dyDescent="0.2">
      <c r="A684" s="923"/>
      <c r="B684" s="212"/>
      <c r="C684" s="212"/>
      <c r="D684" s="212"/>
      <c r="E684" s="212"/>
      <c r="F684" s="212"/>
      <c r="G684" s="212"/>
      <c r="H684" s="212"/>
      <c r="I684" s="212"/>
      <c r="J684" s="212"/>
      <c r="K684" s="212"/>
      <c r="L684" s="212"/>
      <c r="M684" s="212"/>
      <c r="N684" s="212"/>
      <c r="O684" s="212"/>
      <c r="P684" s="212"/>
      <c r="Q684" s="212"/>
      <c r="R684" s="212"/>
      <c r="S684" s="212"/>
      <c r="T684" s="212"/>
      <c r="U684" s="212"/>
      <c r="V684" s="212"/>
      <c r="W684" s="212"/>
      <c r="X684" s="212"/>
      <c r="Y684" s="212"/>
      <c r="Z684" s="212"/>
      <c r="AA684" s="212"/>
      <c r="AB684" s="212"/>
      <c r="AC684" s="212"/>
      <c r="AD684" s="212"/>
      <c r="AE684" s="212"/>
      <c r="AF684" s="212"/>
      <c r="AG684" s="212"/>
      <c r="AH684" s="212"/>
      <c r="AI684" s="212"/>
      <c r="AJ684" s="212"/>
      <c r="AK684" s="212"/>
      <c r="AL684" s="212"/>
      <c r="AM684" s="212"/>
      <c r="AN684" s="212"/>
      <c r="AO684" s="212"/>
      <c r="AP684" s="212"/>
      <c r="AQ684" s="212"/>
      <c r="AR684" s="212"/>
      <c r="AS684" s="212"/>
      <c r="AT684" s="212"/>
      <c r="AU684" s="212"/>
      <c r="AV684" s="212"/>
      <c r="AW684" s="212"/>
      <c r="AX684" s="212"/>
      <c r="AY684" s="212"/>
      <c r="AZ684" s="212"/>
      <c r="BA684" s="212"/>
      <c r="BB684" s="212"/>
      <c r="BC684" s="212"/>
      <c r="BD684" s="212"/>
      <c r="BE684" s="212"/>
      <c r="BF684" s="212"/>
      <c r="BG684" s="212"/>
      <c r="BH684" s="212"/>
      <c r="BI684" s="212"/>
      <c r="BJ684" s="212"/>
      <c r="BK684" s="212"/>
      <c r="BL684" s="212"/>
      <c r="BM684" s="212"/>
      <c r="BN684" s="212"/>
      <c r="BO684" s="212"/>
      <c r="BR684" s="212"/>
      <c r="BS684" s="212"/>
      <c r="BT684" s="212"/>
      <c r="BU684" s="212"/>
      <c r="BV684" s="212"/>
      <c r="BW684" s="212"/>
      <c r="BX684" s="212"/>
      <c r="BY684" s="212"/>
      <c r="BZ684" s="212"/>
      <c r="CA684" s="212"/>
      <c r="CB684" s="212"/>
      <c r="CC684" s="212"/>
      <c r="CD684" s="212"/>
      <c r="CE684" s="212"/>
      <c r="CF684" s="212"/>
      <c r="CG684" s="212"/>
      <c r="CH684" s="212"/>
      <c r="CI684" s="212"/>
      <c r="CJ684" s="212"/>
      <c r="CK684" s="212"/>
      <c r="CL684" s="212"/>
      <c r="CM684" s="212"/>
      <c r="CN684" s="212"/>
      <c r="CO684" s="212"/>
      <c r="CP684" s="212"/>
      <c r="CQ684" s="212"/>
      <c r="CR684" s="212"/>
      <c r="CS684" s="212"/>
      <c r="CT684" s="212"/>
      <c r="CU684" s="212"/>
      <c r="DA684" s="212"/>
      <c r="DB684" s="1226"/>
    </row>
    <row r="685" spans="1:106" x14ac:dyDescent="0.2">
      <c r="A685" s="873" t="s">
        <v>308</v>
      </c>
      <c r="B685" s="1450" t="str">
        <f t="shared" ref="B685:BM685" si="426">B5</f>
        <v>1Q00</v>
      </c>
      <c r="C685" s="1450" t="str">
        <f t="shared" si="426"/>
        <v>2Q00</v>
      </c>
      <c r="D685" s="1450" t="str">
        <f t="shared" si="426"/>
        <v>3Q00</v>
      </c>
      <c r="E685" s="1450" t="str">
        <f t="shared" si="426"/>
        <v>4Q00</v>
      </c>
      <c r="F685" s="1450">
        <f t="shared" si="426"/>
        <v>2000</v>
      </c>
      <c r="G685" s="1450" t="str">
        <f t="shared" si="426"/>
        <v>1Q01</v>
      </c>
      <c r="H685" s="1450" t="str">
        <f t="shared" si="426"/>
        <v>2Q01</v>
      </c>
      <c r="I685" s="1450" t="str">
        <f t="shared" si="426"/>
        <v>3Q01</v>
      </c>
      <c r="J685" s="1450" t="str">
        <f t="shared" si="426"/>
        <v>4Q01</v>
      </c>
      <c r="K685" s="1450">
        <f t="shared" si="426"/>
        <v>2001</v>
      </c>
      <c r="L685" s="1450" t="str">
        <f t="shared" si="426"/>
        <v>1Q02</v>
      </c>
      <c r="M685" s="1450" t="str">
        <f t="shared" si="426"/>
        <v>2Q02</v>
      </c>
      <c r="N685" s="1450" t="str">
        <f t="shared" si="426"/>
        <v>3Q02</v>
      </c>
      <c r="O685" s="1450" t="str">
        <f t="shared" si="426"/>
        <v>4Q02</v>
      </c>
      <c r="P685" s="1450">
        <f t="shared" si="426"/>
        <v>2002</v>
      </c>
      <c r="Q685" s="1450" t="str">
        <f t="shared" si="426"/>
        <v>1Q03</v>
      </c>
      <c r="R685" s="1450" t="str">
        <f t="shared" si="426"/>
        <v>2Q03</v>
      </c>
      <c r="S685" s="1450" t="str">
        <f t="shared" si="426"/>
        <v>3Q03</v>
      </c>
      <c r="T685" s="1450" t="str">
        <f t="shared" si="426"/>
        <v>4Q03</v>
      </c>
      <c r="U685" s="1450">
        <f t="shared" si="426"/>
        <v>2003</v>
      </c>
      <c r="V685" s="1450" t="str">
        <f t="shared" si="426"/>
        <v>1Q04</v>
      </c>
      <c r="W685" s="1450" t="str">
        <f t="shared" si="426"/>
        <v>2Q04</v>
      </c>
      <c r="X685" s="1450" t="str">
        <f t="shared" si="426"/>
        <v>3Q04</v>
      </c>
      <c r="Y685" s="1450" t="str">
        <f t="shared" si="426"/>
        <v>4Q04</v>
      </c>
      <c r="Z685" s="1450" t="str">
        <f t="shared" si="426"/>
        <v>2004</v>
      </c>
      <c r="AA685" s="1450" t="str">
        <f t="shared" si="426"/>
        <v>1Q05</v>
      </c>
      <c r="AB685" s="1450" t="str">
        <f t="shared" si="426"/>
        <v>2Q05</v>
      </c>
      <c r="AC685" s="1450" t="str">
        <f t="shared" si="426"/>
        <v>3Q05</v>
      </c>
      <c r="AD685" s="1450" t="str">
        <f t="shared" si="426"/>
        <v>4Q05</v>
      </c>
      <c r="AE685" s="1450">
        <f t="shared" si="426"/>
        <v>2005</v>
      </c>
      <c r="AF685" s="1450" t="str">
        <f t="shared" si="426"/>
        <v>1Q06</v>
      </c>
      <c r="AG685" s="1450" t="str">
        <f t="shared" si="426"/>
        <v>2Q06</v>
      </c>
      <c r="AH685" s="1450" t="str">
        <f t="shared" si="426"/>
        <v>3Q06</v>
      </c>
      <c r="AI685" s="1450" t="str">
        <f t="shared" si="426"/>
        <v>4Q06</v>
      </c>
      <c r="AJ685" s="1450">
        <f t="shared" si="426"/>
        <v>2006</v>
      </c>
      <c r="AK685" s="1450" t="str">
        <f t="shared" si="426"/>
        <v>1Q07</v>
      </c>
      <c r="AL685" s="1450" t="str">
        <f t="shared" si="426"/>
        <v>2Q07</v>
      </c>
      <c r="AM685" s="1450" t="str">
        <f t="shared" si="426"/>
        <v>3Q07</v>
      </c>
      <c r="AN685" s="1450" t="str">
        <f t="shared" si="426"/>
        <v>4Q07</v>
      </c>
      <c r="AO685" s="1450" t="str">
        <f t="shared" si="426"/>
        <v>2007</v>
      </c>
      <c r="AP685" s="1450" t="str">
        <f t="shared" si="426"/>
        <v>1Q08</v>
      </c>
      <c r="AQ685" s="1450" t="str">
        <f t="shared" si="426"/>
        <v>2Q08</v>
      </c>
      <c r="AR685" s="1450" t="str">
        <f t="shared" si="426"/>
        <v>3Q08</v>
      </c>
      <c r="AS685" s="1450" t="str">
        <f t="shared" si="426"/>
        <v>4Q08</v>
      </c>
      <c r="AT685" s="1450" t="str">
        <f t="shared" si="426"/>
        <v>2008</v>
      </c>
      <c r="AU685" s="1450" t="str">
        <f t="shared" si="426"/>
        <v>1Q09</v>
      </c>
      <c r="AV685" s="1450" t="str">
        <f t="shared" si="426"/>
        <v>2Q09</v>
      </c>
      <c r="AW685" s="1450" t="str">
        <f t="shared" si="426"/>
        <v>3Q09</v>
      </c>
      <c r="AX685" s="1450" t="str">
        <f t="shared" si="426"/>
        <v>4Q09</v>
      </c>
      <c r="AY685" s="1450" t="str">
        <f t="shared" si="426"/>
        <v>2009</v>
      </c>
      <c r="AZ685" s="1450" t="str">
        <f t="shared" si="426"/>
        <v>1Q10</v>
      </c>
      <c r="BA685" s="1450" t="str">
        <f t="shared" si="426"/>
        <v>2Q10</v>
      </c>
      <c r="BB685" s="1450" t="str">
        <f t="shared" si="426"/>
        <v>3Q10</v>
      </c>
      <c r="BC685" s="1450" t="str">
        <f t="shared" si="426"/>
        <v>4Q10</v>
      </c>
      <c r="BD685" s="1450" t="str">
        <f t="shared" si="426"/>
        <v>2010</v>
      </c>
      <c r="BE685" s="1450" t="str">
        <f t="shared" si="426"/>
        <v>1Q11</v>
      </c>
      <c r="BF685" s="1450" t="str">
        <f t="shared" si="426"/>
        <v>2Q11</v>
      </c>
      <c r="BG685" s="1450" t="str">
        <f t="shared" si="426"/>
        <v>3Q11</v>
      </c>
      <c r="BH685" s="1450" t="str">
        <f t="shared" si="426"/>
        <v>4Q11</v>
      </c>
      <c r="BI685" s="1450">
        <f t="shared" si="426"/>
        <v>2011</v>
      </c>
      <c r="BJ685" s="1450" t="str">
        <f t="shared" si="426"/>
        <v>1Q12</v>
      </c>
      <c r="BK685" s="1450" t="str">
        <f t="shared" si="426"/>
        <v>2Q12</v>
      </c>
      <c r="BL685" s="1450" t="str">
        <f t="shared" si="426"/>
        <v>3Q12</v>
      </c>
      <c r="BM685" s="1450" t="str">
        <f t="shared" si="426"/>
        <v>4Q12</v>
      </c>
      <c r="BN685" s="1450">
        <f t="shared" ref="BN685:CS685" si="427">BN5</f>
        <v>2012</v>
      </c>
      <c r="BO685" s="1450" t="str">
        <f t="shared" si="427"/>
        <v>1Q13</v>
      </c>
      <c r="BP685" s="1450" t="str">
        <f t="shared" si="427"/>
        <v>2Q13</v>
      </c>
      <c r="BQ685" s="1450" t="str">
        <f t="shared" si="427"/>
        <v>3Q13</v>
      </c>
      <c r="BR685" s="1450" t="str">
        <f t="shared" si="427"/>
        <v>4Q13</v>
      </c>
      <c r="BS685" s="1450">
        <f t="shared" si="427"/>
        <v>2013</v>
      </c>
      <c r="BT685" s="1450" t="str">
        <f t="shared" si="427"/>
        <v>1Q14</v>
      </c>
      <c r="BU685" s="1450" t="str">
        <f t="shared" si="427"/>
        <v>2Q14</v>
      </c>
      <c r="BV685" s="1450" t="str">
        <f t="shared" si="427"/>
        <v>3Q14</v>
      </c>
      <c r="BW685" s="1450" t="str">
        <f>BW5</f>
        <v>4Q14</v>
      </c>
      <c r="BX685" s="1450">
        <f>BX5</f>
        <v>2014</v>
      </c>
      <c r="BY685" s="1450" t="str">
        <f t="shared" si="427"/>
        <v>1Q15</v>
      </c>
      <c r="BZ685" s="1450" t="str">
        <f t="shared" si="427"/>
        <v>2Q15</v>
      </c>
      <c r="CA685" s="1450" t="str">
        <f t="shared" si="427"/>
        <v>3Q15</v>
      </c>
      <c r="CB685" s="1450" t="str">
        <f t="shared" si="427"/>
        <v>4Q15</v>
      </c>
      <c r="CC685" s="1450">
        <f t="shared" si="427"/>
        <v>2015</v>
      </c>
      <c r="CD685" s="1450" t="str">
        <f t="shared" ref="CD685:CL685" si="428">CD5</f>
        <v>1Q16</v>
      </c>
      <c r="CE685" s="1450" t="str">
        <f t="shared" si="428"/>
        <v>2Q16</v>
      </c>
      <c r="CF685" s="1450" t="str">
        <f t="shared" si="428"/>
        <v>3Q16</v>
      </c>
      <c r="CG685" s="1450" t="str">
        <f t="shared" si="428"/>
        <v>4Q16</v>
      </c>
      <c r="CH685" s="1450">
        <f t="shared" si="428"/>
        <v>2016</v>
      </c>
      <c r="CI685" s="1450" t="str">
        <f t="shared" si="428"/>
        <v>1Q17</v>
      </c>
      <c r="CJ685" s="1450" t="str">
        <f t="shared" si="428"/>
        <v>2Q17</v>
      </c>
      <c r="CK685" s="1450" t="str">
        <f t="shared" si="428"/>
        <v>3Q17</v>
      </c>
      <c r="CL685" s="1450" t="str">
        <f t="shared" si="428"/>
        <v>4Q17A</v>
      </c>
      <c r="CM685" s="1450" t="str">
        <f t="shared" si="427"/>
        <v>2017A</v>
      </c>
      <c r="CN685" s="1450" t="str">
        <f t="shared" si="427"/>
        <v>1Q18E</v>
      </c>
      <c r="CO685" s="1450" t="str">
        <f t="shared" si="427"/>
        <v>2Q18E</v>
      </c>
      <c r="CP685" s="1450" t="str">
        <f t="shared" si="427"/>
        <v>3Q18E</v>
      </c>
      <c r="CQ685" s="1450" t="str">
        <f t="shared" si="427"/>
        <v>4Q18E</v>
      </c>
      <c r="CR685" s="1450" t="str">
        <f t="shared" si="427"/>
        <v>2018E</v>
      </c>
      <c r="CS685" s="1450" t="str">
        <f t="shared" si="427"/>
        <v>2019E</v>
      </c>
      <c r="CT685" s="1450" t="str">
        <f>CT5</f>
        <v>2020E</v>
      </c>
      <c r="DA685" s="212"/>
      <c r="DB685" s="1226"/>
    </row>
    <row r="686" spans="1:106" customFormat="1" ht="12.75" customHeight="1" x14ac:dyDescent="0.2">
      <c r="A686" s="1437" t="s">
        <v>610</v>
      </c>
      <c r="B686" s="770"/>
      <c r="C686" s="770"/>
      <c r="D686" s="770"/>
      <c r="E686" s="770"/>
      <c r="F686" s="1524"/>
      <c r="G686" s="770"/>
      <c r="H686" s="770"/>
      <c r="I686" s="770"/>
      <c r="J686" s="770"/>
      <c r="K686" s="1616"/>
      <c r="L686" s="374"/>
      <c r="M686" s="374"/>
      <c r="N686" s="374"/>
      <c r="O686" s="374"/>
      <c r="P686" s="1616"/>
      <c r="Q686" s="374"/>
      <c r="R686" s="374"/>
      <c r="S686" s="374"/>
      <c r="T686" s="374"/>
      <c r="U686" s="1616"/>
      <c r="V686" s="374"/>
      <c r="W686" s="374"/>
      <c r="X686" s="374"/>
      <c r="Y686" s="374"/>
      <c r="Z686" s="1616"/>
      <c r="AA686" s="374"/>
      <c r="AB686" s="374"/>
      <c r="AC686" s="374"/>
      <c r="AD686" s="374"/>
      <c r="AE686" s="1616"/>
      <c r="AF686" s="374"/>
      <c r="AG686" s="374"/>
      <c r="AH686" s="374"/>
      <c r="AI686" s="374"/>
      <c r="AJ686" s="1616"/>
      <c r="AK686" s="374"/>
      <c r="AL686" s="374"/>
      <c r="AM686" s="374"/>
      <c r="AN686" s="374"/>
      <c r="AO686" s="1616"/>
      <c r="AP686" s="374"/>
      <c r="AQ686" s="374"/>
      <c r="AR686" s="374"/>
      <c r="AS686" s="374"/>
      <c r="AT686" s="1616"/>
      <c r="AU686" s="374"/>
      <c r="AV686" s="374"/>
      <c r="AW686" s="374"/>
      <c r="AX686" s="374"/>
      <c r="AY686" s="1616"/>
      <c r="AZ686" s="374"/>
      <c r="BA686" s="374"/>
      <c r="BB686" s="374"/>
      <c r="BC686" s="374"/>
      <c r="BD686" s="1616"/>
      <c r="BE686" s="374"/>
      <c r="BF686" s="374"/>
      <c r="BG686" s="374"/>
      <c r="BH686" s="374"/>
      <c r="BI686" s="1616"/>
      <c r="BJ686" s="374"/>
      <c r="BK686" s="374"/>
      <c r="BL686" s="374"/>
      <c r="BM686" s="374"/>
      <c r="BN686" s="1616"/>
      <c r="BO686" s="374"/>
      <c r="BP686" s="374"/>
      <c r="BQ686" s="374"/>
      <c r="BR686" s="374"/>
      <c r="BS686" s="2091"/>
      <c r="BT686" s="374"/>
      <c r="BU686" s="374"/>
      <c r="BV686" s="374"/>
      <c r="BW686" s="374"/>
      <c r="BX686" s="2091"/>
      <c r="BY686" s="374"/>
      <c r="BZ686" s="374"/>
      <c r="CA686" s="374"/>
      <c r="CB686" s="374"/>
      <c r="CC686" s="1616"/>
      <c r="CD686" s="374"/>
      <c r="CE686" s="374"/>
      <c r="CF686" s="374"/>
      <c r="CG686" s="374"/>
      <c r="CH686" s="1616"/>
      <c r="CI686" s="374"/>
      <c r="CJ686" s="374"/>
      <c r="CK686" s="374"/>
      <c r="CL686" s="374"/>
      <c r="CM686" s="1616"/>
      <c r="CN686" s="374"/>
      <c r="CO686" s="374"/>
      <c r="CP686" s="374"/>
      <c r="CQ686" s="374"/>
      <c r="CR686" s="1616"/>
      <c r="CS686" s="1616"/>
      <c r="CT686" s="1616"/>
      <c r="DA686" s="212"/>
      <c r="DB686" s="1226"/>
    </row>
    <row r="687" spans="1:106" s="212" customFormat="1" ht="12.75" customHeight="1" x14ac:dyDescent="0.2">
      <c r="A687" s="1436" t="s">
        <v>1716</v>
      </c>
      <c r="B687" s="777"/>
      <c r="C687" s="777"/>
      <c r="D687" s="777"/>
      <c r="E687" s="777"/>
      <c r="F687" s="235"/>
      <c r="G687" s="777"/>
      <c r="H687" s="777"/>
      <c r="I687" s="777"/>
      <c r="J687" s="777"/>
      <c r="K687" s="235"/>
      <c r="L687" s="777"/>
      <c r="M687" s="777"/>
      <c r="N687" s="777"/>
      <c r="O687" s="777"/>
      <c r="P687" s="631"/>
      <c r="Q687" s="777"/>
      <c r="R687" s="777"/>
      <c r="S687" s="777"/>
      <c r="T687" s="777"/>
      <c r="U687" s="631"/>
      <c r="V687" s="777"/>
      <c r="W687" s="777"/>
      <c r="X687" s="777"/>
      <c r="Y687" s="777"/>
      <c r="Z687" s="631"/>
      <c r="AA687" s="275"/>
      <c r="AB687" s="275"/>
      <c r="AC687" s="275"/>
      <c r="AD687" s="275"/>
      <c r="AE687" s="631"/>
      <c r="AF687" s="275"/>
      <c r="AG687" s="275"/>
      <c r="AH687" s="275"/>
      <c r="AI687" s="275"/>
      <c r="AJ687" s="631"/>
      <c r="AK687" s="275"/>
      <c r="AL687" s="275"/>
      <c r="AM687" s="275"/>
      <c r="AN687" s="275"/>
      <c r="AO687" s="631"/>
      <c r="AP687" s="275"/>
      <c r="AQ687" s="275"/>
      <c r="AR687" s="275"/>
      <c r="AS687" s="275"/>
      <c r="AT687" s="1458"/>
      <c r="AU687" s="275"/>
      <c r="AV687" s="275"/>
      <c r="AW687" s="275"/>
      <c r="AX687" s="275"/>
      <c r="AY687" s="1458"/>
      <c r="AZ687" s="1943"/>
      <c r="BA687" s="1943"/>
      <c r="BB687" s="1943"/>
      <c r="BC687" s="1943"/>
      <c r="BD687" s="1944"/>
      <c r="BE687" s="1943"/>
      <c r="BF687" s="1943"/>
      <c r="BG687" s="1943"/>
      <c r="BH687" s="1943"/>
      <c r="BI687" s="1944"/>
      <c r="BJ687" s="1943"/>
      <c r="BK687" s="1943"/>
      <c r="BL687" s="1943"/>
      <c r="BM687" s="1943"/>
      <c r="BN687" s="1944"/>
      <c r="BO687" s="1943"/>
      <c r="BP687" s="1943"/>
      <c r="BQ687" s="1943"/>
      <c r="BR687" s="1943"/>
      <c r="BS687" s="1944"/>
      <c r="BT687" s="1943"/>
      <c r="BU687" s="1943"/>
      <c r="BV687" s="733"/>
      <c r="BW687" s="1943"/>
      <c r="BX687" s="1944"/>
      <c r="BY687" s="733"/>
      <c r="BZ687" s="733"/>
      <c r="CA687" s="733"/>
      <c r="CB687" s="733"/>
      <c r="CC687" s="1458"/>
      <c r="CD687" s="733"/>
      <c r="CE687" s="733"/>
      <c r="CF687" s="733"/>
      <c r="CG687" s="733"/>
      <c r="CH687" s="1458"/>
      <c r="CI687" s="733"/>
      <c r="CJ687" s="733"/>
      <c r="CK687" s="733"/>
      <c r="CL687" s="733"/>
      <c r="CM687" s="1458"/>
      <c r="CN687" s="733"/>
      <c r="CO687" s="733"/>
      <c r="CP687" s="733"/>
      <c r="CQ687" s="733"/>
      <c r="CR687" s="1458"/>
      <c r="CS687" s="1458"/>
      <c r="CT687" s="1458"/>
      <c r="DB687" s="1226"/>
    </row>
    <row r="688" spans="1:106" s="212" customFormat="1" ht="12.75" customHeight="1" x14ac:dyDescent="0.2">
      <c r="A688" s="1434" t="s">
        <v>1644</v>
      </c>
      <c r="B688" s="777"/>
      <c r="C688" s="777"/>
      <c r="D688" s="777"/>
      <c r="E688" s="777"/>
      <c r="F688" s="235"/>
      <c r="G688" s="777"/>
      <c r="H688" s="777"/>
      <c r="I688" s="777"/>
      <c r="J688" s="777"/>
      <c r="K688" s="235"/>
      <c r="L688" s="777"/>
      <c r="M688" s="777"/>
      <c r="N688" s="777"/>
      <c r="O688" s="777"/>
      <c r="P688" s="631"/>
      <c r="Q688" s="777"/>
      <c r="R688" s="777"/>
      <c r="S688" s="777"/>
      <c r="T688" s="777"/>
      <c r="U688" s="631"/>
      <c r="V688" s="777"/>
      <c r="W688" s="777"/>
      <c r="X688" s="777"/>
      <c r="Y688" s="777"/>
      <c r="Z688" s="631"/>
      <c r="AA688" s="275"/>
      <c r="AB688" s="275"/>
      <c r="AC688" s="275"/>
      <c r="AD688" s="275"/>
      <c r="AE688" s="631"/>
      <c r="AF688" s="275"/>
      <c r="AG688" s="275"/>
      <c r="AH688" s="275"/>
      <c r="AI688" s="275"/>
      <c r="AJ688" s="631"/>
      <c r="AK688" s="275"/>
      <c r="AL688" s="275"/>
      <c r="AM688" s="275"/>
      <c r="AN688" s="275"/>
      <c r="AO688" s="631"/>
      <c r="AP688" s="275"/>
      <c r="AQ688" s="275"/>
      <c r="AR688" s="275"/>
      <c r="AS688" s="275"/>
      <c r="AT688" s="1458"/>
      <c r="AU688" s="275"/>
      <c r="AV688" s="275"/>
      <c r="AW688" s="275"/>
      <c r="AX688" s="275"/>
      <c r="AY688" s="1458"/>
      <c r="AZ688" s="1943"/>
      <c r="BA688" s="1943"/>
      <c r="BB688" s="1943"/>
      <c r="BC688" s="1943"/>
      <c r="BD688" s="1944"/>
      <c r="BE688" s="1943"/>
      <c r="BF688" s="1943"/>
      <c r="BG688" s="1943"/>
      <c r="BH688" s="1943"/>
      <c r="BI688" s="1944"/>
      <c r="BJ688" s="1943"/>
      <c r="BK688" s="1943"/>
      <c r="BL688" s="1943"/>
      <c r="BM688" s="1943"/>
      <c r="BN688" s="1944"/>
      <c r="BO688" s="1943"/>
      <c r="BP688" s="1943"/>
      <c r="BQ688" s="1943"/>
      <c r="BR688" s="1943"/>
      <c r="BS688" s="1944"/>
      <c r="BT688" s="1943"/>
      <c r="BU688" s="1943"/>
      <c r="BV688" s="733"/>
      <c r="BW688" s="1943"/>
      <c r="BX688" s="1944"/>
      <c r="BY688" s="733"/>
      <c r="BZ688" s="733"/>
      <c r="CA688" s="733"/>
      <c r="CB688" s="733"/>
      <c r="CC688" s="1458"/>
      <c r="CD688" s="733"/>
      <c r="CE688" s="733"/>
      <c r="CF688" s="733"/>
      <c r="CG688" s="733"/>
      <c r="CH688" s="1458"/>
      <c r="CI688" s="733"/>
      <c r="CJ688" s="733"/>
      <c r="CK688" s="733"/>
      <c r="CL688" s="733"/>
      <c r="CM688" s="1458"/>
      <c r="CN688" s="733"/>
      <c r="CO688" s="733"/>
      <c r="CP688" s="733"/>
      <c r="CQ688" s="733"/>
      <c r="CR688" s="1458"/>
      <c r="CS688" s="1458"/>
      <c r="CT688" s="1458"/>
      <c r="DB688" s="1226"/>
    </row>
    <row r="689" spans="1:106" s="212" customFormat="1" ht="12.75" customHeight="1" x14ac:dyDescent="0.2">
      <c r="A689" s="1434" t="s">
        <v>1930</v>
      </c>
      <c r="B689" s="777"/>
      <c r="C689" s="777"/>
      <c r="D689" s="777"/>
      <c r="E689" s="777"/>
      <c r="F689" s="235"/>
      <c r="G689" s="777"/>
      <c r="H689" s="777"/>
      <c r="I689" s="777"/>
      <c r="J689" s="777"/>
      <c r="K689" s="235"/>
      <c r="L689" s="777"/>
      <c r="M689" s="777"/>
      <c r="N689" s="777"/>
      <c r="O689" s="777"/>
      <c r="P689" s="631"/>
      <c r="Q689" s="777"/>
      <c r="R689" s="777"/>
      <c r="S689" s="777"/>
      <c r="T689" s="777"/>
      <c r="U689" s="631"/>
      <c r="V689" s="777"/>
      <c r="W689" s="777"/>
      <c r="X689" s="777"/>
      <c r="Y689" s="777"/>
      <c r="Z689" s="631"/>
      <c r="AA689" s="275"/>
      <c r="AB689" s="275"/>
      <c r="AC689" s="275"/>
      <c r="AD689" s="275"/>
      <c r="AE689" s="631"/>
      <c r="AF689" s="275"/>
      <c r="AG689" s="275"/>
      <c r="AH689" s="275"/>
      <c r="AI689" s="275"/>
      <c r="AJ689" s="631"/>
      <c r="AK689" s="275"/>
      <c r="AL689" s="275"/>
      <c r="AM689" s="275"/>
      <c r="AN689" s="275"/>
      <c r="AO689" s="631"/>
      <c r="AP689" s="275"/>
      <c r="AQ689" s="275"/>
      <c r="AR689" s="275"/>
      <c r="AS689" s="275"/>
      <c r="AT689" s="1458"/>
      <c r="AU689" s="275"/>
      <c r="AV689" s="275"/>
      <c r="AW689" s="275"/>
      <c r="AX689" s="275"/>
      <c r="AY689" s="1458"/>
      <c r="AZ689" s="733"/>
      <c r="BA689" s="733"/>
      <c r="BB689" s="733"/>
      <c r="BC689" s="733"/>
      <c r="BD689" s="1458"/>
      <c r="BE689" s="1943"/>
      <c r="BF689" s="1943"/>
      <c r="BG689" s="1943"/>
      <c r="BH689" s="1943"/>
      <c r="BI689" s="1944"/>
      <c r="BJ689" s="1943"/>
      <c r="BK689" s="1943"/>
      <c r="BL689" s="1943"/>
      <c r="BM689" s="1943"/>
      <c r="BN689" s="1944"/>
      <c r="BO689" s="1943"/>
      <c r="BP689" s="1943"/>
      <c r="BQ689" s="1943"/>
      <c r="BR689" s="1943"/>
      <c r="BS689" s="1944"/>
      <c r="BT689" s="1943"/>
      <c r="BU689" s="1943"/>
      <c r="BV689" s="733"/>
      <c r="BW689" s="1943"/>
      <c r="BX689" s="1944"/>
      <c r="BY689" s="733"/>
      <c r="BZ689" s="733"/>
      <c r="CA689" s="733"/>
      <c r="CB689" s="733"/>
      <c r="CC689" s="1458"/>
      <c r="CD689" s="733"/>
      <c r="CE689" s="733"/>
      <c r="CF689" s="733"/>
      <c r="CG689" s="733"/>
      <c r="CH689" s="1458"/>
      <c r="CI689" s="733"/>
      <c r="CJ689" s="733"/>
      <c r="CK689" s="733"/>
      <c r="CL689" s="733"/>
      <c r="CM689" s="1458"/>
      <c r="CN689" s="733"/>
      <c r="CO689" s="733"/>
      <c r="CP689" s="733"/>
      <c r="CQ689" s="733"/>
      <c r="CR689" s="1458"/>
      <c r="CS689" s="1458"/>
      <c r="CT689" s="1458"/>
      <c r="DB689" s="1226"/>
    </row>
    <row r="690" spans="1:106" s="212" customFormat="1" ht="12.75" customHeight="1" x14ac:dyDescent="0.2">
      <c r="A690" s="1434" t="s">
        <v>1645</v>
      </c>
      <c r="B690" s="777"/>
      <c r="C690" s="777"/>
      <c r="D690" s="777"/>
      <c r="E690" s="777"/>
      <c r="F690" s="235"/>
      <c r="G690" s="777"/>
      <c r="H690" s="777"/>
      <c r="I690" s="777"/>
      <c r="J690" s="777"/>
      <c r="K690" s="235"/>
      <c r="L690" s="777"/>
      <c r="M690" s="777"/>
      <c r="N690" s="777"/>
      <c r="O690" s="777"/>
      <c r="P690" s="631"/>
      <c r="Q690" s="777"/>
      <c r="R690" s="777"/>
      <c r="S690" s="777"/>
      <c r="T690" s="777"/>
      <c r="U690" s="631"/>
      <c r="V690" s="777"/>
      <c r="W690" s="777"/>
      <c r="X690" s="777"/>
      <c r="Y690" s="777"/>
      <c r="Z690" s="631"/>
      <c r="AA690" s="275"/>
      <c r="AB690" s="275"/>
      <c r="AC690" s="275"/>
      <c r="AD690" s="275"/>
      <c r="AE690" s="631"/>
      <c r="AF690" s="275"/>
      <c r="AG690" s="275"/>
      <c r="AH690" s="275"/>
      <c r="AI690" s="275"/>
      <c r="AJ690" s="631"/>
      <c r="AK690" s="275"/>
      <c r="AL690" s="275"/>
      <c r="AM690" s="275"/>
      <c r="AN690" s="275"/>
      <c r="AO690" s="631"/>
      <c r="AP690" s="275"/>
      <c r="AQ690" s="275"/>
      <c r="AR690" s="275"/>
      <c r="AS690" s="275"/>
      <c r="AT690" s="1458"/>
      <c r="AU690" s="275"/>
      <c r="AV690" s="275"/>
      <c r="AW690" s="275"/>
      <c r="AX690" s="275"/>
      <c r="AY690" s="1458"/>
      <c r="AZ690" s="1943"/>
      <c r="BA690" s="1943"/>
      <c r="BB690" s="1943"/>
      <c r="BC690" s="1943"/>
      <c r="BD690" s="1944"/>
      <c r="BE690" s="1943"/>
      <c r="BF690" s="1943"/>
      <c r="BG690" s="1943"/>
      <c r="BH690" s="1943"/>
      <c r="BI690" s="1944"/>
      <c r="BJ690" s="1943"/>
      <c r="BK690" s="1943"/>
      <c r="BL690" s="1943"/>
      <c r="BM690" s="1943"/>
      <c r="BN690" s="1944"/>
      <c r="BO690" s="1943"/>
      <c r="BP690" s="1943"/>
      <c r="BQ690" s="1943"/>
      <c r="BR690" s="1943"/>
      <c r="BS690" s="1944"/>
      <c r="BT690" s="1943"/>
      <c r="BU690" s="1943"/>
      <c r="BV690" s="733"/>
      <c r="BW690" s="1943"/>
      <c r="BX690" s="1944"/>
      <c r="BY690" s="733"/>
      <c r="BZ690" s="733"/>
      <c r="CA690" s="733"/>
      <c r="CB690" s="733"/>
      <c r="CC690" s="1458"/>
      <c r="CD690" s="733"/>
      <c r="CE690" s="733"/>
      <c r="CF690" s="733"/>
      <c r="CG690" s="733"/>
      <c r="CH690" s="1458"/>
      <c r="CI690" s="733"/>
      <c r="CJ690" s="733"/>
      <c r="CK690" s="733"/>
      <c r="CL690" s="733"/>
      <c r="CM690" s="1458"/>
      <c r="CN690" s="733"/>
      <c r="CO690" s="733"/>
      <c r="CP690" s="733"/>
      <c r="CQ690" s="733"/>
      <c r="CR690" s="1458"/>
      <c r="CS690" s="1458"/>
      <c r="CT690" s="1458"/>
      <c r="DB690" s="1226"/>
    </row>
    <row r="691" spans="1:106" s="212" customFormat="1" ht="12.75" customHeight="1" x14ac:dyDescent="0.2">
      <c r="A691" s="1434" t="s">
        <v>808</v>
      </c>
      <c r="B691" s="777"/>
      <c r="C691" s="777"/>
      <c r="D691" s="777"/>
      <c r="E691" s="777"/>
      <c r="F691" s="235"/>
      <c r="G691" s="777"/>
      <c r="H691" s="777"/>
      <c r="I691" s="777"/>
      <c r="J691" s="777"/>
      <c r="K691" s="235"/>
      <c r="L691" s="777"/>
      <c r="M691" s="777"/>
      <c r="N691" s="777"/>
      <c r="O691" s="777"/>
      <c r="P691" s="631"/>
      <c r="Q691" s="777"/>
      <c r="R691" s="777"/>
      <c r="S691" s="777"/>
      <c r="T691" s="777"/>
      <c r="U691" s="631"/>
      <c r="V691" s="777"/>
      <c r="W691" s="777"/>
      <c r="X691" s="777"/>
      <c r="Y691" s="777"/>
      <c r="Z691" s="631"/>
      <c r="AA691" s="275"/>
      <c r="AB691" s="275"/>
      <c r="AC691" s="275"/>
      <c r="AD691" s="275"/>
      <c r="AE691" s="631"/>
      <c r="AF691" s="275"/>
      <c r="AG691" s="275"/>
      <c r="AH691" s="275"/>
      <c r="AI691" s="275"/>
      <c r="AJ691" s="631"/>
      <c r="AK691" s="275"/>
      <c r="AL691" s="275"/>
      <c r="AM691" s="275"/>
      <c r="AN691" s="275"/>
      <c r="AO691" s="631"/>
      <c r="AP691" s="275"/>
      <c r="AQ691" s="275"/>
      <c r="AR691" s="275"/>
      <c r="AS691" s="275"/>
      <c r="AT691" s="1458"/>
      <c r="AU691" s="275"/>
      <c r="AV691" s="275"/>
      <c r="AW691" s="275"/>
      <c r="AX691" s="275"/>
      <c r="AY691" s="1458"/>
      <c r="AZ691" s="1943"/>
      <c r="BA691" s="1943"/>
      <c r="BB691" s="1943"/>
      <c r="BC691" s="1943"/>
      <c r="BD691" s="1944"/>
      <c r="BE691" s="1943"/>
      <c r="BF691" s="1943"/>
      <c r="BG691" s="1943"/>
      <c r="BH691" s="1943"/>
      <c r="BI691" s="1944"/>
      <c r="BJ691" s="1943"/>
      <c r="BK691" s="1943"/>
      <c r="BL691" s="1943"/>
      <c r="BM691" s="1943"/>
      <c r="BN691" s="1944"/>
      <c r="BO691" s="1943"/>
      <c r="BP691" s="1943"/>
      <c r="BQ691" s="1943"/>
      <c r="BR691" s="1943"/>
      <c r="BS691" s="1944"/>
      <c r="BT691" s="1943"/>
      <c r="BU691" s="1943"/>
      <c r="BV691" s="733"/>
      <c r="BW691" s="1943"/>
      <c r="BX691" s="1944"/>
      <c r="BY691" s="733"/>
      <c r="BZ691" s="733"/>
      <c r="CA691" s="733"/>
      <c r="CB691" s="733"/>
      <c r="CC691" s="1458"/>
      <c r="CD691" s="733"/>
      <c r="CE691" s="733"/>
      <c r="CF691" s="733"/>
      <c r="CG691" s="733"/>
      <c r="CH691" s="1458"/>
      <c r="CI691" s="733"/>
      <c r="CJ691" s="733"/>
      <c r="CK691" s="733"/>
      <c r="CL691" s="733"/>
      <c r="CM691" s="1458"/>
      <c r="CN691" s="733"/>
      <c r="CO691" s="733"/>
      <c r="CP691" s="733"/>
      <c r="CQ691" s="733"/>
      <c r="CR691" s="1458"/>
      <c r="CS691" s="1458"/>
      <c r="CT691" s="1458"/>
      <c r="DB691" s="1226"/>
    </row>
    <row r="692" spans="1:106" s="212" customFormat="1" ht="12.75" customHeight="1" x14ac:dyDescent="0.2">
      <c r="A692" s="331" t="s">
        <v>933</v>
      </c>
      <c r="B692" s="1615"/>
      <c r="C692" s="1615"/>
      <c r="D692" s="1615"/>
      <c r="E692" s="1615"/>
      <c r="F692" s="1634"/>
      <c r="G692" s="1615"/>
      <c r="H692" s="1615"/>
      <c r="I692" s="1615"/>
      <c r="J692" s="1615"/>
      <c r="K692" s="1634"/>
      <c r="L692" s="1615"/>
      <c r="M692" s="1615"/>
      <c r="N692" s="1615"/>
      <c r="O692" s="1615"/>
      <c r="P692" s="1636"/>
      <c r="Q692" s="1615"/>
      <c r="R692" s="1615"/>
      <c r="S692" s="1615"/>
      <c r="T692" s="1615"/>
      <c r="U692" s="1636"/>
      <c r="V692" s="1615"/>
      <c r="W692" s="1615"/>
      <c r="X692" s="1615"/>
      <c r="Y692" s="1615"/>
      <c r="Z692" s="1636"/>
      <c r="AA692" s="1613"/>
      <c r="AB692" s="1613"/>
      <c r="AC692" s="1613"/>
      <c r="AD692" s="1613"/>
      <c r="AE692" s="1636"/>
      <c r="AF692" s="1871"/>
      <c r="AG692" s="1871"/>
      <c r="AH692" s="1871"/>
      <c r="AI692" s="1871"/>
      <c r="AJ692" s="1872"/>
      <c r="AK692" s="1871"/>
      <c r="AL692" s="1871"/>
      <c r="AM692" s="1871"/>
      <c r="AN692" s="1871"/>
      <c r="AO692" s="1872"/>
      <c r="AP692" s="1871"/>
      <c r="AQ692" s="1871"/>
      <c r="AR692" s="1871"/>
      <c r="AS692" s="1871"/>
      <c r="AT692" s="1872"/>
      <c r="AU692" s="1871"/>
      <c r="AV692" s="1871"/>
      <c r="AW692" s="1871"/>
      <c r="AX692" s="1871"/>
      <c r="AY692" s="1872"/>
      <c r="AZ692" s="1871"/>
      <c r="BA692" s="1871"/>
      <c r="BB692" s="1871"/>
      <c r="BC692" s="1871"/>
      <c r="BD692" s="1872"/>
      <c r="BE692" s="1871"/>
      <c r="BF692" s="1871"/>
      <c r="BG692" s="1871"/>
      <c r="BH692" s="1871"/>
      <c r="BI692" s="1872"/>
      <c r="BJ692" s="1871"/>
      <c r="BK692" s="1871"/>
      <c r="BL692" s="1871"/>
      <c r="BM692" s="1871"/>
      <c r="BN692" s="1872"/>
      <c r="BO692" s="1871"/>
      <c r="BP692" s="1871"/>
      <c r="BQ692" s="1871"/>
      <c r="BR692" s="1871"/>
      <c r="BS692" s="1872"/>
      <c r="BT692" s="1871"/>
      <c r="BU692" s="1871"/>
      <c r="BV692" s="1464"/>
      <c r="BW692" s="1871"/>
      <c r="BX692" s="1872"/>
      <c r="BY692" s="1464"/>
      <c r="BZ692" s="1464"/>
      <c r="CA692" s="1464"/>
      <c r="CB692" s="1464"/>
      <c r="CC692" s="1465"/>
      <c r="CD692" s="1464"/>
      <c r="CE692" s="1464"/>
      <c r="CF692" s="1464"/>
      <c r="CG692" s="1464"/>
      <c r="CH692" s="1465"/>
      <c r="CI692" s="1464"/>
      <c r="CJ692" s="1464"/>
      <c r="CK692" s="1464"/>
      <c r="CL692" s="1464"/>
      <c r="CM692" s="1465"/>
      <c r="CN692" s="1464"/>
      <c r="CO692" s="1464"/>
      <c r="CP692" s="1464"/>
      <c r="CQ692" s="1464"/>
      <c r="CR692" s="1465"/>
      <c r="CS692" s="1465"/>
      <c r="CT692" s="1465"/>
      <c r="DB692" s="1226"/>
    </row>
    <row r="693" spans="1:106" x14ac:dyDescent="0.2">
      <c r="DA693" s="212"/>
      <c r="DB693" s="1226"/>
    </row>
    <row r="697" spans="1:106" x14ac:dyDescent="0.2">
      <c r="AK697" s="1214"/>
      <c r="AL697" s="1214"/>
      <c r="AM697" s="1214"/>
      <c r="AN697" s="1214"/>
      <c r="AO697" s="1214"/>
      <c r="AP697" s="1214"/>
      <c r="AQ697" s="1214"/>
      <c r="AR697" s="1214"/>
      <c r="AS697" s="1214"/>
      <c r="AT697" s="1214"/>
      <c r="AU697" s="1214"/>
      <c r="AV697" s="1214"/>
      <c r="AW697" s="1214"/>
      <c r="AX697" s="1214"/>
      <c r="AY697" s="1214"/>
      <c r="AZ697" s="1214"/>
      <c r="BA697" s="1214"/>
      <c r="BB697" s="1214"/>
      <c r="BC697" s="1214"/>
      <c r="BD697" s="1214"/>
      <c r="BE697" s="1214"/>
      <c r="BF697" s="1214"/>
      <c r="BG697" s="1214"/>
      <c r="BH697" s="1214"/>
      <c r="BI697" s="1214"/>
      <c r="BJ697" s="1214"/>
      <c r="BK697" s="1214"/>
      <c r="BL697" s="1214"/>
    </row>
    <row r="698" spans="1:106" x14ac:dyDescent="0.2">
      <c r="AK698" s="1214"/>
      <c r="AL698" s="1214"/>
      <c r="AM698" s="1214"/>
      <c r="AN698" s="1214"/>
      <c r="AO698" s="1214"/>
      <c r="AP698" s="1214"/>
      <c r="AQ698" s="1214"/>
      <c r="AR698" s="1214"/>
      <c r="AS698" s="1214"/>
      <c r="AT698" s="1214"/>
      <c r="AU698" s="1214"/>
      <c r="AV698" s="1214"/>
      <c r="AW698" s="1214"/>
      <c r="AX698" s="1214"/>
      <c r="AY698" s="1214"/>
      <c r="AZ698" s="1214"/>
      <c r="BA698" s="1214"/>
      <c r="BB698" s="1214"/>
      <c r="BC698" s="1214"/>
      <c r="BD698" s="1214"/>
      <c r="BE698" s="1214"/>
      <c r="BF698" s="1214"/>
      <c r="BG698" s="1214"/>
      <c r="BH698" s="1214"/>
      <c r="BI698" s="1214"/>
      <c r="BJ698" s="1214"/>
      <c r="BK698" s="1214"/>
      <c r="BL698" s="1214"/>
    </row>
    <row r="699" spans="1:106" x14ac:dyDescent="0.2">
      <c r="AK699" s="1625"/>
      <c r="AL699" s="1625"/>
      <c r="AM699" s="1625"/>
      <c r="AN699" s="1625"/>
      <c r="AO699" s="1625"/>
      <c r="AP699" s="1625"/>
      <c r="AQ699" s="1625"/>
      <c r="AR699" s="1625"/>
      <c r="AS699" s="1625"/>
      <c r="AT699" s="1625"/>
      <c r="AU699" s="1625"/>
      <c r="AV699" s="1625"/>
      <c r="AW699" s="1625"/>
      <c r="AX699" s="1625"/>
      <c r="AY699" s="1625"/>
      <c r="AZ699" s="1625"/>
      <c r="BA699" s="1625"/>
      <c r="BB699" s="1625"/>
      <c r="BC699" s="1625"/>
      <c r="BD699" s="1625"/>
      <c r="BE699" s="1625"/>
      <c r="BF699" s="1625"/>
      <c r="BG699" s="1625"/>
      <c r="BH699" s="1625"/>
      <c r="BI699" s="1625"/>
      <c r="BJ699" s="1625"/>
      <c r="BK699" s="1625"/>
      <c r="BL699" s="1625"/>
    </row>
    <row r="700" spans="1:106" x14ac:dyDescent="0.2">
      <c r="AK700" s="1214"/>
      <c r="AL700" s="1214"/>
      <c r="AM700" s="1214"/>
      <c r="AN700" s="1214"/>
      <c r="AO700" s="1214"/>
      <c r="AP700" s="1214"/>
      <c r="AQ700" s="1214"/>
      <c r="AR700" s="1214"/>
      <c r="AS700" s="1214"/>
      <c r="AT700" s="1214"/>
      <c r="AU700" s="1214"/>
      <c r="AV700" s="1214"/>
      <c r="AW700" s="1214"/>
      <c r="AX700" s="1214"/>
      <c r="AY700" s="1214"/>
      <c r="AZ700" s="1214"/>
      <c r="BA700" s="1214"/>
      <c r="BB700" s="1214"/>
      <c r="BC700" s="1214"/>
      <c r="BD700" s="1214"/>
      <c r="BE700" s="1214"/>
      <c r="BF700" s="1214"/>
      <c r="BG700" s="1214"/>
      <c r="BH700" s="1214"/>
      <c r="BI700" s="1214"/>
      <c r="BJ700" s="1214"/>
      <c r="BK700" s="1214"/>
      <c r="BL700" s="1214"/>
    </row>
    <row r="701" spans="1:106" x14ac:dyDescent="0.2">
      <c r="AK701" s="1214"/>
      <c r="AL701" s="1214"/>
      <c r="AM701" s="1214"/>
      <c r="AN701" s="1214"/>
      <c r="AO701" s="1214"/>
      <c r="AP701" s="1214"/>
      <c r="AQ701" s="1214"/>
      <c r="AR701" s="1214"/>
      <c r="AS701" s="1214"/>
      <c r="AT701" s="1214"/>
      <c r="AU701" s="1214"/>
      <c r="AV701" s="1214"/>
      <c r="AW701" s="1214"/>
      <c r="AX701" s="1214"/>
      <c r="AY701" s="1214"/>
      <c r="AZ701" s="1214"/>
      <c r="BA701" s="1214"/>
      <c r="BB701" s="1214"/>
      <c r="BC701" s="1214"/>
      <c r="BD701" s="1214"/>
      <c r="BE701" s="1214"/>
      <c r="BF701" s="1214"/>
      <c r="BG701" s="1214"/>
      <c r="BH701" s="1214"/>
      <c r="BI701" s="1214"/>
      <c r="BJ701" s="1214"/>
      <c r="BK701" s="1214"/>
      <c r="BL701" s="1214"/>
    </row>
    <row r="702" spans="1:106" x14ac:dyDescent="0.2">
      <c r="AK702" s="1214"/>
      <c r="AL702" s="1214"/>
      <c r="AM702" s="1214"/>
      <c r="AN702" s="1214"/>
      <c r="AO702" s="1214"/>
      <c r="AP702" s="1214"/>
      <c r="AQ702" s="1214"/>
      <c r="AR702" s="1214"/>
      <c r="AS702" s="1214"/>
      <c r="AT702" s="1214"/>
      <c r="AU702" s="1214"/>
      <c r="AV702" s="1214"/>
      <c r="AW702" s="1214"/>
      <c r="AX702" s="1214"/>
      <c r="AY702" s="1214"/>
      <c r="AZ702" s="1214"/>
      <c r="BA702" s="1214"/>
      <c r="BB702" s="1214"/>
      <c r="BC702" s="1214"/>
      <c r="BD702" s="1214"/>
      <c r="BE702" s="1214"/>
      <c r="BF702" s="1214"/>
      <c r="BG702" s="1214"/>
      <c r="BH702" s="1214"/>
      <c r="BI702" s="1214"/>
      <c r="BJ702" s="1214"/>
      <c r="BK702" s="1214"/>
      <c r="BL702" s="1214"/>
    </row>
    <row r="703" spans="1:106" x14ac:dyDescent="0.2">
      <c r="AK703" s="1214"/>
      <c r="AL703" s="1214"/>
      <c r="AM703" s="1214"/>
      <c r="AN703" s="1214"/>
      <c r="AO703" s="1214"/>
      <c r="AP703" s="1214"/>
      <c r="AQ703" s="1214"/>
      <c r="AR703" s="1214"/>
      <c r="AS703" s="1214"/>
      <c r="AT703" s="1214"/>
      <c r="AU703" s="1214"/>
      <c r="AV703" s="1214"/>
      <c r="AW703" s="1214"/>
      <c r="AX703" s="1214"/>
      <c r="AY703" s="1214"/>
      <c r="AZ703" s="1214"/>
      <c r="BA703" s="1214"/>
      <c r="BB703" s="1214"/>
      <c r="BC703" s="1214"/>
      <c r="BD703" s="1214"/>
      <c r="BE703" s="1214"/>
      <c r="BF703" s="1214"/>
      <c r="BG703" s="1214"/>
      <c r="BH703" s="1214"/>
      <c r="BI703" s="1214"/>
      <c r="BJ703" s="1214"/>
      <c r="BK703" s="1214"/>
      <c r="BL703" s="1214"/>
    </row>
    <row r="704" spans="1:106" x14ac:dyDescent="0.2">
      <c r="AK704" s="1214"/>
      <c r="AL704" s="1214"/>
      <c r="AM704" s="1214"/>
      <c r="AN704" s="1214"/>
      <c r="AO704" s="1214"/>
      <c r="AP704" s="1214"/>
      <c r="AQ704" s="1214"/>
      <c r="AR704" s="1214"/>
      <c r="AS704" s="1214"/>
      <c r="AT704" s="1214"/>
      <c r="AU704" s="1214"/>
      <c r="AV704" s="1214"/>
      <c r="AW704" s="1214"/>
      <c r="AX704" s="1214"/>
      <c r="AY704" s="1214"/>
      <c r="AZ704" s="1214"/>
      <c r="BA704" s="1214"/>
      <c r="BB704" s="1214"/>
      <c r="BC704" s="1214"/>
      <c r="BD704" s="1214"/>
      <c r="BE704" s="1214"/>
      <c r="BF704" s="1214"/>
      <c r="BG704" s="1214"/>
      <c r="BH704" s="1214"/>
      <c r="BI704" s="1214"/>
      <c r="BJ704" s="1214"/>
      <c r="BK704" s="1214"/>
      <c r="BL704" s="1214"/>
    </row>
    <row r="705" spans="37:64" x14ac:dyDescent="0.2">
      <c r="AK705" s="1214"/>
      <c r="AL705" s="1214"/>
      <c r="AM705" s="1214"/>
      <c r="AN705" s="1214"/>
      <c r="AO705" s="1214"/>
      <c r="AP705" s="1214"/>
      <c r="AQ705" s="1214"/>
      <c r="AR705" s="1214"/>
      <c r="AS705" s="1214"/>
      <c r="AT705" s="1214"/>
      <c r="AU705" s="1214"/>
      <c r="AV705" s="1214"/>
      <c r="AW705" s="1214"/>
      <c r="AX705" s="1214"/>
      <c r="AY705" s="1214"/>
      <c r="AZ705" s="1214"/>
      <c r="BA705" s="1214"/>
      <c r="BB705" s="1214"/>
      <c r="BC705" s="1214"/>
      <c r="BD705" s="1214"/>
      <c r="BE705" s="1214"/>
      <c r="BF705" s="1214"/>
      <c r="BG705" s="1214"/>
      <c r="BH705" s="1214"/>
      <c r="BI705" s="1214"/>
      <c r="BJ705" s="1214"/>
      <c r="BK705" s="1214"/>
      <c r="BL705" s="1214"/>
    </row>
    <row r="707" spans="37:64" x14ac:dyDescent="0.2">
      <c r="AK707" s="1214"/>
      <c r="AL707" s="1214"/>
      <c r="AM707" s="1214"/>
      <c r="AN707" s="1214"/>
      <c r="AO707" s="1214"/>
      <c r="AP707" s="1214"/>
      <c r="AQ707" s="1214"/>
      <c r="AR707" s="1214"/>
      <c r="AS707" s="1214"/>
      <c r="AT707" s="1214"/>
      <c r="AU707" s="1214"/>
      <c r="AV707" s="1214"/>
      <c r="AW707" s="1214"/>
      <c r="AX707" s="1214"/>
      <c r="AY707" s="1214"/>
      <c r="AZ707" s="1214"/>
      <c r="BA707" s="1214"/>
      <c r="BB707" s="1214"/>
      <c r="BC707" s="1214"/>
      <c r="BD707" s="1214"/>
      <c r="BE707" s="1214"/>
      <c r="BF707" s="1214"/>
      <c r="BG707" s="1214"/>
      <c r="BH707" s="1214"/>
      <c r="BI707" s="1214"/>
      <c r="BJ707" s="1214"/>
      <c r="BK707" s="1214"/>
      <c r="BL707" s="1214"/>
    </row>
    <row r="708" spans="37:64" x14ac:dyDescent="0.2">
      <c r="AK708" s="1214"/>
      <c r="AL708" s="1214"/>
      <c r="AM708" s="1214"/>
      <c r="AN708" s="1214"/>
      <c r="AO708" s="1214"/>
      <c r="AP708" s="1214"/>
      <c r="AQ708" s="1214"/>
      <c r="AR708" s="1214"/>
      <c r="AS708" s="1214"/>
      <c r="AT708" s="1214"/>
      <c r="AU708" s="1214"/>
      <c r="AV708" s="1214"/>
      <c r="AW708" s="1214"/>
      <c r="AX708" s="1214"/>
      <c r="AY708" s="1214"/>
      <c r="AZ708" s="1214"/>
      <c r="BA708" s="1214"/>
      <c r="BB708" s="1214"/>
      <c r="BC708" s="1214"/>
      <c r="BD708" s="1214"/>
      <c r="BE708" s="1214"/>
      <c r="BF708" s="1214"/>
      <c r="BG708" s="1214"/>
      <c r="BH708" s="1214"/>
      <c r="BI708" s="1214"/>
      <c r="BJ708" s="1214"/>
      <c r="BK708" s="1214"/>
      <c r="BL708" s="1214"/>
    </row>
    <row r="709" spans="37:64" x14ac:dyDescent="0.2">
      <c r="AK709" s="1214"/>
      <c r="AL709" s="1214"/>
      <c r="AM709" s="1214"/>
      <c r="AN709" s="1214"/>
      <c r="AO709" s="1214"/>
      <c r="AP709" s="1214"/>
      <c r="AQ709" s="1214"/>
      <c r="AR709" s="1214"/>
      <c r="AS709" s="1214"/>
      <c r="AT709" s="1214"/>
      <c r="AU709" s="1214"/>
      <c r="AV709" s="1214"/>
      <c r="AW709" s="1214"/>
      <c r="AX709" s="1214"/>
      <c r="AY709" s="1214"/>
      <c r="AZ709" s="1214"/>
      <c r="BA709" s="1214"/>
      <c r="BB709" s="1214"/>
      <c r="BC709" s="1214"/>
      <c r="BD709" s="1214"/>
      <c r="BE709" s="1214"/>
      <c r="BF709" s="1214"/>
      <c r="BG709" s="1214"/>
      <c r="BH709" s="1214"/>
      <c r="BI709" s="1214"/>
      <c r="BJ709" s="1214"/>
      <c r="BK709" s="1214"/>
      <c r="BL709" s="1214"/>
    </row>
    <row r="710" spans="37:64" x14ac:dyDescent="0.2">
      <c r="AK710" s="1214"/>
      <c r="AL710" s="1214"/>
      <c r="AM710" s="1214"/>
      <c r="AN710" s="1214"/>
      <c r="AO710" s="1214"/>
      <c r="AP710" s="1214"/>
      <c r="AQ710" s="1214"/>
      <c r="AR710" s="1214"/>
      <c r="AS710" s="1214"/>
      <c r="AT710" s="1214"/>
      <c r="AU710" s="1214"/>
      <c r="AV710" s="1214"/>
      <c r="AW710" s="1214"/>
      <c r="AX710" s="1214"/>
      <c r="AY710" s="1214"/>
      <c r="AZ710" s="1214"/>
      <c r="BA710" s="1214"/>
      <c r="BB710" s="1214"/>
      <c r="BC710" s="1214"/>
      <c r="BD710" s="1214"/>
      <c r="BE710" s="1214"/>
      <c r="BF710" s="1214"/>
      <c r="BG710" s="1214"/>
      <c r="BH710" s="1214"/>
      <c r="BI710" s="1214"/>
      <c r="BJ710" s="1214"/>
      <c r="BK710" s="1214"/>
      <c r="BL710" s="1214"/>
    </row>
    <row r="711" spans="37:64" x14ac:dyDescent="0.2">
      <c r="AK711" s="1214"/>
      <c r="AL711" s="1214"/>
      <c r="AM711" s="1214"/>
      <c r="AN711" s="1214"/>
      <c r="AO711" s="1214"/>
      <c r="AP711" s="1214"/>
      <c r="AQ711" s="1214"/>
      <c r="AR711" s="1214"/>
      <c r="AS711" s="1214"/>
      <c r="AT711" s="1214"/>
      <c r="AU711" s="1214"/>
      <c r="AV711" s="1214"/>
      <c r="AW711" s="1214"/>
      <c r="AX711" s="1214"/>
      <c r="AY711" s="1214"/>
      <c r="AZ711" s="1214"/>
      <c r="BA711" s="1214"/>
      <c r="BB711" s="1214"/>
      <c r="BC711" s="1214"/>
      <c r="BD711" s="1214"/>
      <c r="BE711" s="1214"/>
      <c r="BF711" s="1214"/>
      <c r="BG711" s="1214"/>
      <c r="BH711" s="1214"/>
      <c r="BI711" s="1214"/>
      <c r="BJ711" s="1214"/>
      <c r="BK711" s="1214"/>
      <c r="BL711" s="1214"/>
    </row>
    <row r="712" spans="37:64" x14ac:dyDescent="0.2">
      <c r="AK712" s="1214"/>
      <c r="AL712" s="1214"/>
      <c r="AM712" s="1214"/>
      <c r="AN712" s="1214"/>
      <c r="AO712" s="1214"/>
      <c r="AP712" s="1214"/>
      <c r="AQ712" s="1214"/>
      <c r="AR712" s="1214"/>
      <c r="AS712" s="1214"/>
      <c r="AT712" s="1214"/>
      <c r="AU712" s="1214"/>
      <c r="AV712" s="1214"/>
      <c r="AW712" s="1214"/>
      <c r="AX712" s="1214"/>
      <c r="AY712" s="1214"/>
      <c r="AZ712" s="1214"/>
      <c r="BA712" s="1214"/>
      <c r="BB712" s="1214"/>
      <c r="BC712" s="1214"/>
      <c r="BD712" s="1214"/>
      <c r="BE712" s="1214"/>
      <c r="BF712" s="1214"/>
      <c r="BG712" s="1214"/>
      <c r="BH712" s="1214"/>
      <c r="BI712" s="1214"/>
      <c r="BJ712" s="1214"/>
      <c r="BK712" s="1214"/>
      <c r="BL712" s="1214"/>
    </row>
    <row r="721" spans="37:64" x14ac:dyDescent="0.2">
      <c r="AK721" s="1214"/>
      <c r="AL721" s="1214"/>
      <c r="AM721" s="1214"/>
      <c r="AN721" s="1214"/>
      <c r="AO721" s="1214"/>
      <c r="AP721" s="1214"/>
      <c r="AQ721" s="1214"/>
      <c r="AR721" s="1214"/>
      <c r="AS721" s="1214"/>
      <c r="AT721" s="1214"/>
      <c r="AU721" s="1214"/>
      <c r="AV721" s="1214"/>
      <c r="AW721" s="1214"/>
      <c r="AX721" s="1214"/>
      <c r="AY721" s="1214"/>
      <c r="AZ721" s="1214"/>
      <c r="BA721" s="1214"/>
      <c r="BB721" s="1214"/>
      <c r="BC721" s="1214"/>
      <c r="BD721" s="1214"/>
      <c r="BE721" s="1214"/>
      <c r="BF721" s="1214"/>
      <c r="BG721" s="1214"/>
      <c r="BH721" s="1214"/>
      <c r="BI721" s="1214"/>
      <c r="BJ721" s="1214"/>
      <c r="BK721" s="1214"/>
      <c r="BL721" s="1214"/>
    </row>
    <row r="722" spans="37:64" x14ac:dyDescent="0.2">
      <c r="AK722" s="1214"/>
      <c r="AL722" s="1214"/>
      <c r="AM722" s="1214"/>
      <c r="AN722" s="1214"/>
      <c r="AO722" s="1214"/>
      <c r="AP722" s="1214"/>
      <c r="AQ722" s="1214"/>
      <c r="AR722" s="1214"/>
      <c r="AS722" s="1214"/>
      <c r="AT722" s="1214"/>
      <c r="AU722" s="1214"/>
      <c r="AV722" s="1214"/>
      <c r="AW722" s="1214"/>
      <c r="AX722" s="1214"/>
      <c r="AY722" s="1214"/>
      <c r="AZ722" s="1214"/>
      <c r="BA722" s="1214"/>
      <c r="BB722" s="1214"/>
      <c r="BC722" s="1214"/>
      <c r="BD722" s="1214"/>
      <c r="BE722" s="1214"/>
      <c r="BF722" s="1214"/>
      <c r="BG722" s="1214"/>
      <c r="BH722" s="1214"/>
      <c r="BI722" s="1214"/>
      <c r="BJ722" s="1214"/>
      <c r="BK722" s="1214"/>
      <c r="BL722" s="1214"/>
    </row>
    <row r="723" spans="37:64" x14ac:dyDescent="0.2">
      <c r="AK723" s="1214"/>
      <c r="AL723" s="1214"/>
      <c r="AM723" s="1214"/>
      <c r="AN723" s="1214"/>
      <c r="AO723" s="1214"/>
      <c r="AP723" s="1214"/>
      <c r="AQ723" s="1214"/>
      <c r="AR723" s="1214"/>
      <c r="AS723" s="1214"/>
      <c r="AT723" s="1214"/>
      <c r="AU723" s="1214"/>
      <c r="AV723" s="1214"/>
      <c r="AW723" s="1214"/>
      <c r="AX723" s="1214"/>
      <c r="AY723" s="1214"/>
      <c r="AZ723" s="1214"/>
      <c r="BA723" s="1214"/>
      <c r="BB723" s="1214"/>
      <c r="BC723" s="1214"/>
      <c r="BD723" s="1214"/>
      <c r="BE723" s="1214"/>
      <c r="BF723" s="1214"/>
      <c r="BG723" s="1214"/>
      <c r="BH723" s="1214"/>
      <c r="BI723" s="1214"/>
      <c r="BJ723" s="1214"/>
      <c r="BK723" s="1214"/>
      <c r="BL723" s="1214"/>
    </row>
    <row r="724" spans="37:64" x14ac:dyDescent="0.2">
      <c r="AK724" s="1214"/>
      <c r="AL724" s="1214"/>
      <c r="AM724" s="1214"/>
      <c r="AN724" s="1214"/>
      <c r="AO724" s="1214"/>
      <c r="AP724" s="1214"/>
      <c r="AQ724" s="1214"/>
      <c r="AR724" s="1214"/>
      <c r="AS724" s="1214"/>
      <c r="AT724" s="1214"/>
      <c r="AU724" s="1214"/>
      <c r="AV724" s="1214"/>
      <c r="AW724" s="1214"/>
      <c r="AX724" s="1214"/>
      <c r="AY724" s="1214"/>
      <c r="AZ724" s="1214"/>
      <c r="BA724" s="1214"/>
      <c r="BB724" s="1214"/>
      <c r="BC724" s="1214"/>
      <c r="BD724" s="1214"/>
      <c r="BE724" s="1214"/>
      <c r="BF724" s="1214"/>
      <c r="BG724" s="1214"/>
      <c r="BH724" s="1214"/>
      <c r="BI724" s="1214"/>
      <c r="BJ724" s="1214"/>
      <c r="BK724" s="1214"/>
      <c r="BL724" s="1214"/>
    </row>
    <row r="725" spans="37:64" x14ac:dyDescent="0.2">
      <c r="AK725" s="1214"/>
      <c r="AL725" s="1214"/>
      <c r="AM725" s="1214"/>
      <c r="AN725" s="1214"/>
      <c r="AO725" s="1214"/>
      <c r="AP725" s="1214"/>
      <c r="AQ725" s="1214"/>
      <c r="AR725" s="1214"/>
      <c r="AS725" s="1214"/>
      <c r="AT725" s="1214"/>
      <c r="AU725" s="1214"/>
      <c r="AV725" s="1214"/>
      <c r="AW725" s="1214"/>
      <c r="AX725" s="1214"/>
      <c r="AY725" s="1214"/>
      <c r="AZ725" s="1214"/>
      <c r="BA725" s="1214"/>
      <c r="BB725" s="1214"/>
      <c r="BC725" s="1214"/>
      <c r="BD725" s="1214"/>
      <c r="BE725" s="1214"/>
      <c r="BF725" s="1214"/>
      <c r="BG725" s="1214"/>
      <c r="BH725" s="1214"/>
      <c r="BI725" s="1214"/>
      <c r="BJ725" s="1214"/>
      <c r="BK725" s="1214"/>
      <c r="BL725" s="1214"/>
    </row>
    <row r="726" spans="37:64" x14ac:dyDescent="0.2">
      <c r="AK726" s="1214"/>
      <c r="AL726" s="1214"/>
      <c r="AM726" s="1214"/>
      <c r="AN726" s="1214"/>
      <c r="AO726" s="1214"/>
      <c r="AP726" s="1214"/>
      <c r="AQ726" s="1214"/>
      <c r="AR726" s="1214"/>
      <c r="AS726" s="1214"/>
      <c r="AT726" s="1214"/>
      <c r="AU726" s="1214"/>
      <c r="AV726" s="1214"/>
      <c r="AW726" s="1214"/>
      <c r="AX726" s="1214"/>
      <c r="AY726" s="1214"/>
      <c r="AZ726" s="1214"/>
      <c r="BA726" s="1214"/>
      <c r="BB726" s="1214"/>
      <c r="BC726" s="1214"/>
      <c r="BD726" s="1214"/>
      <c r="BE726" s="1214"/>
      <c r="BF726" s="1214"/>
      <c r="BG726" s="1214"/>
      <c r="BH726" s="1214"/>
      <c r="BI726" s="1214"/>
      <c r="BJ726" s="1214"/>
      <c r="BK726" s="1214"/>
      <c r="BL726" s="1214"/>
    </row>
    <row r="727" spans="37:64" x14ac:dyDescent="0.2">
      <c r="AK727" s="1214"/>
      <c r="AL727" s="1214"/>
      <c r="AM727" s="1214"/>
      <c r="AN727" s="1214"/>
      <c r="AO727" s="1214"/>
      <c r="AP727" s="1214"/>
      <c r="AQ727" s="1214"/>
      <c r="AR727" s="1214"/>
      <c r="AS727" s="1214"/>
      <c r="AT727" s="1214"/>
      <c r="AU727" s="1214"/>
      <c r="AV727" s="1214"/>
      <c r="AW727" s="1214"/>
      <c r="AX727" s="1214"/>
      <c r="AY727" s="1214"/>
      <c r="AZ727" s="1214"/>
      <c r="BA727" s="1214"/>
      <c r="BB727" s="1214"/>
      <c r="BC727" s="1214"/>
      <c r="BD727" s="1214"/>
      <c r="BE727" s="1214"/>
      <c r="BF727" s="1214"/>
      <c r="BG727" s="1214"/>
      <c r="BH727" s="1214"/>
      <c r="BI727" s="1214"/>
      <c r="BJ727" s="1214"/>
      <c r="BK727" s="1214"/>
      <c r="BL727" s="1214"/>
    </row>
    <row r="728" spans="37:64" x14ac:dyDescent="0.2">
      <c r="AK728" s="1214"/>
      <c r="AL728" s="1214"/>
      <c r="AM728" s="1214"/>
      <c r="AN728" s="1214"/>
      <c r="AO728" s="1214"/>
      <c r="AP728" s="1214"/>
      <c r="AQ728" s="1214"/>
      <c r="AR728" s="1214"/>
      <c r="AS728" s="1214"/>
      <c r="AT728" s="1214"/>
      <c r="AU728" s="1214"/>
      <c r="AV728" s="1214"/>
      <c r="AW728" s="1214"/>
      <c r="AX728" s="1214"/>
      <c r="AY728" s="1214"/>
      <c r="AZ728" s="1214"/>
      <c r="BA728" s="1214"/>
      <c r="BB728" s="1214"/>
      <c r="BC728" s="1214"/>
      <c r="BD728" s="1214"/>
      <c r="BE728" s="1214"/>
      <c r="BF728" s="1214"/>
      <c r="BG728" s="1214"/>
      <c r="BH728" s="1214"/>
      <c r="BI728" s="1214"/>
      <c r="BJ728" s="1214"/>
      <c r="BK728" s="1214"/>
      <c r="BL728" s="1214"/>
    </row>
    <row r="729" spans="37:64" x14ac:dyDescent="0.2">
      <c r="AK729" s="1214"/>
      <c r="AL729" s="1214"/>
      <c r="AM729" s="1214"/>
      <c r="AN729" s="1214"/>
      <c r="AO729" s="1214"/>
      <c r="AP729" s="1214"/>
      <c r="AQ729" s="1214"/>
      <c r="AR729" s="1214"/>
      <c r="AS729" s="1214"/>
      <c r="AT729" s="1214"/>
      <c r="AU729" s="1214"/>
      <c r="AV729" s="1214"/>
      <c r="AW729" s="1214"/>
      <c r="AX729" s="1214"/>
      <c r="AY729" s="1214"/>
      <c r="AZ729" s="1214"/>
      <c r="BA729" s="1214"/>
      <c r="BB729" s="1214"/>
      <c r="BC729" s="1214"/>
      <c r="BD729" s="1214"/>
      <c r="BE729" s="1214"/>
      <c r="BF729" s="1214"/>
      <c r="BG729" s="1214"/>
      <c r="BH729" s="1214"/>
      <c r="BI729" s="1214"/>
      <c r="BJ729" s="1214"/>
      <c r="BK729" s="1214"/>
      <c r="BL729" s="1214"/>
    </row>
    <row r="730" spans="37:64" x14ac:dyDescent="0.2">
      <c r="AK730" s="1214"/>
      <c r="AL730" s="1214"/>
      <c r="AM730" s="1214"/>
      <c r="AN730" s="1214"/>
      <c r="AO730" s="1214"/>
      <c r="AP730" s="1214"/>
      <c r="AQ730" s="1214"/>
      <c r="AR730" s="1214"/>
      <c r="AS730" s="1214"/>
      <c r="AT730" s="1214"/>
      <c r="AU730" s="1214"/>
      <c r="AV730" s="1214"/>
      <c r="AW730" s="1214"/>
      <c r="AX730" s="1214"/>
      <c r="AY730" s="1214"/>
      <c r="AZ730" s="1214"/>
      <c r="BA730" s="1214"/>
      <c r="BB730" s="1214"/>
      <c r="BC730" s="1214"/>
      <c r="BD730" s="1214"/>
      <c r="BE730" s="1214"/>
      <c r="BF730" s="1214"/>
      <c r="BG730" s="1214"/>
      <c r="BH730" s="1214"/>
      <c r="BI730" s="1214"/>
      <c r="BJ730" s="1214"/>
      <c r="BK730" s="1214"/>
      <c r="BL730" s="1214"/>
    </row>
    <row r="731" spans="37:64" x14ac:dyDescent="0.2">
      <c r="AK731" s="1214"/>
      <c r="AL731" s="1214"/>
      <c r="AM731" s="1214"/>
      <c r="AN731" s="1214"/>
      <c r="AO731" s="1214"/>
      <c r="AP731" s="1214"/>
      <c r="AQ731" s="1214"/>
      <c r="AR731" s="1214"/>
      <c r="AS731" s="1214"/>
      <c r="AT731" s="1214"/>
      <c r="AU731" s="1214"/>
      <c r="AV731" s="1214"/>
      <c r="AW731" s="1214"/>
      <c r="AX731" s="1214"/>
      <c r="AY731" s="1214"/>
      <c r="AZ731" s="1214"/>
      <c r="BA731" s="1214"/>
      <c r="BB731" s="1214"/>
      <c r="BC731" s="1214"/>
      <c r="BD731" s="1214"/>
      <c r="BE731" s="1214"/>
      <c r="BF731" s="1214"/>
      <c r="BG731" s="1214"/>
      <c r="BH731" s="1214"/>
      <c r="BI731" s="1214"/>
      <c r="BJ731" s="1214"/>
      <c r="BK731" s="1214"/>
      <c r="BL731" s="1214"/>
    </row>
    <row r="732" spans="37:64" x14ac:dyDescent="0.2">
      <c r="AK732" s="1214"/>
      <c r="AL732" s="1214"/>
      <c r="AM732" s="1214"/>
      <c r="AN732" s="1214"/>
      <c r="AO732" s="1214"/>
      <c r="AP732" s="1214"/>
      <c r="AQ732" s="1214"/>
      <c r="AR732" s="1214"/>
      <c r="AS732" s="1214"/>
      <c r="AT732" s="1214"/>
      <c r="AU732" s="1214"/>
      <c r="AV732" s="1214"/>
      <c r="AW732" s="1214"/>
      <c r="AX732" s="1214"/>
      <c r="AY732" s="1214"/>
      <c r="AZ732" s="1214"/>
      <c r="BA732" s="1214"/>
      <c r="BB732" s="1214"/>
      <c r="BC732" s="1214"/>
      <c r="BD732" s="1214"/>
      <c r="BE732" s="1214"/>
      <c r="BF732" s="1214"/>
      <c r="BG732" s="1214"/>
      <c r="BH732" s="1214"/>
      <c r="BI732" s="1214"/>
      <c r="BJ732" s="1214"/>
      <c r="BK732" s="1214"/>
      <c r="BL732" s="1214"/>
    </row>
    <row r="733" spans="37:64" x14ac:dyDescent="0.2">
      <c r="AK733" s="1214"/>
      <c r="AL733" s="1214"/>
      <c r="AM733" s="1214"/>
      <c r="AN733" s="1214"/>
      <c r="AO733" s="1214"/>
      <c r="AP733" s="1214"/>
      <c r="AQ733" s="1214"/>
      <c r="AR733" s="1214"/>
      <c r="AS733" s="1214"/>
      <c r="AT733" s="1214"/>
      <c r="AU733" s="1214"/>
      <c r="AV733" s="1214"/>
      <c r="AW733" s="1214"/>
      <c r="AX733" s="1214"/>
      <c r="AY733" s="1214"/>
      <c r="AZ733" s="1214"/>
      <c r="BA733" s="1214"/>
      <c r="BB733" s="1214"/>
      <c r="BC733" s="1214"/>
      <c r="BD733" s="1214"/>
      <c r="BE733" s="1214"/>
      <c r="BF733" s="1214"/>
      <c r="BG733" s="1214"/>
      <c r="BH733" s="1214"/>
      <c r="BI733" s="1214"/>
      <c r="BJ733" s="1214"/>
      <c r="BK733" s="1214"/>
      <c r="BL733" s="1214"/>
    </row>
    <row r="734" spans="37:64" x14ac:dyDescent="0.2">
      <c r="AZ734" s="1214"/>
      <c r="BA734" s="1214"/>
      <c r="BB734" s="1214"/>
      <c r="BC734" s="1214"/>
      <c r="BD734" s="1214"/>
      <c r="BE734" s="1214"/>
      <c r="BF734" s="1214"/>
      <c r="BG734" s="1214"/>
      <c r="BH734" s="1214"/>
      <c r="BI734" s="1214"/>
      <c r="BJ734" s="1214"/>
      <c r="BK734" s="1214"/>
      <c r="BL734" s="1214"/>
    </row>
    <row r="735" spans="37:64" x14ac:dyDescent="0.2">
      <c r="BL735" s="1214"/>
    </row>
    <row r="736" spans="37:64" x14ac:dyDescent="0.2">
      <c r="BL736" s="1214"/>
    </row>
    <row r="737" spans="37:64" x14ac:dyDescent="0.2">
      <c r="AK737" s="1214"/>
      <c r="AL737" s="1214"/>
      <c r="AM737" s="1214"/>
      <c r="AN737" s="1214"/>
      <c r="AO737" s="1214"/>
      <c r="AP737" s="1214"/>
      <c r="AQ737" s="1214"/>
      <c r="AR737" s="1214"/>
      <c r="AS737" s="1214"/>
      <c r="AT737" s="1214"/>
      <c r="AU737" s="1214"/>
      <c r="AV737" s="1214"/>
      <c r="AW737" s="1214"/>
      <c r="AX737" s="1214"/>
      <c r="AY737" s="1214"/>
      <c r="AZ737" s="1214"/>
      <c r="BA737" s="1214"/>
      <c r="BB737" s="1214"/>
      <c r="BC737" s="1214"/>
      <c r="BD737" s="1214"/>
      <c r="BE737" s="1214"/>
      <c r="BF737" s="1214"/>
      <c r="BG737" s="1214"/>
      <c r="BH737" s="1214"/>
      <c r="BI737" s="1214"/>
      <c r="BJ737" s="1214"/>
      <c r="BK737" s="1214"/>
      <c r="BL737" s="1214"/>
    </row>
    <row r="738" spans="37:64" x14ac:dyDescent="0.2">
      <c r="AK738" s="1214"/>
      <c r="AL738" s="1214"/>
      <c r="AM738" s="1214"/>
      <c r="AN738" s="1214"/>
      <c r="AO738" s="1214"/>
      <c r="AP738" s="1214"/>
      <c r="AQ738" s="1214"/>
      <c r="AR738" s="1214"/>
      <c r="AS738" s="1214"/>
      <c r="AT738" s="1214"/>
      <c r="AU738" s="1214"/>
      <c r="AV738" s="1214"/>
      <c r="AW738" s="1214"/>
      <c r="AX738" s="1214"/>
      <c r="AY738" s="1214"/>
      <c r="AZ738" s="1214"/>
      <c r="BA738" s="1214"/>
      <c r="BB738" s="1214"/>
      <c r="BC738" s="1214"/>
      <c r="BD738" s="1214"/>
      <c r="BE738" s="1214"/>
      <c r="BF738" s="1214"/>
      <c r="BG738" s="1214"/>
      <c r="BH738" s="1214"/>
      <c r="BI738" s="1214"/>
      <c r="BJ738" s="1214"/>
      <c r="BK738" s="1214"/>
      <c r="BL738" s="1214"/>
    </row>
    <row r="739" spans="37:64" x14ac:dyDescent="0.2">
      <c r="AK739" s="1214"/>
      <c r="AL739" s="1214"/>
      <c r="AM739" s="1214"/>
      <c r="AN739" s="1214"/>
      <c r="AO739" s="1214"/>
      <c r="AP739" s="1214"/>
      <c r="AQ739" s="1214"/>
      <c r="AR739" s="1214"/>
      <c r="AS739" s="1214"/>
      <c r="AT739" s="1214"/>
      <c r="AU739" s="1214"/>
      <c r="AV739" s="1214"/>
      <c r="AW739" s="1214"/>
      <c r="AX739" s="1214"/>
      <c r="AY739" s="1214"/>
      <c r="AZ739" s="1214"/>
      <c r="BA739" s="1214"/>
      <c r="BB739" s="1214"/>
      <c r="BC739" s="1214"/>
      <c r="BD739" s="1214"/>
      <c r="BE739" s="1214"/>
      <c r="BF739" s="1214"/>
      <c r="BG739" s="1214"/>
      <c r="BH739" s="1214"/>
      <c r="BI739" s="1214"/>
      <c r="BJ739" s="1214"/>
      <c r="BK739" s="1214"/>
      <c r="BL739" s="1214"/>
    </row>
    <row r="740" spans="37:64" x14ac:dyDescent="0.2">
      <c r="AK740" s="1214"/>
      <c r="AL740" s="1214"/>
      <c r="AM740" s="1214"/>
      <c r="AN740" s="1214"/>
      <c r="AO740" s="1214"/>
      <c r="AP740" s="1214"/>
      <c r="AQ740" s="1214"/>
      <c r="AR740" s="1214"/>
      <c r="AS740" s="1214"/>
      <c r="AT740" s="1214"/>
      <c r="AU740" s="1214"/>
      <c r="AV740" s="1214"/>
      <c r="AW740" s="1214"/>
      <c r="AX740" s="1214"/>
      <c r="AY740" s="1214"/>
      <c r="AZ740" s="1214"/>
      <c r="BA740" s="1214"/>
      <c r="BB740" s="1214"/>
      <c r="BC740" s="1214"/>
      <c r="BD740" s="1214"/>
      <c r="BE740" s="1214"/>
      <c r="BF740" s="1214"/>
      <c r="BG740" s="1214"/>
      <c r="BH740" s="1214"/>
      <c r="BI740" s="1214"/>
      <c r="BJ740" s="1214"/>
      <c r="BK740" s="1214"/>
      <c r="BL740" s="1214"/>
    </row>
    <row r="741" spans="37:64" x14ac:dyDescent="0.2">
      <c r="AK741" s="1214"/>
      <c r="AL741" s="1214"/>
      <c r="AM741" s="1214"/>
      <c r="AN741" s="1214"/>
      <c r="AO741" s="1214"/>
      <c r="AP741" s="1214"/>
      <c r="AQ741" s="1214"/>
      <c r="AR741" s="1214"/>
      <c r="AS741" s="1214"/>
      <c r="AT741" s="1214"/>
      <c r="AU741" s="1214"/>
      <c r="AV741" s="1214"/>
      <c r="AW741" s="1214"/>
      <c r="AX741" s="1214"/>
      <c r="AY741" s="1214"/>
      <c r="AZ741" s="1214"/>
      <c r="BA741" s="1214"/>
      <c r="BB741" s="1214"/>
      <c r="BC741" s="1214"/>
      <c r="BD741" s="1214"/>
      <c r="BE741" s="1214"/>
      <c r="BF741" s="1214"/>
      <c r="BG741" s="1214"/>
      <c r="BH741" s="1214"/>
      <c r="BI741" s="1214"/>
      <c r="BJ741" s="1214"/>
      <c r="BK741" s="1214"/>
      <c r="BL741" s="1214"/>
    </row>
    <row r="742" spans="37:64" x14ac:dyDescent="0.2">
      <c r="AK742" s="1214"/>
      <c r="AL742" s="1214"/>
      <c r="AM742" s="1214"/>
      <c r="AN742" s="1214"/>
      <c r="AO742" s="1214"/>
      <c r="AP742" s="1214"/>
      <c r="AQ742" s="1214"/>
      <c r="AR742" s="1214"/>
      <c r="AS742" s="1214"/>
      <c r="AT742" s="1214"/>
      <c r="AU742" s="1214"/>
      <c r="AV742" s="1214"/>
      <c r="AW742" s="1214"/>
      <c r="AX742" s="1214"/>
      <c r="AY742" s="1214"/>
      <c r="AZ742" s="1214"/>
      <c r="BA742" s="1214"/>
      <c r="BB742" s="1214"/>
      <c r="BC742" s="1214"/>
      <c r="BD742" s="1214"/>
      <c r="BE742" s="1214"/>
      <c r="BF742" s="1214"/>
      <c r="BG742" s="1214"/>
      <c r="BH742" s="1214"/>
      <c r="BI742" s="1214"/>
      <c r="BJ742" s="1214"/>
      <c r="BK742" s="1214"/>
      <c r="BL742" s="1214"/>
    </row>
    <row r="743" spans="37:64" x14ac:dyDescent="0.2">
      <c r="AK743" s="1214"/>
      <c r="AL743" s="1214"/>
      <c r="AM743" s="1214"/>
      <c r="AN743" s="1214"/>
      <c r="AO743" s="1214"/>
      <c r="AP743" s="1214"/>
      <c r="AQ743" s="1214"/>
      <c r="AR743" s="1214"/>
      <c r="AS743" s="1214"/>
      <c r="AT743" s="1214"/>
      <c r="AU743" s="1214"/>
      <c r="AV743" s="1214"/>
      <c r="AW743" s="1214"/>
      <c r="AX743" s="1214"/>
      <c r="AY743" s="1214"/>
      <c r="AZ743" s="1214"/>
      <c r="BA743" s="1214"/>
      <c r="BB743" s="1214"/>
      <c r="BC743" s="1214"/>
      <c r="BD743" s="1214"/>
      <c r="BE743" s="1214"/>
      <c r="BF743" s="1214"/>
      <c r="BG743" s="1214"/>
      <c r="BH743" s="1214"/>
      <c r="BI743" s="1214"/>
      <c r="BJ743" s="1214"/>
      <c r="BK743" s="1214"/>
      <c r="BL743" s="1214"/>
    </row>
    <row r="744" spans="37:64" x14ac:dyDescent="0.2">
      <c r="AK744" s="1214"/>
      <c r="AL744" s="1214"/>
      <c r="AM744" s="1214"/>
      <c r="AN744" s="1214"/>
      <c r="AO744" s="1214"/>
      <c r="AP744" s="1214"/>
      <c r="AQ744" s="1214"/>
      <c r="AR744" s="1214"/>
      <c r="AS744" s="1214"/>
      <c r="AT744" s="1214"/>
      <c r="AU744" s="1214"/>
      <c r="AV744" s="1214"/>
      <c r="AW744" s="1214"/>
      <c r="AX744" s="1214"/>
      <c r="AY744" s="1214"/>
      <c r="AZ744" s="1214"/>
      <c r="BA744" s="1214"/>
      <c r="BB744" s="1214"/>
      <c r="BC744" s="1214"/>
      <c r="BD744" s="1214"/>
      <c r="BE744" s="1214"/>
      <c r="BF744" s="1214"/>
      <c r="BG744" s="1214"/>
      <c r="BH744" s="1214"/>
      <c r="BI744" s="1214"/>
      <c r="BJ744" s="1214"/>
      <c r="BK744" s="1214"/>
      <c r="BL744" s="1214"/>
    </row>
    <row r="745" spans="37:64" x14ac:dyDescent="0.2">
      <c r="AK745" s="1214"/>
      <c r="AL745" s="1214"/>
      <c r="AM745" s="1214"/>
      <c r="AN745" s="1214"/>
      <c r="AO745" s="1214"/>
      <c r="AP745" s="1214"/>
      <c r="AQ745" s="1214"/>
      <c r="AR745" s="1214"/>
      <c r="AS745" s="1214"/>
      <c r="AT745" s="1214"/>
      <c r="AU745" s="1214"/>
      <c r="AV745" s="1214"/>
      <c r="AW745" s="1214"/>
      <c r="AX745" s="1214"/>
      <c r="AY745" s="1214"/>
      <c r="AZ745" s="1214"/>
      <c r="BA745" s="1214"/>
      <c r="BB745" s="1214"/>
      <c r="BC745" s="1214"/>
      <c r="BD745" s="1214"/>
      <c r="BE745" s="1214"/>
      <c r="BF745" s="1214"/>
      <c r="BG745" s="1214"/>
      <c r="BH745" s="1214"/>
      <c r="BI745" s="1214"/>
      <c r="BJ745" s="1214"/>
      <c r="BK745" s="1214"/>
      <c r="BL745" s="1214"/>
    </row>
    <row r="746" spans="37:64" x14ac:dyDescent="0.2">
      <c r="AK746" s="1214"/>
      <c r="AL746" s="1214"/>
      <c r="AM746" s="1214"/>
      <c r="AN746" s="1214"/>
      <c r="AO746" s="1214"/>
      <c r="AP746" s="1214"/>
      <c r="AQ746" s="1214"/>
      <c r="AR746" s="1214"/>
      <c r="AS746" s="1214"/>
      <c r="AT746" s="1214"/>
      <c r="AU746" s="1214"/>
      <c r="AV746" s="1214"/>
      <c r="AW746" s="1214"/>
      <c r="AX746" s="1214"/>
      <c r="AY746" s="1214"/>
      <c r="AZ746" s="1214"/>
      <c r="BA746" s="1214"/>
      <c r="BB746" s="1214"/>
      <c r="BC746" s="1214"/>
      <c r="BD746" s="1214"/>
      <c r="BE746" s="1214"/>
      <c r="BF746" s="1214"/>
      <c r="BG746" s="1214"/>
      <c r="BH746" s="1214"/>
      <c r="BI746" s="1214"/>
      <c r="BJ746" s="1214"/>
      <c r="BK746" s="1214"/>
      <c r="BL746" s="1214"/>
    </row>
    <row r="747" spans="37:64" x14ac:dyDescent="0.2">
      <c r="AK747" s="1214"/>
      <c r="AL747" s="1214"/>
      <c r="AM747" s="1214"/>
      <c r="AN747" s="1214"/>
      <c r="AO747" s="1214"/>
      <c r="AP747" s="1214"/>
      <c r="AQ747" s="1214"/>
      <c r="AR747" s="1214"/>
      <c r="AS747" s="1214"/>
      <c r="AT747" s="1214"/>
      <c r="AU747" s="1214"/>
      <c r="AV747" s="1214"/>
      <c r="AW747" s="1214"/>
      <c r="AX747" s="1214"/>
      <c r="AY747" s="1214"/>
      <c r="AZ747" s="1214"/>
      <c r="BA747" s="1214"/>
      <c r="BB747" s="1214"/>
      <c r="BC747" s="1214"/>
      <c r="BD747" s="1214"/>
      <c r="BE747" s="1214"/>
      <c r="BF747" s="1214"/>
      <c r="BG747" s="1214"/>
      <c r="BH747" s="1214"/>
      <c r="BI747" s="1214"/>
      <c r="BJ747" s="1214"/>
      <c r="BK747" s="1214"/>
      <c r="BL747" s="1214"/>
    </row>
    <row r="748" spans="37:64" x14ac:dyDescent="0.2">
      <c r="AK748" s="1214"/>
      <c r="AL748" s="1214"/>
      <c r="AM748" s="1214"/>
      <c r="AN748" s="1214"/>
      <c r="AO748" s="1214"/>
      <c r="AP748" s="1214"/>
      <c r="AQ748" s="1214"/>
      <c r="AR748" s="1214"/>
      <c r="AS748" s="1214"/>
      <c r="AT748" s="1214"/>
      <c r="AU748" s="1214"/>
      <c r="AV748" s="1214"/>
      <c r="AW748" s="1214"/>
      <c r="AX748" s="1214"/>
      <c r="AY748" s="1214"/>
      <c r="AZ748" s="1214"/>
      <c r="BA748" s="1214"/>
      <c r="BB748" s="1214"/>
      <c r="BC748" s="1214"/>
      <c r="BD748" s="1214"/>
      <c r="BE748" s="1214"/>
      <c r="BF748" s="1214"/>
      <c r="BG748" s="1214"/>
      <c r="BH748" s="1214"/>
      <c r="BI748" s="1214"/>
      <c r="BJ748" s="1214"/>
      <c r="BK748" s="1214"/>
      <c r="BL748" s="1214"/>
    </row>
    <row r="749" spans="37:64" x14ac:dyDescent="0.2">
      <c r="AK749" s="1214"/>
      <c r="AL749" s="1214"/>
      <c r="AM749" s="1214"/>
      <c r="AN749" s="1214"/>
      <c r="AO749" s="1214"/>
      <c r="AP749" s="1214"/>
      <c r="AQ749" s="1214"/>
      <c r="AR749" s="1214"/>
      <c r="AS749" s="1214"/>
      <c r="AT749" s="1214"/>
      <c r="AU749" s="1214"/>
      <c r="AV749" s="1214"/>
      <c r="AW749" s="1214"/>
      <c r="AX749" s="1214"/>
      <c r="AY749" s="1214"/>
      <c r="AZ749" s="1214"/>
      <c r="BA749" s="1214"/>
      <c r="BB749" s="1214"/>
      <c r="BC749" s="1214"/>
    </row>
    <row r="750" spans="37:64" x14ac:dyDescent="0.2">
      <c r="AK750" s="1214"/>
      <c r="AL750" s="1214"/>
      <c r="AM750" s="1214"/>
      <c r="AN750" s="1214"/>
      <c r="AO750" s="1214"/>
      <c r="AP750" s="1214"/>
      <c r="AQ750" s="1214"/>
      <c r="AR750" s="1214"/>
      <c r="AS750" s="1214"/>
      <c r="AT750" s="1214"/>
      <c r="AU750" s="1214"/>
      <c r="AV750" s="1214"/>
      <c r="AW750" s="1214"/>
      <c r="AX750" s="1214"/>
      <c r="AY750" s="1214"/>
      <c r="AZ750" s="1214"/>
      <c r="BA750" s="1214"/>
      <c r="BB750" s="1214"/>
      <c r="BC750" s="1214"/>
    </row>
    <row r="751" spans="37:64" x14ac:dyDescent="0.2">
      <c r="AK751" s="1214"/>
      <c r="AL751" s="1214"/>
      <c r="AM751" s="1214"/>
      <c r="AN751" s="1214"/>
      <c r="AO751" s="1214"/>
      <c r="AP751" s="1214"/>
      <c r="AQ751" s="1214"/>
      <c r="AR751" s="1214"/>
      <c r="AS751" s="1214"/>
      <c r="AT751" s="1214"/>
      <c r="AU751" s="1214"/>
      <c r="AV751" s="1214"/>
      <c r="AW751" s="1214"/>
      <c r="AX751" s="1214"/>
      <c r="AY751" s="1214"/>
      <c r="AZ751" s="1214"/>
      <c r="BA751" s="1214"/>
      <c r="BB751" s="1214"/>
      <c r="BC751" s="1214"/>
      <c r="BD751" s="1214"/>
      <c r="BE751" s="1214"/>
      <c r="BF751" s="1214"/>
      <c r="BG751" s="1214"/>
      <c r="BH751" s="1214"/>
      <c r="BI751" s="1214"/>
      <c r="BJ751" s="1214"/>
      <c r="BK751" s="1214"/>
      <c r="BL751" s="1214"/>
    </row>
    <row r="752" spans="37:64" x14ac:dyDescent="0.2">
      <c r="AK752" s="1214"/>
      <c r="AL752" s="1214"/>
      <c r="AM752" s="1214"/>
      <c r="AN752" s="1214"/>
      <c r="AO752" s="1214"/>
      <c r="AP752" s="1214"/>
      <c r="AQ752" s="1214"/>
      <c r="AR752" s="1214"/>
      <c r="AS752" s="1214"/>
      <c r="AT752" s="1214"/>
      <c r="AU752" s="1214"/>
      <c r="AV752" s="1214"/>
      <c r="AW752" s="1214"/>
      <c r="AX752" s="1214"/>
      <c r="AY752" s="1214"/>
      <c r="AZ752" s="1214"/>
      <c r="BA752" s="1214"/>
      <c r="BB752" s="1214"/>
      <c r="BC752" s="1214"/>
      <c r="BD752" s="1214"/>
      <c r="BE752" s="1214"/>
      <c r="BF752" s="1214"/>
      <c r="BG752" s="1214"/>
      <c r="BH752" s="1214"/>
      <c r="BI752" s="1214"/>
      <c r="BJ752" s="1214"/>
      <c r="BK752" s="1214"/>
      <c r="BL752" s="1214"/>
    </row>
    <row r="753" spans="57:64" x14ac:dyDescent="0.2">
      <c r="BE753" s="1214"/>
      <c r="BF753" s="1214"/>
      <c r="BG753" s="1214"/>
      <c r="BH753" s="1214"/>
      <c r="BI753" s="1214"/>
      <c r="BJ753" s="1214"/>
      <c r="BK753" s="1214"/>
      <c r="BL753" s="1214"/>
    </row>
  </sheetData>
  <phoneticPr fontId="67" type="noConversion"/>
  <pageMargins left="0.75" right="0.75" top="1" bottom="1" header="0.5" footer="0.5"/>
  <pageSetup scale="75"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IV1053"/>
  <sheetViews>
    <sheetView showGridLines="0" zoomScale="85" zoomScaleNormal="85" workbookViewId="0">
      <pane xSplit="1" ySplit="6" topLeftCell="CB7" activePane="bottomRight" state="frozen"/>
      <selection pane="topRight" activeCell="B1" sqref="B1"/>
      <selection pane="bottomLeft" activeCell="A7" sqref="A7"/>
      <selection pane="bottomRight" activeCell="CL10" sqref="CL10"/>
    </sheetView>
  </sheetViews>
  <sheetFormatPr defaultRowHeight="12.75" outlineLevelRow="1" outlineLevelCol="1" x14ac:dyDescent="0.2"/>
  <cols>
    <col min="1" max="1" width="60.33203125" style="1031" customWidth="1"/>
    <col min="2" max="3" width="12.33203125" style="70" hidden="1" customWidth="1" outlineLevel="1"/>
    <col min="4" max="57" width="10.83203125" style="70" hidden="1" customWidth="1" outlineLevel="1"/>
    <col min="58" max="58" width="10.83203125" style="70" customWidth="1" collapsed="1"/>
    <col min="59" max="62" width="10.83203125" style="70" customWidth="1" outlineLevel="1"/>
    <col min="63" max="63" width="10.83203125" style="70" customWidth="1"/>
    <col min="64" max="67" width="10.83203125" style="70" customWidth="1" outlineLevel="1"/>
    <col min="68" max="68" width="10.83203125" style="70" customWidth="1"/>
    <col min="69" max="72" width="10.83203125" style="70" customWidth="1" outlineLevel="1"/>
    <col min="73" max="73" width="10.83203125" style="70" customWidth="1"/>
    <col min="74" max="77" width="10.83203125" style="70" customWidth="1" outlineLevel="1"/>
    <col min="78" max="78" width="10.83203125" style="70" customWidth="1"/>
    <col min="79" max="82" width="10.83203125" style="70" customWidth="1" outlineLevel="1"/>
    <col min="83" max="83" width="10.83203125" style="70" customWidth="1"/>
    <col min="84" max="84" width="10.83203125" style="70" customWidth="1" outlineLevel="1"/>
    <col min="85" max="87" width="12" style="70" customWidth="1" outlineLevel="1"/>
    <col min="88" max="88" width="12" style="70" customWidth="1"/>
    <col min="89" max="89" width="12" style="2945" customWidth="1" outlineLevel="1"/>
    <col min="90" max="92" width="12" style="70" customWidth="1" outlineLevel="1"/>
    <col min="93" max="93" width="12" style="70" customWidth="1"/>
    <col min="94" max="94" width="12" style="2945" customWidth="1" outlineLevel="1"/>
    <col min="95" max="97" width="12" style="70" customWidth="1" outlineLevel="1"/>
    <col min="98" max="100" width="12" style="70" customWidth="1"/>
    <col min="101" max="101" width="13.6640625" style="212" customWidth="1"/>
    <col min="102" max="107" width="13.6640625" style="212" bestFit="1" customWidth="1"/>
    <col min="108" max="108" width="9.33203125" style="212"/>
    <col min="109" max="16384" width="9.33203125" style="70"/>
  </cols>
  <sheetData>
    <row r="1" spans="1:105" x14ac:dyDescent="0.2">
      <c r="A1" s="902" t="s">
        <v>659</v>
      </c>
      <c r="B1" s="207"/>
      <c r="C1" s="207"/>
      <c r="D1" s="207"/>
      <c r="E1" s="207"/>
      <c r="F1" s="207"/>
      <c r="G1" s="207"/>
      <c r="H1" s="207"/>
      <c r="I1" s="207"/>
      <c r="J1" s="207"/>
      <c r="K1" s="207"/>
      <c r="L1" s="207"/>
      <c r="M1" s="207"/>
      <c r="N1" s="207"/>
      <c r="O1" s="207"/>
      <c r="P1" s="207"/>
      <c r="Q1" s="207"/>
      <c r="R1" s="207"/>
      <c r="S1" s="207"/>
      <c r="T1" s="207"/>
      <c r="U1" s="207"/>
      <c r="V1" s="207"/>
      <c r="W1" s="207"/>
      <c r="X1" s="207"/>
      <c r="Y1" s="207"/>
      <c r="Z1" s="207"/>
      <c r="AA1" s="207"/>
      <c r="AB1" s="207"/>
      <c r="AC1" s="207"/>
      <c r="AD1" s="207"/>
      <c r="AE1" s="207"/>
      <c r="AF1" s="207"/>
      <c r="AG1" s="207"/>
      <c r="AH1" s="207"/>
      <c r="AI1" s="207"/>
      <c r="AJ1" s="207"/>
      <c r="AK1" s="207"/>
      <c r="AL1" s="207"/>
      <c r="AM1" s="207"/>
      <c r="AN1" s="207"/>
      <c r="AO1" s="207"/>
      <c r="AP1" s="207"/>
      <c r="AQ1" s="207"/>
      <c r="AR1" s="207"/>
      <c r="AS1" s="207"/>
      <c r="AT1" s="207"/>
      <c r="AU1" s="207"/>
      <c r="AV1" s="207"/>
      <c r="AW1" s="207"/>
      <c r="AX1" s="207"/>
      <c r="AY1" s="207"/>
      <c r="AZ1" s="207"/>
      <c r="BA1" s="207"/>
      <c r="BB1" s="207"/>
      <c r="BC1" s="207"/>
      <c r="BD1" s="207"/>
      <c r="BE1" s="207"/>
      <c r="BF1" s="207"/>
      <c r="BG1" s="207"/>
      <c r="BH1" s="207"/>
      <c r="BI1" s="207"/>
      <c r="BJ1" s="207"/>
      <c r="BK1" s="207"/>
    </row>
    <row r="2" spans="1:105" x14ac:dyDescent="0.2">
      <c r="A2" s="900" t="s">
        <v>472</v>
      </c>
      <c r="B2" s="207"/>
      <c r="C2" s="207"/>
      <c r="D2" s="207"/>
      <c r="E2" s="207"/>
      <c r="F2" s="207"/>
      <c r="G2" s="207"/>
      <c r="H2" s="207"/>
      <c r="I2" s="207"/>
      <c r="J2" s="207"/>
      <c r="K2" s="207"/>
      <c r="L2" s="207"/>
      <c r="M2" s="207"/>
      <c r="N2" s="207"/>
      <c r="O2" s="207"/>
      <c r="P2" s="207"/>
      <c r="Q2" s="207"/>
      <c r="R2" s="207"/>
      <c r="S2" s="207"/>
      <c r="T2" s="207"/>
      <c r="U2" s="207"/>
      <c r="V2" s="207"/>
      <c r="W2" s="207"/>
      <c r="X2" s="207"/>
      <c r="Y2" s="207"/>
      <c r="Z2" s="207"/>
      <c r="AA2" s="207"/>
      <c r="AB2" s="207"/>
      <c r="AC2" s="207"/>
      <c r="AD2" s="207"/>
      <c r="AE2" s="207"/>
      <c r="AF2" s="207"/>
      <c r="AG2" s="207"/>
      <c r="AH2" s="207"/>
      <c r="AI2" s="207"/>
      <c r="AJ2" s="207"/>
      <c r="AK2" s="207"/>
      <c r="AL2" s="207"/>
      <c r="AM2" s="207"/>
      <c r="AN2" s="207"/>
      <c r="AO2" s="207"/>
      <c r="AP2" s="207"/>
      <c r="AQ2" s="207"/>
      <c r="AR2" s="207"/>
      <c r="AS2" s="207"/>
      <c r="AT2" s="207"/>
      <c r="AU2" s="207"/>
      <c r="AV2" s="207"/>
      <c r="AW2" s="207"/>
      <c r="AX2" s="207"/>
      <c r="AY2" s="207"/>
      <c r="AZ2" s="207"/>
      <c r="BA2" s="207"/>
      <c r="BB2" s="207"/>
      <c r="BC2" s="207"/>
      <c r="BD2" s="207"/>
      <c r="BE2" s="207"/>
      <c r="BF2" s="207"/>
      <c r="BG2" s="207"/>
      <c r="BH2" s="207"/>
      <c r="BI2" s="207"/>
      <c r="BJ2" s="207"/>
      <c r="BK2" s="207"/>
    </row>
    <row r="3" spans="1:105" x14ac:dyDescent="0.2">
      <c r="A3" s="1236"/>
      <c r="B3" s="207"/>
      <c r="C3" s="207"/>
      <c r="D3" s="207"/>
      <c r="E3" s="207"/>
      <c r="F3" s="207"/>
      <c r="G3" s="207"/>
      <c r="H3" s="207"/>
      <c r="I3" s="207"/>
      <c r="J3" s="207"/>
      <c r="K3" s="207"/>
      <c r="L3" s="207"/>
      <c r="M3" s="207"/>
      <c r="N3" s="207"/>
      <c r="O3" s="207"/>
      <c r="P3" s="207"/>
      <c r="Q3" s="207"/>
      <c r="R3" s="207"/>
      <c r="S3" s="207"/>
      <c r="T3" s="207"/>
      <c r="U3" s="207"/>
      <c r="V3" s="207"/>
      <c r="W3" s="207"/>
      <c r="X3" s="207"/>
      <c r="Y3" s="207"/>
      <c r="Z3" s="207"/>
      <c r="AA3" s="207"/>
      <c r="AB3" s="207"/>
      <c r="AC3" s="207"/>
      <c r="AD3" s="207"/>
      <c r="AE3" s="207"/>
      <c r="AF3" s="207"/>
      <c r="AG3" s="207"/>
      <c r="AH3" s="207"/>
      <c r="AI3" s="207"/>
      <c r="AJ3" s="207"/>
      <c r="AK3" s="207"/>
      <c r="AL3" s="207"/>
      <c r="AM3" s="207"/>
      <c r="AN3" s="207"/>
      <c r="AO3" s="207"/>
      <c r="AP3" s="207"/>
      <c r="AQ3" s="207"/>
      <c r="AR3" s="207"/>
      <c r="AS3" s="207"/>
      <c r="AT3" s="207"/>
      <c r="AU3" s="207"/>
      <c r="AV3" s="207"/>
      <c r="AW3" s="207"/>
      <c r="AX3" s="207"/>
      <c r="AY3" s="207"/>
      <c r="AZ3" s="207"/>
      <c r="BA3" s="207"/>
      <c r="BB3" s="207"/>
      <c r="BC3" s="207"/>
      <c r="BD3" s="207"/>
      <c r="BE3" s="207"/>
      <c r="BF3" s="207"/>
      <c r="BG3" s="207"/>
      <c r="BH3" s="207"/>
      <c r="BI3" s="207"/>
      <c r="BJ3" s="207"/>
      <c r="BK3" s="207"/>
    </row>
    <row r="4" spans="1:105" x14ac:dyDescent="0.2">
      <c r="A4" s="1265"/>
      <c r="B4" s="1216"/>
      <c r="C4" s="1217"/>
      <c r="D4" s="1053" t="str">
        <f>RevPAR!B$5</f>
        <v>1Q00</v>
      </c>
      <c r="E4" s="1053" t="str">
        <f>RevPAR!C$5</f>
        <v>2Q00</v>
      </c>
      <c r="F4" s="1053" t="str">
        <f>RevPAR!D$5</f>
        <v>3Q00</v>
      </c>
      <c r="G4" s="1053" t="str">
        <f>RevPAR!E$5</f>
        <v>4Q00</v>
      </c>
      <c r="H4" s="1054">
        <f>RevPAR!F$5</f>
        <v>2000</v>
      </c>
      <c r="I4" s="1053" t="str">
        <f>RevPAR!G$5</f>
        <v>1Q01</v>
      </c>
      <c r="J4" s="1053" t="str">
        <f>RevPAR!H$5</f>
        <v>2Q01</v>
      </c>
      <c r="K4" s="1053" t="str">
        <f>RevPAR!I$5</f>
        <v>3Q01</v>
      </c>
      <c r="L4" s="1053" t="str">
        <f>RevPAR!J$5</f>
        <v>4Q01</v>
      </c>
      <c r="M4" s="1054">
        <f>RevPAR!K$5</f>
        <v>2001</v>
      </c>
      <c r="N4" s="1053" t="str">
        <f>RevPAR!L$5</f>
        <v>1Q02</v>
      </c>
      <c r="O4" s="1053" t="str">
        <f>RevPAR!M$5</f>
        <v>2Q02</v>
      </c>
      <c r="P4" s="1053" t="str">
        <f>RevPAR!N$5</f>
        <v>3Q02</v>
      </c>
      <c r="Q4" s="1053" t="str">
        <f>RevPAR!O$5</f>
        <v>4Q02</v>
      </c>
      <c r="R4" s="1054">
        <f>RevPAR!P$5</f>
        <v>2002</v>
      </c>
      <c r="S4" s="1053" t="str">
        <f>RevPAR!Q$5</f>
        <v>1Q03</v>
      </c>
      <c r="T4" s="1053" t="str">
        <f>RevPAR!R$5</f>
        <v>2Q03</v>
      </c>
      <c r="U4" s="1053" t="str">
        <f>RevPAR!S$5</f>
        <v>3Q03</v>
      </c>
      <c r="V4" s="1053" t="str">
        <f>RevPAR!T$5</f>
        <v>4Q03</v>
      </c>
      <c r="W4" s="1054">
        <f>RevPAR!U$5</f>
        <v>2003</v>
      </c>
      <c r="X4" s="1053" t="str">
        <f>RevPAR!V$5</f>
        <v>1Q04</v>
      </c>
      <c r="Y4" s="1053" t="str">
        <f>RevPAR!W$5</f>
        <v>2Q04</v>
      </c>
      <c r="Z4" s="1053" t="str">
        <f>RevPAR!X$5</f>
        <v>3Q04</v>
      </c>
      <c r="AA4" s="1053" t="str">
        <f>RevPAR!Y$5</f>
        <v>4Q04</v>
      </c>
      <c r="AB4" s="1054" t="str">
        <f>RevPAR!Z$5</f>
        <v>2004</v>
      </c>
      <c r="AC4" s="1053" t="str">
        <f>RevPAR!AA$5</f>
        <v>1Q05</v>
      </c>
      <c r="AD4" s="1053" t="str">
        <f>RevPAR!AB$5</f>
        <v>2Q05</v>
      </c>
      <c r="AE4" s="1053" t="str">
        <f>RevPAR!AC$5</f>
        <v>3Q05</v>
      </c>
      <c r="AF4" s="1053" t="str">
        <f>RevPAR!AD$5</f>
        <v>4Q05</v>
      </c>
      <c r="AG4" s="1054">
        <f>RevPAR!AE$5</f>
        <v>2005</v>
      </c>
      <c r="AH4" s="1053" t="str">
        <f>RevPAR!AF$5</f>
        <v>1Q06</v>
      </c>
      <c r="AI4" s="1053" t="str">
        <f>RevPAR!AG$5</f>
        <v>2Q06</v>
      </c>
      <c r="AJ4" s="1053" t="str">
        <f>RevPAR!AH$5</f>
        <v>3Q06</v>
      </c>
      <c r="AK4" s="1053" t="str">
        <f>RevPAR!AI$5</f>
        <v>4Q06</v>
      </c>
      <c r="AL4" s="1054">
        <f>RevPAR!AJ$5</f>
        <v>2006</v>
      </c>
      <c r="AM4" s="1053" t="str">
        <f>RevPAR!AK$5</f>
        <v>1Q07</v>
      </c>
      <c r="AN4" s="1053" t="str">
        <f>RevPAR!AL$5</f>
        <v>2Q07</v>
      </c>
      <c r="AO4" s="1053" t="str">
        <f>RevPAR!AM$5</f>
        <v>3Q07</v>
      </c>
      <c r="AP4" s="1053" t="str">
        <f>RevPAR!AN$5</f>
        <v>4Q07</v>
      </c>
      <c r="AQ4" s="1054" t="str">
        <f>RevPAR!AO$5</f>
        <v>2007</v>
      </c>
      <c r="AR4" s="1053" t="str">
        <f>RevPAR!AP$5</f>
        <v>1Q08</v>
      </c>
      <c r="AS4" s="1053" t="str">
        <f>RevPAR!AQ$5</f>
        <v>2Q08</v>
      </c>
      <c r="AT4" s="1053" t="str">
        <f>RevPAR!AR$5</f>
        <v>3Q08</v>
      </c>
      <c r="AU4" s="1053" t="str">
        <f>RevPAR!AS$5</f>
        <v>4Q08</v>
      </c>
      <c r="AV4" s="1054" t="str">
        <f>RevPAR!AT$5</f>
        <v>2008</v>
      </c>
      <c r="AW4" s="1053" t="str">
        <f>RevPAR!AU$5</f>
        <v>1Q09</v>
      </c>
      <c r="AX4" s="1053" t="str">
        <f>RevPAR!AV$5</f>
        <v>2Q09</v>
      </c>
      <c r="AY4" s="1053" t="str">
        <f>RevPAR!AW$5</f>
        <v>3Q09</v>
      </c>
      <c r="AZ4" s="1053" t="str">
        <f>RevPAR!AX$5</f>
        <v>4Q09</v>
      </c>
      <c r="BA4" s="1054" t="str">
        <f>RevPAR!AY$5</f>
        <v>2009</v>
      </c>
      <c r="BB4" s="1053" t="str">
        <f>RevPAR!AZ$5</f>
        <v>1Q10</v>
      </c>
      <c r="BC4" s="1053" t="str">
        <f>RevPAR!BA$5</f>
        <v>2Q10</v>
      </c>
      <c r="BD4" s="1053" t="str">
        <f>RevPAR!BB$5</f>
        <v>3Q10</v>
      </c>
      <c r="BE4" s="1053" t="str">
        <f>RevPAR!BC$5</f>
        <v>4Q10</v>
      </c>
      <c r="BF4" s="1054" t="str">
        <f>RevPAR!BD$5</f>
        <v>2010</v>
      </c>
      <c r="BG4" s="1053" t="str">
        <f>RevPAR!BE$5</f>
        <v>1Q11</v>
      </c>
      <c r="BH4" s="1053" t="str">
        <f>RevPAR!BF$5</f>
        <v>2Q11</v>
      </c>
      <c r="BI4" s="1053" t="str">
        <f>RevPAR!BG$5</f>
        <v>3Q11</v>
      </c>
      <c r="BJ4" s="1053" t="str">
        <f>RevPAR!BH$5</f>
        <v>4Q11</v>
      </c>
      <c r="BK4" s="1054">
        <f>RevPAR!BI$5</f>
        <v>2011</v>
      </c>
      <c r="BL4" s="1053" t="str">
        <f>RevPAR!BJ$5</f>
        <v>1Q12</v>
      </c>
      <c r="BM4" s="1053" t="str">
        <f>RevPAR!BK$5</f>
        <v>2Q12</v>
      </c>
      <c r="BN4" s="1053" t="str">
        <f>RevPAR!BL$5</f>
        <v>3Q12</v>
      </c>
      <c r="BO4" s="1053" t="str">
        <f>RevPAR!BM$5</f>
        <v>4Q12</v>
      </c>
      <c r="BP4" s="1054">
        <f>RevPAR!BN$5</f>
        <v>2012</v>
      </c>
      <c r="BQ4" s="1053" t="str">
        <f>RevPAR!BO$5</f>
        <v>1Q13</v>
      </c>
      <c r="BR4" s="1053" t="str">
        <f>RevPAR!BP$5</f>
        <v>2Q13</v>
      </c>
      <c r="BS4" s="1053" t="str">
        <f>RevPAR!BQ$5</f>
        <v>3Q13</v>
      </c>
      <c r="BT4" s="1053" t="str">
        <f>RevPAR!BR$5</f>
        <v>4Q13</v>
      </c>
      <c r="BU4" s="1054">
        <f>RevPAR!BS$5</f>
        <v>2013</v>
      </c>
      <c r="BV4" s="1053" t="str">
        <f>RevPAR!BT$5</f>
        <v>1Q14</v>
      </c>
      <c r="BW4" s="1053" t="str">
        <f>RevPAR!BU$5</f>
        <v>2Q14</v>
      </c>
      <c r="BX4" s="1053" t="str">
        <f>RevPAR!BV$5</f>
        <v>3Q14</v>
      </c>
      <c r="BY4" s="1053" t="str">
        <f>RevPAR!BW$5</f>
        <v>4Q14</v>
      </c>
      <c r="BZ4" s="1054">
        <f>RevPAR!BX$5</f>
        <v>2014</v>
      </c>
      <c r="CA4" s="1053" t="str">
        <f>RevPAR!BY$5</f>
        <v>1Q15</v>
      </c>
      <c r="CB4" s="1053" t="str">
        <f>RevPAR!BZ$5</f>
        <v>2Q15</v>
      </c>
      <c r="CC4" s="1053" t="str">
        <f>RevPAR!CA$5</f>
        <v>3Q15</v>
      </c>
      <c r="CD4" s="1053" t="str">
        <f>RevPAR!CB$5</f>
        <v>4Q15</v>
      </c>
      <c r="CE4" s="1054">
        <f>RevPAR!CC$5</f>
        <v>2015</v>
      </c>
      <c r="CF4" s="1053" t="str">
        <f>RevPAR!CD$5</f>
        <v>1Q16</v>
      </c>
      <c r="CG4" s="1053" t="str">
        <f>RevPAR!CE$5</f>
        <v>2Q16</v>
      </c>
      <c r="CH4" s="1053" t="str">
        <f>RevPAR!CF$5</f>
        <v>3Q16</v>
      </c>
      <c r="CI4" s="1053" t="str">
        <f>RevPAR!CG$5</f>
        <v>4Q16</v>
      </c>
      <c r="CJ4" s="1054">
        <f>RevPAR!CH$5</f>
        <v>2016</v>
      </c>
      <c r="CK4" s="1053" t="s">
        <v>2974</v>
      </c>
      <c r="CL4" s="1053" t="str">
        <f>RevPAR!CJ$5</f>
        <v>2Q17</v>
      </c>
      <c r="CM4" s="1053" t="str">
        <f>RevPAR!CK$5</f>
        <v>3Q17</v>
      </c>
      <c r="CN4" s="1053" t="str">
        <f>RevPAR!CL$5</f>
        <v>4Q17A</v>
      </c>
      <c r="CO4" s="1054" t="str">
        <f>RevPAR!CM$5</f>
        <v>2017A</v>
      </c>
      <c r="CP4" s="1053" t="str">
        <f>RevPAR!CN$5</f>
        <v>1Q18E</v>
      </c>
      <c r="CQ4" s="1053" t="str">
        <f>RevPAR!CO$5</f>
        <v>2Q18E</v>
      </c>
      <c r="CR4" s="1053" t="str">
        <f>RevPAR!CP$5</f>
        <v>3Q18E</v>
      </c>
      <c r="CS4" s="1053" t="str">
        <f>RevPAR!CQ$5</f>
        <v>4Q18E</v>
      </c>
      <c r="CT4" s="1054" t="str">
        <f>RevPAR!CR$5</f>
        <v>2018E</v>
      </c>
      <c r="CU4" s="1054" t="str">
        <f>RevPAR!CS$5</f>
        <v>2019E</v>
      </c>
      <c r="CV4" s="1054" t="str">
        <f>RevPAR!CT$5</f>
        <v>2020E</v>
      </c>
    </row>
    <row r="5" spans="1:105" x14ac:dyDescent="0.2">
      <c r="A5" s="1434"/>
      <c r="B5" s="651"/>
      <c r="C5" s="236"/>
      <c r="D5" s="234"/>
      <c r="E5" s="234"/>
      <c r="F5" s="234"/>
      <c r="G5" s="234"/>
      <c r="H5" s="236"/>
      <c r="I5" s="234"/>
      <c r="J5" s="234"/>
      <c r="K5" s="234"/>
      <c r="L5" s="234"/>
      <c r="M5" s="709"/>
      <c r="N5" s="234"/>
      <c r="O5" s="234"/>
      <c r="P5" s="234"/>
      <c r="Q5" s="234"/>
      <c r="R5" s="709"/>
      <c r="S5" s="234"/>
      <c r="T5" s="234"/>
      <c r="U5" s="234"/>
      <c r="V5" s="208"/>
      <c r="W5" s="709"/>
      <c r="X5" s="234"/>
      <c r="Y5" s="234"/>
      <c r="Z5" s="234"/>
      <c r="AA5" s="208"/>
      <c r="AB5" s="709"/>
      <c r="AC5" s="234"/>
      <c r="AD5" s="234"/>
      <c r="AE5" s="234"/>
      <c r="AF5" s="208"/>
      <c r="AG5" s="709"/>
      <c r="AH5" s="234"/>
      <c r="AI5" s="234"/>
      <c r="AJ5" s="234"/>
      <c r="AK5" s="208"/>
      <c r="AL5" s="709"/>
      <c r="AM5" s="234"/>
      <c r="AN5" s="234"/>
      <c r="AO5" s="234"/>
      <c r="AP5" s="208"/>
      <c r="AQ5" s="709"/>
      <c r="AR5" s="234"/>
      <c r="AS5" s="234"/>
      <c r="AT5" s="234"/>
      <c r="AU5" s="208"/>
      <c r="AV5" s="709"/>
      <c r="AW5" s="234"/>
      <c r="AX5" s="234"/>
      <c r="AY5" s="234"/>
      <c r="AZ5" s="234"/>
      <c r="BA5" s="709"/>
      <c r="BB5" s="234"/>
      <c r="BC5" s="234"/>
      <c r="BD5" s="234"/>
      <c r="BE5" s="208"/>
      <c r="BF5" s="709"/>
      <c r="BG5" s="234"/>
      <c r="BH5" s="234"/>
      <c r="BI5" s="234"/>
      <c r="BJ5" s="208"/>
      <c r="BK5" s="709"/>
      <c r="BL5" s="212"/>
      <c r="BM5" s="212"/>
      <c r="BN5" s="212"/>
      <c r="BO5" s="212"/>
      <c r="BP5" s="194"/>
      <c r="BQ5" s="212"/>
      <c r="BR5" s="212"/>
      <c r="BS5" s="212"/>
      <c r="BT5" s="212"/>
      <c r="BU5" s="194"/>
      <c r="BV5" s="212"/>
      <c r="BW5" s="212"/>
      <c r="BX5" s="212"/>
      <c r="BY5" s="212"/>
      <c r="BZ5" s="194"/>
      <c r="CA5" s="212"/>
      <c r="CB5" s="212"/>
      <c r="CC5" s="212"/>
      <c r="CD5" s="212"/>
      <c r="CE5" s="194"/>
      <c r="CF5" s="212"/>
      <c r="CG5" s="212"/>
      <c r="CH5" s="212"/>
      <c r="CI5" s="212"/>
      <c r="CJ5" s="194"/>
      <c r="CK5" s="2907"/>
      <c r="CL5" s="212"/>
      <c r="CM5" s="212"/>
      <c r="CN5" s="212"/>
      <c r="CO5" s="194"/>
      <c r="CP5" s="2907"/>
      <c r="CQ5" s="212"/>
      <c r="CR5" s="212"/>
      <c r="CS5" s="212"/>
      <c r="CT5" s="194"/>
      <c r="CU5" s="194"/>
      <c r="CV5" s="194"/>
      <c r="DA5" s="1582"/>
    </row>
    <row r="6" spans="1:105" x14ac:dyDescent="0.2">
      <c r="A6" s="1265" t="s">
        <v>509</v>
      </c>
      <c r="B6" s="1216"/>
      <c r="C6" s="1217"/>
      <c r="D6" s="1053" t="str">
        <f>RevPAR!B$5</f>
        <v>1Q00</v>
      </c>
      <c r="E6" s="1053" t="str">
        <f>RevPAR!C$5</f>
        <v>2Q00</v>
      </c>
      <c r="F6" s="1053" t="str">
        <f>RevPAR!D$5</f>
        <v>3Q00</v>
      </c>
      <c r="G6" s="1053" t="str">
        <f>RevPAR!E$5</f>
        <v>4Q00</v>
      </c>
      <c r="H6" s="1054">
        <f>RevPAR!F$5</f>
        <v>2000</v>
      </c>
      <c r="I6" s="1053" t="str">
        <f>RevPAR!G$5</f>
        <v>1Q01</v>
      </c>
      <c r="J6" s="1053" t="str">
        <f>RevPAR!H$5</f>
        <v>2Q01</v>
      </c>
      <c r="K6" s="1053" t="str">
        <f>RevPAR!I$5</f>
        <v>3Q01</v>
      </c>
      <c r="L6" s="1053" t="str">
        <f>RevPAR!J$5</f>
        <v>4Q01</v>
      </c>
      <c r="M6" s="1054">
        <f>RevPAR!K$5</f>
        <v>2001</v>
      </c>
      <c r="N6" s="1053" t="str">
        <f>RevPAR!L$5</f>
        <v>1Q02</v>
      </c>
      <c r="O6" s="1053" t="str">
        <f>RevPAR!M$5</f>
        <v>2Q02</v>
      </c>
      <c r="P6" s="1053" t="str">
        <f>RevPAR!N$5</f>
        <v>3Q02</v>
      </c>
      <c r="Q6" s="1053" t="str">
        <f>RevPAR!O$5</f>
        <v>4Q02</v>
      </c>
      <c r="R6" s="1054">
        <f>RevPAR!P$5</f>
        <v>2002</v>
      </c>
      <c r="S6" s="1053" t="str">
        <f>RevPAR!Q$5</f>
        <v>1Q03</v>
      </c>
      <c r="T6" s="1053" t="str">
        <f>RevPAR!R$5</f>
        <v>2Q03</v>
      </c>
      <c r="U6" s="1053" t="str">
        <f>RevPAR!S$5</f>
        <v>3Q03</v>
      </c>
      <c r="V6" s="1053" t="str">
        <f>RevPAR!T$5</f>
        <v>4Q03</v>
      </c>
      <c r="W6" s="1054">
        <f>RevPAR!U$5</f>
        <v>2003</v>
      </c>
      <c r="X6" s="1053" t="str">
        <f>RevPAR!V$5</f>
        <v>1Q04</v>
      </c>
      <c r="Y6" s="1053" t="str">
        <f>RevPAR!W$5</f>
        <v>2Q04</v>
      </c>
      <c r="Z6" s="1053" t="str">
        <f>RevPAR!X$5</f>
        <v>3Q04</v>
      </c>
      <c r="AA6" s="1053" t="str">
        <f>RevPAR!Y$5</f>
        <v>4Q04</v>
      </c>
      <c r="AB6" s="1054" t="str">
        <f>RevPAR!Z$5</f>
        <v>2004</v>
      </c>
      <c r="AC6" s="1053" t="str">
        <f>RevPAR!AA$5</f>
        <v>1Q05</v>
      </c>
      <c r="AD6" s="1053" t="str">
        <f>RevPAR!AB$5</f>
        <v>2Q05</v>
      </c>
      <c r="AE6" s="1053" t="str">
        <f>RevPAR!AC$5</f>
        <v>3Q05</v>
      </c>
      <c r="AF6" s="1053" t="str">
        <f>RevPAR!AD$5</f>
        <v>4Q05</v>
      </c>
      <c r="AG6" s="1054">
        <f>RevPAR!AE$5</f>
        <v>2005</v>
      </c>
      <c r="AH6" s="1053" t="str">
        <f>RevPAR!AF$5</f>
        <v>1Q06</v>
      </c>
      <c r="AI6" s="1053" t="str">
        <f>RevPAR!AG$5</f>
        <v>2Q06</v>
      </c>
      <c r="AJ6" s="1053" t="str">
        <f>RevPAR!AH$5</f>
        <v>3Q06</v>
      </c>
      <c r="AK6" s="1053" t="str">
        <f>RevPAR!AI$5</f>
        <v>4Q06</v>
      </c>
      <c r="AL6" s="1054">
        <f>RevPAR!AJ$5</f>
        <v>2006</v>
      </c>
      <c r="AM6" s="1053" t="str">
        <f>RevPAR!AK$5</f>
        <v>1Q07</v>
      </c>
      <c r="AN6" s="1053" t="str">
        <f>RevPAR!AL$5</f>
        <v>2Q07</v>
      </c>
      <c r="AO6" s="1053" t="str">
        <f>RevPAR!AM$5</f>
        <v>3Q07</v>
      </c>
      <c r="AP6" s="1053" t="str">
        <f>RevPAR!AN$5</f>
        <v>4Q07</v>
      </c>
      <c r="AQ6" s="1054" t="str">
        <f>RevPAR!AO$5</f>
        <v>2007</v>
      </c>
      <c r="AR6" s="1053" t="str">
        <f>RevPAR!AP$5</f>
        <v>1Q08</v>
      </c>
      <c r="AS6" s="1053" t="str">
        <f>RevPAR!AQ$5</f>
        <v>2Q08</v>
      </c>
      <c r="AT6" s="1053" t="str">
        <f>RevPAR!AR$5</f>
        <v>3Q08</v>
      </c>
      <c r="AU6" s="1053" t="str">
        <f>RevPAR!AS$5</f>
        <v>4Q08</v>
      </c>
      <c r="AV6" s="1054" t="str">
        <f>RevPAR!AT$5</f>
        <v>2008</v>
      </c>
      <c r="AW6" s="1053" t="str">
        <f>RevPAR!AU$5</f>
        <v>1Q09</v>
      </c>
      <c r="AX6" s="1053" t="str">
        <f>RevPAR!AV$5</f>
        <v>2Q09</v>
      </c>
      <c r="AY6" s="1053" t="str">
        <f>RevPAR!AW$5</f>
        <v>3Q09</v>
      </c>
      <c r="AZ6" s="1053" t="str">
        <f>RevPAR!AX$5</f>
        <v>4Q09</v>
      </c>
      <c r="BA6" s="1054" t="str">
        <f>RevPAR!AY$5</f>
        <v>2009</v>
      </c>
      <c r="BB6" s="1053" t="str">
        <f>RevPAR!AZ$5</f>
        <v>1Q10</v>
      </c>
      <c r="BC6" s="1053" t="str">
        <f>RevPAR!BA$5</f>
        <v>2Q10</v>
      </c>
      <c r="BD6" s="1053" t="str">
        <f>RevPAR!BB$5</f>
        <v>3Q10</v>
      </c>
      <c r="BE6" s="1053" t="str">
        <f>RevPAR!BC$5</f>
        <v>4Q10</v>
      </c>
      <c r="BF6" s="1054" t="str">
        <f>RevPAR!BD$5</f>
        <v>2010</v>
      </c>
      <c r="BG6" s="1053" t="str">
        <f>RevPAR!BE$5</f>
        <v>1Q11</v>
      </c>
      <c r="BH6" s="1053" t="str">
        <f>RevPAR!BF$5</f>
        <v>2Q11</v>
      </c>
      <c r="BI6" s="1053" t="str">
        <f>RevPAR!BG$5</f>
        <v>3Q11</v>
      </c>
      <c r="BJ6" s="1053" t="str">
        <f>RevPAR!BH$5</f>
        <v>4Q11</v>
      </c>
      <c r="BK6" s="1054">
        <f>RevPAR!BI$5</f>
        <v>2011</v>
      </c>
      <c r="BL6" s="1053" t="str">
        <f>RevPAR!BJ$5</f>
        <v>1Q12</v>
      </c>
      <c r="BM6" s="1053" t="str">
        <f>RevPAR!BK$5</f>
        <v>2Q12</v>
      </c>
      <c r="BN6" s="1053" t="str">
        <f>RevPAR!BL$5</f>
        <v>3Q12</v>
      </c>
      <c r="BO6" s="1053" t="str">
        <f>RevPAR!BM$5</f>
        <v>4Q12</v>
      </c>
      <c r="BP6" s="1054">
        <f>RevPAR!BN$5</f>
        <v>2012</v>
      </c>
      <c r="BQ6" s="1053" t="str">
        <f>RevPAR!BO$5</f>
        <v>1Q13</v>
      </c>
      <c r="BR6" s="1053" t="str">
        <f>RevPAR!BP$5</f>
        <v>2Q13</v>
      </c>
      <c r="BS6" s="1053" t="str">
        <f>RevPAR!BQ$5</f>
        <v>3Q13</v>
      </c>
      <c r="BT6" s="1053" t="str">
        <f>RevPAR!BR$5</f>
        <v>4Q13</v>
      </c>
      <c r="BU6" s="1054">
        <f>RevPAR!BS$5</f>
        <v>2013</v>
      </c>
      <c r="BV6" s="1053" t="str">
        <f>RevPAR!BT$5</f>
        <v>1Q14</v>
      </c>
      <c r="BW6" s="1053" t="str">
        <f>RevPAR!BU$5</f>
        <v>2Q14</v>
      </c>
      <c r="BX6" s="1053" t="str">
        <f>RevPAR!BV$5</f>
        <v>3Q14</v>
      </c>
      <c r="BY6" s="1053" t="str">
        <f>RevPAR!BW$5</f>
        <v>4Q14</v>
      </c>
      <c r="BZ6" s="1054">
        <f>RevPAR!BX$5</f>
        <v>2014</v>
      </c>
      <c r="CA6" s="1053" t="str">
        <f>RevPAR!BY$5</f>
        <v>1Q15</v>
      </c>
      <c r="CB6" s="1053" t="str">
        <f>RevPAR!BZ$5</f>
        <v>2Q15</v>
      </c>
      <c r="CC6" s="1053" t="str">
        <f>RevPAR!CA$5</f>
        <v>3Q15</v>
      </c>
      <c r="CD6" s="1053" t="str">
        <f>RevPAR!CB$5</f>
        <v>4Q15</v>
      </c>
      <c r="CE6" s="1054">
        <f>RevPAR!CC$5</f>
        <v>2015</v>
      </c>
      <c r="CF6" s="1053" t="str">
        <f>RevPAR!CD$5</f>
        <v>1Q16</v>
      </c>
      <c r="CG6" s="1053" t="str">
        <f>RevPAR!CE$5</f>
        <v>2Q16</v>
      </c>
      <c r="CH6" s="1053" t="str">
        <f>RevPAR!CF$5</f>
        <v>3Q16</v>
      </c>
      <c r="CI6" s="1053" t="str">
        <f>RevPAR!CG$5</f>
        <v>4Q16</v>
      </c>
      <c r="CJ6" s="1054">
        <f>RevPAR!CH$5</f>
        <v>2016</v>
      </c>
      <c r="CK6" s="1053" t="s">
        <v>2974</v>
      </c>
      <c r="CL6" s="1053" t="str">
        <f>RevPAR!CJ$5</f>
        <v>2Q17</v>
      </c>
      <c r="CM6" s="1053" t="str">
        <f>RevPAR!CK$5</f>
        <v>3Q17</v>
      </c>
      <c r="CN6" s="1053" t="str">
        <f>RevPAR!CL$5</f>
        <v>4Q17A</v>
      </c>
      <c r="CO6" s="1054" t="str">
        <f>RevPAR!CM$5</f>
        <v>2017A</v>
      </c>
      <c r="CP6" s="1053" t="str">
        <f>RevPAR!CN$5</f>
        <v>1Q18E</v>
      </c>
      <c r="CQ6" s="1053" t="str">
        <f>RevPAR!CO$5</f>
        <v>2Q18E</v>
      </c>
      <c r="CR6" s="1053" t="str">
        <f>RevPAR!CP$5</f>
        <v>3Q18E</v>
      </c>
      <c r="CS6" s="1053" t="str">
        <f>RevPAR!CQ$5</f>
        <v>4Q18E</v>
      </c>
      <c r="CT6" s="1054" t="str">
        <f>RevPAR!CR$5</f>
        <v>2018E</v>
      </c>
      <c r="CU6" s="1054" t="str">
        <f>RevPAR!CS$5</f>
        <v>2019E</v>
      </c>
      <c r="CV6" s="1054" t="str">
        <f>RevPAR!CT$5</f>
        <v>2020E</v>
      </c>
    </row>
    <row r="7" spans="1:105" x14ac:dyDescent="0.2">
      <c r="A7" s="1434"/>
      <c r="B7" s="651"/>
      <c r="C7" s="236"/>
      <c r="D7" s="234"/>
      <c r="E7" s="234"/>
      <c r="F7" s="234"/>
      <c r="G7" s="234"/>
      <c r="H7" s="236"/>
      <c r="I7" s="234"/>
      <c r="J7" s="234"/>
      <c r="K7" s="234"/>
      <c r="L7" s="234"/>
      <c r="M7" s="236"/>
      <c r="N7" s="234"/>
      <c r="O7" s="234"/>
      <c r="P7" s="234"/>
      <c r="Q7" s="234"/>
      <c r="R7" s="236"/>
      <c r="S7" s="234"/>
      <c r="T7" s="234"/>
      <c r="U7" s="234"/>
      <c r="V7" s="234"/>
      <c r="W7" s="236"/>
      <c r="X7" s="234"/>
      <c r="Y7" s="234"/>
      <c r="Z7" s="234"/>
      <c r="AA7" s="234"/>
      <c r="AB7" s="236"/>
      <c r="AC7" s="234"/>
      <c r="AD7" s="234"/>
      <c r="AE7" s="234"/>
      <c r="AF7" s="234"/>
      <c r="AG7" s="236"/>
      <c r="AH7" s="234"/>
      <c r="AI7" s="234"/>
      <c r="AJ7" s="234"/>
      <c r="AK7" s="234"/>
      <c r="AL7" s="236"/>
      <c r="AM7" s="234"/>
      <c r="AN7" s="234"/>
      <c r="AO7" s="234"/>
      <c r="AP7" s="234"/>
      <c r="AQ7" s="236"/>
      <c r="AR7" s="234"/>
      <c r="AS7" s="234"/>
      <c r="AT7" s="234"/>
      <c r="AU7" s="234"/>
      <c r="AV7" s="236"/>
      <c r="AW7" s="234"/>
      <c r="AX7" s="234"/>
      <c r="AY7" s="234"/>
      <c r="AZ7" s="234"/>
      <c r="BA7" s="236"/>
      <c r="BB7" s="234"/>
      <c r="BC7" s="234"/>
      <c r="BD7" s="234"/>
      <c r="BE7" s="234"/>
      <c r="BF7" s="236"/>
      <c r="BG7" s="234"/>
      <c r="BH7" s="234"/>
      <c r="BI7" s="234"/>
      <c r="BJ7" s="234"/>
      <c r="BK7" s="236"/>
      <c r="BL7" s="212"/>
      <c r="BM7" s="212"/>
      <c r="BN7" s="212"/>
      <c r="BO7" s="212"/>
      <c r="BP7" s="194"/>
      <c r="BQ7" s="212"/>
      <c r="BR7" s="212"/>
      <c r="BS7" s="212"/>
      <c r="BT7" s="212"/>
      <c r="BU7" s="194"/>
      <c r="BV7" s="212"/>
      <c r="BW7" s="212"/>
      <c r="BX7" s="212"/>
      <c r="BY7" s="212"/>
      <c r="BZ7" s="194"/>
      <c r="CA7" s="212"/>
      <c r="CB7" s="212"/>
      <c r="CC7" s="212"/>
      <c r="CD7" s="212"/>
      <c r="CE7" s="194"/>
      <c r="CF7" s="212"/>
      <c r="CG7" s="212"/>
      <c r="CH7" s="212"/>
      <c r="CI7" s="212"/>
      <c r="CJ7" s="194"/>
      <c r="CK7" s="2907"/>
      <c r="CL7" s="212"/>
      <c r="CM7" s="212"/>
      <c r="CN7" s="212"/>
      <c r="CO7" s="194"/>
      <c r="CP7" s="2907"/>
      <c r="CQ7" s="212"/>
      <c r="CR7" s="212"/>
      <c r="CS7" s="212"/>
      <c r="CT7" s="194"/>
      <c r="CU7" s="194"/>
      <c r="CV7" s="194"/>
    </row>
    <row r="8" spans="1:105" s="212" customFormat="1" x14ac:dyDescent="0.2">
      <c r="A8" s="1435" t="s">
        <v>647</v>
      </c>
      <c r="B8" s="651"/>
      <c r="C8" s="236"/>
      <c r="D8" s="234"/>
      <c r="E8" s="234"/>
      <c r="F8" s="234"/>
      <c r="G8" s="234"/>
      <c r="H8" s="236"/>
      <c r="I8" s="234"/>
      <c r="J8" s="234"/>
      <c r="K8" s="234"/>
      <c r="L8" s="234"/>
      <c r="M8" s="236"/>
      <c r="N8" s="234"/>
      <c r="O8" s="234"/>
      <c r="P8" s="234"/>
      <c r="Q8" s="234"/>
      <c r="R8" s="236"/>
      <c r="S8" s="234"/>
      <c r="T8" s="234"/>
      <c r="U8" s="234"/>
      <c r="V8" s="234"/>
      <c r="W8" s="236"/>
      <c r="X8" s="234"/>
      <c r="Y8" s="234"/>
      <c r="Z8" s="234"/>
      <c r="AA8" s="234"/>
      <c r="AB8" s="236"/>
      <c r="AC8" s="234"/>
      <c r="AD8" s="234"/>
      <c r="AE8" s="234"/>
      <c r="AF8" s="234"/>
      <c r="AG8" s="236"/>
      <c r="AH8" s="234"/>
      <c r="AI8" s="234"/>
      <c r="AJ8" s="234"/>
      <c r="AK8" s="234"/>
      <c r="AL8" s="236"/>
      <c r="AM8" s="234"/>
      <c r="AN8" s="234"/>
      <c r="AO8" s="234"/>
      <c r="AP8" s="234"/>
      <c r="AQ8" s="236"/>
      <c r="AR8" s="234"/>
      <c r="AS8" s="234"/>
      <c r="AT8" s="234"/>
      <c r="AU8" s="234"/>
      <c r="AV8" s="236"/>
      <c r="AW8" s="234"/>
      <c r="AX8" s="234"/>
      <c r="AY8" s="234"/>
      <c r="AZ8" s="234"/>
      <c r="BA8" s="236"/>
      <c r="BB8" s="234"/>
      <c r="BC8" s="234"/>
      <c r="BD8" s="234"/>
      <c r="BE8" s="234"/>
      <c r="BF8" s="236"/>
      <c r="BG8" s="234"/>
      <c r="BH8" s="234"/>
      <c r="BI8" s="234"/>
      <c r="BJ8" s="234"/>
      <c r="BK8" s="236"/>
      <c r="BP8" s="194"/>
      <c r="BU8" s="194"/>
      <c r="BZ8" s="194"/>
      <c r="CE8" s="194"/>
      <c r="CJ8" s="194"/>
      <c r="CK8" s="2907"/>
      <c r="CO8" s="194"/>
      <c r="CP8" s="2907"/>
      <c r="CT8" s="194"/>
      <c r="CU8" s="194"/>
      <c r="CV8" s="194"/>
    </row>
    <row r="9" spans="1:105" s="212" customFormat="1" x14ac:dyDescent="0.2">
      <c r="A9" s="2288" t="s">
        <v>456</v>
      </c>
      <c r="B9" s="651"/>
      <c r="C9" s="236"/>
      <c r="D9" s="234"/>
      <c r="E9" s="234"/>
      <c r="F9" s="234"/>
      <c r="G9" s="234"/>
      <c r="H9" s="236"/>
      <c r="I9" s="234"/>
      <c r="J9" s="234"/>
      <c r="K9" s="234"/>
      <c r="L9" s="234"/>
      <c r="M9" s="236"/>
      <c r="N9" s="234"/>
      <c r="O9" s="234"/>
      <c r="P9" s="234"/>
      <c r="Q9" s="234"/>
      <c r="R9" s="236"/>
      <c r="S9" s="234"/>
      <c r="T9" s="234"/>
      <c r="U9" s="234"/>
      <c r="V9" s="234"/>
      <c r="W9" s="236"/>
      <c r="X9" s="234"/>
      <c r="Y9" s="234"/>
      <c r="Z9" s="234"/>
      <c r="AA9" s="234"/>
      <c r="AB9" s="236"/>
      <c r="AC9" s="234"/>
      <c r="AD9" s="234"/>
      <c r="AE9" s="234"/>
      <c r="AF9" s="234"/>
      <c r="AG9" s="236"/>
      <c r="AH9" s="234"/>
      <c r="AI9" s="234"/>
      <c r="AJ9" s="234"/>
      <c r="AK9" s="234"/>
      <c r="AL9" s="236"/>
      <c r="AM9" s="234"/>
      <c r="AN9" s="234"/>
      <c r="AO9" s="234"/>
      <c r="AP9" s="234"/>
      <c r="AQ9" s="236"/>
      <c r="AR9" s="234"/>
      <c r="AS9" s="234"/>
      <c r="AT9" s="234"/>
      <c r="AU9" s="234"/>
      <c r="AV9" s="236"/>
      <c r="AW9" s="234"/>
      <c r="AX9" s="234"/>
      <c r="AY9" s="234"/>
      <c r="AZ9" s="234"/>
      <c r="BA9" s="236"/>
      <c r="BB9" s="234"/>
      <c r="BC9" s="234"/>
      <c r="BD9" s="234"/>
      <c r="BE9" s="234"/>
      <c r="BF9" s="236"/>
      <c r="BG9" s="234"/>
      <c r="BH9" s="234"/>
      <c r="BI9" s="234"/>
      <c r="BJ9" s="234"/>
      <c r="BK9" s="236"/>
      <c r="BP9" s="194"/>
      <c r="BU9" s="194"/>
      <c r="BZ9" s="194"/>
      <c r="CE9" s="194"/>
      <c r="CH9" s="1231">
        <v>0</v>
      </c>
      <c r="CI9" s="1231">
        <v>0</v>
      </c>
      <c r="CJ9" s="194"/>
      <c r="CK9" s="3500">
        <v>0</v>
      </c>
      <c r="CO9" s="194"/>
      <c r="CP9" s="3500"/>
      <c r="CT9" s="194"/>
      <c r="CU9" s="194"/>
      <c r="CV9" s="194"/>
    </row>
    <row r="10" spans="1:105" x14ac:dyDescent="0.2">
      <c r="A10" s="1436" t="s">
        <v>346</v>
      </c>
      <c r="B10" s="1240"/>
      <c r="C10" s="1241"/>
      <c r="D10" s="758"/>
      <c r="E10" s="758"/>
      <c r="F10" s="758"/>
      <c r="G10" s="758"/>
      <c r="H10" s="752"/>
      <c r="I10" s="845">
        <f>4+7-I148</f>
        <v>5</v>
      </c>
      <c r="J10" s="845">
        <f>4+7-J148</f>
        <v>4</v>
      </c>
      <c r="K10" s="845">
        <f>3+7-K148</f>
        <v>3</v>
      </c>
      <c r="L10" s="845">
        <f>2+8-L148</f>
        <v>3</v>
      </c>
      <c r="M10" s="661">
        <f t="shared" ref="M10:M22" si="0">L10</f>
        <v>3</v>
      </c>
      <c r="N10" s="756">
        <f>2+8-N148</f>
        <v>3</v>
      </c>
      <c r="O10" s="756">
        <f>2+8-O148</f>
        <v>3</v>
      </c>
      <c r="P10" s="756">
        <v>3</v>
      </c>
      <c r="Q10" s="756">
        <v>3</v>
      </c>
      <c r="R10" s="661">
        <f t="shared" ref="R10:R22" si="1">Q10</f>
        <v>3</v>
      </c>
      <c r="S10" s="756">
        <v>3</v>
      </c>
      <c r="T10" s="756">
        <v>3</v>
      </c>
      <c r="U10" s="756">
        <v>4</v>
      </c>
      <c r="V10" s="754">
        <v>3</v>
      </c>
      <c r="W10" s="661">
        <f t="shared" ref="W10:W22" si="2">V10</f>
        <v>3</v>
      </c>
      <c r="X10" s="756">
        <v>3</v>
      </c>
      <c r="Y10" s="756">
        <v>2</v>
      </c>
      <c r="Z10" s="756">
        <v>2</v>
      </c>
      <c r="AA10" s="754">
        <v>1</v>
      </c>
      <c r="AB10" s="661">
        <f>+AA10</f>
        <v>1</v>
      </c>
      <c r="AC10" s="756">
        <v>2</v>
      </c>
      <c r="AD10" s="756">
        <v>2</v>
      </c>
      <c r="AE10" s="756">
        <v>2</v>
      </c>
      <c r="AF10" s="754">
        <v>2</v>
      </c>
      <c r="AG10" s="661">
        <f>+AF10</f>
        <v>2</v>
      </c>
      <c r="AH10" s="756">
        <v>2</v>
      </c>
      <c r="AI10" s="756">
        <v>2</v>
      </c>
      <c r="AJ10" s="756">
        <v>2</v>
      </c>
      <c r="AK10" s="754">
        <v>3</v>
      </c>
      <c r="AL10" s="661">
        <f>+AK10</f>
        <v>3</v>
      </c>
      <c r="AM10" s="756">
        <v>4</v>
      </c>
      <c r="AN10" s="756">
        <v>3</v>
      </c>
      <c r="AO10" s="756">
        <v>3</v>
      </c>
      <c r="AP10" s="754">
        <v>3</v>
      </c>
      <c r="AQ10" s="661">
        <f>+AP10</f>
        <v>3</v>
      </c>
      <c r="AR10" s="756">
        <v>3</v>
      </c>
      <c r="AS10" s="756">
        <v>4</v>
      </c>
      <c r="AT10" s="756">
        <v>4</v>
      </c>
      <c r="AU10" s="754">
        <v>4</v>
      </c>
      <c r="AV10" s="661">
        <f>+AU10</f>
        <v>4</v>
      </c>
      <c r="AW10" s="756">
        <f>1+3</f>
        <v>4</v>
      </c>
      <c r="AX10" s="756">
        <v>4</v>
      </c>
      <c r="AY10" s="756">
        <v>4</v>
      </c>
      <c r="AZ10" s="756">
        <v>4</v>
      </c>
      <c r="BA10" s="661">
        <f>+AZ10</f>
        <v>4</v>
      </c>
      <c r="BB10" s="756">
        <v>4</v>
      </c>
      <c r="BC10" s="756">
        <v>4</v>
      </c>
      <c r="BD10" s="756">
        <v>4</v>
      </c>
      <c r="BE10" s="754">
        <v>4</v>
      </c>
      <c r="BF10" s="661">
        <f>+BE10</f>
        <v>4</v>
      </c>
      <c r="BG10" s="756">
        <v>4</v>
      </c>
      <c r="BH10" s="756">
        <v>4</v>
      </c>
      <c r="BI10" s="756">
        <v>4</v>
      </c>
      <c r="BJ10" s="845">
        <v>3</v>
      </c>
      <c r="BK10" s="661">
        <f>+BJ10</f>
        <v>3</v>
      </c>
      <c r="BL10" s="845">
        <f>1+2</f>
        <v>3</v>
      </c>
      <c r="BM10" s="845">
        <f>1+2</f>
        <v>3</v>
      </c>
      <c r="BN10" s="845">
        <f>1+2</f>
        <v>3</v>
      </c>
      <c r="BO10" s="845">
        <v>3</v>
      </c>
      <c r="BP10" s="661">
        <f>+BO10</f>
        <v>3</v>
      </c>
      <c r="BQ10" s="1231">
        <v>3</v>
      </c>
      <c r="BR10" s="1231">
        <v>3</v>
      </c>
      <c r="BS10" s="1231">
        <v>3</v>
      </c>
      <c r="BT10" s="845">
        <v>4</v>
      </c>
      <c r="BU10" s="661">
        <f>+BT10</f>
        <v>4</v>
      </c>
      <c r="BV10" s="1231">
        <v>4</v>
      </c>
      <c r="BW10" s="1231">
        <v>4</v>
      </c>
      <c r="BX10" s="1231">
        <v>4</v>
      </c>
      <c r="BY10" s="756">
        <f>2+2</f>
        <v>4</v>
      </c>
      <c r="BZ10" s="661">
        <f>+BY10</f>
        <v>4</v>
      </c>
      <c r="CA10" s="1231">
        <v>4</v>
      </c>
      <c r="CB10" s="1231">
        <f>2+2</f>
        <v>4</v>
      </c>
      <c r="CC10" s="1231">
        <f>2+2</f>
        <v>4</v>
      </c>
      <c r="CD10" s="1231">
        <v>4</v>
      </c>
      <c r="CE10" s="661">
        <f>+CD10</f>
        <v>4</v>
      </c>
      <c r="CF10" s="1231">
        <f>2+2</f>
        <v>4</v>
      </c>
      <c r="CG10" s="1231">
        <f>2+2</f>
        <v>4</v>
      </c>
      <c r="CH10" s="1231">
        <v>4</v>
      </c>
      <c r="CI10" s="1231">
        <v>4</v>
      </c>
      <c r="CJ10" s="661">
        <f>+CI10</f>
        <v>4</v>
      </c>
      <c r="CK10" s="3500">
        <v>4</v>
      </c>
      <c r="CL10" s="3500">
        <v>3</v>
      </c>
      <c r="CM10" s="3500">
        <v>3</v>
      </c>
      <c r="CN10" s="3500">
        <v>3</v>
      </c>
      <c r="CO10" s="661">
        <f>+CN10</f>
        <v>3</v>
      </c>
      <c r="CP10" s="3500"/>
      <c r="CQ10" s="3500"/>
      <c r="CR10" s="1261"/>
      <c r="CS10" s="1261"/>
      <c r="CT10" s="1243"/>
      <c r="CU10" s="1243"/>
      <c r="CV10" s="1243"/>
    </row>
    <row r="11" spans="1:105" x14ac:dyDescent="0.2">
      <c r="A11" s="1436" t="s">
        <v>1385</v>
      </c>
      <c r="B11" s="1240"/>
      <c r="C11" s="1241"/>
      <c r="D11" s="758"/>
      <c r="E11" s="758"/>
      <c r="F11" s="758"/>
      <c r="G11" s="758"/>
      <c r="H11" s="752"/>
      <c r="I11" s="845">
        <v>0</v>
      </c>
      <c r="J11" s="845">
        <v>0</v>
      </c>
      <c r="K11" s="845">
        <v>0</v>
      </c>
      <c r="L11" s="845">
        <v>0</v>
      </c>
      <c r="M11" s="661">
        <f t="shared" si="0"/>
        <v>0</v>
      </c>
      <c r="N11" s="845">
        <v>0</v>
      </c>
      <c r="O11" s="845">
        <v>0</v>
      </c>
      <c r="P11" s="845">
        <v>0</v>
      </c>
      <c r="Q11" s="845">
        <v>0</v>
      </c>
      <c r="R11" s="661">
        <f t="shared" si="1"/>
        <v>0</v>
      </c>
      <c r="S11" s="756">
        <v>0</v>
      </c>
      <c r="T11" s="756">
        <v>0</v>
      </c>
      <c r="U11" s="756">
        <v>0</v>
      </c>
      <c r="V11" s="754">
        <v>0</v>
      </c>
      <c r="W11" s="661">
        <f t="shared" si="2"/>
        <v>0</v>
      </c>
      <c r="X11" s="756">
        <v>1</v>
      </c>
      <c r="Y11" s="756">
        <v>1</v>
      </c>
      <c r="Z11" s="756">
        <v>1</v>
      </c>
      <c r="AA11" s="754">
        <v>0</v>
      </c>
      <c r="AB11" s="661">
        <f>+AA11</f>
        <v>0</v>
      </c>
      <c r="AC11" s="756">
        <v>0</v>
      </c>
      <c r="AD11" s="756">
        <v>0</v>
      </c>
      <c r="AE11" s="756">
        <v>8</v>
      </c>
      <c r="AF11" s="754">
        <v>7</v>
      </c>
      <c r="AG11" s="661">
        <f>+AF11</f>
        <v>7</v>
      </c>
      <c r="AH11" s="756">
        <v>6</v>
      </c>
      <c r="AI11" s="756">
        <v>5</v>
      </c>
      <c r="AJ11" s="756">
        <v>3</v>
      </c>
      <c r="AK11" s="754">
        <v>3</v>
      </c>
      <c r="AL11" s="661">
        <f>+AK11</f>
        <v>3</v>
      </c>
      <c r="AM11" s="756">
        <v>3</v>
      </c>
      <c r="AN11" s="756">
        <v>3</v>
      </c>
      <c r="AO11" s="756">
        <v>3</v>
      </c>
      <c r="AP11" s="754">
        <v>3</v>
      </c>
      <c r="AQ11" s="661">
        <f>+AP11</f>
        <v>3</v>
      </c>
      <c r="AR11" s="756">
        <v>4</v>
      </c>
      <c r="AS11" s="756">
        <v>4</v>
      </c>
      <c r="AT11" s="756">
        <v>4</v>
      </c>
      <c r="AU11" s="754">
        <v>4</v>
      </c>
      <c r="AV11" s="661">
        <f>+AU11</f>
        <v>4</v>
      </c>
      <c r="AW11" s="756">
        <v>4</v>
      </c>
      <c r="AX11" s="756">
        <v>4</v>
      </c>
      <c r="AY11" s="756">
        <v>4</v>
      </c>
      <c r="AZ11" s="756">
        <v>4</v>
      </c>
      <c r="BA11" s="661">
        <f>+AZ11</f>
        <v>4</v>
      </c>
      <c r="BB11" s="756">
        <v>4</v>
      </c>
      <c r="BC11" s="756">
        <v>3</v>
      </c>
      <c r="BD11" s="756">
        <v>3</v>
      </c>
      <c r="BE11" s="754">
        <v>2</v>
      </c>
      <c r="BF11" s="661">
        <f>+BE11</f>
        <v>2</v>
      </c>
      <c r="BG11" s="756">
        <v>2</v>
      </c>
      <c r="BH11" s="756">
        <v>1</v>
      </c>
      <c r="BI11" s="756">
        <v>1</v>
      </c>
      <c r="BJ11" s="845">
        <v>1</v>
      </c>
      <c r="BK11" s="661">
        <f>+BJ11</f>
        <v>1</v>
      </c>
      <c r="BL11" s="845">
        <v>1</v>
      </c>
      <c r="BM11" s="845">
        <v>1</v>
      </c>
      <c r="BN11" s="845">
        <v>1</v>
      </c>
      <c r="BO11" s="845">
        <v>1</v>
      </c>
      <c r="BP11" s="661">
        <f>+BO11</f>
        <v>1</v>
      </c>
      <c r="BQ11" s="1231">
        <v>1</v>
      </c>
      <c r="BR11" s="1231">
        <v>1</v>
      </c>
      <c r="BS11" s="756">
        <v>1</v>
      </c>
      <c r="BT11" s="845">
        <v>1</v>
      </c>
      <c r="BU11" s="661">
        <f>+BT11</f>
        <v>1</v>
      </c>
      <c r="BV11" s="1231">
        <v>1</v>
      </c>
      <c r="BW11" s="1231">
        <v>1</v>
      </c>
      <c r="BX11" s="1231">
        <v>1</v>
      </c>
      <c r="BY11" s="756">
        <v>1</v>
      </c>
      <c r="BZ11" s="661">
        <f>+BY11</f>
        <v>1</v>
      </c>
      <c r="CA11" s="1231">
        <v>1</v>
      </c>
      <c r="CB11" s="1231">
        <v>1</v>
      </c>
      <c r="CC11" s="1231">
        <v>1</v>
      </c>
      <c r="CD11" s="1231">
        <v>1</v>
      </c>
      <c r="CE11" s="661">
        <f>+CD11</f>
        <v>1</v>
      </c>
      <c r="CF11" s="1231">
        <v>1</v>
      </c>
      <c r="CG11" s="1231">
        <v>1</v>
      </c>
      <c r="CH11" s="1231">
        <v>1</v>
      </c>
      <c r="CI11" s="1231">
        <v>1</v>
      </c>
      <c r="CJ11" s="661">
        <f>+CI11</f>
        <v>1</v>
      </c>
      <c r="CK11" s="3500">
        <v>1</v>
      </c>
      <c r="CL11" s="3500">
        <v>1</v>
      </c>
      <c r="CM11" s="3500">
        <v>1</v>
      </c>
      <c r="CN11" s="3500">
        <v>1</v>
      </c>
      <c r="CO11" s="661">
        <f>+CN11</f>
        <v>1</v>
      </c>
      <c r="CP11" s="3500"/>
      <c r="CQ11" s="3500"/>
      <c r="CR11" s="1261"/>
      <c r="CS11" s="1261"/>
      <c r="CT11" s="1243"/>
      <c r="CU11" s="1243"/>
      <c r="CV11" s="1243"/>
    </row>
    <row r="12" spans="1:105" outlineLevel="1" x14ac:dyDescent="0.2">
      <c r="A12" s="1436" t="s">
        <v>512</v>
      </c>
      <c r="B12" s="1240"/>
      <c r="C12" s="1241"/>
      <c r="D12" s="758"/>
      <c r="E12" s="758"/>
      <c r="F12" s="758"/>
      <c r="G12" s="758"/>
      <c r="H12" s="752"/>
      <c r="I12" s="845">
        <v>0</v>
      </c>
      <c r="J12" s="845">
        <v>0</v>
      </c>
      <c r="K12" s="845">
        <v>0</v>
      </c>
      <c r="L12" s="845">
        <v>0</v>
      </c>
      <c r="M12" s="661">
        <f t="shared" si="0"/>
        <v>0</v>
      </c>
      <c r="N12" s="845">
        <v>0</v>
      </c>
      <c r="O12" s="845">
        <v>0</v>
      </c>
      <c r="P12" s="845">
        <v>0</v>
      </c>
      <c r="Q12" s="845">
        <v>0</v>
      </c>
      <c r="R12" s="661">
        <f t="shared" si="1"/>
        <v>0</v>
      </c>
      <c r="S12" s="845">
        <v>0</v>
      </c>
      <c r="T12" s="845">
        <v>0</v>
      </c>
      <c r="U12" s="845">
        <v>0</v>
      </c>
      <c r="V12" s="845">
        <v>0</v>
      </c>
      <c r="W12" s="661">
        <f t="shared" si="2"/>
        <v>0</v>
      </c>
      <c r="X12" s="845">
        <v>0</v>
      </c>
      <c r="Y12" s="845">
        <v>0</v>
      </c>
      <c r="Z12" s="845">
        <v>0</v>
      </c>
      <c r="AA12" s="845">
        <v>0</v>
      </c>
      <c r="AB12" s="661">
        <f t="shared" ref="AB12:AB17" si="3">AA12</f>
        <v>0</v>
      </c>
      <c r="AC12" s="845">
        <v>0</v>
      </c>
      <c r="AD12" s="845">
        <v>0</v>
      </c>
      <c r="AE12" s="845">
        <v>0</v>
      </c>
      <c r="AF12" s="845">
        <v>0</v>
      </c>
      <c r="AG12" s="661">
        <f t="shared" ref="AG12:AG17" si="4">AF12</f>
        <v>0</v>
      </c>
      <c r="AH12" s="845">
        <v>0</v>
      </c>
      <c r="AI12" s="845">
        <v>0</v>
      </c>
      <c r="AJ12" s="845">
        <v>0</v>
      </c>
      <c r="AK12" s="845">
        <v>0</v>
      </c>
      <c r="AL12" s="661">
        <f t="shared" ref="AL12:AL17" si="5">AK12</f>
        <v>0</v>
      </c>
      <c r="AM12" s="756"/>
      <c r="AN12" s="756"/>
      <c r="AO12" s="756"/>
      <c r="AP12" s="754"/>
      <c r="AQ12" s="661"/>
      <c r="AR12" s="845">
        <v>0</v>
      </c>
      <c r="AS12" s="845">
        <v>0</v>
      </c>
      <c r="AT12" s="845">
        <v>0</v>
      </c>
      <c r="AU12" s="845">
        <v>0</v>
      </c>
      <c r="AV12" s="661">
        <f t="shared" ref="AV12:AV17" si="6">AU12</f>
        <v>0</v>
      </c>
      <c r="AW12" s="845">
        <v>0</v>
      </c>
      <c r="AX12" s="845">
        <v>0</v>
      </c>
      <c r="AY12" s="845">
        <v>0</v>
      </c>
      <c r="AZ12" s="845">
        <v>0</v>
      </c>
      <c r="BA12" s="661">
        <f t="shared" ref="BA12:BA17" si="7">AZ12</f>
        <v>0</v>
      </c>
      <c r="BB12" s="845">
        <v>0</v>
      </c>
      <c r="BC12" s="845">
        <v>0</v>
      </c>
      <c r="BD12" s="845">
        <v>0</v>
      </c>
      <c r="BE12" s="845">
        <v>0</v>
      </c>
      <c r="BF12" s="661">
        <f t="shared" ref="BF12:BF17" si="8">BE12</f>
        <v>0</v>
      </c>
      <c r="BG12" s="845">
        <v>0</v>
      </c>
      <c r="BH12" s="845">
        <v>0</v>
      </c>
      <c r="BI12" s="845">
        <v>0</v>
      </c>
      <c r="BJ12" s="845">
        <v>0</v>
      </c>
      <c r="BK12" s="661">
        <f t="shared" ref="BK12:BK17" si="9">BJ12</f>
        <v>0</v>
      </c>
      <c r="BL12" s="845">
        <v>0</v>
      </c>
      <c r="BM12" s="845">
        <v>0</v>
      </c>
      <c r="BN12" s="845">
        <v>0</v>
      </c>
      <c r="BO12" s="845">
        <v>0</v>
      </c>
      <c r="BP12" s="661">
        <f t="shared" ref="BP12:BP17" si="10">BO12</f>
        <v>0</v>
      </c>
      <c r="BQ12" s="1231">
        <v>0</v>
      </c>
      <c r="BR12" s="1231">
        <v>0</v>
      </c>
      <c r="BS12" s="1231">
        <v>0</v>
      </c>
      <c r="BT12" s="845">
        <v>0</v>
      </c>
      <c r="BU12" s="661">
        <f t="shared" ref="BU12:BU17" si="11">BT12</f>
        <v>0</v>
      </c>
      <c r="BV12" s="1231">
        <v>0</v>
      </c>
      <c r="BW12" s="1231">
        <v>0</v>
      </c>
      <c r="BX12" s="1231">
        <v>0</v>
      </c>
      <c r="BY12" s="756">
        <v>0</v>
      </c>
      <c r="BZ12" s="661">
        <f t="shared" ref="BZ12:BZ17" si="12">BY12</f>
        <v>0</v>
      </c>
      <c r="CA12" s="1231">
        <v>0</v>
      </c>
      <c r="CB12" s="1231">
        <v>0</v>
      </c>
      <c r="CC12" s="1231">
        <v>0</v>
      </c>
      <c r="CD12" s="1231">
        <v>0</v>
      </c>
      <c r="CE12" s="661">
        <f t="shared" ref="CE12:CE17" si="13">CD12</f>
        <v>0</v>
      </c>
      <c r="CF12" s="1231">
        <v>0</v>
      </c>
      <c r="CG12" s="1231">
        <v>0</v>
      </c>
      <c r="CH12" s="1231">
        <v>0</v>
      </c>
      <c r="CI12" s="1231">
        <v>0</v>
      </c>
      <c r="CJ12" s="661">
        <f t="shared" ref="CJ12:CJ17" si="14">CI12</f>
        <v>0</v>
      </c>
      <c r="CK12" s="3500"/>
      <c r="CL12" s="3500"/>
      <c r="CM12" s="3500"/>
      <c r="CN12" s="3500"/>
      <c r="CO12" s="661">
        <f t="shared" ref="CO12:CO17" si="15">CN12</f>
        <v>0</v>
      </c>
      <c r="CP12" s="3500"/>
      <c r="CQ12" s="3500"/>
      <c r="CR12" s="1261"/>
      <c r="CS12" s="1261"/>
      <c r="CT12" s="1243"/>
      <c r="CU12" s="1243"/>
      <c r="CV12" s="1243"/>
    </row>
    <row r="13" spans="1:105" outlineLevel="1" x14ac:dyDescent="0.2">
      <c r="A13" s="2288" t="s">
        <v>608</v>
      </c>
      <c r="B13" s="1240"/>
      <c r="C13" s="1241"/>
      <c r="D13" s="758"/>
      <c r="E13" s="758"/>
      <c r="F13" s="758"/>
      <c r="G13" s="758"/>
      <c r="H13" s="752"/>
      <c r="I13" s="845">
        <v>0</v>
      </c>
      <c r="J13" s="845">
        <v>0</v>
      </c>
      <c r="K13" s="845">
        <v>0</v>
      </c>
      <c r="L13" s="845">
        <v>0</v>
      </c>
      <c r="M13" s="661">
        <f>L13</f>
        <v>0</v>
      </c>
      <c r="N13" s="845">
        <v>0</v>
      </c>
      <c r="O13" s="845">
        <v>0</v>
      </c>
      <c r="P13" s="845">
        <v>0</v>
      </c>
      <c r="Q13" s="845">
        <v>0</v>
      </c>
      <c r="R13" s="661">
        <f>Q13</f>
        <v>0</v>
      </c>
      <c r="S13" s="845">
        <v>0</v>
      </c>
      <c r="T13" s="845">
        <v>0</v>
      </c>
      <c r="U13" s="845">
        <v>0</v>
      </c>
      <c r="V13" s="845">
        <v>0</v>
      </c>
      <c r="W13" s="661">
        <f>V13</f>
        <v>0</v>
      </c>
      <c r="X13" s="845">
        <v>0</v>
      </c>
      <c r="Y13" s="845">
        <v>0</v>
      </c>
      <c r="Z13" s="845">
        <v>0</v>
      </c>
      <c r="AA13" s="845">
        <v>0</v>
      </c>
      <c r="AB13" s="661">
        <f t="shared" si="3"/>
        <v>0</v>
      </c>
      <c r="AC13" s="845">
        <v>0</v>
      </c>
      <c r="AD13" s="845">
        <v>0</v>
      </c>
      <c r="AE13" s="845">
        <v>0</v>
      </c>
      <c r="AF13" s="845">
        <v>0</v>
      </c>
      <c r="AG13" s="661">
        <f t="shared" si="4"/>
        <v>0</v>
      </c>
      <c r="AH13" s="845">
        <v>0</v>
      </c>
      <c r="AI13" s="845">
        <v>0</v>
      </c>
      <c r="AJ13" s="845">
        <v>0</v>
      </c>
      <c r="AK13" s="845">
        <v>0</v>
      </c>
      <c r="AL13" s="661">
        <f t="shared" si="5"/>
        <v>0</v>
      </c>
      <c r="AM13" s="756"/>
      <c r="AN13" s="756"/>
      <c r="AO13" s="756"/>
      <c r="AP13" s="754"/>
      <c r="AQ13" s="661"/>
      <c r="AR13" s="845">
        <v>0</v>
      </c>
      <c r="AS13" s="845">
        <v>0</v>
      </c>
      <c r="AT13" s="845">
        <v>0</v>
      </c>
      <c r="AU13" s="845">
        <v>0</v>
      </c>
      <c r="AV13" s="661">
        <f t="shared" si="6"/>
        <v>0</v>
      </c>
      <c r="AW13" s="845">
        <v>0</v>
      </c>
      <c r="AX13" s="845">
        <v>0</v>
      </c>
      <c r="AY13" s="845">
        <v>0</v>
      </c>
      <c r="AZ13" s="845">
        <v>0</v>
      </c>
      <c r="BA13" s="661">
        <f t="shared" si="7"/>
        <v>0</v>
      </c>
      <c r="BB13" s="845">
        <v>0</v>
      </c>
      <c r="BC13" s="845">
        <v>0</v>
      </c>
      <c r="BD13" s="845">
        <v>0</v>
      </c>
      <c r="BE13" s="845">
        <v>0</v>
      </c>
      <c r="BF13" s="661">
        <f t="shared" si="8"/>
        <v>0</v>
      </c>
      <c r="BG13" s="845">
        <v>0</v>
      </c>
      <c r="BH13" s="845">
        <v>0</v>
      </c>
      <c r="BI13" s="845">
        <v>0</v>
      </c>
      <c r="BJ13" s="845">
        <v>0</v>
      </c>
      <c r="BK13" s="661">
        <f t="shared" si="9"/>
        <v>0</v>
      </c>
      <c r="BL13" s="845">
        <v>0</v>
      </c>
      <c r="BM13" s="845">
        <v>0</v>
      </c>
      <c r="BN13" s="845">
        <v>0</v>
      </c>
      <c r="BO13" s="845">
        <v>0</v>
      </c>
      <c r="BP13" s="661">
        <f t="shared" si="10"/>
        <v>0</v>
      </c>
      <c r="BQ13" s="1231">
        <v>0</v>
      </c>
      <c r="BR13" s="1231">
        <v>0</v>
      </c>
      <c r="BS13" s="1231">
        <v>0</v>
      </c>
      <c r="BT13" s="845">
        <v>0</v>
      </c>
      <c r="BU13" s="661">
        <f t="shared" si="11"/>
        <v>0</v>
      </c>
      <c r="BV13" s="1231">
        <v>0</v>
      </c>
      <c r="BW13" s="1231">
        <v>0</v>
      </c>
      <c r="BX13" s="1231">
        <v>0</v>
      </c>
      <c r="BY13" s="756">
        <v>0</v>
      </c>
      <c r="BZ13" s="661">
        <f t="shared" si="12"/>
        <v>0</v>
      </c>
      <c r="CA13" s="1231">
        <v>0</v>
      </c>
      <c r="CB13" s="1231">
        <v>0</v>
      </c>
      <c r="CC13" s="1231">
        <v>0</v>
      </c>
      <c r="CD13" s="1231">
        <v>0</v>
      </c>
      <c r="CE13" s="661">
        <f t="shared" si="13"/>
        <v>0</v>
      </c>
      <c r="CF13" s="1231">
        <v>0</v>
      </c>
      <c r="CG13" s="1231">
        <v>0</v>
      </c>
      <c r="CH13" s="1231">
        <v>0</v>
      </c>
      <c r="CI13" s="1231">
        <v>0</v>
      </c>
      <c r="CJ13" s="661">
        <f t="shared" si="14"/>
        <v>0</v>
      </c>
      <c r="CK13" s="3500"/>
      <c r="CL13" s="3500"/>
      <c r="CM13" s="3500"/>
      <c r="CN13" s="3500"/>
      <c r="CO13" s="661">
        <f t="shared" si="15"/>
        <v>0</v>
      </c>
      <c r="CP13" s="3500"/>
      <c r="CQ13" s="3500"/>
      <c r="CR13" s="1261"/>
      <c r="CS13" s="1261"/>
      <c r="CT13" s="1243"/>
      <c r="CU13" s="1243"/>
      <c r="CV13" s="1243"/>
    </row>
    <row r="14" spans="1:105" outlineLevel="1" x14ac:dyDescent="0.2">
      <c r="A14" s="1436" t="s">
        <v>510</v>
      </c>
      <c r="B14" s="1240"/>
      <c r="C14" s="1241"/>
      <c r="D14" s="758"/>
      <c r="E14" s="758"/>
      <c r="F14" s="758"/>
      <c r="G14" s="758"/>
      <c r="H14" s="752"/>
      <c r="I14" s="845">
        <v>0</v>
      </c>
      <c r="J14" s="845">
        <v>0</v>
      </c>
      <c r="K14" s="845">
        <v>0</v>
      </c>
      <c r="L14" s="845">
        <v>0</v>
      </c>
      <c r="M14" s="661">
        <f t="shared" si="0"/>
        <v>0</v>
      </c>
      <c r="N14" s="845">
        <v>0</v>
      </c>
      <c r="O14" s="845">
        <v>0</v>
      </c>
      <c r="P14" s="845">
        <v>0</v>
      </c>
      <c r="Q14" s="845">
        <v>0</v>
      </c>
      <c r="R14" s="661">
        <f t="shared" si="1"/>
        <v>0</v>
      </c>
      <c r="S14" s="845">
        <v>0</v>
      </c>
      <c r="T14" s="845">
        <v>0</v>
      </c>
      <c r="U14" s="845">
        <v>0</v>
      </c>
      <c r="V14" s="845">
        <v>0</v>
      </c>
      <c r="W14" s="661">
        <f t="shared" si="2"/>
        <v>0</v>
      </c>
      <c r="X14" s="845">
        <v>0</v>
      </c>
      <c r="Y14" s="845">
        <v>0</v>
      </c>
      <c r="Z14" s="845">
        <v>0</v>
      </c>
      <c r="AA14" s="845">
        <v>0</v>
      </c>
      <c r="AB14" s="661">
        <f t="shared" si="3"/>
        <v>0</v>
      </c>
      <c r="AC14" s="845">
        <v>0</v>
      </c>
      <c r="AD14" s="845">
        <v>0</v>
      </c>
      <c r="AE14" s="845">
        <v>0</v>
      </c>
      <c r="AF14" s="845">
        <v>0</v>
      </c>
      <c r="AG14" s="661">
        <f t="shared" si="4"/>
        <v>0</v>
      </c>
      <c r="AH14" s="845">
        <v>0</v>
      </c>
      <c r="AI14" s="845">
        <v>0</v>
      </c>
      <c r="AJ14" s="845">
        <v>0</v>
      </c>
      <c r="AK14" s="845">
        <v>0</v>
      </c>
      <c r="AL14" s="661">
        <f t="shared" si="5"/>
        <v>0</v>
      </c>
      <c r="AM14" s="756"/>
      <c r="AN14" s="756"/>
      <c r="AO14" s="756"/>
      <c r="AP14" s="754"/>
      <c r="AQ14" s="661"/>
      <c r="AR14" s="845">
        <v>0</v>
      </c>
      <c r="AS14" s="845">
        <v>0</v>
      </c>
      <c r="AT14" s="845">
        <v>0</v>
      </c>
      <c r="AU14" s="845">
        <v>0</v>
      </c>
      <c r="AV14" s="661">
        <f t="shared" si="6"/>
        <v>0</v>
      </c>
      <c r="AW14" s="845">
        <v>0</v>
      </c>
      <c r="AX14" s="845">
        <v>0</v>
      </c>
      <c r="AY14" s="845">
        <v>0</v>
      </c>
      <c r="AZ14" s="845">
        <v>0</v>
      </c>
      <c r="BA14" s="661">
        <f t="shared" si="7"/>
        <v>0</v>
      </c>
      <c r="BB14" s="845">
        <v>0</v>
      </c>
      <c r="BC14" s="845">
        <v>0</v>
      </c>
      <c r="BD14" s="845">
        <v>0</v>
      </c>
      <c r="BE14" s="845">
        <v>0</v>
      </c>
      <c r="BF14" s="661">
        <f t="shared" si="8"/>
        <v>0</v>
      </c>
      <c r="BG14" s="845">
        <v>0</v>
      </c>
      <c r="BH14" s="845">
        <v>0</v>
      </c>
      <c r="BI14" s="845">
        <v>0</v>
      </c>
      <c r="BJ14" s="845">
        <v>0</v>
      </c>
      <c r="BK14" s="661">
        <f t="shared" si="9"/>
        <v>0</v>
      </c>
      <c r="BL14" s="845">
        <v>0</v>
      </c>
      <c r="BM14" s="845">
        <v>0</v>
      </c>
      <c r="BN14" s="845">
        <v>0</v>
      </c>
      <c r="BO14" s="845">
        <v>0</v>
      </c>
      <c r="BP14" s="661">
        <f t="shared" si="10"/>
        <v>0</v>
      </c>
      <c r="BQ14" s="1231">
        <v>0</v>
      </c>
      <c r="BR14" s="1231">
        <v>0</v>
      </c>
      <c r="BS14" s="1231">
        <v>0</v>
      </c>
      <c r="BT14" s="845">
        <v>0</v>
      </c>
      <c r="BU14" s="661">
        <f t="shared" si="11"/>
        <v>0</v>
      </c>
      <c r="BV14" s="1231">
        <v>0</v>
      </c>
      <c r="BW14" s="1231">
        <v>0</v>
      </c>
      <c r="BX14" s="1231">
        <v>0</v>
      </c>
      <c r="BY14" s="756">
        <v>0</v>
      </c>
      <c r="BZ14" s="661">
        <f t="shared" si="12"/>
        <v>0</v>
      </c>
      <c r="CA14" s="1231">
        <v>0</v>
      </c>
      <c r="CB14" s="1231">
        <v>0</v>
      </c>
      <c r="CC14" s="1231">
        <v>0</v>
      </c>
      <c r="CD14" s="1231">
        <v>0</v>
      </c>
      <c r="CE14" s="661">
        <f t="shared" si="13"/>
        <v>0</v>
      </c>
      <c r="CF14" s="1231">
        <v>0</v>
      </c>
      <c r="CG14" s="1231">
        <v>0</v>
      </c>
      <c r="CH14" s="1231">
        <v>0</v>
      </c>
      <c r="CI14" s="1231">
        <v>0</v>
      </c>
      <c r="CJ14" s="661">
        <f t="shared" si="14"/>
        <v>0</v>
      </c>
      <c r="CK14" s="3500"/>
      <c r="CL14" s="3500"/>
      <c r="CM14" s="3500"/>
      <c r="CN14" s="3500"/>
      <c r="CO14" s="661">
        <f t="shared" si="15"/>
        <v>0</v>
      </c>
      <c r="CP14" s="3500"/>
      <c r="CQ14" s="3500"/>
      <c r="CR14" s="1261"/>
      <c r="CS14" s="1261"/>
      <c r="CT14" s="1243"/>
      <c r="CU14" s="1243"/>
      <c r="CV14" s="1243"/>
    </row>
    <row r="15" spans="1:105" outlineLevel="1" x14ac:dyDescent="0.2">
      <c r="A15" s="1436" t="s">
        <v>511</v>
      </c>
      <c r="B15" s="1240"/>
      <c r="C15" s="1241"/>
      <c r="D15" s="758"/>
      <c r="E15" s="758"/>
      <c r="F15" s="758"/>
      <c r="G15" s="758"/>
      <c r="H15" s="752"/>
      <c r="I15" s="845">
        <v>0</v>
      </c>
      <c r="J15" s="845">
        <v>0</v>
      </c>
      <c r="K15" s="845">
        <v>0</v>
      </c>
      <c r="L15" s="845">
        <v>0</v>
      </c>
      <c r="M15" s="661">
        <f t="shared" si="0"/>
        <v>0</v>
      </c>
      <c r="N15" s="845">
        <v>0</v>
      </c>
      <c r="O15" s="845">
        <v>0</v>
      </c>
      <c r="P15" s="845">
        <v>0</v>
      </c>
      <c r="Q15" s="845">
        <v>0</v>
      </c>
      <c r="R15" s="661">
        <f t="shared" si="1"/>
        <v>0</v>
      </c>
      <c r="S15" s="845">
        <v>0</v>
      </c>
      <c r="T15" s="845">
        <v>0</v>
      </c>
      <c r="U15" s="845">
        <v>0</v>
      </c>
      <c r="V15" s="845">
        <v>0</v>
      </c>
      <c r="W15" s="661">
        <f t="shared" si="2"/>
        <v>0</v>
      </c>
      <c r="X15" s="845">
        <v>0</v>
      </c>
      <c r="Y15" s="845">
        <v>0</v>
      </c>
      <c r="Z15" s="845">
        <v>0</v>
      </c>
      <c r="AA15" s="845">
        <v>0</v>
      </c>
      <c r="AB15" s="661">
        <f t="shared" si="3"/>
        <v>0</v>
      </c>
      <c r="AC15" s="845">
        <v>0</v>
      </c>
      <c r="AD15" s="845">
        <v>0</v>
      </c>
      <c r="AE15" s="845">
        <v>0</v>
      </c>
      <c r="AF15" s="845">
        <v>0</v>
      </c>
      <c r="AG15" s="661">
        <f t="shared" si="4"/>
        <v>0</v>
      </c>
      <c r="AH15" s="845">
        <v>0</v>
      </c>
      <c r="AI15" s="845">
        <v>0</v>
      </c>
      <c r="AJ15" s="845">
        <v>0</v>
      </c>
      <c r="AK15" s="845">
        <v>0</v>
      </c>
      <c r="AL15" s="661">
        <f t="shared" si="5"/>
        <v>0</v>
      </c>
      <c r="AM15" s="756"/>
      <c r="AN15" s="756"/>
      <c r="AO15" s="756"/>
      <c r="AP15" s="754"/>
      <c r="AQ15" s="661"/>
      <c r="AR15" s="845">
        <v>0</v>
      </c>
      <c r="AS15" s="845">
        <v>0</v>
      </c>
      <c r="AT15" s="845">
        <v>0</v>
      </c>
      <c r="AU15" s="845">
        <v>0</v>
      </c>
      <c r="AV15" s="661">
        <f t="shared" si="6"/>
        <v>0</v>
      </c>
      <c r="AW15" s="845">
        <v>0</v>
      </c>
      <c r="AX15" s="845">
        <v>0</v>
      </c>
      <c r="AY15" s="845">
        <v>0</v>
      </c>
      <c r="AZ15" s="845">
        <v>0</v>
      </c>
      <c r="BA15" s="661">
        <f t="shared" si="7"/>
        <v>0</v>
      </c>
      <c r="BB15" s="845">
        <v>0</v>
      </c>
      <c r="BC15" s="845">
        <v>0</v>
      </c>
      <c r="BD15" s="845">
        <v>0</v>
      </c>
      <c r="BE15" s="845">
        <v>0</v>
      </c>
      <c r="BF15" s="661">
        <f t="shared" si="8"/>
        <v>0</v>
      </c>
      <c r="BG15" s="845">
        <v>0</v>
      </c>
      <c r="BH15" s="845">
        <v>0</v>
      </c>
      <c r="BI15" s="845">
        <v>0</v>
      </c>
      <c r="BJ15" s="845">
        <v>0</v>
      </c>
      <c r="BK15" s="661">
        <f t="shared" si="9"/>
        <v>0</v>
      </c>
      <c r="BL15" s="845">
        <v>0</v>
      </c>
      <c r="BM15" s="845">
        <v>0</v>
      </c>
      <c r="BN15" s="845">
        <v>0</v>
      </c>
      <c r="BO15" s="845">
        <v>0</v>
      </c>
      <c r="BP15" s="661">
        <f t="shared" si="10"/>
        <v>0</v>
      </c>
      <c r="BQ15" s="1231">
        <v>0</v>
      </c>
      <c r="BR15" s="1231">
        <v>0</v>
      </c>
      <c r="BS15" s="1231">
        <v>0</v>
      </c>
      <c r="BT15" s="845">
        <v>0</v>
      </c>
      <c r="BU15" s="661">
        <f t="shared" si="11"/>
        <v>0</v>
      </c>
      <c r="BV15" s="1231">
        <v>0</v>
      </c>
      <c r="BW15" s="1231">
        <v>0</v>
      </c>
      <c r="BX15" s="1231">
        <v>0</v>
      </c>
      <c r="BY15" s="756">
        <v>0</v>
      </c>
      <c r="BZ15" s="661">
        <f t="shared" si="12"/>
        <v>0</v>
      </c>
      <c r="CA15" s="1231">
        <v>0</v>
      </c>
      <c r="CB15" s="1231">
        <v>0</v>
      </c>
      <c r="CC15" s="1231">
        <v>0</v>
      </c>
      <c r="CD15" s="1231">
        <v>0</v>
      </c>
      <c r="CE15" s="661">
        <f t="shared" si="13"/>
        <v>0</v>
      </c>
      <c r="CF15" s="1231">
        <v>0</v>
      </c>
      <c r="CG15" s="1231">
        <v>0</v>
      </c>
      <c r="CH15" s="1231">
        <v>0</v>
      </c>
      <c r="CI15" s="1231">
        <v>0</v>
      </c>
      <c r="CJ15" s="661">
        <f t="shared" si="14"/>
        <v>0</v>
      </c>
      <c r="CK15" s="3500"/>
      <c r="CL15" s="3500"/>
      <c r="CM15" s="3500"/>
      <c r="CN15" s="3500"/>
      <c r="CO15" s="661">
        <f t="shared" si="15"/>
        <v>0</v>
      </c>
      <c r="CP15" s="3500"/>
      <c r="CQ15" s="3500"/>
      <c r="CR15" s="1261"/>
      <c r="CS15" s="1261"/>
      <c r="CT15" s="1243"/>
      <c r="CU15" s="1243"/>
      <c r="CV15" s="1243"/>
    </row>
    <row r="16" spans="1:105" outlineLevel="1" x14ac:dyDescent="0.2">
      <c r="A16" s="1436" t="s">
        <v>383</v>
      </c>
      <c r="B16" s="1240"/>
      <c r="C16" s="1241"/>
      <c r="D16" s="758"/>
      <c r="E16" s="758"/>
      <c r="F16" s="758"/>
      <c r="G16" s="758"/>
      <c r="H16" s="752"/>
      <c r="I16" s="845">
        <v>0</v>
      </c>
      <c r="J16" s="845">
        <v>0</v>
      </c>
      <c r="K16" s="845">
        <v>0</v>
      </c>
      <c r="L16" s="845">
        <v>0</v>
      </c>
      <c r="M16" s="661">
        <f t="shared" si="0"/>
        <v>0</v>
      </c>
      <c r="N16" s="845">
        <v>0</v>
      </c>
      <c r="O16" s="845">
        <v>0</v>
      </c>
      <c r="P16" s="845">
        <v>0</v>
      </c>
      <c r="Q16" s="845">
        <v>0</v>
      </c>
      <c r="R16" s="661">
        <f t="shared" si="1"/>
        <v>0</v>
      </c>
      <c r="S16" s="845">
        <v>0</v>
      </c>
      <c r="T16" s="845">
        <v>0</v>
      </c>
      <c r="U16" s="845">
        <v>0</v>
      </c>
      <c r="V16" s="845">
        <v>0</v>
      </c>
      <c r="W16" s="661">
        <f t="shared" si="2"/>
        <v>0</v>
      </c>
      <c r="X16" s="845">
        <v>0</v>
      </c>
      <c r="Y16" s="845">
        <v>0</v>
      </c>
      <c r="Z16" s="845">
        <v>0</v>
      </c>
      <c r="AA16" s="845">
        <v>0</v>
      </c>
      <c r="AB16" s="661">
        <f t="shared" si="3"/>
        <v>0</v>
      </c>
      <c r="AC16" s="845">
        <v>0</v>
      </c>
      <c r="AD16" s="845">
        <v>0</v>
      </c>
      <c r="AE16" s="845">
        <v>0</v>
      </c>
      <c r="AF16" s="845">
        <v>0</v>
      </c>
      <c r="AG16" s="661">
        <f t="shared" si="4"/>
        <v>0</v>
      </c>
      <c r="AH16" s="845">
        <v>0</v>
      </c>
      <c r="AI16" s="845">
        <v>0</v>
      </c>
      <c r="AJ16" s="845">
        <v>0</v>
      </c>
      <c r="AK16" s="845">
        <v>0</v>
      </c>
      <c r="AL16" s="661">
        <f t="shared" si="5"/>
        <v>0</v>
      </c>
      <c r="AM16" s="756"/>
      <c r="AN16" s="756"/>
      <c r="AO16" s="756"/>
      <c r="AP16" s="754"/>
      <c r="AQ16" s="661"/>
      <c r="AR16" s="845">
        <v>0</v>
      </c>
      <c r="AS16" s="845">
        <v>0</v>
      </c>
      <c r="AT16" s="845">
        <v>0</v>
      </c>
      <c r="AU16" s="845">
        <v>0</v>
      </c>
      <c r="AV16" s="661">
        <f t="shared" si="6"/>
        <v>0</v>
      </c>
      <c r="AW16" s="845">
        <v>0</v>
      </c>
      <c r="AX16" s="845">
        <v>0</v>
      </c>
      <c r="AY16" s="845">
        <v>0</v>
      </c>
      <c r="AZ16" s="845">
        <v>0</v>
      </c>
      <c r="BA16" s="661">
        <f t="shared" si="7"/>
        <v>0</v>
      </c>
      <c r="BB16" s="845">
        <v>0</v>
      </c>
      <c r="BC16" s="845">
        <v>0</v>
      </c>
      <c r="BD16" s="845">
        <v>0</v>
      </c>
      <c r="BE16" s="845">
        <v>0</v>
      </c>
      <c r="BF16" s="661">
        <f t="shared" si="8"/>
        <v>0</v>
      </c>
      <c r="BG16" s="845">
        <v>0</v>
      </c>
      <c r="BH16" s="845">
        <v>0</v>
      </c>
      <c r="BI16" s="845">
        <v>0</v>
      </c>
      <c r="BJ16" s="845">
        <v>0</v>
      </c>
      <c r="BK16" s="661">
        <f t="shared" si="9"/>
        <v>0</v>
      </c>
      <c r="BL16" s="845">
        <v>0</v>
      </c>
      <c r="BM16" s="845">
        <v>0</v>
      </c>
      <c r="BN16" s="845">
        <v>0</v>
      </c>
      <c r="BO16" s="845">
        <v>0</v>
      </c>
      <c r="BP16" s="661">
        <f t="shared" si="10"/>
        <v>0</v>
      </c>
      <c r="BQ16" s="1231">
        <v>0</v>
      </c>
      <c r="BR16" s="1231">
        <v>0</v>
      </c>
      <c r="BS16" s="1231">
        <v>0</v>
      </c>
      <c r="BT16" s="845">
        <v>0</v>
      </c>
      <c r="BU16" s="661">
        <f t="shared" si="11"/>
        <v>0</v>
      </c>
      <c r="BV16" s="1231">
        <v>0</v>
      </c>
      <c r="BW16" s="1231">
        <v>0</v>
      </c>
      <c r="BX16" s="1231">
        <v>0</v>
      </c>
      <c r="BY16" s="756">
        <v>1</v>
      </c>
      <c r="BZ16" s="661">
        <f t="shared" si="12"/>
        <v>1</v>
      </c>
      <c r="CA16" s="1231">
        <v>0</v>
      </c>
      <c r="CB16" s="1231">
        <v>0</v>
      </c>
      <c r="CC16" s="1231">
        <v>0</v>
      </c>
      <c r="CD16" s="1231">
        <v>0</v>
      </c>
      <c r="CE16" s="661">
        <f t="shared" si="13"/>
        <v>0</v>
      </c>
      <c r="CF16" s="1231">
        <v>0</v>
      </c>
      <c r="CG16" s="1231">
        <v>0</v>
      </c>
      <c r="CH16" s="1231">
        <v>0</v>
      </c>
      <c r="CI16" s="1231">
        <v>0</v>
      </c>
      <c r="CJ16" s="661">
        <f t="shared" si="14"/>
        <v>0</v>
      </c>
      <c r="CK16" s="3500"/>
      <c r="CL16" s="3500"/>
      <c r="CM16" s="3500"/>
      <c r="CN16" s="3500"/>
      <c r="CO16" s="661">
        <f t="shared" si="15"/>
        <v>0</v>
      </c>
      <c r="CP16" s="3500"/>
      <c r="CQ16" s="3500"/>
      <c r="CR16" s="1261"/>
      <c r="CS16" s="1261"/>
      <c r="CT16" s="1243"/>
      <c r="CU16" s="1243"/>
      <c r="CV16" s="1243"/>
    </row>
    <row r="17" spans="1:100" outlineLevel="1" x14ac:dyDescent="0.2">
      <c r="A17" s="1436" t="s">
        <v>656</v>
      </c>
      <c r="B17" s="1240"/>
      <c r="C17" s="1241"/>
      <c r="D17" s="758"/>
      <c r="E17" s="758"/>
      <c r="F17" s="758"/>
      <c r="G17" s="758"/>
      <c r="H17" s="752"/>
      <c r="I17" s="845">
        <v>0</v>
      </c>
      <c r="J17" s="845">
        <v>0</v>
      </c>
      <c r="K17" s="845">
        <v>0</v>
      </c>
      <c r="L17" s="845">
        <v>0</v>
      </c>
      <c r="M17" s="661">
        <f t="shared" si="0"/>
        <v>0</v>
      </c>
      <c r="N17" s="845">
        <v>0</v>
      </c>
      <c r="O17" s="845">
        <v>0</v>
      </c>
      <c r="P17" s="845">
        <v>0</v>
      </c>
      <c r="Q17" s="845">
        <v>0</v>
      </c>
      <c r="R17" s="661">
        <f t="shared" si="1"/>
        <v>0</v>
      </c>
      <c r="S17" s="845">
        <v>0</v>
      </c>
      <c r="T17" s="845">
        <v>0</v>
      </c>
      <c r="U17" s="845">
        <v>0</v>
      </c>
      <c r="V17" s="845">
        <v>0</v>
      </c>
      <c r="W17" s="661">
        <f t="shared" si="2"/>
        <v>0</v>
      </c>
      <c r="X17" s="845">
        <v>0</v>
      </c>
      <c r="Y17" s="845">
        <v>0</v>
      </c>
      <c r="Z17" s="845">
        <v>0</v>
      </c>
      <c r="AA17" s="845">
        <v>0</v>
      </c>
      <c r="AB17" s="661">
        <f t="shared" si="3"/>
        <v>0</v>
      </c>
      <c r="AC17" s="845">
        <v>0</v>
      </c>
      <c r="AD17" s="845">
        <v>0</v>
      </c>
      <c r="AE17" s="845">
        <v>0</v>
      </c>
      <c r="AF17" s="845">
        <v>0</v>
      </c>
      <c r="AG17" s="661">
        <f t="shared" si="4"/>
        <v>0</v>
      </c>
      <c r="AH17" s="845">
        <v>0</v>
      </c>
      <c r="AI17" s="845">
        <v>0</v>
      </c>
      <c r="AJ17" s="845">
        <v>0</v>
      </c>
      <c r="AK17" s="845">
        <v>0</v>
      </c>
      <c r="AL17" s="661">
        <f t="shared" si="5"/>
        <v>0</v>
      </c>
      <c r="AM17" s="756"/>
      <c r="AN17" s="756"/>
      <c r="AO17" s="756"/>
      <c r="AP17" s="754"/>
      <c r="AQ17" s="661"/>
      <c r="AR17" s="845">
        <v>0</v>
      </c>
      <c r="AS17" s="845">
        <v>0</v>
      </c>
      <c r="AT17" s="845">
        <v>0</v>
      </c>
      <c r="AU17" s="845">
        <v>0</v>
      </c>
      <c r="AV17" s="661">
        <f t="shared" si="6"/>
        <v>0</v>
      </c>
      <c r="AW17" s="845">
        <v>0</v>
      </c>
      <c r="AX17" s="845">
        <v>0</v>
      </c>
      <c r="AY17" s="845">
        <v>0</v>
      </c>
      <c r="AZ17" s="845">
        <v>0</v>
      </c>
      <c r="BA17" s="661">
        <f t="shared" si="7"/>
        <v>0</v>
      </c>
      <c r="BB17" s="845">
        <v>0</v>
      </c>
      <c r="BC17" s="845">
        <v>0</v>
      </c>
      <c r="BD17" s="845">
        <v>0</v>
      </c>
      <c r="BE17" s="845">
        <v>0</v>
      </c>
      <c r="BF17" s="661">
        <f t="shared" si="8"/>
        <v>0</v>
      </c>
      <c r="BG17" s="845">
        <v>0</v>
      </c>
      <c r="BH17" s="845">
        <v>0</v>
      </c>
      <c r="BI17" s="845">
        <v>0</v>
      </c>
      <c r="BJ17" s="845">
        <v>0</v>
      </c>
      <c r="BK17" s="661">
        <f t="shared" si="9"/>
        <v>0</v>
      </c>
      <c r="BL17" s="845">
        <v>0</v>
      </c>
      <c r="BM17" s="845">
        <v>0</v>
      </c>
      <c r="BN17" s="845">
        <v>0</v>
      </c>
      <c r="BO17" s="845">
        <v>0</v>
      </c>
      <c r="BP17" s="661">
        <f t="shared" si="10"/>
        <v>0</v>
      </c>
      <c r="BQ17" s="1231">
        <v>0</v>
      </c>
      <c r="BR17" s="1231">
        <v>0</v>
      </c>
      <c r="BS17" s="1231">
        <v>0</v>
      </c>
      <c r="BT17" s="845">
        <v>0</v>
      </c>
      <c r="BU17" s="661">
        <f t="shared" si="11"/>
        <v>0</v>
      </c>
      <c r="BV17" s="1231">
        <v>0</v>
      </c>
      <c r="BW17" s="1231">
        <v>0</v>
      </c>
      <c r="BX17" s="1231">
        <v>0</v>
      </c>
      <c r="BY17" s="756">
        <v>0</v>
      </c>
      <c r="BZ17" s="661">
        <f t="shared" si="12"/>
        <v>0</v>
      </c>
      <c r="CA17" s="1231">
        <v>0</v>
      </c>
      <c r="CB17" s="1231">
        <v>0</v>
      </c>
      <c r="CC17" s="1231">
        <v>0</v>
      </c>
      <c r="CD17" s="1231">
        <v>0</v>
      </c>
      <c r="CE17" s="661">
        <f t="shared" si="13"/>
        <v>0</v>
      </c>
      <c r="CF17" s="1231">
        <v>0</v>
      </c>
      <c r="CG17" s="1231">
        <v>0</v>
      </c>
      <c r="CH17" s="1231">
        <v>0</v>
      </c>
      <c r="CI17" s="1231">
        <v>0</v>
      </c>
      <c r="CJ17" s="661">
        <f t="shared" si="14"/>
        <v>0</v>
      </c>
      <c r="CK17" s="3500"/>
      <c r="CL17" s="3500"/>
      <c r="CM17" s="3500"/>
      <c r="CN17" s="3500"/>
      <c r="CO17" s="661">
        <f t="shared" si="15"/>
        <v>0</v>
      </c>
      <c r="CP17" s="3500"/>
      <c r="CQ17" s="3500"/>
      <c r="CR17" s="1261"/>
      <c r="CS17" s="1261"/>
      <c r="CT17" s="1243"/>
      <c r="CU17" s="1243"/>
      <c r="CV17" s="1243"/>
    </row>
    <row r="18" spans="1:100" x14ac:dyDescent="0.2">
      <c r="A18" s="1436" t="s">
        <v>1386</v>
      </c>
      <c r="B18" s="1240"/>
      <c r="C18" s="1241"/>
      <c r="D18" s="758"/>
      <c r="E18" s="758"/>
      <c r="F18" s="758"/>
      <c r="G18" s="758"/>
      <c r="H18" s="752"/>
      <c r="I18" s="845">
        <f>2+28</f>
        <v>30</v>
      </c>
      <c r="J18" s="845">
        <f>1+27</f>
        <v>28</v>
      </c>
      <c r="K18" s="845">
        <f>1+22</f>
        <v>23</v>
      </c>
      <c r="L18" s="845">
        <f>2+23</f>
        <v>25</v>
      </c>
      <c r="M18" s="661">
        <f t="shared" si="0"/>
        <v>25</v>
      </c>
      <c r="N18" s="756">
        <f>1+23</f>
        <v>24</v>
      </c>
      <c r="O18" s="756">
        <f>2+23</f>
        <v>25</v>
      </c>
      <c r="P18" s="756">
        <f>2+23</f>
        <v>25</v>
      </c>
      <c r="Q18" s="756">
        <f>23+1</f>
        <v>24</v>
      </c>
      <c r="R18" s="661">
        <f t="shared" si="1"/>
        <v>24</v>
      </c>
      <c r="S18" s="756">
        <f>1+23</f>
        <v>24</v>
      </c>
      <c r="T18" s="756">
        <v>24</v>
      </c>
      <c r="U18" s="756">
        <v>24</v>
      </c>
      <c r="V18" s="754">
        <v>24</v>
      </c>
      <c r="W18" s="661">
        <f t="shared" si="2"/>
        <v>24</v>
      </c>
      <c r="X18" s="756">
        <v>24</v>
      </c>
      <c r="Y18" s="756">
        <v>23</v>
      </c>
      <c r="Z18" s="756">
        <v>22</v>
      </c>
      <c r="AA18" s="754">
        <v>21</v>
      </c>
      <c r="AB18" s="661">
        <f>+AA18</f>
        <v>21</v>
      </c>
      <c r="AC18" s="756">
        <v>21</v>
      </c>
      <c r="AD18" s="756">
        <v>21</v>
      </c>
      <c r="AE18" s="756">
        <v>21</v>
      </c>
      <c r="AF18" s="754">
        <v>21</v>
      </c>
      <c r="AG18" s="661">
        <f>+AF18</f>
        <v>21</v>
      </c>
      <c r="AH18" s="756">
        <v>21</v>
      </c>
      <c r="AI18" s="756">
        <v>21</v>
      </c>
      <c r="AJ18" s="756">
        <v>21</v>
      </c>
      <c r="AK18" s="754">
        <v>21</v>
      </c>
      <c r="AL18" s="661">
        <f>+AK18</f>
        <v>21</v>
      </c>
      <c r="AM18" s="756">
        <v>21</v>
      </c>
      <c r="AN18" s="756">
        <v>21</v>
      </c>
      <c r="AO18" s="756">
        <v>20</v>
      </c>
      <c r="AP18" s="754">
        <v>20</v>
      </c>
      <c r="AQ18" s="661">
        <f>+AP18</f>
        <v>20</v>
      </c>
      <c r="AR18" s="756">
        <v>20</v>
      </c>
      <c r="AS18" s="756">
        <v>20</v>
      </c>
      <c r="AT18" s="756">
        <v>20</v>
      </c>
      <c r="AU18" s="754">
        <v>20</v>
      </c>
      <c r="AV18" s="661">
        <f>+AU18</f>
        <v>20</v>
      </c>
      <c r="AW18" s="756">
        <v>20</v>
      </c>
      <c r="AX18" s="756">
        <v>20</v>
      </c>
      <c r="AY18" s="756">
        <v>20</v>
      </c>
      <c r="AZ18" s="756">
        <v>20</v>
      </c>
      <c r="BA18" s="661">
        <f>+AZ18</f>
        <v>20</v>
      </c>
      <c r="BB18" s="756">
        <v>20</v>
      </c>
      <c r="BC18" s="756">
        <v>20</v>
      </c>
      <c r="BD18" s="756">
        <v>20</v>
      </c>
      <c r="BE18" s="754">
        <v>20</v>
      </c>
      <c r="BF18" s="661">
        <f>+BE18</f>
        <v>20</v>
      </c>
      <c r="BG18" s="756">
        <v>20</v>
      </c>
      <c r="BH18" s="756">
        <v>20</v>
      </c>
      <c r="BI18" s="756">
        <v>20</v>
      </c>
      <c r="BJ18" s="845">
        <v>20</v>
      </c>
      <c r="BK18" s="661">
        <f t="shared" ref="BK18:BK24" si="16">+BJ18</f>
        <v>20</v>
      </c>
      <c r="BL18" s="845">
        <f>1+19</f>
        <v>20</v>
      </c>
      <c r="BM18" s="845">
        <f>1+18</f>
        <v>19</v>
      </c>
      <c r="BN18" s="845">
        <f>1+18</f>
        <v>19</v>
      </c>
      <c r="BO18" s="845">
        <f>1+18</f>
        <v>19</v>
      </c>
      <c r="BP18" s="661">
        <f t="shared" ref="BP18:BP24" si="17">+BO18</f>
        <v>19</v>
      </c>
      <c r="BQ18" s="1231">
        <v>19</v>
      </c>
      <c r="BR18" s="1231">
        <v>19</v>
      </c>
      <c r="BS18" s="1231">
        <v>19</v>
      </c>
      <c r="BT18" s="845">
        <v>19</v>
      </c>
      <c r="BU18" s="661">
        <f t="shared" ref="BU18:BU24" si="18">+BT18</f>
        <v>19</v>
      </c>
      <c r="BV18" s="1231">
        <v>19</v>
      </c>
      <c r="BW18" s="1231">
        <v>19</v>
      </c>
      <c r="BX18" s="1231">
        <v>19</v>
      </c>
      <c r="BY18" s="756">
        <f>1+18</f>
        <v>19</v>
      </c>
      <c r="BZ18" s="661">
        <f t="shared" ref="BZ18:BZ24" si="19">+BY18</f>
        <v>19</v>
      </c>
      <c r="CA18" s="1231">
        <v>19</v>
      </c>
      <c r="CB18" s="1231">
        <f>1+18</f>
        <v>19</v>
      </c>
      <c r="CC18" s="1231">
        <f>1+18</f>
        <v>19</v>
      </c>
      <c r="CD18" s="1231">
        <f>1+18</f>
        <v>19</v>
      </c>
      <c r="CE18" s="661">
        <f t="shared" ref="CE18:CE24" si="20">+CD18</f>
        <v>19</v>
      </c>
      <c r="CF18" s="1231">
        <f>1+18</f>
        <v>19</v>
      </c>
      <c r="CG18" s="1231">
        <f>1+18</f>
        <v>19</v>
      </c>
      <c r="CH18" s="1231">
        <v>19</v>
      </c>
      <c r="CI18" s="1231">
        <v>19</v>
      </c>
      <c r="CJ18" s="661">
        <f t="shared" ref="CJ18:CJ36" si="21">+CI18</f>
        <v>19</v>
      </c>
      <c r="CK18" s="3500">
        <v>19</v>
      </c>
      <c r="CL18" s="3500">
        <v>19</v>
      </c>
      <c r="CM18" s="3500">
        <v>19</v>
      </c>
      <c r="CN18" s="3500">
        <v>19</v>
      </c>
      <c r="CO18" s="661">
        <f t="shared" ref="CO18:CO36" si="22">+CN18</f>
        <v>19</v>
      </c>
      <c r="CP18" s="3500"/>
      <c r="CQ18" s="3500"/>
      <c r="CR18" s="1261"/>
      <c r="CS18" s="1261"/>
      <c r="CT18" s="1243"/>
      <c r="CU18" s="1243"/>
      <c r="CV18" s="1243"/>
    </row>
    <row r="19" spans="1:100" x14ac:dyDescent="0.2">
      <c r="A19" s="1436" t="s">
        <v>1388</v>
      </c>
      <c r="B19" s="1240"/>
      <c r="C19" s="1241"/>
      <c r="D19" s="758"/>
      <c r="E19" s="758"/>
      <c r="F19" s="758"/>
      <c r="G19" s="758"/>
      <c r="H19" s="752"/>
      <c r="I19" s="845">
        <f>16</f>
        <v>16</v>
      </c>
      <c r="J19" s="845">
        <f>14</f>
        <v>14</v>
      </c>
      <c r="K19" s="845">
        <v>13</v>
      </c>
      <c r="L19" s="845">
        <v>13</v>
      </c>
      <c r="M19" s="661">
        <f t="shared" si="0"/>
        <v>13</v>
      </c>
      <c r="N19" s="756">
        <v>13</v>
      </c>
      <c r="O19" s="756">
        <v>13</v>
      </c>
      <c r="P19" s="756">
        <v>12</v>
      </c>
      <c r="Q19" s="756">
        <f>2+10</f>
        <v>12</v>
      </c>
      <c r="R19" s="661">
        <f t="shared" si="1"/>
        <v>12</v>
      </c>
      <c r="S19" s="756">
        <f>2+10</f>
        <v>12</v>
      </c>
      <c r="T19" s="756">
        <v>8</v>
      </c>
      <c r="U19" s="756">
        <v>8</v>
      </c>
      <c r="V19" s="754">
        <v>6</v>
      </c>
      <c r="W19" s="661">
        <f t="shared" si="2"/>
        <v>6</v>
      </c>
      <c r="X19" s="756">
        <v>6</v>
      </c>
      <c r="Y19" s="756">
        <v>4</v>
      </c>
      <c r="Z19" s="756">
        <v>1</v>
      </c>
      <c r="AA19" s="754">
        <v>1</v>
      </c>
      <c r="AB19" s="661">
        <f>+AA19</f>
        <v>1</v>
      </c>
      <c r="AC19" s="756">
        <v>1</v>
      </c>
      <c r="AD19" s="756">
        <v>1</v>
      </c>
      <c r="AE19" s="756">
        <v>1</v>
      </c>
      <c r="AF19" s="754">
        <v>1</v>
      </c>
      <c r="AG19" s="661">
        <f>+AF19</f>
        <v>1</v>
      </c>
      <c r="AH19" s="756">
        <v>1</v>
      </c>
      <c r="AI19" s="756">
        <v>1</v>
      </c>
      <c r="AJ19" s="756">
        <v>1</v>
      </c>
      <c r="AK19" s="754">
        <v>1</v>
      </c>
      <c r="AL19" s="661">
        <f>+AK19</f>
        <v>1</v>
      </c>
      <c r="AM19" s="756">
        <v>1</v>
      </c>
      <c r="AN19" s="756">
        <v>2</v>
      </c>
      <c r="AO19" s="756">
        <v>1</v>
      </c>
      <c r="AP19" s="754">
        <v>1</v>
      </c>
      <c r="AQ19" s="661">
        <f>+AP19</f>
        <v>1</v>
      </c>
      <c r="AR19" s="756">
        <v>1</v>
      </c>
      <c r="AS19" s="756">
        <v>1</v>
      </c>
      <c r="AT19" s="756">
        <v>1</v>
      </c>
      <c r="AU19" s="754">
        <v>1</v>
      </c>
      <c r="AV19" s="661">
        <f>+AU19</f>
        <v>1</v>
      </c>
      <c r="AW19" s="756">
        <v>1</v>
      </c>
      <c r="AX19" s="756">
        <v>1</v>
      </c>
      <c r="AY19" s="756">
        <v>1</v>
      </c>
      <c r="AZ19" s="756">
        <v>1</v>
      </c>
      <c r="BA19" s="661">
        <f>+AZ19</f>
        <v>1</v>
      </c>
      <c r="BB19" s="756">
        <v>1</v>
      </c>
      <c r="BC19" s="756">
        <v>1</v>
      </c>
      <c r="BD19" s="756">
        <v>1</v>
      </c>
      <c r="BE19" s="754">
        <v>1</v>
      </c>
      <c r="BF19" s="661">
        <f>+BE19</f>
        <v>1</v>
      </c>
      <c r="BG19" s="756">
        <v>1</v>
      </c>
      <c r="BH19" s="756">
        <v>1</v>
      </c>
      <c r="BI19" s="756">
        <v>1</v>
      </c>
      <c r="BJ19" s="845">
        <v>1</v>
      </c>
      <c r="BK19" s="661">
        <f t="shared" si="16"/>
        <v>1</v>
      </c>
      <c r="BL19" s="845">
        <v>1</v>
      </c>
      <c r="BM19" s="845">
        <v>1</v>
      </c>
      <c r="BN19" s="845">
        <v>1</v>
      </c>
      <c r="BO19" s="845">
        <v>1</v>
      </c>
      <c r="BP19" s="661">
        <f t="shared" si="17"/>
        <v>1</v>
      </c>
      <c r="BQ19" s="1231">
        <v>1</v>
      </c>
      <c r="BR19" s="1231">
        <v>1</v>
      </c>
      <c r="BS19" s="1231">
        <v>1</v>
      </c>
      <c r="BT19" s="845">
        <v>1</v>
      </c>
      <c r="BU19" s="661">
        <f t="shared" si="18"/>
        <v>1</v>
      </c>
      <c r="BV19" s="1231">
        <v>1</v>
      </c>
      <c r="BW19" s="1231">
        <v>1</v>
      </c>
      <c r="BX19" s="1231">
        <v>1</v>
      </c>
      <c r="BY19" s="756">
        <v>1</v>
      </c>
      <c r="BZ19" s="661">
        <f t="shared" si="19"/>
        <v>1</v>
      </c>
      <c r="CA19" s="1231">
        <v>1</v>
      </c>
      <c r="CB19" s="1231">
        <v>1</v>
      </c>
      <c r="CC19" s="1231">
        <v>1</v>
      </c>
      <c r="CD19" s="1231">
        <v>1</v>
      </c>
      <c r="CE19" s="661">
        <f t="shared" si="20"/>
        <v>1</v>
      </c>
      <c r="CF19" s="1231">
        <v>1</v>
      </c>
      <c r="CG19" s="1231">
        <v>1</v>
      </c>
      <c r="CH19" s="1231">
        <v>1</v>
      </c>
      <c r="CI19" s="1231">
        <v>1</v>
      </c>
      <c r="CJ19" s="661">
        <f t="shared" si="21"/>
        <v>1</v>
      </c>
      <c r="CK19" s="3500">
        <v>1</v>
      </c>
      <c r="CL19" s="3500">
        <v>1</v>
      </c>
      <c r="CM19" s="3500">
        <v>1</v>
      </c>
      <c r="CN19" s="3500">
        <v>1</v>
      </c>
      <c r="CO19" s="661">
        <f t="shared" si="22"/>
        <v>1</v>
      </c>
      <c r="CP19" s="3500"/>
      <c r="CQ19" s="3500"/>
      <c r="CR19" s="1261"/>
      <c r="CS19" s="1261"/>
      <c r="CT19" s="1243"/>
      <c r="CU19" s="1243"/>
      <c r="CV19" s="1243"/>
    </row>
    <row r="20" spans="1:100" outlineLevel="1" x14ac:dyDescent="0.2">
      <c r="A20" s="1436" t="s">
        <v>1391</v>
      </c>
      <c r="B20" s="1240"/>
      <c r="C20" s="1241"/>
      <c r="D20" s="758"/>
      <c r="E20" s="758"/>
      <c r="F20" s="758"/>
      <c r="G20" s="758"/>
      <c r="H20" s="752"/>
      <c r="I20" s="845">
        <f>3+10</f>
        <v>13</v>
      </c>
      <c r="J20" s="845">
        <f>2+7</f>
        <v>9</v>
      </c>
      <c r="K20" s="845">
        <f>3+7</f>
        <v>10</v>
      </c>
      <c r="L20" s="845">
        <f>3+7</f>
        <v>10</v>
      </c>
      <c r="M20" s="661">
        <f t="shared" si="0"/>
        <v>10</v>
      </c>
      <c r="N20" s="847">
        <f>2+7</f>
        <v>9</v>
      </c>
      <c r="O20" s="847">
        <f>2+7</f>
        <v>9</v>
      </c>
      <c r="P20" s="847">
        <f>2+7</f>
        <v>9</v>
      </c>
      <c r="Q20" s="847">
        <f>2+4</f>
        <v>6</v>
      </c>
      <c r="R20" s="661">
        <f t="shared" si="1"/>
        <v>6</v>
      </c>
      <c r="S20" s="847">
        <f>2+4</f>
        <v>6</v>
      </c>
      <c r="T20" s="847">
        <v>4</v>
      </c>
      <c r="U20" s="847">
        <v>4</v>
      </c>
      <c r="V20" s="847">
        <v>4</v>
      </c>
      <c r="W20" s="661">
        <f t="shared" si="2"/>
        <v>4</v>
      </c>
      <c r="X20" s="847">
        <v>4</v>
      </c>
      <c r="Y20" s="847">
        <v>1</v>
      </c>
      <c r="Z20" s="847">
        <v>0</v>
      </c>
      <c r="AA20" s="847">
        <v>0</v>
      </c>
      <c r="AB20" s="661">
        <f>+AA20</f>
        <v>0</v>
      </c>
      <c r="AC20" s="847">
        <v>0</v>
      </c>
      <c r="AD20" s="847">
        <v>0</v>
      </c>
      <c r="AE20" s="847">
        <v>0</v>
      </c>
      <c r="AF20" s="847">
        <v>0</v>
      </c>
      <c r="AG20" s="661">
        <f>+AF20</f>
        <v>0</v>
      </c>
      <c r="AH20" s="847">
        <v>0</v>
      </c>
      <c r="AI20" s="847">
        <v>0</v>
      </c>
      <c r="AJ20" s="847">
        <v>0</v>
      </c>
      <c r="AK20" s="847">
        <v>0</v>
      </c>
      <c r="AL20" s="661">
        <f>+AK20</f>
        <v>0</v>
      </c>
      <c r="AM20" s="847">
        <v>0</v>
      </c>
      <c r="AN20" s="847">
        <v>0</v>
      </c>
      <c r="AO20" s="847">
        <v>0</v>
      </c>
      <c r="AP20" s="847">
        <v>0</v>
      </c>
      <c r="AQ20" s="661">
        <f>+AP20</f>
        <v>0</v>
      </c>
      <c r="AR20" s="847">
        <v>0</v>
      </c>
      <c r="AS20" s="847">
        <v>0</v>
      </c>
      <c r="AT20" s="847">
        <v>0</v>
      </c>
      <c r="AU20" s="847">
        <v>0</v>
      </c>
      <c r="AV20" s="661">
        <f>+AU20</f>
        <v>0</v>
      </c>
      <c r="AW20" s="847">
        <v>0</v>
      </c>
      <c r="AX20" s="847">
        <v>0</v>
      </c>
      <c r="AY20" s="847">
        <v>0</v>
      </c>
      <c r="AZ20" s="847">
        <v>0</v>
      </c>
      <c r="BA20" s="661">
        <f>+AZ20</f>
        <v>0</v>
      </c>
      <c r="BB20" s="847">
        <v>0</v>
      </c>
      <c r="BC20" s="847">
        <v>0</v>
      </c>
      <c r="BD20" s="847">
        <v>0</v>
      </c>
      <c r="BE20" s="847">
        <v>0</v>
      </c>
      <c r="BF20" s="661">
        <f>+BE20</f>
        <v>0</v>
      </c>
      <c r="BG20" s="1231">
        <v>0</v>
      </c>
      <c r="BH20" s="1231">
        <v>0</v>
      </c>
      <c r="BI20" s="1231">
        <v>0</v>
      </c>
      <c r="BJ20" s="1231">
        <v>0</v>
      </c>
      <c r="BK20" s="661">
        <f t="shared" si="16"/>
        <v>0</v>
      </c>
      <c r="BL20" s="1231">
        <v>0</v>
      </c>
      <c r="BM20" s="1231">
        <v>0</v>
      </c>
      <c r="BN20" s="1231">
        <v>0</v>
      </c>
      <c r="BO20" s="1231">
        <v>0</v>
      </c>
      <c r="BP20" s="661">
        <f t="shared" si="17"/>
        <v>0</v>
      </c>
      <c r="BQ20" s="1231">
        <v>0</v>
      </c>
      <c r="BR20" s="1231">
        <v>0</v>
      </c>
      <c r="BS20" s="1231">
        <v>0</v>
      </c>
      <c r="BT20" s="1231">
        <v>0</v>
      </c>
      <c r="BU20" s="661">
        <f t="shared" si="18"/>
        <v>0</v>
      </c>
      <c r="BV20" s="1231">
        <v>0</v>
      </c>
      <c r="BW20" s="1231">
        <v>0</v>
      </c>
      <c r="BX20" s="1231">
        <v>0</v>
      </c>
      <c r="BY20" s="756">
        <v>0</v>
      </c>
      <c r="BZ20" s="661">
        <f t="shared" si="19"/>
        <v>0</v>
      </c>
      <c r="CA20" s="1231">
        <v>0</v>
      </c>
      <c r="CB20" s="1231">
        <v>0</v>
      </c>
      <c r="CC20" s="1231">
        <v>0</v>
      </c>
      <c r="CD20" s="1231">
        <v>0</v>
      </c>
      <c r="CE20" s="661">
        <f t="shared" si="20"/>
        <v>0</v>
      </c>
      <c r="CF20" s="1231">
        <v>0</v>
      </c>
      <c r="CG20" s="1231">
        <v>0</v>
      </c>
      <c r="CH20" s="1231">
        <v>0</v>
      </c>
      <c r="CI20" s="1231">
        <v>0</v>
      </c>
      <c r="CJ20" s="661">
        <f t="shared" si="21"/>
        <v>0</v>
      </c>
      <c r="CK20" s="3500">
        <v>0</v>
      </c>
      <c r="CL20" s="3500">
        <v>0</v>
      </c>
      <c r="CM20" s="3500">
        <v>0</v>
      </c>
      <c r="CN20" s="3500">
        <v>0</v>
      </c>
      <c r="CO20" s="661">
        <f t="shared" si="22"/>
        <v>0</v>
      </c>
      <c r="CP20" s="3500"/>
      <c r="CQ20" s="3500"/>
      <c r="CR20" s="1261"/>
      <c r="CS20" s="1261"/>
      <c r="CT20" s="1243"/>
      <c r="CU20" s="1243"/>
      <c r="CV20" s="1243"/>
    </row>
    <row r="21" spans="1:100" outlineLevel="1" x14ac:dyDescent="0.2">
      <c r="A21" s="1436" t="s">
        <v>1389</v>
      </c>
      <c r="B21" s="1240"/>
      <c r="C21" s="1241"/>
      <c r="D21" s="758"/>
      <c r="E21" s="758"/>
      <c r="F21" s="758"/>
      <c r="G21" s="758"/>
      <c r="H21" s="752"/>
      <c r="I21" s="845">
        <v>0</v>
      </c>
      <c r="J21" s="845">
        <v>0</v>
      </c>
      <c r="K21" s="845">
        <v>0</v>
      </c>
      <c r="L21" s="845">
        <f>0+1</f>
        <v>1</v>
      </c>
      <c r="M21" s="661">
        <f t="shared" si="0"/>
        <v>1</v>
      </c>
      <c r="N21" s="847">
        <f>0+1</f>
        <v>1</v>
      </c>
      <c r="O21" s="847">
        <f>0+1</f>
        <v>1</v>
      </c>
      <c r="P21" s="847">
        <v>1</v>
      </c>
      <c r="Q21" s="847">
        <v>1</v>
      </c>
      <c r="R21" s="661">
        <f t="shared" si="1"/>
        <v>1</v>
      </c>
      <c r="S21" s="847">
        <v>1</v>
      </c>
      <c r="T21" s="847">
        <v>1</v>
      </c>
      <c r="U21" s="847">
        <v>1</v>
      </c>
      <c r="V21" s="847">
        <v>1</v>
      </c>
      <c r="W21" s="661">
        <f t="shared" si="2"/>
        <v>1</v>
      </c>
      <c r="X21" s="847">
        <v>1</v>
      </c>
      <c r="Y21" s="847">
        <v>1</v>
      </c>
      <c r="Z21" s="847">
        <v>1</v>
      </c>
      <c r="AA21" s="847">
        <v>0</v>
      </c>
      <c r="AB21" s="661">
        <f>+AA21</f>
        <v>0</v>
      </c>
      <c r="AC21" s="847">
        <v>0</v>
      </c>
      <c r="AD21" s="847">
        <v>0</v>
      </c>
      <c r="AE21" s="847">
        <v>0</v>
      </c>
      <c r="AF21" s="847">
        <v>0</v>
      </c>
      <c r="AG21" s="661">
        <f>+AF21</f>
        <v>0</v>
      </c>
      <c r="AH21" s="847">
        <v>0</v>
      </c>
      <c r="AI21" s="847">
        <v>0</v>
      </c>
      <c r="AJ21" s="847">
        <v>0</v>
      </c>
      <c r="AK21" s="847">
        <v>0</v>
      </c>
      <c r="AL21" s="661">
        <f>+AK21</f>
        <v>0</v>
      </c>
      <c r="AM21" s="847">
        <v>0</v>
      </c>
      <c r="AN21" s="847">
        <v>0</v>
      </c>
      <c r="AO21" s="847">
        <v>0</v>
      </c>
      <c r="AP21" s="847">
        <v>0</v>
      </c>
      <c r="AQ21" s="661">
        <f>+AP21</f>
        <v>0</v>
      </c>
      <c r="AR21" s="847">
        <v>0</v>
      </c>
      <c r="AS21" s="847">
        <v>0</v>
      </c>
      <c r="AT21" s="847">
        <v>0</v>
      </c>
      <c r="AU21" s="847">
        <v>0</v>
      </c>
      <c r="AV21" s="661">
        <f>+AU21</f>
        <v>0</v>
      </c>
      <c r="AW21" s="847">
        <v>0</v>
      </c>
      <c r="AX21" s="847">
        <v>0</v>
      </c>
      <c r="AY21" s="847">
        <v>0</v>
      </c>
      <c r="AZ21" s="847">
        <v>0</v>
      </c>
      <c r="BA21" s="661">
        <f>+AZ21</f>
        <v>0</v>
      </c>
      <c r="BB21" s="847">
        <v>0</v>
      </c>
      <c r="BC21" s="847">
        <v>0</v>
      </c>
      <c r="BD21" s="847">
        <v>0</v>
      </c>
      <c r="BE21" s="847">
        <v>0</v>
      </c>
      <c r="BF21" s="661">
        <f>+BE21</f>
        <v>0</v>
      </c>
      <c r="BG21" s="847">
        <v>0</v>
      </c>
      <c r="BH21" s="847">
        <v>0</v>
      </c>
      <c r="BI21" s="847">
        <v>0</v>
      </c>
      <c r="BJ21" s="847">
        <v>0</v>
      </c>
      <c r="BK21" s="661">
        <f t="shared" si="16"/>
        <v>0</v>
      </c>
      <c r="BL21" s="847">
        <v>0</v>
      </c>
      <c r="BM21" s="847">
        <v>0</v>
      </c>
      <c r="BN21" s="847">
        <v>0</v>
      </c>
      <c r="BO21" s="847">
        <v>0</v>
      </c>
      <c r="BP21" s="661">
        <f t="shared" si="17"/>
        <v>0</v>
      </c>
      <c r="BQ21" s="1261">
        <v>0</v>
      </c>
      <c r="BR21" s="1261">
        <v>0</v>
      </c>
      <c r="BS21" s="1261">
        <v>0</v>
      </c>
      <c r="BT21" s="847">
        <v>0</v>
      </c>
      <c r="BU21" s="661">
        <f t="shared" si="18"/>
        <v>0</v>
      </c>
      <c r="BV21" s="1261">
        <v>0</v>
      </c>
      <c r="BW21" s="1261">
        <v>0</v>
      </c>
      <c r="BX21" s="1261">
        <v>0</v>
      </c>
      <c r="BY21" s="758">
        <v>0</v>
      </c>
      <c r="BZ21" s="661">
        <f t="shared" si="19"/>
        <v>0</v>
      </c>
      <c r="CA21" s="1261">
        <v>0</v>
      </c>
      <c r="CB21" s="1261">
        <v>0</v>
      </c>
      <c r="CC21" s="1231">
        <v>0</v>
      </c>
      <c r="CD21" s="1231">
        <v>0</v>
      </c>
      <c r="CE21" s="661">
        <f t="shared" si="20"/>
        <v>0</v>
      </c>
      <c r="CF21" s="1231">
        <v>0</v>
      </c>
      <c r="CG21" s="1231">
        <v>0</v>
      </c>
      <c r="CH21" s="1231">
        <v>0</v>
      </c>
      <c r="CI21" s="1231">
        <v>0</v>
      </c>
      <c r="CJ21" s="661">
        <f t="shared" si="21"/>
        <v>0</v>
      </c>
      <c r="CK21" s="3500">
        <v>0</v>
      </c>
      <c r="CL21" s="3500">
        <v>0</v>
      </c>
      <c r="CM21" s="3500">
        <v>0</v>
      </c>
      <c r="CN21" s="3500">
        <v>0</v>
      </c>
      <c r="CO21" s="661">
        <f t="shared" si="22"/>
        <v>0</v>
      </c>
      <c r="CP21" s="3500"/>
      <c r="CQ21" s="3500"/>
      <c r="CR21" s="1261"/>
      <c r="CS21" s="1261"/>
      <c r="CT21" s="1243"/>
      <c r="CU21" s="1243"/>
      <c r="CV21" s="1243"/>
    </row>
    <row r="22" spans="1:100" outlineLevel="1" x14ac:dyDescent="0.2">
      <c r="A22" s="1436" t="s">
        <v>1390</v>
      </c>
      <c r="B22" s="1240"/>
      <c r="C22" s="1241"/>
      <c r="D22" s="758"/>
      <c r="E22" s="758"/>
      <c r="F22" s="758"/>
      <c r="G22" s="758"/>
      <c r="H22" s="752"/>
      <c r="I22" s="845">
        <f>1+2</f>
        <v>3</v>
      </c>
      <c r="J22" s="845">
        <f>1+2</f>
        <v>3</v>
      </c>
      <c r="K22" s="845">
        <f>3+2</f>
        <v>5</v>
      </c>
      <c r="L22" s="845">
        <f>2+2</f>
        <v>4</v>
      </c>
      <c r="M22" s="661">
        <f t="shared" si="0"/>
        <v>4</v>
      </c>
      <c r="N22" s="847">
        <f>0+2</f>
        <v>2</v>
      </c>
      <c r="O22" s="847">
        <v>2</v>
      </c>
      <c r="P22" s="847">
        <v>2</v>
      </c>
      <c r="Q22" s="847">
        <v>2</v>
      </c>
      <c r="R22" s="661">
        <f t="shared" si="1"/>
        <v>2</v>
      </c>
      <c r="S22" s="847">
        <f>1+2</f>
        <v>3</v>
      </c>
      <c r="T22" s="847">
        <v>3</v>
      </c>
      <c r="U22" s="847">
        <v>3</v>
      </c>
      <c r="V22" s="847">
        <v>3</v>
      </c>
      <c r="W22" s="661">
        <f t="shared" si="2"/>
        <v>3</v>
      </c>
      <c r="X22" s="847">
        <v>3</v>
      </c>
      <c r="Y22" s="847">
        <v>3</v>
      </c>
      <c r="Z22" s="847">
        <v>2</v>
      </c>
      <c r="AA22" s="847">
        <v>1</v>
      </c>
      <c r="AB22" s="661">
        <f>+AA22</f>
        <v>1</v>
      </c>
      <c r="AC22" s="847">
        <v>1</v>
      </c>
      <c r="AD22" s="847">
        <v>1</v>
      </c>
      <c r="AE22" s="847">
        <v>1</v>
      </c>
      <c r="AF22" s="847">
        <v>1</v>
      </c>
      <c r="AG22" s="661">
        <f>+AF22</f>
        <v>1</v>
      </c>
      <c r="AH22" s="847">
        <v>1</v>
      </c>
      <c r="AI22" s="847">
        <v>1</v>
      </c>
      <c r="AJ22" s="847">
        <v>1</v>
      </c>
      <c r="AK22" s="847">
        <v>1</v>
      </c>
      <c r="AL22" s="661">
        <f>+AK22</f>
        <v>1</v>
      </c>
      <c r="AM22" s="847">
        <v>1</v>
      </c>
      <c r="AN22" s="847">
        <v>1</v>
      </c>
      <c r="AO22" s="847">
        <v>0</v>
      </c>
      <c r="AP22" s="847">
        <v>0</v>
      </c>
      <c r="AQ22" s="661">
        <f>+AP22</f>
        <v>0</v>
      </c>
      <c r="AR22" s="847">
        <v>0</v>
      </c>
      <c r="AS22" s="847">
        <v>0</v>
      </c>
      <c r="AT22" s="847">
        <v>0</v>
      </c>
      <c r="AU22" s="847">
        <v>0</v>
      </c>
      <c r="AV22" s="661">
        <f>+AU22</f>
        <v>0</v>
      </c>
      <c r="AW22" s="847">
        <v>0</v>
      </c>
      <c r="AX22" s="847">
        <v>0</v>
      </c>
      <c r="AY22" s="847">
        <v>0</v>
      </c>
      <c r="AZ22" s="847">
        <v>0</v>
      </c>
      <c r="BA22" s="661">
        <f>+AZ22</f>
        <v>0</v>
      </c>
      <c r="BB22" s="847">
        <v>0</v>
      </c>
      <c r="BC22" s="847">
        <v>0</v>
      </c>
      <c r="BD22" s="847">
        <v>0</v>
      </c>
      <c r="BE22" s="847">
        <v>0</v>
      </c>
      <c r="BF22" s="661">
        <f>+BE22</f>
        <v>0</v>
      </c>
      <c r="BG22" s="847">
        <v>0</v>
      </c>
      <c r="BH22" s="847">
        <v>0</v>
      </c>
      <c r="BI22" s="847">
        <v>0</v>
      </c>
      <c r="BJ22" s="847">
        <v>0</v>
      </c>
      <c r="BK22" s="661">
        <f t="shared" si="16"/>
        <v>0</v>
      </c>
      <c r="BL22" s="847">
        <v>0</v>
      </c>
      <c r="BM22" s="847">
        <v>0</v>
      </c>
      <c r="BN22" s="847">
        <v>0</v>
      </c>
      <c r="BO22" s="847">
        <v>0</v>
      </c>
      <c r="BP22" s="661">
        <f t="shared" si="17"/>
        <v>0</v>
      </c>
      <c r="BQ22" s="1261">
        <v>0</v>
      </c>
      <c r="BR22" s="1261">
        <v>0</v>
      </c>
      <c r="BS22" s="1261">
        <v>0</v>
      </c>
      <c r="BT22" s="847">
        <v>0</v>
      </c>
      <c r="BU22" s="661">
        <f t="shared" si="18"/>
        <v>0</v>
      </c>
      <c r="BV22" s="1261">
        <v>0</v>
      </c>
      <c r="BW22" s="1261">
        <v>0</v>
      </c>
      <c r="BX22" s="1261">
        <v>0</v>
      </c>
      <c r="BY22" s="758">
        <v>0</v>
      </c>
      <c r="BZ22" s="661">
        <f t="shared" si="19"/>
        <v>0</v>
      </c>
      <c r="CA22" s="1261">
        <v>0</v>
      </c>
      <c r="CB22" s="1261">
        <v>0</v>
      </c>
      <c r="CC22" s="1231">
        <v>0</v>
      </c>
      <c r="CD22" s="1231">
        <v>0</v>
      </c>
      <c r="CE22" s="661">
        <f t="shared" si="20"/>
        <v>0</v>
      </c>
      <c r="CF22" s="1231">
        <v>0</v>
      </c>
      <c r="CG22" s="1231">
        <v>0</v>
      </c>
      <c r="CH22" s="1231">
        <v>0</v>
      </c>
      <c r="CI22" s="1231">
        <v>0</v>
      </c>
      <c r="CJ22" s="661">
        <f t="shared" si="21"/>
        <v>0</v>
      </c>
      <c r="CK22" s="3500">
        <v>0</v>
      </c>
      <c r="CL22" s="3500">
        <v>0</v>
      </c>
      <c r="CM22" s="3500">
        <v>0</v>
      </c>
      <c r="CN22" s="3500">
        <v>0</v>
      </c>
      <c r="CO22" s="661">
        <f t="shared" si="22"/>
        <v>0</v>
      </c>
      <c r="CP22" s="3500"/>
      <c r="CQ22" s="3500"/>
      <c r="CR22" s="1261"/>
      <c r="CS22" s="1261"/>
      <c r="CT22" s="1243"/>
      <c r="CU22" s="1243"/>
      <c r="CV22" s="1243"/>
    </row>
    <row r="23" spans="1:100" outlineLevel="1" x14ac:dyDescent="0.2">
      <c r="A23" s="1436" t="s">
        <v>650</v>
      </c>
      <c r="B23" s="1240"/>
      <c r="C23" s="776"/>
      <c r="D23" s="758"/>
      <c r="E23" s="758"/>
      <c r="F23" s="758"/>
      <c r="G23" s="758"/>
      <c r="H23" s="752"/>
      <c r="I23" s="845">
        <v>0</v>
      </c>
      <c r="J23" s="845">
        <v>0</v>
      </c>
      <c r="K23" s="845">
        <v>0</v>
      </c>
      <c r="L23" s="845">
        <v>0</v>
      </c>
      <c r="M23" s="848">
        <v>0</v>
      </c>
      <c r="N23" s="845">
        <v>0</v>
      </c>
      <c r="O23" s="845">
        <v>0</v>
      </c>
      <c r="P23" s="845">
        <v>0</v>
      </c>
      <c r="Q23" s="845">
        <v>0</v>
      </c>
      <c r="R23" s="848">
        <v>0</v>
      </c>
      <c r="S23" s="845">
        <v>0</v>
      </c>
      <c r="T23" s="845">
        <v>0</v>
      </c>
      <c r="U23" s="845">
        <v>0</v>
      </c>
      <c r="V23" s="845">
        <v>0</v>
      </c>
      <c r="W23" s="848">
        <v>0</v>
      </c>
      <c r="X23" s="845">
        <v>0</v>
      </c>
      <c r="Y23" s="845">
        <v>0</v>
      </c>
      <c r="Z23" s="845">
        <v>0</v>
      </c>
      <c r="AA23" s="845">
        <v>0</v>
      </c>
      <c r="AB23" s="848">
        <v>0</v>
      </c>
      <c r="AC23" s="845">
        <v>0</v>
      </c>
      <c r="AD23" s="845">
        <v>0</v>
      </c>
      <c r="AE23" s="845">
        <v>0</v>
      </c>
      <c r="AF23" s="845">
        <v>0</v>
      </c>
      <c r="AG23" s="848">
        <v>0</v>
      </c>
      <c r="AH23" s="845">
        <v>0</v>
      </c>
      <c r="AI23" s="845">
        <v>0</v>
      </c>
      <c r="AJ23" s="845">
        <v>0</v>
      </c>
      <c r="AK23" s="845">
        <v>0</v>
      </c>
      <c r="AL23" s="848">
        <v>0</v>
      </c>
      <c r="AM23" s="845">
        <v>0</v>
      </c>
      <c r="AN23" s="845">
        <v>0</v>
      </c>
      <c r="AO23" s="845">
        <v>0</v>
      </c>
      <c r="AP23" s="845">
        <v>0</v>
      </c>
      <c r="AQ23" s="848">
        <v>0</v>
      </c>
      <c r="AR23" s="845">
        <v>0</v>
      </c>
      <c r="AS23" s="845">
        <v>0</v>
      </c>
      <c r="AT23" s="845">
        <v>0</v>
      </c>
      <c r="AU23" s="845">
        <v>0</v>
      </c>
      <c r="AV23" s="848">
        <v>0</v>
      </c>
      <c r="AW23" s="845">
        <v>0</v>
      </c>
      <c r="AX23" s="845">
        <v>0</v>
      </c>
      <c r="AY23" s="845">
        <v>0</v>
      </c>
      <c r="AZ23" s="845">
        <v>0</v>
      </c>
      <c r="BA23" s="848">
        <v>0</v>
      </c>
      <c r="BB23" s="845">
        <v>0</v>
      </c>
      <c r="BC23" s="845">
        <v>0</v>
      </c>
      <c r="BD23" s="845">
        <v>0</v>
      </c>
      <c r="BE23" s="845">
        <v>0</v>
      </c>
      <c r="BF23" s="848">
        <v>0</v>
      </c>
      <c r="BG23" s="845">
        <v>0</v>
      </c>
      <c r="BH23" s="845">
        <v>0</v>
      </c>
      <c r="BI23" s="845">
        <v>0</v>
      </c>
      <c r="BJ23" s="845">
        <v>0</v>
      </c>
      <c r="BK23" s="848">
        <f t="shared" si="16"/>
        <v>0</v>
      </c>
      <c r="BL23" s="845">
        <v>0</v>
      </c>
      <c r="BM23" s="845">
        <v>0</v>
      </c>
      <c r="BN23" s="845">
        <v>0</v>
      </c>
      <c r="BO23" s="845">
        <v>0</v>
      </c>
      <c r="BP23" s="848">
        <f t="shared" si="17"/>
        <v>0</v>
      </c>
      <c r="BQ23" s="1261">
        <v>0</v>
      </c>
      <c r="BR23" s="1261">
        <v>0</v>
      </c>
      <c r="BS23" s="1261">
        <v>0</v>
      </c>
      <c r="BT23" s="845">
        <v>0</v>
      </c>
      <c r="BU23" s="848">
        <f t="shared" si="18"/>
        <v>0</v>
      </c>
      <c r="BV23" s="1261">
        <v>0</v>
      </c>
      <c r="BW23" s="1261">
        <v>0</v>
      </c>
      <c r="BX23" s="1261">
        <v>0</v>
      </c>
      <c r="BY23" s="758">
        <v>0</v>
      </c>
      <c r="BZ23" s="848">
        <f t="shared" si="19"/>
        <v>0</v>
      </c>
      <c r="CA23" s="1261">
        <v>0</v>
      </c>
      <c r="CB23" s="1261">
        <v>0</v>
      </c>
      <c r="CC23" s="1231">
        <v>0</v>
      </c>
      <c r="CD23" s="1231">
        <v>0</v>
      </c>
      <c r="CE23" s="848">
        <f t="shared" si="20"/>
        <v>0</v>
      </c>
      <c r="CF23" s="1231">
        <v>0</v>
      </c>
      <c r="CG23" s="1231">
        <v>0</v>
      </c>
      <c r="CH23" s="1231">
        <v>0</v>
      </c>
      <c r="CI23" s="1231">
        <v>0</v>
      </c>
      <c r="CJ23" s="848">
        <f t="shared" si="21"/>
        <v>0</v>
      </c>
      <c r="CK23" s="3500">
        <v>0</v>
      </c>
      <c r="CL23" s="3500">
        <v>0</v>
      </c>
      <c r="CM23" s="3500">
        <v>0</v>
      </c>
      <c r="CN23" s="3500">
        <v>0</v>
      </c>
      <c r="CO23" s="848">
        <f t="shared" si="22"/>
        <v>0</v>
      </c>
      <c r="CP23" s="3500"/>
      <c r="CQ23" s="3500"/>
      <c r="CR23" s="1261"/>
      <c r="CS23" s="1261"/>
      <c r="CT23" s="1243"/>
      <c r="CU23" s="1243"/>
      <c r="CV23" s="1243"/>
    </row>
    <row r="24" spans="1:100" outlineLevel="1" x14ac:dyDescent="0.2">
      <c r="A24" s="3007" t="s">
        <v>384</v>
      </c>
      <c r="B24" s="212"/>
      <c r="C24" s="212"/>
      <c r="D24" s="212"/>
      <c r="E24" s="212"/>
      <c r="F24" s="212"/>
      <c r="G24" s="212"/>
      <c r="H24" s="194"/>
      <c r="I24" s="767">
        <v>0</v>
      </c>
      <c r="J24" s="767">
        <v>0</v>
      </c>
      <c r="K24" s="767">
        <v>0</v>
      </c>
      <c r="L24" s="767">
        <v>0</v>
      </c>
      <c r="M24" s="246">
        <v>0</v>
      </c>
      <c r="N24" s="767">
        <v>0</v>
      </c>
      <c r="O24" s="767">
        <v>0</v>
      </c>
      <c r="P24" s="767">
        <v>0</v>
      </c>
      <c r="Q24" s="767">
        <v>0</v>
      </c>
      <c r="R24" s="246">
        <v>0</v>
      </c>
      <c r="S24" s="767">
        <v>0</v>
      </c>
      <c r="T24" s="767">
        <v>0</v>
      </c>
      <c r="U24" s="767">
        <v>0</v>
      </c>
      <c r="V24" s="767">
        <v>0</v>
      </c>
      <c r="W24" s="246">
        <v>0</v>
      </c>
      <c r="X24" s="767">
        <v>0</v>
      </c>
      <c r="Y24" s="767">
        <v>0</v>
      </c>
      <c r="Z24" s="767">
        <v>0</v>
      </c>
      <c r="AA24" s="767">
        <v>0</v>
      </c>
      <c r="AB24" s="246">
        <v>0</v>
      </c>
      <c r="AC24" s="767">
        <v>0</v>
      </c>
      <c r="AD24" s="767">
        <v>0</v>
      </c>
      <c r="AE24" s="767">
        <v>0</v>
      </c>
      <c r="AF24" s="767">
        <v>0</v>
      </c>
      <c r="AG24" s="246">
        <v>0</v>
      </c>
      <c r="AH24" s="767">
        <v>0</v>
      </c>
      <c r="AI24" s="767">
        <v>0</v>
      </c>
      <c r="AJ24" s="767">
        <v>0</v>
      </c>
      <c r="AK24" s="767">
        <v>0</v>
      </c>
      <c r="AL24" s="246">
        <v>0</v>
      </c>
      <c r="AM24" s="767">
        <v>0</v>
      </c>
      <c r="AN24" s="767">
        <v>0</v>
      </c>
      <c r="AO24" s="767">
        <v>0</v>
      </c>
      <c r="AP24" s="767">
        <v>0</v>
      </c>
      <c r="AQ24" s="246">
        <v>0</v>
      </c>
      <c r="AR24" s="767">
        <v>0</v>
      </c>
      <c r="AS24" s="767">
        <v>0</v>
      </c>
      <c r="AT24" s="767">
        <v>0</v>
      </c>
      <c r="AU24" s="767">
        <v>0</v>
      </c>
      <c r="AV24" s="246">
        <v>0</v>
      </c>
      <c r="AW24" s="767">
        <v>0</v>
      </c>
      <c r="AX24" s="767">
        <v>0</v>
      </c>
      <c r="AY24" s="767">
        <v>0</v>
      </c>
      <c r="AZ24" s="767">
        <v>0</v>
      </c>
      <c r="BA24" s="246">
        <v>0</v>
      </c>
      <c r="BB24" s="767">
        <v>0</v>
      </c>
      <c r="BC24" s="767">
        <v>0</v>
      </c>
      <c r="BD24" s="767">
        <v>0</v>
      </c>
      <c r="BE24" s="767">
        <v>0</v>
      </c>
      <c r="BF24" s="2293">
        <v>0</v>
      </c>
      <c r="BG24" s="845">
        <v>0</v>
      </c>
      <c r="BH24" s="845">
        <v>0</v>
      </c>
      <c r="BI24" s="845">
        <v>0</v>
      </c>
      <c r="BJ24" s="845">
        <v>0</v>
      </c>
      <c r="BK24" s="2293">
        <f t="shared" si="16"/>
        <v>0</v>
      </c>
      <c r="BL24" s="845">
        <v>0</v>
      </c>
      <c r="BM24" s="845">
        <v>0</v>
      </c>
      <c r="BN24" s="845">
        <v>0</v>
      </c>
      <c r="BO24" s="845">
        <v>0</v>
      </c>
      <c r="BP24" s="2293">
        <f t="shared" si="17"/>
        <v>0</v>
      </c>
      <c r="BQ24" s="845">
        <v>0</v>
      </c>
      <c r="BR24" s="845">
        <v>0</v>
      </c>
      <c r="BS24" s="845">
        <v>0</v>
      </c>
      <c r="BT24" s="845">
        <v>0</v>
      </c>
      <c r="BU24" s="2293">
        <f t="shared" si="18"/>
        <v>0</v>
      </c>
      <c r="BV24" s="845">
        <v>0</v>
      </c>
      <c r="BW24" s="845">
        <v>0</v>
      </c>
      <c r="BX24" s="845">
        <v>0</v>
      </c>
      <c r="BY24" s="845">
        <v>0</v>
      </c>
      <c r="BZ24" s="2293">
        <f t="shared" si="19"/>
        <v>0</v>
      </c>
      <c r="CA24" s="845">
        <v>0</v>
      </c>
      <c r="CB24" s="845">
        <v>0</v>
      </c>
      <c r="CC24" s="845">
        <v>0</v>
      </c>
      <c r="CD24" s="845">
        <v>0</v>
      </c>
      <c r="CE24" s="2293">
        <f t="shared" si="20"/>
        <v>0</v>
      </c>
      <c r="CF24" s="845">
        <v>0</v>
      </c>
      <c r="CG24" s="845">
        <v>0</v>
      </c>
      <c r="CH24" s="845">
        <v>0</v>
      </c>
      <c r="CI24" s="845">
        <v>0</v>
      </c>
      <c r="CJ24" s="2293">
        <f t="shared" si="21"/>
        <v>0</v>
      </c>
      <c r="CK24" s="844">
        <v>0</v>
      </c>
      <c r="CL24" s="844">
        <v>0</v>
      </c>
      <c r="CM24" s="844">
        <v>0</v>
      </c>
      <c r="CN24" s="844">
        <v>0</v>
      </c>
      <c r="CO24" s="2293">
        <f t="shared" si="22"/>
        <v>0</v>
      </c>
      <c r="CP24" s="844"/>
      <c r="CQ24" s="844"/>
      <c r="CR24" s="212"/>
      <c r="CS24" s="212"/>
      <c r="CT24" s="194"/>
      <c r="CU24" s="194"/>
      <c r="CV24" s="194"/>
    </row>
    <row r="25" spans="1:100" ht="4.5" customHeight="1" outlineLevel="1" x14ac:dyDescent="0.35">
      <c r="A25" s="1447"/>
      <c r="B25" s="212"/>
      <c r="C25" s="212"/>
      <c r="D25" s="212"/>
      <c r="E25" s="212"/>
      <c r="F25" s="212"/>
      <c r="G25" s="212"/>
      <c r="H25" s="194"/>
      <c r="I25" s="767"/>
      <c r="J25" s="767"/>
      <c r="K25" s="767"/>
      <c r="L25" s="767"/>
      <c r="M25" s="246"/>
      <c r="N25" s="767"/>
      <c r="O25" s="767"/>
      <c r="P25" s="767"/>
      <c r="Q25" s="767"/>
      <c r="R25" s="246"/>
      <c r="S25" s="767"/>
      <c r="T25" s="767"/>
      <c r="U25" s="767"/>
      <c r="V25" s="767"/>
      <c r="W25" s="246"/>
      <c r="X25" s="767"/>
      <c r="Y25" s="767"/>
      <c r="Z25" s="767"/>
      <c r="AA25" s="767"/>
      <c r="AB25" s="246"/>
      <c r="AC25" s="767"/>
      <c r="AD25" s="767"/>
      <c r="AE25" s="767"/>
      <c r="AF25" s="767"/>
      <c r="AG25" s="246"/>
      <c r="AH25" s="767"/>
      <c r="AI25" s="767"/>
      <c r="AJ25" s="767"/>
      <c r="AK25" s="767"/>
      <c r="AL25" s="246"/>
      <c r="AM25" s="767"/>
      <c r="AN25" s="767"/>
      <c r="AO25" s="767"/>
      <c r="AP25" s="767"/>
      <c r="AQ25" s="246"/>
      <c r="AR25" s="767"/>
      <c r="AS25" s="767"/>
      <c r="AT25" s="767"/>
      <c r="AU25" s="767"/>
      <c r="AV25" s="246"/>
      <c r="AW25" s="767"/>
      <c r="AX25" s="767"/>
      <c r="AY25" s="767"/>
      <c r="AZ25" s="767"/>
      <c r="BA25" s="246"/>
      <c r="BB25" s="767"/>
      <c r="BC25" s="767"/>
      <c r="BD25" s="767"/>
      <c r="BE25" s="767"/>
      <c r="BF25" s="850" t="s">
        <v>2466</v>
      </c>
      <c r="BG25" s="850" t="s">
        <v>2139</v>
      </c>
      <c r="BH25" s="850" t="s">
        <v>2466</v>
      </c>
      <c r="BI25" s="850" t="s">
        <v>2139</v>
      </c>
      <c r="BJ25" s="3009" t="s">
        <v>2378</v>
      </c>
      <c r="BK25" s="850" t="s">
        <v>2466</v>
      </c>
      <c r="BL25" s="850" t="s">
        <v>2139</v>
      </c>
      <c r="BM25" s="850" t="s">
        <v>2466</v>
      </c>
      <c r="BN25" s="850" t="s">
        <v>2139</v>
      </c>
      <c r="BO25" s="3009" t="s">
        <v>2378</v>
      </c>
      <c r="BP25" s="850" t="s">
        <v>2466</v>
      </c>
      <c r="BQ25" s="850" t="s">
        <v>2139</v>
      </c>
      <c r="BR25" s="850" t="s">
        <v>2466</v>
      </c>
      <c r="BS25" s="850" t="s">
        <v>2139</v>
      </c>
      <c r="BT25" s="3009" t="s">
        <v>2378</v>
      </c>
      <c r="BU25" s="850" t="s">
        <v>2466</v>
      </c>
      <c r="BV25" s="850" t="s">
        <v>2139</v>
      </c>
      <c r="BW25" s="850" t="s">
        <v>2466</v>
      </c>
      <c r="BX25" s="850" t="s">
        <v>2139</v>
      </c>
      <c r="BY25" s="3009" t="s">
        <v>2378</v>
      </c>
      <c r="BZ25" s="850" t="s">
        <v>2466</v>
      </c>
      <c r="CA25" s="850" t="s">
        <v>2139</v>
      </c>
      <c r="CB25" s="850" t="s">
        <v>2466</v>
      </c>
      <c r="CC25" s="850" t="s">
        <v>2139</v>
      </c>
      <c r="CD25" s="3009" t="s">
        <v>2378</v>
      </c>
      <c r="CE25" s="850" t="s">
        <v>2466</v>
      </c>
      <c r="CF25" s="850" t="s">
        <v>2139</v>
      </c>
      <c r="CG25" s="850" t="s">
        <v>2466</v>
      </c>
      <c r="CH25" s="850" t="s">
        <v>2466</v>
      </c>
      <c r="CI25" s="850" t="s">
        <v>2466</v>
      </c>
      <c r="CJ25" s="850" t="s">
        <v>2466</v>
      </c>
      <c r="CK25" s="877" t="s">
        <v>2139</v>
      </c>
      <c r="CL25" s="877" t="s">
        <v>2139</v>
      </c>
      <c r="CM25" s="877" t="s">
        <v>2139</v>
      </c>
      <c r="CN25" s="877" t="s">
        <v>2139</v>
      </c>
      <c r="CO25" s="850" t="s">
        <v>2466</v>
      </c>
      <c r="CP25" s="877"/>
      <c r="CQ25" s="877"/>
      <c r="CR25" s="212"/>
      <c r="CS25" s="212"/>
      <c r="CT25" s="194"/>
      <c r="CU25" s="194"/>
      <c r="CV25" s="194"/>
    </row>
    <row r="26" spans="1:100" outlineLevel="1" x14ac:dyDescent="0.2">
      <c r="A26" s="2434" t="s">
        <v>2454</v>
      </c>
      <c r="B26" s="212"/>
      <c r="C26" s="212"/>
      <c r="D26" s="212"/>
      <c r="E26" s="212"/>
      <c r="F26" s="212"/>
      <c r="G26" s="212"/>
      <c r="H26" s="194"/>
      <c r="I26" s="767"/>
      <c r="J26" s="767"/>
      <c r="K26" s="767"/>
      <c r="L26" s="767"/>
      <c r="M26" s="246"/>
      <c r="N26" s="767"/>
      <c r="O26" s="767"/>
      <c r="P26" s="767"/>
      <c r="Q26" s="767"/>
      <c r="R26" s="246"/>
      <c r="S26" s="767"/>
      <c r="T26" s="767"/>
      <c r="U26" s="767"/>
      <c r="V26" s="767"/>
      <c r="W26" s="246"/>
      <c r="X26" s="767"/>
      <c r="Y26" s="767"/>
      <c r="Z26" s="767"/>
      <c r="AA26" s="767"/>
      <c r="AB26" s="246"/>
      <c r="AC26" s="767"/>
      <c r="AD26" s="767"/>
      <c r="AE26" s="767"/>
      <c r="AF26" s="767"/>
      <c r="AG26" s="246"/>
      <c r="AH26" s="767"/>
      <c r="AI26" s="767"/>
      <c r="AJ26" s="767"/>
      <c r="AK26" s="767"/>
      <c r="AL26" s="246"/>
      <c r="AM26" s="767"/>
      <c r="AN26" s="767"/>
      <c r="AO26" s="767"/>
      <c r="AP26" s="767"/>
      <c r="AQ26" s="246"/>
      <c r="AR26" s="767"/>
      <c r="AS26" s="767"/>
      <c r="AT26" s="767"/>
      <c r="AU26" s="767"/>
      <c r="AV26" s="246"/>
      <c r="AW26" s="767"/>
      <c r="AX26" s="767"/>
      <c r="AY26" s="767"/>
      <c r="AZ26" s="767"/>
      <c r="BA26" s="246"/>
      <c r="BB26" s="767"/>
      <c r="BC26" s="767"/>
      <c r="BD26" s="767"/>
      <c r="BE26" s="767"/>
      <c r="BF26" s="246"/>
      <c r="BG26" s="767"/>
      <c r="BH26" s="767"/>
      <c r="BI26" s="767"/>
      <c r="BJ26" s="767"/>
      <c r="BK26" s="246"/>
      <c r="BL26" s="767"/>
      <c r="BM26" s="767"/>
      <c r="BN26" s="767"/>
      <c r="BO26" s="767"/>
      <c r="BP26" s="246"/>
      <c r="BQ26" s="767"/>
      <c r="BR26" s="767"/>
      <c r="BS26" s="767"/>
      <c r="BT26" s="767"/>
      <c r="BU26" s="246"/>
      <c r="BV26" s="767"/>
      <c r="BW26" s="767"/>
      <c r="BX26" s="767"/>
      <c r="BY26" s="767"/>
      <c r="BZ26" s="246"/>
      <c r="CA26" s="767"/>
      <c r="CB26" s="767"/>
      <c r="CC26" s="767"/>
      <c r="CD26" s="767"/>
      <c r="CE26" s="246"/>
      <c r="CF26" s="767"/>
      <c r="CG26" s="3008"/>
      <c r="CH26" s="2983">
        <v>3</v>
      </c>
      <c r="CI26" s="2983">
        <v>3</v>
      </c>
      <c r="CJ26" s="661">
        <f t="shared" si="21"/>
        <v>3</v>
      </c>
      <c r="CK26" s="2982">
        <v>3</v>
      </c>
      <c r="CL26" s="2982">
        <v>3</v>
      </c>
      <c r="CM26" s="2982">
        <v>3</v>
      </c>
      <c r="CN26" s="2982">
        <v>2</v>
      </c>
      <c r="CO26" s="661">
        <f t="shared" si="22"/>
        <v>2</v>
      </c>
      <c r="CP26" s="2982"/>
      <c r="CQ26" s="2982"/>
      <c r="CR26" s="212"/>
      <c r="CS26" s="212"/>
      <c r="CT26" s="194"/>
      <c r="CU26" s="194"/>
      <c r="CV26" s="194"/>
    </row>
    <row r="27" spans="1:100" outlineLevel="1" x14ac:dyDescent="0.2">
      <c r="A27" s="2434" t="s">
        <v>2455</v>
      </c>
      <c r="B27" s="212"/>
      <c r="C27" s="212"/>
      <c r="D27" s="212"/>
      <c r="E27" s="212"/>
      <c r="F27" s="212"/>
      <c r="G27" s="212"/>
      <c r="H27" s="194"/>
      <c r="I27" s="767"/>
      <c r="J27" s="767"/>
      <c r="K27" s="767"/>
      <c r="L27" s="767"/>
      <c r="M27" s="246"/>
      <c r="N27" s="767"/>
      <c r="O27" s="767"/>
      <c r="P27" s="767"/>
      <c r="Q27" s="767"/>
      <c r="R27" s="246"/>
      <c r="S27" s="767"/>
      <c r="T27" s="767"/>
      <c r="U27" s="767"/>
      <c r="V27" s="767"/>
      <c r="W27" s="246"/>
      <c r="X27" s="767"/>
      <c r="Y27" s="767"/>
      <c r="Z27" s="767"/>
      <c r="AA27" s="767"/>
      <c r="AB27" s="246"/>
      <c r="AC27" s="767"/>
      <c r="AD27" s="767"/>
      <c r="AE27" s="767"/>
      <c r="AF27" s="767"/>
      <c r="AG27" s="246"/>
      <c r="AH27" s="767"/>
      <c r="AI27" s="767"/>
      <c r="AJ27" s="767"/>
      <c r="AK27" s="767"/>
      <c r="AL27" s="246"/>
      <c r="AM27" s="767"/>
      <c r="AN27" s="767"/>
      <c r="AO27" s="767"/>
      <c r="AP27" s="767"/>
      <c r="AQ27" s="246"/>
      <c r="AR27" s="767"/>
      <c r="AS27" s="767"/>
      <c r="AT27" s="767"/>
      <c r="AU27" s="767"/>
      <c r="AV27" s="246"/>
      <c r="AW27" s="767"/>
      <c r="AX27" s="767"/>
      <c r="AY27" s="767"/>
      <c r="AZ27" s="767"/>
      <c r="BA27" s="246"/>
      <c r="BB27" s="767"/>
      <c r="BC27" s="767"/>
      <c r="BD27" s="767"/>
      <c r="BE27" s="767"/>
      <c r="BF27" s="246"/>
      <c r="BG27" s="767"/>
      <c r="BH27" s="767"/>
      <c r="BI27" s="767"/>
      <c r="BJ27" s="767"/>
      <c r="BK27" s="246"/>
      <c r="BL27" s="767"/>
      <c r="BM27" s="767"/>
      <c r="BN27" s="767"/>
      <c r="BO27" s="767"/>
      <c r="BP27" s="246"/>
      <c r="BQ27" s="767"/>
      <c r="BR27" s="767"/>
      <c r="BS27" s="767"/>
      <c r="BT27" s="767"/>
      <c r="BU27" s="246"/>
      <c r="BV27" s="767"/>
      <c r="BW27" s="767"/>
      <c r="BX27" s="767"/>
      <c r="BY27" s="767"/>
      <c r="BZ27" s="246"/>
      <c r="CA27" s="767"/>
      <c r="CB27" s="767"/>
      <c r="CC27" s="767"/>
      <c r="CD27" s="767"/>
      <c r="CE27" s="246"/>
      <c r="CF27" s="767"/>
      <c r="CG27" s="3008"/>
      <c r="CH27" s="2983">
        <v>2</v>
      </c>
      <c r="CI27" s="2983">
        <v>2</v>
      </c>
      <c r="CJ27" s="661">
        <f t="shared" si="21"/>
        <v>2</v>
      </c>
      <c r="CK27" s="2982">
        <v>2</v>
      </c>
      <c r="CL27" s="2982">
        <v>1</v>
      </c>
      <c r="CM27" s="2982">
        <v>1</v>
      </c>
      <c r="CN27" s="2982">
        <v>1</v>
      </c>
      <c r="CO27" s="661">
        <f t="shared" si="22"/>
        <v>1</v>
      </c>
      <c r="CP27" s="2982"/>
      <c r="CQ27" s="2982"/>
      <c r="CR27" s="212"/>
      <c r="CS27" s="212"/>
      <c r="CT27" s="194"/>
      <c r="CU27" s="194"/>
      <c r="CV27" s="194"/>
    </row>
    <row r="28" spans="1:100" outlineLevel="1" x14ac:dyDescent="0.2">
      <c r="A28" s="2434" t="s">
        <v>2456</v>
      </c>
      <c r="B28" s="212"/>
      <c r="C28" s="212"/>
      <c r="D28" s="212"/>
      <c r="E28" s="212"/>
      <c r="F28" s="212"/>
      <c r="G28" s="212"/>
      <c r="H28" s="194"/>
      <c r="I28" s="767"/>
      <c r="J28" s="767"/>
      <c r="K28" s="767"/>
      <c r="L28" s="767"/>
      <c r="M28" s="246"/>
      <c r="N28" s="767"/>
      <c r="O28" s="767"/>
      <c r="P28" s="767"/>
      <c r="Q28" s="767"/>
      <c r="R28" s="246"/>
      <c r="S28" s="767"/>
      <c r="T28" s="767"/>
      <c r="U28" s="767"/>
      <c r="V28" s="767"/>
      <c r="W28" s="246"/>
      <c r="X28" s="767"/>
      <c r="Y28" s="767"/>
      <c r="Z28" s="767"/>
      <c r="AA28" s="767"/>
      <c r="AB28" s="246"/>
      <c r="AC28" s="767"/>
      <c r="AD28" s="767"/>
      <c r="AE28" s="767"/>
      <c r="AF28" s="767"/>
      <c r="AG28" s="246"/>
      <c r="AH28" s="767"/>
      <c r="AI28" s="767"/>
      <c r="AJ28" s="767"/>
      <c r="AK28" s="767"/>
      <c r="AL28" s="246"/>
      <c r="AM28" s="767"/>
      <c r="AN28" s="767"/>
      <c r="AO28" s="767"/>
      <c r="AP28" s="767"/>
      <c r="AQ28" s="246"/>
      <c r="AR28" s="767"/>
      <c r="AS28" s="767"/>
      <c r="AT28" s="767"/>
      <c r="AU28" s="767"/>
      <c r="AV28" s="246"/>
      <c r="AW28" s="767"/>
      <c r="AX28" s="767"/>
      <c r="AY28" s="767"/>
      <c r="AZ28" s="767"/>
      <c r="BA28" s="246"/>
      <c r="BB28" s="767"/>
      <c r="BC28" s="767"/>
      <c r="BD28" s="767"/>
      <c r="BE28" s="767"/>
      <c r="BF28" s="246"/>
      <c r="BG28" s="767"/>
      <c r="BH28" s="767"/>
      <c r="BI28" s="767"/>
      <c r="BJ28" s="767"/>
      <c r="BK28" s="246"/>
      <c r="BL28" s="767"/>
      <c r="BM28" s="767"/>
      <c r="BN28" s="767"/>
      <c r="BO28" s="767"/>
      <c r="BP28" s="246"/>
      <c r="BQ28" s="767"/>
      <c r="BR28" s="767"/>
      <c r="BS28" s="767"/>
      <c r="BT28" s="767"/>
      <c r="BU28" s="246"/>
      <c r="BV28" s="767"/>
      <c r="BW28" s="767"/>
      <c r="BX28" s="767"/>
      <c r="BY28" s="767"/>
      <c r="BZ28" s="246"/>
      <c r="CA28" s="767"/>
      <c r="CB28" s="767"/>
      <c r="CC28" s="767"/>
      <c r="CD28" s="767"/>
      <c r="CE28" s="246"/>
      <c r="CF28" s="767"/>
      <c r="CG28" s="3008"/>
      <c r="CH28" s="2893">
        <v>0</v>
      </c>
      <c r="CI28" s="2893">
        <v>0</v>
      </c>
      <c r="CJ28" s="661">
        <f t="shared" si="21"/>
        <v>0</v>
      </c>
      <c r="CK28" s="3501">
        <v>0</v>
      </c>
      <c r="CL28" s="3501">
        <v>0</v>
      </c>
      <c r="CM28" s="3501">
        <v>0</v>
      </c>
      <c r="CN28" s="3501">
        <v>0</v>
      </c>
      <c r="CO28" s="661">
        <f t="shared" si="22"/>
        <v>0</v>
      </c>
      <c r="CP28" s="3501"/>
      <c r="CQ28" s="3501"/>
      <c r="CR28" s="212"/>
      <c r="CS28" s="212"/>
      <c r="CT28" s="194"/>
      <c r="CU28" s="194"/>
      <c r="CV28" s="194"/>
    </row>
    <row r="29" spans="1:100" outlineLevel="1" x14ac:dyDescent="0.2">
      <c r="A29" s="2434" t="s">
        <v>2457</v>
      </c>
      <c r="B29" s="212"/>
      <c r="C29" s="212"/>
      <c r="D29" s="212"/>
      <c r="E29" s="212"/>
      <c r="F29" s="212"/>
      <c r="G29" s="212"/>
      <c r="H29" s="194"/>
      <c r="I29" s="767"/>
      <c r="J29" s="767"/>
      <c r="K29" s="767"/>
      <c r="L29" s="767"/>
      <c r="M29" s="246"/>
      <c r="N29" s="767"/>
      <c r="O29" s="767"/>
      <c r="P29" s="767"/>
      <c r="Q29" s="767"/>
      <c r="R29" s="246"/>
      <c r="S29" s="767"/>
      <c r="T29" s="767"/>
      <c r="U29" s="767"/>
      <c r="V29" s="767"/>
      <c r="W29" s="246"/>
      <c r="X29" s="767"/>
      <c r="Y29" s="767"/>
      <c r="Z29" s="767"/>
      <c r="AA29" s="767"/>
      <c r="AB29" s="246"/>
      <c r="AC29" s="767"/>
      <c r="AD29" s="767"/>
      <c r="AE29" s="767"/>
      <c r="AF29" s="767"/>
      <c r="AG29" s="246"/>
      <c r="AH29" s="767"/>
      <c r="AI29" s="767"/>
      <c r="AJ29" s="767"/>
      <c r="AK29" s="767"/>
      <c r="AL29" s="246"/>
      <c r="AM29" s="767"/>
      <c r="AN29" s="767"/>
      <c r="AO29" s="767"/>
      <c r="AP29" s="767"/>
      <c r="AQ29" s="246"/>
      <c r="AR29" s="767"/>
      <c r="AS29" s="767"/>
      <c r="AT29" s="767"/>
      <c r="AU29" s="767"/>
      <c r="AV29" s="246"/>
      <c r="AW29" s="767"/>
      <c r="AX29" s="767"/>
      <c r="AY29" s="767"/>
      <c r="AZ29" s="767"/>
      <c r="BA29" s="246"/>
      <c r="BB29" s="767"/>
      <c r="BC29" s="767"/>
      <c r="BD29" s="767"/>
      <c r="BE29" s="767"/>
      <c r="BF29" s="246"/>
      <c r="BG29" s="767"/>
      <c r="BH29" s="767"/>
      <c r="BI29" s="767"/>
      <c r="BJ29" s="767"/>
      <c r="BK29" s="246"/>
      <c r="BL29" s="767"/>
      <c r="BM29" s="767"/>
      <c r="BN29" s="767"/>
      <c r="BO29" s="767"/>
      <c r="BP29" s="246"/>
      <c r="BQ29" s="767"/>
      <c r="BR29" s="767"/>
      <c r="BS29" s="767"/>
      <c r="BT29" s="767"/>
      <c r="BU29" s="246"/>
      <c r="BV29" s="767"/>
      <c r="BW29" s="767"/>
      <c r="BX29" s="767"/>
      <c r="BY29" s="767"/>
      <c r="BZ29" s="246"/>
      <c r="CA29" s="767"/>
      <c r="CB29" s="767"/>
      <c r="CC29" s="767"/>
      <c r="CD29" s="767"/>
      <c r="CE29" s="246"/>
      <c r="CF29" s="767"/>
      <c r="CG29" s="3008"/>
      <c r="CH29" s="2893">
        <v>1</v>
      </c>
      <c r="CI29" s="2893">
        <v>1</v>
      </c>
      <c r="CJ29" s="661">
        <f t="shared" si="21"/>
        <v>1</v>
      </c>
      <c r="CK29" s="3501">
        <v>1</v>
      </c>
      <c r="CL29" s="3501">
        <v>1</v>
      </c>
      <c r="CM29" s="3501">
        <v>1</v>
      </c>
      <c r="CN29" s="3501">
        <v>1</v>
      </c>
      <c r="CO29" s="661">
        <f t="shared" si="22"/>
        <v>1</v>
      </c>
      <c r="CP29" s="3501"/>
      <c r="CQ29" s="3501"/>
      <c r="CR29" s="212"/>
      <c r="CS29" s="212"/>
      <c r="CT29" s="194"/>
      <c r="CU29" s="194"/>
      <c r="CV29" s="194"/>
    </row>
    <row r="30" spans="1:100" outlineLevel="1" x14ac:dyDescent="0.2">
      <c r="A30" s="2434" t="s">
        <v>2458</v>
      </c>
      <c r="B30" s="212"/>
      <c r="C30" s="212"/>
      <c r="D30" s="212"/>
      <c r="E30" s="212"/>
      <c r="F30" s="212"/>
      <c r="G30" s="212"/>
      <c r="H30" s="194"/>
      <c r="I30" s="767"/>
      <c r="J30" s="767"/>
      <c r="K30" s="767"/>
      <c r="L30" s="767"/>
      <c r="M30" s="246"/>
      <c r="N30" s="767"/>
      <c r="O30" s="767"/>
      <c r="P30" s="767"/>
      <c r="Q30" s="767"/>
      <c r="R30" s="246"/>
      <c r="S30" s="767"/>
      <c r="T30" s="767"/>
      <c r="U30" s="767"/>
      <c r="V30" s="767"/>
      <c r="W30" s="246"/>
      <c r="X30" s="767"/>
      <c r="Y30" s="767"/>
      <c r="Z30" s="767"/>
      <c r="AA30" s="767"/>
      <c r="AB30" s="246"/>
      <c r="AC30" s="767"/>
      <c r="AD30" s="767"/>
      <c r="AE30" s="767"/>
      <c r="AF30" s="767"/>
      <c r="AG30" s="246"/>
      <c r="AH30" s="767"/>
      <c r="AI30" s="767"/>
      <c r="AJ30" s="767"/>
      <c r="AK30" s="767"/>
      <c r="AL30" s="246"/>
      <c r="AM30" s="767"/>
      <c r="AN30" s="767"/>
      <c r="AO30" s="767"/>
      <c r="AP30" s="767"/>
      <c r="AQ30" s="246"/>
      <c r="AR30" s="767"/>
      <c r="AS30" s="767"/>
      <c r="AT30" s="767"/>
      <c r="AU30" s="767"/>
      <c r="AV30" s="246"/>
      <c r="AW30" s="767"/>
      <c r="AX30" s="767"/>
      <c r="AY30" s="767"/>
      <c r="AZ30" s="767"/>
      <c r="BA30" s="246"/>
      <c r="BB30" s="767"/>
      <c r="BC30" s="767"/>
      <c r="BD30" s="767"/>
      <c r="BE30" s="767"/>
      <c r="BF30" s="246"/>
      <c r="BG30" s="767"/>
      <c r="BH30" s="767"/>
      <c r="BI30" s="767"/>
      <c r="BJ30" s="767"/>
      <c r="BK30" s="246"/>
      <c r="BL30" s="767"/>
      <c r="BM30" s="767"/>
      <c r="BN30" s="767"/>
      <c r="BO30" s="767"/>
      <c r="BP30" s="246"/>
      <c r="BQ30" s="767"/>
      <c r="BR30" s="767"/>
      <c r="BS30" s="767"/>
      <c r="BT30" s="767"/>
      <c r="BU30" s="246"/>
      <c r="BV30" s="767"/>
      <c r="BW30" s="767"/>
      <c r="BX30" s="767"/>
      <c r="BY30" s="767"/>
      <c r="BZ30" s="246"/>
      <c r="CA30" s="767"/>
      <c r="CB30" s="767"/>
      <c r="CC30" s="767"/>
      <c r="CD30" s="767"/>
      <c r="CE30" s="246"/>
      <c r="CF30" s="767"/>
      <c r="CG30" s="3008"/>
      <c r="CH30" s="2893">
        <v>0</v>
      </c>
      <c r="CI30" s="2893">
        <v>0</v>
      </c>
      <c r="CJ30" s="661">
        <f t="shared" si="21"/>
        <v>0</v>
      </c>
      <c r="CK30" s="3501">
        <v>0</v>
      </c>
      <c r="CL30" s="3501">
        <v>0</v>
      </c>
      <c r="CM30" s="3501">
        <v>0</v>
      </c>
      <c r="CN30" s="3501">
        <v>0</v>
      </c>
      <c r="CO30" s="661">
        <f t="shared" si="22"/>
        <v>0</v>
      </c>
      <c r="CP30" s="3501"/>
      <c r="CQ30" s="3501"/>
      <c r="CR30" s="212"/>
      <c r="CS30" s="212"/>
      <c r="CT30" s="194"/>
      <c r="CU30" s="194"/>
      <c r="CV30" s="194"/>
    </row>
    <row r="31" spans="1:100" outlineLevel="1" x14ac:dyDescent="0.2">
      <c r="A31" s="2434" t="s">
        <v>2459</v>
      </c>
      <c r="B31" s="212"/>
      <c r="C31" s="212"/>
      <c r="D31" s="212"/>
      <c r="E31" s="212"/>
      <c r="F31" s="212"/>
      <c r="G31" s="212"/>
      <c r="H31" s="194"/>
      <c r="I31" s="767"/>
      <c r="J31" s="767"/>
      <c r="K31" s="767"/>
      <c r="L31" s="767"/>
      <c r="M31" s="246"/>
      <c r="N31" s="767"/>
      <c r="O31" s="767"/>
      <c r="P31" s="767"/>
      <c r="Q31" s="767"/>
      <c r="R31" s="246"/>
      <c r="S31" s="767"/>
      <c r="T31" s="767"/>
      <c r="U31" s="767"/>
      <c r="V31" s="767"/>
      <c r="W31" s="246"/>
      <c r="X31" s="767"/>
      <c r="Y31" s="767"/>
      <c r="Z31" s="767"/>
      <c r="AA31" s="767"/>
      <c r="AB31" s="246"/>
      <c r="AC31" s="767"/>
      <c r="AD31" s="767"/>
      <c r="AE31" s="767"/>
      <c r="AF31" s="767"/>
      <c r="AG31" s="246"/>
      <c r="AH31" s="767"/>
      <c r="AI31" s="767"/>
      <c r="AJ31" s="767"/>
      <c r="AK31" s="767"/>
      <c r="AL31" s="246"/>
      <c r="AM31" s="767"/>
      <c r="AN31" s="767"/>
      <c r="AO31" s="767"/>
      <c r="AP31" s="767"/>
      <c r="AQ31" s="246"/>
      <c r="AR31" s="767"/>
      <c r="AS31" s="767"/>
      <c r="AT31" s="767"/>
      <c r="AU31" s="767"/>
      <c r="AV31" s="246"/>
      <c r="AW31" s="767"/>
      <c r="AX31" s="767"/>
      <c r="AY31" s="767"/>
      <c r="AZ31" s="767"/>
      <c r="BA31" s="246"/>
      <c r="BB31" s="767"/>
      <c r="BC31" s="767"/>
      <c r="BD31" s="767"/>
      <c r="BE31" s="767"/>
      <c r="BF31" s="246"/>
      <c r="BG31" s="767"/>
      <c r="BH31" s="767"/>
      <c r="BI31" s="767"/>
      <c r="BJ31" s="767"/>
      <c r="BK31" s="246"/>
      <c r="BL31" s="767"/>
      <c r="BM31" s="767"/>
      <c r="BN31" s="767"/>
      <c r="BO31" s="767"/>
      <c r="BP31" s="246"/>
      <c r="BQ31" s="767"/>
      <c r="BR31" s="767"/>
      <c r="BS31" s="767"/>
      <c r="BT31" s="767"/>
      <c r="BU31" s="246"/>
      <c r="BV31" s="767"/>
      <c r="BW31" s="767"/>
      <c r="BX31" s="767"/>
      <c r="BY31" s="767"/>
      <c r="BZ31" s="246"/>
      <c r="CA31" s="767"/>
      <c r="CB31" s="767"/>
      <c r="CC31" s="767"/>
      <c r="CD31" s="767"/>
      <c r="CE31" s="246"/>
      <c r="CF31" s="767"/>
      <c r="CG31" s="3008"/>
      <c r="CH31" s="2983">
        <v>2</v>
      </c>
      <c r="CI31" s="2983">
        <v>1</v>
      </c>
      <c r="CJ31" s="661">
        <f t="shared" si="21"/>
        <v>1</v>
      </c>
      <c r="CK31" s="2982">
        <v>1</v>
      </c>
      <c r="CL31" s="2982">
        <v>1</v>
      </c>
      <c r="CM31" s="2982">
        <v>1</v>
      </c>
      <c r="CN31" s="2982">
        <v>1</v>
      </c>
      <c r="CO31" s="661">
        <f t="shared" si="22"/>
        <v>1</v>
      </c>
      <c r="CP31" s="2982"/>
      <c r="CQ31" s="2982"/>
      <c r="CR31" s="212"/>
      <c r="CS31" s="212"/>
      <c r="CT31" s="194"/>
      <c r="CU31" s="194"/>
      <c r="CV31" s="194"/>
    </row>
    <row r="32" spans="1:100" outlineLevel="1" x14ac:dyDescent="0.2">
      <c r="A32" s="2434" t="s">
        <v>2460</v>
      </c>
      <c r="B32" s="212"/>
      <c r="C32" s="212"/>
      <c r="D32" s="212"/>
      <c r="E32" s="212"/>
      <c r="F32" s="212"/>
      <c r="G32" s="212"/>
      <c r="H32" s="194"/>
      <c r="I32" s="767"/>
      <c r="J32" s="767"/>
      <c r="K32" s="767"/>
      <c r="L32" s="767"/>
      <c r="M32" s="246"/>
      <c r="N32" s="767"/>
      <c r="O32" s="767"/>
      <c r="P32" s="767"/>
      <c r="Q32" s="767"/>
      <c r="R32" s="246"/>
      <c r="S32" s="767"/>
      <c r="T32" s="767"/>
      <c r="U32" s="767"/>
      <c r="V32" s="767"/>
      <c r="W32" s="246"/>
      <c r="X32" s="767"/>
      <c r="Y32" s="767"/>
      <c r="Z32" s="767"/>
      <c r="AA32" s="767"/>
      <c r="AB32" s="246"/>
      <c r="AC32" s="767"/>
      <c r="AD32" s="767"/>
      <c r="AE32" s="767"/>
      <c r="AF32" s="767"/>
      <c r="AG32" s="246"/>
      <c r="AH32" s="767"/>
      <c r="AI32" s="767"/>
      <c r="AJ32" s="767"/>
      <c r="AK32" s="767"/>
      <c r="AL32" s="246"/>
      <c r="AM32" s="767"/>
      <c r="AN32" s="767"/>
      <c r="AO32" s="767"/>
      <c r="AP32" s="767"/>
      <c r="AQ32" s="246"/>
      <c r="AR32" s="767"/>
      <c r="AS32" s="767"/>
      <c r="AT32" s="767"/>
      <c r="AU32" s="767"/>
      <c r="AV32" s="246"/>
      <c r="AW32" s="767"/>
      <c r="AX32" s="767"/>
      <c r="AY32" s="767"/>
      <c r="AZ32" s="767"/>
      <c r="BA32" s="246"/>
      <c r="BB32" s="767"/>
      <c r="BC32" s="767"/>
      <c r="BD32" s="767"/>
      <c r="BE32" s="767"/>
      <c r="BF32" s="246"/>
      <c r="BG32" s="767"/>
      <c r="BH32" s="767"/>
      <c r="BI32" s="767"/>
      <c r="BJ32" s="767"/>
      <c r="BK32" s="246"/>
      <c r="BL32" s="767"/>
      <c r="BM32" s="767"/>
      <c r="BN32" s="767"/>
      <c r="BO32" s="767"/>
      <c r="BP32" s="246"/>
      <c r="BQ32" s="767"/>
      <c r="BR32" s="767"/>
      <c r="BS32" s="767"/>
      <c r="BT32" s="767"/>
      <c r="BU32" s="246"/>
      <c r="BV32" s="767"/>
      <c r="BW32" s="767"/>
      <c r="BX32" s="767"/>
      <c r="BY32" s="767"/>
      <c r="BZ32" s="246"/>
      <c r="CA32" s="767"/>
      <c r="CB32" s="767"/>
      <c r="CC32" s="767"/>
      <c r="CD32" s="767"/>
      <c r="CE32" s="246"/>
      <c r="CF32" s="767"/>
      <c r="CG32" s="3008"/>
      <c r="CH32" s="2893">
        <v>0</v>
      </c>
      <c r="CI32" s="2893">
        <v>0</v>
      </c>
      <c r="CJ32" s="661">
        <f t="shared" si="21"/>
        <v>0</v>
      </c>
      <c r="CK32" s="3501">
        <v>0</v>
      </c>
      <c r="CL32" s="3501">
        <v>0</v>
      </c>
      <c r="CM32" s="3501">
        <v>0</v>
      </c>
      <c r="CN32" s="3501">
        <v>0</v>
      </c>
      <c r="CO32" s="661">
        <f t="shared" si="22"/>
        <v>0</v>
      </c>
      <c r="CP32" s="3501"/>
      <c r="CQ32" s="3501"/>
      <c r="CR32" s="212"/>
      <c r="CS32" s="212"/>
      <c r="CT32" s="194"/>
      <c r="CU32" s="194"/>
      <c r="CV32" s="194"/>
    </row>
    <row r="33" spans="1:108" outlineLevel="1" x14ac:dyDescent="0.2">
      <c r="A33" s="2434" t="s">
        <v>2461</v>
      </c>
      <c r="B33" s="212"/>
      <c r="C33" s="212"/>
      <c r="D33" s="212"/>
      <c r="E33" s="212"/>
      <c r="F33" s="212"/>
      <c r="G33" s="212"/>
      <c r="H33" s="194"/>
      <c r="I33" s="767"/>
      <c r="J33" s="767"/>
      <c r="K33" s="767"/>
      <c r="L33" s="767"/>
      <c r="M33" s="246"/>
      <c r="N33" s="767"/>
      <c r="O33" s="767"/>
      <c r="P33" s="767"/>
      <c r="Q33" s="767"/>
      <c r="R33" s="246"/>
      <c r="S33" s="767"/>
      <c r="T33" s="767"/>
      <c r="U33" s="767"/>
      <c r="V33" s="767"/>
      <c r="W33" s="246"/>
      <c r="X33" s="767"/>
      <c r="Y33" s="767"/>
      <c r="Z33" s="767"/>
      <c r="AA33" s="767"/>
      <c r="AB33" s="246"/>
      <c r="AC33" s="767"/>
      <c r="AD33" s="767"/>
      <c r="AE33" s="767"/>
      <c r="AF33" s="767"/>
      <c r="AG33" s="246"/>
      <c r="AH33" s="767"/>
      <c r="AI33" s="767"/>
      <c r="AJ33" s="767"/>
      <c r="AK33" s="767"/>
      <c r="AL33" s="246"/>
      <c r="AM33" s="767"/>
      <c r="AN33" s="767"/>
      <c r="AO33" s="767"/>
      <c r="AP33" s="767"/>
      <c r="AQ33" s="246"/>
      <c r="AR33" s="767"/>
      <c r="AS33" s="767"/>
      <c r="AT33" s="767"/>
      <c r="AU33" s="767"/>
      <c r="AV33" s="246"/>
      <c r="AW33" s="767"/>
      <c r="AX33" s="767"/>
      <c r="AY33" s="767"/>
      <c r="AZ33" s="767"/>
      <c r="BA33" s="246"/>
      <c r="BB33" s="767"/>
      <c r="BC33" s="767"/>
      <c r="BD33" s="767"/>
      <c r="BE33" s="767"/>
      <c r="BF33" s="246"/>
      <c r="BG33" s="767"/>
      <c r="BH33" s="767"/>
      <c r="BI33" s="767"/>
      <c r="BJ33" s="767"/>
      <c r="BK33" s="246"/>
      <c r="BL33" s="767"/>
      <c r="BM33" s="767"/>
      <c r="BN33" s="767"/>
      <c r="BO33" s="767"/>
      <c r="BP33" s="246"/>
      <c r="BQ33" s="767"/>
      <c r="BR33" s="767"/>
      <c r="BS33" s="767"/>
      <c r="BT33" s="767"/>
      <c r="BU33" s="246"/>
      <c r="BV33" s="767"/>
      <c r="BW33" s="767"/>
      <c r="BX33" s="767"/>
      <c r="BY33" s="767"/>
      <c r="BZ33" s="246"/>
      <c r="CA33" s="767"/>
      <c r="CB33" s="767"/>
      <c r="CC33" s="767"/>
      <c r="CD33" s="767"/>
      <c r="CE33" s="246"/>
      <c r="CF33" s="767"/>
      <c r="CG33" s="3008"/>
      <c r="CH33" s="2893">
        <v>0</v>
      </c>
      <c r="CI33" s="2893">
        <v>0</v>
      </c>
      <c r="CJ33" s="661">
        <f t="shared" si="21"/>
        <v>0</v>
      </c>
      <c r="CK33" s="3501">
        <v>0</v>
      </c>
      <c r="CL33" s="3501">
        <v>0</v>
      </c>
      <c r="CM33" s="3501">
        <v>0</v>
      </c>
      <c r="CN33" s="3501">
        <v>0</v>
      </c>
      <c r="CO33" s="661">
        <f t="shared" si="22"/>
        <v>0</v>
      </c>
      <c r="CP33" s="3501"/>
      <c r="CQ33" s="3501"/>
      <c r="CR33" s="212"/>
      <c r="CS33" s="212"/>
      <c r="CT33" s="194"/>
      <c r="CU33" s="194"/>
      <c r="CV33" s="194"/>
    </row>
    <row r="34" spans="1:108" outlineLevel="1" x14ac:dyDescent="0.2">
      <c r="A34" s="2434" t="s">
        <v>2462</v>
      </c>
      <c r="B34" s="212"/>
      <c r="C34" s="212"/>
      <c r="D34" s="212"/>
      <c r="E34" s="212"/>
      <c r="F34" s="212"/>
      <c r="G34" s="212"/>
      <c r="H34" s="194"/>
      <c r="I34" s="767"/>
      <c r="J34" s="767"/>
      <c r="K34" s="767"/>
      <c r="L34" s="767"/>
      <c r="M34" s="246"/>
      <c r="N34" s="767"/>
      <c r="O34" s="767"/>
      <c r="P34" s="767"/>
      <c r="Q34" s="767"/>
      <c r="R34" s="246"/>
      <c r="S34" s="767"/>
      <c r="T34" s="767"/>
      <c r="U34" s="767"/>
      <c r="V34" s="767"/>
      <c r="W34" s="246"/>
      <c r="X34" s="767"/>
      <c r="Y34" s="767"/>
      <c r="Z34" s="767"/>
      <c r="AA34" s="767"/>
      <c r="AB34" s="246"/>
      <c r="AC34" s="767"/>
      <c r="AD34" s="767"/>
      <c r="AE34" s="767"/>
      <c r="AF34" s="767"/>
      <c r="AG34" s="246"/>
      <c r="AH34" s="767"/>
      <c r="AI34" s="767"/>
      <c r="AJ34" s="767"/>
      <c r="AK34" s="767"/>
      <c r="AL34" s="246"/>
      <c r="AM34" s="767"/>
      <c r="AN34" s="767"/>
      <c r="AO34" s="767"/>
      <c r="AP34" s="767"/>
      <c r="AQ34" s="246"/>
      <c r="AR34" s="767"/>
      <c r="AS34" s="767"/>
      <c r="AT34" s="767"/>
      <c r="AU34" s="767"/>
      <c r="AV34" s="246"/>
      <c r="AW34" s="767"/>
      <c r="AX34" s="767"/>
      <c r="AY34" s="767"/>
      <c r="AZ34" s="767"/>
      <c r="BA34" s="246"/>
      <c r="BB34" s="767"/>
      <c r="BC34" s="767"/>
      <c r="BD34" s="767"/>
      <c r="BE34" s="767"/>
      <c r="BF34" s="246"/>
      <c r="BG34" s="767"/>
      <c r="BH34" s="767"/>
      <c r="BI34" s="767"/>
      <c r="BJ34" s="767"/>
      <c r="BK34" s="246"/>
      <c r="BL34" s="767"/>
      <c r="BM34" s="767"/>
      <c r="BN34" s="767"/>
      <c r="BO34" s="767"/>
      <c r="BP34" s="246"/>
      <c r="BQ34" s="767"/>
      <c r="BR34" s="767"/>
      <c r="BS34" s="767"/>
      <c r="BT34" s="767"/>
      <c r="BU34" s="246"/>
      <c r="BV34" s="767"/>
      <c r="BW34" s="767"/>
      <c r="BX34" s="767"/>
      <c r="BY34" s="767"/>
      <c r="BZ34" s="246"/>
      <c r="CA34" s="767"/>
      <c r="CB34" s="767"/>
      <c r="CC34" s="767"/>
      <c r="CD34" s="767"/>
      <c r="CE34" s="246"/>
      <c r="CF34" s="767"/>
      <c r="CG34" s="3008"/>
      <c r="CH34" s="2893">
        <v>0</v>
      </c>
      <c r="CI34" s="2893">
        <v>0</v>
      </c>
      <c r="CJ34" s="661">
        <f t="shared" si="21"/>
        <v>0</v>
      </c>
      <c r="CK34" s="3501">
        <v>0</v>
      </c>
      <c r="CL34" s="3501">
        <v>0</v>
      </c>
      <c r="CM34" s="3501">
        <v>0</v>
      </c>
      <c r="CN34" s="3501">
        <v>0</v>
      </c>
      <c r="CO34" s="661">
        <f t="shared" si="22"/>
        <v>0</v>
      </c>
      <c r="CP34" s="3501"/>
      <c r="CQ34" s="3501"/>
      <c r="CR34" s="212"/>
      <c r="CS34" s="212"/>
      <c r="CT34" s="194"/>
      <c r="CU34" s="194"/>
      <c r="CV34" s="194"/>
    </row>
    <row r="35" spans="1:108" outlineLevel="1" x14ac:dyDescent="0.2">
      <c r="A35" s="2434" t="s">
        <v>2463</v>
      </c>
      <c r="B35" s="212"/>
      <c r="C35" s="212"/>
      <c r="D35" s="212"/>
      <c r="E35" s="212"/>
      <c r="F35" s="212"/>
      <c r="G35" s="212"/>
      <c r="H35" s="194"/>
      <c r="I35" s="767"/>
      <c r="J35" s="767"/>
      <c r="K35" s="767"/>
      <c r="L35" s="767"/>
      <c r="M35" s="246"/>
      <c r="N35" s="767"/>
      <c r="O35" s="767"/>
      <c r="P35" s="767"/>
      <c r="Q35" s="767"/>
      <c r="R35" s="246"/>
      <c r="S35" s="767"/>
      <c r="T35" s="767"/>
      <c r="U35" s="767"/>
      <c r="V35" s="767"/>
      <c r="W35" s="246"/>
      <c r="X35" s="767"/>
      <c r="Y35" s="767"/>
      <c r="Z35" s="767"/>
      <c r="AA35" s="767"/>
      <c r="AB35" s="246"/>
      <c r="AC35" s="767"/>
      <c r="AD35" s="767"/>
      <c r="AE35" s="767"/>
      <c r="AF35" s="767"/>
      <c r="AG35" s="246"/>
      <c r="AH35" s="767"/>
      <c r="AI35" s="767"/>
      <c r="AJ35" s="767"/>
      <c r="AK35" s="767"/>
      <c r="AL35" s="246"/>
      <c r="AM35" s="767"/>
      <c r="AN35" s="767"/>
      <c r="AO35" s="767"/>
      <c r="AP35" s="767"/>
      <c r="AQ35" s="246"/>
      <c r="AR35" s="767"/>
      <c r="AS35" s="767"/>
      <c r="AT35" s="767"/>
      <c r="AU35" s="767"/>
      <c r="AV35" s="246"/>
      <c r="AW35" s="767"/>
      <c r="AX35" s="767"/>
      <c r="AY35" s="767"/>
      <c r="AZ35" s="767"/>
      <c r="BA35" s="246"/>
      <c r="BB35" s="767"/>
      <c r="BC35" s="767"/>
      <c r="BD35" s="767"/>
      <c r="BE35" s="767"/>
      <c r="BF35" s="246"/>
      <c r="BG35" s="767"/>
      <c r="BH35" s="767"/>
      <c r="BI35" s="767"/>
      <c r="BJ35" s="767"/>
      <c r="BK35" s="246"/>
      <c r="BL35" s="767"/>
      <c r="BM35" s="767"/>
      <c r="BN35" s="767"/>
      <c r="BO35" s="767"/>
      <c r="BP35" s="246"/>
      <c r="BQ35" s="767"/>
      <c r="BR35" s="767"/>
      <c r="BS35" s="767"/>
      <c r="BT35" s="767"/>
      <c r="BU35" s="246"/>
      <c r="BV35" s="767"/>
      <c r="BW35" s="767"/>
      <c r="BX35" s="767"/>
      <c r="BY35" s="767"/>
      <c r="BZ35" s="246"/>
      <c r="CA35" s="767"/>
      <c r="CB35" s="767"/>
      <c r="CC35" s="767"/>
      <c r="CD35" s="767"/>
      <c r="CE35" s="246"/>
      <c r="CF35" s="767"/>
      <c r="CG35" s="3008"/>
      <c r="CH35" s="2893">
        <v>0</v>
      </c>
      <c r="CI35" s="2893">
        <v>0</v>
      </c>
      <c r="CJ35" s="661">
        <f t="shared" si="21"/>
        <v>0</v>
      </c>
      <c r="CK35" s="3501">
        <v>0</v>
      </c>
      <c r="CL35" s="3501">
        <v>0</v>
      </c>
      <c r="CM35" s="3501">
        <v>1</v>
      </c>
      <c r="CN35" s="3501">
        <v>1</v>
      </c>
      <c r="CO35" s="661">
        <f t="shared" si="22"/>
        <v>1</v>
      </c>
      <c r="CP35" s="3501"/>
      <c r="CQ35" s="3501"/>
      <c r="CR35" s="212"/>
      <c r="CS35" s="212"/>
      <c r="CT35" s="194"/>
      <c r="CU35" s="194"/>
      <c r="CV35" s="194"/>
    </row>
    <row r="36" spans="1:108" outlineLevel="1" x14ac:dyDescent="0.2">
      <c r="A36" s="1207" t="s">
        <v>1931</v>
      </c>
      <c r="B36" s="212"/>
      <c r="C36" s="212"/>
      <c r="D36" s="212"/>
      <c r="E36" s="212"/>
      <c r="F36" s="212"/>
      <c r="G36" s="212"/>
      <c r="H36" s="194"/>
      <c r="I36" s="767"/>
      <c r="J36" s="767"/>
      <c r="K36" s="767"/>
      <c r="L36" s="767"/>
      <c r="M36" s="246"/>
      <c r="N36" s="767"/>
      <c r="O36" s="767"/>
      <c r="P36" s="767"/>
      <c r="Q36" s="767"/>
      <c r="R36" s="246"/>
      <c r="S36" s="767"/>
      <c r="T36" s="767"/>
      <c r="U36" s="767"/>
      <c r="V36" s="767"/>
      <c r="W36" s="246"/>
      <c r="X36" s="767"/>
      <c r="Y36" s="767"/>
      <c r="Z36" s="767"/>
      <c r="AA36" s="767"/>
      <c r="AB36" s="246"/>
      <c r="AC36" s="767"/>
      <c r="AD36" s="767"/>
      <c r="AE36" s="767"/>
      <c r="AF36" s="767"/>
      <c r="AG36" s="246"/>
      <c r="AH36" s="767"/>
      <c r="AI36" s="767"/>
      <c r="AJ36" s="767"/>
      <c r="AK36" s="767"/>
      <c r="AL36" s="246"/>
      <c r="AM36" s="767"/>
      <c r="AN36" s="767"/>
      <c r="AO36" s="767"/>
      <c r="AP36" s="767"/>
      <c r="AQ36" s="246"/>
      <c r="AR36" s="767"/>
      <c r="AS36" s="767"/>
      <c r="AT36" s="767"/>
      <c r="AU36" s="767"/>
      <c r="AV36" s="246"/>
      <c r="AW36" s="767"/>
      <c r="AX36" s="767"/>
      <c r="AY36" s="767"/>
      <c r="AZ36" s="767"/>
      <c r="BA36" s="246"/>
      <c r="BB36" s="767"/>
      <c r="BC36" s="767"/>
      <c r="BD36" s="767"/>
      <c r="BE36" s="767"/>
      <c r="BF36" s="2293" t="s">
        <v>2465</v>
      </c>
      <c r="BG36" s="845"/>
      <c r="BH36" s="845"/>
      <c r="BI36" s="845"/>
      <c r="BJ36" s="845"/>
      <c r="BK36" s="2293"/>
      <c r="BL36" s="845"/>
      <c r="BM36" s="845"/>
      <c r="BN36" s="845"/>
      <c r="BO36" s="845"/>
      <c r="BP36" s="2293"/>
      <c r="BQ36" s="845"/>
      <c r="BR36" s="845"/>
      <c r="BS36" s="845"/>
      <c r="BT36" s="845"/>
      <c r="BU36" s="2293"/>
      <c r="BV36" s="845"/>
      <c r="BW36" s="845"/>
      <c r="BX36" s="845"/>
      <c r="BY36" s="845"/>
      <c r="BZ36" s="2293"/>
      <c r="CA36" s="845"/>
      <c r="CB36" s="845"/>
      <c r="CC36" s="845"/>
      <c r="CD36" s="845"/>
      <c r="CE36" s="2293"/>
      <c r="CF36" s="845"/>
      <c r="CG36" s="3008"/>
      <c r="CH36" s="2893">
        <v>1</v>
      </c>
      <c r="CI36" s="2893">
        <v>1</v>
      </c>
      <c r="CJ36" s="661">
        <f t="shared" si="21"/>
        <v>1</v>
      </c>
      <c r="CK36" s="3501">
        <v>1</v>
      </c>
      <c r="CL36" s="3501">
        <v>1</v>
      </c>
      <c r="CM36" s="3501">
        <v>0</v>
      </c>
      <c r="CN36" s="3501">
        <v>0</v>
      </c>
      <c r="CO36" s="661">
        <f t="shared" si="22"/>
        <v>0</v>
      </c>
      <c r="CP36" s="3501"/>
      <c r="CQ36" s="3501"/>
      <c r="CR36" s="212"/>
      <c r="CS36" s="212"/>
      <c r="CT36" s="194"/>
      <c r="CU36" s="194"/>
      <c r="CV36" s="194"/>
    </row>
    <row r="37" spans="1:108" ht="4.5" customHeight="1" outlineLevel="1" x14ac:dyDescent="0.35">
      <c r="A37" s="1207"/>
      <c r="B37" s="212"/>
      <c r="C37" s="212"/>
      <c r="D37" s="212"/>
      <c r="E37" s="212"/>
      <c r="F37" s="212"/>
      <c r="G37" s="212"/>
      <c r="H37" s="194"/>
      <c r="I37" s="850" t="s">
        <v>2466</v>
      </c>
      <c r="J37" s="850" t="s">
        <v>2139</v>
      </c>
      <c r="K37" s="850" t="s">
        <v>2466</v>
      </c>
      <c r="L37" s="850" t="s">
        <v>2139</v>
      </c>
      <c r="M37" s="3009" t="s">
        <v>2378</v>
      </c>
      <c r="N37" s="850" t="s">
        <v>2466</v>
      </c>
      <c r="O37" s="850" t="s">
        <v>2139</v>
      </c>
      <c r="P37" s="850" t="s">
        <v>2466</v>
      </c>
      <c r="Q37" s="850" t="s">
        <v>2139</v>
      </c>
      <c r="R37" s="3009" t="s">
        <v>2378</v>
      </c>
      <c r="S37" s="850" t="s">
        <v>2466</v>
      </c>
      <c r="T37" s="850" t="s">
        <v>2139</v>
      </c>
      <c r="U37" s="850" t="s">
        <v>2466</v>
      </c>
      <c r="V37" s="850" t="s">
        <v>2139</v>
      </c>
      <c r="W37" s="3009" t="s">
        <v>2378</v>
      </c>
      <c r="X37" s="850" t="s">
        <v>2466</v>
      </c>
      <c r="Y37" s="850" t="s">
        <v>2139</v>
      </c>
      <c r="Z37" s="850" t="s">
        <v>2466</v>
      </c>
      <c r="AA37" s="850" t="s">
        <v>2139</v>
      </c>
      <c r="AB37" s="3009" t="s">
        <v>2378</v>
      </c>
      <c r="AC37" s="850" t="s">
        <v>2466</v>
      </c>
      <c r="AD37" s="850" t="s">
        <v>2139</v>
      </c>
      <c r="AE37" s="850" t="s">
        <v>2466</v>
      </c>
      <c r="AF37" s="850" t="s">
        <v>2139</v>
      </c>
      <c r="AG37" s="3009" t="s">
        <v>2378</v>
      </c>
      <c r="AH37" s="850" t="s">
        <v>2466</v>
      </c>
      <c r="AI37" s="850" t="s">
        <v>2139</v>
      </c>
      <c r="AJ37" s="850" t="s">
        <v>2466</v>
      </c>
      <c r="AK37" s="850" t="s">
        <v>2139</v>
      </c>
      <c r="AL37" s="3009" t="s">
        <v>2378</v>
      </c>
      <c r="AM37" s="850" t="s">
        <v>2466</v>
      </c>
      <c r="AN37" s="850" t="s">
        <v>2139</v>
      </c>
      <c r="AO37" s="850" t="s">
        <v>2466</v>
      </c>
      <c r="AP37" s="850" t="s">
        <v>2139</v>
      </c>
      <c r="AQ37" s="3009" t="s">
        <v>2378</v>
      </c>
      <c r="AR37" s="850" t="s">
        <v>2466</v>
      </c>
      <c r="AS37" s="850" t="s">
        <v>2139</v>
      </c>
      <c r="AT37" s="850" t="s">
        <v>2466</v>
      </c>
      <c r="AU37" s="850" t="s">
        <v>2139</v>
      </c>
      <c r="AV37" s="3009" t="s">
        <v>2378</v>
      </c>
      <c r="AW37" s="850" t="s">
        <v>2466</v>
      </c>
      <c r="AX37" s="850" t="s">
        <v>2139</v>
      </c>
      <c r="AY37" s="850" t="s">
        <v>2466</v>
      </c>
      <c r="AZ37" s="850" t="s">
        <v>2139</v>
      </c>
      <c r="BA37" s="3009" t="s">
        <v>2378</v>
      </c>
      <c r="BB37" s="850" t="s">
        <v>2466</v>
      </c>
      <c r="BC37" s="850" t="s">
        <v>2139</v>
      </c>
      <c r="BD37" s="850" t="s">
        <v>2466</v>
      </c>
      <c r="BE37" s="850" t="s">
        <v>2139</v>
      </c>
      <c r="BF37" s="3009" t="s">
        <v>2378</v>
      </c>
      <c r="BG37" s="3011" t="s">
        <v>2467</v>
      </c>
      <c r="BH37" s="3011" t="s">
        <v>2467</v>
      </c>
      <c r="BI37" s="3011" t="s">
        <v>2467</v>
      </c>
      <c r="BJ37" s="3011" t="s">
        <v>2467</v>
      </c>
      <c r="BK37" s="3009" t="s">
        <v>2139</v>
      </c>
      <c r="BL37" s="3011" t="s">
        <v>1191</v>
      </c>
      <c r="BM37" s="3011" t="s">
        <v>1191</v>
      </c>
      <c r="BN37" s="3011" t="s">
        <v>1191</v>
      </c>
      <c r="BO37" s="3011" t="s">
        <v>1191</v>
      </c>
      <c r="BP37" s="3009" t="s">
        <v>2139</v>
      </c>
      <c r="BQ37" s="3011" t="s">
        <v>2139</v>
      </c>
      <c r="BR37" s="3011" t="s">
        <v>2139</v>
      </c>
      <c r="BS37" s="3011" t="s">
        <v>2139</v>
      </c>
      <c r="BT37" s="3011" t="s">
        <v>2139</v>
      </c>
      <c r="BU37" s="3009" t="s">
        <v>2139</v>
      </c>
      <c r="BV37" s="3011" t="s">
        <v>2468</v>
      </c>
      <c r="BW37" s="3011" t="s">
        <v>2468</v>
      </c>
      <c r="BX37" s="3011" t="s">
        <v>2468</v>
      </c>
      <c r="BY37" s="3011" t="s">
        <v>2467</v>
      </c>
      <c r="BZ37" s="3009" t="s">
        <v>2378</v>
      </c>
      <c r="CA37" s="3011" t="s">
        <v>2466</v>
      </c>
      <c r="CB37" s="3011" t="s">
        <v>2466</v>
      </c>
      <c r="CC37" s="3011" t="s">
        <v>2466</v>
      </c>
      <c r="CD37" s="3011" t="s">
        <v>2378</v>
      </c>
      <c r="CE37" s="3009" t="s">
        <v>2139</v>
      </c>
      <c r="CF37" s="3011" t="s">
        <v>2466</v>
      </c>
      <c r="CG37" s="3011" t="s">
        <v>2378</v>
      </c>
      <c r="CH37" s="3011" t="s">
        <v>2378</v>
      </c>
      <c r="CI37" s="3011" t="s">
        <v>2378</v>
      </c>
      <c r="CJ37" s="3009" t="s">
        <v>2139</v>
      </c>
      <c r="CK37" s="3502" t="s">
        <v>2466</v>
      </c>
      <c r="CL37" s="3502" t="s">
        <v>2466</v>
      </c>
      <c r="CM37" s="3502" t="s">
        <v>2466</v>
      </c>
      <c r="CN37" s="3502" t="s">
        <v>2466</v>
      </c>
      <c r="CO37" s="3009" t="s">
        <v>2139</v>
      </c>
      <c r="CP37" s="3502"/>
      <c r="CQ37" s="3502"/>
      <c r="CR37" s="212"/>
      <c r="CS37" s="212"/>
      <c r="CT37" s="194"/>
      <c r="CU37" s="194"/>
      <c r="CV37" s="194"/>
    </row>
    <row r="38" spans="1:108" s="199" customFormat="1" x14ac:dyDescent="0.2">
      <c r="A38" s="1437" t="s">
        <v>1735</v>
      </c>
      <c r="B38" s="1246"/>
      <c r="C38" s="1247"/>
      <c r="D38" s="1248"/>
      <c r="E38" s="1248"/>
      <c r="F38" s="1248"/>
      <c r="G38" s="1248"/>
      <c r="H38" s="763"/>
      <c r="I38" s="257">
        <f t="shared" ref="I38:AN38" si="23">SUM(I10:I24)</f>
        <v>67</v>
      </c>
      <c r="J38" s="257">
        <f t="shared" si="23"/>
        <v>58</v>
      </c>
      <c r="K38" s="257">
        <f t="shared" si="23"/>
        <v>54</v>
      </c>
      <c r="L38" s="257">
        <f t="shared" si="23"/>
        <v>56</v>
      </c>
      <c r="M38" s="1426">
        <f t="shared" si="23"/>
        <v>56</v>
      </c>
      <c r="N38" s="257">
        <f t="shared" si="23"/>
        <v>52</v>
      </c>
      <c r="O38" s="257">
        <f t="shared" si="23"/>
        <v>53</v>
      </c>
      <c r="P38" s="257">
        <f t="shared" si="23"/>
        <v>52</v>
      </c>
      <c r="Q38" s="257">
        <f t="shared" si="23"/>
        <v>48</v>
      </c>
      <c r="R38" s="1426">
        <f t="shared" si="23"/>
        <v>48</v>
      </c>
      <c r="S38" s="257">
        <f t="shared" si="23"/>
        <v>49</v>
      </c>
      <c r="T38" s="257">
        <f t="shared" si="23"/>
        <v>43</v>
      </c>
      <c r="U38" s="257">
        <f t="shared" si="23"/>
        <v>44</v>
      </c>
      <c r="V38" s="257">
        <f t="shared" si="23"/>
        <v>41</v>
      </c>
      <c r="W38" s="1426">
        <f t="shared" si="23"/>
        <v>41</v>
      </c>
      <c r="X38" s="257">
        <f t="shared" si="23"/>
        <v>42</v>
      </c>
      <c r="Y38" s="257">
        <f t="shared" si="23"/>
        <v>35</v>
      </c>
      <c r="Z38" s="257">
        <f t="shared" si="23"/>
        <v>29</v>
      </c>
      <c r="AA38" s="257">
        <f t="shared" si="23"/>
        <v>24</v>
      </c>
      <c r="AB38" s="1426">
        <f t="shared" si="23"/>
        <v>24</v>
      </c>
      <c r="AC38" s="257">
        <f t="shared" si="23"/>
        <v>25</v>
      </c>
      <c r="AD38" s="257">
        <f t="shared" si="23"/>
        <v>25</v>
      </c>
      <c r="AE38" s="257">
        <f t="shared" si="23"/>
        <v>33</v>
      </c>
      <c r="AF38" s="257">
        <f t="shared" si="23"/>
        <v>32</v>
      </c>
      <c r="AG38" s="1426">
        <f t="shared" si="23"/>
        <v>32</v>
      </c>
      <c r="AH38" s="257">
        <f t="shared" si="23"/>
        <v>31</v>
      </c>
      <c r="AI38" s="257">
        <f t="shared" si="23"/>
        <v>30</v>
      </c>
      <c r="AJ38" s="257">
        <f t="shared" si="23"/>
        <v>28</v>
      </c>
      <c r="AK38" s="257">
        <f t="shared" si="23"/>
        <v>29</v>
      </c>
      <c r="AL38" s="1426">
        <f t="shared" si="23"/>
        <v>29</v>
      </c>
      <c r="AM38" s="257">
        <f t="shared" si="23"/>
        <v>30</v>
      </c>
      <c r="AN38" s="257">
        <f t="shared" si="23"/>
        <v>30</v>
      </c>
      <c r="AO38" s="257">
        <f t="shared" ref="AO38:BT38" si="24">SUM(AO10:AO24)</f>
        <v>27</v>
      </c>
      <c r="AP38" s="257">
        <f t="shared" si="24"/>
        <v>27</v>
      </c>
      <c r="AQ38" s="1426">
        <f t="shared" si="24"/>
        <v>27</v>
      </c>
      <c r="AR38" s="257">
        <f t="shared" si="24"/>
        <v>28</v>
      </c>
      <c r="AS38" s="257">
        <f t="shared" si="24"/>
        <v>29</v>
      </c>
      <c r="AT38" s="257">
        <f t="shared" si="24"/>
        <v>29</v>
      </c>
      <c r="AU38" s="257">
        <f t="shared" si="24"/>
        <v>29</v>
      </c>
      <c r="AV38" s="1426">
        <f t="shared" si="24"/>
        <v>29</v>
      </c>
      <c r="AW38" s="257">
        <f t="shared" si="24"/>
        <v>29</v>
      </c>
      <c r="AX38" s="257">
        <f t="shared" si="24"/>
        <v>29</v>
      </c>
      <c r="AY38" s="257">
        <f t="shared" si="24"/>
        <v>29</v>
      </c>
      <c r="AZ38" s="257">
        <f t="shared" si="24"/>
        <v>29</v>
      </c>
      <c r="BA38" s="1426">
        <f t="shared" si="24"/>
        <v>29</v>
      </c>
      <c r="BB38" s="257">
        <f t="shared" si="24"/>
        <v>29</v>
      </c>
      <c r="BC38" s="257">
        <f t="shared" si="24"/>
        <v>28</v>
      </c>
      <c r="BD38" s="257">
        <f t="shared" si="24"/>
        <v>28</v>
      </c>
      <c r="BE38" s="257">
        <f t="shared" si="24"/>
        <v>27</v>
      </c>
      <c r="BF38" s="1426">
        <f t="shared" si="24"/>
        <v>27</v>
      </c>
      <c r="BG38" s="257">
        <f t="shared" si="24"/>
        <v>27</v>
      </c>
      <c r="BH38" s="257">
        <f t="shared" si="24"/>
        <v>26</v>
      </c>
      <c r="BI38" s="257">
        <f t="shared" si="24"/>
        <v>26</v>
      </c>
      <c r="BJ38" s="257">
        <f t="shared" si="24"/>
        <v>25</v>
      </c>
      <c r="BK38" s="1426">
        <f t="shared" si="24"/>
        <v>25</v>
      </c>
      <c r="BL38" s="257">
        <f t="shared" si="24"/>
        <v>25</v>
      </c>
      <c r="BM38" s="257">
        <f t="shared" si="24"/>
        <v>24</v>
      </c>
      <c r="BN38" s="257">
        <f t="shared" si="24"/>
        <v>24</v>
      </c>
      <c r="BO38" s="257">
        <f t="shared" si="24"/>
        <v>24</v>
      </c>
      <c r="BP38" s="1426">
        <f t="shared" si="24"/>
        <v>24</v>
      </c>
      <c r="BQ38" s="852">
        <f t="shared" si="24"/>
        <v>24</v>
      </c>
      <c r="BR38" s="852">
        <f t="shared" si="24"/>
        <v>24</v>
      </c>
      <c r="BS38" s="852">
        <f t="shared" si="24"/>
        <v>24</v>
      </c>
      <c r="BT38" s="257">
        <f t="shared" si="24"/>
        <v>25</v>
      </c>
      <c r="BU38" s="1426">
        <f t="shared" ref="BU38:CF38" si="25">SUM(BU10:BU24)</f>
        <v>25</v>
      </c>
      <c r="BV38" s="852">
        <f t="shared" si="25"/>
        <v>25</v>
      </c>
      <c r="BW38" s="852">
        <f t="shared" si="25"/>
        <v>25</v>
      </c>
      <c r="BX38" s="852">
        <f t="shared" si="25"/>
        <v>25</v>
      </c>
      <c r="BY38" s="852">
        <f t="shared" si="25"/>
        <v>26</v>
      </c>
      <c r="BZ38" s="1426">
        <f t="shared" si="25"/>
        <v>26</v>
      </c>
      <c r="CA38" s="852">
        <f t="shared" si="25"/>
        <v>25</v>
      </c>
      <c r="CB38" s="852">
        <f t="shared" si="25"/>
        <v>25</v>
      </c>
      <c r="CC38" s="852">
        <f t="shared" si="25"/>
        <v>25</v>
      </c>
      <c r="CD38" s="852">
        <f t="shared" si="25"/>
        <v>25</v>
      </c>
      <c r="CE38" s="1426">
        <f t="shared" si="25"/>
        <v>25</v>
      </c>
      <c r="CF38" s="852">
        <f t="shared" si="25"/>
        <v>25</v>
      </c>
      <c r="CG38" s="852">
        <f>SUM(CG10:CG24)</f>
        <v>25</v>
      </c>
      <c r="CH38" s="852">
        <f>SUM(CH9:CH24)</f>
        <v>25</v>
      </c>
      <c r="CI38">
        <f t="shared" ref="CI38:CO38" si="26">SUM(CI9:CI36)</f>
        <v>33</v>
      </c>
      <c r="CJ38" s="1426">
        <f t="shared" si="26"/>
        <v>33</v>
      </c>
      <c r="CK38" s="854">
        <f t="shared" si="26"/>
        <v>33</v>
      </c>
      <c r="CL38" s="854">
        <f t="shared" si="26"/>
        <v>31</v>
      </c>
      <c r="CM38" s="854">
        <f t="shared" si="26"/>
        <v>31</v>
      </c>
      <c r="CN38" s="854">
        <f t="shared" si="26"/>
        <v>30</v>
      </c>
      <c r="CO38" s="1426">
        <f t="shared" si="26"/>
        <v>30</v>
      </c>
      <c r="CP38" s="854"/>
      <c r="CQ38" s="854"/>
      <c r="CR38" s="852"/>
      <c r="CS38" s="852"/>
      <c r="CT38" s="843">
        <f t="shared" ref="CT38:CV38" si="27">SUM(CT10:CT24)</f>
        <v>0</v>
      </c>
      <c r="CU38" s="843">
        <f t="shared" si="27"/>
        <v>0</v>
      </c>
      <c r="CV38" s="843">
        <f t="shared" si="27"/>
        <v>0</v>
      </c>
      <c r="CW38" s="217"/>
      <c r="CX38" s="217"/>
      <c r="CY38" s="217"/>
      <c r="CZ38" s="217"/>
      <c r="DA38" s="217"/>
      <c r="DB38" s="217"/>
      <c r="DC38" s="217"/>
      <c r="DD38" s="217"/>
    </row>
    <row r="39" spans="1:108" x14ac:dyDescent="0.2">
      <c r="A39" s="1434"/>
      <c r="B39" s="651"/>
      <c r="C39" s="236"/>
      <c r="D39" s="234"/>
      <c r="E39" s="234"/>
      <c r="F39" s="234"/>
      <c r="G39" s="234"/>
      <c r="H39" s="236"/>
      <c r="I39" s="234"/>
      <c r="J39" s="234"/>
      <c r="K39" s="234"/>
      <c r="L39" s="234"/>
      <c r="M39" s="236"/>
      <c r="N39" s="234"/>
      <c r="O39" s="234"/>
      <c r="P39" s="234"/>
      <c r="Q39" s="234"/>
      <c r="R39" s="236"/>
      <c r="S39" s="234"/>
      <c r="T39" s="234"/>
      <c r="U39" s="234"/>
      <c r="V39" s="234"/>
      <c r="W39" s="236"/>
      <c r="X39" s="234"/>
      <c r="Y39" s="234"/>
      <c r="Z39" s="234"/>
      <c r="AA39" s="234"/>
      <c r="AB39" s="236"/>
      <c r="AC39" s="234"/>
      <c r="AD39" s="234"/>
      <c r="AE39" s="234"/>
      <c r="AF39" s="234"/>
      <c r="AG39" s="236"/>
      <c r="AH39" s="234"/>
      <c r="AI39" s="234"/>
      <c r="AJ39" s="234"/>
      <c r="AK39" s="234"/>
      <c r="AL39" s="236"/>
      <c r="AM39" s="234"/>
      <c r="AN39" s="234"/>
      <c r="AO39" s="234"/>
      <c r="AP39" s="234"/>
      <c r="AQ39" s="236"/>
      <c r="AR39" s="234"/>
      <c r="AS39" s="234"/>
      <c r="AT39" s="234"/>
      <c r="AU39" s="234"/>
      <c r="AV39" s="236"/>
      <c r="AW39" s="234"/>
      <c r="AX39" s="234"/>
      <c r="AY39" s="234"/>
      <c r="AZ39" s="234"/>
      <c r="BA39" s="236"/>
      <c r="BB39" s="234"/>
      <c r="BC39" s="234"/>
      <c r="BD39" s="234"/>
      <c r="BE39" s="234"/>
      <c r="BF39" s="236"/>
      <c r="BG39" s="234"/>
      <c r="BH39" s="234"/>
      <c r="BI39" s="234"/>
      <c r="BJ39" s="234"/>
      <c r="BK39" s="236"/>
      <c r="BL39" s="234"/>
      <c r="BM39" s="234"/>
      <c r="BN39" s="212"/>
      <c r="BO39" s="212"/>
      <c r="BP39" s="236"/>
      <c r="BQ39" s="212"/>
      <c r="BR39" s="212"/>
      <c r="BS39" s="212"/>
      <c r="BT39" s="212"/>
      <c r="BU39" s="236"/>
      <c r="BV39" s="212"/>
      <c r="BW39" s="212"/>
      <c r="BX39" s="212"/>
      <c r="BY39" s="234"/>
      <c r="BZ39" s="236"/>
      <c r="CA39" s="212"/>
      <c r="CB39" s="212"/>
      <c r="CC39" s="212"/>
      <c r="CD39" s="212"/>
      <c r="CE39" s="194"/>
      <c r="CF39" s="212"/>
      <c r="CG39" s="212"/>
      <c r="CH39" s="212"/>
      <c r="CI39" s="212"/>
      <c r="CJ39" s="194"/>
      <c r="CK39" s="2907"/>
      <c r="CL39" s="212"/>
      <c r="CM39" s="212"/>
      <c r="CN39" s="212"/>
      <c r="CO39" s="194"/>
      <c r="CP39" s="2907"/>
      <c r="CQ39" s="212"/>
      <c r="CR39" s="212"/>
      <c r="CS39" s="212"/>
      <c r="CT39" s="194"/>
      <c r="CU39" s="194"/>
      <c r="CV39" s="194"/>
    </row>
    <row r="40" spans="1:108" x14ac:dyDescent="0.2">
      <c r="A40" s="1435" t="s">
        <v>362</v>
      </c>
      <c r="B40" s="651"/>
      <c r="C40" s="236"/>
      <c r="D40" s="234"/>
      <c r="E40" s="234"/>
      <c r="F40" s="234"/>
      <c r="G40" s="234"/>
      <c r="H40" s="236"/>
      <c r="I40" s="234"/>
      <c r="J40" s="234"/>
      <c r="K40" s="234"/>
      <c r="L40" s="234"/>
      <c r="M40" s="236"/>
      <c r="N40" s="234"/>
      <c r="O40" s="234"/>
      <c r="P40" s="234"/>
      <c r="Q40" s="234"/>
      <c r="R40" s="236"/>
      <c r="S40" s="234"/>
      <c r="T40" s="234"/>
      <c r="U40" s="234"/>
      <c r="V40" s="234"/>
      <c r="W40" s="236"/>
      <c r="X40" s="234"/>
      <c r="Y40" s="234"/>
      <c r="Z40" s="234"/>
      <c r="AA40" s="234"/>
      <c r="AB40" s="236"/>
      <c r="AC40" s="234"/>
      <c r="AD40" s="234"/>
      <c r="AE40" s="234"/>
      <c r="AF40" s="234"/>
      <c r="AG40" s="236"/>
      <c r="AH40" s="234"/>
      <c r="AI40" s="234"/>
      <c r="AJ40" s="234"/>
      <c r="AK40" s="234"/>
      <c r="AL40" s="236"/>
      <c r="AM40" s="234"/>
      <c r="AN40" s="234"/>
      <c r="AO40" s="234"/>
      <c r="AP40" s="234"/>
      <c r="AQ40" s="236"/>
      <c r="AR40" s="234"/>
      <c r="AS40" s="234"/>
      <c r="AT40" s="234"/>
      <c r="AU40" s="234"/>
      <c r="AV40" s="236"/>
      <c r="AW40" s="234"/>
      <c r="AX40" s="234"/>
      <c r="AY40" s="234"/>
      <c r="AZ40" s="234"/>
      <c r="BA40" s="236"/>
      <c r="BB40" s="234"/>
      <c r="BC40" s="234"/>
      <c r="BD40" s="234"/>
      <c r="BE40" s="234"/>
      <c r="BF40" s="236"/>
      <c r="BG40" s="234"/>
      <c r="BH40" s="234"/>
      <c r="BI40" s="234"/>
      <c r="BJ40" s="234"/>
      <c r="BK40" s="236"/>
      <c r="BL40" s="234"/>
      <c r="BM40" s="234"/>
      <c r="BN40" s="212"/>
      <c r="BO40" s="212"/>
      <c r="BP40" s="236"/>
      <c r="BQ40" s="212"/>
      <c r="BR40" s="212"/>
      <c r="BS40" s="212"/>
      <c r="BT40" s="212"/>
      <c r="BU40" s="236"/>
      <c r="BV40" s="212"/>
      <c r="BW40" s="212"/>
      <c r="BX40" s="212"/>
      <c r="BY40" s="234"/>
      <c r="BZ40" s="236"/>
      <c r="CA40" s="212"/>
      <c r="CB40" s="212"/>
      <c r="CC40" s="212"/>
      <c r="CD40" s="212"/>
      <c r="CE40" s="194"/>
      <c r="CF40" s="212"/>
      <c r="CG40" s="212"/>
      <c r="CH40" s="212"/>
      <c r="CI40" s="212"/>
      <c r="CJ40" s="194"/>
      <c r="CK40" s="2907"/>
      <c r="CL40" s="212"/>
      <c r="CM40" s="212"/>
      <c r="CN40" s="212"/>
      <c r="CO40" s="194"/>
      <c r="CP40" s="2907"/>
      <c r="CQ40" s="212"/>
      <c r="CR40" s="212"/>
      <c r="CS40" s="212"/>
      <c r="CT40" s="194"/>
      <c r="CU40" s="194"/>
      <c r="CV40" s="194"/>
    </row>
    <row r="41" spans="1:108" x14ac:dyDescent="0.2">
      <c r="A41" s="2308" t="s">
        <v>456</v>
      </c>
      <c r="B41" s="651"/>
      <c r="C41" s="236"/>
      <c r="D41" s="234"/>
      <c r="E41" s="234"/>
      <c r="F41" s="234"/>
      <c r="G41" s="234"/>
      <c r="H41" s="236"/>
      <c r="I41" s="234"/>
      <c r="J41" s="234"/>
      <c r="K41" s="234"/>
      <c r="L41" s="234"/>
      <c r="M41" s="236"/>
      <c r="N41" s="234"/>
      <c r="O41" s="234"/>
      <c r="P41" s="234"/>
      <c r="Q41" s="234"/>
      <c r="R41" s="236"/>
      <c r="S41" s="234"/>
      <c r="T41" s="234"/>
      <c r="U41" s="234"/>
      <c r="V41" s="234"/>
      <c r="W41" s="236"/>
      <c r="X41" s="234"/>
      <c r="Y41" s="234"/>
      <c r="Z41" s="234"/>
      <c r="AA41" s="234"/>
      <c r="AB41" s="236"/>
      <c r="AC41" s="234"/>
      <c r="AD41" s="234"/>
      <c r="AE41" s="234"/>
      <c r="AF41" s="234"/>
      <c r="AG41" s="236"/>
      <c r="AH41" s="234"/>
      <c r="AI41" s="234"/>
      <c r="AJ41" s="234"/>
      <c r="AK41" s="234"/>
      <c r="AL41" s="236"/>
      <c r="AM41" s="234"/>
      <c r="AN41" s="234"/>
      <c r="AO41" s="234"/>
      <c r="AP41" s="234"/>
      <c r="AQ41" s="236"/>
      <c r="AR41" s="234"/>
      <c r="AS41" s="234"/>
      <c r="AT41" s="234"/>
      <c r="AU41" s="234"/>
      <c r="AV41" s="236"/>
      <c r="AW41" s="234"/>
      <c r="AX41" s="234"/>
      <c r="AY41" s="234"/>
      <c r="AZ41" s="234"/>
      <c r="BA41" s="236"/>
      <c r="BB41" s="234"/>
      <c r="BC41" s="234"/>
      <c r="BD41" s="234"/>
      <c r="BE41" s="234"/>
      <c r="BF41" s="236"/>
      <c r="BG41" s="234"/>
      <c r="BH41" s="234"/>
      <c r="BI41" s="234"/>
      <c r="BJ41" s="234"/>
      <c r="BK41" s="236"/>
      <c r="BL41" s="234"/>
      <c r="BM41" s="234"/>
      <c r="BN41" s="212"/>
      <c r="BO41" s="212"/>
      <c r="BP41" s="236"/>
      <c r="BQ41" s="212"/>
      <c r="BR41" s="212"/>
      <c r="BS41" s="212"/>
      <c r="BT41" s="212"/>
      <c r="BU41" s="236"/>
      <c r="BV41" s="212"/>
      <c r="BW41" s="212"/>
      <c r="BX41" s="212"/>
      <c r="BY41" s="234"/>
      <c r="BZ41" s="236"/>
      <c r="CA41" s="212"/>
      <c r="CB41" s="212"/>
      <c r="CC41" s="212"/>
      <c r="CD41" s="212"/>
      <c r="CE41" s="194"/>
      <c r="CF41" s="212"/>
      <c r="CG41" s="212"/>
      <c r="CH41" s="756">
        <v>15</v>
      </c>
      <c r="CI41" s="756">
        <v>15</v>
      </c>
      <c r="CJ41" s="661">
        <f t="shared" ref="CJ41:CJ55" si="28">+CI41</f>
        <v>15</v>
      </c>
      <c r="CK41" s="3503">
        <v>15</v>
      </c>
      <c r="CL41" s="3630">
        <v>15</v>
      </c>
      <c r="CM41" s="3630">
        <v>15</v>
      </c>
      <c r="CN41" s="3630">
        <v>16</v>
      </c>
      <c r="CO41" s="661">
        <f t="shared" ref="CO41:CO55" si="29">+CN41</f>
        <v>16</v>
      </c>
      <c r="CP41" s="3503"/>
      <c r="CQ41" s="3630"/>
      <c r="CR41" s="212"/>
      <c r="CS41" s="212"/>
      <c r="CT41" s="194"/>
      <c r="CU41" s="194"/>
      <c r="CV41" s="194"/>
    </row>
    <row r="42" spans="1:108" x14ac:dyDescent="0.2">
      <c r="A42" s="1436" t="s">
        <v>346</v>
      </c>
      <c r="B42" s="1240"/>
      <c r="C42" s="1241"/>
      <c r="D42" s="758"/>
      <c r="E42" s="758"/>
      <c r="F42" s="758"/>
      <c r="G42" s="758"/>
      <c r="H42" s="752"/>
      <c r="I42" s="845">
        <f>+I915-I76</f>
        <v>168</v>
      </c>
      <c r="J42" s="845">
        <f>+J915-J76</f>
        <v>170</v>
      </c>
      <c r="K42" s="845">
        <f>+K915-K76</f>
        <v>171</v>
      </c>
      <c r="L42" s="845">
        <f>+L915-L76</f>
        <v>167</v>
      </c>
      <c r="M42" s="661">
        <f>L42</f>
        <v>167</v>
      </c>
      <c r="N42" s="845">
        <f>+N915-N76</f>
        <v>169</v>
      </c>
      <c r="O42" s="845">
        <f>+O915-O76</f>
        <v>171</v>
      </c>
      <c r="P42" s="845">
        <v>170</v>
      </c>
      <c r="Q42" s="845">
        <v>172</v>
      </c>
      <c r="R42" s="661">
        <f>Q42</f>
        <v>172</v>
      </c>
      <c r="S42" s="845">
        <v>172</v>
      </c>
      <c r="T42" s="845">
        <v>174</v>
      </c>
      <c r="U42" s="845">
        <v>174</v>
      </c>
      <c r="V42" s="845">
        <v>173</v>
      </c>
      <c r="W42" s="661">
        <f>V42</f>
        <v>173</v>
      </c>
      <c r="X42" s="845">
        <v>169</v>
      </c>
      <c r="Y42" s="845">
        <v>171</v>
      </c>
      <c r="Z42" s="845">
        <v>172</v>
      </c>
      <c r="AA42" s="845">
        <v>173</v>
      </c>
      <c r="AB42" s="661">
        <f>+AA42</f>
        <v>173</v>
      </c>
      <c r="AC42" s="845">
        <v>170</v>
      </c>
      <c r="AD42" s="845">
        <v>170</v>
      </c>
      <c r="AE42" s="845">
        <v>169</v>
      </c>
      <c r="AF42" s="845">
        <v>170</v>
      </c>
      <c r="AG42" s="661">
        <f>+AF42</f>
        <v>170</v>
      </c>
      <c r="AH42" s="845">
        <v>167</v>
      </c>
      <c r="AI42" s="845">
        <v>168</v>
      </c>
      <c r="AJ42" s="845">
        <v>167</v>
      </c>
      <c r="AK42" s="845">
        <v>166</v>
      </c>
      <c r="AL42" s="661">
        <f>+AK42</f>
        <v>166</v>
      </c>
      <c r="AM42" s="756">
        <v>165</v>
      </c>
      <c r="AN42" s="756">
        <v>166</v>
      </c>
      <c r="AO42" s="756">
        <v>165</v>
      </c>
      <c r="AP42" s="754">
        <v>167</v>
      </c>
      <c r="AQ42" s="661">
        <f>+AP42</f>
        <v>167</v>
      </c>
      <c r="AR42" s="845">
        <v>167</v>
      </c>
      <c r="AS42" s="845">
        <v>166</v>
      </c>
      <c r="AT42" s="845">
        <v>165</v>
      </c>
      <c r="AU42" s="845">
        <v>164</v>
      </c>
      <c r="AV42" s="661">
        <f>+AU42</f>
        <v>164</v>
      </c>
      <c r="AW42" s="845">
        <v>164</v>
      </c>
      <c r="AX42" s="845">
        <v>163</v>
      </c>
      <c r="AY42" s="845">
        <v>160</v>
      </c>
      <c r="AZ42" s="845">
        <v>160</v>
      </c>
      <c r="BA42" s="661">
        <f>+AZ42</f>
        <v>160</v>
      </c>
      <c r="BB42" s="845">
        <v>161</v>
      </c>
      <c r="BC42" s="845">
        <v>161</v>
      </c>
      <c r="BD42" s="845">
        <v>161</v>
      </c>
      <c r="BE42" s="845">
        <v>163</v>
      </c>
      <c r="BF42" s="661">
        <f>+BE42</f>
        <v>163</v>
      </c>
      <c r="BG42" s="845">
        <v>162</v>
      </c>
      <c r="BH42" s="845">
        <v>163</v>
      </c>
      <c r="BI42" s="845">
        <v>161</v>
      </c>
      <c r="BJ42" s="845">
        <v>159</v>
      </c>
      <c r="BK42" s="661">
        <f>+BJ42</f>
        <v>159</v>
      </c>
      <c r="BL42" s="845">
        <v>159</v>
      </c>
      <c r="BM42" s="845">
        <v>158</v>
      </c>
      <c r="BN42" s="845">
        <v>156</v>
      </c>
      <c r="BO42" s="845">
        <v>157</v>
      </c>
      <c r="BP42" s="661">
        <f t="shared" ref="BP42:BP55" si="30">+BO42</f>
        <v>157</v>
      </c>
      <c r="BQ42" s="1231">
        <v>157</v>
      </c>
      <c r="BR42" s="1231">
        <v>157</v>
      </c>
      <c r="BS42" s="1231">
        <v>155</v>
      </c>
      <c r="BT42" s="845">
        <v>151</v>
      </c>
      <c r="BU42" s="661">
        <f t="shared" ref="BU42:BU55" si="31">+BT42</f>
        <v>151</v>
      </c>
      <c r="BV42" s="1231">
        <v>151</v>
      </c>
      <c r="BW42" s="1231">
        <v>151</v>
      </c>
      <c r="BX42" s="1231">
        <v>150</v>
      </c>
      <c r="BY42" s="756">
        <v>149</v>
      </c>
      <c r="BZ42" s="661">
        <f t="shared" ref="BZ42:BZ55" si="32">+BY42</f>
        <v>149</v>
      </c>
      <c r="CA42" s="756">
        <v>154</v>
      </c>
      <c r="CB42" s="756">
        <v>153</v>
      </c>
      <c r="CC42" s="756">
        <v>153</v>
      </c>
      <c r="CD42" s="756">
        <v>153</v>
      </c>
      <c r="CE42" s="661">
        <f t="shared" ref="CE42:CE55" si="33">+CD42</f>
        <v>153</v>
      </c>
      <c r="CF42" s="756">
        <v>150</v>
      </c>
      <c r="CG42" s="756">
        <v>144</v>
      </c>
      <c r="CH42" s="756">
        <f>130</f>
        <v>130</v>
      </c>
      <c r="CI42" s="756">
        <v>131</v>
      </c>
      <c r="CJ42" s="661">
        <f t="shared" si="28"/>
        <v>131</v>
      </c>
      <c r="CK42" s="3501">
        <v>130</v>
      </c>
      <c r="CL42" s="3518">
        <v>130</v>
      </c>
      <c r="CM42" s="3518">
        <v>131</v>
      </c>
      <c r="CN42" s="3518">
        <v>131</v>
      </c>
      <c r="CO42" s="661">
        <f t="shared" si="29"/>
        <v>131</v>
      </c>
      <c r="CP42" s="3501"/>
      <c r="CQ42" s="3518"/>
      <c r="CR42" s="1261"/>
      <c r="CS42" s="1261"/>
      <c r="CT42" s="1243"/>
      <c r="CU42" s="1243"/>
      <c r="CV42" s="1243"/>
    </row>
    <row r="43" spans="1:108" x14ac:dyDescent="0.2">
      <c r="A43" s="1436" t="s">
        <v>1385</v>
      </c>
      <c r="B43" s="1240"/>
      <c r="C43" s="1241"/>
      <c r="D43" s="758"/>
      <c r="E43" s="758"/>
      <c r="F43" s="758"/>
      <c r="G43" s="758"/>
      <c r="H43" s="752"/>
      <c r="I43" s="845">
        <f>+I919-I77</f>
        <v>34</v>
      </c>
      <c r="J43" s="845">
        <f>+J919-J77</f>
        <v>34</v>
      </c>
      <c r="K43" s="845">
        <f>+K919-K77</f>
        <v>34</v>
      </c>
      <c r="L43" s="845">
        <f>+L919-L77</f>
        <v>37</v>
      </c>
      <c r="M43" s="661">
        <f>L43</f>
        <v>37</v>
      </c>
      <c r="N43" s="845">
        <f>+N919-N77</f>
        <v>37</v>
      </c>
      <c r="O43" s="845">
        <f>+O919-O77</f>
        <v>38</v>
      </c>
      <c r="P43" s="845">
        <v>38</v>
      </c>
      <c r="Q43" s="845">
        <v>38</v>
      </c>
      <c r="R43" s="661">
        <f>Q43</f>
        <v>38</v>
      </c>
      <c r="S43" s="845">
        <v>39</v>
      </c>
      <c r="T43" s="845">
        <v>38</v>
      </c>
      <c r="U43" s="845">
        <v>38</v>
      </c>
      <c r="V43" s="845">
        <v>38</v>
      </c>
      <c r="W43" s="661">
        <f>V43</f>
        <v>38</v>
      </c>
      <c r="X43" s="845">
        <v>38</v>
      </c>
      <c r="Y43" s="845">
        <v>38</v>
      </c>
      <c r="Z43" s="845">
        <v>40</v>
      </c>
      <c r="AA43" s="845">
        <v>41</v>
      </c>
      <c r="AB43" s="661">
        <f>+AA43</f>
        <v>41</v>
      </c>
      <c r="AC43" s="845">
        <v>41</v>
      </c>
      <c r="AD43" s="845">
        <v>41</v>
      </c>
      <c r="AE43" s="845">
        <v>32</v>
      </c>
      <c r="AF43" s="845">
        <v>30</v>
      </c>
      <c r="AG43" s="661">
        <f>+AF43</f>
        <v>30</v>
      </c>
      <c r="AH43" s="845">
        <v>32</v>
      </c>
      <c r="AI43" s="845">
        <v>32</v>
      </c>
      <c r="AJ43" s="845">
        <v>33</v>
      </c>
      <c r="AK43" s="845">
        <v>32</v>
      </c>
      <c r="AL43" s="661">
        <f>+AK43</f>
        <v>32</v>
      </c>
      <c r="AM43" s="756">
        <v>32</v>
      </c>
      <c r="AN43" s="756">
        <v>33</v>
      </c>
      <c r="AO43" s="756">
        <v>32</v>
      </c>
      <c r="AP43" s="754">
        <v>33</v>
      </c>
      <c r="AQ43" s="661">
        <f>+AP43</f>
        <v>33</v>
      </c>
      <c r="AR43" s="845">
        <v>34</v>
      </c>
      <c r="AS43" s="845">
        <v>34</v>
      </c>
      <c r="AT43" s="845">
        <v>34</v>
      </c>
      <c r="AU43" s="845">
        <v>34</v>
      </c>
      <c r="AV43" s="661">
        <f>+AU43</f>
        <v>34</v>
      </c>
      <c r="AW43" s="845">
        <v>34</v>
      </c>
      <c r="AX43" s="845">
        <v>34</v>
      </c>
      <c r="AY43" s="845">
        <v>33</v>
      </c>
      <c r="AZ43" s="845">
        <v>33</v>
      </c>
      <c r="BA43" s="661">
        <f>+AZ43</f>
        <v>33</v>
      </c>
      <c r="BB43" s="845">
        <v>33</v>
      </c>
      <c r="BC43" s="845">
        <v>34</v>
      </c>
      <c r="BD43" s="845">
        <v>34</v>
      </c>
      <c r="BE43" s="845">
        <v>34</v>
      </c>
      <c r="BF43" s="661">
        <f>+BE43</f>
        <v>34</v>
      </c>
      <c r="BG43" s="845">
        <v>36</v>
      </c>
      <c r="BH43" s="845">
        <v>36</v>
      </c>
      <c r="BI43" s="845">
        <v>36</v>
      </c>
      <c r="BJ43" s="845">
        <v>37</v>
      </c>
      <c r="BK43" s="661">
        <f>+BJ43</f>
        <v>37</v>
      </c>
      <c r="BL43" s="845">
        <v>36</v>
      </c>
      <c r="BM43" s="845">
        <v>36</v>
      </c>
      <c r="BN43" s="845">
        <v>35</v>
      </c>
      <c r="BO43" s="845">
        <v>35</v>
      </c>
      <c r="BP43" s="661">
        <f t="shared" si="30"/>
        <v>35</v>
      </c>
      <c r="BQ43" s="1231">
        <v>34</v>
      </c>
      <c r="BR43" s="1231">
        <v>33</v>
      </c>
      <c r="BS43" s="1231">
        <v>32</v>
      </c>
      <c r="BT43" s="845">
        <v>32</v>
      </c>
      <c r="BU43" s="661">
        <f t="shared" si="31"/>
        <v>32</v>
      </c>
      <c r="BV43" s="1231">
        <v>32</v>
      </c>
      <c r="BW43" s="1231">
        <v>32</v>
      </c>
      <c r="BX43" s="1231">
        <v>32</v>
      </c>
      <c r="BY43" s="756">
        <v>32</v>
      </c>
      <c r="BZ43" s="661">
        <f t="shared" si="32"/>
        <v>32</v>
      </c>
      <c r="CA43" s="1231">
        <v>32</v>
      </c>
      <c r="CB43" s="1231">
        <v>31</v>
      </c>
      <c r="CC43" s="1231">
        <v>27</v>
      </c>
      <c r="CD43" s="1231">
        <v>27</v>
      </c>
      <c r="CE43" s="661">
        <f t="shared" si="33"/>
        <v>27</v>
      </c>
      <c r="CF43" s="1231">
        <v>27</v>
      </c>
      <c r="CG43" s="1231">
        <v>27</v>
      </c>
      <c r="CH43" s="1231">
        <v>26</v>
      </c>
      <c r="CI43" s="1231">
        <v>26</v>
      </c>
      <c r="CJ43" s="661">
        <f t="shared" si="28"/>
        <v>26</v>
      </c>
      <c r="CK43" s="3501">
        <v>26</v>
      </c>
      <c r="CL43" s="3518">
        <v>27</v>
      </c>
      <c r="CM43" s="3518">
        <v>28</v>
      </c>
      <c r="CN43" s="3518">
        <v>28</v>
      </c>
      <c r="CO43" s="661">
        <f t="shared" si="29"/>
        <v>28</v>
      </c>
      <c r="CP43" s="3501"/>
      <c r="CQ43" s="3518"/>
      <c r="CR43" s="1261"/>
      <c r="CS43" s="1261"/>
      <c r="CT43" s="1243"/>
      <c r="CU43" s="1243"/>
      <c r="CV43" s="1243"/>
    </row>
    <row r="44" spans="1:108" x14ac:dyDescent="0.2">
      <c r="A44" s="1436" t="s">
        <v>512</v>
      </c>
      <c r="B44" s="1240"/>
      <c r="C44" s="1241"/>
      <c r="D44" s="758"/>
      <c r="E44" s="758"/>
      <c r="F44" s="758"/>
      <c r="G44" s="758"/>
      <c r="H44" s="752"/>
      <c r="I44" s="845">
        <v>0</v>
      </c>
      <c r="J44" s="845">
        <v>0</v>
      </c>
      <c r="K44" s="845">
        <v>0</v>
      </c>
      <c r="L44" s="845">
        <v>0</v>
      </c>
      <c r="M44" s="661">
        <v>0</v>
      </c>
      <c r="N44" s="845">
        <v>0</v>
      </c>
      <c r="O44" s="845">
        <v>0</v>
      </c>
      <c r="P44" s="845">
        <v>0</v>
      </c>
      <c r="Q44" s="845">
        <v>0</v>
      </c>
      <c r="R44" s="661">
        <v>0</v>
      </c>
      <c r="S44" s="845">
        <v>0</v>
      </c>
      <c r="T44" s="845">
        <v>0</v>
      </c>
      <c r="U44" s="845">
        <v>0</v>
      </c>
      <c r="V44" s="845">
        <v>0</v>
      </c>
      <c r="W44" s="661">
        <v>0</v>
      </c>
      <c r="X44" s="845">
        <v>0</v>
      </c>
      <c r="Y44" s="845">
        <v>0</v>
      </c>
      <c r="Z44" s="845">
        <v>0</v>
      </c>
      <c r="AA44" s="845">
        <v>0</v>
      </c>
      <c r="AB44" s="661">
        <v>0</v>
      </c>
      <c r="AC44" s="845">
        <v>0</v>
      </c>
      <c r="AD44" s="845">
        <v>0</v>
      </c>
      <c r="AE44" s="845">
        <v>0</v>
      </c>
      <c r="AF44" s="845">
        <v>0</v>
      </c>
      <c r="AG44" s="661">
        <v>0</v>
      </c>
      <c r="AH44" s="845">
        <v>0</v>
      </c>
      <c r="AI44" s="845">
        <v>0</v>
      </c>
      <c r="AJ44" s="845">
        <v>0</v>
      </c>
      <c r="AK44" s="845">
        <v>0</v>
      </c>
      <c r="AL44" s="661">
        <v>0</v>
      </c>
      <c r="AM44" s="756">
        <v>0</v>
      </c>
      <c r="AN44" s="756">
        <v>0</v>
      </c>
      <c r="AO44" s="756">
        <v>0</v>
      </c>
      <c r="AP44" s="754">
        <v>0</v>
      </c>
      <c r="AQ44" s="661">
        <v>0</v>
      </c>
      <c r="AR44" s="845">
        <v>0</v>
      </c>
      <c r="AS44" s="845">
        <v>0</v>
      </c>
      <c r="AT44" s="845">
        <v>0</v>
      </c>
      <c r="AU44" s="845">
        <v>0</v>
      </c>
      <c r="AV44" s="661">
        <v>0</v>
      </c>
      <c r="AW44" s="845">
        <v>0</v>
      </c>
      <c r="AX44" s="845">
        <v>0</v>
      </c>
      <c r="AY44" s="845">
        <v>0</v>
      </c>
      <c r="AZ44" s="845">
        <v>0</v>
      </c>
      <c r="BA44" s="661">
        <v>0</v>
      </c>
      <c r="BB44" s="845">
        <v>0</v>
      </c>
      <c r="BC44" s="845">
        <v>0</v>
      </c>
      <c r="BD44" s="845">
        <v>0</v>
      </c>
      <c r="BE44" s="845">
        <v>0</v>
      </c>
      <c r="BF44" s="661">
        <v>0</v>
      </c>
      <c r="BG44" s="845">
        <v>0</v>
      </c>
      <c r="BH44" s="845">
        <v>0</v>
      </c>
      <c r="BI44" s="845">
        <v>0</v>
      </c>
      <c r="BJ44" s="845">
        <v>0</v>
      </c>
      <c r="BK44" s="661">
        <v>0</v>
      </c>
      <c r="BL44" s="845">
        <v>0</v>
      </c>
      <c r="BM44" s="845">
        <v>0</v>
      </c>
      <c r="BN44" s="845">
        <v>0</v>
      </c>
      <c r="BO44" s="845">
        <v>0</v>
      </c>
      <c r="BP44" s="661">
        <v>0</v>
      </c>
      <c r="BQ44" s="1231">
        <v>0</v>
      </c>
      <c r="BR44" s="1231">
        <v>0</v>
      </c>
      <c r="BS44" s="1231">
        <v>0</v>
      </c>
      <c r="BT44" s="845">
        <v>0</v>
      </c>
      <c r="BU44" s="661">
        <f t="shared" si="31"/>
        <v>0</v>
      </c>
      <c r="BV44" s="1231">
        <v>0</v>
      </c>
      <c r="BW44" s="1231">
        <v>0</v>
      </c>
      <c r="BX44" s="1231">
        <v>1</v>
      </c>
      <c r="BY44" s="756">
        <v>1</v>
      </c>
      <c r="BZ44" s="661">
        <f t="shared" si="32"/>
        <v>1</v>
      </c>
      <c r="CA44" s="1231">
        <v>1</v>
      </c>
      <c r="CB44" s="1231">
        <v>1</v>
      </c>
      <c r="CC44" s="1231">
        <v>3</v>
      </c>
      <c r="CD44" s="1231">
        <v>3</v>
      </c>
      <c r="CE44" s="661">
        <f t="shared" si="33"/>
        <v>3</v>
      </c>
      <c r="CF44" s="1231">
        <v>3</v>
      </c>
      <c r="CG44" s="1231">
        <v>3</v>
      </c>
      <c r="CH44" s="1231">
        <v>3</v>
      </c>
      <c r="CI44" s="1231">
        <v>3</v>
      </c>
      <c r="CJ44" s="661">
        <f t="shared" si="28"/>
        <v>3</v>
      </c>
      <c r="CK44" s="3501">
        <v>3</v>
      </c>
      <c r="CL44" s="3518">
        <v>3</v>
      </c>
      <c r="CM44" s="3518">
        <v>3</v>
      </c>
      <c r="CN44" s="3518">
        <v>4</v>
      </c>
      <c r="CO44" s="661">
        <f t="shared" si="29"/>
        <v>4</v>
      </c>
      <c r="CP44" s="3501"/>
      <c r="CQ44" s="3518"/>
      <c r="CR44" s="1261"/>
      <c r="CS44" s="1261"/>
      <c r="CT44" s="1243"/>
      <c r="CU44" s="1243"/>
      <c r="CV44" s="1243"/>
    </row>
    <row r="45" spans="1:108" outlineLevel="1" x14ac:dyDescent="0.2">
      <c r="A45" s="2288" t="s">
        <v>608</v>
      </c>
      <c r="B45" s="1240"/>
      <c r="C45" s="1241"/>
      <c r="D45" s="758"/>
      <c r="E45" s="758"/>
      <c r="F45" s="758"/>
      <c r="G45" s="758"/>
      <c r="H45" s="752"/>
      <c r="I45" s="845">
        <v>0</v>
      </c>
      <c r="J45" s="845">
        <v>0</v>
      </c>
      <c r="K45" s="845">
        <v>0</v>
      </c>
      <c r="L45" s="845">
        <v>0</v>
      </c>
      <c r="M45" s="661">
        <v>0</v>
      </c>
      <c r="N45" s="845">
        <v>0</v>
      </c>
      <c r="O45" s="845">
        <v>0</v>
      </c>
      <c r="P45" s="845">
        <v>0</v>
      </c>
      <c r="Q45" s="845">
        <v>0</v>
      </c>
      <c r="R45" s="661">
        <v>0</v>
      </c>
      <c r="S45" s="845">
        <v>0</v>
      </c>
      <c r="T45" s="845">
        <v>0</v>
      </c>
      <c r="U45" s="845">
        <v>0</v>
      </c>
      <c r="V45" s="845">
        <v>0</v>
      </c>
      <c r="W45" s="661">
        <v>0</v>
      </c>
      <c r="X45" s="845">
        <v>0</v>
      </c>
      <c r="Y45" s="845">
        <v>0</v>
      </c>
      <c r="Z45" s="845">
        <v>0</v>
      </c>
      <c r="AA45" s="845">
        <v>0</v>
      </c>
      <c r="AB45" s="661">
        <v>0</v>
      </c>
      <c r="AC45" s="845">
        <v>0</v>
      </c>
      <c r="AD45" s="845">
        <v>0</v>
      </c>
      <c r="AE45" s="845">
        <v>0</v>
      </c>
      <c r="AF45" s="845">
        <v>0</v>
      </c>
      <c r="AG45" s="661">
        <v>0</v>
      </c>
      <c r="AH45" s="845">
        <v>0</v>
      </c>
      <c r="AI45" s="845">
        <v>0</v>
      </c>
      <c r="AJ45" s="845">
        <v>0</v>
      </c>
      <c r="AK45" s="845">
        <v>0</v>
      </c>
      <c r="AL45" s="661">
        <v>0</v>
      </c>
      <c r="AM45" s="756">
        <v>0</v>
      </c>
      <c r="AN45" s="756">
        <v>0</v>
      </c>
      <c r="AO45" s="756">
        <v>0</v>
      </c>
      <c r="AP45" s="754">
        <v>0</v>
      </c>
      <c r="AQ45" s="661">
        <v>0</v>
      </c>
      <c r="AR45" s="845">
        <v>0</v>
      </c>
      <c r="AS45" s="845">
        <v>0</v>
      </c>
      <c r="AT45" s="845">
        <v>0</v>
      </c>
      <c r="AU45" s="845">
        <v>0</v>
      </c>
      <c r="AV45" s="661">
        <v>0</v>
      </c>
      <c r="AW45" s="845">
        <v>0</v>
      </c>
      <c r="AX45" s="845">
        <v>0</v>
      </c>
      <c r="AY45" s="845">
        <v>0</v>
      </c>
      <c r="AZ45" s="845">
        <v>0</v>
      </c>
      <c r="BA45" s="661">
        <v>0</v>
      </c>
      <c r="BB45" s="845">
        <v>0</v>
      </c>
      <c r="BC45" s="845">
        <v>0</v>
      </c>
      <c r="BD45" s="845">
        <v>0</v>
      </c>
      <c r="BE45" s="845">
        <v>0</v>
      </c>
      <c r="BF45" s="661">
        <v>0</v>
      </c>
      <c r="BG45" s="845">
        <v>0</v>
      </c>
      <c r="BH45" s="845">
        <v>0</v>
      </c>
      <c r="BI45" s="845">
        <v>0</v>
      </c>
      <c r="BJ45" s="845">
        <v>0</v>
      </c>
      <c r="BK45" s="661">
        <v>0</v>
      </c>
      <c r="BL45" s="845">
        <v>0</v>
      </c>
      <c r="BM45" s="845">
        <v>0</v>
      </c>
      <c r="BN45" s="845">
        <v>0</v>
      </c>
      <c r="BO45" s="845">
        <v>0</v>
      </c>
      <c r="BP45" s="661">
        <v>0</v>
      </c>
      <c r="BQ45" s="1231">
        <v>0</v>
      </c>
      <c r="BR45" s="1231">
        <v>0</v>
      </c>
      <c r="BS45" s="1231">
        <v>0</v>
      </c>
      <c r="BT45" s="845">
        <v>0</v>
      </c>
      <c r="BU45" s="661">
        <f>+BT45</f>
        <v>0</v>
      </c>
      <c r="BV45" s="1231">
        <v>0</v>
      </c>
      <c r="BW45" s="1231">
        <v>0</v>
      </c>
      <c r="BX45" s="1231">
        <v>0</v>
      </c>
      <c r="BY45" s="756">
        <v>0</v>
      </c>
      <c r="BZ45" s="661">
        <f>+BY45</f>
        <v>0</v>
      </c>
      <c r="CA45" s="1231">
        <v>0</v>
      </c>
      <c r="CB45" s="1231">
        <v>0</v>
      </c>
      <c r="CC45" s="1231">
        <v>0</v>
      </c>
      <c r="CD45" s="1231">
        <v>0</v>
      </c>
      <c r="CE45" s="661">
        <f>+CD45</f>
        <v>0</v>
      </c>
      <c r="CF45" s="1231">
        <v>0</v>
      </c>
      <c r="CG45" s="1231">
        <v>0</v>
      </c>
      <c r="CH45" s="1231">
        <v>0</v>
      </c>
      <c r="CI45" s="1231">
        <v>0</v>
      </c>
      <c r="CJ45" s="661">
        <f>+CI45</f>
        <v>0</v>
      </c>
      <c r="CK45" s="3501"/>
      <c r="CL45" s="3518"/>
      <c r="CM45" s="3518"/>
      <c r="CN45" s="3518"/>
      <c r="CO45" s="661">
        <f>+CN45</f>
        <v>0</v>
      </c>
      <c r="CP45" s="3501"/>
      <c r="CQ45" s="3518"/>
      <c r="CR45" s="1261"/>
      <c r="CS45" s="1261"/>
      <c r="CT45" s="1243"/>
      <c r="CU45" s="1243"/>
      <c r="CV45" s="1243"/>
    </row>
    <row r="46" spans="1:108" x14ac:dyDescent="0.2">
      <c r="A46" s="1436" t="s">
        <v>2190</v>
      </c>
      <c r="B46" s="1240"/>
      <c r="C46" s="1241"/>
      <c r="D46" s="758"/>
      <c r="E46" s="758"/>
      <c r="F46" s="758"/>
      <c r="G46" s="758"/>
      <c r="H46" s="752"/>
      <c r="I46" s="845"/>
      <c r="J46" s="845"/>
      <c r="K46" s="845"/>
      <c r="L46" s="845"/>
      <c r="M46" s="661"/>
      <c r="N46" s="845"/>
      <c r="O46" s="845"/>
      <c r="P46" s="845"/>
      <c r="Q46" s="845"/>
      <c r="R46" s="661"/>
      <c r="S46" s="845"/>
      <c r="T46" s="845"/>
      <c r="U46" s="845"/>
      <c r="V46" s="845"/>
      <c r="W46" s="661"/>
      <c r="X46" s="845"/>
      <c r="Y46" s="845"/>
      <c r="Z46" s="845"/>
      <c r="AA46" s="845"/>
      <c r="AB46" s="661"/>
      <c r="AC46" s="845"/>
      <c r="AD46" s="845"/>
      <c r="AE46" s="845"/>
      <c r="AF46" s="845"/>
      <c r="AG46" s="661"/>
      <c r="AH46" s="845"/>
      <c r="AI46" s="845"/>
      <c r="AJ46" s="845"/>
      <c r="AK46" s="845"/>
      <c r="AL46" s="661"/>
      <c r="AM46" s="756"/>
      <c r="AN46" s="756"/>
      <c r="AO46" s="756"/>
      <c r="AP46" s="754"/>
      <c r="AQ46" s="661"/>
      <c r="AR46" s="845"/>
      <c r="AS46" s="845"/>
      <c r="AT46" s="845"/>
      <c r="AU46" s="845"/>
      <c r="AV46" s="661"/>
      <c r="AW46" s="845"/>
      <c r="AX46" s="845"/>
      <c r="AY46" s="845"/>
      <c r="AZ46" s="845"/>
      <c r="BA46" s="661"/>
      <c r="BB46" s="845"/>
      <c r="BC46" s="845"/>
      <c r="BD46" s="845"/>
      <c r="BE46" s="845"/>
      <c r="BF46" s="661"/>
      <c r="BG46" s="845"/>
      <c r="BH46" s="845"/>
      <c r="BI46" s="845"/>
      <c r="BJ46" s="845"/>
      <c r="BK46" s="661"/>
      <c r="BL46" s="845"/>
      <c r="BM46" s="845"/>
      <c r="BN46" s="845"/>
      <c r="BO46" s="845">
        <v>5</v>
      </c>
      <c r="BP46" s="661">
        <f t="shared" si="30"/>
        <v>5</v>
      </c>
      <c r="BQ46" s="1231">
        <v>5</v>
      </c>
      <c r="BR46" s="1231">
        <v>5</v>
      </c>
      <c r="BS46" s="1231">
        <v>5</v>
      </c>
      <c r="BT46" s="845">
        <v>5</v>
      </c>
      <c r="BU46" s="661">
        <f t="shared" si="31"/>
        <v>5</v>
      </c>
      <c r="BV46" s="1231">
        <v>5</v>
      </c>
      <c r="BW46" s="1231">
        <v>5</v>
      </c>
      <c r="BX46" s="1231">
        <v>5</v>
      </c>
      <c r="BY46" s="756">
        <v>5</v>
      </c>
      <c r="BZ46" s="661">
        <f t="shared" si="32"/>
        <v>5</v>
      </c>
      <c r="CA46" s="1231">
        <v>5</v>
      </c>
      <c r="CB46" s="1231">
        <v>5</v>
      </c>
      <c r="CC46" s="1231">
        <v>5</v>
      </c>
      <c r="CD46" s="1231">
        <v>5</v>
      </c>
      <c r="CE46" s="661">
        <f t="shared" si="33"/>
        <v>5</v>
      </c>
      <c r="CF46" s="1231">
        <v>5</v>
      </c>
      <c r="CG46" s="1231">
        <v>5</v>
      </c>
      <c r="CH46" s="1231">
        <v>5</v>
      </c>
      <c r="CI46" s="1231">
        <v>5</v>
      </c>
      <c r="CJ46" s="661">
        <f t="shared" si="28"/>
        <v>5</v>
      </c>
      <c r="CK46" s="3501">
        <v>5</v>
      </c>
      <c r="CL46" s="3518">
        <v>5</v>
      </c>
      <c r="CM46" s="3518">
        <v>5</v>
      </c>
      <c r="CN46" s="3518">
        <v>5</v>
      </c>
      <c r="CO46" s="661">
        <f t="shared" si="29"/>
        <v>5</v>
      </c>
      <c r="CP46" s="3501"/>
      <c r="CQ46" s="3518"/>
      <c r="CR46" s="1261"/>
      <c r="CS46" s="1261"/>
      <c r="CT46" s="1243"/>
      <c r="CU46" s="1243"/>
      <c r="CV46" s="1243"/>
    </row>
    <row r="47" spans="1:108" x14ac:dyDescent="0.2">
      <c r="A47" s="1436" t="s">
        <v>510</v>
      </c>
      <c r="B47" s="1240"/>
      <c r="C47" s="1241"/>
      <c r="D47" s="758"/>
      <c r="E47" s="758"/>
      <c r="F47" s="758"/>
      <c r="G47" s="758"/>
      <c r="H47" s="752"/>
      <c r="I47" s="845">
        <f>+I917-I80</f>
        <v>22</v>
      </c>
      <c r="J47" s="845">
        <f>+J917-J80</f>
        <v>24</v>
      </c>
      <c r="K47" s="845">
        <f>+K917-K80</f>
        <v>26</v>
      </c>
      <c r="L47" s="845">
        <f>+L917-L80</f>
        <v>26</v>
      </c>
      <c r="M47" s="661">
        <f>L47</f>
        <v>26</v>
      </c>
      <c r="N47" s="845">
        <f>+N917-N80</f>
        <v>28</v>
      </c>
      <c r="O47" s="845">
        <f>+O917-O80</f>
        <v>30</v>
      </c>
      <c r="P47" s="845">
        <v>30</v>
      </c>
      <c r="Q47" s="845">
        <v>32</v>
      </c>
      <c r="R47" s="661">
        <f>Q47</f>
        <v>32</v>
      </c>
      <c r="S47" s="845">
        <v>33</v>
      </c>
      <c r="T47" s="845">
        <v>34</v>
      </c>
      <c r="U47" s="845">
        <v>35</v>
      </c>
      <c r="V47" s="845">
        <v>35</v>
      </c>
      <c r="W47" s="661">
        <f>V47</f>
        <v>35</v>
      </c>
      <c r="X47" s="845">
        <v>35</v>
      </c>
      <c r="Y47" s="845">
        <v>35</v>
      </c>
      <c r="Z47" s="845">
        <v>35</v>
      </c>
      <c r="AA47" s="845">
        <v>35</v>
      </c>
      <c r="AB47" s="661">
        <f>+AA47</f>
        <v>35</v>
      </c>
      <c r="AC47" s="845">
        <v>35</v>
      </c>
      <c r="AD47" s="845">
        <v>35</v>
      </c>
      <c r="AE47" s="845">
        <v>35</v>
      </c>
      <c r="AF47" s="845">
        <v>35</v>
      </c>
      <c r="AG47" s="661">
        <f>+AF47</f>
        <v>35</v>
      </c>
      <c r="AH47" s="845">
        <v>35</v>
      </c>
      <c r="AI47" s="845">
        <v>35</v>
      </c>
      <c r="AJ47" s="845">
        <v>35</v>
      </c>
      <c r="AK47" s="845">
        <v>35</v>
      </c>
      <c r="AL47" s="661">
        <f>+AK47</f>
        <v>35</v>
      </c>
      <c r="AM47" s="756">
        <v>34</v>
      </c>
      <c r="AN47" s="756">
        <v>34</v>
      </c>
      <c r="AO47" s="756">
        <v>35</v>
      </c>
      <c r="AP47" s="754">
        <v>36</v>
      </c>
      <c r="AQ47" s="661">
        <f>+AP47</f>
        <v>36</v>
      </c>
      <c r="AR47" s="845">
        <v>36</v>
      </c>
      <c r="AS47" s="845">
        <v>36</v>
      </c>
      <c r="AT47" s="845">
        <v>37</v>
      </c>
      <c r="AU47" s="845">
        <v>37</v>
      </c>
      <c r="AV47" s="661">
        <f>+AU47</f>
        <v>37</v>
      </c>
      <c r="AW47" s="845">
        <v>37</v>
      </c>
      <c r="AX47" s="845">
        <v>37</v>
      </c>
      <c r="AY47" s="845">
        <v>37</v>
      </c>
      <c r="AZ47" s="845">
        <v>40</v>
      </c>
      <c r="BA47" s="661">
        <f>+AZ47</f>
        <v>40</v>
      </c>
      <c r="BB47" s="845">
        <v>40</v>
      </c>
      <c r="BC47" s="845">
        <v>39</v>
      </c>
      <c r="BD47" s="845">
        <v>39</v>
      </c>
      <c r="BE47" s="845">
        <v>39</v>
      </c>
      <c r="BF47" s="661">
        <f>+BE47</f>
        <v>39</v>
      </c>
      <c r="BG47" s="845">
        <v>39</v>
      </c>
      <c r="BH47" s="845">
        <v>39</v>
      </c>
      <c r="BI47" s="845">
        <v>39</v>
      </c>
      <c r="BJ47" s="845">
        <v>39</v>
      </c>
      <c r="BK47" s="661">
        <f>+BJ47</f>
        <v>39</v>
      </c>
      <c r="BL47" s="845">
        <v>39</v>
      </c>
      <c r="BM47" s="845">
        <v>39</v>
      </c>
      <c r="BN47" s="845">
        <v>39</v>
      </c>
      <c r="BO47" s="845">
        <v>38</v>
      </c>
      <c r="BP47" s="661">
        <f t="shared" si="30"/>
        <v>38</v>
      </c>
      <c r="BQ47" s="1231">
        <v>38</v>
      </c>
      <c r="BR47" s="1231">
        <v>38</v>
      </c>
      <c r="BS47" s="1231">
        <v>37</v>
      </c>
      <c r="BT47" s="845">
        <v>37</v>
      </c>
      <c r="BU47" s="661">
        <f t="shared" si="31"/>
        <v>37</v>
      </c>
      <c r="BV47" s="1231">
        <v>37</v>
      </c>
      <c r="BW47" s="1231">
        <v>38</v>
      </c>
      <c r="BX47" s="1231">
        <v>38</v>
      </c>
      <c r="BY47" s="756">
        <v>39</v>
      </c>
      <c r="BZ47" s="661">
        <f t="shared" si="32"/>
        <v>39</v>
      </c>
      <c r="CA47" s="1231">
        <v>40</v>
      </c>
      <c r="CB47" s="1231">
        <v>40</v>
      </c>
      <c r="CC47" s="1231">
        <v>39</v>
      </c>
      <c r="CD47" s="1231">
        <v>39</v>
      </c>
      <c r="CE47" s="661">
        <f t="shared" si="33"/>
        <v>39</v>
      </c>
      <c r="CF47" s="1231">
        <v>39</v>
      </c>
      <c r="CG47" s="1231">
        <v>39</v>
      </c>
      <c r="CH47" s="1231">
        <v>39</v>
      </c>
      <c r="CI47" s="1231">
        <v>39</v>
      </c>
      <c r="CJ47" s="661">
        <f t="shared" si="28"/>
        <v>39</v>
      </c>
      <c r="CK47" s="3501">
        <v>39</v>
      </c>
      <c r="CL47" s="3518">
        <v>39</v>
      </c>
      <c r="CM47" s="3518">
        <v>40</v>
      </c>
      <c r="CN47" s="3518">
        <v>39</v>
      </c>
      <c r="CO47" s="661">
        <f t="shared" si="29"/>
        <v>39</v>
      </c>
      <c r="CP47" s="3501"/>
      <c r="CQ47" s="3518"/>
      <c r="CR47" s="1261"/>
      <c r="CS47" s="1261"/>
      <c r="CT47" s="1243"/>
      <c r="CU47" s="1243"/>
      <c r="CV47" s="1243"/>
    </row>
    <row r="48" spans="1:108" outlineLevel="1" x14ac:dyDescent="0.2">
      <c r="A48" s="1436" t="s">
        <v>511</v>
      </c>
      <c r="B48" s="1240"/>
      <c r="C48" s="1241"/>
      <c r="D48" s="758"/>
      <c r="E48" s="758"/>
      <c r="F48" s="758"/>
      <c r="G48" s="758"/>
      <c r="H48" s="752"/>
      <c r="I48" s="845">
        <v>0</v>
      </c>
      <c r="J48" s="845">
        <v>0</v>
      </c>
      <c r="K48" s="845">
        <v>0</v>
      </c>
      <c r="L48" s="845">
        <v>0</v>
      </c>
      <c r="M48" s="661">
        <v>0</v>
      </c>
      <c r="N48" s="845">
        <v>0</v>
      </c>
      <c r="O48" s="845">
        <v>0</v>
      </c>
      <c r="P48" s="845">
        <v>0</v>
      </c>
      <c r="Q48" s="845">
        <v>0</v>
      </c>
      <c r="R48" s="661">
        <v>0</v>
      </c>
      <c r="S48" s="845">
        <v>0</v>
      </c>
      <c r="T48" s="845">
        <v>0</v>
      </c>
      <c r="U48" s="845">
        <v>0</v>
      </c>
      <c r="V48" s="845">
        <v>0</v>
      </c>
      <c r="W48" s="661">
        <v>0</v>
      </c>
      <c r="X48" s="845">
        <v>0</v>
      </c>
      <c r="Y48" s="845">
        <v>0</v>
      </c>
      <c r="Z48" s="845">
        <v>0</v>
      </c>
      <c r="AA48" s="845">
        <v>0</v>
      </c>
      <c r="AB48" s="661">
        <v>0</v>
      </c>
      <c r="AC48" s="845">
        <v>0</v>
      </c>
      <c r="AD48" s="845">
        <v>0</v>
      </c>
      <c r="AE48" s="845">
        <v>0</v>
      </c>
      <c r="AF48" s="845">
        <v>0</v>
      </c>
      <c r="AG48" s="661">
        <v>0</v>
      </c>
      <c r="AH48" s="845">
        <v>0</v>
      </c>
      <c r="AI48" s="845">
        <v>0</v>
      </c>
      <c r="AJ48" s="845">
        <v>0</v>
      </c>
      <c r="AK48" s="845">
        <v>0</v>
      </c>
      <c r="AL48" s="661">
        <v>0</v>
      </c>
      <c r="AM48" s="756">
        <v>0</v>
      </c>
      <c r="AN48" s="756">
        <v>0</v>
      </c>
      <c r="AO48" s="756">
        <v>0</v>
      </c>
      <c r="AP48" s="754">
        <v>0</v>
      </c>
      <c r="AQ48" s="661">
        <v>0</v>
      </c>
      <c r="AR48" s="845">
        <v>0</v>
      </c>
      <c r="AS48" s="845">
        <v>0</v>
      </c>
      <c r="AT48" s="845">
        <v>0</v>
      </c>
      <c r="AU48" s="845">
        <v>0</v>
      </c>
      <c r="AV48" s="661">
        <v>0</v>
      </c>
      <c r="AW48" s="845">
        <v>0</v>
      </c>
      <c r="AX48" s="845">
        <v>0</v>
      </c>
      <c r="AY48" s="845">
        <v>0</v>
      </c>
      <c r="AZ48" s="845">
        <v>0</v>
      </c>
      <c r="BA48" s="661">
        <v>0</v>
      </c>
      <c r="BB48" s="845">
        <v>0</v>
      </c>
      <c r="BC48" s="845">
        <v>0</v>
      </c>
      <c r="BD48" s="845">
        <v>0</v>
      </c>
      <c r="BE48" s="845">
        <v>0</v>
      </c>
      <c r="BF48" s="661">
        <v>0</v>
      </c>
      <c r="BG48" s="845">
        <v>0</v>
      </c>
      <c r="BH48" s="845">
        <v>0</v>
      </c>
      <c r="BI48" s="845">
        <v>0</v>
      </c>
      <c r="BJ48" s="845">
        <v>0</v>
      </c>
      <c r="BK48" s="661">
        <v>0</v>
      </c>
      <c r="BL48" s="845"/>
      <c r="BM48" s="845"/>
      <c r="BN48" s="845"/>
      <c r="BO48" s="845">
        <v>0</v>
      </c>
      <c r="BP48" s="661">
        <f t="shared" si="30"/>
        <v>0</v>
      </c>
      <c r="BQ48" s="1231">
        <v>0</v>
      </c>
      <c r="BR48" s="1231">
        <v>0</v>
      </c>
      <c r="BS48" s="1231">
        <v>0</v>
      </c>
      <c r="BT48" s="845">
        <v>0</v>
      </c>
      <c r="BU48" s="661">
        <f t="shared" si="31"/>
        <v>0</v>
      </c>
      <c r="BV48" s="1231">
        <v>0</v>
      </c>
      <c r="BW48" s="1231">
        <v>0</v>
      </c>
      <c r="BX48" s="1231">
        <v>0</v>
      </c>
      <c r="BY48" s="756">
        <v>0</v>
      </c>
      <c r="BZ48" s="661">
        <f t="shared" si="32"/>
        <v>0</v>
      </c>
      <c r="CA48" s="1231">
        <v>0</v>
      </c>
      <c r="CB48" s="1231">
        <v>0</v>
      </c>
      <c r="CC48" s="1231">
        <v>0</v>
      </c>
      <c r="CD48" s="1231">
        <v>0</v>
      </c>
      <c r="CE48" s="661">
        <f t="shared" si="33"/>
        <v>0</v>
      </c>
      <c r="CF48" s="1231">
        <v>0</v>
      </c>
      <c r="CG48" s="1231">
        <v>0</v>
      </c>
      <c r="CH48" s="1231">
        <v>0</v>
      </c>
      <c r="CI48" s="1231">
        <v>0</v>
      </c>
      <c r="CJ48" s="661">
        <f t="shared" si="28"/>
        <v>0</v>
      </c>
      <c r="CK48" s="3501"/>
      <c r="CL48" s="3518"/>
      <c r="CM48" s="3518"/>
      <c r="CN48" s="3518"/>
      <c r="CO48" s="661">
        <f t="shared" si="29"/>
        <v>0</v>
      </c>
      <c r="CP48" s="3501"/>
      <c r="CQ48" s="3518"/>
      <c r="CR48" s="1261"/>
      <c r="CS48" s="1261"/>
      <c r="CT48" s="1243"/>
      <c r="CU48" s="1243"/>
      <c r="CV48" s="1243"/>
    </row>
    <row r="49" spans="1:100" x14ac:dyDescent="0.2">
      <c r="A49" s="1436" t="s">
        <v>383</v>
      </c>
      <c r="B49" s="1240"/>
      <c r="C49" s="1241"/>
      <c r="D49" s="758"/>
      <c r="E49" s="758"/>
      <c r="F49" s="758"/>
      <c r="G49" s="758"/>
      <c r="H49" s="752"/>
      <c r="I49" s="845">
        <v>0</v>
      </c>
      <c r="J49" s="845">
        <v>0</v>
      </c>
      <c r="K49" s="845">
        <v>0</v>
      </c>
      <c r="L49" s="845">
        <v>0</v>
      </c>
      <c r="M49" s="661">
        <v>0</v>
      </c>
      <c r="N49" s="845">
        <v>0</v>
      </c>
      <c r="O49" s="845">
        <v>0</v>
      </c>
      <c r="P49" s="845">
        <v>0</v>
      </c>
      <c r="Q49" s="845">
        <v>0</v>
      </c>
      <c r="R49" s="661">
        <v>0</v>
      </c>
      <c r="S49" s="845">
        <v>0</v>
      </c>
      <c r="T49" s="845">
        <v>0</v>
      </c>
      <c r="U49" s="845">
        <v>0</v>
      </c>
      <c r="V49" s="845">
        <v>0</v>
      </c>
      <c r="W49" s="661">
        <v>0</v>
      </c>
      <c r="X49" s="845">
        <v>0</v>
      </c>
      <c r="Y49" s="845">
        <v>0</v>
      </c>
      <c r="Z49" s="845">
        <v>0</v>
      </c>
      <c r="AA49" s="845">
        <v>0</v>
      </c>
      <c r="AB49" s="661">
        <v>0</v>
      </c>
      <c r="AC49" s="845">
        <v>0</v>
      </c>
      <c r="AD49" s="845">
        <v>0</v>
      </c>
      <c r="AE49" s="845">
        <v>0</v>
      </c>
      <c r="AF49" s="845">
        <v>0</v>
      </c>
      <c r="AG49" s="661">
        <v>0</v>
      </c>
      <c r="AH49" s="845">
        <v>0</v>
      </c>
      <c r="AI49" s="845">
        <v>0</v>
      </c>
      <c r="AJ49" s="845">
        <v>0</v>
      </c>
      <c r="AK49" s="845">
        <v>0</v>
      </c>
      <c r="AL49" s="661">
        <v>0</v>
      </c>
      <c r="AM49" s="756">
        <v>0</v>
      </c>
      <c r="AN49" s="756">
        <v>0</v>
      </c>
      <c r="AO49" s="756">
        <v>0</v>
      </c>
      <c r="AP49" s="754">
        <v>0</v>
      </c>
      <c r="AQ49" s="661">
        <v>0</v>
      </c>
      <c r="AR49" s="845">
        <v>0</v>
      </c>
      <c r="AS49" s="845">
        <v>0</v>
      </c>
      <c r="AT49" s="845">
        <v>0</v>
      </c>
      <c r="AU49" s="845">
        <v>0</v>
      </c>
      <c r="AV49" s="661">
        <v>0</v>
      </c>
      <c r="AW49" s="845">
        <v>0</v>
      </c>
      <c r="AX49" s="845">
        <v>0</v>
      </c>
      <c r="AY49" s="845">
        <v>0</v>
      </c>
      <c r="AZ49" s="845">
        <v>0</v>
      </c>
      <c r="BA49" s="661">
        <v>0</v>
      </c>
      <c r="BB49" s="845">
        <v>0</v>
      </c>
      <c r="BC49" s="845">
        <v>0</v>
      </c>
      <c r="BD49" s="845">
        <v>0</v>
      </c>
      <c r="BE49" s="845">
        <v>1</v>
      </c>
      <c r="BF49" s="661">
        <f>+BE49</f>
        <v>1</v>
      </c>
      <c r="BG49" s="845">
        <v>1</v>
      </c>
      <c r="BH49" s="845">
        <v>1</v>
      </c>
      <c r="BI49" s="845">
        <v>0</v>
      </c>
      <c r="BJ49" s="845">
        <v>0</v>
      </c>
      <c r="BK49" s="661">
        <f>+BJ49</f>
        <v>0</v>
      </c>
      <c r="BL49" s="845"/>
      <c r="BM49" s="845"/>
      <c r="BN49" s="845"/>
      <c r="BO49" s="845">
        <v>0</v>
      </c>
      <c r="BP49" s="661">
        <f t="shared" si="30"/>
        <v>0</v>
      </c>
      <c r="BQ49" s="1231">
        <v>0</v>
      </c>
      <c r="BR49" s="1231">
        <v>0</v>
      </c>
      <c r="BS49" s="1231">
        <v>0</v>
      </c>
      <c r="BT49" s="845">
        <v>0</v>
      </c>
      <c r="BU49" s="661">
        <f t="shared" si="31"/>
        <v>0</v>
      </c>
      <c r="BV49" s="1231">
        <v>0</v>
      </c>
      <c r="BW49" s="1231">
        <v>0</v>
      </c>
      <c r="BX49" s="1231">
        <v>0</v>
      </c>
      <c r="BY49" s="756">
        <v>0</v>
      </c>
      <c r="BZ49" s="661">
        <f t="shared" si="32"/>
        <v>0</v>
      </c>
      <c r="CA49" s="1231">
        <v>1</v>
      </c>
      <c r="CB49" s="1231">
        <v>2</v>
      </c>
      <c r="CC49" s="1231">
        <v>2</v>
      </c>
      <c r="CD49" s="1231">
        <v>2</v>
      </c>
      <c r="CE49" s="661">
        <f t="shared" si="33"/>
        <v>2</v>
      </c>
      <c r="CF49" s="1231">
        <v>2</v>
      </c>
      <c r="CG49" s="1231">
        <v>2</v>
      </c>
      <c r="CH49" s="1231">
        <v>2</v>
      </c>
      <c r="CI49" s="1231">
        <v>2</v>
      </c>
      <c r="CJ49" s="661">
        <f t="shared" si="28"/>
        <v>2</v>
      </c>
      <c r="CK49" s="3501">
        <v>2</v>
      </c>
      <c r="CL49" s="3518">
        <v>2</v>
      </c>
      <c r="CM49" s="3518">
        <v>2</v>
      </c>
      <c r="CN49" s="3518">
        <v>2</v>
      </c>
      <c r="CO49" s="661">
        <f t="shared" si="29"/>
        <v>2</v>
      </c>
      <c r="CP49" s="3501"/>
      <c r="CQ49" s="3518"/>
      <c r="CR49" s="1261"/>
      <c r="CS49" s="1261"/>
      <c r="CT49" s="1243"/>
      <c r="CU49" s="1243"/>
      <c r="CV49" s="1243"/>
    </row>
    <row r="50" spans="1:100" outlineLevel="1" x14ac:dyDescent="0.2">
      <c r="A50" s="1436" t="s">
        <v>656</v>
      </c>
      <c r="B50" s="1240"/>
      <c r="C50" s="1241"/>
      <c r="D50" s="758"/>
      <c r="E50" s="758"/>
      <c r="F50" s="758"/>
      <c r="G50" s="758"/>
      <c r="H50" s="752"/>
      <c r="I50" s="845">
        <v>0</v>
      </c>
      <c r="J50" s="845">
        <v>0</v>
      </c>
      <c r="K50" s="845">
        <v>0</v>
      </c>
      <c r="L50" s="845">
        <v>0</v>
      </c>
      <c r="M50" s="661">
        <v>0</v>
      </c>
      <c r="N50" s="845">
        <v>0</v>
      </c>
      <c r="O50" s="845">
        <v>0</v>
      </c>
      <c r="P50" s="845">
        <v>0</v>
      </c>
      <c r="Q50" s="845">
        <v>0</v>
      </c>
      <c r="R50" s="661">
        <v>0</v>
      </c>
      <c r="S50" s="845">
        <v>0</v>
      </c>
      <c r="T50" s="845">
        <v>0</v>
      </c>
      <c r="U50" s="845">
        <v>0</v>
      </c>
      <c r="V50" s="845">
        <v>0</v>
      </c>
      <c r="W50" s="661">
        <v>0</v>
      </c>
      <c r="X50" s="845">
        <v>0</v>
      </c>
      <c r="Y50" s="845">
        <v>0</v>
      </c>
      <c r="Z50" s="845">
        <v>0</v>
      </c>
      <c r="AA50" s="845">
        <v>0</v>
      </c>
      <c r="AB50" s="661">
        <v>0</v>
      </c>
      <c r="AC50" s="845">
        <v>0</v>
      </c>
      <c r="AD50" s="845">
        <v>0</v>
      </c>
      <c r="AE50" s="845">
        <v>0</v>
      </c>
      <c r="AF50" s="845">
        <v>0</v>
      </c>
      <c r="AG50" s="661">
        <v>0</v>
      </c>
      <c r="AH50" s="845">
        <v>0</v>
      </c>
      <c r="AI50" s="845">
        <v>0</v>
      </c>
      <c r="AJ50" s="845">
        <v>0</v>
      </c>
      <c r="AK50" s="845">
        <v>0</v>
      </c>
      <c r="AL50" s="661">
        <v>0</v>
      </c>
      <c r="AM50" s="756">
        <v>0</v>
      </c>
      <c r="AN50" s="756">
        <v>0</v>
      </c>
      <c r="AO50" s="756">
        <v>0</v>
      </c>
      <c r="AP50" s="754">
        <v>0</v>
      </c>
      <c r="AQ50" s="661">
        <v>0</v>
      </c>
      <c r="AR50" s="845">
        <v>0</v>
      </c>
      <c r="AS50" s="845">
        <v>0</v>
      </c>
      <c r="AT50" s="845">
        <v>0</v>
      </c>
      <c r="AU50" s="845">
        <v>0</v>
      </c>
      <c r="AV50" s="661">
        <v>0</v>
      </c>
      <c r="AW50" s="845">
        <v>0</v>
      </c>
      <c r="AX50" s="845">
        <v>0</v>
      </c>
      <c r="AY50" s="845">
        <v>0</v>
      </c>
      <c r="AZ50" s="845">
        <v>0</v>
      </c>
      <c r="BA50" s="661">
        <v>0</v>
      </c>
      <c r="BB50" s="845">
        <v>0</v>
      </c>
      <c r="BC50" s="845">
        <v>0</v>
      </c>
      <c r="BD50" s="845">
        <v>0</v>
      </c>
      <c r="BE50" s="845">
        <v>0</v>
      </c>
      <c r="BF50" s="661">
        <v>0</v>
      </c>
      <c r="BG50" s="845">
        <v>0</v>
      </c>
      <c r="BH50" s="845">
        <v>0</v>
      </c>
      <c r="BI50" s="845">
        <v>0</v>
      </c>
      <c r="BJ50" s="845">
        <v>0</v>
      </c>
      <c r="BK50" s="661">
        <v>0</v>
      </c>
      <c r="BL50" s="845"/>
      <c r="BM50" s="845"/>
      <c r="BN50" s="845"/>
      <c r="BO50" s="845">
        <v>0</v>
      </c>
      <c r="BP50" s="661">
        <f t="shared" si="30"/>
        <v>0</v>
      </c>
      <c r="BQ50" s="1231">
        <v>0</v>
      </c>
      <c r="BR50" s="1231">
        <v>0</v>
      </c>
      <c r="BS50" s="1231">
        <v>0</v>
      </c>
      <c r="BT50" s="845">
        <v>0</v>
      </c>
      <c r="BU50" s="661">
        <f t="shared" si="31"/>
        <v>0</v>
      </c>
      <c r="BV50" s="1231">
        <v>0</v>
      </c>
      <c r="BW50" s="1231">
        <v>0</v>
      </c>
      <c r="BX50" s="1231">
        <v>0</v>
      </c>
      <c r="BY50" s="756">
        <v>0</v>
      </c>
      <c r="BZ50" s="661">
        <f t="shared" si="32"/>
        <v>0</v>
      </c>
      <c r="CA50" s="1231">
        <v>0</v>
      </c>
      <c r="CB50" s="1231">
        <v>0</v>
      </c>
      <c r="CC50" s="1231">
        <v>0</v>
      </c>
      <c r="CD50" s="1231">
        <v>0</v>
      </c>
      <c r="CE50" s="661">
        <f t="shared" si="33"/>
        <v>0</v>
      </c>
      <c r="CF50" s="1231">
        <v>0</v>
      </c>
      <c r="CG50" s="1231">
        <v>0</v>
      </c>
      <c r="CH50" s="1231"/>
      <c r="CI50" s="1231">
        <v>0</v>
      </c>
      <c r="CJ50" s="661">
        <f t="shared" si="28"/>
        <v>0</v>
      </c>
      <c r="CK50" s="3501"/>
      <c r="CL50" s="3518"/>
      <c r="CM50" s="3518"/>
      <c r="CN50" s="3518"/>
      <c r="CO50" s="661">
        <f t="shared" si="29"/>
        <v>0</v>
      </c>
      <c r="CP50" s="3501"/>
      <c r="CQ50" s="3518"/>
      <c r="CR50" s="1261"/>
      <c r="CS50" s="1261"/>
      <c r="CT50" s="1243"/>
      <c r="CU50" s="1243"/>
      <c r="CV50" s="1243"/>
    </row>
    <row r="51" spans="1:100" x14ac:dyDescent="0.2">
      <c r="A51" s="1436" t="s">
        <v>1386</v>
      </c>
      <c r="B51" s="1240"/>
      <c r="C51" s="1241"/>
      <c r="D51" s="758"/>
      <c r="E51" s="758"/>
      <c r="F51" s="758"/>
      <c r="G51" s="758"/>
      <c r="H51" s="752"/>
      <c r="I51" s="845">
        <f>+I924-I84</f>
        <v>229</v>
      </c>
      <c r="J51" s="845">
        <f>+J924-J84</f>
        <v>231</v>
      </c>
      <c r="K51" s="845">
        <f>+K924-K84</f>
        <v>236</v>
      </c>
      <c r="L51" s="845">
        <f>+L924-L84</f>
        <v>236</v>
      </c>
      <c r="M51" s="661">
        <f t="shared" ref="M51:M56" si="34">L51</f>
        <v>236</v>
      </c>
      <c r="N51" s="845">
        <f>+N924-N84</f>
        <v>238</v>
      </c>
      <c r="O51" s="845">
        <f>+O924-O84</f>
        <v>239</v>
      </c>
      <c r="P51" s="845">
        <v>239</v>
      </c>
      <c r="Q51" s="845">
        <v>241</v>
      </c>
      <c r="R51" s="661">
        <f t="shared" ref="R51:R56" si="35">Q51</f>
        <v>241</v>
      </c>
      <c r="S51" s="845">
        <v>241</v>
      </c>
      <c r="T51" s="845">
        <v>242</v>
      </c>
      <c r="U51" s="845">
        <v>245</v>
      </c>
      <c r="V51" s="845">
        <v>245</v>
      </c>
      <c r="W51" s="661">
        <f t="shared" ref="W51:W56" si="36">V51</f>
        <v>245</v>
      </c>
      <c r="X51" s="845">
        <v>246</v>
      </c>
      <c r="Y51" s="845">
        <v>247</v>
      </c>
      <c r="Z51" s="845">
        <v>248</v>
      </c>
      <c r="AA51" s="845">
        <v>249</v>
      </c>
      <c r="AB51" s="661">
        <f>+AA51</f>
        <v>249</v>
      </c>
      <c r="AC51" s="845">
        <v>251</v>
      </c>
      <c r="AD51" s="845">
        <v>251</v>
      </c>
      <c r="AE51" s="845">
        <v>252</v>
      </c>
      <c r="AF51" s="845">
        <v>253</v>
      </c>
      <c r="AG51" s="661">
        <f>+AF51</f>
        <v>253</v>
      </c>
      <c r="AH51" s="845">
        <v>253</v>
      </c>
      <c r="AI51" s="845">
        <v>254</v>
      </c>
      <c r="AJ51" s="845">
        <v>254</v>
      </c>
      <c r="AK51" s="845">
        <v>250</v>
      </c>
      <c r="AL51" s="661">
        <f>+AK51</f>
        <v>250</v>
      </c>
      <c r="AM51" s="756">
        <v>250</v>
      </c>
      <c r="AN51" s="756">
        <v>250</v>
      </c>
      <c r="AO51" s="756">
        <v>252</v>
      </c>
      <c r="AP51" s="754">
        <v>252</v>
      </c>
      <c r="AQ51" s="661">
        <f>+AP51</f>
        <v>252</v>
      </c>
      <c r="AR51" s="845">
        <v>254</v>
      </c>
      <c r="AS51" s="845">
        <v>255</v>
      </c>
      <c r="AT51" s="845">
        <v>256</v>
      </c>
      <c r="AU51" s="845">
        <v>256</v>
      </c>
      <c r="AV51" s="661">
        <f>+AU51</f>
        <v>256</v>
      </c>
      <c r="AW51" s="845">
        <v>257</v>
      </c>
      <c r="AX51" s="845">
        <v>258</v>
      </c>
      <c r="AY51" s="845">
        <v>260</v>
      </c>
      <c r="AZ51" s="845">
        <v>260</v>
      </c>
      <c r="BA51" s="661">
        <f>+AZ51</f>
        <v>260</v>
      </c>
      <c r="BB51" s="845">
        <v>260</v>
      </c>
      <c r="BC51" s="845">
        <v>261</v>
      </c>
      <c r="BD51" s="845">
        <v>261</v>
      </c>
      <c r="BE51" s="845">
        <v>261</v>
      </c>
      <c r="BF51" s="661">
        <f>+BE51</f>
        <v>261</v>
      </c>
      <c r="BG51" s="845">
        <v>262</v>
      </c>
      <c r="BH51" s="845">
        <v>262</v>
      </c>
      <c r="BI51" s="845">
        <v>262</v>
      </c>
      <c r="BJ51" s="845">
        <v>262</v>
      </c>
      <c r="BK51" s="661">
        <f>+BJ51</f>
        <v>262</v>
      </c>
      <c r="BL51" s="845">
        <v>262</v>
      </c>
      <c r="BM51" s="845">
        <v>261</v>
      </c>
      <c r="BN51" s="845">
        <v>263</v>
      </c>
      <c r="BO51" s="845">
        <v>264</v>
      </c>
      <c r="BP51" s="661">
        <f t="shared" si="30"/>
        <v>264</v>
      </c>
      <c r="BQ51" s="1231">
        <v>259</v>
      </c>
      <c r="BR51" s="1231">
        <v>256</v>
      </c>
      <c r="BS51" s="1231">
        <v>256</v>
      </c>
      <c r="BT51" s="845">
        <v>255</v>
      </c>
      <c r="BU51" s="661">
        <f t="shared" si="31"/>
        <v>255</v>
      </c>
      <c r="BV51" s="1231">
        <v>255</v>
      </c>
      <c r="BW51" s="1231">
        <v>256</v>
      </c>
      <c r="BX51" s="1231">
        <v>257</v>
      </c>
      <c r="BY51" s="756">
        <v>255</v>
      </c>
      <c r="BZ51" s="661">
        <f t="shared" si="32"/>
        <v>255</v>
      </c>
      <c r="CA51" s="756">
        <v>256</v>
      </c>
      <c r="CB51" s="756">
        <v>256</v>
      </c>
      <c r="CC51" s="756">
        <v>257</v>
      </c>
      <c r="CD51" s="756">
        <v>257</v>
      </c>
      <c r="CE51" s="661">
        <f t="shared" si="33"/>
        <v>257</v>
      </c>
      <c r="CF51" s="756">
        <v>256</v>
      </c>
      <c r="CG51" s="756">
        <v>256</v>
      </c>
      <c r="CH51" s="756">
        <v>256</v>
      </c>
      <c r="CI51" s="756">
        <v>256</v>
      </c>
      <c r="CJ51" s="661">
        <f t="shared" si="28"/>
        <v>256</v>
      </c>
      <c r="CK51" s="3501">
        <v>256</v>
      </c>
      <c r="CL51" s="3518">
        <v>255</v>
      </c>
      <c r="CM51" s="3518">
        <v>254</v>
      </c>
      <c r="CN51" s="3518">
        <v>241</v>
      </c>
      <c r="CO51" s="661">
        <f t="shared" si="29"/>
        <v>241</v>
      </c>
      <c r="CP51" s="3501"/>
      <c r="CQ51" s="3518"/>
      <c r="CR51" s="1261"/>
      <c r="CS51" s="1261"/>
      <c r="CT51" s="1243"/>
      <c r="CU51" s="1243"/>
      <c r="CV51" s="1243"/>
    </row>
    <row r="52" spans="1:100" x14ac:dyDescent="0.2">
      <c r="A52" s="1436" t="s">
        <v>1388</v>
      </c>
      <c r="B52" s="1240"/>
      <c r="C52" s="1241"/>
      <c r="D52" s="758"/>
      <c r="E52" s="758"/>
      <c r="F52" s="758"/>
      <c r="G52" s="758"/>
      <c r="H52" s="752"/>
      <c r="I52" s="845">
        <f>+I929-I86</f>
        <v>114</v>
      </c>
      <c r="J52" s="845">
        <f>+J929-J86</f>
        <v>116</v>
      </c>
      <c r="K52" s="845">
        <f>+K929-K86</f>
        <v>119</v>
      </c>
      <c r="L52" s="845">
        <f>+L929-L86</f>
        <v>119</v>
      </c>
      <c r="M52" s="661">
        <f t="shared" si="34"/>
        <v>119</v>
      </c>
      <c r="N52" s="845">
        <f>+N929-N86</f>
        <v>120</v>
      </c>
      <c r="O52" s="845">
        <f>+O929-O86</f>
        <v>119</v>
      </c>
      <c r="P52" s="845">
        <v>122</v>
      </c>
      <c r="Q52" s="845">
        <v>124</v>
      </c>
      <c r="R52" s="661">
        <f t="shared" si="35"/>
        <v>124</v>
      </c>
      <c r="S52" s="845">
        <v>121</v>
      </c>
      <c r="T52" s="845">
        <v>118</v>
      </c>
      <c r="U52" s="845">
        <v>115</v>
      </c>
      <c r="V52" s="845">
        <v>124</v>
      </c>
      <c r="W52" s="661">
        <f t="shared" si="36"/>
        <v>124</v>
      </c>
      <c r="X52" s="845">
        <v>126</v>
      </c>
      <c r="Y52" s="845">
        <v>128</v>
      </c>
      <c r="Z52" s="845">
        <v>131</v>
      </c>
      <c r="AA52" s="845">
        <v>131</v>
      </c>
      <c r="AB52" s="661">
        <f>+AA52</f>
        <v>131</v>
      </c>
      <c r="AC52" s="845">
        <v>131</v>
      </c>
      <c r="AD52" s="845">
        <v>132</v>
      </c>
      <c r="AE52" s="845">
        <v>132</v>
      </c>
      <c r="AF52" s="845">
        <v>134</v>
      </c>
      <c r="AG52" s="661">
        <f>+AF52</f>
        <v>134</v>
      </c>
      <c r="AH52" s="845">
        <v>134</v>
      </c>
      <c r="AI52" s="845">
        <v>134</v>
      </c>
      <c r="AJ52" s="845">
        <v>134</v>
      </c>
      <c r="AK52" s="845">
        <v>135</v>
      </c>
      <c r="AL52" s="661">
        <f>+AK52</f>
        <v>135</v>
      </c>
      <c r="AM52" s="756">
        <v>135</v>
      </c>
      <c r="AN52" s="756">
        <v>134</v>
      </c>
      <c r="AO52" s="756">
        <v>135</v>
      </c>
      <c r="AP52" s="754">
        <v>137</v>
      </c>
      <c r="AQ52" s="661">
        <f>+AP52</f>
        <v>137</v>
      </c>
      <c r="AR52" s="845">
        <v>133</v>
      </c>
      <c r="AS52" s="845">
        <v>132</v>
      </c>
      <c r="AT52" s="845">
        <v>131</v>
      </c>
      <c r="AU52" s="845">
        <v>133</v>
      </c>
      <c r="AV52" s="661">
        <f>+AU52</f>
        <v>133</v>
      </c>
      <c r="AW52" s="845">
        <v>134</v>
      </c>
      <c r="AX52" s="845">
        <v>136</v>
      </c>
      <c r="AY52" s="845">
        <v>138</v>
      </c>
      <c r="AZ52" s="845">
        <v>138</v>
      </c>
      <c r="BA52" s="661">
        <f>+AZ52</f>
        <v>138</v>
      </c>
      <c r="BB52" s="845">
        <v>132</v>
      </c>
      <c r="BC52" s="845">
        <v>132</v>
      </c>
      <c r="BD52" s="845">
        <v>132</v>
      </c>
      <c r="BE52" s="845">
        <v>132</v>
      </c>
      <c r="BF52" s="661">
        <f>+BE52</f>
        <v>132</v>
      </c>
      <c r="BG52" s="845">
        <v>133</v>
      </c>
      <c r="BH52" s="845">
        <v>134</v>
      </c>
      <c r="BI52" s="845">
        <v>134</v>
      </c>
      <c r="BJ52" s="845">
        <v>133</v>
      </c>
      <c r="BK52" s="661">
        <f>+BJ52</f>
        <v>133</v>
      </c>
      <c r="BL52" s="845">
        <v>133</v>
      </c>
      <c r="BM52" s="845">
        <v>131</v>
      </c>
      <c r="BN52" s="845">
        <v>129</v>
      </c>
      <c r="BO52" s="845">
        <v>127</v>
      </c>
      <c r="BP52" s="661">
        <f t="shared" si="30"/>
        <v>127</v>
      </c>
      <c r="BQ52" s="1231">
        <v>127</v>
      </c>
      <c r="BR52" s="1231">
        <v>122</v>
      </c>
      <c r="BS52" s="1231">
        <v>122</v>
      </c>
      <c r="BT52" s="845">
        <v>121</v>
      </c>
      <c r="BU52" s="661">
        <f t="shared" si="31"/>
        <v>121</v>
      </c>
      <c r="BV52" s="1231">
        <v>117</v>
      </c>
      <c r="BW52" s="1231">
        <v>118</v>
      </c>
      <c r="BX52" s="1231">
        <v>106</v>
      </c>
      <c r="BY52" s="756">
        <v>105</v>
      </c>
      <c r="BZ52" s="661">
        <f t="shared" si="32"/>
        <v>105</v>
      </c>
      <c r="CA52" s="756">
        <v>109</v>
      </c>
      <c r="CB52" s="756">
        <v>109</v>
      </c>
      <c r="CC52" s="756">
        <v>110</v>
      </c>
      <c r="CD52" s="756">
        <v>110</v>
      </c>
      <c r="CE52" s="661">
        <f t="shared" si="33"/>
        <v>110</v>
      </c>
      <c r="CF52" s="756">
        <v>112</v>
      </c>
      <c r="CG52" s="756">
        <v>112</v>
      </c>
      <c r="CH52" s="756">
        <v>114</v>
      </c>
      <c r="CI52" s="756">
        <v>114</v>
      </c>
      <c r="CJ52" s="661">
        <f t="shared" si="28"/>
        <v>114</v>
      </c>
      <c r="CK52" s="3501">
        <v>113</v>
      </c>
      <c r="CL52" s="3518">
        <v>112</v>
      </c>
      <c r="CM52" s="3518">
        <v>106</v>
      </c>
      <c r="CN52" s="3518">
        <v>108</v>
      </c>
      <c r="CO52" s="661">
        <f t="shared" si="29"/>
        <v>108</v>
      </c>
      <c r="CP52" s="3501"/>
      <c r="CQ52" s="3518"/>
      <c r="CR52" s="1261"/>
      <c r="CS52" s="1261"/>
      <c r="CT52" s="1243"/>
      <c r="CU52" s="1243"/>
      <c r="CV52" s="1243"/>
    </row>
    <row r="53" spans="1:100" x14ac:dyDescent="0.2">
      <c r="A53" s="1436" t="s">
        <v>1391</v>
      </c>
      <c r="B53" s="1240"/>
      <c r="C53" s="1241"/>
      <c r="D53" s="758"/>
      <c r="E53" s="758"/>
      <c r="F53" s="758"/>
      <c r="G53" s="758"/>
      <c r="H53" s="752"/>
      <c r="I53" s="845">
        <f>+I931-I87</f>
        <v>21</v>
      </c>
      <c r="J53" s="845">
        <f>+J931-J87</f>
        <v>23</v>
      </c>
      <c r="K53" s="845">
        <f>+K931-K87</f>
        <v>23</v>
      </c>
      <c r="L53" s="845">
        <f>+L931-L87</f>
        <v>24</v>
      </c>
      <c r="M53" s="661">
        <f t="shared" si="34"/>
        <v>24</v>
      </c>
      <c r="N53" s="845">
        <f>+N931-N87</f>
        <v>25</v>
      </c>
      <c r="O53" s="845">
        <f>+O931-O87</f>
        <v>25</v>
      </c>
      <c r="P53" s="845">
        <v>25</v>
      </c>
      <c r="Q53" s="845">
        <v>28</v>
      </c>
      <c r="R53" s="661">
        <f t="shared" si="35"/>
        <v>28</v>
      </c>
      <c r="S53" s="845">
        <v>28</v>
      </c>
      <c r="T53" s="845">
        <v>27</v>
      </c>
      <c r="U53" s="845">
        <v>27</v>
      </c>
      <c r="V53" s="845">
        <v>28</v>
      </c>
      <c r="W53" s="661">
        <f t="shared" si="36"/>
        <v>28</v>
      </c>
      <c r="X53" s="845">
        <v>28</v>
      </c>
      <c r="Y53" s="845">
        <v>33</v>
      </c>
      <c r="Z53" s="845">
        <v>34</v>
      </c>
      <c r="AA53" s="845">
        <v>34</v>
      </c>
      <c r="AB53" s="661">
        <f>+AA53</f>
        <v>34</v>
      </c>
      <c r="AC53" s="845">
        <v>34</v>
      </c>
      <c r="AD53" s="845">
        <v>34</v>
      </c>
      <c r="AE53" s="845">
        <v>34</v>
      </c>
      <c r="AF53" s="845">
        <v>34</v>
      </c>
      <c r="AG53" s="661">
        <f>+AF53</f>
        <v>34</v>
      </c>
      <c r="AH53" s="845">
        <v>34</v>
      </c>
      <c r="AI53" s="845">
        <v>34</v>
      </c>
      <c r="AJ53" s="845">
        <v>34</v>
      </c>
      <c r="AK53" s="845">
        <v>34</v>
      </c>
      <c r="AL53" s="661">
        <f>+AK53</f>
        <v>34</v>
      </c>
      <c r="AM53" s="756">
        <v>34</v>
      </c>
      <c r="AN53" s="756">
        <v>34</v>
      </c>
      <c r="AO53" s="756">
        <v>34</v>
      </c>
      <c r="AP53" s="754">
        <v>34</v>
      </c>
      <c r="AQ53" s="661">
        <f>+AP53</f>
        <v>34</v>
      </c>
      <c r="AR53" s="845">
        <v>34</v>
      </c>
      <c r="AS53" s="845">
        <v>34</v>
      </c>
      <c r="AT53" s="845">
        <v>34</v>
      </c>
      <c r="AU53" s="845">
        <v>34</v>
      </c>
      <c r="AV53" s="661">
        <f>+AU53</f>
        <v>34</v>
      </c>
      <c r="AW53" s="845">
        <v>34</v>
      </c>
      <c r="AX53" s="845">
        <v>34</v>
      </c>
      <c r="AY53" s="845">
        <v>34</v>
      </c>
      <c r="AZ53" s="845">
        <v>34</v>
      </c>
      <c r="BA53" s="661">
        <f>+AZ53</f>
        <v>34</v>
      </c>
      <c r="BB53" s="845">
        <v>34</v>
      </c>
      <c r="BC53" s="845">
        <v>34</v>
      </c>
      <c r="BD53" s="845">
        <v>34</v>
      </c>
      <c r="BE53" s="845">
        <v>34</v>
      </c>
      <c r="BF53" s="661">
        <f>+BE53</f>
        <v>34</v>
      </c>
      <c r="BG53" s="845">
        <v>34</v>
      </c>
      <c r="BH53" s="845">
        <v>34</v>
      </c>
      <c r="BI53" s="845">
        <v>34</v>
      </c>
      <c r="BJ53" s="845">
        <v>29</v>
      </c>
      <c r="BK53" s="661">
        <f>+BJ53</f>
        <v>29</v>
      </c>
      <c r="BL53" s="845">
        <v>29</v>
      </c>
      <c r="BM53" s="845">
        <v>22</v>
      </c>
      <c r="BN53" s="845">
        <v>22</v>
      </c>
      <c r="BO53" s="845">
        <v>22</v>
      </c>
      <c r="BP53" s="661">
        <f t="shared" si="30"/>
        <v>22</v>
      </c>
      <c r="BQ53" s="1231">
        <v>22</v>
      </c>
      <c r="BR53" s="1231">
        <v>22</v>
      </c>
      <c r="BS53" s="1231">
        <v>22</v>
      </c>
      <c r="BT53" s="845">
        <v>22</v>
      </c>
      <c r="BU53" s="661">
        <f t="shared" si="31"/>
        <v>22</v>
      </c>
      <c r="BV53" s="1231">
        <v>19</v>
      </c>
      <c r="BW53" s="1231">
        <v>18</v>
      </c>
      <c r="BX53" s="1231">
        <v>17</v>
      </c>
      <c r="BY53" s="756">
        <v>15</v>
      </c>
      <c r="BZ53" s="661">
        <f t="shared" si="32"/>
        <v>15</v>
      </c>
      <c r="CA53" s="1231">
        <v>15</v>
      </c>
      <c r="CB53" s="1231">
        <v>15</v>
      </c>
      <c r="CC53" s="1231">
        <v>15</v>
      </c>
      <c r="CD53" s="1231">
        <v>15</v>
      </c>
      <c r="CE53" s="661">
        <f t="shared" si="33"/>
        <v>15</v>
      </c>
      <c r="CF53" s="1231">
        <v>15</v>
      </c>
      <c r="CG53" s="1231">
        <v>15</v>
      </c>
      <c r="CH53" s="1231">
        <v>15</v>
      </c>
      <c r="CI53" s="1231">
        <v>15</v>
      </c>
      <c r="CJ53" s="661">
        <f t="shared" si="28"/>
        <v>15</v>
      </c>
      <c r="CK53" s="3501">
        <v>15</v>
      </c>
      <c r="CL53" s="3518">
        <v>15</v>
      </c>
      <c r="CM53" s="3518">
        <v>15</v>
      </c>
      <c r="CN53" s="3518">
        <v>16</v>
      </c>
      <c r="CO53" s="661">
        <f t="shared" si="29"/>
        <v>16</v>
      </c>
      <c r="CP53" s="3501"/>
      <c r="CQ53" s="3518"/>
      <c r="CR53" s="1261"/>
      <c r="CS53" s="1261"/>
      <c r="CT53" s="1243"/>
      <c r="CU53" s="1243"/>
      <c r="CV53" s="1243"/>
    </row>
    <row r="54" spans="1:100" x14ac:dyDescent="0.2">
      <c r="A54" s="1436" t="s">
        <v>1389</v>
      </c>
      <c r="B54" s="1240"/>
      <c r="C54" s="1241"/>
      <c r="D54" s="758"/>
      <c r="E54" s="758"/>
      <c r="F54" s="758"/>
      <c r="G54" s="758"/>
      <c r="H54" s="752"/>
      <c r="I54" s="845">
        <f>+I926-I85</f>
        <v>52</v>
      </c>
      <c r="J54" s="845">
        <f>+J926-J85</f>
        <v>52</v>
      </c>
      <c r="K54" s="845">
        <f>+K926-K85</f>
        <v>52</v>
      </c>
      <c r="L54" s="845">
        <f>+L926-L85</f>
        <v>1</v>
      </c>
      <c r="M54" s="661">
        <f t="shared" si="34"/>
        <v>1</v>
      </c>
      <c r="N54" s="845">
        <f>+N926-N85</f>
        <v>1</v>
      </c>
      <c r="O54" s="845">
        <f>+O926-O85</f>
        <v>1</v>
      </c>
      <c r="P54" s="845">
        <v>1</v>
      </c>
      <c r="Q54" s="845">
        <v>1</v>
      </c>
      <c r="R54" s="661">
        <f t="shared" si="35"/>
        <v>1</v>
      </c>
      <c r="S54" s="845">
        <v>1</v>
      </c>
      <c r="T54" s="845">
        <v>1</v>
      </c>
      <c r="U54" s="845">
        <v>1</v>
      </c>
      <c r="V54" s="845">
        <v>1</v>
      </c>
      <c r="W54" s="661">
        <f t="shared" si="36"/>
        <v>1</v>
      </c>
      <c r="X54" s="845">
        <v>1</v>
      </c>
      <c r="Y54" s="845">
        <v>1</v>
      </c>
      <c r="Z54" s="845">
        <v>1</v>
      </c>
      <c r="AA54" s="845">
        <v>2</v>
      </c>
      <c r="AB54" s="661">
        <f>+AA54</f>
        <v>2</v>
      </c>
      <c r="AC54" s="845">
        <v>2</v>
      </c>
      <c r="AD54" s="845">
        <v>2</v>
      </c>
      <c r="AE54" s="845">
        <v>2</v>
      </c>
      <c r="AF54" s="845">
        <v>2</v>
      </c>
      <c r="AG54" s="661">
        <f>+AF54</f>
        <v>2</v>
      </c>
      <c r="AH54" s="845">
        <v>2</v>
      </c>
      <c r="AI54" s="845">
        <v>2</v>
      </c>
      <c r="AJ54" s="845">
        <v>2</v>
      </c>
      <c r="AK54" s="845">
        <v>2</v>
      </c>
      <c r="AL54" s="661">
        <f>+AK54</f>
        <v>2</v>
      </c>
      <c r="AM54" s="756">
        <v>2</v>
      </c>
      <c r="AN54" s="756">
        <v>2</v>
      </c>
      <c r="AO54" s="756">
        <v>2</v>
      </c>
      <c r="AP54" s="754">
        <v>2</v>
      </c>
      <c r="AQ54" s="661">
        <f>+AP54</f>
        <v>2</v>
      </c>
      <c r="AR54" s="845">
        <v>2</v>
      </c>
      <c r="AS54" s="845">
        <v>2</v>
      </c>
      <c r="AT54" s="845">
        <v>2</v>
      </c>
      <c r="AU54" s="845">
        <v>2</v>
      </c>
      <c r="AV54" s="661">
        <f>+AU54</f>
        <v>2</v>
      </c>
      <c r="AW54" s="845">
        <v>2</v>
      </c>
      <c r="AX54" s="845">
        <v>2</v>
      </c>
      <c r="AY54" s="845">
        <v>3</v>
      </c>
      <c r="AZ54" s="845">
        <v>3</v>
      </c>
      <c r="BA54" s="661">
        <f>+AZ54</f>
        <v>3</v>
      </c>
      <c r="BB54" s="845">
        <v>3</v>
      </c>
      <c r="BC54" s="845">
        <v>3</v>
      </c>
      <c r="BD54" s="845">
        <v>3</v>
      </c>
      <c r="BE54" s="845">
        <v>3</v>
      </c>
      <c r="BF54" s="661">
        <f>+BE54</f>
        <v>3</v>
      </c>
      <c r="BG54" s="845">
        <v>3</v>
      </c>
      <c r="BH54" s="845">
        <v>3</v>
      </c>
      <c r="BI54" s="845">
        <v>3</v>
      </c>
      <c r="BJ54" s="845">
        <v>3</v>
      </c>
      <c r="BK54" s="661">
        <f>+BJ54</f>
        <v>3</v>
      </c>
      <c r="BL54" s="845">
        <v>3</v>
      </c>
      <c r="BM54" s="845">
        <v>3</v>
      </c>
      <c r="BN54" s="845">
        <v>3</v>
      </c>
      <c r="BO54" s="845">
        <v>3</v>
      </c>
      <c r="BP54" s="661">
        <f t="shared" si="30"/>
        <v>3</v>
      </c>
      <c r="BQ54" s="1231">
        <v>3</v>
      </c>
      <c r="BR54" s="1231">
        <v>3</v>
      </c>
      <c r="BS54" s="1231">
        <v>4</v>
      </c>
      <c r="BT54" s="845">
        <v>4</v>
      </c>
      <c r="BU54" s="661">
        <f t="shared" si="31"/>
        <v>4</v>
      </c>
      <c r="BV54" s="1231">
        <v>4</v>
      </c>
      <c r="BW54" s="1231">
        <v>4</v>
      </c>
      <c r="BX54" s="1231">
        <v>4</v>
      </c>
      <c r="BY54" s="756">
        <v>4</v>
      </c>
      <c r="BZ54" s="661">
        <f t="shared" si="32"/>
        <v>4</v>
      </c>
      <c r="CA54" s="1231">
        <v>4</v>
      </c>
      <c r="CB54" s="1231">
        <v>5</v>
      </c>
      <c r="CC54" s="1231">
        <v>5</v>
      </c>
      <c r="CD54" s="1231">
        <v>5</v>
      </c>
      <c r="CE54" s="661">
        <f t="shared" si="33"/>
        <v>5</v>
      </c>
      <c r="CF54" s="1231">
        <v>5</v>
      </c>
      <c r="CG54" s="1231">
        <v>5</v>
      </c>
      <c r="CH54" s="1231">
        <v>5</v>
      </c>
      <c r="CI54" s="1231">
        <v>6</v>
      </c>
      <c r="CJ54" s="661">
        <f t="shared" si="28"/>
        <v>6</v>
      </c>
      <c r="CK54" s="3501">
        <v>6</v>
      </c>
      <c r="CL54" s="3518">
        <v>6</v>
      </c>
      <c r="CM54" s="3518">
        <v>6</v>
      </c>
      <c r="CN54" s="3518">
        <v>6</v>
      </c>
      <c r="CO54" s="661">
        <f t="shared" si="29"/>
        <v>6</v>
      </c>
      <c r="CP54" s="3501"/>
      <c r="CQ54" s="3518"/>
      <c r="CR54" s="1261"/>
      <c r="CS54" s="1261"/>
      <c r="CT54" s="1243"/>
      <c r="CU54" s="1243"/>
      <c r="CV54" s="1243"/>
    </row>
    <row r="55" spans="1:100" x14ac:dyDescent="0.2">
      <c r="A55" s="1436" t="s">
        <v>1390</v>
      </c>
      <c r="B55" s="1240"/>
      <c r="C55" s="1241"/>
      <c r="D55" s="758"/>
      <c r="E55" s="758"/>
      <c r="F55" s="758"/>
      <c r="G55" s="758"/>
      <c r="H55" s="752"/>
      <c r="I55" s="845">
        <f>+I927-I88</f>
        <v>10</v>
      </c>
      <c r="J55" s="845">
        <f>+J927-J88</f>
        <v>10</v>
      </c>
      <c r="K55" s="845">
        <f>+K927-K88</f>
        <v>11</v>
      </c>
      <c r="L55" s="845">
        <f>+L927-L88</f>
        <v>14</v>
      </c>
      <c r="M55" s="661">
        <f t="shared" si="34"/>
        <v>14</v>
      </c>
      <c r="N55" s="845">
        <f>+N927-N88</f>
        <v>17</v>
      </c>
      <c r="O55" s="845">
        <f>+O927-O88</f>
        <v>19</v>
      </c>
      <c r="P55" s="845">
        <v>18</v>
      </c>
      <c r="Q55" s="845">
        <v>18</v>
      </c>
      <c r="R55" s="661">
        <f t="shared" si="35"/>
        <v>18</v>
      </c>
      <c r="S55" s="845">
        <v>18</v>
      </c>
      <c r="T55" s="845">
        <v>18</v>
      </c>
      <c r="U55" s="845">
        <v>19</v>
      </c>
      <c r="V55" s="845">
        <v>19</v>
      </c>
      <c r="W55" s="661">
        <f t="shared" si="36"/>
        <v>19</v>
      </c>
      <c r="X55" s="845">
        <v>19</v>
      </c>
      <c r="Y55" s="845">
        <v>20</v>
      </c>
      <c r="Z55" s="845">
        <v>21</v>
      </c>
      <c r="AA55" s="845">
        <v>22</v>
      </c>
      <c r="AB55" s="661">
        <f>+AA55</f>
        <v>22</v>
      </c>
      <c r="AC55" s="845">
        <v>22</v>
      </c>
      <c r="AD55" s="845">
        <v>22</v>
      </c>
      <c r="AE55" s="845">
        <v>23</v>
      </c>
      <c r="AF55" s="845">
        <v>23</v>
      </c>
      <c r="AG55" s="661">
        <f>+AF55</f>
        <v>23</v>
      </c>
      <c r="AH55" s="845">
        <v>22</v>
      </c>
      <c r="AI55" s="845">
        <v>22</v>
      </c>
      <c r="AJ55" s="845">
        <v>22</v>
      </c>
      <c r="AK55" s="845">
        <v>22</v>
      </c>
      <c r="AL55" s="661">
        <f>+AK55</f>
        <v>22</v>
      </c>
      <c r="AM55" s="756">
        <v>23</v>
      </c>
      <c r="AN55" s="756">
        <v>23</v>
      </c>
      <c r="AO55" s="756">
        <v>24</v>
      </c>
      <c r="AP55" s="754">
        <v>24</v>
      </c>
      <c r="AQ55" s="661">
        <f>+AP55</f>
        <v>24</v>
      </c>
      <c r="AR55" s="845">
        <v>24</v>
      </c>
      <c r="AS55" s="845">
        <v>25</v>
      </c>
      <c r="AT55" s="845">
        <v>26</v>
      </c>
      <c r="AU55" s="845">
        <v>26</v>
      </c>
      <c r="AV55" s="661">
        <f>+AU55</f>
        <v>26</v>
      </c>
      <c r="AW55" s="845">
        <v>26</v>
      </c>
      <c r="AX55" s="845">
        <v>26</v>
      </c>
      <c r="AY55" s="845">
        <v>27</v>
      </c>
      <c r="AZ55" s="845">
        <v>31</v>
      </c>
      <c r="BA55" s="661">
        <f>+AZ55</f>
        <v>31</v>
      </c>
      <c r="BB55" s="845">
        <v>31</v>
      </c>
      <c r="BC55" s="845">
        <v>32</v>
      </c>
      <c r="BD55" s="845">
        <v>33</v>
      </c>
      <c r="BE55" s="845">
        <v>33</v>
      </c>
      <c r="BF55" s="661">
        <f>+BE55</f>
        <v>33</v>
      </c>
      <c r="BG55" s="845">
        <v>33</v>
      </c>
      <c r="BH55" s="845">
        <v>34</v>
      </c>
      <c r="BI55" s="845">
        <v>34</v>
      </c>
      <c r="BJ55" s="845">
        <v>34</v>
      </c>
      <c r="BK55" s="661">
        <f>+BJ55</f>
        <v>34</v>
      </c>
      <c r="BL55" s="845">
        <v>34</v>
      </c>
      <c r="BM55" s="845">
        <v>32</v>
      </c>
      <c r="BN55" s="845">
        <v>30</v>
      </c>
      <c r="BO55" s="845">
        <v>29</v>
      </c>
      <c r="BP55" s="661">
        <f t="shared" si="30"/>
        <v>29</v>
      </c>
      <c r="BQ55" s="1231">
        <v>29</v>
      </c>
      <c r="BR55" s="1231">
        <v>29</v>
      </c>
      <c r="BS55" s="1231">
        <v>29</v>
      </c>
      <c r="BT55" s="845">
        <v>29</v>
      </c>
      <c r="BU55" s="661">
        <f t="shared" si="31"/>
        <v>29</v>
      </c>
      <c r="BV55" s="1231">
        <v>29</v>
      </c>
      <c r="BW55" s="1231">
        <v>29</v>
      </c>
      <c r="BX55" s="1231">
        <v>29</v>
      </c>
      <c r="BY55" s="756">
        <v>28</v>
      </c>
      <c r="BZ55" s="661">
        <f t="shared" si="32"/>
        <v>28</v>
      </c>
      <c r="CA55" s="1231">
        <v>29</v>
      </c>
      <c r="CB55" s="1231">
        <v>29</v>
      </c>
      <c r="CC55" s="1231">
        <v>30</v>
      </c>
      <c r="CD55" s="1231">
        <v>30</v>
      </c>
      <c r="CE55" s="661">
        <f t="shared" si="33"/>
        <v>30</v>
      </c>
      <c r="CF55" s="1231">
        <v>31</v>
      </c>
      <c r="CG55" s="1231">
        <v>31</v>
      </c>
      <c r="CH55" s="1231">
        <v>31</v>
      </c>
      <c r="CI55" s="1231">
        <v>30</v>
      </c>
      <c r="CJ55" s="661">
        <f t="shared" si="28"/>
        <v>30</v>
      </c>
      <c r="CK55" s="3501">
        <v>30</v>
      </c>
      <c r="CL55" s="3518">
        <v>30</v>
      </c>
      <c r="CM55" s="3518">
        <v>30</v>
      </c>
      <c r="CN55" s="3518">
        <v>30</v>
      </c>
      <c r="CO55" s="661">
        <f t="shared" si="29"/>
        <v>30</v>
      </c>
      <c r="CP55" s="3501"/>
      <c r="CQ55" s="3518"/>
      <c r="CR55" s="1261"/>
      <c r="CS55" s="1261"/>
      <c r="CT55" s="1243"/>
      <c r="CU55" s="1243"/>
      <c r="CV55" s="1243"/>
    </row>
    <row r="56" spans="1:100" x14ac:dyDescent="0.2">
      <c r="A56" s="1436" t="s">
        <v>650</v>
      </c>
      <c r="B56" s="1240"/>
      <c r="C56" s="1241"/>
      <c r="D56" s="758"/>
      <c r="E56" s="758"/>
      <c r="F56" s="758"/>
      <c r="G56" s="758"/>
      <c r="H56" s="752"/>
      <c r="I56" s="845">
        <v>0</v>
      </c>
      <c r="J56" s="845">
        <v>0</v>
      </c>
      <c r="K56" s="845">
        <v>0</v>
      </c>
      <c r="L56" s="845">
        <v>0</v>
      </c>
      <c r="M56" s="661">
        <f t="shared" si="34"/>
        <v>0</v>
      </c>
      <c r="N56" s="845">
        <v>0</v>
      </c>
      <c r="O56" s="845">
        <v>0</v>
      </c>
      <c r="P56" s="845">
        <v>0</v>
      </c>
      <c r="Q56" s="845">
        <v>0</v>
      </c>
      <c r="R56" s="661">
        <f t="shared" si="35"/>
        <v>0</v>
      </c>
      <c r="S56" s="845">
        <v>0</v>
      </c>
      <c r="T56" s="845">
        <v>0</v>
      </c>
      <c r="U56" s="845">
        <v>0</v>
      </c>
      <c r="V56" s="845">
        <v>0</v>
      </c>
      <c r="W56" s="661">
        <f t="shared" si="36"/>
        <v>0</v>
      </c>
      <c r="X56" s="845">
        <v>0</v>
      </c>
      <c r="Y56" s="845">
        <v>0</v>
      </c>
      <c r="Z56" s="845">
        <v>0</v>
      </c>
      <c r="AA56" s="845">
        <v>0</v>
      </c>
      <c r="AB56" s="661">
        <f>AA56</f>
        <v>0</v>
      </c>
      <c r="AC56" s="845">
        <v>0</v>
      </c>
      <c r="AD56" s="845">
        <v>0</v>
      </c>
      <c r="AE56" s="845">
        <v>0</v>
      </c>
      <c r="AF56" s="845">
        <v>0</v>
      </c>
      <c r="AG56" s="661">
        <f>AF56</f>
        <v>0</v>
      </c>
      <c r="AH56" s="845">
        <v>0</v>
      </c>
      <c r="AI56" s="845">
        <v>0</v>
      </c>
      <c r="AJ56" s="845">
        <v>0</v>
      </c>
      <c r="AK56" s="845">
        <v>0</v>
      </c>
      <c r="AL56" s="661">
        <f>AK56</f>
        <v>0</v>
      </c>
      <c r="AM56" s="845">
        <v>0</v>
      </c>
      <c r="AN56" s="845">
        <v>0</v>
      </c>
      <c r="AO56" s="845">
        <v>0</v>
      </c>
      <c r="AP56" s="845">
        <v>0</v>
      </c>
      <c r="AQ56" s="661">
        <f>AP56</f>
        <v>0</v>
      </c>
      <c r="AR56" s="845">
        <v>0</v>
      </c>
      <c r="AS56" s="845">
        <v>0</v>
      </c>
      <c r="AT56" s="845">
        <v>0</v>
      </c>
      <c r="AU56" s="845">
        <v>0</v>
      </c>
      <c r="AV56" s="661">
        <f>AU56</f>
        <v>0</v>
      </c>
      <c r="AW56" s="845">
        <v>0</v>
      </c>
      <c r="AX56" s="845">
        <v>0</v>
      </c>
      <c r="AY56" s="845">
        <v>0</v>
      </c>
      <c r="AZ56" s="845">
        <v>0</v>
      </c>
      <c r="BA56" s="661">
        <f>AZ56</f>
        <v>0</v>
      </c>
      <c r="BB56" s="845">
        <v>0</v>
      </c>
      <c r="BC56" s="845">
        <v>0</v>
      </c>
      <c r="BD56" s="845">
        <v>0</v>
      </c>
      <c r="BE56" s="845">
        <v>0</v>
      </c>
      <c r="BF56" s="661">
        <f>BE56</f>
        <v>0</v>
      </c>
      <c r="BG56" s="845">
        <v>0</v>
      </c>
      <c r="BH56" s="845">
        <v>0</v>
      </c>
      <c r="BI56" s="845">
        <v>0</v>
      </c>
      <c r="BJ56" s="845">
        <v>0</v>
      </c>
      <c r="BK56" s="661">
        <f>BJ56</f>
        <v>0</v>
      </c>
      <c r="BL56" s="845">
        <v>0</v>
      </c>
      <c r="BM56" s="845">
        <v>0</v>
      </c>
      <c r="BN56" s="845">
        <v>0</v>
      </c>
      <c r="BO56" s="845">
        <v>0</v>
      </c>
      <c r="BP56" s="661">
        <f>BO56</f>
        <v>0</v>
      </c>
      <c r="BQ56" s="1261">
        <v>0</v>
      </c>
      <c r="BR56" s="1261">
        <v>0</v>
      </c>
      <c r="BS56" s="1261">
        <v>0</v>
      </c>
      <c r="BT56" s="845">
        <v>0</v>
      </c>
      <c r="BU56" s="661">
        <f>BT56</f>
        <v>0</v>
      </c>
      <c r="BV56" s="1261">
        <v>0</v>
      </c>
      <c r="BW56" s="1261">
        <v>0</v>
      </c>
      <c r="BX56" s="1261">
        <v>0</v>
      </c>
      <c r="BY56" s="758">
        <v>0</v>
      </c>
      <c r="BZ56" s="661">
        <f>BY56</f>
        <v>0</v>
      </c>
      <c r="CA56" s="1261">
        <v>0</v>
      </c>
      <c r="CB56" s="1231">
        <v>0</v>
      </c>
      <c r="CC56" s="1231">
        <v>0</v>
      </c>
      <c r="CD56" s="1231">
        <v>0</v>
      </c>
      <c r="CE56" s="661">
        <f>CD56</f>
        <v>0</v>
      </c>
      <c r="CF56" s="1231">
        <v>0</v>
      </c>
      <c r="CG56" s="1231">
        <v>0</v>
      </c>
      <c r="CH56" s="1231">
        <v>0</v>
      </c>
      <c r="CI56" s="1231">
        <v>0</v>
      </c>
      <c r="CJ56" s="661">
        <f>CI56</f>
        <v>0</v>
      </c>
      <c r="CK56" s="3501">
        <v>0</v>
      </c>
      <c r="CL56" s="3518">
        <v>0</v>
      </c>
      <c r="CM56" s="3518">
        <v>0</v>
      </c>
      <c r="CN56" s="3518">
        <v>0</v>
      </c>
      <c r="CO56" s="661">
        <f>CN56</f>
        <v>0</v>
      </c>
      <c r="CP56" s="3501"/>
      <c r="CQ56" s="3518"/>
      <c r="CR56" s="1261"/>
      <c r="CS56" s="1261"/>
      <c r="CT56" s="1243"/>
      <c r="CU56" s="1243"/>
      <c r="CV56" s="1243"/>
    </row>
    <row r="57" spans="1:100" x14ac:dyDescent="0.2">
      <c r="A57" s="1436" t="s">
        <v>2285</v>
      </c>
      <c r="B57" s="1240"/>
      <c r="C57" s="1241"/>
      <c r="D57" s="758"/>
      <c r="E57" s="758"/>
      <c r="F57" s="758"/>
      <c r="G57" s="758"/>
      <c r="H57" s="752"/>
      <c r="I57" s="845">
        <v>0</v>
      </c>
      <c r="J57" s="845">
        <v>0</v>
      </c>
      <c r="K57" s="845">
        <v>0</v>
      </c>
      <c r="L57" s="845">
        <v>0</v>
      </c>
      <c r="M57" s="661">
        <f>L57</f>
        <v>0</v>
      </c>
      <c r="N57" s="845">
        <v>0</v>
      </c>
      <c r="O57" s="845">
        <v>0</v>
      </c>
      <c r="P57" s="845">
        <v>0</v>
      </c>
      <c r="Q57" s="845">
        <v>0</v>
      </c>
      <c r="R57" s="661">
        <f>Q57</f>
        <v>0</v>
      </c>
      <c r="S57" s="845">
        <v>0</v>
      </c>
      <c r="T57" s="845">
        <v>0</v>
      </c>
      <c r="U57" s="845">
        <v>0</v>
      </c>
      <c r="V57" s="845">
        <v>0</v>
      </c>
      <c r="W57" s="661">
        <f>V57</f>
        <v>0</v>
      </c>
      <c r="X57" s="845">
        <v>0</v>
      </c>
      <c r="Y57" s="845">
        <v>0</v>
      </c>
      <c r="Z57" s="845">
        <v>0</v>
      </c>
      <c r="AA57" s="845">
        <v>0</v>
      </c>
      <c r="AB57" s="661">
        <f>AA57</f>
        <v>0</v>
      </c>
      <c r="AC57" s="845">
        <v>0</v>
      </c>
      <c r="AD57" s="845">
        <v>0</v>
      </c>
      <c r="AE57" s="845">
        <v>0</v>
      </c>
      <c r="AF57" s="845">
        <v>0</v>
      </c>
      <c r="AG57" s="661">
        <f>AF57</f>
        <v>0</v>
      </c>
      <c r="AH57" s="845">
        <v>0</v>
      </c>
      <c r="AI57" s="845">
        <v>0</v>
      </c>
      <c r="AJ57" s="845">
        <v>0</v>
      </c>
      <c r="AK57" s="845">
        <v>0</v>
      </c>
      <c r="AL57" s="661">
        <f>AK57</f>
        <v>0</v>
      </c>
      <c r="AM57" s="845">
        <v>0</v>
      </c>
      <c r="AN57" s="845">
        <v>0</v>
      </c>
      <c r="AO57" s="845">
        <v>0</v>
      </c>
      <c r="AP57" s="845">
        <v>0</v>
      </c>
      <c r="AQ57" s="661">
        <f>AP57</f>
        <v>0</v>
      </c>
      <c r="AR57" s="845">
        <v>0</v>
      </c>
      <c r="AS57" s="845">
        <v>0</v>
      </c>
      <c r="AT57" s="845">
        <v>0</v>
      </c>
      <c r="AU57" s="845">
        <v>0</v>
      </c>
      <c r="AV57" s="661">
        <f>AU57</f>
        <v>0</v>
      </c>
      <c r="AW57" s="845">
        <v>0</v>
      </c>
      <c r="AX57" s="845">
        <v>0</v>
      </c>
      <c r="AY57" s="845">
        <v>0</v>
      </c>
      <c r="AZ57" s="845">
        <v>0</v>
      </c>
      <c r="BA57" s="661">
        <f>AZ57</f>
        <v>0</v>
      </c>
      <c r="BB57" s="845">
        <v>0</v>
      </c>
      <c r="BC57" s="845">
        <v>0</v>
      </c>
      <c r="BD57" s="845">
        <v>0</v>
      </c>
      <c r="BE57" s="845">
        <v>0</v>
      </c>
      <c r="BF57" s="661">
        <f>BE57</f>
        <v>0</v>
      </c>
      <c r="BG57" s="845">
        <v>0</v>
      </c>
      <c r="BH57" s="845">
        <v>0</v>
      </c>
      <c r="BI57" s="845">
        <v>0</v>
      </c>
      <c r="BJ57" s="845">
        <v>0</v>
      </c>
      <c r="BK57" s="661">
        <f>BJ57</f>
        <v>0</v>
      </c>
      <c r="BL57" s="845">
        <v>0</v>
      </c>
      <c r="BM57" s="845">
        <v>0</v>
      </c>
      <c r="BN57" s="845">
        <v>0</v>
      </c>
      <c r="BO57" s="845">
        <v>0</v>
      </c>
      <c r="BP57" s="661">
        <f>BO57</f>
        <v>0</v>
      </c>
      <c r="BQ57" s="1261">
        <v>0</v>
      </c>
      <c r="BR57" s="1261">
        <v>0</v>
      </c>
      <c r="BS57" s="1261">
        <v>0</v>
      </c>
      <c r="BT57" s="845">
        <v>0</v>
      </c>
      <c r="BU57" s="661">
        <f>BT57</f>
        <v>0</v>
      </c>
      <c r="BV57" s="1261">
        <v>0</v>
      </c>
      <c r="BW57" s="1261">
        <v>0</v>
      </c>
      <c r="BX57" s="1261">
        <v>0</v>
      </c>
      <c r="BY57" s="758">
        <v>0</v>
      </c>
      <c r="BZ57" s="661">
        <f>BY57</f>
        <v>0</v>
      </c>
      <c r="CA57" s="1261">
        <v>0</v>
      </c>
      <c r="CB57" s="1231">
        <v>27</v>
      </c>
      <c r="CC57" s="1231">
        <v>26</v>
      </c>
      <c r="CD57" s="1231">
        <v>26</v>
      </c>
      <c r="CE57" s="661">
        <f>CD57</f>
        <v>26</v>
      </c>
      <c r="CF57" s="1231">
        <v>25</v>
      </c>
      <c r="CG57" s="1231">
        <v>25</v>
      </c>
      <c r="CH57" s="1231">
        <v>25</v>
      </c>
      <c r="CI57" s="1231">
        <v>25</v>
      </c>
      <c r="CJ57" s="661">
        <f>CI57</f>
        <v>25</v>
      </c>
      <c r="CK57" s="3501">
        <v>25</v>
      </c>
      <c r="CL57" s="3518">
        <v>25</v>
      </c>
      <c r="CM57" s="3518">
        <v>25</v>
      </c>
      <c r="CN57" s="3518">
        <v>25</v>
      </c>
      <c r="CO57" s="661">
        <f>CN57</f>
        <v>25</v>
      </c>
      <c r="CP57" s="3501"/>
      <c r="CQ57" s="3518"/>
      <c r="CR57" s="1261"/>
      <c r="CS57" s="1261"/>
      <c r="CT57" s="1243"/>
      <c r="CU57" s="1243"/>
      <c r="CV57" s="1243"/>
    </row>
    <row r="58" spans="1:100" x14ac:dyDescent="0.2">
      <c r="A58" s="2288" t="s">
        <v>384</v>
      </c>
      <c r="B58" s="3005"/>
      <c r="C58" s="3006"/>
      <c r="D58" s="2404"/>
      <c r="E58" s="2404"/>
      <c r="F58" s="2404"/>
      <c r="G58" s="2404"/>
      <c r="H58" s="2406"/>
      <c r="I58" s="845">
        <v>0</v>
      </c>
      <c r="J58" s="845">
        <v>0</v>
      </c>
      <c r="K58" s="845">
        <v>0</v>
      </c>
      <c r="L58" s="845">
        <v>0</v>
      </c>
      <c r="M58" s="2293">
        <v>0</v>
      </c>
      <c r="N58" s="845">
        <v>0</v>
      </c>
      <c r="O58" s="845">
        <v>0</v>
      </c>
      <c r="P58" s="845">
        <v>0</v>
      </c>
      <c r="Q58" s="845">
        <v>0</v>
      </c>
      <c r="R58" s="2293">
        <v>0</v>
      </c>
      <c r="S58" s="845">
        <v>0</v>
      </c>
      <c r="T58" s="845">
        <v>0</v>
      </c>
      <c r="U58" s="845">
        <v>0</v>
      </c>
      <c r="V58" s="845">
        <v>0</v>
      </c>
      <c r="W58" s="2293">
        <v>0</v>
      </c>
      <c r="X58" s="845">
        <v>0</v>
      </c>
      <c r="Y58" s="845">
        <v>0</v>
      </c>
      <c r="Z58" s="845">
        <v>0</v>
      </c>
      <c r="AA58" s="845">
        <v>0</v>
      </c>
      <c r="AB58" s="2293">
        <v>0</v>
      </c>
      <c r="AC58" s="845">
        <v>0</v>
      </c>
      <c r="AD58" s="845">
        <v>0</v>
      </c>
      <c r="AE58" s="845">
        <v>0</v>
      </c>
      <c r="AF58" s="845">
        <v>0</v>
      </c>
      <c r="AG58" s="2293">
        <v>0</v>
      </c>
      <c r="AH58" s="845">
        <v>0</v>
      </c>
      <c r="AI58" s="845">
        <v>0</v>
      </c>
      <c r="AJ58" s="845">
        <v>0</v>
      </c>
      <c r="AK58" s="845">
        <v>0</v>
      </c>
      <c r="AL58" s="2293">
        <v>0</v>
      </c>
      <c r="AM58" s="845">
        <v>0</v>
      </c>
      <c r="AN58" s="845">
        <v>0</v>
      </c>
      <c r="AO58" s="845">
        <v>0</v>
      </c>
      <c r="AP58" s="845">
        <v>0</v>
      </c>
      <c r="AQ58" s="2293">
        <v>0</v>
      </c>
      <c r="AR58" s="845">
        <v>0</v>
      </c>
      <c r="AS58" s="845">
        <v>0</v>
      </c>
      <c r="AT58" s="845">
        <v>0</v>
      </c>
      <c r="AU58" s="845">
        <v>0</v>
      </c>
      <c r="AV58" s="2293">
        <v>0</v>
      </c>
      <c r="AW58" s="845">
        <v>0</v>
      </c>
      <c r="AX58" s="845">
        <v>0</v>
      </c>
      <c r="AY58" s="845">
        <v>0</v>
      </c>
      <c r="AZ58" s="845">
        <v>0</v>
      </c>
      <c r="BA58" s="2293">
        <v>0</v>
      </c>
      <c r="BB58" s="845">
        <v>0</v>
      </c>
      <c r="BC58" s="845">
        <v>0</v>
      </c>
      <c r="BD58" s="845">
        <v>0</v>
      </c>
      <c r="BE58" s="845">
        <v>0</v>
      </c>
      <c r="BF58" s="2293">
        <v>0</v>
      </c>
      <c r="BG58" s="845">
        <v>0</v>
      </c>
      <c r="BH58" s="845">
        <v>0</v>
      </c>
      <c r="BI58" s="845">
        <v>0</v>
      </c>
      <c r="BJ58" s="845">
        <v>0</v>
      </c>
      <c r="BK58" s="2293">
        <v>0</v>
      </c>
      <c r="BL58" s="845">
        <v>0</v>
      </c>
      <c r="BM58" s="845">
        <v>0</v>
      </c>
      <c r="BN58" s="845">
        <v>0</v>
      </c>
      <c r="BO58" s="845">
        <v>0</v>
      </c>
      <c r="BP58" s="2293">
        <v>0</v>
      </c>
      <c r="BQ58" s="845">
        <v>0</v>
      </c>
      <c r="BR58" s="845">
        <v>0</v>
      </c>
      <c r="BS58" s="845">
        <v>0</v>
      </c>
      <c r="BT58" s="845">
        <v>0</v>
      </c>
      <c r="BU58" s="2293">
        <v>0</v>
      </c>
      <c r="BV58" s="845">
        <v>0</v>
      </c>
      <c r="BW58" s="845">
        <v>0</v>
      </c>
      <c r="BX58" s="845">
        <v>0</v>
      </c>
      <c r="BY58" s="845">
        <v>0</v>
      </c>
      <c r="BZ58" s="2293">
        <v>0</v>
      </c>
      <c r="CA58" s="845">
        <v>0</v>
      </c>
      <c r="CB58" s="845">
        <v>0</v>
      </c>
      <c r="CC58" s="845">
        <v>0</v>
      </c>
      <c r="CD58" s="845">
        <v>0</v>
      </c>
      <c r="CE58" s="2293">
        <v>0</v>
      </c>
      <c r="CF58" s="845">
        <v>0</v>
      </c>
      <c r="CG58" s="845">
        <v>0</v>
      </c>
      <c r="CH58" s="2983">
        <v>0</v>
      </c>
      <c r="CI58" s="2983">
        <v>0</v>
      </c>
      <c r="CJ58" s="661">
        <f>CI58</f>
        <v>0</v>
      </c>
      <c r="CK58" s="3501">
        <v>0</v>
      </c>
      <c r="CL58" s="3518">
        <v>0</v>
      </c>
      <c r="CM58" s="3518">
        <v>0</v>
      </c>
      <c r="CN58" s="3518">
        <v>0</v>
      </c>
      <c r="CO58" s="661">
        <f>CN58</f>
        <v>0</v>
      </c>
      <c r="CP58" s="3501"/>
      <c r="CQ58" s="3518"/>
      <c r="CR58" s="1261"/>
      <c r="CS58" s="1261"/>
      <c r="CT58" s="1243"/>
      <c r="CU58" s="1243"/>
      <c r="CV58" s="1243"/>
    </row>
    <row r="59" spans="1:100" ht="4.5" customHeight="1" x14ac:dyDescent="0.2">
      <c r="A59" s="1446"/>
      <c r="B59" s="1240"/>
      <c r="C59" s="1241"/>
      <c r="D59" s="758"/>
      <c r="E59" s="758"/>
      <c r="F59" s="758"/>
      <c r="G59" s="758"/>
      <c r="H59" s="752"/>
      <c r="I59" s="767"/>
      <c r="J59" s="767"/>
      <c r="K59" s="767"/>
      <c r="L59" s="767"/>
      <c r="M59" s="246"/>
      <c r="N59" s="767"/>
      <c r="O59" s="767"/>
      <c r="P59" s="767"/>
      <c r="Q59" s="767"/>
      <c r="R59" s="246"/>
      <c r="S59" s="767"/>
      <c r="T59" s="767"/>
      <c r="U59" s="767"/>
      <c r="V59" s="767"/>
      <c r="W59" s="246"/>
      <c r="X59" s="767"/>
      <c r="Y59" s="767"/>
      <c r="Z59" s="767"/>
      <c r="AA59" s="767"/>
      <c r="AB59" s="246"/>
      <c r="AC59" s="767"/>
      <c r="AD59" s="767"/>
      <c r="AE59" s="767"/>
      <c r="AF59" s="767"/>
      <c r="AG59" s="246"/>
      <c r="AH59" s="767"/>
      <c r="AI59" s="767"/>
      <c r="AJ59" s="767"/>
      <c r="AK59" s="767"/>
      <c r="AL59" s="246"/>
      <c r="AM59" s="767"/>
      <c r="AN59" s="767"/>
      <c r="AO59" s="767"/>
      <c r="AP59" s="767"/>
      <c r="AQ59" s="246"/>
      <c r="AR59" s="767"/>
      <c r="AS59" s="767"/>
      <c r="AT59" s="767"/>
      <c r="AU59" s="767"/>
      <c r="AV59" s="246"/>
      <c r="AW59" s="767"/>
      <c r="AX59" s="767"/>
      <c r="AY59" s="767"/>
      <c r="AZ59" s="767"/>
      <c r="BA59" s="246"/>
      <c r="BB59" s="767"/>
      <c r="BC59" s="767"/>
      <c r="BD59" s="767"/>
      <c r="BE59" s="767"/>
      <c r="BF59" s="246"/>
      <c r="BG59" s="767"/>
      <c r="BH59" s="767"/>
      <c r="BI59" s="767"/>
      <c r="BJ59" s="767"/>
      <c r="BK59" s="246"/>
      <c r="BL59" s="767"/>
      <c r="BM59" s="767"/>
      <c r="BN59" s="767"/>
      <c r="BO59" s="767"/>
      <c r="BP59" s="246"/>
      <c r="BQ59" s="767"/>
      <c r="BR59" s="767"/>
      <c r="BS59" s="767"/>
      <c r="BT59" s="767"/>
      <c r="BU59" s="246"/>
      <c r="BV59" s="767"/>
      <c r="BW59" s="767"/>
      <c r="BX59" s="767"/>
      <c r="BY59" s="767"/>
      <c r="BZ59" s="246"/>
      <c r="CA59" s="767"/>
      <c r="CB59" s="767"/>
      <c r="CC59" s="767"/>
      <c r="CD59" s="767"/>
      <c r="CE59" s="246"/>
      <c r="CF59" s="767"/>
      <c r="CG59" s="767"/>
      <c r="CH59" s="2916"/>
      <c r="CI59" s="2916"/>
      <c r="CJ59" s="246"/>
      <c r="CK59" s="3501"/>
      <c r="CL59" s="3518"/>
      <c r="CM59" s="3518"/>
      <c r="CN59" s="3518"/>
      <c r="CO59" s="246"/>
      <c r="CP59" s="3501"/>
      <c r="CQ59" s="3518"/>
      <c r="CR59" s="1261"/>
      <c r="CS59" s="1261"/>
      <c r="CT59" s="1243"/>
      <c r="CU59" s="1243"/>
      <c r="CV59" s="1243"/>
    </row>
    <row r="60" spans="1:100" x14ac:dyDescent="0.2">
      <c r="A60" s="2434" t="s">
        <v>2454</v>
      </c>
      <c r="B60" s="1240"/>
      <c r="C60" s="1241"/>
      <c r="D60" s="758"/>
      <c r="E60" s="758"/>
      <c r="F60" s="758"/>
      <c r="G60" s="758"/>
      <c r="H60" s="752"/>
      <c r="I60" s="767"/>
      <c r="J60" s="767"/>
      <c r="K60" s="767"/>
      <c r="L60" s="767"/>
      <c r="M60" s="246"/>
      <c r="N60" s="767"/>
      <c r="O60" s="767"/>
      <c r="P60" s="767"/>
      <c r="Q60" s="767"/>
      <c r="R60" s="246"/>
      <c r="S60" s="767"/>
      <c r="T60" s="767"/>
      <c r="U60" s="767"/>
      <c r="V60" s="767"/>
      <c r="W60" s="246"/>
      <c r="X60" s="767"/>
      <c r="Y60" s="767"/>
      <c r="Z60" s="767"/>
      <c r="AA60" s="767"/>
      <c r="AB60" s="246"/>
      <c r="AC60" s="767"/>
      <c r="AD60" s="767"/>
      <c r="AE60" s="767"/>
      <c r="AF60" s="767"/>
      <c r="AG60" s="246"/>
      <c r="AH60" s="767"/>
      <c r="AI60" s="767"/>
      <c r="AJ60" s="767"/>
      <c r="AK60" s="767"/>
      <c r="AL60" s="246"/>
      <c r="AM60" s="767"/>
      <c r="AN60" s="767"/>
      <c r="AO60" s="767"/>
      <c r="AP60" s="767"/>
      <c r="AQ60" s="246"/>
      <c r="AR60" s="767"/>
      <c r="AS60" s="767"/>
      <c r="AT60" s="767"/>
      <c r="AU60" s="767"/>
      <c r="AV60" s="246"/>
      <c r="AW60" s="767"/>
      <c r="AX60" s="767"/>
      <c r="AY60" s="767"/>
      <c r="AZ60" s="767"/>
      <c r="BA60" s="246"/>
      <c r="BB60" s="767"/>
      <c r="BC60" s="767"/>
      <c r="BD60" s="767"/>
      <c r="BE60" s="767"/>
      <c r="BF60" s="246"/>
      <c r="BG60" s="767"/>
      <c r="BH60" s="767"/>
      <c r="BI60" s="767"/>
      <c r="BJ60" s="767"/>
      <c r="BK60" s="246"/>
      <c r="BL60" s="767"/>
      <c r="BM60" s="767"/>
      <c r="BN60" s="767"/>
      <c r="BO60" s="767"/>
      <c r="BP60" s="246"/>
      <c r="BQ60" s="767"/>
      <c r="BR60" s="767"/>
      <c r="BS60" s="767"/>
      <c r="BT60" s="767"/>
      <c r="BU60" s="246"/>
      <c r="BV60" s="767"/>
      <c r="BW60" s="767"/>
      <c r="BX60" s="767"/>
      <c r="BY60" s="767"/>
      <c r="BZ60" s="246"/>
      <c r="CA60" s="767"/>
      <c r="CB60" s="767"/>
      <c r="CC60" s="767"/>
      <c r="CD60" s="767"/>
      <c r="CE60" s="246"/>
      <c r="CF60" s="767"/>
      <c r="CG60" s="3008"/>
      <c r="CH60" s="2983">
        <v>31</v>
      </c>
      <c r="CI60" s="2983">
        <v>31</v>
      </c>
      <c r="CJ60" s="661">
        <f t="shared" ref="CJ60:CJ70" si="37">CI60</f>
        <v>31</v>
      </c>
      <c r="CK60" s="3501">
        <v>31</v>
      </c>
      <c r="CL60" s="3518">
        <v>31</v>
      </c>
      <c r="CM60" s="3518">
        <v>30</v>
      </c>
      <c r="CN60" s="3518">
        <v>29</v>
      </c>
      <c r="CO60" s="661">
        <f t="shared" ref="CO60:CO70" si="38">CN60</f>
        <v>29</v>
      </c>
      <c r="CP60" s="3501"/>
      <c r="CQ60" s="3518"/>
      <c r="CR60" s="1261"/>
      <c r="CS60" s="1261"/>
      <c r="CT60" s="1243"/>
      <c r="CU60" s="1243"/>
      <c r="CV60" s="1243"/>
    </row>
    <row r="61" spans="1:100" x14ac:dyDescent="0.2">
      <c r="A61" s="2434" t="s">
        <v>2455</v>
      </c>
      <c r="B61" s="1240"/>
      <c r="C61" s="1241"/>
      <c r="D61" s="758"/>
      <c r="E61" s="758"/>
      <c r="F61" s="758"/>
      <c r="G61" s="758"/>
      <c r="H61" s="752"/>
      <c r="I61" s="767"/>
      <c r="J61" s="767"/>
      <c r="K61" s="767"/>
      <c r="L61" s="767"/>
      <c r="M61" s="246"/>
      <c r="N61" s="767"/>
      <c r="O61" s="767"/>
      <c r="P61" s="767"/>
      <c r="Q61" s="767"/>
      <c r="R61" s="246"/>
      <c r="S61" s="767"/>
      <c r="T61" s="767"/>
      <c r="U61" s="767"/>
      <c r="V61" s="767"/>
      <c r="W61" s="246"/>
      <c r="X61" s="767"/>
      <c r="Y61" s="767"/>
      <c r="Z61" s="767"/>
      <c r="AA61" s="767"/>
      <c r="AB61" s="246"/>
      <c r="AC61" s="767"/>
      <c r="AD61" s="767"/>
      <c r="AE61" s="767"/>
      <c r="AF61" s="767"/>
      <c r="AG61" s="246"/>
      <c r="AH61" s="767"/>
      <c r="AI61" s="767"/>
      <c r="AJ61" s="767"/>
      <c r="AK61" s="767"/>
      <c r="AL61" s="246"/>
      <c r="AM61" s="767"/>
      <c r="AN61" s="767"/>
      <c r="AO61" s="767"/>
      <c r="AP61" s="767"/>
      <c r="AQ61" s="246"/>
      <c r="AR61" s="767"/>
      <c r="AS61" s="767"/>
      <c r="AT61" s="767"/>
      <c r="AU61" s="767"/>
      <c r="AV61" s="246"/>
      <c r="AW61" s="767"/>
      <c r="AX61" s="767"/>
      <c r="AY61" s="767"/>
      <c r="AZ61" s="767"/>
      <c r="BA61" s="246"/>
      <c r="BB61" s="767"/>
      <c r="BC61" s="767"/>
      <c r="BD61" s="767"/>
      <c r="BE61" s="767"/>
      <c r="BF61" s="246"/>
      <c r="BG61" s="767"/>
      <c r="BH61" s="767"/>
      <c r="BI61" s="767"/>
      <c r="BJ61" s="767"/>
      <c r="BK61" s="246"/>
      <c r="BL61" s="767"/>
      <c r="BM61" s="767"/>
      <c r="BN61" s="767"/>
      <c r="BO61" s="767"/>
      <c r="BP61" s="246"/>
      <c r="BQ61" s="767"/>
      <c r="BR61" s="767"/>
      <c r="BS61" s="767"/>
      <c r="BT61" s="767"/>
      <c r="BU61" s="246"/>
      <c r="BV61" s="767"/>
      <c r="BW61" s="767"/>
      <c r="BX61" s="767"/>
      <c r="BY61" s="767"/>
      <c r="BZ61" s="246"/>
      <c r="CA61" s="767"/>
      <c r="CB61" s="767"/>
      <c r="CC61" s="767"/>
      <c r="CD61" s="767"/>
      <c r="CE61" s="246"/>
      <c r="CF61" s="767"/>
      <c r="CG61" s="3008"/>
      <c r="CH61" s="2983">
        <v>48</v>
      </c>
      <c r="CI61" s="2983">
        <v>48</v>
      </c>
      <c r="CJ61" s="661">
        <f t="shared" si="37"/>
        <v>48</v>
      </c>
      <c r="CK61" s="3501">
        <v>48</v>
      </c>
      <c r="CL61" s="3518">
        <v>47</v>
      </c>
      <c r="CM61" s="3518">
        <v>46</v>
      </c>
      <c r="CN61" s="3518">
        <v>46</v>
      </c>
      <c r="CO61" s="661">
        <f t="shared" si="38"/>
        <v>46</v>
      </c>
      <c r="CP61" s="3501"/>
      <c r="CQ61" s="3518"/>
      <c r="CR61" s="1261"/>
      <c r="CS61" s="1261"/>
      <c r="CT61" s="1243"/>
      <c r="CU61" s="1243"/>
      <c r="CV61" s="1243"/>
    </row>
    <row r="62" spans="1:100" x14ac:dyDescent="0.2">
      <c r="A62" s="2434" t="s">
        <v>2456</v>
      </c>
      <c r="B62" s="1240"/>
      <c r="C62" s="1241"/>
      <c r="D62" s="758"/>
      <c r="E62" s="758"/>
      <c r="F62" s="758"/>
      <c r="G62" s="758"/>
      <c r="H62" s="752"/>
      <c r="I62" s="767"/>
      <c r="J62" s="767"/>
      <c r="K62" s="767"/>
      <c r="L62" s="767"/>
      <c r="M62" s="246"/>
      <c r="N62" s="767"/>
      <c r="O62" s="767"/>
      <c r="P62" s="767"/>
      <c r="Q62" s="767"/>
      <c r="R62" s="246"/>
      <c r="S62" s="767"/>
      <c r="T62" s="767"/>
      <c r="U62" s="767"/>
      <c r="V62" s="767"/>
      <c r="W62" s="246"/>
      <c r="X62" s="767"/>
      <c r="Y62" s="767"/>
      <c r="Z62" s="767"/>
      <c r="AA62" s="767"/>
      <c r="AB62" s="246"/>
      <c r="AC62" s="767"/>
      <c r="AD62" s="767"/>
      <c r="AE62" s="767"/>
      <c r="AF62" s="767"/>
      <c r="AG62" s="246"/>
      <c r="AH62" s="767"/>
      <c r="AI62" s="767"/>
      <c r="AJ62" s="767"/>
      <c r="AK62" s="767"/>
      <c r="AL62" s="246"/>
      <c r="AM62" s="767"/>
      <c r="AN62" s="767"/>
      <c r="AO62" s="767"/>
      <c r="AP62" s="767"/>
      <c r="AQ62" s="246"/>
      <c r="AR62" s="767"/>
      <c r="AS62" s="767"/>
      <c r="AT62" s="767"/>
      <c r="AU62" s="767"/>
      <c r="AV62" s="246"/>
      <c r="AW62" s="767"/>
      <c r="AX62" s="767"/>
      <c r="AY62" s="767"/>
      <c r="AZ62" s="767"/>
      <c r="BA62" s="246"/>
      <c r="BB62" s="767"/>
      <c r="BC62" s="767"/>
      <c r="BD62" s="767"/>
      <c r="BE62" s="767"/>
      <c r="BF62" s="246"/>
      <c r="BG62" s="767"/>
      <c r="BH62" s="767"/>
      <c r="BI62" s="767"/>
      <c r="BJ62" s="767"/>
      <c r="BK62" s="246"/>
      <c r="BL62" s="767"/>
      <c r="BM62" s="767"/>
      <c r="BN62" s="767"/>
      <c r="BO62" s="767"/>
      <c r="BP62" s="246"/>
      <c r="BQ62" s="767"/>
      <c r="BR62" s="767"/>
      <c r="BS62" s="767"/>
      <c r="BT62" s="767"/>
      <c r="BU62" s="246"/>
      <c r="BV62" s="767"/>
      <c r="BW62" s="767"/>
      <c r="BX62" s="767"/>
      <c r="BY62" s="767"/>
      <c r="BZ62" s="246"/>
      <c r="CA62" s="767"/>
      <c r="CB62" s="767"/>
      <c r="CC62" s="767"/>
      <c r="CD62" s="767"/>
      <c r="CE62" s="246"/>
      <c r="CF62" s="767"/>
      <c r="CG62" s="3008"/>
      <c r="CH62" s="2983">
        <v>1</v>
      </c>
      <c r="CI62" s="2983">
        <v>1</v>
      </c>
      <c r="CJ62" s="661">
        <f t="shared" si="37"/>
        <v>1</v>
      </c>
      <c r="CK62" s="3501">
        <v>1</v>
      </c>
      <c r="CL62" s="3518">
        <v>1</v>
      </c>
      <c r="CM62" s="3518">
        <v>1</v>
      </c>
      <c r="CN62" s="3518">
        <v>1</v>
      </c>
      <c r="CO62" s="661">
        <f t="shared" si="38"/>
        <v>1</v>
      </c>
      <c r="CP62" s="3501"/>
      <c r="CQ62" s="3518"/>
      <c r="CR62" s="1261"/>
      <c r="CS62" s="1261"/>
      <c r="CT62" s="1243"/>
      <c r="CU62" s="1243"/>
      <c r="CV62" s="1243"/>
    </row>
    <row r="63" spans="1:100" x14ac:dyDescent="0.2">
      <c r="A63" s="2434" t="s">
        <v>2457</v>
      </c>
      <c r="B63" s="1240"/>
      <c r="C63" s="1241"/>
      <c r="D63" s="758"/>
      <c r="E63" s="758"/>
      <c r="F63" s="758"/>
      <c r="G63" s="758"/>
      <c r="H63" s="752"/>
      <c r="I63" s="767"/>
      <c r="J63" s="767"/>
      <c r="K63" s="767"/>
      <c r="L63" s="767"/>
      <c r="M63" s="246"/>
      <c r="N63" s="767"/>
      <c r="O63" s="767"/>
      <c r="P63" s="767"/>
      <c r="Q63" s="767"/>
      <c r="R63" s="246"/>
      <c r="S63" s="767"/>
      <c r="T63" s="767"/>
      <c r="U63" s="767"/>
      <c r="V63" s="767"/>
      <c r="W63" s="246"/>
      <c r="X63" s="767"/>
      <c r="Y63" s="767"/>
      <c r="Z63" s="767"/>
      <c r="AA63" s="767"/>
      <c r="AB63" s="246"/>
      <c r="AC63" s="767"/>
      <c r="AD63" s="767"/>
      <c r="AE63" s="767"/>
      <c r="AF63" s="767"/>
      <c r="AG63" s="246"/>
      <c r="AH63" s="767"/>
      <c r="AI63" s="767"/>
      <c r="AJ63" s="767"/>
      <c r="AK63" s="767"/>
      <c r="AL63" s="246"/>
      <c r="AM63" s="767"/>
      <c r="AN63" s="767"/>
      <c r="AO63" s="767"/>
      <c r="AP63" s="767"/>
      <c r="AQ63" s="246"/>
      <c r="AR63" s="767"/>
      <c r="AS63" s="767"/>
      <c r="AT63" s="767"/>
      <c r="AU63" s="767"/>
      <c r="AV63" s="246"/>
      <c r="AW63" s="767"/>
      <c r="AX63" s="767"/>
      <c r="AY63" s="767"/>
      <c r="AZ63" s="767"/>
      <c r="BA63" s="246"/>
      <c r="BB63" s="767"/>
      <c r="BC63" s="767"/>
      <c r="BD63" s="767"/>
      <c r="BE63" s="767"/>
      <c r="BF63" s="246"/>
      <c r="BG63" s="767"/>
      <c r="BH63" s="767"/>
      <c r="BI63" s="767"/>
      <c r="BJ63" s="767"/>
      <c r="BK63" s="246"/>
      <c r="BL63" s="767"/>
      <c r="BM63" s="767"/>
      <c r="BN63" s="767"/>
      <c r="BO63" s="767"/>
      <c r="BP63" s="246"/>
      <c r="BQ63" s="767"/>
      <c r="BR63" s="767"/>
      <c r="BS63" s="767"/>
      <c r="BT63" s="767"/>
      <c r="BU63" s="246"/>
      <c r="BV63" s="767"/>
      <c r="BW63" s="767"/>
      <c r="BX63" s="767"/>
      <c r="BY63" s="767"/>
      <c r="BZ63" s="246"/>
      <c r="CA63" s="767"/>
      <c r="CB63" s="767"/>
      <c r="CC63" s="767"/>
      <c r="CD63" s="767"/>
      <c r="CE63" s="246"/>
      <c r="CF63" s="767"/>
      <c r="CG63" s="3008"/>
      <c r="CH63" s="2983">
        <v>24</v>
      </c>
      <c r="CI63" s="2983">
        <v>25</v>
      </c>
      <c r="CJ63" s="661">
        <f t="shared" si="37"/>
        <v>25</v>
      </c>
      <c r="CK63" s="3501">
        <v>25</v>
      </c>
      <c r="CL63" s="3518">
        <v>26</v>
      </c>
      <c r="CM63" s="3518">
        <v>26</v>
      </c>
      <c r="CN63" s="3518">
        <v>26</v>
      </c>
      <c r="CO63" s="661">
        <f t="shared" si="38"/>
        <v>26</v>
      </c>
      <c r="CP63" s="3501"/>
      <c r="CQ63" s="3518"/>
      <c r="CR63" s="1261"/>
      <c r="CS63" s="1261"/>
      <c r="CT63" s="1243"/>
      <c r="CU63" s="1243"/>
      <c r="CV63" s="1243"/>
    </row>
    <row r="64" spans="1:100" x14ac:dyDescent="0.2">
      <c r="A64" s="2434" t="s">
        <v>2458</v>
      </c>
      <c r="B64" s="1240"/>
      <c r="C64" s="1241"/>
      <c r="D64" s="758"/>
      <c r="E64" s="758"/>
      <c r="F64" s="758"/>
      <c r="G64" s="758"/>
      <c r="H64" s="752"/>
      <c r="I64" s="767"/>
      <c r="J64" s="767"/>
      <c r="K64" s="767"/>
      <c r="L64" s="767"/>
      <c r="M64" s="246"/>
      <c r="N64" s="767"/>
      <c r="O64" s="767"/>
      <c r="P64" s="767"/>
      <c r="Q64" s="767"/>
      <c r="R64" s="246"/>
      <c r="S64" s="767"/>
      <c r="T64" s="767"/>
      <c r="U64" s="767"/>
      <c r="V64" s="767"/>
      <c r="W64" s="246"/>
      <c r="X64" s="767"/>
      <c r="Y64" s="767"/>
      <c r="Z64" s="767"/>
      <c r="AA64" s="767"/>
      <c r="AB64" s="246"/>
      <c r="AC64" s="767"/>
      <c r="AD64" s="767"/>
      <c r="AE64" s="767"/>
      <c r="AF64" s="767"/>
      <c r="AG64" s="246"/>
      <c r="AH64" s="767"/>
      <c r="AI64" s="767"/>
      <c r="AJ64" s="767"/>
      <c r="AK64" s="767"/>
      <c r="AL64" s="246"/>
      <c r="AM64" s="767"/>
      <c r="AN64" s="767"/>
      <c r="AO64" s="767"/>
      <c r="AP64" s="767"/>
      <c r="AQ64" s="246"/>
      <c r="AR64" s="767"/>
      <c r="AS64" s="767"/>
      <c r="AT64" s="767"/>
      <c r="AU64" s="767"/>
      <c r="AV64" s="246"/>
      <c r="AW64" s="767"/>
      <c r="AX64" s="767"/>
      <c r="AY64" s="767"/>
      <c r="AZ64" s="767"/>
      <c r="BA64" s="246"/>
      <c r="BB64" s="767"/>
      <c r="BC64" s="767"/>
      <c r="BD64" s="767"/>
      <c r="BE64" s="767"/>
      <c r="BF64" s="246"/>
      <c r="BG64" s="767"/>
      <c r="BH64" s="767"/>
      <c r="BI64" s="767"/>
      <c r="BJ64" s="767"/>
      <c r="BK64" s="246"/>
      <c r="BL64" s="767"/>
      <c r="BM64" s="767"/>
      <c r="BN64" s="767"/>
      <c r="BO64" s="767"/>
      <c r="BP64" s="246"/>
      <c r="BQ64" s="767"/>
      <c r="BR64" s="767"/>
      <c r="BS64" s="767"/>
      <c r="BT64" s="767"/>
      <c r="BU64" s="246"/>
      <c r="BV64" s="767"/>
      <c r="BW64" s="767"/>
      <c r="BX64" s="767"/>
      <c r="BY64" s="767"/>
      <c r="BZ64" s="246"/>
      <c r="CA64" s="767"/>
      <c r="CB64" s="767"/>
      <c r="CC64" s="767"/>
      <c r="CD64" s="767"/>
      <c r="CE64" s="246"/>
      <c r="CF64" s="767"/>
      <c r="CG64" s="3008"/>
      <c r="CH64" s="2983">
        <v>5</v>
      </c>
      <c r="CI64" s="2983">
        <v>5</v>
      </c>
      <c r="CJ64" s="661">
        <f t="shared" si="37"/>
        <v>5</v>
      </c>
      <c r="CK64" s="3501">
        <v>5</v>
      </c>
      <c r="CL64" s="3518">
        <v>5</v>
      </c>
      <c r="CM64" s="3518">
        <v>5</v>
      </c>
      <c r="CN64" s="3518">
        <v>5</v>
      </c>
      <c r="CO64" s="661">
        <f t="shared" si="38"/>
        <v>5</v>
      </c>
      <c r="CP64" s="3501"/>
      <c r="CQ64" s="3518"/>
      <c r="CR64" s="1261"/>
      <c r="CS64" s="1261"/>
      <c r="CT64" s="1243"/>
      <c r="CU64" s="1243"/>
      <c r="CV64" s="1243"/>
    </row>
    <row r="65" spans="1:256" x14ac:dyDescent="0.2">
      <c r="A65" s="2434" t="s">
        <v>2459</v>
      </c>
      <c r="B65" s="1240"/>
      <c r="C65" s="1241"/>
      <c r="D65" s="758"/>
      <c r="E65" s="758"/>
      <c r="F65" s="758"/>
      <c r="G65" s="758"/>
      <c r="H65" s="752"/>
      <c r="I65" s="767"/>
      <c r="J65" s="767"/>
      <c r="K65" s="767"/>
      <c r="L65" s="767"/>
      <c r="M65" s="246"/>
      <c r="N65" s="767"/>
      <c r="O65" s="767"/>
      <c r="P65" s="767"/>
      <c r="Q65" s="767"/>
      <c r="R65" s="246"/>
      <c r="S65" s="767"/>
      <c r="T65" s="767"/>
      <c r="U65" s="767"/>
      <c r="V65" s="767"/>
      <c r="W65" s="246"/>
      <c r="X65" s="767"/>
      <c r="Y65" s="767"/>
      <c r="Z65" s="767"/>
      <c r="AA65" s="767"/>
      <c r="AB65" s="246"/>
      <c r="AC65" s="767"/>
      <c r="AD65" s="767"/>
      <c r="AE65" s="767"/>
      <c r="AF65" s="767"/>
      <c r="AG65" s="246"/>
      <c r="AH65" s="767"/>
      <c r="AI65" s="767"/>
      <c r="AJ65" s="767"/>
      <c r="AK65" s="767"/>
      <c r="AL65" s="246"/>
      <c r="AM65" s="767"/>
      <c r="AN65" s="767"/>
      <c r="AO65" s="767"/>
      <c r="AP65" s="767"/>
      <c r="AQ65" s="246"/>
      <c r="AR65" s="767"/>
      <c r="AS65" s="767"/>
      <c r="AT65" s="767"/>
      <c r="AU65" s="767"/>
      <c r="AV65" s="246"/>
      <c r="AW65" s="767"/>
      <c r="AX65" s="767"/>
      <c r="AY65" s="767"/>
      <c r="AZ65" s="767"/>
      <c r="BA65" s="246"/>
      <c r="BB65" s="767"/>
      <c r="BC65" s="767"/>
      <c r="BD65" s="767"/>
      <c r="BE65" s="767"/>
      <c r="BF65" s="246"/>
      <c r="BG65" s="767"/>
      <c r="BH65" s="767"/>
      <c r="BI65" s="767"/>
      <c r="BJ65" s="767"/>
      <c r="BK65" s="246"/>
      <c r="BL65" s="767"/>
      <c r="BM65" s="767"/>
      <c r="BN65" s="767"/>
      <c r="BO65" s="767"/>
      <c r="BP65" s="246"/>
      <c r="BQ65" s="767"/>
      <c r="BR65" s="767"/>
      <c r="BS65" s="767"/>
      <c r="BT65" s="767"/>
      <c r="BU65" s="246"/>
      <c r="BV65" s="767"/>
      <c r="BW65" s="767"/>
      <c r="BX65" s="767"/>
      <c r="BY65" s="767"/>
      <c r="BZ65" s="246"/>
      <c r="CA65" s="767"/>
      <c r="CB65" s="767"/>
      <c r="CC65" s="767"/>
      <c r="CD65" s="767"/>
      <c r="CE65" s="246"/>
      <c r="CF65" s="767"/>
      <c r="CG65" s="3008"/>
      <c r="CH65" s="2983">
        <v>8</v>
      </c>
      <c r="CI65" s="2983">
        <v>9</v>
      </c>
      <c r="CJ65" s="661">
        <f t="shared" si="37"/>
        <v>9</v>
      </c>
      <c r="CK65" s="3501">
        <v>9</v>
      </c>
      <c r="CL65" s="3518">
        <v>9</v>
      </c>
      <c r="CM65" s="3518">
        <v>10</v>
      </c>
      <c r="CN65" s="3518">
        <v>10</v>
      </c>
      <c r="CO65" s="661">
        <f t="shared" si="38"/>
        <v>10</v>
      </c>
      <c r="CP65" s="3501"/>
      <c r="CQ65" s="3518"/>
      <c r="CR65" s="1261"/>
      <c r="CS65" s="1261"/>
      <c r="CT65" s="1243"/>
      <c r="CU65" s="1243"/>
      <c r="CV65" s="1243"/>
    </row>
    <row r="66" spans="1:256" x14ac:dyDescent="0.2">
      <c r="A66" s="2434" t="s">
        <v>2460</v>
      </c>
      <c r="B66" s="1240"/>
      <c r="C66" s="1241"/>
      <c r="D66" s="758"/>
      <c r="E66" s="758"/>
      <c r="F66" s="758"/>
      <c r="G66" s="758"/>
      <c r="H66" s="752"/>
      <c r="I66" s="767"/>
      <c r="J66" s="767"/>
      <c r="K66" s="767"/>
      <c r="L66" s="767"/>
      <c r="M66" s="246"/>
      <c r="N66" s="767"/>
      <c r="O66" s="767"/>
      <c r="P66" s="767"/>
      <c r="Q66" s="767"/>
      <c r="R66" s="246"/>
      <c r="S66" s="767"/>
      <c r="T66" s="767"/>
      <c r="U66" s="767"/>
      <c r="V66" s="767"/>
      <c r="W66" s="246"/>
      <c r="X66" s="767"/>
      <c r="Y66" s="767"/>
      <c r="Z66" s="767"/>
      <c r="AA66" s="767"/>
      <c r="AB66" s="246"/>
      <c r="AC66" s="767"/>
      <c r="AD66" s="767"/>
      <c r="AE66" s="767"/>
      <c r="AF66" s="767"/>
      <c r="AG66" s="246"/>
      <c r="AH66" s="767"/>
      <c r="AI66" s="767"/>
      <c r="AJ66" s="767"/>
      <c r="AK66" s="767"/>
      <c r="AL66" s="246"/>
      <c r="AM66" s="767"/>
      <c r="AN66" s="767"/>
      <c r="AO66" s="767"/>
      <c r="AP66" s="767"/>
      <c r="AQ66" s="246"/>
      <c r="AR66" s="767"/>
      <c r="AS66" s="767"/>
      <c r="AT66" s="767"/>
      <c r="AU66" s="767"/>
      <c r="AV66" s="246"/>
      <c r="AW66" s="767"/>
      <c r="AX66" s="767"/>
      <c r="AY66" s="767"/>
      <c r="AZ66" s="767"/>
      <c r="BA66" s="246"/>
      <c r="BB66" s="767"/>
      <c r="BC66" s="767"/>
      <c r="BD66" s="767"/>
      <c r="BE66" s="767"/>
      <c r="BF66" s="246"/>
      <c r="BG66" s="767"/>
      <c r="BH66" s="767"/>
      <c r="BI66" s="767"/>
      <c r="BJ66" s="767"/>
      <c r="BK66" s="246"/>
      <c r="BL66" s="767"/>
      <c r="BM66" s="767"/>
      <c r="BN66" s="767"/>
      <c r="BO66" s="767"/>
      <c r="BP66" s="246"/>
      <c r="BQ66" s="767"/>
      <c r="BR66" s="767"/>
      <c r="BS66" s="767"/>
      <c r="BT66" s="767"/>
      <c r="BU66" s="246"/>
      <c r="BV66" s="767"/>
      <c r="BW66" s="767"/>
      <c r="BX66" s="767"/>
      <c r="BY66" s="767"/>
      <c r="BZ66" s="246"/>
      <c r="CA66" s="767"/>
      <c r="CB66" s="767"/>
      <c r="CC66" s="767"/>
      <c r="CD66" s="767"/>
      <c r="CE66" s="246"/>
      <c r="CF66" s="767"/>
      <c r="CG66" s="3008"/>
      <c r="CH66" s="2983">
        <v>4</v>
      </c>
      <c r="CI66" s="2983">
        <v>4</v>
      </c>
      <c r="CJ66" s="661">
        <f t="shared" si="37"/>
        <v>4</v>
      </c>
      <c r="CK66" s="3501">
        <v>4</v>
      </c>
      <c r="CL66" s="3518">
        <v>4</v>
      </c>
      <c r="CM66" s="3518">
        <v>4</v>
      </c>
      <c r="CN66" s="3518">
        <v>4</v>
      </c>
      <c r="CO66" s="661">
        <f t="shared" si="38"/>
        <v>4</v>
      </c>
      <c r="CP66" s="3501"/>
      <c r="CQ66" s="3518"/>
      <c r="CR66" s="1261"/>
      <c r="CS66" s="1261"/>
      <c r="CT66" s="1243"/>
      <c r="CU66" s="1243"/>
      <c r="CV66" s="1243"/>
    </row>
    <row r="67" spans="1:256" x14ac:dyDescent="0.2">
      <c r="A67" s="2434" t="s">
        <v>2461</v>
      </c>
      <c r="B67" s="1240"/>
      <c r="C67" s="1241"/>
      <c r="D67" s="758"/>
      <c r="E67" s="758"/>
      <c r="F67" s="758"/>
      <c r="G67" s="758"/>
      <c r="H67" s="752"/>
      <c r="I67" s="767"/>
      <c r="J67" s="767"/>
      <c r="K67" s="767"/>
      <c r="L67" s="767"/>
      <c r="M67" s="246"/>
      <c r="N67" s="767"/>
      <c r="O67" s="767"/>
      <c r="P67" s="767"/>
      <c r="Q67" s="767"/>
      <c r="R67" s="246"/>
      <c r="S67" s="767"/>
      <c r="T67" s="767"/>
      <c r="U67" s="767"/>
      <c r="V67" s="767"/>
      <c r="W67" s="246"/>
      <c r="X67" s="767"/>
      <c r="Y67" s="767"/>
      <c r="Z67" s="767"/>
      <c r="AA67" s="767"/>
      <c r="AB67" s="246"/>
      <c r="AC67" s="767"/>
      <c r="AD67" s="767"/>
      <c r="AE67" s="767"/>
      <c r="AF67" s="767"/>
      <c r="AG67" s="246"/>
      <c r="AH67" s="767"/>
      <c r="AI67" s="767"/>
      <c r="AJ67" s="767"/>
      <c r="AK67" s="767"/>
      <c r="AL67" s="246"/>
      <c r="AM67" s="767"/>
      <c r="AN67" s="767"/>
      <c r="AO67" s="767"/>
      <c r="AP67" s="767"/>
      <c r="AQ67" s="246"/>
      <c r="AR67" s="767"/>
      <c r="AS67" s="767"/>
      <c r="AT67" s="767"/>
      <c r="AU67" s="767"/>
      <c r="AV67" s="246"/>
      <c r="AW67" s="767"/>
      <c r="AX67" s="767"/>
      <c r="AY67" s="767"/>
      <c r="AZ67" s="767"/>
      <c r="BA67" s="246"/>
      <c r="BB67" s="767"/>
      <c r="BC67" s="767"/>
      <c r="BD67" s="767"/>
      <c r="BE67" s="767"/>
      <c r="BF67" s="246"/>
      <c r="BG67" s="767"/>
      <c r="BH67" s="767"/>
      <c r="BI67" s="767"/>
      <c r="BJ67" s="767"/>
      <c r="BK67" s="246"/>
      <c r="BL67" s="767"/>
      <c r="BM67" s="767"/>
      <c r="BN67" s="767"/>
      <c r="BO67" s="767"/>
      <c r="BP67" s="246"/>
      <c r="BQ67" s="767"/>
      <c r="BR67" s="767"/>
      <c r="BS67" s="767"/>
      <c r="BT67" s="767"/>
      <c r="BU67" s="246"/>
      <c r="BV67" s="767"/>
      <c r="BW67" s="767"/>
      <c r="BX67" s="767"/>
      <c r="BY67" s="767"/>
      <c r="BZ67" s="246"/>
      <c r="CA67" s="767"/>
      <c r="CB67" s="767"/>
      <c r="CC67" s="767"/>
      <c r="CD67" s="767"/>
      <c r="CE67" s="246"/>
      <c r="CF67" s="767"/>
      <c r="CG67" s="3008"/>
      <c r="CH67" s="2983">
        <v>1</v>
      </c>
      <c r="CI67" s="2983">
        <v>1</v>
      </c>
      <c r="CJ67" s="661">
        <f t="shared" si="37"/>
        <v>1</v>
      </c>
      <c r="CK67" s="3501">
        <v>1</v>
      </c>
      <c r="CL67" s="3518">
        <v>1</v>
      </c>
      <c r="CM67" s="3518">
        <v>1</v>
      </c>
      <c r="CN67" s="3518">
        <v>1</v>
      </c>
      <c r="CO67" s="661">
        <f t="shared" si="38"/>
        <v>1</v>
      </c>
      <c r="CP67" s="3501"/>
      <c r="CQ67" s="3518"/>
      <c r="CR67" s="1261"/>
      <c r="CS67" s="1261"/>
      <c r="CT67" s="1243"/>
      <c r="CU67" s="1243"/>
      <c r="CV67" s="1243"/>
    </row>
    <row r="68" spans="1:256" x14ac:dyDescent="0.2">
      <c r="A68" s="2434" t="s">
        <v>2462</v>
      </c>
      <c r="B68" s="1240"/>
      <c r="C68" s="1241"/>
      <c r="D68" s="758"/>
      <c r="E68" s="758"/>
      <c r="F68" s="758"/>
      <c r="G68" s="758"/>
      <c r="H68" s="752"/>
      <c r="I68" s="767"/>
      <c r="J68" s="767"/>
      <c r="K68" s="767"/>
      <c r="L68" s="767"/>
      <c r="M68" s="246"/>
      <c r="N68" s="767"/>
      <c r="O68" s="767"/>
      <c r="P68" s="767"/>
      <c r="Q68" s="767"/>
      <c r="R68" s="246"/>
      <c r="S68" s="767"/>
      <c r="T68" s="767"/>
      <c r="U68" s="767"/>
      <c r="V68" s="767"/>
      <c r="W68" s="246"/>
      <c r="X68" s="767"/>
      <c r="Y68" s="767"/>
      <c r="Z68" s="767"/>
      <c r="AA68" s="767"/>
      <c r="AB68" s="246"/>
      <c r="AC68" s="767"/>
      <c r="AD68" s="767"/>
      <c r="AE68" s="767"/>
      <c r="AF68" s="767"/>
      <c r="AG68" s="246"/>
      <c r="AH68" s="767"/>
      <c r="AI68" s="767"/>
      <c r="AJ68" s="767"/>
      <c r="AK68" s="767"/>
      <c r="AL68" s="246"/>
      <c r="AM68" s="767"/>
      <c r="AN68" s="767"/>
      <c r="AO68" s="767"/>
      <c r="AP68" s="767"/>
      <c r="AQ68" s="246"/>
      <c r="AR68" s="767"/>
      <c r="AS68" s="767"/>
      <c r="AT68" s="767"/>
      <c r="AU68" s="767"/>
      <c r="AV68" s="246"/>
      <c r="AW68" s="767"/>
      <c r="AX68" s="767"/>
      <c r="AY68" s="767"/>
      <c r="AZ68" s="767"/>
      <c r="BA68" s="246"/>
      <c r="BB68" s="767"/>
      <c r="BC68" s="767"/>
      <c r="BD68" s="767"/>
      <c r="BE68" s="767"/>
      <c r="BF68" s="246"/>
      <c r="BG68" s="767"/>
      <c r="BH68" s="767"/>
      <c r="BI68" s="767"/>
      <c r="BJ68" s="767"/>
      <c r="BK68" s="246"/>
      <c r="BL68" s="767"/>
      <c r="BM68" s="767"/>
      <c r="BN68" s="767"/>
      <c r="BO68" s="767"/>
      <c r="BP68" s="246"/>
      <c r="BQ68" s="767"/>
      <c r="BR68" s="767"/>
      <c r="BS68" s="767"/>
      <c r="BT68" s="767"/>
      <c r="BU68" s="246"/>
      <c r="BV68" s="767"/>
      <c r="BW68" s="767"/>
      <c r="BX68" s="767"/>
      <c r="BY68" s="767"/>
      <c r="BZ68" s="246"/>
      <c r="CA68" s="767"/>
      <c r="CB68" s="767"/>
      <c r="CC68" s="767"/>
      <c r="CD68" s="767"/>
      <c r="CE68" s="246"/>
      <c r="CF68" s="767"/>
      <c r="CG68" s="3008"/>
      <c r="CH68" s="2983">
        <v>1</v>
      </c>
      <c r="CI68" s="2983">
        <v>1</v>
      </c>
      <c r="CJ68" s="661">
        <f t="shared" si="37"/>
        <v>1</v>
      </c>
      <c r="CK68" s="3501">
        <v>1</v>
      </c>
      <c r="CL68" s="3518">
        <v>1</v>
      </c>
      <c r="CM68" s="3518">
        <v>1</v>
      </c>
      <c r="CN68" s="3518">
        <v>1</v>
      </c>
      <c r="CO68" s="661">
        <f t="shared" si="38"/>
        <v>1</v>
      </c>
      <c r="CP68" s="3501"/>
      <c r="CQ68" s="3518"/>
      <c r="CR68" s="1261"/>
      <c r="CS68" s="1261"/>
      <c r="CT68" s="1243"/>
      <c r="CU68" s="1243"/>
      <c r="CV68" s="1243"/>
    </row>
    <row r="69" spans="1:256" x14ac:dyDescent="0.2">
      <c r="A69" s="2434" t="s">
        <v>2463</v>
      </c>
      <c r="B69" s="1240"/>
      <c r="C69" s="1241"/>
      <c r="D69" s="758"/>
      <c r="E69" s="758"/>
      <c r="F69" s="758"/>
      <c r="G69" s="758"/>
      <c r="H69" s="752"/>
      <c r="I69" s="767"/>
      <c r="J69" s="767"/>
      <c r="K69" s="767"/>
      <c r="L69" s="767"/>
      <c r="M69" s="246"/>
      <c r="N69" s="767"/>
      <c r="O69" s="767"/>
      <c r="P69" s="767"/>
      <c r="Q69" s="767"/>
      <c r="R69" s="246"/>
      <c r="S69" s="767"/>
      <c r="T69" s="767"/>
      <c r="U69" s="767"/>
      <c r="V69" s="767"/>
      <c r="W69" s="246"/>
      <c r="X69" s="767"/>
      <c r="Y69" s="767"/>
      <c r="Z69" s="767"/>
      <c r="AA69" s="767"/>
      <c r="AB69" s="246"/>
      <c r="AC69" s="767"/>
      <c r="AD69" s="767"/>
      <c r="AE69" s="767"/>
      <c r="AF69" s="767"/>
      <c r="AG69" s="246"/>
      <c r="AH69" s="767"/>
      <c r="AI69" s="767"/>
      <c r="AJ69" s="767"/>
      <c r="AK69" s="767"/>
      <c r="AL69" s="246"/>
      <c r="AM69" s="767"/>
      <c r="AN69" s="767"/>
      <c r="AO69" s="767"/>
      <c r="AP69" s="767"/>
      <c r="AQ69" s="246"/>
      <c r="AR69" s="767"/>
      <c r="AS69" s="767"/>
      <c r="AT69" s="767"/>
      <c r="AU69" s="767"/>
      <c r="AV69" s="246"/>
      <c r="AW69" s="767"/>
      <c r="AX69" s="767"/>
      <c r="AY69" s="767"/>
      <c r="AZ69" s="767"/>
      <c r="BA69" s="246"/>
      <c r="BB69" s="767"/>
      <c r="BC69" s="767"/>
      <c r="BD69" s="767"/>
      <c r="BE69" s="767"/>
      <c r="BF69" s="246"/>
      <c r="BG69" s="767"/>
      <c r="BH69" s="767"/>
      <c r="BI69" s="767"/>
      <c r="BJ69" s="767"/>
      <c r="BK69" s="246"/>
      <c r="BL69" s="767"/>
      <c r="BM69" s="767"/>
      <c r="BN69" s="767"/>
      <c r="BO69" s="767"/>
      <c r="BP69" s="246"/>
      <c r="BQ69" s="767"/>
      <c r="BR69" s="767"/>
      <c r="BS69" s="767"/>
      <c r="BT69" s="767"/>
      <c r="BU69" s="246"/>
      <c r="BV69" s="767"/>
      <c r="BW69" s="767"/>
      <c r="BX69" s="767"/>
      <c r="BY69" s="767"/>
      <c r="BZ69" s="246"/>
      <c r="CA69" s="767"/>
      <c r="CB69" s="767"/>
      <c r="CC69" s="767"/>
      <c r="CD69" s="767"/>
      <c r="CE69" s="246"/>
      <c r="CF69" s="767"/>
      <c r="CG69" s="3008"/>
      <c r="CH69" s="2983">
        <v>0</v>
      </c>
      <c r="CI69" s="2983">
        <v>0</v>
      </c>
      <c r="CJ69" s="661">
        <f t="shared" si="37"/>
        <v>0</v>
      </c>
      <c r="CK69" s="3501">
        <v>0</v>
      </c>
      <c r="CL69" s="3518">
        <v>0</v>
      </c>
      <c r="CM69" s="3518">
        <v>0</v>
      </c>
      <c r="CN69" s="3518">
        <v>0</v>
      </c>
      <c r="CO69" s="661">
        <f t="shared" si="38"/>
        <v>0</v>
      </c>
      <c r="CP69" s="3501"/>
      <c r="CQ69" s="3518"/>
      <c r="CR69" s="1261"/>
      <c r="CS69" s="1261"/>
      <c r="CT69" s="1243"/>
      <c r="CU69" s="1243"/>
      <c r="CV69" s="1243"/>
    </row>
    <row r="70" spans="1:256" x14ac:dyDescent="0.2">
      <c r="A70" s="1207" t="s">
        <v>1931</v>
      </c>
      <c r="B70" s="1240"/>
      <c r="C70" s="1241"/>
      <c r="D70" s="758"/>
      <c r="E70" s="758"/>
      <c r="F70" s="758"/>
      <c r="G70" s="758"/>
      <c r="H70" s="752"/>
      <c r="I70" s="767"/>
      <c r="J70" s="767"/>
      <c r="K70" s="767"/>
      <c r="L70" s="767"/>
      <c r="M70" s="246"/>
      <c r="N70" s="767"/>
      <c r="O70" s="767"/>
      <c r="P70" s="767"/>
      <c r="Q70" s="767"/>
      <c r="R70" s="246"/>
      <c r="S70" s="767"/>
      <c r="T70" s="767"/>
      <c r="U70" s="767"/>
      <c r="V70" s="767"/>
      <c r="W70" s="246"/>
      <c r="X70" s="767"/>
      <c r="Y70" s="767"/>
      <c r="Z70" s="767"/>
      <c r="AA70" s="767"/>
      <c r="AB70" s="246"/>
      <c r="AC70" s="767"/>
      <c r="AD70" s="767"/>
      <c r="AE70" s="767"/>
      <c r="AF70" s="767"/>
      <c r="AG70" s="246"/>
      <c r="AH70" s="767"/>
      <c r="AI70" s="767"/>
      <c r="AJ70" s="767"/>
      <c r="AK70" s="767"/>
      <c r="AL70" s="246"/>
      <c r="AM70" s="767"/>
      <c r="AN70" s="767"/>
      <c r="AO70" s="767"/>
      <c r="AP70" s="767"/>
      <c r="AQ70" s="246"/>
      <c r="AR70" s="767"/>
      <c r="AS70" s="767"/>
      <c r="AT70" s="767"/>
      <c r="AU70" s="767"/>
      <c r="AV70" s="246"/>
      <c r="AW70" s="767"/>
      <c r="AX70" s="767"/>
      <c r="AY70" s="767"/>
      <c r="AZ70" s="767"/>
      <c r="BA70" s="246"/>
      <c r="BB70" s="767"/>
      <c r="BC70" s="767"/>
      <c r="BD70" s="767"/>
      <c r="BE70" s="767"/>
      <c r="BF70" s="246"/>
      <c r="BG70" s="767"/>
      <c r="BH70" s="767"/>
      <c r="BI70" s="767"/>
      <c r="BJ70" s="767"/>
      <c r="BK70" s="246"/>
      <c r="BL70" s="767"/>
      <c r="BM70" s="767"/>
      <c r="BN70" s="767"/>
      <c r="BO70" s="767"/>
      <c r="BP70" s="246"/>
      <c r="BQ70" s="767"/>
      <c r="BR70" s="767"/>
      <c r="BS70" s="767"/>
      <c r="BT70" s="767"/>
      <c r="BU70" s="246"/>
      <c r="BV70" s="767"/>
      <c r="BW70" s="767"/>
      <c r="BX70" s="767"/>
      <c r="BY70" s="767"/>
      <c r="BZ70" s="246"/>
      <c r="CA70" s="767"/>
      <c r="CB70" s="767"/>
      <c r="CC70" s="767"/>
      <c r="CD70" s="767"/>
      <c r="CE70" s="246"/>
      <c r="CF70" s="767"/>
      <c r="CG70" s="3008"/>
      <c r="CH70" s="2983">
        <f>34+1</f>
        <v>35</v>
      </c>
      <c r="CI70" s="2983">
        <f>34+1</f>
        <v>35</v>
      </c>
      <c r="CJ70" s="661">
        <f t="shared" si="37"/>
        <v>35</v>
      </c>
      <c r="CK70" s="3501">
        <f>1+34</f>
        <v>35</v>
      </c>
      <c r="CL70" s="3518">
        <f>34+1</f>
        <v>35</v>
      </c>
      <c r="CM70" s="3518">
        <f>34+9+6+1+1</f>
        <v>51</v>
      </c>
      <c r="CN70" s="3518">
        <f>35+7+1+1+9</f>
        <v>53</v>
      </c>
      <c r="CO70" s="661">
        <f t="shared" si="38"/>
        <v>53</v>
      </c>
      <c r="CP70" s="3501"/>
      <c r="CQ70" s="3518"/>
      <c r="CR70" s="1261"/>
      <c r="CS70" s="1261"/>
      <c r="CT70" s="1243"/>
      <c r="CU70" s="1243"/>
      <c r="CV70" s="1243"/>
    </row>
    <row r="71" spans="1:256" ht="4.5" customHeight="1" x14ac:dyDescent="0.35">
      <c r="A71" s="1207"/>
      <c r="B71" s="212"/>
      <c r="C71" s="212"/>
      <c r="D71" s="212"/>
      <c r="E71" s="212"/>
      <c r="F71" s="212"/>
      <c r="G71" s="212"/>
      <c r="H71" s="194"/>
      <c r="I71" s="850" t="s">
        <v>2466</v>
      </c>
      <c r="J71" s="850" t="s">
        <v>2139</v>
      </c>
      <c r="K71" s="850" t="s">
        <v>2466</v>
      </c>
      <c r="L71" s="850" t="s">
        <v>2139</v>
      </c>
      <c r="M71" s="3009" t="s">
        <v>2378</v>
      </c>
      <c r="N71" s="850" t="s">
        <v>2466</v>
      </c>
      <c r="O71" s="850" t="s">
        <v>2139</v>
      </c>
      <c r="P71" s="850" t="s">
        <v>2466</v>
      </c>
      <c r="Q71" s="850" t="s">
        <v>2139</v>
      </c>
      <c r="R71" s="3009" t="s">
        <v>2378</v>
      </c>
      <c r="S71" s="850" t="s">
        <v>2466</v>
      </c>
      <c r="T71" s="850" t="s">
        <v>2139</v>
      </c>
      <c r="U71" s="850" t="s">
        <v>2466</v>
      </c>
      <c r="V71" s="850" t="s">
        <v>2139</v>
      </c>
      <c r="W71" s="3009" t="s">
        <v>2378</v>
      </c>
      <c r="X71" s="850" t="s">
        <v>2466</v>
      </c>
      <c r="Y71" s="850" t="s">
        <v>2139</v>
      </c>
      <c r="Z71" s="850" t="s">
        <v>2466</v>
      </c>
      <c r="AA71" s="850" t="s">
        <v>2139</v>
      </c>
      <c r="AB71" s="3009" t="s">
        <v>2378</v>
      </c>
      <c r="AC71" s="850" t="s">
        <v>2466</v>
      </c>
      <c r="AD71" s="850" t="s">
        <v>2139</v>
      </c>
      <c r="AE71" s="850" t="s">
        <v>2466</v>
      </c>
      <c r="AF71" s="850" t="s">
        <v>2139</v>
      </c>
      <c r="AG71" s="3009" t="s">
        <v>2378</v>
      </c>
      <c r="AH71" s="850" t="s">
        <v>2466</v>
      </c>
      <c r="AI71" s="850" t="s">
        <v>2139</v>
      </c>
      <c r="AJ71" s="850" t="s">
        <v>2466</v>
      </c>
      <c r="AK71" s="850" t="s">
        <v>2139</v>
      </c>
      <c r="AL71" s="3009" t="s">
        <v>2378</v>
      </c>
      <c r="AM71" s="850" t="s">
        <v>2466</v>
      </c>
      <c r="AN71" s="850" t="s">
        <v>2139</v>
      </c>
      <c r="AO71" s="850" t="s">
        <v>2466</v>
      </c>
      <c r="AP71" s="850" t="s">
        <v>2139</v>
      </c>
      <c r="AQ71" s="3009" t="s">
        <v>2378</v>
      </c>
      <c r="AR71" s="850" t="s">
        <v>2466</v>
      </c>
      <c r="AS71" s="850" t="s">
        <v>2139</v>
      </c>
      <c r="AT71" s="850" t="s">
        <v>2466</v>
      </c>
      <c r="AU71" s="850" t="s">
        <v>2139</v>
      </c>
      <c r="AV71" s="3009" t="s">
        <v>2378</v>
      </c>
      <c r="AW71" s="850" t="s">
        <v>2466</v>
      </c>
      <c r="AX71" s="850" t="s">
        <v>2139</v>
      </c>
      <c r="AY71" s="850" t="s">
        <v>2466</v>
      </c>
      <c r="AZ71" s="850" t="s">
        <v>2139</v>
      </c>
      <c r="BA71" s="3009" t="s">
        <v>2378</v>
      </c>
      <c r="BB71" s="850" t="s">
        <v>2466</v>
      </c>
      <c r="BC71" s="850" t="s">
        <v>2139</v>
      </c>
      <c r="BD71" s="850" t="s">
        <v>2466</v>
      </c>
      <c r="BE71" s="850" t="s">
        <v>2139</v>
      </c>
      <c r="BF71" s="3009" t="s">
        <v>2378</v>
      </c>
      <c r="BG71" s="3011" t="s">
        <v>2467</v>
      </c>
      <c r="BH71" s="3011" t="s">
        <v>2467</v>
      </c>
      <c r="BI71" s="3011" t="s">
        <v>2467</v>
      </c>
      <c r="BJ71" s="3011" t="s">
        <v>2467</v>
      </c>
      <c r="BK71" s="3009" t="s">
        <v>2139</v>
      </c>
      <c r="BL71" s="3011" t="s">
        <v>1191</v>
      </c>
      <c r="BM71" s="3011" t="s">
        <v>1191</v>
      </c>
      <c r="BN71" s="3011" t="s">
        <v>1191</v>
      </c>
      <c r="BO71" s="3011" t="s">
        <v>1191</v>
      </c>
      <c r="BP71" s="3009" t="s">
        <v>2139</v>
      </c>
      <c r="BQ71" s="3011" t="s">
        <v>2139</v>
      </c>
      <c r="BR71" s="3011" t="s">
        <v>2139</v>
      </c>
      <c r="BS71" s="3011" t="s">
        <v>2139</v>
      </c>
      <c r="BT71" s="3011" t="s">
        <v>2139</v>
      </c>
      <c r="BU71" s="3009" t="s">
        <v>2139</v>
      </c>
      <c r="BV71" s="3011" t="s">
        <v>2468</v>
      </c>
      <c r="BW71" s="3011" t="s">
        <v>2468</v>
      </c>
      <c r="BX71" s="3011" t="s">
        <v>2468</v>
      </c>
      <c r="BY71" s="3011" t="s">
        <v>2467</v>
      </c>
      <c r="BZ71" s="3009" t="s">
        <v>2378</v>
      </c>
      <c r="CA71" s="3011" t="s">
        <v>2466</v>
      </c>
      <c r="CB71" s="3011" t="s">
        <v>2466</v>
      </c>
      <c r="CC71" s="3011" t="s">
        <v>2466</v>
      </c>
      <c r="CD71" s="3011" t="s">
        <v>2378</v>
      </c>
      <c r="CE71" s="3009" t="s">
        <v>2139</v>
      </c>
      <c r="CF71" s="3011" t="s">
        <v>2466</v>
      </c>
      <c r="CG71" s="3011" t="s">
        <v>2378</v>
      </c>
      <c r="CH71" s="3011" t="s">
        <v>2378</v>
      </c>
      <c r="CI71" s="3011" t="s">
        <v>2378</v>
      </c>
      <c r="CJ71" s="3009" t="s">
        <v>2378</v>
      </c>
      <c r="CK71" s="3502" t="s">
        <v>2466</v>
      </c>
      <c r="CL71" s="3502" t="s">
        <v>2466</v>
      </c>
      <c r="CM71" s="3502" t="s">
        <v>2466</v>
      </c>
      <c r="CN71" s="3502" t="s">
        <v>2466</v>
      </c>
      <c r="CO71" s="3009" t="s">
        <v>2378</v>
      </c>
      <c r="CP71" s="3502"/>
      <c r="CQ71" s="3502"/>
      <c r="CR71" s="212"/>
      <c r="CS71" s="212"/>
      <c r="CT71" s="194"/>
      <c r="CU71" s="194"/>
      <c r="CV71" s="194"/>
    </row>
    <row r="72" spans="1:256" x14ac:dyDescent="0.2">
      <c r="A72" s="1437" t="s">
        <v>1735</v>
      </c>
      <c r="B72" s="1739"/>
      <c r="C72" s="1426"/>
      <c r="D72" s="257"/>
      <c r="E72" s="257"/>
      <c r="F72" s="257"/>
      <c r="G72" s="257"/>
      <c r="H72" s="1426"/>
      <c r="I72" s="257">
        <f t="shared" ref="I72:AN72" si="39">SUM(I42:I58)</f>
        <v>650</v>
      </c>
      <c r="J72" s="257">
        <f t="shared" si="39"/>
        <v>660</v>
      </c>
      <c r="K72" s="257">
        <f t="shared" si="39"/>
        <v>672</v>
      </c>
      <c r="L72" s="257">
        <f t="shared" si="39"/>
        <v>624</v>
      </c>
      <c r="M72" s="1426">
        <f t="shared" si="39"/>
        <v>624</v>
      </c>
      <c r="N72" s="257">
        <f t="shared" si="39"/>
        <v>635</v>
      </c>
      <c r="O72" s="257">
        <f t="shared" si="39"/>
        <v>642</v>
      </c>
      <c r="P72" s="257">
        <f t="shared" si="39"/>
        <v>643</v>
      </c>
      <c r="Q72" s="257">
        <f t="shared" si="39"/>
        <v>654</v>
      </c>
      <c r="R72" s="1426">
        <f t="shared" si="39"/>
        <v>654</v>
      </c>
      <c r="S72" s="257">
        <f t="shared" si="39"/>
        <v>653</v>
      </c>
      <c r="T72" s="257">
        <f t="shared" si="39"/>
        <v>652</v>
      </c>
      <c r="U72" s="257">
        <f t="shared" si="39"/>
        <v>654</v>
      </c>
      <c r="V72" s="257">
        <f t="shared" si="39"/>
        <v>663</v>
      </c>
      <c r="W72" s="1426">
        <f t="shared" si="39"/>
        <v>663</v>
      </c>
      <c r="X72" s="257">
        <f t="shared" si="39"/>
        <v>662</v>
      </c>
      <c r="Y72" s="257">
        <f t="shared" si="39"/>
        <v>673</v>
      </c>
      <c r="Z72" s="257">
        <f t="shared" si="39"/>
        <v>682</v>
      </c>
      <c r="AA72" s="257">
        <f t="shared" si="39"/>
        <v>687</v>
      </c>
      <c r="AB72" s="1426">
        <f t="shared" si="39"/>
        <v>687</v>
      </c>
      <c r="AC72" s="257">
        <f t="shared" si="39"/>
        <v>686</v>
      </c>
      <c r="AD72" s="257">
        <f t="shared" si="39"/>
        <v>687</v>
      </c>
      <c r="AE72" s="257">
        <f t="shared" si="39"/>
        <v>679</v>
      </c>
      <c r="AF72" s="257">
        <f t="shared" si="39"/>
        <v>681</v>
      </c>
      <c r="AG72" s="1426">
        <f t="shared" si="39"/>
        <v>681</v>
      </c>
      <c r="AH72" s="257">
        <f t="shared" si="39"/>
        <v>679</v>
      </c>
      <c r="AI72" s="257">
        <f t="shared" si="39"/>
        <v>681</v>
      </c>
      <c r="AJ72" s="257">
        <f t="shared" si="39"/>
        <v>681</v>
      </c>
      <c r="AK72" s="257">
        <f t="shared" si="39"/>
        <v>676</v>
      </c>
      <c r="AL72" s="1426">
        <f t="shared" si="39"/>
        <v>676</v>
      </c>
      <c r="AM72" s="257">
        <f t="shared" si="39"/>
        <v>675</v>
      </c>
      <c r="AN72" s="257">
        <f t="shared" si="39"/>
        <v>676</v>
      </c>
      <c r="AO72" s="257">
        <f t="shared" ref="AO72:BT72" si="40">SUM(AO42:AO58)</f>
        <v>679</v>
      </c>
      <c r="AP72" s="257">
        <f t="shared" si="40"/>
        <v>685</v>
      </c>
      <c r="AQ72" s="1426">
        <f t="shared" si="40"/>
        <v>685</v>
      </c>
      <c r="AR72" s="257">
        <f t="shared" si="40"/>
        <v>684</v>
      </c>
      <c r="AS72" s="257">
        <f t="shared" si="40"/>
        <v>684</v>
      </c>
      <c r="AT72" s="257">
        <f t="shared" si="40"/>
        <v>685</v>
      </c>
      <c r="AU72" s="257">
        <f t="shared" si="40"/>
        <v>686</v>
      </c>
      <c r="AV72" s="1426">
        <f t="shared" si="40"/>
        <v>686</v>
      </c>
      <c r="AW72" s="257">
        <f t="shared" si="40"/>
        <v>688</v>
      </c>
      <c r="AX72" s="257">
        <f t="shared" si="40"/>
        <v>690</v>
      </c>
      <c r="AY72" s="257">
        <f t="shared" si="40"/>
        <v>692</v>
      </c>
      <c r="AZ72" s="257">
        <f t="shared" si="40"/>
        <v>699</v>
      </c>
      <c r="BA72" s="1426">
        <f t="shared" si="40"/>
        <v>699</v>
      </c>
      <c r="BB72" s="257">
        <f t="shared" si="40"/>
        <v>694</v>
      </c>
      <c r="BC72" s="257">
        <f t="shared" si="40"/>
        <v>696</v>
      </c>
      <c r="BD72" s="257">
        <f t="shared" si="40"/>
        <v>697</v>
      </c>
      <c r="BE72" s="257">
        <f t="shared" si="40"/>
        <v>700</v>
      </c>
      <c r="BF72" s="1426">
        <f t="shared" si="40"/>
        <v>700</v>
      </c>
      <c r="BG72" s="257">
        <f t="shared" si="40"/>
        <v>703</v>
      </c>
      <c r="BH72" s="257">
        <f t="shared" si="40"/>
        <v>706</v>
      </c>
      <c r="BI72" s="257">
        <f t="shared" si="40"/>
        <v>703</v>
      </c>
      <c r="BJ72" s="257">
        <f t="shared" si="40"/>
        <v>696</v>
      </c>
      <c r="BK72" s="1426">
        <f t="shared" si="40"/>
        <v>696</v>
      </c>
      <c r="BL72" s="257">
        <f t="shared" si="40"/>
        <v>695</v>
      </c>
      <c r="BM72" s="257">
        <f t="shared" si="40"/>
        <v>682</v>
      </c>
      <c r="BN72" s="257">
        <f t="shared" si="40"/>
        <v>677</v>
      </c>
      <c r="BO72" s="257">
        <f t="shared" si="40"/>
        <v>680</v>
      </c>
      <c r="BP72" s="1426">
        <f t="shared" si="40"/>
        <v>680</v>
      </c>
      <c r="BQ72" s="257">
        <f t="shared" si="40"/>
        <v>674</v>
      </c>
      <c r="BR72" s="257">
        <f t="shared" si="40"/>
        <v>665</v>
      </c>
      <c r="BS72" s="257">
        <f t="shared" si="40"/>
        <v>662</v>
      </c>
      <c r="BT72" s="257">
        <f t="shared" si="40"/>
        <v>656</v>
      </c>
      <c r="BU72" s="1426">
        <f t="shared" ref="BU72:CF72" si="41">SUM(BU42:BU58)</f>
        <v>656</v>
      </c>
      <c r="BV72" s="257">
        <f t="shared" si="41"/>
        <v>649</v>
      </c>
      <c r="BW72" s="257">
        <f t="shared" si="41"/>
        <v>651</v>
      </c>
      <c r="BX72" s="257">
        <f t="shared" si="41"/>
        <v>639</v>
      </c>
      <c r="BY72" s="257">
        <f t="shared" si="41"/>
        <v>633</v>
      </c>
      <c r="BZ72" s="1426">
        <f t="shared" si="41"/>
        <v>633</v>
      </c>
      <c r="CA72" s="257">
        <f t="shared" si="41"/>
        <v>646</v>
      </c>
      <c r="CB72" s="257">
        <f t="shared" si="41"/>
        <v>673</v>
      </c>
      <c r="CC72" s="257">
        <f t="shared" si="41"/>
        <v>672</v>
      </c>
      <c r="CD72" s="852">
        <f t="shared" si="41"/>
        <v>672</v>
      </c>
      <c r="CE72" s="1426">
        <f t="shared" si="41"/>
        <v>672</v>
      </c>
      <c r="CF72" s="852">
        <f t="shared" si="41"/>
        <v>670</v>
      </c>
      <c r="CG72" s="852">
        <f>SUM(CG42:CG58)</f>
        <v>664</v>
      </c>
      <c r="CH72" s="852">
        <f>SUM(CH41:CH58)</f>
        <v>666</v>
      </c>
      <c r="CI72">
        <f t="shared" ref="CI72:CO72" si="42">SUM(CI41:CI70)</f>
        <v>827</v>
      </c>
      <c r="CJ72" s="843">
        <f t="shared" si="42"/>
        <v>827</v>
      </c>
      <c r="CK72" s="854">
        <f t="shared" si="42"/>
        <v>825</v>
      </c>
      <c r="CL72" s="854">
        <f t="shared" si="42"/>
        <v>824</v>
      </c>
      <c r="CM72" s="854">
        <f t="shared" si="42"/>
        <v>835</v>
      </c>
      <c r="CN72" s="854">
        <f t="shared" si="42"/>
        <v>827</v>
      </c>
      <c r="CO72" s="843">
        <f t="shared" si="42"/>
        <v>827</v>
      </c>
      <c r="CP72" s="854"/>
      <c r="CQ72" s="854"/>
      <c r="CR72" s="852"/>
      <c r="CS72" s="852"/>
      <c r="CT72" s="843">
        <f t="shared" ref="CT72:CV72" si="43">SUM(CT42:CT58)</f>
        <v>0</v>
      </c>
      <c r="CU72" s="843">
        <f t="shared" si="43"/>
        <v>0</v>
      </c>
      <c r="CV72" s="843">
        <f t="shared" si="43"/>
        <v>0</v>
      </c>
      <c r="CW72" s="217"/>
      <c r="CX72" s="217"/>
      <c r="CY72" s="217"/>
      <c r="CZ72" s="217"/>
      <c r="DA72" s="217"/>
      <c r="DB72" s="217"/>
      <c r="DC72" s="217"/>
      <c r="DD72" s="217"/>
      <c r="DE72" s="199"/>
      <c r="DF72" s="199"/>
      <c r="DG72" s="199"/>
      <c r="DH72" s="199"/>
      <c r="DI72" s="199"/>
      <c r="DJ72" s="199"/>
      <c r="DK72" s="199"/>
      <c r="DL72" s="199"/>
      <c r="DM72" s="199"/>
      <c r="DN72" s="199"/>
      <c r="DO72" s="199"/>
      <c r="DP72" s="199"/>
      <c r="DQ72" s="199"/>
      <c r="DR72" s="199"/>
      <c r="DS72" s="199"/>
      <c r="DT72" s="199"/>
      <c r="DU72" s="199"/>
      <c r="DV72" s="199"/>
      <c r="DW72" s="199"/>
      <c r="DX72" s="199"/>
      <c r="DY72" s="199"/>
      <c r="DZ72" s="199"/>
      <c r="EA72" s="199"/>
      <c r="EB72" s="199"/>
      <c r="EC72" s="199"/>
      <c r="ED72" s="199"/>
      <c r="EE72" s="199"/>
      <c r="EF72" s="199"/>
      <c r="EG72" s="199"/>
      <c r="EH72" s="199"/>
      <c r="EI72" s="199"/>
      <c r="EJ72" s="199"/>
      <c r="EK72" s="199"/>
      <c r="EL72" s="199"/>
      <c r="EM72" s="199"/>
      <c r="EN72" s="199"/>
      <c r="EO72" s="199"/>
      <c r="EP72" s="199"/>
      <c r="EQ72" s="199"/>
      <c r="ER72" s="199"/>
      <c r="ES72" s="199"/>
      <c r="ET72" s="199"/>
      <c r="EU72" s="199"/>
      <c r="EV72" s="199"/>
      <c r="EW72" s="199"/>
      <c r="EX72" s="199"/>
      <c r="EY72" s="199"/>
      <c r="EZ72" s="199"/>
      <c r="FA72" s="199"/>
      <c r="FB72" s="199"/>
      <c r="FC72" s="199"/>
      <c r="FD72" s="199"/>
      <c r="FE72" s="199"/>
      <c r="FF72" s="199"/>
      <c r="FG72" s="199"/>
      <c r="FH72" s="199"/>
      <c r="FI72" s="199"/>
      <c r="FJ72" s="199"/>
      <c r="FK72" s="199"/>
      <c r="FL72" s="199"/>
      <c r="FM72" s="199"/>
      <c r="FN72" s="199"/>
      <c r="FO72" s="199"/>
      <c r="FP72" s="199"/>
      <c r="FQ72" s="199"/>
      <c r="FR72" s="199"/>
      <c r="FS72" s="199"/>
      <c r="FT72" s="199"/>
      <c r="FU72" s="199"/>
      <c r="FV72" s="199"/>
      <c r="FW72" s="199"/>
      <c r="FX72" s="199"/>
      <c r="FY72" s="199"/>
      <c r="FZ72" s="199"/>
      <c r="GA72" s="199"/>
      <c r="GB72" s="199"/>
      <c r="GC72" s="199"/>
      <c r="GD72" s="199"/>
      <c r="GE72" s="199"/>
      <c r="GF72" s="199"/>
      <c r="GG72" s="199"/>
      <c r="GH72" s="199"/>
      <c r="GI72" s="199"/>
      <c r="GJ72" s="199"/>
      <c r="GK72" s="199"/>
      <c r="GL72" s="199"/>
      <c r="GM72" s="199"/>
      <c r="GN72" s="199"/>
      <c r="GO72" s="199"/>
      <c r="GP72" s="199"/>
      <c r="GQ72" s="199"/>
      <c r="GR72" s="199"/>
      <c r="GS72" s="199"/>
      <c r="GT72" s="199"/>
      <c r="GU72" s="199"/>
      <c r="GV72" s="199"/>
      <c r="GW72" s="199"/>
      <c r="GX72" s="199"/>
      <c r="GY72" s="199"/>
      <c r="GZ72" s="199"/>
      <c r="HA72" s="199"/>
      <c r="HB72" s="199"/>
      <c r="HC72" s="199"/>
      <c r="HD72" s="199"/>
      <c r="HE72" s="199"/>
      <c r="HF72" s="199"/>
      <c r="HG72" s="199"/>
      <c r="HH72" s="199"/>
      <c r="HI72" s="199"/>
      <c r="HJ72" s="199"/>
      <c r="HK72" s="199"/>
      <c r="HL72" s="199"/>
      <c r="HM72" s="199"/>
      <c r="HN72" s="199"/>
      <c r="HO72" s="199"/>
      <c r="HP72" s="199"/>
      <c r="HQ72" s="199"/>
      <c r="HR72" s="199"/>
      <c r="HS72" s="199"/>
      <c r="HT72" s="199"/>
      <c r="HU72" s="199"/>
      <c r="HV72" s="199"/>
      <c r="HW72" s="199"/>
      <c r="HX72" s="199"/>
      <c r="HY72" s="199"/>
      <c r="HZ72" s="199"/>
      <c r="IA72" s="199"/>
      <c r="IB72" s="199"/>
      <c r="IC72" s="199"/>
      <c r="ID72" s="199"/>
      <c r="IE72" s="199"/>
      <c r="IF72" s="199"/>
      <c r="IG72" s="199"/>
      <c r="IH72" s="199"/>
      <c r="II72" s="199"/>
      <c r="IJ72" s="199"/>
      <c r="IK72" s="199"/>
      <c r="IL72" s="199"/>
      <c r="IM72" s="199"/>
      <c r="IN72" s="199"/>
      <c r="IO72" s="199"/>
      <c r="IP72" s="199"/>
      <c r="IQ72" s="199"/>
      <c r="IR72" s="199"/>
      <c r="IS72" s="199"/>
      <c r="IT72" s="199"/>
      <c r="IU72" s="199"/>
      <c r="IV72" s="199"/>
    </row>
    <row r="73" spans="1:256" x14ac:dyDescent="0.2">
      <c r="A73" s="1437"/>
      <c r="B73" s="651"/>
      <c r="C73" s="236"/>
      <c r="D73" s="234"/>
      <c r="E73" s="234"/>
      <c r="F73" s="234"/>
      <c r="G73" s="234"/>
      <c r="H73" s="236"/>
      <c r="I73" s="234"/>
      <c r="J73" s="234"/>
      <c r="K73" s="234"/>
      <c r="L73" s="234"/>
      <c r="M73" s="236"/>
      <c r="N73" s="234"/>
      <c r="O73" s="234"/>
      <c r="P73" s="234"/>
      <c r="Q73" s="234"/>
      <c r="R73" s="236"/>
      <c r="S73" s="234"/>
      <c r="T73" s="234"/>
      <c r="U73" s="234"/>
      <c r="V73" s="234"/>
      <c r="W73" s="236"/>
      <c r="X73" s="234"/>
      <c r="Y73" s="234"/>
      <c r="Z73" s="234"/>
      <c r="AA73" s="234"/>
      <c r="AB73" s="236"/>
      <c r="AC73" s="234"/>
      <c r="AD73" s="234"/>
      <c r="AE73" s="234"/>
      <c r="AF73" s="234"/>
      <c r="AG73" s="236"/>
      <c r="AH73" s="234"/>
      <c r="AI73" s="234"/>
      <c r="AJ73" s="234"/>
      <c r="AK73" s="234"/>
      <c r="AL73" s="236"/>
      <c r="AM73" s="234"/>
      <c r="AN73" s="234"/>
      <c r="AO73" s="234"/>
      <c r="AP73" s="234"/>
      <c r="AQ73" s="236"/>
      <c r="AR73" s="234"/>
      <c r="AS73" s="234"/>
      <c r="AT73" s="234"/>
      <c r="AU73" s="234"/>
      <c r="AV73" s="236"/>
      <c r="AW73" s="234"/>
      <c r="AX73" s="234"/>
      <c r="AY73" s="234"/>
      <c r="AZ73" s="234"/>
      <c r="BA73" s="236"/>
      <c r="BB73" s="234"/>
      <c r="BC73" s="234"/>
      <c r="BD73" s="234"/>
      <c r="BE73" s="234"/>
      <c r="BF73" s="236"/>
      <c r="BG73" s="234"/>
      <c r="BH73" s="234"/>
      <c r="BI73" s="234"/>
      <c r="BJ73" s="234"/>
      <c r="BK73" s="236"/>
      <c r="BL73" s="234"/>
      <c r="BM73" s="234"/>
      <c r="BN73" s="212"/>
      <c r="BO73" s="212"/>
      <c r="BP73" s="236"/>
      <c r="BQ73" s="212"/>
      <c r="BR73" s="212"/>
      <c r="BS73" s="212"/>
      <c r="BT73" s="212"/>
      <c r="BU73" s="236"/>
      <c r="BV73" s="212"/>
      <c r="BW73" s="212"/>
      <c r="BX73" s="212"/>
      <c r="BY73" s="234"/>
      <c r="BZ73" s="236"/>
      <c r="CA73" s="212"/>
      <c r="CB73" s="212"/>
      <c r="CC73" s="212"/>
      <c r="CD73" s="212"/>
      <c r="CE73" s="194"/>
      <c r="CF73" s="212"/>
      <c r="CG73" s="212"/>
      <c r="CH73" s="212"/>
      <c r="CI73" s="212"/>
      <c r="CJ73" s="194"/>
      <c r="CK73" s="2907"/>
      <c r="CL73" s="212"/>
      <c r="CM73" s="212"/>
      <c r="CN73" s="212"/>
      <c r="CO73" s="194"/>
      <c r="CP73" s="2907"/>
      <c r="CQ73" s="212"/>
      <c r="CR73" s="212"/>
      <c r="CS73" s="212"/>
      <c r="CT73" s="194"/>
      <c r="CU73" s="194"/>
      <c r="CV73" s="194"/>
    </row>
    <row r="74" spans="1:256" s="199" customFormat="1" x14ac:dyDescent="0.2">
      <c r="A74" s="1435" t="s">
        <v>363</v>
      </c>
      <c r="B74" s="651"/>
      <c r="C74" s="236"/>
      <c r="D74" s="234"/>
      <c r="E74" s="234"/>
      <c r="F74" s="234"/>
      <c r="G74" s="234"/>
      <c r="H74" s="236"/>
      <c r="I74" s="234"/>
      <c r="J74" s="234"/>
      <c r="K74" s="234"/>
      <c r="L74" s="234"/>
      <c r="M74" s="236"/>
      <c r="N74" s="234"/>
      <c r="O74" s="234"/>
      <c r="P74" s="234"/>
      <c r="Q74" s="234"/>
      <c r="R74" s="236"/>
      <c r="S74" s="234"/>
      <c r="T74" s="234"/>
      <c r="U74" s="234"/>
      <c r="V74" s="234"/>
      <c r="W74" s="236"/>
      <c r="X74" s="234"/>
      <c r="Y74" s="234"/>
      <c r="Z74" s="234"/>
      <c r="AA74" s="234"/>
      <c r="AB74" s="236"/>
      <c r="AC74" s="234"/>
      <c r="AD74" s="234"/>
      <c r="AE74" s="234"/>
      <c r="AF74" s="234"/>
      <c r="AG74" s="236"/>
      <c r="AH74" s="234"/>
      <c r="AI74" s="234"/>
      <c r="AJ74" s="234"/>
      <c r="AK74" s="234"/>
      <c r="AL74" s="236"/>
      <c r="AM74" s="234"/>
      <c r="AN74" s="234"/>
      <c r="AO74" s="234"/>
      <c r="AP74" s="234"/>
      <c r="AQ74" s="236"/>
      <c r="AR74" s="234"/>
      <c r="AS74" s="234"/>
      <c r="AT74" s="234"/>
      <c r="AU74" s="234"/>
      <c r="AV74" s="236"/>
      <c r="AW74" s="234"/>
      <c r="AX74" s="234"/>
      <c r="AY74" s="234"/>
      <c r="AZ74" s="234"/>
      <c r="BA74" s="236"/>
      <c r="BB74" s="234"/>
      <c r="BC74" s="234"/>
      <c r="BD74" s="234"/>
      <c r="BE74" s="234"/>
      <c r="BF74" s="236"/>
      <c r="BG74" s="234"/>
      <c r="BH74" s="234"/>
      <c r="BI74" s="234"/>
      <c r="BJ74" s="234"/>
      <c r="BK74" s="236"/>
      <c r="BL74" s="234"/>
      <c r="BM74" s="234"/>
      <c r="BN74" s="234"/>
      <c r="BO74" s="234"/>
      <c r="BP74" s="236"/>
      <c r="BQ74" s="212"/>
      <c r="BR74" s="212"/>
      <c r="BS74" s="212"/>
      <c r="BT74" s="234"/>
      <c r="BU74" s="236"/>
      <c r="BV74" s="212"/>
      <c r="BW74" s="212"/>
      <c r="BX74" s="212"/>
      <c r="BY74" s="234"/>
      <c r="BZ74" s="236"/>
      <c r="CA74" s="212"/>
      <c r="CB74" s="212"/>
      <c r="CC74" s="212"/>
      <c r="CD74" s="212"/>
      <c r="CE74" s="194"/>
      <c r="CF74" s="212"/>
      <c r="CG74" s="212"/>
      <c r="CH74" s="212"/>
      <c r="CI74" s="212"/>
      <c r="CJ74" s="194"/>
      <c r="CK74" s="2907"/>
      <c r="CL74" s="212"/>
      <c r="CM74" s="212"/>
      <c r="CN74" s="212"/>
      <c r="CO74" s="194"/>
      <c r="CP74" s="2907"/>
      <c r="CQ74" s="212"/>
      <c r="CR74" s="212"/>
      <c r="CS74" s="212"/>
      <c r="CT74" s="194"/>
      <c r="CU74" s="194"/>
      <c r="CV74" s="194"/>
      <c r="CW74" s="212"/>
      <c r="CX74" s="212"/>
      <c r="CY74" s="212"/>
      <c r="CZ74" s="212"/>
      <c r="DA74" s="212"/>
      <c r="DB74" s="212"/>
      <c r="DC74" s="212"/>
      <c r="DD74" s="212"/>
      <c r="DE74" s="70"/>
      <c r="DF74" s="70"/>
      <c r="DG74" s="70"/>
      <c r="DH74" s="70"/>
      <c r="DI74" s="70"/>
      <c r="DJ74" s="70"/>
      <c r="DK74" s="70"/>
      <c r="DL74" s="70"/>
      <c r="DM74" s="70"/>
      <c r="DN74" s="70"/>
      <c r="DO74" s="70"/>
      <c r="DP74" s="70"/>
      <c r="DQ74" s="70"/>
      <c r="DR74" s="70"/>
      <c r="DS74" s="70"/>
      <c r="DT74" s="70"/>
      <c r="DU74" s="70"/>
      <c r="DV74" s="70"/>
      <c r="DW74" s="70"/>
      <c r="DX74" s="70"/>
      <c r="DY74" s="70"/>
      <c r="DZ74" s="70"/>
      <c r="EA74" s="70"/>
      <c r="EB74" s="70"/>
      <c r="EC74" s="70"/>
      <c r="ED74" s="70"/>
      <c r="EE74" s="70"/>
      <c r="EF74" s="70"/>
      <c r="EG74" s="70"/>
      <c r="EH74" s="70"/>
      <c r="EI74" s="70"/>
      <c r="EJ74" s="70"/>
      <c r="EK74" s="70"/>
      <c r="EL74" s="70"/>
      <c r="EM74" s="70"/>
      <c r="EN74" s="70"/>
      <c r="EO74" s="70"/>
      <c r="EP74" s="70"/>
      <c r="EQ74" s="70"/>
      <c r="ER74" s="70"/>
      <c r="ES74" s="70"/>
      <c r="ET74" s="70"/>
      <c r="EU74" s="70"/>
      <c r="EV74" s="70"/>
      <c r="EW74" s="70"/>
      <c r="EX74" s="70"/>
      <c r="EY74" s="70"/>
      <c r="EZ74" s="70"/>
      <c r="FA74" s="70"/>
      <c r="FB74" s="70"/>
      <c r="FC74" s="70"/>
      <c r="FD74" s="70"/>
      <c r="FE74" s="70"/>
      <c r="FF74" s="70"/>
      <c r="FG74" s="70"/>
      <c r="FH74" s="70"/>
      <c r="FI74" s="70"/>
      <c r="FJ74" s="70"/>
      <c r="FK74" s="70"/>
      <c r="FL74" s="70"/>
      <c r="FM74" s="70"/>
      <c r="FN74" s="70"/>
      <c r="FO74" s="70"/>
      <c r="FP74" s="70"/>
      <c r="FQ74" s="70"/>
      <c r="FR74" s="70"/>
      <c r="FS74" s="70"/>
      <c r="FT74" s="70"/>
      <c r="FU74" s="70"/>
      <c r="FV74" s="70"/>
      <c r="FW74" s="70"/>
      <c r="FX74" s="70"/>
      <c r="FY74" s="70"/>
      <c r="FZ74" s="70"/>
      <c r="GA74" s="70"/>
      <c r="GB74" s="70"/>
      <c r="GC74" s="70"/>
      <c r="GD74" s="70"/>
      <c r="GE74" s="70"/>
      <c r="GF74" s="70"/>
      <c r="GG74" s="70"/>
      <c r="GH74" s="70"/>
      <c r="GI74" s="70"/>
      <c r="GJ74" s="70"/>
      <c r="GK74" s="70"/>
      <c r="GL74" s="70"/>
      <c r="GM74" s="70"/>
      <c r="GN74" s="70"/>
      <c r="GO74" s="70"/>
      <c r="GP74" s="70"/>
      <c r="GQ74" s="70"/>
      <c r="GR74" s="70"/>
      <c r="GS74" s="70"/>
      <c r="GT74" s="70"/>
      <c r="GU74" s="70"/>
      <c r="GV74" s="70"/>
      <c r="GW74" s="70"/>
      <c r="GX74" s="70"/>
      <c r="GY74" s="70"/>
      <c r="GZ74" s="70"/>
      <c r="HA74" s="70"/>
      <c r="HB74" s="70"/>
      <c r="HC74" s="70"/>
      <c r="HD74" s="70"/>
      <c r="HE74" s="70"/>
      <c r="HF74" s="70"/>
      <c r="HG74" s="70"/>
      <c r="HH74" s="70"/>
      <c r="HI74" s="70"/>
      <c r="HJ74" s="70"/>
      <c r="HK74" s="70"/>
      <c r="HL74" s="70"/>
      <c r="HM74" s="70"/>
      <c r="HN74" s="70"/>
      <c r="HO74" s="70"/>
      <c r="HP74" s="70"/>
      <c r="HQ74" s="70"/>
      <c r="HR74" s="70"/>
      <c r="HS74" s="70"/>
      <c r="HT74" s="70"/>
      <c r="HU74" s="70"/>
      <c r="HV74" s="70"/>
      <c r="HW74" s="70"/>
      <c r="HX74" s="70"/>
      <c r="HY74" s="70"/>
      <c r="HZ74" s="70"/>
      <c r="IA74" s="70"/>
      <c r="IB74" s="70"/>
      <c r="IC74" s="70"/>
      <c r="ID74" s="70"/>
      <c r="IE74" s="70"/>
      <c r="IF74" s="70"/>
      <c r="IG74" s="70"/>
      <c r="IH74" s="70"/>
      <c r="II74" s="70"/>
      <c r="IJ74" s="70"/>
      <c r="IK74" s="70"/>
      <c r="IL74" s="70"/>
      <c r="IM74" s="70"/>
      <c r="IN74" s="70"/>
      <c r="IO74" s="70"/>
      <c r="IP74" s="70"/>
      <c r="IQ74" s="70"/>
      <c r="IR74" s="70"/>
      <c r="IS74" s="70"/>
      <c r="IT74" s="70"/>
      <c r="IU74" s="70"/>
      <c r="IV74" s="70"/>
    </row>
    <row r="75" spans="1:256" s="199" customFormat="1" x14ac:dyDescent="0.2">
      <c r="A75" s="2308" t="s">
        <v>456</v>
      </c>
      <c r="B75" s="651"/>
      <c r="C75" s="236"/>
      <c r="D75" s="234"/>
      <c r="E75" s="234"/>
      <c r="F75" s="234"/>
      <c r="G75" s="234"/>
      <c r="H75" s="236"/>
      <c r="I75" s="234"/>
      <c r="J75" s="234"/>
      <c r="K75" s="234"/>
      <c r="L75" s="234"/>
      <c r="M75" s="236"/>
      <c r="N75" s="234"/>
      <c r="O75" s="234"/>
      <c r="P75" s="234"/>
      <c r="Q75" s="234"/>
      <c r="R75" s="236"/>
      <c r="S75" s="234"/>
      <c r="T75" s="234"/>
      <c r="U75" s="234"/>
      <c r="V75" s="234"/>
      <c r="W75" s="236"/>
      <c r="X75" s="234"/>
      <c r="Y75" s="234"/>
      <c r="Z75" s="234"/>
      <c r="AA75" s="234"/>
      <c r="AB75" s="236"/>
      <c r="AC75" s="234"/>
      <c r="AD75" s="234"/>
      <c r="AE75" s="234"/>
      <c r="AF75" s="234"/>
      <c r="AG75" s="236"/>
      <c r="AH75" s="234"/>
      <c r="AI75" s="234"/>
      <c r="AJ75" s="234"/>
      <c r="AK75" s="234"/>
      <c r="AL75" s="236"/>
      <c r="AM75" s="234"/>
      <c r="AN75" s="234"/>
      <c r="AO75" s="234"/>
      <c r="AP75" s="234"/>
      <c r="AQ75" s="236"/>
      <c r="AR75" s="234"/>
      <c r="AS75" s="234"/>
      <c r="AT75" s="234"/>
      <c r="AU75" s="234"/>
      <c r="AV75" s="236"/>
      <c r="AW75" s="234"/>
      <c r="AX75" s="234"/>
      <c r="AY75" s="234"/>
      <c r="AZ75" s="234"/>
      <c r="BA75" s="236"/>
      <c r="BB75" s="234"/>
      <c r="BC75" s="234"/>
      <c r="BD75" s="234"/>
      <c r="BE75" s="234"/>
      <c r="BF75" s="236"/>
      <c r="BG75" s="234"/>
      <c r="BH75" s="234"/>
      <c r="BI75" s="234"/>
      <c r="BJ75" s="234"/>
      <c r="BK75" s="236"/>
      <c r="BL75" s="234"/>
      <c r="BM75" s="234"/>
      <c r="BN75" s="234"/>
      <c r="BO75" s="234"/>
      <c r="BP75" s="236"/>
      <c r="BQ75" s="212"/>
      <c r="BR75" s="212"/>
      <c r="BS75" s="212"/>
      <c r="BT75" s="234"/>
      <c r="BU75" s="236"/>
      <c r="BV75" s="212"/>
      <c r="BW75" s="212"/>
      <c r="BX75" s="212"/>
      <c r="BY75" s="234"/>
      <c r="BZ75" s="236"/>
      <c r="CA75" s="212"/>
      <c r="CB75" s="212"/>
      <c r="CC75" s="212"/>
      <c r="CD75" s="212"/>
      <c r="CE75" s="194"/>
      <c r="CF75" s="212"/>
      <c r="CG75" s="212"/>
      <c r="CH75" s="3267">
        <v>10</v>
      </c>
      <c r="CI75" s="3267">
        <v>10</v>
      </c>
      <c r="CJ75" s="752">
        <f t="shared" ref="CJ75:CJ89" si="44">+CI75</f>
        <v>10</v>
      </c>
      <c r="CK75" s="3503">
        <v>10</v>
      </c>
      <c r="CL75" s="3503">
        <v>10</v>
      </c>
      <c r="CM75" s="3503">
        <v>10</v>
      </c>
      <c r="CN75" s="3503">
        <v>10</v>
      </c>
      <c r="CO75" s="752">
        <f t="shared" ref="CO75:CO89" si="45">+CN75</f>
        <v>10</v>
      </c>
      <c r="CP75" s="3503"/>
      <c r="CQ75" s="3503"/>
      <c r="CR75" s="212"/>
      <c r="CS75" s="212"/>
      <c r="CT75" s="194"/>
      <c r="CU75" s="194"/>
      <c r="CV75" s="194"/>
      <c r="CW75" s="212"/>
      <c r="CX75" s="212"/>
      <c r="CY75" s="212"/>
      <c r="CZ75" s="212"/>
      <c r="DA75" s="212"/>
      <c r="DB75" s="212"/>
      <c r="DC75" s="212"/>
      <c r="DD75" s="212"/>
      <c r="DE75" s="70"/>
      <c r="DF75" s="70"/>
      <c r="DG75" s="70"/>
      <c r="DH75" s="70"/>
      <c r="DI75" s="70"/>
      <c r="DJ75" s="70"/>
      <c r="DK75" s="70"/>
      <c r="DL75" s="70"/>
      <c r="DM75" s="70"/>
      <c r="DN75" s="70"/>
      <c r="DO75" s="70"/>
      <c r="DP75" s="70"/>
      <c r="DQ75" s="70"/>
      <c r="DR75" s="70"/>
      <c r="DS75" s="70"/>
      <c r="DT75" s="70"/>
      <c r="DU75" s="70"/>
      <c r="DV75" s="70"/>
      <c r="DW75" s="70"/>
      <c r="DX75" s="70"/>
      <c r="DY75" s="70"/>
      <c r="DZ75" s="70"/>
      <c r="EA75" s="70"/>
      <c r="EB75" s="70"/>
      <c r="EC75" s="70"/>
      <c r="ED75" s="70"/>
      <c r="EE75" s="70"/>
      <c r="EF75" s="70"/>
      <c r="EG75" s="70"/>
      <c r="EH75" s="70"/>
      <c r="EI75" s="70"/>
      <c r="EJ75" s="70"/>
      <c r="EK75" s="70"/>
      <c r="EL75" s="70"/>
      <c r="EM75" s="70"/>
      <c r="EN75" s="70"/>
      <c r="EO75" s="70"/>
      <c r="EP75" s="70"/>
      <c r="EQ75" s="70"/>
      <c r="ER75" s="70"/>
      <c r="ES75" s="70"/>
      <c r="ET75" s="70"/>
      <c r="EU75" s="70"/>
      <c r="EV75" s="70"/>
      <c r="EW75" s="70"/>
      <c r="EX75" s="70"/>
      <c r="EY75" s="70"/>
      <c r="EZ75" s="70"/>
      <c r="FA75" s="70"/>
      <c r="FB75" s="70"/>
      <c r="FC75" s="70"/>
      <c r="FD75" s="70"/>
      <c r="FE75" s="70"/>
      <c r="FF75" s="70"/>
      <c r="FG75" s="70"/>
      <c r="FH75" s="70"/>
      <c r="FI75" s="70"/>
      <c r="FJ75" s="70"/>
      <c r="FK75" s="70"/>
      <c r="FL75" s="70"/>
      <c r="FM75" s="70"/>
      <c r="FN75" s="70"/>
      <c r="FO75" s="70"/>
      <c r="FP75" s="70"/>
      <c r="FQ75" s="70"/>
      <c r="FR75" s="70"/>
      <c r="FS75" s="70"/>
      <c r="FT75" s="70"/>
      <c r="FU75" s="70"/>
      <c r="FV75" s="70"/>
      <c r="FW75" s="70"/>
      <c r="FX75" s="70"/>
      <c r="FY75" s="70"/>
      <c r="FZ75" s="70"/>
      <c r="GA75" s="70"/>
      <c r="GB75" s="70"/>
      <c r="GC75" s="70"/>
      <c r="GD75" s="70"/>
      <c r="GE75" s="70"/>
      <c r="GF75" s="70"/>
      <c r="GG75" s="70"/>
      <c r="GH75" s="70"/>
      <c r="GI75" s="70"/>
      <c r="GJ75" s="70"/>
      <c r="GK75" s="70"/>
      <c r="GL75" s="70"/>
      <c r="GM75" s="70"/>
      <c r="GN75" s="70"/>
      <c r="GO75" s="70"/>
      <c r="GP75" s="70"/>
      <c r="GQ75" s="70"/>
      <c r="GR75" s="70"/>
      <c r="GS75" s="70"/>
      <c r="GT75" s="70"/>
      <c r="GU75" s="70"/>
      <c r="GV75" s="70"/>
      <c r="GW75" s="70"/>
      <c r="GX75" s="70"/>
      <c r="GY75" s="70"/>
      <c r="GZ75" s="70"/>
      <c r="HA75" s="70"/>
      <c r="HB75" s="70"/>
      <c r="HC75" s="70"/>
      <c r="HD75" s="70"/>
      <c r="HE75" s="70"/>
      <c r="HF75" s="70"/>
      <c r="HG75" s="70"/>
      <c r="HH75" s="70"/>
      <c r="HI75" s="70"/>
      <c r="HJ75" s="70"/>
      <c r="HK75" s="70"/>
      <c r="HL75" s="70"/>
      <c r="HM75" s="70"/>
      <c r="HN75" s="70"/>
      <c r="HO75" s="70"/>
      <c r="HP75" s="70"/>
      <c r="HQ75" s="70"/>
      <c r="HR75" s="70"/>
      <c r="HS75" s="70"/>
      <c r="HT75" s="70"/>
      <c r="HU75" s="70"/>
      <c r="HV75" s="70"/>
      <c r="HW75" s="70"/>
      <c r="HX75" s="70"/>
      <c r="HY75" s="70"/>
      <c r="HZ75" s="70"/>
      <c r="IA75" s="70"/>
      <c r="IB75" s="70"/>
      <c r="IC75" s="70"/>
      <c r="ID75" s="70"/>
      <c r="IE75" s="70"/>
      <c r="IF75" s="70"/>
      <c r="IG75" s="70"/>
      <c r="IH75" s="70"/>
      <c r="II75" s="70"/>
      <c r="IJ75" s="70"/>
      <c r="IK75" s="70"/>
      <c r="IL75" s="70"/>
      <c r="IM75" s="70"/>
      <c r="IN75" s="70"/>
      <c r="IO75" s="70"/>
      <c r="IP75" s="70"/>
      <c r="IQ75" s="70"/>
      <c r="IR75" s="70"/>
      <c r="IS75" s="70"/>
      <c r="IT75" s="70"/>
      <c r="IU75" s="70"/>
      <c r="IV75" s="70"/>
    </row>
    <row r="76" spans="1:256" x14ac:dyDescent="0.2">
      <c r="A76" s="1434" t="s">
        <v>346</v>
      </c>
      <c r="B76" s="651"/>
      <c r="C76" s="236"/>
      <c r="D76" s="234"/>
      <c r="E76" s="234"/>
      <c r="F76" s="234"/>
      <c r="G76" s="234"/>
      <c r="H76" s="236"/>
      <c r="I76" s="847">
        <f>-I214+160</f>
        <v>101</v>
      </c>
      <c r="J76" s="756">
        <f>-J214+168</f>
        <v>103</v>
      </c>
      <c r="K76" s="756">
        <f>-K214+176</f>
        <v>106</v>
      </c>
      <c r="L76" s="756">
        <f>-L214+179</f>
        <v>109</v>
      </c>
      <c r="M76" s="752">
        <f t="shared" ref="M76:M89" si="46">L76</f>
        <v>109</v>
      </c>
      <c r="N76" s="756">
        <f>-N214+181</f>
        <v>110</v>
      </c>
      <c r="O76" s="756">
        <f>181-O214</f>
        <v>111</v>
      </c>
      <c r="P76" s="756">
        <v>114</v>
      </c>
      <c r="Q76" s="756">
        <v>118</v>
      </c>
      <c r="R76" s="752">
        <f t="shared" ref="R76:R89" si="47">Q76</f>
        <v>118</v>
      </c>
      <c r="S76" s="756">
        <v>123</v>
      </c>
      <c r="T76" s="756">
        <v>127</v>
      </c>
      <c r="U76" s="756">
        <v>127</v>
      </c>
      <c r="V76" s="754">
        <v>131</v>
      </c>
      <c r="W76" s="752">
        <f t="shared" ref="W76:W89" si="48">V76</f>
        <v>131</v>
      </c>
      <c r="X76" s="756">
        <v>137</v>
      </c>
      <c r="Y76" s="756">
        <v>139</v>
      </c>
      <c r="Z76" s="756">
        <v>141</v>
      </c>
      <c r="AA76" s="754">
        <v>144</v>
      </c>
      <c r="AB76" s="752">
        <f t="shared" ref="AB76:AB89" si="49">+AA76</f>
        <v>144</v>
      </c>
      <c r="AC76" s="756">
        <v>149</v>
      </c>
      <c r="AD76" s="756">
        <v>154</v>
      </c>
      <c r="AE76" s="756">
        <v>157</v>
      </c>
      <c r="AF76" s="754">
        <v>160</v>
      </c>
      <c r="AG76" s="752">
        <f t="shared" ref="AG76:AG89" si="50">+AF76</f>
        <v>160</v>
      </c>
      <c r="AH76" s="756">
        <v>168</v>
      </c>
      <c r="AI76" s="756">
        <v>170</v>
      </c>
      <c r="AJ76" s="756">
        <v>171</v>
      </c>
      <c r="AK76" s="754">
        <v>171</v>
      </c>
      <c r="AL76" s="752">
        <f t="shared" ref="AL76:AL89" si="51">+AK76</f>
        <v>171</v>
      </c>
      <c r="AM76" s="756">
        <v>172</v>
      </c>
      <c r="AN76" s="756">
        <v>172</v>
      </c>
      <c r="AO76" s="756">
        <v>172</v>
      </c>
      <c r="AP76" s="754">
        <v>172</v>
      </c>
      <c r="AQ76" s="752">
        <f t="shared" ref="AQ76:AQ89" si="52">+AP76</f>
        <v>172</v>
      </c>
      <c r="AR76" s="756">
        <v>173</v>
      </c>
      <c r="AS76" s="756">
        <v>174</v>
      </c>
      <c r="AT76" s="756">
        <v>176</v>
      </c>
      <c r="AU76" s="754">
        <v>180</v>
      </c>
      <c r="AV76" s="752">
        <f t="shared" ref="AV76:AV89" si="53">+AU76</f>
        <v>180</v>
      </c>
      <c r="AW76" s="756">
        <v>181</v>
      </c>
      <c r="AX76" s="756">
        <v>182</v>
      </c>
      <c r="AY76" s="756">
        <v>186</v>
      </c>
      <c r="AZ76" s="756">
        <v>189</v>
      </c>
      <c r="BA76" s="752">
        <f t="shared" ref="BA76:BA89" si="54">+AZ76</f>
        <v>189</v>
      </c>
      <c r="BB76" s="756">
        <v>191</v>
      </c>
      <c r="BC76" s="756">
        <v>189</v>
      </c>
      <c r="BD76" s="756">
        <v>190</v>
      </c>
      <c r="BE76" s="756">
        <v>190</v>
      </c>
      <c r="BF76" s="752">
        <f t="shared" ref="BF76:BF89" si="55">+BE76</f>
        <v>190</v>
      </c>
      <c r="BG76" s="756">
        <v>190</v>
      </c>
      <c r="BH76" s="756">
        <v>189</v>
      </c>
      <c r="BI76" s="756">
        <v>190</v>
      </c>
      <c r="BJ76" s="756">
        <v>191</v>
      </c>
      <c r="BK76" s="752">
        <f t="shared" ref="BK76:BK89" si="56">+BJ76</f>
        <v>191</v>
      </c>
      <c r="BL76" s="756">
        <f>182+7</f>
        <v>189</v>
      </c>
      <c r="BM76" s="756">
        <v>190</v>
      </c>
      <c r="BN76" s="756">
        <v>191</v>
      </c>
      <c r="BO76" s="756">
        <v>192</v>
      </c>
      <c r="BP76" s="752">
        <f t="shared" ref="BP76:BP89" si="57">+BO76</f>
        <v>192</v>
      </c>
      <c r="BQ76" s="1626">
        <v>188</v>
      </c>
      <c r="BR76" s="1626">
        <v>188</v>
      </c>
      <c r="BS76" s="1626">
        <v>189</v>
      </c>
      <c r="BT76" s="756">
        <v>189</v>
      </c>
      <c r="BU76" s="752">
        <f t="shared" ref="BU76:BU89" si="58">+BT76</f>
        <v>189</v>
      </c>
      <c r="BV76" s="1626">
        <v>189</v>
      </c>
      <c r="BW76" s="1626">
        <v>191</v>
      </c>
      <c r="BX76" s="1626">
        <v>193</v>
      </c>
      <c r="BY76" s="1537">
        <v>194</v>
      </c>
      <c r="BZ76" s="752">
        <f t="shared" ref="BZ76:BZ89" si="59">+BY76</f>
        <v>194</v>
      </c>
      <c r="CA76" s="1537">
        <v>205</v>
      </c>
      <c r="CB76" s="1537">
        <v>207</v>
      </c>
      <c r="CC76" s="1537">
        <v>209</v>
      </c>
      <c r="CD76" s="1537">
        <v>210</v>
      </c>
      <c r="CE76" s="752">
        <f t="shared" ref="CE76:CE89" si="60">+CD76</f>
        <v>210</v>
      </c>
      <c r="CF76" s="1537">
        <v>211</v>
      </c>
      <c r="CG76" s="1537">
        <v>217</v>
      </c>
      <c r="CH76" s="3267">
        <f>208</f>
        <v>208</v>
      </c>
      <c r="CI76" s="3267">
        <v>210</v>
      </c>
      <c r="CJ76" s="752">
        <f t="shared" si="44"/>
        <v>210</v>
      </c>
      <c r="CK76" s="3503">
        <v>207</v>
      </c>
      <c r="CL76" s="3503">
        <v>209</v>
      </c>
      <c r="CM76" s="3503">
        <v>212</v>
      </c>
      <c r="CN76" s="3503">
        <v>213</v>
      </c>
      <c r="CO76" s="752">
        <f t="shared" si="45"/>
        <v>213</v>
      </c>
      <c r="CP76" s="3503"/>
      <c r="CQ76" s="3503"/>
      <c r="CR76" s="212"/>
      <c r="CS76" s="212"/>
      <c r="CT76" s="194"/>
      <c r="CU76" s="194"/>
      <c r="CV76" s="194"/>
    </row>
    <row r="77" spans="1:256" x14ac:dyDescent="0.2">
      <c r="A77" s="1434" t="s">
        <v>1385</v>
      </c>
      <c r="B77" s="651"/>
      <c r="C77" s="236"/>
      <c r="D77" s="234"/>
      <c r="E77" s="234"/>
      <c r="F77" s="234"/>
      <c r="G77" s="234"/>
      <c r="H77" s="236"/>
      <c r="I77" s="847">
        <f>-I215+32</f>
        <v>18</v>
      </c>
      <c r="J77" s="756">
        <f>-J215+33</f>
        <v>19</v>
      </c>
      <c r="K77" s="756">
        <f>-K215+36</f>
        <v>19</v>
      </c>
      <c r="L77" s="756">
        <f>-L215+38</f>
        <v>21</v>
      </c>
      <c r="M77" s="752">
        <f t="shared" si="46"/>
        <v>21</v>
      </c>
      <c r="N77" s="756">
        <f>-N215+38</f>
        <v>21</v>
      </c>
      <c r="O77" s="756">
        <f>38-O215</f>
        <v>21</v>
      </c>
      <c r="P77" s="756">
        <v>21</v>
      </c>
      <c r="Q77" s="756">
        <v>25</v>
      </c>
      <c r="R77" s="752">
        <f t="shared" si="47"/>
        <v>25</v>
      </c>
      <c r="S77" s="756">
        <v>26</v>
      </c>
      <c r="T77" s="756">
        <v>26</v>
      </c>
      <c r="U77" s="756">
        <v>26</v>
      </c>
      <c r="V77" s="754">
        <v>26</v>
      </c>
      <c r="W77" s="752">
        <f t="shared" si="48"/>
        <v>26</v>
      </c>
      <c r="X77" s="756">
        <v>25</v>
      </c>
      <c r="Y77" s="756">
        <v>25</v>
      </c>
      <c r="Z77" s="756">
        <v>25</v>
      </c>
      <c r="AA77" s="754">
        <v>26</v>
      </c>
      <c r="AB77" s="752">
        <f t="shared" si="49"/>
        <v>26</v>
      </c>
      <c r="AC77" s="756">
        <v>27</v>
      </c>
      <c r="AD77" s="756">
        <v>27</v>
      </c>
      <c r="AE77" s="756">
        <v>28</v>
      </c>
      <c r="AF77" s="754">
        <v>30</v>
      </c>
      <c r="AG77" s="752">
        <f t="shared" si="50"/>
        <v>30</v>
      </c>
      <c r="AH77" s="756">
        <v>30</v>
      </c>
      <c r="AI77" s="756">
        <v>31</v>
      </c>
      <c r="AJ77" s="756">
        <v>30</v>
      </c>
      <c r="AK77" s="754">
        <v>30</v>
      </c>
      <c r="AL77" s="752">
        <f t="shared" si="51"/>
        <v>30</v>
      </c>
      <c r="AM77" s="756">
        <v>30</v>
      </c>
      <c r="AN77" s="756">
        <v>33</v>
      </c>
      <c r="AO77" s="756">
        <v>33</v>
      </c>
      <c r="AP77" s="754">
        <v>35</v>
      </c>
      <c r="AQ77" s="752">
        <f t="shared" si="52"/>
        <v>35</v>
      </c>
      <c r="AR77" s="756">
        <v>37</v>
      </c>
      <c r="AS77" s="756">
        <v>38</v>
      </c>
      <c r="AT77" s="756">
        <v>37</v>
      </c>
      <c r="AU77" s="754">
        <v>38</v>
      </c>
      <c r="AV77" s="752">
        <f t="shared" si="53"/>
        <v>38</v>
      </c>
      <c r="AW77" s="756">
        <v>38</v>
      </c>
      <c r="AX77" s="756">
        <v>39</v>
      </c>
      <c r="AY77" s="756">
        <v>41</v>
      </c>
      <c r="AZ77" s="756">
        <v>42</v>
      </c>
      <c r="BA77" s="752">
        <f t="shared" si="54"/>
        <v>42</v>
      </c>
      <c r="BB77" s="756">
        <v>42</v>
      </c>
      <c r="BC77" s="756">
        <v>43</v>
      </c>
      <c r="BD77" s="756">
        <v>42</v>
      </c>
      <c r="BE77" s="756">
        <v>42</v>
      </c>
      <c r="BF77" s="752">
        <f t="shared" si="55"/>
        <v>42</v>
      </c>
      <c r="BG77" s="756">
        <v>42</v>
      </c>
      <c r="BH77" s="756">
        <v>42</v>
      </c>
      <c r="BI77" s="756">
        <v>41</v>
      </c>
      <c r="BJ77" s="756">
        <v>42</v>
      </c>
      <c r="BK77" s="752">
        <f t="shared" si="56"/>
        <v>42</v>
      </c>
      <c r="BL77" s="756">
        <f>41+2</f>
        <v>43</v>
      </c>
      <c r="BM77" s="756">
        <v>43</v>
      </c>
      <c r="BN77" s="756">
        <v>43</v>
      </c>
      <c r="BO77" s="756">
        <v>43</v>
      </c>
      <c r="BP77" s="752">
        <f t="shared" si="57"/>
        <v>43</v>
      </c>
      <c r="BQ77" s="1626">
        <v>43</v>
      </c>
      <c r="BR77" s="1626">
        <v>43</v>
      </c>
      <c r="BS77" s="1626">
        <v>43</v>
      </c>
      <c r="BT77" s="756">
        <v>43</v>
      </c>
      <c r="BU77" s="752">
        <f t="shared" si="58"/>
        <v>43</v>
      </c>
      <c r="BV77" s="1626">
        <v>43</v>
      </c>
      <c r="BW77" s="1626">
        <v>44</v>
      </c>
      <c r="BX77" s="1626">
        <v>45</v>
      </c>
      <c r="BY77" s="1537">
        <v>45</v>
      </c>
      <c r="BZ77" s="752">
        <f t="shared" si="59"/>
        <v>45</v>
      </c>
      <c r="CA77" s="1626">
        <v>48</v>
      </c>
      <c r="CB77" s="1626">
        <v>49</v>
      </c>
      <c r="CC77" s="1626">
        <v>51</v>
      </c>
      <c r="CD77" s="1626">
        <v>54</v>
      </c>
      <c r="CE77" s="752">
        <f t="shared" si="60"/>
        <v>54</v>
      </c>
      <c r="CF77" s="1626">
        <v>57</v>
      </c>
      <c r="CG77" s="1626">
        <v>56</v>
      </c>
      <c r="CH77" s="3184">
        <v>57</v>
      </c>
      <c r="CI77" s="3184">
        <v>57</v>
      </c>
      <c r="CJ77" s="752">
        <f t="shared" si="44"/>
        <v>57</v>
      </c>
      <c r="CK77" s="3503">
        <v>58</v>
      </c>
      <c r="CL77" s="3503">
        <v>58</v>
      </c>
      <c r="CM77" s="3503">
        <v>58</v>
      </c>
      <c r="CN77" s="3503">
        <v>57</v>
      </c>
      <c r="CO77" s="752">
        <f t="shared" si="45"/>
        <v>57</v>
      </c>
      <c r="CP77" s="3503"/>
      <c r="CQ77" s="3503"/>
      <c r="CR77" s="212"/>
      <c r="CS77" s="212"/>
      <c r="CT77" s="194"/>
      <c r="CU77" s="194"/>
      <c r="CV77" s="194"/>
    </row>
    <row r="78" spans="1:256" x14ac:dyDescent="0.2">
      <c r="A78" s="1436" t="s">
        <v>512</v>
      </c>
      <c r="B78" s="1240"/>
      <c r="C78" s="1241"/>
      <c r="D78" s="758"/>
      <c r="E78" s="758"/>
      <c r="F78" s="758"/>
      <c r="G78" s="758"/>
      <c r="H78" s="752"/>
      <c r="I78" s="845">
        <v>0</v>
      </c>
      <c r="J78" s="845">
        <v>0</v>
      </c>
      <c r="K78" s="845">
        <v>0</v>
      </c>
      <c r="L78" s="845">
        <v>0</v>
      </c>
      <c r="M78" s="661">
        <f t="shared" si="46"/>
        <v>0</v>
      </c>
      <c r="N78" s="845">
        <v>0</v>
      </c>
      <c r="O78" s="845">
        <v>0</v>
      </c>
      <c r="P78" s="845">
        <v>0</v>
      </c>
      <c r="Q78" s="845">
        <v>0</v>
      </c>
      <c r="R78" s="661">
        <f t="shared" si="47"/>
        <v>0</v>
      </c>
      <c r="S78" s="845">
        <v>0</v>
      </c>
      <c r="T78" s="845">
        <v>0</v>
      </c>
      <c r="U78" s="845">
        <v>0</v>
      </c>
      <c r="V78" s="845">
        <v>0</v>
      </c>
      <c r="W78" s="661">
        <f t="shared" si="48"/>
        <v>0</v>
      </c>
      <c r="X78" s="845">
        <v>0</v>
      </c>
      <c r="Y78" s="845">
        <v>0</v>
      </c>
      <c r="Z78" s="845">
        <v>0</v>
      </c>
      <c r="AA78" s="845">
        <v>0</v>
      </c>
      <c r="AB78" s="661">
        <f t="shared" si="49"/>
        <v>0</v>
      </c>
      <c r="AC78" s="845">
        <v>0</v>
      </c>
      <c r="AD78" s="845">
        <v>0</v>
      </c>
      <c r="AE78" s="845">
        <v>0</v>
      </c>
      <c r="AF78" s="845">
        <v>0</v>
      </c>
      <c r="AG78" s="661">
        <f t="shared" si="50"/>
        <v>0</v>
      </c>
      <c r="AH78" s="845">
        <v>0</v>
      </c>
      <c r="AI78" s="845">
        <v>0</v>
      </c>
      <c r="AJ78" s="845">
        <v>0</v>
      </c>
      <c r="AK78" s="845">
        <v>0</v>
      </c>
      <c r="AL78" s="661">
        <f t="shared" si="51"/>
        <v>0</v>
      </c>
      <c r="AM78" s="756">
        <v>0</v>
      </c>
      <c r="AN78" s="756">
        <v>0</v>
      </c>
      <c r="AO78" s="756">
        <v>0</v>
      </c>
      <c r="AP78" s="754">
        <v>0</v>
      </c>
      <c r="AQ78" s="661">
        <f t="shared" si="52"/>
        <v>0</v>
      </c>
      <c r="AR78" s="845">
        <v>0</v>
      </c>
      <c r="AS78" s="845">
        <v>0</v>
      </c>
      <c r="AT78" s="845">
        <v>0</v>
      </c>
      <c r="AU78" s="845">
        <v>0</v>
      </c>
      <c r="AV78" s="661">
        <f t="shared" si="53"/>
        <v>0</v>
      </c>
      <c r="AW78" s="845">
        <v>0</v>
      </c>
      <c r="AX78" s="845">
        <v>0</v>
      </c>
      <c r="AY78" s="845">
        <v>0</v>
      </c>
      <c r="AZ78" s="845">
        <v>0</v>
      </c>
      <c r="BA78" s="661">
        <f t="shared" si="54"/>
        <v>0</v>
      </c>
      <c r="BB78" s="845">
        <v>2</v>
      </c>
      <c r="BC78" s="845">
        <v>10</v>
      </c>
      <c r="BD78" s="845">
        <v>11</v>
      </c>
      <c r="BE78" s="845">
        <v>13</v>
      </c>
      <c r="BF78" s="661">
        <f t="shared" si="55"/>
        <v>13</v>
      </c>
      <c r="BG78" s="845">
        <v>14</v>
      </c>
      <c r="BH78" s="845">
        <v>16</v>
      </c>
      <c r="BI78" s="845">
        <v>16</v>
      </c>
      <c r="BJ78" s="845">
        <v>17</v>
      </c>
      <c r="BK78" s="661">
        <f t="shared" si="56"/>
        <v>17</v>
      </c>
      <c r="BL78" s="845">
        <v>20</v>
      </c>
      <c r="BM78" s="845">
        <v>21</v>
      </c>
      <c r="BN78" s="845">
        <v>22</v>
      </c>
      <c r="BO78" s="845">
        <v>24</v>
      </c>
      <c r="BP78" s="661">
        <f t="shared" si="57"/>
        <v>24</v>
      </c>
      <c r="BQ78" s="1231">
        <v>26</v>
      </c>
      <c r="BR78" s="1231">
        <v>26</v>
      </c>
      <c r="BS78" s="1231">
        <v>30</v>
      </c>
      <c r="BT78" s="845">
        <v>32</v>
      </c>
      <c r="BU78" s="661">
        <f t="shared" si="58"/>
        <v>32</v>
      </c>
      <c r="BV78" s="1231">
        <v>34</v>
      </c>
      <c r="BW78" s="1231">
        <v>34</v>
      </c>
      <c r="BX78" s="1231">
        <v>34</v>
      </c>
      <c r="BY78" s="756">
        <v>43</v>
      </c>
      <c r="BZ78" s="661">
        <f t="shared" si="59"/>
        <v>43</v>
      </c>
      <c r="CA78" s="1231">
        <v>45</v>
      </c>
      <c r="CB78" s="1231">
        <v>48</v>
      </c>
      <c r="CC78" s="1231">
        <v>51</v>
      </c>
      <c r="CD78" s="1231">
        <v>52</v>
      </c>
      <c r="CE78" s="661">
        <f t="shared" si="60"/>
        <v>52</v>
      </c>
      <c r="CF78" s="1231">
        <v>55</v>
      </c>
      <c r="CG78" s="1231">
        <v>57</v>
      </c>
      <c r="CH78" s="2893">
        <v>58</v>
      </c>
      <c r="CI78" s="2893">
        <v>61</v>
      </c>
      <c r="CJ78" s="661">
        <f t="shared" si="44"/>
        <v>61</v>
      </c>
      <c r="CK78" s="3501">
        <v>65</v>
      </c>
      <c r="CL78" s="3501">
        <v>67</v>
      </c>
      <c r="CM78" s="3501">
        <v>70</v>
      </c>
      <c r="CN78" s="3501">
        <v>74</v>
      </c>
      <c r="CO78" s="661">
        <f t="shared" si="45"/>
        <v>74</v>
      </c>
      <c r="CP78" s="3501"/>
      <c r="CQ78" s="3501"/>
      <c r="CR78" s="1261"/>
      <c r="CS78" s="1261"/>
      <c r="CT78" s="1243"/>
      <c r="CU78" s="1243"/>
      <c r="CV78" s="1243"/>
    </row>
    <row r="79" spans="1:256" x14ac:dyDescent="0.2">
      <c r="A79" s="2288" t="s">
        <v>609</v>
      </c>
      <c r="B79" s="1240"/>
      <c r="C79" s="1241"/>
      <c r="D79" s="758"/>
      <c r="E79" s="758"/>
      <c r="F79" s="758"/>
      <c r="G79" s="758"/>
      <c r="H79" s="752"/>
      <c r="I79" s="845">
        <v>0</v>
      </c>
      <c r="J79" s="845">
        <v>0</v>
      </c>
      <c r="K79" s="845">
        <v>0</v>
      </c>
      <c r="L79" s="845">
        <v>0</v>
      </c>
      <c r="M79" s="661">
        <f>L79</f>
        <v>0</v>
      </c>
      <c r="N79" s="845">
        <v>0</v>
      </c>
      <c r="O79" s="845">
        <v>0</v>
      </c>
      <c r="P79" s="845">
        <v>0</v>
      </c>
      <c r="Q79" s="845">
        <v>0</v>
      </c>
      <c r="R79" s="661">
        <f>Q79</f>
        <v>0</v>
      </c>
      <c r="S79" s="845">
        <v>0</v>
      </c>
      <c r="T79" s="845">
        <v>0</v>
      </c>
      <c r="U79" s="845">
        <v>0</v>
      </c>
      <c r="V79" s="845">
        <v>0</v>
      </c>
      <c r="W79" s="661">
        <f>V79</f>
        <v>0</v>
      </c>
      <c r="X79" s="845">
        <v>0</v>
      </c>
      <c r="Y79" s="845">
        <v>0</v>
      </c>
      <c r="Z79" s="845">
        <v>0</v>
      </c>
      <c r="AA79" s="845">
        <v>0</v>
      </c>
      <c r="AB79" s="661">
        <f>+AA79</f>
        <v>0</v>
      </c>
      <c r="AC79" s="845">
        <v>0</v>
      </c>
      <c r="AD79" s="845">
        <v>0</v>
      </c>
      <c r="AE79" s="845">
        <v>0</v>
      </c>
      <c r="AF79" s="845">
        <v>0</v>
      </c>
      <c r="AG79" s="661">
        <f>+AF79</f>
        <v>0</v>
      </c>
      <c r="AH79" s="845">
        <v>0</v>
      </c>
      <c r="AI79" s="845">
        <v>0</v>
      </c>
      <c r="AJ79" s="845">
        <v>0</v>
      </c>
      <c r="AK79" s="845">
        <v>0</v>
      </c>
      <c r="AL79" s="661">
        <f>+AK79</f>
        <v>0</v>
      </c>
      <c r="AM79" s="756">
        <v>0</v>
      </c>
      <c r="AN79" s="756">
        <v>0</v>
      </c>
      <c r="AO79" s="756">
        <v>0</v>
      </c>
      <c r="AP79" s="754">
        <v>0</v>
      </c>
      <c r="AQ79" s="661">
        <f>+AP79</f>
        <v>0</v>
      </c>
      <c r="AR79" s="845">
        <v>0</v>
      </c>
      <c r="AS79" s="845">
        <v>0</v>
      </c>
      <c r="AT79" s="845">
        <v>0</v>
      </c>
      <c r="AU79" s="845">
        <v>0</v>
      </c>
      <c r="AV79" s="661">
        <f>+AU79</f>
        <v>0</v>
      </c>
      <c r="AW79" s="845">
        <v>0</v>
      </c>
      <c r="AX79" s="845">
        <v>0</v>
      </c>
      <c r="AY79" s="845">
        <v>0</v>
      </c>
      <c r="AZ79" s="845">
        <v>0</v>
      </c>
      <c r="BA79" s="661">
        <f>+AZ79</f>
        <v>0</v>
      </c>
      <c r="BB79" s="845">
        <v>0</v>
      </c>
      <c r="BC79" s="845">
        <v>0</v>
      </c>
      <c r="BD79" s="845">
        <v>0</v>
      </c>
      <c r="BE79" s="845">
        <v>0</v>
      </c>
      <c r="BF79" s="661">
        <f>+BE79</f>
        <v>0</v>
      </c>
      <c r="BG79" s="845">
        <v>0</v>
      </c>
      <c r="BH79" s="845">
        <v>0</v>
      </c>
      <c r="BI79" s="845">
        <v>0</v>
      </c>
      <c r="BJ79" s="845">
        <v>0</v>
      </c>
      <c r="BK79" s="661">
        <f>+BJ79</f>
        <v>0</v>
      </c>
      <c r="BL79" s="845">
        <v>0</v>
      </c>
      <c r="BM79" s="845"/>
      <c r="BN79" s="845"/>
      <c r="BO79" s="845">
        <v>0</v>
      </c>
      <c r="BP79" s="661">
        <f>+BO79</f>
        <v>0</v>
      </c>
      <c r="BQ79" s="1231">
        <v>0</v>
      </c>
      <c r="BR79" s="1231">
        <v>0</v>
      </c>
      <c r="BS79" s="1231">
        <v>0</v>
      </c>
      <c r="BT79" s="1231">
        <v>0</v>
      </c>
      <c r="BU79" s="661">
        <f>+BT79</f>
        <v>0</v>
      </c>
      <c r="BV79" s="1231">
        <v>0</v>
      </c>
      <c r="BW79" s="1231">
        <v>0</v>
      </c>
      <c r="BX79" s="1231">
        <v>0</v>
      </c>
      <c r="BY79" s="756">
        <v>0</v>
      </c>
      <c r="BZ79" s="661">
        <f>+BY79</f>
        <v>0</v>
      </c>
      <c r="CA79" s="1231">
        <v>0</v>
      </c>
      <c r="CB79" s="1231">
        <v>0</v>
      </c>
      <c r="CC79" s="1231">
        <v>0</v>
      </c>
      <c r="CD79" s="1231">
        <v>0</v>
      </c>
      <c r="CE79" s="661">
        <f>+CD79</f>
        <v>0</v>
      </c>
      <c r="CF79" s="1231">
        <v>1</v>
      </c>
      <c r="CG79" s="1231">
        <v>2</v>
      </c>
      <c r="CH79" s="2893">
        <v>2</v>
      </c>
      <c r="CI79" s="2893">
        <v>2</v>
      </c>
      <c r="CJ79" s="661">
        <f>+CI79</f>
        <v>2</v>
      </c>
      <c r="CK79" s="3501">
        <v>2</v>
      </c>
      <c r="CL79" s="3501">
        <v>2</v>
      </c>
      <c r="CM79" s="3501">
        <v>3</v>
      </c>
      <c r="CN79" s="3501">
        <v>4</v>
      </c>
      <c r="CO79" s="661">
        <f>+CN79</f>
        <v>4</v>
      </c>
      <c r="CP79" s="3501"/>
      <c r="CQ79" s="3501"/>
      <c r="CR79" s="1261"/>
      <c r="CS79" s="1261"/>
      <c r="CT79" s="1243"/>
      <c r="CU79" s="1243"/>
      <c r="CV79" s="1243"/>
    </row>
    <row r="80" spans="1:256" x14ac:dyDescent="0.2">
      <c r="A80" s="1436" t="s">
        <v>510</v>
      </c>
      <c r="B80" s="1240"/>
      <c r="C80" s="1241"/>
      <c r="D80" s="758"/>
      <c r="E80" s="758"/>
      <c r="F80" s="758"/>
      <c r="G80" s="758"/>
      <c r="H80" s="752"/>
      <c r="I80" s="845">
        <v>0</v>
      </c>
      <c r="J80" s="845">
        <v>0</v>
      </c>
      <c r="K80" s="845">
        <v>0</v>
      </c>
      <c r="L80" s="845">
        <v>0</v>
      </c>
      <c r="M80" s="661">
        <f t="shared" si="46"/>
        <v>0</v>
      </c>
      <c r="N80" s="845">
        <v>0</v>
      </c>
      <c r="O80" s="845">
        <v>0</v>
      </c>
      <c r="P80" s="845">
        <v>0</v>
      </c>
      <c r="Q80" s="845">
        <v>0</v>
      </c>
      <c r="R80" s="661">
        <f t="shared" si="47"/>
        <v>0</v>
      </c>
      <c r="S80" s="845">
        <v>0</v>
      </c>
      <c r="T80" s="845">
        <v>0</v>
      </c>
      <c r="U80" s="845">
        <v>0</v>
      </c>
      <c r="V80" s="845">
        <v>0</v>
      </c>
      <c r="W80" s="661">
        <f t="shared" si="48"/>
        <v>0</v>
      </c>
      <c r="X80" s="845">
        <v>0</v>
      </c>
      <c r="Y80" s="845">
        <v>0</v>
      </c>
      <c r="Z80" s="845">
        <v>0</v>
      </c>
      <c r="AA80" s="845">
        <v>0</v>
      </c>
      <c r="AB80" s="661">
        <f t="shared" si="49"/>
        <v>0</v>
      </c>
      <c r="AC80" s="845">
        <v>0</v>
      </c>
      <c r="AD80" s="845">
        <v>0</v>
      </c>
      <c r="AE80" s="845">
        <v>0</v>
      </c>
      <c r="AF80" s="845">
        <v>0</v>
      </c>
      <c r="AG80" s="661">
        <f t="shared" si="50"/>
        <v>0</v>
      </c>
      <c r="AH80" s="845">
        <v>0</v>
      </c>
      <c r="AI80" s="845">
        <v>0</v>
      </c>
      <c r="AJ80" s="845">
        <v>0</v>
      </c>
      <c r="AK80" s="845">
        <v>0</v>
      </c>
      <c r="AL80" s="661">
        <f t="shared" si="51"/>
        <v>0</v>
      </c>
      <c r="AM80" s="756">
        <v>0</v>
      </c>
      <c r="AN80" s="756">
        <v>0</v>
      </c>
      <c r="AO80" s="756">
        <v>0</v>
      </c>
      <c r="AP80" s="754">
        <v>0</v>
      </c>
      <c r="AQ80" s="661">
        <f t="shared" si="52"/>
        <v>0</v>
      </c>
      <c r="AR80" s="845">
        <v>0</v>
      </c>
      <c r="AS80" s="845">
        <v>0</v>
      </c>
      <c r="AT80" s="845">
        <v>0</v>
      </c>
      <c r="AU80" s="845">
        <v>0</v>
      </c>
      <c r="AV80" s="661">
        <f t="shared" si="53"/>
        <v>0</v>
      </c>
      <c r="AW80" s="845">
        <v>0</v>
      </c>
      <c r="AX80" s="845">
        <v>0</v>
      </c>
      <c r="AY80" s="845">
        <v>0</v>
      </c>
      <c r="AZ80" s="845">
        <v>0</v>
      </c>
      <c r="BA80" s="661">
        <f t="shared" si="54"/>
        <v>0</v>
      </c>
      <c r="BB80" s="845">
        <v>0</v>
      </c>
      <c r="BC80" s="845">
        <v>0</v>
      </c>
      <c r="BD80" s="845">
        <v>0</v>
      </c>
      <c r="BE80" s="845">
        <v>0</v>
      </c>
      <c r="BF80" s="661">
        <f t="shared" si="55"/>
        <v>0</v>
      </c>
      <c r="BG80" s="845">
        <v>0</v>
      </c>
      <c r="BH80" s="845">
        <v>0</v>
      </c>
      <c r="BI80" s="845">
        <v>0</v>
      </c>
      <c r="BJ80" s="845">
        <v>0</v>
      </c>
      <c r="BK80" s="661">
        <f t="shared" si="56"/>
        <v>0</v>
      </c>
      <c r="BL80" s="845">
        <v>0</v>
      </c>
      <c r="BM80" s="845"/>
      <c r="BN80" s="845"/>
      <c r="BO80" s="845">
        <v>0</v>
      </c>
      <c r="BP80" s="661">
        <f t="shared" si="57"/>
        <v>0</v>
      </c>
      <c r="BQ80" s="1231">
        <v>0</v>
      </c>
      <c r="BR80" s="1231">
        <v>0</v>
      </c>
      <c r="BS80" s="1231">
        <v>0</v>
      </c>
      <c r="BT80" s="1231">
        <v>0</v>
      </c>
      <c r="BU80" s="661">
        <f t="shared" si="58"/>
        <v>0</v>
      </c>
      <c r="BV80" s="1231">
        <v>0</v>
      </c>
      <c r="BW80" s="1231">
        <v>0</v>
      </c>
      <c r="BX80" s="1231">
        <v>0</v>
      </c>
      <c r="BY80" s="756">
        <v>0</v>
      </c>
      <c r="BZ80" s="661">
        <f t="shared" si="59"/>
        <v>0</v>
      </c>
      <c r="CA80" s="1231">
        <v>0</v>
      </c>
      <c r="CB80" s="1231">
        <v>0</v>
      </c>
      <c r="CC80" s="1231">
        <v>1</v>
      </c>
      <c r="CD80" s="1231">
        <v>1</v>
      </c>
      <c r="CE80" s="661">
        <f t="shared" si="60"/>
        <v>1</v>
      </c>
      <c r="CF80" s="1231">
        <v>1</v>
      </c>
      <c r="CG80" s="1231">
        <v>1</v>
      </c>
      <c r="CH80" s="2893">
        <v>1</v>
      </c>
      <c r="CI80" s="2893">
        <v>1</v>
      </c>
      <c r="CJ80" s="661">
        <f t="shared" si="44"/>
        <v>1</v>
      </c>
      <c r="CK80" s="3501">
        <v>1</v>
      </c>
      <c r="CL80" s="3501">
        <v>1</v>
      </c>
      <c r="CM80" s="3501">
        <v>1</v>
      </c>
      <c r="CN80" s="3501">
        <v>1</v>
      </c>
      <c r="CO80" s="661">
        <f t="shared" si="45"/>
        <v>1</v>
      </c>
      <c r="CP80" s="3501"/>
      <c r="CQ80" s="3501"/>
      <c r="CR80" s="1261"/>
      <c r="CS80" s="1261"/>
      <c r="CT80" s="1243"/>
      <c r="CU80" s="1243"/>
      <c r="CV80" s="1243"/>
    </row>
    <row r="81" spans="1:100" x14ac:dyDescent="0.2">
      <c r="A81" s="1436" t="s">
        <v>511</v>
      </c>
      <c r="B81" s="1240"/>
      <c r="C81" s="1241"/>
      <c r="D81" s="758"/>
      <c r="E81" s="758"/>
      <c r="F81" s="758"/>
      <c r="G81" s="758"/>
      <c r="H81" s="752"/>
      <c r="I81" s="845">
        <v>0</v>
      </c>
      <c r="J81" s="845">
        <v>0</v>
      </c>
      <c r="K81" s="845">
        <v>0</v>
      </c>
      <c r="L81" s="845">
        <v>0</v>
      </c>
      <c r="M81" s="661">
        <f t="shared" si="46"/>
        <v>0</v>
      </c>
      <c r="N81" s="845">
        <v>0</v>
      </c>
      <c r="O81" s="845">
        <v>0</v>
      </c>
      <c r="P81" s="845">
        <v>0</v>
      </c>
      <c r="Q81" s="845">
        <v>0</v>
      </c>
      <c r="R81" s="661">
        <f t="shared" si="47"/>
        <v>0</v>
      </c>
      <c r="S81" s="845">
        <v>0</v>
      </c>
      <c r="T81" s="845">
        <v>0</v>
      </c>
      <c r="U81" s="845">
        <v>0</v>
      </c>
      <c r="V81" s="845">
        <v>0</v>
      </c>
      <c r="W81" s="661">
        <f t="shared" si="48"/>
        <v>0</v>
      </c>
      <c r="X81" s="845">
        <v>0</v>
      </c>
      <c r="Y81" s="845">
        <v>0</v>
      </c>
      <c r="Z81" s="845">
        <v>0</v>
      </c>
      <c r="AA81" s="845">
        <v>0</v>
      </c>
      <c r="AB81" s="661">
        <f t="shared" si="49"/>
        <v>0</v>
      </c>
      <c r="AC81" s="845">
        <v>0</v>
      </c>
      <c r="AD81" s="845">
        <v>0</v>
      </c>
      <c r="AE81" s="845">
        <v>0</v>
      </c>
      <c r="AF81" s="845">
        <v>0</v>
      </c>
      <c r="AG81" s="661">
        <f t="shared" si="50"/>
        <v>0</v>
      </c>
      <c r="AH81" s="845">
        <v>0</v>
      </c>
      <c r="AI81" s="845">
        <v>0</v>
      </c>
      <c r="AJ81" s="845">
        <v>0</v>
      </c>
      <c r="AK81" s="845">
        <v>0</v>
      </c>
      <c r="AL81" s="661">
        <f t="shared" si="51"/>
        <v>0</v>
      </c>
      <c r="AM81" s="756">
        <v>0</v>
      </c>
      <c r="AN81" s="756">
        <v>0</v>
      </c>
      <c r="AO81" s="756">
        <v>0</v>
      </c>
      <c r="AP81" s="754">
        <v>0</v>
      </c>
      <c r="AQ81" s="661">
        <f t="shared" si="52"/>
        <v>0</v>
      </c>
      <c r="AR81" s="845">
        <v>0</v>
      </c>
      <c r="AS81" s="845">
        <v>0</v>
      </c>
      <c r="AT81" s="845">
        <v>0</v>
      </c>
      <c r="AU81" s="845">
        <v>0</v>
      </c>
      <c r="AV81" s="661">
        <f t="shared" si="53"/>
        <v>0</v>
      </c>
      <c r="AW81" s="845">
        <v>0</v>
      </c>
      <c r="AX81" s="845">
        <v>0</v>
      </c>
      <c r="AY81" s="845">
        <v>0</v>
      </c>
      <c r="AZ81" s="845">
        <v>0</v>
      </c>
      <c r="BA81" s="661">
        <f t="shared" si="54"/>
        <v>0</v>
      </c>
      <c r="BB81" s="845">
        <v>0</v>
      </c>
      <c r="BC81" s="845">
        <v>0</v>
      </c>
      <c r="BD81" s="845">
        <v>0</v>
      </c>
      <c r="BE81" s="845">
        <v>0</v>
      </c>
      <c r="BF81" s="661">
        <f t="shared" si="55"/>
        <v>0</v>
      </c>
      <c r="BG81" s="845">
        <v>0</v>
      </c>
      <c r="BH81" s="845">
        <v>0</v>
      </c>
      <c r="BI81" s="845">
        <v>0</v>
      </c>
      <c r="BJ81" s="845">
        <v>0</v>
      </c>
      <c r="BK81" s="661">
        <f t="shared" si="56"/>
        <v>0</v>
      </c>
      <c r="BL81" s="845">
        <v>0</v>
      </c>
      <c r="BM81" s="845"/>
      <c r="BN81" s="845"/>
      <c r="BO81" s="845">
        <v>0</v>
      </c>
      <c r="BP81" s="661">
        <f t="shared" si="57"/>
        <v>0</v>
      </c>
      <c r="BQ81" s="1231">
        <v>0</v>
      </c>
      <c r="BR81" s="1231">
        <v>0</v>
      </c>
      <c r="BS81" s="1231">
        <v>0</v>
      </c>
      <c r="BT81" s="1231">
        <v>0</v>
      </c>
      <c r="BU81" s="661">
        <f t="shared" si="58"/>
        <v>0</v>
      </c>
      <c r="BV81" s="1231">
        <v>0</v>
      </c>
      <c r="BW81" s="1231">
        <v>0</v>
      </c>
      <c r="BX81" s="1231">
        <v>0</v>
      </c>
      <c r="BY81" s="756">
        <v>0</v>
      </c>
      <c r="BZ81" s="661">
        <f t="shared" si="59"/>
        <v>0</v>
      </c>
      <c r="CA81" s="1231">
        <v>0</v>
      </c>
      <c r="CB81" s="1231">
        <v>0</v>
      </c>
      <c r="CC81" s="1231">
        <v>0</v>
      </c>
      <c r="CD81" s="1231">
        <v>0</v>
      </c>
      <c r="CE81" s="661">
        <f t="shared" si="60"/>
        <v>0</v>
      </c>
      <c r="CF81" s="1231">
        <v>0</v>
      </c>
      <c r="CG81" s="1231">
        <v>0</v>
      </c>
      <c r="CH81" s="2893">
        <v>0</v>
      </c>
      <c r="CI81" s="2893">
        <v>0</v>
      </c>
      <c r="CJ81" s="661">
        <f t="shared" si="44"/>
        <v>0</v>
      </c>
      <c r="CK81" s="3501">
        <v>0</v>
      </c>
      <c r="CL81" s="3501">
        <v>0</v>
      </c>
      <c r="CM81" s="3501">
        <v>0</v>
      </c>
      <c r="CN81" s="3501">
        <v>0</v>
      </c>
      <c r="CO81" s="661">
        <f t="shared" si="45"/>
        <v>0</v>
      </c>
      <c r="CP81" s="3501"/>
      <c r="CQ81" s="3501"/>
      <c r="CR81" s="1261"/>
      <c r="CS81" s="1261"/>
      <c r="CT81" s="1243"/>
      <c r="CU81" s="1243"/>
      <c r="CV81" s="1243"/>
    </row>
    <row r="82" spans="1:100" outlineLevel="1" x14ac:dyDescent="0.2">
      <c r="A82" s="1436" t="s">
        <v>383</v>
      </c>
      <c r="B82" s="1240"/>
      <c r="C82" s="1241"/>
      <c r="D82" s="758"/>
      <c r="E82" s="758"/>
      <c r="F82" s="758"/>
      <c r="G82" s="758"/>
      <c r="H82" s="752"/>
      <c r="I82" s="845">
        <v>0</v>
      </c>
      <c r="J82" s="845">
        <v>0</v>
      </c>
      <c r="K82" s="845">
        <v>0</v>
      </c>
      <c r="L82" s="845">
        <v>0</v>
      </c>
      <c r="M82" s="661">
        <f t="shared" si="46"/>
        <v>0</v>
      </c>
      <c r="N82" s="845">
        <v>0</v>
      </c>
      <c r="O82" s="845">
        <v>0</v>
      </c>
      <c r="P82" s="845">
        <v>0</v>
      </c>
      <c r="Q82" s="845">
        <v>0</v>
      </c>
      <c r="R82" s="661">
        <f t="shared" si="47"/>
        <v>0</v>
      </c>
      <c r="S82" s="845">
        <v>0</v>
      </c>
      <c r="T82" s="845">
        <v>0</v>
      </c>
      <c r="U82" s="845">
        <v>0</v>
      </c>
      <c r="V82" s="845">
        <v>0</v>
      </c>
      <c r="W82" s="661">
        <f t="shared" si="48"/>
        <v>0</v>
      </c>
      <c r="X82" s="845">
        <v>0</v>
      </c>
      <c r="Y82" s="845">
        <v>0</v>
      </c>
      <c r="Z82" s="845">
        <v>0</v>
      </c>
      <c r="AA82" s="845">
        <v>0</v>
      </c>
      <c r="AB82" s="661">
        <f t="shared" si="49"/>
        <v>0</v>
      </c>
      <c r="AC82" s="845">
        <v>0</v>
      </c>
      <c r="AD82" s="845">
        <v>0</v>
      </c>
      <c r="AE82" s="845">
        <v>0</v>
      </c>
      <c r="AF82" s="845">
        <v>0</v>
      </c>
      <c r="AG82" s="661">
        <f t="shared" si="50"/>
        <v>0</v>
      </c>
      <c r="AH82" s="845">
        <v>0</v>
      </c>
      <c r="AI82" s="845">
        <v>0</v>
      </c>
      <c r="AJ82" s="845">
        <v>0</v>
      </c>
      <c r="AK82" s="845">
        <v>0</v>
      </c>
      <c r="AL82" s="661">
        <f t="shared" si="51"/>
        <v>0</v>
      </c>
      <c r="AM82" s="756">
        <v>0</v>
      </c>
      <c r="AN82" s="756">
        <v>0</v>
      </c>
      <c r="AO82" s="756">
        <v>0</v>
      </c>
      <c r="AP82" s="754">
        <v>0</v>
      </c>
      <c r="AQ82" s="661">
        <f t="shared" si="52"/>
        <v>0</v>
      </c>
      <c r="AR82" s="845">
        <v>0</v>
      </c>
      <c r="AS82" s="845">
        <v>0</v>
      </c>
      <c r="AT82" s="845">
        <v>0</v>
      </c>
      <c r="AU82" s="845">
        <v>0</v>
      </c>
      <c r="AV82" s="661">
        <f t="shared" si="53"/>
        <v>0</v>
      </c>
      <c r="AW82" s="845">
        <v>0</v>
      </c>
      <c r="AX82" s="845">
        <v>0</v>
      </c>
      <c r="AY82" s="845">
        <v>0</v>
      </c>
      <c r="AZ82" s="845">
        <v>0</v>
      </c>
      <c r="BA82" s="661">
        <f t="shared" si="54"/>
        <v>0</v>
      </c>
      <c r="BB82" s="845">
        <v>0</v>
      </c>
      <c r="BC82" s="845">
        <v>0</v>
      </c>
      <c r="BD82" s="845">
        <v>0</v>
      </c>
      <c r="BE82" s="845">
        <v>0</v>
      </c>
      <c r="BF82" s="661">
        <f t="shared" si="55"/>
        <v>0</v>
      </c>
      <c r="BG82" s="845">
        <v>0</v>
      </c>
      <c r="BH82" s="845">
        <v>0</v>
      </c>
      <c r="BI82" s="845">
        <v>0</v>
      </c>
      <c r="BJ82" s="845">
        <v>0</v>
      </c>
      <c r="BK82" s="661">
        <f t="shared" si="56"/>
        <v>0</v>
      </c>
      <c r="BL82" s="845">
        <v>0</v>
      </c>
      <c r="BM82" s="845"/>
      <c r="BN82" s="845"/>
      <c r="BO82" s="845">
        <v>0</v>
      </c>
      <c r="BP82" s="661">
        <f t="shared" si="57"/>
        <v>0</v>
      </c>
      <c r="BQ82" s="1231">
        <v>0</v>
      </c>
      <c r="BR82" s="1231">
        <v>0</v>
      </c>
      <c r="BS82" s="1231">
        <v>0</v>
      </c>
      <c r="BT82" s="1231">
        <v>0</v>
      </c>
      <c r="BU82" s="661">
        <f t="shared" si="58"/>
        <v>0</v>
      </c>
      <c r="BV82" s="1231">
        <v>0</v>
      </c>
      <c r="BW82" s="1231">
        <v>0</v>
      </c>
      <c r="BX82" s="1231">
        <v>0</v>
      </c>
      <c r="BY82" s="756">
        <v>0</v>
      </c>
      <c r="BZ82" s="661">
        <f t="shared" si="59"/>
        <v>0</v>
      </c>
      <c r="CA82" s="1231">
        <v>0</v>
      </c>
      <c r="CB82" s="1231">
        <v>0</v>
      </c>
      <c r="CC82" s="1231">
        <v>0</v>
      </c>
      <c r="CD82" s="1231">
        <v>0</v>
      </c>
      <c r="CE82" s="661">
        <f t="shared" si="60"/>
        <v>0</v>
      </c>
      <c r="CF82" s="1231">
        <v>0</v>
      </c>
      <c r="CG82" s="1231">
        <v>0</v>
      </c>
      <c r="CH82" s="2893">
        <v>0</v>
      </c>
      <c r="CI82" s="2893">
        <v>0</v>
      </c>
      <c r="CJ82" s="661">
        <f t="shared" si="44"/>
        <v>0</v>
      </c>
      <c r="CK82" s="3501">
        <v>0</v>
      </c>
      <c r="CL82" s="3501">
        <v>0</v>
      </c>
      <c r="CM82" s="3501">
        <v>0</v>
      </c>
      <c r="CN82" s="3501">
        <v>0</v>
      </c>
      <c r="CO82" s="661">
        <f t="shared" si="45"/>
        <v>0</v>
      </c>
      <c r="CP82" s="3501"/>
      <c r="CQ82" s="3501"/>
      <c r="CR82" s="1261"/>
      <c r="CS82" s="1261"/>
      <c r="CT82" s="1243"/>
      <c r="CU82" s="1243"/>
      <c r="CV82" s="1243"/>
    </row>
    <row r="83" spans="1:100" outlineLevel="1" x14ac:dyDescent="0.2">
      <c r="A83" s="1436" t="s">
        <v>656</v>
      </c>
      <c r="B83" s="1240"/>
      <c r="C83" s="1241"/>
      <c r="D83" s="758"/>
      <c r="E83" s="758"/>
      <c r="F83" s="758"/>
      <c r="G83" s="758"/>
      <c r="H83" s="752"/>
      <c r="I83" s="845">
        <v>0</v>
      </c>
      <c r="J83" s="845">
        <v>0</v>
      </c>
      <c r="K83" s="845">
        <v>0</v>
      </c>
      <c r="L83" s="845">
        <v>0</v>
      </c>
      <c r="M83" s="661">
        <f t="shared" si="46"/>
        <v>0</v>
      </c>
      <c r="N83" s="845">
        <v>0</v>
      </c>
      <c r="O83" s="845">
        <v>0</v>
      </c>
      <c r="P83" s="845">
        <v>0</v>
      </c>
      <c r="Q83" s="845">
        <v>0</v>
      </c>
      <c r="R83" s="661">
        <f t="shared" si="47"/>
        <v>0</v>
      </c>
      <c r="S83" s="845">
        <v>0</v>
      </c>
      <c r="T83" s="845">
        <v>0</v>
      </c>
      <c r="U83" s="845">
        <v>0</v>
      </c>
      <c r="V83" s="845">
        <v>0</v>
      </c>
      <c r="W83" s="661">
        <f t="shared" si="48"/>
        <v>0</v>
      </c>
      <c r="X83" s="845">
        <v>0</v>
      </c>
      <c r="Y83" s="845">
        <v>0</v>
      </c>
      <c r="Z83" s="845">
        <v>0</v>
      </c>
      <c r="AA83" s="845">
        <v>0</v>
      </c>
      <c r="AB83" s="661">
        <f t="shared" si="49"/>
        <v>0</v>
      </c>
      <c r="AC83" s="845">
        <v>0</v>
      </c>
      <c r="AD83" s="845">
        <v>0</v>
      </c>
      <c r="AE83" s="845">
        <v>0</v>
      </c>
      <c r="AF83" s="845">
        <v>0</v>
      </c>
      <c r="AG83" s="661">
        <f t="shared" si="50"/>
        <v>0</v>
      </c>
      <c r="AH83" s="845">
        <v>0</v>
      </c>
      <c r="AI83" s="845">
        <v>0</v>
      </c>
      <c r="AJ83" s="845">
        <v>0</v>
      </c>
      <c r="AK83" s="845">
        <v>0</v>
      </c>
      <c r="AL83" s="661">
        <f t="shared" si="51"/>
        <v>0</v>
      </c>
      <c r="AM83" s="756">
        <v>0</v>
      </c>
      <c r="AN83" s="756">
        <v>0</v>
      </c>
      <c r="AO83" s="756">
        <v>0</v>
      </c>
      <c r="AP83" s="754">
        <v>0</v>
      </c>
      <c r="AQ83" s="661">
        <f t="shared" si="52"/>
        <v>0</v>
      </c>
      <c r="AR83" s="845">
        <v>0</v>
      </c>
      <c r="AS83" s="845">
        <v>0</v>
      </c>
      <c r="AT83" s="845">
        <v>0</v>
      </c>
      <c r="AU83" s="845">
        <v>0</v>
      </c>
      <c r="AV83" s="661">
        <f t="shared" si="53"/>
        <v>0</v>
      </c>
      <c r="AW83" s="845">
        <v>0</v>
      </c>
      <c r="AX83" s="845">
        <v>0</v>
      </c>
      <c r="AY83" s="845">
        <v>0</v>
      </c>
      <c r="AZ83" s="845">
        <v>0</v>
      </c>
      <c r="BA83" s="661">
        <f t="shared" si="54"/>
        <v>0</v>
      </c>
      <c r="BB83" s="845">
        <v>0</v>
      </c>
      <c r="BC83" s="845">
        <v>0</v>
      </c>
      <c r="BD83" s="845">
        <v>0</v>
      </c>
      <c r="BE83" s="845">
        <v>0</v>
      </c>
      <c r="BF83" s="661">
        <f t="shared" si="55"/>
        <v>0</v>
      </c>
      <c r="BG83" s="845">
        <v>0</v>
      </c>
      <c r="BH83" s="845">
        <v>0</v>
      </c>
      <c r="BI83" s="845">
        <v>0</v>
      </c>
      <c r="BJ83" s="845">
        <v>0</v>
      </c>
      <c r="BK83" s="661">
        <f t="shared" si="56"/>
        <v>0</v>
      </c>
      <c r="BL83" s="845">
        <v>0</v>
      </c>
      <c r="BM83" s="845"/>
      <c r="BN83" s="845"/>
      <c r="BO83" s="845">
        <v>0</v>
      </c>
      <c r="BP83" s="661">
        <f t="shared" si="57"/>
        <v>0</v>
      </c>
      <c r="BQ83" s="1231">
        <v>0</v>
      </c>
      <c r="BR83" s="1231">
        <v>0</v>
      </c>
      <c r="BS83" s="1231">
        <v>0</v>
      </c>
      <c r="BT83" s="1231">
        <v>0</v>
      </c>
      <c r="BU83" s="661">
        <f t="shared" si="58"/>
        <v>0</v>
      </c>
      <c r="BV83" s="1231">
        <v>0</v>
      </c>
      <c r="BW83" s="1231">
        <v>0</v>
      </c>
      <c r="BX83" s="1231">
        <v>0</v>
      </c>
      <c r="BY83" s="756">
        <v>0</v>
      </c>
      <c r="BZ83" s="661">
        <f t="shared" si="59"/>
        <v>0</v>
      </c>
      <c r="CA83" s="1231">
        <v>0</v>
      </c>
      <c r="CB83" s="1231">
        <v>0</v>
      </c>
      <c r="CC83" s="1231">
        <v>0</v>
      </c>
      <c r="CD83" s="1231">
        <v>0</v>
      </c>
      <c r="CE83" s="661">
        <f t="shared" si="60"/>
        <v>0</v>
      </c>
      <c r="CF83" s="1231">
        <v>0</v>
      </c>
      <c r="CG83" s="1231">
        <v>0</v>
      </c>
      <c r="CH83" s="2893">
        <v>0</v>
      </c>
      <c r="CI83" s="2893">
        <v>0</v>
      </c>
      <c r="CJ83" s="661">
        <f t="shared" si="44"/>
        <v>0</v>
      </c>
      <c r="CK83" s="3501">
        <v>0</v>
      </c>
      <c r="CL83" s="3501">
        <v>0</v>
      </c>
      <c r="CM83" s="3501">
        <v>0</v>
      </c>
      <c r="CN83" s="3501">
        <v>0</v>
      </c>
      <c r="CO83" s="661">
        <f t="shared" si="45"/>
        <v>0</v>
      </c>
      <c r="CP83" s="3501"/>
      <c r="CQ83" s="3501"/>
      <c r="CR83" s="1261"/>
      <c r="CS83" s="1261"/>
      <c r="CT83" s="1243"/>
      <c r="CU83" s="1243"/>
      <c r="CV83" s="1243"/>
    </row>
    <row r="84" spans="1:100" outlineLevel="1" x14ac:dyDescent="0.2">
      <c r="A84" s="1436" t="s">
        <v>1386</v>
      </c>
      <c r="B84" s="1240"/>
      <c r="C84" s="1241"/>
      <c r="D84" s="758"/>
      <c r="E84" s="758"/>
      <c r="F84" s="758"/>
      <c r="G84" s="758"/>
      <c r="H84" s="752"/>
      <c r="I84" s="845">
        <f>-I222+245</f>
        <v>228</v>
      </c>
      <c r="J84" s="845">
        <f>-J222+253</f>
        <v>234</v>
      </c>
      <c r="K84" s="845">
        <f>-K222+259</f>
        <v>239</v>
      </c>
      <c r="L84" s="845">
        <f>-L222+267</f>
        <v>247</v>
      </c>
      <c r="M84" s="661">
        <f t="shared" si="46"/>
        <v>247</v>
      </c>
      <c r="N84" s="845">
        <f>-N222+275</f>
        <v>255</v>
      </c>
      <c r="O84" s="845">
        <f>280-O222</f>
        <v>259</v>
      </c>
      <c r="P84" s="845">
        <v>265</v>
      </c>
      <c r="Q84" s="845">
        <v>274</v>
      </c>
      <c r="R84" s="661">
        <f t="shared" si="47"/>
        <v>274</v>
      </c>
      <c r="S84" s="845">
        <v>279</v>
      </c>
      <c r="T84" s="845">
        <v>285</v>
      </c>
      <c r="U84" s="845">
        <v>289</v>
      </c>
      <c r="V84" s="845">
        <v>294</v>
      </c>
      <c r="W84" s="661">
        <f t="shared" si="48"/>
        <v>294</v>
      </c>
      <c r="X84" s="845">
        <v>305</v>
      </c>
      <c r="Y84" s="845">
        <v>313</v>
      </c>
      <c r="Z84" s="845">
        <v>318</v>
      </c>
      <c r="AA84" s="845">
        <v>325</v>
      </c>
      <c r="AB84" s="661">
        <f t="shared" si="49"/>
        <v>325</v>
      </c>
      <c r="AC84" s="845">
        <v>328</v>
      </c>
      <c r="AD84" s="845">
        <v>332</v>
      </c>
      <c r="AE84" s="845">
        <v>341</v>
      </c>
      <c r="AF84" s="845">
        <v>349</v>
      </c>
      <c r="AG84" s="661">
        <f t="shared" si="50"/>
        <v>349</v>
      </c>
      <c r="AH84" s="845">
        <v>353</v>
      </c>
      <c r="AI84" s="845">
        <v>359</v>
      </c>
      <c r="AJ84" s="845">
        <v>366</v>
      </c>
      <c r="AK84" s="845">
        <v>379</v>
      </c>
      <c r="AL84" s="661">
        <f t="shared" si="51"/>
        <v>379</v>
      </c>
      <c r="AM84" s="756">
        <v>386</v>
      </c>
      <c r="AN84" s="756">
        <v>397</v>
      </c>
      <c r="AO84" s="756">
        <v>407</v>
      </c>
      <c r="AP84" s="754">
        <v>421</v>
      </c>
      <c r="AQ84" s="661">
        <f t="shared" si="52"/>
        <v>421</v>
      </c>
      <c r="AR84" s="845">
        <v>423</v>
      </c>
      <c r="AS84" s="845">
        <v>433</v>
      </c>
      <c r="AT84" s="845">
        <v>439</v>
      </c>
      <c r="AU84" s="845">
        <v>452</v>
      </c>
      <c r="AV84" s="661">
        <f t="shared" si="53"/>
        <v>452</v>
      </c>
      <c r="AW84" s="845">
        <v>461</v>
      </c>
      <c r="AX84" s="845">
        <v>469</v>
      </c>
      <c r="AY84" s="845">
        <v>481</v>
      </c>
      <c r="AZ84" s="845">
        <v>488</v>
      </c>
      <c r="BA84" s="661">
        <f t="shared" si="54"/>
        <v>488</v>
      </c>
      <c r="BB84" s="845">
        <v>495</v>
      </c>
      <c r="BC84" s="845">
        <v>499</v>
      </c>
      <c r="BD84" s="845">
        <v>504</v>
      </c>
      <c r="BE84" s="845">
        <v>514</v>
      </c>
      <c r="BF84" s="661">
        <f t="shared" si="55"/>
        <v>514</v>
      </c>
      <c r="BG84" s="845">
        <v>516</v>
      </c>
      <c r="BH84" s="845">
        <v>519</v>
      </c>
      <c r="BI84" s="845">
        <v>520</v>
      </c>
      <c r="BJ84" s="845">
        <v>523</v>
      </c>
      <c r="BK84" s="661">
        <f t="shared" si="56"/>
        <v>523</v>
      </c>
      <c r="BL84" s="845">
        <v>525</v>
      </c>
      <c r="BM84" s="845">
        <v>528</v>
      </c>
      <c r="BN84" s="845">
        <v>530</v>
      </c>
      <c r="BO84" s="845">
        <v>534</v>
      </c>
      <c r="BP84" s="661">
        <f t="shared" si="57"/>
        <v>534</v>
      </c>
      <c r="BQ84" s="1231">
        <v>542</v>
      </c>
      <c r="BR84" s="1231">
        <v>549</v>
      </c>
      <c r="BS84" s="1231">
        <v>555</v>
      </c>
      <c r="BT84" s="845">
        <v>562</v>
      </c>
      <c r="BU84" s="661">
        <f t="shared" si="58"/>
        <v>562</v>
      </c>
      <c r="BV84" s="1231">
        <v>563</v>
      </c>
      <c r="BW84" s="1231">
        <v>570</v>
      </c>
      <c r="BX84" s="1231">
        <v>582</v>
      </c>
      <c r="BY84" s="756">
        <v>587</v>
      </c>
      <c r="BZ84" s="661">
        <f t="shared" si="59"/>
        <v>587</v>
      </c>
      <c r="CA84" s="1231">
        <v>615</v>
      </c>
      <c r="CB84" s="1231">
        <v>620</v>
      </c>
      <c r="CC84" s="1231">
        <v>631</v>
      </c>
      <c r="CD84" s="1231">
        <v>640</v>
      </c>
      <c r="CE84" s="661">
        <f t="shared" si="60"/>
        <v>640</v>
      </c>
      <c r="CF84" s="1231">
        <v>649</v>
      </c>
      <c r="CG84" s="1231">
        <v>661</v>
      </c>
      <c r="CH84" s="2893">
        <v>673</v>
      </c>
      <c r="CI84" s="2893">
        <v>686</v>
      </c>
      <c r="CJ84" s="661">
        <f t="shared" si="44"/>
        <v>686</v>
      </c>
      <c r="CK84" s="3501">
        <v>697</v>
      </c>
      <c r="CL84" s="3501">
        <v>705</v>
      </c>
      <c r="CM84" s="3501">
        <v>714</v>
      </c>
      <c r="CN84" s="3501">
        <v>734</v>
      </c>
      <c r="CO84" s="661">
        <f t="shared" si="45"/>
        <v>734</v>
      </c>
      <c r="CP84" s="3501"/>
      <c r="CQ84" s="3501"/>
      <c r="CR84" s="1261"/>
      <c r="CS84" s="1261"/>
      <c r="CT84" s="1243"/>
      <c r="CU84" s="1243"/>
      <c r="CV84" s="1243"/>
    </row>
    <row r="85" spans="1:100" outlineLevel="1" x14ac:dyDescent="0.2">
      <c r="A85" s="1436" t="s">
        <v>1389</v>
      </c>
      <c r="B85" s="1240"/>
      <c r="C85" s="1241"/>
      <c r="D85" s="758"/>
      <c r="E85" s="758"/>
      <c r="F85" s="758"/>
      <c r="G85" s="758"/>
      <c r="H85" s="752"/>
      <c r="I85" s="845">
        <f>395</f>
        <v>395</v>
      </c>
      <c r="J85" s="845">
        <f>412</f>
        <v>412</v>
      </c>
      <c r="K85" s="845">
        <f>419</f>
        <v>419</v>
      </c>
      <c r="L85" s="845">
        <f>478</f>
        <v>478</v>
      </c>
      <c r="M85" s="661">
        <f>L85</f>
        <v>478</v>
      </c>
      <c r="N85" s="845">
        <f>485</f>
        <v>485</v>
      </c>
      <c r="O85" s="845">
        <v>492</v>
      </c>
      <c r="P85" s="845">
        <v>498</v>
      </c>
      <c r="Q85" s="845">
        <v>501</v>
      </c>
      <c r="R85" s="661">
        <f>Q85</f>
        <v>501</v>
      </c>
      <c r="S85" s="845">
        <v>505</v>
      </c>
      <c r="T85" s="845">
        <v>513</v>
      </c>
      <c r="U85" s="845">
        <v>516</v>
      </c>
      <c r="V85" s="845">
        <v>521</v>
      </c>
      <c r="W85" s="661">
        <f>V85</f>
        <v>521</v>
      </c>
      <c r="X85" s="845">
        <v>524</v>
      </c>
      <c r="Y85" s="845">
        <v>525</v>
      </c>
      <c r="Z85" s="845">
        <v>519</v>
      </c>
      <c r="AA85" s="845">
        <v>517</v>
      </c>
      <c r="AB85" s="661">
        <f>+AA85</f>
        <v>517</v>
      </c>
      <c r="AC85" s="845">
        <v>511</v>
      </c>
      <c r="AD85" s="845">
        <v>509</v>
      </c>
      <c r="AE85" s="845">
        <v>514</v>
      </c>
      <c r="AF85" s="845">
        <v>517</v>
      </c>
      <c r="AG85" s="661">
        <f>+AF85</f>
        <v>517</v>
      </c>
      <c r="AH85" s="845">
        <v>517</v>
      </c>
      <c r="AI85" s="845">
        <v>514</v>
      </c>
      <c r="AJ85" s="845">
        <v>513</v>
      </c>
      <c r="AK85" s="845">
        <v>511</v>
      </c>
      <c r="AL85" s="661">
        <f>+AK85</f>
        <v>511</v>
      </c>
      <c r="AM85" s="756">
        <v>506</v>
      </c>
      <c r="AN85" s="756">
        <v>511</v>
      </c>
      <c r="AO85" s="756">
        <v>519</v>
      </c>
      <c r="AP85" s="754">
        <v>527</v>
      </c>
      <c r="AQ85" s="661">
        <f>+AP85</f>
        <v>527</v>
      </c>
      <c r="AR85" s="845">
        <v>525</v>
      </c>
      <c r="AS85" s="845">
        <v>534</v>
      </c>
      <c r="AT85" s="845">
        <v>545</v>
      </c>
      <c r="AU85" s="845">
        <v>558</v>
      </c>
      <c r="AV85" s="661">
        <f>+AU85</f>
        <v>558</v>
      </c>
      <c r="AW85" s="845">
        <v>572</v>
      </c>
      <c r="AX85" s="845">
        <v>587</v>
      </c>
      <c r="AY85" s="845">
        <v>606</v>
      </c>
      <c r="AZ85" s="845">
        <v>617</v>
      </c>
      <c r="BA85" s="661">
        <f>+AZ85</f>
        <v>617</v>
      </c>
      <c r="BB85" s="845">
        <v>629</v>
      </c>
      <c r="BC85" s="845">
        <v>638</v>
      </c>
      <c r="BD85" s="845">
        <v>644</v>
      </c>
      <c r="BE85" s="845">
        <v>645</v>
      </c>
      <c r="BF85" s="661">
        <f>+BE85</f>
        <v>645</v>
      </c>
      <c r="BG85" s="845">
        <v>645</v>
      </c>
      <c r="BH85" s="845">
        <v>649</v>
      </c>
      <c r="BI85" s="845">
        <v>660</v>
      </c>
      <c r="BJ85" s="845">
        <v>664</v>
      </c>
      <c r="BK85" s="661">
        <f>+BJ85</f>
        <v>664</v>
      </c>
      <c r="BL85" s="845">
        <v>667</v>
      </c>
      <c r="BM85" s="845">
        <v>670</v>
      </c>
      <c r="BN85" s="845">
        <v>674</v>
      </c>
      <c r="BO85" s="845">
        <v>675</v>
      </c>
      <c r="BP85" s="661">
        <f>+BO85</f>
        <v>675</v>
      </c>
      <c r="BQ85" s="1231">
        <v>676</v>
      </c>
      <c r="BR85" s="1231">
        <v>686</v>
      </c>
      <c r="BS85" s="1231">
        <v>690</v>
      </c>
      <c r="BT85" s="845">
        <v>687</v>
      </c>
      <c r="BU85" s="661">
        <f>+BT85</f>
        <v>687</v>
      </c>
      <c r="BV85" s="1231">
        <v>691</v>
      </c>
      <c r="BW85" s="1231">
        <v>694</v>
      </c>
      <c r="BX85" s="1231">
        <v>703</v>
      </c>
      <c r="BY85" s="756">
        <v>700</v>
      </c>
      <c r="BZ85" s="661">
        <f>+BY85</f>
        <v>700</v>
      </c>
      <c r="CA85" s="1231">
        <v>722</v>
      </c>
      <c r="CB85" s="1231">
        <v>738</v>
      </c>
      <c r="CC85" s="1231">
        <v>744</v>
      </c>
      <c r="CD85" s="1231">
        <v>756</v>
      </c>
      <c r="CE85" s="661">
        <f>+CD85</f>
        <v>756</v>
      </c>
      <c r="CF85" s="1231">
        <v>766</v>
      </c>
      <c r="CG85" s="1231">
        <v>788</v>
      </c>
      <c r="CH85" s="2893">
        <v>807</v>
      </c>
      <c r="CI85" s="2893">
        <v>822</v>
      </c>
      <c r="CJ85" s="661">
        <f>+CI85</f>
        <v>822</v>
      </c>
      <c r="CK85" s="3501">
        <v>836</v>
      </c>
      <c r="CL85" s="3501">
        <v>852</v>
      </c>
      <c r="CM85" s="3501">
        <v>870</v>
      </c>
      <c r="CN85" s="3501">
        <v>889</v>
      </c>
      <c r="CO85" s="661">
        <f>+CN85</f>
        <v>889</v>
      </c>
      <c r="CP85" s="3501"/>
      <c r="CQ85" s="3501"/>
      <c r="CR85" s="1261"/>
      <c r="CS85" s="1261"/>
      <c r="CT85" s="1243"/>
      <c r="CU85" s="1243"/>
      <c r="CV85" s="1243"/>
    </row>
    <row r="86" spans="1:100" x14ac:dyDescent="0.2">
      <c r="A86" s="1436" t="s">
        <v>1388</v>
      </c>
      <c r="B86" s="1240"/>
      <c r="C86" s="1241"/>
      <c r="D86" s="758"/>
      <c r="E86" s="758"/>
      <c r="F86" s="758"/>
      <c r="G86" s="758"/>
      <c r="H86" s="752"/>
      <c r="I86" s="845">
        <f>223</f>
        <v>223</v>
      </c>
      <c r="J86" s="845">
        <f>232</f>
        <v>232</v>
      </c>
      <c r="K86" s="845">
        <f>238</f>
        <v>238</v>
      </c>
      <c r="L86" s="845">
        <f>250</f>
        <v>250</v>
      </c>
      <c r="M86" s="661">
        <f t="shared" si="46"/>
        <v>250</v>
      </c>
      <c r="N86" s="845">
        <f>252</f>
        <v>252</v>
      </c>
      <c r="O86" s="845">
        <v>255</v>
      </c>
      <c r="P86" s="845">
        <v>265</v>
      </c>
      <c r="Q86" s="845">
        <v>280</v>
      </c>
      <c r="R86" s="661">
        <f t="shared" si="47"/>
        <v>280</v>
      </c>
      <c r="S86" s="845">
        <v>286</v>
      </c>
      <c r="T86" s="845">
        <v>293</v>
      </c>
      <c r="U86" s="845">
        <v>307</v>
      </c>
      <c r="V86" s="845">
        <v>306</v>
      </c>
      <c r="W86" s="661">
        <f t="shared" si="48"/>
        <v>306</v>
      </c>
      <c r="X86" s="845">
        <v>304</v>
      </c>
      <c r="Y86" s="845">
        <v>309</v>
      </c>
      <c r="Z86" s="845">
        <v>311</v>
      </c>
      <c r="AA86" s="845">
        <v>317</v>
      </c>
      <c r="AB86" s="661">
        <f t="shared" si="49"/>
        <v>317</v>
      </c>
      <c r="AC86" s="845">
        <v>321</v>
      </c>
      <c r="AD86" s="845">
        <v>326</v>
      </c>
      <c r="AE86" s="845">
        <v>332</v>
      </c>
      <c r="AF86" s="845">
        <v>338</v>
      </c>
      <c r="AG86" s="661">
        <f t="shared" si="50"/>
        <v>338</v>
      </c>
      <c r="AH86" s="845">
        <v>344</v>
      </c>
      <c r="AI86" s="845">
        <v>348</v>
      </c>
      <c r="AJ86" s="845">
        <v>358</v>
      </c>
      <c r="AK86" s="845">
        <v>358</v>
      </c>
      <c r="AL86" s="661">
        <f t="shared" si="51"/>
        <v>358</v>
      </c>
      <c r="AM86" s="756">
        <v>368</v>
      </c>
      <c r="AN86" s="756">
        <v>372</v>
      </c>
      <c r="AO86" s="756">
        <v>380</v>
      </c>
      <c r="AP86" s="754">
        <v>390</v>
      </c>
      <c r="AQ86" s="661">
        <f t="shared" si="52"/>
        <v>390</v>
      </c>
      <c r="AR86" s="845">
        <v>395</v>
      </c>
      <c r="AS86" s="845">
        <v>401</v>
      </c>
      <c r="AT86" s="845">
        <v>409</v>
      </c>
      <c r="AU86" s="845">
        <v>421</v>
      </c>
      <c r="AV86" s="661">
        <f t="shared" si="53"/>
        <v>421</v>
      </c>
      <c r="AW86" s="845">
        <v>423</v>
      </c>
      <c r="AX86" s="845">
        <v>430</v>
      </c>
      <c r="AY86" s="845">
        <v>444</v>
      </c>
      <c r="AZ86" s="845">
        <v>452</v>
      </c>
      <c r="BA86" s="661">
        <f t="shared" si="54"/>
        <v>452</v>
      </c>
      <c r="BB86" s="845">
        <v>455</v>
      </c>
      <c r="BC86" s="845">
        <v>456</v>
      </c>
      <c r="BD86" s="845">
        <v>459</v>
      </c>
      <c r="BE86" s="845">
        <v>462</v>
      </c>
      <c r="BF86" s="661">
        <f t="shared" si="55"/>
        <v>462</v>
      </c>
      <c r="BG86" s="845">
        <v>463</v>
      </c>
      <c r="BH86" s="845">
        <v>462</v>
      </c>
      <c r="BI86" s="845">
        <v>462</v>
      </c>
      <c r="BJ86" s="845">
        <v>463</v>
      </c>
      <c r="BK86" s="661">
        <f t="shared" si="56"/>
        <v>463</v>
      </c>
      <c r="BL86" s="845">
        <v>463</v>
      </c>
      <c r="BM86" s="845">
        <v>467</v>
      </c>
      <c r="BN86" s="845">
        <v>471</v>
      </c>
      <c r="BO86" s="845">
        <v>474</v>
      </c>
      <c r="BP86" s="661">
        <f t="shared" si="57"/>
        <v>474</v>
      </c>
      <c r="BQ86" s="1231">
        <v>479</v>
      </c>
      <c r="BR86" s="1231">
        <v>489</v>
      </c>
      <c r="BS86" s="1231">
        <v>499</v>
      </c>
      <c r="BT86" s="845">
        <v>507</v>
      </c>
      <c r="BU86" s="661">
        <f t="shared" si="58"/>
        <v>507</v>
      </c>
      <c r="BV86" s="1231">
        <v>508</v>
      </c>
      <c r="BW86" s="1231">
        <v>516</v>
      </c>
      <c r="BX86" s="1231">
        <v>534</v>
      </c>
      <c r="BY86" s="756">
        <v>542</v>
      </c>
      <c r="BZ86" s="661">
        <f t="shared" si="59"/>
        <v>542</v>
      </c>
      <c r="CA86" s="1231">
        <v>565</v>
      </c>
      <c r="CB86" s="1231">
        <v>571</v>
      </c>
      <c r="CC86" s="1231">
        <v>571</v>
      </c>
      <c r="CD86" s="1231">
        <v>579</v>
      </c>
      <c r="CE86" s="661">
        <f t="shared" si="60"/>
        <v>579</v>
      </c>
      <c r="CF86" s="1231">
        <v>582</v>
      </c>
      <c r="CG86" s="1231">
        <v>590</v>
      </c>
      <c r="CH86" s="2893">
        <v>601</v>
      </c>
      <c r="CI86" s="2893">
        <v>611</v>
      </c>
      <c r="CJ86" s="661">
        <f t="shared" si="44"/>
        <v>611</v>
      </c>
      <c r="CK86" s="3501">
        <v>618</v>
      </c>
      <c r="CL86" s="3501">
        <v>623</v>
      </c>
      <c r="CM86" s="3501">
        <v>627</v>
      </c>
      <c r="CN86" s="3501">
        <v>641</v>
      </c>
      <c r="CO86" s="661">
        <f t="shared" si="45"/>
        <v>641</v>
      </c>
      <c r="CP86" s="3501"/>
      <c r="CQ86" s="3501"/>
      <c r="CR86" s="1261"/>
      <c r="CS86" s="1261"/>
      <c r="CT86" s="1243"/>
      <c r="CU86" s="1243"/>
      <c r="CV86" s="1243"/>
    </row>
    <row r="87" spans="1:100" x14ac:dyDescent="0.2">
      <c r="A87" s="1436" t="s">
        <v>1391</v>
      </c>
      <c r="B87" s="1240"/>
      <c r="C87" s="1241"/>
      <c r="D87" s="758"/>
      <c r="E87" s="758"/>
      <c r="F87" s="758"/>
      <c r="G87" s="758"/>
      <c r="H87" s="752"/>
      <c r="I87" s="845">
        <f>55</f>
        <v>55</v>
      </c>
      <c r="J87" s="845">
        <f>58</f>
        <v>58</v>
      </c>
      <c r="K87" s="845">
        <f>63</f>
        <v>63</v>
      </c>
      <c r="L87" s="845">
        <f>65</f>
        <v>65</v>
      </c>
      <c r="M87" s="661">
        <f t="shared" si="46"/>
        <v>65</v>
      </c>
      <c r="N87" s="845">
        <f>65</f>
        <v>65</v>
      </c>
      <c r="O87" s="845">
        <v>67</v>
      </c>
      <c r="P87" s="845">
        <v>69</v>
      </c>
      <c r="Q87" s="845">
        <v>70</v>
      </c>
      <c r="R87" s="661">
        <f t="shared" si="47"/>
        <v>70</v>
      </c>
      <c r="S87" s="845">
        <v>71</v>
      </c>
      <c r="T87" s="845">
        <v>75</v>
      </c>
      <c r="U87" s="845">
        <v>78</v>
      </c>
      <c r="V87" s="845">
        <v>79</v>
      </c>
      <c r="W87" s="661">
        <f t="shared" si="48"/>
        <v>79</v>
      </c>
      <c r="X87" s="845">
        <v>80</v>
      </c>
      <c r="Y87" s="845">
        <v>78</v>
      </c>
      <c r="Z87" s="845">
        <v>79</v>
      </c>
      <c r="AA87" s="845">
        <v>81</v>
      </c>
      <c r="AB87" s="661">
        <f t="shared" si="49"/>
        <v>81</v>
      </c>
      <c r="AC87" s="845">
        <v>83</v>
      </c>
      <c r="AD87" s="845">
        <v>84</v>
      </c>
      <c r="AE87" s="845">
        <v>85</v>
      </c>
      <c r="AF87" s="845">
        <v>88</v>
      </c>
      <c r="AG87" s="661">
        <f t="shared" si="50"/>
        <v>88</v>
      </c>
      <c r="AH87" s="845">
        <v>88</v>
      </c>
      <c r="AI87" s="845">
        <v>89</v>
      </c>
      <c r="AJ87" s="845">
        <v>88</v>
      </c>
      <c r="AK87" s="845">
        <v>89</v>
      </c>
      <c r="AL87" s="661">
        <f t="shared" si="51"/>
        <v>89</v>
      </c>
      <c r="AM87" s="756">
        <v>89</v>
      </c>
      <c r="AN87" s="756">
        <v>94</v>
      </c>
      <c r="AO87" s="756">
        <v>100</v>
      </c>
      <c r="AP87" s="754">
        <v>107</v>
      </c>
      <c r="AQ87" s="661">
        <f t="shared" si="52"/>
        <v>107</v>
      </c>
      <c r="AR87" s="845">
        <v>111</v>
      </c>
      <c r="AS87" s="845">
        <v>118</v>
      </c>
      <c r="AT87" s="845">
        <v>120</v>
      </c>
      <c r="AU87" s="845">
        <v>129</v>
      </c>
      <c r="AV87" s="661">
        <f t="shared" si="53"/>
        <v>129</v>
      </c>
      <c r="AW87" s="845">
        <v>132</v>
      </c>
      <c r="AX87" s="845">
        <v>139</v>
      </c>
      <c r="AY87" s="845">
        <v>145</v>
      </c>
      <c r="AZ87" s="845">
        <v>150</v>
      </c>
      <c r="BA87" s="661">
        <f t="shared" si="54"/>
        <v>150</v>
      </c>
      <c r="BB87" s="845">
        <v>153</v>
      </c>
      <c r="BC87" s="845">
        <v>156</v>
      </c>
      <c r="BD87" s="845">
        <v>158</v>
      </c>
      <c r="BE87" s="845">
        <v>158</v>
      </c>
      <c r="BF87" s="661">
        <f t="shared" si="55"/>
        <v>158</v>
      </c>
      <c r="BG87" s="845">
        <v>159</v>
      </c>
      <c r="BH87" s="845">
        <v>161</v>
      </c>
      <c r="BI87" s="845">
        <v>163</v>
      </c>
      <c r="BJ87" s="845">
        <v>171</v>
      </c>
      <c r="BK87" s="661">
        <f t="shared" si="56"/>
        <v>171</v>
      </c>
      <c r="BL87" s="845">
        <v>173</v>
      </c>
      <c r="BM87" s="845">
        <v>180</v>
      </c>
      <c r="BN87" s="845">
        <v>183</v>
      </c>
      <c r="BO87" s="845">
        <v>186</v>
      </c>
      <c r="BP87" s="661">
        <f t="shared" si="57"/>
        <v>186</v>
      </c>
      <c r="BQ87" s="1231">
        <v>190</v>
      </c>
      <c r="BR87" s="1231">
        <v>196</v>
      </c>
      <c r="BS87" s="1231">
        <v>196</v>
      </c>
      <c r="BT87" s="845">
        <v>200</v>
      </c>
      <c r="BU87" s="661">
        <f t="shared" si="58"/>
        <v>200</v>
      </c>
      <c r="BV87" s="1231">
        <v>203</v>
      </c>
      <c r="BW87" s="1231">
        <v>210</v>
      </c>
      <c r="BX87" s="1231">
        <v>215</v>
      </c>
      <c r="BY87" s="756">
        <v>225</v>
      </c>
      <c r="BZ87" s="661">
        <f t="shared" si="59"/>
        <v>225</v>
      </c>
      <c r="CA87" s="1231">
        <v>238</v>
      </c>
      <c r="CB87" s="1231">
        <v>245</v>
      </c>
      <c r="CC87" s="1231">
        <v>249</v>
      </c>
      <c r="CD87" s="1231">
        <v>255</v>
      </c>
      <c r="CE87" s="661">
        <f t="shared" si="60"/>
        <v>255</v>
      </c>
      <c r="CF87" s="1231">
        <v>264</v>
      </c>
      <c r="CG87" s="1231">
        <v>273</v>
      </c>
      <c r="CH87" s="2893">
        <v>278</v>
      </c>
      <c r="CI87" s="2893">
        <v>286</v>
      </c>
      <c r="CJ87" s="661">
        <f t="shared" si="44"/>
        <v>286</v>
      </c>
      <c r="CK87" s="3501">
        <v>297</v>
      </c>
      <c r="CL87" s="3501">
        <v>305</v>
      </c>
      <c r="CM87" s="3501">
        <v>314</v>
      </c>
      <c r="CN87" s="3501">
        <v>322</v>
      </c>
      <c r="CO87" s="661">
        <f t="shared" si="45"/>
        <v>322</v>
      </c>
      <c r="CP87" s="3501"/>
      <c r="CQ87" s="3501"/>
      <c r="CR87" s="1261"/>
      <c r="CS87" s="1261"/>
      <c r="CT87" s="1243"/>
      <c r="CU87" s="1243"/>
      <c r="CV87" s="1243"/>
    </row>
    <row r="88" spans="1:100" x14ac:dyDescent="0.2">
      <c r="A88" s="1436" t="s">
        <v>1390</v>
      </c>
      <c r="B88" s="1240"/>
      <c r="C88" s="1241"/>
      <c r="D88" s="758"/>
      <c r="E88" s="758"/>
      <c r="F88" s="758"/>
      <c r="G88" s="758"/>
      <c r="H88" s="752"/>
      <c r="I88" s="845">
        <f>52</f>
        <v>52</v>
      </c>
      <c r="J88" s="845">
        <f>56</f>
        <v>56</v>
      </c>
      <c r="K88" s="845">
        <f>61</f>
        <v>61</v>
      </c>
      <c r="L88" s="845">
        <f>66</f>
        <v>66</v>
      </c>
      <c r="M88" s="661">
        <f t="shared" si="46"/>
        <v>66</v>
      </c>
      <c r="N88" s="845">
        <f>68</f>
        <v>68</v>
      </c>
      <c r="O88" s="845">
        <v>75</v>
      </c>
      <c r="P88" s="845">
        <v>75</v>
      </c>
      <c r="Q88" s="845">
        <v>77</v>
      </c>
      <c r="R88" s="661">
        <f t="shared" si="47"/>
        <v>77</v>
      </c>
      <c r="S88" s="845">
        <v>77</v>
      </c>
      <c r="T88" s="845">
        <v>81</v>
      </c>
      <c r="U88" s="845">
        <v>83</v>
      </c>
      <c r="V88" s="845">
        <v>87</v>
      </c>
      <c r="W88" s="661">
        <f t="shared" si="48"/>
        <v>87</v>
      </c>
      <c r="X88" s="845">
        <v>89</v>
      </c>
      <c r="Y88" s="845">
        <v>92</v>
      </c>
      <c r="Z88" s="845">
        <v>97</v>
      </c>
      <c r="AA88" s="845">
        <v>101</v>
      </c>
      <c r="AB88" s="661">
        <f t="shared" si="49"/>
        <v>101</v>
      </c>
      <c r="AC88" s="845">
        <v>102</v>
      </c>
      <c r="AD88" s="845">
        <v>110</v>
      </c>
      <c r="AE88" s="845">
        <v>110</v>
      </c>
      <c r="AF88" s="845">
        <v>112</v>
      </c>
      <c r="AG88" s="661">
        <f t="shared" si="50"/>
        <v>112</v>
      </c>
      <c r="AH88" s="845">
        <v>118</v>
      </c>
      <c r="AI88" s="845">
        <v>121</v>
      </c>
      <c r="AJ88" s="845">
        <v>125</v>
      </c>
      <c r="AK88" s="845">
        <v>129</v>
      </c>
      <c r="AL88" s="661">
        <f t="shared" si="51"/>
        <v>129</v>
      </c>
      <c r="AM88" s="756">
        <v>132</v>
      </c>
      <c r="AN88" s="756">
        <v>138</v>
      </c>
      <c r="AO88" s="756">
        <v>142</v>
      </c>
      <c r="AP88" s="754">
        <v>152</v>
      </c>
      <c r="AQ88" s="661">
        <f t="shared" si="52"/>
        <v>152</v>
      </c>
      <c r="AR88" s="845">
        <v>162</v>
      </c>
      <c r="AS88" s="845">
        <v>170</v>
      </c>
      <c r="AT88" s="845">
        <v>172</v>
      </c>
      <c r="AU88" s="845">
        <v>181</v>
      </c>
      <c r="AV88" s="661">
        <f t="shared" si="53"/>
        <v>181</v>
      </c>
      <c r="AW88" s="845">
        <v>191</v>
      </c>
      <c r="AX88" s="845">
        <v>200</v>
      </c>
      <c r="AY88" s="845">
        <v>214</v>
      </c>
      <c r="AZ88" s="845">
        <v>224</v>
      </c>
      <c r="BA88" s="661">
        <f t="shared" si="54"/>
        <v>224</v>
      </c>
      <c r="BB88" s="845">
        <v>229</v>
      </c>
      <c r="BC88" s="845">
        <v>235</v>
      </c>
      <c r="BD88" s="845">
        <v>238</v>
      </c>
      <c r="BE88" s="845">
        <v>240</v>
      </c>
      <c r="BF88" s="661">
        <f t="shared" si="55"/>
        <v>240</v>
      </c>
      <c r="BG88" s="845">
        <v>240</v>
      </c>
      <c r="BH88" s="845">
        <v>245</v>
      </c>
      <c r="BI88" s="845">
        <v>249</v>
      </c>
      <c r="BJ88" s="845">
        <v>251</v>
      </c>
      <c r="BK88" s="661">
        <f t="shared" si="56"/>
        <v>251</v>
      </c>
      <c r="BL88" s="845">
        <v>254</v>
      </c>
      <c r="BM88" s="845">
        <v>259</v>
      </c>
      <c r="BN88" s="845">
        <v>266</v>
      </c>
      <c r="BO88" s="845">
        <v>268</v>
      </c>
      <c r="BP88" s="661">
        <f t="shared" si="57"/>
        <v>268</v>
      </c>
      <c r="BQ88" s="1231">
        <v>268</v>
      </c>
      <c r="BR88" s="1231">
        <v>272</v>
      </c>
      <c r="BS88" s="1231">
        <v>274</v>
      </c>
      <c r="BT88" s="845">
        <v>277</v>
      </c>
      <c r="BU88" s="661">
        <f t="shared" si="58"/>
        <v>277</v>
      </c>
      <c r="BV88" s="1231">
        <v>281</v>
      </c>
      <c r="BW88" s="1231">
        <v>282</v>
      </c>
      <c r="BX88" s="1231">
        <v>282</v>
      </c>
      <c r="BY88" s="756">
        <v>286</v>
      </c>
      <c r="BZ88" s="661">
        <f t="shared" si="59"/>
        <v>286</v>
      </c>
      <c r="CA88" s="1231">
        <v>293</v>
      </c>
      <c r="CB88" s="1231">
        <v>298</v>
      </c>
      <c r="CC88" s="1231">
        <v>303</v>
      </c>
      <c r="CD88" s="1231">
        <v>306</v>
      </c>
      <c r="CE88" s="661">
        <f t="shared" si="60"/>
        <v>306</v>
      </c>
      <c r="CF88" s="1231">
        <v>312</v>
      </c>
      <c r="CG88" s="1231">
        <v>318</v>
      </c>
      <c r="CH88" s="2893">
        <v>322</v>
      </c>
      <c r="CI88" s="2893">
        <v>329</v>
      </c>
      <c r="CJ88" s="661">
        <f t="shared" si="44"/>
        <v>329</v>
      </c>
      <c r="CK88" s="3501">
        <v>333</v>
      </c>
      <c r="CL88" s="3501">
        <v>343</v>
      </c>
      <c r="CM88" s="3501">
        <v>352</v>
      </c>
      <c r="CN88" s="3501">
        <v>358</v>
      </c>
      <c r="CO88" s="661">
        <f t="shared" si="45"/>
        <v>358</v>
      </c>
      <c r="CP88" s="3501"/>
      <c r="CQ88" s="3501"/>
      <c r="CR88" s="1261"/>
      <c r="CS88" s="1261"/>
      <c r="CT88" s="1243"/>
      <c r="CU88" s="1243"/>
      <c r="CV88" s="1243"/>
    </row>
    <row r="89" spans="1:100" ht="12" customHeight="1" x14ac:dyDescent="0.2">
      <c r="A89" s="1436" t="s">
        <v>650</v>
      </c>
      <c r="B89" s="1240"/>
      <c r="C89" s="1241"/>
      <c r="D89" s="758"/>
      <c r="E89" s="758"/>
      <c r="F89" s="758"/>
      <c r="G89" s="758"/>
      <c r="H89" s="752"/>
      <c r="I89" s="845">
        <v>0</v>
      </c>
      <c r="J89" s="845">
        <v>0</v>
      </c>
      <c r="K89" s="845">
        <v>0</v>
      </c>
      <c r="L89" s="845">
        <v>0</v>
      </c>
      <c r="M89" s="661">
        <f t="shared" si="46"/>
        <v>0</v>
      </c>
      <c r="N89" s="845">
        <v>0</v>
      </c>
      <c r="O89" s="845">
        <v>0</v>
      </c>
      <c r="P89" s="845">
        <v>0</v>
      </c>
      <c r="Q89" s="845">
        <v>0</v>
      </c>
      <c r="R89" s="661">
        <f t="shared" si="47"/>
        <v>0</v>
      </c>
      <c r="S89" s="845">
        <v>0</v>
      </c>
      <c r="T89" s="845">
        <v>0</v>
      </c>
      <c r="U89" s="845">
        <v>0</v>
      </c>
      <c r="V89" s="845">
        <v>0</v>
      </c>
      <c r="W89" s="661">
        <f t="shared" si="48"/>
        <v>0</v>
      </c>
      <c r="X89" s="845">
        <v>0</v>
      </c>
      <c r="Y89" s="845">
        <v>0</v>
      </c>
      <c r="Z89" s="845">
        <v>0</v>
      </c>
      <c r="AA89" s="845">
        <v>0</v>
      </c>
      <c r="AB89" s="661">
        <f t="shared" si="49"/>
        <v>0</v>
      </c>
      <c r="AC89" s="845">
        <v>0</v>
      </c>
      <c r="AD89" s="845">
        <v>0</v>
      </c>
      <c r="AE89" s="845">
        <v>0</v>
      </c>
      <c r="AF89" s="845">
        <v>0</v>
      </c>
      <c r="AG89" s="661">
        <f t="shared" si="50"/>
        <v>0</v>
      </c>
      <c r="AH89" s="845">
        <v>0</v>
      </c>
      <c r="AI89" s="845">
        <v>0</v>
      </c>
      <c r="AJ89" s="845">
        <v>0</v>
      </c>
      <c r="AK89" s="845">
        <v>0</v>
      </c>
      <c r="AL89" s="661">
        <f t="shared" si="51"/>
        <v>0</v>
      </c>
      <c r="AM89" s="756">
        <v>0</v>
      </c>
      <c r="AN89" s="756">
        <v>0</v>
      </c>
      <c r="AO89" s="756">
        <v>0</v>
      </c>
      <c r="AP89" s="754">
        <v>0</v>
      </c>
      <c r="AQ89" s="661">
        <f t="shared" si="52"/>
        <v>0</v>
      </c>
      <c r="AR89" s="845">
        <v>0</v>
      </c>
      <c r="AS89" s="845">
        <v>0</v>
      </c>
      <c r="AT89" s="845">
        <v>0</v>
      </c>
      <c r="AU89" s="845">
        <v>0</v>
      </c>
      <c r="AV89" s="661">
        <f t="shared" si="53"/>
        <v>0</v>
      </c>
      <c r="AW89" s="845">
        <v>0</v>
      </c>
      <c r="AX89" s="845">
        <v>0</v>
      </c>
      <c r="AY89" s="845">
        <v>0</v>
      </c>
      <c r="AZ89" s="845">
        <v>0</v>
      </c>
      <c r="BA89" s="661">
        <f t="shared" si="54"/>
        <v>0</v>
      </c>
      <c r="BB89" s="845">
        <v>0</v>
      </c>
      <c r="BC89" s="845">
        <v>0</v>
      </c>
      <c r="BD89" s="845">
        <v>0</v>
      </c>
      <c r="BE89" s="845">
        <v>0</v>
      </c>
      <c r="BF89" s="661">
        <f t="shared" si="55"/>
        <v>0</v>
      </c>
      <c r="BG89" s="845">
        <v>0</v>
      </c>
      <c r="BH89" s="845">
        <v>0</v>
      </c>
      <c r="BI89" s="845">
        <v>0</v>
      </c>
      <c r="BJ89" s="845">
        <v>0</v>
      </c>
      <c r="BK89" s="661">
        <f t="shared" si="56"/>
        <v>0</v>
      </c>
      <c r="BL89" s="845">
        <v>0</v>
      </c>
      <c r="BM89" s="845">
        <v>0</v>
      </c>
      <c r="BN89" s="845">
        <v>0</v>
      </c>
      <c r="BO89" s="845">
        <v>0</v>
      </c>
      <c r="BP89" s="661">
        <f t="shared" si="57"/>
        <v>0</v>
      </c>
      <c r="BQ89" s="1261">
        <v>0</v>
      </c>
      <c r="BR89" s="1261">
        <v>0</v>
      </c>
      <c r="BS89" s="1261">
        <v>0</v>
      </c>
      <c r="BT89" s="845">
        <v>0</v>
      </c>
      <c r="BU89" s="661">
        <f t="shared" si="58"/>
        <v>0</v>
      </c>
      <c r="BV89" s="1261">
        <v>0</v>
      </c>
      <c r="BW89" s="1261">
        <v>0</v>
      </c>
      <c r="BX89" s="1261">
        <v>0</v>
      </c>
      <c r="BY89" s="758">
        <v>0</v>
      </c>
      <c r="BZ89" s="661">
        <f t="shared" si="59"/>
        <v>0</v>
      </c>
      <c r="CA89" s="1261">
        <v>0</v>
      </c>
      <c r="CB89" s="1231">
        <v>0</v>
      </c>
      <c r="CC89" s="1231">
        <v>0</v>
      </c>
      <c r="CD89" s="1231">
        <v>0</v>
      </c>
      <c r="CE89" s="661">
        <f t="shared" si="60"/>
        <v>0</v>
      </c>
      <c r="CF89" s="1231">
        <v>0</v>
      </c>
      <c r="CG89" s="1231">
        <v>0</v>
      </c>
      <c r="CH89" s="2893">
        <v>0</v>
      </c>
      <c r="CI89" s="2893">
        <v>0</v>
      </c>
      <c r="CJ89" s="661">
        <f t="shared" si="44"/>
        <v>0</v>
      </c>
      <c r="CK89" s="3501">
        <v>0</v>
      </c>
      <c r="CL89" s="3501">
        <v>0</v>
      </c>
      <c r="CM89" s="3501">
        <v>0</v>
      </c>
      <c r="CN89" s="3501">
        <v>0</v>
      </c>
      <c r="CO89" s="661">
        <f t="shared" si="45"/>
        <v>0</v>
      </c>
      <c r="CP89" s="3501"/>
      <c r="CQ89" s="3501"/>
      <c r="CR89" s="1261"/>
      <c r="CS89" s="1261"/>
      <c r="CT89" s="1243"/>
      <c r="CU89" s="1243"/>
      <c r="CV89" s="1243"/>
    </row>
    <row r="90" spans="1:100" ht="12" customHeight="1" x14ac:dyDescent="0.2">
      <c r="A90" s="1436" t="s">
        <v>2285</v>
      </c>
      <c r="B90" s="1240"/>
      <c r="C90" s="1241"/>
      <c r="D90" s="758"/>
      <c r="E90" s="758"/>
      <c r="F90" s="758"/>
      <c r="G90" s="758"/>
      <c r="H90" s="752"/>
      <c r="I90" s="845">
        <v>0</v>
      </c>
      <c r="J90" s="845">
        <v>0</v>
      </c>
      <c r="K90" s="845">
        <v>0</v>
      </c>
      <c r="L90" s="845">
        <v>0</v>
      </c>
      <c r="M90" s="661">
        <f>L90</f>
        <v>0</v>
      </c>
      <c r="N90" s="845">
        <v>0</v>
      </c>
      <c r="O90" s="845">
        <v>0</v>
      </c>
      <c r="P90" s="845">
        <v>0</v>
      </c>
      <c r="Q90" s="845">
        <v>0</v>
      </c>
      <c r="R90" s="661">
        <f>Q90</f>
        <v>0</v>
      </c>
      <c r="S90" s="845">
        <v>0</v>
      </c>
      <c r="T90" s="845">
        <v>0</v>
      </c>
      <c r="U90" s="845">
        <v>0</v>
      </c>
      <c r="V90" s="845">
        <v>0</v>
      </c>
      <c r="W90" s="661">
        <f>V90</f>
        <v>0</v>
      </c>
      <c r="X90" s="845">
        <v>0</v>
      </c>
      <c r="Y90" s="845">
        <v>0</v>
      </c>
      <c r="Z90" s="845">
        <v>0</v>
      </c>
      <c r="AA90" s="845">
        <v>0</v>
      </c>
      <c r="AB90" s="661">
        <f>+AA90</f>
        <v>0</v>
      </c>
      <c r="AC90" s="845">
        <v>0</v>
      </c>
      <c r="AD90" s="845">
        <v>0</v>
      </c>
      <c r="AE90" s="845">
        <v>0</v>
      </c>
      <c r="AF90" s="845">
        <v>0</v>
      </c>
      <c r="AG90" s="661">
        <f>+AF90</f>
        <v>0</v>
      </c>
      <c r="AH90" s="845">
        <v>0</v>
      </c>
      <c r="AI90" s="845">
        <v>0</v>
      </c>
      <c r="AJ90" s="845">
        <v>0</v>
      </c>
      <c r="AK90" s="845">
        <v>0</v>
      </c>
      <c r="AL90" s="661">
        <f>+AK90</f>
        <v>0</v>
      </c>
      <c r="AM90" s="756">
        <v>0</v>
      </c>
      <c r="AN90" s="756">
        <v>0</v>
      </c>
      <c r="AO90" s="756">
        <v>0</v>
      </c>
      <c r="AP90" s="754">
        <v>0</v>
      </c>
      <c r="AQ90" s="661">
        <f>+AP90</f>
        <v>0</v>
      </c>
      <c r="AR90" s="845">
        <v>0</v>
      </c>
      <c r="AS90" s="845">
        <v>0</v>
      </c>
      <c r="AT90" s="845">
        <v>0</v>
      </c>
      <c r="AU90" s="845">
        <v>0</v>
      </c>
      <c r="AV90" s="661">
        <f>+AU90</f>
        <v>0</v>
      </c>
      <c r="AW90" s="845">
        <v>0</v>
      </c>
      <c r="AX90" s="845">
        <v>0</v>
      </c>
      <c r="AY90" s="845">
        <v>0</v>
      </c>
      <c r="AZ90" s="845">
        <v>0</v>
      </c>
      <c r="BA90" s="661">
        <f>+AZ90</f>
        <v>0</v>
      </c>
      <c r="BB90" s="845">
        <v>0</v>
      </c>
      <c r="BC90" s="845">
        <v>0</v>
      </c>
      <c r="BD90" s="845">
        <v>0</v>
      </c>
      <c r="BE90" s="845">
        <v>0</v>
      </c>
      <c r="BF90" s="661">
        <f>+BE90</f>
        <v>0</v>
      </c>
      <c r="BG90" s="845">
        <v>0</v>
      </c>
      <c r="BH90" s="845">
        <v>0</v>
      </c>
      <c r="BI90" s="845">
        <v>0</v>
      </c>
      <c r="BJ90" s="845">
        <v>0</v>
      </c>
      <c r="BK90" s="661">
        <f>+BJ90</f>
        <v>0</v>
      </c>
      <c r="BL90" s="845">
        <v>0</v>
      </c>
      <c r="BM90" s="845">
        <v>0</v>
      </c>
      <c r="BN90" s="845">
        <v>0</v>
      </c>
      <c r="BO90" s="845">
        <v>0</v>
      </c>
      <c r="BP90" s="661">
        <f>+BO90</f>
        <v>0</v>
      </c>
      <c r="BQ90" s="1261">
        <v>0</v>
      </c>
      <c r="BR90" s="1261">
        <v>0</v>
      </c>
      <c r="BS90" s="1261">
        <v>0</v>
      </c>
      <c r="BT90" s="845">
        <v>0</v>
      </c>
      <c r="BU90" s="661">
        <f>+BT90</f>
        <v>0</v>
      </c>
      <c r="BV90" s="1261">
        <v>0</v>
      </c>
      <c r="BW90" s="1261">
        <v>0</v>
      </c>
      <c r="BX90" s="1261">
        <v>0</v>
      </c>
      <c r="BY90" s="758">
        <v>0</v>
      </c>
      <c r="BZ90" s="661">
        <f>+BY90</f>
        <v>0</v>
      </c>
      <c r="CA90" s="1261">
        <v>0</v>
      </c>
      <c r="CB90" s="1231">
        <v>10</v>
      </c>
      <c r="CC90" s="1231">
        <v>11</v>
      </c>
      <c r="CD90" s="1231">
        <v>10</v>
      </c>
      <c r="CE90" s="661">
        <f>+CD90</f>
        <v>10</v>
      </c>
      <c r="CF90" s="1231">
        <v>12</v>
      </c>
      <c r="CG90" s="1231">
        <v>12</v>
      </c>
      <c r="CH90" s="2893">
        <v>12</v>
      </c>
      <c r="CI90" s="2893">
        <v>12</v>
      </c>
      <c r="CJ90" s="661">
        <f>+CI90</f>
        <v>12</v>
      </c>
      <c r="CK90" s="3501">
        <v>15</v>
      </c>
      <c r="CL90" s="3501">
        <v>18</v>
      </c>
      <c r="CM90" s="3501">
        <v>22</v>
      </c>
      <c r="CN90" s="3501">
        <v>24</v>
      </c>
      <c r="CO90" s="661">
        <f>+CN90</f>
        <v>24</v>
      </c>
      <c r="CP90" s="3501"/>
      <c r="CQ90" s="3501"/>
      <c r="CR90" s="1261"/>
      <c r="CS90" s="1261"/>
      <c r="CT90" s="1243"/>
      <c r="CU90" s="1243"/>
      <c r="CV90" s="1243"/>
    </row>
    <row r="91" spans="1:100" x14ac:dyDescent="0.2">
      <c r="A91" s="2288" t="s">
        <v>384</v>
      </c>
      <c r="B91" s="3005"/>
      <c r="C91" s="3006"/>
      <c r="D91" s="2404"/>
      <c r="E91" s="2404"/>
      <c r="F91" s="2404"/>
      <c r="G91" s="2404"/>
      <c r="H91" s="2406"/>
      <c r="I91" s="845">
        <v>0</v>
      </c>
      <c r="J91" s="845">
        <v>0</v>
      </c>
      <c r="K91" s="845">
        <v>0</v>
      </c>
      <c r="L91" s="845">
        <v>0</v>
      </c>
      <c r="M91" s="2293">
        <v>0</v>
      </c>
      <c r="N91" s="845">
        <v>0</v>
      </c>
      <c r="O91" s="845">
        <v>0</v>
      </c>
      <c r="P91" s="845">
        <v>0</v>
      </c>
      <c r="Q91" s="845">
        <v>0</v>
      </c>
      <c r="R91" s="2293">
        <v>0</v>
      </c>
      <c r="S91" s="845">
        <v>0</v>
      </c>
      <c r="T91" s="845">
        <v>0</v>
      </c>
      <c r="U91" s="845">
        <v>0</v>
      </c>
      <c r="V91" s="845">
        <v>0</v>
      </c>
      <c r="W91" s="2293">
        <v>0</v>
      </c>
      <c r="X91" s="845">
        <v>0</v>
      </c>
      <c r="Y91" s="845">
        <v>0</v>
      </c>
      <c r="Z91" s="845">
        <v>0</v>
      </c>
      <c r="AA91" s="845">
        <v>0</v>
      </c>
      <c r="AB91" s="2293">
        <v>0</v>
      </c>
      <c r="AC91" s="845">
        <v>0</v>
      </c>
      <c r="AD91" s="845">
        <v>0</v>
      </c>
      <c r="AE91" s="845">
        <v>0</v>
      </c>
      <c r="AF91" s="845">
        <v>0</v>
      </c>
      <c r="AG91" s="2293">
        <v>0</v>
      </c>
      <c r="AH91" s="845">
        <v>0</v>
      </c>
      <c r="AI91" s="845">
        <v>0</v>
      </c>
      <c r="AJ91" s="845">
        <v>0</v>
      </c>
      <c r="AK91" s="845">
        <v>0</v>
      </c>
      <c r="AL91" s="2293">
        <v>0</v>
      </c>
      <c r="AM91" s="756">
        <v>0</v>
      </c>
      <c r="AN91" s="756">
        <v>0</v>
      </c>
      <c r="AO91" s="756">
        <v>0</v>
      </c>
      <c r="AP91" s="754">
        <v>0</v>
      </c>
      <c r="AQ91" s="2293">
        <v>0</v>
      </c>
      <c r="AR91" s="845">
        <v>0</v>
      </c>
      <c r="AS91" s="845">
        <v>0</v>
      </c>
      <c r="AT91" s="845">
        <v>0</v>
      </c>
      <c r="AU91" s="845">
        <v>0</v>
      </c>
      <c r="AV91" s="2293">
        <v>0</v>
      </c>
      <c r="AW91" s="845">
        <v>0</v>
      </c>
      <c r="AX91" s="845">
        <v>0</v>
      </c>
      <c r="AY91" s="845">
        <v>0</v>
      </c>
      <c r="AZ91" s="845">
        <v>0</v>
      </c>
      <c r="BA91" s="2293">
        <v>0</v>
      </c>
      <c r="BB91" s="845">
        <v>0</v>
      </c>
      <c r="BC91" s="845">
        <v>0</v>
      </c>
      <c r="BD91" s="845">
        <v>0</v>
      </c>
      <c r="BE91" s="845">
        <v>0</v>
      </c>
      <c r="BF91" s="2293">
        <v>0</v>
      </c>
      <c r="BG91" s="845">
        <v>0</v>
      </c>
      <c r="BH91" s="845">
        <v>0</v>
      </c>
      <c r="BI91" s="845">
        <v>0</v>
      </c>
      <c r="BJ91" s="845">
        <v>0</v>
      </c>
      <c r="BK91" s="2293">
        <v>0</v>
      </c>
      <c r="BL91" s="845">
        <v>0</v>
      </c>
      <c r="BM91" s="845">
        <v>0</v>
      </c>
      <c r="BN91" s="845">
        <v>0</v>
      </c>
      <c r="BO91" s="845">
        <v>0</v>
      </c>
      <c r="BP91" s="2293">
        <v>0</v>
      </c>
      <c r="BQ91" s="845">
        <v>0</v>
      </c>
      <c r="BR91" s="845">
        <v>0</v>
      </c>
      <c r="BS91" s="845">
        <v>0</v>
      </c>
      <c r="BT91" s="845">
        <v>0</v>
      </c>
      <c r="BU91" s="2293">
        <v>0</v>
      </c>
      <c r="BV91" s="845">
        <v>0</v>
      </c>
      <c r="BW91" s="845">
        <v>0</v>
      </c>
      <c r="BX91" s="845">
        <v>0</v>
      </c>
      <c r="BY91" s="845">
        <v>0</v>
      </c>
      <c r="BZ91" s="2293">
        <v>0</v>
      </c>
      <c r="CA91" s="845">
        <v>0</v>
      </c>
      <c r="CB91" s="845">
        <v>0</v>
      </c>
      <c r="CC91" s="845">
        <v>0</v>
      </c>
      <c r="CD91" s="845">
        <v>0</v>
      </c>
      <c r="CE91" s="2293">
        <v>0</v>
      </c>
      <c r="CF91" s="845">
        <v>0</v>
      </c>
      <c r="CG91" s="845">
        <v>0</v>
      </c>
      <c r="CH91" s="2983">
        <v>0</v>
      </c>
      <c r="CI91" s="2983">
        <v>0</v>
      </c>
      <c r="CJ91" s="2293">
        <v>0</v>
      </c>
      <c r="CK91" s="3501">
        <v>0</v>
      </c>
      <c r="CL91" s="3501">
        <v>0</v>
      </c>
      <c r="CM91" s="3501">
        <v>0</v>
      </c>
      <c r="CN91" s="3501">
        <v>0</v>
      </c>
      <c r="CO91" s="2293">
        <v>0</v>
      </c>
      <c r="CP91" s="3501"/>
      <c r="CQ91" s="3501"/>
      <c r="CR91" s="1261"/>
      <c r="CS91" s="1261"/>
      <c r="CT91" s="1243"/>
      <c r="CU91" s="1243"/>
      <c r="CV91" s="1243"/>
    </row>
    <row r="92" spans="1:100" ht="4.5" customHeight="1" x14ac:dyDescent="0.2">
      <c r="A92" s="2288"/>
      <c r="B92" s="3005"/>
      <c r="C92" s="3006"/>
      <c r="D92" s="2404"/>
      <c r="E92" s="2404"/>
      <c r="F92" s="2404"/>
      <c r="G92" s="2404"/>
      <c r="H92" s="2406"/>
      <c r="I92" s="845"/>
      <c r="J92" s="845"/>
      <c r="K92" s="845"/>
      <c r="L92" s="845"/>
      <c r="M92" s="2293"/>
      <c r="N92" s="845"/>
      <c r="O92" s="845"/>
      <c r="P92" s="845"/>
      <c r="Q92" s="845"/>
      <c r="R92" s="2293"/>
      <c r="S92" s="845"/>
      <c r="T92" s="845"/>
      <c r="U92" s="845"/>
      <c r="V92" s="845"/>
      <c r="W92" s="2293"/>
      <c r="X92" s="845"/>
      <c r="Y92" s="845"/>
      <c r="Z92" s="845"/>
      <c r="AA92" s="845"/>
      <c r="AB92" s="2293"/>
      <c r="AC92" s="845"/>
      <c r="AD92" s="845"/>
      <c r="AE92" s="845"/>
      <c r="AF92" s="845"/>
      <c r="AG92" s="2293"/>
      <c r="AH92" s="845"/>
      <c r="AI92" s="845"/>
      <c r="AJ92" s="845"/>
      <c r="AK92" s="845"/>
      <c r="AL92" s="2293"/>
      <c r="AM92" s="756"/>
      <c r="AN92" s="756"/>
      <c r="AO92" s="756"/>
      <c r="AP92" s="756"/>
      <c r="AQ92" s="2293"/>
      <c r="AR92" s="845"/>
      <c r="AS92" s="845"/>
      <c r="AT92" s="845"/>
      <c r="AU92" s="845"/>
      <c r="AV92" s="2293"/>
      <c r="AW92" s="845"/>
      <c r="AX92" s="845"/>
      <c r="AY92" s="845"/>
      <c r="AZ92" s="845"/>
      <c r="BA92" s="2293"/>
      <c r="BB92" s="845"/>
      <c r="BC92" s="845"/>
      <c r="BD92" s="845"/>
      <c r="BE92" s="845"/>
      <c r="BF92" s="2293"/>
      <c r="BG92" s="845"/>
      <c r="BH92" s="845"/>
      <c r="BI92" s="845"/>
      <c r="BJ92" s="845"/>
      <c r="BK92" s="2293"/>
      <c r="BL92" s="845"/>
      <c r="BM92" s="845"/>
      <c r="BN92" s="845"/>
      <c r="BO92" s="845"/>
      <c r="BP92" s="2293"/>
      <c r="BQ92" s="845"/>
      <c r="BR92" s="845"/>
      <c r="BS92" s="845"/>
      <c r="BT92" s="845"/>
      <c r="BU92" s="2293"/>
      <c r="BV92" s="845"/>
      <c r="BW92" s="845"/>
      <c r="BX92" s="845"/>
      <c r="BY92" s="845"/>
      <c r="BZ92" s="2293"/>
      <c r="CA92" s="845"/>
      <c r="CB92" s="845"/>
      <c r="CC92" s="845"/>
      <c r="CD92" s="845"/>
      <c r="CE92" s="2293"/>
      <c r="CF92" s="845"/>
      <c r="CG92" s="845"/>
      <c r="CH92" s="2893"/>
      <c r="CI92" s="2893"/>
      <c r="CJ92" s="2293"/>
      <c r="CK92" s="3501"/>
      <c r="CL92" s="3501"/>
      <c r="CM92" s="3501"/>
      <c r="CN92" s="3501"/>
      <c r="CO92" s="2293"/>
      <c r="CP92" s="3501"/>
      <c r="CQ92" s="3501"/>
      <c r="CR92" s="1261"/>
      <c r="CS92" s="1261"/>
      <c r="CT92" s="1243"/>
      <c r="CU92" s="1243"/>
      <c r="CV92" s="1243"/>
    </row>
    <row r="93" spans="1:100" x14ac:dyDescent="0.2">
      <c r="A93" s="2434" t="s">
        <v>2454</v>
      </c>
      <c r="B93" s="3005"/>
      <c r="C93" s="3006"/>
      <c r="D93" s="2404"/>
      <c r="E93" s="2404"/>
      <c r="F93" s="2404"/>
      <c r="G93" s="2404"/>
      <c r="H93" s="2406"/>
      <c r="I93" s="845"/>
      <c r="J93" s="845"/>
      <c r="K93" s="845"/>
      <c r="L93" s="845"/>
      <c r="M93" s="2293"/>
      <c r="N93" s="845"/>
      <c r="O93" s="845"/>
      <c r="P93" s="845"/>
      <c r="Q93" s="845"/>
      <c r="R93" s="2293"/>
      <c r="S93" s="845"/>
      <c r="T93" s="845"/>
      <c r="U93" s="845"/>
      <c r="V93" s="845"/>
      <c r="W93" s="2293"/>
      <c r="X93" s="845"/>
      <c r="Y93" s="845"/>
      <c r="Z93" s="845"/>
      <c r="AA93" s="845"/>
      <c r="AB93" s="2293"/>
      <c r="AC93" s="845"/>
      <c r="AD93" s="845"/>
      <c r="AE93" s="845"/>
      <c r="AF93" s="845"/>
      <c r="AG93" s="2293"/>
      <c r="AH93" s="845"/>
      <c r="AI93" s="845"/>
      <c r="AJ93" s="845"/>
      <c r="AK93" s="845"/>
      <c r="AL93" s="2293"/>
      <c r="AM93" s="756"/>
      <c r="AN93" s="756"/>
      <c r="AO93" s="756"/>
      <c r="AP93" s="756"/>
      <c r="AQ93" s="2293"/>
      <c r="AR93" s="845"/>
      <c r="AS93" s="845"/>
      <c r="AT93" s="845"/>
      <c r="AU93" s="845"/>
      <c r="AV93" s="2293"/>
      <c r="AW93" s="845"/>
      <c r="AX93" s="845"/>
      <c r="AY93" s="845"/>
      <c r="AZ93" s="845"/>
      <c r="BA93" s="2293"/>
      <c r="BB93" s="845"/>
      <c r="BC93" s="845"/>
      <c r="BD93" s="845"/>
      <c r="BE93" s="845"/>
      <c r="BF93" s="2293"/>
      <c r="BG93" s="845"/>
      <c r="BH93" s="845"/>
      <c r="BI93" s="845"/>
      <c r="BJ93" s="845"/>
      <c r="BK93" s="2293"/>
      <c r="BL93" s="845"/>
      <c r="BM93" s="845"/>
      <c r="BN93" s="845"/>
      <c r="BO93" s="845"/>
      <c r="BP93" s="2293"/>
      <c r="BQ93" s="845"/>
      <c r="BR93" s="845"/>
      <c r="BS93" s="845"/>
      <c r="BT93" s="845"/>
      <c r="BU93" s="2293"/>
      <c r="BV93" s="845"/>
      <c r="BW93" s="845"/>
      <c r="BX93" s="845"/>
      <c r="BY93" s="845"/>
      <c r="BZ93" s="2293"/>
      <c r="CA93" s="845"/>
      <c r="CB93" s="845"/>
      <c r="CC93" s="845"/>
      <c r="CD93" s="845"/>
      <c r="CE93" s="2293"/>
      <c r="CF93" s="845"/>
      <c r="CG93" s="3008"/>
      <c r="CH93" s="2893">
        <v>161</v>
      </c>
      <c r="CI93" s="2893">
        <v>162</v>
      </c>
      <c r="CJ93" s="752">
        <f t="shared" ref="CJ93:CJ103" si="61">+CI93</f>
        <v>162</v>
      </c>
      <c r="CK93" s="3501">
        <v>162</v>
      </c>
      <c r="CL93" s="3501">
        <v>161</v>
      </c>
      <c r="CM93" s="3501">
        <v>161</v>
      </c>
      <c r="CN93" s="3501">
        <v>161</v>
      </c>
      <c r="CO93" s="752">
        <f t="shared" ref="CO93:CO103" si="62">+CN93</f>
        <v>161</v>
      </c>
      <c r="CP93" s="3501"/>
      <c r="CQ93" s="3501"/>
      <c r="CR93" s="1261"/>
      <c r="CS93" s="1261"/>
      <c r="CT93" s="1243"/>
      <c r="CU93" s="1243"/>
      <c r="CV93" s="1243"/>
    </row>
    <row r="94" spans="1:100" x14ac:dyDescent="0.2">
      <c r="A94" s="2434" t="s">
        <v>2455</v>
      </c>
      <c r="B94" s="3005"/>
      <c r="C94" s="3006"/>
      <c r="D94" s="2404"/>
      <c r="E94" s="2404"/>
      <c r="F94" s="2404"/>
      <c r="G94" s="2404"/>
      <c r="H94" s="2406"/>
      <c r="I94" s="845"/>
      <c r="J94" s="845"/>
      <c r="K94" s="845"/>
      <c r="L94" s="845"/>
      <c r="M94" s="2293"/>
      <c r="N94" s="845"/>
      <c r="O94" s="845"/>
      <c r="P94" s="845"/>
      <c r="Q94" s="845"/>
      <c r="R94" s="2293"/>
      <c r="S94" s="845"/>
      <c r="T94" s="845"/>
      <c r="U94" s="845"/>
      <c r="V94" s="845"/>
      <c r="W94" s="2293"/>
      <c r="X94" s="845"/>
      <c r="Y94" s="845"/>
      <c r="Z94" s="845"/>
      <c r="AA94" s="845"/>
      <c r="AB94" s="2293"/>
      <c r="AC94" s="845"/>
      <c r="AD94" s="845"/>
      <c r="AE94" s="845"/>
      <c r="AF94" s="845"/>
      <c r="AG94" s="2293"/>
      <c r="AH94" s="845"/>
      <c r="AI94" s="845"/>
      <c r="AJ94" s="845"/>
      <c r="AK94" s="845"/>
      <c r="AL94" s="2293"/>
      <c r="AM94" s="756"/>
      <c r="AN94" s="756"/>
      <c r="AO94" s="756"/>
      <c r="AP94" s="756"/>
      <c r="AQ94" s="2293"/>
      <c r="AR94" s="845"/>
      <c r="AS94" s="845"/>
      <c r="AT94" s="845"/>
      <c r="AU94" s="845"/>
      <c r="AV94" s="2293"/>
      <c r="AW94" s="845"/>
      <c r="AX94" s="845"/>
      <c r="AY94" s="845"/>
      <c r="AZ94" s="845"/>
      <c r="BA94" s="2293"/>
      <c r="BB94" s="845"/>
      <c r="BC94" s="845"/>
      <c r="BD94" s="845"/>
      <c r="BE94" s="845"/>
      <c r="BF94" s="2293"/>
      <c r="BG94" s="845"/>
      <c r="BH94" s="845"/>
      <c r="BI94" s="845"/>
      <c r="BJ94" s="845"/>
      <c r="BK94" s="2293"/>
      <c r="BL94" s="845"/>
      <c r="BM94" s="845"/>
      <c r="BN94" s="845"/>
      <c r="BO94" s="845"/>
      <c r="BP94" s="2293"/>
      <c r="BQ94" s="845"/>
      <c r="BR94" s="845"/>
      <c r="BS94" s="845"/>
      <c r="BT94" s="845"/>
      <c r="BU94" s="2293"/>
      <c r="BV94" s="845"/>
      <c r="BW94" s="845"/>
      <c r="BX94" s="845"/>
      <c r="BY94" s="845"/>
      <c r="BZ94" s="2293"/>
      <c r="CA94" s="845"/>
      <c r="CB94" s="845"/>
      <c r="CC94" s="845"/>
      <c r="CD94" s="845"/>
      <c r="CE94" s="2293"/>
      <c r="CF94" s="845"/>
      <c r="CG94" s="3008"/>
      <c r="CH94" s="2893">
        <v>75</v>
      </c>
      <c r="CI94" s="2893">
        <v>75</v>
      </c>
      <c r="CJ94" s="752">
        <f t="shared" si="61"/>
        <v>75</v>
      </c>
      <c r="CK94" s="3501">
        <v>74</v>
      </c>
      <c r="CL94" s="3501">
        <v>77</v>
      </c>
      <c r="CM94" s="3501">
        <v>80</v>
      </c>
      <c r="CN94" s="3501">
        <v>81</v>
      </c>
      <c r="CO94" s="752">
        <f t="shared" si="62"/>
        <v>81</v>
      </c>
      <c r="CP94" s="3501"/>
      <c r="CQ94" s="3501"/>
      <c r="CR94" s="1261"/>
      <c r="CS94" s="1261"/>
      <c r="CT94" s="1243"/>
      <c r="CU94" s="1243"/>
      <c r="CV94" s="1243"/>
    </row>
    <row r="95" spans="1:100" x14ac:dyDescent="0.2">
      <c r="A95" s="2434" t="s">
        <v>2456</v>
      </c>
      <c r="B95" s="3005"/>
      <c r="C95" s="3006"/>
      <c r="D95" s="2404"/>
      <c r="E95" s="2404"/>
      <c r="F95" s="2404"/>
      <c r="G95" s="2404"/>
      <c r="H95" s="2406"/>
      <c r="I95" s="845"/>
      <c r="J95" s="845"/>
      <c r="K95" s="845"/>
      <c r="L95" s="845"/>
      <c r="M95" s="2293"/>
      <c r="N95" s="845"/>
      <c r="O95" s="845"/>
      <c r="P95" s="845"/>
      <c r="Q95" s="845"/>
      <c r="R95" s="2293"/>
      <c r="S95" s="845"/>
      <c r="T95" s="845"/>
      <c r="U95" s="845"/>
      <c r="V95" s="845"/>
      <c r="W95" s="2293"/>
      <c r="X95" s="845"/>
      <c r="Y95" s="845"/>
      <c r="Z95" s="845"/>
      <c r="AA95" s="845"/>
      <c r="AB95" s="2293"/>
      <c r="AC95" s="845"/>
      <c r="AD95" s="845"/>
      <c r="AE95" s="845"/>
      <c r="AF95" s="845"/>
      <c r="AG95" s="2293"/>
      <c r="AH95" s="845"/>
      <c r="AI95" s="845"/>
      <c r="AJ95" s="845"/>
      <c r="AK95" s="845"/>
      <c r="AL95" s="2293"/>
      <c r="AM95" s="756"/>
      <c r="AN95" s="756"/>
      <c r="AO95" s="756"/>
      <c r="AP95" s="756"/>
      <c r="AQ95" s="2293"/>
      <c r="AR95" s="845"/>
      <c r="AS95" s="845"/>
      <c r="AT95" s="845"/>
      <c r="AU95" s="845"/>
      <c r="AV95" s="2293"/>
      <c r="AW95" s="845"/>
      <c r="AX95" s="845"/>
      <c r="AY95" s="845"/>
      <c r="AZ95" s="845"/>
      <c r="BA95" s="2293"/>
      <c r="BB95" s="845"/>
      <c r="BC95" s="845"/>
      <c r="BD95" s="845"/>
      <c r="BE95" s="845"/>
      <c r="BF95" s="2293"/>
      <c r="BG95" s="845"/>
      <c r="BH95" s="845"/>
      <c r="BI95" s="845"/>
      <c r="BJ95" s="845"/>
      <c r="BK95" s="2293"/>
      <c r="BL95" s="845"/>
      <c r="BM95" s="845"/>
      <c r="BN95" s="845"/>
      <c r="BO95" s="845"/>
      <c r="BP95" s="2293"/>
      <c r="BQ95" s="845"/>
      <c r="BR95" s="845"/>
      <c r="BS95" s="845"/>
      <c r="BT95" s="845"/>
      <c r="BU95" s="2293"/>
      <c r="BV95" s="845"/>
      <c r="BW95" s="845"/>
      <c r="BX95" s="845"/>
      <c r="BY95" s="845"/>
      <c r="BZ95" s="2293"/>
      <c r="CA95" s="845"/>
      <c r="CB95" s="845"/>
      <c r="CC95" s="845"/>
      <c r="CD95" s="845"/>
      <c r="CE95" s="2293"/>
      <c r="CF95" s="845"/>
      <c r="CG95" s="3008"/>
      <c r="CH95" s="2893">
        <v>127</v>
      </c>
      <c r="CI95" s="2893">
        <v>131</v>
      </c>
      <c r="CJ95" s="752">
        <f t="shared" si="61"/>
        <v>131</v>
      </c>
      <c r="CK95" s="3501">
        <v>131</v>
      </c>
      <c r="CL95" s="3501">
        <v>136</v>
      </c>
      <c r="CM95" s="3501">
        <v>137</v>
      </c>
      <c r="CN95" s="3501">
        <v>140</v>
      </c>
      <c r="CO95" s="752">
        <f t="shared" si="62"/>
        <v>140</v>
      </c>
      <c r="CP95" s="3501"/>
      <c r="CQ95" s="3501"/>
      <c r="CR95" s="1261"/>
      <c r="CS95" s="1261"/>
      <c r="CT95" s="1243"/>
      <c r="CU95" s="1243"/>
      <c r="CV95" s="1243"/>
    </row>
    <row r="96" spans="1:100" x14ac:dyDescent="0.2">
      <c r="A96" s="2434" t="s">
        <v>2457</v>
      </c>
      <c r="B96" s="3005"/>
      <c r="C96" s="3006"/>
      <c r="D96" s="2404"/>
      <c r="E96" s="2404"/>
      <c r="F96" s="2404"/>
      <c r="G96" s="2404"/>
      <c r="H96" s="2406"/>
      <c r="I96" s="845"/>
      <c r="J96" s="845"/>
      <c r="K96" s="845"/>
      <c r="L96" s="845"/>
      <c r="M96" s="2293"/>
      <c r="N96" s="845"/>
      <c r="O96" s="845"/>
      <c r="P96" s="845"/>
      <c r="Q96" s="845"/>
      <c r="R96" s="2293"/>
      <c r="S96" s="845"/>
      <c r="T96" s="845"/>
      <c r="U96" s="845"/>
      <c r="V96" s="845"/>
      <c r="W96" s="2293"/>
      <c r="X96" s="845"/>
      <c r="Y96" s="845"/>
      <c r="Z96" s="845"/>
      <c r="AA96" s="845"/>
      <c r="AB96" s="2293"/>
      <c r="AC96" s="845"/>
      <c r="AD96" s="845"/>
      <c r="AE96" s="845"/>
      <c r="AF96" s="845"/>
      <c r="AG96" s="2293"/>
      <c r="AH96" s="845"/>
      <c r="AI96" s="845"/>
      <c r="AJ96" s="845"/>
      <c r="AK96" s="845"/>
      <c r="AL96" s="2293"/>
      <c r="AM96" s="756"/>
      <c r="AN96" s="756"/>
      <c r="AO96" s="756"/>
      <c r="AP96" s="756"/>
      <c r="AQ96" s="2293"/>
      <c r="AR96" s="845"/>
      <c r="AS96" s="845"/>
      <c r="AT96" s="845"/>
      <c r="AU96" s="845"/>
      <c r="AV96" s="2293"/>
      <c r="AW96" s="845"/>
      <c r="AX96" s="845"/>
      <c r="AY96" s="845"/>
      <c r="AZ96" s="845"/>
      <c r="BA96" s="2293"/>
      <c r="BB96" s="845"/>
      <c r="BC96" s="845"/>
      <c r="BD96" s="845"/>
      <c r="BE96" s="845"/>
      <c r="BF96" s="2293"/>
      <c r="BG96" s="845"/>
      <c r="BH96" s="845"/>
      <c r="BI96" s="845"/>
      <c r="BJ96" s="845"/>
      <c r="BK96" s="2293"/>
      <c r="BL96" s="845"/>
      <c r="BM96" s="845"/>
      <c r="BN96" s="845"/>
      <c r="BO96" s="845"/>
      <c r="BP96" s="2293"/>
      <c r="BQ96" s="845"/>
      <c r="BR96" s="845"/>
      <c r="BS96" s="845"/>
      <c r="BT96" s="845"/>
      <c r="BU96" s="2293"/>
      <c r="BV96" s="845"/>
      <c r="BW96" s="845"/>
      <c r="BX96" s="845"/>
      <c r="BY96" s="845"/>
      <c r="BZ96" s="2293"/>
      <c r="CA96" s="845"/>
      <c r="CB96" s="845"/>
      <c r="CC96" s="845"/>
      <c r="CD96" s="845"/>
      <c r="CE96" s="2293"/>
      <c r="CF96" s="845"/>
      <c r="CG96" s="3008"/>
      <c r="CH96" s="2893">
        <v>0</v>
      </c>
      <c r="CI96" s="2893">
        <v>0</v>
      </c>
      <c r="CJ96" s="752">
        <f t="shared" si="61"/>
        <v>0</v>
      </c>
      <c r="CK96" s="3501">
        <v>0</v>
      </c>
      <c r="CL96" s="3501">
        <v>0</v>
      </c>
      <c r="CM96" s="3501">
        <v>0</v>
      </c>
      <c r="CN96" s="3501">
        <v>0</v>
      </c>
      <c r="CO96" s="752">
        <f t="shared" si="62"/>
        <v>0</v>
      </c>
      <c r="CP96" s="3501"/>
      <c r="CQ96" s="3501"/>
      <c r="CR96" s="1261"/>
      <c r="CS96" s="1261"/>
      <c r="CT96" s="1243"/>
      <c r="CU96" s="1243"/>
      <c r="CV96" s="1243"/>
    </row>
    <row r="97" spans="1:256" x14ac:dyDescent="0.2">
      <c r="A97" s="2434" t="s">
        <v>2458</v>
      </c>
      <c r="B97" s="3005"/>
      <c r="C97" s="3006"/>
      <c r="D97" s="2404"/>
      <c r="E97" s="2404"/>
      <c r="F97" s="2404"/>
      <c r="G97" s="2404"/>
      <c r="H97" s="2406"/>
      <c r="I97" s="845"/>
      <c r="J97" s="845"/>
      <c r="K97" s="845"/>
      <c r="L97" s="845"/>
      <c r="M97" s="2293"/>
      <c r="N97" s="845"/>
      <c r="O97" s="845"/>
      <c r="P97" s="845"/>
      <c r="Q97" s="845"/>
      <c r="R97" s="2293"/>
      <c r="S97" s="845"/>
      <c r="T97" s="845"/>
      <c r="U97" s="845"/>
      <c r="V97" s="845"/>
      <c r="W97" s="2293"/>
      <c r="X97" s="845"/>
      <c r="Y97" s="845"/>
      <c r="Z97" s="845"/>
      <c r="AA97" s="845"/>
      <c r="AB97" s="2293"/>
      <c r="AC97" s="845"/>
      <c r="AD97" s="845"/>
      <c r="AE97" s="845"/>
      <c r="AF97" s="845"/>
      <c r="AG97" s="2293"/>
      <c r="AH97" s="845"/>
      <c r="AI97" s="845"/>
      <c r="AJ97" s="845"/>
      <c r="AK97" s="845"/>
      <c r="AL97" s="2293"/>
      <c r="AM97" s="756"/>
      <c r="AN97" s="756"/>
      <c r="AO97" s="756"/>
      <c r="AP97" s="756"/>
      <c r="AQ97" s="2293"/>
      <c r="AR97" s="845"/>
      <c r="AS97" s="845"/>
      <c r="AT97" s="845"/>
      <c r="AU97" s="845"/>
      <c r="AV97" s="2293"/>
      <c r="AW97" s="845"/>
      <c r="AX97" s="845"/>
      <c r="AY97" s="845"/>
      <c r="AZ97" s="845"/>
      <c r="BA97" s="2293"/>
      <c r="BB97" s="845"/>
      <c r="BC97" s="845"/>
      <c r="BD97" s="845"/>
      <c r="BE97" s="845"/>
      <c r="BF97" s="2293"/>
      <c r="BG97" s="845"/>
      <c r="BH97" s="845"/>
      <c r="BI97" s="845"/>
      <c r="BJ97" s="845"/>
      <c r="BK97" s="2293"/>
      <c r="BL97" s="845"/>
      <c r="BM97" s="845"/>
      <c r="BN97" s="845"/>
      <c r="BO97" s="845"/>
      <c r="BP97" s="2293"/>
      <c r="BQ97" s="845"/>
      <c r="BR97" s="845"/>
      <c r="BS97" s="845"/>
      <c r="BT97" s="845"/>
      <c r="BU97" s="2293"/>
      <c r="BV97" s="845"/>
      <c r="BW97" s="845"/>
      <c r="BX97" s="845"/>
      <c r="BY97" s="845"/>
      <c r="BZ97" s="2293"/>
      <c r="CA97" s="845"/>
      <c r="CB97" s="845"/>
      <c r="CC97" s="845"/>
      <c r="CD97" s="845"/>
      <c r="CE97" s="2293"/>
      <c r="CF97" s="845"/>
      <c r="CG97" s="3008"/>
      <c r="CH97" s="2893">
        <v>10</v>
      </c>
      <c r="CI97" s="2893">
        <v>9</v>
      </c>
      <c r="CJ97" s="752">
        <f t="shared" si="61"/>
        <v>9</v>
      </c>
      <c r="CK97" s="3501">
        <v>9</v>
      </c>
      <c r="CL97" s="3501">
        <v>9</v>
      </c>
      <c r="CM97" s="3501">
        <v>9</v>
      </c>
      <c r="CN97" s="3501">
        <v>11</v>
      </c>
      <c r="CO97" s="752">
        <f t="shared" si="62"/>
        <v>11</v>
      </c>
      <c r="CP97" s="3501"/>
      <c r="CQ97" s="3501"/>
      <c r="CR97" s="1261"/>
      <c r="CS97" s="1261"/>
      <c r="CT97" s="1243"/>
      <c r="CU97" s="1243"/>
      <c r="CV97" s="1243"/>
    </row>
    <row r="98" spans="1:256" x14ac:dyDescent="0.2">
      <c r="A98" s="2434" t="s">
        <v>2459</v>
      </c>
      <c r="B98" s="3005"/>
      <c r="C98" s="3006"/>
      <c r="D98" s="2404"/>
      <c r="E98" s="2404"/>
      <c r="F98" s="2404"/>
      <c r="G98" s="2404"/>
      <c r="H98" s="2406"/>
      <c r="I98" s="845"/>
      <c r="J98" s="845"/>
      <c r="K98" s="845"/>
      <c r="L98" s="845"/>
      <c r="M98" s="2293"/>
      <c r="N98" s="845"/>
      <c r="O98" s="845"/>
      <c r="P98" s="845"/>
      <c r="Q98" s="845"/>
      <c r="R98" s="2293"/>
      <c r="S98" s="845"/>
      <c r="T98" s="845"/>
      <c r="U98" s="845"/>
      <c r="V98" s="845"/>
      <c r="W98" s="2293"/>
      <c r="X98" s="845"/>
      <c r="Y98" s="845"/>
      <c r="Z98" s="845"/>
      <c r="AA98" s="845"/>
      <c r="AB98" s="2293"/>
      <c r="AC98" s="845"/>
      <c r="AD98" s="845"/>
      <c r="AE98" s="845"/>
      <c r="AF98" s="845"/>
      <c r="AG98" s="2293"/>
      <c r="AH98" s="845"/>
      <c r="AI98" s="845"/>
      <c r="AJ98" s="845"/>
      <c r="AK98" s="845"/>
      <c r="AL98" s="2293"/>
      <c r="AM98" s="756"/>
      <c r="AN98" s="756"/>
      <c r="AO98" s="756"/>
      <c r="AP98" s="756"/>
      <c r="AQ98" s="2293"/>
      <c r="AR98" s="845"/>
      <c r="AS98" s="845"/>
      <c r="AT98" s="845"/>
      <c r="AU98" s="845"/>
      <c r="AV98" s="2293"/>
      <c r="AW98" s="845"/>
      <c r="AX98" s="845"/>
      <c r="AY98" s="845"/>
      <c r="AZ98" s="845"/>
      <c r="BA98" s="2293"/>
      <c r="BB98" s="845"/>
      <c r="BC98" s="845"/>
      <c r="BD98" s="845"/>
      <c r="BE98" s="845"/>
      <c r="BF98" s="2293"/>
      <c r="BG98" s="845"/>
      <c r="BH98" s="845"/>
      <c r="BI98" s="845"/>
      <c r="BJ98" s="845"/>
      <c r="BK98" s="2293"/>
      <c r="BL98" s="845"/>
      <c r="BM98" s="845"/>
      <c r="BN98" s="845"/>
      <c r="BO98" s="845"/>
      <c r="BP98" s="2293"/>
      <c r="BQ98" s="845"/>
      <c r="BR98" s="845"/>
      <c r="BS98" s="845"/>
      <c r="BT98" s="845"/>
      <c r="BU98" s="2293"/>
      <c r="BV98" s="845"/>
      <c r="BW98" s="845"/>
      <c r="BX98" s="845"/>
      <c r="BY98" s="845"/>
      <c r="BZ98" s="2293"/>
      <c r="CA98" s="845"/>
      <c r="CB98" s="845"/>
      <c r="CC98" s="845"/>
      <c r="CD98" s="845"/>
      <c r="CE98" s="2293"/>
      <c r="CF98" s="845"/>
      <c r="CG98" s="3008"/>
      <c r="CH98" s="2893">
        <v>0</v>
      </c>
      <c r="CI98" s="2893">
        <v>0</v>
      </c>
      <c r="CJ98" s="752">
        <f t="shared" si="61"/>
        <v>0</v>
      </c>
      <c r="CK98" s="3501">
        <v>0</v>
      </c>
      <c r="CL98" s="3501">
        <v>0</v>
      </c>
      <c r="CM98" s="3501">
        <v>0</v>
      </c>
      <c r="CN98" s="3501">
        <v>0</v>
      </c>
      <c r="CO98" s="752">
        <f t="shared" si="62"/>
        <v>0</v>
      </c>
      <c r="CP98" s="3501"/>
      <c r="CQ98" s="3501"/>
      <c r="CR98" s="1261"/>
      <c r="CS98" s="1261"/>
      <c r="CT98" s="1243"/>
      <c r="CU98" s="1243"/>
      <c r="CV98" s="1243"/>
    </row>
    <row r="99" spans="1:256" x14ac:dyDescent="0.2">
      <c r="A99" s="2434" t="s">
        <v>2460</v>
      </c>
      <c r="B99" s="3005"/>
      <c r="C99" s="3006"/>
      <c r="D99" s="2404"/>
      <c r="E99" s="2404"/>
      <c r="F99" s="2404"/>
      <c r="G99" s="2404"/>
      <c r="H99" s="2406"/>
      <c r="I99" s="845"/>
      <c r="J99" s="845"/>
      <c r="K99" s="845"/>
      <c r="L99" s="845"/>
      <c r="M99" s="2293"/>
      <c r="N99" s="845"/>
      <c r="O99" s="845"/>
      <c r="P99" s="845"/>
      <c r="Q99" s="845"/>
      <c r="R99" s="2293"/>
      <c r="S99" s="845"/>
      <c r="T99" s="845"/>
      <c r="U99" s="845"/>
      <c r="V99" s="845"/>
      <c r="W99" s="2293"/>
      <c r="X99" s="845"/>
      <c r="Y99" s="845"/>
      <c r="Z99" s="845"/>
      <c r="AA99" s="845"/>
      <c r="AB99" s="2293"/>
      <c r="AC99" s="845"/>
      <c r="AD99" s="845"/>
      <c r="AE99" s="845"/>
      <c r="AF99" s="845"/>
      <c r="AG99" s="2293"/>
      <c r="AH99" s="845"/>
      <c r="AI99" s="845"/>
      <c r="AJ99" s="845"/>
      <c r="AK99" s="845"/>
      <c r="AL99" s="2293"/>
      <c r="AM99" s="756"/>
      <c r="AN99" s="756"/>
      <c r="AO99" s="756"/>
      <c r="AP99" s="756"/>
      <c r="AQ99" s="2293"/>
      <c r="AR99" s="845"/>
      <c r="AS99" s="845"/>
      <c r="AT99" s="845"/>
      <c r="AU99" s="845"/>
      <c r="AV99" s="2293"/>
      <c r="AW99" s="845"/>
      <c r="AX99" s="845"/>
      <c r="AY99" s="845"/>
      <c r="AZ99" s="845"/>
      <c r="BA99" s="2293"/>
      <c r="BB99" s="845"/>
      <c r="BC99" s="845"/>
      <c r="BD99" s="845"/>
      <c r="BE99" s="845"/>
      <c r="BF99" s="2293"/>
      <c r="BG99" s="845"/>
      <c r="BH99" s="845"/>
      <c r="BI99" s="845"/>
      <c r="BJ99" s="845"/>
      <c r="BK99" s="2293"/>
      <c r="BL99" s="845"/>
      <c r="BM99" s="845"/>
      <c r="BN99" s="845"/>
      <c r="BO99" s="845"/>
      <c r="BP99" s="2293"/>
      <c r="BQ99" s="845"/>
      <c r="BR99" s="845"/>
      <c r="BS99" s="845"/>
      <c r="BT99" s="845"/>
      <c r="BU99" s="2293"/>
      <c r="BV99" s="845"/>
      <c r="BW99" s="845"/>
      <c r="BX99" s="845"/>
      <c r="BY99" s="845"/>
      <c r="BZ99" s="2293"/>
      <c r="CA99" s="845"/>
      <c r="CB99" s="845"/>
      <c r="CC99" s="845"/>
      <c r="CD99" s="845"/>
      <c r="CE99" s="2293"/>
      <c r="CF99" s="845"/>
      <c r="CG99" s="3008"/>
      <c r="CH99" s="2893">
        <v>16</v>
      </c>
      <c r="CI99" s="2893">
        <v>16</v>
      </c>
      <c r="CJ99" s="752">
        <f t="shared" si="61"/>
        <v>16</v>
      </c>
      <c r="CK99" s="3501">
        <v>16</v>
      </c>
      <c r="CL99" s="3501">
        <v>16</v>
      </c>
      <c r="CM99" s="3501">
        <v>18</v>
      </c>
      <c r="CN99" s="3501">
        <v>18</v>
      </c>
      <c r="CO99" s="752">
        <f t="shared" si="62"/>
        <v>18</v>
      </c>
      <c r="CP99" s="3501"/>
      <c r="CQ99" s="3501"/>
      <c r="CR99" s="1261"/>
      <c r="CS99" s="1261"/>
      <c r="CT99" s="1243"/>
      <c r="CU99" s="1243"/>
      <c r="CV99" s="1243"/>
    </row>
    <row r="100" spans="1:256" x14ac:dyDescent="0.2">
      <c r="A100" s="2434" t="s">
        <v>2464</v>
      </c>
      <c r="B100" s="3005"/>
      <c r="C100" s="3006"/>
      <c r="D100" s="2404"/>
      <c r="E100" s="2404"/>
      <c r="F100" s="2404"/>
      <c r="G100" s="2404"/>
      <c r="H100" s="2406"/>
      <c r="I100" s="845"/>
      <c r="J100" s="845"/>
      <c r="K100" s="845"/>
      <c r="L100" s="845"/>
      <c r="M100" s="2293"/>
      <c r="N100" s="845"/>
      <c r="O100" s="845"/>
      <c r="P100" s="845"/>
      <c r="Q100" s="845"/>
      <c r="R100" s="2293"/>
      <c r="S100" s="845"/>
      <c r="T100" s="845"/>
      <c r="U100" s="845"/>
      <c r="V100" s="845"/>
      <c r="W100" s="2293"/>
      <c r="X100" s="845"/>
      <c r="Y100" s="845"/>
      <c r="Z100" s="845"/>
      <c r="AA100" s="845"/>
      <c r="AB100" s="2293"/>
      <c r="AC100" s="845"/>
      <c r="AD100" s="845"/>
      <c r="AE100" s="845"/>
      <c r="AF100" s="845"/>
      <c r="AG100" s="2293"/>
      <c r="AH100" s="845"/>
      <c r="AI100" s="845"/>
      <c r="AJ100" s="845"/>
      <c r="AK100" s="845"/>
      <c r="AL100" s="2293"/>
      <c r="AM100" s="756"/>
      <c r="AN100" s="756"/>
      <c r="AO100" s="756"/>
      <c r="AP100" s="756"/>
      <c r="AQ100" s="2293"/>
      <c r="AR100" s="845"/>
      <c r="AS100" s="845"/>
      <c r="AT100" s="845"/>
      <c r="AU100" s="845"/>
      <c r="AV100" s="2293"/>
      <c r="AW100" s="845"/>
      <c r="AX100" s="845"/>
      <c r="AY100" s="845"/>
      <c r="AZ100" s="845"/>
      <c r="BA100" s="2293"/>
      <c r="BB100" s="845"/>
      <c r="BC100" s="845"/>
      <c r="BD100" s="845"/>
      <c r="BE100" s="845"/>
      <c r="BF100" s="2293"/>
      <c r="BG100" s="845"/>
      <c r="BH100" s="845"/>
      <c r="BI100" s="845"/>
      <c r="BJ100" s="845"/>
      <c r="BK100" s="2293"/>
      <c r="BL100" s="845"/>
      <c r="BM100" s="845"/>
      <c r="BN100" s="845"/>
      <c r="BO100" s="845"/>
      <c r="BP100" s="2293"/>
      <c r="BQ100" s="845"/>
      <c r="BR100" s="845"/>
      <c r="BS100" s="845"/>
      <c r="BT100" s="845"/>
      <c r="BU100" s="2293"/>
      <c r="BV100" s="845"/>
      <c r="BW100" s="845"/>
      <c r="BX100" s="845"/>
      <c r="BY100" s="845"/>
      <c r="BZ100" s="2293"/>
      <c r="CA100" s="845"/>
      <c r="CB100" s="845"/>
      <c r="CC100" s="845"/>
      <c r="CD100" s="845"/>
      <c r="CE100" s="2293"/>
      <c r="CF100" s="845"/>
      <c r="CG100" s="3008"/>
      <c r="CH100" s="2893">
        <v>79</v>
      </c>
      <c r="CI100" s="2893">
        <v>80</v>
      </c>
      <c r="CJ100" s="752">
        <f t="shared" si="61"/>
        <v>80</v>
      </c>
      <c r="CK100" s="3501">
        <v>88</v>
      </c>
      <c r="CL100" s="3501">
        <v>90</v>
      </c>
      <c r="CM100" s="3501">
        <v>96</v>
      </c>
      <c r="CN100" s="3501">
        <v>96</v>
      </c>
      <c r="CO100" s="752">
        <f t="shared" si="62"/>
        <v>96</v>
      </c>
      <c r="CP100" s="3501"/>
      <c r="CQ100" s="3501"/>
      <c r="CR100" s="1261"/>
      <c r="CS100" s="1261"/>
      <c r="CT100" s="1243"/>
      <c r="CU100" s="1243"/>
      <c r="CV100" s="1243"/>
    </row>
    <row r="101" spans="1:256" x14ac:dyDescent="0.2">
      <c r="A101" s="2434" t="s">
        <v>2462</v>
      </c>
      <c r="B101" s="3005"/>
      <c r="C101" s="3006"/>
      <c r="D101" s="2404"/>
      <c r="E101" s="2404"/>
      <c r="F101" s="2404"/>
      <c r="G101" s="2404"/>
      <c r="H101" s="2406"/>
      <c r="I101" s="845"/>
      <c r="J101" s="845"/>
      <c r="K101" s="845"/>
      <c r="L101" s="845"/>
      <c r="M101" s="2293"/>
      <c r="N101" s="845"/>
      <c r="O101" s="845"/>
      <c r="P101" s="845"/>
      <c r="Q101" s="845"/>
      <c r="R101" s="2293"/>
      <c r="S101" s="845"/>
      <c r="T101" s="845"/>
      <c r="U101" s="845"/>
      <c r="V101" s="845"/>
      <c r="W101" s="2293"/>
      <c r="X101" s="845"/>
      <c r="Y101" s="845"/>
      <c r="Z101" s="845"/>
      <c r="AA101" s="845"/>
      <c r="AB101" s="2293"/>
      <c r="AC101" s="845"/>
      <c r="AD101" s="845"/>
      <c r="AE101" s="845"/>
      <c r="AF101" s="845"/>
      <c r="AG101" s="2293"/>
      <c r="AH101" s="845"/>
      <c r="AI101" s="845"/>
      <c r="AJ101" s="845"/>
      <c r="AK101" s="845"/>
      <c r="AL101" s="2293"/>
      <c r="AM101" s="756"/>
      <c r="AN101" s="756"/>
      <c r="AO101" s="756"/>
      <c r="AP101" s="756"/>
      <c r="AQ101" s="2293"/>
      <c r="AR101" s="845"/>
      <c r="AS101" s="845"/>
      <c r="AT101" s="845"/>
      <c r="AU101" s="845"/>
      <c r="AV101" s="2293"/>
      <c r="AW101" s="845"/>
      <c r="AX101" s="845"/>
      <c r="AY101" s="845"/>
      <c r="AZ101" s="845"/>
      <c r="BA101" s="2293"/>
      <c r="BB101" s="845"/>
      <c r="BC101" s="845"/>
      <c r="BD101" s="845"/>
      <c r="BE101" s="845"/>
      <c r="BF101" s="2293"/>
      <c r="BG101" s="845"/>
      <c r="BH101" s="845"/>
      <c r="BI101" s="845"/>
      <c r="BJ101" s="845"/>
      <c r="BK101" s="2293"/>
      <c r="BL101" s="845"/>
      <c r="BM101" s="845"/>
      <c r="BN101" s="845"/>
      <c r="BO101" s="845"/>
      <c r="BP101" s="2293"/>
      <c r="BQ101" s="845"/>
      <c r="BR101" s="845"/>
      <c r="BS101" s="845"/>
      <c r="BT101" s="845"/>
      <c r="BU101" s="2293"/>
      <c r="BV101" s="845"/>
      <c r="BW101" s="845"/>
      <c r="BX101" s="845"/>
      <c r="BY101" s="845"/>
      <c r="BZ101" s="2293"/>
      <c r="CA101" s="845"/>
      <c r="CB101" s="845"/>
      <c r="CC101" s="845"/>
      <c r="CD101" s="845"/>
      <c r="CE101" s="2293"/>
      <c r="CF101" s="845"/>
      <c r="CG101" s="3008"/>
      <c r="CH101" s="2893">
        <v>18</v>
      </c>
      <c r="CI101" s="2893">
        <v>19</v>
      </c>
      <c r="CJ101" s="752">
        <f t="shared" si="61"/>
        <v>19</v>
      </c>
      <c r="CK101" s="3501">
        <v>20</v>
      </c>
      <c r="CL101" s="3501">
        <v>24</v>
      </c>
      <c r="CM101" s="3501">
        <v>25</v>
      </c>
      <c r="CN101" s="3501">
        <v>27</v>
      </c>
      <c r="CO101" s="752">
        <f t="shared" si="62"/>
        <v>27</v>
      </c>
      <c r="CP101" s="3501"/>
      <c r="CQ101" s="3501"/>
      <c r="CR101" s="1261"/>
      <c r="CS101" s="1261"/>
      <c r="CT101" s="1243"/>
      <c r="CU101" s="1243"/>
      <c r="CV101" s="1243"/>
    </row>
    <row r="102" spans="1:256" x14ac:dyDescent="0.2">
      <c r="A102" s="2434" t="s">
        <v>2463</v>
      </c>
      <c r="B102" s="3005"/>
      <c r="C102" s="3006"/>
      <c r="D102" s="2404"/>
      <c r="E102" s="2404"/>
      <c r="F102" s="2404"/>
      <c r="G102" s="2404"/>
      <c r="H102" s="2406"/>
      <c r="I102" s="845"/>
      <c r="J102" s="845"/>
      <c r="K102" s="845"/>
      <c r="L102" s="845"/>
      <c r="M102" s="2293"/>
      <c r="N102" s="845"/>
      <c r="O102" s="845"/>
      <c r="P102" s="845"/>
      <c r="Q102" s="845"/>
      <c r="R102" s="2293"/>
      <c r="S102" s="845"/>
      <c r="T102" s="845"/>
      <c r="U102" s="845"/>
      <c r="V102" s="845"/>
      <c r="W102" s="2293"/>
      <c r="X102" s="845"/>
      <c r="Y102" s="845"/>
      <c r="Z102" s="845"/>
      <c r="AA102" s="845"/>
      <c r="AB102" s="2293"/>
      <c r="AC102" s="845"/>
      <c r="AD102" s="845"/>
      <c r="AE102" s="845"/>
      <c r="AF102" s="845"/>
      <c r="AG102" s="2293"/>
      <c r="AH102" s="845"/>
      <c r="AI102" s="845"/>
      <c r="AJ102" s="845"/>
      <c r="AK102" s="845"/>
      <c r="AL102" s="2293"/>
      <c r="AM102" s="756"/>
      <c r="AN102" s="756"/>
      <c r="AO102" s="756"/>
      <c r="AP102" s="756"/>
      <c r="AQ102" s="2293"/>
      <c r="AR102" s="845"/>
      <c r="AS102" s="845"/>
      <c r="AT102" s="845"/>
      <c r="AU102" s="845"/>
      <c r="AV102" s="2293"/>
      <c r="AW102" s="845"/>
      <c r="AX102" s="845"/>
      <c r="AY102" s="845"/>
      <c r="AZ102" s="845"/>
      <c r="BA102" s="2293"/>
      <c r="BB102" s="845"/>
      <c r="BC102" s="845"/>
      <c r="BD102" s="845"/>
      <c r="BE102" s="845"/>
      <c r="BF102" s="2293"/>
      <c r="BG102" s="845"/>
      <c r="BH102" s="845"/>
      <c r="BI102" s="845"/>
      <c r="BJ102" s="845"/>
      <c r="BK102" s="2293"/>
      <c r="BL102" s="845"/>
      <c r="BM102" s="845"/>
      <c r="BN102" s="845"/>
      <c r="BO102" s="845"/>
      <c r="BP102" s="2293"/>
      <c r="BQ102" s="845"/>
      <c r="BR102" s="845"/>
      <c r="BS102" s="845"/>
      <c r="BT102" s="845"/>
      <c r="BU102" s="2293"/>
      <c r="BV102" s="845"/>
      <c r="BW102" s="845"/>
      <c r="BX102" s="845"/>
      <c r="BY102" s="845"/>
      <c r="BZ102" s="2293"/>
      <c r="CA102" s="845"/>
      <c r="CB102" s="845"/>
      <c r="CC102" s="845"/>
      <c r="CD102" s="845"/>
      <c r="CE102" s="2293"/>
      <c r="CF102" s="845"/>
      <c r="CG102" s="3008"/>
      <c r="CH102" s="2893">
        <v>7</v>
      </c>
      <c r="CI102" s="2893">
        <v>12</v>
      </c>
      <c r="CJ102" s="752">
        <f t="shared" si="61"/>
        <v>12</v>
      </c>
      <c r="CK102" s="3501">
        <v>13</v>
      </c>
      <c r="CL102" s="3501">
        <v>14</v>
      </c>
      <c r="CM102" s="3501">
        <v>15</v>
      </c>
      <c r="CN102" s="3501">
        <v>16</v>
      </c>
      <c r="CO102" s="752">
        <f t="shared" si="62"/>
        <v>16</v>
      </c>
      <c r="CP102" s="3501"/>
      <c r="CQ102" s="3501"/>
      <c r="CR102" s="1261"/>
      <c r="CS102" s="1261"/>
      <c r="CT102" s="1243"/>
      <c r="CU102" s="1243"/>
      <c r="CV102" s="1243"/>
    </row>
    <row r="103" spans="1:256" x14ac:dyDescent="0.2">
      <c r="A103" s="1207" t="s">
        <v>1931</v>
      </c>
      <c r="B103" s="3005"/>
      <c r="C103" s="3006"/>
      <c r="D103" s="2404"/>
      <c r="E103" s="2404"/>
      <c r="F103" s="2404"/>
      <c r="G103" s="2404"/>
      <c r="H103" s="2406"/>
      <c r="I103" s="845"/>
      <c r="J103" s="845"/>
      <c r="K103" s="845"/>
      <c r="L103" s="845"/>
      <c r="M103" s="2293"/>
      <c r="N103" s="845"/>
      <c r="O103" s="845"/>
      <c r="P103" s="845"/>
      <c r="Q103" s="845"/>
      <c r="R103" s="2293"/>
      <c r="S103" s="845"/>
      <c r="T103" s="845"/>
      <c r="U103" s="845"/>
      <c r="V103" s="845"/>
      <c r="W103" s="2293"/>
      <c r="X103" s="845"/>
      <c r="Y103" s="845"/>
      <c r="Z103" s="845"/>
      <c r="AA103" s="845"/>
      <c r="AB103" s="2293"/>
      <c r="AC103" s="845"/>
      <c r="AD103" s="845"/>
      <c r="AE103" s="845"/>
      <c r="AF103" s="845"/>
      <c r="AG103" s="2293"/>
      <c r="AH103" s="845"/>
      <c r="AI103" s="845"/>
      <c r="AJ103" s="845"/>
      <c r="AK103" s="845"/>
      <c r="AL103" s="2293"/>
      <c r="AM103" s="756"/>
      <c r="AN103" s="756"/>
      <c r="AO103" s="756"/>
      <c r="AP103" s="756"/>
      <c r="AQ103" s="2293"/>
      <c r="AR103" s="845"/>
      <c r="AS103" s="845"/>
      <c r="AT103" s="845"/>
      <c r="AU103" s="845"/>
      <c r="AV103" s="2293"/>
      <c r="AW103" s="845"/>
      <c r="AX103" s="845"/>
      <c r="AY103" s="845"/>
      <c r="AZ103" s="845"/>
      <c r="BA103" s="2293"/>
      <c r="BB103" s="845"/>
      <c r="BC103" s="845"/>
      <c r="BD103" s="845"/>
      <c r="BE103" s="845"/>
      <c r="BF103" s="2293"/>
      <c r="BG103" s="845"/>
      <c r="BH103" s="845"/>
      <c r="BI103" s="845"/>
      <c r="BJ103" s="845"/>
      <c r="BK103" s="2293"/>
      <c r="BL103" s="845"/>
      <c r="BM103" s="845"/>
      <c r="BN103" s="845"/>
      <c r="BO103" s="845"/>
      <c r="BP103" s="2293"/>
      <c r="BQ103" s="845"/>
      <c r="BR103" s="845"/>
      <c r="BS103" s="845"/>
      <c r="BT103" s="845"/>
      <c r="BU103" s="2293"/>
      <c r="BV103" s="845"/>
      <c r="BW103" s="845"/>
      <c r="BX103" s="845"/>
      <c r="BY103" s="845"/>
      <c r="BZ103" s="2293"/>
      <c r="CA103" s="845"/>
      <c r="CB103" s="845"/>
      <c r="CC103" s="845"/>
      <c r="CD103" s="845"/>
      <c r="CE103" s="2293"/>
      <c r="CF103" s="845"/>
      <c r="CG103" s="3008"/>
      <c r="CH103" s="2893">
        <v>1</v>
      </c>
      <c r="CI103" s="2893">
        <v>1</v>
      </c>
      <c r="CJ103" s="752">
        <f t="shared" si="61"/>
        <v>1</v>
      </c>
      <c r="CK103" s="3501">
        <v>1</v>
      </c>
      <c r="CL103" s="3501">
        <v>1</v>
      </c>
      <c r="CM103" s="3501">
        <f>1+2+1</f>
        <v>4</v>
      </c>
      <c r="CN103" s="3501">
        <f>1+2+1</f>
        <v>4</v>
      </c>
      <c r="CO103" s="752">
        <f t="shared" si="62"/>
        <v>4</v>
      </c>
      <c r="CP103" s="3501"/>
      <c r="CQ103" s="3501"/>
      <c r="CR103" s="1261"/>
      <c r="CS103" s="1261"/>
      <c r="CT103" s="1243"/>
      <c r="CU103" s="1243"/>
      <c r="CV103" s="1243"/>
    </row>
    <row r="104" spans="1:256" ht="4.5" customHeight="1" x14ac:dyDescent="0.35">
      <c r="A104" s="1207"/>
      <c r="B104" s="212"/>
      <c r="C104" s="212"/>
      <c r="D104" s="212"/>
      <c r="E104" s="212"/>
      <c r="F104" s="212"/>
      <c r="G104" s="212"/>
      <c r="H104" s="194"/>
      <c r="I104" s="850" t="s">
        <v>2466</v>
      </c>
      <c r="J104" s="850" t="s">
        <v>2139</v>
      </c>
      <c r="K104" s="850" t="s">
        <v>2466</v>
      </c>
      <c r="L104" s="850" t="s">
        <v>2139</v>
      </c>
      <c r="M104" s="3009" t="s">
        <v>2378</v>
      </c>
      <c r="N104" s="850" t="s">
        <v>2466</v>
      </c>
      <c r="O104" s="850" t="s">
        <v>2139</v>
      </c>
      <c r="P104" s="850" t="s">
        <v>2466</v>
      </c>
      <c r="Q104" s="850" t="s">
        <v>2139</v>
      </c>
      <c r="R104" s="3009" t="s">
        <v>2378</v>
      </c>
      <c r="S104" s="850" t="s">
        <v>2466</v>
      </c>
      <c r="T104" s="850" t="s">
        <v>2139</v>
      </c>
      <c r="U104" s="850" t="s">
        <v>2466</v>
      </c>
      <c r="V104" s="850" t="s">
        <v>2139</v>
      </c>
      <c r="W104" s="3009" t="s">
        <v>2378</v>
      </c>
      <c r="X104" s="850" t="s">
        <v>2466</v>
      </c>
      <c r="Y104" s="850" t="s">
        <v>2139</v>
      </c>
      <c r="Z104" s="850" t="s">
        <v>2466</v>
      </c>
      <c r="AA104" s="850" t="s">
        <v>2139</v>
      </c>
      <c r="AB104" s="3009" t="s">
        <v>2378</v>
      </c>
      <c r="AC104" s="850" t="s">
        <v>2466</v>
      </c>
      <c r="AD104" s="850" t="s">
        <v>2139</v>
      </c>
      <c r="AE104" s="850" t="s">
        <v>2466</v>
      </c>
      <c r="AF104" s="850" t="s">
        <v>2139</v>
      </c>
      <c r="AG104" s="3009" t="s">
        <v>2378</v>
      </c>
      <c r="AH104" s="850" t="s">
        <v>2466</v>
      </c>
      <c r="AI104" s="850" t="s">
        <v>2139</v>
      </c>
      <c r="AJ104" s="850" t="s">
        <v>2466</v>
      </c>
      <c r="AK104" s="850" t="s">
        <v>2139</v>
      </c>
      <c r="AL104" s="3009" t="s">
        <v>2378</v>
      </c>
      <c r="AM104" s="850" t="s">
        <v>2466</v>
      </c>
      <c r="AN104" s="850" t="s">
        <v>2139</v>
      </c>
      <c r="AO104" s="850" t="s">
        <v>2466</v>
      </c>
      <c r="AP104" s="850" t="s">
        <v>2139</v>
      </c>
      <c r="AQ104" s="3009" t="s">
        <v>2378</v>
      </c>
      <c r="AR104" s="850" t="s">
        <v>2466</v>
      </c>
      <c r="AS104" s="850" t="s">
        <v>2139</v>
      </c>
      <c r="AT104" s="850" t="s">
        <v>2466</v>
      </c>
      <c r="AU104" s="850" t="s">
        <v>2139</v>
      </c>
      <c r="AV104" s="3009" t="s">
        <v>2378</v>
      </c>
      <c r="AW104" s="850" t="s">
        <v>2466</v>
      </c>
      <c r="AX104" s="850" t="s">
        <v>2139</v>
      </c>
      <c r="AY104" s="850" t="s">
        <v>2466</v>
      </c>
      <c r="AZ104" s="850" t="s">
        <v>2139</v>
      </c>
      <c r="BA104" s="3009" t="s">
        <v>2378</v>
      </c>
      <c r="BB104" s="850" t="s">
        <v>2466</v>
      </c>
      <c r="BC104" s="850" t="s">
        <v>2139</v>
      </c>
      <c r="BD104" s="850" t="s">
        <v>2466</v>
      </c>
      <c r="BE104" s="850" t="s">
        <v>2139</v>
      </c>
      <c r="BF104" s="3009" t="s">
        <v>2378</v>
      </c>
      <c r="BG104" s="3011" t="s">
        <v>2467</v>
      </c>
      <c r="BH104" s="3011" t="s">
        <v>2467</v>
      </c>
      <c r="BI104" s="3011" t="s">
        <v>2467</v>
      </c>
      <c r="BJ104" s="3011" t="s">
        <v>2467</v>
      </c>
      <c r="BK104" s="3009" t="s">
        <v>2139</v>
      </c>
      <c r="BL104" s="3011" t="s">
        <v>1191</v>
      </c>
      <c r="BM104" s="3011" t="s">
        <v>1191</v>
      </c>
      <c r="BN104" s="3011" t="s">
        <v>1191</v>
      </c>
      <c r="BO104" s="3011" t="s">
        <v>1191</v>
      </c>
      <c r="BP104" s="3009" t="s">
        <v>2139</v>
      </c>
      <c r="BQ104" s="3011" t="s">
        <v>2139</v>
      </c>
      <c r="BR104" s="3011" t="s">
        <v>2139</v>
      </c>
      <c r="BS104" s="3011" t="s">
        <v>2139</v>
      </c>
      <c r="BT104" s="3011" t="s">
        <v>2139</v>
      </c>
      <c r="BU104" s="3009" t="s">
        <v>2139</v>
      </c>
      <c r="BV104" s="3011" t="s">
        <v>2468</v>
      </c>
      <c r="BW104" s="3011" t="s">
        <v>2468</v>
      </c>
      <c r="BX104" s="3011" t="s">
        <v>2468</v>
      </c>
      <c r="BY104" s="3011" t="s">
        <v>2467</v>
      </c>
      <c r="BZ104" s="3009" t="s">
        <v>2378</v>
      </c>
      <c r="CA104" s="3011" t="s">
        <v>2466</v>
      </c>
      <c r="CB104" s="3011" t="s">
        <v>2466</v>
      </c>
      <c r="CC104" s="3011" t="s">
        <v>2466</v>
      </c>
      <c r="CD104" s="3011" t="s">
        <v>2378</v>
      </c>
      <c r="CE104" s="3009" t="s">
        <v>2139</v>
      </c>
      <c r="CF104" s="3011" t="s">
        <v>2466</v>
      </c>
      <c r="CG104" s="3011" t="s">
        <v>2378</v>
      </c>
      <c r="CH104" s="3011" t="s">
        <v>2378</v>
      </c>
      <c r="CI104" s="3011" t="s">
        <v>2378</v>
      </c>
      <c r="CJ104" s="3009" t="s">
        <v>2139</v>
      </c>
      <c r="CK104" s="3504" t="s">
        <v>2139</v>
      </c>
      <c r="CL104" s="3502" t="s">
        <v>2139</v>
      </c>
      <c r="CM104" s="3502" t="s">
        <v>2139</v>
      </c>
      <c r="CN104" s="3502" t="s">
        <v>2139</v>
      </c>
      <c r="CO104" s="3009" t="s">
        <v>2139</v>
      </c>
      <c r="CP104" s="3504"/>
      <c r="CQ104" s="3504"/>
      <c r="CR104" s="212"/>
      <c r="CS104" s="212"/>
      <c r="CT104" s="194"/>
      <c r="CU104" s="194"/>
      <c r="CV104" s="194"/>
    </row>
    <row r="105" spans="1:256" x14ac:dyDescent="0.2">
      <c r="A105" s="1437" t="s">
        <v>1735</v>
      </c>
      <c r="B105" s="1739"/>
      <c r="C105" s="1426"/>
      <c r="D105" s="257"/>
      <c r="E105" s="257"/>
      <c r="F105" s="257"/>
      <c r="G105" s="257"/>
      <c r="H105" s="1426"/>
      <c r="I105" s="257">
        <f t="shared" ref="I105:AN105" si="63">SUM(I76:I91)</f>
        <v>1072</v>
      </c>
      <c r="J105" s="257">
        <f t="shared" si="63"/>
        <v>1114</v>
      </c>
      <c r="K105" s="257">
        <f t="shared" si="63"/>
        <v>1145</v>
      </c>
      <c r="L105" s="257">
        <f t="shared" si="63"/>
        <v>1236</v>
      </c>
      <c r="M105" s="1426">
        <f t="shared" si="63"/>
        <v>1236</v>
      </c>
      <c r="N105" s="257">
        <f t="shared" si="63"/>
        <v>1256</v>
      </c>
      <c r="O105" s="257">
        <f t="shared" si="63"/>
        <v>1280</v>
      </c>
      <c r="P105" s="257">
        <f t="shared" si="63"/>
        <v>1307</v>
      </c>
      <c r="Q105" s="257">
        <f t="shared" si="63"/>
        <v>1345</v>
      </c>
      <c r="R105" s="1426">
        <f t="shared" si="63"/>
        <v>1345</v>
      </c>
      <c r="S105" s="257">
        <f t="shared" si="63"/>
        <v>1367</v>
      </c>
      <c r="T105" s="257">
        <f t="shared" si="63"/>
        <v>1400</v>
      </c>
      <c r="U105" s="257">
        <f t="shared" si="63"/>
        <v>1426</v>
      </c>
      <c r="V105" s="257">
        <f t="shared" si="63"/>
        <v>1444</v>
      </c>
      <c r="W105" s="1426">
        <f t="shared" si="63"/>
        <v>1444</v>
      </c>
      <c r="X105" s="257">
        <f t="shared" si="63"/>
        <v>1464</v>
      </c>
      <c r="Y105" s="257">
        <f t="shared" si="63"/>
        <v>1481</v>
      </c>
      <c r="Z105" s="257">
        <f t="shared" si="63"/>
        <v>1490</v>
      </c>
      <c r="AA105" s="257">
        <f t="shared" si="63"/>
        <v>1511</v>
      </c>
      <c r="AB105" s="1426">
        <f t="shared" si="63"/>
        <v>1511</v>
      </c>
      <c r="AC105" s="257">
        <f t="shared" si="63"/>
        <v>1521</v>
      </c>
      <c r="AD105" s="257">
        <f t="shared" si="63"/>
        <v>1542</v>
      </c>
      <c r="AE105" s="257">
        <f t="shared" si="63"/>
        <v>1567</v>
      </c>
      <c r="AF105" s="257">
        <f t="shared" si="63"/>
        <v>1594</v>
      </c>
      <c r="AG105" s="1426">
        <f t="shared" si="63"/>
        <v>1594</v>
      </c>
      <c r="AH105" s="257">
        <f t="shared" si="63"/>
        <v>1618</v>
      </c>
      <c r="AI105" s="257">
        <f t="shared" si="63"/>
        <v>1632</v>
      </c>
      <c r="AJ105" s="257">
        <f t="shared" si="63"/>
        <v>1651</v>
      </c>
      <c r="AK105" s="257">
        <f t="shared" si="63"/>
        <v>1667</v>
      </c>
      <c r="AL105" s="1426">
        <f t="shared" si="63"/>
        <v>1667</v>
      </c>
      <c r="AM105" s="257">
        <f t="shared" si="63"/>
        <v>1683</v>
      </c>
      <c r="AN105" s="257">
        <f t="shared" si="63"/>
        <v>1717</v>
      </c>
      <c r="AO105" s="257">
        <f t="shared" ref="AO105:BT105" si="64">SUM(AO76:AO91)</f>
        <v>1753</v>
      </c>
      <c r="AP105" s="257">
        <f t="shared" si="64"/>
        <v>1804</v>
      </c>
      <c r="AQ105" s="1426">
        <f t="shared" si="64"/>
        <v>1804</v>
      </c>
      <c r="AR105" s="257">
        <f t="shared" si="64"/>
        <v>1826</v>
      </c>
      <c r="AS105" s="257">
        <f t="shared" si="64"/>
        <v>1868</v>
      </c>
      <c r="AT105" s="257">
        <f t="shared" si="64"/>
        <v>1898</v>
      </c>
      <c r="AU105" s="257">
        <f t="shared" si="64"/>
        <v>1959</v>
      </c>
      <c r="AV105" s="1426">
        <f t="shared" si="64"/>
        <v>1959</v>
      </c>
      <c r="AW105" s="257">
        <f t="shared" si="64"/>
        <v>1998</v>
      </c>
      <c r="AX105" s="257">
        <f t="shared" si="64"/>
        <v>2046</v>
      </c>
      <c r="AY105" s="257">
        <f t="shared" si="64"/>
        <v>2117</v>
      </c>
      <c r="AZ105" s="257">
        <f t="shared" si="64"/>
        <v>2162</v>
      </c>
      <c r="BA105" s="1426">
        <f t="shared" si="64"/>
        <v>2162</v>
      </c>
      <c r="BB105" s="257">
        <f t="shared" si="64"/>
        <v>2196</v>
      </c>
      <c r="BC105" s="257">
        <f t="shared" si="64"/>
        <v>2226</v>
      </c>
      <c r="BD105" s="257">
        <f t="shared" si="64"/>
        <v>2246</v>
      </c>
      <c r="BE105" s="257">
        <f t="shared" si="64"/>
        <v>2264</v>
      </c>
      <c r="BF105" s="1426">
        <f t="shared" si="64"/>
        <v>2264</v>
      </c>
      <c r="BG105" s="257">
        <f t="shared" si="64"/>
        <v>2269</v>
      </c>
      <c r="BH105" s="257">
        <f t="shared" si="64"/>
        <v>2283</v>
      </c>
      <c r="BI105" s="257">
        <f t="shared" si="64"/>
        <v>2301</v>
      </c>
      <c r="BJ105" s="257">
        <f t="shared" si="64"/>
        <v>2322</v>
      </c>
      <c r="BK105" s="1426">
        <f t="shared" si="64"/>
        <v>2322</v>
      </c>
      <c r="BL105" s="257">
        <f t="shared" si="64"/>
        <v>2334</v>
      </c>
      <c r="BM105" s="257">
        <f t="shared" si="64"/>
        <v>2358</v>
      </c>
      <c r="BN105" s="257">
        <f t="shared" si="64"/>
        <v>2380</v>
      </c>
      <c r="BO105" s="257">
        <f t="shared" si="64"/>
        <v>2396</v>
      </c>
      <c r="BP105" s="1426">
        <f t="shared" si="64"/>
        <v>2396</v>
      </c>
      <c r="BQ105" s="257">
        <f t="shared" si="64"/>
        <v>2412</v>
      </c>
      <c r="BR105" s="257">
        <f t="shared" si="64"/>
        <v>2449</v>
      </c>
      <c r="BS105" s="257">
        <f t="shared" si="64"/>
        <v>2476</v>
      </c>
      <c r="BT105" s="257">
        <f t="shared" si="64"/>
        <v>2497</v>
      </c>
      <c r="BU105" s="1426">
        <f t="shared" ref="BU105:CF105" si="65">SUM(BU76:BU91)</f>
        <v>2497</v>
      </c>
      <c r="BV105" s="257">
        <f t="shared" si="65"/>
        <v>2512</v>
      </c>
      <c r="BW105" s="257">
        <f t="shared" si="65"/>
        <v>2541</v>
      </c>
      <c r="BX105" s="257">
        <f t="shared" si="65"/>
        <v>2588</v>
      </c>
      <c r="BY105" s="257">
        <f t="shared" si="65"/>
        <v>2622</v>
      </c>
      <c r="BZ105" s="1426">
        <f t="shared" si="65"/>
        <v>2622</v>
      </c>
      <c r="CA105" s="257">
        <f t="shared" si="65"/>
        <v>2731</v>
      </c>
      <c r="CB105" s="257">
        <f t="shared" si="65"/>
        <v>2786</v>
      </c>
      <c r="CC105" s="257">
        <f t="shared" si="65"/>
        <v>2821</v>
      </c>
      <c r="CD105" s="852">
        <f t="shared" si="65"/>
        <v>2863</v>
      </c>
      <c r="CE105" s="1426">
        <f t="shared" si="65"/>
        <v>2863</v>
      </c>
      <c r="CF105" s="852">
        <f t="shared" si="65"/>
        <v>2910</v>
      </c>
      <c r="CG105" s="852">
        <f>SUM(CG76:CG92)</f>
        <v>2975</v>
      </c>
      <c r="CH105" s="852">
        <f>SUM(CH75:CH91)</f>
        <v>3029</v>
      </c>
      <c r="CI105">
        <f t="shared" ref="CI105:CO105" si="66">SUM(CI75:CI103)</f>
        <v>3592</v>
      </c>
      <c r="CJ105" s="843">
        <f t="shared" si="66"/>
        <v>3592</v>
      </c>
      <c r="CK105" s="854">
        <f t="shared" si="66"/>
        <v>3653</v>
      </c>
      <c r="CL105" s="854">
        <f t="shared" si="66"/>
        <v>3721</v>
      </c>
      <c r="CM105" s="854">
        <f t="shared" si="66"/>
        <v>3798</v>
      </c>
      <c r="CN105" s="854">
        <f t="shared" si="66"/>
        <v>3881</v>
      </c>
      <c r="CO105" s="843">
        <f t="shared" si="66"/>
        <v>3881</v>
      </c>
      <c r="CP105" s="854"/>
      <c r="CQ105" s="854"/>
      <c r="CR105" s="852"/>
      <c r="CS105" s="852"/>
      <c r="CT105" s="843">
        <f t="shared" ref="CT105:CV105" si="67">SUM(CT76:CT91)</f>
        <v>0</v>
      </c>
      <c r="CU105" s="843">
        <f t="shared" si="67"/>
        <v>0</v>
      </c>
      <c r="CV105" s="843">
        <f t="shared" si="67"/>
        <v>0</v>
      </c>
      <c r="CW105" s="217"/>
      <c r="CX105" s="217"/>
      <c r="CY105" s="217"/>
      <c r="CZ105" s="217"/>
      <c r="DA105" s="217"/>
      <c r="DB105" s="217"/>
      <c r="DC105" s="217"/>
      <c r="DD105" s="217"/>
      <c r="DE105" s="199"/>
      <c r="DF105" s="199"/>
      <c r="DG105" s="199"/>
      <c r="DH105" s="199"/>
      <c r="DI105" s="199"/>
      <c r="DJ105" s="199"/>
      <c r="DK105" s="199"/>
      <c r="DL105" s="199"/>
      <c r="DM105" s="199"/>
      <c r="DN105" s="199"/>
      <c r="DO105" s="199"/>
      <c r="DP105" s="199"/>
      <c r="DQ105" s="199"/>
      <c r="DR105" s="199"/>
      <c r="DS105" s="199"/>
      <c r="DT105" s="199"/>
      <c r="DU105" s="199"/>
      <c r="DV105" s="199"/>
      <c r="DW105" s="199"/>
      <c r="DX105" s="199"/>
      <c r="DY105" s="199"/>
      <c r="DZ105" s="199"/>
      <c r="EA105" s="199"/>
      <c r="EB105" s="199"/>
      <c r="EC105" s="199"/>
      <c r="ED105" s="199"/>
      <c r="EE105" s="199"/>
      <c r="EF105" s="199"/>
      <c r="EG105" s="199"/>
      <c r="EH105" s="199"/>
      <c r="EI105" s="199"/>
      <c r="EJ105" s="199"/>
      <c r="EK105" s="199"/>
      <c r="EL105" s="199"/>
      <c r="EM105" s="199"/>
      <c r="EN105" s="199"/>
      <c r="EO105" s="199"/>
      <c r="EP105" s="199"/>
      <c r="EQ105" s="199"/>
      <c r="ER105" s="199"/>
      <c r="ES105" s="199"/>
      <c r="ET105" s="199"/>
      <c r="EU105" s="199"/>
      <c r="EV105" s="199"/>
      <c r="EW105" s="199"/>
      <c r="EX105" s="199"/>
      <c r="EY105" s="199"/>
      <c r="EZ105" s="199"/>
      <c r="FA105" s="199"/>
      <c r="FB105" s="199"/>
      <c r="FC105" s="199"/>
      <c r="FD105" s="199"/>
      <c r="FE105" s="199"/>
      <c r="FF105" s="199"/>
      <c r="FG105" s="199"/>
      <c r="FH105" s="199"/>
      <c r="FI105" s="199"/>
      <c r="FJ105" s="199"/>
      <c r="FK105" s="199"/>
      <c r="FL105" s="199"/>
      <c r="FM105" s="199"/>
      <c r="FN105" s="199"/>
      <c r="FO105" s="199"/>
      <c r="FP105" s="199"/>
      <c r="FQ105" s="199"/>
      <c r="FR105" s="199"/>
      <c r="FS105" s="199"/>
      <c r="FT105" s="199"/>
      <c r="FU105" s="199"/>
      <c r="FV105" s="199"/>
      <c r="FW105" s="199"/>
      <c r="FX105" s="199"/>
      <c r="FY105" s="199"/>
      <c r="FZ105" s="199"/>
      <c r="GA105" s="199"/>
      <c r="GB105" s="199"/>
      <c r="GC105" s="199"/>
      <c r="GD105" s="199"/>
      <c r="GE105" s="199"/>
      <c r="GF105" s="199"/>
      <c r="GG105" s="199"/>
      <c r="GH105" s="199"/>
      <c r="GI105" s="199"/>
      <c r="GJ105" s="199"/>
      <c r="GK105" s="199"/>
      <c r="GL105" s="199"/>
      <c r="GM105" s="199"/>
      <c r="GN105" s="199"/>
      <c r="GO105" s="199"/>
      <c r="GP105" s="199"/>
      <c r="GQ105" s="199"/>
      <c r="GR105" s="199"/>
      <c r="GS105" s="199"/>
      <c r="GT105" s="199"/>
      <c r="GU105" s="199"/>
      <c r="GV105" s="199"/>
      <c r="GW105" s="199"/>
      <c r="GX105" s="199"/>
      <c r="GY105" s="199"/>
      <c r="GZ105" s="199"/>
      <c r="HA105" s="199"/>
      <c r="HB105" s="199"/>
      <c r="HC105" s="199"/>
      <c r="HD105" s="199"/>
      <c r="HE105" s="199"/>
      <c r="HF105" s="199"/>
      <c r="HG105" s="199"/>
      <c r="HH105" s="199"/>
      <c r="HI105" s="199"/>
      <c r="HJ105" s="199"/>
      <c r="HK105" s="199"/>
      <c r="HL105" s="199"/>
      <c r="HM105" s="199"/>
      <c r="HN105" s="199"/>
      <c r="HO105" s="199"/>
      <c r="HP105" s="199"/>
      <c r="HQ105" s="199"/>
      <c r="HR105" s="199"/>
      <c r="HS105" s="199"/>
      <c r="HT105" s="199"/>
      <c r="HU105" s="199"/>
      <c r="HV105" s="199"/>
      <c r="HW105" s="199"/>
      <c r="HX105" s="199"/>
      <c r="HY105" s="199"/>
      <c r="HZ105" s="199"/>
      <c r="IA105" s="199"/>
      <c r="IB105" s="199"/>
      <c r="IC105" s="199"/>
      <c r="ID105" s="199"/>
      <c r="IE105" s="199"/>
      <c r="IF105" s="199"/>
      <c r="IG105" s="199"/>
      <c r="IH105" s="199"/>
      <c r="II105" s="199"/>
      <c r="IJ105" s="199"/>
      <c r="IK105" s="199"/>
      <c r="IL105" s="199"/>
      <c r="IM105" s="199"/>
      <c r="IN105" s="199"/>
      <c r="IO105" s="199"/>
      <c r="IP105" s="199"/>
      <c r="IQ105" s="199"/>
      <c r="IR105" s="199"/>
      <c r="IS105" s="199"/>
      <c r="IT105" s="199"/>
      <c r="IU105" s="199"/>
      <c r="IV105" s="199"/>
    </row>
    <row r="106" spans="1:256" x14ac:dyDescent="0.2">
      <c r="A106" s="1437"/>
      <c r="B106" s="651"/>
      <c r="C106" s="236"/>
      <c r="D106" s="234"/>
      <c r="E106" s="234"/>
      <c r="F106" s="234"/>
      <c r="G106" s="234"/>
      <c r="H106" s="236"/>
      <c r="I106" s="234"/>
      <c r="J106" s="234"/>
      <c r="K106" s="234"/>
      <c r="L106" s="234"/>
      <c r="M106" s="236"/>
      <c r="N106" s="234"/>
      <c r="O106" s="234"/>
      <c r="P106" s="234"/>
      <c r="Q106" s="234"/>
      <c r="R106" s="236"/>
      <c r="S106" s="234"/>
      <c r="T106" s="234"/>
      <c r="U106" s="234"/>
      <c r="V106" s="234"/>
      <c r="W106" s="236"/>
      <c r="X106" s="234"/>
      <c r="Y106" s="234"/>
      <c r="Z106" s="234"/>
      <c r="AA106" s="234"/>
      <c r="AB106" s="236"/>
      <c r="AC106" s="234"/>
      <c r="AD106" s="234"/>
      <c r="AE106" s="234"/>
      <c r="AF106" s="234"/>
      <c r="AG106" s="236"/>
      <c r="AH106" s="234"/>
      <c r="AI106" s="234"/>
      <c r="AJ106" s="234"/>
      <c r="AK106" s="234"/>
      <c r="AL106" s="236"/>
      <c r="AM106" s="234"/>
      <c r="AN106" s="234"/>
      <c r="AO106" s="234"/>
      <c r="AP106" s="234"/>
      <c r="AQ106" s="236"/>
      <c r="AR106" s="234"/>
      <c r="AS106" s="234"/>
      <c r="AT106" s="234"/>
      <c r="AU106" s="234"/>
      <c r="AV106" s="236"/>
      <c r="AW106" s="234"/>
      <c r="AX106" s="234"/>
      <c r="AY106" s="234"/>
      <c r="AZ106" s="234"/>
      <c r="BA106" s="236"/>
      <c r="BB106" s="234"/>
      <c r="BC106" s="234"/>
      <c r="BD106" s="234"/>
      <c r="BE106" s="234"/>
      <c r="BF106" s="236"/>
      <c r="BG106" s="234"/>
      <c r="BH106" s="234"/>
      <c r="BI106" s="234"/>
      <c r="BJ106" s="234"/>
      <c r="BK106" s="236"/>
      <c r="BL106" s="234"/>
      <c r="BM106" s="234"/>
      <c r="BN106" s="234"/>
      <c r="BO106" s="234"/>
      <c r="BP106" s="236"/>
      <c r="BQ106" s="212"/>
      <c r="BR106" s="212"/>
      <c r="BS106" s="212"/>
      <c r="BT106" s="234"/>
      <c r="BU106" s="236"/>
      <c r="BV106" s="212"/>
      <c r="BW106" s="212"/>
      <c r="BX106" s="212"/>
      <c r="BY106" s="234"/>
      <c r="BZ106" s="236"/>
      <c r="CA106" s="212"/>
      <c r="CB106" s="212"/>
      <c r="CC106" s="212"/>
      <c r="CD106" s="212"/>
      <c r="CE106" s="194"/>
      <c r="CF106" s="212"/>
      <c r="CG106" s="212"/>
      <c r="CH106" s="212"/>
      <c r="CI106" s="212"/>
      <c r="CJ106" s="194"/>
      <c r="CK106" s="2907"/>
      <c r="CL106" s="212"/>
      <c r="CM106" s="212"/>
      <c r="CN106" s="212"/>
      <c r="CO106" s="194"/>
      <c r="CP106" s="2907"/>
      <c r="CQ106" s="212"/>
      <c r="CR106" s="212"/>
      <c r="CS106" s="212"/>
      <c r="CT106" s="194"/>
      <c r="CU106" s="194"/>
      <c r="CV106" s="194"/>
    </row>
    <row r="107" spans="1:256" s="199" customFormat="1" x14ac:dyDescent="0.2">
      <c r="A107" s="1435" t="s">
        <v>1822</v>
      </c>
      <c r="B107" s="651"/>
      <c r="C107" s="236"/>
      <c r="D107" s="234"/>
      <c r="E107" s="234"/>
      <c r="F107" s="234"/>
      <c r="G107" s="234"/>
      <c r="H107" s="236"/>
      <c r="I107" s="847"/>
      <c r="J107" s="234"/>
      <c r="K107" s="234"/>
      <c r="L107" s="234"/>
      <c r="M107" s="236"/>
      <c r="N107" s="234"/>
      <c r="O107" s="234"/>
      <c r="P107" s="234"/>
      <c r="Q107" s="234"/>
      <c r="R107" s="236"/>
      <c r="S107" s="234"/>
      <c r="T107" s="234"/>
      <c r="U107" s="234"/>
      <c r="V107" s="234"/>
      <c r="W107" s="236"/>
      <c r="X107" s="234"/>
      <c r="Y107" s="234"/>
      <c r="Z107" s="234"/>
      <c r="AA107" s="234"/>
      <c r="AB107" s="236"/>
      <c r="AC107" s="234"/>
      <c r="AD107" s="234"/>
      <c r="AE107" s="234"/>
      <c r="AF107" s="234"/>
      <c r="AG107" s="236"/>
      <c r="AH107" s="234"/>
      <c r="AI107" s="234"/>
      <c r="AJ107" s="234"/>
      <c r="AK107" s="234"/>
      <c r="AL107" s="236"/>
      <c r="AM107" s="234"/>
      <c r="AN107" s="234"/>
      <c r="AO107" s="234"/>
      <c r="AP107" s="234"/>
      <c r="AQ107" s="236"/>
      <c r="AR107" s="234"/>
      <c r="AS107" s="234"/>
      <c r="AT107" s="234"/>
      <c r="AU107" s="234"/>
      <c r="AV107" s="236"/>
      <c r="AW107" s="234"/>
      <c r="AX107" s="234"/>
      <c r="AY107" s="234"/>
      <c r="AZ107" s="234"/>
      <c r="BA107" s="236"/>
      <c r="BB107" s="234"/>
      <c r="BC107" s="234"/>
      <c r="BD107" s="234"/>
      <c r="BE107" s="234"/>
      <c r="BF107" s="236"/>
      <c r="BG107" s="234"/>
      <c r="BH107" s="234"/>
      <c r="BI107" s="234"/>
      <c r="BJ107" s="234"/>
      <c r="BK107" s="236"/>
      <c r="BL107" s="234"/>
      <c r="BM107" s="234"/>
      <c r="BN107" s="212"/>
      <c r="BO107" s="212"/>
      <c r="BP107" s="236"/>
      <c r="BQ107" s="212"/>
      <c r="BR107" s="212"/>
      <c r="BS107" s="212"/>
      <c r="BT107" s="212"/>
      <c r="BU107" s="236"/>
      <c r="BV107" s="212"/>
      <c r="BW107" s="212"/>
      <c r="BX107" s="212"/>
      <c r="BY107" s="234"/>
      <c r="BZ107" s="236"/>
      <c r="CA107" s="212"/>
      <c r="CB107" s="212"/>
      <c r="CC107" s="212"/>
      <c r="CD107" s="212"/>
      <c r="CE107" s="194"/>
      <c r="CF107" s="212"/>
      <c r="CG107" s="212"/>
      <c r="CH107" s="212"/>
      <c r="CI107" s="212"/>
      <c r="CJ107" s="194"/>
      <c r="CK107" s="2907"/>
      <c r="CL107" s="212"/>
      <c r="CM107" s="212"/>
      <c r="CN107" s="212"/>
      <c r="CO107" s="194"/>
      <c r="CP107" s="2907"/>
      <c r="CQ107" s="212"/>
      <c r="CR107" s="212"/>
      <c r="CS107" s="212"/>
      <c r="CT107" s="194"/>
      <c r="CU107" s="194"/>
      <c r="CV107" s="194"/>
      <c r="CW107" s="212"/>
      <c r="CX107" s="212"/>
      <c r="CY107" s="212"/>
      <c r="CZ107" s="212"/>
      <c r="DA107" s="212"/>
      <c r="DB107" s="212"/>
      <c r="DC107" s="212"/>
      <c r="DD107" s="212"/>
      <c r="DE107" s="70"/>
      <c r="DF107" s="70"/>
      <c r="DG107" s="70"/>
      <c r="DH107" s="70"/>
      <c r="DI107" s="70"/>
      <c r="DJ107" s="70"/>
      <c r="DK107" s="70"/>
      <c r="DL107" s="70"/>
      <c r="DM107" s="70"/>
      <c r="DN107" s="70"/>
      <c r="DO107" s="70"/>
      <c r="DP107" s="70"/>
      <c r="DQ107" s="70"/>
      <c r="DR107" s="70"/>
      <c r="DS107" s="70"/>
      <c r="DT107" s="70"/>
      <c r="DU107" s="70"/>
      <c r="DV107" s="70"/>
      <c r="DW107" s="70"/>
      <c r="DX107" s="70"/>
      <c r="DY107" s="70"/>
      <c r="DZ107" s="70"/>
      <c r="EA107" s="70"/>
      <c r="EB107" s="70"/>
      <c r="EC107" s="70"/>
      <c r="ED107" s="70"/>
      <c r="EE107" s="70"/>
      <c r="EF107" s="70"/>
      <c r="EG107" s="70"/>
      <c r="EH107" s="70"/>
      <c r="EI107" s="70"/>
      <c r="EJ107" s="70"/>
      <c r="EK107" s="70"/>
      <c r="EL107" s="70"/>
      <c r="EM107" s="70"/>
      <c r="EN107" s="70"/>
      <c r="EO107" s="70"/>
      <c r="EP107" s="70"/>
      <c r="EQ107" s="70"/>
      <c r="ER107" s="70"/>
      <c r="ES107" s="70"/>
      <c r="ET107" s="70"/>
      <c r="EU107" s="70"/>
      <c r="EV107" s="70"/>
      <c r="EW107" s="70"/>
      <c r="EX107" s="70"/>
      <c r="EY107" s="70"/>
      <c r="EZ107" s="70"/>
      <c r="FA107" s="70"/>
      <c r="FB107" s="70"/>
      <c r="FC107" s="70"/>
      <c r="FD107" s="70"/>
      <c r="FE107" s="70"/>
      <c r="FF107" s="70"/>
      <c r="FG107" s="70"/>
      <c r="FH107" s="70"/>
      <c r="FI107" s="70"/>
      <c r="FJ107" s="70"/>
      <c r="FK107" s="70"/>
      <c r="FL107" s="70"/>
      <c r="FM107" s="70"/>
      <c r="FN107" s="70"/>
      <c r="FO107" s="70"/>
      <c r="FP107" s="70"/>
      <c r="FQ107" s="70"/>
      <c r="FR107" s="70"/>
      <c r="FS107" s="70"/>
      <c r="FT107" s="70"/>
      <c r="FU107" s="70"/>
      <c r="FV107" s="70"/>
      <c r="FW107" s="70"/>
      <c r="FX107" s="70"/>
      <c r="FY107" s="70"/>
      <c r="FZ107" s="70"/>
      <c r="GA107" s="70"/>
      <c r="GB107" s="70"/>
      <c r="GC107" s="70"/>
      <c r="GD107" s="70"/>
      <c r="GE107" s="70"/>
      <c r="GF107" s="70"/>
      <c r="GG107" s="70"/>
      <c r="GH107" s="70"/>
      <c r="GI107" s="70"/>
      <c r="GJ107" s="70"/>
      <c r="GK107" s="70"/>
      <c r="GL107" s="70"/>
      <c r="GM107" s="70"/>
      <c r="GN107" s="70"/>
      <c r="GO107" s="70"/>
      <c r="GP107" s="70"/>
      <c r="GQ107" s="70"/>
      <c r="GR107" s="70"/>
      <c r="GS107" s="70"/>
      <c r="GT107" s="70"/>
      <c r="GU107" s="70"/>
      <c r="GV107" s="70"/>
      <c r="GW107" s="70"/>
      <c r="GX107" s="70"/>
      <c r="GY107" s="70"/>
      <c r="GZ107" s="70"/>
      <c r="HA107" s="70"/>
      <c r="HB107" s="70"/>
      <c r="HC107" s="70"/>
      <c r="HD107" s="70"/>
      <c r="HE107" s="70"/>
      <c r="HF107" s="70"/>
      <c r="HG107" s="70"/>
      <c r="HH107" s="70"/>
      <c r="HI107" s="70"/>
      <c r="HJ107" s="70"/>
      <c r="HK107" s="70"/>
      <c r="HL107" s="70"/>
      <c r="HM107" s="70"/>
      <c r="HN107" s="70"/>
      <c r="HO107" s="70"/>
      <c r="HP107" s="70"/>
      <c r="HQ107" s="70"/>
      <c r="HR107" s="70"/>
      <c r="HS107" s="70"/>
      <c r="HT107" s="70"/>
      <c r="HU107" s="70"/>
      <c r="HV107" s="70"/>
      <c r="HW107" s="70"/>
      <c r="HX107" s="70"/>
      <c r="HY107" s="70"/>
      <c r="HZ107" s="70"/>
      <c r="IA107" s="70"/>
      <c r="IB107" s="70"/>
      <c r="IC107" s="70"/>
      <c r="ID107" s="70"/>
      <c r="IE107" s="70"/>
      <c r="IF107" s="70"/>
      <c r="IG107" s="70"/>
      <c r="IH107" s="70"/>
      <c r="II107" s="70"/>
      <c r="IJ107" s="70"/>
      <c r="IK107" s="70"/>
      <c r="IL107" s="70"/>
      <c r="IM107" s="70"/>
      <c r="IN107" s="70"/>
      <c r="IO107" s="70"/>
      <c r="IP107" s="70"/>
      <c r="IQ107" s="70"/>
      <c r="IR107" s="70"/>
      <c r="IS107" s="70"/>
      <c r="IT107" s="70"/>
      <c r="IU107" s="70"/>
      <c r="IV107" s="70"/>
    </row>
    <row r="108" spans="1:256" s="199" customFormat="1" x14ac:dyDescent="0.2">
      <c r="A108" s="2308" t="s">
        <v>456</v>
      </c>
      <c r="B108" s="651"/>
      <c r="C108" s="236"/>
      <c r="D108" s="234"/>
      <c r="E108" s="234"/>
      <c r="F108" s="234"/>
      <c r="G108" s="234"/>
      <c r="H108" s="236"/>
      <c r="I108" s="847"/>
      <c r="J108" s="234"/>
      <c r="K108" s="234"/>
      <c r="L108" s="234"/>
      <c r="M108" s="236"/>
      <c r="N108" s="234"/>
      <c r="O108" s="234"/>
      <c r="P108" s="234"/>
      <c r="Q108" s="234"/>
      <c r="R108" s="236"/>
      <c r="S108" s="234"/>
      <c r="T108" s="234"/>
      <c r="U108" s="234"/>
      <c r="V108" s="234"/>
      <c r="W108" s="236"/>
      <c r="X108" s="234"/>
      <c r="Y108" s="234"/>
      <c r="Z108" s="234"/>
      <c r="AA108" s="234"/>
      <c r="AB108" s="236"/>
      <c r="AC108" s="234"/>
      <c r="AD108" s="234"/>
      <c r="AE108" s="234"/>
      <c r="AF108" s="234"/>
      <c r="AG108" s="236"/>
      <c r="AH108" s="234"/>
      <c r="AI108" s="234"/>
      <c r="AJ108" s="234"/>
      <c r="AK108" s="234"/>
      <c r="AL108" s="236"/>
      <c r="AM108" s="234"/>
      <c r="AN108" s="234"/>
      <c r="AO108" s="234"/>
      <c r="AP108" s="234"/>
      <c r="AQ108" s="236"/>
      <c r="AR108" s="234"/>
      <c r="AS108" s="234"/>
      <c r="AT108" s="234"/>
      <c r="AU108" s="234"/>
      <c r="AV108" s="236"/>
      <c r="AW108" s="234"/>
      <c r="AX108" s="234"/>
      <c r="AY108" s="234"/>
      <c r="AZ108" s="234"/>
      <c r="BA108" s="236"/>
      <c r="BB108" s="234"/>
      <c r="BC108" s="234"/>
      <c r="BD108" s="234"/>
      <c r="BE108" s="234"/>
      <c r="BF108" s="236"/>
      <c r="BG108" s="234"/>
      <c r="BH108" s="234"/>
      <c r="BI108" s="234"/>
      <c r="BJ108" s="234"/>
      <c r="BK108" s="236"/>
      <c r="BL108" s="234"/>
      <c r="BM108" s="234"/>
      <c r="BN108" s="212"/>
      <c r="BO108" s="212"/>
      <c r="BP108" s="236"/>
      <c r="BQ108" s="212"/>
      <c r="BR108" s="212"/>
      <c r="BS108" s="212"/>
      <c r="BT108" s="212"/>
      <c r="BU108" s="236"/>
      <c r="BV108" s="212"/>
      <c r="BW108" s="212"/>
      <c r="BX108" s="212"/>
      <c r="BY108" s="234"/>
      <c r="BZ108" s="236"/>
      <c r="CA108" s="212"/>
      <c r="CB108" s="212"/>
      <c r="CC108" s="212"/>
      <c r="CD108" s="212"/>
      <c r="CE108" s="194"/>
      <c r="CF108" s="212"/>
      <c r="CG108" s="212"/>
      <c r="CH108" s="847">
        <f t="shared" ref="BU108:CH109" si="68">CH9+CH41+CH75</f>
        <v>25</v>
      </c>
      <c r="CI108" s="847">
        <f t="shared" ref="CI108:CK116" si="69">CI9+CI41+CI75</f>
        <v>25</v>
      </c>
      <c r="CJ108" s="661">
        <f t="shared" si="69"/>
        <v>25</v>
      </c>
      <c r="CK108" s="2350">
        <f t="shared" si="69"/>
        <v>25</v>
      </c>
      <c r="CL108" s="2350">
        <f t="shared" ref="CL108:CO116" si="70">CL9+CL41+CL75</f>
        <v>25</v>
      </c>
      <c r="CM108" s="2350">
        <f t="shared" si="70"/>
        <v>25</v>
      </c>
      <c r="CN108" s="847">
        <f t="shared" si="70"/>
        <v>26</v>
      </c>
      <c r="CO108" s="661">
        <f t="shared" si="70"/>
        <v>26</v>
      </c>
      <c r="CP108" s="2350"/>
      <c r="CQ108" s="2350"/>
      <c r="CR108" s="212"/>
      <c r="CS108" s="212"/>
      <c r="CT108" s="194"/>
      <c r="CU108" s="194"/>
      <c r="CV108" s="194"/>
      <c r="CW108" s="212"/>
      <c r="CX108" s="212"/>
      <c r="CY108" s="212"/>
      <c r="CZ108" s="212"/>
      <c r="DA108" s="212"/>
      <c r="DB108" s="212"/>
      <c r="DC108" s="212"/>
      <c r="DD108" s="212"/>
      <c r="DE108" s="70"/>
      <c r="DF108" s="70"/>
      <c r="DG108" s="70"/>
      <c r="DH108" s="70"/>
      <c r="DI108" s="70"/>
      <c r="DJ108" s="70"/>
      <c r="DK108" s="70"/>
      <c r="DL108" s="70"/>
      <c r="DM108" s="70"/>
      <c r="DN108" s="70"/>
      <c r="DO108" s="70"/>
      <c r="DP108" s="70"/>
      <c r="DQ108" s="70"/>
      <c r="DR108" s="70"/>
      <c r="DS108" s="70"/>
      <c r="DT108" s="70"/>
      <c r="DU108" s="70"/>
      <c r="DV108" s="70"/>
      <c r="DW108" s="70"/>
      <c r="DX108" s="70"/>
      <c r="DY108" s="70"/>
      <c r="DZ108" s="70"/>
      <c r="EA108" s="70"/>
      <c r="EB108" s="70"/>
      <c r="EC108" s="70"/>
      <c r="ED108" s="70"/>
      <c r="EE108" s="70"/>
      <c r="EF108" s="70"/>
      <c r="EG108" s="70"/>
      <c r="EH108" s="70"/>
      <c r="EI108" s="70"/>
      <c r="EJ108" s="70"/>
      <c r="EK108" s="70"/>
      <c r="EL108" s="70"/>
      <c r="EM108" s="70"/>
      <c r="EN108" s="70"/>
      <c r="EO108" s="70"/>
      <c r="EP108" s="70"/>
      <c r="EQ108" s="70"/>
      <c r="ER108" s="70"/>
      <c r="ES108" s="70"/>
      <c r="ET108" s="70"/>
      <c r="EU108" s="70"/>
      <c r="EV108" s="70"/>
      <c r="EW108" s="70"/>
      <c r="EX108" s="70"/>
      <c r="EY108" s="70"/>
      <c r="EZ108" s="70"/>
      <c r="FA108" s="70"/>
      <c r="FB108" s="70"/>
      <c r="FC108" s="70"/>
      <c r="FD108" s="70"/>
      <c r="FE108" s="70"/>
      <c r="FF108" s="70"/>
      <c r="FG108" s="70"/>
      <c r="FH108" s="70"/>
      <c r="FI108" s="70"/>
      <c r="FJ108" s="70"/>
      <c r="FK108" s="70"/>
      <c r="FL108" s="70"/>
      <c r="FM108" s="70"/>
      <c r="FN108" s="70"/>
      <c r="FO108" s="70"/>
      <c r="FP108" s="70"/>
      <c r="FQ108" s="70"/>
      <c r="FR108" s="70"/>
      <c r="FS108" s="70"/>
      <c r="FT108" s="70"/>
      <c r="FU108" s="70"/>
      <c r="FV108" s="70"/>
      <c r="FW108" s="70"/>
      <c r="FX108" s="70"/>
      <c r="FY108" s="70"/>
      <c r="FZ108" s="70"/>
      <c r="GA108" s="70"/>
      <c r="GB108" s="70"/>
      <c r="GC108" s="70"/>
      <c r="GD108" s="70"/>
      <c r="GE108" s="70"/>
      <c r="GF108" s="70"/>
      <c r="GG108" s="70"/>
      <c r="GH108" s="70"/>
      <c r="GI108" s="70"/>
      <c r="GJ108" s="70"/>
      <c r="GK108" s="70"/>
      <c r="GL108" s="70"/>
      <c r="GM108" s="70"/>
      <c r="GN108" s="70"/>
      <c r="GO108" s="70"/>
      <c r="GP108" s="70"/>
      <c r="GQ108" s="70"/>
      <c r="GR108" s="70"/>
      <c r="GS108" s="70"/>
      <c r="GT108" s="70"/>
      <c r="GU108" s="70"/>
      <c r="GV108" s="70"/>
      <c r="GW108" s="70"/>
      <c r="GX108" s="70"/>
      <c r="GY108" s="70"/>
      <c r="GZ108" s="70"/>
      <c r="HA108" s="70"/>
      <c r="HB108" s="70"/>
      <c r="HC108" s="70"/>
      <c r="HD108" s="70"/>
      <c r="HE108" s="70"/>
      <c r="HF108" s="70"/>
      <c r="HG108" s="70"/>
      <c r="HH108" s="70"/>
      <c r="HI108" s="70"/>
      <c r="HJ108" s="70"/>
      <c r="HK108" s="70"/>
      <c r="HL108" s="70"/>
      <c r="HM108" s="70"/>
      <c r="HN108" s="70"/>
      <c r="HO108" s="70"/>
      <c r="HP108" s="70"/>
      <c r="HQ108" s="70"/>
      <c r="HR108" s="70"/>
      <c r="HS108" s="70"/>
      <c r="HT108" s="70"/>
      <c r="HU108" s="70"/>
      <c r="HV108" s="70"/>
      <c r="HW108" s="70"/>
      <c r="HX108" s="70"/>
      <c r="HY108" s="70"/>
      <c r="HZ108" s="70"/>
      <c r="IA108" s="70"/>
      <c r="IB108" s="70"/>
      <c r="IC108" s="70"/>
      <c r="ID108" s="70"/>
      <c r="IE108" s="70"/>
      <c r="IF108" s="70"/>
      <c r="IG108" s="70"/>
      <c r="IH108" s="70"/>
      <c r="II108" s="70"/>
      <c r="IJ108" s="70"/>
      <c r="IK108" s="70"/>
      <c r="IL108" s="70"/>
      <c r="IM108" s="70"/>
      <c r="IN108" s="70"/>
      <c r="IO108" s="70"/>
      <c r="IP108" s="70"/>
      <c r="IQ108" s="70"/>
      <c r="IR108" s="70"/>
      <c r="IS108" s="70"/>
      <c r="IT108" s="70"/>
      <c r="IU108" s="70"/>
      <c r="IV108" s="70"/>
    </row>
    <row r="109" spans="1:256" x14ac:dyDescent="0.2">
      <c r="A109" s="1434" t="s">
        <v>346</v>
      </c>
      <c r="B109" s="651"/>
      <c r="C109" s="236"/>
      <c r="D109" s="234"/>
      <c r="E109" s="234"/>
      <c r="F109" s="234"/>
      <c r="G109" s="234"/>
      <c r="H109" s="236"/>
      <c r="I109" s="847">
        <f t="shared" ref="I109:AN109" si="71">I10+I42+I76</f>
        <v>274</v>
      </c>
      <c r="J109" s="847">
        <f t="shared" si="71"/>
        <v>277</v>
      </c>
      <c r="K109" s="847">
        <f t="shared" si="71"/>
        <v>280</v>
      </c>
      <c r="L109" s="847">
        <f t="shared" si="71"/>
        <v>279</v>
      </c>
      <c r="M109" s="661">
        <f t="shared" si="71"/>
        <v>279</v>
      </c>
      <c r="N109" s="847">
        <f t="shared" si="71"/>
        <v>282</v>
      </c>
      <c r="O109" s="847">
        <f t="shared" si="71"/>
        <v>285</v>
      </c>
      <c r="P109" s="847">
        <f t="shared" si="71"/>
        <v>287</v>
      </c>
      <c r="Q109" s="847">
        <f t="shared" si="71"/>
        <v>293</v>
      </c>
      <c r="R109" s="661">
        <f t="shared" si="71"/>
        <v>293</v>
      </c>
      <c r="S109" s="847">
        <f t="shared" si="71"/>
        <v>298</v>
      </c>
      <c r="T109" s="847">
        <f t="shared" si="71"/>
        <v>304</v>
      </c>
      <c r="U109" s="847">
        <f t="shared" si="71"/>
        <v>305</v>
      </c>
      <c r="V109" s="847">
        <f t="shared" si="71"/>
        <v>307</v>
      </c>
      <c r="W109" s="661">
        <f t="shared" si="71"/>
        <v>307</v>
      </c>
      <c r="X109" s="847">
        <f t="shared" si="71"/>
        <v>309</v>
      </c>
      <c r="Y109" s="847">
        <f t="shared" si="71"/>
        <v>312</v>
      </c>
      <c r="Z109" s="847">
        <f t="shared" si="71"/>
        <v>315</v>
      </c>
      <c r="AA109" s="847">
        <f t="shared" si="71"/>
        <v>318</v>
      </c>
      <c r="AB109" s="661">
        <f t="shared" si="71"/>
        <v>318</v>
      </c>
      <c r="AC109" s="847">
        <f t="shared" si="71"/>
        <v>321</v>
      </c>
      <c r="AD109" s="847">
        <f t="shared" si="71"/>
        <v>326</v>
      </c>
      <c r="AE109" s="847">
        <f t="shared" si="71"/>
        <v>328</v>
      </c>
      <c r="AF109" s="847">
        <f t="shared" si="71"/>
        <v>332</v>
      </c>
      <c r="AG109" s="661">
        <f t="shared" si="71"/>
        <v>332</v>
      </c>
      <c r="AH109" s="847">
        <f t="shared" si="71"/>
        <v>337</v>
      </c>
      <c r="AI109" s="847">
        <f t="shared" si="71"/>
        <v>340</v>
      </c>
      <c r="AJ109" s="847">
        <f t="shared" si="71"/>
        <v>340</v>
      </c>
      <c r="AK109" s="847">
        <f t="shared" si="71"/>
        <v>340</v>
      </c>
      <c r="AL109" s="661">
        <f t="shared" si="71"/>
        <v>340</v>
      </c>
      <c r="AM109" s="847">
        <f t="shared" si="71"/>
        <v>341</v>
      </c>
      <c r="AN109" s="847">
        <f t="shared" si="71"/>
        <v>341</v>
      </c>
      <c r="AO109" s="847">
        <f t="shared" ref="AO109:BT109" si="72">AO10+AO42+AO76</f>
        <v>340</v>
      </c>
      <c r="AP109" s="847">
        <f t="shared" si="72"/>
        <v>342</v>
      </c>
      <c r="AQ109" s="661">
        <f t="shared" si="72"/>
        <v>342</v>
      </c>
      <c r="AR109" s="847">
        <f t="shared" si="72"/>
        <v>343</v>
      </c>
      <c r="AS109" s="847">
        <f t="shared" si="72"/>
        <v>344</v>
      </c>
      <c r="AT109" s="847">
        <f t="shared" si="72"/>
        <v>345</v>
      </c>
      <c r="AU109" s="847">
        <f t="shared" si="72"/>
        <v>348</v>
      </c>
      <c r="AV109" s="661">
        <f t="shared" si="72"/>
        <v>348</v>
      </c>
      <c r="AW109" s="847">
        <f t="shared" si="72"/>
        <v>349</v>
      </c>
      <c r="AX109" s="847">
        <f t="shared" si="72"/>
        <v>349</v>
      </c>
      <c r="AY109" s="847">
        <f t="shared" si="72"/>
        <v>350</v>
      </c>
      <c r="AZ109" s="847">
        <f t="shared" si="72"/>
        <v>353</v>
      </c>
      <c r="BA109" s="661">
        <f t="shared" si="72"/>
        <v>353</v>
      </c>
      <c r="BB109" s="847">
        <f t="shared" si="72"/>
        <v>356</v>
      </c>
      <c r="BC109" s="847">
        <f t="shared" si="72"/>
        <v>354</v>
      </c>
      <c r="BD109" s="847">
        <f t="shared" si="72"/>
        <v>355</v>
      </c>
      <c r="BE109" s="847">
        <f t="shared" si="72"/>
        <v>357</v>
      </c>
      <c r="BF109" s="661">
        <f t="shared" si="72"/>
        <v>357</v>
      </c>
      <c r="BG109" s="847">
        <f t="shared" si="72"/>
        <v>356</v>
      </c>
      <c r="BH109" s="847">
        <f t="shared" si="72"/>
        <v>356</v>
      </c>
      <c r="BI109" s="847">
        <f t="shared" si="72"/>
        <v>355</v>
      </c>
      <c r="BJ109" s="847">
        <f t="shared" si="72"/>
        <v>353</v>
      </c>
      <c r="BK109" s="661">
        <f t="shared" si="72"/>
        <v>353</v>
      </c>
      <c r="BL109" s="847">
        <f t="shared" si="72"/>
        <v>351</v>
      </c>
      <c r="BM109" s="847">
        <f t="shared" si="72"/>
        <v>351</v>
      </c>
      <c r="BN109" s="847">
        <f t="shared" si="72"/>
        <v>350</v>
      </c>
      <c r="BO109" s="847">
        <f t="shared" si="72"/>
        <v>352</v>
      </c>
      <c r="BP109" s="661">
        <f t="shared" si="72"/>
        <v>352</v>
      </c>
      <c r="BQ109" s="847">
        <f t="shared" si="72"/>
        <v>348</v>
      </c>
      <c r="BR109" s="847">
        <f t="shared" si="72"/>
        <v>348</v>
      </c>
      <c r="BS109" s="847">
        <f t="shared" si="72"/>
        <v>347</v>
      </c>
      <c r="BT109" s="847">
        <f t="shared" si="72"/>
        <v>344</v>
      </c>
      <c r="BU109" s="661">
        <f t="shared" si="68"/>
        <v>344</v>
      </c>
      <c r="BV109" s="847">
        <f t="shared" si="68"/>
        <v>344</v>
      </c>
      <c r="BW109" s="847">
        <f t="shared" si="68"/>
        <v>346</v>
      </c>
      <c r="BX109" s="847">
        <f t="shared" si="68"/>
        <v>347</v>
      </c>
      <c r="BY109" s="847">
        <f t="shared" si="68"/>
        <v>347</v>
      </c>
      <c r="BZ109" s="661">
        <f t="shared" si="68"/>
        <v>347</v>
      </c>
      <c r="CA109" s="847">
        <f t="shared" si="68"/>
        <v>363</v>
      </c>
      <c r="CB109" s="847">
        <f t="shared" si="68"/>
        <v>364</v>
      </c>
      <c r="CC109" s="847">
        <f t="shared" si="68"/>
        <v>366</v>
      </c>
      <c r="CD109" s="847">
        <f t="shared" si="68"/>
        <v>367</v>
      </c>
      <c r="CE109" s="661">
        <f t="shared" si="68"/>
        <v>367</v>
      </c>
      <c r="CF109" s="847">
        <f t="shared" si="68"/>
        <v>365</v>
      </c>
      <c r="CG109" s="847">
        <f t="shared" si="68"/>
        <v>365</v>
      </c>
      <c r="CH109" s="847">
        <f t="shared" si="68"/>
        <v>342</v>
      </c>
      <c r="CI109" s="847">
        <f t="shared" si="69"/>
        <v>345</v>
      </c>
      <c r="CJ109" s="661">
        <f t="shared" si="69"/>
        <v>345</v>
      </c>
      <c r="CK109" s="2350">
        <f t="shared" si="69"/>
        <v>341</v>
      </c>
      <c r="CL109" s="2350">
        <f t="shared" si="70"/>
        <v>342</v>
      </c>
      <c r="CM109" s="2350">
        <f t="shared" si="70"/>
        <v>346</v>
      </c>
      <c r="CN109" s="847">
        <f t="shared" si="70"/>
        <v>347</v>
      </c>
      <c r="CO109" s="661">
        <f t="shared" si="70"/>
        <v>347</v>
      </c>
      <c r="CP109" s="2350"/>
      <c r="CQ109" s="2350"/>
      <c r="CR109" s="212"/>
      <c r="CS109" s="212"/>
      <c r="CT109" s="194"/>
      <c r="CU109" s="194"/>
      <c r="CV109" s="194"/>
    </row>
    <row r="110" spans="1:256" x14ac:dyDescent="0.2">
      <c r="A110" s="1434" t="s">
        <v>1385</v>
      </c>
      <c r="B110" s="651"/>
      <c r="C110" s="236"/>
      <c r="D110" s="234"/>
      <c r="E110" s="234"/>
      <c r="F110" s="234"/>
      <c r="G110" s="234"/>
      <c r="H110" s="236"/>
      <c r="I110" s="847">
        <f t="shared" ref="I110:AN110" si="73">I11+I43+I77</f>
        <v>52</v>
      </c>
      <c r="J110" s="847">
        <f t="shared" si="73"/>
        <v>53</v>
      </c>
      <c r="K110" s="847">
        <f t="shared" si="73"/>
        <v>53</v>
      </c>
      <c r="L110" s="847">
        <f t="shared" si="73"/>
        <v>58</v>
      </c>
      <c r="M110" s="661">
        <f t="shared" si="73"/>
        <v>58</v>
      </c>
      <c r="N110" s="847">
        <f t="shared" si="73"/>
        <v>58</v>
      </c>
      <c r="O110" s="847">
        <f t="shared" si="73"/>
        <v>59</v>
      </c>
      <c r="P110" s="847">
        <f t="shared" si="73"/>
        <v>59</v>
      </c>
      <c r="Q110" s="847">
        <f t="shared" si="73"/>
        <v>63</v>
      </c>
      <c r="R110" s="661">
        <f t="shared" si="73"/>
        <v>63</v>
      </c>
      <c r="S110" s="847">
        <f t="shared" si="73"/>
        <v>65</v>
      </c>
      <c r="T110" s="847">
        <f t="shared" si="73"/>
        <v>64</v>
      </c>
      <c r="U110" s="847">
        <f t="shared" si="73"/>
        <v>64</v>
      </c>
      <c r="V110" s="847">
        <f t="shared" si="73"/>
        <v>64</v>
      </c>
      <c r="W110" s="661">
        <f t="shared" si="73"/>
        <v>64</v>
      </c>
      <c r="X110" s="847">
        <f t="shared" si="73"/>
        <v>64</v>
      </c>
      <c r="Y110" s="847">
        <f t="shared" si="73"/>
        <v>64</v>
      </c>
      <c r="Z110" s="847">
        <f t="shared" si="73"/>
        <v>66</v>
      </c>
      <c r="AA110" s="847">
        <f t="shared" si="73"/>
        <v>67</v>
      </c>
      <c r="AB110" s="661">
        <f t="shared" si="73"/>
        <v>67</v>
      </c>
      <c r="AC110" s="847">
        <f t="shared" si="73"/>
        <v>68</v>
      </c>
      <c r="AD110" s="847">
        <f t="shared" si="73"/>
        <v>68</v>
      </c>
      <c r="AE110" s="847">
        <f t="shared" si="73"/>
        <v>68</v>
      </c>
      <c r="AF110" s="847">
        <f t="shared" si="73"/>
        <v>67</v>
      </c>
      <c r="AG110" s="661">
        <f t="shared" si="73"/>
        <v>67</v>
      </c>
      <c r="AH110" s="847">
        <f t="shared" si="73"/>
        <v>68</v>
      </c>
      <c r="AI110" s="847">
        <f t="shared" si="73"/>
        <v>68</v>
      </c>
      <c r="AJ110" s="847">
        <f t="shared" si="73"/>
        <v>66</v>
      </c>
      <c r="AK110" s="847">
        <f t="shared" si="73"/>
        <v>65</v>
      </c>
      <c r="AL110" s="661">
        <f t="shared" si="73"/>
        <v>65</v>
      </c>
      <c r="AM110" s="847">
        <f t="shared" si="73"/>
        <v>65</v>
      </c>
      <c r="AN110" s="847">
        <f t="shared" si="73"/>
        <v>69</v>
      </c>
      <c r="AO110" s="847">
        <f t="shared" ref="AO110:BT110" si="74">AO11+AO43+AO77</f>
        <v>68</v>
      </c>
      <c r="AP110" s="847">
        <f t="shared" si="74"/>
        <v>71</v>
      </c>
      <c r="AQ110" s="661">
        <f t="shared" si="74"/>
        <v>71</v>
      </c>
      <c r="AR110" s="847">
        <f t="shared" si="74"/>
        <v>75</v>
      </c>
      <c r="AS110" s="847">
        <f t="shared" si="74"/>
        <v>76</v>
      </c>
      <c r="AT110" s="847">
        <f t="shared" si="74"/>
        <v>75</v>
      </c>
      <c r="AU110" s="847">
        <f t="shared" si="74"/>
        <v>76</v>
      </c>
      <c r="AV110" s="661">
        <f t="shared" si="74"/>
        <v>76</v>
      </c>
      <c r="AW110" s="847">
        <f t="shared" si="74"/>
        <v>76</v>
      </c>
      <c r="AX110" s="847">
        <f t="shared" si="74"/>
        <v>77</v>
      </c>
      <c r="AY110" s="847">
        <f t="shared" si="74"/>
        <v>78</v>
      </c>
      <c r="AZ110" s="847">
        <f t="shared" si="74"/>
        <v>79</v>
      </c>
      <c r="BA110" s="661">
        <f t="shared" si="74"/>
        <v>79</v>
      </c>
      <c r="BB110" s="847">
        <f t="shared" si="74"/>
        <v>79</v>
      </c>
      <c r="BC110" s="847">
        <f t="shared" si="74"/>
        <v>80</v>
      </c>
      <c r="BD110" s="847">
        <f t="shared" si="74"/>
        <v>79</v>
      </c>
      <c r="BE110" s="847">
        <f t="shared" si="74"/>
        <v>78</v>
      </c>
      <c r="BF110" s="661">
        <f t="shared" si="74"/>
        <v>78</v>
      </c>
      <c r="BG110" s="847">
        <f t="shared" si="74"/>
        <v>80</v>
      </c>
      <c r="BH110" s="847">
        <f t="shared" si="74"/>
        <v>79</v>
      </c>
      <c r="BI110" s="847">
        <f t="shared" si="74"/>
        <v>78</v>
      </c>
      <c r="BJ110" s="847">
        <f t="shared" si="74"/>
        <v>80</v>
      </c>
      <c r="BK110" s="661">
        <f t="shared" si="74"/>
        <v>80</v>
      </c>
      <c r="BL110" s="847">
        <f t="shared" si="74"/>
        <v>80</v>
      </c>
      <c r="BM110" s="847">
        <f t="shared" si="74"/>
        <v>80</v>
      </c>
      <c r="BN110" s="847">
        <f t="shared" si="74"/>
        <v>79</v>
      </c>
      <c r="BO110" s="847">
        <f t="shared" si="74"/>
        <v>79</v>
      </c>
      <c r="BP110" s="661">
        <f t="shared" si="74"/>
        <v>79</v>
      </c>
      <c r="BQ110" s="847">
        <f t="shared" si="74"/>
        <v>78</v>
      </c>
      <c r="BR110" s="847">
        <f t="shared" si="74"/>
        <v>77</v>
      </c>
      <c r="BS110" s="847">
        <f t="shared" si="74"/>
        <v>76</v>
      </c>
      <c r="BT110" s="847">
        <f t="shared" si="74"/>
        <v>76</v>
      </c>
      <c r="BU110" s="661">
        <f t="shared" ref="BU110:CH110" si="75">BU11+BU43+BU77</f>
        <v>76</v>
      </c>
      <c r="BV110" s="847">
        <f t="shared" si="75"/>
        <v>76</v>
      </c>
      <c r="BW110" s="847">
        <f t="shared" si="75"/>
        <v>77</v>
      </c>
      <c r="BX110" s="847">
        <f t="shared" si="75"/>
        <v>78</v>
      </c>
      <c r="BY110" s="847">
        <f t="shared" si="75"/>
        <v>78</v>
      </c>
      <c r="BZ110" s="661">
        <f t="shared" si="75"/>
        <v>78</v>
      </c>
      <c r="CA110" s="847">
        <f t="shared" si="75"/>
        <v>81</v>
      </c>
      <c r="CB110" s="847">
        <f t="shared" si="75"/>
        <v>81</v>
      </c>
      <c r="CC110" s="847">
        <f t="shared" si="75"/>
        <v>79</v>
      </c>
      <c r="CD110" s="847">
        <f t="shared" si="75"/>
        <v>82</v>
      </c>
      <c r="CE110" s="661">
        <f t="shared" si="75"/>
        <v>82</v>
      </c>
      <c r="CF110" s="847">
        <f t="shared" si="75"/>
        <v>85</v>
      </c>
      <c r="CG110" s="847">
        <f t="shared" si="75"/>
        <v>84</v>
      </c>
      <c r="CH110" s="212">
        <f t="shared" si="75"/>
        <v>84</v>
      </c>
      <c r="CI110" s="212">
        <f t="shared" si="69"/>
        <v>84</v>
      </c>
      <c r="CJ110" s="194">
        <f t="shared" si="69"/>
        <v>84</v>
      </c>
      <c r="CK110" s="2907">
        <f t="shared" si="69"/>
        <v>85</v>
      </c>
      <c r="CL110" s="2907">
        <f t="shared" si="70"/>
        <v>86</v>
      </c>
      <c r="CM110" s="2907">
        <f t="shared" si="70"/>
        <v>87</v>
      </c>
      <c r="CN110" s="212">
        <f t="shared" si="70"/>
        <v>86</v>
      </c>
      <c r="CO110" s="194">
        <f t="shared" si="70"/>
        <v>86</v>
      </c>
      <c r="CP110" s="2907"/>
      <c r="CQ110" s="2907"/>
      <c r="CR110" s="212"/>
      <c r="CS110" s="212"/>
      <c r="CT110" s="194"/>
      <c r="CU110" s="194"/>
      <c r="CV110" s="194"/>
    </row>
    <row r="111" spans="1:256" x14ac:dyDescent="0.2">
      <c r="A111" s="1434" t="s">
        <v>512</v>
      </c>
      <c r="B111" s="651"/>
      <c r="C111" s="236"/>
      <c r="D111" s="234"/>
      <c r="E111" s="234"/>
      <c r="F111" s="234"/>
      <c r="G111" s="234"/>
      <c r="H111" s="236"/>
      <c r="I111" s="847">
        <f t="shared" ref="I111:AN111" si="76">I12+I44+I78</f>
        <v>0</v>
      </c>
      <c r="J111" s="847">
        <f t="shared" si="76"/>
        <v>0</v>
      </c>
      <c r="K111" s="847">
        <f t="shared" si="76"/>
        <v>0</v>
      </c>
      <c r="L111" s="847">
        <f t="shared" si="76"/>
        <v>0</v>
      </c>
      <c r="M111" s="661">
        <f t="shared" si="76"/>
        <v>0</v>
      </c>
      <c r="N111" s="847">
        <f t="shared" si="76"/>
        <v>0</v>
      </c>
      <c r="O111" s="847">
        <f t="shared" si="76"/>
        <v>0</v>
      </c>
      <c r="P111" s="847">
        <f t="shared" si="76"/>
        <v>0</v>
      </c>
      <c r="Q111" s="847">
        <f t="shared" si="76"/>
        <v>0</v>
      </c>
      <c r="R111" s="661">
        <f t="shared" si="76"/>
        <v>0</v>
      </c>
      <c r="S111" s="847">
        <f t="shared" si="76"/>
        <v>0</v>
      </c>
      <c r="T111" s="847">
        <f t="shared" si="76"/>
        <v>0</v>
      </c>
      <c r="U111" s="847">
        <f t="shared" si="76"/>
        <v>0</v>
      </c>
      <c r="V111" s="847">
        <f t="shared" si="76"/>
        <v>0</v>
      </c>
      <c r="W111" s="661">
        <f t="shared" si="76"/>
        <v>0</v>
      </c>
      <c r="X111" s="847">
        <f t="shared" si="76"/>
        <v>0</v>
      </c>
      <c r="Y111" s="847">
        <f t="shared" si="76"/>
        <v>0</v>
      </c>
      <c r="Z111" s="847">
        <f t="shared" si="76"/>
        <v>0</v>
      </c>
      <c r="AA111" s="847">
        <f t="shared" si="76"/>
        <v>0</v>
      </c>
      <c r="AB111" s="661">
        <f t="shared" si="76"/>
        <v>0</v>
      </c>
      <c r="AC111" s="847">
        <f t="shared" si="76"/>
        <v>0</v>
      </c>
      <c r="AD111" s="847">
        <f t="shared" si="76"/>
        <v>0</v>
      </c>
      <c r="AE111" s="847">
        <f t="shared" si="76"/>
        <v>0</v>
      </c>
      <c r="AF111" s="847">
        <f t="shared" si="76"/>
        <v>0</v>
      </c>
      <c r="AG111" s="661">
        <f t="shared" si="76"/>
        <v>0</v>
      </c>
      <c r="AH111" s="847">
        <f t="shared" si="76"/>
        <v>0</v>
      </c>
      <c r="AI111" s="847">
        <f t="shared" si="76"/>
        <v>0</v>
      </c>
      <c r="AJ111" s="847">
        <f t="shared" si="76"/>
        <v>0</v>
      </c>
      <c r="AK111" s="847">
        <f t="shared" si="76"/>
        <v>0</v>
      </c>
      <c r="AL111" s="661">
        <f t="shared" si="76"/>
        <v>0</v>
      </c>
      <c r="AM111" s="847">
        <f t="shared" si="76"/>
        <v>0</v>
      </c>
      <c r="AN111" s="847">
        <f t="shared" si="76"/>
        <v>0</v>
      </c>
      <c r="AO111" s="847">
        <f t="shared" ref="AO111:BT111" si="77">AO12+AO44+AO78</f>
        <v>0</v>
      </c>
      <c r="AP111" s="847">
        <f t="shared" si="77"/>
        <v>0</v>
      </c>
      <c r="AQ111" s="661">
        <f t="shared" si="77"/>
        <v>0</v>
      </c>
      <c r="AR111" s="847">
        <f t="shared" si="77"/>
        <v>0</v>
      </c>
      <c r="AS111" s="847">
        <f t="shared" si="77"/>
        <v>0</v>
      </c>
      <c r="AT111" s="847">
        <f t="shared" si="77"/>
        <v>0</v>
      </c>
      <c r="AU111" s="847">
        <f t="shared" si="77"/>
        <v>0</v>
      </c>
      <c r="AV111" s="661">
        <f t="shared" si="77"/>
        <v>0</v>
      </c>
      <c r="AW111" s="847">
        <f t="shared" si="77"/>
        <v>0</v>
      </c>
      <c r="AX111" s="847">
        <f t="shared" si="77"/>
        <v>0</v>
      </c>
      <c r="AY111" s="847">
        <f t="shared" si="77"/>
        <v>0</v>
      </c>
      <c r="AZ111" s="847">
        <f t="shared" si="77"/>
        <v>0</v>
      </c>
      <c r="BA111" s="661">
        <f t="shared" si="77"/>
        <v>0</v>
      </c>
      <c r="BB111" s="847">
        <f t="shared" si="77"/>
        <v>2</v>
      </c>
      <c r="BC111" s="847">
        <f t="shared" si="77"/>
        <v>10</v>
      </c>
      <c r="BD111" s="847">
        <f t="shared" si="77"/>
        <v>11</v>
      </c>
      <c r="BE111" s="847">
        <f t="shared" si="77"/>
        <v>13</v>
      </c>
      <c r="BF111" s="661">
        <f t="shared" si="77"/>
        <v>13</v>
      </c>
      <c r="BG111" s="847">
        <f t="shared" si="77"/>
        <v>14</v>
      </c>
      <c r="BH111" s="847">
        <f t="shared" si="77"/>
        <v>16</v>
      </c>
      <c r="BI111" s="847">
        <f t="shared" si="77"/>
        <v>16</v>
      </c>
      <c r="BJ111" s="847">
        <f t="shared" si="77"/>
        <v>17</v>
      </c>
      <c r="BK111" s="661">
        <f t="shared" si="77"/>
        <v>17</v>
      </c>
      <c r="BL111" s="847">
        <f t="shared" si="77"/>
        <v>20</v>
      </c>
      <c r="BM111" s="847">
        <f t="shared" si="77"/>
        <v>21</v>
      </c>
      <c r="BN111" s="847">
        <f t="shared" si="77"/>
        <v>22</v>
      </c>
      <c r="BO111" s="847">
        <f t="shared" si="77"/>
        <v>24</v>
      </c>
      <c r="BP111" s="661">
        <f t="shared" si="77"/>
        <v>24</v>
      </c>
      <c r="BQ111" s="847">
        <f t="shared" si="77"/>
        <v>26</v>
      </c>
      <c r="BR111" s="847">
        <f t="shared" si="77"/>
        <v>26</v>
      </c>
      <c r="BS111" s="847">
        <f t="shared" si="77"/>
        <v>30</v>
      </c>
      <c r="BT111" s="847">
        <f t="shared" si="77"/>
        <v>32</v>
      </c>
      <c r="BU111" s="661">
        <f t="shared" ref="BU111:CH111" si="78">BU12+BU44+BU78</f>
        <v>32</v>
      </c>
      <c r="BV111" s="847">
        <f t="shared" si="78"/>
        <v>34</v>
      </c>
      <c r="BW111" s="847">
        <f t="shared" si="78"/>
        <v>34</v>
      </c>
      <c r="BX111" s="847">
        <f t="shared" si="78"/>
        <v>35</v>
      </c>
      <c r="BY111" s="847">
        <f t="shared" si="78"/>
        <v>44</v>
      </c>
      <c r="BZ111" s="661">
        <f t="shared" si="78"/>
        <v>44</v>
      </c>
      <c r="CA111" s="847">
        <f t="shared" si="78"/>
        <v>46</v>
      </c>
      <c r="CB111" s="847">
        <f t="shared" si="78"/>
        <v>49</v>
      </c>
      <c r="CC111" s="847">
        <f t="shared" si="78"/>
        <v>54</v>
      </c>
      <c r="CD111" s="847">
        <f t="shared" si="78"/>
        <v>55</v>
      </c>
      <c r="CE111" s="661">
        <f t="shared" si="78"/>
        <v>55</v>
      </c>
      <c r="CF111" s="847">
        <f t="shared" si="78"/>
        <v>58</v>
      </c>
      <c r="CG111" s="847">
        <f t="shared" si="78"/>
        <v>60</v>
      </c>
      <c r="CH111" s="212">
        <f t="shared" si="78"/>
        <v>61</v>
      </c>
      <c r="CI111" s="212">
        <f t="shared" si="69"/>
        <v>64</v>
      </c>
      <c r="CJ111" s="194">
        <f t="shared" si="69"/>
        <v>64</v>
      </c>
      <c r="CK111" s="2907">
        <f t="shared" si="69"/>
        <v>68</v>
      </c>
      <c r="CL111" s="2907">
        <f t="shared" si="70"/>
        <v>70</v>
      </c>
      <c r="CM111" s="2907">
        <f t="shared" si="70"/>
        <v>73</v>
      </c>
      <c r="CN111" s="212">
        <f t="shared" si="70"/>
        <v>78</v>
      </c>
      <c r="CO111" s="194">
        <f t="shared" si="70"/>
        <v>78</v>
      </c>
      <c r="CP111" s="2907"/>
      <c r="CQ111" s="2907"/>
      <c r="CR111" s="212"/>
      <c r="CS111" s="212"/>
      <c r="CT111" s="194"/>
      <c r="CU111" s="194"/>
      <c r="CV111" s="194"/>
    </row>
    <row r="112" spans="1:256" x14ac:dyDescent="0.2">
      <c r="A112" s="2308" t="s">
        <v>609</v>
      </c>
      <c r="B112" s="651"/>
      <c r="C112" s="236"/>
      <c r="D112" s="234"/>
      <c r="E112" s="234"/>
      <c r="F112" s="234"/>
      <c r="G112" s="234"/>
      <c r="H112" s="236"/>
      <c r="I112" s="847">
        <f t="shared" ref="I112:AN112" si="79">I13+I45+I79</f>
        <v>0</v>
      </c>
      <c r="J112" s="847">
        <f t="shared" si="79"/>
        <v>0</v>
      </c>
      <c r="K112" s="847">
        <f t="shared" si="79"/>
        <v>0</v>
      </c>
      <c r="L112" s="847">
        <f t="shared" si="79"/>
        <v>0</v>
      </c>
      <c r="M112" s="661">
        <f t="shared" si="79"/>
        <v>0</v>
      </c>
      <c r="N112" s="847">
        <f t="shared" si="79"/>
        <v>0</v>
      </c>
      <c r="O112" s="847">
        <f t="shared" si="79"/>
        <v>0</v>
      </c>
      <c r="P112" s="847">
        <f t="shared" si="79"/>
        <v>0</v>
      </c>
      <c r="Q112" s="847">
        <f t="shared" si="79"/>
        <v>0</v>
      </c>
      <c r="R112" s="661">
        <f t="shared" si="79"/>
        <v>0</v>
      </c>
      <c r="S112" s="847">
        <f t="shared" si="79"/>
        <v>0</v>
      </c>
      <c r="T112" s="847">
        <f t="shared" si="79"/>
        <v>0</v>
      </c>
      <c r="U112" s="847">
        <f t="shared" si="79"/>
        <v>0</v>
      </c>
      <c r="V112" s="847">
        <f t="shared" si="79"/>
        <v>0</v>
      </c>
      <c r="W112" s="661">
        <f t="shared" si="79"/>
        <v>0</v>
      </c>
      <c r="X112" s="847">
        <f t="shared" si="79"/>
        <v>0</v>
      </c>
      <c r="Y112" s="847">
        <f t="shared" si="79"/>
        <v>0</v>
      </c>
      <c r="Z112" s="847">
        <f t="shared" si="79"/>
        <v>0</v>
      </c>
      <c r="AA112" s="847">
        <f t="shared" si="79"/>
        <v>0</v>
      </c>
      <c r="AB112" s="661">
        <f t="shared" si="79"/>
        <v>0</v>
      </c>
      <c r="AC112" s="847">
        <f t="shared" si="79"/>
        <v>0</v>
      </c>
      <c r="AD112" s="847">
        <f t="shared" si="79"/>
        <v>0</v>
      </c>
      <c r="AE112" s="847">
        <f t="shared" si="79"/>
        <v>0</v>
      </c>
      <c r="AF112" s="847">
        <f t="shared" si="79"/>
        <v>0</v>
      </c>
      <c r="AG112" s="661">
        <f t="shared" si="79"/>
        <v>0</v>
      </c>
      <c r="AH112" s="847">
        <f t="shared" si="79"/>
        <v>0</v>
      </c>
      <c r="AI112" s="847">
        <f t="shared" si="79"/>
        <v>0</v>
      </c>
      <c r="AJ112" s="847">
        <f t="shared" si="79"/>
        <v>0</v>
      </c>
      <c r="AK112" s="847">
        <f t="shared" si="79"/>
        <v>0</v>
      </c>
      <c r="AL112" s="661">
        <f t="shared" si="79"/>
        <v>0</v>
      </c>
      <c r="AM112" s="847">
        <f t="shared" si="79"/>
        <v>0</v>
      </c>
      <c r="AN112" s="847">
        <f t="shared" si="79"/>
        <v>0</v>
      </c>
      <c r="AO112" s="847">
        <f t="shared" ref="AO112:BT112" si="80">AO13+AO45+AO79</f>
        <v>0</v>
      </c>
      <c r="AP112" s="847">
        <f t="shared" si="80"/>
        <v>0</v>
      </c>
      <c r="AQ112" s="661">
        <f t="shared" si="80"/>
        <v>0</v>
      </c>
      <c r="AR112" s="847">
        <f t="shared" si="80"/>
        <v>0</v>
      </c>
      <c r="AS112" s="847">
        <f t="shared" si="80"/>
        <v>0</v>
      </c>
      <c r="AT112" s="847">
        <f t="shared" si="80"/>
        <v>0</v>
      </c>
      <c r="AU112" s="847">
        <f t="shared" si="80"/>
        <v>0</v>
      </c>
      <c r="AV112" s="661">
        <f t="shared" si="80"/>
        <v>0</v>
      </c>
      <c r="AW112" s="847">
        <f t="shared" si="80"/>
        <v>0</v>
      </c>
      <c r="AX112" s="847">
        <f t="shared" si="80"/>
        <v>0</v>
      </c>
      <c r="AY112" s="847">
        <f t="shared" si="80"/>
        <v>0</v>
      </c>
      <c r="AZ112" s="847">
        <f t="shared" si="80"/>
        <v>0</v>
      </c>
      <c r="BA112" s="661">
        <f t="shared" si="80"/>
        <v>0</v>
      </c>
      <c r="BB112" s="847">
        <f t="shared" si="80"/>
        <v>0</v>
      </c>
      <c r="BC112" s="847">
        <f t="shared" si="80"/>
        <v>0</v>
      </c>
      <c r="BD112" s="847">
        <f t="shared" si="80"/>
        <v>0</v>
      </c>
      <c r="BE112" s="847">
        <f t="shared" si="80"/>
        <v>0</v>
      </c>
      <c r="BF112" s="661">
        <f t="shared" si="80"/>
        <v>0</v>
      </c>
      <c r="BG112" s="847">
        <f t="shared" si="80"/>
        <v>0</v>
      </c>
      <c r="BH112" s="847">
        <f t="shared" si="80"/>
        <v>0</v>
      </c>
      <c r="BI112" s="847">
        <f t="shared" si="80"/>
        <v>0</v>
      </c>
      <c r="BJ112" s="847">
        <f t="shared" si="80"/>
        <v>0</v>
      </c>
      <c r="BK112" s="661">
        <f t="shared" si="80"/>
        <v>0</v>
      </c>
      <c r="BL112" s="847">
        <f t="shared" si="80"/>
        <v>0</v>
      </c>
      <c r="BM112" s="847">
        <f t="shared" si="80"/>
        <v>0</v>
      </c>
      <c r="BN112" s="847">
        <f t="shared" si="80"/>
        <v>0</v>
      </c>
      <c r="BO112" s="847">
        <f t="shared" si="80"/>
        <v>0</v>
      </c>
      <c r="BP112" s="661">
        <f t="shared" si="80"/>
        <v>0</v>
      </c>
      <c r="BQ112" s="847">
        <f t="shared" si="80"/>
        <v>0</v>
      </c>
      <c r="BR112" s="847">
        <f t="shared" si="80"/>
        <v>0</v>
      </c>
      <c r="BS112" s="847">
        <f t="shared" si="80"/>
        <v>0</v>
      </c>
      <c r="BT112" s="847">
        <f t="shared" si="80"/>
        <v>0</v>
      </c>
      <c r="BU112" s="661">
        <f t="shared" ref="BU112:CH112" si="81">BU13+BU45+BU79</f>
        <v>0</v>
      </c>
      <c r="BV112" s="847">
        <f t="shared" si="81"/>
        <v>0</v>
      </c>
      <c r="BW112" s="847">
        <f t="shared" si="81"/>
        <v>0</v>
      </c>
      <c r="BX112" s="847">
        <f t="shared" si="81"/>
        <v>0</v>
      </c>
      <c r="BY112" s="847">
        <f t="shared" si="81"/>
        <v>0</v>
      </c>
      <c r="BZ112" s="661">
        <f t="shared" si="81"/>
        <v>0</v>
      </c>
      <c r="CA112" s="847">
        <f t="shared" si="81"/>
        <v>0</v>
      </c>
      <c r="CB112" s="847">
        <f t="shared" si="81"/>
        <v>0</v>
      </c>
      <c r="CC112" s="847">
        <f t="shared" si="81"/>
        <v>0</v>
      </c>
      <c r="CD112" s="847">
        <f t="shared" si="81"/>
        <v>0</v>
      </c>
      <c r="CE112" s="661">
        <f t="shared" si="81"/>
        <v>0</v>
      </c>
      <c r="CF112" s="847">
        <f t="shared" si="81"/>
        <v>1</v>
      </c>
      <c r="CG112" s="847">
        <f t="shared" si="81"/>
        <v>2</v>
      </c>
      <c r="CH112" s="212">
        <f t="shared" si="81"/>
        <v>2</v>
      </c>
      <c r="CI112" s="212">
        <f t="shared" si="69"/>
        <v>2</v>
      </c>
      <c r="CJ112" s="194">
        <f t="shared" si="69"/>
        <v>2</v>
      </c>
      <c r="CK112" s="2907">
        <f t="shared" si="69"/>
        <v>2</v>
      </c>
      <c r="CL112" s="2907">
        <f t="shared" si="70"/>
        <v>2</v>
      </c>
      <c r="CM112" s="2907">
        <f t="shared" si="70"/>
        <v>3</v>
      </c>
      <c r="CN112" s="212">
        <f t="shared" si="70"/>
        <v>4</v>
      </c>
      <c r="CO112" s="194">
        <f t="shared" si="70"/>
        <v>4</v>
      </c>
      <c r="CP112" s="2907"/>
      <c r="CQ112" s="2907"/>
      <c r="CR112" s="212"/>
      <c r="CS112" s="212"/>
      <c r="CT112" s="194"/>
      <c r="CU112" s="194"/>
      <c r="CV112" s="194"/>
    </row>
    <row r="113" spans="1:100" x14ac:dyDescent="0.2">
      <c r="A113" s="1434" t="s">
        <v>2190</v>
      </c>
      <c r="B113" s="651"/>
      <c r="C113" s="236"/>
      <c r="D113" s="234"/>
      <c r="E113" s="234"/>
      <c r="F113" s="234"/>
      <c r="G113" s="234"/>
      <c r="H113" s="236"/>
      <c r="I113" s="847"/>
      <c r="J113" s="847"/>
      <c r="K113" s="847"/>
      <c r="L113" s="847"/>
      <c r="M113" s="661"/>
      <c r="N113" s="847"/>
      <c r="O113" s="847"/>
      <c r="P113" s="847"/>
      <c r="Q113" s="847"/>
      <c r="R113" s="661"/>
      <c r="S113" s="847"/>
      <c r="T113" s="847"/>
      <c r="U113" s="847"/>
      <c r="V113" s="847"/>
      <c r="W113" s="661"/>
      <c r="X113" s="847"/>
      <c r="Y113" s="847"/>
      <c r="Z113" s="847"/>
      <c r="AA113" s="847"/>
      <c r="AB113" s="661"/>
      <c r="AC113" s="847"/>
      <c r="AD113" s="847"/>
      <c r="AE113" s="847"/>
      <c r="AF113" s="847"/>
      <c r="AG113" s="661"/>
      <c r="AH113" s="847"/>
      <c r="AI113" s="847"/>
      <c r="AJ113" s="847"/>
      <c r="AK113" s="847"/>
      <c r="AL113" s="661"/>
      <c r="AM113" s="847"/>
      <c r="AN113" s="847"/>
      <c r="AO113" s="847"/>
      <c r="AP113" s="847"/>
      <c r="AQ113" s="661"/>
      <c r="AR113" s="847"/>
      <c r="AS113" s="847"/>
      <c r="AT113" s="847"/>
      <c r="AU113" s="847"/>
      <c r="AV113" s="661"/>
      <c r="AW113" s="847"/>
      <c r="AX113" s="847"/>
      <c r="AY113" s="847"/>
      <c r="AZ113" s="847"/>
      <c r="BA113" s="661"/>
      <c r="BB113" s="847"/>
      <c r="BC113" s="847"/>
      <c r="BD113" s="847"/>
      <c r="BE113" s="847"/>
      <c r="BF113" s="661"/>
      <c r="BG113" s="847"/>
      <c r="BH113" s="847"/>
      <c r="BI113" s="847"/>
      <c r="BJ113" s="847"/>
      <c r="BK113" s="661"/>
      <c r="BL113" s="847"/>
      <c r="BM113" s="847"/>
      <c r="BN113" s="847"/>
      <c r="BO113" s="847">
        <f>BO46</f>
        <v>5</v>
      </c>
      <c r="BP113" s="661">
        <f>+BO113</f>
        <v>5</v>
      </c>
      <c r="BQ113" s="847">
        <f>BQ46</f>
        <v>5</v>
      </c>
      <c r="BR113" s="847">
        <f>BR46</f>
        <v>5</v>
      </c>
      <c r="BS113" s="847">
        <f>BS46</f>
        <v>5</v>
      </c>
      <c r="BT113" s="847">
        <f>BT46</f>
        <v>5</v>
      </c>
      <c r="BU113" s="661">
        <f>+BT113</f>
        <v>5</v>
      </c>
      <c r="BV113" s="847">
        <f>BV46</f>
        <v>5</v>
      </c>
      <c r="BW113" s="847">
        <f>BW46</f>
        <v>5</v>
      </c>
      <c r="BX113" s="847">
        <f>BX46</f>
        <v>5</v>
      </c>
      <c r="BY113" s="847">
        <f>BY46</f>
        <v>5</v>
      </c>
      <c r="BZ113" s="661">
        <f>+BY113</f>
        <v>5</v>
      </c>
      <c r="CA113" s="847">
        <f>CA46</f>
        <v>5</v>
      </c>
      <c r="CB113" s="847">
        <f>CB46</f>
        <v>5</v>
      </c>
      <c r="CC113" s="847">
        <f>CC46</f>
        <v>5</v>
      </c>
      <c r="CD113" s="847">
        <f>CD46</f>
        <v>5</v>
      </c>
      <c r="CE113" s="661">
        <f>+CD113</f>
        <v>5</v>
      </c>
      <c r="CF113" s="847">
        <f>CF46</f>
        <v>5</v>
      </c>
      <c r="CG113" s="847">
        <f>CG46</f>
        <v>5</v>
      </c>
      <c r="CH113" s="212">
        <f>CH14+CH46+CH80</f>
        <v>6</v>
      </c>
      <c r="CI113" s="212">
        <f t="shared" si="69"/>
        <v>6</v>
      </c>
      <c r="CJ113" s="194">
        <f t="shared" si="69"/>
        <v>6</v>
      </c>
      <c r="CK113" s="2907">
        <f t="shared" si="69"/>
        <v>6</v>
      </c>
      <c r="CL113" s="2907">
        <f t="shared" si="70"/>
        <v>6</v>
      </c>
      <c r="CM113" s="2907">
        <f t="shared" si="70"/>
        <v>6</v>
      </c>
      <c r="CN113" s="212">
        <f t="shared" si="70"/>
        <v>6</v>
      </c>
      <c r="CO113" s="194">
        <f t="shared" si="70"/>
        <v>6</v>
      </c>
      <c r="CP113" s="2907"/>
      <c r="CQ113" s="2907"/>
      <c r="CR113" s="212"/>
      <c r="CS113" s="212"/>
      <c r="CT113" s="194"/>
      <c r="CU113" s="194"/>
      <c r="CV113" s="194"/>
    </row>
    <row r="114" spans="1:100" x14ac:dyDescent="0.2">
      <c r="A114" s="1434" t="s">
        <v>510</v>
      </c>
      <c r="B114" s="651"/>
      <c r="C114" s="236"/>
      <c r="D114" s="234"/>
      <c r="E114" s="234"/>
      <c r="F114" s="234"/>
      <c r="G114" s="234"/>
      <c r="H114" s="236"/>
      <c r="I114" s="847">
        <f t="shared" ref="I114:AN114" si="82">I14+I47+I80</f>
        <v>22</v>
      </c>
      <c r="J114" s="847">
        <f t="shared" si="82"/>
        <v>24</v>
      </c>
      <c r="K114" s="847">
        <f t="shared" si="82"/>
        <v>26</v>
      </c>
      <c r="L114" s="847">
        <f t="shared" si="82"/>
        <v>26</v>
      </c>
      <c r="M114" s="661">
        <f t="shared" si="82"/>
        <v>26</v>
      </c>
      <c r="N114" s="847">
        <f t="shared" si="82"/>
        <v>28</v>
      </c>
      <c r="O114" s="847">
        <f t="shared" si="82"/>
        <v>30</v>
      </c>
      <c r="P114" s="847">
        <f t="shared" si="82"/>
        <v>30</v>
      </c>
      <c r="Q114" s="847">
        <f t="shared" si="82"/>
        <v>32</v>
      </c>
      <c r="R114" s="661">
        <f t="shared" si="82"/>
        <v>32</v>
      </c>
      <c r="S114" s="847">
        <f t="shared" si="82"/>
        <v>33</v>
      </c>
      <c r="T114" s="847">
        <f t="shared" si="82"/>
        <v>34</v>
      </c>
      <c r="U114" s="847">
        <f t="shared" si="82"/>
        <v>35</v>
      </c>
      <c r="V114" s="847">
        <f t="shared" si="82"/>
        <v>35</v>
      </c>
      <c r="W114" s="661">
        <f t="shared" si="82"/>
        <v>35</v>
      </c>
      <c r="X114" s="847">
        <f t="shared" si="82"/>
        <v>35</v>
      </c>
      <c r="Y114" s="847">
        <f t="shared" si="82"/>
        <v>35</v>
      </c>
      <c r="Z114" s="847">
        <f t="shared" si="82"/>
        <v>35</v>
      </c>
      <c r="AA114" s="847">
        <f t="shared" si="82"/>
        <v>35</v>
      </c>
      <c r="AB114" s="661">
        <f t="shared" si="82"/>
        <v>35</v>
      </c>
      <c r="AC114" s="847">
        <f t="shared" si="82"/>
        <v>35</v>
      </c>
      <c r="AD114" s="847">
        <f t="shared" si="82"/>
        <v>35</v>
      </c>
      <c r="AE114" s="847">
        <f t="shared" si="82"/>
        <v>35</v>
      </c>
      <c r="AF114" s="847">
        <f t="shared" si="82"/>
        <v>35</v>
      </c>
      <c r="AG114" s="661">
        <f t="shared" si="82"/>
        <v>35</v>
      </c>
      <c r="AH114" s="847">
        <f t="shared" si="82"/>
        <v>35</v>
      </c>
      <c r="AI114" s="847">
        <f t="shared" si="82"/>
        <v>35</v>
      </c>
      <c r="AJ114" s="847">
        <f t="shared" si="82"/>
        <v>35</v>
      </c>
      <c r="AK114" s="847">
        <f t="shared" si="82"/>
        <v>35</v>
      </c>
      <c r="AL114" s="661">
        <f t="shared" si="82"/>
        <v>35</v>
      </c>
      <c r="AM114" s="847">
        <f t="shared" si="82"/>
        <v>34</v>
      </c>
      <c r="AN114" s="847">
        <f t="shared" si="82"/>
        <v>34</v>
      </c>
      <c r="AO114" s="847">
        <f t="shared" ref="AO114:BT114" si="83">AO14+AO47+AO80</f>
        <v>35</v>
      </c>
      <c r="AP114" s="847">
        <f t="shared" si="83"/>
        <v>36</v>
      </c>
      <c r="AQ114" s="661">
        <f t="shared" si="83"/>
        <v>36</v>
      </c>
      <c r="AR114" s="847">
        <f t="shared" si="83"/>
        <v>36</v>
      </c>
      <c r="AS114" s="847">
        <f t="shared" si="83"/>
        <v>36</v>
      </c>
      <c r="AT114" s="847">
        <f t="shared" si="83"/>
        <v>37</v>
      </c>
      <c r="AU114" s="847">
        <f t="shared" si="83"/>
        <v>37</v>
      </c>
      <c r="AV114" s="661">
        <f t="shared" si="83"/>
        <v>37</v>
      </c>
      <c r="AW114" s="847">
        <f t="shared" si="83"/>
        <v>37</v>
      </c>
      <c r="AX114" s="847">
        <f t="shared" si="83"/>
        <v>37</v>
      </c>
      <c r="AY114" s="847">
        <f t="shared" si="83"/>
        <v>37</v>
      </c>
      <c r="AZ114" s="847">
        <f t="shared" si="83"/>
        <v>40</v>
      </c>
      <c r="BA114" s="661">
        <f t="shared" si="83"/>
        <v>40</v>
      </c>
      <c r="BB114" s="847">
        <f t="shared" si="83"/>
        <v>40</v>
      </c>
      <c r="BC114" s="847">
        <f t="shared" si="83"/>
        <v>39</v>
      </c>
      <c r="BD114" s="847">
        <f t="shared" si="83"/>
        <v>39</v>
      </c>
      <c r="BE114" s="847">
        <f t="shared" si="83"/>
        <v>39</v>
      </c>
      <c r="BF114" s="661">
        <f t="shared" si="83"/>
        <v>39</v>
      </c>
      <c r="BG114" s="847">
        <f t="shared" si="83"/>
        <v>39</v>
      </c>
      <c r="BH114" s="847">
        <f t="shared" si="83"/>
        <v>39</v>
      </c>
      <c r="BI114" s="847">
        <f t="shared" si="83"/>
        <v>39</v>
      </c>
      <c r="BJ114" s="847">
        <f t="shared" si="83"/>
        <v>39</v>
      </c>
      <c r="BK114" s="661">
        <f t="shared" si="83"/>
        <v>39</v>
      </c>
      <c r="BL114" s="847">
        <f t="shared" si="83"/>
        <v>39</v>
      </c>
      <c r="BM114" s="847">
        <f t="shared" si="83"/>
        <v>39</v>
      </c>
      <c r="BN114" s="847">
        <f t="shared" si="83"/>
        <v>39</v>
      </c>
      <c r="BO114" s="847">
        <f t="shared" si="83"/>
        <v>38</v>
      </c>
      <c r="BP114" s="661">
        <f t="shared" si="83"/>
        <v>38</v>
      </c>
      <c r="BQ114" s="847">
        <f t="shared" si="83"/>
        <v>38</v>
      </c>
      <c r="BR114" s="847">
        <f t="shared" si="83"/>
        <v>38</v>
      </c>
      <c r="BS114" s="847">
        <f t="shared" si="83"/>
        <v>37</v>
      </c>
      <c r="BT114" s="847">
        <f t="shared" si="83"/>
        <v>37</v>
      </c>
      <c r="BU114" s="661">
        <f t="shared" ref="BU114:CG114" si="84">BU14+BU47+BU80</f>
        <v>37</v>
      </c>
      <c r="BV114" s="847">
        <f t="shared" si="84"/>
        <v>37</v>
      </c>
      <c r="BW114" s="847">
        <f t="shared" si="84"/>
        <v>38</v>
      </c>
      <c r="BX114" s="847">
        <f t="shared" si="84"/>
        <v>38</v>
      </c>
      <c r="BY114" s="847">
        <f t="shared" si="84"/>
        <v>39</v>
      </c>
      <c r="BZ114" s="661">
        <f t="shared" si="84"/>
        <v>39</v>
      </c>
      <c r="CA114" s="847">
        <f t="shared" si="84"/>
        <v>40</v>
      </c>
      <c r="CB114" s="847">
        <f t="shared" si="84"/>
        <v>40</v>
      </c>
      <c r="CC114" s="847">
        <f t="shared" si="84"/>
        <v>40</v>
      </c>
      <c r="CD114" s="847">
        <f t="shared" si="84"/>
        <v>40</v>
      </c>
      <c r="CE114" s="661">
        <f t="shared" si="84"/>
        <v>40</v>
      </c>
      <c r="CF114" s="847">
        <f t="shared" si="84"/>
        <v>40</v>
      </c>
      <c r="CG114" s="847">
        <f t="shared" si="84"/>
        <v>40</v>
      </c>
      <c r="CH114" s="212">
        <f>CH15+CH47+CH81</f>
        <v>39</v>
      </c>
      <c r="CI114" s="212">
        <f t="shared" si="69"/>
        <v>39</v>
      </c>
      <c r="CJ114" s="194">
        <f t="shared" si="69"/>
        <v>39</v>
      </c>
      <c r="CK114" s="2907">
        <f t="shared" si="69"/>
        <v>39</v>
      </c>
      <c r="CL114" s="2907">
        <f t="shared" si="70"/>
        <v>39</v>
      </c>
      <c r="CM114" s="2907">
        <f t="shared" si="70"/>
        <v>40</v>
      </c>
      <c r="CN114" s="212">
        <f t="shared" si="70"/>
        <v>39</v>
      </c>
      <c r="CO114" s="194">
        <f t="shared" si="70"/>
        <v>39</v>
      </c>
      <c r="CP114" s="2907"/>
      <c r="CQ114" s="2907"/>
      <c r="CR114" s="212"/>
      <c r="CS114" s="212"/>
      <c r="CT114" s="194"/>
      <c r="CU114" s="194"/>
      <c r="CV114" s="194"/>
    </row>
    <row r="115" spans="1:100" x14ac:dyDescent="0.2">
      <c r="A115" s="1434" t="s">
        <v>511</v>
      </c>
      <c r="B115" s="651"/>
      <c r="C115" s="236"/>
      <c r="D115" s="234"/>
      <c r="E115" s="234"/>
      <c r="F115" s="234"/>
      <c r="G115" s="234"/>
      <c r="H115" s="236"/>
      <c r="I115" s="847">
        <f t="shared" ref="I115:AN115" si="85">I15+I48+I81</f>
        <v>0</v>
      </c>
      <c r="J115" s="847">
        <f t="shared" si="85"/>
        <v>0</v>
      </c>
      <c r="K115" s="847">
        <f t="shared" si="85"/>
        <v>0</v>
      </c>
      <c r="L115" s="847">
        <f t="shared" si="85"/>
        <v>0</v>
      </c>
      <c r="M115" s="661">
        <f t="shared" si="85"/>
        <v>0</v>
      </c>
      <c r="N115" s="847">
        <f t="shared" si="85"/>
        <v>0</v>
      </c>
      <c r="O115" s="847">
        <f t="shared" si="85"/>
        <v>0</v>
      </c>
      <c r="P115" s="847">
        <f t="shared" si="85"/>
        <v>0</v>
      </c>
      <c r="Q115" s="847">
        <f t="shared" si="85"/>
        <v>0</v>
      </c>
      <c r="R115" s="661">
        <f t="shared" si="85"/>
        <v>0</v>
      </c>
      <c r="S115" s="847">
        <f t="shared" si="85"/>
        <v>0</v>
      </c>
      <c r="T115" s="847">
        <f t="shared" si="85"/>
        <v>0</v>
      </c>
      <c r="U115" s="847">
        <f t="shared" si="85"/>
        <v>0</v>
      </c>
      <c r="V115" s="847">
        <f t="shared" si="85"/>
        <v>0</v>
      </c>
      <c r="W115" s="661">
        <f t="shared" si="85"/>
        <v>0</v>
      </c>
      <c r="X115" s="847">
        <f t="shared" si="85"/>
        <v>0</v>
      </c>
      <c r="Y115" s="847">
        <f t="shared" si="85"/>
        <v>0</v>
      </c>
      <c r="Z115" s="847">
        <f t="shared" si="85"/>
        <v>0</v>
      </c>
      <c r="AA115" s="847">
        <f t="shared" si="85"/>
        <v>0</v>
      </c>
      <c r="AB115" s="661">
        <f t="shared" si="85"/>
        <v>0</v>
      </c>
      <c r="AC115" s="847">
        <f t="shared" si="85"/>
        <v>0</v>
      </c>
      <c r="AD115" s="847">
        <f t="shared" si="85"/>
        <v>0</v>
      </c>
      <c r="AE115" s="847">
        <f t="shared" si="85"/>
        <v>0</v>
      </c>
      <c r="AF115" s="847">
        <f t="shared" si="85"/>
        <v>0</v>
      </c>
      <c r="AG115" s="661">
        <f t="shared" si="85"/>
        <v>0</v>
      </c>
      <c r="AH115" s="847">
        <f t="shared" si="85"/>
        <v>0</v>
      </c>
      <c r="AI115" s="847">
        <f t="shared" si="85"/>
        <v>0</v>
      </c>
      <c r="AJ115" s="847">
        <f t="shared" si="85"/>
        <v>0</v>
      </c>
      <c r="AK115" s="847">
        <f t="shared" si="85"/>
        <v>0</v>
      </c>
      <c r="AL115" s="661">
        <f t="shared" si="85"/>
        <v>0</v>
      </c>
      <c r="AM115" s="847">
        <f t="shared" si="85"/>
        <v>0</v>
      </c>
      <c r="AN115" s="847">
        <f t="shared" si="85"/>
        <v>0</v>
      </c>
      <c r="AO115" s="847">
        <f t="shared" ref="AO115:BT115" si="86">AO15+AO48+AO81</f>
        <v>0</v>
      </c>
      <c r="AP115" s="847">
        <f t="shared" si="86"/>
        <v>0</v>
      </c>
      <c r="AQ115" s="661">
        <f t="shared" si="86"/>
        <v>0</v>
      </c>
      <c r="AR115" s="847">
        <f t="shared" si="86"/>
        <v>0</v>
      </c>
      <c r="AS115" s="847">
        <f t="shared" si="86"/>
        <v>0</v>
      </c>
      <c r="AT115" s="847">
        <f t="shared" si="86"/>
        <v>0</v>
      </c>
      <c r="AU115" s="847">
        <f t="shared" si="86"/>
        <v>0</v>
      </c>
      <c r="AV115" s="661">
        <f t="shared" si="86"/>
        <v>0</v>
      </c>
      <c r="AW115" s="847">
        <f t="shared" si="86"/>
        <v>0</v>
      </c>
      <c r="AX115" s="847">
        <f t="shared" si="86"/>
        <v>0</v>
      </c>
      <c r="AY115" s="847">
        <f t="shared" si="86"/>
        <v>0</v>
      </c>
      <c r="AZ115" s="847">
        <f t="shared" si="86"/>
        <v>0</v>
      </c>
      <c r="BA115" s="661">
        <f t="shared" si="86"/>
        <v>0</v>
      </c>
      <c r="BB115" s="847">
        <f t="shared" si="86"/>
        <v>0</v>
      </c>
      <c r="BC115" s="847">
        <f t="shared" si="86"/>
        <v>0</v>
      </c>
      <c r="BD115" s="847">
        <f t="shared" si="86"/>
        <v>0</v>
      </c>
      <c r="BE115" s="847">
        <f t="shared" si="86"/>
        <v>0</v>
      </c>
      <c r="BF115" s="661">
        <f t="shared" si="86"/>
        <v>0</v>
      </c>
      <c r="BG115" s="847">
        <f t="shared" si="86"/>
        <v>0</v>
      </c>
      <c r="BH115" s="847">
        <f t="shared" si="86"/>
        <v>0</v>
      </c>
      <c r="BI115" s="847">
        <f t="shared" si="86"/>
        <v>0</v>
      </c>
      <c r="BJ115" s="847">
        <f t="shared" si="86"/>
        <v>0</v>
      </c>
      <c r="BK115" s="661">
        <f t="shared" si="86"/>
        <v>0</v>
      </c>
      <c r="BL115" s="847">
        <f t="shared" si="86"/>
        <v>0</v>
      </c>
      <c r="BM115" s="847">
        <f t="shared" si="86"/>
        <v>0</v>
      </c>
      <c r="BN115" s="847">
        <f t="shared" si="86"/>
        <v>0</v>
      </c>
      <c r="BO115" s="847">
        <f t="shared" si="86"/>
        <v>0</v>
      </c>
      <c r="BP115" s="661">
        <f t="shared" si="86"/>
        <v>0</v>
      </c>
      <c r="BQ115" s="847">
        <f t="shared" si="86"/>
        <v>0</v>
      </c>
      <c r="BR115" s="847">
        <f t="shared" si="86"/>
        <v>0</v>
      </c>
      <c r="BS115" s="847">
        <f t="shared" si="86"/>
        <v>0</v>
      </c>
      <c r="BT115" s="847">
        <f t="shared" si="86"/>
        <v>0</v>
      </c>
      <c r="BU115" s="661">
        <f t="shared" ref="BU115:CG115" si="87">BU15+BU48+BU81</f>
        <v>0</v>
      </c>
      <c r="BV115" s="847">
        <f t="shared" si="87"/>
        <v>0</v>
      </c>
      <c r="BW115" s="847">
        <f t="shared" si="87"/>
        <v>0</v>
      </c>
      <c r="BX115" s="847">
        <f t="shared" si="87"/>
        <v>0</v>
      </c>
      <c r="BY115" s="847">
        <f t="shared" si="87"/>
        <v>0</v>
      </c>
      <c r="BZ115" s="661">
        <f t="shared" si="87"/>
        <v>0</v>
      </c>
      <c r="CA115" s="847">
        <f t="shared" si="87"/>
        <v>0</v>
      </c>
      <c r="CB115" s="847">
        <f t="shared" si="87"/>
        <v>0</v>
      </c>
      <c r="CC115" s="847">
        <f t="shared" si="87"/>
        <v>0</v>
      </c>
      <c r="CD115" s="847">
        <f t="shared" si="87"/>
        <v>0</v>
      </c>
      <c r="CE115" s="661">
        <f t="shared" si="87"/>
        <v>0</v>
      </c>
      <c r="CF115" s="847">
        <f t="shared" si="87"/>
        <v>0</v>
      </c>
      <c r="CG115" s="847">
        <f t="shared" si="87"/>
        <v>0</v>
      </c>
      <c r="CH115" s="847">
        <f>CH16+CH48+CH82</f>
        <v>0</v>
      </c>
      <c r="CI115" s="847">
        <f t="shared" si="69"/>
        <v>0</v>
      </c>
      <c r="CJ115" s="661">
        <f t="shared" si="69"/>
        <v>0</v>
      </c>
      <c r="CK115" s="2350">
        <f t="shared" si="69"/>
        <v>0</v>
      </c>
      <c r="CL115" s="2350">
        <f t="shared" si="70"/>
        <v>0</v>
      </c>
      <c r="CM115" s="2350">
        <f t="shared" si="70"/>
        <v>0</v>
      </c>
      <c r="CN115" s="847">
        <f t="shared" si="70"/>
        <v>0</v>
      </c>
      <c r="CO115" s="661">
        <f t="shared" si="70"/>
        <v>0</v>
      </c>
      <c r="CP115" s="2350"/>
      <c r="CQ115" s="2350"/>
      <c r="CR115" s="212"/>
      <c r="CS115" s="212"/>
      <c r="CT115" s="194"/>
      <c r="CU115" s="194"/>
      <c r="CV115" s="194"/>
    </row>
    <row r="116" spans="1:100" x14ac:dyDescent="0.2">
      <c r="A116" s="1434" t="s">
        <v>383</v>
      </c>
      <c r="B116" s="651"/>
      <c r="C116" s="236"/>
      <c r="D116" s="234"/>
      <c r="E116" s="234"/>
      <c r="F116" s="234"/>
      <c r="G116" s="234"/>
      <c r="H116" s="236"/>
      <c r="I116" s="847">
        <f t="shared" ref="I116:AN116" si="88">I16+I49+I82</f>
        <v>0</v>
      </c>
      <c r="J116" s="847">
        <f t="shared" si="88"/>
        <v>0</v>
      </c>
      <c r="K116" s="847">
        <f t="shared" si="88"/>
        <v>0</v>
      </c>
      <c r="L116" s="847">
        <f t="shared" si="88"/>
        <v>0</v>
      </c>
      <c r="M116" s="661">
        <f t="shared" si="88"/>
        <v>0</v>
      </c>
      <c r="N116" s="847">
        <f t="shared" si="88"/>
        <v>0</v>
      </c>
      <c r="O116" s="847">
        <f t="shared" si="88"/>
        <v>0</v>
      </c>
      <c r="P116" s="847">
        <f t="shared" si="88"/>
        <v>0</v>
      </c>
      <c r="Q116" s="847">
        <f t="shared" si="88"/>
        <v>0</v>
      </c>
      <c r="R116" s="661">
        <f t="shared" si="88"/>
        <v>0</v>
      </c>
      <c r="S116" s="847">
        <f t="shared" si="88"/>
        <v>0</v>
      </c>
      <c r="T116" s="847">
        <f t="shared" si="88"/>
        <v>0</v>
      </c>
      <c r="U116" s="847">
        <f t="shared" si="88"/>
        <v>0</v>
      </c>
      <c r="V116" s="847">
        <f t="shared" si="88"/>
        <v>0</v>
      </c>
      <c r="W116" s="661">
        <f t="shared" si="88"/>
        <v>0</v>
      </c>
      <c r="X116" s="847">
        <f t="shared" si="88"/>
        <v>0</v>
      </c>
      <c r="Y116" s="847">
        <f t="shared" si="88"/>
        <v>0</v>
      </c>
      <c r="Z116" s="847">
        <f t="shared" si="88"/>
        <v>0</v>
      </c>
      <c r="AA116" s="847">
        <f t="shared" si="88"/>
        <v>0</v>
      </c>
      <c r="AB116" s="661">
        <f t="shared" si="88"/>
        <v>0</v>
      </c>
      <c r="AC116" s="847">
        <f t="shared" si="88"/>
        <v>0</v>
      </c>
      <c r="AD116" s="847">
        <f t="shared" si="88"/>
        <v>0</v>
      </c>
      <c r="AE116" s="847">
        <f t="shared" si="88"/>
        <v>0</v>
      </c>
      <c r="AF116" s="847">
        <f t="shared" si="88"/>
        <v>0</v>
      </c>
      <c r="AG116" s="661">
        <f t="shared" si="88"/>
        <v>0</v>
      </c>
      <c r="AH116" s="847">
        <f t="shared" si="88"/>
        <v>0</v>
      </c>
      <c r="AI116" s="847">
        <f t="shared" si="88"/>
        <v>0</v>
      </c>
      <c r="AJ116" s="847">
        <f t="shared" si="88"/>
        <v>0</v>
      </c>
      <c r="AK116" s="847">
        <f t="shared" si="88"/>
        <v>0</v>
      </c>
      <c r="AL116" s="661">
        <f t="shared" si="88"/>
        <v>0</v>
      </c>
      <c r="AM116" s="847">
        <f t="shared" si="88"/>
        <v>0</v>
      </c>
      <c r="AN116" s="847">
        <f t="shared" si="88"/>
        <v>0</v>
      </c>
      <c r="AO116" s="847">
        <f t="shared" ref="AO116:BT116" si="89">AO16+AO49+AO82</f>
        <v>0</v>
      </c>
      <c r="AP116" s="847">
        <f t="shared" si="89"/>
        <v>0</v>
      </c>
      <c r="AQ116" s="661">
        <f t="shared" si="89"/>
        <v>0</v>
      </c>
      <c r="AR116" s="847">
        <f t="shared" si="89"/>
        <v>0</v>
      </c>
      <c r="AS116" s="847">
        <f t="shared" si="89"/>
        <v>0</v>
      </c>
      <c r="AT116" s="847">
        <f t="shared" si="89"/>
        <v>0</v>
      </c>
      <c r="AU116" s="847">
        <f t="shared" si="89"/>
        <v>0</v>
      </c>
      <c r="AV116" s="661">
        <f t="shared" si="89"/>
        <v>0</v>
      </c>
      <c r="AW116" s="847">
        <f t="shared" si="89"/>
        <v>0</v>
      </c>
      <c r="AX116" s="847">
        <f t="shared" si="89"/>
        <v>0</v>
      </c>
      <c r="AY116" s="847">
        <f t="shared" si="89"/>
        <v>0</v>
      </c>
      <c r="AZ116" s="847">
        <f t="shared" si="89"/>
        <v>0</v>
      </c>
      <c r="BA116" s="661">
        <f t="shared" si="89"/>
        <v>0</v>
      </c>
      <c r="BB116" s="847">
        <f t="shared" si="89"/>
        <v>0</v>
      </c>
      <c r="BC116" s="847">
        <f t="shared" si="89"/>
        <v>0</v>
      </c>
      <c r="BD116" s="847">
        <f t="shared" si="89"/>
        <v>0</v>
      </c>
      <c r="BE116" s="847">
        <f t="shared" si="89"/>
        <v>1</v>
      </c>
      <c r="BF116" s="661">
        <f t="shared" si="89"/>
        <v>1</v>
      </c>
      <c r="BG116" s="847">
        <f t="shared" si="89"/>
        <v>1</v>
      </c>
      <c r="BH116" s="847">
        <f t="shared" si="89"/>
        <v>1</v>
      </c>
      <c r="BI116" s="847">
        <f t="shared" si="89"/>
        <v>0</v>
      </c>
      <c r="BJ116" s="847">
        <f t="shared" si="89"/>
        <v>0</v>
      </c>
      <c r="BK116" s="661">
        <f t="shared" si="89"/>
        <v>0</v>
      </c>
      <c r="BL116" s="847">
        <f t="shared" si="89"/>
        <v>0</v>
      </c>
      <c r="BM116" s="847">
        <f t="shared" si="89"/>
        <v>0</v>
      </c>
      <c r="BN116" s="847">
        <f t="shared" si="89"/>
        <v>0</v>
      </c>
      <c r="BO116" s="847">
        <f t="shared" si="89"/>
        <v>0</v>
      </c>
      <c r="BP116" s="661">
        <f t="shared" si="89"/>
        <v>0</v>
      </c>
      <c r="BQ116" s="847">
        <f t="shared" si="89"/>
        <v>0</v>
      </c>
      <c r="BR116" s="847">
        <f t="shared" si="89"/>
        <v>0</v>
      </c>
      <c r="BS116" s="847">
        <f t="shared" si="89"/>
        <v>0</v>
      </c>
      <c r="BT116" s="847">
        <f t="shared" si="89"/>
        <v>0</v>
      </c>
      <c r="BU116" s="661">
        <f t="shared" ref="BU116:CG116" si="90">BU16+BU49+BU82</f>
        <v>0</v>
      </c>
      <c r="BV116" s="847">
        <f t="shared" si="90"/>
        <v>0</v>
      </c>
      <c r="BW116" s="847">
        <f t="shared" si="90"/>
        <v>0</v>
      </c>
      <c r="BX116" s="847">
        <f t="shared" si="90"/>
        <v>0</v>
      </c>
      <c r="BY116" s="847">
        <f t="shared" si="90"/>
        <v>1</v>
      </c>
      <c r="BZ116" s="661">
        <f t="shared" si="90"/>
        <v>1</v>
      </c>
      <c r="CA116" s="847">
        <f t="shared" si="90"/>
        <v>1</v>
      </c>
      <c r="CB116" s="847">
        <f t="shared" si="90"/>
        <v>2</v>
      </c>
      <c r="CC116" s="847">
        <f t="shared" si="90"/>
        <v>2</v>
      </c>
      <c r="CD116" s="847">
        <f t="shared" si="90"/>
        <v>2</v>
      </c>
      <c r="CE116" s="661">
        <f t="shared" si="90"/>
        <v>2</v>
      </c>
      <c r="CF116" s="847">
        <f t="shared" si="90"/>
        <v>2</v>
      </c>
      <c r="CG116" s="847">
        <f t="shared" si="90"/>
        <v>2</v>
      </c>
      <c r="CH116" s="212">
        <f>CH17+CH49+CH83</f>
        <v>2</v>
      </c>
      <c r="CI116" s="212">
        <f t="shared" si="69"/>
        <v>2</v>
      </c>
      <c r="CJ116" s="194">
        <f t="shared" si="69"/>
        <v>2</v>
      </c>
      <c r="CK116" s="2907">
        <f t="shared" si="69"/>
        <v>2</v>
      </c>
      <c r="CL116" s="2907">
        <f t="shared" si="70"/>
        <v>2</v>
      </c>
      <c r="CM116" s="2907">
        <f t="shared" si="70"/>
        <v>2</v>
      </c>
      <c r="CN116" s="212">
        <f t="shared" si="70"/>
        <v>2</v>
      </c>
      <c r="CO116" s="194">
        <f t="shared" si="70"/>
        <v>2</v>
      </c>
      <c r="CP116" s="2907"/>
      <c r="CQ116" s="2907"/>
      <c r="CR116" s="212"/>
      <c r="CS116" s="212"/>
      <c r="CT116" s="194"/>
      <c r="CU116" s="194"/>
      <c r="CV116" s="194"/>
    </row>
    <row r="117" spans="1:100" outlineLevel="1" x14ac:dyDescent="0.2">
      <c r="A117" s="1434" t="s">
        <v>656</v>
      </c>
      <c r="B117" s="651"/>
      <c r="C117" s="236"/>
      <c r="D117" s="234"/>
      <c r="E117" s="234"/>
      <c r="F117" s="234"/>
      <c r="G117" s="234"/>
      <c r="H117" s="236"/>
      <c r="I117" s="847">
        <f t="shared" ref="I117:AN117" si="91">I17+I50+I83</f>
        <v>0</v>
      </c>
      <c r="J117" s="847">
        <f t="shared" si="91"/>
        <v>0</v>
      </c>
      <c r="K117" s="847">
        <f t="shared" si="91"/>
        <v>0</v>
      </c>
      <c r="L117" s="847">
        <f t="shared" si="91"/>
        <v>0</v>
      </c>
      <c r="M117" s="661">
        <f t="shared" si="91"/>
        <v>0</v>
      </c>
      <c r="N117" s="847">
        <f t="shared" si="91"/>
        <v>0</v>
      </c>
      <c r="O117" s="847">
        <f t="shared" si="91"/>
        <v>0</v>
      </c>
      <c r="P117" s="847">
        <f t="shared" si="91"/>
        <v>0</v>
      </c>
      <c r="Q117" s="847">
        <f t="shared" si="91"/>
        <v>0</v>
      </c>
      <c r="R117" s="661">
        <f t="shared" si="91"/>
        <v>0</v>
      </c>
      <c r="S117" s="847">
        <f t="shared" si="91"/>
        <v>0</v>
      </c>
      <c r="T117" s="847">
        <f t="shared" si="91"/>
        <v>0</v>
      </c>
      <c r="U117" s="847">
        <f t="shared" si="91"/>
        <v>0</v>
      </c>
      <c r="V117" s="847">
        <f t="shared" si="91"/>
        <v>0</v>
      </c>
      <c r="W117" s="661">
        <f t="shared" si="91"/>
        <v>0</v>
      </c>
      <c r="X117" s="847">
        <f t="shared" si="91"/>
        <v>0</v>
      </c>
      <c r="Y117" s="847">
        <f t="shared" si="91"/>
        <v>0</v>
      </c>
      <c r="Z117" s="847">
        <f t="shared" si="91"/>
        <v>0</v>
      </c>
      <c r="AA117" s="847">
        <f t="shared" si="91"/>
        <v>0</v>
      </c>
      <c r="AB117" s="661">
        <f t="shared" si="91"/>
        <v>0</v>
      </c>
      <c r="AC117" s="847">
        <f t="shared" si="91"/>
        <v>0</v>
      </c>
      <c r="AD117" s="847">
        <f t="shared" si="91"/>
        <v>0</v>
      </c>
      <c r="AE117" s="847">
        <f t="shared" si="91"/>
        <v>0</v>
      </c>
      <c r="AF117" s="847">
        <f t="shared" si="91"/>
        <v>0</v>
      </c>
      <c r="AG117" s="661">
        <f t="shared" si="91"/>
        <v>0</v>
      </c>
      <c r="AH117" s="847">
        <f t="shared" si="91"/>
        <v>0</v>
      </c>
      <c r="AI117" s="847">
        <f t="shared" si="91"/>
        <v>0</v>
      </c>
      <c r="AJ117" s="847">
        <f t="shared" si="91"/>
        <v>0</v>
      </c>
      <c r="AK117" s="847">
        <f t="shared" si="91"/>
        <v>0</v>
      </c>
      <c r="AL117" s="661">
        <f t="shared" si="91"/>
        <v>0</v>
      </c>
      <c r="AM117" s="847">
        <f t="shared" si="91"/>
        <v>0</v>
      </c>
      <c r="AN117" s="847">
        <f t="shared" si="91"/>
        <v>0</v>
      </c>
      <c r="AO117" s="847">
        <f t="shared" ref="AO117:BT117" si="92">AO17+AO50+AO83</f>
        <v>0</v>
      </c>
      <c r="AP117" s="847">
        <f t="shared" si="92"/>
        <v>0</v>
      </c>
      <c r="AQ117" s="661">
        <f t="shared" si="92"/>
        <v>0</v>
      </c>
      <c r="AR117" s="847">
        <f t="shared" si="92"/>
        <v>0</v>
      </c>
      <c r="AS117" s="847">
        <f t="shared" si="92"/>
        <v>0</v>
      </c>
      <c r="AT117" s="847">
        <f t="shared" si="92"/>
        <v>0</v>
      </c>
      <c r="AU117" s="847">
        <f t="shared" si="92"/>
        <v>0</v>
      </c>
      <c r="AV117" s="661">
        <f t="shared" si="92"/>
        <v>0</v>
      </c>
      <c r="AW117" s="847">
        <f t="shared" si="92"/>
        <v>0</v>
      </c>
      <c r="AX117" s="847">
        <f t="shared" si="92"/>
        <v>0</v>
      </c>
      <c r="AY117" s="847">
        <f t="shared" si="92"/>
        <v>0</v>
      </c>
      <c r="AZ117" s="847">
        <f t="shared" si="92"/>
        <v>0</v>
      </c>
      <c r="BA117" s="661">
        <f t="shared" si="92"/>
        <v>0</v>
      </c>
      <c r="BB117" s="847">
        <f t="shared" si="92"/>
        <v>0</v>
      </c>
      <c r="BC117" s="847">
        <f t="shared" si="92"/>
        <v>0</v>
      </c>
      <c r="BD117" s="847">
        <f t="shared" si="92"/>
        <v>0</v>
      </c>
      <c r="BE117" s="847">
        <f t="shared" si="92"/>
        <v>0</v>
      </c>
      <c r="BF117" s="661">
        <f t="shared" si="92"/>
        <v>0</v>
      </c>
      <c r="BG117" s="847">
        <f t="shared" si="92"/>
        <v>0</v>
      </c>
      <c r="BH117" s="847">
        <f t="shared" si="92"/>
        <v>0</v>
      </c>
      <c r="BI117" s="847">
        <f t="shared" si="92"/>
        <v>0</v>
      </c>
      <c r="BJ117" s="847">
        <f t="shared" si="92"/>
        <v>0</v>
      </c>
      <c r="BK117" s="661">
        <f t="shared" si="92"/>
        <v>0</v>
      </c>
      <c r="BL117" s="847">
        <f t="shared" si="92"/>
        <v>0</v>
      </c>
      <c r="BM117" s="847">
        <f t="shared" si="92"/>
        <v>0</v>
      </c>
      <c r="BN117" s="847">
        <f t="shared" si="92"/>
        <v>0</v>
      </c>
      <c r="BO117" s="847">
        <f t="shared" si="92"/>
        <v>0</v>
      </c>
      <c r="BP117" s="661">
        <f t="shared" si="92"/>
        <v>0</v>
      </c>
      <c r="BQ117" s="847">
        <f t="shared" si="92"/>
        <v>0</v>
      </c>
      <c r="BR117" s="847">
        <f t="shared" si="92"/>
        <v>0</v>
      </c>
      <c r="BS117" s="847">
        <f t="shared" si="92"/>
        <v>0</v>
      </c>
      <c r="BT117" s="847">
        <f t="shared" si="92"/>
        <v>0</v>
      </c>
      <c r="BU117" s="661">
        <f t="shared" ref="BU117:CH117" si="93">BU17+BU50+BU83</f>
        <v>0</v>
      </c>
      <c r="BV117" s="847">
        <f t="shared" si="93"/>
        <v>0</v>
      </c>
      <c r="BW117" s="847">
        <f t="shared" si="93"/>
        <v>0</v>
      </c>
      <c r="BX117" s="847">
        <f t="shared" si="93"/>
        <v>0</v>
      </c>
      <c r="BY117" s="847">
        <f t="shared" si="93"/>
        <v>0</v>
      </c>
      <c r="BZ117" s="661">
        <f t="shared" si="93"/>
        <v>0</v>
      </c>
      <c r="CA117" s="847">
        <f t="shared" si="93"/>
        <v>0</v>
      </c>
      <c r="CB117" s="847">
        <f t="shared" si="93"/>
        <v>0</v>
      </c>
      <c r="CC117" s="847">
        <f t="shared" si="93"/>
        <v>0</v>
      </c>
      <c r="CD117" s="847">
        <f t="shared" si="93"/>
        <v>0</v>
      </c>
      <c r="CE117" s="661">
        <f t="shared" si="93"/>
        <v>0</v>
      </c>
      <c r="CF117" s="847">
        <f t="shared" si="93"/>
        <v>0</v>
      </c>
      <c r="CG117" s="847">
        <f t="shared" si="93"/>
        <v>0</v>
      </c>
      <c r="CH117" s="847">
        <f t="shared" si="93"/>
        <v>0</v>
      </c>
      <c r="CI117" s="847">
        <f t="shared" ref="CI117:CK118" si="94">CI17+CI50+CI83</f>
        <v>0</v>
      </c>
      <c r="CJ117" s="661">
        <f t="shared" si="94"/>
        <v>0</v>
      </c>
      <c r="CK117" s="2350">
        <f t="shared" si="94"/>
        <v>0</v>
      </c>
      <c r="CL117" s="2350">
        <f>CL17+CL50+CL83</f>
        <v>0</v>
      </c>
      <c r="CM117" s="2350">
        <f>CM17+CM50+CM83</f>
        <v>0</v>
      </c>
      <c r="CN117" s="847">
        <f t="shared" ref="CN117:CO117" si="95">CN17+CN50+CN83</f>
        <v>0</v>
      </c>
      <c r="CO117" s="661">
        <f t="shared" si="95"/>
        <v>0</v>
      </c>
      <c r="CP117" s="2350"/>
      <c r="CQ117" s="2350"/>
      <c r="CR117" s="212"/>
      <c r="CS117" s="212"/>
      <c r="CT117" s="194"/>
      <c r="CU117" s="194"/>
      <c r="CV117" s="194"/>
    </row>
    <row r="118" spans="1:100" x14ac:dyDescent="0.2">
      <c r="A118" s="1434" t="s">
        <v>1386</v>
      </c>
      <c r="B118" s="651"/>
      <c r="C118" s="236"/>
      <c r="D118" s="234"/>
      <c r="E118" s="234"/>
      <c r="F118" s="234"/>
      <c r="G118" s="234"/>
      <c r="H118" s="236"/>
      <c r="I118" s="847">
        <f t="shared" ref="I118:AN118" si="96">I18+I51+I84</f>
        <v>487</v>
      </c>
      <c r="J118" s="847">
        <f t="shared" si="96"/>
        <v>493</v>
      </c>
      <c r="K118" s="847">
        <f t="shared" si="96"/>
        <v>498</v>
      </c>
      <c r="L118" s="847">
        <f t="shared" si="96"/>
        <v>508</v>
      </c>
      <c r="M118" s="661">
        <f t="shared" si="96"/>
        <v>508</v>
      </c>
      <c r="N118" s="847">
        <f t="shared" si="96"/>
        <v>517</v>
      </c>
      <c r="O118" s="847">
        <f t="shared" si="96"/>
        <v>523</v>
      </c>
      <c r="P118" s="847">
        <f t="shared" si="96"/>
        <v>529</v>
      </c>
      <c r="Q118" s="847">
        <f t="shared" si="96"/>
        <v>539</v>
      </c>
      <c r="R118" s="661">
        <f t="shared" si="96"/>
        <v>539</v>
      </c>
      <c r="S118" s="847">
        <f t="shared" si="96"/>
        <v>544</v>
      </c>
      <c r="T118" s="847">
        <f t="shared" si="96"/>
        <v>551</v>
      </c>
      <c r="U118" s="847">
        <f t="shared" si="96"/>
        <v>558</v>
      </c>
      <c r="V118" s="847">
        <f t="shared" si="96"/>
        <v>563</v>
      </c>
      <c r="W118" s="661">
        <f t="shared" si="96"/>
        <v>563</v>
      </c>
      <c r="X118" s="847">
        <f t="shared" si="96"/>
        <v>575</v>
      </c>
      <c r="Y118" s="847">
        <f t="shared" si="96"/>
        <v>583</v>
      </c>
      <c r="Z118" s="847">
        <f t="shared" si="96"/>
        <v>588</v>
      </c>
      <c r="AA118" s="847">
        <f t="shared" si="96"/>
        <v>595</v>
      </c>
      <c r="AB118" s="661">
        <f t="shared" si="96"/>
        <v>595</v>
      </c>
      <c r="AC118" s="847">
        <f t="shared" si="96"/>
        <v>600</v>
      </c>
      <c r="AD118" s="847">
        <f t="shared" si="96"/>
        <v>604</v>
      </c>
      <c r="AE118" s="847">
        <f t="shared" si="96"/>
        <v>614</v>
      </c>
      <c r="AF118" s="847">
        <f t="shared" si="96"/>
        <v>623</v>
      </c>
      <c r="AG118" s="661">
        <f t="shared" si="96"/>
        <v>623</v>
      </c>
      <c r="AH118" s="847">
        <f t="shared" si="96"/>
        <v>627</v>
      </c>
      <c r="AI118" s="847">
        <f t="shared" si="96"/>
        <v>634</v>
      </c>
      <c r="AJ118" s="847">
        <f t="shared" si="96"/>
        <v>641</v>
      </c>
      <c r="AK118" s="847">
        <f t="shared" si="96"/>
        <v>650</v>
      </c>
      <c r="AL118" s="661">
        <f t="shared" si="96"/>
        <v>650</v>
      </c>
      <c r="AM118" s="847">
        <f t="shared" si="96"/>
        <v>657</v>
      </c>
      <c r="AN118" s="847">
        <f t="shared" si="96"/>
        <v>668</v>
      </c>
      <c r="AO118" s="847">
        <f t="shared" ref="AO118:BT118" si="97">AO18+AO51+AO84</f>
        <v>679</v>
      </c>
      <c r="AP118" s="847">
        <f t="shared" si="97"/>
        <v>693</v>
      </c>
      <c r="AQ118" s="661">
        <f t="shared" si="97"/>
        <v>693</v>
      </c>
      <c r="AR118" s="847">
        <f t="shared" si="97"/>
        <v>697</v>
      </c>
      <c r="AS118" s="847">
        <f t="shared" si="97"/>
        <v>708</v>
      </c>
      <c r="AT118" s="847">
        <f t="shared" si="97"/>
        <v>715</v>
      </c>
      <c r="AU118" s="847">
        <f t="shared" si="97"/>
        <v>728</v>
      </c>
      <c r="AV118" s="661">
        <f t="shared" si="97"/>
        <v>728</v>
      </c>
      <c r="AW118" s="847">
        <f t="shared" si="97"/>
        <v>738</v>
      </c>
      <c r="AX118" s="847">
        <f t="shared" si="97"/>
        <v>747</v>
      </c>
      <c r="AY118" s="847">
        <f t="shared" si="97"/>
        <v>761</v>
      </c>
      <c r="AZ118" s="847">
        <f t="shared" si="97"/>
        <v>768</v>
      </c>
      <c r="BA118" s="661">
        <f t="shared" si="97"/>
        <v>768</v>
      </c>
      <c r="BB118" s="847">
        <f t="shared" si="97"/>
        <v>775</v>
      </c>
      <c r="BC118" s="847">
        <f t="shared" si="97"/>
        <v>780</v>
      </c>
      <c r="BD118" s="847">
        <f t="shared" si="97"/>
        <v>785</v>
      </c>
      <c r="BE118" s="847">
        <f t="shared" si="97"/>
        <v>795</v>
      </c>
      <c r="BF118" s="661">
        <f t="shared" si="97"/>
        <v>795</v>
      </c>
      <c r="BG118" s="847">
        <f t="shared" si="97"/>
        <v>798</v>
      </c>
      <c r="BH118" s="847">
        <f t="shared" si="97"/>
        <v>801</v>
      </c>
      <c r="BI118" s="847">
        <f t="shared" si="97"/>
        <v>802</v>
      </c>
      <c r="BJ118" s="847">
        <f t="shared" si="97"/>
        <v>805</v>
      </c>
      <c r="BK118" s="661">
        <f t="shared" si="97"/>
        <v>805</v>
      </c>
      <c r="BL118" s="847">
        <f t="shared" si="97"/>
        <v>807</v>
      </c>
      <c r="BM118" s="847">
        <f t="shared" si="97"/>
        <v>808</v>
      </c>
      <c r="BN118" s="847">
        <f t="shared" si="97"/>
        <v>812</v>
      </c>
      <c r="BO118" s="847">
        <f t="shared" si="97"/>
        <v>817</v>
      </c>
      <c r="BP118" s="661">
        <f t="shared" si="97"/>
        <v>817</v>
      </c>
      <c r="BQ118" s="847">
        <f t="shared" si="97"/>
        <v>820</v>
      </c>
      <c r="BR118" s="847">
        <f t="shared" si="97"/>
        <v>824</v>
      </c>
      <c r="BS118" s="847">
        <f t="shared" si="97"/>
        <v>830</v>
      </c>
      <c r="BT118" s="847">
        <f t="shared" si="97"/>
        <v>836</v>
      </c>
      <c r="BU118" s="661">
        <f t="shared" ref="BU118:CG118" si="98">BU18+BU51+BU84</f>
        <v>836</v>
      </c>
      <c r="BV118" s="847">
        <f t="shared" si="98"/>
        <v>837</v>
      </c>
      <c r="BW118" s="847">
        <f t="shared" si="98"/>
        <v>845</v>
      </c>
      <c r="BX118" s="847">
        <f t="shared" si="98"/>
        <v>858</v>
      </c>
      <c r="BY118" s="847">
        <f t="shared" si="98"/>
        <v>861</v>
      </c>
      <c r="BZ118" s="661">
        <f t="shared" si="98"/>
        <v>861</v>
      </c>
      <c r="CA118" s="847">
        <f t="shared" si="98"/>
        <v>890</v>
      </c>
      <c r="CB118" s="847">
        <f t="shared" si="98"/>
        <v>895</v>
      </c>
      <c r="CC118" s="847">
        <f t="shared" si="98"/>
        <v>907</v>
      </c>
      <c r="CD118" s="847">
        <f t="shared" si="98"/>
        <v>916</v>
      </c>
      <c r="CE118" s="661">
        <f t="shared" si="98"/>
        <v>916</v>
      </c>
      <c r="CF118" s="847">
        <f t="shared" si="98"/>
        <v>924</v>
      </c>
      <c r="CG118" s="847">
        <f t="shared" si="98"/>
        <v>936</v>
      </c>
      <c r="CH118" s="847">
        <f>CH18+CH51+CH84</f>
        <v>948</v>
      </c>
      <c r="CI118" s="847">
        <f t="shared" si="94"/>
        <v>961</v>
      </c>
      <c r="CJ118" s="661">
        <f t="shared" si="94"/>
        <v>961</v>
      </c>
      <c r="CK118" s="2350">
        <f t="shared" si="94"/>
        <v>972</v>
      </c>
      <c r="CL118" s="2350">
        <f>CL18+CL51+CL84</f>
        <v>979</v>
      </c>
      <c r="CM118" s="2350">
        <f>CM18+CM51+CM84</f>
        <v>987</v>
      </c>
      <c r="CN118" s="847">
        <f t="shared" ref="CN118:CO118" si="99">CN18+CN51+CN84</f>
        <v>994</v>
      </c>
      <c r="CO118" s="661">
        <f t="shared" si="99"/>
        <v>994</v>
      </c>
      <c r="CP118" s="2350"/>
      <c r="CQ118" s="2350"/>
      <c r="CR118" s="212"/>
      <c r="CS118" s="212"/>
      <c r="CT118" s="194"/>
      <c r="CU118" s="194"/>
      <c r="CV118" s="194"/>
    </row>
    <row r="119" spans="1:100" outlineLevel="1" x14ac:dyDescent="0.2">
      <c r="A119" s="1434" t="s">
        <v>1388</v>
      </c>
      <c r="B119" s="651"/>
      <c r="C119" s="236"/>
      <c r="D119" s="234"/>
      <c r="E119" s="234"/>
      <c r="F119" s="234"/>
      <c r="G119" s="234"/>
      <c r="H119" s="236"/>
      <c r="I119" s="847">
        <f t="shared" ref="I119:AN119" si="100">I19+I52+I86</f>
        <v>353</v>
      </c>
      <c r="J119" s="847">
        <f t="shared" si="100"/>
        <v>362</v>
      </c>
      <c r="K119" s="847">
        <f t="shared" si="100"/>
        <v>370</v>
      </c>
      <c r="L119" s="847">
        <f t="shared" si="100"/>
        <v>382</v>
      </c>
      <c r="M119" s="661">
        <f t="shared" si="100"/>
        <v>382</v>
      </c>
      <c r="N119" s="847">
        <f t="shared" si="100"/>
        <v>385</v>
      </c>
      <c r="O119" s="847">
        <f t="shared" si="100"/>
        <v>387</v>
      </c>
      <c r="P119" s="847">
        <f t="shared" si="100"/>
        <v>399</v>
      </c>
      <c r="Q119" s="847">
        <f t="shared" si="100"/>
        <v>416</v>
      </c>
      <c r="R119" s="661">
        <f t="shared" si="100"/>
        <v>416</v>
      </c>
      <c r="S119" s="847">
        <f t="shared" si="100"/>
        <v>419</v>
      </c>
      <c r="T119" s="847">
        <f t="shared" si="100"/>
        <v>419</v>
      </c>
      <c r="U119" s="847">
        <f t="shared" si="100"/>
        <v>430</v>
      </c>
      <c r="V119" s="847">
        <f t="shared" si="100"/>
        <v>436</v>
      </c>
      <c r="W119" s="661">
        <f t="shared" si="100"/>
        <v>436</v>
      </c>
      <c r="X119" s="847">
        <f t="shared" si="100"/>
        <v>436</v>
      </c>
      <c r="Y119" s="847">
        <f t="shared" si="100"/>
        <v>441</v>
      </c>
      <c r="Z119" s="847">
        <f t="shared" si="100"/>
        <v>443</v>
      </c>
      <c r="AA119" s="847">
        <f t="shared" si="100"/>
        <v>449</v>
      </c>
      <c r="AB119" s="661">
        <f t="shared" si="100"/>
        <v>449</v>
      </c>
      <c r="AC119" s="847">
        <f t="shared" si="100"/>
        <v>453</v>
      </c>
      <c r="AD119" s="847">
        <f t="shared" si="100"/>
        <v>459</v>
      </c>
      <c r="AE119" s="847">
        <f t="shared" si="100"/>
        <v>465</v>
      </c>
      <c r="AF119" s="847">
        <f t="shared" si="100"/>
        <v>473</v>
      </c>
      <c r="AG119" s="661">
        <f t="shared" si="100"/>
        <v>473</v>
      </c>
      <c r="AH119" s="847">
        <f t="shared" si="100"/>
        <v>479</v>
      </c>
      <c r="AI119" s="847">
        <f t="shared" si="100"/>
        <v>483</v>
      </c>
      <c r="AJ119" s="847">
        <f t="shared" si="100"/>
        <v>493</v>
      </c>
      <c r="AK119" s="847">
        <f t="shared" si="100"/>
        <v>494</v>
      </c>
      <c r="AL119" s="661">
        <f t="shared" si="100"/>
        <v>494</v>
      </c>
      <c r="AM119" s="847">
        <f t="shared" si="100"/>
        <v>504</v>
      </c>
      <c r="AN119" s="847">
        <f t="shared" si="100"/>
        <v>508</v>
      </c>
      <c r="AO119" s="847">
        <f t="shared" ref="AO119:BT119" si="101">AO19+AO52+AO86</f>
        <v>516</v>
      </c>
      <c r="AP119" s="847">
        <f t="shared" si="101"/>
        <v>528</v>
      </c>
      <c r="AQ119" s="661">
        <f t="shared" si="101"/>
        <v>528</v>
      </c>
      <c r="AR119" s="847">
        <f t="shared" si="101"/>
        <v>529</v>
      </c>
      <c r="AS119" s="847">
        <f t="shared" si="101"/>
        <v>534</v>
      </c>
      <c r="AT119" s="847">
        <f t="shared" si="101"/>
        <v>541</v>
      </c>
      <c r="AU119" s="847">
        <f t="shared" si="101"/>
        <v>555</v>
      </c>
      <c r="AV119" s="661">
        <f t="shared" si="101"/>
        <v>555</v>
      </c>
      <c r="AW119" s="847">
        <f t="shared" si="101"/>
        <v>558</v>
      </c>
      <c r="AX119" s="847">
        <f t="shared" si="101"/>
        <v>567</v>
      </c>
      <c r="AY119" s="847">
        <f t="shared" si="101"/>
        <v>583</v>
      </c>
      <c r="AZ119" s="847">
        <f t="shared" si="101"/>
        <v>591</v>
      </c>
      <c r="BA119" s="661">
        <f t="shared" si="101"/>
        <v>591</v>
      </c>
      <c r="BB119" s="847">
        <f t="shared" si="101"/>
        <v>588</v>
      </c>
      <c r="BC119" s="847">
        <f t="shared" si="101"/>
        <v>589</v>
      </c>
      <c r="BD119" s="847">
        <f t="shared" si="101"/>
        <v>592</v>
      </c>
      <c r="BE119" s="847">
        <f t="shared" si="101"/>
        <v>595</v>
      </c>
      <c r="BF119" s="661">
        <f t="shared" si="101"/>
        <v>595</v>
      </c>
      <c r="BG119" s="847">
        <f t="shared" si="101"/>
        <v>597</v>
      </c>
      <c r="BH119" s="847">
        <f t="shared" si="101"/>
        <v>597</v>
      </c>
      <c r="BI119" s="847">
        <f t="shared" si="101"/>
        <v>597</v>
      </c>
      <c r="BJ119" s="847">
        <f t="shared" si="101"/>
        <v>597</v>
      </c>
      <c r="BK119" s="661">
        <f t="shared" si="101"/>
        <v>597</v>
      </c>
      <c r="BL119" s="847">
        <f t="shared" si="101"/>
        <v>597</v>
      </c>
      <c r="BM119" s="847">
        <f t="shared" si="101"/>
        <v>599</v>
      </c>
      <c r="BN119" s="847">
        <f t="shared" si="101"/>
        <v>601</v>
      </c>
      <c r="BO119" s="847">
        <f t="shared" si="101"/>
        <v>602</v>
      </c>
      <c r="BP119" s="661">
        <f t="shared" si="101"/>
        <v>602</v>
      </c>
      <c r="BQ119" s="847">
        <f t="shared" si="101"/>
        <v>607</v>
      </c>
      <c r="BR119" s="847">
        <f t="shared" si="101"/>
        <v>612</v>
      </c>
      <c r="BS119" s="847">
        <f t="shared" si="101"/>
        <v>622</v>
      </c>
      <c r="BT119" s="847">
        <f t="shared" si="101"/>
        <v>629</v>
      </c>
      <c r="BU119" s="661">
        <f t="shared" ref="BU119:CG119" si="102">BU19+BU52+BU86</f>
        <v>629</v>
      </c>
      <c r="BV119" s="847">
        <f t="shared" si="102"/>
        <v>626</v>
      </c>
      <c r="BW119" s="847">
        <f t="shared" si="102"/>
        <v>635</v>
      </c>
      <c r="BX119" s="847">
        <f t="shared" si="102"/>
        <v>641</v>
      </c>
      <c r="BY119" s="847">
        <f t="shared" si="102"/>
        <v>648</v>
      </c>
      <c r="BZ119" s="661">
        <f t="shared" si="102"/>
        <v>648</v>
      </c>
      <c r="CA119" s="847">
        <f t="shared" si="102"/>
        <v>675</v>
      </c>
      <c r="CB119" s="847">
        <f t="shared" si="102"/>
        <v>681</v>
      </c>
      <c r="CC119" s="847">
        <f t="shared" si="102"/>
        <v>682</v>
      </c>
      <c r="CD119" s="847">
        <f t="shared" si="102"/>
        <v>690</v>
      </c>
      <c r="CE119" s="661">
        <f t="shared" si="102"/>
        <v>690</v>
      </c>
      <c r="CF119" s="847">
        <f t="shared" si="102"/>
        <v>695</v>
      </c>
      <c r="CG119" s="847">
        <f t="shared" si="102"/>
        <v>703</v>
      </c>
      <c r="CH119" s="847">
        <f t="shared" ref="CH119:CJ120" si="103">CH19+CH52+CH86</f>
        <v>716</v>
      </c>
      <c r="CI119" s="847">
        <f t="shared" si="103"/>
        <v>726</v>
      </c>
      <c r="CJ119" s="661">
        <f t="shared" si="103"/>
        <v>726</v>
      </c>
      <c r="CK119" s="2350">
        <f t="shared" ref="CK119:CO120" si="104">CK19+CK52+CK86</f>
        <v>732</v>
      </c>
      <c r="CL119" s="2350">
        <f t="shared" si="104"/>
        <v>736</v>
      </c>
      <c r="CM119" s="2350">
        <f t="shared" si="104"/>
        <v>734</v>
      </c>
      <c r="CN119" s="847">
        <f t="shared" si="104"/>
        <v>750</v>
      </c>
      <c r="CO119" s="661">
        <f t="shared" si="104"/>
        <v>750</v>
      </c>
      <c r="CP119" s="2350"/>
      <c r="CQ119" s="2350"/>
      <c r="CR119" s="212"/>
      <c r="CS119" s="212"/>
      <c r="CT119" s="194"/>
      <c r="CU119" s="194"/>
      <c r="CV119" s="194"/>
    </row>
    <row r="120" spans="1:100" x14ac:dyDescent="0.2">
      <c r="A120" s="1436" t="s">
        <v>1391</v>
      </c>
      <c r="B120" s="651"/>
      <c r="C120" s="236"/>
      <c r="D120" s="234"/>
      <c r="E120" s="234"/>
      <c r="F120" s="234"/>
      <c r="G120" s="234"/>
      <c r="H120" s="236"/>
      <c r="I120" s="847">
        <f t="shared" ref="I120:AN120" si="105">I20+I53+I87</f>
        <v>89</v>
      </c>
      <c r="J120" s="847">
        <f t="shared" si="105"/>
        <v>90</v>
      </c>
      <c r="K120" s="847">
        <f t="shared" si="105"/>
        <v>96</v>
      </c>
      <c r="L120" s="847">
        <f t="shared" si="105"/>
        <v>99</v>
      </c>
      <c r="M120" s="661">
        <f t="shared" si="105"/>
        <v>99</v>
      </c>
      <c r="N120" s="847">
        <f t="shared" si="105"/>
        <v>99</v>
      </c>
      <c r="O120" s="847">
        <f t="shared" si="105"/>
        <v>101</v>
      </c>
      <c r="P120" s="847">
        <f t="shared" si="105"/>
        <v>103</v>
      </c>
      <c r="Q120" s="847">
        <f t="shared" si="105"/>
        <v>104</v>
      </c>
      <c r="R120" s="661">
        <f t="shared" si="105"/>
        <v>104</v>
      </c>
      <c r="S120" s="847">
        <f t="shared" si="105"/>
        <v>105</v>
      </c>
      <c r="T120" s="847">
        <f t="shared" si="105"/>
        <v>106</v>
      </c>
      <c r="U120" s="847">
        <f t="shared" si="105"/>
        <v>109</v>
      </c>
      <c r="V120" s="847">
        <f t="shared" si="105"/>
        <v>111</v>
      </c>
      <c r="W120" s="661">
        <f t="shared" si="105"/>
        <v>111</v>
      </c>
      <c r="X120" s="847">
        <f t="shared" si="105"/>
        <v>112</v>
      </c>
      <c r="Y120" s="847">
        <f t="shared" si="105"/>
        <v>112</v>
      </c>
      <c r="Z120" s="847">
        <f t="shared" si="105"/>
        <v>113</v>
      </c>
      <c r="AA120" s="847">
        <f t="shared" si="105"/>
        <v>115</v>
      </c>
      <c r="AB120" s="661">
        <f t="shared" si="105"/>
        <v>115</v>
      </c>
      <c r="AC120" s="847">
        <f t="shared" si="105"/>
        <v>117</v>
      </c>
      <c r="AD120" s="847">
        <f t="shared" si="105"/>
        <v>118</v>
      </c>
      <c r="AE120" s="847">
        <f t="shared" si="105"/>
        <v>119</v>
      </c>
      <c r="AF120" s="847">
        <f t="shared" si="105"/>
        <v>122</v>
      </c>
      <c r="AG120" s="661">
        <f t="shared" si="105"/>
        <v>122</v>
      </c>
      <c r="AH120" s="847">
        <f t="shared" si="105"/>
        <v>122</v>
      </c>
      <c r="AI120" s="847">
        <f t="shared" si="105"/>
        <v>123</v>
      </c>
      <c r="AJ120" s="847">
        <f t="shared" si="105"/>
        <v>122</v>
      </c>
      <c r="AK120" s="847">
        <f t="shared" si="105"/>
        <v>123</v>
      </c>
      <c r="AL120" s="661">
        <f t="shared" si="105"/>
        <v>123</v>
      </c>
      <c r="AM120" s="847">
        <f t="shared" si="105"/>
        <v>123</v>
      </c>
      <c r="AN120" s="847">
        <f t="shared" si="105"/>
        <v>128</v>
      </c>
      <c r="AO120" s="847">
        <f t="shared" ref="AO120:BT120" si="106">AO20+AO53+AO87</f>
        <v>134</v>
      </c>
      <c r="AP120" s="847">
        <f t="shared" si="106"/>
        <v>141</v>
      </c>
      <c r="AQ120" s="661">
        <f t="shared" si="106"/>
        <v>141</v>
      </c>
      <c r="AR120" s="847">
        <f t="shared" si="106"/>
        <v>145</v>
      </c>
      <c r="AS120" s="847">
        <f t="shared" si="106"/>
        <v>152</v>
      </c>
      <c r="AT120" s="847">
        <f t="shared" si="106"/>
        <v>154</v>
      </c>
      <c r="AU120" s="847">
        <f t="shared" si="106"/>
        <v>163</v>
      </c>
      <c r="AV120" s="661">
        <f t="shared" si="106"/>
        <v>163</v>
      </c>
      <c r="AW120" s="847">
        <f t="shared" si="106"/>
        <v>166</v>
      </c>
      <c r="AX120" s="847">
        <f t="shared" si="106"/>
        <v>173</v>
      </c>
      <c r="AY120" s="847">
        <f t="shared" si="106"/>
        <v>179</v>
      </c>
      <c r="AZ120" s="847">
        <f t="shared" si="106"/>
        <v>184</v>
      </c>
      <c r="BA120" s="661">
        <f t="shared" si="106"/>
        <v>184</v>
      </c>
      <c r="BB120" s="847">
        <f t="shared" si="106"/>
        <v>187</v>
      </c>
      <c r="BC120" s="847">
        <f t="shared" si="106"/>
        <v>190</v>
      </c>
      <c r="BD120" s="847">
        <f t="shared" si="106"/>
        <v>192</v>
      </c>
      <c r="BE120" s="847">
        <f t="shared" si="106"/>
        <v>192</v>
      </c>
      <c r="BF120" s="661">
        <f t="shared" si="106"/>
        <v>192</v>
      </c>
      <c r="BG120" s="847">
        <f t="shared" si="106"/>
        <v>193</v>
      </c>
      <c r="BH120" s="847">
        <f t="shared" si="106"/>
        <v>195</v>
      </c>
      <c r="BI120" s="847">
        <f t="shared" si="106"/>
        <v>197</v>
      </c>
      <c r="BJ120" s="847">
        <f t="shared" si="106"/>
        <v>200</v>
      </c>
      <c r="BK120" s="661">
        <f t="shared" si="106"/>
        <v>200</v>
      </c>
      <c r="BL120" s="847">
        <f t="shared" si="106"/>
        <v>202</v>
      </c>
      <c r="BM120" s="847">
        <f t="shared" si="106"/>
        <v>202</v>
      </c>
      <c r="BN120" s="847">
        <f t="shared" si="106"/>
        <v>205</v>
      </c>
      <c r="BO120" s="847">
        <f t="shared" si="106"/>
        <v>208</v>
      </c>
      <c r="BP120" s="661">
        <f t="shared" si="106"/>
        <v>208</v>
      </c>
      <c r="BQ120" s="847">
        <f t="shared" si="106"/>
        <v>212</v>
      </c>
      <c r="BR120" s="847">
        <f t="shared" si="106"/>
        <v>218</v>
      </c>
      <c r="BS120" s="847">
        <f t="shared" si="106"/>
        <v>218</v>
      </c>
      <c r="BT120" s="847">
        <f t="shared" si="106"/>
        <v>222</v>
      </c>
      <c r="BU120" s="661">
        <f t="shared" ref="BU120:CG120" si="107">BU20+BU53+BU87</f>
        <v>222</v>
      </c>
      <c r="BV120" s="847">
        <f t="shared" si="107"/>
        <v>222</v>
      </c>
      <c r="BW120" s="847">
        <f t="shared" si="107"/>
        <v>228</v>
      </c>
      <c r="BX120" s="847">
        <f t="shared" si="107"/>
        <v>232</v>
      </c>
      <c r="BY120" s="847">
        <f t="shared" si="107"/>
        <v>240</v>
      </c>
      <c r="BZ120" s="661">
        <f t="shared" si="107"/>
        <v>240</v>
      </c>
      <c r="CA120" s="847">
        <f t="shared" si="107"/>
        <v>253</v>
      </c>
      <c r="CB120" s="847">
        <f t="shared" si="107"/>
        <v>260</v>
      </c>
      <c r="CC120" s="847">
        <f t="shared" si="107"/>
        <v>264</v>
      </c>
      <c r="CD120" s="847">
        <f t="shared" si="107"/>
        <v>270</v>
      </c>
      <c r="CE120" s="661">
        <f t="shared" si="107"/>
        <v>270</v>
      </c>
      <c r="CF120" s="847">
        <f t="shared" si="107"/>
        <v>279</v>
      </c>
      <c r="CG120" s="847">
        <f t="shared" si="107"/>
        <v>288</v>
      </c>
      <c r="CH120" s="847">
        <f t="shared" si="103"/>
        <v>293</v>
      </c>
      <c r="CI120" s="847">
        <f t="shared" si="103"/>
        <v>301</v>
      </c>
      <c r="CJ120" s="661">
        <f t="shared" si="103"/>
        <v>301</v>
      </c>
      <c r="CK120" s="2350">
        <f t="shared" si="104"/>
        <v>312</v>
      </c>
      <c r="CL120" s="2350">
        <f t="shared" si="104"/>
        <v>320</v>
      </c>
      <c r="CM120" s="2350">
        <f t="shared" si="104"/>
        <v>329</v>
      </c>
      <c r="CN120" s="847">
        <f t="shared" si="104"/>
        <v>338</v>
      </c>
      <c r="CO120" s="661">
        <f t="shared" si="104"/>
        <v>338</v>
      </c>
      <c r="CP120" s="2350"/>
      <c r="CQ120" s="2350"/>
      <c r="CR120" s="212"/>
      <c r="CS120" s="212"/>
      <c r="CT120" s="194"/>
      <c r="CU120" s="194"/>
      <c r="CV120" s="194"/>
    </row>
    <row r="121" spans="1:100" x14ac:dyDescent="0.2">
      <c r="A121" s="1436" t="s">
        <v>1389</v>
      </c>
      <c r="B121" s="651"/>
      <c r="C121" s="236"/>
      <c r="D121" s="234"/>
      <c r="E121" s="234"/>
      <c r="F121" s="234"/>
      <c r="G121" s="234"/>
      <c r="H121" s="236"/>
      <c r="I121" s="847">
        <f t="shared" ref="I121:AN121" si="108">I21+I54+I85</f>
        <v>447</v>
      </c>
      <c r="J121" s="847">
        <f t="shared" si="108"/>
        <v>464</v>
      </c>
      <c r="K121" s="847">
        <f t="shared" si="108"/>
        <v>471</v>
      </c>
      <c r="L121" s="847">
        <f t="shared" si="108"/>
        <v>480</v>
      </c>
      <c r="M121" s="661">
        <f t="shared" si="108"/>
        <v>480</v>
      </c>
      <c r="N121" s="847">
        <f t="shared" si="108"/>
        <v>487</v>
      </c>
      <c r="O121" s="847">
        <f t="shared" si="108"/>
        <v>494</v>
      </c>
      <c r="P121" s="847">
        <f t="shared" si="108"/>
        <v>500</v>
      </c>
      <c r="Q121" s="847">
        <f t="shared" si="108"/>
        <v>503</v>
      </c>
      <c r="R121" s="661">
        <f t="shared" si="108"/>
        <v>503</v>
      </c>
      <c r="S121" s="847">
        <f t="shared" si="108"/>
        <v>507</v>
      </c>
      <c r="T121" s="847">
        <f t="shared" si="108"/>
        <v>515</v>
      </c>
      <c r="U121" s="847">
        <f t="shared" si="108"/>
        <v>518</v>
      </c>
      <c r="V121" s="847">
        <f t="shared" si="108"/>
        <v>523</v>
      </c>
      <c r="W121" s="661">
        <f t="shared" si="108"/>
        <v>523</v>
      </c>
      <c r="X121" s="847">
        <f t="shared" si="108"/>
        <v>526</v>
      </c>
      <c r="Y121" s="847">
        <f t="shared" si="108"/>
        <v>527</v>
      </c>
      <c r="Z121" s="847">
        <f t="shared" si="108"/>
        <v>521</v>
      </c>
      <c r="AA121" s="847">
        <f t="shared" si="108"/>
        <v>519</v>
      </c>
      <c r="AB121" s="661">
        <f t="shared" si="108"/>
        <v>519</v>
      </c>
      <c r="AC121" s="847">
        <f t="shared" si="108"/>
        <v>513</v>
      </c>
      <c r="AD121" s="847">
        <f t="shared" si="108"/>
        <v>511</v>
      </c>
      <c r="AE121" s="847">
        <f t="shared" si="108"/>
        <v>516</v>
      </c>
      <c r="AF121" s="847">
        <f t="shared" si="108"/>
        <v>519</v>
      </c>
      <c r="AG121" s="661">
        <f t="shared" si="108"/>
        <v>519</v>
      </c>
      <c r="AH121" s="847">
        <f t="shared" si="108"/>
        <v>519</v>
      </c>
      <c r="AI121" s="847">
        <f t="shared" si="108"/>
        <v>516</v>
      </c>
      <c r="AJ121" s="847">
        <f t="shared" si="108"/>
        <v>515</v>
      </c>
      <c r="AK121" s="847">
        <f t="shared" si="108"/>
        <v>513</v>
      </c>
      <c r="AL121" s="661">
        <f t="shared" si="108"/>
        <v>513</v>
      </c>
      <c r="AM121" s="847">
        <f t="shared" si="108"/>
        <v>508</v>
      </c>
      <c r="AN121" s="847">
        <f t="shared" si="108"/>
        <v>513</v>
      </c>
      <c r="AO121" s="847">
        <f t="shared" ref="AO121:BT121" si="109">AO21+AO54+AO85</f>
        <v>521</v>
      </c>
      <c r="AP121" s="847">
        <f t="shared" si="109"/>
        <v>529</v>
      </c>
      <c r="AQ121" s="661">
        <f t="shared" si="109"/>
        <v>529</v>
      </c>
      <c r="AR121" s="847">
        <f t="shared" si="109"/>
        <v>527</v>
      </c>
      <c r="AS121" s="847">
        <f t="shared" si="109"/>
        <v>536</v>
      </c>
      <c r="AT121" s="847">
        <f t="shared" si="109"/>
        <v>547</v>
      </c>
      <c r="AU121" s="847">
        <f t="shared" si="109"/>
        <v>560</v>
      </c>
      <c r="AV121" s="661">
        <f t="shared" si="109"/>
        <v>560</v>
      </c>
      <c r="AW121" s="847">
        <f t="shared" si="109"/>
        <v>574</v>
      </c>
      <c r="AX121" s="847">
        <f t="shared" si="109"/>
        <v>589</v>
      </c>
      <c r="AY121" s="847">
        <f t="shared" si="109"/>
        <v>609</v>
      </c>
      <c r="AZ121" s="847">
        <f t="shared" si="109"/>
        <v>620</v>
      </c>
      <c r="BA121" s="661">
        <f t="shared" si="109"/>
        <v>620</v>
      </c>
      <c r="BB121" s="847">
        <f t="shared" si="109"/>
        <v>632</v>
      </c>
      <c r="BC121" s="847">
        <f t="shared" si="109"/>
        <v>641</v>
      </c>
      <c r="BD121" s="847">
        <f t="shared" si="109"/>
        <v>647</v>
      </c>
      <c r="BE121" s="847">
        <f t="shared" si="109"/>
        <v>648</v>
      </c>
      <c r="BF121" s="661">
        <f t="shared" si="109"/>
        <v>648</v>
      </c>
      <c r="BG121" s="847">
        <f t="shared" si="109"/>
        <v>648</v>
      </c>
      <c r="BH121" s="847">
        <f t="shared" si="109"/>
        <v>652</v>
      </c>
      <c r="BI121" s="847">
        <f t="shared" si="109"/>
        <v>663</v>
      </c>
      <c r="BJ121" s="847">
        <f t="shared" si="109"/>
        <v>667</v>
      </c>
      <c r="BK121" s="661">
        <f t="shared" si="109"/>
        <v>667</v>
      </c>
      <c r="BL121" s="847">
        <f t="shared" si="109"/>
        <v>670</v>
      </c>
      <c r="BM121" s="847">
        <f t="shared" si="109"/>
        <v>673</v>
      </c>
      <c r="BN121" s="847">
        <f t="shared" si="109"/>
        <v>677</v>
      </c>
      <c r="BO121" s="847">
        <f t="shared" si="109"/>
        <v>678</v>
      </c>
      <c r="BP121" s="661">
        <f t="shared" si="109"/>
        <v>678</v>
      </c>
      <c r="BQ121" s="847">
        <f t="shared" si="109"/>
        <v>679</v>
      </c>
      <c r="BR121" s="847">
        <f t="shared" si="109"/>
        <v>689</v>
      </c>
      <c r="BS121" s="847">
        <f t="shared" si="109"/>
        <v>694</v>
      </c>
      <c r="BT121" s="847">
        <f t="shared" si="109"/>
        <v>691</v>
      </c>
      <c r="BU121" s="661">
        <f t="shared" ref="BU121:CG121" si="110">BU21+BU54+BU85</f>
        <v>691</v>
      </c>
      <c r="BV121" s="847">
        <f t="shared" si="110"/>
        <v>695</v>
      </c>
      <c r="BW121" s="847">
        <f t="shared" si="110"/>
        <v>698</v>
      </c>
      <c r="BX121" s="847">
        <f t="shared" si="110"/>
        <v>707</v>
      </c>
      <c r="BY121" s="847">
        <f t="shared" si="110"/>
        <v>704</v>
      </c>
      <c r="BZ121" s="661">
        <f t="shared" si="110"/>
        <v>704</v>
      </c>
      <c r="CA121" s="847">
        <f t="shared" si="110"/>
        <v>726</v>
      </c>
      <c r="CB121" s="847">
        <f t="shared" si="110"/>
        <v>743</v>
      </c>
      <c r="CC121" s="847">
        <f t="shared" si="110"/>
        <v>749</v>
      </c>
      <c r="CD121" s="847">
        <f t="shared" si="110"/>
        <v>761</v>
      </c>
      <c r="CE121" s="661">
        <f t="shared" si="110"/>
        <v>761</v>
      </c>
      <c r="CF121" s="847">
        <f t="shared" si="110"/>
        <v>771</v>
      </c>
      <c r="CG121" s="847">
        <f t="shared" si="110"/>
        <v>793</v>
      </c>
      <c r="CH121" s="847">
        <f t="shared" ref="CH121:CM121" si="111">CH21+CH54+CH85</f>
        <v>812</v>
      </c>
      <c r="CI121" s="847">
        <f t="shared" si="111"/>
        <v>828</v>
      </c>
      <c r="CJ121" s="661">
        <f t="shared" si="111"/>
        <v>828</v>
      </c>
      <c r="CK121" s="2350">
        <f t="shared" si="111"/>
        <v>842</v>
      </c>
      <c r="CL121" s="2350">
        <f t="shared" si="111"/>
        <v>858</v>
      </c>
      <c r="CM121" s="2350">
        <f t="shared" si="111"/>
        <v>876</v>
      </c>
      <c r="CN121" s="847">
        <f t="shared" ref="CN121:CO121" si="112">CN21+CN54+CN85</f>
        <v>895</v>
      </c>
      <c r="CO121" s="661">
        <f t="shared" si="112"/>
        <v>895</v>
      </c>
      <c r="CP121" s="2350"/>
      <c r="CQ121" s="2350"/>
      <c r="CR121" s="212"/>
      <c r="CS121" s="212"/>
      <c r="CT121" s="194"/>
      <c r="CU121" s="194"/>
      <c r="CV121" s="194"/>
    </row>
    <row r="122" spans="1:100" x14ac:dyDescent="0.2">
      <c r="A122" s="1436" t="s">
        <v>1390</v>
      </c>
      <c r="B122" s="651"/>
      <c r="C122" s="236"/>
      <c r="D122" s="234"/>
      <c r="E122" s="234"/>
      <c r="F122" s="234"/>
      <c r="G122" s="234"/>
      <c r="H122" s="236"/>
      <c r="I122" s="847">
        <f t="shared" ref="I122:AN122" si="113">I22+I55+I88</f>
        <v>65</v>
      </c>
      <c r="J122" s="847">
        <f t="shared" si="113"/>
        <v>69</v>
      </c>
      <c r="K122" s="847">
        <f t="shared" si="113"/>
        <v>77</v>
      </c>
      <c r="L122" s="847">
        <f t="shared" si="113"/>
        <v>84</v>
      </c>
      <c r="M122" s="661">
        <f t="shared" si="113"/>
        <v>84</v>
      </c>
      <c r="N122" s="847">
        <f t="shared" si="113"/>
        <v>87</v>
      </c>
      <c r="O122" s="847">
        <f t="shared" si="113"/>
        <v>96</v>
      </c>
      <c r="P122" s="847">
        <f t="shared" si="113"/>
        <v>95</v>
      </c>
      <c r="Q122" s="847">
        <f t="shared" si="113"/>
        <v>97</v>
      </c>
      <c r="R122" s="661">
        <f t="shared" si="113"/>
        <v>97</v>
      </c>
      <c r="S122" s="847">
        <f t="shared" si="113"/>
        <v>98</v>
      </c>
      <c r="T122" s="847">
        <f t="shared" si="113"/>
        <v>102</v>
      </c>
      <c r="U122" s="847">
        <f t="shared" si="113"/>
        <v>105</v>
      </c>
      <c r="V122" s="847">
        <f t="shared" si="113"/>
        <v>109</v>
      </c>
      <c r="W122" s="661">
        <f t="shared" si="113"/>
        <v>109</v>
      </c>
      <c r="X122" s="847">
        <f t="shared" si="113"/>
        <v>111</v>
      </c>
      <c r="Y122" s="847">
        <f t="shared" si="113"/>
        <v>115</v>
      </c>
      <c r="Z122" s="847">
        <f t="shared" si="113"/>
        <v>120</v>
      </c>
      <c r="AA122" s="847">
        <f t="shared" si="113"/>
        <v>124</v>
      </c>
      <c r="AB122" s="661">
        <f t="shared" si="113"/>
        <v>124</v>
      </c>
      <c r="AC122" s="847">
        <f t="shared" si="113"/>
        <v>125</v>
      </c>
      <c r="AD122" s="847">
        <f t="shared" si="113"/>
        <v>133</v>
      </c>
      <c r="AE122" s="847">
        <f t="shared" si="113"/>
        <v>134</v>
      </c>
      <c r="AF122" s="847">
        <f t="shared" si="113"/>
        <v>136</v>
      </c>
      <c r="AG122" s="661">
        <f t="shared" si="113"/>
        <v>136</v>
      </c>
      <c r="AH122" s="847">
        <f t="shared" si="113"/>
        <v>141</v>
      </c>
      <c r="AI122" s="847">
        <f t="shared" si="113"/>
        <v>144</v>
      </c>
      <c r="AJ122" s="847">
        <f t="shared" si="113"/>
        <v>148</v>
      </c>
      <c r="AK122" s="847">
        <f t="shared" si="113"/>
        <v>152</v>
      </c>
      <c r="AL122" s="661">
        <f t="shared" si="113"/>
        <v>152</v>
      </c>
      <c r="AM122" s="847">
        <f t="shared" si="113"/>
        <v>156</v>
      </c>
      <c r="AN122" s="847">
        <f t="shared" si="113"/>
        <v>162</v>
      </c>
      <c r="AO122" s="847">
        <f t="shared" ref="AO122:BT122" si="114">AO22+AO55+AO88</f>
        <v>166</v>
      </c>
      <c r="AP122" s="847">
        <f t="shared" si="114"/>
        <v>176</v>
      </c>
      <c r="AQ122" s="661">
        <f t="shared" si="114"/>
        <v>176</v>
      </c>
      <c r="AR122" s="847">
        <f t="shared" si="114"/>
        <v>186</v>
      </c>
      <c r="AS122" s="847">
        <f t="shared" si="114"/>
        <v>195</v>
      </c>
      <c r="AT122" s="847">
        <f t="shared" si="114"/>
        <v>198</v>
      </c>
      <c r="AU122" s="847">
        <f t="shared" si="114"/>
        <v>207</v>
      </c>
      <c r="AV122" s="661">
        <f t="shared" si="114"/>
        <v>207</v>
      </c>
      <c r="AW122" s="847">
        <f t="shared" si="114"/>
        <v>217</v>
      </c>
      <c r="AX122" s="847">
        <f t="shared" si="114"/>
        <v>226</v>
      </c>
      <c r="AY122" s="847">
        <f t="shared" si="114"/>
        <v>241</v>
      </c>
      <c r="AZ122" s="847">
        <f t="shared" si="114"/>
        <v>255</v>
      </c>
      <c r="BA122" s="661">
        <f t="shared" si="114"/>
        <v>255</v>
      </c>
      <c r="BB122" s="847">
        <f t="shared" si="114"/>
        <v>260</v>
      </c>
      <c r="BC122" s="847">
        <f t="shared" si="114"/>
        <v>267</v>
      </c>
      <c r="BD122" s="847">
        <f t="shared" si="114"/>
        <v>271</v>
      </c>
      <c r="BE122" s="847">
        <f t="shared" si="114"/>
        <v>273</v>
      </c>
      <c r="BF122" s="661">
        <f t="shared" si="114"/>
        <v>273</v>
      </c>
      <c r="BG122" s="847">
        <f t="shared" si="114"/>
        <v>273</v>
      </c>
      <c r="BH122" s="847">
        <f t="shared" si="114"/>
        <v>279</v>
      </c>
      <c r="BI122" s="847">
        <f t="shared" si="114"/>
        <v>283</v>
      </c>
      <c r="BJ122" s="847">
        <f t="shared" si="114"/>
        <v>285</v>
      </c>
      <c r="BK122" s="661">
        <f t="shared" si="114"/>
        <v>285</v>
      </c>
      <c r="BL122" s="847">
        <f t="shared" si="114"/>
        <v>288</v>
      </c>
      <c r="BM122" s="847">
        <f t="shared" si="114"/>
        <v>291</v>
      </c>
      <c r="BN122" s="847">
        <f t="shared" si="114"/>
        <v>296</v>
      </c>
      <c r="BO122" s="847">
        <f t="shared" si="114"/>
        <v>297</v>
      </c>
      <c r="BP122" s="661">
        <f t="shared" si="114"/>
        <v>297</v>
      </c>
      <c r="BQ122" s="847">
        <f t="shared" si="114"/>
        <v>297</v>
      </c>
      <c r="BR122" s="847">
        <f t="shared" si="114"/>
        <v>301</v>
      </c>
      <c r="BS122" s="847">
        <f t="shared" si="114"/>
        <v>303</v>
      </c>
      <c r="BT122" s="847">
        <f t="shared" si="114"/>
        <v>306</v>
      </c>
      <c r="BU122" s="661">
        <f t="shared" ref="BU122:CG122" si="115">BU22+BU55+BU88</f>
        <v>306</v>
      </c>
      <c r="BV122" s="847">
        <f t="shared" si="115"/>
        <v>310</v>
      </c>
      <c r="BW122" s="847">
        <f t="shared" si="115"/>
        <v>311</v>
      </c>
      <c r="BX122" s="847">
        <f t="shared" si="115"/>
        <v>311</v>
      </c>
      <c r="BY122" s="847">
        <f t="shared" si="115"/>
        <v>314</v>
      </c>
      <c r="BZ122" s="661">
        <f t="shared" si="115"/>
        <v>314</v>
      </c>
      <c r="CA122" s="847">
        <f t="shared" si="115"/>
        <v>322</v>
      </c>
      <c r="CB122" s="847">
        <f t="shared" si="115"/>
        <v>327</v>
      </c>
      <c r="CC122" s="847">
        <f t="shared" si="115"/>
        <v>333</v>
      </c>
      <c r="CD122" s="847">
        <f t="shared" si="115"/>
        <v>336</v>
      </c>
      <c r="CE122" s="661">
        <f t="shared" si="115"/>
        <v>336</v>
      </c>
      <c r="CF122" s="847">
        <f t="shared" si="115"/>
        <v>343</v>
      </c>
      <c r="CG122" s="847">
        <f t="shared" si="115"/>
        <v>349</v>
      </c>
      <c r="CH122" s="847">
        <f t="shared" ref="CH122:CJ123" si="116">CH22+CH55+CH88</f>
        <v>353</v>
      </c>
      <c r="CI122" s="847">
        <f t="shared" si="116"/>
        <v>359</v>
      </c>
      <c r="CJ122" s="661">
        <f t="shared" si="116"/>
        <v>359</v>
      </c>
      <c r="CK122" s="2350">
        <f t="shared" ref="CK122:CO123" si="117">CK22+CK55+CK88</f>
        <v>363</v>
      </c>
      <c r="CL122" s="2350">
        <f t="shared" si="117"/>
        <v>373</v>
      </c>
      <c r="CM122" s="2350">
        <f t="shared" si="117"/>
        <v>382</v>
      </c>
      <c r="CN122" s="847">
        <f t="shared" si="117"/>
        <v>388</v>
      </c>
      <c r="CO122" s="661">
        <f t="shared" si="117"/>
        <v>388</v>
      </c>
      <c r="CP122" s="2350"/>
      <c r="CQ122" s="2350"/>
      <c r="CR122" s="212"/>
      <c r="CS122" s="212"/>
      <c r="CT122" s="194"/>
      <c r="CU122" s="194"/>
      <c r="CV122" s="194"/>
    </row>
    <row r="123" spans="1:100" x14ac:dyDescent="0.2">
      <c r="A123" s="1436" t="s">
        <v>650</v>
      </c>
      <c r="B123" s="651"/>
      <c r="C123" s="236"/>
      <c r="D123" s="234"/>
      <c r="E123" s="234"/>
      <c r="F123" s="234"/>
      <c r="G123" s="234"/>
      <c r="H123" s="236"/>
      <c r="I123" s="847">
        <f t="shared" ref="I123:AN123" si="118">I23+I56+I89</f>
        <v>0</v>
      </c>
      <c r="J123" s="847">
        <f t="shared" si="118"/>
        <v>0</v>
      </c>
      <c r="K123" s="847">
        <f t="shared" si="118"/>
        <v>0</v>
      </c>
      <c r="L123" s="847">
        <f t="shared" si="118"/>
        <v>0</v>
      </c>
      <c r="M123" s="661">
        <f t="shared" si="118"/>
        <v>0</v>
      </c>
      <c r="N123" s="847">
        <f t="shared" si="118"/>
        <v>0</v>
      </c>
      <c r="O123" s="847">
        <f t="shared" si="118"/>
        <v>0</v>
      </c>
      <c r="P123" s="847">
        <f t="shared" si="118"/>
        <v>0</v>
      </c>
      <c r="Q123" s="847">
        <f t="shared" si="118"/>
        <v>0</v>
      </c>
      <c r="R123" s="661">
        <f t="shared" si="118"/>
        <v>0</v>
      </c>
      <c r="S123" s="847">
        <f t="shared" si="118"/>
        <v>0</v>
      </c>
      <c r="T123" s="847">
        <f t="shared" si="118"/>
        <v>0</v>
      </c>
      <c r="U123" s="847">
        <f t="shared" si="118"/>
        <v>0</v>
      </c>
      <c r="V123" s="847">
        <f t="shared" si="118"/>
        <v>0</v>
      </c>
      <c r="W123" s="661">
        <f t="shared" si="118"/>
        <v>0</v>
      </c>
      <c r="X123" s="847">
        <f t="shared" si="118"/>
        <v>0</v>
      </c>
      <c r="Y123" s="847">
        <f t="shared" si="118"/>
        <v>0</v>
      </c>
      <c r="Z123" s="847">
        <f t="shared" si="118"/>
        <v>0</v>
      </c>
      <c r="AA123" s="847">
        <f t="shared" si="118"/>
        <v>0</v>
      </c>
      <c r="AB123" s="661">
        <f t="shared" si="118"/>
        <v>0</v>
      </c>
      <c r="AC123" s="847">
        <f t="shared" si="118"/>
        <v>0</v>
      </c>
      <c r="AD123" s="847">
        <f t="shared" si="118"/>
        <v>0</v>
      </c>
      <c r="AE123" s="847">
        <f t="shared" si="118"/>
        <v>0</v>
      </c>
      <c r="AF123" s="847">
        <f t="shared" si="118"/>
        <v>0</v>
      </c>
      <c r="AG123" s="661">
        <f t="shared" si="118"/>
        <v>0</v>
      </c>
      <c r="AH123" s="847">
        <f t="shared" si="118"/>
        <v>0</v>
      </c>
      <c r="AI123" s="847">
        <f t="shared" si="118"/>
        <v>0</v>
      </c>
      <c r="AJ123" s="847">
        <f t="shared" si="118"/>
        <v>0</v>
      </c>
      <c r="AK123" s="847">
        <f t="shared" si="118"/>
        <v>0</v>
      </c>
      <c r="AL123" s="661">
        <f t="shared" si="118"/>
        <v>0</v>
      </c>
      <c r="AM123" s="847">
        <f t="shared" si="118"/>
        <v>0</v>
      </c>
      <c r="AN123" s="847">
        <f t="shared" si="118"/>
        <v>0</v>
      </c>
      <c r="AO123" s="847">
        <f t="shared" ref="AO123:BT123" si="119">AO23+AO56+AO89</f>
        <v>0</v>
      </c>
      <c r="AP123" s="847">
        <f t="shared" si="119"/>
        <v>0</v>
      </c>
      <c r="AQ123" s="661">
        <f t="shared" si="119"/>
        <v>0</v>
      </c>
      <c r="AR123" s="847">
        <f t="shared" si="119"/>
        <v>0</v>
      </c>
      <c r="AS123" s="847">
        <f t="shared" si="119"/>
        <v>0</v>
      </c>
      <c r="AT123" s="847">
        <f t="shared" si="119"/>
        <v>0</v>
      </c>
      <c r="AU123" s="847">
        <f t="shared" si="119"/>
        <v>0</v>
      </c>
      <c r="AV123" s="661">
        <f t="shared" si="119"/>
        <v>0</v>
      </c>
      <c r="AW123" s="847">
        <f t="shared" si="119"/>
        <v>0</v>
      </c>
      <c r="AX123" s="847">
        <f t="shared" si="119"/>
        <v>0</v>
      </c>
      <c r="AY123" s="847">
        <f t="shared" si="119"/>
        <v>0</v>
      </c>
      <c r="AZ123" s="847">
        <f t="shared" si="119"/>
        <v>0</v>
      </c>
      <c r="BA123" s="661">
        <f t="shared" si="119"/>
        <v>0</v>
      </c>
      <c r="BB123" s="847">
        <f t="shared" si="119"/>
        <v>0</v>
      </c>
      <c r="BC123" s="847">
        <f t="shared" si="119"/>
        <v>0</v>
      </c>
      <c r="BD123" s="847">
        <f t="shared" si="119"/>
        <v>0</v>
      </c>
      <c r="BE123" s="847">
        <f t="shared" si="119"/>
        <v>0</v>
      </c>
      <c r="BF123" s="661">
        <f t="shared" si="119"/>
        <v>0</v>
      </c>
      <c r="BG123" s="847">
        <f t="shared" si="119"/>
        <v>0</v>
      </c>
      <c r="BH123" s="847">
        <f t="shared" si="119"/>
        <v>0</v>
      </c>
      <c r="BI123" s="847">
        <f t="shared" si="119"/>
        <v>0</v>
      </c>
      <c r="BJ123" s="847">
        <f t="shared" si="119"/>
        <v>0</v>
      </c>
      <c r="BK123" s="661">
        <f t="shared" si="119"/>
        <v>0</v>
      </c>
      <c r="BL123" s="847">
        <f t="shared" si="119"/>
        <v>0</v>
      </c>
      <c r="BM123" s="847">
        <f t="shared" si="119"/>
        <v>0</v>
      </c>
      <c r="BN123" s="847">
        <f t="shared" si="119"/>
        <v>0</v>
      </c>
      <c r="BO123" s="847">
        <f t="shared" si="119"/>
        <v>0</v>
      </c>
      <c r="BP123" s="661">
        <f t="shared" si="119"/>
        <v>0</v>
      </c>
      <c r="BQ123" s="847">
        <f t="shared" si="119"/>
        <v>0</v>
      </c>
      <c r="BR123" s="847">
        <f t="shared" si="119"/>
        <v>0</v>
      </c>
      <c r="BS123" s="847">
        <f t="shared" si="119"/>
        <v>0</v>
      </c>
      <c r="BT123" s="847">
        <f t="shared" si="119"/>
        <v>0</v>
      </c>
      <c r="BU123" s="661">
        <f t="shared" ref="BU123:CG123" si="120">BU23+BU56+BU89</f>
        <v>0</v>
      </c>
      <c r="BV123" s="847">
        <f t="shared" si="120"/>
        <v>0</v>
      </c>
      <c r="BW123" s="847">
        <f t="shared" si="120"/>
        <v>0</v>
      </c>
      <c r="BX123" s="847">
        <f t="shared" si="120"/>
        <v>0</v>
      </c>
      <c r="BY123" s="847">
        <f t="shared" si="120"/>
        <v>0</v>
      </c>
      <c r="BZ123" s="661">
        <f t="shared" si="120"/>
        <v>0</v>
      </c>
      <c r="CA123" s="847">
        <f t="shared" si="120"/>
        <v>0</v>
      </c>
      <c r="CB123" s="847">
        <f t="shared" si="120"/>
        <v>0</v>
      </c>
      <c r="CC123" s="847">
        <f t="shared" si="120"/>
        <v>0</v>
      </c>
      <c r="CD123" s="847">
        <f t="shared" si="120"/>
        <v>0</v>
      </c>
      <c r="CE123" s="661">
        <f t="shared" si="120"/>
        <v>0</v>
      </c>
      <c r="CF123" s="847">
        <f t="shared" si="120"/>
        <v>0</v>
      </c>
      <c r="CG123" s="847">
        <f t="shared" si="120"/>
        <v>0</v>
      </c>
      <c r="CH123" s="847">
        <f t="shared" si="116"/>
        <v>0</v>
      </c>
      <c r="CI123" s="847">
        <f t="shared" si="116"/>
        <v>0</v>
      </c>
      <c r="CJ123" s="661">
        <f t="shared" si="116"/>
        <v>0</v>
      </c>
      <c r="CK123" s="2350">
        <f t="shared" si="117"/>
        <v>0</v>
      </c>
      <c r="CL123" s="2350">
        <f t="shared" si="117"/>
        <v>0</v>
      </c>
      <c r="CM123" s="2350">
        <f t="shared" si="117"/>
        <v>0</v>
      </c>
      <c r="CN123" s="847">
        <f t="shared" si="117"/>
        <v>0</v>
      </c>
      <c r="CO123" s="661">
        <f t="shared" si="117"/>
        <v>0</v>
      </c>
      <c r="CP123" s="2350"/>
      <c r="CQ123" s="2350"/>
      <c r="CR123" s="212"/>
      <c r="CS123" s="212"/>
      <c r="CT123" s="194"/>
      <c r="CU123" s="194"/>
      <c r="CV123" s="194"/>
    </row>
    <row r="124" spans="1:100" x14ac:dyDescent="0.2">
      <c r="A124" s="2288" t="s">
        <v>2285</v>
      </c>
      <c r="B124" s="651"/>
      <c r="C124" s="236"/>
      <c r="D124" s="234"/>
      <c r="E124" s="234"/>
      <c r="F124" s="234"/>
      <c r="G124" s="234"/>
      <c r="H124" s="236"/>
      <c r="I124" s="847">
        <f t="shared" ref="I124:AN124" si="121">I57+I90</f>
        <v>0</v>
      </c>
      <c r="J124" s="847">
        <f t="shared" si="121"/>
        <v>0</v>
      </c>
      <c r="K124" s="847">
        <f t="shared" si="121"/>
        <v>0</v>
      </c>
      <c r="L124" s="847">
        <f t="shared" si="121"/>
        <v>0</v>
      </c>
      <c r="M124" s="661">
        <f t="shared" si="121"/>
        <v>0</v>
      </c>
      <c r="N124" s="847">
        <f t="shared" si="121"/>
        <v>0</v>
      </c>
      <c r="O124" s="847">
        <f t="shared" si="121"/>
        <v>0</v>
      </c>
      <c r="P124" s="847">
        <f t="shared" si="121"/>
        <v>0</v>
      </c>
      <c r="Q124" s="847">
        <f t="shared" si="121"/>
        <v>0</v>
      </c>
      <c r="R124" s="661">
        <f t="shared" si="121"/>
        <v>0</v>
      </c>
      <c r="S124" s="847">
        <f t="shared" si="121"/>
        <v>0</v>
      </c>
      <c r="T124" s="847">
        <f t="shared" si="121"/>
        <v>0</v>
      </c>
      <c r="U124" s="847">
        <f t="shared" si="121"/>
        <v>0</v>
      </c>
      <c r="V124" s="847">
        <f t="shared" si="121"/>
        <v>0</v>
      </c>
      <c r="W124" s="661">
        <f t="shared" si="121"/>
        <v>0</v>
      </c>
      <c r="X124" s="847">
        <f t="shared" si="121"/>
        <v>0</v>
      </c>
      <c r="Y124" s="847">
        <f t="shared" si="121"/>
        <v>0</v>
      </c>
      <c r="Z124" s="847">
        <f t="shared" si="121"/>
        <v>0</v>
      </c>
      <c r="AA124" s="847">
        <f t="shared" si="121"/>
        <v>0</v>
      </c>
      <c r="AB124" s="661">
        <f t="shared" si="121"/>
        <v>0</v>
      </c>
      <c r="AC124" s="847">
        <f t="shared" si="121"/>
        <v>0</v>
      </c>
      <c r="AD124" s="847">
        <f t="shared" si="121"/>
        <v>0</v>
      </c>
      <c r="AE124" s="847">
        <f t="shared" si="121"/>
        <v>0</v>
      </c>
      <c r="AF124" s="847">
        <f t="shared" si="121"/>
        <v>0</v>
      </c>
      <c r="AG124" s="661">
        <f t="shared" si="121"/>
        <v>0</v>
      </c>
      <c r="AH124" s="847">
        <f t="shared" si="121"/>
        <v>0</v>
      </c>
      <c r="AI124" s="847">
        <f t="shared" si="121"/>
        <v>0</v>
      </c>
      <c r="AJ124" s="847">
        <f t="shared" si="121"/>
        <v>0</v>
      </c>
      <c r="AK124" s="847">
        <f t="shared" si="121"/>
        <v>0</v>
      </c>
      <c r="AL124" s="661">
        <f t="shared" si="121"/>
        <v>0</v>
      </c>
      <c r="AM124" s="847">
        <f t="shared" si="121"/>
        <v>0</v>
      </c>
      <c r="AN124" s="847">
        <f t="shared" si="121"/>
        <v>0</v>
      </c>
      <c r="AO124" s="847">
        <f t="shared" ref="AO124:BT124" si="122">AO57+AO90</f>
        <v>0</v>
      </c>
      <c r="AP124" s="847">
        <f t="shared" si="122"/>
        <v>0</v>
      </c>
      <c r="AQ124" s="661">
        <f t="shared" si="122"/>
        <v>0</v>
      </c>
      <c r="AR124" s="847">
        <f t="shared" si="122"/>
        <v>0</v>
      </c>
      <c r="AS124" s="847">
        <f t="shared" si="122"/>
        <v>0</v>
      </c>
      <c r="AT124" s="847">
        <f t="shared" si="122"/>
        <v>0</v>
      </c>
      <c r="AU124" s="847">
        <f t="shared" si="122"/>
        <v>0</v>
      </c>
      <c r="AV124" s="661">
        <f t="shared" si="122"/>
        <v>0</v>
      </c>
      <c r="AW124" s="847">
        <f t="shared" si="122"/>
        <v>0</v>
      </c>
      <c r="AX124" s="847">
        <f t="shared" si="122"/>
        <v>0</v>
      </c>
      <c r="AY124" s="847">
        <f t="shared" si="122"/>
        <v>0</v>
      </c>
      <c r="AZ124" s="847">
        <f t="shared" si="122"/>
        <v>0</v>
      </c>
      <c r="BA124" s="661">
        <f t="shared" si="122"/>
        <v>0</v>
      </c>
      <c r="BB124" s="847">
        <f t="shared" si="122"/>
        <v>0</v>
      </c>
      <c r="BC124" s="847">
        <f t="shared" si="122"/>
        <v>0</v>
      </c>
      <c r="BD124" s="847">
        <f t="shared" si="122"/>
        <v>0</v>
      </c>
      <c r="BE124" s="847">
        <f t="shared" si="122"/>
        <v>0</v>
      </c>
      <c r="BF124" s="661">
        <f t="shared" si="122"/>
        <v>0</v>
      </c>
      <c r="BG124" s="847">
        <f t="shared" si="122"/>
        <v>0</v>
      </c>
      <c r="BH124" s="847">
        <f t="shared" si="122"/>
        <v>0</v>
      </c>
      <c r="BI124" s="847">
        <f t="shared" si="122"/>
        <v>0</v>
      </c>
      <c r="BJ124" s="847">
        <f t="shared" si="122"/>
        <v>0</v>
      </c>
      <c r="BK124" s="661">
        <f t="shared" si="122"/>
        <v>0</v>
      </c>
      <c r="BL124" s="847">
        <f t="shared" si="122"/>
        <v>0</v>
      </c>
      <c r="BM124" s="847">
        <f t="shared" si="122"/>
        <v>0</v>
      </c>
      <c r="BN124" s="847">
        <f t="shared" si="122"/>
        <v>0</v>
      </c>
      <c r="BO124" s="847">
        <f t="shared" si="122"/>
        <v>0</v>
      </c>
      <c r="BP124" s="661">
        <f t="shared" si="122"/>
        <v>0</v>
      </c>
      <c r="BQ124" s="847">
        <f t="shared" si="122"/>
        <v>0</v>
      </c>
      <c r="BR124" s="847">
        <f t="shared" si="122"/>
        <v>0</v>
      </c>
      <c r="BS124" s="847">
        <f t="shared" si="122"/>
        <v>0</v>
      </c>
      <c r="BT124" s="847">
        <f t="shared" si="122"/>
        <v>0</v>
      </c>
      <c r="BU124" s="661">
        <f t="shared" ref="BU124:CG124" si="123">BU57+BU90</f>
        <v>0</v>
      </c>
      <c r="BV124" s="847">
        <f t="shared" si="123"/>
        <v>0</v>
      </c>
      <c r="BW124" s="847">
        <f t="shared" si="123"/>
        <v>0</v>
      </c>
      <c r="BX124" s="847">
        <f t="shared" si="123"/>
        <v>0</v>
      </c>
      <c r="BY124" s="847">
        <f t="shared" si="123"/>
        <v>0</v>
      </c>
      <c r="BZ124" s="661">
        <f t="shared" si="123"/>
        <v>0</v>
      </c>
      <c r="CA124" s="847">
        <f t="shared" si="123"/>
        <v>0</v>
      </c>
      <c r="CB124" s="847">
        <f t="shared" si="123"/>
        <v>37</v>
      </c>
      <c r="CC124" s="847">
        <f t="shared" si="123"/>
        <v>37</v>
      </c>
      <c r="CD124" s="847">
        <f t="shared" si="123"/>
        <v>36</v>
      </c>
      <c r="CE124" s="661">
        <f t="shared" si="123"/>
        <v>36</v>
      </c>
      <c r="CF124" s="847">
        <f t="shared" si="123"/>
        <v>37</v>
      </c>
      <c r="CG124" s="847">
        <f t="shared" si="123"/>
        <v>37</v>
      </c>
      <c r="CH124" s="847">
        <f t="shared" ref="CH124:CM124" si="124">CH57+CH90</f>
        <v>37</v>
      </c>
      <c r="CI124" s="847">
        <f t="shared" si="124"/>
        <v>37</v>
      </c>
      <c r="CJ124" s="661">
        <f t="shared" si="124"/>
        <v>37</v>
      </c>
      <c r="CK124" s="2350">
        <f t="shared" si="124"/>
        <v>40</v>
      </c>
      <c r="CL124" s="2350">
        <f t="shared" si="124"/>
        <v>43</v>
      </c>
      <c r="CM124" s="2350">
        <f t="shared" si="124"/>
        <v>47</v>
      </c>
      <c r="CN124" s="847">
        <f t="shared" ref="CN124:CO124" si="125">CN57+CN90</f>
        <v>49</v>
      </c>
      <c r="CO124" s="661">
        <f t="shared" si="125"/>
        <v>49</v>
      </c>
      <c r="CP124" s="2350"/>
      <c r="CQ124" s="2350"/>
      <c r="CR124" s="212"/>
      <c r="CS124" s="212"/>
      <c r="CT124" s="194"/>
      <c r="CU124" s="194"/>
      <c r="CV124" s="194"/>
    </row>
    <row r="125" spans="1:100" x14ac:dyDescent="0.2">
      <c r="A125" s="1436" t="s">
        <v>384</v>
      </c>
      <c r="B125" s="651"/>
      <c r="C125" s="236"/>
      <c r="D125" s="234"/>
      <c r="E125" s="234"/>
      <c r="F125" s="234"/>
      <c r="G125" s="234"/>
      <c r="H125" s="236"/>
      <c r="I125" s="847">
        <f t="shared" ref="I125:AN125" si="126">I24+I58+I91</f>
        <v>0</v>
      </c>
      <c r="J125" s="847">
        <f t="shared" si="126"/>
        <v>0</v>
      </c>
      <c r="K125" s="847">
        <f t="shared" si="126"/>
        <v>0</v>
      </c>
      <c r="L125" s="847">
        <f t="shared" si="126"/>
        <v>0</v>
      </c>
      <c r="M125" s="661">
        <f t="shared" si="126"/>
        <v>0</v>
      </c>
      <c r="N125" s="847">
        <f t="shared" si="126"/>
        <v>0</v>
      </c>
      <c r="O125" s="847">
        <f t="shared" si="126"/>
        <v>0</v>
      </c>
      <c r="P125" s="847">
        <f t="shared" si="126"/>
        <v>0</v>
      </c>
      <c r="Q125" s="847">
        <f t="shared" si="126"/>
        <v>0</v>
      </c>
      <c r="R125" s="661">
        <f t="shared" si="126"/>
        <v>0</v>
      </c>
      <c r="S125" s="847">
        <f t="shared" si="126"/>
        <v>0</v>
      </c>
      <c r="T125" s="847">
        <f t="shared" si="126"/>
        <v>0</v>
      </c>
      <c r="U125" s="847">
        <f t="shared" si="126"/>
        <v>0</v>
      </c>
      <c r="V125" s="847">
        <f t="shared" si="126"/>
        <v>0</v>
      </c>
      <c r="W125" s="661">
        <f t="shared" si="126"/>
        <v>0</v>
      </c>
      <c r="X125" s="847">
        <f t="shared" si="126"/>
        <v>0</v>
      </c>
      <c r="Y125" s="847">
        <f t="shared" si="126"/>
        <v>0</v>
      </c>
      <c r="Z125" s="847">
        <f t="shared" si="126"/>
        <v>0</v>
      </c>
      <c r="AA125" s="847">
        <f t="shared" si="126"/>
        <v>0</v>
      </c>
      <c r="AB125" s="661">
        <f t="shared" si="126"/>
        <v>0</v>
      </c>
      <c r="AC125" s="847">
        <f t="shared" si="126"/>
        <v>0</v>
      </c>
      <c r="AD125" s="847">
        <f t="shared" si="126"/>
        <v>0</v>
      </c>
      <c r="AE125" s="847">
        <f t="shared" si="126"/>
        <v>0</v>
      </c>
      <c r="AF125" s="847">
        <f t="shared" si="126"/>
        <v>0</v>
      </c>
      <c r="AG125" s="661">
        <f t="shared" si="126"/>
        <v>0</v>
      </c>
      <c r="AH125" s="847">
        <f t="shared" si="126"/>
        <v>0</v>
      </c>
      <c r="AI125" s="847">
        <f t="shared" si="126"/>
        <v>0</v>
      </c>
      <c r="AJ125" s="847">
        <f t="shared" si="126"/>
        <v>0</v>
      </c>
      <c r="AK125" s="847">
        <f t="shared" si="126"/>
        <v>0</v>
      </c>
      <c r="AL125" s="661">
        <f t="shared" si="126"/>
        <v>0</v>
      </c>
      <c r="AM125" s="847">
        <f t="shared" si="126"/>
        <v>0</v>
      </c>
      <c r="AN125" s="847">
        <f t="shared" si="126"/>
        <v>0</v>
      </c>
      <c r="AO125" s="847">
        <f t="shared" ref="AO125:BT125" si="127">AO24+AO58+AO91</f>
        <v>0</v>
      </c>
      <c r="AP125" s="847">
        <f t="shared" si="127"/>
        <v>0</v>
      </c>
      <c r="AQ125" s="661">
        <f t="shared" si="127"/>
        <v>0</v>
      </c>
      <c r="AR125" s="847">
        <f t="shared" si="127"/>
        <v>0</v>
      </c>
      <c r="AS125" s="847">
        <f t="shared" si="127"/>
        <v>0</v>
      </c>
      <c r="AT125" s="847">
        <f t="shared" si="127"/>
        <v>0</v>
      </c>
      <c r="AU125" s="847">
        <f t="shared" si="127"/>
        <v>0</v>
      </c>
      <c r="AV125" s="661">
        <f t="shared" si="127"/>
        <v>0</v>
      </c>
      <c r="AW125" s="847">
        <f t="shared" si="127"/>
        <v>0</v>
      </c>
      <c r="AX125" s="847">
        <f t="shared" si="127"/>
        <v>0</v>
      </c>
      <c r="AY125" s="847">
        <f t="shared" si="127"/>
        <v>0</v>
      </c>
      <c r="AZ125" s="847">
        <f t="shared" si="127"/>
        <v>0</v>
      </c>
      <c r="BA125" s="661">
        <f t="shared" si="127"/>
        <v>0</v>
      </c>
      <c r="BB125" s="847">
        <f t="shared" si="127"/>
        <v>0</v>
      </c>
      <c r="BC125" s="847">
        <f t="shared" si="127"/>
        <v>0</v>
      </c>
      <c r="BD125" s="847">
        <f t="shared" si="127"/>
        <v>0</v>
      </c>
      <c r="BE125" s="847">
        <f t="shared" si="127"/>
        <v>0</v>
      </c>
      <c r="BF125" s="661">
        <f t="shared" si="127"/>
        <v>0</v>
      </c>
      <c r="BG125" s="847">
        <f t="shared" si="127"/>
        <v>0</v>
      </c>
      <c r="BH125" s="847">
        <f t="shared" si="127"/>
        <v>0</v>
      </c>
      <c r="BI125" s="847">
        <f t="shared" si="127"/>
        <v>0</v>
      </c>
      <c r="BJ125" s="847">
        <f t="shared" si="127"/>
        <v>0</v>
      </c>
      <c r="BK125" s="661">
        <f t="shared" si="127"/>
        <v>0</v>
      </c>
      <c r="BL125" s="847">
        <f t="shared" si="127"/>
        <v>0</v>
      </c>
      <c r="BM125" s="847">
        <f t="shared" si="127"/>
        <v>0</v>
      </c>
      <c r="BN125" s="847">
        <f t="shared" si="127"/>
        <v>0</v>
      </c>
      <c r="BO125" s="847">
        <f t="shared" si="127"/>
        <v>0</v>
      </c>
      <c r="BP125" s="661">
        <f t="shared" si="127"/>
        <v>0</v>
      </c>
      <c r="BQ125" s="847">
        <f t="shared" si="127"/>
        <v>0</v>
      </c>
      <c r="BR125" s="847">
        <f t="shared" si="127"/>
        <v>0</v>
      </c>
      <c r="BS125" s="847">
        <f t="shared" si="127"/>
        <v>0</v>
      </c>
      <c r="BT125" s="847">
        <f t="shared" si="127"/>
        <v>0</v>
      </c>
      <c r="BU125" s="661">
        <f t="shared" ref="BU125:CG125" si="128">BU24+BU58+BU91</f>
        <v>0</v>
      </c>
      <c r="BV125" s="847">
        <f t="shared" si="128"/>
        <v>0</v>
      </c>
      <c r="BW125" s="847">
        <f t="shared" si="128"/>
        <v>0</v>
      </c>
      <c r="BX125" s="847">
        <f t="shared" si="128"/>
        <v>0</v>
      </c>
      <c r="BY125" s="847">
        <f t="shared" si="128"/>
        <v>0</v>
      </c>
      <c r="BZ125" s="661">
        <f t="shared" si="128"/>
        <v>0</v>
      </c>
      <c r="CA125" s="847">
        <f t="shared" si="128"/>
        <v>0</v>
      </c>
      <c r="CB125" s="847">
        <f t="shared" si="128"/>
        <v>0</v>
      </c>
      <c r="CC125" s="847">
        <f t="shared" si="128"/>
        <v>0</v>
      </c>
      <c r="CD125" s="847">
        <f t="shared" si="128"/>
        <v>0</v>
      </c>
      <c r="CE125" s="661">
        <f t="shared" si="128"/>
        <v>0</v>
      </c>
      <c r="CF125" s="847">
        <f t="shared" si="128"/>
        <v>0</v>
      </c>
      <c r="CG125" s="847">
        <f t="shared" si="128"/>
        <v>0</v>
      </c>
      <c r="CH125" s="847">
        <f t="shared" ref="CH125:CM125" si="129">CH24+CH58+CH91</f>
        <v>0</v>
      </c>
      <c r="CI125" s="847">
        <f t="shared" si="129"/>
        <v>0</v>
      </c>
      <c r="CJ125" s="661">
        <f t="shared" si="129"/>
        <v>0</v>
      </c>
      <c r="CK125" s="2350">
        <f t="shared" si="129"/>
        <v>0</v>
      </c>
      <c r="CL125" s="2350">
        <f t="shared" si="129"/>
        <v>0</v>
      </c>
      <c r="CM125" s="2350">
        <f t="shared" si="129"/>
        <v>0</v>
      </c>
      <c r="CN125" s="847">
        <f t="shared" ref="CN125:CO125" si="130">CN24+CN58+CN91</f>
        <v>0</v>
      </c>
      <c r="CO125" s="661">
        <f t="shared" si="130"/>
        <v>0</v>
      </c>
      <c r="CP125" s="2350"/>
      <c r="CQ125" s="2350"/>
      <c r="CR125" s="212"/>
      <c r="CS125" s="212"/>
      <c r="CT125" s="194"/>
      <c r="CU125" s="194"/>
      <c r="CV125" s="194"/>
    </row>
    <row r="126" spans="1:100" ht="4.5" customHeight="1" x14ac:dyDescent="0.2">
      <c r="A126" s="1436"/>
      <c r="B126" s="651"/>
      <c r="C126" s="236"/>
      <c r="D126" s="234"/>
      <c r="E126" s="234"/>
      <c r="F126" s="234"/>
      <c r="G126" s="234"/>
      <c r="H126" s="236"/>
      <c r="I126" s="847"/>
      <c r="J126" s="847"/>
      <c r="K126" s="847"/>
      <c r="L126" s="847"/>
      <c r="M126" s="661"/>
      <c r="N126" s="847"/>
      <c r="O126" s="847"/>
      <c r="P126" s="847"/>
      <c r="Q126" s="847"/>
      <c r="R126" s="661"/>
      <c r="S126" s="847"/>
      <c r="T126" s="847"/>
      <c r="U126" s="847"/>
      <c r="V126" s="847"/>
      <c r="W126" s="661"/>
      <c r="X126" s="847"/>
      <c r="Y126" s="847"/>
      <c r="Z126" s="847"/>
      <c r="AA126" s="847"/>
      <c r="AB126" s="661"/>
      <c r="AC126" s="847"/>
      <c r="AD126" s="847"/>
      <c r="AE126" s="847"/>
      <c r="AF126" s="847"/>
      <c r="AG126" s="661"/>
      <c r="AH126" s="847"/>
      <c r="AI126" s="847"/>
      <c r="AJ126" s="847"/>
      <c r="AK126" s="847"/>
      <c r="AL126" s="661"/>
      <c r="AM126" s="847"/>
      <c r="AN126" s="847"/>
      <c r="AO126" s="847"/>
      <c r="AP126" s="847"/>
      <c r="AQ126" s="661"/>
      <c r="AR126" s="847"/>
      <c r="AS126" s="847"/>
      <c r="AT126" s="847"/>
      <c r="AU126" s="847"/>
      <c r="AV126" s="661"/>
      <c r="AW126" s="847"/>
      <c r="AX126" s="847"/>
      <c r="AY126" s="847"/>
      <c r="AZ126" s="847"/>
      <c r="BA126" s="661"/>
      <c r="BB126" s="847"/>
      <c r="BC126" s="847"/>
      <c r="BD126" s="847"/>
      <c r="BE126" s="847"/>
      <c r="BF126" s="661"/>
      <c r="BG126" s="847"/>
      <c r="BH126" s="847"/>
      <c r="BI126" s="847"/>
      <c r="BJ126" s="847"/>
      <c r="BK126" s="661"/>
      <c r="BL126" s="847"/>
      <c r="BM126" s="847"/>
      <c r="BN126" s="847"/>
      <c r="BO126" s="847"/>
      <c r="BP126" s="661"/>
      <c r="BQ126" s="847"/>
      <c r="BR126" s="847"/>
      <c r="BS126" s="847"/>
      <c r="BT126" s="847"/>
      <c r="BU126" s="661"/>
      <c r="BV126" s="847"/>
      <c r="BW126" s="847"/>
      <c r="BX126" s="847"/>
      <c r="BY126" s="847"/>
      <c r="BZ126" s="661"/>
      <c r="CA126" s="847"/>
      <c r="CB126" s="847"/>
      <c r="CC126" s="847"/>
      <c r="CD126" s="847"/>
      <c r="CE126" s="661"/>
      <c r="CF126" s="847"/>
      <c r="CG126" s="847"/>
      <c r="CH126" s="212"/>
      <c r="CI126" s="212"/>
      <c r="CJ126" s="194"/>
      <c r="CK126" s="2907"/>
      <c r="CL126" s="2907"/>
      <c r="CM126" s="2907"/>
      <c r="CN126" s="212"/>
      <c r="CO126" s="194"/>
      <c r="CP126" s="2907"/>
      <c r="CQ126" s="2907"/>
      <c r="CR126" s="212"/>
      <c r="CS126" s="212"/>
      <c r="CT126" s="194"/>
      <c r="CU126" s="194"/>
      <c r="CV126" s="194"/>
    </row>
    <row r="127" spans="1:100" x14ac:dyDescent="0.2">
      <c r="A127" s="2434" t="s">
        <v>2454</v>
      </c>
      <c r="B127" s="651"/>
      <c r="C127" s="236"/>
      <c r="D127" s="234"/>
      <c r="E127" s="234"/>
      <c r="F127" s="234"/>
      <c r="G127" s="234"/>
      <c r="H127" s="236"/>
      <c r="I127" s="847"/>
      <c r="J127" s="847"/>
      <c r="K127" s="847"/>
      <c r="L127" s="847"/>
      <c r="M127" s="661"/>
      <c r="N127" s="847"/>
      <c r="O127" s="847"/>
      <c r="P127" s="847"/>
      <c r="Q127" s="847"/>
      <c r="R127" s="661"/>
      <c r="S127" s="847"/>
      <c r="T127" s="847"/>
      <c r="U127" s="847"/>
      <c r="V127" s="847"/>
      <c r="W127" s="661"/>
      <c r="X127" s="847"/>
      <c r="Y127" s="847"/>
      <c r="Z127" s="847"/>
      <c r="AA127" s="847"/>
      <c r="AB127" s="661"/>
      <c r="AC127" s="847"/>
      <c r="AD127" s="847"/>
      <c r="AE127" s="847"/>
      <c r="AF127" s="847"/>
      <c r="AG127" s="661"/>
      <c r="AH127" s="847"/>
      <c r="AI127" s="847"/>
      <c r="AJ127" s="847"/>
      <c r="AK127" s="847"/>
      <c r="AL127" s="661"/>
      <c r="AM127" s="847"/>
      <c r="AN127" s="847"/>
      <c r="AO127" s="847"/>
      <c r="AP127" s="847"/>
      <c r="AQ127" s="661"/>
      <c r="AR127" s="847"/>
      <c r="AS127" s="847"/>
      <c r="AT127" s="847"/>
      <c r="AU127" s="847"/>
      <c r="AV127" s="661"/>
      <c r="AW127" s="847"/>
      <c r="AX127" s="847"/>
      <c r="AY127" s="847"/>
      <c r="AZ127" s="847"/>
      <c r="BA127" s="661"/>
      <c r="BB127" s="847"/>
      <c r="BC127" s="847"/>
      <c r="BD127" s="847"/>
      <c r="BE127" s="847"/>
      <c r="BF127" s="661"/>
      <c r="BG127" s="847"/>
      <c r="BH127" s="847"/>
      <c r="BI127" s="847"/>
      <c r="BJ127" s="847"/>
      <c r="BK127" s="661"/>
      <c r="BL127" s="847"/>
      <c r="BM127" s="847"/>
      <c r="BN127" s="847"/>
      <c r="BO127" s="847"/>
      <c r="BP127" s="661"/>
      <c r="BQ127" s="847"/>
      <c r="BR127" s="847"/>
      <c r="BS127" s="847"/>
      <c r="BT127" s="847"/>
      <c r="BU127" s="661"/>
      <c r="BV127" s="847"/>
      <c r="BW127" s="847"/>
      <c r="BX127" s="847"/>
      <c r="BY127" s="847"/>
      <c r="BZ127" s="661"/>
      <c r="CA127" s="847"/>
      <c r="CB127" s="847"/>
      <c r="CC127" s="847"/>
      <c r="CD127" s="847"/>
      <c r="CE127" s="661"/>
      <c r="CF127" s="847"/>
      <c r="CG127" s="3008">
        <f t="shared" ref="CG127:CG136" si="131">CG26+CG60+CG93</f>
        <v>0</v>
      </c>
      <c r="CH127" s="212">
        <f t="shared" ref="CH127:CJ136" si="132">+CH26+CH60+CH93</f>
        <v>195</v>
      </c>
      <c r="CI127" s="212">
        <f t="shared" si="132"/>
        <v>196</v>
      </c>
      <c r="CJ127" s="194">
        <f t="shared" ref="CJ127:CK135" si="133">+CJ26+CJ60+CJ93</f>
        <v>196</v>
      </c>
      <c r="CK127" s="2907">
        <f t="shared" si="133"/>
        <v>196</v>
      </c>
      <c r="CL127" s="2907">
        <f t="shared" ref="CL127:CO136" si="134">+CL26+CL60+CL93</f>
        <v>195</v>
      </c>
      <c r="CM127" s="2907">
        <f t="shared" si="134"/>
        <v>194</v>
      </c>
      <c r="CN127" s="212">
        <f t="shared" si="134"/>
        <v>192</v>
      </c>
      <c r="CO127" s="194">
        <f t="shared" si="134"/>
        <v>192</v>
      </c>
      <c r="CP127" s="2907"/>
      <c r="CQ127" s="2907"/>
      <c r="CR127" s="212"/>
      <c r="CS127" s="212"/>
      <c r="CT127" s="194"/>
      <c r="CU127" s="194"/>
      <c r="CV127" s="194"/>
    </row>
    <row r="128" spans="1:100" x14ac:dyDescent="0.2">
      <c r="A128" s="2434" t="s">
        <v>2455</v>
      </c>
      <c r="B128" s="651"/>
      <c r="C128" s="236"/>
      <c r="D128" s="234"/>
      <c r="E128" s="234"/>
      <c r="F128" s="234"/>
      <c r="G128" s="234"/>
      <c r="H128" s="236"/>
      <c r="I128" s="847"/>
      <c r="J128" s="847"/>
      <c r="K128" s="847"/>
      <c r="L128" s="847"/>
      <c r="M128" s="661"/>
      <c r="N128" s="847"/>
      <c r="O128" s="847"/>
      <c r="P128" s="847"/>
      <c r="Q128" s="847"/>
      <c r="R128" s="661"/>
      <c r="S128" s="847"/>
      <c r="T128" s="847"/>
      <c r="U128" s="847"/>
      <c r="V128" s="847"/>
      <c r="W128" s="661"/>
      <c r="X128" s="847"/>
      <c r="Y128" s="847"/>
      <c r="Z128" s="847"/>
      <c r="AA128" s="847"/>
      <c r="AB128" s="661"/>
      <c r="AC128" s="847"/>
      <c r="AD128" s="847"/>
      <c r="AE128" s="847"/>
      <c r="AF128" s="847"/>
      <c r="AG128" s="661"/>
      <c r="AH128" s="847"/>
      <c r="AI128" s="847"/>
      <c r="AJ128" s="847"/>
      <c r="AK128" s="847"/>
      <c r="AL128" s="661"/>
      <c r="AM128" s="847"/>
      <c r="AN128" s="847"/>
      <c r="AO128" s="847"/>
      <c r="AP128" s="847"/>
      <c r="AQ128" s="661"/>
      <c r="AR128" s="847"/>
      <c r="AS128" s="847"/>
      <c r="AT128" s="847"/>
      <c r="AU128" s="847"/>
      <c r="AV128" s="661"/>
      <c r="AW128" s="847"/>
      <c r="AX128" s="847"/>
      <c r="AY128" s="847"/>
      <c r="AZ128" s="847"/>
      <c r="BA128" s="661"/>
      <c r="BB128" s="847"/>
      <c r="BC128" s="847"/>
      <c r="BD128" s="847"/>
      <c r="BE128" s="847"/>
      <c r="BF128" s="661"/>
      <c r="BG128" s="847"/>
      <c r="BH128" s="847"/>
      <c r="BI128" s="847"/>
      <c r="BJ128" s="847"/>
      <c r="BK128" s="661"/>
      <c r="BL128" s="847"/>
      <c r="BM128" s="847"/>
      <c r="BN128" s="847"/>
      <c r="BO128" s="847"/>
      <c r="BP128" s="661"/>
      <c r="BQ128" s="847"/>
      <c r="BR128" s="847"/>
      <c r="BS128" s="847"/>
      <c r="BT128" s="847"/>
      <c r="BU128" s="661"/>
      <c r="BV128" s="847"/>
      <c r="BW128" s="847"/>
      <c r="BX128" s="847"/>
      <c r="BY128" s="847"/>
      <c r="BZ128" s="661"/>
      <c r="CA128" s="847"/>
      <c r="CB128" s="847"/>
      <c r="CC128" s="847"/>
      <c r="CD128" s="847"/>
      <c r="CE128" s="661"/>
      <c r="CF128" s="847"/>
      <c r="CG128" s="3008">
        <f t="shared" si="131"/>
        <v>0</v>
      </c>
      <c r="CH128" s="212">
        <f t="shared" si="132"/>
        <v>125</v>
      </c>
      <c r="CI128" s="212">
        <f t="shared" si="132"/>
        <v>125</v>
      </c>
      <c r="CJ128" s="194">
        <f t="shared" si="133"/>
        <v>125</v>
      </c>
      <c r="CK128" s="2907">
        <f t="shared" si="133"/>
        <v>124</v>
      </c>
      <c r="CL128" s="2907">
        <f t="shared" si="134"/>
        <v>125</v>
      </c>
      <c r="CM128" s="2907">
        <f t="shared" si="134"/>
        <v>127</v>
      </c>
      <c r="CN128" s="212">
        <f t="shared" si="134"/>
        <v>128</v>
      </c>
      <c r="CO128" s="194">
        <f t="shared" si="134"/>
        <v>128</v>
      </c>
      <c r="CP128" s="2907"/>
      <c r="CQ128" s="2907"/>
      <c r="CR128" s="212"/>
      <c r="CS128" s="212"/>
      <c r="CT128" s="194"/>
      <c r="CU128" s="194"/>
      <c r="CV128" s="194"/>
    </row>
    <row r="129" spans="1:256" x14ac:dyDescent="0.2">
      <c r="A129" s="2434" t="s">
        <v>2456</v>
      </c>
      <c r="B129" s="651"/>
      <c r="C129" s="236"/>
      <c r="D129" s="234"/>
      <c r="E129" s="234"/>
      <c r="F129" s="234"/>
      <c r="G129" s="234"/>
      <c r="H129" s="236"/>
      <c r="I129" s="847"/>
      <c r="J129" s="847"/>
      <c r="K129" s="847"/>
      <c r="L129" s="847"/>
      <c r="M129" s="661"/>
      <c r="N129" s="847"/>
      <c r="O129" s="847"/>
      <c r="P129" s="847"/>
      <c r="Q129" s="847"/>
      <c r="R129" s="661"/>
      <c r="S129" s="847"/>
      <c r="T129" s="847"/>
      <c r="U129" s="847"/>
      <c r="V129" s="847"/>
      <c r="W129" s="661"/>
      <c r="X129" s="847"/>
      <c r="Y129" s="847"/>
      <c r="Z129" s="847"/>
      <c r="AA129" s="847"/>
      <c r="AB129" s="661"/>
      <c r="AC129" s="847"/>
      <c r="AD129" s="847"/>
      <c r="AE129" s="847"/>
      <c r="AF129" s="847"/>
      <c r="AG129" s="661"/>
      <c r="AH129" s="847"/>
      <c r="AI129" s="847"/>
      <c r="AJ129" s="847"/>
      <c r="AK129" s="847"/>
      <c r="AL129" s="661"/>
      <c r="AM129" s="847"/>
      <c r="AN129" s="847"/>
      <c r="AO129" s="847"/>
      <c r="AP129" s="847"/>
      <c r="AQ129" s="661"/>
      <c r="AR129" s="847"/>
      <c r="AS129" s="847"/>
      <c r="AT129" s="847"/>
      <c r="AU129" s="847"/>
      <c r="AV129" s="661"/>
      <c r="AW129" s="847"/>
      <c r="AX129" s="847"/>
      <c r="AY129" s="847"/>
      <c r="AZ129" s="847"/>
      <c r="BA129" s="661"/>
      <c r="BB129" s="847"/>
      <c r="BC129" s="847"/>
      <c r="BD129" s="847"/>
      <c r="BE129" s="847"/>
      <c r="BF129" s="661"/>
      <c r="BG129" s="847"/>
      <c r="BH129" s="847"/>
      <c r="BI129" s="847"/>
      <c r="BJ129" s="847"/>
      <c r="BK129" s="661"/>
      <c r="BL129" s="847"/>
      <c r="BM129" s="847"/>
      <c r="BN129" s="847"/>
      <c r="BO129" s="847"/>
      <c r="BP129" s="661"/>
      <c r="BQ129" s="847"/>
      <c r="BR129" s="847"/>
      <c r="BS129" s="847"/>
      <c r="BT129" s="847"/>
      <c r="BU129" s="661"/>
      <c r="BV129" s="847"/>
      <c r="BW129" s="847"/>
      <c r="BX129" s="847"/>
      <c r="BY129" s="847"/>
      <c r="BZ129" s="661"/>
      <c r="CA129" s="847"/>
      <c r="CB129" s="847"/>
      <c r="CC129" s="847"/>
      <c r="CD129" s="847"/>
      <c r="CE129" s="661"/>
      <c r="CF129" s="847"/>
      <c r="CG129" s="3008">
        <f t="shared" si="131"/>
        <v>0</v>
      </c>
      <c r="CH129" s="212">
        <f t="shared" si="132"/>
        <v>128</v>
      </c>
      <c r="CI129" s="212">
        <f t="shared" si="132"/>
        <v>132</v>
      </c>
      <c r="CJ129" s="194">
        <f t="shared" si="133"/>
        <v>132</v>
      </c>
      <c r="CK129" s="2907">
        <f t="shared" si="133"/>
        <v>132</v>
      </c>
      <c r="CL129" s="2907">
        <f t="shared" si="134"/>
        <v>137</v>
      </c>
      <c r="CM129" s="2907">
        <f t="shared" si="134"/>
        <v>138</v>
      </c>
      <c r="CN129" s="212">
        <f t="shared" si="134"/>
        <v>141</v>
      </c>
      <c r="CO129" s="194">
        <f t="shared" si="134"/>
        <v>141</v>
      </c>
      <c r="CP129" s="2907"/>
      <c r="CQ129" s="2907"/>
      <c r="CR129" s="212"/>
      <c r="CS129" s="212"/>
      <c r="CT129" s="194"/>
      <c r="CU129" s="194"/>
      <c r="CV129" s="194"/>
    </row>
    <row r="130" spans="1:256" x14ac:dyDescent="0.2">
      <c r="A130" s="2434" t="s">
        <v>2457</v>
      </c>
      <c r="B130" s="651"/>
      <c r="C130" s="236"/>
      <c r="D130" s="234"/>
      <c r="E130" s="234"/>
      <c r="F130" s="234"/>
      <c r="G130" s="234"/>
      <c r="H130" s="236"/>
      <c r="I130" s="847"/>
      <c r="J130" s="847"/>
      <c r="K130" s="847"/>
      <c r="L130" s="847"/>
      <c r="M130" s="661"/>
      <c r="N130" s="847"/>
      <c r="O130" s="847"/>
      <c r="P130" s="847"/>
      <c r="Q130" s="847"/>
      <c r="R130" s="661"/>
      <c r="S130" s="847"/>
      <c r="T130" s="847"/>
      <c r="U130" s="847"/>
      <c r="V130" s="847"/>
      <c r="W130" s="661"/>
      <c r="X130" s="847"/>
      <c r="Y130" s="847"/>
      <c r="Z130" s="847"/>
      <c r="AA130" s="847"/>
      <c r="AB130" s="661"/>
      <c r="AC130" s="847"/>
      <c r="AD130" s="847"/>
      <c r="AE130" s="847"/>
      <c r="AF130" s="847"/>
      <c r="AG130" s="661"/>
      <c r="AH130" s="847"/>
      <c r="AI130" s="847"/>
      <c r="AJ130" s="847"/>
      <c r="AK130" s="847"/>
      <c r="AL130" s="661"/>
      <c r="AM130" s="847"/>
      <c r="AN130" s="847"/>
      <c r="AO130" s="847"/>
      <c r="AP130" s="847"/>
      <c r="AQ130" s="661"/>
      <c r="AR130" s="847"/>
      <c r="AS130" s="847"/>
      <c r="AT130" s="847"/>
      <c r="AU130" s="847"/>
      <c r="AV130" s="661"/>
      <c r="AW130" s="847"/>
      <c r="AX130" s="847"/>
      <c r="AY130" s="847"/>
      <c r="AZ130" s="847"/>
      <c r="BA130" s="661"/>
      <c r="BB130" s="847"/>
      <c r="BC130" s="847"/>
      <c r="BD130" s="847"/>
      <c r="BE130" s="847"/>
      <c r="BF130" s="661"/>
      <c r="BG130" s="847"/>
      <c r="BH130" s="847"/>
      <c r="BI130" s="847"/>
      <c r="BJ130" s="847"/>
      <c r="BK130" s="661"/>
      <c r="BL130" s="847"/>
      <c r="BM130" s="847"/>
      <c r="BN130" s="847"/>
      <c r="BO130" s="847"/>
      <c r="BP130" s="661"/>
      <c r="BQ130" s="847"/>
      <c r="BR130" s="847"/>
      <c r="BS130" s="847"/>
      <c r="BT130" s="847"/>
      <c r="BU130" s="661"/>
      <c r="BV130" s="847"/>
      <c r="BW130" s="847"/>
      <c r="BX130" s="847"/>
      <c r="BY130" s="847"/>
      <c r="BZ130" s="661"/>
      <c r="CA130" s="847"/>
      <c r="CB130" s="847"/>
      <c r="CC130" s="847"/>
      <c r="CD130" s="847"/>
      <c r="CE130" s="661"/>
      <c r="CF130" s="847"/>
      <c r="CG130" s="3008">
        <f t="shared" si="131"/>
        <v>0</v>
      </c>
      <c r="CH130" s="212">
        <f t="shared" si="132"/>
        <v>25</v>
      </c>
      <c r="CI130" s="212">
        <f t="shared" si="132"/>
        <v>26</v>
      </c>
      <c r="CJ130" s="194">
        <f t="shared" si="133"/>
        <v>26</v>
      </c>
      <c r="CK130" s="2907">
        <f t="shared" si="133"/>
        <v>26</v>
      </c>
      <c r="CL130" s="2907">
        <f t="shared" si="134"/>
        <v>27</v>
      </c>
      <c r="CM130" s="2907">
        <f t="shared" si="134"/>
        <v>27</v>
      </c>
      <c r="CN130" s="212">
        <f t="shared" si="134"/>
        <v>27</v>
      </c>
      <c r="CO130" s="194">
        <f t="shared" si="134"/>
        <v>27</v>
      </c>
      <c r="CP130" s="2907"/>
      <c r="CQ130" s="2907"/>
      <c r="CR130" s="212"/>
      <c r="CS130" s="212"/>
      <c r="CT130" s="194"/>
      <c r="CU130" s="194"/>
      <c r="CV130" s="194"/>
    </row>
    <row r="131" spans="1:256" x14ac:dyDescent="0.2">
      <c r="A131" s="2434" t="s">
        <v>2458</v>
      </c>
      <c r="B131" s="651"/>
      <c r="C131" s="236"/>
      <c r="D131" s="234"/>
      <c r="E131" s="234"/>
      <c r="F131" s="234"/>
      <c r="G131" s="234"/>
      <c r="H131" s="236"/>
      <c r="I131" s="847"/>
      <c r="J131" s="847"/>
      <c r="K131" s="847"/>
      <c r="L131" s="847"/>
      <c r="M131" s="661"/>
      <c r="N131" s="847"/>
      <c r="O131" s="847"/>
      <c r="P131" s="847"/>
      <c r="Q131" s="847"/>
      <c r="R131" s="661"/>
      <c r="S131" s="847"/>
      <c r="T131" s="847"/>
      <c r="U131" s="847"/>
      <c r="V131" s="847"/>
      <c r="W131" s="661"/>
      <c r="X131" s="847"/>
      <c r="Y131" s="847"/>
      <c r="Z131" s="847"/>
      <c r="AA131" s="847"/>
      <c r="AB131" s="661"/>
      <c r="AC131" s="847"/>
      <c r="AD131" s="847"/>
      <c r="AE131" s="847"/>
      <c r="AF131" s="847"/>
      <c r="AG131" s="661"/>
      <c r="AH131" s="847"/>
      <c r="AI131" s="847"/>
      <c r="AJ131" s="847"/>
      <c r="AK131" s="847"/>
      <c r="AL131" s="661"/>
      <c r="AM131" s="847"/>
      <c r="AN131" s="847"/>
      <c r="AO131" s="847"/>
      <c r="AP131" s="847"/>
      <c r="AQ131" s="661"/>
      <c r="AR131" s="847"/>
      <c r="AS131" s="847"/>
      <c r="AT131" s="847"/>
      <c r="AU131" s="847"/>
      <c r="AV131" s="661"/>
      <c r="AW131" s="847"/>
      <c r="AX131" s="847"/>
      <c r="AY131" s="847"/>
      <c r="AZ131" s="847"/>
      <c r="BA131" s="661"/>
      <c r="BB131" s="847"/>
      <c r="BC131" s="847"/>
      <c r="BD131" s="847"/>
      <c r="BE131" s="847"/>
      <c r="BF131" s="661"/>
      <c r="BG131" s="847"/>
      <c r="BH131" s="847"/>
      <c r="BI131" s="847"/>
      <c r="BJ131" s="847"/>
      <c r="BK131" s="661"/>
      <c r="BL131" s="847"/>
      <c r="BM131" s="847"/>
      <c r="BN131" s="847"/>
      <c r="BO131" s="847"/>
      <c r="BP131" s="661"/>
      <c r="BQ131" s="847"/>
      <c r="BR131" s="847"/>
      <c r="BS131" s="847"/>
      <c r="BT131" s="847"/>
      <c r="BU131" s="661"/>
      <c r="BV131" s="847"/>
      <c r="BW131" s="847"/>
      <c r="BX131" s="847"/>
      <c r="BY131" s="847"/>
      <c r="BZ131" s="661"/>
      <c r="CA131" s="847"/>
      <c r="CB131" s="847"/>
      <c r="CC131" s="847"/>
      <c r="CD131" s="847"/>
      <c r="CE131" s="661"/>
      <c r="CF131" s="847"/>
      <c r="CG131" s="3008">
        <f t="shared" si="131"/>
        <v>0</v>
      </c>
      <c r="CH131" s="212">
        <f t="shared" si="132"/>
        <v>15</v>
      </c>
      <c r="CI131" s="212">
        <f t="shared" si="132"/>
        <v>14</v>
      </c>
      <c r="CJ131" s="194">
        <f t="shared" si="133"/>
        <v>14</v>
      </c>
      <c r="CK131" s="2907">
        <f t="shared" si="133"/>
        <v>14</v>
      </c>
      <c r="CL131" s="2907">
        <f t="shared" si="134"/>
        <v>14</v>
      </c>
      <c r="CM131" s="2907">
        <f t="shared" si="134"/>
        <v>14</v>
      </c>
      <c r="CN131" s="212">
        <f t="shared" si="134"/>
        <v>16</v>
      </c>
      <c r="CO131" s="194">
        <f t="shared" si="134"/>
        <v>16</v>
      </c>
      <c r="CP131" s="2907"/>
      <c r="CQ131" s="2907"/>
      <c r="CR131" s="212"/>
      <c r="CS131" s="212"/>
      <c r="CT131" s="194"/>
      <c r="CU131" s="194"/>
      <c r="CV131" s="194"/>
    </row>
    <row r="132" spans="1:256" x14ac:dyDescent="0.2">
      <c r="A132" s="2434" t="s">
        <v>2459</v>
      </c>
      <c r="B132" s="651"/>
      <c r="C132" s="236"/>
      <c r="D132" s="234"/>
      <c r="E132" s="234"/>
      <c r="F132" s="234"/>
      <c r="G132" s="234"/>
      <c r="H132" s="236"/>
      <c r="I132" s="847"/>
      <c r="J132" s="847"/>
      <c r="K132" s="847"/>
      <c r="L132" s="847"/>
      <c r="M132" s="661"/>
      <c r="N132" s="847"/>
      <c r="O132" s="847"/>
      <c r="P132" s="847"/>
      <c r="Q132" s="847"/>
      <c r="R132" s="661"/>
      <c r="S132" s="847"/>
      <c r="T132" s="847"/>
      <c r="U132" s="847"/>
      <c r="V132" s="847"/>
      <c r="W132" s="661"/>
      <c r="X132" s="847"/>
      <c r="Y132" s="847"/>
      <c r="Z132" s="847"/>
      <c r="AA132" s="847"/>
      <c r="AB132" s="661"/>
      <c r="AC132" s="847"/>
      <c r="AD132" s="847"/>
      <c r="AE132" s="847"/>
      <c r="AF132" s="847"/>
      <c r="AG132" s="661"/>
      <c r="AH132" s="847"/>
      <c r="AI132" s="847"/>
      <c r="AJ132" s="847"/>
      <c r="AK132" s="847"/>
      <c r="AL132" s="661"/>
      <c r="AM132" s="847"/>
      <c r="AN132" s="847"/>
      <c r="AO132" s="847"/>
      <c r="AP132" s="847"/>
      <c r="AQ132" s="661"/>
      <c r="AR132" s="847"/>
      <c r="AS132" s="847"/>
      <c r="AT132" s="847"/>
      <c r="AU132" s="847"/>
      <c r="AV132" s="661"/>
      <c r="AW132" s="847"/>
      <c r="AX132" s="847"/>
      <c r="AY132" s="847"/>
      <c r="AZ132" s="847"/>
      <c r="BA132" s="661"/>
      <c r="BB132" s="847"/>
      <c r="BC132" s="847"/>
      <c r="BD132" s="847"/>
      <c r="BE132" s="847"/>
      <c r="BF132" s="661"/>
      <c r="BG132" s="847"/>
      <c r="BH132" s="847"/>
      <c r="BI132" s="847"/>
      <c r="BJ132" s="847"/>
      <c r="BK132" s="661"/>
      <c r="BL132" s="847"/>
      <c r="BM132" s="847"/>
      <c r="BN132" s="847"/>
      <c r="BO132" s="847"/>
      <c r="BP132" s="661"/>
      <c r="BQ132" s="847"/>
      <c r="BR132" s="847"/>
      <c r="BS132" s="847"/>
      <c r="BT132" s="847"/>
      <c r="BU132" s="661"/>
      <c r="BV132" s="847"/>
      <c r="BW132" s="847"/>
      <c r="BX132" s="847"/>
      <c r="BY132" s="847"/>
      <c r="BZ132" s="661"/>
      <c r="CA132" s="847"/>
      <c r="CB132" s="847"/>
      <c r="CC132" s="847"/>
      <c r="CD132" s="847"/>
      <c r="CE132" s="661"/>
      <c r="CF132" s="847"/>
      <c r="CG132" s="3008">
        <f t="shared" si="131"/>
        <v>0</v>
      </c>
      <c r="CH132" s="212">
        <f t="shared" si="132"/>
        <v>10</v>
      </c>
      <c r="CI132" s="212">
        <f t="shared" si="132"/>
        <v>10</v>
      </c>
      <c r="CJ132" s="194">
        <f t="shared" si="133"/>
        <v>10</v>
      </c>
      <c r="CK132" s="2907">
        <f t="shared" si="133"/>
        <v>10</v>
      </c>
      <c r="CL132" s="2907">
        <f t="shared" si="134"/>
        <v>10</v>
      </c>
      <c r="CM132" s="2907">
        <f t="shared" si="134"/>
        <v>11</v>
      </c>
      <c r="CN132" s="212">
        <f t="shared" si="134"/>
        <v>11</v>
      </c>
      <c r="CO132" s="194">
        <f t="shared" si="134"/>
        <v>11</v>
      </c>
      <c r="CP132" s="2907"/>
      <c r="CQ132" s="2907"/>
      <c r="CR132" s="212"/>
      <c r="CS132" s="212"/>
      <c r="CT132" s="194"/>
      <c r="CU132" s="194"/>
      <c r="CV132" s="194"/>
    </row>
    <row r="133" spans="1:256" x14ac:dyDescent="0.2">
      <c r="A133" s="2434" t="s">
        <v>2460</v>
      </c>
      <c r="B133" s="651"/>
      <c r="C133" s="236"/>
      <c r="D133" s="234"/>
      <c r="E133" s="234"/>
      <c r="F133" s="234"/>
      <c r="G133" s="234"/>
      <c r="H133" s="236"/>
      <c r="I133" s="847"/>
      <c r="J133" s="847"/>
      <c r="K133" s="847"/>
      <c r="L133" s="847"/>
      <c r="M133" s="661"/>
      <c r="N133" s="847"/>
      <c r="O133" s="847"/>
      <c r="P133" s="847"/>
      <c r="Q133" s="847"/>
      <c r="R133" s="661"/>
      <c r="S133" s="847"/>
      <c r="T133" s="847"/>
      <c r="U133" s="847"/>
      <c r="V133" s="847"/>
      <c r="W133" s="661"/>
      <c r="X133" s="847"/>
      <c r="Y133" s="847"/>
      <c r="Z133" s="847"/>
      <c r="AA133" s="847"/>
      <c r="AB133" s="661"/>
      <c r="AC133" s="847"/>
      <c r="AD133" s="847"/>
      <c r="AE133" s="847"/>
      <c r="AF133" s="847"/>
      <c r="AG133" s="661"/>
      <c r="AH133" s="847"/>
      <c r="AI133" s="847"/>
      <c r="AJ133" s="847"/>
      <c r="AK133" s="847"/>
      <c r="AL133" s="661"/>
      <c r="AM133" s="847"/>
      <c r="AN133" s="847"/>
      <c r="AO133" s="847"/>
      <c r="AP133" s="847"/>
      <c r="AQ133" s="661"/>
      <c r="AR133" s="847"/>
      <c r="AS133" s="847"/>
      <c r="AT133" s="847"/>
      <c r="AU133" s="847"/>
      <c r="AV133" s="661"/>
      <c r="AW133" s="847"/>
      <c r="AX133" s="847"/>
      <c r="AY133" s="847"/>
      <c r="AZ133" s="847"/>
      <c r="BA133" s="661"/>
      <c r="BB133" s="847"/>
      <c r="BC133" s="847"/>
      <c r="BD133" s="847"/>
      <c r="BE133" s="847"/>
      <c r="BF133" s="661"/>
      <c r="BG133" s="847"/>
      <c r="BH133" s="847"/>
      <c r="BI133" s="847"/>
      <c r="BJ133" s="847"/>
      <c r="BK133" s="661"/>
      <c r="BL133" s="847"/>
      <c r="BM133" s="847"/>
      <c r="BN133" s="847"/>
      <c r="BO133" s="847"/>
      <c r="BP133" s="661"/>
      <c r="BQ133" s="847"/>
      <c r="BR133" s="847"/>
      <c r="BS133" s="847"/>
      <c r="BT133" s="847"/>
      <c r="BU133" s="661"/>
      <c r="BV133" s="847"/>
      <c r="BW133" s="847"/>
      <c r="BX133" s="847"/>
      <c r="BY133" s="847"/>
      <c r="BZ133" s="661"/>
      <c r="CA133" s="847"/>
      <c r="CB133" s="847"/>
      <c r="CC133" s="847"/>
      <c r="CD133" s="847"/>
      <c r="CE133" s="661"/>
      <c r="CF133" s="847"/>
      <c r="CG133" s="3008">
        <f t="shared" si="131"/>
        <v>0</v>
      </c>
      <c r="CH133" s="212">
        <f t="shared" si="132"/>
        <v>20</v>
      </c>
      <c r="CI133" s="212">
        <f t="shared" si="132"/>
        <v>20</v>
      </c>
      <c r="CJ133" s="194">
        <f t="shared" si="133"/>
        <v>20</v>
      </c>
      <c r="CK133" s="2907">
        <f t="shared" si="133"/>
        <v>20</v>
      </c>
      <c r="CL133" s="2907">
        <f t="shared" si="134"/>
        <v>20</v>
      </c>
      <c r="CM133" s="2907">
        <f t="shared" si="134"/>
        <v>22</v>
      </c>
      <c r="CN133" s="212">
        <f t="shared" si="134"/>
        <v>22</v>
      </c>
      <c r="CO133" s="194">
        <f t="shared" si="134"/>
        <v>22</v>
      </c>
      <c r="CP133" s="2907"/>
      <c r="CQ133" s="2907"/>
      <c r="CR133" s="212"/>
      <c r="CS133" s="212"/>
      <c r="CT133" s="194"/>
      <c r="CU133" s="194"/>
      <c r="CV133" s="194"/>
    </row>
    <row r="134" spans="1:256" x14ac:dyDescent="0.2">
      <c r="A134" s="2434" t="s">
        <v>2464</v>
      </c>
      <c r="B134" s="651"/>
      <c r="C134" s="236"/>
      <c r="D134" s="234"/>
      <c r="E134" s="234"/>
      <c r="F134" s="234"/>
      <c r="G134" s="234"/>
      <c r="H134" s="236"/>
      <c r="I134" s="847"/>
      <c r="J134" s="847"/>
      <c r="K134" s="847"/>
      <c r="L134" s="847"/>
      <c r="M134" s="661"/>
      <c r="N134" s="847"/>
      <c r="O134" s="847"/>
      <c r="P134" s="847"/>
      <c r="Q134" s="847"/>
      <c r="R134" s="661"/>
      <c r="S134" s="847"/>
      <c r="T134" s="847"/>
      <c r="U134" s="847"/>
      <c r="V134" s="847"/>
      <c r="W134" s="661"/>
      <c r="X134" s="847"/>
      <c r="Y134" s="847"/>
      <c r="Z134" s="847"/>
      <c r="AA134" s="847"/>
      <c r="AB134" s="661"/>
      <c r="AC134" s="847"/>
      <c r="AD134" s="847"/>
      <c r="AE134" s="847"/>
      <c r="AF134" s="847"/>
      <c r="AG134" s="661"/>
      <c r="AH134" s="847"/>
      <c r="AI134" s="847"/>
      <c r="AJ134" s="847"/>
      <c r="AK134" s="847"/>
      <c r="AL134" s="661"/>
      <c r="AM134" s="847"/>
      <c r="AN134" s="847"/>
      <c r="AO134" s="847"/>
      <c r="AP134" s="847"/>
      <c r="AQ134" s="661"/>
      <c r="AR134" s="847"/>
      <c r="AS134" s="847"/>
      <c r="AT134" s="847"/>
      <c r="AU134" s="847"/>
      <c r="AV134" s="661"/>
      <c r="AW134" s="847"/>
      <c r="AX134" s="847"/>
      <c r="AY134" s="847"/>
      <c r="AZ134" s="847"/>
      <c r="BA134" s="661"/>
      <c r="BB134" s="847"/>
      <c r="BC134" s="847"/>
      <c r="BD134" s="847"/>
      <c r="BE134" s="847"/>
      <c r="BF134" s="661"/>
      <c r="BG134" s="847"/>
      <c r="BH134" s="847"/>
      <c r="BI134" s="847"/>
      <c r="BJ134" s="847"/>
      <c r="BK134" s="661"/>
      <c r="BL134" s="847"/>
      <c r="BM134" s="847"/>
      <c r="BN134" s="847"/>
      <c r="BO134" s="847"/>
      <c r="BP134" s="661"/>
      <c r="BQ134" s="847"/>
      <c r="BR134" s="847"/>
      <c r="BS134" s="847"/>
      <c r="BT134" s="847"/>
      <c r="BU134" s="661"/>
      <c r="BV134" s="847"/>
      <c r="BW134" s="847"/>
      <c r="BX134" s="847"/>
      <c r="BY134" s="847"/>
      <c r="BZ134" s="661"/>
      <c r="CA134" s="847"/>
      <c r="CB134" s="847"/>
      <c r="CC134" s="847"/>
      <c r="CD134" s="847"/>
      <c r="CE134" s="661"/>
      <c r="CF134" s="847"/>
      <c r="CG134" s="3008">
        <f t="shared" si="131"/>
        <v>0</v>
      </c>
      <c r="CH134" s="212">
        <f t="shared" si="132"/>
        <v>80</v>
      </c>
      <c r="CI134" s="212">
        <f t="shared" si="132"/>
        <v>81</v>
      </c>
      <c r="CJ134" s="194">
        <f t="shared" si="133"/>
        <v>81</v>
      </c>
      <c r="CK134" s="2907">
        <f t="shared" si="133"/>
        <v>89</v>
      </c>
      <c r="CL134" s="2907">
        <f t="shared" si="134"/>
        <v>91</v>
      </c>
      <c r="CM134" s="2907">
        <f t="shared" si="134"/>
        <v>97</v>
      </c>
      <c r="CN134" s="212">
        <f t="shared" si="134"/>
        <v>97</v>
      </c>
      <c r="CO134" s="194">
        <f t="shared" si="134"/>
        <v>97</v>
      </c>
      <c r="CP134" s="2907"/>
      <c r="CQ134" s="2907"/>
      <c r="CR134" s="212"/>
      <c r="CS134" s="212"/>
      <c r="CT134" s="194"/>
      <c r="CU134" s="194"/>
      <c r="CV134" s="194"/>
    </row>
    <row r="135" spans="1:256" x14ac:dyDescent="0.2">
      <c r="A135" s="2434" t="s">
        <v>2462</v>
      </c>
      <c r="B135" s="651"/>
      <c r="C135" s="236"/>
      <c r="D135" s="234"/>
      <c r="E135" s="234"/>
      <c r="F135" s="234"/>
      <c r="G135" s="234"/>
      <c r="H135" s="236"/>
      <c r="I135" s="847"/>
      <c r="J135" s="847"/>
      <c r="K135" s="847"/>
      <c r="L135" s="847"/>
      <c r="M135" s="661"/>
      <c r="N135" s="847"/>
      <c r="O135" s="847"/>
      <c r="P135" s="847"/>
      <c r="Q135" s="847"/>
      <c r="R135" s="661"/>
      <c r="S135" s="847"/>
      <c r="T135" s="847"/>
      <c r="U135" s="847"/>
      <c r="V135" s="847"/>
      <c r="W135" s="661"/>
      <c r="X135" s="847"/>
      <c r="Y135" s="847"/>
      <c r="Z135" s="847"/>
      <c r="AA135" s="847"/>
      <c r="AB135" s="661"/>
      <c r="AC135" s="847"/>
      <c r="AD135" s="847"/>
      <c r="AE135" s="847"/>
      <c r="AF135" s="847"/>
      <c r="AG135" s="661"/>
      <c r="AH135" s="847"/>
      <c r="AI135" s="847"/>
      <c r="AJ135" s="847"/>
      <c r="AK135" s="847"/>
      <c r="AL135" s="661"/>
      <c r="AM135" s="847"/>
      <c r="AN135" s="847"/>
      <c r="AO135" s="847"/>
      <c r="AP135" s="847"/>
      <c r="AQ135" s="661"/>
      <c r="AR135" s="847"/>
      <c r="AS135" s="847"/>
      <c r="AT135" s="847"/>
      <c r="AU135" s="847"/>
      <c r="AV135" s="661"/>
      <c r="AW135" s="847"/>
      <c r="AX135" s="847"/>
      <c r="AY135" s="847"/>
      <c r="AZ135" s="847"/>
      <c r="BA135" s="661"/>
      <c r="BB135" s="847"/>
      <c r="BC135" s="847"/>
      <c r="BD135" s="847"/>
      <c r="BE135" s="847"/>
      <c r="BF135" s="661"/>
      <c r="BG135" s="847"/>
      <c r="BH135" s="847"/>
      <c r="BI135" s="847"/>
      <c r="BJ135" s="847"/>
      <c r="BK135" s="661"/>
      <c r="BL135" s="847"/>
      <c r="BM135" s="847"/>
      <c r="BN135" s="847"/>
      <c r="BO135" s="847"/>
      <c r="BP135" s="661"/>
      <c r="BQ135" s="847"/>
      <c r="BR135" s="847"/>
      <c r="BS135" s="847"/>
      <c r="BT135" s="847"/>
      <c r="BU135" s="661"/>
      <c r="BV135" s="847"/>
      <c r="BW135" s="847"/>
      <c r="BX135" s="847"/>
      <c r="BY135" s="847"/>
      <c r="BZ135" s="661"/>
      <c r="CA135" s="847"/>
      <c r="CB135" s="847"/>
      <c r="CC135" s="847"/>
      <c r="CD135" s="847"/>
      <c r="CE135" s="661"/>
      <c r="CF135" s="847"/>
      <c r="CG135" s="3008">
        <f t="shared" si="131"/>
        <v>0</v>
      </c>
      <c r="CH135" s="212">
        <f t="shared" si="132"/>
        <v>19</v>
      </c>
      <c r="CI135" s="212">
        <f t="shared" si="132"/>
        <v>20</v>
      </c>
      <c r="CJ135" s="194">
        <f t="shared" si="133"/>
        <v>20</v>
      </c>
      <c r="CK135" s="2907">
        <f t="shared" si="133"/>
        <v>21</v>
      </c>
      <c r="CL135" s="2907">
        <f t="shared" si="134"/>
        <v>25</v>
      </c>
      <c r="CM135" s="2907">
        <f t="shared" si="134"/>
        <v>26</v>
      </c>
      <c r="CN135" s="212">
        <f t="shared" si="134"/>
        <v>28</v>
      </c>
      <c r="CO135" s="194">
        <f t="shared" si="134"/>
        <v>28</v>
      </c>
      <c r="CP135" s="2907"/>
      <c r="CQ135" s="2907"/>
      <c r="CR135" s="212"/>
      <c r="CS135" s="212"/>
      <c r="CT135" s="194"/>
      <c r="CU135" s="194"/>
      <c r="CV135" s="194"/>
    </row>
    <row r="136" spans="1:256" x14ac:dyDescent="0.2">
      <c r="A136" s="2434" t="s">
        <v>2463</v>
      </c>
      <c r="B136" s="651"/>
      <c r="C136" s="236"/>
      <c r="D136" s="234"/>
      <c r="E136" s="234"/>
      <c r="F136" s="234"/>
      <c r="G136" s="234"/>
      <c r="H136" s="236"/>
      <c r="I136" s="847"/>
      <c r="J136" s="847"/>
      <c r="K136" s="847"/>
      <c r="L136" s="847"/>
      <c r="M136" s="661"/>
      <c r="N136" s="847"/>
      <c r="O136" s="847"/>
      <c r="P136" s="847"/>
      <c r="Q136" s="847"/>
      <c r="R136" s="661"/>
      <c r="S136" s="847"/>
      <c r="T136" s="847"/>
      <c r="U136" s="847"/>
      <c r="V136" s="847"/>
      <c r="W136" s="661"/>
      <c r="X136" s="847"/>
      <c r="Y136" s="847"/>
      <c r="Z136" s="847"/>
      <c r="AA136" s="847"/>
      <c r="AB136" s="661"/>
      <c r="AC136" s="847"/>
      <c r="AD136" s="847"/>
      <c r="AE136" s="847"/>
      <c r="AF136" s="847"/>
      <c r="AG136" s="661"/>
      <c r="AH136" s="847"/>
      <c r="AI136" s="847"/>
      <c r="AJ136" s="847"/>
      <c r="AK136" s="847"/>
      <c r="AL136" s="661"/>
      <c r="AM136" s="847"/>
      <c r="AN136" s="847"/>
      <c r="AO136" s="847"/>
      <c r="AP136" s="847"/>
      <c r="AQ136" s="661"/>
      <c r="AR136" s="847"/>
      <c r="AS136" s="847"/>
      <c r="AT136" s="847"/>
      <c r="AU136" s="847"/>
      <c r="AV136" s="661"/>
      <c r="AW136" s="847"/>
      <c r="AX136" s="847"/>
      <c r="AY136" s="847"/>
      <c r="AZ136" s="847"/>
      <c r="BA136" s="661"/>
      <c r="BB136" s="847"/>
      <c r="BC136" s="847"/>
      <c r="BD136" s="847"/>
      <c r="BE136" s="847"/>
      <c r="BF136" s="661"/>
      <c r="BG136" s="847"/>
      <c r="BH136" s="847"/>
      <c r="BI136" s="847"/>
      <c r="BJ136" s="847"/>
      <c r="BK136" s="661"/>
      <c r="BL136" s="847"/>
      <c r="BM136" s="847"/>
      <c r="BN136" s="847"/>
      <c r="BO136" s="847"/>
      <c r="BP136" s="661"/>
      <c r="BQ136" s="847"/>
      <c r="BR136" s="847"/>
      <c r="BS136" s="847"/>
      <c r="BT136" s="847"/>
      <c r="BU136" s="661"/>
      <c r="BV136" s="847"/>
      <c r="BW136" s="847"/>
      <c r="BX136" s="847"/>
      <c r="BY136" s="847"/>
      <c r="BZ136" s="661"/>
      <c r="CA136" s="847"/>
      <c r="CB136" s="847"/>
      <c r="CC136" s="847"/>
      <c r="CD136" s="847"/>
      <c r="CE136" s="661"/>
      <c r="CF136" s="847"/>
      <c r="CG136" s="3008">
        <f t="shared" si="131"/>
        <v>0</v>
      </c>
      <c r="CH136" s="212">
        <f t="shared" si="132"/>
        <v>7</v>
      </c>
      <c r="CI136" s="212">
        <f t="shared" si="132"/>
        <v>12</v>
      </c>
      <c r="CJ136" s="194">
        <f t="shared" si="132"/>
        <v>12</v>
      </c>
      <c r="CK136" s="2907">
        <f>+CK35+CK69+CK102</f>
        <v>13</v>
      </c>
      <c r="CL136" s="2907">
        <f t="shared" si="134"/>
        <v>14</v>
      </c>
      <c r="CM136" s="2907">
        <f t="shared" si="134"/>
        <v>16</v>
      </c>
      <c r="CN136" s="212">
        <f t="shared" si="134"/>
        <v>17</v>
      </c>
      <c r="CO136" s="194">
        <f t="shared" si="134"/>
        <v>17</v>
      </c>
      <c r="CP136" s="2907"/>
      <c r="CQ136" s="2907"/>
      <c r="CR136" s="212"/>
      <c r="CS136" s="212"/>
      <c r="CT136" s="194"/>
      <c r="CU136" s="194"/>
      <c r="CV136" s="194"/>
    </row>
    <row r="137" spans="1:256" x14ac:dyDescent="0.2">
      <c r="A137" s="1438" t="s">
        <v>576</v>
      </c>
      <c r="B137" s="651"/>
      <c r="C137" s="236"/>
      <c r="D137" s="234"/>
      <c r="E137" s="234"/>
      <c r="F137" s="234"/>
      <c r="G137" s="234"/>
      <c r="H137" s="236"/>
      <c r="I137" s="845">
        <v>0</v>
      </c>
      <c r="J137" s="845">
        <v>0</v>
      </c>
      <c r="K137" s="845">
        <v>0</v>
      </c>
      <c r="L137" s="845">
        <v>0</v>
      </c>
      <c r="M137" s="848">
        <v>0</v>
      </c>
      <c r="N137" s="845">
        <v>0</v>
      </c>
      <c r="O137" s="845">
        <v>0</v>
      </c>
      <c r="P137" s="845">
        <v>0</v>
      </c>
      <c r="Q137" s="845">
        <v>0</v>
      </c>
      <c r="R137" s="848">
        <v>0</v>
      </c>
      <c r="S137" s="845">
        <v>0</v>
      </c>
      <c r="T137" s="845">
        <v>0</v>
      </c>
      <c r="U137" s="845">
        <v>0</v>
      </c>
      <c r="V137" s="845">
        <v>0</v>
      </c>
      <c r="W137" s="848">
        <v>0</v>
      </c>
      <c r="X137" s="845">
        <v>0</v>
      </c>
      <c r="Y137" s="845">
        <v>0</v>
      </c>
      <c r="Z137" s="845">
        <v>0</v>
      </c>
      <c r="AA137" s="845">
        <v>0</v>
      </c>
      <c r="AB137" s="848">
        <v>0</v>
      </c>
      <c r="AC137" s="845">
        <v>0</v>
      </c>
      <c r="AD137" s="845">
        <v>0</v>
      </c>
      <c r="AE137" s="845">
        <v>0</v>
      </c>
      <c r="AF137" s="845">
        <v>0</v>
      </c>
      <c r="AG137" s="848">
        <v>0</v>
      </c>
      <c r="AH137" s="845">
        <v>0</v>
      </c>
      <c r="AI137" s="845">
        <v>0</v>
      </c>
      <c r="AJ137" s="845">
        <v>0</v>
      </c>
      <c r="AK137" s="845">
        <v>0</v>
      </c>
      <c r="AL137" s="848">
        <v>0</v>
      </c>
      <c r="AM137" s="845">
        <v>0</v>
      </c>
      <c r="AN137" s="845">
        <v>0</v>
      </c>
      <c r="AO137" s="845">
        <v>0</v>
      </c>
      <c r="AP137" s="845">
        <v>0</v>
      </c>
      <c r="AQ137" s="848">
        <v>0</v>
      </c>
      <c r="AR137" s="845">
        <v>0</v>
      </c>
      <c r="AS137" s="845">
        <v>0</v>
      </c>
      <c r="AT137" s="845">
        <v>0</v>
      </c>
      <c r="AU137" s="845">
        <v>0</v>
      </c>
      <c r="AV137" s="848">
        <v>0</v>
      </c>
      <c r="AW137" s="845">
        <v>0</v>
      </c>
      <c r="AX137" s="845">
        <v>0</v>
      </c>
      <c r="AY137" s="845">
        <v>0</v>
      </c>
      <c r="AZ137" s="845">
        <v>0</v>
      </c>
      <c r="BA137" s="848">
        <v>0</v>
      </c>
      <c r="BB137" s="845">
        <v>0</v>
      </c>
      <c r="BC137" s="845">
        <v>0</v>
      </c>
      <c r="BD137" s="845">
        <v>0</v>
      </c>
      <c r="BE137" s="845">
        <v>0</v>
      </c>
      <c r="BF137" s="848">
        <v>0</v>
      </c>
      <c r="BG137" s="845">
        <v>0</v>
      </c>
      <c r="BH137" s="845">
        <v>0</v>
      </c>
      <c r="BI137" s="845">
        <v>0</v>
      </c>
      <c r="BJ137" s="845">
        <v>0</v>
      </c>
      <c r="BK137" s="848">
        <v>0</v>
      </c>
      <c r="BL137" s="845">
        <v>0</v>
      </c>
      <c r="BM137" s="845">
        <v>0</v>
      </c>
      <c r="BN137" s="845">
        <v>0</v>
      </c>
      <c r="BO137" s="845">
        <v>0</v>
      </c>
      <c r="BP137" s="848">
        <v>0</v>
      </c>
      <c r="BQ137" s="845">
        <v>50</v>
      </c>
      <c r="BR137" s="1626">
        <v>48</v>
      </c>
      <c r="BS137" s="1626">
        <v>48</v>
      </c>
      <c r="BT137" s="845">
        <v>47</v>
      </c>
      <c r="BU137" s="661">
        <f>+BT137</f>
        <v>47</v>
      </c>
      <c r="BV137" s="845">
        <v>47</v>
      </c>
      <c r="BW137" s="845">
        <v>47</v>
      </c>
      <c r="BX137" s="845">
        <v>47</v>
      </c>
      <c r="BY137" s="845">
        <v>45</v>
      </c>
      <c r="BZ137" s="661">
        <f>+BY137</f>
        <v>45</v>
      </c>
      <c r="CA137" s="845">
        <v>45</v>
      </c>
      <c r="CB137" s="845">
        <v>45</v>
      </c>
      <c r="CC137" s="845">
        <v>45</v>
      </c>
      <c r="CD137" s="845">
        <v>45</v>
      </c>
      <c r="CE137" s="661">
        <f>+CD137</f>
        <v>45</v>
      </c>
      <c r="CF137" s="845">
        <v>46</v>
      </c>
      <c r="CG137" s="845">
        <v>46</v>
      </c>
      <c r="CH137" s="845">
        <f>48+19</f>
        <v>67</v>
      </c>
      <c r="CI137" s="845">
        <v>66</v>
      </c>
      <c r="CJ137" s="194">
        <f>+CI137</f>
        <v>66</v>
      </c>
      <c r="CK137" s="844">
        <f>50+18</f>
        <v>68</v>
      </c>
      <c r="CL137" s="844">
        <f>50+19</f>
        <v>69</v>
      </c>
      <c r="CM137" s="844">
        <f>51+19</f>
        <v>70</v>
      </c>
      <c r="CN137" s="845">
        <v>70</v>
      </c>
      <c r="CO137" s="194">
        <f>+CN137</f>
        <v>70</v>
      </c>
      <c r="CP137" s="844"/>
      <c r="CQ137" s="844"/>
      <c r="CR137" s="212"/>
      <c r="CS137" s="212"/>
      <c r="CT137" s="194"/>
      <c r="CU137" s="194"/>
      <c r="CV137" s="194"/>
    </row>
    <row r="138" spans="1:256" x14ac:dyDescent="0.2">
      <c r="A138" s="1438" t="s">
        <v>1931</v>
      </c>
      <c r="B138" s="651"/>
      <c r="C138" s="236"/>
      <c r="D138" s="234"/>
      <c r="E138" s="234"/>
      <c r="F138" s="234"/>
      <c r="G138" s="234"/>
      <c r="H138" s="236"/>
      <c r="I138" s="845">
        <v>0</v>
      </c>
      <c r="J138" s="845">
        <v>0</v>
      </c>
      <c r="K138" s="845">
        <v>0</v>
      </c>
      <c r="L138" s="845">
        <v>0</v>
      </c>
      <c r="M138" s="848">
        <v>0</v>
      </c>
      <c r="N138" s="845">
        <v>0</v>
      </c>
      <c r="O138" s="845">
        <v>0</v>
      </c>
      <c r="P138" s="845">
        <v>0</v>
      </c>
      <c r="Q138" s="845">
        <v>0</v>
      </c>
      <c r="R138" s="848">
        <v>0</v>
      </c>
      <c r="S138" s="845">
        <v>0</v>
      </c>
      <c r="T138" s="845">
        <v>0</v>
      </c>
      <c r="U138" s="845">
        <v>0</v>
      </c>
      <c r="V138" s="845">
        <v>0</v>
      </c>
      <c r="W138" s="848">
        <v>0</v>
      </c>
      <c r="X138" s="845">
        <v>0</v>
      </c>
      <c r="Y138" s="845">
        <v>0</v>
      </c>
      <c r="Z138" s="845">
        <v>0</v>
      </c>
      <c r="AA138" s="845">
        <v>0</v>
      </c>
      <c r="AB138" s="848">
        <v>0</v>
      </c>
      <c r="AC138" s="845">
        <v>0</v>
      </c>
      <c r="AD138" s="845">
        <v>0</v>
      </c>
      <c r="AE138" s="845">
        <v>0</v>
      </c>
      <c r="AF138" s="845">
        <v>0</v>
      </c>
      <c r="AG138" s="848">
        <v>0</v>
      </c>
      <c r="AH138" s="845">
        <v>0</v>
      </c>
      <c r="AI138" s="845">
        <v>0</v>
      </c>
      <c r="AJ138" s="845">
        <v>0</v>
      </c>
      <c r="AK138" s="845">
        <v>0</v>
      </c>
      <c r="AL138" s="848">
        <v>0</v>
      </c>
      <c r="AM138" s="845">
        <v>0</v>
      </c>
      <c r="AN138" s="845">
        <v>0</v>
      </c>
      <c r="AO138" s="845">
        <v>0</v>
      </c>
      <c r="AP138" s="845">
        <v>0</v>
      </c>
      <c r="AQ138" s="848">
        <v>0</v>
      </c>
      <c r="AR138" s="845">
        <v>0</v>
      </c>
      <c r="AS138" s="845">
        <v>0</v>
      </c>
      <c r="AT138" s="845">
        <v>0</v>
      </c>
      <c r="AU138" s="845">
        <v>0</v>
      </c>
      <c r="AV138" s="848">
        <v>0</v>
      </c>
      <c r="AW138" s="845">
        <v>0</v>
      </c>
      <c r="AX138" s="845">
        <v>0</v>
      </c>
      <c r="AY138" s="845">
        <v>0</v>
      </c>
      <c r="AZ138" s="845">
        <v>0</v>
      </c>
      <c r="BA138" s="848">
        <v>0</v>
      </c>
      <c r="BB138" s="845">
        <v>0</v>
      </c>
      <c r="BC138" s="845">
        <v>0</v>
      </c>
      <c r="BD138" s="845">
        <v>0</v>
      </c>
      <c r="BE138" s="845">
        <v>0</v>
      </c>
      <c r="BF138" s="848">
        <v>0</v>
      </c>
      <c r="BG138" s="845">
        <v>0</v>
      </c>
      <c r="BH138" s="845">
        <v>0</v>
      </c>
      <c r="BI138" s="845">
        <v>0</v>
      </c>
      <c r="BJ138" s="845">
        <v>0</v>
      </c>
      <c r="BK138" s="848">
        <v>0</v>
      </c>
      <c r="BL138" s="845">
        <v>0</v>
      </c>
      <c r="BM138" s="845">
        <v>0</v>
      </c>
      <c r="BN138" s="845">
        <v>0</v>
      </c>
      <c r="BO138" s="845">
        <v>0</v>
      </c>
      <c r="BP138" s="848">
        <v>0</v>
      </c>
      <c r="BQ138" s="845">
        <v>30</v>
      </c>
      <c r="BR138" s="1626">
        <v>30</v>
      </c>
      <c r="BS138" s="1626">
        <v>30</v>
      </c>
      <c r="BT138" s="845">
        <v>30</v>
      </c>
      <c r="BU138" s="661">
        <f>+BT138</f>
        <v>30</v>
      </c>
      <c r="BV138" s="845">
        <v>30</v>
      </c>
      <c r="BW138" s="845">
        <v>30</v>
      </c>
      <c r="BX138" s="845">
        <v>30</v>
      </c>
      <c r="BY138" s="845">
        <v>31</v>
      </c>
      <c r="BZ138" s="661">
        <f>+BY138</f>
        <v>31</v>
      </c>
      <c r="CA138" s="845">
        <f>33</f>
        <v>33</v>
      </c>
      <c r="CB138" s="845">
        <f>33</f>
        <v>33</v>
      </c>
      <c r="CC138" s="845">
        <v>33</v>
      </c>
      <c r="CD138" s="845">
        <v>33</v>
      </c>
      <c r="CE138" s="661">
        <f>+CD138</f>
        <v>33</v>
      </c>
      <c r="CF138" s="845">
        <f>32+1</f>
        <v>33</v>
      </c>
      <c r="CG138" s="3008">
        <f>34+CG36+CG70+CG103</f>
        <v>34</v>
      </c>
      <c r="CH138" s="3184">
        <f>+CH103+CH70+CH36+9</f>
        <v>46</v>
      </c>
      <c r="CI138" s="3184">
        <f>11+CI103+CI70+CI36</f>
        <v>48</v>
      </c>
      <c r="CJ138" s="194">
        <f>+CI138</f>
        <v>48</v>
      </c>
      <c r="CK138" s="3503">
        <f>CK103+CK70+CK36+17</f>
        <v>54</v>
      </c>
      <c r="CL138" s="3503">
        <f>CL103+CL70+CL36+19</f>
        <v>56</v>
      </c>
      <c r="CM138" s="3503">
        <f>CM103+CM70+CM36+25</f>
        <v>80</v>
      </c>
      <c r="CN138" s="3184">
        <f>31+CN103+CN70+CN36</f>
        <v>88</v>
      </c>
      <c r="CO138" s="194">
        <f>+CN138</f>
        <v>88</v>
      </c>
      <c r="CP138" s="3503"/>
      <c r="CQ138" s="3503"/>
      <c r="CR138" s="212"/>
      <c r="CS138" s="212"/>
      <c r="CT138" s="194"/>
      <c r="CU138" s="194"/>
      <c r="CV138" s="194"/>
    </row>
    <row r="139" spans="1:256" x14ac:dyDescent="0.2">
      <c r="A139" s="331" t="s">
        <v>658</v>
      </c>
      <c r="B139" s="1740"/>
      <c r="C139" s="1448"/>
      <c r="D139" s="1118"/>
      <c r="E139" s="1118"/>
      <c r="F139" s="1118"/>
      <c r="G139" s="1118"/>
      <c r="H139" s="1448"/>
      <c r="I139" s="938">
        <f t="shared" ref="I139:AN139" si="135">SUM(I109:I138)</f>
        <v>1789</v>
      </c>
      <c r="J139" s="938">
        <f t="shared" si="135"/>
        <v>1832</v>
      </c>
      <c r="K139" s="938">
        <f t="shared" si="135"/>
        <v>1871</v>
      </c>
      <c r="L139" s="938">
        <f t="shared" si="135"/>
        <v>1916</v>
      </c>
      <c r="M139" s="1442">
        <f t="shared" si="135"/>
        <v>1916</v>
      </c>
      <c r="N139" s="938">
        <f t="shared" si="135"/>
        <v>1943</v>
      </c>
      <c r="O139" s="938">
        <f t="shared" si="135"/>
        <v>1975</v>
      </c>
      <c r="P139" s="938">
        <f t="shared" si="135"/>
        <v>2002</v>
      </c>
      <c r="Q139" s="938">
        <f t="shared" si="135"/>
        <v>2047</v>
      </c>
      <c r="R139" s="1442">
        <f t="shared" si="135"/>
        <v>2047</v>
      </c>
      <c r="S139" s="938">
        <f t="shared" si="135"/>
        <v>2069</v>
      </c>
      <c r="T139" s="938">
        <f t="shared" si="135"/>
        <v>2095</v>
      </c>
      <c r="U139" s="938">
        <f t="shared" si="135"/>
        <v>2124</v>
      </c>
      <c r="V139" s="938">
        <f t="shared" si="135"/>
        <v>2148</v>
      </c>
      <c r="W139" s="1442">
        <f t="shared" si="135"/>
        <v>2148</v>
      </c>
      <c r="X139" s="938">
        <f t="shared" si="135"/>
        <v>2168</v>
      </c>
      <c r="Y139" s="938">
        <f t="shared" si="135"/>
        <v>2189</v>
      </c>
      <c r="Z139" s="938">
        <f t="shared" si="135"/>
        <v>2201</v>
      </c>
      <c r="AA139" s="938">
        <f t="shared" si="135"/>
        <v>2222</v>
      </c>
      <c r="AB139" s="1442">
        <f t="shared" si="135"/>
        <v>2222</v>
      </c>
      <c r="AC139" s="938">
        <f t="shared" si="135"/>
        <v>2232</v>
      </c>
      <c r="AD139" s="938">
        <f t="shared" si="135"/>
        <v>2254</v>
      </c>
      <c r="AE139" s="938">
        <f t="shared" si="135"/>
        <v>2279</v>
      </c>
      <c r="AF139" s="938">
        <f t="shared" si="135"/>
        <v>2307</v>
      </c>
      <c r="AG139" s="1442">
        <f t="shared" si="135"/>
        <v>2307</v>
      </c>
      <c r="AH139" s="938">
        <f t="shared" si="135"/>
        <v>2328</v>
      </c>
      <c r="AI139" s="938">
        <f t="shared" si="135"/>
        <v>2343</v>
      </c>
      <c r="AJ139" s="938">
        <f t="shared" si="135"/>
        <v>2360</v>
      </c>
      <c r="AK139" s="938">
        <f t="shared" si="135"/>
        <v>2372</v>
      </c>
      <c r="AL139" s="1442">
        <f t="shared" si="135"/>
        <v>2372</v>
      </c>
      <c r="AM139" s="938">
        <f t="shared" si="135"/>
        <v>2388</v>
      </c>
      <c r="AN139" s="938">
        <f t="shared" si="135"/>
        <v>2423</v>
      </c>
      <c r="AO139" s="938">
        <f t="shared" ref="AO139:BE139" si="136">SUM(AO109:AO138)</f>
        <v>2459</v>
      </c>
      <c r="AP139" s="938">
        <f t="shared" si="136"/>
        <v>2516</v>
      </c>
      <c r="AQ139" s="1442">
        <f t="shared" si="136"/>
        <v>2516</v>
      </c>
      <c r="AR139" s="938">
        <f t="shared" si="136"/>
        <v>2538</v>
      </c>
      <c r="AS139" s="938">
        <f t="shared" si="136"/>
        <v>2581</v>
      </c>
      <c r="AT139" s="938">
        <f t="shared" si="136"/>
        <v>2612</v>
      </c>
      <c r="AU139" s="938">
        <f t="shared" si="136"/>
        <v>2674</v>
      </c>
      <c r="AV139" s="1442">
        <f t="shared" si="136"/>
        <v>2674</v>
      </c>
      <c r="AW139" s="938">
        <f t="shared" si="136"/>
        <v>2715</v>
      </c>
      <c r="AX139" s="938">
        <f t="shared" si="136"/>
        <v>2765</v>
      </c>
      <c r="AY139" s="938">
        <f t="shared" si="136"/>
        <v>2838</v>
      </c>
      <c r="AZ139" s="938">
        <f t="shared" si="136"/>
        <v>2890</v>
      </c>
      <c r="BA139" s="1442">
        <f t="shared" si="136"/>
        <v>2890</v>
      </c>
      <c r="BB139" s="938">
        <f t="shared" si="136"/>
        <v>2919</v>
      </c>
      <c r="BC139" s="938">
        <f t="shared" si="136"/>
        <v>2950</v>
      </c>
      <c r="BD139" s="938">
        <f t="shared" si="136"/>
        <v>2971</v>
      </c>
      <c r="BE139" s="938">
        <f t="shared" si="136"/>
        <v>2991</v>
      </c>
      <c r="BF139" s="1442">
        <f t="shared" ref="BF139:CF139" si="137">SUM(BF109:BF125,BF138,BF137)</f>
        <v>2991</v>
      </c>
      <c r="BG139" s="938">
        <f t="shared" si="137"/>
        <v>2999</v>
      </c>
      <c r="BH139" s="938">
        <f t="shared" si="137"/>
        <v>3015</v>
      </c>
      <c r="BI139" s="938">
        <f t="shared" si="137"/>
        <v>3030</v>
      </c>
      <c r="BJ139" s="938">
        <f t="shared" si="137"/>
        <v>3043</v>
      </c>
      <c r="BK139" s="1442">
        <f t="shared" si="137"/>
        <v>3043</v>
      </c>
      <c r="BL139" s="938">
        <f t="shared" si="137"/>
        <v>3054</v>
      </c>
      <c r="BM139" s="938">
        <f t="shared" si="137"/>
        <v>3064</v>
      </c>
      <c r="BN139" s="938">
        <f t="shared" si="137"/>
        <v>3081</v>
      </c>
      <c r="BO139" s="938">
        <f t="shared" si="137"/>
        <v>3100</v>
      </c>
      <c r="BP139" s="1442">
        <f t="shared" si="137"/>
        <v>3100</v>
      </c>
      <c r="BQ139" s="938">
        <f t="shared" si="137"/>
        <v>3190</v>
      </c>
      <c r="BR139" s="938">
        <f t="shared" si="137"/>
        <v>3216</v>
      </c>
      <c r="BS139" s="938">
        <f t="shared" si="137"/>
        <v>3240</v>
      </c>
      <c r="BT139" s="938">
        <f t="shared" si="137"/>
        <v>3255</v>
      </c>
      <c r="BU139" s="1442">
        <f t="shared" si="137"/>
        <v>3255</v>
      </c>
      <c r="BV139" s="938">
        <f t="shared" si="137"/>
        <v>3263</v>
      </c>
      <c r="BW139" s="938">
        <f t="shared" si="137"/>
        <v>3294</v>
      </c>
      <c r="BX139" s="938">
        <f t="shared" si="137"/>
        <v>3329</v>
      </c>
      <c r="BY139" s="938">
        <f t="shared" si="137"/>
        <v>3357</v>
      </c>
      <c r="BZ139" s="1442">
        <f t="shared" si="137"/>
        <v>3357</v>
      </c>
      <c r="CA139" s="938">
        <f t="shared" si="137"/>
        <v>3480</v>
      </c>
      <c r="CB139" s="938">
        <f t="shared" si="137"/>
        <v>3562</v>
      </c>
      <c r="CC139" s="938">
        <f t="shared" si="137"/>
        <v>3596</v>
      </c>
      <c r="CD139" s="938">
        <f t="shared" si="137"/>
        <v>3638</v>
      </c>
      <c r="CE139" s="1442">
        <f t="shared" si="137"/>
        <v>3638</v>
      </c>
      <c r="CF139" s="938">
        <f t="shared" si="137"/>
        <v>3684</v>
      </c>
      <c r="CG139" s="938">
        <f>SUM(CG109:CG125,CG138,CG137)</f>
        <v>3744</v>
      </c>
      <c r="CH139" s="938">
        <f>SUM(CH109:CH125,CH138,CH137)</f>
        <v>3808</v>
      </c>
      <c r="CI139" s="938">
        <f t="shared" ref="CI139:CL139" si="138">SUM(CI108:CI138)</f>
        <v>4529</v>
      </c>
      <c r="CJ139" s="1442">
        <f t="shared" si="138"/>
        <v>4529</v>
      </c>
      <c r="CK139" s="3505">
        <f t="shared" si="138"/>
        <v>4596</v>
      </c>
      <c r="CL139" s="3505">
        <f t="shared" si="138"/>
        <v>4664</v>
      </c>
      <c r="CM139" s="3505">
        <f>SUM(CM108:CM138)</f>
        <v>4759</v>
      </c>
      <c r="CN139" s="938">
        <f t="shared" ref="CN139:CO139" si="139">SUM(CN108:CN138)</f>
        <v>4839</v>
      </c>
      <c r="CO139" s="1442">
        <f t="shared" si="139"/>
        <v>4839</v>
      </c>
      <c r="CP139" s="3505"/>
      <c r="CQ139" s="3505"/>
      <c r="CR139" s="938"/>
      <c r="CS139" s="938"/>
      <c r="CT139" s="1442">
        <f>SUM(CT109:CT138)</f>
        <v>0</v>
      </c>
      <c r="CU139" s="1442">
        <f>SUM(CU109:CU138)</f>
        <v>0</v>
      </c>
      <c r="CV139" s="1442">
        <f>SUM(CV109:CV138)</f>
        <v>0</v>
      </c>
      <c r="CW139" s="217"/>
      <c r="CX139" s="217"/>
      <c r="CY139" s="217"/>
      <c r="CZ139" s="217"/>
      <c r="DA139" s="217"/>
      <c r="DB139" s="217"/>
      <c r="DC139" s="217"/>
      <c r="DD139" s="217"/>
      <c r="DE139" s="199"/>
      <c r="DF139" s="199"/>
      <c r="DG139" s="199"/>
      <c r="DH139" s="199"/>
      <c r="DI139" s="199"/>
      <c r="DJ139" s="199"/>
      <c r="DK139" s="199"/>
      <c r="DL139" s="199"/>
      <c r="DM139" s="199"/>
      <c r="DN139" s="199"/>
      <c r="DO139" s="199"/>
      <c r="DP139" s="199"/>
      <c r="DQ139" s="199"/>
      <c r="DR139" s="199"/>
      <c r="DS139" s="199"/>
      <c r="DT139" s="199"/>
      <c r="DU139" s="199"/>
      <c r="DV139" s="199"/>
      <c r="DW139" s="199"/>
      <c r="DX139" s="199"/>
      <c r="DY139" s="199"/>
      <c r="DZ139" s="199"/>
      <c r="EA139" s="199"/>
      <c r="EB139" s="199"/>
      <c r="EC139" s="199"/>
      <c r="ED139" s="199"/>
      <c r="EE139" s="199"/>
      <c r="EF139" s="199"/>
      <c r="EG139" s="199"/>
      <c r="EH139" s="199"/>
      <c r="EI139" s="199"/>
      <c r="EJ139" s="199"/>
      <c r="EK139" s="199"/>
      <c r="EL139" s="199"/>
      <c r="EM139" s="199"/>
      <c r="EN139" s="199"/>
      <c r="EO139" s="199"/>
      <c r="EP139" s="199"/>
      <c r="EQ139" s="199"/>
      <c r="ER139" s="199"/>
      <c r="ES139" s="199"/>
      <c r="ET139" s="199"/>
      <c r="EU139" s="199"/>
      <c r="EV139" s="199"/>
      <c r="EW139" s="199"/>
      <c r="EX139" s="199"/>
      <c r="EY139" s="199"/>
      <c r="EZ139" s="199"/>
      <c r="FA139" s="199"/>
      <c r="FB139" s="199"/>
      <c r="FC139" s="199"/>
      <c r="FD139" s="199"/>
      <c r="FE139" s="199"/>
      <c r="FF139" s="199"/>
      <c r="FG139" s="199"/>
      <c r="FH139" s="199"/>
      <c r="FI139" s="199"/>
      <c r="FJ139" s="199"/>
      <c r="FK139" s="199"/>
      <c r="FL139" s="199"/>
      <c r="FM139" s="199"/>
      <c r="FN139" s="199"/>
      <c r="FO139" s="199"/>
      <c r="FP139" s="199"/>
      <c r="FQ139" s="199"/>
      <c r="FR139" s="199"/>
      <c r="FS139" s="199"/>
      <c r="FT139" s="199"/>
      <c r="FU139" s="199"/>
      <c r="FV139" s="199"/>
      <c r="FW139" s="199"/>
      <c r="FX139" s="199"/>
      <c r="FY139" s="199"/>
      <c r="FZ139" s="199"/>
      <c r="GA139" s="199"/>
      <c r="GB139" s="199"/>
      <c r="GC139" s="199"/>
      <c r="GD139" s="199"/>
      <c r="GE139" s="199"/>
      <c r="GF139" s="199"/>
      <c r="GG139" s="199"/>
      <c r="GH139" s="199"/>
      <c r="GI139" s="199"/>
      <c r="GJ139" s="199"/>
      <c r="GK139" s="199"/>
      <c r="GL139" s="199"/>
      <c r="GM139" s="199"/>
      <c r="GN139" s="199"/>
      <c r="GO139" s="199"/>
      <c r="GP139" s="199"/>
      <c r="GQ139" s="199"/>
      <c r="GR139" s="199"/>
      <c r="GS139" s="199"/>
      <c r="GT139" s="199"/>
      <c r="GU139" s="199"/>
      <c r="GV139" s="199"/>
      <c r="GW139" s="199"/>
      <c r="GX139" s="199"/>
      <c r="GY139" s="199"/>
      <c r="GZ139" s="199"/>
      <c r="HA139" s="199"/>
      <c r="HB139" s="199"/>
      <c r="HC139" s="199"/>
      <c r="HD139" s="199"/>
      <c r="HE139" s="199"/>
      <c r="HF139" s="199"/>
      <c r="HG139" s="199"/>
      <c r="HH139" s="199"/>
      <c r="HI139" s="199"/>
      <c r="HJ139" s="199"/>
      <c r="HK139" s="199"/>
      <c r="HL139" s="199"/>
      <c r="HM139" s="199"/>
      <c r="HN139" s="199"/>
      <c r="HO139" s="199"/>
      <c r="HP139" s="199"/>
      <c r="HQ139" s="199"/>
      <c r="HR139" s="199"/>
      <c r="HS139" s="199"/>
      <c r="HT139" s="199"/>
      <c r="HU139" s="199"/>
      <c r="HV139" s="199"/>
      <c r="HW139" s="199"/>
      <c r="HX139" s="199"/>
      <c r="HY139" s="199"/>
      <c r="HZ139" s="199"/>
      <c r="IA139" s="199"/>
      <c r="IB139" s="199"/>
      <c r="IC139" s="199"/>
      <c r="ID139" s="199"/>
      <c r="IE139" s="199"/>
      <c r="IF139" s="199"/>
      <c r="IG139" s="199"/>
      <c r="IH139" s="199"/>
      <c r="II139" s="199"/>
      <c r="IJ139" s="199"/>
      <c r="IK139" s="199"/>
      <c r="IL139" s="199"/>
      <c r="IM139" s="199"/>
      <c r="IN139" s="199"/>
      <c r="IO139" s="199"/>
      <c r="IP139" s="199"/>
      <c r="IQ139" s="199"/>
      <c r="IR139" s="199"/>
      <c r="IS139" s="199"/>
      <c r="IT139" s="199"/>
      <c r="IU139" s="199"/>
      <c r="IV139" s="199"/>
    </row>
    <row r="140" spans="1:256" x14ac:dyDescent="0.2">
      <c r="A140" s="1654" t="s">
        <v>932</v>
      </c>
      <c r="B140" s="374"/>
      <c r="C140" s="78"/>
      <c r="D140" s="374"/>
      <c r="E140" s="374"/>
      <c r="F140" s="374"/>
      <c r="G140" s="374"/>
      <c r="H140" s="78"/>
      <c r="I140" s="1582"/>
      <c r="J140" s="1582">
        <f>+J139-I139</f>
        <v>43</v>
      </c>
      <c r="K140" s="1582">
        <f>+K139-J139</f>
        <v>39</v>
      </c>
      <c r="L140" s="1582">
        <f>+L139-K139</f>
        <v>45</v>
      </c>
      <c r="M140" s="78"/>
      <c r="N140" s="1582">
        <f>+N139-M139</f>
        <v>27</v>
      </c>
      <c r="O140" s="1582">
        <f>+O139-N139</f>
        <v>32</v>
      </c>
      <c r="P140" s="1582">
        <f>+P139-O139</f>
        <v>27</v>
      </c>
      <c r="Q140" s="1582">
        <f>+Q139-P139</f>
        <v>45</v>
      </c>
      <c r="R140" s="1649"/>
      <c r="S140" s="1582">
        <f>+S139-R139</f>
        <v>22</v>
      </c>
      <c r="T140" s="1582">
        <f>+T139-S139</f>
        <v>26</v>
      </c>
      <c r="U140" s="1582">
        <f>+U139-T139</f>
        <v>29</v>
      </c>
      <c r="V140" s="1582">
        <f>+V139-U139</f>
        <v>24</v>
      </c>
      <c r="W140" s="1649"/>
      <c r="X140" s="1582">
        <f>+X139-W139</f>
        <v>20</v>
      </c>
      <c r="Y140" s="1582">
        <f>+Y139-X139</f>
        <v>21</v>
      </c>
      <c r="Z140" s="1582">
        <f>+Z139-Y139</f>
        <v>12</v>
      </c>
      <c r="AA140" s="1582">
        <f>+AA139-Z139</f>
        <v>21</v>
      </c>
      <c r="AB140" s="1649"/>
      <c r="AC140" s="1582">
        <f>+AC139-AB139</f>
        <v>10</v>
      </c>
      <c r="AD140" s="1582">
        <f>+AD139-AC139</f>
        <v>22</v>
      </c>
      <c r="AE140" s="1582">
        <f>+AE139-AD139</f>
        <v>25</v>
      </c>
      <c r="AF140" s="1582">
        <f>+AF139-AE139</f>
        <v>28</v>
      </c>
      <c r="AG140" s="1649"/>
      <c r="AH140" s="1582">
        <f>+AH139-AG139</f>
        <v>21</v>
      </c>
      <c r="AI140" s="1582">
        <f>+AI139-AH139</f>
        <v>15</v>
      </c>
      <c r="AJ140" s="1582">
        <f>+AJ139-AI139</f>
        <v>17</v>
      </c>
      <c r="AK140" s="1582">
        <f>+AK139-AJ139</f>
        <v>12</v>
      </c>
      <c r="AL140" s="1649"/>
      <c r="AM140" s="1582">
        <f>+AM139-AL139</f>
        <v>16</v>
      </c>
      <c r="AN140" s="1582">
        <f>+AN139-AM139</f>
        <v>35</v>
      </c>
      <c r="AO140" s="1582">
        <f>+AO139-AN139</f>
        <v>36</v>
      </c>
      <c r="AP140" s="1582">
        <f>+AP139-AO139</f>
        <v>57</v>
      </c>
      <c r="AQ140" s="1649"/>
      <c r="AR140" s="1582">
        <f>+AR139-AQ139</f>
        <v>22</v>
      </c>
      <c r="AS140" s="1582">
        <f>+AS139-AR139</f>
        <v>43</v>
      </c>
      <c r="AT140" s="1582">
        <f>+AT139-AS139</f>
        <v>31</v>
      </c>
      <c r="AU140" s="1582">
        <f>+AU139-AT139</f>
        <v>62</v>
      </c>
      <c r="AV140" s="1649"/>
      <c r="AW140" s="1582">
        <f>+AW139-AV139</f>
        <v>41</v>
      </c>
      <c r="AX140" s="1582">
        <f>+AX139-AW139</f>
        <v>50</v>
      </c>
      <c r="AY140" s="1582">
        <f>+AY139-AX139</f>
        <v>73</v>
      </c>
      <c r="AZ140" s="1582">
        <f>+AZ139-AY139</f>
        <v>52</v>
      </c>
      <c r="BA140" s="1649"/>
      <c r="BB140" s="1582">
        <f>+BB139-BA139</f>
        <v>29</v>
      </c>
      <c r="BC140" s="1582">
        <f>+BC139-BB139</f>
        <v>31</v>
      </c>
      <c r="BD140" s="1582">
        <f>+BD139-BC139</f>
        <v>21</v>
      </c>
      <c r="BE140" s="1582">
        <f>+BE139-BD139</f>
        <v>20</v>
      </c>
      <c r="BF140" s="1649"/>
      <c r="BG140" s="1582">
        <f>+BG139-BF139</f>
        <v>8</v>
      </c>
      <c r="BH140" s="1582">
        <f>+BH139-BG139</f>
        <v>16</v>
      </c>
      <c r="BI140" s="1582">
        <f>+BI139-BH139</f>
        <v>15</v>
      </c>
      <c r="BJ140" s="1582">
        <f>+BJ139-BI139</f>
        <v>13</v>
      </c>
      <c r="BK140" s="1649"/>
      <c r="BL140" s="1582">
        <f>+BL139-BK139</f>
        <v>11</v>
      </c>
      <c r="BM140" s="1582">
        <f>+BM139-BL139</f>
        <v>10</v>
      </c>
      <c r="BN140" s="1582">
        <f>+BN139-BM139</f>
        <v>17</v>
      </c>
      <c r="BO140" s="1582">
        <f>+BO139-BN139</f>
        <v>19</v>
      </c>
      <c r="BP140" s="1649"/>
      <c r="BQ140" s="1582">
        <f>+BQ139-BP139</f>
        <v>90</v>
      </c>
      <c r="BR140" s="1582">
        <f>+BR139-BQ139</f>
        <v>26</v>
      </c>
      <c r="BS140" s="1582">
        <f>+BS139-BR139</f>
        <v>24</v>
      </c>
      <c r="BT140" s="1582">
        <f>+BT139-BS139</f>
        <v>15</v>
      </c>
      <c r="BU140" s="1649"/>
      <c r="BV140" s="1582">
        <f>+BV139-BU139</f>
        <v>8</v>
      </c>
      <c r="BW140" s="1582">
        <f>+BW139-BV139</f>
        <v>31</v>
      </c>
      <c r="BX140" s="1582">
        <f>+BX139-BW139</f>
        <v>35</v>
      </c>
      <c r="BY140" s="1582">
        <f>+BY139-BX139</f>
        <v>28</v>
      </c>
      <c r="BZ140" s="1649"/>
      <c r="CA140" s="1582">
        <f>+CA139-BZ139</f>
        <v>123</v>
      </c>
      <c r="CB140" s="1582">
        <f>+CB139-CA139</f>
        <v>82</v>
      </c>
      <c r="CC140" s="1582">
        <f>+CC139-CB139</f>
        <v>34</v>
      </c>
      <c r="CD140" s="1582">
        <f>+CD139-CC139</f>
        <v>42</v>
      </c>
      <c r="CE140" s="1649"/>
      <c r="CF140" s="1582">
        <f>+CF139-CE139</f>
        <v>46</v>
      </c>
      <c r="CG140" s="1582">
        <f>+CG139-CF139</f>
        <v>60</v>
      </c>
      <c r="CH140" s="1582">
        <f>+CH139-CG139</f>
        <v>64</v>
      </c>
      <c r="CI140" s="1582">
        <f>+CI139-CH139</f>
        <v>721</v>
      </c>
      <c r="CJ140" s="1649"/>
      <c r="CK140" s="3506">
        <f>+CK139-CJ139</f>
        <v>67</v>
      </c>
      <c r="CL140" s="3506">
        <f>+CL139-CK139</f>
        <v>68</v>
      </c>
      <c r="CM140" s="3506">
        <f>+CM139-CL139</f>
        <v>95</v>
      </c>
      <c r="CN140" s="1582">
        <f>+CN139-CM139</f>
        <v>80</v>
      </c>
      <c r="CO140" s="1649"/>
      <c r="CP140" s="3506"/>
      <c r="CQ140" s="3506"/>
      <c r="CR140" s="1582"/>
      <c r="CS140" s="1582"/>
      <c r="CT140" s="1649"/>
      <c r="CU140" s="1649"/>
      <c r="CV140" s="1649"/>
      <c r="CW140" s="374"/>
      <c r="CX140" s="374"/>
      <c r="CY140" s="374"/>
      <c r="CZ140" s="374"/>
      <c r="DA140" s="374"/>
      <c r="DB140" s="374"/>
      <c r="DC140" s="374"/>
      <c r="DD140" s="374"/>
      <c r="DE140" s="374"/>
      <c r="DF140" s="374"/>
      <c r="DG140" s="374"/>
      <c r="DH140" s="374"/>
      <c r="DI140" s="374"/>
      <c r="DJ140" s="374"/>
      <c r="DK140" s="374"/>
      <c r="DL140" s="374"/>
      <c r="DM140" s="374"/>
      <c r="DN140" s="374"/>
      <c r="DO140" s="374"/>
      <c r="DP140" s="374"/>
      <c r="DQ140" s="374"/>
      <c r="DR140" s="374"/>
      <c r="DS140" s="374"/>
      <c r="DT140" s="374"/>
      <c r="DU140" s="374"/>
      <c r="DV140" s="374"/>
      <c r="DW140" s="374"/>
      <c r="DX140" s="374"/>
      <c r="DY140" s="374"/>
      <c r="DZ140" s="374"/>
      <c r="EA140" s="374"/>
      <c r="EB140" s="374"/>
      <c r="EC140" s="374"/>
      <c r="ED140" s="374"/>
      <c r="EE140" s="374"/>
      <c r="EF140" s="374"/>
      <c r="EG140" s="374"/>
      <c r="EH140" s="374"/>
      <c r="EI140" s="374"/>
      <c r="EJ140" s="374"/>
      <c r="EK140" s="374"/>
      <c r="EL140" s="374"/>
      <c r="EM140" s="374"/>
      <c r="EN140" s="374"/>
      <c r="EO140" s="374"/>
      <c r="EP140" s="374"/>
      <c r="EQ140" s="374"/>
      <c r="ER140" s="374"/>
      <c r="ES140" s="374"/>
      <c r="ET140" s="374"/>
      <c r="EU140" s="374"/>
      <c r="EV140" s="374"/>
      <c r="EW140" s="374"/>
      <c r="EX140" s="374"/>
      <c r="EY140" s="374"/>
      <c r="EZ140" s="374"/>
      <c r="FA140" s="374"/>
      <c r="FB140" s="374"/>
      <c r="FC140" s="374"/>
      <c r="FD140" s="374"/>
      <c r="FE140" s="374"/>
      <c r="FF140" s="374"/>
      <c r="FG140" s="374"/>
      <c r="FH140" s="374"/>
      <c r="FI140" s="374"/>
      <c r="FJ140" s="374"/>
      <c r="FK140" s="374"/>
      <c r="FL140" s="374"/>
      <c r="FM140" s="374"/>
      <c r="FN140" s="374"/>
      <c r="FO140" s="374"/>
      <c r="FP140" s="374"/>
      <c r="FQ140" s="374"/>
      <c r="FR140" s="374"/>
      <c r="FS140" s="374"/>
      <c r="FT140" s="374"/>
      <c r="FU140" s="374"/>
      <c r="FV140" s="374"/>
      <c r="FW140" s="374"/>
      <c r="FX140" s="374"/>
      <c r="FY140" s="374"/>
      <c r="FZ140" s="374"/>
      <c r="GA140" s="374"/>
      <c r="GB140" s="374"/>
      <c r="GC140" s="374"/>
      <c r="GD140" s="374"/>
      <c r="GE140" s="374"/>
      <c r="GF140" s="374"/>
      <c r="GG140" s="374"/>
      <c r="GH140" s="374"/>
      <c r="GI140" s="374"/>
      <c r="GJ140" s="374"/>
      <c r="GK140" s="374"/>
      <c r="GL140" s="374"/>
      <c r="GM140" s="374"/>
      <c r="GN140" s="374"/>
      <c r="GO140" s="374"/>
      <c r="GP140" s="374"/>
      <c r="GQ140" s="374"/>
      <c r="GR140" s="374"/>
      <c r="GS140" s="374"/>
      <c r="GT140" s="374"/>
      <c r="GU140" s="374"/>
      <c r="GV140" s="374"/>
      <c r="GW140" s="374"/>
      <c r="GX140" s="374"/>
      <c r="GY140" s="374"/>
      <c r="GZ140" s="374"/>
      <c r="HA140" s="374"/>
      <c r="HB140" s="374"/>
      <c r="HC140" s="374"/>
      <c r="HD140" s="374"/>
      <c r="HE140" s="374"/>
      <c r="HF140" s="374"/>
      <c r="HG140" s="374"/>
      <c r="HH140" s="374"/>
      <c r="HI140" s="374"/>
      <c r="HJ140" s="374"/>
      <c r="HK140" s="374"/>
      <c r="HL140" s="374"/>
      <c r="HM140" s="374"/>
      <c r="HN140" s="374"/>
      <c r="HO140" s="374"/>
      <c r="HP140" s="374"/>
      <c r="HQ140" s="374"/>
      <c r="HR140" s="374"/>
      <c r="HS140" s="374"/>
      <c r="HT140" s="374"/>
      <c r="HU140" s="374"/>
      <c r="HV140" s="374"/>
      <c r="HW140" s="374"/>
      <c r="HX140" s="374"/>
      <c r="HY140" s="374"/>
      <c r="HZ140" s="374"/>
      <c r="IA140" s="374"/>
      <c r="IB140" s="374"/>
      <c r="IC140" s="374"/>
      <c r="ID140" s="374"/>
      <c r="IE140" s="374"/>
      <c r="IF140" s="374"/>
      <c r="IG140" s="374"/>
      <c r="IH140" s="374"/>
      <c r="II140" s="374"/>
      <c r="IJ140" s="374"/>
      <c r="IK140" s="374"/>
      <c r="IL140" s="374"/>
      <c r="IM140" s="374"/>
      <c r="IN140" s="374"/>
      <c r="IO140" s="374"/>
      <c r="IP140" s="374"/>
      <c r="IQ140" s="374"/>
      <c r="IR140" s="374"/>
      <c r="IS140" s="374"/>
      <c r="IT140" s="374"/>
      <c r="IU140" s="374"/>
      <c r="IV140" s="374"/>
    </row>
    <row r="141" spans="1:256" s="199" customFormat="1" x14ac:dyDescent="0.2">
      <c r="A141" s="1651" t="s">
        <v>931</v>
      </c>
      <c r="B141" s="9"/>
      <c r="C141" s="77"/>
      <c r="D141" s="9"/>
      <c r="E141" s="9"/>
      <c r="F141" s="9"/>
      <c r="G141" s="9"/>
      <c r="H141" s="77"/>
      <c r="I141" s="9"/>
      <c r="J141" s="9"/>
      <c r="K141" s="9"/>
      <c r="L141" s="9"/>
      <c r="M141" s="77"/>
      <c r="N141" s="1652">
        <f>N139-I139</f>
        <v>154</v>
      </c>
      <c r="O141" s="1652">
        <f t="shared" ref="O141:BQ141" si="140">O139-J139</f>
        <v>143</v>
      </c>
      <c r="P141" s="1652">
        <f t="shared" si="140"/>
        <v>131</v>
      </c>
      <c r="Q141" s="1652">
        <f t="shared" si="140"/>
        <v>131</v>
      </c>
      <c r="R141" s="2169">
        <f t="shared" si="140"/>
        <v>131</v>
      </c>
      <c r="S141" s="1652">
        <f t="shared" si="140"/>
        <v>126</v>
      </c>
      <c r="T141" s="1652">
        <f t="shared" si="140"/>
        <v>120</v>
      </c>
      <c r="U141" s="1652">
        <f t="shared" si="140"/>
        <v>122</v>
      </c>
      <c r="V141" s="1652">
        <f t="shared" si="140"/>
        <v>101</v>
      </c>
      <c r="W141" s="2169">
        <f t="shared" si="140"/>
        <v>101</v>
      </c>
      <c r="X141" s="1652">
        <f t="shared" si="140"/>
        <v>99</v>
      </c>
      <c r="Y141" s="1652">
        <f t="shared" si="140"/>
        <v>94</v>
      </c>
      <c r="Z141" s="1652">
        <f t="shared" si="140"/>
        <v>77</v>
      </c>
      <c r="AA141" s="1652">
        <f t="shared" si="140"/>
        <v>74</v>
      </c>
      <c r="AB141" s="2169">
        <f t="shared" si="140"/>
        <v>74</v>
      </c>
      <c r="AC141" s="1652">
        <f t="shared" si="140"/>
        <v>64</v>
      </c>
      <c r="AD141" s="1652">
        <f t="shared" si="140"/>
        <v>65</v>
      </c>
      <c r="AE141" s="1652">
        <f t="shared" si="140"/>
        <v>78</v>
      </c>
      <c r="AF141" s="1652">
        <f t="shared" si="140"/>
        <v>85</v>
      </c>
      <c r="AG141" s="2169">
        <f t="shared" si="140"/>
        <v>85</v>
      </c>
      <c r="AH141" s="1652">
        <f t="shared" si="140"/>
        <v>96</v>
      </c>
      <c r="AI141" s="1652">
        <f t="shared" si="140"/>
        <v>89</v>
      </c>
      <c r="AJ141" s="1652">
        <f t="shared" si="140"/>
        <v>81</v>
      </c>
      <c r="AK141" s="1652">
        <f t="shared" si="140"/>
        <v>65</v>
      </c>
      <c r="AL141" s="2169">
        <f t="shared" si="140"/>
        <v>65</v>
      </c>
      <c r="AM141" s="1652">
        <f t="shared" si="140"/>
        <v>60</v>
      </c>
      <c r="AN141" s="1652">
        <f t="shared" si="140"/>
        <v>80</v>
      </c>
      <c r="AO141" s="1652">
        <f t="shared" si="140"/>
        <v>99</v>
      </c>
      <c r="AP141" s="1652">
        <f t="shared" si="140"/>
        <v>144</v>
      </c>
      <c r="AQ141" s="2169">
        <f t="shared" si="140"/>
        <v>144</v>
      </c>
      <c r="AR141" s="1652">
        <f t="shared" si="140"/>
        <v>150</v>
      </c>
      <c r="AS141" s="1652">
        <f t="shared" si="140"/>
        <v>158</v>
      </c>
      <c r="AT141" s="1652">
        <f t="shared" si="140"/>
        <v>153</v>
      </c>
      <c r="AU141" s="1652">
        <f t="shared" si="140"/>
        <v>158</v>
      </c>
      <c r="AV141" s="2169">
        <f t="shared" si="140"/>
        <v>158</v>
      </c>
      <c r="AW141" s="1652">
        <f t="shared" si="140"/>
        <v>177</v>
      </c>
      <c r="AX141" s="1652">
        <f t="shared" si="140"/>
        <v>184</v>
      </c>
      <c r="AY141" s="1652">
        <f t="shared" si="140"/>
        <v>226</v>
      </c>
      <c r="AZ141" s="1652">
        <f t="shared" si="140"/>
        <v>216</v>
      </c>
      <c r="BA141" s="2169">
        <f t="shared" si="140"/>
        <v>216</v>
      </c>
      <c r="BB141" s="1652">
        <f t="shared" si="140"/>
        <v>204</v>
      </c>
      <c r="BC141" s="1652">
        <f t="shared" si="140"/>
        <v>185</v>
      </c>
      <c r="BD141" s="1652">
        <f t="shared" si="140"/>
        <v>133</v>
      </c>
      <c r="BE141" s="1652">
        <f t="shared" si="140"/>
        <v>101</v>
      </c>
      <c r="BF141" s="2169">
        <f t="shared" si="140"/>
        <v>101</v>
      </c>
      <c r="BG141" s="1652">
        <f t="shared" si="140"/>
        <v>80</v>
      </c>
      <c r="BH141" s="1652">
        <f t="shared" si="140"/>
        <v>65</v>
      </c>
      <c r="BI141" s="1652">
        <f t="shared" si="140"/>
        <v>59</v>
      </c>
      <c r="BJ141" s="1652">
        <f t="shared" si="140"/>
        <v>52</v>
      </c>
      <c r="BK141" s="2169">
        <f t="shared" si="140"/>
        <v>52</v>
      </c>
      <c r="BL141" s="1652">
        <f t="shared" si="140"/>
        <v>55</v>
      </c>
      <c r="BM141" s="1652">
        <f t="shared" si="140"/>
        <v>49</v>
      </c>
      <c r="BN141" s="1652">
        <f t="shared" si="140"/>
        <v>51</v>
      </c>
      <c r="BO141" s="1652">
        <f t="shared" si="140"/>
        <v>57</v>
      </c>
      <c r="BP141" s="2169">
        <f t="shared" si="140"/>
        <v>57</v>
      </c>
      <c r="BQ141" s="1652">
        <f t="shared" si="140"/>
        <v>136</v>
      </c>
      <c r="BR141" s="1652">
        <f t="shared" ref="BR141:CF141" si="141">BR139-BM139</f>
        <v>152</v>
      </c>
      <c r="BS141" s="1652">
        <f t="shared" si="141"/>
        <v>159</v>
      </c>
      <c r="BT141" s="1652">
        <f t="shared" si="141"/>
        <v>155</v>
      </c>
      <c r="BU141" s="2169">
        <f t="shared" si="141"/>
        <v>155</v>
      </c>
      <c r="BV141" s="1652">
        <f t="shared" si="141"/>
        <v>73</v>
      </c>
      <c r="BW141" s="1652">
        <f t="shared" si="141"/>
        <v>78</v>
      </c>
      <c r="BX141" s="1652">
        <f t="shared" si="141"/>
        <v>89</v>
      </c>
      <c r="BY141" s="1652">
        <f t="shared" si="141"/>
        <v>102</v>
      </c>
      <c r="BZ141" s="2169">
        <f t="shared" si="141"/>
        <v>102</v>
      </c>
      <c r="CA141" s="1652">
        <f t="shared" si="141"/>
        <v>217</v>
      </c>
      <c r="CB141" s="1652">
        <f t="shared" si="141"/>
        <v>268</v>
      </c>
      <c r="CC141" s="1652">
        <f t="shared" si="141"/>
        <v>267</v>
      </c>
      <c r="CD141" s="1652">
        <f t="shared" si="141"/>
        <v>281</v>
      </c>
      <c r="CE141" s="2169">
        <f t="shared" si="141"/>
        <v>281</v>
      </c>
      <c r="CF141" s="1652">
        <f t="shared" si="141"/>
        <v>204</v>
      </c>
      <c r="CG141" s="1652">
        <f t="shared" ref="CG141:CM141" si="142">CG139-CB139</f>
        <v>182</v>
      </c>
      <c r="CH141" s="1652">
        <f t="shared" si="142"/>
        <v>212</v>
      </c>
      <c r="CI141" s="1652">
        <f t="shared" si="142"/>
        <v>891</v>
      </c>
      <c r="CJ141" s="2169">
        <f t="shared" si="142"/>
        <v>891</v>
      </c>
      <c r="CK141" s="3507">
        <f t="shared" si="142"/>
        <v>912</v>
      </c>
      <c r="CL141" s="3507">
        <f t="shared" si="142"/>
        <v>920</v>
      </c>
      <c r="CM141" s="3507">
        <f t="shared" si="142"/>
        <v>951</v>
      </c>
      <c r="CN141" s="1652">
        <f t="shared" ref="CN141" si="143">CN139-CI139</f>
        <v>310</v>
      </c>
      <c r="CO141" s="2169">
        <f t="shared" ref="CO141" si="144">CO139-CJ139</f>
        <v>310</v>
      </c>
      <c r="CP141" s="3507"/>
      <c r="CQ141" s="3507"/>
      <c r="CR141" s="1652"/>
      <c r="CS141" s="1652"/>
      <c r="CT141" s="2169"/>
      <c r="CU141" s="2169"/>
      <c r="CV141" s="2169"/>
      <c r="CW141" s="374"/>
      <c r="CX141" s="374"/>
      <c r="CY141" s="374"/>
      <c r="CZ141" s="374"/>
      <c r="DA141" s="374"/>
      <c r="DB141" s="374"/>
      <c r="DC141" s="374"/>
      <c r="DD141" s="374"/>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row>
    <row r="142" spans="1:256" s="374" customFormat="1" ht="11.25"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s="8"/>
      <c r="CL142"/>
      <c r="CM142"/>
      <c r="CN142"/>
      <c r="CO142"/>
      <c r="CP142" s="8"/>
      <c r="CQ142"/>
      <c r="CR142"/>
      <c r="CS142"/>
      <c r="CT142"/>
      <c r="CU142"/>
      <c r="CV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row>
    <row r="143" spans="1:256" customFormat="1" ht="11.25" x14ac:dyDescent="0.2">
      <c r="CK143" s="8"/>
      <c r="CP143" s="8"/>
      <c r="CW143" s="374"/>
      <c r="CX143" s="374"/>
      <c r="CY143" s="374"/>
      <c r="CZ143" s="374"/>
      <c r="DA143" s="374"/>
      <c r="DB143" s="374"/>
      <c r="DC143" s="374"/>
      <c r="DD143" s="374"/>
    </row>
    <row r="144" spans="1:256" customFormat="1" x14ac:dyDescent="0.2">
      <c r="A144" s="1265" t="s">
        <v>513</v>
      </c>
      <c r="B144" s="1216"/>
      <c r="C144" s="1217"/>
      <c r="D144" s="1053" t="str">
        <f>RevPAR!B$5</f>
        <v>1Q00</v>
      </c>
      <c r="E144" s="1053" t="str">
        <f>RevPAR!C$5</f>
        <v>2Q00</v>
      </c>
      <c r="F144" s="1053" t="str">
        <f>RevPAR!D$5</f>
        <v>3Q00</v>
      </c>
      <c r="G144" s="1053" t="str">
        <f>RevPAR!E$5</f>
        <v>4Q00</v>
      </c>
      <c r="H144" s="1054">
        <f>RevPAR!F$5</f>
        <v>2000</v>
      </c>
      <c r="I144" s="1053" t="str">
        <f>RevPAR!G$5</f>
        <v>1Q01</v>
      </c>
      <c r="J144" s="1053" t="str">
        <f>RevPAR!H$5</f>
        <v>2Q01</v>
      </c>
      <c r="K144" s="1053" t="str">
        <f>RevPAR!I$5</f>
        <v>3Q01</v>
      </c>
      <c r="L144" s="1053" t="str">
        <f>RevPAR!J$5</f>
        <v>4Q01</v>
      </c>
      <c r="M144" s="1054">
        <f>RevPAR!K$5</f>
        <v>2001</v>
      </c>
      <c r="N144" s="1053" t="str">
        <f>RevPAR!L$5</f>
        <v>1Q02</v>
      </c>
      <c r="O144" s="1053" t="str">
        <f>RevPAR!M$5</f>
        <v>2Q02</v>
      </c>
      <c r="P144" s="1053" t="str">
        <f>RevPAR!N$5</f>
        <v>3Q02</v>
      </c>
      <c r="Q144" s="1053" t="str">
        <f>RevPAR!O$5</f>
        <v>4Q02</v>
      </c>
      <c r="R144" s="1054">
        <f>RevPAR!P$5</f>
        <v>2002</v>
      </c>
      <c r="S144" s="1053" t="str">
        <f>RevPAR!Q$5</f>
        <v>1Q03</v>
      </c>
      <c r="T144" s="1053" t="str">
        <f>RevPAR!R$5</f>
        <v>2Q03</v>
      </c>
      <c r="U144" s="1053" t="str">
        <f>RevPAR!S$5</f>
        <v>3Q03</v>
      </c>
      <c r="V144" s="1053" t="str">
        <f>RevPAR!T$5</f>
        <v>4Q03</v>
      </c>
      <c r="W144" s="1054">
        <f>RevPAR!U$5</f>
        <v>2003</v>
      </c>
      <c r="X144" s="1053" t="str">
        <f>RevPAR!V$5</f>
        <v>1Q04</v>
      </c>
      <c r="Y144" s="1053" t="str">
        <f>RevPAR!W$5</f>
        <v>2Q04</v>
      </c>
      <c r="Z144" s="1053" t="str">
        <f>RevPAR!X$5</f>
        <v>3Q04</v>
      </c>
      <c r="AA144" s="1053" t="str">
        <f>RevPAR!Y$5</f>
        <v>4Q04</v>
      </c>
      <c r="AB144" s="1054" t="str">
        <f>RevPAR!Z$5</f>
        <v>2004</v>
      </c>
      <c r="AC144" s="1053" t="str">
        <f>RevPAR!AA$5</f>
        <v>1Q05</v>
      </c>
      <c r="AD144" s="1053" t="str">
        <f>RevPAR!AB$5</f>
        <v>2Q05</v>
      </c>
      <c r="AE144" s="1053" t="str">
        <f>RevPAR!AC$5</f>
        <v>3Q05</v>
      </c>
      <c r="AF144" s="1053" t="str">
        <f>RevPAR!AD$5</f>
        <v>4Q05</v>
      </c>
      <c r="AG144" s="1054">
        <f>RevPAR!AE$5</f>
        <v>2005</v>
      </c>
      <c r="AH144" s="1053" t="str">
        <f>RevPAR!AF$5</f>
        <v>1Q06</v>
      </c>
      <c r="AI144" s="1053" t="str">
        <f>RevPAR!AG$5</f>
        <v>2Q06</v>
      </c>
      <c r="AJ144" s="1053" t="str">
        <f>RevPAR!AH$5</f>
        <v>3Q06</v>
      </c>
      <c r="AK144" s="1053" t="str">
        <f>RevPAR!AI$5</f>
        <v>4Q06</v>
      </c>
      <c r="AL144" s="1054">
        <f>RevPAR!AJ$5</f>
        <v>2006</v>
      </c>
      <c r="AM144" s="1053" t="str">
        <f>RevPAR!AK$5</f>
        <v>1Q07</v>
      </c>
      <c r="AN144" s="1053" t="str">
        <f>RevPAR!AL$5</f>
        <v>2Q07</v>
      </c>
      <c r="AO144" s="1053" t="str">
        <f>RevPAR!AM$5</f>
        <v>3Q07</v>
      </c>
      <c r="AP144" s="1053" t="str">
        <f>RevPAR!AN$5</f>
        <v>4Q07</v>
      </c>
      <c r="AQ144" s="1054" t="str">
        <f>RevPAR!AO$5</f>
        <v>2007</v>
      </c>
      <c r="AR144" s="1053" t="str">
        <f>RevPAR!AP$5</f>
        <v>1Q08</v>
      </c>
      <c r="AS144" s="1053" t="str">
        <f>RevPAR!AQ$5</f>
        <v>2Q08</v>
      </c>
      <c r="AT144" s="1053" t="str">
        <f>RevPAR!AR$5</f>
        <v>3Q08</v>
      </c>
      <c r="AU144" s="1053" t="str">
        <f>RevPAR!AS$5</f>
        <v>4Q08</v>
      </c>
      <c r="AV144" s="1054" t="str">
        <f>RevPAR!AT$5</f>
        <v>2008</v>
      </c>
      <c r="AW144" s="1053" t="str">
        <f>RevPAR!AU$5</f>
        <v>1Q09</v>
      </c>
      <c r="AX144" s="1053" t="str">
        <f>RevPAR!AV$5</f>
        <v>2Q09</v>
      </c>
      <c r="AY144" s="1053" t="str">
        <f>RevPAR!AW$5</f>
        <v>3Q09</v>
      </c>
      <c r="AZ144" s="1053" t="str">
        <f>RevPAR!AX$5</f>
        <v>4Q09</v>
      </c>
      <c r="BA144" s="1054" t="str">
        <f>RevPAR!AY$5</f>
        <v>2009</v>
      </c>
      <c r="BB144" s="1053" t="str">
        <f>RevPAR!AZ$5</f>
        <v>1Q10</v>
      </c>
      <c r="BC144" s="1053" t="str">
        <f>RevPAR!BA$5</f>
        <v>2Q10</v>
      </c>
      <c r="BD144" s="1053" t="str">
        <f>RevPAR!BB$5</f>
        <v>3Q10</v>
      </c>
      <c r="BE144" s="1053" t="str">
        <f>RevPAR!BC$5</f>
        <v>4Q10</v>
      </c>
      <c r="BF144" s="1054" t="str">
        <f>RevPAR!BD$5</f>
        <v>2010</v>
      </c>
      <c r="BG144" s="1053" t="str">
        <f>RevPAR!BE$5</f>
        <v>1Q11</v>
      </c>
      <c r="BH144" s="1053" t="str">
        <f>RevPAR!BF$5</f>
        <v>2Q11</v>
      </c>
      <c r="BI144" s="1053" t="str">
        <f>RevPAR!BG$5</f>
        <v>3Q11</v>
      </c>
      <c r="BJ144" s="1053" t="str">
        <f>RevPAR!BH$5</f>
        <v>4Q11</v>
      </c>
      <c r="BK144" s="1054">
        <f>RevPAR!BI$5</f>
        <v>2011</v>
      </c>
      <c r="BL144" s="1053" t="str">
        <f>RevPAR!BJ$5</f>
        <v>1Q12</v>
      </c>
      <c r="BM144" s="1053" t="str">
        <f>RevPAR!BK$5</f>
        <v>2Q12</v>
      </c>
      <c r="BN144" s="1053" t="str">
        <f>RevPAR!BL$5</f>
        <v>3Q12</v>
      </c>
      <c r="BO144" s="1053" t="str">
        <f>RevPAR!BM$5</f>
        <v>4Q12</v>
      </c>
      <c r="BP144" s="1054">
        <f>RevPAR!BN$5</f>
        <v>2012</v>
      </c>
      <c r="BQ144" s="1053" t="str">
        <f>RevPAR!BO$5</f>
        <v>1Q13</v>
      </c>
      <c r="BR144" s="1053" t="str">
        <f>RevPAR!BP$5</f>
        <v>2Q13</v>
      </c>
      <c r="BS144" s="1053" t="str">
        <f>RevPAR!BQ$5</f>
        <v>3Q13</v>
      </c>
      <c r="BT144" s="1053" t="str">
        <f>RevPAR!BR$5</f>
        <v>4Q13</v>
      </c>
      <c r="BU144" s="1054">
        <f>RevPAR!BS$5</f>
        <v>2013</v>
      </c>
      <c r="BV144" s="1053" t="str">
        <f>RevPAR!BT$5</f>
        <v>1Q14</v>
      </c>
      <c r="BW144" s="1053" t="str">
        <f>RevPAR!BU$5</f>
        <v>2Q14</v>
      </c>
      <c r="BX144" s="1053" t="str">
        <f>RevPAR!BV$5</f>
        <v>3Q14</v>
      </c>
      <c r="BY144" s="1053" t="str">
        <f>RevPAR!BW$5</f>
        <v>4Q14</v>
      </c>
      <c r="BZ144" s="1054">
        <f>RevPAR!BX$5</f>
        <v>2014</v>
      </c>
      <c r="CA144" s="1053" t="str">
        <f>RevPAR!BY$5</f>
        <v>1Q15</v>
      </c>
      <c r="CB144" s="1053" t="str">
        <f>RevPAR!BZ$5</f>
        <v>2Q15</v>
      </c>
      <c r="CC144" s="1053" t="str">
        <f>RevPAR!CA$5</f>
        <v>3Q15</v>
      </c>
      <c r="CD144" s="1053" t="str">
        <f>RevPAR!CB$5</f>
        <v>4Q15</v>
      </c>
      <c r="CE144" s="1054">
        <f>RevPAR!CC$5</f>
        <v>2015</v>
      </c>
      <c r="CF144" s="1053" t="str">
        <f>RevPAR!CD$5</f>
        <v>1Q16</v>
      </c>
      <c r="CG144" s="1053" t="str">
        <f>RevPAR!CE$5</f>
        <v>2Q16</v>
      </c>
      <c r="CH144" s="1053" t="str">
        <f>RevPAR!CF$5</f>
        <v>3Q16</v>
      </c>
      <c r="CI144" s="1053" t="str">
        <f>RevPAR!CG$5</f>
        <v>4Q16</v>
      </c>
      <c r="CJ144" s="1054">
        <f>RevPAR!CH$5</f>
        <v>2016</v>
      </c>
      <c r="CK144" s="1053" t="s">
        <v>2974</v>
      </c>
      <c r="CL144" s="1053" t="str">
        <f>RevPAR!CJ$5</f>
        <v>2Q17</v>
      </c>
      <c r="CM144" s="1053" t="str">
        <f>RevPAR!CK$5</f>
        <v>3Q17</v>
      </c>
      <c r="CN144" s="1053" t="str">
        <f>RevPAR!CL$5</f>
        <v>4Q17A</v>
      </c>
      <c r="CO144" s="1054" t="str">
        <f>RevPAR!CM$5</f>
        <v>2017A</v>
      </c>
      <c r="CP144" s="1053" t="str">
        <f>RevPAR!CN$5</f>
        <v>1Q18E</v>
      </c>
      <c r="CQ144" s="1053" t="str">
        <f>RevPAR!CO$5</f>
        <v>2Q18E</v>
      </c>
      <c r="CR144" s="1053" t="str">
        <f>RevPAR!CP$5</f>
        <v>3Q18E</v>
      </c>
      <c r="CS144" s="1053" t="str">
        <f>RevPAR!CQ$5</f>
        <v>4Q18E</v>
      </c>
      <c r="CT144" s="1054" t="str">
        <f>RevPAR!CR$5</f>
        <v>2018E</v>
      </c>
      <c r="CU144" s="1054" t="str">
        <f>RevPAR!CS$5</f>
        <v>2019E</v>
      </c>
      <c r="CV144" s="1054" t="str">
        <f>RevPAR!CT$5</f>
        <v>2020E</v>
      </c>
      <c r="CW144" s="212"/>
      <c r="CX144" s="212"/>
      <c r="CY144" s="212"/>
      <c r="CZ144" s="212"/>
      <c r="DA144" s="212"/>
      <c r="DB144" s="212"/>
      <c r="DC144" s="212"/>
      <c r="DD144" s="212"/>
      <c r="DE144" s="70"/>
      <c r="DF144" s="70"/>
      <c r="DG144" s="70"/>
      <c r="DH144" s="70"/>
      <c r="DI144" s="70"/>
      <c r="DJ144" s="70"/>
      <c r="DK144" s="70"/>
      <c r="DL144" s="70"/>
      <c r="DM144" s="70"/>
      <c r="DN144" s="70"/>
      <c r="DO144" s="70"/>
      <c r="DP144" s="70"/>
      <c r="DQ144" s="70"/>
      <c r="DR144" s="70"/>
      <c r="DS144" s="70"/>
      <c r="DT144" s="70"/>
      <c r="DU144" s="70"/>
      <c r="DV144" s="70"/>
      <c r="DW144" s="70"/>
      <c r="DX144" s="70"/>
      <c r="DY144" s="70"/>
      <c r="DZ144" s="70"/>
      <c r="EA144" s="70"/>
      <c r="EB144" s="70"/>
      <c r="EC144" s="70"/>
      <c r="ED144" s="70"/>
      <c r="EE144" s="70"/>
      <c r="EF144" s="70"/>
      <c r="EG144" s="70"/>
      <c r="EH144" s="70"/>
      <c r="EI144" s="70"/>
      <c r="EJ144" s="70"/>
      <c r="EK144" s="70"/>
      <c r="EL144" s="70"/>
      <c r="EM144" s="70"/>
      <c r="EN144" s="70"/>
      <c r="EO144" s="70"/>
      <c r="EP144" s="70"/>
      <c r="EQ144" s="70"/>
      <c r="ER144" s="70"/>
      <c r="ES144" s="70"/>
      <c r="ET144" s="70"/>
      <c r="EU144" s="70"/>
      <c r="EV144" s="70"/>
      <c r="EW144" s="70"/>
      <c r="EX144" s="70"/>
      <c r="EY144" s="70"/>
      <c r="EZ144" s="70"/>
      <c r="FA144" s="70"/>
      <c r="FB144" s="70"/>
      <c r="FC144" s="70"/>
      <c r="FD144" s="70"/>
      <c r="FE144" s="70"/>
      <c r="FF144" s="70"/>
      <c r="FG144" s="70"/>
      <c r="FH144" s="70"/>
      <c r="FI144" s="70"/>
      <c r="FJ144" s="70"/>
      <c r="FK144" s="70"/>
      <c r="FL144" s="70"/>
      <c r="FM144" s="70"/>
      <c r="FN144" s="70"/>
      <c r="FO144" s="70"/>
      <c r="FP144" s="70"/>
      <c r="FQ144" s="70"/>
      <c r="FR144" s="70"/>
      <c r="FS144" s="70"/>
      <c r="FT144" s="70"/>
      <c r="FU144" s="70"/>
      <c r="FV144" s="70"/>
      <c r="FW144" s="70"/>
      <c r="FX144" s="70"/>
      <c r="FY144" s="70"/>
      <c r="FZ144" s="70"/>
      <c r="GA144" s="70"/>
      <c r="GB144" s="70"/>
      <c r="GC144" s="70"/>
      <c r="GD144" s="70"/>
      <c r="GE144" s="70"/>
      <c r="GF144" s="70"/>
      <c r="GG144" s="70"/>
      <c r="GH144" s="70"/>
      <c r="GI144" s="70"/>
      <c r="GJ144" s="70"/>
      <c r="GK144" s="70"/>
      <c r="GL144" s="70"/>
      <c r="GM144" s="70"/>
      <c r="GN144" s="70"/>
      <c r="GO144" s="70"/>
      <c r="GP144" s="70"/>
      <c r="GQ144" s="70"/>
      <c r="GR144" s="70"/>
      <c r="GS144" s="70"/>
      <c r="GT144" s="70"/>
      <c r="GU144" s="70"/>
      <c r="GV144" s="70"/>
      <c r="GW144" s="70"/>
      <c r="GX144" s="70"/>
      <c r="GY144" s="70"/>
      <c r="GZ144" s="70"/>
      <c r="HA144" s="70"/>
      <c r="HB144" s="70"/>
      <c r="HC144" s="70"/>
      <c r="HD144" s="70"/>
      <c r="HE144" s="70"/>
      <c r="HF144" s="70"/>
      <c r="HG144" s="70"/>
      <c r="HH144" s="70"/>
      <c r="HI144" s="70"/>
      <c r="HJ144" s="70"/>
      <c r="HK144" s="70"/>
      <c r="HL144" s="70"/>
      <c r="HM144" s="70"/>
      <c r="HN144" s="70"/>
      <c r="HO144" s="70"/>
      <c r="HP144" s="70"/>
      <c r="HQ144" s="70"/>
      <c r="HR144" s="70"/>
      <c r="HS144" s="70"/>
      <c r="HT144" s="70"/>
      <c r="HU144" s="70"/>
      <c r="HV144" s="70"/>
      <c r="HW144" s="70"/>
      <c r="HX144" s="70"/>
      <c r="HY144" s="70"/>
      <c r="HZ144" s="70"/>
      <c r="IA144" s="70"/>
      <c r="IB144" s="70"/>
      <c r="IC144" s="70"/>
      <c r="ID144" s="70"/>
      <c r="IE144" s="70"/>
      <c r="IF144" s="70"/>
      <c r="IG144" s="70"/>
      <c r="IH144" s="70"/>
      <c r="II144" s="70"/>
      <c r="IJ144" s="70"/>
      <c r="IK144" s="70"/>
      <c r="IL144" s="70"/>
      <c r="IM144" s="70"/>
      <c r="IN144" s="70"/>
      <c r="IO144" s="70"/>
      <c r="IP144" s="70"/>
      <c r="IQ144" s="70"/>
      <c r="IR144" s="70"/>
      <c r="IS144" s="70"/>
      <c r="IT144" s="70"/>
      <c r="IU144" s="70"/>
      <c r="IV144" s="70"/>
    </row>
    <row r="145" spans="1:256" customFormat="1" x14ac:dyDescent="0.2">
      <c r="A145" s="1434"/>
      <c r="B145" s="651"/>
      <c r="C145" s="236"/>
      <c r="D145" s="234"/>
      <c r="E145" s="234"/>
      <c r="F145" s="234"/>
      <c r="G145" s="234"/>
      <c r="H145" s="236"/>
      <c r="I145" s="234"/>
      <c r="J145" s="234"/>
      <c r="K145" s="234"/>
      <c r="L145" s="234"/>
      <c r="M145" s="236"/>
      <c r="N145" s="234"/>
      <c r="O145" s="234"/>
      <c r="P145" s="234"/>
      <c r="Q145" s="234"/>
      <c r="R145" s="236"/>
      <c r="S145" s="234"/>
      <c r="T145" s="234"/>
      <c r="U145" s="234"/>
      <c r="V145" s="234"/>
      <c r="W145" s="236"/>
      <c r="X145" s="234"/>
      <c r="Y145" s="234"/>
      <c r="Z145" s="234"/>
      <c r="AA145" s="234"/>
      <c r="AB145" s="236"/>
      <c r="AC145" s="234"/>
      <c r="AD145" s="234"/>
      <c r="AE145" s="234"/>
      <c r="AF145" s="234"/>
      <c r="AG145" s="236"/>
      <c r="AH145" s="234"/>
      <c r="AI145" s="234"/>
      <c r="AJ145" s="234"/>
      <c r="AK145" s="234"/>
      <c r="AL145" s="236"/>
      <c r="AM145" s="234"/>
      <c r="AN145" s="234"/>
      <c r="AO145" s="234"/>
      <c r="AP145" s="234"/>
      <c r="AQ145" s="236"/>
      <c r="AR145" s="234"/>
      <c r="AS145" s="234"/>
      <c r="AT145" s="234"/>
      <c r="AU145" s="234"/>
      <c r="AV145" s="236"/>
      <c r="AW145" s="234"/>
      <c r="AX145" s="234"/>
      <c r="AY145" s="234"/>
      <c r="AZ145" s="234"/>
      <c r="BA145" s="236"/>
      <c r="BB145" s="234"/>
      <c r="BC145" s="234"/>
      <c r="BD145" s="234"/>
      <c r="BE145" s="234"/>
      <c r="BF145" s="236"/>
      <c r="BG145" s="234"/>
      <c r="BH145" s="234"/>
      <c r="BI145" s="234"/>
      <c r="BJ145" s="234"/>
      <c r="BK145" s="236"/>
      <c r="BL145" s="212"/>
      <c r="BM145" s="212"/>
      <c r="BN145" s="212"/>
      <c r="BO145" s="212"/>
      <c r="BP145" s="236"/>
      <c r="BQ145" s="212"/>
      <c r="BR145" s="212"/>
      <c r="BS145" s="212"/>
      <c r="BT145" s="212"/>
      <c r="BU145" s="236"/>
      <c r="BV145" s="212"/>
      <c r="BW145" s="212"/>
      <c r="BX145" s="212"/>
      <c r="BY145" s="212"/>
      <c r="BZ145" s="194"/>
      <c r="CA145" s="212"/>
      <c r="CB145" s="212"/>
      <c r="CC145" s="212"/>
      <c r="CD145" s="212"/>
      <c r="CE145" s="194"/>
      <c r="CF145" s="212"/>
      <c r="CG145" s="212"/>
      <c r="CH145" s="212"/>
      <c r="CI145" s="212"/>
      <c r="CJ145" s="194"/>
      <c r="CK145" s="2907"/>
      <c r="CL145" s="212"/>
      <c r="CM145" s="212"/>
      <c r="CN145" s="212"/>
      <c r="CO145" s="194"/>
      <c r="CP145" s="2907"/>
      <c r="CQ145" s="212"/>
      <c r="CR145" s="212"/>
      <c r="CS145" s="212"/>
      <c r="CT145" s="194"/>
      <c r="CU145" s="194"/>
      <c r="CV145" s="194"/>
      <c r="CW145" s="212"/>
      <c r="CX145" s="212"/>
      <c r="CY145" s="212"/>
      <c r="CZ145" s="212"/>
      <c r="DA145" s="212"/>
      <c r="DB145" s="212"/>
      <c r="DC145" s="212"/>
      <c r="DD145" s="212"/>
      <c r="DE145" s="70"/>
      <c r="DF145" s="70"/>
      <c r="DG145" s="70"/>
      <c r="DH145" s="70"/>
      <c r="DI145" s="70"/>
      <c r="DJ145" s="70"/>
      <c r="DK145" s="70"/>
      <c r="DL145" s="70"/>
      <c r="DM145" s="70"/>
      <c r="DN145" s="70"/>
      <c r="DO145" s="70"/>
      <c r="DP145" s="70"/>
      <c r="DQ145" s="70"/>
      <c r="DR145" s="70"/>
      <c r="DS145" s="70"/>
      <c r="DT145" s="70"/>
      <c r="DU145" s="70"/>
      <c r="DV145" s="70"/>
      <c r="DW145" s="70"/>
      <c r="DX145" s="70"/>
      <c r="DY145" s="70"/>
      <c r="DZ145" s="70"/>
      <c r="EA145" s="70"/>
      <c r="EB145" s="70"/>
      <c r="EC145" s="70"/>
      <c r="ED145" s="70"/>
      <c r="EE145" s="70"/>
      <c r="EF145" s="70"/>
      <c r="EG145" s="70"/>
      <c r="EH145" s="70"/>
      <c r="EI145" s="70"/>
      <c r="EJ145" s="70"/>
      <c r="EK145" s="70"/>
      <c r="EL145" s="70"/>
      <c r="EM145" s="70"/>
      <c r="EN145" s="70"/>
      <c r="EO145" s="70"/>
      <c r="EP145" s="70"/>
      <c r="EQ145" s="70"/>
      <c r="ER145" s="70"/>
      <c r="ES145" s="70"/>
      <c r="ET145" s="70"/>
      <c r="EU145" s="70"/>
      <c r="EV145" s="70"/>
      <c r="EW145" s="70"/>
      <c r="EX145" s="70"/>
      <c r="EY145" s="70"/>
      <c r="EZ145" s="70"/>
      <c r="FA145" s="70"/>
      <c r="FB145" s="70"/>
      <c r="FC145" s="70"/>
      <c r="FD145" s="70"/>
      <c r="FE145" s="70"/>
      <c r="FF145" s="70"/>
      <c r="FG145" s="70"/>
      <c r="FH145" s="70"/>
      <c r="FI145" s="70"/>
      <c r="FJ145" s="70"/>
      <c r="FK145" s="70"/>
      <c r="FL145" s="70"/>
      <c r="FM145" s="70"/>
      <c r="FN145" s="70"/>
      <c r="FO145" s="70"/>
      <c r="FP145" s="70"/>
      <c r="FQ145" s="70"/>
      <c r="FR145" s="70"/>
      <c r="FS145" s="70"/>
      <c r="FT145" s="70"/>
      <c r="FU145" s="70"/>
      <c r="FV145" s="70"/>
      <c r="FW145" s="70"/>
      <c r="FX145" s="70"/>
      <c r="FY145" s="70"/>
      <c r="FZ145" s="70"/>
      <c r="GA145" s="70"/>
      <c r="GB145" s="70"/>
      <c r="GC145" s="70"/>
      <c r="GD145" s="70"/>
      <c r="GE145" s="70"/>
      <c r="GF145" s="70"/>
      <c r="GG145" s="70"/>
      <c r="GH145" s="70"/>
      <c r="GI145" s="70"/>
      <c r="GJ145" s="70"/>
      <c r="GK145" s="70"/>
      <c r="GL145" s="70"/>
      <c r="GM145" s="70"/>
      <c r="GN145" s="70"/>
      <c r="GO145" s="70"/>
      <c r="GP145" s="70"/>
      <c r="GQ145" s="70"/>
      <c r="GR145" s="70"/>
      <c r="GS145" s="70"/>
      <c r="GT145" s="70"/>
      <c r="GU145" s="70"/>
      <c r="GV145" s="70"/>
      <c r="GW145" s="70"/>
      <c r="GX145" s="70"/>
      <c r="GY145" s="70"/>
      <c r="GZ145" s="70"/>
      <c r="HA145" s="70"/>
      <c r="HB145" s="70"/>
      <c r="HC145" s="70"/>
      <c r="HD145" s="70"/>
      <c r="HE145" s="70"/>
      <c r="HF145" s="70"/>
      <c r="HG145" s="70"/>
      <c r="HH145" s="70"/>
      <c r="HI145" s="70"/>
      <c r="HJ145" s="70"/>
      <c r="HK145" s="70"/>
      <c r="HL145" s="70"/>
      <c r="HM145" s="70"/>
      <c r="HN145" s="70"/>
      <c r="HO145" s="70"/>
      <c r="HP145" s="70"/>
      <c r="HQ145" s="70"/>
      <c r="HR145" s="70"/>
      <c r="HS145" s="70"/>
      <c r="HT145" s="70"/>
      <c r="HU145" s="70"/>
      <c r="HV145" s="70"/>
      <c r="HW145" s="70"/>
      <c r="HX145" s="70"/>
      <c r="HY145" s="70"/>
      <c r="HZ145" s="70"/>
      <c r="IA145" s="70"/>
      <c r="IB145" s="70"/>
      <c r="IC145" s="70"/>
      <c r="ID145" s="70"/>
      <c r="IE145" s="70"/>
      <c r="IF145" s="70"/>
      <c r="IG145" s="70"/>
      <c r="IH145" s="70"/>
      <c r="II145" s="70"/>
      <c r="IJ145" s="70"/>
      <c r="IK145" s="70"/>
      <c r="IL145" s="70"/>
      <c r="IM145" s="70"/>
      <c r="IN145" s="70"/>
      <c r="IO145" s="70"/>
      <c r="IP145" s="70"/>
      <c r="IQ145" s="70"/>
      <c r="IR145" s="70"/>
      <c r="IS145" s="70"/>
      <c r="IT145" s="70"/>
      <c r="IU145" s="70"/>
      <c r="IV145" s="70"/>
    </row>
    <row r="146" spans="1:256" x14ac:dyDescent="0.2">
      <c r="A146" s="1435" t="s">
        <v>648</v>
      </c>
      <c r="B146" s="651"/>
      <c r="C146" s="236"/>
      <c r="D146" s="234"/>
      <c r="E146" s="234"/>
      <c r="F146" s="234"/>
      <c r="G146" s="234"/>
      <c r="H146" s="236"/>
      <c r="I146" s="234"/>
      <c r="J146" s="234"/>
      <c r="K146" s="234"/>
      <c r="L146" s="234"/>
      <c r="M146" s="236"/>
      <c r="N146" s="234"/>
      <c r="O146" s="234"/>
      <c r="P146" s="234"/>
      <c r="Q146" s="234"/>
      <c r="R146" s="236"/>
      <c r="S146" s="234"/>
      <c r="T146" s="234"/>
      <c r="U146" s="234"/>
      <c r="V146" s="234"/>
      <c r="W146" s="236"/>
      <c r="X146" s="234"/>
      <c r="Y146" s="234"/>
      <c r="Z146" s="234"/>
      <c r="AA146" s="234"/>
      <c r="AB146" s="236"/>
      <c r="AC146" s="234"/>
      <c r="AD146" s="234"/>
      <c r="AE146" s="234"/>
      <c r="AF146" s="234"/>
      <c r="AG146" s="236"/>
      <c r="AH146" s="234"/>
      <c r="AI146" s="234"/>
      <c r="AJ146" s="234"/>
      <c r="AK146" s="234"/>
      <c r="AL146" s="236"/>
      <c r="AM146" s="234"/>
      <c r="AN146" s="234"/>
      <c r="AO146" s="234"/>
      <c r="AP146" s="234"/>
      <c r="AQ146" s="236"/>
      <c r="AR146" s="234"/>
      <c r="AS146" s="234"/>
      <c r="AT146" s="234"/>
      <c r="AU146" s="234"/>
      <c r="AV146" s="236"/>
      <c r="AW146" s="234"/>
      <c r="AX146" s="234"/>
      <c r="AY146" s="234"/>
      <c r="AZ146" s="234"/>
      <c r="BA146" s="236"/>
      <c r="BB146" s="234"/>
      <c r="BC146" s="234"/>
      <c r="BD146" s="234"/>
      <c r="BE146" s="234"/>
      <c r="BF146" s="236"/>
      <c r="BG146" s="234"/>
      <c r="BH146" s="234"/>
      <c r="BI146" s="234"/>
      <c r="BJ146" s="234"/>
      <c r="BK146" s="236"/>
      <c r="BL146" s="212"/>
      <c r="BM146" s="212"/>
      <c r="BN146" s="212"/>
      <c r="BO146" s="212"/>
      <c r="BP146" s="236"/>
      <c r="BQ146" s="212"/>
      <c r="BR146" s="212"/>
      <c r="BS146" s="212"/>
      <c r="BT146" s="212"/>
      <c r="BU146" s="236"/>
      <c r="BV146" s="212"/>
      <c r="BW146" s="212"/>
      <c r="BX146" s="212"/>
      <c r="BY146" s="212"/>
      <c r="BZ146" s="194"/>
      <c r="CA146" s="212"/>
      <c r="CB146" s="212"/>
      <c r="CC146" s="212"/>
      <c r="CD146" s="212"/>
      <c r="CE146" s="194"/>
      <c r="CF146" s="212"/>
      <c r="CG146" s="212"/>
      <c r="CH146" s="212"/>
      <c r="CI146" s="212"/>
      <c r="CJ146" s="194"/>
      <c r="CK146" s="2907"/>
      <c r="CL146" s="212"/>
      <c r="CM146" s="212"/>
      <c r="CN146" s="212"/>
      <c r="CO146" s="194"/>
      <c r="CP146" s="2907"/>
      <c r="CQ146" s="212"/>
      <c r="CR146" s="212"/>
      <c r="CS146" s="212"/>
      <c r="CT146" s="194"/>
      <c r="CU146" s="194"/>
      <c r="CV146" s="194"/>
    </row>
    <row r="147" spans="1:256" x14ac:dyDescent="0.2">
      <c r="A147" s="2288" t="s">
        <v>456</v>
      </c>
      <c r="B147" s="651"/>
      <c r="C147" s="236"/>
      <c r="D147" s="234"/>
      <c r="E147" s="234"/>
      <c r="F147" s="234"/>
      <c r="G147" s="234"/>
      <c r="H147" s="236"/>
      <c r="I147" s="234"/>
      <c r="J147" s="234"/>
      <c r="K147" s="234"/>
      <c r="L147" s="234"/>
      <c r="M147" s="236"/>
      <c r="N147" s="234"/>
      <c r="O147" s="234"/>
      <c r="P147" s="234"/>
      <c r="Q147" s="234"/>
      <c r="R147" s="236"/>
      <c r="S147" s="234"/>
      <c r="T147" s="234"/>
      <c r="U147" s="234"/>
      <c r="V147" s="234"/>
      <c r="W147" s="236"/>
      <c r="X147" s="234"/>
      <c r="Y147" s="234"/>
      <c r="Z147" s="234"/>
      <c r="AA147" s="234"/>
      <c r="AB147" s="236"/>
      <c r="AC147" s="234"/>
      <c r="AD147" s="234"/>
      <c r="AE147" s="234"/>
      <c r="AF147" s="234"/>
      <c r="AG147" s="236"/>
      <c r="AH147" s="234"/>
      <c r="AI147" s="234"/>
      <c r="AJ147" s="234"/>
      <c r="AK147" s="234"/>
      <c r="AL147" s="236"/>
      <c r="AM147" s="234"/>
      <c r="AN147" s="234"/>
      <c r="AO147" s="234"/>
      <c r="AP147" s="234"/>
      <c r="AQ147" s="236"/>
      <c r="AR147" s="234"/>
      <c r="AS147" s="234"/>
      <c r="AT147" s="234"/>
      <c r="AU147" s="234"/>
      <c r="AV147" s="236"/>
      <c r="AW147" s="234"/>
      <c r="AX147" s="234"/>
      <c r="AY147" s="234"/>
      <c r="AZ147" s="234"/>
      <c r="BA147" s="236"/>
      <c r="BB147" s="234"/>
      <c r="BC147" s="234"/>
      <c r="BD147" s="234"/>
      <c r="BE147" s="234"/>
      <c r="BF147" s="236"/>
      <c r="BG147" s="234"/>
      <c r="BH147" s="234"/>
      <c r="BI147" s="234"/>
      <c r="BJ147" s="234"/>
      <c r="BK147" s="236"/>
      <c r="BL147" s="212"/>
      <c r="BM147" s="212"/>
      <c r="BN147" s="212"/>
      <c r="BO147" s="212"/>
      <c r="BP147" s="236"/>
      <c r="BQ147" s="212"/>
      <c r="BR147" s="212"/>
      <c r="BS147" s="212"/>
      <c r="BT147" s="212"/>
      <c r="BU147" s="236"/>
      <c r="BV147" s="212"/>
      <c r="BW147" s="212"/>
      <c r="BX147" s="212"/>
      <c r="BY147" s="212"/>
      <c r="BZ147" s="194"/>
      <c r="CA147" s="212"/>
      <c r="CB147" s="212"/>
      <c r="CC147" s="212"/>
      <c r="CD147" s="212"/>
      <c r="CE147" s="194"/>
      <c r="CF147" s="212"/>
      <c r="CG147" s="212"/>
      <c r="CH147" s="756">
        <v>1</v>
      </c>
      <c r="CI147" s="756">
        <v>1</v>
      </c>
      <c r="CJ147" s="752">
        <f>+CI147</f>
        <v>1</v>
      </c>
      <c r="CK147" s="3508">
        <v>1</v>
      </c>
      <c r="CL147" s="3508">
        <v>1</v>
      </c>
      <c r="CM147" s="3508">
        <v>1</v>
      </c>
      <c r="CN147" s="3508">
        <v>1</v>
      </c>
      <c r="CO147" s="752">
        <f>+CN147</f>
        <v>1</v>
      </c>
      <c r="CP147" s="3508"/>
      <c r="CQ147" s="3508"/>
      <c r="CR147" s="212"/>
      <c r="CS147" s="212"/>
      <c r="CT147" s="194"/>
      <c r="CU147" s="194"/>
      <c r="CV147" s="194"/>
    </row>
    <row r="148" spans="1:256" x14ac:dyDescent="0.2">
      <c r="A148" s="1436" t="s">
        <v>346</v>
      </c>
      <c r="B148" s="1240"/>
      <c r="C148" s="1241"/>
      <c r="D148" s="758"/>
      <c r="E148" s="758"/>
      <c r="F148" s="758"/>
      <c r="G148" s="758"/>
      <c r="H148" s="752"/>
      <c r="I148" s="756">
        <f>2+4</f>
        <v>6</v>
      </c>
      <c r="J148" s="756">
        <f>3+4</f>
        <v>7</v>
      </c>
      <c r="K148" s="756">
        <f>3+4</f>
        <v>7</v>
      </c>
      <c r="L148" s="756">
        <f>2+5</f>
        <v>7</v>
      </c>
      <c r="M148" s="752">
        <f>L148</f>
        <v>7</v>
      </c>
      <c r="N148" s="756">
        <f>2+5</f>
        <v>7</v>
      </c>
      <c r="O148" s="756">
        <f>2+5</f>
        <v>7</v>
      </c>
      <c r="P148" s="756">
        <v>6</v>
      </c>
      <c r="Q148" s="756">
        <f>2+3</f>
        <v>5</v>
      </c>
      <c r="R148" s="752">
        <f>Q148</f>
        <v>5</v>
      </c>
      <c r="S148" s="756">
        <f>2+3</f>
        <v>5</v>
      </c>
      <c r="T148" s="756">
        <v>5</v>
      </c>
      <c r="U148" s="756">
        <v>4</v>
      </c>
      <c r="V148" s="754">
        <v>4</v>
      </c>
      <c r="W148" s="752">
        <f>V148</f>
        <v>4</v>
      </c>
      <c r="X148" s="756">
        <v>7</v>
      </c>
      <c r="Y148" s="756">
        <v>7</v>
      </c>
      <c r="Z148" s="756">
        <v>7</v>
      </c>
      <c r="AA148" s="754">
        <v>7</v>
      </c>
      <c r="AB148" s="752">
        <f>+AA148</f>
        <v>7</v>
      </c>
      <c r="AC148" s="756">
        <v>6</v>
      </c>
      <c r="AD148" s="756">
        <v>6</v>
      </c>
      <c r="AE148" s="756">
        <v>6</v>
      </c>
      <c r="AF148" s="754">
        <v>7</v>
      </c>
      <c r="AG148" s="752">
        <f>+AF148</f>
        <v>7</v>
      </c>
      <c r="AH148" s="756">
        <v>8</v>
      </c>
      <c r="AI148" s="756">
        <v>7</v>
      </c>
      <c r="AJ148" s="756">
        <v>7</v>
      </c>
      <c r="AK148" s="754">
        <v>9</v>
      </c>
      <c r="AL148" s="752">
        <f>+AK148</f>
        <v>9</v>
      </c>
      <c r="AM148" s="756">
        <v>8</v>
      </c>
      <c r="AN148" s="756">
        <v>8</v>
      </c>
      <c r="AO148" s="756">
        <v>6</v>
      </c>
      <c r="AP148" s="754">
        <v>5</v>
      </c>
      <c r="AQ148" s="752">
        <f>+AP148</f>
        <v>5</v>
      </c>
      <c r="AR148" s="756">
        <v>5</v>
      </c>
      <c r="AS148" s="756">
        <v>6</v>
      </c>
      <c r="AT148" s="756">
        <v>6</v>
      </c>
      <c r="AU148" s="754">
        <v>6</v>
      </c>
      <c r="AV148" s="752">
        <f>+AU148</f>
        <v>6</v>
      </c>
      <c r="AW148" s="756">
        <v>6</v>
      </c>
      <c r="AX148" s="756">
        <v>6</v>
      </c>
      <c r="AY148" s="756">
        <v>6</v>
      </c>
      <c r="AZ148" s="756">
        <v>6</v>
      </c>
      <c r="BA148" s="752">
        <f>+AZ148</f>
        <v>6</v>
      </c>
      <c r="BB148" s="756">
        <v>8</v>
      </c>
      <c r="BC148" s="756">
        <v>8</v>
      </c>
      <c r="BD148" s="756">
        <v>8</v>
      </c>
      <c r="BE148" s="754">
        <v>8</v>
      </c>
      <c r="BF148" s="752">
        <f>+BE148</f>
        <v>8</v>
      </c>
      <c r="BG148" s="756">
        <v>8</v>
      </c>
      <c r="BH148" s="756">
        <v>8</v>
      </c>
      <c r="BI148" s="756">
        <v>8</v>
      </c>
      <c r="BJ148" s="756">
        <v>8</v>
      </c>
      <c r="BK148" s="752">
        <f>+BJ148</f>
        <v>8</v>
      </c>
      <c r="BL148" s="756">
        <v>8</v>
      </c>
      <c r="BM148" s="756">
        <v>8</v>
      </c>
      <c r="BN148" s="756">
        <v>8</v>
      </c>
      <c r="BO148" s="756">
        <v>7</v>
      </c>
      <c r="BP148" s="752">
        <f>+BO148</f>
        <v>7</v>
      </c>
      <c r="BQ148" s="756">
        <v>7</v>
      </c>
      <c r="BR148" s="756">
        <v>6</v>
      </c>
      <c r="BS148" s="756">
        <v>5</v>
      </c>
      <c r="BT148" s="756">
        <v>5</v>
      </c>
      <c r="BU148" s="752">
        <f>+BT148</f>
        <v>5</v>
      </c>
      <c r="BV148" s="756">
        <v>5</v>
      </c>
      <c r="BW148" s="845">
        <v>5</v>
      </c>
      <c r="BX148" s="845">
        <v>5</v>
      </c>
      <c r="BY148" s="845">
        <v>5</v>
      </c>
      <c r="BZ148" s="752">
        <f>+BY148</f>
        <v>5</v>
      </c>
      <c r="CA148" s="756">
        <v>5</v>
      </c>
      <c r="CB148" s="756">
        <v>5</v>
      </c>
      <c r="CC148" s="756">
        <v>5</v>
      </c>
      <c r="CD148" s="756">
        <v>5</v>
      </c>
      <c r="CE148" s="752">
        <f>+CD148</f>
        <v>5</v>
      </c>
      <c r="CF148" s="756">
        <v>5</v>
      </c>
      <c r="CG148" s="756">
        <v>5</v>
      </c>
      <c r="CH148" s="756">
        <v>4</v>
      </c>
      <c r="CI148" s="756">
        <v>4</v>
      </c>
      <c r="CJ148" s="752">
        <f>+CI148</f>
        <v>4</v>
      </c>
      <c r="CK148" s="3508">
        <v>5</v>
      </c>
      <c r="CL148" s="3508">
        <v>5</v>
      </c>
      <c r="CM148" s="3508">
        <v>5</v>
      </c>
      <c r="CN148" s="3508">
        <v>5</v>
      </c>
      <c r="CO148" s="752">
        <f>+CN148</f>
        <v>5</v>
      </c>
      <c r="CP148" s="3508"/>
      <c r="CQ148" s="3508"/>
      <c r="CR148" s="212"/>
      <c r="CS148" s="212"/>
      <c r="CT148" s="194"/>
      <c r="CU148" s="194"/>
      <c r="CV148" s="194"/>
    </row>
    <row r="149" spans="1:256" x14ac:dyDescent="0.2">
      <c r="A149" s="1436" t="s">
        <v>1385</v>
      </c>
      <c r="B149" s="651"/>
      <c r="C149" s="236"/>
      <c r="D149" s="758"/>
      <c r="E149" s="758"/>
      <c r="F149" s="758"/>
      <c r="G149" s="758"/>
      <c r="H149" s="752"/>
      <c r="I149" s="845">
        <v>0</v>
      </c>
      <c r="J149" s="845">
        <v>0</v>
      </c>
      <c r="K149" s="845">
        <v>0</v>
      </c>
      <c r="L149" s="845">
        <v>0</v>
      </c>
      <c r="M149" s="752">
        <v>0</v>
      </c>
      <c r="N149" s="845">
        <v>0</v>
      </c>
      <c r="O149" s="845">
        <v>0</v>
      </c>
      <c r="P149" s="845">
        <v>0</v>
      </c>
      <c r="Q149" s="845">
        <v>0</v>
      </c>
      <c r="R149" s="752">
        <v>0</v>
      </c>
      <c r="S149" s="756">
        <v>0</v>
      </c>
      <c r="T149" s="756">
        <v>0</v>
      </c>
      <c r="U149" s="756">
        <v>0</v>
      </c>
      <c r="V149" s="754">
        <v>0</v>
      </c>
      <c r="W149" s="752">
        <f>V149</f>
        <v>0</v>
      </c>
      <c r="X149" s="756">
        <v>1</v>
      </c>
      <c r="Y149" s="756">
        <v>1</v>
      </c>
      <c r="Z149" s="756">
        <v>1</v>
      </c>
      <c r="AA149" s="754">
        <v>1</v>
      </c>
      <c r="AB149" s="752">
        <f>+AA149</f>
        <v>1</v>
      </c>
      <c r="AC149" s="756">
        <v>1</v>
      </c>
      <c r="AD149" s="756">
        <v>1</v>
      </c>
      <c r="AE149" s="756">
        <v>5</v>
      </c>
      <c r="AF149" s="754">
        <v>6</v>
      </c>
      <c r="AG149" s="752">
        <f>+AF149</f>
        <v>6</v>
      </c>
      <c r="AH149" s="756">
        <v>6</v>
      </c>
      <c r="AI149" s="756">
        <v>2</v>
      </c>
      <c r="AJ149" s="756">
        <v>2</v>
      </c>
      <c r="AK149" s="754">
        <v>3</v>
      </c>
      <c r="AL149" s="752">
        <f>+AK149</f>
        <v>3</v>
      </c>
      <c r="AM149" s="756">
        <v>3</v>
      </c>
      <c r="AN149" s="756">
        <v>3</v>
      </c>
      <c r="AO149" s="756">
        <v>2</v>
      </c>
      <c r="AP149" s="754">
        <v>2</v>
      </c>
      <c r="AQ149" s="752">
        <f>+AP149</f>
        <v>2</v>
      </c>
      <c r="AR149" s="756">
        <v>2</v>
      </c>
      <c r="AS149" s="756">
        <v>2</v>
      </c>
      <c r="AT149" s="756">
        <v>2</v>
      </c>
      <c r="AU149" s="754">
        <v>2</v>
      </c>
      <c r="AV149" s="752">
        <f>+AU149</f>
        <v>2</v>
      </c>
      <c r="AW149" s="756">
        <v>2</v>
      </c>
      <c r="AX149" s="756">
        <v>2</v>
      </c>
      <c r="AY149" s="756">
        <v>2</v>
      </c>
      <c r="AZ149" s="756">
        <v>2</v>
      </c>
      <c r="BA149" s="752">
        <f>+AZ149</f>
        <v>2</v>
      </c>
      <c r="BB149" s="756">
        <v>2</v>
      </c>
      <c r="BC149" s="756">
        <v>2</v>
      </c>
      <c r="BD149" s="756">
        <v>2</v>
      </c>
      <c r="BE149" s="754">
        <v>9</v>
      </c>
      <c r="BF149" s="752">
        <f>+BE149</f>
        <v>9</v>
      </c>
      <c r="BG149" s="756">
        <v>10</v>
      </c>
      <c r="BH149" s="756">
        <v>10</v>
      </c>
      <c r="BI149" s="756">
        <v>10</v>
      </c>
      <c r="BJ149" s="756">
        <v>9</v>
      </c>
      <c r="BK149" s="752">
        <f>+BJ149</f>
        <v>9</v>
      </c>
      <c r="BL149" s="756">
        <v>9</v>
      </c>
      <c r="BM149" s="756">
        <v>9</v>
      </c>
      <c r="BN149" s="756">
        <v>8</v>
      </c>
      <c r="BO149" s="756">
        <v>7</v>
      </c>
      <c r="BP149" s="752">
        <f>+BO149</f>
        <v>7</v>
      </c>
      <c r="BQ149" s="756">
        <v>7</v>
      </c>
      <c r="BR149" s="756">
        <v>7</v>
      </c>
      <c r="BS149" s="756">
        <v>7</v>
      </c>
      <c r="BT149" s="756">
        <v>7</v>
      </c>
      <c r="BU149" s="752">
        <f t="shared" ref="BU149:BU156" si="145">+BT149</f>
        <v>7</v>
      </c>
      <c r="BV149" s="756">
        <v>7</v>
      </c>
      <c r="BW149" s="845">
        <v>6</v>
      </c>
      <c r="BX149" s="845">
        <v>4</v>
      </c>
      <c r="BY149" s="845">
        <v>4</v>
      </c>
      <c r="BZ149" s="752">
        <f t="shared" ref="BZ149:BZ157" si="146">+BY149</f>
        <v>4</v>
      </c>
      <c r="CA149" s="756">
        <v>4</v>
      </c>
      <c r="CB149" s="756">
        <v>4</v>
      </c>
      <c r="CC149" s="756">
        <v>3</v>
      </c>
      <c r="CD149" s="756">
        <v>3</v>
      </c>
      <c r="CE149" s="752">
        <f t="shared" ref="CE149:CE157" si="147">+CD149</f>
        <v>3</v>
      </c>
      <c r="CF149" s="756">
        <v>3</v>
      </c>
      <c r="CG149" s="756">
        <v>3</v>
      </c>
      <c r="CH149" s="756">
        <v>3</v>
      </c>
      <c r="CI149" s="756">
        <v>3</v>
      </c>
      <c r="CJ149" s="752">
        <f t="shared" ref="CJ149:CJ158" si="148">+CI149</f>
        <v>3</v>
      </c>
      <c r="CK149" s="3508">
        <v>3</v>
      </c>
      <c r="CL149" s="3508">
        <v>3</v>
      </c>
      <c r="CM149" s="3508">
        <v>3</v>
      </c>
      <c r="CN149" s="3508">
        <v>3</v>
      </c>
      <c r="CO149" s="752">
        <f t="shared" ref="CO149:CO158" si="149">+CN149</f>
        <v>3</v>
      </c>
      <c r="CP149" s="3508"/>
      <c r="CQ149" s="3508"/>
      <c r="CR149" s="212"/>
      <c r="CS149" s="212"/>
      <c r="CT149" s="194"/>
      <c r="CU149" s="194"/>
      <c r="CV149" s="194"/>
    </row>
    <row r="150" spans="1:256" x14ac:dyDescent="0.2">
      <c r="A150" s="1436" t="s">
        <v>512</v>
      </c>
      <c r="B150" s="651"/>
      <c r="C150" s="236"/>
      <c r="D150" s="758"/>
      <c r="E150" s="758"/>
      <c r="F150" s="758"/>
      <c r="G150" s="758"/>
      <c r="H150" s="848"/>
      <c r="I150" s="845">
        <v>0</v>
      </c>
      <c r="J150" s="845">
        <v>0</v>
      </c>
      <c r="K150" s="845">
        <v>0</v>
      </c>
      <c r="L150" s="845">
        <v>0</v>
      </c>
      <c r="M150" s="848">
        <v>0</v>
      </c>
      <c r="N150" s="845">
        <v>0</v>
      </c>
      <c r="O150" s="845">
        <v>0</v>
      </c>
      <c r="P150" s="845">
        <v>0</v>
      </c>
      <c r="Q150" s="845">
        <v>0</v>
      </c>
      <c r="R150" s="848">
        <v>0</v>
      </c>
      <c r="S150" s="845">
        <v>0</v>
      </c>
      <c r="T150" s="845">
        <v>0</v>
      </c>
      <c r="U150" s="845">
        <v>0</v>
      </c>
      <c r="V150" s="845">
        <v>0</v>
      </c>
      <c r="W150" s="848">
        <v>0</v>
      </c>
      <c r="X150" s="845">
        <v>0</v>
      </c>
      <c r="Y150" s="845">
        <v>0</v>
      </c>
      <c r="Z150" s="845">
        <v>0</v>
      </c>
      <c r="AA150" s="845">
        <v>0</v>
      </c>
      <c r="AB150" s="848">
        <v>0</v>
      </c>
      <c r="AC150" s="845">
        <v>0</v>
      </c>
      <c r="AD150" s="845">
        <v>0</v>
      </c>
      <c r="AE150" s="845">
        <v>0</v>
      </c>
      <c r="AF150" s="845">
        <v>0</v>
      </c>
      <c r="AG150" s="848">
        <v>0</v>
      </c>
      <c r="AH150" s="845">
        <v>0</v>
      </c>
      <c r="AI150" s="845">
        <v>0</v>
      </c>
      <c r="AJ150" s="845">
        <v>0</v>
      </c>
      <c r="AK150" s="845">
        <v>0</v>
      </c>
      <c r="AL150" s="848">
        <v>0</v>
      </c>
      <c r="AM150" s="845">
        <v>0</v>
      </c>
      <c r="AN150" s="845">
        <v>0</v>
      </c>
      <c r="AO150" s="845">
        <v>0</v>
      </c>
      <c r="AP150" s="845">
        <v>0</v>
      </c>
      <c r="AQ150" s="848">
        <v>0</v>
      </c>
      <c r="AR150" s="845">
        <v>0</v>
      </c>
      <c r="AS150" s="845">
        <v>0</v>
      </c>
      <c r="AT150" s="845">
        <v>0</v>
      </c>
      <c r="AU150" s="845">
        <v>0</v>
      </c>
      <c r="AV150" s="848">
        <v>0</v>
      </c>
      <c r="AW150" s="845">
        <v>0</v>
      </c>
      <c r="AX150" s="845">
        <v>0</v>
      </c>
      <c r="AY150" s="845">
        <v>0</v>
      </c>
      <c r="AZ150" s="845">
        <v>0</v>
      </c>
      <c r="BA150" s="848">
        <v>0</v>
      </c>
      <c r="BB150" s="845">
        <v>0</v>
      </c>
      <c r="BC150" s="845">
        <v>0</v>
      </c>
      <c r="BD150" s="845">
        <v>0</v>
      </c>
      <c r="BE150" s="845">
        <v>0</v>
      </c>
      <c r="BF150" s="848">
        <v>0</v>
      </c>
      <c r="BG150" s="845">
        <v>0</v>
      </c>
      <c r="BH150" s="845">
        <v>0</v>
      </c>
      <c r="BI150" s="845">
        <v>0</v>
      </c>
      <c r="BJ150" s="845">
        <v>0</v>
      </c>
      <c r="BK150" s="848">
        <v>0</v>
      </c>
      <c r="BL150" s="845">
        <v>0</v>
      </c>
      <c r="BM150" s="845">
        <v>0</v>
      </c>
      <c r="BN150" s="845">
        <v>0</v>
      </c>
      <c r="BO150" s="845">
        <v>0</v>
      </c>
      <c r="BP150" s="848">
        <v>0</v>
      </c>
      <c r="BQ150" s="845">
        <v>0</v>
      </c>
      <c r="BR150" s="845">
        <v>0</v>
      </c>
      <c r="BS150" s="845">
        <v>0</v>
      </c>
      <c r="BT150" s="845">
        <v>0</v>
      </c>
      <c r="BU150" s="752">
        <f t="shared" si="145"/>
        <v>0</v>
      </c>
      <c r="BV150" s="845">
        <v>0</v>
      </c>
      <c r="BW150" s="845">
        <v>0</v>
      </c>
      <c r="BX150" s="845">
        <v>0</v>
      </c>
      <c r="BY150" s="845">
        <v>0</v>
      </c>
      <c r="BZ150" s="752">
        <f t="shared" si="146"/>
        <v>0</v>
      </c>
      <c r="CA150" s="845">
        <v>0</v>
      </c>
      <c r="CB150" s="845">
        <v>0</v>
      </c>
      <c r="CC150" s="845">
        <v>0</v>
      </c>
      <c r="CD150" s="845">
        <v>0</v>
      </c>
      <c r="CE150" s="752">
        <f t="shared" si="147"/>
        <v>0</v>
      </c>
      <c r="CF150" s="845">
        <v>0</v>
      </c>
      <c r="CG150" s="845">
        <v>0</v>
      </c>
      <c r="CH150" s="845">
        <v>0</v>
      </c>
      <c r="CI150" s="845">
        <v>0</v>
      </c>
      <c r="CJ150" s="752">
        <f t="shared" si="148"/>
        <v>0</v>
      </c>
      <c r="CK150" s="844">
        <v>0</v>
      </c>
      <c r="CL150" s="844">
        <v>0</v>
      </c>
      <c r="CM150" s="844">
        <v>0</v>
      </c>
      <c r="CN150" s="844">
        <v>0</v>
      </c>
      <c r="CO150" s="752">
        <f t="shared" si="149"/>
        <v>0</v>
      </c>
      <c r="CP150" s="844"/>
      <c r="CQ150" s="844"/>
      <c r="CR150" s="212"/>
      <c r="CS150" s="212"/>
      <c r="CT150" s="194"/>
      <c r="CU150" s="194"/>
      <c r="CV150" s="194"/>
    </row>
    <row r="151" spans="1:256" x14ac:dyDescent="0.2">
      <c r="A151" s="2288" t="s">
        <v>608</v>
      </c>
      <c r="B151" s="651"/>
      <c r="C151" s="236"/>
      <c r="D151" s="758"/>
      <c r="E151" s="758"/>
      <c r="F151" s="758"/>
      <c r="G151" s="758"/>
      <c r="H151" s="848"/>
      <c r="I151" s="845">
        <v>0</v>
      </c>
      <c r="J151" s="845">
        <v>0</v>
      </c>
      <c r="K151" s="845">
        <v>0</v>
      </c>
      <c r="L151" s="845">
        <v>0</v>
      </c>
      <c r="M151" s="848">
        <v>0</v>
      </c>
      <c r="N151" s="845">
        <v>0</v>
      </c>
      <c r="O151" s="845">
        <v>0</v>
      </c>
      <c r="P151" s="845">
        <v>0</v>
      </c>
      <c r="Q151" s="845">
        <v>0</v>
      </c>
      <c r="R151" s="848">
        <v>0</v>
      </c>
      <c r="S151" s="845">
        <v>0</v>
      </c>
      <c r="T151" s="845">
        <v>0</v>
      </c>
      <c r="U151" s="845">
        <v>0</v>
      </c>
      <c r="V151" s="845">
        <v>0</v>
      </c>
      <c r="W151" s="848">
        <v>0</v>
      </c>
      <c r="X151" s="845">
        <v>0</v>
      </c>
      <c r="Y151" s="845">
        <v>0</v>
      </c>
      <c r="Z151" s="845">
        <v>0</v>
      </c>
      <c r="AA151" s="845">
        <v>0</v>
      </c>
      <c r="AB151" s="848">
        <v>0</v>
      </c>
      <c r="AC151" s="845">
        <v>0</v>
      </c>
      <c r="AD151" s="845">
        <v>0</v>
      </c>
      <c r="AE151" s="845">
        <v>0</v>
      </c>
      <c r="AF151" s="845">
        <v>0</v>
      </c>
      <c r="AG151" s="848">
        <v>0</v>
      </c>
      <c r="AH151" s="845">
        <v>0</v>
      </c>
      <c r="AI151" s="845">
        <v>0</v>
      </c>
      <c r="AJ151" s="845">
        <v>0</v>
      </c>
      <c r="AK151" s="845">
        <v>0</v>
      </c>
      <c r="AL151" s="848">
        <v>0</v>
      </c>
      <c r="AM151" s="845">
        <v>0</v>
      </c>
      <c r="AN151" s="845">
        <v>0</v>
      </c>
      <c r="AO151" s="845">
        <v>0</v>
      </c>
      <c r="AP151" s="845">
        <v>0</v>
      </c>
      <c r="AQ151" s="848">
        <v>0</v>
      </c>
      <c r="AR151" s="845">
        <v>0</v>
      </c>
      <c r="AS151" s="845">
        <v>0</v>
      </c>
      <c r="AT151" s="845">
        <v>0</v>
      </c>
      <c r="AU151" s="845">
        <v>0</v>
      </c>
      <c r="AV151" s="848">
        <v>0</v>
      </c>
      <c r="AW151" s="845">
        <v>0</v>
      </c>
      <c r="AX151" s="845">
        <v>0</v>
      </c>
      <c r="AY151" s="845">
        <v>0</v>
      </c>
      <c r="AZ151" s="845">
        <v>0</v>
      </c>
      <c r="BA151" s="848">
        <v>0</v>
      </c>
      <c r="BB151" s="845">
        <v>0</v>
      </c>
      <c r="BC151" s="845">
        <v>0</v>
      </c>
      <c r="BD151" s="845">
        <v>0</v>
      </c>
      <c r="BE151" s="845">
        <v>0</v>
      </c>
      <c r="BF151" s="848">
        <v>0</v>
      </c>
      <c r="BG151" s="845">
        <v>0</v>
      </c>
      <c r="BH151" s="845">
        <v>0</v>
      </c>
      <c r="BI151" s="845">
        <v>0</v>
      </c>
      <c r="BJ151" s="845">
        <v>0</v>
      </c>
      <c r="BK151" s="848">
        <v>0</v>
      </c>
      <c r="BL151" s="845">
        <v>0</v>
      </c>
      <c r="BM151" s="845">
        <v>0</v>
      </c>
      <c r="BN151" s="845">
        <v>0</v>
      </c>
      <c r="BO151" s="845">
        <v>0</v>
      </c>
      <c r="BP151" s="752">
        <f>+BO151</f>
        <v>0</v>
      </c>
      <c r="BQ151" s="845">
        <v>0</v>
      </c>
      <c r="BR151" s="845">
        <v>0</v>
      </c>
      <c r="BS151" s="845">
        <v>0</v>
      </c>
      <c r="BT151" s="845">
        <v>0</v>
      </c>
      <c r="BU151" s="752">
        <f>+BT151</f>
        <v>0</v>
      </c>
      <c r="BV151" s="845">
        <v>0</v>
      </c>
      <c r="BW151" s="845">
        <v>0</v>
      </c>
      <c r="BX151" s="845">
        <v>0</v>
      </c>
      <c r="BY151" s="845">
        <v>0</v>
      </c>
      <c r="BZ151" s="752">
        <f>+BY151</f>
        <v>0</v>
      </c>
      <c r="CA151" s="845">
        <v>0</v>
      </c>
      <c r="CB151" s="845">
        <v>0</v>
      </c>
      <c r="CC151" s="845">
        <v>0</v>
      </c>
      <c r="CD151" s="845">
        <v>0</v>
      </c>
      <c r="CE151" s="752">
        <f>+CD151</f>
        <v>0</v>
      </c>
      <c r="CF151" s="845">
        <v>0</v>
      </c>
      <c r="CG151" s="845">
        <v>0</v>
      </c>
      <c r="CH151" s="845">
        <v>0</v>
      </c>
      <c r="CI151" s="845">
        <v>0</v>
      </c>
      <c r="CJ151" s="752">
        <f>+CI151</f>
        <v>0</v>
      </c>
      <c r="CK151" s="844">
        <v>0</v>
      </c>
      <c r="CL151" s="844">
        <v>0</v>
      </c>
      <c r="CM151" s="844">
        <v>0</v>
      </c>
      <c r="CN151" s="844">
        <v>0</v>
      </c>
      <c r="CO151" s="752">
        <f>+CN151</f>
        <v>0</v>
      </c>
      <c r="CP151" s="844"/>
      <c r="CQ151" s="844"/>
      <c r="CR151" s="212"/>
      <c r="CS151" s="212"/>
      <c r="CT151" s="194"/>
      <c r="CU151" s="194"/>
      <c r="CV151" s="194"/>
    </row>
    <row r="152" spans="1:256" x14ac:dyDescent="0.2">
      <c r="A152" s="1436" t="s">
        <v>510</v>
      </c>
      <c r="B152" s="651"/>
      <c r="C152" s="236"/>
      <c r="D152" s="758"/>
      <c r="E152" s="758"/>
      <c r="F152" s="758"/>
      <c r="G152" s="758"/>
      <c r="H152" s="752"/>
      <c r="I152" s="756">
        <f>1+0</f>
        <v>1</v>
      </c>
      <c r="J152" s="756">
        <f>1+0</f>
        <v>1</v>
      </c>
      <c r="K152" s="756">
        <f>1+0</f>
        <v>1</v>
      </c>
      <c r="L152" s="756">
        <f>1+0</f>
        <v>1</v>
      </c>
      <c r="M152" s="752">
        <f>L152</f>
        <v>1</v>
      </c>
      <c r="N152" s="756">
        <f>1+0</f>
        <v>1</v>
      </c>
      <c r="O152" s="756">
        <f>1+0</f>
        <v>1</v>
      </c>
      <c r="P152" s="756">
        <f>1+0</f>
        <v>1</v>
      </c>
      <c r="Q152" s="756">
        <v>1</v>
      </c>
      <c r="R152" s="752">
        <f>Q152</f>
        <v>1</v>
      </c>
      <c r="S152" s="756">
        <v>1</v>
      </c>
      <c r="T152" s="756">
        <v>1</v>
      </c>
      <c r="U152" s="756">
        <v>1</v>
      </c>
      <c r="V152" s="754">
        <v>1</v>
      </c>
      <c r="W152" s="752">
        <f>V152</f>
        <v>1</v>
      </c>
      <c r="X152" s="756">
        <v>2</v>
      </c>
      <c r="Y152" s="756">
        <v>2</v>
      </c>
      <c r="Z152" s="756">
        <v>2</v>
      </c>
      <c r="AA152" s="754">
        <v>2</v>
      </c>
      <c r="AB152" s="752">
        <f>+AA152</f>
        <v>2</v>
      </c>
      <c r="AC152" s="756">
        <v>2</v>
      </c>
      <c r="AD152" s="756">
        <v>2</v>
      </c>
      <c r="AE152" s="756">
        <v>2</v>
      </c>
      <c r="AF152" s="754">
        <v>2</v>
      </c>
      <c r="AG152" s="752">
        <f>+AF152</f>
        <v>2</v>
      </c>
      <c r="AH152" s="756">
        <v>2</v>
      </c>
      <c r="AI152" s="756">
        <v>2</v>
      </c>
      <c r="AJ152" s="756">
        <v>2</v>
      </c>
      <c r="AK152" s="754">
        <v>2</v>
      </c>
      <c r="AL152" s="752">
        <f>+AK152</f>
        <v>2</v>
      </c>
      <c r="AM152" s="756">
        <v>2</v>
      </c>
      <c r="AN152" s="756">
        <v>3</v>
      </c>
      <c r="AO152" s="756">
        <v>3</v>
      </c>
      <c r="AP152" s="754">
        <v>3</v>
      </c>
      <c r="AQ152" s="752">
        <f>+AP152</f>
        <v>3</v>
      </c>
      <c r="AR152" s="756">
        <v>3</v>
      </c>
      <c r="AS152" s="756">
        <v>3</v>
      </c>
      <c r="AT152" s="756">
        <v>3</v>
      </c>
      <c r="AU152" s="754">
        <v>3</v>
      </c>
      <c r="AV152" s="752">
        <f>+AU152</f>
        <v>3</v>
      </c>
      <c r="AW152" s="756">
        <v>3</v>
      </c>
      <c r="AX152" s="756">
        <v>3</v>
      </c>
      <c r="AY152" s="756">
        <v>3</v>
      </c>
      <c r="AZ152" s="756">
        <v>3</v>
      </c>
      <c r="BA152" s="752">
        <f>+AZ152</f>
        <v>3</v>
      </c>
      <c r="BB152" s="756">
        <v>3</v>
      </c>
      <c r="BC152" s="756">
        <v>3</v>
      </c>
      <c r="BD152" s="756">
        <v>3</v>
      </c>
      <c r="BE152" s="754">
        <v>3</v>
      </c>
      <c r="BF152" s="752">
        <f>+BE152</f>
        <v>3</v>
      </c>
      <c r="BG152" s="756">
        <v>3</v>
      </c>
      <c r="BH152" s="756">
        <v>3</v>
      </c>
      <c r="BI152" s="756">
        <v>3</v>
      </c>
      <c r="BJ152" s="756">
        <v>3</v>
      </c>
      <c r="BK152" s="752">
        <f>+BJ152</f>
        <v>3</v>
      </c>
      <c r="BL152" s="756">
        <f>1+2</f>
        <v>3</v>
      </c>
      <c r="BM152" s="756">
        <f>1+2</f>
        <v>3</v>
      </c>
      <c r="BN152" s="756">
        <f>2+1</f>
        <v>3</v>
      </c>
      <c r="BO152" s="756">
        <v>3</v>
      </c>
      <c r="BP152" s="752">
        <f>+BO152</f>
        <v>3</v>
      </c>
      <c r="BQ152" s="756">
        <v>3</v>
      </c>
      <c r="BR152" s="756">
        <v>3</v>
      </c>
      <c r="BS152" s="756">
        <v>3</v>
      </c>
      <c r="BT152" s="756">
        <v>3</v>
      </c>
      <c r="BU152" s="752">
        <f t="shared" si="145"/>
        <v>3</v>
      </c>
      <c r="BV152" s="756">
        <v>3</v>
      </c>
      <c r="BW152" s="756">
        <v>3</v>
      </c>
      <c r="BX152" s="756">
        <v>3</v>
      </c>
      <c r="BY152" s="756">
        <f>1+2</f>
        <v>3</v>
      </c>
      <c r="BZ152" s="752">
        <f t="shared" si="146"/>
        <v>3</v>
      </c>
      <c r="CA152" s="756">
        <v>3</v>
      </c>
      <c r="CB152" s="756">
        <f>1+2</f>
        <v>3</v>
      </c>
      <c r="CC152" s="756">
        <f>1+2</f>
        <v>3</v>
      </c>
      <c r="CD152" s="756">
        <v>2</v>
      </c>
      <c r="CE152" s="752">
        <f t="shared" si="147"/>
        <v>2</v>
      </c>
      <c r="CF152" s="756">
        <v>2</v>
      </c>
      <c r="CG152" s="756">
        <v>2</v>
      </c>
      <c r="CH152" s="756">
        <v>2</v>
      </c>
      <c r="CI152" s="756">
        <v>2</v>
      </c>
      <c r="CJ152" s="752">
        <f t="shared" si="148"/>
        <v>2</v>
      </c>
      <c r="CK152" s="3508">
        <v>2</v>
      </c>
      <c r="CL152" s="3508">
        <v>2</v>
      </c>
      <c r="CM152" s="3508">
        <v>2</v>
      </c>
      <c r="CN152" s="3508">
        <v>2</v>
      </c>
      <c r="CO152" s="752">
        <f t="shared" si="149"/>
        <v>2</v>
      </c>
      <c r="CP152" s="3508"/>
      <c r="CQ152" s="3508"/>
      <c r="CR152" s="212"/>
      <c r="CS152" s="212"/>
      <c r="CT152" s="194"/>
      <c r="CU152" s="194"/>
      <c r="CV152" s="194"/>
    </row>
    <row r="153" spans="1:256" x14ac:dyDescent="0.2">
      <c r="A153" s="1436" t="s">
        <v>511</v>
      </c>
      <c r="B153" s="651"/>
      <c r="C153" s="236"/>
      <c r="D153" s="758"/>
      <c r="E153" s="758"/>
      <c r="F153" s="758"/>
      <c r="G153" s="758"/>
      <c r="H153" s="848"/>
      <c r="I153" s="845">
        <v>0</v>
      </c>
      <c r="J153" s="845">
        <v>0</v>
      </c>
      <c r="K153" s="845">
        <v>0</v>
      </c>
      <c r="L153" s="845">
        <v>0</v>
      </c>
      <c r="M153" s="848">
        <v>0</v>
      </c>
      <c r="N153" s="845">
        <v>0</v>
      </c>
      <c r="O153" s="845">
        <v>0</v>
      </c>
      <c r="P153" s="845">
        <v>0</v>
      </c>
      <c r="Q153" s="845">
        <v>0</v>
      </c>
      <c r="R153" s="848">
        <v>0</v>
      </c>
      <c r="S153" s="845">
        <v>0</v>
      </c>
      <c r="T153" s="845">
        <v>0</v>
      </c>
      <c r="U153" s="845">
        <v>0</v>
      </c>
      <c r="V153" s="845">
        <v>0</v>
      </c>
      <c r="W153" s="848">
        <v>0</v>
      </c>
      <c r="X153" s="845">
        <v>0</v>
      </c>
      <c r="Y153" s="845">
        <v>0</v>
      </c>
      <c r="Z153" s="845">
        <v>0</v>
      </c>
      <c r="AA153" s="845">
        <v>0</v>
      </c>
      <c r="AB153" s="848">
        <v>0</v>
      </c>
      <c r="AC153" s="845">
        <v>0</v>
      </c>
      <c r="AD153" s="845">
        <v>0</v>
      </c>
      <c r="AE153" s="845">
        <v>0</v>
      </c>
      <c r="AF153" s="845">
        <v>0</v>
      </c>
      <c r="AG153" s="848">
        <v>0</v>
      </c>
      <c r="AH153" s="845">
        <v>0</v>
      </c>
      <c r="AI153" s="845">
        <v>0</v>
      </c>
      <c r="AJ153" s="845">
        <v>0</v>
      </c>
      <c r="AK153" s="845">
        <v>0</v>
      </c>
      <c r="AL153" s="848">
        <v>0</v>
      </c>
      <c r="AM153" s="845">
        <v>0</v>
      </c>
      <c r="AN153" s="845">
        <v>0</v>
      </c>
      <c r="AO153" s="845">
        <v>0</v>
      </c>
      <c r="AP153" s="845">
        <v>0</v>
      </c>
      <c r="AQ153" s="848">
        <v>0</v>
      </c>
      <c r="AR153" s="845">
        <v>0</v>
      </c>
      <c r="AS153" s="845">
        <v>0</v>
      </c>
      <c r="AT153" s="845">
        <v>0</v>
      </c>
      <c r="AU153" s="845">
        <v>0</v>
      </c>
      <c r="AV153" s="848">
        <v>0</v>
      </c>
      <c r="AW153" s="845">
        <v>0</v>
      </c>
      <c r="AX153" s="845">
        <v>0</v>
      </c>
      <c r="AY153" s="845">
        <v>0</v>
      </c>
      <c r="AZ153" s="845">
        <v>0</v>
      </c>
      <c r="BA153" s="848">
        <v>0</v>
      </c>
      <c r="BB153" s="845">
        <v>0</v>
      </c>
      <c r="BC153" s="845">
        <v>0</v>
      </c>
      <c r="BD153" s="845">
        <v>0</v>
      </c>
      <c r="BE153" s="845">
        <v>0</v>
      </c>
      <c r="BF153" s="848">
        <v>0</v>
      </c>
      <c r="BG153" s="845">
        <v>0</v>
      </c>
      <c r="BH153" s="845">
        <v>0</v>
      </c>
      <c r="BI153" s="845">
        <v>0</v>
      </c>
      <c r="BJ153" s="845">
        <v>0</v>
      </c>
      <c r="BK153" s="848">
        <v>0</v>
      </c>
      <c r="BL153" s="845"/>
      <c r="BM153" s="845"/>
      <c r="BN153" s="845"/>
      <c r="BO153" s="845">
        <v>0</v>
      </c>
      <c r="BP153" s="848">
        <v>0</v>
      </c>
      <c r="BQ153" s="845">
        <v>0</v>
      </c>
      <c r="BR153" s="845">
        <v>0</v>
      </c>
      <c r="BS153" s="845">
        <v>0</v>
      </c>
      <c r="BT153" s="845">
        <v>0</v>
      </c>
      <c r="BU153" s="752">
        <f t="shared" si="145"/>
        <v>0</v>
      </c>
      <c r="BV153" s="845">
        <v>0</v>
      </c>
      <c r="BW153" s="845">
        <v>0</v>
      </c>
      <c r="BX153" s="845">
        <v>0</v>
      </c>
      <c r="BY153" s="845">
        <v>0</v>
      </c>
      <c r="BZ153" s="752">
        <f t="shared" si="146"/>
        <v>0</v>
      </c>
      <c r="CA153" s="845">
        <v>0</v>
      </c>
      <c r="CB153" s="845">
        <v>0</v>
      </c>
      <c r="CC153" s="845">
        <v>0</v>
      </c>
      <c r="CD153" s="845">
        <v>0</v>
      </c>
      <c r="CE153" s="752">
        <f t="shared" si="147"/>
        <v>0</v>
      </c>
      <c r="CF153" s="845">
        <v>0</v>
      </c>
      <c r="CG153" s="845">
        <v>0</v>
      </c>
      <c r="CH153" s="845">
        <v>0</v>
      </c>
      <c r="CI153" s="845">
        <v>0</v>
      </c>
      <c r="CJ153" s="752">
        <f t="shared" si="148"/>
        <v>0</v>
      </c>
      <c r="CK153" s="844">
        <v>0</v>
      </c>
      <c r="CL153" s="844">
        <v>0</v>
      </c>
      <c r="CM153" s="844">
        <v>0</v>
      </c>
      <c r="CN153" s="844">
        <v>0</v>
      </c>
      <c r="CO153" s="752">
        <f t="shared" si="149"/>
        <v>0</v>
      </c>
      <c r="CP153" s="844"/>
      <c r="CQ153" s="844"/>
      <c r="CR153" s="212"/>
      <c r="CS153" s="212"/>
      <c r="CT153" s="194"/>
      <c r="CU153" s="194"/>
      <c r="CV153" s="194"/>
    </row>
    <row r="154" spans="1:256" x14ac:dyDescent="0.2">
      <c r="A154" s="1436" t="s">
        <v>383</v>
      </c>
      <c r="B154" s="651"/>
      <c r="C154" s="236"/>
      <c r="D154" s="758"/>
      <c r="E154" s="758"/>
      <c r="F154" s="758"/>
      <c r="G154" s="758"/>
      <c r="H154" s="848"/>
      <c r="I154" s="845">
        <v>0</v>
      </c>
      <c r="J154" s="845">
        <v>0</v>
      </c>
      <c r="K154" s="845">
        <v>0</v>
      </c>
      <c r="L154" s="845">
        <v>0</v>
      </c>
      <c r="M154" s="848">
        <v>0</v>
      </c>
      <c r="N154" s="845">
        <v>0</v>
      </c>
      <c r="O154" s="845">
        <v>0</v>
      </c>
      <c r="P154" s="845">
        <v>0</v>
      </c>
      <c r="Q154" s="845">
        <v>0</v>
      </c>
      <c r="R154" s="848">
        <v>0</v>
      </c>
      <c r="S154" s="845">
        <v>0</v>
      </c>
      <c r="T154" s="845">
        <v>0</v>
      </c>
      <c r="U154" s="845">
        <v>0</v>
      </c>
      <c r="V154" s="845">
        <v>0</v>
      </c>
      <c r="W154" s="848">
        <v>0</v>
      </c>
      <c r="X154" s="845">
        <v>0</v>
      </c>
      <c r="Y154" s="845">
        <v>0</v>
      </c>
      <c r="Z154" s="845">
        <v>0</v>
      </c>
      <c r="AA154" s="845">
        <v>0</v>
      </c>
      <c r="AB154" s="848">
        <v>0</v>
      </c>
      <c r="AC154" s="845">
        <v>0</v>
      </c>
      <c r="AD154" s="845">
        <v>0</v>
      </c>
      <c r="AE154" s="845">
        <v>0</v>
      </c>
      <c r="AF154" s="845">
        <v>0</v>
      </c>
      <c r="AG154" s="848">
        <v>0</v>
      </c>
      <c r="AH154" s="845">
        <v>0</v>
      </c>
      <c r="AI154" s="845">
        <v>0</v>
      </c>
      <c r="AJ154" s="845">
        <v>0</v>
      </c>
      <c r="AK154" s="845">
        <v>0</v>
      </c>
      <c r="AL154" s="848">
        <v>0</v>
      </c>
      <c r="AM154" s="845">
        <v>0</v>
      </c>
      <c r="AN154" s="845">
        <v>0</v>
      </c>
      <c r="AO154" s="845">
        <v>0</v>
      </c>
      <c r="AP154" s="845">
        <v>0</v>
      </c>
      <c r="AQ154" s="848">
        <v>0</v>
      </c>
      <c r="AR154" s="845">
        <v>0</v>
      </c>
      <c r="AS154" s="845">
        <v>0</v>
      </c>
      <c r="AT154" s="845">
        <v>0</v>
      </c>
      <c r="AU154" s="845">
        <v>0</v>
      </c>
      <c r="AV154" s="848">
        <v>0</v>
      </c>
      <c r="AW154" s="845">
        <v>0</v>
      </c>
      <c r="AX154" s="845">
        <v>0</v>
      </c>
      <c r="AY154" s="845">
        <v>0</v>
      </c>
      <c r="AZ154" s="845">
        <v>0</v>
      </c>
      <c r="BA154" s="848">
        <v>0</v>
      </c>
      <c r="BB154" s="845">
        <v>0</v>
      </c>
      <c r="BC154" s="845">
        <v>0</v>
      </c>
      <c r="BD154" s="845">
        <v>0</v>
      </c>
      <c r="BE154" s="845">
        <v>0</v>
      </c>
      <c r="BF154" s="848">
        <v>0</v>
      </c>
      <c r="BG154" s="845">
        <v>0</v>
      </c>
      <c r="BH154" s="845">
        <v>0</v>
      </c>
      <c r="BI154" s="845">
        <v>0</v>
      </c>
      <c r="BJ154" s="845">
        <v>0</v>
      </c>
      <c r="BK154" s="848">
        <v>0</v>
      </c>
      <c r="BL154" s="845"/>
      <c r="BM154" s="845"/>
      <c r="BN154" s="845"/>
      <c r="BO154" s="845">
        <v>0</v>
      </c>
      <c r="BP154" s="848">
        <v>0</v>
      </c>
      <c r="BQ154" s="845">
        <v>0</v>
      </c>
      <c r="BR154" s="845">
        <v>0</v>
      </c>
      <c r="BS154" s="845">
        <v>1</v>
      </c>
      <c r="BT154" s="845">
        <v>1</v>
      </c>
      <c r="BU154" s="752">
        <f t="shared" si="145"/>
        <v>1</v>
      </c>
      <c r="BV154" s="845">
        <v>0</v>
      </c>
      <c r="BW154" s="845">
        <v>0</v>
      </c>
      <c r="BX154" s="845">
        <v>0</v>
      </c>
      <c r="BY154" s="845">
        <v>0</v>
      </c>
      <c r="BZ154" s="752">
        <f t="shared" si="146"/>
        <v>0</v>
      </c>
      <c r="CA154" s="845">
        <v>0</v>
      </c>
      <c r="CB154" s="845">
        <v>0</v>
      </c>
      <c r="CC154" s="845">
        <v>0</v>
      </c>
      <c r="CD154" s="845">
        <v>0</v>
      </c>
      <c r="CE154" s="752">
        <f t="shared" si="147"/>
        <v>0</v>
      </c>
      <c r="CF154" s="845">
        <v>0</v>
      </c>
      <c r="CG154" s="845">
        <v>0</v>
      </c>
      <c r="CH154" s="845">
        <v>0</v>
      </c>
      <c r="CI154" s="845">
        <v>0</v>
      </c>
      <c r="CJ154" s="752">
        <f t="shared" si="148"/>
        <v>0</v>
      </c>
      <c r="CK154" s="844">
        <v>0</v>
      </c>
      <c r="CL154" s="844">
        <v>0</v>
      </c>
      <c r="CM154" s="844">
        <v>0</v>
      </c>
      <c r="CN154" s="844">
        <v>0</v>
      </c>
      <c r="CO154" s="752">
        <f t="shared" si="149"/>
        <v>0</v>
      </c>
      <c r="CP154" s="844"/>
      <c r="CQ154" s="844"/>
      <c r="CR154" s="212"/>
      <c r="CS154" s="212"/>
      <c r="CT154" s="194"/>
      <c r="CU154" s="194"/>
      <c r="CV154" s="194"/>
    </row>
    <row r="155" spans="1:256" x14ac:dyDescent="0.2">
      <c r="A155" s="1436" t="s">
        <v>656</v>
      </c>
      <c r="B155" s="651"/>
      <c r="C155" s="236"/>
      <c r="D155" s="758"/>
      <c r="E155" s="758"/>
      <c r="F155" s="758"/>
      <c r="G155" s="758"/>
      <c r="H155" s="848"/>
      <c r="I155" s="845">
        <v>0</v>
      </c>
      <c r="J155" s="845">
        <v>0</v>
      </c>
      <c r="K155" s="845">
        <v>0</v>
      </c>
      <c r="L155" s="845">
        <v>0</v>
      </c>
      <c r="M155" s="848">
        <v>0</v>
      </c>
      <c r="N155" s="845">
        <v>0</v>
      </c>
      <c r="O155" s="845">
        <v>0</v>
      </c>
      <c r="P155" s="845">
        <v>0</v>
      </c>
      <c r="Q155" s="845">
        <v>0</v>
      </c>
      <c r="R155" s="848">
        <v>0</v>
      </c>
      <c r="S155" s="845">
        <v>0</v>
      </c>
      <c r="T155" s="845">
        <v>0</v>
      </c>
      <c r="U155" s="845">
        <v>0</v>
      </c>
      <c r="V155" s="845">
        <v>0</v>
      </c>
      <c r="W155" s="848">
        <v>0</v>
      </c>
      <c r="X155" s="845">
        <v>0</v>
      </c>
      <c r="Y155" s="845">
        <v>0</v>
      </c>
      <c r="Z155" s="845">
        <v>0</v>
      </c>
      <c r="AA155" s="845">
        <v>0</v>
      </c>
      <c r="AB155" s="848">
        <v>0</v>
      </c>
      <c r="AC155" s="845">
        <v>0</v>
      </c>
      <c r="AD155" s="845">
        <v>0</v>
      </c>
      <c r="AE155" s="845">
        <v>0</v>
      </c>
      <c r="AF155" s="845">
        <v>0</v>
      </c>
      <c r="AG155" s="848">
        <v>0</v>
      </c>
      <c r="AH155" s="845">
        <v>0</v>
      </c>
      <c r="AI155" s="845">
        <v>0</v>
      </c>
      <c r="AJ155" s="845">
        <v>0</v>
      </c>
      <c r="AK155" s="845">
        <v>0</v>
      </c>
      <c r="AL155" s="848">
        <v>0</v>
      </c>
      <c r="AM155" s="845">
        <v>0</v>
      </c>
      <c r="AN155" s="845">
        <v>0</v>
      </c>
      <c r="AO155" s="845">
        <v>0</v>
      </c>
      <c r="AP155" s="845">
        <v>0</v>
      </c>
      <c r="AQ155" s="848">
        <v>0</v>
      </c>
      <c r="AR155" s="845">
        <v>0</v>
      </c>
      <c r="AS155" s="845">
        <v>0</v>
      </c>
      <c r="AT155" s="845">
        <v>0</v>
      </c>
      <c r="AU155" s="845">
        <v>0</v>
      </c>
      <c r="AV155" s="848">
        <v>0</v>
      </c>
      <c r="AW155" s="845">
        <v>0</v>
      </c>
      <c r="AX155" s="845">
        <v>0</v>
      </c>
      <c r="AY155" s="845">
        <v>0</v>
      </c>
      <c r="AZ155" s="845">
        <v>0</v>
      </c>
      <c r="BA155" s="848">
        <v>0</v>
      </c>
      <c r="BB155" s="845">
        <v>0</v>
      </c>
      <c r="BC155" s="845">
        <v>0</v>
      </c>
      <c r="BD155" s="845">
        <v>0</v>
      </c>
      <c r="BE155" s="845">
        <v>0</v>
      </c>
      <c r="BF155" s="848">
        <v>0</v>
      </c>
      <c r="BG155" s="845">
        <v>0</v>
      </c>
      <c r="BH155" s="845">
        <v>0</v>
      </c>
      <c r="BI155" s="845">
        <v>0</v>
      </c>
      <c r="BJ155" s="845">
        <v>0</v>
      </c>
      <c r="BK155" s="848">
        <v>0</v>
      </c>
      <c r="BL155" s="845"/>
      <c r="BM155" s="845"/>
      <c r="BN155" s="845"/>
      <c r="BO155" s="845">
        <v>0</v>
      </c>
      <c r="BP155" s="848">
        <v>0</v>
      </c>
      <c r="BQ155" s="845">
        <v>0</v>
      </c>
      <c r="BR155" s="845">
        <v>0</v>
      </c>
      <c r="BS155" s="845">
        <v>0</v>
      </c>
      <c r="BT155" s="845">
        <v>0</v>
      </c>
      <c r="BU155" s="752">
        <f t="shared" si="145"/>
        <v>0</v>
      </c>
      <c r="BV155" s="845">
        <v>0</v>
      </c>
      <c r="BW155" s="845">
        <v>0</v>
      </c>
      <c r="BX155" s="845">
        <v>0</v>
      </c>
      <c r="BY155" s="845">
        <v>0</v>
      </c>
      <c r="BZ155" s="752">
        <f t="shared" si="146"/>
        <v>0</v>
      </c>
      <c r="CA155" s="845">
        <v>0</v>
      </c>
      <c r="CB155" s="845">
        <v>0</v>
      </c>
      <c r="CC155" s="845">
        <v>0</v>
      </c>
      <c r="CD155" s="845">
        <v>0</v>
      </c>
      <c r="CE155" s="752">
        <f t="shared" si="147"/>
        <v>0</v>
      </c>
      <c r="CF155" s="845">
        <v>0</v>
      </c>
      <c r="CG155" s="845">
        <v>0</v>
      </c>
      <c r="CH155" s="845">
        <v>0</v>
      </c>
      <c r="CI155" s="845">
        <v>0</v>
      </c>
      <c r="CJ155" s="752">
        <f t="shared" si="148"/>
        <v>0</v>
      </c>
      <c r="CK155" s="844">
        <v>0</v>
      </c>
      <c r="CL155" s="844">
        <v>0</v>
      </c>
      <c r="CM155" s="844">
        <v>0</v>
      </c>
      <c r="CN155" s="844">
        <v>0</v>
      </c>
      <c r="CO155" s="752">
        <f t="shared" si="149"/>
        <v>0</v>
      </c>
      <c r="CP155" s="844"/>
      <c r="CQ155" s="844"/>
      <c r="CR155" s="212"/>
      <c r="CS155" s="212"/>
      <c r="CT155" s="194"/>
      <c r="CU155" s="194"/>
      <c r="CV155" s="194"/>
    </row>
    <row r="156" spans="1:256" x14ac:dyDescent="0.2">
      <c r="A156" s="1436" t="s">
        <v>1386</v>
      </c>
      <c r="B156" s="651"/>
      <c r="C156" s="236"/>
      <c r="D156" s="758"/>
      <c r="E156" s="758"/>
      <c r="F156" s="758"/>
      <c r="G156" s="758"/>
      <c r="H156" s="848"/>
      <c r="I156" s="845">
        <v>0</v>
      </c>
      <c r="J156" s="845">
        <v>0</v>
      </c>
      <c r="K156" s="845">
        <v>0</v>
      </c>
      <c r="L156" s="845">
        <v>0</v>
      </c>
      <c r="M156" s="848">
        <v>0</v>
      </c>
      <c r="N156" s="845">
        <v>0</v>
      </c>
      <c r="O156" s="845">
        <v>0</v>
      </c>
      <c r="P156" s="845">
        <v>0</v>
      </c>
      <c r="Q156" s="845">
        <v>0</v>
      </c>
      <c r="R156" s="848">
        <v>0</v>
      </c>
      <c r="S156" s="845">
        <v>0</v>
      </c>
      <c r="T156" s="845">
        <v>0</v>
      </c>
      <c r="U156" s="845">
        <v>0</v>
      </c>
      <c r="V156" s="845">
        <v>0</v>
      </c>
      <c r="W156" s="848">
        <v>0</v>
      </c>
      <c r="X156" s="845">
        <v>0</v>
      </c>
      <c r="Y156" s="845">
        <v>0</v>
      </c>
      <c r="Z156" s="845">
        <v>0</v>
      </c>
      <c r="AA156" s="845">
        <v>0</v>
      </c>
      <c r="AB156" s="848">
        <v>0</v>
      </c>
      <c r="AC156" s="845">
        <v>0</v>
      </c>
      <c r="AD156" s="845">
        <v>0</v>
      </c>
      <c r="AE156" s="845">
        <v>1</v>
      </c>
      <c r="AF156" s="845">
        <v>1</v>
      </c>
      <c r="AG156" s="848">
        <v>0</v>
      </c>
      <c r="AH156" s="845">
        <v>1</v>
      </c>
      <c r="AI156" s="845">
        <v>0</v>
      </c>
      <c r="AJ156" s="845">
        <v>0</v>
      </c>
      <c r="AK156" s="845">
        <v>0</v>
      </c>
      <c r="AL156" s="848">
        <v>0</v>
      </c>
      <c r="AM156" s="845">
        <v>0</v>
      </c>
      <c r="AN156" s="845">
        <v>0</v>
      </c>
      <c r="AO156" s="845">
        <v>0</v>
      </c>
      <c r="AP156" s="845">
        <v>0</v>
      </c>
      <c r="AQ156" s="848">
        <v>0</v>
      </c>
      <c r="AR156" s="845">
        <v>0</v>
      </c>
      <c r="AS156" s="845">
        <v>0</v>
      </c>
      <c r="AT156" s="845">
        <v>0</v>
      </c>
      <c r="AU156" s="845">
        <v>1</v>
      </c>
      <c r="AV156" s="848">
        <f>AU156</f>
        <v>1</v>
      </c>
      <c r="AW156" s="845">
        <v>1</v>
      </c>
      <c r="AX156" s="845">
        <v>3</v>
      </c>
      <c r="AY156" s="845">
        <v>3</v>
      </c>
      <c r="AZ156" s="845">
        <v>3</v>
      </c>
      <c r="BA156" s="848">
        <f>AZ156</f>
        <v>3</v>
      </c>
      <c r="BB156" s="845">
        <v>3</v>
      </c>
      <c r="BC156" s="845">
        <v>3</v>
      </c>
      <c r="BD156" s="845">
        <v>3</v>
      </c>
      <c r="BE156" s="845">
        <v>3</v>
      </c>
      <c r="BF156" s="848">
        <f>+BE156</f>
        <v>3</v>
      </c>
      <c r="BG156" s="845">
        <v>4</v>
      </c>
      <c r="BH156" s="845">
        <v>4</v>
      </c>
      <c r="BI156" s="845">
        <v>4</v>
      </c>
      <c r="BJ156" s="845">
        <v>4</v>
      </c>
      <c r="BK156" s="848">
        <f>+BJ156</f>
        <v>4</v>
      </c>
      <c r="BL156" s="845">
        <f>2+2</f>
        <v>4</v>
      </c>
      <c r="BM156" s="845">
        <f>2+1</f>
        <v>3</v>
      </c>
      <c r="BN156" s="845">
        <f>2+1</f>
        <v>3</v>
      </c>
      <c r="BO156" s="845">
        <v>3</v>
      </c>
      <c r="BP156" s="848">
        <f>+BO156</f>
        <v>3</v>
      </c>
      <c r="BQ156" s="845">
        <v>3</v>
      </c>
      <c r="BR156" s="845">
        <v>2</v>
      </c>
      <c r="BS156" s="845">
        <v>3</v>
      </c>
      <c r="BT156" s="845">
        <v>3</v>
      </c>
      <c r="BU156" s="752">
        <f t="shared" si="145"/>
        <v>3</v>
      </c>
      <c r="BV156" s="845">
        <v>3</v>
      </c>
      <c r="BW156" s="845">
        <v>3</v>
      </c>
      <c r="BX156" s="845">
        <v>3</v>
      </c>
      <c r="BY156" s="845">
        <v>3</v>
      </c>
      <c r="BZ156" s="752">
        <f t="shared" si="146"/>
        <v>3</v>
      </c>
      <c r="CA156" s="845">
        <v>2</v>
      </c>
      <c r="CB156" s="845">
        <v>2</v>
      </c>
      <c r="CC156" s="845">
        <v>2</v>
      </c>
      <c r="CD156" s="845">
        <v>2</v>
      </c>
      <c r="CE156" s="752">
        <f t="shared" si="147"/>
        <v>2</v>
      </c>
      <c r="CF156" s="845">
        <v>2</v>
      </c>
      <c r="CG156" s="845">
        <v>2</v>
      </c>
      <c r="CH156" s="845">
        <v>3</v>
      </c>
      <c r="CI156" s="845">
        <v>3</v>
      </c>
      <c r="CJ156" s="752">
        <f t="shared" si="148"/>
        <v>3</v>
      </c>
      <c r="CK156" s="844">
        <v>3</v>
      </c>
      <c r="CL156" s="844">
        <v>3</v>
      </c>
      <c r="CM156" s="844">
        <v>3</v>
      </c>
      <c r="CN156" s="844">
        <v>3</v>
      </c>
      <c r="CO156" s="752">
        <f t="shared" si="149"/>
        <v>3</v>
      </c>
      <c r="CP156" s="844"/>
      <c r="CQ156" s="844"/>
      <c r="CR156" s="212"/>
      <c r="CS156" s="212"/>
      <c r="CT156" s="194"/>
      <c r="CU156" s="194"/>
      <c r="CV156" s="194"/>
    </row>
    <row r="157" spans="1:256" x14ac:dyDescent="0.2">
      <c r="A157" s="1436" t="s">
        <v>2124</v>
      </c>
      <c r="B157" s="1443"/>
      <c r="C157" s="1444"/>
      <c r="D157" s="1445"/>
      <c r="E157" s="1445"/>
      <c r="F157" s="1445"/>
      <c r="G157" s="1445"/>
      <c r="H157" s="761"/>
      <c r="I157" s="767"/>
      <c r="J157" s="767"/>
      <c r="K157" s="767"/>
      <c r="L157" s="767"/>
      <c r="M157" s="761"/>
      <c r="N157" s="767"/>
      <c r="O157" s="767"/>
      <c r="P157" s="767"/>
      <c r="Q157" s="767"/>
      <c r="R157" s="761"/>
      <c r="S157" s="767"/>
      <c r="T157" s="767"/>
      <c r="U157" s="767"/>
      <c r="V157" s="767"/>
      <c r="W157" s="761"/>
      <c r="X157" s="767"/>
      <c r="Y157" s="767"/>
      <c r="Z157" s="767"/>
      <c r="AA157" s="767"/>
      <c r="AB157" s="761"/>
      <c r="AC157" s="767"/>
      <c r="AD157" s="767"/>
      <c r="AE157" s="775"/>
      <c r="AF157" s="775"/>
      <c r="AG157" s="761"/>
      <c r="AH157" s="775"/>
      <c r="AI157" s="775"/>
      <c r="AJ157" s="775"/>
      <c r="AK157" s="775"/>
      <c r="AL157" s="761"/>
      <c r="AM157" s="775"/>
      <c r="AN157" s="775"/>
      <c r="AO157" s="775"/>
      <c r="AP157" s="775"/>
      <c r="AQ157" s="761"/>
      <c r="AR157" s="775"/>
      <c r="AS157" s="775"/>
      <c r="AT157" s="775"/>
      <c r="AU157" s="775"/>
      <c r="AV157" s="761"/>
      <c r="AW157" s="775"/>
      <c r="AX157" s="775"/>
      <c r="AY157" s="775"/>
      <c r="AZ157" s="775"/>
      <c r="BA157" s="761"/>
      <c r="BB157" s="775"/>
      <c r="BC157" s="775"/>
      <c r="BD157" s="775"/>
      <c r="BE157" s="775"/>
      <c r="BF157" s="761"/>
      <c r="BG157" s="775"/>
      <c r="BH157" s="775"/>
      <c r="BI157" s="775"/>
      <c r="BJ157" s="775"/>
      <c r="BK157" s="761"/>
      <c r="BL157" s="775"/>
      <c r="BM157" s="775"/>
      <c r="BN157" s="775"/>
      <c r="BO157" s="775"/>
      <c r="BP157" s="761"/>
      <c r="BQ157" s="775"/>
      <c r="BR157" s="775"/>
      <c r="BS157" s="775"/>
      <c r="BT157" s="775"/>
      <c r="BU157" s="761"/>
      <c r="BV157" s="845">
        <v>0</v>
      </c>
      <c r="BW157" s="845">
        <v>10</v>
      </c>
      <c r="BX157" s="845">
        <v>10</v>
      </c>
      <c r="BY157" s="845">
        <v>10</v>
      </c>
      <c r="BZ157" s="2406">
        <f t="shared" si="146"/>
        <v>10</v>
      </c>
      <c r="CA157" s="845">
        <v>10</v>
      </c>
      <c r="CB157" s="845">
        <v>10</v>
      </c>
      <c r="CC157" s="845">
        <v>10</v>
      </c>
      <c r="CD157" s="845">
        <v>10</v>
      </c>
      <c r="CE157" s="2406">
        <f t="shared" si="147"/>
        <v>10</v>
      </c>
      <c r="CF157" s="845">
        <v>10</v>
      </c>
      <c r="CG157" s="845">
        <v>10</v>
      </c>
      <c r="CH157" s="845">
        <v>10</v>
      </c>
      <c r="CI157" s="845">
        <v>10</v>
      </c>
      <c r="CJ157" s="2406">
        <f t="shared" si="148"/>
        <v>10</v>
      </c>
      <c r="CK157" s="844">
        <v>9</v>
      </c>
      <c r="CL157" s="844">
        <v>9</v>
      </c>
      <c r="CM157" s="844">
        <v>9</v>
      </c>
      <c r="CN157" s="844">
        <v>9</v>
      </c>
      <c r="CO157" s="2406">
        <f t="shared" si="149"/>
        <v>9</v>
      </c>
      <c r="CP157" s="844"/>
      <c r="CQ157" s="844"/>
      <c r="CR157" s="212"/>
      <c r="CS157" s="212"/>
      <c r="CT157" s="194"/>
      <c r="CU157" s="194"/>
      <c r="CV157" s="194"/>
    </row>
    <row r="158" spans="1:256" x14ac:dyDescent="0.2">
      <c r="A158" s="1436" t="s">
        <v>1388</v>
      </c>
      <c r="B158" s="651"/>
      <c r="C158" s="236"/>
      <c r="D158" s="234"/>
      <c r="E158" s="234"/>
      <c r="F158" s="234"/>
      <c r="G158" s="234"/>
      <c r="H158" s="848"/>
      <c r="I158" s="845">
        <v>0</v>
      </c>
      <c r="J158" s="845">
        <v>0</v>
      </c>
      <c r="K158" s="845">
        <v>0</v>
      </c>
      <c r="L158" s="845">
        <v>0</v>
      </c>
      <c r="M158" s="848">
        <v>0</v>
      </c>
      <c r="N158" s="845">
        <v>0</v>
      </c>
      <c r="O158" s="845">
        <v>0</v>
      </c>
      <c r="P158" s="845">
        <v>0</v>
      </c>
      <c r="Q158" s="845">
        <v>0</v>
      </c>
      <c r="R158" s="848">
        <v>0</v>
      </c>
      <c r="S158" s="845">
        <v>0</v>
      </c>
      <c r="T158" s="845">
        <v>0</v>
      </c>
      <c r="U158" s="845">
        <v>0</v>
      </c>
      <c r="V158" s="845">
        <v>0</v>
      </c>
      <c r="W158" s="848">
        <v>0</v>
      </c>
      <c r="X158" s="845">
        <v>0</v>
      </c>
      <c r="Y158" s="845">
        <v>0</v>
      </c>
      <c r="Z158" s="845">
        <v>0</v>
      </c>
      <c r="AA158" s="845">
        <v>0</v>
      </c>
      <c r="AB158" s="848">
        <v>0</v>
      </c>
      <c r="AC158" s="845">
        <v>0</v>
      </c>
      <c r="AD158" s="845">
        <v>0</v>
      </c>
      <c r="AE158" s="845">
        <v>0</v>
      </c>
      <c r="AF158" s="845">
        <v>0</v>
      </c>
      <c r="AG158" s="848">
        <v>0</v>
      </c>
      <c r="AH158" s="845">
        <v>0</v>
      </c>
      <c r="AI158" s="845">
        <v>0</v>
      </c>
      <c r="AJ158" s="845">
        <v>0</v>
      </c>
      <c r="AK158" s="845">
        <v>0</v>
      </c>
      <c r="AL158" s="848">
        <v>0</v>
      </c>
      <c r="AM158" s="845">
        <v>0</v>
      </c>
      <c r="AN158" s="845">
        <v>0</v>
      </c>
      <c r="AO158" s="845">
        <v>0</v>
      </c>
      <c r="AP158" s="845">
        <v>0</v>
      </c>
      <c r="AQ158" s="848">
        <v>0</v>
      </c>
      <c r="AR158" s="845">
        <v>0</v>
      </c>
      <c r="AS158" s="845">
        <v>0</v>
      </c>
      <c r="AT158" s="845">
        <v>0</v>
      </c>
      <c r="AU158" s="845">
        <v>0</v>
      </c>
      <c r="AV158" s="848">
        <v>0</v>
      </c>
      <c r="AW158" s="845">
        <v>0</v>
      </c>
      <c r="AX158" s="845">
        <v>0</v>
      </c>
      <c r="AY158" s="845">
        <v>0</v>
      </c>
      <c r="AZ158" s="845">
        <v>0</v>
      </c>
      <c r="BA158" s="848">
        <v>0</v>
      </c>
      <c r="BB158" s="845">
        <v>0</v>
      </c>
      <c r="BC158" s="845">
        <v>0</v>
      </c>
      <c r="BD158" s="845">
        <v>0</v>
      </c>
      <c r="BE158" s="845">
        <v>0</v>
      </c>
      <c r="BF158" s="848">
        <v>0</v>
      </c>
      <c r="BG158" s="845">
        <v>0</v>
      </c>
      <c r="BH158" s="845">
        <v>0</v>
      </c>
      <c r="BI158" s="845">
        <v>0</v>
      </c>
      <c r="BJ158" s="845">
        <v>0</v>
      </c>
      <c r="BK158" s="848">
        <v>0</v>
      </c>
      <c r="BL158" s="845">
        <v>0</v>
      </c>
      <c r="BM158" s="845">
        <v>0</v>
      </c>
      <c r="BN158" s="845">
        <v>0</v>
      </c>
      <c r="BO158" s="845">
        <v>0</v>
      </c>
      <c r="BP158" s="848">
        <v>0</v>
      </c>
      <c r="BQ158" s="845">
        <v>0</v>
      </c>
      <c r="BR158" s="845">
        <v>0</v>
      </c>
      <c r="BS158" s="845">
        <v>0</v>
      </c>
      <c r="BT158" s="845">
        <v>0</v>
      </c>
      <c r="BU158" s="848">
        <v>0</v>
      </c>
      <c r="BV158" s="845">
        <v>0</v>
      </c>
      <c r="BW158" s="845">
        <v>0</v>
      </c>
      <c r="BX158" s="845">
        <v>0</v>
      </c>
      <c r="BY158" s="845">
        <v>0</v>
      </c>
      <c r="BZ158" s="848">
        <v>0</v>
      </c>
      <c r="CA158" s="845">
        <v>0</v>
      </c>
      <c r="CB158" s="845">
        <v>0</v>
      </c>
      <c r="CC158" s="845">
        <v>0</v>
      </c>
      <c r="CD158" s="845">
        <v>0</v>
      </c>
      <c r="CE158" s="848">
        <v>0</v>
      </c>
      <c r="CF158" s="845">
        <v>0</v>
      </c>
      <c r="CG158" s="845">
        <v>0</v>
      </c>
      <c r="CH158" s="845">
        <v>1</v>
      </c>
      <c r="CI158" s="845">
        <v>1</v>
      </c>
      <c r="CJ158" s="2406">
        <f t="shared" si="148"/>
        <v>1</v>
      </c>
      <c r="CK158" s="844">
        <v>1</v>
      </c>
      <c r="CL158" s="844">
        <v>1</v>
      </c>
      <c r="CM158" s="844">
        <v>1</v>
      </c>
      <c r="CN158" s="844">
        <v>1</v>
      </c>
      <c r="CO158" s="2406">
        <f t="shared" si="149"/>
        <v>1</v>
      </c>
      <c r="CP158" s="844"/>
      <c r="CQ158" s="844"/>
      <c r="CR158" s="212"/>
      <c r="CS158" s="212"/>
      <c r="CT158" s="194"/>
      <c r="CU158" s="194"/>
      <c r="CV158" s="194"/>
    </row>
    <row r="159" spans="1:256" x14ac:dyDescent="0.2">
      <c r="A159" s="1436" t="s">
        <v>1391</v>
      </c>
      <c r="B159" s="651"/>
      <c r="C159" s="236"/>
      <c r="D159" s="234"/>
      <c r="E159" s="234"/>
      <c r="F159" s="234"/>
      <c r="G159" s="234"/>
      <c r="H159" s="848"/>
      <c r="I159" s="845">
        <v>0</v>
      </c>
      <c r="J159" s="845">
        <v>0</v>
      </c>
      <c r="K159" s="845">
        <v>0</v>
      </c>
      <c r="L159" s="845">
        <v>0</v>
      </c>
      <c r="M159" s="848">
        <v>0</v>
      </c>
      <c r="N159" s="845">
        <v>0</v>
      </c>
      <c r="O159" s="845">
        <v>0</v>
      </c>
      <c r="P159" s="845">
        <v>0</v>
      </c>
      <c r="Q159" s="845">
        <v>0</v>
      </c>
      <c r="R159" s="848">
        <v>0</v>
      </c>
      <c r="S159" s="845">
        <v>0</v>
      </c>
      <c r="T159" s="845">
        <v>0</v>
      </c>
      <c r="U159" s="845">
        <v>0</v>
      </c>
      <c r="V159" s="845">
        <v>0</v>
      </c>
      <c r="W159" s="848">
        <v>0</v>
      </c>
      <c r="X159" s="845">
        <v>0</v>
      </c>
      <c r="Y159" s="845">
        <v>0</v>
      </c>
      <c r="Z159" s="845">
        <v>0</v>
      </c>
      <c r="AA159" s="845">
        <v>0</v>
      </c>
      <c r="AB159" s="848">
        <v>0</v>
      </c>
      <c r="AC159" s="845">
        <v>0</v>
      </c>
      <c r="AD159" s="845">
        <v>0</v>
      </c>
      <c r="AE159" s="845">
        <v>0</v>
      </c>
      <c r="AF159" s="845">
        <v>0</v>
      </c>
      <c r="AG159" s="848">
        <v>0</v>
      </c>
      <c r="AH159" s="845">
        <v>0</v>
      </c>
      <c r="AI159" s="845">
        <v>0</v>
      </c>
      <c r="AJ159" s="845">
        <v>0</v>
      </c>
      <c r="AK159" s="845">
        <v>0</v>
      </c>
      <c r="AL159" s="848">
        <v>0</v>
      </c>
      <c r="AM159" s="845">
        <v>0</v>
      </c>
      <c r="AN159" s="845">
        <v>0</v>
      </c>
      <c r="AO159" s="845">
        <v>0</v>
      </c>
      <c r="AP159" s="845">
        <v>0</v>
      </c>
      <c r="AQ159" s="848">
        <v>0</v>
      </c>
      <c r="AR159" s="845">
        <v>0</v>
      </c>
      <c r="AS159" s="845">
        <v>0</v>
      </c>
      <c r="AT159" s="845">
        <v>0</v>
      </c>
      <c r="AU159" s="845">
        <v>0</v>
      </c>
      <c r="AV159" s="848">
        <v>0</v>
      </c>
      <c r="AW159" s="845">
        <v>0</v>
      </c>
      <c r="AX159" s="845">
        <v>0</v>
      </c>
      <c r="AY159" s="845">
        <v>0</v>
      </c>
      <c r="AZ159" s="845">
        <v>0</v>
      </c>
      <c r="BA159" s="848">
        <v>0</v>
      </c>
      <c r="BB159" s="845">
        <v>0</v>
      </c>
      <c r="BC159" s="845">
        <v>0</v>
      </c>
      <c r="BD159" s="845">
        <v>0</v>
      </c>
      <c r="BE159" s="845">
        <v>0</v>
      </c>
      <c r="BF159" s="848">
        <v>0</v>
      </c>
      <c r="BG159" s="845">
        <v>0</v>
      </c>
      <c r="BH159" s="845">
        <v>0</v>
      </c>
      <c r="BI159" s="845">
        <v>0</v>
      </c>
      <c r="BJ159" s="845">
        <v>0</v>
      </c>
      <c r="BK159" s="848">
        <v>0</v>
      </c>
      <c r="BL159" s="845">
        <v>0</v>
      </c>
      <c r="BM159" s="845">
        <v>0</v>
      </c>
      <c r="BN159" s="845">
        <v>0</v>
      </c>
      <c r="BO159" s="845">
        <v>0</v>
      </c>
      <c r="BP159" s="848">
        <v>0</v>
      </c>
      <c r="BQ159" s="845">
        <v>0</v>
      </c>
      <c r="BR159" s="845">
        <v>0</v>
      </c>
      <c r="BS159" s="845">
        <v>0</v>
      </c>
      <c r="BT159" s="845">
        <v>0</v>
      </c>
      <c r="BU159" s="848">
        <v>0</v>
      </c>
      <c r="BV159" s="845">
        <v>0</v>
      </c>
      <c r="BW159" s="845">
        <v>0</v>
      </c>
      <c r="BX159" s="845">
        <v>0</v>
      </c>
      <c r="BY159" s="845">
        <v>0</v>
      </c>
      <c r="BZ159" s="848">
        <v>0</v>
      </c>
      <c r="CA159" s="845">
        <v>0</v>
      </c>
      <c r="CB159" s="845">
        <v>0</v>
      </c>
      <c r="CC159" s="845">
        <v>0</v>
      </c>
      <c r="CD159" s="845">
        <v>0</v>
      </c>
      <c r="CE159" s="848">
        <v>0</v>
      </c>
      <c r="CF159" s="845">
        <v>0</v>
      </c>
      <c r="CG159" s="845">
        <v>0</v>
      </c>
      <c r="CH159" s="845">
        <v>0</v>
      </c>
      <c r="CI159" s="845">
        <v>0</v>
      </c>
      <c r="CJ159" s="848">
        <v>0</v>
      </c>
      <c r="CK159" s="844">
        <v>0</v>
      </c>
      <c r="CL159" s="844">
        <v>0</v>
      </c>
      <c r="CM159" s="844">
        <v>0</v>
      </c>
      <c r="CN159" s="844">
        <v>0</v>
      </c>
      <c r="CO159" s="848">
        <v>0</v>
      </c>
      <c r="CP159" s="844"/>
      <c r="CQ159" s="844"/>
      <c r="CR159" s="847"/>
      <c r="CS159" s="847"/>
      <c r="CT159" s="661"/>
      <c r="CU159" s="661"/>
      <c r="CV159" s="661"/>
    </row>
    <row r="160" spans="1:256" x14ac:dyDescent="0.2">
      <c r="A160" s="1436" t="s">
        <v>1389</v>
      </c>
      <c r="B160" s="651"/>
      <c r="C160" s="236"/>
      <c r="D160" s="234"/>
      <c r="E160" s="234"/>
      <c r="F160" s="234"/>
      <c r="G160" s="234"/>
      <c r="H160" s="848"/>
      <c r="I160" s="845">
        <v>0</v>
      </c>
      <c r="J160" s="845">
        <v>0</v>
      </c>
      <c r="K160" s="845">
        <v>0</v>
      </c>
      <c r="L160" s="845">
        <v>0</v>
      </c>
      <c r="M160" s="848">
        <v>0</v>
      </c>
      <c r="N160" s="845">
        <v>0</v>
      </c>
      <c r="O160" s="845">
        <v>0</v>
      </c>
      <c r="P160" s="845">
        <v>0</v>
      </c>
      <c r="Q160" s="845">
        <v>0</v>
      </c>
      <c r="R160" s="848">
        <v>0</v>
      </c>
      <c r="S160" s="845">
        <v>0</v>
      </c>
      <c r="T160" s="845">
        <v>0</v>
      </c>
      <c r="U160" s="845">
        <v>0</v>
      </c>
      <c r="V160" s="845">
        <v>0</v>
      </c>
      <c r="W160" s="848">
        <v>0</v>
      </c>
      <c r="X160" s="845">
        <v>0</v>
      </c>
      <c r="Y160" s="845">
        <v>0</v>
      </c>
      <c r="Z160" s="845">
        <v>0</v>
      </c>
      <c r="AA160" s="845">
        <v>0</v>
      </c>
      <c r="AB160" s="848">
        <v>0</v>
      </c>
      <c r="AC160" s="845">
        <v>0</v>
      </c>
      <c r="AD160" s="845">
        <v>0</v>
      </c>
      <c r="AE160" s="845">
        <v>0</v>
      </c>
      <c r="AF160" s="845">
        <v>0</v>
      </c>
      <c r="AG160" s="848">
        <v>0</v>
      </c>
      <c r="AH160" s="845">
        <v>0</v>
      </c>
      <c r="AI160" s="845">
        <v>0</v>
      </c>
      <c r="AJ160" s="845">
        <v>0</v>
      </c>
      <c r="AK160" s="845">
        <v>0</v>
      </c>
      <c r="AL160" s="848">
        <v>0</v>
      </c>
      <c r="AM160" s="845">
        <v>0</v>
      </c>
      <c r="AN160" s="845">
        <v>0</v>
      </c>
      <c r="AO160" s="845">
        <v>0</v>
      </c>
      <c r="AP160" s="845">
        <v>0</v>
      </c>
      <c r="AQ160" s="848">
        <v>0</v>
      </c>
      <c r="AR160" s="845">
        <v>0</v>
      </c>
      <c r="AS160" s="845">
        <v>0</v>
      </c>
      <c r="AT160" s="845">
        <v>0</v>
      </c>
      <c r="AU160" s="845">
        <v>0</v>
      </c>
      <c r="AV160" s="848">
        <v>0</v>
      </c>
      <c r="AW160" s="845">
        <v>0</v>
      </c>
      <c r="AX160" s="845">
        <v>0</v>
      </c>
      <c r="AY160" s="845">
        <v>0</v>
      </c>
      <c r="AZ160" s="845">
        <v>0</v>
      </c>
      <c r="BA160" s="848">
        <v>0</v>
      </c>
      <c r="BB160" s="845">
        <v>0</v>
      </c>
      <c r="BC160" s="845">
        <v>0</v>
      </c>
      <c r="BD160" s="845">
        <v>0</v>
      </c>
      <c r="BE160" s="845">
        <v>0</v>
      </c>
      <c r="BF160" s="848">
        <v>0</v>
      </c>
      <c r="BG160" s="845">
        <v>0</v>
      </c>
      <c r="BH160" s="845">
        <v>0</v>
      </c>
      <c r="BI160" s="845">
        <v>0</v>
      </c>
      <c r="BJ160" s="845">
        <v>0</v>
      </c>
      <c r="BK160" s="848">
        <v>0</v>
      </c>
      <c r="BL160" s="845">
        <v>0</v>
      </c>
      <c r="BM160" s="845">
        <v>0</v>
      </c>
      <c r="BN160" s="845">
        <v>0</v>
      </c>
      <c r="BO160" s="845">
        <v>0</v>
      </c>
      <c r="BP160" s="848">
        <v>0</v>
      </c>
      <c r="BQ160" s="845">
        <v>0</v>
      </c>
      <c r="BR160" s="845">
        <v>0</v>
      </c>
      <c r="BS160" s="845">
        <v>0</v>
      </c>
      <c r="BT160" s="845">
        <v>0</v>
      </c>
      <c r="BU160" s="848">
        <v>0</v>
      </c>
      <c r="BV160" s="845">
        <v>0</v>
      </c>
      <c r="BW160" s="845">
        <v>0</v>
      </c>
      <c r="BX160" s="845">
        <v>0</v>
      </c>
      <c r="BY160" s="845">
        <v>0</v>
      </c>
      <c r="BZ160" s="848">
        <v>0</v>
      </c>
      <c r="CA160" s="845">
        <v>0</v>
      </c>
      <c r="CB160" s="845">
        <v>0</v>
      </c>
      <c r="CC160" s="845">
        <v>0</v>
      </c>
      <c r="CD160" s="845">
        <v>0</v>
      </c>
      <c r="CE160" s="848">
        <v>0</v>
      </c>
      <c r="CF160" s="845">
        <v>0</v>
      </c>
      <c r="CG160" s="845">
        <v>0</v>
      </c>
      <c r="CH160" s="845">
        <v>0</v>
      </c>
      <c r="CI160" s="845">
        <v>0</v>
      </c>
      <c r="CJ160" s="848">
        <v>0</v>
      </c>
      <c r="CK160" s="844">
        <v>0</v>
      </c>
      <c r="CL160" s="844">
        <v>0</v>
      </c>
      <c r="CM160" s="844">
        <v>0</v>
      </c>
      <c r="CN160" s="844">
        <v>0</v>
      </c>
      <c r="CO160" s="848">
        <v>0</v>
      </c>
      <c r="CP160" s="844"/>
      <c r="CQ160" s="844"/>
      <c r="CR160" s="212"/>
      <c r="CS160" s="212"/>
      <c r="CT160" s="194"/>
      <c r="CU160" s="194"/>
      <c r="CV160" s="194"/>
    </row>
    <row r="161" spans="1:100" x14ac:dyDescent="0.2">
      <c r="A161" s="1436" t="s">
        <v>1390</v>
      </c>
      <c r="B161" s="651"/>
      <c r="C161" s="236"/>
      <c r="D161" s="234"/>
      <c r="E161" s="234"/>
      <c r="F161" s="234"/>
      <c r="G161" s="234"/>
      <c r="H161" s="848"/>
      <c r="I161" s="845">
        <v>0</v>
      </c>
      <c r="J161" s="845">
        <v>0</v>
      </c>
      <c r="K161" s="845">
        <v>0</v>
      </c>
      <c r="L161" s="845">
        <v>0</v>
      </c>
      <c r="M161" s="848">
        <v>0</v>
      </c>
      <c r="N161" s="845">
        <v>0</v>
      </c>
      <c r="O161" s="845">
        <v>0</v>
      </c>
      <c r="P161" s="845">
        <v>0</v>
      </c>
      <c r="Q161" s="845">
        <v>0</v>
      </c>
      <c r="R161" s="848">
        <v>0</v>
      </c>
      <c r="S161" s="845">
        <v>0</v>
      </c>
      <c r="T161" s="845">
        <v>0</v>
      </c>
      <c r="U161" s="845">
        <v>0</v>
      </c>
      <c r="V161" s="845">
        <v>0</v>
      </c>
      <c r="W161" s="848">
        <v>0</v>
      </c>
      <c r="X161" s="845">
        <v>0</v>
      </c>
      <c r="Y161" s="845">
        <v>0</v>
      </c>
      <c r="Z161" s="845">
        <v>0</v>
      </c>
      <c r="AA161" s="845">
        <v>0</v>
      </c>
      <c r="AB161" s="848">
        <v>0</v>
      </c>
      <c r="AC161" s="845">
        <v>0</v>
      </c>
      <c r="AD161" s="845">
        <v>0</v>
      </c>
      <c r="AE161" s="845">
        <v>0</v>
      </c>
      <c r="AF161" s="845">
        <v>0</v>
      </c>
      <c r="AG161" s="848">
        <v>0</v>
      </c>
      <c r="AH161" s="845">
        <v>0</v>
      </c>
      <c r="AI161" s="845">
        <v>0</v>
      </c>
      <c r="AJ161" s="845">
        <v>0</v>
      </c>
      <c r="AK161" s="845">
        <v>0</v>
      </c>
      <c r="AL161" s="848">
        <v>0</v>
      </c>
      <c r="AM161" s="845">
        <v>0</v>
      </c>
      <c r="AN161" s="845">
        <v>0</v>
      </c>
      <c r="AO161" s="845">
        <v>0</v>
      </c>
      <c r="AP161" s="845">
        <v>0</v>
      </c>
      <c r="AQ161" s="848">
        <v>0</v>
      </c>
      <c r="AR161" s="845">
        <v>0</v>
      </c>
      <c r="AS161" s="845">
        <v>0</v>
      </c>
      <c r="AT161" s="845">
        <v>0</v>
      </c>
      <c r="AU161" s="845">
        <v>0</v>
      </c>
      <c r="AV161" s="848">
        <v>0</v>
      </c>
      <c r="AW161" s="845">
        <v>0</v>
      </c>
      <c r="AX161" s="845">
        <v>0</v>
      </c>
      <c r="AY161" s="845">
        <v>0</v>
      </c>
      <c r="AZ161" s="845">
        <v>0</v>
      </c>
      <c r="BA161" s="848">
        <v>0</v>
      </c>
      <c r="BB161" s="845">
        <v>0</v>
      </c>
      <c r="BC161" s="845">
        <v>0</v>
      </c>
      <c r="BD161" s="845">
        <v>0</v>
      </c>
      <c r="BE161" s="845">
        <v>0</v>
      </c>
      <c r="BF161" s="848">
        <v>0</v>
      </c>
      <c r="BG161" s="845">
        <v>0</v>
      </c>
      <c r="BH161" s="845">
        <v>0</v>
      </c>
      <c r="BI161" s="845">
        <v>0</v>
      </c>
      <c r="BJ161" s="845">
        <v>0</v>
      </c>
      <c r="BK161" s="848">
        <v>0</v>
      </c>
      <c r="BL161" s="845">
        <v>0</v>
      </c>
      <c r="BM161" s="845">
        <v>0</v>
      </c>
      <c r="BN161" s="845">
        <v>0</v>
      </c>
      <c r="BO161" s="845">
        <v>0</v>
      </c>
      <c r="BP161" s="848">
        <v>0</v>
      </c>
      <c r="BQ161" s="845">
        <v>0</v>
      </c>
      <c r="BR161" s="845">
        <v>0</v>
      </c>
      <c r="BS161" s="845">
        <v>0</v>
      </c>
      <c r="BT161" s="845">
        <v>0</v>
      </c>
      <c r="BU161" s="848">
        <v>0</v>
      </c>
      <c r="BV161" s="845">
        <v>0</v>
      </c>
      <c r="BW161" s="845">
        <v>0</v>
      </c>
      <c r="BX161" s="845">
        <v>0</v>
      </c>
      <c r="BY161" s="845">
        <v>0</v>
      </c>
      <c r="BZ161" s="848">
        <v>0</v>
      </c>
      <c r="CA161" s="845">
        <v>0</v>
      </c>
      <c r="CB161" s="845">
        <v>0</v>
      </c>
      <c r="CC161" s="845">
        <v>0</v>
      </c>
      <c r="CD161" s="845">
        <v>0</v>
      </c>
      <c r="CE161" s="848">
        <v>0</v>
      </c>
      <c r="CF161" s="845">
        <v>0</v>
      </c>
      <c r="CG161" s="845">
        <v>0</v>
      </c>
      <c r="CH161" s="845">
        <v>0</v>
      </c>
      <c r="CI161" s="845">
        <v>0</v>
      </c>
      <c r="CJ161" s="848">
        <v>0</v>
      </c>
      <c r="CK161" s="844">
        <v>0</v>
      </c>
      <c r="CL161" s="844">
        <v>0</v>
      </c>
      <c r="CM161" s="844">
        <v>0</v>
      </c>
      <c r="CN161" s="844">
        <v>0</v>
      </c>
      <c r="CO161" s="848">
        <v>0</v>
      </c>
      <c r="CP161" s="844"/>
      <c r="CQ161" s="844"/>
      <c r="CR161" s="212"/>
      <c r="CS161" s="212"/>
      <c r="CT161" s="194"/>
      <c r="CU161" s="194"/>
      <c r="CV161" s="194"/>
    </row>
    <row r="162" spans="1:100" x14ac:dyDescent="0.2">
      <c r="A162" s="1436" t="s">
        <v>650</v>
      </c>
      <c r="B162" s="651"/>
      <c r="C162" s="234"/>
      <c r="D162" s="234"/>
      <c r="E162" s="234"/>
      <c r="F162" s="234"/>
      <c r="G162" s="234"/>
      <c r="H162" s="848"/>
      <c r="I162" s="845">
        <v>0</v>
      </c>
      <c r="J162" s="845">
        <v>0</v>
      </c>
      <c r="K162" s="845">
        <v>0</v>
      </c>
      <c r="L162" s="845">
        <v>0</v>
      </c>
      <c r="M162" s="848">
        <v>0</v>
      </c>
      <c r="N162" s="845">
        <v>0</v>
      </c>
      <c r="O162" s="845">
        <v>0</v>
      </c>
      <c r="P162" s="845">
        <v>0</v>
      </c>
      <c r="Q162" s="845">
        <v>0</v>
      </c>
      <c r="R162" s="848">
        <v>0</v>
      </c>
      <c r="S162" s="845">
        <v>0</v>
      </c>
      <c r="T162" s="845">
        <v>0</v>
      </c>
      <c r="U162" s="845">
        <v>0</v>
      </c>
      <c r="V162" s="845">
        <v>0</v>
      </c>
      <c r="W162" s="848">
        <v>0</v>
      </c>
      <c r="X162" s="845">
        <v>0</v>
      </c>
      <c r="Y162" s="845">
        <v>0</v>
      </c>
      <c r="Z162" s="845">
        <v>0</v>
      </c>
      <c r="AA162" s="845">
        <v>0</v>
      </c>
      <c r="AB162" s="848">
        <v>0</v>
      </c>
      <c r="AC162" s="845">
        <v>0</v>
      </c>
      <c r="AD162" s="845">
        <v>0</v>
      </c>
      <c r="AE162" s="845">
        <v>0</v>
      </c>
      <c r="AF162" s="845">
        <v>0</v>
      </c>
      <c r="AG162" s="848">
        <v>0</v>
      </c>
      <c r="AH162" s="845">
        <v>0</v>
      </c>
      <c r="AI162" s="845">
        <v>0</v>
      </c>
      <c r="AJ162" s="845">
        <v>0</v>
      </c>
      <c r="AK162" s="845">
        <v>0</v>
      </c>
      <c r="AL162" s="848">
        <v>0</v>
      </c>
      <c r="AM162" s="845">
        <v>0</v>
      </c>
      <c r="AN162" s="845">
        <v>0</v>
      </c>
      <c r="AO162" s="845">
        <v>0</v>
      </c>
      <c r="AP162" s="845">
        <v>0</v>
      </c>
      <c r="AQ162" s="848">
        <v>0</v>
      </c>
      <c r="AR162" s="845">
        <v>0</v>
      </c>
      <c r="AS162" s="845">
        <v>0</v>
      </c>
      <c r="AT162" s="845">
        <v>0</v>
      </c>
      <c r="AU162" s="845">
        <v>0</v>
      </c>
      <c r="AV162" s="848">
        <v>0</v>
      </c>
      <c r="AW162" s="845">
        <v>0</v>
      </c>
      <c r="AX162" s="845">
        <v>0</v>
      </c>
      <c r="AY162" s="845">
        <v>0</v>
      </c>
      <c r="AZ162" s="845">
        <v>0</v>
      </c>
      <c r="BA162" s="848">
        <v>0</v>
      </c>
      <c r="BB162" s="845">
        <v>0</v>
      </c>
      <c r="BC162" s="845">
        <v>0</v>
      </c>
      <c r="BD162" s="845">
        <v>0</v>
      </c>
      <c r="BE162" s="845">
        <v>0</v>
      </c>
      <c r="BF162" s="848">
        <v>0</v>
      </c>
      <c r="BG162" s="845">
        <v>0</v>
      </c>
      <c r="BH162" s="845">
        <v>0</v>
      </c>
      <c r="BI162" s="845">
        <v>0</v>
      </c>
      <c r="BJ162" s="845">
        <v>0</v>
      </c>
      <c r="BK162" s="848">
        <v>0</v>
      </c>
      <c r="BL162" s="845">
        <v>0</v>
      </c>
      <c r="BM162" s="845">
        <v>0</v>
      </c>
      <c r="BN162" s="845">
        <v>0</v>
      </c>
      <c r="BO162" s="845">
        <v>0</v>
      </c>
      <c r="BP162" s="848">
        <v>0</v>
      </c>
      <c r="BQ162" s="845">
        <v>0</v>
      </c>
      <c r="BR162" s="845">
        <v>0</v>
      </c>
      <c r="BS162" s="845">
        <v>0</v>
      </c>
      <c r="BT162" s="845">
        <v>0</v>
      </c>
      <c r="BU162" s="848">
        <v>0</v>
      </c>
      <c r="BV162" s="845">
        <v>0</v>
      </c>
      <c r="BW162" s="845">
        <v>0</v>
      </c>
      <c r="BX162" s="845">
        <v>0</v>
      </c>
      <c r="BY162" s="845">
        <v>0</v>
      </c>
      <c r="BZ162" s="848">
        <v>0</v>
      </c>
      <c r="CA162" s="845">
        <v>0</v>
      </c>
      <c r="CB162" s="845">
        <v>0</v>
      </c>
      <c r="CC162" s="845">
        <v>0</v>
      </c>
      <c r="CD162" s="845">
        <v>0</v>
      </c>
      <c r="CE162" s="848">
        <v>0</v>
      </c>
      <c r="CF162" s="845">
        <v>0</v>
      </c>
      <c r="CG162" s="845">
        <v>0</v>
      </c>
      <c r="CH162" s="845">
        <v>0</v>
      </c>
      <c r="CI162" s="845">
        <v>0</v>
      </c>
      <c r="CJ162" s="848">
        <v>0</v>
      </c>
      <c r="CK162" s="844">
        <v>0</v>
      </c>
      <c r="CL162" s="844">
        <v>0</v>
      </c>
      <c r="CM162" s="844">
        <v>0</v>
      </c>
      <c r="CN162" s="844">
        <v>0</v>
      </c>
      <c r="CO162" s="848">
        <v>0</v>
      </c>
      <c r="CP162" s="844"/>
      <c r="CQ162" s="844"/>
      <c r="CR162" s="212"/>
      <c r="CS162" s="212"/>
      <c r="CT162" s="194"/>
      <c r="CU162" s="194"/>
      <c r="CV162" s="194"/>
    </row>
    <row r="163" spans="1:100" x14ac:dyDescent="0.2">
      <c r="A163" s="2288" t="s">
        <v>384</v>
      </c>
      <c r="B163" s="2631"/>
      <c r="C163" s="2631"/>
      <c r="D163" s="2631"/>
      <c r="E163" s="2631"/>
      <c r="F163" s="2631"/>
      <c r="G163" s="2631"/>
      <c r="H163" s="848"/>
      <c r="I163" s="845">
        <v>0</v>
      </c>
      <c r="J163" s="845">
        <v>0</v>
      </c>
      <c r="K163" s="845">
        <v>0</v>
      </c>
      <c r="L163" s="845">
        <v>0</v>
      </c>
      <c r="M163" s="848">
        <v>0</v>
      </c>
      <c r="N163" s="845">
        <v>0</v>
      </c>
      <c r="O163" s="845">
        <v>0</v>
      </c>
      <c r="P163" s="845">
        <v>0</v>
      </c>
      <c r="Q163" s="845">
        <v>0</v>
      </c>
      <c r="R163" s="848">
        <v>0</v>
      </c>
      <c r="S163" s="845">
        <v>0</v>
      </c>
      <c r="T163" s="845">
        <v>0</v>
      </c>
      <c r="U163" s="845">
        <v>0</v>
      </c>
      <c r="V163" s="845">
        <v>0</v>
      </c>
      <c r="W163" s="848">
        <v>0</v>
      </c>
      <c r="X163" s="845">
        <v>0</v>
      </c>
      <c r="Y163" s="845">
        <v>0</v>
      </c>
      <c r="Z163" s="845">
        <v>0</v>
      </c>
      <c r="AA163" s="845">
        <v>0</v>
      </c>
      <c r="AB163" s="848">
        <v>0</v>
      </c>
      <c r="AC163" s="845">
        <v>0</v>
      </c>
      <c r="AD163" s="845">
        <v>0</v>
      </c>
      <c r="AE163" s="845">
        <v>0</v>
      </c>
      <c r="AF163" s="845">
        <v>0</v>
      </c>
      <c r="AG163" s="848">
        <v>0</v>
      </c>
      <c r="AH163" s="845">
        <v>0</v>
      </c>
      <c r="AI163" s="845">
        <v>0</v>
      </c>
      <c r="AJ163" s="845">
        <v>0</v>
      </c>
      <c r="AK163" s="845">
        <v>0</v>
      </c>
      <c r="AL163" s="848">
        <v>0</v>
      </c>
      <c r="AM163" s="845">
        <v>0</v>
      </c>
      <c r="AN163" s="845">
        <v>0</v>
      </c>
      <c r="AO163" s="845">
        <v>0</v>
      </c>
      <c r="AP163" s="845">
        <v>0</v>
      </c>
      <c r="AQ163" s="848">
        <v>0</v>
      </c>
      <c r="AR163" s="845">
        <v>0</v>
      </c>
      <c r="AS163" s="845">
        <v>0</v>
      </c>
      <c r="AT163" s="845">
        <v>0</v>
      </c>
      <c r="AU163" s="845">
        <v>0</v>
      </c>
      <c r="AV163" s="848">
        <v>0</v>
      </c>
      <c r="AW163" s="845">
        <v>0</v>
      </c>
      <c r="AX163" s="845">
        <v>0</v>
      </c>
      <c r="AY163" s="845">
        <v>0</v>
      </c>
      <c r="AZ163" s="845">
        <v>0</v>
      </c>
      <c r="BA163" s="848">
        <v>0</v>
      </c>
      <c r="BB163" s="845">
        <v>0</v>
      </c>
      <c r="BC163" s="845">
        <v>0</v>
      </c>
      <c r="BD163" s="845">
        <v>0</v>
      </c>
      <c r="BE163" s="845">
        <v>0</v>
      </c>
      <c r="BF163" s="848">
        <v>0</v>
      </c>
      <c r="BG163" s="845">
        <v>0</v>
      </c>
      <c r="BH163" s="845">
        <v>0</v>
      </c>
      <c r="BI163" s="845">
        <v>0</v>
      </c>
      <c r="BJ163" s="845">
        <v>0</v>
      </c>
      <c r="BK163" s="848">
        <v>0</v>
      </c>
      <c r="BL163" s="845">
        <v>0</v>
      </c>
      <c r="BM163" s="845">
        <v>0</v>
      </c>
      <c r="BN163" s="845">
        <v>0</v>
      </c>
      <c r="BO163" s="845">
        <v>0</v>
      </c>
      <c r="BP163" s="848">
        <v>0</v>
      </c>
      <c r="BQ163" s="845">
        <v>0</v>
      </c>
      <c r="BR163" s="845">
        <v>0</v>
      </c>
      <c r="BS163" s="845">
        <v>0</v>
      </c>
      <c r="BT163" s="845">
        <v>0</v>
      </c>
      <c r="BU163" s="848">
        <v>0</v>
      </c>
      <c r="BV163" s="845">
        <v>0</v>
      </c>
      <c r="BW163" s="845">
        <v>0</v>
      </c>
      <c r="BX163" s="845">
        <v>0</v>
      </c>
      <c r="BY163" s="845">
        <v>0</v>
      </c>
      <c r="BZ163" s="848">
        <v>0</v>
      </c>
      <c r="CA163" s="845">
        <v>0</v>
      </c>
      <c r="CB163" s="845">
        <v>0</v>
      </c>
      <c r="CC163" s="845">
        <v>0</v>
      </c>
      <c r="CD163" s="845">
        <v>0</v>
      </c>
      <c r="CE163" s="848">
        <v>0</v>
      </c>
      <c r="CF163" s="845">
        <v>0</v>
      </c>
      <c r="CG163" s="845">
        <v>0</v>
      </c>
      <c r="CH163" s="845">
        <v>0</v>
      </c>
      <c r="CI163" s="845">
        <v>0</v>
      </c>
      <c r="CJ163" s="848">
        <v>0</v>
      </c>
      <c r="CK163" s="844">
        <v>0</v>
      </c>
      <c r="CL163" s="844">
        <v>0</v>
      </c>
      <c r="CM163" s="844">
        <v>0</v>
      </c>
      <c r="CN163" s="844">
        <v>0</v>
      </c>
      <c r="CO163" s="848">
        <v>0</v>
      </c>
      <c r="CP163" s="844"/>
      <c r="CQ163" s="844"/>
      <c r="CR163" s="212"/>
      <c r="CS163" s="212"/>
      <c r="CT163" s="194"/>
      <c r="CU163" s="194"/>
      <c r="CV163" s="194"/>
    </row>
    <row r="164" spans="1:100" ht="4.5" customHeight="1" x14ac:dyDescent="0.35">
      <c r="A164" s="1207"/>
      <c r="B164" s="212"/>
      <c r="C164" s="212"/>
      <c r="D164" s="212"/>
      <c r="E164" s="212"/>
      <c r="F164" s="212"/>
      <c r="G164" s="212"/>
      <c r="H164" s="194"/>
      <c r="I164" s="850" t="s">
        <v>2466</v>
      </c>
      <c r="J164" s="850" t="s">
        <v>2139</v>
      </c>
      <c r="K164" s="850" t="s">
        <v>2466</v>
      </c>
      <c r="L164" s="850" t="s">
        <v>2139</v>
      </c>
      <c r="M164" s="3009" t="s">
        <v>2378</v>
      </c>
      <c r="N164" s="850" t="s">
        <v>2466</v>
      </c>
      <c r="O164" s="850" t="s">
        <v>2139</v>
      </c>
      <c r="P164" s="850" t="s">
        <v>2466</v>
      </c>
      <c r="Q164" s="850" t="s">
        <v>2139</v>
      </c>
      <c r="R164" s="3009" t="s">
        <v>2378</v>
      </c>
      <c r="S164" s="850" t="s">
        <v>2466</v>
      </c>
      <c r="T164" s="850" t="s">
        <v>2139</v>
      </c>
      <c r="U164" s="850" t="s">
        <v>2466</v>
      </c>
      <c r="V164" s="850" t="s">
        <v>2139</v>
      </c>
      <c r="W164" s="3009" t="s">
        <v>2378</v>
      </c>
      <c r="X164" s="850" t="s">
        <v>2466</v>
      </c>
      <c r="Y164" s="850" t="s">
        <v>2139</v>
      </c>
      <c r="Z164" s="850" t="s">
        <v>2466</v>
      </c>
      <c r="AA164" s="850" t="s">
        <v>2139</v>
      </c>
      <c r="AB164" s="3009" t="s">
        <v>2378</v>
      </c>
      <c r="AC164" s="850" t="s">
        <v>2466</v>
      </c>
      <c r="AD164" s="850" t="s">
        <v>2139</v>
      </c>
      <c r="AE164" s="850" t="s">
        <v>2466</v>
      </c>
      <c r="AF164" s="850" t="s">
        <v>2139</v>
      </c>
      <c r="AG164" s="3009" t="s">
        <v>2378</v>
      </c>
      <c r="AH164" s="850" t="s">
        <v>2466</v>
      </c>
      <c r="AI164" s="850" t="s">
        <v>2139</v>
      </c>
      <c r="AJ164" s="850" t="s">
        <v>2466</v>
      </c>
      <c r="AK164" s="850" t="s">
        <v>2139</v>
      </c>
      <c r="AL164" s="3009" t="s">
        <v>2378</v>
      </c>
      <c r="AM164" s="850" t="s">
        <v>2466</v>
      </c>
      <c r="AN164" s="850" t="s">
        <v>2139</v>
      </c>
      <c r="AO164" s="850" t="s">
        <v>2466</v>
      </c>
      <c r="AP164" s="850" t="s">
        <v>2139</v>
      </c>
      <c r="AQ164" s="3009" t="s">
        <v>2378</v>
      </c>
      <c r="AR164" s="850" t="s">
        <v>2466</v>
      </c>
      <c r="AS164" s="850" t="s">
        <v>2139</v>
      </c>
      <c r="AT164" s="850" t="s">
        <v>2466</v>
      </c>
      <c r="AU164" s="850" t="s">
        <v>2139</v>
      </c>
      <c r="AV164" s="3009" t="s">
        <v>2378</v>
      </c>
      <c r="AW164" s="850" t="s">
        <v>2466</v>
      </c>
      <c r="AX164" s="850" t="s">
        <v>2139</v>
      </c>
      <c r="AY164" s="850" t="s">
        <v>2466</v>
      </c>
      <c r="AZ164" s="850" t="s">
        <v>2139</v>
      </c>
      <c r="BA164" s="3009" t="s">
        <v>2378</v>
      </c>
      <c r="BB164" s="850" t="s">
        <v>2466</v>
      </c>
      <c r="BC164" s="850" t="s">
        <v>2139</v>
      </c>
      <c r="BD164" s="850" t="s">
        <v>2466</v>
      </c>
      <c r="BE164" s="850" t="s">
        <v>2139</v>
      </c>
      <c r="BF164" s="3009" t="s">
        <v>2378</v>
      </c>
      <c r="BG164" s="3011" t="s">
        <v>2467</v>
      </c>
      <c r="BH164" s="3011" t="s">
        <v>2467</v>
      </c>
      <c r="BI164" s="3011" t="s">
        <v>2467</v>
      </c>
      <c r="BJ164" s="3011" t="s">
        <v>2467</v>
      </c>
      <c r="BK164" s="3009" t="s">
        <v>2139</v>
      </c>
      <c r="BL164" s="3011" t="s">
        <v>1191</v>
      </c>
      <c r="BM164" s="3011" t="s">
        <v>1191</v>
      </c>
      <c r="BN164" s="3011" t="s">
        <v>1191</v>
      </c>
      <c r="BO164" s="3011" t="s">
        <v>1191</v>
      </c>
      <c r="BP164" s="3009" t="s">
        <v>2139</v>
      </c>
      <c r="BQ164" s="3011" t="s">
        <v>2139</v>
      </c>
      <c r="BR164" s="3011" t="s">
        <v>2139</v>
      </c>
      <c r="BS164" s="3011" t="s">
        <v>2139</v>
      </c>
      <c r="BT164" s="3011" t="s">
        <v>2139</v>
      </c>
      <c r="BU164" s="3009" t="s">
        <v>2139</v>
      </c>
      <c r="BV164" s="3011" t="s">
        <v>2468</v>
      </c>
      <c r="BW164" s="3011" t="s">
        <v>2468</v>
      </c>
      <c r="BX164" s="3011" t="s">
        <v>2468</v>
      </c>
      <c r="BY164" s="3011" t="s">
        <v>2467</v>
      </c>
      <c r="BZ164" s="3009" t="s">
        <v>2378</v>
      </c>
      <c r="CA164" s="3011" t="s">
        <v>2466</v>
      </c>
      <c r="CB164" s="3011" t="s">
        <v>2466</v>
      </c>
      <c r="CC164" s="3011" t="s">
        <v>2466</v>
      </c>
      <c r="CD164" s="3011" t="s">
        <v>2378</v>
      </c>
      <c r="CE164" s="3009" t="s">
        <v>2139</v>
      </c>
      <c r="CF164" s="3011" t="s">
        <v>2466</v>
      </c>
      <c r="CG164" s="3011" t="s">
        <v>2378</v>
      </c>
      <c r="CH164" s="3011" t="s">
        <v>2378</v>
      </c>
      <c r="CI164" s="3011" t="s">
        <v>2378</v>
      </c>
      <c r="CJ164" s="3009" t="s">
        <v>2139</v>
      </c>
      <c r="CK164" s="3502" t="s">
        <v>2466</v>
      </c>
      <c r="CL164" s="3502" t="s">
        <v>2466</v>
      </c>
      <c r="CM164" s="3502" t="s">
        <v>2466</v>
      </c>
      <c r="CN164" s="3502" t="s">
        <v>2466</v>
      </c>
      <c r="CO164" s="3009" t="s">
        <v>2139</v>
      </c>
      <c r="CP164" s="3502"/>
      <c r="CQ164" s="3502"/>
      <c r="CR164" s="212"/>
      <c r="CS164" s="212"/>
      <c r="CT164" s="194"/>
      <c r="CU164" s="194"/>
      <c r="CV164" s="194"/>
    </row>
    <row r="165" spans="1:100" x14ac:dyDescent="0.2">
      <c r="A165" s="2434" t="s">
        <v>2454</v>
      </c>
      <c r="B165" s="212"/>
      <c r="C165" s="212"/>
      <c r="D165" s="212"/>
      <c r="E165" s="212"/>
      <c r="F165" s="212"/>
      <c r="G165" s="212"/>
      <c r="H165" s="1048"/>
      <c r="I165" s="767"/>
      <c r="J165" s="767"/>
      <c r="K165" s="767"/>
      <c r="L165" s="767"/>
      <c r="M165" s="1048"/>
      <c r="N165" s="767"/>
      <c r="O165" s="767"/>
      <c r="P165" s="767"/>
      <c r="Q165" s="767"/>
      <c r="R165" s="1048"/>
      <c r="S165" s="767"/>
      <c r="T165" s="767"/>
      <c r="U165" s="767"/>
      <c r="V165" s="767"/>
      <c r="W165" s="1048"/>
      <c r="X165" s="767"/>
      <c r="Y165" s="767"/>
      <c r="Z165" s="767"/>
      <c r="AA165" s="767"/>
      <c r="AB165" s="1048"/>
      <c r="AC165" s="767"/>
      <c r="AD165" s="767"/>
      <c r="AE165" s="767"/>
      <c r="AF165" s="767"/>
      <c r="AG165" s="1048"/>
      <c r="AH165" s="767"/>
      <c r="AI165" s="767"/>
      <c r="AJ165" s="767"/>
      <c r="AK165" s="767"/>
      <c r="AL165" s="1048"/>
      <c r="AM165" s="767"/>
      <c r="AN165" s="767"/>
      <c r="AO165" s="767"/>
      <c r="AP165" s="767"/>
      <c r="AQ165" s="1048"/>
      <c r="AR165" s="767"/>
      <c r="AS165" s="767"/>
      <c r="AT165" s="767"/>
      <c r="AU165" s="767"/>
      <c r="AV165" s="1048"/>
      <c r="AW165" s="767"/>
      <c r="AX165" s="767"/>
      <c r="AY165" s="767"/>
      <c r="AZ165" s="767"/>
      <c r="BA165" s="1048"/>
      <c r="BB165" s="767"/>
      <c r="BC165" s="767"/>
      <c r="BD165" s="767"/>
      <c r="BE165" s="767"/>
      <c r="BF165" s="1048"/>
      <c r="BG165" s="767"/>
      <c r="BH165" s="767"/>
      <c r="BI165" s="767"/>
      <c r="BJ165" s="767"/>
      <c r="BK165" s="1048"/>
      <c r="BL165" s="767"/>
      <c r="BM165" s="767"/>
      <c r="BN165" s="767"/>
      <c r="BO165" s="767"/>
      <c r="BP165" s="1048"/>
      <c r="BQ165" s="767"/>
      <c r="BR165" s="767"/>
      <c r="BS165" s="767"/>
      <c r="BT165" s="767"/>
      <c r="BU165" s="1048"/>
      <c r="BV165" s="767"/>
      <c r="BW165" s="767"/>
      <c r="BX165" s="767"/>
      <c r="BY165" s="767"/>
      <c r="BZ165" s="1048"/>
      <c r="CA165" s="767"/>
      <c r="CB165" s="767"/>
      <c r="CC165" s="767"/>
      <c r="CD165" s="767"/>
      <c r="CE165" s="1048"/>
      <c r="CF165" s="767"/>
      <c r="CG165" s="3008"/>
      <c r="CH165" s="845">
        <v>6</v>
      </c>
      <c r="CI165" s="845">
        <v>6</v>
      </c>
      <c r="CJ165" s="752">
        <f>+CI165</f>
        <v>6</v>
      </c>
      <c r="CK165" s="844">
        <v>6</v>
      </c>
      <c r="CL165" s="844">
        <v>6</v>
      </c>
      <c r="CM165" s="844">
        <v>6</v>
      </c>
      <c r="CN165" s="844">
        <v>6</v>
      </c>
      <c r="CO165" s="752">
        <f>+CN165</f>
        <v>6</v>
      </c>
      <c r="CP165" s="844"/>
      <c r="CQ165" s="844"/>
      <c r="CR165" s="212"/>
      <c r="CS165" s="212"/>
      <c r="CT165" s="194"/>
      <c r="CU165" s="194"/>
      <c r="CV165" s="194"/>
    </row>
    <row r="166" spans="1:100" x14ac:dyDescent="0.2">
      <c r="A166" s="2434" t="s">
        <v>2455</v>
      </c>
      <c r="B166" s="212"/>
      <c r="C166" s="212"/>
      <c r="D166" s="212"/>
      <c r="E166" s="212"/>
      <c r="F166" s="212"/>
      <c r="G166" s="212"/>
      <c r="H166" s="1048"/>
      <c r="I166" s="767"/>
      <c r="J166" s="767"/>
      <c r="K166" s="767"/>
      <c r="L166" s="767"/>
      <c r="M166" s="1048"/>
      <c r="N166" s="767"/>
      <c r="O166" s="767"/>
      <c r="P166" s="767"/>
      <c r="Q166" s="767"/>
      <c r="R166" s="1048"/>
      <c r="S166" s="767"/>
      <c r="T166" s="767"/>
      <c r="U166" s="767"/>
      <c r="V166" s="767"/>
      <c r="W166" s="1048"/>
      <c r="X166" s="767"/>
      <c r="Y166" s="767"/>
      <c r="Z166" s="767"/>
      <c r="AA166" s="767"/>
      <c r="AB166" s="1048"/>
      <c r="AC166" s="767"/>
      <c r="AD166" s="767"/>
      <c r="AE166" s="767"/>
      <c r="AF166" s="767"/>
      <c r="AG166" s="1048"/>
      <c r="AH166" s="767"/>
      <c r="AI166" s="767"/>
      <c r="AJ166" s="767"/>
      <c r="AK166" s="767"/>
      <c r="AL166" s="1048"/>
      <c r="AM166" s="767"/>
      <c r="AN166" s="767"/>
      <c r="AO166" s="767"/>
      <c r="AP166" s="767"/>
      <c r="AQ166" s="1048"/>
      <c r="AR166" s="767"/>
      <c r="AS166" s="767"/>
      <c r="AT166" s="767"/>
      <c r="AU166" s="767"/>
      <c r="AV166" s="1048"/>
      <c r="AW166" s="767"/>
      <c r="AX166" s="767"/>
      <c r="AY166" s="767"/>
      <c r="AZ166" s="767"/>
      <c r="BA166" s="1048"/>
      <c r="BB166" s="767"/>
      <c r="BC166" s="767"/>
      <c r="BD166" s="767"/>
      <c r="BE166" s="767"/>
      <c r="BF166" s="1048"/>
      <c r="BG166" s="767"/>
      <c r="BH166" s="767"/>
      <c r="BI166" s="767"/>
      <c r="BJ166" s="767"/>
      <c r="BK166" s="1048"/>
      <c r="BL166" s="767"/>
      <c r="BM166" s="767"/>
      <c r="BN166" s="767"/>
      <c r="BO166" s="767"/>
      <c r="BP166" s="1048"/>
      <c r="BQ166" s="767"/>
      <c r="BR166" s="767"/>
      <c r="BS166" s="767"/>
      <c r="BT166" s="767"/>
      <c r="BU166" s="1048"/>
      <c r="BV166" s="767"/>
      <c r="BW166" s="767"/>
      <c r="BX166" s="767"/>
      <c r="BY166" s="767"/>
      <c r="BZ166" s="1048"/>
      <c r="CA166" s="767"/>
      <c r="CB166" s="767"/>
      <c r="CC166" s="767"/>
      <c r="CD166" s="767"/>
      <c r="CE166" s="1048"/>
      <c r="CF166" s="767"/>
      <c r="CG166" s="3008"/>
      <c r="CH166" s="845">
        <v>1</v>
      </c>
      <c r="CI166" s="845">
        <v>1</v>
      </c>
      <c r="CJ166" s="752">
        <f t="shared" ref="CJ166:CJ175" si="150">+CI166</f>
        <v>1</v>
      </c>
      <c r="CK166" s="844">
        <v>1</v>
      </c>
      <c r="CL166" s="844">
        <v>1</v>
      </c>
      <c r="CM166" s="844">
        <v>1</v>
      </c>
      <c r="CN166" s="844">
        <v>1</v>
      </c>
      <c r="CO166" s="752">
        <f t="shared" ref="CO166:CO175" si="151">+CN166</f>
        <v>1</v>
      </c>
      <c r="CP166" s="844"/>
      <c r="CQ166" s="844"/>
      <c r="CR166" s="212"/>
      <c r="CS166" s="212"/>
      <c r="CT166" s="194"/>
      <c r="CU166" s="194"/>
      <c r="CV166" s="194"/>
    </row>
    <row r="167" spans="1:100" x14ac:dyDescent="0.2">
      <c r="A167" s="2434" t="s">
        <v>2456</v>
      </c>
      <c r="B167" s="212"/>
      <c r="C167" s="212"/>
      <c r="D167" s="212"/>
      <c r="E167" s="212"/>
      <c r="F167" s="212"/>
      <c r="G167" s="212"/>
      <c r="H167" s="1048"/>
      <c r="I167" s="767"/>
      <c r="J167" s="767"/>
      <c r="K167" s="767"/>
      <c r="L167" s="767"/>
      <c r="M167" s="1048"/>
      <c r="N167" s="767"/>
      <c r="O167" s="767"/>
      <c r="P167" s="767"/>
      <c r="Q167" s="767"/>
      <c r="R167" s="1048"/>
      <c r="S167" s="767"/>
      <c r="T167" s="767"/>
      <c r="U167" s="767"/>
      <c r="V167" s="767"/>
      <c r="W167" s="1048"/>
      <c r="X167" s="767"/>
      <c r="Y167" s="767"/>
      <c r="Z167" s="767"/>
      <c r="AA167" s="767"/>
      <c r="AB167" s="1048"/>
      <c r="AC167" s="767"/>
      <c r="AD167" s="767"/>
      <c r="AE167" s="767"/>
      <c r="AF167" s="767"/>
      <c r="AG167" s="1048"/>
      <c r="AH167" s="767"/>
      <c r="AI167" s="767"/>
      <c r="AJ167" s="767"/>
      <c r="AK167" s="767"/>
      <c r="AL167" s="1048"/>
      <c r="AM167" s="767"/>
      <c r="AN167" s="767"/>
      <c r="AO167" s="767"/>
      <c r="AP167" s="767"/>
      <c r="AQ167" s="1048"/>
      <c r="AR167" s="767"/>
      <c r="AS167" s="767"/>
      <c r="AT167" s="767"/>
      <c r="AU167" s="767"/>
      <c r="AV167" s="1048"/>
      <c r="AW167" s="767"/>
      <c r="AX167" s="767"/>
      <c r="AY167" s="767"/>
      <c r="AZ167" s="767"/>
      <c r="BA167" s="1048"/>
      <c r="BB167" s="767"/>
      <c r="BC167" s="767"/>
      <c r="BD167" s="767"/>
      <c r="BE167" s="767"/>
      <c r="BF167" s="1048"/>
      <c r="BG167" s="767"/>
      <c r="BH167" s="767"/>
      <c r="BI167" s="767"/>
      <c r="BJ167" s="767"/>
      <c r="BK167" s="1048"/>
      <c r="BL167" s="767"/>
      <c r="BM167" s="767"/>
      <c r="BN167" s="767"/>
      <c r="BO167" s="767"/>
      <c r="BP167" s="1048"/>
      <c r="BQ167" s="767"/>
      <c r="BR167" s="767"/>
      <c r="BS167" s="767"/>
      <c r="BT167" s="767"/>
      <c r="BU167" s="1048"/>
      <c r="BV167" s="767"/>
      <c r="BW167" s="767"/>
      <c r="BX167" s="767"/>
      <c r="BY167" s="767"/>
      <c r="BZ167" s="1048"/>
      <c r="CA167" s="767"/>
      <c r="CB167" s="767"/>
      <c r="CC167" s="767"/>
      <c r="CD167" s="767"/>
      <c r="CE167" s="1048"/>
      <c r="CF167" s="767"/>
      <c r="CG167" s="3008"/>
      <c r="CH167" s="845">
        <v>0</v>
      </c>
      <c r="CI167" s="845">
        <v>0</v>
      </c>
      <c r="CJ167" s="752">
        <f t="shared" si="150"/>
        <v>0</v>
      </c>
      <c r="CK167" s="844">
        <v>0</v>
      </c>
      <c r="CL167" s="844">
        <v>0</v>
      </c>
      <c r="CM167" s="844">
        <v>0</v>
      </c>
      <c r="CN167" s="844">
        <v>0</v>
      </c>
      <c r="CO167" s="752">
        <f t="shared" si="151"/>
        <v>0</v>
      </c>
      <c r="CP167" s="844"/>
      <c r="CQ167" s="844"/>
      <c r="CR167" s="212"/>
      <c r="CS167" s="212"/>
      <c r="CT167" s="194"/>
      <c r="CU167" s="194"/>
      <c r="CV167" s="194"/>
    </row>
    <row r="168" spans="1:100" x14ac:dyDescent="0.2">
      <c r="A168" s="2434" t="s">
        <v>2457</v>
      </c>
      <c r="B168" s="212"/>
      <c r="C168" s="212"/>
      <c r="D168" s="212"/>
      <c r="E168" s="212"/>
      <c r="F168" s="212"/>
      <c r="G168" s="212"/>
      <c r="H168" s="1048"/>
      <c r="I168" s="767"/>
      <c r="J168" s="767"/>
      <c r="K168" s="767"/>
      <c r="L168" s="767"/>
      <c r="M168" s="1048"/>
      <c r="N168" s="767"/>
      <c r="O168" s="767"/>
      <c r="P168" s="767"/>
      <c r="Q168" s="767"/>
      <c r="R168" s="1048"/>
      <c r="S168" s="767"/>
      <c r="T168" s="767"/>
      <c r="U168" s="767"/>
      <c r="V168" s="767"/>
      <c r="W168" s="1048"/>
      <c r="X168" s="767"/>
      <c r="Y168" s="767"/>
      <c r="Z168" s="767"/>
      <c r="AA168" s="767"/>
      <c r="AB168" s="1048"/>
      <c r="AC168" s="767"/>
      <c r="AD168" s="767"/>
      <c r="AE168" s="767"/>
      <c r="AF168" s="767"/>
      <c r="AG168" s="1048"/>
      <c r="AH168" s="767"/>
      <c r="AI168" s="767"/>
      <c r="AJ168" s="767"/>
      <c r="AK168" s="767"/>
      <c r="AL168" s="1048"/>
      <c r="AM168" s="767"/>
      <c r="AN168" s="767"/>
      <c r="AO168" s="767"/>
      <c r="AP168" s="767"/>
      <c r="AQ168" s="1048"/>
      <c r="AR168" s="767"/>
      <c r="AS168" s="767"/>
      <c r="AT168" s="767"/>
      <c r="AU168" s="767"/>
      <c r="AV168" s="1048"/>
      <c r="AW168" s="767"/>
      <c r="AX168" s="767"/>
      <c r="AY168" s="767"/>
      <c r="AZ168" s="767"/>
      <c r="BA168" s="1048"/>
      <c r="BB168" s="767"/>
      <c r="BC168" s="767"/>
      <c r="BD168" s="767"/>
      <c r="BE168" s="767"/>
      <c r="BF168" s="1048"/>
      <c r="BG168" s="767"/>
      <c r="BH168" s="767"/>
      <c r="BI168" s="767"/>
      <c r="BJ168" s="767"/>
      <c r="BK168" s="1048"/>
      <c r="BL168" s="767"/>
      <c r="BM168" s="767"/>
      <c r="BN168" s="767"/>
      <c r="BO168" s="767"/>
      <c r="BP168" s="1048"/>
      <c r="BQ168" s="767"/>
      <c r="BR168" s="767"/>
      <c r="BS168" s="767"/>
      <c r="BT168" s="767"/>
      <c r="BU168" s="1048"/>
      <c r="BV168" s="767"/>
      <c r="BW168" s="767"/>
      <c r="BX168" s="767"/>
      <c r="BY168" s="767"/>
      <c r="BZ168" s="1048"/>
      <c r="CA168" s="767"/>
      <c r="CB168" s="767"/>
      <c r="CC168" s="767"/>
      <c r="CD168" s="767"/>
      <c r="CE168" s="1048"/>
      <c r="CF168" s="767"/>
      <c r="CG168" s="3008"/>
      <c r="CH168" s="845">
        <v>2</v>
      </c>
      <c r="CI168" s="845">
        <v>2</v>
      </c>
      <c r="CJ168" s="752">
        <f t="shared" si="150"/>
        <v>2</v>
      </c>
      <c r="CK168" s="844">
        <v>2</v>
      </c>
      <c r="CL168" s="844">
        <v>2</v>
      </c>
      <c r="CM168" s="844">
        <v>2</v>
      </c>
      <c r="CN168" s="844">
        <v>2</v>
      </c>
      <c r="CO168" s="752">
        <f t="shared" si="151"/>
        <v>2</v>
      </c>
      <c r="CP168" s="844"/>
      <c r="CQ168" s="844"/>
      <c r="CR168" s="212"/>
      <c r="CS168" s="212"/>
      <c r="CT168" s="194"/>
      <c r="CU168" s="194"/>
      <c r="CV168" s="194"/>
    </row>
    <row r="169" spans="1:100" x14ac:dyDescent="0.2">
      <c r="A169" s="2434" t="s">
        <v>2458</v>
      </c>
      <c r="B169" s="212"/>
      <c r="C169" s="212"/>
      <c r="D169" s="212"/>
      <c r="E169" s="212"/>
      <c r="F169" s="212"/>
      <c r="G169" s="212"/>
      <c r="H169" s="1048"/>
      <c r="I169" s="767"/>
      <c r="J169" s="767"/>
      <c r="K169" s="767"/>
      <c r="L169" s="767"/>
      <c r="M169" s="1048"/>
      <c r="N169" s="767"/>
      <c r="O169" s="767"/>
      <c r="P169" s="767"/>
      <c r="Q169" s="767"/>
      <c r="R169" s="1048"/>
      <c r="S169" s="767"/>
      <c r="T169" s="767"/>
      <c r="U169" s="767"/>
      <c r="V169" s="767"/>
      <c r="W169" s="1048"/>
      <c r="X169" s="767"/>
      <c r="Y169" s="767"/>
      <c r="Z169" s="767"/>
      <c r="AA169" s="767"/>
      <c r="AB169" s="1048"/>
      <c r="AC169" s="767"/>
      <c r="AD169" s="767"/>
      <c r="AE169" s="767"/>
      <c r="AF169" s="767"/>
      <c r="AG169" s="1048"/>
      <c r="AH169" s="767"/>
      <c r="AI169" s="767"/>
      <c r="AJ169" s="767"/>
      <c r="AK169" s="767"/>
      <c r="AL169" s="1048"/>
      <c r="AM169" s="767"/>
      <c r="AN169" s="767"/>
      <c r="AO169" s="767"/>
      <c r="AP169" s="767"/>
      <c r="AQ169" s="1048"/>
      <c r="AR169" s="767"/>
      <c r="AS169" s="767"/>
      <c r="AT169" s="767"/>
      <c r="AU169" s="767"/>
      <c r="AV169" s="1048"/>
      <c r="AW169" s="767"/>
      <c r="AX169" s="767"/>
      <c r="AY169" s="767"/>
      <c r="AZ169" s="767"/>
      <c r="BA169" s="1048"/>
      <c r="BB169" s="767"/>
      <c r="BC169" s="767"/>
      <c r="BD169" s="767"/>
      <c r="BE169" s="767"/>
      <c r="BF169" s="1048"/>
      <c r="BG169" s="767"/>
      <c r="BH169" s="767"/>
      <c r="BI169" s="767"/>
      <c r="BJ169" s="767"/>
      <c r="BK169" s="1048"/>
      <c r="BL169" s="767"/>
      <c r="BM169" s="767"/>
      <c r="BN169" s="767"/>
      <c r="BO169" s="767"/>
      <c r="BP169" s="1048"/>
      <c r="BQ169" s="767"/>
      <c r="BR169" s="767"/>
      <c r="BS169" s="767"/>
      <c r="BT169" s="767"/>
      <c r="BU169" s="1048"/>
      <c r="BV169" s="767"/>
      <c r="BW169" s="767"/>
      <c r="BX169" s="767"/>
      <c r="BY169" s="767"/>
      <c r="BZ169" s="1048"/>
      <c r="CA169" s="767"/>
      <c r="CB169" s="767"/>
      <c r="CC169" s="767"/>
      <c r="CD169" s="767"/>
      <c r="CE169" s="1048"/>
      <c r="CF169" s="767"/>
      <c r="CG169" s="3008"/>
      <c r="CH169" s="845">
        <v>3</v>
      </c>
      <c r="CI169" s="845">
        <v>3</v>
      </c>
      <c r="CJ169" s="752">
        <f t="shared" si="150"/>
        <v>3</v>
      </c>
      <c r="CK169" s="844">
        <v>3</v>
      </c>
      <c r="CL169" s="844">
        <v>3</v>
      </c>
      <c r="CM169" s="844">
        <v>3</v>
      </c>
      <c r="CN169" s="844">
        <v>3</v>
      </c>
      <c r="CO169" s="752">
        <f t="shared" si="151"/>
        <v>3</v>
      </c>
      <c r="CP169" s="844"/>
      <c r="CQ169" s="844"/>
      <c r="CR169" s="212"/>
      <c r="CS169" s="212"/>
      <c r="CT169" s="194"/>
      <c r="CU169" s="194"/>
      <c r="CV169" s="194"/>
    </row>
    <row r="170" spans="1:100" x14ac:dyDescent="0.2">
      <c r="A170" s="2434" t="s">
        <v>2459</v>
      </c>
      <c r="B170" s="212"/>
      <c r="C170" s="212"/>
      <c r="D170" s="212"/>
      <c r="E170" s="212"/>
      <c r="F170" s="212"/>
      <c r="G170" s="212"/>
      <c r="H170" s="1048"/>
      <c r="I170" s="767"/>
      <c r="J170" s="767"/>
      <c r="K170" s="767"/>
      <c r="L170" s="767"/>
      <c r="M170" s="1048"/>
      <c r="N170" s="767"/>
      <c r="O170" s="767"/>
      <c r="P170" s="767"/>
      <c r="Q170" s="767"/>
      <c r="R170" s="1048"/>
      <c r="S170" s="767"/>
      <c r="T170" s="767"/>
      <c r="U170" s="767"/>
      <c r="V170" s="767"/>
      <c r="W170" s="1048"/>
      <c r="X170" s="767"/>
      <c r="Y170" s="767"/>
      <c r="Z170" s="767"/>
      <c r="AA170" s="767"/>
      <c r="AB170" s="1048"/>
      <c r="AC170" s="767"/>
      <c r="AD170" s="767"/>
      <c r="AE170" s="767"/>
      <c r="AF170" s="767"/>
      <c r="AG170" s="1048"/>
      <c r="AH170" s="767"/>
      <c r="AI170" s="767"/>
      <c r="AJ170" s="767"/>
      <c r="AK170" s="767"/>
      <c r="AL170" s="1048"/>
      <c r="AM170" s="767"/>
      <c r="AN170" s="767"/>
      <c r="AO170" s="767"/>
      <c r="AP170" s="767"/>
      <c r="AQ170" s="1048"/>
      <c r="AR170" s="767"/>
      <c r="AS170" s="767"/>
      <c r="AT170" s="767"/>
      <c r="AU170" s="767"/>
      <c r="AV170" s="1048"/>
      <c r="AW170" s="767"/>
      <c r="AX170" s="767"/>
      <c r="AY170" s="767"/>
      <c r="AZ170" s="767"/>
      <c r="BA170" s="1048"/>
      <c r="BB170" s="767"/>
      <c r="BC170" s="767"/>
      <c r="BD170" s="767"/>
      <c r="BE170" s="767"/>
      <c r="BF170" s="1048"/>
      <c r="BG170" s="767"/>
      <c r="BH170" s="767"/>
      <c r="BI170" s="767"/>
      <c r="BJ170" s="767"/>
      <c r="BK170" s="1048"/>
      <c r="BL170" s="767"/>
      <c r="BM170" s="767"/>
      <c r="BN170" s="767"/>
      <c r="BO170" s="767"/>
      <c r="BP170" s="1048"/>
      <c r="BQ170" s="767"/>
      <c r="BR170" s="767"/>
      <c r="BS170" s="767"/>
      <c r="BT170" s="767"/>
      <c r="BU170" s="1048"/>
      <c r="BV170" s="767"/>
      <c r="BW170" s="767"/>
      <c r="BX170" s="767"/>
      <c r="BY170" s="767"/>
      <c r="BZ170" s="1048"/>
      <c r="CA170" s="767"/>
      <c r="CB170" s="767"/>
      <c r="CC170" s="767"/>
      <c r="CD170" s="767"/>
      <c r="CE170" s="1048"/>
      <c r="CF170" s="767"/>
      <c r="CG170" s="3008"/>
      <c r="CH170" s="845">
        <v>1</v>
      </c>
      <c r="CI170" s="845">
        <v>1</v>
      </c>
      <c r="CJ170" s="752">
        <f t="shared" si="150"/>
        <v>1</v>
      </c>
      <c r="CK170" s="844">
        <v>1</v>
      </c>
      <c r="CL170" s="844">
        <v>1</v>
      </c>
      <c r="CM170" s="844">
        <v>1</v>
      </c>
      <c r="CN170" s="844">
        <v>1</v>
      </c>
      <c r="CO170" s="752">
        <f t="shared" si="151"/>
        <v>1</v>
      </c>
      <c r="CP170" s="844"/>
      <c r="CQ170" s="844"/>
      <c r="CR170" s="212"/>
      <c r="CS170" s="212"/>
      <c r="CT170" s="194"/>
      <c r="CU170" s="194"/>
      <c r="CV170" s="194"/>
    </row>
    <row r="171" spans="1:100" x14ac:dyDescent="0.2">
      <c r="A171" s="2434" t="s">
        <v>2460</v>
      </c>
      <c r="B171" s="212"/>
      <c r="C171" s="212"/>
      <c r="D171" s="212"/>
      <c r="E171" s="212"/>
      <c r="F171" s="212"/>
      <c r="G171" s="212"/>
      <c r="H171" s="1048"/>
      <c r="I171" s="767"/>
      <c r="J171" s="767"/>
      <c r="K171" s="767"/>
      <c r="L171" s="767"/>
      <c r="M171" s="1048"/>
      <c r="N171" s="767"/>
      <c r="O171" s="767"/>
      <c r="P171" s="767"/>
      <c r="Q171" s="767"/>
      <c r="R171" s="1048"/>
      <c r="S171" s="767"/>
      <c r="T171" s="767"/>
      <c r="U171" s="767"/>
      <c r="V171" s="767"/>
      <c r="W171" s="1048"/>
      <c r="X171" s="767"/>
      <c r="Y171" s="767"/>
      <c r="Z171" s="767"/>
      <c r="AA171" s="767"/>
      <c r="AB171" s="1048"/>
      <c r="AC171" s="767"/>
      <c r="AD171" s="767"/>
      <c r="AE171" s="767"/>
      <c r="AF171" s="767"/>
      <c r="AG171" s="1048"/>
      <c r="AH171" s="767"/>
      <c r="AI171" s="767"/>
      <c r="AJ171" s="767"/>
      <c r="AK171" s="767"/>
      <c r="AL171" s="1048"/>
      <c r="AM171" s="767"/>
      <c r="AN171" s="767"/>
      <c r="AO171" s="767"/>
      <c r="AP171" s="767"/>
      <c r="AQ171" s="1048"/>
      <c r="AR171" s="767"/>
      <c r="AS171" s="767"/>
      <c r="AT171" s="767"/>
      <c r="AU171" s="767"/>
      <c r="AV171" s="1048"/>
      <c r="AW171" s="767"/>
      <c r="AX171" s="767"/>
      <c r="AY171" s="767"/>
      <c r="AZ171" s="767"/>
      <c r="BA171" s="1048"/>
      <c r="BB171" s="767"/>
      <c r="BC171" s="767"/>
      <c r="BD171" s="767"/>
      <c r="BE171" s="767"/>
      <c r="BF171" s="1048"/>
      <c r="BG171" s="767"/>
      <c r="BH171" s="767"/>
      <c r="BI171" s="767"/>
      <c r="BJ171" s="767"/>
      <c r="BK171" s="1048"/>
      <c r="BL171" s="767"/>
      <c r="BM171" s="767"/>
      <c r="BN171" s="767"/>
      <c r="BO171" s="767"/>
      <c r="BP171" s="1048"/>
      <c r="BQ171" s="767"/>
      <c r="BR171" s="767"/>
      <c r="BS171" s="767"/>
      <c r="BT171" s="767"/>
      <c r="BU171" s="1048"/>
      <c r="BV171" s="767"/>
      <c r="BW171" s="767"/>
      <c r="BX171" s="767"/>
      <c r="BY171" s="767"/>
      <c r="BZ171" s="1048"/>
      <c r="CA171" s="767"/>
      <c r="CB171" s="767"/>
      <c r="CC171" s="767"/>
      <c r="CD171" s="767"/>
      <c r="CE171" s="1048"/>
      <c r="CF171" s="767"/>
      <c r="CG171" s="3008"/>
      <c r="CH171" s="845">
        <v>0</v>
      </c>
      <c r="CI171" s="845">
        <v>0</v>
      </c>
      <c r="CJ171" s="752">
        <f t="shared" si="150"/>
        <v>0</v>
      </c>
      <c r="CK171" s="844">
        <v>0</v>
      </c>
      <c r="CL171" s="844">
        <v>0</v>
      </c>
      <c r="CM171" s="844">
        <v>0</v>
      </c>
      <c r="CN171" s="844">
        <v>0</v>
      </c>
      <c r="CO171" s="752">
        <f t="shared" si="151"/>
        <v>0</v>
      </c>
      <c r="CP171" s="844"/>
      <c r="CQ171" s="844"/>
      <c r="CR171" s="212"/>
      <c r="CS171" s="212"/>
      <c r="CT171" s="194"/>
      <c r="CU171" s="194"/>
      <c r="CV171" s="194"/>
    </row>
    <row r="172" spans="1:100" x14ac:dyDescent="0.2">
      <c r="A172" s="2434" t="s">
        <v>2464</v>
      </c>
      <c r="B172" s="212"/>
      <c r="C172" s="212"/>
      <c r="D172" s="212"/>
      <c r="E172" s="212"/>
      <c r="F172" s="212"/>
      <c r="G172" s="212"/>
      <c r="H172" s="1048"/>
      <c r="I172" s="767"/>
      <c r="J172" s="767"/>
      <c r="K172" s="767"/>
      <c r="L172" s="767"/>
      <c r="M172" s="1048"/>
      <c r="N172" s="767"/>
      <c r="O172" s="767"/>
      <c r="P172" s="767"/>
      <c r="Q172" s="767"/>
      <c r="R172" s="1048"/>
      <c r="S172" s="767"/>
      <c r="T172" s="767"/>
      <c r="U172" s="767"/>
      <c r="V172" s="767"/>
      <c r="W172" s="1048"/>
      <c r="X172" s="767"/>
      <c r="Y172" s="767"/>
      <c r="Z172" s="767"/>
      <c r="AA172" s="767"/>
      <c r="AB172" s="1048"/>
      <c r="AC172" s="767"/>
      <c r="AD172" s="767"/>
      <c r="AE172" s="767"/>
      <c r="AF172" s="767"/>
      <c r="AG172" s="1048"/>
      <c r="AH172" s="767"/>
      <c r="AI172" s="767"/>
      <c r="AJ172" s="767"/>
      <c r="AK172" s="767"/>
      <c r="AL172" s="1048"/>
      <c r="AM172" s="767"/>
      <c r="AN172" s="767"/>
      <c r="AO172" s="767"/>
      <c r="AP172" s="767"/>
      <c r="AQ172" s="1048"/>
      <c r="AR172" s="767"/>
      <c r="AS172" s="767"/>
      <c r="AT172" s="767"/>
      <c r="AU172" s="767"/>
      <c r="AV172" s="1048"/>
      <c r="AW172" s="767"/>
      <c r="AX172" s="767"/>
      <c r="AY172" s="767"/>
      <c r="AZ172" s="767"/>
      <c r="BA172" s="1048"/>
      <c r="BB172" s="767"/>
      <c r="BC172" s="767"/>
      <c r="BD172" s="767"/>
      <c r="BE172" s="767"/>
      <c r="BF172" s="1048"/>
      <c r="BG172" s="767"/>
      <c r="BH172" s="767"/>
      <c r="BI172" s="767"/>
      <c r="BJ172" s="767"/>
      <c r="BK172" s="1048"/>
      <c r="BL172" s="767"/>
      <c r="BM172" s="767"/>
      <c r="BN172" s="767"/>
      <c r="BO172" s="767"/>
      <c r="BP172" s="1048"/>
      <c r="BQ172" s="767"/>
      <c r="BR172" s="767"/>
      <c r="BS172" s="767"/>
      <c r="BT172" s="767"/>
      <c r="BU172" s="1048"/>
      <c r="BV172" s="767"/>
      <c r="BW172" s="767"/>
      <c r="BX172" s="767"/>
      <c r="BY172" s="767"/>
      <c r="BZ172" s="1048"/>
      <c r="CA172" s="767"/>
      <c r="CB172" s="767"/>
      <c r="CC172" s="767"/>
      <c r="CD172" s="767"/>
      <c r="CE172" s="1048"/>
      <c r="CF172" s="767"/>
      <c r="CG172" s="3008"/>
      <c r="CH172" s="845">
        <v>0</v>
      </c>
      <c r="CI172" s="845">
        <v>0</v>
      </c>
      <c r="CJ172" s="752">
        <f t="shared" si="150"/>
        <v>0</v>
      </c>
      <c r="CK172" s="844">
        <v>0</v>
      </c>
      <c r="CL172" s="844">
        <v>0</v>
      </c>
      <c r="CM172" s="844">
        <v>0</v>
      </c>
      <c r="CN172" s="844">
        <v>0</v>
      </c>
      <c r="CO172" s="752">
        <f t="shared" si="151"/>
        <v>0</v>
      </c>
      <c r="CP172" s="844"/>
      <c r="CQ172" s="844"/>
      <c r="CR172" s="212"/>
      <c r="CS172" s="212"/>
      <c r="CT172" s="194"/>
      <c r="CU172" s="194"/>
      <c r="CV172" s="194"/>
    </row>
    <row r="173" spans="1:100" x14ac:dyDescent="0.2">
      <c r="A173" s="2434" t="s">
        <v>2462</v>
      </c>
      <c r="B173" s="212"/>
      <c r="C173" s="212"/>
      <c r="D173" s="212"/>
      <c r="E173" s="212"/>
      <c r="F173" s="212"/>
      <c r="G173" s="212"/>
      <c r="H173" s="1048"/>
      <c r="I173" s="767"/>
      <c r="J173" s="767"/>
      <c r="K173" s="767"/>
      <c r="L173" s="767"/>
      <c r="M173" s="1048"/>
      <c r="N173" s="767"/>
      <c r="O173" s="767"/>
      <c r="P173" s="767"/>
      <c r="Q173" s="767"/>
      <c r="R173" s="1048"/>
      <c r="S173" s="767"/>
      <c r="T173" s="767"/>
      <c r="U173" s="767"/>
      <c r="V173" s="767"/>
      <c r="W173" s="1048"/>
      <c r="X173" s="767"/>
      <c r="Y173" s="767"/>
      <c r="Z173" s="767"/>
      <c r="AA173" s="767"/>
      <c r="AB173" s="1048"/>
      <c r="AC173" s="767"/>
      <c r="AD173" s="767"/>
      <c r="AE173" s="767"/>
      <c r="AF173" s="767"/>
      <c r="AG173" s="1048"/>
      <c r="AH173" s="767"/>
      <c r="AI173" s="767"/>
      <c r="AJ173" s="767"/>
      <c r="AK173" s="767"/>
      <c r="AL173" s="1048"/>
      <c r="AM173" s="767"/>
      <c r="AN173" s="767"/>
      <c r="AO173" s="767"/>
      <c r="AP173" s="767"/>
      <c r="AQ173" s="1048"/>
      <c r="AR173" s="767"/>
      <c r="AS173" s="767"/>
      <c r="AT173" s="767"/>
      <c r="AU173" s="767"/>
      <c r="AV173" s="1048"/>
      <c r="AW173" s="767"/>
      <c r="AX173" s="767"/>
      <c r="AY173" s="767"/>
      <c r="AZ173" s="767"/>
      <c r="BA173" s="1048"/>
      <c r="BB173" s="767"/>
      <c r="BC173" s="767"/>
      <c r="BD173" s="767"/>
      <c r="BE173" s="767"/>
      <c r="BF173" s="1048"/>
      <c r="BG173" s="767"/>
      <c r="BH173" s="767"/>
      <c r="BI173" s="767"/>
      <c r="BJ173" s="767"/>
      <c r="BK173" s="1048"/>
      <c r="BL173" s="767"/>
      <c r="BM173" s="767"/>
      <c r="BN173" s="767"/>
      <c r="BO173" s="767"/>
      <c r="BP173" s="1048"/>
      <c r="BQ173" s="767"/>
      <c r="BR173" s="767"/>
      <c r="BS173" s="767"/>
      <c r="BT173" s="767"/>
      <c r="BU173" s="1048"/>
      <c r="BV173" s="767"/>
      <c r="BW173" s="767"/>
      <c r="BX173" s="767"/>
      <c r="BY173" s="767"/>
      <c r="BZ173" s="1048"/>
      <c r="CA173" s="767"/>
      <c r="CB173" s="767"/>
      <c r="CC173" s="767"/>
      <c r="CD173" s="767"/>
      <c r="CE173" s="1048"/>
      <c r="CF173" s="767"/>
      <c r="CG173" s="3008"/>
      <c r="CH173" s="845">
        <v>0</v>
      </c>
      <c r="CI173" s="845">
        <v>0</v>
      </c>
      <c r="CJ173" s="752">
        <f t="shared" si="150"/>
        <v>0</v>
      </c>
      <c r="CK173" s="844">
        <v>0</v>
      </c>
      <c r="CL173" s="844">
        <v>0</v>
      </c>
      <c r="CM173" s="844">
        <v>0</v>
      </c>
      <c r="CN173" s="844">
        <v>0</v>
      </c>
      <c r="CO173" s="752">
        <f t="shared" si="151"/>
        <v>0</v>
      </c>
      <c r="CP173" s="844"/>
      <c r="CQ173" s="844"/>
      <c r="CR173" s="212"/>
      <c r="CS173" s="212"/>
      <c r="CT173" s="194"/>
      <c r="CU173" s="194"/>
      <c r="CV173" s="194"/>
    </row>
    <row r="174" spans="1:100" x14ac:dyDescent="0.2">
      <c r="A174" s="2434" t="s">
        <v>2463</v>
      </c>
      <c r="B174" s="212"/>
      <c r="C174" s="212"/>
      <c r="D174" s="212"/>
      <c r="E174" s="212"/>
      <c r="F174" s="212"/>
      <c r="G174" s="212"/>
      <c r="H174" s="1048"/>
      <c r="I174" s="767"/>
      <c r="J174" s="767"/>
      <c r="K174" s="767"/>
      <c r="L174" s="767"/>
      <c r="M174" s="1048"/>
      <c r="N174" s="767"/>
      <c r="O174" s="767"/>
      <c r="P174" s="767"/>
      <c r="Q174" s="767"/>
      <c r="R174" s="1048"/>
      <c r="S174" s="767"/>
      <c r="T174" s="767"/>
      <c r="U174" s="767"/>
      <c r="V174" s="767"/>
      <c r="W174" s="1048"/>
      <c r="X174" s="767"/>
      <c r="Y174" s="767"/>
      <c r="Z174" s="767"/>
      <c r="AA174" s="767"/>
      <c r="AB174" s="1048"/>
      <c r="AC174" s="767"/>
      <c r="AD174" s="767"/>
      <c r="AE174" s="767"/>
      <c r="AF174" s="767"/>
      <c r="AG174" s="1048"/>
      <c r="AH174" s="767"/>
      <c r="AI174" s="767"/>
      <c r="AJ174" s="767"/>
      <c r="AK174" s="767"/>
      <c r="AL174" s="1048"/>
      <c r="AM174" s="767"/>
      <c r="AN174" s="767"/>
      <c r="AO174" s="767"/>
      <c r="AP174" s="767"/>
      <c r="AQ174" s="1048"/>
      <c r="AR174" s="767"/>
      <c r="AS174" s="767"/>
      <c r="AT174" s="767"/>
      <c r="AU174" s="767"/>
      <c r="AV174" s="1048"/>
      <c r="AW174" s="767"/>
      <c r="AX174" s="767"/>
      <c r="AY174" s="767"/>
      <c r="AZ174" s="767"/>
      <c r="BA174" s="1048"/>
      <c r="BB174" s="767"/>
      <c r="BC174" s="767"/>
      <c r="BD174" s="767"/>
      <c r="BE174" s="767"/>
      <c r="BF174" s="1048"/>
      <c r="BG174" s="767"/>
      <c r="BH174" s="767"/>
      <c r="BI174" s="767"/>
      <c r="BJ174" s="767"/>
      <c r="BK174" s="1048"/>
      <c r="BL174" s="767"/>
      <c r="BM174" s="767"/>
      <c r="BN174" s="767"/>
      <c r="BO174" s="767"/>
      <c r="BP174" s="1048"/>
      <c r="BQ174" s="767"/>
      <c r="BR174" s="767"/>
      <c r="BS174" s="767"/>
      <c r="BT174" s="767"/>
      <c r="BU174" s="1048"/>
      <c r="BV174" s="767"/>
      <c r="BW174" s="767"/>
      <c r="BX174" s="767"/>
      <c r="BY174" s="767"/>
      <c r="BZ174" s="1048"/>
      <c r="CA174" s="767"/>
      <c r="CB174" s="767"/>
      <c r="CC174" s="767"/>
      <c r="CD174" s="767"/>
      <c r="CE174" s="1048"/>
      <c r="CF174" s="767"/>
      <c r="CG174" s="3008"/>
      <c r="CH174" s="845">
        <v>0</v>
      </c>
      <c r="CI174" s="845">
        <v>0</v>
      </c>
      <c r="CJ174" s="752">
        <f t="shared" si="150"/>
        <v>0</v>
      </c>
      <c r="CK174" s="844">
        <v>0</v>
      </c>
      <c r="CL174" s="844">
        <v>0</v>
      </c>
      <c r="CM174" s="844">
        <v>0</v>
      </c>
      <c r="CN174" s="844">
        <v>0</v>
      </c>
      <c r="CO174" s="752">
        <f t="shared" si="151"/>
        <v>0</v>
      </c>
      <c r="CP174" s="844"/>
      <c r="CQ174" s="844"/>
      <c r="CR174" s="212"/>
      <c r="CS174" s="212"/>
      <c r="CT174" s="194"/>
      <c r="CU174" s="194"/>
      <c r="CV174" s="194"/>
    </row>
    <row r="175" spans="1:100" x14ac:dyDescent="0.2">
      <c r="A175" s="2288" t="s">
        <v>1931</v>
      </c>
      <c r="B175" s="212"/>
      <c r="C175" s="212"/>
      <c r="D175" s="212"/>
      <c r="E175" s="212"/>
      <c r="F175" s="212"/>
      <c r="G175" s="212"/>
      <c r="H175" s="1048"/>
      <c r="I175" s="767"/>
      <c r="J175" s="767"/>
      <c r="K175" s="767"/>
      <c r="L175" s="767"/>
      <c r="M175" s="1048"/>
      <c r="N175" s="767"/>
      <c r="O175" s="767"/>
      <c r="P175" s="767"/>
      <c r="Q175" s="767"/>
      <c r="R175" s="1048"/>
      <c r="S175" s="767"/>
      <c r="T175" s="767"/>
      <c r="U175" s="767"/>
      <c r="V175" s="767"/>
      <c r="W175" s="1048"/>
      <c r="X175" s="767"/>
      <c r="Y175" s="767"/>
      <c r="Z175" s="767"/>
      <c r="AA175" s="767"/>
      <c r="AB175" s="1048"/>
      <c r="AC175" s="767"/>
      <c r="AD175" s="767"/>
      <c r="AE175" s="767"/>
      <c r="AF175" s="767"/>
      <c r="AG175" s="1048"/>
      <c r="AH175" s="767"/>
      <c r="AI175" s="767"/>
      <c r="AJ175" s="767"/>
      <c r="AK175" s="767"/>
      <c r="AL175" s="1048"/>
      <c r="AM175" s="767"/>
      <c r="AN175" s="767"/>
      <c r="AO175" s="767"/>
      <c r="AP175" s="767"/>
      <c r="AQ175" s="1048"/>
      <c r="AR175" s="767"/>
      <c r="AS175" s="767"/>
      <c r="AT175" s="767"/>
      <c r="AU175" s="767"/>
      <c r="AV175" s="1048"/>
      <c r="AW175" s="767"/>
      <c r="AX175" s="767"/>
      <c r="AY175" s="767"/>
      <c r="AZ175" s="767"/>
      <c r="BA175" s="1048"/>
      <c r="BB175" s="767"/>
      <c r="BC175" s="767"/>
      <c r="BD175" s="767"/>
      <c r="BE175" s="767"/>
      <c r="BF175" s="1048"/>
      <c r="BG175" s="767"/>
      <c r="BH175" s="767"/>
      <c r="BI175" s="767"/>
      <c r="BJ175" s="767"/>
      <c r="BK175" s="1048"/>
      <c r="BL175" s="767"/>
      <c r="BM175" s="767"/>
      <c r="BN175" s="767"/>
      <c r="BO175" s="767"/>
      <c r="BP175" s="1048"/>
      <c r="BQ175" s="767"/>
      <c r="BR175" s="767"/>
      <c r="BS175" s="767"/>
      <c r="BT175" s="767"/>
      <c r="BU175" s="1048"/>
      <c r="BV175" s="767"/>
      <c r="BW175" s="767"/>
      <c r="BX175" s="767"/>
      <c r="BY175" s="767"/>
      <c r="BZ175" s="1048"/>
      <c r="CA175" s="767"/>
      <c r="CB175" s="767"/>
      <c r="CC175" s="767"/>
      <c r="CD175" s="767"/>
      <c r="CE175" s="1048"/>
      <c r="CF175" s="767"/>
      <c r="CG175" s="3008"/>
      <c r="CH175" s="845">
        <v>0</v>
      </c>
      <c r="CI175" s="845">
        <v>0</v>
      </c>
      <c r="CJ175" s="752">
        <f t="shared" si="150"/>
        <v>0</v>
      </c>
      <c r="CK175" s="844">
        <v>0</v>
      </c>
      <c r="CL175" s="844">
        <v>0</v>
      </c>
      <c r="CM175" s="844">
        <v>0</v>
      </c>
      <c r="CN175" s="844">
        <v>0</v>
      </c>
      <c r="CO175" s="752">
        <f t="shared" si="151"/>
        <v>0</v>
      </c>
      <c r="CP175" s="844"/>
      <c r="CQ175" s="844"/>
      <c r="CR175" s="212"/>
      <c r="CS175" s="212"/>
      <c r="CT175" s="194"/>
      <c r="CU175" s="194"/>
      <c r="CV175" s="194"/>
    </row>
    <row r="176" spans="1:100" ht="4.5" customHeight="1" x14ac:dyDescent="0.35">
      <c r="A176" s="1207"/>
      <c r="B176" s="212"/>
      <c r="C176" s="212"/>
      <c r="D176" s="212"/>
      <c r="E176" s="212"/>
      <c r="F176" s="212"/>
      <c r="G176" s="212"/>
      <c r="H176" s="194"/>
      <c r="I176" s="850" t="s">
        <v>2466</v>
      </c>
      <c r="J176" s="850" t="s">
        <v>2139</v>
      </c>
      <c r="K176" s="850" t="s">
        <v>2466</v>
      </c>
      <c r="L176" s="850" t="s">
        <v>2139</v>
      </c>
      <c r="M176" s="3009" t="s">
        <v>2378</v>
      </c>
      <c r="N176" s="850" t="s">
        <v>2466</v>
      </c>
      <c r="O176" s="850" t="s">
        <v>2139</v>
      </c>
      <c r="P176" s="850" t="s">
        <v>2466</v>
      </c>
      <c r="Q176" s="850" t="s">
        <v>2139</v>
      </c>
      <c r="R176" s="3009" t="s">
        <v>2378</v>
      </c>
      <c r="S176" s="850" t="s">
        <v>2466</v>
      </c>
      <c r="T176" s="850" t="s">
        <v>2139</v>
      </c>
      <c r="U176" s="850" t="s">
        <v>2466</v>
      </c>
      <c r="V176" s="850" t="s">
        <v>2139</v>
      </c>
      <c r="W176" s="3009" t="s">
        <v>2378</v>
      </c>
      <c r="X176" s="850" t="s">
        <v>2466</v>
      </c>
      <c r="Y176" s="850" t="s">
        <v>2139</v>
      </c>
      <c r="Z176" s="850" t="s">
        <v>2466</v>
      </c>
      <c r="AA176" s="850" t="s">
        <v>2139</v>
      </c>
      <c r="AB176" s="3009" t="s">
        <v>2378</v>
      </c>
      <c r="AC176" s="850" t="s">
        <v>2466</v>
      </c>
      <c r="AD176" s="850" t="s">
        <v>2139</v>
      </c>
      <c r="AE176" s="850" t="s">
        <v>2466</v>
      </c>
      <c r="AF176" s="850" t="s">
        <v>2139</v>
      </c>
      <c r="AG176" s="3009" t="s">
        <v>2378</v>
      </c>
      <c r="AH176" s="850" t="s">
        <v>2466</v>
      </c>
      <c r="AI176" s="850" t="s">
        <v>2139</v>
      </c>
      <c r="AJ176" s="850" t="s">
        <v>2466</v>
      </c>
      <c r="AK176" s="850" t="s">
        <v>2139</v>
      </c>
      <c r="AL176" s="3009" t="s">
        <v>2378</v>
      </c>
      <c r="AM176" s="850" t="s">
        <v>2466</v>
      </c>
      <c r="AN176" s="850" t="s">
        <v>2139</v>
      </c>
      <c r="AO176" s="850" t="s">
        <v>2466</v>
      </c>
      <c r="AP176" s="850" t="s">
        <v>2139</v>
      </c>
      <c r="AQ176" s="3009" t="s">
        <v>2378</v>
      </c>
      <c r="AR176" s="850" t="s">
        <v>2466</v>
      </c>
      <c r="AS176" s="850" t="s">
        <v>2139</v>
      </c>
      <c r="AT176" s="850" t="s">
        <v>2466</v>
      </c>
      <c r="AU176" s="850" t="s">
        <v>2139</v>
      </c>
      <c r="AV176" s="3009" t="s">
        <v>2378</v>
      </c>
      <c r="AW176" s="850" t="s">
        <v>2466</v>
      </c>
      <c r="AX176" s="850" t="s">
        <v>2139</v>
      </c>
      <c r="AY176" s="850" t="s">
        <v>2466</v>
      </c>
      <c r="AZ176" s="850" t="s">
        <v>2139</v>
      </c>
      <c r="BA176" s="3009" t="s">
        <v>2378</v>
      </c>
      <c r="BB176" s="850" t="s">
        <v>2466</v>
      </c>
      <c r="BC176" s="850" t="s">
        <v>2139</v>
      </c>
      <c r="BD176" s="850" t="s">
        <v>2466</v>
      </c>
      <c r="BE176" s="850" t="s">
        <v>2139</v>
      </c>
      <c r="BF176" s="3009" t="s">
        <v>2378</v>
      </c>
      <c r="BG176" s="3011" t="s">
        <v>2467</v>
      </c>
      <c r="BH176" s="3011" t="s">
        <v>2467</v>
      </c>
      <c r="BI176" s="3011" t="s">
        <v>2467</v>
      </c>
      <c r="BJ176" s="3011" t="s">
        <v>2467</v>
      </c>
      <c r="BK176" s="3009" t="s">
        <v>2139</v>
      </c>
      <c r="BL176" s="3011" t="s">
        <v>1191</v>
      </c>
      <c r="BM176" s="3011" t="s">
        <v>1191</v>
      </c>
      <c r="BN176" s="3011" t="s">
        <v>1191</v>
      </c>
      <c r="BO176" s="3011" t="s">
        <v>1191</v>
      </c>
      <c r="BP176" s="3009" t="s">
        <v>2139</v>
      </c>
      <c r="BQ176" s="3011" t="s">
        <v>2139</v>
      </c>
      <c r="BR176" s="3011" t="s">
        <v>2139</v>
      </c>
      <c r="BS176" s="3011" t="s">
        <v>2139</v>
      </c>
      <c r="BT176" s="3011" t="s">
        <v>2139</v>
      </c>
      <c r="BU176" s="3009" t="s">
        <v>2139</v>
      </c>
      <c r="BV176" s="3011" t="s">
        <v>2468</v>
      </c>
      <c r="BW176" s="3011" t="s">
        <v>2468</v>
      </c>
      <c r="BX176" s="3011" t="s">
        <v>2468</v>
      </c>
      <c r="BY176" s="3011" t="s">
        <v>2467</v>
      </c>
      <c r="BZ176" s="3009" t="s">
        <v>2378</v>
      </c>
      <c r="CA176" s="3011" t="s">
        <v>2466</v>
      </c>
      <c r="CB176" s="3011" t="s">
        <v>2466</v>
      </c>
      <c r="CC176" s="3011" t="s">
        <v>2466</v>
      </c>
      <c r="CD176" s="3011" t="s">
        <v>2378</v>
      </c>
      <c r="CE176" s="3009" t="s">
        <v>2139</v>
      </c>
      <c r="CF176" s="3011" t="s">
        <v>2466</v>
      </c>
      <c r="CG176" s="3011" t="s">
        <v>2378</v>
      </c>
      <c r="CH176" s="3011" t="s">
        <v>2378</v>
      </c>
      <c r="CI176" s="3011" t="s">
        <v>2378</v>
      </c>
      <c r="CJ176" s="3009" t="s">
        <v>2139</v>
      </c>
      <c r="CK176" s="3502" t="s">
        <v>2466</v>
      </c>
      <c r="CL176" s="3502" t="s">
        <v>2466</v>
      </c>
      <c r="CM176" s="3502" t="s">
        <v>2466</v>
      </c>
      <c r="CN176" s="3502" t="s">
        <v>2466</v>
      </c>
      <c r="CO176" s="3009" t="s">
        <v>2139</v>
      </c>
      <c r="CP176" s="3502"/>
      <c r="CQ176" s="3502"/>
      <c r="CR176" s="212"/>
      <c r="CS176" s="212"/>
      <c r="CT176" s="194"/>
      <c r="CU176" s="194"/>
      <c r="CV176" s="194"/>
    </row>
    <row r="177" spans="1:106" x14ac:dyDescent="0.2">
      <c r="A177" s="1437" t="s">
        <v>1735</v>
      </c>
      <c r="B177" s="651"/>
      <c r="C177" s="236"/>
      <c r="D177" s="234"/>
      <c r="E177" s="234"/>
      <c r="F177" s="234"/>
      <c r="G177" s="234"/>
      <c r="H177" s="1426"/>
      <c r="I177" s="257">
        <f t="shared" ref="I177:AN177" si="152">SUM(I148:I161)</f>
        <v>7</v>
      </c>
      <c r="J177" s="257">
        <f t="shared" si="152"/>
        <v>8</v>
      </c>
      <c r="K177" s="257">
        <f t="shared" si="152"/>
        <v>8</v>
      </c>
      <c r="L177" s="257">
        <f t="shared" si="152"/>
        <v>8</v>
      </c>
      <c r="M177" s="1426">
        <f t="shared" si="152"/>
        <v>8</v>
      </c>
      <c r="N177" s="257">
        <f t="shared" si="152"/>
        <v>8</v>
      </c>
      <c r="O177" s="257">
        <f t="shared" si="152"/>
        <v>8</v>
      </c>
      <c r="P177" s="257">
        <f t="shared" si="152"/>
        <v>7</v>
      </c>
      <c r="Q177" s="257">
        <f t="shared" si="152"/>
        <v>6</v>
      </c>
      <c r="R177" s="1426">
        <f t="shared" si="152"/>
        <v>6</v>
      </c>
      <c r="S177" s="257">
        <f t="shared" si="152"/>
        <v>6</v>
      </c>
      <c r="T177" s="257">
        <f t="shared" si="152"/>
        <v>6</v>
      </c>
      <c r="U177" s="257">
        <f t="shared" si="152"/>
        <v>5</v>
      </c>
      <c r="V177" s="257">
        <f t="shared" si="152"/>
        <v>5</v>
      </c>
      <c r="W177" s="1426">
        <f t="shared" si="152"/>
        <v>5</v>
      </c>
      <c r="X177" s="257">
        <f t="shared" si="152"/>
        <v>10</v>
      </c>
      <c r="Y177" s="257">
        <f t="shared" si="152"/>
        <v>10</v>
      </c>
      <c r="Z177" s="257">
        <f t="shared" si="152"/>
        <v>10</v>
      </c>
      <c r="AA177" s="257">
        <f t="shared" si="152"/>
        <v>10</v>
      </c>
      <c r="AB177" s="1426">
        <f t="shared" si="152"/>
        <v>10</v>
      </c>
      <c r="AC177" s="257">
        <f t="shared" si="152"/>
        <v>9</v>
      </c>
      <c r="AD177" s="257">
        <f t="shared" si="152"/>
        <v>9</v>
      </c>
      <c r="AE177" s="257">
        <f t="shared" si="152"/>
        <v>14</v>
      </c>
      <c r="AF177" s="257">
        <f t="shared" si="152"/>
        <v>16</v>
      </c>
      <c r="AG177" s="1426">
        <f t="shared" si="152"/>
        <v>15</v>
      </c>
      <c r="AH177" s="257">
        <f t="shared" si="152"/>
        <v>17</v>
      </c>
      <c r="AI177" s="257">
        <f t="shared" si="152"/>
        <v>11</v>
      </c>
      <c r="AJ177" s="257">
        <f t="shared" si="152"/>
        <v>11</v>
      </c>
      <c r="AK177" s="257">
        <f t="shared" si="152"/>
        <v>14</v>
      </c>
      <c r="AL177" s="1426">
        <f t="shared" si="152"/>
        <v>14</v>
      </c>
      <c r="AM177" s="257">
        <f t="shared" si="152"/>
        <v>13</v>
      </c>
      <c r="AN177" s="257">
        <f t="shared" si="152"/>
        <v>14</v>
      </c>
      <c r="AO177" s="257">
        <f t="shared" ref="AO177:BM177" si="153">SUM(AO148:AO161)</f>
        <v>11</v>
      </c>
      <c r="AP177" s="257">
        <f t="shared" si="153"/>
        <v>10</v>
      </c>
      <c r="AQ177" s="1426">
        <f t="shared" si="153"/>
        <v>10</v>
      </c>
      <c r="AR177" s="257">
        <f t="shared" si="153"/>
        <v>10</v>
      </c>
      <c r="AS177" s="257">
        <f t="shared" si="153"/>
        <v>11</v>
      </c>
      <c r="AT177" s="257">
        <f t="shared" si="153"/>
        <v>11</v>
      </c>
      <c r="AU177" s="257">
        <f t="shared" si="153"/>
        <v>12</v>
      </c>
      <c r="AV177" s="1426">
        <f t="shared" si="153"/>
        <v>12</v>
      </c>
      <c r="AW177" s="257">
        <f t="shared" si="153"/>
        <v>12</v>
      </c>
      <c r="AX177" s="257">
        <f t="shared" si="153"/>
        <v>14</v>
      </c>
      <c r="AY177" s="257">
        <f t="shared" si="153"/>
        <v>14</v>
      </c>
      <c r="AZ177" s="257">
        <f t="shared" si="153"/>
        <v>14</v>
      </c>
      <c r="BA177" s="1426">
        <f t="shared" si="153"/>
        <v>14</v>
      </c>
      <c r="BB177" s="257">
        <f t="shared" si="153"/>
        <v>16</v>
      </c>
      <c r="BC177" s="257">
        <f t="shared" si="153"/>
        <v>16</v>
      </c>
      <c r="BD177" s="257">
        <f t="shared" si="153"/>
        <v>16</v>
      </c>
      <c r="BE177" s="257">
        <f t="shared" si="153"/>
        <v>23</v>
      </c>
      <c r="BF177" s="1426">
        <f t="shared" si="153"/>
        <v>23</v>
      </c>
      <c r="BG177" s="257">
        <f t="shared" si="153"/>
        <v>25</v>
      </c>
      <c r="BH177" s="257">
        <f t="shared" si="153"/>
        <v>25</v>
      </c>
      <c r="BI177" s="257">
        <f t="shared" si="153"/>
        <v>25</v>
      </c>
      <c r="BJ177" s="257">
        <f t="shared" si="153"/>
        <v>24</v>
      </c>
      <c r="BK177" s="1426">
        <f t="shared" si="153"/>
        <v>24</v>
      </c>
      <c r="BL177" s="257">
        <f t="shared" si="153"/>
        <v>24</v>
      </c>
      <c r="BM177" s="257">
        <f t="shared" si="153"/>
        <v>23</v>
      </c>
      <c r="BN177" s="257">
        <f>SUM(BN148:BN163)</f>
        <v>22</v>
      </c>
      <c r="BO177" s="257">
        <f>SUM(BO148:BO163)</f>
        <v>20</v>
      </c>
      <c r="BP177" s="1426">
        <f>SUM(BP148:BP161)</f>
        <v>20</v>
      </c>
      <c r="BQ177" s="257">
        <f>SUM(BQ148:BQ163)</f>
        <v>20</v>
      </c>
      <c r="BR177" s="257">
        <f>SUM(BR148:BR163)</f>
        <v>18</v>
      </c>
      <c r="BS177" s="257">
        <f>SUM(BS148:BS161)</f>
        <v>19</v>
      </c>
      <c r="BT177" s="257">
        <f>SUM(BT148:BT161)</f>
        <v>19</v>
      </c>
      <c r="BU177" s="1426">
        <f>SUM(BU148:BU161)</f>
        <v>19</v>
      </c>
      <c r="BV177" s="257">
        <f>SUM(BV148:BV163)</f>
        <v>18</v>
      </c>
      <c r="BW177" s="257">
        <f>SUM(BW148:BW163)</f>
        <v>27</v>
      </c>
      <c r="BX177" s="257">
        <f>SUM(BX148:BX163)</f>
        <v>25</v>
      </c>
      <c r="BY177" s="257">
        <f>SUM(BY148:BY163)</f>
        <v>25</v>
      </c>
      <c r="BZ177" s="1426">
        <f>SUM(BZ148:BZ161)</f>
        <v>25</v>
      </c>
      <c r="CA177" s="257">
        <f>SUM(CA148:CA163)</f>
        <v>24</v>
      </c>
      <c r="CB177" s="257">
        <f>SUM(CB148:CB163)</f>
        <v>24</v>
      </c>
      <c r="CC177" s="257">
        <f>SUM(CC148:CC163)</f>
        <v>23</v>
      </c>
      <c r="CD177" s="257">
        <f>SUM(CD148:CD163)</f>
        <v>22</v>
      </c>
      <c r="CE177" s="1426">
        <f>SUM(CE148:CE161)</f>
        <v>22</v>
      </c>
      <c r="CF177" s="257">
        <f>SUM(CF148:CF163)</f>
        <v>22</v>
      </c>
      <c r="CG177" s="257">
        <f>SUM(CG148:CG163)</f>
        <v>22</v>
      </c>
      <c r="CH177" s="257">
        <f>SUM(CH147:CH163)</f>
        <v>24</v>
      </c>
      <c r="CI177">
        <f t="shared" ref="CI177:CO177" si="154">SUM(CI147:CI175)</f>
        <v>37</v>
      </c>
      <c r="CJ177" s="1426">
        <f t="shared" si="154"/>
        <v>37</v>
      </c>
      <c r="CK177" s="652">
        <f t="shared" si="154"/>
        <v>37</v>
      </c>
      <c r="CL177" s="652">
        <f t="shared" si="154"/>
        <v>37</v>
      </c>
      <c r="CM177" s="652">
        <f t="shared" si="154"/>
        <v>37</v>
      </c>
      <c r="CN177" s="652">
        <f t="shared" si="154"/>
        <v>37</v>
      </c>
      <c r="CO177" s="1426">
        <f t="shared" si="154"/>
        <v>37</v>
      </c>
      <c r="CP177" s="652"/>
      <c r="CQ177" s="652"/>
      <c r="CR177" s="847"/>
      <c r="CS177" s="847"/>
      <c r="CT177" s="661">
        <f t="shared" ref="CT177:CV177" si="155">SUM(CT148:CT161)</f>
        <v>0</v>
      </c>
      <c r="CU177" s="661">
        <f t="shared" si="155"/>
        <v>0</v>
      </c>
      <c r="CV177" s="661">
        <f t="shared" si="155"/>
        <v>0</v>
      </c>
      <c r="DB177" s="217"/>
    </row>
    <row r="178" spans="1:106" x14ac:dyDescent="0.2">
      <c r="A178" s="1434"/>
      <c r="B178" s="651"/>
      <c r="C178" s="236"/>
      <c r="D178" s="234"/>
      <c r="E178" s="234"/>
      <c r="F178" s="234"/>
      <c r="G178" s="234"/>
      <c r="H178" s="236"/>
      <c r="I178" s="234"/>
      <c r="J178" s="234"/>
      <c r="K178" s="234"/>
      <c r="L178" s="234"/>
      <c r="M178" s="236"/>
      <c r="N178" s="234"/>
      <c r="O178" s="234"/>
      <c r="P178" s="234"/>
      <c r="Q178" s="234"/>
      <c r="R178" s="236"/>
      <c r="S178" s="234"/>
      <c r="T178" s="234"/>
      <c r="U178" s="234"/>
      <c r="V178" s="234"/>
      <c r="W178" s="236"/>
      <c r="X178" s="234"/>
      <c r="Y178" s="234"/>
      <c r="Z178" s="234"/>
      <c r="AA178" s="234"/>
      <c r="AB178" s="236"/>
      <c r="AC178" s="234"/>
      <c r="AD178" s="234"/>
      <c r="AE178" s="234"/>
      <c r="AF178" s="234"/>
      <c r="AG178" s="236"/>
      <c r="AH178" s="234"/>
      <c r="AI178" s="234"/>
      <c r="AJ178" s="234"/>
      <c r="AK178" s="234"/>
      <c r="AL178" s="236"/>
      <c r="AM178" s="234"/>
      <c r="AN178" s="234"/>
      <c r="AO178" s="234"/>
      <c r="AP178" s="234"/>
      <c r="AQ178" s="236"/>
      <c r="AR178" s="234"/>
      <c r="AS178" s="234"/>
      <c r="AT178" s="234"/>
      <c r="AU178" s="234"/>
      <c r="AV178" s="236"/>
      <c r="AW178" s="234"/>
      <c r="AX178" s="234"/>
      <c r="AY178" s="234"/>
      <c r="AZ178" s="234"/>
      <c r="BA178" s="236"/>
      <c r="BB178" s="234"/>
      <c r="BC178" s="234"/>
      <c r="BD178" s="234"/>
      <c r="BE178" s="234"/>
      <c r="BF178" s="236"/>
      <c r="BG178" s="234"/>
      <c r="BH178" s="234"/>
      <c r="BI178" s="234"/>
      <c r="BJ178" s="234"/>
      <c r="BK178" s="236"/>
      <c r="BL178" s="234"/>
      <c r="BM178" s="234"/>
      <c r="BN178" s="212"/>
      <c r="BO178" s="212"/>
      <c r="BP178" s="236"/>
      <c r="BQ178" s="212"/>
      <c r="BR178" s="212"/>
      <c r="BS178" s="212"/>
      <c r="BT178" s="212"/>
      <c r="BU178" s="236"/>
      <c r="BV178"/>
      <c r="BW178"/>
      <c r="BX178"/>
      <c r="BY178"/>
      <c r="BZ178" s="236"/>
      <c r="CA178"/>
      <c r="CB178"/>
      <c r="CC178"/>
      <c r="CD178" s="212"/>
      <c r="CE178" s="194"/>
      <c r="CF178" s="212"/>
      <c r="CG178" s="212"/>
      <c r="CH178" s="212"/>
      <c r="CI178" s="212"/>
      <c r="CJ178" s="194"/>
      <c r="CK178" s="2907"/>
      <c r="CL178" s="212"/>
      <c r="CM178" s="212"/>
      <c r="CN178" s="212"/>
      <c r="CO178" s="194"/>
      <c r="CP178" s="2907"/>
      <c r="CQ178" s="212"/>
      <c r="CR178" s="212"/>
      <c r="CS178" s="212"/>
      <c r="CT178" s="194"/>
      <c r="CU178" s="194"/>
      <c r="CV178" s="194"/>
    </row>
    <row r="179" spans="1:106" x14ac:dyDescent="0.2">
      <c r="A179" s="1435" t="s">
        <v>361</v>
      </c>
      <c r="B179" s="651"/>
      <c r="C179" s="236"/>
      <c r="D179" s="234"/>
      <c r="E179" s="234"/>
      <c r="F179" s="234"/>
      <c r="G179" s="234"/>
      <c r="H179" s="236"/>
      <c r="I179" s="234"/>
      <c r="J179" s="234"/>
      <c r="K179" s="234"/>
      <c r="L179" s="234"/>
      <c r="M179" s="236"/>
      <c r="N179" s="234"/>
      <c r="O179" s="234"/>
      <c r="P179" s="234"/>
      <c r="Q179" s="234"/>
      <c r="R179" s="236"/>
      <c r="S179" s="234"/>
      <c r="T179" s="234"/>
      <c r="U179" s="234"/>
      <c r="V179" s="234"/>
      <c r="W179" s="236"/>
      <c r="X179" s="234"/>
      <c r="Y179" s="234"/>
      <c r="Z179" s="234"/>
      <c r="AA179" s="234"/>
      <c r="AB179" s="236"/>
      <c r="AC179" s="234"/>
      <c r="AD179" s="234"/>
      <c r="AE179" s="234"/>
      <c r="AF179" s="234"/>
      <c r="AG179" s="236"/>
      <c r="AH179" s="234"/>
      <c r="AI179" s="234"/>
      <c r="AJ179" s="234"/>
      <c r="AK179" s="234"/>
      <c r="AL179" s="236"/>
      <c r="AM179" s="234"/>
      <c r="AN179" s="234"/>
      <c r="AO179" s="234"/>
      <c r="AP179" s="234"/>
      <c r="AQ179" s="236"/>
      <c r="AR179" s="234"/>
      <c r="AS179" s="234"/>
      <c r="AT179" s="234"/>
      <c r="AU179" s="234"/>
      <c r="AV179" s="236"/>
      <c r="AW179" s="234"/>
      <c r="AX179" s="234"/>
      <c r="AY179" s="234"/>
      <c r="AZ179" s="234"/>
      <c r="BA179" s="236"/>
      <c r="BB179" s="234"/>
      <c r="BC179" s="234"/>
      <c r="BD179" s="234"/>
      <c r="BE179" s="234"/>
      <c r="BF179" s="236"/>
      <c r="BG179" s="234"/>
      <c r="BH179" s="234"/>
      <c r="BI179" s="234"/>
      <c r="BJ179" s="234"/>
      <c r="BK179" s="236"/>
      <c r="BL179" s="234"/>
      <c r="BM179" s="234"/>
      <c r="BN179" s="212"/>
      <c r="BO179" s="212"/>
      <c r="BP179" s="236"/>
      <c r="BQ179" s="212"/>
      <c r="BR179" s="212"/>
      <c r="BS179" s="212"/>
      <c r="BT179" s="212"/>
      <c r="BU179" s="236"/>
      <c r="BV179" s="212"/>
      <c r="BW179" s="212"/>
      <c r="BX179" s="212"/>
      <c r="BY179" s="212"/>
      <c r="BZ179" s="236"/>
      <c r="CA179" s="212"/>
      <c r="CB179" s="212"/>
      <c r="CC179" s="212"/>
      <c r="CD179" s="212"/>
      <c r="CE179" s="194"/>
      <c r="CF179" s="212"/>
      <c r="CG179" s="212"/>
      <c r="CH179" s="212"/>
      <c r="CI179" s="212"/>
      <c r="CJ179" s="194"/>
      <c r="CK179" s="2907"/>
      <c r="CL179" s="212"/>
      <c r="CM179" s="212"/>
      <c r="CN179" s="212"/>
      <c r="CO179" s="194"/>
      <c r="CP179" s="2907"/>
      <c r="CQ179" s="212"/>
      <c r="CR179" s="212"/>
      <c r="CS179" s="212"/>
      <c r="CT179" s="194"/>
      <c r="CU179" s="194"/>
      <c r="CV179" s="194"/>
    </row>
    <row r="180" spans="1:106" x14ac:dyDescent="0.2">
      <c r="A180" s="2308" t="s">
        <v>456</v>
      </c>
      <c r="B180" s="651"/>
      <c r="C180" s="236"/>
      <c r="D180" s="234"/>
      <c r="E180" s="234"/>
      <c r="F180" s="234"/>
      <c r="G180" s="234"/>
      <c r="H180" s="236"/>
      <c r="I180" s="234"/>
      <c r="J180" s="234"/>
      <c r="K180" s="234"/>
      <c r="L180" s="234"/>
      <c r="M180" s="236"/>
      <c r="N180" s="234"/>
      <c r="O180" s="234"/>
      <c r="P180" s="234"/>
      <c r="Q180" s="234"/>
      <c r="R180" s="236"/>
      <c r="S180" s="234"/>
      <c r="T180" s="234"/>
      <c r="U180" s="234"/>
      <c r="V180" s="234"/>
      <c r="W180" s="236"/>
      <c r="X180" s="234"/>
      <c r="Y180" s="234"/>
      <c r="Z180" s="234"/>
      <c r="AA180" s="234"/>
      <c r="AB180" s="236"/>
      <c r="AC180" s="234"/>
      <c r="AD180" s="234"/>
      <c r="AE180" s="234"/>
      <c r="AF180" s="234"/>
      <c r="AG180" s="236"/>
      <c r="AH180" s="234"/>
      <c r="AI180" s="234"/>
      <c r="AJ180" s="234"/>
      <c r="AK180" s="234"/>
      <c r="AL180" s="236"/>
      <c r="AM180" s="234"/>
      <c r="AN180" s="234"/>
      <c r="AO180" s="234"/>
      <c r="AP180" s="234"/>
      <c r="AQ180" s="236"/>
      <c r="AR180" s="234"/>
      <c r="AS180" s="234"/>
      <c r="AT180" s="234"/>
      <c r="AU180" s="234"/>
      <c r="AV180" s="236"/>
      <c r="AW180" s="234"/>
      <c r="AX180" s="234"/>
      <c r="AY180" s="234"/>
      <c r="AZ180" s="234"/>
      <c r="BA180" s="236"/>
      <c r="BB180" s="234"/>
      <c r="BC180" s="234"/>
      <c r="BD180" s="234"/>
      <c r="BE180" s="234"/>
      <c r="BF180" s="236"/>
      <c r="BG180" s="234"/>
      <c r="BH180" s="234"/>
      <c r="BI180" s="234"/>
      <c r="BJ180" s="234"/>
      <c r="BK180" s="236"/>
      <c r="BL180" s="234"/>
      <c r="BM180" s="234"/>
      <c r="BN180" s="212"/>
      <c r="BO180" s="212"/>
      <c r="BP180" s="236"/>
      <c r="BQ180" s="212"/>
      <c r="BR180" s="212"/>
      <c r="BS180" s="212"/>
      <c r="BT180" s="212"/>
      <c r="BU180" s="236"/>
      <c r="BV180" s="212"/>
      <c r="BW180" s="212"/>
      <c r="BX180" s="212"/>
      <c r="BY180" s="212"/>
      <c r="BZ180" s="236"/>
      <c r="CA180" s="212"/>
      <c r="CB180" s="212"/>
      <c r="CC180" s="212"/>
      <c r="CD180" s="212"/>
      <c r="CE180" s="194"/>
      <c r="CF180" s="212"/>
      <c r="CG180" s="212"/>
      <c r="CH180" s="756">
        <v>45</v>
      </c>
      <c r="CI180" s="756">
        <v>47</v>
      </c>
      <c r="CJ180" s="752">
        <f t="shared" ref="CJ180:CJ187" si="156">+CI180</f>
        <v>47</v>
      </c>
      <c r="CK180" s="3503">
        <v>47</v>
      </c>
      <c r="CL180" s="3503">
        <v>47</v>
      </c>
      <c r="CM180" s="3503">
        <v>47</v>
      </c>
      <c r="CN180" s="3503">
        <v>48</v>
      </c>
      <c r="CO180" s="752">
        <f t="shared" ref="CO180:CO187" si="157">+CN180</f>
        <v>48</v>
      </c>
      <c r="CP180" s="3503"/>
      <c r="CQ180" s="3503"/>
      <c r="CR180" s="212"/>
      <c r="CS180" s="212"/>
      <c r="CT180" s="194"/>
      <c r="CU180" s="194"/>
      <c r="CV180" s="194"/>
    </row>
    <row r="181" spans="1:106" x14ac:dyDescent="0.2">
      <c r="A181" s="1434" t="s">
        <v>346</v>
      </c>
      <c r="B181" s="651"/>
      <c r="C181" s="236"/>
      <c r="D181" s="234"/>
      <c r="E181" s="234"/>
      <c r="F181" s="234"/>
      <c r="G181" s="234"/>
      <c r="H181" s="752"/>
      <c r="I181" s="758">
        <f>+I916-I214</f>
        <v>62</v>
      </c>
      <c r="J181" s="758">
        <f>+J916-J214</f>
        <v>64</v>
      </c>
      <c r="K181" s="758">
        <f>+K916-K214</f>
        <v>65</v>
      </c>
      <c r="L181" s="758">
        <f>+L916-L214</f>
        <v>68</v>
      </c>
      <c r="M181" s="752">
        <f>L181</f>
        <v>68</v>
      </c>
      <c r="N181" s="758">
        <f>+N916-N214</f>
        <v>68</v>
      </c>
      <c r="O181" s="758">
        <f>+O916-O214</f>
        <v>71</v>
      </c>
      <c r="P181" s="756">
        <v>75</v>
      </c>
      <c r="Q181" s="756">
        <v>82</v>
      </c>
      <c r="R181" s="752">
        <f>Q181</f>
        <v>82</v>
      </c>
      <c r="S181" s="756">
        <v>85</v>
      </c>
      <c r="T181" s="756">
        <v>86</v>
      </c>
      <c r="U181" s="756">
        <v>88</v>
      </c>
      <c r="V181" s="754">
        <v>88</v>
      </c>
      <c r="W181" s="752">
        <f>V181</f>
        <v>88</v>
      </c>
      <c r="X181" s="756">
        <v>86</v>
      </c>
      <c r="Y181" s="756">
        <v>88</v>
      </c>
      <c r="Z181" s="756">
        <v>89</v>
      </c>
      <c r="AA181" s="754">
        <v>89</v>
      </c>
      <c r="AB181" s="752">
        <f>+AA181</f>
        <v>89</v>
      </c>
      <c r="AC181" s="756">
        <v>89</v>
      </c>
      <c r="AD181" s="756">
        <v>134</v>
      </c>
      <c r="AE181" s="756">
        <v>134</v>
      </c>
      <c r="AF181" s="754">
        <v>133</v>
      </c>
      <c r="AG181" s="752">
        <f>+AF181</f>
        <v>133</v>
      </c>
      <c r="AH181" s="756">
        <v>136</v>
      </c>
      <c r="AI181" s="756">
        <v>140</v>
      </c>
      <c r="AJ181" s="756">
        <v>141</v>
      </c>
      <c r="AK181" s="754">
        <v>140</v>
      </c>
      <c r="AL181" s="752">
        <f>+AK181</f>
        <v>140</v>
      </c>
      <c r="AM181" s="756">
        <v>139</v>
      </c>
      <c r="AN181" s="756">
        <v>139</v>
      </c>
      <c r="AO181" s="756">
        <v>140</v>
      </c>
      <c r="AP181" s="754">
        <v>138</v>
      </c>
      <c r="AQ181" s="752">
        <f>+AP181</f>
        <v>138</v>
      </c>
      <c r="AR181" s="756">
        <v>138</v>
      </c>
      <c r="AS181" s="756">
        <v>138</v>
      </c>
      <c r="AT181" s="756">
        <v>138</v>
      </c>
      <c r="AU181" s="754">
        <v>141</v>
      </c>
      <c r="AV181" s="752">
        <f>+AU181</f>
        <v>141</v>
      </c>
      <c r="AW181" s="756">
        <v>143</v>
      </c>
      <c r="AX181" s="756">
        <v>145</v>
      </c>
      <c r="AY181" s="756">
        <v>146</v>
      </c>
      <c r="AZ181" s="756">
        <v>151</v>
      </c>
      <c r="BA181" s="752">
        <f>+AZ181</f>
        <v>151</v>
      </c>
      <c r="BB181" s="756">
        <v>151</v>
      </c>
      <c r="BC181" s="756">
        <v>150</v>
      </c>
      <c r="BD181" s="756">
        <v>150</v>
      </c>
      <c r="BE181" s="754">
        <v>152</v>
      </c>
      <c r="BF181" s="752">
        <f>+BE181</f>
        <v>152</v>
      </c>
      <c r="BG181" s="755">
        <v>153</v>
      </c>
      <c r="BH181" s="756">
        <v>155</v>
      </c>
      <c r="BI181" s="756">
        <v>156</v>
      </c>
      <c r="BJ181" s="756">
        <v>156</v>
      </c>
      <c r="BK181" s="752">
        <f>+BJ181</f>
        <v>156</v>
      </c>
      <c r="BL181" s="756">
        <v>156</v>
      </c>
      <c r="BM181" s="756">
        <v>157</v>
      </c>
      <c r="BN181" s="756">
        <v>158</v>
      </c>
      <c r="BO181" s="756">
        <v>162</v>
      </c>
      <c r="BP181" s="752">
        <f t="shared" ref="BP181:BP187" si="158">+BO181</f>
        <v>162</v>
      </c>
      <c r="BQ181" s="756">
        <v>166</v>
      </c>
      <c r="BR181" s="756">
        <v>164</v>
      </c>
      <c r="BS181" s="756">
        <v>167</v>
      </c>
      <c r="BT181" s="756">
        <v>169</v>
      </c>
      <c r="BU181" s="752">
        <f t="shared" ref="BU181:BU187" si="159">+BT181</f>
        <v>169</v>
      </c>
      <c r="BV181" s="756">
        <v>172</v>
      </c>
      <c r="BW181" s="2605">
        <v>174</v>
      </c>
      <c r="BX181" s="2605">
        <v>175</v>
      </c>
      <c r="BY181" s="2605">
        <v>181</v>
      </c>
      <c r="BZ181" s="752">
        <f t="shared" ref="BZ181:BZ187" si="160">+BY181</f>
        <v>181</v>
      </c>
      <c r="CA181" s="756">
        <v>178</v>
      </c>
      <c r="CB181" s="756">
        <v>184</v>
      </c>
      <c r="CC181" s="756">
        <v>187</v>
      </c>
      <c r="CD181" s="756">
        <v>188</v>
      </c>
      <c r="CE181" s="752">
        <f t="shared" ref="CE181:CE187" si="161">+CD181</f>
        <v>188</v>
      </c>
      <c r="CF181" s="756">
        <v>190</v>
      </c>
      <c r="CG181" s="756">
        <v>195</v>
      </c>
      <c r="CH181" s="756">
        <v>150</v>
      </c>
      <c r="CI181" s="756">
        <v>154</v>
      </c>
      <c r="CJ181" s="752">
        <f t="shared" si="156"/>
        <v>154</v>
      </c>
      <c r="CK181" s="3508">
        <v>156</v>
      </c>
      <c r="CL181" s="3508">
        <v>158</v>
      </c>
      <c r="CM181" s="3508">
        <v>159</v>
      </c>
      <c r="CN181" s="3508">
        <v>164</v>
      </c>
      <c r="CO181" s="752">
        <f t="shared" si="157"/>
        <v>164</v>
      </c>
      <c r="CP181" s="3508"/>
      <c r="CQ181" s="3508"/>
      <c r="CR181" s="212"/>
      <c r="CS181" s="212"/>
      <c r="CT181" s="194"/>
      <c r="CU181" s="194"/>
      <c r="CV181" s="194"/>
    </row>
    <row r="182" spans="1:106" x14ac:dyDescent="0.2">
      <c r="A182" s="1434" t="s">
        <v>1385</v>
      </c>
      <c r="B182" s="651"/>
      <c r="C182" s="236"/>
      <c r="D182" s="234"/>
      <c r="E182" s="234"/>
      <c r="F182" s="234"/>
      <c r="G182" s="234"/>
      <c r="H182" s="752"/>
      <c r="I182" s="758">
        <f>+I920-I215</f>
        <v>47</v>
      </c>
      <c r="J182" s="758">
        <f>+J920-J215</f>
        <v>47</v>
      </c>
      <c r="K182" s="758">
        <f>+K920-K215</f>
        <v>48</v>
      </c>
      <c r="L182" s="758">
        <f>+L920-L215</f>
        <v>48</v>
      </c>
      <c r="M182" s="752">
        <f>L182</f>
        <v>48</v>
      </c>
      <c r="N182" s="758">
        <f>+N920-N215</f>
        <v>49</v>
      </c>
      <c r="O182" s="758">
        <f>+O920-O215</f>
        <v>48</v>
      </c>
      <c r="P182" s="756">
        <v>47</v>
      </c>
      <c r="Q182" s="756">
        <v>46</v>
      </c>
      <c r="R182" s="752">
        <f>Q182</f>
        <v>46</v>
      </c>
      <c r="S182" s="756">
        <v>46</v>
      </c>
      <c r="T182" s="756">
        <v>46</v>
      </c>
      <c r="U182" s="756">
        <v>46</v>
      </c>
      <c r="V182" s="754">
        <v>46</v>
      </c>
      <c r="W182" s="752">
        <f>V182</f>
        <v>46</v>
      </c>
      <c r="X182" s="756">
        <v>46</v>
      </c>
      <c r="Y182" s="756">
        <v>47</v>
      </c>
      <c r="Z182" s="756">
        <v>47</v>
      </c>
      <c r="AA182" s="754">
        <v>46</v>
      </c>
      <c r="AB182" s="752">
        <f>+AA182</f>
        <v>46</v>
      </c>
      <c r="AC182" s="756">
        <v>47</v>
      </c>
      <c r="AD182" s="756">
        <v>50</v>
      </c>
      <c r="AE182" s="756">
        <v>47</v>
      </c>
      <c r="AF182" s="754">
        <v>47</v>
      </c>
      <c r="AG182" s="752">
        <f>+AF182</f>
        <v>47</v>
      </c>
      <c r="AH182" s="756">
        <v>46</v>
      </c>
      <c r="AI182" s="756">
        <v>49</v>
      </c>
      <c r="AJ182" s="756">
        <v>51</v>
      </c>
      <c r="AK182" s="754">
        <v>50</v>
      </c>
      <c r="AL182" s="752">
        <f>+AK182</f>
        <v>50</v>
      </c>
      <c r="AM182" s="756">
        <v>52</v>
      </c>
      <c r="AN182" s="756">
        <v>52</v>
      </c>
      <c r="AO182" s="756">
        <v>55</v>
      </c>
      <c r="AP182" s="754">
        <v>51</v>
      </c>
      <c r="AQ182" s="752">
        <f>+AP182</f>
        <v>51</v>
      </c>
      <c r="AR182" s="756">
        <v>51</v>
      </c>
      <c r="AS182" s="756">
        <v>48</v>
      </c>
      <c r="AT182" s="756">
        <v>49</v>
      </c>
      <c r="AU182" s="754">
        <v>49</v>
      </c>
      <c r="AV182" s="752">
        <f>+AU182</f>
        <v>49</v>
      </c>
      <c r="AW182" s="756">
        <v>49</v>
      </c>
      <c r="AX182" s="756">
        <v>50</v>
      </c>
      <c r="AY182" s="756">
        <v>49</v>
      </c>
      <c r="AZ182" s="756">
        <v>48</v>
      </c>
      <c r="BA182" s="752">
        <f>+AZ182</f>
        <v>48</v>
      </c>
      <c r="BB182" s="756">
        <v>48</v>
      </c>
      <c r="BC182" s="756">
        <v>48</v>
      </c>
      <c r="BD182" s="756">
        <v>49</v>
      </c>
      <c r="BE182" s="754">
        <v>42</v>
      </c>
      <c r="BF182" s="752">
        <f>+BE182</f>
        <v>42</v>
      </c>
      <c r="BG182" s="755">
        <v>44</v>
      </c>
      <c r="BH182" s="756">
        <v>43</v>
      </c>
      <c r="BI182" s="756">
        <v>44</v>
      </c>
      <c r="BJ182" s="756">
        <v>45</v>
      </c>
      <c r="BK182" s="752">
        <f>+BJ182</f>
        <v>45</v>
      </c>
      <c r="BL182" s="756">
        <v>45</v>
      </c>
      <c r="BM182" s="756">
        <v>46</v>
      </c>
      <c r="BN182" s="756">
        <v>47</v>
      </c>
      <c r="BO182" s="756">
        <v>47</v>
      </c>
      <c r="BP182" s="752">
        <f t="shared" si="158"/>
        <v>47</v>
      </c>
      <c r="BQ182" s="756">
        <v>46</v>
      </c>
      <c r="BR182" s="756">
        <v>48</v>
      </c>
      <c r="BS182" s="756">
        <v>49</v>
      </c>
      <c r="BT182" s="756">
        <v>48</v>
      </c>
      <c r="BU182" s="752">
        <f t="shared" si="159"/>
        <v>48</v>
      </c>
      <c r="BV182" s="756">
        <v>47</v>
      </c>
      <c r="BW182" s="756">
        <v>49</v>
      </c>
      <c r="BX182" s="756">
        <v>49</v>
      </c>
      <c r="BY182" s="756">
        <v>49</v>
      </c>
      <c r="BZ182" s="752">
        <f t="shared" si="160"/>
        <v>49</v>
      </c>
      <c r="CA182" s="756">
        <v>48</v>
      </c>
      <c r="CB182" s="756">
        <v>48</v>
      </c>
      <c r="CC182" s="756">
        <v>50</v>
      </c>
      <c r="CD182" s="756">
        <v>50</v>
      </c>
      <c r="CE182" s="752">
        <f t="shared" si="161"/>
        <v>50</v>
      </c>
      <c r="CF182" s="756">
        <v>50</v>
      </c>
      <c r="CG182" s="756">
        <v>50</v>
      </c>
      <c r="CH182" s="756">
        <v>50</v>
      </c>
      <c r="CI182" s="756">
        <v>50</v>
      </c>
      <c r="CJ182" s="752">
        <f t="shared" si="156"/>
        <v>50</v>
      </c>
      <c r="CK182" s="3508">
        <v>49</v>
      </c>
      <c r="CL182" s="3508">
        <v>50</v>
      </c>
      <c r="CM182" s="3508">
        <v>50</v>
      </c>
      <c r="CN182" s="3508">
        <v>52</v>
      </c>
      <c r="CO182" s="752">
        <f t="shared" si="157"/>
        <v>52</v>
      </c>
      <c r="CP182" s="3508"/>
      <c r="CQ182" s="3508"/>
      <c r="CR182" s="212"/>
      <c r="CS182" s="212"/>
      <c r="CT182" s="194"/>
      <c r="CU182" s="194"/>
      <c r="CV182" s="194"/>
    </row>
    <row r="183" spans="1:106" x14ac:dyDescent="0.2">
      <c r="A183" s="1434" t="s">
        <v>512</v>
      </c>
      <c r="B183" s="651"/>
      <c r="C183" s="236"/>
      <c r="D183" s="234"/>
      <c r="E183" s="234"/>
      <c r="F183" s="234"/>
      <c r="G183" s="234"/>
      <c r="H183" s="848"/>
      <c r="I183" s="845">
        <v>0</v>
      </c>
      <c r="J183" s="845">
        <v>0</v>
      </c>
      <c r="K183" s="845">
        <v>0</v>
      </c>
      <c r="L183" s="845">
        <v>0</v>
      </c>
      <c r="M183" s="848">
        <v>0</v>
      </c>
      <c r="N183" s="845">
        <v>0</v>
      </c>
      <c r="O183" s="845">
        <v>0</v>
      </c>
      <c r="P183" s="845">
        <v>0</v>
      </c>
      <c r="Q183" s="845">
        <v>0</v>
      </c>
      <c r="R183" s="848">
        <v>0</v>
      </c>
      <c r="S183" s="845">
        <v>0</v>
      </c>
      <c r="T183" s="845">
        <v>0</v>
      </c>
      <c r="U183" s="845">
        <v>0</v>
      </c>
      <c r="V183" s="845">
        <v>0</v>
      </c>
      <c r="W183" s="848">
        <v>0</v>
      </c>
      <c r="X183" s="845">
        <v>0</v>
      </c>
      <c r="Y183" s="845">
        <v>0</v>
      </c>
      <c r="Z183" s="845">
        <v>0</v>
      </c>
      <c r="AA183" s="845">
        <v>0</v>
      </c>
      <c r="AB183" s="848">
        <v>0</v>
      </c>
      <c r="AC183" s="845">
        <v>0</v>
      </c>
      <c r="AD183" s="845">
        <v>0</v>
      </c>
      <c r="AE183" s="845">
        <v>0</v>
      </c>
      <c r="AF183" s="845">
        <v>0</v>
      </c>
      <c r="AG183" s="848">
        <v>0</v>
      </c>
      <c r="AH183" s="845">
        <v>0</v>
      </c>
      <c r="AI183" s="845">
        <v>0</v>
      </c>
      <c r="AJ183" s="845">
        <v>0</v>
      </c>
      <c r="AK183" s="845">
        <v>0</v>
      </c>
      <c r="AL183" s="848">
        <v>0</v>
      </c>
      <c r="AM183" s="845">
        <v>0</v>
      </c>
      <c r="AN183" s="845">
        <v>0</v>
      </c>
      <c r="AO183" s="845">
        <v>0</v>
      </c>
      <c r="AP183" s="845">
        <v>0</v>
      </c>
      <c r="AQ183" s="848">
        <v>0</v>
      </c>
      <c r="AR183" s="845">
        <v>0</v>
      </c>
      <c r="AS183" s="845">
        <v>0</v>
      </c>
      <c r="AT183" s="845">
        <v>0</v>
      </c>
      <c r="AU183" s="845">
        <v>0</v>
      </c>
      <c r="AV183" s="848">
        <v>0</v>
      </c>
      <c r="AW183" s="845">
        <v>0</v>
      </c>
      <c r="AX183" s="845">
        <v>0</v>
      </c>
      <c r="AY183" s="845">
        <v>0</v>
      </c>
      <c r="AZ183" s="845">
        <v>0</v>
      </c>
      <c r="BA183" s="848">
        <v>0</v>
      </c>
      <c r="BB183" s="845">
        <v>0</v>
      </c>
      <c r="BC183" s="845">
        <v>0</v>
      </c>
      <c r="BD183" s="845">
        <v>0</v>
      </c>
      <c r="BE183" s="845">
        <v>0</v>
      </c>
      <c r="BF183" s="848">
        <v>0</v>
      </c>
      <c r="BG183" s="845">
        <v>0</v>
      </c>
      <c r="BH183" s="845">
        <v>0</v>
      </c>
      <c r="BI183" s="845">
        <v>0</v>
      </c>
      <c r="BJ183" s="845">
        <v>0</v>
      </c>
      <c r="BK183" s="848">
        <v>0</v>
      </c>
      <c r="BL183" s="845">
        <v>0</v>
      </c>
      <c r="BM183" s="845">
        <v>0</v>
      </c>
      <c r="BN183" s="845">
        <v>0</v>
      </c>
      <c r="BO183" s="845">
        <v>1</v>
      </c>
      <c r="BP183" s="752">
        <f t="shared" si="158"/>
        <v>1</v>
      </c>
      <c r="BQ183" s="845">
        <v>1</v>
      </c>
      <c r="BR183" s="845">
        <v>1</v>
      </c>
      <c r="BS183" s="845">
        <v>1</v>
      </c>
      <c r="BT183" s="845">
        <v>2</v>
      </c>
      <c r="BU183" s="752">
        <f t="shared" si="159"/>
        <v>2</v>
      </c>
      <c r="BV183" s="845">
        <v>3</v>
      </c>
      <c r="BW183" s="845">
        <v>3</v>
      </c>
      <c r="BX183" s="845">
        <v>3</v>
      </c>
      <c r="BY183" s="845">
        <v>3</v>
      </c>
      <c r="BZ183" s="752">
        <f t="shared" si="160"/>
        <v>3</v>
      </c>
      <c r="CA183" s="845">
        <v>3</v>
      </c>
      <c r="CB183" s="845">
        <v>3</v>
      </c>
      <c r="CC183" s="845">
        <v>3</v>
      </c>
      <c r="CD183" s="845">
        <v>3</v>
      </c>
      <c r="CE183" s="752">
        <f t="shared" si="161"/>
        <v>3</v>
      </c>
      <c r="CF183" s="845">
        <v>3</v>
      </c>
      <c r="CG183" s="845">
        <v>3</v>
      </c>
      <c r="CH183" s="845">
        <v>3</v>
      </c>
      <c r="CI183" s="845">
        <v>4</v>
      </c>
      <c r="CJ183" s="752">
        <f t="shared" si="156"/>
        <v>4</v>
      </c>
      <c r="CK183" s="844">
        <v>6</v>
      </c>
      <c r="CL183" s="844">
        <v>7</v>
      </c>
      <c r="CM183" s="844">
        <v>7</v>
      </c>
      <c r="CN183" s="844">
        <v>6</v>
      </c>
      <c r="CO183" s="752">
        <f t="shared" si="157"/>
        <v>6</v>
      </c>
      <c r="CP183" s="844"/>
      <c r="CQ183" s="844"/>
      <c r="CR183" s="212"/>
      <c r="CS183" s="212"/>
      <c r="CT183" s="194"/>
      <c r="CU183" s="194"/>
      <c r="CV183" s="194"/>
    </row>
    <row r="184" spans="1:106" x14ac:dyDescent="0.2">
      <c r="A184" s="2308" t="s">
        <v>608</v>
      </c>
      <c r="B184" s="651"/>
      <c r="C184" s="236"/>
      <c r="D184" s="234"/>
      <c r="E184" s="234"/>
      <c r="F184" s="234"/>
      <c r="G184" s="234"/>
      <c r="H184" s="848"/>
      <c r="I184" s="845">
        <v>0</v>
      </c>
      <c r="J184" s="845">
        <v>0</v>
      </c>
      <c r="K184" s="845">
        <v>0</v>
      </c>
      <c r="L184" s="845">
        <v>0</v>
      </c>
      <c r="M184" s="848">
        <v>0</v>
      </c>
      <c r="N184" s="845">
        <v>0</v>
      </c>
      <c r="O184" s="845">
        <v>0</v>
      </c>
      <c r="P184" s="845">
        <v>0</v>
      </c>
      <c r="Q184" s="845">
        <v>0</v>
      </c>
      <c r="R184" s="848">
        <v>0</v>
      </c>
      <c r="S184" s="845">
        <v>0</v>
      </c>
      <c r="T184" s="845">
        <v>0</v>
      </c>
      <c r="U184" s="845">
        <v>0</v>
      </c>
      <c r="V184" s="845">
        <v>0</v>
      </c>
      <c r="W184" s="848">
        <v>0</v>
      </c>
      <c r="X184" s="845">
        <v>0</v>
      </c>
      <c r="Y184" s="845">
        <v>0</v>
      </c>
      <c r="Z184" s="845">
        <v>0</v>
      </c>
      <c r="AA184" s="845">
        <v>0</v>
      </c>
      <c r="AB184" s="848">
        <v>0</v>
      </c>
      <c r="AC184" s="845">
        <v>0</v>
      </c>
      <c r="AD184" s="845">
        <v>0</v>
      </c>
      <c r="AE184" s="845">
        <v>0</v>
      </c>
      <c r="AF184" s="845">
        <v>0</v>
      </c>
      <c r="AG184" s="848">
        <v>0</v>
      </c>
      <c r="AH184" s="845">
        <v>0</v>
      </c>
      <c r="AI184" s="845">
        <v>0</v>
      </c>
      <c r="AJ184" s="845">
        <v>0</v>
      </c>
      <c r="AK184" s="845">
        <v>0</v>
      </c>
      <c r="AL184" s="848">
        <v>0</v>
      </c>
      <c r="AM184" s="845">
        <v>0</v>
      </c>
      <c r="AN184" s="845">
        <v>0</v>
      </c>
      <c r="AO184" s="845">
        <v>0</v>
      </c>
      <c r="AP184" s="845">
        <v>0</v>
      </c>
      <c r="AQ184" s="848">
        <v>0</v>
      </c>
      <c r="AR184" s="845">
        <v>0</v>
      </c>
      <c r="AS184" s="845">
        <v>0</v>
      </c>
      <c r="AT184" s="845">
        <v>0</v>
      </c>
      <c r="AU184" s="845">
        <v>0</v>
      </c>
      <c r="AV184" s="848">
        <v>0</v>
      </c>
      <c r="AW184" s="845">
        <v>0</v>
      </c>
      <c r="AX184" s="845">
        <v>0</v>
      </c>
      <c r="AY184" s="845">
        <v>0</v>
      </c>
      <c r="AZ184" s="845">
        <v>0</v>
      </c>
      <c r="BA184" s="848">
        <v>0</v>
      </c>
      <c r="BB184" s="845">
        <v>0</v>
      </c>
      <c r="BC184" s="845">
        <v>0</v>
      </c>
      <c r="BD184" s="845">
        <v>0</v>
      </c>
      <c r="BE184" s="845">
        <v>0</v>
      </c>
      <c r="BF184" s="848">
        <v>0</v>
      </c>
      <c r="BG184" s="845">
        <v>0</v>
      </c>
      <c r="BH184" s="845">
        <v>0</v>
      </c>
      <c r="BI184" s="845">
        <v>0</v>
      </c>
      <c r="BJ184" s="845">
        <v>0</v>
      </c>
      <c r="BK184" s="848">
        <v>0</v>
      </c>
      <c r="BL184" s="845">
        <v>0</v>
      </c>
      <c r="BM184" s="845">
        <v>0</v>
      </c>
      <c r="BN184" s="845">
        <v>0</v>
      </c>
      <c r="BO184" s="845"/>
      <c r="BP184" s="752">
        <f>+BO184</f>
        <v>0</v>
      </c>
      <c r="BQ184" s="845">
        <v>0</v>
      </c>
      <c r="BR184" s="845">
        <v>0</v>
      </c>
      <c r="BS184" s="845">
        <v>0</v>
      </c>
      <c r="BT184" s="845">
        <v>0</v>
      </c>
      <c r="BU184" s="752">
        <f>+BT184</f>
        <v>0</v>
      </c>
      <c r="BV184" s="845">
        <v>0</v>
      </c>
      <c r="BW184" s="845">
        <v>0</v>
      </c>
      <c r="BX184" s="845">
        <v>0</v>
      </c>
      <c r="BY184" s="845">
        <v>0</v>
      </c>
      <c r="BZ184" s="752">
        <f>+BY184</f>
        <v>0</v>
      </c>
      <c r="CA184" s="845">
        <v>0</v>
      </c>
      <c r="CB184" s="845">
        <v>0</v>
      </c>
      <c r="CC184" s="845">
        <v>0</v>
      </c>
      <c r="CD184" s="845">
        <v>0</v>
      </c>
      <c r="CE184" s="752">
        <f>+CD184</f>
        <v>0</v>
      </c>
      <c r="CF184" s="845">
        <v>0</v>
      </c>
      <c r="CG184" s="845">
        <v>0</v>
      </c>
      <c r="CH184" s="845">
        <v>0</v>
      </c>
      <c r="CI184" s="845">
        <v>0</v>
      </c>
      <c r="CJ184" s="752">
        <f>+CI184</f>
        <v>0</v>
      </c>
      <c r="CK184" s="844">
        <v>0</v>
      </c>
      <c r="CL184" s="844">
        <v>0</v>
      </c>
      <c r="CM184" s="844">
        <v>1</v>
      </c>
      <c r="CN184" s="844">
        <v>3</v>
      </c>
      <c r="CO184" s="752">
        <f>+CN184</f>
        <v>3</v>
      </c>
      <c r="CP184" s="844"/>
      <c r="CQ184" s="844"/>
      <c r="CR184" s="212"/>
      <c r="CS184" s="212"/>
      <c r="CT184" s="194"/>
      <c r="CU184" s="194"/>
      <c r="CV184" s="194"/>
    </row>
    <row r="185" spans="1:106" x14ac:dyDescent="0.2">
      <c r="A185" s="1434" t="s">
        <v>510</v>
      </c>
      <c r="B185" s="651"/>
      <c r="C185" s="236"/>
      <c r="D185" s="234"/>
      <c r="E185" s="234"/>
      <c r="F185" s="234"/>
      <c r="G185" s="234"/>
      <c r="H185" s="752"/>
      <c r="I185" s="758">
        <f>+I918-I218</f>
        <v>16</v>
      </c>
      <c r="J185" s="758">
        <f>+J918-J218</f>
        <v>16</v>
      </c>
      <c r="K185" s="758">
        <f>+K918-K218</f>
        <v>16</v>
      </c>
      <c r="L185" s="758">
        <f>+L918-L218</f>
        <v>18</v>
      </c>
      <c r="M185" s="752">
        <f>L185</f>
        <v>18</v>
      </c>
      <c r="N185" s="758">
        <f>+N918-N218</f>
        <v>17</v>
      </c>
      <c r="O185" s="758">
        <f>+O918-O218</f>
        <v>17</v>
      </c>
      <c r="P185" s="756">
        <v>17</v>
      </c>
      <c r="Q185" s="756">
        <v>18</v>
      </c>
      <c r="R185" s="752">
        <f>Q185</f>
        <v>18</v>
      </c>
      <c r="S185" s="756">
        <v>18</v>
      </c>
      <c r="T185" s="756">
        <v>19</v>
      </c>
      <c r="U185" s="756">
        <v>19</v>
      </c>
      <c r="V185" s="754">
        <v>20</v>
      </c>
      <c r="W185" s="752">
        <f>V185</f>
        <v>20</v>
      </c>
      <c r="X185" s="756">
        <v>20</v>
      </c>
      <c r="Y185" s="756">
        <v>20</v>
      </c>
      <c r="Z185" s="756">
        <v>20</v>
      </c>
      <c r="AA185" s="754">
        <v>20</v>
      </c>
      <c r="AB185" s="752">
        <f>+AA185</f>
        <v>20</v>
      </c>
      <c r="AC185" s="756">
        <v>20</v>
      </c>
      <c r="AD185" s="756">
        <v>21</v>
      </c>
      <c r="AE185" s="756">
        <v>21</v>
      </c>
      <c r="AF185" s="754">
        <v>22</v>
      </c>
      <c r="AG185" s="752">
        <f>+AF185</f>
        <v>22</v>
      </c>
      <c r="AH185" s="756">
        <v>23</v>
      </c>
      <c r="AI185" s="756">
        <v>23</v>
      </c>
      <c r="AJ185" s="756">
        <v>23</v>
      </c>
      <c r="AK185" s="754">
        <v>23</v>
      </c>
      <c r="AL185" s="752">
        <f>+AK185</f>
        <v>23</v>
      </c>
      <c r="AM185" s="756">
        <v>25</v>
      </c>
      <c r="AN185" s="756">
        <v>26</v>
      </c>
      <c r="AO185" s="756">
        <v>28</v>
      </c>
      <c r="AP185" s="754">
        <v>31</v>
      </c>
      <c r="AQ185" s="752">
        <f>+AP185</f>
        <v>31</v>
      </c>
      <c r="AR185" s="756">
        <v>31</v>
      </c>
      <c r="AS185" s="756">
        <v>32</v>
      </c>
      <c r="AT185" s="756">
        <v>32</v>
      </c>
      <c r="AU185" s="754">
        <v>33</v>
      </c>
      <c r="AV185" s="752">
        <f>+AU185</f>
        <v>33</v>
      </c>
      <c r="AW185" s="756">
        <v>34</v>
      </c>
      <c r="AX185" s="756">
        <v>33</v>
      </c>
      <c r="AY185" s="756">
        <v>33</v>
      </c>
      <c r="AZ185" s="756">
        <v>34</v>
      </c>
      <c r="BA185" s="752">
        <f>+AZ185</f>
        <v>34</v>
      </c>
      <c r="BB185" s="756">
        <v>34</v>
      </c>
      <c r="BC185" s="756">
        <v>34</v>
      </c>
      <c r="BD185" s="756">
        <v>35</v>
      </c>
      <c r="BE185" s="754">
        <v>35</v>
      </c>
      <c r="BF185" s="752">
        <f>+BE185</f>
        <v>35</v>
      </c>
      <c r="BG185" s="755">
        <v>37</v>
      </c>
      <c r="BH185" s="756">
        <v>38</v>
      </c>
      <c r="BI185" s="756">
        <v>39</v>
      </c>
      <c r="BJ185" s="756">
        <v>40</v>
      </c>
      <c r="BK185" s="752">
        <f>+BJ185</f>
        <v>40</v>
      </c>
      <c r="BL185" s="756">
        <v>40</v>
      </c>
      <c r="BM185" s="756">
        <v>41</v>
      </c>
      <c r="BN185" s="756">
        <v>42</v>
      </c>
      <c r="BO185" s="756">
        <v>43</v>
      </c>
      <c r="BP185" s="752">
        <f t="shared" si="158"/>
        <v>43</v>
      </c>
      <c r="BQ185" s="756">
        <v>44</v>
      </c>
      <c r="BR185" s="756">
        <v>43</v>
      </c>
      <c r="BS185" s="756">
        <v>43</v>
      </c>
      <c r="BT185" s="756">
        <v>48</v>
      </c>
      <c r="BU185" s="752">
        <f t="shared" si="159"/>
        <v>48</v>
      </c>
      <c r="BV185" s="756">
        <v>48</v>
      </c>
      <c r="BW185" s="756">
        <v>48</v>
      </c>
      <c r="BX185" s="756">
        <v>48</v>
      </c>
      <c r="BY185" s="756">
        <v>49</v>
      </c>
      <c r="BZ185" s="752">
        <f t="shared" si="160"/>
        <v>49</v>
      </c>
      <c r="CA185" s="756">
        <v>48</v>
      </c>
      <c r="CB185" s="756">
        <v>49</v>
      </c>
      <c r="CC185" s="756">
        <v>51</v>
      </c>
      <c r="CD185" s="756">
        <v>54</v>
      </c>
      <c r="CE185" s="752">
        <f t="shared" si="161"/>
        <v>54</v>
      </c>
      <c r="CF185" s="756">
        <v>54</v>
      </c>
      <c r="CG185" s="756">
        <v>54</v>
      </c>
      <c r="CH185" s="756">
        <v>50</v>
      </c>
      <c r="CI185" s="756">
        <v>51</v>
      </c>
      <c r="CJ185" s="752">
        <f t="shared" si="156"/>
        <v>51</v>
      </c>
      <c r="CK185" s="3508">
        <v>52</v>
      </c>
      <c r="CL185" s="3508">
        <v>53</v>
      </c>
      <c r="CM185" s="3508">
        <v>54</v>
      </c>
      <c r="CN185" s="3508">
        <v>55</v>
      </c>
      <c r="CO185" s="752">
        <f t="shared" si="157"/>
        <v>55</v>
      </c>
      <c r="CP185" s="3508"/>
      <c r="CQ185" s="3508"/>
      <c r="CR185" s="212"/>
      <c r="CS185" s="212"/>
      <c r="CT185" s="194"/>
      <c r="CU185" s="194"/>
      <c r="CV185" s="194"/>
    </row>
    <row r="186" spans="1:106" x14ac:dyDescent="0.2">
      <c r="A186" s="1434" t="s">
        <v>383</v>
      </c>
      <c r="B186" s="651"/>
      <c r="C186" s="236"/>
      <c r="D186" s="234"/>
      <c r="E186" s="234"/>
      <c r="F186" s="234"/>
      <c r="G186" s="234"/>
      <c r="H186" s="848"/>
      <c r="I186" s="845">
        <v>0</v>
      </c>
      <c r="J186" s="845">
        <v>0</v>
      </c>
      <c r="K186" s="845">
        <v>0</v>
      </c>
      <c r="L186" s="845">
        <v>0</v>
      </c>
      <c r="M186" s="848">
        <v>0</v>
      </c>
      <c r="N186" s="845">
        <v>0</v>
      </c>
      <c r="O186" s="845">
        <v>0</v>
      </c>
      <c r="P186" s="845">
        <v>0</v>
      </c>
      <c r="Q186" s="845">
        <v>0</v>
      </c>
      <c r="R186" s="848">
        <v>0</v>
      </c>
      <c r="S186" s="845">
        <v>0</v>
      </c>
      <c r="T186" s="845">
        <v>0</v>
      </c>
      <c r="U186" s="845">
        <v>0</v>
      </c>
      <c r="V186" s="845">
        <v>0</v>
      </c>
      <c r="W186" s="848">
        <v>0</v>
      </c>
      <c r="X186" s="845">
        <v>0</v>
      </c>
      <c r="Y186" s="845">
        <v>0</v>
      </c>
      <c r="Z186" s="845">
        <v>0</v>
      </c>
      <c r="AA186" s="845">
        <v>0</v>
      </c>
      <c r="AB186" s="848">
        <v>0</v>
      </c>
      <c r="AC186" s="845">
        <v>0</v>
      </c>
      <c r="AD186" s="845">
        <v>0</v>
      </c>
      <c r="AE186" s="845">
        <v>0</v>
      </c>
      <c r="AF186" s="845">
        <v>0</v>
      </c>
      <c r="AG186" s="848">
        <v>0</v>
      </c>
      <c r="AH186" s="845">
        <v>0</v>
      </c>
      <c r="AI186" s="845">
        <v>0</v>
      </c>
      <c r="AJ186" s="845">
        <v>0</v>
      </c>
      <c r="AK186" s="845">
        <v>0</v>
      </c>
      <c r="AL186" s="848">
        <v>0</v>
      </c>
      <c r="AM186" s="845">
        <v>0</v>
      </c>
      <c r="AN186" s="845">
        <v>0</v>
      </c>
      <c r="AO186" s="845">
        <v>0</v>
      </c>
      <c r="AP186" s="845">
        <v>0</v>
      </c>
      <c r="AQ186" s="848">
        <v>0</v>
      </c>
      <c r="AR186" s="845">
        <v>0</v>
      </c>
      <c r="AS186" s="845">
        <v>0</v>
      </c>
      <c r="AT186" s="845">
        <v>0</v>
      </c>
      <c r="AU186" s="845">
        <v>0</v>
      </c>
      <c r="AV186" s="848">
        <v>0</v>
      </c>
      <c r="AW186" s="845">
        <v>0</v>
      </c>
      <c r="AX186" s="845">
        <v>0</v>
      </c>
      <c r="AY186" s="845">
        <v>0</v>
      </c>
      <c r="AZ186" s="845">
        <v>0</v>
      </c>
      <c r="BA186" s="848">
        <v>0</v>
      </c>
      <c r="BB186" s="845">
        <v>0</v>
      </c>
      <c r="BC186" s="845">
        <v>0</v>
      </c>
      <c r="BD186" s="845">
        <v>0</v>
      </c>
      <c r="BE186" s="845">
        <v>0</v>
      </c>
      <c r="BF186" s="848">
        <v>0</v>
      </c>
      <c r="BG186" s="845">
        <v>0</v>
      </c>
      <c r="BH186" s="845">
        <v>0</v>
      </c>
      <c r="BI186" s="845">
        <v>0</v>
      </c>
      <c r="BJ186" s="845">
        <v>0</v>
      </c>
      <c r="BK186" s="848">
        <v>0</v>
      </c>
      <c r="BL186" s="845">
        <v>1</v>
      </c>
      <c r="BM186" s="845">
        <v>1</v>
      </c>
      <c r="BN186" s="845">
        <v>1</v>
      </c>
      <c r="BO186" s="845">
        <v>1</v>
      </c>
      <c r="BP186" s="752">
        <f t="shared" si="158"/>
        <v>1</v>
      </c>
      <c r="BQ186" s="845">
        <v>1</v>
      </c>
      <c r="BR186" s="845">
        <v>1</v>
      </c>
      <c r="BS186" s="845">
        <v>1</v>
      </c>
      <c r="BT186" s="845">
        <v>1</v>
      </c>
      <c r="BU186" s="752">
        <f t="shared" si="159"/>
        <v>1</v>
      </c>
      <c r="BV186" s="845">
        <v>2</v>
      </c>
      <c r="BW186" s="845">
        <v>2</v>
      </c>
      <c r="BX186" s="845">
        <v>1</v>
      </c>
      <c r="BY186" s="845">
        <v>1</v>
      </c>
      <c r="BZ186" s="752">
        <f t="shared" si="160"/>
        <v>1</v>
      </c>
      <c r="CA186" s="845">
        <v>1</v>
      </c>
      <c r="CB186" s="845">
        <v>1</v>
      </c>
      <c r="CC186" s="845">
        <v>1</v>
      </c>
      <c r="CD186" s="845">
        <v>1</v>
      </c>
      <c r="CE186" s="752">
        <f t="shared" si="161"/>
        <v>1</v>
      </c>
      <c r="CF186" s="845">
        <v>1</v>
      </c>
      <c r="CG186" s="845">
        <v>1</v>
      </c>
      <c r="CH186" s="845">
        <v>1</v>
      </c>
      <c r="CI186" s="845">
        <v>2</v>
      </c>
      <c r="CJ186" s="752">
        <f t="shared" si="156"/>
        <v>2</v>
      </c>
      <c r="CK186" s="844">
        <v>2</v>
      </c>
      <c r="CL186" s="844">
        <v>2</v>
      </c>
      <c r="CM186" s="844">
        <v>2</v>
      </c>
      <c r="CN186" s="844">
        <v>2</v>
      </c>
      <c r="CO186" s="752">
        <f t="shared" si="157"/>
        <v>2</v>
      </c>
      <c r="CP186" s="844"/>
      <c r="CQ186" s="844"/>
      <c r="CR186" s="212"/>
      <c r="CS186" s="212"/>
      <c r="CT186" s="194"/>
      <c r="CU186" s="194"/>
      <c r="CV186" s="194"/>
    </row>
    <row r="187" spans="1:106" x14ac:dyDescent="0.2">
      <c r="A187" s="1434" t="s">
        <v>511</v>
      </c>
      <c r="B187" s="651"/>
      <c r="C187" s="236"/>
      <c r="D187" s="234"/>
      <c r="E187" s="234"/>
      <c r="F187" s="234"/>
      <c r="G187" s="234"/>
      <c r="H187" s="752"/>
      <c r="I187" s="845">
        <v>0</v>
      </c>
      <c r="J187" s="845">
        <v>0</v>
      </c>
      <c r="K187" s="845">
        <v>0</v>
      </c>
      <c r="L187" s="845">
        <v>0</v>
      </c>
      <c r="M187" s="848">
        <f>L187</f>
        <v>0</v>
      </c>
      <c r="N187" s="758">
        <v>0</v>
      </c>
      <c r="O187" s="758">
        <v>0</v>
      </c>
      <c r="P187" s="758">
        <v>0</v>
      </c>
      <c r="Q187" s="758">
        <v>0</v>
      </c>
      <c r="R187" s="752">
        <f>Q187</f>
        <v>0</v>
      </c>
      <c r="S187" s="758"/>
      <c r="T187" s="758"/>
      <c r="U187" s="758"/>
      <c r="V187" s="751"/>
      <c r="W187" s="752"/>
      <c r="X187" s="758"/>
      <c r="Y187" s="756">
        <v>1</v>
      </c>
      <c r="Z187" s="756">
        <v>1</v>
      </c>
      <c r="AA187" s="754">
        <v>1</v>
      </c>
      <c r="AB187" s="752">
        <f>+AA187</f>
        <v>1</v>
      </c>
      <c r="AC187" s="756">
        <v>1</v>
      </c>
      <c r="AD187" s="756">
        <v>1</v>
      </c>
      <c r="AE187" s="756">
        <v>1</v>
      </c>
      <c r="AF187" s="754">
        <v>1</v>
      </c>
      <c r="AG187" s="752">
        <f>+AF187</f>
        <v>1</v>
      </c>
      <c r="AH187" s="756">
        <v>1</v>
      </c>
      <c r="AI187" s="756">
        <v>1</v>
      </c>
      <c r="AJ187" s="756">
        <v>1</v>
      </c>
      <c r="AK187" s="754">
        <v>2</v>
      </c>
      <c r="AL187" s="752">
        <f>+AK187</f>
        <v>2</v>
      </c>
      <c r="AM187" s="756">
        <v>2</v>
      </c>
      <c r="AN187" s="756">
        <v>2</v>
      </c>
      <c r="AO187" s="756">
        <v>2</v>
      </c>
      <c r="AP187" s="754">
        <v>2</v>
      </c>
      <c r="AQ187" s="752">
        <f>+AP187</f>
        <v>2</v>
      </c>
      <c r="AR187" s="756">
        <v>2</v>
      </c>
      <c r="AS187" s="756">
        <v>2</v>
      </c>
      <c r="AT187" s="756">
        <v>2</v>
      </c>
      <c r="AU187" s="754">
        <v>2</v>
      </c>
      <c r="AV187" s="752">
        <f>+AU187</f>
        <v>2</v>
      </c>
      <c r="AW187" s="756">
        <v>2</v>
      </c>
      <c r="AX187" s="756">
        <v>2</v>
      </c>
      <c r="AY187" s="756">
        <v>2</v>
      </c>
      <c r="AZ187" s="756">
        <v>2</v>
      </c>
      <c r="BA187" s="752">
        <f>+AZ187</f>
        <v>2</v>
      </c>
      <c r="BB187" s="756">
        <v>2</v>
      </c>
      <c r="BC187" s="756">
        <v>2</v>
      </c>
      <c r="BD187" s="756">
        <v>2</v>
      </c>
      <c r="BE187" s="754">
        <v>2</v>
      </c>
      <c r="BF187" s="752">
        <f>+BE187</f>
        <v>2</v>
      </c>
      <c r="BG187" s="755">
        <v>2</v>
      </c>
      <c r="BH187" s="756">
        <v>2</v>
      </c>
      <c r="BI187" s="756">
        <v>2</v>
      </c>
      <c r="BJ187" s="756">
        <v>2</v>
      </c>
      <c r="BK187" s="752">
        <f>+BJ187</f>
        <v>2</v>
      </c>
      <c r="BL187" s="756">
        <v>2</v>
      </c>
      <c r="BM187" s="756">
        <v>2</v>
      </c>
      <c r="BN187" s="756">
        <v>2</v>
      </c>
      <c r="BO187" s="756">
        <v>2</v>
      </c>
      <c r="BP187" s="752">
        <f t="shared" si="158"/>
        <v>2</v>
      </c>
      <c r="BQ187" s="756">
        <v>2</v>
      </c>
      <c r="BR187" s="756">
        <v>2</v>
      </c>
      <c r="BS187" s="756">
        <v>2</v>
      </c>
      <c r="BT187" s="756">
        <v>2</v>
      </c>
      <c r="BU187" s="752">
        <f t="shared" si="159"/>
        <v>2</v>
      </c>
      <c r="BV187" s="756">
        <v>2</v>
      </c>
      <c r="BW187" s="756">
        <v>2</v>
      </c>
      <c r="BX187" s="756">
        <v>2</v>
      </c>
      <c r="BY187" s="756">
        <v>2</v>
      </c>
      <c r="BZ187" s="752">
        <f t="shared" si="160"/>
        <v>2</v>
      </c>
      <c r="CA187" s="756">
        <v>2</v>
      </c>
      <c r="CB187" s="756">
        <v>2</v>
      </c>
      <c r="CC187" s="756">
        <v>2</v>
      </c>
      <c r="CD187" s="756">
        <v>2</v>
      </c>
      <c r="CE187" s="752">
        <f t="shared" si="161"/>
        <v>2</v>
      </c>
      <c r="CF187" s="756">
        <v>2</v>
      </c>
      <c r="CG187" s="756">
        <v>2</v>
      </c>
      <c r="CH187" s="756">
        <v>2</v>
      </c>
      <c r="CI187" s="756">
        <v>2</v>
      </c>
      <c r="CJ187" s="752">
        <f t="shared" si="156"/>
        <v>2</v>
      </c>
      <c r="CK187" s="3508">
        <v>2</v>
      </c>
      <c r="CL187" s="3508">
        <v>2</v>
      </c>
      <c r="CM187" s="3508">
        <v>3</v>
      </c>
      <c r="CN187" s="3508">
        <v>4</v>
      </c>
      <c r="CO187" s="752">
        <f t="shared" si="157"/>
        <v>4</v>
      </c>
      <c r="CP187" s="3508"/>
      <c r="CQ187" s="3508"/>
      <c r="CR187" s="212"/>
      <c r="CS187" s="212"/>
      <c r="CT187" s="194"/>
      <c r="CU187" s="194"/>
      <c r="CV187" s="194"/>
    </row>
    <row r="188" spans="1:106" x14ac:dyDescent="0.2">
      <c r="A188" s="1434" t="s">
        <v>656</v>
      </c>
      <c r="B188" s="651"/>
      <c r="C188" s="236"/>
      <c r="D188" s="234"/>
      <c r="E188" s="234"/>
      <c r="F188" s="234"/>
      <c r="G188" s="234"/>
      <c r="H188" s="848"/>
      <c r="I188" s="845">
        <v>0</v>
      </c>
      <c r="J188" s="845">
        <v>0</v>
      </c>
      <c r="K188" s="845">
        <v>0</v>
      </c>
      <c r="L188" s="845">
        <v>0</v>
      </c>
      <c r="M188" s="848">
        <v>0</v>
      </c>
      <c r="N188" s="845">
        <v>0</v>
      </c>
      <c r="O188" s="845">
        <v>0</v>
      </c>
      <c r="P188" s="845">
        <v>0</v>
      </c>
      <c r="Q188" s="845">
        <v>0</v>
      </c>
      <c r="R188" s="848">
        <v>0</v>
      </c>
      <c r="S188" s="845">
        <v>0</v>
      </c>
      <c r="T188" s="845">
        <v>0</v>
      </c>
      <c r="U188" s="845">
        <v>0</v>
      </c>
      <c r="V188" s="845">
        <v>0</v>
      </c>
      <c r="W188" s="848">
        <v>0</v>
      </c>
      <c r="X188" s="845">
        <v>0</v>
      </c>
      <c r="Y188" s="845">
        <v>0</v>
      </c>
      <c r="Z188" s="845">
        <v>0</v>
      </c>
      <c r="AA188" s="845">
        <v>0</v>
      </c>
      <c r="AB188" s="848">
        <v>0</v>
      </c>
      <c r="AC188" s="845">
        <v>0</v>
      </c>
      <c r="AD188" s="845">
        <v>0</v>
      </c>
      <c r="AE188" s="845">
        <v>0</v>
      </c>
      <c r="AF188" s="845">
        <v>0</v>
      </c>
      <c r="AG188" s="848">
        <v>0</v>
      </c>
      <c r="AH188" s="845">
        <v>0</v>
      </c>
      <c r="AI188" s="845">
        <v>0</v>
      </c>
      <c r="AJ188" s="845">
        <v>0</v>
      </c>
      <c r="AK188" s="845">
        <v>0</v>
      </c>
      <c r="AL188" s="848">
        <v>0</v>
      </c>
      <c r="AM188" s="845">
        <v>0</v>
      </c>
      <c r="AN188" s="845">
        <v>0</v>
      </c>
      <c r="AO188" s="845">
        <v>0</v>
      </c>
      <c r="AP188" s="845">
        <v>0</v>
      </c>
      <c r="AQ188" s="848">
        <v>0</v>
      </c>
      <c r="AR188" s="845">
        <v>0</v>
      </c>
      <c r="AS188" s="845">
        <v>0</v>
      </c>
      <c r="AT188" s="845">
        <v>0</v>
      </c>
      <c r="AU188" s="845">
        <v>0</v>
      </c>
      <c r="AV188" s="848">
        <v>0</v>
      </c>
      <c r="AW188" s="845">
        <v>0</v>
      </c>
      <c r="AX188" s="845">
        <v>0</v>
      </c>
      <c r="AY188" s="845">
        <v>0</v>
      </c>
      <c r="AZ188" s="845">
        <v>0</v>
      </c>
      <c r="BA188" s="848">
        <v>0</v>
      </c>
      <c r="BB188" s="845">
        <v>0</v>
      </c>
      <c r="BC188" s="845">
        <v>0</v>
      </c>
      <c r="BD188" s="845">
        <v>0</v>
      </c>
      <c r="BE188" s="845">
        <v>0</v>
      </c>
      <c r="BF188" s="848">
        <v>0</v>
      </c>
      <c r="BG188" s="845">
        <v>1</v>
      </c>
      <c r="BH188" s="845">
        <v>1</v>
      </c>
      <c r="BI188" s="845">
        <v>1</v>
      </c>
      <c r="BJ188" s="845">
        <v>1</v>
      </c>
      <c r="BK188" s="661">
        <f>BJ188</f>
        <v>1</v>
      </c>
      <c r="BL188" s="845">
        <v>0</v>
      </c>
      <c r="BM188" s="845">
        <v>0</v>
      </c>
      <c r="BN188" s="845">
        <v>0</v>
      </c>
      <c r="BO188" s="845">
        <v>0</v>
      </c>
      <c r="BP188" s="661">
        <f>BO188</f>
        <v>0</v>
      </c>
      <c r="BQ188" s="845">
        <v>0</v>
      </c>
      <c r="BR188" s="845">
        <v>0</v>
      </c>
      <c r="BS188" s="845">
        <v>0</v>
      </c>
      <c r="BT188" s="845">
        <v>0</v>
      </c>
      <c r="BU188" s="661">
        <f>BT188</f>
        <v>0</v>
      </c>
      <c r="BV188" s="845">
        <v>0</v>
      </c>
      <c r="BW188" s="845">
        <v>0</v>
      </c>
      <c r="BX188" s="845">
        <v>0</v>
      </c>
      <c r="BY188" s="845">
        <v>0</v>
      </c>
      <c r="BZ188" s="661">
        <f>BY188</f>
        <v>0</v>
      </c>
      <c r="CA188" s="845">
        <v>0</v>
      </c>
      <c r="CB188" s="845">
        <v>0</v>
      </c>
      <c r="CC188" s="845">
        <v>0</v>
      </c>
      <c r="CD188" s="845">
        <v>0</v>
      </c>
      <c r="CE188" s="661">
        <f>CD188</f>
        <v>0</v>
      </c>
      <c r="CF188" s="845">
        <v>0</v>
      </c>
      <c r="CG188" s="845">
        <v>0</v>
      </c>
      <c r="CH188" s="845">
        <v>0</v>
      </c>
      <c r="CI188" s="845">
        <v>0</v>
      </c>
      <c r="CJ188" s="661">
        <f>CI188</f>
        <v>0</v>
      </c>
      <c r="CK188" s="844">
        <v>0</v>
      </c>
      <c r="CL188" s="844">
        <v>0</v>
      </c>
      <c r="CM188" s="844">
        <v>0</v>
      </c>
      <c r="CN188" s="844">
        <v>0</v>
      </c>
      <c r="CO188" s="661">
        <f>CN188</f>
        <v>0</v>
      </c>
      <c r="CP188" s="844"/>
      <c r="CQ188" s="844"/>
      <c r="CR188" s="212"/>
      <c r="CS188" s="212"/>
      <c r="CT188" s="194"/>
      <c r="CU188" s="194"/>
      <c r="CV188" s="194"/>
    </row>
    <row r="189" spans="1:106" x14ac:dyDescent="0.2">
      <c r="A189" s="1434" t="s">
        <v>1386</v>
      </c>
      <c r="B189" s="651"/>
      <c r="C189" s="236"/>
      <c r="D189" s="234"/>
      <c r="E189" s="234"/>
      <c r="F189" s="234"/>
      <c r="G189" s="234"/>
      <c r="H189" s="752"/>
      <c r="I189" s="758">
        <f>+I925-I222</f>
        <v>25</v>
      </c>
      <c r="J189" s="758">
        <f>+J925-J222</f>
        <v>25</v>
      </c>
      <c r="K189" s="758">
        <f>+K925-K222</f>
        <v>25</v>
      </c>
      <c r="L189" s="758">
        <f>+L925-L222</f>
        <v>25</v>
      </c>
      <c r="M189" s="752">
        <f>L189</f>
        <v>25</v>
      </c>
      <c r="N189" s="758">
        <f>+N925-N222</f>
        <v>25</v>
      </c>
      <c r="O189" s="758">
        <f>+O925-O222</f>
        <v>25</v>
      </c>
      <c r="P189" s="756">
        <v>25</v>
      </c>
      <c r="Q189" s="756">
        <v>24</v>
      </c>
      <c r="R189" s="752">
        <f>Q189</f>
        <v>24</v>
      </c>
      <c r="S189" s="756">
        <v>24</v>
      </c>
      <c r="T189" s="756">
        <v>23</v>
      </c>
      <c r="U189" s="756">
        <v>23</v>
      </c>
      <c r="V189" s="754">
        <v>25</v>
      </c>
      <c r="W189" s="752">
        <f>V189</f>
        <v>25</v>
      </c>
      <c r="X189" s="756">
        <v>26</v>
      </c>
      <c r="Y189" s="756">
        <v>26</v>
      </c>
      <c r="Z189" s="756">
        <v>27</v>
      </c>
      <c r="AA189" s="754">
        <v>29</v>
      </c>
      <c r="AB189" s="752">
        <f>+AA189</f>
        <v>29</v>
      </c>
      <c r="AC189" s="756">
        <v>30</v>
      </c>
      <c r="AD189" s="756">
        <v>31</v>
      </c>
      <c r="AE189" s="756">
        <v>30</v>
      </c>
      <c r="AF189" s="754">
        <v>31</v>
      </c>
      <c r="AG189" s="752">
        <f>+AF189</f>
        <v>31</v>
      </c>
      <c r="AH189" s="756">
        <v>33</v>
      </c>
      <c r="AI189" s="756">
        <v>35</v>
      </c>
      <c r="AJ189" s="756">
        <v>36</v>
      </c>
      <c r="AK189" s="754">
        <v>37</v>
      </c>
      <c r="AL189" s="752">
        <f>+AK189</f>
        <v>37</v>
      </c>
      <c r="AM189" s="756">
        <v>36</v>
      </c>
      <c r="AN189" s="756">
        <v>36</v>
      </c>
      <c r="AO189" s="756">
        <v>35</v>
      </c>
      <c r="AP189" s="754">
        <v>35</v>
      </c>
      <c r="AQ189" s="752">
        <f>+AP189</f>
        <v>35</v>
      </c>
      <c r="AR189" s="756">
        <v>34</v>
      </c>
      <c r="AS189" s="756">
        <v>35</v>
      </c>
      <c r="AT189" s="756">
        <v>36</v>
      </c>
      <c r="AU189" s="754">
        <v>37</v>
      </c>
      <c r="AV189" s="752">
        <f>+AU189</f>
        <v>37</v>
      </c>
      <c r="AW189" s="756">
        <v>39</v>
      </c>
      <c r="AX189" s="756">
        <v>41</v>
      </c>
      <c r="AY189" s="756">
        <v>42</v>
      </c>
      <c r="AZ189" s="756">
        <v>44</v>
      </c>
      <c r="BA189" s="752">
        <f>+AZ189</f>
        <v>44</v>
      </c>
      <c r="BB189" s="756">
        <v>45</v>
      </c>
      <c r="BC189" s="756">
        <v>48</v>
      </c>
      <c r="BD189" s="756">
        <v>48</v>
      </c>
      <c r="BE189" s="754">
        <v>49</v>
      </c>
      <c r="BF189" s="752">
        <f>+BE189</f>
        <v>49</v>
      </c>
      <c r="BG189" s="755">
        <v>52</v>
      </c>
      <c r="BH189" s="756">
        <v>51</v>
      </c>
      <c r="BI189" s="756">
        <v>52</v>
      </c>
      <c r="BJ189" s="756">
        <v>55</v>
      </c>
      <c r="BK189" s="752">
        <f>+BJ189</f>
        <v>55</v>
      </c>
      <c r="BL189" s="756">
        <v>54</v>
      </c>
      <c r="BM189" s="756">
        <v>52</v>
      </c>
      <c r="BN189" s="756">
        <v>53</v>
      </c>
      <c r="BO189" s="756">
        <v>53</v>
      </c>
      <c r="BP189" s="752">
        <f t="shared" ref="BP189:BP196" si="162">+BO189</f>
        <v>53</v>
      </c>
      <c r="BQ189" s="756">
        <v>55</v>
      </c>
      <c r="BR189" s="756">
        <v>55</v>
      </c>
      <c r="BS189" s="756">
        <v>57</v>
      </c>
      <c r="BT189" s="756">
        <v>58</v>
      </c>
      <c r="BU189" s="752">
        <f t="shared" ref="BU189:BU196" si="163">+BT189</f>
        <v>58</v>
      </c>
      <c r="BV189" s="756">
        <v>60</v>
      </c>
      <c r="BW189" s="756">
        <v>63</v>
      </c>
      <c r="BX189" s="756">
        <v>63</v>
      </c>
      <c r="BY189" s="756">
        <v>63</v>
      </c>
      <c r="BZ189" s="752">
        <f t="shared" ref="BZ189:BZ196" si="164">+BY189</f>
        <v>63</v>
      </c>
      <c r="CA189" s="756">
        <v>64</v>
      </c>
      <c r="CB189" s="756">
        <v>64</v>
      </c>
      <c r="CC189" s="756">
        <v>67</v>
      </c>
      <c r="CD189" s="756">
        <v>71</v>
      </c>
      <c r="CE189" s="752">
        <f t="shared" ref="CE189:CE196" si="165">+CD189</f>
        <v>71</v>
      </c>
      <c r="CF189" s="756">
        <v>72</v>
      </c>
      <c r="CG189" s="756">
        <v>74</v>
      </c>
      <c r="CH189" s="756">
        <v>75</v>
      </c>
      <c r="CI189" s="756">
        <v>78</v>
      </c>
      <c r="CJ189" s="752">
        <f t="shared" ref="CJ189:CJ208" si="166">+CI189</f>
        <v>78</v>
      </c>
      <c r="CK189" s="3508">
        <v>79</v>
      </c>
      <c r="CL189" s="3508">
        <v>78</v>
      </c>
      <c r="CM189" s="3508">
        <v>79</v>
      </c>
      <c r="CN189" s="3508">
        <v>84</v>
      </c>
      <c r="CO189" s="752">
        <f t="shared" ref="CO189:CO208" si="167">+CN189</f>
        <v>84</v>
      </c>
      <c r="CP189" s="3508"/>
      <c r="CQ189" s="3508"/>
      <c r="CR189" s="212"/>
      <c r="CS189" s="212"/>
      <c r="CT189" s="194"/>
      <c r="CU189" s="194"/>
      <c r="CV189" s="194"/>
    </row>
    <row r="190" spans="1:106" x14ac:dyDescent="0.2">
      <c r="A190" s="2308" t="s">
        <v>2125</v>
      </c>
      <c r="B190" s="651"/>
      <c r="C190" s="236"/>
      <c r="D190" s="234"/>
      <c r="E190" s="234"/>
      <c r="F190" s="234"/>
      <c r="G190" s="234"/>
      <c r="H190" s="752"/>
      <c r="I190" s="758"/>
      <c r="J190" s="758"/>
      <c r="K190" s="758"/>
      <c r="L190" s="758"/>
      <c r="M190" s="752"/>
      <c r="N190" s="758"/>
      <c r="O190" s="758"/>
      <c r="P190" s="756"/>
      <c r="Q190" s="756"/>
      <c r="R190" s="752"/>
      <c r="S190" s="756"/>
      <c r="T190" s="756"/>
      <c r="U190" s="756"/>
      <c r="V190" s="756"/>
      <c r="W190" s="752"/>
      <c r="X190" s="756"/>
      <c r="Y190" s="756"/>
      <c r="Z190" s="756"/>
      <c r="AA190" s="756"/>
      <c r="AB190" s="752"/>
      <c r="AC190" s="756"/>
      <c r="AD190" s="756"/>
      <c r="AE190" s="756"/>
      <c r="AF190" s="756"/>
      <c r="AG190" s="752"/>
      <c r="AH190" s="756"/>
      <c r="AI190" s="756"/>
      <c r="AJ190" s="756"/>
      <c r="AK190" s="754"/>
      <c r="AL190" s="752"/>
      <c r="AM190" s="756"/>
      <c r="AN190" s="756"/>
      <c r="AO190" s="756"/>
      <c r="AP190" s="754"/>
      <c r="AQ190" s="752"/>
      <c r="AR190" s="756"/>
      <c r="AS190" s="756"/>
      <c r="AT190" s="756"/>
      <c r="AU190" s="754"/>
      <c r="AV190" s="752"/>
      <c r="AW190" s="756"/>
      <c r="AX190" s="756"/>
      <c r="AY190" s="756"/>
      <c r="AZ190" s="756"/>
      <c r="BA190" s="752"/>
      <c r="BB190" s="756"/>
      <c r="BC190" s="756"/>
      <c r="BD190" s="756"/>
      <c r="BE190" s="754"/>
      <c r="BF190" s="752"/>
      <c r="BG190" s="755"/>
      <c r="BH190" s="756"/>
      <c r="BI190" s="756"/>
      <c r="BJ190" s="756"/>
      <c r="BK190" s="752"/>
      <c r="BL190" s="756"/>
      <c r="BM190" s="756"/>
      <c r="BN190" s="756"/>
      <c r="BO190" s="756"/>
      <c r="BP190" s="752"/>
      <c r="BQ190" s="756"/>
      <c r="BR190" s="756"/>
      <c r="BS190" s="756"/>
      <c r="BT190" s="756"/>
      <c r="BU190" s="752"/>
      <c r="BV190" s="756"/>
      <c r="BW190" s="756">
        <v>43</v>
      </c>
      <c r="BX190" s="756">
        <v>43</v>
      </c>
      <c r="BY190" s="756">
        <v>43</v>
      </c>
      <c r="BZ190" s="752">
        <f t="shared" si="164"/>
        <v>43</v>
      </c>
      <c r="CA190" s="756">
        <v>45</v>
      </c>
      <c r="CB190" s="756">
        <v>37</v>
      </c>
      <c r="CC190" s="756">
        <v>37</v>
      </c>
      <c r="CD190" s="756">
        <v>37</v>
      </c>
      <c r="CE190" s="752">
        <f t="shared" si="165"/>
        <v>37</v>
      </c>
      <c r="CF190" s="756">
        <v>37</v>
      </c>
      <c r="CG190" s="756">
        <v>36</v>
      </c>
      <c r="CH190" s="756">
        <v>36</v>
      </c>
      <c r="CI190" s="756">
        <v>36</v>
      </c>
      <c r="CJ190" s="752">
        <f t="shared" si="166"/>
        <v>36</v>
      </c>
      <c r="CK190" s="3508">
        <v>36</v>
      </c>
      <c r="CL190" s="3508">
        <v>36</v>
      </c>
      <c r="CM190" s="3508">
        <v>36</v>
      </c>
      <c r="CN190" s="3508">
        <v>36</v>
      </c>
      <c r="CO190" s="752">
        <f t="shared" si="167"/>
        <v>36</v>
      </c>
      <c r="CP190" s="3508"/>
      <c r="CQ190" s="3508"/>
      <c r="CR190" s="212"/>
      <c r="CS190" s="212"/>
      <c r="CT190" s="194"/>
      <c r="CU190" s="194"/>
      <c r="CV190" s="194"/>
    </row>
    <row r="191" spans="1:106" x14ac:dyDescent="0.2">
      <c r="A191" s="1434" t="s">
        <v>1388</v>
      </c>
      <c r="B191" s="651"/>
      <c r="C191" s="236"/>
      <c r="D191" s="234"/>
      <c r="E191" s="234"/>
      <c r="F191" s="234"/>
      <c r="G191" s="234"/>
      <c r="H191" s="752"/>
      <c r="I191" s="845">
        <f>+I930-I224</f>
        <v>0</v>
      </c>
      <c r="J191" s="845">
        <f>+J930-J224</f>
        <v>0</v>
      </c>
      <c r="K191" s="845">
        <f>+K930-K224</f>
        <v>0</v>
      </c>
      <c r="L191" s="845">
        <f>+L930-L224</f>
        <v>0</v>
      </c>
      <c r="M191" s="848">
        <f>L191</f>
        <v>0</v>
      </c>
      <c r="N191" s="845">
        <f>+N930-N224</f>
        <v>0</v>
      </c>
      <c r="O191" s="845">
        <f>+O930-O224</f>
        <v>0</v>
      </c>
      <c r="P191" s="845">
        <v>0</v>
      </c>
      <c r="Q191" s="845">
        <v>0</v>
      </c>
      <c r="R191" s="848">
        <f>Q191</f>
        <v>0</v>
      </c>
      <c r="S191" s="845">
        <v>0</v>
      </c>
      <c r="T191" s="845">
        <v>0</v>
      </c>
      <c r="U191" s="845">
        <v>0</v>
      </c>
      <c r="V191" s="845">
        <v>0</v>
      </c>
      <c r="W191" s="848">
        <f>V191</f>
        <v>0</v>
      </c>
      <c r="X191" s="845">
        <v>0</v>
      </c>
      <c r="Y191" s="845">
        <v>0</v>
      </c>
      <c r="Z191" s="845">
        <v>0</v>
      </c>
      <c r="AA191" s="845">
        <v>0</v>
      </c>
      <c r="AB191" s="848">
        <f>+AA191</f>
        <v>0</v>
      </c>
      <c r="AC191" s="845">
        <v>0</v>
      </c>
      <c r="AD191" s="845">
        <v>0</v>
      </c>
      <c r="AE191" s="845">
        <v>0</v>
      </c>
      <c r="AF191" s="845">
        <v>0</v>
      </c>
      <c r="AG191" s="848">
        <f>+AF191</f>
        <v>0</v>
      </c>
      <c r="AH191" s="845">
        <v>0</v>
      </c>
      <c r="AI191" s="845">
        <v>0</v>
      </c>
      <c r="AJ191" s="845">
        <v>0</v>
      </c>
      <c r="AK191" s="754">
        <v>1</v>
      </c>
      <c r="AL191" s="752">
        <f>+AK191</f>
        <v>1</v>
      </c>
      <c r="AM191" s="756">
        <v>1</v>
      </c>
      <c r="AN191" s="756">
        <v>1</v>
      </c>
      <c r="AO191" s="756">
        <v>1</v>
      </c>
      <c r="AP191" s="754">
        <v>1</v>
      </c>
      <c r="AQ191" s="752">
        <f>+AP191</f>
        <v>1</v>
      </c>
      <c r="AR191" s="756">
        <v>1</v>
      </c>
      <c r="AS191" s="756">
        <v>1</v>
      </c>
      <c r="AT191" s="756">
        <v>1</v>
      </c>
      <c r="AU191" s="754">
        <v>1</v>
      </c>
      <c r="AV191" s="752">
        <f>+AU191</f>
        <v>1</v>
      </c>
      <c r="AW191" s="756">
        <v>1</v>
      </c>
      <c r="AX191" s="756">
        <v>3</v>
      </c>
      <c r="AY191" s="756">
        <v>3</v>
      </c>
      <c r="AZ191" s="756">
        <v>3</v>
      </c>
      <c r="BA191" s="752">
        <f>+AZ191</f>
        <v>3</v>
      </c>
      <c r="BB191" s="756">
        <v>3</v>
      </c>
      <c r="BC191" s="756">
        <v>3</v>
      </c>
      <c r="BD191" s="756">
        <v>3</v>
      </c>
      <c r="BE191" s="754">
        <v>3</v>
      </c>
      <c r="BF191" s="752">
        <f>+BE191</f>
        <v>3</v>
      </c>
      <c r="BG191" s="755">
        <v>3</v>
      </c>
      <c r="BH191" s="756">
        <v>3</v>
      </c>
      <c r="BI191" s="756">
        <v>3</v>
      </c>
      <c r="BJ191" s="756">
        <v>4</v>
      </c>
      <c r="BK191" s="752">
        <f>+BJ191</f>
        <v>4</v>
      </c>
      <c r="BL191" s="756">
        <v>6</v>
      </c>
      <c r="BM191" s="756">
        <v>6</v>
      </c>
      <c r="BN191" s="756">
        <v>6</v>
      </c>
      <c r="BO191" s="756">
        <v>6</v>
      </c>
      <c r="BP191" s="752">
        <f t="shared" si="162"/>
        <v>6</v>
      </c>
      <c r="BQ191" s="756">
        <v>6</v>
      </c>
      <c r="BR191" s="756">
        <v>6</v>
      </c>
      <c r="BS191" s="756">
        <v>6</v>
      </c>
      <c r="BT191" s="756">
        <v>6</v>
      </c>
      <c r="BU191" s="752">
        <f t="shared" si="163"/>
        <v>6</v>
      </c>
      <c r="BV191" s="756">
        <v>6</v>
      </c>
      <c r="BW191" s="756">
        <v>6</v>
      </c>
      <c r="BX191" s="756">
        <v>6</v>
      </c>
      <c r="BY191" s="756">
        <v>8</v>
      </c>
      <c r="BZ191" s="752">
        <f t="shared" si="164"/>
        <v>8</v>
      </c>
      <c r="CA191" s="756">
        <v>5</v>
      </c>
      <c r="CB191" s="756">
        <v>5</v>
      </c>
      <c r="CC191" s="756">
        <v>5</v>
      </c>
      <c r="CD191" s="756">
        <v>5</v>
      </c>
      <c r="CE191" s="752">
        <f t="shared" si="165"/>
        <v>5</v>
      </c>
      <c r="CF191" s="756">
        <v>5</v>
      </c>
      <c r="CG191" s="756">
        <v>5</v>
      </c>
      <c r="CH191" s="756">
        <v>5</v>
      </c>
      <c r="CI191" s="756">
        <v>5</v>
      </c>
      <c r="CJ191" s="752">
        <f t="shared" si="166"/>
        <v>5</v>
      </c>
      <c r="CK191" s="3508">
        <v>5</v>
      </c>
      <c r="CL191" s="3508">
        <v>5</v>
      </c>
      <c r="CM191" s="3508">
        <v>5</v>
      </c>
      <c r="CN191" s="3508">
        <v>6</v>
      </c>
      <c r="CO191" s="752">
        <f t="shared" si="167"/>
        <v>6</v>
      </c>
      <c r="CP191" s="3508"/>
      <c r="CQ191" s="3508"/>
      <c r="CR191" s="212"/>
      <c r="CS191" s="212"/>
      <c r="CT191" s="194"/>
      <c r="CU191" s="194"/>
      <c r="CV191" s="194"/>
    </row>
    <row r="192" spans="1:106" x14ac:dyDescent="0.2">
      <c r="A192" s="1436" t="s">
        <v>1391</v>
      </c>
      <c r="B192" s="651"/>
      <c r="C192" s="236"/>
      <c r="D192" s="234"/>
      <c r="E192" s="234"/>
      <c r="F192" s="234"/>
      <c r="G192" s="234"/>
      <c r="H192" s="848"/>
      <c r="I192" s="845">
        <v>0</v>
      </c>
      <c r="J192" s="845">
        <v>0</v>
      </c>
      <c r="K192" s="845">
        <v>0</v>
      </c>
      <c r="L192" s="845">
        <v>0</v>
      </c>
      <c r="M192" s="848">
        <v>0</v>
      </c>
      <c r="N192" s="845">
        <v>0</v>
      </c>
      <c r="O192" s="845">
        <v>0</v>
      </c>
      <c r="P192" s="845">
        <v>0</v>
      </c>
      <c r="Q192" s="845">
        <v>0</v>
      </c>
      <c r="R192" s="848">
        <v>0</v>
      </c>
      <c r="S192" s="845">
        <v>0</v>
      </c>
      <c r="T192" s="845">
        <v>0</v>
      </c>
      <c r="U192" s="845">
        <v>0</v>
      </c>
      <c r="V192" s="845">
        <v>0</v>
      </c>
      <c r="W192" s="848">
        <v>0</v>
      </c>
      <c r="X192" s="845">
        <v>0</v>
      </c>
      <c r="Y192" s="845">
        <v>0</v>
      </c>
      <c r="Z192" s="845">
        <v>0</v>
      </c>
      <c r="AA192" s="845">
        <v>0</v>
      </c>
      <c r="AB192" s="848">
        <v>0</v>
      </c>
      <c r="AC192" s="845">
        <v>0</v>
      </c>
      <c r="AD192" s="845">
        <v>0</v>
      </c>
      <c r="AE192" s="845">
        <v>0</v>
      </c>
      <c r="AF192" s="845">
        <v>0</v>
      </c>
      <c r="AG192" s="848">
        <v>0</v>
      </c>
      <c r="AH192" s="845">
        <v>0</v>
      </c>
      <c r="AI192" s="845">
        <v>0</v>
      </c>
      <c r="AJ192" s="845">
        <v>0</v>
      </c>
      <c r="AK192" s="845">
        <v>0</v>
      </c>
      <c r="AL192" s="848">
        <v>0</v>
      </c>
      <c r="AM192" s="845">
        <v>0</v>
      </c>
      <c r="AN192" s="845">
        <v>0</v>
      </c>
      <c r="AO192" s="845">
        <v>0</v>
      </c>
      <c r="AP192" s="845">
        <v>0</v>
      </c>
      <c r="AQ192" s="848">
        <v>0</v>
      </c>
      <c r="AR192" s="845">
        <v>0</v>
      </c>
      <c r="AS192" s="845">
        <v>0</v>
      </c>
      <c r="AT192" s="845">
        <v>0</v>
      </c>
      <c r="AU192" s="845">
        <v>0</v>
      </c>
      <c r="AV192" s="848">
        <v>0</v>
      </c>
      <c r="AW192" s="845">
        <v>0</v>
      </c>
      <c r="AX192" s="845">
        <v>0</v>
      </c>
      <c r="AY192" s="845">
        <v>0</v>
      </c>
      <c r="AZ192" s="845">
        <v>0</v>
      </c>
      <c r="BA192" s="848">
        <v>0</v>
      </c>
      <c r="BB192" s="845">
        <v>0</v>
      </c>
      <c r="BC192" s="845">
        <v>0</v>
      </c>
      <c r="BD192" s="845">
        <v>0</v>
      </c>
      <c r="BE192" s="845">
        <v>0</v>
      </c>
      <c r="BF192" s="848">
        <v>0</v>
      </c>
      <c r="BG192" s="845">
        <v>0</v>
      </c>
      <c r="BH192" s="845">
        <v>0</v>
      </c>
      <c r="BI192" s="845">
        <v>0</v>
      </c>
      <c r="BJ192" s="845">
        <v>0</v>
      </c>
      <c r="BK192" s="848">
        <v>0</v>
      </c>
      <c r="BL192" s="845"/>
      <c r="BM192" s="845"/>
      <c r="BN192" s="845"/>
      <c r="BO192" s="845"/>
      <c r="BP192" s="848">
        <f t="shared" si="162"/>
        <v>0</v>
      </c>
      <c r="BQ192" s="845">
        <v>0</v>
      </c>
      <c r="BR192" s="845">
        <v>0</v>
      </c>
      <c r="BS192" s="845">
        <v>0</v>
      </c>
      <c r="BT192" s="845">
        <v>0</v>
      </c>
      <c r="BU192" s="848">
        <f t="shared" si="163"/>
        <v>0</v>
      </c>
      <c r="BV192" s="845">
        <v>0</v>
      </c>
      <c r="BW192" s="845">
        <v>0</v>
      </c>
      <c r="BX192" s="845">
        <v>0</v>
      </c>
      <c r="BY192" s="845">
        <v>0</v>
      </c>
      <c r="BZ192" s="848">
        <f t="shared" si="164"/>
        <v>0</v>
      </c>
      <c r="CA192" s="845">
        <v>0</v>
      </c>
      <c r="CB192" s="845">
        <v>0</v>
      </c>
      <c r="CC192" s="845">
        <v>0</v>
      </c>
      <c r="CD192" s="845">
        <v>0</v>
      </c>
      <c r="CE192" s="848">
        <f t="shared" si="165"/>
        <v>0</v>
      </c>
      <c r="CF192" s="845">
        <v>0</v>
      </c>
      <c r="CG192" s="845">
        <v>0</v>
      </c>
      <c r="CH192" s="845">
        <v>0</v>
      </c>
      <c r="CI192" s="845">
        <v>0</v>
      </c>
      <c r="CJ192" s="848">
        <f t="shared" si="166"/>
        <v>0</v>
      </c>
      <c r="CK192" s="844">
        <v>0</v>
      </c>
      <c r="CL192" s="844">
        <v>0</v>
      </c>
      <c r="CM192" s="844">
        <v>0</v>
      </c>
      <c r="CN192" s="844">
        <v>0</v>
      </c>
      <c r="CO192" s="848">
        <f t="shared" si="167"/>
        <v>0</v>
      </c>
      <c r="CP192" s="844"/>
      <c r="CQ192" s="844"/>
      <c r="CR192" s="212"/>
      <c r="CS192" s="212"/>
      <c r="CT192" s="194"/>
      <c r="CU192" s="194"/>
      <c r="CV192" s="194"/>
    </row>
    <row r="193" spans="1:108" x14ac:dyDescent="0.2">
      <c r="A193" s="1436" t="s">
        <v>1389</v>
      </c>
      <c r="B193" s="651"/>
      <c r="C193" s="236"/>
      <c r="D193" s="234"/>
      <c r="E193" s="234"/>
      <c r="F193" s="234"/>
      <c r="G193" s="234"/>
      <c r="H193" s="848"/>
      <c r="I193" s="845">
        <v>0</v>
      </c>
      <c r="J193" s="845">
        <v>0</v>
      </c>
      <c r="K193" s="845">
        <v>0</v>
      </c>
      <c r="L193" s="845">
        <v>0</v>
      </c>
      <c r="M193" s="848">
        <v>0</v>
      </c>
      <c r="N193" s="845">
        <v>0</v>
      </c>
      <c r="O193" s="845">
        <v>0</v>
      </c>
      <c r="P193" s="845">
        <v>0</v>
      </c>
      <c r="Q193" s="845">
        <v>0</v>
      </c>
      <c r="R193" s="848">
        <v>0</v>
      </c>
      <c r="S193" s="845">
        <v>0</v>
      </c>
      <c r="T193" s="845">
        <v>0</v>
      </c>
      <c r="U193" s="845">
        <v>0</v>
      </c>
      <c r="V193" s="845">
        <v>0</v>
      </c>
      <c r="W193" s="848">
        <v>0</v>
      </c>
      <c r="X193" s="845">
        <v>0</v>
      </c>
      <c r="Y193" s="845">
        <v>0</v>
      </c>
      <c r="Z193" s="845">
        <v>0</v>
      </c>
      <c r="AA193" s="845">
        <v>0</v>
      </c>
      <c r="AB193" s="848">
        <v>0</v>
      </c>
      <c r="AC193" s="845">
        <v>0</v>
      </c>
      <c r="AD193" s="845">
        <v>0</v>
      </c>
      <c r="AE193" s="845">
        <v>0</v>
      </c>
      <c r="AF193" s="845">
        <v>0</v>
      </c>
      <c r="AG193" s="848">
        <v>0</v>
      </c>
      <c r="AH193" s="845">
        <v>0</v>
      </c>
      <c r="AI193" s="845">
        <v>0</v>
      </c>
      <c r="AJ193" s="845">
        <v>0</v>
      </c>
      <c r="AK193" s="845">
        <v>0</v>
      </c>
      <c r="AL193" s="848">
        <v>0</v>
      </c>
      <c r="AM193" s="845">
        <v>0</v>
      </c>
      <c r="AN193" s="845">
        <v>0</v>
      </c>
      <c r="AO193" s="845">
        <v>0</v>
      </c>
      <c r="AP193" s="845">
        <v>0</v>
      </c>
      <c r="AQ193" s="848">
        <v>0</v>
      </c>
      <c r="AR193" s="845">
        <v>0</v>
      </c>
      <c r="AS193" s="845">
        <v>0</v>
      </c>
      <c r="AT193" s="845">
        <v>0</v>
      </c>
      <c r="AU193" s="845">
        <v>0</v>
      </c>
      <c r="AV193" s="848">
        <v>0</v>
      </c>
      <c r="AW193" s="845">
        <v>0</v>
      </c>
      <c r="AX193" s="845">
        <v>0</v>
      </c>
      <c r="AY193" s="845">
        <v>0</v>
      </c>
      <c r="AZ193" s="845">
        <v>0</v>
      </c>
      <c r="BA193" s="848">
        <v>0</v>
      </c>
      <c r="BB193" s="845">
        <v>0</v>
      </c>
      <c r="BC193" s="845">
        <v>0</v>
      </c>
      <c r="BD193" s="845">
        <v>0</v>
      </c>
      <c r="BE193" s="845">
        <v>0</v>
      </c>
      <c r="BF193" s="848">
        <v>0</v>
      </c>
      <c r="BG193" s="845">
        <v>0</v>
      </c>
      <c r="BH193" s="845">
        <v>0</v>
      </c>
      <c r="BI193" s="845">
        <v>0</v>
      </c>
      <c r="BJ193" s="845">
        <v>0</v>
      </c>
      <c r="BK193" s="848">
        <v>0</v>
      </c>
      <c r="BL193" s="845"/>
      <c r="BM193" s="845"/>
      <c r="BN193" s="845"/>
      <c r="BO193" s="845"/>
      <c r="BP193" s="848">
        <f t="shared" si="162"/>
        <v>0</v>
      </c>
      <c r="BQ193" s="845">
        <v>0</v>
      </c>
      <c r="BR193" s="845">
        <v>0</v>
      </c>
      <c r="BS193" s="845">
        <v>0</v>
      </c>
      <c r="BT193" s="845">
        <v>1</v>
      </c>
      <c r="BU193" s="848">
        <f t="shared" si="163"/>
        <v>1</v>
      </c>
      <c r="BV193" s="845">
        <v>1</v>
      </c>
      <c r="BW193" s="845">
        <v>1</v>
      </c>
      <c r="BX193" s="845">
        <v>1</v>
      </c>
      <c r="BY193" s="845">
        <v>2</v>
      </c>
      <c r="BZ193" s="848">
        <f t="shared" si="164"/>
        <v>2</v>
      </c>
      <c r="CA193" s="845">
        <v>3</v>
      </c>
      <c r="CB193" s="845">
        <v>3</v>
      </c>
      <c r="CC193" s="845">
        <v>3</v>
      </c>
      <c r="CD193" s="845">
        <v>5</v>
      </c>
      <c r="CE193" s="848">
        <f t="shared" si="165"/>
        <v>5</v>
      </c>
      <c r="CF193" s="845">
        <v>6</v>
      </c>
      <c r="CG193" s="845">
        <v>6</v>
      </c>
      <c r="CH193" s="845">
        <v>7</v>
      </c>
      <c r="CI193" s="845">
        <v>10</v>
      </c>
      <c r="CJ193" s="848">
        <f t="shared" si="166"/>
        <v>10</v>
      </c>
      <c r="CK193" s="844">
        <v>12</v>
      </c>
      <c r="CL193" s="844">
        <v>12</v>
      </c>
      <c r="CM193" s="844">
        <v>16</v>
      </c>
      <c r="CN193" s="844">
        <v>18</v>
      </c>
      <c r="CO193" s="848">
        <f t="shared" si="167"/>
        <v>18</v>
      </c>
      <c r="CP193" s="844"/>
      <c r="CQ193" s="844"/>
      <c r="CR193" s="212"/>
      <c r="CS193" s="212"/>
      <c r="CT193" s="194"/>
      <c r="CU193" s="194"/>
      <c r="CV193" s="194"/>
    </row>
    <row r="194" spans="1:108" x14ac:dyDescent="0.2">
      <c r="A194" s="1436" t="s">
        <v>1390</v>
      </c>
      <c r="B194" s="651"/>
      <c r="C194" s="236"/>
      <c r="D194" s="234"/>
      <c r="E194" s="234"/>
      <c r="F194" s="234"/>
      <c r="G194" s="234"/>
      <c r="H194" s="848"/>
      <c r="I194" s="845">
        <v>0</v>
      </c>
      <c r="J194" s="845">
        <v>0</v>
      </c>
      <c r="K194" s="845">
        <v>0</v>
      </c>
      <c r="L194" s="845">
        <v>0</v>
      </c>
      <c r="M194" s="848">
        <v>0</v>
      </c>
      <c r="N194" s="845">
        <v>0</v>
      </c>
      <c r="O194" s="845">
        <v>0</v>
      </c>
      <c r="P194" s="845">
        <v>0</v>
      </c>
      <c r="Q194" s="845">
        <v>0</v>
      </c>
      <c r="R194" s="848">
        <v>0</v>
      </c>
      <c r="S194" s="845">
        <v>0</v>
      </c>
      <c r="T194" s="845">
        <v>0</v>
      </c>
      <c r="U194" s="845">
        <v>0</v>
      </c>
      <c r="V194" s="845">
        <v>0</v>
      </c>
      <c r="W194" s="848">
        <v>0</v>
      </c>
      <c r="X194" s="845">
        <v>0</v>
      </c>
      <c r="Y194" s="845">
        <v>0</v>
      </c>
      <c r="Z194" s="845">
        <v>0</v>
      </c>
      <c r="AA194" s="845">
        <v>0</v>
      </c>
      <c r="AB194" s="848">
        <v>0</v>
      </c>
      <c r="AC194" s="845">
        <v>0</v>
      </c>
      <c r="AD194" s="845">
        <v>0</v>
      </c>
      <c r="AE194" s="845">
        <v>0</v>
      </c>
      <c r="AF194" s="845">
        <v>0</v>
      </c>
      <c r="AG194" s="848">
        <v>0</v>
      </c>
      <c r="AH194" s="845">
        <v>0</v>
      </c>
      <c r="AI194" s="845">
        <v>0</v>
      </c>
      <c r="AJ194" s="845">
        <v>0</v>
      </c>
      <c r="AK194" s="845">
        <v>0</v>
      </c>
      <c r="AL194" s="848">
        <v>0</v>
      </c>
      <c r="AM194" s="845">
        <v>0</v>
      </c>
      <c r="AN194" s="845">
        <v>0</v>
      </c>
      <c r="AO194" s="845">
        <v>0</v>
      </c>
      <c r="AP194" s="845">
        <v>0</v>
      </c>
      <c r="AQ194" s="848">
        <v>0</v>
      </c>
      <c r="AR194" s="845">
        <v>0</v>
      </c>
      <c r="AS194" s="845">
        <v>0</v>
      </c>
      <c r="AT194" s="845">
        <v>0</v>
      </c>
      <c r="AU194" s="845">
        <v>0</v>
      </c>
      <c r="AV194" s="848">
        <v>0</v>
      </c>
      <c r="AW194" s="845">
        <v>0</v>
      </c>
      <c r="AX194" s="845">
        <v>0</v>
      </c>
      <c r="AY194" s="845">
        <v>0</v>
      </c>
      <c r="AZ194" s="845">
        <v>0</v>
      </c>
      <c r="BA194" s="848">
        <v>0</v>
      </c>
      <c r="BB194" s="845">
        <v>0</v>
      </c>
      <c r="BC194" s="845">
        <v>0</v>
      </c>
      <c r="BD194" s="845">
        <v>0</v>
      </c>
      <c r="BE194" s="845">
        <v>0</v>
      </c>
      <c r="BF194" s="848">
        <v>0</v>
      </c>
      <c r="BG194" s="845">
        <v>0</v>
      </c>
      <c r="BH194" s="845">
        <v>0</v>
      </c>
      <c r="BI194" s="845">
        <v>0</v>
      </c>
      <c r="BJ194" s="845">
        <v>0</v>
      </c>
      <c r="BK194" s="848">
        <v>0</v>
      </c>
      <c r="BL194" s="845"/>
      <c r="BM194" s="845"/>
      <c r="BN194" s="845"/>
      <c r="BO194" s="845"/>
      <c r="BP194" s="848">
        <f t="shared" si="162"/>
        <v>0</v>
      </c>
      <c r="BQ194" s="845">
        <v>0</v>
      </c>
      <c r="BR194" s="845">
        <v>0</v>
      </c>
      <c r="BS194" s="845">
        <v>0</v>
      </c>
      <c r="BT194" s="845">
        <v>0</v>
      </c>
      <c r="BU194" s="848">
        <f t="shared" si="163"/>
        <v>0</v>
      </c>
      <c r="BV194" s="845">
        <v>0</v>
      </c>
      <c r="BW194" s="845">
        <v>0</v>
      </c>
      <c r="BX194" s="845">
        <v>0</v>
      </c>
      <c r="BY194" s="845">
        <v>0</v>
      </c>
      <c r="BZ194" s="848">
        <f t="shared" si="164"/>
        <v>0</v>
      </c>
      <c r="CA194" s="845">
        <v>0</v>
      </c>
      <c r="CB194" s="845">
        <v>0</v>
      </c>
      <c r="CC194" s="845">
        <v>0</v>
      </c>
      <c r="CD194" s="845">
        <v>0</v>
      </c>
      <c r="CE194" s="848">
        <f t="shared" si="165"/>
        <v>0</v>
      </c>
      <c r="CF194" s="845">
        <v>0</v>
      </c>
      <c r="CG194" s="845">
        <v>0</v>
      </c>
      <c r="CH194" s="845">
        <v>0</v>
      </c>
      <c r="CI194" s="845">
        <v>0</v>
      </c>
      <c r="CJ194" s="848">
        <f t="shared" si="166"/>
        <v>0</v>
      </c>
      <c r="CK194" s="844">
        <v>0</v>
      </c>
      <c r="CL194" s="844">
        <v>0</v>
      </c>
      <c r="CM194" s="844">
        <v>0</v>
      </c>
      <c r="CN194" s="844">
        <v>0</v>
      </c>
      <c r="CO194" s="848">
        <f t="shared" si="167"/>
        <v>0</v>
      </c>
      <c r="CP194" s="844"/>
      <c r="CQ194" s="844"/>
      <c r="CR194" s="212"/>
      <c r="CS194" s="212"/>
      <c r="CT194" s="194"/>
      <c r="CU194" s="194"/>
      <c r="CV194" s="194"/>
    </row>
    <row r="195" spans="1:108" x14ac:dyDescent="0.2">
      <c r="A195" s="1436" t="s">
        <v>650</v>
      </c>
      <c r="B195" s="651"/>
      <c r="C195" s="236"/>
      <c r="D195" s="234"/>
      <c r="E195" s="234"/>
      <c r="F195" s="234"/>
      <c r="G195" s="234"/>
      <c r="H195" s="752"/>
      <c r="I195" s="758">
        <f>+I923-I228</f>
        <v>5</v>
      </c>
      <c r="J195" s="758">
        <f>+J923-J228</f>
        <v>5</v>
      </c>
      <c r="K195" s="758">
        <f>+K923-K228</f>
        <v>5</v>
      </c>
      <c r="L195" s="758">
        <f>+L923-L228</f>
        <v>5</v>
      </c>
      <c r="M195" s="752">
        <f>L195</f>
        <v>5</v>
      </c>
      <c r="N195" s="758">
        <f>+N923-N228</f>
        <v>5</v>
      </c>
      <c r="O195" s="758">
        <f>+O923-O228</f>
        <v>4</v>
      </c>
      <c r="P195" s="756">
        <v>4</v>
      </c>
      <c r="Q195" s="756">
        <v>4</v>
      </c>
      <c r="R195" s="752">
        <f>Q195</f>
        <v>4</v>
      </c>
      <c r="S195" s="756">
        <v>4</v>
      </c>
      <c r="T195" s="756">
        <v>4</v>
      </c>
      <c r="U195" s="756">
        <v>4</v>
      </c>
      <c r="V195" s="754">
        <v>4</v>
      </c>
      <c r="W195" s="752">
        <f>V195</f>
        <v>4</v>
      </c>
      <c r="X195" s="756">
        <v>4</v>
      </c>
      <c r="Y195" s="756">
        <v>4</v>
      </c>
      <c r="Z195" s="756">
        <v>4</v>
      </c>
      <c r="AA195" s="754">
        <v>4</v>
      </c>
      <c r="AB195" s="752">
        <f>+AA195</f>
        <v>4</v>
      </c>
      <c r="AC195" s="756">
        <v>4</v>
      </c>
      <c r="AD195" s="756">
        <v>4</v>
      </c>
      <c r="AE195" s="756">
        <v>4</v>
      </c>
      <c r="AF195" s="754">
        <v>3</v>
      </c>
      <c r="AG195" s="752">
        <f>+AF195</f>
        <v>3</v>
      </c>
      <c r="AH195" s="756">
        <v>2</v>
      </c>
      <c r="AI195" s="756">
        <v>2</v>
      </c>
      <c r="AJ195" s="756">
        <v>2</v>
      </c>
      <c r="AK195" s="754">
        <v>2</v>
      </c>
      <c r="AL195" s="752">
        <f>+AK195</f>
        <v>2</v>
      </c>
      <c r="AM195" s="756">
        <v>2</v>
      </c>
      <c r="AN195" s="756">
        <v>2</v>
      </c>
      <c r="AO195" s="756">
        <v>2</v>
      </c>
      <c r="AP195" s="754">
        <v>2</v>
      </c>
      <c r="AQ195" s="752">
        <f>+AP195</f>
        <v>2</v>
      </c>
      <c r="AR195" s="845">
        <v>0</v>
      </c>
      <c r="AS195" s="845">
        <v>0</v>
      </c>
      <c r="AT195" s="845">
        <v>0</v>
      </c>
      <c r="AU195" s="845">
        <v>0</v>
      </c>
      <c r="AV195" s="848">
        <f>+AU195</f>
        <v>0</v>
      </c>
      <c r="AW195" s="845">
        <v>0</v>
      </c>
      <c r="AX195" s="845">
        <v>0</v>
      </c>
      <c r="AY195" s="845">
        <v>0</v>
      </c>
      <c r="AZ195" s="845">
        <v>0</v>
      </c>
      <c r="BA195" s="848">
        <f>+AZ195</f>
        <v>0</v>
      </c>
      <c r="BB195" s="845">
        <v>0</v>
      </c>
      <c r="BC195" s="845">
        <v>0</v>
      </c>
      <c r="BD195" s="845">
        <v>0</v>
      </c>
      <c r="BE195" s="845">
        <v>0</v>
      </c>
      <c r="BF195" s="848">
        <f>+BE195</f>
        <v>0</v>
      </c>
      <c r="BG195" s="845">
        <v>0</v>
      </c>
      <c r="BH195" s="845">
        <v>0</v>
      </c>
      <c r="BI195" s="845">
        <v>0</v>
      </c>
      <c r="BJ195" s="845">
        <v>0</v>
      </c>
      <c r="BK195" s="848">
        <f>+BJ195</f>
        <v>0</v>
      </c>
      <c r="BL195" s="845"/>
      <c r="BM195" s="845"/>
      <c r="BN195" s="845"/>
      <c r="BO195" s="845"/>
      <c r="BP195" s="848">
        <f t="shared" si="162"/>
        <v>0</v>
      </c>
      <c r="BQ195" s="845">
        <v>0</v>
      </c>
      <c r="BR195" s="845">
        <v>0</v>
      </c>
      <c r="BS195" s="845">
        <v>0</v>
      </c>
      <c r="BT195" s="845">
        <v>0</v>
      </c>
      <c r="BU195" s="848">
        <f t="shared" si="163"/>
        <v>0</v>
      </c>
      <c r="BV195" s="845">
        <v>0</v>
      </c>
      <c r="BW195" s="845">
        <v>0</v>
      </c>
      <c r="BX195" s="845">
        <v>0</v>
      </c>
      <c r="BY195" s="845">
        <v>0</v>
      </c>
      <c r="BZ195" s="848">
        <f t="shared" si="164"/>
        <v>0</v>
      </c>
      <c r="CA195" s="845">
        <v>0</v>
      </c>
      <c r="CB195" s="845">
        <v>0</v>
      </c>
      <c r="CC195" s="845">
        <v>0</v>
      </c>
      <c r="CD195" s="845">
        <v>0</v>
      </c>
      <c r="CE195" s="848">
        <f t="shared" si="165"/>
        <v>0</v>
      </c>
      <c r="CF195" s="845">
        <v>0</v>
      </c>
      <c r="CG195" s="845">
        <v>0</v>
      </c>
      <c r="CH195" s="845">
        <v>0</v>
      </c>
      <c r="CI195" s="845">
        <v>0</v>
      </c>
      <c r="CJ195" s="848">
        <f t="shared" si="166"/>
        <v>0</v>
      </c>
      <c r="CK195" s="844">
        <v>0</v>
      </c>
      <c r="CL195" s="844">
        <v>0</v>
      </c>
      <c r="CM195" s="844">
        <v>0</v>
      </c>
      <c r="CN195" s="844">
        <v>0</v>
      </c>
      <c r="CO195" s="848">
        <f t="shared" si="167"/>
        <v>0</v>
      </c>
      <c r="CP195" s="844"/>
      <c r="CQ195" s="844"/>
      <c r="CR195" s="212"/>
      <c r="CS195" s="212"/>
      <c r="CT195" s="194"/>
      <c r="CU195" s="194"/>
      <c r="CV195" s="194"/>
    </row>
    <row r="196" spans="1:108" s="2434" customFormat="1" x14ac:dyDescent="0.2">
      <c r="A196" s="2288" t="s">
        <v>384</v>
      </c>
      <c r="B196" s="2400"/>
      <c r="C196" s="2401"/>
      <c r="D196" s="2402"/>
      <c r="E196" s="2402"/>
      <c r="F196" s="2402"/>
      <c r="G196" s="2402"/>
      <c r="H196" s="2406"/>
      <c r="I196" s="2404">
        <f>+I933-I229</f>
        <v>9</v>
      </c>
      <c r="J196" s="2404">
        <f>+J933-J229</f>
        <v>9</v>
      </c>
      <c r="K196" s="2404">
        <f>+K933-K229</f>
        <v>10</v>
      </c>
      <c r="L196" s="2404">
        <f>+L933-L229</f>
        <v>10</v>
      </c>
      <c r="M196" s="2406">
        <f>L196</f>
        <v>10</v>
      </c>
      <c r="N196" s="2404">
        <f>+N933-N229</f>
        <v>11</v>
      </c>
      <c r="O196" s="2404">
        <f>+O933-O229</f>
        <v>11</v>
      </c>
      <c r="P196" s="756">
        <v>10</v>
      </c>
      <c r="Q196" s="756">
        <v>10</v>
      </c>
      <c r="R196" s="2406">
        <f>Q196</f>
        <v>10</v>
      </c>
      <c r="S196" s="756">
        <v>11</v>
      </c>
      <c r="T196" s="756">
        <v>11</v>
      </c>
      <c r="U196" s="756">
        <v>11</v>
      </c>
      <c r="V196" s="754">
        <v>12</v>
      </c>
      <c r="W196" s="2406">
        <f>V196</f>
        <v>12</v>
      </c>
      <c r="X196" s="756">
        <v>12</v>
      </c>
      <c r="Y196" s="756">
        <v>13</v>
      </c>
      <c r="Z196" s="756">
        <v>13</v>
      </c>
      <c r="AA196" s="754">
        <v>13</v>
      </c>
      <c r="AB196" s="2406">
        <f>+AA196</f>
        <v>13</v>
      </c>
      <c r="AC196" s="756">
        <v>14</v>
      </c>
      <c r="AD196" s="756">
        <v>15</v>
      </c>
      <c r="AE196" s="756">
        <v>15</v>
      </c>
      <c r="AF196" s="754">
        <v>16</v>
      </c>
      <c r="AG196" s="2406">
        <f>+AF196</f>
        <v>16</v>
      </c>
      <c r="AH196" s="756">
        <v>16</v>
      </c>
      <c r="AI196" s="756">
        <v>16</v>
      </c>
      <c r="AJ196" s="756">
        <v>17</v>
      </c>
      <c r="AK196" s="754">
        <v>16</v>
      </c>
      <c r="AL196" s="2406">
        <f>+AK196</f>
        <v>16</v>
      </c>
      <c r="AM196" s="756">
        <v>17</v>
      </c>
      <c r="AN196" s="756">
        <v>16</v>
      </c>
      <c r="AO196" s="756">
        <v>17</v>
      </c>
      <c r="AP196" s="754">
        <v>17</v>
      </c>
      <c r="AQ196" s="2406">
        <f>+AP196</f>
        <v>17</v>
      </c>
      <c r="AR196" s="756">
        <v>17</v>
      </c>
      <c r="AS196" s="756">
        <v>18</v>
      </c>
      <c r="AT196" s="756">
        <v>18</v>
      </c>
      <c r="AU196" s="754">
        <v>19</v>
      </c>
      <c r="AV196" s="2406">
        <f>+AU196</f>
        <v>19</v>
      </c>
      <c r="AW196" s="756">
        <v>20</v>
      </c>
      <c r="AX196" s="756">
        <v>20</v>
      </c>
      <c r="AY196" s="756">
        <v>21</v>
      </c>
      <c r="AZ196" s="756">
        <v>22</v>
      </c>
      <c r="BA196" s="2406">
        <f>+AZ196</f>
        <v>22</v>
      </c>
      <c r="BB196" s="756">
        <v>22</v>
      </c>
      <c r="BC196" s="756">
        <v>21</v>
      </c>
      <c r="BD196" s="756">
        <v>22</v>
      </c>
      <c r="BE196" s="754">
        <v>22</v>
      </c>
      <c r="BF196" s="2406">
        <f>+BE196</f>
        <v>22</v>
      </c>
      <c r="BG196" s="755">
        <v>22</v>
      </c>
      <c r="BH196" s="756">
        <v>21</v>
      </c>
      <c r="BI196" s="756">
        <v>21</v>
      </c>
      <c r="BJ196" s="756">
        <v>22</v>
      </c>
      <c r="BK196" s="2406">
        <f>+BJ196</f>
        <v>22</v>
      </c>
      <c r="BL196" s="756">
        <v>23</v>
      </c>
      <c r="BM196" s="756">
        <v>24</v>
      </c>
      <c r="BN196" s="756">
        <v>24</v>
      </c>
      <c r="BO196" s="756">
        <v>25</v>
      </c>
      <c r="BP196" s="2406">
        <f t="shared" si="162"/>
        <v>25</v>
      </c>
      <c r="BQ196" s="756">
        <v>26</v>
      </c>
      <c r="BR196" s="756">
        <v>27</v>
      </c>
      <c r="BS196" s="756">
        <v>27</v>
      </c>
      <c r="BT196" s="756">
        <v>27</v>
      </c>
      <c r="BU196" s="2406">
        <f t="shared" si="163"/>
        <v>27</v>
      </c>
      <c r="BV196" s="756">
        <v>28</v>
      </c>
      <c r="BW196" s="756">
        <v>28</v>
      </c>
      <c r="BX196" s="756">
        <v>27</v>
      </c>
      <c r="BY196" s="756">
        <v>27</v>
      </c>
      <c r="BZ196" s="2406">
        <f t="shared" si="164"/>
        <v>27</v>
      </c>
      <c r="CA196" s="756">
        <v>26</v>
      </c>
      <c r="CB196" s="756">
        <v>27</v>
      </c>
      <c r="CC196" s="756">
        <v>28</v>
      </c>
      <c r="CD196" s="756">
        <v>28</v>
      </c>
      <c r="CE196" s="2406">
        <f t="shared" si="165"/>
        <v>28</v>
      </c>
      <c r="CF196" s="756">
        <v>27</v>
      </c>
      <c r="CG196" s="756">
        <v>27</v>
      </c>
      <c r="CH196" s="756">
        <v>28</v>
      </c>
      <c r="CI196" s="756">
        <v>28</v>
      </c>
      <c r="CJ196" s="2406">
        <f t="shared" si="166"/>
        <v>28</v>
      </c>
      <c r="CK196" s="3508">
        <v>28</v>
      </c>
      <c r="CL196" s="3508">
        <v>28</v>
      </c>
      <c r="CM196" s="3508">
        <v>28</v>
      </c>
      <c r="CN196" s="3508">
        <v>29</v>
      </c>
      <c r="CO196" s="2406">
        <f t="shared" si="167"/>
        <v>29</v>
      </c>
      <c r="CP196" s="3508"/>
      <c r="CQ196" s="3508"/>
      <c r="CR196" s="2631"/>
      <c r="CS196" s="2631"/>
      <c r="CT196" s="2403"/>
      <c r="CU196" s="2403"/>
      <c r="CV196" s="2403"/>
      <c r="CW196" s="2631"/>
      <c r="CX196" s="2631"/>
      <c r="CY196" s="2631"/>
      <c r="CZ196" s="2631"/>
      <c r="DA196" s="2631"/>
      <c r="DB196" s="2631"/>
      <c r="DC196" s="2631"/>
      <c r="DD196" s="2631"/>
    </row>
    <row r="197" spans="1:108" s="2434" customFormat="1" ht="4.5" customHeight="1" x14ac:dyDescent="0.2">
      <c r="A197" s="2288"/>
      <c r="B197" s="2400"/>
      <c r="C197" s="2401"/>
      <c r="D197" s="2402"/>
      <c r="E197" s="2402"/>
      <c r="F197" s="2402"/>
      <c r="G197" s="2402"/>
      <c r="H197" s="2406"/>
      <c r="I197" s="2404"/>
      <c r="J197" s="2404"/>
      <c r="K197" s="2404"/>
      <c r="L197" s="2404"/>
      <c r="M197" s="2406"/>
      <c r="N197" s="2404"/>
      <c r="O197" s="2404"/>
      <c r="P197" s="756"/>
      <c r="Q197" s="756"/>
      <c r="R197" s="2406"/>
      <c r="S197" s="756"/>
      <c r="T197" s="756"/>
      <c r="U197" s="756"/>
      <c r="V197" s="756"/>
      <c r="W197" s="2406"/>
      <c r="X197" s="756"/>
      <c r="Y197" s="756"/>
      <c r="Z197" s="756"/>
      <c r="AA197" s="756"/>
      <c r="AB197" s="2406"/>
      <c r="AC197" s="756"/>
      <c r="AD197" s="756"/>
      <c r="AE197" s="756"/>
      <c r="AF197" s="756"/>
      <c r="AG197" s="2406"/>
      <c r="AH197" s="756"/>
      <c r="AI197" s="756"/>
      <c r="AJ197" s="756"/>
      <c r="AK197" s="756"/>
      <c r="AL197" s="2406"/>
      <c r="AM197" s="756"/>
      <c r="AN197" s="756"/>
      <c r="AO197" s="756"/>
      <c r="AP197" s="756"/>
      <c r="AQ197" s="2406"/>
      <c r="AR197" s="756"/>
      <c r="AS197" s="756"/>
      <c r="AT197" s="756"/>
      <c r="AU197" s="756"/>
      <c r="AV197" s="2406"/>
      <c r="AW197" s="756"/>
      <c r="AX197" s="756"/>
      <c r="AY197" s="756"/>
      <c r="AZ197" s="756"/>
      <c r="BA197" s="2406"/>
      <c r="BB197" s="756"/>
      <c r="BC197" s="756"/>
      <c r="BD197" s="756"/>
      <c r="BE197" s="756"/>
      <c r="BF197" s="2406"/>
      <c r="BG197" s="756"/>
      <c r="BH197" s="756"/>
      <c r="BI197" s="756"/>
      <c r="BJ197" s="756"/>
      <c r="BK197" s="2406"/>
      <c r="BL197" s="756"/>
      <c r="BM197" s="756"/>
      <c r="BN197" s="756"/>
      <c r="BO197" s="756"/>
      <c r="BP197" s="2406"/>
      <c r="BQ197" s="756"/>
      <c r="BR197" s="756"/>
      <c r="BS197" s="756"/>
      <c r="BT197" s="756"/>
      <c r="BU197" s="2406"/>
      <c r="BV197" s="756"/>
      <c r="BW197" s="756"/>
      <c r="BX197" s="756"/>
      <c r="BY197" s="756"/>
      <c r="BZ197" s="2406"/>
      <c r="CA197" s="756"/>
      <c r="CB197" s="756"/>
      <c r="CC197" s="756"/>
      <c r="CD197" s="756"/>
      <c r="CE197" s="2406"/>
      <c r="CF197" s="756"/>
      <c r="CG197" s="756"/>
      <c r="CH197" s="2631"/>
      <c r="CI197" s="2631"/>
      <c r="CJ197" s="2403"/>
      <c r="CK197" s="3508"/>
      <c r="CL197" s="3508"/>
      <c r="CM197" s="3508"/>
      <c r="CN197" s="3508"/>
      <c r="CO197" s="2403"/>
      <c r="CP197" s="3508"/>
      <c r="CQ197" s="3508"/>
      <c r="CR197" s="2631"/>
      <c r="CS197" s="2631"/>
      <c r="CT197" s="2403"/>
      <c r="CU197" s="2403"/>
      <c r="CV197" s="2403"/>
      <c r="CW197" s="2631"/>
      <c r="CX197" s="2631"/>
      <c r="CY197" s="2631"/>
      <c r="CZ197" s="2631"/>
      <c r="DA197" s="2631"/>
      <c r="DB197" s="2631"/>
      <c r="DC197" s="2631"/>
      <c r="DD197" s="2631"/>
    </row>
    <row r="198" spans="1:108" s="2434" customFormat="1" x14ac:dyDescent="0.2">
      <c r="A198" s="2434" t="s">
        <v>2454</v>
      </c>
      <c r="B198" s="2400"/>
      <c r="C198" s="2401"/>
      <c r="D198" s="2402"/>
      <c r="E198" s="2402"/>
      <c r="F198" s="2402"/>
      <c r="G198" s="2402"/>
      <c r="H198" s="2406"/>
      <c r="I198" s="2404"/>
      <c r="J198" s="2404"/>
      <c r="K198" s="2404"/>
      <c r="L198" s="2404"/>
      <c r="M198" s="2406"/>
      <c r="N198" s="2404"/>
      <c r="O198" s="2404"/>
      <c r="P198" s="756"/>
      <c r="Q198" s="756"/>
      <c r="R198" s="2406"/>
      <c r="S198" s="756"/>
      <c r="T198" s="756"/>
      <c r="U198" s="756"/>
      <c r="V198" s="756"/>
      <c r="W198" s="2406"/>
      <c r="X198" s="756"/>
      <c r="Y198" s="756"/>
      <c r="Z198" s="756"/>
      <c r="AA198" s="756"/>
      <c r="AB198" s="2406"/>
      <c r="AC198" s="756"/>
      <c r="AD198" s="756"/>
      <c r="AE198" s="756"/>
      <c r="AF198" s="756"/>
      <c r="AG198" s="2406"/>
      <c r="AH198" s="756"/>
      <c r="AI198" s="756"/>
      <c r="AJ198" s="756"/>
      <c r="AK198" s="756"/>
      <c r="AL198" s="2406"/>
      <c r="AM198" s="756"/>
      <c r="AN198" s="756"/>
      <c r="AO198" s="756"/>
      <c r="AP198" s="756"/>
      <c r="AQ198" s="2406"/>
      <c r="AR198" s="756"/>
      <c r="AS198" s="756"/>
      <c r="AT198" s="756"/>
      <c r="AU198" s="756"/>
      <c r="AV198" s="2406"/>
      <c r="AW198" s="756"/>
      <c r="AX198" s="756"/>
      <c r="AY198" s="756"/>
      <c r="AZ198" s="756"/>
      <c r="BA198" s="2406"/>
      <c r="BB198" s="756"/>
      <c r="BC198" s="756"/>
      <c r="BD198" s="756"/>
      <c r="BE198" s="756"/>
      <c r="BF198" s="2406"/>
      <c r="BG198" s="756"/>
      <c r="BH198" s="756"/>
      <c r="BI198" s="756"/>
      <c r="BJ198" s="756"/>
      <c r="BK198" s="2406"/>
      <c r="BL198" s="756"/>
      <c r="BM198" s="756"/>
      <c r="BN198" s="756"/>
      <c r="BO198" s="756"/>
      <c r="BP198" s="2406"/>
      <c r="BQ198" s="756"/>
      <c r="BR198" s="756"/>
      <c r="BS198" s="756"/>
      <c r="BT198" s="756"/>
      <c r="BU198" s="2406"/>
      <c r="BV198" s="756"/>
      <c r="BW198" s="756"/>
      <c r="BX198" s="756"/>
      <c r="BY198" s="756"/>
      <c r="BZ198" s="2406"/>
      <c r="CA198" s="756"/>
      <c r="CB198" s="756"/>
      <c r="CC198" s="756"/>
      <c r="CD198" s="756"/>
      <c r="CE198" s="2406"/>
      <c r="CF198" s="756"/>
      <c r="CG198" s="2937">
        <v>186</v>
      </c>
      <c r="CH198" s="756">
        <v>185</v>
      </c>
      <c r="CI198" s="756">
        <v>188</v>
      </c>
      <c r="CJ198" s="2406">
        <f t="shared" si="166"/>
        <v>188</v>
      </c>
      <c r="CK198" s="3508">
        <v>188</v>
      </c>
      <c r="CL198" s="3508">
        <v>187</v>
      </c>
      <c r="CM198" s="3508">
        <v>184</v>
      </c>
      <c r="CN198" s="3508">
        <v>184</v>
      </c>
      <c r="CO198" s="2406">
        <f t="shared" si="167"/>
        <v>184</v>
      </c>
      <c r="CP198" s="3508"/>
      <c r="CQ198" s="3508"/>
      <c r="CR198" s="2631"/>
      <c r="CS198" s="2631"/>
      <c r="CT198" s="2403"/>
      <c r="CU198" s="2403"/>
      <c r="CV198" s="2403"/>
      <c r="CW198" s="2631"/>
      <c r="CX198" s="2631"/>
      <c r="CY198" s="2631"/>
      <c r="CZ198" s="2631"/>
      <c r="DA198" s="2631"/>
      <c r="DB198" s="2631"/>
      <c r="DC198" s="2631"/>
      <c r="DD198" s="2631"/>
    </row>
    <row r="199" spans="1:108" s="2434" customFormat="1" x14ac:dyDescent="0.2">
      <c r="A199" s="2434" t="s">
        <v>2455</v>
      </c>
      <c r="B199" s="2400"/>
      <c r="C199" s="2401"/>
      <c r="D199" s="2402"/>
      <c r="E199" s="2402"/>
      <c r="F199" s="2402"/>
      <c r="G199" s="2402"/>
      <c r="H199" s="2406"/>
      <c r="I199" s="2404"/>
      <c r="J199" s="2404"/>
      <c r="K199" s="2404"/>
      <c r="L199" s="2404"/>
      <c r="M199" s="2406"/>
      <c r="N199" s="2404"/>
      <c r="O199" s="2404"/>
      <c r="P199" s="756"/>
      <c r="Q199" s="756"/>
      <c r="R199" s="2406"/>
      <c r="S199" s="756"/>
      <c r="T199" s="756"/>
      <c r="U199" s="756"/>
      <c r="V199" s="756"/>
      <c r="W199" s="2406"/>
      <c r="X199" s="756"/>
      <c r="Y199" s="756"/>
      <c r="Z199" s="756"/>
      <c r="AA199" s="756"/>
      <c r="AB199" s="2406"/>
      <c r="AC199" s="756"/>
      <c r="AD199" s="756"/>
      <c r="AE199" s="756"/>
      <c r="AF199" s="756"/>
      <c r="AG199" s="2406"/>
      <c r="AH199" s="756"/>
      <c r="AI199" s="756"/>
      <c r="AJ199" s="756"/>
      <c r="AK199" s="756"/>
      <c r="AL199" s="2406"/>
      <c r="AM199" s="756"/>
      <c r="AN199" s="756"/>
      <c r="AO199" s="756"/>
      <c r="AP199" s="756"/>
      <c r="AQ199" s="2406"/>
      <c r="AR199" s="756"/>
      <c r="AS199" s="756"/>
      <c r="AT199" s="756"/>
      <c r="AU199" s="756"/>
      <c r="AV199" s="2406"/>
      <c r="AW199" s="756"/>
      <c r="AX199" s="756"/>
      <c r="AY199" s="756"/>
      <c r="AZ199" s="756"/>
      <c r="BA199" s="2406"/>
      <c r="BB199" s="756"/>
      <c r="BC199" s="756"/>
      <c r="BD199" s="756"/>
      <c r="BE199" s="756"/>
      <c r="BF199" s="2406"/>
      <c r="BG199" s="756"/>
      <c r="BH199" s="756"/>
      <c r="BI199" s="756"/>
      <c r="BJ199" s="756"/>
      <c r="BK199" s="2406"/>
      <c r="BL199" s="756"/>
      <c r="BM199" s="756"/>
      <c r="BN199" s="756"/>
      <c r="BO199" s="756"/>
      <c r="BP199" s="2406"/>
      <c r="BQ199" s="756"/>
      <c r="BR199" s="756"/>
      <c r="BS199" s="756"/>
      <c r="BT199" s="756"/>
      <c r="BU199" s="2406"/>
      <c r="BV199" s="756"/>
      <c r="BW199" s="756"/>
      <c r="BX199" s="756"/>
      <c r="BY199" s="756"/>
      <c r="BZ199" s="2406"/>
      <c r="CA199" s="756"/>
      <c r="CB199" s="756"/>
      <c r="CC199" s="756"/>
      <c r="CD199" s="756"/>
      <c r="CE199" s="2406"/>
      <c r="CF199" s="756"/>
      <c r="CG199" s="2937">
        <v>63</v>
      </c>
      <c r="CH199" s="756">
        <v>65</v>
      </c>
      <c r="CI199" s="756">
        <v>68</v>
      </c>
      <c r="CJ199" s="2406">
        <f t="shared" si="166"/>
        <v>68</v>
      </c>
      <c r="CK199" s="3508">
        <v>67</v>
      </c>
      <c r="CL199" s="3508">
        <v>67</v>
      </c>
      <c r="CM199" s="3508">
        <v>68</v>
      </c>
      <c r="CN199" s="3508">
        <v>68</v>
      </c>
      <c r="CO199" s="2406">
        <f t="shared" si="167"/>
        <v>68</v>
      </c>
      <c r="CP199" s="3508"/>
      <c r="CQ199" s="3508"/>
      <c r="CR199" s="2631"/>
      <c r="CS199" s="2631"/>
      <c r="CT199" s="2403"/>
      <c r="CU199" s="2403"/>
      <c r="CV199" s="2403"/>
      <c r="CW199" s="2631"/>
      <c r="CX199" s="2631"/>
      <c r="CY199" s="2631"/>
      <c r="CZ199" s="2631"/>
      <c r="DA199" s="2631"/>
      <c r="DB199" s="2631"/>
      <c r="DC199" s="2631"/>
      <c r="DD199" s="2631"/>
    </row>
    <row r="200" spans="1:108" s="2434" customFormat="1" x14ac:dyDescent="0.2">
      <c r="A200" s="2434" t="s">
        <v>2456</v>
      </c>
      <c r="B200" s="2400"/>
      <c r="C200" s="2401"/>
      <c r="D200" s="2402"/>
      <c r="E200" s="2402"/>
      <c r="F200" s="2402"/>
      <c r="G200" s="2402"/>
      <c r="H200" s="2406"/>
      <c r="I200" s="2404"/>
      <c r="J200" s="2404"/>
      <c r="K200" s="2404"/>
      <c r="L200" s="2404"/>
      <c r="M200" s="2406"/>
      <c r="N200" s="2404"/>
      <c r="O200" s="2404"/>
      <c r="P200" s="756"/>
      <c r="Q200" s="756"/>
      <c r="R200" s="2406"/>
      <c r="S200" s="756"/>
      <c r="T200" s="756"/>
      <c r="U200" s="756"/>
      <c r="V200" s="756"/>
      <c r="W200" s="2406"/>
      <c r="X200" s="756"/>
      <c r="Y200" s="756"/>
      <c r="Z200" s="756"/>
      <c r="AA200" s="756"/>
      <c r="AB200" s="2406"/>
      <c r="AC200" s="756"/>
      <c r="AD200" s="756"/>
      <c r="AE200" s="756"/>
      <c r="AF200" s="756"/>
      <c r="AG200" s="2406"/>
      <c r="AH200" s="756"/>
      <c r="AI200" s="756"/>
      <c r="AJ200" s="756"/>
      <c r="AK200" s="756"/>
      <c r="AL200" s="2406"/>
      <c r="AM200" s="756"/>
      <c r="AN200" s="756"/>
      <c r="AO200" s="756"/>
      <c r="AP200" s="756"/>
      <c r="AQ200" s="2406"/>
      <c r="AR200" s="756"/>
      <c r="AS200" s="756"/>
      <c r="AT200" s="756"/>
      <c r="AU200" s="756"/>
      <c r="AV200" s="2406"/>
      <c r="AW200" s="756"/>
      <c r="AX200" s="756"/>
      <c r="AY200" s="756"/>
      <c r="AZ200" s="756"/>
      <c r="BA200" s="2406"/>
      <c r="BB200" s="756"/>
      <c r="BC200" s="756"/>
      <c r="BD200" s="756"/>
      <c r="BE200" s="756"/>
      <c r="BF200" s="2406"/>
      <c r="BG200" s="756"/>
      <c r="BH200" s="756"/>
      <c r="BI200" s="756"/>
      <c r="BJ200" s="756"/>
      <c r="BK200" s="2406"/>
      <c r="BL200" s="756"/>
      <c r="BM200" s="756"/>
      <c r="BN200" s="756"/>
      <c r="BO200" s="756"/>
      <c r="BP200" s="2406"/>
      <c r="BQ200" s="756"/>
      <c r="BR200" s="756"/>
      <c r="BS200" s="756"/>
      <c r="BT200" s="756"/>
      <c r="BU200" s="2406"/>
      <c r="BV200" s="756"/>
      <c r="BW200" s="756"/>
      <c r="BX200" s="756"/>
      <c r="BY200" s="756"/>
      <c r="BZ200" s="2406"/>
      <c r="CA200" s="756"/>
      <c r="CB200" s="756"/>
      <c r="CC200" s="756"/>
      <c r="CD200" s="756"/>
      <c r="CE200" s="2406"/>
      <c r="CF200" s="756"/>
      <c r="CG200" s="2937">
        <v>57</v>
      </c>
      <c r="CH200" s="756">
        <v>60</v>
      </c>
      <c r="CI200" s="756">
        <v>58</v>
      </c>
      <c r="CJ200" s="2406">
        <f t="shared" si="166"/>
        <v>58</v>
      </c>
      <c r="CK200" s="3508">
        <v>58</v>
      </c>
      <c r="CL200" s="3508">
        <v>59</v>
      </c>
      <c r="CM200" s="3508">
        <v>61</v>
      </c>
      <c r="CN200" s="3508">
        <v>62</v>
      </c>
      <c r="CO200" s="2406">
        <f t="shared" si="167"/>
        <v>62</v>
      </c>
      <c r="CP200" s="3508"/>
      <c r="CQ200" s="3508"/>
      <c r="CR200" s="2631"/>
      <c r="CS200" s="2631"/>
      <c r="CT200" s="2403"/>
      <c r="CU200" s="2403"/>
      <c r="CV200" s="2403"/>
      <c r="CW200" s="2631"/>
      <c r="CX200" s="2631"/>
      <c r="CY200" s="2631"/>
      <c r="CZ200" s="2631"/>
      <c r="DA200" s="2631"/>
      <c r="DB200" s="2631"/>
      <c r="DC200" s="2631"/>
      <c r="DD200" s="2631"/>
    </row>
    <row r="201" spans="1:108" s="2434" customFormat="1" x14ac:dyDescent="0.2">
      <c r="A201" s="2434" t="s">
        <v>2457</v>
      </c>
      <c r="B201" s="2400"/>
      <c r="C201" s="2401"/>
      <c r="D201" s="2402"/>
      <c r="E201" s="2402"/>
      <c r="F201" s="2402"/>
      <c r="G201" s="2402"/>
      <c r="H201" s="2406"/>
      <c r="I201" s="2404"/>
      <c r="J201" s="2404"/>
      <c r="K201" s="2404"/>
      <c r="L201" s="2404"/>
      <c r="M201" s="2406"/>
      <c r="N201" s="2404"/>
      <c r="O201" s="2404"/>
      <c r="P201" s="756"/>
      <c r="Q201" s="756"/>
      <c r="R201" s="2406"/>
      <c r="S201" s="756"/>
      <c r="T201" s="756"/>
      <c r="U201" s="756"/>
      <c r="V201" s="756"/>
      <c r="W201" s="2406"/>
      <c r="X201" s="756"/>
      <c r="Y201" s="756"/>
      <c r="Z201" s="756"/>
      <c r="AA201" s="756"/>
      <c r="AB201" s="2406"/>
      <c r="AC201" s="756"/>
      <c r="AD201" s="756"/>
      <c r="AE201" s="756"/>
      <c r="AF201" s="756"/>
      <c r="AG201" s="2406"/>
      <c r="AH201" s="756"/>
      <c r="AI201" s="756"/>
      <c r="AJ201" s="756"/>
      <c r="AK201" s="756"/>
      <c r="AL201" s="2406"/>
      <c r="AM201" s="756"/>
      <c r="AN201" s="756"/>
      <c r="AO201" s="756"/>
      <c r="AP201" s="756"/>
      <c r="AQ201" s="2406"/>
      <c r="AR201" s="756"/>
      <c r="AS201" s="756"/>
      <c r="AT201" s="756"/>
      <c r="AU201" s="756"/>
      <c r="AV201" s="2406"/>
      <c r="AW201" s="756"/>
      <c r="AX201" s="756"/>
      <c r="AY201" s="756"/>
      <c r="AZ201" s="756"/>
      <c r="BA201" s="2406"/>
      <c r="BB201" s="756"/>
      <c r="BC201" s="756"/>
      <c r="BD201" s="756"/>
      <c r="BE201" s="756"/>
      <c r="BF201" s="2406"/>
      <c r="BG201" s="756"/>
      <c r="BH201" s="756"/>
      <c r="BI201" s="756"/>
      <c r="BJ201" s="756"/>
      <c r="BK201" s="2406"/>
      <c r="BL201" s="756"/>
      <c r="BM201" s="756"/>
      <c r="BN201" s="756"/>
      <c r="BO201" s="756"/>
      <c r="BP201" s="2406"/>
      <c r="BQ201" s="756"/>
      <c r="BR201" s="756"/>
      <c r="BS201" s="756"/>
      <c r="BT201" s="756"/>
      <c r="BU201" s="2406"/>
      <c r="BV201" s="756"/>
      <c r="BW201" s="756"/>
      <c r="BX201" s="756"/>
      <c r="BY201" s="756"/>
      <c r="BZ201" s="2406"/>
      <c r="CA201" s="756"/>
      <c r="CB201" s="756"/>
      <c r="CC201" s="756"/>
      <c r="CD201" s="756"/>
      <c r="CE201" s="2406"/>
      <c r="CF201" s="756"/>
      <c r="CG201" s="2937">
        <v>22</v>
      </c>
      <c r="CH201" s="756">
        <v>22</v>
      </c>
      <c r="CI201" s="756">
        <v>23</v>
      </c>
      <c r="CJ201" s="2406">
        <f t="shared" si="166"/>
        <v>23</v>
      </c>
      <c r="CK201" s="3508">
        <v>22</v>
      </c>
      <c r="CL201" s="3508">
        <v>23</v>
      </c>
      <c r="CM201" s="3508">
        <v>24</v>
      </c>
      <c r="CN201" s="3508">
        <v>24</v>
      </c>
      <c r="CO201" s="2406">
        <f t="shared" si="167"/>
        <v>24</v>
      </c>
      <c r="CP201" s="3508"/>
      <c r="CQ201" s="3508"/>
      <c r="CR201" s="2631"/>
      <c r="CS201" s="2631"/>
      <c r="CT201" s="2403"/>
      <c r="CU201" s="2403"/>
      <c r="CV201" s="2403"/>
      <c r="CW201" s="2631"/>
      <c r="CX201" s="2631"/>
      <c r="CY201" s="2631"/>
      <c r="CZ201" s="2631"/>
      <c r="DA201" s="2631"/>
      <c r="DB201" s="2631"/>
      <c r="DC201" s="2631"/>
      <c r="DD201" s="2631"/>
    </row>
    <row r="202" spans="1:108" s="2434" customFormat="1" x14ac:dyDescent="0.2">
      <c r="A202" s="2434" t="s">
        <v>2458</v>
      </c>
      <c r="B202" s="2400"/>
      <c r="C202" s="2401"/>
      <c r="D202" s="2402"/>
      <c r="E202" s="2402"/>
      <c r="F202" s="2402"/>
      <c r="G202" s="2402"/>
      <c r="H202" s="2406"/>
      <c r="I202" s="2404"/>
      <c r="J202" s="2404"/>
      <c r="K202" s="2404"/>
      <c r="L202" s="2404"/>
      <c r="M202" s="2406"/>
      <c r="N202" s="2404"/>
      <c r="O202" s="2404"/>
      <c r="P202" s="756"/>
      <c r="Q202" s="756"/>
      <c r="R202" s="2406"/>
      <c r="S202" s="756"/>
      <c r="T202" s="756"/>
      <c r="U202" s="756"/>
      <c r="V202" s="756"/>
      <c r="W202" s="2406"/>
      <c r="X202" s="756"/>
      <c r="Y202" s="756"/>
      <c r="Z202" s="756"/>
      <c r="AA202" s="756"/>
      <c r="AB202" s="2406"/>
      <c r="AC202" s="756"/>
      <c r="AD202" s="756"/>
      <c r="AE202" s="756"/>
      <c r="AF202" s="756"/>
      <c r="AG202" s="2406"/>
      <c r="AH202" s="756"/>
      <c r="AI202" s="756"/>
      <c r="AJ202" s="756"/>
      <c r="AK202" s="756"/>
      <c r="AL202" s="2406"/>
      <c r="AM202" s="756"/>
      <c r="AN202" s="756"/>
      <c r="AO202" s="756"/>
      <c r="AP202" s="756"/>
      <c r="AQ202" s="2406"/>
      <c r="AR202" s="756"/>
      <c r="AS202" s="756"/>
      <c r="AT202" s="756"/>
      <c r="AU202" s="756"/>
      <c r="AV202" s="2406"/>
      <c r="AW202" s="756"/>
      <c r="AX202" s="756"/>
      <c r="AY202" s="756"/>
      <c r="AZ202" s="756"/>
      <c r="BA202" s="2406"/>
      <c r="BB202" s="756"/>
      <c r="BC202" s="756"/>
      <c r="BD202" s="756"/>
      <c r="BE202" s="756"/>
      <c r="BF202" s="2406"/>
      <c r="BG202" s="756"/>
      <c r="BH202" s="756"/>
      <c r="BI202" s="756"/>
      <c r="BJ202" s="756"/>
      <c r="BK202" s="2406"/>
      <c r="BL202" s="756"/>
      <c r="BM202" s="756"/>
      <c r="BN202" s="756"/>
      <c r="BO202" s="756"/>
      <c r="BP202" s="2406"/>
      <c r="BQ202" s="756"/>
      <c r="BR202" s="756"/>
      <c r="BS202" s="756"/>
      <c r="BT202" s="756"/>
      <c r="BU202" s="2406"/>
      <c r="BV202" s="756"/>
      <c r="BW202" s="756"/>
      <c r="BX202" s="756"/>
      <c r="BY202" s="756"/>
      <c r="BZ202" s="2406"/>
      <c r="CA202" s="756"/>
      <c r="CB202" s="756"/>
      <c r="CC202" s="756"/>
      <c r="CD202" s="756"/>
      <c r="CE202" s="2406"/>
      <c r="CF202" s="756"/>
      <c r="CG202" s="2937">
        <v>45</v>
      </c>
      <c r="CH202" s="756">
        <v>46</v>
      </c>
      <c r="CI202" s="756">
        <v>47</v>
      </c>
      <c r="CJ202" s="2406">
        <f t="shared" si="166"/>
        <v>47</v>
      </c>
      <c r="CK202" s="3508">
        <v>47</v>
      </c>
      <c r="CL202" s="3508">
        <v>47</v>
      </c>
      <c r="CM202" s="3508">
        <v>48</v>
      </c>
      <c r="CN202" s="3508">
        <v>49</v>
      </c>
      <c r="CO202" s="2406">
        <f t="shared" si="167"/>
        <v>49</v>
      </c>
      <c r="CP202" s="3508"/>
      <c r="CQ202" s="3508"/>
      <c r="CR202" s="2631"/>
      <c r="CS202" s="2631"/>
      <c r="CT202" s="2403"/>
      <c r="CU202" s="2403"/>
      <c r="CV202" s="2403"/>
      <c r="CW202" s="2631"/>
      <c r="CX202" s="2631"/>
      <c r="CY202" s="2631"/>
      <c r="CZ202" s="2631"/>
      <c r="DA202" s="2631"/>
      <c r="DB202" s="2631"/>
      <c r="DC202" s="2631"/>
      <c r="DD202" s="2631"/>
    </row>
    <row r="203" spans="1:108" s="2434" customFormat="1" x14ac:dyDescent="0.2">
      <c r="A203" s="2434" t="s">
        <v>2459</v>
      </c>
      <c r="B203" s="2400"/>
      <c r="C203" s="2401"/>
      <c r="D203" s="2402"/>
      <c r="E203" s="2402"/>
      <c r="F203" s="2402"/>
      <c r="G203" s="2402"/>
      <c r="H203" s="2406"/>
      <c r="I203" s="2404"/>
      <c r="J203" s="2404"/>
      <c r="K203" s="2404"/>
      <c r="L203" s="2404"/>
      <c r="M203" s="2406"/>
      <c r="N203" s="2404"/>
      <c r="O203" s="2404"/>
      <c r="P203" s="756"/>
      <c r="Q203" s="756"/>
      <c r="R203" s="2406"/>
      <c r="S203" s="756"/>
      <c r="T203" s="756"/>
      <c r="U203" s="756"/>
      <c r="V203" s="756"/>
      <c r="W203" s="2406"/>
      <c r="X203" s="756"/>
      <c r="Y203" s="756"/>
      <c r="Z203" s="756"/>
      <c r="AA203" s="756"/>
      <c r="AB203" s="2406"/>
      <c r="AC203" s="756"/>
      <c r="AD203" s="756"/>
      <c r="AE203" s="756"/>
      <c r="AF203" s="756"/>
      <c r="AG203" s="2406"/>
      <c r="AH203" s="756"/>
      <c r="AI203" s="756"/>
      <c r="AJ203" s="756"/>
      <c r="AK203" s="756"/>
      <c r="AL203" s="2406"/>
      <c r="AM203" s="756"/>
      <c r="AN203" s="756"/>
      <c r="AO203" s="756"/>
      <c r="AP203" s="756"/>
      <c r="AQ203" s="2406"/>
      <c r="AR203" s="756"/>
      <c r="AS203" s="756"/>
      <c r="AT203" s="756"/>
      <c r="AU203" s="756"/>
      <c r="AV203" s="2406"/>
      <c r="AW203" s="756"/>
      <c r="AX203" s="756"/>
      <c r="AY203" s="756"/>
      <c r="AZ203" s="756"/>
      <c r="BA203" s="2406"/>
      <c r="BB203" s="756"/>
      <c r="BC203" s="756"/>
      <c r="BD203" s="756"/>
      <c r="BE203" s="756"/>
      <c r="BF203" s="2406"/>
      <c r="BG203" s="756"/>
      <c r="BH203" s="756"/>
      <c r="BI203" s="756"/>
      <c r="BJ203" s="756"/>
      <c r="BK203" s="2406"/>
      <c r="BL203" s="756"/>
      <c r="BM203" s="756"/>
      <c r="BN203" s="756"/>
      <c r="BO203" s="756"/>
      <c r="BP203" s="2406"/>
      <c r="BQ203" s="756"/>
      <c r="BR203" s="756"/>
      <c r="BS203" s="756"/>
      <c r="BT203" s="756"/>
      <c r="BU203" s="2406"/>
      <c r="BV203" s="756"/>
      <c r="BW203" s="756"/>
      <c r="BX203" s="756"/>
      <c r="BY203" s="756"/>
      <c r="BZ203" s="2406"/>
      <c r="CA203" s="756"/>
      <c r="CB203" s="756"/>
      <c r="CC203" s="756"/>
      <c r="CD203" s="756"/>
      <c r="CE203" s="2406"/>
      <c r="CF203" s="756"/>
      <c r="CG203" s="2937">
        <v>26</v>
      </c>
      <c r="CH203" s="756">
        <v>26</v>
      </c>
      <c r="CI203" s="756">
        <v>27</v>
      </c>
      <c r="CJ203" s="2406">
        <f t="shared" si="166"/>
        <v>27</v>
      </c>
      <c r="CK203" s="3508">
        <v>28</v>
      </c>
      <c r="CL203" s="3508">
        <v>30</v>
      </c>
      <c r="CM203" s="3508">
        <v>31</v>
      </c>
      <c r="CN203" s="3508">
        <v>31</v>
      </c>
      <c r="CO203" s="2406">
        <f t="shared" si="167"/>
        <v>31</v>
      </c>
      <c r="CP203" s="3508"/>
      <c r="CQ203" s="3508"/>
      <c r="CR203" s="2631"/>
      <c r="CS203" s="2631"/>
      <c r="CT203" s="2403"/>
      <c r="CU203" s="2403"/>
      <c r="CV203" s="2403"/>
      <c r="CW203" s="2631"/>
      <c r="CX203" s="2631"/>
      <c r="CY203" s="2631"/>
      <c r="CZ203" s="2631"/>
      <c r="DA203" s="2631"/>
      <c r="DB203" s="2631"/>
      <c r="DC203" s="2631"/>
      <c r="DD203" s="2631"/>
    </row>
    <row r="204" spans="1:108" s="2434" customFormat="1" x14ac:dyDescent="0.2">
      <c r="A204" s="2434" t="s">
        <v>2460</v>
      </c>
      <c r="B204" s="2400"/>
      <c r="C204" s="2401"/>
      <c r="D204" s="2402"/>
      <c r="E204" s="2402"/>
      <c r="F204" s="2402"/>
      <c r="G204" s="2402"/>
      <c r="H204" s="2406"/>
      <c r="I204" s="2404"/>
      <c r="J204" s="2404"/>
      <c r="K204" s="2404"/>
      <c r="L204" s="2404"/>
      <c r="M204" s="2406"/>
      <c r="N204" s="2404"/>
      <c r="O204" s="2404"/>
      <c r="P204" s="756"/>
      <c r="Q204" s="756"/>
      <c r="R204" s="2406"/>
      <c r="S204" s="756"/>
      <c r="T204" s="756"/>
      <c r="U204" s="756"/>
      <c r="V204" s="756"/>
      <c r="W204" s="2406"/>
      <c r="X204" s="756"/>
      <c r="Y204" s="756"/>
      <c r="Z204" s="756"/>
      <c r="AA204" s="756"/>
      <c r="AB204" s="2406"/>
      <c r="AC204" s="756"/>
      <c r="AD204" s="756"/>
      <c r="AE204" s="756"/>
      <c r="AF204" s="756"/>
      <c r="AG204" s="2406"/>
      <c r="AH204" s="756"/>
      <c r="AI204" s="756"/>
      <c r="AJ204" s="756"/>
      <c r="AK204" s="756"/>
      <c r="AL204" s="2406"/>
      <c r="AM204" s="756"/>
      <c r="AN204" s="756"/>
      <c r="AO204" s="756"/>
      <c r="AP204" s="756"/>
      <c r="AQ204" s="2406"/>
      <c r="AR204" s="756"/>
      <c r="AS204" s="756"/>
      <c r="AT204" s="756"/>
      <c r="AU204" s="756"/>
      <c r="AV204" s="2406"/>
      <c r="AW204" s="756"/>
      <c r="AX204" s="756"/>
      <c r="AY204" s="756"/>
      <c r="AZ204" s="756"/>
      <c r="BA204" s="2406"/>
      <c r="BB204" s="756"/>
      <c r="BC204" s="756"/>
      <c r="BD204" s="756"/>
      <c r="BE204" s="756"/>
      <c r="BF204" s="2406"/>
      <c r="BG204" s="756"/>
      <c r="BH204" s="756"/>
      <c r="BI204" s="756"/>
      <c r="BJ204" s="756"/>
      <c r="BK204" s="2406"/>
      <c r="BL204" s="756"/>
      <c r="BM204" s="756"/>
      <c r="BN204" s="756"/>
      <c r="BO204" s="756"/>
      <c r="BP204" s="2406"/>
      <c r="BQ204" s="756"/>
      <c r="BR204" s="756"/>
      <c r="BS204" s="756"/>
      <c r="BT204" s="756"/>
      <c r="BU204" s="2406"/>
      <c r="BV204" s="756"/>
      <c r="BW204" s="756"/>
      <c r="BX204" s="756"/>
      <c r="BY204" s="756"/>
      <c r="BZ204" s="2406"/>
      <c r="CA204" s="756"/>
      <c r="CB204" s="756"/>
      <c r="CC204" s="756"/>
      <c r="CD204" s="756"/>
      <c r="CE204" s="2406"/>
      <c r="CF204" s="756"/>
      <c r="CG204" s="2937">
        <v>72</v>
      </c>
      <c r="CH204" s="756">
        <v>74</v>
      </c>
      <c r="CI204" s="756">
        <v>75</v>
      </c>
      <c r="CJ204" s="2406">
        <f t="shared" si="166"/>
        <v>75</v>
      </c>
      <c r="CK204" s="3508">
        <v>75</v>
      </c>
      <c r="CL204" s="3508">
        <v>74</v>
      </c>
      <c r="CM204" s="3508">
        <v>73</v>
      </c>
      <c r="CN204" s="3508">
        <v>75</v>
      </c>
      <c r="CO204" s="2406">
        <f t="shared" si="167"/>
        <v>75</v>
      </c>
      <c r="CP204" s="3508"/>
      <c r="CQ204" s="3508"/>
      <c r="CR204" s="2631"/>
      <c r="CS204" s="2631"/>
      <c r="CT204" s="2403"/>
      <c r="CU204" s="2403"/>
      <c r="CV204" s="2403"/>
      <c r="CW204" s="2631"/>
      <c r="CX204" s="2631"/>
      <c r="CY204" s="2631"/>
      <c r="CZ204" s="2631"/>
      <c r="DA204" s="2631"/>
      <c r="DB204" s="2631"/>
      <c r="DC204" s="2631"/>
      <c r="DD204" s="2631"/>
    </row>
    <row r="205" spans="1:108" s="2434" customFormat="1" x14ac:dyDescent="0.2">
      <c r="A205" s="2434" t="s">
        <v>2464</v>
      </c>
      <c r="B205" s="2400"/>
      <c r="C205" s="2401"/>
      <c r="D205" s="2402"/>
      <c r="E205" s="2402"/>
      <c r="F205" s="2402"/>
      <c r="G205" s="2402"/>
      <c r="H205" s="2406"/>
      <c r="I205" s="2404"/>
      <c r="J205" s="2404"/>
      <c r="K205" s="2404"/>
      <c r="L205" s="2404"/>
      <c r="M205" s="2406"/>
      <c r="N205" s="2404"/>
      <c r="O205" s="2404"/>
      <c r="P205" s="756"/>
      <c r="Q205" s="756"/>
      <c r="R205" s="2406"/>
      <c r="S205" s="756"/>
      <c r="T205" s="756"/>
      <c r="U205" s="756"/>
      <c r="V205" s="756"/>
      <c r="W205" s="2406"/>
      <c r="X205" s="756"/>
      <c r="Y205" s="756"/>
      <c r="Z205" s="756"/>
      <c r="AA205" s="756"/>
      <c r="AB205" s="2406"/>
      <c r="AC205" s="756"/>
      <c r="AD205" s="756"/>
      <c r="AE205" s="756"/>
      <c r="AF205" s="756"/>
      <c r="AG205" s="2406"/>
      <c r="AH205" s="756"/>
      <c r="AI205" s="756"/>
      <c r="AJ205" s="756"/>
      <c r="AK205" s="756"/>
      <c r="AL205" s="2406"/>
      <c r="AM205" s="756"/>
      <c r="AN205" s="756"/>
      <c r="AO205" s="756"/>
      <c r="AP205" s="756"/>
      <c r="AQ205" s="2406"/>
      <c r="AR205" s="756"/>
      <c r="AS205" s="756"/>
      <c r="AT205" s="756"/>
      <c r="AU205" s="756"/>
      <c r="AV205" s="2406"/>
      <c r="AW205" s="756"/>
      <c r="AX205" s="756"/>
      <c r="AY205" s="756"/>
      <c r="AZ205" s="756"/>
      <c r="BA205" s="2406"/>
      <c r="BB205" s="756"/>
      <c r="BC205" s="756"/>
      <c r="BD205" s="756"/>
      <c r="BE205" s="756"/>
      <c r="BF205" s="2406"/>
      <c r="BG205" s="756"/>
      <c r="BH205" s="756"/>
      <c r="BI205" s="756"/>
      <c r="BJ205" s="756"/>
      <c r="BK205" s="2406"/>
      <c r="BL205" s="756"/>
      <c r="BM205" s="756"/>
      <c r="BN205" s="756"/>
      <c r="BO205" s="756"/>
      <c r="BP205" s="2406"/>
      <c r="BQ205" s="756"/>
      <c r="BR205" s="756"/>
      <c r="BS205" s="756"/>
      <c r="BT205" s="756"/>
      <c r="BU205" s="2406"/>
      <c r="BV205" s="756"/>
      <c r="BW205" s="756"/>
      <c r="BX205" s="756"/>
      <c r="BY205" s="756"/>
      <c r="BZ205" s="2406"/>
      <c r="CA205" s="756"/>
      <c r="CB205" s="756"/>
      <c r="CC205" s="756"/>
      <c r="CD205" s="756"/>
      <c r="CE205" s="2406"/>
      <c r="CF205" s="756"/>
      <c r="CG205" s="2937">
        <v>22</v>
      </c>
      <c r="CH205" s="756">
        <v>22</v>
      </c>
      <c r="CI205" s="756">
        <v>23</v>
      </c>
      <c r="CJ205" s="2406">
        <f t="shared" si="166"/>
        <v>23</v>
      </c>
      <c r="CK205" s="3508">
        <v>25</v>
      </c>
      <c r="CL205" s="3508">
        <v>27</v>
      </c>
      <c r="CM205" s="3508">
        <v>28</v>
      </c>
      <c r="CN205" s="3508">
        <v>29</v>
      </c>
      <c r="CO205" s="2406">
        <f t="shared" si="167"/>
        <v>29</v>
      </c>
      <c r="CP205" s="3508"/>
      <c r="CQ205" s="3508"/>
      <c r="CR205" s="2631"/>
      <c r="CS205" s="2631"/>
      <c r="CT205" s="2403"/>
      <c r="CU205" s="2403"/>
      <c r="CV205" s="2403"/>
      <c r="CW205" s="2631"/>
      <c r="CX205" s="2631"/>
      <c r="CY205" s="2631"/>
      <c r="CZ205" s="2631"/>
      <c r="DA205" s="2631"/>
      <c r="DB205" s="2631"/>
      <c r="DC205" s="2631"/>
      <c r="DD205" s="2631"/>
    </row>
    <row r="206" spans="1:108" s="2434" customFormat="1" x14ac:dyDescent="0.2">
      <c r="A206" s="2434" t="s">
        <v>2462</v>
      </c>
      <c r="B206" s="2400"/>
      <c r="C206" s="2401"/>
      <c r="D206" s="2402"/>
      <c r="E206" s="2402"/>
      <c r="F206" s="2402"/>
      <c r="G206" s="2402"/>
      <c r="H206" s="2406"/>
      <c r="I206" s="2404"/>
      <c r="J206" s="2404"/>
      <c r="K206" s="2404"/>
      <c r="L206" s="2404"/>
      <c r="M206" s="2406"/>
      <c r="N206" s="2404"/>
      <c r="O206" s="2404"/>
      <c r="P206" s="756"/>
      <c r="Q206" s="756"/>
      <c r="R206" s="2406"/>
      <c r="S206" s="756"/>
      <c r="T206" s="756"/>
      <c r="U206" s="756"/>
      <c r="V206" s="756"/>
      <c r="W206" s="2406"/>
      <c r="X206" s="756"/>
      <c r="Y206" s="756"/>
      <c r="Z206" s="756"/>
      <c r="AA206" s="756"/>
      <c r="AB206" s="2406"/>
      <c r="AC206" s="756"/>
      <c r="AD206" s="756"/>
      <c r="AE206" s="756"/>
      <c r="AF206" s="756"/>
      <c r="AG206" s="2406"/>
      <c r="AH206" s="756"/>
      <c r="AI206" s="756"/>
      <c r="AJ206" s="756"/>
      <c r="AK206" s="756"/>
      <c r="AL206" s="2406"/>
      <c r="AM206" s="756"/>
      <c r="AN206" s="756"/>
      <c r="AO206" s="756"/>
      <c r="AP206" s="756"/>
      <c r="AQ206" s="2406"/>
      <c r="AR206" s="756"/>
      <c r="AS206" s="756"/>
      <c r="AT206" s="756"/>
      <c r="AU206" s="756"/>
      <c r="AV206" s="2406"/>
      <c r="AW206" s="756"/>
      <c r="AX206" s="756"/>
      <c r="AY206" s="756"/>
      <c r="AZ206" s="756"/>
      <c r="BA206" s="2406"/>
      <c r="BB206" s="756"/>
      <c r="BC206" s="756"/>
      <c r="BD206" s="756"/>
      <c r="BE206" s="756"/>
      <c r="BF206" s="2406"/>
      <c r="BG206" s="756"/>
      <c r="BH206" s="756"/>
      <c r="BI206" s="756"/>
      <c r="BJ206" s="756"/>
      <c r="BK206" s="2406"/>
      <c r="BL206" s="756"/>
      <c r="BM206" s="756"/>
      <c r="BN206" s="756"/>
      <c r="BO206" s="756"/>
      <c r="BP206" s="2406"/>
      <c r="BQ206" s="756"/>
      <c r="BR206" s="756"/>
      <c r="BS206" s="756"/>
      <c r="BT206" s="756"/>
      <c r="BU206" s="2406"/>
      <c r="BV206" s="756"/>
      <c r="BW206" s="756"/>
      <c r="BX206" s="756"/>
      <c r="BY206" s="756"/>
      <c r="BZ206" s="2406"/>
      <c r="CA206" s="756"/>
      <c r="CB206" s="756"/>
      <c r="CC206" s="756"/>
      <c r="CD206" s="756"/>
      <c r="CE206" s="2406"/>
      <c r="CF206" s="756"/>
      <c r="CG206" s="2937">
        <v>1</v>
      </c>
      <c r="CH206" s="756">
        <v>1</v>
      </c>
      <c r="CI206" s="756">
        <v>1</v>
      </c>
      <c r="CJ206" s="2406">
        <f t="shared" si="166"/>
        <v>1</v>
      </c>
      <c r="CK206" s="3508">
        <v>1</v>
      </c>
      <c r="CL206" s="3508">
        <v>3</v>
      </c>
      <c r="CM206" s="3508">
        <v>4</v>
      </c>
      <c r="CN206" s="3508">
        <v>4</v>
      </c>
      <c r="CO206" s="2406">
        <f t="shared" si="167"/>
        <v>4</v>
      </c>
      <c r="CP206" s="3508"/>
      <c r="CQ206" s="3508"/>
      <c r="CR206" s="2631"/>
      <c r="CS206" s="2631"/>
      <c r="CT206" s="2403"/>
      <c r="CU206" s="2403"/>
      <c r="CV206" s="2403"/>
      <c r="CW206" s="2631"/>
      <c r="CX206" s="2631"/>
      <c r="CY206" s="2631"/>
      <c r="CZ206" s="2631"/>
      <c r="DA206" s="2631"/>
      <c r="DB206" s="2631"/>
      <c r="DC206" s="2631"/>
      <c r="DD206" s="2631"/>
    </row>
    <row r="207" spans="1:108" s="2434" customFormat="1" x14ac:dyDescent="0.2">
      <c r="A207" s="2434" t="s">
        <v>2463</v>
      </c>
      <c r="B207" s="2400"/>
      <c r="C207" s="2401"/>
      <c r="D207" s="2402"/>
      <c r="E207" s="2402"/>
      <c r="F207" s="2402"/>
      <c r="G207" s="2402"/>
      <c r="H207" s="2406"/>
      <c r="I207" s="2404"/>
      <c r="J207" s="2404"/>
      <c r="K207" s="2404"/>
      <c r="L207" s="2404"/>
      <c r="M207" s="2406"/>
      <c r="N207" s="2404"/>
      <c r="O207" s="2404"/>
      <c r="P207" s="756"/>
      <c r="Q207" s="756"/>
      <c r="R207" s="2406"/>
      <c r="S207" s="756"/>
      <c r="T207" s="756"/>
      <c r="U207" s="756"/>
      <c r="V207" s="756"/>
      <c r="W207" s="2406"/>
      <c r="X207" s="756"/>
      <c r="Y207" s="756"/>
      <c r="Z207" s="756"/>
      <c r="AA207" s="756"/>
      <c r="AB207" s="2406"/>
      <c r="AC207" s="756"/>
      <c r="AD207" s="756"/>
      <c r="AE207" s="756"/>
      <c r="AF207" s="756"/>
      <c r="AG207" s="2406"/>
      <c r="AH207" s="756"/>
      <c r="AI207" s="756"/>
      <c r="AJ207" s="756"/>
      <c r="AK207" s="756"/>
      <c r="AL207" s="2406"/>
      <c r="AM207" s="756"/>
      <c r="AN207" s="756"/>
      <c r="AO207" s="756"/>
      <c r="AP207" s="756"/>
      <c r="AQ207" s="2406"/>
      <c r="AR207" s="756"/>
      <c r="AS207" s="756"/>
      <c r="AT207" s="756"/>
      <c r="AU207" s="756"/>
      <c r="AV207" s="2406"/>
      <c r="AW207" s="756"/>
      <c r="AX207" s="756"/>
      <c r="AY207" s="756"/>
      <c r="AZ207" s="756"/>
      <c r="BA207" s="2406"/>
      <c r="BB207" s="756"/>
      <c r="BC207" s="756"/>
      <c r="BD207" s="756"/>
      <c r="BE207" s="756"/>
      <c r="BF207" s="2406"/>
      <c r="BG207" s="756"/>
      <c r="BH207" s="756"/>
      <c r="BI207" s="756"/>
      <c r="BJ207" s="756"/>
      <c r="BK207" s="2406"/>
      <c r="BL207" s="756"/>
      <c r="BM207" s="756"/>
      <c r="BN207" s="756"/>
      <c r="BO207" s="756"/>
      <c r="BP207" s="2406"/>
      <c r="BQ207" s="756"/>
      <c r="BR207" s="756"/>
      <c r="BS207" s="756"/>
      <c r="BT207" s="756"/>
      <c r="BU207" s="2406"/>
      <c r="BV207" s="756"/>
      <c r="BW207" s="756"/>
      <c r="BX207" s="756"/>
      <c r="BY207" s="756"/>
      <c r="BZ207" s="2406"/>
      <c r="CA207" s="756"/>
      <c r="CB207" s="756"/>
      <c r="CC207" s="756"/>
      <c r="CD207" s="756"/>
      <c r="CE207" s="2406"/>
      <c r="CF207" s="756"/>
      <c r="CG207" s="2937">
        <v>2</v>
      </c>
      <c r="CH207" s="756">
        <v>2</v>
      </c>
      <c r="CI207" s="756">
        <v>3</v>
      </c>
      <c r="CJ207" s="2406">
        <f t="shared" si="166"/>
        <v>3</v>
      </c>
      <c r="CK207" s="3508">
        <v>3</v>
      </c>
      <c r="CL207" s="3508">
        <v>3</v>
      </c>
      <c r="CM207" s="3508">
        <v>3</v>
      </c>
      <c r="CN207" s="3508">
        <v>3</v>
      </c>
      <c r="CO207" s="2406">
        <f t="shared" si="167"/>
        <v>3</v>
      </c>
      <c r="CP207" s="3508"/>
      <c r="CQ207" s="3508"/>
      <c r="CR207" s="2631"/>
      <c r="CS207" s="2631"/>
      <c r="CT207" s="2403"/>
      <c r="CU207" s="2403"/>
      <c r="CV207" s="2403"/>
      <c r="CW207" s="2631"/>
      <c r="CX207" s="2631"/>
      <c r="CY207" s="2631"/>
      <c r="CZ207" s="2631"/>
      <c r="DA207" s="2631"/>
      <c r="DB207" s="2631"/>
      <c r="DC207" s="2631"/>
      <c r="DD207" s="2631"/>
    </row>
    <row r="208" spans="1:108" s="2434" customFormat="1" x14ac:dyDescent="0.2">
      <c r="A208" s="2434" t="s">
        <v>1931</v>
      </c>
      <c r="B208" s="2400"/>
      <c r="C208" s="2401"/>
      <c r="D208" s="2402"/>
      <c r="E208" s="2402"/>
      <c r="F208" s="2402"/>
      <c r="G208" s="2402"/>
      <c r="H208" s="2406"/>
      <c r="I208" s="2404"/>
      <c r="J208" s="2404"/>
      <c r="K208" s="2404"/>
      <c r="L208" s="2404"/>
      <c r="M208" s="2406"/>
      <c r="N208" s="2404"/>
      <c r="O208" s="2404"/>
      <c r="P208" s="756"/>
      <c r="Q208" s="756"/>
      <c r="R208" s="2406"/>
      <c r="S208" s="756"/>
      <c r="T208" s="756"/>
      <c r="U208" s="756"/>
      <c r="V208" s="756"/>
      <c r="W208" s="2406"/>
      <c r="X208" s="756"/>
      <c r="Y208" s="756"/>
      <c r="Z208" s="756"/>
      <c r="AA208" s="756"/>
      <c r="AB208" s="2406"/>
      <c r="AC208" s="756"/>
      <c r="AD208" s="756"/>
      <c r="AE208" s="756"/>
      <c r="AF208" s="756"/>
      <c r="AG208" s="2406"/>
      <c r="AH208" s="756"/>
      <c r="AI208" s="756"/>
      <c r="AJ208" s="756"/>
      <c r="AK208" s="756"/>
      <c r="AL208" s="2406"/>
      <c r="AM208" s="756"/>
      <c r="AN208" s="756"/>
      <c r="AO208" s="756"/>
      <c r="AP208" s="756"/>
      <c r="AQ208" s="2406"/>
      <c r="AR208" s="756"/>
      <c r="AS208" s="756"/>
      <c r="AT208" s="756"/>
      <c r="AU208" s="756"/>
      <c r="AV208" s="2406"/>
      <c r="AW208" s="756"/>
      <c r="AX208" s="756"/>
      <c r="AY208" s="756"/>
      <c r="AZ208" s="756"/>
      <c r="BA208" s="2406"/>
      <c r="BB208" s="756"/>
      <c r="BC208" s="756"/>
      <c r="BD208" s="756"/>
      <c r="BE208" s="756"/>
      <c r="BF208" s="2406"/>
      <c r="BG208" s="756"/>
      <c r="BH208" s="756"/>
      <c r="BI208" s="756"/>
      <c r="BJ208" s="756"/>
      <c r="BK208" s="2406"/>
      <c r="BL208" s="756"/>
      <c r="BM208" s="756"/>
      <c r="BN208" s="756"/>
      <c r="BO208" s="756"/>
      <c r="BP208" s="2406"/>
      <c r="BQ208" s="756"/>
      <c r="BR208" s="756"/>
      <c r="BS208" s="756"/>
      <c r="BT208" s="756"/>
      <c r="BU208" s="2406"/>
      <c r="BV208" s="756"/>
      <c r="BW208" s="756"/>
      <c r="BX208" s="756"/>
      <c r="BY208" s="756"/>
      <c r="BZ208" s="2406"/>
      <c r="CA208" s="756"/>
      <c r="CB208" s="756"/>
      <c r="CC208" s="756"/>
      <c r="CD208" s="756"/>
      <c r="CE208" s="2406"/>
      <c r="CF208" s="756"/>
      <c r="CG208" s="2937">
        <v>1</v>
      </c>
      <c r="CH208" s="756">
        <f>8+4+1</f>
        <v>13</v>
      </c>
      <c r="CI208" s="756">
        <f>8+5+1</f>
        <v>14</v>
      </c>
      <c r="CJ208" s="2406">
        <f t="shared" si="166"/>
        <v>14</v>
      </c>
      <c r="CK208" s="3508">
        <f>8+5+1</f>
        <v>14</v>
      </c>
      <c r="CL208" s="3508">
        <f>9+5+1+1</f>
        <v>16</v>
      </c>
      <c r="CM208" s="3508">
        <f>9+5+6+3+6</f>
        <v>29</v>
      </c>
      <c r="CN208" s="3508">
        <f>10+5+4+6+1+2+1</f>
        <v>29</v>
      </c>
      <c r="CO208" s="2406">
        <f t="shared" si="167"/>
        <v>29</v>
      </c>
      <c r="CP208" s="3508"/>
      <c r="CQ208" s="3508"/>
      <c r="CR208" s="2631"/>
      <c r="CS208" s="2631"/>
      <c r="CT208" s="2403"/>
      <c r="CU208" s="2403"/>
      <c r="CV208" s="2403"/>
      <c r="CW208" s="2631"/>
      <c r="CX208" s="2631"/>
      <c r="CY208" s="2631"/>
      <c r="CZ208" s="2631"/>
      <c r="DA208" s="2631"/>
      <c r="DB208" s="2631"/>
      <c r="DC208" s="2631"/>
      <c r="DD208" s="2631"/>
    </row>
    <row r="209" spans="1:106" ht="4.5" customHeight="1" x14ac:dyDescent="0.35">
      <c r="A209" s="1207"/>
      <c r="B209" s="212"/>
      <c r="C209" s="212"/>
      <c r="D209" s="212"/>
      <c r="E209" s="212"/>
      <c r="F209" s="212"/>
      <c r="G209" s="212"/>
      <c r="H209" s="194"/>
      <c r="I209" s="850" t="s">
        <v>2466</v>
      </c>
      <c r="J209" s="850" t="s">
        <v>2139</v>
      </c>
      <c r="K209" s="850" t="s">
        <v>2466</v>
      </c>
      <c r="L209" s="850" t="s">
        <v>2139</v>
      </c>
      <c r="M209" s="3009" t="s">
        <v>2378</v>
      </c>
      <c r="N209" s="850" t="s">
        <v>2466</v>
      </c>
      <c r="O209" s="850" t="s">
        <v>2139</v>
      </c>
      <c r="P209" s="850" t="s">
        <v>2466</v>
      </c>
      <c r="Q209" s="850" t="s">
        <v>2139</v>
      </c>
      <c r="R209" s="3009" t="s">
        <v>2378</v>
      </c>
      <c r="S209" s="850" t="s">
        <v>2466</v>
      </c>
      <c r="T209" s="850" t="s">
        <v>2139</v>
      </c>
      <c r="U209" s="850" t="s">
        <v>2466</v>
      </c>
      <c r="V209" s="850" t="s">
        <v>2139</v>
      </c>
      <c r="W209" s="3009" t="s">
        <v>2378</v>
      </c>
      <c r="X209" s="850" t="s">
        <v>2466</v>
      </c>
      <c r="Y209" s="850" t="s">
        <v>2139</v>
      </c>
      <c r="Z209" s="850" t="s">
        <v>2466</v>
      </c>
      <c r="AA209" s="850" t="s">
        <v>2139</v>
      </c>
      <c r="AB209" s="3009" t="s">
        <v>2378</v>
      </c>
      <c r="AC209" s="850" t="s">
        <v>2466</v>
      </c>
      <c r="AD209" s="850" t="s">
        <v>2139</v>
      </c>
      <c r="AE209" s="850" t="s">
        <v>2466</v>
      </c>
      <c r="AF209" s="850" t="s">
        <v>2139</v>
      </c>
      <c r="AG209" s="3009" t="s">
        <v>2378</v>
      </c>
      <c r="AH209" s="850" t="s">
        <v>2466</v>
      </c>
      <c r="AI209" s="850" t="s">
        <v>2139</v>
      </c>
      <c r="AJ209" s="850" t="s">
        <v>2466</v>
      </c>
      <c r="AK209" s="850" t="s">
        <v>2139</v>
      </c>
      <c r="AL209" s="3009" t="s">
        <v>2378</v>
      </c>
      <c r="AM209" s="850" t="s">
        <v>2466</v>
      </c>
      <c r="AN209" s="850" t="s">
        <v>2139</v>
      </c>
      <c r="AO209" s="850" t="s">
        <v>2466</v>
      </c>
      <c r="AP209" s="850" t="s">
        <v>2139</v>
      </c>
      <c r="AQ209" s="3009" t="s">
        <v>2378</v>
      </c>
      <c r="AR209" s="850" t="s">
        <v>2466</v>
      </c>
      <c r="AS209" s="850" t="s">
        <v>2139</v>
      </c>
      <c r="AT209" s="850" t="s">
        <v>2466</v>
      </c>
      <c r="AU209" s="850" t="s">
        <v>2139</v>
      </c>
      <c r="AV209" s="3009" t="s">
        <v>2378</v>
      </c>
      <c r="AW209" s="850" t="s">
        <v>2466</v>
      </c>
      <c r="AX209" s="850" t="s">
        <v>2139</v>
      </c>
      <c r="AY209" s="850" t="s">
        <v>2466</v>
      </c>
      <c r="AZ209" s="850" t="s">
        <v>2139</v>
      </c>
      <c r="BA209" s="3009" t="s">
        <v>2378</v>
      </c>
      <c r="BB209" s="850" t="s">
        <v>2466</v>
      </c>
      <c r="BC209" s="850" t="s">
        <v>2139</v>
      </c>
      <c r="BD209" s="850" t="s">
        <v>2466</v>
      </c>
      <c r="BE209" s="850" t="s">
        <v>2139</v>
      </c>
      <c r="BF209" s="3009" t="s">
        <v>2378</v>
      </c>
      <c r="BG209" s="3011" t="s">
        <v>2467</v>
      </c>
      <c r="BH209" s="3011" t="s">
        <v>2467</v>
      </c>
      <c r="BI209" s="3011" t="s">
        <v>2467</v>
      </c>
      <c r="BJ209" s="3011" t="s">
        <v>2467</v>
      </c>
      <c r="BK209" s="3009" t="s">
        <v>2139</v>
      </c>
      <c r="BL209" s="3011" t="s">
        <v>1191</v>
      </c>
      <c r="BM209" s="3011" t="s">
        <v>1191</v>
      </c>
      <c r="BN209" s="3011" t="s">
        <v>1191</v>
      </c>
      <c r="BO209" s="3011" t="s">
        <v>1191</v>
      </c>
      <c r="BP209" s="3009" t="s">
        <v>2139</v>
      </c>
      <c r="BQ209" s="3011" t="s">
        <v>2139</v>
      </c>
      <c r="BR209" s="3011" t="s">
        <v>2139</v>
      </c>
      <c r="BS209" s="3011" t="s">
        <v>2139</v>
      </c>
      <c r="BT209" s="3011" t="s">
        <v>2139</v>
      </c>
      <c r="BU209" s="3009" t="s">
        <v>2139</v>
      </c>
      <c r="BV209" s="3011" t="s">
        <v>2468</v>
      </c>
      <c r="BW209" s="3011" t="s">
        <v>2468</v>
      </c>
      <c r="BX209" s="3011" t="s">
        <v>2468</v>
      </c>
      <c r="BY209" s="3011" t="s">
        <v>2467</v>
      </c>
      <c r="BZ209" s="3009" t="s">
        <v>2378</v>
      </c>
      <c r="CA209" s="3011" t="s">
        <v>2466</v>
      </c>
      <c r="CB209" s="3011" t="s">
        <v>2466</v>
      </c>
      <c r="CC209" s="3011" t="s">
        <v>2466</v>
      </c>
      <c r="CD209" s="3011" t="s">
        <v>2378</v>
      </c>
      <c r="CE209" s="3009" t="s">
        <v>2139</v>
      </c>
      <c r="CF209" s="3011" t="s">
        <v>2466</v>
      </c>
      <c r="CG209" s="3011" t="s">
        <v>2378</v>
      </c>
      <c r="CH209" s="3011" t="s">
        <v>2378</v>
      </c>
      <c r="CI209" s="3011" t="s">
        <v>2378</v>
      </c>
      <c r="CJ209" s="3009" t="s">
        <v>2139</v>
      </c>
      <c r="CK209" s="3502" t="s">
        <v>2466</v>
      </c>
      <c r="CL209" s="3502" t="s">
        <v>2466</v>
      </c>
      <c r="CM209" s="3502" t="s">
        <v>2466</v>
      </c>
      <c r="CN209" s="3502" t="s">
        <v>2947</v>
      </c>
      <c r="CO209" s="3009" t="s">
        <v>2139</v>
      </c>
      <c r="CP209" s="3502"/>
      <c r="CQ209" s="3502"/>
      <c r="CR209" s="212"/>
      <c r="CS209" s="212"/>
      <c r="CT209" s="194"/>
      <c r="CU209" s="194"/>
      <c r="CV209" s="194"/>
    </row>
    <row r="210" spans="1:106" x14ac:dyDescent="0.2">
      <c r="A210" s="1437" t="s">
        <v>1735</v>
      </c>
      <c r="B210" s="651"/>
      <c r="C210" s="236"/>
      <c r="D210" s="234"/>
      <c r="E210" s="234"/>
      <c r="F210" s="234"/>
      <c r="G210" s="234"/>
      <c r="H210" s="232"/>
      <c r="I210" s="217">
        <f t="shared" ref="I210:AN210" si="168">SUM(I181:I196)</f>
        <v>164</v>
      </c>
      <c r="J210" s="217">
        <f t="shared" si="168"/>
        <v>166</v>
      </c>
      <c r="K210" s="217">
        <f t="shared" si="168"/>
        <v>169</v>
      </c>
      <c r="L210" s="217">
        <f t="shared" si="168"/>
        <v>174</v>
      </c>
      <c r="M210" s="232">
        <f t="shared" si="168"/>
        <v>174</v>
      </c>
      <c r="N210" s="217">
        <f t="shared" si="168"/>
        <v>175</v>
      </c>
      <c r="O210" s="217">
        <f t="shared" si="168"/>
        <v>176</v>
      </c>
      <c r="P210" s="217">
        <f t="shared" si="168"/>
        <v>178</v>
      </c>
      <c r="Q210" s="217">
        <f t="shared" si="168"/>
        <v>184</v>
      </c>
      <c r="R210" s="232">
        <f t="shared" si="168"/>
        <v>184</v>
      </c>
      <c r="S210" s="217">
        <f t="shared" si="168"/>
        <v>188</v>
      </c>
      <c r="T210" s="217">
        <f t="shared" si="168"/>
        <v>189</v>
      </c>
      <c r="U210" s="217">
        <f t="shared" si="168"/>
        <v>191</v>
      </c>
      <c r="V210" s="217">
        <f t="shared" si="168"/>
        <v>195</v>
      </c>
      <c r="W210" s="232">
        <f t="shared" si="168"/>
        <v>195</v>
      </c>
      <c r="X210" s="217">
        <f t="shared" si="168"/>
        <v>194</v>
      </c>
      <c r="Y210" s="217">
        <f t="shared" si="168"/>
        <v>199</v>
      </c>
      <c r="Z210" s="217">
        <f t="shared" si="168"/>
        <v>201</v>
      </c>
      <c r="AA210" s="217">
        <f t="shared" si="168"/>
        <v>202</v>
      </c>
      <c r="AB210" s="232">
        <f t="shared" si="168"/>
        <v>202</v>
      </c>
      <c r="AC210" s="217">
        <f t="shared" si="168"/>
        <v>205</v>
      </c>
      <c r="AD210" s="217">
        <f t="shared" si="168"/>
        <v>256</v>
      </c>
      <c r="AE210" s="217">
        <f t="shared" si="168"/>
        <v>252</v>
      </c>
      <c r="AF210" s="217">
        <f t="shared" si="168"/>
        <v>253</v>
      </c>
      <c r="AG210" s="232">
        <f t="shared" si="168"/>
        <v>253</v>
      </c>
      <c r="AH210" s="217">
        <f t="shared" si="168"/>
        <v>257</v>
      </c>
      <c r="AI210" s="217">
        <f t="shared" si="168"/>
        <v>266</v>
      </c>
      <c r="AJ210" s="217">
        <f t="shared" si="168"/>
        <v>271</v>
      </c>
      <c r="AK210" s="217">
        <f t="shared" si="168"/>
        <v>271</v>
      </c>
      <c r="AL210" s="232">
        <f t="shared" si="168"/>
        <v>271</v>
      </c>
      <c r="AM210" s="217">
        <f t="shared" si="168"/>
        <v>274</v>
      </c>
      <c r="AN210" s="217">
        <f t="shared" si="168"/>
        <v>274</v>
      </c>
      <c r="AO210" s="217">
        <f t="shared" ref="AO210:BT210" si="169">SUM(AO181:AO196)</f>
        <v>280</v>
      </c>
      <c r="AP210" s="217">
        <f t="shared" si="169"/>
        <v>277</v>
      </c>
      <c r="AQ210" s="232">
        <f t="shared" si="169"/>
        <v>277</v>
      </c>
      <c r="AR210" s="217">
        <f t="shared" si="169"/>
        <v>274</v>
      </c>
      <c r="AS210" s="217">
        <f t="shared" si="169"/>
        <v>274</v>
      </c>
      <c r="AT210" s="217">
        <f t="shared" si="169"/>
        <v>276</v>
      </c>
      <c r="AU210" s="217">
        <f t="shared" si="169"/>
        <v>282</v>
      </c>
      <c r="AV210" s="232">
        <f t="shared" si="169"/>
        <v>282</v>
      </c>
      <c r="AW210" s="217">
        <f t="shared" si="169"/>
        <v>288</v>
      </c>
      <c r="AX210" s="217">
        <f t="shared" si="169"/>
        <v>294</v>
      </c>
      <c r="AY210" s="217">
        <f t="shared" si="169"/>
        <v>296</v>
      </c>
      <c r="AZ210" s="217">
        <f t="shared" si="169"/>
        <v>304</v>
      </c>
      <c r="BA210" s="232">
        <f t="shared" si="169"/>
        <v>304</v>
      </c>
      <c r="BB210" s="217">
        <f t="shared" si="169"/>
        <v>305</v>
      </c>
      <c r="BC210" s="217">
        <f t="shared" si="169"/>
        <v>306</v>
      </c>
      <c r="BD210" s="217">
        <f t="shared" si="169"/>
        <v>309</v>
      </c>
      <c r="BE210" s="217">
        <f t="shared" si="169"/>
        <v>305</v>
      </c>
      <c r="BF210" s="232">
        <f t="shared" si="169"/>
        <v>305</v>
      </c>
      <c r="BG210" s="217">
        <f t="shared" si="169"/>
        <v>314</v>
      </c>
      <c r="BH210" s="217">
        <f t="shared" si="169"/>
        <v>314</v>
      </c>
      <c r="BI210" s="217">
        <f t="shared" si="169"/>
        <v>318</v>
      </c>
      <c r="BJ210" s="217">
        <f t="shared" si="169"/>
        <v>325</v>
      </c>
      <c r="BK210" s="232">
        <f t="shared" si="169"/>
        <v>325</v>
      </c>
      <c r="BL210" s="217">
        <f t="shared" si="169"/>
        <v>327</v>
      </c>
      <c r="BM210" s="217">
        <f t="shared" si="169"/>
        <v>329</v>
      </c>
      <c r="BN210" s="217">
        <f t="shared" si="169"/>
        <v>333</v>
      </c>
      <c r="BO210" s="217">
        <f t="shared" si="169"/>
        <v>340</v>
      </c>
      <c r="BP210" s="232">
        <f t="shared" si="169"/>
        <v>340</v>
      </c>
      <c r="BQ210" s="217">
        <f t="shared" si="169"/>
        <v>347</v>
      </c>
      <c r="BR210" s="217">
        <f t="shared" si="169"/>
        <v>347</v>
      </c>
      <c r="BS210" s="217">
        <f t="shared" si="169"/>
        <v>353</v>
      </c>
      <c r="BT210" s="217">
        <f t="shared" si="169"/>
        <v>362</v>
      </c>
      <c r="BU210" s="232">
        <f t="shared" ref="BU210:CF210" si="170">SUM(BU181:BU196)</f>
        <v>362</v>
      </c>
      <c r="BV210" s="217">
        <f t="shared" si="170"/>
        <v>369</v>
      </c>
      <c r="BW210" s="217">
        <f t="shared" si="170"/>
        <v>419</v>
      </c>
      <c r="BX210" s="217">
        <f t="shared" si="170"/>
        <v>418</v>
      </c>
      <c r="BY210" s="217">
        <f t="shared" si="170"/>
        <v>428</v>
      </c>
      <c r="BZ210" s="232">
        <f t="shared" si="170"/>
        <v>428</v>
      </c>
      <c r="CA210" s="217">
        <f t="shared" si="170"/>
        <v>423</v>
      </c>
      <c r="CB210" s="217">
        <f t="shared" si="170"/>
        <v>423</v>
      </c>
      <c r="CC210" s="217">
        <f t="shared" si="170"/>
        <v>434</v>
      </c>
      <c r="CD210" s="217">
        <f t="shared" si="170"/>
        <v>444</v>
      </c>
      <c r="CE210" s="232">
        <f t="shared" si="170"/>
        <v>444</v>
      </c>
      <c r="CF210" s="217">
        <f t="shared" si="170"/>
        <v>447</v>
      </c>
      <c r="CG210" s="217">
        <f>SUM(CG180:CG197)</f>
        <v>453</v>
      </c>
      <c r="CH210" s="217">
        <f>SUM(CH180:CH197)</f>
        <v>452</v>
      </c>
      <c r="CI210">
        <f t="shared" ref="CI210:CL210" si="171">SUM(CI180:CI208)</f>
        <v>994</v>
      </c>
      <c r="CJ210" s="232">
        <f t="shared" si="171"/>
        <v>994</v>
      </c>
      <c r="CK210" s="1051">
        <f t="shared" si="171"/>
        <v>1002</v>
      </c>
      <c r="CL210" s="1051">
        <f t="shared" si="171"/>
        <v>1014</v>
      </c>
      <c r="CM210" s="1051">
        <f>SUM(CM180:CM208)</f>
        <v>1040</v>
      </c>
      <c r="CN210" s="1051">
        <f>SUM(CN180:CN208)</f>
        <v>1065</v>
      </c>
      <c r="CO210" s="232">
        <f t="shared" ref="CO210" si="172">SUM(CO180:CO208)</f>
        <v>1065</v>
      </c>
      <c r="CP210" s="1051"/>
      <c r="CQ210" s="1051"/>
      <c r="CR210" s="847"/>
      <c r="CS210" s="847"/>
      <c r="CT210" s="661">
        <f>SUM(CT181:CT196)</f>
        <v>0</v>
      </c>
      <c r="CU210" s="661">
        <f>SUM(CU181:CU196)</f>
        <v>0</v>
      </c>
      <c r="CV210" s="661">
        <f>SUM(CV181:CV196)</f>
        <v>0</v>
      </c>
      <c r="DB210" s="217"/>
    </row>
    <row r="211" spans="1:106" x14ac:dyDescent="0.2">
      <c r="A211" s="1437"/>
      <c r="B211" s="651"/>
      <c r="C211" s="236"/>
      <c r="D211" s="234"/>
      <c r="E211" s="234"/>
      <c r="F211" s="234"/>
      <c r="G211" s="234"/>
      <c r="H211" s="194"/>
      <c r="I211" s="212"/>
      <c r="J211" s="212"/>
      <c r="K211" s="212"/>
      <c r="L211" s="212"/>
      <c r="M211" s="194"/>
      <c r="N211" s="212"/>
      <c r="O211" s="212"/>
      <c r="P211" s="212"/>
      <c r="Q211" s="212"/>
      <c r="R211" s="194"/>
      <c r="S211" s="212"/>
      <c r="T211" s="212"/>
      <c r="U211" s="212"/>
      <c r="V211" s="212"/>
      <c r="W211" s="194"/>
      <c r="X211" s="212"/>
      <c r="Y211" s="212"/>
      <c r="Z211" s="212"/>
      <c r="AA211" s="212"/>
      <c r="AB211" s="194"/>
      <c r="AC211" s="212"/>
      <c r="AD211" s="212"/>
      <c r="AE211" s="212"/>
      <c r="AF211" s="212"/>
      <c r="AG211" s="194"/>
      <c r="AH211" s="212"/>
      <c r="AI211" s="212"/>
      <c r="AJ211" s="212"/>
      <c r="AK211" s="212"/>
      <c r="AL211" s="194"/>
      <c r="AM211" s="212"/>
      <c r="AN211" s="212"/>
      <c r="AO211" s="212"/>
      <c r="AP211" s="212"/>
      <c r="AQ211" s="194"/>
      <c r="AR211" s="212"/>
      <c r="AS211" s="212"/>
      <c r="AT211" s="212"/>
      <c r="AU211" s="212"/>
      <c r="AV211" s="194"/>
      <c r="AW211" s="212"/>
      <c r="AX211" s="212"/>
      <c r="AY211" s="212"/>
      <c r="AZ211" s="212"/>
      <c r="BA211" s="194"/>
      <c r="BB211" s="212"/>
      <c r="BC211" s="212"/>
      <c r="BD211" s="212"/>
      <c r="BE211" s="212"/>
      <c r="BF211" s="194"/>
      <c r="BG211" s="212"/>
      <c r="BH211" s="212"/>
      <c r="BI211" s="212"/>
      <c r="BJ211" s="212"/>
      <c r="BK211" s="194"/>
      <c r="BL211" s="212"/>
      <c r="BM211" s="212"/>
      <c r="BN211" s="212"/>
      <c r="BO211" s="212"/>
      <c r="BP211" s="194"/>
      <c r="BQ211" s="212"/>
      <c r="BR211" s="212"/>
      <c r="BS211" s="212"/>
      <c r="BT211" s="212"/>
      <c r="BU211" s="194"/>
      <c r="BV211"/>
      <c r="BW211"/>
      <c r="BX211"/>
      <c r="BY211"/>
      <c r="BZ211" s="194"/>
      <c r="CA211"/>
      <c r="CB211"/>
      <c r="CC211"/>
      <c r="CD211" s="212"/>
      <c r="CE211" s="194"/>
      <c r="CF211" s="212"/>
      <c r="CG211" s="212"/>
      <c r="CH211" s="212"/>
      <c r="CI211" s="212"/>
      <c r="CJ211" s="194"/>
      <c r="CK211" s="2907"/>
      <c r="CL211" s="212"/>
      <c r="CM211" s="212"/>
      <c r="CN211" s="212"/>
      <c r="CO211" s="194"/>
      <c r="CP211" s="2907"/>
      <c r="CQ211" s="212"/>
      <c r="CR211" s="212"/>
      <c r="CS211" s="212"/>
      <c r="CT211" s="194"/>
      <c r="CU211" s="194"/>
      <c r="CV211" s="194"/>
    </row>
    <row r="212" spans="1:106" x14ac:dyDescent="0.2">
      <c r="A212" s="1435" t="s">
        <v>514</v>
      </c>
      <c r="B212" s="651"/>
      <c r="C212" s="236"/>
      <c r="D212" s="234"/>
      <c r="E212" s="234"/>
      <c r="F212" s="234"/>
      <c r="G212" s="234"/>
      <c r="H212" s="236"/>
      <c r="I212" s="234"/>
      <c r="J212" s="234"/>
      <c r="K212" s="234"/>
      <c r="L212" s="234"/>
      <c r="M212" s="236"/>
      <c r="N212" s="234"/>
      <c r="O212" s="234"/>
      <c r="P212" s="234"/>
      <c r="Q212" s="234"/>
      <c r="R212" s="236"/>
      <c r="S212" s="234"/>
      <c r="T212" s="234"/>
      <c r="U212" s="234"/>
      <c r="V212" s="234"/>
      <c r="W212" s="236"/>
      <c r="X212" s="234"/>
      <c r="Y212" s="234"/>
      <c r="Z212" s="234"/>
      <c r="AA212" s="234"/>
      <c r="AB212" s="236"/>
      <c r="AC212" s="234"/>
      <c r="AD212" s="234"/>
      <c r="AE212" s="234"/>
      <c r="AF212" s="234"/>
      <c r="AG212" s="236"/>
      <c r="AH212" s="234"/>
      <c r="AI212" s="234"/>
      <c r="AJ212" s="234"/>
      <c r="AK212" s="234"/>
      <c r="AL212" s="236"/>
      <c r="AM212" s="234"/>
      <c r="AN212" s="234"/>
      <c r="AO212" s="234"/>
      <c r="AP212" s="234"/>
      <c r="AQ212" s="236"/>
      <c r="AR212" s="234"/>
      <c r="AS212" s="234"/>
      <c r="AT212" s="234"/>
      <c r="AU212" s="234"/>
      <c r="AV212" s="236"/>
      <c r="AW212" s="234"/>
      <c r="AX212" s="234"/>
      <c r="AY212" s="234"/>
      <c r="AZ212" s="234"/>
      <c r="BA212" s="236"/>
      <c r="BB212" s="234"/>
      <c r="BC212" s="234"/>
      <c r="BD212" s="234"/>
      <c r="BE212" s="234"/>
      <c r="BF212" s="236"/>
      <c r="BG212" s="234"/>
      <c r="BH212" s="234"/>
      <c r="BI212" s="234"/>
      <c r="BJ212" s="234"/>
      <c r="BK212" s="236"/>
      <c r="BL212" s="234"/>
      <c r="BM212" s="234"/>
      <c r="BN212" s="212"/>
      <c r="BO212" s="212"/>
      <c r="BP212" s="236"/>
      <c r="BQ212" s="212"/>
      <c r="BR212" s="212"/>
      <c r="BS212" s="212"/>
      <c r="BT212" s="212"/>
      <c r="BU212" s="236"/>
      <c r="BV212" s="212"/>
      <c r="BW212" s="212"/>
      <c r="BX212" s="212"/>
      <c r="BY212" s="212"/>
      <c r="BZ212" s="236"/>
      <c r="CA212" s="212"/>
      <c r="CB212" s="212"/>
      <c r="CC212" s="212"/>
      <c r="CD212" s="212"/>
      <c r="CE212" s="194"/>
      <c r="CF212" s="212"/>
      <c r="CG212" s="212"/>
      <c r="CH212" s="212"/>
      <c r="CI212" s="212"/>
      <c r="CJ212" s="194"/>
      <c r="CK212" s="2907"/>
      <c r="CL212" s="212"/>
      <c r="CM212" s="212"/>
      <c r="CN212" s="212"/>
      <c r="CO212" s="194"/>
      <c r="CP212" s="2907"/>
      <c r="CQ212" s="212"/>
      <c r="CR212" s="212"/>
      <c r="CS212" s="212"/>
      <c r="CT212" s="194"/>
      <c r="CU212" s="194"/>
      <c r="CV212" s="194"/>
    </row>
    <row r="213" spans="1:106" x14ac:dyDescent="0.2">
      <c r="A213" s="2308" t="s">
        <v>456</v>
      </c>
      <c r="B213" s="651"/>
      <c r="C213" s="236"/>
      <c r="D213" s="234"/>
      <c r="E213" s="234"/>
      <c r="F213" s="234"/>
      <c r="G213" s="234"/>
      <c r="H213" s="236"/>
      <c r="I213" s="234"/>
      <c r="J213" s="234"/>
      <c r="K213" s="234"/>
      <c r="L213" s="234"/>
      <c r="M213" s="236"/>
      <c r="N213" s="234"/>
      <c r="O213" s="234"/>
      <c r="P213" s="234"/>
      <c r="Q213" s="234"/>
      <c r="R213" s="236"/>
      <c r="S213" s="234"/>
      <c r="T213" s="234"/>
      <c r="U213" s="234"/>
      <c r="V213" s="234"/>
      <c r="W213" s="236"/>
      <c r="X213" s="234"/>
      <c r="Y213" s="234"/>
      <c r="Z213" s="234"/>
      <c r="AA213" s="234"/>
      <c r="AB213" s="236"/>
      <c r="AC213" s="234"/>
      <c r="AD213" s="234"/>
      <c r="AE213" s="234"/>
      <c r="AF213" s="234"/>
      <c r="AG213" s="236"/>
      <c r="AH213" s="234"/>
      <c r="AI213" s="234"/>
      <c r="AJ213" s="234"/>
      <c r="AK213" s="234"/>
      <c r="AL213" s="236"/>
      <c r="AM213" s="234"/>
      <c r="AN213" s="234"/>
      <c r="AO213" s="234"/>
      <c r="AP213" s="234"/>
      <c r="AQ213" s="236"/>
      <c r="AR213" s="234"/>
      <c r="AS213" s="234"/>
      <c r="AT213" s="234"/>
      <c r="AU213" s="234"/>
      <c r="AV213" s="236"/>
      <c r="AW213" s="234"/>
      <c r="AX213" s="234"/>
      <c r="AY213" s="234"/>
      <c r="AZ213" s="234"/>
      <c r="BA213" s="236"/>
      <c r="BB213" s="234"/>
      <c r="BC213" s="234"/>
      <c r="BD213" s="234"/>
      <c r="BE213" s="234"/>
      <c r="BF213" s="236"/>
      <c r="BG213" s="234"/>
      <c r="BH213" s="234"/>
      <c r="BI213" s="234"/>
      <c r="BJ213" s="234"/>
      <c r="BK213" s="236"/>
      <c r="BL213" s="234"/>
      <c r="BM213" s="234"/>
      <c r="BN213" s="212"/>
      <c r="BO213" s="212"/>
      <c r="BP213" s="236"/>
      <c r="BQ213" s="212"/>
      <c r="BR213" s="212"/>
      <c r="BS213" s="212"/>
      <c r="BT213" s="212"/>
      <c r="BU213" s="236"/>
      <c r="BV213" s="212"/>
      <c r="BW213" s="212"/>
      <c r="BX213" s="212"/>
      <c r="BY213" s="212"/>
      <c r="BZ213" s="236"/>
      <c r="CA213" s="212"/>
      <c r="CB213" s="212"/>
      <c r="CC213" s="212"/>
      <c r="CD213" s="212"/>
      <c r="CE213" s="194"/>
      <c r="CF213" s="212"/>
      <c r="CG213" s="212"/>
      <c r="CH213" s="756">
        <v>6</v>
      </c>
      <c r="CI213" s="756">
        <v>7</v>
      </c>
      <c r="CJ213" s="752">
        <f t="shared" ref="CJ213:CJ241" si="173">+CI213</f>
        <v>7</v>
      </c>
      <c r="CK213" s="3508">
        <v>7</v>
      </c>
      <c r="CL213" s="3508">
        <v>7</v>
      </c>
      <c r="CM213" s="3508">
        <v>6</v>
      </c>
      <c r="CN213" s="3508">
        <v>6</v>
      </c>
      <c r="CO213" s="752">
        <f t="shared" ref="CO213:CO241" si="174">+CN213</f>
        <v>6</v>
      </c>
      <c r="CP213" s="3508"/>
      <c r="CQ213" s="3508"/>
      <c r="CR213" s="212"/>
      <c r="CS213" s="212"/>
      <c r="CT213" s="194"/>
      <c r="CU213" s="194"/>
      <c r="CV213" s="194"/>
    </row>
    <row r="214" spans="1:106" x14ac:dyDescent="0.2">
      <c r="A214" s="1434" t="s">
        <v>346</v>
      </c>
      <c r="B214" s="651"/>
      <c r="C214" s="236"/>
      <c r="D214" s="234"/>
      <c r="E214" s="234"/>
      <c r="F214" s="234"/>
      <c r="G214" s="234"/>
      <c r="H214" s="752"/>
      <c r="I214" s="756">
        <f>59</f>
        <v>59</v>
      </c>
      <c r="J214" s="756">
        <f>65</f>
        <v>65</v>
      </c>
      <c r="K214" s="756">
        <f>70</f>
        <v>70</v>
      </c>
      <c r="L214" s="756">
        <f>70</f>
        <v>70</v>
      </c>
      <c r="M214" s="752">
        <f>L214</f>
        <v>70</v>
      </c>
      <c r="N214" s="756">
        <f>71</f>
        <v>71</v>
      </c>
      <c r="O214" s="756">
        <v>70</v>
      </c>
      <c r="P214" s="756">
        <v>71</v>
      </c>
      <c r="Q214" s="756">
        <v>70</v>
      </c>
      <c r="R214" s="752">
        <f>Q214</f>
        <v>70</v>
      </c>
      <c r="S214" s="756">
        <v>70</v>
      </c>
      <c r="T214" s="756">
        <v>70</v>
      </c>
      <c r="U214" s="756">
        <v>72</v>
      </c>
      <c r="V214" s="754">
        <v>73</v>
      </c>
      <c r="W214" s="752">
        <f>V214</f>
        <v>73</v>
      </c>
      <c r="X214" s="756">
        <v>74</v>
      </c>
      <c r="Y214" s="756">
        <v>75</v>
      </c>
      <c r="Z214" s="756">
        <v>76</v>
      </c>
      <c r="AA214" s="754">
        <v>76</v>
      </c>
      <c r="AB214" s="752">
        <f>+AA214</f>
        <v>76</v>
      </c>
      <c r="AC214" s="756">
        <v>76</v>
      </c>
      <c r="AD214" s="756">
        <v>33</v>
      </c>
      <c r="AE214" s="756">
        <v>34</v>
      </c>
      <c r="AF214" s="754">
        <v>35</v>
      </c>
      <c r="AG214" s="752">
        <f>+AF214</f>
        <v>35</v>
      </c>
      <c r="AH214" s="756">
        <v>34</v>
      </c>
      <c r="AI214" s="756">
        <v>30</v>
      </c>
      <c r="AJ214" s="756">
        <v>28</v>
      </c>
      <c r="AK214" s="754">
        <v>30</v>
      </c>
      <c r="AL214" s="752">
        <f>+AK214</f>
        <v>30</v>
      </c>
      <c r="AM214" s="756">
        <v>31</v>
      </c>
      <c r="AN214" s="756">
        <v>33</v>
      </c>
      <c r="AO214" s="756">
        <v>35</v>
      </c>
      <c r="AP214" s="754">
        <v>35</v>
      </c>
      <c r="AQ214" s="752">
        <f>+AP214</f>
        <v>35</v>
      </c>
      <c r="AR214" s="756">
        <v>35</v>
      </c>
      <c r="AS214" s="756">
        <v>35</v>
      </c>
      <c r="AT214" s="756">
        <v>35</v>
      </c>
      <c r="AU214" s="754">
        <v>36</v>
      </c>
      <c r="AV214" s="752">
        <f>+AU214</f>
        <v>36</v>
      </c>
      <c r="AW214" s="756">
        <v>36</v>
      </c>
      <c r="AX214" s="756">
        <v>36</v>
      </c>
      <c r="AY214" s="756">
        <v>36</v>
      </c>
      <c r="AZ214" s="756">
        <v>35</v>
      </c>
      <c r="BA214" s="752">
        <f>+AZ214</f>
        <v>35</v>
      </c>
      <c r="BB214" s="756">
        <v>35</v>
      </c>
      <c r="BC214" s="756">
        <v>36</v>
      </c>
      <c r="BD214" s="756">
        <v>37</v>
      </c>
      <c r="BE214" s="756">
        <v>37</v>
      </c>
      <c r="BF214" s="752">
        <f>+BE214</f>
        <v>37</v>
      </c>
      <c r="BG214" s="756">
        <v>38</v>
      </c>
      <c r="BH214" s="756">
        <v>38</v>
      </c>
      <c r="BI214" s="756">
        <v>38</v>
      </c>
      <c r="BJ214" s="756">
        <v>38</v>
      </c>
      <c r="BK214" s="752">
        <f>+BJ214</f>
        <v>38</v>
      </c>
      <c r="BL214" s="756">
        <v>38</v>
      </c>
      <c r="BM214" s="756">
        <v>37</v>
      </c>
      <c r="BN214" s="756">
        <v>36</v>
      </c>
      <c r="BO214" s="756">
        <f>33+4</f>
        <v>37</v>
      </c>
      <c r="BP214" s="752">
        <f t="shared" ref="BP214:BP219" si="175">+BO214</f>
        <v>37</v>
      </c>
      <c r="BQ214" s="756">
        <v>37</v>
      </c>
      <c r="BR214" s="756">
        <v>38</v>
      </c>
      <c r="BS214" s="756">
        <v>39</v>
      </c>
      <c r="BT214" s="756">
        <v>41</v>
      </c>
      <c r="BU214" s="752">
        <f t="shared" ref="BU214:BU219" si="176">+BT214</f>
        <v>41</v>
      </c>
      <c r="BV214" s="756">
        <v>43</v>
      </c>
      <c r="BW214" s="756">
        <v>43</v>
      </c>
      <c r="BX214" s="756">
        <v>44</v>
      </c>
      <c r="BY214" s="756">
        <v>45</v>
      </c>
      <c r="BZ214" s="752">
        <f t="shared" ref="BZ214:BZ228" si="177">+BY214</f>
        <v>45</v>
      </c>
      <c r="CA214" s="756">
        <v>39</v>
      </c>
      <c r="CB214" s="756">
        <v>39</v>
      </c>
      <c r="CC214" s="756">
        <v>40</v>
      </c>
      <c r="CD214" s="756">
        <v>43</v>
      </c>
      <c r="CE214" s="752">
        <f t="shared" ref="CE214:CE228" si="178">+CD214</f>
        <v>43</v>
      </c>
      <c r="CF214" s="756">
        <v>45</v>
      </c>
      <c r="CG214" s="756">
        <v>47</v>
      </c>
      <c r="CH214" s="756">
        <v>43</v>
      </c>
      <c r="CI214" s="756">
        <v>43</v>
      </c>
      <c r="CJ214" s="752">
        <f t="shared" si="173"/>
        <v>43</v>
      </c>
      <c r="CK214" s="3508">
        <v>42</v>
      </c>
      <c r="CL214" s="3508">
        <v>43</v>
      </c>
      <c r="CM214" s="3508">
        <v>48</v>
      </c>
      <c r="CN214" s="3508">
        <v>50</v>
      </c>
      <c r="CO214" s="752">
        <f t="shared" si="174"/>
        <v>50</v>
      </c>
      <c r="CP214" s="3508"/>
      <c r="CQ214" s="3508"/>
      <c r="CR214" s="212"/>
      <c r="CS214" s="212"/>
      <c r="CT214" s="194"/>
      <c r="CU214" s="194"/>
      <c r="CV214" s="194"/>
    </row>
    <row r="215" spans="1:106" x14ac:dyDescent="0.2">
      <c r="A215" s="1434" t="s">
        <v>1385</v>
      </c>
      <c r="B215" s="651"/>
      <c r="C215" s="236"/>
      <c r="D215" s="234"/>
      <c r="E215" s="234"/>
      <c r="F215" s="234"/>
      <c r="G215" s="234"/>
      <c r="H215" s="752"/>
      <c r="I215" s="756">
        <f>14</f>
        <v>14</v>
      </c>
      <c r="J215" s="756">
        <f>14</f>
        <v>14</v>
      </c>
      <c r="K215" s="756">
        <f>17</f>
        <v>17</v>
      </c>
      <c r="L215" s="756">
        <f>17</f>
        <v>17</v>
      </c>
      <c r="M215" s="752">
        <f>L215</f>
        <v>17</v>
      </c>
      <c r="N215" s="756">
        <f>17</f>
        <v>17</v>
      </c>
      <c r="O215" s="756">
        <v>17</v>
      </c>
      <c r="P215" s="756">
        <v>17</v>
      </c>
      <c r="Q215" s="756">
        <v>17</v>
      </c>
      <c r="R215" s="752">
        <f>Q215</f>
        <v>17</v>
      </c>
      <c r="S215" s="756">
        <v>18</v>
      </c>
      <c r="T215" s="756">
        <v>16</v>
      </c>
      <c r="U215" s="756">
        <v>16</v>
      </c>
      <c r="V215" s="754">
        <v>16</v>
      </c>
      <c r="W215" s="752">
        <f>V215</f>
        <v>16</v>
      </c>
      <c r="X215" s="756">
        <v>16</v>
      </c>
      <c r="Y215" s="756">
        <v>18</v>
      </c>
      <c r="Z215" s="756">
        <v>18</v>
      </c>
      <c r="AA215" s="754">
        <v>19</v>
      </c>
      <c r="AB215" s="752">
        <f>+AA215</f>
        <v>19</v>
      </c>
      <c r="AC215" s="756">
        <v>19</v>
      </c>
      <c r="AD215" s="756">
        <v>17</v>
      </c>
      <c r="AE215" s="756">
        <v>17</v>
      </c>
      <c r="AF215" s="754">
        <v>17</v>
      </c>
      <c r="AG215" s="752">
        <f>+AF215</f>
        <v>17</v>
      </c>
      <c r="AH215" s="756">
        <v>17</v>
      </c>
      <c r="AI215" s="756">
        <v>17</v>
      </c>
      <c r="AJ215" s="756">
        <v>18</v>
      </c>
      <c r="AK215" s="754">
        <v>18</v>
      </c>
      <c r="AL215" s="752">
        <f>+AK215</f>
        <v>18</v>
      </c>
      <c r="AM215" s="756">
        <v>18</v>
      </c>
      <c r="AN215" s="756">
        <v>17</v>
      </c>
      <c r="AO215" s="756">
        <v>17</v>
      </c>
      <c r="AP215" s="754">
        <v>17</v>
      </c>
      <c r="AQ215" s="752">
        <f>+AP215</f>
        <v>17</v>
      </c>
      <c r="AR215" s="756">
        <v>15</v>
      </c>
      <c r="AS215" s="756">
        <v>14</v>
      </c>
      <c r="AT215" s="756">
        <v>14</v>
      </c>
      <c r="AU215" s="754">
        <v>14</v>
      </c>
      <c r="AV215" s="752">
        <f>+AU215</f>
        <v>14</v>
      </c>
      <c r="AW215" s="756">
        <v>15</v>
      </c>
      <c r="AX215" s="756">
        <v>15</v>
      </c>
      <c r="AY215" s="756">
        <v>14</v>
      </c>
      <c r="AZ215" s="756">
        <v>14</v>
      </c>
      <c r="BA215" s="752">
        <f>+AZ215</f>
        <v>14</v>
      </c>
      <c r="BB215" s="756">
        <v>16</v>
      </c>
      <c r="BC215" s="756">
        <v>16</v>
      </c>
      <c r="BD215" s="756">
        <v>16</v>
      </c>
      <c r="BE215" s="756">
        <v>17</v>
      </c>
      <c r="BF215" s="752">
        <f>+BE215</f>
        <v>17</v>
      </c>
      <c r="BG215" s="756">
        <v>17</v>
      </c>
      <c r="BH215" s="756">
        <v>19</v>
      </c>
      <c r="BI215" s="756">
        <v>20</v>
      </c>
      <c r="BJ215" s="756">
        <v>20</v>
      </c>
      <c r="BK215" s="752">
        <f>+BJ215</f>
        <v>20</v>
      </c>
      <c r="BL215" s="756">
        <v>20</v>
      </c>
      <c r="BM215" s="756">
        <v>20</v>
      </c>
      <c r="BN215" s="756">
        <v>21</v>
      </c>
      <c r="BO215" s="756">
        <v>22</v>
      </c>
      <c r="BP215" s="752">
        <f t="shared" si="175"/>
        <v>22</v>
      </c>
      <c r="BQ215" s="756">
        <v>22</v>
      </c>
      <c r="BR215" s="756">
        <v>22</v>
      </c>
      <c r="BS215" s="756">
        <v>22</v>
      </c>
      <c r="BT215" s="756">
        <v>22</v>
      </c>
      <c r="BU215" s="752">
        <f t="shared" si="176"/>
        <v>22</v>
      </c>
      <c r="BV215" s="756">
        <v>24</v>
      </c>
      <c r="BW215" s="756">
        <v>27</v>
      </c>
      <c r="BX215" s="756">
        <v>28</v>
      </c>
      <c r="BY215" s="756">
        <v>28</v>
      </c>
      <c r="BZ215" s="752">
        <f t="shared" si="177"/>
        <v>28</v>
      </c>
      <c r="CA215" s="756">
        <v>26</v>
      </c>
      <c r="CB215" s="756">
        <v>26</v>
      </c>
      <c r="CC215" s="756">
        <v>26</v>
      </c>
      <c r="CD215" s="756">
        <v>25</v>
      </c>
      <c r="CE215" s="752">
        <f t="shared" si="178"/>
        <v>25</v>
      </c>
      <c r="CF215" s="756">
        <v>24</v>
      </c>
      <c r="CG215" s="756">
        <v>25</v>
      </c>
      <c r="CH215" s="756">
        <v>25</v>
      </c>
      <c r="CI215" s="756">
        <v>26</v>
      </c>
      <c r="CJ215" s="752">
        <f t="shared" si="173"/>
        <v>26</v>
      </c>
      <c r="CK215" s="3508">
        <v>26</v>
      </c>
      <c r="CL215" s="3508">
        <v>26</v>
      </c>
      <c r="CM215" s="3508">
        <v>27</v>
      </c>
      <c r="CN215" s="3508">
        <v>27</v>
      </c>
      <c r="CO215" s="752">
        <f t="shared" si="174"/>
        <v>27</v>
      </c>
      <c r="CP215" s="3508"/>
      <c r="CQ215" s="3508"/>
      <c r="CR215" s="212"/>
      <c r="CS215" s="212"/>
      <c r="CT215" s="194"/>
      <c r="CU215" s="194"/>
      <c r="CV215" s="194"/>
    </row>
    <row r="216" spans="1:106" x14ac:dyDescent="0.2">
      <c r="A216" s="1434" t="s">
        <v>512</v>
      </c>
      <c r="B216" s="651"/>
      <c r="C216" s="236"/>
      <c r="D216" s="234"/>
      <c r="E216" s="234"/>
      <c r="F216" s="234"/>
      <c r="G216" s="234"/>
      <c r="H216" s="752"/>
      <c r="I216" s="845">
        <v>0</v>
      </c>
      <c r="J216" s="845">
        <v>0</v>
      </c>
      <c r="K216" s="845">
        <v>0</v>
      </c>
      <c r="L216" s="845">
        <v>0</v>
      </c>
      <c r="M216" s="848">
        <v>0</v>
      </c>
      <c r="N216" s="845">
        <v>0</v>
      </c>
      <c r="O216" s="845">
        <v>0</v>
      </c>
      <c r="P216" s="845">
        <v>0</v>
      </c>
      <c r="Q216" s="845">
        <v>0</v>
      </c>
      <c r="R216" s="848">
        <v>0</v>
      </c>
      <c r="S216" s="845">
        <v>0</v>
      </c>
      <c r="T216" s="845">
        <v>0</v>
      </c>
      <c r="U216" s="845">
        <v>0</v>
      </c>
      <c r="V216" s="845">
        <v>0</v>
      </c>
      <c r="W216" s="848">
        <v>0</v>
      </c>
      <c r="X216" s="845">
        <v>0</v>
      </c>
      <c r="Y216" s="845">
        <v>0</v>
      </c>
      <c r="Z216" s="845">
        <v>0</v>
      </c>
      <c r="AA216" s="845">
        <v>0</v>
      </c>
      <c r="AB216" s="848">
        <v>0</v>
      </c>
      <c r="AC216" s="845">
        <v>0</v>
      </c>
      <c r="AD216" s="845">
        <v>0</v>
      </c>
      <c r="AE216" s="845">
        <v>0</v>
      </c>
      <c r="AF216" s="845">
        <v>0</v>
      </c>
      <c r="AG216" s="848">
        <v>0</v>
      </c>
      <c r="AH216" s="845">
        <v>0</v>
      </c>
      <c r="AI216" s="845">
        <v>0</v>
      </c>
      <c r="AJ216" s="845">
        <v>0</v>
      </c>
      <c r="AK216" s="845">
        <v>0</v>
      </c>
      <c r="AL216" s="848">
        <v>0</v>
      </c>
      <c r="AM216" s="845">
        <v>0</v>
      </c>
      <c r="AN216" s="845">
        <v>0</v>
      </c>
      <c r="AO216" s="845">
        <v>0</v>
      </c>
      <c r="AP216" s="845">
        <v>0</v>
      </c>
      <c r="AQ216" s="848">
        <v>0</v>
      </c>
      <c r="AR216" s="845">
        <v>0</v>
      </c>
      <c r="AS216" s="845">
        <v>0</v>
      </c>
      <c r="AT216" s="845">
        <v>0</v>
      </c>
      <c r="AU216" s="845">
        <v>0</v>
      </c>
      <c r="AV216" s="848">
        <v>0</v>
      </c>
      <c r="AW216" s="845">
        <v>0</v>
      </c>
      <c r="AX216" s="845">
        <v>0</v>
      </c>
      <c r="AY216" s="845">
        <v>0</v>
      </c>
      <c r="AZ216" s="845">
        <v>0</v>
      </c>
      <c r="BA216" s="848">
        <v>0</v>
      </c>
      <c r="BB216" s="845">
        <v>0</v>
      </c>
      <c r="BC216" s="845">
        <v>0</v>
      </c>
      <c r="BD216" s="845">
        <v>0</v>
      </c>
      <c r="BE216" s="845">
        <v>0</v>
      </c>
      <c r="BF216" s="848">
        <v>0</v>
      </c>
      <c r="BG216" s="756">
        <v>0</v>
      </c>
      <c r="BH216" s="756">
        <v>0</v>
      </c>
      <c r="BI216" s="756">
        <v>4</v>
      </c>
      <c r="BJ216" s="756">
        <v>5</v>
      </c>
      <c r="BK216" s="752">
        <f>+BJ216</f>
        <v>5</v>
      </c>
      <c r="BL216" s="756">
        <v>5</v>
      </c>
      <c r="BM216" s="756">
        <v>6</v>
      </c>
      <c r="BN216" s="756">
        <v>6</v>
      </c>
      <c r="BO216" s="756">
        <v>7</v>
      </c>
      <c r="BP216" s="752">
        <f t="shared" si="175"/>
        <v>7</v>
      </c>
      <c r="BQ216" s="756">
        <v>9</v>
      </c>
      <c r="BR216" s="756">
        <v>12</v>
      </c>
      <c r="BS216" s="756">
        <v>14</v>
      </c>
      <c r="BT216" s="756">
        <v>17</v>
      </c>
      <c r="BU216" s="752">
        <f t="shared" si="176"/>
        <v>17</v>
      </c>
      <c r="BV216" s="756">
        <v>18</v>
      </c>
      <c r="BW216" s="756">
        <v>19</v>
      </c>
      <c r="BX216" s="756">
        <v>19</v>
      </c>
      <c r="BY216" s="756">
        <v>23</v>
      </c>
      <c r="BZ216" s="752">
        <f t="shared" si="177"/>
        <v>23</v>
      </c>
      <c r="CA216" s="756">
        <v>27</v>
      </c>
      <c r="CB216" s="756">
        <v>29</v>
      </c>
      <c r="CC216" s="756">
        <v>31</v>
      </c>
      <c r="CD216" s="756">
        <v>32</v>
      </c>
      <c r="CE216" s="752">
        <f t="shared" si="178"/>
        <v>32</v>
      </c>
      <c r="CF216" s="756">
        <v>34</v>
      </c>
      <c r="CG216" s="756">
        <v>34</v>
      </c>
      <c r="CH216" s="756">
        <v>36</v>
      </c>
      <c r="CI216" s="756">
        <v>38</v>
      </c>
      <c r="CJ216" s="752">
        <f t="shared" si="173"/>
        <v>38</v>
      </c>
      <c r="CK216" s="3508">
        <v>40</v>
      </c>
      <c r="CL216" s="3508">
        <v>41</v>
      </c>
      <c r="CM216" s="3508">
        <v>45</v>
      </c>
      <c r="CN216" s="3508">
        <v>45</v>
      </c>
      <c r="CO216" s="752">
        <f t="shared" si="174"/>
        <v>45</v>
      </c>
      <c r="CP216" s="3508"/>
      <c r="CQ216" s="3508"/>
      <c r="CR216" s="212"/>
      <c r="CS216" s="212"/>
      <c r="CT216" s="194"/>
      <c r="CU216" s="194"/>
      <c r="CV216" s="194"/>
    </row>
    <row r="217" spans="1:106" x14ac:dyDescent="0.2">
      <c r="A217" s="2308" t="s">
        <v>608</v>
      </c>
      <c r="B217" s="651"/>
      <c r="C217" s="236"/>
      <c r="D217" s="234"/>
      <c r="E217" s="234"/>
      <c r="F217" s="234"/>
      <c r="G217" s="234"/>
      <c r="H217" s="752"/>
      <c r="I217" s="845">
        <v>0</v>
      </c>
      <c r="J217" s="845">
        <v>0</v>
      </c>
      <c r="K217" s="845">
        <v>0</v>
      </c>
      <c r="L217" s="845">
        <v>0</v>
      </c>
      <c r="M217" s="848">
        <v>0</v>
      </c>
      <c r="N217" s="845">
        <v>0</v>
      </c>
      <c r="O217" s="845">
        <v>0</v>
      </c>
      <c r="P217" s="845">
        <v>0</v>
      </c>
      <c r="Q217" s="845">
        <v>0</v>
      </c>
      <c r="R217" s="848">
        <v>0</v>
      </c>
      <c r="S217" s="845">
        <v>0</v>
      </c>
      <c r="T217" s="845">
        <v>0</v>
      </c>
      <c r="U217" s="845">
        <v>0</v>
      </c>
      <c r="V217" s="845">
        <v>0</v>
      </c>
      <c r="W217" s="848">
        <v>0</v>
      </c>
      <c r="X217" s="845">
        <v>0</v>
      </c>
      <c r="Y217" s="845">
        <v>0</v>
      </c>
      <c r="Z217" s="845">
        <v>0</v>
      </c>
      <c r="AA217" s="845">
        <v>0</v>
      </c>
      <c r="AB217" s="848">
        <v>0</v>
      </c>
      <c r="AC217" s="845">
        <v>0</v>
      </c>
      <c r="AD217" s="845">
        <v>0</v>
      </c>
      <c r="AE217" s="845">
        <v>0</v>
      </c>
      <c r="AF217" s="845">
        <v>0</v>
      </c>
      <c r="AG217" s="848">
        <v>0</v>
      </c>
      <c r="AH217" s="845">
        <v>0</v>
      </c>
      <c r="AI217" s="845">
        <v>0</v>
      </c>
      <c r="AJ217" s="845">
        <v>0</v>
      </c>
      <c r="AK217" s="845">
        <v>0</v>
      </c>
      <c r="AL217" s="848">
        <v>0</v>
      </c>
      <c r="AM217" s="845">
        <v>0</v>
      </c>
      <c r="AN217" s="845">
        <v>0</v>
      </c>
      <c r="AO217" s="845">
        <v>0</v>
      </c>
      <c r="AP217" s="845">
        <v>0</v>
      </c>
      <c r="AQ217" s="848">
        <v>0</v>
      </c>
      <c r="AR217" s="845">
        <v>0</v>
      </c>
      <c r="AS217" s="845">
        <v>0</v>
      </c>
      <c r="AT217" s="845">
        <v>0</v>
      </c>
      <c r="AU217" s="845">
        <v>0</v>
      </c>
      <c r="AV217" s="848">
        <v>0</v>
      </c>
      <c r="AW217" s="845">
        <v>0</v>
      </c>
      <c r="AX217" s="845">
        <v>0</v>
      </c>
      <c r="AY217" s="845">
        <v>0</v>
      </c>
      <c r="AZ217" s="845">
        <v>0</v>
      </c>
      <c r="BA217" s="848">
        <v>0</v>
      </c>
      <c r="BB217" s="845">
        <v>0</v>
      </c>
      <c r="BC217" s="845">
        <v>0</v>
      </c>
      <c r="BD217" s="845">
        <v>0</v>
      </c>
      <c r="BE217" s="845">
        <v>0</v>
      </c>
      <c r="BF217" s="848">
        <v>0</v>
      </c>
      <c r="BG217" s="845">
        <v>0</v>
      </c>
      <c r="BH217" s="845">
        <v>0</v>
      </c>
      <c r="BI217" s="845">
        <v>0</v>
      </c>
      <c r="BJ217" s="845">
        <v>0</v>
      </c>
      <c r="BK217" s="848">
        <v>0</v>
      </c>
      <c r="BL217" s="845"/>
      <c r="BM217" s="845"/>
      <c r="BN217" s="845"/>
      <c r="BO217" s="845"/>
      <c r="BP217" s="752">
        <f t="shared" si="175"/>
        <v>0</v>
      </c>
      <c r="BQ217" s="845">
        <v>0</v>
      </c>
      <c r="BR217" s="845">
        <v>0</v>
      </c>
      <c r="BS217" s="845">
        <v>0</v>
      </c>
      <c r="BT217" s="845">
        <v>0</v>
      </c>
      <c r="BU217" s="752">
        <f t="shared" si="176"/>
        <v>0</v>
      </c>
      <c r="BV217" s="845">
        <v>0</v>
      </c>
      <c r="BW217" s="845">
        <v>0</v>
      </c>
      <c r="BX217" s="756">
        <v>1</v>
      </c>
      <c r="BY217" s="756">
        <v>1</v>
      </c>
      <c r="BZ217" s="752">
        <f t="shared" si="177"/>
        <v>1</v>
      </c>
      <c r="CA217" s="845">
        <v>1</v>
      </c>
      <c r="CB217" s="845">
        <v>1</v>
      </c>
      <c r="CC217" s="845">
        <v>1</v>
      </c>
      <c r="CD217" s="845">
        <v>1</v>
      </c>
      <c r="CE217" s="752">
        <f t="shared" si="178"/>
        <v>1</v>
      </c>
      <c r="CF217" s="845">
        <v>2</v>
      </c>
      <c r="CG217" s="845">
        <v>2</v>
      </c>
      <c r="CH217" s="756">
        <v>4</v>
      </c>
      <c r="CI217" s="756">
        <v>5</v>
      </c>
      <c r="CJ217" s="752">
        <f t="shared" si="173"/>
        <v>5</v>
      </c>
      <c r="CK217" s="3508">
        <v>8</v>
      </c>
      <c r="CL217" s="3508">
        <v>8</v>
      </c>
      <c r="CM217" s="3508">
        <v>12</v>
      </c>
      <c r="CN217" s="3508">
        <v>13</v>
      </c>
      <c r="CO217" s="752">
        <f t="shared" si="174"/>
        <v>13</v>
      </c>
      <c r="CP217" s="3508"/>
      <c r="CQ217" s="3508"/>
      <c r="CR217" s="212"/>
      <c r="CS217" s="212"/>
      <c r="CT217" s="194"/>
      <c r="CU217" s="194"/>
      <c r="CV217" s="194"/>
    </row>
    <row r="218" spans="1:106" x14ac:dyDescent="0.2">
      <c r="A218" s="1434" t="s">
        <v>510</v>
      </c>
      <c r="B218" s="651"/>
      <c r="C218" s="236"/>
      <c r="D218" s="234"/>
      <c r="E218" s="234"/>
      <c r="F218" s="234"/>
      <c r="G218" s="234"/>
      <c r="H218" s="752"/>
      <c r="I218" s="845">
        <v>0</v>
      </c>
      <c r="J218" s="845">
        <v>0</v>
      </c>
      <c r="K218" s="845">
        <v>0</v>
      </c>
      <c r="L218" s="845">
        <v>0</v>
      </c>
      <c r="M218" s="848">
        <v>0</v>
      </c>
      <c r="N218" s="845">
        <v>0</v>
      </c>
      <c r="O218" s="845">
        <v>0</v>
      </c>
      <c r="P218" s="845">
        <v>0</v>
      </c>
      <c r="Q218" s="845">
        <v>0</v>
      </c>
      <c r="R218" s="848">
        <v>0</v>
      </c>
      <c r="S218" s="845">
        <v>0</v>
      </c>
      <c r="T218" s="845">
        <v>0</v>
      </c>
      <c r="U218" s="845">
        <v>0</v>
      </c>
      <c r="V218" s="845">
        <v>0</v>
      </c>
      <c r="W218" s="848">
        <v>0</v>
      </c>
      <c r="X218" s="845">
        <v>0</v>
      </c>
      <c r="Y218" s="845">
        <v>0</v>
      </c>
      <c r="Z218" s="845">
        <v>0</v>
      </c>
      <c r="AA218" s="845">
        <v>0</v>
      </c>
      <c r="AB218" s="848">
        <v>0</v>
      </c>
      <c r="AC218" s="845">
        <v>0</v>
      </c>
      <c r="AD218" s="845">
        <v>0</v>
      </c>
      <c r="AE218" s="845">
        <v>0</v>
      </c>
      <c r="AF218" s="845">
        <v>0</v>
      </c>
      <c r="AG218" s="848">
        <v>0</v>
      </c>
      <c r="AH218" s="845">
        <v>0</v>
      </c>
      <c r="AI218" s="845">
        <v>0</v>
      </c>
      <c r="AJ218" s="845">
        <v>0</v>
      </c>
      <c r="AK218" s="845">
        <v>0</v>
      </c>
      <c r="AL218" s="848">
        <v>0</v>
      </c>
      <c r="AM218" s="845">
        <v>0</v>
      </c>
      <c r="AN218" s="845">
        <v>0</v>
      </c>
      <c r="AO218" s="845">
        <v>0</v>
      </c>
      <c r="AP218" s="845">
        <v>0</v>
      </c>
      <c r="AQ218" s="848">
        <v>0</v>
      </c>
      <c r="AR218" s="845">
        <v>0</v>
      </c>
      <c r="AS218" s="845">
        <v>0</v>
      </c>
      <c r="AT218" s="845">
        <v>0</v>
      </c>
      <c r="AU218" s="845">
        <v>0</v>
      </c>
      <c r="AV218" s="848">
        <v>0</v>
      </c>
      <c r="AW218" s="845">
        <v>0</v>
      </c>
      <c r="AX218" s="845">
        <v>0</v>
      </c>
      <c r="AY218" s="845">
        <v>0</v>
      </c>
      <c r="AZ218" s="845">
        <v>0</v>
      </c>
      <c r="BA218" s="848">
        <v>0</v>
      </c>
      <c r="BB218" s="845">
        <v>0</v>
      </c>
      <c r="BC218" s="845">
        <v>0</v>
      </c>
      <c r="BD218" s="845">
        <v>0</v>
      </c>
      <c r="BE218" s="845">
        <v>0</v>
      </c>
      <c r="BF218" s="848">
        <v>0</v>
      </c>
      <c r="BG218" s="845">
        <v>0</v>
      </c>
      <c r="BH218" s="845">
        <v>0</v>
      </c>
      <c r="BI218" s="845">
        <v>0</v>
      </c>
      <c r="BJ218" s="845">
        <v>0</v>
      </c>
      <c r="BK218" s="848">
        <v>0</v>
      </c>
      <c r="BL218" s="845"/>
      <c r="BM218" s="845"/>
      <c r="BN218" s="845"/>
      <c r="BO218" s="845"/>
      <c r="BP218" s="752">
        <f t="shared" si="175"/>
        <v>0</v>
      </c>
      <c r="BQ218" s="845">
        <v>0</v>
      </c>
      <c r="BR218" s="845">
        <v>0</v>
      </c>
      <c r="BS218" s="845">
        <v>0</v>
      </c>
      <c r="BT218" s="845">
        <v>0</v>
      </c>
      <c r="BU218" s="752">
        <f t="shared" si="176"/>
        <v>0</v>
      </c>
      <c r="BV218" s="845">
        <v>0</v>
      </c>
      <c r="BW218" s="845">
        <v>0</v>
      </c>
      <c r="BX218" s="845">
        <v>0</v>
      </c>
      <c r="BY218" s="845">
        <v>0</v>
      </c>
      <c r="BZ218" s="752">
        <f t="shared" si="177"/>
        <v>0</v>
      </c>
      <c r="CA218" s="845">
        <v>0</v>
      </c>
      <c r="CB218" s="845">
        <v>0</v>
      </c>
      <c r="CC218" s="845">
        <v>0</v>
      </c>
      <c r="CD218" s="845">
        <v>0</v>
      </c>
      <c r="CE218" s="752">
        <f t="shared" si="178"/>
        <v>0</v>
      </c>
      <c r="CF218" s="845">
        <v>0</v>
      </c>
      <c r="CG218" s="845">
        <v>0</v>
      </c>
      <c r="CH218" s="756">
        <v>0</v>
      </c>
      <c r="CI218" s="756">
        <v>0</v>
      </c>
      <c r="CJ218" s="752">
        <f t="shared" si="173"/>
        <v>0</v>
      </c>
      <c r="CK218" s="3508">
        <v>0</v>
      </c>
      <c r="CL218" s="3508">
        <v>0</v>
      </c>
      <c r="CM218" s="3508">
        <v>0</v>
      </c>
      <c r="CN218" s="3508">
        <v>0</v>
      </c>
      <c r="CO218" s="752">
        <f t="shared" si="174"/>
        <v>0</v>
      </c>
      <c r="CP218" s="3508"/>
      <c r="CQ218" s="3508"/>
      <c r="CR218" s="212"/>
      <c r="CS218" s="212"/>
      <c r="CT218" s="194"/>
      <c r="CU218" s="194"/>
      <c r="CV218" s="194"/>
    </row>
    <row r="219" spans="1:106" x14ac:dyDescent="0.2">
      <c r="A219" s="1434" t="s">
        <v>511</v>
      </c>
      <c r="B219" s="651"/>
      <c r="C219" s="236"/>
      <c r="D219" s="234"/>
      <c r="E219" s="234"/>
      <c r="F219" s="234"/>
      <c r="G219" s="234"/>
      <c r="H219" s="752"/>
      <c r="I219" s="845">
        <v>0</v>
      </c>
      <c r="J219" s="845">
        <v>0</v>
      </c>
      <c r="K219" s="845">
        <v>0</v>
      </c>
      <c r="L219" s="845">
        <v>0</v>
      </c>
      <c r="M219" s="848">
        <v>0</v>
      </c>
      <c r="N219" s="845">
        <v>0</v>
      </c>
      <c r="O219" s="845">
        <v>0</v>
      </c>
      <c r="P219" s="845">
        <v>0</v>
      </c>
      <c r="Q219" s="845">
        <v>0</v>
      </c>
      <c r="R219" s="848">
        <v>0</v>
      </c>
      <c r="S219" s="845">
        <v>0</v>
      </c>
      <c r="T219" s="845">
        <v>0</v>
      </c>
      <c r="U219" s="845">
        <v>0</v>
      </c>
      <c r="V219" s="845">
        <v>0</v>
      </c>
      <c r="W219" s="848">
        <v>0</v>
      </c>
      <c r="X219" s="845">
        <v>0</v>
      </c>
      <c r="Y219" s="845">
        <v>0</v>
      </c>
      <c r="Z219" s="845">
        <v>0</v>
      </c>
      <c r="AA219" s="845">
        <v>0</v>
      </c>
      <c r="AB219" s="848">
        <v>0</v>
      </c>
      <c r="AC219" s="845">
        <v>0</v>
      </c>
      <c r="AD219" s="845">
        <v>0</v>
      </c>
      <c r="AE219" s="845">
        <v>0</v>
      </c>
      <c r="AF219" s="845">
        <v>0</v>
      </c>
      <c r="AG219" s="848">
        <v>0</v>
      </c>
      <c r="AH219" s="845">
        <v>0</v>
      </c>
      <c r="AI219" s="845">
        <v>0</v>
      </c>
      <c r="AJ219" s="845">
        <v>0</v>
      </c>
      <c r="AK219" s="845">
        <v>0</v>
      </c>
      <c r="AL219" s="848">
        <v>0</v>
      </c>
      <c r="AM219" s="845">
        <v>0</v>
      </c>
      <c r="AN219" s="845">
        <v>0</v>
      </c>
      <c r="AO219" s="845">
        <v>0</v>
      </c>
      <c r="AP219" s="845">
        <v>0</v>
      </c>
      <c r="AQ219" s="848">
        <v>0</v>
      </c>
      <c r="AR219" s="845">
        <v>0</v>
      </c>
      <c r="AS219" s="845">
        <v>0</v>
      </c>
      <c r="AT219" s="845">
        <v>0</v>
      </c>
      <c r="AU219" s="845">
        <v>0</v>
      </c>
      <c r="AV219" s="848">
        <v>0</v>
      </c>
      <c r="AW219" s="845">
        <v>0</v>
      </c>
      <c r="AX219" s="845">
        <v>0</v>
      </c>
      <c r="AY219" s="845">
        <v>0</v>
      </c>
      <c r="AZ219" s="845">
        <v>0</v>
      </c>
      <c r="BA219" s="848">
        <v>0</v>
      </c>
      <c r="BB219" s="845">
        <v>0</v>
      </c>
      <c r="BC219" s="845">
        <v>0</v>
      </c>
      <c r="BD219" s="845">
        <v>0</v>
      </c>
      <c r="BE219" s="845">
        <v>0</v>
      </c>
      <c r="BF219" s="848">
        <v>0</v>
      </c>
      <c r="BG219" s="845">
        <v>0</v>
      </c>
      <c r="BH219" s="845">
        <v>0</v>
      </c>
      <c r="BI219" s="845">
        <v>0</v>
      </c>
      <c r="BJ219" s="845">
        <v>0</v>
      </c>
      <c r="BK219" s="848">
        <v>0</v>
      </c>
      <c r="BL219" s="845">
        <v>0</v>
      </c>
      <c r="BM219" s="845">
        <v>1</v>
      </c>
      <c r="BN219" s="845">
        <v>1</v>
      </c>
      <c r="BO219" s="845">
        <v>1</v>
      </c>
      <c r="BP219" s="752">
        <f t="shared" si="175"/>
        <v>1</v>
      </c>
      <c r="BQ219" s="845">
        <v>1</v>
      </c>
      <c r="BR219" s="845">
        <v>1</v>
      </c>
      <c r="BS219" s="845">
        <v>1</v>
      </c>
      <c r="BT219" s="845">
        <v>1</v>
      </c>
      <c r="BU219" s="752">
        <f t="shared" si="176"/>
        <v>1</v>
      </c>
      <c r="BV219" s="845">
        <v>1</v>
      </c>
      <c r="BW219" s="845">
        <v>1</v>
      </c>
      <c r="BX219" s="845">
        <v>1</v>
      </c>
      <c r="BY219" s="845">
        <v>1</v>
      </c>
      <c r="BZ219" s="752">
        <f t="shared" si="177"/>
        <v>1</v>
      </c>
      <c r="CA219" s="845">
        <v>1</v>
      </c>
      <c r="CB219" s="845">
        <v>1</v>
      </c>
      <c r="CC219" s="845">
        <v>1</v>
      </c>
      <c r="CD219" s="845">
        <v>1</v>
      </c>
      <c r="CE219" s="752">
        <f t="shared" si="178"/>
        <v>1</v>
      </c>
      <c r="CF219" s="845">
        <v>1</v>
      </c>
      <c r="CG219" s="845">
        <v>1</v>
      </c>
      <c r="CH219" s="756">
        <v>1</v>
      </c>
      <c r="CI219" s="756">
        <v>1</v>
      </c>
      <c r="CJ219" s="752">
        <f t="shared" si="173"/>
        <v>1</v>
      </c>
      <c r="CK219" s="3508">
        <v>1</v>
      </c>
      <c r="CL219" s="3508">
        <v>1</v>
      </c>
      <c r="CM219" s="3508">
        <v>1</v>
      </c>
      <c r="CN219" s="3508">
        <v>1</v>
      </c>
      <c r="CO219" s="752">
        <f t="shared" si="174"/>
        <v>1</v>
      </c>
      <c r="CP219" s="3508"/>
      <c r="CQ219" s="3508"/>
      <c r="CR219" s="212"/>
      <c r="CS219" s="212"/>
      <c r="CT219" s="194"/>
      <c r="CU219" s="194"/>
      <c r="CV219" s="194"/>
    </row>
    <row r="220" spans="1:106" outlineLevel="1" x14ac:dyDescent="0.2">
      <c r="A220" s="1434" t="s">
        <v>383</v>
      </c>
      <c r="B220" s="651"/>
      <c r="C220" s="236"/>
      <c r="D220" s="234"/>
      <c r="E220" s="234"/>
      <c r="F220" s="234"/>
      <c r="G220" s="234"/>
      <c r="H220" s="752"/>
      <c r="I220" s="845">
        <v>0</v>
      </c>
      <c r="J220" s="845">
        <v>0</v>
      </c>
      <c r="K220" s="845">
        <v>0</v>
      </c>
      <c r="L220" s="845">
        <v>0</v>
      </c>
      <c r="M220" s="848">
        <v>0</v>
      </c>
      <c r="N220" s="845">
        <v>0</v>
      </c>
      <c r="O220" s="845">
        <v>0</v>
      </c>
      <c r="P220" s="845">
        <v>0</v>
      </c>
      <c r="Q220" s="845">
        <v>0</v>
      </c>
      <c r="R220" s="848">
        <v>0</v>
      </c>
      <c r="S220" s="845">
        <v>0</v>
      </c>
      <c r="T220" s="845">
        <v>0</v>
      </c>
      <c r="U220" s="845">
        <v>0</v>
      </c>
      <c r="V220" s="845">
        <v>0</v>
      </c>
      <c r="W220" s="848">
        <v>0</v>
      </c>
      <c r="X220" s="845">
        <v>0</v>
      </c>
      <c r="Y220" s="845">
        <v>0</v>
      </c>
      <c r="Z220" s="845">
        <v>0</v>
      </c>
      <c r="AA220" s="845">
        <v>0</v>
      </c>
      <c r="AB220" s="848">
        <v>0</v>
      </c>
      <c r="AC220" s="845">
        <v>0</v>
      </c>
      <c r="AD220" s="845">
        <v>0</v>
      </c>
      <c r="AE220" s="845">
        <v>0</v>
      </c>
      <c r="AF220" s="845">
        <v>0</v>
      </c>
      <c r="AG220" s="848">
        <v>0</v>
      </c>
      <c r="AH220" s="845">
        <v>0</v>
      </c>
      <c r="AI220" s="845">
        <v>0</v>
      </c>
      <c r="AJ220" s="845">
        <v>0</v>
      </c>
      <c r="AK220" s="845">
        <v>0</v>
      </c>
      <c r="AL220" s="848">
        <v>0</v>
      </c>
      <c r="AM220" s="845">
        <v>0</v>
      </c>
      <c r="AN220" s="845">
        <v>0</v>
      </c>
      <c r="AO220" s="845">
        <v>0</v>
      </c>
      <c r="AP220" s="845">
        <v>0</v>
      </c>
      <c r="AQ220" s="848">
        <v>0</v>
      </c>
      <c r="AR220" s="845">
        <v>0</v>
      </c>
      <c r="AS220" s="845">
        <v>0</v>
      </c>
      <c r="AT220" s="845">
        <v>0</v>
      </c>
      <c r="AU220" s="845">
        <v>0</v>
      </c>
      <c r="AV220" s="848">
        <v>0</v>
      </c>
      <c r="AW220" s="845">
        <v>0</v>
      </c>
      <c r="AX220" s="845">
        <v>0</v>
      </c>
      <c r="AY220" s="845">
        <v>0</v>
      </c>
      <c r="AZ220" s="845">
        <v>0</v>
      </c>
      <c r="BA220" s="848">
        <v>0</v>
      </c>
      <c r="BB220" s="845">
        <v>0</v>
      </c>
      <c r="BC220" s="845">
        <v>0</v>
      </c>
      <c r="BD220" s="845">
        <v>0</v>
      </c>
      <c r="BE220" s="845">
        <v>0</v>
      </c>
      <c r="BF220" s="848">
        <v>0</v>
      </c>
      <c r="BG220" s="845">
        <v>0</v>
      </c>
      <c r="BH220" s="845">
        <v>0</v>
      </c>
      <c r="BI220" s="845">
        <v>0</v>
      </c>
      <c r="BJ220" s="845">
        <v>0</v>
      </c>
      <c r="BK220" s="848">
        <v>0</v>
      </c>
      <c r="BL220" s="845"/>
      <c r="BM220" s="845"/>
      <c r="BN220" s="845"/>
      <c r="BO220" s="845"/>
      <c r="BP220" s="752">
        <f t="shared" ref="BP220:BP228" si="179">+BO220</f>
        <v>0</v>
      </c>
      <c r="BQ220" s="845">
        <v>0</v>
      </c>
      <c r="BR220" s="845">
        <v>0</v>
      </c>
      <c r="BS220" s="845">
        <v>0</v>
      </c>
      <c r="BT220" s="845">
        <v>0</v>
      </c>
      <c r="BU220" s="752">
        <f t="shared" ref="BU220:BU228" si="180">+BT220</f>
        <v>0</v>
      </c>
      <c r="BV220" s="845">
        <v>0</v>
      </c>
      <c r="BW220" s="845">
        <v>0</v>
      </c>
      <c r="BX220" s="845">
        <v>1</v>
      </c>
      <c r="BY220" s="845">
        <v>1</v>
      </c>
      <c r="BZ220" s="752">
        <f t="shared" si="177"/>
        <v>1</v>
      </c>
      <c r="CA220" s="845">
        <v>1</v>
      </c>
      <c r="CB220" s="845">
        <v>1</v>
      </c>
      <c r="CC220" s="845">
        <v>1</v>
      </c>
      <c r="CD220" s="845">
        <v>1</v>
      </c>
      <c r="CE220" s="752">
        <f t="shared" si="178"/>
        <v>1</v>
      </c>
      <c r="CF220" s="845">
        <v>1</v>
      </c>
      <c r="CG220" s="845">
        <v>1</v>
      </c>
      <c r="CH220" s="756">
        <v>0</v>
      </c>
      <c r="CI220" s="756">
        <v>0</v>
      </c>
      <c r="CJ220" s="752">
        <f t="shared" si="173"/>
        <v>0</v>
      </c>
      <c r="CK220" s="3508">
        <v>0</v>
      </c>
      <c r="CL220" s="3508">
        <v>0</v>
      </c>
      <c r="CM220" s="3508">
        <v>0</v>
      </c>
      <c r="CN220" s="3508">
        <v>0</v>
      </c>
      <c r="CO220" s="752">
        <f t="shared" si="174"/>
        <v>0</v>
      </c>
      <c r="CP220" s="3508"/>
      <c r="CQ220" s="3508"/>
      <c r="CR220" s="212"/>
      <c r="CS220" s="212"/>
      <c r="CT220" s="194"/>
      <c r="CU220" s="194"/>
      <c r="CV220" s="194"/>
    </row>
    <row r="221" spans="1:106" x14ac:dyDescent="0.2">
      <c r="A221" s="1434" t="s">
        <v>656</v>
      </c>
      <c r="B221" s="651"/>
      <c r="C221" s="236"/>
      <c r="D221" s="234"/>
      <c r="E221" s="234"/>
      <c r="F221" s="234"/>
      <c r="G221" s="234"/>
      <c r="H221" s="752"/>
      <c r="I221" s="845">
        <v>0</v>
      </c>
      <c r="J221" s="845">
        <v>0</v>
      </c>
      <c r="K221" s="845">
        <v>0</v>
      </c>
      <c r="L221" s="845">
        <v>0</v>
      </c>
      <c r="M221" s="848">
        <v>0</v>
      </c>
      <c r="N221" s="845">
        <v>0</v>
      </c>
      <c r="O221" s="845">
        <v>0</v>
      </c>
      <c r="P221" s="845">
        <v>0</v>
      </c>
      <c r="Q221" s="845">
        <v>0</v>
      </c>
      <c r="R221" s="848">
        <v>0</v>
      </c>
      <c r="S221" s="845">
        <v>0</v>
      </c>
      <c r="T221" s="845">
        <v>0</v>
      </c>
      <c r="U221" s="845">
        <v>0</v>
      </c>
      <c r="V221" s="845">
        <v>0</v>
      </c>
      <c r="W221" s="848">
        <v>0</v>
      </c>
      <c r="X221" s="845">
        <v>0</v>
      </c>
      <c r="Y221" s="845">
        <v>0</v>
      </c>
      <c r="Z221" s="845">
        <v>0</v>
      </c>
      <c r="AA221" s="845">
        <v>0</v>
      </c>
      <c r="AB221" s="848">
        <v>0</v>
      </c>
      <c r="AC221" s="845">
        <v>0</v>
      </c>
      <c r="AD221" s="845">
        <v>0</v>
      </c>
      <c r="AE221" s="845">
        <v>0</v>
      </c>
      <c r="AF221" s="845">
        <v>0</v>
      </c>
      <c r="AG221" s="848">
        <v>0</v>
      </c>
      <c r="AH221" s="845">
        <v>0</v>
      </c>
      <c r="AI221" s="845">
        <v>0</v>
      </c>
      <c r="AJ221" s="845">
        <v>0</v>
      </c>
      <c r="AK221" s="845">
        <v>0</v>
      </c>
      <c r="AL221" s="848">
        <v>0</v>
      </c>
      <c r="AM221" s="845">
        <v>0</v>
      </c>
      <c r="AN221" s="845">
        <v>0</v>
      </c>
      <c r="AO221" s="845">
        <v>0</v>
      </c>
      <c r="AP221" s="845">
        <v>0</v>
      </c>
      <c r="AQ221" s="848">
        <v>0</v>
      </c>
      <c r="AR221" s="845">
        <v>0</v>
      </c>
      <c r="AS221" s="845">
        <v>0</v>
      </c>
      <c r="AT221" s="845">
        <v>0</v>
      </c>
      <c r="AU221" s="845">
        <v>0</v>
      </c>
      <c r="AV221" s="848">
        <v>0</v>
      </c>
      <c r="AW221" s="845">
        <v>0</v>
      </c>
      <c r="AX221" s="845">
        <v>0</v>
      </c>
      <c r="AY221" s="845">
        <v>0</v>
      </c>
      <c r="AZ221" s="845">
        <v>0</v>
      </c>
      <c r="BA221" s="848">
        <v>0</v>
      </c>
      <c r="BB221" s="845">
        <v>0</v>
      </c>
      <c r="BC221" s="845">
        <v>0</v>
      </c>
      <c r="BD221" s="845">
        <v>0</v>
      </c>
      <c r="BE221" s="845">
        <v>0</v>
      </c>
      <c r="BF221" s="848">
        <v>0</v>
      </c>
      <c r="BG221" s="756">
        <v>0</v>
      </c>
      <c r="BH221" s="756">
        <v>0</v>
      </c>
      <c r="BI221" s="756">
        <v>0</v>
      </c>
      <c r="BJ221" s="756">
        <v>0</v>
      </c>
      <c r="BK221" s="752">
        <f>+BJ221</f>
        <v>0</v>
      </c>
      <c r="BL221" s="756">
        <v>0</v>
      </c>
      <c r="BM221" s="756">
        <v>0</v>
      </c>
      <c r="BN221" s="756">
        <v>0</v>
      </c>
      <c r="BO221" s="756"/>
      <c r="BP221" s="752">
        <f t="shared" si="179"/>
        <v>0</v>
      </c>
      <c r="BQ221" s="756">
        <v>0</v>
      </c>
      <c r="BR221" s="756">
        <v>0</v>
      </c>
      <c r="BS221" s="756">
        <v>0</v>
      </c>
      <c r="BT221" s="756">
        <v>0</v>
      </c>
      <c r="BU221" s="752">
        <f t="shared" si="180"/>
        <v>0</v>
      </c>
      <c r="BV221" s="756">
        <v>0</v>
      </c>
      <c r="BW221" s="756">
        <v>0</v>
      </c>
      <c r="BX221" s="756">
        <v>0</v>
      </c>
      <c r="BY221" s="756">
        <v>0</v>
      </c>
      <c r="BZ221" s="752">
        <f t="shared" si="177"/>
        <v>0</v>
      </c>
      <c r="CA221" s="756">
        <v>0</v>
      </c>
      <c r="CB221" s="756">
        <v>0</v>
      </c>
      <c r="CC221" s="756">
        <v>0</v>
      </c>
      <c r="CD221" s="756">
        <v>0</v>
      </c>
      <c r="CE221" s="752">
        <f t="shared" si="178"/>
        <v>0</v>
      </c>
      <c r="CF221" s="756">
        <v>0</v>
      </c>
      <c r="CG221" s="756">
        <v>0</v>
      </c>
      <c r="CH221" s="756">
        <v>0</v>
      </c>
      <c r="CI221" s="756">
        <v>0</v>
      </c>
      <c r="CJ221" s="752">
        <f t="shared" si="173"/>
        <v>0</v>
      </c>
      <c r="CK221" s="3508">
        <v>0</v>
      </c>
      <c r="CL221" s="3508">
        <v>0</v>
      </c>
      <c r="CM221" s="3508">
        <v>0</v>
      </c>
      <c r="CN221" s="3508">
        <v>0</v>
      </c>
      <c r="CO221" s="752">
        <f t="shared" si="174"/>
        <v>0</v>
      </c>
      <c r="CP221" s="3508"/>
      <c r="CQ221" s="3508"/>
      <c r="CR221" s="212"/>
      <c r="CS221" s="212"/>
      <c r="CT221" s="194"/>
      <c r="CU221" s="194"/>
      <c r="CV221" s="194"/>
    </row>
    <row r="222" spans="1:106" outlineLevel="1" x14ac:dyDescent="0.2">
      <c r="A222" s="1434" t="s">
        <v>1386</v>
      </c>
      <c r="B222" s="651"/>
      <c r="C222" s="236"/>
      <c r="D222" s="234"/>
      <c r="E222" s="234"/>
      <c r="F222" s="234"/>
      <c r="G222" s="234"/>
      <c r="H222" s="752"/>
      <c r="I222" s="756">
        <f>17</f>
        <v>17</v>
      </c>
      <c r="J222" s="756">
        <f>19</f>
        <v>19</v>
      </c>
      <c r="K222" s="756">
        <f>20</f>
        <v>20</v>
      </c>
      <c r="L222" s="756">
        <f>20</f>
        <v>20</v>
      </c>
      <c r="M222" s="752">
        <f>L222</f>
        <v>20</v>
      </c>
      <c r="N222" s="756">
        <f>20</f>
        <v>20</v>
      </c>
      <c r="O222" s="756">
        <v>21</v>
      </c>
      <c r="P222" s="756">
        <v>24</v>
      </c>
      <c r="Q222" s="756">
        <v>24</v>
      </c>
      <c r="R222" s="752">
        <f>Q222</f>
        <v>24</v>
      </c>
      <c r="S222" s="756">
        <v>25</v>
      </c>
      <c r="T222" s="756">
        <v>25</v>
      </c>
      <c r="U222" s="756">
        <v>27</v>
      </c>
      <c r="V222" s="754">
        <v>28</v>
      </c>
      <c r="W222" s="752">
        <f>V222</f>
        <v>28</v>
      </c>
      <c r="X222" s="756">
        <v>29</v>
      </c>
      <c r="Y222" s="756">
        <v>29</v>
      </c>
      <c r="Z222" s="756">
        <v>31</v>
      </c>
      <c r="AA222" s="754">
        <v>32</v>
      </c>
      <c r="AB222" s="752">
        <f>+AA222</f>
        <v>32</v>
      </c>
      <c r="AC222" s="756">
        <v>33</v>
      </c>
      <c r="AD222" s="756">
        <v>33</v>
      </c>
      <c r="AE222" s="756">
        <v>35</v>
      </c>
      <c r="AF222" s="754">
        <v>37</v>
      </c>
      <c r="AG222" s="752">
        <f>+AF222</f>
        <v>37</v>
      </c>
      <c r="AH222" s="756">
        <v>38</v>
      </c>
      <c r="AI222" s="756">
        <v>42</v>
      </c>
      <c r="AJ222" s="756">
        <v>45</v>
      </c>
      <c r="AK222" s="754">
        <v>46</v>
      </c>
      <c r="AL222" s="752">
        <f>+AK222</f>
        <v>46</v>
      </c>
      <c r="AM222" s="756">
        <v>46</v>
      </c>
      <c r="AN222" s="756">
        <v>36</v>
      </c>
      <c r="AO222" s="756">
        <v>37</v>
      </c>
      <c r="AP222" s="754">
        <v>39</v>
      </c>
      <c r="AQ222" s="752">
        <f>+AP222</f>
        <v>39</v>
      </c>
      <c r="AR222" s="756">
        <v>39</v>
      </c>
      <c r="AS222" s="756">
        <v>42</v>
      </c>
      <c r="AT222" s="756">
        <v>42</v>
      </c>
      <c r="AU222" s="754">
        <v>42</v>
      </c>
      <c r="AV222" s="752">
        <f>+AU222</f>
        <v>42</v>
      </c>
      <c r="AW222" s="756">
        <v>43</v>
      </c>
      <c r="AX222" s="756">
        <v>43</v>
      </c>
      <c r="AY222" s="756">
        <v>43</v>
      </c>
      <c r="AZ222" s="756">
        <v>43</v>
      </c>
      <c r="BA222" s="752">
        <f>+AZ222</f>
        <v>43</v>
      </c>
      <c r="BB222" s="756">
        <v>45</v>
      </c>
      <c r="BC222" s="756">
        <v>45</v>
      </c>
      <c r="BD222" s="756">
        <v>46</v>
      </c>
      <c r="BE222" s="756">
        <v>45</v>
      </c>
      <c r="BF222" s="752">
        <f t="shared" ref="BF222:BF229" si="181">+BE222</f>
        <v>45</v>
      </c>
      <c r="BG222" s="756">
        <v>46</v>
      </c>
      <c r="BH222" s="756">
        <v>48</v>
      </c>
      <c r="BI222" s="756">
        <v>48</v>
      </c>
      <c r="BJ222" s="756">
        <v>49</v>
      </c>
      <c r="BK222" s="752">
        <f>+BJ222</f>
        <v>49</v>
      </c>
      <c r="BL222" s="756">
        <v>53</v>
      </c>
      <c r="BM222" s="756">
        <v>53</v>
      </c>
      <c r="BN222" s="756">
        <v>53</v>
      </c>
      <c r="BO222" s="756">
        <v>56</v>
      </c>
      <c r="BP222" s="752">
        <f t="shared" si="179"/>
        <v>56</v>
      </c>
      <c r="BQ222" s="756">
        <v>56</v>
      </c>
      <c r="BR222" s="756">
        <v>56</v>
      </c>
      <c r="BS222" s="756">
        <v>56</v>
      </c>
      <c r="BT222" s="756">
        <v>56</v>
      </c>
      <c r="BU222" s="752">
        <f t="shared" si="180"/>
        <v>56</v>
      </c>
      <c r="BV222" s="756">
        <v>56</v>
      </c>
      <c r="BW222" s="756">
        <v>56</v>
      </c>
      <c r="BX222" s="756">
        <v>57</v>
      </c>
      <c r="BY222" s="756">
        <v>61</v>
      </c>
      <c r="BZ222" s="752">
        <f t="shared" si="177"/>
        <v>61</v>
      </c>
      <c r="CA222" s="756">
        <v>39</v>
      </c>
      <c r="CB222" s="756">
        <v>41</v>
      </c>
      <c r="CC222" s="756">
        <v>44</v>
      </c>
      <c r="CD222" s="756">
        <v>48</v>
      </c>
      <c r="CE222" s="752">
        <f t="shared" si="178"/>
        <v>48</v>
      </c>
      <c r="CF222" s="756">
        <v>49</v>
      </c>
      <c r="CG222" s="756">
        <v>51</v>
      </c>
      <c r="CH222" s="756">
        <v>54</v>
      </c>
      <c r="CI222" s="756">
        <v>56</v>
      </c>
      <c r="CJ222" s="752">
        <f t="shared" si="173"/>
        <v>56</v>
      </c>
      <c r="CK222" s="3508">
        <v>57</v>
      </c>
      <c r="CL222" s="3508">
        <v>57</v>
      </c>
      <c r="CM222" s="3508">
        <v>58</v>
      </c>
      <c r="CN222" s="3508">
        <v>61</v>
      </c>
      <c r="CO222" s="752">
        <f t="shared" si="174"/>
        <v>61</v>
      </c>
      <c r="CP222" s="3508"/>
      <c r="CQ222" s="3508"/>
      <c r="CR222" s="212"/>
      <c r="CS222" s="212"/>
      <c r="CT222" s="194"/>
      <c r="CU222" s="194"/>
      <c r="CV222" s="194"/>
    </row>
    <row r="223" spans="1:106" x14ac:dyDescent="0.2">
      <c r="A223" s="2308" t="s">
        <v>2124</v>
      </c>
      <c r="B223" s="651"/>
      <c r="C223" s="236"/>
      <c r="D223" s="234"/>
      <c r="E223" s="234"/>
      <c r="F223" s="234"/>
      <c r="G223" s="234"/>
      <c r="H223" s="752"/>
      <c r="I223" s="756"/>
      <c r="J223" s="756"/>
      <c r="K223" s="756"/>
      <c r="L223" s="756"/>
      <c r="M223" s="752"/>
      <c r="N223" s="756"/>
      <c r="O223" s="756"/>
      <c r="P223" s="756"/>
      <c r="Q223" s="756"/>
      <c r="R223" s="752"/>
      <c r="S223" s="756"/>
      <c r="T223" s="756"/>
      <c r="U223" s="756"/>
      <c r="V223" s="754"/>
      <c r="W223" s="752"/>
      <c r="X223" s="756"/>
      <c r="Y223" s="756"/>
      <c r="Z223" s="756"/>
      <c r="AA223" s="754"/>
      <c r="AB223" s="752"/>
      <c r="AC223" s="756"/>
      <c r="AD223" s="756"/>
      <c r="AE223" s="756"/>
      <c r="AF223" s="754"/>
      <c r="AG223" s="752"/>
      <c r="AH223" s="756"/>
      <c r="AI223" s="756"/>
      <c r="AJ223" s="756"/>
      <c r="AK223" s="754"/>
      <c r="AL223" s="752"/>
      <c r="AM223" s="756"/>
      <c r="AN223" s="756"/>
      <c r="AO223" s="756"/>
      <c r="AP223" s="754"/>
      <c r="AQ223" s="752"/>
      <c r="AR223" s="756"/>
      <c r="AS223" s="756"/>
      <c r="AT223" s="756"/>
      <c r="AU223" s="754"/>
      <c r="AV223" s="752"/>
      <c r="AW223" s="756"/>
      <c r="AX223" s="756"/>
      <c r="AY223" s="756"/>
      <c r="AZ223" s="756"/>
      <c r="BA223" s="752"/>
      <c r="BB223" s="756"/>
      <c r="BC223" s="756"/>
      <c r="BD223" s="756"/>
      <c r="BE223" s="756"/>
      <c r="BF223" s="752"/>
      <c r="BG223" s="756"/>
      <c r="BH223" s="756"/>
      <c r="BI223" s="756"/>
      <c r="BJ223" s="756"/>
      <c r="BK223" s="752"/>
      <c r="BL223" s="756"/>
      <c r="BM223" s="756"/>
      <c r="BN223" s="756"/>
      <c r="BO223" s="756"/>
      <c r="BP223" s="752"/>
      <c r="BQ223" s="756"/>
      <c r="BR223" s="756"/>
      <c r="BS223" s="756"/>
      <c r="BT223" s="756"/>
      <c r="BU223" s="752"/>
      <c r="BV223" s="756"/>
      <c r="BW223" s="756">
        <v>59</v>
      </c>
      <c r="BX223" s="756">
        <v>59</v>
      </c>
      <c r="BY223" s="756">
        <v>59</v>
      </c>
      <c r="BZ223" s="752">
        <f t="shared" si="177"/>
        <v>59</v>
      </c>
      <c r="CA223" s="756">
        <v>58</v>
      </c>
      <c r="CB223" s="756">
        <v>58</v>
      </c>
      <c r="CC223" s="756">
        <v>55</v>
      </c>
      <c r="CD223" s="756">
        <v>55</v>
      </c>
      <c r="CE223" s="752">
        <f t="shared" si="178"/>
        <v>55</v>
      </c>
      <c r="CF223" s="756">
        <v>52</v>
      </c>
      <c r="CG223" s="756">
        <v>51</v>
      </c>
      <c r="CH223" s="756">
        <v>51</v>
      </c>
      <c r="CI223" s="756">
        <v>51</v>
      </c>
      <c r="CJ223" s="752">
        <f t="shared" si="173"/>
        <v>51</v>
      </c>
      <c r="CK223" s="3508">
        <v>48</v>
      </c>
      <c r="CL223" s="3508">
        <v>47</v>
      </c>
      <c r="CM223" s="3508">
        <v>45</v>
      </c>
      <c r="CN223" s="3508">
        <v>45</v>
      </c>
      <c r="CO223" s="752">
        <f t="shared" si="174"/>
        <v>45</v>
      </c>
      <c r="CP223" s="3508"/>
      <c r="CQ223" s="3508"/>
      <c r="CR223" s="212"/>
      <c r="CS223" s="212"/>
      <c r="CT223" s="194"/>
      <c r="CU223" s="194"/>
      <c r="CV223" s="194"/>
    </row>
    <row r="224" spans="1:106" x14ac:dyDescent="0.2">
      <c r="A224" s="1434" t="s">
        <v>1388</v>
      </c>
      <c r="B224" s="651"/>
      <c r="C224" s="236"/>
      <c r="D224" s="234"/>
      <c r="E224" s="234"/>
      <c r="F224" s="234"/>
      <c r="G224" s="234"/>
      <c r="H224" s="752"/>
      <c r="I224" s="756">
        <v>9</v>
      </c>
      <c r="J224" s="756">
        <v>10</v>
      </c>
      <c r="K224" s="756">
        <v>10</v>
      </c>
      <c r="L224" s="756">
        <v>10</v>
      </c>
      <c r="M224" s="752">
        <f>L224</f>
        <v>10</v>
      </c>
      <c r="N224" s="756">
        <v>10</v>
      </c>
      <c r="O224" s="756">
        <v>11</v>
      </c>
      <c r="P224" s="756">
        <v>12</v>
      </c>
      <c r="Q224" s="756">
        <v>12</v>
      </c>
      <c r="R224" s="752">
        <f>Q224</f>
        <v>12</v>
      </c>
      <c r="S224" s="756">
        <v>12</v>
      </c>
      <c r="T224" s="756">
        <v>13</v>
      </c>
      <c r="U224" s="756">
        <v>13</v>
      </c>
      <c r="V224" s="754">
        <v>13</v>
      </c>
      <c r="W224" s="752">
        <f>V224</f>
        <v>13</v>
      </c>
      <c r="X224" s="756">
        <v>13</v>
      </c>
      <c r="Y224" s="756">
        <v>13</v>
      </c>
      <c r="Z224" s="756">
        <v>14</v>
      </c>
      <c r="AA224" s="754">
        <v>14</v>
      </c>
      <c r="AB224" s="752">
        <f>+AA224</f>
        <v>14</v>
      </c>
      <c r="AC224" s="756">
        <v>16</v>
      </c>
      <c r="AD224" s="756">
        <v>16</v>
      </c>
      <c r="AE224" s="756">
        <v>17</v>
      </c>
      <c r="AF224" s="754">
        <v>17</v>
      </c>
      <c r="AG224" s="752">
        <f>+AF224</f>
        <v>17</v>
      </c>
      <c r="AH224" s="756">
        <v>17</v>
      </c>
      <c r="AI224" s="756">
        <v>17</v>
      </c>
      <c r="AJ224" s="756">
        <v>18</v>
      </c>
      <c r="AK224" s="754">
        <v>16</v>
      </c>
      <c r="AL224" s="752">
        <f>+AK224</f>
        <v>16</v>
      </c>
      <c r="AM224" s="756">
        <v>16</v>
      </c>
      <c r="AN224" s="756">
        <v>17</v>
      </c>
      <c r="AO224" s="756">
        <v>17</v>
      </c>
      <c r="AP224" s="754">
        <v>17</v>
      </c>
      <c r="AQ224" s="752">
        <f>+AP224</f>
        <v>17</v>
      </c>
      <c r="AR224" s="756">
        <v>17</v>
      </c>
      <c r="AS224" s="756">
        <v>17</v>
      </c>
      <c r="AT224" s="756">
        <v>17</v>
      </c>
      <c r="AU224" s="754">
        <v>17</v>
      </c>
      <c r="AV224" s="752">
        <f>+AU224</f>
        <v>17</v>
      </c>
      <c r="AW224" s="756">
        <v>15</v>
      </c>
      <c r="AX224" s="756">
        <v>15</v>
      </c>
      <c r="AY224" s="756">
        <v>15</v>
      </c>
      <c r="AZ224" s="756">
        <v>14</v>
      </c>
      <c r="BA224" s="752">
        <f>+AZ224</f>
        <v>14</v>
      </c>
      <c r="BB224" s="756">
        <v>14</v>
      </c>
      <c r="BC224" s="756">
        <v>14</v>
      </c>
      <c r="BD224" s="756">
        <v>15</v>
      </c>
      <c r="BE224" s="756">
        <v>15</v>
      </c>
      <c r="BF224" s="752">
        <f t="shared" si="181"/>
        <v>15</v>
      </c>
      <c r="BG224" s="756">
        <v>15</v>
      </c>
      <c r="BH224" s="756">
        <v>15</v>
      </c>
      <c r="BI224" s="756">
        <v>15</v>
      </c>
      <c r="BJ224" s="756">
        <v>16</v>
      </c>
      <c r="BK224" s="752">
        <f>+BJ224</f>
        <v>16</v>
      </c>
      <c r="BL224" s="756">
        <v>16</v>
      </c>
      <c r="BM224" s="756">
        <v>16</v>
      </c>
      <c r="BN224" s="756">
        <v>17</v>
      </c>
      <c r="BO224" s="756">
        <v>17</v>
      </c>
      <c r="BP224" s="752">
        <f t="shared" si="179"/>
        <v>17</v>
      </c>
      <c r="BQ224" s="756">
        <v>17</v>
      </c>
      <c r="BR224" s="756">
        <v>17</v>
      </c>
      <c r="BS224" s="756">
        <v>17</v>
      </c>
      <c r="BT224" s="756">
        <v>18</v>
      </c>
      <c r="BU224" s="752">
        <f t="shared" si="180"/>
        <v>18</v>
      </c>
      <c r="BV224" s="756">
        <v>18</v>
      </c>
      <c r="BW224" s="756">
        <v>18</v>
      </c>
      <c r="BX224" s="756">
        <v>18</v>
      </c>
      <c r="BY224" s="756">
        <v>19</v>
      </c>
      <c r="BZ224" s="752">
        <f t="shared" si="177"/>
        <v>19</v>
      </c>
      <c r="CA224" s="756">
        <v>2</v>
      </c>
      <c r="CB224" s="756">
        <v>2</v>
      </c>
      <c r="CC224" s="756">
        <v>2</v>
      </c>
      <c r="CD224" s="756">
        <v>2</v>
      </c>
      <c r="CE224" s="752">
        <f t="shared" si="178"/>
        <v>2</v>
      </c>
      <c r="CF224" s="756">
        <v>2</v>
      </c>
      <c r="CG224" s="756">
        <v>2</v>
      </c>
      <c r="CH224" s="756">
        <v>2</v>
      </c>
      <c r="CI224" s="756">
        <v>2</v>
      </c>
      <c r="CJ224" s="752">
        <f t="shared" si="173"/>
        <v>2</v>
      </c>
      <c r="CK224" s="3508">
        <v>2</v>
      </c>
      <c r="CL224" s="3508">
        <v>2</v>
      </c>
      <c r="CM224" s="3508">
        <v>3</v>
      </c>
      <c r="CN224" s="3508">
        <v>3</v>
      </c>
      <c r="CO224" s="752">
        <f t="shared" si="174"/>
        <v>3</v>
      </c>
      <c r="CP224" s="3508"/>
      <c r="CQ224" s="3508"/>
      <c r="CR224" s="212"/>
      <c r="CS224" s="212"/>
      <c r="CT224" s="194"/>
      <c r="CU224" s="194"/>
      <c r="CV224" s="194"/>
    </row>
    <row r="225" spans="1:108" x14ac:dyDescent="0.2">
      <c r="A225" s="1436" t="s">
        <v>1391</v>
      </c>
      <c r="B225" s="651"/>
      <c r="C225" s="236"/>
      <c r="D225" s="234"/>
      <c r="E225" s="234"/>
      <c r="F225" s="234"/>
      <c r="G225" s="234"/>
      <c r="H225" s="236"/>
      <c r="I225" s="845">
        <v>0</v>
      </c>
      <c r="J225" s="845">
        <v>0</v>
      </c>
      <c r="K225" s="845">
        <v>0</v>
      </c>
      <c r="L225" s="845">
        <v>0</v>
      </c>
      <c r="M225" s="848">
        <v>0</v>
      </c>
      <c r="N225" s="845">
        <v>0</v>
      </c>
      <c r="O225" s="845">
        <v>0</v>
      </c>
      <c r="P225" s="845">
        <v>0</v>
      </c>
      <c r="Q225" s="845">
        <v>0</v>
      </c>
      <c r="R225" s="848">
        <v>0</v>
      </c>
      <c r="S225" s="845">
        <v>0</v>
      </c>
      <c r="T225" s="845">
        <v>0</v>
      </c>
      <c r="U225" s="845">
        <v>0</v>
      </c>
      <c r="V225" s="845">
        <v>0</v>
      </c>
      <c r="W225" s="848">
        <v>0</v>
      </c>
      <c r="X225" s="845">
        <v>0</v>
      </c>
      <c r="Y225" s="845">
        <v>0</v>
      </c>
      <c r="Z225" s="845">
        <v>0</v>
      </c>
      <c r="AA225" s="845">
        <v>0</v>
      </c>
      <c r="AB225" s="848">
        <v>0</v>
      </c>
      <c r="AC225" s="845">
        <v>0</v>
      </c>
      <c r="AD225" s="845">
        <v>0</v>
      </c>
      <c r="AE225" s="845">
        <v>0</v>
      </c>
      <c r="AF225" s="845">
        <v>0</v>
      </c>
      <c r="AG225" s="848">
        <v>0</v>
      </c>
      <c r="AH225" s="845">
        <v>0</v>
      </c>
      <c r="AI225" s="845">
        <v>0</v>
      </c>
      <c r="AJ225" s="845">
        <v>0</v>
      </c>
      <c r="AK225" s="845">
        <v>0</v>
      </c>
      <c r="AL225" s="848">
        <v>0</v>
      </c>
      <c r="AM225" s="845">
        <v>0</v>
      </c>
      <c r="AN225" s="845">
        <v>0</v>
      </c>
      <c r="AO225" s="845">
        <v>0</v>
      </c>
      <c r="AP225" s="845">
        <v>0</v>
      </c>
      <c r="AQ225" s="848">
        <v>0</v>
      </c>
      <c r="AR225" s="845">
        <v>0</v>
      </c>
      <c r="AS225" s="845">
        <v>0</v>
      </c>
      <c r="AT225" s="845">
        <v>0</v>
      </c>
      <c r="AU225" s="845">
        <v>0</v>
      </c>
      <c r="AV225" s="848">
        <v>0</v>
      </c>
      <c r="AW225" s="845">
        <v>0</v>
      </c>
      <c r="AX225" s="845">
        <v>0</v>
      </c>
      <c r="AY225" s="845">
        <v>0</v>
      </c>
      <c r="AZ225" s="845">
        <v>0</v>
      </c>
      <c r="BA225" s="848">
        <v>0</v>
      </c>
      <c r="BB225" s="845">
        <v>0</v>
      </c>
      <c r="BC225" s="845">
        <v>0</v>
      </c>
      <c r="BD225" s="845">
        <v>0</v>
      </c>
      <c r="BE225" s="756">
        <v>1</v>
      </c>
      <c r="BF225" s="236">
        <f t="shared" si="181"/>
        <v>1</v>
      </c>
      <c r="BG225" s="756">
        <v>1</v>
      </c>
      <c r="BH225" s="756">
        <v>1</v>
      </c>
      <c r="BI225" s="756">
        <v>1</v>
      </c>
      <c r="BJ225" s="756">
        <v>1</v>
      </c>
      <c r="BK225" s="236">
        <f>BJ225</f>
        <v>1</v>
      </c>
      <c r="BL225" s="756">
        <v>1</v>
      </c>
      <c r="BM225" s="756">
        <v>1</v>
      </c>
      <c r="BN225" s="756">
        <v>2</v>
      </c>
      <c r="BO225" s="756">
        <v>2</v>
      </c>
      <c r="BP225" s="236">
        <f t="shared" si="179"/>
        <v>2</v>
      </c>
      <c r="BQ225" s="756">
        <v>2</v>
      </c>
      <c r="BR225" s="756">
        <v>2</v>
      </c>
      <c r="BS225" s="756">
        <v>2</v>
      </c>
      <c r="BT225" s="756">
        <v>2</v>
      </c>
      <c r="BU225" s="236">
        <f t="shared" si="180"/>
        <v>2</v>
      </c>
      <c r="BV225" s="756">
        <v>2</v>
      </c>
      <c r="BW225" s="756">
        <v>3</v>
      </c>
      <c r="BX225" s="756">
        <v>4</v>
      </c>
      <c r="BY225" s="756">
        <v>4</v>
      </c>
      <c r="BZ225" s="236">
        <f t="shared" si="177"/>
        <v>4</v>
      </c>
      <c r="CA225" s="756">
        <v>0</v>
      </c>
      <c r="CB225" s="756">
        <v>0</v>
      </c>
      <c r="CC225" s="756">
        <v>0</v>
      </c>
      <c r="CD225" s="756">
        <v>0</v>
      </c>
      <c r="CE225" s="236">
        <f t="shared" si="178"/>
        <v>0</v>
      </c>
      <c r="CF225" s="756">
        <v>0</v>
      </c>
      <c r="CG225" s="756">
        <v>0</v>
      </c>
      <c r="CH225" s="756">
        <v>0</v>
      </c>
      <c r="CI225" s="756">
        <v>0</v>
      </c>
      <c r="CJ225" s="236">
        <f t="shared" si="173"/>
        <v>0</v>
      </c>
      <c r="CK225" s="3508">
        <v>0</v>
      </c>
      <c r="CL225" s="3508">
        <v>0</v>
      </c>
      <c r="CM225" s="3508">
        <v>0</v>
      </c>
      <c r="CN225" s="3508">
        <v>0</v>
      </c>
      <c r="CO225" s="236">
        <f t="shared" si="174"/>
        <v>0</v>
      </c>
      <c r="CP225" s="3508"/>
      <c r="CQ225" s="3508"/>
      <c r="CR225" s="212"/>
      <c r="CS225" s="212"/>
      <c r="CT225" s="194"/>
      <c r="CU225" s="194"/>
      <c r="CV225" s="194"/>
    </row>
    <row r="226" spans="1:108" x14ac:dyDescent="0.2">
      <c r="A226" s="1436" t="s">
        <v>1389</v>
      </c>
      <c r="B226" s="651"/>
      <c r="C226" s="236"/>
      <c r="D226" s="234"/>
      <c r="E226" s="234"/>
      <c r="F226" s="234"/>
      <c r="G226" s="234"/>
      <c r="H226" s="752"/>
      <c r="I226" s="845">
        <v>0</v>
      </c>
      <c r="J226" s="845">
        <v>0</v>
      </c>
      <c r="K226" s="845">
        <v>0</v>
      </c>
      <c r="L226" s="845">
        <v>0</v>
      </c>
      <c r="M226" s="848">
        <v>0</v>
      </c>
      <c r="N226" s="845">
        <v>0</v>
      </c>
      <c r="O226" s="845">
        <v>0</v>
      </c>
      <c r="P226" s="845">
        <v>0</v>
      </c>
      <c r="Q226" s="845">
        <v>0</v>
      </c>
      <c r="R226" s="848">
        <v>0</v>
      </c>
      <c r="S226" s="756">
        <v>1</v>
      </c>
      <c r="T226" s="756">
        <v>1</v>
      </c>
      <c r="U226" s="756">
        <v>1</v>
      </c>
      <c r="V226" s="754">
        <v>1</v>
      </c>
      <c r="W226" s="752">
        <f>V226</f>
        <v>1</v>
      </c>
      <c r="X226" s="756">
        <v>1</v>
      </c>
      <c r="Y226" s="756">
        <v>3</v>
      </c>
      <c r="Z226" s="756">
        <v>3</v>
      </c>
      <c r="AA226" s="754">
        <v>4</v>
      </c>
      <c r="AB226" s="752">
        <f>+AA226</f>
        <v>4</v>
      </c>
      <c r="AC226" s="756">
        <v>4</v>
      </c>
      <c r="AD226" s="756">
        <v>4</v>
      </c>
      <c r="AE226" s="756">
        <v>5</v>
      </c>
      <c r="AF226" s="754">
        <v>5</v>
      </c>
      <c r="AG226" s="752">
        <f>+AF226</f>
        <v>5</v>
      </c>
      <c r="AH226" s="756">
        <v>5</v>
      </c>
      <c r="AI226" s="756">
        <v>5</v>
      </c>
      <c r="AJ226" s="756">
        <v>5</v>
      </c>
      <c r="AK226" s="754">
        <v>5</v>
      </c>
      <c r="AL226" s="752">
        <f>+AK226</f>
        <v>5</v>
      </c>
      <c r="AM226" s="756">
        <v>6</v>
      </c>
      <c r="AN226" s="756">
        <v>7</v>
      </c>
      <c r="AO226" s="756">
        <v>7</v>
      </c>
      <c r="AP226" s="754">
        <v>8</v>
      </c>
      <c r="AQ226" s="752">
        <f>+AP226</f>
        <v>8</v>
      </c>
      <c r="AR226" s="756">
        <v>8</v>
      </c>
      <c r="AS226" s="756">
        <v>9</v>
      </c>
      <c r="AT226" s="756">
        <v>9</v>
      </c>
      <c r="AU226" s="754">
        <v>9</v>
      </c>
      <c r="AV226" s="752">
        <f>+AU226</f>
        <v>9</v>
      </c>
      <c r="AW226" s="756">
        <v>9</v>
      </c>
      <c r="AX226" s="756">
        <v>9</v>
      </c>
      <c r="AY226" s="756">
        <v>9</v>
      </c>
      <c r="AZ226" s="756">
        <v>9</v>
      </c>
      <c r="BA226" s="752">
        <f>+AZ226</f>
        <v>9</v>
      </c>
      <c r="BB226" s="756">
        <v>9</v>
      </c>
      <c r="BC226" s="756">
        <v>9</v>
      </c>
      <c r="BD226" s="756">
        <v>10</v>
      </c>
      <c r="BE226" s="756">
        <v>10</v>
      </c>
      <c r="BF226" s="752">
        <f t="shared" si="181"/>
        <v>10</v>
      </c>
      <c r="BG226" s="756">
        <v>10</v>
      </c>
      <c r="BH226" s="756">
        <v>11</v>
      </c>
      <c r="BI226" s="756">
        <v>11</v>
      </c>
      <c r="BJ226" s="756">
        <v>13</v>
      </c>
      <c r="BK226" s="752">
        <f>+BJ226</f>
        <v>13</v>
      </c>
      <c r="BL226" s="756">
        <v>13</v>
      </c>
      <c r="BM226" s="756">
        <v>13</v>
      </c>
      <c r="BN226" s="756">
        <v>13</v>
      </c>
      <c r="BO226" s="756">
        <v>13</v>
      </c>
      <c r="BP226" s="752">
        <f t="shared" si="179"/>
        <v>13</v>
      </c>
      <c r="BQ226" s="756">
        <v>13</v>
      </c>
      <c r="BR226" s="756">
        <v>14</v>
      </c>
      <c r="BS226" s="756">
        <v>16</v>
      </c>
      <c r="BT226" s="756">
        <v>16</v>
      </c>
      <c r="BU226" s="752">
        <f t="shared" si="180"/>
        <v>16</v>
      </c>
      <c r="BV226" s="756">
        <v>16</v>
      </c>
      <c r="BW226" s="756">
        <v>16</v>
      </c>
      <c r="BX226" s="756">
        <v>16</v>
      </c>
      <c r="BY226" s="756">
        <v>15</v>
      </c>
      <c r="BZ226" s="752">
        <f t="shared" si="177"/>
        <v>15</v>
      </c>
      <c r="CA226" s="756">
        <v>1</v>
      </c>
      <c r="CB226" s="756">
        <v>1</v>
      </c>
      <c r="CC226" s="756">
        <v>1</v>
      </c>
      <c r="CD226" s="756">
        <v>2</v>
      </c>
      <c r="CE226" s="752">
        <f t="shared" si="178"/>
        <v>2</v>
      </c>
      <c r="CF226" s="756">
        <v>2</v>
      </c>
      <c r="CG226" s="756">
        <v>2</v>
      </c>
      <c r="CH226" s="756">
        <v>2</v>
      </c>
      <c r="CI226" s="756">
        <v>2</v>
      </c>
      <c r="CJ226" s="752">
        <f t="shared" si="173"/>
        <v>2</v>
      </c>
      <c r="CK226" s="3508">
        <v>2</v>
      </c>
      <c r="CL226" s="3508">
        <v>3</v>
      </c>
      <c r="CM226" s="3508">
        <v>4</v>
      </c>
      <c r="CN226" s="3508">
        <v>6</v>
      </c>
      <c r="CO226" s="752">
        <f t="shared" si="174"/>
        <v>6</v>
      </c>
      <c r="CP226" s="3508"/>
      <c r="CQ226" s="3508"/>
      <c r="CR226" s="212"/>
      <c r="CS226" s="212"/>
      <c r="CT226" s="194"/>
      <c r="CU226" s="194"/>
      <c r="CV226" s="194"/>
    </row>
    <row r="227" spans="1:108" x14ac:dyDescent="0.2">
      <c r="A227" s="1436" t="s">
        <v>1390</v>
      </c>
      <c r="B227" s="651"/>
      <c r="C227" s="236"/>
      <c r="D227" s="234"/>
      <c r="E227" s="234"/>
      <c r="F227" s="234"/>
      <c r="G227" s="234"/>
      <c r="H227" s="752"/>
      <c r="I227" s="845">
        <v>0</v>
      </c>
      <c r="J227" s="845">
        <v>0</v>
      </c>
      <c r="K227" s="845">
        <v>0</v>
      </c>
      <c r="L227" s="845">
        <v>0</v>
      </c>
      <c r="M227" s="848">
        <v>0</v>
      </c>
      <c r="N227" s="756">
        <v>1</v>
      </c>
      <c r="O227" s="756">
        <v>1</v>
      </c>
      <c r="P227" s="756">
        <v>1</v>
      </c>
      <c r="Q227" s="756">
        <v>1</v>
      </c>
      <c r="R227" s="752">
        <f>Q227</f>
        <v>1</v>
      </c>
      <c r="S227" s="756">
        <v>1</v>
      </c>
      <c r="T227" s="756">
        <v>1</v>
      </c>
      <c r="U227" s="756">
        <v>1</v>
      </c>
      <c r="V227" s="754">
        <v>1</v>
      </c>
      <c r="W227" s="752">
        <f>V227</f>
        <v>1</v>
      </c>
      <c r="X227" s="756">
        <v>1</v>
      </c>
      <c r="Y227" s="756">
        <v>1</v>
      </c>
      <c r="Z227" s="756">
        <v>1</v>
      </c>
      <c r="AA227" s="754">
        <v>1</v>
      </c>
      <c r="AB227" s="752">
        <f>+AA227</f>
        <v>1</v>
      </c>
      <c r="AC227" s="756">
        <v>1</v>
      </c>
      <c r="AD227" s="756">
        <v>1</v>
      </c>
      <c r="AE227" s="756">
        <v>1</v>
      </c>
      <c r="AF227" s="754">
        <v>1</v>
      </c>
      <c r="AG227" s="752">
        <f>+AF227</f>
        <v>1</v>
      </c>
      <c r="AH227" s="756">
        <v>1</v>
      </c>
      <c r="AI227" s="756">
        <v>1</v>
      </c>
      <c r="AJ227" s="756">
        <v>1</v>
      </c>
      <c r="AK227" s="754">
        <v>1</v>
      </c>
      <c r="AL227" s="752">
        <f>+AK227</f>
        <v>1</v>
      </c>
      <c r="AM227" s="756">
        <v>1</v>
      </c>
      <c r="AN227" s="756">
        <v>1</v>
      </c>
      <c r="AO227" s="756">
        <v>1</v>
      </c>
      <c r="AP227" s="754">
        <v>1</v>
      </c>
      <c r="AQ227" s="752">
        <f>+AP227</f>
        <v>1</v>
      </c>
      <c r="AR227" s="756">
        <v>1</v>
      </c>
      <c r="AS227" s="756">
        <v>1</v>
      </c>
      <c r="AT227" s="756">
        <v>1</v>
      </c>
      <c r="AU227" s="754">
        <v>1</v>
      </c>
      <c r="AV227" s="752">
        <f>+AU227</f>
        <v>1</v>
      </c>
      <c r="AW227" s="756">
        <v>1</v>
      </c>
      <c r="AX227" s="756">
        <v>1</v>
      </c>
      <c r="AY227" s="756">
        <v>1</v>
      </c>
      <c r="AZ227" s="756">
        <v>1</v>
      </c>
      <c r="BA227" s="752">
        <f>+AZ227</f>
        <v>1</v>
      </c>
      <c r="BB227" s="756">
        <v>1</v>
      </c>
      <c r="BC227" s="756">
        <v>1</v>
      </c>
      <c r="BD227" s="756">
        <v>1</v>
      </c>
      <c r="BE227" s="756">
        <v>1</v>
      </c>
      <c r="BF227" s="752">
        <f t="shared" si="181"/>
        <v>1</v>
      </c>
      <c r="BG227" s="756">
        <v>1</v>
      </c>
      <c r="BH227" s="756">
        <v>1</v>
      </c>
      <c r="BI227" s="756">
        <v>2</v>
      </c>
      <c r="BJ227" s="756">
        <v>2</v>
      </c>
      <c r="BK227" s="752">
        <f>+BJ227</f>
        <v>2</v>
      </c>
      <c r="BL227" s="756">
        <v>2</v>
      </c>
      <c r="BM227" s="756">
        <v>2</v>
      </c>
      <c r="BN227" s="756">
        <v>2</v>
      </c>
      <c r="BO227" s="756">
        <v>2</v>
      </c>
      <c r="BP227" s="752">
        <f t="shared" si="179"/>
        <v>2</v>
      </c>
      <c r="BQ227" s="756">
        <v>2</v>
      </c>
      <c r="BR227" s="756">
        <v>2</v>
      </c>
      <c r="BS227" s="756">
        <v>2</v>
      </c>
      <c r="BT227" s="756">
        <v>2</v>
      </c>
      <c r="BU227" s="752">
        <f t="shared" si="180"/>
        <v>2</v>
      </c>
      <c r="BV227" s="756">
        <v>2</v>
      </c>
      <c r="BW227" s="756">
        <v>2</v>
      </c>
      <c r="BX227" s="756">
        <v>2</v>
      </c>
      <c r="BY227" s="756">
        <v>2</v>
      </c>
      <c r="BZ227" s="752">
        <f t="shared" si="177"/>
        <v>2</v>
      </c>
      <c r="CA227" s="756">
        <v>0</v>
      </c>
      <c r="CB227" s="756">
        <v>0</v>
      </c>
      <c r="CC227" s="756">
        <v>0</v>
      </c>
      <c r="CD227" s="756">
        <v>0</v>
      </c>
      <c r="CE227" s="752">
        <f t="shared" si="178"/>
        <v>0</v>
      </c>
      <c r="CF227" s="756">
        <v>0</v>
      </c>
      <c r="CG227" s="756">
        <v>0</v>
      </c>
      <c r="CH227" s="756">
        <v>0</v>
      </c>
      <c r="CI227" s="756">
        <v>0</v>
      </c>
      <c r="CJ227" s="752">
        <f t="shared" si="173"/>
        <v>0</v>
      </c>
      <c r="CK227" s="3508">
        <v>0</v>
      </c>
      <c r="CL227" s="3508">
        <v>0</v>
      </c>
      <c r="CM227" s="3508">
        <v>0</v>
      </c>
      <c r="CN227" s="3508">
        <v>0</v>
      </c>
      <c r="CO227" s="752">
        <f t="shared" si="174"/>
        <v>0</v>
      </c>
      <c r="CP227" s="3508"/>
      <c r="CQ227" s="3508"/>
      <c r="CR227" s="212"/>
      <c r="CS227" s="212"/>
      <c r="CT227" s="194"/>
      <c r="CU227" s="194"/>
      <c r="CV227" s="194"/>
    </row>
    <row r="228" spans="1:108" x14ac:dyDescent="0.2">
      <c r="A228" s="1436" t="s">
        <v>650</v>
      </c>
      <c r="B228" s="651"/>
      <c r="C228" s="236"/>
      <c r="D228" s="234"/>
      <c r="E228" s="234"/>
      <c r="F228" s="234"/>
      <c r="G228" s="234"/>
      <c r="H228" s="752"/>
      <c r="I228" s="756">
        <f>57</f>
        <v>57</v>
      </c>
      <c r="J228" s="756">
        <f>65</f>
        <v>65</v>
      </c>
      <c r="K228" s="756">
        <f>124</f>
        <v>124</v>
      </c>
      <c r="L228" s="756">
        <f>128</f>
        <v>128</v>
      </c>
      <c r="M228" s="752">
        <f>L228</f>
        <v>128</v>
      </c>
      <c r="N228" s="756">
        <f>132</f>
        <v>132</v>
      </c>
      <c r="O228" s="756">
        <v>134</v>
      </c>
      <c r="P228" s="756">
        <v>139</v>
      </c>
      <c r="Q228" s="756">
        <v>142</v>
      </c>
      <c r="R228" s="752">
        <f>Q228</f>
        <v>142</v>
      </c>
      <c r="S228" s="756">
        <v>146</v>
      </c>
      <c r="T228" s="756">
        <v>167</v>
      </c>
      <c r="U228" s="756">
        <v>176</v>
      </c>
      <c r="V228" s="754">
        <v>188</v>
      </c>
      <c r="W228" s="752">
        <f>V228</f>
        <v>188</v>
      </c>
      <c r="X228" s="756">
        <v>198</v>
      </c>
      <c r="Y228" s="756">
        <v>202</v>
      </c>
      <c r="Z228" s="756">
        <v>199</v>
      </c>
      <c r="AA228" s="754">
        <v>0</v>
      </c>
      <c r="AB228" s="752">
        <f>+AA228</f>
        <v>0</v>
      </c>
      <c r="AC228" s="756">
        <v>0</v>
      </c>
      <c r="AD228" s="756">
        <v>0</v>
      </c>
      <c r="AE228" s="756">
        <v>0</v>
      </c>
      <c r="AF228" s="754">
        <v>0</v>
      </c>
      <c r="AG228" s="752">
        <f>+AF228</f>
        <v>0</v>
      </c>
      <c r="AH228" s="756">
        <v>0</v>
      </c>
      <c r="AI228" s="756">
        <v>0</v>
      </c>
      <c r="AJ228" s="756">
        <v>0</v>
      </c>
      <c r="AK228" s="754">
        <v>0</v>
      </c>
      <c r="AL228" s="752">
        <f>+AK228</f>
        <v>0</v>
      </c>
      <c r="AM228" s="756">
        <v>0</v>
      </c>
      <c r="AN228" s="756">
        <v>0</v>
      </c>
      <c r="AO228" s="756">
        <v>0</v>
      </c>
      <c r="AP228" s="754">
        <v>0</v>
      </c>
      <c r="AQ228" s="752">
        <f>+AP228</f>
        <v>0</v>
      </c>
      <c r="AR228" s="756">
        <v>0</v>
      </c>
      <c r="AS228" s="756">
        <v>0</v>
      </c>
      <c r="AT228" s="756">
        <v>0</v>
      </c>
      <c r="AU228" s="754">
        <v>0</v>
      </c>
      <c r="AV228" s="752">
        <f>+AU228</f>
        <v>0</v>
      </c>
      <c r="AW228" s="756">
        <v>0</v>
      </c>
      <c r="AX228" s="756">
        <v>0</v>
      </c>
      <c r="AY228" s="756">
        <v>0</v>
      </c>
      <c r="AZ228" s="756">
        <v>0</v>
      </c>
      <c r="BA228" s="752">
        <f>+AZ228</f>
        <v>0</v>
      </c>
      <c r="BB228" s="756">
        <v>0</v>
      </c>
      <c r="BC228" s="756">
        <v>0</v>
      </c>
      <c r="BD228" s="756">
        <v>0</v>
      </c>
      <c r="BE228" s="756">
        <v>0</v>
      </c>
      <c r="BF228" s="752">
        <f t="shared" si="181"/>
        <v>0</v>
      </c>
      <c r="BG228" s="756">
        <v>0</v>
      </c>
      <c r="BH228" s="756">
        <v>0</v>
      </c>
      <c r="BI228" s="756">
        <v>0</v>
      </c>
      <c r="BJ228" s="756">
        <v>0</v>
      </c>
      <c r="BK228" s="752">
        <f>+BJ228</f>
        <v>0</v>
      </c>
      <c r="BL228" s="756"/>
      <c r="BM228" s="756"/>
      <c r="BN228" s="756">
        <v>0</v>
      </c>
      <c r="BO228" s="756">
        <v>0</v>
      </c>
      <c r="BP228" s="752">
        <f t="shared" si="179"/>
        <v>0</v>
      </c>
      <c r="BQ228" s="756">
        <v>0</v>
      </c>
      <c r="BR228" s="756">
        <v>0</v>
      </c>
      <c r="BS228" s="756">
        <v>0</v>
      </c>
      <c r="BT228" s="756">
        <v>0</v>
      </c>
      <c r="BU228" s="752">
        <f t="shared" si="180"/>
        <v>0</v>
      </c>
      <c r="BV228" s="756">
        <v>0</v>
      </c>
      <c r="BW228" s="756">
        <v>0</v>
      </c>
      <c r="BX228" s="756">
        <v>0</v>
      </c>
      <c r="BY228" s="756">
        <v>0</v>
      </c>
      <c r="BZ228" s="752">
        <f t="shared" si="177"/>
        <v>0</v>
      </c>
      <c r="CA228" s="756">
        <v>0</v>
      </c>
      <c r="CB228" s="756">
        <v>0</v>
      </c>
      <c r="CC228" s="756">
        <v>0</v>
      </c>
      <c r="CD228" s="756">
        <v>0</v>
      </c>
      <c r="CE228" s="752">
        <f t="shared" si="178"/>
        <v>0</v>
      </c>
      <c r="CF228" s="756">
        <v>0</v>
      </c>
      <c r="CG228" s="756">
        <v>0</v>
      </c>
      <c r="CH228" s="756">
        <v>0</v>
      </c>
      <c r="CI228" s="756">
        <v>0</v>
      </c>
      <c r="CJ228" s="752">
        <f t="shared" si="173"/>
        <v>0</v>
      </c>
      <c r="CK228" s="3508">
        <v>0</v>
      </c>
      <c r="CL228" s="3508">
        <v>0</v>
      </c>
      <c r="CM228" s="3508">
        <v>0</v>
      </c>
      <c r="CN228" s="3508">
        <v>0</v>
      </c>
      <c r="CO228" s="752">
        <f t="shared" si="174"/>
        <v>0</v>
      </c>
      <c r="CP228" s="3508"/>
      <c r="CQ228" s="3508"/>
      <c r="CR228" s="212"/>
      <c r="CS228" s="212"/>
      <c r="CT228" s="194"/>
      <c r="CU228" s="194"/>
      <c r="CV228" s="194"/>
    </row>
    <row r="229" spans="1:108" s="2434" customFormat="1" x14ac:dyDescent="0.2">
      <c r="A229" s="2288" t="s">
        <v>384</v>
      </c>
      <c r="B229" s="2400"/>
      <c r="C229" s="2401"/>
      <c r="D229" s="2402"/>
      <c r="E229" s="2402"/>
      <c r="F229" s="2402"/>
      <c r="G229" s="2402"/>
      <c r="H229" s="2293"/>
      <c r="I229" s="845">
        <v>0</v>
      </c>
      <c r="J229" s="845">
        <v>0</v>
      </c>
      <c r="K229" s="845">
        <v>0</v>
      </c>
      <c r="L229" s="845">
        <v>1</v>
      </c>
      <c r="M229" s="2293">
        <f>L229</f>
        <v>1</v>
      </c>
      <c r="N229" s="845">
        <f>1</f>
        <v>1</v>
      </c>
      <c r="O229" s="845">
        <v>1</v>
      </c>
      <c r="P229" s="845">
        <v>1</v>
      </c>
      <c r="Q229" s="845">
        <v>1</v>
      </c>
      <c r="R229" s="2293">
        <f>Q229</f>
        <v>1</v>
      </c>
      <c r="S229" s="845">
        <v>1</v>
      </c>
      <c r="T229" s="845">
        <v>1</v>
      </c>
      <c r="U229" s="845">
        <v>1</v>
      </c>
      <c r="V229" s="845">
        <v>1</v>
      </c>
      <c r="W229" s="2293">
        <f>V229</f>
        <v>1</v>
      </c>
      <c r="X229" s="845">
        <v>1</v>
      </c>
      <c r="Y229" s="845">
        <v>1</v>
      </c>
      <c r="Z229" s="845">
        <v>1</v>
      </c>
      <c r="AA229" s="845">
        <v>1</v>
      </c>
      <c r="AB229" s="2293">
        <f>+AA229</f>
        <v>1</v>
      </c>
      <c r="AC229" s="845">
        <v>1</v>
      </c>
      <c r="AD229" s="845">
        <v>1</v>
      </c>
      <c r="AE229" s="845">
        <v>1</v>
      </c>
      <c r="AF229" s="845">
        <v>1</v>
      </c>
      <c r="AG229" s="2293">
        <f>+AF229</f>
        <v>1</v>
      </c>
      <c r="AH229" s="845">
        <v>1</v>
      </c>
      <c r="AI229" s="845">
        <v>1</v>
      </c>
      <c r="AJ229" s="845">
        <v>1</v>
      </c>
      <c r="AK229" s="845">
        <v>1</v>
      </c>
      <c r="AL229" s="2293">
        <f>+AK229</f>
        <v>1</v>
      </c>
      <c r="AM229" s="845">
        <v>1</v>
      </c>
      <c r="AN229" s="845">
        <v>1</v>
      </c>
      <c r="AO229" s="845">
        <v>1</v>
      </c>
      <c r="AP229" s="845">
        <v>1</v>
      </c>
      <c r="AQ229" s="2293">
        <f>+AP229</f>
        <v>1</v>
      </c>
      <c r="AR229" s="845">
        <v>1</v>
      </c>
      <c r="AS229" s="845">
        <v>1</v>
      </c>
      <c r="AT229" s="845">
        <v>1</v>
      </c>
      <c r="AU229" s="845">
        <v>1</v>
      </c>
      <c r="AV229" s="2293">
        <f>+AU229</f>
        <v>1</v>
      </c>
      <c r="AW229" s="845">
        <v>1</v>
      </c>
      <c r="AX229" s="845">
        <v>1</v>
      </c>
      <c r="AY229" s="845">
        <v>1</v>
      </c>
      <c r="AZ229" s="845">
        <v>1</v>
      </c>
      <c r="BA229" s="2293">
        <f>+AZ229</f>
        <v>1</v>
      </c>
      <c r="BB229" s="845">
        <v>1</v>
      </c>
      <c r="BC229" s="845">
        <v>1</v>
      </c>
      <c r="BD229" s="845">
        <v>1</v>
      </c>
      <c r="BE229" s="845">
        <v>1</v>
      </c>
      <c r="BF229" s="2293">
        <f t="shared" si="181"/>
        <v>1</v>
      </c>
      <c r="BG229" s="845">
        <v>1</v>
      </c>
      <c r="BH229" s="845">
        <v>1</v>
      </c>
      <c r="BI229" s="845">
        <v>1</v>
      </c>
      <c r="BJ229" s="845">
        <v>1</v>
      </c>
      <c r="BK229" s="2293">
        <f>+BJ229</f>
        <v>1</v>
      </c>
      <c r="BL229" s="845">
        <v>1</v>
      </c>
      <c r="BM229" s="845">
        <v>0</v>
      </c>
      <c r="BN229" s="845">
        <v>0</v>
      </c>
      <c r="BO229" s="845">
        <v>0</v>
      </c>
      <c r="BP229" s="2293">
        <f>+BO229</f>
        <v>0</v>
      </c>
      <c r="BQ229" s="845">
        <v>0</v>
      </c>
      <c r="BR229" s="845">
        <v>0</v>
      </c>
      <c r="BS229" s="845">
        <v>0</v>
      </c>
      <c r="BT229" s="845">
        <v>0</v>
      </c>
      <c r="BU229" s="2293">
        <f>+BT229</f>
        <v>0</v>
      </c>
      <c r="BV229" s="845">
        <v>0</v>
      </c>
      <c r="BW229" s="845">
        <v>0</v>
      </c>
      <c r="BX229" s="845">
        <v>0</v>
      </c>
      <c r="BY229" s="845">
        <v>0</v>
      </c>
      <c r="BZ229" s="2293">
        <f>+BY229</f>
        <v>0</v>
      </c>
      <c r="CA229" s="845">
        <v>0</v>
      </c>
      <c r="CB229" s="845">
        <v>0</v>
      </c>
      <c r="CC229" s="845">
        <v>0</v>
      </c>
      <c r="CD229" s="845">
        <v>0</v>
      </c>
      <c r="CE229" s="2293">
        <f>+CD229</f>
        <v>0</v>
      </c>
      <c r="CF229" s="845">
        <v>0</v>
      </c>
      <c r="CG229" s="845">
        <v>0</v>
      </c>
      <c r="CH229" s="756">
        <v>0</v>
      </c>
      <c r="CI229" s="756">
        <v>0</v>
      </c>
      <c r="CJ229" s="752">
        <f t="shared" si="173"/>
        <v>0</v>
      </c>
      <c r="CK229" s="3508">
        <v>0</v>
      </c>
      <c r="CL229" s="3508">
        <v>0</v>
      </c>
      <c r="CM229" s="3508">
        <v>0</v>
      </c>
      <c r="CN229" s="3508">
        <v>0</v>
      </c>
      <c r="CO229" s="752">
        <f t="shared" si="174"/>
        <v>0</v>
      </c>
      <c r="CP229" s="3508"/>
      <c r="CQ229" s="3508"/>
      <c r="CR229" s="2631"/>
      <c r="CS229" s="2631"/>
      <c r="CT229" s="2403"/>
      <c r="CU229" s="2403"/>
      <c r="CV229" s="2403"/>
      <c r="CW229" s="2631"/>
      <c r="CX229" s="2631"/>
      <c r="CY229" s="2631"/>
      <c r="CZ229" s="2631"/>
      <c r="DA229" s="2631"/>
      <c r="DB229" s="2631"/>
      <c r="DC229" s="2631"/>
      <c r="DD229" s="2631"/>
    </row>
    <row r="230" spans="1:108" s="2434" customFormat="1" ht="4.5" customHeight="1" x14ac:dyDescent="0.2">
      <c r="B230" s="2631"/>
      <c r="C230" s="2631"/>
      <c r="D230" s="2631"/>
      <c r="E230" s="2631"/>
      <c r="F230" s="2631"/>
      <c r="G230" s="2631"/>
      <c r="H230" s="2403"/>
      <c r="I230" s="2349" t="s">
        <v>2466</v>
      </c>
      <c r="J230" s="2349" t="s">
        <v>2139</v>
      </c>
      <c r="K230" s="2349" t="s">
        <v>2466</v>
      </c>
      <c r="L230" s="2349" t="s">
        <v>2139</v>
      </c>
      <c r="M230" s="2293" t="s">
        <v>2378</v>
      </c>
      <c r="N230" s="2349" t="s">
        <v>2466</v>
      </c>
      <c r="O230" s="2349" t="s">
        <v>2139</v>
      </c>
      <c r="P230" s="2349" t="s">
        <v>2466</v>
      </c>
      <c r="Q230" s="2349" t="s">
        <v>2139</v>
      </c>
      <c r="R230" s="2293" t="s">
        <v>2378</v>
      </c>
      <c r="S230" s="2349" t="s">
        <v>2466</v>
      </c>
      <c r="T230" s="2349" t="s">
        <v>2139</v>
      </c>
      <c r="U230" s="2349" t="s">
        <v>2466</v>
      </c>
      <c r="V230" s="2349" t="s">
        <v>2139</v>
      </c>
      <c r="W230" s="2293" t="s">
        <v>2378</v>
      </c>
      <c r="X230" s="2349" t="s">
        <v>2466</v>
      </c>
      <c r="Y230" s="2349" t="s">
        <v>2139</v>
      </c>
      <c r="Z230" s="2349" t="s">
        <v>2466</v>
      </c>
      <c r="AA230" s="2349" t="s">
        <v>2139</v>
      </c>
      <c r="AB230" s="2293" t="s">
        <v>2378</v>
      </c>
      <c r="AC230" s="2349" t="s">
        <v>2466</v>
      </c>
      <c r="AD230" s="2349" t="s">
        <v>2139</v>
      </c>
      <c r="AE230" s="2349" t="s">
        <v>2466</v>
      </c>
      <c r="AF230" s="2349" t="s">
        <v>2139</v>
      </c>
      <c r="AG230" s="2293" t="s">
        <v>2378</v>
      </c>
      <c r="AH230" s="2349" t="s">
        <v>2466</v>
      </c>
      <c r="AI230" s="2349" t="s">
        <v>2139</v>
      </c>
      <c r="AJ230" s="2349" t="s">
        <v>2466</v>
      </c>
      <c r="AK230" s="2349" t="s">
        <v>2139</v>
      </c>
      <c r="AL230" s="2293" t="s">
        <v>2378</v>
      </c>
      <c r="AM230" s="2349" t="s">
        <v>2466</v>
      </c>
      <c r="AN230" s="2349" t="s">
        <v>2139</v>
      </c>
      <c r="AO230" s="2349" t="s">
        <v>2466</v>
      </c>
      <c r="AP230" s="2349" t="s">
        <v>2139</v>
      </c>
      <c r="AQ230" s="2293" t="s">
        <v>2378</v>
      </c>
      <c r="AR230" s="2349" t="s">
        <v>2466</v>
      </c>
      <c r="AS230" s="2349" t="s">
        <v>2139</v>
      </c>
      <c r="AT230" s="2349" t="s">
        <v>2466</v>
      </c>
      <c r="AU230" s="2349" t="s">
        <v>2139</v>
      </c>
      <c r="AV230" s="2293" t="s">
        <v>2378</v>
      </c>
      <c r="AW230" s="2349" t="s">
        <v>2466</v>
      </c>
      <c r="AX230" s="2349" t="s">
        <v>2139</v>
      </c>
      <c r="AY230" s="2349" t="s">
        <v>2466</v>
      </c>
      <c r="AZ230" s="2349" t="s">
        <v>2139</v>
      </c>
      <c r="BA230" s="2293" t="s">
        <v>2378</v>
      </c>
      <c r="BB230" s="2349" t="s">
        <v>2466</v>
      </c>
      <c r="BC230" s="2349" t="s">
        <v>2139</v>
      </c>
      <c r="BD230" s="2349" t="s">
        <v>2466</v>
      </c>
      <c r="BE230" s="2349" t="s">
        <v>2139</v>
      </c>
      <c r="BF230" s="2293" t="s">
        <v>2378</v>
      </c>
      <c r="BG230" s="2349" t="s">
        <v>2467</v>
      </c>
      <c r="BH230" s="2349" t="s">
        <v>2467</v>
      </c>
      <c r="BI230" s="2349" t="s">
        <v>2467</v>
      </c>
      <c r="BJ230" s="2349" t="s">
        <v>2467</v>
      </c>
      <c r="BK230" s="2293" t="s">
        <v>2139</v>
      </c>
      <c r="BL230" s="2349" t="s">
        <v>1191</v>
      </c>
      <c r="BM230" s="2349" t="s">
        <v>1191</v>
      </c>
      <c r="BN230" s="2349" t="s">
        <v>1191</v>
      </c>
      <c r="BO230" s="2349" t="s">
        <v>1191</v>
      </c>
      <c r="BP230" s="2293" t="s">
        <v>2139</v>
      </c>
      <c r="BQ230" s="2349" t="s">
        <v>2139</v>
      </c>
      <c r="BR230" s="2349" t="s">
        <v>2139</v>
      </c>
      <c r="BS230" s="2349" t="s">
        <v>2139</v>
      </c>
      <c r="BT230" s="2349" t="s">
        <v>2139</v>
      </c>
      <c r="BU230" s="2293" t="s">
        <v>2139</v>
      </c>
      <c r="BV230" s="2349" t="s">
        <v>2468</v>
      </c>
      <c r="BW230" s="2349" t="s">
        <v>2468</v>
      </c>
      <c r="BX230" s="2349" t="s">
        <v>2468</v>
      </c>
      <c r="BY230" s="2349" t="s">
        <v>2467</v>
      </c>
      <c r="BZ230" s="2293" t="s">
        <v>2378</v>
      </c>
      <c r="CA230" s="2349" t="s">
        <v>2466</v>
      </c>
      <c r="CB230" s="2349" t="s">
        <v>2466</v>
      </c>
      <c r="CC230" s="2349" t="s">
        <v>2466</v>
      </c>
      <c r="CD230" s="2349" t="s">
        <v>2378</v>
      </c>
      <c r="CE230" s="2293" t="s">
        <v>2139</v>
      </c>
      <c r="CF230" s="2349" t="s">
        <v>2466</v>
      </c>
      <c r="CG230" s="2349" t="s">
        <v>2378</v>
      </c>
      <c r="CH230" s="756"/>
      <c r="CI230" s="756"/>
      <c r="CJ230" s="2403"/>
      <c r="CK230" s="3508"/>
      <c r="CL230" s="3508"/>
      <c r="CM230" s="3508"/>
      <c r="CN230" s="3508"/>
      <c r="CO230" s="2403"/>
      <c r="CP230" s="3508"/>
      <c r="CQ230" s="3508"/>
      <c r="CR230" s="2631"/>
      <c r="CS230" s="2631"/>
      <c r="CT230" s="2403"/>
      <c r="CU230" s="2403"/>
      <c r="CV230" s="2403"/>
      <c r="CW230" s="2631"/>
      <c r="CX230" s="2631"/>
      <c r="CY230" s="2631"/>
      <c r="CZ230" s="2631"/>
      <c r="DA230" s="2631"/>
      <c r="DB230" s="2631"/>
      <c r="DC230" s="2631"/>
      <c r="DD230" s="2631"/>
    </row>
    <row r="231" spans="1:108" x14ac:dyDescent="0.2">
      <c r="A231" s="2434" t="s">
        <v>2454</v>
      </c>
      <c r="B231" s="651"/>
      <c r="C231" s="236"/>
      <c r="D231" s="234"/>
      <c r="E231" s="234"/>
      <c r="F231" s="234"/>
      <c r="G231" s="234"/>
      <c r="H231" s="246"/>
      <c r="I231" s="767"/>
      <c r="J231" s="767"/>
      <c r="K231" s="767"/>
      <c r="L231" s="767"/>
      <c r="M231" s="246"/>
      <c r="N231" s="767"/>
      <c r="O231" s="767"/>
      <c r="P231" s="767"/>
      <c r="Q231" s="767"/>
      <c r="R231" s="246"/>
      <c r="S231" s="767"/>
      <c r="T231" s="767"/>
      <c r="U231" s="767"/>
      <c r="V231" s="767"/>
      <c r="W231" s="246"/>
      <c r="X231" s="767"/>
      <c r="Y231" s="767"/>
      <c r="Z231" s="767"/>
      <c r="AA231" s="767"/>
      <c r="AB231" s="246"/>
      <c r="AC231" s="767"/>
      <c r="AD231" s="767"/>
      <c r="AE231" s="767"/>
      <c r="AF231" s="767"/>
      <c r="AG231" s="246"/>
      <c r="AH231" s="767"/>
      <c r="AI231" s="767"/>
      <c r="AJ231" s="767"/>
      <c r="AK231" s="767"/>
      <c r="AL231" s="246"/>
      <c r="AM231" s="767"/>
      <c r="AN231" s="767"/>
      <c r="AO231" s="767"/>
      <c r="AP231" s="767"/>
      <c r="AQ231" s="246"/>
      <c r="AR231" s="767"/>
      <c r="AS231" s="767"/>
      <c r="AT231" s="767"/>
      <c r="AU231" s="767"/>
      <c r="AV231" s="246"/>
      <c r="AW231" s="767"/>
      <c r="AX231" s="767"/>
      <c r="AY231" s="767"/>
      <c r="AZ231" s="767"/>
      <c r="BA231" s="246"/>
      <c r="BB231" s="767"/>
      <c r="BC231" s="767"/>
      <c r="BD231" s="767"/>
      <c r="BE231" s="767"/>
      <c r="BF231" s="246"/>
      <c r="BG231" s="767"/>
      <c r="BH231" s="767"/>
      <c r="BI231" s="767"/>
      <c r="BJ231" s="767"/>
      <c r="BK231" s="246"/>
      <c r="BL231" s="767"/>
      <c r="BM231" s="767"/>
      <c r="BN231" s="767"/>
      <c r="BO231" s="767"/>
      <c r="BP231" s="246"/>
      <c r="BQ231" s="767"/>
      <c r="BR231" s="767"/>
      <c r="BS231" s="767"/>
      <c r="BT231" s="767"/>
      <c r="BU231" s="246"/>
      <c r="BV231" s="767"/>
      <c r="BW231" s="767"/>
      <c r="BX231" s="767"/>
      <c r="BY231" s="767"/>
      <c r="BZ231" s="246"/>
      <c r="CA231" s="767"/>
      <c r="CB231" s="767"/>
      <c r="CC231" s="767"/>
      <c r="CD231" s="767"/>
      <c r="CE231" s="246"/>
      <c r="CF231" s="767"/>
      <c r="CG231" s="3008"/>
      <c r="CH231" s="756">
        <v>59</v>
      </c>
      <c r="CI231" s="756">
        <v>59</v>
      </c>
      <c r="CJ231" s="752">
        <f t="shared" si="173"/>
        <v>59</v>
      </c>
      <c r="CK231" s="3508">
        <v>58</v>
      </c>
      <c r="CL231" s="3508">
        <v>58</v>
      </c>
      <c r="CM231" s="3508">
        <v>60</v>
      </c>
      <c r="CN231" s="3508">
        <v>59</v>
      </c>
      <c r="CO231" s="752">
        <f t="shared" si="174"/>
        <v>59</v>
      </c>
      <c r="CP231" s="3508"/>
      <c r="CQ231" s="3508"/>
      <c r="CR231" s="212"/>
      <c r="CS231" s="212"/>
      <c r="CT231" s="194"/>
      <c r="CU231" s="194"/>
      <c r="CV231" s="194"/>
    </row>
    <row r="232" spans="1:108" x14ac:dyDescent="0.2">
      <c r="A232" s="2434" t="s">
        <v>2455</v>
      </c>
      <c r="B232" s="651"/>
      <c r="C232" s="236"/>
      <c r="D232" s="234"/>
      <c r="E232" s="234"/>
      <c r="F232" s="234"/>
      <c r="G232" s="234"/>
      <c r="H232" s="246"/>
      <c r="I232" s="767"/>
      <c r="J232" s="767"/>
      <c r="K232" s="767"/>
      <c r="L232" s="767"/>
      <c r="M232" s="246"/>
      <c r="N232" s="767"/>
      <c r="O232" s="767"/>
      <c r="P232" s="767"/>
      <c r="Q232" s="767"/>
      <c r="R232" s="246"/>
      <c r="S232" s="767"/>
      <c r="T232" s="767"/>
      <c r="U232" s="767"/>
      <c r="V232" s="767"/>
      <c r="W232" s="246"/>
      <c r="X232" s="767"/>
      <c r="Y232" s="767"/>
      <c r="Z232" s="767"/>
      <c r="AA232" s="767"/>
      <c r="AB232" s="246"/>
      <c r="AC232" s="767"/>
      <c r="AD232" s="767"/>
      <c r="AE232" s="767"/>
      <c r="AF232" s="767"/>
      <c r="AG232" s="246"/>
      <c r="AH232" s="767"/>
      <c r="AI232" s="767"/>
      <c r="AJ232" s="767"/>
      <c r="AK232" s="767"/>
      <c r="AL232" s="246"/>
      <c r="AM232" s="767"/>
      <c r="AN232" s="767"/>
      <c r="AO232" s="767"/>
      <c r="AP232" s="767"/>
      <c r="AQ232" s="246"/>
      <c r="AR232" s="767"/>
      <c r="AS232" s="767"/>
      <c r="AT232" s="767"/>
      <c r="AU232" s="767"/>
      <c r="AV232" s="246"/>
      <c r="AW232" s="767"/>
      <c r="AX232" s="767"/>
      <c r="AY232" s="767"/>
      <c r="AZ232" s="767"/>
      <c r="BA232" s="246"/>
      <c r="BB232" s="767"/>
      <c r="BC232" s="767"/>
      <c r="BD232" s="767"/>
      <c r="BE232" s="767"/>
      <c r="BF232" s="246"/>
      <c r="BG232" s="767"/>
      <c r="BH232" s="767"/>
      <c r="BI232" s="767"/>
      <c r="BJ232" s="767"/>
      <c r="BK232" s="246"/>
      <c r="BL232" s="767"/>
      <c r="BM232" s="767"/>
      <c r="BN232" s="767"/>
      <c r="BO232" s="767"/>
      <c r="BP232" s="246"/>
      <c r="BQ232" s="767"/>
      <c r="BR232" s="767"/>
      <c r="BS232" s="767"/>
      <c r="BT232" s="767"/>
      <c r="BU232" s="246"/>
      <c r="BV232" s="767"/>
      <c r="BW232" s="767"/>
      <c r="BX232" s="767"/>
      <c r="BY232" s="767"/>
      <c r="BZ232" s="246"/>
      <c r="CA232" s="767"/>
      <c r="CB232" s="767"/>
      <c r="CC232" s="767"/>
      <c r="CD232" s="767"/>
      <c r="CE232" s="246"/>
      <c r="CF232" s="767"/>
      <c r="CG232" s="3008"/>
      <c r="CH232" s="756">
        <v>24</v>
      </c>
      <c r="CI232" s="756">
        <v>23</v>
      </c>
      <c r="CJ232" s="752">
        <f t="shared" si="173"/>
        <v>23</v>
      </c>
      <c r="CK232" s="3508">
        <v>24</v>
      </c>
      <c r="CL232" s="3508">
        <v>25</v>
      </c>
      <c r="CM232" s="3508">
        <v>24</v>
      </c>
      <c r="CN232" s="3508">
        <v>24</v>
      </c>
      <c r="CO232" s="752">
        <f t="shared" si="174"/>
        <v>24</v>
      </c>
      <c r="CP232" s="3508"/>
      <c r="CQ232" s="3508"/>
      <c r="CR232" s="212"/>
      <c r="CS232" s="212"/>
      <c r="CT232" s="194"/>
      <c r="CU232" s="194"/>
      <c r="CV232" s="194"/>
    </row>
    <row r="233" spans="1:108" x14ac:dyDescent="0.2">
      <c r="A233" s="2434" t="s">
        <v>2456</v>
      </c>
      <c r="B233" s="651"/>
      <c r="C233" s="236"/>
      <c r="D233" s="234"/>
      <c r="E233" s="234"/>
      <c r="F233" s="234"/>
      <c r="G233" s="234"/>
      <c r="H233" s="246"/>
      <c r="I233" s="767"/>
      <c r="J233" s="767"/>
      <c r="K233" s="767"/>
      <c r="L233" s="767"/>
      <c r="M233" s="246"/>
      <c r="N233" s="767"/>
      <c r="O233" s="767"/>
      <c r="P233" s="767"/>
      <c r="Q233" s="767"/>
      <c r="R233" s="246"/>
      <c r="S233" s="767"/>
      <c r="T233" s="767"/>
      <c r="U233" s="767"/>
      <c r="V233" s="767"/>
      <c r="W233" s="246"/>
      <c r="X233" s="767"/>
      <c r="Y233" s="767"/>
      <c r="Z233" s="767"/>
      <c r="AA233" s="767"/>
      <c r="AB233" s="246"/>
      <c r="AC233" s="767"/>
      <c r="AD233" s="767"/>
      <c r="AE233" s="767"/>
      <c r="AF233" s="767"/>
      <c r="AG233" s="246"/>
      <c r="AH233" s="767"/>
      <c r="AI233" s="767"/>
      <c r="AJ233" s="767"/>
      <c r="AK233" s="767"/>
      <c r="AL233" s="246"/>
      <c r="AM233" s="767"/>
      <c r="AN233" s="767"/>
      <c r="AO233" s="767"/>
      <c r="AP233" s="767"/>
      <c r="AQ233" s="246"/>
      <c r="AR233" s="767"/>
      <c r="AS233" s="767"/>
      <c r="AT233" s="767"/>
      <c r="AU233" s="767"/>
      <c r="AV233" s="246"/>
      <c r="AW233" s="767"/>
      <c r="AX233" s="767"/>
      <c r="AY233" s="767"/>
      <c r="AZ233" s="767"/>
      <c r="BA233" s="246"/>
      <c r="BB233" s="767"/>
      <c r="BC233" s="767"/>
      <c r="BD233" s="767"/>
      <c r="BE233" s="767"/>
      <c r="BF233" s="246"/>
      <c r="BG233" s="767"/>
      <c r="BH233" s="767"/>
      <c r="BI233" s="767"/>
      <c r="BJ233" s="767"/>
      <c r="BK233" s="246"/>
      <c r="BL233" s="767"/>
      <c r="BM233" s="767"/>
      <c r="BN233" s="767"/>
      <c r="BO233" s="767"/>
      <c r="BP233" s="246"/>
      <c r="BQ233" s="767"/>
      <c r="BR233" s="767"/>
      <c r="BS233" s="767"/>
      <c r="BT233" s="767"/>
      <c r="BU233" s="246"/>
      <c r="BV233" s="767"/>
      <c r="BW233" s="767"/>
      <c r="BX233" s="767"/>
      <c r="BY233" s="767"/>
      <c r="BZ233" s="246"/>
      <c r="CA233" s="767"/>
      <c r="CB233" s="767"/>
      <c r="CC233" s="767"/>
      <c r="CD233" s="767"/>
      <c r="CE233" s="246"/>
      <c r="CF233" s="767"/>
      <c r="CG233" s="3008"/>
      <c r="CH233" s="756">
        <v>36</v>
      </c>
      <c r="CI233" s="756">
        <v>37</v>
      </c>
      <c r="CJ233" s="752">
        <f t="shared" si="173"/>
        <v>37</v>
      </c>
      <c r="CK233" s="3508">
        <v>39</v>
      </c>
      <c r="CL233" s="3508">
        <v>40</v>
      </c>
      <c r="CM233" s="3508">
        <v>43</v>
      </c>
      <c r="CN233" s="3508">
        <v>46</v>
      </c>
      <c r="CO233" s="752">
        <f t="shared" si="174"/>
        <v>46</v>
      </c>
      <c r="CP233" s="3508"/>
      <c r="CQ233" s="3508"/>
      <c r="CR233" s="212"/>
      <c r="CS233" s="212"/>
      <c r="CT233" s="194"/>
      <c r="CU233" s="194"/>
      <c r="CV233" s="194"/>
    </row>
    <row r="234" spans="1:108" x14ac:dyDescent="0.2">
      <c r="A234" s="2434" t="s">
        <v>2457</v>
      </c>
      <c r="B234" s="651"/>
      <c r="C234" s="236"/>
      <c r="D234" s="234"/>
      <c r="E234" s="234"/>
      <c r="F234" s="234"/>
      <c r="G234" s="234"/>
      <c r="H234" s="246"/>
      <c r="I234" s="767"/>
      <c r="J234" s="767"/>
      <c r="K234" s="767"/>
      <c r="L234" s="767"/>
      <c r="M234" s="246"/>
      <c r="N234" s="767"/>
      <c r="O234" s="767"/>
      <c r="P234" s="767"/>
      <c r="Q234" s="767"/>
      <c r="R234" s="246"/>
      <c r="S234" s="767"/>
      <c r="T234" s="767"/>
      <c r="U234" s="767"/>
      <c r="V234" s="767"/>
      <c r="W234" s="246"/>
      <c r="X234" s="767"/>
      <c r="Y234" s="767"/>
      <c r="Z234" s="767"/>
      <c r="AA234" s="767"/>
      <c r="AB234" s="246"/>
      <c r="AC234" s="767"/>
      <c r="AD234" s="767"/>
      <c r="AE234" s="767"/>
      <c r="AF234" s="767"/>
      <c r="AG234" s="246"/>
      <c r="AH234" s="767"/>
      <c r="AI234" s="767"/>
      <c r="AJ234" s="767"/>
      <c r="AK234" s="767"/>
      <c r="AL234" s="246"/>
      <c r="AM234" s="767"/>
      <c r="AN234" s="767"/>
      <c r="AO234" s="767"/>
      <c r="AP234" s="767"/>
      <c r="AQ234" s="246"/>
      <c r="AR234" s="767"/>
      <c r="AS234" s="767"/>
      <c r="AT234" s="767"/>
      <c r="AU234" s="767"/>
      <c r="AV234" s="246"/>
      <c r="AW234" s="767"/>
      <c r="AX234" s="767"/>
      <c r="AY234" s="767"/>
      <c r="AZ234" s="767"/>
      <c r="BA234" s="246"/>
      <c r="BB234" s="767"/>
      <c r="BC234" s="767"/>
      <c r="BD234" s="767"/>
      <c r="BE234" s="767"/>
      <c r="BF234" s="246"/>
      <c r="BG234" s="767"/>
      <c r="BH234" s="767"/>
      <c r="BI234" s="767"/>
      <c r="BJ234" s="767"/>
      <c r="BK234" s="246"/>
      <c r="BL234" s="767"/>
      <c r="BM234" s="767"/>
      <c r="BN234" s="767"/>
      <c r="BO234" s="767"/>
      <c r="BP234" s="246"/>
      <c r="BQ234" s="767"/>
      <c r="BR234" s="767"/>
      <c r="BS234" s="767"/>
      <c r="BT234" s="767"/>
      <c r="BU234" s="246"/>
      <c r="BV234" s="767"/>
      <c r="BW234" s="767"/>
      <c r="BX234" s="767"/>
      <c r="BY234" s="767"/>
      <c r="BZ234" s="246"/>
      <c r="CA234" s="767"/>
      <c r="CB234" s="767"/>
      <c r="CC234" s="767"/>
      <c r="CD234" s="767"/>
      <c r="CE234" s="246"/>
      <c r="CF234" s="767"/>
      <c r="CG234" s="3008"/>
      <c r="CH234" s="756">
        <v>0</v>
      </c>
      <c r="CI234" s="756">
        <v>0</v>
      </c>
      <c r="CJ234" s="752">
        <f t="shared" si="173"/>
        <v>0</v>
      </c>
      <c r="CK234" s="3508">
        <v>0</v>
      </c>
      <c r="CL234" s="3508">
        <v>0</v>
      </c>
      <c r="CM234" s="3508">
        <v>0</v>
      </c>
      <c r="CN234" s="3508">
        <v>0</v>
      </c>
      <c r="CO234" s="752">
        <f t="shared" si="174"/>
        <v>0</v>
      </c>
      <c r="CP234" s="3508"/>
      <c r="CQ234" s="3508"/>
      <c r="CR234" s="212"/>
      <c r="CS234" s="212"/>
      <c r="CT234" s="194"/>
      <c r="CU234" s="194"/>
      <c r="CV234" s="194"/>
    </row>
    <row r="235" spans="1:108" x14ac:dyDescent="0.2">
      <c r="A235" s="2434" t="s">
        <v>2458</v>
      </c>
      <c r="B235" s="651"/>
      <c r="C235" s="236"/>
      <c r="D235" s="234"/>
      <c r="E235" s="234"/>
      <c r="F235" s="234"/>
      <c r="G235" s="234"/>
      <c r="H235" s="246"/>
      <c r="I235" s="767"/>
      <c r="J235" s="767"/>
      <c r="K235" s="767"/>
      <c r="L235" s="767"/>
      <c r="M235" s="246"/>
      <c r="N235" s="767"/>
      <c r="O235" s="767"/>
      <c r="P235" s="767"/>
      <c r="Q235" s="767"/>
      <c r="R235" s="246"/>
      <c r="S235" s="767"/>
      <c r="T235" s="767"/>
      <c r="U235" s="767"/>
      <c r="V235" s="767"/>
      <c r="W235" s="246"/>
      <c r="X235" s="767"/>
      <c r="Y235" s="767"/>
      <c r="Z235" s="767"/>
      <c r="AA235" s="767"/>
      <c r="AB235" s="246"/>
      <c r="AC235" s="767"/>
      <c r="AD235" s="767"/>
      <c r="AE235" s="767"/>
      <c r="AF235" s="767"/>
      <c r="AG235" s="246"/>
      <c r="AH235" s="767"/>
      <c r="AI235" s="767"/>
      <c r="AJ235" s="767"/>
      <c r="AK235" s="767"/>
      <c r="AL235" s="246"/>
      <c r="AM235" s="767"/>
      <c r="AN235" s="767"/>
      <c r="AO235" s="767"/>
      <c r="AP235" s="767"/>
      <c r="AQ235" s="246"/>
      <c r="AR235" s="767"/>
      <c r="AS235" s="767"/>
      <c r="AT235" s="767"/>
      <c r="AU235" s="767"/>
      <c r="AV235" s="246"/>
      <c r="AW235" s="767"/>
      <c r="AX235" s="767"/>
      <c r="AY235" s="767"/>
      <c r="AZ235" s="767"/>
      <c r="BA235" s="246"/>
      <c r="BB235" s="767"/>
      <c r="BC235" s="767"/>
      <c r="BD235" s="767"/>
      <c r="BE235" s="767"/>
      <c r="BF235" s="246"/>
      <c r="BG235" s="767"/>
      <c r="BH235" s="767"/>
      <c r="BI235" s="767"/>
      <c r="BJ235" s="767"/>
      <c r="BK235" s="246"/>
      <c r="BL235" s="767"/>
      <c r="BM235" s="767"/>
      <c r="BN235" s="767"/>
      <c r="BO235" s="767"/>
      <c r="BP235" s="246"/>
      <c r="BQ235" s="767"/>
      <c r="BR235" s="767"/>
      <c r="BS235" s="767"/>
      <c r="BT235" s="767"/>
      <c r="BU235" s="246"/>
      <c r="BV235" s="767"/>
      <c r="BW235" s="767"/>
      <c r="BX235" s="767"/>
      <c r="BY235" s="767"/>
      <c r="BZ235" s="246"/>
      <c r="CA235" s="767"/>
      <c r="CB235" s="767"/>
      <c r="CC235" s="767"/>
      <c r="CD235" s="767"/>
      <c r="CE235" s="246"/>
      <c r="CF235" s="767"/>
      <c r="CG235" s="3008"/>
      <c r="CH235" s="756">
        <v>34</v>
      </c>
      <c r="CI235" s="756">
        <v>33</v>
      </c>
      <c r="CJ235" s="752">
        <f t="shared" si="173"/>
        <v>33</v>
      </c>
      <c r="CK235" s="3508">
        <v>33</v>
      </c>
      <c r="CL235" s="3508">
        <v>36</v>
      </c>
      <c r="CM235" s="3508">
        <v>37</v>
      </c>
      <c r="CN235" s="3508">
        <v>37</v>
      </c>
      <c r="CO235" s="752">
        <f t="shared" si="174"/>
        <v>37</v>
      </c>
      <c r="CP235" s="3508"/>
      <c r="CQ235" s="3508"/>
      <c r="CR235" s="212"/>
      <c r="CS235" s="212"/>
      <c r="CT235" s="194"/>
      <c r="CU235" s="194"/>
      <c r="CV235" s="194"/>
    </row>
    <row r="236" spans="1:108" x14ac:dyDescent="0.2">
      <c r="A236" s="2434" t="s">
        <v>2459</v>
      </c>
      <c r="B236" s="651"/>
      <c r="C236" s="236"/>
      <c r="D236" s="234"/>
      <c r="E236" s="234"/>
      <c r="F236" s="234"/>
      <c r="G236" s="234"/>
      <c r="H236" s="246"/>
      <c r="I236" s="767"/>
      <c r="J236" s="767"/>
      <c r="K236" s="767"/>
      <c r="L236" s="767"/>
      <c r="M236" s="246"/>
      <c r="N236" s="767"/>
      <c r="O236" s="767"/>
      <c r="P236" s="767"/>
      <c r="Q236" s="767"/>
      <c r="R236" s="246"/>
      <c r="S236" s="767"/>
      <c r="T236" s="767"/>
      <c r="U236" s="767"/>
      <c r="V236" s="767"/>
      <c r="W236" s="246"/>
      <c r="X236" s="767"/>
      <c r="Y236" s="767"/>
      <c r="Z236" s="767"/>
      <c r="AA236" s="767"/>
      <c r="AB236" s="246"/>
      <c r="AC236" s="767"/>
      <c r="AD236" s="767"/>
      <c r="AE236" s="767"/>
      <c r="AF236" s="767"/>
      <c r="AG236" s="246"/>
      <c r="AH236" s="767"/>
      <c r="AI236" s="767"/>
      <c r="AJ236" s="767"/>
      <c r="AK236" s="767"/>
      <c r="AL236" s="246"/>
      <c r="AM236" s="767"/>
      <c r="AN236" s="767"/>
      <c r="AO236" s="767"/>
      <c r="AP236" s="767"/>
      <c r="AQ236" s="246"/>
      <c r="AR236" s="767"/>
      <c r="AS236" s="767"/>
      <c r="AT236" s="767"/>
      <c r="AU236" s="767"/>
      <c r="AV236" s="246"/>
      <c r="AW236" s="767"/>
      <c r="AX236" s="767"/>
      <c r="AY236" s="767"/>
      <c r="AZ236" s="767"/>
      <c r="BA236" s="246"/>
      <c r="BB236" s="767"/>
      <c r="BC236" s="767"/>
      <c r="BD236" s="767"/>
      <c r="BE236" s="767"/>
      <c r="BF236" s="246"/>
      <c r="BG236" s="767"/>
      <c r="BH236" s="767"/>
      <c r="BI236" s="767"/>
      <c r="BJ236" s="767"/>
      <c r="BK236" s="246"/>
      <c r="BL236" s="767"/>
      <c r="BM236" s="767"/>
      <c r="BN236" s="767"/>
      <c r="BO236" s="767"/>
      <c r="BP236" s="246"/>
      <c r="BQ236" s="767"/>
      <c r="BR236" s="767"/>
      <c r="BS236" s="767"/>
      <c r="BT236" s="767"/>
      <c r="BU236" s="246"/>
      <c r="BV236" s="767"/>
      <c r="BW236" s="767"/>
      <c r="BX236" s="767"/>
      <c r="BY236" s="767"/>
      <c r="BZ236" s="246"/>
      <c r="CA236" s="767"/>
      <c r="CB236" s="767"/>
      <c r="CC236" s="767"/>
      <c r="CD236" s="767"/>
      <c r="CE236" s="246"/>
      <c r="CF236" s="767"/>
      <c r="CG236" s="3008"/>
      <c r="CH236" s="756">
        <v>0</v>
      </c>
      <c r="CI236" s="756">
        <v>0</v>
      </c>
      <c r="CJ236" s="752">
        <f t="shared" si="173"/>
        <v>0</v>
      </c>
      <c r="CK236" s="3508">
        <v>0</v>
      </c>
      <c r="CL236" s="3508">
        <v>0</v>
      </c>
      <c r="CM236" s="3508">
        <v>0</v>
      </c>
      <c r="CN236" s="3508">
        <v>0</v>
      </c>
      <c r="CO236" s="752">
        <f t="shared" si="174"/>
        <v>0</v>
      </c>
      <c r="CP236" s="3508"/>
      <c r="CQ236" s="3508"/>
      <c r="CR236" s="212"/>
      <c r="CS236" s="212"/>
      <c r="CT236" s="194"/>
      <c r="CU236" s="194"/>
      <c r="CV236" s="194"/>
    </row>
    <row r="237" spans="1:108" x14ac:dyDescent="0.2">
      <c r="A237" s="2434" t="s">
        <v>2460</v>
      </c>
      <c r="B237" s="651"/>
      <c r="C237" s="236"/>
      <c r="D237" s="234"/>
      <c r="E237" s="234"/>
      <c r="F237" s="234"/>
      <c r="G237" s="234"/>
      <c r="H237" s="246"/>
      <c r="I237" s="767"/>
      <c r="J237" s="767"/>
      <c r="K237" s="767"/>
      <c r="L237" s="767"/>
      <c r="M237" s="246"/>
      <c r="N237" s="767"/>
      <c r="O237" s="767"/>
      <c r="P237" s="767"/>
      <c r="Q237" s="767"/>
      <c r="R237" s="246"/>
      <c r="S237" s="767"/>
      <c r="T237" s="767"/>
      <c r="U237" s="767"/>
      <c r="V237" s="767"/>
      <c r="W237" s="246"/>
      <c r="X237" s="767"/>
      <c r="Y237" s="767"/>
      <c r="Z237" s="767"/>
      <c r="AA237" s="767"/>
      <c r="AB237" s="246"/>
      <c r="AC237" s="767"/>
      <c r="AD237" s="767"/>
      <c r="AE237" s="767"/>
      <c r="AF237" s="767"/>
      <c r="AG237" s="246"/>
      <c r="AH237" s="767"/>
      <c r="AI237" s="767"/>
      <c r="AJ237" s="767"/>
      <c r="AK237" s="767"/>
      <c r="AL237" s="246"/>
      <c r="AM237" s="767"/>
      <c r="AN237" s="767"/>
      <c r="AO237" s="767"/>
      <c r="AP237" s="767"/>
      <c r="AQ237" s="246"/>
      <c r="AR237" s="767"/>
      <c r="AS237" s="767"/>
      <c r="AT237" s="767"/>
      <c r="AU237" s="767"/>
      <c r="AV237" s="246"/>
      <c r="AW237" s="767"/>
      <c r="AX237" s="767"/>
      <c r="AY237" s="767"/>
      <c r="AZ237" s="767"/>
      <c r="BA237" s="246"/>
      <c r="BB237" s="767"/>
      <c r="BC237" s="767"/>
      <c r="BD237" s="767"/>
      <c r="BE237" s="767"/>
      <c r="BF237" s="246"/>
      <c r="BG237" s="767"/>
      <c r="BH237" s="767"/>
      <c r="BI237" s="767"/>
      <c r="BJ237" s="767"/>
      <c r="BK237" s="246"/>
      <c r="BL237" s="767"/>
      <c r="BM237" s="767"/>
      <c r="BN237" s="767"/>
      <c r="BO237" s="767"/>
      <c r="BP237" s="246"/>
      <c r="BQ237" s="767"/>
      <c r="BR237" s="767"/>
      <c r="BS237" s="767"/>
      <c r="BT237" s="767"/>
      <c r="BU237" s="246"/>
      <c r="BV237" s="767"/>
      <c r="BW237" s="767"/>
      <c r="BX237" s="767"/>
      <c r="BY237" s="767"/>
      <c r="BZ237" s="246"/>
      <c r="CA237" s="767"/>
      <c r="CB237" s="767"/>
      <c r="CC237" s="767"/>
      <c r="CD237" s="767"/>
      <c r="CE237" s="246"/>
      <c r="CF237" s="767"/>
      <c r="CG237" s="3008"/>
      <c r="CH237" s="756">
        <v>11</v>
      </c>
      <c r="CI237" s="756">
        <v>11</v>
      </c>
      <c r="CJ237" s="752">
        <f t="shared" si="173"/>
        <v>11</v>
      </c>
      <c r="CK237" s="3508">
        <v>12</v>
      </c>
      <c r="CL237" s="3508">
        <v>13</v>
      </c>
      <c r="CM237" s="3508">
        <v>15</v>
      </c>
      <c r="CN237" s="3508">
        <v>15</v>
      </c>
      <c r="CO237" s="752">
        <f t="shared" si="174"/>
        <v>15</v>
      </c>
      <c r="CP237" s="3508"/>
      <c r="CQ237" s="3508"/>
      <c r="CR237" s="212"/>
      <c r="CS237" s="212"/>
      <c r="CT237" s="194"/>
      <c r="CU237" s="194"/>
      <c r="CV237" s="194"/>
    </row>
    <row r="238" spans="1:108" x14ac:dyDescent="0.2">
      <c r="A238" s="2434" t="s">
        <v>2464</v>
      </c>
      <c r="B238" s="651"/>
      <c r="C238" s="236"/>
      <c r="D238" s="234"/>
      <c r="E238" s="234"/>
      <c r="F238" s="234"/>
      <c r="G238" s="234"/>
      <c r="H238" s="246"/>
      <c r="I238" s="767"/>
      <c r="J238" s="767"/>
      <c r="K238" s="767"/>
      <c r="L238" s="767"/>
      <c r="M238" s="246"/>
      <c r="N238" s="767"/>
      <c r="O238" s="767"/>
      <c r="P238" s="767"/>
      <c r="Q238" s="767"/>
      <c r="R238" s="246"/>
      <c r="S238" s="767"/>
      <c r="T238" s="767"/>
      <c r="U238" s="767"/>
      <c r="V238" s="767"/>
      <c r="W238" s="246"/>
      <c r="X238" s="767"/>
      <c r="Y238" s="767"/>
      <c r="Z238" s="767"/>
      <c r="AA238" s="767"/>
      <c r="AB238" s="246"/>
      <c r="AC238" s="767"/>
      <c r="AD238" s="767"/>
      <c r="AE238" s="767"/>
      <c r="AF238" s="767"/>
      <c r="AG238" s="246"/>
      <c r="AH238" s="767"/>
      <c r="AI238" s="767"/>
      <c r="AJ238" s="767"/>
      <c r="AK238" s="767"/>
      <c r="AL238" s="246"/>
      <c r="AM238" s="767"/>
      <c r="AN238" s="767"/>
      <c r="AO238" s="767"/>
      <c r="AP238" s="767"/>
      <c r="AQ238" s="246"/>
      <c r="AR238" s="767"/>
      <c r="AS238" s="767"/>
      <c r="AT238" s="767"/>
      <c r="AU238" s="767"/>
      <c r="AV238" s="246"/>
      <c r="AW238" s="767"/>
      <c r="AX238" s="767"/>
      <c r="AY238" s="767"/>
      <c r="AZ238" s="767"/>
      <c r="BA238" s="246"/>
      <c r="BB238" s="767"/>
      <c r="BC238" s="767"/>
      <c r="BD238" s="767"/>
      <c r="BE238" s="767"/>
      <c r="BF238" s="246"/>
      <c r="BG238" s="767"/>
      <c r="BH238" s="767"/>
      <c r="BI238" s="767"/>
      <c r="BJ238" s="767"/>
      <c r="BK238" s="246"/>
      <c r="BL238" s="767"/>
      <c r="BM238" s="767"/>
      <c r="BN238" s="767"/>
      <c r="BO238" s="767"/>
      <c r="BP238" s="246"/>
      <c r="BQ238" s="767"/>
      <c r="BR238" s="767"/>
      <c r="BS238" s="767"/>
      <c r="BT238" s="767"/>
      <c r="BU238" s="246"/>
      <c r="BV238" s="767"/>
      <c r="BW238" s="767"/>
      <c r="BX238" s="767"/>
      <c r="BY238" s="767"/>
      <c r="BZ238" s="246"/>
      <c r="CA238" s="767"/>
      <c r="CB238" s="767"/>
      <c r="CC238" s="767"/>
      <c r="CD238" s="767"/>
      <c r="CE238" s="246"/>
      <c r="CF238" s="767"/>
      <c r="CG238" s="3008"/>
      <c r="CH238" s="756">
        <v>12</v>
      </c>
      <c r="CI238" s="756">
        <v>12</v>
      </c>
      <c r="CJ238" s="752">
        <f t="shared" si="173"/>
        <v>12</v>
      </c>
      <c r="CK238" s="3508">
        <v>12</v>
      </c>
      <c r="CL238" s="3508">
        <v>12</v>
      </c>
      <c r="CM238" s="3508">
        <v>12</v>
      </c>
      <c r="CN238" s="3508">
        <v>12</v>
      </c>
      <c r="CO238" s="752">
        <f t="shared" si="174"/>
        <v>12</v>
      </c>
      <c r="CP238" s="3508"/>
      <c r="CQ238" s="3508"/>
      <c r="CR238" s="212"/>
      <c r="CS238" s="212"/>
      <c r="CT238" s="194"/>
      <c r="CU238" s="194"/>
      <c r="CV238" s="194"/>
    </row>
    <row r="239" spans="1:108" x14ac:dyDescent="0.2">
      <c r="A239" s="2434" t="s">
        <v>2462</v>
      </c>
      <c r="B239" s="651"/>
      <c r="C239" s="236"/>
      <c r="D239" s="234"/>
      <c r="E239" s="234"/>
      <c r="F239" s="234"/>
      <c r="G239" s="234"/>
      <c r="H239" s="246"/>
      <c r="I239" s="767"/>
      <c r="J239" s="767"/>
      <c r="K239" s="767"/>
      <c r="L239" s="767"/>
      <c r="M239" s="246"/>
      <c r="N239" s="767"/>
      <c r="O239" s="767"/>
      <c r="P239" s="767"/>
      <c r="Q239" s="767"/>
      <c r="R239" s="246"/>
      <c r="S239" s="767"/>
      <c r="T239" s="767"/>
      <c r="U239" s="767"/>
      <c r="V239" s="767"/>
      <c r="W239" s="246"/>
      <c r="X239" s="767"/>
      <c r="Y239" s="767"/>
      <c r="Z239" s="767"/>
      <c r="AA239" s="767"/>
      <c r="AB239" s="246"/>
      <c r="AC239" s="767"/>
      <c r="AD239" s="767"/>
      <c r="AE239" s="767"/>
      <c r="AF239" s="767"/>
      <c r="AG239" s="246"/>
      <c r="AH239" s="767"/>
      <c r="AI239" s="767"/>
      <c r="AJ239" s="767"/>
      <c r="AK239" s="767"/>
      <c r="AL239" s="246"/>
      <c r="AM239" s="767"/>
      <c r="AN239" s="767"/>
      <c r="AO239" s="767"/>
      <c r="AP239" s="767"/>
      <c r="AQ239" s="246"/>
      <c r="AR239" s="767"/>
      <c r="AS239" s="767"/>
      <c r="AT239" s="767"/>
      <c r="AU239" s="767"/>
      <c r="AV239" s="246"/>
      <c r="AW239" s="767"/>
      <c r="AX239" s="767"/>
      <c r="AY239" s="767"/>
      <c r="AZ239" s="767"/>
      <c r="BA239" s="246"/>
      <c r="BB239" s="767"/>
      <c r="BC239" s="767"/>
      <c r="BD239" s="767"/>
      <c r="BE239" s="767"/>
      <c r="BF239" s="246"/>
      <c r="BG239" s="767"/>
      <c r="BH239" s="767"/>
      <c r="BI239" s="767"/>
      <c r="BJ239" s="767"/>
      <c r="BK239" s="246"/>
      <c r="BL239" s="767"/>
      <c r="BM239" s="767"/>
      <c r="BN239" s="767"/>
      <c r="BO239" s="767"/>
      <c r="BP239" s="246"/>
      <c r="BQ239" s="767"/>
      <c r="BR239" s="767"/>
      <c r="BS239" s="767"/>
      <c r="BT239" s="767"/>
      <c r="BU239" s="246"/>
      <c r="BV239" s="767"/>
      <c r="BW239" s="767"/>
      <c r="BX239" s="767"/>
      <c r="BY239" s="767"/>
      <c r="BZ239" s="246"/>
      <c r="CA239" s="767"/>
      <c r="CB239" s="767"/>
      <c r="CC239" s="767"/>
      <c r="CD239" s="767"/>
      <c r="CE239" s="246"/>
      <c r="CF239" s="767"/>
      <c r="CG239" s="3008"/>
      <c r="CH239" s="756">
        <v>2</v>
      </c>
      <c r="CI239" s="756">
        <v>2</v>
      </c>
      <c r="CJ239" s="752">
        <f t="shared" si="173"/>
        <v>2</v>
      </c>
      <c r="CK239" s="3508">
        <v>2</v>
      </c>
      <c r="CL239" s="3508">
        <v>2</v>
      </c>
      <c r="CM239" s="3508">
        <v>2</v>
      </c>
      <c r="CN239" s="3508">
        <v>2</v>
      </c>
      <c r="CO239" s="752">
        <f t="shared" si="174"/>
        <v>2</v>
      </c>
      <c r="CP239" s="3508"/>
      <c r="CQ239" s="3508"/>
      <c r="CR239" s="212"/>
      <c r="CS239" s="212"/>
      <c r="CT239" s="194"/>
      <c r="CU239" s="194"/>
      <c r="CV239" s="194"/>
    </row>
    <row r="240" spans="1:108" x14ac:dyDescent="0.2">
      <c r="A240" s="2434" t="s">
        <v>2463</v>
      </c>
      <c r="B240" s="651"/>
      <c r="C240" s="236"/>
      <c r="D240" s="234"/>
      <c r="E240" s="234"/>
      <c r="F240" s="234"/>
      <c r="G240" s="234"/>
      <c r="H240" s="246"/>
      <c r="I240" s="767"/>
      <c r="J240" s="767"/>
      <c r="K240" s="767"/>
      <c r="L240" s="767"/>
      <c r="M240" s="246"/>
      <c r="N240" s="767"/>
      <c r="O240" s="767"/>
      <c r="P240" s="767"/>
      <c r="Q240" s="767"/>
      <c r="R240" s="246"/>
      <c r="S240" s="767"/>
      <c r="T240" s="767"/>
      <c r="U240" s="767"/>
      <c r="V240" s="767"/>
      <c r="W240" s="246"/>
      <c r="X240" s="767"/>
      <c r="Y240" s="767"/>
      <c r="Z240" s="767"/>
      <c r="AA240" s="767"/>
      <c r="AB240" s="246"/>
      <c r="AC240" s="767"/>
      <c r="AD240" s="767"/>
      <c r="AE240" s="767"/>
      <c r="AF240" s="767"/>
      <c r="AG240" s="246"/>
      <c r="AH240" s="767"/>
      <c r="AI240" s="767"/>
      <c r="AJ240" s="767"/>
      <c r="AK240" s="767"/>
      <c r="AL240" s="246"/>
      <c r="AM240" s="767"/>
      <c r="AN240" s="767"/>
      <c r="AO240" s="767"/>
      <c r="AP240" s="767"/>
      <c r="AQ240" s="246"/>
      <c r="AR240" s="767"/>
      <c r="AS240" s="767"/>
      <c r="AT240" s="767"/>
      <c r="AU240" s="767"/>
      <c r="AV240" s="246"/>
      <c r="AW240" s="767"/>
      <c r="AX240" s="767"/>
      <c r="AY240" s="767"/>
      <c r="AZ240" s="767"/>
      <c r="BA240" s="246"/>
      <c r="BB240" s="767"/>
      <c r="BC240" s="767"/>
      <c r="BD240" s="767"/>
      <c r="BE240" s="767"/>
      <c r="BF240" s="246"/>
      <c r="BG240" s="767"/>
      <c r="BH240" s="767"/>
      <c r="BI240" s="767"/>
      <c r="BJ240" s="767"/>
      <c r="BK240" s="246"/>
      <c r="BL240" s="767"/>
      <c r="BM240" s="767"/>
      <c r="BN240" s="767"/>
      <c r="BO240" s="767"/>
      <c r="BP240" s="246"/>
      <c r="BQ240" s="767"/>
      <c r="BR240" s="767"/>
      <c r="BS240" s="767"/>
      <c r="BT240" s="767"/>
      <c r="BU240" s="246"/>
      <c r="BV240" s="767"/>
      <c r="BW240" s="767"/>
      <c r="BX240" s="767"/>
      <c r="BY240" s="767"/>
      <c r="BZ240" s="246"/>
      <c r="CA240" s="767"/>
      <c r="CB240" s="767"/>
      <c r="CC240" s="767"/>
      <c r="CD240" s="767"/>
      <c r="CE240" s="246"/>
      <c r="CF240" s="767"/>
      <c r="CG240" s="3008"/>
      <c r="CH240" s="756">
        <v>3</v>
      </c>
      <c r="CI240" s="756">
        <v>6</v>
      </c>
      <c r="CJ240" s="752">
        <f t="shared" si="173"/>
        <v>6</v>
      </c>
      <c r="CK240" s="3508">
        <v>7</v>
      </c>
      <c r="CL240" s="3508">
        <v>7</v>
      </c>
      <c r="CM240" s="3508">
        <v>8</v>
      </c>
      <c r="CN240" s="3508">
        <v>8</v>
      </c>
      <c r="CO240" s="752">
        <f t="shared" si="174"/>
        <v>8</v>
      </c>
      <c r="CP240" s="3508"/>
      <c r="CQ240" s="3508"/>
      <c r="CR240" s="212"/>
      <c r="CS240" s="212"/>
      <c r="CT240" s="194"/>
      <c r="CU240" s="194"/>
      <c r="CV240" s="194"/>
    </row>
    <row r="241" spans="1:106" x14ac:dyDescent="0.2">
      <c r="A241" s="2434" t="s">
        <v>1931</v>
      </c>
      <c r="B241" s="651"/>
      <c r="C241" s="236"/>
      <c r="D241" s="234"/>
      <c r="E241" s="234"/>
      <c r="F241" s="234"/>
      <c r="G241" s="234"/>
      <c r="H241" s="246"/>
      <c r="I241" s="767"/>
      <c r="J241" s="767"/>
      <c r="K241" s="767"/>
      <c r="L241" s="767"/>
      <c r="M241" s="246"/>
      <c r="N241" s="767"/>
      <c r="O241" s="767"/>
      <c r="P241" s="767"/>
      <c r="Q241" s="767"/>
      <c r="R241" s="246"/>
      <c r="S241" s="767"/>
      <c r="T241" s="767"/>
      <c r="U241" s="767"/>
      <c r="V241" s="767"/>
      <c r="W241" s="246"/>
      <c r="X241" s="767"/>
      <c r="Y241" s="767"/>
      <c r="Z241" s="767"/>
      <c r="AA241" s="767"/>
      <c r="AB241" s="246"/>
      <c r="AC241" s="767"/>
      <c r="AD241" s="767"/>
      <c r="AE241" s="767"/>
      <c r="AF241" s="767"/>
      <c r="AG241" s="246"/>
      <c r="AH241" s="767"/>
      <c r="AI241" s="767"/>
      <c r="AJ241" s="767"/>
      <c r="AK241" s="767"/>
      <c r="AL241" s="246"/>
      <c r="AM241" s="767"/>
      <c r="AN241" s="767"/>
      <c r="AO241" s="767"/>
      <c r="AP241" s="767"/>
      <c r="AQ241" s="246"/>
      <c r="AR241" s="767"/>
      <c r="AS241" s="767"/>
      <c r="AT241" s="767"/>
      <c r="AU241" s="767"/>
      <c r="AV241" s="246"/>
      <c r="AW241" s="767"/>
      <c r="AX241" s="767"/>
      <c r="AY241" s="767"/>
      <c r="AZ241" s="767"/>
      <c r="BA241" s="246"/>
      <c r="BB241" s="767"/>
      <c r="BC241" s="767"/>
      <c r="BD241" s="767"/>
      <c r="BE241" s="767"/>
      <c r="BF241" s="246"/>
      <c r="BG241" s="767"/>
      <c r="BH241" s="767"/>
      <c r="BI241" s="767"/>
      <c r="BJ241" s="767"/>
      <c r="BK241" s="246"/>
      <c r="BL241" s="767"/>
      <c r="BM241" s="767"/>
      <c r="BN241" s="767"/>
      <c r="BO241" s="767"/>
      <c r="BP241" s="246"/>
      <c r="BQ241" s="767"/>
      <c r="BR241" s="767"/>
      <c r="BS241" s="767"/>
      <c r="BT241" s="767"/>
      <c r="BU241" s="246"/>
      <c r="BV241" s="767"/>
      <c r="BW241" s="767"/>
      <c r="BX241" s="767"/>
      <c r="BY241" s="767"/>
      <c r="BZ241" s="246"/>
      <c r="CA241" s="767"/>
      <c r="CB241" s="767"/>
      <c r="CC241" s="767"/>
      <c r="CD241" s="767"/>
      <c r="CE241" s="246"/>
      <c r="CF241" s="767"/>
      <c r="CG241" s="3008"/>
      <c r="CH241" s="756">
        <v>0</v>
      </c>
      <c r="CI241" s="756">
        <v>0</v>
      </c>
      <c r="CJ241" s="752">
        <f t="shared" si="173"/>
        <v>0</v>
      </c>
      <c r="CK241" s="3508">
        <v>0</v>
      </c>
      <c r="CL241" s="3508">
        <v>0</v>
      </c>
      <c r="CM241" s="3508">
        <v>1</v>
      </c>
      <c r="CN241" s="3508">
        <v>2</v>
      </c>
      <c r="CO241" s="752">
        <f t="shared" si="174"/>
        <v>2</v>
      </c>
      <c r="CP241" s="3508"/>
      <c r="CQ241" s="3508"/>
      <c r="CR241" s="212"/>
      <c r="CS241" s="212"/>
      <c r="CT241" s="194"/>
      <c r="CU241" s="194"/>
      <c r="CV241" s="194"/>
    </row>
    <row r="242" spans="1:106" ht="4.5" customHeight="1" x14ac:dyDescent="0.35">
      <c r="A242" s="1207"/>
      <c r="B242" s="212"/>
      <c r="C242" s="212"/>
      <c r="D242" s="212"/>
      <c r="E242" s="212"/>
      <c r="F242" s="212"/>
      <c r="G242" s="212"/>
      <c r="H242" s="194"/>
      <c r="I242" s="850" t="s">
        <v>2466</v>
      </c>
      <c r="J242" s="850" t="s">
        <v>2139</v>
      </c>
      <c r="K242" s="850" t="s">
        <v>2466</v>
      </c>
      <c r="L242" s="850" t="s">
        <v>2139</v>
      </c>
      <c r="M242" s="3009" t="s">
        <v>2378</v>
      </c>
      <c r="N242" s="850" t="s">
        <v>2466</v>
      </c>
      <c r="O242" s="850" t="s">
        <v>2139</v>
      </c>
      <c r="P242" s="850" t="s">
        <v>2466</v>
      </c>
      <c r="Q242" s="850" t="s">
        <v>2139</v>
      </c>
      <c r="R242" s="3009" t="s">
        <v>2378</v>
      </c>
      <c r="S242" s="850" t="s">
        <v>2466</v>
      </c>
      <c r="T242" s="850" t="s">
        <v>2139</v>
      </c>
      <c r="U242" s="850" t="s">
        <v>2466</v>
      </c>
      <c r="V242" s="850" t="s">
        <v>2139</v>
      </c>
      <c r="W242" s="3009" t="s">
        <v>2378</v>
      </c>
      <c r="X242" s="850" t="s">
        <v>2466</v>
      </c>
      <c r="Y242" s="850" t="s">
        <v>2139</v>
      </c>
      <c r="Z242" s="850" t="s">
        <v>2466</v>
      </c>
      <c r="AA242" s="850" t="s">
        <v>2139</v>
      </c>
      <c r="AB242" s="3009" t="s">
        <v>2378</v>
      </c>
      <c r="AC242" s="850" t="s">
        <v>2466</v>
      </c>
      <c r="AD242" s="850" t="s">
        <v>2139</v>
      </c>
      <c r="AE242" s="850" t="s">
        <v>2466</v>
      </c>
      <c r="AF242" s="850" t="s">
        <v>2139</v>
      </c>
      <c r="AG242" s="3009" t="s">
        <v>2378</v>
      </c>
      <c r="AH242" s="850" t="s">
        <v>2466</v>
      </c>
      <c r="AI242" s="850" t="s">
        <v>2139</v>
      </c>
      <c r="AJ242" s="850" t="s">
        <v>2466</v>
      </c>
      <c r="AK242" s="850" t="s">
        <v>2139</v>
      </c>
      <c r="AL242" s="3009" t="s">
        <v>2378</v>
      </c>
      <c r="AM242" s="850" t="s">
        <v>2466</v>
      </c>
      <c r="AN242" s="850" t="s">
        <v>2139</v>
      </c>
      <c r="AO242" s="850" t="s">
        <v>2466</v>
      </c>
      <c r="AP242" s="850" t="s">
        <v>2139</v>
      </c>
      <c r="AQ242" s="3009" t="s">
        <v>2378</v>
      </c>
      <c r="AR242" s="850" t="s">
        <v>2466</v>
      </c>
      <c r="AS242" s="850" t="s">
        <v>2139</v>
      </c>
      <c r="AT242" s="850" t="s">
        <v>2466</v>
      </c>
      <c r="AU242" s="850" t="s">
        <v>2139</v>
      </c>
      <c r="AV242" s="3009" t="s">
        <v>2378</v>
      </c>
      <c r="AW242" s="850" t="s">
        <v>2466</v>
      </c>
      <c r="AX242" s="850" t="s">
        <v>2139</v>
      </c>
      <c r="AY242" s="850" t="s">
        <v>2466</v>
      </c>
      <c r="AZ242" s="850" t="s">
        <v>2139</v>
      </c>
      <c r="BA242" s="3009" t="s">
        <v>2378</v>
      </c>
      <c r="BB242" s="850" t="s">
        <v>2466</v>
      </c>
      <c r="BC242" s="850" t="s">
        <v>2139</v>
      </c>
      <c r="BD242" s="850" t="s">
        <v>2466</v>
      </c>
      <c r="BE242" s="850" t="s">
        <v>2139</v>
      </c>
      <c r="BF242" s="3009" t="s">
        <v>2378</v>
      </c>
      <c r="BG242" s="3011" t="s">
        <v>2467</v>
      </c>
      <c r="BH242" s="3011" t="s">
        <v>2467</v>
      </c>
      <c r="BI242" s="3011" t="s">
        <v>2467</v>
      </c>
      <c r="BJ242" s="3011" t="s">
        <v>2467</v>
      </c>
      <c r="BK242" s="3009" t="s">
        <v>2139</v>
      </c>
      <c r="BL242" s="3011" t="s">
        <v>1191</v>
      </c>
      <c r="BM242" s="3011" t="s">
        <v>1191</v>
      </c>
      <c r="BN242" s="3011" t="s">
        <v>1191</v>
      </c>
      <c r="BO242" s="3011" t="s">
        <v>1191</v>
      </c>
      <c r="BP242" s="3009" t="s">
        <v>2139</v>
      </c>
      <c r="BQ242" s="3011" t="s">
        <v>2139</v>
      </c>
      <c r="BR242" s="3011" t="s">
        <v>2139</v>
      </c>
      <c r="BS242" s="3011" t="s">
        <v>2139</v>
      </c>
      <c r="BT242" s="3011" t="s">
        <v>2139</v>
      </c>
      <c r="BU242" s="3009" t="s">
        <v>2139</v>
      </c>
      <c r="BV242" s="3011" t="s">
        <v>2468</v>
      </c>
      <c r="BW242" s="3011" t="s">
        <v>2468</v>
      </c>
      <c r="BX242" s="3011" t="s">
        <v>2468</v>
      </c>
      <c r="BY242" s="3011" t="s">
        <v>2467</v>
      </c>
      <c r="BZ242" s="3009" t="s">
        <v>2378</v>
      </c>
      <c r="CA242" s="3011" t="s">
        <v>2466</v>
      </c>
      <c r="CB242" s="3011" t="s">
        <v>2466</v>
      </c>
      <c r="CC242" s="3011" t="s">
        <v>2466</v>
      </c>
      <c r="CD242" s="3011" t="s">
        <v>2378</v>
      </c>
      <c r="CE242" s="3009" t="s">
        <v>2139</v>
      </c>
      <c r="CF242" s="3011" t="s">
        <v>2466</v>
      </c>
      <c r="CG242" s="3011" t="s">
        <v>2378</v>
      </c>
      <c r="CH242" s="3011" t="s">
        <v>2378</v>
      </c>
      <c r="CI242" s="3011" t="s">
        <v>2378</v>
      </c>
      <c r="CJ242" s="3009" t="s">
        <v>2139</v>
      </c>
      <c r="CK242" s="3502" t="s">
        <v>2466</v>
      </c>
      <c r="CL242" s="3502" t="s">
        <v>2466</v>
      </c>
      <c r="CM242" s="3502" t="s">
        <v>2466</v>
      </c>
      <c r="CN242" s="3502" t="s">
        <v>2466</v>
      </c>
      <c r="CO242" s="3009" t="s">
        <v>2139</v>
      </c>
      <c r="CP242" s="3502"/>
      <c r="CQ242" s="3502"/>
      <c r="CR242" s="212"/>
      <c r="CS242" s="212"/>
      <c r="CT242" s="194"/>
      <c r="CU242" s="194"/>
      <c r="CV242" s="194"/>
    </row>
    <row r="243" spans="1:106" x14ac:dyDescent="0.2">
      <c r="A243" s="1437" t="s">
        <v>1735</v>
      </c>
      <c r="B243" s="651"/>
      <c r="C243" s="236"/>
      <c r="D243" s="234"/>
      <c r="E243" s="234"/>
      <c r="F243" s="234"/>
      <c r="G243" s="234"/>
      <c r="H243" s="1426"/>
      <c r="I243" s="257">
        <f>SUM(I214:I229)</f>
        <v>156</v>
      </c>
      <c r="J243" s="257">
        <f t="shared" ref="J243:BM243" si="182">SUM(J214:J229)</f>
        <v>173</v>
      </c>
      <c r="K243" s="257">
        <f t="shared" si="182"/>
        <v>241</v>
      </c>
      <c r="L243" s="257">
        <f t="shared" si="182"/>
        <v>246</v>
      </c>
      <c r="M243" s="1426">
        <f t="shared" si="182"/>
        <v>246</v>
      </c>
      <c r="N243" s="257">
        <f t="shared" si="182"/>
        <v>252</v>
      </c>
      <c r="O243" s="257">
        <f t="shared" si="182"/>
        <v>255</v>
      </c>
      <c r="P243" s="257">
        <f t="shared" si="182"/>
        <v>265</v>
      </c>
      <c r="Q243" s="257">
        <f t="shared" si="182"/>
        <v>267</v>
      </c>
      <c r="R243" s="1426">
        <f t="shared" si="182"/>
        <v>267</v>
      </c>
      <c r="S243" s="257">
        <f t="shared" si="182"/>
        <v>274</v>
      </c>
      <c r="T243" s="257">
        <f t="shared" si="182"/>
        <v>294</v>
      </c>
      <c r="U243" s="257">
        <f t="shared" si="182"/>
        <v>307</v>
      </c>
      <c r="V243" s="257">
        <f t="shared" si="182"/>
        <v>321</v>
      </c>
      <c r="W243" s="1426">
        <f t="shared" si="182"/>
        <v>321</v>
      </c>
      <c r="X243" s="257">
        <f t="shared" si="182"/>
        <v>333</v>
      </c>
      <c r="Y243" s="257">
        <f t="shared" si="182"/>
        <v>342</v>
      </c>
      <c r="Z243" s="257">
        <f t="shared" si="182"/>
        <v>343</v>
      </c>
      <c r="AA243" s="257">
        <f t="shared" si="182"/>
        <v>147</v>
      </c>
      <c r="AB243" s="1426">
        <f t="shared" si="182"/>
        <v>147</v>
      </c>
      <c r="AC243" s="257">
        <f t="shared" si="182"/>
        <v>150</v>
      </c>
      <c r="AD243" s="257">
        <f t="shared" si="182"/>
        <v>105</v>
      </c>
      <c r="AE243" s="257">
        <f t="shared" si="182"/>
        <v>110</v>
      </c>
      <c r="AF243" s="257">
        <f t="shared" si="182"/>
        <v>113</v>
      </c>
      <c r="AG243" s="1426">
        <f t="shared" si="182"/>
        <v>113</v>
      </c>
      <c r="AH243" s="257">
        <f t="shared" si="182"/>
        <v>113</v>
      </c>
      <c r="AI243" s="257">
        <f t="shared" si="182"/>
        <v>113</v>
      </c>
      <c r="AJ243" s="257">
        <f t="shared" si="182"/>
        <v>116</v>
      </c>
      <c r="AK243" s="257">
        <f t="shared" si="182"/>
        <v>117</v>
      </c>
      <c r="AL243" s="1426">
        <f t="shared" si="182"/>
        <v>117</v>
      </c>
      <c r="AM243" s="257">
        <f t="shared" si="182"/>
        <v>119</v>
      </c>
      <c r="AN243" s="257">
        <f t="shared" si="182"/>
        <v>112</v>
      </c>
      <c r="AO243" s="257">
        <f t="shared" si="182"/>
        <v>115</v>
      </c>
      <c r="AP243" s="257">
        <f t="shared" si="182"/>
        <v>118</v>
      </c>
      <c r="AQ243" s="1426">
        <f t="shared" si="182"/>
        <v>118</v>
      </c>
      <c r="AR243" s="257">
        <f t="shared" si="182"/>
        <v>116</v>
      </c>
      <c r="AS243" s="257">
        <f t="shared" si="182"/>
        <v>119</v>
      </c>
      <c r="AT243" s="257">
        <f t="shared" si="182"/>
        <v>119</v>
      </c>
      <c r="AU243" s="257">
        <f t="shared" si="182"/>
        <v>120</v>
      </c>
      <c r="AV243" s="1426">
        <f t="shared" si="182"/>
        <v>120</v>
      </c>
      <c r="AW243" s="257">
        <f t="shared" si="182"/>
        <v>120</v>
      </c>
      <c r="AX243" s="257">
        <f t="shared" si="182"/>
        <v>120</v>
      </c>
      <c r="AY243" s="257">
        <f t="shared" si="182"/>
        <v>119</v>
      </c>
      <c r="AZ243" s="257">
        <f t="shared" si="182"/>
        <v>117</v>
      </c>
      <c r="BA243" s="1426">
        <f t="shared" si="182"/>
        <v>117</v>
      </c>
      <c r="BB243" s="257">
        <f t="shared" si="182"/>
        <v>121</v>
      </c>
      <c r="BC243" s="257">
        <f t="shared" si="182"/>
        <v>122</v>
      </c>
      <c r="BD243" s="257">
        <f t="shared" si="182"/>
        <v>126</v>
      </c>
      <c r="BE243" s="257">
        <f t="shared" si="182"/>
        <v>127</v>
      </c>
      <c r="BF243" s="1426">
        <f t="shared" si="182"/>
        <v>127</v>
      </c>
      <c r="BG243" s="257">
        <f t="shared" si="182"/>
        <v>129</v>
      </c>
      <c r="BH243" s="257">
        <f t="shared" si="182"/>
        <v>134</v>
      </c>
      <c r="BI243" s="257">
        <f t="shared" si="182"/>
        <v>140</v>
      </c>
      <c r="BJ243" s="257">
        <f t="shared" si="182"/>
        <v>145</v>
      </c>
      <c r="BK243" s="1426">
        <f t="shared" si="182"/>
        <v>145</v>
      </c>
      <c r="BL243" s="257">
        <f t="shared" si="182"/>
        <v>149</v>
      </c>
      <c r="BM243" s="257">
        <f t="shared" si="182"/>
        <v>149</v>
      </c>
      <c r="BN243" s="257">
        <f t="shared" ref="BN243:CV243" si="183">SUM(BN214:BN229)</f>
        <v>151</v>
      </c>
      <c r="BO243" s="257">
        <f t="shared" si="183"/>
        <v>157</v>
      </c>
      <c r="BP243" s="1426">
        <f t="shared" si="183"/>
        <v>157</v>
      </c>
      <c r="BQ243" s="257">
        <f t="shared" si="183"/>
        <v>159</v>
      </c>
      <c r="BR243" s="257">
        <f t="shared" si="183"/>
        <v>164</v>
      </c>
      <c r="BS243" s="257">
        <f t="shared" si="183"/>
        <v>169</v>
      </c>
      <c r="BT243" s="257">
        <f t="shared" si="183"/>
        <v>175</v>
      </c>
      <c r="BU243" s="1426">
        <f t="shared" si="183"/>
        <v>175</v>
      </c>
      <c r="BV243" s="257">
        <f t="shared" si="183"/>
        <v>180</v>
      </c>
      <c r="BW243" s="257">
        <f t="shared" si="183"/>
        <v>244</v>
      </c>
      <c r="BX243" s="257">
        <f t="shared" si="183"/>
        <v>250</v>
      </c>
      <c r="BY243" s="257">
        <f t="shared" si="183"/>
        <v>259</v>
      </c>
      <c r="BZ243" s="1426">
        <f t="shared" si="183"/>
        <v>259</v>
      </c>
      <c r="CA243" s="257">
        <f t="shared" si="183"/>
        <v>195</v>
      </c>
      <c r="CB243" s="257">
        <f>SUM(CB214:CB229)</f>
        <v>199</v>
      </c>
      <c r="CC243" s="257">
        <f t="shared" si="183"/>
        <v>202</v>
      </c>
      <c r="CD243" s="257">
        <f t="shared" si="183"/>
        <v>210</v>
      </c>
      <c r="CE243" s="1426">
        <f>SUM(CE214:CE229)</f>
        <v>210</v>
      </c>
      <c r="CF243" s="257">
        <f t="shared" si="183"/>
        <v>212</v>
      </c>
      <c r="CG243" s="257">
        <f>SUM(CG214:CG229)</f>
        <v>216</v>
      </c>
      <c r="CH243" s="257">
        <f>SUM(CH213:CH230)</f>
        <v>224</v>
      </c>
      <c r="CI243">
        <f t="shared" ref="CI243:CL243" si="184">SUM(CI213:CI241)</f>
        <v>414</v>
      </c>
      <c r="CJ243" s="843">
        <f t="shared" si="184"/>
        <v>414</v>
      </c>
      <c r="CK243" s="652">
        <f t="shared" si="184"/>
        <v>420</v>
      </c>
      <c r="CL243" s="652">
        <f t="shared" si="184"/>
        <v>428</v>
      </c>
      <c r="CM243" s="652">
        <f>SUM(CM213:CM241)</f>
        <v>451</v>
      </c>
      <c r="CN243" s="652">
        <f>SUM(CN213:CN241)</f>
        <v>462</v>
      </c>
      <c r="CO243" s="843">
        <f t="shared" ref="CO243" si="185">SUM(CO213:CO241)</f>
        <v>462</v>
      </c>
      <c r="CP243" s="652"/>
      <c r="CQ243" s="652"/>
      <c r="CR243" s="847"/>
      <c r="CS243" s="847"/>
      <c r="CT243" s="661">
        <f t="shared" si="183"/>
        <v>0</v>
      </c>
      <c r="CU243" s="661">
        <f t="shared" si="183"/>
        <v>0</v>
      </c>
      <c r="CV243" s="661">
        <f t="shared" si="183"/>
        <v>0</v>
      </c>
      <c r="DB243" s="217"/>
    </row>
    <row r="244" spans="1:106" x14ac:dyDescent="0.2">
      <c r="A244" s="1437"/>
      <c r="B244" s="651"/>
      <c r="C244" s="236"/>
      <c r="D244" s="234"/>
      <c r="E244" s="234"/>
      <c r="F244" s="234"/>
      <c r="G244" s="234"/>
      <c r="H244" s="246"/>
      <c r="I244" s="850"/>
      <c r="J244" s="850"/>
      <c r="K244" s="850"/>
      <c r="L244" s="850"/>
      <c r="M244" s="246"/>
      <c r="N244" s="850"/>
      <c r="O244" s="850"/>
      <c r="P244" s="850"/>
      <c r="Q244" s="850"/>
      <c r="R244" s="246"/>
      <c r="S244" s="850"/>
      <c r="T244" s="850"/>
      <c r="U244" s="850"/>
      <c r="V244" s="850"/>
      <c r="W244" s="246"/>
      <c r="X244" s="850"/>
      <c r="Y244" s="850"/>
      <c r="Z244" s="850"/>
      <c r="AA244" s="850"/>
      <c r="AB244" s="246"/>
      <c r="AC244" s="850"/>
      <c r="AD244" s="850"/>
      <c r="AE244" s="850"/>
      <c r="AF244" s="850"/>
      <c r="AG244" s="246"/>
      <c r="AH244" s="850"/>
      <c r="AI244" s="850"/>
      <c r="AJ244" s="850"/>
      <c r="AK244" s="850"/>
      <c r="AL244" s="246"/>
      <c r="AM244" s="850"/>
      <c r="AN244" s="850"/>
      <c r="AO244" s="850"/>
      <c r="AP244" s="850"/>
      <c r="AQ244" s="246"/>
      <c r="AR244" s="850"/>
      <c r="AS244" s="850"/>
      <c r="AT244" s="850"/>
      <c r="AU244" s="850"/>
      <c r="AV244" s="246"/>
      <c r="AW244" s="850"/>
      <c r="AX244" s="850"/>
      <c r="AY244" s="850"/>
      <c r="AZ244" s="850"/>
      <c r="BA244" s="246"/>
      <c r="BB244" s="850"/>
      <c r="BC244" s="850"/>
      <c r="BD244" s="850"/>
      <c r="BE244" s="850"/>
      <c r="BF244" s="246"/>
      <c r="BG244" s="850"/>
      <c r="BH244" s="850"/>
      <c r="BI244" s="850"/>
      <c r="BJ244" s="850"/>
      <c r="BK244" s="246"/>
      <c r="BL244" s="850"/>
      <c r="BM244" s="850"/>
      <c r="BN244" s="212"/>
      <c r="BO244" s="212"/>
      <c r="BP244" s="246"/>
      <c r="BQ244" s="212"/>
      <c r="BR244" s="756"/>
      <c r="BS244" s="756"/>
      <c r="BT244" s="212"/>
      <c r="BU244" s="246"/>
      <c r="BV244"/>
      <c r="BW244"/>
      <c r="BX244"/>
      <c r="BY244"/>
      <c r="BZ244" s="246"/>
      <c r="CA244"/>
      <c r="CB244"/>
      <c r="CC244"/>
      <c r="CD244" s="212"/>
      <c r="CE244" s="194"/>
      <c r="CF244" s="212"/>
      <c r="CG244" s="212"/>
      <c r="CH244" s="212"/>
      <c r="CI244" s="212"/>
      <c r="CJ244" s="194"/>
      <c r="CK244" s="2907"/>
      <c r="CL244" s="212"/>
      <c r="CM244" s="212"/>
      <c r="CN244" s="212"/>
      <c r="CO244" s="194"/>
      <c r="CP244" s="2907"/>
      <c r="CQ244" s="212"/>
      <c r="CR244" s="212"/>
      <c r="CS244" s="212"/>
      <c r="CT244" s="194"/>
      <c r="CU244" s="194"/>
      <c r="CV244" s="194"/>
    </row>
    <row r="245" spans="1:106" x14ac:dyDescent="0.2">
      <c r="A245" s="1435" t="s">
        <v>1823</v>
      </c>
      <c r="B245" s="651"/>
      <c r="C245" s="236"/>
      <c r="D245" s="234"/>
      <c r="E245" s="234"/>
      <c r="F245" s="234"/>
      <c r="G245" s="234"/>
      <c r="H245" s="236"/>
      <c r="I245" s="234"/>
      <c r="J245" s="234"/>
      <c r="K245" s="234"/>
      <c r="L245" s="234"/>
      <c r="M245" s="236"/>
      <c r="N245" s="234"/>
      <c r="O245" s="234"/>
      <c r="P245" s="234"/>
      <c r="Q245" s="234"/>
      <c r="R245" s="236"/>
      <c r="S245" s="234"/>
      <c r="T245" s="234"/>
      <c r="U245" s="234"/>
      <c r="V245" s="234"/>
      <c r="W245" s="236"/>
      <c r="X245" s="234"/>
      <c r="Y245" s="234"/>
      <c r="Z245" s="234"/>
      <c r="AA245" s="234"/>
      <c r="AB245" s="236"/>
      <c r="AC245" s="234"/>
      <c r="AD245" s="234"/>
      <c r="AE245" s="234"/>
      <c r="AF245" s="234"/>
      <c r="AG245" s="236"/>
      <c r="AH245" s="234"/>
      <c r="AI245" s="234"/>
      <c r="AJ245" s="234"/>
      <c r="AK245" s="234"/>
      <c r="AL245" s="236"/>
      <c r="AM245" s="234"/>
      <c r="AN245" s="234"/>
      <c r="AO245" s="234"/>
      <c r="AP245" s="234"/>
      <c r="AQ245" s="236"/>
      <c r="AR245" s="234"/>
      <c r="AS245" s="234"/>
      <c r="AT245" s="234"/>
      <c r="AU245" s="234"/>
      <c r="AV245" s="236"/>
      <c r="AW245" s="234"/>
      <c r="AX245" s="234"/>
      <c r="AY245" s="234"/>
      <c r="AZ245" s="234"/>
      <c r="BA245" s="236"/>
      <c r="BB245" s="234"/>
      <c r="BC245" s="234"/>
      <c r="BD245" s="234"/>
      <c r="BE245" s="234"/>
      <c r="BF245" s="236"/>
      <c r="BG245" s="234"/>
      <c r="BH245" s="234"/>
      <c r="BI245" s="234"/>
      <c r="BJ245" s="234"/>
      <c r="BK245" s="236"/>
      <c r="BL245" s="234"/>
      <c r="BM245" s="234"/>
      <c r="BN245" s="212"/>
      <c r="BO245" s="212"/>
      <c r="BP245" s="236"/>
      <c r="BQ245" s="212"/>
      <c r="BR245" s="212"/>
      <c r="BS245" s="212"/>
      <c r="BT245" s="212"/>
      <c r="BU245" s="236"/>
      <c r="BV245" s="212"/>
      <c r="BW245" s="212"/>
      <c r="BX245" s="212"/>
      <c r="BY245" s="212"/>
      <c r="BZ245" s="236"/>
      <c r="CA245" s="212"/>
      <c r="CB245" s="212"/>
      <c r="CC245" s="212"/>
      <c r="CD245" s="212"/>
      <c r="CE245" s="194"/>
      <c r="CF245" s="212"/>
      <c r="CG245" s="212"/>
      <c r="CH245" s="212"/>
      <c r="CI245" s="212"/>
      <c r="CJ245" s="194"/>
      <c r="CK245" s="2907"/>
      <c r="CL245" s="212"/>
      <c r="CM245" s="212"/>
      <c r="CN245" s="212"/>
      <c r="CO245" s="194"/>
      <c r="CP245" s="2907"/>
      <c r="CQ245" s="212"/>
      <c r="CR245" s="212"/>
      <c r="CS245" s="212"/>
      <c r="CT245" s="194"/>
      <c r="CU245" s="194"/>
      <c r="CV245" s="194"/>
    </row>
    <row r="246" spans="1:106" x14ac:dyDescent="0.2">
      <c r="A246" s="2308" t="s">
        <v>456</v>
      </c>
      <c r="B246" s="651"/>
      <c r="C246" s="236"/>
      <c r="D246" s="234"/>
      <c r="E246" s="234"/>
      <c r="F246" s="234"/>
      <c r="G246" s="234"/>
      <c r="H246" s="236"/>
      <c r="I246" s="234"/>
      <c r="J246" s="234"/>
      <c r="K246" s="234"/>
      <c r="L246" s="234"/>
      <c r="M246" s="236"/>
      <c r="N246" s="234"/>
      <c r="O246" s="234"/>
      <c r="P246" s="234"/>
      <c r="Q246" s="234"/>
      <c r="R246" s="236"/>
      <c r="S246" s="234"/>
      <c r="T246" s="234"/>
      <c r="U246" s="234"/>
      <c r="V246" s="234"/>
      <c r="W246" s="236"/>
      <c r="X246" s="234"/>
      <c r="Y246" s="234"/>
      <c r="Z246" s="234"/>
      <c r="AA246" s="234"/>
      <c r="AB246" s="236"/>
      <c r="AC246" s="234"/>
      <c r="AD246" s="234"/>
      <c r="AE246" s="234"/>
      <c r="AF246" s="234"/>
      <c r="AG246" s="236"/>
      <c r="AH246" s="234"/>
      <c r="AI246" s="234"/>
      <c r="AJ246" s="234"/>
      <c r="AK246" s="234"/>
      <c r="AL246" s="236"/>
      <c r="AM246" s="234"/>
      <c r="AN246" s="234"/>
      <c r="AO246" s="234"/>
      <c r="AP246" s="234"/>
      <c r="AQ246" s="236"/>
      <c r="AR246" s="234"/>
      <c r="AS246" s="234"/>
      <c r="AT246" s="234"/>
      <c r="AU246" s="234"/>
      <c r="AV246" s="236"/>
      <c r="AW246" s="234"/>
      <c r="AX246" s="234"/>
      <c r="AY246" s="234"/>
      <c r="AZ246" s="234"/>
      <c r="BA246" s="236"/>
      <c r="BB246" s="234"/>
      <c r="BC246" s="234"/>
      <c r="BD246" s="234"/>
      <c r="BE246" s="234"/>
      <c r="BF246" s="236"/>
      <c r="BG246" s="234"/>
      <c r="BH246" s="234"/>
      <c r="BI246" s="234"/>
      <c r="BJ246" s="234"/>
      <c r="BK246" s="236"/>
      <c r="BL246" s="234"/>
      <c r="BM246" s="234"/>
      <c r="BN246" s="212"/>
      <c r="BO246" s="212"/>
      <c r="BP246" s="236"/>
      <c r="BQ246" s="212"/>
      <c r="BR246" s="212"/>
      <c r="BS246" s="212"/>
      <c r="BT246" s="212"/>
      <c r="BU246" s="236"/>
      <c r="BV246" s="212"/>
      <c r="BW246" s="212"/>
      <c r="BX246" s="212"/>
      <c r="BY246" s="212"/>
      <c r="BZ246" s="236"/>
      <c r="CA246" s="212"/>
      <c r="CB246" s="212"/>
      <c r="CC246" s="212"/>
      <c r="CD246" s="212"/>
      <c r="CE246" s="194"/>
      <c r="CF246" s="212"/>
      <c r="CG246" s="212"/>
      <c r="CH246" s="847">
        <f t="shared" ref="BU246:CH247" si="186">CH147+CH180+CH213</f>
        <v>52</v>
      </c>
      <c r="CI246" s="847">
        <f t="shared" ref="CI246:CK251" si="187">CI147+CI180+CI213</f>
        <v>55</v>
      </c>
      <c r="CJ246" s="661">
        <f t="shared" si="187"/>
        <v>55</v>
      </c>
      <c r="CK246" s="2350">
        <f t="shared" si="187"/>
        <v>55</v>
      </c>
      <c r="CL246" s="2350">
        <f t="shared" ref="CL246:CO251" si="188">CL147+CL180+CL213</f>
        <v>55</v>
      </c>
      <c r="CM246" s="2350">
        <f t="shared" si="188"/>
        <v>54</v>
      </c>
      <c r="CN246" s="847">
        <f t="shared" si="188"/>
        <v>55</v>
      </c>
      <c r="CO246" s="661">
        <f t="shared" si="188"/>
        <v>55</v>
      </c>
      <c r="CP246" s="2350"/>
      <c r="CQ246" s="2350"/>
      <c r="CR246" s="212"/>
      <c r="CS246" s="212"/>
      <c r="CT246" s="194"/>
      <c r="CU246" s="194"/>
      <c r="CV246" s="194"/>
    </row>
    <row r="247" spans="1:106" x14ac:dyDescent="0.2">
      <c r="A247" s="1434" t="s">
        <v>346</v>
      </c>
      <c r="B247" s="651"/>
      <c r="C247" s="236"/>
      <c r="D247" s="234"/>
      <c r="E247" s="234"/>
      <c r="F247" s="234"/>
      <c r="G247" s="234"/>
      <c r="H247" s="661"/>
      <c r="I247" s="847">
        <f t="shared" ref="I247:AN247" si="189">I148+I181+I214</f>
        <v>127</v>
      </c>
      <c r="J247" s="847">
        <f t="shared" si="189"/>
        <v>136</v>
      </c>
      <c r="K247" s="847">
        <f t="shared" si="189"/>
        <v>142</v>
      </c>
      <c r="L247" s="847">
        <f t="shared" si="189"/>
        <v>145</v>
      </c>
      <c r="M247" s="661">
        <f t="shared" si="189"/>
        <v>145</v>
      </c>
      <c r="N247" s="847">
        <f t="shared" si="189"/>
        <v>146</v>
      </c>
      <c r="O247" s="847">
        <f t="shared" si="189"/>
        <v>148</v>
      </c>
      <c r="P247" s="847">
        <f t="shared" si="189"/>
        <v>152</v>
      </c>
      <c r="Q247" s="847">
        <f t="shared" si="189"/>
        <v>157</v>
      </c>
      <c r="R247" s="661">
        <f t="shared" si="189"/>
        <v>157</v>
      </c>
      <c r="S247" s="847">
        <f t="shared" si="189"/>
        <v>160</v>
      </c>
      <c r="T247" s="847">
        <f t="shared" si="189"/>
        <v>161</v>
      </c>
      <c r="U247" s="847">
        <f t="shared" si="189"/>
        <v>164</v>
      </c>
      <c r="V247" s="847">
        <f t="shared" si="189"/>
        <v>165</v>
      </c>
      <c r="W247" s="661">
        <f t="shared" si="189"/>
        <v>165</v>
      </c>
      <c r="X247" s="847">
        <f t="shared" si="189"/>
        <v>167</v>
      </c>
      <c r="Y247" s="847">
        <f t="shared" si="189"/>
        <v>170</v>
      </c>
      <c r="Z247" s="847">
        <f t="shared" si="189"/>
        <v>172</v>
      </c>
      <c r="AA247" s="847">
        <f t="shared" si="189"/>
        <v>172</v>
      </c>
      <c r="AB247" s="661">
        <f t="shared" si="189"/>
        <v>172</v>
      </c>
      <c r="AC247" s="847">
        <f t="shared" si="189"/>
        <v>171</v>
      </c>
      <c r="AD247" s="847">
        <f t="shared" si="189"/>
        <v>173</v>
      </c>
      <c r="AE247" s="847">
        <f t="shared" si="189"/>
        <v>174</v>
      </c>
      <c r="AF247" s="847">
        <f t="shared" si="189"/>
        <v>175</v>
      </c>
      <c r="AG247" s="661">
        <f t="shared" si="189"/>
        <v>175</v>
      </c>
      <c r="AH247" s="847">
        <f t="shared" si="189"/>
        <v>178</v>
      </c>
      <c r="AI247" s="847">
        <f t="shared" si="189"/>
        <v>177</v>
      </c>
      <c r="AJ247" s="847">
        <f t="shared" si="189"/>
        <v>176</v>
      </c>
      <c r="AK247" s="847">
        <f t="shared" si="189"/>
        <v>179</v>
      </c>
      <c r="AL247" s="661">
        <f t="shared" si="189"/>
        <v>179</v>
      </c>
      <c r="AM247" s="847">
        <f t="shared" si="189"/>
        <v>178</v>
      </c>
      <c r="AN247" s="847">
        <f t="shared" si="189"/>
        <v>180</v>
      </c>
      <c r="AO247" s="847">
        <f t="shared" ref="AO247:BT247" si="190">AO148+AO181+AO214</f>
        <v>181</v>
      </c>
      <c r="AP247" s="847">
        <f t="shared" si="190"/>
        <v>178</v>
      </c>
      <c r="AQ247" s="661">
        <f t="shared" si="190"/>
        <v>178</v>
      </c>
      <c r="AR247" s="847">
        <f t="shared" si="190"/>
        <v>178</v>
      </c>
      <c r="AS247" s="847">
        <f t="shared" si="190"/>
        <v>179</v>
      </c>
      <c r="AT247" s="847">
        <f t="shared" si="190"/>
        <v>179</v>
      </c>
      <c r="AU247" s="847">
        <f t="shared" si="190"/>
        <v>183</v>
      </c>
      <c r="AV247" s="661">
        <f t="shared" si="190"/>
        <v>183</v>
      </c>
      <c r="AW247" s="847">
        <f t="shared" si="190"/>
        <v>185</v>
      </c>
      <c r="AX247" s="847">
        <f t="shared" si="190"/>
        <v>187</v>
      </c>
      <c r="AY247" s="847">
        <f t="shared" si="190"/>
        <v>188</v>
      </c>
      <c r="AZ247" s="847">
        <f t="shared" si="190"/>
        <v>192</v>
      </c>
      <c r="BA247" s="661">
        <f t="shared" si="190"/>
        <v>192</v>
      </c>
      <c r="BB247" s="847">
        <f t="shared" si="190"/>
        <v>194</v>
      </c>
      <c r="BC247" s="847">
        <f t="shared" si="190"/>
        <v>194</v>
      </c>
      <c r="BD247" s="847">
        <f t="shared" si="190"/>
        <v>195</v>
      </c>
      <c r="BE247" s="847">
        <f t="shared" si="190"/>
        <v>197</v>
      </c>
      <c r="BF247" s="661">
        <f t="shared" si="190"/>
        <v>197</v>
      </c>
      <c r="BG247" s="847">
        <f t="shared" si="190"/>
        <v>199</v>
      </c>
      <c r="BH247" s="847">
        <f t="shared" si="190"/>
        <v>201</v>
      </c>
      <c r="BI247" s="847">
        <f t="shared" si="190"/>
        <v>202</v>
      </c>
      <c r="BJ247" s="847">
        <f t="shared" si="190"/>
        <v>202</v>
      </c>
      <c r="BK247" s="661">
        <f t="shared" si="190"/>
        <v>202</v>
      </c>
      <c r="BL247" s="847">
        <f t="shared" si="190"/>
        <v>202</v>
      </c>
      <c r="BM247" s="847">
        <f t="shared" si="190"/>
        <v>202</v>
      </c>
      <c r="BN247" s="847">
        <f t="shared" si="190"/>
        <v>202</v>
      </c>
      <c r="BO247" s="847">
        <f t="shared" si="190"/>
        <v>206</v>
      </c>
      <c r="BP247" s="661">
        <f t="shared" si="190"/>
        <v>206</v>
      </c>
      <c r="BQ247" s="847">
        <f t="shared" si="190"/>
        <v>210</v>
      </c>
      <c r="BR247" s="847">
        <f t="shared" si="190"/>
        <v>208</v>
      </c>
      <c r="BS247" s="847">
        <f t="shared" si="190"/>
        <v>211</v>
      </c>
      <c r="BT247" s="847">
        <f t="shared" si="190"/>
        <v>215</v>
      </c>
      <c r="BU247" s="661">
        <f t="shared" si="186"/>
        <v>215</v>
      </c>
      <c r="BV247" s="847">
        <f t="shared" si="186"/>
        <v>220</v>
      </c>
      <c r="BW247" s="847">
        <f t="shared" si="186"/>
        <v>222</v>
      </c>
      <c r="BX247" s="847">
        <f t="shared" si="186"/>
        <v>224</v>
      </c>
      <c r="BY247" s="847">
        <f t="shared" si="186"/>
        <v>231</v>
      </c>
      <c r="BZ247" s="661">
        <f t="shared" si="186"/>
        <v>231</v>
      </c>
      <c r="CA247" s="847">
        <f t="shared" si="186"/>
        <v>222</v>
      </c>
      <c r="CB247" s="847">
        <f t="shared" si="186"/>
        <v>228</v>
      </c>
      <c r="CC247" s="847">
        <f t="shared" si="186"/>
        <v>232</v>
      </c>
      <c r="CD247" s="847">
        <f t="shared" si="186"/>
        <v>236</v>
      </c>
      <c r="CE247" s="661">
        <f t="shared" si="186"/>
        <v>236</v>
      </c>
      <c r="CF247" s="847">
        <f t="shared" si="186"/>
        <v>240</v>
      </c>
      <c r="CG247" s="847">
        <f t="shared" si="186"/>
        <v>247</v>
      </c>
      <c r="CH247" s="847">
        <f>CH148+CH181+CH214</f>
        <v>197</v>
      </c>
      <c r="CI247" s="847">
        <f t="shared" si="187"/>
        <v>201</v>
      </c>
      <c r="CJ247" s="661">
        <f t="shared" si="187"/>
        <v>201</v>
      </c>
      <c r="CK247" s="2350">
        <f t="shared" si="187"/>
        <v>203</v>
      </c>
      <c r="CL247" s="2350">
        <f t="shared" si="188"/>
        <v>206</v>
      </c>
      <c r="CM247" s="2350">
        <f t="shared" si="188"/>
        <v>212</v>
      </c>
      <c r="CN247" s="847">
        <f t="shared" si="188"/>
        <v>219</v>
      </c>
      <c r="CO247" s="661">
        <f t="shared" si="188"/>
        <v>219</v>
      </c>
      <c r="CP247" s="2350"/>
      <c r="CQ247" s="2350"/>
      <c r="CR247" s="212"/>
      <c r="CS247" s="212"/>
      <c r="CT247" s="194"/>
      <c r="CU247" s="194"/>
      <c r="CV247" s="194"/>
    </row>
    <row r="248" spans="1:106" x14ac:dyDescent="0.2">
      <c r="A248" s="1434" t="s">
        <v>1385</v>
      </c>
      <c r="B248" s="651"/>
      <c r="C248" s="236"/>
      <c r="D248" s="234"/>
      <c r="E248" s="234"/>
      <c r="F248" s="234"/>
      <c r="G248" s="234"/>
      <c r="H248" s="661"/>
      <c r="I248" s="847">
        <f t="shared" ref="I248:AN248" si="191">I149+I182+I215</f>
        <v>61</v>
      </c>
      <c r="J248" s="847">
        <f t="shared" si="191"/>
        <v>61</v>
      </c>
      <c r="K248" s="847">
        <f t="shared" si="191"/>
        <v>65</v>
      </c>
      <c r="L248" s="847">
        <f t="shared" si="191"/>
        <v>65</v>
      </c>
      <c r="M248" s="661">
        <f t="shared" si="191"/>
        <v>65</v>
      </c>
      <c r="N248" s="847">
        <f t="shared" si="191"/>
        <v>66</v>
      </c>
      <c r="O248" s="847">
        <f t="shared" si="191"/>
        <v>65</v>
      </c>
      <c r="P248" s="847">
        <f t="shared" si="191"/>
        <v>64</v>
      </c>
      <c r="Q248" s="847">
        <f t="shared" si="191"/>
        <v>63</v>
      </c>
      <c r="R248" s="661">
        <f t="shared" si="191"/>
        <v>63</v>
      </c>
      <c r="S248" s="847">
        <f t="shared" si="191"/>
        <v>64</v>
      </c>
      <c r="T248" s="847">
        <f t="shared" si="191"/>
        <v>62</v>
      </c>
      <c r="U248" s="847">
        <f t="shared" si="191"/>
        <v>62</v>
      </c>
      <c r="V248" s="847">
        <f t="shared" si="191"/>
        <v>62</v>
      </c>
      <c r="W248" s="661">
        <f t="shared" si="191"/>
        <v>62</v>
      </c>
      <c r="X248" s="847">
        <f t="shared" si="191"/>
        <v>63</v>
      </c>
      <c r="Y248" s="847">
        <f t="shared" si="191"/>
        <v>66</v>
      </c>
      <c r="Z248" s="847">
        <f t="shared" si="191"/>
        <v>66</v>
      </c>
      <c r="AA248" s="847">
        <f t="shared" si="191"/>
        <v>66</v>
      </c>
      <c r="AB248" s="661">
        <f t="shared" si="191"/>
        <v>66</v>
      </c>
      <c r="AC248" s="847">
        <f t="shared" si="191"/>
        <v>67</v>
      </c>
      <c r="AD248" s="847">
        <f t="shared" si="191"/>
        <v>68</v>
      </c>
      <c r="AE248" s="847">
        <f t="shared" si="191"/>
        <v>69</v>
      </c>
      <c r="AF248" s="847">
        <f t="shared" si="191"/>
        <v>70</v>
      </c>
      <c r="AG248" s="661">
        <f t="shared" si="191"/>
        <v>70</v>
      </c>
      <c r="AH248" s="847">
        <f t="shared" si="191"/>
        <v>69</v>
      </c>
      <c r="AI248" s="847">
        <f t="shared" si="191"/>
        <v>68</v>
      </c>
      <c r="AJ248" s="847">
        <f t="shared" si="191"/>
        <v>71</v>
      </c>
      <c r="AK248" s="847">
        <f t="shared" si="191"/>
        <v>71</v>
      </c>
      <c r="AL248" s="661">
        <f t="shared" si="191"/>
        <v>71</v>
      </c>
      <c r="AM248" s="847">
        <f t="shared" si="191"/>
        <v>73</v>
      </c>
      <c r="AN248" s="847">
        <f t="shared" si="191"/>
        <v>72</v>
      </c>
      <c r="AO248" s="847">
        <f t="shared" ref="AO248:BT248" si="192">AO149+AO182+AO215</f>
        <v>74</v>
      </c>
      <c r="AP248" s="847">
        <f t="shared" si="192"/>
        <v>70</v>
      </c>
      <c r="AQ248" s="661">
        <f t="shared" si="192"/>
        <v>70</v>
      </c>
      <c r="AR248" s="847">
        <f t="shared" si="192"/>
        <v>68</v>
      </c>
      <c r="AS248" s="847">
        <f t="shared" si="192"/>
        <v>64</v>
      </c>
      <c r="AT248" s="847">
        <f t="shared" si="192"/>
        <v>65</v>
      </c>
      <c r="AU248" s="847">
        <f t="shared" si="192"/>
        <v>65</v>
      </c>
      <c r="AV248" s="661">
        <f t="shared" si="192"/>
        <v>65</v>
      </c>
      <c r="AW248" s="847">
        <f t="shared" si="192"/>
        <v>66</v>
      </c>
      <c r="AX248" s="847">
        <f t="shared" si="192"/>
        <v>67</v>
      </c>
      <c r="AY248" s="847">
        <f t="shared" si="192"/>
        <v>65</v>
      </c>
      <c r="AZ248" s="847">
        <f t="shared" si="192"/>
        <v>64</v>
      </c>
      <c r="BA248" s="661">
        <f t="shared" si="192"/>
        <v>64</v>
      </c>
      <c r="BB248" s="847">
        <f t="shared" si="192"/>
        <v>66</v>
      </c>
      <c r="BC248" s="847">
        <f t="shared" si="192"/>
        <v>66</v>
      </c>
      <c r="BD248" s="847">
        <f t="shared" si="192"/>
        <v>67</v>
      </c>
      <c r="BE248" s="847">
        <f t="shared" si="192"/>
        <v>68</v>
      </c>
      <c r="BF248" s="661">
        <f t="shared" si="192"/>
        <v>68</v>
      </c>
      <c r="BG248" s="847">
        <f t="shared" si="192"/>
        <v>71</v>
      </c>
      <c r="BH248" s="847">
        <f t="shared" si="192"/>
        <v>72</v>
      </c>
      <c r="BI248" s="847">
        <f t="shared" si="192"/>
        <v>74</v>
      </c>
      <c r="BJ248" s="847">
        <f t="shared" si="192"/>
        <v>74</v>
      </c>
      <c r="BK248" s="661">
        <f t="shared" si="192"/>
        <v>74</v>
      </c>
      <c r="BL248" s="847">
        <f t="shared" si="192"/>
        <v>74</v>
      </c>
      <c r="BM248" s="847">
        <f t="shared" si="192"/>
        <v>75</v>
      </c>
      <c r="BN248" s="847">
        <f t="shared" si="192"/>
        <v>76</v>
      </c>
      <c r="BO248" s="847">
        <f t="shared" si="192"/>
        <v>76</v>
      </c>
      <c r="BP248" s="661">
        <f t="shared" si="192"/>
        <v>76</v>
      </c>
      <c r="BQ248" s="847">
        <f t="shared" si="192"/>
        <v>75</v>
      </c>
      <c r="BR248" s="847">
        <f t="shared" si="192"/>
        <v>77</v>
      </c>
      <c r="BS248" s="847">
        <f t="shared" si="192"/>
        <v>78</v>
      </c>
      <c r="BT248" s="847">
        <f t="shared" si="192"/>
        <v>77</v>
      </c>
      <c r="BU248" s="661">
        <f t="shared" ref="BU248:CG248" si="193">BU149+BU182+BU215</f>
        <v>77</v>
      </c>
      <c r="BV248" s="847">
        <f t="shared" si="193"/>
        <v>78</v>
      </c>
      <c r="BW248" s="847">
        <f t="shared" si="193"/>
        <v>82</v>
      </c>
      <c r="BX248" s="847">
        <f t="shared" si="193"/>
        <v>81</v>
      </c>
      <c r="BY248" s="847">
        <f t="shared" si="193"/>
        <v>81</v>
      </c>
      <c r="BZ248" s="661">
        <f t="shared" si="193"/>
        <v>81</v>
      </c>
      <c r="CA248" s="847">
        <f t="shared" si="193"/>
        <v>78</v>
      </c>
      <c r="CB248" s="847">
        <f t="shared" si="193"/>
        <v>78</v>
      </c>
      <c r="CC248" s="847">
        <f t="shared" si="193"/>
        <v>79</v>
      </c>
      <c r="CD248" s="847">
        <f t="shared" si="193"/>
        <v>78</v>
      </c>
      <c r="CE248" s="661">
        <f t="shared" si="193"/>
        <v>78</v>
      </c>
      <c r="CF248" s="847">
        <f t="shared" si="193"/>
        <v>77</v>
      </c>
      <c r="CG248" s="847">
        <f t="shared" si="193"/>
        <v>78</v>
      </c>
      <c r="CH248" s="847">
        <f>CH149+CH182+CH215</f>
        <v>78</v>
      </c>
      <c r="CI248" s="847">
        <f t="shared" si="187"/>
        <v>79</v>
      </c>
      <c r="CJ248" s="661">
        <f t="shared" si="187"/>
        <v>79</v>
      </c>
      <c r="CK248" s="2350">
        <f t="shared" si="187"/>
        <v>78</v>
      </c>
      <c r="CL248" s="2350">
        <f t="shared" si="188"/>
        <v>79</v>
      </c>
      <c r="CM248" s="2350">
        <f t="shared" si="188"/>
        <v>80</v>
      </c>
      <c r="CN248" s="847">
        <f t="shared" si="188"/>
        <v>82</v>
      </c>
      <c r="CO248" s="661">
        <f t="shared" si="188"/>
        <v>82</v>
      </c>
      <c r="CP248" s="2350"/>
      <c r="CQ248" s="2350"/>
      <c r="CR248" s="212"/>
      <c r="CS248" s="212"/>
      <c r="CT248" s="194"/>
      <c r="CU248" s="194"/>
      <c r="CV248" s="194"/>
    </row>
    <row r="249" spans="1:106" x14ac:dyDescent="0.2">
      <c r="A249" s="1434" t="s">
        <v>512</v>
      </c>
      <c r="B249" s="651"/>
      <c r="C249" s="236"/>
      <c r="D249" s="234"/>
      <c r="E249" s="234"/>
      <c r="F249" s="234"/>
      <c r="G249" s="234"/>
      <c r="H249" s="661"/>
      <c r="I249" s="847">
        <f t="shared" ref="I249:AN249" si="194">I150+I183+I216</f>
        <v>0</v>
      </c>
      <c r="J249" s="847">
        <f t="shared" si="194"/>
        <v>0</v>
      </c>
      <c r="K249" s="847">
        <f t="shared" si="194"/>
        <v>0</v>
      </c>
      <c r="L249" s="847">
        <f t="shared" si="194"/>
        <v>0</v>
      </c>
      <c r="M249" s="661">
        <f t="shared" si="194"/>
        <v>0</v>
      </c>
      <c r="N249" s="847">
        <f t="shared" si="194"/>
        <v>0</v>
      </c>
      <c r="O249" s="847">
        <f t="shared" si="194"/>
        <v>0</v>
      </c>
      <c r="P249" s="847">
        <f t="shared" si="194"/>
        <v>0</v>
      </c>
      <c r="Q249" s="847">
        <f t="shared" si="194"/>
        <v>0</v>
      </c>
      <c r="R249" s="661">
        <f t="shared" si="194"/>
        <v>0</v>
      </c>
      <c r="S249" s="847">
        <f t="shared" si="194"/>
        <v>0</v>
      </c>
      <c r="T249" s="847">
        <f t="shared" si="194"/>
        <v>0</v>
      </c>
      <c r="U249" s="847">
        <f t="shared" si="194"/>
        <v>0</v>
      </c>
      <c r="V249" s="847">
        <f t="shared" si="194"/>
        <v>0</v>
      </c>
      <c r="W249" s="661">
        <f t="shared" si="194"/>
        <v>0</v>
      </c>
      <c r="X249" s="847">
        <f t="shared" si="194"/>
        <v>0</v>
      </c>
      <c r="Y249" s="847">
        <f t="shared" si="194"/>
        <v>0</v>
      </c>
      <c r="Z249" s="847">
        <f t="shared" si="194"/>
        <v>0</v>
      </c>
      <c r="AA249" s="847">
        <f t="shared" si="194"/>
        <v>0</v>
      </c>
      <c r="AB249" s="661">
        <f t="shared" si="194"/>
        <v>0</v>
      </c>
      <c r="AC249" s="847">
        <f t="shared" si="194"/>
        <v>0</v>
      </c>
      <c r="AD249" s="847">
        <f t="shared" si="194"/>
        <v>0</v>
      </c>
      <c r="AE249" s="847">
        <f t="shared" si="194"/>
        <v>0</v>
      </c>
      <c r="AF249" s="847">
        <f t="shared" si="194"/>
        <v>0</v>
      </c>
      <c r="AG249" s="661">
        <f t="shared" si="194"/>
        <v>0</v>
      </c>
      <c r="AH249" s="847">
        <f t="shared" si="194"/>
        <v>0</v>
      </c>
      <c r="AI249" s="847">
        <f t="shared" si="194"/>
        <v>0</v>
      </c>
      <c r="AJ249" s="847">
        <f t="shared" si="194"/>
        <v>0</v>
      </c>
      <c r="AK249" s="847">
        <f t="shared" si="194"/>
        <v>0</v>
      </c>
      <c r="AL249" s="661">
        <f t="shared" si="194"/>
        <v>0</v>
      </c>
      <c r="AM249" s="847">
        <f t="shared" si="194"/>
        <v>0</v>
      </c>
      <c r="AN249" s="847">
        <f t="shared" si="194"/>
        <v>0</v>
      </c>
      <c r="AO249" s="847">
        <f t="shared" ref="AO249:BT249" si="195">AO150+AO183+AO216</f>
        <v>0</v>
      </c>
      <c r="AP249" s="847">
        <f t="shared" si="195"/>
        <v>0</v>
      </c>
      <c r="AQ249" s="661">
        <f t="shared" si="195"/>
        <v>0</v>
      </c>
      <c r="AR249" s="847">
        <f t="shared" si="195"/>
        <v>0</v>
      </c>
      <c r="AS249" s="847">
        <f t="shared" si="195"/>
        <v>0</v>
      </c>
      <c r="AT249" s="847">
        <f t="shared" si="195"/>
        <v>0</v>
      </c>
      <c r="AU249" s="847">
        <f t="shared" si="195"/>
        <v>0</v>
      </c>
      <c r="AV249" s="661">
        <f t="shared" si="195"/>
        <v>0</v>
      </c>
      <c r="AW249" s="847">
        <f t="shared" si="195"/>
        <v>0</v>
      </c>
      <c r="AX249" s="847">
        <f t="shared" si="195"/>
        <v>0</v>
      </c>
      <c r="AY249" s="847">
        <f t="shared" si="195"/>
        <v>0</v>
      </c>
      <c r="AZ249" s="847">
        <f t="shared" si="195"/>
        <v>0</v>
      </c>
      <c r="BA249" s="661">
        <f t="shared" si="195"/>
        <v>0</v>
      </c>
      <c r="BB249" s="847">
        <f t="shared" si="195"/>
        <v>0</v>
      </c>
      <c r="BC249" s="847">
        <f t="shared" si="195"/>
        <v>0</v>
      </c>
      <c r="BD249" s="847">
        <f t="shared" si="195"/>
        <v>0</v>
      </c>
      <c r="BE249" s="847">
        <f t="shared" si="195"/>
        <v>0</v>
      </c>
      <c r="BF249" s="661">
        <f t="shared" si="195"/>
        <v>0</v>
      </c>
      <c r="BG249" s="847">
        <f t="shared" si="195"/>
        <v>0</v>
      </c>
      <c r="BH249" s="847">
        <f t="shared" si="195"/>
        <v>0</v>
      </c>
      <c r="BI249" s="847">
        <f t="shared" si="195"/>
        <v>4</v>
      </c>
      <c r="BJ249" s="847">
        <f t="shared" si="195"/>
        <v>5</v>
      </c>
      <c r="BK249" s="661">
        <f t="shared" si="195"/>
        <v>5</v>
      </c>
      <c r="BL249" s="847">
        <f t="shared" si="195"/>
        <v>5</v>
      </c>
      <c r="BM249" s="847">
        <f t="shared" si="195"/>
        <v>6</v>
      </c>
      <c r="BN249" s="847">
        <f t="shared" si="195"/>
        <v>6</v>
      </c>
      <c r="BO249" s="847">
        <f t="shared" si="195"/>
        <v>8</v>
      </c>
      <c r="BP249" s="661">
        <f t="shared" si="195"/>
        <v>8</v>
      </c>
      <c r="BQ249" s="847">
        <f t="shared" si="195"/>
        <v>10</v>
      </c>
      <c r="BR249" s="847">
        <f t="shared" si="195"/>
        <v>13</v>
      </c>
      <c r="BS249" s="847">
        <f t="shared" si="195"/>
        <v>15</v>
      </c>
      <c r="BT249" s="847">
        <f t="shared" si="195"/>
        <v>19</v>
      </c>
      <c r="BU249" s="661">
        <f t="shared" ref="BU249:CG249" si="196">BU150+BU183+BU216</f>
        <v>19</v>
      </c>
      <c r="BV249" s="847">
        <f t="shared" si="196"/>
        <v>21</v>
      </c>
      <c r="BW249" s="847">
        <f t="shared" si="196"/>
        <v>22</v>
      </c>
      <c r="BX249" s="847">
        <f t="shared" si="196"/>
        <v>22</v>
      </c>
      <c r="BY249" s="847">
        <f t="shared" si="196"/>
        <v>26</v>
      </c>
      <c r="BZ249" s="661">
        <f t="shared" si="196"/>
        <v>26</v>
      </c>
      <c r="CA249" s="847">
        <f t="shared" si="196"/>
        <v>30</v>
      </c>
      <c r="CB249" s="847">
        <f t="shared" si="196"/>
        <v>32</v>
      </c>
      <c r="CC249" s="847">
        <f t="shared" si="196"/>
        <v>34</v>
      </c>
      <c r="CD249" s="847">
        <f t="shared" si="196"/>
        <v>35</v>
      </c>
      <c r="CE249" s="661">
        <f t="shared" si="196"/>
        <v>35</v>
      </c>
      <c r="CF249" s="847">
        <f t="shared" si="196"/>
        <v>37</v>
      </c>
      <c r="CG249" s="847">
        <f t="shared" si="196"/>
        <v>37</v>
      </c>
      <c r="CH249" s="847">
        <f>CH150+CH183+CH216</f>
        <v>39</v>
      </c>
      <c r="CI249" s="847">
        <f t="shared" si="187"/>
        <v>42</v>
      </c>
      <c r="CJ249" s="661">
        <f t="shared" si="187"/>
        <v>42</v>
      </c>
      <c r="CK249" s="2350">
        <f t="shared" si="187"/>
        <v>46</v>
      </c>
      <c r="CL249" s="2350">
        <f t="shared" si="188"/>
        <v>48</v>
      </c>
      <c r="CM249" s="2350">
        <f t="shared" si="188"/>
        <v>52</v>
      </c>
      <c r="CN249" s="847">
        <f t="shared" si="188"/>
        <v>51</v>
      </c>
      <c r="CO249" s="661">
        <f t="shared" si="188"/>
        <v>51</v>
      </c>
      <c r="CP249" s="2350"/>
      <c r="CQ249" s="2350"/>
      <c r="CR249" s="212"/>
      <c r="CS249" s="212"/>
      <c r="CT249" s="194"/>
      <c r="CU249" s="194"/>
      <c r="CV249" s="194"/>
    </row>
    <row r="250" spans="1:106" x14ac:dyDescent="0.2">
      <c r="A250" s="2308" t="s">
        <v>608</v>
      </c>
      <c r="B250" s="651"/>
      <c r="C250" s="236"/>
      <c r="D250" s="234"/>
      <c r="E250" s="234"/>
      <c r="F250" s="234"/>
      <c r="G250" s="234"/>
      <c r="H250" s="661"/>
      <c r="I250" s="847">
        <f t="shared" ref="I250:AN250" si="197">I151+I184+I217</f>
        <v>0</v>
      </c>
      <c r="J250" s="847">
        <f t="shared" si="197"/>
        <v>0</v>
      </c>
      <c r="K250" s="847">
        <f t="shared" si="197"/>
        <v>0</v>
      </c>
      <c r="L250" s="847">
        <f t="shared" si="197"/>
        <v>0</v>
      </c>
      <c r="M250" s="661">
        <f t="shared" si="197"/>
        <v>0</v>
      </c>
      <c r="N250" s="847">
        <f t="shared" si="197"/>
        <v>0</v>
      </c>
      <c r="O250" s="847">
        <f t="shared" si="197"/>
        <v>0</v>
      </c>
      <c r="P250" s="847">
        <f t="shared" si="197"/>
        <v>0</v>
      </c>
      <c r="Q250" s="847">
        <f t="shared" si="197"/>
        <v>0</v>
      </c>
      <c r="R250" s="661">
        <f t="shared" si="197"/>
        <v>0</v>
      </c>
      <c r="S250" s="847">
        <f t="shared" si="197"/>
        <v>0</v>
      </c>
      <c r="T250" s="847">
        <f t="shared" si="197"/>
        <v>0</v>
      </c>
      <c r="U250" s="847">
        <f t="shared" si="197"/>
        <v>0</v>
      </c>
      <c r="V250" s="847">
        <f t="shared" si="197"/>
        <v>0</v>
      </c>
      <c r="W250" s="661">
        <f t="shared" si="197"/>
        <v>0</v>
      </c>
      <c r="X250" s="847">
        <f t="shared" si="197"/>
        <v>0</v>
      </c>
      <c r="Y250" s="847">
        <f t="shared" si="197"/>
        <v>0</v>
      </c>
      <c r="Z250" s="847">
        <f t="shared" si="197"/>
        <v>0</v>
      </c>
      <c r="AA250" s="847">
        <f t="shared" si="197"/>
        <v>0</v>
      </c>
      <c r="AB250" s="661">
        <f t="shared" si="197"/>
        <v>0</v>
      </c>
      <c r="AC250" s="847">
        <f t="shared" si="197"/>
        <v>0</v>
      </c>
      <c r="AD250" s="847">
        <f t="shared" si="197"/>
        <v>0</v>
      </c>
      <c r="AE250" s="847">
        <f t="shared" si="197"/>
        <v>0</v>
      </c>
      <c r="AF250" s="847">
        <f t="shared" si="197"/>
        <v>0</v>
      </c>
      <c r="AG250" s="661">
        <f t="shared" si="197"/>
        <v>0</v>
      </c>
      <c r="AH250" s="847">
        <f t="shared" si="197"/>
        <v>0</v>
      </c>
      <c r="AI250" s="847">
        <f t="shared" si="197"/>
        <v>0</v>
      </c>
      <c r="AJ250" s="847">
        <f t="shared" si="197"/>
        <v>0</v>
      </c>
      <c r="AK250" s="847">
        <f t="shared" si="197"/>
        <v>0</v>
      </c>
      <c r="AL250" s="661">
        <f t="shared" si="197"/>
        <v>0</v>
      </c>
      <c r="AM250" s="847">
        <f t="shared" si="197"/>
        <v>0</v>
      </c>
      <c r="AN250" s="847">
        <f t="shared" si="197"/>
        <v>0</v>
      </c>
      <c r="AO250" s="847">
        <f t="shared" ref="AO250:BT250" si="198">AO151+AO184+AO217</f>
        <v>0</v>
      </c>
      <c r="AP250" s="847">
        <f t="shared" si="198"/>
        <v>0</v>
      </c>
      <c r="AQ250" s="661">
        <f t="shared" si="198"/>
        <v>0</v>
      </c>
      <c r="AR250" s="847">
        <f t="shared" si="198"/>
        <v>0</v>
      </c>
      <c r="AS250" s="847">
        <f t="shared" si="198"/>
        <v>0</v>
      </c>
      <c r="AT250" s="847">
        <f t="shared" si="198"/>
        <v>0</v>
      </c>
      <c r="AU250" s="847">
        <f t="shared" si="198"/>
        <v>0</v>
      </c>
      <c r="AV250" s="661">
        <f t="shared" si="198"/>
        <v>0</v>
      </c>
      <c r="AW250" s="847">
        <f t="shared" si="198"/>
        <v>0</v>
      </c>
      <c r="AX250" s="847">
        <f t="shared" si="198"/>
        <v>0</v>
      </c>
      <c r="AY250" s="847">
        <f t="shared" si="198"/>
        <v>0</v>
      </c>
      <c r="AZ250" s="847">
        <f t="shared" si="198"/>
        <v>0</v>
      </c>
      <c r="BA250" s="661">
        <f t="shared" si="198"/>
        <v>0</v>
      </c>
      <c r="BB250" s="847">
        <f t="shared" si="198"/>
        <v>0</v>
      </c>
      <c r="BC250" s="847">
        <f t="shared" si="198"/>
        <v>0</v>
      </c>
      <c r="BD250" s="847">
        <f t="shared" si="198"/>
        <v>0</v>
      </c>
      <c r="BE250" s="847">
        <f t="shared" si="198"/>
        <v>0</v>
      </c>
      <c r="BF250" s="661">
        <f t="shared" si="198"/>
        <v>0</v>
      </c>
      <c r="BG250" s="847">
        <f t="shared" si="198"/>
        <v>0</v>
      </c>
      <c r="BH250" s="847">
        <f t="shared" si="198"/>
        <v>0</v>
      </c>
      <c r="BI250" s="847">
        <f t="shared" si="198"/>
        <v>0</v>
      </c>
      <c r="BJ250" s="847">
        <f t="shared" si="198"/>
        <v>0</v>
      </c>
      <c r="BK250" s="661">
        <f t="shared" si="198"/>
        <v>0</v>
      </c>
      <c r="BL250" s="847">
        <f t="shared" si="198"/>
        <v>0</v>
      </c>
      <c r="BM250" s="847">
        <f t="shared" si="198"/>
        <v>0</v>
      </c>
      <c r="BN250" s="847">
        <f t="shared" si="198"/>
        <v>0</v>
      </c>
      <c r="BO250" s="847">
        <f t="shared" si="198"/>
        <v>0</v>
      </c>
      <c r="BP250" s="661">
        <f t="shared" si="198"/>
        <v>0</v>
      </c>
      <c r="BQ250" s="847">
        <f t="shared" si="198"/>
        <v>0</v>
      </c>
      <c r="BR250" s="847">
        <f t="shared" si="198"/>
        <v>0</v>
      </c>
      <c r="BS250" s="847">
        <f t="shared" si="198"/>
        <v>0</v>
      </c>
      <c r="BT250" s="847">
        <f t="shared" si="198"/>
        <v>0</v>
      </c>
      <c r="BU250" s="661">
        <f t="shared" ref="BU250:CG250" si="199">BU151+BU184+BU217</f>
        <v>0</v>
      </c>
      <c r="BV250" s="847">
        <f t="shared" si="199"/>
        <v>0</v>
      </c>
      <c r="BW250" s="847">
        <f t="shared" si="199"/>
        <v>0</v>
      </c>
      <c r="BX250" s="847">
        <f t="shared" si="199"/>
        <v>1</v>
      </c>
      <c r="BY250" s="847">
        <f t="shared" si="199"/>
        <v>1</v>
      </c>
      <c r="BZ250" s="661">
        <f t="shared" si="199"/>
        <v>1</v>
      </c>
      <c r="CA250" s="847">
        <f t="shared" si="199"/>
        <v>1</v>
      </c>
      <c r="CB250" s="847">
        <f t="shared" si="199"/>
        <v>1</v>
      </c>
      <c r="CC250" s="847">
        <f t="shared" si="199"/>
        <v>1</v>
      </c>
      <c r="CD250" s="847">
        <f t="shared" si="199"/>
        <v>1</v>
      </c>
      <c r="CE250" s="661">
        <f t="shared" si="199"/>
        <v>1</v>
      </c>
      <c r="CF250" s="847">
        <f t="shared" si="199"/>
        <v>2</v>
      </c>
      <c r="CG250" s="847">
        <f t="shared" si="199"/>
        <v>2</v>
      </c>
      <c r="CH250" s="847">
        <f>CH151+CH184+CH217</f>
        <v>4</v>
      </c>
      <c r="CI250" s="847">
        <f>CI151+CI184+CI217</f>
        <v>5</v>
      </c>
      <c r="CJ250" s="661">
        <f t="shared" ref="CJ250:CK262" si="200">CJ151+CJ184+CJ217</f>
        <v>5</v>
      </c>
      <c r="CK250" s="2350">
        <f t="shared" si="187"/>
        <v>8</v>
      </c>
      <c r="CL250" s="2350">
        <f t="shared" si="188"/>
        <v>8</v>
      </c>
      <c r="CM250" s="2350">
        <f t="shared" si="188"/>
        <v>13</v>
      </c>
      <c r="CN250" s="847">
        <f>CN151+CN184+CN217</f>
        <v>16</v>
      </c>
      <c r="CO250" s="661">
        <f t="shared" ref="CO250" si="201">CO151+CO184+CO217</f>
        <v>16</v>
      </c>
      <c r="CP250" s="2350"/>
      <c r="CQ250" s="2350"/>
      <c r="CR250" s="212"/>
      <c r="CS250" s="212"/>
      <c r="CT250" s="194"/>
      <c r="CU250" s="194"/>
      <c r="CV250" s="194"/>
    </row>
    <row r="251" spans="1:106" x14ac:dyDescent="0.2">
      <c r="A251" s="1434" t="s">
        <v>510</v>
      </c>
      <c r="B251" s="651"/>
      <c r="C251" s="236"/>
      <c r="D251" s="234"/>
      <c r="E251" s="234"/>
      <c r="F251" s="234"/>
      <c r="G251" s="234"/>
      <c r="H251" s="661"/>
      <c r="I251" s="847">
        <f t="shared" ref="I251:AN251" si="202">I152+I185+I218</f>
        <v>17</v>
      </c>
      <c r="J251" s="847">
        <f t="shared" si="202"/>
        <v>17</v>
      </c>
      <c r="K251" s="847">
        <f t="shared" si="202"/>
        <v>17</v>
      </c>
      <c r="L251" s="847">
        <f t="shared" si="202"/>
        <v>19</v>
      </c>
      <c r="M251" s="661">
        <f t="shared" si="202"/>
        <v>19</v>
      </c>
      <c r="N251" s="847">
        <f t="shared" si="202"/>
        <v>18</v>
      </c>
      <c r="O251" s="847">
        <f t="shared" si="202"/>
        <v>18</v>
      </c>
      <c r="P251" s="847">
        <f t="shared" si="202"/>
        <v>18</v>
      </c>
      <c r="Q251" s="847">
        <f t="shared" si="202"/>
        <v>19</v>
      </c>
      <c r="R251" s="661">
        <f t="shared" si="202"/>
        <v>19</v>
      </c>
      <c r="S251" s="847">
        <f t="shared" si="202"/>
        <v>19</v>
      </c>
      <c r="T251" s="847">
        <f t="shared" si="202"/>
        <v>20</v>
      </c>
      <c r="U251" s="847">
        <f t="shared" si="202"/>
        <v>20</v>
      </c>
      <c r="V251" s="847">
        <f t="shared" si="202"/>
        <v>21</v>
      </c>
      <c r="W251" s="661">
        <f t="shared" si="202"/>
        <v>21</v>
      </c>
      <c r="X251" s="847">
        <f t="shared" si="202"/>
        <v>22</v>
      </c>
      <c r="Y251" s="847">
        <f t="shared" si="202"/>
        <v>22</v>
      </c>
      <c r="Z251" s="847">
        <f t="shared" si="202"/>
        <v>22</v>
      </c>
      <c r="AA251" s="847">
        <f t="shared" si="202"/>
        <v>22</v>
      </c>
      <c r="AB251" s="661">
        <f t="shared" si="202"/>
        <v>22</v>
      </c>
      <c r="AC251" s="847">
        <f t="shared" si="202"/>
        <v>22</v>
      </c>
      <c r="AD251" s="847">
        <f t="shared" si="202"/>
        <v>23</v>
      </c>
      <c r="AE251" s="847">
        <f t="shared" si="202"/>
        <v>23</v>
      </c>
      <c r="AF251" s="847">
        <f t="shared" si="202"/>
        <v>24</v>
      </c>
      <c r="AG251" s="661">
        <f t="shared" si="202"/>
        <v>24</v>
      </c>
      <c r="AH251" s="847">
        <f t="shared" si="202"/>
        <v>25</v>
      </c>
      <c r="AI251" s="847">
        <f t="shared" si="202"/>
        <v>25</v>
      </c>
      <c r="AJ251" s="847">
        <f t="shared" si="202"/>
        <v>25</v>
      </c>
      <c r="AK251" s="847">
        <f t="shared" si="202"/>
        <v>25</v>
      </c>
      <c r="AL251" s="661">
        <f t="shared" si="202"/>
        <v>25</v>
      </c>
      <c r="AM251" s="847">
        <f t="shared" si="202"/>
        <v>27</v>
      </c>
      <c r="AN251" s="847">
        <f t="shared" si="202"/>
        <v>29</v>
      </c>
      <c r="AO251" s="847">
        <f t="shared" ref="AO251:BT251" si="203">AO152+AO185+AO218</f>
        <v>31</v>
      </c>
      <c r="AP251" s="847">
        <f t="shared" si="203"/>
        <v>34</v>
      </c>
      <c r="AQ251" s="661">
        <f t="shared" si="203"/>
        <v>34</v>
      </c>
      <c r="AR251" s="847">
        <f t="shared" si="203"/>
        <v>34</v>
      </c>
      <c r="AS251" s="847">
        <f t="shared" si="203"/>
        <v>35</v>
      </c>
      <c r="AT251" s="847">
        <f t="shared" si="203"/>
        <v>35</v>
      </c>
      <c r="AU251" s="847">
        <f t="shared" si="203"/>
        <v>36</v>
      </c>
      <c r="AV251" s="661">
        <f t="shared" si="203"/>
        <v>36</v>
      </c>
      <c r="AW251" s="847">
        <f t="shared" si="203"/>
        <v>37</v>
      </c>
      <c r="AX251" s="847">
        <f t="shared" si="203"/>
        <v>36</v>
      </c>
      <c r="AY251" s="847">
        <f t="shared" si="203"/>
        <v>36</v>
      </c>
      <c r="AZ251" s="847">
        <f t="shared" si="203"/>
        <v>37</v>
      </c>
      <c r="BA251" s="661">
        <f t="shared" si="203"/>
        <v>37</v>
      </c>
      <c r="BB251" s="847">
        <f t="shared" si="203"/>
        <v>37</v>
      </c>
      <c r="BC251" s="847">
        <f t="shared" si="203"/>
        <v>37</v>
      </c>
      <c r="BD251" s="847">
        <f t="shared" si="203"/>
        <v>38</v>
      </c>
      <c r="BE251" s="847">
        <f t="shared" si="203"/>
        <v>38</v>
      </c>
      <c r="BF251" s="661">
        <f t="shared" si="203"/>
        <v>38</v>
      </c>
      <c r="BG251" s="847">
        <f t="shared" si="203"/>
        <v>40</v>
      </c>
      <c r="BH251" s="847">
        <f t="shared" si="203"/>
        <v>41</v>
      </c>
      <c r="BI251" s="847">
        <f t="shared" si="203"/>
        <v>42</v>
      </c>
      <c r="BJ251" s="847">
        <f t="shared" si="203"/>
        <v>43</v>
      </c>
      <c r="BK251" s="661">
        <f t="shared" si="203"/>
        <v>43</v>
      </c>
      <c r="BL251" s="847">
        <f t="shared" si="203"/>
        <v>43</v>
      </c>
      <c r="BM251" s="847">
        <f t="shared" si="203"/>
        <v>44</v>
      </c>
      <c r="BN251" s="847">
        <f t="shared" si="203"/>
        <v>45</v>
      </c>
      <c r="BO251" s="847">
        <f t="shared" si="203"/>
        <v>46</v>
      </c>
      <c r="BP251" s="661">
        <f t="shared" si="203"/>
        <v>46</v>
      </c>
      <c r="BQ251" s="847">
        <f t="shared" si="203"/>
        <v>47</v>
      </c>
      <c r="BR251" s="847">
        <f t="shared" si="203"/>
        <v>46</v>
      </c>
      <c r="BS251" s="847">
        <f t="shared" si="203"/>
        <v>46</v>
      </c>
      <c r="BT251" s="847">
        <f t="shared" si="203"/>
        <v>51</v>
      </c>
      <c r="BU251" s="661">
        <f t="shared" ref="BU251:CG251" si="204">BU152+BU185+BU218</f>
        <v>51</v>
      </c>
      <c r="BV251" s="847">
        <f t="shared" si="204"/>
        <v>51</v>
      </c>
      <c r="BW251" s="847">
        <f t="shared" si="204"/>
        <v>51</v>
      </c>
      <c r="BX251" s="847">
        <f t="shared" si="204"/>
        <v>51</v>
      </c>
      <c r="BY251" s="847">
        <f t="shared" si="204"/>
        <v>52</v>
      </c>
      <c r="BZ251" s="661">
        <f t="shared" si="204"/>
        <v>52</v>
      </c>
      <c r="CA251" s="847">
        <f t="shared" si="204"/>
        <v>51</v>
      </c>
      <c r="CB251" s="847">
        <f t="shared" si="204"/>
        <v>52</v>
      </c>
      <c r="CC251" s="847">
        <f t="shared" si="204"/>
        <v>54</v>
      </c>
      <c r="CD251" s="847">
        <f t="shared" si="204"/>
        <v>56</v>
      </c>
      <c r="CE251" s="661">
        <f t="shared" si="204"/>
        <v>56</v>
      </c>
      <c r="CF251" s="847">
        <f t="shared" si="204"/>
        <v>56</v>
      </c>
      <c r="CG251" s="847">
        <f t="shared" si="204"/>
        <v>56</v>
      </c>
      <c r="CH251" s="847">
        <f>CH152+CH185+CH218</f>
        <v>52</v>
      </c>
      <c r="CI251" s="847">
        <f>CI152+CI185+CI218</f>
        <v>53</v>
      </c>
      <c r="CJ251" s="661">
        <f t="shared" si="200"/>
        <v>53</v>
      </c>
      <c r="CK251" s="2350">
        <f t="shared" si="187"/>
        <v>54</v>
      </c>
      <c r="CL251" s="2350">
        <f t="shared" si="188"/>
        <v>55</v>
      </c>
      <c r="CM251" s="2350">
        <f t="shared" si="188"/>
        <v>56</v>
      </c>
      <c r="CN251" s="847">
        <f>CN152+CN185+CN218</f>
        <v>57</v>
      </c>
      <c r="CO251" s="661">
        <f t="shared" ref="CO251" si="205">CO152+CO185+CO218</f>
        <v>57</v>
      </c>
      <c r="CP251" s="2350"/>
      <c r="CQ251" s="2350"/>
      <c r="CR251" s="212"/>
      <c r="CS251" s="212"/>
      <c r="CT251" s="194"/>
      <c r="CU251" s="194"/>
      <c r="CV251" s="194"/>
    </row>
    <row r="252" spans="1:106" x14ac:dyDescent="0.2">
      <c r="A252" s="1434" t="s">
        <v>511</v>
      </c>
      <c r="B252" s="651"/>
      <c r="C252" s="236"/>
      <c r="D252" s="234"/>
      <c r="E252" s="234"/>
      <c r="F252" s="234"/>
      <c r="G252" s="234"/>
      <c r="H252" s="661"/>
      <c r="I252" s="847">
        <f t="shared" ref="I252:AN252" si="206">I153+I187+I219</f>
        <v>0</v>
      </c>
      <c r="J252" s="847">
        <f t="shared" si="206"/>
        <v>0</v>
      </c>
      <c r="K252" s="847">
        <f t="shared" si="206"/>
        <v>0</v>
      </c>
      <c r="L252" s="847">
        <f t="shared" si="206"/>
        <v>0</v>
      </c>
      <c r="M252" s="661">
        <f t="shared" si="206"/>
        <v>0</v>
      </c>
      <c r="N252" s="847">
        <f t="shared" si="206"/>
        <v>0</v>
      </c>
      <c r="O252" s="847">
        <f t="shared" si="206"/>
        <v>0</v>
      </c>
      <c r="P252" s="847">
        <f t="shared" si="206"/>
        <v>0</v>
      </c>
      <c r="Q252" s="847">
        <f t="shared" si="206"/>
        <v>0</v>
      </c>
      <c r="R252" s="661">
        <f t="shared" si="206"/>
        <v>0</v>
      </c>
      <c r="S252" s="847">
        <f t="shared" si="206"/>
        <v>0</v>
      </c>
      <c r="T252" s="847">
        <f t="shared" si="206"/>
        <v>0</v>
      </c>
      <c r="U252" s="847">
        <f t="shared" si="206"/>
        <v>0</v>
      </c>
      <c r="V252" s="847">
        <f t="shared" si="206"/>
        <v>0</v>
      </c>
      <c r="W252" s="661">
        <f t="shared" si="206"/>
        <v>0</v>
      </c>
      <c r="X252" s="847">
        <f t="shared" si="206"/>
        <v>0</v>
      </c>
      <c r="Y252" s="847">
        <f t="shared" si="206"/>
        <v>1</v>
      </c>
      <c r="Z252" s="847">
        <f t="shared" si="206"/>
        <v>1</v>
      </c>
      <c r="AA252" s="847">
        <f t="shared" si="206"/>
        <v>1</v>
      </c>
      <c r="AB252" s="661">
        <f t="shared" si="206"/>
        <v>1</v>
      </c>
      <c r="AC252" s="847">
        <f t="shared" si="206"/>
        <v>1</v>
      </c>
      <c r="AD252" s="847">
        <f t="shared" si="206"/>
        <v>1</v>
      </c>
      <c r="AE252" s="847">
        <f t="shared" si="206"/>
        <v>1</v>
      </c>
      <c r="AF252" s="847">
        <f t="shared" si="206"/>
        <v>1</v>
      </c>
      <c r="AG252" s="661">
        <f t="shared" si="206"/>
        <v>1</v>
      </c>
      <c r="AH252" s="847">
        <f t="shared" si="206"/>
        <v>1</v>
      </c>
      <c r="AI252" s="847">
        <f t="shared" si="206"/>
        <v>1</v>
      </c>
      <c r="AJ252" s="847">
        <f t="shared" si="206"/>
        <v>1</v>
      </c>
      <c r="AK252" s="847">
        <f t="shared" si="206"/>
        <v>2</v>
      </c>
      <c r="AL252" s="661">
        <f t="shared" si="206"/>
        <v>2</v>
      </c>
      <c r="AM252" s="847">
        <f t="shared" si="206"/>
        <v>2</v>
      </c>
      <c r="AN252" s="847">
        <f t="shared" si="206"/>
        <v>2</v>
      </c>
      <c r="AO252" s="847">
        <f t="shared" ref="AO252:BT252" si="207">AO153+AO187+AO219</f>
        <v>2</v>
      </c>
      <c r="AP252" s="847">
        <f t="shared" si="207"/>
        <v>2</v>
      </c>
      <c r="AQ252" s="661">
        <f t="shared" si="207"/>
        <v>2</v>
      </c>
      <c r="AR252" s="847">
        <f t="shared" si="207"/>
        <v>2</v>
      </c>
      <c r="AS252" s="847">
        <f t="shared" si="207"/>
        <v>2</v>
      </c>
      <c r="AT252" s="847">
        <f t="shared" si="207"/>
        <v>2</v>
      </c>
      <c r="AU252" s="847">
        <f t="shared" si="207"/>
        <v>2</v>
      </c>
      <c r="AV252" s="661">
        <f t="shared" si="207"/>
        <v>2</v>
      </c>
      <c r="AW252" s="847">
        <f t="shared" si="207"/>
        <v>2</v>
      </c>
      <c r="AX252" s="847">
        <f t="shared" si="207"/>
        <v>2</v>
      </c>
      <c r="AY252" s="847">
        <f t="shared" si="207"/>
        <v>2</v>
      </c>
      <c r="AZ252" s="847">
        <f t="shared" si="207"/>
        <v>2</v>
      </c>
      <c r="BA252" s="661">
        <f t="shared" si="207"/>
        <v>2</v>
      </c>
      <c r="BB252" s="847">
        <f t="shared" si="207"/>
        <v>2</v>
      </c>
      <c r="BC252" s="847">
        <f t="shared" si="207"/>
        <v>2</v>
      </c>
      <c r="BD252" s="847">
        <f t="shared" si="207"/>
        <v>2</v>
      </c>
      <c r="BE252" s="847">
        <f t="shared" si="207"/>
        <v>2</v>
      </c>
      <c r="BF252" s="661">
        <f t="shared" si="207"/>
        <v>2</v>
      </c>
      <c r="BG252" s="847">
        <f t="shared" si="207"/>
        <v>2</v>
      </c>
      <c r="BH252" s="847">
        <f t="shared" si="207"/>
        <v>2</v>
      </c>
      <c r="BI252" s="847">
        <f t="shared" si="207"/>
        <v>2</v>
      </c>
      <c r="BJ252" s="847">
        <f t="shared" si="207"/>
        <v>2</v>
      </c>
      <c r="BK252" s="661">
        <f t="shared" si="207"/>
        <v>2</v>
      </c>
      <c r="BL252" s="847">
        <f t="shared" si="207"/>
        <v>2</v>
      </c>
      <c r="BM252" s="847">
        <f t="shared" si="207"/>
        <v>3</v>
      </c>
      <c r="BN252" s="847">
        <f t="shared" si="207"/>
        <v>3</v>
      </c>
      <c r="BO252" s="847">
        <f t="shared" si="207"/>
        <v>3</v>
      </c>
      <c r="BP252" s="661">
        <f t="shared" si="207"/>
        <v>3</v>
      </c>
      <c r="BQ252" s="847">
        <f t="shared" si="207"/>
        <v>3</v>
      </c>
      <c r="BR252" s="847">
        <f t="shared" si="207"/>
        <v>3</v>
      </c>
      <c r="BS252" s="847">
        <f t="shared" si="207"/>
        <v>3</v>
      </c>
      <c r="BT252" s="847">
        <f t="shared" si="207"/>
        <v>3</v>
      </c>
      <c r="BU252" s="661">
        <f t="shared" ref="BU252:CG252" si="208">BU153+BU187+BU219</f>
        <v>3</v>
      </c>
      <c r="BV252" s="847">
        <f t="shared" si="208"/>
        <v>3</v>
      </c>
      <c r="BW252" s="847">
        <f t="shared" si="208"/>
        <v>3</v>
      </c>
      <c r="BX252" s="847">
        <f t="shared" si="208"/>
        <v>3</v>
      </c>
      <c r="BY252" s="847">
        <f t="shared" si="208"/>
        <v>3</v>
      </c>
      <c r="BZ252" s="661">
        <f t="shared" si="208"/>
        <v>3</v>
      </c>
      <c r="CA252" s="847">
        <f t="shared" si="208"/>
        <v>3</v>
      </c>
      <c r="CB252" s="847">
        <f t="shared" si="208"/>
        <v>3</v>
      </c>
      <c r="CC252" s="847">
        <f t="shared" si="208"/>
        <v>3</v>
      </c>
      <c r="CD252" s="847">
        <f t="shared" si="208"/>
        <v>3</v>
      </c>
      <c r="CE252" s="661">
        <f t="shared" si="208"/>
        <v>3</v>
      </c>
      <c r="CF252" s="847">
        <f t="shared" si="208"/>
        <v>3</v>
      </c>
      <c r="CG252" s="847">
        <f t="shared" si="208"/>
        <v>3</v>
      </c>
      <c r="CH252" s="847">
        <f>CH153+CH187+CH219</f>
        <v>3</v>
      </c>
      <c r="CI252" s="847">
        <f>CI153+CI187+CI219</f>
        <v>3</v>
      </c>
      <c r="CJ252" s="661">
        <f t="shared" si="200"/>
        <v>3</v>
      </c>
      <c r="CK252" s="2350">
        <f>CK153+CK187+CK219</f>
        <v>3</v>
      </c>
      <c r="CL252" s="2350">
        <f>CL153+CL187+CL219</f>
        <v>3</v>
      </c>
      <c r="CM252" s="2350">
        <f>CM153+CM187+CM219</f>
        <v>4</v>
      </c>
      <c r="CN252" s="847">
        <f>CN153+CN187+CN219</f>
        <v>5</v>
      </c>
      <c r="CO252" s="661">
        <f t="shared" ref="CO252" si="209">CO153+CO186+CO219</f>
        <v>3</v>
      </c>
      <c r="CP252" s="2350"/>
      <c r="CQ252" s="2350"/>
      <c r="CR252" s="212"/>
      <c r="CS252" s="212"/>
      <c r="CT252" s="194"/>
      <c r="CU252" s="194"/>
      <c r="CV252" s="194"/>
    </row>
    <row r="253" spans="1:106" x14ac:dyDescent="0.2">
      <c r="A253" s="1434" t="s">
        <v>383</v>
      </c>
      <c r="B253" s="651"/>
      <c r="C253" s="236"/>
      <c r="D253" s="234"/>
      <c r="E253" s="234"/>
      <c r="F253" s="234"/>
      <c r="G253" s="234"/>
      <c r="H253" s="661"/>
      <c r="I253" s="847">
        <f t="shared" ref="I253:AN253" si="210">I154+I186+I220</f>
        <v>0</v>
      </c>
      <c r="J253" s="847">
        <f t="shared" si="210"/>
        <v>0</v>
      </c>
      <c r="K253" s="847">
        <f t="shared" si="210"/>
        <v>0</v>
      </c>
      <c r="L253" s="847">
        <f t="shared" si="210"/>
        <v>0</v>
      </c>
      <c r="M253" s="661">
        <f t="shared" si="210"/>
        <v>0</v>
      </c>
      <c r="N253" s="847">
        <f t="shared" si="210"/>
        <v>0</v>
      </c>
      <c r="O253" s="847">
        <f t="shared" si="210"/>
        <v>0</v>
      </c>
      <c r="P253" s="847">
        <f t="shared" si="210"/>
        <v>0</v>
      </c>
      <c r="Q253" s="847">
        <f t="shared" si="210"/>
        <v>0</v>
      </c>
      <c r="R253" s="661">
        <f t="shared" si="210"/>
        <v>0</v>
      </c>
      <c r="S253" s="847">
        <f t="shared" si="210"/>
        <v>0</v>
      </c>
      <c r="T253" s="847">
        <f t="shared" si="210"/>
        <v>0</v>
      </c>
      <c r="U253" s="847">
        <f t="shared" si="210"/>
        <v>0</v>
      </c>
      <c r="V253" s="847">
        <f t="shared" si="210"/>
        <v>0</v>
      </c>
      <c r="W253" s="661">
        <f t="shared" si="210"/>
        <v>0</v>
      </c>
      <c r="X253" s="847">
        <f t="shared" si="210"/>
        <v>0</v>
      </c>
      <c r="Y253" s="847">
        <f t="shared" si="210"/>
        <v>0</v>
      </c>
      <c r="Z253" s="847">
        <f t="shared" si="210"/>
        <v>0</v>
      </c>
      <c r="AA253" s="847">
        <f t="shared" si="210"/>
        <v>0</v>
      </c>
      <c r="AB253" s="661">
        <f t="shared" si="210"/>
        <v>0</v>
      </c>
      <c r="AC253" s="847">
        <f t="shared" si="210"/>
        <v>0</v>
      </c>
      <c r="AD253" s="847">
        <f t="shared" si="210"/>
        <v>0</v>
      </c>
      <c r="AE253" s="847">
        <f t="shared" si="210"/>
        <v>0</v>
      </c>
      <c r="AF253" s="847">
        <f t="shared" si="210"/>
        <v>0</v>
      </c>
      <c r="AG253" s="661">
        <f t="shared" si="210"/>
        <v>0</v>
      </c>
      <c r="AH253" s="847">
        <f t="shared" si="210"/>
        <v>0</v>
      </c>
      <c r="AI253" s="847">
        <f t="shared" si="210"/>
        <v>0</v>
      </c>
      <c r="AJ253" s="847">
        <f t="shared" si="210"/>
        <v>0</v>
      </c>
      <c r="AK253" s="847">
        <f t="shared" si="210"/>
        <v>0</v>
      </c>
      <c r="AL253" s="661">
        <f t="shared" si="210"/>
        <v>0</v>
      </c>
      <c r="AM253" s="847">
        <f t="shared" si="210"/>
        <v>0</v>
      </c>
      <c r="AN253" s="847">
        <f t="shared" si="210"/>
        <v>0</v>
      </c>
      <c r="AO253" s="847">
        <f t="shared" ref="AO253:BT253" si="211">AO154+AO186+AO220</f>
        <v>0</v>
      </c>
      <c r="AP253" s="847">
        <f t="shared" si="211"/>
        <v>0</v>
      </c>
      <c r="AQ253" s="661">
        <f t="shared" si="211"/>
        <v>0</v>
      </c>
      <c r="AR253" s="847">
        <f t="shared" si="211"/>
        <v>0</v>
      </c>
      <c r="AS253" s="847">
        <f t="shared" si="211"/>
        <v>0</v>
      </c>
      <c r="AT253" s="847">
        <f t="shared" si="211"/>
        <v>0</v>
      </c>
      <c r="AU253" s="847">
        <f t="shared" si="211"/>
        <v>0</v>
      </c>
      <c r="AV253" s="661">
        <f t="shared" si="211"/>
        <v>0</v>
      </c>
      <c r="AW253" s="847">
        <f t="shared" si="211"/>
        <v>0</v>
      </c>
      <c r="AX253" s="847">
        <f t="shared" si="211"/>
        <v>0</v>
      </c>
      <c r="AY253" s="847">
        <f t="shared" si="211"/>
        <v>0</v>
      </c>
      <c r="AZ253" s="847">
        <f t="shared" si="211"/>
        <v>0</v>
      </c>
      <c r="BA253" s="661">
        <f t="shared" si="211"/>
        <v>0</v>
      </c>
      <c r="BB253" s="847">
        <f t="shared" si="211"/>
        <v>0</v>
      </c>
      <c r="BC253" s="847">
        <f t="shared" si="211"/>
        <v>0</v>
      </c>
      <c r="BD253" s="847">
        <f t="shared" si="211"/>
        <v>0</v>
      </c>
      <c r="BE253" s="847">
        <f t="shared" si="211"/>
        <v>0</v>
      </c>
      <c r="BF253" s="661">
        <f t="shared" si="211"/>
        <v>0</v>
      </c>
      <c r="BG253" s="847">
        <f t="shared" si="211"/>
        <v>0</v>
      </c>
      <c r="BH253" s="847">
        <f t="shared" si="211"/>
        <v>0</v>
      </c>
      <c r="BI253" s="847">
        <f t="shared" si="211"/>
        <v>0</v>
      </c>
      <c r="BJ253" s="847">
        <f t="shared" si="211"/>
        <v>0</v>
      </c>
      <c r="BK253" s="661">
        <f t="shared" si="211"/>
        <v>0</v>
      </c>
      <c r="BL253" s="847">
        <f t="shared" si="211"/>
        <v>1</v>
      </c>
      <c r="BM253" s="847">
        <f t="shared" si="211"/>
        <v>1</v>
      </c>
      <c r="BN253" s="847">
        <f t="shared" si="211"/>
        <v>1</v>
      </c>
      <c r="BO253" s="847">
        <f t="shared" si="211"/>
        <v>1</v>
      </c>
      <c r="BP253" s="661">
        <f t="shared" si="211"/>
        <v>1</v>
      </c>
      <c r="BQ253" s="847">
        <f t="shared" si="211"/>
        <v>1</v>
      </c>
      <c r="BR253" s="847">
        <f t="shared" si="211"/>
        <v>1</v>
      </c>
      <c r="BS253" s="847">
        <f t="shared" si="211"/>
        <v>2</v>
      </c>
      <c r="BT253" s="847">
        <f t="shared" si="211"/>
        <v>2</v>
      </c>
      <c r="BU253" s="661">
        <f t="shared" ref="BU253:CG253" si="212">BU154+BU186+BU220</f>
        <v>2</v>
      </c>
      <c r="BV253" s="847">
        <f t="shared" si="212"/>
        <v>2</v>
      </c>
      <c r="BW253" s="847">
        <f t="shared" si="212"/>
        <v>2</v>
      </c>
      <c r="BX253" s="847">
        <f t="shared" si="212"/>
        <v>2</v>
      </c>
      <c r="BY253" s="847">
        <f t="shared" si="212"/>
        <v>2</v>
      </c>
      <c r="BZ253" s="661">
        <f t="shared" si="212"/>
        <v>2</v>
      </c>
      <c r="CA253" s="847">
        <f t="shared" si="212"/>
        <v>2</v>
      </c>
      <c r="CB253" s="847">
        <f t="shared" si="212"/>
        <v>2</v>
      </c>
      <c r="CC253" s="847">
        <f t="shared" si="212"/>
        <v>2</v>
      </c>
      <c r="CD253" s="847">
        <f t="shared" si="212"/>
        <v>2</v>
      </c>
      <c r="CE253" s="661">
        <f t="shared" si="212"/>
        <v>2</v>
      </c>
      <c r="CF253" s="847">
        <f t="shared" si="212"/>
        <v>2</v>
      </c>
      <c r="CG253" s="847">
        <f t="shared" si="212"/>
        <v>2</v>
      </c>
      <c r="CH253" s="847">
        <f>CH154+CH186+CH220</f>
        <v>1</v>
      </c>
      <c r="CI253" s="847">
        <f>CI154+CI186+CI220</f>
        <v>2</v>
      </c>
      <c r="CJ253" s="661">
        <f t="shared" si="200"/>
        <v>2</v>
      </c>
      <c r="CK253" s="2350">
        <f>CK154+CK186+CK220</f>
        <v>2</v>
      </c>
      <c r="CL253" s="2350">
        <f>CL154+CL186+CL220</f>
        <v>2</v>
      </c>
      <c r="CM253" s="2350">
        <f>CM154+CM186+CM220</f>
        <v>2</v>
      </c>
      <c r="CN253" s="847">
        <f>CN154+CN186+CN220</f>
        <v>2</v>
      </c>
      <c r="CO253" s="661">
        <f t="shared" ref="CO253" si="213">CO154+CO187+CO220</f>
        <v>4</v>
      </c>
      <c r="CP253" s="2350"/>
      <c r="CQ253" s="2350"/>
      <c r="CR253" s="212"/>
      <c r="CS253" s="212"/>
      <c r="CT253" s="194"/>
      <c r="CU253" s="194"/>
      <c r="CV253" s="194"/>
    </row>
    <row r="254" spans="1:106" x14ac:dyDescent="0.2">
      <c r="A254" s="1434" t="s">
        <v>656</v>
      </c>
      <c r="B254" s="651"/>
      <c r="C254" s="236"/>
      <c r="D254" s="234"/>
      <c r="E254" s="234"/>
      <c r="F254" s="234"/>
      <c r="G254" s="234"/>
      <c r="H254" s="661"/>
      <c r="I254" s="847">
        <f t="shared" ref="I254:AN254" si="214">I155+I188+I221</f>
        <v>0</v>
      </c>
      <c r="J254" s="847">
        <f t="shared" si="214"/>
        <v>0</v>
      </c>
      <c r="K254" s="847">
        <f t="shared" si="214"/>
        <v>0</v>
      </c>
      <c r="L254" s="847">
        <f t="shared" si="214"/>
        <v>0</v>
      </c>
      <c r="M254" s="661">
        <f t="shared" si="214"/>
        <v>0</v>
      </c>
      <c r="N254" s="847">
        <f t="shared" si="214"/>
        <v>0</v>
      </c>
      <c r="O254" s="847">
        <f t="shared" si="214"/>
        <v>0</v>
      </c>
      <c r="P254" s="847">
        <f t="shared" si="214"/>
        <v>0</v>
      </c>
      <c r="Q254" s="847">
        <f t="shared" si="214"/>
        <v>0</v>
      </c>
      <c r="R254" s="661">
        <f t="shared" si="214"/>
        <v>0</v>
      </c>
      <c r="S254" s="847">
        <f t="shared" si="214"/>
        <v>0</v>
      </c>
      <c r="T254" s="847">
        <f t="shared" si="214"/>
        <v>0</v>
      </c>
      <c r="U254" s="847">
        <f t="shared" si="214"/>
        <v>0</v>
      </c>
      <c r="V254" s="847">
        <f t="shared" si="214"/>
        <v>0</v>
      </c>
      <c r="W254" s="661">
        <f t="shared" si="214"/>
        <v>0</v>
      </c>
      <c r="X254" s="847">
        <f t="shared" si="214"/>
        <v>0</v>
      </c>
      <c r="Y254" s="847">
        <f t="shared" si="214"/>
        <v>0</v>
      </c>
      <c r="Z254" s="847">
        <f t="shared" si="214"/>
        <v>0</v>
      </c>
      <c r="AA254" s="847">
        <f t="shared" si="214"/>
        <v>0</v>
      </c>
      <c r="AB254" s="661">
        <f t="shared" si="214"/>
        <v>0</v>
      </c>
      <c r="AC254" s="847">
        <f t="shared" si="214"/>
        <v>0</v>
      </c>
      <c r="AD254" s="847">
        <f t="shared" si="214"/>
        <v>0</v>
      </c>
      <c r="AE254" s="847">
        <f t="shared" si="214"/>
        <v>0</v>
      </c>
      <c r="AF254" s="847">
        <f t="shared" si="214"/>
        <v>0</v>
      </c>
      <c r="AG254" s="661">
        <f t="shared" si="214"/>
        <v>0</v>
      </c>
      <c r="AH254" s="847">
        <f t="shared" si="214"/>
        <v>0</v>
      </c>
      <c r="AI254" s="847">
        <f t="shared" si="214"/>
        <v>0</v>
      </c>
      <c r="AJ254" s="847">
        <f t="shared" si="214"/>
        <v>0</v>
      </c>
      <c r="AK254" s="847">
        <f t="shared" si="214"/>
        <v>0</v>
      </c>
      <c r="AL254" s="661">
        <f t="shared" si="214"/>
        <v>0</v>
      </c>
      <c r="AM254" s="847">
        <f t="shared" si="214"/>
        <v>0</v>
      </c>
      <c r="AN254" s="847">
        <f t="shared" si="214"/>
        <v>0</v>
      </c>
      <c r="AO254" s="847">
        <f t="shared" ref="AO254:BT254" si="215">AO155+AO188+AO221</f>
        <v>0</v>
      </c>
      <c r="AP254" s="847">
        <f t="shared" si="215"/>
        <v>0</v>
      </c>
      <c r="AQ254" s="661">
        <f t="shared" si="215"/>
        <v>0</v>
      </c>
      <c r="AR254" s="847">
        <f t="shared" si="215"/>
        <v>0</v>
      </c>
      <c r="AS254" s="847">
        <f t="shared" si="215"/>
        <v>0</v>
      </c>
      <c r="AT254" s="847">
        <f t="shared" si="215"/>
        <v>0</v>
      </c>
      <c r="AU254" s="847">
        <f t="shared" si="215"/>
        <v>0</v>
      </c>
      <c r="AV254" s="661">
        <f t="shared" si="215"/>
        <v>0</v>
      </c>
      <c r="AW254" s="847">
        <f t="shared" si="215"/>
        <v>0</v>
      </c>
      <c r="AX254" s="847">
        <f t="shared" si="215"/>
        <v>0</v>
      </c>
      <c r="AY254" s="847">
        <f t="shared" si="215"/>
        <v>0</v>
      </c>
      <c r="AZ254" s="847">
        <f t="shared" si="215"/>
        <v>0</v>
      </c>
      <c r="BA254" s="661">
        <f t="shared" si="215"/>
        <v>0</v>
      </c>
      <c r="BB254" s="847">
        <f t="shared" si="215"/>
        <v>0</v>
      </c>
      <c r="BC254" s="847">
        <f t="shared" si="215"/>
        <v>0</v>
      </c>
      <c r="BD254" s="847">
        <f t="shared" si="215"/>
        <v>0</v>
      </c>
      <c r="BE254" s="847">
        <f t="shared" si="215"/>
        <v>0</v>
      </c>
      <c r="BF254" s="661">
        <f t="shared" si="215"/>
        <v>0</v>
      </c>
      <c r="BG254" s="847">
        <f t="shared" si="215"/>
        <v>1</v>
      </c>
      <c r="BH254" s="847">
        <f t="shared" si="215"/>
        <v>1</v>
      </c>
      <c r="BI254" s="847">
        <f t="shared" si="215"/>
        <v>1</v>
      </c>
      <c r="BJ254" s="847">
        <f t="shared" si="215"/>
        <v>1</v>
      </c>
      <c r="BK254" s="661">
        <f t="shared" si="215"/>
        <v>1</v>
      </c>
      <c r="BL254" s="847">
        <f t="shared" si="215"/>
        <v>0</v>
      </c>
      <c r="BM254" s="847">
        <f t="shared" si="215"/>
        <v>0</v>
      </c>
      <c r="BN254" s="847">
        <f t="shared" si="215"/>
        <v>0</v>
      </c>
      <c r="BO254" s="847">
        <f t="shared" si="215"/>
        <v>0</v>
      </c>
      <c r="BP254" s="661">
        <f t="shared" si="215"/>
        <v>0</v>
      </c>
      <c r="BQ254" s="847">
        <f t="shared" si="215"/>
        <v>0</v>
      </c>
      <c r="BR254" s="847">
        <f t="shared" si="215"/>
        <v>0</v>
      </c>
      <c r="BS254" s="847">
        <f t="shared" si="215"/>
        <v>0</v>
      </c>
      <c r="BT254" s="847">
        <f t="shared" si="215"/>
        <v>0</v>
      </c>
      <c r="BU254" s="661">
        <f t="shared" ref="BU254:CG254" si="216">BU155+BU188+BU221</f>
        <v>0</v>
      </c>
      <c r="BV254" s="847">
        <f t="shared" si="216"/>
        <v>0</v>
      </c>
      <c r="BW254" s="847">
        <f t="shared" si="216"/>
        <v>0</v>
      </c>
      <c r="BX254" s="847">
        <f t="shared" si="216"/>
        <v>0</v>
      </c>
      <c r="BY254" s="847">
        <f t="shared" si="216"/>
        <v>0</v>
      </c>
      <c r="BZ254" s="661">
        <f t="shared" si="216"/>
        <v>0</v>
      </c>
      <c r="CA254" s="847">
        <f t="shared" si="216"/>
        <v>0</v>
      </c>
      <c r="CB254" s="847">
        <f t="shared" si="216"/>
        <v>0</v>
      </c>
      <c r="CC254" s="847">
        <f t="shared" si="216"/>
        <v>0</v>
      </c>
      <c r="CD254" s="847">
        <f t="shared" si="216"/>
        <v>0</v>
      </c>
      <c r="CE254" s="661">
        <f t="shared" si="216"/>
        <v>0</v>
      </c>
      <c r="CF254" s="847">
        <f t="shared" si="216"/>
        <v>0</v>
      </c>
      <c r="CG254" s="847">
        <f t="shared" si="216"/>
        <v>0</v>
      </c>
      <c r="CH254" s="847">
        <f t="shared" ref="CH254:CI262" si="217">CH155+CH188+CH221</f>
        <v>0</v>
      </c>
      <c r="CI254" s="847">
        <f t="shared" si="217"/>
        <v>0</v>
      </c>
      <c r="CJ254" s="661">
        <f t="shared" si="200"/>
        <v>0</v>
      </c>
      <c r="CK254" s="2350">
        <f t="shared" si="200"/>
        <v>0</v>
      </c>
      <c r="CL254" s="2350">
        <f t="shared" ref="CL254:CO262" si="218">CL155+CL188+CL221</f>
        <v>0</v>
      </c>
      <c r="CM254" s="2350">
        <f t="shared" si="218"/>
        <v>0</v>
      </c>
      <c r="CN254" s="847">
        <f t="shared" si="218"/>
        <v>0</v>
      </c>
      <c r="CO254" s="661">
        <f t="shared" si="218"/>
        <v>0</v>
      </c>
      <c r="CP254" s="2350"/>
      <c r="CQ254" s="2350"/>
      <c r="CR254" s="212"/>
      <c r="CS254" s="212"/>
      <c r="CT254" s="194"/>
      <c r="CU254" s="194"/>
      <c r="CV254" s="194"/>
    </row>
    <row r="255" spans="1:106" x14ac:dyDescent="0.2">
      <c r="A255" s="1434" t="s">
        <v>1386</v>
      </c>
      <c r="B255" s="651"/>
      <c r="C255" s="236"/>
      <c r="D255" s="234"/>
      <c r="E255" s="234"/>
      <c r="F255" s="234"/>
      <c r="G255" s="234"/>
      <c r="H255" s="661"/>
      <c r="I255" s="847">
        <f t="shared" ref="I255:AN255" si="219">I156+I189+I222</f>
        <v>42</v>
      </c>
      <c r="J255" s="847">
        <f t="shared" si="219"/>
        <v>44</v>
      </c>
      <c r="K255" s="847">
        <f t="shared" si="219"/>
        <v>45</v>
      </c>
      <c r="L255" s="847">
        <f t="shared" si="219"/>
        <v>45</v>
      </c>
      <c r="M255" s="661">
        <f t="shared" si="219"/>
        <v>45</v>
      </c>
      <c r="N255" s="847">
        <f t="shared" si="219"/>
        <v>45</v>
      </c>
      <c r="O255" s="847">
        <f t="shared" si="219"/>
        <v>46</v>
      </c>
      <c r="P255" s="847">
        <f t="shared" si="219"/>
        <v>49</v>
      </c>
      <c r="Q255" s="847">
        <f t="shared" si="219"/>
        <v>48</v>
      </c>
      <c r="R255" s="661">
        <f t="shared" si="219"/>
        <v>48</v>
      </c>
      <c r="S255" s="847">
        <f t="shared" si="219"/>
        <v>49</v>
      </c>
      <c r="T255" s="847">
        <f t="shared" si="219"/>
        <v>48</v>
      </c>
      <c r="U255" s="847">
        <f t="shared" si="219"/>
        <v>50</v>
      </c>
      <c r="V255" s="847">
        <f t="shared" si="219"/>
        <v>53</v>
      </c>
      <c r="W255" s="661">
        <f t="shared" si="219"/>
        <v>53</v>
      </c>
      <c r="X255" s="847">
        <f t="shared" si="219"/>
        <v>55</v>
      </c>
      <c r="Y255" s="847">
        <f t="shared" si="219"/>
        <v>55</v>
      </c>
      <c r="Z255" s="847">
        <f t="shared" si="219"/>
        <v>58</v>
      </c>
      <c r="AA255" s="847">
        <f t="shared" si="219"/>
        <v>61</v>
      </c>
      <c r="AB255" s="661">
        <f t="shared" si="219"/>
        <v>61</v>
      </c>
      <c r="AC255" s="847">
        <f t="shared" si="219"/>
        <v>63</v>
      </c>
      <c r="AD255" s="847">
        <f t="shared" si="219"/>
        <v>64</v>
      </c>
      <c r="AE255" s="847">
        <f t="shared" si="219"/>
        <v>66</v>
      </c>
      <c r="AF255" s="847">
        <f t="shared" si="219"/>
        <v>69</v>
      </c>
      <c r="AG255" s="661">
        <f t="shared" si="219"/>
        <v>68</v>
      </c>
      <c r="AH255" s="847">
        <f t="shared" si="219"/>
        <v>72</v>
      </c>
      <c r="AI255" s="847">
        <f t="shared" si="219"/>
        <v>77</v>
      </c>
      <c r="AJ255" s="847">
        <f t="shared" si="219"/>
        <v>81</v>
      </c>
      <c r="AK255" s="847">
        <f t="shared" si="219"/>
        <v>83</v>
      </c>
      <c r="AL255" s="661">
        <f t="shared" si="219"/>
        <v>83</v>
      </c>
      <c r="AM255" s="847">
        <f t="shared" si="219"/>
        <v>82</v>
      </c>
      <c r="AN255" s="847">
        <f t="shared" si="219"/>
        <v>72</v>
      </c>
      <c r="AO255" s="847">
        <f t="shared" ref="AO255:BT255" si="220">AO156+AO189+AO222</f>
        <v>72</v>
      </c>
      <c r="AP255" s="847">
        <f t="shared" si="220"/>
        <v>74</v>
      </c>
      <c r="AQ255" s="661">
        <f t="shared" si="220"/>
        <v>74</v>
      </c>
      <c r="AR255" s="847">
        <f t="shared" si="220"/>
        <v>73</v>
      </c>
      <c r="AS255" s="847">
        <f t="shared" si="220"/>
        <v>77</v>
      </c>
      <c r="AT255" s="847">
        <f t="shared" si="220"/>
        <v>78</v>
      </c>
      <c r="AU255" s="847">
        <f t="shared" si="220"/>
        <v>80</v>
      </c>
      <c r="AV255" s="661">
        <f t="shared" si="220"/>
        <v>80</v>
      </c>
      <c r="AW255" s="847">
        <f t="shared" si="220"/>
        <v>83</v>
      </c>
      <c r="AX255" s="847">
        <f t="shared" si="220"/>
        <v>87</v>
      </c>
      <c r="AY255" s="847">
        <f t="shared" si="220"/>
        <v>88</v>
      </c>
      <c r="AZ255" s="847">
        <f t="shared" si="220"/>
        <v>90</v>
      </c>
      <c r="BA255" s="661">
        <f t="shared" si="220"/>
        <v>90</v>
      </c>
      <c r="BB255" s="847">
        <f t="shared" si="220"/>
        <v>93</v>
      </c>
      <c r="BC255" s="847">
        <f t="shared" si="220"/>
        <v>96</v>
      </c>
      <c r="BD255" s="847">
        <f t="shared" si="220"/>
        <v>97</v>
      </c>
      <c r="BE255" s="847">
        <f t="shared" si="220"/>
        <v>97</v>
      </c>
      <c r="BF255" s="661">
        <f t="shared" si="220"/>
        <v>97</v>
      </c>
      <c r="BG255" s="847">
        <f t="shared" si="220"/>
        <v>102</v>
      </c>
      <c r="BH255" s="847">
        <f t="shared" si="220"/>
        <v>103</v>
      </c>
      <c r="BI255" s="847">
        <f t="shared" si="220"/>
        <v>104</v>
      </c>
      <c r="BJ255" s="847">
        <f t="shared" si="220"/>
        <v>108</v>
      </c>
      <c r="BK255" s="661">
        <f t="shared" si="220"/>
        <v>108</v>
      </c>
      <c r="BL255" s="847">
        <f t="shared" si="220"/>
        <v>111</v>
      </c>
      <c r="BM255" s="847">
        <f t="shared" si="220"/>
        <v>108</v>
      </c>
      <c r="BN255" s="847">
        <f t="shared" si="220"/>
        <v>109</v>
      </c>
      <c r="BO255" s="847">
        <f t="shared" si="220"/>
        <v>112</v>
      </c>
      <c r="BP255" s="661">
        <f t="shared" si="220"/>
        <v>112</v>
      </c>
      <c r="BQ255" s="847">
        <f t="shared" si="220"/>
        <v>114</v>
      </c>
      <c r="BR255" s="847">
        <f t="shared" si="220"/>
        <v>113</v>
      </c>
      <c r="BS255" s="847">
        <f t="shared" si="220"/>
        <v>116</v>
      </c>
      <c r="BT255" s="847">
        <f t="shared" si="220"/>
        <v>117</v>
      </c>
      <c r="BU255" s="661">
        <f t="shared" ref="BU255:CG255" si="221">BU156+BU189+BU222</f>
        <v>117</v>
      </c>
      <c r="BV255" s="847">
        <f t="shared" si="221"/>
        <v>119</v>
      </c>
      <c r="BW255" s="847">
        <f t="shared" si="221"/>
        <v>122</v>
      </c>
      <c r="BX255" s="847">
        <f t="shared" si="221"/>
        <v>123</v>
      </c>
      <c r="BY255" s="847">
        <f t="shared" si="221"/>
        <v>127</v>
      </c>
      <c r="BZ255" s="661">
        <f t="shared" si="221"/>
        <v>127</v>
      </c>
      <c r="CA255" s="847">
        <f t="shared" si="221"/>
        <v>105</v>
      </c>
      <c r="CB255" s="847">
        <f t="shared" si="221"/>
        <v>107</v>
      </c>
      <c r="CC255" s="847">
        <f t="shared" si="221"/>
        <v>113</v>
      </c>
      <c r="CD255" s="847">
        <f t="shared" si="221"/>
        <v>121</v>
      </c>
      <c r="CE255" s="661">
        <f t="shared" si="221"/>
        <v>121</v>
      </c>
      <c r="CF255" s="847">
        <f t="shared" si="221"/>
        <v>123</v>
      </c>
      <c r="CG255" s="847">
        <f t="shared" si="221"/>
        <v>127</v>
      </c>
      <c r="CH255" s="847">
        <f t="shared" si="217"/>
        <v>132</v>
      </c>
      <c r="CI255" s="847">
        <f t="shared" si="217"/>
        <v>137</v>
      </c>
      <c r="CJ255" s="661">
        <f t="shared" si="200"/>
        <v>137</v>
      </c>
      <c r="CK255" s="2350">
        <f t="shared" si="200"/>
        <v>139</v>
      </c>
      <c r="CL255" s="2350">
        <f t="shared" si="218"/>
        <v>138</v>
      </c>
      <c r="CM255" s="2350">
        <f t="shared" si="218"/>
        <v>140</v>
      </c>
      <c r="CN255" s="847">
        <f t="shared" si="218"/>
        <v>148</v>
      </c>
      <c r="CO255" s="661">
        <f t="shared" si="218"/>
        <v>148</v>
      </c>
      <c r="CP255" s="2350"/>
      <c r="CQ255" s="2350"/>
      <c r="CR255" s="212"/>
      <c r="CS255" s="212"/>
      <c r="CT255" s="194"/>
      <c r="CU255" s="194"/>
      <c r="CV255" s="194"/>
    </row>
    <row r="256" spans="1:106" x14ac:dyDescent="0.2">
      <c r="A256" s="2308" t="s">
        <v>2124</v>
      </c>
      <c r="B256" s="651"/>
      <c r="C256" s="236"/>
      <c r="D256" s="234"/>
      <c r="E256" s="234"/>
      <c r="F256" s="234"/>
      <c r="G256" s="234"/>
      <c r="H256" s="661"/>
      <c r="I256" s="847"/>
      <c r="J256" s="847"/>
      <c r="K256" s="847"/>
      <c r="L256" s="847"/>
      <c r="M256" s="661"/>
      <c r="N256" s="847"/>
      <c r="O256" s="847"/>
      <c r="P256" s="847"/>
      <c r="Q256" s="847"/>
      <c r="R256" s="661"/>
      <c r="S256" s="847"/>
      <c r="T256" s="847"/>
      <c r="U256" s="847"/>
      <c r="V256" s="847"/>
      <c r="W256" s="661"/>
      <c r="X256" s="847"/>
      <c r="Y256" s="847"/>
      <c r="Z256" s="847"/>
      <c r="AA256" s="847"/>
      <c r="AB256" s="661"/>
      <c r="AC256" s="847"/>
      <c r="AD256" s="847"/>
      <c r="AE256" s="847"/>
      <c r="AF256" s="847"/>
      <c r="AG256" s="661"/>
      <c r="AH256" s="847"/>
      <c r="AI256" s="847"/>
      <c r="AJ256" s="847"/>
      <c r="AK256" s="847"/>
      <c r="AL256" s="661"/>
      <c r="AM256" s="847"/>
      <c r="AN256" s="847"/>
      <c r="AO256" s="847"/>
      <c r="AP256" s="847"/>
      <c r="AQ256" s="661"/>
      <c r="AR256" s="847"/>
      <c r="AS256" s="847"/>
      <c r="AT256" s="847"/>
      <c r="AU256" s="847"/>
      <c r="AV256" s="661"/>
      <c r="AW256" s="847"/>
      <c r="AX256" s="847"/>
      <c r="AY256" s="847"/>
      <c r="AZ256" s="847"/>
      <c r="BA256" s="661"/>
      <c r="BB256" s="847"/>
      <c r="BC256" s="847"/>
      <c r="BD256" s="847"/>
      <c r="BE256" s="847"/>
      <c r="BF256" s="661"/>
      <c r="BG256" s="847"/>
      <c r="BH256" s="847"/>
      <c r="BI256" s="847"/>
      <c r="BJ256" s="847"/>
      <c r="BK256" s="661"/>
      <c r="BL256" s="847"/>
      <c r="BM256" s="847"/>
      <c r="BN256" s="847"/>
      <c r="BO256" s="847"/>
      <c r="BP256" s="661"/>
      <c r="BQ256" s="847"/>
      <c r="BR256" s="847"/>
      <c r="BS256" s="847"/>
      <c r="BT256" s="847"/>
      <c r="BU256" s="661"/>
      <c r="BV256" s="847"/>
      <c r="BW256" s="847">
        <f t="shared" ref="BW256:CG256" si="222">BW157+BW190+BW223</f>
        <v>112</v>
      </c>
      <c r="BX256" s="847">
        <f t="shared" si="222"/>
        <v>112</v>
      </c>
      <c r="BY256" s="847">
        <f t="shared" si="222"/>
        <v>112</v>
      </c>
      <c r="BZ256" s="661">
        <f t="shared" si="222"/>
        <v>112</v>
      </c>
      <c r="CA256" s="847">
        <f t="shared" si="222"/>
        <v>113</v>
      </c>
      <c r="CB256" s="847">
        <f t="shared" si="222"/>
        <v>105</v>
      </c>
      <c r="CC256" s="847">
        <f t="shared" si="222"/>
        <v>102</v>
      </c>
      <c r="CD256" s="847">
        <f t="shared" si="222"/>
        <v>102</v>
      </c>
      <c r="CE256" s="661">
        <f t="shared" si="222"/>
        <v>102</v>
      </c>
      <c r="CF256" s="847">
        <f t="shared" si="222"/>
        <v>99</v>
      </c>
      <c r="CG256" s="847">
        <f t="shared" si="222"/>
        <v>97</v>
      </c>
      <c r="CH256" s="847">
        <f t="shared" si="217"/>
        <v>97</v>
      </c>
      <c r="CI256" s="847">
        <f t="shared" si="217"/>
        <v>97</v>
      </c>
      <c r="CJ256" s="661">
        <f t="shared" si="200"/>
        <v>97</v>
      </c>
      <c r="CK256" s="2350">
        <f t="shared" si="200"/>
        <v>93</v>
      </c>
      <c r="CL256" s="2350">
        <f t="shared" si="218"/>
        <v>92</v>
      </c>
      <c r="CM256" s="2350">
        <f t="shared" si="218"/>
        <v>90</v>
      </c>
      <c r="CN256" s="847">
        <f t="shared" si="218"/>
        <v>90</v>
      </c>
      <c r="CO256" s="661">
        <f t="shared" si="218"/>
        <v>90</v>
      </c>
      <c r="CP256" s="2350"/>
      <c r="CQ256" s="2350"/>
      <c r="CR256" s="212"/>
      <c r="CS256" s="212"/>
      <c r="CT256" s="194"/>
      <c r="CU256" s="194"/>
      <c r="CV256" s="194"/>
    </row>
    <row r="257" spans="1:100" x14ac:dyDescent="0.2">
      <c r="A257" s="1434" t="s">
        <v>1388</v>
      </c>
      <c r="B257" s="651"/>
      <c r="C257" s="236"/>
      <c r="D257" s="234"/>
      <c r="E257" s="234"/>
      <c r="F257" s="234"/>
      <c r="G257" s="234"/>
      <c r="H257" s="661"/>
      <c r="I257" s="847">
        <f t="shared" ref="I257:AN257" si="223">I158+I191+I224</f>
        <v>9</v>
      </c>
      <c r="J257" s="847">
        <f t="shared" si="223"/>
        <v>10</v>
      </c>
      <c r="K257" s="847">
        <f t="shared" si="223"/>
        <v>10</v>
      </c>
      <c r="L257" s="847">
        <f t="shared" si="223"/>
        <v>10</v>
      </c>
      <c r="M257" s="661">
        <f t="shared" si="223"/>
        <v>10</v>
      </c>
      <c r="N257" s="847">
        <f t="shared" si="223"/>
        <v>10</v>
      </c>
      <c r="O257" s="847">
        <f t="shared" si="223"/>
        <v>11</v>
      </c>
      <c r="P257" s="847">
        <f t="shared" si="223"/>
        <v>12</v>
      </c>
      <c r="Q257" s="847">
        <f t="shared" si="223"/>
        <v>12</v>
      </c>
      <c r="R257" s="661">
        <f t="shared" si="223"/>
        <v>12</v>
      </c>
      <c r="S257" s="847">
        <f t="shared" si="223"/>
        <v>12</v>
      </c>
      <c r="T257" s="847">
        <f t="shared" si="223"/>
        <v>13</v>
      </c>
      <c r="U257" s="847">
        <f t="shared" si="223"/>
        <v>13</v>
      </c>
      <c r="V257" s="847">
        <f t="shared" si="223"/>
        <v>13</v>
      </c>
      <c r="W257" s="661">
        <f t="shared" si="223"/>
        <v>13</v>
      </c>
      <c r="X257" s="847">
        <f t="shared" si="223"/>
        <v>13</v>
      </c>
      <c r="Y257" s="847">
        <f t="shared" si="223"/>
        <v>13</v>
      </c>
      <c r="Z257" s="847">
        <f t="shared" si="223"/>
        <v>14</v>
      </c>
      <c r="AA257" s="847">
        <f t="shared" si="223"/>
        <v>14</v>
      </c>
      <c r="AB257" s="661">
        <f t="shared" si="223"/>
        <v>14</v>
      </c>
      <c r="AC257" s="847">
        <f t="shared" si="223"/>
        <v>16</v>
      </c>
      <c r="AD257" s="847">
        <f t="shared" si="223"/>
        <v>16</v>
      </c>
      <c r="AE257" s="847">
        <f t="shared" si="223"/>
        <v>17</v>
      </c>
      <c r="AF257" s="847">
        <f t="shared" si="223"/>
        <v>17</v>
      </c>
      <c r="AG257" s="661">
        <f t="shared" si="223"/>
        <v>17</v>
      </c>
      <c r="AH257" s="847">
        <f t="shared" si="223"/>
        <v>17</v>
      </c>
      <c r="AI257" s="847">
        <f t="shared" si="223"/>
        <v>17</v>
      </c>
      <c r="AJ257" s="847">
        <f t="shared" si="223"/>
        <v>18</v>
      </c>
      <c r="AK257" s="847">
        <f t="shared" si="223"/>
        <v>17</v>
      </c>
      <c r="AL257" s="661">
        <f t="shared" si="223"/>
        <v>17</v>
      </c>
      <c r="AM257" s="847">
        <f t="shared" si="223"/>
        <v>17</v>
      </c>
      <c r="AN257" s="847">
        <f t="shared" si="223"/>
        <v>18</v>
      </c>
      <c r="AO257" s="847">
        <f t="shared" ref="AO257:BV257" si="224">AO158+AO191+AO224</f>
        <v>18</v>
      </c>
      <c r="AP257" s="847">
        <f t="shared" si="224"/>
        <v>18</v>
      </c>
      <c r="AQ257" s="661">
        <f t="shared" si="224"/>
        <v>18</v>
      </c>
      <c r="AR257" s="847">
        <f t="shared" si="224"/>
        <v>18</v>
      </c>
      <c r="AS257" s="847">
        <f t="shared" si="224"/>
        <v>18</v>
      </c>
      <c r="AT257" s="847">
        <f t="shared" si="224"/>
        <v>18</v>
      </c>
      <c r="AU257" s="847">
        <f t="shared" si="224"/>
        <v>18</v>
      </c>
      <c r="AV257" s="661">
        <f t="shared" si="224"/>
        <v>18</v>
      </c>
      <c r="AW257" s="847">
        <f t="shared" si="224"/>
        <v>16</v>
      </c>
      <c r="AX257" s="847">
        <f t="shared" si="224"/>
        <v>18</v>
      </c>
      <c r="AY257" s="847">
        <f t="shared" si="224"/>
        <v>18</v>
      </c>
      <c r="AZ257" s="847">
        <f t="shared" si="224"/>
        <v>17</v>
      </c>
      <c r="BA257" s="661">
        <f t="shared" si="224"/>
        <v>17</v>
      </c>
      <c r="BB257" s="847">
        <f t="shared" si="224"/>
        <v>17</v>
      </c>
      <c r="BC257" s="847">
        <f t="shared" si="224"/>
        <v>17</v>
      </c>
      <c r="BD257" s="847">
        <f t="shared" si="224"/>
        <v>18</v>
      </c>
      <c r="BE257" s="847">
        <f t="shared" si="224"/>
        <v>18</v>
      </c>
      <c r="BF257" s="661">
        <f t="shared" si="224"/>
        <v>18</v>
      </c>
      <c r="BG257" s="847">
        <f t="shared" si="224"/>
        <v>18</v>
      </c>
      <c r="BH257" s="847">
        <f t="shared" si="224"/>
        <v>18</v>
      </c>
      <c r="BI257" s="847">
        <f t="shared" si="224"/>
        <v>18</v>
      </c>
      <c r="BJ257" s="847">
        <f t="shared" si="224"/>
        <v>20</v>
      </c>
      <c r="BK257" s="661">
        <f t="shared" si="224"/>
        <v>20</v>
      </c>
      <c r="BL257" s="847">
        <f t="shared" si="224"/>
        <v>22</v>
      </c>
      <c r="BM257" s="847">
        <f t="shared" si="224"/>
        <v>22</v>
      </c>
      <c r="BN257" s="847">
        <f t="shared" si="224"/>
        <v>23</v>
      </c>
      <c r="BO257" s="847">
        <f t="shared" si="224"/>
        <v>23</v>
      </c>
      <c r="BP257" s="661">
        <f t="shared" si="224"/>
        <v>23</v>
      </c>
      <c r="BQ257" s="847">
        <f t="shared" si="224"/>
        <v>23</v>
      </c>
      <c r="BR257" s="847">
        <f t="shared" si="224"/>
        <v>23</v>
      </c>
      <c r="BS257" s="847">
        <f t="shared" si="224"/>
        <v>23</v>
      </c>
      <c r="BT257" s="847">
        <f t="shared" si="224"/>
        <v>24</v>
      </c>
      <c r="BU257" s="661">
        <f t="shared" si="224"/>
        <v>24</v>
      </c>
      <c r="BV257" s="847">
        <f t="shared" si="224"/>
        <v>24</v>
      </c>
      <c r="BW257" s="847">
        <f t="shared" ref="BW257:CG257" si="225">BW158+BW191+BW224</f>
        <v>24</v>
      </c>
      <c r="BX257" s="847">
        <f t="shared" si="225"/>
        <v>24</v>
      </c>
      <c r="BY257" s="847">
        <f t="shared" si="225"/>
        <v>27</v>
      </c>
      <c r="BZ257" s="661">
        <f t="shared" si="225"/>
        <v>27</v>
      </c>
      <c r="CA257" s="847">
        <f t="shared" si="225"/>
        <v>7</v>
      </c>
      <c r="CB257" s="847">
        <f t="shared" si="225"/>
        <v>7</v>
      </c>
      <c r="CC257" s="847">
        <f t="shared" si="225"/>
        <v>7</v>
      </c>
      <c r="CD257" s="847">
        <f t="shared" si="225"/>
        <v>7</v>
      </c>
      <c r="CE257" s="661">
        <f t="shared" si="225"/>
        <v>7</v>
      </c>
      <c r="CF257" s="847">
        <f t="shared" si="225"/>
        <v>7</v>
      </c>
      <c r="CG257" s="847">
        <f t="shared" si="225"/>
        <v>7</v>
      </c>
      <c r="CH257" s="847">
        <f t="shared" si="217"/>
        <v>8</v>
      </c>
      <c r="CI257" s="847">
        <f t="shared" si="217"/>
        <v>8</v>
      </c>
      <c r="CJ257" s="661">
        <f t="shared" si="200"/>
        <v>8</v>
      </c>
      <c r="CK257" s="2350">
        <f t="shared" si="200"/>
        <v>8</v>
      </c>
      <c r="CL257" s="2350">
        <f t="shared" si="218"/>
        <v>8</v>
      </c>
      <c r="CM257" s="2350">
        <f t="shared" si="218"/>
        <v>9</v>
      </c>
      <c r="CN257" s="847">
        <f t="shared" si="218"/>
        <v>10</v>
      </c>
      <c r="CO257" s="661">
        <f t="shared" si="218"/>
        <v>10</v>
      </c>
      <c r="CP257" s="2350"/>
      <c r="CQ257" s="2350"/>
      <c r="CR257" s="212"/>
      <c r="CS257" s="212"/>
      <c r="CT257" s="194"/>
      <c r="CU257" s="194"/>
      <c r="CV257" s="194"/>
    </row>
    <row r="258" spans="1:100" x14ac:dyDescent="0.2">
      <c r="A258" s="1436" t="s">
        <v>1391</v>
      </c>
      <c r="B258" s="651"/>
      <c r="C258" s="236"/>
      <c r="D258" s="234"/>
      <c r="E258" s="234"/>
      <c r="F258" s="234"/>
      <c r="G258" s="234"/>
      <c r="H258" s="661"/>
      <c r="I258" s="847">
        <f t="shared" ref="I258:AN258" si="226">I159+I192+I225</f>
        <v>0</v>
      </c>
      <c r="J258" s="847">
        <f t="shared" si="226"/>
        <v>0</v>
      </c>
      <c r="K258" s="847">
        <f t="shared" si="226"/>
        <v>0</v>
      </c>
      <c r="L258" s="847">
        <f t="shared" si="226"/>
        <v>0</v>
      </c>
      <c r="M258" s="661">
        <f t="shared" si="226"/>
        <v>0</v>
      </c>
      <c r="N258" s="847">
        <f t="shared" si="226"/>
        <v>0</v>
      </c>
      <c r="O258" s="847">
        <f t="shared" si="226"/>
        <v>0</v>
      </c>
      <c r="P258" s="847">
        <f t="shared" si="226"/>
        <v>0</v>
      </c>
      <c r="Q258" s="847">
        <f t="shared" si="226"/>
        <v>0</v>
      </c>
      <c r="R258" s="661">
        <f t="shared" si="226"/>
        <v>0</v>
      </c>
      <c r="S258" s="847">
        <f t="shared" si="226"/>
        <v>0</v>
      </c>
      <c r="T258" s="847">
        <f t="shared" si="226"/>
        <v>0</v>
      </c>
      <c r="U258" s="847">
        <f t="shared" si="226"/>
        <v>0</v>
      </c>
      <c r="V258" s="847">
        <f t="shared" si="226"/>
        <v>0</v>
      </c>
      <c r="W258" s="661">
        <f t="shared" si="226"/>
        <v>0</v>
      </c>
      <c r="X258" s="847">
        <f t="shared" si="226"/>
        <v>0</v>
      </c>
      <c r="Y258" s="847">
        <f t="shared" si="226"/>
        <v>0</v>
      </c>
      <c r="Z258" s="847">
        <f t="shared" si="226"/>
        <v>0</v>
      </c>
      <c r="AA258" s="847">
        <f t="shared" si="226"/>
        <v>0</v>
      </c>
      <c r="AB258" s="661">
        <f t="shared" si="226"/>
        <v>0</v>
      </c>
      <c r="AC258" s="847">
        <f t="shared" si="226"/>
        <v>0</v>
      </c>
      <c r="AD258" s="847">
        <f t="shared" si="226"/>
        <v>0</v>
      </c>
      <c r="AE258" s="847">
        <f t="shared" si="226"/>
        <v>0</v>
      </c>
      <c r="AF258" s="847">
        <f t="shared" si="226"/>
        <v>0</v>
      </c>
      <c r="AG258" s="661">
        <f t="shared" si="226"/>
        <v>0</v>
      </c>
      <c r="AH258" s="847">
        <f t="shared" si="226"/>
        <v>0</v>
      </c>
      <c r="AI258" s="847">
        <f t="shared" si="226"/>
        <v>0</v>
      </c>
      <c r="AJ258" s="847">
        <f t="shared" si="226"/>
        <v>0</v>
      </c>
      <c r="AK258" s="847">
        <f t="shared" si="226"/>
        <v>0</v>
      </c>
      <c r="AL258" s="661">
        <f t="shared" si="226"/>
        <v>0</v>
      </c>
      <c r="AM258" s="847">
        <f t="shared" si="226"/>
        <v>0</v>
      </c>
      <c r="AN258" s="847">
        <f t="shared" si="226"/>
        <v>0</v>
      </c>
      <c r="AO258" s="847">
        <f t="shared" ref="AO258:BV258" si="227">AO159+AO192+AO225</f>
        <v>0</v>
      </c>
      <c r="AP258" s="847">
        <f t="shared" si="227"/>
        <v>0</v>
      </c>
      <c r="AQ258" s="661">
        <f t="shared" si="227"/>
        <v>0</v>
      </c>
      <c r="AR258" s="847">
        <f t="shared" si="227"/>
        <v>0</v>
      </c>
      <c r="AS258" s="847">
        <f t="shared" si="227"/>
        <v>0</v>
      </c>
      <c r="AT258" s="847">
        <f t="shared" si="227"/>
        <v>0</v>
      </c>
      <c r="AU258" s="847">
        <f t="shared" si="227"/>
        <v>0</v>
      </c>
      <c r="AV258" s="661">
        <f t="shared" si="227"/>
        <v>0</v>
      </c>
      <c r="AW258" s="847">
        <f t="shared" si="227"/>
        <v>0</v>
      </c>
      <c r="AX258" s="847">
        <f t="shared" si="227"/>
        <v>0</v>
      </c>
      <c r="AY258" s="847">
        <f t="shared" si="227"/>
        <v>0</v>
      </c>
      <c r="AZ258" s="847">
        <f t="shared" si="227"/>
        <v>0</v>
      </c>
      <c r="BA258" s="661">
        <f t="shared" si="227"/>
        <v>0</v>
      </c>
      <c r="BB258" s="847">
        <f t="shared" si="227"/>
        <v>0</v>
      </c>
      <c r="BC258" s="847">
        <f t="shared" si="227"/>
        <v>0</v>
      </c>
      <c r="BD258" s="847">
        <f t="shared" si="227"/>
        <v>0</v>
      </c>
      <c r="BE258" s="847">
        <f t="shared" si="227"/>
        <v>1</v>
      </c>
      <c r="BF258" s="661">
        <f t="shared" si="227"/>
        <v>1</v>
      </c>
      <c r="BG258" s="847">
        <f t="shared" si="227"/>
        <v>1</v>
      </c>
      <c r="BH258" s="847">
        <f t="shared" si="227"/>
        <v>1</v>
      </c>
      <c r="BI258" s="847">
        <f t="shared" si="227"/>
        <v>1</v>
      </c>
      <c r="BJ258" s="847">
        <f t="shared" si="227"/>
        <v>1</v>
      </c>
      <c r="BK258" s="661">
        <f t="shared" si="227"/>
        <v>1</v>
      </c>
      <c r="BL258" s="847">
        <f t="shared" si="227"/>
        <v>1</v>
      </c>
      <c r="BM258" s="847">
        <f t="shared" si="227"/>
        <v>1</v>
      </c>
      <c r="BN258" s="847">
        <f t="shared" si="227"/>
        <v>2</v>
      </c>
      <c r="BO258" s="847">
        <f t="shared" si="227"/>
        <v>2</v>
      </c>
      <c r="BP258" s="661">
        <f t="shared" si="227"/>
        <v>2</v>
      </c>
      <c r="BQ258" s="847">
        <f t="shared" si="227"/>
        <v>2</v>
      </c>
      <c r="BR258" s="847">
        <f t="shared" si="227"/>
        <v>2</v>
      </c>
      <c r="BS258" s="847">
        <f t="shared" si="227"/>
        <v>2</v>
      </c>
      <c r="BT258" s="847">
        <f t="shared" si="227"/>
        <v>2</v>
      </c>
      <c r="BU258" s="661">
        <f t="shared" si="227"/>
        <v>2</v>
      </c>
      <c r="BV258" s="847">
        <f t="shared" si="227"/>
        <v>2</v>
      </c>
      <c r="BW258" s="847">
        <f t="shared" ref="BW258:CG258" si="228">BW159+BW192+BW225</f>
        <v>3</v>
      </c>
      <c r="BX258" s="847">
        <f t="shared" si="228"/>
        <v>4</v>
      </c>
      <c r="BY258" s="847">
        <f t="shared" si="228"/>
        <v>4</v>
      </c>
      <c r="BZ258" s="661">
        <f t="shared" si="228"/>
        <v>4</v>
      </c>
      <c r="CA258" s="847">
        <f t="shared" si="228"/>
        <v>0</v>
      </c>
      <c r="CB258" s="847">
        <f t="shared" si="228"/>
        <v>0</v>
      </c>
      <c r="CC258" s="847">
        <f t="shared" si="228"/>
        <v>0</v>
      </c>
      <c r="CD258" s="847">
        <f t="shared" si="228"/>
        <v>0</v>
      </c>
      <c r="CE258" s="661">
        <f t="shared" si="228"/>
        <v>0</v>
      </c>
      <c r="CF258" s="847">
        <f t="shared" si="228"/>
        <v>0</v>
      </c>
      <c r="CG258" s="847">
        <f t="shared" si="228"/>
        <v>0</v>
      </c>
      <c r="CH258" s="847">
        <f t="shared" si="217"/>
        <v>0</v>
      </c>
      <c r="CI258" s="847">
        <f t="shared" si="217"/>
        <v>0</v>
      </c>
      <c r="CJ258" s="661">
        <f t="shared" si="200"/>
        <v>0</v>
      </c>
      <c r="CK258" s="2350">
        <f t="shared" si="200"/>
        <v>0</v>
      </c>
      <c r="CL258" s="2350">
        <f t="shared" si="218"/>
        <v>0</v>
      </c>
      <c r="CM258" s="2350">
        <f t="shared" si="218"/>
        <v>0</v>
      </c>
      <c r="CN258" s="847">
        <f t="shared" si="218"/>
        <v>0</v>
      </c>
      <c r="CO258" s="661">
        <f t="shared" si="218"/>
        <v>0</v>
      </c>
      <c r="CP258" s="2350"/>
      <c r="CQ258" s="2350"/>
      <c r="CR258" s="212"/>
      <c r="CS258" s="212"/>
      <c r="CT258" s="194"/>
      <c r="CU258" s="194"/>
      <c r="CV258" s="194"/>
    </row>
    <row r="259" spans="1:100" x14ac:dyDescent="0.2">
      <c r="A259" s="1436" t="s">
        <v>1389</v>
      </c>
      <c r="B259" s="651"/>
      <c r="C259" s="236"/>
      <c r="D259" s="234"/>
      <c r="E259" s="234"/>
      <c r="F259" s="234"/>
      <c r="G259" s="234"/>
      <c r="H259" s="661"/>
      <c r="I259" s="847">
        <f t="shared" ref="I259:AN259" si="229">I160+I193+I226</f>
        <v>0</v>
      </c>
      <c r="J259" s="847">
        <f t="shared" si="229"/>
        <v>0</v>
      </c>
      <c r="K259" s="847">
        <f t="shared" si="229"/>
        <v>0</v>
      </c>
      <c r="L259" s="847">
        <f t="shared" si="229"/>
        <v>0</v>
      </c>
      <c r="M259" s="661">
        <f t="shared" si="229"/>
        <v>0</v>
      </c>
      <c r="N259" s="847">
        <f t="shared" si="229"/>
        <v>0</v>
      </c>
      <c r="O259" s="847">
        <f t="shared" si="229"/>
        <v>0</v>
      </c>
      <c r="P259" s="847">
        <f t="shared" si="229"/>
        <v>0</v>
      </c>
      <c r="Q259" s="847">
        <f t="shared" si="229"/>
        <v>0</v>
      </c>
      <c r="R259" s="661">
        <f t="shared" si="229"/>
        <v>0</v>
      </c>
      <c r="S259" s="847">
        <f t="shared" si="229"/>
        <v>1</v>
      </c>
      <c r="T259" s="847">
        <f t="shared" si="229"/>
        <v>1</v>
      </c>
      <c r="U259" s="847">
        <f t="shared" si="229"/>
        <v>1</v>
      </c>
      <c r="V259" s="847">
        <f t="shared" si="229"/>
        <v>1</v>
      </c>
      <c r="W259" s="661">
        <f t="shared" si="229"/>
        <v>1</v>
      </c>
      <c r="X259" s="847">
        <f t="shared" si="229"/>
        <v>1</v>
      </c>
      <c r="Y259" s="847">
        <f t="shared" si="229"/>
        <v>3</v>
      </c>
      <c r="Z259" s="847">
        <f t="shared" si="229"/>
        <v>3</v>
      </c>
      <c r="AA259" s="847">
        <f t="shared" si="229"/>
        <v>4</v>
      </c>
      <c r="AB259" s="661">
        <f t="shared" si="229"/>
        <v>4</v>
      </c>
      <c r="AC259" s="847">
        <f t="shared" si="229"/>
        <v>4</v>
      </c>
      <c r="AD259" s="847">
        <f t="shared" si="229"/>
        <v>4</v>
      </c>
      <c r="AE259" s="847">
        <f t="shared" si="229"/>
        <v>5</v>
      </c>
      <c r="AF259" s="847">
        <f t="shared" si="229"/>
        <v>5</v>
      </c>
      <c r="AG259" s="661">
        <f t="shared" si="229"/>
        <v>5</v>
      </c>
      <c r="AH259" s="847">
        <f t="shared" si="229"/>
        <v>5</v>
      </c>
      <c r="AI259" s="847">
        <f t="shared" si="229"/>
        <v>5</v>
      </c>
      <c r="AJ259" s="847">
        <f t="shared" si="229"/>
        <v>5</v>
      </c>
      <c r="AK259" s="847">
        <f t="shared" si="229"/>
        <v>5</v>
      </c>
      <c r="AL259" s="661">
        <f t="shared" si="229"/>
        <v>5</v>
      </c>
      <c r="AM259" s="847">
        <f t="shared" si="229"/>
        <v>6</v>
      </c>
      <c r="AN259" s="847">
        <f t="shared" si="229"/>
        <v>7</v>
      </c>
      <c r="AO259" s="847">
        <f t="shared" ref="AO259:BV259" si="230">AO160+AO193+AO226</f>
        <v>7</v>
      </c>
      <c r="AP259" s="847">
        <f t="shared" si="230"/>
        <v>8</v>
      </c>
      <c r="AQ259" s="661">
        <f t="shared" si="230"/>
        <v>8</v>
      </c>
      <c r="AR259" s="847">
        <f t="shared" si="230"/>
        <v>8</v>
      </c>
      <c r="AS259" s="847">
        <f t="shared" si="230"/>
        <v>9</v>
      </c>
      <c r="AT259" s="847">
        <f t="shared" si="230"/>
        <v>9</v>
      </c>
      <c r="AU259" s="847">
        <f t="shared" si="230"/>
        <v>9</v>
      </c>
      <c r="AV259" s="661">
        <f t="shared" si="230"/>
        <v>9</v>
      </c>
      <c r="AW259" s="847">
        <f t="shared" si="230"/>
        <v>9</v>
      </c>
      <c r="AX259" s="847">
        <f t="shared" si="230"/>
        <v>9</v>
      </c>
      <c r="AY259" s="847">
        <f t="shared" si="230"/>
        <v>9</v>
      </c>
      <c r="AZ259" s="847">
        <f t="shared" si="230"/>
        <v>9</v>
      </c>
      <c r="BA259" s="661">
        <f t="shared" si="230"/>
        <v>9</v>
      </c>
      <c r="BB259" s="847">
        <f t="shared" si="230"/>
        <v>9</v>
      </c>
      <c r="BC259" s="847">
        <f t="shared" si="230"/>
        <v>9</v>
      </c>
      <c r="BD259" s="847">
        <f t="shared" si="230"/>
        <v>10</v>
      </c>
      <c r="BE259" s="847">
        <f t="shared" si="230"/>
        <v>10</v>
      </c>
      <c r="BF259" s="661">
        <f t="shared" si="230"/>
        <v>10</v>
      </c>
      <c r="BG259" s="847">
        <f t="shared" si="230"/>
        <v>10</v>
      </c>
      <c r="BH259" s="847">
        <f t="shared" si="230"/>
        <v>11</v>
      </c>
      <c r="BI259" s="847">
        <f t="shared" si="230"/>
        <v>11</v>
      </c>
      <c r="BJ259" s="847">
        <f t="shared" si="230"/>
        <v>13</v>
      </c>
      <c r="BK259" s="661">
        <f t="shared" si="230"/>
        <v>13</v>
      </c>
      <c r="BL259" s="847">
        <f t="shared" si="230"/>
        <v>13</v>
      </c>
      <c r="BM259" s="847">
        <f t="shared" si="230"/>
        <v>13</v>
      </c>
      <c r="BN259" s="847">
        <f t="shared" si="230"/>
        <v>13</v>
      </c>
      <c r="BO259" s="847">
        <f t="shared" si="230"/>
        <v>13</v>
      </c>
      <c r="BP259" s="661">
        <f t="shared" si="230"/>
        <v>13</v>
      </c>
      <c r="BQ259" s="847">
        <f t="shared" si="230"/>
        <v>13</v>
      </c>
      <c r="BR259" s="847">
        <f t="shared" si="230"/>
        <v>14</v>
      </c>
      <c r="BS259" s="847">
        <f t="shared" si="230"/>
        <v>16</v>
      </c>
      <c r="BT259" s="847">
        <f t="shared" si="230"/>
        <v>17</v>
      </c>
      <c r="BU259" s="661">
        <f t="shared" si="230"/>
        <v>17</v>
      </c>
      <c r="BV259" s="847">
        <f t="shared" si="230"/>
        <v>17</v>
      </c>
      <c r="BW259" s="847">
        <f t="shared" ref="BW259:CG259" si="231">BW160+BW193+BW226</f>
        <v>17</v>
      </c>
      <c r="BX259" s="847">
        <f t="shared" si="231"/>
        <v>17</v>
      </c>
      <c r="BY259" s="847">
        <f t="shared" si="231"/>
        <v>17</v>
      </c>
      <c r="BZ259" s="661">
        <f t="shared" si="231"/>
        <v>17</v>
      </c>
      <c r="CA259" s="847">
        <f t="shared" si="231"/>
        <v>4</v>
      </c>
      <c r="CB259" s="847">
        <f t="shared" si="231"/>
        <v>4</v>
      </c>
      <c r="CC259" s="847">
        <f t="shared" si="231"/>
        <v>4</v>
      </c>
      <c r="CD259" s="847">
        <f t="shared" si="231"/>
        <v>7</v>
      </c>
      <c r="CE259" s="661">
        <f t="shared" si="231"/>
        <v>7</v>
      </c>
      <c r="CF259" s="847">
        <f t="shared" si="231"/>
        <v>8</v>
      </c>
      <c r="CG259" s="847">
        <f t="shared" si="231"/>
        <v>8</v>
      </c>
      <c r="CH259" s="847">
        <f t="shared" si="217"/>
        <v>9</v>
      </c>
      <c r="CI259" s="847">
        <f t="shared" si="217"/>
        <v>12</v>
      </c>
      <c r="CJ259" s="661">
        <f t="shared" si="200"/>
        <v>12</v>
      </c>
      <c r="CK259" s="2350">
        <f t="shared" si="200"/>
        <v>14</v>
      </c>
      <c r="CL259" s="2350">
        <f t="shared" si="218"/>
        <v>15</v>
      </c>
      <c r="CM259" s="2350">
        <f t="shared" si="218"/>
        <v>20</v>
      </c>
      <c r="CN259" s="847">
        <f t="shared" si="218"/>
        <v>24</v>
      </c>
      <c r="CO259" s="661">
        <f t="shared" si="218"/>
        <v>24</v>
      </c>
      <c r="CP259" s="2350"/>
      <c r="CQ259" s="2350"/>
      <c r="CR259" s="212"/>
      <c r="CS259" s="212"/>
      <c r="CT259" s="194"/>
      <c r="CU259" s="194"/>
      <c r="CV259" s="194"/>
    </row>
    <row r="260" spans="1:100" x14ac:dyDescent="0.2">
      <c r="A260" s="1436" t="s">
        <v>1390</v>
      </c>
      <c r="B260" s="651"/>
      <c r="C260" s="236"/>
      <c r="D260" s="234"/>
      <c r="E260" s="234"/>
      <c r="F260" s="234"/>
      <c r="G260" s="234"/>
      <c r="H260" s="661"/>
      <c r="I260" s="847">
        <f t="shared" ref="I260:AN260" si="232">I161+I194+I227</f>
        <v>0</v>
      </c>
      <c r="J260" s="847">
        <f t="shared" si="232"/>
        <v>0</v>
      </c>
      <c r="K260" s="847">
        <f t="shared" si="232"/>
        <v>0</v>
      </c>
      <c r="L260" s="847">
        <f t="shared" si="232"/>
        <v>0</v>
      </c>
      <c r="M260" s="661">
        <f t="shared" si="232"/>
        <v>0</v>
      </c>
      <c r="N260" s="847">
        <f t="shared" si="232"/>
        <v>1</v>
      </c>
      <c r="O260" s="847">
        <f t="shared" si="232"/>
        <v>1</v>
      </c>
      <c r="P260" s="847">
        <f t="shared" si="232"/>
        <v>1</v>
      </c>
      <c r="Q260" s="847">
        <f t="shared" si="232"/>
        <v>1</v>
      </c>
      <c r="R260" s="661">
        <f t="shared" si="232"/>
        <v>1</v>
      </c>
      <c r="S260" s="847">
        <f t="shared" si="232"/>
        <v>1</v>
      </c>
      <c r="T260" s="847">
        <f t="shared" si="232"/>
        <v>1</v>
      </c>
      <c r="U260" s="847">
        <f t="shared" si="232"/>
        <v>1</v>
      </c>
      <c r="V260" s="847">
        <f t="shared" si="232"/>
        <v>1</v>
      </c>
      <c r="W260" s="661">
        <f t="shared" si="232"/>
        <v>1</v>
      </c>
      <c r="X260" s="847">
        <f t="shared" si="232"/>
        <v>1</v>
      </c>
      <c r="Y260" s="847">
        <f t="shared" si="232"/>
        <v>1</v>
      </c>
      <c r="Z260" s="847">
        <f t="shared" si="232"/>
        <v>1</v>
      </c>
      <c r="AA260" s="847">
        <f t="shared" si="232"/>
        <v>1</v>
      </c>
      <c r="AB260" s="661">
        <f t="shared" si="232"/>
        <v>1</v>
      </c>
      <c r="AC260" s="847">
        <f t="shared" si="232"/>
        <v>1</v>
      </c>
      <c r="AD260" s="847">
        <f t="shared" si="232"/>
        <v>1</v>
      </c>
      <c r="AE260" s="847">
        <f t="shared" si="232"/>
        <v>1</v>
      </c>
      <c r="AF260" s="847">
        <f t="shared" si="232"/>
        <v>1</v>
      </c>
      <c r="AG260" s="661">
        <f t="shared" si="232"/>
        <v>1</v>
      </c>
      <c r="AH260" s="847">
        <f t="shared" si="232"/>
        <v>1</v>
      </c>
      <c r="AI260" s="847">
        <f t="shared" si="232"/>
        <v>1</v>
      </c>
      <c r="AJ260" s="847">
        <f t="shared" si="232"/>
        <v>1</v>
      </c>
      <c r="AK260" s="847">
        <f t="shared" si="232"/>
        <v>1</v>
      </c>
      <c r="AL260" s="661">
        <f t="shared" si="232"/>
        <v>1</v>
      </c>
      <c r="AM260" s="847">
        <f t="shared" si="232"/>
        <v>1</v>
      </c>
      <c r="AN260" s="847">
        <f t="shared" si="232"/>
        <v>1</v>
      </c>
      <c r="AO260" s="847">
        <f t="shared" ref="AO260:BV260" si="233">AO161+AO194+AO227</f>
        <v>1</v>
      </c>
      <c r="AP260" s="847">
        <f t="shared" si="233"/>
        <v>1</v>
      </c>
      <c r="AQ260" s="661">
        <f t="shared" si="233"/>
        <v>1</v>
      </c>
      <c r="AR260" s="847">
        <f t="shared" si="233"/>
        <v>1</v>
      </c>
      <c r="AS260" s="847">
        <f t="shared" si="233"/>
        <v>1</v>
      </c>
      <c r="AT260" s="847">
        <f t="shared" si="233"/>
        <v>1</v>
      </c>
      <c r="AU260" s="847">
        <f t="shared" si="233"/>
        <v>1</v>
      </c>
      <c r="AV260" s="661">
        <f t="shared" si="233"/>
        <v>1</v>
      </c>
      <c r="AW260" s="847">
        <f t="shared" si="233"/>
        <v>1</v>
      </c>
      <c r="AX260" s="847">
        <f t="shared" si="233"/>
        <v>1</v>
      </c>
      <c r="AY260" s="847">
        <f t="shared" si="233"/>
        <v>1</v>
      </c>
      <c r="AZ260" s="847">
        <f t="shared" si="233"/>
        <v>1</v>
      </c>
      <c r="BA260" s="661">
        <f t="shared" si="233"/>
        <v>1</v>
      </c>
      <c r="BB260" s="847">
        <f t="shared" si="233"/>
        <v>1</v>
      </c>
      <c r="BC260" s="847">
        <f t="shared" si="233"/>
        <v>1</v>
      </c>
      <c r="BD260" s="847">
        <f t="shared" si="233"/>
        <v>1</v>
      </c>
      <c r="BE260" s="847">
        <f t="shared" si="233"/>
        <v>1</v>
      </c>
      <c r="BF260" s="661">
        <f t="shared" si="233"/>
        <v>1</v>
      </c>
      <c r="BG260" s="847">
        <f t="shared" si="233"/>
        <v>1</v>
      </c>
      <c r="BH260" s="847">
        <f t="shared" si="233"/>
        <v>1</v>
      </c>
      <c r="BI260" s="847">
        <f t="shared" si="233"/>
        <v>2</v>
      </c>
      <c r="BJ260" s="847">
        <f t="shared" si="233"/>
        <v>2</v>
      </c>
      <c r="BK260" s="661">
        <f t="shared" si="233"/>
        <v>2</v>
      </c>
      <c r="BL260" s="847">
        <f t="shared" si="233"/>
        <v>2</v>
      </c>
      <c r="BM260" s="847">
        <f t="shared" si="233"/>
        <v>2</v>
      </c>
      <c r="BN260" s="847">
        <f t="shared" si="233"/>
        <v>2</v>
      </c>
      <c r="BO260" s="847">
        <f t="shared" si="233"/>
        <v>2</v>
      </c>
      <c r="BP260" s="661">
        <f t="shared" si="233"/>
        <v>2</v>
      </c>
      <c r="BQ260" s="847">
        <f t="shared" si="233"/>
        <v>2</v>
      </c>
      <c r="BR260" s="847">
        <f t="shared" si="233"/>
        <v>2</v>
      </c>
      <c r="BS260" s="847">
        <f t="shared" si="233"/>
        <v>2</v>
      </c>
      <c r="BT260" s="847">
        <f t="shared" si="233"/>
        <v>2</v>
      </c>
      <c r="BU260" s="661">
        <f t="shared" si="233"/>
        <v>2</v>
      </c>
      <c r="BV260" s="847">
        <f t="shared" si="233"/>
        <v>2</v>
      </c>
      <c r="BW260" s="847">
        <f t="shared" ref="BW260:CG260" si="234">BW161+BW194+BW227</f>
        <v>2</v>
      </c>
      <c r="BX260" s="847">
        <f t="shared" si="234"/>
        <v>2</v>
      </c>
      <c r="BY260" s="847">
        <f t="shared" si="234"/>
        <v>2</v>
      </c>
      <c r="BZ260" s="661">
        <f t="shared" si="234"/>
        <v>2</v>
      </c>
      <c r="CA260" s="847">
        <f t="shared" si="234"/>
        <v>0</v>
      </c>
      <c r="CB260" s="847">
        <f t="shared" si="234"/>
        <v>0</v>
      </c>
      <c r="CC260" s="847">
        <f t="shared" si="234"/>
        <v>0</v>
      </c>
      <c r="CD260" s="847">
        <f t="shared" si="234"/>
        <v>0</v>
      </c>
      <c r="CE260" s="661">
        <f t="shared" si="234"/>
        <v>0</v>
      </c>
      <c r="CF260" s="847">
        <f t="shared" si="234"/>
        <v>0</v>
      </c>
      <c r="CG260" s="847">
        <f t="shared" si="234"/>
        <v>0</v>
      </c>
      <c r="CH260" s="847">
        <f t="shared" si="217"/>
        <v>0</v>
      </c>
      <c r="CI260" s="847">
        <f t="shared" si="217"/>
        <v>0</v>
      </c>
      <c r="CJ260" s="661">
        <f t="shared" si="200"/>
        <v>0</v>
      </c>
      <c r="CK260" s="2350">
        <f t="shared" si="200"/>
        <v>0</v>
      </c>
      <c r="CL260" s="2350">
        <f t="shared" si="218"/>
        <v>0</v>
      </c>
      <c r="CM260" s="2350">
        <f t="shared" si="218"/>
        <v>0</v>
      </c>
      <c r="CN260" s="847">
        <f t="shared" si="218"/>
        <v>0</v>
      </c>
      <c r="CO260" s="661">
        <f t="shared" si="218"/>
        <v>0</v>
      </c>
      <c r="CP260" s="2350"/>
      <c r="CQ260" s="2350"/>
      <c r="CR260" s="212"/>
      <c r="CS260" s="212"/>
      <c r="CT260" s="194"/>
      <c r="CU260" s="194"/>
      <c r="CV260" s="194"/>
    </row>
    <row r="261" spans="1:100" x14ac:dyDescent="0.2">
      <c r="A261" s="1436" t="s">
        <v>650</v>
      </c>
      <c r="B261" s="651"/>
      <c r="C261" s="236"/>
      <c r="D261" s="234"/>
      <c r="E261" s="234"/>
      <c r="F261" s="234"/>
      <c r="G261" s="234"/>
      <c r="H261" s="661"/>
      <c r="I261" s="847">
        <f t="shared" ref="I261:AN261" si="235">I162+I195+I228</f>
        <v>62</v>
      </c>
      <c r="J261" s="847">
        <f t="shared" si="235"/>
        <v>70</v>
      </c>
      <c r="K261" s="847">
        <f t="shared" si="235"/>
        <v>129</v>
      </c>
      <c r="L261" s="847">
        <f t="shared" si="235"/>
        <v>133</v>
      </c>
      <c r="M261" s="661">
        <f t="shared" si="235"/>
        <v>133</v>
      </c>
      <c r="N261" s="847">
        <f t="shared" si="235"/>
        <v>137</v>
      </c>
      <c r="O261" s="847">
        <f t="shared" si="235"/>
        <v>138</v>
      </c>
      <c r="P261" s="847">
        <f t="shared" si="235"/>
        <v>143</v>
      </c>
      <c r="Q261" s="847">
        <f t="shared" si="235"/>
        <v>146</v>
      </c>
      <c r="R261" s="661">
        <f t="shared" si="235"/>
        <v>146</v>
      </c>
      <c r="S261" s="847">
        <f t="shared" si="235"/>
        <v>150</v>
      </c>
      <c r="T261" s="847">
        <f t="shared" si="235"/>
        <v>171</v>
      </c>
      <c r="U261" s="847">
        <f t="shared" si="235"/>
        <v>180</v>
      </c>
      <c r="V261" s="847">
        <f t="shared" si="235"/>
        <v>192</v>
      </c>
      <c r="W261" s="661">
        <f t="shared" si="235"/>
        <v>192</v>
      </c>
      <c r="X261" s="847">
        <f t="shared" si="235"/>
        <v>202</v>
      </c>
      <c r="Y261" s="847">
        <f t="shared" si="235"/>
        <v>206</v>
      </c>
      <c r="Z261" s="847">
        <f t="shared" si="235"/>
        <v>203</v>
      </c>
      <c r="AA261" s="847">
        <f t="shared" si="235"/>
        <v>4</v>
      </c>
      <c r="AB261" s="661">
        <f t="shared" si="235"/>
        <v>4</v>
      </c>
      <c r="AC261" s="847">
        <f t="shared" si="235"/>
        <v>4</v>
      </c>
      <c r="AD261" s="847">
        <f t="shared" si="235"/>
        <v>4</v>
      </c>
      <c r="AE261" s="847">
        <f t="shared" si="235"/>
        <v>4</v>
      </c>
      <c r="AF261" s="847">
        <f t="shared" si="235"/>
        <v>3</v>
      </c>
      <c r="AG261" s="661">
        <f t="shared" si="235"/>
        <v>3</v>
      </c>
      <c r="AH261" s="847">
        <f t="shared" si="235"/>
        <v>2</v>
      </c>
      <c r="AI261" s="847">
        <f t="shared" si="235"/>
        <v>2</v>
      </c>
      <c r="AJ261" s="847">
        <f t="shared" si="235"/>
        <v>2</v>
      </c>
      <c r="AK261" s="847">
        <f t="shared" si="235"/>
        <v>2</v>
      </c>
      <c r="AL261" s="661">
        <f t="shared" si="235"/>
        <v>2</v>
      </c>
      <c r="AM261" s="847">
        <f t="shared" si="235"/>
        <v>2</v>
      </c>
      <c r="AN261" s="847">
        <f t="shared" si="235"/>
        <v>2</v>
      </c>
      <c r="AO261" s="847">
        <f t="shared" ref="AO261:BV261" si="236">AO162+AO195+AO228</f>
        <v>2</v>
      </c>
      <c r="AP261" s="847">
        <f t="shared" si="236"/>
        <v>2</v>
      </c>
      <c r="AQ261" s="661">
        <f t="shared" si="236"/>
        <v>2</v>
      </c>
      <c r="AR261" s="847">
        <f t="shared" si="236"/>
        <v>0</v>
      </c>
      <c r="AS261" s="847">
        <f t="shared" si="236"/>
        <v>0</v>
      </c>
      <c r="AT261" s="847">
        <f t="shared" si="236"/>
        <v>0</v>
      </c>
      <c r="AU261" s="847">
        <f t="shared" si="236"/>
        <v>0</v>
      </c>
      <c r="AV261" s="661">
        <f t="shared" si="236"/>
        <v>0</v>
      </c>
      <c r="AW261" s="847">
        <f t="shared" si="236"/>
        <v>0</v>
      </c>
      <c r="AX261" s="847">
        <f t="shared" si="236"/>
        <v>0</v>
      </c>
      <c r="AY261" s="847">
        <f t="shared" si="236"/>
        <v>0</v>
      </c>
      <c r="AZ261" s="847">
        <f t="shared" si="236"/>
        <v>0</v>
      </c>
      <c r="BA261" s="661">
        <f t="shared" si="236"/>
        <v>0</v>
      </c>
      <c r="BB261" s="847">
        <f t="shared" si="236"/>
        <v>0</v>
      </c>
      <c r="BC261" s="847">
        <f t="shared" si="236"/>
        <v>0</v>
      </c>
      <c r="BD261" s="847">
        <f t="shared" si="236"/>
        <v>0</v>
      </c>
      <c r="BE261" s="847">
        <f t="shared" si="236"/>
        <v>0</v>
      </c>
      <c r="BF261" s="661">
        <f t="shared" si="236"/>
        <v>0</v>
      </c>
      <c r="BG261" s="847">
        <f t="shared" si="236"/>
        <v>0</v>
      </c>
      <c r="BH261" s="847">
        <f t="shared" si="236"/>
        <v>0</v>
      </c>
      <c r="BI261" s="847">
        <f t="shared" si="236"/>
        <v>0</v>
      </c>
      <c r="BJ261" s="847">
        <f t="shared" si="236"/>
        <v>0</v>
      </c>
      <c r="BK261" s="661">
        <f t="shared" si="236"/>
        <v>0</v>
      </c>
      <c r="BL261" s="847">
        <f t="shared" si="236"/>
        <v>0</v>
      </c>
      <c r="BM261" s="847">
        <f t="shared" si="236"/>
        <v>0</v>
      </c>
      <c r="BN261" s="847">
        <f t="shared" si="236"/>
        <v>0</v>
      </c>
      <c r="BO261" s="847">
        <f t="shared" si="236"/>
        <v>0</v>
      </c>
      <c r="BP261" s="661">
        <f t="shared" si="236"/>
        <v>0</v>
      </c>
      <c r="BQ261" s="847">
        <f t="shared" si="236"/>
        <v>0</v>
      </c>
      <c r="BR261" s="847">
        <f t="shared" si="236"/>
        <v>0</v>
      </c>
      <c r="BS261" s="847">
        <f t="shared" si="236"/>
        <v>0</v>
      </c>
      <c r="BT261" s="847">
        <f t="shared" si="236"/>
        <v>0</v>
      </c>
      <c r="BU261" s="661">
        <f t="shared" si="236"/>
        <v>0</v>
      </c>
      <c r="BV261" s="847">
        <f t="shared" si="236"/>
        <v>0</v>
      </c>
      <c r="BW261" s="847">
        <f t="shared" ref="BW261:CG261" si="237">BW162+BW195+BW228</f>
        <v>0</v>
      </c>
      <c r="BX261" s="847">
        <f t="shared" si="237"/>
        <v>0</v>
      </c>
      <c r="BY261" s="847">
        <f t="shared" si="237"/>
        <v>0</v>
      </c>
      <c r="BZ261" s="661">
        <f t="shared" si="237"/>
        <v>0</v>
      </c>
      <c r="CA261" s="847">
        <f t="shared" si="237"/>
        <v>0</v>
      </c>
      <c r="CB261" s="847">
        <f t="shared" si="237"/>
        <v>0</v>
      </c>
      <c r="CC261" s="847">
        <f t="shared" si="237"/>
        <v>0</v>
      </c>
      <c r="CD261" s="847">
        <f t="shared" si="237"/>
        <v>0</v>
      </c>
      <c r="CE261" s="661">
        <f t="shared" si="237"/>
        <v>0</v>
      </c>
      <c r="CF261" s="847">
        <f t="shared" si="237"/>
        <v>0</v>
      </c>
      <c r="CG261" s="847">
        <f t="shared" si="237"/>
        <v>0</v>
      </c>
      <c r="CH261" s="847">
        <f t="shared" si="217"/>
        <v>0</v>
      </c>
      <c r="CI261" s="847">
        <f t="shared" si="217"/>
        <v>0</v>
      </c>
      <c r="CJ261" s="661">
        <f t="shared" si="200"/>
        <v>0</v>
      </c>
      <c r="CK261" s="2350">
        <f t="shared" si="200"/>
        <v>0</v>
      </c>
      <c r="CL261" s="2350">
        <f t="shared" si="218"/>
        <v>0</v>
      </c>
      <c r="CM261" s="2350">
        <f t="shared" si="218"/>
        <v>0</v>
      </c>
      <c r="CN261" s="847">
        <f t="shared" si="218"/>
        <v>0</v>
      </c>
      <c r="CO261" s="661">
        <f t="shared" si="218"/>
        <v>0</v>
      </c>
      <c r="CP261" s="2350"/>
      <c r="CQ261" s="2350"/>
      <c r="CR261" s="212"/>
      <c r="CS261" s="212"/>
      <c r="CT261" s="194"/>
      <c r="CU261" s="194"/>
      <c r="CV261" s="194"/>
    </row>
    <row r="262" spans="1:100" x14ac:dyDescent="0.2">
      <c r="A262" s="1436" t="s">
        <v>384</v>
      </c>
      <c r="B262" s="651"/>
      <c r="C262" s="236"/>
      <c r="D262" s="234"/>
      <c r="E262" s="234"/>
      <c r="F262" s="234"/>
      <c r="G262" s="234"/>
      <c r="H262" s="661"/>
      <c r="I262" s="847">
        <f t="shared" ref="I262:AN262" si="238">I163+I196+I229</f>
        <v>9</v>
      </c>
      <c r="J262" s="847">
        <f t="shared" si="238"/>
        <v>9</v>
      </c>
      <c r="K262" s="847">
        <f t="shared" si="238"/>
        <v>10</v>
      </c>
      <c r="L262" s="847">
        <f t="shared" si="238"/>
        <v>11</v>
      </c>
      <c r="M262" s="661">
        <f t="shared" si="238"/>
        <v>11</v>
      </c>
      <c r="N262" s="847">
        <f t="shared" si="238"/>
        <v>12</v>
      </c>
      <c r="O262" s="847">
        <f t="shared" si="238"/>
        <v>12</v>
      </c>
      <c r="P262" s="847">
        <f t="shared" si="238"/>
        <v>11</v>
      </c>
      <c r="Q262" s="847">
        <f t="shared" si="238"/>
        <v>11</v>
      </c>
      <c r="R262" s="661">
        <f t="shared" si="238"/>
        <v>11</v>
      </c>
      <c r="S262" s="847">
        <f t="shared" si="238"/>
        <v>12</v>
      </c>
      <c r="T262" s="847">
        <f t="shared" si="238"/>
        <v>12</v>
      </c>
      <c r="U262" s="847">
        <f t="shared" si="238"/>
        <v>12</v>
      </c>
      <c r="V262" s="847">
        <f t="shared" si="238"/>
        <v>13</v>
      </c>
      <c r="W262" s="661">
        <f t="shared" si="238"/>
        <v>13</v>
      </c>
      <c r="X262" s="847">
        <f t="shared" si="238"/>
        <v>13</v>
      </c>
      <c r="Y262" s="847">
        <f t="shared" si="238"/>
        <v>14</v>
      </c>
      <c r="Z262" s="847">
        <f t="shared" si="238"/>
        <v>14</v>
      </c>
      <c r="AA262" s="847">
        <f t="shared" si="238"/>
        <v>14</v>
      </c>
      <c r="AB262" s="661">
        <f t="shared" si="238"/>
        <v>14</v>
      </c>
      <c r="AC262" s="847">
        <f t="shared" si="238"/>
        <v>15</v>
      </c>
      <c r="AD262" s="847">
        <f t="shared" si="238"/>
        <v>16</v>
      </c>
      <c r="AE262" s="847">
        <f t="shared" si="238"/>
        <v>16</v>
      </c>
      <c r="AF262" s="847">
        <f t="shared" si="238"/>
        <v>17</v>
      </c>
      <c r="AG262" s="661">
        <f t="shared" si="238"/>
        <v>17</v>
      </c>
      <c r="AH262" s="847">
        <f t="shared" si="238"/>
        <v>17</v>
      </c>
      <c r="AI262" s="847">
        <f t="shared" si="238"/>
        <v>17</v>
      </c>
      <c r="AJ262" s="847">
        <f t="shared" si="238"/>
        <v>18</v>
      </c>
      <c r="AK262" s="847">
        <f t="shared" si="238"/>
        <v>17</v>
      </c>
      <c r="AL262" s="661">
        <f t="shared" si="238"/>
        <v>17</v>
      </c>
      <c r="AM262" s="847">
        <f t="shared" si="238"/>
        <v>18</v>
      </c>
      <c r="AN262" s="847">
        <f t="shared" si="238"/>
        <v>17</v>
      </c>
      <c r="AO262" s="847">
        <f t="shared" ref="AO262:BV262" si="239">AO163+AO196+AO229</f>
        <v>18</v>
      </c>
      <c r="AP262" s="847">
        <f t="shared" si="239"/>
        <v>18</v>
      </c>
      <c r="AQ262" s="661">
        <f t="shared" si="239"/>
        <v>18</v>
      </c>
      <c r="AR262" s="847">
        <f t="shared" si="239"/>
        <v>18</v>
      </c>
      <c r="AS262" s="847">
        <f t="shared" si="239"/>
        <v>19</v>
      </c>
      <c r="AT262" s="847">
        <f t="shared" si="239"/>
        <v>19</v>
      </c>
      <c r="AU262" s="847">
        <f t="shared" si="239"/>
        <v>20</v>
      </c>
      <c r="AV262" s="661">
        <f t="shared" si="239"/>
        <v>20</v>
      </c>
      <c r="AW262" s="847">
        <f t="shared" si="239"/>
        <v>21</v>
      </c>
      <c r="AX262" s="847">
        <f t="shared" si="239"/>
        <v>21</v>
      </c>
      <c r="AY262" s="847">
        <f t="shared" si="239"/>
        <v>22</v>
      </c>
      <c r="AZ262" s="847">
        <f t="shared" si="239"/>
        <v>23</v>
      </c>
      <c r="BA262" s="661">
        <f t="shared" si="239"/>
        <v>23</v>
      </c>
      <c r="BB262" s="847">
        <f t="shared" si="239"/>
        <v>23</v>
      </c>
      <c r="BC262" s="847">
        <f t="shared" si="239"/>
        <v>22</v>
      </c>
      <c r="BD262" s="847">
        <f t="shared" si="239"/>
        <v>23</v>
      </c>
      <c r="BE262" s="847">
        <f t="shared" si="239"/>
        <v>23</v>
      </c>
      <c r="BF262" s="661">
        <f t="shared" si="239"/>
        <v>23</v>
      </c>
      <c r="BG262" s="847">
        <f t="shared" si="239"/>
        <v>23</v>
      </c>
      <c r="BH262" s="847">
        <f t="shared" si="239"/>
        <v>22</v>
      </c>
      <c r="BI262" s="847">
        <f t="shared" si="239"/>
        <v>22</v>
      </c>
      <c r="BJ262" s="847">
        <f t="shared" si="239"/>
        <v>23</v>
      </c>
      <c r="BK262" s="661">
        <f t="shared" si="239"/>
        <v>23</v>
      </c>
      <c r="BL262" s="847">
        <f t="shared" si="239"/>
        <v>24</v>
      </c>
      <c r="BM262" s="847">
        <f t="shared" si="239"/>
        <v>24</v>
      </c>
      <c r="BN262" s="847">
        <f t="shared" si="239"/>
        <v>24</v>
      </c>
      <c r="BO262" s="847">
        <f t="shared" si="239"/>
        <v>25</v>
      </c>
      <c r="BP262" s="661">
        <f t="shared" si="239"/>
        <v>25</v>
      </c>
      <c r="BQ262" s="847">
        <f t="shared" si="239"/>
        <v>26</v>
      </c>
      <c r="BR262" s="847">
        <f t="shared" si="239"/>
        <v>27</v>
      </c>
      <c r="BS262" s="847">
        <f t="shared" si="239"/>
        <v>27</v>
      </c>
      <c r="BT262" s="847">
        <f t="shared" si="239"/>
        <v>27</v>
      </c>
      <c r="BU262" s="661">
        <f t="shared" si="239"/>
        <v>27</v>
      </c>
      <c r="BV262" s="847">
        <f t="shared" si="239"/>
        <v>28</v>
      </c>
      <c r="BW262" s="847">
        <f t="shared" ref="BW262:CG262" si="240">BW163+BW196+BW229</f>
        <v>28</v>
      </c>
      <c r="BX262" s="847">
        <f t="shared" si="240"/>
        <v>27</v>
      </c>
      <c r="BY262" s="847">
        <f t="shared" si="240"/>
        <v>27</v>
      </c>
      <c r="BZ262" s="661">
        <f t="shared" si="240"/>
        <v>27</v>
      </c>
      <c r="CA262" s="847">
        <f t="shared" si="240"/>
        <v>26</v>
      </c>
      <c r="CB262" s="847">
        <f t="shared" si="240"/>
        <v>27</v>
      </c>
      <c r="CC262" s="847">
        <f t="shared" si="240"/>
        <v>28</v>
      </c>
      <c r="CD262" s="847">
        <f t="shared" si="240"/>
        <v>28</v>
      </c>
      <c r="CE262" s="661">
        <f t="shared" si="240"/>
        <v>28</v>
      </c>
      <c r="CF262" s="847">
        <f t="shared" si="240"/>
        <v>27</v>
      </c>
      <c r="CG262" s="847">
        <f t="shared" si="240"/>
        <v>27</v>
      </c>
      <c r="CH262" s="847">
        <f t="shared" si="217"/>
        <v>28</v>
      </c>
      <c r="CI262" s="847">
        <f t="shared" si="217"/>
        <v>28</v>
      </c>
      <c r="CJ262" s="661">
        <f t="shared" si="200"/>
        <v>28</v>
      </c>
      <c r="CK262" s="2350">
        <f t="shared" si="200"/>
        <v>28</v>
      </c>
      <c r="CL262" s="2350">
        <f t="shared" si="218"/>
        <v>28</v>
      </c>
      <c r="CM262" s="2350">
        <f t="shared" si="218"/>
        <v>28</v>
      </c>
      <c r="CN262" s="847">
        <f t="shared" si="218"/>
        <v>29</v>
      </c>
      <c r="CO262" s="661">
        <f t="shared" si="218"/>
        <v>29</v>
      </c>
      <c r="CP262" s="2350"/>
      <c r="CQ262" s="2350"/>
      <c r="CR262" s="212"/>
      <c r="CS262" s="212"/>
      <c r="CT262" s="194"/>
      <c r="CU262" s="194"/>
      <c r="CV262" s="194"/>
    </row>
    <row r="263" spans="1:100" outlineLevel="1" x14ac:dyDescent="0.2">
      <c r="A263" s="1438" t="s">
        <v>576</v>
      </c>
      <c r="B263" s="651"/>
      <c r="C263" s="236"/>
      <c r="D263" s="234"/>
      <c r="E263" s="234"/>
      <c r="F263" s="234"/>
      <c r="G263" s="234"/>
      <c r="H263" s="848"/>
      <c r="I263" s="845">
        <v>0</v>
      </c>
      <c r="J263" s="845">
        <v>0</v>
      </c>
      <c r="K263" s="845">
        <v>0</v>
      </c>
      <c r="L263" s="845">
        <v>0</v>
      </c>
      <c r="M263" s="848">
        <v>0</v>
      </c>
      <c r="N263" s="845">
        <v>0</v>
      </c>
      <c r="O263" s="845">
        <v>0</v>
      </c>
      <c r="P263" s="845">
        <v>0</v>
      </c>
      <c r="Q263" s="845">
        <v>0</v>
      </c>
      <c r="R263" s="848">
        <v>0</v>
      </c>
      <c r="S263" s="845">
        <v>0</v>
      </c>
      <c r="T263" s="845">
        <v>0</v>
      </c>
      <c r="U263" s="845">
        <v>0</v>
      </c>
      <c r="V263" s="845">
        <v>0</v>
      </c>
      <c r="W263" s="848">
        <v>0</v>
      </c>
      <c r="X263" s="845">
        <v>0</v>
      </c>
      <c r="Y263" s="845">
        <v>0</v>
      </c>
      <c r="Z263" s="845">
        <v>0</v>
      </c>
      <c r="AA263" s="845">
        <v>0</v>
      </c>
      <c r="AB263" s="848">
        <v>0</v>
      </c>
      <c r="AC263" s="845">
        <v>0</v>
      </c>
      <c r="AD263" s="845">
        <v>0</v>
      </c>
      <c r="AE263" s="845">
        <v>0</v>
      </c>
      <c r="AF263" s="845">
        <v>0</v>
      </c>
      <c r="AG263" s="848">
        <v>0</v>
      </c>
      <c r="AH263" s="845">
        <v>0</v>
      </c>
      <c r="AI263" s="845">
        <v>0</v>
      </c>
      <c r="AJ263" s="845">
        <v>0</v>
      </c>
      <c r="AK263" s="845">
        <v>0</v>
      </c>
      <c r="AL263" s="848">
        <v>0</v>
      </c>
      <c r="AM263" s="845">
        <v>0</v>
      </c>
      <c r="AN263" s="845">
        <v>0</v>
      </c>
      <c r="AO263" s="845">
        <v>0</v>
      </c>
      <c r="AP263" s="845">
        <v>0</v>
      </c>
      <c r="AQ263" s="848">
        <v>0</v>
      </c>
      <c r="AR263" s="845">
        <v>0</v>
      </c>
      <c r="AS263" s="845">
        <v>0</v>
      </c>
      <c r="AT263" s="845">
        <v>0</v>
      </c>
      <c r="AU263" s="845">
        <v>0</v>
      </c>
      <c r="AV263" s="848">
        <v>0</v>
      </c>
      <c r="AW263" s="845">
        <v>0</v>
      </c>
      <c r="AX263" s="845">
        <v>0</v>
      </c>
      <c r="AY263" s="845">
        <v>0</v>
      </c>
      <c r="AZ263" s="845">
        <v>0</v>
      </c>
      <c r="BA263" s="848">
        <v>0</v>
      </c>
      <c r="BB263" s="845">
        <v>0</v>
      </c>
      <c r="BC263" s="845">
        <v>0</v>
      </c>
      <c r="BD263" s="845">
        <v>0</v>
      </c>
      <c r="BE263" s="845">
        <v>0</v>
      </c>
      <c r="BF263" s="848">
        <v>0</v>
      </c>
      <c r="BG263" s="845">
        <v>0</v>
      </c>
      <c r="BH263" s="845">
        <v>0</v>
      </c>
      <c r="BI263" s="845">
        <v>0</v>
      </c>
      <c r="BJ263" s="845">
        <v>0</v>
      </c>
      <c r="BK263" s="848">
        <v>0</v>
      </c>
      <c r="BL263" s="845">
        <v>0</v>
      </c>
      <c r="BM263" s="845">
        <v>0</v>
      </c>
      <c r="BN263" s="845">
        <v>0</v>
      </c>
      <c r="BO263" s="845">
        <v>0</v>
      </c>
      <c r="BP263" s="848">
        <v>0</v>
      </c>
      <c r="BQ263" s="845">
        <v>15</v>
      </c>
      <c r="BR263" s="1626">
        <v>15</v>
      </c>
      <c r="BS263" s="1626">
        <v>15</v>
      </c>
      <c r="BT263" s="845">
        <v>15</v>
      </c>
      <c r="BU263" s="752">
        <f>+BT263</f>
        <v>15</v>
      </c>
      <c r="BV263" s="845">
        <v>15</v>
      </c>
      <c r="BW263" s="845">
        <v>15</v>
      </c>
      <c r="BX263" s="845">
        <v>15</v>
      </c>
      <c r="BY263" s="845">
        <v>13</v>
      </c>
      <c r="BZ263" s="752">
        <f>+BY263</f>
        <v>13</v>
      </c>
      <c r="CA263" s="845">
        <v>13</v>
      </c>
      <c r="CB263" s="845">
        <v>13</v>
      </c>
      <c r="CC263" s="845">
        <v>13</v>
      </c>
      <c r="CD263" s="845">
        <v>13</v>
      </c>
      <c r="CE263" s="752">
        <f>+CD263</f>
        <v>13</v>
      </c>
      <c r="CF263" s="845">
        <v>14</v>
      </c>
      <c r="CG263" s="845">
        <v>14</v>
      </c>
      <c r="CH263" s="845">
        <f>14+3</f>
        <v>17</v>
      </c>
      <c r="CI263" s="845">
        <v>17</v>
      </c>
      <c r="CJ263" s="661">
        <f>+CI263</f>
        <v>17</v>
      </c>
      <c r="CK263" s="844">
        <v>17</v>
      </c>
      <c r="CL263" s="844">
        <v>18</v>
      </c>
      <c r="CM263" s="844">
        <v>18</v>
      </c>
      <c r="CN263" s="845">
        <v>19</v>
      </c>
      <c r="CO263" s="661">
        <f>+CN263</f>
        <v>19</v>
      </c>
      <c r="CP263" s="844"/>
      <c r="CQ263" s="844"/>
      <c r="CR263" s="212"/>
      <c r="CS263" s="212"/>
      <c r="CT263" s="194"/>
      <c r="CU263" s="194"/>
      <c r="CV263" s="194"/>
    </row>
    <row r="264" spans="1:100" ht="4.5" customHeight="1" x14ac:dyDescent="0.2">
      <c r="A264" s="1436"/>
      <c r="B264" s="651"/>
      <c r="C264" s="236"/>
      <c r="D264" s="234"/>
      <c r="E264" s="234"/>
      <c r="F264" s="234"/>
      <c r="G264" s="234"/>
      <c r="H264" s="661"/>
      <c r="I264" s="847"/>
      <c r="J264" s="847"/>
      <c r="K264" s="847"/>
      <c r="L264" s="847"/>
      <c r="M264" s="661"/>
      <c r="N264" s="847"/>
      <c r="O264" s="847"/>
      <c r="P264" s="847"/>
      <c r="Q264" s="847"/>
      <c r="R264" s="661"/>
      <c r="S264" s="847"/>
      <c r="T264" s="847"/>
      <c r="U264" s="847"/>
      <c r="V264" s="847"/>
      <c r="W264" s="661"/>
      <c r="X264" s="847"/>
      <c r="Y264" s="847"/>
      <c r="Z264" s="847"/>
      <c r="AA264" s="847"/>
      <c r="AB264" s="661"/>
      <c r="AC264" s="847"/>
      <c r="AD264" s="847"/>
      <c r="AE264" s="847"/>
      <c r="AF264" s="847"/>
      <c r="AG264" s="661"/>
      <c r="AH264" s="847"/>
      <c r="AI264" s="847"/>
      <c r="AJ264" s="847"/>
      <c r="AK264" s="847"/>
      <c r="AL264" s="661"/>
      <c r="AM264" s="847"/>
      <c r="AN264" s="847"/>
      <c r="AO264" s="847"/>
      <c r="AP264" s="847"/>
      <c r="AQ264" s="661"/>
      <c r="AR264" s="847"/>
      <c r="AS264" s="847"/>
      <c r="AT264" s="847"/>
      <c r="AU264" s="847"/>
      <c r="AV264" s="661"/>
      <c r="AW264" s="847"/>
      <c r="AX264" s="847"/>
      <c r="AY264" s="847"/>
      <c r="AZ264" s="847"/>
      <c r="BA264" s="661"/>
      <c r="BB264" s="847"/>
      <c r="BC264" s="847"/>
      <c r="BD264" s="847"/>
      <c r="BE264" s="847"/>
      <c r="BF264" s="661"/>
      <c r="BG264" s="847"/>
      <c r="BH264" s="847"/>
      <c r="BI264" s="847"/>
      <c r="BJ264" s="847"/>
      <c r="BK264" s="661"/>
      <c r="BL264" s="847"/>
      <c r="BM264" s="847"/>
      <c r="BN264" s="847"/>
      <c r="BO264" s="847"/>
      <c r="BP264" s="661"/>
      <c r="BQ264" s="847"/>
      <c r="BR264" s="847"/>
      <c r="BS264" s="847"/>
      <c r="BT264" s="847"/>
      <c r="BU264" s="661"/>
      <c r="BV264" s="847"/>
      <c r="BW264" s="847"/>
      <c r="BX264" s="847"/>
      <c r="BY264" s="847"/>
      <c r="BZ264" s="661"/>
      <c r="CA264" s="847"/>
      <c r="CB264" s="847"/>
      <c r="CC264" s="847"/>
      <c r="CD264" s="847"/>
      <c r="CE264" s="661"/>
      <c r="CF264" s="847"/>
      <c r="CG264" s="847"/>
      <c r="CH264" s="212"/>
      <c r="CI264" s="212"/>
      <c r="CJ264" s="661"/>
      <c r="CK264" s="2907"/>
      <c r="CL264" s="2907"/>
      <c r="CM264" s="2907"/>
      <c r="CN264" s="212"/>
      <c r="CO264" s="661"/>
      <c r="CP264" s="2907"/>
      <c r="CQ264" s="2907"/>
      <c r="CR264" s="212"/>
      <c r="CS264" s="212"/>
      <c r="CT264" s="194"/>
      <c r="CU264" s="194"/>
      <c r="CV264" s="194"/>
    </row>
    <row r="265" spans="1:100" x14ac:dyDescent="0.2">
      <c r="A265" s="2434" t="s">
        <v>2454</v>
      </c>
      <c r="B265" s="651"/>
      <c r="C265" s="236"/>
      <c r="D265" s="234"/>
      <c r="E265" s="234"/>
      <c r="F265" s="234"/>
      <c r="G265" s="234"/>
      <c r="H265" s="661"/>
      <c r="I265" s="847"/>
      <c r="J265" s="847"/>
      <c r="K265" s="847"/>
      <c r="L265" s="847"/>
      <c r="M265" s="661"/>
      <c r="N265" s="847"/>
      <c r="O265" s="847"/>
      <c r="P265" s="847"/>
      <c r="Q265" s="847"/>
      <c r="R265" s="661"/>
      <c r="S265" s="847"/>
      <c r="T265" s="847"/>
      <c r="U265" s="847"/>
      <c r="V265" s="847"/>
      <c r="W265" s="661"/>
      <c r="X265" s="847"/>
      <c r="Y265" s="847"/>
      <c r="Z265" s="847"/>
      <c r="AA265" s="847"/>
      <c r="AB265" s="661"/>
      <c r="AC265" s="847"/>
      <c r="AD265" s="847"/>
      <c r="AE265" s="847"/>
      <c r="AF265" s="847"/>
      <c r="AG265" s="661"/>
      <c r="AH265" s="847"/>
      <c r="AI265" s="847"/>
      <c r="AJ265" s="847"/>
      <c r="AK265" s="847"/>
      <c r="AL265" s="661"/>
      <c r="AM265" s="847"/>
      <c r="AN265" s="847"/>
      <c r="AO265" s="847"/>
      <c r="AP265" s="847"/>
      <c r="AQ265" s="661"/>
      <c r="AR265" s="847"/>
      <c r="AS265" s="847"/>
      <c r="AT265" s="847"/>
      <c r="AU265" s="847"/>
      <c r="AV265" s="661"/>
      <c r="AW265" s="847"/>
      <c r="AX265" s="847"/>
      <c r="AY265" s="847"/>
      <c r="AZ265" s="847"/>
      <c r="BA265" s="661"/>
      <c r="BB265" s="847"/>
      <c r="BC265" s="847"/>
      <c r="BD265" s="847"/>
      <c r="BE265" s="847"/>
      <c r="BF265" s="661"/>
      <c r="BG265" s="847"/>
      <c r="BH265" s="847"/>
      <c r="BI265" s="847"/>
      <c r="BJ265" s="847"/>
      <c r="BK265" s="661"/>
      <c r="BL265" s="847"/>
      <c r="BM265" s="847"/>
      <c r="BN265" s="847"/>
      <c r="BO265" s="847"/>
      <c r="BP265" s="661"/>
      <c r="BQ265" s="847"/>
      <c r="BR265" s="847"/>
      <c r="BS265" s="847"/>
      <c r="BT265" s="847"/>
      <c r="BU265" s="661"/>
      <c r="BV265" s="847"/>
      <c r="BW265" s="847"/>
      <c r="BX265" s="847"/>
      <c r="BY265" s="847"/>
      <c r="BZ265" s="661"/>
      <c r="CA265" s="847"/>
      <c r="CB265" s="847"/>
      <c r="CC265" s="847"/>
      <c r="CD265" s="847"/>
      <c r="CE265" s="661"/>
      <c r="CF265" s="847"/>
      <c r="CG265" s="3008"/>
      <c r="CH265" s="847">
        <f t="shared" ref="CH265:CK274" si="241">CH165+CH198+CH231</f>
        <v>250</v>
      </c>
      <c r="CI265" s="847">
        <f t="shared" si="241"/>
        <v>253</v>
      </c>
      <c r="CJ265" s="661">
        <f>CJ165+CJ198+CJ231</f>
        <v>253</v>
      </c>
      <c r="CK265" s="2350">
        <f>CK165+CK198+CK231</f>
        <v>252</v>
      </c>
      <c r="CL265" s="2350">
        <f>CL165+CL198+CL231</f>
        <v>251</v>
      </c>
      <c r="CM265" s="2350">
        <f>CM165+CM198+CM231</f>
        <v>250</v>
      </c>
      <c r="CN265" s="847">
        <f t="shared" ref="CN265" si="242">CN165+CN198+CN231</f>
        <v>249</v>
      </c>
      <c r="CO265" s="661">
        <f>CO165+CO198+CO231</f>
        <v>249</v>
      </c>
      <c r="CP265" s="2350"/>
      <c r="CQ265" s="2350"/>
      <c r="CR265" s="212"/>
      <c r="CS265" s="212"/>
      <c r="CT265" s="194"/>
      <c r="CU265" s="194"/>
      <c r="CV265" s="194"/>
    </row>
    <row r="266" spans="1:100" x14ac:dyDescent="0.2">
      <c r="A266" s="2434" t="s">
        <v>2455</v>
      </c>
      <c r="B266" s="651"/>
      <c r="C266" s="236"/>
      <c r="D266" s="234"/>
      <c r="E266" s="234"/>
      <c r="F266" s="234"/>
      <c r="G266" s="234"/>
      <c r="H266" s="661"/>
      <c r="I266" s="847"/>
      <c r="J266" s="847"/>
      <c r="K266" s="847"/>
      <c r="L266" s="847"/>
      <c r="M266" s="661"/>
      <c r="N266" s="847"/>
      <c r="O266" s="847"/>
      <c r="P266" s="847"/>
      <c r="Q266" s="847"/>
      <c r="R266" s="661"/>
      <c r="S266" s="847"/>
      <c r="T266" s="847"/>
      <c r="U266" s="847"/>
      <c r="V266" s="847"/>
      <c r="W266" s="661"/>
      <c r="X266" s="847"/>
      <c r="Y266" s="847"/>
      <c r="Z266" s="847"/>
      <c r="AA266" s="847"/>
      <c r="AB266" s="661"/>
      <c r="AC266" s="847"/>
      <c r="AD266" s="847"/>
      <c r="AE266" s="847"/>
      <c r="AF266" s="847"/>
      <c r="AG266" s="661"/>
      <c r="AH266" s="847"/>
      <c r="AI266" s="847"/>
      <c r="AJ266" s="847"/>
      <c r="AK266" s="847"/>
      <c r="AL266" s="661"/>
      <c r="AM266" s="847"/>
      <c r="AN266" s="847"/>
      <c r="AO266" s="847"/>
      <c r="AP266" s="847"/>
      <c r="AQ266" s="661"/>
      <c r="AR266" s="847"/>
      <c r="AS266" s="847"/>
      <c r="AT266" s="847"/>
      <c r="AU266" s="847"/>
      <c r="AV266" s="661"/>
      <c r="AW266" s="847"/>
      <c r="AX266" s="847"/>
      <c r="AY266" s="847"/>
      <c r="AZ266" s="847"/>
      <c r="BA266" s="661"/>
      <c r="BB266" s="847"/>
      <c r="BC266" s="847"/>
      <c r="BD266" s="847"/>
      <c r="BE266" s="847"/>
      <c r="BF266" s="661"/>
      <c r="BG266" s="847"/>
      <c r="BH266" s="847"/>
      <c r="BI266" s="847"/>
      <c r="BJ266" s="847"/>
      <c r="BK266" s="661"/>
      <c r="BL266" s="847"/>
      <c r="BM266" s="847"/>
      <c r="BN266" s="847"/>
      <c r="BO266" s="847"/>
      <c r="BP266" s="661"/>
      <c r="BQ266" s="847"/>
      <c r="BR266" s="847"/>
      <c r="BS266" s="847"/>
      <c r="BT266" s="847"/>
      <c r="BU266" s="661"/>
      <c r="BV266" s="847"/>
      <c r="BW266" s="847"/>
      <c r="BX266" s="847"/>
      <c r="BY266" s="847"/>
      <c r="BZ266" s="661"/>
      <c r="CA266" s="847"/>
      <c r="CB266" s="847"/>
      <c r="CC266" s="847"/>
      <c r="CD266" s="847"/>
      <c r="CE266" s="661"/>
      <c r="CF266" s="847"/>
      <c r="CG266" s="3008"/>
      <c r="CH266" s="847">
        <f t="shared" si="241"/>
        <v>90</v>
      </c>
      <c r="CI266" s="847">
        <f t="shared" si="241"/>
        <v>92</v>
      </c>
      <c r="CJ266" s="661">
        <f t="shared" si="241"/>
        <v>92</v>
      </c>
      <c r="CK266" s="2350">
        <f t="shared" si="241"/>
        <v>92</v>
      </c>
      <c r="CL266" s="2350">
        <f t="shared" ref="CL266:CO274" si="243">CL166+CL199+CL232</f>
        <v>93</v>
      </c>
      <c r="CM266" s="2350">
        <f t="shared" si="243"/>
        <v>93</v>
      </c>
      <c r="CN266" s="847">
        <f t="shared" si="243"/>
        <v>93</v>
      </c>
      <c r="CO266" s="661">
        <f t="shared" si="243"/>
        <v>93</v>
      </c>
      <c r="CP266" s="2350"/>
      <c r="CQ266" s="2350"/>
      <c r="CR266" s="212"/>
      <c r="CS266" s="212"/>
      <c r="CT266" s="194"/>
      <c r="CU266" s="194"/>
      <c r="CV266" s="194"/>
    </row>
    <row r="267" spans="1:100" x14ac:dyDescent="0.2">
      <c r="A267" s="2434" t="s">
        <v>2456</v>
      </c>
      <c r="B267" s="651"/>
      <c r="C267" s="236"/>
      <c r="D267" s="234"/>
      <c r="E267" s="234"/>
      <c r="F267" s="234"/>
      <c r="G267" s="234"/>
      <c r="H267" s="661"/>
      <c r="I267" s="847"/>
      <c r="J267" s="847"/>
      <c r="K267" s="847"/>
      <c r="L267" s="847"/>
      <c r="M267" s="661"/>
      <c r="N267" s="847"/>
      <c r="O267" s="847"/>
      <c r="P267" s="847"/>
      <c r="Q267" s="847"/>
      <c r="R267" s="661"/>
      <c r="S267" s="847"/>
      <c r="T267" s="847"/>
      <c r="U267" s="847"/>
      <c r="V267" s="847"/>
      <c r="W267" s="661"/>
      <c r="X267" s="847"/>
      <c r="Y267" s="847"/>
      <c r="Z267" s="847"/>
      <c r="AA267" s="847"/>
      <c r="AB267" s="661"/>
      <c r="AC267" s="847"/>
      <c r="AD267" s="847"/>
      <c r="AE267" s="847"/>
      <c r="AF267" s="847"/>
      <c r="AG267" s="661"/>
      <c r="AH267" s="847"/>
      <c r="AI267" s="847"/>
      <c r="AJ267" s="847"/>
      <c r="AK267" s="847"/>
      <c r="AL267" s="661"/>
      <c r="AM267" s="847"/>
      <c r="AN267" s="847"/>
      <c r="AO267" s="847"/>
      <c r="AP267" s="847"/>
      <c r="AQ267" s="661"/>
      <c r="AR267" s="847"/>
      <c r="AS267" s="847"/>
      <c r="AT267" s="847"/>
      <c r="AU267" s="847"/>
      <c r="AV267" s="661"/>
      <c r="AW267" s="847"/>
      <c r="AX267" s="847"/>
      <c r="AY267" s="847"/>
      <c r="AZ267" s="847"/>
      <c r="BA267" s="661"/>
      <c r="BB267" s="847"/>
      <c r="BC267" s="847"/>
      <c r="BD267" s="847"/>
      <c r="BE267" s="847"/>
      <c r="BF267" s="661"/>
      <c r="BG267" s="847"/>
      <c r="BH267" s="847"/>
      <c r="BI267" s="847"/>
      <c r="BJ267" s="847"/>
      <c r="BK267" s="661"/>
      <c r="BL267" s="847"/>
      <c r="BM267" s="847"/>
      <c r="BN267" s="847"/>
      <c r="BO267" s="847"/>
      <c r="BP267" s="661"/>
      <c r="BQ267" s="847"/>
      <c r="BR267" s="847"/>
      <c r="BS267" s="847"/>
      <c r="BT267" s="847"/>
      <c r="BU267" s="661"/>
      <c r="BV267" s="847"/>
      <c r="BW267" s="847"/>
      <c r="BX267" s="847"/>
      <c r="BY267" s="847"/>
      <c r="BZ267" s="661"/>
      <c r="CA267" s="847"/>
      <c r="CB267" s="847"/>
      <c r="CC267" s="847"/>
      <c r="CD267" s="847"/>
      <c r="CE267" s="661"/>
      <c r="CF267" s="847"/>
      <c r="CG267" s="3008"/>
      <c r="CH267" s="847">
        <f t="shared" si="241"/>
        <v>96</v>
      </c>
      <c r="CI267" s="847">
        <f t="shared" si="241"/>
        <v>95</v>
      </c>
      <c r="CJ267" s="661">
        <f t="shared" si="241"/>
        <v>95</v>
      </c>
      <c r="CK267" s="2350">
        <f t="shared" si="241"/>
        <v>97</v>
      </c>
      <c r="CL267" s="2350">
        <f t="shared" si="243"/>
        <v>99</v>
      </c>
      <c r="CM267" s="2350">
        <f t="shared" si="243"/>
        <v>104</v>
      </c>
      <c r="CN267" s="847">
        <f t="shared" si="243"/>
        <v>108</v>
      </c>
      <c r="CO267" s="661">
        <f t="shared" si="243"/>
        <v>108</v>
      </c>
      <c r="CP267" s="2350"/>
      <c r="CQ267" s="2350"/>
      <c r="CR267" s="212"/>
      <c r="CS267" s="212"/>
      <c r="CT267" s="194"/>
      <c r="CU267" s="194"/>
      <c r="CV267" s="194"/>
    </row>
    <row r="268" spans="1:100" x14ac:dyDescent="0.2">
      <c r="A268" s="2434" t="s">
        <v>2457</v>
      </c>
      <c r="B268" s="651"/>
      <c r="C268" s="236"/>
      <c r="D268" s="234"/>
      <c r="E268" s="234"/>
      <c r="F268" s="234"/>
      <c r="G268" s="234"/>
      <c r="H268" s="661"/>
      <c r="I268" s="847"/>
      <c r="J268" s="847"/>
      <c r="K268" s="847"/>
      <c r="L268" s="847"/>
      <c r="M268" s="661"/>
      <c r="N268" s="847"/>
      <c r="O268" s="847"/>
      <c r="P268" s="847"/>
      <c r="Q268" s="847"/>
      <c r="R268" s="661"/>
      <c r="S268" s="847"/>
      <c r="T268" s="847"/>
      <c r="U268" s="847"/>
      <c r="V268" s="847"/>
      <c r="W268" s="661"/>
      <c r="X268" s="847"/>
      <c r="Y268" s="847"/>
      <c r="Z268" s="847"/>
      <c r="AA268" s="847"/>
      <c r="AB268" s="661"/>
      <c r="AC268" s="847"/>
      <c r="AD268" s="847"/>
      <c r="AE268" s="847"/>
      <c r="AF268" s="847"/>
      <c r="AG268" s="661"/>
      <c r="AH268" s="847"/>
      <c r="AI268" s="847"/>
      <c r="AJ268" s="847"/>
      <c r="AK268" s="847"/>
      <c r="AL268" s="661"/>
      <c r="AM268" s="847"/>
      <c r="AN268" s="847"/>
      <c r="AO268" s="847"/>
      <c r="AP268" s="847"/>
      <c r="AQ268" s="661"/>
      <c r="AR268" s="847"/>
      <c r="AS268" s="847"/>
      <c r="AT268" s="847"/>
      <c r="AU268" s="847"/>
      <c r="AV268" s="661"/>
      <c r="AW268" s="847"/>
      <c r="AX268" s="847"/>
      <c r="AY268" s="847"/>
      <c r="AZ268" s="847"/>
      <c r="BA268" s="661"/>
      <c r="BB268" s="847"/>
      <c r="BC268" s="847"/>
      <c r="BD268" s="847"/>
      <c r="BE268" s="847"/>
      <c r="BF268" s="661"/>
      <c r="BG268" s="847"/>
      <c r="BH268" s="847"/>
      <c r="BI268" s="847"/>
      <c r="BJ268" s="847"/>
      <c r="BK268" s="661"/>
      <c r="BL268" s="847"/>
      <c r="BM268" s="847"/>
      <c r="BN268" s="847"/>
      <c r="BO268" s="847"/>
      <c r="BP268" s="661"/>
      <c r="BQ268" s="847"/>
      <c r="BR268" s="847"/>
      <c r="BS268" s="847"/>
      <c r="BT268" s="847"/>
      <c r="BU268" s="661"/>
      <c r="BV268" s="847"/>
      <c r="BW268" s="847"/>
      <c r="BX268" s="847"/>
      <c r="BY268" s="847"/>
      <c r="BZ268" s="661"/>
      <c r="CA268" s="847"/>
      <c r="CB268" s="847"/>
      <c r="CC268" s="847"/>
      <c r="CD268" s="847"/>
      <c r="CE268" s="661"/>
      <c r="CF268" s="847"/>
      <c r="CG268" s="3008"/>
      <c r="CH268" s="847">
        <f t="shared" si="241"/>
        <v>24</v>
      </c>
      <c r="CI268" s="847">
        <f t="shared" si="241"/>
        <v>25</v>
      </c>
      <c r="CJ268" s="661">
        <f t="shared" si="241"/>
        <v>25</v>
      </c>
      <c r="CK268" s="2350">
        <f t="shared" si="241"/>
        <v>24</v>
      </c>
      <c r="CL268" s="2350">
        <f t="shared" si="243"/>
        <v>25</v>
      </c>
      <c r="CM268" s="2350">
        <f t="shared" si="243"/>
        <v>26</v>
      </c>
      <c r="CN268" s="847">
        <f t="shared" si="243"/>
        <v>26</v>
      </c>
      <c r="CO268" s="661">
        <f t="shared" si="243"/>
        <v>26</v>
      </c>
      <c r="CP268" s="2350"/>
      <c r="CQ268" s="2350"/>
      <c r="CR268" s="212"/>
      <c r="CS268" s="212"/>
      <c r="CT268" s="194"/>
      <c r="CU268" s="194"/>
      <c r="CV268" s="194"/>
    </row>
    <row r="269" spans="1:100" x14ac:dyDescent="0.2">
      <c r="A269" s="2434" t="s">
        <v>2458</v>
      </c>
      <c r="B269" s="651"/>
      <c r="C269" s="236"/>
      <c r="D269" s="234"/>
      <c r="E269" s="234"/>
      <c r="F269" s="234"/>
      <c r="G269" s="234"/>
      <c r="H269" s="661"/>
      <c r="I269" s="847"/>
      <c r="J269" s="847"/>
      <c r="K269" s="847"/>
      <c r="L269" s="847"/>
      <c r="M269" s="661"/>
      <c r="N269" s="847"/>
      <c r="O269" s="847"/>
      <c r="P269" s="847"/>
      <c r="Q269" s="847"/>
      <c r="R269" s="661"/>
      <c r="S269" s="847"/>
      <c r="T269" s="847"/>
      <c r="U269" s="847"/>
      <c r="V269" s="847"/>
      <c r="W269" s="661"/>
      <c r="X269" s="847"/>
      <c r="Y269" s="847"/>
      <c r="Z269" s="847"/>
      <c r="AA269" s="847"/>
      <c r="AB269" s="661"/>
      <c r="AC269" s="847"/>
      <c r="AD269" s="847"/>
      <c r="AE269" s="847"/>
      <c r="AF269" s="847"/>
      <c r="AG269" s="661"/>
      <c r="AH269" s="847"/>
      <c r="AI269" s="847"/>
      <c r="AJ269" s="847"/>
      <c r="AK269" s="847"/>
      <c r="AL269" s="661"/>
      <c r="AM269" s="847"/>
      <c r="AN269" s="847"/>
      <c r="AO269" s="847"/>
      <c r="AP269" s="847"/>
      <c r="AQ269" s="661"/>
      <c r="AR269" s="847"/>
      <c r="AS269" s="847"/>
      <c r="AT269" s="847"/>
      <c r="AU269" s="847"/>
      <c r="AV269" s="661"/>
      <c r="AW269" s="847"/>
      <c r="AX269" s="847"/>
      <c r="AY269" s="847"/>
      <c r="AZ269" s="847"/>
      <c r="BA269" s="661"/>
      <c r="BB269" s="847"/>
      <c r="BC269" s="847"/>
      <c r="BD269" s="847"/>
      <c r="BE269" s="847"/>
      <c r="BF269" s="661"/>
      <c r="BG269" s="847"/>
      <c r="BH269" s="847"/>
      <c r="BI269" s="847"/>
      <c r="BJ269" s="847"/>
      <c r="BK269" s="661"/>
      <c r="BL269" s="847"/>
      <c r="BM269" s="847"/>
      <c r="BN269" s="847"/>
      <c r="BO269" s="847"/>
      <c r="BP269" s="661"/>
      <c r="BQ269" s="847"/>
      <c r="BR269" s="847"/>
      <c r="BS269" s="847"/>
      <c r="BT269" s="847"/>
      <c r="BU269" s="661"/>
      <c r="BV269" s="847"/>
      <c r="BW269" s="847"/>
      <c r="BX269" s="847"/>
      <c r="BY269" s="847"/>
      <c r="BZ269" s="661"/>
      <c r="CA269" s="847"/>
      <c r="CB269" s="847"/>
      <c r="CC269" s="847"/>
      <c r="CD269" s="847"/>
      <c r="CE269" s="661"/>
      <c r="CF269" s="847"/>
      <c r="CG269" s="3008"/>
      <c r="CH269" s="847">
        <f t="shared" si="241"/>
        <v>83</v>
      </c>
      <c r="CI269" s="847">
        <f t="shared" si="241"/>
        <v>83</v>
      </c>
      <c r="CJ269" s="661">
        <f t="shared" si="241"/>
        <v>83</v>
      </c>
      <c r="CK269" s="2350">
        <f t="shared" si="241"/>
        <v>83</v>
      </c>
      <c r="CL269" s="2350">
        <f t="shared" si="243"/>
        <v>86</v>
      </c>
      <c r="CM269" s="2350">
        <f t="shared" si="243"/>
        <v>88</v>
      </c>
      <c r="CN269" s="847">
        <f t="shared" si="243"/>
        <v>89</v>
      </c>
      <c r="CO269" s="661">
        <f t="shared" si="243"/>
        <v>89</v>
      </c>
      <c r="CP269" s="2350"/>
      <c r="CQ269" s="2350"/>
      <c r="CR269" s="212"/>
      <c r="CS269" s="212"/>
      <c r="CT269" s="194"/>
      <c r="CU269" s="194"/>
      <c r="CV269" s="194"/>
    </row>
    <row r="270" spans="1:100" x14ac:dyDescent="0.2">
      <c r="A270" s="2434" t="s">
        <v>2459</v>
      </c>
      <c r="B270" s="651"/>
      <c r="C270" s="236"/>
      <c r="D270" s="234"/>
      <c r="E270" s="234"/>
      <c r="F270" s="234"/>
      <c r="G270" s="234"/>
      <c r="H270" s="661"/>
      <c r="I270" s="847"/>
      <c r="J270" s="847"/>
      <c r="K270" s="847"/>
      <c r="L270" s="847"/>
      <c r="M270" s="661"/>
      <c r="N270" s="847"/>
      <c r="O270" s="847"/>
      <c r="P270" s="847"/>
      <c r="Q270" s="847"/>
      <c r="R270" s="661"/>
      <c r="S270" s="847"/>
      <c r="T270" s="847"/>
      <c r="U270" s="847"/>
      <c r="V270" s="847"/>
      <c r="W270" s="661"/>
      <c r="X270" s="847"/>
      <c r="Y270" s="847"/>
      <c r="Z270" s="847"/>
      <c r="AA270" s="847"/>
      <c r="AB270" s="661"/>
      <c r="AC270" s="847"/>
      <c r="AD270" s="847"/>
      <c r="AE270" s="847"/>
      <c r="AF270" s="847"/>
      <c r="AG270" s="661"/>
      <c r="AH270" s="847"/>
      <c r="AI270" s="847"/>
      <c r="AJ270" s="847"/>
      <c r="AK270" s="847"/>
      <c r="AL270" s="661"/>
      <c r="AM270" s="847"/>
      <c r="AN270" s="847"/>
      <c r="AO270" s="847"/>
      <c r="AP270" s="847"/>
      <c r="AQ270" s="661"/>
      <c r="AR270" s="847"/>
      <c r="AS270" s="847"/>
      <c r="AT270" s="847"/>
      <c r="AU270" s="847"/>
      <c r="AV270" s="661"/>
      <c r="AW270" s="847"/>
      <c r="AX270" s="847"/>
      <c r="AY270" s="847"/>
      <c r="AZ270" s="847"/>
      <c r="BA270" s="661"/>
      <c r="BB270" s="847"/>
      <c r="BC270" s="847"/>
      <c r="BD270" s="847"/>
      <c r="BE270" s="847"/>
      <c r="BF270" s="661"/>
      <c r="BG270" s="847"/>
      <c r="BH270" s="847"/>
      <c r="BI270" s="847"/>
      <c r="BJ270" s="847"/>
      <c r="BK270" s="661"/>
      <c r="BL270" s="847"/>
      <c r="BM270" s="847"/>
      <c r="BN270" s="847"/>
      <c r="BO270" s="847"/>
      <c r="BP270" s="661"/>
      <c r="BQ270" s="847"/>
      <c r="BR270" s="847"/>
      <c r="BS270" s="847"/>
      <c r="BT270" s="847"/>
      <c r="BU270" s="661"/>
      <c r="BV270" s="847"/>
      <c r="BW270" s="847"/>
      <c r="BX270" s="847"/>
      <c r="BY270" s="847"/>
      <c r="BZ270" s="661"/>
      <c r="CA270" s="847"/>
      <c r="CB270" s="847"/>
      <c r="CC270" s="847"/>
      <c r="CD270" s="847"/>
      <c r="CE270" s="661"/>
      <c r="CF270" s="847"/>
      <c r="CG270" s="3008"/>
      <c r="CH270" s="847">
        <f t="shared" si="241"/>
        <v>27</v>
      </c>
      <c r="CI270" s="847">
        <f t="shared" si="241"/>
        <v>28</v>
      </c>
      <c r="CJ270" s="661">
        <f t="shared" si="241"/>
        <v>28</v>
      </c>
      <c r="CK270" s="2350">
        <f t="shared" si="241"/>
        <v>29</v>
      </c>
      <c r="CL270" s="2350">
        <f t="shared" si="243"/>
        <v>31</v>
      </c>
      <c r="CM270" s="2350">
        <f t="shared" si="243"/>
        <v>32</v>
      </c>
      <c r="CN270" s="847">
        <f t="shared" si="243"/>
        <v>32</v>
      </c>
      <c r="CO270" s="661">
        <f t="shared" si="243"/>
        <v>32</v>
      </c>
      <c r="CP270" s="2350"/>
      <c r="CQ270" s="2350"/>
      <c r="CR270" s="212"/>
      <c r="CS270" s="212"/>
      <c r="CT270" s="194"/>
      <c r="CU270" s="194"/>
      <c r="CV270" s="194"/>
    </row>
    <row r="271" spans="1:100" x14ac:dyDescent="0.2">
      <c r="A271" s="2434" t="s">
        <v>2460</v>
      </c>
      <c r="B271" s="651"/>
      <c r="C271" s="236"/>
      <c r="D271" s="234"/>
      <c r="E271" s="234"/>
      <c r="F271" s="234"/>
      <c r="G271" s="234"/>
      <c r="H271" s="661"/>
      <c r="I271" s="847"/>
      <c r="J271" s="847"/>
      <c r="K271" s="847"/>
      <c r="L271" s="847"/>
      <c r="M271" s="661"/>
      <c r="N271" s="847"/>
      <c r="O271" s="847"/>
      <c r="P271" s="847"/>
      <c r="Q271" s="847"/>
      <c r="R271" s="661"/>
      <c r="S271" s="847"/>
      <c r="T271" s="847"/>
      <c r="U271" s="847"/>
      <c r="V271" s="847"/>
      <c r="W271" s="661"/>
      <c r="X271" s="847"/>
      <c r="Y271" s="847"/>
      <c r="Z271" s="847"/>
      <c r="AA271" s="847"/>
      <c r="AB271" s="661"/>
      <c r="AC271" s="847"/>
      <c r="AD271" s="847"/>
      <c r="AE271" s="847"/>
      <c r="AF271" s="847"/>
      <c r="AG271" s="661"/>
      <c r="AH271" s="847"/>
      <c r="AI271" s="847"/>
      <c r="AJ271" s="847"/>
      <c r="AK271" s="847"/>
      <c r="AL271" s="661"/>
      <c r="AM271" s="847"/>
      <c r="AN271" s="847"/>
      <c r="AO271" s="847"/>
      <c r="AP271" s="847"/>
      <c r="AQ271" s="661"/>
      <c r="AR271" s="847"/>
      <c r="AS271" s="847"/>
      <c r="AT271" s="847"/>
      <c r="AU271" s="847"/>
      <c r="AV271" s="661"/>
      <c r="AW271" s="847"/>
      <c r="AX271" s="847"/>
      <c r="AY271" s="847"/>
      <c r="AZ271" s="847"/>
      <c r="BA271" s="661"/>
      <c r="BB271" s="847"/>
      <c r="BC271" s="847"/>
      <c r="BD271" s="847"/>
      <c r="BE271" s="847"/>
      <c r="BF271" s="661"/>
      <c r="BG271" s="847"/>
      <c r="BH271" s="847"/>
      <c r="BI271" s="847"/>
      <c r="BJ271" s="847"/>
      <c r="BK271" s="661"/>
      <c r="BL271" s="847"/>
      <c r="BM271" s="847"/>
      <c r="BN271" s="847"/>
      <c r="BO271" s="847"/>
      <c r="BP271" s="661"/>
      <c r="BQ271" s="847"/>
      <c r="BR271" s="847"/>
      <c r="BS271" s="847"/>
      <c r="BT271" s="847"/>
      <c r="BU271" s="661"/>
      <c r="BV271" s="847"/>
      <c r="BW271" s="847"/>
      <c r="BX271" s="847"/>
      <c r="BY271" s="847"/>
      <c r="BZ271" s="661"/>
      <c r="CA271" s="847"/>
      <c r="CB271" s="847"/>
      <c r="CC271" s="847"/>
      <c r="CD271" s="847"/>
      <c r="CE271" s="661"/>
      <c r="CF271" s="847"/>
      <c r="CG271" s="3008"/>
      <c r="CH271" s="847">
        <f t="shared" si="241"/>
        <v>85</v>
      </c>
      <c r="CI271" s="847">
        <f t="shared" si="241"/>
        <v>86</v>
      </c>
      <c r="CJ271" s="661">
        <f t="shared" si="241"/>
        <v>86</v>
      </c>
      <c r="CK271" s="2350">
        <f t="shared" si="241"/>
        <v>87</v>
      </c>
      <c r="CL271" s="2350">
        <f t="shared" si="243"/>
        <v>87</v>
      </c>
      <c r="CM271" s="2350">
        <f t="shared" si="243"/>
        <v>88</v>
      </c>
      <c r="CN271" s="847">
        <f t="shared" si="243"/>
        <v>90</v>
      </c>
      <c r="CO271" s="661">
        <f t="shared" si="243"/>
        <v>90</v>
      </c>
      <c r="CP271" s="2350"/>
      <c r="CQ271" s="2350"/>
      <c r="CR271" s="212"/>
      <c r="CS271" s="212"/>
      <c r="CT271" s="194"/>
      <c r="CU271" s="194"/>
      <c r="CV271" s="194"/>
    </row>
    <row r="272" spans="1:100" x14ac:dyDescent="0.2">
      <c r="A272" s="2434" t="s">
        <v>2464</v>
      </c>
      <c r="B272" s="651"/>
      <c r="C272" s="236"/>
      <c r="D272" s="234"/>
      <c r="E272" s="234"/>
      <c r="F272" s="234"/>
      <c r="G272" s="234"/>
      <c r="H272" s="661"/>
      <c r="I272" s="847"/>
      <c r="J272" s="847"/>
      <c r="K272" s="847"/>
      <c r="L272" s="847"/>
      <c r="M272" s="661"/>
      <c r="N272" s="847"/>
      <c r="O272" s="847"/>
      <c r="P272" s="847"/>
      <c r="Q272" s="847"/>
      <c r="R272" s="661"/>
      <c r="S272" s="847"/>
      <c r="T272" s="847"/>
      <c r="U272" s="847"/>
      <c r="V272" s="847"/>
      <c r="W272" s="661"/>
      <c r="X272" s="847"/>
      <c r="Y272" s="847"/>
      <c r="Z272" s="847"/>
      <c r="AA272" s="847"/>
      <c r="AB272" s="661"/>
      <c r="AC272" s="847"/>
      <c r="AD272" s="847"/>
      <c r="AE272" s="847"/>
      <c r="AF272" s="847"/>
      <c r="AG272" s="661"/>
      <c r="AH272" s="847"/>
      <c r="AI272" s="847"/>
      <c r="AJ272" s="847"/>
      <c r="AK272" s="847"/>
      <c r="AL272" s="661"/>
      <c r="AM272" s="847"/>
      <c r="AN272" s="847"/>
      <c r="AO272" s="847"/>
      <c r="AP272" s="847"/>
      <c r="AQ272" s="661"/>
      <c r="AR272" s="847"/>
      <c r="AS272" s="847"/>
      <c r="AT272" s="847"/>
      <c r="AU272" s="847"/>
      <c r="AV272" s="661"/>
      <c r="AW272" s="847"/>
      <c r="AX272" s="847"/>
      <c r="AY272" s="847"/>
      <c r="AZ272" s="847"/>
      <c r="BA272" s="661"/>
      <c r="BB272" s="847"/>
      <c r="BC272" s="847"/>
      <c r="BD272" s="847"/>
      <c r="BE272" s="847"/>
      <c r="BF272" s="661"/>
      <c r="BG272" s="847"/>
      <c r="BH272" s="847"/>
      <c r="BI272" s="847"/>
      <c r="BJ272" s="847"/>
      <c r="BK272" s="661"/>
      <c r="BL272" s="847"/>
      <c r="BM272" s="847"/>
      <c r="BN272" s="847"/>
      <c r="BO272" s="847"/>
      <c r="BP272" s="661"/>
      <c r="BQ272" s="847"/>
      <c r="BR272" s="847"/>
      <c r="BS272" s="847"/>
      <c r="BT272" s="847"/>
      <c r="BU272" s="661"/>
      <c r="BV272" s="847"/>
      <c r="BW272" s="847"/>
      <c r="BX272" s="847"/>
      <c r="BY272" s="847"/>
      <c r="BZ272" s="661"/>
      <c r="CA272" s="847"/>
      <c r="CB272" s="847"/>
      <c r="CC272" s="847"/>
      <c r="CD272" s="847"/>
      <c r="CE272" s="661"/>
      <c r="CF272" s="847"/>
      <c r="CG272" s="3008"/>
      <c r="CH272" s="847">
        <f t="shared" si="241"/>
        <v>34</v>
      </c>
      <c r="CI272" s="847">
        <f t="shared" si="241"/>
        <v>35</v>
      </c>
      <c r="CJ272" s="661">
        <f t="shared" si="241"/>
        <v>35</v>
      </c>
      <c r="CK272" s="2350">
        <f t="shared" si="241"/>
        <v>37</v>
      </c>
      <c r="CL272" s="2350">
        <f t="shared" si="243"/>
        <v>39</v>
      </c>
      <c r="CM272" s="2350">
        <f t="shared" si="243"/>
        <v>40</v>
      </c>
      <c r="CN272" s="847">
        <f t="shared" si="243"/>
        <v>41</v>
      </c>
      <c r="CO272" s="661">
        <f t="shared" si="243"/>
        <v>41</v>
      </c>
      <c r="CP272" s="2350"/>
      <c r="CQ272" s="2350"/>
      <c r="CR272" s="212"/>
      <c r="CS272" s="212"/>
      <c r="CT272" s="194"/>
      <c r="CU272" s="194"/>
      <c r="CV272" s="194"/>
    </row>
    <row r="273" spans="1:256" x14ac:dyDescent="0.2">
      <c r="A273" s="2434" t="s">
        <v>2462</v>
      </c>
      <c r="B273" s="651"/>
      <c r="C273" s="236"/>
      <c r="D273" s="234"/>
      <c r="E273" s="234"/>
      <c r="F273" s="234"/>
      <c r="G273" s="234"/>
      <c r="H273" s="661"/>
      <c r="I273" s="847"/>
      <c r="J273" s="847"/>
      <c r="K273" s="847"/>
      <c r="L273" s="847"/>
      <c r="M273" s="661"/>
      <c r="N273" s="847"/>
      <c r="O273" s="847"/>
      <c r="P273" s="847"/>
      <c r="Q273" s="847"/>
      <c r="R273" s="661"/>
      <c r="S273" s="847"/>
      <c r="T273" s="847"/>
      <c r="U273" s="847"/>
      <c r="V273" s="847"/>
      <c r="W273" s="661"/>
      <c r="X273" s="847"/>
      <c r="Y273" s="847"/>
      <c r="Z273" s="847"/>
      <c r="AA273" s="847"/>
      <c r="AB273" s="661"/>
      <c r="AC273" s="847"/>
      <c r="AD273" s="847"/>
      <c r="AE273" s="847"/>
      <c r="AF273" s="847"/>
      <c r="AG273" s="661"/>
      <c r="AH273" s="847"/>
      <c r="AI273" s="847"/>
      <c r="AJ273" s="847"/>
      <c r="AK273" s="847"/>
      <c r="AL273" s="661"/>
      <c r="AM273" s="847"/>
      <c r="AN273" s="847"/>
      <c r="AO273" s="847"/>
      <c r="AP273" s="847"/>
      <c r="AQ273" s="661"/>
      <c r="AR273" s="847"/>
      <c r="AS273" s="847"/>
      <c r="AT273" s="847"/>
      <c r="AU273" s="847"/>
      <c r="AV273" s="661"/>
      <c r="AW273" s="847"/>
      <c r="AX273" s="847"/>
      <c r="AY273" s="847"/>
      <c r="AZ273" s="847"/>
      <c r="BA273" s="661"/>
      <c r="BB273" s="847"/>
      <c r="BC273" s="847"/>
      <c r="BD273" s="847"/>
      <c r="BE273" s="847"/>
      <c r="BF273" s="661"/>
      <c r="BG273" s="847"/>
      <c r="BH273" s="847"/>
      <c r="BI273" s="847"/>
      <c r="BJ273" s="847"/>
      <c r="BK273" s="661"/>
      <c r="BL273" s="847"/>
      <c r="BM273" s="847"/>
      <c r="BN273" s="847"/>
      <c r="BO273" s="847"/>
      <c r="BP273" s="661"/>
      <c r="BQ273" s="847"/>
      <c r="BR273" s="847"/>
      <c r="BS273" s="847"/>
      <c r="BT273" s="847"/>
      <c r="BU273" s="661"/>
      <c r="BV273" s="847"/>
      <c r="BW273" s="847"/>
      <c r="BX273" s="847"/>
      <c r="BY273" s="847"/>
      <c r="BZ273" s="661"/>
      <c r="CA273" s="847"/>
      <c r="CB273" s="847"/>
      <c r="CC273" s="847"/>
      <c r="CD273" s="847"/>
      <c r="CE273" s="661"/>
      <c r="CF273" s="847"/>
      <c r="CG273" s="3008"/>
      <c r="CH273" s="847">
        <f t="shared" si="241"/>
        <v>3</v>
      </c>
      <c r="CI273" s="847">
        <f t="shared" si="241"/>
        <v>3</v>
      </c>
      <c r="CJ273" s="661">
        <f t="shared" si="241"/>
        <v>3</v>
      </c>
      <c r="CK273" s="2350">
        <f t="shared" si="241"/>
        <v>3</v>
      </c>
      <c r="CL273" s="2350">
        <f t="shared" si="243"/>
        <v>5</v>
      </c>
      <c r="CM273" s="2350">
        <f t="shared" si="243"/>
        <v>6</v>
      </c>
      <c r="CN273" s="847">
        <f t="shared" si="243"/>
        <v>6</v>
      </c>
      <c r="CO273" s="661">
        <f t="shared" si="243"/>
        <v>6</v>
      </c>
      <c r="CP273" s="2350"/>
      <c r="CQ273" s="2350"/>
      <c r="CR273" s="212"/>
      <c r="CS273" s="212"/>
      <c r="CT273" s="194"/>
      <c r="CU273" s="194"/>
      <c r="CV273" s="194"/>
    </row>
    <row r="274" spans="1:256" x14ac:dyDescent="0.2">
      <c r="A274" s="2434" t="s">
        <v>2463</v>
      </c>
      <c r="B274" s="651"/>
      <c r="C274" s="236"/>
      <c r="D274" s="234"/>
      <c r="E274" s="234"/>
      <c r="F274" s="234"/>
      <c r="G274" s="234"/>
      <c r="H274" s="661"/>
      <c r="I274" s="847"/>
      <c r="J274" s="847"/>
      <c r="K274" s="847"/>
      <c r="L274" s="847"/>
      <c r="M274" s="661"/>
      <c r="N274" s="847"/>
      <c r="O274" s="847"/>
      <c r="P274" s="847"/>
      <c r="Q274" s="847"/>
      <c r="R274" s="661"/>
      <c r="S274" s="847"/>
      <c r="T274" s="847"/>
      <c r="U274" s="847"/>
      <c r="V274" s="847"/>
      <c r="W274" s="661"/>
      <c r="X274" s="847"/>
      <c r="Y274" s="847"/>
      <c r="Z274" s="847"/>
      <c r="AA274" s="847"/>
      <c r="AB274" s="661"/>
      <c r="AC274" s="847"/>
      <c r="AD274" s="847"/>
      <c r="AE274" s="847"/>
      <c r="AF274" s="847"/>
      <c r="AG274" s="661"/>
      <c r="AH274" s="847"/>
      <c r="AI274" s="847"/>
      <c r="AJ274" s="847"/>
      <c r="AK274" s="847"/>
      <c r="AL274" s="661"/>
      <c r="AM274" s="847"/>
      <c r="AN274" s="847"/>
      <c r="AO274" s="847"/>
      <c r="AP274" s="847"/>
      <c r="AQ274" s="661"/>
      <c r="AR274" s="847"/>
      <c r="AS274" s="847"/>
      <c r="AT274" s="847"/>
      <c r="AU274" s="847"/>
      <c r="AV274" s="661"/>
      <c r="AW274" s="847"/>
      <c r="AX274" s="847"/>
      <c r="AY274" s="847"/>
      <c r="AZ274" s="847"/>
      <c r="BA274" s="661"/>
      <c r="BB274" s="847"/>
      <c r="BC274" s="847"/>
      <c r="BD274" s="847"/>
      <c r="BE274" s="847"/>
      <c r="BF274" s="661"/>
      <c r="BG274" s="847"/>
      <c r="BH274" s="847"/>
      <c r="BI274" s="847"/>
      <c r="BJ274" s="847"/>
      <c r="BK274" s="661"/>
      <c r="BL274" s="847"/>
      <c r="BM274" s="847"/>
      <c r="BN274" s="847"/>
      <c r="BO274" s="847"/>
      <c r="BP274" s="661"/>
      <c r="BQ274" s="847"/>
      <c r="BR274" s="847"/>
      <c r="BS274" s="847"/>
      <c r="BT274" s="847"/>
      <c r="BU274" s="661"/>
      <c r="BV274" s="847"/>
      <c r="BW274" s="847"/>
      <c r="BX274" s="847"/>
      <c r="BY274" s="847"/>
      <c r="BZ274" s="661"/>
      <c r="CA274" s="847"/>
      <c r="CB274" s="847"/>
      <c r="CC274" s="847"/>
      <c r="CD274" s="847"/>
      <c r="CE274" s="661"/>
      <c r="CF274" s="847"/>
      <c r="CG274" s="3008"/>
      <c r="CH274" s="847">
        <f t="shared" si="241"/>
        <v>5</v>
      </c>
      <c r="CI274" s="847">
        <f t="shared" si="241"/>
        <v>9</v>
      </c>
      <c r="CJ274" s="661">
        <f t="shared" si="241"/>
        <v>9</v>
      </c>
      <c r="CK274" s="2350">
        <f t="shared" si="241"/>
        <v>10</v>
      </c>
      <c r="CL274" s="2350">
        <f t="shared" si="243"/>
        <v>10</v>
      </c>
      <c r="CM274" s="2350">
        <f t="shared" si="243"/>
        <v>11</v>
      </c>
      <c r="CN274" s="847">
        <f t="shared" si="243"/>
        <v>11</v>
      </c>
      <c r="CO274" s="661">
        <f t="shared" si="243"/>
        <v>11</v>
      </c>
      <c r="CP274" s="2350"/>
      <c r="CQ274" s="2350"/>
      <c r="CR274" s="212"/>
      <c r="CS274" s="212"/>
      <c r="CT274" s="194"/>
      <c r="CU274" s="194"/>
      <c r="CV274" s="194"/>
    </row>
    <row r="275" spans="1:256" x14ac:dyDescent="0.2">
      <c r="A275" s="1438" t="s">
        <v>1931</v>
      </c>
      <c r="B275" s="651"/>
      <c r="C275" s="236"/>
      <c r="D275" s="234"/>
      <c r="E275" s="234"/>
      <c r="F275" s="234"/>
      <c r="G275" s="234"/>
      <c r="H275" s="848"/>
      <c r="I275" s="845">
        <v>0</v>
      </c>
      <c r="J275" s="845">
        <v>0</v>
      </c>
      <c r="K275" s="845">
        <v>0</v>
      </c>
      <c r="L275" s="845">
        <v>0</v>
      </c>
      <c r="M275" s="848">
        <v>0</v>
      </c>
      <c r="N275" s="845">
        <v>0</v>
      </c>
      <c r="O275" s="845">
        <v>0</v>
      </c>
      <c r="P275" s="845">
        <v>0</v>
      </c>
      <c r="Q275" s="845">
        <v>0</v>
      </c>
      <c r="R275" s="848">
        <v>0</v>
      </c>
      <c r="S275" s="845">
        <v>0</v>
      </c>
      <c r="T275" s="845">
        <v>0</v>
      </c>
      <c r="U275" s="845">
        <v>0</v>
      </c>
      <c r="V275" s="845">
        <v>0</v>
      </c>
      <c r="W275" s="848">
        <v>0</v>
      </c>
      <c r="X275" s="845">
        <v>0</v>
      </c>
      <c r="Y275" s="845">
        <v>0</v>
      </c>
      <c r="Z275" s="845">
        <v>0</v>
      </c>
      <c r="AA275" s="845">
        <v>0</v>
      </c>
      <c r="AB275" s="848">
        <v>0</v>
      </c>
      <c r="AC275" s="845">
        <v>0</v>
      </c>
      <c r="AD275" s="845">
        <v>0</v>
      </c>
      <c r="AE275" s="845">
        <v>0</v>
      </c>
      <c r="AF275" s="845">
        <v>0</v>
      </c>
      <c r="AG275" s="848">
        <v>0</v>
      </c>
      <c r="AH275" s="845">
        <v>0</v>
      </c>
      <c r="AI275" s="845">
        <v>0</v>
      </c>
      <c r="AJ275" s="845">
        <v>0</v>
      </c>
      <c r="AK275" s="845">
        <v>0</v>
      </c>
      <c r="AL275" s="848">
        <v>0</v>
      </c>
      <c r="AM275" s="845">
        <v>0</v>
      </c>
      <c r="AN275" s="845">
        <v>0</v>
      </c>
      <c r="AO275" s="845">
        <v>0</v>
      </c>
      <c r="AP275" s="845">
        <v>0</v>
      </c>
      <c r="AQ275" s="848">
        <v>0</v>
      </c>
      <c r="AR275" s="845">
        <v>0</v>
      </c>
      <c r="AS275" s="845">
        <v>0</v>
      </c>
      <c r="AT275" s="845">
        <v>0</v>
      </c>
      <c r="AU275" s="845">
        <v>0</v>
      </c>
      <c r="AV275" s="848">
        <v>0</v>
      </c>
      <c r="AW275" s="845">
        <v>0</v>
      </c>
      <c r="AX275" s="845">
        <v>0</v>
      </c>
      <c r="AY275" s="845">
        <v>0</v>
      </c>
      <c r="AZ275" s="845">
        <v>0</v>
      </c>
      <c r="BA275" s="848">
        <v>0</v>
      </c>
      <c r="BB275" s="845">
        <v>0</v>
      </c>
      <c r="BC275" s="845">
        <v>0</v>
      </c>
      <c r="BD275" s="845">
        <v>0</v>
      </c>
      <c r="BE275" s="845">
        <v>0</v>
      </c>
      <c r="BF275" s="848">
        <v>0</v>
      </c>
      <c r="BG275" s="845">
        <v>0</v>
      </c>
      <c r="BH275" s="845">
        <v>0</v>
      </c>
      <c r="BI275" s="845">
        <v>0</v>
      </c>
      <c r="BJ275" s="845">
        <v>0</v>
      </c>
      <c r="BK275" s="848">
        <v>0</v>
      </c>
      <c r="BL275" s="845">
        <v>0</v>
      </c>
      <c r="BM275" s="845">
        <v>0</v>
      </c>
      <c r="BN275" s="845">
        <v>0</v>
      </c>
      <c r="BO275" s="845">
        <v>0</v>
      </c>
      <c r="BP275" s="848">
        <v>0</v>
      </c>
      <c r="BQ275" s="845">
        <v>7</v>
      </c>
      <c r="BR275" s="1626">
        <v>7</v>
      </c>
      <c r="BS275" s="1626">
        <v>7</v>
      </c>
      <c r="BT275" s="845">
        <v>10</v>
      </c>
      <c r="BU275" s="752">
        <f>+BT275</f>
        <v>10</v>
      </c>
      <c r="BV275" s="845">
        <v>10</v>
      </c>
      <c r="BW275" s="845">
        <v>10</v>
      </c>
      <c r="BX275" s="845">
        <v>10</v>
      </c>
      <c r="BY275" s="845">
        <v>11</v>
      </c>
      <c r="BZ275" s="752">
        <f>+BY275</f>
        <v>11</v>
      </c>
      <c r="CA275" s="845">
        <f>9</f>
        <v>9</v>
      </c>
      <c r="CB275" s="845">
        <f>9</f>
        <v>9</v>
      </c>
      <c r="CC275" s="845">
        <v>9</v>
      </c>
      <c r="CD275" s="845">
        <v>9</v>
      </c>
      <c r="CE275" s="752">
        <f>+CD275</f>
        <v>9</v>
      </c>
      <c r="CF275" s="845">
        <f>8+1</f>
        <v>9</v>
      </c>
      <c r="CG275" s="3008">
        <f>9+CG175+CG208+CG241</f>
        <v>10</v>
      </c>
      <c r="CH275" s="3184">
        <f>90+CH241+CH208+CH175</f>
        <v>103</v>
      </c>
      <c r="CI275" s="3184">
        <f>89+CI241+CI208+CI175</f>
        <v>103</v>
      </c>
      <c r="CJ275" s="661">
        <f>+CI275</f>
        <v>103</v>
      </c>
      <c r="CK275" s="3503">
        <f>89+CK241+CK208+CK175</f>
        <v>103</v>
      </c>
      <c r="CL275" s="3503">
        <f>93+CL241+CL208+CL175</f>
        <v>109</v>
      </c>
      <c r="CM275" s="3503">
        <f>96+CM241+CM208+CM175</f>
        <v>126</v>
      </c>
      <c r="CN275" s="3184">
        <f>98+CN241+CN208+CN175</f>
        <v>129</v>
      </c>
      <c r="CO275" s="661">
        <f>+CN275</f>
        <v>129</v>
      </c>
      <c r="CP275" s="3503"/>
      <c r="CQ275" s="3503"/>
      <c r="CR275" s="212"/>
      <c r="CS275" s="212"/>
      <c r="CT275" s="194"/>
      <c r="CU275" s="194"/>
      <c r="CV275" s="194"/>
    </row>
    <row r="276" spans="1:256" x14ac:dyDescent="0.2">
      <c r="A276" s="331" t="s">
        <v>657</v>
      </c>
      <c r="B276" s="1439"/>
      <c r="C276" s="1440"/>
      <c r="D276" s="1441"/>
      <c r="E276" s="1441"/>
      <c r="F276" s="1441"/>
      <c r="G276" s="1441"/>
      <c r="H276" s="1442"/>
      <c r="I276" s="938">
        <f t="shared" ref="I276:AN276" si="244">SUM(I247:I275)</f>
        <v>327</v>
      </c>
      <c r="J276" s="938">
        <f t="shared" si="244"/>
        <v>347</v>
      </c>
      <c r="K276" s="938">
        <f t="shared" si="244"/>
        <v>418</v>
      </c>
      <c r="L276" s="938">
        <f t="shared" si="244"/>
        <v>428</v>
      </c>
      <c r="M276" s="1442">
        <f t="shared" si="244"/>
        <v>428</v>
      </c>
      <c r="N276" s="938">
        <f t="shared" si="244"/>
        <v>435</v>
      </c>
      <c r="O276" s="938">
        <f t="shared" si="244"/>
        <v>439</v>
      </c>
      <c r="P276" s="938">
        <f t="shared" si="244"/>
        <v>450</v>
      </c>
      <c r="Q276" s="938">
        <f t="shared" si="244"/>
        <v>457</v>
      </c>
      <c r="R276" s="1442">
        <f t="shared" si="244"/>
        <v>457</v>
      </c>
      <c r="S276" s="938">
        <f t="shared" si="244"/>
        <v>468</v>
      </c>
      <c r="T276" s="938">
        <f t="shared" si="244"/>
        <v>489</v>
      </c>
      <c r="U276" s="938">
        <f t="shared" si="244"/>
        <v>503</v>
      </c>
      <c r="V276" s="938">
        <f t="shared" si="244"/>
        <v>521</v>
      </c>
      <c r="W276" s="1442">
        <f t="shared" si="244"/>
        <v>521</v>
      </c>
      <c r="X276" s="938">
        <f t="shared" si="244"/>
        <v>537</v>
      </c>
      <c r="Y276" s="938">
        <f t="shared" si="244"/>
        <v>551</v>
      </c>
      <c r="Z276" s="938">
        <f t="shared" si="244"/>
        <v>554</v>
      </c>
      <c r="AA276" s="938">
        <f t="shared" si="244"/>
        <v>359</v>
      </c>
      <c r="AB276" s="1442">
        <f t="shared" si="244"/>
        <v>359</v>
      </c>
      <c r="AC276" s="938">
        <f t="shared" si="244"/>
        <v>364</v>
      </c>
      <c r="AD276" s="938">
        <f t="shared" si="244"/>
        <v>370</v>
      </c>
      <c r="AE276" s="938">
        <f t="shared" si="244"/>
        <v>376</v>
      </c>
      <c r="AF276" s="938">
        <f t="shared" si="244"/>
        <v>382</v>
      </c>
      <c r="AG276" s="1442">
        <f t="shared" si="244"/>
        <v>381</v>
      </c>
      <c r="AH276" s="938">
        <f t="shared" si="244"/>
        <v>387</v>
      </c>
      <c r="AI276" s="938">
        <f t="shared" si="244"/>
        <v>390</v>
      </c>
      <c r="AJ276" s="938">
        <f t="shared" si="244"/>
        <v>398</v>
      </c>
      <c r="AK276" s="938">
        <f t="shared" si="244"/>
        <v>402</v>
      </c>
      <c r="AL276" s="1442">
        <f t="shared" si="244"/>
        <v>402</v>
      </c>
      <c r="AM276" s="938">
        <f t="shared" si="244"/>
        <v>406</v>
      </c>
      <c r="AN276" s="938">
        <f t="shared" si="244"/>
        <v>400</v>
      </c>
      <c r="AO276" s="938">
        <f t="shared" ref="AO276:BE276" si="245">SUM(AO247:AO275)</f>
        <v>406</v>
      </c>
      <c r="AP276" s="938">
        <f t="shared" si="245"/>
        <v>405</v>
      </c>
      <c r="AQ276" s="1442">
        <f t="shared" si="245"/>
        <v>405</v>
      </c>
      <c r="AR276" s="938">
        <f t="shared" si="245"/>
        <v>400</v>
      </c>
      <c r="AS276" s="938">
        <f t="shared" si="245"/>
        <v>404</v>
      </c>
      <c r="AT276" s="938">
        <f t="shared" si="245"/>
        <v>406</v>
      </c>
      <c r="AU276" s="938">
        <f t="shared" si="245"/>
        <v>414</v>
      </c>
      <c r="AV276" s="1442">
        <f t="shared" si="245"/>
        <v>414</v>
      </c>
      <c r="AW276" s="938">
        <f t="shared" si="245"/>
        <v>420</v>
      </c>
      <c r="AX276" s="938">
        <f t="shared" si="245"/>
        <v>428</v>
      </c>
      <c r="AY276" s="938">
        <f t="shared" si="245"/>
        <v>429</v>
      </c>
      <c r="AZ276" s="938">
        <f t="shared" si="245"/>
        <v>435</v>
      </c>
      <c r="BA276" s="1442">
        <f t="shared" si="245"/>
        <v>435</v>
      </c>
      <c r="BB276" s="938">
        <f t="shared" si="245"/>
        <v>442</v>
      </c>
      <c r="BC276" s="938">
        <f t="shared" si="245"/>
        <v>444</v>
      </c>
      <c r="BD276" s="938">
        <f t="shared" si="245"/>
        <v>451</v>
      </c>
      <c r="BE276" s="938">
        <f t="shared" si="245"/>
        <v>455</v>
      </c>
      <c r="BF276" s="1442">
        <f t="shared" ref="BF276:CG276" si="246">SUM(BF246:BF263,BF275)</f>
        <v>455</v>
      </c>
      <c r="BG276" s="938">
        <f t="shared" si="246"/>
        <v>468</v>
      </c>
      <c r="BH276" s="938">
        <f t="shared" si="246"/>
        <v>473</v>
      </c>
      <c r="BI276" s="938">
        <f t="shared" si="246"/>
        <v>483</v>
      </c>
      <c r="BJ276" s="938">
        <f t="shared" si="246"/>
        <v>494</v>
      </c>
      <c r="BK276" s="1442">
        <f t="shared" si="246"/>
        <v>494</v>
      </c>
      <c r="BL276" s="938">
        <f t="shared" si="246"/>
        <v>500</v>
      </c>
      <c r="BM276" s="938">
        <f t="shared" si="246"/>
        <v>501</v>
      </c>
      <c r="BN276" s="938">
        <f t="shared" si="246"/>
        <v>506</v>
      </c>
      <c r="BO276" s="938">
        <f t="shared" si="246"/>
        <v>517</v>
      </c>
      <c r="BP276" s="1442">
        <f t="shared" si="246"/>
        <v>517</v>
      </c>
      <c r="BQ276" s="938">
        <f t="shared" si="246"/>
        <v>548</v>
      </c>
      <c r="BR276" s="938">
        <f t="shared" si="246"/>
        <v>551</v>
      </c>
      <c r="BS276" s="938">
        <f t="shared" si="246"/>
        <v>563</v>
      </c>
      <c r="BT276" s="938">
        <f t="shared" si="246"/>
        <v>581</v>
      </c>
      <c r="BU276" s="1442">
        <f t="shared" si="246"/>
        <v>581</v>
      </c>
      <c r="BV276" s="938">
        <f t="shared" si="246"/>
        <v>592</v>
      </c>
      <c r="BW276" s="938">
        <f t="shared" si="246"/>
        <v>715</v>
      </c>
      <c r="BX276" s="938">
        <f t="shared" si="246"/>
        <v>718</v>
      </c>
      <c r="BY276" s="938">
        <f t="shared" si="246"/>
        <v>736</v>
      </c>
      <c r="BZ276" s="1442">
        <f t="shared" si="246"/>
        <v>736</v>
      </c>
      <c r="CA276" s="938">
        <f t="shared" si="246"/>
        <v>664</v>
      </c>
      <c r="CB276" s="938">
        <f t="shared" si="246"/>
        <v>668</v>
      </c>
      <c r="CC276" s="938">
        <f t="shared" si="246"/>
        <v>681</v>
      </c>
      <c r="CD276" s="938">
        <f t="shared" si="246"/>
        <v>698</v>
      </c>
      <c r="CE276" s="1442">
        <f t="shared" si="246"/>
        <v>698</v>
      </c>
      <c r="CF276" s="938">
        <f t="shared" si="246"/>
        <v>704</v>
      </c>
      <c r="CG276" s="938">
        <f t="shared" si="246"/>
        <v>715</v>
      </c>
      <c r="CH276" s="938">
        <f>SUM(CH246:CH263,CH275)</f>
        <v>820</v>
      </c>
      <c r="CI276" s="938">
        <f>SUM(CI246:CI275)</f>
        <v>1551</v>
      </c>
      <c r="CJ276" s="1442">
        <f t="shared" ref="CJ276:CL276" si="247">SUM(CJ246:CJ275)</f>
        <v>1551</v>
      </c>
      <c r="CK276" s="3505">
        <f t="shared" si="247"/>
        <v>1565</v>
      </c>
      <c r="CL276" s="3505">
        <f t="shared" si="247"/>
        <v>1590</v>
      </c>
      <c r="CM276" s="3505">
        <f>SUM(CM246:CM275)</f>
        <v>1642</v>
      </c>
      <c r="CN276" s="938">
        <f>SUM(CN246:CN275)</f>
        <v>1681</v>
      </c>
      <c r="CO276" s="1442">
        <f t="shared" ref="CO276" si="248">SUM(CO246:CO275)</f>
        <v>1681</v>
      </c>
      <c r="CP276" s="3505"/>
      <c r="CQ276" s="3505"/>
      <c r="CR276" s="938"/>
      <c r="CS276" s="938"/>
      <c r="CT276" s="1442">
        <f>SUM(CT247:CT275)</f>
        <v>0</v>
      </c>
      <c r="CU276" s="1442">
        <f>SUM(CU247:CU275)</f>
        <v>0</v>
      </c>
      <c r="CV276" s="1442">
        <f>SUM(CV247:CV275)</f>
        <v>0</v>
      </c>
      <c r="DB276" s="217"/>
    </row>
    <row r="277" spans="1:256" x14ac:dyDescent="0.2">
      <c r="A277" s="1654" t="s">
        <v>932</v>
      </c>
      <c r="B277" s="374"/>
      <c r="C277" s="78"/>
      <c r="D277" s="374"/>
      <c r="E277" s="374"/>
      <c r="F277" s="374"/>
      <c r="G277" s="374"/>
      <c r="H277" s="78"/>
      <c r="I277" s="1582"/>
      <c r="J277" s="1582">
        <f>+J276-I276</f>
        <v>20</v>
      </c>
      <c r="K277" s="1582">
        <f>+K276-J276</f>
        <v>71</v>
      </c>
      <c r="L277" s="1582">
        <f>+L276-K276</f>
        <v>10</v>
      </c>
      <c r="M277" s="78"/>
      <c r="N277" s="1582">
        <f>+N276-M276</f>
        <v>7</v>
      </c>
      <c r="O277" s="1582">
        <f>+O276-N276</f>
        <v>4</v>
      </c>
      <c r="P277" s="1582">
        <f>+P276-O276</f>
        <v>11</v>
      </c>
      <c r="Q277" s="1582">
        <f>+Q276-P276</f>
        <v>7</v>
      </c>
      <c r="R277" s="1649"/>
      <c r="S277" s="1582">
        <f>+S276-R276</f>
        <v>11</v>
      </c>
      <c r="T277" s="1582">
        <f>+T276-S276</f>
        <v>21</v>
      </c>
      <c r="U277" s="1582">
        <f>+U276-T276</f>
        <v>14</v>
      </c>
      <c r="V277" s="1582">
        <f>+V276-U276</f>
        <v>18</v>
      </c>
      <c r="W277" s="1649"/>
      <c r="X277" s="1582">
        <f>+X276-W276</f>
        <v>16</v>
      </c>
      <c r="Y277" s="1582">
        <f>+Y276-X276</f>
        <v>14</v>
      </c>
      <c r="Z277" s="1582">
        <f>+Z276-Y276</f>
        <v>3</v>
      </c>
      <c r="AA277" s="1582">
        <f>+AA276-Z276</f>
        <v>-195</v>
      </c>
      <c r="AB277" s="1649"/>
      <c r="AC277" s="1582">
        <f>+AC276-AB276</f>
        <v>5</v>
      </c>
      <c r="AD277" s="1582">
        <f>+AD276-AC276</f>
        <v>6</v>
      </c>
      <c r="AE277" s="1582">
        <f>+AE276-AD276</f>
        <v>6</v>
      </c>
      <c r="AF277" s="1582">
        <f>+AF276-AE276</f>
        <v>6</v>
      </c>
      <c r="AG277" s="1649"/>
      <c r="AH277" s="1582">
        <f>+AH276-AG276</f>
        <v>6</v>
      </c>
      <c r="AI277" s="1582">
        <f>+AI276-AH276</f>
        <v>3</v>
      </c>
      <c r="AJ277" s="1582">
        <f>+AJ276-AI276</f>
        <v>8</v>
      </c>
      <c r="AK277" s="1582">
        <f>+AK276-AJ276</f>
        <v>4</v>
      </c>
      <c r="AL277" s="1649"/>
      <c r="AM277" s="1582">
        <f>+AM276-AL276</f>
        <v>4</v>
      </c>
      <c r="AN277" s="1582">
        <f>+AN276-AM276</f>
        <v>-6</v>
      </c>
      <c r="AO277" s="1582">
        <f>+AO276-AN276</f>
        <v>6</v>
      </c>
      <c r="AP277" s="1582">
        <f>+AP276-AO276</f>
        <v>-1</v>
      </c>
      <c r="AQ277" s="1649"/>
      <c r="AR277" s="1582">
        <f>+AR276-AQ276</f>
        <v>-5</v>
      </c>
      <c r="AS277" s="1582">
        <f>+AS276-AR276</f>
        <v>4</v>
      </c>
      <c r="AT277" s="1582">
        <f>+AT276-AS276</f>
        <v>2</v>
      </c>
      <c r="AU277" s="1582">
        <f>+AU276-AT276</f>
        <v>8</v>
      </c>
      <c r="AV277" s="1649"/>
      <c r="AW277" s="1582">
        <f>+AW276-AV276</f>
        <v>6</v>
      </c>
      <c r="AX277" s="1582">
        <f>+AX276-AW276</f>
        <v>8</v>
      </c>
      <c r="AY277" s="1582">
        <f>+AY276-AX276</f>
        <v>1</v>
      </c>
      <c r="AZ277" s="1582">
        <f>+AZ276-AY276</f>
        <v>6</v>
      </c>
      <c r="BA277" s="1649"/>
      <c r="BB277" s="1582">
        <f>+BB276-BA276</f>
        <v>7</v>
      </c>
      <c r="BC277" s="1582">
        <f>+BC276-BB276</f>
        <v>2</v>
      </c>
      <c r="BD277" s="1582">
        <f>+BD276-BC276</f>
        <v>7</v>
      </c>
      <c r="BE277" s="1582">
        <f>+BE276-BD276</f>
        <v>4</v>
      </c>
      <c r="BF277" s="1649"/>
      <c r="BG277" s="1582">
        <f>+BG276-BF276</f>
        <v>13</v>
      </c>
      <c r="BH277" s="1582">
        <f>+BH276-BG276</f>
        <v>5</v>
      </c>
      <c r="BI277" s="1582">
        <f>+BI276-BH276</f>
        <v>10</v>
      </c>
      <c r="BJ277" s="1582">
        <f>+BJ276-BI276</f>
        <v>11</v>
      </c>
      <c r="BK277" s="1649"/>
      <c r="BL277" s="1582">
        <f>+BL276-BK276</f>
        <v>6</v>
      </c>
      <c r="BM277" s="1582">
        <f>+BM276-BL276</f>
        <v>1</v>
      </c>
      <c r="BN277" s="1582">
        <f>+BN276-BM276</f>
        <v>5</v>
      </c>
      <c r="BO277" s="1582">
        <f>+BO276-BN276</f>
        <v>11</v>
      </c>
      <c r="BP277" s="1649"/>
      <c r="BQ277" s="1582">
        <f>+BQ276-BP276</f>
        <v>31</v>
      </c>
      <c r="BR277" s="1582">
        <f>+BR276-BQ276</f>
        <v>3</v>
      </c>
      <c r="BS277" s="1582">
        <f>+BS276-BR276</f>
        <v>12</v>
      </c>
      <c r="BT277" s="1582">
        <f>+BT276-BS276</f>
        <v>18</v>
      </c>
      <c r="BU277" s="1649"/>
      <c r="BV277" s="1582">
        <f>+BV276-BU276</f>
        <v>11</v>
      </c>
      <c r="BW277" s="1582">
        <f>+BW276-BV276</f>
        <v>123</v>
      </c>
      <c r="BX277" s="1582">
        <f>+BX276-BW276</f>
        <v>3</v>
      </c>
      <c r="BY277" s="1582">
        <f>+BY276-BX276</f>
        <v>18</v>
      </c>
      <c r="BZ277" s="1649"/>
      <c r="CA277" s="1582">
        <f>+CA276-BZ276</f>
        <v>-72</v>
      </c>
      <c r="CB277" s="1582">
        <f>+CB276-CA276</f>
        <v>4</v>
      </c>
      <c r="CC277" s="1582">
        <f>+CC276-CB276</f>
        <v>13</v>
      </c>
      <c r="CD277" s="1582">
        <f>+CD276-CC276</f>
        <v>17</v>
      </c>
      <c r="CE277" s="1649"/>
      <c r="CF277" s="1582">
        <f>+CF276-CE276</f>
        <v>6</v>
      </c>
      <c r="CG277" s="1582">
        <f>+CG276-CF276</f>
        <v>11</v>
      </c>
      <c r="CH277" s="1582">
        <f>+CH276-CG276</f>
        <v>105</v>
      </c>
      <c r="CI277" s="1582">
        <f>+CI276-CH276</f>
        <v>731</v>
      </c>
      <c r="CJ277" s="1649"/>
      <c r="CK277" s="3506">
        <f>+CK276-CJ276</f>
        <v>14</v>
      </c>
      <c r="CL277" s="3506">
        <f>+CL276-CK276</f>
        <v>25</v>
      </c>
      <c r="CM277" s="3506">
        <f>+CM276-CL276</f>
        <v>52</v>
      </c>
      <c r="CN277" s="1582">
        <f>+CN276-CM276</f>
        <v>39</v>
      </c>
      <c r="CO277" s="1649"/>
      <c r="CP277" s="3506"/>
      <c r="CQ277" s="3506"/>
      <c r="CR277" s="1582"/>
      <c r="CS277" s="1582"/>
      <c r="CT277" s="1649"/>
      <c r="CU277" s="1649"/>
      <c r="CV277" s="1649"/>
      <c r="CW277" s="374"/>
      <c r="CX277" s="374"/>
      <c r="CY277" s="374"/>
      <c r="CZ277" s="374"/>
      <c r="DA277" s="374"/>
      <c r="DB277" s="374"/>
      <c r="DC277" s="374"/>
      <c r="DD277" s="374"/>
      <c r="DE277" s="374"/>
      <c r="DF277" s="374"/>
      <c r="DG277" s="374"/>
      <c r="DH277" s="374"/>
      <c r="DI277" s="374"/>
      <c r="DJ277" s="374"/>
      <c r="DK277" s="374"/>
      <c r="DL277" s="374"/>
      <c r="DM277" s="374"/>
      <c r="DN277" s="374"/>
      <c r="DO277" s="374"/>
      <c r="DP277" s="374"/>
      <c r="DQ277" s="374"/>
      <c r="DR277" s="374"/>
      <c r="DS277" s="374"/>
      <c r="DT277" s="374"/>
      <c r="DU277" s="374"/>
      <c r="DV277" s="374"/>
      <c r="DW277" s="374"/>
      <c r="DX277" s="374"/>
      <c r="DY277" s="374"/>
      <c r="DZ277" s="374"/>
      <c r="EA277" s="374"/>
      <c r="EB277" s="374"/>
      <c r="EC277" s="374"/>
      <c r="ED277" s="374"/>
      <c r="EE277" s="374"/>
      <c r="EF277" s="374"/>
      <c r="EG277" s="374"/>
      <c r="EH277" s="374"/>
      <c r="EI277" s="374"/>
      <c r="EJ277" s="374"/>
      <c r="EK277" s="374"/>
      <c r="EL277" s="374"/>
      <c r="EM277" s="374"/>
      <c r="EN277" s="374"/>
      <c r="EO277" s="374"/>
      <c r="EP277" s="374"/>
      <c r="EQ277" s="374"/>
      <c r="ER277" s="374"/>
      <c r="ES277" s="374"/>
      <c r="ET277" s="374"/>
      <c r="EU277" s="374"/>
      <c r="EV277" s="374"/>
      <c r="EW277" s="374"/>
      <c r="EX277" s="374"/>
      <c r="EY277" s="374"/>
      <c r="EZ277" s="374"/>
      <c r="FA277" s="374"/>
      <c r="FB277" s="374"/>
      <c r="FC277" s="374"/>
      <c r="FD277" s="374"/>
      <c r="FE277" s="374"/>
      <c r="FF277" s="374"/>
      <c r="FG277" s="374"/>
      <c r="FH277" s="374"/>
      <c r="FI277" s="374"/>
      <c r="FJ277" s="374"/>
      <c r="FK277" s="374"/>
      <c r="FL277" s="374"/>
      <c r="FM277" s="374"/>
      <c r="FN277" s="374"/>
      <c r="FO277" s="374"/>
      <c r="FP277" s="374"/>
      <c r="FQ277" s="374"/>
      <c r="FR277" s="374"/>
      <c r="FS277" s="374"/>
      <c r="FT277" s="374"/>
      <c r="FU277" s="374"/>
      <c r="FV277" s="374"/>
      <c r="FW277" s="374"/>
      <c r="FX277" s="374"/>
      <c r="FY277" s="374"/>
      <c r="FZ277" s="374"/>
      <c r="GA277" s="374"/>
      <c r="GB277" s="374"/>
      <c r="GC277" s="374"/>
      <c r="GD277" s="374"/>
      <c r="GE277" s="374"/>
      <c r="GF277" s="374"/>
      <c r="GG277" s="374"/>
      <c r="GH277" s="374"/>
      <c r="GI277" s="374"/>
      <c r="GJ277" s="374"/>
      <c r="GK277" s="374"/>
      <c r="GL277" s="374"/>
      <c r="GM277" s="374"/>
      <c r="GN277" s="374"/>
      <c r="GO277" s="374"/>
      <c r="GP277" s="374"/>
      <c r="GQ277" s="374"/>
      <c r="GR277" s="374"/>
      <c r="GS277" s="374"/>
      <c r="GT277" s="374"/>
      <c r="GU277" s="374"/>
      <c r="GV277" s="374"/>
      <c r="GW277" s="374"/>
      <c r="GX277" s="374"/>
      <c r="GY277" s="374"/>
      <c r="GZ277" s="374"/>
      <c r="HA277" s="374"/>
      <c r="HB277" s="374"/>
      <c r="HC277" s="374"/>
      <c r="HD277" s="374"/>
      <c r="HE277" s="374"/>
      <c r="HF277" s="374"/>
      <c r="HG277" s="374"/>
      <c r="HH277" s="374"/>
      <c r="HI277" s="374"/>
      <c r="HJ277" s="374"/>
      <c r="HK277" s="374"/>
      <c r="HL277" s="374"/>
      <c r="HM277" s="374"/>
      <c r="HN277" s="374"/>
      <c r="HO277" s="374"/>
      <c r="HP277" s="374"/>
      <c r="HQ277" s="374"/>
      <c r="HR277" s="374"/>
      <c r="HS277" s="374"/>
      <c r="HT277" s="374"/>
      <c r="HU277" s="374"/>
      <c r="HV277" s="374"/>
      <c r="HW277" s="374"/>
      <c r="HX277" s="374"/>
      <c r="HY277" s="374"/>
      <c r="HZ277" s="374"/>
      <c r="IA277" s="374"/>
      <c r="IB277" s="374"/>
      <c r="IC277" s="374"/>
      <c r="ID277" s="374"/>
      <c r="IE277" s="374"/>
      <c r="IF277" s="374"/>
      <c r="IG277" s="374"/>
      <c r="IH277" s="374"/>
      <c r="II277" s="374"/>
      <c r="IJ277" s="374"/>
      <c r="IK277" s="374"/>
      <c r="IL277" s="374"/>
      <c r="IM277" s="374"/>
      <c r="IN277" s="374"/>
      <c r="IO277" s="374"/>
      <c r="IP277" s="374"/>
      <c r="IQ277" s="374"/>
      <c r="IR277" s="374"/>
      <c r="IS277" s="374"/>
      <c r="IT277" s="374"/>
      <c r="IU277" s="374"/>
      <c r="IV277" s="374"/>
    </row>
    <row r="278" spans="1:256" x14ac:dyDescent="0.2">
      <c r="A278" s="1651" t="s">
        <v>931</v>
      </c>
      <c r="B278" s="9"/>
      <c r="C278" s="9"/>
      <c r="D278" s="9"/>
      <c r="E278" s="9"/>
      <c r="F278" s="9"/>
      <c r="G278" s="9"/>
      <c r="H278" s="77"/>
      <c r="I278" s="9"/>
      <c r="J278" s="9"/>
      <c r="K278" s="9"/>
      <c r="L278" s="9"/>
      <c r="M278" s="77"/>
      <c r="N278" s="1652">
        <f t="shared" ref="N278:AS278" si="249">N276-I276</f>
        <v>108</v>
      </c>
      <c r="O278" s="1652">
        <f t="shared" si="249"/>
        <v>92</v>
      </c>
      <c r="P278" s="1652">
        <f t="shared" si="249"/>
        <v>32</v>
      </c>
      <c r="Q278" s="1652">
        <f t="shared" si="249"/>
        <v>29</v>
      </c>
      <c r="R278" s="2169">
        <f t="shared" si="249"/>
        <v>29</v>
      </c>
      <c r="S278" s="1652">
        <f t="shared" si="249"/>
        <v>33</v>
      </c>
      <c r="T278" s="1652">
        <f t="shared" si="249"/>
        <v>50</v>
      </c>
      <c r="U278" s="1652">
        <f t="shared" si="249"/>
        <v>53</v>
      </c>
      <c r="V278" s="1652">
        <f t="shared" si="249"/>
        <v>64</v>
      </c>
      <c r="W278" s="2169">
        <f t="shared" si="249"/>
        <v>64</v>
      </c>
      <c r="X278" s="1652">
        <f t="shared" si="249"/>
        <v>69</v>
      </c>
      <c r="Y278" s="1652">
        <f t="shared" si="249"/>
        <v>62</v>
      </c>
      <c r="Z278" s="1652">
        <f t="shared" si="249"/>
        <v>51</v>
      </c>
      <c r="AA278" s="1652">
        <f t="shared" si="249"/>
        <v>-162</v>
      </c>
      <c r="AB278" s="2169">
        <f t="shared" si="249"/>
        <v>-162</v>
      </c>
      <c r="AC278" s="1652">
        <f t="shared" si="249"/>
        <v>-173</v>
      </c>
      <c r="AD278" s="1652">
        <f t="shared" si="249"/>
        <v>-181</v>
      </c>
      <c r="AE278" s="1652">
        <f t="shared" si="249"/>
        <v>-178</v>
      </c>
      <c r="AF278" s="1652">
        <f t="shared" si="249"/>
        <v>23</v>
      </c>
      <c r="AG278" s="2169">
        <f t="shared" si="249"/>
        <v>22</v>
      </c>
      <c r="AH278" s="1652">
        <f t="shared" si="249"/>
        <v>23</v>
      </c>
      <c r="AI278" s="1652">
        <f t="shared" si="249"/>
        <v>20</v>
      </c>
      <c r="AJ278" s="1652">
        <f t="shared" si="249"/>
        <v>22</v>
      </c>
      <c r="AK278" s="1652">
        <f t="shared" si="249"/>
        <v>20</v>
      </c>
      <c r="AL278" s="2169">
        <f t="shared" si="249"/>
        <v>21</v>
      </c>
      <c r="AM278" s="1652">
        <f t="shared" si="249"/>
        <v>19</v>
      </c>
      <c r="AN278" s="1652">
        <f t="shared" si="249"/>
        <v>10</v>
      </c>
      <c r="AO278" s="1652">
        <f t="shared" si="249"/>
        <v>8</v>
      </c>
      <c r="AP278" s="1652">
        <f t="shared" si="249"/>
        <v>3</v>
      </c>
      <c r="AQ278" s="2169">
        <f t="shared" si="249"/>
        <v>3</v>
      </c>
      <c r="AR278" s="1652">
        <f t="shared" si="249"/>
        <v>-6</v>
      </c>
      <c r="AS278" s="1652">
        <f t="shared" si="249"/>
        <v>4</v>
      </c>
      <c r="AT278" s="1652">
        <f t="shared" ref="AT278:BS278" si="250">AT276-AO276</f>
        <v>0</v>
      </c>
      <c r="AU278" s="1652">
        <f t="shared" si="250"/>
        <v>9</v>
      </c>
      <c r="AV278" s="2169">
        <f t="shared" si="250"/>
        <v>9</v>
      </c>
      <c r="AW278" s="1652">
        <f t="shared" si="250"/>
        <v>20</v>
      </c>
      <c r="AX278" s="1652">
        <f t="shared" si="250"/>
        <v>24</v>
      </c>
      <c r="AY278" s="1652">
        <f t="shared" si="250"/>
        <v>23</v>
      </c>
      <c r="AZ278" s="1652">
        <f t="shared" si="250"/>
        <v>21</v>
      </c>
      <c r="BA278" s="2169">
        <f t="shared" si="250"/>
        <v>21</v>
      </c>
      <c r="BB278" s="1652">
        <f t="shared" si="250"/>
        <v>22</v>
      </c>
      <c r="BC278" s="1652">
        <f t="shared" si="250"/>
        <v>16</v>
      </c>
      <c r="BD278" s="1652">
        <f t="shared" si="250"/>
        <v>22</v>
      </c>
      <c r="BE278" s="1652">
        <f t="shared" si="250"/>
        <v>20</v>
      </c>
      <c r="BF278" s="2169">
        <f t="shared" si="250"/>
        <v>20</v>
      </c>
      <c r="BG278" s="1652">
        <f t="shared" si="250"/>
        <v>26</v>
      </c>
      <c r="BH278" s="1652">
        <f t="shared" si="250"/>
        <v>29</v>
      </c>
      <c r="BI278" s="1652">
        <f t="shared" si="250"/>
        <v>32</v>
      </c>
      <c r="BJ278" s="1652">
        <f t="shared" si="250"/>
        <v>39</v>
      </c>
      <c r="BK278" s="2169">
        <f t="shared" si="250"/>
        <v>39</v>
      </c>
      <c r="BL278" s="1652">
        <f t="shared" si="250"/>
        <v>32</v>
      </c>
      <c r="BM278" s="1652">
        <f t="shared" si="250"/>
        <v>28</v>
      </c>
      <c r="BN278" s="1652">
        <f t="shared" si="250"/>
        <v>23</v>
      </c>
      <c r="BO278" s="1652">
        <f>BO276-BJ276</f>
        <v>23</v>
      </c>
      <c r="BP278" s="2169">
        <f t="shared" si="250"/>
        <v>23</v>
      </c>
      <c r="BQ278" s="1652">
        <f t="shared" si="250"/>
        <v>48</v>
      </c>
      <c r="BR278" s="1652">
        <f t="shared" si="250"/>
        <v>50</v>
      </c>
      <c r="BS278" s="1652">
        <f t="shared" si="250"/>
        <v>57</v>
      </c>
      <c r="BT278" s="1652">
        <f t="shared" ref="BT278:CM278" si="251">BT276-BO276</f>
        <v>64</v>
      </c>
      <c r="BU278" s="2169">
        <f t="shared" si="251"/>
        <v>64</v>
      </c>
      <c r="BV278" s="1652">
        <f t="shared" si="251"/>
        <v>44</v>
      </c>
      <c r="BW278" s="1652">
        <f t="shared" si="251"/>
        <v>164</v>
      </c>
      <c r="BX278" s="1652">
        <f t="shared" si="251"/>
        <v>155</v>
      </c>
      <c r="BY278" s="1652">
        <f t="shared" si="251"/>
        <v>155</v>
      </c>
      <c r="BZ278" s="2169">
        <f t="shared" si="251"/>
        <v>155</v>
      </c>
      <c r="CA278" s="1652">
        <f t="shared" si="251"/>
        <v>72</v>
      </c>
      <c r="CB278" s="1652">
        <f t="shared" si="251"/>
        <v>-47</v>
      </c>
      <c r="CC278" s="1652">
        <f t="shared" si="251"/>
        <v>-37</v>
      </c>
      <c r="CD278" s="1652">
        <f t="shared" si="251"/>
        <v>-38</v>
      </c>
      <c r="CE278" s="2169">
        <f t="shared" si="251"/>
        <v>-38</v>
      </c>
      <c r="CF278" s="1652">
        <f t="shared" si="251"/>
        <v>40</v>
      </c>
      <c r="CG278" s="1652">
        <f t="shared" si="251"/>
        <v>47</v>
      </c>
      <c r="CH278" s="1652">
        <f t="shared" si="251"/>
        <v>139</v>
      </c>
      <c r="CI278" s="1652">
        <f t="shared" si="251"/>
        <v>853</v>
      </c>
      <c r="CJ278" s="2169">
        <f t="shared" si="251"/>
        <v>853</v>
      </c>
      <c r="CK278" s="3507">
        <f t="shared" si="251"/>
        <v>861</v>
      </c>
      <c r="CL278" s="3507">
        <f t="shared" si="251"/>
        <v>875</v>
      </c>
      <c r="CM278" s="3507">
        <f t="shared" si="251"/>
        <v>822</v>
      </c>
      <c r="CN278" s="1652">
        <f t="shared" ref="CN278" si="252">CN276-CI276</f>
        <v>130</v>
      </c>
      <c r="CO278" s="2169">
        <f t="shared" ref="CO278" si="253">CO276-CJ276</f>
        <v>130</v>
      </c>
      <c r="CP278" s="3507"/>
      <c r="CQ278" s="3507"/>
      <c r="CR278" s="1203"/>
      <c r="CS278" s="1203"/>
      <c r="CT278" s="1925"/>
      <c r="CU278" s="1653"/>
      <c r="CV278" s="1653"/>
      <c r="CW278" s="234"/>
      <c r="CX278" s="234"/>
      <c r="CY278" s="234"/>
      <c r="CZ278" s="234"/>
      <c r="DA278" s="234"/>
      <c r="DB278" s="234"/>
      <c r="DC278" s="234"/>
      <c r="DD278" s="234"/>
      <c r="DE278" s="207"/>
      <c r="DF278" s="207"/>
      <c r="DG278" s="207"/>
      <c r="DH278" s="207"/>
      <c r="DI278" s="207"/>
      <c r="DJ278" s="207"/>
      <c r="DK278" s="207"/>
      <c r="DL278" s="207"/>
      <c r="DM278" s="207"/>
      <c r="DN278" s="207"/>
      <c r="DO278" s="207"/>
      <c r="DP278" s="207"/>
      <c r="DQ278" s="207"/>
      <c r="DR278" s="207"/>
      <c r="DS278" s="207"/>
      <c r="DT278" s="207"/>
      <c r="DU278" s="207"/>
      <c r="DV278" s="207"/>
      <c r="DW278" s="207"/>
      <c r="DX278" s="207"/>
      <c r="DY278" s="207"/>
      <c r="DZ278" s="207"/>
      <c r="EA278" s="207"/>
      <c r="EB278" s="207"/>
      <c r="EC278" s="207"/>
      <c r="ED278" s="207"/>
      <c r="EE278" s="207"/>
      <c r="EF278" s="207"/>
      <c r="EG278" s="207"/>
      <c r="EH278" s="207"/>
      <c r="EI278" s="207"/>
      <c r="EJ278" s="207"/>
      <c r="EK278" s="207"/>
      <c r="EL278" s="207"/>
      <c r="EM278" s="207"/>
      <c r="EN278" s="207"/>
      <c r="EO278" s="207"/>
      <c r="EP278" s="207"/>
      <c r="EQ278" s="207"/>
      <c r="ER278" s="207"/>
      <c r="ES278" s="207"/>
      <c r="ET278" s="207"/>
      <c r="EU278" s="207"/>
      <c r="EV278" s="207"/>
      <c r="EW278" s="207"/>
      <c r="EX278" s="207"/>
      <c r="EY278" s="207"/>
      <c r="EZ278" s="207"/>
      <c r="FA278" s="207"/>
      <c r="FB278" s="207"/>
      <c r="FC278" s="207"/>
      <c r="FD278" s="207"/>
      <c r="FE278" s="207"/>
      <c r="FF278" s="207"/>
      <c r="FG278" s="207"/>
      <c r="FH278" s="207"/>
      <c r="FI278" s="207"/>
      <c r="FJ278" s="207"/>
      <c r="FK278" s="207"/>
      <c r="FL278" s="207"/>
      <c r="FM278" s="207"/>
      <c r="FN278" s="207"/>
      <c r="FO278" s="207"/>
      <c r="FP278" s="207"/>
      <c r="FQ278" s="207"/>
      <c r="FR278" s="207"/>
      <c r="FS278" s="207"/>
      <c r="FT278" s="207"/>
      <c r="FU278" s="207"/>
      <c r="FV278" s="207"/>
      <c r="FW278" s="207"/>
      <c r="FX278" s="207"/>
      <c r="FY278" s="207"/>
      <c r="FZ278" s="207"/>
      <c r="GA278" s="207"/>
      <c r="GB278" s="207"/>
      <c r="GC278" s="207"/>
      <c r="GD278" s="207"/>
      <c r="GE278" s="207"/>
      <c r="GF278" s="207"/>
      <c r="GG278" s="207"/>
      <c r="GH278" s="207"/>
      <c r="GI278" s="207"/>
      <c r="GJ278" s="207"/>
      <c r="GK278" s="207"/>
      <c r="GL278" s="207"/>
      <c r="GM278" s="207"/>
      <c r="GN278" s="207"/>
      <c r="GO278" s="207"/>
      <c r="GP278" s="207"/>
      <c r="GQ278" s="207"/>
      <c r="GR278" s="207"/>
      <c r="GS278" s="207"/>
      <c r="GT278" s="207"/>
      <c r="GU278" s="207"/>
      <c r="GV278" s="207"/>
      <c r="GW278" s="207"/>
      <c r="GX278" s="207"/>
      <c r="GY278" s="207"/>
      <c r="GZ278" s="207"/>
      <c r="HA278" s="207"/>
      <c r="HB278" s="207"/>
      <c r="HC278" s="207"/>
      <c r="HD278" s="207"/>
      <c r="HE278" s="207"/>
      <c r="HF278" s="207"/>
      <c r="HG278" s="207"/>
      <c r="HH278" s="207"/>
      <c r="HI278" s="207"/>
      <c r="HJ278" s="207"/>
      <c r="HK278" s="207"/>
      <c r="HL278" s="207"/>
      <c r="HM278" s="207"/>
      <c r="HN278" s="207"/>
      <c r="HO278" s="207"/>
      <c r="HP278" s="207"/>
      <c r="HQ278" s="207"/>
      <c r="HR278" s="207"/>
      <c r="HS278" s="207"/>
      <c r="HT278" s="207"/>
      <c r="HU278" s="207"/>
      <c r="HV278" s="207"/>
      <c r="HW278" s="207"/>
      <c r="HX278" s="207"/>
      <c r="HY278" s="207"/>
      <c r="HZ278" s="207"/>
      <c r="IA278" s="207"/>
      <c r="IB278" s="207"/>
      <c r="IC278" s="207"/>
      <c r="ID278" s="207"/>
      <c r="IE278" s="207"/>
      <c r="IF278" s="207"/>
      <c r="IG278" s="207"/>
      <c r="IH278" s="207"/>
      <c r="II278" s="207"/>
      <c r="IJ278" s="207"/>
      <c r="IK278" s="207"/>
      <c r="IL278" s="207"/>
      <c r="IM278" s="207"/>
      <c r="IN278" s="207"/>
      <c r="IO278" s="207"/>
      <c r="IP278" s="207"/>
      <c r="IQ278" s="207"/>
      <c r="IR278" s="207"/>
      <c r="IS278" s="207"/>
      <c r="IT278" s="207"/>
      <c r="IU278" s="207"/>
      <c r="IV278" s="207"/>
    </row>
    <row r="279" spans="1:256" s="374" customFormat="1" x14ac:dyDescent="0.2">
      <c r="A279"/>
      <c r="B279"/>
      <c r="C279"/>
      <c r="D279"/>
      <c r="E279"/>
      <c r="F279"/>
      <c r="G279"/>
      <c r="H279"/>
      <c r="I279" s="207"/>
      <c r="J279" s="207"/>
      <c r="K279" s="207"/>
      <c r="L279" s="234"/>
      <c r="M279" s="234"/>
      <c r="N279" s="234"/>
      <c r="O279" s="234"/>
      <c r="P279" s="234"/>
      <c r="Q279" s="234"/>
      <c r="R279" s="234"/>
      <c r="S279" s="234"/>
      <c r="T279" s="234"/>
      <c r="U279" s="234"/>
      <c r="V279" s="234"/>
      <c r="W279" s="234"/>
      <c r="X279" s="234"/>
      <c r="Y279" s="234"/>
      <c r="Z279" s="234"/>
      <c r="AA279" s="234"/>
      <c r="AB279" s="234"/>
      <c r="AC279" s="234"/>
      <c r="AD279" s="234"/>
      <c r="AE279" s="234"/>
      <c r="AF279" s="234"/>
      <c r="AG279" s="234"/>
      <c r="AH279" s="234"/>
      <c r="AI279" s="234"/>
      <c r="AJ279" s="234"/>
      <c r="AK279" s="234"/>
      <c r="AL279" s="234"/>
      <c r="AM279" s="234"/>
      <c r="AN279" s="234"/>
      <c r="AO279" s="234"/>
      <c r="AP279" s="234"/>
      <c r="AQ279" s="234"/>
      <c r="AR279" s="234"/>
      <c r="AS279" s="234"/>
      <c r="AT279" s="234"/>
      <c r="AU279" s="234"/>
      <c r="AV279" s="234"/>
      <c r="AW279" s="234"/>
      <c r="AX279" s="234"/>
      <c r="AY279" s="234"/>
      <c r="AZ279" s="234"/>
      <c r="BA279" s="234"/>
      <c r="BB279" s="234"/>
      <c r="BC279" s="234"/>
      <c r="BD279" s="234"/>
      <c r="BE279" s="234"/>
      <c r="BF279" s="234"/>
      <c r="BG279" s="234"/>
      <c r="BH279" s="234"/>
      <c r="BI279" s="234"/>
      <c r="BJ279" s="234"/>
      <c r="BK279" s="234"/>
      <c r="BL279" s="212"/>
      <c r="BM279" s="212"/>
      <c r="BN279" s="212"/>
      <c r="BO279" s="212"/>
      <c r="BP279" s="212"/>
      <c r="BQ279" s="212"/>
      <c r="BR279" s="212"/>
      <c r="BS279" s="212"/>
      <c r="BT279" s="212"/>
      <c r="BU279" s="212"/>
      <c r="BV279" s="212"/>
      <c r="BW279" s="212"/>
      <c r="BX279" s="212"/>
      <c r="BY279" s="212"/>
      <c r="BZ279" s="212"/>
      <c r="CA279" s="212"/>
      <c r="CB279" s="212"/>
      <c r="CC279" s="212"/>
      <c r="CD279" s="212"/>
      <c r="CE279" s="212"/>
      <c r="CF279" s="212"/>
      <c r="CG279" s="212"/>
      <c r="CH279" s="212"/>
      <c r="CI279" s="212"/>
      <c r="CJ279" s="212"/>
      <c r="CK279" s="2907"/>
      <c r="CL279" s="212"/>
      <c r="CM279" s="212"/>
      <c r="CN279" s="212"/>
      <c r="CO279" s="212"/>
      <c r="CP279" s="2907"/>
      <c r="CQ279" s="212"/>
      <c r="CR279" s="212"/>
      <c r="CS279" s="212"/>
      <c r="CT279" s="212"/>
      <c r="CU279" s="212"/>
      <c r="CV279" s="212"/>
      <c r="CW279" s="212"/>
      <c r="CX279" s="212"/>
      <c r="CY279" s="212"/>
      <c r="CZ279" s="212"/>
      <c r="DA279" s="212"/>
      <c r="DB279" s="212"/>
      <c r="DC279" s="212"/>
      <c r="DD279" s="212"/>
      <c r="DE279" s="70"/>
      <c r="DF279" s="70"/>
      <c r="DG279" s="70"/>
      <c r="DH279" s="70"/>
      <c r="DI279" s="70"/>
      <c r="DJ279" s="70"/>
      <c r="DK279" s="70"/>
      <c r="DL279" s="70"/>
      <c r="DM279" s="70"/>
      <c r="DN279" s="70"/>
      <c r="DO279" s="70"/>
      <c r="DP279" s="70"/>
      <c r="DQ279" s="70"/>
      <c r="DR279" s="70"/>
      <c r="DS279" s="70"/>
      <c r="DT279" s="70"/>
      <c r="DU279" s="70"/>
      <c r="DV279" s="70"/>
      <c r="DW279" s="70"/>
      <c r="DX279" s="70"/>
      <c r="DY279" s="70"/>
      <c r="DZ279" s="70"/>
      <c r="EA279" s="70"/>
      <c r="EB279" s="70"/>
      <c r="EC279" s="70"/>
      <c r="ED279" s="70"/>
      <c r="EE279" s="70"/>
      <c r="EF279" s="70"/>
      <c r="EG279" s="70"/>
      <c r="EH279" s="70"/>
      <c r="EI279" s="70"/>
      <c r="EJ279" s="70"/>
      <c r="EK279" s="70"/>
      <c r="EL279" s="70"/>
      <c r="EM279" s="70"/>
      <c r="EN279" s="70"/>
      <c r="EO279" s="70"/>
      <c r="EP279" s="70"/>
      <c r="EQ279" s="70"/>
      <c r="ER279" s="70"/>
      <c r="ES279" s="70"/>
      <c r="ET279" s="70"/>
      <c r="EU279" s="70"/>
      <c r="EV279" s="70"/>
      <c r="EW279" s="70"/>
      <c r="EX279" s="70"/>
      <c r="EY279" s="70"/>
      <c r="EZ279" s="70"/>
      <c r="FA279" s="70"/>
      <c r="FB279" s="70"/>
      <c r="FC279" s="70"/>
      <c r="FD279" s="70"/>
      <c r="FE279" s="70"/>
      <c r="FF279" s="70"/>
      <c r="FG279" s="70"/>
      <c r="FH279" s="70"/>
      <c r="FI279" s="70"/>
      <c r="FJ279" s="70"/>
      <c r="FK279" s="70"/>
      <c r="FL279" s="70"/>
      <c r="FM279" s="70"/>
      <c r="FN279" s="70"/>
      <c r="FO279" s="70"/>
      <c r="FP279" s="70"/>
      <c r="FQ279" s="70"/>
      <c r="FR279" s="70"/>
      <c r="FS279" s="70"/>
      <c r="FT279" s="70"/>
      <c r="FU279" s="70"/>
      <c r="FV279" s="70"/>
      <c r="FW279" s="70"/>
      <c r="FX279" s="70"/>
      <c r="FY279" s="70"/>
      <c r="FZ279" s="70"/>
      <c r="GA279" s="70"/>
      <c r="GB279" s="70"/>
      <c r="GC279" s="70"/>
      <c r="GD279" s="70"/>
      <c r="GE279" s="70"/>
      <c r="GF279" s="70"/>
      <c r="GG279" s="70"/>
      <c r="GH279" s="70"/>
      <c r="GI279" s="70"/>
      <c r="GJ279" s="70"/>
      <c r="GK279" s="70"/>
      <c r="GL279" s="70"/>
      <c r="GM279" s="70"/>
      <c r="GN279" s="70"/>
      <c r="GO279" s="70"/>
      <c r="GP279" s="70"/>
      <c r="GQ279" s="70"/>
      <c r="GR279" s="70"/>
      <c r="GS279" s="70"/>
      <c r="GT279" s="70"/>
      <c r="GU279" s="70"/>
      <c r="GV279" s="70"/>
      <c r="GW279" s="70"/>
      <c r="GX279" s="70"/>
      <c r="GY279" s="70"/>
      <c r="GZ279" s="70"/>
      <c r="HA279" s="70"/>
      <c r="HB279" s="70"/>
      <c r="HC279" s="70"/>
      <c r="HD279" s="70"/>
      <c r="HE279" s="70"/>
      <c r="HF279" s="70"/>
      <c r="HG279" s="70"/>
      <c r="HH279" s="70"/>
      <c r="HI279" s="70"/>
      <c r="HJ279" s="70"/>
      <c r="HK279" s="70"/>
      <c r="HL279" s="70"/>
      <c r="HM279" s="70"/>
      <c r="HN279" s="70"/>
      <c r="HO279" s="70"/>
      <c r="HP279" s="70"/>
      <c r="HQ279" s="70"/>
      <c r="HR279" s="70"/>
      <c r="HS279" s="70"/>
      <c r="HT279" s="70"/>
      <c r="HU279" s="70"/>
      <c r="HV279" s="70"/>
      <c r="HW279" s="70"/>
      <c r="HX279" s="70"/>
      <c r="HY279" s="70"/>
      <c r="HZ279" s="70"/>
      <c r="IA279" s="70"/>
      <c r="IB279" s="70"/>
      <c r="IC279" s="70"/>
      <c r="ID279" s="70"/>
      <c r="IE279" s="70"/>
      <c r="IF279" s="70"/>
      <c r="IG279" s="70"/>
      <c r="IH279" s="70"/>
      <c r="II279" s="70"/>
      <c r="IJ279" s="70"/>
      <c r="IK279" s="70"/>
      <c r="IL279" s="70"/>
      <c r="IM279" s="70"/>
      <c r="IN279" s="70"/>
      <c r="IO279" s="70"/>
      <c r="IP279" s="70"/>
      <c r="IQ279" s="70"/>
      <c r="IR279" s="70"/>
      <c r="IS279" s="70"/>
      <c r="IT279" s="70"/>
      <c r="IU279" s="70"/>
      <c r="IV279" s="70"/>
    </row>
    <row r="280" spans="1:256" s="207" customFormat="1" x14ac:dyDescent="0.2">
      <c r="A280"/>
      <c r="B280"/>
      <c r="C280"/>
      <c r="D280"/>
      <c r="E280"/>
      <c r="F280"/>
      <c r="G280"/>
      <c r="H280"/>
      <c r="L280" s="234"/>
      <c r="M280" s="234"/>
      <c r="N280" s="234"/>
      <c r="O280" s="234"/>
      <c r="P280" s="234"/>
      <c r="Q280" s="234"/>
      <c r="R280" s="234"/>
      <c r="S280" s="234"/>
      <c r="T280" s="234"/>
      <c r="U280" s="234"/>
      <c r="V280" s="234"/>
      <c r="W280" s="234"/>
      <c r="X280" s="234"/>
      <c r="Y280" s="234"/>
      <c r="Z280" s="234"/>
      <c r="AA280" s="234"/>
      <c r="AB280" s="234"/>
      <c r="AC280" s="234"/>
      <c r="AD280" s="234"/>
      <c r="AE280" s="234"/>
      <c r="AF280" s="234"/>
      <c r="AG280" s="234"/>
      <c r="AH280" s="234"/>
      <c r="AI280" s="234"/>
      <c r="AJ280" s="234"/>
      <c r="AK280" s="234"/>
      <c r="AL280" s="234"/>
      <c r="AM280" s="234"/>
      <c r="AN280" s="234"/>
      <c r="AO280" s="234"/>
      <c r="AP280" s="234"/>
      <c r="AQ280" s="234"/>
      <c r="AR280" s="234"/>
      <c r="AS280" s="234"/>
      <c r="AT280" s="234"/>
      <c r="AU280" s="234"/>
      <c r="AV280" s="234"/>
      <c r="AW280" s="234"/>
      <c r="AX280" s="234"/>
      <c r="AY280" s="234"/>
      <c r="AZ280" s="234"/>
      <c r="BA280" s="234"/>
      <c r="BB280" s="234"/>
      <c r="BC280" s="234"/>
      <c r="BD280" s="234"/>
      <c r="BE280" s="234"/>
      <c r="BF280" s="234"/>
      <c r="BG280" s="234"/>
      <c r="BH280" s="234"/>
      <c r="BI280" s="234"/>
      <c r="BJ280" s="234"/>
      <c r="BK280" s="234"/>
      <c r="BL280" s="212"/>
      <c r="BM280" s="212"/>
      <c r="BN280" s="212"/>
      <c r="BO280" s="212"/>
      <c r="BP280" s="212"/>
      <c r="BQ280" s="212"/>
      <c r="BR280" s="212"/>
      <c r="BS280" s="212"/>
      <c r="BT280" s="212"/>
      <c r="BU280" s="212"/>
      <c r="BV280" s="212"/>
      <c r="BW280" s="212"/>
      <c r="BX280" s="212"/>
      <c r="BY280" s="212"/>
      <c r="BZ280" s="212"/>
      <c r="CA280" s="212"/>
      <c r="CB280" s="212"/>
      <c r="CC280" s="212"/>
      <c r="CD280" s="212"/>
      <c r="CE280" s="212"/>
      <c r="CF280" s="212"/>
      <c r="CG280" s="212"/>
      <c r="CH280" s="212"/>
      <c r="CI280" s="212"/>
      <c r="CJ280" s="212"/>
      <c r="CK280" s="2907"/>
      <c r="CL280" s="212"/>
      <c r="CM280" s="212"/>
      <c r="CN280" s="212"/>
      <c r="CO280" s="212"/>
      <c r="CP280" s="2907"/>
      <c r="CQ280" s="212"/>
      <c r="CR280" s="212"/>
      <c r="CS280" s="212"/>
      <c r="CT280" s="212"/>
      <c r="CU280" s="212"/>
      <c r="CV280" s="212"/>
      <c r="CW280" s="212"/>
      <c r="CX280" s="212"/>
      <c r="CY280" s="212"/>
      <c r="CZ280" s="212"/>
      <c r="DA280" s="212"/>
      <c r="DB280" s="212"/>
      <c r="DC280" s="212"/>
      <c r="DD280" s="212"/>
      <c r="DE280" s="70"/>
      <c r="DF280" s="70"/>
      <c r="DG280" s="70"/>
      <c r="DH280" s="70"/>
      <c r="DI280" s="70"/>
      <c r="DJ280" s="70"/>
      <c r="DK280" s="70"/>
      <c r="DL280" s="70"/>
      <c r="DM280" s="70"/>
      <c r="DN280" s="70"/>
      <c r="DO280" s="70"/>
      <c r="DP280" s="70"/>
      <c r="DQ280" s="70"/>
      <c r="DR280" s="70"/>
      <c r="DS280" s="70"/>
      <c r="DT280" s="70"/>
      <c r="DU280" s="70"/>
      <c r="DV280" s="70"/>
      <c r="DW280" s="70"/>
      <c r="DX280" s="70"/>
      <c r="DY280" s="70"/>
      <c r="DZ280" s="70"/>
      <c r="EA280" s="70"/>
      <c r="EB280" s="70"/>
      <c r="EC280" s="70"/>
      <c r="ED280" s="70"/>
      <c r="EE280" s="70"/>
      <c r="EF280" s="70"/>
      <c r="EG280" s="70"/>
      <c r="EH280" s="70"/>
      <c r="EI280" s="70"/>
      <c r="EJ280" s="70"/>
      <c r="EK280" s="70"/>
      <c r="EL280" s="70"/>
      <c r="EM280" s="70"/>
      <c r="EN280" s="70"/>
      <c r="EO280" s="70"/>
      <c r="EP280" s="70"/>
      <c r="EQ280" s="70"/>
      <c r="ER280" s="70"/>
      <c r="ES280" s="70"/>
      <c r="ET280" s="70"/>
      <c r="EU280" s="70"/>
      <c r="EV280" s="70"/>
      <c r="EW280" s="70"/>
      <c r="EX280" s="70"/>
      <c r="EY280" s="70"/>
      <c r="EZ280" s="70"/>
      <c r="FA280" s="70"/>
      <c r="FB280" s="70"/>
      <c r="FC280" s="70"/>
      <c r="FD280" s="70"/>
      <c r="FE280" s="70"/>
      <c r="FF280" s="70"/>
      <c r="FG280" s="70"/>
      <c r="FH280" s="70"/>
      <c r="FI280" s="70"/>
      <c r="FJ280" s="70"/>
      <c r="FK280" s="70"/>
      <c r="FL280" s="70"/>
      <c r="FM280" s="70"/>
      <c r="FN280" s="70"/>
      <c r="FO280" s="70"/>
      <c r="FP280" s="70"/>
      <c r="FQ280" s="70"/>
      <c r="FR280" s="70"/>
      <c r="FS280" s="70"/>
      <c r="FT280" s="70"/>
      <c r="FU280" s="70"/>
      <c r="FV280" s="70"/>
      <c r="FW280" s="70"/>
      <c r="FX280" s="70"/>
      <c r="FY280" s="70"/>
      <c r="FZ280" s="70"/>
      <c r="GA280" s="70"/>
      <c r="GB280" s="70"/>
      <c r="GC280" s="70"/>
      <c r="GD280" s="70"/>
      <c r="GE280" s="70"/>
      <c r="GF280" s="70"/>
      <c r="GG280" s="70"/>
      <c r="GH280" s="70"/>
      <c r="GI280" s="70"/>
      <c r="GJ280" s="70"/>
      <c r="GK280" s="70"/>
      <c r="GL280" s="70"/>
      <c r="GM280" s="70"/>
      <c r="GN280" s="70"/>
      <c r="GO280" s="70"/>
      <c r="GP280" s="70"/>
      <c r="GQ280" s="70"/>
      <c r="GR280" s="70"/>
      <c r="GS280" s="70"/>
      <c r="GT280" s="70"/>
      <c r="GU280" s="70"/>
      <c r="GV280" s="70"/>
      <c r="GW280" s="70"/>
      <c r="GX280" s="70"/>
      <c r="GY280" s="70"/>
      <c r="GZ280" s="70"/>
      <c r="HA280" s="70"/>
      <c r="HB280" s="70"/>
      <c r="HC280" s="70"/>
      <c r="HD280" s="70"/>
      <c r="HE280" s="70"/>
      <c r="HF280" s="70"/>
      <c r="HG280" s="70"/>
      <c r="HH280" s="70"/>
      <c r="HI280" s="70"/>
      <c r="HJ280" s="70"/>
      <c r="HK280" s="70"/>
      <c r="HL280" s="70"/>
      <c r="HM280" s="70"/>
      <c r="HN280" s="70"/>
      <c r="HO280" s="70"/>
      <c r="HP280" s="70"/>
      <c r="HQ280" s="70"/>
      <c r="HR280" s="70"/>
      <c r="HS280" s="70"/>
      <c r="HT280" s="70"/>
      <c r="HU280" s="70"/>
      <c r="HV280" s="70"/>
      <c r="HW280" s="70"/>
      <c r="HX280" s="70"/>
      <c r="HY280" s="70"/>
      <c r="HZ280" s="70"/>
      <c r="IA280" s="70"/>
      <c r="IB280" s="70"/>
      <c r="IC280" s="70"/>
      <c r="ID280" s="70"/>
      <c r="IE280" s="70"/>
      <c r="IF280" s="70"/>
      <c r="IG280" s="70"/>
      <c r="IH280" s="70"/>
      <c r="II280" s="70"/>
      <c r="IJ280" s="70"/>
      <c r="IK280" s="70"/>
      <c r="IL280" s="70"/>
      <c r="IM280" s="70"/>
      <c r="IN280" s="70"/>
      <c r="IO280" s="70"/>
      <c r="IP280" s="70"/>
      <c r="IQ280" s="70"/>
      <c r="IR280" s="70"/>
      <c r="IS280" s="70"/>
      <c r="IT280" s="70"/>
      <c r="IU280" s="70"/>
      <c r="IV280" s="70"/>
    </row>
    <row r="281" spans="1:256" x14ac:dyDescent="0.2">
      <c r="A281" s="1265" t="s">
        <v>469</v>
      </c>
      <c r="B281" s="1425"/>
      <c r="C281" s="1217"/>
      <c r="D281" s="1053" t="str">
        <f>RevPAR!B$5</f>
        <v>1Q00</v>
      </c>
      <c r="E281" s="1053" t="str">
        <f>RevPAR!C$5</f>
        <v>2Q00</v>
      </c>
      <c r="F281" s="1053" t="str">
        <f>RevPAR!D$5</f>
        <v>3Q00</v>
      </c>
      <c r="G281" s="1053" t="str">
        <f>RevPAR!E$5</f>
        <v>4Q00</v>
      </c>
      <c r="H281" s="1054">
        <f>RevPAR!F$5</f>
        <v>2000</v>
      </c>
      <c r="I281" s="1053" t="str">
        <f>RevPAR!G$5</f>
        <v>1Q01</v>
      </c>
      <c r="J281" s="1053" t="str">
        <f>RevPAR!H$5</f>
        <v>2Q01</v>
      </c>
      <c r="K281" s="1053" t="str">
        <f>RevPAR!I$5</f>
        <v>3Q01</v>
      </c>
      <c r="L281" s="1053" t="str">
        <f>RevPAR!J$5</f>
        <v>4Q01</v>
      </c>
      <c r="M281" s="1054">
        <f>RevPAR!K$5</f>
        <v>2001</v>
      </c>
      <c r="N281" s="1053" t="str">
        <f>RevPAR!L$5</f>
        <v>1Q02</v>
      </c>
      <c r="O281" s="1053" t="str">
        <f>RevPAR!M$5</f>
        <v>2Q02</v>
      </c>
      <c r="P281" s="1053" t="str">
        <f>RevPAR!N$5</f>
        <v>3Q02</v>
      </c>
      <c r="Q281" s="1053" t="str">
        <f>RevPAR!O$5</f>
        <v>4Q02</v>
      </c>
      <c r="R281" s="1054">
        <f>RevPAR!P$5</f>
        <v>2002</v>
      </c>
      <c r="S281" s="1053" t="str">
        <f>RevPAR!Q$5</f>
        <v>1Q03</v>
      </c>
      <c r="T281" s="1053" t="str">
        <f>RevPAR!R$5</f>
        <v>2Q03</v>
      </c>
      <c r="U281" s="1053" t="str">
        <f>RevPAR!S$5</f>
        <v>3Q03</v>
      </c>
      <c r="V281" s="1053" t="str">
        <f>RevPAR!T$5</f>
        <v>4Q03</v>
      </c>
      <c r="W281" s="1054">
        <f>RevPAR!U$5</f>
        <v>2003</v>
      </c>
      <c r="X281" s="1053" t="str">
        <f>RevPAR!V$5</f>
        <v>1Q04</v>
      </c>
      <c r="Y281" s="1053" t="str">
        <f>RevPAR!W$5</f>
        <v>2Q04</v>
      </c>
      <c r="Z281" s="1053" t="str">
        <f>RevPAR!X$5</f>
        <v>3Q04</v>
      </c>
      <c r="AA281" s="1053" t="str">
        <f>RevPAR!Y$5</f>
        <v>4Q04</v>
      </c>
      <c r="AB281" s="1054" t="str">
        <f>RevPAR!Z$5</f>
        <v>2004</v>
      </c>
      <c r="AC281" s="1053" t="str">
        <f>RevPAR!AA$5</f>
        <v>1Q05</v>
      </c>
      <c r="AD281" s="1053" t="str">
        <f>RevPAR!AB$5</f>
        <v>2Q05</v>
      </c>
      <c r="AE281" s="1053" t="str">
        <f>RevPAR!AC$5</f>
        <v>3Q05</v>
      </c>
      <c r="AF281" s="1053" t="str">
        <f>RevPAR!AD$5</f>
        <v>4Q05</v>
      </c>
      <c r="AG281" s="1054">
        <f>RevPAR!AE$5</f>
        <v>2005</v>
      </c>
      <c r="AH281" s="1053" t="str">
        <f>RevPAR!AF$5</f>
        <v>1Q06</v>
      </c>
      <c r="AI281" s="1053" t="str">
        <f>RevPAR!AG$5</f>
        <v>2Q06</v>
      </c>
      <c r="AJ281" s="1053" t="str">
        <f>RevPAR!AH$5</f>
        <v>3Q06</v>
      </c>
      <c r="AK281" s="1053" t="str">
        <f>RevPAR!AI$5</f>
        <v>4Q06</v>
      </c>
      <c r="AL281" s="1054">
        <f>RevPAR!AJ$5</f>
        <v>2006</v>
      </c>
      <c r="AM281" s="1053" t="str">
        <f>RevPAR!AK$5</f>
        <v>1Q07</v>
      </c>
      <c r="AN281" s="1053" t="str">
        <f>RevPAR!AL$5</f>
        <v>2Q07</v>
      </c>
      <c r="AO281" s="1053" t="str">
        <f>RevPAR!AM$5</f>
        <v>3Q07</v>
      </c>
      <c r="AP281" s="1053" t="str">
        <f>RevPAR!AN$5</f>
        <v>4Q07</v>
      </c>
      <c r="AQ281" s="1054" t="str">
        <f>RevPAR!AO$5</f>
        <v>2007</v>
      </c>
      <c r="AR281" s="1053" t="str">
        <f>RevPAR!AP$5</f>
        <v>1Q08</v>
      </c>
      <c r="AS281" s="1053" t="str">
        <f>RevPAR!AQ$5</f>
        <v>2Q08</v>
      </c>
      <c r="AT281" s="1053" t="str">
        <f>RevPAR!AR$5</f>
        <v>3Q08</v>
      </c>
      <c r="AU281" s="1053" t="str">
        <f>RevPAR!AS$5</f>
        <v>4Q08</v>
      </c>
      <c r="AV281" s="1054" t="str">
        <f>RevPAR!AT$5</f>
        <v>2008</v>
      </c>
      <c r="AW281" s="1053" t="str">
        <f>RevPAR!AU$5</f>
        <v>1Q09</v>
      </c>
      <c r="AX281" s="1053" t="str">
        <f>RevPAR!AV$5</f>
        <v>2Q09</v>
      </c>
      <c r="AY281" s="1053" t="str">
        <f>RevPAR!AW$5</f>
        <v>3Q09</v>
      </c>
      <c r="AZ281" s="1053" t="str">
        <f>RevPAR!AX$5</f>
        <v>4Q09</v>
      </c>
      <c r="BA281" s="1054" t="str">
        <f>RevPAR!AY$5</f>
        <v>2009</v>
      </c>
      <c r="BB281" s="1053" t="str">
        <f>RevPAR!AZ$5</f>
        <v>1Q10</v>
      </c>
      <c r="BC281" s="1053" t="str">
        <f>RevPAR!BA$5</f>
        <v>2Q10</v>
      </c>
      <c r="BD281" s="1053" t="str">
        <f>RevPAR!BB$5</f>
        <v>3Q10</v>
      </c>
      <c r="BE281" s="1053" t="str">
        <f>RevPAR!BC$5</f>
        <v>4Q10</v>
      </c>
      <c r="BF281" s="1054" t="str">
        <f>RevPAR!BD$5</f>
        <v>2010</v>
      </c>
      <c r="BG281" s="1053" t="str">
        <f>RevPAR!BE$5</f>
        <v>1Q11</v>
      </c>
      <c r="BH281" s="1053" t="str">
        <f>RevPAR!BF$5</f>
        <v>2Q11</v>
      </c>
      <c r="BI281" s="1053" t="str">
        <f>RevPAR!BG$5</f>
        <v>3Q11</v>
      </c>
      <c r="BJ281" s="1053" t="str">
        <f>RevPAR!BH$5</f>
        <v>4Q11</v>
      </c>
      <c r="BK281" s="1054">
        <f>RevPAR!BI$5</f>
        <v>2011</v>
      </c>
      <c r="BL281" s="1052" t="str">
        <f>RevPAR!BJ$5</f>
        <v>1Q12</v>
      </c>
      <c r="BM281" s="1053" t="str">
        <f>RevPAR!BK$5</f>
        <v>2Q12</v>
      </c>
      <c r="BN281" s="1053" t="str">
        <f>RevPAR!BL$5</f>
        <v>3Q12</v>
      </c>
      <c r="BO281" s="1453" t="str">
        <f>RevPAR!BM$5</f>
        <v>4Q12</v>
      </c>
      <c r="BP281" s="1453">
        <f>RevPAR!BN$5</f>
        <v>2012</v>
      </c>
      <c r="BQ281" s="1053" t="str">
        <f>RevPAR!BO$5</f>
        <v>1Q13</v>
      </c>
      <c r="BR281" s="1053" t="str">
        <f>RevPAR!BP$5</f>
        <v>2Q13</v>
      </c>
      <c r="BS281" s="1053" t="str">
        <f>RevPAR!BQ$5</f>
        <v>3Q13</v>
      </c>
      <c r="BT281" s="1053" t="str">
        <f>RevPAR!BR$5</f>
        <v>4Q13</v>
      </c>
      <c r="BU281" s="1453">
        <f>RevPAR!BS$5</f>
        <v>2013</v>
      </c>
      <c r="BV281" s="1053" t="str">
        <f>RevPAR!BT$5</f>
        <v>1Q14</v>
      </c>
      <c r="BW281" s="1053" t="str">
        <f>RevPAR!BU$5</f>
        <v>2Q14</v>
      </c>
      <c r="BX281" s="1053" t="str">
        <f>RevPAR!BV$5</f>
        <v>3Q14</v>
      </c>
      <c r="BY281" s="1053" t="str">
        <f>RevPAR!BW$5</f>
        <v>4Q14</v>
      </c>
      <c r="BZ281" s="1453">
        <f>RevPAR!BX$5</f>
        <v>2014</v>
      </c>
      <c r="CA281" s="1053" t="str">
        <f>RevPAR!BY$5</f>
        <v>1Q15</v>
      </c>
      <c r="CB281" s="1053" t="str">
        <f>RevPAR!BZ$5</f>
        <v>2Q15</v>
      </c>
      <c r="CC281" s="1053" t="str">
        <f>RevPAR!CA$5</f>
        <v>3Q15</v>
      </c>
      <c r="CD281" s="1053" t="str">
        <f>RevPAR!CB$5</f>
        <v>4Q15</v>
      </c>
      <c r="CE281" s="1453">
        <f>RevPAR!CC$5</f>
        <v>2015</v>
      </c>
      <c r="CF281" s="1053" t="str">
        <f>RevPAR!CD$5</f>
        <v>1Q16</v>
      </c>
      <c r="CG281" s="1053" t="str">
        <f>RevPAR!CE$5</f>
        <v>2Q16</v>
      </c>
      <c r="CH281" s="1053" t="str">
        <f>RevPAR!CF$5</f>
        <v>3Q16</v>
      </c>
      <c r="CI281" s="1053" t="str">
        <f>RevPAR!CG$5</f>
        <v>4Q16</v>
      </c>
      <c r="CJ281" s="1453">
        <f>RevPAR!CH$5</f>
        <v>2016</v>
      </c>
      <c r="CK281" s="1053" t="s">
        <v>2974</v>
      </c>
      <c r="CL281" s="1053" t="str">
        <f>RevPAR!CJ$5</f>
        <v>2Q17</v>
      </c>
      <c r="CM281" s="1053" t="str">
        <f>RevPAR!CK$5</f>
        <v>3Q17</v>
      </c>
      <c r="CN281" s="1053" t="str">
        <f>RevPAR!CL$5</f>
        <v>4Q17A</v>
      </c>
      <c r="CO281" s="1054" t="str">
        <f>RevPAR!CM$5</f>
        <v>2017A</v>
      </c>
      <c r="CP281" s="1053" t="str">
        <f>RevPAR!CN$5</f>
        <v>1Q18E</v>
      </c>
      <c r="CQ281" s="1053" t="str">
        <f>RevPAR!CO$5</f>
        <v>2Q18E</v>
      </c>
      <c r="CR281" s="1053" t="str">
        <f>RevPAR!CP$5</f>
        <v>3Q18E</v>
      </c>
      <c r="CS281" s="1053" t="str">
        <f>RevPAR!CQ$5</f>
        <v>4Q18E</v>
      </c>
      <c r="CT281" s="1054" t="str">
        <f>RevPAR!CR$5</f>
        <v>2018E</v>
      </c>
      <c r="CU281" s="1054" t="str">
        <f>RevPAR!CS$5</f>
        <v>2019E</v>
      </c>
      <c r="CV281" s="1054" t="str">
        <f>RevPAR!CT$5</f>
        <v>2020E</v>
      </c>
    </row>
    <row r="282" spans="1:256" x14ac:dyDescent="0.2">
      <c r="A282" s="1435"/>
      <c r="B282" s="651"/>
      <c r="C282" s="236"/>
      <c r="D282" s="234"/>
      <c r="E282" s="234"/>
      <c r="F282" s="234"/>
      <c r="G282" s="234"/>
      <c r="H282" s="236"/>
      <c r="I282" s="234"/>
      <c r="J282" s="234"/>
      <c r="K282" s="234"/>
      <c r="L282" s="234"/>
      <c r="M282" s="236"/>
      <c r="N282" s="234"/>
      <c r="O282" s="234"/>
      <c r="P282" s="234"/>
      <c r="Q282" s="234"/>
      <c r="R282" s="236"/>
      <c r="S282" s="234"/>
      <c r="T282" s="234"/>
      <c r="U282" s="234"/>
      <c r="V282" s="234"/>
      <c r="W282" s="236"/>
      <c r="X282" s="234"/>
      <c r="Y282" s="234"/>
      <c r="Z282" s="234"/>
      <c r="AA282" s="234"/>
      <c r="AB282" s="236"/>
      <c r="AC282" s="234"/>
      <c r="AD282" s="234"/>
      <c r="AE282" s="234"/>
      <c r="AF282" s="234"/>
      <c r="AG282" s="236"/>
      <c r="AH282" s="234"/>
      <c r="AI282" s="234"/>
      <c r="AJ282" s="234"/>
      <c r="AK282" s="234"/>
      <c r="AL282" s="236"/>
      <c r="AM282" s="234"/>
      <c r="AN282" s="234"/>
      <c r="AO282" s="234"/>
      <c r="AP282" s="234"/>
      <c r="AQ282" s="236"/>
      <c r="AR282" s="234"/>
      <c r="AS282" s="234"/>
      <c r="AT282" s="234"/>
      <c r="AU282" s="234"/>
      <c r="AV282" s="236"/>
      <c r="AW282" s="234"/>
      <c r="AX282" s="234"/>
      <c r="AY282" s="234"/>
      <c r="AZ282" s="234"/>
      <c r="BA282" s="236"/>
      <c r="BB282" s="234"/>
      <c r="BC282" s="234"/>
      <c r="BD282" s="234"/>
      <c r="BE282" s="234"/>
      <c r="BF282" s="236"/>
      <c r="BG282" s="234"/>
      <c r="BH282" s="234"/>
      <c r="BI282" s="234"/>
      <c r="BJ282" s="234"/>
      <c r="BK282" s="236"/>
      <c r="BL282" s="212"/>
      <c r="BM282" s="212"/>
      <c r="BN282" s="212"/>
      <c r="BO282" s="208"/>
      <c r="BP282" s="236"/>
      <c r="BQ282" s="212"/>
      <c r="BR282" s="212"/>
      <c r="BS282" s="212"/>
      <c r="BT282" s="212"/>
      <c r="BU282" s="236"/>
      <c r="BV282" s="212"/>
      <c r="BW282" s="212"/>
      <c r="BX282" s="212"/>
      <c r="BY282" s="212"/>
      <c r="BZ282" s="236"/>
      <c r="CA282" s="212"/>
      <c r="CB282" s="212"/>
      <c r="CC282" s="212"/>
      <c r="CD282" s="212"/>
      <c r="CE282" s="236"/>
      <c r="CF282" s="212"/>
      <c r="CG282" s="212"/>
      <c r="CH282" s="212"/>
      <c r="CI282" s="212"/>
      <c r="CJ282" s="236"/>
      <c r="CK282" s="2907"/>
      <c r="CL282" s="212"/>
      <c r="CM282" s="212"/>
      <c r="CN282" s="212"/>
      <c r="CO282" s="236"/>
      <c r="CP282" s="2907"/>
      <c r="CQ282" s="212"/>
      <c r="CR282" s="212"/>
      <c r="CS282" s="212"/>
      <c r="CT282" s="236"/>
      <c r="CU282" s="236"/>
      <c r="CV282" s="236"/>
    </row>
    <row r="283" spans="1:256" x14ac:dyDescent="0.2">
      <c r="A283" s="1435" t="s">
        <v>649</v>
      </c>
      <c r="B283" s="651"/>
      <c r="C283" s="236"/>
      <c r="D283" s="234"/>
      <c r="E283" s="234"/>
      <c r="F283" s="234"/>
      <c r="G283" s="234"/>
      <c r="H283" s="236"/>
      <c r="I283" s="234"/>
      <c r="J283" s="234"/>
      <c r="K283" s="234"/>
      <c r="L283" s="234"/>
      <c r="M283" s="236"/>
      <c r="N283" s="234"/>
      <c r="O283" s="234"/>
      <c r="P283" s="234"/>
      <c r="Q283" s="234"/>
      <c r="R283" s="236"/>
      <c r="S283" s="234"/>
      <c r="T283" s="234"/>
      <c r="U283" s="234"/>
      <c r="V283" s="234"/>
      <c r="W283" s="236"/>
      <c r="X283" s="234"/>
      <c r="Y283" s="234"/>
      <c r="Z283" s="234"/>
      <c r="AA283" s="234"/>
      <c r="AB283" s="236"/>
      <c r="AC283" s="234"/>
      <c r="AD283" s="234"/>
      <c r="AE283" s="234"/>
      <c r="AF283" s="234"/>
      <c r="AG283" s="236"/>
      <c r="AH283" s="234"/>
      <c r="AI283" s="234"/>
      <c r="AJ283" s="234"/>
      <c r="AK283" s="234"/>
      <c r="AL283" s="236"/>
      <c r="AM283" s="234"/>
      <c r="AN283" s="234"/>
      <c r="AO283" s="234"/>
      <c r="AP283" s="234"/>
      <c r="AQ283" s="236"/>
      <c r="AR283" s="234"/>
      <c r="AS283" s="234"/>
      <c r="AT283" s="234"/>
      <c r="AU283" s="234"/>
      <c r="AV283" s="236"/>
      <c r="AW283" s="234"/>
      <c r="AX283" s="234"/>
      <c r="AY283" s="234"/>
      <c r="AZ283" s="234"/>
      <c r="BA283" s="236"/>
      <c r="BB283" s="234"/>
      <c r="BC283" s="234"/>
      <c r="BD283" s="234"/>
      <c r="BE283" s="234"/>
      <c r="BF283" s="236"/>
      <c r="BG283" s="234"/>
      <c r="BH283" s="234"/>
      <c r="BI283" s="234"/>
      <c r="BJ283" s="234"/>
      <c r="BK283" s="236"/>
      <c r="BL283" s="212"/>
      <c r="BM283" s="212"/>
      <c r="BN283" s="212"/>
      <c r="BO283" s="208"/>
      <c r="BP283" s="236"/>
      <c r="BQ283" s="212"/>
      <c r="BR283" s="212"/>
      <c r="BS283" s="212"/>
      <c r="BT283" s="212"/>
      <c r="BU283" s="236"/>
      <c r="BV283" s="212"/>
      <c r="BW283" s="212"/>
      <c r="BX283" s="212"/>
      <c r="BY283" s="212"/>
      <c r="BZ283" s="236"/>
      <c r="CA283" s="212"/>
      <c r="CB283" s="212"/>
      <c r="CC283" s="212"/>
      <c r="CD283" s="212"/>
      <c r="CE283" s="236"/>
      <c r="CF283" s="212"/>
      <c r="CG283" s="212"/>
      <c r="CH283" s="212"/>
      <c r="CI283" s="212"/>
      <c r="CJ283" s="236"/>
      <c r="CK283" s="2907"/>
      <c r="CL283" s="212"/>
      <c r="CM283" s="212"/>
      <c r="CN283" s="212"/>
      <c r="CO283" s="236"/>
      <c r="CP283" s="2907"/>
      <c r="CQ283" s="212"/>
      <c r="CR283" s="212"/>
      <c r="CS283" s="212"/>
      <c r="CT283" s="236"/>
      <c r="CU283" s="236"/>
      <c r="CV283" s="236"/>
    </row>
    <row r="284" spans="1:256" x14ac:dyDescent="0.2">
      <c r="A284" s="2308" t="s">
        <v>456</v>
      </c>
      <c r="B284" s="651"/>
      <c r="C284" s="236"/>
      <c r="D284" s="234"/>
      <c r="E284" s="234"/>
      <c r="F284" s="234"/>
      <c r="G284" s="234"/>
      <c r="H284" s="236"/>
      <c r="I284" s="2350">
        <f t="shared" ref="I284:AN284" si="254">I10+I147</f>
        <v>5</v>
      </c>
      <c r="J284" s="2350">
        <f t="shared" si="254"/>
        <v>4</v>
      </c>
      <c r="K284" s="2350">
        <f t="shared" si="254"/>
        <v>3</v>
      </c>
      <c r="L284" s="2350">
        <f t="shared" si="254"/>
        <v>3</v>
      </c>
      <c r="M284" s="236">
        <f t="shared" si="254"/>
        <v>3</v>
      </c>
      <c r="N284" s="2350">
        <f t="shared" si="254"/>
        <v>3</v>
      </c>
      <c r="O284" s="2350">
        <f t="shared" si="254"/>
        <v>3</v>
      </c>
      <c r="P284" s="2350">
        <f t="shared" si="254"/>
        <v>3</v>
      </c>
      <c r="Q284" s="2350">
        <f t="shared" si="254"/>
        <v>3</v>
      </c>
      <c r="R284" s="236">
        <f t="shared" si="254"/>
        <v>3</v>
      </c>
      <c r="S284" s="2350">
        <f t="shared" si="254"/>
        <v>3</v>
      </c>
      <c r="T284" s="2350">
        <f t="shared" si="254"/>
        <v>3</v>
      </c>
      <c r="U284" s="2350">
        <f t="shared" si="254"/>
        <v>4</v>
      </c>
      <c r="V284" s="2350">
        <f t="shared" si="254"/>
        <v>3</v>
      </c>
      <c r="W284" s="236">
        <f t="shared" si="254"/>
        <v>3</v>
      </c>
      <c r="X284" s="2350">
        <f t="shared" si="254"/>
        <v>3</v>
      </c>
      <c r="Y284" s="2350">
        <f t="shared" si="254"/>
        <v>2</v>
      </c>
      <c r="Z284" s="2350">
        <f t="shared" si="254"/>
        <v>2</v>
      </c>
      <c r="AA284" s="2350">
        <f t="shared" si="254"/>
        <v>1</v>
      </c>
      <c r="AB284" s="236">
        <f t="shared" si="254"/>
        <v>1</v>
      </c>
      <c r="AC284" s="2350">
        <f t="shared" si="254"/>
        <v>2</v>
      </c>
      <c r="AD284" s="2350">
        <f t="shared" si="254"/>
        <v>2</v>
      </c>
      <c r="AE284" s="2350">
        <f t="shared" si="254"/>
        <v>2</v>
      </c>
      <c r="AF284" s="2350">
        <f t="shared" si="254"/>
        <v>2</v>
      </c>
      <c r="AG284" s="236">
        <f t="shared" si="254"/>
        <v>2</v>
      </c>
      <c r="AH284" s="2350">
        <f t="shared" si="254"/>
        <v>2</v>
      </c>
      <c r="AI284" s="2350">
        <f t="shared" si="254"/>
        <v>2</v>
      </c>
      <c r="AJ284" s="2350">
        <f t="shared" si="254"/>
        <v>2</v>
      </c>
      <c r="AK284" s="2350">
        <f t="shared" si="254"/>
        <v>3</v>
      </c>
      <c r="AL284" s="236">
        <f t="shared" si="254"/>
        <v>3</v>
      </c>
      <c r="AM284" s="2350">
        <f t="shared" si="254"/>
        <v>4</v>
      </c>
      <c r="AN284" s="2350">
        <f t="shared" si="254"/>
        <v>3</v>
      </c>
      <c r="AO284" s="2350">
        <f t="shared" ref="AO284:BT284" si="255">AO10+AO147</f>
        <v>3</v>
      </c>
      <c r="AP284" s="2350">
        <f t="shared" si="255"/>
        <v>3</v>
      </c>
      <c r="AQ284" s="236">
        <f t="shared" si="255"/>
        <v>3</v>
      </c>
      <c r="AR284" s="2350">
        <f t="shared" si="255"/>
        <v>3</v>
      </c>
      <c r="AS284" s="2350">
        <f t="shared" si="255"/>
        <v>4</v>
      </c>
      <c r="AT284" s="2350">
        <f t="shared" si="255"/>
        <v>4</v>
      </c>
      <c r="AU284" s="2350">
        <f t="shared" si="255"/>
        <v>4</v>
      </c>
      <c r="AV284" s="236">
        <f t="shared" si="255"/>
        <v>4</v>
      </c>
      <c r="AW284" s="2350">
        <f t="shared" si="255"/>
        <v>4</v>
      </c>
      <c r="AX284" s="2350">
        <f t="shared" si="255"/>
        <v>4</v>
      </c>
      <c r="AY284" s="2350">
        <f t="shared" si="255"/>
        <v>4</v>
      </c>
      <c r="AZ284" s="2350">
        <f t="shared" si="255"/>
        <v>4</v>
      </c>
      <c r="BA284" s="236">
        <f t="shared" si="255"/>
        <v>4</v>
      </c>
      <c r="BB284" s="2350">
        <f t="shared" si="255"/>
        <v>4</v>
      </c>
      <c r="BC284" s="2350">
        <f t="shared" si="255"/>
        <v>4</v>
      </c>
      <c r="BD284" s="2350">
        <f t="shared" si="255"/>
        <v>4</v>
      </c>
      <c r="BE284" s="2350">
        <f t="shared" si="255"/>
        <v>4</v>
      </c>
      <c r="BF284" s="236">
        <f t="shared" si="255"/>
        <v>4</v>
      </c>
      <c r="BG284" s="2350">
        <f t="shared" si="255"/>
        <v>4</v>
      </c>
      <c r="BH284" s="2350">
        <f t="shared" si="255"/>
        <v>4</v>
      </c>
      <c r="BI284" s="2350">
        <f t="shared" si="255"/>
        <v>4</v>
      </c>
      <c r="BJ284" s="2350">
        <f t="shared" si="255"/>
        <v>3</v>
      </c>
      <c r="BK284" s="236">
        <f t="shared" si="255"/>
        <v>3</v>
      </c>
      <c r="BL284" s="2350">
        <f t="shared" si="255"/>
        <v>3</v>
      </c>
      <c r="BM284" s="2350">
        <f t="shared" si="255"/>
        <v>3</v>
      </c>
      <c r="BN284" s="2350">
        <f t="shared" si="255"/>
        <v>3</v>
      </c>
      <c r="BO284" s="2350">
        <f t="shared" si="255"/>
        <v>3</v>
      </c>
      <c r="BP284" s="236">
        <f t="shared" si="255"/>
        <v>3</v>
      </c>
      <c r="BQ284" s="2350">
        <f t="shared" si="255"/>
        <v>3</v>
      </c>
      <c r="BR284" s="2350">
        <f t="shared" si="255"/>
        <v>3</v>
      </c>
      <c r="BS284" s="2350">
        <f t="shared" si="255"/>
        <v>3</v>
      </c>
      <c r="BT284" s="2350">
        <f t="shared" si="255"/>
        <v>4</v>
      </c>
      <c r="BU284" s="236">
        <f t="shared" ref="BU284:CL284" si="256">BU10+BU147</f>
        <v>4</v>
      </c>
      <c r="BV284" s="2350">
        <f t="shared" si="256"/>
        <v>4</v>
      </c>
      <c r="BW284" s="2350">
        <f t="shared" si="256"/>
        <v>4</v>
      </c>
      <c r="BX284" s="2350">
        <f t="shared" si="256"/>
        <v>4</v>
      </c>
      <c r="BY284" s="2350">
        <f t="shared" si="256"/>
        <v>4</v>
      </c>
      <c r="BZ284" s="236">
        <f t="shared" si="256"/>
        <v>4</v>
      </c>
      <c r="CA284" s="2350">
        <f t="shared" si="256"/>
        <v>4</v>
      </c>
      <c r="CB284" s="2350">
        <f t="shared" si="256"/>
        <v>4</v>
      </c>
      <c r="CC284" s="2350">
        <f t="shared" si="256"/>
        <v>4</v>
      </c>
      <c r="CD284" s="2350">
        <f t="shared" si="256"/>
        <v>4</v>
      </c>
      <c r="CE284" s="236">
        <f t="shared" si="256"/>
        <v>4</v>
      </c>
      <c r="CF284" s="2350">
        <f t="shared" si="256"/>
        <v>4</v>
      </c>
      <c r="CG284" s="2350">
        <f t="shared" si="256"/>
        <v>4</v>
      </c>
      <c r="CH284" s="2350">
        <f t="shared" si="256"/>
        <v>5</v>
      </c>
      <c r="CI284" s="2350">
        <f t="shared" si="256"/>
        <v>5</v>
      </c>
      <c r="CJ284" s="236">
        <f t="shared" si="256"/>
        <v>5</v>
      </c>
      <c r="CK284" s="2350">
        <f t="shared" si="256"/>
        <v>5</v>
      </c>
      <c r="CL284" s="2350">
        <f t="shared" si="256"/>
        <v>4</v>
      </c>
      <c r="CM284" s="2350">
        <f t="shared" ref="CM284:CO286" si="257">CM9+CM147</f>
        <v>1</v>
      </c>
      <c r="CN284" s="2350">
        <f t="shared" si="257"/>
        <v>1</v>
      </c>
      <c r="CO284" s="2289">
        <f t="shared" si="257"/>
        <v>1</v>
      </c>
      <c r="CP284" s="2350"/>
      <c r="CQ284" s="2350"/>
      <c r="CR284" s="212"/>
      <c r="CS284" s="212"/>
      <c r="CT284" s="236"/>
      <c r="CU284" s="236"/>
      <c r="CV284" s="236"/>
    </row>
    <row r="285" spans="1:256" x14ac:dyDescent="0.2">
      <c r="A285" s="1436" t="s">
        <v>346</v>
      </c>
      <c r="B285" s="651"/>
      <c r="C285" s="236"/>
      <c r="D285" s="234"/>
      <c r="E285" s="234"/>
      <c r="F285" s="234"/>
      <c r="G285" s="234"/>
      <c r="H285" s="661"/>
      <c r="I285" s="2350">
        <f t="shared" ref="I285:L291" si="258">I11+I148</f>
        <v>6</v>
      </c>
      <c r="J285" s="2350">
        <f t="shared" si="258"/>
        <v>7</v>
      </c>
      <c r="K285" s="2350">
        <f t="shared" si="258"/>
        <v>7</v>
      </c>
      <c r="L285" s="2350">
        <f t="shared" si="258"/>
        <v>7</v>
      </c>
      <c r="M285" s="236">
        <f t="shared" ref="M285:M291" si="259">+L285</f>
        <v>7</v>
      </c>
      <c r="N285" s="2350">
        <f t="shared" ref="N285:Q291" si="260">N11+N148</f>
        <v>7</v>
      </c>
      <c r="O285" s="2350">
        <f t="shared" si="260"/>
        <v>7</v>
      </c>
      <c r="P285" s="2350">
        <f t="shared" si="260"/>
        <v>6</v>
      </c>
      <c r="Q285" s="2350">
        <f t="shared" si="260"/>
        <v>5</v>
      </c>
      <c r="R285" s="236">
        <f t="shared" ref="R285:R291" si="261">+Q285</f>
        <v>5</v>
      </c>
      <c r="S285" s="2350">
        <f t="shared" ref="S285:V291" si="262">S11+S148</f>
        <v>5</v>
      </c>
      <c r="T285" s="2350">
        <f t="shared" si="262"/>
        <v>5</v>
      </c>
      <c r="U285" s="2350">
        <f t="shared" si="262"/>
        <v>4</v>
      </c>
      <c r="V285" s="2350">
        <f t="shared" si="262"/>
        <v>4</v>
      </c>
      <c r="W285" s="236">
        <f t="shared" ref="W285:W291" si="263">+V285</f>
        <v>4</v>
      </c>
      <c r="X285" s="2350">
        <f t="shared" ref="X285:AA291" si="264">X11+X148</f>
        <v>8</v>
      </c>
      <c r="Y285" s="2350">
        <f t="shared" si="264"/>
        <v>8</v>
      </c>
      <c r="Z285" s="2350">
        <f t="shared" si="264"/>
        <v>8</v>
      </c>
      <c r="AA285" s="2350">
        <f t="shared" si="264"/>
        <v>7</v>
      </c>
      <c r="AB285" s="236">
        <f t="shared" ref="AB285:AB291" si="265">+AA285</f>
        <v>7</v>
      </c>
      <c r="AC285" s="2350">
        <f t="shared" ref="AC285:AF291" si="266">AC11+AC148</f>
        <v>6</v>
      </c>
      <c r="AD285" s="2350">
        <f t="shared" si="266"/>
        <v>6</v>
      </c>
      <c r="AE285" s="2350">
        <f t="shared" si="266"/>
        <v>14</v>
      </c>
      <c r="AF285" s="2350">
        <f t="shared" si="266"/>
        <v>14</v>
      </c>
      <c r="AG285" s="236">
        <f t="shared" ref="AG285:AG291" si="267">+AF285</f>
        <v>14</v>
      </c>
      <c r="AH285" s="2350">
        <f t="shared" ref="AH285:AK291" si="268">AH11+AH148</f>
        <v>14</v>
      </c>
      <c r="AI285" s="2350">
        <f t="shared" si="268"/>
        <v>12</v>
      </c>
      <c r="AJ285" s="2350">
        <f t="shared" si="268"/>
        <v>10</v>
      </c>
      <c r="AK285" s="2350">
        <f t="shared" si="268"/>
        <v>12</v>
      </c>
      <c r="AL285" s="236">
        <f t="shared" ref="AL285:AL291" si="269">+AK285</f>
        <v>12</v>
      </c>
      <c r="AM285" s="2350">
        <f t="shared" ref="AM285:AP291" si="270">AM11+AM148</f>
        <v>11</v>
      </c>
      <c r="AN285" s="2350">
        <f t="shared" si="270"/>
        <v>11</v>
      </c>
      <c r="AO285" s="2350">
        <f t="shared" si="270"/>
        <v>9</v>
      </c>
      <c r="AP285" s="2350">
        <f t="shared" si="270"/>
        <v>8</v>
      </c>
      <c r="AQ285" s="236">
        <f t="shared" ref="AQ285:AQ291" si="271">+AP285</f>
        <v>8</v>
      </c>
      <c r="AR285" s="2350">
        <f t="shared" ref="AR285:AU291" si="272">AR11+AR148</f>
        <v>9</v>
      </c>
      <c r="AS285" s="2350">
        <f t="shared" si="272"/>
        <v>10</v>
      </c>
      <c r="AT285" s="2350">
        <f t="shared" si="272"/>
        <v>10</v>
      </c>
      <c r="AU285" s="2350">
        <f t="shared" si="272"/>
        <v>10</v>
      </c>
      <c r="AV285" s="236">
        <f t="shared" ref="AV285:AV291" si="273">+AU285</f>
        <v>10</v>
      </c>
      <c r="AW285" s="2350">
        <f t="shared" ref="AW285:AZ291" si="274">AW11+AW148</f>
        <v>10</v>
      </c>
      <c r="AX285" s="2350">
        <f t="shared" si="274"/>
        <v>10</v>
      </c>
      <c r="AY285" s="2350">
        <f t="shared" si="274"/>
        <v>10</v>
      </c>
      <c r="AZ285" s="2350">
        <f t="shared" si="274"/>
        <v>10</v>
      </c>
      <c r="BA285" s="236">
        <f t="shared" ref="BA285:BA291" si="275">+AZ285</f>
        <v>10</v>
      </c>
      <c r="BB285" s="2350">
        <f t="shared" ref="BB285:BE291" si="276">BB11+BB148</f>
        <v>12</v>
      </c>
      <c r="BC285" s="2350">
        <f t="shared" si="276"/>
        <v>11</v>
      </c>
      <c r="BD285" s="2350">
        <f t="shared" si="276"/>
        <v>11</v>
      </c>
      <c r="BE285" s="2350">
        <f t="shared" si="276"/>
        <v>10</v>
      </c>
      <c r="BF285" s="236">
        <f t="shared" ref="BF285:BF291" si="277">+BE285</f>
        <v>10</v>
      </c>
      <c r="BG285" s="2350">
        <f t="shared" ref="BG285:BJ291" si="278">BG11+BG148</f>
        <v>10</v>
      </c>
      <c r="BH285" s="2350">
        <f t="shared" si="278"/>
        <v>9</v>
      </c>
      <c r="BI285" s="2350">
        <f t="shared" si="278"/>
        <v>9</v>
      </c>
      <c r="BJ285" s="2350">
        <f t="shared" si="278"/>
        <v>9</v>
      </c>
      <c r="BK285" s="236">
        <f t="shared" ref="BK285:BK291" si="279">+BJ285</f>
        <v>9</v>
      </c>
      <c r="BL285" s="2350">
        <f t="shared" ref="BL285:BO291" si="280">BL11+BL148</f>
        <v>9</v>
      </c>
      <c r="BM285" s="2350">
        <f t="shared" si="280"/>
        <v>9</v>
      </c>
      <c r="BN285" s="2350">
        <f t="shared" si="280"/>
        <v>9</v>
      </c>
      <c r="BO285" s="2350">
        <f t="shared" si="280"/>
        <v>8</v>
      </c>
      <c r="BP285" s="236">
        <f t="shared" ref="BP285:BP291" si="281">+BO285</f>
        <v>8</v>
      </c>
      <c r="BQ285" s="2350">
        <f t="shared" ref="BQ285:BT291" si="282">BQ11+BQ148</f>
        <v>8</v>
      </c>
      <c r="BR285" s="2350">
        <f t="shared" si="282"/>
        <v>7</v>
      </c>
      <c r="BS285" s="2350">
        <f t="shared" si="282"/>
        <v>6</v>
      </c>
      <c r="BT285" s="2350">
        <f t="shared" si="282"/>
        <v>6</v>
      </c>
      <c r="BU285" s="236">
        <f t="shared" ref="BU285:BU291" si="283">+BT285</f>
        <v>6</v>
      </c>
      <c r="BV285" s="2350">
        <f t="shared" ref="BV285:BY291" si="284">BV11+BV148</f>
        <v>6</v>
      </c>
      <c r="BW285" s="2350">
        <f t="shared" si="284"/>
        <v>6</v>
      </c>
      <c r="BX285" s="2350">
        <f t="shared" si="284"/>
        <v>6</v>
      </c>
      <c r="BY285" s="2350">
        <f t="shared" si="284"/>
        <v>6</v>
      </c>
      <c r="BZ285" s="236">
        <f t="shared" ref="BZ285:BZ291" si="285">+BY285</f>
        <v>6</v>
      </c>
      <c r="CA285" s="2350">
        <f t="shared" ref="CA285:CD286" si="286">CA11+CA148</f>
        <v>6</v>
      </c>
      <c r="CB285" s="2350">
        <f t="shared" si="286"/>
        <v>6</v>
      </c>
      <c r="CC285" s="2350">
        <f t="shared" si="286"/>
        <v>6</v>
      </c>
      <c r="CD285" s="2350">
        <f t="shared" si="286"/>
        <v>6</v>
      </c>
      <c r="CE285" s="236">
        <f t="shared" ref="CE285:CE291" si="287">+CD285</f>
        <v>6</v>
      </c>
      <c r="CF285" s="2350">
        <f t="shared" ref="CF285:CI291" si="288">CF11+CF148</f>
        <v>6</v>
      </c>
      <c r="CG285" s="2350">
        <f t="shared" si="288"/>
        <v>6</v>
      </c>
      <c r="CH285" s="2350">
        <f t="shared" si="288"/>
        <v>5</v>
      </c>
      <c r="CI285" s="2350">
        <f t="shared" si="288"/>
        <v>5</v>
      </c>
      <c r="CJ285" s="236">
        <f t="shared" ref="CJ285:CJ312" si="289">+CI285</f>
        <v>5</v>
      </c>
      <c r="CK285" s="2350">
        <f t="shared" ref="CK285:CL286" si="290">CK11+CK148</f>
        <v>6</v>
      </c>
      <c r="CL285" s="2350">
        <f t="shared" si="290"/>
        <v>6</v>
      </c>
      <c r="CM285" s="2350">
        <f t="shared" si="257"/>
        <v>8</v>
      </c>
      <c r="CN285" s="2350">
        <f t="shared" si="257"/>
        <v>8</v>
      </c>
      <c r="CO285" s="2289">
        <f t="shared" si="257"/>
        <v>8</v>
      </c>
      <c r="CP285" s="2350"/>
      <c r="CQ285" s="847"/>
      <c r="CR285" s="847"/>
      <c r="CS285" s="847"/>
      <c r="CT285" s="661">
        <f>CT10+CT148</f>
        <v>0</v>
      </c>
      <c r="CU285" s="661">
        <f>CU10+CU148</f>
        <v>0</v>
      </c>
      <c r="CV285" s="661">
        <f>CV10+CV148</f>
        <v>0</v>
      </c>
      <c r="DB285" s="217"/>
    </row>
    <row r="286" spans="1:256" x14ac:dyDescent="0.2">
      <c r="A286" s="1436" t="s">
        <v>1385</v>
      </c>
      <c r="B286" s="651"/>
      <c r="C286" s="236"/>
      <c r="D286" s="234"/>
      <c r="E286" s="234"/>
      <c r="F286" s="234"/>
      <c r="G286" s="234"/>
      <c r="H286" s="661"/>
      <c r="I286" s="2350">
        <f t="shared" si="258"/>
        <v>0</v>
      </c>
      <c r="J286" s="2350">
        <f t="shared" si="258"/>
        <v>0</v>
      </c>
      <c r="K286" s="2350">
        <f t="shared" si="258"/>
        <v>0</v>
      </c>
      <c r="L286" s="2350">
        <f t="shared" si="258"/>
        <v>0</v>
      </c>
      <c r="M286" s="236">
        <f t="shared" si="259"/>
        <v>0</v>
      </c>
      <c r="N286" s="2350">
        <f t="shared" si="260"/>
        <v>0</v>
      </c>
      <c r="O286" s="2350">
        <f t="shared" si="260"/>
        <v>0</v>
      </c>
      <c r="P286" s="2350">
        <f t="shared" si="260"/>
        <v>0</v>
      </c>
      <c r="Q286" s="2350">
        <f t="shared" si="260"/>
        <v>0</v>
      </c>
      <c r="R286" s="236">
        <f t="shared" si="261"/>
        <v>0</v>
      </c>
      <c r="S286" s="2350">
        <f t="shared" si="262"/>
        <v>0</v>
      </c>
      <c r="T286" s="2350">
        <f t="shared" si="262"/>
        <v>0</v>
      </c>
      <c r="U286" s="2350">
        <f t="shared" si="262"/>
        <v>0</v>
      </c>
      <c r="V286" s="2350">
        <f t="shared" si="262"/>
        <v>0</v>
      </c>
      <c r="W286" s="236">
        <f t="shared" si="263"/>
        <v>0</v>
      </c>
      <c r="X286" s="2350">
        <f t="shared" si="264"/>
        <v>1</v>
      </c>
      <c r="Y286" s="2350">
        <f t="shared" si="264"/>
        <v>1</v>
      </c>
      <c r="Z286" s="2350">
        <f t="shared" si="264"/>
        <v>1</v>
      </c>
      <c r="AA286" s="2350">
        <f t="shared" si="264"/>
        <v>1</v>
      </c>
      <c r="AB286" s="236">
        <f t="shared" si="265"/>
        <v>1</v>
      </c>
      <c r="AC286" s="2350">
        <f t="shared" si="266"/>
        <v>1</v>
      </c>
      <c r="AD286" s="2350">
        <f t="shared" si="266"/>
        <v>1</v>
      </c>
      <c r="AE286" s="2350">
        <f t="shared" si="266"/>
        <v>5</v>
      </c>
      <c r="AF286" s="2350">
        <f t="shared" si="266"/>
        <v>6</v>
      </c>
      <c r="AG286" s="236">
        <f t="shared" si="267"/>
        <v>6</v>
      </c>
      <c r="AH286" s="2350">
        <f t="shared" si="268"/>
        <v>6</v>
      </c>
      <c r="AI286" s="2350">
        <f t="shared" si="268"/>
        <v>2</v>
      </c>
      <c r="AJ286" s="2350">
        <f t="shared" si="268"/>
        <v>2</v>
      </c>
      <c r="AK286" s="2350">
        <f t="shared" si="268"/>
        <v>3</v>
      </c>
      <c r="AL286" s="236">
        <f t="shared" si="269"/>
        <v>3</v>
      </c>
      <c r="AM286" s="2350">
        <f t="shared" si="270"/>
        <v>3</v>
      </c>
      <c r="AN286" s="2350">
        <f t="shared" si="270"/>
        <v>3</v>
      </c>
      <c r="AO286" s="2350">
        <f t="shared" si="270"/>
        <v>2</v>
      </c>
      <c r="AP286" s="2350">
        <f t="shared" si="270"/>
        <v>2</v>
      </c>
      <c r="AQ286" s="236">
        <f t="shared" si="271"/>
        <v>2</v>
      </c>
      <c r="AR286" s="2350">
        <f t="shared" si="272"/>
        <v>2</v>
      </c>
      <c r="AS286" s="2350">
        <f t="shared" si="272"/>
        <v>2</v>
      </c>
      <c r="AT286" s="2350">
        <f t="shared" si="272"/>
        <v>2</v>
      </c>
      <c r="AU286" s="2350">
        <f t="shared" si="272"/>
        <v>2</v>
      </c>
      <c r="AV286" s="236">
        <f t="shared" si="273"/>
        <v>2</v>
      </c>
      <c r="AW286" s="2350">
        <f t="shared" si="274"/>
        <v>2</v>
      </c>
      <c r="AX286" s="2350">
        <f t="shared" si="274"/>
        <v>2</v>
      </c>
      <c r="AY286" s="2350">
        <f t="shared" si="274"/>
        <v>2</v>
      </c>
      <c r="AZ286" s="2350">
        <f t="shared" si="274"/>
        <v>2</v>
      </c>
      <c r="BA286" s="236">
        <f t="shared" si="275"/>
        <v>2</v>
      </c>
      <c r="BB286" s="2350">
        <f t="shared" si="276"/>
        <v>2</v>
      </c>
      <c r="BC286" s="2350">
        <f t="shared" si="276"/>
        <v>2</v>
      </c>
      <c r="BD286" s="2350">
        <f t="shared" si="276"/>
        <v>2</v>
      </c>
      <c r="BE286" s="2350">
        <f t="shared" si="276"/>
        <v>9</v>
      </c>
      <c r="BF286" s="236">
        <f t="shared" si="277"/>
        <v>9</v>
      </c>
      <c r="BG286" s="2350">
        <f t="shared" si="278"/>
        <v>10</v>
      </c>
      <c r="BH286" s="2350">
        <f t="shared" si="278"/>
        <v>10</v>
      </c>
      <c r="BI286" s="2350">
        <f t="shared" si="278"/>
        <v>10</v>
      </c>
      <c r="BJ286" s="2350">
        <f t="shared" si="278"/>
        <v>9</v>
      </c>
      <c r="BK286" s="236">
        <f t="shared" si="279"/>
        <v>9</v>
      </c>
      <c r="BL286" s="2350">
        <f t="shared" si="280"/>
        <v>9</v>
      </c>
      <c r="BM286" s="2350">
        <f t="shared" si="280"/>
        <v>9</v>
      </c>
      <c r="BN286" s="2350">
        <f t="shared" si="280"/>
        <v>8</v>
      </c>
      <c r="BO286" s="2350">
        <f t="shared" si="280"/>
        <v>7</v>
      </c>
      <c r="BP286" s="236">
        <f t="shared" si="281"/>
        <v>7</v>
      </c>
      <c r="BQ286" s="2350">
        <f t="shared" si="282"/>
        <v>7</v>
      </c>
      <c r="BR286" s="2350">
        <f t="shared" si="282"/>
        <v>7</v>
      </c>
      <c r="BS286" s="2350">
        <f t="shared" si="282"/>
        <v>7</v>
      </c>
      <c r="BT286" s="2350">
        <f t="shared" si="282"/>
        <v>7</v>
      </c>
      <c r="BU286" s="236">
        <f t="shared" si="283"/>
        <v>7</v>
      </c>
      <c r="BV286" s="2350">
        <f t="shared" si="284"/>
        <v>7</v>
      </c>
      <c r="BW286" s="2350">
        <f t="shared" si="284"/>
        <v>6</v>
      </c>
      <c r="BX286" s="2350">
        <f t="shared" si="284"/>
        <v>4</v>
      </c>
      <c r="BY286" s="2350">
        <f t="shared" si="284"/>
        <v>4</v>
      </c>
      <c r="BZ286" s="236">
        <f t="shared" si="285"/>
        <v>4</v>
      </c>
      <c r="CA286" s="2350">
        <f t="shared" ref="CA286:CC291" si="291">CA12+CA149</f>
        <v>4</v>
      </c>
      <c r="CB286" s="2350">
        <f t="shared" si="291"/>
        <v>4</v>
      </c>
      <c r="CC286" s="2350">
        <f t="shared" si="291"/>
        <v>3</v>
      </c>
      <c r="CD286" s="2350">
        <f t="shared" si="286"/>
        <v>3</v>
      </c>
      <c r="CE286" s="236">
        <f t="shared" si="287"/>
        <v>3</v>
      </c>
      <c r="CF286" s="2350">
        <f t="shared" si="288"/>
        <v>3</v>
      </c>
      <c r="CG286" s="2350">
        <f t="shared" si="288"/>
        <v>3</v>
      </c>
      <c r="CH286" s="2350">
        <f t="shared" si="288"/>
        <v>3</v>
      </c>
      <c r="CI286" s="2350">
        <f t="shared" si="288"/>
        <v>3</v>
      </c>
      <c r="CJ286" s="236">
        <f t="shared" si="289"/>
        <v>3</v>
      </c>
      <c r="CK286" s="2350">
        <f t="shared" si="290"/>
        <v>3</v>
      </c>
      <c r="CL286" s="2350">
        <f t="shared" si="290"/>
        <v>3</v>
      </c>
      <c r="CM286" s="2350">
        <f t="shared" si="257"/>
        <v>4</v>
      </c>
      <c r="CN286" s="2350">
        <f t="shared" si="257"/>
        <v>4</v>
      </c>
      <c r="CO286" s="2289">
        <f t="shared" si="257"/>
        <v>4</v>
      </c>
      <c r="CP286" s="2350"/>
      <c r="CQ286" s="847"/>
      <c r="CR286" s="847"/>
      <c r="CS286" s="847"/>
      <c r="CT286" s="661">
        <f t="shared" ref="CT286:CT293" si="292">CT11+CT149</f>
        <v>0</v>
      </c>
      <c r="CU286" s="661">
        <f t="shared" ref="CU286:CV292" si="293">CU11+CU149</f>
        <v>0</v>
      </c>
      <c r="CV286" s="661">
        <f t="shared" si="293"/>
        <v>0</v>
      </c>
      <c r="DB286" s="217"/>
    </row>
    <row r="287" spans="1:256" x14ac:dyDescent="0.2">
      <c r="A287" s="1436" t="s">
        <v>512</v>
      </c>
      <c r="B287" s="651"/>
      <c r="C287" s="236"/>
      <c r="D287" s="234"/>
      <c r="E287" s="234"/>
      <c r="F287" s="234"/>
      <c r="G287" s="234"/>
      <c r="H287" s="661"/>
      <c r="I287" s="2350">
        <f t="shared" si="258"/>
        <v>0</v>
      </c>
      <c r="J287" s="2350">
        <f t="shared" si="258"/>
        <v>0</v>
      </c>
      <c r="K287" s="2350">
        <f t="shared" si="258"/>
        <v>0</v>
      </c>
      <c r="L287" s="2350">
        <f t="shared" si="258"/>
        <v>0</v>
      </c>
      <c r="M287" s="236">
        <f t="shared" si="259"/>
        <v>0</v>
      </c>
      <c r="N287" s="2350">
        <f t="shared" si="260"/>
        <v>0</v>
      </c>
      <c r="O287" s="2350">
        <f t="shared" si="260"/>
        <v>0</v>
      </c>
      <c r="P287" s="2350">
        <f t="shared" si="260"/>
        <v>0</v>
      </c>
      <c r="Q287" s="2350">
        <f t="shared" si="260"/>
        <v>0</v>
      </c>
      <c r="R287" s="236">
        <f t="shared" si="261"/>
        <v>0</v>
      </c>
      <c r="S287" s="2350">
        <f t="shared" si="262"/>
        <v>0</v>
      </c>
      <c r="T287" s="2350">
        <f t="shared" si="262"/>
        <v>0</v>
      </c>
      <c r="U287" s="2350">
        <f t="shared" si="262"/>
        <v>0</v>
      </c>
      <c r="V287" s="2350">
        <f t="shared" si="262"/>
        <v>0</v>
      </c>
      <c r="W287" s="236">
        <f t="shared" si="263"/>
        <v>0</v>
      </c>
      <c r="X287" s="2350">
        <f t="shared" si="264"/>
        <v>0</v>
      </c>
      <c r="Y287" s="2350">
        <f t="shared" si="264"/>
        <v>0</v>
      </c>
      <c r="Z287" s="2350">
        <f t="shared" si="264"/>
        <v>0</v>
      </c>
      <c r="AA287" s="2350">
        <f t="shared" si="264"/>
        <v>0</v>
      </c>
      <c r="AB287" s="236">
        <f t="shared" si="265"/>
        <v>0</v>
      </c>
      <c r="AC287" s="2350">
        <f t="shared" si="266"/>
        <v>0</v>
      </c>
      <c r="AD287" s="2350">
        <f t="shared" si="266"/>
        <v>0</v>
      </c>
      <c r="AE287" s="2350">
        <f t="shared" si="266"/>
        <v>0</v>
      </c>
      <c r="AF287" s="2350">
        <f t="shared" si="266"/>
        <v>0</v>
      </c>
      <c r="AG287" s="236">
        <f t="shared" si="267"/>
        <v>0</v>
      </c>
      <c r="AH287" s="2350">
        <f t="shared" si="268"/>
        <v>0</v>
      </c>
      <c r="AI287" s="2350">
        <f t="shared" si="268"/>
        <v>0</v>
      </c>
      <c r="AJ287" s="2350">
        <f t="shared" si="268"/>
        <v>0</v>
      </c>
      <c r="AK287" s="2350">
        <f t="shared" si="268"/>
        <v>0</v>
      </c>
      <c r="AL287" s="236">
        <f t="shared" si="269"/>
        <v>0</v>
      </c>
      <c r="AM287" s="2350">
        <f t="shared" si="270"/>
        <v>0</v>
      </c>
      <c r="AN287" s="2350">
        <f t="shared" si="270"/>
        <v>0</v>
      </c>
      <c r="AO287" s="2350">
        <f t="shared" si="270"/>
        <v>0</v>
      </c>
      <c r="AP287" s="2350">
        <f t="shared" si="270"/>
        <v>0</v>
      </c>
      <c r="AQ287" s="236">
        <f t="shared" si="271"/>
        <v>0</v>
      </c>
      <c r="AR287" s="2350">
        <f t="shared" si="272"/>
        <v>0</v>
      </c>
      <c r="AS287" s="2350">
        <f t="shared" si="272"/>
        <v>0</v>
      </c>
      <c r="AT287" s="2350">
        <f t="shared" si="272"/>
        <v>0</v>
      </c>
      <c r="AU287" s="2350">
        <f t="shared" si="272"/>
        <v>0</v>
      </c>
      <c r="AV287" s="236">
        <f t="shared" si="273"/>
        <v>0</v>
      </c>
      <c r="AW287" s="2350">
        <f t="shared" si="274"/>
        <v>0</v>
      </c>
      <c r="AX287" s="2350">
        <f t="shared" si="274"/>
        <v>0</v>
      </c>
      <c r="AY287" s="2350">
        <f t="shared" si="274"/>
        <v>0</v>
      </c>
      <c r="AZ287" s="2350">
        <f t="shared" si="274"/>
        <v>0</v>
      </c>
      <c r="BA287" s="236">
        <f t="shared" si="275"/>
        <v>0</v>
      </c>
      <c r="BB287" s="2350">
        <f t="shared" si="276"/>
        <v>0</v>
      </c>
      <c r="BC287" s="2350">
        <f t="shared" si="276"/>
        <v>0</v>
      </c>
      <c r="BD287" s="2350">
        <f t="shared" si="276"/>
        <v>0</v>
      </c>
      <c r="BE287" s="2350">
        <f t="shared" si="276"/>
        <v>0</v>
      </c>
      <c r="BF287" s="236">
        <f t="shared" si="277"/>
        <v>0</v>
      </c>
      <c r="BG287" s="2350">
        <f t="shared" si="278"/>
        <v>0</v>
      </c>
      <c r="BH287" s="2350">
        <f t="shared" si="278"/>
        <v>0</v>
      </c>
      <c r="BI287" s="2350">
        <f t="shared" si="278"/>
        <v>0</v>
      </c>
      <c r="BJ287" s="2350">
        <f t="shared" si="278"/>
        <v>0</v>
      </c>
      <c r="BK287" s="236">
        <f t="shared" si="279"/>
        <v>0</v>
      </c>
      <c r="BL287" s="2350">
        <f t="shared" si="280"/>
        <v>0</v>
      </c>
      <c r="BM287" s="2350">
        <f t="shared" si="280"/>
        <v>0</v>
      </c>
      <c r="BN287" s="2350">
        <f t="shared" si="280"/>
        <v>0</v>
      </c>
      <c r="BO287" s="2350">
        <f t="shared" si="280"/>
        <v>0</v>
      </c>
      <c r="BP287" s="236">
        <f t="shared" si="281"/>
        <v>0</v>
      </c>
      <c r="BQ287" s="2350">
        <f t="shared" si="282"/>
        <v>0</v>
      </c>
      <c r="BR287" s="2350">
        <f t="shared" si="282"/>
        <v>0</v>
      </c>
      <c r="BS287" s="2350">
        <f t="shared" si="282"/>
        <v>0</v>
      </c>
      <c r="BT287" s="2350">
        <f t="shared" si="282"/>
        <v>0</v>
      </c>
      <c r="BU287" s="236">
        <f t="shared" si="283"/>
        <v>0</v>
      </c>
      <c r="BV287" s="2350">
        <f t="shared" si="284"/>
        <v>0</v>
      </c>
      <c r="BW287" s="2350">
        <f t="shared" si="284"/>
        <v>0</v>
      </c>
      <c r="BX287" s="2350">
        <f t="shared" si="284"/>
        <v>0</v>
      </c>
      <c r="BY287" s="2350">
        <f t="shared" si="284"/>
        <v>0</v>
      </c>
      <c r="BZ287" s="236">
        <f t="shared" si="285"/>
        <v>0</v>
      </c>
      <c r="CA287" s="2350">
        <f t="shared" si="291"/>
        <v>0</v>
      </c>
      <c r="CB287" s="2350">
        <f t="shared" si="291"/>
        <v>0</v>
      </c>
      <c r="CC287" s="2350">
        <f t="shared" si="291"/>
        <v>0</v>
      </c>
      <c r="CD287" s="2350">
        <f>CD13+CD150</f>
        <v>0</v>
      </c>
      <c r="CE287" s="236">
        <f t="shared" si="287"/>
        <v>0</v>
      </c>
      <c r="CF287" s="2350">
        <f t="shared" si="288"/>
        <v>0</v>
      </c>
      <c r="CG287" s="2350">
        <f t="shared" si="288"/>
        <v>0</v>
      </c>
      <c r="CH287" s="2350">
        <f t="shared" si="288"/>
        <v>0</v>
      </c>
      <c r="CI287" s="2350">
        <f t="shared" si="288"/>
        <v>0</v>
      </c>
      <c r="CJ287" s="236">
        <f t="shared" ref="CJ287:CJ292" si="294">+CI287</f>
        <v>0</v>
      </c>
      <c r="CK287" s="2350">
        <f t="shared" ref="CK287:CM291" si="295">CK13+CK150</f>
        <v>0</v>
      </c>
      <c r="CL287" s="2350">
        <f t="shared" si="295"/>
        <v>0</v>
      </c>
      <c r="CM287" s="2350">
        <f t="shared" si="295"/>
        <v>0</v>
      </c>
      <c r="CN287" s="2350">
        <f t="shared" ref="CN287:CO287" si="296">CN13+CN150</f>
        <v>0</v>
      </c>
      <c r="CO287" s="2289">
        <f t="shared" si="296"/>
        <v>0</v>
      </c>
      <c r="CP287" s="2350"/>
      <c r="CQ287" s="847"/>
      <c r="CR287" s="847"/>
      <c r="CS287" s="847"/>
      <c r="CT287" s="661">
        <f t="shared" si="292"/>
        <v>0</v>
      </c>
      <c r="CU287" s="661">
        <f t="shared" si="293"/>
        <v>0</v>
      </c>
      <c r="CV287" s="661">
        <f t="shared" si="293"/>
        <v>0</v>
      </c>
      <c r="DB287" s="217"/>
    </row>
    <row r="288" spans="1:256" x14ac:dyDescent="0.2">
      <c r="A288" s="2288" t="s">
        <v>608</v>
      </c>
      <c r="B288" s="651"/>
      <c r="C288" s="236"/>
      <c r="D288" s="234"/>
      <c r="E288" s="234"/>
      <c r="F288" s="234"/>
      <c r="G288" s="234"/>
      <c r="H288" s="661"/>
      <c r="I288" s="2350">
        <f t="shared" si="258"/>
        <v>0</v>
      </c>
      <c r="J288" s="2350">
        <f t="shared" si="258"/>
        <v>0</v>
      </c>
      <c r="K288" s="2350">
        <f t="shared" si="258"/>
        <v>0</v>
      </c>
      <c r="L288" s="2350">
        <f t="shared" si="258"/>
        <v>0</v>
      </c>
      <c r="M288" s="236">
        <f t="shared" si="259"/>
        <v>0</v>
      </c>
      <c r="N288" s="2350">
        <f t="shared" si="260"/>
        <v>0</v>
      </c>
      <c r="O288" s="2350">
        <f t="shared" si="260"/>
        <v>0</v>
      </c>
      <c r="P288" s="2350">
        <f t="shared" si="260"/>
        <v>0</v>
      </c>
      <c r="Q288" s="2350">
        <f t="shared" si="260"/>
        <v>0</v>
      </c>
      <c r="R288" s="236">
        <f t="shared" si="261"/>
        <v>0</v>
      </c>
      <c r="S288" s="2350">
        <f t="shared" si="262"/>
        <v>0</v>
      </c>
      <c r="T288" s="2350">
        <f t="shared" si="262"/>
        <v>0</v>
      </c>
      <c r="U288" s="2350">
        <f t="shared" si="262"/>
        <v>0</v>
      </c>
      <c r="V288" s="2350">
        <f t="shared" si="262"/>
        <v>0</v>
      </c>
      <c r="W288" s="236">
        <f t="shared" si="263"/>
        <v>0</v>
      </c>
      <c r="X288" s="2350">
        <f t="shared" si="264"/>
        <v>0</v>
      </c>
      <c r="Y288" s="2350">
        <f t="shared" si="264"/>
        <v>0</v>
      </c>
      <c r="Z288" s="2350">
        <f t="shared" si="264"/>
        <v>0</v>
      </c>
      <c r="AA288" s="2350">
        <f t="shared" si="264"/>
        <v>0</v>
      </c>
      <c r="AB288" s="236">
        <f t="shared" si="265"/>
        <v>0</v>
      </c>
      <c r="AC288" s="2350">
        <f t="shared" si="266"/>
        <v>0</v>
      </c>
      <c r="AD288" s="2350">
        <f t="shared" si="266"/>
        <v>0</v>
      </c>
      <c r="AE288" s="2350">
        <f t="shared" si="266"/>
        <v>0</v>
      </c>
      <c r="AF288" s="2350">
        <f t="shared" si="266"/>
        <v>0</v>
      </c>
      <c r="AG288" s="236">
        <f t="shared" si="267"/>
        <v>0</v>
      </c>
      <c r="AH288" s="2350">
        <f t="shared" si="268"/>
        <v>0</v>
      </c>
      <c r="AI288" s="2350">
        <f t="shared" si="268"/>
        <v>0</v>
      </c>
      <c r="AJ288" s="2350">
        <f t="shared" si="268"/>
        <v>0</v>
      </c>
      <c r="AK288" s="2350">
        <f t="shared" si="268"/>
        <v>0</v>
      </c>
      <c r="AL288" s="236">
        <f t="shared" si="269"/>
        <v>0</v>
      </c>
      <c r="AM288" s="2350">
        <f t="shared" si="270"/>
        <v>0</v>
      </c>
      <c r="AN288" s="2350">
        <f t="shared" si="270"/>
        <v>0</v>
      </c>
      <c r="AO288" s="2350">
        <f t="shared" si="270"/>
        <v>0</v>
      </c>
      <c r="AP288" s="2350">
        <f t="shared" si="270"/>
        <v>0</v>
      </c>
      <c r="AQ288" s="236">
        <f t="shared" si="271"/>
        <v>0</v>
      </c>
      <c r="AR288" s="2350">
        <f t="shared" si="272"/>
        <v>0</v>
      </c>
      <c r="AS288" s="2350">
        <f t="shared" si="272"/>
        <v>0</v>
      </c>
      <c r="AT288" s="2350">
        <f t="shared" si="272"/>
        <v>0</v>
      </c>
      <c r="AU288" s="2350">
        <f t="shared" si="272"/>
        <v>0</v>
      </c>
      <c r="AV288" s="236">
        <f t="shared" si="273"/>
        <v>0</v>
      </c>
      <c r="AW288" s="2350">
        <f t="shared" si="274"/>
        <v>0</v>
      </c>
      <c r="AX288" s="2350">
        <f t="shared" si="274"/>
        <v>0</v>
      </c>
      <c r="AY288" s="2350">
        <f t="shared" si="274"/>
        <v>0</v>
      </c>
      <c r="AZ288" s="2350">
        <f t="shared" si="274"/>
        <v>0</v>
      </c>
      <c r="BA288" s="236">
        <f t="shared" si="275"/>
        <v>0</v>
      </c>
      <c r="BB288" s="2350">
        <f t="shared" si="276"/>
        <v>0</v>
      </c>
      <c r="BC288" s="2350">
        <f t="shared" si="276"/>
        <v>0</v>
      </c>
      <c r="BD288" s="2350">
        <f t="shared" si="276"/>
        <v>0</v>
      </c>
      <c r="BE288" s="2350">
        <f t="shared" si="276"/>
        <v>0</v>
      </c>
      <c r="BF288" s="236">
        <f t="shared" si="277"/>
        <v>0</v>
      </c>
      <c r="BG288" s="2350">
        <f t="shared" si="278"/>
        <v>0</v>
      </c>
      <c r="BH288" s="2350">
        <f t="shared" si="278"/>
        <v>0</v>
      </c>
      <c r="BI288" s="2350">
        <f t="shared" si="278"/>
        <v>0</v>
      </c>
      <c r="BJ288" s="2350">
        <f t="shared" si="278"/>
        <v>0</v>
      </c>
      <c r="BK288" s="236">
        <f t="shared" si="279"/>
        <v>0</v>
      </c>
      <c r="BL288" s="2350">
        <f t="shared" si="280"/>
        <v>0</v>
      </c>
      <c r="BM288" s="2350">
        <f t="shared" si="280"/>
        <v>0</v>
      </c>
      <c r="BN288" s="2350">
        <f t="shared" si="280"/>
        <v>0</v>
      </c>
      <c r="BO288" s="2350">
        <f t="shared" si="280"/>
        <v>0</v>
      </c>
      <c r="BP288" s="236">
        <f t="shared" si="281"/>
        <v>0</v>
      </c>
      <c r="BQ288" s="2350">
        <f t="shared" si="282"/>
        <v>0</v>
      </c>
      <c r="BR288" s="2350">
        <f t="shared" si="282"/>
        <v>0</v>
      </c>
      <c r="BS288" s="2350">
        <f t="shared" si="282"/>
        <v>0</v>
      </c>
      <c r="BT288" s="2350">
        <f t="shared" si="282"/>
        <v>0</v>
      </c>
      <c r="BU288" s="236">
        <f t="shared" si="283"/>
        <v>0</v>
      </c>
      <c r="BV288" s="2350">
        <f t="shared" si="284"/>
        <v>0</v>
      </c>
      <c r="BW288" s="2350">
        <f t="shared" si="284"/>
        <v>0</v>
      </c>
      <c r="BX288" s="2350">
        <f t="shared" si="284"/>
        <v>0</v>
      </c>
      <c r="BY288" s="2350">
        <f t="shared" si="284"/>
        <v>0</v>
      </c>
      <c r="BZ288" s="236">
        <f t="shared" si="285"/>
        <v>0</v>
      </c>
      <c r="CA288" s="2350">
        <f t="shared" si="291"/>
        <v>0</v>
      </c>
      <c r="CB288" s="2350">
        <f t="shared" si="291"/>
        <v>0</v>
      </c>
      <c r="CC288" s="2350">
        <f t="shared" si="291"/>
        <v>0</v>
      </c>
      <c r="CD288" s="2350">
        <f>CD14+CD151</f>
        <v>0</v>
      </c>
      <c r="CE288" s="236">
        <f t="shared" si="287"/>
        <v>0</v>
      </c>
      <c r="CF288" s="2350">
        <f t="shared" si="288"/>
        <v>0</v>
      </c>
      <c r="CG288" s="2350">
        <f t="shared" si="288"/>
        <v>0</v>
      </c>
      <c r="CH288" s="2350">
        <f t="shared" si="288"/>
        <v>0</v>
      </c>
      <c r="CI288" s="2350">
        <f t="shared" si="288"/>
        <v>0</v>
      </c>
      <c r="CJ288" s="236">
        <f t="shared" si="294"/>
        <v>0</v>
      </c>
      <c r="CK288" s="2350">
        <f t="shared" si="295"/>
        <v>0</v>
      </c>
      <c r="CL288" s="2350">
        <f t="shared" si="295"/>
        <v>0</v>
      </c>
      <c r="CM288" s="2350">
        <f t="shared" si="295"/>
        <v>0</v>
      </c>
      <c r="CN288" s="2350">
        <f t="shared" ref="CN288:CO288" si="297">CN14+CN151</f>
        <v>0</v>
      </c>
      <c r="CO288" s="2289">
        <f t="shared" si="297"/>
        <v>0</v>
      </c>
      <c r="CP288" s="2350"/>
      <c r="CQ288" s="847"/>
      <c r="CR288" s="847"/>
      <c r="CS288" s="847"/>
      <c r="CT288" s="661">
        <f t="shared" si="292"/>
        <v>0</v>
      </c>
      <c r="CU288" s="661">
        <f t="shared" si="293"/>
        <v>0</v>
      </c>
      <c r="CV288" s="661">
        <f t="shared" si="293"/>
        <v>0</v>
      </c>
      <c r="DB288" s="217"/>
    </row>
    <row r="289" spans="1:108" x14ac:dyDescent="0.2">
      <c r="A289" s="1436" t="s">
        <v>510</v>
      </c>
      <c r="B289" s="651"/>
      <c r="C289" s="236"/>
      <c r="D289" s="234"/>
      <c r="E289" s="234"/>
      <c r="F289" s="234"/>
      <c r="G289" s="234"/>
      <c r="H289" s="661"/>
      <c r="I289" s="2350">
        <f t="shared" si="258"/>
        <v>1</v>
      </c>
      <c r="J289" s="2350">
        <f t="shared" si="258"/>
        <v>1</v>
      </c>
      <c r="K289" s="2350">
        <f t="shared" si="258"/>
        <v>1</v>
      </c>
      <c r="L289" s="2350">
        <f t="shared" si="258"/>
        <v>1</v>
      </c>
      <c r="M289" s="236">
        <f t="shared" si="259"/>
        <v>1</v>
      </c>
      <c r="N289" s="2350">
        <f t="shared" si="260"/>
        <v>1</v>
      </c>
      <c r="O289" s="2350">
        <f t="shared" si="260"/>
        <v>1</v>
      </c>
      <c r="P289" s="2350">
        <f t="shared" si="260"/>
        <v>1</v>
      </c>
      <c r="Q289" s="2350">
        <f t="shared" si="260"/>
        <v>1</v>
      </c>
      <c r="R289" s="236">
        <f t="shared" si="261"/>
        <v>1</v>
      </c>
      <c r="S289" s="2350">
        <f t="shared" si="262"/>
        <v>1</v>
      </c>
      <c r="T289" s="2350">
        <f t="shared" si="262"/>
        <v>1</v>
      </c>
      <c r="U289" s="2350">
        <f t="shared" si="262"/>
        <v>1</v>
      </c>
      <c r="V289" s="2350">
        <f t="shared" si="262"/>
        <v>1</v>
      </c>
      <c r="W289" s="236">
        <f t="shared" si="263"/>
        <v>1</v>
      </c>
      <c r="X289" s="2350">
        <f t="shared" si="264"/>
        <v>2</v>
      </c>
      <c r="Y289" s="2350">
        <f t="shared" si="264"/>
        <v>2</v>
      </c>
      <c r="Z289" s="2350">
        <f t="shared" si="264"/>
        <v>2</v>
      </c>
      <c r="AA289" s="2350">
        <f t="shared" si="264"/>
        <v>2</v>
      </c>
      <c r="AB289" s="236">
        <f t="shared" si="265"/>
        <v>2</v>
      </c>
      <c r="AC289" s="2350">
        <f t="shared" si="266"/>
        <v>2</v>
      </c>
      <c r="AD289" s="2350">
        <f t="shared" si="266"/>
        <v>2</v>
      </c>
      <c r="AE289" s="2350">
        <f t="shared" si="266"/>
        <v>2</v>
      </c>
      <c r="AF289" s="2350">
        <f t="shared" si="266"/>
        <v>2</v>
      </c>
      <c r="AG289" s="236">
        <f t="shared" si="267"/>
        <v>2</v>
      </c>
      <c r="AH289" s="2350">
        <f t="shared" si="268"/>
        <v>2</v>
      </c>
      <c r="AI289" s="2350">
        <f t="shared" si="268"/>
        <v>2</v>
      </c>
      <c r="AJ289" s="2350">
        <f t="shared" si="268"/>
        <v>2</v>
      </c>
      <c r="AK289" s="2350">
        <f t="shared" si="268"/>
        <v>2</v>
      </c>
      <c r="AL289" s="236">
        <f t="shared" si="269"/>
        <v>2</v>
      </c>
      <c r="AM289" s="2350">
        <f t="shared" si="270"/>
        <v>2</v>
      </c>
      <c r="AN289" s="2350">
        <f t="shared" si="270"/>
        <v>3</v>
      </c>
      <c r="AO289" s="2350">
        <f t="shared" si="270"/>
        <v>3</v>
      </c>
      <c r="AP289" s="2350">
        <f t="shared" si="270"/>
        <v>3</v>
      </c>
      <c r="AQ289" s="236">
        <f t="shared" si="271"/>
        <v>3</v>
      </c>
      <c r="AR289" s="2350">
        <f t="shared" si="272"/>
        <v>3</v>
      </c>
      <c r="AS289" s="2350">
        <f t="shared" si="272"/>
        <v>3</v>
      </c>
      <c r="AT289" s="2350">
        <f t="shared" si="272"/>
        <v>3</v>
      </c>
      <c r="AU289" s="2350">
        <f t="shared" si="272"/>
        <v>3</v>
      </c>
      <c r="AV289" s="236">
        <f t="shared" si="273"/>
        <v>3</v>
      </c>
      <c r="AW289" s="2350">
        <f t="shared" si="274"/>
        <v>3</v>
      </c>
      <c r="AX289" s="2350">
        <f t="shared" si="274"/>
        <v>3</v>
      </c>
      <c r="AY289" s="2350">
        <f t="shared" si="274"/>
        <v>3</v>
      </c>
      <c r="AZ289" s="2350">
        <f t="shared" si="274"/>
        <v>3</v>
      </c>
      <c r="BA289" s="236">
        <f t="shared" si="275"/>
        <v>3</v>
      </c>
      <c r="BB289" s="2350">
        <f t="shared" si="276"/>
        <v>3</v>
      </c>
      <c r="BC289" s="2350">
        <f t="shared" si="276"/>
        <v>3</v>
      </c>
      <c r="BD289" s="2350">
        <f t="shared" si="276"/>
        <v>3</v>
      </c>
      <c r="BE289" s="2350">
        <f t="shared" si="276"/>
        <v>3</v>
      </c>
      <c r="BF289" s="236">
        <f t="shared" si="277"/>
        <v>3</v>
      </c>
      <c r="BG289" s="2350">
        <f t="shared" si="278"/>
        <v>3</v>
      </c>
      <c r="BH289" s="2350">
        <f t="shared" si="278"/>
        <v>3</v>
      </c>
      <c r="BI289" s="2350">
        <f t="shared" si="278"/>
        <v>3</v>
      </c>
      <c r="BJ289" s="2350">
        <f t="shared" si="278"/>
        <v>3</v>
      </c>
      <c r="BK289" s="236">
        <f t="shared" si="279"/>
        <v>3</v>
      </c>
      <c r="BL289" s="2350">
        <f t="shared" si="280"/>
        <v>3</v>
      </c>
      <c r="BM289" s="2350">
        <f t="shared" si="280"/>
        <v>3</v>
      </c>
      <c r="BN289" s="2350">
        <f t="shared" si="280"/>
        <v>3</v>
      </c>
      <c r="BO289" s="2350">
        <f t="shared" si="280"/>
        <v>3</v>
      </c>
      <c r="BP289" s="236">
        <f t="shared" si="281"/>
        <v>3</v>
      </c>
      <c r="BQ289" s="2350">
        <f t="shared" si="282"/>
        <v>3</v>
      </c>
      <c r="BR289" s="2350">
        <f t="shared" si="282"/>
        <v>3</v>
      </c>
      <c r="BS289" s="2350">
        <f t="shared" si="282"/>
        <v>3</v>
      </c>
      <c r="BT289" s="2350">
        <f t="shared" si="282"/>
        <v>3</v>
      </c>
      <c r="BU289" s="236">
        <f t="shared" si="283"/>
        <v>3</v>
      </c>
      <c r="BV289" s="2350">
        <f t="shared" si="284"/>
        <v>3</v>
      </c>
      <c r="BW289" s="2350">
        <f t="shared" si="284"/>
        <v>3</v>
      </c>
      <c r="BX289" s="2350">
        <f t="shared" si="284"/>
        <v>3</v>
      </c>
      <c r="BY289" s="2350">
        <f t="shared" si="284"/>
        <v>3</v>
      </c>
      <c r="BZ289" s="236">
        <f t="shared" si="285"/>
        <v>3</v>
      </c>
      <c r="CA289" s="2350">
        <f t="shared" si="291"/>
        <v>3</v>
      </c>
      <c r="CB289" s="2350">
        <f t="shared" si="291"/>
        <v>3</v>
      </c>
      <c r="CC289" s="2350">
        <f t="shared" si="291"/>
        <v>3</v>
      </c>
      <c r="CD289" s="2350">
        <f>CD15+CD152</f>
        <v>2</v>
      </c>
      <c r="CE289" s="236">
        <f t="shared" si="287"/>
        <v>2</v>
      </c>
      <c r="CF289" s="2350">
        <f t="shared" si="288"/>
        <v>2</v>
      </c>
      <c r="CG289" s="2350">
        <f t="shared" si="288"/>
        <v>2</v>
      </c>
      <c r="CH289" s="2350">
        <f t="shared" si="288"/>
        <v>2</v>
      </c>
      <c r="CI289" s="2350">
        <f t="shared" si="288"/>
        <v>2</v>
      </c>
      <c r="CJ289" s="236">
        <f t="shared" si="294"/>
        <v>2</v>
      </c>
      <c r="CK289" s="2350">
        <f t="shared" si="295"/>
        <v>2</v>
      </c>
      <c r="CL289" s="2350">
        <f t="shared" si="295"/>
        <v>2</v>
      </c>
      <c r="CM289" s="2350">
        <f>CM15+CM152</f>
        <v>2</v>
      </c>
      <c r="CN289" s="2350">
        <f>CN15+CN152</f>
        <v>2</v>
      </c>
      <c r="CO289" s="2289">
        <f>CO15+CO152</f>
        <v>2</v>
      </c>
      <c r="CP289" s="2350"/>
      <c r="CQ289" s="847"/>
      <c r="CR289" s="847"/>
      <c r="CS289" s="847"/>
      <c r="CT289" s="661">
        <f t="shared" si="292"/>
        <v>0</v>
      </c>
      <c r="CU289" s="661">
        <f t="shared" si="293"/>
        <v>0</v>
      </c>
      <c r="CV289" s="661">
        <f t="shared" si="293"/>
        <v>0</v>
      </c>
      <c r="DB289" s="217"/>
    </row>
    <row r="290" spans="1:108" x14ac:dyDescent="0.2">
      <c r="A290" s="1436" t="s">
        <v>511</v>
      </c>
      <c r="B290" s="651"/>
      <c r="C290" s="236"/>
      <c r="D290" s="234"/>
      <c r="E290" s="234"/>
      <c r="F290" s="234"/>
      <c r="G290" s="234"/>
      <c r="H290" s="661"/>
      <c r="I290" s="2350">
        <f t="shared" si="258"/>
        <v>0</v>
      </c>
      <c r="J290" s="2350">
        <f t="shared" si="258"/>
        <v>0</v>
      </c>
      <c r="K290" s="2350">
        <f t="shared" si="258"/>
        <v>0</v>
      </c>
      <c r="L290" s="2350">
        <f t="shared" si="258"/>
        <v>0</v>
      </c>
      <c r="M290" s="236">
        <f t="shared" si="259"/>
        <v>0</v>
      </c>
      <c r="N290" s="2350">
        <f t="shared" si="260"/>
        <v>0</v>
      </c>
      <c r="O290" s="2350">
        <f t="shared" si="260"/>
        <v>0</v>
      </c>
      <c r="P290" s="2350">
        <f t="shared" si="260"/>
        <v>0</v>
      </c>
      <c r="Q290" s="2350">
        <f t="shared" si="260"/>
        <v>0</v>
      </c>
      <c r="R290" s="236">
        <f t="shared" si="261"/>
        <v>0</v>
      </c>
      <c r="S290" s="2350">
        <f t="shared" si="262"/>
        <v>0</v>
      </c>
      <c r="T290" s="2350">
        <f t="shared" si="262"/>
        <v>0</v>
      </c>
      <c r="U290" s="2350">
        <f t="shared" si="262"/>
        <v>0</v>
      </c>
      <c r="V290" s="2350">
        <f t="shared" si="262"/>
        <v>0</v>
      </c>
      <c r="W290" s="236">
        <f t="shared" si="263"/>
        <v>0</v>
      </c>
      <c r="X290" s="2350">
        <f t="shared" si="264"/>
        <v>0</v>
      </c>
      <c r="Y290" s="2350">
        <f t="shared" si="264"/>
        <v>0</v>
      </c>
      <c r="Z290" s="2350">
        <f t="shared" si="264"/>
        <v>0</v>
      </c>
      <c r="AA290" s="2350">
        <f t="shared" si="264"/>
        <v>0</v>
      </c>
      <c r="AB290" s="236">
        <f t="shared" si="265"/>
        <v>0</v>
      </c>
      <c r="AC290" s="2350">
        <f t="shared" si="266"/>
        <v>0</v>
      </c>
      <c r="AD290" s="2350">
        <f t="shared" si="266"/>
        <v>0</v>
      </c>
      <c r="AE290" s="2350">
        <f t="shared" si="266"/>
        <v>0</v>
      </c>
      <c r="AF290" s="2350">
        <f t="shared" si="266"/>
        <v>0</v>
      </c>
      <c r="AG290" s="236">
        <f t="shared" si="267"/>
        <v>0</v>
      </c>
      <c r="AH290" s="2350">
        <f t="shared" si="268"/>
        <v>0</v>
      </c>
      <c r="AI290" s="2350">
        <f t="shared" si="268"/>
        <v>0</v>
      </c>
      <c r="AJ290" s="2350">
        <f t="shared" si="268"/>
        <v>0</v>
      </c>
      <c r="AK290" s="2350">
        <f t="shared" si="268"/>
        <v>0</v>
      </c>
      <c r="AL290" s="236">
        <f t="shared" si="269"/>
        <v>0</v>
      </c>
      <c r="AM290" s="2350">
        <f t="shared" si="270"/>
        <v>0</v>
      </c>
      <c r="AN290" s="2350">
        <f t="shared" si="270"/>
        <v>0</v>
      </c>
      <c r="AO290" s="2350">
        <f t="shared" si="270"/>
        <v>0</v>
      </c>
      <c r="AP290" s="2350">
        <f t="shared" si="270"/>
        <v>0</v>
      </c>
      <c r="AQ290" s="236">
        <f t="shared" si="271"/>
        <v>0</v>
      </c>
      <c r="AR290" s="2350">
        <f t="shared" si="272"/>
        <v>0</v>
      </c>
      <c r="AS290" s="2350">
        <f t="shared" si="272"/>
        <v>0</v>
      </c>
      <c r="AT290" s="2350">
        <f t="shared" si="272"/>
        <v>0</v>
      </c>
      <c r="AU290" s="2350">
        <f t="shared" si="272"/>
        <v>0</v>
      </c>
      <c r="AV290" s="236">
        <f t="shared" si="273"/>
        <v>0</v>
      </c>
      <c r="AW290" s="2350">
        <f t="shared" si="274"/>
        <v>0</v>
      </c>
      <c r="AX290" s="2350">
        <f t="shared" si="274"/>
        <v>0</v>
      </c>
      <c r="AY290" s="2350">
        <f t="shared" si="274"/>
        <v>0</v>
      </c>
      <c r="AZ290" s="2350">
        <f t="shared" si="274"/>
        <v>0</v>
      </c>
      <c r="BA290" s="236">
        <f t="shared" si="275"/>
        <v>0</v>
      </c>
      <c r="BB290" s="2350">
        <f t="shared" si="276"/>
        <v>0</v>
      </c>
      <c r="BC290" s="2350">
        <f t="shared" si="276"/>
        <v>0</v>
      </c>
      <c r="BD290" s="2350">
        <f t="shared" si="276"/>
        <v>0</v>
      </c>
      <c r="BE290" s="2350">
        <f t="shared" si="276"/>
        <v>0</v>
      </c>
      <c r="BF290" s="236">
        <f t="shared" si="277"/>
        <v>0</v>
      </c>
      <c r="BG290" s="2350">
        <f t="shared" si="278"/>
        <v>0</v>
      </c>
      <c r="BH290" s="2350">
        <f t="shared" si="278"/>
        <v>0</v>
      </c>
      <c r="BI290" s="2350">
        <f t="shared" si="278"/>
        <v>0</v>
      </c>
      <c r="BJ290" s="2350">
        <f t="shared" si="278"/>
        <v>0</v>
      </c>
      <c r="BK290" s="236">
        <f t="shared" si="279"/>
        <v>0</v>
      </c>
      <c r="BL290" s="2350">
        <f t="shared" si="280"/>
        <v>0</v>
      </c>
      <c r="BM290" s="2350">
        <f t="shared" si="280"/>
        <v>0</v>
      </c>
      <c r="BN290" s="2350">
        <f t="shared" si="280"/>
        <v>0</v>
      </c>
      <c r="BO290" s="2350">
        <f t="shared" si="280"/>
        <v>0</v>
      </c>
      <c r="BP290" s="236">
        <f t="shared" si="281"/>
        <v>0</v>
      </c>
      <c r="BQ290" s="2350">
        <f t="shared" si="282"/>
        <v>0</v>
      </c>
      <c r="BR290" s="2350">
        <f t="shared" si="282"/>
        <v>0</v>
      </c>
      <c r="BS290" s="2350">
        <f t="shared" si="282"/>
        <v>0</v>
      </c>
      <c r="BT290" s="2350">
        <f t="shared" si="282"/>
        <v>0</v>
      </c>
      <c r="BU290" s="236">
        <f t="shared" si="283"/>
        <v>0</v>
      </c>
      <c r="BV290" s="2350">
        <f t="shared" si="284"/>
        <v>0</v>
      </c>
      <c r="BW290" s="2350">
        <f t="shared" si="284"/>
        <v>0</v>
      </c>
      <c r="BX290" s="2350">
        <f t="shared" si="284"/>
        <v>0</v>
      </c>
      <c r="BY290" s="2350">
        <f t="shared" si="284"/>
        <v>1</v>
      </c>
      <c r="BZ290" s="236">
        <f t="shared" si="285"/>
        <v>1</v>
      </c>
      <c r="CA290" s="2350">
        <f t="shared" si="291"/>
        <v>0</v>
      </c>
      <c r="CB290" s="2350">
        <f t="shared" si="291"/>
        <v>0</v>
      </c>
      <c r="CC290" s="2350">
        <f t="shared" si="291"/>
        <v>0</v>
      </c>
      <c r="CD290" s="2350">
        <f>CD16+CD153</f>
        <v>0</v>
      </c>
      <c r="CE290" s="236">
        <f t="shared" si="287"/>
        <v>0</v>
      </c>
      <c r="CF290" s="2350">
        <f t="shared" si="288"/>
        <v>0</v>
      </c>
      <c r="CG290" s="2350">
        <f t="shared" si="288"/>
        <v>0</v>
      </c>
      <c r="CH290" s="2350">
        <f t="shared" si="288"/>
        <v>0</v>
      </c>
      <c r="CI290" s="2350">
        <f t="shared" si="288"/>
        <v>0</v>
      </c>
      <c r="CJ290" s="236">
        <f t="shared" si="294"/>
        <v>0</v>
      </c>
      <c r="CK290" s="2350">
        <f t="shared" si="295"/>
        <v>0</v>
      </c>
      <c r="CL290" s="2350">
        <f t="shared" si="295"/>
        <v>0</v>
      </c>
      <c r="CM290" s="2350">
        <f t="shared" si="295"/>
        <v>0</v>
      </c>
      <c r="CN290" s="2350">
        <f t="shared" ref="CN290:CO290" si="298">CN16+CN153</f>
        <v>0</v>
      </c>
      <c r="CO290" s="2289">
        <f t="shared" si="298"/>
        <v>0</v>
      </c>
      <c r="CP290" s="2350"/>
      <c r="CQ290" s="847"/>
      <c r="CR290" s="847"/>
      <c r="CS290" s="847"/>
      <c r="CT290" s="661">
        <f t="shared" si="292"/>
        <v>0</v>
      </c>
      <c r="CU290" s="661">
        <f t="shared" si="293"/>
        <v>0</v>
      </c>
      <c r="CV290" s="661">
        <f t="shared" si="293"/>
        <v>0</v>
      </c>
      <c r="DB290" s="217"/>
    </row>
    <row r="291" spans="1:108" x14ac:dyDescent="0.2">
      <c r="A291" s="1436" t="s">
        <v>383</v>
      </c>
      <c r="B291" s="651"/>
      <c r="C291" s="236"/>
      <c r="D291" s="234"/>
      <c r="E291" s="234"/>
      <c r="F291" s="234"/>
      <c r="G291" s="234"/>
      <c r="H291" s="661"/>
      <c r="I291" s="2350">
        <f t="shared" si="258"/>
        <v>0</v>
      </c>
      <c r="J291" s="2350">
        <f t="shared" si="258"/>
        <v>0</v>
      </c>
      <c r="K291" s="2350">
        <f t="shared" si="258"/>
        <v>0</v>
      </c>
      <c r="L291" s="2350">
        <f t="shared" si="258"/>
        <v>0</v>
      </c>
      <c r="M291" s="236">
        <f t="shared" si="259"/>
        <v>0</v>
      </c>
      <c r="N291" s="2350">
        <f t="shared" si="260"/>
        <v>0</v>
      </c>
      <c r="O291" s="2350">
        <f t="shared" si="260"/>
        <v>0</v>
      </c>
      <c r="P291" s="2350">
        <f t="shared" si="260"/>
        <v>0</v>
      </c>
      <c r="Q291" s="2350">
        <f t="shared" si="260"/>
        <v>0</v>
      </c>
      <c r="R291" s="236">
        <f t="shared" si="261"/>
        <v>0</v>
      </c>
      <c r="S291" s="2350">
        <f t="shared" si="262"/>
        <v>0</v>
      </c>
      <c r="T291" s="2350">
        <f t="shared" si="262"/>
        <v>0</v>
      </c>
      <c r="U291" s="2350">
        <f t="shared" si="262"/>
        <v>0</v>
      </c>
      <c r="V291" s="2350">
        <f t="shared" si="262"/>
        <v>0</v>
      </c>
      <c r="W291" s="236">
        <f t="shared" si="263"/>
        <v>0</v>
      </c>
      <c r="X291" s="2350">
        <f t="shared" si="264"/>
        <v>0</v>
      </c>
      <c r="Y291" s="2350">
        <f t="shared" si="264"/>
        <v>0</v>
      </c>
      <c r="Z291" s="2350">
        <f t="shared" si="264"/>
        <v>0</v>
      </c>
      <c r="AA291" s="2350">
        <f t="shared" si="264"/>
        <v>0</v>
      </c>
      <c r="AB291" s="236">
        <f t="shared" si="265"/>
        <v>0</v>
      </c>
      <c r="AC291" s="2350">
        <f t="shared" si="266"/>
        <v>0</v>
      </c>
      <c r="AD291" s="2350">
        <f t="shared" si="266"/>
        <v>0</v>
      </c>
      <c r="AE291" s="2350">
        <f t="shared" si="266"/>
        <v>0</v>
      </c>
      <c r="AF291" s="2350">
        <f t="shared" si="266"/>
        <v>0</v>
      </c>
      <c r="AG291" s="236">
        <f t="shared" si="267"/>
        <v>0</v>
      </c>
      <c r="AH291" s="2350">
        <f t="shared" si="268"/>
        <v>0</v>
      </c>
      <c r="AI291" s="2350">
        <f t="shared" si="268"/>
        <v>0</v>
      </c>
      <c r="AJ291" s="2350">
        <f t="shared" si="268"/>
        <v>0</v>
      </c>
      <c r="AK291" s="2350">
        <f t="shared" si="268"/>
        <v>0</v>
      </c>
      <c r="AL291" s="236">
        <f t="shared" si="269"/>
        <v>0</v>
      </c>
      <c r="AM291" s="2350">
        <f t="shared" si="270"/>
        <v>0</v>
      </c>
      <c r="AN291" s="2350">
        <f t="shared" si="270"/>
        <v>0</v>
      </c>
      <c r="AO291" s="2350">
        <f t="shared" si="270"/>
        <v>0</v>
      </c>
      <c r="AP291" s="2350">
        <f t="shared" si="270"/>
        <v>0</v>
      </c>
      <c r="AQ291" s="236">
        <f t="shared" si="271"/>
        <v>0</v>
      </c>
      <c r="AR291" s="2350">
        <f t="shared" si="272"/>
        <v>0</v>
      </c>
      <c r="AS291" s="2350">
        <f t="shared" si="272"/>
        <v>0</v>
      </c>
      <c r="AT291" s="2350">
        <f t="shared" si="272"/>
        <v>0</v>
      </c>
      <c r="AU291" s="2350">
        <f t="shared" si="272"/>
        <v>0</v>
      </c>
      <c r="AV291" s="236">
        <f t="shared" si="273"/>
        <v>0</v>
      </c>
      <c r="AW291" s="2350">
        <f t="shared" si="274"/>
        <v>0</v>
      </c>
      <c r="AX291" s="2350">
        <f t="shared" si="274"/>
        <v>0</v>
      </c>
      <c r="AY291" s="2350">
        <f t="shared" si="274"/>
        <v>0</v>
      </c>
      <c r="AZ291" s="2350">
        <f t="shared" si="274"/>
        <v>0</v>
      </c>
      <c r="BA291" s="236">
        <f t="shared" si="275"/>
        <v>0</v>
      </c>
      <c r="BB291" s="2350">
        <f t="shared" si="276"/>
        <v>0</v>
      </c>
      <c r="BC291" s="2350">
        <f t="shared" si="276"/>
        <v>0</v>
      </c>
      <c r="BD291" s="2350">
        <f t="shared" si="276"/>
        <v>0</v>
      </c>
      <c r="BE291" s="2350">
        <f t="shared" si="276"/>
        <v>0</v>
      </c>
      <c r="BF291" s="236">
        <f t="shared" si="277"/>
        <v>0</v>
      </c>
      <c r="BG291" s="2350">
        <f t="shared" si="278"/>
        <v>0</v>
      </c>
      <c r="BH291" s="2350">
        <f t="shared" si="278"/>
        <v>0</v>
      </c>
      <c r="BI291" s="2350">
        <f t="shared" si="278"/>
        <v>0</v>
      </c>
      <c r="BJ291" s="2350">
        <f t="shared" si="278"/>
        <v>0</v>
      </c>
      <c r="BK291" s="236">
        <f t="shared" si="279"/>
        <v>0</v>
      </c>
      <c r="BL291" s="2350">
        <f t="shared" si="280"/>
        <v>0</v>
      </c>
      <c r="BM291" s="2350">
        <f t="shared" si="280"/>
        <v>0</v>
      </c>
      <c r="BN291" s="2350">
        <f t="shared" si="280"/>
        <v>0</v>
      </c>
      <c r="BO291" s="2350">
        <f t="shared" si="280"/>
        <v>0</v>
      </c>
      <c r="BP291" s="236">
        <f t="shared" si="281"/>
        <v>0</v>
      </c>
      <c r="BQ291" s="2350">
        <f t="shared" si="282"/>
        <v>0</v>
      </c>
      <c r="BR291" s="2350">
        <f t="shared" si="282"/>
        <v>0</v>
      </c>
      <c r="BS291" s="2350">
        <f t="shared" si="282"/>
        <v>1</v>
      </c>
      <c r="BT291" s="2350">
        <f t="shared" si="282"/>
        <v>1</v>
      </c>
      <c r="BU291" s="236">
        <f t="shared" si="283"/>
        <v>1</v>
      </c>
      <c r="BV291" s="2350">
        <f t="shared" si="284"/>
        <v>0</v>
      </c>
      <c r="BW291" s="2350">
        <f t="shared" si="284"/>
        <v>0</v>
      </c>
      <c r="BX291" s="2350">
        <f t="shared" si="284"/>
        <v>0</v>
      </c>
      <c r="BY291" s="2350">
        <f t="shared" si="284"/>
        <v>0</v>
      </c>
      <c r="BZ291" s="236">
        <f t="shared" si="285"/>
        <v>0</v>
      </c>
      <c r="CA291" s="2350">
        <f t="shared" si="291"/>
        <v>0</v>
      </c>
      <c r="CB291" s="2350">
        <f t="shared" si="291"/>
        <v>0</v>
      </c>
      <c r="CC291" s="2350">
        <f t="shared" si="291"/>
        <v>0</v>
      </c>
      <c r="CD291" s="2350">
        <f>CD17+CD154</f>
        <v>0</v>
      </c>
      <c r="CE291" s="236">
        <f t="shared" si="287"/>
        <v>0</v>
      </c>
      <c r="CF291" s="2350">
        <f t="shared" si="288"/>
        <v>0</v>
      </c>
      <c r="CG291" s="2350">
        <f t="shared" si="288"/>
        <v>0</v>
      </c>
      <c r="CH291" s="2350">
        <f t="shared" si="288"/>
        <v>0</v>
      </c>
      <c r="CI291" s="2350">
        <f t="shared" si="288"/>
        <v>0</v>
      </c>
      <c r="CJ291" s="236">
        <f t="shared" si="294"/>
        <v>0</v>
      </c>
      <c r="CK291" s="2350">
        <f t="shared" si="295"/>
        <v>0</v>
      </c>
      <c r="CL291" s="2350">
        <f t="shared" si="295"/>
        <v>0</v>
      </c>
      <c r="CM291" s="2350">
        <f t="shared" si="295"/>
        <v>0</v>
      </c>
      <c r="CN291" s="2350">
        <f t="shared" ref="CN291:CO291" si="299">CN17+CN154</f>
        <v>0</v>
      </c>
      <c r="CO291" s="2289">
        <f t="shared" si="299"/>
        <v>0</v>
      </c>
      <c r="CP291" s="2350"/>
      <c r="CQ291" s="847"/>
      <c r="CR291" s="847"/>
      <c r="CS291" s="847"/>
      <c r="CT291" s="661">
        <f t="shared" si="292"/>
        <v>0</v>
      </c>
      <c r="CU291" s="661">
        <f t="shared" si="293"/>
        <v>0</v>
      </c>
      <c r="CV291" s="661">
        <f t="shared" si="293"/>
        <v>0</v>
      </c>
      <c r="DB291" s="217"/>
    </row>
    <row r="292" spans="1:108" x14ac:dyDescent="0.2">
      <c r="A292" s="1436" t="s">
        <v>656</v>
      </c>
      <c r="B292" s="651"/>
      <c r="C292" s="236"/>
      <c r="D292" s="234"/>
      <c r="E292" s="234"/>
      <c r="F292" s="234"/>
      <c r="G292" s="234"/>
      <c r="H292" s="661"/>
      <c r="I292" s="847">
        <f t="shared" ref="I292:R292" si="300">I17+I155</f>
        <v>0</v>
      </c>
      <c r="J292" s="847">
        <f t="shared" si="300"/>
        <v>0</v>
      </c>
      <c r="K292" s="847">
        <f t="shared" si="300"/>
        <v>0</v>
      </c>
      <c r="L292" s="847">
        <f t="shared" si="300"/>
        <v>0</v>
      </c>
      <c r="M292" s="661">
        <f t="shared" si="300"/>
        <v>0</v>
      </c>
      <c r="N292" s="847">
        <f t="shared" si="300"/>
        <v>0</v>
      </c>
      <c r="O292" s="847">
        <f t="shared" si="300"/>
        <v>0</v>
      </c>
      <c r="P292" s="847">
        <f t="shared" si="300"/>
        <v>0</v>
      </c>
      <c r="Q292" s="847">
        <f t="shared" si="300"/>
        <v>0</v>
      </c>
      <c r="R292" s="661">
        <f t="shared" si="300"/>
        <v>0</v>
      </c>
      <c r="S292" s="847">
        <f t="shared" ref="S292:AV292" si="301">S17+S155</f>
        <v>0</v>
      </c>
      <c r="T292" s="847">
        <f t="shared" si="301"/>
        <v>0</v>
      </c>
      <c r="U292" s="847">
        <f t="shared" si="301"/>
        <v>0</v>
      </c>
      <c r="V292" s="847">
        <f t="shared" si="301"/>
        <v>0</v>
      </c>
      <c r="W292" s="661">
        <f t="shared" si="301"/>
        <v>0</v>
      </c>
      <c r="X292" s="847">
        <f t="shared" si="301"/>
        <v>0</v>
      </c>
      <c r="Y292" s="847">
        <f t="shared" si="301"/>
        <v>0</v>
      </c>
      <c r="Z292" s="847">
        <f t="shared" si="301"/>
        <v>0</v>
      </c>
      <c r="AA292" s="847">
        <f t="shared" si="301"/>
        <v>0</v>
      </c>
      <c r="AB292" s="661">
        <f t="shared" si="301"/>
        <v>0</v>
      </c>
      <c r="AC292" s="847">
        <f t="shared" si="301"/>
        <v>0</v>
      </c>
      <c r="AD292" s="847">
        <f t="shared" si="301"/>
        <v>0</v>
      </c>
      <c r="AE292" s="847">
        <f t="shared" si="301"/>
        <v>0</v>
      </c>
      <c r="AF292" s="847">
        <f t="shared" si="301"/>
        <v>0</v>
      </c>
      <c r="AG292" s="661">
        <f t="shared" si="301"/>
        <v>0</v>
      </c>
      <c r="AH292" s="847">
        <f t="shared" si="301"/>
        <v>0</v>
      </c>
      <c r="AI292" s="847">
        <f t="shared" si="301"/>
        <v>0</v>
      </c>
      <c r="AJ292" s="847">
        <f t="shared" si="301"/>
        <v>0</v>
      </c>
      <c r="AK292" s="847">
        <f t="shared" si="301"/>
        <v>0</v>
      </c>
      <c r="AL292" s="661">
        <f t="shared" si="301"/>
        <v>0</v>
      </c>
      <c r="AM292" s="847">
        <f t="shared" si="301"/>
        <v>0</v>
      </c>
      <c r="AN292" s="847">
        <f t="shared" si="301"/>
        <v>0</v>
      </c>
      <c r="AO292" s="847">
        <f t="shared" si="301"/>
        <v>0</v>
      </c>
      <c r="AP292" s="847">
        <f t="shared" si="301"/>
        <v>0</v>
      </c>
      <c r="AQ292" s="661">
        <f t="shared" si="301"/>
        <v>0</v>
      </c>
      <c r="AR292" s="847">
        <f t="shared" si="301"/>
        <v>0</v>
      </c>
      <c r="AS292" s="847">
        <f t="shared" si="301"/>
        <v>0</v>
      </c>
      <c r="AT292" s="847">
        <f t="shared" si="301"/>
        <v>0</v>
      </c>
      <c r="AU292" s="847">
        <f t="shared" si="301"/>
        <v>0</v>
      </c>
      <c r="AV292" s="661">
        <f t="shared" si="301"/>
        <v>0</v>
      </c>
      <c r="AW292" s="847">
        <f t="shared" ref="AW292:BU292" si="302">AW17+AW155</f>
        <v>0</v>
      </c>
      <c r="AX292" s="847">
        <f t="shared" si="302"/>
        <v>0</v>
      </c>
      <c r="AY292" s="847">
        <f t="shared" si="302"/>
        <v>0</v>
      </c>
      <c r="AZ292" s="847">
        <f t="shared" si="302"/>
        <v>0</v>
      </c>
      <c r="BA292" s="661">
        <f t="shared" si="302"/>
        <v>0</v>
      </c>
      <c r="BB292" s="847">
        <f t="shared" si="302"/>
        <v>0</v>
      </c>
      <c r="BC292" s="847">
        <f t="shared" si="302"/>
        <v>0</v>
      </c>
      <c r="BD292" s="847">
        <f t="shared" si="302"/>
        <v>0</v>
      </c>
      <c r="BE292" s="847">
        <f t="shared" si="302"/>
        <v>0</v>
      </c>
      <c r="BF292" s="661">
        <f t="shared" si="302"/>
        <v>0</v>
      </c>
      <c r="BG292" s="847">
        <f t="shared" si="302"/>
        <v>0</v>
      </c>
      <c r="BH292" s="847">
        <f t="shared" si="302"/>
        <v>0</v>
      </c>
      <c r="BI292" s="847">
        <f t="shared" si="302"/>
        <v>0</v>
      </c>
      <c r="BJ292" s="847">
        <f t="shared" si="302"/>
        <v>0</v>
      </c>
      <c r="BK292" s="661">
        <f t="shared" si="302"/>
        <v>0</v>
      </c>
      <c r="BL292" s="847">
        <f t="shared" si="302"/>
        <v>0</v>
      </c>
      <c r="BM292" s="847">
        <f t="shared" si="302"/>
        <v>0</v>
      </c>
      <c r="BN292" s="847">
        <f t="shared" si="302"/>
        <v>0</v>
      </c>
      <c r="BO292" s="847">
        <f t="shared" si="302"/>
        <v>0</v>
      </c>
      <c r="BP292" s="661">
        <f t="shared" si="302"/>
        <v>0</v>
      </c>
      <c r="BQ292" s="847">
        <f t="shared" si="302"/>
        <v>0</v>
      </c>
      <c r="BR292" s="847">
        <f t="shared" si="302"/>
        <v>0</v>
      </c>
      <c r="BS292" s="847">
        <f t="shared" si="302"/>
        <v>0</v>
      </c>
      <c r="BT292" s="847">
        <f t="shared" si="302"/>
        <v>0</v>
      </c>
      <c r="BU292" s="661">
        <f t="shared" si="302"/>
        <v>0</v>
      </c>
      <c r="BV292" s="847">
        <f t="shared" ref="BV292:CI292" si="303">BV17+BV155</f>
        <v>0</v>
      </c>
      <c r="BW292" s="847">
        <f t="shared" si="303"/>
        <v>0</v>
      </c>
      <c r="BX292" s="847">
        <f t="shared" si="303"/>
        <v>0</v>
      </c>
      <c r="BY292" s="847">
        <f t="shared" si="303"/>
        <v>0</v>
      </c>
      <c r="BZ292" s="661">
        <f t="shared" si="303"/>
        <v>0</v>
      </c>
      <c r="CA292" s="847">
        <f t="shared" si="303"/>
        <v>0</v>
      </c>
      <c r="CB292" s="847">
        <f t="shared" si="303"/>
        <v>0</v>
      </c>
      <c r="CC292" s="847">
        <f t="shared" si="303"/>
        <v>0</v>
      </c>
      <c r="CD292" s="847">
        <f t="shared" si="303"/>
        <v>0</v>
      </c>
      <c r="CE292" s="661">
        <f t="shared" si="303"/>
        <v>0</v>
      </c>
      <c r="CF292" s="847">
        <f t="shared" si="303"/>
        <v>0</v>
      </c>
      <c r="CG292" s="847">
        <f t="shared" si="303"/>
        <v>0</v>
      </c>
      <c r="CH292" s="847">
        <f t="shared" si="303"/>
        <v>0</v>
      </c>
      <c r="CI292" s="847">
        <f t="shared" si="303"/>
        <v>0</v>
      </c>
      <c r="CJ292" s="236">
        <f t="shared" si="294"/>
        <v>0</v>
      </c>
      <c r="CK292" s="2350">
        <f t="shared" ref="CK292:CM293" si="304">CK17+CK155</f>
        <v>0</v>
      </c>
      <c r="CL292" s="2350">
        <f t="shared" si="304"/>
        <v>0</v>
      </c>
      <c r="CM292" s="2350">
        <f t="shared" si="304"/>
        <v>0</v>
      </c>
      <c r="CN292" s="2350">
        <f t="shared" ref="CN292:CO292" si="305">CN17+CN155</f>
        <v>0</v>
      </c>
      <c r="CO292" s="2289">
        <f t="shared" si="305"/>
        <v>0</v>
      </c>
      <c r="CP292" s="2350"/>
      <c r="CQ292" s="847"/>
      <c r="CR292" s="847"/>
      <c r="CS292" s="847"/>
      <c r="CT292" s="661">
        <f t="shared" si="292"/>
        <v>0</v>
      </c>
      <c r="CU292" s="661">
        <f t="shared" si="293"/>
        <v>0</v>
      </c>
      <c r="CV292" s="661">
        <f t="shared" si="293"/>
        <v>0</v>
      </c>
      <c r="DB292" s="217"/>
    </row>
    <row r="293" spans="1:108" x14ac:dyDescent="0.2">
      <c r="A293" s="1436" t="s">
        <v>1386</v>
      </c>
      <c r="B293" s="651"/>
      <c r="C293" s="236"/>
      <c r="D293" s="234"/>
      <c r="E293" s="234"/>
      <c r="F293" s="234"/>
      <c r="G293" s="234"/>
      <c r="H293" s="661"/>
      <c r="I293" s="847">
        <f t="shared" ref="I293:R293" si="306">I18+I156</f>
        <v>30</v>
      </c>
      <c r="J293" s="847">
        <f t="shared" si="306"/>
        <v>28</v>
      </c>
      <c r="K293" s="847">
        <f t="shared" si="306"/>
        <v>23</v>
      </c>
      <c r="L293" s="847">
        <f t="shared" si="306"/>
        <v>25</v>
      </c>
      <c r="M293" s="661">
        <f t="shared" si="306"/>
        <v>25</v>
      </c>
      <c r="N293" s="847">
        <f t="shared" si="306"/>
        <v>24</v>
      </c>
      <c r="O293" s="847">
        <f t="shared" si="306"/>
        <v>25</v>
      </c>
      <c r="P293" s="847">
        <f t="shared" si="306"/>
        <v>25</v>
      </c>
      <c r="Q293" s="847">
        <f t="shared" si="306"/>
        <v>24</v>
      </c>
      <c r="R293" s="661">
        <f t="shared" si="306"/>
        <v>24</v>
      </c>
      <c r="S293" s="847">
        <f t="shared" ref="S293:AV293" si="307">S18+S156</f>
        <v>24</v>
      </c>
      <c r="T293" s="847">
        <f t="shared" si="307"/>
        <v>24</v>
      </c>
      <c r="U293" s="847">
        <f t="shared" si="307"/>
        <v>24</v>
      </c>
      <c r="V293" s="847">
        <f t="shared" si="307"/>
        <v>24</v>
      </c>
      <c r="W293" s="661">
        <f t="shared" si="307"/>
        <v>24</v>
      </c>
      <c r="X293" s="847">
        <f t="shared" si="307"/>
        <v>24</v>
      </c>
      <c r="Y293" s="847">
        <f t="shared" si="307"/>
        <v>23</v>
      </c>
      <c r="Z293" s="847">
        <f t="shared" si="307"/>
        <v>22</v>
      </c>
      <c r="AA293" s="847">
        <f t="shared" si="307"/>
        <v>21</v>
      </c>
      <c r="AB293" s="661">
        <f t="shared" si="307"/>
        <v>21</v>
      </c>
      <c r="AC293" s="847">
        <f t="shared" si="307"/>
        <v>21</v>
      </c>
      <c r="AD293" s="847">
        <f t="shared" si="307"/>
        <v>21</v>
      </c>
      <c r="AE293" s="847">
        <f t="shared" si="307"/>
        <v>22</v>
      </c>
      <c r="AF293" s="847">
        <f t="shared" si="307"/>
        <v>22</v>
      </c>
      <c r="AG293" s="661">
        <f t="shared" si="307"/>
        <v>21</v>
      </c>
      <c r="AH293" s="847">
        <f t="shared" si="307"/>
        <v>22</v>
      </c>
      <c r="AI293" s="847">
        <f t="shared" si="307"/>
        <v>21</v>
      </c>
      <c r="AJ293" s="847">
        <f t="shared" si="307"/>
        <v>21</v>
      </c>
      <c r="AK293" s="847">
        <f t="shared" si="307"/>
        <v>21</v>
      </c>
      <c r="AL293" s="661">
        <f t="shared" si="307"/>
        <v>21</v>
      </c>
      <c r="AM293" s="847">
        <f t="shared" si="307"/>
        <v>21</v>
      </c>
      <c r="AN293" s="847">
        <f t="shared" si="307"/>
        <v>21</v>
      </c>
      <c r="AO293" s="847">
        <f t="shared" si="307"/>
        <v>20</v>
      </c>
      <c r="AP293" s="847">
        <f t="shared" si="307"/>
        <v>20</v>
      </c>
      <c r="AQ293" s="661">
        <f t="shared" si="307"/>
        <v>20</v>
      </c>
      <c r="AR293" s="847">
        <f t="shared" si="307"/>
        <v>20</v>
      </c>
      <c r="AS293" s="847">
        <f t="shared" si="307"/>
        <v>20</v>
      </c>
      <c r="AT293" s="847">
        <f t="shared" si="307"/>
        <v>20</v>
      </c>
      <c r="AU293" s="847">
        <f t="shared" si="307"/>
        <v>21</v>
      </c>
      <c r="AV293" s="661">
        <f t="shared" si="307"/>
        <v>21</v>
      </c>
      <c r="AW293" s="847">
        <f t="shared" ref="AW293:BT293" si="308">AW18+AW156</f>
        <v>21</v>
      </c>
      <c r="AX293" s="847">
        <f t="shared" si="308"/>
        <v>23</v>
      </c>
      <c r="AY293" s="847">
        <f t="shared" si="308"/>
        <v>23</v>
      </c>
      <c r="AZ293" s="847">
        <f t="shared" si="308"/>
        <v>23</v>
      </c>
      <c r="BA293" s="661">
        <f t="shared" si="308"/>
        <v>23</v>
      </c>
      <c r="BB293" s="847">
        <f t="shared" si="308"/>
        <v>23</v>
      </c>
      <c r="BC293" s="847">
        <f t="shared" si="308"/>
        <v>23</v>
      </c>
      <c r="BD293" s="847">
        <f t="shared" si="308"/>
        <v>23</v>
      </c>
      <c r="BE293" s="847">
        <f t="shared" si="308"/>
        <v>23</v>
      </c>
      <c r="BF293" s="661">
        <f t="shared" si="308"/>
        <v>23</v>
      </c>
      <c r="BG293" s="847">
        <f t="shared" si="308"/>
        <v>24</v>
      </c>
      <c r="BH293" s="847">
        <f t="shared" si="308"/>
        <v>24</v>
      </c>
      <c r="BI293" s="847">
        <f t="shared" si="308"/>
        <v>24</v>
      </c>
      <c r="BJ293" s="847">
        <f t="shared" si="308"/>
        <v>24</v>
      </c>
      <c r="BK293" s="661">
        <f t="shared" si="308"/>
        <v>24</v>
      </c>
      <c r="BL293" s="847">
        <f t="shared" si="308"/>
        <v>24</v>
      </c>
      <c r="BM293" s="847">
        <f t="shared" si="308"/>
        <v>22</v>
      </c>
      <c r="BN293" s="847">
        <f t="shared" si="308"/>
        <v>22</v>
      </c>
      <c r="BO293" s="1431">
        <f t="shared" si="308"/>
        <v>22</v>
      </c>
      <c r="BP293" s="661">
        <f t="shared" si="308"/>
        <v>22</v>
      </c>
      <c r="BQ293" s="847">
        <f t="shared" si="308"/>
        <v>22</v>
      </c>
      <c r="BR293" s="847">
        <f t="shared" si="308"/>
        <v>21</v>
      </c>
      <c r="BS293" s="847">
        <f t="shared" si="308"/>
        <v>22</v>
      </c>
      <c r="BT293" s="847">
        <f t="shared" si="308"/>
        <v>22</v>
      </c>
      <c r="BU293" s="661">
        <f t="shared" ref="BU293:CV293" si="309">BU18+BU156</f>
        <v>22</v>
      </c>
      <c r="BV293" s="847">
        <f t="shared" si="309"/>
        <v>22</v>
      </c>
      <c r="BW293" s="847">
        <f t="shared" si="309"/>
        <v>22</v>
      </c>
      <c r="BX293" s="847">
        <f t="shared" si="309"/>
        <v>22</v>
      </c>
      <c r="BY293" s="847">
        <f t="shared" si="309"/>
        <v>22</v>
      </c>
      <c r="BZ293" s="661">
        <f t="shared" si="309"/>
        <v>22</v>
      </c>
      <c r="CA293" s="847">
        <f t="shared" si="309"/>
        <v>21</v>
      </c>
      <c r="CB293" s="847">
        <f t="shared" si="309"/>
        <v>21</v>
      </c>
      <c r="CC293" s="847">
        <f t="shared" si="309"/>
        <v>21</v>
      </c>
      <c r="CD293" s="847">
        <f t="shared" si="309"/>
        <v>21</v>
      </c>
      <c r="CE293" s="661">
        <f t="shared" si="309"/>
        <v>21</v>
      </c>
      <c r="CF293" s="847">
        <f t="shared" si="309"/>
        <v>21</v>
      </c>
      <c r="CG293" s="847">
        <f t="shared" si="309"/>
        <v>21</v>
      </c>
      <c r="CH293" s="847">
        <f t="shared" si="309"/>
        <v>22</v>
      </c>
      <c r="CI293" s="847">
        <f t="shared" si="309"/>
        <v>22</v>
      </c>
      <c r="CJ293" s="236">
        <f t="shared" si="289"/>
        <v>22</v>
      </c>
      <c r="CK293" s="2350">
        <f t="shared" si="304"/>
        <v>22</v>
      </c>
      <c r="CL293" s="847">
        <f t="shared" si="304"/>
        <v>22</v>
      </c>
      <c r="CM293" s="2350">
        <f t="shared" si="304"/>
        <v>22</v>
      </c>
      <c r="CN293" s="2350">
        <f t="shared" ref="CN293:CO293" si="310">CN18+CN156</f>
        <v>22</v>
      </c>
      <c r="CO293" s="2289">
        <f t="shared" si="310"/>
        <v>22</v>
      </c>
      <c r="CP293" s="2350"/>
      <c r="CQ293" s="847"/>
      <c r="CR293" s="847"/>
      <c r="CS293" s="847"/>
      <c r="CT293" s="661">
        <f t="shared" si="292"/>
        <v>0</v>
      </c>
      <c r="CU293" s="661">
        <f t="shared" si="309"/>
        <v>0</v>
      </c>
      <c r="CV293" s="661">
        <f t="shared" si="309"/>
        <v>0</v>
      </c>
      <c r="DB293" s="217"/>
    </row>
    <row r="294" spans="1:108" x14ac:dyDescent="0.2">
      <c r="A294" s="2288" t="s">
        <v>2124</v>
      </c>
      <c r="B294" s="651"/>
      <c r="C294" s="236"/>
      <c r="D294" s="234"/>
      <c r="E294" s="234"/>
      <c r="F294" s="234"/>
      <c r="G294" s="234"/>
      <c r="H294" s="661"/>
      <c r="I294" s="847"/>
      <c r="J294" s="847"/>
      <c r="K294" s="847"/>
      <c r="L294" s="847"/>
      <c r="M294" s="661"/>
      <c r="N294" s="847"/>
      <c r="O294" s="847"/>
      <c r="P294" s="847"/>
      <c r="Q294" s="847"/>
      <c r="R294" s="661"/>
      <c r="S294" s="847"/>
      <c r="T294" s="847"/>
      <c r="U294" s="847"/>
      <c r="V294" s="847"/>
      <c r="W294" s="661"/>
      <c r="X294" s="847"/>
      <c r="Y294" s="847"/>
      <c r="Z294" s="847"/>
      <c r="AA294" s="847"/>
      <c r="AB294" s="661"/>
      <c r="AC294" s="847"/>
      <c r="AD294" s="847"/>
      <c r="AE294" s="847"/>
      <c r="AF294" s="847"/>
      <c r="AG294" s="661"/>
      <c r="AH294" s="847"/>
      <c r="AI294" s="847"/>
      <c r="AJ294" s="847"/>
      <c r="AK294" s="847"/>
      <c r="AL294" s="661"/>
      <c r="AM294" s="847"/>
      <c r="AN294" s="847"/>
      <c r="AO294" s="847"/>
      <c r="AP294" s="847"/>
      <c r="AQ294" s="661"/>
      <c r="AR294" s="847"/>
      <c r="AS294" s="847"/>
      <c r="AT294" s="847"/>
      <c r="AU294" s="847"/>
      <c r="AV294" s="661"/>
      <c r="AW294" s="847"/>
      <c r="AX294" s="847"/>
      <c r="AY294" s="847"/>
      <c r="AZ294" s="847"/>
      <c r="BA294" s="661"/>
      <c r="BB294" s="847"/>
      <c r="BC294" s="847"/>
      <c r="BD294" s="847"/>
      <c r="BE294" s="847"/>
      <c r="BF294" s="661"/>
      <c r="BG294" s="847"/>
      <c r="BH294" s="847"/>
      <c r="BI294" s="847"/>
      <c r="BJ294" s="847"/>
      <c r="BK294" s="661"/>
      <c r="BL294" s="847"/>
      <c r="BM294" s="847"/>
      <c r="BN294" s="847"/>
      <c r="BO294" s="1431"/>
      <c r="BP294" s="661"/>
      <c r="BQ294" s="847"/>
      <c r="BR294" s="847"/>
      <c r="BS294" s="847"/>
      <c r="BT294" s="847"/>
      <c r="BU294" s="661"/>
      <c r="BV294" s="847">
        <f t="shared" ref="BV294:CV294" si="311">BV157</f>
        <v>0</v>
      </c>
      <c r="BW294" s="847">
        <f t="shared" si="311"/>
        <v>10</v>
      </c>
      <c r="BX294" s="847">
        <f t="shared" si="311"/>
        <v>10</v>
      </c>
      <c r="BY294" s="847">
        <f t="shared" si="311"/>
        <v>10</v>
      </c>
      <c r="BZ294" s="661">
        <f t="shared" si="311"/>
        <v>10</v>
      </c>
      <c r="CA294" s="847">
        <f t="shared" si="311"/>
        <v>10</v>
      </c>
      <c r="CB294" s="847">
        <f t="shared" si="311"/>
        <v>10</v>
      </c>
      <c r="CC294" s="847">
        <f t="shared" si="311"/>
        <v>10</v>
      </c>
      <c r="CD294" s="847">
        <f t="shared" si="311"/>
        <v>10</v>
      </c>
      <c r="CE294" s="661">
        <f t="shared" si="311"/>
        <v>10</v>
      </c>
      <c r="CF294" s="847">
        <f t="shared" si="311"/>
        <v>10</v>
      </c>
      <c r="CG294" s="847">
        <f t="shared" si="311"/>
        <v>10</v>
      </c>
      <c r="CH294" s="847">
        <f t="shared" si="311"/>
        <v>10</v>
      </c>
      <c r="CI294" s="847">
        <f t="shared" si="311"/>
        <v>10</v>
      </c>
      <c r="CJ294" s="236">
        <f t="shared" si="289"/>
        <v>10</v>
      </c>
      <c r="CK294" s="2350">
        <f>CK157</f>
        <v>9</v>
      </c>
      <c r="CL294" s="847">
        <f t="shared" si="311"/>
        <v>9</v>
      </c>
      <c r="CM294" s="2350">
        <f t="shared" ref="CM294:CN294" si="312">CM20+CM157</f>
        <v>9</v>
      </c>
      <c r="CN294" s="2350">
        <f t="shared" si="312"/>
        <v>9</v>
      </c>
      <c r="CO294" s="2289">
        <f t="shared" ref="CO294" si="313">CO20+CO157</f>
        <v>9</v>
      </c>
      <c r="CP294" s="2350"/>
      <c r="CQ294" s="847"/>
      <c r="CR294" s="847"/>
      <c r="CS294" s="847"/>
      <c r="CT294" s="661">
        <f>CT157</f>
        <v>0</v>
      </c>
      <c r="CU294" s="661">
        <f t="shared" si="311"/>
        <v>0</v>
      </c>
      <c r="CV294" s="661">
        <f t="shared" si="311"/>
        <v>0</v>
      </c>
      <c r="DB294" s="217"/>
    </row>
    <row r="295" spans="1:108" x14ac:dyDescent="0.2">
      <c r="A295" s="1436" t="s">
        <v>1388</v>
      </c>
      <c r="B295" s="651"/>
      <c r="C295" s="236"/>
      <c r="D295" s="234"/>
      <c r="E295" s="234"/>
      <c r="F295" s="234"/>
      <c r="G295" s="234"/>
      <c r="H295" s="661"/>
      <c r="I295" s="847">
        <f t="shared" ref="I295:AN295" si="314">I19+I158</f>
        <v>16</v>
      </c>
      <c r="J295" s="847">
        <f t="shared" si="314"/>
        <v>14</v>
      </c>
      <c r="K295" s="847">
        <f t="shared" si="314"/>
        <v>13</v>
      </c>
      <c r="L295" s="847">
        <f t="shared" si="314"/>
        <v>13</v>
      </c>
      <c r="M295" s="661">
        <f t="shared" si="314"/>
        <v>13</v>
      </c>
      <c r="N295" s="847">
        <f t="shared" si="314"/>
        <v>13</v>
      </c>
      <c r="O295" s="847">
        <f t="shared" si="314"/>
        <v>13</v>
      </c>
      <c r="P295" s="847">
        <f t="shared" si="314"/>
        <v>12</v>
      </c>
      <c r="Q295" s="847">
        <f t="shared" si="314"/>
        <v>12</v>
      </c>
      <c r="R295" s="661">
        <f t="shared" si="314"/>
        <v>12</v>
      </c>
      <c r="S295" s="847">
        <f t="shared" si="314"/>
        <v>12</v>
      </c>
      <c r="T295" s="847">
        <f t="shared" si="314"/>
        <v>8</v>
      </c>
      <c r="U295" s="847">
        <f t="shared" si="314"/>
        <v>8</v>
      </c>
      <c r="V295" s="847">
        <f t="shared" si="314"/>
        <v>6</v>
      </c>
      <c r="W295" s="661">
        <f t="shared" si="314"/>
        <v>6</v>
      </c>
      <c r="X295" s="847">
        <f t="shared" si="314"/>
        <v>6</v>
      </c>
      <c r="Y295" s="847">
        <f t="shared" si="314"/>
        <v>4</v>
      </c>
      <c r="Z295" s="847">
        <f t="shared" si="314"/>
        <v>1</v>
      </c>
      <c r="AA295" s="847">
        <f t="shared" si="314"/>
        <v>1</v>
      </c>
      <c r="AB295" s="661">
        <f t="shared" si="314"/>
        <v>1</v>
      </c>
      <c r="AC295" s="847">
        <f t="shared" si="314"/>
        <v>1</v>
      </c>
      <c r="AD295" s="847">
        <f t="shared" si="314"/>
        <v>1</v>
      </c>
      <c r="AE295" s="847">
        <f t="shared" si="314"/>
        <v>1</v>
      </c>
      <c r="AF295" s="847">
        <f t="shared" si="314"/>
        <v>1</v>
      </c>
      <c r="AG295" s="661">
        <f t="shared" si="314"/>
        <v>1</v>
      </c>
      <c r="AH295" s="847">
        <f t="shared" si="314"/>
        <v>1</v>
      </c>
      <c r="AI295" s="847">
        <f t="shared" si="314"/>
        <v>1</v>
      </c>
      <c r="AJ295" s="847">
        <f t="shared" si="314"/>
        <v>1</v>
      </c>
      <c r="AK295" s="847">
        <f t="shared" si="314"/>
        <v>1</v>
      </c>
      <c r="AL295" s="661">
        <f t="shared" si="314"/>
        <v>1</v>
      </c>
      <c r="AM295" s="847">
        <f t="shared" si="314"/>
        <v>1</v>
      </c>
      <c r="AN295" s="847">
        <f t="shared" si="314"/>
        <v>2</v>
      </c>
      <c r="AO295" s="847">
        <f t="shared" ref="AO295:BT295" si="315">AO19+AO158</f>
        <v>1</v>
      </c>
      <c r="AP295" s="847">
        <f t="shared" si="315"/>
        <v>1</v>
      </c>
      <c r="AQ295" s="661">
        <f t="shared" si="315"/>
        <v>1</v>
      </c>
      <c r="AR295" s="847">
        <f t="shared" si="315"/>
        <v>1</v>
      </c>
      <c r="AS295" s="847">
        <f t="shared" si="315"/>
        <v>1</v>
      </c>
      <c r="AT295" s="847">
        <f t="shared" si="315"/>
        <v>1</v>
      </c>
      <c r="AU295" s="847">
        <f t="shared" si="315"/>
        <v>1</v>
      </c>
      <c r="AV295" s="661">
        <f t="shared" si="315"/>
        <v>1</v>
      </c>
      <c r="AW295" s="847">
        <f t="shared" si="315"/>
        <v>1</v>
      </c>
      <c r="AX295" s="847">
        <f t="shared" si="315"/>
        <v>1</v>
      </c>
      <c r="AY295" s="847">
        <f t="shared" si="315"/>
        <v>1</v>
      </c>
      <c r="AZ295" s="847">
        <f t="shared" si="315"/>
        <v>1</v>
      </c>
      <c r="BA295" s="661">
        <f t="shared" si="315"/>
        <v>1</v>
      </c>
      <c r="BB295" s="847">
        <f t="shared" si="315"/>
        <v>1</v>
      </c>
      <c r="BC295" s="847">
        <f t="shared" si="315"/>
        <v>1</v>
      </c>
      <c r="BD295" s="847">
        <f t="shared" si="315"/>
        <v>1</v>
      </c>
      <c r="BE295" s="847">
        <f t="shared" si="315"/>
        <v>1</v>
      </c>
      <c r="BF295" s="661">
        <f t="shared" si="315"/>
        <v>1</v>
      </c>
      <c r="BG295" s="847">
        <f t="shared" si="315"/>
        <v>1</v>
      </c>
      <c r="BH295" s="847">
        <f t="shared" si="315"/>
        <v>1</v>
      </c>
      <c r="BI295" s="847">
        <f t="shared" si="315"/>
        <v>1</v>
      </c>
      <c r="BJ295" s="847">
        <f t="shared" si="315"/>
        <v>1</v>
      </c>
      <c r="BK295" s="661">
        <f t="shared" si="315"/>
        <v>1</v>
      </c>
      <c r="BL295" s="847">
        <f t="shared" si="315"/>
        <v>1</v>
      </c>
      <c r="BM295" s="847">
        <f t="shared" si="315"/>
        <v>1</v>
      </c>
      <c r="BN295" s="847">
        <f t="shared" si="315"/>
        <v>1</v>
      </c>
      <c r="BO295" s="1431">
        <f t="shared" si="315"/>
        <v>1</v>
      </c>
      <c r="BP295" s="661">
        <f t="shared" si="315"/>
        <v>1</v>
      </c>
      <c r="BQ295" s="847">
        <f t="shared" si="315"/>
        <v>1</v>
      </c>
      <c r="BR295" s="847">
        <f t="shared" si="315"/>
        <v>1</v>
      </c>
      <c r="BS295" s="847">
        <f t="shared" si="315"/>
        <v>1</v>
      </c>
      <c r="BT295" s="847">
        <f t="shared" si="315"/>
        <v>1</v>
      </c>
      <c r="BU295" s="661">
        <f t="shared" ref="BU295:CI295" si="316">BU19+BU158</f>
        <v>1</v>
      </c>
      <c r="BV295" s="847">
        <f t="shared" si="316"/>
        <v>1</v>
      </c>
      <c r="BW295" s="847">
        <f t="shared" si="316"/>
        <v>1</v>
      </c>
      <c r="BX295" s="847">
        <f t="shared" si="316"/>
        <v>1</v>
      </c>
      <c r="BY295" s="847">
        <f t="shared" si="316"/>
        <v>1</v>
      </c>
      <c r="BZ295" s="661">
        <f t="shared" si="316"/>
        <v>1</v>
      </c>
      <c r="CA295" s="847">
        <f t="shared" si="316"/>
        <v>1</v>
      </c>
      <c r="CB295" s="847">
        <f t="shared" si="316"/>
        <v>1</v>
      </c>
      <c r="CC295" s="847">
        <f t="shared" si="316"/>
        <v>1</v>
      </c>
      <c r="CD295" s="847">
        <f t="shared" si="316"/>
        <v>1</v>
      </c>
      <c r="CE295" s="661">
        <f t="shared" si="316"/>
        <v>1</v>
      </c>
      <c r="CF295" s="847">
        <f t="shared" si="316"/>
        <v>1</v>
      </c>
      <c r="CG295" s="847">
        <f t="shared" si="316"/>
        <v>1</v>
      </c>
      <c r="CH295" s="847">
        <f t="shared" si="316"/>
        <v>2</v>
      </c>
      <c r="CI295" s="847">
        <f t="shared" si="316"/>
        <v>2</v>
      </c>
      <c r="CJ295" s="236">
        <f t="shared" si="289"/>
        <v>2</v>
      </c>
      <c r="CK295" s="2350">
        <f t="shared" ref="CK295:CK300" si="317">CK19+CK158</f>
        <v>2</v>
      </c>
      <c r="CL295" s="847">
        <f>CL19+CL158</f>
        <v>2</v>
      </c>
      <c r="CM295" s="2350">
        <f>CM19+CM158</f>
        <v>2</v>
      </c>
      <c r="CN295" s="2350">
        <f>CN19+CN158</f>
        <v>2</v>
      </c>
      <c r="CO295" s="2289">
        <f>CO19+CO158</f>
        <v>2</v>
      </c>
      <c r="CP295" s="2350"/>
      <c r="CQ295" s="847"/>
      <c r="CR295" s="847"/>
      <c r="CS295" s="847"/>
      <c r="CT295" s="661">
        <f>CT19+CT158</f>
        <v>0</v>
      </c>
      <c r="CU295" s="661">
        <f>CU19+CU158</f>
        <v>0</v>
      </c>
      <c r="CV295" s="661">
        <f>CV19+CV158</f>
        <v>0</v>
      </c>
      <c r="DB295" s="217"/>
    </row>
    <row r="296" spans="1:108" x14ac:dyDescent="0.2">
      <c r="A296" s="1436" t="s">
        <v>1391</v>
      </c>
      <c r="B296" s="651"/>
      <c r="C296" s="236"/>
      <c r="D296" s="234"/>
      <c r="E296" s="234"/>
      <c r="F296" s="234"/>
      <c r="G296" s="234"/>
      <c r="H296" s="661"/>
      <c r="I296" s="847">
        <f t="shared" ref="I296:AN296" si="318">I20+I159</f>
        <v>13</v>
      </c>
      <c r="J296" s="847">
        <f t="shared" si="318"/>
        <v>9</v>
      </c>
      <c r="K296" s="847">
        <f t="shared" si="318"/>
        <v>10</v>
      </c>
      <c r="L296" s="847">
        <f t="shared" si="318"/>
        <v>10</v>
      </c>
      <c r="M296" s="661">
        <f t="shared" si="318"/>
        <v>10</v>
      </c>
      <c r="N296" s="847">
        <f t="shared" si="318"/>
        <v>9</v>
      </c>
      <c r="O296" s="847">
        <f t="shared" si="318"/>
        <v>9</v>
      </c>
      <c r="P296" s="847">
        <f t="shared" si="318"/>
        <v>9</v>
      </c>
      <c r="Q296" s="847">
        <f t="shared" si="318"/>
        <v>6</v>
      </c>
      <c r="R296" s="661">
        <f t="shared" si="318"/>
        <v>6</v>
      </c>
      <c r="S296" s="847">
        <f t="shared" si="318"/>
        <v>6</v>
      </c>
      <c r="T296" s="847">
        <f t="shared" si="318"/>
        <v>4</v>
      </c>
      <c r="U296" s="847">
        <f t="shared" si="318"/>
        <v>4</v>
      </c>
      <c r="V296" s="847">
        <f t="shared" si="318"/>
        <v>4</v>
      </c>
      <c r="W296" s="661">
        <f t="shared" si="318"/>
        <v>4</v>
      </c>
      <c r="X296" s="847">
        <f t="shared" si="318"/>
        <v>4</v>
      </c>
      <c r="Y296" s="847">
        <f t="shared" si="318"/>
        <v>1</v>
      </c>
      <c r="Z296" s="847">
        <f t="shared" si="318"/>
        <v>0</v>
      </c>
      <c r="AA296" s="847">
        <f t="shared" si="318"/>
        <v>0</v>
      </c>
      <c r="AB296" s="661">
        <f t="shared" si="318"/>
        <v>0</v>
      </c>
      <c r="AC296" s="847">
        <f t="shared" si="318"/>
        <v>0</v>
      </c>
      <c r="AD296" s="847">
        <f t="shared" si="318"/>
        <v>0</v>
      </c>
      <c r="AE296" s="847">
        <f t="shared" si="318"/>
        <v>0</v>
      </c>
      <c r="AF296" s="847">
        <f t="shared" si="318"/>
        <v>0</v>
      </c>
      <c r="AG296" s="661">
        <f t="shared" si="318"/>
        <v>0</v>
      </c>
      <c r="AH296" s="847">
        <f t="shared" si="318"/>
        <v>0</v>
      </c>
      <c r="AI296" s="847">
        <f t="shared" si="318"/>
        <v>0</v>
      </c>
      <c r="AJ296" s="847">
        <f t="shared" si="318"/>
        <v>0</v>
      </c>
      <c r="AK296" s="847">
        <f t="shared" si="318"/>
        <v>0</v>
      </c>
      <c r="AL296" s="661">
        <f t="shared" si="318"/>
        <v>0</v>
      </c>
      <c r="AM296" s="847">
        <f t="shared" si="318"/>
        <v>0</v>
      </c>
      <c r="AN296" s="847">
        <f t="shared" si="318"/>
        <v>0</v>
      </c>
      <c r="AO296" s="847">
        <f t="shared" ref="AO296:BT296" si="319">AO20+AO159</f>
        <v>0</v>
      </c>
      <c r="AP296" s="847">
        <f t="shared" si="319"/>
        <v>0</v>
      </c>
      <c r="AQ296" s="661">
        <f t="shared" si="319"/>
        <v>0</v>
      </c>
      <c r="AR296" s="847">
        <f t="shared" si="319"/>
        <v>0</v>
      </c>
      <c r="AS296" s="847">
        <f t="shared" si="319"/>
        <v>0</v>
      </c>
      <c r="AT296" s="847">
        <f t="shared" si="319"/>
        <v>0</v>
      </c>
      <c r="AU296" s="847">
        <f t="shared" si="319"/>
        <v>0</v>
      </c>
      <c r="AV296" s="661">
        <f t="shared" si="319"/>
        <v>0</v>
      </c>
      <c r="AW296" s="847">
        <f t="shared" si="319"/>
        <v>0</v>
      </c>
      <c r="AX296" s="847">
        <f t="shared" si="319"/>
        <v>0</v>
      </c>
      <c r="AY296" s="847">
        <f t="shared" si="319"/>
        <v>0</v>
      </c>
      <c r="AZ296" s="847">
        <f t="shared" si="319"/>
        <v>0</v>
      </c>
      <c r="BA296" s="661">
        <f t="shared" si="319"/>
        <v>0</v>
      </c>
      <c r="BB296" s="847">
        <f t="shared" si="319"/>
        <v>0</v>
      </c>
      <c r="BC296" s="847">
        <f t="shared" si="319"/>
        <v>0</v>
      </c>
      <c r="BD296" s="847">
        <f t="shared" si="319"/>
        <v>0</v>
      </c>
      <c r="BE296" s="847">
        <f t="shared" si="319"/>
        <v>0</v>
      </c>
      <c r="BF296" s="661">
        <f t="shared" si="319"/>
        <v>0</v>
      </c>
      <c r="BG296" s="847">
        <f t="shared" si="319"/>
        <v>0</v>
      </c>
      <c r="BH296" s="847">
        <f t="shared" si="319"/>
        <v>0</v>
      </c>
      <c r="BI296" s="847">
        <f t="shared" si="319"/>
        <v>0</v>
      </c>
      <c r="BJ296" s="847">
        <f t="shared" si="319"/>
        <v>0</v>
      </c>
      <c r="BK296" s="661">
        <f t="shared" si="319"/>
        <v>0</v>
      </c>
      <c r="BL296" s="847">
        <f t="shared" si="319"/>
        <v>0</v>
      </c>
      <c r="BM296" s="847">
        <f t="shared" si="319"/>
        <v>0</v>
      </c>
      <c r="BN296" s="847">
        <f t="shared" si="319"/>
        <v>0</v>
      </c>
      <c r="BO296" s="1431">
        <f t="shared" si="319"/>
        <v>0</v>
      </c>
      <c r="BP296" s="661">
        <f t="shared" si="319"/>
        <v>0</v>
      </c>
      <c r="BQ296" s="847">
        <f t="shared" si="319"/>
        <v>0</v>
      </c>
      <c r="BR296" s="847">
        <f t="shared" si="319"/>
        <v>0</v>
      </c>
      <c r="BS296" s="847">
        <f t="shared" si="319"/>
        <v>0</v>
      </c>
      <c r="BT296" s="847">
        <f t="shared" si="319"/>
        <v>0</v>
      </c>
      <c r="BU296" s="661">
        <f t="shared" ref="BU296:CV296" si="320">BU20+BU159</f>
        <v>0</v>
      </c>
      <c r="BV296" s="847">
        <f t="shared" si="320"/>
        <v>0</v>
      </c>
      <c r="BW296" s="847">
        <f t="shared" si="320"/>
        <v>0</v>
      </c>
      <c r="BX296" s="847">
        <f t="shared" si="320"/>
        <v>0</v>
      </c>
      <c r="BY296" s="847">
        <f t="shared" si="320"/>
        <v>0</v>
      </c>
      <c r="BZ296" s="661">
        <f t="shared" si="320"/>
        <v>0</v>
      </c>
      <c r="CA296" s="847">
        <f t="shared" si="320"/>
        <v>0</v>
      </c>
      <c r="CB296" s="847">
        <f t="shared" si="320"/>
        <v>0</v>
      </c>
      <c r="CC296" s="847">
        <f t="shared" si="320"/>
        <v>0</v>
      </c>
      <c r="CD296" s="847">
        <f t="shared" si="320"/>
        <v>0</v>
      </c>
      <c r="CE296" s="661">
        <f t="shared" si="320"/>
        <v>0</v>
      </c>
      <c r="CF296" s="847">
        <f t="shared" si="320"/>
        <v>0</v>
      </c>
      <c r="CG296" s="847">
        <f t="shared" si="320"/>
        <v>0</v>
      </c>
      <c r="CH296" s="847">
        <f t="shared" si="320"/>
        <v>0</v>
      </c>
      <c r="CI296" s="847">
        <f t="shared" si="320"/>
        <v>0</v>
      </c>
      <c r="CJ296" s="236">
        <f t="shared" si="289"/>
        <v>0</v>
      </c>
      <c r="CK296" s="2350">
        <f t="shared" si="317"/>
        <v>0</v>
      </c>
      <c r="CL296" s="847">
        <f t="shared" si="320"/>
        <v>0</v>
      </c>
      <c r="CM296" s="2350">
        <f t="shared" si="320"/>
        <v>0</v>
      </c>
      <c r="CN296" s="2350">
        <f t="shared" ref="CN296:CO296" si="321">CN20+CN159</f>
        <v>0</v>
      </c>
      <c r="CO296" s="2289">
        <f t="shared" si="321"/>
        <v>0</v>
      </c>
      <c r="CP296" s="2350"/>
      <c r="CQ296" s="847"/>
      <c r="CR296" s="847"/>
      <c r="CS296" s="847"/>
      <c r="CT296" s="661">
        <f>CT20+CT159</f>
        <v>0</v>
      </c>
      <c r="CU296" s="661">
        <f t="shared" si="320"/>
        <v>0</v>
      </c>
      <c r="CV296" s="661">
        <f t="shared" si="320"/>
        <v>0</v>
      </c>
      <c r="DB296" s="217"/>
    </row>
    <row r="297" spans="1:108" x14ac:dyDescent="0.2">
      <c r="A297" s="1436" t="s">
        <v>1389</v>
      </c>
      <c r="B297" s="651"/>
      <c r="C297" s="236"/>
      <c r="D297" s="234"/>
      <c r="E297" s="234"/>
      <c r="F297" s="234"/>
      <c r="G297" s="234"/>
      <c r="H297" s="661"/>
      <c r="I297" s="847">
        <f t="shared" ref="I297:AN297" si="322">I21+I160</f>
        <v>0</v>
      </c>
      <c r="J297" s="847">
        <f t="shared" si="322"/>
        <v>0</v>
      </c>
      <c r="K297" s="847">
        <f t="shared" si="322"/>
        <v>0</v>
      </c>
      <c r="L297" s="847">
        <f t="shared" si="322"/>
        <v>1</v>
      </c>
      <c r="M297" s="661">
        <f t="shared" si="322"/>
        <v>1</v>
      </c>
      <c r="N297" s="847">
        <f t="shared" si="322"/>
        <v>1</v>
      </c>
      <c r="O297" s="847">
        <f t="shared" si="322"/>
        <v>1</v>
      </c>
      <c r="P297" s="847">
        <f t="shared" si="322"/>
        <v>1</v>
      </c>
      <c r="Q297" s="847">
        <f t="shared" si="322"/>
        <v>1</v>
      </c>
      <c r="R297" s="661">
        <f t="shared" si="322"/>
        <v>1</v>
      </c>
      <c r="S297" s="847">
        <f t="shared" si="322"/>
        <v>1</v>
      </c>
      <c r="T297" s="847">
        <f t="shared" si="322"/>
        <v>1</v>
      </c>
      <c r="U297" s="847">
        <f t="shared" si="322"/>
        <v>1</v>
      </c>
      <c r="V297" s="847">
        <f t="shared" si="322"/>
        <v>1</v>
      </c>
      <c r="W297" s="661">
        <f t="shared" si="322"/>
        <v>1</v>
      </c>
      <c r="X297" s="847">
        <f t="shared" si="322"/>
        <v>1</v>
      </c>
      <c r="Y297" s="847">
        <f t="shared" si="322"/>
        <v>1</v>
      </c>
      <c r="Z297" s="847">
        <f t="shared" si="322"/>
        <v>1</v>
      </c>
      <c r="AA297" s="847">
        <f t="shared" si="322"/>
        <v>0</v>
      </c>
      <c r="AB297" s="661">
        <f t="shared" si="322"/>
        <v>0</v>
      </c>
      <c r="AC297" s="847">
        <f t="shared" si="322"/>
        <v>0</v>
      </c>
      <c r="AD297" s="847">
        <f t="shared" si="322"/>
        <v>0</v>
      </c>
      <c r="AE297" s="847">
        <f t="shared" si="322"/>
        <v>0</v>
      </c>
      <c r="AF297" s="847">
        <f t="shared" si="322"/>
        <v>0</v>
      </c>
      <c r="AG297" s="661">
        <f t="shared" si="322"/>
        <v>0</v>
      </c>
      <c r="AH297" s="847">
        <f t="shared" si="322"/>
        <v>0</v>
      </c>
      <c r="AI297" s="847">
        <f t="shared" si="322"/>
        <v>0</v>
      </c>
      <c r="AJ297" s="847">
        <f t="shared" si="322"/>
        <v>0</v>
      </c>
      <c r="AK297" s="847">
        <f t="shared" si="322"/>
        <v>0</v>
      </c>
      <c r="AL297" s="661">
        <f t="shared" si="322"/>
        <v>0</v>
      </c>
      <c r="AM297" s="847">
        <f t="shared" si="322"/>
        <v>0</v>
      </c>
      <c r="AN297" s="847">
        <f t="shared" si="322"/>
        <v>0</v>
      </c>
      <c r="AO297" s="847">
        <f t="shared" ref="AO297:BT297" si="323">AO21+AO160</f>
        <v>0</v>
      </c>
      <c r="AP297" s="847">
        <f t="shared" si="323"/>
        <v>0</v>
      </c>
      <c r="AQ297" s="661">
        <f t="shared" si="323"/>
        <v>0</v>
      </c>
      <c r="AR297" s="847">
        <f t="shared" si="323"/>
        <v>0</v>
      </c>
      <c r="AS297" s="847">
        <f t="shared" si="323"/>
        <v>0</v>
      </c>
      <c r="AT297" s="847">
        <f t="shared" si="323"/>
        <v>0</v>
      </c>
      <c r="AU297" s="847">
        <f t="shared" si="323"/>
        <v>0</v>
      </c>
      <c r="AV297" s="661">
        <f t="shared" si="323"/>
        <v>0</v>
      </c>
      <c r="AW297" s="847">
        <f t="shared" si="323"/>
        <v>0</v>
      </c>
      <c r="AX297" s="847">
        <f t="shared" si="323"/>
        <v>0</v>
      </c>
      <c r="AY297" s="847">
        <f t="shared" si="323"/>
        <v>0</v>
      </c>
      <c r="AZ297" s="847">
        <f t="shared" si="323"/>
        <v>0</v>
      </c>
      <c r="BA297" s="661">
        <f t="shared" si="323"/>
        <v>0</v>
      </c>
      <c r="BB297" s="847">
        <f t="shared" si="323"/>
        <v>0</v>
      </c>
      <c r="BC297" s="847">
        <f t="shared" si="323"/>
        <v>0</v>
      </c>
      <c r="BD297" s="847">
        <f t="shared" si="323"/>
        <v>0</v>
      </c>
      <c r="BE297" s="847">
        <f t="shared" si="323"/>
        <v>0</v>
      </c>
      <c r="BF297" s="661">
        <f t="shared" si="323"/>
        <v>0</v>
      </c>
      <c r="BG297" s="847">
        <f t="shared" si="323"/>
        <v>0</v>
      </c>
      <c r="BH297" s="847">
        <f t="shared" si="323"/>
        <v>0</v>
      </c>
      <c r="BI297" s="847">
        <f t="shared" si="323"/>
        <v>0</v>
      </c>
      <c r="BJ297" s="847">
        <f t="shared" si="323"/>
        <v>0</v>
      </c>
      <c r="BK297" s="661">
        <f t="shared" si="323"/>
        <v>0</v>
      </c>
      <c r="BL297" s="847">
        <f t="shared" si="323"/>
        <v>0</v>
      </c>
      <c r="BM297" s="847">
        <f t="shared" si="323"/>
        <v>0</v>
      </c>
      <c r="BN297" s="847">
        <f t="shared" si="323"/>
        <v>0</v>
      </c>
      <c r="BO297" s="1431">
        <f t="shared" si="323"/>
        <v>0</v>
      </c>
      <c r="BP297" s="661">
        <f t="shared" si="323"/>
        <v>0</v>
      </c>
      <c r="BQ297" s="847">
        <f t="shared" si="323"/>
        <v>0</v>
      </c>
      <c r="BR297" s="847">
        <f t="shared" si="323"/>
        <v>0</v>
      </c>
      <c r="BS297" s="847">
        <f t="shared" si="323"/>
        <v>0</v>
      </c>
      <c r="BT297" s="847">
        <f t="shared" si="323"/>
        <v>0</v>
      </c>
      <c r="BU297" s="661">
        <f t="shared" ref="BU297:CV297" si="324">BU21+BU160</f>
        <v>0</v>
      </c>
      <c r="BV297" s="847">
        <f t="shared" si="324"/>
        <v>0</v>
      </c>
      <c r="BW297" s="847">
        <f t="shared" si="324"/>
        <v>0</v>
      </c>
      <c r="BX297" s="847">
        <f t="shared" si="324"/>
        <v>0</v>
      </c>
      <c r="BY297" s="847">
        <f t="shared" si="324"/>
        <v>0</v>
      </c>
      <c r="BZ297" s="661">
        <f t="shared" si="324"/>
        <v>0</v>
      </c>
      <c r="CA297" s="847">
        <f t="shared" si="324"/>
        <v>0</v>
      </c>
      <c r="CB297" s="847">
        <f t="shared" si="324"/>
        <v>0</v>
      </c>
      <c r="CC297" s="847">
        <f t="shared" si="324"/>
        <v>0</v>
      </c>
      <c r="CD297" s="847">
        <f t="shared" si="324"/>
        <v>0</v>
      </c>
      <c r="CE297" s="661">
        <f t="shared" si="324"/>
        <v>0</v>
      </c>
      <c r="CF297" s="847">
        <f t="shared" si="324"/>
        <v>0</v>
      </c>
      <c r="CG297" s="847">
        <f t="shared" si="324"/>
        <v>0</v>
      </c>
      <c r="CH297" s="847">
        <f t="shared" si="324"/>
        <v>0</v>
      </c>
      <c r="CI297" s="847">
        <f t="shared" si="324"/>
        <v>0</v>
      </c>
      <c r="CJ297" s="236">
        <f t="shared" si="289"/>
        <v>0</v>
      </c>
      <c r="CK297" s="2350">
        <f t="shared" si="317"/>
        <v>0</v>
      </c>
      <c r="CL297" s="847">
        <f t="shared" si="324"/>
        <v>0</v>
      </c>
      <c r="CM297" s="2350">
        <f t="shared" si="324"/>
        <v>0</v>
      </c>
      <c r="CN297" s="2350">
        <f t="shared" ref="CN297:CO297" si="325">CN21+CN160</f>
        <v>0</v>
      </c>
      <c r="CO297" s="2289">
        <f t="shared" si="325"/>
        <v>0</v>
      </c>
      <c r="CP297" s="2350"/>
      <c r="CQ297" s="847"/>
      <c r="CR297" s="847"/>
      <c r="CS297" s="847"/>
      <c r="CT297" s="661">
        <f>CT21+CT160</f>
        <v>0</v>
      </c>
      <c r="CU297" s="661">
        <f t="shared" si="324"/>
        <v>0</v>
      </c>
      <c r="CV297" s="661">
        <f t="shared" si="324"/>
        <v>0</v>
      </c>
      <c r="DB297" s="217"/>
    </row>
    <row r="298" spans="1:108" x14ac:dyDescent="0.2">
      <c r="A298" s="1436" t="s">
        <v>1390</v>
      </c>
      <c r="B298" s="651"/>
      <c r="C298" s="236"/>
      <c r="D298" s="234"/>
      <c r="E298" s="234"/>
      <c r="F298" s="234"/>
      <c r="G298" s="234"/>
      <c r="H298" s="661"/>
      <c r="I298" s="847">
        <f t="shared" ref="I298:AN298" si="326">I22+I161</f>
        <v>3</v>
      </c>
      <c r="J298" s="847">
        <f t="shared" si="326"/>
        <v>3</v>
      </c>
      <c r="K298" s="847">
        <f t="shared" si="326"/>
        <v>5</v>
      </c>
      <c r="L298" s="847">
        <f t="shared" si="326"/>
        <v>4</v>
      </c>
      <c r="M298" s="661">
        <f t="shared" si="326"/>
        <v>4</v>
      </c>
      <c r="N298" s="847">
        <f t="shared" si="326"/>
        <v>2</v>
      </c>
      <c r="O298" s="847">
        <f t="shared" si="326"/>
        <v>2</v>
      </c>
      <c r="P298" s="847">
        <f t="shared" si="326"/>
        <v>2</v>
      </c>
      <c r="Q298" s="847">
        <f t="shared" si="326"/>
        <v>2</v>
      </c>
      <c r="R298" s="661">
        <f t="shared" si="326"/>
        <v>2</v>
      </c>
      <c r="S298" s="847">
        <f t="shared" si="326"/>
        <v>3</v>
      </c>
      <c r="T298" s="847">
        <f t="shared" si="326"/>
        <v>3</v>
      </c>
      <c r="U298" s="847">
        <f t="shared" si="326"/>
        <v>3</v>
      </c>
      <c r="V298" s="847">
        <f t="shared" si="326"/>
        <v>3</v>
      </c>
      <c r="W298" s="661">
        <f t="shared" si="326"/>
        <v>3</v>
      </c>
      <c r="X298" s="847">
        <f t="shared" si="326"/>
        <v>3</v>
      </c>
      <c r="Y298" s="847">
        <f t="shared" si="326"/>
        <v>3</v>
      </c>
      <c r="Z298" s="847">
        <f t="shared" si="326"/>
        <v>2</v>
      </c>
      <c r="AA298" s="847">
        <f t="shared" si="326"/>
        <v>1</v>
      </c>
      <c r="AB298" s="661">
        <f t="shared" si="326"/>
        <v>1</v>
      </c>
      <c r="AC298" s="847">
        <f t="shared" si="326"/>
        <v>1</v>
      </c>
      <c r="AD298" s="847">
        <f t="shared" si="326"/>
        <v>1</v>
      </c>
      <c r="AE298" s="847">
        <f t="shared" si="326"/>
        <v>1</v>
      </c>
      <c r="AF298" s="847">
        <f t="shared" si="326"/>
        <v>1</v>
      </c>
      <c r="AG298" s="661">
        <f t="shared" si="326"/>
        <v>1</v>
      </c>
      <c r="AH298" s="847">
        <f t="shared" si="326"/>
        <v>1</v>
      </c>
      <c r="AI298" s="847">
        <f t="shared" si="326"/>
        <v>1</v>
      </c>
      <c r="AJ298" s="847">
        <f t="shared" si="326"/>
        <v>1</v>
      </c>
      <c r="AK298" s="847">
        <f t="shared" si="326"/>
        <v>1</v>
      </c>
      <c r="AL298" s="661">
        <f t="shared" si="326"/>
        <v>1</v>
      </c>
      <c r="AM298" s="847">
        <f t="shared" si="326"/>
        <v>1</v>
      </c>
      <c r="AN298" s="847">
        <f t="shared" si="326"/>
        <v>1</v>
      </c>
      <c r="AO298" s="847">
        <f t="shared" ref="AO298:BT298" si="327">AO22+AO161</f>
        <v>0</v>
      </c>
      <c r="AP298" s="847">
        <f t="shared" si="327"/>
        <v>0</v>
      </c>
      <c r="AQ298" s="661">
        <f t="shared" si="327"/>
        <v>0</v>
      </c>
      <c r="AR298" s="847">
        <f t="shared" si="327"/>
        <v>0</v>
      </c>
      <c r="AS298" s="847">
        <f t="shared" si="327"/>
        <v>0</v>
      </c>
      <c r="AT298" s="847">
        <f t="shared" si="327"/>
        <v>0</v>
      </c>
      <c r="AU298" s="847">
        <f t="shared" si="327"/>
        <v>0</v>
      </c>
      <c r="AV298" s="661">
        <f t="shared" si="327"/>
        <v>0</v>
      </c>
      <c r="AW298" s="847">
        <f t="shared" si="327"/>
        <v>0</v>
      </c>
      <c r="AX298" s="847">
        <f t="shared" si="327"/>
        <v>0</v>
      </c>
      <c r="AY298" s="847">
        <f t="shared" si="327"/>
        <v>0</v>
      </c>
      <c r="AZ298" s="847">
        <f t="shared" si="327"/>
        <v>0</v>
      </c>
      <c r="BA298" s="661">
        <f t="shared" si="327"/>
        <v>0</v>
      </c>
      <c r="BB298" s="847">
        <f t="shared" si="327"/>
        <v>0</v>
      </c>
      <c r="BC298" s="847">
        <f t="shared" si="327"/>
        <v>0</v>
      </c>
      <c r="BD298" s="847">
        <f t="shared" si="327"/>
        <v>0</v>
      </c>
      <c r="BE298" s="847">
        <f t="shared" si="327"/>
        <v>0</v>
      </c>
      <c r="BF298" s="661">
        <f t="shared" si="327"/>
        <v>0</v>
      </c>
      <c r="BG298" s="847">
        <f t="shared" si="327"/>
        <v>0</v>
      </c>
      <c r="BH298" s="847">
        <f t="shared" si="327"/>
        <v>0</v>
      </c>
      <c r="BI298" s="847">
        <f t="shared" si="327"/>
        <v>0</v>
      </c>
      <c r="BJ298" s="847">
        <f t="shared" si="327"/>
        <v>0</v>
      </c>
      <c r="BK298" s="661">
        <f t="shared" si="327"/>
        <v>0</v>
      </c>
      <c r="BL298" s="847">
        <f t="shared" si="327"/>
        <v>0</v>
      </c>
      <c r="BM298" s="847">
        <f t="shared" si="327"/>
        <v>0</v>
      </c>
      <c r="BN298" s="847">
        <f t="shared" si="327"/>
        <v>0</v>
      </c>
      <c r="BO298" s="1431">
        <f t="shared" si="327"/>
        <v>0</v>
      </c>
      <c r="BP298" s="661">
        <f t="shared" si="327"/>
        <v>0</v>
      </c>
      <c r="BQ298" s="847">
        <f t="shared" si="327"/>
        <v>0</v>
      </c>
      <c r="BR298" s="847">
        <f t="shared" si="327"/>
        <v>0</v>
      </c>
      <c r="BS298" s="847">
        <f t="shared" si="327"/>
        <v>0</v>
      </c>
      <c r="BT298" s="847">
        <f t="shared" si="327"/>
        <v>0</v>
      </c>
      <c r="BU298" s="661">
        <f t="shared" ref="BU298:CV298" si="328">BU22+BU161</f>
        <v>0</v>
      </c>
      <c r="BV298" s="847">
        <f t="shared" si="328"/>
        <v>0</v>
      </c>
      <c r="BW298" s="847">
        <f t="shared" si="328"/>
        <v>0</v>
      </c>
      <c r="BX298" s="847">
        <f t="shared" si="328"/>
        <v>0</v>
      </c>
      <c r="BY298" s="847">
        <f t="shared" si="328"/>
        <v>0</v>
      </c>
      <c r="BZ298" s="661">
        <f t="shared" si="328"/>
        <v>0</v>
      </c>
      <c r="CA298" s="847">
        <f t="shared" si="328"/>
        <v>0</v>
      </c>
      <c r="CB298" s="847">
        <f t="shared" si="328"/>
        <v>0</v>
      </c>
      <c r="CC298" s="847">
        <f t="shared" si="328"/>
        <v>0</v>
      </c>
      <c r="CD298" s="847">
        <f t="shared" si="328"/>
        <v>0</v>
      </c>
      <c r="CE298" s="661">
        <f t="shared" si="328"/>
        <v>0</v>
      </c>
      <c r="CF298" s="847">
        <f t="shared" si="328"/>
        <v>0</v>
      </c>
      <c r="CG298" s="847">
        <f t="shared" si="328"/>
        <v>0</v>
      </c>
      <c r="CH298" s="847">
        <f t="shared" si="328"/>
        <v>0</v>
      </c>
      <c r="CI298" s="847">
        <f t="shared" si="328"/>
        <v>0</v>
      </c>
      <c r="CJ298" s="236">
        <f t="shared" si="289"/>
        <v>0</v>
      </c>
      <c r="CK298" s="2350">
        <f t="shared" si="317"/>
        <v>0</v>
      </c>
      <c r="CL298" s="847">
        <f t="shared" si="328"/>
        <v>0</v>
      </c>
      <c r="CM298" s="2350">
        <f t="shared" si="328"/>
        <v>0</v>
      </c>
      <c r="CN298" s="2350">
        <f t="shared" ref="CN298:CO298" si="329">CN22+CN161</f>
        <v>0</v>
      </c>
      <c r="CO298" s="2289">
        <f t="shared" si="329"/>
        <v>0</v>
      </c>
      <c r="CP298" s="2350"/>
      <c r="CQ298" s="847"/>
      <c r="CR298" s="847"/>
      <c r="CS298" s="847"/>
      <c r="CT298" s="661">
        <f>CT22+CT161</f>
        <v>0</v>
      </c>
      <c r="CU298" s="661">
        <f t="shared" si="328"/>
        <v>0</v>
      </c>
      <c r="CV298" s="661">
        <f t="shared" si="328"/>
        <v>0</v>
      </c>
      <c r="DB298" s="217"/>
    </row>
    <row r="299" spans="1:108" x14ac:dyDescent="0.2">
      <c r="A299" s="1436" t="s">
        <v>650</v>
      </c>
      <c r="B299" s="651"/>
      <c r="C299" s="234"/>
      <c r="D299" s="234"/>
      <c r="E299" s="234"/>
      <c r="F299" s="234"/>
      <c r="G299" s="234"/>
      <c r="H299" s="661"/>
      <c r="I299" s="847">
        <f t="shared" ref="I299:AN299" si="330">I23+I162</f>
        <v>0</v>
      </c>
      <c r="J299" s="847">
        <f t="shared" si="330"/>
        <v>0</v>
      </c>
      <c r="K299" s="847">
        <f t="shared" si="330"/>
        <v>0</v>
      </c>
      <c r="L299" s="847">
        <f t="shared" si="330"/>
        <v>0</v>
      </c>
      <c r="M299" s="661">
        <f t="shared" si="330"/>
        <v>0</v>
      </c>
      <c r="N299" s="847">
        <f t="shared" si="330"/>
        <v>0</v>
      </c>
      <c r="O299" s="847">
        <f t="shared" si="330"/>
        <v>0</v>
      </c>
      <c r="P299" s="847">
        <f t="shared" si="330"/>
        <v>0</v>
      </c>
      <c r="Q299" s="847">
        <f t="shared" si="330"/>
        <v>0</v>
      </c>
      <c r="R299" s="661">
        <f t="shared" si="330"/>
        <v>0</v>
      </c>
      <c r="S299" s="847">
        <f t="shared" si="330"/>
        <v>0</v>
      </c>
      <c r="T299" s="847">
        <f t="shared" si="330"/>
        <v>0</v>
      </c>
      <c r="U299" s="847">
        <f t="shared" si="330"/>
        <v>0</v>
      </c>
      <c r="V299" s="847">
        <f t="shared" si="330"/>
        <v>0</v>
      </c>
      <c r="W299" s="661">
        <f t="shared" si="330"/>
        <v>0</v>
      </c>
      <c r="X299" s="847">
        <f t="shared" si="330"/>
        <v>0</v>
      </c>
      <c r="Y299" s="847">
        <f t="shared" si="330"/>
        <v>0</v>
      </c>
      <c r="Z299" s="847">
        <f t="shared" si="330"/>
        <v>0</v>
      </c>
      <c r="AA299" s="847">
        <f t="shared" si="330"/>
        <v>0</v>
      </c>
      <c r="AB299" s="661">
        <f t="shared" si="330"/>
        <v>0</v>
      </c>
      <c r="AC299" s="847">
        <f t="shared" si="330"/>
        <v>0</v>
      </c>
      <c r="AD299" s="847">
        <f t="shared" si="330"/>
        <v>0</v>
      </c>
      <c r="AE299" s="847">
        <f t="shared" si="330"/>
        <v>0</v>
      </c>
      <c r="AF299" s="847">
        <f t="shared" si="330"/>
        <v>0</v>
      </c>
      <c r="AG299" s="661">
        <f t="shared" si="330"/>
        <v>0</v>
      </c>
      <c r="AH299" s="847">
        <f t="shared" si="330"/>
        <v>0</v>
      </c>
      <c r="AI299" s="847">
        <f t="shared" si="330"/>
        <v>0</v>
      </c>
      <c r="AJ299" s="847">
        <f t="shared" si="330"/>
        <v>0</v>
      </c>
      <c r="AK299" s="847">
        <f t="shared" si="330"/>
        <v>0</v>
      </c>
      <c r="AL299" s="661">
        <f t="shared" si="330"/>
        <v>0</v>
      </c>
      <c r="AM299" s="847">
        <f t="shared" si="330"/>
        <v>0</v>
      </c>
      <c r="AN299" s="847">
        <f t="shared" si="330"/>
        <v>0</v>
      </c>
      <c r="AO299" s="847">
        <f t="shared" ref="AO299:BT299" si="331">AO23+AO162</f>
        <v>0</v>
      </c>
      <c r="AP299" s="847">
        <f t="shared" si="331"/>
        <v>0</v>
      </c>
      <c r="AQ299" s="661">
        <f t="shared" si="331"/>
        <v>0</v>
      </c>
      <c r="AR299" s="847">
        <f t="shared" si="331"/>
        <v>0</v>
      </c>
      <c r="AS299" s="847">
        <f t="shared" si="331"/>
        <v>0</v>
      </c>
      <c r="AT299" s="847">
        <f t="shared" si="331"/>
        <v>0</v>
      </c>
      <c r="AU299" s="847">
        <f t="shared" si="331"/>
        <v>0</v>
      </c>
      <c r="AV299" s="661">
        <f t="shared" si="331"/>
        <v>0</v>
      </c>
      <c r="AW299" s="847">
        <f t="shared" si="331"/>
        <v>0</v>
      </c>
      <c r="AX299" s="847">
        <f t="shared" si="331"/>
        <v>0</v>
      </c>
      <c r="AY299" s="847">
        <f t="shared" si="331"/>
        <v>0</v>
      </c>
      <c r="AZ299" s="847">
        <f t="shared" si="331"/>
        <v>0</v>
      </c>
      <c r="BA299" s="661">
        <f t="shared" si="331"/>
        <v>0</v>
      </c>
      <c r="BB299" s="847">
        <f t="shared" si="331"/>
        <v>0</v>
      </c>
      <c r="BC299" s="847">
        <f t="shared" si="331"/>
        <v>0</v>
      </c>
      <c r="BD299" s="847">
        <f t="shared" si="331"/>
        <v>0</v>
      </c>
      <c r="BE299" s="847">
        <f t="shared" si="331"/>
        <v>0</v>
      </c>
      <c r="BF299" s="661">
        <f t="shared" si="331"/>
        <v>0</v>
      </c>
      <c r="BG299" s="847">
        <f t="shared" si="331"/>
        <v>0</v>
      </c>
      <c r="BH299" s="847">
        <f t="shared" si="331"/>
        <v>0</v>
      </c>
      <c r="BI299" s="847">
        <f t="shared" si="331"/>
        <v>0</v>
      </c>
      <c r="BJ299" s="847">
        <f t="shared" si="331"/>
        <v>0</v>
      </c>
      <c r="BK299" s="661">
        <f t="shared" si="331"/>
        <v>0</v>
      </c>
      <c r="BL299" s="847">
        <f t="shared" si="331"/>
        <v>0</v>
      </c>
      <c r="BM299" s="847">
        <f t="shared" si="331"/>
        <v>0</v>
      </c>
      <c r="BN299" s="847">
        <f t="shared" si="331"/>
        <v>0</v>
      </c>
      <c r="BO299" s="1431">
        <f t="shared" si="331"/>
        <v>0</v>
      </c>
      <c r="BP299" s="661">
        <f t="shared" si="331"/>
        <v>0</v>
      </c>
      <c r="BQ299" s="847">
        <f t="shared" si="331"/>
        <v>0</v>
      </c>
      <c r="BR299" s="847">
        <f t="shared" si="331"/>
        <v>0</v>
      </c>
      <c r="BS299" s="847">
        <f t="shared" si="331"/>
        <v>0</v>
      </c>
      <c r="BT299" s="847">
        <f t="shared" si="331"/>
        <v>0</v>
      </c>
      <c r="BU299" s="661">
        <f t="shared" ref="BU299:CV299" si="332">BU23+BU162</f>
        <v>0</v>
      </c>
      <c r="BV299" s="847">
        <f t="shared" si="332"/>
        <v>0</v>
      </c>
      <c r="BW299" s="847">
        <f t="shared" si="332"/>
        <v>0</v>
      </c>
      <c r="BX299" s="847">
        <f t="shared" si="332"/>
        <v>0</v>
      </c>
      <c r="BY299" s="847">
        <f t="shared" si="332"/>
        <v>0</v>
      </c>
      <c r="BZ299" s="661">
        <f t="shared" si="332"/>
        <v>0</v>
      </c>
      <c r="CA299" s="847">
        <f t="shared" si="332"/>
        <v>0</v>
      </c>
      <c r="CB299" s="847">
        <f t="shared" si="332"/>
        <v>0</v>
      </c>
      <c r="CC299" s="847">
        <f t="shared" si="332"/>
        <v>0</v>
      </c>
      <c r="CD299" s="847">
        <f t="shared" si="332"/>
        <v>0</v>
      </c>
      <c r="CE299" s="661">
        <f t="shared" si="332"/>
        <v>0</v>
      </c>
      <c r="CF299" s="847">
        <f t="shared" si="332"/>
        <v>0</v>
      </c>
      <c r="CG299" s="847">
        <f t="shared" si="332"/>
        <v>0</v>
      </c>
      <c r="CH299" s="847">
        <f t="shared" si="332"/>
        <v>0</v>
      </c>
      <c r="CI299" s="847">
        <f t="shared" si="332"/>
        <v>0</v>
      </c>
      <c r="CJ299" s="236">
        <f t="shared" si="289"/>
        <v>0</v>
      </c>
      <c r="CK299" s="2350">
        <f t="shared" si="317"/>
        <v>0</v>
      </c>
      <c r="CL299" s="847">
        <f t="shared" si="332"/>
        <v>0</v>
      </c>
      <c r="CM299" s="2350">
        <f t="shared" si="332"/>
        <v>0</v>
      </c>
      <c r="CN299" s="2350">
        <f t="shared" ref="CN299:CO299" si="333">CN23+CN162</f>
        <v>0</v>
      </c>
      <c r="CO299" s="2289">
        <f t="shared" si="333"/>
        <v>0</v>
      </c>
      <c r="CP299" s="2350"/>
      <c r="CQ299" s="847"/>
      <c r="CR299" s="847"/>
      <c r="CS299" s="847"/>
      <c r="CT299" s="661">
        <f>CT23+CT162</f>
        <v>0</v>
      </c>
      <c r="CU299" s="661">
        <f t="shared" si="332"/>
        <v>0</v>
      </c>
      <c r="CV299" s="661">
        <f t="shared" si="332"/>
        <v>0</v>
      </c>
      <c r="DB299" s="217"/>
    </row>
    <row r="300" spans="1:108" s="2434" customFormat="1" x14ac:dyDescent="0.2">
      <c r="A300" s="3007" t="s">
        <v>384</v>
      </c>
      <c r="B300" s="2631"/>
      <c r="C300" s="2631"/>
      <c r="D300" s="2631"/>
      <c r="E300" s="2631"/>
      <c r="F300" s="2631"/>
      <c r="G300" s="2631"/>
      <c r="H300" s="2293"/>
      <c r="I300" s="2349">
        <f t="shared" ref="I300:AN300" si="334">I24+I163</f>
        <v>0</v>
      </c>
      <c r="J300" s="2349">
        <f t="shared" si="334"/>
        <v>0</v>
      </c>
      <c r="K300" s="2349">
        <f t="shared" si="334"/>
        <v>0</v>
      </c>
      <c r="L300" s="2349">
        <f t="shared" si="334"/>
        <v>0</v>
      </c>
      <c r="M300" s="2293">
        <f t="shared" si="334"/>
        <v>0</v>
      </c>
      <c r="N300" s="2349">
        <f t="shared" si="334"/>
        <v>0</v>
      </c>
      <c r="O300" s="2349">
        <f t="shared" si="334"/>
        <v>0</v>
      </c>
      <c r="P300" s="2349">
        <f t="shared" si="334"/>
        <v>0</v>
      </c>
      <c r="Q300" s="2349">
        <f t="shared" si="334"/>
        <v>0</v>
      </c>
      <c r="R300" s="2293">
        <f t="shared" si="334"/>
        <v>0</v>
      </c>
      <c r="S300" s="2349">
        <f t="shared" si="334"/>
        <v>0</v>
      </c>
      <c r="T300" s="2349">
        <f t="shared" si="334"/>
        <v>0</v>
      </c>
      <c r="U300" s="2349">
        <f t="shared" si="334"/>
        <v>0</v>
      </c>
      <c r="V300" s="2349">
        <f t="shared" si="334"/>
        <v>0</v>
      </c>
      <c r="W300" s="2293">
        <f t="shared" si="334"/>
        <v>0</v>
      </c>
      <c r="X300" s="2349">
        <f t="shared" si="334"/>
        <v>0</v>
      </c>
      <c r="Y300" s="2349">
        <f t="shared" si="334"/>
        <v>0</v>
      </c>
      <c r="Z300" s="2349">
        <f t="shared" si="334"/>
        <v>0</v>
      </c>
      <c r="AA300" s="2349">
        <f t="shared" si="334"/>
        <v>0</v>
      </c>
      <c r="AB300" s="2293">
        <f t="shared" si="334"/>
        <v>0</v>
      </c>
      <c r="AC300" s="2349">
        <f t="shared" si="334"/>
        <v>0</v>
      </c>
      <c r="AD300" s="2349">
        <f t="shared" si="334"/>
        <v>0</v>
      </c>
      <c r="AE300" s="2349">
        <f t="shared" si="334"/>
        <v>0</v>
      </c>
      <c r="AF300" s="2349">
        <f t="shared" si="334"/>
        <v>0</v>
      </c>
      <c r="AG300" s="2293">
        <f t="shared" si="334"/>
        <v>0</v>
      </c>
      <c r="AH300" s="2349">
        <f t="shared" si="334"/>
        <v>0</v>
      </c>
      <c r="AI300" s="2349">
        <f t="shared" si="334"/>
        <v>0</v>
      </c>
      <c r="AJ300" s="2349">
        <f t="shared" si="334"/>
        <v>0</v>
      </c>
      <c r="AK300" s="2349">
        <f t="shared" si="334"/>
        <v>0</v>
      </c>
      <c r="AL300" s="2293">
        <f t="shared" si="334"/>
        <v>0</v>
      </c>
      <c r="AM300" s="2349">
        <f t="shared" si="334"/>
        <v>0</v>
      </c>
      <c r="AN300" s="2349">
        <f t="shared" si="334"/>
        <v>0</v>
      </c>
      <c r="AO300" s="2349">
        <f t="shared" ref="AO300:BT300" si="335">AO24+AO163</f>
        <v>0</v>
      </c>
      <c r="AP300" s="2349">
        <f t="shared" si="335"/>
        <v>0</v>
      </c>
      <c r="AQ300" s="2293">
        <f t="shared" si="335"/>
        <v>0</v>
      </c>
      <c r="AR300" s="2349">
        <f t="shared" si="335"/>
        <v>0</v>
      </c>
      <c r="AS300" s="2349">
        <f t="shared" si="335"/>
        <v>0</v>
      </c>
      <c r="AT300" s="2349">
        <f t="shared" si="335"/>
        <v>0</v>
      </c>
      <c r="AU300" s="2349">
        <f t="shared" si="335"/>
        <v>0</v>
      </c>
      <c r="AV300" s="2293">
        <f t="shared" si="335"/>
        <v>0</v>
      </c>
      <c r="AW300" s="2349">
        <f t="shared" si="335"/>
        <v>0</v>
      </c>
      <c r="AX300" s="2349">
        <f t="shared" si="335"/>
        <v>0</v>
      </c>
      <c r="AY300" s="2349">
        <f t="shared" si="335"/>
        <v>0</v>
      </c>
      <c r="AZ300" s="2349">
        <f t="shared" si="335"/>
        <v>0</v>
      </c>
      <c r="BA300" s="2293">
        <f t="shared" si="335"/>
        <v>0</v>
      </c>
      <c r="BB300" s="2349">
        <f t="shared" si="335"/>
        <v>0</v>
      </c>
      <c r="BC300" s="2349">
        <f t="shared" si="335"/>
        <v>0</v>
      </c>
      <c r="BD300" s="2349">
        <f t="shared" si="335"/>
        <v>0</v>
      </c>
      <c r="BE300" s="2349">
        <f t="shared" si="335"/>
        <v>0</v>
      </c>
      <c r="BF300" s="2293">
        <f t="shared" si="335"/>
        <v>0</v>
      </c>
      <c r="BG300" s="2349">
        <f t="shared" si="335"/>
        <v>0</v>
      </c>
      <c r="BH300" s="2349">
        <f t="shared" si="335"/>
        <v>0</v>
      </c>
      <c r="BI300" s="2349">
        <f t="shared" si="335"/>
        <v>0</v>
      </c>
      <c r="BJ300" s="2349">
        <f t="shared" si="335"/>
        <v>0</v>
      </c>
      <c r="BK300" s="2293">
        <f t="shared" si="335"/>
        <v>0</v>
      </c>
      <c r="BL300" s="2349">
        <f t="shared" si="335"/>
        <v>0</v>
      </c>
      <c r="BM300" s="2349">
        <f t="shared" si="335"/>
        <v>0</v>
      </c>
      <c r="BN300" s="2349">
        <f t="shared" si="335"/>
        <v>0</v>
      </c>
      <c r="BO300" s="3012">
        <f t="shared" si="335"/>
        <v>0</v>
      </c>
      <c r="BP300" s="2293">
        <f t="shared" si="335"/>
        <v>0</v>
      </c>
      <c r="BQ300" s="2349">
        <f t="shared" si="335"/>
        <v>0</v>
      </c>
      <c r="BR300" s="2349">
        <f t="shared" si="335"/>
        <v>0</v>
      </c>
      <c r="BS300" s="2349">
        <f t="shared" si="335"/>
        <v>0</v>
      </c>
      <c r="BT300" s="2349">
        <f t="shared" si="335"/>
        <v>0</v>
      </c>
      <c r="BU300" s="2293">
        <f t="shared" ref="BU300:CV300" si="336">BU24+BU163</f>
        <v>0</v>
      </c>
      <c r="BV300" s="2349">
        <f t="shared" si="336"/>
        <v>0</v>
      </c>
      <c r="BW300" s="2349">
        <f t="shared" si="336"/>
        <v>0</v>
      </c>
      <c r="BX300" s="2349">
        <f t="shared" si="336"/>
        <v>0</v>
      </c>
      <c r="BY300" s="2349">
        <f t="shared" si="336"/>
        <v>0</v>
      </c>
      <c r="BZ300" s="2293">
        <f t="shared" si="336"/>
        <v>0</v>
      </c>
      <c r="CA300" s="2349">
        <f t="shared" si="336"/>
        <v>0</v>
      </c>
      <c r="CB300" s="2349">
        <f t="shared" si="336"/>
        <v>0</v>
      </c>
      <c r="CC300" s="2349">
        <f t="shared" si="336"/>
        <v>0</v>
      </c>
      <c r="CD300" s="2349">
        <f t="shared" si="336"/>
        <v>0</v>
      </c>
      <c r="CE300" s="2293">
        <f t="shared" si="336"/>
        <v>0</v>
      </c>
      <c r="CF300" s="2349">
        <f t="shared" si="336"/>
        <v>0</v>
      </c>
      <c r="CG300" s="2349">
        <f t="shared" si="336"/>
        <v>0</v>
      </c>
      <c r="CH300" s="2349">
        <f t="shared" si="336"/>
        <v>0</v>
      </c>
      <c r="CI300" s="2349">
        <f t="shared" si="336"/>
        <v>0</v>
      </c>
      <c r="CJ300" s="236">
        <f t="shared" si="289"/>
        <v>0</v>
      </c>
      <c r="CK300" s="2350">
        <f t="shared" si="317"/>
        <v>0</v>
      </c>
      <c r="CL300" s="2349">
        <f t="shared" si="336"/>
        <v>0</v>
      </c>
      <c r="CM300" s="2350">
        <f t="shared" si="336"/>
        <v>0</v>
      </c>
      <c r="CN300" s="2350">
        <f t="shared" ref="CN300:CO300" si="337">CN24+CN163</f>
        <v>0</v>
      </c>
      <c r="CO300" s="2289">
        <f t="shared" si="337"/>
        <v>0</v>
      </c>
      <c r="CP300" s="2350"/>
      <c r="CQ300" s="2349"/>
      <c r="CR300" s="2349"/>
      <c r="CS300" s="2349"/>
      <c r="CT300" s="2293">
        <f>CT24+CT163</f>
        <v>0</v>
      </c>
      <c r="CU300" s="2293">
        <f t="shared" si="336"/>
        <v>0</v>
      </c>
      <c r="CV300" s="2293">
        <f t="shared" si="336"/>
        <v>0</v>
      </c>
      <c r="CW300" s="2631"/>
      <c r="CX300" s="2631"/>
      <c r="CY300" s="2631"/>
      <c r="CZ300" s="2631"/>
      <c r="DA300" s="2631"/>
      <c r="DB300" s="217"/>
      <c r="DC300" s="212"/>
      <c r="DD300" s="2631"/>
    </row>
    <row r="301" spans="1:108" ht="4.5" customHeight="1" x14ac:dyDescent="0.2">
      <c r="A301" s="1447"/>
      <c r="B301" s="1650"/>
      <c r="C301" s="1650"/>
      <c r="D301" s="1650"/>
      <c r="E301" s="1650"/>
      <c r="F301" s="1650"/>
      <c r="G301" s="1650"/>
      <c r="H301" s="246"/>
      <c r="I301" s="850"/>
      <c r="J301" s="850"/>
      <c r="K301" s="850"/>
      <c r="L301" s="850"/>
      <c r="M301" s="246"/>
      <c r="N301" s="850"/>
      <c r="O301" s="850"/>
      <c r="P301" s="850"/>
      <c r="Q301" s="850"/>
      <c r="R301" s="246"/>
      <c r="S301" s="850"/>
      <c r="T301" s="850"/>
      <c r="U301" s="850"/>
      <c r="V301" s="850"/>
      <c r="W301" s="246"/>
      <c r="X301" s="850"/>
      <c r="Y301" s="850"/>
      <c r="Z301" s="850"/>
      <c r="AA301" s="850"/>
      <c r="AB301" s="246"/>
      <c r="AC301" s="850"/>
      <c r="AD301" s="850"/>
      <c r="AE301" s="850"/>
      <c r="AF301" s="850"/>
      <c r="AG301" s="246"/>
      <c r="AH301" s="850"/>
      <c r="AI301" s="850"/>
      <c r="AJ301" s="850"/>
      <c r="AK301" s="850"/>
      <c r="AL301" s="246"/>
      <c r="AM301" s="850"/>
      <c r="AN301" s="850"/>
      <c r="AO301" s="850"/>
      <c r="AP301" s="850"/>
      <c r="AQ301" s="246"/>
      <c r="AR301" s="850"/>
      <c r="AS301" s="850"/>
      <c r="AT301" s="850"/>
      <c r="AU301" s="850"/>
      <c r="AV301" s="246"/>
      <c r="AW301" s="850"/>
      <c r="AX301" s="850"/>
      <c r="AY301" s="850"/>
      <c r="AZ301" s="850"/>
      <c r="BA301" s="246"/>
      <c r="BB301" s="850"/>
      <c r="BC301" s="850"/>
      <c r="BD301" s="850"/>
      <c r="BE301" s="850"/>
      <c r="BF301" s="246"/>
      <c r="BG301" s="850"/>
      <c r="BH301" s="850"/>
      <c r="BI301" s="850"/>
      <c r="BJ301" s="850"/>
      <c r="BK301" s="246"/>
      <c r="BL301" s="850"/>
      <c r="BM301" s="850"/>
      <c r="BN301" s="850"/>
      <c r="BO301" s="1647"/>
      <c r="BP301" s="246"/>
      <c r="BQ301" s="850"/>
      <c r="BR301" s="850"/>
      <c r="BS301" s="850"/>
      <c r="BT301" s="850"/>
      <c r="BU301" s="246"/>
      <c r="BV301" s="850"/>
      <c r="BW301" s="850"/>
      <c r="BX301" s="850"/>
      <c r="BY301" s="850"/>
      <c r="BZ301" s="246"/>
      <c r="CA301" s="850"/>
      <c r="CB301" s="850"/>
      <c r="CC301" s="850"/>
      <c r="CD301" s="850"/>
      <c r="CE301" s="246"/>
      <c r="CF301" s="850"/>
      <c r="CG301" s="850"/>
      <c r="CH301" s="850"/>
      <c r="CI301" s="850"/>
      <c r="CJ301" s="236"/>
      <c r="CK301" s="877"/>
      <c r="CL301" s="850"/>
      <c r="CM301" s="2350"/>
      <c r="CN301" s="2350"/>
      <c r="CO301" s="2289"/>
      <c r="CP301" s="877"/>
      <c r="CQ301" s="850"/>
      <c r="CR301" s="850"/>
      <c r="CS301" s="850"/>
      <c r="CT301" s="246"/>
      <c r="CU301" s="246"/>
      <c r="CV301" s="246"/>
    </row>
    <row r="302" spans="1:108" x14ac:dyDescent="0.2">
      <c r="A302" s="2434" t="s">
        <v>2454</v>
      </c>
      <c r="B302" s="1650"/>
      <c r="C302" s="1650"/>
      <c r="D302" s="1650"/>
      <c r="E302" s="1650"/>
      <c r="F302" s="1650"/>
      <c r="G302" s="1650"/>
      <c r="H302" s="246"/>
      <c r="I302" s="850"/>
      <c r="J302" s="850"/>
      <c r="K302" s="850"/>
      <c r="L302" s="850"/>
      <c r="M302" s="246"/>
      <c r="N302" s="850"/>
      <c r="O302" s="850"/>
      <c r="P302" s="850"/>
      <c r="Q302" s="850"/>
      <c r="R302" s="246"/>
      <c r="S302" s="850"/>
      <c r="T302" s="850"/>
      <c r="U302" s="850"/>
      <c r="V302" s="850"/>
      <c r="W302" s="246"/>
      <c r="X302" s="850"/>
      <c r="Y302" s="850"/>
      <c r="Z302" s="850"/>
      <c r="AA302" s="850"/>
      <c r="AB302" s="246"/>
      <c r="AC302" s="850"/>
      <c r="AD302" s="850"/>
      <c r="AE302" s="850"/>
      <c r="AF302" s="850"/>
      <c r="AG302" s="246"/>
      <c r="AH302" s="850"/>
      <c r="AI302" s="850"/>
      <c r="AJ302" s="850"/>
      <c r="AK302" s="850"/>
      <c r="AL302" s="246"/>
      <c r="AM302" s="850"/>
      <c r="AN302" s="850"/>
      <c r="AO302" s="850"/>
      <c r="AP302" s="850"/>
      <c r="AQ302" s="246"/>
      <c r="AR302" s="850"/>
      <c r="AS302" s="850"/>
      <c r="AT302" s="850"/>
      <c r="AU302" s="850"/>
      <c r="AV302" s="246"/>
      <c r="AW302" s="850"/>
      <c r="AX302" s="850"/>
      <c r="AY302" s="850"/>
      <c r="AZ302" s="850"/>
      <c r="BA302" s="246"/>
      <c r="BB302" s="850"/>
      <c r="BC302" s="850"/>
      <c r="BD302" s="850"/>
      <c r="BE302" s="850"/>
      <c r="BF302" s="246"/>
      <c r="BG302" s="850"/>
      <c r="BH302" s="850"/>
      <c r="BI302" s="850"/>
      <c r="BJ302" s="850"/>
      <c r="BK302" s="246"/>
      <c r="BL302" s="850"/>
      <c r="BM302" s="850"/>
      <c r="BN302" s="850"/>
      <c r="BO302" s="1647"/>
      <c r="BP302" s="246"/>
      <c r="BQ302" s="850"/>
      <c r="BR302" s="850"/>
      <c r="BS302" s="850"/>
      <c r="BT302" s="850"/>
      <c r="BU302" s="246"/>
      <c r="BV302" s="850"/>
      <c r="BW302" s="850"/>
      <c r="BX302" s="850"/>
      <c r="BY302" s="850"/>
      <c r="BZ302" s="246"/>
      <c r="CA302" s="850"/>
      <c r="CB302" s="850"/>
      <c r="CC302" s="850"/>
      <c r="CD302" s="850"/>
      <c r="CE302" s="246"/>
      <c r="CF302" s="850"/>
      <c r="CG302" s="3008">
        <f t="shared" ref="CG302:CG312" si="338">CG26+CG165</f>
        <v>0</v>
      </c>
      <c r="CH302" s="2349">
        <f t="shared" ref="CH302:CI312" si="339">+CH165+CH26</f>
        <v>9</v>
      </c>
      <c r="CI302" s="2349">
        <f t="shared" si="339"/>
        <v>9</v>
      </c>
      <c r="CJ302" s="236">
        <f t="shared" si="289"/>
        <v>9</v>
      </c>
      <c r="CK302" s="2350">
        <f t="shared" ref="CK302:CL312" si="340">+CK165+CK26</f>
        <v>9</v>
      </c>
      <c r="CL302" s="2350">
        <f t="shared" si="340"/>
        <v>9</v>
      </c>
      <c r="CM302" s="2350">
        <f t="shared" ref="CM302:CO303" si="341">CM26+CM165</f>
        <v>9</v>
      </c>
      <c r="CN302" s="2350">
        <f t="shared" si="341"/>
        <v>8</v>
      </c>
      <c r="CO302" s="2289">
        <f t="shared" si="341"/>
        <v>8</v>
      </c>
      <c r="CP302" s="2350"/>
      <c r="CQ302" s="2350"/>
      <c r="CR302" s="850"/>
      <c r="CS302" s="850"/>
      <c r="CT302" s="246"/>
      <c r="CU302" s="246"/>
      <c r="CV302" s="246"/>
    </row>
    <row r="303" spans="1:108" x14ac:dyDescent="0.2">
      <c r="A303" s="2434" t="s">
        <v>2455</v>
      </c>
      <c r="B303" s="1650"/>
      <c r="C303" s="1650"/>
      <c r="D303" s="1650"/>
      <c r="E303" s="1650"/>
      <c r="F303" s="1650"/>
      <c r="G303" s="1650"/>
      <c r="H303" s="246"/>
      <c r="I303" s="850"/>
      <c r="J303" s="850"/>
      <c r="K303" s="850"/>
      <c r="L303" s="850"/>
      <c r="M303" s="246"/>
      <c r="N303" s="850"/>
      <c r="O303" s="850"/>
      <c r="P303" s="850"/>
      <c r="Q303" s="850"/>
      <c r="R303" s="246"/>
      <c r="S303" s="850"/>
      <c r="T303" s="850"/>
      <c r="U303" s="850"/>
      <c r="V303" s="850"/>
      <c r="W303" s="246"/>
      <c r="X303" s="850"/>
      <c r="Y303" s="850"/>
      <c r="Z303" s="850"/>
      <c r="AA303" s="850"/>
      <c r="AB303" s="246"/>
      <c r="AC303" s="850"/>
      <c r="AD303" s="850"/>
      <c r="AE303" s="850"/>
      <c r="AF303" s="850"/>
      <c r="AG303" s="246"/>
      <c r="AH303" s="850"/>
      <c r="AI303" s="850"/>
      <c r="AJ303" s="850"/>
      <c r="AK303" s="850"/>
      <c r="AL303" s="246"/>
      <c r="AM303" s="850"/>
      <c r="AN303" s="850"/>
      <c r="AO303" s="850"/>
      <c r="AP303" s="850"/>
      <c r="AQ303" s="246"/>
      <c r="AR303" s="850"/>
      <c r="AS303" s="850"/>
      <c r="AT303" s="850"/>
      <c r="AU303" s="850"/>
      <c r="AV303" s="246"/>
      <c r="AW303" s="850"/>
      <c r="AX303" s="850"/>
      <c r="AY303" s="850"/>
      <c r="AZ303" s="850"/>
      <c r="BA303" s="246"/>
      <c r="BB303" s="850"/>
      <c r="BC303" s="850"/>
      <c r="BD303" s="850"/>
      <c r="BE303" s="850"/>
      <c r="BF303" s="246"/>
      <c r="BG303" s="850"/>
      <c r="BH303" s="850"/>
      <c r="BI303" s="850"/>
      <c r="BJ303" s="850"/>
      <c r="BK303" s="246"/>
      <c r="BL303" s="850"/>
      <c r="BM303" s="850"/>
      <c r="BN303" s="850"/>
      <c r="BO303" s="1647"/>
      <c r="BP303" s="246"/>
      <c r="BQ303" s="850"/>
      <c r="BR303" s="850"/>
      <c r="BS303" s="850"/>
      <c r="BT303" s="850"/>
      <c r="BU303" s="246"/>
      <c r="BV303" s="850"/>
      <c r="BW303" s="850"/>
      <c r="BX303" s="850"/>
      <c r="BY303" s="850"/>
      <c r="BZ303" s="246"/>
      <c r="CA303" s="850"/>
      <c r="CB303" s="850"/>
      <c r="CC303" s="850"/>
      <c r="CD303" s="850"/>
      <c r="CE303" s="246"/>
      <c r="CF303" s="850"/>
      <c r="CG303" s="3008">
        <f t="shared" si="338"/>
        <v>0</v>
      </c>
      <c r="CH303" s="2349">
        <f t="shared" si="339"/>
        <v>3</v>
      </c>
      <c r="CI303" s="2349">
        <f t="shared" si="339"/>
        <v>3</v>
      </c>
      <c r="CJ303" s="236">
        <f t="shared" si="289"/>
        <v>3</v>
      </c>
      <c r="CK303" s="2350">
        <f t="shared" si="340"/>
        <v>3</v>
      </c>
      <c r="CL303" s="2350">
        <f t="shared" si="340"/>
        <v>2</v>
      </c>
      <c r="CM303" s="2350">
        <f t="shared" si="341"/>
        <v>2</v>
      </c>
      <c r="CN303" s="2350">
        <f t="shared" si="341"/>
        <v>2</v>
      </c>
      <c r="CO303" s="2289">
        <f t="shared" si="341"/>
        <v>2</v>
      </c>
      <c r="CP303" s="2350"/>
      <c r="CQ303" s="2350"/>
      <c r="CR303" s="850"/>
      <c r="CS303" s="850"/>
      <c r="CT303" s="246"/>
      <c r="CU303" s="246"/>
      <c r="CV303" s="246"/>
    </row>
    <row r="304" spans="1:108" x14ac:dyDescent="0.2">
      <c r="A304" s="2434" t="s">
        <v>2456</v>
      </c>
      <c r="B304" s="1650"/>
      <c r="C304" s="1650"/>
      <c r="D304" s="1650"/>
      <c r="E304" s="1650"/>
      <c r="F304" s="1650"/>
      <c r="G304" s="1650"/>
      <c r="H304" s="246"/>
      <c r="I304" s="850"/>
      <c r="J304" s="850"/>
      <c r="K304" s="850"/>
      <c r="L304" s="850"/>
      <c r="M304" s="246"/>
      <c r="N304" s="850"/>
      <c r="O304" s="850"/>
      <c r="P304" s="850"/>
      <c r="Q304" s="850"/>
      <c r="R304" s="246"/>
      <c r="S304" s="850"/>
      <c r="T304" s="850"/>
      <c r="U304" s="850"/>
      <c r="V304" s="850"/>
      <c r="W304" s="246"/>
      <c r="X304" s="850"/>
      <c r="Y304" s="850"/>
      <c r="Z304" s="850"/>
      <c r="AA304" s="850"/>
      <c r="AB304" s="246"/>
      <c r="AC304" s="850"/>
      <c r="AD304" s="850"/>
      <c r="AE304" s="850"/>
      <c r="AF304" s="850"/>
      <c r="AG304" s="246"/>
      <c r="AH304" s="850"/>
      <c r="AI304" s="850"/>
      <c r="AJ304" s="850"/>
      <c r="AK304" s="850"/>
      <c r="AL304" s="246"/>
      <c r="AM304" s="850"/>
      <c r="AN304" s="850"/>
      <c r="AO304" s="850"/>
      <c r="AP304" s="850"/>
      <c r="AQ304" s="246"/>
      <c r="AR304" s="850"/>
      <c r="AS304" s="850"/>
      <c r="AT304" s="850"/>
      <c r="AU304" s="850"/>
      <c r="AV304" s="246"/>
      <c r="AW304" s="850"/>
      <c r="AX304" s="850"/>
      <c r="AY304" s="850"/>
      <c r="AZ304" s="850"/>
      <c r="BA304" s="246"/>
      <c r="BB304" s="850"/>
      <c r="BC304" s="850"/>
      <c r="BD304" s="850"/>
      <c r="BE304" s="850"/>
      <c r="BF304" s="246"/>
      <c r="BG304" s="850"/>
      <c r="BH304" s="850"/>
      <c r="BI304" s="850"/>
      <c r="BJ304" s="850"/>
      <c r="BK304" s="246"/>
      <c r="BL304" s="850"/>
      <c r="BM304" s="850"/>
      <c r="BN304" s="850"/>
      <c r="BO304" s="1647"/>
      <c r="BP304" s="246"/>
      <c r="BQ304" s="850"/>
      <c r="BR304" s="850"/>
      <c r="BS304" s="850"/>
      <c r="BT304" s="850"/>
      <c r="BU304" s="246"/>
      <c r="BV304" s="850"/>
      <c r="BW304" s="850"/>
      <c r="BX304" s="850"/>
      <c r="BY304" s="850"/>
      <c r="BZ304" s="246"/>
      <c r="CA304" s="850"/>
      <c r="CB304" s="850"/>
      <c r="CC304" s="850"/>
      <c r="CD304" s="850"/>
      <c r="CE304" s="246"/>
      <c r="CF304" s="850"/>
      <c r="CG304" s="3008">
        <f t="shared" si="338"/>
        <v>0</v>
      </c>
      <c r="CH304" s="2349">
        <f t="shared" si="339"/>
        <v>0</v>
      </c>
      <c r="CI304" s="2349">
        <f t="shared" si="339"/>
        <v>0</v>
      </c>
      <c r="CJ304" s="236">
        <f t="shared" si="289"/>
        <v>0</v>
      </c>
      <c r="CK304" s="2350">
        <f t="shared" si="340"/>
        <v>0</v>
      </c>
      <c r="CL304" s="2350">
        <f t="shared" si="340"/>
        <v>0</v>
      </c>
      <c r="CM304" s="2350">
        <f t="shared" ref="CM304:CN311" si="342">CM28+CM167</f>
        <v>0</v>
      </c>
      <c r="CN304" s="2350">
        <f t="shared" si="342"/>
        <v>0</v>
      </c>
      <c r="CO304" s="2289">
        <f t="shared" ref="CO304" si="343">CO28+CO167</f>
        <v>0</v>
      </c>
      <c r="CP304" s="2350"/>
      <c r="CQ304" s="2350"/>
      <c r="CR304" s="850"/>
      <c r="CS304" s="850"/>
      <c r="CT304" s="246"/>
      <c r="CU304" s="246"/>
      <c r="CV304" s="246"/>
    </row>
    <row r="305" spans="1:106" x14ac:dyDescent="0.2">
      <c r="A305" s="2434" t="s">
        <v>2457</v>
      </c>
      <c r="B305" s="1650"/>
      <c r="C305" s="1650"/>
      <c r="D305" s="1650"/>
      <c r="E305" s="1650"/>
      <c r="F305" s="1650"/>
      <c r="G305" s="1650"/>
      <c r="H305" s="246"/>
      <c r="I305" s="850"/>
      <c r="J305" s="850"/>
      <c r="K305" s="850"/>
      <c r="L305" s="850"/>
      <c r="M305" s="246"/>
      <c r="N305" s="850"/>
      <c r="O305" s="850"/>
      <c r="P305" s="850"/>
      <c r="Q305" s="850"/>
      <c r="R305" s="246"/>
      <c r="S305" s="850"/>
      <c r="T305" s="850"/>
      <c r="U305" s="850"/>
      <c r="V305" s="850"/>
      <c r="W305" s="246"/>
      <c r="X305" s="850"/>
      <c r="Y305" s="850"/>
      <c r="Z305" s="850"/>
      <c r="AA305" s="850"/>
      <c r="AB305" s="246"/>
      <c r="AC305" s="850"/>
      <c r="AD305" s="850"/>
      <c r="AE305" s="850"/>
      <c r="AF305" s="850"/>
      <c r="AG305" s="246"/>
      <c r="AH305" s="850"/>
      <c r="AI305" s="850"/>
      <c r="AJ305" s="850"/>
      <c r="AK305" s="850"/>
      <c r="AL305" s="246"/>
      <c r="AM305" s="850"/>
      <c r="AN305" s="850"/>
      <c r="AO305" s="850"/>
      <c r="AP305" s="850"/>
      <c r="AQ305" s="246"/>
      <c r="AR305" s="850"/>
      <c r="AS305" s="850"/>
      <c r="AT305" s="850"/>
      <c r="AU305" s="850"/>
      <c r="AV305" s="246"/>
      <c r="AW305" s="850"/>
      <c r="AX305" s="850"/>
      <c r="AY305" s="850"/>
      <c r="AZ305" s="850"/>
      <c r="BA305" s="246"/>
      <c r="BB305" s="850"/>
      <c r="BC305" s="850"/>
      <c r="BD305" s="850"/>
      <c r="BE305" s="850"/>
      <c r="BF305" s="246"/>
      <c r="BG305" s="850"/>
      <c r="BH305" s="850"/>
      <c r="BI305" s="850"/>
      <c r="BJ305" s="850"/>
      <c r="BK305" s="246"/>
      <c r="BL305" s="850"/>
      <c r="BM305" s="850"/>
      <c r="BN305" s="850"/>
      <c r="BO305" s="1647"/>
      <c r="BP305" s="246"/>
      <c r="BQ305" s="850"/>
      <c r="BR305" s="850"/>
      <c r="BS305" s="850"/>
      <c r="BT305" s="850"/>
      <c r="BU305" s="246"/>
      <c r="BV305" s="850"/>
      <c r="BW305" s="850"/>
      <c r="BX305" s="850"/>
      <c r="BY305" s="850"/>
      <c r="BZ305" s="246"/>
      <c r="CA305" s="850"/>
      <c r="CB305" s="850"/>
      <c r="CC305" s="850"/>
      <c r="CD305" s="850"/>
      <c r="CE305" s="246"/>
      <c r="CF305" s="850"/>
      <c r="CG305" s="3008">
        <f t="shared" si="338"/>
        <v>0</v>
      </c>
      <c r="CH305" s="2349">
        <f t="shared" si="339"/>
        <v>3</v>
      </c>
      <c r="CI305" s="2349">
        <f t="shared" si="339"/>
        <v>3</v>
      </c>
      <c r="CJ305" s="236">
        <f t="shared" si="289"/>
        <v>3</v>
      </c>
      <c r="CK305" s="2350">
        <f t="shared" si="340"/>
        <v>3</v>
      </c>
      <c r="CL305" s="2350">
        <f t="shared" si="340"/>
        <v>3</v>
      </c>
      <c r="CM305" s="2350">
        <f t="shared" si="342"/>
        <v>3</v>
      </c>
      <c r="CN305" s="2350">
        <f t="shared" si="342"/>
        <v>3</v>
      </c>
      <c r="CO305" s="2289">
        <f t="shared" ref="CO305" si="344">CO29+CO168</f>
        <v>3</v>
      </c>
      <c r="CP305" s="2350"/>
      <c r="CQ305" s="2350"/>
      <c r="CR305" s="850"/>
      <c r="CS305" s="850"/>
      <c r="CT305" s="246"/>
      <c r="CU305" s="246"/>
      <c r="CV305" s="246"/>
    </row>
    <row r="306" spans="1:106" x14ac:dyDescent="0.2">
      <c r="A306" s="2434" t="s">
        <v>2458</v>
      </c>
      <c r="B306" s="1650"/>
      <c r="C306" s="1650"/>
      <c r="D306" s="1650"/>
      <c r="E306" s="1650"/>
      <c r="F306" s="1650"/>
      <c r="G306" s="1650"/>
      <c r="H306" s="246"/>
      <c r="I306" s="850"/>
      <c r="J306" s="850"/>
      <c r="K306" s="850"/>
      <c r="L306" s="850"/>
      <c r="M306" s="246"/>
      <c r="N306" s="850"/>
      <c r="O306" s="850"/>
      <c r="P306" s="850"/>
      <c r="Q306" s="850"/>
      <c r="R306" s="246"/>
      <c r="S306" s="850"/>
      <c r="T306" s="850"/>
      <c r="U306" s="850"/>
      <c r="V306" s="850"/>
      <c r="W306" s="246"/>
      <c r="X306" s="850"/>
      <c r="Y306" s="850"/>
      <c r="Z306" s="850"/>
      <c r="AA306" s="850"/>
      <c r="AB306" s="246"/>
      <c r="AC306" s="850"/>
      <c r="AD306" s="850"/>
      <c r="AE306" s="850"/>
      <c r="AF306" s="850"/>
      <c r="AG306" s="246"/>
      <c r="AH306" s="850"/>
      <c r="AI306" s="850"/>
      <c r="AJ306" s="850"/>
      <c r="AK306" s="850"/>
      <c r="AL306" s="246"/>
      <c r="AM306" s="850"/>
      <c r="AN306" s="850"/>
      <c r="AO306" s="850"/>
      <c r="AP306" s="850"/>
      <c r="AQ306" s="246"/>
      <c r="AR306" s="850"/>
      <c r="AS306" s="850"/>
      <c r="AT306" s="850"/>
      <c r="AU306" s="850"/>
      <c r="AV306" s="246"/>
      <c r="AW306" s="850"/>
      <c r="AX306" s="850"/>
      <c r="AY306" s="850"/>
      <c r="AZ306" s="850"/>
      <c r="BA306" s="246"/>
      <c r="BB306" s="850"/>
      <c r="BC306" s="850"/>
      <c r="BD306" s="850"/>
      <c r="BE306" s="850"/>
      <c r="BF306" s="246"/>
      <c r="BG306" s="850"/>
      <c r="BH306" s="850"/>
      <c r="BI306" s="850"/>
      <c r="BJ306" s="850"/>
      <c r="BK306" s="246"/>
      <c r="BL306" s="850"/>
      <c r="BM306" s="850"/>
      <c r="BN306" s="850"/>
      <c r="BO306" s="1647"/>
      <c r="BP306" s="246"/>
      <c r="BQ306" s="850"/>
      <c r="BR306" s="850"/>
      <c r="BS306" s="850"/>
      <c r="BT306" s="850"/>
      <c r="BU306" s="246"/>
      <c r="BV306" s="850"/>
      <c r="BW306" s="850"/>
      <c r="BX306" s="850"/>
      <c r="BY306" s="850"/>
      <c r="BZ306" s="246"/>
      <c r="CA306" s="850"/>
      <c r="CB306" s="850"/>
      <c r="CC306" s="850"/>
      <c r="CD306" s="850"/>
      <c r="CE306" s="246"/>
      <c r="CF306" s="850"/>
      <c r="CG306" s="3008">
        <f t="shared" si="338"/>
        <v>0</v>
      </c>
      <c r="CH306" s="2349">
        <f t="shared" si="339"/>
        <v>3</v>
      </c>
      <c r="CI306" s="2349">
        <f t="shared" si="339"/>
        <v>3</v>
      </c>
      <c r="CJ306" s="236">
        <f t="shared" si="289"/>
        <v>3</v>
      </c>
      <c r="CK306" s="2350">
        <f t="shared" si="340"/>
        <v>3</v>
      </c>
      <c r="CL306" s="2350">
        <f t="shared" si="340"/>
        <v>3</v>
      </c>
      <c r="CM306" s="2350">
        <f t="shared" si="342"/>
        <v>3</v>
      </c>
      <c r="CN306" s="2350">
        <f t="shared" si="342"/>
        <v>3</v>
      </c>
      <c r="CO306" s="2289">
        <f t="shared" ref="CO306" si="345">CO30+CO169</f>
        <v>3</v>
      </c>
      <c r="CP306" s="2350"/>
      <c r="CQ306" s="2350"/>
      <c r="CR306" s="850"/>
      <c r="CS306" s="850"/>
      <c r="CT306" s="246"/>
      <c r="CU306" s="246"/>
      <c r="CV306" s="246"/>
    </row>
    <row r="307" spans="1:106" x14ac:dyDescent="0.2">
      <c r="A307" s="2434" t="s">
        <v>2459</v>
      </c>
      <c r="B307" s="1650"/>
      <c r="C307" s="1650"/>
      <c r="D307" s="1650"/>
      <c r="E307" s="1650"/>
      <c r="F307" s="1650"/>
      <c r="G307" s="1650"/>
      <c r="H307" s="246"/>
      <c r="I307" s="850"/>
      <c r="J307" s="850"/>
      <c r="K307" s="850"/>
      <c r="L307" s="850"/>
      <c r="M307" s="246"/>
      <c r="N307" s="850"/>
      <c r="O307" s="850"/>
      <c r="P307" s="850"/>
      <c r="Q307" s="850"/>
      <c r="R307" s="246"/>
      <c r="S307" s="850"/>
      <c r="T307" s="850"/>
      <c r="U307" s="850"/>
      <c r="V307" s="850"/>
      <c r="W307" s="246"/>
      <c r="X307" s="850"/>
      <c r="Y307" s="850"/>
      <c r="Z307" s="850"/>
      <c r="AA307" s="850"/>
      <c r="AB307" s="246"/>
      <c r="AC307" s="850"/>
      <c r="AD307" s="850"/>
      <c r="AE307" s="850"/>
      <c r="AF307" s="850"/>
      <c r="AG307" s="246"/>
      <c r="AH307" s="850"/>
      <c r="AI307" s="850"/>
      <c r="AJ307" s="850"/>
      <c r="AK307" s="850"/>
      <c r="AL307" s="246"/>
      <c r="AM307" s="850"/>
      <c r="AN307" s="850"/>
      <c r="AO307" s="850"/>
      <c r="AP307" s="850"/>
      <c r="AQ307" s="246"/>
      <c r="AR307" s="850"/>
      <c r="AS307" s="850"/>
      <c r="AT307" s="850"/>
      <c r="AU307" s="850"/>
      <c r="AV307" s="246"/>
      <c r="AW307" s="850"/>
      <c r="AX307" s="850"/>
      <c r="AY307" s="850"/>
      <c r="AZ307" s="850"/>
      <c r="BA307" s="246"/>
      <c r="BB307" s="850"/>
      <c r="BC307" s="850"/>
      <c r="BD307" s="850"/>
      <c r="BE307" s="850"/>
      <c r="BF307" s="246"/>
      <c r="BG307" s="850"/>
      <c r="BH307" s="850"/>
      <c r="BI307" s="850"/>
      <c r="BJ307" s="850"/>
      <c r="BK307" s="246"/>
      <c r="BL307" s="850"/>
      <c r="BM307" s="850"/>
      <c r="BN307" s="850"/>
      <c r="BO307" s="1647"/>
      <c r="BP307" s="246"/>
      <c r="BQ307" s="850"/>
      <c r="BR307" s="850"/>
      <c r="BS307" s="850"/>
      <c r="BT307" s="850"/>
      <c r="BU307" s="246"/>
      <c r="BV307" s="850"/>
      <c r="BW307" s="850"/>
      <c r="BX307" s="850"/>
      <c r="BY307" s="850"/>
      <c r="BZ307" s="246"/>
      <c r="CA307" s="850"/>
      <c r="CB307" s="850"/>
      <c r="CC307" s="850"/>
      <c r="CD307" s="850"/>
      <c r="CE307" s="246"/>
      <c r="CF307" s="850"/>
      <c r="CG307" s="3008">
        <f t="shared" si="338"/>
        <v>0</v>
      </c>
      <c r="CH307" s="2349">
        <f t="shared" si="339"/>
        <v>3</v>
      </c>
      <c r="CI307" s="2349">
        <f t="shared" si="339"/>
        <v>2</v>
      </c>
      <c r="CJ307" s="236">
        <f t="shared" si="289"/>
        <v>2</v>
      </c>
      <c r="CK307" s="2350">
        <f t="shared" si="340"/>
        <v>2</v>
      </c>
      <c r="CL307" s="2350">
        <f t="shared" si="340"/>
        <v>2</v>
      </c>
      <c r="CM307" s="2350">
        <f t="shared" si="342"/>
        <v>2</v>
      </c>
      <c r="CN307" s="2350">
        <f t="shared" si="342"/>
        <v>2</v>
      </c>
      <c r="CO307" s="2289">
        <f t="shared" ref="CO307" si="346">CO31+CO170</f>
        <v>2</v>
      </c>
      <c r="CP307" s="2350"/>
      <c r="CQ307" s="2350"/>
      <c r="CR307" s="850"/>
      <c r="CS307" s="850"/>
      <c r="CT307" s="246"/>
      <c r="CU307" s="246"/>
      <c r="CV307" s="246"/>
    </row>
    <row r="308" spans="1:106" x14ac:dyDescent="0.2">
      <c r="A308" s="2434" t="s">
        <v>2460</v>
      </c>
      <c r="B308" s="1650"/>
      <c r="C308" s="1650"/>
      <c r="D308" s="1650"/>
      <c r="E308" s="1650"/>
      <c r="F308" s="1650"/>
      <c r="G308" s="1650"/>
      <c r="H308" s="246"/>
      <c r="I308" s="850"/>
      <c r="J308" s="850"/>
      <c r="K308" s="850"/>
      <c r="L308" s="850"/>
      <c r="M308" s="246"/>
      <c r="N308" s="850"/>
      <c r="O308" s="850"/>
      <c r="P308" s="850"/>
      <c r="Q308" s="850"/>
      <c r="R308" s="246"/>
      <c r="S308" s="850"/>
      <c r="T308" s="850"/>
      <c r="U308" s="850"/>
      <c r="V308" s="850"/>
      <c r="W308" s="246"/>
      <c r="X308" s="850"/>
      <c r="Y308" s="850"/>
      <c r="Z308" s="850"/>
      <c r="AA308" s="850"/>
      <c r="AB308" s="246"/>
      <c r="AC308" s="850"/>
      <c r="AD308" s="850"/>
      <c r="AE308" s="850"/>
      <c r="AF308" s="850"/>
      <c r="AG308" s="246"/>
      <c r="AH308" s="850"/>
      <c r="AI308" s="850"/>
      <c r="AJ308" s="850"/>
      <c r="AK308" s="850"/>
      <c r="AL308" s="246"/>
      <c r="AM308" s="850"/>
      <c r="AN308" s="850"/>
      <c r="AO308" s="850"/>
      <c r="AP308" s="850"/>
      <c r="AQ308" s="246"/>
      <c r="AR308" s="850"/>
      <c r="AS308" s="850"/>
      <c r="AT308" s="850"/>
      <c r="AU308" s="850"/>
      <c r="AV308" s="246"/>
      <c r="AW308" s="850"/>
      <c r="AX308" s="850"/>
      <c r="AY308" s="850"/>
      <c r="AZ308" s="850"/>
      <c r="BA308" s="246"/>
      <c r="BB308" s="850"/>
      <c r="BC308" s="850"/>
      <c r="BD308" s="850"/>
      <c r="BE308" s="850"/>
      <c r="BF308" s="246"/>
      <c r="BG308" s="850"/>
      <c r="BH308" s="850"/>
      <c r="BI308" s="850"/>
      <c r="BJ308" s="850"/>
      <c r="BK308" s="246"/>
      <c r="BL308" s="850"/>
      <c r="BM308" s="850"/>
      <c r="BN308" s="850"/>
      <c r="BO308" s="1647"/>
      <c r="BP308" s="246"/>
      <c r="BQ308" s="850"/>
      <c r="BR308" s="850"/>
      <c r="BS308" s="850"/>
      <c r="BT308" s="850"/>
      <c r="BU308" s="246"/>
      <c r="BV308" s="850"/>
      <c r="BW308" s="850"/>
      <c r="BX308" s="850"/>
      <c r="BY308" s="850"/>
      <c r="BZ308" s="246"/>
      <c r="CA308" s="850"/>
      <c r="CB308" s="850"/>
      <c r="CC308" s="850"/>
      <c r="CD308" s="850"/>
      <c r="CE308" s="246"/>
      <c r="CF308" s="850"/>
      <c r="CG308" s="3008">
        <f t="shared" si="338"/>
        <v>0</v>
      </c>
      <c r="CH308" s="2349">
        <f t="shared" si="339"/>
        <v>0</v>
      </c>
      <c r="CI308" s="2349">
        <f t="shared" si="339"/>
        <v>0</v>
      </c>
      <c r="CJ308" s="236">
        <f t="shared" si="289"/>
        <v>0</v>
      </c>
      <c r="CK308" s="2350">
        <f t="shared" si="340"/>
        <v>0</v>
      </c>
      <c r="CL308" s="2350">
        <f t="shared" si="340"/>
        <v>0</v>
      </c>
      <c r="CM308" s="2350">
        <f t="shared" si="342"/>
        <v>0</v>
      </c>
      <c r="CN308" s="2350">
        <f t="shared" si="342"/>
        <v>0</v>
      </c>
      <c r="CO308" s="2289">
        <f t="shared" ref="CO308" si="347">CO32+CO171</f>
        <v>0</v>
      </c>
      <c r="CP308" s="2350"/>
      <c r="CQ308" s="2350"/>
      <c r="CR308" s="850"/>
      <c r="CS308" s="850"/>
      <c r="CT308" s="246"/>
      <c r="CU308" s="246"/>
      <c r="CV308" s="246"/>
    </row>
    <row r="309" spans="1:106" x14ac:dyDescent="0.2">
      <c r="A309" s="2434" t="s">
        <v>2464</v>
      </c>
      <c r="B309" s="1650"/>
      <c r="C309" s="1650"/>
      <c r="D309" s="1650"/>
      <c r="E309" s="1650"/>
      <c r="F309" s="1650"/>
      <c r="G309" s="1650"/>
      <c r="H309" s="246"/>
      <c r="I309" s="850"/>
      <c r="J309" s="850"/>
      <c r="K309" s="850"/>
      <c r="L309" s="850"/>
      <c r="M309" s="246"/>
      <c r="N309" s="850"/>
      <c r="O309" s="850"/>
      <c r="P309" s="850"/>
      <c r="Q309" s="850"/>
      <c r="R309" s="246"/>
      <c r="S309" s="850"/>
      <c r="T309" s="850"/>
      <c r="U309" s="850"/>
      <c r="V309" s="850"/>
      <c r="W309" s="246"/>
      <c r="X309" s="850"/>
      <c r="Y309" s="850"/>
      <c r="Z309" s="850"/>
      <c r="AA309" s="850"/>
      <c r="AB309" s="246"/>
      <c r="AC309" s="850"/>
      <c r="AD309" s="850"/>
      <c r="AE309" s="850"/>
      <c r="AF309" s="850"/>
      <c r="AG309" s="246"/>
      <c r="AH309" s="850"/>
      <c r="AI309" s="850"/>
      <c r="AJ309" s="850"/>
      <c r="AK309" s="850"/>
      <c r="AL309" s="246"/>
      <c r="AM309" s="850"/>
      <c r="AN309" s="850"/>
      <c r="AO309" s="850"/>
      <c r="AP309" s="850"/>
      <c r="AQ309" s="246"/>
      <c r="AR309" s="850"/>
      <c r="AS309" s="850"/>
      <c r="AT309" s="850"/>
      <c r="AU309" s="850"/>
      <c r="AV309" s="246"/>
      <c r="AW309" s="850"/>
      <c r="AX309" s="850"/>
      <c r="AY309" s="850"/>
      <c r="AZ309" s="850"/>
      <c r="BA309" s="246"/>
      <c r="BB309" s="850"/>
      <c r="BC309" s="850"/>
      <c r="BD309" s="850"/>
      <c r="BE309" s="850"/>
      <c r="BF309" s="246"/>
      <c r="BG309" s="850"/>
      <c r="BH309" s="850"/>
      <c r="BI309" s="850"/>
      <c r="BJ309" s="850"/>
      <c r="BK309" s="246"/>
      <c r="BL309" s="850"/>
      <c r="BM309" s="850"/>
      <c r="BN309" s="850"/>
      <c r="BO309" s="1647"/>
      <c r="BP309" s="246"/>
      <c r="BQ309" s="850"/>
      <c r="BR309" s="850"/>
      <c r="BS309" s="850"/>
      <c r="BT309" s="850"/>
      <c r="BU309" s="246"/>
      <c r="BV309" s="850"/>
      <c r="BW309" s="850"/>
      <c r="BX309" s="850"/>
      <c r="BY309" s="850"/>
      <c r="BZ309" s="246"/>
      <c r="CA309" s="850"/>
      <c r="CB309" s="850"/>
      <c r="CC309" s="850"/>
      <c r="CD309" s="850"/>
      <c r="CE309" s="246"/>
      <c r="CF309" s="850"/>
      <c r="CG309" s="3008">
        <f t="shared" si="338"/>
        <v>0</v>
      </c>
      <c r="CH309" s="2349">
        <f t="shared" si="339"/>
        <v>0</v>
      </c>
      <c r="CI309" s="2349">
        <f t="shared" si="339"/>
        <v>0</v>
      </c>
      <c r="CJ309" s="236">
        <f t="shared" si="289"/>
        <v>0</v>
      </c>
      <c r="CK309" s="2350">
        <f t="shared" si="340"/>
        <v>0</v>
      </c>
      <c r="CL309" s="2350">
        <f t="shared" si="340"/>
        <v>0</v>
      </c>
      <c r="CM309" s="2350">
        <f t="shared" si="342"/>
        <v>0</v>
      </c>
      <c r="CN309" s="2350">
        <f t="shared" si="342"/>
        <v>0</v>
      </c>
      <c r="CO309" s="2289">
        <f t="shared" ref="CO309" si="348">CO33+CO172</f>
        <v>0</v>
      </c>
      <c r="CP309" s="2350"/>
      <c r="CQ309" s="2350"/>
      <c r="CR309" s="850"/>
      <c r="CS309" s="850"/>
      <c r="CT309" s="246"/>
      <c r="CU309" s="246"/>
      <c r="CV309" s="246"/>
    </row>
    <row r="310" spans="1:106" x14ac:dyDescent="0.2">
      <c r="A310" s="2434" t="s">
        <v>2462</v>
      </c>
      <c r="B310" s="1650"/>
      <c r="C310" s="1650"/>
      <c r="D310" s="1650"/>
      <c r="E310" s="1650"/>
      <c r="F310" s="1650"/>
      <c r="G310" s="1650"/>
      <c r="H310" s="246"/>
      <c r="I310" s="850"/>
      <c r="J310" s="850"/>
      <c r="K310" s="850"/>
      <c r="L310" s="850"/>
      <c r="M310" s="246"/>
      <c r="N310" s="850"/>
      <c r="O310" s="850"/>
      <c r="P310" s="850"/>
      <c r="Q310" s="850"/>
      <c r="R310" s="246"/>
      <c r="S310" s="850"/>
      <c r="T310" s="850"/>
      <c r="U310" s="850"/>
      <c r="V310" s="850"/>
      <c r="W310" s="246"/>
      <c r="X310" s="850"/>
      <c r="Y310" s="850"/>
      <c r="Z310" s="850"/>
      <c r="AA310" s="850"/>
      <c r="AB310" s="246"/>
      <c r="AC310" s="850"/>
      <c r="AD310" s="850"/>
      <c r="AE310" s="850"/>
      <c r="AF310" s="850"/>
      <c r="AG310" s="246"/>
      <c r="AH310" s="850"/>
      <c r="AI310" s="850"/>
      <c r="AJ310" s="850"/>
      <c r="AK310" s="850"/>
      <c r="AL310" s="246"/>
      <c r="AM310" s="850"/>
      <c r="AN310" s="850"/>
      <c r="AO310" s="850"/>
      <c r="AP310" s="850"/>
      <c r="AQ310" s="246"/>
      <c r="AR310" s="850"/>
      <c r="AS310" s="850"/>
      <c r="AT310" s="850"/>
      <c r="AU310" s="850"/>
      <c r="AV310" s="246"/>
      <c r="AW310" s="850"/>
      <c r="AX310" s="850"/>
      <c r="AY310" s="850"/>
      <c r="AZ310" s="850"/>
      <c r="BA310" s="246"/>
      <c r="BB310" s="850"/>
      <c r="BC310" s="850"/>
      <c r="BD310" s="850"/>
      <c r="BE310" s="850"/>
      <c r="BF310" s="246"/>
      <c r="BG310" s="850"/>
      <c r="BH310" s="850"/>
      <c r="BI310" s="850"/>
      <c r="BJ310" s="850"/>
      <c r="BK310" s="246"/>
      <c r="BL310" s="850"/>
      <c r="BM310" s="850"/>
      <c r="BN310" s="850"/>
      <c r="BO310" s="1647"/>
      <c r="BP310" s="246"/>
      <c r="BQ310" s="850"/>
      <c r="BR310" s="850"/>
      <c r="BS310" s="850"/>
      <c r="BT310" s="850"/>
      <c r="BU310" s="246"/>
      <c r="BV310" s="850"/>
      <c r="BW310" s="850"/>
      <c r="BX310" s="850"/>
      <c r="BY310" s="850"/>
      <c r="BZ310" s="246"/>
      <c r="CA310" s="850"/>
      <c r="CB310" s="850"/>
      <c r="CC310" s="850"/>
      <c r="CD310" s="850"/>
      <c r="CE310" s="246"/>
      <c r="CF310" s="850"/>
      <c r="CG310" s="3008">
        <f t="shared" si="338"/>
        <v>0</v>
      </c>
      <c r="CH310" s="2349">
        <f t="shared" si="339"/>
        <v>0</v>
      </c>
      <c r="CI310" s="2349">
        <f t="shared" si="339"/>
        <v>0</v>
      </c>
      <c r="CJ310" s="236">
        <f t="shared" si="289"/>
        <v>0</v>
      </c>
      <c r="CK310" s="2350">
        <f t="shared" si="340"/>
        <v>0</v>
      </c>
      <c r="CL310" s="2350">
        <f t="shared" si="340"/>
        <v>0</v>
      </c>
      <c r="CM310" s="2350">
        <f t="shared" si="342"/>
        <v>0</v>
      </c>
      <c r="CN310" s="2350">
        <f t="shared" si="342"/>
        <v>0</v>
      </c>
      <c r="CO310" s="2289">
        <f t="shared" ref="CO310" si="349">CO34+CO173</f>
        <v>0</v>
      </c>
      <c r="CP310" s="2350"/>
      <c r="CQ310" s="2350"/>
      <c r="CR310" s="850"/>
      <c r="CS310" s="850"/>
      <c r="CT310" s="246"/>
      <c r="CU310" s="246"/>
      <c r="CV310" s="246"/>
    </row>
    <row r="311" spans="1:106" x14ac:dyDescent="0.2">
      <c r="A311" s="2434" t="s">
        <v>2463</v>
      </c>
      <c r="B311" s="1650"/>
      <c r="C311" s="1650"/>
      <c r="D311" s="1650"/>
      <c r="E311" s="1650"/>
      <c r="F311" s="1650"/>
      <c r="G311" s="1650"/>
      <c r="H311" s="246"/>
      <c r="I311" s="850"/>
      <c r="J311" s="850"/>
      <c r="K311" s="850"/>
      <c r="L311" s="850"/>
      <c r="M311" s="246"/>
      <c r="N311" s="850"/>
      <c r="O311" s="850"/>
      <c r="P311" s="850"/>
      <c r="Q311" s="850"/>
      <c r="R311" s="246"/>
      <c r="S311" s="850"/>
      <c r="T311" s="850"/>
      <c r="U311" s="850"/>
      <c r="V311" s="850"/>
      <c r="W311" s="246"/>
      <c r="X311" s="850"/>
      <c r="Y311" s="850"/>
      <c r="Z311" s="850"/>
      <c r="AA311" s="850"/>
      <c r="AB311" s="246"/>
      <c r="AC311" s="850"/>
      <c r="AD311" s="850"/>
      <c r="AE311" s="850"/>
      <c r="AF311" s="850"/>
      <c r="AG311" s="246"/>
      <c r="AH311" s="850"/>
      <c r="AI311" s="850"/>
      <c r="AJ311" s="850"/>
      <c r="AK311" s="850"/>
      <c r="AL311" s="246"/>
      <c r="AM311" s="850"/>
      <c r="AN311" s="850"/>
      <c r="AO311" s="850"/>
      <c r="AP311" s="850"/>
      <c r="AQ311" s="246"/>
      <c r="AR311" s="850"/>
      <c r="AS311" s="850"/>
      <c r="AT311" s="850"/>
      <c r="AU311" s="850"/>
      <c r="AV311" s="246"/>
      <c r="AW311" s="850"/>
      <c r="AX311" s="850"/>
      <c r="AY311" s="850"/>
      <c r="AZ311" s="850"/>
      <c r="BA311" s="246"/>
      <c r="BB311" s="850"/>
      <c r="BC311" s="850"/>
      <c r="BD311" s="850"/>
      <c r="BE311" s="850"/>
      <c r="BF311" s="246"/>
      <c r="BG311" s="850"/>
      <c r="BH311" s="850"/>
      <c r="BI311" s="850"/>
      <c r="BJ311" s="850"/>
      <c r="BK311" s="246"/>
      <c r="BL311" s="850"/>
      <c r="BM311" s="850"/>
      <c r="BN311" s="850"/>
      <c r="BO311" s="1647"/>
      <c r="BP311" s="246"/>
      <c r="BQ311" s="850"/>
      <c r="BR311" s="850"/>
      <c r="BS311" s="850"/>
      <c r="BT311" s="850"/>
      <c r="BU311" s="246"/>
      <c r="BV311" s="850"/>
      <c r="BW311" s="850"/>
      <c r="BX311" s="850"/>
      <c r="BY311" s="850"/>
      <c r="BZ311" s="246"/>
      <c r="CA311" s="850"/>
      <c r="CB311" s="850"/>
      <c r="CC311" s="850"/>
      <c r="CD311" s="850"/>
      <c r="CE311" s="246"/>
      <c r="CF311" s="850"/>
      <c r="CG311" s="3008">
        <f t="shared" si="338"/>
        <v>0</v>
      </c>
      <c r="CH311" s="2349">
        <f t="shared" si="339"/>
        <v>0</v>
      </c>
      <c r="CI311" s="2349">
        <f t="shared" si="339"/>
        <v>0</v>
      </c>
      <c r="CJ311" s="236">
        <f t="shared" si="289"/>
        <v>0</v>
      </c>
      <c r="CK311" s="2350">
        <f t="shared" si="340"/>
        <v>0</v>
      </c>
      <c r="CL311" s="2350">
        <f t="shared" si="340"/>
        <v>0</v>
      </c>
      <c r="CM311" s="2350">
        <f t="shared" si="342"/>
        <v>1</v>
      </c>
      <c r="CN311" s="2350">
        <f t="shared" si="342"/>
        <v>1</v>
      </c>
      <c r="CO311" s="2289">
        <f t="shared" ref="CO311" si="350">CO35+CO174</f>
        <v>1</v>
      </c>
      <c r="CP311" s="2350"/>
      <c r="CQ311" s="2350"/>
      <c r="CR311" s="850"/>
      <c r="CS311" s="850"/>
      <c r="CT311" s="246"/>
      <c r="CU311" s="246"/>
      <c r="CV311" s="246"/>
    </row>
    <row r="312" spans="1:106" x14ac:dyDescent="0.2">
      <c r="A312" s="2434" t="s">
        <v>1931</v>
      </c>
      <c r="B312" s="1650"/>
      <c r="C312" s="1650"/>
      <c r="D312" s="1650"/>
      <c r="E312" s="1650"/>
      <c r="F312" s="1650"/>
      <c r="G312" s="1650"/>
      <c r="H312" s="246"/>
      <c r="I312" s="850"/>
      <c r="J312" s="850"/>
      <c r="K312" s="850"/>
      <c r="L312" s="850"/>
      <c r="M312" s="246"/>
      <c r="N312" s="850"/>
      <c r="O312" s="850"/>
      <c r="P312" s="850"/>
      <c r="Q312" s="850"/>
      <c r="R312" s="246"/>
      <c r="S312" s="850"/>
      <c r="T312" s="850"/>
      <c r="U312" s="850"/>
      <c r="V312" s="850"/>
      <c r="W312" s="246"/>
      <c r="X312" s="850"/>
      <c r="Y312" s="850"/>
      <c r="Z312" s="850"/>
      <c r="AA312" s="850"/>
      <c r="AB312" s="246"/>
      <c r="AC312" s="850"/>
      <c r="AD312" s="850"/>
      <c r="AE312" s="850"/>
      <c r="AF312" s="850"/>
      <c r="AG312" s="246"/>
      <c r="AH312" s="850"/>
      <c r="AI312" s="850"/>
      <c r="AJ312" s="850"/>
      <c r="AK312" s="850"/>
      <c r="AL312" s="246"/>
      <c r="AM312" s="850"/>
      <c r="AN312" s="850"/>
      <c r="AO312" s="850"/>
      <c r="AP312" s="850"/>
      <c r="AQ312" s="246"/>
      <c r="AR312" s="850"/>
      <c r="AS312" s="850"/>
      <c r="AT312" s="850"/>
      <c r="AU312" s="850"/>
      <c r="AV312" s="246"/>
      <c r="AW312" s="850"/>
      <c r="AX312" s="850"/>
      <c r="AY312" s="850"/>
      <c r="AZ312" s="850"/>
      <c r="BA312" s="246"/>
      <c r="BB312" s="850"/>
      <c r="BC312" s="850"/>
      <c r="BD312" s="850"/>
      <c r="BE312" s="850"/>
      <c r="BF312" s="246"/>
      <c r="BG312" s="850"/>
      <c r="BH312" s="850"/>
      <c r="BI312" s="850"/>
      <c r="BJ312" s="850"/>
      <c r="BK312" s="246"/>
      <c r="BL312" s="850"/>
      <c r="BM312" s="850"/>
      <c r="BN312" s="850"/>
      <c r="BO312" s="1647"/>
      <c r="BP312" s="246"/>
      <c r="BQ312" s="850"/>
      <c r="BR312" s="850"/>
      <c r="BS312" s="850"/>
      <c r="BT312" s="850"/>
      <c r="BU312" s="246"/>
      <c r="BV312" s="850"/>
      <c r="BW312" s="850"/>
      <c r="BX312" s="850"/>
      <c r="BY312" s="850"/>
      <c r="BZ312" s="246"/>
      <c r="CA312" s="850"/>
      <c r="CB312" s="850"/>
      <c r="CC312" s="850"/>
      <c r="CD312" s="850"/>
      <c r="CE312" s="246"/>
      <c r="CF312" s="850"/>
      <c r="CG312" s="3008">
        <f t="shared" si="338"/>
        <v>0</v>
      </c>
      <c r="CH312" s="2349">
        <f t="shared" si="339"/>
        <v>1</v>
      </c>
      <c r="CI312" s="2349">
        <f t="shared" si="339"/>
        <v>1</v>
      </c>
      <c r="CJ312" s="236">
        <f t="shared" si="289"/>
        <v>1</v>
      </c>
      <c r="CK312" s="2350">
        <f t="shared" si="340"/>
        <v>1</v>
      </c>
      <c r="CL312" s="2350">
        <f t="shared" si="340"/>
        <v>1</v>
      </c>
      <c r="CM312" s="2350">
        <f>CM36+CM175</f>
        <v>0</v>
      </c>
      <c r="CN312" s="2350">
        <f>CN36+CN175</f>
        <v>0</v>
      </c>
      <c r="CO312" s="2289">
        <f>CO36+CO175</f>
        <v>0</v>
      </c>
      <c r="CP312" s="2350"/>
      <c r="CQ312" s="2350"/>
      <c r="CR312" s="850"/>
      <c r="CS312" s="850"/>
      <c r="CT312" s="246"/>
      <c r="CU312" s="246"/>
      <c r="CV312" s="246"/>
    </row>
    <row r="313" spans="1:106" ht="4.5" customHeight="1" x14ac:dyDescent="0.35">
      <c r="A313" s="1207"/>
      <c r="B313" s="212"/>
      <c r="C313" s="212"/>
      <c r="D313" s="212"/>
      <c r="E313" s="212"/>
      <c r="F313" s="212"/>
      <c r="G313" s="212"/>
      <c r="H313" s="194"/>
      <c r="I313" s="850" t="s">
        <v>2466</v>
      </c>
      <c r="J313" s="850" t="s">
        <v>2139</v>
      </c>
      <c r="K313" s="850" t="s">
        <v>2466</v>
      </c>
      <c r="L313" s="850" t="s">
        <v>2139</v>
      </c>
      <c r="M313" s="3009" t="s">
        <v>2378</v>
      </c>
      <c r="N313" s="850" t="s">
        <v>2466</v>
      </c>
      <c r="O313" s="850" t="s">
        <v>2139</v>
      </c>
      <c r="P313" s="850" t="s">
        <v>2466</v>
      </c>
      <c r="Q313" s="850" t="s">
        <v>2139</v>
      </c>
      <c r="R313" s="3009" t="s">
        <v>2378</v>
      </c>
      <c r="S313" s="850" t="s">
        <v>2466</v>
      </c>
      <c r="T313" s="850" t="s">
        <v>2139</v>
      </c>
      <c r="U313" s="850" t="s">
        <v>2466</v>
      </c>
      <c r="V313" s="850" t="s">
        <v>2139</v>
      </c>
      <c r="W313" s="3009" t="s">
        <v>2378</v>
      </c>
      <c r="X313" s="850" t="s">
        <v>2466</v>
      </c>
      <c r="Y313" s="850" t="s">
        <v>2139</v>
      </c>
      <c r="Z313" s="850" t="s">
        <v>2466</v>
      </c>
      <c r="AA313" s="850" t="s">
        <v>2139</v>
      </c>
      <c r="AB313" s="3009" t="s">
        <v>2378</v>
      </c>
      <c r="AC313" s="850" t="s">
        <v>2466</v>
      </c>
      <c r="AD313" s="850" t="s">
        <v>2139</v>
      </c>
      <c r="AE313" s="850" t="s">
        <v>2466</v>
      </c>
      <c r="AF313" s="850" t="s">
        <v>2139</v>
      </c>
      <c r="AG313" s="3009" t="s">
        <v>2378</v>
      </c>
      <c r="AH313" s="850" t="s">
        <v>2466</v>
      </c>
      <c r="AI313" s="850" t="s">
        <v>2139</v>
      </c>
      <c r="AJ313" s="850" t="s">
        <v>2466</v>
      </c>
      <c r="AK313" s="850" t="s">
        <v>2139</v>
      </c>
      <c r="AL313" s="3009" t="s">
        <v>2378</v>
      </c>
      <c r="AM313" s="850" t="s">
        <v>2466</v>
      </c>
      <c r="AN313" s="850" t="s">
        <v>2139</v>
      </c>
      <c r="AO313" s="850" t="s">
        <v>2466</v>
      </c>
      <c r="AP313" s="850" t="s">
        <v>2139</v>
      </c>
      <c r="AQ313" s="3009" t="s">
        <v>2378</v>
      </c>
      <c r="AR313" s="850" t="s">
        <v>2466</v>
      </c>
      <c r="AS313" s="850" t="s">
        <v>2139</v>
      </c>
      <c r="AT313" s="850" t="s">
        <v>2466</v>
      </c>
      <c r="AU313" s="850" t="s">
        <v>2139</v>
      </c>
      <c r="AV313" s="3009" t="s">
        <v>2378</v>
      </c>
      <c r="AW313" s="850" t="s">
        <v>2466</v>
      </c>
      <c r="AX313" s="850" t="s">
        <v>2139</v>
      </c>
      <c r="AY313" s="850" t="s">
        <v>2466</v>
      </c>
      <c r="AZ313" s="850" t="s">
        <v>2139</v>
      </c>
      <c r="BA313" s="3009" t="s">
        <v>2378</v>
      </c>
      <c r="BB313" s="850" t="s">
        <v>2466</v>
      </c>
      <c r="BC313" s="850" t="s">
        <v>2139</v>
      </c>
      <c r="BD313" s="850" t="s">
        <v>2466</v>
      </c>
      <c r="BE313" s="850" t="s">
        <v>2139</v>
      </c>
      <c r="BF313" s="3009" t="s">
        <v>2378</v>
      </c>
      <c r="BG313" s="3011" t="s">
        <v>2467</v>
      </c>
      <c r="BH313" s="3011" t="s">
        <v>2467</v>
      </c>
      <c r="BI313" s="3011" t="s">
        <v>2467</v>
      </c>
      <c r="BJ313" s="3011" t="s">
        <v>2467</v>
      </c>
      <c r="BK313" s="3009" t="s">
        <v>2139</v>
      </c>
      <c r="BL313" s="3011" t="s">
        <v>1191</v>
      </c>
      <c r="BM313" s="3011" t="s">
        <v>1191</v>
      </c>
      <c r="BN313" s="3011" t="s">
        <v>1191</v>
      </c>
      <c r="BO313" s="3011" t="s">
        <v>1191</v>
      </c>
      <c r="BP313" s="3009" t="s">
        <v>2139</v>
      </c>
      <c r="BQ313" s="3011" t="s">
        <v>2139</v>
      </c>
      <c r="BR313" s="3011" t="s">
        <v>2139</v>
      </c>
      <c r="BS313" s="3011" t="s">
        <v>2139</v>
      </c>
      <c r="BT313" s="3011" t="s">
        <v>2139</v>
      </c>
      <c r="BU313" s="3009" t="s">
        <v>2139</v>
      </c>
      <c r="BV313" s="3011" t="s">
        <v>2468</v>
      </c>
      <c r="BW313" s="3011" t="s">
        <v>2468</v>
      </c>
      <c r="BX313" s="3011" t="s">
        <v>2468</v>
      </c>
      <c r="BY313" s="3011" t="s">
        <v>2467</v>
      </c>
      <c r="BZ313" s="3009" t="s">
        <v>2378</v>
      </c>
      <c r="CA313" s="3011" t="s">
        <v>2466</v>
      </c>
      <c r="CB313" s="3011" t="s">
        <v>2466</v>
      </c>
      <c r="CC313" s="3011" t="s">
        <v>2466</v>
      </c>
      <c r="CD313" s="3011" t="s">
        <v>2378</v>
      </c>
      <c r="CE313" s="3009" t="s">
        <v>2139</v>
      </c>
      <c r="CF313" s="3011" t="s">
        <v>2466</v>
      </c>
      <c r="CG313" s="3011" t="s">
        <v>2378</v>
      </c>
      <c r="CH313" s="3011" t="s">
        <v>2378</v>
      </c>
      <c r="CI313" s="3011" t="s">
        <v>2378</v>
      </c>
      <c r="CJ313" s="3009" t="s">
        <v>2139</v>
      </c>
      <c r="CK313" s="3502" t="s">
        <v>2378</v>
      </c>
      <c r="CL313" s="3502" t="s">
        <v>2378</v>
      </c>
      <c r="CM313" s="3502" t="s">
        <v>2378</v>
      </c>
      <c r="CN313" s="3502" t="s">
        <v>2378</v>
      </c>
      <c r="CO313" s="3815" t="s">
        <v>2378</v>
      </c>
      <c r="CP313" s="3502"/>
      <c r="CQ313" s="3502"/>
      <c r="CR313" s="212"/>
      <c r="CS313" s="212"/>
      <c r="CT313" s="194"/>
      <c r="CU313" s="194"/>
      <c r="CV313" s="194"/>
    </row>
    <row r="314" spans="1:106" x14ac:dyDescent="0.2">
      <c r="A314" s="1437" t="s">
        <v>1735</v>
      </c>
      <c r="B314" s="651"/>
      <c r="C314" s="236"/>
      <c r="D314" s="234"/>
      <c r="E314" s="234"/>
      <c r="F314" s="234"/>
      <c r="G314" s="234"/>
      <c r="H314" s="843"/>
      <c r="I314" s="852">
        <f t="shared" ref="I314:AN314" si="351">SUM(I285:I300)</f>
        <v>69</v>
      </c>
      <c r="J314" s="852">
        <f t="shared" si="351"/>
        <v>62</v>
      </c>
      <c r="K314" s="852">
        <f t="shared" si="351"/>
        <v>59</v>
      </c>
      <c r="L314" s="852">
        <f t="shared" si="351"/>
        <v>61</v>
      </c>
      <c r="M314" s="843">
        <f t="shared" si="351"/>
        <v>61</v>
      </c>
      <c r="N314" s="852">
        <f t="shared" si="351"/>
        <v>57</v>
      </c>
      <c r="O314" s="852">
        <f t="shared" si="351"/>
        <v>58</v>
      </c>
      <c r="P314" s="852">
        <f t="shared" si="351"/>
        <v>56</v>
      </c>
      <c r="Q314" s="852">
        <f t="shared" si="351"/>
        <v>51</v>
      </c>
      <c r="R314" s="843">
        <f t="shared" si="351"/>
        <v>51</v>
      </c>
      <c r="S314" s="852">
        <f t="shared" si="351"/>
        <v>52</v>
      </c>
      <c r="T314" s="852">
        <f t="shared" si="351"/>
        <v>46</v>
      </c>
      <c r="U314" s="852">
        <f t="shared" si="351"/>
        <v>45</v>
      </c>
      <c r="V314" s="852">
        <f t="shared" si="351"/>
        <v>43</v>
      </c>
      <c r="W314" s="843">
        <f t="shared" si="351"/>
        <v>43</v>
      </c>
      <c r="X314" s="852">
        <f t="shared" si="351"/>
        <v>49</v>
      </c>
      <c r="Y314" s="852">
        <f t="shared" si="351"/>
        <v>43</v>
      </c>
      <c r="Z314" s="852">
        <f t="shared" si="351"/>
        <v>37</v>
      </c>
      <c r="AA314" s="852">
        <f t="shared" si="351"/>
        <v>33</v>
      </c>
      <c r="AB314" s="843">
        <f t="shared" si="351"/>
        <v>33</v>
      </c>
      <c r="AC314" s="852">
        <f t="shared" si="351"/>
        <v>32</v>
      </c>
      <c r="AD314" s="852">
        <f t="shared" si="351"/>
        <v>32</v>
      </c>
      <c r="AE314" s="852">
        <f t="shared" si="351"/>
        <v>45</v>
      </c>
      <c r="AF314" s="852">
        <f t="shared" si="351"/>
        <v>46</v>
      </c>
      <c r="AG314" s="843">
        <f t="shared" si="351"/>
        <v>45</v>
      </c>
      <c r="AH314" s="852">
        <f t="shared" si="351"/>
        <v>46</v>
      </c>
      <c r="AI314" s="852">
        <f t="shared" si="351"/>
        <v>39</v>
      </c>
      <c r="AJ314" s="852">
        <f t="shared" si="351"/>
        <v>37</v>
      </c>
      <c r="AK314" s="852">
        <f t="shared" si="351"/>
        <v>40</v>
      </c>
      <c r="AL314" s="843">
        <f t="shared" si="351"/>
        <v>40</v>
      </c>
      <c r="AM314" s="852">
        <f t="shared" si="351"/>
        <v>39</v>
      </c>
      <c r="AN314" s="852">
        <f t="shared" si="351"/>
        <v>41</v>
      </c>
      <c r="AO314" s="852">
        <f t="shared" ref="AO314:BT314" si="352">SUM(AO285:AO300)</f>
        <v>35</v>
      </c>
      <c r="AP314" s="852">
        <f t="shared" si="352"/>
        <v>34</v>
      </c>
      <c r="AQ314" s="843">
        <f t="shared" si="352"/>
        <v>34</v>
      </c>
      <c r="AR314" s="852">
        <f t="shared" si="352"/>
        <v>35</v>
      </c>
      <c r="AS314" s="852">
        <f t="shared" si="352"/>
        <v>36</v>
      </c>
      <c r="AT314" s="852">
        <f t="shared" si="352"/>
        <v>36</v>
      </c>
      <c r="AU314" s="852">
        <f t="shared" si="352"/>
        <v>37</v>
      </c>
      <c r="AV314" s="843">
        <f t="shared" si="352"/>
        <v>37</v>
      </c>
      <c r="AW314" s="852">
        <f t="shared" si="352"/>
        <v>37</v>
      </c>
      <c r="AX314" s="852">
        <f t="shared" si="352"/>
        <v>39</v>
      </c>
      <c r="AY314" s="852">
        <f t="shared" si="352"/>
        <v>39</v>
      </c>
      <c r="AZ314" s="852">
        <f t="shared" si="352"/>
        <v>39</v>
      </c>
      <c r="BA314" s="843">
        <f t="shared" si="352"/>
        <v>39</v>
      </c>
      <c r="BB314" s="852">
        <f t="shared" si="352"/>
        <v>41</v>
      </c>
      <c r="BC314" s="852">
        <f t="shared" si="352"/>
        <v>40</v>
      </c>
      <c r="BD314" s="852">
        <f t="shared" si="352"/>
        <v>40</v>
      </c>
      <c r="BE314" s="852">
        <f t="shared" si="352"/>
        <v>46</v>
      </c>
      <c r="BF314" s="843">
        <f t="shared" si="352"/>
        <v>46</v>
      </c>
      <c r="BG314" s="852">
        <f t="shared" si="352"/>
        <v>48</v>
      </c>
      <c r="BH314" s="852">
        <f t="shared" si="352"/>
        <v>47</v>
      </c>
      <c r="BI314" s="852">
        <f t="shared" si="352"/>
        <v>47</v>
      </c>
      <c r="BJ314" s="852">
        <f t="shared" si="352"/>
        <v>46</v>
      </c>
      <c r="BK314" s="843">
        <f t="shared" si="352"/>
        <v>46</v>
      </c>
      <c r="BL314" s="852">
        <f t="shared" si="352"/>
        <v>46</v>
      </c>
      <c r="BM314" s="852">
        <f t="shared" si="352"/>
        <v>44</v>
      </c>
      <c r="BN314" s="852">
        <f t="shared" si="352"/>
        <v>43</v>
      </c>
      <c r="BO314" s="1646">
        <f t="shared" si="352"/>
        <v>41</v>
      </c>
      <c r="BP314" s="843">
        <f t="shared" si="352"/>
        <v>41</v>
      </c>
      <c r="BQ314" s="852">
        <f t="shared" si="352"/>
        <v>41</v>
      </c>
      <c r="BR314" s="852">
        <f t="shared" si="352"/>
        <v>39</v>
      </c>
      <c r="BS314" s="852">
        <f t="shared" si="352"/>
        <v>40</v>
      </c>
      <c r="BT314" s="852">
        <f t="shared" si="352"/>
        <v>40</v>
      </c>
      <c r="BU314" s="843">
        <f t="shared" ref="BU314:CF314" si="353">SUM(BU285:BU300)</f>
        <v>40</v>
      </c>
      <c r="BV314" s="852">
        <f t="shared" si="353"/>
        <v>39</v>
      </c>
      <c r="BW314" s="852">
        <f t="shared" si="353"/>
        <v>48</v>
      </c>
      <c r="BX314" s="852">
        <f t="shared" si="353"/>
        <v>46</v>
      </c>
      <c r="BY314" s="852">
        <f t="shared" si="353"/>
        <v>47</v>
      </c>
      <c r="BZ314" s="843">
        <f t="shared" si="353"/>
        <v>47</v>
      </c>
      <c r="CA314" s="852">
        <f t="shared" si="353"/>
        <v>45</v>
      </c>
      <c r="CB314" s="852">
        <f t="shared" si="353"/>
        <v>45</v>
      </c>
      <c r="CC314" s="852">
        <f t="shared" si="353"/>
        <v>44</v>
      </c>
      <c r="CD314" s="852">
        <f t="shared" si="353"/>
        <v>43</v>
      </c>
      <c r="CE314" s="843">
        <f t="shared" si="353"/>
        <v>43</v>
      </c>
      <c r="CF314" s="852">
        <f t="shared" si="353"/>
        <v>43</v>
      </c>
      <c r="CG314" s="852">
        <f>SUM(CG285:CG300)</f>
        <v>43</v>
      </c>
      <c r="CH314" s="852">
        <f>SUM(CH284:CH300)</f>
        <v>49</v>
      </c>
      <c r="CI314">
        <f t="shared" ref="CI314:CO314" si="354">SUM(CI284:CI312)</f>
        <v>70</v>
      </c>
      <c r="CJ314" s="843">
        <f t="shared" si="354"/>
        <v>70</v>
      </c>
      <c r="CK314" s="854">
        <f t="shared" si="354"/>
        <v>70</v>
      </c>
      <c r="CL314" s="854">
        <f t="shared" si="354"/>
        <v>68</v>
      </c>
      <c r="CM314" s="854">
        <f t="shared" si="354"/>
        <v>68</v>
      </c>
      <c r="CN314" s="854">
        <f t="shared" si="354"/>
        <v>67</v>
      </c>
      <c r="CO314" s="851">
        <f t="shared" si="354"/>
        <v>67</v>
      </c>
      <c r="CP314" s="854"/>
      <c r="CQ314" s="854"/>
      <c r="CR314" s="852"/>
      <c r="CS314" s="852"/>
      <c r="CT314" s="843">
        <f>SUM(CT285:CT300)</f>
        <v>0</v>
      </c>
      <c r="CU314" s="843">
        <f>SUM(CU285:CU300)</f>
        <v>0</v>
      </c>
      <c r="CV314" s="843">
        <f>SUM(CV285:CV300)</f>
        <v>0</v>
      </c>
      <c r="DB314" s="217"/>
    </row>
    <row r="315" spans="1:106" x14ac:dyDescent="0.2">
      <c r="A315" s="1434"/>
      <c r="B315" s="651"/>
      <c r="C315" s="236"/>
      <c r="D315" s="234"/>
      <c r="E315" s="234"/>
      <c r="F315" s="234"/>
      <c r="G315" s="234"/>
      <c r="H315" s="236"/>
      <c r="I315" s="847"/>
      <c r="J315" s="234"/>
      <c r="K315" s="234"/>
      <c r="L315" s="234"/>
      <c r="M315" s="236"/>
      <c r="N315" s="234"/>
      <c r="O315" s="234"/>
      <c r="P315" s="234"/>
      <c r="Q315" s="234"/>
      <c r="R315" s="236"/>
      <c r="S315" s="234"/>
      <c r="T315" s="234"/>
      <c r="U315" s="234"/>
      <c r="V315" s="234"/>
      <c r="W315" s="236"/>
      <c r="X315" s="234"/>
      <c r="Y315" s="234"/>
      <c r="Z315" s="234"/>
      <c r="AA315" s="234"/>
      <c r="AB315" s="236"/>
      <c r="AC315" s="234"/>
      <c r="AD315" s="234"/>
      <c r="AE315" s="234"/>
      <c r="AF315" s="234"/>
      <c r="AG315" s="236"/>
      <c r="AH315" s="234"/>
      <c r="AI315" s="234"/>
      <c r="AJ315" s="234"/>
      <c r="AK315" s="234"/>
      <c r="AL315" s="236"/>
      <c r="AM315" s="234"/>
      <c r="AN315" s="234"/>
      <c r="AO315" s="234"/>
      <c r="AP315" s="234"/>
      <c r="AQ315" s="236"/>
      <c r="AR315" s="234"/>
      <c r="AS315" s="234"/>
      <c r="AT315" s="234"/>
      <c r="AU315" s="234"/>
      <c r="AV315" s="236"/>
      <c r="AW315" s="234"/>
      <c r="AX315" s="234"/>
      <c r="AY315" s="234"/>
      <c r="AZ315" s="234"/>
      <c r="BA315" s="236"/>
      <c r="BB315" s="234"/>
      <c r="BC315" s="234"/>
      <c r="BD315" s="234"/>
      <c r="BE315" s="234"/>
      <c r="BF315" s="236"/>
      <c r="BG315" s="234"/>
      <c r="BH315" s="234"/>
      <c r="BI315" s="234"/>
      <c r="BJ315" s="234"/>
      <c r="BK315" s="236"/>
      <c r="BL315" s="212"/>
      <c r="BM315" s="212"/>
      <c r="BN315" s="212"/>
      <c r="BO315" s="208"/>
      <c r="BP315" s="236"/>
      <c r="BQ315" s="212"/>
      <c r="BR315" s="212"/>
      <c r="BS315" s="212"/>
      <c r="BT315" s="212"/>
      <c r="BU315" s="236"/>
      <c r="BV315" s="212"/>
      <c r="BW315" s="212"/>
      <c r="BX315" s="212"/>
      <c r="BY315" s="212"/>
      <c r="BZ315" s="236"/>
      <c r="CA315" s="212"/>
      <c r="CB315" s="212"/>
      <c r="CC315" s="212"/>
      <c r="CD315" s="212"/>
      <c r="CE315" s="236"/>
      <c r="CF315" s="212"/>
      <c r="CG315" s="212"/>
      <c r="CH315" s="212"/>
      <c r="CI315" s="212"/>
      <c r="CJ315" s="236"/>
      <c r="CK315" s="2907"/>
      <c r="CL315" s="212"/>
      <c r="CM315" s="212"/>
      <c r="CN315" s="212"/>
      <c r="CO315" s="236"/>
      <c r="CP315" s="2907"/>
      <c r="CQ315" s="212"/>
      <c r="CR315" s="212"/>
      <c r="CS315" s="212"/>
      <c r="CT315" s="236"/>
      <c r="CU315" s="236"/>
      <c r="CV315" s="236"/>
    </row>
    <row r="316" spans="1:106" x14ac:dyDescent="0.2">
      <c r="A316" s="1435" t="s">
        <v>9</v>
      </c>
      <c r="B316" s="651"/>
      <c r="C316" s="236"/>
      <c r="D316" s="234"/>
      <c r="E316" s="234"/>
      <c r="F316" s="234"/>
      <c r="G316" s="234"/>
      <c r="H316" s="236"/>
      <c r="I316" s="847"/>
      <c r="J316" s="234"/>
      <c r="K316" s="234"/>
      <c r="L316" s="234"/>
      <c r="M316" s="236"/>
      <c r="N316" s="234"/>
      <c r="O316" s="234"/>
      <c r="P316" s="234"/>
      <c r="Q316" s="234"/>
      <c r="R316" s="236"/>
      <c r="S316" s="234"/>
      <c r="T316" s="234"/>
      <c r="U316" s="234"/>
      <c r="V316" s="234"/>
      <c r="W316" s="236"/>
      <c r="X316" s="234"/>
      <c r="Y316" s="234"/>
      <c r="Z316" s="234"/>
      <c r="AA316" s="234"/>
      <c r="AB316" s="236"/>
      <c r="AC316" s="234"/>
      <c r="AD316" s="234"/>
      <c r="AE316" s="234"/>
      <c r="AF316" s="234"/>
      <c r="AG316" s="236"/>
      <c r="AH316" s="234"/>
      <c r="AI316" s="234"/>
      <c r="AJ316" s="234"/>
      <c r="AK316" s="234"/>
      <c r="AL316" s="236"/>
      <c r="AM316" s="234"/>
      <c r="AN316" s="234"/>
      <c r="AO316" s="234"/>
      <c r="AP316" s="234"/>
      <c r="AQ316" s="236"/>
      <c r="AR316" s="234"/>
      <c r="AS316" s="234"/>
      <c r="AT316" s="234"/>
      <c r="AU316" s="234"/>
      <c r="AV316" s="236"/>
      <c r="AW316" s="234"/>
      <c r="AX316" s="234"/>
      <c r="AY316" s="234"/>
      <c r="AZ316" s="234"/>
      <c r="BA316" s="236"/>
      <c r="BB316" s="234"/>
      <c r="BC316" s="234"/>
      <c r="BD316" s="234"/>
      <c r="BE316" s="234"/>
      <c r="BF316" s="236"/>
      <c r="BG316" s="234"/>
      <c r="BH316" s="234"/>
      <c r="BI316" s="234"/>
      <c r="BJ316" s="234"/>
      <c r="BK316" s="236"/>
      <c r="BL316" s="212"/>
      <c r="BM316" s="212"/>
      <c r="BN316" s="212"/>
      <c r="BO316" s="208"/>
      <c r="BP316" s="236"/>
      <c r="BQ316" s="212"/>
      <c r="BR316" s="212"/>
      <c r="BS316" s="212"/>
      <c r="BT316" s="212"/>
      <c r="BU316" s="236"/>
      <c r="BV316" s="212"/>
      <c r="BW316" s="212"/>
      <c r="BX316" s="212"/>
      <c r="BY316" s="212"/>
      <c r="BZ316" s="236"/>
      <c r="CA316" s="212"/>
      <c r="CB316" s="212"/>
      <c r="CC316" s="212"/>
      <c r="CD316" s="212"/>
      <c r="CE316" s="236"/>
      <c r="CF316" s="212"/>
      <c r="CG316" s="212"/>
      <c r="CH316" s="212"/>
      <c r="CI316" s="212"/>
      <c r="CJ316" s="236"/>
      <c r="CK316" s="3509"/>
      <c r="CL316" s="212"/>
      <c r="CM316" s="212"/>
      <c r="CN316" s="212"/>
      <c r="CO316" s="236"/>
      <c r="CP316" s="3509"/>
      <c r="CQ316" s="212"/>
      <c r="CR316" s="212"/>
      <c r="CS316" s="212"/>
      <c r="CT316" s="236"/>
      <c r="CU316" s="236"/>
      <c r="CV316" s="236"/>
    </row>
    <row r="317" spans="1:106" x14ac:dyDescent="0.2">
      <c r="A317" s="2308" t="s">
        <v>456</v>
      </c>
      <c r="B317" s="651"/>
      <c r="C317" s="236"/>
      <c r="D317" s="234"/>
      <c r="E317" s="234"/>
      <c r="F317" s="234"/>
      <c r="G317" s="234"/>
      <c r="H317" s="236"/>
      <c r="I317" s="847"/>
      <c r="J317" s="234"/>
      <c r="K317" s="234"/>
      <c r="L317" s="234"/>
      <c r="M317" s="236"/>
      <c r="N317" s="234"/>
      <c r="O317" s="234"/>
      <c r="P317" s="234"/>
      <c r="Q317" s="234"/>
      <c r="R317" s="236"/>
      <c r="S317" s="234"/>
      <c r="T317" s="234"/>
      <c r="U317" s="234"/>
      <c r="V317" s="234"/>
      <c r="W317" s="236"/>
      <c r="X317" s="234"/>
      <c r="Y317" s="234"/>
      <c r="Z317" s="234"/>
      <c r="AA317" s="234"/>
      <c r="AB317" s="236"/>
      <c r="AC317" s="234"/>
      <c r="AD317" s="234"/>
      <c r="AE317" s="234"/>
      <c r="AF317" s="234"/>
      <c r="AG317" s="236"/>
      <c r="AH317" s="234"/>
      <c r="AI317" s="234"/>
      <c r="AJ317" s="234"/>
      <c r="AK317" s="234"/>
      <c r="AL317" s="236"/>
      <c r="AM317" s="234"/>
      <c r="AN317" s="234"/>
      <c r="AO317" s="234"/>
      <c r="AP317" s="234"/>
      <c r="AQ317" s="236"/>
      <c r="AR317" s="234"/>
      <c r="AS317" s="234"/>
      <c r="AT317" s="234"/>
      <c r="AU317" s="234"/>
      <c r="AV317" s="236"/>
      <c r="AW317" s="234"/>
      <c r="AX317" s="234"/>
      <c r="AY317" s="234"/>
      <c r="AZ317" s="234"/>
      <c r="BA317" s="236"/>
      <c r="BB317" s="234"/>
      <c r="BC317" s="234"/>
      <c r="BD317" s="234"/>
      <c r="BE317" s="234"/>
      <c r="BF317" s="236"/>
      <c r="BG317" s="234"/>
      <c r="BH317" s="234"/>
      <c r="BI317" s="234"/>
      <c r="BJ317" s="234"/>
      <c r="BK317" s="236"/>
      <c r="BL317" s="212"/>
      <c r="BM317" s="212"/>
      <c r="BN317" s="212"/>
      <c r="BO317" s="208"/>
      <c r="BP317" s="236"/>
      <c r="BQ317" s="212"/>
      <c r="BR317" s="212"/>
      <c r="BS317" s="212"/>
      <c r="BT317" s="212"/>
      <c r="BU317" s="236"/>
      <c r="BV317" s="212"/>
      <c r="BW317" s="212"/>
      <c r="BX317" s="212"/>
      <c r="BY317" s="212"/>
      <c r="BZ317" s="236"/>
      <c r="CA317" s="212"/>
      <c r="CB317" s="212"/>
      <c r="CC317" s="212"/>
      <c r="CD317" s="212"/>
      <c r="CE317" s="236"/>
      <c r="CF317" s="212"/>
      <c r="CG317" s="212"/>
      <c r="CH317" s="847">
        <f>CH41+CH180</f>
        <v>60</v>
      </c>
      <c r="CI317" s="847">
        <f>CI41+CI180</f>
        <v>62</v>
      </c>
      <c r="CJ317" s="236">
        <f>+CI317</f>
        <v>62</v>
      </c>
      <c r="CK317" s="3510">
        <f t="shared" ref="CK317:CM318" si="355">CK41+CK180</f>
        <v>62</v>
      </c>
      <c r="CL317" s="2350">
        <f t="shared" si="355"/>
        <v>62</v>
      </c>
      <c r="CM317" s="2350">
        <f t="shared" si="355"/>
        <v>62</v>
      </c>
      <c r="CN317" s="2350">
        <f t="shared" ref="CN317:CO317" si="356">CN41+CN180</f>
        <v>64</v>
      </c>
      <c r="CO317" s="2289">
        <f t="shared" si="356"/>
        <v>64</v>
      </c>
      <c r="CP317" s="3510"/>
      <c r="CQ317" s="2350"/>
      <c r="CR317" s="212"/>
      <c r="CS317" s="212"/>
      <c r="CT317" s="236"/>
      <c r="CU317" s="236"/>
      <c r="CV317" s="236"/>
    </row>
    <row r="318" spans="1:106" x14ac:dyDescent="0.2">
      <c r="A318" s="1434" t="s">
        <v>346</v>
      </c>
      <c r="B318" s="651"/>
      <c r="C318" s="236"/>
      <c r="D318" s="234"/>
      <c r="E318" s="234"/>
      <c r="F318" s="234"/>
      <c r="G318" s="234"/>
      <c r="H318" s="661"/>
      <c r="I318" s="847">
        <f t="shared" ref="I318:AN318" si="357">I42+I181</f>
        <v>230</v>
      </c>
      <c r="J318" s="847">
        <f t="shared" si="357"/>
        <v>234</v>
      </c>
      <c r="K318" s="847">
        <f t="shared" si="357"/>
        <v>236</v>
      </c>
      <c r="L318" s="847">
        <f t="shared" si="357"/>
        <v>235</v>
      </c>
      <c r="M318" s="661">
        <f t="shared" si="357"/>
        <v>235</v>
      </c>
      <c r="N318" s="847">
        <f t="shared" si="357"/>
        <v>237</v>
      </c>
      <c r="O318" s="847">
        <f t="shared" si="357"/>
        <v>242</v>
      </c>
      <c r="P318" s="847">
        <f t="shared" si="357"/>
        <v>245</v>
      </c>
      <c r="Q318" s="847">
        <f t="shared" si="357"/>
        <v>254</v>
      </c>
      <c r="R318" s="661">
        <f t="shared" si="357"/>
        <v>254</v>
      </c>
      <c r="S318" s="847">
        <f t="shared" si="357"/>
        <v>257</v>
      </c>
      <c r="T318" s="847">
        <f t="shared" si="357"/>
        <v>260</v>
      </c>
      <c r="U318" s="847">
        <f t="shared" si="357"/>
        <v>262</v>
      </c>
      <c r="V318" s="847">
        <f t="shared" si="357"/>
        <v>261</v>
      </c>
      <c r="W318" s="661">
        <f t="shared" si="357"/>
        <v>261</v>
      </c>
      <c r="X318" s="847">
        <f t="shared" si="357"/>
        <v>255</v>
      </c>
      <c r="Y318" s="847">
        <f t="shared" si="357"/>
        <v>259</v>
      </c>
      <c r="Z318" s="847">
        <f t="shared" si="357"/>
        <v>261</v>
      </c>
      <c r="AA318" s="847">
        <f t="shared" si="357"/>
        <v>262</v>
      </c>
      <c r="AB318" s="661">
        <f t="shared" si="357"/>
        <v>262</v>
      </c>
      <c r="AC318" s="847">
        <f t="shared" si="357"/>
        <v>259</v>
      </c>
      <c r="AD318" s="847">
        <f t="shared" si="357"/>
        <v>304</v>
      </c>
      <c r="AE318" s="847">
        <f t="shared" si="357"/>
        <v>303</v>
      </c>
      <c r="AF318" s="847">
        <f t="shared" si="357"/>
        <v>303</v>
      </c>
      <c r="AG318" s="661">
        <f t="shared" si="357"/>
        <v>303</v>
      </c>
      <c r="AH318" s="847">
        <f t="shared" si="357"/>
        <v>303</v>
      </c>
      <c r="AI318" s="847">
        <f t="shared" si="357"/>
        <v>308</v>
      </c>
      <c r="AJ318" s="847">
        <f t="shared" si="357"/>
        <v>308</v>
      </c>
      <c r="AK318" s="847">
        <f t="shared" si="357"/>
        <v>306</v>
      </c>
      <c r="AL318" s="661">
        <f t="shared" si="357"/>
        <v>306</v>
      </c>
      <c r="AM318" s="847">
        <f t="shared" si="357"/>
        <v>304</v>
      </c>
      <c r="AN318" s="847">
        <f t="shared" si="357"/>
        <v>305</v>
      </c>
      <c r="AO318" s="847">
        <f t="shared" ref="AO318:BT318" si="358">AO42+AO181</f>
        <v>305</v>
      </c>
      <c r="AP318" s="847">
        <f t="shared" si="358"/>
        <v>305</v>
      </c>
      <c r="AQ318" s="661">
        <f t="shared" si="358"/>
        <v>305</v>
      </c>
      <c r="AR318" s="847">
        <f t="shared" si="358"/>
        <v>305</v>
      </c>
      <c r="AS318" s="847">
        <f t="shared" si="358"/>
        <v>304</v>
      </c>
      <c r="AT318" s="847">
        <f t="shared" si="358"/>
        <v>303</v>
      </c>
      <c r="AU318" s="847">
        <f t="shared" si="358"/>
        <v>305</v>
      </c>
      <c r="AV318" s="661">
        <f t="shared" si="358"/>
        <v>305</v>
      </c>
      <c r="AW318" s="847">
        <f t="shared" si="358"/>
        <v>307</v>
      </c>
      <c r="AX318" s="847">
        <f t="shared" si="358"/>
        <v>308</v>
      </c>
      <c r="AY318" s="847">
        <f t="shared" si="358"/>
        <v>306</v>
      </c>
      <c r="AZ318" s="847">
        <f t="shared" si="358"/>
        <v>311</v>
      </c>
      <c r="BA318" s="661">
        <f t="shared" si="358"/>
        <v>311</v>
      </c>
      <c r="BB318" s="847">
        <f t="shared" si="358"/>
        <v>312</v>
      </c>
      <c r="BC318" s="847">
        <f t="shared" si="358"/>
        <v>311</v>
      </c>
      <c r="BD318" s="847">
        <f t="shared" si="358"/>
        <v>311</v>
      </c>
      <c r="BE318" s="847">
        <f t="shared" si="358"/>
        <v>315</v>
      </c>
      <c r="BF318" s="661">
        <f t="shared" si="358"/>
        <v>315</v>
      </c>
      <c r="BG318" s="847">
        <f t="shared" si="358"/>
        <v>315</v>
      </c>
      <c r="BH318" s="847">
        <f t="shared" si="358"/>
        <v>318</v>
      </c>
      <c r="BI318" s="847">
        <f t="shared" si="358"/>
        <v>317</v>
      </c>
      <c r="BJ318" s="847">
        <f t="shared" si="358"/>
        <v>315</v>
      </c>
      <c r="BK318" s="661">
        <f t="shared" si="358"/>
        <v>315</v>
      </c>
      <c r="BL318" s="847">
        <f t="shared" si="358"/>
        <v>315</v>
      </c>
      <c r="BM318" s="847">
        <f t="shared" si="358"/>
        <v>315</v>
      </c>
      <c r="BN318" s="847">
        <f t="shared" si="358"/>
        <v>314</v>
      </c>
      <c r="BO318" s="1431">
        <f t="shared" si="358"/>
        <v>319</v>
      </c>
      <c r="BP318" s="661">
        <f t="shared" si="358"/>
        <v>319</v>
      </c>
      <c r="BQ318" s="847">
        <f t="shared" si="358"/>
        <v>323</v>
      </c>
      <c r="BR318" s="847">
        <f t="shared" si="358"/>
        <v>321</v>
      </c>
      <c r="BS318" s="847">
        <f t="shared" si="358"/>
        <v>322</v>
      </c>
      <c r="BT318" s="847">
        <f t="shared" si="358"/>
        <v>320</v>
      </c>
      <c r="BU318" s="661">
        <f t="shared" ref="BU318:CG318" si="359">BU42+BU181</f>
        <v>320</v>
      </c>
      <c r="BV318" s="847">
        <f t="shared" si="359"/>
        <v>323</v>
      </c>
      <c r="BW318" s="847">
        <f t="shared" si="359"/>
        <v>325</v>
      </c>
      <c r="BX318" s="847">
        <f t="shared" si="359"/>
        <v>325</v>
      </c>
      <c r="BY318" s="847">
        <f t="shared" si="359"/>
        <v>330</v>
      </c>
      <c r="BZ318" s="661">
        <f t="shared" si="359"/>
        <v>330</v>
      </c>
      <c r="CA318" s="847">
        <f t="shared" si="359"/>
        <v>332</v>
      </c>
      <c r="CB318" s="847">
        <f t="shared" si="359"/>
        <v>337</v>
      </c>
      <c r="CC318" s="847">
        <f t="shared" si="359"/>
        <v>340</v>
      </c>
      <c r="CD318" s="847">
        <f t="shared" si="359"/>
        <v>341</v>
      </c>
      <c r="CE318" s="661">
        <f t="shared" si="359"/>
        <v>341</v>
      </c>
      <c r="CF318" s="847">
        <f t="shared" si="359"/>
        <v>340</v>
      </c>
      <c r="CG318" s="847">
        <f t="shared" si="359"/>
        <v>339</v>
      </c>
      <c r="CH318" s="847">
        <f>CH42+CH181</f>
        <v>280</v>
      </c>
      <c r="CI318" s="847">
        <f>CI42+CI181</f>
        <v>285</v>
      </c>
      <c r="CJ318" s="236">
        <f t="shared" ref="CJ318:CJ347" si="360">+CI318</f>
        <v>285</v>
      </c>
      <c r="CK318" s="3510">
        <f t="shared" si="355"/>
        <v>286</v>
      </c>
      <c r="CL318" s="847">
        <f t="shared" si="355"/>
        <v>288</v>
      </c>
      <c r="CM318" s="847">
        <f t="shared" si="355"/>
        <v>290</v>
      </c>
      <c r="CN318" s="847">
        <f t="shared" ref="CN318:CO318" si="361">CN42+CN181</f>
        <v>295</v>
      </c>
      <c r="CO318" s="661">
        <f t="shared" si="361"/>
        <v>295</v>
      </c>
      <c r="CP318" s="3510"/>
      <c r="CQ318" s="847"/>
      <c r="CR318" s="847"/>
      <c r="CS318" s="847"/>
      <c r="CT318" s="661">
        <f>CT42+CT181</f>
        <v>0</v>
      </c>
      <c r="CU318" s="661">
        <f>CU42+CU181</f>
        <v>0</v>
      </c>
      <c r="CV318" s="661">
        <f>CV42+CV181</f>
        <v>0</v>
      </c>
      <c r="DB318" s="217"/>
    </row>
    <row r="319" spans="1:106" x14ac:dyDescent="0.2">
      <c r="A319" s="1434" t="s">
        <v>1385</v>
      </c>
      <c r="B319" s="651"/>
      <c r="C319" s="236"/>
      <c r="D319" s="234"/>
      <c r="E319" s="234"/>
      <c r="F319" s="234"/>
      <c r="G319" s="234"/>
      <c r="H319" s="661"/>
      <c r="I319" s="847">
        <f t="shared" ref="I319:AN319" si="362">I43+I182</f>
        <v>81</v>
      </c>
      <c r="J319" s="847">
        <f t="shared" si="362"/>
        <v>81</v>
      </c>
      <c r="K319" s="847">
        <f t="shared" si="362"/>
        <v>82</v>
      </c>
      <c r="L319" s="847">
        <f t="shared" si="362"/>
        <v>85</v>
      </c>
      <c r="M319" s="661">
        <f t="shared" si="362"/>
        <v>85</v>
      </c>
      <c r="N319" s="847">
        <f t="shared" si="362"/>
        <v>86</v>
      </c>
      <c r="O319" s="847">
        <f t="shared" si="362"/>
        <v>86</v>
      </c>
      <c r="P319" s="847">
        <f t="shared" si="362"/>
        <v>85</v>
      </c>
      <c r="Q319" s="847">
        <f t="shared" si="362"/>
        <v>84</v>
      </c>
      <c r="R319" s="661">
        <f t="shared" si="362"/>
        <v>84</v>
      </c>
      <c r="S319" s="847">
        <f t="shared" si="362"/>
        <v>85</v>
      </c>
      <c r="T319" s="847">
        <f t="shared" si="362"/>
        <v>84</v>
      </c>
      <c r="U319" s="847">
        <f t="shared" si="362"/>
        <v>84</v>
      </c>
      <c r="V319" s="847">
        <f t="shared" si="362"/>
        <v>84</v>
      </c>
      <c r="W319" s="661">
        <f t="shared" si="362"/>
        <v>84</v>
      </c>
      <c r="X319" s="847">
        <f t="shared" si="362"/>
        <v>84</v>
      </c>
      <c r="Y319" s="847">
        <f t="shared" si="362"/>
        <v>85</v>
      </c>
      <c r="Z319" s="847">
        <f t="shared" si="362"/>
        <v>87</v>
      </c>
      <c r="AA319" s="847">
        <f t="shared" si="362"/>
        <v>87</v>
      </c>
      <c r="AB319" s="661">
        <f t="shared" si="362"/>
        <v>87</v>
      </c>
      <c r="AC319" s="847">
        <f t="shared" si="362"/>
        <v>88</v>
      </c>
      <c r="AD319" s="847">
        <f t="shared" si="362"/>
        <v>91</v>
      </c>
      <c r="AE319" s="847">
        <f t="shared" si="362"/>
        <v>79</v>
      </c>
      <c r="AF319" s="847">
        <f t="shared" si="362"/>
        <v>77</v>
      </c>
      <c r="AG319" s="661">
        <f t="shared" si="362"/>
        <v>77</v>
      </c>
      <c r="AH319" s="847">
        <f t="shared" si="362"/>
        <v>78</v>
      </c>
      <c r="AI319" s="847">
        <f t="shared" si="362"/>
        <v>81</v>
      </c>
      <c r="AJ319" s="847">
        <f t="shared" si="362"/>
        <v>84</v>
      </c>
      <c r="AK319" s="847">
        <f t="shared" si="362"/>
        <v>82</v>
      </c>
      <c r="AL319" s="661">
        <f t="shared" si="362"/>
        <v>82</v>
      </c>
      <c r="AM319" s="847">
        <f t="shared" si="362"/>
        <v>84</v>
      </c>
      <c r="AN319" s="847">
        <f t="shared" si="362"/>
        <v>85</v>
      </c>
      <c r="AO319" s="847">
        <f t="shared" ref="AO319:BT319" si="363">AO43+AO182</f>
        <v>87</v>
      </c>
      <c r="AP319" s="847">
        <f t="shared" si="363"/>
        <v>84</v>
      </c>
      <c r="AQ319" s="661">
        <f t="shared" si="363"/>
        <v>84</v>
      </c>
      <c r="AR319" s="847">
        <f t="shared" si="363"/>
        <v>85</v>
      </c>
      <c r="AS319" s="847">
        <f t="shared" si="363"/>
        <v>82</v>
      </c>
      <c r="AT319" s="847">
        <f t="shared" si="363"/>
        <v>83</v>
      </c>
      <c r="AU319" s="847">
        <f t="shared" si="363"/>
        <v>83</v>
      </c>
      <c r="AV319" s="661">
        <f t="shared" si="363"/>
        <v>83</v>
      </c>
      <c r="AW319" s="847">
        <f t="shared" si="363"/>
        <v>83</v>
      </c>
      <c r="AX319" s="847">
        <f t="shared" si="363"/>
        <v>84</v>
      </c>
      <c r="AY319" s="847">
        <f t="shared" si="363"/>
        <v>82</v>
      </c>
      <c r="AZ319" s="847">
        <f t="shared" si="363"/>
        <v>81</v>
      </c>
      <c r="BA319" s="661">
        <f t="shared" si="363"/>
        <v>81</v>
      </c>
      <c r="BB319" s="847">
        <f t="shared" si="363"/>
        <v>81</v>
      </c>
      <c r="BC319" s="847">
        <f t="shared" si="363"/>
        <v>82</v>
      </c>
      <c r="BD319" s="847">
        <f t="shared" si="363"/>
        <v>83</v>
      </c>
      <c r="BE319" s="847">
        <f t="shared" si="363"/>
        <v>76</v>
      </c>
      <c r="BF319" s="661">
        <f t="shared" si="363"/>
        <v>76</v>
      </c>
      <c r="BG319" s="847">
        <f t="shared" si="363"/>
        <v>80</v>
      </c>
      <c r="BH319" s="847">
        <f t="shared" si="363"/>
        <v>79</v>
      </c>
      <c r="BI319" s="847">
        <f t="shared" si="363"/>
        <v>80</v>
      </c>
      <c r="BJ319" s="847">
        <f t="shared" si="363"/>
        <v>82</v>
      </c>
      <c r="BK319" s="661">
        <f t="shared" si="363"/>
        <v>82</v>
      </c>
      <c r="BL319" s="847">
        <f t="shared" si="363"/>
        <v>81</v>
      </c>
      <c r="BM319" s="847">
        <f t="shared" si="363"/>
        <v>82</v>
      </c>
      <c r="BN319" s="847">
        <f t="shared" si="363"/>
        <v>82</v>
      </c>
      <c r="BO319" s="1431">
        <f t="shared" si="363"/>
        <v>82</v>
      </c>
      <c r="BP319" s="661">
        <f t="shared" si="363"/>
        <v>82</v>
      </c>
      <c r="BQ319" s="847">
        <f t="shared" si="363"/>
        <v>80</v>
      </c>
      <c r="BR319" s="847">
        <f t="shared" si="363"/>
        <v>81</v>
      </c>
      <c r="BS319" s="847">
        <f t="shared" si="363"/>
        <v>81</v>
      </c>
      <c r="BT319" s="847">
        <f t="shared" si="363"/>
        <v>80</v>
      </c>
      <c r="BU319" s="661">
        <f t="shared" ref="BU319:CV319" si="364">BU43+BU182</f>
        <v>80</v>
      </c>
      <c r="BV319" s="847">
        <f t="shared" si="364"/>
        <v>79</v>
      </c>
      <c r="BW319" s="847">
        <f t="shared" si="364"/>
        <v>81</v>
      </c>
      <c r="BX319" s="847">
        <f t="shared" si="364"/>
        <v>81</v>
      </c>
      <c r="BY319" s="847">
        <f t="shared" si="364"/>
        <v>81</v>
      </c>
      <c r="BZ319" s="661">
        <f t="shared" si="364"/>
        <v>81</v>
      </c>
      <c r="CA319" s="847">
        <f t="shared" si="364"/>
        <v>80</v>
      </c>
      <c r="CB319" s="847">
        <f t="shared" si="364"/>
        <v>79</v>
      </c>
      <c r="CC319" s="847">
        <f t="shared" si="364"/>
        <v>77</v>
      </c>
      <c r="CD319" s="847">
        <f t="shared" si="364"/>
        <v>77</v>
      </c>
      <c r="CE319" s="661">
        <f t="shared" si="364"/>
        <v>77</v>
      </c>
      <c r="CF319" s="847">
        <f t="shared" si="364"/>
        <v>77</v>
      </c>
      <c r="CG319" s="847">
        <f t="shared" si="364"/>
        <v>77</v>
      </c>
      <c r="CH319" s="847">
        <f t="shared" si="364"/>
        <v>76</v>
      </c>
      <c r="CI319" s="847">
        <f t="shared" si="364"/>
        <v>76</v>
      </c>
      <c r="CJ319" s="236">
        <f t="shared" si="360"/>
        <v>76</v>
      </c>
      <c r="CK319" s="3510">
        <f>CK43+CK182</f>
        <v>75</v>
      </c>
      <c r="CL319" s="847">
        <f t="shared" si="364"/>
        <v>77</v>
      </c>
      <c r="CM319" s="847">
        <f t="shared" si="364"/>
        <v>78</v>
      </c>
      <c r="CN319" s="847">
        <f t="shared" ref="CN319:CO319" si="365">CN43+CN182</f>
        <v>80</v>
      </c>
      <c r="CO319" s="661">
        <f t="shared" si="365"/>
        <v>80</v>
      </c>
      <c r="CP319" s="3510"/>
      <c r="CQ319" s="847"/>
      <c r="CR319" s="847"/>
      <c r="CS319" s="847"/>
      <c r="CT319" s="661">
        <f>CT43+CT182</f>
        <v>0</v>
      </c>
      <c r="CU319" s="661">
        <f t="shared" si="364"/>
        <v>0</v>
      </c>
      <c r="CV319" s="661">
        <f t="shared" si="364"/>
        <v>0</v>
      </c>
      <c r="DB319" s="217"/>
    </row>
    <row r="320" spans="1:106" x14ac:dyDescent="0.2">
      <c r="A320" s="1434" t="s">
        <v>512</v>
      </c>
      <c r="B320" s="651"/>
      <c r="C320" s="236"/>
      <c r="D320" s="234"/>
      <c r="E320" s="234"/>
      <c r="F320" s="234"/>
      <c r="G320" s="234"/>
      <c r="H320" s="661"/>
      <c r="I320" s="847">
        <f t="shared" ref="I320:AN320" si="366">I44+I183</f>
        <v>0</v>
      </c>
      <c r="J320" s="847">
        <f t="shared" si="366"/>
        <v>0</v>
      </c>
      <c r="K320" s="847">
        <f t="shared" si="366"/>
        <v>0</v>
      </c>
      <c r="L320" s="847">
        <f t="shared" si="366"/>
        <v>0</v>
      </c>
      <c r="M320" s="661">
        <f t="shared" si="366"/>
        <v>0</v>
      </c>
      <c r="N320" s="847">
        <f t="shared" si="366"/>
        <v>0</v>
      </c>
      <c r="O320" s="847">
        <f t="shared" si="366"/>
        <v>0</v>
      </c>
      <c r="P320" s="847">
        <f t="shared" si="366"/>
        <v>0</v>
      </c>
      <c r="Q320" s="847">
        <f t="shared" si="366"/>
        <v>0</v>
      </c>
      <c r="R320" s="661">
        <f t="shared" si="366"/>
        <v>0</v>
      </c>
      <c r="S320" s="847">
        <f t="shared" si="366"/>
        <v>0</v>
      </c>
      <c r="T320" s="847">
        <f t="shared" si="366"/>
        <v>0</v>
      </c>
      <c r="U320" s="847">
        <f t="shared" si="366"/>
        <v>0</v>
      </c>
      <c r="V320" s="847">
        <f t="shared" si="366"/>
        <v>0</v>
      </c>
      <c r="W320" s="661">
        <f t="shared" si="366"/>
        <v>0</v>
      </c>
      <c r="X320" s="847">
        <f t="shared" si="366"/>
        <v>0</v>
      </c>
      <c r="Y320" s="847">
        <f t="shared" si="366"/>
        <v>0</v>
      </c>
      <c r="Z320" s="847">
        <f t="shared" si="366"/>
        <v>0</v>
      </c>
      <c r="AA320" s="847">
        <f t="shared" si="366"/>
        <v>0</v>
      </c>
      <c r="AB320" s="661">
        <f t="shared" si="366"/>
        <v>0</v>
      </c>
      <c r="AC320" s="847">
        <f t="shared" si="366"/>
        <v>0</v>
      </c>
      <c r="AD320" s="847">
        <f t="shared" si="366"/>
        <v>0</v>
      </c>
      <c r="AE320" s="847">
        <f t="shared" si="366"/>
        <v>0</v>
      </c>
      <c r="AF320" s="847">
        <f t="shared" si="366"/>
        <v>0</v>
      </c>
      <c r="AG320" s="661">
        <f t="shared" si="366"/>
        <v>0</v>
      </c>
      <c r="AH320" s="847">
        <f t="shared" si="366"/>
        <v>0</v>
      </c>
      <c r="AI320" s="847">
        <f t="shared" si="366"/>
        <v>0</v>
      </c>
      <c r="AJ320" s="847">
        <f t="shared" si="366"/>
        <v>0</v>
      </c>
      <c r="AK320" s="847">
        <f t="shared" si="366"/>
        <v>0</v>
      </c>
      <c r="AL320" s="661">
        <f t="shared" si="366"/>
        <v>0</v>
      </c>
      <c r="AM320" s="847">
        <f t="shared" si="366"/>
        <v>0</v>
      </c>
      <c r="AN320" s="847">
        <f t="shared" si="366"/>
        <v>0</v>
      </c>
      <c r="AO320" s="847">
        <f t="shared" ref="AO320:BT320" si="367">AO44+AO183</f>
        <v>0</v>
      </c>
      <c r="AP320" s="847">
        <f t="shared" si="367"/>
        <v>0</v>
      </c>
      <c r="AQ320" s="661">
        <f t="shared" si="367"/>
        <v>0</v>
      </c>
      <c r="AR320" s="847">
        <f t="shared" si="367"/>
        <v>0</v>
      </c>
      <c r="AS320" s="847">
        <f t="shared" si="367"/>
        <v>0</v>
      </c>
      <c r="AT320" s="847">
        <f t="shared" si="367"/>
        <v>0</v>
      </c>
      <c r="AU320" s="847">
        <f t="shared" si="367"/>
        <v>0</v>
      </c>
      <c r="AV320" s="661">
        <f t="shared" si="367"/>
        <v>0</v>
      </c>
      <c r="AW320" s="847">
        <f t="shared" si="367"/>
        <v>0</v>
      </c>
      <c r="AX320" s="847">
        <f t="shared" si="367"/>
        <v>0</v>
      </c>
      <c r="AY320" s="847">
        <f t="shared" si="367"/>
        <v>0</v>
      </c>
      <c r="AZ320" s="847">
        <f t="shared" si="367"/>
        <v>0</v>
      </c>
      <c r="BA320" s="661">
        <f t="shared" si="367"/>
        <v>0</v>
      </c>
      <c r="BB320" s="847">
        <f t="shared" si="367"/>
        <v>0</v>
      </c>
      <c r="BC320" s="847">
        <f t="shared" si="367"/>
        <v>0</v>
      </c>
      <c r="BD320" s="847">
        <f t="shared" si="367"/>
        <v>0</v>
      </c>
      <c r="BE320" s="847">
        <f t="shared" si="367"/>
        <v>0</v>
      </c>
      <c r="BF320" s="661">
        <f t="shared" si="367"/>
        <v>0</v>
      </c>
      <c r="BG320" s="847">
        <f t="shared" si="367"/>
        <v>0</v>
      </c>
      <c r="BH320" s="847">
        <f t="shared" si="367"/>
        <v>0</v>
      </c>
      <c r="BI320" s="847">
        <f t="shared" si="367"/>
        <v>0</v>
      </c>
      <c r="BJ320" s="847">
        <f t="shared" si="367"/>
        <v>0</v>
      </c>
      <c r="BK320" s="661">
        <f t="shared" si="367"/>
        <v>0</v>
      </c>
      <c r="BL320" s="847">
        <f t="shared" si="367"/>
        <v>0</v>
      </c>
      <c r="BM320" s="847">
        <f t="shared" si="367"/>
        <v>0</v>
      </c>
      <c r="BN320" s="847">
        <f t="shared" si="367"/>
        <v>0</v>
      </c>
      <c r="BO320" s="1431">
        <f t="shared" si="367"/>
        <v>1</v>
      </c>
      <c r="BP320" s="661">
        <f t="shared" si="367"/>
        <v>1</v>
      </c>
      <c r="BQ320" s="847">
        <f t="shared" si="367"/>
        <v>1</v>
      </c>
      <c r="BR320" s="847">
        <f t="shared" si="367"/>
        <v>1</v>
      </c>
      <c r="BS320" s="847">
        <f t="shared" si="367"/>
        <v>1</v>
      </c>
      <c r="BT320" s="847">
        <f t="shared" si="367"/>
        <v>2</v>
      </c>
      <c r="BU320" s="661">
        <f t="shared" ref="BU320:CV320" si="368">BU44+BU183</f>
        <v>2</v>
      </c>
      <c r="BV320" s="847">
        <f t="shared" si="368"/>
        <v>3</v>
      </c>
      <c r="BW320" s="847">
        <f t="shared" si="368"/>
        <v>3</v>
      </c>
      <c r="BX320" s="847">
        <f t="shared" si="368"/>
        <v>4</v>
      </c>
      <c r="BY320" s="847">
        <f t="shared" si="368"/>
        <v>4</v>
      </c>
      <c r="BZ320" s="661">
        <f t="shared" si="368"/>
        <v>4</v>
      </c>
      <c r="CA320" s="847">
        <f t="shared" si="368"/>
        <v>4</v>
      </c>
      <c r="CB320" s="847">
        <f t="shared" si="368"/>
        <v>4</v>
      </c>
      <c r="CC320" s="847">
        <f t="shared" si="368"/>
        <v>6</v>
      </c>
      <c r="CD320" s="847">
        <f t="shared" si="368"/>
        <v>6</v>
      </c>
      <c r="CE320" s="661">
        <f t="shared" si="368"/>
        <v>6</v>
      </c>
      <c r="CF320" s="847">
        <f t="shared" si="368"/>
        <v>6</v>
      </c>
      <c r="CG320" s="847">
        <f t="shared" si="368"/>
        <v>6</v>
      </c>
      <c r="CH320" s="847">
        <f t="shared" si="368"/>
        <v>6</v>
      </c>
      <c r="CI320" s="847">
        <f t="shared" si="368"/>
        <v>7</v>
      </c>
      <c r="CJ320" s="236">
        <f t="shared" si="360"/>
        <v>7</v>
      </c>
      <c r="CK320" s="3510">
        <f>CK44+CK183</f>
        <v>9</v>
      </c>
      <c r="CL320" s="847">
        <f t="shared" si="368"/>
        <v>10</v>
      </c>
      <c r="CM320" s="847">
        <f t="shared" si="368"/>
        <v>10</v>
      </c>
      <c r="CN320" s="847">
        <f t="shared" ref="CN320:CO320" si="369">CN44+CN183</f>
        <v>10</v>
      </c>
      <c r="CO320" s="661">
        <f t="shared" si="369"/>
        <v>10</v>
      </c>
      <c r="CP320" s="3510"/>
      <c r="CQ320" s="847"/>
      <c r="CR320" s="847"/>
      <c r="CS320" s="847"/>
      <c r="CT320" s="661">
        <f>CT44+CT183</f>
        <v>0</v>
      </c>
      <c r="CU320" s="661">
        <f t="shared" si="368"/>
        <v>0</v>
      </c>
      <c r="CV320" s="661">
        <f t="shared" si="368"/>
        <v>0</v>
      </c>
      <c r="DB320" s="217"/>
    </row>
    <row r="321" spans="1:108" x14ac:dyDescent="0.2">
      <c r="A321" s="2308" t="s">
        <v>608</v>
      </c>
      <c r="B321" s="651"/>
      <c r="C321" s="236"/>
      <c r="D321" s="234"/>
      <c r="E321" s="234"/>
      <c r="F321" s="234"/>
      <c r="G321" s="234"/>
      <c r="H321" s="661"/>
      <c r="I321" s="847">
        <f t="shared" ref="I321:AN321" si="370">I45+I184</f>
        <v>0</v>
      </c>
      <c r="J321" s="847">
        <f t="shared" si="370"/>
        <v>0</v>
      </c>
      <c r="K321" s="847">
        <f t="shared" si="370"/>
        <v>0</v>
      </c>
      <c r="L321" s="847">
        <f t="shared" si="370"/>
        <v>0</v>
      </c>
      <c r="M321" s="661">
        <f t="shared" si="370"/>
        <v>0</v>
      </c>
      <c r="N321" s="847">
        <f t="shared" si="370"/>
        <v>0</v>
      </c>
      <c r="O321" s="847">
        <f t="shared" si="370"/>
        <v>0</v>
      </c>
      <c r="P321" s="847">
        <f t="shared" si="370"/>
        <v>0</v>
      </c>
      <c r="Q321" s="847">
        <f t="shared" si="370"/>
        <v>0</v>
      </c>
      <c r="R321" s="661">
        <f t="shared" si="370"/>
        <v>0</v>
      </c>
      <c r="S321" s="847">
        <f t="shared" si="370"/>
        <v>0</v>
      </c>
      <c r="T321" s="847">
        <f t="shared" si="370"/>
        <v>0</v>
      </c>
      <c r="U321" s="847">
        <f t="shared" si="370"/>
        <v>0</v>
      </c>
      <c r="V321" s="847">
        <f t="shared" si="370"/>
        <v>0</v>
      </c>
      <c r="W321" s="661">
        <f t="shared" si="370"/>
        <v>0</v>
      </c>
      <c r="X321" s="847">
        <f t="shared" si="370"/>
        <v>0</v>
      </c>
      <c r="Y321" s="847">
        <f t="shared" si="370"/>
        <v>0</v>
      </c>
      <c r="Z321" s="847">
        <f t="shared" si="370"/>
        <v>0</v>
      </c>
      <c r="AA321" s="847">
        <f t="shared" si="370"/>
        <v>0</v>
      </c>
      <c r="AB321" s="661">
        <f t="shared" si="370"/>
        <v>0</v>
      </c>
      <c r="AC321" s="847">
        <f t="shared" si="370"/>
        <v>0</v>
      </c>
      <c r="AD321" s="847">
        <f t="shared" si="370"/>
        <v>0</v>
      </c>
      <c r="AE321" s="847">
        <f t="shared" si="370"/>
        <v>0</v>
      </c>
      <c r="AF321" s="847">
        <f t="shared" si="370"/>
        <v>0</v>
      </c>
      <c r="AG321" s="661">
        <f t="shared" si="370"/>
        <v>0</v>
      </c>
      <c r="AH321" s="847">
        <f t="shared" si="370"/>
        <v>0</v>
      </c>
      <c r="AI321" s="847">
        <f t="shared" si="370"/>
        <v>0</v>
      </c>
      <c r="AJ321" s="847">
        <f t="shared" si="370"/>
        <v>0</v>
      </c>
      <c r="AK321" s="847">
        <f t="shared" si="370"/>
        <v>0</v>
      </c>
      <c r="AL321" s="661">
        <f t="shared" si="370"/>
        <v>0</v>
      </c>
      <c r="AM321" s="847">
        <f t="shared" si="370"/>
        <v>0</v>
      </c>
      <c r="AN321" s="847">
        <f t="shared" si="370"/>
        <v>0</v>
      </c>
      <c r="AO321" s="847">
        <f t="shared" ref="AO321:BT321" si="371">AO45+AO184</f>
        <v>0</v>
      </c>
      <c r="AP321" s="847">
        <f t="shared" si="371"/>
        <v>0</v>
      </c>
      <c r="AQ321" s="661">
        <f t="shared" si="371"/>
        <v>0</v>
      </c>
      <c r="AR321" s="847">
        <f t="shared" si="371"/>
        <v>0</v>
      </c>
      <c r="AS321" s="847">
        <f t="shared" si="371"/>
        <v>0</v>
      </c>
      <c r="AT321" s="847">
        <f t="shared" si="371"/>
        <v>0</v>
      </c>
      <c r="AU321" s="847">
        <f t="shared" si="371"/>
        <v>0</v>
      </c>
      <c r="AV321" s="661">
        <f t="shared" si="371"/>
        <v>0</v>
      </c>
      <c r="AW321" s="847">
        <f t="shared" si="371"/>
        <v>0</v>
      </c>
      <c r="AX321" s="847">
        <f t="shared" si="371"/>
        <v>0</v>
      </c>
      <c r="AY321" s="847">
        <f t="shared" si="371"/>
        <v>0</v>
      </c>
      <c r="AZ321" s="847">
        <f t="shared" si="371"/>
        <v>0</v>
      </c>
      <c r="BA321" s="661">
        <f t="shared" si="371"/>
        <v>0</v>
      </c>
      <c r="BB321" s="847">
        <f t="shared" si="371"/>
        <v>0</v>
      </c>
      <c r="BC321" s="847">
        <f t="shared" si="371"/>
        <v>0</v>
      </c>
      <c r="BD321" s="847">
        <f t="shared" si="371"/>
        <v>0</v>
      </c>
      <c r="BE321" s="847">
        <f t="shared" si="371"/>
        <v>0</v>
      </c>
      <c r="BF321" s="661">
        <f t="shared" si="371"/>
        <v>0</v>
      </c>
      <c r="BG321" s="847">
        <f t="shared" si="371"/>
        <v>0</v>
      </c>
      <c r="BH321" s="847">
        <f t="shared" si="371"/>
        <v>0</v>
      </c>
      <c r="BI321" s="847">
        <f t="shared" si="371"/>
        <v>0</v>
      </c>
      <c r="BJ321" s="847">
        <f t="shared" si="371"/>
        <v>0</v>
      </c>
      <c r="BK321" s="661">
        <f t="shared" si="371"/>
        <v>0</v>
      </c>
      <c r="BL321" s="847">
        <f t="shared" si="371"/>
        <v>0</v>
      </c>
      <c r="BM321" s="847">
        <f t="shared" si="371"/>
        <v>0</v>
      </c>
      <c r="BN321" s="847">
        <f t="shared" si="371"/>
        <v>0</v>
      </c>
      <c r="BO321" s="1431">
        <f t="shared" si="371"/>
        <v>0</v>
      </c>
      <c r="BP321" s="661">
        <f t="shared" si="371"/>
        <v>0</v>
      </c>
      <c r="BQ321" s="847">
        <f t="shared" si="371"/>
        <v>0</v>
      </c>
      <c r="BR321" s="847">
        <f t="shared" si="371"/>
        <v>0</v>
      </c>
      <c r="BS321" s="847">
        <f t="shared" si="371"/>
        <v>0</v>
      </c>
      <c r="BT321" s="847">
        <f t="shared" si="371"/>
        <v>0</v>
      </c>
      <c r="BU321" s="661">
        <f t="shared" ref="BU321:CV321" si="372">BU45+BU184</f>
        <v>0</v>
      </c>
      <c r="BV321" s="847">
        <f t="shared" si="372"/>
        <v>0</v>
      </c>
      <c r="BW321" s="847">
        <f t="shared" si="372"/>
        <v>0</v>
      </c>
      <c r="BX321" s="847">
        <f t="shared" si="372"/>
        <v>0</v>
      </c>
      <c r="BY321" s="847">
        <f t="shared" si="372"/>
        <v>0</v>
      </c>
      <c r="BZ321" s="661">
        <f t="shared" si="372"/>
        <v>0</v>
      </c>
      <c r="CA321" s="847">
        <f t="shared" si="372"/>
        <v>0</v>
      </c>
      <c r="CB321" s="847">
        <f t="shared" si="372"/>
        <v>0</v>
      </c>
      <c r="CC321" s="847">
        <f t="shared" si="372"/>
        <v>0</v>
      </c>
      <c r="CD321" s="847">
        <f t="shared" si="372"/>
        <v>0</v>
      </c>
      <c r="CE321" s="661">
        <f t="shared" si="372"/>
        <v>0</v>
      </c>
      <c r="CF321" s="847">
        <f t="shared" si="372"/>
        <v>0</v>
      </c>
      <c r="CG321" s="847">
        <f t="shared" si="372"/>
        <v>0</v>
      </c>
      <c r="CH321" s="847">
        <f t="shared" si="372"/>
        <v>0</v>
      </c>
      <c r="CI321" s="847">
        <f t="shared" si="372"/>
        <v>0</v>
      </c>
      <c r="CJ321" s="236">
        <f t="shared" si="360"/>
        <v>0</v>
      </c>
      <c r="CK321" s="3510">
        <f>CK45+CK184</f>
        <v>0</v>
      </c>
      <c r="CL321" s="847">
        <f t="shared" si="372"/>
        <v>0</v>
      </c>
      <c r="CM321" s="847">
        <f>CM45+CM184</f>
        <v>1</v>
      </c>
      <c r="CN321" s="847">
        <f>CN45+CN184</f>
        <v>3</v>
      </c>
      <c r="CO321" s="661">
        <f>CO45+CO184</f>
        <v>3</v>
      </c>
      <c r="CP321" s="3510"/>
      <c r="CQ321" s="847"/>
      <c r="CR321" s="847"/>
      <c r="CS321" s="847"/>
      <c r="CT321" s="661">
        <f>CT45+CT184</f>
        <v>0</v>
      </c>
      <c r="CU321" s="661">
        <f t="shared" si="372"/>
        <v>0</v>
      </c>
      <c r="CV321" s="661">
        <f t="shared" si="372"/>
        <v>0</v>
      </c>
      <c r="DB321" s="217"/>
    </row>
    <row r="322" spans="1:108" x14ac:dyDescent="0.2">
      <c r="A322" s="1434" t="s">
        <v>2190</v>
      </c>
      <c r="B322" s="651"/>
      <c r="C322" s="236"/>
      <c r="D322" s="234"/>
      <c r="E322" s="234"/>
      <c r="F322" s="234"/>
      <c r="G322" s="234"/>
      <c r="H322" s="661"/>
      <c r="I322" s="847"/>
      <c r="J322" s="847"/>
      <c r="K322" s="847"/>
      <c r="L322" s="847"/>
      <c r="M322" s="661"/>
      <c r="N322" s="847"/>
      <c r="O322" s="847"/>
      <c r="P322" s="847"/>
      <c r="Q322" s="847"/>
      <c r="R322" s="661"/>
      <c r="S322" s="847"/>
      <c r="T322" s="847"/>
      <c r="U322" s="847"/>
      <c r="V322" s="847"/>
      <c r="W322" s="661"/>
      <c r="X322" s="847"/>
      <c r="Y322" s="847"/>
      <c r="Z322" s="847"/>
      <c r="AA322" s="847"/>
      <c r="AB322" s="661"/>
      <c r="AC322" s="847"/>
      <c r="AD322" s="847"/>
      <c r="AE322" s="847"/>
      <c r="AF322" s="847"/>
      <c r="AG322" s="661"/>
      <c r="AH322" s="847"/>
      <c r="AI322" s="847"/>
      <c r="AJ322" s="847"/>
      <c r="AK322" s="847"/>
      <c r="AL322" s="661"/>
      <c r="AM322" s="847"/>
      <c r="AN322" s="847"/>
      <c r="AO322" s="847"/>
      <c r="AP322" s="847"/>
      <c r="AQ322" s="661"/>
      <c r="AR322" s="847"/>
      <c r="AS322" s="847"/>
      <c r="AT322" s="847"/>
      <c r="AU322" s="847"/>
      <c r="AV322" s="661"/>
      <c r="AW322" s="847"/>
      <c r="AX322" s="847"/>
      <c r="AY322" s="847"/>
      <c r="AZ322" s="847"/>
      <c r="BA322" s="661"/>
      <c r="BB322" s="847"/>
      <c r="BC322" s="847"/>
      <c r="BD322" s="847"/>
      <c r="BE322" s="847"/>
      <c r="BF322" s="661"/>
      <c r="BG322" s="847">
        <v>0</v>
      </c>
      <c r="BH322" s="847">
        <v>0</v>
      </c>
      <c r="BI322" s="847">
        <v>0</v>
      </c>
      <c r="BJ322" s="847">
        <v>0</v>
      </c>
      <c r="BK322" s="661">
        <v>0</v>
      </c>
      <c r="BL322" s="847">
        <v>0</v>
      </c>
      <c r="BM322" s="847">
        <v>0</v>
      </c>
      <c r="BN322" s="847">
        <v>0</v>
      </c>
      <c r="BO322" s="1431">
        <f t="shared" ref="BO322:CV322" si="373">BO46</f>
        <v>5</v>
      </c>
      <c r="BP322" s="1431">
        <f t="shared" si="373"/>
        <v>5</v>
      </c>
      <c r="BQ322" s="847">
        <f t="shared" si="373"/>
        <v>5</v>
      </c>
      <c r="BR322" s="847">
        <f t="shared" si="373"/>
        <v>5</v>
      </c>
      <c r="BS322" s="847">
        <f t="shared" si="373"/>
        <v>5</v>
      </c>
      <c r="BT322" s="1431">
        <f t="shared" si="373"/>
        <v>5</v>
      </c>
      <c r="BU322" s="1431">
        <f t="shared" si="373"/>
        <v>5</v>
      </c>
      <c r="BV322" s="847">
        <f t="shared" si="373"/>
        <v>5</v>
      </c>
      <c r="BW322" s="847">
        <f t="shared" si="373"/>
        <v>5</v>
      </c>
      <c r="BX322" s="847">
        <f t="shared" si="373"/>
        <v>5</v>
      </c>
      <c r="BY322" s="1431">
        <f t="shared" si="373"/>
        <v>5</v>
      </c>
      <c r="BZ322" s="1431">
        <f t="shared" si="373"/>
        <v>5</v>
      </c>
      <c r="CA322" s="847">
        <f t="shared" si="373"/>
        <v>5</v>
      </c>
      <c r="CB322" s="847">
        <f t="shared" si="373"/>
        <v>5</v>
      </c>
      <c r="CC322" s="847">
        <f t="shared" si="373"/>
        <v>5</v>
      </c>
      <c r="CD322" s="1431">
        <f t="shared" si="373"/>
        <v>5</v>
      </c>
      <c r="CE322" s="1431">
        <f t="shared" si="373"/>
        <v>5</v>
      </c>
      <c r="CF322" s="847">
        <f t="shared" si="373"/>
        <v>5</v>
      </c>
      <c r="CG322" s="847">
        <f t="shared" si="373"/>
        <v>5</v>
      </c>
      <c r="CH322" s="847">
        <f t="shared" si="373"/>
        <v>5</v>
      </c>
      <c r="CI322" s="1431">
        <f t="shared" si="373"/>
        <v>5</v>
      </c>
      <c r="CJ322" s="236">
        <f t="shared" si="360"/>
        <v>5</v>
      </c>
      <c r="CK322" s="3510">
        <f>CK46</f>
        <v>5</v>
      </c>
      <c r="CL322" s="847">
        <f t="shared" si="373"/>
        <v>5</v>
      </c>
      <c r="CM322" s="847">
        <f t="shared" si="373"/>
        <v>5</v>
      </c>
      <c r="CN322" s="847">
        <f t="shared" ref="CN322:CO322" si="374">CN46</f>
        <v>5</v>
      </c>
      <c r="CO322" s="661">
        <f t="shared" si="374"/>
        <v>5</v>
      </c>
      <c r="CP322" s="3510"/>
      <c r="CQ322" s="847"/>
      <c r="CR322" s="847"/>
      <c r="CS322" s="847"/>
      <c r="CT322" s="661">
        <f>CT46</f>
        <v>0</v>
      </c>
      <c r="CU322" s="1431">
        <f t="shared" si="373"/>
        <v>0</v>
      </c>
      <c r="CV322" s="1431">
        <f t="shared" si="373"/>
        <v>0</v>
      </c>
      <c r="DB322" s="217"/>
    </row>
    <row r="323" spans="1:108" x14ac:dyDescent="0.2">
      <c r="A323" s="1434" t="s">
        <v>510</v>
      </c>
      <c r="B323" s="651"/>
      <c r="C323" s="236"/>
      <c r="D323" s="234"/>
      <c r="E323" s="234"/>
      <c r="F323" s="234"/>
      <c r="G323" s="234"/>
      <c r="H323" s="661"/>
      <c r="I323" s="847">
        <f t="shared" ref="I323:AN323" si="375">I47+I185</f>
        <v>38</v>
      </c>
      <c r="J323" s="847">
        <f t="shared" si="375"/>
        <v>40</v>
      </c>
      <c r="K323" s="847">
        <f t="shared" si="375"/>
        <v>42</v>
      </c>
      <c r="L323" s="847">
        <f t="shared" si="375"/>
        <v>44</v>
      </c>
      <c r="M323" s="661">
        <f t="shared" si="375"/>
        <v>44</v>
      </c>
      <c r="N323" s="847">
        <f t="shared" si="375"/>
        <v>45</v>
      </c>
      <c r="O323" s="847">
        <f t="shared" si="375"/>
        <v>47</v>
      </c>
      <c r="P323" s="847">
        <f t="shared" si="375"/>
        <v>47</v>
      </c>
      <c r="Q323" s="847">
        <f t="shared" si="375"/>
        <v>50</v>
      </c>
      <c r="R323" s="661">
        <f t="shared" si="375"/>
        <v>50</v>
      </c>
      <c r="S323" s="847">
        <f t="shared" si="375"/>
        <v>51</v>
      </c>
      <c r="T323" s="847">
        <f t="shared" si="375"/>
        <v>53</v>
      </c>
      <c r="U323" s="847">
        <f t="shared" si="375"/>
        <v>54</v>
      </c>
      <c r="V323" s="847">
        <f t="shared" si="375"/>
        <v>55</v>
      </c>
      <c r="W323" s="661">
        <f t="shared" si="375"/>
        <v>55</v>
      </c>
      <c r="X323" s="847">
        <f t="shared" si="375"/>
        <v>55</v>
      </c>
      <c r="Y323" s="847">
        <f t="shared" si="375"/>
        <v>55</v>
      </c>
      <c r="Z323" s="847">
        <f t="shared" si="375"/>
        <v>55</v>
      </c>
      <c r="AA323" s="847">
        <f t="shared" si="375"/>
        <v>55</v>
      </c>
      <c r="AB323" s="661">
        <f t="shared" si="375"/>
        <v>55</v>
      </c>
      <c r="AC323" s="847">
        <f t="shared" si="375"/>
        <v>55</v>
      </c>
      <c r="AD323" s="847">
        <f t="shared" si="375"/>
        <v>56</v>
      </c>
      <c r="AE323" s="847">
        <f t="shared" si="375"/>
        <v>56</v>
      </c>
      <c r="AF323" s="847">
        <f t="shared" si="375"/>
        <v>57</v>
      </c>
      <c r="AG323" s="661">
        <f t="shared" si="375"/>
        <v>57</v>
      </c>
      <c r="AH323" s="847">
        <f t="shared" si="375"/>
        <v>58</v>
      </c>
      <c r="AI323" s="847">
        <f t="shared" si="375"/>
        <v>58</v>
      </c>
      <c r="AJ323" s="847">
        <f t="shared" si="375"/>
        <v>58</v>
      </c>
      <c r="AK323" s="847">
        <f t="shared" si="375"/>
        <v>58</v>
      </c>
      <c r="AL323" s="661">
        <f t="shared" si="375"/>
        <v>58</v>
      </c>
      <c r="AM323" s="847">
        <f t="shared" si="375"/>
        <v>59</v>
      </c>
      <c r="AN323" s="847">
        <f t="shared" si="375"/>
        <v>60</v>
      </c>
      <c r="AO323" s="847">
        <f t="shared" ref="AO323:BT323" si="376">AO47+AO185</f>
        <v>63</v>
      </c>
      <c r="AP323" s="847">
        <f t="shared" si="376"/>
        <v>67</v>
      </c>
      <c r="AQ323" s="661">
        <f t="shared" si="376"/>
        <v>67</v>
      </c>
      <c r="AR323" s="847">
        <f t="shared" si="376"/>
        <v>67</v>
      </c>
      <c r="AS323" s="847">
        <f t="shared" si="376"/>
        <v>68</v>
      </c>
      <c r="AT323" s="847">
        <f t="shared" si="376"/>
        <v>69</v>
      </c>
      <c r="AU323" s="847">
        <f t="shared" si="376"/>
        <v>70</v>
      </c>
      <c r="AV323" s="661">
        <f t="shared" si="376"/>
        <v>70</v>
      </c>
      <c r="AW323" s="847">
        <f t="shared" si="376"/>
        <v>71</v>
      </c>
      <c r="AX323" s="847">
        <f t="shared" si="376"/>
        <v>70</v>
      </c>
      <c r="AY323" s="847">
        <f t="shared" si="376"/>
        <v>70</v>
      </c>
      <c r="AZ323" s="847">
        <f t="shared" si="376"/>
        <v>74</v>
      </c>
      <c r="BA323" s="661">
        <f t="shared" si="376"/>
        <v>74</v>
      </c>
      <c r="BB323" s="847">
        <f t="shared" si="376"/>
        <v>74</v>
      </c>
      <c r="BC323" s="847">
        <f t="shared" si="376"/>
        <v>73</v>
      </c>
      <c r="BD323" s="847">
        <f t="shared" si="376"/>
        <v>74</v>
      </c>
      <c r="BE323" s="847">
        <f t="shared" si="376"/>
        <v>74</v>
      </c>
      <c r="BF323" s="661">
        <f t="shared" si="376"/>
        <v>74</v>
      </c>
      <c r="BG323" s="847">
        <f t="shared" si="376"/>
        <v>76</v>
      </c>
      <c r="BH323" s="847">
        <f t="shared" si="376"/>
        <v>77</v>
      </c>
      <c r="BI323" s="847">
        <f t="shared" si="376"/>
        <v>78</v>
      </c>
      <c r="BJ323" s="847">
        <f t="shared" si="376"/>
        <v>79</v>
      </c>
      <c r="BK323" s="661">
        <f t="shared" si="376"/>
        <v>79</v>
      </c>
      <c r="BL323" s="847">
        <f t="shared" si="376"/>
        <v>79</v>
      </c>
      <c r="BM323" s="847">
        <f t="shared" si="376"/>
        <v>80</v>
      </c>
      <c r="BN323" s="847">
        <f t="shared" si="376"/>
        <v>81</v>
      </c>
      <c r="BO323" s="1431">
        <f t="shared" si="376"/>
        <v>81</v>
      </c>
      <c r="BP323" s="661">
        <f t="shared" si="376"/>
        <v>81</v>
      </c>
      <c r="BQ323" s="847">
        <f t="shared" si="376"/>
        <v>82</v>
      </c>
      <c r="BR323" s="847">
        <f t="shared" si="376"/>
        <v>81</v>
      </c>
      <c r="BS323" s="847">
        <f t="shared" si="376"/>
        <v>80</v>
      </c>
      <c r="BT323" s="847">
        <f t="shared" si="376"/>
        <v>85</v>
      </c>
      <c r="BU323" s="661">
        <f t="shared" ref="BU323:CV323" si="377">BU47+BU185</f>
        <v>85</v>
      </c>
      <c r="BV323" s="847">
        <f t="shared" si="377"/>
        <v>85</v>
      </c>
      <c r="BW323" s="847">
        <f t="shared" si="377"/>
        <v>86</v>
      </c>
      <c r="BX323" s="847">
        <f t="shared" si="377"/>
        <v>86</v>
      </c>
      <c r="BY323" s="847">
        <f t="shared" si="377"/>
        <v>88</v>
      </c>
      <c r="BZ323" s="661">
        <f t="shared" si="377"/>
        <v>88</v>
      </c>
      <c r="CA323" s="847">
        <f t="shared" si="377"/>
        <v>88</v>
      </c>
      <c r="CB323" s="847">
        <f t="shared" si="377"/>
        <v>89</v>
      </c>
      <c r="CC323" s="847">
        <f t="shared" si="377"/>
        <v>90</v>
      </c>
      <c r="CD323" s="847">
        <f t="shared" si="377"/>
        <v>93</v>
      </c>
      <c r="CE323" s="661">
        <f t="shared" si="377"/>
        <v>93</v>
      </c>
      <c r="CF323" s="847">
        <f t="shared" si="377"/>
        <v>93</v>
      </c>
      <c r="CG323" s="847">
        <f t="shared" si="377"/>
        <v>93</v>
      </c>
      <c r="CH323" s="847">
        <f>CH47+CH185</f>
        <v>89</v>
      </c>
      <c r="CI323" s="847">
        <f t="shared" si="377"/>
        <v>90</v>
      </c>
      <c r="CJ323" s="236">
        <f t="shared" si="360"/>
        <v>90</v>
      </c>
      <c r="CK323" s="3510">
        <f>CK47+CK185</f>
        <v>91</v>
      </c>
      <c r="CL323" s="847">
        <f t="shared" si="377"/>
        <v>92</v>
      </c>
      <c r="CM323" s="847">
        <f t="shared" si="377"/>
        <v>94</v>
      </c>
      <c r="CN323" s="847">
        <f t="shared" ref="CN323:CO323" si="378">CN47+CN185</f>
        <v>94</v>
      </c>
      <c r="CO323" s="661">
        <f t="shared" si="378"/>
        <v>94</v>
      </c>
      <c r="CP323" s="3510"/>
      <c r="CQ323" s="847"/>
      <c r="CR323" s="847"/>
      <c r="CS323" s="847"/>
      <c r="CT323" s="661">
        <f>CT47+CT185</f>
        <v>0</v>
      </c>
      <c r="CU323" s="661">
        <f t="shared" si="377"/>
        <v>0</v>
      </c>
      <c r="CV323" s="661">
        <f t="shared" si="377"/>
        <v>0</v>
      </c>
      <c r="DB323" s="217"/>
    </row>
    <row r="324" spans="1:108" x14ac:dyDescent="0.2">
      <c r="A324" s="1434" t="s">
        <v>511</v>
      </c>
      <c r="B324" s="651"/>
      <c r="C324" s="236"/>
      <c r="D324" s="234"/>
      <c r="E324" s="234"/>
      <c r="F324" s="234"/>
      <c r="G324" s="234"/>
      <c r="H324" s="661"/>
      <c r="I324" s="847">
        <f t="shared" ref="I324:AN324" si="379">I48+I187</f>
        <v>0</v>
      </c>
      <c r="J324" s="847">
        <f t="shared" si="379"/>
        <v>0</v>
      </c>
      <c r="K324" s="847">
        <f t="shared" si="379"/>
        <v>0</v>
      </c>
      <c r="L324" s="847">
        <f t="shared" si="379"/>
        <v>0</v>
      </c>
      <c r="M324" s="661">
        <f t="shared" si="379"/>
        <v>0</v>
      </c>
      <c r="N324" s="847">
        <f t="shared" si="379"/>
        <v>0</v>
      </c>
      <c r="O324" s="847">
        <f t="shared" si="379"/>
        <v>0</v>
      </c>
      <c r="P324" s="847">
        <f t="shared" si="379"/>
        <v>0</v>
      </c>
      <c r="Q324" s="847">
        <f t="shared" si="379"/>
        <v>0</v>
      </c>
      <c r="R324" s="661">
        <f t="shared" si="379"/>
        <v>0</v>
      </c>
      <c r="S324" s="847">
        <f t="shared" si="379"/>
        <v>0</v>
      </c>
      <c r="T324" s="847">
        <f t="shared" si="379"/>
        <v>0</v>
      </c>
      <c r="U324" s="847">
        <f t="shared" si="379"/>
        <v>0</v>
      </c>
      <c r="V324" s="847">
        <f t="shared" si="379"/>
        <v>0</v>
      </c>
      <c r="W324" s="661">
        <f t="shared" si="379"/>
        <v>0</v>
      </c>
      <c r="X324" s="847">
        <f t="shared" si="379"/>
        <v>0</v>
      </c>
      <c r="Y324" s="847">
        <f t="shared" si="379"/>
        <v>1</v>
      </c>
      <c r="Z324" s="847">
        <f t="shared" si="379"/>
        <v>1</v>
      </c>
      <c r="AA324" s="847">
        <f t="shared" si="379"/>
        <v>1</v>
      </c>
      <c r="AB324" s="661">
        <f t="shared" si="379"/>
        <v>1</v>
      </c>
      <c r="AC324" s="847">
        <f t="shared" si="379"/>
        <v>1</v>
      </c>
      <c r="AD324" s="847">
        <f t="shared" si="379"/>
        <v>1</v>
      </c>
      <c r="AE324" s="847">
        <f t="shared" si="379"/>
        <v>1</v>
      </c>
      <c r="AF324" s="847">
        <f t="shared" si="379"/>
        <v>1</v>
      </c>
      <c r="AG324" s="661">
        <f t="shared" si="379"/>
        <v>1</v>
      </c>
      <c r="AH324" s="847">
        <f t="shared" si="379"/>
        <v>1</v>
      </c>
      <c r="AI324" s="847">
        <f t="shared" si="379"/>
        <v>1</v>
      </c>
      <c r="AJ324" s="847">
        <f t="shared" si="379"/>
        <v>1</v>
      </c>
      <c r="AK324" s="847">
        <f t="shared" si="379"/>
        <v>2</v>
      </c>
      <c r="AL324" s="661">
        <f t="shared" si="379"/>
        <v>2</v>
      </c>
      <c r="AM324" s="847">
        <f t="shared" si="379"/>
        <v>2</v>
      </c>
      <c r="AN324" s="847">
        <f t="shared" si="379"/>
        <v>2</v>
      </c>
      <c r="AO324" s="847">
        <f t="shared" ref="AO324:BT324" si="380">AO48+AO187</f>
        <v>2</v>
      </c>
      <c r="AP324" s="847">
        <f t="shared" si="380"/>
        <v>2</v>
      </c>
      <c r="AQ324" s="661">
        <f t="shared" si="380"/>
        <v>2</v>
      </c>
      <c r="AR324" s="847">
        <f t="shared" si="380"/>
        <v>2</v>
      </c>
      <c r="AS324" s="847">
        <f t="shared" si="380"/>
        <v>2</v>
      </c>
      <c r="AT324" s="847">
        <f t="shared" si="380"/>
        <v>2</v>
      </c>
      <c r="AU324" s="847">
        <f t="shared" si="380"/>
        <v>2</v>
      </c>
      <c r="AV324" s="661">
        <f t="shared" si="380"/>
        <v>2</v>
      </c>
      <c r="AW324" s="847">
        <f t="shared" si="380"/>
        <v>2</v>
      </c>
      <c r="AX324" s="847">
        <f t="shared" si="380"/>
        <v>2</v>
      </c>
      <c r="AY324" s="847">
        <f t="shared" si="380"/>
        <v>2</v>
      </c>
      <c r="AZ324" s="847">
        <f t="shared" si="380"/>
        <v>2</v>
      </c>
      <c r="BA324" s="661">
        <f t="shared" si="380"/>
        <v>2</v>
      </c>
      <c r="BB324" s="847">
        <f t="shared" si="380"/>
        <v>2</v>
      </c>
      <c r="BC324" s="847">
        <f t="shared" si="380"/>
        <v>2</v>
      </c>
      <c r="BD324" s="847">
        <f t="shared" si="380"/>
        <v>2</v>
      </c>
      <c r="BE324" s="847">
        <f t="shared" si="380"/>
        <v>2</v>
      </c>
      <c r="BF324" s="661">
        <f t="shared" si="380"/>
        <v>2</v>
      </c>
      <c r="BG324" s="847">
        <f t="shared" si="380"/>
        <v>2</v>
      </c>
      <c r="BH324" s="847">
        <f t="shared" si="380"/>
        <v>2</v>
      </c>
      <c r="BI324" s="847">
        <f t="shared" si="380"/>
        <v>2</v>
      </c>
      <c r="BJ324" s="847">
        <f t="shared" si="380"/>
        <v>2</v>
      </c>
      <c r="BK324" s="661">
        <f t="shared" si="380"/>
        <v>2</v>
      </c>
      <c r="BL324" s="847">
        <f t="shared" si="380"/>
        <v>2</v>
      </c>
      <c r="BM324" s="847">
        <f t="shared" si="380"/>
        <v>2</v>
      </c>
      <c r="BN324" s="847">
        <f t="shared" si="380"/>
        <v>2</v>
      </c>
      <c r="BO324" s="1431">
        <f t="shared" si="380"/>
        <v>2</v>
      </c>
      <c r="BP324" s="661">
        <f t="shared" si="380"/>
        <v>2</v>
      </c>
      <c r="BQ324" s="847">
        <f t="shared" si="380"/>
        <v>2</v>
      </c>
      <c r="BR324" s="847">
        <f t="shared" si="380"/>
        <v>2</v>
      </c>
      <c r="BS324" s="847">
        <f t="shared" si="380"/>
        <v>2</v>
      </c>
      <c r="BT324" s="847">
        <f t="shared" si="380"/>
        <v>2</v>
      </c>
      <c r="BU324" s="661">
        <f t="shared" ref="BU324:CV324" si="381">BU48+BU187</f>
        <v>2</v>
      </c>
      <c r="BV324" s="847">
        <f t="shared" si="381"/>
        <v>2</v>
      </c>
      <c r="BW324" s="847">
        <f t="shared" si="381"/>
        <v>2</v>
      </c>
      <c r="BX324" s="847">
        <f t="shared" si="381"/>
        <v>2</v>
      </c>
      <c r="BY324" s="847">
        <f t="shared" si="381"/>
        <v>2</v>
      </c>
      <c r="BZ324" s="661">
        <f t="shared" si="381"/>
        <v>2</v>
      </c>
      <c r="CA324" s="847">
        <f t="shared" si="381"/>
        <v>2</v>
      </c>
      <c r="CB324" s="847">
        <f t="shared" si="381"/>
        <v>2</v>
      </c>
      <c r="CC324" s="847">
        <f t="shared" si="381"/>
        <v>2</v>
      </c>
      <c r="CD324" s="847">
        <f t="shared" si="381"/>
        <v>2</v>
      </c>
      <c r="CE324" s="661">
        <f t="shared" si="381"/>
        <v>2</v>
      </c>
      <c r="CF324" s="847">
        <f t="shared" si="381"/>
        <v>2</v>
      </c>
      <c r="CG324" s="847">
        <f t="shared" si="381"/>
        <v>2</v>
      </c>
      <c r="CH324" s="847">
        <f t="shared" si="381"/>
        <v>2</v>
      </c>
      <c r="CI324" s="847">
        <f t="shared" si="381"/>
        <v>2</v>
      </c>
      <c r="CJ324" s="236">
        <f t="shared" si="360"/>
        <v>2</v>
      </c>
      <c r="CK324" s="3510">
        <f>CK48+CK187</f>
        <v>2</v>
      </c>
      <c r="CL324" s="847">
        <f t="shared" si="381"/>
        <v>2</v>
      </c>
      <c r="CM324" s="847">
        <f>CM48+CM187</f>
        <v>3</v>
      </c>
      <c r="CN324" s="847">
        <f>CN48+CN187</f>
        <v>4</v>
      </c>
      <c r="CO324" s="661">
        <f>CO48+CO187</f>
        <v>4</v>
      </c>
      <c r="CP324" s="3510"/>
      <c r="CQ324" s="847"/>
      <c r="CR324" s="847"/>
      <c r="CS324" s="847"/>
      <c r="CT324" s="661">
        <f>CT48+CT187</f>
        <v>0</v>
      </c>
      <c r="CU324" s="661">
        <f t="shared" si="381"/>
        <v>0</v>
      </c>
      <c r="CV324" s="661">
        <f t="shared" si="381"/>
        <v>0</v>
      </c>
      <c r="DB324" s="217"/>
    </row>
    <row r="325" spans="1:108" x14ac:dyDescent="0.2">
      <c r="A325" s="1434" t="s">
        <v>383</v>
      </c>
      <c r="B325" s="651"/>
      <c r="C325" s="236"/>
      <c r="D325" s="234"/>
      <c r="E325" s="234"/>
      <c r="F325" s="234"/>
      <c r="G325" s="234"/>
      <c r="H325" s="661"/>
      <c r="I325" s="847">
        <f t="shared" ref="I325:AN325" si="382">I49+I186</f>
        <v>0</v>
      </c>
      <c r="J325" s="847">
        <f t="shared" si="382"/>
        <v>0</v>
      </c>
      <c r="K325" s="847">
        <f t="shared" si="382"/>
        <v>0</v>
      </c>
      <c r="L325" s="847">
        <f t="shared" si="382"/>
        <v>0</v>
      </c>
      <c r="M325" s="661">
        <f t="shared" si="382"/>
        <v>0</v>
      </c>
      <c r="N325" s="847">
        <f t="shared" si="382"/>
        <v>0</v>
      </c>
      <c r="O325" s="847">
        <f t="shared" si="382"/>
        <v>0</v>
      </c>
      <c r="P325" s="847">
        <f t="shared" si="382"/>
        <v>0</v>
      </c>
      <c r="Q325" s="847">
        <f t="shared" si="382"/>
        <v>0</v>
      </c>
      <c r="R325" s="661">
        <f t="shared" si="382"/>
        <v>0</v>
      </c>
      <c r="S325" s="847">
        <f t="shared" si="382"/>
        <v>0</v>
      </c>
      <c r="T325" s="847">
        <f t="shared" si="382"/>
        <v>0</v>
      </c>
      <c r="U325" s="847">
        <f t="shared" si="382"/>
        <v>0</v>
      </c>
      <c r="V325" s="847">
        <f t="shared" si="382"/>
        <v>0</v>
      </c>
      <c r="W325" s="661">
        <f t="shared" si="382"/>
        <v>0</v>
      </c>
      <c r="X325" s="847">
        <f t="shared" si="382"/>
        <v>0</v>
      </c>
      <c r="Y325" s="847">
        <f t="shared" si="382"/>
        <v>0</v>
      </c>
      <c r="Z325" s="847">
        <f t="shared" si="382"/>
        <v>0</v>
      </c>
      <c r="AA325" s="847">
        <f t="shared" si="382"/>
        <v>0</v>
      </c>
      <c r="AB325" s="661">
        <f t="shared" si="382"/>
        <v>0</v>
      </c>
      <c r="AC325" s="847">
        <f t="shared" si="382"/>
        <v>0</v>
      </c>
      <c r="AD325" s="847">
        <f t="shared" si="382"/>
        <v>0</v>
      </c>
      <c r="AE325" s="847">
        <f t="shared" si="382"/>
        <v>0</v>
      </c>
      <c r="AF325" s="847">
        <f t="shared" si="382"/>
        <v>0</v>
      </c>
      <c r="AG325" s="661">
        <f t="shared" si="382"/>
        <v>0</v>
      </c>
      <c r="AH325" s="847">
        <f t="shared" si="382"/>
        <v>0</v>
      </c>
      <c r="AI325" s="847">
        <f t="shared" si="382"/>
        <v>0</v>
      </c>
      <c r="AJ325" s="847">
        <f t="shared" si="382"/>
        <v>0</v>
      </c>
      <c r="AK325" s="847">
        <f t="shared" si="382"/>
        <v>0</v>
      </c>
      <c r="AL325" s="661">
        <f t="shared" si="382"/>
        <v>0</v>
      </c>
      <c r="AM325" s="847">
        <f t="shared" si="382"/>
        <v>0</v>
      </c>
      <c r="AN325" s="847">
        <f t="shared" si="382"/>
        <v>0</v>
      </c>
      <c r="AO325" s="847">
        <f t="shared" ref="AO325:BT325" si="383">AO49+AO186</f>
        <v>0</v>
      </c>
      <c r="AP325" s="847">
        <f t="shared" si="383"/>
        <v>0</v>
      </c>
      <c r="AQ325" s="661">
        <f t="shared" si="383"/>
        <v>0</v>
      </c>
      <c r="AR325" s="847">
        <f t="shared" si="383"/>
        <v>0</v>
      </c>
      <c r="AS325" s="847">
        <f t="shared" si="383"/>
        <v>0</v>
      </c>
      <c r="AT325" s="847">
        <f t="shared" si="383"/>
        <v>0</v>
      </c>
      <c r="AU325" s="847">
        <f t="shared" si="383"/>
        <v>0</v>
      </c>
      <c r="AV325" s="661">
        <f t="shared" si="383"/>
        <v>0</v>
      </c>
      <c r="AW325" s="847">
        <f t="shared" si="383"/>
        <v>0</v>
      </c>
      <c r="AX325" s="847">
        <f t="shared" si="383"/>
        <v>0</v>
      </c>
      <c r="AY325" s="847">
        <f t="shared" si="383"/>
        <v>0</v>
      </c>
      <c r="AZ325" s="847">
        <f t="shared" si="383"/>
        <v>0</v>
      </c>
      <c r="BA325" s="661">
        <f t="shared" si="383"/>
        <v>0</v>
      </c>
      <c r="BB325" s="847">
        <f t="shared" si="383"/>
        <v>0</v>
      </c>
      <c r="BC325" s="847">
        <f t="shared" si="383"/>
        <v>0</v>
      </c>
      <c r="BD325" s="847">
        <f t="shared" si="383"/>
        <v>0</v>
      </c>
      <c r="BE325" s="847">
        <f t="shared" si="383"/>
        <v>1</v>
      </c>
      <c r="BF325" s="661">
        <f t="shared" si="383"/>
        <v>1</v>
      </c>
      <c r="BG325" s="847">
        <f t="shared" si="383"/>
        <v>1</v>
      </c>
      <c r="BH325" s="847">
        <f t="shared" si="383"/>
        <v>1</v>
      </c>
      <c r="BI325" s="847">
        <f t="shared" si="383"/>
        <v>0</v>
      </c>
      <c r="BJ325" s="847">
        <f t="shared" si="383"/>
        <v>0</v>
      </c>
      <c r="BK325" s="661">
        <f t="shared" si="383"/>
        <v>0</v>
      </c>
      <c r="BL325" s="847">
        <f t="shared" si="383"/>
        <v>1</v>
      </c>
      <c r="BM325" s="847">
        <f t="shared" si="383"/>
        <v>1</v>
      </c>
      <c r="BN325" s="847">
        <f t="shared" si="383"/>
        <v>1</v>
      </c>
      <c r="BO325" s="1431">
        <f t="shared" si="383"/>
        <v>1</v>
      </c>
      <c r="BP325" s="661">
        <f t="shared" si="383"/>
        <v>1</v>
      </c>
      <c r="BQ325" s="847">
        <f t="shared" si="383"/>
        <v>1</v>
      </c>
      <c r="BR325" s="847">
        <f t="shared" si="383"/>
        <v>1</v>
      </c>
      <c r="BS325" s="847">
        <f t="shared" si="383"/>
        <v>1</v>
      </c>
      <c r="BT325" s="847">
        <f t="shared" si="383"/>
        <v>1</v>
      </c>
      <c r="BU325" s="661">
        <f t="shared" ref="BU325:CV325" si="384">BU49+BU186</f>
        <v>1</v>
      </c>
      <c r="BV325" s="847">
        <f t="shared" si="384"/>
        <v>2</v>
      </c>
      <c r="BW325" s="847">
        <f t="shared" si="384"/>
        <v>2</v>
      </c>
      <c r="BX325" s="847">
        <f t="shared" si="384"/>
        <v>1</v>
      </c>
      <c r="BY325" s="847">
        <f t="shared" si="384"/>
        <v>1</v>
      </c>
      <c r="BZ325" s="661">
        <f t="shared" si="384"/>
        <v>1</v>
      </c>
      <c r="CA325" s="847">
        <f t="shared" si="384"/>
        <v>2</v>
      </c>
      <c r="CB325" s="847">
        <f t="shared" si="384"/>
        <v>3</v>
      </c>
      <c r="CC325" s="847">
        <f t="shared" si="384"/>
        <v>3</v>
      </c>
      <c r="CD325" s="847">
        <f t="shared" si="384"/>
        <v>3</v>
      </c>
      <c r="CE325" s="661">
        <f t="shared" si="384"/>
        <v>3</v>
      </c>
      <c r="CF325" s="847">
        <f t="shared" si="384"/>
        <v>3</v>
      </c>
      <c r="CG325" s="847">
        <f t="shared" si="384"/>
        <v>3</v>
      </c>
      <c r="CH325" s="847">
        <f t="shared" si="384"/>
        <v>3</v>
      </c>
      <c r="CI325" s="847">
        <f t="shared" si="384"/>
        <v>4</v>
      </c>
      <c r="CJ325" s="236">
        <f t="shared" si="360"/>
        <v>4</v>
      </c>
      <c r="CK325" s="3510">
        <f>CK49+CK186</f>
        <v>4</v>
      </c>
      <c r="CL325" s="847">
        <f t="shared" si="384"/>
        <v>4</v>
      </c>
      <c r="CM325" s="847">
        <f t="shared" si="384"/>
        <v>4</v>
      </c>
      <c r="CN325" s="847">
        <f t="shared" ref="CN325:CO325" si="385">CN49+CN186</f>
        <v>4</v>
      </c>
      <c r="CO325" s="661">
        <f t="shared" si="385"/>
        <v>4</v>
      </c>
      <c r="CP325" s="3510"/>
      <c r="CQ325" s="847"/>
      <c r="CR325" s="847"/>
      <c r="CS325" s="847"/>
      <c r="CT325" s="661">
        <f>CT49+CT186</f>
        <v>0</v>
      </c>
      <c r="CU325" s="661">
        <f t="shared" si="384"/>
        <v>0</v>
      </c>
      <c r="CV325" s="661">
        <f t="shared" si="384"/>
        <v>0</v>
      </c>
      <c r="DB325" s="217"/>
    </row>
    <row r="326" spans="1:108" x14ac:dyDescent="0.2">
      <c r="A326" s="1434" t="s">
        <v>656</v>
      </c>
      <c r="B326" s="651"/>
      <c r="C326" s="236"/>
      <c r="D326" s="234"/>
      <c r="E326" s="234"/>
      <c r="F326" s="234"/>
      <c r="G326" s="234"/>
      <c r="H326" s="661"/>
      <c r="I326" s="847">
        <f t="shared" ref="I326:AN326" si="386">I50+I188</f>
        <v>0</v>
      </c>
      <c r="J326" s="847">
        <f t="shared" si="386"/>
        <v>0</v>
      </c>
      <c r="K326" s="847">
        <f t="shared" si="386"/>
        <v>0</v>
      </c>
      <c r="L326" s="847">
        <f t="shared" si="386"/>
        <v>0</v>
      </c>
      <c r="M326" s="661">
        <f t="shared" si="386"/>
        <v>0</v>
      </c>
      <c r="N326" s="847">
        <f t="shared" si="386"/>
        <v>0</v>
      </c>
      <c r="O326" s="847">
        <f t="shared" si="386"/>
        <v>0</v>
      </c>
      <c r="P326" s="847">
        <f t="shared" si="386"/>
        <v>0</v>
      </c>
      <c r="Q326" s="847">
        <f t="shared" si="386"/>
        <v>0</v>
      </c>
      <c r="R326" s="661">
        <f t="shared" si="386"/>
        <v>0</v>
      </c>
      <c r="S326" s="847">
        <f t="shared" si="386"/>
        <v>0</v>
      </c>
      <c r="T326" s="847">
        <f t="shared" si="386"/>
        <v>0</v>
      </c>
      <c r="U326" s="847">
        <f t="shared" si="386"/>
        <v>0</v>
      </c>
      <c r="V326" s="847">
        <f t="shared" si="386"/>
        <v>0</v>
      </c>
      <c r="W326" s="661">
        <f t="shared" si="386"/>
        <v>0</v>
      </c>
      <c r="X326" s="847">
        <f t="shared" si="386"/>
        <v>0</v>
      </c>
      <c r="Y326" s="847">
        <f t="shared" si="386"/>
        <v>0</v>
      </c>
      <c r="Z326" s="847">
        <f t="shared" si="386"/>
        <v>0</v>
      </c>
      <c r="AA326" s="847">
        <f t="shared" si="386"/>
        <v>0</v>
      </c>
      <c r="AB326" s="661">
        <f t="shared" si="386"/>
        <v>0</v>
      </c>
      <c r="AC326" s="847">
        <f t="shared" si="386"/>
        <v>0</v>
      </c>
      <c r="AD326" s="847">
        <f t="shared" si="386"/>
        <v>0</v>
      </c>
      <c r="AE326" s="847">
        <f t="shared" si="386"/>
        <v>0</v>
      </c>
      <c r="AF326" s="847">
        <f t="shared" si="386"/>
        <v>0</v>
      </c>
      <c r="AG326" s="661">
        <f t="shared" si="386"/>
        <v>0</v>
      </c>
      <c r="AH326" s="847">
        <f t="shared" si="386"/>
        <v>0</v>
      </c>
      <c r="AI326" s="847">
        <f t="shared" si="386"/>
        <v>0</v>
      </c>
      <c r="AJ326" s="847">
        <f t="shared" si="386"/>
        <v>0</v>
      </c>
      <c r="AK326" s="847">
        <f t="shared" si="386"/>
        <v>0</v>
      </c>
      <c r="AL326" s="661">
        <f t="shared" si="386"/>
        <v>0</v>
      </c>
      <c r="AM326" s="847">
        <f t="shared" si="386"/>
        <v>0</v>
      </c>
      <c r="AN326" s="847">
        <f t="shared" si="386"/>
        <v>0</v>
      </c>
      <c r="AO326" s="847">
        <f t="shared" ref="AO326:BT326" si="387">AO50+AO188</f>
        <v>0</v>
      </c>
      <c r="AP326" s="847">
        <f t="shared" si="387"/>
        <v>0</v>
      </c>
      <c r="AQ326" s="661">
        <f t="shared" si="387"/>
        <v>0</v>
      </c>
      <c r="AR326" s="847">
        <f t="shared" si="387"/>
        <v>0</v>
      </c>
      <c r="AS326" s="847">
        <f t="shared" si="387"/>
        <v>0</v>
      </c>
      <c r="AT326" s="847">
        <f t="shared" si="387"/>
        <v>0</v>
      </c>
      <c r="AU326" s="847">
        <f t="shared" si="387"/>
        <v>0</v>
      </c>
      <c r="AV326" s="661">
        <f t="shared" si="387"/>
        <v>0</v>
      </c>
      <c r="AW326" s="847">
        <f t="shared" si="387"/>
        <v>0</v>
      </c>
      <c r="AX326" s="847">
        <f t="shared" si="387"/>
        <v>0</v>
      </c>
      <c r="AY326" s="847">
        <f t="shared" si="387"/>
        <v>0</v>
      </c>
      <c r="AZ326" s="847">
        <f t="shared" si="387"/>
        <v>0</v>
      </c>
      <c r="BA326" s="661">
        <f t="shared" si="387"/>
        <v>0</v>
      </c>
      <c r="BB326" s="847">
        <f t="shared" si="387"/>
        <v>0</v>
      </c>
      <c r="BC326" s="847">
        <f t="shared" si="387"/>
        <v>0</v>
      </c>
      <c r="BD326" s="847">
        <f t="shared" si="387"/>
        <v>0</v>
      </c>
      <c r="BE326" s="847">
        <f t="shared" si="387"/>
        <v>0</v>
      </c>
      <c r="BF326" s="661">
        <f t="shared" si="387"/>
        <v>0</v>
      </c>
      <c r="BG326" s="847">
        <f t="shared" si="387"/>
        <v>1</v>
      </c>
      <c r="BH326" s="847">
        <f t="shared" si="387"/>
        <v>1</v>
      </c>
      <c r="BI326" s="847">
        <f t="shared" si="387"/>
        <v>1</v>
      </c>
      <c r="BJ326" s="847">
        <f t="shared" si="387"/>
        <v>1</v>
      </c>
      <c r="BK326" s="661">
        <f t="shared" si="387"/>
        <v>1</v>
      </c>
      <c r="BL326" s="847">
        <f t="shared" si="387"/>
        <v>0</v>
      </c>
      <c r="BM326" s="847">
        <f t="shared" si="387"/>
        <v>0</v>
      </c>
      <c r="BN326" s="847">
        <f t="shared" si="387"/>
        <v>0</v>
      </c>
      <c r="BO326" s="1431">
        <f t="shared" si="387"/>
        <v>0</v>
      </c>
      <c r="BP326" s="661">
        <f t="shared" si="387"/>
        <v>0</v>
      </c>
      <c r="BQ326" s="847">
        <f t="shared" si="387"/>
        <v>0</v>
      </c>
      <c r="BR326" s="847">
        <f t="shared" si="387"/>
        <v>0</v>
      </c>
      <c r="BS326" s="847">
        <f t="shared" si="387"/>
        <v>0</v>
      </c>
      <c r="BT326" s="847">
        <f t="shared" si="387"/>
        <v>0</v>
      </c>
      <c r="BU326" s="661">
        <f t="shared" ref="BU326:CV326" si="388">BU50+BU188</f>
        <v>0</v>
      </c>
      <c r="BV326" s="847">
        <f t="shared" si="388"/>
        <v>0</v>
      </c>
      <c r="BW326" s="847">
        <f t="shared" si="388"/>
        <v>0</v>
      </c>
      <c r="BX326" s="847">
        <f t="shared" si="388"/>
        <v>0</v>
      </c>
      <c r="BY326" s="847">
        <f t="shared" si="388"/>
        <v>0</v>
      </c>
      <c r="BZ326" s="661">
        <f t="shared" si="388"/>
        <v>0</v>
      </c>
      <c r="CA326" s="847">
        <f t="shared" si="388"/>
        <v>0</v>
      </c>
      <c r="CB326" s="847">
        <f t="shared" si="388"/>
        <v>0</v>
      </c>
      <c r="CC326" s="847">
        <f t="shared" si="388"/>
        <v>0</v>
      </c>
      <c r="CD326" s="847">
        <f t="shared" si="388"/>
        <v>0</v>
      </c>
      <c r="CE326" s="661">
        <f t="shared" si="388"/>
        <v>0</v>
      </c>
      <c r="CF326" s="847">
        <f t="shared" si="388"/>
        <v>0</v>
      </c>
      <c r="CG326" s="847">
        <f t="shared" si="388"/>
        <v>0</v>
      </c>
      <c r="CH326" s="847">
        <f t="shared" si="388"/>
        <v>0</v>
      </c>
      <c r="CI326" s="847">
        <f t="shared" si="388"/>
        <v>0</v>
      </c>
      <c r="CJ326" s="236">
        <f t="shared" si="360"/>
        <v>0</v>
      </c>
      <c r="CK326" s="3510">
        <f>CK50+CK188</f>
        <v>0</v>
      </c>
      <c r="CL326" s="847">
        <f t="shared" si="388"/>
        <v>0</v>
      </c>
      <c r="CM326" s="847">
        <f t="shared" si="388"/>
        <v>0</v>
      </c>
      <c r="CN326" s="847">
        <f t="shared" ref="CN326:CO326" si="389">CN50+CN188</f>
        <v>0</v>
      </c>
      <c r="CO326" s="661">
        <f t="shared" si="389"/>
        <v>0</v>
      </c>
      <c r="CP326" s="3510"/>
      <c r="CQ326" s="847"/>
      <c r="CR326" s="847"/>
      <c r="CS326" s="847"/>
      <c r="CT326" s="661">
        <f>CT50+CT188</f>
        <v>0</v>
      </c>
      <c r="CU326" s="661">
        <f t="shared" si="388"/>
        <v>0</v>
      </c>
      <c r="CV326" s="661">
        <f t="shared" si="388"/>
        <v>0</v>
      </c>
      <c r="DB326" s="217"/>
    </row>
    <row r="327" spans="1:108" x14ac:dyDescent="0.2">
      <c r="A327" s="1434" t="s">
        <v>1386</v>
      </c>
      <c r="B327" s="651"/>
      <c r="C327" s="236"/>
      <c r="D327" s="234"/>
      <c r="E327" s="234"/>
      <c r="F327" s="234"/>
      <c r="G327" s="234"/>
      <c r="H327" s="661"/>
      <c r="I327" s="847">
        <f t="shared" ref="I327:AN327" si="390">I51+I189</f>
        <v>254</v>
      </c>
      <c r="J327" s="847">
        <f t="shared" si="390"/>
        <v>256</v>
      </c>
      <c r="K327" s="847">
        <f t="shared" si="390"/>
        <v>261</v>
      </c>
      <c r="L327" s="847">
        <f t="shared" si="390"/>
        <v>261</v>
      </c>
      <c r="M327" s="661">
        <f t="shared" si="390"/>
        <v>261</v>
      </c>
      <c r="N327" s="847">
        <f t="shared" si="390"/>
        <v>263</v>
      </c>
      <c r="O327" s="847">
        <f t="shared" si="390"/>
        <v>264</v>
      </c>
      <c r="P327" s="847">
        <f t="shared" si="390"/>
        <v>264</v>
      </c>
      <c r="Q327" s="847">
        <f t="shared" si="390"/>
        <v>265</v>
      </c>
      <c r="R327" s="661">
        <f t="shared" si="390"/>
        <v>265</v>
      </c>
      <c r="S327" s="847">
        <f t="shared" si="390"/>
        <v>265</v>
      </c>
      <c r="T327" s="847">
        <f t="shared" si="390"/>
        <v>265</v>
      </c>
      <c r="U327" s="847">
        <f t="shared" si="390"/>
        <v>268</v>
      </c>
      <c r="V327" s="847">
        <f t="shared" si="390"/>
        <v>270</v>
      </c>
      <c r="W327" s="661">
        <f t="shared" si="390"/>
        <v>270</v>
      </c>
      <c r="X327" s="847">
        <f t="shared" si="390"/>
        <v>272</v>
      </c>
      <c r="Y327" s="847">
        <f t="shared" si="390"/>
        <v>273</v>
      </c>
      <c r="Z327" s="847">
        <f t="shared" si="390"/>
        <v>275</v>
      </c>
      <c r="AA327" s="847">
        <f t="shared" si="390"/>
        <v>278</v>
      </c>
      <c r="AB327" s="661">
        <f t="shared" si="390"/>
        <v>278</v>
      </c>
      <c r="AC327" s="847">
        <f t="shared" si="390"/>
        <v>281</v>
      </c>
      <c r="AD327" s="847">
        <f t="shared" si="390"/>
        <v>282</v>
      </c>
      <c r="AE327" s="847">
        <f t="shared" si="390"/>
        <v>282</v>
      </c>
      <c r="AF327" s="847">
        <f t="shared" si="390"/>
        <v>284</v>
      </c>
      <c r="AG327" s="661">
        <f t="shared" si="390"/>
        <v>284</v>
      </c>
      <c r="AH327" s="847">
        <f t="shared" si="390"/>
        <v>286</v>
      </c>
      <c r="AI327" s="847">
        <f t="shared" si="390"/>
        <v>289</v>
      </c>
      <c r="AJ327" s="847">
        <f t="shared" si="390"/>
        <v>290</v>
      </c>
      <c r="AK327" s="847">
        <f t="shared" si="390"/>
        <v>287</v>
      </c>
      <c r="AL327" s="661">
        <f t="shared" si="390"/>
        <v>287</v>
      </c>
      <c r="AM327" s="847">
        <f t="shared" si="390"/>
        <v>286</v>
      </c>
      <c r="AN327" s="847">
        <f t="shared" si="390"/>
        <v>286</v>
      </c>
      <c r="AO327" s="847">
        <f t="shared" ref="AO327:BT327" si="391">AO51+AO189</f>
        <v>287</v>
      </c>
      <c r="AP327" s="847">
        <f t="shared" si="391"/>
        <v>287</v>
      </c>
      <c r="AQ327" s="661">
        <f t="shared" si="391"/>
        <v>287</v>
      </c>
      <c r="AR327" s="847">
        <f t="shared" si="391"/>
        <v>288</v>
      </c>
      <c r="AS327" s="847">
        <f t="shared" si="391"/>
        <v>290</v>
      </c>
      <c r="AT327" s="847">
        <f t="shared" si="391"/>
        <v>292</v>
      </c>
      <c r="AU327" s="847">
        <f t="shared" si="391"/>
        <v>293</v>
      </c>
      <c r="AV327" s="661">
        <f t="shared" si="391"/>
        <v>293</v>
      </c>
      <c r="AW327" s="847">
        <f t="shared" si="391"/>
        <v>296</v>
      </c>
      <c r="AX327" s="847">
        <f t="shared" si="391"/>
        <v>299</v>
      </c>
      <c r="AY327" s="847">
        <f t="shared" si="391"/>
        <v>302</v>
      </c>
      <c r="AZ327" s="847">
        <f t="shared" si="391"/>
        <v>304</v>
      </c>
      <c r="BA327" s="661">
        <f t="shared" si="391"/>
        <v>304</v>
      </c>
      <c r="BB327" s="847">
        <f t="shared" si="391"/>
        <v>305</v>
      </c>
      <c r="BC327" s="847">
        <f t="shared" si="391"/>
        <v>309</v>
      </c>
      <c r="BD327" s="847">
        <f t="shared" si="391"/>
        <v>309</v>
      </c>
      <c r="BE327" s="847">
        <f t="shared" si="391"/>
        <v>310</v>
      </c>
      <c r="BF327" s="661">
        <f t="shared" si="391"/>
        <v>310</v>
      </c>
      <c r="BG327" s="847">
        <f t="shared" si="391"/>
        <v>314</v>
      </c>
      <c r="BH327" s="847">
        <f t="shared" si="391"/>
        <v>313</v>
      </c>
      <c r="BI327" s="847">
        <f t="shared" si="391"/>
        <v>314</v>
      </c>
      <c r="BJ327" s="847">
        <f t="shared" si="391"/>
        <v>317</v>
      </c>
      <c r="BK327" s="661">
        <f t="shared" si="391"/>
        <v>317</v>
      </c>
      <c r="BL327" s="847">
        <f t="shared" si="391"/>
        <v>316</v>
      </c>
      <c r="BM327" s="847">
        <f t="shared" si="391"/>
        <v>313</v>
      </c>
      <c r="BN327" s="847">
        <f t="shared" si="391"/>
        <v>316</v>
      </c>
      <c r="BO327" s="1431">
        <f t="shared" si="391"/>
        <v>317</v>
      </c>
      <c r="BP327" s="661">
        <f t="shared" si="391"/>
        <v>317</v>
      </c>
      <c r="BQ327" s="847">
        <f t="shared" si="391"/>
        <v>314</v>
      </c>
      <c r="BR327" s="847">
        <f t="shared" si="391"/>
        <v>311</v>
      </c>
      <c r="BS327" s="847">
        <f t="shared" si="391"/>
        <v>313</v>
      </c>
      <c r="BT327" s="847">
        <f t="shared" si="391"/>
        <v>313</v>
      </c>
      <c r="BU327" s="661">
        <f t="shared" ref="BU327:CV327" si="392">BU51+BU189</f>
        <v>313</v>
      </c>
      <c r="BV327" s="847">
        <f t="shared" si="392"/>
        <v>315</v>
      </c>
      <c r="BW327" s="847">
        <f t="shared" si="392"/>
        <v>319</v>
      </c>
      <c r="BX327" s="847">
        <f t="shared" si="392"/>
        <v>320</v>
      </c>
      <c r="BY327" s="847">
        <f t="shared" si="392"/>
        <v>318</v>
      </c>
      <c r="BZ327" s="661">
        <f t="shared" si="392"/>
        <v>318</v>
      </c>
      <c r="CA327" s="847">
        <f t="shared" si="392"/>
        <v>320</v>
      </c>
      <c r="CB327" s="847">
        <f t="shared" si="392"/>
        <v>320</v>
      </c>
      <c r="CC327" s="847">
        <f t="shared" si="392"/>
        <v>324</v>
      </c>
      <c r="CD327" s="847">
        <f t="shared" si="392"/>
        <v>328</v>
      </c>
      <c r="CE327" s="661">
        <f t="shared" si="392"/>
        <v>328</v>
      </c>
      <c r="CF327" s="847">
        <f t="shared" si="392"/>
        <v>328</v>
      </c>
      <c r="CG327" s="847">
        <f t="shared" si="392"/>
        <v>330</v>
      </c>
      <c r="CH327" s="847">
        <f t="shared" si="392"/>
        <v>331</v>
      </c>
      <c r="CI327" s="847">
        <f t="shared" si="392"/>
        <v>334</v>
      </c>
      <c r="CJ327" s="236">
        <f t="shared" si="360"/>
        <v>334</v>
      </c>
      <c r="CK327" s="3510">
        <f>CK51+CK189</f>
        <v>335</v>
      </c>
      <c r="CL327" s="847">
        <f t="shared" si="392"/>
        <v>333</v>
      </c>
      <c r="CM327" s="847">
        <f t="shared" si="392"/>
        <v>333</v>
      </c>
      <c r="CN327" s="847">
        <f t="shared" ref="CN327:CO327" si="393">CN51+CN189</f>
        <v>325</v>
      </c>
      <c r="CO327" s="661">
        <f t="shared" si="393"/>
        <v>325</v>
      </c>
      <c r="CP327" s="3510"/>
      <c r="CQ327" s="847"/>
      <c r="CR327" s="847"/>
      <c r="CS327" s="847"/>
      <c r="CT327" s="661">
        <f>CT51+CT189</f>
        <v>0</v>
      </c>
      <c r="CU327" s="661">
        <f t="shared" si="392"/>
        <v>0</v>
      </c>
      <c r="CV327" s="661">
        <f t="shared" si="392"/>
        <v>0</v>
      </c>
      <c r="DB327" s="217"/>
    </row>
    <row r="328" spans="1:108" x14ac:dyDescent="0.2">
      <c r="A328" s="2308" t="s">
        <v>2124</v>
      </c>
      <c r="B328" s="651"/>
      <c r="C328" s="236"/>
      <c r="D328" s="234"/>
      <c r="E328" s="234"/>
      <c r="F328" s="234"/>
      <c r="G328" s="234"/>
      <c r="H328" s="661"/>
      <c r="I328" s="847"/>
      <c r="J328" s="847"/>
      <c r="K328" s="847"/>
      <c r="L328" s="847"/>
      <c r="M328" s="661"/>
      <c r="N328" s="847"/>
      <c r="O328" s="847"/>
      <c r="P328" s="847"/>
      <c r="Q328" s="847"/>
      <c r="R328" s="661"/>
      <c r="S328" s="847"/>
      <c r="T328" s="847"/>
      <c r="U328" s="847"/>
      <c r="V328" s="847"/>
      <c r="W328" s="661"/>
      <c r="X328" s="847"/>
      <c r="Y328" s="847"/>
      <c r="Z328" s="847"/>
      <c r="AA328" s="847"/>
      <c r="AB328" s="661"/>
      <c r="AC328" s="847"/>
      <c r="AD328" s="847"/>
      <c r="AE328" s="847"/>
      <c r="AF328" s="847"/>
      <c r="AG328" s="661"/>
      <c r="AH328" s="847"/>
      <c r="AI328" s="847"/>
      <c r="AJ328" s="847"/>
      <c r="AK328" s="847"/>
      <c r="AL328" s="661"/>
      <c r="AM328" s="847"/>
      <c r="AN328" s="847"/>
      <c r="AO328" s="847"/>
      <c r="AP328" s="847"/>
      <c r="AQ328" s="661"/>
      <c r="AR328" s="847"/>
      <c r="AS328" s="847"/>
      <c r="AT328" s="847"/>
      <c r="AU328" s="847"/>
      <c r="AV328" s="661"/>
      <c r="AW328" s="847"/>
      <c r="AX328" s="847"/>
      <c r="AY328" s="847"/>
      <c r="AZ328" s="847"/>
      <c r="BA328" s="661"/>
      <c r="BB328" s="847"/>
      <c r="BC328" s="847"/>
      <c r="BD328" s="847"/>
      <c r="BE328" s="847"/>
      <c r="BF328" s="661"/>
      <c r="BG328" s="847"/>
      <c r="BH328" s="847"/>
      <c r="BI328" s="847"/>
      <c r="BJ328" s="847"/>
      <c r="BK328" s="661"/>
      <c r="BL328" s="847"/>
      <c r="BM328" s="847"/>
      <c r="BN328" s="847"/>
      <c r="BO328" s="1431"/>
      <c r="BP328" s="661"/>
      <c r="BQ328" s="847"/>
      <c r="BR328" s="847"/>
      <c r="BS328" s="847"/>
      <c r="BT328" s="847"/>
      <c r="BU328" s="661"/>
      <c r="BV328" s="847"/>
      <c r="BW328" s="847">
        <f t="shared" ref="BW328:CI328" si="394">BW190</f>
        <v>43</v>
      </c>
      <c r="BX328" s="847">
        <f t="shared" si="394"/>
        <v>43</v>
      </c>
      <c r="BY328" s="847">
        <f t="shared" si="394"/>
        <v>43</v>
      </c>
      <c r="BZ328" s="661">
        <f t="shared" si="394"/>
        <v>43</v>
      </c>
      <c r="CA328" s="847">
        <f t="shared" si="394"/>
        <v>45</v>
      </c>
      <c r="CB328" s="847">
        <f t="shared" si="394"/>
        <v>37</v>
      </c>
      <c r="CC328" s="847">
        <f t="shared" si="394"/>
        <v>37</v>
      </c>
      <c r="CD328" s="847">
        <f t="shared" si="394"/>
        <v>37</v>
      </c>
      <c r="CE328" s="661">
        <f t="shared" si="394"/>
        <v>37</v>
      </c>
      <c r="CF328" s="847">
        <f t="shared" si="394"/>
        <v>37</v>
      </c>
      <c r="CG328" s="847">
        <f t="shared" si="394"/>
        <v>36</v>
      </c>
      <c r="CH328" s="847">
        <f t="shared" si="394"/>
        <v>36</v>
      </c>
      <c r="CI328" s="847">
        <f t="shared" si="394"/>
        <v>36</v>
      </c>
      <c r="CJ328" s="236">
        <f t="shared" si="360"/>
        <v>36</v>
      </c>
      <c r="CK328" s="3510">
        <f>CK190</f>
        <v>36</v>
      </c>
      <c r="CL328" s="847">
        <f>CL190</f>
        <v>36</v>
      </c>
      <c r="CM328" s="847">
        <f>CM190</f>
        <v>36</v>
      </c>
      <c r="CN328" s="847">
        <f>CN190</f>
        <v>36</v>
      </c>
      <c r="CO328" s="661">
        <f>CO190</f>
        <v>36</v>
      </c>
      <c r="CP328" s="3510"/>
      <c r="CQ328" s="847"/>
      <c r="CR328" s="847"/>
      <c r="CS328" s="847"/>
      <c r="CT328" s="661"/>
      <c r="CU328" s="661"/>
      <c r="CV328" s="661"/>
    </row>
    <row r="329" spans="1:108" x14ac:dyDescent="0.2">
      <c r="A329" s="1434" t="s">
        <v>1388</v>
      </c>
      <c r="B329" s="651"/>
      <c r="C329" s="236"/>
      <c r="D329" s="234"/>
      <c r="E329" s="234"/>
      <c r="F329" s="234"/>
      <c r="G329" s="234"/>
      <c r="H329" s="661"/>
      <c r="I329" s="847">
        <f t="shared" ref="I329:AN329" si="395">I52+I191</f>
        <v>114</v>
      </c>
      <c r="J329" s="847">
        <f t="shared" si="395"/>
        <v>116</v>
      </c>
      <c r="K329" s="847">
        <f t="shared" si="395"/>
        <v>119</v>
      </c>
      <c r="L329" s="847">
        <f t="shared" si="395"/>
        <v>119</v>
      </c>
      <c r="M329" s="661">
        <f t="shared" si="395"/>
        <v>119</v>
      </c>
      <c r="N329" s="847">
        <f t="shared" si="395"/>
        <v>120</v>
      </c>
      <c r="O329" s="847">
        <f t="shared" si="395"/>
        <v>119</v>
      </c>
      <c r="P329" s="847">
        <f t="shared" si="395"/>
        <v>122</v>
      </c>
      <c r="Q329" s="847">
        <f t="shared" si="395"/>
        <v>124</v>
      </c>
      <c r="R329" s="661">
        <f t="shared" si="395"/>
        <v>124</v>
      </c>
      <c r="S329" s="847">
        <f t="shared" si="395"/>
        <v>121</v>
      </c>
      <c r="T329" s="847">
        <f t="shared" si="395"/>
        <v>118</v>
      </c>
      <c r="U329" s="847">
        <f t="shared" si="395"/>
        <v>115</v>
      </c>
      <c r="V329" s="847">
        <f t="shared" si="395"/>
        <v>124</v>
      </c>
      <c r="W329" s="661">
        <f t="shared" si="395"/>
        <v>124</v>
      </c>
      <c r="X329" s="847">
        <f t="shared" si="395"/>
        <v>126</v>
      </c>
      <c r="Y329" s="847">
        <f t="shared" si="395"/>
        <v>128</v>
      </c>
      <c r="Z329" s="847">
        <f t="shared" si="395"/>
        <v>131</v>
      </c>
      <c r="AA329" s="847">
        <f t="shared" si="395"/>
        <v>131</v>
      </c>
      <c r="AB329" s="661">
        <f t="shared" si="395"/>
        <v>131</v>
      </c>
      <c r="AC329" s="847">
        <f t="shared" si="395"/>
        <v>131</v>
      </c>
      <c r="AD329" s="847">
        <f t="shared" si="395"/>
        <v>132</v>
      </c>
      <c r="AE329" s="847">
        <f t="shared" si="395"/>
        <v>132</v>
      </c>
      <c r="AF329" s="847">
        <f t="shared" si="395"/>
        <v>134</v>
      </c>
      <c r="AG329" s="661">
        <f t="shared" si="395"/>
        <v>134</v>
      </c>
      <c r="AH329" s="847">
        <f t="shared" si="395"/>
        <v>134</v>
      </c>
      <c r="AI329" s="847">
        <f t="shared" si="395"/>
        <v>134</v>
      </c>
      <c r="AJ329" s="847">
        <f t="shared" si="395"/>
        <v>134</v>
      </c>
      <c r="AK329" s="847">
        <f t="shared" si="395"/>
        <v>136</v>
      </c>
      <c r="AL329" s="661">
        <f t="shared" si="395"/>
        <v>136</v>
      </c>
      <c r="AM329" s="847">
        <f t="shared" si="395"/>
        <v>136</v>
      </c>
      <c r="AN329" s="847">
        <f t="shared" si="395"/>
        <v>135</v>
      </c>
      <c r="AO329" s="847">
        <f t="shared" ref="AO329:BT329" si="396">AO52+AO191</f>
        <v>136</v>
      </c>
      <c r="AP329" s="847">
        <f t="shared" si="396"/>
        <v>138</v>
      </c>
      <c r="AQ329" s="661">
        <f t="shared" si="396"/>
        <v>138</v>
      </c>
      <c r="AR329" s="847">
        <f t="shared" si="396"/>
        <v>134</v>
      </c>
      <c r="AS329" s="847">
        <f t="shared" si="396"/>
        <v>133</v>
      </c>
      <c r="AT329" s="847">
        <f t="shared" si="396"/>
        <v>132</v>
      </c>
      <c r="AU329" s="847">
        <f t="shared" si="396"/>
        <v>134</v>
      </c>
      <c r="AV329" s="661">
        <f t="shared" si="396"/>
        <v>134</v>
      </c>
      <c r="AW329" s="847">
        <f t="shared" si="396"/>
        <v>135</v>
      </c>
      <c r="AX329" s="847">
        <f t="shared" si="396"/>
        <v>139</v>
      </c>
      <c r="AY329" s="847">
        <f t="shared" si="396"/>
        <v>141</v>
      </c>
      <c r="AZ329" s="847">
        <f t="shared" si="396"/>
        <v>141</v>
      </c>
      <c r="BA329" s="661">
        <f t="shared" si="396"/>
        <v>141</v>
      </c>
      <c r="BB329" s="847">
        <f t="shared" si="396"/>
        <v>135</v>
      </c>
      <c r="BC329" s="847">
        <f t="shared" si="396"/>
        <v>135</v>
      </c>
      <c r="BD329" s="847">
        <f t="shared" si="396"/>
        <v>135</v>
      </c>
      <c r="BE329" s="847">
        <f t="shared" si="396"/>
        <v>135</v>
      </c>
      <c r="BF329" s="661">
        <f t="shared" si="396"/>
        <v>135</v>
      </c>
      <c r="BG329" s="847">
        <f t="shared" si="396"/>
        <v>136</v>
      </c>
      <c r="BH329" s="847">
        <f t="shared" si="396"/>
        <v>137</v>
      </c>
      <c r="BI329" s="847">
        <f t="shared" si="396"/>
        <v>137</v>
      </c>
      <c r="BJ329" s="847">
        <f t="shared" si="396"/>
        <v>137</v>
      </c>
      <c r="BK329" s="661">
        <f t="shared" si="396"/>
        <v>137</v>
      </c>
      <c r="BL329" s="847">
        <f t="shared" si="396"/>
        <v>139</v>
      </c>
      <c r="BM329" s="847">
        <f t="shared" si="396"/>
        <v>137</v>
      </c>
      <c r="BN329" s="847">
        <f t="shared" si="396"/>
        <v>135</v>
      </c>
      <c r="BO329" s="1431">
        <f t="shared" si="396"/>
        <v>133</v>
      </c>
      <c r="BP329" s="661">
        <f t="shared" si="396"/>
        <v>133</v>
      </c>
      <c r="BQ329" s="847">
        <f t="shared" si="396"/>
        <v>133</v>
      </c>
      <c r="BR329" s="847">
        <f t="shared" si="396"/>
        <v>128</v>
      </c>
      <c r="BS329" s="847">
        <f t="shared" si="396"/>
        <v>128</v>
      </c>
      <c r="BT329" s="847">
        <f t="shared" si="396"/>
        <v>127</v>
      </c>
      <c r="BU329" s="661">
        <f t="shared" ref="BU329:CV329" si="397">BU52+BU191</f>
        <v>127</v>
      </c>
      <c r="BV329" s="847">
        <f t="shared" si="397"/>
        <v>123</v>
      </c>
      <c r="BW329" s="847">
        <f t="shared" si="397"/>
        <v>124</v>
      </c>
      <c r="BX329" s="847">
        <f t="shared" si="397"/>
        <v>112</v>
      </c>
      <c r="BY329" s="847">
        <f t="shared" si="397"/>
        <v>113</v>
      </c>
      <c r="BZ329" s="661">
        <f t="shared" si="397"/>
        <v>113</v>
      </c>
      <c r="CA329" s="847">
        <f t="shared" si="397"/>
        <v>114</v>
      </c>
      <c r="CB329" s="847">
        <f t="shared" si="397"/>
        <v>114</v>
      </c>
      <c r="CC329" s="847">
        <f t="shared" si="397"/>
        <v>115</v>
      </c>
      <c r="CD329" s="847">
        <f t="shared" si="397"/>
        <v>115</v>
      </c>
      <c r="CE329" s="661">
        <f t="shared" si="397"/>
        <v>115</v>
      </c>
      <c r="CF329" s="847">
        <f t="shared" si="397"/>
        <v>117</v>
      </c>
      <c r="CG329" s="847">
        <f t="shared" si="397"/>
        <v>117</v>
      </c>
      <c r="CH329" s="847">
        <f t="shared" si="397"/>
        <v>119</v>
      </c>
      <c r="CI329" s="847">
        <f t="shared" si="397"/>
        <v>119</v>
      </c>
      <c r="CJ329" s="236">
        <f t="shared" si="360"/>
        <v>119</v>
      </c>
      <c r="CK329" s="3510">
        <f>CK52+CK191</f>
        <v>118</v>
      </c>
      <c r="CL329" s="847">
        <f t="shared" si="397"/>
        <v>117</v>
      </c>
      <c r="CM329" s="847">
        <f t="shared" si="397"/>
        <v>111</v>
      </c>
      <c r="CN329" s="847">
        <f t="shared" ref="CN329:CO329" si="398">CN52+CN191</f>
        <v>114</v>
      </c>
      <c r="CO329" s="661">
        <f t="shared" si="398"/>
        <v>114</v>
      </c>
      <c r="CP329" s="3510"/>
      <c r="CQ329" s="847"/>
      <c r="CR329" s="847"/>
      <c r="CS329" s="847"/>
      <c r="CT329" s="661">
        <f>CT52+CT191</f>
        <v>0</v>
      </c>
      <c r="CU329" s="661">
        <f t="shared" si="397"/>
        <v>0</v>
      </c>
      <c r="CV329" s="661">
        <f t="shared" si="397"/>
        <v>0</v>
      </c>
      <c r="DB329" s="217"/>
    </row>
    <row r="330" spans="1:108" x14ac:dyDescent="0.2">
      <c r="A330" s="1436" t="s">
        <v>1391</v>
      </c>
      <c r="B330" s="651"/>
      <c r="C330" s="236"/>
      <c r="D330" s="234"/>
      <c r="E330" s="234"/>
      <c r="F330" s="234"/>
      <c r="G330" s="234"/>
      <c r="H330" s="661"/>
      <c r="I330" s="847">
        <f t="shared" ref="I330:AN330" si="399">I53+I192</f>
        <v>21</v>
      </c>
      <c r="J330" s="847">
        <f t="shared" si="399"/>
        <v>23</v>
      </c>
      <c r="K330" s="847">
        <f t="shared" si="399"/>
        <v>23</v>
      </c>
      <c r="L330" s="847">
        <f t="shared" si="399"/>
        <v>24</v>
      </c>
      <c r="M330" s="661">
        <f t="shared" si="399"/>
        <v>24</v>
      </c>
      <c r="N330" s="847">
        <f t="shared" si="399"/>
        <v>25</v>
      </c>
      <c r="O330" s="847">
        <f t="shared" si="399"/>
        <v>25</v>
      </c>
      <c r="P330" s="847">
        <f t="shared" si="399"/>
        <v>25</v>
      </c>
      <c r="Q330" s="847">
        <f t="shared" si="399"/>
        <v>28</v>
      </c>
      <c r="R330" s="661">
        <f t="shared" si="399"/>
        <v>28</v>
      </c>
      <c r="S330" s="847">
        <f t="shared" si="399"/>
        <v>28</v>
      </c>
      <c r="T330" s="847">
        <f t="shared" si="399"/>
        <v>27</v>
      </c>
      <c r="U330" s="847">
        <f t="shared" si="399"/>
        <v>27</v>
      </c>
      <c r="V330" s="847">
        <f t="shared" si="399"/>
        <v>28</v>
      </c>
      <c r="W330" s="661">
        <f t="shared" si="399"/>
        <v>28</v>
      </c>
      <c r="X330" s="847">
        <f t="shared" si="399"/>
        <v>28</v>
      </c>
      <c r="Y330" s="847">
        <f t="shared" si="399"/>
        <v>33</v>
      </c>
      <c r="Z330" s="847">
        <f t="shared" si="399"/>
        <v>34</v>
      </c>
      <c r="AA330" s="847">
        <f t="shared" si="399"/>
        <v>34</v>
      </c>
      <c r="AB330" s="661">
        <f t="shared" si="399"/>
        <v>34</v>
      </c>
      <c r="AC330" s="847">
        <f t="shared" si="399"/>
        <v>34</v>
      </c>
      <c r="AD330" s="847">
        <f t="shared" si="399"/>
        <v>34</v>
      </c>
      <c r="AE330" s="847">
        <f t="shared" si="399"/>
        <v>34</v>
      </c>
      <c r="AF330" s="847">
        <f t="shared" si="399"/>
        <v>34</v>
      </c>
      <c r="AG330" s="661">
        <f t="shared" si="399"/>
        <v>34</v>
      </c>
      <c r="AH330" s="847">
        <f t="shared" si="399"/>
        <v>34</v>
      </c>
      <c r="AI330" s="847">
        <f t="shared" si="399"/>
        <v>34</v>
      </c>
      <c r="AJ330" s="847">
        <f t="shared" si="399"/>
        <v>34</v>
      </c>
      <c r="AK330" s="847">
        <f t="shared" si="399"/>
        <v>34</v>
      </c>
      <c r="AL330" s="661">
        <f t="shared" si="399"/>
        <v>34</v>
      </c>
      <c r="AM330" s="847">
        <f t="shared" si="399"/>
        <v>34</v>
      </c>
      <c r="AN330" s="847">
        <f t="shared" si="399"/>
        <v>34</v>
      </c>
      <c r="AO330" s="847">
        <f t="shared" ref="AO330:BT330" si="400">AO53+AO192</f>
        <v>34</v>
      </c>
      <c r="AP330" s="847">
        <f t="shared" si="400"/>
        <v>34</v>
      </c>
      <c r="AQ330" s="661">
        <f t="shared" si="400"/>
        <v>34</v>
      </c>
      <c r="AR330" s="847">
        <f t="shared" si="400"/>
        <v>34</v>
      </c>
      <c r="AS330" s="847">
        <f t="shared" si="400"/>
        <v>34</v>
      </c>
      <c r="AT330" s="847">
        <f t="shared" si="400"/>
        <v>34</v>
      </c>
      <c r="AU330" s="847">
        <f t="shared" si="400"/>
        <v>34</v>
      </c>
      <c r="AV330" s="661">
        <f t="shared" si="400"/>
        <v>34</v>
      </c>
      <c r="AW330" s="847">
        <f t="shared" si="400"/>
        <v>34</v>
      </c>
      <c r="AX330" s="847">
        <f t="shared" si="400"/>
        <v>34</v>
      </c>
      <c r="AY330" s="847">
        <f t="shared" si="400"/>
        <v>34</v>
      </c>
      <c r="AZ330" s="847">
        <f t="shared" si="400"/>
        <v>34</v>
      </c>
      <c r="BA330" s="661">
        <f t="shared" si="400"/>
        <v>34</v>
      </c>
      <c r="BB330" s="847">
        <f t="shared" si="400"/>
        <v>34</v>
      </c>
      <c r="BC330" s="847">
        <f t="shared" si="400"/>
        <v>34</v>
      </c>
      <c r="BD330" s="847">
        <f t="shared" si="400"/>
        <v>34</v>
      </c>
      <c r="BE330" s="847">
        <f t="shared" si="400"/>
        <v>34</v>
      </c>
      <c r="BF330" s="661">
        <f t="shared" si="400"/>
        <v>34</v>
      </c>
      <c r="BG330" s="847">
        <f t="shared" si="400"/>
        <v>34</v>
      </c>
      <c r="BH330" s="847">
        <f t="shared" si="400"/>
        <v>34</v>
      </c>
      <c r="BI330" s="847">
        <f t="shared" si="400"/>
        <v>34</v>
      </c>
      <c r="BJ330" s="847">
        <f t="shared" si="400"/>
        <v>29</v>
      </c>
      <c r="BK330" s="661">
        <f t="shared" si="400"/>
        <v>29</v>
      </c>
      <c r="BL330" s="847">
        <f t="shared" si="400"/>
        <v>29</v>
      </c>
      <c r="BM330" s="847">
        <f t="shared" si="400"/>
        <v>22</v>
      </c>
      <c r="BN330" s="847">
        <f t="shared" si="400"/>
        <v>22</v>
      </c>
      <c r="BO330" s="1431">
        <f t="shared" si="400"/>
        <v>22</v>
      </c>
      <c r="BP330" s="661">
        <f t="shared" si="400"/>
        <v>22</v>
      </c>
      <c r="BQ330" s="847">
        <f t="shared" si="400"/>
        <v>22</v>
      </c>
      <c r="BR330" s="847">
        <f t="shared" si="400"/>
        <v>22</v>
      </c>
      <c r="BS330" s="847">
        <f t="shared" si="400"/>
        <v>22</v>
      </c>
      <c r="BT330" s="847">
        <f t="shared" si="400"/>
        <v>22</v>
      </c>
      <c r="BU330" s="661">
        <f t="shared" ref="BU330:CV330" si="401">BU53+BU192</f>
        <v>22</v>
      </c>
      <c r="BV330" s="847">
        <f t="shared" si="401"/>
        <v>19</v>
      </c>
      <c r="BW330" s="847">
        <f t="shared" si="401"/>
        <v>18</v>
      </c>
      <c r="BX330" s="847">
        <f t="shared" si="401"/>
        <v>17</v>
      </c>
      <c r="BY330" s="847">
        <f t="shared" si="401"/>
        <v>15</v>
      </c>
      <c r="BZ330" s="661">
        <f t="shared" si="401"/>
        <v>15</v>
      </c>
      <c r="CA330" s="847">
        <f t="shared" si="401"/>
        <v>15</v>
      </c>
      <c r="CB330" s="847">
        <f t="shared" si="401"/>
        <v>15</v>
      </c>
      <c r="CC330" s="847">
        <f t="shared" si="401"/>
        <v>15</v>
      </c>
      <c r="CD330" s="847">
        <f t="shared" si="401"/>
        <v>15</v>
      </c>
      <c r="CE330" s="661">
        <f t="shared" si="401"/>
        <v>15</v>
      </c>
      <c r="CF330" s="847">
        <f t="shared" si="401"/>
        <v>15</v>
      </c>
      <c r="CG330" s="847">
        <f t="shared" si="401"/>
        <v>15</v>
      </c>
      <c r="CH330" s="847">
        <f t="shared" si="401"/>
        <v>15</v>
      </c>
      <c r="CI330" s="847">
        <f t="shared" si="401"/>
        <v>15</v>
      </c>
      <c r="CJ330" s="236">
        <f t="shared" si="360"/>
        <v>15</v>
      </c>
      <c r="CK330" s="3510">
        <f>CK53+CK192</f>
        <v>15</v>
      </c>
      <c r="CL330" s="847">
        <f t="shared" si="401"/>
        <v>15</v>
      </c>
      <c r="CM330" s="847">
        <f t="shared" si="401"/>
        <v>15</v>
      </c>
      <c r="CN330" s="847">
        <f t="shared" ref="CN330:CO330" si="402">CN53+CN192</f>
        <v>16</v>
      </c>
      <c r="CO330" s="661">
        <f t="shared" si="402"/>
        <v>16</v>
      </c>
      <c r="CP330" s="3510"/>
      <c r="CQ330" s="847"/>
      <c r="CR330" s="847"/>
      <c r="CS330" s="847"/>
      <c r="CT330" s="661">
        <f>CT53+CT192</f>
        <v>0</v>
      </c>
      <c r="CU330" s="661">
        <f t="shared" si="401"/>
        <v>0</v>
      </c>
      <c r="CV330" s="661">
        <f t="shared" si="401"/>
        <v>0</v>
      </c>
      <c r="DB330" s="217"/>
    </row>
    <row r="331" spans="1:108" x14ac:dyDescent="0.2">
      <c r="A331" s="1436" t="s">
        <v>1389</v>
      </c>
      <c r="B331" s="651"/>
      <c r="C331" s="236"/>
      <c r="D331" s="234"/>
      <c r="E331" s="234"/>
      <c r="F331" s="234"/>
      <c r="G331" s="234"/>
      <c r="H331" s="752"/>
      <c r="I331" s="847">
        <f t="shared" ref="I331:AN331" si="403">I54+I193</f>
        <v>52</v>
      </c>
      <c r="J331" s="758">
        <f t="shared" si="403"/>
        <v>52</v>
      </c>
      <c r="K331" s="758">
        <f t="shared" si="403"/>
        <v>52</v>
      </c>
      <c r="L331" s="758">
        <f t="shared" si="403"/>
        <v>1</v>
      </c>
      <c r="M331" s="752">
        <f t="shared" si="403"/>
        <v>1</v>
      </c>
      <c r="N331" s="758">
        <f t="shared" si="403"/>
        <v>1</v>
      </c>
      <c r="O331" s="758">
        <f t="shared" si="403"/>
        <v>1</v>
      </c>
      <c r="P331" s="758">
        <f t="shared" si="403"/>
        <v>1</v>
      </c>
      <c r="Q331" s="758">
        <f t="shared" si="403"/>
        <v>1</v>
      </c>
      <c r="R331" s="752">
        <f t="shared" si="403"/>
        <v>1</v>
      </c>
      <c r="S331" s="758">
        <f t="shared" si="403"/>
        <v>1</v>
      </c>
      <c r="T331" s="758">
        <f t="shared" si="403"/>
        <v>1</v>
      </c>
      <c r="U331" s="758">
        <f t="shared" si="403"/>
        <v>1</v>
      </c>
      <c r="V331" s="758">
        <f t="shared" si="403"/>
        <v>1</v>
      </c>
      <c r="W331" s="752">
        <f t="shared" si="403"/>
        <v>1</v>
      </c>
      <c r="X331" s="758">
        <f t="shared" si="403"/>
        <v>1</v>
      </c>
      <c r="Y331" s="758">
        <f t="shared" si="403"/>
        <v>1</v>
      </c>
      <c r="Z331" s="758">
        <f t="shared" si="403"/>
        <v>1</v>
      </c>
      <c r="AA331" s="758">
        <f t="shared" si="403"/>
        <v>2</v>
      </c>
      <c r="AB331" s="752">
        <f t="shared" si="403"/>
        <v>2</v>
      </c>
      <c r="AC331" s="758">
        <f t="shared" si="403"/>
        <v>2</v>
      </c>
      <c r="AD331" s="758">
        <f t="shared" si="403"/>
        <v>2</v>
      </c>
      <c r="AE331" s="758">
        <f t="shared" si="403"/>
        <v>2</v>
      </c>
      <c r="AF331" s="758">
        <f t="shared" si="403"/>
        <v>2</v>
      </c>
      <c r="AG331" s="752">
        <f t="shared" si="403"/>
        <v>2</v>
      </c>
      <c r="AH331" s="758">
        <f t="shared" si="403"/>
        <v>2</v>
      </c>
      <c r="AI331" s="758">
        <f t="shared" si="403"/>
        <v>2</v>
      </c>
      <c r="AJ331" s="758">
        <f t="shared" si="403"/>
        <v>2</v>
      </c>
      <c r="AK331" s="758">
        <f t="shared" si="403"/>
        <v>2</v>
      </c>
      <c r="AL331" s="752">
        <f t="shared" si="403"/>
        <v>2</v>
      </c>
      <c r="AM331" s="758">
        <f t="shared" si="403"/>
        <v>2</v>
      </c>
      <c r="AN331" s="758">
        <f t="shared" si="403"/>
        <v>2</v>
      </c>
      <c r="AO331" s="758">
        <f t="shared" ref="AO331:BT331" si="404">AO54+AO193</f>
        <v>2</v>
      </c>
      <c r="AP331" s="758">
        <f t="shared" si="404"/>
        <v>2</v>
      </c>
      <c r="AQ331" s="752">
        <f t="shared" si="404"/>
        <v>2</v>
      </c>
      <c r="AR331" s="758">
        <f t="shared" si="404"/>
        <v>2</v>
      </c>
      <c r="AS331" s="758">
        <f t="shared" si="404"/>
        <v>2</v>
      </c>
      <c r="AT331" s="758">
        <f t="shared" si="404"/>
        <v>2</v>
      </c>
      <c r="AU331" s="758">
        <f t="shared" si="404"/>
        <v>2</v>
      </c>
      <c r="AV331" s="752">
        <f t="shared" si="404"/>
        <v>2</v>
      </c>
      <c r="AW331" s="758">
        <f t="shared" si="404"/>
        <v>2</v>
      </c>
      <c r="AX331" s="758">
        <f t="shared" si="404"/>
        <v>2</v>
      </c>
      <c r="AY331" s="758">
        <f t="shared" si="404"/>
        <v>3</v>
      </c>
      <c r="AZ331" s="758">
        <f t="shared" si="404"/>
        <v>3</v>
      </c>
      <c r="BA331" s="752">
        <f t="shared" si="404"/>
        <v>3</v>
      </c>
      <c r="BB331" s="758">
        <f t="shared" si="404"/>
        <v>3</v>
      </c>
      <c r="BC331" s="758">
        <f t="shared" si="404"/>
        <v>3</v>
      </c>
      <c r="BD331" s="758">
        <f t="shared" si="404"/>
        <v>3</v>
      </c>
      <c r="BE331" s="758">
        <f t="shared" si="404"/>
        <v>3</v>
      </c>
      <c r="BF331" s="752">
        <f t="shared" si="404"/>
        <v>3</v>
      </c>
      <c r="BG331" s="758">
        <f t="shared" si="404"/>
        <v>3</v>
      </c>
      <c r="BH331" s="758">
        <f t="shared" si="404"/>
        <v>3</v>
      </c>
      <c r="BI331" s="758">
        <f t="shared" si="404"/>
        <v>3</v>
      </c>
      <c r="BJ331" s="758">
        <f t="shared" si="404"/>
        <v>3</v>
      </c>
      <c r="BK331" s="752">
        <f t="shared" si="404"/>
        <v>3</v>
      </c>
      <c r="BL331" s="847">
        <f t="shared" si="404"/>
        <v>3</v>
      </c>
      <c r="BM331" s="847">
        <f t="shared" si="404"/>
        <v>3</v>
      </c>
      <c r="BN331" s="847">
        <f t="shared" si="404"/>
        <v>3</v>
      </c>
      <c r="BO331" s="1431">
        <f t="shared" si="404"/>
        <v>3</v>
      </c>
      <c r="BP331" s="661">
        <f t="shared" si="404"/>
        <v>3</v>
      </c>
      <c r="BQ331" s="847">
        <f t="shared" si="404"/>
        <v>3</v>
      </c>
      <c r="BR331" s="847">
        <f t="shared" si="404"/>
        <v>3</v>
      </c>
      <c r="BS331" s="847">
        <f t="shared" si="404"/>
        <v>4</v>
      </c>
      <c r="BT331" s="847">
        <f t="shared" si="404"/>
        <v>5</v>
      </c>
      <c r="BU331" s="661">
        <f t="shared" ref="BU331:CV331" si="405">BU54+BU193</f>
        <v>5</v>
      </c>
      <c r="BV331" s="847">
        <f t="shared" si="405"/>
        <v>5</v>
      </c>
      <c r="BW331" s="847">
        <f t="shared" si="405"/>
        <v>5</v>
      </c>
      <c r="BX331" s="847">
        <f t="shared" si="405"/>
        <v>5</v>
      </c>
      <c r="BY331" s="847">
        <f t="shared" si="405"/>
        <v>6</v>
      </c>
      <c r="BZ331" s="661">
        <f t="shared" si="405"/>
        <v>6</v>
      </c>
      <c r="CA331" s="847">
        <f t="shared" si="405"/>
        <v>7</v>
      </c>
      <c r="CB331" s="847">
        <f t="shared" si="405"/>
        <v>8</v>
      </c>
      <c r="CC331" s="847">
        <f t="shared" si="405"/>
        <v>8</v>
      </c>
      <c r="CD331" s="847">
        <f t="shared" si="405"/>
        <v>10</v>
      </c>
      <c r="CE331" s="661">
        <f t="shared" si="405"/>
        <v>10</v>
      </c>
      <c r="CF331" s="847">
        <f t="shared" si="405"/>
        <v>11</v>
      </c>
      <c r="CG331" s="847">
        <f t="shared" si="405"/>
        <v>11</v>
      </c>
      <c r="CH331" s="847">
        <f t="shared" si="405"/>
        <v>12</v>
      </c>
      <c r="CI331" s="847">
        <f t="shared" si="405"/>
        <v>16</v>
      </c>
      <c r="CJ331" s="236">
        <f t="shared" si="360"/>
        <v>16</v>
      </c>
      <c r="CK331" s="3510">
        <f>CK54+CK193</f>
        <v>18</v>
      </c>
      <c r="CL331" s="847">
        <f t="shared" si="405"/>
        <v>18</v>
      </c>
      <c r="CM331" s="847">
        <f t="shared" si="405"/>
        <v>22</v>
      </c>
      <c r="CN331" s="847">
        <f t="shared" ref="CN331:CO331" si="406">CN54+CN193</f>
        <v>24</v>
      </c>
      <c r="CO331" s="661">
        <f t="shared" si="406"/>
        <v>24</v>
      </c>
      <c r="CP331" s="3510"/>
      <c r="CQ331" s="847"/>
      <c r="CR331" s="847"/>
      <c r="CS331" s="847"/>
      <c r="CT331" s="661">
        <f>CT54+CT193</f>
        <v>0</v>
      </c>
      <c r="CU331" s="661">
        <f t="shared" si="405"/>
        <v>0</v>
      </c>
      <c r="CV331" s="661">
        <f t="shared" si="405"/>
        <v>0</v>
      </c>
      <c r="DB331" s="217"/>
    </row>
    <row r="332" spans="1:108" x14ac:dyDescent="0.2">
      <c r="A332" s="1436" t="s">
        <v>1390</v>
      </c>
      <c r="B332" s="651"/>
      <c r="C332" s="236"/>
      <c r="D332" s="234"/>
      <c r="E332" s="234"/>
      <c r="F332" s="234"/>
      <c r="G332" s="234"/>
      <c r="H332" s="661"/>
      <c r="I332" s="847">
        <f t="shared" ref="I332:AN332" si="407">I55+I194</f>
        <v>10</v>
      </c>
      <c r="J332" s="847">
        <f t="shared" si="407"/>
        <v>10</v>
      </c>
      <c r="K332" s="847">
        <f t="shared" si="407"/>
        <v>11</v>
      </c>
      <c r="L332" s="847">
        <f t="shared" si="407"/>
        <v>14</v>
      </c>
      <c r="M332" s="661">
        <f t="shared" si="407"/>
        <v>14</v>
      </c>
      <c r="N332" s="847">
        <f t="shared" si="407"/>
        <v>17</v>
      </c>
      <c r="O332" s="847">
        <f t="shared" si="407"/>
        <v>19</v>
      </c>
      <c r="P332" s="847">
        <f t="shared" si="407"/>
        <v>18</v>
      </c>
      <c r="Q332" s="847">
        <f t="shared" si="407"/>
        <v>18</v>
      </c>
      <c r="R332" s="661">
        <f t="shared" si="407"/>
        <v>18</v>
      </c>
      <c r="S332" s="847">
        <f t="shared" si="407"/>
        <v>18</v>
      </c>
      <c r="T332" s="847">
        <f t="shared" si="407"/>
        <v>18</v>
      </c>
      <c r="U332" s="847">
        <f t="shared" si="407"/>
        <v>19</v>
      </c>
      <c r="V332" s="847">
        <f t="shared" si="407"/>
        <v>19</v>
      </c>
      <c r="W332" s="661">
        <f t="shared" si="407"/>
        <v>19</v>
      </c>
      <c r="X332" s="847">
        <f t="shared" si="407"/>
        <v>19</v>
      </c>
      <c r="Y332" s="847">
        <f t="shared" si="407"/>
        <v>20</v>
      </c>
      <c r="Z332" s="847">
        <f t="shared" si="407"/>
        <v>21</v>
      </c>
      <c r="AA332" s="847">
        <f t="shared" si="407"/>
        <v>22</v>
      </c>
      <c r="AB332" s="661">
        <f t="shared" si="407"/>
        <v>22</v>
      </c>
      <c r="AC332" s="847">
        <f t="shared" si="407"/>
        <v>22</v>
      </c>
      <c r="AD332" s="847">
        <f t="shared" si="407"/>
        <v>22</v>
      </c>
      <c r="AE332" s="847">
        <f t="shared" si="407"/>
        <v>23</v>
      </c>
      <c r="AF332" s="847">
        <f t="shared" si="407"/>
        <v>23</v>
      </c>
      <c r="AG332" s="661">
        <f t="shared" si="407"/>
        <v>23</v>
      </c>
      <c r="AH332" s="847">
        <f t="shared" si="407"/>
        <v>22</v>
      </c>
      <c r="AI332" s="847">
        <f t="shared" si="407"/>
        <v>22</v>
      </c>
      <c r="AJ332" s="847">
        <f t="shared" si="407"/>
        <v>22</v>
      </c>
      <c r="AK332" s="847">
        <f t="shared" si="407"/>
        <v>22</v>
      </c>
      <c r="AL332" s="661">
        <f t="shared" si="407"/>
        <v>22</v>
      </c>
      <c r="AM332" s="847">
        <f t="shared" si="407"/>
        <v>23</v>
      </c>
      <c r="AN332" s="847">
        <f t="shared" si="407"/>
        <v>23</v>
      </c>
      <c r="AO332" s="847">
        <f t="shared" ref="AO332:BT332" si="408">AO55+AO194</f>
        <v>24</v>
      </c>
      <c r="AP332" s="847">
        <f t="shared" si="408"/>
        <v>24</v>
      </c>
      <c r="AQ332" s="661">
        <f t="shared" si="408"/>
        <v>24</v>
      </c>
      <c r="AR332" s="847">
        <f t="shared" si="408"/>
        <v>24</v>
      </c>
      <c r="AS332" s="847">
        <f t="shared" si="408"/>
        <v>25</v>
      </c>
      <c r="AT332" s="847">
        <f t="shared" si="408"/>
        <v>26</v>
      </c>
      <c r="AU332" s="847">
        <f t="shared" si="408"/>
        <v>26</v>
      </c>
      <c r="AV332" s="661">
        <f t="shared" si="408"/>
        <v>26</v>
      </c>
      <c r="AW332" s="847">
        <f t="shared" si="408"/>
        <v>26</v>
      </c>
      <c r="AX332" s="847">
        <f t="shared" si="408"/>
        <v>26</v>
      </c>
      <c r="AY332" s="847">
        <f t="shared" si="408"/>
        <v>27</v>
      </c>
      <c r="AZ332" s="847">
        <f t="shared" si="408"/>
        <v>31</v>
      </c>
      <c r="BA332" s="661">
        <f t="shared" si="408"/>
        <v>31</v>
      </c>
      <c r="BB332" s="847">
        <f t="shared" si="408"/>
        <v>31</v>
      </c>
      <c r="BC332" s="847">
        <f t="shared" si="408"/>
        <v>32</v>
      </c>
      <c r="BD332" s="847">
        <f t="shared" si="408"/>
        <v>33</v>
      </c>
      <c r="BE332" s="847">
        <f t="shared" si="408"/>
        <v>33</v>
      </c>
      <c r="BF332" s="661">
        <f t="shared" si="408"/>
        <v>33</v>
      </c>
      <c r="BG332" s="847">
        <f t="shared" si="408"/>
        <v>33</v>
      </c>
      <c r="BH332" s="847">
        <f t="shared" si="408"/>
        <v>34</v>
      </c>
      <c r="BI332" s="847">
        <f t="shared" si="408"/>
        <v>34</v>
      </c>
      <c r="BJ332" s="847">
        <f t="shared" si="408"/>
        <v>34</v>
      </c>
      <c r="BK332" s="661">
        <f t="shared" si="408"/>
        <v>34</v>
      </c>
      <c r="BL332" s="847">
        <f t="shared" si="408"/>
        <v>34</v>
      </c>
      <c r="BM332" s="847">
        <f t="shared" si="408"/>
        <v>32</v>
      </c>
      <c r="BN332" s="847">
        <f t="shared" si="408"/>
        <v>30</v>
      </c>
      <c r="BO332" s="1431">
        <f t="shared" si="408"/>
        <v>29</v>
      </c>
      <c r="BP332" s="661">
        <f t="shared" si="408"/>
        <v>29</v>
      </c>
      <c r="BQ332" s="847">
        <f t="shared" si="408"/>
        <v>29</v>
      </c>
      <c r="BR332" s="847">
        <f t="shared" si="408"/>
        <v>29</v>
      </c>
      <c r="BS332" s="847">
        <f t="shared" si="408"/>
        <v>29</v>
      </c>
      <c r="BT332" s="847">
        <f t="shared" si="408"/>
        <v>29</v>
      </c>
      <c r="BU332" s="661">
        <f t="shared" ref="BU332:CV332" si="409">BU55+BU194</f>
        <v>29</v>
      </c>
      <c r="BV332" s="847">
        <f t="shared" si="409"/>
        <v>29</v>
      </c>
      <c r="BW332" s="847">
        <f t="shared" si="409"/>
        <v>29</v>
      </c>
      <c r="BX332" s="847">
        <f t="shared" si="409"/>
        <v>29</v>
      </c>
      <c r="BY332" s="847">
        <f t="shared" si="409"/>
        <v>28</v>
      </c>
      <c r="BZ332" s="661">
        <f t="shared" si="409"/>
        <v>28</v>
      </c>
      <c r="CA332" s="847">
        <f t="shared" si="409"/>
        <v>29</v>
      </c>
      <c r="CB332" s="847">
        <f t="shared" si="409"/>
        <v>29</v>
      </c>
      <c r="CC332" s="847">
        <f t="shared" si="409"/>
        <v>30</v>
      </c>
      <c r="CD332" s="847">
        <f t="shared" si="409"/>
        <v>30</v>
      </c>
      <c r="CE332" s="661">
        <f t="shared" si="409"/>
        <v>30</v>
      </c>
      <c r="CF332" s="847">
        <f t="shared" si="409"/>
        <v>31</v>
      </c>
      <c r="CG332" s="847">
        <f t="shared" si="409"/>
        <v>31</v>
      </c>
      <c r="CH332" s="847">
        <f t="shared" si="409"/>
        <v>31</v>
      </c>
      <c r="CI332" s="847">
        <f t="shared" si="409"/>
        <v>30</v>
      </c>
      <c r="CJ332" s="236">
        <f t="shared" si="360"/>
        <v>30</v>
      </c>
      <c r="CK332" s="3510">
        <f>CK55+CK194</f>
        <v>30</v>
      </c>
      <c r="CL332" s="847">
        <f t="shared" si="409"/>
        <v>30</v>
      </c>
      <c r="CM332" s="847">
        <f t="shared" si="409"/>
        <v>30</v>
      </c>
      <c r="CN332" s="847">
        <f t="shared" ref="CN332:CO332" si="410">CN55+CN194</f>
        <v>30</v>
      </c>
      <c r="CO332" s="661">
        <f t="shared" si="410"/>
        <v>30</v>
      </c>
      <c r="CP332" s="3510"/>
      <c r="CQ332" s="847"/>
      <c r="CR332" s="847"/>
      <c r="CS332" s="847"/>
      <c r="CT332" s="661">
        <f>CT55+CT194</f>
        <v>0</v>
      </c>
      <c r="CU332" s="661">
        <f t="shared" si="409"/>
        <v>0</v>
      </c>
      <c r="CV332" s="661">
        <f t="shared" si="409"/>
        <v>0</v>
      </c>
      <c r="DB332" s="217"/>
    </row>
    <row r="333" spans="1:108" x14ac:dyDescent="0.2">
      <c r="A333" s="1436" t="s">
        <v>650</v>
      </c>
      <c r="B333" s="651"/>
      <c r="C333" s="236"/>
      <c r="D333" s="234"/>
      <c r="E333" s="234"/>
      <c r="F333" s="234"/>
      <c r="G333" s="234"/>
      <c r="H333" s="661"/>
      <c r="I333" s="847">
        <f t="shared" ref="I333:AN333" si="411">I56+I195</f>
        <v>5</v>
      </c>
      <c r="J333" s="847">
        <f t="shared" si="411"/>
        <v>5</v>
      </c>
      <c r="K333" s="847">
        <f t="shared" si="411"/>
        <v>5</v>
      </c>
      <c r="L333" s="847">
        <f t="shared" si="411"/>
        <v>5</v>
      </c>
      <c r="M333" s="661">
        <f t="shared" si="411"/>
        <v>5</v>
      </c>
      <c r="N333" s="847">
        <f t="shared" si="411"/>
        <v>5</v>
      </c>
      <c r="O333" s="847">
        <f t="shared" si="411"/>
        <v>4</v>
      </c>
      <c r="P333" s="847">
        <f t="shared" si="411"/>
        <v>4</v>
      </c>
      <c r="Q333" s="847">
        <f t="shared" si="411"/>
        <v>4</v>
      </c>
      <c r="R333" s="661">
        <f t="shared" si="411"/>
        <v>4</v>
      </c>
      <c r="S333" s="847">
        <f t="shared" si="411"/>
        <v>4</v>
      </c>
      <c r="T333" s="847">
        <f t="shared" si="411"/>
        <v>4</v>
      </c>
      <c r="U333" s="847">
        <f t="shared" si="411"/>
        <v>4</v>
      </c>
      <c r="V333" s="847">
        <f t="shared" si="411"/>
        <v>4</v>
      </c>
      <c r="W333" s="661">
        <f t="shared" si="411"/>
        <v>4</v>
      </c>
      <c r="X333" s="847">
        <f t="shared" si="411"/>
        <v>4</v>
      </c>
      <c r="Y333" s="847">
        <f t="shared" si="411"/>
        <v>4</v>
      </c>
      <c r="Z333" s="847">
        <f t="shared" si="411"/>
        <v>4</v>
      </c>
      <c r="AA333" s="847">
        <f t="shared" si="411"/>
        <v>4</v>
      </c>
      <c r="AB333" s="661">
        <f t="shared" si="411"/>
        <v>4</v>
      </c>
      <c r="AC333" s="847">
        <f t="shared" si="411"/>
        <v>4</v>
      </c>
      <c r="AD333" s="847">
        <f t="shared" si="411"/>
        <v>4</v>
      </c>
      <c r="AE333" s="847">
        <f t="shared" si="411"/>
        <v>4</v>
      </c>
      <c r="AF333" s="847">
        <f t="shared" si="411"/>
        <v>3</v>
      </c>
      <c r="AG333" s="661">
        <f t="shared" si="411"/>
        <v>3</v>
      </c>
      <c r="AH333" s="847">
        <f t="shared" si="411"/>
        <v>2</v>
      </c>
      <c r="AI333" s="847">
        <f t="shared" si="411"/>
        <v>2</v>
      </c>
      <c r="AJ333" s="847">
        <f t="shared" si="411"/>
        <v>2</v>
      </c>
      <c r="AK333" s="847">
        <f t="shared" si="411"/>
        <v>2</v>
      </c>
      <c r="AL333" s="661">
        <f t="shared" si="411"/>
        <v>2</v>
      </c>
      <c r="AM333" s="847">
        <f t="shared" si="411"/>
        <v>2</v>
      </c>
      <c r="AN333" s="847">
        <f t="shared" si="411"/>
        <v>2</v>
      </c>
      <c r="AO333" s="847">
        <f t="shared" ref="AO333:BT333" si="412">AO56+AO195</f>
        <v>2</v>
      </c>
      <c r="AP333" s="847">
        <f t="shared" si="412"/>
        <v>2</v>
      </c>
      <c r="AQ333" s="661">
        <f t="shared" si="412"/>
        <v>2</v>
      </c>
      <c r="AR333" s="847">
        <f t="shared" si="412"/>
        <v>0</v>
      </c>
      <c r="AS333" s="847">
        <f t="shared" si="412"/>
        <v>0</v>
      </c>
      <c r="AT333" s="847">
        <f t="shared" si="412"/>
        <v>0</v>
      </c>
      <c r="AU333" s="847">
        <f t="shared" si="412"/>
        <v>0</v>
      </c>
      <c r="AV333" s="661">
        <f t="shared" si="412"/>
        <v>0</v>
      </c>
      <c r="AW333" s="847">
        <f t="shared" si="412"/>
        <v>0</v>
      </c>
      <c r="AX333" s="847">
        <f t="shared" si="412"/>
        <v>0</v>
      </c>
      <c r="AY333" s="847">
        <f t="shared" si="412"/>
        <v>0</v>
      </c>
      <c r="AZ333" s="847">
        <f t="shared" si="412"/>
        <v>0</v>
      </c>
      <c r="BA333" s="661">
        <f t="shared" si="412"/>
        <v>0</v>
      </c>
      <c r="BB333" s="847">
        <f t="shared" si="412"/>
        <v>0</v>
      </c>
      <c r="BC333" s="847">
        <f t="shared" si="412"/>
        <v>0</v>
      </c>
      <c r="BD333" s="847">
        <f t="shared" si="412"/>
        <v>0</v>
      </c>
      <c r="BE333" s="847">
        <f t="shared" si="412"/>
        <v>0</v>
      </c>
      <c r="BF333" s="661">
        <f t="shared" si="412"/>
        <v>0</v>
      </c>
      <c r="BG333" s="847">
        <f t="shared" si="412"/>
        <v>0</v>
      </c>
      <c r="BH333" s="847">
        <f t="shared" si="412"/>
        <v>0</v>
      </c>
      <c r="BI333" s="847">
        <f t="shared" si="412"/>
        <v>0</v>
      </c>
      <c r="BJ333" s="847">
        <f t="shared" si="412"/>
        <v>0</v>
      </c>
      <c r="BK333" s="661">
        <f t="shared" si="412"/>
        <v>0</v>
      </c>
      <c r="BL333" s="847">
        <f t="shared" si="412"/>
        <v>0</v>
      </c>
      <c r="BM333" s="847">
        <f t="shared" si="412"/>
        <v>0</v>
      </c>
      <c r="BN333" s="847">
        <f t="shared" si="412"/>
        <v>0</v>
      </c>
      <c r="BO333" s="1431">
        <f t="shared" si="412"/>
        <v>0</v>
      </c>
      <c r="BP333" s="661">
        <f t="shared" si="412"/>
        <v>0</v>
      </c>
      <c r="BQ333" s="847">
        <f t="shared" si="412"/>
        <v>0</v>
      </c>
      <c r="BR333" s="847">
        <f t="shared" si="412"/>
        <v>0</v>
      </c>
      <c r="BS333" s="847">
        <f t="shared" si="412"/>
        <v>0</v>
      </c>
      <c r="BT333" s="847">
        <f t="shared" si="412"/>
        <v>0</v>
      </c>
      <c r="BU333" s="661">
        <f t="shared" ref="BU333:CV333" si="413">BU56+BU195</f>
        <v>0</v>
      </c>
      <c r="BV333" s="847">
        <f t="shared" si="413"/>
        <v>0</v>
      </c>
      <c r="BW333" s="847">
        <f t="shared" si="413"/>
        <v>0</v>
      </c>
      <c r="BX333" s="847">
        <f t="shared" si="413"/>
        <v>0</v>
      </c>
      <c r="BY333" s="847">
        <f t="shared" si="413"/>
        <v>0</v>
      </c>
      <c r="BZ333" s="661">
        <f t="shared" si="413"/>
        <v>0</v>
      </c>
      <c r="CA333" s="847">
        <f t="shared" si="413"/>
        <v>0</v>
      </c>
      <c r="CB333" s="847">
        <f t="shared" si="413"/>
        <v>0</v>
      </c>
      <c r="CC333" s="847">
        <f t="shared" si="413"/>
        <v>0</v>
      </c>
      <c r="CD333" s="847">
        <f t="shared" si="413"/>
        <v>0</v>
      </c>
      <c r="CE333" s="661">
        <f t="shared" si="413"/>
        <v>0</v>
      </c>
      <c r="CF333" s="847">
        <f t="shared" si="413"/>
        <v>0</v>
      </c>
      <c r="CG333" s="847">
        <f t="shared" si="413"/>
        <v>0</v>
      </c>
      <c r="CH333" s="847">
        <f t="shared" si="413"/>
        <v>0</v>
      </c>
      <c r="CI333" s="847">
        <f t="shared" si="413"/>
        <v>0</v>
      </c>
      <c r="CJ333" s="236">
        <f t="shared" si="360"/>
        <v>0</v>
      </c>
      <c r="CK333" s="3510">
        <f>CK56+CK195</f>
        <v>0</v>
      </c>
      <c r="CL333" s="847">
        <f t="shared" si="413"/>
        <v>0</v>
      </c>
      <c r="CM333" s="847">
        <f t="shared" si="413"/>
        <v>0</v>
      </c>
      <c r="CN333" s="847">
        <f t="shared" ref="CN333:CO333" si="414">CN56+CN195</f>
        <v>0</v>
      </c>
      <c r="CO333" s="661">
        <f t="shared" si="414"/>
        <v>0</v>
      </c>
      <c r="CP333" s="3510"/>
      <c r="CQ333" s="847"/>
      <c r="CR333" s="847"/>
      <c r="CS333" s="847"/>
      <c r="CT333" s="661">
        <f>CT56+CT195</f>
        <v>0</v>
      </c>
      <c r="CU333" s="661">
        <f t="shared" si="413"/>
        <v>0</v>
      </c>
      <c r="CV333" s="661">
        <f t="shared" si="413"/>
        <v>0</v>
      </c>
      <c r="DB333" s="217"/>
    </row>
    <row r="334" spans="1:108" x14ac:dyDescent="0.2">
      <c r="A334" s="1436" t="s">
        <v>2285</v>
      </c>
      <c r="B334" s="651"/>
      <c r="C334" s="236"/>
      <c r="D334" s="234"/>
      <c r="E334" s="234"/>
      <c r="F334" s="234"/>
      <c r="G334" s="234"/>
      <c r="H334" s="661"/>
      <c r="I334" s="847">
        <f t="shared" ref="I334:AN334" si="415">I57</f>
        <v>0</v>
      </c>
      <c r="J334" s="847">
        <f t="shared" si="415"/>
        <v>0</v>
      </c>
      <c r="K334" s="847">
        <f t="shared" si="415"/>
        <v>0</v>
      </c>
      <c r="L334" s="847">
        <f t="shared" si="415"/>
        <v>0</v>
      </c>
      <c r="M334" s="661">
        <f t="shared" si="415"/>
        <v>0</v>
      </c>
      <c r="N334" s="847">
        <f t="shared" si="415"/>
        <v>0</v>
      </c>
      <c r="O334" s="847">
        <f t="shared" si="415"/>
        <v>0</v>
      </c>
      <c r="P334" s="847">
        <f t="shared" si="415"/>
        <v>0</v>
      </c>
      <c r="Q334" s="847">
        <f t="shared" si="415"/>
        <v>0</v>
      </c>
      <c r="R334" s="661">
        <f t="shared" si="415"/>
        <v>0</v>
      </c>
      <c r="S334" s="847">
        <f t="shared" si="415"/>
        <v>0</v>
      </c>
      <c r="T334" s="847">
        <f t="shared" si="415"/>
        <v>0</v>
      </c>
      <c r="U334" s="847">
        <f t="shared" si="415"/>
        <v>0</v>
      </c>
      <c r="V334" s="847">
        <f t="shared" si="415"/>
        <v>0</v>
      </c>
      <c r="W334" s="661">
        <f t="shared" si="415"/>
        <v>0</v>
      </c>
      <c r="X334" s="847">
        <f t="shared" si="415"/>
        <v>0</v>
      </c>
      <c r="Y334" s="847">
        <f t="shared" si="415"/>
        <v>0</v>
      </c>
      <c r="Z334" s="847">
        <f t="shared" si="415"/>
        <v>0</v>
      </c>
      <c r="AA334" s="847">
        <f t="shared" si="415"/>
        <v>0</v>
      </c>
      <c r="AB334" s="661">
        <f t="shared" si="415"/>
        <v>0</v>
      </c>
      <c r="AC334" s="847">
        <f t="shared" si="415"/>
        <v>0</v>
      </c>
      <c r="AD334" s="847">
        <f t="shared" si="415"/>
        <v>0</v>
      </c>
      <c r="AE334" s="847">
        <f t="shared" si="415"/>
        <v>0</v>
      </c>
      <c r="AF334" s="847">
        <f t="shared" si="415"/>
        <v>0</v>
      </c>
      <c r="AG334" s="661">
        <f t="shared" si="415"/>
        <v>0</v>
      </c>
      <c r="AH334" s="847">
        <f t="shared" si="415"/>
        <v>0</v>
      </c>
      <c r="AI334" s="847">
        <f t="shared" si="415"/>
        <v>0</v>
      </c>
      <c r="AJ334" s="847">
        <f t="shared" si="415"/>
        <v>0</v>
      </c>
      <c r="AK334" s="847">
        <f t="shared" si="415"/>
        <v>0</v>
      </c>
      <c r="AL334" s="661">
        <f t="shared" si="415"/>
        <v>0</v>
      </c>
      <c r="AM334" s="847">
        <f t="shared" si="415"/>
        <v>0</v>
      </c>
      <c r="AN334" s="847">
        <f t="shared" si="415"/>
        <v>0</v>
      </c>
      <c r="AO334" s="847">
        <f t="shared" ref="AO334:BT334" si="416">AO57</f>
        <v>0</v>
      </c>
      <c r="AP334" s="847">
        <f t="shared" si="416"/>
        <v>0</v>
      </c>
      <c r="AQ334" s="661">
        <f t="shared" si="416"/>
        <v>0</v>
      </c>
      <c r="AR334" s="847">
        <f t="shared" si="416"/>
        <v>0</v>
      </c>
      <c r="AS334" s="847">
        <f t="shared" si="416"/>
        <v>0</v>
      </c>
      <c r="AT334" s="847">
        <f t="shared" si="416"/>
        <v>0</v>
      </c>
      <c r="AU334" s="847">
        <f t="shared" si="416"/>
        <v>0</v>
      </c>
      <c r="AV334" s="661">
        <f t="shared" si="416"/>
        <v>0</v>
      </c>
      <c r="AW334" s="847">
        <f t="shared" si="416"/>
        <v>0</v>
      </c>
      <c r="AX334" s="847">
        <f t="shared" si="416"/>
        <v>0</v>
      </c>
      <c r="AY334" s="847">
        <f t="shared" si="416"/>
        <v>0</v>
      </c>
      <c r="AZ334" s="847">
        <f t="shared" si="416"/>
        <v>0</v>
      </c>
      <c r="BA334" s="661">
        <f t="shared" si="416"/>
        <v>0</v>
      </c>
      <c r="BB334" s="847">
        <f t="shared" si="416"/>
        <v>0</v>
      </c>
      <c r="BC334" s="847">
        <f t="shared" si="416"/>
        <v>0</v>
      </c>
      <c r="BD334" s="847">
        <f t="shared" si="416"/>
        <v>0</v>
      </c>
      <c r="BE334" s="847">
        <f t="shared" si="416"/>
        <v>0</v>
      </c>
      <c r="BF334" s="661">
        <f t="shared" si="416"/>
        <v>0</v>
      </c>
      <c r="BG334" s="847">
        <f t="shared" si="416"/>
        <v>0</v>
      </c>
      <c r="BH334" s="847">
        <f t="shared" si="416"/>
        <v>0</v>
      </c>
      <c r="BI334" s="847">
        <f t="shared" si="416"/>
        <v>0</v>
      </c>
      <c r="BJ334" s="847">
        <f t="shared" si="416"/>
        <v>0</v>
      </c>
      <c r="BK334" s="661">
        <f t="shared" si="416"/>
        <v>0</v>
      </c>
      <c r="BL334" s="847">
        <f t="shared" si="416"/>
        <v>0</v>
      </c>
      <c r="BM334" s="847">
        <f t="shared" si="416"/>
        <v>0</v>
      </c>
      <c r="BN334" s="847">
        <f t="shared" si="416"/>
        <v>0</v>
      </c>
      <c r="BO334" s="1431">
        <f t="shared" si="416"/>
        <v>0</v>
      </c>
      <c r="BP334" s="661">
        <f t="shared" si="416"/>
        <v>0</v>
      </c>
      <c r="BQ334" s="847">
        <f t="shared" si="416"/>
        <v>0</v>
      </c>
      <c r="BR334" s="847">
        <f t="shared" si="416"/>
        <v>0</v>
      </c>
      <c r="BS334" s="847">
        <f t="shared" si="416"/>
        <v>0</v>
      </c>
      <c r="BT334" s="847">
        <f t="shared" si="416"/>
        <v>0</v>
      </c>
      <c r="BU334" s="661">
        <f t="shared" ref="BU334:CV334" si="417">BU57</f>
        <v>0</v>
      </c>
      <c r="BV334" s="847">
        <f t="shared" si="417"/>
        <v>0</v>
      </c>
      <c r="BW334" s="847">
        <f t="shared" si="417"/>
        <v>0</v>
      </c>
      <c r="BX334" s="847">
        <f t="shared" si="417"/>
        <v>0</v>
      </c>
      <c r="BY334" s="847">
        <f t="shared" si="417"/>
        <v>0</v>
      </c>
      <c r="BZ334" s="661">
        <f t="shared" si="417"/>
        <v>0</v>
      </c>
      <c r="CA334" s="847">
        <f t="shared" si="417"/>
        <v>0</v>
      </c>
      <c r="CB334" s="847">
        <f t="shared" si="417"/>
        <v>27</v>
      </c>
      <c r="CC334" s="847">
        <f t="shared" si="417"/>
        <v>26</v>
      </c>
      <c r="CD334" s="847">
        <f t="shared" si="417"/>
        <v>26</v>
      </c>
      <c r="CE334" s="661">
        <f t="shared" si="417"/>
        <v>26</v>
      </c>
      <c r="CF334" s="847">
        <f t="shared" si="417"/>
        <v>25</v>
      </c>
      <c r="CG334" s="847">
        <f t="shared" si="417"/>
        <v>25</v>
      </c>
      <c r="CH334" s="847">
        <f t="shared" si="417"/>
        <v>25</v>
      </c>
      <c r="CI334" s="847">
        <f t="shared" si="417"/>
        <v>25</v>
      </c>
      <c r="CJ334" s="236">
        <f t="shared" si="360"/>
        <v>25</v>
      </c>
      <c r="CK334" s="3510">
        <f>CK57</f>
        <v>25</v>
      </c>
      <c r="CL334" s="847">
        <f t="shared" si="417"/>
        <v>25</v>
      </c>
      <c r="CM334" s="847">
        <f t="shared" si="417"/>
        <v>25</v>
      </c>
      <c r="CN334" s="847">
        <f t="shared" ref="CN334:CO334" si="418">CN57</f>
        <v>25</v>
      </c>
      <c r="CO334" s="661">
        <f t="shared" si="418"/>
        <v>25</v>
      </c>
      <c r="CP334" s="3510"/>
      <c r="CQ334" s="847"/>
      <c r="CR334" s="847"/>
      <c r="CS334" s="847"/>
      <c r="CT334" s="661">
        <f>CT57</f>
        <v>0</v>
      </c>
      <c r="CU334" s="661">
        <f t="shared" si="417"/>
        <v>0</v>
      </c>
      <c r="CV334" s="661">
        <f t="shared" si="417"/>
        <v>0</v>
      </c>
      <c r="DB334" s="217"/>
    </row>
    <row r="335" spans="1:108" s="2434" customFormat="1" x14ac:dyDescent="0.2">
      <c r="A335" s="2288" t="s">
        <v>384</v>
      </c>
      <c r="B335" s="2400"/>
      <c r="C335" s="2401"/>
      <c r="D335" s="2402"/>
      <c r="E335" s="2402"/>
      <c r="F335" s="2402"/>
      <c r="G335" s="2402"/>
      <c r="H335" s="2293"/>
      <c r="I335" s="2349">
        <f t="shared" ref="I335:AN335" si="419">I58+I196</f>
        <v>9</v>
      </c>
      <c r="J335" s="2349">
        <f t="shared" si="419"/>
        <v>9</v>
      </c>
      <c r="K335" s="2349">
        <f t="shared" si="419"/>
        <v>10</v>
      </c>
      <c r="L335" s="2349">
        <f t="shared" si="419"/>
        <v>10</v>
      </c>
      <c r="M335" s="2293">
        <f t="shared" si="419"/>
        <v>10</v>
      </c>
      <c r="N335" s="2349">
        <f t="shared" si="419"/>
        <v>11</v>
      </c>
      <c r="O335" s="2349">
        <f t="shared" si="419"/>
        <v>11</v>
      </c>
      <c r="P335" s="2349">
        <f t="shared" si="419"/>
        <v>10</v>
      </c>
      <c r="Q335" s="2349">
        <f t="shared" si="419"/>
        <v>10</v>
      </c>
      <c r="R335" s="2293">
        <f t="shared" si="419"/>
        <v>10</v>
      </c>
      <c r="S335" s="2349">
        <f t="shared" si="419"/>
        <v>11</v>
      </c>
      <c r="T335" s="2349">
        <f t="shared" si="419"/>
        <v>11</v>
      </c>
      <c r="U335" s="2349">
        <f t="shared" si="419"/>
        <v>11</v>
      </c>
      <c r="V335" s="2349">
        <f t="shared" si="419"/>
        <v>12</v>
      </c>
      <c r="W335" s="2293">
        <f t="shared" si="419"/>
        <v>12</v>
      </c>
      <c r="X335" s="2349">
        <f t="shared" si="419"/>
        <v>12</v>
      </c>
      <c r="Y335" s="2349">
        <f t="shared" si="419"/>
        <v>13</v>
      </c>
      <c r="Z335" s="2349">
        <f t="shared" si="419"/>
        <v>13</v>
      </c>
      <c r="AA335" s="2349">
        <f t="shared" si="419"/>
        <v>13</v>
      </c>
      <c r="AB335" s="2293">
        <f t="shared" si="419"/>
        <v>13</v>
      </c>
      <c r="AC335" s="2349">
        <f t="shared" si="419"/>
        <v>14</v>
      </c>
      <c r="AD335" s="2349">
        <f t="shared" si="419"/>
        <v>15</v>
      </c>
      <c r="AE335" s="2349">
        <f t="shared" si="419"/>
        <v>15</v>
      </c>
      <c r="AF335" s="2349">
        <f t="shared" si="419"/>
        <v>16</v>
      </c>
      <c r="AG335" s="2293">
        <f t="shared" si="419"/>
        <v>16</v>
      </c>
      <c r="AH335" s="2349">
        <f t="shared" si="419"/>
        <v>16</v>
      </c>
      <c r="AI335" s="2349">
        <f t="shared" si="419"/>
        <v>16</v>
      </c>
      <c r="AJ335" s="2349">
        <f t="shared" si="419"/>
        <v>17</v>
      </c>
      <c r="AK335" s="2349">
        <f t="shared" si="419"/>
        <v>16</v>
      </c>
      <c r="AL335" s="2293">
        <f t="shared" si="419"/>
        <v>16</v>
      </c>
      <c r="AM335" s="2349">
        <f t="shared" si="419"/>
        <v>17</v>
      </c>
      <c r="AN335" s="2349">
        <f t="shared" si="419"/>
        <v>16</v>
      </c>
      <c r="AO335" s="2349">
        <f t="shared" ref="AO335:BT335" si="420">AO58+AO196</f>
        <v>17</v>
      </c>
      <c r="AP335" s="2349">
        <f t="shared" si="420"/>
        <v>17</v>
      </c>
      <c r="AQ335" s="2293">
        <f t="shared" si="420"/>
        <v>17</v>
      </c>
      <c r="AR335" s="2349">
        <f t="shared" si="420"/>
        <v>17</v>
      </c>
      <c r="AS335" s="2349">
        <f t="shared" si="420"/>
        <v>18</v>
      </c>
      <c r="AT335" s="2349">
        <f t="shared" si="420"/>
        <v>18</v>
      </c>
      <c r="AU335" s="2349">
        <f t="shared" si="420"/>
        <v>19</v>
      </c>
      <c r="AV335" s="2293">
        <f t="shared" si="420"/>
        <v>19</v>
      </c>
      <c r="AW335" s="2349">
        <f t="shared" si="420"/>
        <v>20</v>
      </c>
      <c r="AX335" s="2349">
        <f t="shared" si="420"/>
        <v>20</v>
      </c>
      <c r="AY335" s="2349">
        <f t="shared" si="420"/>
        <v>21</v>
      </c>
      <c r="AZ335" s="2349">
        <f t="shared" si="420"/>
        <v>22</v>
      </c>
      <c r="BA335" s="2293">
        <f t="shared" si="420"/>
        <v>22</v>
      </c>
      <c r="BB335" s="2349">
        <f t="shared" si="420"/>
        <v>22</v>
      </c>
      <c r="BC335" s="2349">
        <f t="shared" si="420"/>
        <v>21</v>
      </c>
      <c r="BD335" s="2349">
        <f t="shared" si="420"/>
        <v>22</v>
      </c>
      <c r="BE335" s="2349">
        <f t="shared" si="420"/>
        <v>22</v>
      </c>
      <c r="BF335" s="2293">
        <f t="shared" si="420"/>
        <v>22</v>
      </c>
      <c r="BG335" s="2349">
        <f t="shared" si="420"/>
        <v>22</v>
      </c>
      <c r="BH335" s="2349">
        <f t="shared" si="420"/>
        <v>21</v>
      </c>
      <c r="BI335" s="2349">
        <f t="shared" si="420"/>
        <v>21</v>
      </c>
      <c r="BJ335" s="2349">
        <f t="shared" si="420"/>
        <v>22</v>
      </c>
      <c r="BK335" s="2293">
        <f t="shared" si="420"/>
        <v>22</v>
      </c>
      <c r="BL335" s="2349">
        <f t="shared" si="420"/>
        <v>23</v>
      </c>
      <c r="BM335" s="2349">
        <f t="shared" si="420"/>
        <v>24</v>
      </c>
      <c r="BN335" s="2349">
        <f t="shared" si="420"/>
        <v>24</v>
      </c>
      <c r="BO335" s="3012">
        <f t="shared" si="420"/>
        <v>25</v>
      </c>
      <c r="BP335" s="2293">
        <f t="shared" si="420"/>
        <v>25</v>
      </c>
      <c r="BQ335" s="2349">
        <f t="shared" si="420"/>
        <v>26</v>
      </c>
      <c r="BR335" s="2349">
        <f t="shared" si="420"/>
        <v>27</v>
      </c>
      <c r="BS335" s="2349">
        <f t="shared" si="420"/>
        <v>27</v>
      </c>
      <c r="BT335" s="2349">
        <f t="shared" si="420"/>
        <v>27</v>
      </c>
      <c r="BU335" s="2293">
        <f t="shared" ref="BU335:CV335" si="421">BU58+BU196</f>
        <v>27</v>
      </c>
      <c r="BV335" s="2349">
        <f t="shared" si="421"/>
        <v>28</v>
      </c>
      <c r="BW335" s="2349">
        <f t="shared" si="421"/>
        <v>28</v>
      </c>
      <c r="BX335" s="2349">
        <f t="shared" si="421"/>
        <v>27</v>
      </c>
      <c r="BY335" s="2349">
        <f t="shared" si="421"/>
        <v>27</v>
      </c>
      <c r="BZ335" s="2293">
        <f t="shared" si="421"/>
        <v>27</v>
      </c>
      <c r="CA335" s="2349">
        <f t="shared" si="421"/>
        <v>26</v>
      </c>
      <c r="CB335" s="2349">
        <f t="shared" si="421"/>
        <v>27</v>
      </c>
      <c r="CC335" s="2349">
        <f t="shared" si="421"/>
        <v>28</v>
      </c>
      <c r="CD335" s="2349">
        <f t="shared" si="421"/>
        <v>28</v>
      </c>
      <c r="CE335" s="2293">
        <f t="shared" si="421"/>
        <v>28</v>
      </c>
      <c r="CF335" s="2349">
        <f t="shared" si="421"/>
        <v>27</v>
      </c>
      <c r="CG335" s="2349">
        <f t="shared" si="421"/>
        <v>27</v>
      </c>
      <c r="CH335" s="2349">
        <f t="shared" si="421"/>
        <v>28</v>
      </c>
      <c r="CI335" s="2349">
        <f t="shared" si="421"/>
        <v>28</v>
      </c>
      <c r="CJ335" s="236">
        <f t="shared" si="360"/>
        <v>28</v>
      </c>
      <c r="CK335" s="3510">
        <f>CK58+CK196</f>
        <v>28</v>
      </c>
      <c r="CL335" s="2349">
        <f t="shared" si="421"/>
        <v>28</v>
      </c>
      <c r="CM335" s="2349">
        <f t="shared" si="421"/>
        <v>28</v>
      </c>
      <c r="CN335" s="2349">
        <f t="shared" ref="CN335:CO335" si="422">CN58+CN196</f>
        <v>29</v>
      </c>
      <c r="CO335" s="2293">
        <f t="shared" si="422"/>
        <v>29</v>
      </c>
      <c r="CP335" s="3510"/>
      <c r="CQ335" s="2349"/>
      <c r="CR335" s="2349"/>
      <c r="CS335" s="2349"/>
      <c r="CT335" s="2293">
        <f>CT58+CT196</f>
        <v>0</v>
      </c>
      <c r="CU335" s="2293">
        <f t="shared" si="421"/>
        <v>0</v>
      </c>
      <c r="CV335" s="2293">
        <f t="shared" si="421"/>
        <v>0</v>
      </c>
      <c r="CW335" s="2631"/>
      <c r="CX335" s="2631"/>
      <c r="CY335" s="2631"/>
      <c r="CZ335" s="2631"/>
      <c r="DA335" s="2631"/>
      <c r="DB335" s="217"/>
      <c r="DC335" s="212"/>
      <c r="DD335" s="2631"/>
    </row>
    <row r="336" spans="1:108" ht="4.5" customHeight="1" x14ac:dyDescent="0.2">
      <c r="A336" s="1446"/>
      <c r="B336" s="651"/>
      <c r="C336" s="236"/>
      <c r="D336" s="234"/>
      <c r="E336" s="234"/>
      <c r="F336" s="234"/>
      <c r="G336" s="234"/>
      <c r="H336" s="246"/>
      <c r="I336" s="850"/>
      <c r="J336" s="850"/>
      <c r="K336" s="850"/>
      <c r="L336" s="850"/>
      <c r="M336" s="246"/>
      <c r="N336" s="850"/>
      <c r="O336" s="850"/>
      <c r="P336" s="850"/>
      <c r="Q336" s="850"/>
      <c r="R336" s="246"/>
      <c r="S336" s="850"/>
      <c r="T336" s="850"/>
      <c r="U336" s="850"/>
      <c r="V336" s="850"/>
      <c r="W336" s="246"/>
      <c r="X336" s="850"/>
      <c r="Y336" s="850"/>
      <c r="Z336" s="850"/>
      <c r="AA336" s="850"/>
      <c r="AB336" s="246"/>
      <c r="AC336" s="850"/>
      <c r="AD336" s="850"/>
      <c r="AE336" s="850"/>
      <c r="AF336" s="850"/>
      <c r="AG336" s="246"/>
      <c r="AH336" s="850"/>
      <c r="AI336" s="850"/>
      <c r="AJ336" s="850"/>
      <c r="AK336" s="850"/>
      <c r="AL336" s="246"/>
      <c r="AM336" s="850"/>
      <c r="AN336" s="850"/>
      <c r="AO336" s="850"/>
      <c r="AP336" s="850"/>
      <c r="AQ336" s="246"/>
      <c r="AR336" s="850"/>
      <c r="AS336" s="850"/>
      <c r="AT336" s="850"/>
      <c r="AU336" s="850"/>
      <c r="AV336" s="246"/>
      <c r="AW336" s="850"/>
      <c r="AX336" s="850"/>
      <c r="AY336" s="850"/>
      <c r="AZ336" s="850"/>
      <c r="BA336" s="246"/>
      <c r="BB336" s="850"/>
      <c r="BC336" s="850"/>
      <c r="BD336" s="850"/>
      <c r="BE336" s="850"/>
      <c r="BF336" s="246"/>
      <c r="BG336" s="850"/>
      <c r="BH336" s="850"/>
      <c r="BI336" s="850"/>
      <c r="BJ336" s="850"/>
      <c r="BK336" s="246"/>
      <c r="BL336" s="850"/>
      <c r="BM336" s="850"/>
      <c r="BN336" s="850"/>
      <c r="BO336" s="1647"/>
      <c r="BP336" s="246"/>
      <c r="BQ336" s="850"/>
      <c r="BR336" s="850"/>
      <c r="BS336" s="850"/>
      <c r="BT336" s="850"/>
      <c r="BU336" s="246"/>
      <c r="BV336" s="850"/>
      <c r="BW336" s="850"/>
      <c r="BX336" s="850"/>
      <c r="BY336" s="850"/>
      <c r="BZ336" s="246"/>
      <c r="CA336" s="850"/>
      <c r="CB336" s="850"/>
      <c r="CC336" s="850"/>
      <c r="CD336" s="850"/>
      <c r="CE336" s="246"/>
      <c r="CF336" s="850"/>
      <c r="CG336" s="850"/>
      <c r="CH336" s="850"/>
      <c r="CI336" s="850"/>
      <c r="CJ336" s="246"/>
      <c r="CK336" s="3511"/>
      <c r="CL336" s="850"/>
      <c r="CM336" s="850"/>
      <c r="CN336" s="850"/>
      <c r="CO336" s="246"/>
      <c r="CP336" s="3511"/>
      <c r="CQ336" s="850"/>
      <c r="CR336" s="850"/>
      <c r="CS336" s="850"/>
      <c r="CT336" s="246"/>
      <c r="CU336" s="246"/>
      <c r="CV336" s="246"/>
    </row>
    <row r="337" spans="1:106" x14ac:dyDescent="0.2">
      <c r="A337" s="2434" t="s">
        <v>2454</v>
      </c>
      <c r="B337" s="651"/>
      <c r="C337" s="236"/>
      <c r="D337" s="234"/>
      <c r="E337" s="234"/>
      <c r="F337" s="234"/>
      <c r="G337" s="234"/>
      <c r="H337" s="246"/>
      <c r="I337" s="850"/>
      <c r="J337" s="850"/>
      <c r="K337" s="850"/>
      <c r="L337" s="850"/>
      <c r="M337" s="246"/>
      <c r="N337" s="850"/>
      <c r="O337" s="850"/>
      <c r="P337" s="850"/>
      <c r="Q337" s="850"/>
      <c r="R337" s="246"/>
      <c r="S337" s="850"/>
      <c r="T337" s="850"/>
      <c r="U337" s="850"/>
      <c r="V337" s="850"/>
      <c r="W337" s="246"/>
      <c r="X337" s="850"/>
      <c r="Y337" s="850"/>
      <c r="Z337" s="850"/>
      <c r="AA337" s="850"/>
      <c r="AB337" s="246"/>
      <c r="AC337" s="850"/>
      <c r="AD337" s="850"/>
      <c r="AE337" s="850"/>
      <c r="AF337" s="850"/>
      <c r="AG337" s="246"/>
      <c r="AH337" s="850"/>
      <c r="AI337" s="850"/>
      <c r="AJ337" s="850"/>
      <c r="AK337" s="850"/>
      <c r="AL337" s="246"/>
      <c r="AM337" s="850"/>
      <c r="AN337" s="850"/>
      <c r="AO337" s="850"/>
      <c r="AP337" s="850"/>
      <c r="AQ337" s="246"/>
      <c r="AR337" s="850"/>
      <c r="AS337" s="850"/>
      <c r="AT337" s="850"/>
      <c r="AU337" s="850"/>
      <c r="AV337" s="246"/>
      <c r="AW337" s="850"/>
      <c r="AX337" s="850"/>
      <c r="AY337" s="850"/>
      <c r="AZ337" s="850"/>
      <c r="BA337" s="246"/>
      <c r="BB337" s="850"/>
      <c r="BC337" s="850"/>
      <c r="BD337" s="850"/>
      <c r="BE337" s="850"/>
      <c r="BF337" s="246"/>
      <c r="BG337" s="850"/>
      <c r="BH337" s="850"/>
      <c r="BI337" s="850"/>
      <c r="BJ337" s="850"/>
      <c r="BK337" s="246"/>
      <c r="BL337" s="850"/>
      <c r="BM337" s="850"/>
      <c r="BN337" s="850"/>
      <c r="BO337" s="1647"/>
      <c r="BP337" s="246"/>
      <c r="BQ337" s="850"/>
      <c r="BR337" s="850"/>
      <c r="BS337" s="850"/>
      <c r="BT337" s="850"/>
      <c r="BU337" s="246"/>
      <c r="BV337" s="850"/>
      <c r="BW337" s="850"/>
      <c r="BX337" s="850"/>
      <c r="BY337" s="850"/>
      <c r="BZ337" s="246"/>
      <c r="CA337" s="850"/>
      <c r="CB337" s="850"/>
      <c r="CC337" s="850"/>
      <c r="CD337" s="850"/>
      <c r="CE337" s="246"/>
      <c r="CF337" s="850"/>
      <c r="CG337" s="3008"/>
      <c r="CH337" s="2349">
        <f t="shared" ref="CH337:CI347" si="423">+CH198+CH60</f>
        <v>216</v>
      </c>
      <c r="CI337" s="2349">
        <f t="shared" si="423"/>
        <v>219</v>
      </c>
      <c r="CJ337" s="236">
        <f t="shared" si="360"/>
        <v>219</v>
      </c>
      <c r="CK337" s="3510">
        <f t="shared" ref="CK337:CL347" si="424">+CK198+CK60</f>
        <v>219</v>
      </c>
      <c r="CL337" s="2350">
        <f t="shared" si="424"/>
        <v>218</v>
      </c>
      <c r="CM337" s="2350">
        <f t="shared" ref="CM337:CN346" si="425">+CM198+CM60</f>
        <v>214</v>
      </c>
      <c r="CN337" s="2350">
        <f t="shared" si="425"/>
        <v>213</v>
      </c>
      <c r="CO337" s="2289">
        <f t="shared" ref="CO337" si="426">+CO198+CO60</f>
        <v>213</v>
      </c>
      <c r="CP337" s="3510"/>
      <c r="CQ337" s="2350"/>
      <c r="CR337" s="850"/>
      <c r="CS337" s="850"/>
      <c r="CT337" s="246"/>
      <c r="CU337" s="246"/>
      <c r="CV337" s="246"/>
    </row>
    <row r="338" spans="1:106" x14ac:dyDescent="0.2">
      <c r="A338" s="2434" t="s">
        <v>2455</v>
      </c>
      <c r="B338" s="651"/>
      <c r="C338" s="236"/>
      <c r="D338" s="234"/>
      <c r="E338" s="234"/>
      <c r="F338" s="234"/>
      <c r="G338" s="234"/>
      <c r="H338" s="246"/>
      <c r="I338" s="850"/>
      <c r="J338" s="850"/>
      <c r="K338" s="850"/>
      <c r="L338" s="850"/>
      <c r="M338" s="246"/>
      <c r="N338" s="850"/>
      <c r="O338" s="850"/>
      <c r="P338" s="850"/>
      <c r="Q338" s="850"/>
      <c r="R338" s="246"/>
      <c r="S338" s="850"/>
      <c r="T338" s="850"/>
      <c r="U338" s="850"/>
      <c r="V338" s="850"/>
      <c r="W338" s="246"/>
      <c r="X338" s="850"/>
      <c r="Y338" s="850"/>
      <c r="Z338" s="850"/>
      <c r="AA338" s="850"/>
      <c r="AB338" s="246"/>
      <c r="AC338" s="850"/>
      <c r="AD338" s="850"/>
      <c r="AE338" s="850"/>
      <c r="AF338" s="850"/>
      <c r="AG338" s="246"/>
      <c r="AH338" s="850"/>
      <c r="AI338" s="850"/>
      <c r="AJ338" s="850"/>
      <c r="AK338" s="850"/>
      <c r="AL338" s="246"/>
      <c r="AM338" s="850"/>
      <c r="AN338" s="850"/>
      <c r="AO338" s="850"/>
      <c r="AP338" s="850"/>
      <c r="AQ338" s="246"/>
      <c r="AR338" s="850"/>
      <c r="AS338" s="850"/>
      <c r="AT338" s="850"/>
      <c r="AU338" s="850"/>
      <c r="AV338" s="246"/>
      <c r="AW338" s="850"/>
      <c r="AX338" s="850"/>
      <c r="AY338" s="850"/>
      <c r="AZ338" s="850"/>
      <c r="BA338" s="246"/>
      <c r="BB338" s="850"/>
      <c r="BC338" s="850"/>
      <c r="BD338" s="850"/>
      <c r="BE338" s="850"/>
      <c r="BF338" s="246"/>
      <c r="BG338" s="850"/>
      <c r="BH338" s="850"/>
      <c r="BI338" s="850"/>
      <c r="BJ338" s="850"/>
      <c r="BK338" s="246"/>
      <c r="BL338" s="850"/>
      <c r="BM338" s="850"/>
      <c r="BN338" s="850"/>
      <c r="BO338" s="1647"/>
      <c r="BP338" s="246"/>
      <c r="BQ338" s="850"/>
      <c r="BR338" s="850"/>
      <c r="BS338" s="850"/>
      <c r="BT338" s="850"/>
      <c r="BU338" s="246"/>
      <c r="BV338" s="850"/>
      <c r="BW338" s="850"/>
      <c r="BX338" s="850"/>
      <c r="BY338" s="850"/>
      <c r="BZ338" s="246"/>
      <c r="CA338" s="850"/>
      <c r="CB338" s="850"/>
      <c r="CC338" s="850"/>
      <c r="CD338" s="850"/>
      <c r="CE338" s="246"/>
      <c r="CF338" s="850"/>
      <c r="CG338" s="3008"/>
      <c r="CH338" s="2349">
        <f t="shared" si="423"/>
        <v>113</v>
      </c>
      <c r="CI338" s="2349">
        <f t="shared" si="423"/>
        <v>116</v>
      </c>
      <c r="CJ338" s="236">
        <f t="shared" si="360"/>
        <v>116</v>
      </c>
      <c r="CK338" s="3510">
        <f t="shared" si="424"/>
        <v>115</v>
      </c>
      <c r="CL338" s="2350">
        <f t="shared" si="424"/>
        <v>114</v>
      </c>
      <c r="CM338" s="2350">
        <f t="shared" si="425"/>
        <v>114</v>
      </c>
      <c r="CN338" s="2350">
        <f t="shared" si="425"/>
        <v>114</v>
      </c>
      <c r="CO338" s="2289">
        <f t="shared" ref="CO338" si="427">+CO199+CO61</f>
        <v>114</v>
      </c>
      <c r="CP338" s="3510"/>
      <c r="CQ338" s="2350"/>
      <c r="CR338" s="850"/>
      <c r="CS338" s="850"/>
      <c r="CT338" s="246"/>
      <c r="CU338" s="246"/>
      <c r="CV338" s="246"/>
    </row>
    <row r="339" spans="1:106" x14ac:dyDescent="0.2">
      <c r="A339" s="2434" t="s">
        <v>2456</v>
      </c>
      <c r="B339" s="651"/>
      <c r="C339" s="236"/>
      <c r="D339" s="234"/>
      <c r="E339" s="234"/>
      <c r="F339" s="234"/>
      <c r="G339" s="234"/>
      <c r="H339" s="246"/>
      <c r="I339" s="850"/>
      <c r="J339" s="850"/>
      <c r="K339" s="850"/>
      <c r="L339" s="850"/>
      <c r="M339" s="246"/>
      <c r="N339" s="850"/>
      <c r="O339" s="850"/>
      <c r="P339" s="850"/>
      <c r="Q339" s="850"/>
      <c r="R339" s="246"/>
      <c r="S339" s="850"/>
      <c r="T339" s="850"/>
      <c r="U339" s="850"/>
      <c r="V339" s="850"/>
      <c r="W339" s="246"/>
      <c r="X339" s="850"/>
      <c r="Y339" s="850"/>
      <c r="Z339" s="850"/>
      <c r="AA339" s="850"/>
      <c r="AB339" s="246"/>
      <c r="AC339" s="850"/>
      <c r="AD339" s="850"/>
      <c r="AE339" s="850"/>
      <c r="AF339" s="850"/>
      <c r="AG339" s="246"/>
      <c r="AH339" s="850"/>
      <c r="AI339" s="850"/>
      <c r="AJ339" s="850"/>
      <c r="AK339" s="850"/>
      <c r="AL339" s="246"/>
      <c r="AM339" s="850"/>
      <c r="AN339" s="850"/>
      <c r="AO339" s="850"/>
      <c r="AP339" s="850"/>
      <c r="AQ339" s="246"/>
      <c r="AR339" s="850"/>
      <c r="AS339" s="850"/>
      <c r="AT339" s="850"/>
      <c r="AU339" s="850"/>
      <c r="AV339" s="246"/>
      <c r="AW339" s="850"/>
      <c r="AX339" s="850"/>
      <c r="AY339" s="850"/>
      <c r="AZ339" s="850"/>
      <c r="BA339" s="246"/>
      <c r="BB339" s="850"/>
      <c r="BC339" s="850"/>
      <c r="BD339" s="850"/>
      <c r="BE339" s="850"/>
      <c r="BF339" s="246"/>
      <c r="BG339" s="850"/>
      <c r="BH339" s="850"/>
      <c r="BI339" s="850"/>
      <c r="BJ339" s="850"/>
      <c r="BK339" s="246"/>
      <c r="BL339" s="850"/>
      <c r="BM339" s="850"/>
      <c r="BN339" s="850"/>
      <c r="BO339" s="1647"/>
      <c r="BP339" s="246"/>
      <c r="BQ339" s="850"/>
      <c r="BR339" s="850"/>
      <c r="BS339" s="850"/>
      <c r="BT339" s="850"/>
      <c r="BU339" s="246"/>
      <c r="BV339" s="850"/>
      <c r="BW339" s="850"/>
      <c r="BX339" s="850"/>
      <c r="BY339" s="850"/>
      <c r="BZ339" s="246"/>
      <c r="CA339" s="850"/>
      <c r="CB339" s="850"/>
      <c r="CC339" s="850"/>
      <c r="CD339" s="850"/>
      <c r="CE339" s="246"/>
      <c r="CF339" s="850"/>
      <c r="CG339" s="3008"/>
      <c r="CH339" s="2349">
        <f t="shared" si="423"/>
        <v>61</v>
      </c>
      <c r="CI339" s="2349">
        <f t="shared" si="423"/>
        <v>59</v>
      </c>
      <c r="CJ339" s="236">
        <f t="shared" si="360"/>
        <v>59</v>
      </c>
      <c r="CK339" s="3510">
        <f t="shared" si="424"/>
        <v>59</v>
      </c>
      <c r="CL339" s="2350">
        <f t="shared" si="424"/>
        <v>60</v>
      </c>
      <c r="CM339" s="2350">
        <f t="shared" si="425"/>
        <v>62</v>
      </c>
      <c r="CN339" s="2350">
        <f t="shared" si="425"/>
        <v>63</v>
      </c>
      <c r="CO339" s="2289">
        <f t="shared" ref="CO339" si="428">+CO200+CO62</f>
        <v>63</v>
      </c>
      <c r="CP339" s="3510"/>
      <c r="CQ339" s="2350"/>
      <c r="CR339" s="850"/>
      <c r="CS339" s="850"/>
      <c r="CT339" s="246"/>
      <c r="CU339" s="246"/>
      <c r="CV339" s="246"/>
    </row>
    <row r="340" spans="1:106" x14ac:dyDescent="0.2">
      <c r="A340" s="2434" t="s">
        <v>2457</v>
      </c>
      <c r="B340" s="651"/>
      <c r="C340" s="236"/>
      <c r="D340" s="234"/>
      <c r="E340" s="234"/>
      <c r="F340" s="234"/>
      <c r="G340" s="234"/>
      <c r="H340" s="246"/>
      <c r="I340" s="850"/>
      <c r="J340" s="850"/>
      <c r="K340" s="850"/>
      <c r="L340" s="850"/>
      <c r="M340" s="246"/>
      <c r="N340" s="850"/>
      <c r="O340" s="850"/>
      <c r="P340" s="850"/>
      <c r="Q340" s="850"/>
      <c r="R340" s="246"/>
      <c r="S340" s="850"/>
      <c r="T340" s="850"/>
      <c r="U340" s="850"/>
      <c r="V340" s="850"/>
      <c r="W340" s="246"/>
      <c r="X340" s="850"/>
      <c r="Y340" s="850"/>
      <c r="Z340" s="850"/>
      <c r="AA340" s="850"/>
      <c r="AB340" s="246"/>
      <c r="AC340" s="850"/>
      <c r="AD340" s="850"/>
      <c r="AE340" s="850"/>
      <c r="AF340" s="850"/>
      <c r="AG340" s="246"/>
      <c r="AH340" s="850"/>
      <c r="AI340" s="850"/>
      <c r="AJ340" s="850"/>
      <c r="AK340" s="850"/>
      <c r="AL340" s="246"/>
      <c r="AM340" s="850"/>
      <c r="AN340" s="850"/>
      <c r="AO340" s="850"/>
      <c r="AP340" s="850"/>
      <c r="AQ340" s="246"/>
      <c r="AR340" s="850"/>
      <c r="AS340" s="850"/>
      <c r="AT340" s="850"/>
      <c r="AU340" s="850"/>
      <c r="AV340" s="246"/>
      <c r="AW340" s="850"/>
      <c r="AX340" s="850"/>
      <c r="AY340" s="850"/>
      <c r="AZ340" s="850"/>
      <c r="BA340" s="246"/>
      <c r="BB340" s="850"/>
      <c r="BC340" s="850"/>
      <c r="BD340" s="850"/>
      <c r="BE340" s="850"/>
      <c r="BF340" s="246"/>
      <c r="BG340" s="850"/>
      <c r="BH340" s="850"/>
      <c r="BI340" s="850"/>
      <c r="BJ340" s="850"/>
      <c r="BK340" s="246"/>
      <c r="BL340" s="850"/>
      <c r="BM340" s="850"/>
      <c r="BN340" s="850"/>
      <c r="BO340" s="1647"/>
      <c r="BP340" s="246"/>
      <c r="BQ340" s="850"/>
      <c r="BR340" s="850"/>
      <c r="BS340" s="850"/>
      <c r="BT340" s="850"/>
      <c r="BU340" s="246"/>
      <c r="BV340" s="850"/>
      <c r="BW340" s="850"/>
      <c r="BX340" s="850"/>
      <c r="BY340" s="850"/>
      <c r="BZ340" s="246"/>
      <c r="CA340" s="850"/>
      <c r="CB340" s="850"/>
      <c r="CC340" s="850"/>
      <c r="CD340" s="850"/>
      <c r="CE340" s="246"/>
      <c r="CF340" s="850"/>
      <c r="CG340" s="3008"/>
      <c r="CH340" s="2349">
        <f t="shared" si="423"/>
        <v>46</v>
      </c>
      <c r="CI340" s="2349">
        <f t="shared" si="423"/>
        <v>48</v>
      </c>
      <c r="CJ340" s="236">
        <f t="shared" si="360"/>
        <v>48</v>
      </c>
      <c r="CK340" s="3510">
        <f t="shared" si="424"/>
        <v>47</v>
      </c>
      <c r="CL340" s="2350">
        <f t="shared" si="424"/>
        <v>49</v>
      </c>
      <c r="CM340" s="2350">
        <f t="shared" si="425"/>
        <v>50</v>
      </c>
      <c r="CN340" s="2350">
        <f t="shared" si="425"/>
        <v>50</v>
      </c>
      <c r="CO340" s="2289">
        <f t="shared" ref="CO340" si="429">+CO201+CO63</f>
        <v>50</v>
      </c>
      <c r="CP340" s="3510"/>
      <c r="CQ340" s="2350"/>
      <c r="CR340" s="850"/>
      <c r="CS340" s="850"/>
      <c r="CT340" s="246"/>
      <c r="CU340" s="246"/>
      <c r="CV340" s="246"/>
    </row>
    <row r="341" spans="1:106" x14ac:dyDescent="0.2">
      <c r="A341" s="2434" t="s">
        <v>2458</v>
      </c>
      <c r="B341" s="651"/>
      <c r="C341" s="236"/>
      <c r="D341" s="234"/>
      <c r="E341" s="234"/>
      <c r="F341" s="234"/>
      <c r="G341" s="234"/>
      <c r="H341" s="246"/>
      <c r="I341" s="850"/>
      <c r="J341" s="850"/>
      <c r="K341" s="850"/>
      <c r="L341" s="850"/>
      <c r="M341" s="246"/>
      <c r="N341" s="850"/>
      <c r="O341" s="850"/>
      <c r="P341" s="850"/>
      <c r="Q341" s="850"/>
      <c r="R341" s="246"/>
      <c r="S341" s="850"/>
      <c r="T341" s="850"/>
      <c r="U341" s="850"/>
      <c r="V341" s="850"/>
      <c r="W341" s="246"/>
      <c r="X341" s="850"/>
      <c r="Y341" s="850"/>
      <c r="Z341" s="850"/>
      <c r="AA341" s="850"/>
      <c r="AB341" s="246"/>
      <c r="AC341" s="850"/>
      <c r="AD341" s="850"/>
      <c r="AE341" s="850"/>
      <c r="AF341" s="850"/>
      <c r="AG341" s="246"/>
      <c r="AH341" s="850"/>
      <c r="AI341" s="850"/>
      <c r="AJ341" s="850"/>
      <c r="AK341" s="850"/>
      <c r="AL341" s="246"/>
      <c r="AM341" s="850"/>
      <c r="AN341" s="850"/>
      <c r="AO341" s="850"/>
      <c r="AP341" s="850"/>
      <c r="AQ341" s="246"/>
      <c r="AR341" s="850"/>
      <c r="AS341" s="850"/>
      <c r="AT341" s="850"/>
      <c r="AU341" s="850"/>
      <c r="AV341" s="246"/>
      <c r="AW341" s="850"/>
      <c r="AX341" s="850"/>
      <c r="AY341" s="850"/>
      <c r="AZ341" s="850"/>
      <c r="BA341" s="246"/>
      <c r="BB341" s="850"/>
      <c r="BC341" s="850"/>
      <c r="BD341" s="850"/>
      <c r="BE341" s="850"/>
      <c r="BF341" s="246"/>
      <c r="BG341" s="850"/>
      <c r="BH341" s="850"/>
      <c r="BI341" s="850"/>
      <c r="BJ341" s="850"/>
      <c r="BK341" s="246"/>
      <c r="BL341" s="850"/>
      <c r="BM341" s="850"/>
      <c r="BN341" s="850"/>
      <c r="BO341" s="1647"/>
      <c r="BP341" s="246"/>
      <c r="BQ341" s="850"/>
      <c r="BR341" s="850"/>
      <c r="BS341" s="850"/>
      <c r="BT341" s="850"/>
      <c r="BU341" s="246"/>
      <c r="BV341" s="850"/>
      <c r="BW341" s="850"/>
      <c r="BX341" s="850"/>
      <c r="BY341" s="850"/>
      <c r="BZ341" s="246"/>
      <c r="CA341" s="850"/>
      <c r="CB341" s="850"/>
      <c r="CC341" s="850"/>
      <c r="CD341" s="850"/>
      <c r="CE341" s="246"/>
      <c r="CF341" s="850"/>
      <c r="CG341" s="3008"/>
      <c r="CH341" s="2349">
        <f t="shared" si="423"/>
        <v>51</v>
      </c>
      <c r="CI341" s="2349">
        <f t="shared" si="423"/>
        <v>52</v>
      </c>
      <c r="CJ341" s="236">
        <f t="shared" si="360"/>
        <v>52</v>
      </c>
      <c r="CK341" s="3510">
        <f t="shared" si="424"/>
        <v>52</v>
      </c>
      <c r="CL341" s="2350">
        <f t="shared" si="424"/>
        <v>52</v>
      </c>
      <c r="CM341" s="2350">
        <f t="shared" si="425"/>
        <v>53</v>
      </c>
      <c r="CN341" s="2350">
        <f t="shared" si="425"/>
        <v>54</v>
      </c>
      <c r="CO341" s="2289">
        <f t="shared" ref="CO341" si="430">+CO202+CO64</f>
        <v>54</v>
      </c>
      <c r="CP341" s="3510"/>
      <c r="CQ341" s="2350"/>
      <c r="CR341" s="850"/>
      <c r="CS341" s="850"/>
      <c r="CT341" s="246"/>
      <c r="CU341" s="246"/>
      <c r="CV341" s="246"/>
    </row>
    <row r="342" spans="1:106" x14ac:dyDescent="0.2">
      <c r="A342" s="2434" t="s">
        <v>2459</v>
      </c>
      <c r="B342" s="651"/>
      <c r="C342" s="236"/>
      <c r="D342" s="234"/>
      <c r="E342" s="234"/>
      <c r="F342" s="234"/>
      <c r="G342" s="234"/>
      <c r="H342" s="246"/>
      <c r="I342" s="850"/>
      <c r="J342" s="850"/>
      <c r="K342" s="850"/>
      <c r="L342" s="850"/>
      <c r="M342" s="246"/>
      <c r="N342" s="850"/>
      <c r="O342" s="850"/>
      <c r="P342" s="850"/>
      <c r="Q342" s="850"/>
      <c r="R342" s="246"/>
      <c r="S342" s="850"/>
      <c r="T342" s="850"/>
      <c r="U342" s="850"/>
      <c r="V342" s="850"/>
      <c r="W342" s="246"/>
      <c r="X342" s="850"/>
      <c r="Y342" s="850"/>
      <c r="Z342" s="850"/>
      <c r="AA342" s="850"/>
      <c r="AB342" s="246"/>
      <c r="AC342" s="850"/>
      <c r="AD342" s="850"/>
      <c r="AE342" s="850"/>
      <c r="AF342" s="850"/>
      <c r="AG342" s="246"/>
      <c r="AH342" s="850"/>
      <c r="AI342" s="850"/>
      <c r="AJ342" s="850"/>
      <c r="AK342" s="850"/>
      <c r="AL342" s="246"/>
      <c r="AM342" s="850"/>
      <c r="AN342" s="850"/>
      <c r="AO342" s="850"/>
      <c r="AP342" s="850"/>
      <c r="AQ342" s="246"/>
      <c r="AR342" s="850"/>
      <c r="AS342" s="850"/>
      <c r="AT342" s="850"/>
      <c r="AU342" s="850"/>
      <c r="AV342" s="246"/>
      <c r="AW342" s="850"/>
      <c r="AX342" s="850"/>
      <c r="AY342" s="850"/>
      <c r="AZ342" s="850"/>
      <c r="BA342" s="246"/>
      <c r="BB342" s="850"/>
      <c r="BC342" s="850"/>
      <c r="BD342" s="850"/>
      <c r="BE342" s="850"/>
      <c r="BF342" s="246"/>
      <c r="BG342" s="850"/>
      <c r="BH342" s="850"/>
      <c r="BI342" s="850"/>
      <c r="BJ342" s="850"/>
      <c r="BK342" s="246"/>
      <c r="BL342" s="850"/>
      <c r="BM342" s="850"/>
      <c r="BN342" s="850"/>
      <c r="BO342" s="1647"/>
      <c r="BP342" s="246"/>
      <c r="BQ342" s="850"/>
      <c r="BR342" s="850"/>
      <c r="BS342" s="850"/>
      <c r="BT342" s="850"/>
      <c r="BU342" s="246"/>
      <c r="BV342" s="850"/>
      <c r="BW342" s="850"/>
      <c r="BX342" s="850"/>
      <c r="BY342" s="850"/>
      <c r="BZ342" s="246"/>
      <c r="CA342" s="850"/>
      <c r="CB342" s="850"/>
      <c r="CC342" s="850"/>
      <c r="CD342" s="850"/>
      <c r="CE342" s="246"/>
      <c r="CF342" s="850"/>
      <c r="CG342" s="3008"/>
      <c r="CH342" s="2349">
        <f t="shared" si="423"/>
        <v>34</v>
      </c>
      <c r="CI342" s="2349">
        <f t="shared" si="423"/>
        <v>36</v>
      </c>
      <c r="CJ342" s="236">
        <f t="shared" si="360"/>
        <v>36</v>
      </c>
      <c r="CK342" s="3510">
        <f t="shared" si="424"/>
        <v>37</v>
      </c>
      <c r="CL342" s="2350">
        <f t="shared" si="424"/>
        <v>39</v>
      </c>
      <c r="CM342" s="2350">
        <f t="shared" si="425"/>
        <v>41</v>
      </c>
      <c r="CN342" s="2350">
        <f t="shared" si="425"/>
        <v>41</v>
      </c>
      <c r="CO342" s="2289">
        <f t="shared" ref="CO342" si="431">+CO203+CO65</f>
        <v>41</v>
      </c>
      <c r="CP342" s="3510"/>
      <c r="CQ342" s="2350"/>
      <c r="CR342" s="850"/>
      <c r="CS342" s="850"/>
      <c r="CT342" s="246"/>
      <c r="CU342" s="246"/>
      <c r="CV342" s="246"/>
    </row>
    <row r="343" spans="1:106" x14ac:dyDescent="0.2">
      <c r="A343" s="2434" t="s">
        <v>2460</v>
      </c>
      <c r="B343" s="651"/>
      <c r="C343" s="236"/>
      <c r="D343" s="234"/>
      <c r="E343" s="234"/>
      <c r="F343" s="234"/>
      <c r="G343" s="234"/>
      <c r="H343" s="246"/>
      <c r="I343" s="850"/>
      <c r="J343" s="850"/>
      <c r="K343" s="850"/>
      <c r="L343" s="850"/>
      <c r="M343" s="246"/>
      <c r="N343" s="850"/>
      <c r="O343" s="850"/>
      <c r="P343" s="850"/>
      <c r="Q343" s="850"/>
      <c r="R343" s="246"/>
      <c r="S343" s="850"/>
      <c r="T343" s="850"/>
      <c r="U343" s="850"/>
      <c r="V343" s="850"/>
      <c r="W343" s="246"/>
      <c r="X343" s="850"/>
      <c r="Y343" s="850"/>
      <c r="Z343" s="850"/>
      <c r="AA343" s="850"/>
      <c r="AB343" s="246"/>
      <c r="AC343" s="850"/>
      <c r="AD343" s="850"/>
      <c r="AE343" s="850"/>
      <c r="AF343" s="850"/>
      <c r="AG343" s="246"/>
      <c r="AH343" s="850"/>
      <c r="AI343" s="850"/>
      <c r="AJ343" s="850"/>
      <c r="AK343" s="850"/>
      <c r="AL343" s="246"/>
      <c r="AM343" s="850"/>
      <c r="AN343" s="850"/>
      <c r="AO343" s="850"/>
      <c r="AP343" s="850"/>
      <c r="AQ343" s="246"/>
      <c r="AR343" s="850"/>
      <c r="AS343" s="850"/>
      <c r="AT343" s="850"/>
      <c r="AU343" s="850"/>
      <c r="AV343" s="246"/>
      <c r="AW343" s="850"/>
      <c r="AX343" s="850"/>
      <c r="AY343" s="850"/>
      <c r="AZ343" s="850"/>
      <c r="BA343" s="246"/>
      <c r="BB343" s="850"/>
      <c r="BC343" s="850"/>
      <c r="BD343" s="850"/>
      <c r="BE343" s="850"/>
      <c r="BF343" s="246"/>
      <c r="BG343" s="850"/>
      <c r="BH343" s="850"/>
      <c r="BI343" s="850"/>
      <c r="BJ343" s="850"/>
      <c r="BK343" s="246"/>
      <c r="BL343" s="850"/>
      <c r="BM343" s="850"/>
      <c r="BN343" s="850"/>
      <c r="BO343" s="1647"/>
      <c r="BP343" s="246"/>
      <c r="BQ343" s="850"/>
      <c r="BR343" s="850"/>
      <c r="BS343" s="850"/>
      <c r="BT343" s="850"/>
      <c r="BU343" s="246"/>
      <c r="BV343" s="850"/>
      <c r="BW343" s="850"/>
      <c r="BX343" s="850"/>
      <c r="BY343" s="850"/>
      <c r="BZ343" s="246"/>
      <c r="CA343" s="850"/>
      <c r="CB343" s="850"/>
      <c r="CC343" s="850"/>
      <c r="CD343" s="850"/>
      <c r="CE343" s="246"/>
      <c r="CF343" s="850"/>
      <c r="CG343" s="3008"/>
      <c r="CH343" s="2349">
        <f t="shared" si="423"/>
        <v>78</v>
      </c>
      <c r="CI343" s="2349">
        <f t="shared" si="423"/>
        <v>79</v>
      </c>
      <c r="CJ343" s="236">
        <f t="shared" si="360"/>
        <v>79</v>
      </c>
      <c r="CK343" s="3510">
        <f t="shared" si="424"/>
        <v>79</v>
      </c>
      <c r="CL343" s="2350">
        <f t="shared" si="424"/>
        <v>78</v>
      </c>
      <c r="CM343" s="2350">
        <f t="shared" si="425"/>
        <v>77</v>
      </c>
      <c r="CN343" s="2350">
        <f t="shared" si="425"/>
        <v>79</v>
      </c>
      <c r="CO343" s="2289">
        <f t="shared" ref="CO343" si="432">+CO204+CO66</f>
        <v>79</v>
      </c>
      <c r="CP343" s="3510"/>
      <c r="CQ343" s="2350"/>
      <c r="CR343" s="850"/>
      <c r="CS343" s="850"/>
      <c r="CT343" s="246"/>
      <c r="CU343" s="246"/>
      <c r="CV343" s="246"/>
    </row>
    <row r="344" spans="1:106" x14ac:dyDescent="0.2">
      <c r="A344" s="2434" t="s">
        <v>2464</v>
      </c>
      <c r="B344" s="651"/>
      <c r="C344" s="236"/>
      <c r="D344" s="234"/>
      <c r="E344" s="234"/>
      <c r="F344" s="234"/>
      <c r="G344" s="234"/>
      <c r="H344" s="246"/>
      <c r="I344" s="850"/>
      <c r="J344" s="850"/>
      <c r="K344" s="850"/>
      <c r="L344" s="850"/>
      <c r="M344" s="246"/>
      <c r="N344" s="850"/>
      <c r="O344" s="850"/>
      <c r="P344" s="850"/>
      <c r="Q344" s="850"/>
      <c r="R344" s="246"/>
      <c r="S344" s="850"/>
      <c r="T344" s="850"/>
      <c r="U344" s="850"/>
      <c r="V344" s="850"/>
      <c r="W344" s="246"/>
      <c r="X344" s="850"/>
      <c r="Y344" s="850"/>
      <c r="Z344" s="850"/>
      <c r="AA344" s="850"/>
      <c r="AB344" s="246"/>
      <c r="AC344" s="850"/>
      <c r="AD344" s="850"/>
      <c r="AE344" s="850"/>
      <c r="AF344" s="850"/>
      <c r="AG344" s="246"/>
      <c r="AH344" s="850"/>
      <c r="AI344" s="850"/>
      <c r="AJ344" s="850"/>
      <c r="AK344" s="850"/>
      <c r="AL344" s="246"/>
      <c r="AM344" s="850"/>
      <c r="AN344" s="850"/>
      <c r="AO344" s="850"/>
      <c r="AP344" s="850"/>
      <c r="AQ344" s="246"/>
      <c r="AR344" s="850"/>
      <c r="AS344" s="850"/>
      <c r="AT344" s="850"/>
      <c r="AU344" s="850"/>
      <c r="AV344" s="246"/>
      <c r="AW344" s="850"/>
      <c r="AX344" s="850"/>
      <c r="AY344" s="850"/>
      <c r="AZ344" s="850"/>
      <c r="BA344" s="246"/>
      <c r="BB344" s="850"/>
      <c r="BC344" s="850"/>
      <c r="BD344" s="850"/>
      <c r="BE344" s="850"/>
      <c r="BF344" s="246"/>
      <c r="BG344" s="850"/>
      <c r="BH344" s="850"/>
      <c r="BI344" s="850"/>
      <c r="BJ344" s="850"/>
      <c r="BK344" s="246"/>
      <c r="BL344" s="850"/>
      <c r="BM344" s="850"/>
      <c r="BN344" s="850"/>
      <c r="BO344" s="1647"/>
      <c r="BP344" s="246"/>
      <c r="BQ344" s="850"/>
      <c r="BR344" s="850"/>
      <c r="BS344" s="850"/>
      <c r="BT344" s="850"/>
      <c r="BU344" s="246"/>
      <c r="BV344" s="850"/>
      <c r="BW344" s="850"/>
      <c r="BX344" s="850"/>
      <c r="BY344" s="850"/>
      <c r="BZ344" s="246"/>
      <c r="CA344" s="850"/>
      <c r="CB344" s="850"/>
      <c r="CC344" s="850"/>
      <c r="CD344" s="850"/>
      <c r="CE344" s="246"/>
      <c r="CF344" s="850"/>
      <c r="CG344" s="3008"/>
      <c r="CH344" s="2349">
        <f t="shared" si="423"/>
        <v>23</v>
      </c>
      <c r="CI344" s="2349">
        <f t="shared" si="423"/>
        <v>24</v>
      </c>
      <c r="CJ344" s="236">
        <f t="shared" si="360"/>
        <v>24</v>
      </c>
      <c r="CK344" s="3510">
        <f t="shared" si="424"/>
        <v>26</v>
      </c>
      <c r="CL344" s="2350">
        <f t="shared" si="424"/>
        <v>28</v>
      </c>
      <c r="CM344" s="2350">
        <f t="shared" si="425"/>
        <v>29</v>
      </c>
      <c r="CN344" s="2350">
        <f t="shared" si="425"/>
        <v>30</v>
      </c>
      <c r="CO344" s="2289">
        <f t="shared" ref="CO344" si="433">+CO205+CO67</f>
        <v>30</v>
      </c>
      <c r="CP344" s="3510"/>
      <c r="CQ344" s="2350"/>
      <c r="CR344" s="850"/>
      <c r="CS344" s="850"/>
      <c r="CT344" s="246"/>
      <c r="CU344" s="246"/>
      <c r="CV344" s="246"/>
    </row>
    <row r="345" spans="1:106" x14ac:dyDescent="0.2">
      <c r="A345" s="2434" t="s">
        <v>2462</v>
      </c>
      <c r="B345" s="651"/>
      <c r="C345" s="236"/>
      <c r="D345" s="234"/>
      <c r="E345" s="234"/>
      <c r="F345" s="234"/>
      <c r="G345" s="234"/>
      <c r="H345" s="246"/>
      <c r="I345" s="850"/>
      <c r="J345" s="850"/>
      <c r="K345" s="850"/>
      <c r="L345" s="850"/>
      <c r="M345" s="246"/>
      <c r="N345" s="850"/>
      <c r="O345" s="850"/>
      <c r="P345" s="850"/>
      <c r="Q345" s="850"/>
      <c r="R345" s="246"/>
      <c r="S345" s="850"/>
      <c r="T345" s="850"/>
      <c r="U345" s="850"/>
      <c r="V345" s="850"/>
      <c r="W345" s="246"/>
      <c r="X345" s="850"/>
      <c r="Y345" s="850"/>
      <c r="Z345" s="850"/>
      <c r="AA345" s="850"/>
      <c r="AB345" s="246"/>
      <c r="AC345" s="850"/>
      <c r="AD345" s="850"/>
      <c r="AE345" s="850"/>
      <c r="AF345" s="850"/>
      <c r="AG345" s="246"/>
      <c r="AH345" s="850"/>
      <c r="AI345" s="850"/>
      <c r="AJ345" s="850"/>
      <c r="AK345" s="850"/>
      <c r="AL345" s="246"/>
      <c r="AM345" s="850"/>
      <c r="AN345" s="850"/>
      <c r="AO345" s="850"/>
      <c r="AP345" s="850"/>
      <c r="AQ345" s="246"/>
      <c r="AR345" s="850"/>
      <c r="AS345" s="850"/>
      <c r="AT345" s="850"/>
      <c r="AU345" s="850"/>
      <c r="AV345" s="246"/>
      <c r="AW345" s="850"/>
      <c r="AX345" s="850"/>
      <c r="AY345" s="850"/>
      <c r="AZ345" s="850"/>
      <c r="BA345" s="246"/>
      <c r="BB345" s="850"/>
      <c r="BC345" s="850"/>
      <c r="BD345" s="850"/>
      <c r="BE345" s="850"/>
      <c r="BF345" s="246"/>
      <c r="BG345" s="850"/>
      <c r="BH345" s="850"/>
      <c r="BI345" s="850"/>
      <c r="BJ345" s="850"/>
      <c r="BK345" s="246"/>
      <c r="BL345" s="850"/>
      <c r="BM345" s="850"/>
      <c r="BN345" s="850"/>
      <c r="BO345" s="1647"/>
      <c r="BP345" s="246"/>
      <c r="BQ345" s="850"/>
      <c r="BR345" s="850"/>
      <c r="BS345" s="850"/>
      <c r="BT345" s="850"/>
      <c r="BU345" s="246"/>
      <c r="BV345" s="850"/>
      <c r="BW345" s="850"/>
      <c r="BX345" s="850"/>
      <c r="BY345" s="850"/>
      <c r="BZ345" s="246"/>
      <c r="CA345" s="850"/>
      <c r="CB345" s="850"/>
      <c r="CC345" s="850"/>
      <c r="CD345" s="850"/>
      <c r="CE345" s="246"/>
      <c r="CF345" s="850"/>
      <c r="CG345" s="3008"/>
      <c r="CH345" s="2349">
        <f t="shared" si="423"/>
        <v>2</v>
      </c>
      <c r="CI345" s="2349">
        <f t="shared" si="423"/>
        <v>2</v>
      </c>
      <c r="CJ345" s="236">
        <f t="shared" si="360"/>
        <v>2</v>
      </c>
      <c r="CK345" s="3510">
        <f t="shared" si="424"/>
        <v>2</v>
      </c>
      <c r="CL345" s="2350">
        <f t="shared" si="424"/>
        <v>4</v>
      </c>
      <c r="CM345" s="2350">
        <f t="shared" si="425"/>
        <v>5</v>
      </c>
      <c r="CN345" s="2350">
        <f t="shared" si="425"/>
        <v>5</v>
      </c>
      <c r="CO345" s="2289">
        <f t="shared" ref="CO345" si="434">+CO206+CO68</f>
        <v>5</v>
      </c>
      <c r="CP345" s="3510"/>
      <c r="CQ345" s="2350"/>
      <c r="CR345" s="850"/>
      <c r="CS345" s="850"/>
      <c r="CT345" s="246"/>
      <c r="CU345" s="246"/>
      <c r="CV345" s="246"/>
    </row>
    <row r="346" spans="1:106" x14ac:dyDescent="0.2">
      <c r="A346" s="2434" t="s">
        <v>2463</v>
      </c>
      <c r="B346" s="651"/>
      <c r="C346" s="236"/>
      <c r="D346" s="234"/>
      <c r="E346" s="234"/>
      <c r="F346" s="234"/>
      <c r="G346" s="234"/>
      <c r="H346" s="246"/>
      <c r="I346" s="850"/>
      <c r="J346" s="850"/>
      <c r="K346" s="850"/>
      <c r="L346" s="850"/>
      <c r="M346" s="246"/>
      <c r="N346" s="850"/>
      <c r="O346" s="850"/>
      <c r="P346" s="850"/>
      <c r="Q346" s="850"/>
      <c r="R346" s="246"/>
      <c r="S346" s="850"/>
      <c r="T346" s="850"/>
      <c r="U346" s="850"/>
      <c r="V346" s="850"/>
      <c r="W346" s="246"/>
      <c r="X346" s="850"/>
      <c r="Y346" s="850"/>
      <c r="Z346" s="850"/>
      <c r="AA346" s="850"/>
      <c r="AB346" s="246"/>
      <c r="AC346" s="850"/>
      <c r="AD346" s="850"/>
      <c r="AE346" s="850"/>
      <c r="AF346" s="850"/>
      <c r="AG346" s="246"/>
      <c r="AH346" s="850"/>
      <c r="AI346" s="850"/>
      <c r="AJ346" s="850"/>
      <c r="AK346" s="850"/>
      <c r="AL346" s="246"/>
      <c r="AM346" s="850"/>
      <c r="AN346" s="850"/>
      <c r="AO346" s="850"/>
      <c r="AP346" s="850"/>
      <c r="AQ346" s="246"/>
      <c r="AR346" s="850"/>
      <c r="AS346" s="850"/>
      <c r="AT346" s="850"/>
      <c r="AU346" s="850"/>
      <c r="AV346" s="246"/>
      <c r="AW346" s="850"/>
      <c r="AX346" s="850"/>
      <c r="AY346" s="850"/>
      <c r="AZ346" s="850"/>
      <c r="BA346" s="246"/>
      <c r="BB346" s="850"/>
      <c r="BC346" s="850"/>
      <c r="BD346" s="850"/>
      <c r="BE346" s="850"/>
      <c r="BF346" s="246"/>
      <c r="BG346" s="850"/>
      <c r="BH346" s="850"/>
      <c r="BI346" s="850"/>
      <c r="BJ346" s="850"/>
      <c r="BK346" s="246"/>
      <c r="BL346" s="850"/>
      <c r="BM346" s="850"/>
      <c r="BN346" s="850"/>
      <c r="BO346" s="1647"/>
      <c r="BP346" s="246"/>
      <c r="BQ346" s="850"/>
      <c r="BR346" s="850"/>
      <c r="BS346" s="850"/>
      <c r="BT346" s="850"/>
      <c r="BU346" s="246"/>
      <c r="BV346" s="850"/>
      <c r="BW346" s="850"/>
      <c r="BX346" s="850"/>
      <c r="BY346" s="850"/>
      <c r="BZ346" s="246"/>
      <c r="CA346" s="850"/>
      <c r="CB346" s="850"/>
      <c r="CC346" s="850"/>
      <c r="CD346" s="850"/>
      <c r="CE346" s="246"/>
      <c r="CF346" s="850"/>
      <c r="CG346" s="3008"/>
      <c r="CH346" s="2349">
        <f t="shared" si="423"/>
        <v>2</v>
      </c>
      <c r="CI346" s="2349">
        <f t="shared" si="423"/>
        <v>3</v>
      </c>
      <c r="CJ346" s="236">
        <f t="shared" si="360"/>
        <v>3</v>
      </c>
      <c r="CK346" s="3510">
        <f t="shared" si="424"/>
        <v>3</v>
      </c>
      <c r="CL346" s="2350">
        <f t="shared" si="424"/>
        <v>3</v>
      </c>
      <c r="CM346" s="2350">
        <f t="shared" si="425"/>
        <v>3</v>
      </c>
      <c r="CN346" s="2350">
        <f t="shared" si="425"/>
        <v>3</v>
      </c>
      <c r="CO346" s="2289">
        <f t="shared" ref="CO346" si="435">+CO207+CO69</f>
        <v>3</v>
      </c>
      <c r="CP346" s="3510"/>
      <c r="CQ346" s="2350"/>
      <c r="CR346" s="850"/>
      <c r="CS346" s="850"/>
      <c r="CT346" s="246"/>
      <c r="CU346" s="246"/>
      <c r="CV346" s="246"/>
    </row>
    <row r="347" spans="1:106" x14ac:dyDescent="0.2">
      <c r="A347" s="2434" t="s">
        <v>1931</v>
      </c>
      <c r="B347" s="651"/>
      <c r="C347" s="236"/>
      <c r="D347" s="234"/>
      <c r="E347" s="234"/>
      <c r="F347" s="234"/>
      <c r="G347" s="234"/>
      <c r="H347" s="246"/>
      <c r="I347" s="850"/>
      <c r="J347" s="850"/>
      <c r="K347" s="850"/>
      <c r="L347" s="850"/>
      <c r="M347" s="246"/>
      <c r="N347" s="850"/>
      <c r="O347" s="850"/>
      <c r="P347" s="850"/>
      <c r="Q347" s="850"/>
      <c r="R347" s="246"/>
      <c r="S347" s="850"/>
      <c r="T347" s="850"/>
      <c r="U347" s="850"/>
      <c r="V347" s="850"/>
      <c r="W347" s="246"/>
      <c r="X347" s="850"/>
      <c r="Y347" s="850"/>
      <c r="Z347" s="850"/>
      <c r="AA347" s="850"/>
      <c r="AB347" s="246"/>
      <c r="AC347" s="850"/>
      <c r="AD347" s="850"/>
      <c r="AE347" s="850"/>
      <c r="AF347" s="850"/>
      <c r="AG347" s="246"/>
      <c r="AH347" s="850"/>
      <c r="AI347" s="850"/>
      <c r="AJ347" s="850"/>
      <c r="AK347" s="850"/>
      <c r="AL347" s="246"/>
      <c r="AM347" s="850"/>
      <c r="AN347" s="850"/>
      <c r="AO347" s="850"/>
      <c r="AP347" s="850"/>
      <c r="AQ347" s="246"/>
      <c r="AR347" s="850"/>
      <c r="AS347" s="850"/>
      <c r="AT347" s="850"/>
      <c r="AU347" s="850"/>
      <c r="AV347" s="246"/>
      <c r="AW347" s="850"/>
      <c r="AX347" s="850"/>
      <c r="AY347" s="850"/>
      <c r="AZ347" s="850"/>
      <c r="BA347" s="246"/>
      <c r="BB347" s="850"/>
      <c r="BC347" s="850"/>
      <c r="BD347" s="850"/>
      <c r="BE347" s="850"/>
      <c r="BF347" s="246"/>
      <c r="BG347" s="850"/>
      <c r="BH347" s="850"/>
      <c r="BI347" s="850"/>
      <c r="BJ347" s="850"/>
      <c r="BK347" s="246"/>
      <c r="BL347" s="850"/>
      <c r="BM347" s="850"/>
      <c r="BN347" s="850"/>
      <c r="BO347" s="1647"/>
      <c r="BP347" s="246"/>
      <c r="BQ347" s="850"/>
      <c r="BR347" s="850"/>
      <c r="BS347" s="850"/>
      <c r="BT347" s="850"/>
      <c r="BU347" s="246"/>
      <c r="BV347" s="850"/>
      <c r="BW347" s="850"/>
      <c r="BX347" s="850"/>
      <c r="BY347" s="850"/>
      <c r="BZ347" s="246"/>
      <c r="CA347" s="850"/>
      <c r="CB347" s="850"/>
      <c r="CC347" s="850"/>
      <c r="CD347" s="850"/>
      <c r="CE347" s="246"/>
      <c r="CF347" s="850"/>
      <c r="CG347" s="3008"/>
      <c r="CH347" s="2349">
        <f t="shared" si="423"/>
        <v>48</v>
      </c>
      <c r="CI347" s="2349">
        <f t="shared" si="423"/>
        <v>49</v>
      </c>
      <c r="CJ347" s="236">
        <f t="shared" si="360"/>
        <v>49</v>
      </c>
      <c r="CK347" s="3510">
        <f t="shared" si="424"/>
        <v>49</v>
      </c>
      <c r="CL347" s="2350">
        <f t="shared" si="424"/>
        <v>51</v>
      </c>
      <c r="CM347" s="2350">
        <f>+CM208+CM70</f>
        <v>80</v>
      </c>
      <c r="CN347" s="2350">
        <f>+CN208+CN70</f>
        <v>82</v>
      </c>
      <c r="CO347" s="2289">
        <f>+CO208+CO70</f>
        <v>82</v>
      </c>
      <c r="CP347" s="3510"/>
      <c r="CQ347" s="2350"/>
      <c r="CR347" s="850"/>
      <c r="CS347" s="850"/>
      <c r="CT347" s="246"/>
      <c r="CU347" s="246"/>
      <c r="CV347" s="246"/>
    </row>
    <row r="348" spans="1:106" ht="4.5" customHeight="1" x14ac:dyDescent="0.35">
      <c r="A348" s="1207"/>
      <c r="B348" s="212"/>
      <c r="C348" s="212"/>
      <c r="D348" s="212"/>
      <c r="E348" s="212"/>
      <c r="F348" s="212"/>
      <c r="G348" s="212"/>
      <c r="H348" s="194"/>
      <c r="I348" s="850" t="s">
        <v>2466</v>
      </c>
      <c r="J348" s="850" t="s">
        <v>2139</v>
      </c>
      <c r="K348" s="850" t="s">
        <v>2466</v>
      </c>
      <c r="L348" s="850" t="s">
        <v>2139</v>
      </c>
      <c r="M348" s="3009" t="s">
        <v>2378</v>
      </c>
      <c r="N348" s="850" t="s">
        <v>2466</v>
      </c>
      <c r="O348" s="850" t="s">
        <v>2139</v>
      </c>
      <c r="P348" s="850" t="s">
        <v>2466</v>
      </c>
      <c r="Q348" s="850" t="s">
        <v>2139</v>
      </c>
      <c r="R348" s="3009" t="s">
        <v>2378</v>
      </c>
      <c r="S348" s="850" t="s">
        <v>2466</v>
      </c>
      <c r="T348" s="850" t="s">
        <v>2139</v>
      </c>
      <c r="U348" s="850" t="s">
        <v>2466</v>
      </c>
      <c r="V348" s="850" t="s">
        <v>2139</v>
      </c>
      <c r="W348" s="3009" t="s">
        <v>2378</v>
      </c>
      <c r="X348" s="850" t="s">
        <v>2466</v>
      </c>
      <c r="Y348" s="850" t="s">
        <v>2139</v>
      </c>
      <c r="Z348" s="850" t="s">
        <v>2466</v>
      </c>
      <c r="AA348" s="850" t="s">
        <v>2139</v>
      </c>
      <c r="AB348" s="3009" t="s">
        <v>2378</v>
      </c>
      <c r="AC348" s="850" t="s">
        <v>2466</v>
      </c>
      <c r="AD348" s="850" t="s">
        <v>2139</v>
      </c>
      <c r="AE348" s="850" t="s">
        <v>2466</v>
      </c>
      <c r="AF348" s="850" t="s">
        <v>2139</v>
      </c>
      <c r="AG348" s="3009" t="s">
        <v>2378</v>
      </c>
      <c r="AH348" s="850" t="s">
        <v>2466</v>
      </c>
      <c r="AI348" s="850" t="s">
        <v>2139</v>
      </c>
      <c r="AJ348" s="850" t="s">
        <v>2466</v>
      </c>
      <c r="AK348" s="850" t="s">
        <v>2139</v>
      </c>
      <c r="AL348" s="3009" t="s">
        <v>2378</v>
      </c>
      <c r="AM348" s="850" t="s">
        <v>2466</v>
      </c>
      <c r="AN348" s="850" t="s">
        <v>2139</v>
      </c>
      <c r="AO348" s="850" t="s">
        <v>2466</v>
      </c>
      <c r="AP348" s="850" t="s">
        <v>2139</v>
      </c>
      <c r="AQ348" s="3009" t="s">
        <v>2378</v>
      </c>
      <c r="AR348" s="850" t="s">
        <v>2466</v>
      </c>
      <c r="AS348" s="850" t="s">
        <v>2139</v>
      </c>
      <c r="AT348" s="850" t="s">
        <v>2466</v>
      </c>
      <c r="AU348" s="850" t="s">
        <v>2139</v>
      </c>
      <c r="AV348" s="3009" t="s">
        <v>2378</v>
      </c>
      <c r="AW348" s="850" t="s">
        <v>2466</v>
      </c>
      <c r="AX348" s="850" t="s">
        <v>2139</v>
      </c>
      <c r="AY348" s="850" t="s">
        <v>2466</v>
      </c>
      <c r="AZ348" s="850" t="s">
        <v>2139</v>
      </c>
      <c r="BA348" s="3009" t="s">
        <v>2378</v>
      </c>
      <c r="BB348" s="850" t="s">
        <v>2466</v>
      </c>
      <c r="BC348" s="850" t="s">
        <v>2139</v>
      </c>
      <c r="BD348" s="850" t="s">
        <v>2466</v>
      </c>
      <c r="BE348" s="850" t="s">
        <v>2139</v>
      </c>
      <c r="BF348" s="3009" t="s">
        <v>2378</v>
      </c>
      <c r="BG348" s="3011" t="s">
        <v>2467</v>
      </c>
      <c r="BH348" s="3011" t="s">
        <v>2467</v>
      </c>
      <c r="BI348" s="3011" t="s">
        <v>2467</v>
      </c>
      <c r="BJ348" s="3011" t="s">
        <v>2467</v>
      </c>
      <c r="BK348" s="3009" t="s">
        <v>2139</v>
      </c>
      <c r="BL348" s="3011" t="s">
        <v>1191</v>
      </c>
      <c r="BM348" s="3011" t="s">
        <v>1191</v>
      </c>
      <c r="BN348" s="3011" t="s">
        <v>1191</v>
      </c>
      <c r="BO348" s="3011" t="s">
        <v>1191</v>
      </c>
      <c r="BP348" s="3009" t="s">
        <v>2139</v>
      </c>
      <c r="BQ348" s="3011" t="s">
        <v>2139</v>
      </c>
      <c r="BR348" s="3011" t="s">
        <v>2139</v>
      </c>
      <c r="BS348" s="3011" t="s">
        <v>2139</v>
      </c>
      <c r="BT348" s="3011" t="s">
        <v>2139</v>
      </c>
      <c r="BU348" s="3009" t="s">
        <v>2139</v>
      </c>
      <c r="BV348" s="3011" t="s">
        <v>2468</v>
      </c>
      <c r="BW348" s="3011" t="s">
        <v>2468</v>
      </c>
      <c r="BX348" s="3011" t="s">
        <v>2468</v>
      </c>
      <c r="BY348" s="3011" t="s">
        <v>2467</v>
      </c>
      <c r="BZ348" s="3009" t="s">
        <v>2378</v>
      </c>
      <c r="CA348" s="3011" t="s">
        <v>2466</v>
      </c>
      <c r="CB348" s="3011" t="s">
        <v>2466</v>
      </c>
      <c r="CC348" s="3011" t="s">
        <v>2466</v>
      </c>
      <c r="CD348" s="3011" t="s">
        <v>2378</v>
      </c>
      <c r="CE348" s="3009" t="s">
        <v>2139</v>
      </c>
      <c r="CF348" s="3011" t="s">
        <v>2466</v>
      </c>
      <c r="CG348" s="3011" t="s">
        <v>2378</v>
      </c>
      <c r="CH348" s="3011" t="s">
        <v>2378</v>
      </c>
      <c r="CI348" s="3011" t="s">
        <v>2378</v>
      </c>
      <c r="CJ348" s="3009" t="s">
        <v>2139</v>
      </c>
      <c r="CK348" s="3504" t="s">
        <v>2378</v>
      </c>
      <c r="CL348" s="3502" t="s">
        <v>2378</v>
      </c>
      <c r="CM348" s="3502" t="s">
        <v>2378</v>
      </c>
      <c r="CN348" s="3502" t="s">
        <v>2378</v>
      </c>
      <c r="CO348" s="3815" t="s">
        <v>2378</v>
      </c>
      <c r="CP348" s="3504"/>
      <c r="CQ348" s="3502"/>
      <c r="CR348" s="212"/>
      <c r="CS348" s="212"/>
      <c r="CT348" s="194"/>
      <c r="CU348" s="194"/>
      <c r="CV348" s="194"/>
    </row>
    <row r="349" spans="1:106" x14ac:dyDescent="0.2">
      <c r="A349" s="1437" t="s">
        <v>1735</v>
      </c>
      <c r="B349" s="651"/>
      <c r="C349" s="236"/>
      <c r="D349" s="234"/>
      <c r="E349" s="234"/>
      <c r="F349" s="234"/>
      <c r="G349" s="234"/>
      <c r="H349" s="843"/>
      <c r="I349" s="852">
        <f t="shared" ref="I349:AN349" si="436">SUM(I318:I335)</f>
        <v>814</v>
      </c>
      <c r="J349" s="852">
        <f t="shared" si="436"/>
        <v>826</v>
      </c>
      <c r="K349" s="852">
        <f t="shared" si="436"/>
        <v>841</v>
      </c>
      <c r="L349" s="852">
        <f t="shared" si="436"/>
        <v>798</v>
      </c>
      <c r="M349" s="843">
        <f t="shared" si="436"/>
        <v>798</v>
      </c>
      <c r="N349" s="852">
        <f t="shared" si="436"/>
        <v>810</v>
      </c>
      <c r="O349" s="852">
        <f t="shared" si="436"/>
        <v>818</v>
      </c>
      <c r="P349" s="852">
        <f t="shared" si="436"/>
        <v>821</v>
      </c>
      <c r="Q349" s="852">
        <f t="shared" si="436"/>
        <v>838</v>
      </c>
      <c r="R349" s="843">
        <f t="shared" si="436"/>
        <v>838</v>
      </c>
      <c r="S349" s="852">
        <f t="shared" si="436"/>
        <v>841</v>
      </c>
      <c r="T349" s="852">
        <f t="shared" si="436"/>
        <v>841</v>
      </c>
      <c r="U349" s="852">
        <f t="shared" si="436"/>
        <v>845</v>
      </c>
      <c r="V349" s="852">
        <f t="shared" si="436"/>
        <v>858</v>
      </c>
      <c r="W349" s="843">
        <f t="shared" si="436"/>
        <v>858</v>
      </c>
      <c r="X349" s="852">
        <f t="shared" si="436"/>
        <v>856</v>
      </c>
      <c r="Y349" s="852">
        <f t="shared" si="436"/>
        <v>872</v>
      </c>
      <c r="Z349" s="852">
        <f t="shared" si="436"/>
        <v>883</v>
      </c>
      <c r="AA349" s="852">
        <f t="shared" si="436"/>
        <v>889</v>
      </c>
      <c r="AB349" s="843">
        <f t="shared" si="436"/>
        <v>889</v>
      </c>
      <c r="AC349" s="852">
        <f t="shared" si="436"/>
        <v>891</v>
      </c>
      <c r="AD349" s="852">
        <f t="shared" si="436"/>
        <v>943</v>
      </c>
      <c r="AE349" s="852">
        <f t="shared" si="436"/>
        <v>931</v>
      </c>
      <c r="AF349" s="852">
        <f t="shared" si="436"/>
        <v>934</v>
      </c>
      <c r="AG349" s="843">
        <f t="shared" si="436"/>
        <v>934</v>
      </c>
      <c r="AH349" s="852">
        <f t="shared" si="436"/>
        <v>936</v>
      </c>
      <c r="AI349" s="852">
        <f t="shared" si="436"/>
        <v>947</v>
      </c>
      <c r="AJ349" s="852">
        <f t="shared" si="436"/>
        <v>952</v>
      </c>
      <c r="AK349" s="852">
        <f t="shared" si="436"/>
        <v>947</v>
      </c>
      <c r="AL349" s="843">
        <f t="shared" si="436"/>
        <v>947</v>
      </c>
      <c r="AM349" s="852">
        <f t="shared" si="436"/>
        <v>949</v>
      </c>
      <c r="AN349" s="852">
        <f t="shared" si="436"/>
        <v>950</v>
      </c>
      <c r="AO349" s="852">
        <f t="shared" ref="AO349:BT349" si="437">SUM(AO318:AO335)</f>
        <v>959</v>
      </c>
      <c r="AP349" s="852">
        <f t="shared" si="437"/>
        <v>962</v>
      </c>
      <c r="AQ349" s="843">
        <f t="shared" si="437"/>
        <v>962</v>
      </c>
      <c r="AR349" s="852">
        <f t="shared" si="437"/>
        <v>958</v>
      </c>
      <c r="AS349" s="852">
        <f t="shared" si="437"/>
        <v>958</v>
      </c>
      <c r="AT349" s="852">
        <f t="shared" si="437"/>
        <v>961</v>
      </c>
      <c r="AU349" s="852">
        <f t="shared" si="437"/>
        <v>968</v>
      </c>
      <c r="AV349" s="843">
        <f t="shared" si="437"/>
        <v>968</v>
      </c>
      <c r="AW349" s="852">
        <f t="shared" si="437"/>
        <v>976</v>
      </c>
      <c r="AX349" s="852">
        <f t="shared" si="437"/>
        <v>984</v>
      </c>
      <c r="AY349" s="852">
        <f t="shared" si="437"/>
        <v>988</v>
      </c>
      <c r="AZ349" s="852">
        <f t="shared" si="437"/>
        <v>1003</v>
      </c>
      <c r="BA349" s="843">
        <f t="shared" si="437"/>
        <v>1003</v>
      </c>
      <c r="BB349" s="852">
        <f t="shared" si="437"/>
        <v>999</v>
      </c>
      <c r="BC349" s="852">
        <f t="shared" si="437"/>
        <v>1002</v>
      </c>
      <c r="BD349" s="852">
        <f t="shared" si="437"/>
        <v>1006</v>
      </c>
      <c r="BE349" s="852">
        <f t="shared" si="437"/>
        <v>1005</v>
      </c>
      <c r="BF349" s="843">
        <f t="shared" si="437"/>
        <v>1005</v>
      </c>
      <c r="BG349" s="852">
        <f t="shared" si="437"/>
        <v>1017</v>
      </c>
      <c r="BH349" s="852">
        <f t="shared" si="437"/>
        <v>1020</v>
      </c>
      <c r="BI349" s="852">
        <f t="shared" si="437"/>
        <v>1021</v>
      </c>
      <c r="BJ349" s="852">
        <f t="shared" si="437"/>
        <v>1021</v>
      </c>
      <c r="BK349" s="843">
        <f t="shared" si="437"/>
        <v>1021</v>
      </c>
      <c r="BL349" s="852">
        <f t="shared" si="437"/>
        <v>1022</v>
      </c>
      <c r="BM349" s="852">
        <f t="shared" si="437"/>
        <v>1011</v>
      </c>
      <c r="BN349" s="852">
        <f t="shared" si="437"/>
        <v>1010</v>
      </c>
      <c r="BO349" s="1646">
        <f t="shared" si="437"/>
        <v>1020</v>
      </c>
      <c r="BP349" s="843">
        <f t="shared" si="437"/>
        <v>1020</v>
      </c>
      <c r="BQ349" s="852">
        <f t="shared" si="437"/>
        <v>1021</v>
      </c>
      <c r="BR349" s="852">
        <f t="shared" si="437"/>
        <v>1012</v>
      </c>
      <c r="BS349" s="852">
        <f t="shared" si="437"/>
        <v>1015</v>
      </c>
      <c r="BT349" s="852">
        <f t="shared" si="437"/>
        <v>1018</v>
      </c>
      <c r="BU349" s="843">
        <f t="shared" ref="BU349:CF349" si="438">SUM(BU318:BU335)</f>
        <v>1018</v>
      </c>
      <c r="BV349" s="852">
        <f t="shared" si="438"/>
        <v>1018</v>
      </c>
      <c r="BW349" s="852">
        <f t="shared" si="438"/>
        <v>1070</v>
      </c>
      <c r="BX349" s="852">
        <f t="shared" si="438"/>
        <v>1057</v>
      </c>
      <c r="BY349" s="852">
        <f t="shared" si="438"/>
        <v>1061</v>
      </c>
      <c r="BZ349" s="843">
        <f t="shared" si="438"/>
        <v>1061</v>
      </c>
      <c r="CA349" s="852">
        <f t="shared" si="438"/>
        <v>1069</v>
      </c>
      <c r="CB349" s="852">
        <f t="shared" si="438"/>
        <v>1096</v>
      </c>
      <c r="CC349" s="852">
        <f t="shared" si="438"/>
        <v>1106</v>
      </c>
      <c r="CD349" s="852">
        <f t="shared" si="438"/>
        <v>1116</v>
      </c>
      <c r="CE349" s="843">
        <f t="shared" si="438"/>
        <v>1116</v>
      </c>
      <c r="CF349" s="852">
        <f t="shared" si="438"/>
        <v>1117</v>
      </c>
      <c r="CG349" s="852">
        <f>SUM(CG318:CG347)</f>
        <v>1117</v>
      </c>
      <c r="CH349" s="852">
        <f>SUM(CH317:CH335)</f>
        <v>1118</v>
      </c>
      <c r="CI349">
        <f>SUM(CI317:CI347)</f>
        <v>1821</v>
      </c>
      <c r="CJ349" s="843">
        <f t="shared" ref="CJ349:CL349" si="439">SUM(CJ317:CJ347)</f>
        <v>1821</v>
      </c>
      <c r="CK349" s="1775">
        <f t="shared" si="439"/>
        <v>1827</v>
      </c>
      <c r="CL349" s="854">
        <f t="shared" si="439"/>
        <v>1838</v>
      </c>
      <c r="CM349" s="854">
        <f>SUM(CM317:CM347)</f>
        <v>1875</v>
      </c>
      <c r="CN349" s="854">
        <f>SUM(CN317:CN347)</f>
        <v>1892</v>
      </c>
      <c r="CO349" s="851">
        <f>SUM(CO317:CO347)</f>
        <v>1892</v>
      </c>
      <c r="CP349" s="1775"/>
      <c r="CQ349" s="854"/>
      <c r="CR349" s="852"/>
      <c r="CS349" s="852"/>
      <c r="CT349" s="843">
        <f>SUM(CT318:CT335)</f>
        <v>0</v>
      </c>
      <c r="CU349" s="843">
        <f>SUM(CU318:CU335)</f>
        <v>0</v>
      </c>
      <c r="CV349" s="843">
        <f>SUM(CV318:CV335)</f>
        <v>0</v>
      </c>
      <c r="DB349" s="217"/>
    </row>
    <row r="350" spans="1:106" x14ac:dyDescent="0.2">
      <c r="A350" s="1437"/>
      <c r="B350" s="651"/>
      <c r="C350" s="236"/>
      <c r="D350" s="234"/>
      <c r="E350" s="234"/>
      <c r="F350" s="234"/>
      <c r="G350" s="234"/>
      <c r="H350" s="236"/>
      <c r="I350" s="847"/>
      <c r="J350" s="234"/>
      <c r="K350" s="234"/>
      <c r="L350" s="234"/>
      <c r="M350" s="236"/>
      <c r="N350" s="234"/>
      <c r="O350" s="234"/>
      <c r="P350" s="234"/>
      <c r="Q350" s="234"/>
      <c r="R350" s="236"/>
      <c r="S350" s="234"/>
      <c r="T350" s="234"/>
      <c r="U350" s="234"/>
      <c r="V350" s="234"/>
      <c r="W350" s="236"/>
      <c r="X350" s="234"/>
      <c r="Y350" s="234"/>
      <c r="Z350" s="234"/>
      <c r="AA350" s="234"/>
      <c r="AB350" s="236"/>
      <c r="AC350" s="234"/>
      <c r="AD350" s="234"/>
      <c r="AE350" s="234"/>
      <c r="AF350" s="234"/>
      <c r="AG350" s="236"/>
      <c r="AH350" s="234"/>
      <c r="AI350" s="234"/>
      <c r="AJ350" s="234"/>
      <c r="AK350" s="234"/>
      <c r="AL350" s="236"/>
      <c r="AM350" s="234"/>
      <c r="AN350" s="234"/>
      <c r="AO350" s="234"/>
      <c r="AP350" s="234"/>
      <c r="AQ350" s="236"/>
      <c r="AR350" s="234"/>
      <c r="AS350" s="234"/>
      <c r="AT350" s="234"/>
      <c r="AU350" s="234"/>
      <c r="AV350" s="236"/>
      <c r="AW350" s="234"/>
      <c r="AX350" s="234"/>
      <c r="AY350" s="234"/>
      <c r="AZ350" s="234"/>
      <c r="BA350" s="236"/>
      <c r="BB350" s="234"/>
      <c r="BC350" s="234"/>
      <c r="BD350" s="234"/>
      <c r="BE350" s="234"/>
      <c r="BF350" s="236"/>
      <c r="BG350" s="234"/>
      <c r="BH350" s="234"/>
      <c r="BI350" s="234"/>
      <c r="BJ350" s="234"/>
      <c r="BK350" s="236"/>
      <c r="BL350" s="212"/>
      <c r="BM350" s="212"/>
      <c r="BN350" s="212"/>
      <c r="BO350" s="208"/>
      <c r="BP350" s="236"/>
      <c r="BQ350" s="212"/>
      <c r="BR350" s="212"/>
      <c r="BS350" s="212"/>
      <c r="BT350" s="212"/>
      <c r="BU350" s="236"/>
      <c r="BV350" s="212"/>
      <c r="BW350" s="212"/>
      <c r="BX350" s="212"/>
      <c r="BY350" s="212"/>
      <c r="BZ350" s="236"/>
      <c r="CA350" s="212"/>
      <c r="CB350" s="212"/>
      <c r="CC350" s="212"/>
      <c r="CD350" s="212"/>
      <c r="CE350" s="236"/>
      <c r="CF350" s="212"/>
      <c r="CG350" s="212"/>
      <c r="CH350" s="212"/>
      <c r="CI350" s="212"/>
      <c r="CJ350" s="236"/>
      <c r="CK350" s="3509"/>
      <c r="CL350" s="212"/>
      <c r="CM350" s="212"/>
      <c r="CN350" s="212"/>
      <c r="CO350" s="236"/>
      <c r="CP350" s="3509"/>
      <c r="CQ350" s="212"/>
      <c r="CR350" s="212"/>
      <c r="CS350" s="212"/>
      <c r="CT350" s="236"/>
      <c r="CU350" s="236"/>
      <c r="CV350" s="236"/>
    </row>
    <row r="351" spans="1:106" x14ac:dyDescent="0.2">
      <c r="A351" s="1435" t="s">
        <v>1416</v>
      </c>
      <c r="B351" s="651"/>
      <c r="C351" s="236"/>
      <c r="D351" s="234"/>
      <c r="E351" s="234"/>
      <c r="F351" s="234"/>
      <c r="G351" s="234"/>
      <c r="H351" s="236"/>
      <c r="I351" s="847"/>
      <c r="J351" s="234"/>
      <c r="K351" s="234"/>
      <c r="L351" s="234"/>
      <c r="M351" s="236"/>
      <c r="N351" s="234"/>
      <c r="O351" s="234"/>
      <c r="P351" s="234"/>
      <c r="Q351" s="234"/>
      <c r="R351" s="236"/>
      <c r="S351" s="234"/>
      <c r="T351" s="234"/>
      <c r="U351" s="234"/>
      <c r="V351" s="234"/>
      <c r="W351" s="236"/>
      <c r="X351" s="234"/>
      <c r="Y351" s="234"/>
      <c r="Z351" s="234"/>
      <c r="AA351" s="234"/>
      <c r="AB351" s="236"/>
      <c r="AC351" s="234"/>
      <c r="AD351" s="234"/>
      <c r="AE351" s="234"/>
      <c r="AF351" s="234"/>
      <c r="AG351" s="236"/>
      <c r="AH351" s="234"/>
      <c r="AI351" s="234"/>
      <c r="AJ351" s="234"/>
      <c r="AK351" s="234"/>
      <c r="AL351" s="236"/>
      <c r="AM351" s="234"/>
      <c r="AN351" s="234"/>
      <c r="AO351" s="234"/>
      <c r="AP351" s="234"/>
      <c r="AQ351" s="236"/>
      <c r="AR351" s="234"/>
      <c r="AS351" s="234"/>
      <c r="AT351" s="234"/>
      <c r="AU351" s="234"/>
      <c r="AV351" s="236"/>
      <c r="AW351" s="234"/>
      <c r="AX351" s="234"/>
      <c r="AY351" s="234"/>
      <c r="AZ351" s="234"/>
      <c r="BA351" s="236"/>
      <c r="BB351" s="234"/>
      <c r="BC351" s="234"/>
      <c r="BD351" s="234"/>
      <c r="BE351" s="234"/>
      <c r="BF351" s="236"/>
      <c r="BG351" s="234"/>
      <c r="BH351" s="234"/>
      <c r="BI351" s="234"/>
      <c r="BJ351" s="234"/>
      <c r="BK351" s="236"/>
      <c r="BL351" s="212"/>
      <c r="BM351" s="212"/>
      <c r="BN351" s="212"/>
      <c r="BO351" s="208"/>
      <c r="BP351" s="236"/>
      <c r="BQ351" s="212"/>
      <c r="BR351" s="212"/>
      <c r="BS351" s="212"/>
      <c r="BT351" s="212"/>
      <c r="BU351" s="236"/>
      <c r="BV351" s="212"/>
      <c r="BW351" s="212"/>
      <c r="BX351" s="212"/>
      <c r="BY351" s="212"/>
      <c r="BZ351" s="236"/>
      <c r="CA351" s="212"/>
      <c r="CB351" s="212"/>
      <c r="CC351" s="212"/>
      <c r="CD351" s="212"/>
      <c r="CE351" s="236"/>
      <c r="CF351" s="212"/>
      <c r="CG351" s="212"/>
      <c r="CH351" s="212"/>
      <c r="CI351" s="212"/>
      <c r="CJ351" s="236"/>
      <c r="CK351" s="3509"/>
      <c r="CL351" s="212"/>
      <c r="CM351" s="212"/>
      <c r="CN351" s="212"/>
      <c r="CO351" s="236"/>
      <c r="CP351" s="3509"/>
      <c r="CQ351" s="212"/>
      <c r="CR351" s="212"/>
      <c r="CS351" s="212"/>
      <c r="CT351" s="236"/>
      <c r="CU351" s="236"/>
      <c r="CV351" s="236"/>
    </row>
    <row r="352" spans="1:106" x14ac:dyDescent="0.2">
      <c r="A352" s="2308" t="s">
        <v>456</v>
      </c>
      <c r="B352" s="651"/>
      <c r="C352" s="236"/>
      <c r="D352" s="234"/>
      <c r="E352" s="234"/>
      <c r="F352" s="234"/>
      <c r="G352" s="234"/>
      <c r="H352" s="236"/>
      <c r="I352" s="847"/>
      <c r="J352" s="234"/>
      <c r="K352" s="234"/>
      <c r="L352" s="234"/>
      <c r="M352" s="236"/>
      <c r="N352" s="234"/>
      <c r="O352" s="234"/>
      <c r="P352" s="234"/>
      <c r="Q352" s="234"/>
      <c r="R352" s="236"/>
      <c r="S352" s="234"/>
      <c r="T352" s="234"/>
      <c r="U352" s="234"/>
      <c r="V352" s="234"/>
      <c r="W352" s="236"/>
      <c r="X352" s="234"/>
      <c r="Y352" s="234"/>
      <c r="Z352" s="234"/>
      <c r="AA352" s="234"/>
      <c r="AB352" s="236"/>
      <c r="AC352" s="234"/>
      <c r="AD352" s="234"/>
      <c r="AE352" s="234"/>
      <c r="AF352" s="234"/>
      <c r="AG352" s="236"/>
      <c r="AH352" s="234"/>
      <c r="AI352" s="234"/>
      <c r="AJ352" s="234"/>
      <c r="AK352" s="234"/>
      <c r="AL352" s="236"/>
      <c r="AM352" s="234"/>
      <c r="AN352" s="234"/>
      <c r="AO352" s="234"/>
      <c r="AP352" s="234"/>
      <c r="AQ352" s="236"/>
      <c r="AR352" s="234"/>
      <c r="AS352" s="234"/>
      <c r="AT352" s="234"/>
      <c r="AU352" s="234"/>
      <c r="AV352" s="236"/>
      <c r="AW352" s="234"/>
      <c r="AX352" s="234"/>
      <c r="AY352" s="234"/>
      <c r="AZ352" s="234"/>
      <c r="BA352" s="236"/>
      <c r="BB352" s="234"/>
      <c r="BC352" s="234"/>
      <c r="BD352" s="234"/>
      <c r="BE352" s="234"/>
      <c r="BF352" s="236"/>
      <c r="BG352" s="234"/>
      <c r="BH352" s="234"/>
      <c r="BI352" s="234"/>
      <c r="BJ352" s="234"/>
      <c r="BK352" s="236"/>
      <c r="BL352" s="212"/>
      <c r="BM352" s="212"/>
      <c r="BN352" s="212"/>
      <c r="BO352" s="208"/>
      <c r="BP352" s="236"/>
      <c r="BQ352" s="212"/>
      <c r="BR352" s="212"/>
      <c r="BS352" s="212"/>
      <c r="BT352" s="212"/>
      <c r="BU352" s="236"/>
      <c r="BV352" s="212"/>
      <c r="BW352" s="212"/>
      <c r="BX352" s="212"/>
      <c r="BY352" s="212"/>
      <c r="BZ352" s="236"/>
      <c r="CA352" s="212"/>
      <c r="CB352" s="212"/>
      <c r="CC352" s="212"/>
      <c r="CD352" s="212"/>
      <c r="CE352" s="236"/>
      <c r="CF352" s="212"/>
      <c r="CG352" s="212"/>
      <c r="CH352" s="847">
        <f t="shared" ref="CH352:CI355" si="440">CH75+CH213</f>
        <v>16</v>
      </c>
      <c r="CI352" s="847">
        <f t="shared" si="440"/>
        <v>17</v>
      </c>
      <c r="CJ352" s="236">
        <f>+CI352</f>
        <v>17</v>
      </c>
      <c r="CK352" s="3510">
        <f t="shared" ref="CK352:CL361" si="441">CK75+CK213</f>
        <v>17</v>
      </c>
      <c r="CL352" s="2350">
        <f t="shared" si="441"/>
        <v>17</v>
      </c>
      <c r="CM352" s="2350">
        <f t="shared" ref="CM352:CN361" si="442">CM75+CM213</f>
        <v>16</v>
      </c>
      <c r="CN352" s="2350">
        <f t="shared" si="442"/>
        <v>16</v>
      </c>
      <c r="CO352" s="2289">
        <f t="shared" ref="CO352" si="443">CO75+CO213</f>
        <v>16</v>
      </c>
      <c r="CP352" s="3510"/>
      <c r="CQ352" s="2350"/>
      <c r="CR352" s="212"/>
      <c r="CS352" s="212"/>
      <c r="CT352" s="236"/>
      <c r="CU352" s="236"/>
      <c r="CV352" s="236"/>
    </row>
    <row r="353" spans="1:106" x14ac:dyDescent="0.2">
      <c r="A353" s="1434" t="s">
        <v>346</v>
      </c>
      <c r="B353" s="651"/>
      <c r="C353" s="236"/>
      <c r="D353" s="234"/>
      <c r="E353" s="234"/>
      <c r="F353" s="234"/>
      <c r="G353" s="234"/>
      <c r="H353" s="661"/>
      <c r="I353" s="847">
        <f t="shared" ref="I353:AN353" si="444">I76+I214</f>
        <v>160</v>
      </c>
      <c r="J353" s="847">
        <f t="shared" si="444"/>
        <v>168</v>
      </c>
      <c r="K353" s="847">
        <f t="shared" si="444"/>
        <v>176</v>
      </c>
      <c r="L353" s="847">
        <f t="shared" si="444"/>
        <v>179</v>
      </c>
      <c r="M353" s="661">
        <f t="shared" si="444"/>
        <v>179</v>
      </c>
      <c r="N353" s="847">
        <f t="shared" si="444"/>
        <v>181</v>
      </c>
      <c r="O353" s="847">
        <f t="shared" si="444"/>
        <v>181</v>
      </c>
      <c r="P353" s="847">
        <f t="shared" si="444"/>
        <v>185</v>
      </c>
      <c r="Q353" s="847">
        <f t="shared" si="444"/>
        <v>188</v>
      </c>
      <c r="R353" s="661">
        <f t="shared" si="444"/>
        <v>188</v>
      </c>
      <c r="S353" s="847">
        <f t="shared" si="444"/>
        <v>193</v>
      </c>
      <c r="T353" s="847">
        <f t="shared" si="444"/>
        <v>197</v>
      </c>
      <c r="U353" s="847">
        <f t="shared" si="444"/>
        <v>199</v>
      </c>
      <c r="V353" s="847">
        <f t="shared" si="444"/>
        <v>204</v>
      </c>
      <c r="W353" s="661">
        <f t="shared" si="444"/>
        <v>204</v>
      </c>
      <c r="X353" s="847">
        <f t="shared" si="444"/>
        <v>211</v>
      </c>
      <c r="Y353" s="847">
        <f t="shared" si="444"/>
        <v>214</v>
      </c>
      <c r="Z353" s="847">
        <f t="shared" si="444"/>
        <v>217</v>
      </c>
      <c r="AA353" s="847">
        <f t="shared" si="444"/>
        <v>220</v>
      </c>
      <c r="AB353" s="661">
        <f t="shared" si="444"/>
        <v>220</v>
      </c>
      <c r="AC353" s="847">
        <f t="shared" si="444"/>
        <v>225</v>
      </c>
      <c r="AD353" s="847">
        <f t="shared" si="444"/>
        <v>187</v>
      </c>
      <c r="AE353" s="847">
        <f t="shared" si="444"/>
        <v>191</v>
      </c>
      <c r="AF353" s="847">
        <f t="shared" si="444"/>
        <v>195</v>
      </c>
      <c r="AG353" s="661">
        <f t="shared" si="444"/>
        <v>195</v>
      </c>
      <c r="AH353" s="847">
        <f t="shared" si="444"/>
        <v>202</v>
      </c>
      <c r="AI353" s="847">
        <f t="shared" si="444"/>
        <v>200</v>
      </c>
      <c r="AJ353" s="847">
        <f t="shared" si="444"/>
        <v>199</v>
      </c>
      <c r="AK353" s="847">
        <f t="shared" si="444"/>
        <v>201</v>
      </c>
      <c r="AL353" s="661">
        <f t="shared" si="444"/>
        <v>201</v>
      </c>
      <c r="AM353" s="847">
        <f t="shared" si="444"/>
        <v>203</v>
      </c>
      <c r="AN353" s="847">
        <f t="shared" si="444"/>
        <v>205</v>
      </c>
      <c r="AO353" s="847">
        <f t="shared" ref="AO353:BT353" si="445">AO76+AO214</f>
        <v>207</v>
      </c>
      <c r="AP353" s="847">
        <f t="shared" si="445"/>
        <v>207</v>
      </c>
      <c r="AQ353" s="661">
        <f t="shared" si="445"/>
        <v>207</v>
      </c>
      <c r="AR353" s="847">
        <f t="shared" si="445"/>
        <v>208</v>
      </c>
      <c r="AS353" s="847">
        <f t="shared" si="445"/>
        <v>209</v>
      </c>
      <c r="AT353" s="847">
        <f t="shared" si="445"/>
        <v>211</v>
      </c>
      <c r="AU353" s="847">
        <f t="shared" si="445"/>
        <v>216</v>
      </c>
      <c r="AV353" s="661">
        <f t="shared" si="445"/>
        <v>216</v>
      </c>
      <c r="AW353" s="847">
        <f t="shared" si="445"/>
        <v>217</v>
      </c>
      <c r="AX353" s="847">
        <f t="shared" si="445"/>
        <v>218</v>
      </c>
      <c r="AY353" s="847">
        <f t="shared" si="445"/>
        <v>222</v>
      </c>
      <c r="AZ353" s="847">
        <f t="shared" si="445"/>
        <v>224</v>
      </c>
      <c r="BA353" s="661">
        <f t="shared" si="445"/>
        <v>224</v>
      </c>
      <c r="BB353" s="847">
        <f t="shared" si="445"/>
        <v>226</v>
      </c>
      <c r="BC353" s="847">
        <f t="shared" si="445"/>
        <v>225</v>
      </c>
      <c r="BD353" s="847">
        <f t="shared" si="445"/>
        <v>227</v>
      </c>
      <c r="BE353" s="847">
        <f t="shared" si="445"/>
        <v>227</v>
      </c>
      <c r="BF353" s="661">
        <f t="shared" si="445"/>
        <v>227</v>
      </c>
      <c r="BG353" s="847">
        <f t="shared" si="445"/>
        <v>228</v>
      </c>
      <c r="BH353" s="847">
        <f t="shared" si="445"/>
        <v>227</v>
      </c>
      <c r="BI353" s="847">
        <f t="shared" si="445"/>
        <v>228</v>
      </c>
      <c r="BJ353" s="847">
        <f t="shared" si="445"/>
        <v>229</v>
      </c>
      <c r="BK353" s="661">
        <f t="shared" si="445"/>
        <v>229</v>
      </c>
      <c r="BL353" s="847">
        <f t="shared" si="445"/>
        <v>227</v>
      </c>
      <c r="BM353" s="847">
        <f t="shared" si="445"/>
        <v>227</v>
      </c>
      <c r="BN353" s="847">
        <f t="shared" si="445"/>
        <v>227</v>
      </c>
      <c r="BO353" s="1431">
        <f t="shared" si="445"/>
        <v>229</v>
      </c>
      <c r="BP353" s="661">
        <f t="shared" si="445"/>
        <v>229</v>
      </c>
      <c r="BQ353" s="847">
        <f t="shared" si="445"/>
        <v>225</v>
      </c>
      <c r="BR353" s="847">
        <f t="shared" si="445"/>
        <v>226</v>
      </c>
      <c r="BS353" s="847">
        <f t="shared" si="445"/>
        <v>228</v>
      </c>
      <c r="BT353" s="847">
        <f t="shared" si="445"/>
        <v>230</v>
      </c>
      <c r="BU353" s="661">
        <f t="shared" ref="BU353:CG353" si="446">BU76+BU214</f>
        <v>230</v>
      </c>
      <c r="BV353" s="847">
        <f t="shared" si="446"/>
        <v>232</v>
      </c>
      <c r="BW353" s="847">
        <f t="shared" si="446"/>
        <v>234</v>
      </c>
      <c r="BX353" s="847">
        <f t="shared" si="446"/>
        <v>237</v>
      </c>
      <c r="BY353" s="847">
        <f t="shared" si="446"/>
        <v>239</v>
      </c>
      <c r="BZ353" s="661">
        <f t="shared" si="446"/>
        <v>239</v>
      </c>
      <c r="CA353" s="847">
        <f t="shared" si="446"/>
        <v>244</v>
      </c>
      <c r="CB353" s="847">
        <f t="shared" si="446"/>
        <v>246</v>
      </c>
      <c r="CC353" s="847">
        <f t="shared" si="446"/>
        <v>249</v>
      </c>
      <c r="CD353" s="847">
        <f t="shared" si="446"/>
        <v>253</v>
      </c>
      <c r="CE353" s="661">
        <f t="shared" si="446"/>
        <v>253</v>
      </c>
      <c r="CF353" s="847">
        <f t="shared" si="446"/>
        <v>256</v>
      </c>
      <c r="CG353" s="847">
        <f t="shared" si="446"/>
        <v>264</v>
      </c>
      <c r="CH353" s="847">
        <f t="shared" si="440"/>
        <v>251</v>
      </c>
      <c r="CI353" s="847">
        <f t="shared" si="440"/>
        <v>253</v>
      </c>
      <c r="CJ353" s="236">
        <f t="shared" ref="CJ353:CJ381" si="447">+CI353</f>
        <v>253</v>
      </c>
      <c r="CK353" s="3510">
        <f t="shared" si="441"/>
        <v>249</v>
      </c>
      <c r="CL353" s="847">
        <f t="shared" ref="CL353:CV353" si="448">CL76+CL214</f>
        <v>252</v>
      </c>
      <c r="CM353" s="847">
        <f t="shared" si="442"/>
        <v>260</v>
      </c>
      <c r="CN353" s="847">
        <f t="shared" si="442"/>
        <v>263</v>
      </c>
      <c r="CO353" s="661">
        <f t="shared" ref="CO353" si="449">CO76+CO214</f>
        <v>263</v>
      </c>
      <c r="CP353" s="3510"/>
      <c r="CQ353" s="847"/>
      <c r="CR353" s="847"/>
      <c r="CS353" s="847"/>
      <c r="CT353" s="661">
        <f>CT76+CT214</f>
        <v>0</v>
      </c>
      <c r="CU353" s="661">
        <f t="shared" si="448"/>
        <v>0</v>
      </c>
      <c r="CV353" s="661">
        <f t="shared" si="448"/>
        <v>0</v>
      </c>
      <c r="DB353" s="217"/>
    </row>
    <row r="354" spans="1:106" x14ac:dyDescent="0.2">
      <c r="A354" s="1434" t="s">
        <v>1385</v>
      </c>
      <c r="B354" s="651"/>
      <c r="C354" s="236"/>
      <c r="D354" s="234"/>
      <c r="E354" s="234"/>
      <c r="F354" s="234"/>
      <c r="G354" s="234"/>
      <c r="H354" s="661"/>
      <c r="I354" s="847">
        <f t="shared" ref="I354:AN354" si="450">I77+I215</f>
        <v>32</v>
      </c>
      <c r="J354" s="847">
        <f t="shared" si="450"/>
        <v>33</v>
      </c>
      <c r="K354" s="847">
        <f t="shared" si="450"/>
        <v>36</v>
      </c>
      <c r="L354" s="847">
        <f t="shared" si="450"/>
        <v>38</v>
      </c>
      <c r="M354" s="661">
        <f t="shared" si="450"/>
        <v>38</v>
      </c>
      <c r="N354" s="847">
        <f t="shared" si="450"/>
        <v>38</v>
      </c>
      <c r="O354" s="847">
        <f t="shared" si="450"/>
        <v>38</v>
      </c>
      <c r="P354" s="847">
        <f t="shared" si="450"/>
        <v>38</v>
      </c>
      <c r="Q354" s="847">
        <f t="shared" si="450"/>
        <v>42</v>
      </c>
      <c r="R354" s="661">
        <f t="shared" si="450"/>
        <v>42</v>
      </c>
      <c r="S354" s="847">
        <f t="shared" si="450"/>
        <v>44</v>
      </c>
      <c r="T354" s="847">
        <f t="shared" si="450"/>
        <v>42</v>
      </c>
      <c r="U354" s="847">
        <f t="shared" si="450"/>
        <v>42</v>
      </c>
      <c r="V354" s="847">
        <f t="shared" si="450"/>
        <v>42</v>
      </c>
      <c r="W354" s="661">
        <f t="shared" si="450"/>
        <v>42</v>
      </c>
      <c r="X354" s="847">
        <f t="shared" si="450"/>
        <v>41</v>
      </c>
      <c r="Y354" s="847">
        <f t="shared" si="450"/>
        <v>43</v>
      </c>
      <c r="Z354" s="847">
        <f t="shared" si="450"/>
        <v>43</v>
      </c>
      <c r="AA354" s="847">
        <f t="shared" si="450"/>
        <v>45</v>
      </c>
      <c r="AB354" s="661">
        <f t="shared" si="450"/>
        <v>45</v>
      </c>
      <c r="AC354" s="847">
        <f t="shared" si="450"/>
        <v>46</v>
      </c>
      <c r="AD354" s="847">
        <f t="shared" si="450"/>
        <v>44</v>
      </c>
      <c r="AE354" s="847">
        <f t="shared" si="450"/>
        <v>45</v>
      </c>
      <c r="AF354" s="847">
        <f t="shared" si="450"/>
        <v>47</v>
      </c>
      <c r="AG354" s="661">
        <f t="shared" si="450"/>
        <v>47</v>
      </c>
      <c r="AH354" s="847">
        <f t="shared" si="450"/>
        <v>47</v>
      </c>
      <c r="AI354" s="847">
        <f t="shared" si="450"/>
        <v>48</v>
      </c>
      <c r="AJ354" s="847">
        <f t="shared" si="450"/>
        <v>48</v>
      </c>
      <c r="AK354" s="847">
        <f t="shared" si="450"/>
        <v>48</v>
      </c>
      <c r="AL354" s="661">
        <f t="shared" si="450"/>
        <v>48</v>
      </c>
      <c r="AM354" s="847">
        <f t="shared" si="450"/>
        <v>48</v>
      </c>
      <c r="AN354" s="847">
        <f t="shared" si="450"/>
        <v>50</v>
      </c>
      <c r="AO354" s="847">
        <f t="shared" ref="AO354:BT354" si="451">AO77+AO215</f>
        <v>50</v>
      </c>
      <c r="AP354" s="847">
        <f t="shared" si="451"/>
        <v>52</v>
      </c>
      <c r="AQ354" s="661">
        <f t="shared" si="451"/>
        <v>52</v>
      </c>
      <c r="AR354" s="847">
        <f t="shared" si="451"/>
        <v>52</v>
      </c>
      <c r="AS354" s="847">
        <f t="shared" si="451"/>
        <v>52</v>
      </c>
      <c r="AT354" s="847">
        <f t="shared" si="451"/>
        <v>51</v>
      </c>
      <c r="AU354" s="847">
        <f t="shared" si="451"/>
        <v>52</v>
      </c>
      <c r="AV354" s="661">
        <f t="shared" si="451"/>
        <v>52</v>
      </c>
      <c r="AW354" s="847">
        <f t="shared" si="451"/>
        <v>53</v>
      </c>
      <c r="AX354" s="847">
        <f t="shared" si="451"/>
        <v>54</v>
      </c>
      <c r="AY354" s="847">
        <f t="shared" si="451"/>
        <v>55</v>
      </c>
      <c r="AZ354" s="847">
        <f t="shared" si="451"/>
        <v>56</v>
      </c>
      <c r="BA354" s="661">
        <f t="shared" si="451"/>
        <v>56</v>
      </c>
      <c r="BB354" s="847">
        <f t="shared" si="451"/>
        <v>58</v>
      </c>
      <c r="BC354" s="847">
        <f t="shared" si="451"/>
        <v>59</v>
      </c>
      <c r="BD354" s="847">
        <f t="shared" si="451"/>
        <v>58</v>
      </c>
      <c r="BE354" s="847">
        <f t="shared" si="451"/>
        <v>59</v>
      </c>
      <c r="BF354" s="661">
        <f t="shared" si="451"/>
        <v>59</v>
      </c>
      <c r="BG354" s="847">
        <f t="shared" si="451"/>
        <v>59</v>
      </c>
      <c r="BH354" s="847">
        <f t="shared" si="451"/>
        <v>61</v>
      </c>
      <c r="BI354" s="847">
        <f t="shared" si="451"/>
        <v>61</v>
      </c>
      <c r="BJ354" s="847">
        <f t="shared" si="451"/>
        <v>62</v>
      </c>
      <c r="BK354" s="661">
        <f t="shared" si="451"/>
        <v>62</v>
      </c>
      <c r="BL354" s="847">
        <f t="shared" si="451"/>
        <v>63</v>
      </c>
      <c r="BM354" s="847">
        <f t="shared" si="451"/>
        <v>63</v>
      </c>
      <c r="BN354" s="847">
        <f t="shared" si="451"/>
        <v>64</v>
      </c>
      <c r="BO354" s="1431">
        <f t="shared" si="451"/>
        <v>65</v>
      </c>
      <c r="BP354" s="661">
        <f t="shared" si="451"/>
        <v>65</v>
      </c>
      <c r="BQ354" s="847">
        <f t="shared" si="451"/>
        <v>65</v>
      </c>
      <c r="BR354" s="847">
        <f t="shared" si="451"/>
        <v>65</v>
      </c>
      <c r="BS354" s="847">
        <f t="shared" si="451"/>
        <v>65</v>
      </c>
      <c r="BT354" s="847">
        <f t="shared" si="451"/>
        <v>65</v>
      </c>
      <c r="BU354" s="661">
        <f t="shared" ref="BU354:CG354" si="452">BU77+BU215</f>
        <v>65</v>
      </c>
      <c r="BV354" s="847">
        <f t="shared" si="452"/>
        <v>67</v>
      </c>
      <c r="BW354" s="847">
        <f t="shared" si="452"/>
        <v>71</v>
      </c>
      <c r="BX354" s="847">
        <f t="shared" si="452"/>
        <v>73</v>
      </c>
      <c r="BY354" s="847">
        <f t="shared" si="452"/>
        <v>73</v>
      </c>
      <c r="BZ354" s="661">
        <f t="shared" si="452"/>
        <v>73</v>
      </c>
      <c r="CA354" s="847">
        <f t="shared" si="452"/>
        <v>74</v>
      </c>
      <c r="CB354" s="847">
        <f t="shared" si="452"/>
        <v>75</v>
      </c>
      <c r="CC354" s="847">
        <f t="shared" si="452"/>
        <v>77</v>
      </c>
      <c r="CD354" s="847">
        <f t="shared" si="452"/>
        <v>79</v>
      </c>
      <c r="CE354" s="661">
        <f t="shared" si="452"/>
        <v>79</v>
      </c>
      <c r="CF354" s="847">
        <f t="shared" si="452"/>
        <v>81</v>
      </c>
      <c r="CG354" s="847">
        <f t="shared" si="452"/>
        <v>81</v>
      </c>
      <c r="CH354" s="847">
        <f t="shared" si="440"/>
        <v>82</v>
      </c>
      <c r="CI354" s="847">
        <f t="shared" si="440"/>
        <v>83</v>
      </c>
      <c r="CJ354" s="236">
        <f t="shared" si="447"/>
        <v>83</v>
      </c>
      <c r="CK354" s="3510">
        <f t="shared" si="441"/>
        <v>84</v>
      </c>
      <c r="CL354" s="847">
        <f>CL77+CL215</f>
        <v>84</v>
      </c>
      <c r="CM354" s="847">
        <f t="shared" si="442"/>
        <v>85</v>
      </c>
      <c r="CN354" s="847">
        <f t="shared" si="442"/>
        <v>84</v>
      </c>
      <c r="CO354" s="661">
        <f t="shared" ref="CO354" si="453">CO77+CO215</f>
        <v>84</v>
      </c>
      <c r="CP354" s="3510"/>
      <c r="CQ354" s="847"/>
      <c r="CR354" s="847"/>
      <c r="CS354" s="847"/>
      <c r="CT354" s="661">
        <f>CT77+CT215</f>
        <v>0</v>
      </c>
      <c r="CU354" s="661">
        <f>CU77+CU215</f>
        <v>0</v>
      </c>
      <c r="CV354" s="661">
        <f>CV77+CV215</f>
        <v>0</v>
      </c>
      <c r="DB354" s="217"/>
    </row>
    <row r="355" spans="1:106" x14ac:dyDescent="0.2">
      <c r="A355" s="1434" t="s">
        <v>512</v>
      </c>
      <c r="B355" s="651"/>
      <c r="C355" s="236"/>
      <c r="D355" s="234"/>
      <c r="E355" s="234"/>
      <c r="F355" s="234"/>
      <c r="G355" s="234"/>
      <c r="H355" s="661"/>
      <c r="I355" s="847">
        <f t="shared" ref="I355:AN355" si="454">I78+I216</f>
        <v>0</v>
      </c>
      <c r="J355" s="847">
        <f t="shared" si="454"/>
        <v>0</v>
      </c>
      <c r="K355" s="847">
        <f t="shared" si="454"/>
        <v>0</v>
      </c>
      <c r="L355" s="847">
        <f t="shared" si="454"/>
        <v>0</v>
      </c>
      <c r="M355" s="661">
        <f t="shared" si="454"/>
        <v>0</v>
      </c>
      <c r="N355" s="847">
        <f t="shared" si="454"/>
        <v>0</v>
      </c>
      <c r="O355" s="847">
        <f t="shared" si="454"/>
        <v>0</v>
      </c>
      <c r="P355" s="847">
        <f t="shared" si="454"/>
        <v>0</v>
      </c>
      <c r="Q355" s="847">
        <f t="shared" si="454"/>
        <v>0</v>
      </c>
      <c r="R355" s="661">
        <f t="shared" si="454"/>
        <v>0</v>
      </c>
      <c r="S355" s="847">
        <f t="shared" si="454"/>
        <v>0</v>
      </c>
      <c r="T355" s="847">
        <f t="shared" si="454"/>
        <v>0</v>
      </c>
      <c r="U355" s="847">
        <f t="shared" si="454"/>
        <v>0</v>
      </c>
      <c r="V355" s="847">
        <f t="shared" si="454"/>
        <v>0</v>
      </c>
      <c r="W355" s="661">
        <f t="shared" si="454"/>
        <v>0</v>
      </c>
      <c r="X355" s="847">
        <f t="shared" si="454"/>
        <v>0</v>
      </c>
      <c r="Y355" s="847">
        <f t="shared" si="454"/>
        <v>0</v>
      </c>
      <c r="Z355" s="847">
        <f t="shared" si="454"/>
        <v>0</v>
      </c>
      <c r="AA355" s="847">
        <f t="shared" si="454"/>
        <v>0</v>
      </c>
      <c r="AB355" s="661">
        <f t="shared" si="454"/>
        <v>0</v>
      </c>
      <c r="AC355" s="847">
        <f t="shared" si="454"/>
        <v>0</v>
      </c>
      <c r="AD355" s="847">
        <f t="shared" si="454"/>
        <v>0</v>
      </c>
      <c r="AE355" s="847">
        <f t="shared" si="454"/>
        <v>0</v>
      </c>
      <c r="AF355" s="847">
        <f t="shared" si="454"/>
        <v>0</v>
      </c>
      <c r="AG355" s="661">
        <f t="shared" si="454"/>
        <v>0</v>
      </c>
      <c r="AH355" s="847">
        <f t="shared" si="454"/>
        <v>0</v>
      </c>
      <c r="AI355" s="847">
        <f t="shared" si="454"/>
        <v>0</v>
      </c>
      <c r="AJ355" s="847">
        <f t="shared" si="454"/>
        <v>0</v>
      </c>
      <c r="AK355" s="847">
        <f t="shared" si="454"/>
        <v>0</v>
      </c>
      <c r="AL355" s="661">
        <f t="shared" si="454"/>
        <v>0</v>
      </c>
      <c r="AM355" s="847">
        <f t="shared" si="454"/>
        <v>0</v>
      </c>
      <c r="AN355" s="847">
        <f t="shared" si="454"/>
        <v>0</v>
      </c>
      <c r="AO355" s="847">
        <f t="shared" ref="AO355:BT355" si="455">AO78+AO216</f>
        <v>0</v>
      </c>
      <c r="AP355" s="847">
        <f t="shared" si="455"/>
        <v>0</v>
      </c>
      <c r="AQ355" s="661">
        <f t="shared" si="455"/>
        <v>0</v>
      </c>
      <c r="AR355" s="847">
        <f t="shared" si="455"/>
        <v>0</v>
      </c>
      <c r="AS355" s="847">
        <f t="shared" si="455"/>
        <v>0</v>
      </c>
      <c r="AT355" s="847">
        <f t="shared" si="455"/>
        <v>0</v>
      </c>
      <c r="AU355" s="847">
        <f t="shared" si="455"/>
        <v>0</v>
      </c>
      <c r="AV355" s="661">
        <f t="shared" si="455"/>
        <v>0</v>
      </c>
      <c r="AW355" s="847">
        <f t="shared" si="455"/>
        <v>0</v>
      </c>
      <c r="AX355" s="847">
        <f t="shared" si="455"/>
        <v>0</v>
      </c>
      <c r="AY355" s="847">
        <f t="shared" si="455"/>
        <v>0</v>
      </c>
      <c r="AZ355" s="847">
        <f t="shared" si="455"/>
        <v>0</v>
      </c>
      <c r="BA355" s="661">
        <f t="shared" si="455"/>
        <v>0</v>
      </c>
      <c r="BB355" s="847">
        <f t="shared" si="455"/>
        <v>2</v>
      </c>
      <c r="BC355" s="847">
        <f t="shared" si="455"/>
        <v>10</v>
      </c>
      <c r="BD355" s="847">
        <f t="shared" si="455"/>
        <v>11</v>
      </c>
      <c r="BE355" s="847">
        <f t="shared" si="455"/>
        <v>13</v>
      </c>
      <c r="BF355" s="661">
        <f t="shared" si="455"/>
        <v>13</v>
      </c>
      <c r="BG355" s="847">
        <f t="shared" si="455"/>
        <v>14</v>
      </c>
      <c r="BH355" s="847">
        <f t="shared" si="455"/>
        <v>16</v>
      </c>
      <c r="BI355" s="847">
        <f t="shared" si="455"/>
        <v>20</v>
      </c>
      <c r="BJ355" s="847">
        <f t="shared" si="455"/>
        <v>22</v>
      </c>
      <c r="BK355" s="661">
        <f t="shared" si="455"/>
        <v>22</v>
      </c>
      <c r="BL355" s="847">
        <f t="shared" si="455"/>
        <v>25</v>
      </c>
      <c r="BM355" s="847">
        <f t="shared" si="455"/>
        <v>27</v>
      </c>
      <c r="BN355" s="847">
        <f t="shared" si="455"/>
        <v>28</v>
      </c>
      <c r="BO355" s="1431">
        <f t="shared" si="455"/>
        <v>31</v>
      </c>
      <c r="BP355" s="661">
        <f t="shared" si="455"/>
        <v>31</v>
      </c>
      <c r="BQ355" s="847">
        <f t="shared" si="455"/>
        <v>35</v>
      </c>
      <c r="BR355" s="847">
        <f t="shared" si="455"/>
        <v>38</v>
      </c>
      <c r="BS355" s="847">
        <f t="shared" si="455"/>
        <v>44</v>
      </c>
      <c r="BT355" s="847">
        <f t="shared" si="455"/>
        <v>49</v>
      </c>
      <c r="BU355" s="661">
        <f t="shared" ref="BU355:CG355" si="456">BU78+BU216</f>
        <v>49</v>
      </c>
      <c r="BV355" s="847">
        <f t="shared" si="456"/>
        <v>52</v>
      </c>
      <c r="BW355" s="847">
        <f t="shared" si="456"/>
        <v>53</v>
      </c>
      <c r="BX355" s="847">
        <f t="shared" si="456"/>
        <v>53</v>
      </c>
      <c r="BY355" s="847">
        <f t="shared" si="456"/>
        <v>66</v>
      </c>
      <c r="BZ355" s="661">
        <f t="shared" si="456"/>
        <v>66</v>
      </c>
      <c r="CA355" s="847">
        <f t="shared" si="456"/>
        <v>72</v>
      </c>
      <c r="CB355" s="847">
        <f t="shared" si="456"/>
        <v>77</v>
      </c>
      <c r="CC355" s="847">
        <f t="shared" si="456"/>
        <v>82</v>
      </c>
      <c r="CD355" s="847">
        <f t="shared" si="456"/>
        <v>84</v>
      </c>
      <c r="CE355" s="661">
        <f t="shared" si="456"/>
        <v>84</v>
      </c>
      <c r="CF355" s="847">
        <f t="shared" si="456"/>
        <v>89</v>
      </c>
      <c r="CG355" s="847">
        <f t="shared" si="456"/>
        <v>91</v>
      </c>
      <c r="CH355" s="847">
        <f t="shared" si="440"/>
        <v>94</v>
      </c>
      <c r="CI355" s="847">
        <f t="shared" si="440"/>
        <v>99</v>
      </c>
      <c r="CJ355" s="236">
        <f t="shared" si="447"/>
        <v>99</v>
      </c>
      <c r="CK355" s="3510">
        <f t="shared" si="441"/>
        <v>105</v>
      </c>
      <c r="CL355" s="847">
        <f>CL78+CL216</f>
        <v>108</v>
      </c>
      <c r="CM355" s="847">
        <f t="shared" si="442"/>
        <v>115</v>
      </c>
      <c r="CN355" s="847">
        <f t="shared" si="442"/>
        <v>119</v>
      </c>
      <c r="CO355" s="661">
        <f t="shared" ref="CO355" si="457">CO78+CO216</f>
        <v>119</v>
      </c>
      <c r="CP355" s="3510"/>
      <c r="CQ355" s="847"/>
      <c r="CR355" s="847"/>
      <c r="CS355" s="847"/>
      <c r="CT355" s="661">
        <f>CT78+CT216</f>
        <v>0</v>
      </c>
      <c r="CU355" s="661">
        <f>CU78+CU216</f>
        <v>0</v>
      </c>
      <c r="CV355" s="661">
        <f>CV78+CV216</f>
        <v>0</v>
      </c>
      <c r="DB355" s="217"/>
    </row>
    <row r="356" spans="1:106" x14ac:dyDescent="0.2">
      <c r="A356" s="2308" t="s">
        <v>608</v>
      </c>
      <c r="B356" s="651"/>
      <c r="C356" s="236"/>
      <c r="D356" s="234"/>
      <c r="E356" s="234"/>
      <c r="F356" s="234"/>
      <c r="G356" s="234"/>
      <c r="H356" s="661"/>
      <c r="I356" s="847">
        <f t="shared" ref="I356:AN356" si="458">I80+I217</f>
        <v>0</v>
      </c>
      <c r="J356" s="847">
        <f t="shared" si="458"/>
        <v>0</v>
      </c>
      <c r="K356" s="847">
        <f t="shared" si="458"/>
        <v>0</v>
      </c>
      <c r="L356" s="847">
        <f t="shared" si="458"/>
        <v>0</v>
      </c>
      <c r="M356" s="661">
        <f t="shared" si="458"/>
        <v>0</v>
      </c>
      <c r="N356" s="847">
        <f t="shared" si="458"/>
        <v>0</v>
      </c>
      <c r="O356" s="847">
        <f t="shared" si="458"/>
        <v>0</v>
      </c>
      <c r="P356" s="847">
        <f t="shared" si="458"/>
        <v>0</v>
      </c>
      <c r="Q356" s="847">
        <f t="shared" si="458"/>
        <v>0</v>
      </c>
      <c r="R356" s="661">
        <f t="shared" si="458"/>
        <v>0</v>
      </c>
      <c r="S356" s="847">
        <f t="shared" si="458"/>
        <v>0</v>
      </c>
      <c r="T356" s="847">
        <f t="shared" si="458"/>
        <v>0</v>
      </c>
      <c r="U356" s="847">
        <f t="shared" si="458"/>
        <v>0</v>
      </c>
      <c r="V356" s="847">
        <f t="shared" si="458"/>
        <v>0</v>
      </c>
      <c r="W356" s="661">
        <f t="shared" si="458"/>
        <v>0</v>
      </c>
      <c r="X356" s="847">
        <f t="shared" si="458"/>
        <v>0</v>
      </c>
      <c r="Y356" s="847">
        <f t="shared" si="458"/>
        <v>0</v>
      </c>
      <c r="Z356" s="847">
        <f t="shared" si="458"/>
        <v>0</v>
      </c>
      <c r="AA356" s="847">
        <f t="shared" si="458"/>
        <v>0</v>
      </c>
      <c r="AB356" s="661">
        <f t="shared" si="458"/>
        <v>0</v>
      </c>
      <c r="AC356" s="847">
        <f t="shared" si="458"/>
        <v>0</v>
      </c>
      <c r="AD356" s="847">
        <f t="shared" si="458"/>
        <v>0</v>
      </c>
      <c r="AE356" s="847">
        <f t="shared" si="458"/>
        <v>0</v>
      </c>
      <c r="AF356" s="847">
        <f t="shared" si="458"/>
        <v>0</v>
      </c>
      <c r="AG356" s="661">
        <f t="shared" si="458"/>
        <v>0</v>
      </c>
      <c r="AH356" s="847">
        <f t="shared" si="458"/>
        <v>0</v>
      </c>
      <c r="AI356" s="847">
        <f t="shared" si="458"/>
        <v>0</v>
      </c>
      <c r="AJ356" s="847">
        <f t="shared" si="458"/>
        <v>0</v>
      </c>
      <c r="AK356" s="847">
        <f t="shared" si="458"/>
        <v>0</v>
      </c>
      <c r="AL356" s="661">
        <f t="shared" si="458"/>
        <v>0</v>
      </c>
      <c r="AM356" s="847">
        <f t="shared" si="458"/>
        <v>0</v>
      </c>
      <c r="AN356" s="847">
        <f t="shared" si="458"/>
        <v>0</v>
      </c>
      <c r="AO356" s="847">
        <f t="shared" ref="AO356:BT356" si="459">AO80+AO217</f>
        <v>0</v>
      </c>
      <c r="AP356" s="847">
        <f t="shared" si="459"/>
        <v>0</v>
      </c>
      <c r="AQ356" s="661">
        <f t="shared" si="459"/>
        <v>0</v>
      </c>
      <c r="AR356" s="847">
        <f t="shared" si="459"/>
        <v>0</v>
      </c>
      <c r="AS356" s="847">
        <f t="shared" si="459"/>
        <v>0</v>
      </c>
      <c r="AT356" s="847">
        <f t="shared" si="459"/>
        <v>0</v>
      </c>
      <c r="AU356" s="847">
        <f t="shared" si="459"/>
        <v>0</v>
      </c>
      <c r="AV356" s="661">
        <f t="shared" si="459"/>
        <v>0</v>
      </c>
      <c r="AW356" s="847">
        <f t="shared" si="459"/>
        <v>0</v>
      </c>
      <c r="AX356" s="847">
        <f t="shared" si="459"/>
        <v>0</v>
      </c>
      <c r="AY356" s="847">
        <f t="shared" si="459"/>
        <v>0</v>
      </c>
      <c r="AZ356" s="847">
        <f t="shared" si="459"/>
        <v>0</v>
      </c>
      <c r="BA356" s="661">
        <f t="shared" si="459"/>
        <v>0</v>
      </c>
      <c r="BB356" s="847">
        <f t="shared" si="459"/>
        <v>0</v>
      </c>
      <c r="BC356" s="847">
        <f t="shared" si="459"/>
        <v>0</v>
      </c>
      <c r="BD356" s="847">
        <f t="shared" si="459"/>
        <v>0</v>
      </c>
      <c r="BE356" s="847">
        <f t="shared" si="459"/>
        <v>0</v>
      </c>
      <c r="BF356" s="661">
        <f t="shared" si="459"/>
        <v>0</v>
      </c>
      <c r="BG356" s="847">
        <f t="shared" si="459"/>
        <v>0</v>
      </c>
      <c r="BH356" s="847">
        <f t="shared" si="459"/>
        <v>0</v>
      </c>
      <c r="BI356" s="847">
        <f t="shared" si="459"/>
        <v>0</v>
      </c>
      <c r="BJ356" s="847">
        <f t="shared" si="459"/>
        <v>0</v>
      </c>
      <c r="BK356" s="661">
        <f t="shared" si="459"/>
        <v>0</v>
      </c>
      <c r="BL356" s="847">
        <f t="shared" si="459"/>
        <v>0</v>
      </c>
      <c r="BM356" s="847">
        <f t="shared" si="459"/>
        <v>0</v>
      </c>
      <c r="BN356" s="847">
        <f t="shared" si="459"/>
        <v>0</v>
      </c>
      <c r="BO356" s="1431">
        <f t="shared" si="459"/>
        <v>0</v>
      </c>
      <c r="BP356" s="661">
        <f t="shared" si="459"/>
        <v>0</v>
      </c>
      <c r="BQ356" s="847">
        <f t="shared" si="459"/>
        <v>0</v>
      </c>
      <c r="BR356" s="847">
        <f t="shared" si="459"/>
        <v>0</v>
      </c>
      <c r="BS356" s="847">
        <f t="shared" si="459"/>
        <v>0</v>
      </c>
      <c r="BT356" s="847">
        <f t="shared" si="459"/>
        <v>0</v>
      </c>
      <c r="BU356" s="661">
        <f t="shared" ref="BU356:CB356" si="460">BU80+BU217</f>
        <v>0</v>
      </c>
      <c r="BV356" s="847">
        <f t="shared" si="460"/>
        <v>0</v>
      </c>
      <c r="BW356" s="847">
        <f t="shared" si="460"/>
        <v>0</v>
      </c>
      <c r="BX356" s="847">
        <f t="shared" si="460"/>
        <v>1</v>
      </c>
      <c r="BY356" s="847">
        <f t="shared" si="460"/>
        <v>1</v>
      </c>
      <c r="BZ356" s="661">
        <f t="shared" si="460"/>
        <v>1</v>
      </c>
      <c r="CA356" s="847">
        <f t="shared" si="460"/>
        <v>1</v>
      </c>
      <c r="CB356" s="847">
        <f t="shared" si="460"/>
        <v>1</v>
      </c>
      <c r="CC356" s="847">
        <f t="shared" ref="CC356:CC361" si="461">CC79+CC217</f>
        <v>1</v>
      </c>
      <c r="CD356" s="847">
        <f t="shared" ref="CD356:CV356" si="462">CD80+CD217</f>
        <v>2</v>
      </c>
      <c r="CE356" s="661">
        <f t="shared" si="462"/>
        <v>2</v>
      </c>
      <c r="CF356" s="847">
        <f t="shared" si="462"/>
        <v>3</v>
      </c>
      <c r="CG356" s="847">
        <f t="shared" si="462"/>
        <v>3</v>
      </c>
      <c r="CH356" s="847">
        <f t="shared" si="462"/>
        <v>5</v>
      </c>
      <c r="CI356" s="847">
        <f>CI79+CI217</f>
        <v>7</v>
      </c>
      <c r="CJ356" s="236">
        <f t="shared" si="447"/>
        <v>7</v>
      </c>
      <c r="CK356" s="3510">
        <f t="shared" si="441"/>
        <v>10</v>
      </c>
      <c r="CL356" s="847">
        <f>CL79+CL217</f>
        <v>10</v>
      </c>
      <c r="CM356" s="847">
        <f t="shared" si="442"/>
        <v>15</v>
      </c>
      <c r="CN356" s="847">
        <f t="shared" si="442"/>
        <v>17</v>
      </c>
      <c r="CO356" s="661">
        <f t="shared" ref="CO356" si="463">CO79+CO217</f>
        <v>17</v>
      </c>
      <c r="CP356" s="3510"/>
      <c r="CQ356" s="847"/>
      <c r="CR356" s="847"/>
      <c r="CS356" s="847"/>
      <c r="CT356" s="661">
        <f>CT80+CT217</f>
        <v>0</v>
      </c>
      <c r="CU356" s="661">
        <f t="shared" si="462"/>
        <v>0</v>
      </c>
      <c r="CV356" s="661">
        <f t="shared" si="462"/>
        <v>0</v>
      </c>
      <c r="DB356" s="217"/>
    </row>
    <row r="357" spans="1:106" x14ac:dyDescent="0.2">
      <c r="A357" s="1434" t="s">
        <v>510</v>
      </c>
      <c r="B357" s="651"/>
      <c r="C357" s="236"/>
      <c r="D357" s="234"/>
      <c r="E357" s="234"/>
      <c r="F357" s="234"/>
      <c r="G357" s="234"/>
      <c r="H357" s="661"/>
      <c r="I357" s="847">
        <f t="shared" ref="I357:AN357" si="464">I80+I218</f>
        <v>0</v>
      </c>
      <c r="J357" s="847">
        <f t="shared" si="464"/>
        <v>0</v>
      </c>
      <c r="K357" s="847">
        <f t="shared" si="464"/>
        <v>0</v>
      </c>
      <c r="L357" s="847">
        <f t="shared" si="464"/>
        <v>0</v>
      </c>
      <c r="M357" s="661">
        <f t="shared" si="464"/>
        <v>0</v>
      </c>
      <c r="N357" s="847">
        <f t="shared" si="464"/>
        <v>0</v>
      </c>
      <c r="O357" s="847">
        <f t="shared" si="464"/>
        <v>0</v>
      </c>
      <c r="P357" s="847">
        <f t="shared" si="464"/>
        <v>0</v>
      </c>
      <c r="Q357" s="847">
        <f t="shared" si="464"/>
        <v>0</v>
      </c>
      <c r="R357" s="661">
        <f t="shared" si="464"/>
        <v>0</v>
      </c>
      <c r="S357" s="847">
        <f t="shared" si="464"/>
        <v>0</v>
      </c>
      <c r="T357" s="847">
        <f t="shared" si="464"/>
        <v>0</v>
      </c>
      <c r="U357" s="847">
        <f t="shared" si="464"/>
        <v>0</v>
      </c>
      <c r="V357" s="847">
        <f t="shared" si="464"/>
        <v>0</v>
      </c>
      <c r="W357" s="661">
        <f t="shared" si="464"/>
        <v>0</v>
      </c>
      <c r="X357" s="847">
        <f t="shared" si="464"/>
        <v>0</v>
      </c>
      <c r="Y357" s="847">
        <f t="shared" si="464"/>
        <v>0</v>
      </c>
      <c r="Z357" s="847">
        <f t="shared" si="464"/>
        <v>0</v>
      </c>
      <c r="AA357" s="847">
        <f t="shared" si="464"/>
        <v>0</v>
      </c>
      <c r="AB357" s="661">
        <f t="shared" si="464"/>
        <v>0</v>
      </c>
      <c r="AC357" s="847">
        <f t="shared" si="464"/>
        <v>0</v>
      </c>
      <c r="AD357" s="847">
        <f t="shared" si="464"/>
        <v>0</v>
      </c>
      <c r="AE357" s="847">
        <f t="shared" si="464"/>
        <v>0</v>
      </c>
      <c r="AF357" s="847">
        <f t="shared" si="464"/>
        <v>0</v>
      </c>
      <c r="AG357" s="661">
        <f t="shared" si="464"/>
        <v>0</v>
      </c>
      <c r="AH357" s="847">
        <f t="shared" si="464"/>
        <v>0</v>
      </c>
      <c r="AI357" s="847">
        <f t="shared" si="464"/>
        <v>0</v>
      </c>
      <c r="AJ357" s="847">
        <f t="shared" si="464"/>
        <v>0</v>
      </c>
      <c r="AK357" s="847">
        <f t="shared" si="464"/>
        <v>0</v>
      </c>
      <c r="AL357" s="661">
        <f t="shared" si="464"/>
        <v>0</v>
      </c>
      <c r="AM357" s="847">
        <f t="shared" si="464"/>
        <v>0</v>
      </c>
      <c r="AN357" s="847">
        <f t="shared" si="464"/>
        <v>0</v>
      </c>
      <c r="AO357" s="847">
        <f t="shared" ref="AO357:BT357" si="465">AO80+AO218</f>
        <v>0</v>
      </c>
      <c r="AP357" s="847">
        <f t="shared" si="465"/>
        <v>0</v>
      </c>
      <c r="AQ357" s="661">
        <f t="shared" si="465"/>
        <v>0</v>
      </c>
      <c r="AR357" s="847">
        <f t="shared" si="465"/>
        <v>0</v>
      </c>
      <c r="AS357" s="847">
        <f t="shared" si="465"/>
        <v>0</v>
      </c>
      <c r="AT357" s="847">
        <f t="shared" si="465"/>
        <v>0</v>
      </c>
      <c r="AU357" s="847">
        <f t="shared" si="465"/>
        <v>0</v>
      </c>
      <c r="AV357" s="661">
        <f t="shared" si="465"/>
        <v>0</v>
      </c>
      <c r="AW357" s="847">
        <f t="shared" si="465"/>
        <v>0</v>
      </c>
      <c r="AX357" s="847">
        <f t="shared" si="465"/>
        <v>0</v>
      </c>
      <c r="AY357" s="847">
        <f t="shared" si="465"/>
        <v>0</v>
      </c>
      <c r="AZ357" s="847">
        <f t="shared" si="465"/>
        <v>0</v>
      </c>
      <c r="BA357" s="661">
        <f t="shared" si="465"/>
        <v>0</v>
      </c>
      <c r="BB357" s="847">
        <f t="shared" si="465"/>
        <v>0</v>
      </c>
      <c r="BC357" s="847">
        <f t="shared" si="465"/>
        <v>0</v>
      </c>
      <c r="BD357" s="847">
        <f t="shared" si="465"/>
        <v>0</v>
      </c>
      <c r="BE357" s="847">
        <f t="shared" si="465"/>
        <v>0</v>
      </c>
      <c r="BF357" s="661">
        <f t="shared" si="465"/>
        <v>0</v>
      </c>
      <c r="BG357" s="847">
        <f t="shared" si="465"/>
        <v>0</v>
      </c>
      <c r="BH357" s="847">
        <f t="shared" si="465"/>
        <v>0</v>
      </c>
      <c r="BI357" s="847">
        <f t="shared" si="465"/>
        <v>0</v>
      </c>
      <c r="BJ357" s="847">
        <f t="shared" si="465"/>
        <v>0</v>
      </c>
      <c r="BK357" s="661">
        <f t="shared" si="465"/>
        <v>0</v>
      </c>
      <c r="BL357" s="847">
        <f t="shared" si="465"/>
        <v>0</v>
      </c>
      <c r="BM357" s="847">
        <f t="shared" si="465"/>
        <v>0</v>
      </c>
      <c r="BN357" s="847">
        <f t="shared" si="465"/>
        <v>0</v>
      </c>
      <c r="BO357" s="1431">
        <f t="shared" si="465"/>
        <v>0</v>
      </c>
      <c r="BP357" s="661">
        <f t="shared" si="465"/>
        <v>0</v>
      </c>
      <c r="BQ357" s="847">
        <f t="shared" si="465"/>
        <v>0</v>
      </c>
      <c r="BR357" s="847">
        <f t="shared" si="465"/>
        <v>0</v>
      </c>
      <c r="BS357" s="847">
        <f t="shared" si="465"/>
        <v>0</v>
      </c>
      <c r="BT357" s="847">
        <f t="shared" si="465"/>
        <v>0</v>
      </c>
      <c r="BU357" s="661">
        <f t="shared" ref="BU357:CB357" si="466">BU80+BU218</f>
        <v>0</v>
      </c>
      <c r="BV357" s="847">
        <f t="shared" si="466"/>
        <v>0</v>
      </c>
      <c r="BW357" s="847">
        <f t="shared" si="466"/>
        <v>0</v>
      </c>
      <c r="BX357" s="847">
        <f t="shared" si="466"/>
        <v>0</v>
      </c>
      <c r="BY357" s="847">
        <f t="shared" si="466"/>
        <v>0</v>
      </c>
      <c r="BZ357" s="661">
        <f t="shared" si="466"/>
        <v>0</v>
      </c>
      <c r="CA357" s="847">
        <f t="shared" si="466"/>
        <v>0</v>
      </c>
      <c r="CB357" s="847">
        <f t="shared" si="466"/>
        <v>0</v>
      </c>
      <c r="CC357" s="847">
        <f t="shared" si="461"/>
        <v>1</v>
      </c>
      <c r="CD357" s="847">
        <f t="shared" ref="CD357:CV357" si="467">CD80+CD218</f>
        <v>1</v>
      </c>
      <c r="CE357" s="661">
        <f t="shared" si="467"/>
        <v>1</v>
      </c>
      <c r="CF357" s="847">
        <f t="shared" si="467"/>
        <v>1</v>
      </c>
      <c r="CG357" s="847">
        <f t="shared" si="467"/>
        <v>1</v>
      </c>
      <c r="CH357" s="847">
        <f t="shared" si="467"/>
        <v>1</v>
      </c>
      <c r="CI357" s="847">
        <f t="shared" si="467"/>
        <v>1</v>
      </c>
      <c r="CJ357" s="236">
        <f t="shared" si="447"/>
        <v>1</v>
      </c>
      <c r="CK357" s="3510">
        <f t="shared" si="441"/>
        <v>1</v>
      </c>
      <c r="CL357" s="847">
        <f t="shared" si="467"/>
        <v>1</v>
      </c>
      <c r="CM357" s="847">
        <f t="shared" si="442"/>
        <v>1</v>
      </c>
      <c r="CN357" s="847">
        <f t="shared" si="442"/>
        <v>1</v>
      </c>
      <c r="CO357" s="661">
        <f t="shared" ref="CO357" si="468">CO80+CO218</f>
        <v>1</v>
      </c>
      <c r="CP357" s="3510"/>
      <c r="CQ357" s="847"/>
      <c r="CR357" s="847"/>
      <c r="CS357" s="847"/>
      <c r="CT357" s="661">
        <f>CT80+CT218</f>
        <v>0</v>
      </c>
      <c r="CU357" s="661">
        <f t="shared" si="467"/>
        <v>0</v>
      </c>
      <c r="CV357" s="661">
        <f t="shared" si="467"/>
        <v>0</v>
      </c>
      <c r="DB357" s="217"/>
    </row>
    <row r="358" spans="1:106" x14ac:dyDescent="0.2">
      <c r="A358" s="1434" t="s">
        <v>511</v>
      </c>
      <c r="B358" s="651"/>
      <c r="C358" s="236"/>
      <c r="D358" s="234"/>
      <c r="E358" s="234"/>
      <c r="F358" s="234"/>
      <c r="G358" s="234"/>
      <c r="H358" s="661"/>
      <c r="I358" s="847">
        <f t="shared" ref="I358:AN358" si="469">I81+I219</f>
        <v>0</v>
      </c>
      <c r="J358" s="847">
        <f t="shared" si="469"/>
        <v>0</v>
      </c>
      <c r="K358" s="847">
        <f t="shared" si="469"/>
        <v>0</v>
      </c>
      <c r="L358" s="847">
        <f t="shared" si="469"/>
        <v>0</v>
      </c>
      <c r="M358" s="661">
        <f t="shared" si="469"/>
        <v>0</v>
      </c>
      <c r="N358" s="847">
        <f t="shared" si="469"/>
        <v>0</v>
      </c>
      <c r="O358" s="847">
        <f t="shared" si="469"/>
        <v>0</v>
      </c>
      <c r="P358" s="847">
        <f t="shared" si="469"/>
        <v>0</v>
      </c>
      <c r="Q358" s="847">
        <f t="shared" si="469"/>
        <v>0</v>
      </c>
      <c r="R358" s="661">
        <f t="shared" si="469"/>
        <v>0</v>
      </c>
      <c r="S358" s="847">
        <f t="shared" si="469"/>
        <v>0</v>
      </c>
      <c r="T358" s="847">
        <f t="shared" si="469"/>
        <v>0</v>
      </c>
      <c r="U358" s="847">
        <f t="shared" si="469"/>
        <v>0</v>
      </c>
      <c r="V358" s="847">
        <f t="shared" si="469"/>
        <v>0</v>
      </c>
      <c r="W358" s="661">
        <f t="shared" si="469"/>
        <v>0</v>
      </c>
      <c r="X358" s="847">
        <f t="shared" si="469"/>
        <v>0</v>
      </c>
      <c r="Y358" s="847">
        <f t="shared" si="469"/>
        <v>0</v>
      </c>
      <c r="Z358" s="847">
        <f t="shared" si="469"/>
        <v>0</v>
      </c>
      <c r="AA358" s="847">
        <f t="shared" si="469"/>
        <v>0</v>
      </c>
      <c r="AB358" s="661">
        <f t="shared" si="469"/>
        <v>0</v>
      </c>
      <c r="AC358" s="847">
        <f t="shared" si="469"/>
        <v>0</v>
      </c>
      <c r="AD358" s="847">
        <f t="shared" si="469"/>
        <v>0</v>
      </c>
      <c r="AE358" s="847">
        <f t="shared" si="469"/>
        <v>0</v>
      </c>
      <c r="AF358" s="847">
        <f t="shared" si="469"/>
        <v>0</v>
      </c>
      <c r="AG358" s="661">
        <f t="shared" si="469"/>
        <v>0</v>
      </c>
      <c r="AH358" s="847">
        <f t="shared" si="469"/>
        <v>0</v>
      </c>
      <c r="AI358" s="847">
        <f t="shared" si="469"/>
        <v>0</v>
      </c>
      <c r="AJ358" s="847">
        <f t="shared" si="469"/>
        <v>0</v>
      </c>
      <c r="AK358" s="847">
        <f t="shared" si="469"/>
        <v>0</v>
      </c>
      <c r="AL358" s="661">
        <f t="shared" si="469"/>
        <v>0</v>
      </c>
      <c r="AM358" s="847">
        <f t="shared" si="469"/>
        <v>0</v>
      </c>
      <c r="AN358" s="847">
        <f t="shared" si="469"/>
        <v>0</v>
      </c>
      <c r="AO358" s="847">
        <f t="shared" ref="AO358:BT358" si="470">AO81+AO219</f>
        <v>0</v>
      </c>
      <c r="AP358" s="847">
        <f t="shared" si="470"/>
        <v>0</v>
      </c>
      <c r="AQ358" s="661">
        <f t="shared" si="470"/>
        <v>0</v>
      </c>
      <c r="AR358" s="847">
        <f t="shared" si="470"/>
        <v>0</v>
      </c>
      <c r="AS358" s="847">
        <f t="shared" si="470"/>
        <v>0</v>
      </c>
      <c r="AT358" s="847">
        <f t="shared" si="470"/>
        <v>0</v>
      </c>
      <c r="AU358" s="847">
        <f t="shared" si="470"/>
        <v>0</v>
      </c>
      <c r="AV358" s="661">
        <f t="shared" si="470"/>
        <v>0</v>
      </c>
      <c r="AW358" s="847">
        <f t="shared" si="470"/>
        <v>0</v>
      </c>
      <c r="AX358" s="847">
        <f t="shared" si="470"/>
        <v>0</v>
      </c>
      <c r="AY358" s="847">
        <f t="shared" si="470"/>
        <v>0</v>
      </c>
      <c r="AZ358" s="847">
        <f t="shared" si="470"/>
        <v>0</v>
      </c>
      <c r="BA358" s="661">
        <f t="shared" si="470"/>
        <v>0</v>
      </c>
      <c r="BB358" s="847">
        <f t="shared" si="470"/>
        <v>0</v>
      </c>
      <c r="BC358" s="847">
        <f t="shared" si="470"/>
        <v>0</v>
      </c>
      <c r="BD358" s="847">
        <f t="shared" si="470"/>
        <v>0</v>
      </c>
      <c r="BE358" s="847">
        <f t="shared" si="470"/>
        <v>0</v>
      </c>
      <c r="BF358" s="661">
        <f t="shared" si="470"/>
        <v>0</v>
      </c>
      <c r="BG358" s="847">
        <f t="shared" si="470"/>
        <v>0</v>
      </c>
      <c r="BH358" s="847">
        <f t="shared" si="470"/>
        <v>0</v>
      </c>
      <c r="BI358" s="847">
        <f t="shared" si="470"/>
        <v>0</v>
      </c>
      <c r="BJ358" s="847">
        <f t="shared" si="470"/>
        <v>0</v>
      </c>
      <c r="BK358" s="661">
        <f t="shared" si="470"/>
        <v>0</v>
      </c>
      <c r="BL358" s="847">
        <f t="shared" si="470"/>
        <v>0</v>
      </c>
      <c r="BM358" s="847">
        <f t="shared" si="470"/>
        <v>1</v>
      </c>
      <c r="BN358" s="847">
        <f t="shared" si="470"/>
        <v>1</v>
      </c>
      <c r="BO358" s="1431">
        <f t="shared" si="470"/>
        <v>1</v>
      </c>
      <c r="BP358" s="661">
        <f t="shared" si="470"/>
        <v>1</v>
      </c>
      <c r="BQ358" s="847">
        <f t="shared" si="470"/>
        <v>1</v>
      </c>
      <c r="BR358" s="847">
        <f t="shared" si="470"/>
        <v>1</v>
      </c>
      <c r="BS358" s="847">
        <f t="shared" si="470"/>
        <v>1</v>
      </c>
      <c r="BT358" s="847">
        <f t="shared" si="470"/>
        <v>1</v>
      </c>
      <c r="BU358" s="661">
        <f t="shared" ref="BU358:CB358" si="471">BU81+BU219</f>
        <v>1</v>
      </c>
      <c r="BV358" s="847">
        <f t="shared" si="471"/>
        <v>1</v>
      </c>
      <c r="BW358" s="847">
        <f t="shared" si="471"/>
        <v>1</v>
      </c>
      <c r="BX358" s="847">
        <f t="shared" si="471"/>
        <v>1</v>
      </c>
      <c r="BY358" s="847">
        <f t="shared" si="471"/>
        <v>1</v>
      </c>
      <c r="BZ358" s="661">
        <f t="shared" si="471"/>
        <v>1</v>
      </c>
      <c r="CA358" s="847">
        <f t="shared" si="471"/>
        <v>1</v>
      </c>
      <c r="CB358" s="847">
        <f t="shared" si="471"/>
        <v>1</v>
      </c>
      <c r="CC358" s="847">
        <f t="shared" si="461"/>
        <v>1</v>
      </c>
      <c r="CD358" s="847">
        <f t="shared" ref="CD358:CV358" si="472">CD81+CD219</f>
        <v>1</v>
      </c>
      <c r="CE358" s="661">
        <f t="shared" si="472"/>
        <v>1</v>
      </c>
      <c r="CF358" s="847">
        <f t="shared" si="472"/>
        <v>1</v>
      </c>
      <c r="CG358" s="847">
        <f t="shared" si="472"/>
        <v>1</v>
      </c>
      <c r="CH358" s="847">
        <f t="shared" si="472"/>
        <v>1</v>
      </c>
      <c r="CI358" s="847">
        <f t="shared" si="472"/>
        <v>1</v>
      </c>
      <c r="CJ358" s="236">
        <f t="shared" si="447"/>
        <v>1</v>
      </c>
      <c r="CK358" s="3510">
        <f t="shared" si="441"/>
        <v>1</v>
      </c>
      <c r="CL358" s="847">
        <f t="shared" si="472"/>
        <v>1</v>
      </c>
      <c r="CM358" s="847">
        <f t="shared" si="442"/>
        <v>1</v>
      </c>
      <c r="CN358" s="847">
        <f t="shared" si="442"/>
        <v>1</v>
      </c>
      <c r="CO358" s="661">
        <f t="shared" ref="CO358" si="473">CO81+CO219</f>
        <v>1</v>
      </c>
      <c r="CP358" s="3510"/>
      <c r="CQ358" s="847"/>
      <c r="CR358" s="847"/>
      <c r="CS358" s="847"/>
      <c r="CT358" s="661">
        <f>CT81+CT219</f>
        <v>0</v>
      </c>
      <c r="CU358" s="661">
        <f t="shared" si="472"/>
        <v>0</v>
      </c>
      <c r="CV358" s="661">
        <f t="shared" si="472"/>
        <v>0</v>
      </c>
      <c r="DB358" s="217"/>
    </row>
    <row r="359" spans="1:106" x14ac:dyDescent="0.2">
      <c r="A359" s="1434" t="s">
        <v>383</v>
      </c>
      <c r="B359" s="651"/>
      <c r="C359" s="236"/>
      <c r="D359" s="234"/>
      <c r="E359" s="234"/>
      <c r="F359" s="234"/>
      <c r="G359" s="234"/>
      <c r="H359" s="661"/>
      <c r="I359" s="847">
        <f t="shared" ref="I359:AN359" si="474">I82+I220</f>
        <v>0</v>
      </c>
      <c r="J359" s="847">
        <f t="shared" si="474"/>
        <v>0</v>
      </c>
      <c r="K359" s="847">
        <f t="shared" si="474"/>
        <v>0</v>
      </c>
      <c r="L359" s="847">
        <f t="shared" si="474"/>
        <v>0</v>
      </c>
      <c r="M359" s="661">
        <f t="shared" si="474"/>
        <v>0</v>
      </c>
      <c r="N359" s="847">
        <f t="shared" si="474"/>
        <v>0</v>
      </c>
      <c r="O359" s="847">
        <f t="shared" si="474"/>
        <v>0</v>
      </c>
      <c r="P359" s="847">
        <f t="shared" si="474"/>
        <v>0</v>
      </c>
      <c r="Q359" s="847">
        <f t="shared" si="474"/>
        <v>0</v>
      </c>
      <c r="R359" s="661">
        <f t="shared" si="474"/>
        <v>0</v>
      </c>
      <c r="S359" s="847">
        <f t="shared" si="474"/>
        <v>0</v>
      </c>
      <c r="T359" s="847">
        <f t="shared" si="474"/>
        <v>0</v>
      </c>
      <c r="U359" s="847">
        <f t="shared" si="474"/>
        <v>0</v>
      </c>
      <c r="V359" s="847">
        <f t="shared" si="474"/>
        <v>0</v>
      </c>
      <c r="W359" s="661">
        <f t="shared" si="474"/>
        <v>0</v>
      </c>
      <c r="X359" s="847">
        <f t="shared" si="474"/>
        <v>0</v>
      </c>
      <c r="Y359" s="847">
        <f t="shared" si="474"/>
        <v>0</v>
      </c>
      <c r="Z359" s="847">
        <f t="shared" si="474"/>
        <v>0</v>
      </c>
      <c r="AA359" s="847">
        <f t="shared" si="474"/>
        <v>0</v>
      </c>
      <c r="AB359" s="661">
        <f t="shared" si="474"/>
        <v>0</v>
      </c>
      <c r="AC359" s="847">
        <f t="shared" si="474"/>
        <v>0</v>
      </c>
      <c r="AD359" s="847">
        <f t="shared" si="474"/>
        <v>0</v>
      </c>
      <c r="AE359" s="847">
        <f t="shared" si="474"/>
        <v>0</v>
      </c>
      <c r="AF359" s="847">
        <f t="shared" si="474"/>
        <v>0</v>
      </c>
      <c r="AG359" s="661">
        <f t="shared" si="474"/>
        <v>0</v>
      </c>
      <c r="AH359" s="847">
        <f t="shared" si="474"/>
        <v>0</v>
      </c>
      <c r="AI359" s="847">
        <f t="shared" si="474"/>
        <v>0</v>
      </c>
      <c r="AJ359" s="847">
        <f t="shared" si="474"/>
        <v>0</v>
      </c>
      <c r="AK359" s="847">
        <f t="shared" si="474"/>
        <v>0</v>
      </c>
      <c r="AL359" s="661">
        <f t="shared" si="474"/>
        <v>0</v>
      </c>
      <c r="AM359" s="847">
        <f t="shared" si="474"/>
        <v>0</v>
      </c>
      <c r="AN359" s="847">
        <f t="shared" si="474"/>
        <v>0</v>
      </c>
      <c r="AO359" s="847">
        <f t="shared" ref="AO359:BT359" si="475">AO82+AO220</f>
        <v>0</v>
      </c>
      <c r="AP359" s="847">
        <f t="shared" si="475"/>
        <v>0</v>
      </c>
      <c r="AQ359" s="661">
        <f t="shared" si="475"/>
        <v>0</v>
      </c>
      <c r="AR359" s="847">
        <f t="shared" si="475"/>
        <v>0</v>
      </c>
      <c r="AS359" s="847">
        <f t="shared" si="475"/>
        <v>0</v>
      </c>
      <c r="AT359" s="847">
        <f t="shared" si="475"/>
        <v>0</v>
      </c>
      <c r="AU359" s="847">
        <f t="shared" si="475"/>
        <v>0</v>
      </c>
      <c r="AV359" s="661">
        <f t="shared" si="475"/>
        <v>0</v>
      </c>
      <c r="AW359" s="847">
        <f t="shared" si="475"/>
        <v>0</v>
      </c>
      <c r="AX359" s="847">
        <f t="shared" si="475"/>
        <v>0</v>
      </c>
      <c r="AY359" s="847">
        <f t="shared" si="475"/>
        <v>0</v>
      </c>
      <c r="AZ359" s="847">
        <f t="shared" si="475"/>
        <v>0</v>
      </c>
      <c r="BA359" s="661">
        <f t="shared" si="475"/>
        <v>0</v>
      </c>
      <c r="BB359" s="847">
        <f t="shared" si="475"/>
        <v>0</v>
      </c>
      <c r="BC359" s="847">
        <f t="shared" si="475"/>
        <v>0</v>
      </c>
      <c r="BD359" s="847">
        <f t="shared" si="475"/>
        <v>0</v>
      </c>
      <c r="BE359" s="847">
        <f t="shared" si="475"/>
        <v>0</v>
      </c>
      <c r="BF359" s="661">
        <f t="shared" si="475"/>
        <v>0</v>
      </c>
      <c r="BG359" s="847">
        <f t="shared" si="475"/>
        <v>0</v>
      </c>
      <c r="BH359" s="847">
        <f t="shared" si="475"/>
        <v>0</v>
      </c>
      <c r="BI359" s="847">
        <f t="shared" si="475"/>
        <v>0</v>
      </c>
      <c r="BJ359" s="847">
        <f t="shared" si="475"/>
        <v>0</v>
      </c>
      <c r="BK359" s="661">
        <f t="shared" si="475"/>
        <v>0</v>
      </c>
      <c r="BL359" s="847">
        <f t="shared" si="475"/>
        <v>0</v>
      </c>
      <c r="BM359" s="847">
        <f t="shared" si="475"/>
        <v>0</v>
      </c>
      <c r="BN359" s="847">
        <f t="shared" si="475"/>
        <v>0</v>
      </c>
      <c r="BO359" s="1431">
        <f t="shared" si="475"/>
        <v>0</v>
      </c>
      <c r="BP359" s="661">
        <f t="shared" si="475"/>
        <v>0</v>
      </c>
      <c r="BQ359" s="847">
        <f t="shared" si="475"/>
        <v>0</v>
      </c>
      <c r="BR359" s="847">
        <f t="shared" si="475"/>
        <v>0</v>
      </c>
      <c r="BS359" s="847">
        <f t="shared" si="475"/>
        <v>0</v>
      </c>
      <c r="BT359" s="847">
        <f t="shared" si="475"/>
        <v>0</v>
      </c>
      <c r="BU359" s="661">
        <f t="shared" ref="BU359:CB359" si="476">BU82+BU220</f>
        <v>0</v>
      </c>
      <c r="BV359" s="847">
        <f t="shared" si="476"/>
        <v>0</v>
      </c>
      <c r="BW359" s="847">
        <f t="shared" si="476"/>
        <v>0</v>
      </c>
      <c r="BX359" s="847">
        <f t="shared" si="476"/>
        <v>1</v>
      </c>
      <c r="BY359" s="847">
        <f t="shared" si="476"/>
        <v>1</v>
      </c>
      <c r="BZ359" s="661">
        <f t="shared" si="476"/>
        <v>1</v>
      </c>
      <c r="CA359" s="847">
        <f t="shared" si="476"/>
        <v>1</v>
      </c>
      <c r="CB359" s="847">
        <f t="shared" si="476"/>
        <v>1</v>
      </c>
      <c r="CC359" s="847">
        <f t="shared" si="461"/>
        <v>1</v>
      </c>
      <c r="CD359" s="847">
        <f t="shared" ref="CD359:CV359" si="477">CD82+CD220</f>
        <v>1</v>
      </c>
      <c r="CE359" s="661">
        <f t="shared" si="477"/>
        <v>1</v>
      </c>
      <c r="CF359" s="847">
        <f t="shared" si="477"/>
        <v>1</v>
      </c>
      <c r="CG359" s="847">
        <f t="shared" si="477"/>
        <v>1</v>
      </c>
      <c r="CH359" s="847">
        <f t="shared" si="477"/>
        <v>0</v>
      </c>
      <c r="CI359" s="847">
        <f t="shared" si="477"/>
        <v>0</v>
      </c>
      <c r="CJ359" s="236">
        <f t="shared" si="447"/>
        <v>0</v>
      </c>
      <c r="CK359" s="3510">
        <f t="shared" si="441"/>
        <v>0</v>
      </c>
      <c r="CL359" s="847">
        <f t="shared" si="477"/>
        <v>0</v>
      </c>
      <c r="CM359" s="847">
        <f t="shared" si="442"/>
        <v>0</v>
      </c>
      <c r="CN359" s="847">
        <f t="shared" si="442"/>
        <v>0</v>
      </c>
      <c r="CO359" s="661">
        <f t="shared" ref="CO359" si="478">CO82+CO220</f>
        <v>0</v>
      </c>
      <c r="CP359" s="3510"/>
      <c r="CQ359" s="847"/>
      <c r="CR359" s="847"/>
      <c r="CS359" s="847"/>
      <c r="CT359" s="661">
        <f>CT82+CT220</f>
        <v>0</v>
      </c>
      <c r="CU359" s="661">
        <f t="shared" si="477"/>
        <v>0</v>
      </c>
      <c r="CV359" s="661">
        <f t="shared" si="477"/>
        <v>0</v>
      </c>
      <c r="DB359" s="217"/>
    </row>
    <row r="360" spans="1:106" x14ac:dyDescent="0.2">
      <c r="A360" s="1434" t="s">
        <v>656</v>
      </c>
      <c r="B360" s="651"/>
      <c r="C360" s="236"/>
      <c r="D360" s="234"/>
      <c r="E360" s="234"/>
      <c r="F360" s="234"/>
      <c r="G360" s="234"/>
      <c r="H360" s="661"/>
      <c r="I360" s="847">
        <f t="shared" ref="I360:AN360" si="479">I83+I221</f>
        <v>0</v>
      </c>
      <c r="J360" s="847">
        <f t="shared" si="479"/>
        <v>0</v>
      </c>
      <c r="K360" s="847">
        <f t="shared" si="479"/>
        <v>0</v>
      </c>
      <c r="L360" s="847">
        <f t="shared" si="479"/>
        <v>0</v>
      </c>
      <c r="M360" s="661">
        <f t="shared" si="479"/>
        <v>0</v>
      </c>
      <c r="N360" s="847">
        <f t="shared" si="479"/>
        <v>0</v>
      </c>
      <c r="O360" s="847">
        <f t="shared" si="479"/>
        <v>0</v>
      </c>
      <c r="P360" s="847">
        <f t="shared" si="479"/>
        <v>0</v>
      </c>
      <c r="Q360" s="847">
        <f t="shared" si="479"/>
        <v>0</v>
      </c>
      <c r="R360" s="661">
        <f t="shared" si="479"/>
        <v>0</v>
      </c>
      <c r="S360" s="847">
        <f t="shared" si="479"/>
        <v>0</v>
      </c>
      <c r="T360" s="847">
        <f t="shared" si="479"/>
        <v>0</v>
      </c>
      <c r="U360" s="847">
        <f t="shared" si="479"/>
        <v>0</v>
      </c>
      <c r="V360" s="847">
        <f t="shared" si="479"/>
        <v>0</v>
      </c>
      <c r="W360" s="661">
        <f t="shared" si="479"/>
        <v>0</v>
      </c>
      <c r="X360" s="847">
        <f t="shared" si="479"/>
        <v>0</v>
      </c>
      <c r="Y360" s="847">
        <f t="shared" si="479"/>
        <v>0</v>
      </c>
      <c r="Z360" s="847">
        <f t="shared" si="479"/>
        <v>0</v>
      </c>
      <c r="AA360" s="847">
        <f t="shared" si="479"/>
        <v>0</v>
      </c>
      <c r="AB360" s="661">
        <f t="shared" si="479"/>
        <v>0</v>
      </c>
      <c r="AC360" s="847">
        <f t="shared" si="479"/>
        <v>0</v>
      </c>
      <c r="AD360" s="847">
        <f t="shared" si="479"/>
        <v>0</v>
      </c>
      <c r="AE360" s="847">
        <f t="shared" si="479"/>
        <v>0</v>
      </c>
      <c r="AF360" s="847">
        <f t="shared" si="479"/>
        <v>0</v>
      </c>
      <c r="AG360" s="661">
        <f t="shared" si="479"/>
        <v>0</v>
      </c>
      <c r="AH360" s="847">
        <f t="shared" si="479"/>
        <v>0</v>
      </c>
      <c r="AI360" s="847">
        <f t="shared" si="479"/>
        <v>0</v>
      </c>
      <c r="AJ360" s="847">
        <f t="shared" si="479"/>
        <v>0</v>
      </c>
      <c r="AK360" s="847">
        <f t="shared" si="479"/>
        <v>0</v>
      </c>
      <c r="AL360" s="661">
        <f t="shared" si="479"/>
        <v>0</v>
      </c>
      <c r="AM360" s="847">
        <f t="shared" si="479"/>
        <v>0</v>
      </c>
      <c r="AN360" s="847">
        <f t="shared" si="479"/>
        <v>0</v>
      </c>
      <c r="AO360" s="847">
        <f t="shared" ref="AO360:BT360" si="480">AO83+AO221</f>
        <v>0</v>
      </c>
      <c r="AP360" s="847">
        <f t="shared" si="480"/>
        <v>0</v>
      </c>
      <c r="AQ360" s="661">
        <f t="shared" si="480"/>
        <v>0</v>
      </c>
      <c r="AR360" s="847">
        <f t="shared" si="480"/>
        <v>0</v>
      </c>
      <c r="AS360" s="847">
        <f t="shared" si="480"/>
        <v>0</v>
      </c>
      <c r="AT360" s="847">
        <f t="shared" si="480"/>
        <v>0</v>
      </c>
      <c r="AU360" s="847">
        <f t="shared" si="480"/>
        <v>0</v>
      </c>
      <c r="AV360" s="661">
        <f t="shared" si="480"/>
        <v>0</v>
      </c>
      <c r="AW360" s="847">
        <f t="shared" si="480"/>
        <v>0</v>
      </c>
      <c r="AX360" s="847">
        <f t="shared" si="480"/>
        <v>0</v>
      </c>
      <c r="AY360" s="847">
        <f t="shared" si="480"/>
        <v>0</v>
      </c>
      <c r="AZ360" s="847">
        <f t="shared" si="480"/>
        <v>0</v>
      </c>
      <c r="BA360" s="661">
        <f t="shared" si="480"/>
        <v>0</v>
      </c>
      <c r="BB360" s="847">
        <f t="shared" si="480"/>
        <v>0</v>
      </c>
      <c r="BC360" s="847">
        <f t="shared" si="480"/>
        <v>0</v>
      </c>
      <c r="BD360" s="847">
        <f t="shared" si="480"/>
        <v>0</v>
      </c>
      <c r="BE360" s="847">
        <f t="shared" si="480"/>
        <v>0</v>
      </c>
      <c r="BF360" s="661">
        <f t="shared" si="480"/>
        <v>0</v>
      </c>
      <c r="BG360" s="847">
        <f t="shared" si="480"/>
        <v>0</v>
      </c>
      <c r="BH360" s="847">
        <f t="shared" si="480"/>
        <v>0</v>
      </c>
      <c r="BI360" s="847">
        <f t="shared" si="480"/>
        <v>0</v>
      </c>
      <c r="BJ360" s="847">
        <f t="shared" si="480"/>
        <v>0</v>
      </c>
      <c r="BK360" s="661">
        <f t="shared" si="480"/>
        <v>0</v>
      </c>
      <c r="BL360" s="847">
        <f t="shared" si="480"/>
        <v>0</v>
      </c>
      <c r="BM360" s="847">
        <f t="shared" si="480"/>
        <v>0</v>
      </c>
      <c r="BN360" s="847">
        <f t="shared" si="480"/>
        <v>0</v>
      </c>
      <c r="BO360" s="1431">
        <f t="shared" si="480"/>
        <v>0</v>
      </c>
      <c r="BP360" s="661">
        <f t="shared" si="480"/>
        <v>0</v>
      </c>
      <c r="BQ360" s="847">
        <f t="shared" si="480"/>
        <v>0</v>
      </c>
      <c r="BR360" s="847">
        <f t="shared" si="480"/>
        <v>0</v>
      </c>
      <c r="BS360" s="847">
        <f t="shared" si="480"/>
        <v>0</v>
      </c>
      <c r="BT360" s="847">
        <f t="shared" si="480"/>
        <v>0</v>
      </c>
      <c r="BU360" s="661">
        <f t="shared" ref="BU360:CB360" si="481">BU83+BU221</f>
        <v>0</v>
      </c>
      <c r="BV360" s="847">
        <f t="shared" si="481"/>
        <v>0</v>
      </c>
      <c r="BW360" s="847">
        <f t="shared" si="481"/>
        <v>0</v>
      </c>
      <c r="BX360" s="847">
        <f t="shared" si="481"/>
        <v>0</v>
      </c>
      <c r="BY360" s="847">
        <f t="shared" si="481"/>
        <v>0</v>
      </c>
      <c r="BZ360" s="661">
        <f t="shared" si="481"/>
        <v>0</v>
      </c>
      <c r="CA360" s="847">
        <f t="shared" si="481"/>
        <v>0</v>
      </c>
      <c r="CB360" s="847">
        <f t="shared" si="481"/>
        <v>0</v>
      </c>
      <c r="CC360" s="847">
        <f t="shared" si="461"/>
        <v>0</v>
      </c>
      <c r="CD360" s="847">
        <f t="shared" ref="CD360:CV360" si="482">CD83+CD221</f>
        <v>0</v>
      </c>
      <c r="CE360" s="661">
        <f t="shared" si="482"/>
        <v>0</v>
      </c>
      <c r="CF360" s="847">
        <f t="shared" si="482"/>
        <v>0</v>
      </c>
      <c r="CG360" s="847">
        <f t="shared" si="482"/>
        <v>0</v>
      </c>
      <c r="CH360" s="847">
        <f t="shared" si="482"/>
        <v>0</v>
      </c>
      <c r="CI360" s="847">
        <f t="shared" si="482"/>
        <v>0</v>
      </c>
      <c r="CJ360" s="236">
        <f t="shared" si="447"/>
        <v>0</v>
      </c>
      <c r="CK360" s="3510">
        <f t="shared" si="441"/>
        <v>0</v>
      </c>
      <c r="CL360" s="847">
        <f t="shared" si="482"/>
        <v>0</v>
      </c>
      <c r="CM360" s="847">
        <f t="shared" si="442"/>
        <v>0</v>
      </c>
      <c r="CN360" s="847">
        <f t="shared" si="442"/>
        <v>0</v>
      </c>
      <c r="CO360" s="661">
        <f t="shared" ref="CO360" si="483">CO83+CO221</f>
        <v>0</v>
      </c>
      <c r="CP360" s="3510"/>
      <c r="CQ360" s="847"/>
      <c r="CR360" s="847"/>
      <c r="CS360" s="847"/>
      <c r="CT360" s="661">
        <f>CT83+CT221</f>
        <v>0</v>
      </c>
      <c r="CU360" s="661">
        <f t="shared" si="482"/>
        <v>0</v>
      </c>
      <c r="CV360" s="661">
        <f t="shared" si="482"/>
        <v>0</v>
      </c>
      <c r="DB360" s="217"/>
    </row>
    <row r="361" spans="1:106" x14ac:dyDescent="0.2">
      <c r="A361" s="1434" t="s">
        <v>1386</v>
      </c>
      <c r="B361" s="651"/>
      <c r="C361" s="236"/>
      <c r="D361" s="234"/>
      <c r="E361" s="234"/>
      <c r="F361" s="234"/>
      <c r="G361" s="234"/>
      <c r="H361" s="661"/>
      <c r="I361" s="847">
        <f t="shared" ref="I361:AN361" si="484">I84+I222</f>
        <v>245</v>
      </c>
      <c r="J361" s="847">
        <f t="shared" si="484"/>
        <v>253</v>
      </c>
      <c r="K361" s="847">
        <f t="shared" si="484"/>
        <v>259</v>
      </c>
      <c r="L361" s="847">
        <f t="shared" si="484"/>
        <v>267</v>
      </c>
      <c r="M361" s="661">
        <f t="shared" si="484"/>
        <v>267</v>
      </c>
      <c r="N361" s="847">
        <f t="shared" si="484"/>
        <v>275</v>
      </c>
      <c r="O361" s="847">
        <f t="shared" si="484"/>
        <v>280</v>
      </c>
      <c r="P361" s="847">
        <f t="shared" si="484"/>
        <v>289</v>
      </c>
      <c r="Q361" s="847">
        <f t="shared" si="484"/>
        <v>298</v>
      </c>
      <c r="R361" s="661">
        <f t="shared" si="484"/>
        <v>298</v>
      </c>
      <c r="S361" s="847">
        <f t="shared" si="484"/>
        <v>304</v>
      </c>
      <c r="T361" s="847">
        <f t="shared" si="484"/>
        <v>310</v>
      </c>
      <c r="U361" s="847">
        <f t="shared" si="484"/>
        <v>316</v>
      </c>
      <c r="V361" s="847">
        <f t="shared" si="484"/>
        <v>322</v>
      </c>
      <c r="W361" s="661">
        <f t="shared" si="484"/>
        <v>322</v>
      </c>
      <c r="X361" s="847">
        <f t="shared" si="484"/>
        <v>334</v>
      </c>
      <c r="Y361" s="847">
        <f t="shared" si="484"/>
        <v>342</v>
      </c>
      <c r="Z361" s="847">
        <f t="shared" si="484"/>
        <v>349</v>
      </c>
      <c r="AA361" s="847">
        <f t="shared" si="484"/>
        <v>357</v>
      </c>
      <c r="AB361" s="661">
        <f t="shared" si="484"/>
        <v>357</v>
      </c>
      <c r="AC361" s="847">
        <f t="shared" si="484"/>
        <v>361</v>
      </c>
      <c r="AD361" s="847">
        <f t="shared" si="484"/>
        <v>365</v>
      </c>
      <c r="AE361" s="847">
        <f t="shared" si="484"/>
        <v>376</v>
      </c>
      <c r="AF361" s="847">
        <f t="shared" si="484"/>
        <v>386</v>
      </c>
      <c r="AG361" s="661">
        <f t="shared" si="484"/>
        <v>386</v>
      </c>
      <c r="AH361" s="847">
        <f t="shared" si="484"/>
        <v>391</v>
      </c>
      <c r="AI361" s="847">
        <f t="shared" si="484"/>
        <v>401</v>
      </c>
      <c r="AJ361" s="847">
        <f t="shared" si="484"/>
        <v>411</v>
      </c>
      <c r="AK361" s="847">
        <f t="shared" si="484"/>
        <v>425</v>
      </c>
      <c r="AL361" s="661">
        <f t="shared" si="484"/>
        <v>425</v>
      </c>
      <c r="AM361" s="847">
        <f t="shared" si="484"/>
        <v>432</v>
      </c>
      <c r="AN361" s="847">
        <f t="shared" si="484"/>
        <v>433</v>
      </c>
      <c r="AO361" s="847">
        <f t="shared" ref="AO361:BT361" si="485">AO84+AO222</f>
        <v>444</v>
      </c>
      <c r="AP361" s="847">
        <f t="shared" si="485"/>
        <v>460</v>
      </c>
      <c r="AQ361" s="661">
        <f t="shared" si="485"/>
        <v>460</v>
      </c>
      <c r="AR361" s="847">
        <f t="shared" si="485"/>
        <v>462</v>
      </c>
      <c r="AS361" s="847">
        <f t="shared" si="485"/>
        <v>475</v>
      </c>
      <c r="AT361" s="847">
        <f t="shared" si="485"/>
        <v>481</v>
      </c>
      <c r="AU361" s="847">
        <f t="shared" si="485"/>
        <v>494</v>
      </c>
      <c r="AV361" s="661">
        <f t="shared" si="485"/>
        <v>494</v>
      </c>
      <c r="AW361" s="847">
        <f t="shared" si="485"/>
        <v>504</v>
      </c>
      <c r="AX361" s="847">
        <f t="shared" si="485"/>
        <v>512</v>
      </c>
      <c r="AY361" s="847">
        <f t="shared" si="485"/>
        <v>524</v>
      </c>
      <c r="AZ361" s="847">
        <f t="shared" si="485"/>
        <v>531</v>
      </c>
      <c r="BA361" s="661">
        <f t="shared" si="485"/>
        <v>531</v>
      </c>
      <c r="BB361" s="847">
        <f t="shared" si="485"/>
        <v>540</v>
      </c>
      <c r="BC361" s="847">
        <f t="shared" si="485"/>
        <v>544</v>
      </c>
      <c r="BD361" s="847">
        <f t="shared" si="485"/>
        <v>550</v>
      </c>
      <c r="BE361" s="847">
        <f t="shared" si="485"/>
        <v>559</v>
      </c>
      <c r="BF361" s="661">
        <f t="shared" si="485"/>
        <v>559</v>
      </c>
      <c r="BG361" s="847">
        <f t="shared" si="485"/>
        <v>562</v>
      </c>
      <c r="BH361" s="847">
        <f t="shared" si="485"/>
        <v>567</v>
      </c>
      <c r="BI361" s="847">
        <f t="shared" si="485"/>
        <v>568</v>
      </c>
      <c r="BJ361" s="847">
        <f t="shared" si="485"/>
        <v>572</v>
      </c>
      <c r="BK361" s="661">
        <f t="shared" si="485"/>
        <v>572</v>
      </c>
      <c r="BL361" s="847">
        <f t="shared" si="485"/>
        <v>578</v>
      </c>
      <c r="BM361" s="847">
        <f t="shared" si="485"/>
        <v>581</v>
      </c>
      <c r="BN361" s="847">
        <f t="shared" si="485"/>
        <v>583</v>
      </c>
      <c r="BO361" s="1431">
        <f t="shared" si="485"/>
        <v>590</v>
      </c>
      <c r="BP361" s="661">
        <f t="shared" si="485"/>
        <v>590</v>
      </c>
      <c r="BQ361" s="847">
        <f t="shared" si="485"/>
        <v>598</v>
      </c>
      <c r="BR361" s="847">
        <f t="shared" si="485"/>
        <v>605</v>
      </c>
      <c r="BS361" s="847">
        <f t="shared" si="485"/>
        <v>611</v>
      </c>
      <c r="BT361" s="847">
        <f t="shared" si="485"/>
        <v>618</v>
      </c>
      <c r="BU361" s="661">
        <f t="shared" ref="BU361:CB361" si="486">BU84+BU222</f>
        <v>618</v>
      </c>
      <c r="BV361" s="847">
        <f t="shared" si="486"/>
        <v>619</v>
      </c>
      <c r="BW361" s="847">
        <f t="shared" si="486"/>
        <v>626</v>
      </c>
      <c r="BX361" s="847">
        <f t="shared" si="486"/>
        <v>639</v>
      </c>
      <c r="BY361" s="847">
        <f t="shared" si="486"/>
        <v>648</v>
      </c>
      <c r="BZ361" s="661">
        <f t="shared" si="486"/>
        <v>648</v>
      </c>
      <c r="CA361" s="847">
        <f t="shared" si="486"/>
        <v>654</v>
      </c>
      <c r="CB361" s="847">
        <f t="shared" si="486"/>
        <v>661</v>
      </c>
      <c r="CC361" s="847">
        <f t="shared" si="461"/>
        <v>675</v>
      </c>
      <c r="CD361" s="847">
        <f t="shared" ref="CD361:CV361" si="487">CD84+CD222</f>
        <v>688</v>
      </c>
      <c r="CE361" s="661">
        <f t="shared" si="487"/>
        <v>688</v>
      </c>
      <c r="CF361" s="847">
        <f t="shared" si="487"/>
        <v>698</v>
      </c>
      <c r="CG361" s="847">
        <f t="shared" si="487"/>
        <v>712</v>
      </c>
      <c r="CH361" s="847">
        <f t="shared" si="487"/>
        <v>727</v>
      </c>
      <c r="CI361" s="847">
        <f t="shared" si="487"/>
        <v>742</v>
      </c>
      <c r="CJ361" s="236">
        <f t="shared" si="447"/>
        <v>742</v>
      </c>
      <c r="CK361" s="3510">
        <f t="shared" si="441"/>
        <v>754</v>
      </c>
      <c r="CL361" s="847">
        <f t="shared" si="487"/>
        <v>762</v>
      </c>
      <c r="CM361" s="847">
        <f t="shared" si="442"/>
        <v>772</v>
      </c>
      <c r="CN361" s="847">
        <f t="shared" si="442"/>
        <v>795</v>
      </c>
      <c r="CO361" s="661">
        <f t="shared" ref="CO361" si="488">CO84+CO222</f>
        <v>795</v>
      </c>
      <c r="CP361" s="3510"/>
      <c r="CQ361" s="847"/>
      <c r="CR361" s="847"/>
      <c r="CS361" s="847"/>
      <c r="CT361" s="661">
        <f>CT84+CT222</f>
        <v>0</v>
      </c>
      <c r="CU361" s="661">
        <f t="shared" si="487"/>
        <v>0</v>
      </c>
      <c r="CV361" s="661">
        <f t="shared" si="487"/>
        <v>0</v>
      </c>
      <c r="DB361" s="217"/>
    </row>
    <row r="362" spans="1:106" x14ac:dyDescent="0.2">
      <c r="A362" s="2308" t="s">
        <v>2124</v>
      </c>
      <c r="B362" s="651"/>
      <c r="C362" s="236"/>
      <c r="D362" s="234"/>
      <c r="E362" s="234"/>
      <c r="F362" s="234"/>
      <c r="G362" s="234"/>
      <c r="H362" s="661"/>
      <c r="I362" s="847"/>
      <c r="J362" s="847"/>
      <c r="K362" s="847"/>
      <c r="L362" s="847"/>
      <c r="M362" s="661"/>
      <c r="N362" s="847"/>
      <c r="O362" s="847"/>
      <c r="P362" s="847"/>
      <c r="Q362" s="847"/>
      <c r="R362" s="661"/>
      <c r="S362" s="847"/>
      <c r="T362" s="847"/>
      <c r="U362" s="847"/>
      <c r="V362" s="847"/>
      <c r="W362" s="661"/>
      <c r="X362" s="847"/>
      <c r="Y362" s="847"/>
      <c r="Z362" s="847"/>
      <c r="AA362" s="847"/>
      <c r="AB362" s="661"/>
      <c r="AC362" s="847"/>
      <c r="AD362" s="847"/>
      <c r="AE362" s="847"/>
      <c r="AF362" s="847"/>
      <c r="AG362" s="661"/>
      <c r="AH362" s="847"/>
      <c r="AI362" s="847"/>
      <c r="AJ362" s="847"/>
      <c r="AK362" s="847"/>
      <c r="AL362" s="661"/>
      <c r="AM362" s="847"/>
      <c r="AN362" s="847"/>
      <c r="AO362" s="847"/>
      <c r="AP362" s="847"/>
      <c r="AQ362" s="661"/>
      <c r="AR362" s="847"/>
      <c r="AS362" s="847"/>
      <c r="AT362" s="847"/>
      <c r="AU362" s="847"/>
      <c r="AV362" s="661"/>
      <c r="AW362" s="847"/>
      <c r="AX362" s="847"/>
      <c r="AY362" s="847"/>
      <c r="AZ362" s="847"/>
      <c r="BA362" s="661"/>
      <c r="BB362" s="847"/>
      <c r="BC362" s="847"/>
      <c r="BD362" s="847"/>
      <c r="BE362" s="847"/>
      <c r="BF362" s="661"/>
      <c r="BG362" s="847"/>
      <c r="BH362" s="847"/>
      <c r="BI362" s="847"/>
      <c r="BJ362" s="847"/>
      <c r="BK362" s="661"/>
      <c r="BL362" s="847"/>
      <c r="BM362" s="847"/>
      <c r="BN362" s="847"/>
      <c r="BO362" s="1431"/>
      <c r="BP362" s="661"/>
      <c r="BQ362" s="847"/>
      <c r="BR362" s="847"/>
      <c r="BS362" s="847"/>
      <c r="BT362" s="847"/>
      <c r="BU362" s="661"/>
      <c r="BV362" s="847"/>
      <c r="BW362" s="847">
        <f t="shared" ref="BW362:CV362" si="489">BW223</f>
        <v>59</v>
      </c>
      <c r="BX362" s="847">
        <f t="shared" si="489"/>
        <v>59</v>
      </c>
      <c r="BY362" s="847">
        <f t="shared" si="489"/>
        <v>59</v>
      </c>
      <c r="BZ362" s="661">
        <f t="shared" si="489"/>
        <v>59</v>
      </c>
      <c r="CA362" s="847">
        <f t="shared" si="489"/>
        <v>58</v>
      </c>
      <c r="CB362" s="847">
        <f t="shared" si="489"/>
        <v>58</v>
      </c>
      <c r="CC362" s="847">
        <f t="shared" si="489"/>
        <v>55</v>
      </c>
      <c r="CD362" s="847">
        <f t="shared" si="489"/>
        <v>55</v>
      </c>
      <c r="CE362" s="661">
        <f t="shared" si="489"/>
        <v>55</v>
      </c>
      <c r="CF362" s="847">
        <f t="shared" si="489"/>
        <v>52</v>
      </c>
      <c r="CG362" s="847">
        <f t="shared" si="489"/>
        <v>51</v>
      </c>
      <c r="CH362" s="847">
        <f t="shared" si="489"/>
        <v>51</v>
      </c>
      <c r="CI362" s="847">
        <f t="shared" si="489"/>
        <v>51</v>
      </c>
      <c r="CJ362" s="236">
        <f t="shared" si="447"/>
        <v>51</v>
      </c>
      <c r="CK362" s="3510">
        <f>CK223</f>
        <v>48</v>
      </c>
      <c r="CL362" s="847">
        <f t="shared" si="489"/>
        <v>47</v>
      </c>
      <c r="CM362" s="847">
        <f>CM223</f>
        <v>45</v>
      </c>
      <c r="CN362" s="847">
        <f>CN223</f>
        <v>45</v>
      </c>
      <c r="CO362" s="661">
        <f>CO223</f>
        <v>45</v>
      </c>
      <c r="CP362" s="3510"/>
      <c r="CQ362" s="847"/>
      <c r="CR362" s="847"/>
      <c r="CS362" s="847"/>
      <c r="CT362" s="661">
        <f>CT223</f>
        <v>0</v>
      </c>
      <c r="CU362" s="661">
        <f t="shared" si="489"/>
        <v>0</v>
      </c>
      <c r="CV362" s="661">
        <f t="shared" si="489"/>
        <v>0</v>
      </c>
      <c r="DB362" s="217"/>
    </row>
    <row r="363" spans="1:106" x14ac:dyDescent="0.2">
      <c r="A363" s="1434" t="s">
        <v>1388</v>
      </c>
      <c r="B363" s="651"/>
      <c r="C363" s="236"/>
      <c r="D363" s="234"/>
      <c r="E363" s="234"/>
      <c r="F363" s="234"/>
      <c r="G363" s="234"/>
      <c r="H363" s="661"/>
      <c r="I363" s="847">
        <f t="shared" ref="I363:AN363" si="490">I86+I224</f>
        <v>232</v>
      </c>
      <c r="J363" s="847">
        <f t="shared" si="490"/>
        <v>242</v>
      </c>
      <c r="K363" s="847">
        <f t="shared" si="490"/>
        <v>248</v>
      </c>
      <c r="L363" s="847">
        <f t="shared" si="490"/>
        <v>260</v>
      </c>
      <c r="M363" s="661">
        <f t="shared" si="490"/>
        <v>260</v>
      </c>
      <c r="N363" s="847">
        <f t="shared" si="490"/>
        <v>262</v>
      </c>
      <c r="O363" s="847">
        <f t="shared" si="490"/>
        <v>266</v>
      </c>
      <c r="P363" s="847">
        <f t="shared" si="490"/>
        <v>277</v>
      </c>
      <c r="Q363" s="847">
        <f t="shared" si="490"/>
        <v>292</v>
      </c>
      <c r="R363" s="661">
        <f t="shared" si="490"/>
        <v>292</v>
      </c>
      <c r="S363" s="847">
        <f t="shared" si="490"/>
        <v>298</v>
      </c>
      <c r="T363" s="847">
        <f t="shared" si="490"/>
        <v>306</v>
      </c>
      <c r="U363" s="847">
        <f t="shared" si="490"/>
        <v>320</v>
      </c>
      <c r="V363" s="847">
        <f t="shared" si="490"/>
        <v>319</v>
      </c>
      <c r="W363" s="661">
        <f t="shared" si="490"/>
        <v>319</v>
      </c>
      <c r="X363" s="847">
        <f t="shared" si="490"/>
        <v>317</v>
      </c>
      <c r="Y363" s="847">
        <f t="shared" si="490"/>
        <v>322</v>
      </c>
      <c r="Z363" s="847">
        <f t="shared" si="490"/>
        <v>325</v>
      </c>
      <c r="AA363" s="847">
        <f t="shared" si="490"/>
        <v>331</v>
      </c>
      <c r="AB363" s="661">
        <f t="shared" si="490"/>
        <v>331</v>
      </c>
      <c r="AC363" s="847">
        <f t="shared" si="490"/>
        <v>337</v>
      </c>
      <c r="AD363" s="847">
        <f t="shared" si="490"/>
        <v>342</v>
      </c>
      <c r="AE363" s="847">
        <f t="shared" si="490"/>
        <v>349</v>
      </c>
      <c r="AF363" s="847">
        <f t="shared" si="490"/>
        <v>355</v>
      </c>
      <c r="AG363" s="661">
        <f t="shared" si="490"/>
        <v>355</v>
      </c>
      <c r="AH363" s="847">
        <f t="shared" si="490"/>
        <v>361</v>
      </c>
      <c r="AI363" s="847">
        <f t="shared" si="490"/>
        <v>365</v>
      </c>
      <c r="AJ363" s="847">
        <f t="shared" si="490"/>
        <v>376</v>
      </c>
      <c r="AK363" s="847">
        <f t="shared" si="490"/>
        <v>374</v>
      </c>
      <c r="AL363" s="661">
        <f t="shared" si="490"/>
        <v>374</v>
      </c>
      <c r="AM363" s="847">
        <f t="shared" si="490"/>
        <v>384</v>
      </c>
      <c r="AN363" s="847">
        <f t="shared" si="490"/>
        <v>389</v>
      </c>
      <c r="AO363" s="847">
        <f t="shared" ref="AO363:BT363" si="491">AO86+AO224</f>
        <v>397</v>
      </c>
      <c r="AP363" s="847">
        <f t="shared" si="491"/>
        <v>407</v>
      </c>
      <c r="AQ363" s="661">
        <f t="shared" si="491"/>
        <v>407</v>
      </c>
      <c r="AR363" s="847">
        <f t="shared" si="491"/>
        <v>412</v>
      </c>
      <c r="AS363" s="847">
        <f t="shared" si="491"/>
        <v>418</v>
      </c>
      <c r="AT363" s="847">
        <f t="shared" si="491"/>
        <v>426</v>
      </c>
      <c r="AU363" s="847">
        <f t="shared" si="491"/>
        <v>438</v>
      </c>
      <c r="AV363" s="661">
        <f t="shared" si="491"/>
        <v>438</v>
      </c>
      <c r="AW363" s="847">
        <f t="shared" si="491"/>
        <v>438</v>
      </c>
      <c r="AX363" s="847">
        <f t="shared" si="491"/>
        <v>445</v>
      </c>
      <c r="AY363" s="847">
        <f t="shared" si="491"/>
        <v>459</v>
      </c>
      <c r="AZ363" s="847">
        <f t="shared" si="491"/>
        <v>466</v>
      </c>
      <c r="BA363" s="661">
        <f t="shared" si="491"/>
        <v>466</v>
      </c>
      <c r="BB363" s="847">
        <f t="shared" si="491"/>
        <v>469</v>
      </c>
      <c r="BC363" s="847">
        <f t="shared" si="491"/>
        <v>470</v>
      </c>
      <c r="BD363" s="847">
        <f t="shared" si="491"/>
        <v>474</v>
      </c>
      <c r="BE363" s="847">
        <f t="shared" si="491"/>
        <v>477</v>
      </c>
      <c r="BF363" s="661">
        <f t="shared" si="491"/>
        <v>477</v>
      </c>
      <c r="BG363" s="847">
        <f t="shared" si="491"/>
        <v>478</v>
      </c>
      <c r="BH363" s="847">
        <f t="shared" si="491"/>
        <v>477</v>
      </c>
      <c r="BI363" s="847">
        <f t="shared" si="491"/>
        <v>477</v>
      </c>
      <c r="BJ363" s="847">
        <f t="shared" si="491"/>
        <v>479</v>
      </c>
      <c r="BK363" s="661">
        <f t="shared" si="491"/>
        <v>479</v>
      </c>
      <c r="BL363" s="847">
        <f t="shared" si="491"/>
        <v>479</v>
      </c>
      <c r="BM363" s="847">
        <f t="shared" si="491"/>
        <v>483</v>
      </c>
      <c r="BN363" s="847">
        <f t="shared" si="491"/>
        <v>488</v>
      </c>
      <c r="BO363" s="1431">
        <f t="shared" si="491"/>
        <v>491</v>
      </c>
      <c r="BP363" s="661">
        <f t="shared" si="491"/>
        <v>491</v>
      </c>
      <c r="BQ363" s="847">
        <f t="shared" si="491"/>
        <v>496</v>
      </c>
      <c r="BR363" s="847">
        <f t="shared" si="491"/>
        <v>506</v>
      </c>
      <c r="BS363" s="847">
        <f t="shared" si="491"/>
        <v>516</v>
      </c>
      <c r="BT363" s="847">
        <f t="shared" si="491"/>
        <v>525</v>
      </c>
      <c r="BU363" s="661">
        <f t="shared" ref="BU363:CG363" si="492">BU86+BU224</f>
        <v>525</v>
      </c>
      <c r="BV363" s="847">
        <f t="shared" si="492"/>
        <v>526</v>
      </c>
      <c r="BW363" s="847">
        <f t="shared" si="492"/>
        <v>534</v>
      </c>
      <c r="BX363" s="847">
        <f t="shared" si="492"/>
        <v>552</v>
      </c>
      <c r="BY363" s="847">
        <f t="shared" si="492"/>
        <v>561</v>
      </c>
      <c r="BZ363" s="661">
        <f t="shared" si="492"/>
        <v>561</v>
      </c>
      <c r="CA363" s="847">
        <f t="shared" si="492"/>
        <v>567</v>
      </c>
      <c r="CB363" s="847">
        <f t="shared" si="492"/>
        <v>573</v>
      </c>
      <c r="CC363" s="847">
        <f t="shared" si="492"/>
        <v>573</v>
      </c>
      <c r="CD363" s="847">
        <f t="shared" si="492"/>
        <v>581</v>
      </c>
      <c r="CE363" s="661">
        <f t="shared" si="492"/>
        <v>581</v>
      </c>
      <c r="CF363" s="847">
        <f t="shared" si="492"/>
        <v>584</v>
      </c>
      <c r="CG363" s="847">
        <f t="shared" si="492"/>
        <v>592</v>
      </c>
      <c r="CH363" s="847">
        <f t="shared" ref="CH363:CV363" si="493">CH86+CH224</f>
        <v>603</v>
      </c>
      <c r="CI363" s="847">
        <f t="shared" si="493"/>
        <v>613</v>
      </c>
      <c r="CJ363" s="236">
        <f t="shared" si="447"/>
        <v>613</v>
      </c>
      <c r="CK363" s="3510">
        <f>CK86+CK224</f>
        <v>620</v>
      </c>
      <c r="CL363" s="847">
        <f t="shared" si="493"/>
        <v>625</v>
      </c>
      <c r="CM363" s="847">
        <f t="shared" ref="CM363:CO364" si="494">CM86+CM224</f>
        <v>630</v>
      </c>
      <c r="CN363" s="847">
        <f t="shared" si="494"/>
        <v>644</v>
      </c>
      <c r="CO363" s="661">
        <f t="shared" si="494"/>
        <v>644</v>
      </c>
      <c r="CP363" s="3510"/>
      <c r="CQ363" s="847"/>
      <c r="CR363" s="847"/>
      <c r="CS363" s="847"/>
      <c r="CT363" s="661">
        <f>CT86+CT224</f>
        <v>0</v>
      </c>
      <c r="CU363" s="661">
        <f t="shared" si="493"/>
        <v>0</v>
      </c>
      <c r="CV363" s="661">
        <f t="shared" si="493"/>
        <v>0</v>
      </c>
      <c r="DB363" s="217"/>
    </row>
    <row r="364" spans="1:106" x14ac:dyDescent="0.2">
      <c r="A364" s="1436" t="s">
        <v>1391</v>
      </c>
      <c r="B364" s="651"/>
      <c r="C364" s="236"/>
      <c r="D364" s="234"/>
      <c r="E364" s="234"/>
      <c r="F364" s="234"/>
      <c r="G364" s="234"/>
      <c r="H364" s="661"/>
      <c r="I364" s="847">
        <f t="shared" ref="I364:AN364" si="495">I87+I225</f>
        <v>55</v>
      </c>
      <c r="J364" s="847">
        <f t="shared" si="495"/>
        <v>58</v>
      </c>
      <c r="K364" s="847">
        <f t="shared" si="495"/>
        <v>63</v>
      </c>
      <c r="L364" s="847">
        <f t="shared" si="495"/>
        <v>65</v>
      </c>
      <c r="M364" s="661">
        <f t="shared" si="495"/>
        <v>65</v>
      </c>
      <c r="N364" s="847">
        <f t="shared" si="495"/>
        <v>65</v>
      </c>
      <c r="O364" s="847">
        <f t="shared" si="495"/>
        <v>67</v>
      </c>
      <c r="P364" s="847">
        <f t="shared" si="495"/>
        <v>69</v>
      </c>
      <c r="Q364" s="847">
        <f t="shared" si="495"/>
        <v>70</v>
      </c>
      <c r="R364" s="661">
        <f t="shared" si="495"/>
        <v>70</v>
      </c>
      <c r="S364" s="847">
        <f t="shared" si="495"/>
        <v>71</v>
      </c>
      <c r="T364" s="847">
        <f t="shared" si="495"/>
        <v>75</v>
      </c>
      <c r="U364" s="847">
        <f t="shared" si="495"/>
        <v>78</v>
      </c>
      <c r="V364" s="847">
        <f t="shared" si="495"/>
        <v>79</v>
      </c>
      <c r="W364" s="661">
        <f t="shared" si="495"/>
        <v>79</v>
      </c>
      <c r="X364" s="847">
        <f t="shared" si="495"/>
        <v>80</v>
      </c>
      <c r="Y364" s="847">
        <f t="shared" si="495"/>
        <v>78</v>
      </c>
      <c r="Z364" s="847">
        <f t="shared" si="495"/>
        <v>79</v>
      </c>
      <c r="AA364" s="847">
        <f t="shared" si="495"/>
        <v>81</v>
      </c>
      <c r="AB364" s="661">
        <f t="shared" si="495"/>
        <v>81</v>
      </c>
      <c r="AC364" s="847">
        <f t="shared" si="495"/>
        <v>83</v>
      </c>
      <c r="AD364" s="847">
        <f t="shared" si="495"/>
        <v>84</v>
      </c>
      <c r="AE364" s="847">
        <f t="shared" si="495"/>
        <v>85</v>
      </c>
      <c r="AF364" s="847">
        <f t="shared" si="495"/>
        <v>88</v>
      </c>
      <c r="AG364" s="661">
        <f t="shared" si="495"/>
        <v>88</v>
      </c>
      <c r="AH364" s="847">
        <f t="shared" si="495"/>
        <v>88</v>
      </c>
      <c r="AI364" s="847">
        <f t="shared" si="495"/>
        <v>89</v>
      </c>
      <c r="AJ364" s="847">
        <f t="shared" si="495"/>
        <v>88</v>
      </c>
      <c r="AK364" s="847">
        <f t="shared" si="495"/>
        <v>89</v>
      </c>
      <c r="AL364" s="661">
        <f t="shared" si="495"/>
        <v>89</v>
      </c>
      <c r="AM364" s="847">
        <f t="shared" si="495"/>
        <v>89</v>
      </c>
      <c r="AN364" s="847">
        <f t="shared" si="495"/>
        <v>94</v>
      </c>
      <c r="AO364" s="847">
        <f t="shared" ref="AO364:BT364" si="496">AO87+AO225</f>
        <v>100</v>
      </c>
      <c r="AP364" s="847">
        <f t="shared" si="496"/>
        <v>107</v>
      </c>
      <c r="AQ364" s="661">
        <f t="shared" si="496"/>
        <v>107</v>
      </c>
      <c r="AR364" s="847">
        <f t="shared" si="496"/>
        <v>111</v>
      </c>
      <c r="AS364" s="847">
        <f t="shared" si="496"/>
        <v>118</v>
      </c>
      <c r="AT364" s="847">
        <f t="shared" si="496"/>
        <v>120</v>
      </c>
      <c r="AU364" s="847">
        <f t="shared" si="496"/>
        <v>129</v>
      </c>
      <c r="AV364" s="661">
        <f t="shared" si="496"/>
        <v>129</v>
      </c>
      <c r="AW364" s="847">
        <f t="shared" si="496"/>
        <v>132</v>
      </c>
      <c r="AX364" s="847">
        <f t="shared" si="496"/>
        <v>139</v>
      </c>
      <c r="AY364" s="847">
        <f t="shared" si="496"/>
        <v>145</v>
      </c>
      <c r="AZ364" s="847">
        <f t="shared" si="496"/>
        <v>150</v>
      </c>
      <c r="BA364" s="661">
        <f t="shared" si="496"/>
        <v>150</v>
      </c>
      <c r="BB364" s="847">
        <f t="shared" si="496"/>
        <v>153</v>
      </c>
      <c r="BC364" s="847">
        <f t="shared" si="496"/>
        <v>156</v>
      </c>
      <c r="BD364" s="847">
        <f t="shared" si="496"/>
        <v>158</v>
      </c>
      <c r="BE364" s="847">
        <f t="shared" si="496"/>
        <v>159</v>
      </c>
      <c r="BF364" s="661">
        <f t="shared" si="496"/>
        <v>159</v>
      </c>
      <c r="BG364" s="847">
        <f t="shared" si="496"/>
        <v>160</v>
      </c>
      <c r="BH364" s="847">
        <f t="shared" si="496"/>
        <v>162</v>
      </c>
      <c r="BI364" s="847">
        <f t="shared" si="496"/>
        <v>164</v>
      </c>
      <c r="BJ364" s="847">
        <f t="shared" si="496"/>
        <v>172</v>
      </c>
      <c r="BK364" s="661">
        <f t="shared" si="496"/>
        <v>172</v>
      </c>
      <c r="BL364" s="847">
        <f t="shared" si="496"/>
        <v>174</v>
      </c>
      <c r="BM364" s="847">
        <f t="shared" si="496"/>
        <v>181</v>
      </c>
      <c r="BN364" s="847">
        <f t="shared" si="496"/>
        <v>185</v>
      </c>
      <c r="BO364" s="1431">
        <f t="shared" si="496"/>
        <v>188</v>
      </c>
      <c r="BP364" s="661">
        <f t="shared" si="496"/>
        <v>188</v>
      </c>
      <c r="BQ364" s="847">
        <f t="shared" si="496"/>
        <v>192</v>
      </c>
      <c r="BR364" s="847">
        <f t="shared" si="496"/>
        <v>198</v>
      </c>
      <c r="BS364" s="847">
        <f t="shared" si="496"/>
        <v>198</v>
      </c>
      <c r="BT364" s="847">
        <f t="shared" si="496"/>
        <v>202</v>
      </c>
      <c r="BU364" s="661">
        <f t="shared" ref="BU364:CG364" si="497">BU87+BU225</f>
        <v>202</v>
      </c>
      <c r="BV364" s="847">
        <f t="shared" si="497"/>
        <v>205</v>
      </c>
      <c r="BW364" s="847">
        <f t="shared" si="497"/>
        <v>213</v>
      </c>
      <c r="BX364" s="847">
        <f t="shared" si="497"/>
        <v>219</v>
      </c>
      <c r="BY364" s="847">
        <f t="shared" si="497"/>
        <v>229</v>
      </c>
      <c r="BZ364" s="661">
        <f t="shared" si="497"/>
        <v>229</v>
      </c>
      <c r="CA364" s="847">
        <f t="shared" si="497"/>
        <v>238</v>
      </c>
      <c r="CB364" s="847">
        <f t="shared" si="497"/>
        <v>245</v>
      </c>
      <c r="CC364" s="847">
        <f t="shared" si="497"/>
        <v>249</v>
      </c>
      <c r="CD364" s="847">
        <f t="shared" si="497"/>
        <v>255</v>
      </c>
      <c r="CE364" s="661">
        <f t="shared" si="497"/>
        <v>255</v>
      </c>
      <c r="CF364" s="847">
        <f t="shared" si="497"/>
        <v>264</v>
      </c>
      <c r="CG364" s="847">
        <f t="shared" si="497"/>
        <v>273</v>
      </c>
      <c r="CH364" s="847">
        <f t="shared" ref="CH364:CV364" si="498">CH87+CH225</f>
        <v>278</v>
      </c>
      <c r="CI364" s="847">
        <f t="shared" si="498"/>
        <v>286</v>
      </c>
      <c r="CJ364" s="236">
        <f t="shared" si="447"/>
        <v>286</v>
      </c>
      <c r="CK364" s="3510">
        <f>CK87+CK225</f>
        <v>297</v>
      </c>
      <c r="CL364" s="847">
        <f t="shared" si="498"/>
        <v>305</v>
      </c>
      <c r="CM364" s="847">
        <f t="shared" si="494"/>
        <v>314</v>
      </c>
      <c r="CN364" s="847">
        <f t="shared" si="494"/>
        <v>322</v>
      </c>
      <c r="CO364" s="661">
        <f t="shared" si="494"/>
        <v>322</v>
      </c>
      <c r="CP364" s="3510"/>
      <c r="CQ364" s="847"/>
      <c r="CR364" s="847"/>
      <c r="CS364" s="847"/>
      <c r="CT364" s="661">
        <f>CT87+CT225</f>
        <v>0</v>
      </c>
      <c r="CU364" s="661">
        <f t="shared" si="498"/>
        <v>0</v>
      </c>
      <c r="CV364" s="661">
        <f t="shared" si="498"/>
        <v>0</v>
      </c>
      <c r="DB364" s="217"/>
    </row>
    <row r="365" spans="1:106" x14ac:dyDescent="0.2">
      <c r="A365" s="1436" t="s">
        <v>1389</v>
      </c>
      <c r="B365" s="651"/>
      <c r="C365" s="236"/>
      <c r="D365" s="234"/>
      <c r="E365" s="234"/>
      <c r="F365" s="234"/>
      <c r="G365" s="234"/>
      <c r="H365" s="661"/>
      <c r="I365" s="847">
        <f t="shared" ref="I365:AN365" si="499">I85+I226</f>
        <v>395</v>
      </c>
      <c r="J365" s="847">
        <f t="shared" si="499"/>
        <v>412</v>
      </c>
      <c r="K365" s="847">
        <f t="shared" si="499"/>
        <v>419</v>
      </c>
      <c r="L365" s="847">
        <f t="shared" si="499"/>
        <v>478</v>
      </c>
      <c r="M365" s="661">
        <f t="shared" si="499"/>
        <v>478</v>
      </c>
      <c r="N365" s="847">
        <f t="shared" si="499"/>
        <v>485</v>
      </c>
      <c r="O365" s="847">
        <f t="shared" si="499"/>
        <v>492</v>
      </c>
      <c r="P365" s="847">
        <f t="shared" si="499"/>
        <v>498</v>
      </c>
      <c r="Q365" s="847">
        <f t="shared" si="499"/>
        <v>501</v>
      </c>
      <c r="R365" s="661">
        <f t="shared" si="499"/>
        <v>501</v>
      </c>
      <c r="S365" s="847">
        <f t="shared" si="499"/>
        <v>506</v>
      </c>
      <c r="T365" s="847">
        <f t="shared" si="499"/>
        <v>514</v>
      </c>
      <c r="U365" s="847">
        <f t="shared" si="499"/>
        <v>517</v>
      </c>
      <c r="V365" s="847">
        <f t="shared" si="499"/>
        <v>522</v>
      </c>
      <c r="W365" s="661">
        <f t="shared" si="499"/>
        <v>522</v>
      </c>
      <c r="X365" s="847">
        <f t="shared" si="499"/>
        <v>525</v>
      </c>
      <c r="Y365" s="847">
        <f t="shared" si="499"/>
        <v>528</v>
      </c>
      <c r="Z365" s="847">
        <f t="shared" si="499"/>
        <v>522</v>
      </c>
      <c r="AA365" s="847">
        <f t="shared" si="499"/>
        <v>521</v>
      </c>
      <c r="AB365" s="661">
        <f t="shared" si="499"/>
        <v>521</v>
      </c>
      <c r="AC365" s="847">
        <f t="shared" si="499"/>
        <v>515</v>
      </c>
      <c r="AD365" s="847">
        <f t="shared" si="499"/>
        <v>513</v>
      </c>
      <c r="AE365" s="847">
        <f t="shared" si="499"/>
        <v>519</v>
      </c>
      <c r="AF365" s="847">
        <f t="shared" si="499"/>
        <v>522</v>
      </c>
      <c r="AG365" s="661">
        <f t="shared" si="499"/>
        <v>522</v>
      </c>
      <c r="AH365" s="847">
        <f t="shared" si="499"/>
        <v>522</v>
      </c>
      <c r="AI365" s="847">
        <f t="shared" si="499"/>
        <v>519</v>
      </c>
      <c r="AJ365" s="847">
        <f t="shared" si="499"/>
        <v>518</v>
      </c>
      <c r="AK365" s="847">
        <f t="shared" si="499"/>
        <v>516</v>
      </c>
      <c r="AL365" s="661">
        <f t="shared" si="499"/>
        <v>516</v>
      </c>
      <c r="AM365" s="847">
        <f t="shared" si="499"/>
        <v>512</v>
      </c>
      <c r="AN365" s="847">
        <f t="shared" si="499"/>
        <v>518</v>
      </c>
      <c r="AO365" s="847">
        <f t="shared" ref="AO365:BT365" si="500">AO85+AO226</f>
        <v>526</v>
      </c>
      <c r="AP365" s="847">
        <f t="shared" si="500"/>
        <v>535</v>
      </c>
      <c r="AQ365" s="661">
        <f t="shared" si="500"/>
        <v>535</v>
      </c>
      <c r="AR365" s="847">
        <f t="shared" si="500"/>
        <v>533</v>
      </c>
      <c r="AS365" s="847">
        <f t="shared" si="500"/>
        <v>543</v>
      </c>
      <c r="AT365" s="847">
        <f t="shared" si="500"/>
        <v>554</v>
      </c>
      <c r="AU365" s="847">
        <f t="shared" si="500"/>
        <v>567</v>
      </c>
      <c r="AV365" s="661">
        <f t="shared" si="500"/>
        <v>567</v>
      </c>
      <c r="AW365" s="847">
        <f t="shared" si="500"/>
        <v>581</v>
      </c>
      <c r="AX365" s="847">
        <f t="shared" si="500"/>
        <v>596</v>
      </c>
      <c r="AY365" s="847">
        <f t="shared" si="500"/>
        <v>615</v>
      </c>
      <c r="AZ365" s="847">
        <f t="shared" si="500"/>
        <v>626</v>
      </c>
      <c r="BA365" s="661">
        <f t="shared" si="500"/>
        <v>626</v>
      </c>
      <c r="BB365" s="847">
        <f t="shared" si="500"/>
        <v>638</v>
      </c>
      <c r="BC365" s="847">
        <f t="shared" si="500"/>
        <v>647</v>
      </c>
      <c r="BD365" s="847">
        <f t="shared" si="500"/>
        <v>654</v>
      </c>
      <c r="BE365" s="847">
        <f t="shared" si="500"/>
        <v>655</v>
      </c>
      <c r="BF365" s="661">
        <f t="shared" si="500"/>
        <v>655</v>
      </c>
      <c r="BG365" s="847">
        <f t="shared" si="500"/>
        <v>655</v>
      </c>
      <c r="BH365" s="847">
        <f t="shared" si="500"/>
        <v>660</v>
      </c>
      <c r="BI365" s="847">
        <f t="shared" si="500"/>
        <v>671</v>
      </c>
      <c r="BJ365" s="847">
        <f t="shared" si="500"/>
        <v>677</v>
      </c>
      <c r="BK365" s="661">
        <f t="shared" si="500"/>
        <v>677</v>
      </c>
      <c r="BL365" s="847">
        <f t="shared" si="500"/>
        <v>680</v>
      </c>
      <c r="BM365" s="847">
        <f t="shared" si="500"/>
        <v>683</v>
      </c>
      <c r="BN365" s="847">
        <f t="shared" si="500"/>
        <v>687</v>
      </c>
      <c r="BO365" s="1431">
        <f t="shared" si="500"/>
        <v>688</v>
      </c>
      <c r="BP365" s="661">
        <f t="shared" si="500"/>
        <v>688</v>
      </c>
      <c r="BQ365" s="847">
        <f t="shared" si="500"/>
        <v>689</v>
      </c>
      <c r="BR365" s="847">
        <f t="shared" si="500"/>
        <v>700</v>
      </c>
      <c r="BS365" s="847">
        <f t="shared" si="500"/>
        <v>706</v>
      </c>
      <c r="BT365" s="847">
        <f t="shared" si="500"/>
        <v>703</v>
      </c>
      <c r="BU365" s="661">
        <f t="shared" ref="BU365:CG365" si="501">BU85+BU226</f>
        <v>703</v>
      </c>
      <c r="BV365" s="847">
        <f t="shared" si="501"/>
        <v>707</v>
      </c>
      <c r="BW365" s="847">
        <f t="shared" si="501"/>
        <v>710</v>
      </c>
      <c r="BX365" s="847">
        <f t="shared" si="501"/>
        <v>719</v>
      </c>
      <c r="BY365" s="847">
        <f t="shared" si="501"/>
        <v>715</v>
      </c>
      <c r="BZ365" s="661">
        <f t="shared" si="501"/>
        <v>715</v>
      </c>
      <c r="CA365" s="847">
        <f t="shared" si="501"/>
        <v>723</v>
      </c>
      <c r="CB365" s="847">
        <f t="shared" si="501"/>
        <v>739</v>
      </c>
      <c r="CC365" s="847">
        <f t="shared" si="501"/>
        <v>745</v>
      </c>
      <c r="CD365" s="847">
        <f t="shared" si="501"/>
        <v>758</v>
      </c>
      <c r="CE365" s="661">
        <f t="shared" si="501"/>
        <v>758</v>
      </c>
      <c r="CF365" s="847">
        <f t="shared" si="501"/>
        <v>768</v>
      </c>
      <c r="CG365" s="847">
        <f t="shared" si="501"/>
        <v>790</v>
      </c>
      <c r="CH365" s="847">
        <f t="shared" ref="CH365:CV365" si="502">CH85+CH226</f>
        <v>809</v>
      </c>
      <c r="CI365" s="847">
        <f t="shared" si="502"/>
        <v>824</v>
      </c>
      <c r="CJ365" s="236">
        <f t="shared" si="447"/>
        <v>824</v>
      </c>
      <c r="CK365" s="3510">
        <f>CK85+CK226</f>
        <v>838</v>
      </c>
      <c r="CL365" s="847">
        <f t="shared" si="502"/>
        <v>855</v>
      </c>
      <c r="CM365" s="847">
        <f>CM85+CM226</f>
        <v>874</v>
      </c>
      <c r="CN365" s="847">
        <f>CN85+CN226</f>
        <v>895</v>
      </c>
      <c r="CO365" s="661">
        <f>CO85+CO226</f>
        <v>895</v>
      </c>
      <c r="CP365" s="3510"/>
      <c r="CQ365" s="847"/>
      <c r="CR365" s="847"/>
      <c r="CS365" s="847"/>
      <c r="CT365" s="661">
        <f>CT85+CT226</f>
        <v>0</v>
      </c>
      <c r="CU365" s="661">
        <f t="shared" si="502"/>
        <v>0</v>
      </c>
      <c r="CV365" s="661">
        <f t="shared" si="502"/>
        <v>0</v>
      </c>
      <c r="DB365" s="217"/>
    </row>
    <row r="366" spans="1:106" x14ac:dyDescent="0.2">
      <c r="A366" s="1436" t="s">
        <v>1390</v>
      </c>
      <c r="B366" s="651"/>
      <c r="C366" s="236"/>
      <c r="D366" s="234"/>
      <c r="E366" s="234"/>
      <c r="F366" s="234"/>
      <c r="G366" s="234"/>
      <c r="H366" s="661"/>
      <c r="I366" s="847">
        <f t="shared" ref="I366:AN366" si="503">I88+I227</f>
        <v>52</v>
      </c>
      <c r="J366" s="847">
        <f t="shared" si="503"/>
        <v>56</v>
      </c>
      <c r="K366" s="847">
        <f t="shared" si="503"/>
        <v>61</v>
      </c>
      <c r="L366" s="847">
        <f t="shared" si="503"/>
        <v>66</v>
      </c>
      <c r="M366" s="661">
        <f t="shared" si="503"/>
        <v>66</v>
      </c>
      <c r="N366" s="847">
        <f t="shared" si="503"/>
        <v>69</v>
      </c>
      <c r="O366" s="847">
        <f t="shared" si="503"/>
        <v>76</v>
      </c>
      <c r="P366" s="847">
        <f t="shared" si="503"/>
        <v>76</v>
      </c>
      <c r="Q366" s="847">
        <f t="shared" si="503"/>
        <v>78</v>
      </c>
      <c r="R366" s="661">
        <f t="shared" si="503"/>
        <v>78</v>
      </c>
      <c r="S366" s="847">
        <f t="shared" si="503"/>
        <v>78</v>
      </c>
      <c r="T366" s="847">
        <f t="shared" si="503"/>
        <v>82</v>
      </c>
      <c r="U366" s="847">
        <f t="shared" si="503"/>
        <v>84</v>
      </c>
      <c r="V366" s="847">
        <f t="shared" si="503"/>
        <v>88</v>
      </c>
      <c r="W366" s="661">
        <f t="shared" si="503"/>
        <v>88</v>
      </c>
      <c r="X366" s="847">
        <f t="shared" si="503"/>
        <v>90</v>
      </c>
      <c r="Y366" s="847">
        <f t="shared" si="503"/>
        <v>93</v>
      </c>
      <c r="Z366" s="847">
        <f t="shared" si="503"/>
        <v>98</v>
      </c>
      <c r="AA366" s="847">
        <f t="shared" si="503"/>
        <v>102</v>
      </c>
      <c r="AB366" s="661">
        <f t="shared" si="503"/>
        <v>102</v>
      </c>
      <c r="AC366" s="847">
        <f t="shared" si="503"/>
        <v>103</v>
      </c>
      <c r="AD366" s="847">
        <f t="shared" si="503"/>
        <v>111</v>
      </c>
      <c r="AE366" s="847">
        <f t="shared" si="503"/>
        <v>111</v>
      </c>
      <c r="AF366" s="847">
        <f t="shared" si="503"/>
        <v>113</v>
      </c>
      <c r="AG366" s="661">
        <f t="shared" si="503"/>
        <v>113</v>
      </c>
      <c r="AH366" s="847">
        <f t="shared" si="503"/>
        <v>119</v>
      </c>
      <c r="AI366" s="847">
        <f t="shared" si="503"/>
        <v>122</v>
      </c>
      <c r="AJ366" s="847">
        <f t="shared" si="503"/>
        <v>126</v>
      </c>
      <c r="AK366" s="847">
        <f t="shared" si="503"/>
        <v>130</v>
      </c>
      <c r="AL366" s="661">
        <f t="shared" si="503"/>
        <v>130</v>
      </c>
      <c r="AM366" s="847">
        <f t="shared" si="503"/>
        <v>133</v>
      </c>
      <c r="AN366" s="847">
        <f t="shared" si="503"/>
        <v>139</v>
      </c>
      <c r="AO366" s="847">
        <f t="shared" ref="AO366:BT366" si="504">AO88+AO227</f>
        <v>143</v>
      </c>
      <c r="AP366" s="847">
        <f t="shared" si="504"/>
        <v>153</v>
      </c>
      <c r="AQ366" s="661">
        <f t="shared" si="504"/>
        <v>153</v>
      </c>
      <c r="AR366" s="847">
        <f t="shared" si="504"/>
        <v>163</v>
      </c>
      <c r="AS366" s="847">
        <f t="shared" si="504"/>
        <v>171</v>
      </c>
      <c r="AT366" s="847">
        <f t="shared" si="504"/>
        <v>173</v>
      </c>
      <c r="AU366" s="847">
        <f t="shared" si="504"/>
        <v>182</v>
      </c>
      <c r="AV366" s="661">
        <f t="shared" si="504"/>
        <v>182</v>
      </c>
      <c r="AW366" s="847">
        <f t="shared" si="504"/>
        <v>192</v>
      </c>
      <c r="AX366" s="847">
        <f t="shared" si="504"/>
        <v>201</v>
      </c>
      <c r="AY366" s="847">
        <f t="shared" si="504"/>
        <v>215</v>
      </c>
      <c r="AZ366" s="847">
        <f t="shared" si="504"/>
        <v>225</v>
      </c>
      <c r="BA366" s="661">
        <f t="shared" si="504"/>
        <v>225</v>
      </c>
      <c r="BB366" s="847">
        <f t="shared" si="504"/>
        <v>230</v>
      </c>
      <c r="BC366" s="847">
        <f t="shared" si="504"/>
        <v>236</v>
      </c>
      <c r="BD366" s="847">
        <f t="shared" si="504"/>
        <v>239</v>
      </c>
      <c r="BE366" s="847">
        <f t="shared" si="504"/>
        <v>241</v>
      </c>
      <c r="BF366" s="661">
        <f t="shared" si="504"/>
        <v>241</v>
      </c>
      <c r="BG366" s="847">
        <f t="shared" si="504"/>
        <v>241</v>
      </c>
      <c r="BH366" s="847">
        <f t="shared" si="504"/>
        <v>246</v>
      </c>
      <c r="BI366" s="847">
        <f t="shared" si="504"/>
        <v>251</v>
      </c>
      <c r="BJ366" s="847">
        <f t="shared" si="504"/>
        <v>253</v>
      </c>
      <c r="BK366" s="661">
        <f t="shared" si="504"/>
        <v>253</v>
      </c>
      <c r="BL366" s="847">
        <f t="shared" si="504"/>
        <v>256</v>
      </c>
      <c r="BM366" s="847">
        <f t="shared" si="504"/>
        <v>261</v>
      </c>
      <c r="BN366" s="847">
        <f t="shared" si="504"/>
        <v>268</v>
      </c>
      <c r="BO366" s="1431">
        <f t="shared" si="504"/>
        <v>270</v>
      </c>
      <c r="BP366" s="661">
        <f t="shared" si="504"/>
        <v>270</v>
      </c>
      <c r="BQ366" s="847">
        <f t="shared" si="504"/>
        <v>270</v>
      </c>
      <c r="BR366" s="847">
        <f t="shared" si="504"/>
        <v>274</v>
      </c>
      <c r="BS366" s="847">
        <f t="shared" si="504"/>
        <v>276</v>
      </c>
      <c r="BT366" s="847">
        <f t="shared" si="504"/>
        <v>279</v>
      </c>
      <c r="BU366" s="661">
        <f t="shared" ref="BU366:CG366" si="505">BU88+BU227</f>
        <v>279</v>
      </c>
      <c r="BV366" s="847">
        <f t="shared" si="505"/>
        <v>283</v>
      </c>
      <c r="BW366" s="847">
        <f t="shared" si="505"/>
        <v>284</v>
      </c>
      <c r="BX366" s="847">
        <f t="shared" si="505"/>
        <v>284</v>
      </c>
      <c r="BY366" s="847">
        <f t="shared" si="505"/>
        <v>288</v>
      </c>
      <c r="BZ366" s="661">
        <f t="shared" si="505"/>
        <v>288</v>
      </c>
      <c r="CA366" s="847">
        <f t="shared" si="505"/>
        <v>293</v>
      </c>
      <c r="CB366" s="847">
        <f t="shared" si="505"/>
        <v>298</v>
      </c>
      <c r="CC366" s="847">
        <f t="shared" si="505"/>
        <v>303</v>
      </c>
      <c r="CD366" s="847">
        <f t="shared" si="505"/>
        <v>306</v>
      </c>
      <c r="CE366" s="661">
        <f t="shared" si="505"/>
        <v>306</v>
      </c>
      <c r="CF366" s="847">
        <f t="shared" si="505"/>
        <v>312</v>
      </c>
      <c r="CG366" s="847">
        <f t="shared" si="505"/>
        <v>318</v>
      </c>
      <c r="CH366" s="847">
        <f t="shared" ref="CH366:CV366" si="506">CH88+CH227</f>
        <v>322</v>
      </c>
      <c r="CI366" s="847">
        <f t="shared" si="506"/>
        <v>329</v>
      </c>
      <c r="CJ366" s="236">
        <f t="shared" si="447"/>
        <v>329</v>
      </c>
      <c r="CK366" s="3510">
        <f>CK88+CK227</f>
        <v>333</v>
      </c>
      <c r="CL366" s="847">
        <f t="shared" si="506"/>
        <v>343</v>
      </c>
      <c r="CM366" s="847">
        <f t="shared" ref="CM366:CO367" si="507">CM88+CM227</f>
        <v>352</v>
      </c>
      <c r="CN366" s="847">
        <f t="shared" si="507"/>
        <v>358</v>
      </c>
      <c r="CO366" s="661">
        <f t="shared" si="507"/>
        <v>358</v>
      </c>
      <c r="CP366" s="3510"/>
      <c r="CQ366" s="847"/>
      <c r="CR366" s="847"/>
      <c r="CS366" s="847"/>
      <c r="CT366" s="661">
        <f>CT88+CT227</f>
        <v>0</v>
      </c>
      <c r="CU366" s="661">
        <f t="shared" si="506"/>
        <v>0</v>
      </c>
      <c r="CV366" s="661">
        <f t="shared" si="506"/>
        <v>0</v>
      </c>
      <c r="DB366" s="217"/>
    </row>
    <row r="367" spans="1:106" x14ac:dyDescent="0.2">
      <c r="A367" s="1436" t="s">
        <v>650</v>
      </c>
      <c r="B367" s="651"/>
      <c r="C367" s="236"/>
      <c r="D367" s="234"/>
      <c r="E367" s="234"/>
      <c r="F367" s="234"/>
      <c r="G367" s="234"/>
      <c r="H367" s="661"/>
      <c r="I367" s="847">
        <f t="shared" ref="I367:AN367" si="508">I89+I228</f>
        <v>57</v>
      </c>
      <c r="J367" s="847">
        <f t="shared" si="508"/>
        <v>65</v>
      </c>
      <c r="K367" s="847">
        <f t="shared" si="508"/>
        <v>124</v>
      </c>
      <c r="L367" s="847">
        <f t="shared" si="508"/>
        <v>128</v>
      </c>
      <c r="M367" s="661">
        <f t="shared" si="508"/>
        <v>128</v>
      </c>
      <c r="N367" s="847">
        <f t="shared" si="508"/>
        <v>132</v>
      </c>
      <c r="O367" s="847">
        <f t="shared" si="508"/>
        <v>134</v>
      </c>
      <c r="P367" s="847">
        <f t="shared" si="508"/>
        <v>139</v>
      </c>
      <c r="Q367" s="847">
        <f t="shared" si="508"/>
        <v>142</v>
      </c>
      <c r="R367" s="661">
        <f t="shared" si="508"/>
        <v>142</v>
      </c>
      <c r="S367" s="847">
        <f t="shared" si="508"/>
        <v>146</v>
      </c>
      <c r="T367" s="847">
        <f t="shared" si="508"/>
        <v>167</v>
      </c>
      <c r="U367" s="847">
        <f t="shared" si="508"/>
        <v>176</v>
      </c>
      <c r="V367" s="847">
        <f t="shared" si="508"/>
        <v>188</v>
      </c>
      <c r="W367" s="661">
        <f t="shared" si="508"/>
        <v>188</v>
      </c>
      <c r="X367" s="847">
        <f t="shared" si="508"/>
        <v>198</v>
      </c>
      <c r="Y367" s="847">
        <f t="shared" si="508"/>
        <v>202</v>
      </c>
      <c r="Z367" s="847">
        <f t="shared" si="508"/>
        <v>199</v>
      </c>
      <c r="AA367" s="847">
        <f t="shared" si="508"/>
        <v>0</v>
      </c>
      <c r="AB367" s="661">
        <f t="shared" si="508"/>
        <v>0</v>
      </c>
      <c r="AC367" s="847">
        <f t="shared" si="508"/>
        <v>0</v>
      </c>
      <c r="AD367" s="847">
        <f t="shared" si="508"/>
        <v>0</v>
      </c>
      <c r="AE367" s="847">
        <f t="shared" si="508"/>
        <v>0</v>
      </c>
      <c r="AF367" s="847">
        <f t="shared" si="508"/>
        <v>0</v>
      </c>
      <c r="AG367" s="661">
        <f t="shared" si="508"/>
        <v>0</v>
      </c>
      <c r="AH367" s="847">
        <f t="shared" si="508"/>
        <v>0</v>
      </c>
      <c r="AI367" s="847">
        <f t="shared" si="508"/>
        <v>0</v>
      </c>
      <c r="AJ367" s="847">
        <f t="shared" si="508"/>
        <v>0</v>
      </c>
      <c r="AK367" s="847">
        <f t="shared" si="508"/>
        <v>0</v>
      </c>
      <c r="AL367" s="661">
        <f t="shared" si="508"/>
        <v>0</v>
      </c>
      <c r="AM367" s="847">
        <f t="shared" si="508"/>
        <v>0</v>
      </c>
      <c r="AN367" s="847">
        <f t="shared" si="508"/>
        <v>0</v>
      </c>
      <c r="AO367" s="847">
        <f t="shared" ref="AO367:BT367" si="509">AO89+AO228</f>
        <v>0</v>
      </c>
      <c r="AP367" s="847">
        <f t="shared" si="509"/>
        <v>0</v>
      </c>
      <c r="AQ367" s="661">
        <f t="shared" si="509"/>
        <v>0</v>
      </c>
      <c r="AR367" s="847">
        <f t="shared" si="509"/>
        <v>0</v>
      </c>
      <c r="AS367" s="847">
        <f t="shared" si="509"/>
        <v>0</v>
      </c>
      <c r="AT367" s="847">
        <f t="shared" si="509"/>
        <v>0</v>
      </c>
      <c r="AU367" s="847">
        <f t="shared" si="509"/>
        <v>0</v>
      </c>
      <c r="AV367" s="661">
        <f t="shared" si="509"/>
        <v>0</v>
      </c>
      <c r="AW367" s="847">
        <f t="shared" si="509"/>
        <v>0</v>
      </c>
      <c r="AX367" s="847">
        <f t="shared" si="509"/>
        <v>0</v>
      </c>
      <c r="AY367" s="847">
        <f t="shared" si="509"/>
        <v>0</v>
      </c>
      <c r="AZ367" s="847">
        <f t="shared" si="509"/>
        <v>0</v>
      </c>
      <c r="BA367" s="661">
        <f t="shared" si="509"/>
        <v>0</v>
      </c>
      <c r="BB367" s="847">
        <f t="shared" si="509"/>
        <v>0</v>
      </c>
      <c r="BC367" s="847">
        <f t="shared" si="509"/>
        <v>0</v>
      </c>
      <c r="BD367" s="847">
        <f t="shared" si="509"/>
        <v>0</v>
      </c>
      <c r="BE367" s="847">
        <f t="shared" si="509"/>
        <v>0</v>
      </c>
      <c r="BF367" s="661">
        <f t="shared" si="509"/>
        <v>0</v>
      </c>
      <c r="BG367" s="847">
        <f t="shared" si="509"/>
        <v>0</v>
      </c>
      <c r="BH367" s="847">
        <f t="shared" si="509"/>
        <v>0</v>
      </c>
      <c r="BI367" s="847">
        <f t="shared" si="509"/>
        <v>0</v>
      </c>
      <c r="BJ367" s="847">
        <f t="shared" si="509"/>
        <v>0</v>
      </c>
      <c r="BK367" s="661">
        <f t="shared" si="509"/>
        <v>0</v>
      </c>
      <c r="BL367" s="847">
        <f t="shared" si="509"/>
        <v>0</v>
      </c>
      <c r="BM367" s="847">
        <f t="shared" si="509"/>
        <v>0</v>
      </c>
      <c r="BN367" s="847">
        <f t="shared" si="509"/>
        <v>0</v>
      </c>
      <c r="BO367" s="1431">
        <f t="shared" si="509"/>
        <v>0</v>
      </c>
      <c r="BP367" s="661">
        <f t="shared" si="509"/>
        <v>0</v>
      </c>
      <c r="BQ367" s="847">
        <f t="shared" si="509"/>
        <v>0</v>
      </c>
      <c r="BR367" s="847">
        <f t="shared" si="509"/>
        <v>0</v>
      </c>
      <c r="BS367" s="847">
        <f t="shared" si="509"/>
        <v>0</v>
      </c>
      <c r="BT367" s="847">
        <f t="shared" si="509"/>
        <v>0</v>
      </c>
      <c r="BU367" s="661">
        <f t="shared" ref="BU367:CG367" si="510">BU89+BU228</f>
        <v>0</v>
      </c>
      <c r="BV367" s="847">
        <f t="shared" si="510"/>
        <v>0</v>
      </c>
      <c r="BW367" s="847">
        <f t="shared" si="510"/>
        <v>0</v>
      </c>
      <c r="BX367" s="847">
        <f t="shared" si="510"/>
        <v>0</v>
      </c>
      <c r="BY367" s="847">
        <f t="shared" si="510"/>
        <v>0</v>
      </c>
      <c r="BZ367" s="661">
        <f t="shared" si="510"/>
        <v>0</v>
      </c>
      <c r="CA367" s="847">
        <f t="shared" si="510"/>
        <v>0</v>
      </c>
      <c r="CB367" s="847">
        <f t="shared" si="510"/>
        <v>0</v>
      </c>
      <c r="CC367" s="847">
        <f t="shared" si="510"/>
        <v>0</v>
      </c>
      <c r="CD367" s="847">
        <f t="shared" si="510"/>
        <v>0</v>
      </c>
      <c r="CE367" s="661">
        <f t="shared" si="510"/>
        <v>0</v>
      </c>
      <c r="CF367" s="847">
        <f t="shared" si="510"/>
        <v>0</v>
      </c>
      <c r="CG367" s="847">
        <f t="shared" si="510"/>
        <v>0</v>
      </c>
      <c r="CH367" s="847">
        <f t="shared" ref="CH367:CV367" si="511">CH89+CH228</f>
        <v>0</v>
      </c>
      <c r="CI367" s="847">
        <f t="shared" si="511"/>
        <v>0</v>
      </c>
      <c r="CJ367" s="236">
        <f t="shared" si="447"/>
        <v>0</v>
      </c>
      <c r="CK367" s="3510">
        <f>CK89+CK228</f>
        <v>0</v>
      </c>
      <c r="CL367" s="847">
        <f t="shared" si="511"/>
        <v>0</v>
      </c>
      <c r="CM367" s="847">
        <f t="shared" si="507"/>
        <v>0</v>
      </c>
      <c r="CN367" s="847">
        <f t="shared" si="507"/>
        <v>0</v>
      </c>
      <c r="CO367" s="661">
        <f t="shared" si="507"/>
        <v>0</v>
      </c>
      <c r="CP367" s="3510"/>
      <c r="CQ367" s="847"/>
      <c r="CR367" s="847"/>
      <c r="CS367" s="847"/>
      <c r="CT367" s="661">
        <f>CT89+CT228</f>
        <v>0</v>
      </c>
      <c r="CU367" s="661">
        <f t="shared" si="511"/>
        <v>0</v>
      </c>
      <c r="CV367" s="661">
        <f t="shared" si="511"/>
        <v>0</v>
      </c>
      <c r="DB367" s="217"/>
    </row>
    <row r="368" spans="1:106" x14ac:dyDescent="0.2">
      <c r="A368" s="1436" t="s">
        <v>2285</v>
      </c>
      <c r="B368" s="651"/>
      <c r="C368" s="236"/>
      <c r="D368" s="234"/>
      <c r="E368" s="234"/>
      <c r="F368" s="234"/>
      <c r="G368" s="234"/>
      <c r="H368" s="661"/>
      <c r="I368" s="847">
        <f t="shared" ref="I368:AN368" si="512">I90</f>
        <v>0</v>
      </c>
      <c r="J368" s="847">
        <f t="shared" si="512"/>
        <v>0</v>
      </c>
      <c r="K368" s="847">
        <f t="shared" si="512"/>
        <v>0</v>
      </c>
      <c r="L368" s="847">
        <f t="shared" si="512"/>
        <v>0</v>
      </c>
      <c r="M368" s="661">
        <f t="shared" si="512"/>
        <v>0</v>
      </c>
      <c r="N368" s="847">
        <f t="shared" si="512"/>
        <v>0</v>
      </c>
      <c r="O368" s="847">
        <f t="shared" si="512"/>
        <v>0</v>
      </c>
      <c r="P368" s="847">
        <f t="shared" si="512"/>
        <v>0</v>
      </c>
      <c r="Q368" s="847">
        <f t="shared" si="512"/>
        <v>0</v>
      </c>
      <c r="R368" s="661">
        <f t="shared" si="512"/>
        <v>0</v>
      </c>
      <c r="S368" s="847">
        <f t="shared" si="512"/>
        <v>0</v>
      </c>
      <c r="T368" s="847">
        <f t="shared" si="512"/>
        <v>0</v>
      </c>
      <c r="U368" s="847">
        <f t="shared" si="512"/>
        <v>0</v>
      </c>
      <c r="V368" s="847">
        <f t="shared" si="512"/>
        <v>0</v>
      </c>
      <c r="W368" s="661">
        <f t="shared" si="512"/>
        <v>0</v>
      </c>
      <c r="X368" s="847">
        <f t="shared" si="512"/>
        <v>0</v>
      </c>
      <c r="Y368" s="847">
        <f t="shared" si="512"/>
        <v>0</v>
      </c>
      <c r="Z368" s="847">
        <f t="shared" si="512"/>
        <v>0</v>
      </c>
      <c r="AA368" s="847">
        <f t="shared" si="512"/>
        <v>0</v>
      </c>
      <c r="AB368" s="661">
        <f t="shared" si="512"/>
        <v>0</v>
      </c>
      <c r="AC368" s="847">
        <f t="shared" si="512"/>
        <v>0</v>
      </c>
      <c r="AD368" s="847">
        <f t="shared" si="512"/>
        <v>0</v>
      </c>
      <c r="AE368" s="847">
        <f t="shared" si="512"/>
        <v>0</v>
      </c>
      <c r="AF368" s="847">
        <f t="shared" si="512"/>
        <v>0</v>
      </c>
      <c r="AG368" s="661">
        <f t="shared" si="512"/>
        <v>0</v>
      </c>
      <c r="AH368" s="847">
        <f t="shared" si="512"/>
        <v>0</v>
      </c>
      <c r="AI368" s="847">
        <f t="shared" si="512"/>
        <v>0</v>
      </c>
      <c r="AJ368" s="847">
        <f t="shared" si="512"/>
        <v>0</v>
      </c>
      <c r="AK368" s="847">
        <f t="shared" si="512"/>
        <v>0</v>
      </c>
      <c r="AL368" s="661">
        <f t="shared" si="512"/>
        <v>0</v>
      </c>
      <c r="AM368" s="847">
        <f t="shared" si="512"/>
        <v>0</v>
      </c>
      <c r="AN368" s="847">
        <f t="shared" si="512"/>
        <v>0</v>
      </c>
      <c r="AO368" s="847">
        <f t="shared" ref="AO368:BT368" si="513">AO90</f>
        <v>0</v>
      </c>
      <c r="AP368" s="847">
        <f t="shared" si="513"/>
        <v>0</v>
      </c>
      <c r="AQ368" s="661">
        <f t="shared" si="513"/>
        <v>0</v>
      </c>
      <c r="AR368" s="847">
        <f t="shared" si="513"/>
        <v>0</v>
      </c>
      <c r="AS368" s="847">
        <f t="shared" si="513"/>
        <v>0</v>
      </c>
      <c r="AT368" s="847">
        <f t="shared" si="513"/>
        <v>0</v>
      </c>
      <c r="AU368" s="847">
        <f t="shared" si="513"/>
        <v>0</v>
      </c>
      <c r="AV368" s="661">
        <f t="shared" si="513"/>
        <v>0</v>
      </c>
      <c r="AW368" s="847">
        <f t="shared" si="513"/>
        <v>0</v>
      </c>
      <c r="AX368" s="847">
        <f t="shared" si="513"/>
        <v>0</v>
      </c>
      <c r="AY368" s="847">
        <f t="shared" si="513"/>
        <v>0</v>
      </c>
      <c r="AZ368" s="847">
        <f t="shared" si="513"/>
        <v>0</v>
      </c>
      <c r="BA368" s="661">
        <f t="shared" si="513"/>
        <v>0</v>
      </c>
      <c r="BB368" s="847">
        <f t="shared" si="513"/>
        <v>0</v>
      </c>
      <c r="BC368" s="847">
        <f t="shared" si="513"/>
        <v>0</v>
      </c>
      <c r="BD368" s="847">
        <f t="shared" si="513"/>
        <v>0</v>
      </c>
      <c r="BE368" s="847">
        <f t="shared" si="513"/>
        <v>0</v>
      </c>
      <c r="BF368" s="661">
        <f t="shared" si="513"/>
        <v>0</v>
      </c>
      <c r="BG368" s="847">
        <f t="shared" si="513"/>
        <v>0</v>
      </c>
      <c r="BH368" s="847">
        <f t="shared" si="513"/>
        <v>0</v>
      </c>
      <c r="BI368" s="847">
        <f t="shared" si="513"/>
        <v>0</v>
      </c>
      <c r="BJ368" s="847">
        <f t="shared" si="513"/>
        <v>0</v>
      </c>
      <c r="BK368" s="661">
        <f t="shared" si="513"/>
        <v>0</v>
      </c>
      <c r="BL368" s="847">
        <f t="shared" si="513"/>
        <v>0</v>
      </c>
      <c r="BM368" s="847">
        <f t="shared" si="513"/>
        <v>0</v>
      </c>
      <c r="BN368" s="847">
        <f t="shared" si="513"/>
        <v>0</v>
      </c>
      <c r="BO368" s="1431">
        <f t="shared" si="513"/>
        <v>0</v>
      </c>
      <c r="BP368" s="661">
        <f t="shared" si="513"/>
        <v>0</v>
      </c>
      <c r="BQ368" s="847">
        <f t="shared" si="513"/>
        <v>0</v>
      </c>
      <c r="BR368" s="847">
        <f t="shared" si="513"/>
        <v>0</v>
      </c>
      <c r="BS368" s="847">
        <f t="shared" si="513"/>
        <v>0</v>
      </c>
      <c r="BT368" s="847">
        <f t="shared" si="513"/>
        <v>0</v>
      </c>
      <c r="BU368" s="661">
        <f t="shared" ref="BU368:CG368" si="514">BU90</f>
        <v>0</v>
      </c>
      <c r="BV368" s="847">
        <f t="shared" si="514"/>
        <v>0</v>
      </c>
      <c r="BW368" s="847">
        <f t="shared" si="514"/>
        <v>0</v>
      </c>
      <c r="BX368" s="847">
        <f t="shared" si="514"/>
        <v>0</v>
      </c>
      <c r="BY368" s="847">
        <f t="shared" si="514"/>
        <v>0</v>
      </c>
      <c r="BZ368" s="661">
        <f t="shared" si="514"/>
        <v>0</v>
      </c>
      <c r="CA368" s="847">
        <f t="shared" si="514"/>
        <v>0</v>
      </c>
      <c r="CB368" s="847">
        <f t="shared" si="514"/>
        <v>10</v>
      </c>
      <c r="CC368" s="847">
        <f t="shared" si="514"/>
        <v>11</v>
      </c>
      <c r="CD368" s="847">
        <f t="shared" si="514"/>
        <v>10</v>
      </c>
      <c r="CE368" s="661">
        <f t="shared" si="514"/>
        <v>10</v>
      </c>
      <c r="CF368" s="847">
        <f t="shared" si="514"/>
        <v>12</v>
      </c>
      <c r="CG368" s="847">
        <f t="shared" si="514"/>
        <v>12</v>
      </c>
      <c r="CH368" s="847">
        <f t="shared" ref="CH368:CV368" si="515">CH90</f>
        <v>12</v>
      </c>
      <c r="CI368" s="847">
        <f t="shared" si="515"/>
        <v>12</v>
      </c>
      <c r="CJ368" s="236">
        <f t="shared" si="447"/>
        <v>12</v>
      </c>
      <c r="CK368" s="3510">
        <f>CK90</f>
        <v>15</v>
      </c>
      <c r="CL368" s="847">
        <f t="shared" si="515"/>
        <v>18</v>
      </c>
      <c r="CM368" s="847">
        <f>CM90</f>
        <v>22</v>
      </c>
      <c r="CN368" s="847">
        <f>CN90</f>
        <v>24</v>
      </c>
      <c r="CO368" s="661">
        <f>CO90</f>
        <v>24</v>
      </c>
      <c r="CP368" s="3510"/>
      <c r="CQ368" s="847"/>
      <c r="CR368" s="847"/>
      <c r="CS368" s="847"/>
      <c r="CT368" s="661">
        <f>CT90</f>
        <v>0</v>
      </c>
      <c r="CU368" s="661">
        <f t="shared" si="515"/>
        <v>0</v>
      </c>
      <c r="CV368" s="661">
        <f t="shared" si="515"/>
        <v>0</v>
      </c>
      <c r="DB368" s="217"/>
    </row>
    <row r="369" spans="1:108" s="2434" customFormat="1" x14ac:dyDescent="0.2">
      <c r="A369" s="2288" t="s">
        <v>384</v>
      </c>
      <c r="B369" s="2400"/>
      <c r="C369" s="2401"/>
      <c r="D369" s="2402"/>
      <c r="E369" s="2402"/>
      <c r="F369" s="2402"/>
      <c r="G369" s="2402"/>
      <c r="H369" s="2293"/>
      <c r="I369" s="2349">
        <f t="shared" ref="I369:AN369" si="516">I91+I229</f>
        <v>0</v>
      </c>
      <c r="J369" s="2349">
        <f t="shared" si="516"/>
        <v>0</v>
      </c>
      <c r="K369" s="2349">
        <f t="shared" si="516"/>
        <v>0</v>
      </c>
      <c r="L369" s="2349">
        <f t="shared" si="516"/>
        <v>1</v>
      </c>
      <c r="M369" s="2293">
        <f t="shared" si="516"/>
        <v>1</v>
      </c>
      <c r="N369" s="2349">
        <f t="shared" si="516"/>
        <v>1</v>
      </c>
      <c r="O369" s="2349">
        <f t="shared" si="516"/>
        <v>1</v>
      </c>
      <c r="P369" s="2349">
        <f t="shared" si="516"/>
        <v>1</v>
      </c>
      <c r="Q369" s="2349">
        <f t="shared" si="516"/>
        <v>1</v>
      </c>
      <c r="R369" s="2293">
        <f t="shared" si="516"/>
        <v>1</v>
      </c>
      <c r="S369" s="2349">
        <f t="shared" si="516"/>
        <v>1</v>
      </c>
      <c r="T369" s="2349">
        <f t="shared" si="516"/>
        <v>1</v>
      </c>
      <c r="U369" s="2349">
        <f t="shared" si="516"/>
        <v>1</v>
      </c>
      <c r="V369" s="2349">
        <f t="shared" si="516"/>
        <v>1</v>
      </c>
      <c r="W369" s="2293">
        <f t="shared" si="516"/>
        <v>1</v>
      </c>
      <c r="X369" s="2349">
        <f t="shared" si="516"/>
        <v>1</v>
      </c>
      <c r="Y369" s="2349">
        <f t="shared" si="516"/>
        <v>1</v>
      </c>
      <c r="Z369" s="2349">
        <f t="shared" si="516"/>
        <v>1</v>
      </c>
      <c r="AA369" s="2349">
        <f t="shared" si="516"/>
        <v>1</v>
      </c>
      <c r="AB369" s="2293">
        <f t="shared" si="516"/>
        <v>1</v>
      </c>
      <c r="AC369" s="2349">
        <f t="shared" si="516"/>
        <v>1</v>
      </c>
      <c r="AD369" s="2349">
        <f t="shared" si="516"/>
        <v>1</v>
      </c>
      <c r="AE369" s="2349">
        <f t="shared" si="516"/>
        <v>1</v>
      </c>
      <c r="AF369" s="2349">
        <f t="shared" si="516"/>
        <v>1</v>
      </c>
      <c r="AG369" s="2293">
        <f t="shared" si="516"/>
        <v>1</v>
      </c>
      <c r="AH369" s="2349">
        <f t="shared" si="516"/>
        <v>1</v>
      </c>
      <c r="AI369" s="2349">
        <f t="shared" si="516"/>
        <v>1</v>
      </c>
      <c r="AJ369" s="2349">
        <f t="shared" si="516"/>
        <v>1</v>
      </c>
      <c r="AK369" s="2349">
        <f t="shared" si="516"/>
        <v>1</v>
      </c>
      <c r="AL369" s="2293">
        <f t="shared" si="516"/>
        <v>1</v>
      </c>
      <c r="AM369" s="2349">
        <f t="shared" si="516"/>
        <v>1</v>
      </c>
      <c r="AN369" s="2349">
        <f t="shared" si="516"/>
        <v>1</v>
      </c>
      <c r="AO369" s="2349">
        <f t="shared" ref="AO369:BT369" si="517">AO91+AO229</f>
        <v>1</v>
      </c>
      <c r="AP369" s="2349">
        <f t="shared" si="517"/>
        <v>1</v>
      </c>
      <c r="AQ369" s="2293">
        <f t="shared" si="517"/>
        <v>1</v>
      </c>
      <c r="AR369" s="2349">
        <f t="shared" si="517"/>
        <v>1</v>
      </c>
      <c r="AS369" s="2349">
        <f t="shared" si="517"/>
        <v>1</v>
      </c>
      <c r="AT369" s="2349">
        <f t="shared" si="517"/>
        <v>1</v>
      </c>
      <c r="AU369" s="2349">
        <f t="shared" si="517"/>
        <v>1</v>
      </c>
      <c r="AV369" s="2293">
        <f t="shared" si="517"/>
        <v>1</v>
      </c>
      <c r="AW369" s="2349">
        <f t="shared" si="517"/>
        <v>1</v>
      </c>
      <c r="AX369" s="2349">
        <f t="shared" si="517"/>
        <v>1</v>
      </c>
      <c r="AY369" s="2349">
        <f t="shared" si="517"/>
        <v>1</v>
      </c>
      <c r="AZ369" s="2349">
        <f t="shared" si="517"/>
        <v>1</v>
      </c>
      <c r="BA369" s="2293">
        <f t="shared" si="517"/>
        <v>1</v>
      </c>
      <c r="BB369" s="2349">
        <f t="shared" si="517"/>
        <v>1</v>
      </c>
      <c r="BC369" s="2349">
        <f t="shared" si="517"/>
        <v>1</v>
      </c>
      <c r="BD369" s="2349">
        <f t="shared" si="517"/>
        <v>1</v>
      </c>
      <c r="BE369" s="2349">
        <f t="shared" si="517"/>
        <v>1</v>
      </c>
      <c r="BF369" s="2293">
        <f t="shared" si="517"/>
        <v>1</v>
      </c>
      <c r="BG369" s="2349">
        <f t="shared" si="517"/>
        <v>1</v>
      </c>
      <c r="BH369" s="2349">
        <f t="shared" si="517"/>
        <v>1</v>
      </c>
      <c r="BI369" s="2349">
        <f t="shared" si="517"/>
        <v>1</v>
      </c>
      <c r="BJ369" s="2349">
        <f t="shared" si="517"/>
        <v>1</v>
      </c>
      <c r="BK369" s="2293">
        <f t="shared" si="517"/>
        <v>1</v>
      </c>
      <c r="BL369" s="2349">
        <f t="shared" si="517"/>
        <v>1</v>
      </c>
      <c r="BM369" s="2349">
        <f t="shared" si="517"/>
        <v>0</v>
      </c>
      <c r="BN369" s="2349">
        <f t="shared" si="517"/>
        <v>0</v>
      </c>
      <c r="BO369" s="3012">
        <f t="shared" si="517"/>
        <v>0</v>
      </c>
      <c r="BP369" s="2293">
        <f t="shared" si="517"/>
        <v>0</v>
      </c>
      <c r="BQ369" s="2349">
        <f t="shared" si="517"/>
        <v>0</v>
      </c>
      <c r="BR369" s="2349">
        <f t="shared" si="517"/>
        <v>0</v>
      </c>
      <c r="BS369" s="2349">
        <f t="shared" si="517"/>
        <v>0</v>
      </c>
      <c r="BT369" s="2349">
        <f t="shared" si="517"/>
        <v>0</v>
      </c>
      <c r="BU369" s="2293">
        <f t="shared" ref="BU369:CG369" si="518">BU91+BU229</f>
        <v>0</v>
      </c>
      <c r="BV369" s="2349">
        <f t="shared" si="518"/>
        <v>0</v>
      </c>
      <c r="BW369" s="2349">
        <f t="shared" si="518"/>
        <v>0</v>
      </c>
      <c r="BX369" s="2349">
        <f t="shared" si="518"/>
        <v>0</v>
      </c>
      <c r="BY369" s="2349">
        <f t="shared" si="518"/>
        <v>0</v>
      </c>
      <c r="BZ369" s="2293">
        <f t="shared" si="518"/>
        <v>0</v>
      </c>
      <c r="CA369" s="2349">
        <f t="shared" si="518"/>
        <v>0</v>
      </c>
      <c r="CB369" s="2349">
        <f t="shared" si="518"/>
        <v>0</v>
      </c>
      <c r="CC369" s="2349">
        <f t="shared" si="518"/>
        <v>0</v>
      </c>
      <c r="CD369" s="2349">
        <f t="shared" si="518"/>
        <v>0</v>
      </c>
      <c r="CE369" s="2293">
        <f t="shared" si="518"/>
        <v>0</v>
      </c>
      <c r="CF369" s="2349">
        <f t="shared" si="518"/>
        <v>0</v>
      </c>
      <c r="CG369" s="2349">
        <f t="shared" si="518"/>
        <v>0</v>
      </c>
      <c r="CH369" s="2349">
        <f t="shared" ref="CH369:CV369" si="519">CH91+CH229</f>
        <v>0</v>
      </c>
      <c r="CI369" s="2349">
        <f t="shared" si="519"/>
        <v>0</v>
      </c>
      <c r="CJ369" s="236">
        <f t="shared" si="447"/>
        <v>0</v>
      </c>
      <c r="CK369" s="3510">
        <f>CK91+CK229</f>
        <v>0</v>
      </c>
      <c r="CL369" s="2349">
        <f t="shared" si="519"/>
        <v>0</v>
      </c>
      <c r="CM369" s="2349">
        <f>CM91+CM229</f>
        <v>0</v>
      </c>
      <c r="CN369" s="2349">
        <f>CN91+CN229</f>
        <v>0</v>
      </c>
      <c r="CO369" s="2293">
        <f>CO91+CO229</f>
        <v>0</v>
      </c>
      <c r="CP369" s="3510"/>
      <c r="CQ369" s="2349"/>
      <c r="CR369" s="2349"/>
      <c r="CS369" s="2349"/>
      <c r="CT369" s="2293">
        <f>CT91+CT229</f>
        <v>0</v>
      </c>
      <c r="CU369" s="2293">
        <f t="shared" si="519"/>
        <v>0</v>
      </c>
      <c r="CV369" s="2293">
        <f t="shared" si="519"/>
        <v>0</v>
      </c>
      <c r="CW369" s="2631"/>
      <c r="CX369" s="2631"/>
      <c r="CY369" s="2631"/>
      <c r="CZ369" s="2631"/>
      <c r="DA369" s="2631"/>
      <c r="DB369" s="217"/>
      <c r="DC369" s="212"/>
      <c r="DD369" s="2631"/>
    </row>
    <row r="370" spans="1:108" ht="4.5" customHeight="1" x14ac:dyDescent="0.2">
      <c r="A370" s="1446"/>
      <c r="B370" s="651"/>
      <c r="C370" s="236"/>
      <c r="D370" s="234"/>
      <c r="E370" s="234"/>
      <c r="F370" s="234"/>
      <c r="G370" s="234"/>
      <c r="H370" s="246"/>
      <c r="I370" s="850"/>
      <c r="J370" s="850"/>
      <c r="K370" s="850"/>
      <c r="L370" s="850"/>
      <c r="M370" s="246"/>
      <c r="N370" s="850"/>
      <c r="O370" s="850"/>
      <c r="P370" s="850"/>
      <c r="Q370" s="850"/>
      <c r="R370" s="246"/>
      <c r="S370" s="850"/>
      <c r="T370" s="850"/>
      <c r="U370" s="850"/>
      <c r="V370" s="850"/>
      <c r="W370" s="246"/>
      <c r="X370" s="850"/>
      <c r="Y370" s="850"/>
      <c r="Z370" s="850"/>
      <c r="AA370" s="850"/>
      <c r="AB370" s="246"/>
      <c r="AC370" s="850"/>
      <c r="AD370" s="850"/>
      <c r="AE370" s="850"/>
      <c r="AF370" s="850"/>
      <c r="AG370" s="246"/>
      <c r="AH370" s="850"/>
      <c r="AI370" s="850"/>
      <c r="AJ370" s="850"/>
      <c r="AK370" s="850"/>
      <c r="AL370" s="246"/>
      <c r="AM370" s="850"/>
      <c r="AN370" s="850"/>
      <c r="AO370" s="850"/>
      <c r="AP370" s="850"/>
      <c r="AQ370" s="246"/>
      <c r="AR370" s="850"/>
      <c r="AS370" s="850"/>
      <c r="AT370" s="850"/>
      <c r="AU370" s="850"/>
      <c r="AV370" s="246"/>
      <c r="AW370" s="850"/>
      <c r="AX370" s="850"/>
      <c r="AY370" s="850"/>
      <c r="AZ370" s="850"/>
      <c r="BA370" s="246"/>
      <c r="BB370" s="850"/>
      <c r="BC370" s="850"/>
      <c r="BD370" s="850"/>
      <c r="BE370" s="850"/>
      <c r="BF370" s="246"/>
      <c r="BG370" s="850"/>
      <c r="BH370" s="850"/>
      <c r="BI370" s="850"/>
      <c r="BJ370" s="850"/>
      <c r="BK370" s="246"/>
      <c r="BL370" s="850"/>
      <c r="BM370" s="850"/>
      <c r="BN370" s="850"/>
      <c r="BO370" s="1647"/>
      <c r="BP370" s="246"/>
      <c r="BQ370" s="850"/>
      <c r="BR370" s="850"/>
      <c r="BS370" s="850"/>
      <c r="BT370" s="850"/>
      <c r="BU370" s="246"/>
      <c r="BV370" s="850"/>
      <c r="BW370" s="850"/>
      <c r="BX370" s="850"/>
      <c r="BY370" s="850"/>
      <c r="BZ370" s="246"/>
      <c r="CA370" s="850"/>
      <c r="CB370" s="850"/>
      <c r="CC370" s="850"/>
      <c r="CD370" s="850"/>
      <c r="CE370" s="246"/>
      <c r="CF370" s="850"/>
      <c r="CG370" s="850"/>
      <c r="CH370" s="850"/>
      <c r="CI370" s="850"/>
      <c r="CJ370" s="236"/>
      <c r="CK370" s="3511"/>
      <c r="CL370" s="850"/>
      <c r="CM370" s="850"/>
      <c r="CN370" s="850"/>
      <c r="CO370" s="246"/>
      <c r="CP370" s="3511"/>
      <c r="CQ370" s="850"/>
      <c r="CR370" s="850"/>
      <c r="CS370" s="850"/>
      <c r="CT370" s="246"/>
      <c r="CU370" s="246"/>
      <c r="CV370" s="246"/>
      <c r="DB370" s="217"/>
    </row>
    <row r="371" spans="1:108" x14ac:dyDescent="0.2">
      <c r="A371" s="2434" t="s">
        <v>2454</v>
      </c>
      <c r="B371" s="651"/>
      <c r="C371" s="236"/>
      <c r="D371" s="234"/>
      <c r="E371" s="234"/>
      <c r="F371" s="234"/>
      <c r="G371" s="234"/>
      <c r="H371" s="246"/>
      <c r="I371" s="850"/>
      <c r="J371" s="850"/>
      <c r="K371" s="850"/>
      <c r="L371" s="850"/>
      <c r="M371" s="246"/>
      <c r="N371" s="850"/>
      <c r="O371" s="850"/>
      <c r="P371" s="850"/>
      <c r="Q371" s="850"/>
      <c r="R371" s="246"/>
      <c r="S371" s="850"/>
      <c r="T371" s="850"/>
      <c r="U371" s="850"/>
      <c r="V371" s="850"/>
      <c r="W371" s="246"/>
      <c r="X371" s="850"/>
      <c r="Y371" s="850"/>
      <c r="Z371" s="850"/>
      <c r="AA371" s="850"/>
      <c r="AB371" s="246"/>
      <c r="AC371" s="850"/>
      <c r="AD371" s="850"/>
      <c r="AE371" s="850"/>
      <c r="AF371" s="850"/>
      <c r="AG371" s="246"/>
      <c r="AH371" s="850"/>
      <c r="AI371" s="850"/>
      <c r="AJ371" s="850"/>
      <c r="AK371" s="850"/>
      <c r="AL371" s="246"/>
      <c r="AM371" s="850"/>
      <c r="AN371" s="850"/>
      <c r="AO371" s="850"/>
      <c r="AP371" s="850"/>
      <c r="AQ371" s="246"/>
      <c r="AR371" s="850"/>
      <c r="AS371" s="850"/>
      <c r="AT371" s="850"/>
      <c r="AU371" s="850"/>
      <c r="AV371" s="246"/>
      <c r="AW371" s="850"/>
      <c r="AX371" s="850"/>
      <c r="AY371" s="850"/>
      <c r="AZ371" s="850"/>
      <c r="BA371" s="246"/>
      <c r="BB371" s="850"/>
      <c r="BC371" s="850"/>
      <c r="BD371" s="850"/>
      <c r="BE371" s="850"/>
      <c r="BF371" s="246"/>
      <c r="BG371" s="850"/>
      <c r="BH371" s="850"/>
      <c r="BI371" s="850"/>
      <c r="BJ371" s="850"/>
      <c r="BK371" s="246"/>
      <c r="BL371" s="850"/>
      <c r="BM371" s="850"/>
      <c r="BN371" s="850"/>
      <c r="BO371" s="1647"/>
      <c r="BP371" s="246"/>
      <c r="BQ371" s="850"/>
      <c r="BR371" s="850"/>
      <c r="BS371" s="850"/>
      <c r="BT371" s="850"/>
      <c r="BU371" s="246"/>
      <c r="BV371" s="850"/>
      <c r="BW371" s="850"/>
      <c r="BX371" s="850"/>
      <c r="BY371" s="850"/>
      <c r="BZ371" s="246"/>
      <c r="CA371" s="850"/>
      <c r="CB371" s="850"/>
      <c r="CC371" s="850"/>
      <c r="CD371" s="850"/>
      <c r="CE371" s="246"/>
      <c r="CF371" s="850"/>
      <c r="CG371" s="3008"/>
      <c r="CH371" s="2349">
        <f t="shared" ref="CH371:CI381" si="520">+CH231+CH93</f>
        <v>220</v>
      </c>
      <c r="CI371" s="2349">
        <f t="shared" si="520"/>
        <v>221</v>
      </c>
      <c r="CJ371" s="236">
        <f t="shared" si="447"/>
        <v>221</v>
      </c>
      <c r="CK371" s="3510">
        <f t="shared" ref="CK371:CL381" si="521">+CK231+CK93</f>
        <v>220</v>
      </c>
      <c r="CL371" s="2350">
        <f t="shared" si="521"/>
        <v>219</v>
      </c>
      <c r="CM371" s="2350">
        <f t="shared" ref="CM371:CN381" si="522">+CM231+CM93</f>
        <v>221</v>
      </c>
      <c r="CN371" s="2350">
        <f t="shared" si="522"/>
        <v>220</v>
      </c>
      <c r="CO371" s="2289">
        <f t="shared" ref="CO371" si="523">+CO231+CO93</f>
        <v>220</v>
      </c>
      <c r="CP371" s="3510"/>
      <c r="CQ371" s="2350"/>
      <c r="CR371" s="850"/>
      <c r="CS371" s="850"/>
      <c r="CT371" s="246"/>
      <c r="CU371" s="246"/>
      <c r="CV371" s="246"/>
    </row>
    <row r="372" spans="1:108" x14ac:dyDescent="0.2">
      <c r="A372" s="2434" t="s">
        <v>2455</v>
      </c>
      <c r="B372" s="651"/>
      <c r="C372" s="236"/>
      <c r="D372" s="234"/>
      <c r="E372" s="234"/>
      <c r="F372" s="234"/>
      <c r="G372" s="234"/>
      <c r="H372" s="246"/>
      <c r="I372" s="850"/>
      <c r="J372" s="850"/>
      <c r="K372" s="850"/>
      <c r="L372" s="850"/>
      <c r="M372" s="246"/>
      <c r="N372" s="850"/>
      <c r="O372" s="850"/>
      <c r="P372" s="850"/>
      <c r="Q372" s="850"/>
      <c r="R372" s="246"/>
      <c r="S372" s="850"/>
      <c r="T372" s="850"/>
      <c r="U372" s="850"/>
      <c r="V372" s="850"/>
      <c r="W372" s="246"/>
      <c r="X372" s="850"/>
      <c r="Y372" s="850"/>
      <c r="Z372" s="850"/>
      <c r="AA372" s="850"/>
      <c r="AB372" s="246"/>
      <c r="AC372" s="850"/>
      <c r="AD372" s="850"/>
      <c r="AE372" s="850"/>
      <c r="AF372" s="850"/>
      <c r="AG372" s="246"/>
      <c r="AH372" s="850"/>
      <c r="AI372" s="850"/>
      <c r="AJ372" s="850"/>
      <c r="AK372" s="850"/>
      <c r="AL372" s="246"/>
      <c r="AM372" s="850"/>
      <c r="AN372" s="850"/>
      <c r="AO372" s="850"/>
      <c r="AP372" s="850"/>
      <c r="AQ372" s="246"/>
      <c r="AR372" s="850"/>
      <c r="AS372" s="850"/>
      <c r="AT372" s="850"/>
      <c r="AU372" s="850"/>
      <c r="AV372" s="246"/>
      <c r="AW372" s="850"/>
      <c r="AX372" s="850"/>
      <c r="AY372" s="850"/>
      <c r="AZ372" s="850"/>
      <c r="BA372" s="246"/>
      <c r="BB372" s="850"/>
      <c r="BC372" s="850"/>
      <c r="BD372" s="850"/>
      <c r="BE372" s="850"/>
      <c r="BF372" s="246"/>
      <c r="BG372" s="850"/>
      <c r="BH372" s="850"/>
      <c r="BI372" s="850"/>
      <c r="BJ372" s="850"/>
      <c r="BK372" s="246"/>
      <c r="BL372" s="850"/>
      <c r="BM372" s="850"/>
      <c r="BN372" s="850"/>
      <c r="BO372" s="1647"/>
      <c r="BP372" s="246"/>
      <c r="BQ372" s="850"/>
      <c r="BR372" s="850"/>
      <c r="BS372" s="850"/>
      <c r="BT372" s="850"/>
      <c r="BU372" s="246"/>
      <c r="BV372" s="850"/>
      <c r="BW372" s="850"/>
      <c r="BX372" s="850"/>
      <c r="BY372" s="850"/>
      <c r="BZ372" s="246"/>
      <c r="CA372" s="850"/>
      <c r="CB372" s="850"/>
      <c r="CC372" s="850"/>
      <c r="CD372" s="850"/>
      <c r="CE372" s="246"/>
      <c r="CF372" s="850"/>
      <c r="CG372" s="3008"/>
      <c r="CH372" s="2349">
        <f t="shared" si="520"/>
        <v>99</v>
      </c>
      <c r="CI372" s="2349">
        <f t="shared" si="520"/>
        <v>98</v>
      </c>
      <c r="CJ372" s="236">
        <f t="shared" si="447"/>
        <v>98</v>
      </c>
      <c r="CK372" s="3510">
        <f t="shared" si="521"/>
        <v>98</v>
      </c>
      <c r="CL372" s="2350">
        <f t="shared" si="521"/>
        <v>102</v>
      </c>
      <c r="CM372" s="2350">
        <f t="shared" si="522"/>
        <v>104</v>
      </c>
      <c r="CN372" s="2350">
        <f t="shared" si="522"/>
        <v>105</v>
      </c>
      <c r="CO372" s="2289">
        <f t="shared" ref="CO372" si="524">+CO232+CO94</f>
        <v>105</v>
      </c>
      <c r="CP372" s="3510"/>
      <c r="CQ372" s="2350"/>
      <c r="CR372" s="850"/>
      <c r="CS372" s="850"/>
      <c r="CT372" s="246"/>
      <c r="CU372" s="246"/>
      <c r="CV372" s="246"/>
    </row>
    <row r="373" spans="1:108" x14ac:dyDescent="0.2">
      <c r="A373" s="2434" t="s">
        <v>2456</v>
      </c>
      <c r="B373" s="651"/>
      <c r="C373" s="236"/>
      <c r="D373" s="234"/>
      <c r="E373" s="234"/>
      <c r="F373" s="234"/>
      <c r="G373" s="234"/>
      <c r="H373" s="246"/>
      <c r="I373" s="850"/>
      <c r="J373" s="850"/>
      <c r="K373" s="850"/>
      <c r="L373" s="850"/>
      <c r="M373" s="246"/>
      <c r="N373" s="850"/>
      <c r="O373" s="850"/>
      <c r="P373" s="850"/>
      <c r="Q373" s="850"/>
      <c r="R373" s="246"/>
      <c r="S373" s="850"/>
      <c r="T373" s="850"/>
      <c r="U373" s="850"/>
      <c r="V373" s="850"/>
      <c r="W373" s="246"/>
      <c r="X373" s="850"/>
      <c r="Y373" s="850"/>
      <c r="Z373" s="850"/>
      <c r="AA373" s="850"/>
      <c r="AB373" s="246"/>
      <c r="AC373" s="850"/>
      <c r="AD373" s="850"/>
      <c r="AE373" s="850"/>
      <c r="AF373" s="850"/>
      <c r="AG373" s="246"/>
      <c r="AH373" s="850"/>
      <c r="AI373" s="850"/>
      <c r="AJ373" s="850"/>
      <c r="AK373" s="850"/>
      <c r="AL373" s="246"/>
      <c r="AM373" s="850"/>
      <c r="AN373" s="850"/>
      <c r="AO373" s="850"/>
      <c r="AP373" s="850"/>
      <c r="AQ373" s="246"/>
      <c r="AR373" s="850"/>
      <c r="AS373" s="850"/>
      <c r="AT373" s="850"/>
      <c r="AU373" s="850"/>
      <c r="AV373" s="246"/>
      <c r="AW373" s="850"/>
      <c r="AX373" s="850"/>
      <c r="AY373" s="850"/>
      <c r="AZ373" s="850"/>
      <c r="BA373" s="246"/>
      <c r="BB373" s="850"/>
      <c r="BC373" s="850"/>
      <c r="BD373" s="850"/>
      <c r="BE373" s="850"/>
      <c r="BF373" s="246"/>
      <c r="BG373" s="850"/>
      <c r="BH373" s="850"/>
      <c r="BI373" s="850"/>
      <c r="BJ373" s="850"/>
      <c r="BK373" s="246"/>
      <c r="BL373" s="850"/>
      <c r="BM373" s="850"/>
      <c r="BN373" s="850"/>
      <c r="BO373" s="1647"/>
      <c r="BP373" s="246"/>
      <c r="BQ373" s="850"/>
      <c r="BR373" s="850"/>
      <c r="BS373" s="850"/>
      <c r="BT373" s="850"/>
      <c r="BU373" s="246"/>
      <c r="BV373" s="850"/>
      <c r="BW373" s="850"/>
      <c r="BX373" s="850"/>
      <c r="BY373" s="850"/>
      <c r="BZ373" s="246"/>
      <c r="CA373" s="850"/>
      <c r="CB373" s="850"/>
      <c r="CC373" s="850"/>
      <c r="CD373" s="850"/>
      <c r="CE373" s="246"/>
      <c r="CF373" s="850"/>
      <c r="CG373" s="3008"/>
      <c r="CH373" s="2349">
        <f t="shared" si="520"/>
        <v>163</v>
      </c>
      <c r="CI373" s="2349">
        <f t="shared" si="520"/>
        <v>168</v>
      </c>
      <c r="CJ373" s="236">
        <f t="shared" si="447"/>
        <v>168</v>
      </c>
      <c r="CK373" s="3510">
        <f t="shared" si="521"/>
        <v>170</v>
      </c>
      <c r="CL373" s="2350">
        <f t="shared" si="521"/>
        <v>176</v>
      </c>
      <c r="CM373" s="2350">
        <f t="shared" si="522"/>
        <v>180</v>
      </c>
      <c r="CN373" s="2350">
        <f t="shared" si="522"/>
        <v>186</v>
      </c>
      <c r="CO373" s="2289">
        <f t="shared" ref="CO373" si="525">+CO233+CO95</f>
        <v>186</v>
      </c>
      <c r="CP373" s="3510"/>
      <c r="CQ373" s="2350"/>
      <c r="CR373" s="850"/>
      <c r="CS373" s="850"/>
      <c r="CT373" s="246"/>
      <c r="CU373" s="246"/>
      <c r="CV373" s="246"/>
    </row>
    <row r="374" spans="1:108" x14ac:dyDescent="0.2">
      <c r="A374" s="2434" t="s">
        <v>2457</v>
      </c>
      <c r="B374" s="651"/>
      <c r="C374" s="236"/>
      <c r="D374" s="234"/>
      <c r="E374" s="234"/>
      <c r="F374" s="234"/>
      <c r="G374" s="234"/>
      <c r="H374" s="246"/>
      <c r="I374" s="850"/>
      <c r="J374" s="850"/>
      <c r="K374" s="850"/>
      <c r="L374" s="850"/>
      <c r="M374" s="246"/>
      <c r="N374" s="850"/>
      <c r="O374" s="850"/>
      <c r="P374" s="850"/>
      <c r="Q374" s="850"/>
      <c r="R374" s="246"/>
      <c r="S374" s="850"/>
      <c r="T374" s="850"/>
      <c r="U374" s="850"/>
      <c r="V374" s="850"/>
      <c r="W374" s="246"/>
      <c r="X374" s="850"/>
      <c r="Y374" s="850"/>
      <c r="Z374" s="850"/>
      <c r="AA374" s="850"/>
      <c r="AB374" s="246"/>
      <c r="AC374" s="850"/>
      <c r="AD374" s="850"/>
      <c r="AE374" s="850"/>
      <c r="AF374" s="850"/>
      <c r="AG374" s="246"/>
      <c r="AH374" s="850"/>
      <c r="AI374" s="850"/>
      <c r="AJ374" s="850"/>
      <c r="AK374" s="850"/>
      <c r="AL374" s="246"/>
      <c r="AM374" s="850"/>
      <c r="AN374" s="850"/>
      <c r="AO374" s="850"/>
      <c r="AP374" s="850"/>
      <c r="AQ374" s="246"/>
      <c r="AR374" s="850"/>
      <c r="AS374" s="850"/>
      <c r="AT374" s="850"/>
      <c r="AU374" s="850"/>
      <c r="AV374" s="246"/>
      <c r="AW374" s="850"/>
      <c r="AX374" s="850"/>
      <c r="AY374" s="850"/>
      <c r="AZ374" s="850"/>
      <c r="BA374" s="246"/>
      <c r="BB374" s="850"/>
      <c r="BC374" s="850"/>
      <c r="BD374" s="850"/>
      <c r="BE374" s="850"/>
      <c r="BF374" s="246"/>
      <c r="BG374" s="850"/>
      <c r="BH374" s="850"/>
      <c r="BI374" s="850"/>
      <c r="BJ374" s="850"/>
      <c r="BK374" s="246"/>
      <c r="BL374" s="850"/>
      <c r="BM374" s="850"/>
      <c r="BN374" s="850"/>
      <c r="BO374" s="1647"/>
      <c r="BP374" s="246"/>
      <c r="BQ374" s="850"/>
      <c r="BR374" s="850"/>
      <c r="BS374" s="850"/>
      <c r="BT374" s="850"/>
      <c r="BU374" s="246"/>
      <c r="BV374" s="850"/>
      <c r="BW374" s="850"/>
      <c r="BX374" s="850"/>
      <c r="BY374" s="850"/>
      <c r="BZ374" s="246"/>
      <c r="CA374" s="850"/>
      <c r="CB374" s="850"/>
      <c r="CC374" s="850"/>
      <c r="CD374" s="850"/>
      <c r="CE374" s="246"/>
      <c r="CF374" s="850"/>
      <c r="CG374" s="3008"/>
      <c r="CH374" s="2349">
        <f t="shared" si="520"/>
        <v>0</v>
      </c>
      <c r="CI374" s="2349">
        <f t="shared" si="520"/>
        <v>0</v>
      </c>
      <c r="CJ374" s="236">
        <f t="shared" si="447"/>
        <v>0</v>
      </c>
      <c r="CK374" s="3510">
        <f t="shared" si="521"/>
        <v>0</v>
      </c>
      <c r="CL374" s="2350">
        <f t="shared" si="521"/>
        <v>0</v>
      </c>
      <c r="CM374" s="2350">
        <f t="shared" si="522"/>
        <v>0</v>
      </c>
      <c r="CN374" s="2350">
        <f t="shared" si="522"/>
        <v>0</v>
      </c>
      <c r="CO374" s="2289">
        <f t="shared" ref="CO374" si="526">+CO234+CO96</f>
        <v>0</v>
      </c>
      <c r="CP374" s="3510"/>
      <c r="CQ374" s="2350"/>
      <c r="CR374" s="850"/>
      <c r="CS374" s="850"/>
      <c r="CT374" s="246"/>
      <c r="CU374" s="246"/>
      <c r="CV374" s="246"/>
    </row>
    <row r="375" spans="1:108" x14ac:dyDescent="0.2">
      <c r="A375" s="2434" t="s">
        <v>2458</v>
      </c>
      <c r="B375" s="651"/>
      <c r="C375" s="236"/>
      <c r="D375" s="234"/>
      <c r="E375" s="234"/>
      <c r="F375" s="234"/>
      <c r="G375" s="234"/>
      <c r="H375" s="246"/>
      <c r="I375" s="850"/>
      <c r="J375" s="850"/>
      <c r="K375" s="850"/>
      <c r="L375" s="850"/>
      <c r="M375" s="246"/>
      <c r="N375" s="850"/>
      <c r="O375" s="850"/>
      <c r="P375" s="850"/>
      <c r="Q375" s="850"/>
      <c r="R375" s="246"/>
      <c r="S375" s="850"/>
      <c r="T375" s="850"/>
      <c r="U375" s="850"/>
      <c r="V375" s="850"/>
      <c r="W375" s="246"/>
      <c r="X375" s="850"/>
      <c r="Y375" s="850"/>
      <c r="Z375" s="850"/>
      <c r="AA375" s="850"/>
      <c r="AB375" s="246"/>
      <c r="AC375" s="850"/>
      <c r="AD375" s="850"/>
      <c r="AE375" s="850"/>
      <c r="AF375" s="850"/>
      <c r="AG375" s="246"/>
      <c r="AH375" s="850"/>
      <c r="AI375" s="850"/>
      <c r="AJ375" s="850"/>
      <c r="AK375" s="850"/>
      <c r="AL375" s="246"/>
      <c r="AM375" s="850"/>
      <c r="AN375" s="850"/>
      <c r="AO375" s="850"/>
      <c r="AP375" s="850"/>
      <c r="AQ375" s="246"/>
      <c r="AR375" s="850"/>
      <c r="AS375" s="850"/>
      <c r="AT375" s="850"/>
      <c r="AU375" s="850"/>
      <c r="AV375" s="246"/>
      <c r="AW375" s="850"/>
      <c r="AX375" s="850"/>
      <c r="AY375" s="850"/>
      <c r="AZ375" s="850"/>
      <c r="BA375" s="246"/>
      <c r="BB375" s="850"/>
      <c r="BC375" s="850"/>
      <c r="BD375" s="850"/>
      <c r="BE375" s="850"/>
      <c r="BF375" s="246"/>
      <c r="BG375" s="850"/>
      <c r="BH375" s="850"/>
      <c r="BI375" s="850"/>
      <c r="BJ375" s="850"/>
      <c r="BK375" s="246"/>
      <c r="BL375" s="850"/>
      <c r="BM375" s="850"/>
      <c r="BN375" s="850"/>
      <c r="BO375" s="1647"/>
      <c r="BP375" s="246"/>
      <c r="BQ375" s="850"/>
      <c r="BR375" s="850"/>
      <c r="BS375" s="850"/>
      <c r="BT375" s="850"/>
      <c r="BU375" s="246"/>
      <c r="BV375" s="850"/>
      <c r="BW375" s="850"/>
      <c r="BX375" s="850"/>
      <c r="BY375" s="850"/>
      <c r="BZ375" s="246"/>
      <c r="CA375" s="850"/>
      <c r="CB375" s="850"/>
      <c r="CC375" s="850"/>
      <c r="CD375" s="850"/>
      <c r="CE375" s="246"/>
      <c r="CF375" s="850"/>
      <c r="CG375" s="3008"/>
      <c r="CH375" s="2349">
        <f t="shared" si="520"/>
        <v>44</v>
      </c>
      <c r="CI375" s="2349">
        <f t="shared" si="520"/>
        <v>42</v>
      </c>
      <c r="CJ375" s="236">
        <f t="shared" si="447"/>
        <v>42</v>
      </c>
      <c r="CK375" s="3510">
        <f t="shared" si="521"/>
        <v>42</v>
      </c>
      <c r="CL375" s="2350">
        <f t="shared" si="521"/>
        <v>45</v>
      </c>
      <c r="CM375" s="2350">
        <f t="shared" si="522"/>
        <v>46</v>
      </c>
      <c r="CN375" s="2350">
        <f t="shared" si="522"/>
        <v>48</v>
      </c>
      <c r="CO375" s="2289">
        <f t="shared" ref="CO375" si="527">+CO235+CO97</f>
        <v>48</v>
      </c>
      <c r="CP375" s="3510"/>
      <c r="CQ375" s="2350"/>
      <c r="CR375" s="850"/>
      <c r="CS375" s="850"/>
      <c r="CT375" s="246"/>
      <c r="CU375" s="246"/>
      <c r="CV375" s="246"/>
    </row>
    <row r="376" spans="1:108" x14ac:dyDescent="0.2">
      <c r="A376" s="2434" t="s">
        <v>2459</v>
      </c>
      <c r="B376" s="651"/>
      <c r="C376" s="236"/>
      <c r="D376" s="234"/>
      <c r="E376" s="234"/>
      <c r="F376" s="234"/>
      <c r="G376" s="234"/>
      <c r="H376" s="246"/>
      <c r="I376" s="850"/>
      <c r="J376" s="850"/>
      <c r="K376" s="850"/>
      <c r="L376" s="850"/>
      <c r="M376" s="246"/>
      <c r="N376" s="850"/>
      <c r="O376" s="850"/>
      <c r="P376" s="850"/>
      <c r="Q376" s="850"/>
      <c r="R376" s="246"/>
      <c r="S376" s="850"/>
      <c r="T376" s="850"/>
      <c r="U376" s="850"/>
      <c r="V376" s="850"/>
      <c r="W376" s="246"/>
      <c r="X376" s="850"/>
      <c r="Y376" s="850"/>
      <c r="Z376" s="850"/>
      <c r="AA376" s="850"/>
      <c r="AB376" s="246"/>
      <c r="AC376" s="850"/>
      <c r="AD376" s="850"/>
      <c r="AE376" s="850"/>
      <c r="AF376" s="850"/>
      <c r="AG376" s="246"/>
      <c r="AH376" s="850"/>
      <c r="AI376" s="850"/>
      <c r="AJ376" s="850"/>
      <c r="AK376" s="850"/>
      <c r="AL376" s="246"/>
      <c r="AM376" s="850"/>
      <c r="AN376" s="850"/>
      <c r="AO376" s="850"/>
      <c r="AP376" s="850"/>
      <c r="AQ376" s="246"/>
      <c r="AR376" s="850"/>
      <c r="AS376" s="850"/>
      <c r="AT376" s="850"/>
      <c r="AU376" s="850"/>
      <c r="AV376" s="246"/>
      <c r="AW376" s="850"/>
      <c r="AX376" s="850"/>
      <c r="AY376" s="850"/>
      <c r="AZ376" s="850"/>
      <c r="BA376" s="246"/>
      <c r="BB376" s="850"/>
      <c r="BC376" s="850"/>
      <c r="BD376" s="850"/>
      <c r="BE376" s="850"/>
      <c r="BF376" s="246"/>
      <c r="BG376" s="850"/>
      <c r="BH376" s="850"/>
      <c r="BI376" s="850"/>
      <c r="BJ376" s="850"/>
      <c r="BK376" s="246"/>
      <c r="BL376" s="850"/>
      <c r="BM376" s="850"/>
      <c r="BN376" s="850"/>
      <c r="BO376" s="1647"/>
      <c r="BP376" s="246"/>
      <c r="BQ376" s="850"/>
      <c r="BR376" s="850"/>
      <c r="BS376" s="850"/>
      <c r="BT376" s="850"/>
      <c r="BU376" s="246"/>
      <c r="BV376" s="850"/>
      <c r="BW376" s="850"/>
      <c r="BX376" s="850"/>
      <c r="BY376" s="850"/>
      <c r="BZ376" s="246"/>
      <c r="CA376" s="850"/>
      <c r="CB376" s="850"/>
      <c r="CC376" s="850"/>
      <c r="CD376" s="850"/>
      <c r="CE376" s="246"/>
      <c r="CF376" s="850"/>
      <c r="CG376" s="3008"/>
      <c r="CH376" s="2349">
        <f t="shared" si="520"/>
        <v>0</v>
      </c>
      <c r="CI376" s="2349">
        <f t="shared" si="520"/>
        <v>0</v>
      </c>
      <c r="CJ376" s="236">
        <f t="shared" si="447"/>
        <v>0</v>
      </c>
      <c r="CK376" s="3510">
        <f t="shared" si="521"/>
        <v>0</v>
      </c>
      <c r="CL376" s="2350">
        <f t="shared" si="521"/>
        <v>0</v>
      </c>
      <c r="CM376" s="2350">
        <f t="shared" si="522"/>
        <v>0</v>
      </c>
      <c r="CN376" s="2350">
        <f t="shared" si="522"/>
        <v>0</v>
      </c>
      <c r="CO376" s="2289">
        <f t="shared" ref="CO376" si="528">+CO236+CO98</f>
        <v>0</v>
      </c>
      <c r="CP376" s="3510"/>
      <c r="CQ376" s="2350"/>
      <c r="CR376" s="850"/>
      <c r="CS376" s="850"/>
      <c r="CT376" s="246"/>
      <c r="CU376" s="246"/>
      <c r="CV376" s="246"/>
    </row>
    <row r="377" spans="1:108" x14ac:dyDescent="0.2">
      <c r="A377" s="2434" t="s">
        <v>2460</v>
      </c>
      <c r="B377" s="651"/>
      <c r="C377" s="236"/>
      <c r="D377" s="234"/>
      <c r="E377" s="234"/>
      <c r="F377" s="234"/>
      <c r="G377" s="234"/>
      <c r="H377" s="246"/>
      <c r="I377" s="850"/>
      <c r="J377" s="850"/>
      <c r="K377" s="850"/>
      <c r="L377" s="850"/>
      <c r="M377" s="246"/>
      <c r="N377" s="850"/>
      <c r="O377" s="850"/>
      <c r="P377" s="850"/>
      <c r="Q377" s="850"/>
      <c r="R377" s="246"/>
      <c r="S377" s="850"/>
      <c r="T377" s="850"/>
      <c r="U377" s="850"/>
      <c r="V377" s="850"/>
      <c r="W377" s="246"/>
      <c r="X377" s="850"/>
      <c r="Y377" s="850"/>
      <c r="Z377" s="850"/>
      <c r="AA377" s="850"/>
      <c r="AB377" s="246"/>
      <c r="AC377" s="850"/>
      <c r="AD377" s="850"/>
      <c r="AE377" s="850"/>
      <c r="AF377" s="850"/>
      <c r="AG377" s="246"/>
      <c r="AH377" s="850"/>
      <c r="AI377" s="850"/>
      <c r="AJ377" s="850"/>
      <c r="AK377" s="850"/>
      <c r="AL377" s="246"/>
      <c r="AM377" s="850"/>
      <c r="AN377" s="850"/>
      <c r="AO377" s="850"/>
      <c r="AP377" s="850"/>
      <c r="AQ377" s="246"/>
      <c r="AR377" s="850"/>
      <c r="AS377" s="850"/>
      <c r="AT377" s="850"/>
      <c r="AU377" s="850"/>
      <c r="AV377" s="246"/>
      <c r="AW377" s="850"/>
      <c r="AX377" s="850"/>
      <c r="AY377" s="850"/>
      <c r="AZ377" s="850"/>
      <c r="BA377" s="246"/>
      <c r="BB377" s="850"/>
      <c r="BC377" s="850"/>
      <c r="BD377" s="850"/>
      <c r="BE377" s="850"/>
      <c r="BF377" s="246"/>
      <c r="BG377" s="850"/>
      <c r="BH377" s="850"/>
      <c r="BI377" s="850"/>
      <c r="BJ377" s="850"/>
      <c r="BK377" s="246"/>
      <c r="BL377" s="850"/>
      <c r="BM377" s="850"/>
      <c r="BN377" s="850"/>
      <c r="BO377" s="1647"/>
      <c r="BP377" s="246"/>
      <c r="BQ377" s="850"/>
      <c r="BR377" s="850"/>
      <c r="BS377" s="850"/>
      <c r="BT377" s="850"/>
      <c r="BU377" s="246"/>
      <c r="BV377" s="850"/>
      <c r="BW377" s="850"/>
      <c r="BX377" s="850"/>
      <c r="BY377" s="850"/>
      <c r="BZ377" s="246"/>
      <c r="CA377" s="850"/>
      <c r="CB377" s="850"/>
      <c r="CC377" s="850"/>
      <c r="CD377" s="850"/>
      <c r="CE377" s="246"/>
      <c r="CF377" s="850"/>
      <c r="CG377" s="3008"/>
      <c r="CH377" s="2349">
        <f t="shared" si="520"/>
        <v>27</v>
      </c>
      <c r="CI377" s="2349">
        <f t="shared" si="520"/>
        <v>27</v>
      </c>
      <c r="CJ377" s="236">
        <f t="shared" si="447"/>
        <v>27</v>
      </c>
      <c r="CK377" s="3510">
        <f t="shared" si="521"/>
        <v>28</v>
      </c>
      <c r="CL377" s="2350">
        <f t="shared" si="521"/>
        <v>29</v>
      </c>
      <c r="CM377" s="2350">
        <f t="shared" si="522"/>
        <v>33</v>
      </c>
      <c r="CN377" s="2350">
        <f t="shared" si="522"/>
        <v>33</v>
      </c>
      <c r="CO377" s="2289">
        <f t="shared" ref="CO377" si="529">+CO237+CO99</f>
        <v>33</v>
      </c>
      <c r="CP377" s="3510"/>
      <c r="CQ377" s="2350"/>
      <c r="CR377" s="850"/>
      <c r="CS377" s="850"/>
      <c r="CT377" s="246"/>
      <c r="CU377" s="246"/>
      <c r="CV377" s="246"/>
    </row>
    <row r="378" spans="1:108" x14ac:dyDescent="0.2">
      <c r="A378" s="2434" t="s">
        <v>2464</v>
      </c>
      <c r="B378" s="651"/>
      <c r="C378" s="236"/>
      <c r="D378" s="234"/>
      <c r="E378" s="234"/>
      <c r="F378" s="234"/>
      <c r="G378" s="234"/>
      <c r="H378" s="246"/>
      <c r="I378" s="850"/>
      <c r="J378" s="850"/>
      <c r="K378" s="850"/>
      <c r="L378" s="850"/>
      <c r="M378" s="246"/>
      <c r="N378" s="850"/>
      <c r="O378" s="850"/>
      <c r="P378" s="850"/>
      <c r="Q378" s="850"/>
      <c r="R378" s="246"/>
      <c r="S378" s="850"/>
      <c r="T378" s="850"/>
      <c r="U378" s="850"/>
      <c r="V378" s="850"/>
      <c r="W378" s="246"/>
      <c r="X378" s="850"/>
      <c r="Y378" s="850"/>
      <c r="Z378" s="850"/>
      <c r="AA378" s="850"/>
      <c r="AB378" s="246"/>
      <c r="AC378" s="850"/>
      <c r="AD378" s="850"/>
      <c r="AE378" s="850"/>
      <c r="AF378" s="850"/>
      <c r="AG378" s="246"/>
      <c r="AH378" s="850"/>
      <c r="AI378" s="850"/>
      <c r="AJ378" s="850"/>
      <c r="AK378" s="850"/>
      <c r="AL378" s="246"/>
      <c r="AM378" s="850"/>
      <c r="AN378" s="850"/>
      <c r="AO378" s="850"/>
      <c r="AP378" s="850"/>
      <c r="AQ378" s="246"/>
      <c r="AR378" s="850"/>
      <c r="AS378" s="850"/>
      <c r="AT378" s="850"/>
      <c r="AU378" s="850"/>
      <c r="AV378" s="246"/>
      <c r="AW378" s="850"/>
      <c r="AX378" s="850"/>
      <c r="AY378" s="850"/>
      <c r="AZ378" s="850"/>
      <c r="BA378" s="246"/>
      <c r="BB378" s="850"/>
      <c r="BC378" s="850"/>
      <c r="BD378" s="850"/>
      <c r="BE378" s="850"/>
      <c r="BF378" s="246"/>
      <c r="BG378" s="850"/>
      <c r="BH378" s="850"/>
      <c r="BI378" s="850"/>
      <c r="BJ378" s="850"/>
      <c r="BK378" s="246"/>
      <c r="BL378" s="850"/>
      <c r="BM378" s="850"/>
      <c r="BN378" s="850"/>
      <c r="BO378" s="1647"/>
      <c r="BP378" s="246"/>
      <c r="BQ378" s="850"/>
      <c r="BR378" s="850"/>
      <c r="BS378" s="850"/>
      <c r="BT378" s="850"/>
      <c r="BU378" s="246"/>
      <c r="BV378" s="850"/>
      <c r="BW378" s="850"/>
      <c r="BX378" s="850"/>
      <c r="BY378" s="850"/>
      <c r="BZ378" s="246"/>
      <c r="CA378" s="850"/>
      <c r="CB378" s="850"/>
      <c r="CC378" s="850"/>
      <c r="CD378" s="850"/>
      <c r="CE378" s="246"/>
      <c r="CF378" s="850"/>
      <c r="CG378" s="3008"/>
      <c r="CH378" s="2349">
        <f t="shared" si="520"/>
        <v>91</v>
      </c>
      <c r="CI378" s="2349">
        <f t="shared" si="520"/>
        <v>92</v>
      </c>
      <c r="CJ378" s="236">
        <f t="shared" si="447"/>
        <v>92</v>
      </c>
      <c r="CK378" s="3510">
        <f t="shared" si="521"/>
        <v>100</v>
      </c>
      <c r="CL378" s="2350">
        <f t="shared" si="521"/>
        <v>102</v>
      </c>
      <c r="CM378" s="2350">
        <f t="shared" si="522"/>
        <v>108</v>
      </c>
      <c r="CN378" s="2350">
        <f t="shared" si="522"/>
        <v>108</v>
      </c>
      <c r="CO378" s="2289">
        <f t="shared" ref="CO378" si="530">+CO238+CO100</f>
        <v>108</v>
      </c>
      <c r="CP378" s="3510"/>
      <c r="CQ378" s="2350"/>
      <c r="CR378" s="850"/>
      <c r="CS378" s="850"/>
      <c r="CT378" s="246"/>
      <c r="CU378" s="246"/>
      <c r="CV378" s="246"/>
    </row>
    <row r="379" spans="1:108" x14ac:dyDescent="0.2">
      <c r="A379" s="2434" t="s">
        <v>2462</v>
      </c>
      <c r="B379" s="651"/>
      <c r="C379" s="236"/>
      <c r="D379" s="234"/>
      <c r="E379" s="234"/>
      <c r="F379" s="234"/>
      <c r="G379" s="234"/>
      <c r="H379" s="246"/>
      <c r="I379" s="850"/>
      <c r="J379" s="850"/>
      <c r="K379" s="850"/>
      <c r="L379" s="850"/>
      <c r="M379" s="246"/>
      <c r="N379" s="850"/>
      <c r="O379" s="850"/>
      <c r="P379" s="850"/>
      <c r="Q379" s="850"/>
      <c r="R379" s="246"/>
      <c r="S379" s="850"/>
      <c r="T379" s="850"/>
      <c r="U379" s="850"/>
      <c r="V379" s="850"/>
      <c r="W379" s="246"/>
      <c r="X379" s="850"/>
      <c r="Y379" s="850"/>
      <c r="Z379" s="850"/>
      <c r="AA379" s="850"/>
      <c r="AB379" s="246"/>
      <c r="AC379" s="850"/>
      <c r="AD379" s="850"/>
      <c r="AE379" s="850"/>
      <c r="AF379" s="850"/>
      <c r="AG379" s="246"/>
      <c r="AH379" s="850"/>
      <c r="AI379" s="850"/>
      <c r="AJ379" s="850"/>
      <c r="AK379" s="850"/>
      <c r="AL379" s="246"/>
      <c r="AM379" s="850"/>
      <c r="AN379" s="850"/>
      <c r="AO379" s="850"/>
      <c r="AP379" s="850"/>
      <c r="AQ379" s="246"/>
      <c r="AR379" s="850"/>
      <c r="AS379" s="850"/>
      <c r="AT379" s="850"/>
      <c r="AU379" s="850"/>
      <c r="AV379" s="246"/>
      <c r="AW379" s="850"/>
      <c r="AX379" s="850"/>
      <c r="AY379" s="850"/>
      <c r="AZ379" s="850"/>
      <c r="BA379" s="246"/>
      <c r="BB379" s="850"/>
      <c r="BC379" s="850"/>
      <c r="BD379" s="850"/>
      <c r="BE379" s="850"/>
      <c r="BF379" s="246"/>
      <c r="BG379" s="850"/>
      <c r="BH379" s="850"/>
      <c r="BI379" s="850"/>
      <c r="BJ379" s="850"/>
      <c r="BK379" s="246"/>
      <c r="BL379" s="850"/>
      <c r="BM379" s="850"/>
      <c r="BN379" s="850"/>
      <c r="BO379" s="1647"/>
      <c r="BP379" s="246"/>
      <c r="BQ379" s="850"/>
      <c r="BR379" s="850"/>
      <c r="BS379" s="850"/>
      <c r="BT379" s="850"/>
      <c r="BU379" s="246"/>
      <c r="BV379" s="850"/>
      <c r="BW379" s="850"/>
      <c r="BX379" s="850"/>
      <c r="BY379" s="850"/>
      <c r="BZ379" s="246"/>
      <c r="CA379" s="850"/>
      <c r="CB379" s="850"/>
      <c r="CC379" s="850"/>
      <c r="CD379" s="850"/>
      <c r="CE379" s="246"/>
      <c r="CF379" s="850"/>
      <c r="CG379" s="3008"/>
      <c r="CH379" s="2349">
        <f t="shared" si="520"/>
        <v>20</v>
      </c>
      <c r="CI379" s="2349">
        <f t="shared" si="520"/>
        <v>21</v>
      </c>
      <c r="CJ379" s="236">
        <f t="shared" si="447"/>
        <v>21</v>
      </c>
      <c r="CK379" s="3510">
        <f t="shared" si="521"/>
        <v>22</v>
      </c>
      <c r="CL379" s="2350">
        <f t="shared" si="521"/>
        <v>26</v>
      </c>
      <c r="CM379" s="2350">
        <f t="shared" si="522"/>
        <v>27</v>
      </c>
      <c r="CN379" s="2350">
        <f t="shared" si="522"/>
        <v>29</v>
      </c>
      <c r="CO379" s="2289">
        <f t="shared" ref="CO379" si="531">+CO239+CO101</f>
        <v>29</v>
      </c>
      <c r="CP379" s="3510"/>
      <c r="CQ379" s="2350"/>
      <c r="CR379" s="850"/>
      <c r="CS379" s="850"/>
      <c r="CT379" s="246"/>
      <c r="CU379" s="246"/>
      <c r="CV379" s="246"/>
    </row>
    <row r="380" spans="1:108" x14ac:dyDescent="0.2">
      <c r="A380" s="2434" t="s">
        <v>2463</v>
      </c>
      <c r="B380" s="651"/>
      <c r="C380" s="236"/>
      <c r="D380" s="234"/>
      <c r="E380" s="234"/>
      <c r="F380" s="234"/>
      <c r="G380" s="234"/>
      <c r="H380" s="246"/>
      <c r="I380" s="850"/>
      <c r="J380" s="850"/>
      <c r="K380" s="850"/>
      <c r="L380" s="850"/>
      <c r="M380" s="246"/>
      <c r="N380" s="850"/>
      <c r="O380" s="850"/>
      <c r="P380" s="850"/>
      <c r="Q380" s="850"/>
      <c r="R380" s="246"/>
      <c r="S380" s="850"/>
      <c r="T380" s="850"/>
      <c r="U380" s="850"/>
      <c r="V380" s="850"/>
      <c r="W380" s="246"/>
      <c r="X380" s="850"/>
      <c r="Y380" s="850"/>
      <c r="Z380" s="850"/>
      <c r="AA380" s="850"/>
      <c r="AB380" s="246"/>
      <c r="AC380" s="850"/>
      <c r="AD380" s="850"/>
      <c r="AE380" s="850"/>
      <c r="AF380" s="850"/>
      <c r="AG380" s="246"/>
      <c r="AH380" s="850"/>
      <c r="AI380" s="850"/>
      <c r="AJ380" s="850"/>
      <c r="AK380" s="850"/>
      <c r="AL380" s="246"/>
      <c r="AM380" s="850"/>
      <c r="AN380" s="850"/>
      <c r="AO380" s="850"/>
      <c r="AP380" s="850"/>
      <c r="AQ380" s="246"/>
      <c r="AR380" s="850"/>
      <c r="AS380" s="850"/>
      <c r="AT380" s="850"/>
      <c r="AU380" s="850"/>
      <c r="AV380" s="246"/>
      <c r="AW380" s="850"/>
      <c r="AX380" s="850"/>
      <c r="AY380" s="850"/>
      <c r="AZ380" s="850"/>
      <c r="BA380" s="246"/>
      <c r="BB380" s="850"/>
      <c r="BC380" s="850"/>
      <c r="BD380" s="850"/>
      <c r="BE380" s="850"/>
      <c r="BF380" s="246"/>
      <c r="BG380" s="850"/>
      <c r="BH380" s="850"/>
      <c r="BI380" s="850"/>
      <c r="BJ380" s="850"/>
      <c r="BK380" s="246"/>
      <c r="BL380" s="850"/>
      <c r="BM380" s="850"/>
      <c r="BN380" s="850"/>
      <c r="BO380" s="1647"/>
      <c r="BP380" s="246"/>
      <c r="BQ380" s="850"/>
      <c r="BR380" s="850"/>
      <c r="BS380" s="850"/>
      <c r="BT380" s="850"/>
      <c r="BU380" s="246"/>
      <c r="BV380" s="850"/>
      <c r="BW380" s="850"/>
      <c r="BX380" s="850"/>
      <c r="BY380" s="850"/>
      <c r="BZ380" s="246"/>
      <c r="CA380" s="850"/>
      <c r="CB380" s="850"/>
      <c r="CC380" s="850"/>
      <c r="CD380" s="850"/>
      <c r="CE380" s="246"/>
      <c r="CF380" s="850"/>
      <c r="CG380" s="3008"/>
      <c r="CH380" s="2349">
        <f t="shared" si="520"/>
        <v>10</v>
      </c>
      <c r="CI380" s="2349">
        <f t="shared" si="520"/>
        <v>18</v>
      </c>
      <c r="CJ380" s="236">
        <f t="shared" si="447"/>
        <v>18</v>
      </c>
      <c r="CK380" s="3510">
        <f t="shared" si="521"/>
        <v>20</v>
      </c>
      <c r="CL380" s="2350">
        <f t="shared" si="521"/>
        <v>21</v>
      </c>
      <c r="CM380" s="2350">
        <f t="shared" si="522"/>
        <v>23</v>
      </c>
      <c r="CN380" s="2350">
        <f t="shared" si="522"/>
        <v>24</v>
      </c>
      <c r="CO380" s="2289">
        <f t="shared" ref="CO380" si="532">+CO240+CO102</f>
        <v>24</v>
      </c>
      <c r="CP380" s="3510"/>
      <c r="CQ380" s="2350"/>
      <c r="CR380" s="850"/>
      <c r="CS380" s="850"/>
      <c r="CT380" s="246"/>
      <c r="CU380" s="246"/>
      <c r="CV380" s="246"/>
    </row>
    <row r="381" spans="1:108" x14ac:dyDescent="0.2">
      <c r="A381" s="2434" t="s">
        <v>1931</v>
      </c>
      <c r="B381" s="651"/>
      <c r="C381" s="236"/>
      <c r="D381" s="234"/>
      <c r="E381" s="234"/>
      <c r="F381" s="234"/>
      <c r="G381" s="234"/>
      <c r="H381" s="246"/>
      <c r="I381" s="850"/>
      <c r="J381" s="850"/>
      <c r="K381" s="850"/>
      <c r="L381" s="850"/>
      <c r="M381" s="246"/>
      <c r="N381" s="850"/>
      <c r="O381" s="850"/>
      <c r="P381" s="850"/>
      <c r="Q381" s="850"/>
      <c r="R381" s="246"/>
      <c r="S381" s="850"/>
      <c r="T381" s="850"/>
      <c r="U381" s="850"/>
      <c r="V381" s="850"/>
      <c r="W381" s="246"/>
      <c r="X381" s="850"/>
      <c r="Y381" s="850"/>
      <c r="Z381" s="850"/>
      <c r="AA381" s="850"/>
      <c r="AB381" s="246"/>
      <c r="AC381" s="850"/>
      <c r="AD381" s="850"/>
      <c r="AE381" s="850"/>
      <c r="AF381" s="850"/>
      <c r="AG381" s="246"/>
      <c r="AH381" s="850"/>
      <c r="AI381" s="850"/>
      <c r="AJ381" s="850"/>
      <c r="AK381" s="850"/>
      <c r="AL381" s="246"/>
      <c r="AM381" s="850"/>
      <c r="AN381" s="850"/>
      <c r="AO381" s="850"/>
      <c r="AP381" s="850"/>
      <c r="AQ381" s="246"/>
      <c r="AR381" s="850"/>
      <c r="AS381" s="850"/>
      <c r="AT381" s="850"/>
      <c r="AU381" s="850"/>
      <c r="AV381" s="246"/>
      <c r="AW381" s="850"/>
      <c r="AX381" s="850"/>
      <c r="AY381" s="850"/>
      <c r="AZ381" s="850"/>
      <c r="BA381" s="246"/>
      <c r="BB381" s="850"/>
      <c r="BC381" s="850"/>
      <c r="BD381" s="850"/>
      <c r="BE381" s="850"/>
      <c r="BF381" s="246"/>
      <c r="BG381" s="850"/>
      <c r="BH381" s="850"/>
      <c r="BI381" s="850"/>
      <c r="BJ381" s="850"/>
      <c r="BK381" s="246"/>
      <c r="BL381" s="850"/>
      <c r="BM381" s="850"/>
      <c r="BN381" s="850"/>
      <c r="BO381" s="1647"/>
      <c r="BP381" s="246"/>
      <c r="BQ381" s="850"/>
      <c r="BR381" s="850"/>
      <c r="BS381" s="850"/>
      <c r="BT381" s="850"/>
      <c r="BU381" s="246"/>
      <c r="BV381" s="850"/>
      <c r="BW381" s="850"/>
      <c r="BX381" s="850"/>
      <c r="BY381" s="850"/>
      <c r="BZ381" s="246"/>
      <c r="CA381" s="850"/>
      <c r="CB381" s="850"/>
      <c r="CC381" s="850"/>
      <c r="CD381" s="850"/>
      <c r="CE381" s="246"/>
      <c r="CF381" s="850"/>
      <c r="CG381" s="3008"/>
      <c r="CH381" s="2349">
        <f t="shared" si="520"/>
        <v>1</v>
      </c>
      <c r="CI381" s="2349">
        <f>+CI241+CI103</f>
        <v>1</v>
      </c>
      <c r="CJ381" s="236">
        <f t="shared" si="447"/>
        <v>1</v>
      </c>
      <c r="CK381" s="3510">
        <f t="shared" si="521"/>
        <v>1</v>
      </c>
      <c r="CL381" s="2350">
        <f t="shared" si="521"/>
        <v>1</v>
      </c>
      <c r="CM381" s="2350">
        <f t="shared" si="522"/>
        <v>5</v>
      </c>
      <c r="CN381" s="2350">
        <f t="shared" si="522"/>
        <v>6</v>
      </c>
      <c r="CO381" s="2289">
        <f t="shared" ref="CO381" si="533">+CO241+CO103</f>
        <v>6</v>
      </c>
      <c r="CP381" s="3510"/>
      <c r="CQ381" s="2350"/>
      <c r="CR381" s="850"/>
      <c r="CS381" s="850"/>
      <c r="CT381" s="246"/>
      <c r="CU381" s="246"/>
      <c r="CV381" s="246"/>
    </row>
    <row r="382" spans="1:108" ht="4.5" customHeight="1" x14ac:dyDescent="0.35">
      <c r="A382" s="1207"/>
      <c r="B382" s="212"/>
      <c r="C382" s="212"/>
      <c r="D382" s="212"/>
      <c r="E382" s="212"/>
      <c r="F382" s="212"/>
      <c r="G382" s="212"/>
      <c r="H382" s="194"/>
      <c r="I382" s="850" t="s">
        <v>2466</v>
      </c>
      <c r="J382" s="850" t="s">
        <v>2139</v>
      </c>
      <c r="K382" s="850" t="s">
        <v>2466</v>
      </c>
      <c r="L382" s="850" t="s">
        <v>2139</v>
      </c>
      <c r="M382" s="3009" t="s">
        <v>2378</v>
      </c>
      <c r="N382" s="850" t="s">
        <v>2466</v>
      </c>
      <c r="O382" s="850" t="s">
        <v>2139</v>
      </c>
      <c r="P382" s="850" t="s">
        <v>2466</v>
      </c>
      <c r="Q382" s="850" t="s">
        <v>2139</v>
      </c>
      <c r="R382" s="3009" t="s">
        <v>2378</v>
      </c>
      <c r="S382" s="850" t="s">
        <v>2466</v>
      </c>
      <c r="T382" s="850" t="s">
        <v>2139</v>
      </c>
      <c r="U382" s="850" t="s">
        <v>2466</v>
      </c>
      <c r="V382" s="850" t="s">
        <v>2139</v>
      </c>
      <c r="W382" s="3009" t="s">
        <v>2378</v>
      </c>
      <c r="X382" s="850" t="s">
        <v>2466</v>
      </c>
      <c r="Y382" s="850" t="s">
        <v>2139</v>
      </c>
      <c r="Z382" s="850" t="s">
        <v>2466</v>
      </c>
      <c r="AA382" s="850" t="s">
        <v>2139</v>
      </c>
      <c r="AB382" s="3009" t="s">
        <v>2378</v>
      </c>
      <c r="AC382" s="850" t="s">
        <v>2466</v>
      </c>
      <c r="AD382" s="850" t="s">
        <v>2139</v>
      </c>
      <c r="AE382" s="850" t="s">
        <v>2466</v>
      </c>
      <c r="AF382" s="850" t="s">
        <v>2139</v>
      </c>
      <c r="AG382" s="3009" t="s">
        <v>2378</v>
      </c>
      <c r="AH382" s="850" t="s">
        <v>2466</v>
      </c>
      <c r="AI382" s="850" t="s">
        <v>2139</v>
      </c>
      <c r="AJ382" s="850" t="s">
        <v>2466</v>
      </c>
      <c r="AK382" s="850" t="s">
        <v>2139</v>
      </c>
      <c r="AL382" s="3009" t="s">
        <v>2378</v>
      </c>
      <c r="AM382" s="850" t="s">
        <v>2466</v>
      </c>
      <c r="AN382" s="850" t="s">
        <v>2139</v>
      </c>
      <c r="AO382" s="850" t="s">
        <v>2466</v>
      </c>
      <c r="AP382" s="850" t="s">
        <v>2139</v>
      </c>
      <c r="AQ382" s="3009" t="s">
        <v>2378</v>
      </c>
      <c r="AR382" s="850" t="s">
        <v>2466</v>
      </c>
      <c r="AS382" s="850" t="s">
        <v>2139</v>
      </c>
      <c r="AT382" s="850" t="s">
        <v>2466</v>
      </c>
      <c r="AU382" s="850" t="s">
        <v>2139</v>
      </c>
      <c r="AV382" s="3009" t="s">
        <v>2378</v>
      </c>
      <c r="AW382" s="850" t="s">
        <v>2466</v>
      </c>
      <c r="AX382" s="850" t="s">
        <v>2139</v>
      </c>
      <c r="AY382" s="850" t="s">
        <v>2466</v>
      </c>
      <c r="AZ382" s="850" t="s">
        <v>2139</v>
      </c>
      <c r="BA382" s="3009" t="s">
        <v>2378</v>
      </c>
      <c r="BB382" s="850" t="s">
        <v>2466</v>
      </c>
      <c r="BC382" s="850" t="s">
        <v>2139</v>
      </c>
      <c r="BD382" s="850" t="s">
        <v>2466</v>
      </c>
      <c r="BE382" s="850" t="s">
        <v>2139</v>
      </c>
      <c r="BF382" s="3009" t="s">
        <v>2378</v>
      </c>
      <c r="BG382" s="3011" t="s">
        <v>2467</v>
      </c>
      <c r="BH382" s="3011" t="s">
        <v>2467</v>
      </c>
      <c r="BI382" s="3011" t="s">
        <v>2467</v>
      </c>
      <c r="BJ382" s="3011" t="s">
        <v>2467</v>
      </c>
      <c r="BK382" s="3009" t="s">
        <v>2139</v>
      </c>
      <c r="BL382" s="3011" t="s">
        <v>1191</v>
      </c>
      <c r="BM382" s="3011" t="s">
        <v>1191</v>
      </c>
      <c r="BN382" s="3011" t="s">
        <v>1191</v>
      </c>
      <c r="BO382" s="3011" t="s">
        <v>1191</v>
      </c>
      <c r="BP382" s="3009" t="s">
        <v>2139</v>
      </c>
      <c r="BQ382" s="3011" t="s">
        <v>2139</v>
      </c>
      <c r="BR382" s="3011" t="s">
        <v>2139</v>
      </c>
      <c r="BS382" s="3011" t="s">
        <v>2139</v>
      </c>
      <c r="BT382" s="3011" t="s">
        <v>2139</v>
      </c>
      <c r="BU382" s="3009" t="s">
        <v>2139</v>
      </c>
      <c r="BV382" s="3011" t="s">
        <v>2468</v>
      </c>
      <c r="BW382" s="3011" t="s">
        <v>2468</v>
      </c>
      <c r="BX382" s="3011" t="s">
        <v>2468</v>
      </c>
      <c r="BY382" s="3011" t="s">
        <v>2467</v>
      </c>
      <c r="BZ382" s="3009" t="s">
        <v>2378</v>
      </c>
      <c r="CA382" s="3011" t="s">
        <v>2466</v>
      </c>
      <c r="CB382" s="3011" t="s">
        <v>2466</v>
      </c>
      <c r="CC382" s="3011" t="s">
        <v>2466</v>
      </c>
      <c r="CD382" s="3011" t="s">
        <v>2378</v>
      </c>
      <c r="CE382" s="3009" t="s">
        <v>2139</v>
      </c>
      <c r="CF382" s="3011" t="s">
        <v>2466</v>
      </c>
      <c r="CG382" s="3011" t="s">
        <v>2378</v>
      </c>
      <c r="CH382" s="3011" t="s">
        <v>2378</v>
      </c>
      <c r="CI382" s="3011" t="s">
        <v>2378</v>
      </c>
      <c r="CJ382" s="3009" t="s">
        <v>2139</v>
      </c>
      <c r="CK382" s="3504" t="s">
        <v>2378</v>
      </c>
      <c r="CL382" s="3502" t="s">
        <v>2378</v>
      </c>
      <c r="CM382" s="3502" t="s">
        <v>2378</v>
      </c>
      <c r="CN382" s="3502" t="s">
        <v>2378</v>
      </c>
      <c r="CO382" s="3815" t="s">
        <v>2378</v>
      </c>
      <c r="CP382" s="3504"/>
      <c r="CQ382" s="3502"/>
      <c r="CR382" s="212"/>
      <c r="CS382" s="212"/>
      <c r="CT382" s="194"/>
      <c r="CU382" s="194"/>
      <c r="CV382" s="194"/>
    </row>
    <row r="383" spans="1:108" x14ac:dyDescent="0.2">
      <c r="A383" s="1437" t="s">
        <v>1735</v>
      </c>
      <c r="B383" s="651"/>
      <c r="C383" s="236"/>
      <c r="D383" s="234"/>
      <c r="E383" s="234"/>
      <c r="F383" s="234"/>
      <c r="G383" s="234"/>
      <c r="H383" s="843"/>
      <c r="I383" s="852">
        <f t="shared" ref="I383:AN383" si="534">I105+I243</f>
        <v>1228</v>
      </c>
      <c r="J383" s="852">
        <f t="shared" si="534"/>
        <v>1287</v>
      </c>
      <c r="K383" s="852">
        <f t="shared" si="534"/>
        <v>1386</v>
      </c>
      <c r="L383" s="852">
        <f t="shared" si="534"/>
        <v>1482</v>
      </c>
      <c r="M383" s="843">
        <f t="shared" si="534"/>
        <v>1482</v>
      </c>
      <c r="N383" s="852">
        <f t="shared" si="534"/>
        <v>1508</v>
      </c>
      <c r="O383" s="852">
        <f t="shared" si="534"/>
        <v>1535</v>
      </c>
      <c r="P383" s="852">
        <f t="shared" si="534"/>
        <v>1572</v>
      </c>
      <c r="Q383" s="852">
        <f t="shared" si="534"/>
        <v>1612</v>
      </c>
      <c r="R383" s="843">
        <f t="shared" si="534"/>
        <v>1612</v>
      </c>
      <c r="S383" s="852">
        <f t="shared" si="534"/>
        <v>1641</v>
      </c>
      <c r="T383" s="852">
        <f t="shared" si="534"/>
        <v>1694</v>
      </c>
      <c r="U383" s="852">
        <f t="shared" si="534"/>
        <v>1733</v>
      </c>
      <c r="V383" s="852">
        <f t="shared" si="534"/>
        <v>1765</v>
      </c>
      <c r="W383" s="843">
        <f t="shared" si="534"/>
        <v>1765</v>
      </c>
      <c r="X383" s="852">
        <f t="shared" si="534"/>
        <v>1797</v>
      </c>
      <c r="Y383" s="852">
        <f t="shared" si="534"/>
        <v>1823</v>
      </c>
      <c r="Z383" s="852">
        <f t="shared" si="534"/>
        <v>1833</v>
      </c>
      <c r="AA383" s="852">
        <f t="shared" si="534"/>
        <v>1658</v>
      </c>
      <c r="AB383" s="843">
        <f t="shared" si="534"/>
        <v>1658</v>
      </c>
      <c r="AC383" s="852">
        <f t="shared" si="534"/>
        <v>1671</v>
      </c>
      <c r="AD383" s="852">
        <f t="shared" si="534"/>
        <v>1647</v>
      </c>
      <c r="AE383" s="852">
        <f t="shared" si="534"/>
        <v>1677</v>
      </c>
      <c r="AF383" s="852">
        <f t="shared" si="534"/>
        <v>1707</v>
      </c>
      <c r="AG383" s="843">
        <f t="shared" si="534"/>
        <v>1707</v>
      </c>
      <c r="AH383" s="852">
        <f t="shared" si="534"/>
        <v>1731</v>
      </c>
      <c r="AI383" s="852">
        <f t="shared" si="534"/>
        <v>1745</v>
      </c>
      <c r="AJ383" s="852">
        <f t="shared" si="534"/>
        <v>1767</v>
      </c>
      <c r="AK383" s="852">
        <f t="shared" si="534"/>
        <v>1784</v>
      </c>
      <c r="AL383" s="843">
        <f t="shared" si="534"/>
        <v>1784</v>
      </c>
      <c r="AM383" s="852">
        <f t="shared" si="534"/>
        <v>1802</v>
      </c>
      <c r="AN383" s="852">
        <f t="shared" si="534"/>
        <v>1829</v>
      </c>
      <c r="AO383" s="852">
        <f t="shared" ref="AO383:BV383" si="535">AO105+AO243</f>
        <v>1868</v>
      </c>
      <c r="AP383" s="852">
        <f t="shared" si="535"/>
        <v>1922</v>
      </c>
      <c r="AQ383" s="843">
        <f t="shared" si="535"/>
        <v>1922</v>
      </c>
      <c r="AR383" s="852">
        <f t="shared" si="535"/>
        <v>1942</v>
      </c>
      <c r="AS383" s="852">
        <f t="shared" si="535"/>
        <v>1987</v>
      </c>
      <c r="AT383" s="852">
        <f t="shared" si="535"/>
        <v>2017</v>
      </c>
      <c r="AU383" s="852">
        <f t="shared" si="535"/>
        <v>2079</v>
      </c>
      <c r="AV383" s="843">
        <f t="shared" si="535"/>
        <v>2079</v>
      </c>
      <c r="AW383" s="852">
        <f t="shared" si="535"/>
        <v>2118</v>
      </c>
      <c r="AX383" s="852">
        <f t="shared" si="535"/>
        <v>2166</v>
      </c>
      <c r="AY383" s="852">
        <f t="shared" si="535"/>
        <v>2236</v>
      </c>
      <c r="AZ383" s="852">
        <f t="shared" si="535"/>
        <v>2279</v>
      </c>
      <c r="BA383" s="843">
        <f t="shared" si="535"/>
        <v>2279</v>
      </c>
      <c r="BB383" s="852">
        <f t="shared" si="535"/>
        <v>2317</v>
      </c>
      <c r="BC383" s="852">
        <f t="shared" si="535"/>
        <v>2348</v>
      </c>
      <c r="BD383" s="852">
        <f t="shared" si="535"/>
        <v>2372</v>
      </c>
      <c r="BE383" s="852">
        <f t="shared" si="535"/>
        <v>2391</v>
      </c>
      <c r="BF383" s="843">
        <f t="shared" si="535"/>
        <v>2391</v>
      </c>
      <c r="BG383" s="852">
        <f t="shared" si="535"/>
        <v>2398</v>
      </c>
      <c r="BH383" s="852">
        <f t="shared" si="535"/>
        <v>2417</v>
      </c>
      <c r="BI383" s="852">
        <f t="shared" si="535"/>
        <v>2441</v>
      </c>
      <c r="BJ383" s="852">
        <f t="shared" si="535"/>
        <v>2467</v>
      </c>
      <c r="BK383" s="843">
        <f t="shared" si="535"/>
        <v>2467</v>
      </c>
      <c r="BL383" s="852">
        <f t="shared" si="535"/>
        <v>2483</v>
      </c>
      <c r="BM383" s="852">
        <f t="shared" si="535"/>
        <v>2507</v>
      </c>
      <c r="BN383" s="852">
        <f t="shared" si="535"/>
        <v>2531</v>
      </c>
      <c r="BO383" s="1646">
        <f t="shared" si="535"/>
        <v>2553</v>
      </c>
      <c r="BP383" s="843">
        <f t="shared" si="535"/>
        <v>2553</v>
      </c>
      <c r="BQ383" s="852">
        <f t="shared" si="535"/>
        <v>2571</v>
      </c>
      <c r="BR383" s="852">
        <f t="shared" si="535"/>
        <v>2613</v>
      </c>
      <c r="BS383" s="852">
        <f t="shared" si="535"/>
        <v>2645</v>
      </c>
      <c r="BT383" s="852">
        <f t="shared" si="535"/>
        <v>2672</v>
      </c>
      <c r="BU383" s="843">
        <f t="shared" si="535"/>
        <v>2672</v>
      </c>
      <c r="BV383" s="852">
        <f t="shared" si="535"/>
        <v>2692</v>
      </c>
      <c r="BW383" s="852">
        <f>SUM(BW353:BW369)</f>
        <v>2785</v>
      </c>
      <c r="BX383" s="852">
        <f t="shared" ref="BX383:CF383" si="536">BX105+BX243</f>
        <v>2838</v>
      </c>
      <c r="BY383" s="852">
        <f t="shared" si="536"/>
        <v>2881</v>
      </c>
      <c r="BZ383" s="843">
        <f t="shared" si="536"/>
        <v>2881</v>
      </c>
      <c r="CA383" s="852">
        <f t="shared" si="536"/>
        <v>2926</v>
      </c>
      <c r="CB383" s="852">
        <f t="shared" si="536"/>
        <v>2985</v>
      </c>
      <c r="CC383" s="852">
        <f t="shared" si="536"/>
        <v>3023</v>
      </c>
      <c r="CD383" s="852">
        <f t="shared" si="536"/>
        <v>3073</v>
      </c>
      <c r="CE383" s="843">
        <f t="shared" si="536"/>
        <v>3073</v>
      </c>
      <c r="CF383" s="852">
        <f t="shared" si="536"/>
        <v>3122</v>
      </c>
      <c r="CG383" s="852">
        <f>SUM(CG353:CG369)</f>
        <v>3190</v>
      </c>
      <c r="CH383" s="852">
        <f>SUM(CH352:CH369)</f>
        <v>3252</v>
      </c>
      <c r="CI383">
        <f>SUM(CI352:CI381)</f>
        <v>4006</v>
      </c>
      <c r="CJ383" s="843">
        <f t="shared" ref="CJ383:CL383" si="537">SUM(CJ352:CJ381)</f>
        <v>4006</v>
      </c>
      <c r="CK383" s="1775">
        <f t="shared" si="537"/>
        <v>4073</v>
      </c>
      <c r="CL383" s="854">
        <f t="shared" si="537"/>
        <v>4149</v>
      </c>
      <c r="CM383" s="854">
        <f>SUM(CM352:CM381)</f>
        <v>4249</v>
      </c>
      <c r="CN383" s="854">
        <f>SUM(CN352:CN381)</f>
        <v>4343</v>
      </c>
      <c r="CO383" s="851">
        <f>SUM(CO352:CO381)</f>
        <v>4343</v>
      </c>
      <c r="CP383" s="1775"/>
      <c r="CQ383" s="854"/>
      <c r="CR383" s="852"/>
      <c r="CS383" s="852"/>
      <c r="CT383" s="843">
        <f>CT105+CT243</f>
        <v>0</v>
      </c>
      <c r="CU383" s="843">
        <f>CU105+CU243</f>
        <v>0</v>
      </c>
      <c r="CV383" s="843">
        <f>CV105+CV243</f>
        <v>0</v>
      </c>
      <c r="DB383" s="217"/>
    </row>
    <row r="384" spans="1:108" x14ac:dyDescent="0.2">
      <c r="A384" s="1437"/>
      <c r="B384" s="651"/>
      <c r="C384" s="236"/>
      <c r="D384" s="234"/>
      <c r="E384" s="234"/>
      <c r="F384" s="234"/>
      <c r="G384" s="234"/>
      <c r="H384" s="236"/>
      <c r="I384" s="234"/>
      <c r="J384" s="234"/>
      <c r="K384" s="234"/>
      <c r="L384" s="234"/>
      <c r="M384" s="236"/>
      <c r="N384" s="234"/>
      <c r="O384" s="234"/>
      <c r="P384" s="234"/>
      <c r="Q384" s="234"/>
      <c r="R384" s="236"/>
      <c r="S384" s="234"/>
      <c r="T384" s="234"/>
      <c r="U384" s="234"/>
      <c r="V384" s="234"/>
      <c r="W384" s="236"/>
      <c r="X384" s="234"/>
      <c r="Y384" s="234"/>
      <c r="Z384" s="234"/>
      <c r="AA384" s="234"/>
      <c r="AB384" s="236"/>
      <c r="AC384" s="234"/>
      <c r="AD384" s="234"/>
      <c r="AE384" s="234"/>
      <c r="AF384" s="234"/>
      <c r="AG384" s="236"/>
      <c r="AH384" s="234"/>
      <c r="AI384" s="234"/>
      <c r="AJ384" s="234"/>
      <c r="AK384" s="234"/>
      <c r="AL384" s="236"/>
      <c r="AM384" s="234"/>
      <c r="AN384" s="234"/>
      <c r="AO384" s="234"/>
      <c r="AP384" s="234"/>
      <c r="AQ384" s="236"/>
      <c r="AR384" s="234"/>
      <c r="AS384" s="234"/>
      <c r="AT384" s="234"/>
      <c r="AU384" s="234"/>
      <c r="AV384" s="236"/>
      <c r="AW384" s="234"/>
      <c r="AX384" s="234"/>
      <c r="AY384" s="234"/>
      <c r="AZ384" s="234"/>
      <c r="BA384" s="236"/>
      <c r="BB384" s="234"/>
      <c r="BC384" s="234"/>
      <c r="BD384" s="234"/>
      <c r="BE384" s="234"/>
      <c r="BF384" s="236"/>
      <c r="BG384" s="234"/>
      <c r="BH384" s="234"/>
      <c r="BI384" s="234"/>
      <c r="BJ384" s="234"/>
      <c r="BK384" s="236"/>
      <c r="BL384" s="212"/>
      <c r="BM384" s="212"/>
      <c r="BN384" s="212"/>
      <c r="BO384" s="208"/>
      <c r="BP384" s="236"/>
      <c r="BQ384" s="212"/>
      <c r="BR384" s="212"/>
      <c r="BS384" s="212"/>
      <c r="BT384" s="212"/>
      <c r="BU384" s="236"/>
      <c r="BV384" s="212"/>
      <c r="BW384" s="212"/>
      <c r="BX384" s="212"/>
      <c r="BY384" s="212"/>
      <c r="BZ384" s="236"/>
      <c r="CA384" s="212"/>
      <c r="CB384" s="212"/>
      <c r="CC384" s="212"/>
      <c r="CD384" s="212"/>
      <c r="CE384" s="236"/>
      <c r="CF384" s="212"/>
      <c r="CG384" s="212"/>
      <c r="CH384" s="212"/>
      <c r="CI384" s="212"/>
      <c r="CJ384" s="236"/>
      <c r="CK384" s="3509"/>
      <c r="CL384" s="2907"/>
      <c r="CM384" s="2907"/>
      <c r="CN384" s="212"/>
      <c r="CO384" s="236"/>
      <c r="CP384" s="3509"/>
      <c r="CQ384" s="2907"/>
      <c r="CR384" s="212"/>
      <c r="CS384" s="212"/>
      <c r="CT384" s="236"/>
      <c r="CU384" s="236"/>
      <c r="CV384" s="236"/>
    </row>
    <row r="385" spans="1:106" x14ac:dyDescent="0.2">
      <c r="A385" s="1435" t="s">
        <v>469</v>
      </c>
      <c r="B385" s="651"/>
      <c r="C385" s="236"/>
      <c r="D385" s="234"/>
      <c r="E385" s="234"/>
      <c r="F385" s="234"/>
      <c r="G385" s="234"/>
      <c r="H385" s="236"/>
      <c r="I385" s="847"/>
      <c r="J385" s="234"/>
      <c r="K385" s="234"/>
      <c r="L385" s="234"/>
      <c r="M385" s="236"/>
      <c r="N385" s="234"/>
      <c r="O385" s="234"/>
      <c r="P385" s="234"/>
      <c r="Q385" s="234"/>
      <c r="R385" s="236"/>
      <c r="S385" s="234"/>
      <c r="T385" s="234"/>
      <c r="U385" s="234"/>
      <c r="V385" s="234"/>
      <c r="W385" s="236"/>
      <c r="X385" s="234"/>
      <c r="Y385" s="234"/>
      <c r="Z385" s="234"/>
      <c r="AA385" s="234"/>
      <c r="AB385" s="236"/>
      <c r="AC385" s="234"/>
      <c r="AD385" s="234"/>
      <c r="AE385" s="234"/>
      <c r="AF385" s="234"/>
      <c r="AG385" s="236"/>
      <c r="AH385" s="234"/>
      <c r="AI385" s="234"/>
      <c r="AJ385" s="234"/>
      <c r="AK385" s="234"/>
      <c r="AL385" s="236"/>
      <c r="AM385" s="234"/>
      <c r="AN385" s="234"/>
      <c r="AO385" s="234"/>
      <c r="AP385" s="234"/>
      <c r="AQ385" s="236"/>
      <c r="AR385" s="234"/>
      <c r="AS385" s="234"/>
      <c r="AT385" s="234"/>
      <c r="AU385" s="234"/>
      <c r="AV385" s="236"/>
      <c r="AW385" s="234"/>
      <c r="AX385" s="234"/>
      <c r="AY385" s="234"/>
      <c r="AZ385" s="234"/>
      <c r="BA385" s="236"/>
      <c r="BB385" s="234"/>
      <c r="BC385" s="234"/>
      <c r="BD385" s="234"/>
      <c r="BE385" s="234"/>
      <c r="BF385" s="236"/>
      <c r="BG385" s="234"/>
      <c r="BH385" s="234"/>
      <c r="BI385" s="234"/>
      <c r="BJ385" s="234"/>
      <c r="BK385" s="236"/>
      <c r="BL385" s="212"/>
      <c r="BM385" s="212"/>
      <c r="BN385" s="212"/>
      <c r="BO385" s="208"/>
      <c r="BP385" s="236"/>
      <c r="BQ385" s="212"/>
      <c r="BR385" s="212"/>
      <c r="BS385" s="212"/>
      <c r="BT385" s="212"/>
      <c r="BU385" s="236"/>
      <c r="BV385" s="212"/>
      <c r="BW385" s="212"/>
      <c r="BX385" s="212"/>
      <c r="BY385" s="212"/>
      <c r="BZ385" s="236"/>
      <c r="CA385" s="212"/>
      <c r="CB385" s="212"/>
      <c r="CC385" s="212"/>
      <c r="CD385" s="212"/>
      <c r="CE385" s="236"/>
      <c r="CF385" s="212"/>
      <c r="CG385" s="212"/>
      <c r="CH385" s="212"/>
      <c r="CI385" s="212"/>
      <c r="CJ385" s="236"/>
      <c r="CK385" s="3509"/>
      <c r="CL385" s="212"/>
      <c r="CM385" s="212"/>
      <c r="CN385" s="212"/>
      <c r="CO385" s="236"/>
      <c r="CP385" s="3509"/>
      <c r="CQ385" s="212"/>
      <c r="CR385" s="212"/>
      <c r="CS385" s="212"/>
      <c r="CT385" s="236"/>
      <c r="CU385" s="236"/>
      <c r="CV385" s="236"/>
    </row>
    <row r="386" spans="1:106" x14ac:dyDescent="0.2">
      <c r="A386" s="2308" t="s">
        <v>456</v>
      </c>
      <c r="B386" s="651"/>
      <c r="C386" s="236"/>
      <c r="D386" s="234"/>
      <c r="E386" s="234"/>
      <c r="F386" s="234"/>
      <c r="G386" s="234"/>
      <c r="H386" s="236"/>
      <c r="I386" s="847"/>
      <c r="J386" s="234"/>
      <c r="K386" s="234"/>
      <c r="L386" s="234"/>
      <c r="M386" s="236"/>
      <c r="N386" s="234"/>
      <c r="O386" s="234"/>
      <c r="P386" s="234"/>
      <c r="Q386" s="234"/>
      <c r="R386" s="236"/>
      <c r="S386" s="234"/>
      <c r="T386" s="234"/>
      <c r="U386" s="234"/>
      <c r="V386" s="234"/>
      <c r="W386" s="236"/>
      <c r="X386" s="234"/>
      <c r="Y386" s="234"/>
      <c r="Z386" s="234"/>
      <c r="AA386" s="234"/>
      <c r="AB386" s="236"/>
      <c r="AC386" s="234"/>
      <c r="AD386" s="234"/>
      <c r="AE386" s="234"/>
      <c r="AF386" s="234"/>
      <c r="AG386" s="236"/>
      <c r="AH386" s="234"/>
      <c r="AI386" s="234"/>
      <c r="AJ386" s="234"/>
      <c r="AK386" s="234"/>
      <c r="AL386" s="236"/>
      <c r="AM386" s="234"/>
      <c r="AN386" s="234"/>
      <c r="AO386" s="234"/>
      <c r="AP386" s="234"/>
      <c r="AQ386" s="236"/>
      <c r="AR386" s="234"/>
      <c r="AS386" s="234"/>
      <c r="AT386" s="234"/>
      <c r="AU386" s="234"/>
      <c r="AV386" s="236"/>
      <c r="AW386" s="234"/>
      <c r="AX386" s="234"/>
      <c r="AY386" s="234"/>
      <c r="AZ386" s="234"/>
      <c r="BA386" s="236"/>
      <c r="BB386" s="234"/>
      <c r="BC386" s="234"/>
      <c r="BD386" s="234"/>
      <c r="BE386" s="234"/>
      <c r="BF386" s="236"/>
      <c r="BG386" s="234"/>
      <c r="BH386" s="234"/>
      <c r="BI386" s="234"/>
      <c r="BJ386" s="234"/>
      <c r="BK386" s="236"/>
      <c r="BL386" s="212"/>
      <c r="BM386" s="212"/>
      <c r="BN386" s="212"/>
      <c r="BO386" s="208"/>
      <c r="BP386" s="236"/>
      <c r="BQ386" s="212"/>
      <c r="BR386" s="212"/>
      <c r="BS386" s="212"/>
      <c r="BT386" s="212"/>
      <c r="BU386" s="236"/>
      <c r="BV386" s="212"/>
      <c r="BW386" s="212"/>
      <c r="BX386" s="212"/>
      <c r="BY386" s="212"/>
      <c r="BZ386" s="236"/>
      <c r="CA386" s="212"/>
      <c r="CB386" s="212"/>
      <c r="CC386" s="212"/>
      <c r="CD386" s="212"/>
      <c r="CE386" s="236"/>
      <c r="CF386" s="212"/>
      <c r="CG386" s="212"/>
      <c r="CH386" s="847">
        <f>CH352+CH317+CH284</f>
        <v>81</v>
      </c>
      <c r="CI386" s="847">
        <f>CI352+CI317+CI284</f>
        <v>84</v>
      </c>
      <c r="CJ386" s="236">
        <f>+CI386</f>
        <v>84</v>
      </c>
      <c r="CK386" s="3510">
        <f t="shared" ref="CK386:CM387" si="538">CK352+CK317+CK284</f>
        <v>84</v>
      </c>
      <c r="CL386" s="2350">
        <f t="shared" si="538"/>
        <v>83</v>
      </c>
      <c r="CM386" s="2350">
        <f t="shared" si="538"/>
        <v>79</v>
      </c>
      <c r="CN386" s="2350">
        <f t="shared" ref="CN386:CO386" si="539">CN352+CN317+CN284</f>
        <v>81</v>
      </c>
      <c r="CO386" s="2289">
        <f t="shared" si="539"/>
        <v>81</v>
      </c>
      <c r="CP386" s="3510"/>
      <c r="CQ386" s="2350"/>
      <c r="CR386" s="212"/>
      <c r="CS386" s="212"/>
      <c r="CT386" s="236"/>
      <c r="CU386" s="236"/>
      <c r="CV386" s="236"/>
    </row>
    <row r="387" spans="1:106" x14ac:dyDescent="0.2">
      <c r="A387" s="1434" t="s">
        <v>346</v>
      </c>
      <c r="B387" s="651"/>
      <c r="C387" s="236"/>
      <c r="D387" s="234"/>
      <c r="E387" s="234"/>
      <c r="F387" s="234"/>
      <c r="G387" s="234"/>
      <c r="H387" s="661"/>
      <c r="I387" s="847">
        <f t="shared" ref="I387:AN387" si="540">I353+I318+I285</f>
        <v>396</v>
      </c>
      <c r="J387" s="847">
        <f t="shared" si="540"/>
        <v>409</v>
      </c>
      <c r="K387" s="847">
        <f t="shared" si="540"/>
        <v>419</v>
      </c>
      <c r="L387" s="847">
        <f t="shared" si="540"/>
        <v>421</v>
      </c>
      <c r="M387" s="661">
        <f t="shared" si="540"/>
        <v>421</v>
      </c>
      <c r="N387" s="847">
        <f t="shared" si="540"/>
        <v>425</v>
      </c>
      <c r="O387" s="847">
        <f t="shared" si="540"/>
        <v>430</v>
      </c>
      <c r="P387" s="847">
        <f t="shared" si="540"/>
        <v>436</v>
      </c>
      <c r="Q387" s="847">
        <f t="shared" si="540"/>
        <v>447</v>
      </c>
      <c r="R387" s="661">
        <f t="shared" si="540"/>
        <v>447</v>
      </c>
      <c r="S387" s="847">
        <f t="shared" si="540"/>
        <v>455</v>
      </c>
      <c r="T387" s="847">
        <f t="shared" si="540"/>
        <v>462</v>
      </c>
      <c r="U387" s="847">
        <f t="shared" si="540"/>
        <v>465</v>
      </c>
      <c r="V387" s="847">
        <f t="shared" si="540"/>
        <v>469</v>
      </c>
      <c r="W387" s="661">
        <f t="shared" si="540"/>
        <v>469</v>
      </c>
      <c r="X387" s="847">
        <f t="shared" si="540"/>
        <v>474</v>
      </c>
      <c r="Y387" s="847">
        <f t="shared" si="540"/>
        <v>481</v>
      </c>
      <c r="Z387" s="847">
        <f t="shared" si="540"/>
        <v>486</v>
      </c>
      <c r="AA387" s="847">
        <f t="shared" si="540"/>
        <v>489</v>
      </c>
      <c r="AB387" s="661">
        <f t="shared" si="540"/>
        <v>489</v>
      </c>
      <c r="AC387" s="847">
        <f t="shared" si="540"/>
        <v>490</v>
      </c>
      <c r="AD387" s="847">
        <f t="shared" si="540"/>
        <v>497</v>
      </c>
      <c r="AE387" s="847">
        <f t="shared" si="540"/>
        <v>508</v>
      </c>
      <c r="AF387" s="847">
        <f t="shared" si="540"/>
        <v>512</v>
      </c>
      <c r="AG387" s="661">
        <f t="shared" si="540"/>
        <v>512</v>
      </c>
      <c r="AH387" s="847">
        <f t="shared" si="540"/>
        <v>519</v>
      </c>
      <c r="AI387" s="847">
        <f t="shared" si="540"/>
        <v>520</v>
      </c>
      <c r="AJ387" s="847">
        <f t="shared" si="540"/>
        <v>517</v>
      </c>
      <c r="AK387" s="847">
        <f t="shared" si="540"/>
        <v>519</v>
      </c>
      <c r="AL387" s="661">
        <f t="shared" si="540"/>
        <v>519</v>
      </c>
      <c r="AM387" s="847">
        <f t="shared" si="540"/>
        <v>518</v>
      </c>
      <c r="AN387" s="847">
        <f t="shared" si="540"/>
        <v>521</v>
      </c>
      <c r="AO387" s="847">
        <f t="shared" ref="AO387:BT387" si="541">AO353+AO318+AO285</f>
        <v>521</v>
      </c>
      <c r="AP387" s="847">
        <f t="shared" si="541"/>
        <v>520</v>
      </c>
      <c r="AQ387" s="661">
        <f t="shared" si="541"/>
        <v>520</v>
      </c>
      <c r="AR387" s="847">
        <f t="shared" si="541"/>
        <v>522</v>
      </c>
      <c r="AS387" s="847">
        <f t="shared" si="541"/>
        <v>523</v>
      </c>
      <c r="AT387" s="847">
        <f t="shared" si="541"/>
        <v>524</v>
      </c>
      <c r="AU387" s="847">
        <f t="shared" si="541"/>
        <v>531</v>
      </c>
      <c r="AV387" s="661">
        <f t="shared" si="541"/>
        <v>531</v>
      </c>
      <c r="AW387" s="847">
        <f t="shared" si="541"/>
        <v>534</v>
      </c>
      <c r="AX387" s="847">
        <f t="shared" si="541"/>
        <v>536</v>
      </c>
      <c r="AY387" s="847">
        <f t="shared" si="541"/>
        <v>538</v>
      </c>
      <c r="AZ387" s="847">
        <f t="shared" si="541"/>
        <v>545</v>
      </c>
      <c r="BA387" s="661">
        <f t="shared" si="541"/>
        <v>545</v>
      </c>
      <c r="BB387" s="847">
        <f t="shared" si="541"/>
        <v>550</v>
      </c>
      <c r="BC387" s="847">
        <f t="shared" si="541"/>
        <v>547</v>
      </c>
      <c r="BD387" s="847">
        <f t="shared" si="541"/>
        <v>549</v>
      </c>
      <c r="BE387" s="847">
        <f t="shared" si="541"/>
        <v>552</v>
      </c>
      <c r="BF387" s="661">
        <f t="shared" si="541"/>
        <v>552</v>
      </c>
      <c r="BG387" s="847">
        <f t="shared" si="541"/>
        <v>553</v>
      </c>
      <c r="BH387" s="847">
        <f t="shared" si="541"/>
        <v>554</v>
      </c>
      <c r="BI387" s="847">
        <f t="shared" si="541"/>
        <v>554</v>
      </c>
      <c r="BJ387" s="847">
        <f t="shared" si="541"/>
        <v>553</v>
      </c>
      <c r="BK387" s="661">
        <f t="shared" si="541"/>
        <v>553</v>
      </c>
      <c r="BL387" s="847">
        <f t="shared" si="541"/>
        <v>551</v>
      </c>
      <c r="BM387" s="847">
        <f t="shared" si="541"/>
        <v>551</v>
      </c>
      <c r="BN387" s="847">
        <f t="shared" si="541"/>
        <v>550</v>
      </c>
      <c r="BO387" s="1431">
        <f t="shared" si="541"/>
        <v>556</v>
      </c>
      <c r="BP387" s="661">
        <f t="shared" si="541"/>
        <v>556</v>
      </c>
      <c r="BQ387" s="847">
        <f t="shared" si="541"/>
        <v>556</v>
      </c>
      <c r="BR387" s="847">
        <f t="shared" si="541"/>
        <v>554</v>
      </c>
      <c r="BS387" s="847">
        <f t="shared" si="541"/>
        <v>556</v>
      </c>
      <c r="BT387" s="847">
        <f t="shared" si="541"/>
        <v>556</v>
      </c>
      <c r="BU387" s="661">
        <f t="shared" ref="BU387:CG387" si="542">BU353+BU318+BU285</f>
        <v>556</v>
      </c>
      <c r="BV387" s="847">
        <f t="shared" si="542"/>
        <v>561</v>
      </c>
      <c r="BW387" s="847">
        <f t="shared" si="542"/>
        <v>565</v>
      </c>
      <c r="BX387" s="847">
        <f t="shared" si="542"/>
        <v>568</v>
      </c>
      <c r="BY387" s="847">
        <f t="shared" si="542"/>
        <v>575</v>
      </c>
      <c r="BZ387" s="661">
        <f t="shared" si="542"/>
        <v>575</v>
      </c>
      <c r="CA387" s="847">
        <f t="shared" si="542"/>
        <v>582</v>
      </c>
      <c r="CB387" s="847">
        <f t="shared" si="542"/>
        <v>589</v>
      </c>
      <c r="CC387" s="847">
        <f t="shared" si="542"/>
        <v>595</v>
      </c>
      <c r="CD387" s="847">
        <f t="shared" si="542"/>
        <v>600</v>
      </c>
      <c r="CE387" s="661">
        <f t="shared" si="542"/>
        <v>600</v>
      </c>
      <c r="CF387" s="847">
        <f t="shared" si="542"/>
        <v>602</v>
      </c>
      <c r="CG387" s="847">
        <f t="shared" si="542"/>
        <v>609</v>
      </c>
      <c r="CH387" s="847">
        <f>CH353+CH318+CH285</f>
        <v>536</v>
      </c>
      <c r="CI387" s="847">
        <f>CI353+CI318+CI285</f>
        <v>543</v>
      </c>
      <c r="CJ387" s="236">
        <f t="shared" ref="CJ387:CJ417" si="543">+CI387</f>
        <v>543</v>
      </c>
      <c r="CK387" s="3510">
        <f t="shared" si="538"/>
        <v>541</v>
      </c>
      <c r="CL387" s="847">
        <f t="shared" si="538"/>
        <v>546</v>
      </c>
      <c r="CM387" s="847">
        <f t="shared" si="538"/>
        <v>558</v>
      </c>
      <c r="CN387" s="847">
        <f t="shared" ref="CN387:CO387" si="544">CN353+CN318+CN285</f>
        <v>566</v>
      </c>
      <c r="CO387" s="661">
        <f t="shared" si="544"/>
        <v>566</v>
      </c>
      <c r="CP387" s="3510"/>
      <c r="CQ387" s="847"/>
      <c r="CR387" s="847"/>
      <c r="CS387" s="847"/>
      <c r="CT387" s="661">
        <f>CT353+CT318+CT285</f>
        <v>0</v>
      </c>
      <c r="CU387" s="661">
        <f>CU353+CU318+CU285</f>
        <v>0</v>
      </c>
      <c r="CV387" s="661">
        <f>CV353+CV318+CV285</f>
        <v>0</v>
      </c>
      <c r="DB387" s="217"/>
    </row>
    <row r="388" spans="1:106" x14ac:dyDescent="0.2">
      <c r="A388" s="1434" t="s">
        <v>1385</v>
      </c>
      <c r="B388" s="651"/>
      <c r="C388" s="236"/>
      <c r="D388" s="234"/>
      <c r="E388" s="234"/>
      <c r="F388" s="234"/>
      <c r="G388" s="234"/>
      <c r="H388" s="661"/>
      <c r="I388" s="847">
        <f t="shared" ref="I388:AN388" si="545">I354+I319+I286</f>
        <v>113</v>
      </c>
      <c r="J388" s="847">
        <f t="shared" si="545"/>
        <v>114</v>
      </c>
      <c r="K388" s="847">
        <f t="shared" si="545"/>
        <v>118</v>
      </c>
      <c r="L388" s="847">
        <f t="shared" si="545"/>
        <v>123</v>
      </c>
      <c r="M388" s="661">
        <f t="shared" si="545"/>
        <v>123</v>
      </c>
      <c r="N388" s="847">
        <f t="shared" si="545"/>
        <v>124</v>
      </c>
      <c r="O388" s="847">
        <f t="shared" si="545"/>
        <v>124</v>
      </c>
      <c r="P388" s="847">
        <f t="shared" si="545"/>
        <v>123</v>
      </c>
      <c r="Q388" s="847">
        <f t="shared" si="545"/>
        <v>126</v>
      </c>
      <c r="R388" s="661">
        <f t="shared" si="545"/>
        <v>126</v>
      </c>
      <c r="S388" s="847">
        <f t="shared" si="545"/>
        <v>129</v>
      </c>
      <c r="T388" s="847">
        <f t="shared" si="545"/>
        <v>126</v>
      </c>
      <c r="U388" s="847">
        <f t="shared" si="545"/>
        <v>126</v>
      </c>
      <c r="V388" s="847">
        <f t="shared" si="545"/>
        <v>126</v>
      </c>
      <c r="W388" s="661">
        <f t="shared" si="545"/>
        <v>126</v>
      </c>
      <c r="X388" s="847">
        <f t="shared" si="545"/>
        <v>126</v>
      </c>
      <c r="Y388" s="847">
        <f t="shared" si="545"/>
        <v>129</v>
      </c>
      <c r="Z388" s="847">
        <f t="shared" si="545"/>
        <v>131</v>
      </c>
      <c r="AA388" s="847">
        <f t="shared" si="545"/>
        <v>133</v>
      </c>
      <c r="AB388" s="661">
        <f t="shared" si="545"/>
        <v>133</v>
      </c>
      <c r="AC388" s="847">
        <f t="shared" si="545"/>
        <v>135</v>
      </c>
      <c r="AD388" s="847">
        <f t="shared" si="545"/>
        <v>136</v>
      </c>
      <c r="AE388" s="847">
        <f t="shared" si="545"/>
        <v>129</v>
      </c>
      <c r="AF388" s="847">
        <f t="shared" si="545"/>
        <v>130</v>
      </c>
      <c r="AG388" s="661">
        <f t="shared" si="545"/>
        <v>130</v>
      </c>
      <c r="AH388" s="847">
        <f t="shared" si="545"/>
        <v>131</v>
      </c>
      <c r="AI388" s="847">
        <f t="shared" si="545"/>
        <v>131</v>
      </c>
      <c r="AJ388" s="847">
        <f t="shared" si="545"/>
        <v>134</v>
      </c>
      <c r="AK388" s="847">
        <f t="shared" si="545"/>
        <v>133</v>
      </c>
      <c r="AL388" s="661">
        <f t="shared" si="545"/>
        <v>133</v>
      </c>
      <c r="AM388" s="847">
        <f t="shared" si="545"/>
        <v>135</v>
      </c>
      <c r="AN388" s="847">
        <f t="shared" si="545"/>
        <v>138</v>
      </c>
      <c r="AO388" s="847">
        <f t="shared" ref="AO388:BT388" si="546">AO354+AO319+AO286</f>
        <v>139</v>
      </c>
      <c r="AP388" s="847">
        <f t="shared" si="546"/>
        <v>138</v>
      </c>
      <c r="AQ388" s="661">
        <f t="shared" si="546"/>
        <v>138</v>
      </c>
      <c r="AR388" s="847">
        <f t="shared" si="546"/>
        <v>139</v>
      </c>
      <c r="AS388" s="847">
        <f t="shared" si="546"/>
        <v>136</v>
      </c>
      <c r="AT388" s="847">
        <f t="shared" si="546"/>
        <v>136</v>
      </c>
      <c r="AU388" s="847">
        <f t="shared" si="546"/>
        <v>137</v>
      </c>
      <c r="AV388" s="661">
        <f t="shared" si="546"/>
        <v>137</v>
      </c>
      <c r="AW388" s="847">
        <f t="shared" si="546"/>
        <v>138</v>
      </c>
      <c r="AX388" s="847">
        <f t="shared" si="546"/>
        <v>140</v>
      </c>
      <c r="AY388" s="847">
        <f t="shared" si="546"/>
        <v>139</v>
      </c>
      <c r="AZ388" s="847">
        <f t="shared" si="546"/>
        <v>139</v>
      </c>
      <c r="BA388" s="661">
        <f t="shared" si="546"/>
        <v>139</v>
      </c>
      <c r="BB388" s="847">
        <f t="shared" si="546"/>
        <v>141</v>
      </c>
      <c r="BC388" s="847">
        <f t="shared" si="546"/>
        <v>143</v>
      </c>
      <c r="BD388" s="847">
        <f t="shared" si="546"/>
        <v>143</v>
      </c>
      <c r="BE388" s="847">
        <f t="shared" si="546"/>
        <v>144</v>
      </c>
      <c r="BF388" s="661">
        <f t="shared" si="546"/>
        <v>144</v>
      </c>
      <c r="BG388" s="847">
        <f t="shared" si="546"/>
        <v>149</v>
      </c>
      <c r="BH388" s="847">
        <f t="shared" si="546"/>
        <v>150</v>
      </c>
      <c r="BI388" s="847">
        <f t="shared" si="546"/>
        <v>151</v>
      </c>
      <c r="BJ388" s="847">
        <f t="shared" si="546"/>
        <v>153</v>
      </c>
      <c r="BK388" s="661">
        <f t="shared" si="546"/>
        <v>153</v>
      </c>
      <c r="BL388" s="847">
        <f t="shared" si="546"/>
        <v>153</v>
      </c>
      <c r="BM388" s="847">
        <f t="shared" si="546"/>
        <v>154</v>
      </c>
      <c r="BN388" s="847">
        <f t="shared" si="546"/>
        <v>154</v>
      </c>
      <c r="BO388" s="1431">
        <f t="shared" si="546"/>
        <v>154</v>
      </c>
      <c r="BP388" s="661">
        <f t="shared" si="546"/>
        <v>154</v>
      </c>
      <c r="BQ388" s="847">
        <f t="shared" si="546"/>
        <v>152</v>
      </c>
      <c r="BR388" s="847">
        <f t="shared" si="546"/>
        <v>153</v>
      </c>
      <c r="BS388" s="847">
        <f t="shared" si="546"/>
        <v>153</v>
      </c>
      <c r="BT388" s="847">
        <f t="shared" si="546"/>
        <v>152</v>
      </c>
      <c r="BU388" s="661">
        <f t="shared" ref="BU388:CV388" si="547">BU354+BU319+BU286</f>
        <v>152</v>
      </c>
      <c r="BV388" s="847">
        <f t="shared" si="547"/>
        <v>153</v>
      </c>
      <c r="BW388" s="847">
        <f t="shared" si="547"/>
        <v>158</v>
      </c>
      <c r="BX388" s="847">
        <f t="shared" si="547"/>
        <v>158</v>
      </c>
      <c r="BY388" s="847">
        <f t="shared" si="547"/>
        <v>158</v>
      </c>
      <c r="BZ388" s="661">
        <f t="shared" si="547"/>
        <v>158</v>
      </c>
      <c r="CA388" s="847">
        <f t="shared" si="547"/>
        <v>158</v>
      </c>
      <c r="CB388" s="847">
        <f t="shared" si="547"/>
        <v>158</v>
      </c>
      <c r="CC388" s="847">
        <f t="shared" si="547"/>
        <v>157</v>
      </c>
      <c r="CD388" s="847">
        <f t="shared" si="547"/>
        <v>159</v>
      </c>
      <c r="CE388" s="661">
        <f t="shared" si="547"/>
        <v>159</v>
      </c>
      <c r="CF388" s="847">
        <f t="shared" si="547"/>
        <v>161</v>
      </c>
      <c r="CG388" s="847">
        <f t="shared" si="547"/>
        <v>161</v>
      </c>
      <c r="CH388" s="847">
        <f t="shared" si="547"/>
        <v>161</v>
      </c>
      <c r="CI388" s="847">
        <f t="shared" si="547"/>
        <v>162</v>
      </c>
      <c r="CJ388" s="236">
        <f t="shared" si="543"/>
        <v>162</v>
      </c>
      <c r="CK388" s="3510">
        <f>CK354+CK319+CK286</f>
        <v>162</v>
      </c>
      <c r="CL388" s="847">
        <f t="shared" si="547"/>
        <v>164</v>
      </c>
      <c r="CM388" s="847">
        <f>CM354+CM319+CM286</f>
        <v>167</v>
      </c>
      <c r="CN388" s="847">
        <f>CN354+CN319+CN286</f>
        <v>168</v>
      </c>
      <c r="CO388" s="661">
        <f>CO354+CO319+CO286</f>
        <v>168</v>
      </c>
      <c r="CP388" s="3510"/>
      <c r="CQ388" s="847"/>
      <c r="CR388" s="847"/>
      <c r="CS388" s="847"/>
      <c r="CT388" s="661">
        <f>CT354+CT319+CT286</f>
        <v>0</v>
      </c>
      <c r="CU388" s="661">
        <f t="shared" si="547"/>
        <v>0</v>
      </c>
      <c r="CV388" s="661">
        <f t="shared" si="547"/>
        <v>0</v>
      </c>
      <c r="DB388" s="217"/>
    </row>
    <row r="389" spans="1:106" x14ac:dyDescent="0.2">
      <c r="A389" s="1434" t="s">
        <v>2190</v>
      </c>
      <c r="B389" s="651"/>
      <c r="C389" s="236"/>
      <c r="D389" s="234"/>
      <c r="E389" s="234"/>
      <c r="F389" s="234"/>
      <c r="G389" s="234"/>
      <c r="H389" s="661"/>
      <c r="I389" s="847"/>
      <c r="J389" s="847"/>
      <c r="K389" s="847"/>
      <c r="L389" s="847"/>
      <c r="M389" s="661"/>
      <c r="N389" s="847"/>
      <c r="O389" s="847"/>
      <c r="P389" s="847"/>
      <c r="Q389" s="847"/>
      <c r="R389" s="661"/>
      <c r="S389" s="847"/>
      <c r="T389" s="847"/>
      <c r="U389" s="847"/>
      <c r="V389" s="847"/>
      <c r="W389" s="661"/>
      <c r="X389" s="847"/>
      <c r="Y389" s="847"/>
      <c r="Z389" s="847"/>
      <c r="AA389" s="847"/>
      <c r="AB389" s="661"/>
      <c r="AC389" s="847"/>
      <c r="AD389" s="847"/>
      <c r="AE389" s="847"/>
      <c r="AF389" s="847"/>
      <c r="AG389" s="661"/>
      <c r="AH389" s="847"/>
      <c r="AI389" s="847"/>
      <c r="AJ389" s="847"/>
      <c r="AK389" s="847"/>
      <c r="AL389" s="661"/>
      <c r="AM389" s="847"/>
      <c r="AN389" s="847"/>
      <c r="AO389" s="847"/>
      <c r="AP389" s="847"/>
      <c r="AQ389" s="661"/>
      <c r="AR389" s="847"/>
      <c r="AS389" s="847"/>
      <c r="AT389" s="847"/>
      <c r="AU389" s="847"/>
      <c r="AV389" s="661"/>
      <c r="AW389" s="847"/>
      <c r="AX389" s="847"/>
      <c r="AY389" s="847"/>
      <c r="AZ389" s="847"/>
      <c r="BA389" s="661"/>
      <c r="BB389" s="847"/>
      <c r="BC389" s="847"/>
      <c r="BD389" s="847"/>
      <c r="BE389" s="847"/>
      <c r="BF389" s="661"/>
      <c r="BG389" s="847"/>
      <c r="BH389" s="847"/>
      <c r="BI389" s="847"/>
      <c r="BJ389" s="847"/>
      <c r="BK389" s="661"/>
      <c r="BL389" s="847"/>
      <c r="BM389" s="847"/>
      <c r="BN389" s="847"/>
      <c r="BO389" s="1431">
        <f t="shared" ref="BO389:CV389" si="548">BO322</f>
        <v>5</v>
      </c>
      <c r="BP389" s="1431">
        <f t="shared" si="548"/>
        <v>5</v>
      </c>
      <c r="BQ389" s="847">
        <f t="shared" si="548"/>
        <v>5</v>
      </c>
      <c r="BR389" s="847">
        <f t="shared" si="548"/>
        <v>5</v>
      </c>
      <c r="BS389" s="847">
        <f t="shared" si="548"/>
        <v>5</v>
      </c>
      <c r="BT389" s="1431">
        <f t="shared" si="548"/>
        <v>5</v>
      </c>
      <c r="BU389" s="1431">
        <f t="shared" si="548"/>
        <v>5</v>
      </c>
      <c r="BV389" s="847">
        <f t="shared" si="548"/>
        <v>5</v>
      </c>
      <c r="BW389" s="847">
        <f t="shared" si="548"/>
        <v>5</v>
      </c>
      <c r="BX389" s="847">
        <f t="shared" si="548"/>
        <v>5</v>
      </c>
      <c r="BY389" s="847">
        <f t="shared" si="548"/>
        <v>5</v>
      </c>
      <c r="BZ389" s="1431">
        <f t="shared" si="548"/>
        <v>5</v>
      </c>
      <c r="CA389" s="847">
        <f t="shared" si="548"/>
        <v>5</v>
      </c>
      <c r="CB389" s="847">
        <f t="shared" si="548"/>
        <v>5</v>
      </c>
      <c r="CC389" s="847">
        <f t="shared" si="548"/>
        <v>5</v>
      </c>
      <c r="CD389" s="1431">
        <f t="shared" si="548"/>
        <v>5</v>
      </c>
      <c r="CE389" s="1431">
        <f t="shared" si="548"/>
        <v>5</v>
      </c>
      <c r="CF389" s="847">
        <f t="shared" si="548"/>
        <v>5</v>
      </c>
      <c r="CG389" s="847">
        <f t="shared" si="548"/>
        <v>5</v>
      </c>
      <c r="CH389" s="847">
        <f t="shared" si="548"/>
        <v>5</v>
      </c>
      <c r="CI389" s="1431">
        <f t="shared" si="548"/>
        <v>5</v>
      </c>
      <c r="CJ389" s="236">
        <f t="shared" si="543"/>
        <v>5</v>
      </c>
      <c r="CK389" s="3510">
        <f>CK322</f>
        <v>5</v>
      </c>
      <c r="CL389" s="847">
        <f t="shared" si="548"/>
        <v>5</v>
      </c>
      <c r="CM389" s="847">
        <f>CM322</f>
        <v>5</v>
      </c>
      <c r="CN389" s="847">
        <f>CN322</f>
        <v>5</v>
      </c>
      <c r="CO389" s="661">
        <f>CO322</f>
        <v>5</v>
      </c>
      <c r="CP389" s="3510"/>
      <c r="CQ389" s="847"/>
      <c r="CR389" s="847"/>
      <c r="CS389" s="847"/>
      <c r="CT389" s="661">
        <f>CT322</f>
        <v>0</v>
      </c>
      <c r="CU389" s="1431">
        <f t="shared" si="548"/>
        <v>0</v>
      </c>
      <c r="CV389" s="1431">
        <f t="shared" si="548"/>
        <v>0</v>
      </c>
      <c r="DB389" s="217"/>
    </row>
    <row r="390" spans="1:106" x14ac:dyDescent="0.2">
      <c r="A390" s="1434" t="s">
        <v>512</v>
      </c>
      <c r="B390" s="651"/>
      <c r="C390" s="236"/>
      <c r="D390" s="234"/>
      <c r="E390" s="234"/>
      <c r="F390" s="234"/>
      <c r="G390" s="234"/>
      <c r="H390" s="661"/>
      <c r="I390" s="847">
        <f t="shared" ref="I390:AN390" si="549">I355+I320+I287</f>
        <v>0</v>
      </c>
      <c r="J390" s="847">
        <f t="shared" si="549"/>
        <v>0</v>
      </c>
      <c r="K390" s="847">
        <f t="shared" si="549"/>
        <v>0</v>
      </c>
      <c r="L390" s="847">
        <f t="shared" si="549"/>
        <v>0</v>
      </c>
      <c r="M390" s="661">
        <f t="shared" si="549"/>
        <v>0</v>
      </c>
      <c r="N390" s="847">
        <f t="shared" si="549"/>
        <v>0</v>
      </c>
      <c r="O390" s="847">
        <f t="shared" si="549"/>
        <v>0</v>
      </c>
      <c r="P390" s="847">
        <f t="shared" si="549"/>
        <v>0</v>
      </c>
      <c r="Q390" s="847">
        <f t="shared" si="549"/>
        <v>0</v>
      </c>
      <c r="R390" s="661">
        <f t="shared" si="549"/>
        <v>0</v>
      </c>
      <c r="S390" s="847">
        <f t="shared" si="549"/>
        <v>0</v>
      </c>
      <c r="T390" s="847">
        <f t="shared" si="549"/>
        <v>0</v>
      </c>
      <c r="U390" s="847">
        <f t="shared" si="549"/>
        <v>0</v>
      </c>
      <c r="V390" s="847">
        <f t="shared" si="549"/>
        <v>0</v>
      </c>
      <c r="W390" s="661">
        <f t="shared" si="549"/>
        <v>0</v>
      </c>
      <c r="X390" s="847">
        <f t="shared" si="549"/>
        <v>0</v>
      </c>
      <c r="Y390" s="847">
        <f t="shared" si="549"/>
        <v>0</v>
      </c>
      <c r="Z390" s="847">
        <f t="shared" si="549"/>
        <v>0</v>
      </c>
      <c r="AA390" s="847">
        <f t="shared" si="549"/>
        <v>0</v>
      </c>
      <c r="AB390" s="661">
        <f t="shared" si="549"/>
        <v>0</v>
      </c>
      <c r="AC390" s="847">
        <f t="shared" si="549"/>
        <v>0</v>
      </c>
      <c r="AD390" s="847">
        <f t="shared" si="549"/>
        <v>0</v>
      </c>
      <c r="AE390" s="847">
        <f t="shared" si="549"/>
        <v>0</v>
      </c>
      <c r="AF390" s="847">
        <f t="shared" si="549"/>
        <v>0</v>
      </c>
      <c r="AG390" s="661">
        <f t="shared" si="549"/>
        <v>0</v>
      </c>
      <c r="AH390" s="847">
        <f t="shared" si="549"/>
        <v>0</v>
      </c>
      <c r="AI390" s="847">
        <f t="shared" si="549"/>
        <v>0</v>
      </c>
      <c r="AJ390" s="847">
        <f t="shared" si="549"/>
        <v>0</v>
      </c>
      <c r="AK390" s="847">
        <f t="shared" si="549"/>
        <v>0</v>
      </c>
      <c r="AL390" s="661">
        <f t="shared" si="549"/>
        <v>0</v>
      </c>
      <c r="AM390" s="847">
        <f t="shared" si="549"/>
        <v>0</v>
      </c>
      <c r="AN390" s="847">
        <f t="shared" si="549"/>
        <v>0</v>
      </c>
      <c r="AO390" s="847">
        <f t="shared" ref="AO390:BT390" si="550">AO355+AO320+AO287</f>
        <v>0</v>
      </c>
      <c r="AP390" s="847">
        <f t="shared" si="550"/>
        <v>0</v>
      </c>
      <c r="AQ390" s="661">
        <f t="shared" si="550"/>
        <v>0</v>
      </c>
      <c r="AR390" s="847">
        <f t="shared" si="550"/>
        <v>0</v>
      </c>
      <c r="AS390" s="847">
        <f t="shared" si="550"/>
        <v>0</v>
      </c>
      <c r="AT390" s="847">
        <f t="shared" si="550"/>
        <v>0</v>
      </c>
      <c r="AU390" s="847">
        <f t="shared" si="550"/>
        <v>0</v>
      </c>
      <c r="AV390" s="661">
        <f t="shared" si="550"/>
        <v>0</v>
      </c>
      <c r="AW390" s="847">
        <f t="shared" si="550"/>
        <v>0</v>
      </c>
      <c r="AX390" s="847">
        <f t="shared" si="550"/>
        <v>0</v>
      </c>
      <c r="AY390" s="847">
        <f t="shared" si="550"/>
        <v>0</v>
      </c>
      <c r="AZ390" s="847">
        <f t="shared" si="550"/>
        <v>0</v>
      </c>
      <c r="BA390" s="661">
        <f t="shared" si="550"/>
        <v>0</v>
      </c>
      <c r="BB390" s="847">
        <f t="shared" si="550"/>
        <v>2</v>
      </c>
      <c r="BC390" s="847">
        <f t="shared" si="550"/>
        <v>10</v>
      </c>
      <c r="BD390" s="847">
        <f t="shared" si="550"/>
        <v>11</v>
      </c>
      <c r="BE390" s="847">
        <f t="shared" si="550"/>
        <v>13</v>
      </c>
      <c r="BF390" s="661">
        <f t="shared" si="550"/>
        <v>13</v>
      </c>
      <c r="BG390" s="847">
        <f t="shared" si="550"/>
        <v>14</v>
      </c>
      <c r="BH390" s="847">
        <f t="shared" si="550"/>
        <v>16</v>
      </c>
      <c r="BI390" s="847">
        <f t="shared" si="550"/>
        <v>20</v>
      </c>
      <c r="BJ390" s="847">
        <f t="shared" si="550"/>
        <v>22</v>
      </c>
      <c r="BK390" s="661">
        <f t="shared" si="550"/>
        <v>22</v>
      </c>
      <c r="BL390" s="847">
        <f t="shared" si="550"/>
        <v>25</v>
      </c>
      <c r="BM390" s="847">
        <f t="shared" si="550"/>
        <v>27</v>
      </c>
      <c r="BN390" s="847">
        <f t="shared" si="550"/>
        <v>28</v>
      </c>
      <c r="BO390" s="1431">
        <f t="shared" si="550"/>
        <v>32</v>
      </c>
      <c r="BP390" s="661">
        <f t="shared" si="550"/>
        <v>32</v>
      </c>
      <c r="BQ390" s="847">
        <f t="shared" si="550"/>
        <v>36</v>
      </c>
      <c r="BR390" s="847">
        <f t="shared" si="550"/>
        <v>39</v>
      </c>
      <c r="BS390" s="847">
        <f t="shared" si="550"/>
        <v>45</v>
      </c>
      <c r="BT390" s="847">
        <f t="shared" si="550"/>
        <v>51</v>
      </c>
      <c r="BU390" s="661">
        <f t="shared" ref="BU390:CV390" si="551">BU355+BU320+BU287</f>
        <v>51</v>
      </c>
      <c r="BV390" s="847">
        <f t="shared" si="551"/>
        <v>55</v>
      </c>
      <c r="BW390" s="847">
        <f t="shared" si="551"/>
        <v>56</v>
      </c>
      <c r="BX390" s="847">
        <f t="shared" si="551"/>
        <v>57</v>
      </c>
      <c r="BY390" s="847">
        <f t="shared" si="551"/>
        <v>70</v>
      </c>
      <c r="BZ390" s="661">
        <f t="shared" si="551"/>
        <v>70</v>
      </c>
      <c r="CA390" s="847">
        <f t="shared" si="551"/>
        <v>76</v>
      </c>
      <c r="CB390" s="847">
        <f t="shared" si="551"/>
        <v>81</v>
      </c>
      <c r="CC390" s="847">
        <f t="shared" si="551"/>
        <v>88</v>
      </c>
      <c r="CD390" s="847">
        <f t="shared" si="551"/>
        <v>90</v>
      </c>
      <c r="CE390" s="661">
        <f t="shared" si="551"/>
        <v>90</v>
      </c>
      <c r="CF390" s="847">
        <f t="shared" si="551"/>
        <v>95</v>
      </c>
      <c r="CG390" s="847">
        <f t="shared" si="551"/>
        <v>97</v>
      </c>
      <c r="CH390" s="847">
        <f t="shared" si="551"/>
        <v>100</v>
      </c>
      <c r="CI390" s="847">
        <f t="shared" si="551"/>
        <v>106</v>
      </c>
      <c r="CJ390" s="236">
        <f t="shared" si="543"/>
        <v>106</v>
      </c>
      <c r="CK390" s="3510">
        <f>CK355+CK320+CK287</f>
        <v>114</v>
      </c>
      <c r="CL390" s="847">
        <f t="shared" si="551"/>
        <v>118</v>
      </c>
      <c r="CM390" s="847">
        <f t="shared" ref="CM390:CO391" si="552">CM355+CM320+CM287</f>
        <v>125</v>
      </c>
      <c r="CN390" s="847">
        <f t="shared" si="552"/>
        <v>129</v>
      </c>
      <c r="CO390" s="661">
        <f t="shared" si="552"/>
        <v>129</v>
      </c>
      <c r="CP390" s="3510"/>
      <c r="CQ390" s="847"/>
      <c r="CR390" s="847"/>
      <c r="CS390" s="847"/>
      <c r="CT390" s="661">
        <f>CT355+CT320+CT287</f>
        <v>0</v>
      </c>
      <c r="CU390" s="661">
        <f t="shared" si="551"/>
        <v>0</v>
      </c>
      <c r="CV390" s="661">
        <f t="shared" si="551"/>
        <v>0</v>
      </c>
      <c r="DB390" s="217"/>
    </row>
    <row r="391" spans="1:106" x14ac:dyDescent="0.2">
      <c r="A391" s="2308" t="s">
        <v>608</v>
      </c>
      <c r="B391" s="651"/>
      <c r="C391" s="236"/>
      <c r="D391" s="234"/>
      <c r="E391" s="234"/>
      <c r="F391" s="234"/>
      <c r="G391" s="234"/>
      <c r="H391" s="661"/>
      <c r="I391" s="847">
        <f t="shared" ref="I391:AN391" si="553">I356+I321+I288</f>
        <v>0</v>
      </c>
      <c r="J391" s="847">
        <f t="shared" si="553"/>
        <v>0</v>
      </c>
      <c r="K391" s="847">
        <f t="shared" si="553"/>
        <v>0</v>
      </c>
      <c r="L391" s="847">
        <f t="shared" si="553"/>
        <v>0</v>
      </c>
      <c r="M391" s="661">
        <f t="shared" si="553"/>
        <v>0</v>
      </c>
      <c r="N391" s="847">
        <f t="shared" si="553"/>
        <v>0</v>
      </c>
      <c r="O391" s="847">
        <f t="shared" si="553"/>
        <v>0</v>
      </c>
      <c r="P391" s="847">
        <f t="shared" si="553"/>
        <v>0</v>
      </c>
      <c r="Q391" s="847">
        <f t="shared" si="553"/>
        <v>0</v>
      </c>
      <c r="R391" s="661">
        <f t="shared" si="553"/>
        <v>0</v>
      </c>
      <c r="S391" s="847">
        <f t="shared" si="553"/>
        <v>0</v>
      </c>
      <c r="T391" s="847">
        <f t="shared" si="553"/>
        <v>0</v>
      </c>
      <c r="U391" s="847">
        <f t="shared" si="553"/>
        <v>0</v>
      </c>
      <c r="V391" s="847">
        <f t="shared" si="553"/>
        <v>0</v>
      </c>
      <c r="W391" s="661">
        <f t="shared" si="553"/>
        <v>0</v>
      </c>
      <c r="X391" s="847">
        <f t="shared" si="553"/>
        <v>0</v>
      </c>
      <c r="Y391" s="847">
        <f t="shared" si="553"/>
        <v>0</v>
      </c>
      <c r="Z391" s="847">
        <f t="shared" si="553"/>
        <v>0</v>
      </c>
      <c r="AA391" s="847">
        <f t="shared" si="553"/>
        <v>0</v>
      </c>
      <c r="AB391" s="661">
        <f t="shared" si="553"/>
        <v>0</v>
      </c>
      <c r="AC391" s="847">
        <f t="shared" si="553"/>
        <v>0</v>
      </c>
      <c r="AD391" s="847">
        <f t="shared" si="553"/>
        <v>0</v>
      </c>
      <c r="AE391" s="847">
        <f t="shared" si="553"/>
        <v>0</v>
      </c>
      <c r="AF391" s="847">
        <f t="shared" si="553"/>
        <v>0</v>
      </c>
      <c r="AG391" s="661">
        <f t="shared" si="553"/>
        <v>0</v>
      </c>
      <c r="AH391" s="847">
        <f t="shared" si="553"/>
        <v>0</v>
      </c>
      <c r="AI391" s="847">
        <f t="shared" si="553"/>
        <v>0</v>
      </c>
      <c r="AJ391" s="847">
        <f t="shared" si="553"/>
        <v>0</v>
      </c>
      <c r="AK391" s="847">
        <f t="shared" si="553"/>
        <v>0</v>
      </c>
      <c r="AL391" s="661">
        <f t="shared" si="553"/>
        <v>0</v>
      </c>
      <c r="AM391" s="847">
        <f t="shared" si="553"/>
        <v>0</v>
      </c>
      <c r="AN391" s="847">
        <f t="shared" si="553"/>
        <v>0</v>
      </c>
      <c r="AO391" s="847">
        <f t="shared" ref="AO391:BT391" si="554">AO356+AO321+AO288</f>
        <v>0</v>
      </c>
      <c r="AP391" s="847">
        <f t="shared" si="554"/>
        <v>0</v>
      </c>
      <c r="AQ391" s="661">
        <f t="shared" si="554"/>
        <v>0</v>
      </c>
      <c r="AR391" s="847">
        <f t="shared" si="554"/>
        <v>0</v>
      </c>
      <c r="AS391" s="847">
        <f t="shared" si="554"/>
        <v>0</v>
      </c>
      <c r="AT391" s="847">
        <f t="shared" si="554"/>
        <v>0</v>
      </c>
      <c r="AU391" s="847">
        <f t="shared" si="554"/>
        <v>0</v>
      </c>
      <c r="AV391" s="661">
        <f t="shared" si="554"/>
        <v>0</v>
      </c>
      <c r="AW391" s="847">
        <f t="shared" si="554"/>
        <v>0</v>
      </c>
      <c r="AX391" s="847">
        <f t="shared" si="554"/>
        <v>0</v>
      </c>
      <c r="AY391" s="847">
        <f t="shared" si="554"/>
        <v>0</v>
      </c>
      <c r="AZ391" s="847">
        <f t="shared" si="554"/>
        <v>0</v>
      </c>
      <c r="BA391" s="661">
        <f t="shared" si="554"/>
        <v>0</v>
      </c>
      <c r="BB391" s="847">
        <f t="shared" si="554"/>
        <v>0</v>
      </c>
      <c r="BC391" s="847">
        <f t="shared" si="554"/>
        <v>0</v>
      </c>
      <c r="BD391" s="847">
        <f t="shared" si="554"/>
        <v>0</v>
      </c>
      <c r="BE391" s="847">
        <f t="shared" si="554"/>
        <v>0</v>
      </c>
      <c r="BF391" s="661">
        <f t="shared" si="554"/>
        <v>0</v>
      </c>
      <c r="BG391" s="847">
        <f t="shared" si="554"/>
        <v>0</v>
      </c>
      <c r="BH391" s="847">
        <f t="shared" si="554"/>
        <v>0</v>
      </c>
      <c r="BI391" s="847">
        <f t="shared" si="554"/>
        <v>0</v>
      </c>
      <c r="BJ391" s="847">
        <f t="shared" si="554"/>
        <v>0</v>
      </c>
      <c r="BK391" s="661">
        <f t="shared" si="554"/>
        <v>0</v>
      </c>
      <c r="BL391" s="847">
        <f t="shared" si="554"/>
        <v>0</v>
      </c>
      <c r="BM391" s="847">
        <f t="shared" si="554"/>
        <v>0</v>
      </c>
      <c r="BN391" s="847">
        <f t="shared" si="554"/>
        <v>0</v>
      </c>
      <c r="BO391" s="1431">
        <f t="shared" si="554"/>
        <v>0</v>
      </c>
      <c r="BP391" s="661">
        <f t="shared" si="554"/>
        <v>0</v>
      </c>
      <c r="BQ391" s="847">
        <f t="shared" si="554"/>
        <v>0</v>
      </c>
      <c r="BR391" s="847">
        <f t="shared" si="554"/>
        <v>0</v>
      </c>
      <c r="BS391" s="847">
        <f t="shared" si="554"/>
        <v>0</v>
      </c>
      <c r="BT391" s="847">
        <f t="shared" si="554"/>
        <v>0</v>
      </c>
      <c r="BU391" s="661">
        <f t="shared" ref="BU391:CV391" si="555">BU356+BU321+BU288</f>
        <v>0</v>
      </c>
      <c r="BV391" s="847">
        <f t="shared" si="555"/>
        <v>0</v>
      </c>
      <c r="BW391" s="847">
        <f t="shared" si="555"/>
        <v>0</v>
      </c>
      <c r="BX391" s="847">
        <f t="shared" si="555"/>
        <v>1</v>
      </c>
      <c r="BY391" s="847">
        <f t="shared" si="555"/>
        <v>1</v>
      </c>
      <c r="BZ391" s="661">
        <f t="shared" si="555"/>
        <v>1</v>
      </c>
      <c r="CA391" s="847">
        <f t="shared" si="555"/>
        <v>1</v>
      </c>
      <c r="CB391" s="847">
        <f t="shared" si="555"/>
        <v>1</v>
      </c>
      <c r="CC391" s="847">
        <f t="shared" si="555"/>
        <v>1</v>
      </c>
      <c r="CD391" s="847">
        <f t="shared" si="555"/>
        <v>2</v>
      </c>
      <c r="CE391" s="661">
        <f t="shared" si="555"/>
        <v>2</v>
      </c>
      <c r="CF391" s="847">
        <f t="shared" si="555"/>
        <v>3</v>
      </c>
      <c r="CG391" s="847">
        <f t="shared" si="555"/>
        <v>3</v>
      </c>
      <c r="CH391" s="847">
        <f t="shared" si="555"/>
        <v>5</v>
      </c>
      <c r="CI391" s="847">
        <f t="shared" si="555"/>
        <v>7</v>
      </c>
      <c r="CJ391" s="236">
        <f t="shared" si="543"/>
        <v>7</v>
      </c>
      <c r="CK391" s="3510">
        <f>CK356+CK321+CK288</f>
        <v>10</v>
      </c>
      <c r="CL391" s="847">
        <f t="shared" si="555"/>
        <v>10</v>
      </c>
      <c r="CM391" s="847">
        <f t="shared" si="552"/>
        <v>16</v>
      </c>
      <c r="CN391" s="847">
        <f t="shared" si="552"/>
        <v>20</v>
      </c>
      <c r="CO391" s="661">
        <f t="shared" si="552"/>
        <v>20</v>
      </c>
      <c r="CP391" s="3510"/>
      <c r="CQ391" s="847"/>
      <c r="CR391" s="847"/>
      <c r="CS391" s="847"/>
      <c r="CT391" s="661">
        <f>CT356+CT321+CT288</f>
        <v>0</v>
      </c>
      <c r="CU391" s="661">
        <f t="shared" si="555"/>
        <v>0</v>
      </c>
      <c r="CV391" s="661">
        <f t="shared" si="555"/>
        <v>0</v>
      </c>
      <c r="DB391" s="217"/>
    </row>
    <row r="392" spans="1:106" x14ac:dyDescent="0.2">
      <c r="A392" s="1434" t="s">
        <v>510</v>
      </c>
      <c r="B392" s="651"/>
      <c r="C392" s="236"/>
      <c r="D392" s="234"/>
      <c r="E392" s="234"/>
      <c r="F392" s="234"/>
      <c r="G392" s="234"/>
      <c r="H392" s="661"/>
      <c r="I392" s="847">
        <f t="shared" ref="I392:AN392" si="556">I357+I323+I289</f>
        <v>39</v>
      </c>
      <c r="J392" s="847">
        <f t="shared" si="556"/>
        <v>41</v>
      </c>
      <c r="K392" s="847">
        <f t="shared" si="556"/>
        <v>43</v>
      </c>
      <c r="L392" s="847">
        <f t="shared" si="556"/>
        <v>45</v>
      </c>
      <c r="M392" s="661">
        <f t="shared" si="556"/>
        <v>45</v>
      </c>
      <c r="N392" s="847">
        <f t="shared" si="556"/>
        <v>46</v>
      </c>
      <c r="O392" s="847">
        <f t="shared" si="556"/>
        <v>48</v>
      </c>
      <c r="P392" s="847">
        <f t="shared" si="556"/>
        <v>48</v>
      </c>
      <c r="Q392" s="847">
        <f t="shared" si="556"/>
        <v>51</v>
      </c>
      <c r="R392" s="661">
        <f t="shared" si="556"/>
        <v>51</v>
      </c>
      <c r="S392" s="847">
        <f t="shared" si="556"/>
        <v>52</v>
      </c>
      <c r="T392" s="847">
        <f t="shared" si="556"/>
        <v>54</v>
      </c>
      <c r="U392" s="847">
        <f t="shared" si="556"/>
        <v>55</v>
      </c>
      <c r="V392" s="847">
        <f t="shared" si="556"/>
        <v>56</v>
      </c>
      <c r="W392" s="661">
        <f t="shared" si="556"/>
        <v>56</v>
      </c>
      <c r="X392" s="847">
        <f t="shared" si="556"/>
        <v>57</v>
      </c>
      <c r="Y392" s="847">
        <f t="shared" si="556"/>
        <v>57</v>
      </c>
      <c r="Z392" s="847">
        <f t="shared" si="556"/>
        <v>57</v>
      </c>
      <c r="AA392" s="847">
        <f t="shared" si="556"/>
        <v>57</v>
      </c>
      <c r="AB392" s="661">
        <f t="shared" si="556"/>
        <v>57</v>
      </c>
      <c r="AC392" s="847">
        <f t="shared" si="556"/>
        <v>57</v>
      </c>
      <c r="AD392" s="847">
        <f t="shared" si="556"/>
        <v>58</v>
      </c>
      <c r="AE392" s="847">
        <f t="shared" si="556"/>
        <v>58</v>
      </c>
      <c r="AF392" s="847">
        <f t="shared" si="556"/>
        <v>59</v>
      </c>
      <c r="AG392" s="661">
        <f t="shared" si="556"/>
        <v>59</v>
      </c>
      <c r="AH392" s="847">
        <f t="shared" si="556"/>
        <v>60</v>
      </c>
      <c r="AI392" s="847">
        <f t="shared" si="556"/>
        <v>60</v>
      </c>
      <c r="AJ392" s="847">
        <f t="shared" si="556"/>
        <v>60</v>
      </c>
      <c r="AK392" s="847">
        <f t="shared" si="556"/>
        <v>60</v>
      </c>
      <c r="AL392" s="661">
        <f t="shared" si="556"/>
        <v>60</v>
      </c>
      <c r="AM392" s="847">
        <f t="shared" si="556"/>
        <v>61</v>
      </c>
      <c r="AN392" s="847">
        <f t="shared" si="556"/>
        <v>63</v>
      </c>
      <c r="AO392" s="847">
        <f t="shared" ref="AO392:BT392" si="557">AO357+AO323+AO289</f>
        <v>66</v>
      </c>
      <c r="AP392" s="847">
        <f t="shared" si="557"/>
        <v>70</v>
      </c>
      <c r="AQ392" s="661">
        <f t="shared" si="557"/>
        <v>70</v>
      </c>
      <c r="AR392" s="847">
        <f t="shared" si="557"/>
        <v>70</v>
      </c>
      <c r="AS392" s="847">
        <f t="shared" si="557"/>
        <v>71</v>
      </c>
      <c r="AT392" s="847">
        <f t="shared" si="557"/>
        <v>72</v>
      </c>
      <c r="AU392" s="847">
        <f t="shared" si="557"/>
        <v>73</v>
      </c>
      <c r="AV392" s="661">
        <f t="shared" si="557"/>
        <v>73</v>
      </c>
      <c r="AW392" s="847">
        <f t="shared" si="557"/>
        <v>74</v>
      </c>
      <c r="AX392" s="847">
        <f t="shared" si="557"/>
        <v>73</v>
      </c>
      <c r="AY392" s="847">
        <f t="shared" si="557"/>
        <v>73</v>
      </c>
      <c r="AZ392" s="847">
        <f t="shared" si="557"/>
        <v>77</v>
      </c>
      <c r="BA392" s="661">
        <f t="shared" si="557"/>
        <v>77</v>
      </c>
      <c r="BB392" s="847">
        <f t="shared" si="557"/>
        <v>77</v>
      </c>
      <c r="BC392" s="847">
        <f t="shared" si="557"/>
        <v>76</v>
      </c>
      <c r="BD392" s="847">
        <f t="shared" si="557"/>
        <v>77</v>
      </c>
      <c r="BE392" s="847">
        <f t="shared" si="557"/>
        <v>77</v>
      </c>
      <c r="BF392" s="661">
        <f t="shared" si="557"/>
        <v>77</v>
      </c>
      <c r="BG392" s="847">
        <f t="shared" si="557"/>
        <v>79</v>
      </c>
      <c r="BH392" s="847">
        <f t="shared" si="557"/>
        <v>80</v>
      </c>
      <c r="BI392" s="847">
        <f t="shared" si="557"/>
        <v>81</v>
      </c>
      <c r="BJ392" s="847">
        <f t="shared" si="557"/>
        <v>82</v>
      </c>
      <c r="BK392" s="661">
        <f t="shared" si="557"/>
        <v>82</v>
      </c>
      <c r="BL392" s="847">
        <f t="shared" si="557"/>
        <v>82</v>
      </c>
      <c r="BM392" s="847">
        <f t="shared" si="557"/>
        <v>83</v>
      </c>
      <c r="BN392" s="847">
        <f t="shared" si="557"/>
        <v>84</v>
      </c>
      <c r="BO392" s="1431">
        <f t="shared" si="557"/>
        <v>84</v>
      </c>
      <c r="BP392" s="661">
        <f t="shared" si="557"/>
        <v>84</v>
      </c>
      <c r="BQ392" s="847">
        <f t="shared" si="557"/>
        <v>85</v>
      </c>
      <c r="BR392" s="847">
        <f t="shared" si="557"/>
        <v>84</v>
      </c>
      <c r="BS392" s="847">
        <f t="shared" si="557"/>
        <v>83</v>
      </c>
      <c r="BT392" s="847">
        <f t="shared" si="557"/>
        <v>88</v>
      </c>
      <c r="BU392" s="661">
        <f t="shared" ref="BU392:CI392" si="558">BU357+BU323+BU289</f>
        <v>88</v>
      </c>
      <c r="BV392" s="847">
        <f t="shared" si="558"/>
        <v>88</v>
      </c>
      <c r="BW392" s="847">
        <f t="shared" si="558"/>
        <v>89</v>
      </c>
      <c r="BX392" s="847">
        <f t="shared" si="558"/>
        <v>89</v>
      </c>
      <c r="BY392" s="847">
        <f t="shared" si="558"/>
        <v>91</v>
      </c>
      <c r="BZ392" s="661">
        <f t="shared" si="558"/>
        <v>91</v>
      </c>
      <c r="CA392" s="847">
        <f t="shared" si="558"/>
        <v>91</v>
      </c>
      <c r="CB392" s="847">
        <f t="shared" si="558"/>
        <v>92</v>
      </c>
      <c r="CC392" s="847">
        <f t="shared" si="558"/>
        <v>94</v>
      </c>
      <c r="CD392" s="847">
        <f t="shared" si="558"/>
        <v>96</v>
      </c>
      <c r="CE392" s="661">
        <f t="shared" si="558"/>
        <v>96</v>
      </c>
      <c r="CF392" s="847">
        <f t="shared" si="558"/>
        <v>96</v>
      </c>
      <c r="CG392" s="847">
        <f t="shared" si="558"/>
        <v>96</v>
      </c>
      <c r="CH392" s="847">
        <f t="shared" si="558"/>
        <v>92</v>
      </c>
      <c r="CI392" s="847">
        <f t="shared" si="558"/>
        <v>93</v>
      </c>
      <c r="CJ392" s="236">
        <f t="shared" si="543"/>
        <v>93</v>
      </c>
      <c r="CK392" s="3510">
        <f t="shared" ref="CK392:CK402" si="559">CK357+CK323+CK289</f>
        <v>94</v>
      </c>
      <c r="CL392" s="847">
        <f>CL357+CL323+CL289</f>
        <v>95</v>
      </c>
      <c r="CM392" s="847">
        <f>CM357+CM323+CM289</f>
        <v>97</v>
      </c>
      <c r="CN392" s="847">
        <f>CN357+CN323+CN289</f>
        <v>97</v>
      </c>
      <c r="CO392" s="661">
        <f>CO357+CO323+CO289</f>
        <v>97</v>
      </c>
      <c r="CP392" s="3510"/>
      <c r="CQ392" s="847"/>
      <c r="CR392" s="847"/>
      <c r="CS392" s="847"/>
      <c r="CT392" s="661">
        <f>CT357+CT323+CT289</f>
        <v>0</v>
      </c>
      <c r="CU392" s="661">
        <f>CU357+CU323+CU289</f>
        <v>0</v>
      </c>
      <c r="CV392" s="661">
        <f>CV357+CV323+CV289</f>
        <v>0</v>
      </c>
      <c r="DB392" s="217"/>
    </row>
    <row r="393" spans="1:106" x14ac:dyDescent="0.2">
      <c r="A393" s="1434" t="s">
        <v>511</v>
      </c>
      <c r="B393" s="651"/>
      <c r="C393" s="236"/>
      <c r="D393" s="234"/>
      <c r="E393" s="234"/>
      <c r="F393" s="234"/>
      <c r="G393" s="234"/>
      <c r="H393" s="661"/>
      <c r="I393" s="847">
        <f t="shared" ref="I393:AN393" si="560">I358+I324+I290</f>
        <v>0</v>
      </c>
      <c r="J393" s="847">
        <f t="shared" si="560"/>
        <v>0</v>
      </c>
      <c r="K393" s="847">
        <f t="shared" si="560"/>
        <v>0</v>
      </c>
      <c r="L393" s="847">
        <f t="shared" si="560"/>
        <v>0</v>
      </c>
      <c r="M393" s="661">
        <f t="shared" si="560"/>
        <v>0</v>
      </c>
      <c r="N393" s="847">
        <f t="shared" si="560"/>
        <v>0</v>
      </c>
      <c r="O393" s="847">
        <f t="shared" si="560"/>
        <v>0</v>
      </c>
      <c r="P393" s="847">
        <f t="shared" si="560"/>
        <v>0</v>
      </c>
      <c r="Q393" s="847">
        <f t="shared" si="560"/>
        <v>0</v>
      </c>
      <c r="R393" s="661">
        <f t="shared" si="560"/>
        <v>0</v>
      </c>
      <c r="S393" s="847">
        <f t="shared" si="560"/>
        <v>0</v>
      </c>
      <c r="T393" s="847">
        <f t="shared" si="560"/>
        <v>0</v>
      </c>
      <c r="U393" s="847">
        <f t="shared" si="560"/>
        <v>0</v>
      </c>
      <c r="V393" s="847">
        <f t="shared" si="560"/>
        <v>0</v>
      </c>
      <c r="W393" s="661">
        <f t="shared" si="560"/>
        <v>0</v>
      </c>
      <c r="X393" s="847">
        <f t="shared" si="560"/>
        <v>0</v>
      </c>
      <c r="Y393" s="847">
        <f t="shared" si="560"/>
        <v>1</v>
      </c>
      <c r="Z393" s="847">
        <f t="shared" si="560"/>
        <v>1</v>
      </c>
      <c r="AA393" s="847">
        <f t="shared" si="560"/>
        <v>1</v>
      </c>
      <c r="AB393" s="661">
        <f t="shared" si="560"/>
        <v>1</v>
      </c>
      <c r="AC393" s="847">
        <f t="shared" si="560"/>
        <v>1</v>
      </c>
      <c r="AD393" s="847">
        <f t="shared" si="560"/>
        <v>1</v>
      </c>
      <c r="AE393" s="847">
        <f t="shared" si="560"/>
        <v>1</v>
      </c>
      <c r="AF393" s="847">
        <f t="shared" si="560"/>
        <v>1</v>
      </c>
      <c r="AG393" s="661">
        <f t="shared" si="560"/>
        <v>1</v>
      </c>
      <c r="AH393" s="847">
        <f t="shared" si="560"/>
        <v>1</v>
      </c>
      <c r="AI393" s="847">
        <f t="shared" si="560"/>
        <v>1</v>
      </c>
      <c r="AJ393" s="847">
        <f t="shared" si="560"/>
        <v>1</v>
      </c>
      <c r="AK393" s="847">
        <f t="shared" si="560"/>
        <v>2</v>
      </c>
      <c r="AL393" s="661">
        <f t="shared" si="560"/>
        <v>2</v>
      </c>
      <c r="AM393" s="847">
        <f t="shared" si="560"/>
        <v>2</v>
      </c>
      <c r="AN393" s="847">
        <f t="shared" si="560"/>
        <v>2</v>
      </c>
      <c r="AO393" s="847">
        <f t="shared" ref="AO393:BT393" si="561">AO358+AO324+AO290</f>
        <v>2</v>
      </c>
      <c r="AP393" s="847">
        <f t="shared" si="561"/>
        <v>2</v>
      </c>
      <c r="AQ393" s="661">
        <f t="shared" si="561"/>
        <v>2</v>
      </c>
      <c r="AR393" s="847">
        <f t="shared" si="561"/>
        <v>2</v>
      </c>
      <c r="AS393" s="847">
        <f t="shared" si="561"/>
        <v>2</v>
      </c>
      <c r="AT393" s="847">
        <f t="shared" si="561"/>
        <v>2</v>
      </c>
      <c r="AU393" s="847">
        <f t="shared" si="561"/>
        <v>2</v>
      </c>
      <c r="AV393" s="661">
        <f t="shared" si="561"/>
        <v>2</v>
      </c>
      <c r="AW393" s="847">
        <f t="shared" si="561"/>
        <v>2</v>
      </c>
      <c r="AX393" s="847">
        <f t="shared" si="561"/>
        <v>2</v>
      </c>
      <c r="AY393" s="847">
        <f t="shared" si="561"/>
        <v>2</v>
      </c>
      <c r="AZ393" s="847">
        <f t="shared" si="561"/>
        <v>2</v>
      </c>
      <c r="BA393" s="661">
        <f t="shared" si="561"/>
        <v>2</v>
      </c>
      <c r="BB393" s="847">
        <f t="shared" si="561"/>
        <v>2</v>
      </c>
      <c r="BC393" s="847">
        <f t="shared" si="561"/>
        <v>2</v>
      </c>
      <c r="BD393" s="847">
        <f t="shared" si="561"/>
        <v>2</v>
      </c>
      <c r="BE393" s="847">
        <f t="shared" si="561"/>
        <v>2</v>
      </c>
      <c r="BF393" s="661">
        <f t="shared" si="561"/>
        <v>2</v>
      </c>
      <c r="BG393" s="847">
        <f t="shared" si="561"/>
        <v>2</v>
      </c>
      <c r="BH393" s="847">
        <f t="shared" si="561"/>
        <v>2</v>
      </c>
      <c r="BI393" s="847">
        <f t="shared" si="561"/>
        <v>2</v>
      </c>
      <c r="BJ393" s="847">
        <f t="shared" si="561"/>
        <v>2</v>
      </c>
      <c r="BK393" s="661">
        <f t="shared" si="561"/>
        <v>2</v>
      </c>
      <c r="BL393" s="847">
        <f t="shared" si="561"/>
        <v>2</v>
      </c>
      <c r="BM393" s="847">
        <f t="shared" si="561"/>
        <v>3</v>
      </c>
      <c r="BN393" s="847">
        <f t="shared" si="561"/>
        <v>3</v>
      </c>
      <c r="BO393" s="1431">
        <f t="shared" si="561"/>
        <v>3</v>
      </c>
      <c r="BP393" s="661">
        <f t="shared" si="561"/>
        <v>3</v>
      </c>
      <c r="BQ393" s="847">
        <f t="shared" si="561"/>
        <v>3</v>
      </c>
      <c r="BR393" s="847">
        <f t="shared" si="561"/>
        <v>3</v>
      </c>
      <c r="BS393" s="847">
        <f t="shared" si="561"/>
        <v>3</v>
      </c>
      <c r="BT393" s="847">
        <f t="shared" si="561"/>
        <v>3</v>
      </c>
      <c r="BU393" s="661">
        <f t="shared" ref="BU393:CV393" si="562">BU358+BU324+BU290</f>
        <v>3</v>
      </c>
      <c r="BV393" s="847">
        <f t="shared" si="562"/>
        <v>3</v>
      </c>
      <c r="BW393" s="847">
        <f t="shared" si="562"/>
        <v>3</v>
      </c>
      <c r="BX393" s="847">
        <f t="shared" si="562"/>
        <v>3</v>
      </c>
      <c r="BY393" s="847">
        <f t="shared" si="562"/>
        <v>4</v>
      </c>
      <c r="BZ393" s="661">
        <f t="shared" si="562"/>
        <v>4</v>
      </c>
      <c r="CA393" s="847">
        <f t="shared" si="562"/>
        <v>3</v>
      </c>
      <c r="CB393" s="847">
        <f t="shared" si="562"/>
        <v>3</v>
      </c>
      <c r="CC393" s="847">
        <f t="shared" si="562"/>
        <v>3</v>
      </c>
      <c r="CD393" s="847">
        <f t="shared" si="562"/>
        <v>3</v>
      </c>
      <c r="CE393" s="661">
        <f t="shared" si="562"/>
        <v>3</v>
      </c>
      <c r="CF393" s="847">
        <f t="shared" si="562"/>
        <v>3</v>
      </c>
      <c r="CG393" s="847">
        <f t="shared" si="562"/>
        <v>3</v>
      </c>
      <c r="CH393" s="847">
        <f t="shared" si="562"/>
        <v>3</v>
      </c>
      <c r="CI393" s="847">
        <f t="shared" si="562"/>
        <v>3</v>
      </c>
      <c r="CJ393" s="236">
        <f t="shared" si="543"/>
        <v>3</v>
      </c>
      <c r="CK393" s="3510">
        <f t="shared" si="559"/>
        <v>3</v>
      </c>
      <c r="CL393" s="847">
        <f t="shared" si="562"/>
        <v>3</v>
      </c>
      <c r="CM393" s="847">
        <f t="shared" ref="CM393:CN402" si="563">CM358+CM324+CM290</f>
        <v>4</v>
      </c>
      <c r="CN393" s="847">
        <f t="shared" si="563"/>
        <v>5</v>
      </c>
      <c r="CO393" s="661">
        <f t="shared" ref="CO393" si="564">CO358+CO324+CO290</f>
        <v>5</v>
      </c>
      <c r="CP393" s="3510"/>
      <c r="CQ393" s="847"/>
      <c r="CR393" s="847"/>
      <c r="CS393" s="847"/>
      <c r="CT393" s="661">
        <f t="shared" ref="CT393:CT402" si="565">CT358+CT324+CT290</f>
        <v>0</v>
      </c>
      <c r="CU393" s="661">
        <f t="shared" si="562"/>
        <v>0</v>
      </c>
      <c r="CV393" s="661">
        <f t="shared" si="562"/>
        <v>0</v>
      </c>
      <c r="DB393" s="217"/>
    </row>
    <row r="394" spans="1:106" x14ac:dyDescent="0.2">
      <c r="A394" s="1434" t="s">
        <v>383</v>
      </c>
      <c r="B394" s="651"/>
      <c r="C394" s="236"/>
      <c r="D394" s="234"/>
      <c r="E394" s="234"/>
      <c r="F394" s="234"/>
      <c r="G394" s="234"/>
      <c r="H394" s="661"/>
      <c r="I394" s="847">
        <f t="shared" ref="I394:AN394" si="566">I359+I325+I291</f>
        <v>0</v>
      </c>
      <c r="J394" s="847">
        <f t="shared" si="566"/>
        <v>0</v>
      </c>
      <c r="K394" s="847">
        <f t="shared" si="566"/>
        <v>0</v>
      </c>
      <c r="L394" s="847">
        <f t="shared" si="566"/>
        <v>0</v>
      </c>
      <c r="M394" s="661">
        <f t="shared" si="566"/>
        <v>0</v>
      </c>
      <c r="N394" s="847">
        <f t="shared" si="566"/>
        <v>0</v>
      </c>
      <c r="O394" s="847">
        <f t="shared" si="566"/>
        <v>0</v>
      </c>
      <c r="P394" s="847">
        <f t="shared" si="566"/>
        <v>0</v>
      </c>
      <c r="Q394" s="847">
        <f t="shared" si="566"/>
        <v>0</v>
      </c>
      <c r="R394" s="661">
        <f t="shared" si="566"/>
        <v>0</v>
      </c>
      <c r="S394" s="847">
        <f t="shared" si="566"/>
        <v>0</v>
      </c>
      <c r="T394" s="847">
        <f t="shared" si="566"/>
        <v>0</v>
      </c>
      <c r="U394" s="847">
        <f t="shared" si="566"/>
        <v>0</v>
      </c>
      <c r="V394" s="847">
        <f t="shared" si="566"/>
        <v>0</v>
      </c>
      <c r="W394" s="661">
        <f t="shared" si="566"/>
        <v>0</v>
      </c>
      <c r="X394" s="847">
        <f t="shared" si="566"/>
        <v>0</v>
      </c>
      <c r="Y394" s="847">
        <f t="shared" si="566"/>
        <v>0</v>
      </c>
      <c r="Z394" s="847">
        <f t="shared" si="566"/>
        <v>0</v>
      </c>
      <c r="AA394" s="847">
        <f t="shared" si="566"/>
        <v>0</v>
      </c>
      <c r="AB394" s="661">
        <f t="shared" si="566"/>
        <v>0</v>
      </c>
      <c r="AC394" s="847">
        <f t="shared" si="566"/>
        <v>0</v>
      </c>
      <c r="AD394" s="847">
        <f t="shared" si="566"/>
        <v>0</v>
      </c>
      <c r="AE394" s="847">
        <f t="shared" si="566"/>
        <v>0</v>
      </c>
      <c r="AF394" s="847">
        <f t="shared" si="566"/>
        <v>0</v>
      </c>
      <c r="AG394" s="661">
        <f t="shared" si="566"/>
        <v>0</v>
      </c>
      <c r="AH394" s="847">
        <f t="shared" si="566"/>
        <v>0</v>
      </c>
      <c r="AI394" s="847">
        <f t="shared" si="566"/>
        <v>0</v>
      </c>
      <c r="AJ394" s="847">
        <f t="shared" si="566"/>
        <v>0</v>
      </c>
      <c r="AK394" s="847">
        <f t="shared" si="566"/>
        <v>0</v>
      </c>
      <c r="AL394" s="661">
        <f t="shared" si="566"/>
        <v>0</v>
      </c>
      <c r="AM394" s="847">
        <f t="shared" si="566"/>
        <v>0</v>
      </c>
      <c r="AN394" s="847">
        <f t="shared" si="566"/>
        <v>0</v>
      </c>
      <c r="AO394" s="847">
        <f t="shared" ref="AO394:BT394" si="567">AO359+AO325+AO291</f>
        <v>0</v>
      </c>
      <c r="AP394" s="847">
        <f t="shared" si="567"/>
        <v>0</v>
      </c>
      <c r="AQ394" s="661">
        <f t="shared" si="567"/>
        <v>0</v>
      </c>
      <c r="AR394" s="847">
        <f t="shared" si="567"/>
        <v>0</v>
      </c>
      <c r="AS394" s="847">
        <f t="shared" si="567"/>
        <v>0</v>
      </c>
      <c r="AT394" s="847">
        <f t="shared" si="567"/>
        <v>0</v>
      </c>
      <c r="AU394" s="847">
        <f t="shared" si="567"/>
        <v>0</v>
      </c>
      <c r="AV394" s="661">
        <f t="shared" si="567"/>
        <v>0</v>
      </c>
      <c r="AW394" s="847">
        <f t="shared" si="567"/>
        <v>0</v>
      </c>
      <c r="AX394" s="847">
        <f t="shared" si="567"/>
        <v>0</v>
      </c>
      <c r="AY394" s="847">
        <f t="shared" si="567"/>
        <v>0</v>
      </c>
      <c r="AZ394" s="847">
        <f t="shared" si="567"/>
        <v>0</v>
      </c>
      <c r="BA394" s="661">
        <f t="shared" si="567"/>
        <v>0</v>
      </c>
      <c r="BB394" s="847">
        <f t="shared" si="567"/>
        <v>0</v>
      </c>
      <c r="BC394" s="847">
        <f t="shared" si="567"/>
        <v>0</v>
      </c>
      <c r="BD394" s="847">
        <f t="shared" si="567"/>
        <v>0</v>
      </c>
      <c r="BE394" s="847">
        <f t="shared" si="567"/>
        <v>1</v>
      </c>
      <c r="BF394" s="661">
        <f t="shared" si="567"/>
        <v>1</v>
      </c>
      <c r="BG394" s="847">
        <f t="shared" si="567"/>
        <v>1</v>
      </c>
      <c r="BH394" s="847">
        <f t="shared" si="567"/>
        <v>1</v>
      </c>
      <c r="BI394" s="847">
        <f t="shared" si="567"/>
        <v>0</v>
      </c>
      <c r="BJ394" s="847">
        <f t="shared" si="567"/>
        <v>0</v>
      </c>
      <c r="BK394" s="661">
        <f t="shared" si="567"/>
        <v>0</v>
      </c>
      <c r="BL394" s="847">
        <f t="shared" si="567"/>
        <v>1</v>
      </c>
      <c r="BM394" s="847">
        <f t="shared" si="567"/>
        <v>1</v>
      </c>
      <c r="BN394" s="847">
        <f t="shared" si="567"/>
        <v>1</v>
      </c>
      <c r="BO394" s="1431">
        <f t="shared" si="567"/>
        <v>1</v>
      </c>
      <c r="BP394" s="661">
        <f t="shared" si="567"/>
        <v>1</v>
      </c>
      <c r="BQ394" s="847">
        <f t="shared" si="567"/>
        <v>1</v>
      </c>
      <c r="BR394" s="847">
        <f t="shared" si="567"/>
        <v>1</v>
      </c>
      <c r="BS394" s="847">
        <f t="shared" si="567"/>
        <v>2</v>
      </c>
      <c r="BT394" s="847">
        <f t="shared" si="567"/>
        <v>2</v>
      </c>
      <c r="BU394" s="661">
        <f t="shared" ref="BU394:CV394" si="568">BU359+BU325+BU291</f>
        <v>2</v>
      </c>
      <c r="BV394" s="847">
        <f t="shared" si="568"/>
        <v>2</v>
      </c>
      <c r="BW394" s="847">
        <f t="shared" si="568"/>
        <v>2</v>
      </c>
      <c r="BX394" s="847">
        <f t="shared" si="568"/>
        <v>2</v>
      </c>
      <c r="BY394" s="847">
        <f t="shared" si="568"/>
        <v>2</v>
      </c>
      <c r="BZ394" s="661">
        <f t="shared" si="568"/>
        <v>2</v>
      </c>
      <c r="CA394" s="847">
        <f t="shared" si="568"/>
        <v>3</v>
      </c>
      <c r="CB394" s="847">
        <f t="shared" si="568"/>
        <v>4</v>
      </c>
      <c r="CC394" s="847">
        <f t="shared" si="568"/>
        <v>4</v>
      </c>
      <c r="CD394" s="847">
        <f t="shared" si="568"/>
        <v>4</v>
      </c>
      <c r="CE394" s="661">
        <f t="shared" si="568"/>
        <v>4</v>
      </c>
      <c r="CF394" s="847">
        <f t="shared" si="568"/>
        <v>4</v>
      </c>
      <c r="CG394" s="847">
        <f t="shared" si="568"/>
        <v>4</v>
      </c>
      <c r="CH394" s="847">
        <f t="shared" si="568"/>
        <v>3</v>
      </c>
      <c r="CI394" s="847">
        <f t="shared" si="568"/>
        <v>4</v>
      </c>
      <c r="CJ394" s="236">
        <f t="shared" si="543"/>
        <v>4</v>
      </c>
      <c r="CK394" s="3510">
        <f t="shared" si="559"/>
        <v>4</v>
      </c>
      <c r="CL394" s="847">
        <f t="shared" si="568"/>
        <v>4</v>
      </c>
      <c r="CM394" s="847">
        <f t="shared" si="563"/>
        <v>4</v>
      </c>
      <c r="CN394" s="847">
        <f t="shared" si="563"/>
        <v>4</v>
      </c>
      <c r="CO394" s="661">
        <f t="shared" ref="CO394" si="569">CO359+CO325+CO291</f>
        <v>4</v>
      </c>
      <c r="CP394" s="3510"/>
      <c r="CQ394" s="847"/>
      <c r="CR394" s="847"/>
      <c r="CS394" s="847"/>
      <c r="CT394" s="661">
        <f t="shared" si="565"/>
        <v>0</v>
      </c>
      <c r="CU394" s="661">
        <f t="shared" si="568"/>
        <v>0</v>
      </c>
      <c r="CV394" s="661">
        <f t="shared" si="568"/>
        <v>0</v>
      </c>
      <c r="DB394" s="217"/>
    </row>
    <row r="395" spans="1:106" x14ac:dyDescent="0.2">
      <c r="A395" s="1434" t="s">
        <v>656</v>
      </c>
      <c r="B395" s="651"/>
      <c r="C395" s="236"/>
      <c r="D395" s="234"/>
      <c r="E395" s="234"/>
      <c r="F395" s="234"/>
      <c r="G395" s="234"/>
      <c r="H395" s="661"/>
      <c r="I395" s="847">
        <f t="shared" ref="I395:AN395" si="570">I360+I326+I292</f>
        <v>0</v>
      </c>
      <c r="J395" s="847">
        <f t="shared" si="570"/>
        <v>0</v>
      </c>
      <c r="K395" s="847">
        <f t="shared" si="570"/>
        <v>0</v>
      </c>
      <c r="L395" s="847">
        <f t="shared" si="570"/>
        <v>0</v>
      </c>
      <c r="M395" s="661">
        <f t="shared" si="570"/>
        <v>0</v>
      </c>
      <c r="N395" s="847">
        <f t="shared" si="570"/>
        <v>0</v>
      </c>
      <c r="O395" s="847">
        <f t="shared" si="570"/>
        <v>0</v>
      </c>
      <c r="P395" s="847">
        <f t="shared" si="570"/>
        <v>0</v>
      </c>
      <c r="Q395" s="847">
        <f t="shared" si="570"/>
        <v>0</v>
      </c>
      <c r="R395" s="661">
        <f t="shared" si="570"/>
        <v>0</v>
      </c>
      <c r="S395" s="847">
        <f t="shared" si="570"/>
        <v>0</v>
      </c>
      <c r="T395" s="847">
        <f t="shared" si="570"/>
        <v>0</v>
      </c>
      <c r="U395" s="847">
        <f t="shared" si="570"/>
        <v>0</v>
      </c>
      <c r="V395" s="847">
        <f t="shared" si="570"/>
        <v>0</v>
      </c>
      <c r="W395" s="661">
        <f t="shared" si="570"/>
        <v>0</v>
      </c>
      <c r="X395" s="847">
        <f t="shared" si="570"/>
        <v>0</v>
      </c>
      <c r="Y395" s="847">
        <f t="shared" si="570"/>
        <v>0</v>
      </c>
      <c r="Z395" s="847">
        <f t="shared" si="570"/>
        <v>0</v>
      </c>
      <c r="AA395" s="847">
        <f t="shared" si="570"/>
        <v>0</v>
      </c>
      <c r="AB395" s="661">
        <f t="shared" si="570"/>
        <v>0</v>
      </c>
      <c r="AC395" s="847">
        <f t="shared" si="570"/>
        <v>0</v>
      </c>
      <c r="AD395" s="847">
        <f t="shared" si="570"/>
        <v>0</v>
      </c>
      <c r="AE395" s="847">
        <f t="shared" si="570"/>
        <v>0</v>
      </c>
      <c r="AF395" s="847">
        <f t="shared" si="570"/>
        <v>0</v>
      </c>
      <c r="AG395" s="661">
        <f t="shared" si="570"/>
        <v>0</v>
      </c>
      <c r="AH395" s="847">
        <f t="shared" si="570"/>
        <v>0</v>
      </c>
      <c r="AI395" s="847">
        <f t="shared" si="570"/>
        <v>0</v>
      </c>
      <c r="AJ395" s="847">
        <f t="shared" si="570"/>
        <v>0</v>
      </c>
      <c r="AK395" s="847">
        <f t="shared" si="570"/>
        <v>0</v>
      </c>
      <c r="AL395" s="661">
        <f t="shared" si="570"/>
        <v>0</v>
      </c>
      <c r="AM395" s="847">
        <f t="shared" si="570"/>
        <v>0</v>
      </c>
      <c r="AN395" s="847">
        <f t="shared" si="570"/>
        <v>0</v>
      </c>
      <c r="AO395" s="847">
        <f t="shared" ref="AO395:BT395" si="571">AO360+AO326+AO292</f>
        <v>0</v>
      </c>
      <c r="AP395" s="847">
        <f t="shared" si="571"/>
        <v>0</v>
      </c>
      <c r="AQ395" s="661">
        <f t="shared" si="571"/>
        <v>0</v>
      </c>
      <c r="AR395" s="847">
        <f t="shared" si="571"/>
        <v>0</v>
      </c>
      <c r="AS395" s="847">
        <f t="shared" si="571"/>
        <v>0</v>
      </c>
      <c r="AT395" s="847">
        <f t="shared" si="571"/>
        <v>0</v>
      </c>
      <c r="AU395" s="847">
        <f t="shared" si="571"/>
        <v>0</v>
      </c>
      <c r="AV395" s="661">
        <f t="shared" si="571"/>
        <v>0</v>
      </c>
      <c r="AW395" s="847">
        <f t="shared" si="571"/>
        <v>0</v>
      </c>
      <c r="AX395" s="847">
        <f t="shared" si="571"/>
        <v>0</v>
      </c>
      <c r="AY395" s="847">
        <f t="shared" si="571"/>
        <v>0</v>
      </c>
      <c r="AZ395" s="847">
        <f t="shared" si="571"/>
        <v>0</v>
      </c>
      <c r="BA395" s="661">
        <f t="shared" si="571"/>
        <v>0</v>
      </c>
      <c r="BB395" s="847">
        <f t="shared" si="571"/>
        <v>0</v>
      </c>
      <c r="BC395" s="847">
        <f t="shared" si="571"/>
        <v>0</v>
      </c>
      <c r="BD395" s="847">
        <f t="shared" si="571"/>
        <v>0</v>
      </c>
      <c r="BE395" s="847">
        <f t="shared" si="571"/>
        <v>0</v>
      </c>
      <c r="BF395" s="661">
        <f t="shared" si="571"/>
        <v>0</v>
      </c>
      <c r="BG395" s="847">
        <f t="shared" si="571"/>
        <v>1</v>
      </c>
      <c r="BH395" s="847">
        <f t="shared" si="571"/>
        <v>1</v>
      </c>
      <c r="BI395" s="847">
        <f t="shared" si="571"/>
        <v>1</v>
      </c>
      <c r="BJ395" s="847">
        <f t="shared" si="571"/>
        <v>1</v>
      </c>
      <c r="BK395" s="661">
        <f t="shared" si="571"/>
        <v>1</v>
      </c>
      <c r="BL395" s="847">
        <f t="shared" si="571"/>
        <v>0</v>
      </c>
      <c r="BM395" s="847">
        <f t="shared" si="571"/>
        <v>0</v>
      </c>
      <c r="BN395" s="847">
        <f t="shared" si="571"/>
        <v>0</v>
      </c>
      <c r="BO395" s="1431">
        <f t="shared" si="571"/>
        <v>0</v>
      </c>
      <c r="BP395" s="661">
        <f t="shared" si="571"/>
        <v>0</v>
      </c>
      <c r="BQ395" s="847">
        <f t="shared" si="571"/>
        <v>0</v>
      </c>
      <c r="BR395" s="847">
        <f t="shared" si="571"/>
        <v>0</v>
      </c>
      <c r="BS395" s="847">
        <f t="shared" si="571"/>
        <v>0</v>
      </c>
      <c r="BT395" s="847">
        <f t="shared" si="571"/>
        <v>0</v>
      </c>
      <c r="BU395" s="661">
        <f t="shared" ref="BU395:CV395" si="572">BU360+BU326+BU292</f>
        <v>0</v>
      </c>
      <c r="BV395" s="847">
        <f t="shared" si="572"/>
        <v>0</v>
      </c>
      <c r="BW395" s="847">
        <f t="shared" si="572"/>
        <v>0</v>
      </c>
      <c r="BX395" s="847">
        <f t="shared" si="572"/>
        <v>0</v>
      </c>
      <c r="BY395" s="847">
        <f t="shared" si="572"/>
        <v>0</v>
      </c>
      <c r="BZ395" s="661">
        <f t="shared" si="572"/>
        <v>0</v>
      </c>
      <c r="CA395" s="847">
        <f t="shared" si="572"/>
        <v>0</v>
      </c>
      <c r="CB395" s="847">
        <f t="shared" si="572"/>
        <v>0</v>
      </c>
      <c r="CC395" s="847">
        <f t="shared" si="572"/>
        <v>0</v>
      </c>
      <c r="CD395" s="847">
        <f t="shared" si="572"/>
        <v>0</v>
      </c>
      <c r="CE395" s="661">
        <f t="shared" si="572"/>
        <v>0</v>
      </c>
      <c r="CF395" s="847">
        <f t="shared" si="572"/>
        <v>0</v>
      </c>
      <c r="CG395" s="847">
        <f t="shared" si="572"/>
        <v>0</v>
      </c>
      <c r="CH395" s="847">
        <f t="shared" si="572"/>
        <v>0</v>
      </c>
      <c r="CI395" s="847">
        <f t="shared" si="572"/>
        <v>0</v>
      </c>
      <c r="CJ395" s="236">
        <f t="shared" si="543"/>
        <v>0</v>
      </c>
      <c r="CK395" s="3510">
        <f t="shared" si="559"/>
        <v>0</v>
      </c>
      <c r="CL395" s="847">
        <f t="shared" si="572"/>
        <v>0</v>
      </c>
      <c r="CM395" s="847">
        <f t="shared" si="563"/>
        <v>0</v>
      </c>
      <c r="CN395" s="847">
        <f t="shared" si="563"/>
        <v>0</v>
      </c>
      <c r="CO395" s="661">
        <f t="shared" ref="CO395" si="573">CO360+CO326+CO292</f>
        <v>0</v>
      </c>
      <c r="CP395" s="3510"/>
      <c r="CQ395" s="847"/>
      <c r="CR395" s="847"/>
      <c r="CS395" s="847"/>
      <c r="CT395" s="661">
        <f t="shared" si="565"/>
        <v>0</v>
      </c>
      <c r="CU395" s="661">
        <f t="shared" si="572"/>
        <v>0</v>
      </c>
      <c r="CV395" s="661">
        <f t="shared" si="572"/>
        <v>0</v>
      </c>
      <c r="DB395" s="217"/>
    </row>
    <row r="396" spans="1:106" x14ac:dyDescent="0.2">
      <c r="A396" s="1434" t="s">
        <v>1386</v>
      </c>
      <c r="B396" s="651"/>
      <c r="C396" s="236"/>
      <c r="D396" s="234"/>
      <c r="E396" s="234"/>
      <c r="F396" s="234"/>
      <c r="G396" s="234"/>
      <c r="H396" s="661"/>
      <c r="I396" s="847">
        <f t="shared" ref="I396:AN396" si="574">I361+I327+I293</f>
        <v>529</v>
      </c>
      <c r="J396" s="847">
        <f t="shared" si="574"/>
        <v>537</v>
      </c>
      <c r="K396" s="847">
        <f t="shared" si="574"/>
        <v>543</v>
      </c>
      <c r="L396" s="847">
        <f t="shared" si="574"/>
        <v>553</v>
      </c>
      <c r="M396" s="661">
        <f t="shared" si="574"/>
        <v>553</v>
      </c>
      <c r="N396" s="847">
        <f t="shared" si="574"/>
        <v>562</v>
      </c>
      <c r="O396" s="847">
        <f t="shared" si="574"/>
        <v>569</v>
      </c>
      <c r="P396" s="847">
        <f t="shared" si="574"/>
        <v>578</v>
      </c>
      <c r="Q396" s="847">
        <f t="shared" si="574"/>
        <v>587</v>
      </c>
      <c r="R396" s="661">
        <f t="shared" si="574"/>
        <v>587</v>
      </c>
      <c r="S396" s="847">
        <f t="shared" si="574"/>
        <v>593</v>
      </c>
      <c r="T396" s="847">
        <f t="shared" si="574"/>
        <v>599</v>
      </c>
      <c r="U396" s="847">
        <f t="shared" si="574"/>
        <v>608</v>
      </c>
      <c r="V396" s="847">
        <f t="shared" si="574"/>
        <v>616</v>
      </c>
      <c r="W396" s="661">
        <f t="shared" si="574"/>
        <v>616</v>
      </c>
      <c r="X396" s="847">
        <f t="shared" si="574"/>
        <v>630</v>
      </c>
      <c r="Y396" s="847">
        <f t="shared" si="574"/>
        <v>638</v>
      </c>
      <c r="Z396" s="847">
        <f t="shared" si="574"/>
        <v>646</v>
      </c>
      <c r="AA396" s="847">
        <f t="shared" si="574"/>
        <v>656</v>
      </c>
      <c r="AB396" s="661">
        <f t="shared" si="574"/>
        <v>656</v>
      </c>
      <c r="AC396" s="847">
        <f t="shared" si="574"/>
        <v>663</v>
      </c>
      <c r="AD396" s="847">
        <f t="shared" si="574"/>
        <v>668</v>
      </c>
      <c r="AE396" s="847">
        <f t="shared" si="574"/>
        <v>680</v>
      </c>
      <c r="AF396" s="847">
        <f t="shared" si="574"/>
        <v>692</v>
      </c>
      <c r="AG396" s="661">
        <f t="shared" si="574"/>
        <v>691</v>
      </c>
      <c r="AH396" s="847">
        <f t="shared" si="574"/>
        <v>699</v>
      </c>
      <c r="AI396" s="847">
        <f t="shared" si="574"/>
        <v>711</v>
      </c>
      <c r="AJ396" s="847">
        <f t="shared" si="574"/>
        <v>722</v>
      </c>
      <c r="AK396" s="847">
        <f t="shared" si="574"/>
        <v>733</v>
      </c>
      <c r="AL396" s="661">
        <f t="shared" si="574"/>
        <v>733</v>
      </c>
      <c r="AM396" s="847">
        <f t="shared" si="574"/>
        <v>739</v>
      </c>
      <c r="AN396" s="847">
        <f t="shared" si="574"/>
        <v>740</v>
      </c>
      <c r="AO396" s="847">
        <f t="shared" ref="AO396:BT396" si="575">AO361+AO327+AO293</f>
        <v>751</v>
      </c>
      <c r="AP396" s="847">
        <f t="shared" si="575"/>
        <v>767</v>
      </c>
      <c r="AQ396" s="661">
        <f t="shared" si="575"/>
        <v>767</v>
      </c>
      <c r="AR396" s="847">
        <f t="shared" si="575"/>
        <v>770</v>
      </c>
      <c r="AS396" s="847">
        <f t="shared" si="575"/>
        <v>785</v>
      </c>
      <c r="AT396" s="847">
        <f t="shared" si="575"/>
        <v>793</v>
      </c>
      <c r="AU396" s="847">
        <f t="shared" si="575"/>
        <v>808</v>
      </c>
      <c r="AV396" s="661">
        <f t="shared" si="575"/>
        <v>808</v>
      </c>
      <c r="AW396" s="847">
        <f t="shared" si="575"/>
        <v>821</v>
      </c>
      <c r="AX396" s="847">
        <f t="shared" si="575"/>
        <v>834</v>
      </c>
      <c r="AY396" s="847">
        <f t="shared" si="575"/>
        <v>849</v>
      </c>
      <c r="AZ396" s="847">
        <f t="shared" si="575"/>
        <v>858</v>
      </c>
      <c r="BA396" s="661">
        <f t="shared" si="575"/>
        <v>858</v>
      </c>
      <c r="BB396" s="847">
        <f t="shared" si="575"/>
        <v>868</v>
      </c>
      <c r="BC396" s="847">
        <f t="shared" si="575"/>
        <v>876</v>
      </c>
      <c r="BD396" s="847">
        <f t="shared" si="575"/>
        <v>882</v>
      </c>
      <c r="BE396" s="847">
        <f t="shared" si="575"/>
        <v>892</v>
      </c>
      <c r="BF396" s="661">
        <f t="shared" si="575"/>
        <v>892</v>
      </c>
      <c r="BG396" s="847">
        <f t="shared" si="575"/>
        <v>900</v>
      </c>
      <c r="BH396" s="847">
        <f t="shared" si="575"/>
        <v>904</v>
      </c>
      <c r="BI396" s="847">
        <f t="shared" si="575"/>
        <v>906</v>
      </c>
      <c r="BJ396" s="847">
        <f t="shared" si="575"/>
        <v>913</v>
      </c>
      <c r="BK396" s="661">
        <f t="shared" si="575"/>
        <v>913</v>
      </c>
      <c r="BL396" s="847">
        <f t="shared" si="575"/>
        <v>918</v>
      </c>
      <c r="BM396" s="847">
        <f t="shared" si="575"/>
        <v>916</v>
      </c>
      <c r="BN396" s="847">
        <f t="shared" si="575"/>
        <v>921</v>
      </c>
      <c r="BO396" s="1431">
        <f t="shared" si="575"/>
        <v>929</v>
      </c>
      <c r="BP396" s="661">
        <f t="shared" si="575"/>
        <v>929</v>
      </c>
      <c r="BQ396" s="847">
        <f t="shared" si="575"/>
        <v>934</v>
      </c>
      <c r="BR396" s="847">
        <f t="shared" si="575"/>
        <v>937</v>
      </c>
      <c r="BS396" s="847">
        <f t="shared" si="575"/>
        <v>946</v>
      </c>
      <c r="BT396" s="847">
        <f t="shared" si="575"/>
        <v>953</v>
      </c>
      <c r="BU396" s="661">
        <f t="shared" ref="BU396:CV396" si="576">BU361+BU327+BU293</f>
        <v>953</v>
      </c>
      <c r="BV396" s="847">
        <f t="shared" si="576"/>
        <v>956</v>
      </c>
      <c r="BW396" s="847">
        <f t="shared" si="576"/>
        <v>967</v>
      </c>
      <c r="BX396" s="847">
        <f t="shared" si="576"/>
        <v>981</v>
      </c>
      <c r="BY396" s="847">
        <f t="shared" si="576"/>
        <v>988</v>
      </c>
      <c r="BZ396" s="661">
        <f t="shared" si="576"/>
        <v>988</v>
      </c>
      <c r="CA396" s="847">
        <f t="shared" si="576"/>
        <v>995</v>
      </c>
      <c r="CB396" s="847">
        <f t="shared" si="576"/>
        <v>1002</v>
      </c>
      <c r="CC396" s="847">
        <f t="shared" si="576"/>
        <v>1020</v>
      </c>
      <c r="CD396" s="847">
        <f t="shared" si="576"/>
        <v>1037</v>
      </c>
      <c r="CE396" s="661">
        <f t="shared" si="576"/>
        <v>1037</v>
      </c>
      <c r="CF396" s="847">
        <f t="shared" si="576"/>
        <v>1047</v>
      </c>
      <c r="CG396" s="847">
        <f t="shared" si="576"/>
        <v>1063</v>
      </c>
      <c r="CH396" s="847">
        <f t="shared" si="576"/>
        <v>1080</v>
      </c>
      <c r="CI396" s="847">
        <f t="shared" si="576"/>
        <v>1098</v>
      </c>
      <c r="CJ396" s="236">
        <f t="shared" si="543"/>
        <v>1098</v>
      </c>
      <c r="CK396" s="3510">
        <f t="shared" si="559"/>
        <v>1111</v>
      </c>
      <c r="CL396" s="847">
        <f t="shared" si="576"/>
        <v>1117</v>
      </c>
      <c r="CM396" s="847">
        <f t="shared" si="563"/>
        <v>1127</v>
      </c>
      <c r="CN396" s="847">
        <f t="shared" si="563"/>
        <v>1142</v>
      </c>
      <c r="CO396" s="661">
        <f t="shared" ref="CO396" si="577">CO361+CO327+CO293</f>
        <v>1142</v>
      </c>
      <c r="CP396" s="3510"/>
      <c r="CQ396" s="847"/>
      <c r="CR396" s="847"/>
      <c r="CS396" s="847"/>
      <c r="CT396" s="661">
        <f t="shared" si="565"/>
        <v>0</v>
      </c>
      <c r="CU396" s="661">
        <f t="shared" si="576"/>
        <v>0</v>
      </c>
      <c r="CV396" s="661">
        <f t="shared" si="576"/>
        <v>0</v>
      </c>
      <c r="DB396" s="217"/>
    </row>
    <row r="397" spans="1:106" x14ac:dyDescent="0.2">
      <c r="A397" s="2308" t="s">
        <v>2124</v>
      </c>
      <c r="B397" s="651"/>
      <c r="C397" s="236"/>
      <c r="D397" s="234"/>
      <c r="E397" s="234"/>
      <c r="F397" s="234"/>
      <c r="G397" s="234"/>
      <c r="H397" s="661"/>
      <c r="I397" s="847"/>
      <c r="J397" s="847"/>
      <c r="K397" s="847"/>
      <c r="L397" s="847"/>
      <c r="M397" s="661"/>
      <c r="N397" s="847"/>
      <c r="O397" s="847"/>
      <c r="P397" s="847"/>
      <c r="Q397" s="847"/>
      <c r="R397" s="661"/>
      <c r="S397" s="847"/>
      <c r="T397" s="847"/>
      <c r="U397" s="847"/>
      <c r="V397" s="847"/>
      <c r="W397" s="661"/>
      <c r="X397" s="847"/>
      <c r="Y397" s="847"/>
      <c r="Z397" s="847"/>
      <c r="AA397" s="847"/>
      <c r="AB397" s="661"/>
      <c r="AC397" s="847"/>
      <c r="AD397" s="847"/>
      <c r="AE397" s="847"/>
      <c r="AF397" s="847"/>
      <c r="AG397" s="661"/>
      <c r="AH397" s="847"/>
      <c r="AI397" s="847"/>
      <c r="AJ397" s="847"/>
      <c r="AK397" s="847"/>
      <c r="AL397" s="661"/>
      <c r="AM397" s="847"/>
      <c r="AN397" s="847"/>
      <c r="AO397" s="847"/>
      <c r="AP397" s="847"/>
      <c r="AQ397" s="661"/>
      <c r="AR397" s="847"/>
      <c r="AS397" s="847"/>
      <c r="AT397" s="847"/>
      <c r="AU397" s="847"/>
      <c r="AV397" s="661"/>
      <c r="AW397" s="847"/>
      <c r="AX397" s="847"/>
      <c r="AY397" s="847"/>
      <c r="AZ397" s="847"/>
      <c r="BA397" s="661"/>
      <c r="BB397" s="847"/>
      <c r="BC397" s="847"/>
      <c r="BD397" s="847"/>
      <c r="BE397" s="847"/>
      <c r="BF397" s="661"/>
      <c r="BG397" s="847"/>
      <c r="BH397" s="847"/>
      <c r="BI397" s="847"/>
      <c r="BJ397" s="847"/>
      <c r="BK397" s="661"/>
      <c r="BL397" s="847"/>
      <c r="BM397" s="847"/>
      <c r="BN397" s="847"/>
      <c r="BO397" s="1431"/>
      <c r="BP397" s="661"/>
      <c r="BQ397" s="847"/>
      <c r="BR397" s="847"/>
      <c r="BS397" s="847"/>
      <c r="BT397" s="847"/>
      <c r="BU397" s="661"/>
      <c r="BV397" s="847"/>
      <c r="BW397" s="847">
        <f t="shared" ref="BW397:CV397" si="578">BW362+BW328+BW294</f>
        <v>112</v>
      </c>
      <c r="BX397" s="847">
        <f t="shared" si="578"/>
        <v>112</v>
      </c>
      <c r="BY397" s="847">
        <f t="shared" si="578"/>
        <v>112</v>
      </c>
      <c r="BZ397" s="661">
        <f t="shared" si="578"/>
        <v>112</v>
      </c>
      <c r="CA397" s="847">
        <f t="shared" si="578"/>
        <v>113</v>
      </c>
      <c r="CB397" s="847">
        <f t="shared" si="578"/>
        <v>105</v>
      </c>
      <c r="CC397" s="847">
        <f t="shared" si="578"/>
        <v>102</v>
      </c>
      <c r="CD397" s="847">
        <f t="shared" si="578"/>
        <v>102</v>
      </c>
      <c r="CE397" s="661">
        <f t="shared" si="578"/>
        <v>102</v>
      </c>
      <c r="CF397" s="847">
        <f t="shared" si="578"/>
        <v>99</v>
      </c>
      <c r="CG397" s="847">
        <f>CG362+CG328+CG294</f>
        <v>97</v>
      </c>
      <c r="CH397" s="847">
        <f t="shared" si="578"/>
        <v>97</v>
      </c>
      <c r="CI397" s="847">
        <f t="shared" si="578"/>
        <v>97</v>
      </c>
      <c r="CJ397" s="236">
        <f t="shared" si="543"/>
        <v>97</v>
      </c>
      <c r="CK397" s="3510">
        <f t="shared" si="559"/>
        <v>93</v>
      </c>
      <c r="CL397" s="847">
        <f>CL362+CL328+CL294</f>
        <v>92</v>
      </c>
      <c r="CM397" s="847">
        <f t="shared" si="563"/>
        <v>90</v>
      </c>
      <c r="CN397" s="847">
        <f t="shared" si="563"/>
        <v>90</v>
      </c>
      <c r="CO397" s="661">
        <f t="shared" ref="CO397" si="579">CO362+CO328+CO294</f>
        <v>90</v>
      </c>
      <c r="CP397" s="3510"/>
      <c r="CQ397" s="847"/>
      <c r="CR397" s="847"/>
      <c r="CS397" s="847"/>
      <c r="CT397" s="661">
        <f t="shared" si="565"/>
        <v>0</v>
      </c>
      <c r="CU397" s="661">
        <f t="shared" si="578"/>
        <v>0</v>
      </c>
      <c r="CV397" s="661">
        <f t="shared" si="578"/>
        <v>0</v>
      </c>
      <c r="DB397" s="217"/>
    </row>
    <row r="398" spans="1:106" x14ac:dyDescent="0.2">
      <c r="A398" s="1434" t="s">
        <v>1388</v>
      </c>
      <c r="B398" s="651"/>
      <c r="C398" s="236"/>
      <c r="D398" s="234"/>
      <c r="E398" s="234"/>
      <c r="F398" s="234"/>
      <c r="G398" s="234"/>
      <c r="H398" s="661"/>
      <c r="I398" s="847">
        <f t="shared" ref="I398:AN398" si="580">I363+I329+I295</f>
        <v>362</v>
      </c>
      <c r="J398" s="847">
        <f t="shared" si="580"/>
        <v>372</v>
      </c>
      <c r="K398" s="847">
        <f t="shared" si="580"/>
        <v>380</v>
      </c>
      <c r="L398" s="847">
        <f t="shared" si="580"/>
        <v>392</v>
      </c>
      <c r="M398" s="661">
        <f t="shared" si="580"/>
        <v>392</v>
      </c>
      <c r="N398" s="847">
        <f t="shared" si="580"/>
        <v>395</v>
      </c>
      <c r="O398" s="847">
        <f t="shared" si="580"/>
        <v>398</v>
      </c>
      <c r="P398" s="847">
        <f t="shared" si="580"/>
        <v>411</v>
      </c>
      <c r="Q398" s="847">
        <f t="shared" si="580"/>
        <v>428</v>
      </c>
      <c r="R398" s="661">
        <f t="shared" si="580"/>
        <v>428</v>
      </c>
      <c r="S398" s="847">
        <f t="shared" si="580"/>
        <v>431</v>
      </c>
      <c r="T398" s="847">
        <f t="shared" si="580"/>
        <v>432</v>
      </c>
      <c r="U398" s="847">
        <f t="shared" si="580"/>
        <v>443</v>
      </c>
      <c r="V398" s="847">
        <f t="shared" si="580"/>
        <v>449</v>
      </c>
      <c r="W398" s="661">
        <f t="shared" si="580"/>
        <v>449</v>
      </c>
      <c r="X398" s="847">
        <f t="shared" si="580"/>
        <v>449</v>
      </c>
      <c r="Y398" s="847">
        <f t="shared" si="580"/>
        <v>454</v>
      </c>
      <c r="Z398" s="847">
        <f t="shared" si="580"/>
        <v>457</v>
      </c>
      <c r="AA398" s="847">
        <f t="shared" si="580"/>
        <v>463</v>
      </c>
      <c r="AB398" s="661">
        <f t="shared" si="580"/>
        <v>463</v>
      </c>
      <c r="AC398" s="847">
        <f t="shared" si="580"/>
        <v>469</v>
      </c>
      <c r="AD398" s="847">
        <f t="shared" si="580"/>
        <v>475</v>
      </c>
      <c r="AE398" s="847">
        <f t="shared" si="580"/>
        <v>482</v>
      </c>
      <c r="AF398" s="847">
        <f t="shared" si="580"/>
        <v>490</v>
      </c>
      <c r="AG398" s="661">
        <f t="shared" si="580"/>
        <v>490</v>
      </c>
      <c r="AH398" s="847">
        <f t="shared" si="580"/>
        <v>496</v>
      </c>
      <c r="AI398" s="847">
        <f t="shared" si="580"/>
        <v>500</v>
      </c>
      <c r="AJ398" s="847">
        <f t="shared" si="580"/>
        <v>511</v>
      </c>
      <c r="AK398" s="847">
        <f t="shared" si="580"/>
        <v>511</v>
      </c>
      <c r="AL398" s="661">
        <f t="shared" si="580"/>
        <v>511</v>
      </c>
      <c r="AM398" s="847">
        <f t="shared" si="580"/>
        <v>521</v>
      </c>
      <c r="AN398" s="847">
        <f t="shared" si="580"/>
        <v>526</v>
      </c>
      <c r="AO398" s="847">
        <f t="shared" ref="AO398:BV398" si="581">AO363+AO329+AO295</f>
        <v>534</v>
      </c>
      <c r="AP398" s="847">
        <f t="shared" si="581"/>
        <v>546</v>
      </c>
      <c r="AQ398" s="661">
        <f t="shared" si="581"/>
        <v>546</v>
      </c>
      <c r="AR398" s="847">
        <f t="shared" si="581"/>
        <v>547</v>
      </c>
      <c r="AS398" s="847">
        <f t="shared" si="581"/>
        <v>552</v>
      </c>
      <c r="AT398" s="847">
        <f t="shared" si="581"/>
        <v>559</v>
      </c>
      <c r="AU398" s="847">
        <f t="shared" si="581"/>
        <v>573</v>
      </c>
      <c r="AV398" s="661">
        <f t="shared" si="581"/>
        <v>573</v>
      </c>
      <c r="AW398" s="847">
        <f t="shared" si="581"/>
        <v>574</v>
      </c>
      <c r="AX398" s="847">
        <f t="shared" si="581"/>
        <v>585</v>
      </c>
      <c r="AY398" s="847">
        <f t="shared" si="581"/>
        <v>601</v>
      </c>
      <c r="AZ398" s="847">
        <f t="shared" si="581"/>
        <v>608</v>
      </c>
      <c r="BA398" s="661">
        <f t="shared" si="581"/>
        <v>608</v>
      </c>
      <c r="BB398" s="847">
        <f t="shared" si="581"/>
        <v>605</v>
      </c>
      <c r="BC398" s="847">
        <f t="shared" si="581"/>
        <v>606</v>
      </c>
      <c r="BD398" s="847">
        <f t="shared" si="581"/>
        <v>610</v>
      </c>
      <c r="BE398" s="847">
        <f t="shared" si="581"/>
        <v>613</v>
      </c>
      <c r="BF398" s="661">
        <f t="shared" si="581"/>
        <v>613</v>
      </c>
      <c r="BG398" s="847">
        <f t="shared" si="581"/>
        <v>615</v>
      </c>
      <c r="BH398" s="847">
        <f t="shared" si="581"/>
        <v>615</v>
      </c>
      <c r="BI398" s="847">
        <f t="shared" si="581"/>
        <v>615</v>
      </c>
      <c r="BJ398" s="847">
        <f t="shared" si="581"/>
        <v>617</v>
      </c>
      <c r="BK398" s="661">
        <f t="shared" si="581"/>
        <v>617</v>
      </c>
      <c r="BL398" s="847">
        <f t="shared" si="581"/>
        <v>619</v>
      </c>
      <c r="BM398" s="847">
        <f t="shared" si="581"/>
        <v>621</v>
      </c>
      <c r="BN398" s="847">
        <f t="shared" si="581"/>
        <v>624</v>
      </c>
      <c r="BO398" s="1431">
        <f t="shared" si="581"/>
        <v>625</v>
      </c>
      <c r="BP398" s="661">
        <f t="shared" si="581"/>
        <v>625</v>
      </c>
      <c r="BQ398" s="847">
        <f t="shared" si="581"/>
        <v>630</v>
      </c>
      <c r="BR398" s="847">
        <f t="shared" si="581"/>
        <v>635</v>
      </c>
      <c r="BS398" s="847">
        <f t="shared" si="581"/>
        <v>645</v>
      </c>
      <c r="BT398" s="847">
        <f t="shared" si="581"/>
        <v>653</v>
      </c>
      <c r="BU398" s="661">
        <f t="shared" si="581"/>
        <v>653</v>
      </c>
      <c r="BV398" s="847">
        <f t="shared" si="581"/>
        <v>650</v>
      </c>
      <c r="BW398" s="847">
        <f t="shared" ref="BW398:CV398" si="582">BW363+BW329+BW295</f>
        <v>659</v>
      </c>
      <c r="BX398" s="847">
        <f t="shared" si="582"/>
        <v>665</v>
      </c>
      <c r="BY398" s="847">
        <f t="shared" si="582"/>
        <v>675</v>
      </c>
      <c r="BZ398" s="661">
        <f t="shared" si="582"/>
        <v>675</v>
      </c>
      <c r="CA398" s="847">
        <f t="shared" si="582"/>
        <v>682</v>
      </c>
      <c r="CB398" s="847">
        <f t="shared" si="582"/>
        <v>688</v>
      </c>
      <c r="CC398" s="847">
        <f t="shared" si="582"/>
        <v>689</v>
      </c>
      <c r="CD398" s="847">
        <f t="shared" si="582"/>
        <v>697</v>
      </c>
      <c r="CE398" s="661">
        <f t="shared" si="582"/>
        <v>697</v>
      </c>
      <c r="CF398" s="847">
        <f t="shared" si="582"/>
        <v>702</v>
      </c>
      <c r="CG398" s="847">
        <f t="shared" si="582"/>
        <v>710</v>
      </c>
      <c r="CH398" s="847">
        <f t="shared" si="582"/>
        <v>724</v>
      </c>
      <c r="CI398" s="847">
        <f t="shared" si="582"/>
        <v>734</v>
      </c>
      <c r="CJ398" s="236">
        <f t="shared" si="543"/>
        <v>734</v>
      </c>
      <c r="CK398" s="3510">
        <f t="shared" si="559"/>
        <v>740</v>
      </c>
      <c r="CL398" s="847">
        <f t="shared" si="582"/>
        <v>744</v>
      </c>
      <c r="CM398" s="847">
        <f t="shared" si="563"/>
        <v>743</v>
      </c>
      <c r="CN398" s="847">
        <f t="shared" si="563"/>
        <v>760</v>
      </c>
      <c r="CO398" s="661">
        <f t="shared" ref="CO398" si="583">CO363+CO329+CO295</f>
        <v>760</v>
      </c>
      <c r="CP398" s="3510"/>
      <c r="CQ398" s="847"/>
      <c r="CR398" s="847"/>
      <c r="CS398" s="847"/>
      <c r="CT398" s="661">
        <f t="shared" si="565"/>
        <v>0</v>
      </c>
      <c r="CU398" s="661">
        <f t="shared" si="582"/>
        <v>0</v>
      </c>
      <c r="CV398" s="661">
        <f t="shared" si="582"/>
        <v>0</v>
      </c>
      <c r="DB398" s="217"/>
    </row>
    <row r="399" spans="1:106" x14ac:dyDescent="0.2">
      <c r="A399" s="1436" t="s">
        <v>1391</v>
      </c>
      <c r="B399" s="651"/>
      <c r="C399" s="236"/>
      <c r="D399" s="234"/>
      <c r="E399" s="234"/>
      <c r="F399" s="234"/>
      <c r="G399" s="234"/>
      <c r="H399" s="661"/>
      <c r="I399" s="847">
        <f t="shared" ref="I399:AN399" si="584">I364+I330+I296</f>
        <v>89</v>
      </c>
      <c r="J399" s="847">
        <f t="shared" si="584"/>
        <v>90</v>
      </c>
      <c r="K399" s="847">
        <f t="shared" si="584"/>
        <v>96</v>
      </c>
      <c r="L399" s="847">
        <f t="shared" si="584"/>
        <v>99</v>
      </c>
      <c r="M399" s="661">
        <f t="shared" si="584"/>
        <v>99</v>
      </c>
      <c r="N399" s="847">
        <f t="shared" si="584"/>
        <v>99</v>
      </c>
      <c r="O399" s="847">
        <f t="shared" si="584"/>
        <v>101</v>
      </c>
      <c r="P399" s="847">
        <f t="shared" si="584"/>
        <v>103</v>
      </c>
      <c r="Q399" s="847">
        <f t="shared" si="584"/>
        <v>104</v>
      </c>
      <c r="R399" s="661">
        <f t="shared" si="584"/>
        <v>104</v>
      </c>
      <c r="S399" s="847">
        <f t="shared" si="584"/>
        <v>105</v>
      </c>
      <c r="T399" s="847">
        <f t="shared" si="584"/>
        <v>106</v>
      </c>
      <c r="U399" s="847">
        <f t="shared" si="584"/>
        <v>109</v>
      </c>
      <c r="V399" s="847">
        <f t="shared" si="584"/>
        <v>111</v>
      </c>
      <c r="W399" s="661">
        <f t="shared" si="584"/>
        <v>111</v>
      </c>
      <c r="X399" s="847">
        <f t="shared" si="584"/>
        <v>112</v>
      </c>
      <c r="Y399" s="847">
        <f t="shared" si="584"/>
        <v>112</v>
      </c>
      <c r="Z399" s="847">
        <f t="shared" si="584"/>
        <v>113</v>
      </c>
      <c r="AA399" s="847">
        <f t="shared" si="584"/>
        <v>115</v>
      </c>
      <c r="AB399" s="661">
        <f t="shared" si="584"/>
        <v>115</v>
      </c>
      <c r="AC399" s="847">
        <f t="shared" si="584"/>
        <v>117</v>
      </c>
      <c r="AD399" s="847">
        <f t="shared" si="584"/>
        <v>118</v>
      </c>
      <c r="AE399" s="847">
        <f t="shared" si="584"/>
        <v>119</v>
      </c>
      <c r="AF399" s="847">
        <f t="shared" si="584"/>
        <v>122</v>
      </c>
      <c r="AG399" s="661">
        <f t="shared" si="584"/>
        <v>122</v>
      </c>
      <c r="AH399" s="847">
        <f t="shared" si="584"/>
        <v>122</v>
      </c>
      <c r="AI399" s="847">
        <f t="shared" si="584"/>
        <v>123</v>
      </c>
      <c r="AJ399" s="847">
        <f t="shared" si="584"/>
        <v>122</v>
      </c>
      <c r="AK399" s="847">
        <f t="shared" si="584"/>
        <v>123</v>
      </c>
      <c r="AL399" s="661">
        <f t="shared" si="584"/>
        <v>123</v>
      </c>
      <c r="AM399" s="847">
        <f t="shared" si="584"/>
        <v>123</v>
      </c>
      <c r="AN399" s="847">
        <f t="shared" si="584"/>
        <v>128</v>
      </c>
      <c r="AO399" s="847">
        <f t="shared" ref="AO399:BV399" si="585">AO364+AO330+AO296</f>
        <v>134</v>
      </c>
      <c r="AP399" s="847">
        <f t="shared" si="585"/>
        <v>141</v>
      </c>
      <c r="AQ399" s="661">
        <f t="shared" si="585"/>
        <v>141</v>
      </c>
      <c r="AR399" s="847">
        <f t="shared" si="585"/>
        <v>145</v>
      </c>
      <c r="AS399" s="847">
        <f t="shared" si="585"/>
        <v>152</v>
      </c>
      <c r="AT399" s="847">
        <f t="shared" si="585"/>
        <v>154</v>
      </c>
      <c r="AU399" s="847">
        <f t="shared" si="585"/>
        <v>163</v>
      </c>
      <c r="AV399" s="661">
        <f t="shared" si="585"/>
        <v>163</v>
      </c>
      <c r="AW399" s="847">
        <f t="shared" si="585"/>
        <v>166</v>
      </c>
      <c r="AX399" s="847">
        <f t="shared" si="585"/>
        <v>173</v>
      </c>
      <c r="AY399" s="847">
        <f t="shared" si="585"/>
        <v>179</v>
      </c>
      <c r="AZ399" s="847">
        <f t="shared" si="585"/>
        <v>184</v>
      </c>
      <c r="BA399" s="661">
        <f t="shared" si="585"/>
        <v>184</v>
      </c>
      <c r="BB399" s="847">
        <f t="shared" si="585"/>
        <v>187</v>
      </c>
      <c r="BC399" s="847">
        <f t="shared" si="585"/>
        <v>190</v>
      </c>
      <c r="BD399" s="847">
        <f t="shared" si="585"/>
        <v>192</v>
      </c>
      <c r="BE399" s="847">
        <f t="shared" si="585"/>
        <v>193</v>
      </c>
      <c r="BF399" s="661">
        <f t="shared" si="585"/>
        <v>193</v>
      </c>
      <c r="BG399" s="847">
        <f t="shared" si="585"/>
        <v>194</v>
      </c>
      <c r="BH399" s="847">
        <f t="shared" si="585"/>
        <v>196</v>
      </c>
      <c r="BI399" s="847">
        <f t="shared" si="585"/>
        <v>198</v>
      </c>
      <c r="BJ399" s="847">
        <f t="shared" si="585"/>
        <v>201</v>
      </c>
      <c r="BK399" s="661">
        <f t="shared" si="585"/>
        <v>201</v>
      </c>
      <c r="BL399" s="847">
        <f t="shared" si="585"/>
        <v>203</v>
      </c>
      <c r="BM399" s="847">
        <f t="shared" si="585"/>
        <v>203</v>
      </c>
      <c r="BN399" s="847">
        <f t="shared" si="585"/>
        <v>207</v>
      </c>
      <c r="BO399" s="1431">
        <f t="shared" si="585"/>
        <v>210</v>
      </c>
      <c r="BP399" s="661">
        <f t="shared" si="585"/>
        <v>210</v>
      </c>
      <c r="BQ399" s="847">
        <f t="shared" si="585"/>
        <v>214</v>
      </c>
      <c r="BR399" s="847">
        <f t="shared" si="585"/>
        <v>220</v>
      </c>
      <c r="BS399" s="847">
        <f t="shared" si="585"/>
        <v>220</v>
      </c>
      <c r="BT399" s="847">
        <f t="shared" si="585"/>
        <v>224</v>
      </c>
      <c r="BU399" s="661">
        <f t="shared" si="585"/>
        <v>224</v>
      </c>
      <c r="BV399" s="847">
        <f t="shared" si="585"/>
        <v>224</v>
      </c>
      <c r="BW399" s="847">
        <f t="shared" ref="BW399:CV399" si="586">BW364+BW330+BW296</f>
        <v>231</v>
      </c>
      <c r="BX399" s="847">
        <f t="shared" si="586"/>
        <v>236</v>
      </c>
      <c r="BY399" s="847">
        <f t="shared" si="586"/>
        <v>244</v>
      </c>
      <c r="BZ399" s="661">
        <f t="shared" si="586"/>
        <v>244</v>
      </c>
      <c r="CA399" s="847">
        <f t="shared" si="586"/>
        <v>253</v>
      </c>
      <c r="CB399" s="847">
        <f t="shared" si="586"/>
        <v>260</v>
      </c>
      <c r="CC399" s="847">
        <f t="shared" si="586"/>
        <v>264</v>
      </c>
      <c r="CD399" s="847">
        <f t="shared" si="586"/>
        <v>270</v>
      </c>
      <c r="CE399" s="661">
        <f t="shared" si="586"/>
        <v>270</v>
      </c>
      <c r="CF399" s="847">
        <f t="shared" si="586"/>
        <v>279</v>
      </c>
      <c r="CG399" s="847">
        <f t="shared" si="586"/>
        <v>288</v>
      </c>
      <c r="CH399" s="847">
        <f t="shared" si="586"/>
        <v>293</v>
      </c>
      <c r="CI399" s="847">
        <f t="shared" si="586"/>
        <v>301</v>
      </c>
      <c r="CJ399" s="236">
        <f t="shared" si="543"/>
        <v>301</v>
      </c>
      <c r="CK399" s="3510">
        <f t="shared" si="559"/>
        <v>312</v>
      </c>
      <c r="CL399" s="847">
        <f t="shared" si="586"/>
        <v>320</v>
      </c>
      <c r="CM399" s="847">
        <f t="shared" si="563"/>
        <v>329</v>
      </c>
      <c r="CN399" s="847">
        <f t="shared" si="563"/>
        <v>338</v>
      </c>
      <c r="CO399" s="661">
        <f t="shared" ref="CO399" si="587">CO364+CO330+CO296</f>
        <v>338</v>
      </c>
      <c r="CP399" s="3510"/>
      <c r="CQ399" s="847"/>
      <c r="CR399" s="847"/>
      <c r="CS399" s="847"/>
      <c r="CT399" s="661">
        <f t="shared" si="565"/>
        <v>0</v>
      </c>
      <c r="CU399" s="661">
        <f t="shared" si="586"/>
        <v>0</v>
      </c>
      <c r="CV399" s="661">
        <f t="shared" si="586"/>
        <v>0</v>
      </c>
      <c r="DB399" s="217"/>
    </row>
    <row r="400" spans="1:106" x14ac:dyDescent="0.2">
      <c r="A400" s="1436" t="s">
        <v>1389</v>
      </c>
      <c r="B400" s="651"/>
      <c r="C400" s="236"/>
      <c r="D400" s="234"/>
      <c r="E400" s="234"/>
      <c r="F400" s="234"/>
      <c r="G400" s="234"/>
      <c r="H400" s="661"/>
      <c r="I400" s="847">
        <f t="shared" ref="I400:AN400" si="588">I365+I331+I297</f>
        <v>447</v>
      </c>
      <c r="J400" s="847">
        <f t="shared" si="588"/>
        <v>464</v>
      </c>
      <c r="K400" s="847">
        <f t="shared" si="588"/>
        <v>471</v>
      </c>
      <c r="L400" s="847">
        <f t="shared" si="588"/>
        <v>480</v>
      </c>
      <c r="M400" s="661">
        <f t="shared" si="588"/>
        <v>480</v>
      </c>
      <c r="N400" s="847">
        <f t="shared" si="588"/>
        <v>487</v>
      </c>
      <c r="O400" s="847">
        <f t="shared" si="588"/>
        <v>494</v>
      </c>
      <c r="P400" s="847">
        <f t="shared" si="588"/>
        <v>500</v>
      </c>
      <c r="Q400" s="847">
        <f t="shared" si="588"/>
        <v>503</v>
      </c>
      <c r="R400" s="661">
        <f t="shared" si="588"/>
        <v>503</v>
      </c>
      <c r="S400" s="847">
        <f t="shared" si="588"/>
        <v>508</v>
      </c>
      <c r="T400" s="847">
        <f t="shared" si="588"/>
        <v>516</v>
      </c>
      <c r="U400" s="847">
        <f t="shared" si="588"/>
        <v>519</v>
      </c>
      <c r="V400" s="847">
        <f t="shared" si="588"/>
        <v>524</v>
      </c>
      <c r="W400" s="661">
        <f t="shared" si="588"/>
        <v>524</v>
      </c>
      <c r="X400" s="847">
        <f t="shared" si="588"/>
        <v>527</v>
      </c>
      <c r="Y400" s="847">
        <f t="shared" si="588"/>
        <v>530</v>
      </c>
      <c r="Z400" s="847">
        <f t="shared" si="588"/>
        <v>524</v>
      </c>
      <c r="AA400" s="847">
        <f t="shared" si="588"/>
        <v>523</v>
      </c>
      <c r="AB400" s="661">
        <f t="shared" si="588"/>
        <v>523</v>
      </c>
      <c r="AC400" s="847">
        <f t="shared" si="588"/>
        <v>517</v>
      </c>
      <c r="AD400" s="847">
        <f t="shared" si="588"/>
        <v>515</v>
      </c>
      <c r="AE400" s="847">
        <f t="shared" si="588"/>
        <v>521</v>
      </c>
      <c r="AF400" s="847">
        <f t="shared" si="588"/>
        <v>524</v>
      </c>
      <c r="AG400" s="661">
        <f t="shared" si="588"/>
        <v>524</v>
      </c>
      <c r="AH400" s="847">
        <f t="shared" si="588"/>
        <v>524</v>
      </c>
      <c r="AI400" s="847">
        <f t="shared" si="588"/>
        <v>521</v>
      </c>
      <c r="AJ400" s="847">
        <f t="shared" si="588"/>
        <v>520</v>
      </c>
      <c r="AK400" s="847">
        <f t="shared" si="588"/>
        <v>518</v>
      </c>
      <c r="AL400" s="661">
        <f t="shared" si="588"/>
        <v>518</v>
      </c>
      <c r="AM400" s="847">
        <f t="shared" si="588"/>
        <v>514</v>
      </c>
      <c r="AN400" s="847">
        <f t="shared" si="588"/>
        <v>520</v>
      </c>
      <c r="AO400" s="847">
        <f t="shared" ref="AO400:BV400" si="589">AO365+AO331+AO297</f>
        <v>528</v>
      </c>
      <c r="AP400" s="847">
        <f t="shared" si="589"/>
        <v>537</v>
      </c>
      <c r="AQ400" s="661">
        <f t="shared" si="589"/>
        <v>537</v>
      </c>
      <c r="AR400" s="847">
        <f t="shared" si="589"/>
        <v>535</v>
      </c>
      <c r="AS400" s="847">
        <f t="shared" si="589"/>
        <v>545</v>
      </c>
      <c r="AT400" s="847">
        <f t="shared" si="589"/>
        <v>556</v>
      </c>
      <c r="AU400" s="847">
        <f t="shared" si="589"/>
        <v>569</v>
      </c>
      <c r="AV400" s="661">
        <f t="shared" si="589"/>
        <v>569</v>
      </c>
      <c r="AW400" s="847">
        <f t="shared" si="589"/>
        <v>583</v>
      </c>
      <c r="AX400" s="847">
        <f t="shared" si="589"/>
        <v>598</v>
      </c>
      <c r="AY400" s="847">
        <f t="shared" si="589"/>
        <v>618</v>
      </c>
      <c r="AZ400" s="847">
        <f t="shared" si="589"/>
        <v>629</v>
      </c>
      <c r="BA400" s="661">
        <f t="shared" si="589"/>
        <v>629</v>
      </c>
      <c r="BB400" s="847">
        <f t="shared" si="589"/>
        <v>641</v>
      </c>
      <c r="BC400" s="847">
        <f t="shared" si="589"/>
        <v>650</v>
      </c>
      <c r="BD400" s="847">
        <f t="shared" si="589"/>
        <v>657</v>
      </c>
      <c r="BE400" s="847">
        <f t="shared" si="589"/>
        <v>658</v>
      </c>
      <c r="BF400" s="661">
        <f t="shared" si="589"/>
        <v>658</v>
      </c>
      <c r="BG400" s="847">
        <f t="shared" si="589"/>
        <v>658</v>
      </c>
      <c r="BH400" s="847">
        <f t="shared" si="589"/>
        <v>663</v>
      </c>
      <c r="BI400" s="847">
        <f t="shared" si="589"/>
        <v>674</v>
      </c>
      <c r="BJ400" s="847">
        <f t="shared" si="589"/>
        <v>680</v>
      </c>
      <c r="BK400" s="661">
        <f t="shared" si="589"/>
        <v>680</v>
      </c>
      <c r="BL400" s="847">
        <f t="shared" si="589"/>
        <v>683</v>
      </c>
      <c r="BM400" s="847">
        <f t="shared" si="589"/>
        <v>686</v>
      </c>
      <c r="BN400" s="847">
        <f t="shared" si="589"/>
        <v>690</v>
      </c>
      <c r="BO400" s="1431">
        <f t="shared" si="589"/>
        <v>691</v>
      </c>
      <c r="BP400" s="661">
        <f t="shared" si="589"/>
        <v>691</v>
      </c>
      <c r="BQ400" s="847">
        <f t="shared" si="589"/>
        <v>692</v>
      </c>
      <c r="BR400" s="847">
        <f t="shared" si="589"/>
        <v>703</v>
      </c>
      <c r="BS400" s="847">
        <f t="shared" si="589"/>
        <v>710</v>
      </c>
      <c r="BT400" s="847">
        <f t="shared" si="589"/>
        <v>708</v>
      </c>
      <c r="BU400" s="661">
        <f t="shared" si="589"/>
        <v>708</v>
      </c>
      <c r="BV400" s="847">
        <f t="shared" si="589"/>
        <v>712</v>
      </c>
      <c r="BW400" s="847">
        <f t="shared" ref="BW400:CV400" si="590">BW365+BW331+BW297</f>
        <v>715</v>
      </c>
      <c r="BX400" s="847">
        <f t="shared" si="590"/>
        <v>724</v>
      </c>
      <c r="BY400" s="847">
        <f t="shared" si="590"/>
        <v>721</v>
      </c>
      <c r="BZ400" s="661">
        <f t="shared" si="590"/>
        <v>721</v>
      </c>
      <c r="CA400" s="847">
        <f t="shared" si="590"/>
        <v>730</v>
      </c>
      <c r="CB400" s="847">
        <f t="shared" si="590"/>
        <v>747</v>
      </c>
      <c r="CC400" s="847">
        <f t="shared" si="590"/>
        <v>753</v>
      </c>
      <c r="CD400" s="847">
        <f t="shared" si="590"/>
        <v>768</v>
      </c>
      <c r="CE400" s="661">
        <f t="shared" si="590"/>
        <v>768</v>
      </c>
      <c r="CF400" s="847">
        <f t="shared" si="590"/>
        <v>779</v>
      </c>
      <c r="CG400" s="847">
        <f t="shared" si="590"/>
        <v>801</v>
      </c>
      <c r="CH400" s="847">
        <f t="shared" si="590"/>
        <v>821</v>
      </c>
      <c r="CI400" s="847">
        <f t="shared" si="590"/>
        <v>840</v>
      </c>
      <c r="CJ400" s="236">
        <f t="shared" si="543"/>
        <v>840</v>
      </c>
      <c r="CK400" s="3510">
        <f t="shared" si="559"/>
        <v>856</v>
      </c>
      <c r="CL400" s="847">
        <f t="shared" si="590"/>
        <v>873</v>
      </c>
      <c r="CM400" s="847">
        <f t="shared" si="563"/>
        <v>896</v>
      </c>
      <c r="CN400" s="847">
        <f t="shared" si="563"/>
        <v>919</v>
      </c>
      <c r="CO400" s="661">
        <f t="shared" ref="CO400" si="591">CO365+CO331+CO297</f>
        <v>919</v>
      </c>
      <c r="CP400" s="3510"/>
      <c r="CQ400" s="847"/>
      <c r="CR400" s="847"/>
      <c r="CS400" s="847"/>
      <c r="CT400" s="661">
        <f t="shared" si="565"/>
        <v>0</v>
      </c>
      <c r="CU400" s="661">
        <f t="shared" si="590"/>
        <v>0</v>
      </c>
      <c r="CV400" s="661">
        <f t="shared" si="590"/>
        <v>0</v>
      </c>
      <c r="DB400" s="217"/>
    </row>
    <row r="401" spans="1:106" x14ac:dyDescent="0.2">
      <c r="A401" s="1436" t="s">
        <v>1390</v>
      </c>
      <c r="B401" s="651"/>
      <c r="C401" s="236"/>
      <c r="D401" s="234"/>
      <c r="E401" s="234"/>
      <c r="F401" s="234"/>
      <c r="G401" s="234"/>
      <c r="H401" s="661"/>
      <c r="I401" s="847">
        <f t="shared" ref="I401:AN401" si="592">I366+I332+I298</f>
        <v>65</v>
      </c>
      <c r="J401" s="847">
        <f t="shared" si="592"/>
        <v>69</v>
      </c>
      <c r="K401" s="847">
        <f t="shared" si="592"/>
        <v>77</v>
      </c>
      <c r="L401" s="847">
        <f t="shared" si="592"/>
        <v>84</v>
      </c>
      <c r="M401" s="661">
        <f t="shared" si="592"/>
        <v>84</v>
      </c>
      <c r="N401" s="847">
        <f t="shared" si="592"/>
        <v>88</v>
      </c>
      <c r="O401" s="847">
        <f t="shared" si="592"/>
        <v>97</v>
      </c>
      <c r="P401" s="847">
        <f t="shared" si="592"/>
        <v>96</v>
      </c>
      <c r="Q401" s="847">
        <f t="shared" si="592"/>
        <v>98</v>
      </c>
      <c r="R401" s="661">
        <f t="shared" si="592"/>
        <v>98</v>
      </c>
      <c r="S401" s="847">
        <f t="shared" si="592"/>
        <v>99</v>
      </c>
      <c r="T401" s="847">
        <f t="shared" si="592"/>
        <v>103</v>
      </c>
      <c r="U401" s="847">
        <f t="shared" si="592"/>
        <v>106</v>
      </c>
      <c r="V401" s="847">
        <f t="shared" si="592"/>
        <v>110</v>
      </c>
      <c r="W401" s="661">
        <f t="shared" si="592"/>
        <v>110</v>
      </c>
      <c r="X401" s="847">
        <f t="shared" si="592"/>
        <v>112</v>
      </c>
      <c r="Y401" s="847">
        <f t="shared" si="592"/>
        <v>116</v>
      </c>
      <c r="Z401" s="847">
        <f t="shared" si="592"/>
        <v>121</v>
      </c>
      <c r="AA401" s="847">
        <f t="shared" si="592"/>
        <v>125</v>
      </c>
      <c r="AB401" s="661">
        <f t="shared" si="592"/>
        <v>125</v>
      </c>
      <c r="AC401" s="847">
        <f t="shared" si="592"/>
        <v>126</v>
      </c>
      <c r="AD401" s="847">
        <f t="shared" si="592"/>
        <v>134</v>
      </c>
      <c r="AE401" s="847">
        <f t="shared" si="592"/>
        <v>135</v>
      </c>
      <c r="AF401" s="847">
        <f t="shared" si="592"/>
        <v>137</v>
      </c>
      <c r="AG401" s="661">
        <f t="shared" si="592"/>
        <v>137</v>
      </c>
      <c r="AH401" s="847">
        <f t="shared" si="592"/>
        <v>142</v>
      </c>
      <c r="AI401" s="847">
        <f t="shared" si="592"/>
        <v>145</v>
      </c>
      <c r="AJ401" s="847">
        <f t="shared" si="592"/>
        <v>149</v>
      </c>
      <c r="AK401" s="847">
        <f t="shared" si="592"/>
        <v>153</v>
      </c>
      <c r="AL401" s="661">
        <f t="shared" si="592"/>
        <v>153</v>
      </c>
      <c r="AM401" s="847">
        <f t="shared" si="592"/>
        <v>157</v>
      </c>
      <c r="AN401" s="847">
        <f t="shared" si="592"/>
        <v>163</v>
      </c>
      <c r="AO401" s="847">
        <f t="shared" ref="AO401:BV401" si="593">AO366+AO332+AO298</f>
        <v>167</v>
      </c>
      <c r="AP401" s="847">
        <f t="shared" si="593"/>
        <v>177</v>
      </c>
      <c r="AQ401" s="661">
        <f t="shared" si="593"/>
        <v>177</v>
      </c>
      <c r="AR401" s="847">
        <f t="shared" si="593"/>
        <v>187</v>
      </c>
      <c r="AS401" s="847">
        <f t="shared" si="593"/>
        <v>196</v>
      </c>
      <c r="AT401" s="847">
        <f t="shared" si="593"/>
        <v>199</v>
      </c>
      <c r="AU401" s="847">
        <f t="shared" si="593"/>
        <v>208</v>
      </c>
      <c r="AV401" s="661">
        <f t="shared" si="593"/>
        <v>208</v>
      </c>
      <c r="AW401" s="847">
        <f t="shared" si="593"/>
        <v>218</v>
      </c>
      <c r="AX401" s="847">
        <f t="shared" si="593"/>
        <v>227</v>
      </c>
      <c r="AY401" s="847">
        <f t="shared" si="593"/>
        <v>242</v>
      </c>
      <c r="AZ401" s="847">
        <f t="shared" si="593"/>
        <v>256</v>
      </c>
      <c r="BA401" s="661">
        <f t="shared" si="593"/>
        <v>256</v>
      </c>
      <c r="BB401" s="847">
        <f t="shared" si="593"/>
        <v>261</v>
      </c>
      <c r="BC401" s="847">
        <f t="shared" si="593"/>
        <v>268</v>
      </c>
      <c r="BD401" s="847">
        <f t="shared" si="593"/>
        <v>272</v>
      </c>
      <c r="BE401" s="847">
        <f t="shared" si="593"/>
        <v>274</v>
      </c>
      <c r="BF401" s="661">
        <f t="shared" si="593"/>
        <v>274</v>
      </c>
      <c r="BG401" s="847">
        <f t="shared" si="593"/>
        <v>274</v>
      </c>
      <c r="BH401" s="847">
        <f t="shared" si="593"/>
        <v>280</v>
      </c>
      <c r="BI401" s="847">
        <f t="shared" si="593"/>
        <v>285</v>
      </c>
      <c r="BJ401" s="847">
        <f t="shared" si="593"/>
        <v>287</v>
      </c>
      <c r="BK401" s="661">
        <f t="shared" si="593"/>
        <v>287</v>
      </c>
      <c r="BL401" s="847">
        <f t="shared" si="593"/>
        <v>290</v>
      </c>
      <c r="BM401" s="847">
        <f t="shared" si="593"/>
        <v>293</v>
      </c>
      <c r="BN401" s="847">
        <f t="shared" si="593"/>
        <v>298</v>
      </c>
      <c r="BO401" s="1431">
        <f t="shared" si="593"/>
        <v>299</v>
      </c>
      <c r="BP401" s="661">
        <f t="shared" si="593"/>
        <v>299</v>
      </c>
      <c r="BQ401" s="847">
        <f t="shared" si="593"/>
        <v>299</v>
      </c>
      <c r="BR401" s="847">
        <f t="shared" si="593"/>
        <v>303</v>
      </c>
      <c r="BS401" s="847">
        <f t="shared" si="593"/>
        <v>305</v>
      </c>
      <c r="BT401" s="847">
        <f t="shared" si="593"/>
        <v>308</v>
      </c>
      <c r="BU401" s="661">
        <f t="shared" si="593"/>
        <v>308</v>
      </c>
      <c r="BV401" s="847">
        <f t="shared" si="593"/>
        <v>312</v>
      </c>
      <c r="BW401" s="847">
        <f t="shared" ref="BW401:CV401" si="594">BW366+BW332+BW298</f>
        <v>313</v>
      </c>
      <c r="BX401" s="847">
        <f t="shared" si="594"/>
        <v>313</v>
      </c>
      <c r="BY401" s="847">
        <f t="shared" si="594"/>
        <v>316</v>
      </c>
      <c r="BZ401" s="661">
        <f t="shared" si="594"/>
        <v>316</v>
      </c>
      <c r="CA401" s="847">
        <f t="shared" si="594"/>
        <v>322</v>
      </c>
      <c r="CB401" s="847">
        <f t="shared" si="594"/>
        <v>327</v>
      </c>
      <c r="CC401" s="847">
        <f t="shared" si="594"/>
        <v>333</v>
      </c>
      <c r="CD401" s="847">
        <f t="shared" si="594"/>
        <v>336</v>
      </c>
      <c r="CE401" s="661">
        <f t="shared" si="594"/>
        <v>336</v>
      </c>
      <c r="CF401" s="847">
        <f t="shared" si="594"/>
        <v>343</v>
      </c>
      <c r="CG401" s="847">
        <f t="shared" si="594"/>
        <v>349</v>
      </c>
      <c r="CH401" s="847">
        <f t="shared" si="594"/>
        <v>353</v>
      </c>
      <c r="CI401" s="847">
        <f t="shared" si="594"/>
        <v>359</v>
      </c>
      <c r="CJ401" s="236">
        <f t="shared" si="543"/>
        <v>359</v>
      </c>
      <c r="CK401" s="3510">
        <f t="shared" si="559"/>
        <v>363</v>
      </c>
      <c r="CL401" s="847">
        <f t="shared" si="594"/>
        <v>373</v>
      </c>
      <c r="CM401" s="847">
        <f t="shared" si="563"/>
        <v>382</v>
      </c>
      <c r="CN401" s="847">
        <f t="shared" si="563"/>
        <v>388</v>
      </c>
      <c r="CO401" s="661">
        <f t="shared" ref="CO401" si="595">CO366+CO332+CO298</f>
        <v>388</v>
      </c>
      <c r="CP401" s="3510"/>
      <c r="CQ401" s="847"/>
      <c r="CR401" s="847"/>
      <c r="CS401" s="847"/>
      <c r="CT401" s="661">
        <f t="shared" si="565"/>
        <v>0</v>
      </c>
      <c r="CU401" s="661">
        <f t="shared" si="594"/>
        <v>0</v>
      </c>
      <c r="CV401" s="661">
        <f t="shared" si="594"/>
        <v>0</v>
      </c>
      <c r="DB401" s="217"/>
    </row>
    <row r="402" spans="1:106" x14ac:dyDescent="0.2">
      <c r="A402" s="1436" t="s">
        <v>650</v>
      </c>
      <c r="B402" s="651"/>
      <c r="C402" s="236"/>
      <c r="D402" s="234"/>
      <c r="E402" s="234"/>
      <c r="F402" s="234"/>
      <c r="G402" s="234"/>
      <c r="H402" s="661"/>
      <c r="I402" s="847">
        <f t="shared" ref="I402:AN402" si="596">I367+I333+I299</f>
        <v>62</v>
      </c>
      <c r="J402" s="847">
        <f t="shared" si="596"/>
        <v>70</v>
      </c>
      <c r="K402" s="847">
        <f t="shared" si="596"/>
        <v>129</v>
      </c>
      <c r="L402" s="847">
        <f t="shared" si="596"/>
        <v>133</v>
      </c>
      <c r="M402" s="661">
        <f t="shared" si="596"/>
        <v>133</v>
      </c>
      <c r="N402" s="847">
        <f t="shared" si="596"/>
        <v>137</v>
      </c>
      <c r="O402" s="847">
        <f t="shared" si="596"/>
        <v>138</v>
      </c>
      <c r="P402" s="847">
        <f t="shared" si="596"/>
        <v>143</v>
      </c>
      <c r="Q402" s="847">
        <f t="shared" si="596"/>
        <v>146</v>
      </c>
      <c r="R402" s="661">
        <f t="shared" si="596"/>
        <v>146</v>
      </c>
      <c r="S402" s="847">
        <f t="shared" si="596"/>
        <v>150</v>
      </c>
      <c r="T402" s="847">
        <f t="shared" si="596"/>
        <v>171</v>
      </c>
      <c r="U402" s="847">
        <f t="shared" si="596"/>
        <v>180</v>
      </c>
      <c r="V402" s="847">
        <f t="shared" si="596"/>
        <v>192</v>
      </c>
      <c r="W402" s="661">
        <f t="shared" si="596"/>
        <v>192</v>
      </c>
      <c r="X402" s="847">
        <f t="shared" si="596"/>
        <v>202</v>
      </c>
      <c r="Y402" s="847">
        <f t="shared" si="596"/>
        <v>206</v>
      </c>
      <c r="Z402" s="847">
        <f t="shared" si="596"/>
        <v>203</v>
      </c>
      <c r="AA402" s="847">
        <f t="shared" si="596"/>
        <v>4</v>
      </c>
      <c r="AB402" s="661">
        <f t="shared" si="596"/>
        <v>4</v>
      </c>
      <c r="AC402" s="847">
        <f t="shared" si="596"/>
        <v>4</v>
      </c>
      <c r="AD402" s="847">
        <f t="shared" si="596"/>
        <v>4</v>
      </c>
      <c r="AE402" s="847">
        <f t="shared" si="596"/>
        <v>4</v>
      </c>
      <c r="AF402" s="847">
        <f t="shared" si="596"/>
        <v>3</v>
      </c>
      <c r="AG402" s="661">
        <f t="shared" si="596"/>
        <v>3</v>
      </c>
      <c r="AH402" s="847">
        <f t="shared" si="596"/>
        <v>2</v>
      </c>
      <c r="AI402" s="847">
        <f t="shared" si="596"/>
        <v>2</v>
      </c>
      <c r="AJ402" s="847">
        <f t="shared" si="596"/>
        <v>2</v>
      </c>
      <c r="AK402" s="847">
        <f t="shared" si="596"/>
        <v>2</v>
      </c>
      <c r="AL402" s="661">
        <f t="shared" si="596"/>
        <v>2</v>
      </c>
      <c r="AM402" s="847">
        <f t="shared" si="596"/>
        <v>2</v>
      </c>
      <c r="AN402" s="847">
        <f t="shared" si="596"/>
        <v>2</v>
      </c>
      <c r="AO402" s="847">
        <f t="shared" ref="AO402:BV402" si="597">AO367+AO333+AO299</f>
        <v>2</v>
      </c>
      <c r="AP402" s="847">
        <f t="shared" si="597"/>
        <v>2</v>
      </c>
      <c r="AQ402" s="661">
        <f t="shared" si="597"/>
        <v>2</v>
      </c>
      <c r="AR402" s="847">
        <f t="shared" si="597"/>
        <v>0</v>
      </c>
      <c r="AS402" s="847">
        <f t="shared" si="597"/>
        <v>0</v>
      </c>
      <c r="AT402" s="847">
        <f t="shared" si="597"/>
        <v>0</v>
      </c>
      <c r="AU402" s="847">
        <f t="shared" si="597"/>
        <v>0</v>
      </c>
      <c r="AV402" s="661">
        <f t="shared" si="597"/>
        <v>0</v>
      </c>
      <c r="AW402" s="847">
        <f t="shared" si="597"/>
        <v>0</v>
      </c>
      <c r="AX402" s="847">
        <f t="shared" si="597"/>
        <v>0</v>
      </c>
      <c r="AY402" s="847">
        <f t="shared" si="597"/>
        <v>0</v>
      </c>
      <c r="AZ402" s="847">
        <f t="shared" si="597"/>
        <v>0</v>
      </c>
      <c r="BA402" s="661">
        <f t="shared" si="597"/>
        <v>0</v>
      </c>
      <c r="BB402" s="847">
        <f t="shared" si="597"/>
        <v>0</v>
      </c>
      <c r="BC402" s="847">
        <f t="shared" si="597"/>
        <v>0</v>
      </c>
      <c r="BD402" s="847">
        <f t="shared" si="597"/>
        <v>0</v>
      </c>
      <c r="BE402" s="847">
        <f t="shared" si="597"/>
        <v>0</v>
      </c>
      <c r="BF402" s="661">
        <f t="shared" si="597"/>
        <v>0</v>
      </c>
      <c r="BG402" s="847">
        <f t="shared" si="597"/>
        <v>0</v>
      </c>
      <c r="BH402" s="847">
        <f t="shared" si="597"/>
        <v>0</v>
      </c>
      <c r="BI402" s="847">
        <f t="shared" si="597"/>
        <v>0</v>
      </c>
      <c r="BJ402" s="847">
        <f t="shared" si="597"/>
        <v>0</v>
      </c>
      <c r="BK402" s="661">
        <f t="shared" si="597"/>
        <v>0</v>
      </c>
      <c r="BL402" s="847">
        <f t="shared" si="597"/>
        <v>0</v>
      </c>
      <c r="BM402" s="847">
        <f t="shared" si="597"/>
        <v>0</v>
      </c>
      <c r="BN402" s="847">
        <f t="shared" si="597"/>
        <v>0</v>
      </c>
      <c r="BO402" s="1431">
        <f t="shared" si="597"/>
        <v>0</v>
      </c>
      <c r="BP402" s="661">
        <f t="shared" si="597"/>
        <v>0</v>
      </c>
      <c r="BQ402" s="847">
        <f t="shared" si="597"/>
        <v>0</v>
      </c>
      <c r="BR402" s="847">
        <f t="shared" si="597"/>
        <v>0</v>
      </c>
      <c r="BS402" s="847">
        <f t="shared" si="597"/>
        <v>0</v>
      </c>
      <c r="BT402" s="847">
        <f t="shared" si="597"/>
        <v>0</v>
      </c>
      <c r="BU402" s="661">
        <f t="shared" si="597"/>
        <v>0</v>
      </c>
      <c r="BV402" s="847">
        <f t="shared" si="597"/>
        <v>0</v>
      </c>
      <c r="BW402" s="847">
        <f t="shared" ref="BW402:CV402" si="598">BW367+BW333+BW299</f>
        <v>0</v>
      </c>
      <c r="BX402" s="847">
        <f t="shared" si="598"/>
        <v>0</v>
      </c>
      <c r="BY402" s="847">
        <f t="shared" si="598"/>
        <v>0</v>
      </c>
      <c r="BZ402" s="661">
        <f t="shared" si="598"/>
        <v>0</v>
      </c>
      <c r="CA402" s="847">
        <f t="shared" si="598"/>
        <v>0</v>
      </c>
      <c r="CB402" s="847">
        <f t="shared" si="598"/>
        <v>0</v>
      </c>
      <c r="CC402" s="847">
        <f t="shared" si="598"/>
        <v>0</v>
      </c>
      <c r="CD402" s="847">
        <f t="shared" si="598"/>
        <v>0</v>
      </c>
      <c r="CE402" s="661">
        <f t="shared" si="598"/>
        <v>0</v>
      </c>
      <c r="CF402" s="847">
        <f t="shared" si="598"/>
        <v>0</v>
      </c>
      <c r="CG402" s="847">
        <f t="shared" si="598"/>
        <v>0</v>
      </c>
      <c r="CH402" s="847">
        <f t="shared" si="598"/>
        <v>0</v>
      </c>
      <c r="CI402" s="847">
        <f t="shared" si="598"/>
        <v>0</v>
      </c>
      <c r="CJ402" s="236">
        <f t="shared" si="543"/>
        <v>0</v>
      </c>
      <c r="CK402" s="3510">
        <f t="shared" si="559"/>
        <v>0</v>
      </c>
      <c r="CL402" s="847">
        <f t="shared" si="598"/>
        <v>0</v>
      </c>
      <c r="CM402" s="847">
        <f t="shared" si="563"/>
        <v>0</v>
      </c>
      <c r="CN402" s="847">
        <f t="shared" si="563"/>
        <v>0</v>
      </c>
      <c r="CO402" s="661">
        <f t="shared" ref="CO402" si="599">CO367+CO333+CO299</f>
        <v>0</v>
      </c>
      <c r="CP402" s="3510"/>
      <c r="CQ402" s="847"/>
      <c r="CR402" s="847"/>
      <c r="CS402" s="847"/>
      <c r="CT402" s="661">
        <f t="shared" si="565"/>
        <v>0</v>
      </c>
      <c r="CU402" s="661">
        <f t="shared" si="598"/>
        <v>0</v>
      </c>
      <c r="CV402" s="661">
        <f t="shared" si="598"/>
        <v>0</v>
      </c>
      <c r="DB402" s="217"/>
    </row>
    <row r="403" spans="1:106" x14ac:dyDescent="0.2">
      <c r="A403" s="1436" t="s">
        <v>2285</v>
      </c>
      <c r="B403" s="651"/>
      <c r="C403" s="236"/>
      <c r="D403" s="234"/>
      <c r="E403" s="234"/>
      <c r="F403" s="234"/>
      <c r="G403" s="234"/>
      <c r="H403" s="661"/>
      <c r="I403" s="847">
        <f t="shared" ref="I403:AN403" si="600">I368+I334</f>
        <v>0</v>
      </c>
      <c r="J403" s="847">
        <f t="shared" si="600"/>
        <v>0</v>
      </c>
      <c r="K403" s="847">
        <f t="shared" si="600"/>
        <v>0</v>
      </c>
      <c r="L403" s="847">
        <f t="shared" si="600"/>
        <v>0</v>
      </c>
      <c r="M403" s="661">
        <f t="shared" si="600"/>
        <v>0</v>
      </c>
      <c r="N403" s="847">
        <f t="shared" si="600"/>
        <v>0</v>
      </c>
      <c r="O403" s="847">
        <f t="shared" si="600"/>
        <v>0</v>
      </c>
      <c r="P403" s="847">
        <f t="shared" si="600"/>
        <v>0</v>
      </c>
      <c r="Q403" s="847">
        <f t="shared" si="600"/>
        <v>0</v>
      </c>
      <c r="R403" s="661">
        <f t="shared" si="600"/>
        <v>0</v>
      </c>
      <c r="S403" s="847">
        <f t="shared" si="600"/>
        <v>0</v>
      </c>
      <c r="T403" s="847">
        <f t="shared" si="600"/>
        <v>0</v>
      </c>
      <c r="U403" s="847">
        <f t="shared" si="600"/>
        <v>0</v>
      </c>
      <c r="V403" s="847">
        <f t="shared" si="600"/>
        <v>0</v>
      </c>
      <c r="W403" s="661">
        <f t="shared" si="600"/>
        <v>0</v>
      </c>
      <c r="X403" s="847">
        <f t="shared" si="600"/>
        <v>0</v>
      </c>
      <c r="Y403" s="847">
        <f t="shared" si="600"/>
        <v>0</v>
      </c>
      <c r="Z403" s="847">
        <f t="shared" si="600"/>
        <v>0</v>
      </c>
      <c r="AA403" s="847">
        <f t="shared" si="600"/>
        <v>0</v>
      </c>
      <c r="AB403" s="661">
        <f t="shared" si="600"/>
        <v>0</v>
      </c>
      <c r="AC403" s="847">
        <f t="shared" si="600"/>
        <v>0</v>
      </c>
      <c r="AD403" s="847">
        <f t="shared" si="600"/>
        <v>0</v>
      </c>
      <c r="AE403" s="847">
        <f t="shared" si="600"/>
        <v>0</v>
      </c>
      <c r="AF403" s="847">
        <f t="shared" si="600"/>
        <v>0</v>
      </c>
      <c r="AG403" s="661">
        <f t="shared" si="600"/>
        <v>0</v>
      </c>
      <c r="AH403" s="847">
        <f t="shared" si="600"/>
        <v>0</v>
      </c>
      <c r="AI403" s="847">
        <f t="shared" si="600"/>
        <v>0</v>
      </c>
      <c r="AJ403" s="847">
        <f t="shared" si="600"/>
        <v>0</v>
      </c>
      <c r="AK403" s="847">
        <f t="shared" si="600"/>
        <v>0</v>
      </c>
      <c r="AL403" s="661">
        <f t="shared" si="600"/>
        <v>0</v>
      </c>
      <c r="AM403" s="847">
        <f t="shared" si="600"/>
        <v>0</v>
      </c>
      <c r="AN403" s="847">
        <f t="shared" si="600"/>
        <v>0</v>
      </c>
      <c r="AO403" s="847">
        <f t="shared" ref="AO403:BT403" si="601">AO368+AO334</f>
        <v>0</v>
      </c>
      <c r="AP403" s="847">
        <f t="shared" si="601"/>
        <v>0</v>
      </c>
      <c r="AQ403" s="661">
        <f t="shared" si="601"/>
        <v>0</v>
      </c>
      <c r="AR403" s="847">
        <f t="shared" si="601"/>
        <v>0</v>
      </c>
      <c r="AS403" s="847">
        <f t="shared" si="601"/>
        <v>0</v>
      </c>
      <c r="AT403" s="847">
        <f t="shared" si="601"/>
        <v>0</v>
      </c>
      <c r="AU403" s="847">
        <f t="shared" si="601"/>
        <v>0</v>
      </c>
      <c r="AV403" s="661">
        <f t="shared" si="601"/>
        <v>0</v>
      </c>
      <c r="AW403" s="847">
        <f t="shared" si="601"/>
        <v>0</v>
      </c>
      <c r="AX403" s="847">
        <f t="shared" si="601"/>
        <v>0</v>
      </c>
      <c r="AY403" s="847">
        <f t="shared" si="601"/>
        <v>0</v>
      </c>
      <c r="AZ403" s="847">
        <f t="shared" si="601"/>
        <v>0</v>
      </c>
      <c r="BA403" s="661">
        <f t="shared" si="601"/>
        <v>0</v>
      </c>
      <c r="BB403" s="847">
        <f t="shared" si="601"/>
        <v>0</v>
      </c>
      <c r="BC403" s="847">
        <f t="shared" si="601"/>
        <v>0</v>
      </c>
      <c r="BD403" s="847">
        <f t="shared" si="601"/>
        <v>0</v>
      </c>
      <c r="BE403" s="847">
        <f t="shared" si="601"/>
        <v>0</v>
      </c>
      <c r="BF403" s="661">
        <f t="shared" si="601"/>
        <v>0</v>
      </c>
      <c r="BG403" s="847">
        <f t="shared" si="601"/>
        <v>0</v>
      </c>
      <c r="BH403" s="847">
        <f t="shared" si="601"/>
        <v>0</v>
      </c>
      <c r="BI403" s="847">
        <f t="shared" si="601"/>
        <v>0</v>
      </c>
      <c r="BJ403" s="847">
        <f t="shared" si="601"/>
        <v>0</v>
      </c>
      <c r="BK403" s="661">
        <f t="shared" si="601"/>
        <v>0</v>
      </c>
      <c r="BL403" s="847">
        <f t="shared" si="601"/>
        <v>0</v>
      </c>
      <c r="BM403" s="847">
        <f t="shared" si="601"/>
        <v>0</v>
      </c>
      <c r="BN403" s="847">
        <f t="shared" si="601"/>
        <v>0</v>
      </c>
      <c r="BO403" s="1431">
        <f t="shared" si="601"/>
        <v>0</v>
      </c>
      <c r="BP403" s="661">
        <f t="shared" si="601"/>
        <v>0</v>
      </c>
      <c r="BQ403" s="847">
        <f t="shared" si="601"/>
        <v>0</v>
      </c>
      <c r="BR403" s="847">
        <f t="shared" si="601"/>
        <v>0</v>
      </c>
      <c r="BS403" s="847">
        <f t="shared" si="601"/>
        <v>0</v>
      </c>
      <c r="BT403" s="847">
        <f t="shared" si="601"/>
        <v>0</v>
      </c>
      <c r="BU403" s="661">
        <f t="shared" ref="BU403:CV403" si="602">BU368+BU334</f>
        <v>0</v>
      </c>
      <c r="BV403" s="847">
        <f t="shared" si="602"/>
        <v>0</v>
      </c>
      <c r="BW403" s="847">
        <f t="shared" si="602"/>
        <v>0</v>
      </c>
      <c r="BX403" s="847">
        <f t="shared" si="602"/>
        <v>0</v>
      </c>
      <c r="BY403" s="847">
        <f t="shared" si="602"/>
        <v>0</v>
      </c>
      <c r="BZ403" s="661">
        <f t="shared" si="602"/>
        <v>0</v>
      </c>
      <c r="CA403" s="847">
        <f t="shared" si="602"/>
        <v>0</v>
      </c>
      <c r="CB403" s="847">
        <f t="shared" si="602"/>
        <v>37</v>
      </c>
      <c r="CC403" s="847">
        <f t="shared" si="602"/>
        <v>37</v>
      </c>
      <c r="CD403" s="847">
        <f t="shared" si="602"/>
        <v>36</v>
      </c>
      <c r="CE403" s="661">
        <f t="shared" si="602"/>
        <v>36</v>
      </c>
      <c r="CF403" s="847">
        <f t="shared" si="602"/>
        <v>37</v>
      </c>
      <c r="CG403" s="847">
        <f t="shared" si="602"/>
        <v>37</v>
      </c>
      <c r="CH403" s="847">
        <f t="shared" si="602"/>
        <v>37</v>
      </c>
      <c r="CI403" s="847">
        <f t="shared" si="602"/>
        <v>37</v>
      </c>
      <c r="CJ403" s="236">
        <f t="shared" si="543"/>
        <v>37</v>
      </c>
      <c r="CK403" s="3510">
        <f>CK368+CK334</f>
        <v>40</v>
      </c>
      <c r="CL403" s="847">
        <f t="shared" si="602"/>
        <v>43</v>
      </c>
      <c r="CM403" s="847">
        <f>CM368+CM334</f>
        <v>47</v>
      </c>
      <c r="CN403" s="847">
        <f>CN368+CN334</f>
        <v>49</v>
      </c>
      <c r="CO403" s="661">
        <f>CO368+CO334</f>
        <v>49</v>
      </c>
      <c r="CP403" s="3510"/>
      <c r="CQ403" s="847"/>
      <c r="CR403" s="847"/>
      <c r="CS403" s="847"/>
      <c r="CT403" s="661">
        <f>CT368+CT334</f>
        <v>0</v>
      </c>
      <c r="CU403" s="661">
        <f t="shared" si="602"/>
        <v>0</v>
      </c>
      <c r="CV403" s="661">
        <f t="shared" si="602"/>
        <v>0</v>
      </c>
      <c r="DB403" s="217"/>
    </row>
    <row r="404" spans="1:106" x14ac:dyDescent="0.2">
      <c r="A404" s="1436" t="s">
        <v>384</v>
      </c>
      <c r="B404" s="651"/>
      <c r="C404" s="236"/>
      <c r="D404" s="234"/>
      <c r="E404" s="234"/>
      <c r="F404" s="234"/>
      <c r="G404" s="234"/>
      <c r="H404" s="661"/>
      <c r="I404" s="847">
        <f t="shared" ref="I404:AN404" si="603">I369+I335+I300</f>
        <v>9</v>
      </c>
      <c r="J404" s="847">
        <f t="shared" si="603"/>
        <v>9</v>
      </c>
      <c r="K404" s="847">
        <f t="shared" si="603"/>
        <v>10</v>
      </c>
      <c r="L404" s="847">
        <f t="shared" si="603"/>
        <v>11</v>
      </c>
      <c r="M404" s="661">
        <f t="shared" si="603"/>
        <v>11</v>
      </c>
      <c r="N404" s="847">
        <f t="shared" si="603"/>
        <v>12</v>
      </c>
      <c r="O404" s="847">
        <f t="shared" si="603"/>
        <v>12</v>
      </c>
      <c r="P404" s="847">
        <f t="shared" si="603"/>
        <v>11</v>
      </c>
      <c r="Q404" s="847">
        <f t="shared" si="603"/>
        <v>11</v>
      </c>
      <c r="R404" s="661">
        <f t="shared" si="603"/>
        <v>11</v>
      </c>
      <c r="S404" s="847">
        <f t="shared" si="603"/>
        <v>12</v>
      </c>
      <c r="T404" s="847">
        <f t="shared" si="603"/>
        <v>12</v>
      </c>
      <c r="U404" s="847">
        <f t="shared" si="603"/>
        <v>12</v>
      </c>
      <c r="V404" s="847">
        <f t="shared" si="603"/>
        <v>13</v>
      </c>
      <c r="W404" s="661">
        <f t="shared" si="603"/>
        <v>13</v>
      </c>
      <c r="X404" s="847">
        <f t="shared" si="603"/>
        <v>13</v>
      </c>
      <c r="Y404" s="847">
        <f t="shared" si="603"/>
        <v>14</v>
      </c>
      <c r="Z404" s="847">
        <f t="shared" si="603"/>
        <v>14</v>
      </c>
      <c r="AA404" s="847">
        <f t="shared" si="603"/>
        <v>14</v>
      </c>
      <c r="AB404" s="661">
        <f t="shared" si="603"/>
        <v>14</v>
      </c>
      <c r="AC404" s="847">
        <f t="shared" si="603"/>
        <v>15</v>
      </c>
      <c r="AD404" s="847">
        <f t="shared" si="603"/>
        <v>16</v>
      </c>
      <c r="AE404" s="847">
        <f t="shared" si="603"/>
        <v>16</v>
      </c>
      <c r="AF404" s="847">
        <f t="shared" si="603"/>
        <v>17</v>
      </c>
      <c r="AG404" s="661">
        <f t="shared" si="603"/>
        <v>17</v>
      </c>
      <c r="AH404" s="847">
        <f t="shared" si="603"/>
        <v>17</v>
      </c>
      <c r="AI404" s="847">
        <f t="shared" si="603"/>
        <v>17</v>
      </c>
      <c r="AJ404" s="847">
        <f t="shared" si="603"/>
        <v>18</v>
      </c>
      <c r="AK404" s="847">
        <f t="shared" si="603"/>
        <v>17</v>
      </c>
      <c r="AL404" s="661">
        <f t="shared" si="603"/>
        <v>17</v>
      </c>
      <c r="AM404" s="847">
        <f t="shared" si="603"/>
        <v>18</v>
      </c>
      <c r="AN404" s="847">
        <f t="shared" si="603"/>
        <v>17</v>
      </c>
      <c r="AO404" s="847">
        <f t="shared" ref="AO404:BT404" si="604">AO369+AO335+AO300</f>
        <v>18</v>
      </c>
      <c r="AP404" s="847">
        <f t="shared" si="604"/>
        <v>18</v>
      </c>
      <c r="AQ404" s="661">
        <f t="shared" si="604"/>
        <v>18</v>
      </c>
      <c r="AR404" s="847">
        <f t="shared" si="604"/>
        <v>18</v>
      </c>
      <c r="AS404" s="847">
        <f t="shared" si="604"/>
        <v>19</v>
      </c>
      <c r="AT404" s="847">
        <f t="shared" si="604"/>
        <v>19</v>
      </c>
      <c r="AU404" s="847">
        <f t="shared" si="604"/>
        <v>20</v>
      </c>
      <c r="AV404" s="661">
        <f t="shared" si="604"/>
        <v>20</v>
      </c>
      <c r="AW404" s="847">
        <f t="shared" si="604"/>
        <v>21</v>
      </c>
      <c r="AX404" s="847">
        <f t="shared" si="604"/>
        <v>21</v>
      </c>
      <c r="AY404" s="847">
        <f t="shared" si="604"/>
        <v>22</v>
      </c>
      <c r="AZ404" s="847">
        <f t="shared" si="604"/>
        <v>23</v>
      </c>
      <c r="BA404" s="661">
        <f t="shared" si="604"/>
        <v>23</v>
      </c>
      <c r="BB404" s="847">
        <f t="shared" si="604"/>
        <v>23</v>
      </c>
      <c r="BC404" s="847">
        <f t="shared" si="604"/>
        <v>22</v>
      </c>
      <c r="BD404" s="847">
        <f t="shared" si="604"/>
        <v>23</v>
      </c>
      <c r="BE404" s="847">
        <f t="shared" si="604"/>
        <v>23</v>
      </c>
      <c r="BF404" s="661">
        <f t="shared" si="604"/>
        <v>23</v>
      </c>
      <c r="BG404" s="847">
        <f t="shared" si="604"/>
        <v>23</v>
      </c>
      <c r="BH404" s="847">
        <f t="shared" si="604"/>
        <v>22</v>
      </c>
      <c r="BI404" s="847">
        <f t="shared" si="604"/>
        <v>22</v>
      </c>
      <c r="BJ404" s="847">
        <f t="shared" si="604"/>
        <v>23</v>
      </c>
      <c r="BK404" s="661">
        <f t="shared" si="604"/>
        <v>23</v>
      </c>
      <c r="BL404" s="847">
        <f t="shared" si="604"/>
        <v>24</v>
      </c>
      <c r="BM404" s="847">
        <f t="shared" si="604"/>
        <v>24</v>
      </c>
      <c r="BN404" s="847">
        <f t="shared" si="604"/>
        <v>24</v>
      </c>
      <c r="BO404" s="1431">
        <f t="shared" si="604"/>
        <v>25</v>
      </c>
      <c r="BP404" s="661">
        <f t="shared" si="604"/>
        <v>25</v>
      </c>
      <c r="BQ404" s="847">
        <f t="shared" si="604"/>
        <v>26</v>
      </c>
      <c r="BR404" s="847">
        <f t="shared" si="604"/>
        <v>27</v>
      </c>
      <c r="BS404" s="847">
        <f t="shared" si="604"/>
        <v>27</v>
      </c>
      <c r="BT404" s="847">
        <f t="shared" si="604"/>
        <v>27</v>
      </c>
      <c r="BU404" s="661">
        <f t="shared" ref="BU404:CV404" si="605">BU369+BU335+BU300</f>
        <v>27</v>
      </c>
      <c r="BV404" s="847">
        <f t="shared" si="605"/>
        <v>28</v>
      </c>
      <c r="BW404" s="847">
        <f t="shared" si="605"/>
        <v>28</v>
      </c>
      <c r="BX404" s="847">
        <f t="shared" si="605"/>
        <v>27</v>
      </c>
      <c r="BY404" s="847">
        <f t="shared" si="605"/>
        <v>27</v>
      </c>
      <c r="BZ404" s="661">
        <f t="shared" si="605"/>
        <v>27</v>
      </c>
      <c r="CA404" s="847">
        <f t="shared" si="605"/>
        <v>26</v>
      </c>
      <c r="CB404" s="847">
        <f t="shared" si="605"/>
        <v>27</v>
      </c>
      <c r="CC404" s="847">
        <f t="shared" si="605"/>
        <v>28</v>
      </c>
      <c r="CD404" s="847">
        <f t="shared" si="605"/>
        <v>28</v>
      </c>
      <c r="CE404" s="661">
        <f t="shared" si="605"/>
        <v>28</v>
      </c>
      <c r="CF404" s="847">
        <f t="shared" si="605"/>
        <v>27</v>
      </c>
      <c r="CG404" s="847">
        <f t="shared" si="605"/>
        <v>27</v>
      </c>
      <c r="CH404" s="847">
        <f t="shared" si="605"/>
        <v>28</v>
      </c>
      <c r="CI404" s="847">
        <f t="shared" si="605"/>
        <v>28</v>
      </c>
      <c r="CJ404" s="236">
        <f t="shared" si="543"/>
        <v>28</v>
      </c>
      <c r="CK404" s="3510">
        <f>CK369+CK335+CK300</f>
        <v>28</v>
      </c>
      <c r="CL404" s="847">
        <f t="shared" si="605"/>
        <v>28</v>
      </c>
      <c r="CM404" s="847">
        <f>CM369+CM335+CM300</f>
        <v>28</v>
      </c>
      <c r="CN404" s="847">
        <f>CN369+CN335+CN300</f>
        <v>29</v>
      </c>
      <c r="CO404" s="661">
        <f>CO369+CO335+CO300</f>
        <v>29</v>
      </c>
      <c r="CP404" s="3510"/>
      <c r="CQ404" s="847"/>
      <c r="CR404" s="847"/>
      <c r="CS404" s="847"/>
      <c r="CT404" s="661">
        <f>CT369+CT335+CT300</f>
        <v>0</v>
      </c>
      <c r="CU404" s="661">
        <f t="shared" si="605"/>
        <v>0</v>
      </c>
      <c r="CV404" s="661">
        <f t="shared" si="605"/>
        <v>0</v>
      </c>
      <c r="DB404" s="217"/>
    </row>
    <row r="405" spans="1:106" x14ac:dyDescent="0.2">
      <c r="A405" s="1434" t="s">
        <v>576</v>
      </c>
      <c r="B405" s="651"/>
      <c r="C405" s="236"/>
      <c r="D405" s="234"/>
      <c r="E405" s="234"/>
      <c r="F405" s="234"/>
      <c r="G405" s="234"/>
      <c r="H405" s="661"/>
      <c r="I405" s="847">
        <f t="shared" ref="I405:AN405" si="606">I263+I137</f>
        <v>0</v>
      </c>
      <c r="J405" s="847">
        <f t="shared" si="606"/>
        <v>0</v>
      </c>
      <c r="K405" s="847">
        <f t="shared" si="606"/>
        <v>0</v>
      </c>
      <c r="L405" s="847">
        <f t="shared" si="606"/>
        <v>0</v>
      </c>
      <c r="M405" s="661">
        <f t="shared" si="606"/>
        <v>0</v>
      </c>
      <c r="N405" s="847">
        <f t="shared" si="606"/>
        <v>0</v>
      </c>
      <c r="O405" s="847">
        <f t="shared" si="606"/>
        <v>0</v>
      </c>
      <c r="P405" s="847">
        <f t="shared" si="606"/>
        <v>0</v>
      </c>
      <c r="Q405" s="847">
        <f t="shared" si="606"/>
        <v>0</v>
      </c>
      <c r="R405" s="661">
        <f t="shared" si="606"/>
        <v>0</v>
      </c>
      <c r="S405" s="847">
        <f t="shared" si="606"/>
        <v>0</v>
      </c>
      <c r="T405" s="847">
        <f t="shared" si="606"/>
        <v>0</v>
      </c>
      <c r="U405" s="847">
        <f t="shared" si="606"/>
        <v>0</v>
      </c>
      <c r="V405" s="847">
        <f t="shared" si="606"/>
        <v>0</v>
      </c>
      <c r="W405" s="661">
        <f t="shared" si="606"/>
        <v>0</v>
      </c>
      <c r="X405" s="847">
        <f t="shared" si="606"/>
        <v>0</v>
      </c>
      <c r="Y405" s="847">
        <f t="shared" si="606"/>
        <v>0</v>
      </c>
      <c r="Z405" s="847">
        <f t="shared" si="606"/>
        <v>0</v>
      </c>
      <c r="AA405" s="847">
        <f t="shared" si="606"/>
        <v>0</v>
      </c>
      <c r="AB405" s="661">
        <f t="shared" si="606"/>
        <v>0</v>
      </c>
      <c r="AC405" s="847">
        <f t="shared" si="606"/>
        <v>0</v>
      </c>
      <c r="AD405" s="847">
        <f t="shared" si="606"/>
        <v>0</v>
      </c>
      <c r="AE405" s="847">
        <f t="shared" si="606"/>
        <v>0</v>
      </c>
      <c r="AF405" s="847">
        <f t="shared" si="606"/>
        <v>0</v>
      </c>
      <c r="AG405" s="661">
        <f t="shared" si="606"/>
        <v>0</v>
      </c>
      <c r="AH405" s="847">
        <f t="shared" si="606"/>
        <v>0</v>
      </c>
      <c r="AI405" s="847">
        <f t="shared" si="606"/>
        <v>0</v>
      </c>
      <c r="AJ405" s="847">
        <f t="shared" si="606"/>
        <v>0</v>
      </c>
      <c r="AK405" s="847">
        <f t="shared" si="606"/>
        <v>0</v>
      </c>
      <c r="AL405" s="661">
        <f t="shared" si="606"/>
        <v>0</v>
      </c>
      <c r="AM405" s="847">
        <f t="shared" si="606"/>
        <v>0</v>
      </c>
      <c r="AN405" s="847">
        <f t="shared" si="606"/>
        <v>0</v>
      </c>
      <c r="AO405" s="847">
        <f t="shared" ref="AO405:BT405" si="607">AO263+AO137</f>
        <v>0</v>
      </c>
      <c r="AP405" s="847">
        <f t="shared" si="607"/>
        <v>0</v>
      </c>
      <c r="AQ405" s="661">
        <f t="shared" si="607"/>
        <v>0</v>
      </c>
      <c r="AR405" s="847">
        <f t="shared" si="607"/>
        <v>0</v>
      </c>
      <c r="AS405" s="847">
        <f t="shared" si="607"/>
        <v>0</v>
      </c>
      <c r="AT405" s="847">
        <f t="shared" si="607"/>
        <v>0</v>
      </c>
      <c r="AU405" s="847">
        <f t="shared" si="607"/>
        <v>0</v>
      </c>
      <c r="AV405" s="661">
        <f t="shared" si="607"/>
        <v>0</v>
      </c>
      <c r="AW405" s="847">
        <f t="shared" si="607"/>
        <v>0</v>
      </c>
      <c r="AX405" s="847">
        <f t="shared" si="607"/>
        <v>0</v>
      </c>
      <c r="AY405" s="847">
        <f t="shared" si="607"/>
        <v>0</v>
      </c>
      <c r="AZ405" s="847">
        <f t="shared" si="607"/>
        <v>0</v>
      </c>
      <c r="BA405" s="661">
        <f t="shared" si="607"/>
        <v>0</v>
      </c>
      <c r="BB405" s="847">
        <f t="shared" si="607"/>
        <v>0</v>
      </c>
      <c r="BC405" s="847">
        <f t="shared" si="607"/>
        <v>0</v>
      </c>
      <c r="BD405" s="847">
        <f t="shared" si="607"/>
        <v>0</v>
      </c>
      <c r="BE405" s="847">
        <f t="shared" si="607"/>
        <v>0</v>
      </c>
      <c r="BF405" s="661">
        <f t="shared" si="607"/>
        <v>0</v>
      </c>
      <c r="BG405" s="847">
        <f t="shared" si="607"/>
        <v>0</v>
      </c>
      <c r="BH405" s="847">
        <f t="shared" si="607"/>
        <v>0</v>
      </c>
      <c r="BI405" s="847">
        <f t="shared" si="607"/>
        <v>0</v>
      </c>
      <c r="BJ405" s="847">
        <f t="shared" si="607"/>
        <v>0</v>
      </c>
      <c r="BK405" s="661">
        <f t="shared" si="607"/>
        <v>0</v>
      </c>
      <c r="BL405" s="847">
        <f t="shared" si="607"/>
        <v>0</v>
      </c>
      <c r="BM405" s="847">
        <f t="shared" si="607"/>
        <v>0</v>
      </c>
      <c r="BN405" s="847">
        <f t="shared" si="607"/>
        <v>0</v>
      </c>
      <c r="BO405" s="1431">
        <f t="shared" si="607"/>
        <v>0</v>
      </c>
      <c r="BP405" s="661">
        <f t="shared" si="607"/>
        <v>0</v>
      </c>
      <c r="BQ405" s="847">
        <f t="shared" si="607"/>
        <v>65</v>
      </c>
      <c r="BR405" s="847">
        <f t="shared" si="607"/>
        <v>63</v>
      </c>
      <c r="BS405" s="847">
        <f t="shared" si="607"/>
        <v>63</v>
      </c>
      <c r="BT405" s="847">
        <f t="shared" si="607"/>
        <v>62</v>
      </c>
      <c r="BU405" s="661">
        <f t="shared" ref="BU405:CV405" si="608">BU263+BU137</f>
        <v>62</v>
      </c>
      <c r="BV405" s="847">
        <f t="shared" si="608"/>
        <v>62</v>
      </c>
      <c r="BW405" s="847">
        <f t="shared" si="608"/>
        <v>62</v>
      </c>
      <c r="BX405" s="847">
        <f t="shared" si="608"/>
        <v>62</v>
      </c>
      <c r="BY405" s="847">
        <f t="shared" si="608"/>
        <v>58</v>
      </c>
      <c r="BZ405" s="661">
        <f t="shared" si="608"/>
        <v>58</v>
      </c>
      <c r="CA405" s="847">
        <f t="shared" si="608"/>
        <v>58</v>
      </c>
      <c r="CB405" s="847">
        <f t="shared" si="608"/>
        <v>58</v>
      </c>
      <c r="CC405" s="847">
        <f t="shared" si="608"/>
        <v>58</v>
      </c>
      <c r="CD405" s="847">
        <f t="shared" si="608"/>
        <v>58</v>
      </c>
      <c r="CE405" s="661">
        <f t="shared" si="608"/>
        <v>58</v>
      </c>
      <c r="CF405" s="847">
        <f t="shared" si="608"/>
        <v>60</v>
      </c>
      <c r="CG405" s="847">
        <f t="shared" si="608"/>
        <v>60</v>
      </c>
      <c r="CH405" s="847">
        <f t="shared" si="608"/>
        <v>84</v>
      </c>
      <c r="CI405" s="847">
        <f t="shared" si="608"/>
        <v>83</v>
      </c>
      <c r="CJ405" s="236">
        <f t="shared" si="543"/>
        <v>83</v>
      </c>
      <c r="CK405" s="3510">
        <f>CK263+CK137</f>
        <v>85</v>
      </c>
      <c r="CL405" s="847">
        <f t="shared" si="608"/>
        <v>87</v>
      </c>
      <c r="CM405" s="847">
        <f>CM263+CM137</f>
        <v>88</v>
      </c>
      <c r="CN405" s="847">
        <f>CN263+CN137</f>
        <v>89</v>
      </c>
      <c r="CO405" s="661">
        <f>CO263+CO137</f>
        <v>89</v>
      </c>
      <c r="CP405" s="3510"/>
      <c r="CQ405" s="847"/>
      <c r="CR405" s="847"/>
      <c r="CS405" s="847"/>
      <c r="CT405" s="661">
        <f>CT263+CT137</f>
        <v>0</v>
      </c>
      <c r="CU405" s="661">
        <f t="shared" si="608"/>
        <v>0</v>
      </c>
      <c r="CV405" s="661">
        <f t="shared" si="608"/>
        <v>0</v>
      </c>
      <c r="DB405" s="217"/>
    </row>
    <row r="406" spans="1:106" ht="4.5" customHeight="1" x14ac:dyDescent="0.2">
      <c r="A406" s="1434"/>
      <c r="B406" s="651"/>
      <c r="C406" s="236"/>
      <c r="D406" s="234"/>
      <c r="E406" s="234"/>
      <c r="F406" s="234"/>
      <c r="G406" s="234"/>
      <c r="H406" s="661"/>
      <c r="I406" s="847"/>
      <c r="J406" s="847"/>
      <c r="K406" s="847"/>
      <c r="L406" s="847"/>
      <c r="M406" s="661"/>
      <c r="N406" s="847"/>
      <c r="O406" s="847"/>
      <c r="P406" s="847"/>
      <c r="Q406" s="847"/>
      <c r="R406" s="661"/>
      <c r="S406" s="847"/>
      <c r="T406" s="847"/>
      <c r="U406" s="847"/>
      <c r="V406" s="847"/>
      <c r="W406" s="661"/>
      <c r="X406" s="847"/>
      <c r="Y406" s="847"/>
      <c r="Z406" s="847"/>
      <c r="AA406" s="847"/>
      <c r="AB406" s="661"/>
      <c r="AC406" s="847"/>
      <c r="AD406" s="847"/>
      <c r="AE406" s="847"/>
      <c r="AF406" s="847"/>
      <c r="AG406" s="661"/>
      <c r="AH406" s="847"/>
      <c r="AI406" s="847"/>
      <c r="AJ406" s="847"/>
      <c r="AK406" s="847"/>
      <c r="AL406" s="661"/>
      <c r="AM406" s="847"/>
      <c r="AN406" s="847"/>
      <c r="AO406" s="847"/>
      <c r="AP406" s="847"/>
      <c r="AQ406" s="661"/>
      <c r="AR406" s="847"/>
      <c r="AS406" s="847"/>
      <c r="AT406" s="847"/>
      <c r="AU406" s="847"/>
      <c r="AV406" s="661"/>
      <c r="AW406" s="847"/>
      <c r="AX406" s="847"/>
      <c r="AY406" s="847"/>
      <c r="AZ406" s="847"/>
      <c r="BA406" s="661"/>
      <c r="BB406" s="847"/>
      <c r="BC406" s="847"/>
      <c r="BD406" s="847"/>
      <c r="BE406" s="847"/>
      <c r="BF406" s="661"/>
      <c r="BG406" s="847"/>
      <c r="BH406" s="847"/>
      <c r="BI406" s="847"/>
      <c r="BJ406" s="847"/>
      <c r="BK406" s="661"/>
      <c r="BL406" s="847"/>
      <c r="BM406" s="847"/>
      <c r="BN406" s="847"/>
      <c r="BO406" s="1431"/>
      <c r="BP406" s="661"/>
      <c r="BQ406" s="847"/>
      <c r="BR406" s="847"/>
      <c r="BS406" s="847"/>
      <c r="BT406" s="847"/>
      <c r="BU406" s="661"/>
      <c r="BV406" s="847"/>
      <c r="BW406" s="847"/>
      <c r="BX406" s="847"/>
      <c r="BY406" s="847"/>
      <c r="BZ406" s="661"/>
      <c r="CA406" s="847"/>
      <c r="CB406" s="847"/>
      <c r="CC406" s="847"/>
      <c r="CD406" s="847"/>
      <c r="CE406" s="661"/>
      <c r="CF406" s="847"/>
      <c r="CG406" s="847"/>
      <c r="CH406" s="847"/>
      <c r="CI406" s="847"/>
      <c r="CJ406" s="661"/>
      <c r="CK406" s="3510"/>
      <c r="CL406" s="847"/>
      <c r="CM406" s="847"/>
      <c r="CN406" s="847"/>
      <c r="CO406" s="661"/>
      <c r="CP406" s="3510"/>
      <c r="CQ406" s="847"/>
      <c r="CR406" s="847"/>
      <c r="CS406" s="847"/>
      <c r="CT406" s="661"/>
      <c r="CU406" s="661"/>
      <c r="CV406" s="661"/>
      <c r="DB406" s="217"/>
    </row>
    <row r="407" spans="1:106" x14ac:dyDescent="0.2">
      <c r="A407" s="2434" t="s">
        <v>2454</v>
      </c>
      <c r="B407" s="651"/>
      <c r="C407" s="236"/>
      <c r="D407" s="234"/>
      <c r="E407" s="234"/>
      <c r="F407" s="234"/>
      <c r="G407" s="234"/>
      <c r="H407" s="661"/>
      <c r="I407" s="847"/>
      <c r="J407" s="847"/>
      <c r="K407" s="847"/>
      <c r="L407" s="847"/>
      <c r="M407" s="661"/>
      <c r="N407" s="847"/>
      <c r="O407" s="847"/>
      <c r="P407" s="847"/>
      <c r="Q407" s="847"/>
      <c r="R407" s="661"/>
      <c r="S407" s="847"/>
      <c r="T407" s="847"/>
      <c r="U407" s="847"/>
      <c r="V407" s="847"/>
      <c r="W407" s="661"/>
      <c r="X407" s="847"/>
      <c r="Y407" s="847"/>
      <c r="Z407" s="847"/>
      <c r="AA407" s="847"/>
      <c r="AB407" s="661"/>
      <c r="AC407" s="847"/>
      <c r="AD407" s="847"/>
      <c r="AE407" s="847"/>
      <c r="AF407" s="847"/>
      <c r="AG407" s="661"/>
      <c r="AH407" s="847"/>
      <c r="AI407" s="847"/>
      <c r="AJ407" s="847"/>
      <c r="AK407" s="847"/>
      <c r="AL407" s="661"/>
      <c r="AM407" s="847"/>
      <c r="AN407" s="847"/>
      <c r="AO407" s="847"/>
      <c r="AP407" s="847"/>
      <c r="AQ407" s="661"/>
      <c r="AR407" s="847"/>
      <c r="AS407" s="847"/>
      <c r="AT407" s="847"/>
      <c r="AU407" s="847"/>
      <c r="AV407" s="661"/>
      <c r="AW407" s="847"/>
      <c r="AX407" s="847"/>
      <c r="AY407" s="847"/>
      <c r="AZ407" s="847"/>
      <c r="BA407" s="661"/>
      <c r="BB407" s="847"/>
      <c r="BC407" s="847"/>
      <c r="BD407" s="847"/>
      <c r="BE407" s="847"/>
      <c r="BF407" s="661"/>
      <c r="BG407" s="847"/>
      <c r="BH407" s="847"/>
      <c r="BI407" s="847"/>
      <c r="BJ407" s="847"/>
      <c r="BK407" s="661"/>
      <c r="BL407" s="847"/>
      <c r="BM407" s="847"/>
      <c r="BN407" s="847"/>
      <c r="BO407" s="1431"/>
      <c r="BP407" s="661"/>
      <c r="BQ407" s="847"/>
      <c r="BR407" s="847"/>
      <c r="BS407" s="847"/>
      <c r="BT407" s="847"/>
      <c r="BU407" s="661"/>
      <c r="BV407" s="847"/>
      <c r="BW407" s="847"/>
      <c r="BX407" s="847"/>
      <c r="BY407" s="847"/>
      <c r="BZ407" s="661"/>
      <c r="CA407" s="847"/>
      <c r="CB407" s="847"/>
      <c r="CC407" s="847"/>
      <c r="CD407" s="847"/>
      <c r="CE407" s="661"/>
      <c r="CF407" s="847"/>
      <c r="CG407" s="3008"/>
      <c r="CH407" s="847">
        <f t="shared" ref="CH407:CI416" si="609">+CH265+CH127</f>
        <v>445</v>
      </c>
      <c r="CI407" s="847">
        <f t="shared" si="609"/>
        <v>449</v>
      </c>
      <c r="CJ407" s="236">
        <f t="shared" si="543"/>
        <v>449</v>
      </c>
      <c r="CK407" s="3510">
        <f t="shared" ref="CK407:CL416" si="610">+CK265+CK127</f>
        <v>448</v>
      </c>
      <c r="CL407" s="2350">
        <f t="shared" si="610"/>
        <v>446</v>
      </c>
      <c r="CM407" s="2350">
        <f t="shared" ref="CM407:CN416" si="611">+CM265+CM127</f>
        <v>444</v>
      </c>
      <c r="CN407" s="2350">
        <f t="shared" si="611"/>
        <v>441</v>
      </c>
      <c r="CO407" s="2289">
        <f t="shared" ref="CO407" si="612">+CO265+CO127</f>
        <v>441</v>
      </c>
      <c r="CP407" s="3510"/>
      <c r="CQ407" s="2350"/>
      <c r="CR407" s="847"/>
      <c r="CS407" s="847"/>
      <c r="CT407" s="661"/>
      <c r="CU407" s="661"/>
      <c r="CV407" s="661"/>
    </row>
    <row r="408" spans="1:106" x14ac:dyDescent="0.2">
      <c r="A408" s="2434" t="s">
        <v>2455</v>
      </c>
      <c r="B408" s="651"/>
      <c r="C408" s="236"/>
      <c r="D408" s="234"/>
      <c r="E408" s="234"/>
      <c r="F408" s="234"/>
      <c r="G408" s="234"/>
      <c r="H408" s="661"/>
      <c r="I408" s="847"/>
      <c r="J408" s="847"/>
      <c r="K408" s="847"/>
      <c r="L408" s="847"/>
      <c r="M408" s="661"/>
      <c r="N408" s="847"/>
      <c r="O408" s="847"/>
      <c r="P408" s="847"/>
      <c r="Q408" s="847"/>
      <c r="R408" s="661"/>
      <c r="S408" s="847"/>
      <c r="T408" s="847"/>
      <c r="U408" s="847"/>
      <c r="V408" s="847"/>
      <c r="W408" s="661"/>
      <c r="X408" s="847"/>
      <c r="Y408" s="847"/>
      <c r="Z408" s="847"/>
      <c r="AA408" s="847"/>
      <c r="AB408" s="661"/>
      <c r="AC408" s="847"/>
      <c r="AD408" s="847"/>
      <c r="AE408" s="847"/>
      <c r="AF408" s="847"/>
      <c r="AG408" s="661"/>
      <c r="AH408" s="847"/>
      <c r="AI408" s="847"/>
      <c r="AJ408" s="847"/>
      <c r="AK408" s="847"/>
      <c r="AL408" s="661"/>
      <c r="AM408" s="847"/>
      <c r="AN408" s="847"/>
      <c r="AO408" s="847"/>
      <c r="AP408" s="847"/>
      <c r="AQ408" s="661"/>
      <c r="AR408" s="847"/>
      <c r="AS408" s="847"/>
      <c r="AT408" s="847"/>
      <c r="AU408" s="847"/>
      <c r="AV408" s="661"/>
      <c r="AW408" s="847"/>
      <c r="AX408" s="847"/>
      <c r="AY408" s="847"/>
      <c r="AZ408" s="847"/>
      <c r="BA408" s="661"/>
      <c r="BB408" s="847"/>
      <c r="BC408" s="847"/>
      <c r="BD408" s="847"/>
      <c r="BE408" s="847"/>
      <c r="BF408" s="661"/>
      <c r="BG408" s="847"/>
      <c r="BH408" s="847"/>
      <c r="BI408" s="847"/>
      <c r="BJ408" s="847"/>
      <c r="BK408" s="661"/>
      <c r="BL408" s="847"/>
      <c r="BM408" s="847"/>
      <c r="BN408" s="847"/>
      <c r="BO408" s="1431"/>
      <c r="BP408" s="661"/>
      <c r="BQ408" s="847"/>
      <c r="BR408" s="847"/>
      <c r="BS408" s="847"/>
      <c r="BT408" s="847"/>
      <c r="BU408" s="661"/>
      <c r="BV408" s="847"/>
      <c r="BW408" s="847"/>
      <c r="BX408" s="847"/>
      <c r="BY408" s="847"/>
      <c r="BZ408" s="661"/>
      <c r="CA408" s="847"/>
      <c r="CB408" s="847"/>
      <c r="CC408" s="847"/>
      <c r="CD408" s="847"/>
      <c r="CE408" s="661"/>
      <c r="CF408" s="847"/>
      <c r="CG408" s="3008"/>
      <c r="CH408" s="847">
        <f t="shared" si="609"/>
        <v>215</v>
      </c>
      <c r="CI408" s="847">
        <f t="shared" si="609"/>
        <v>217</v>
      </c>
      <c r="CJ408" s="236">
        <f t="shared" si="543"/>
        <v>217</v>
      </c>
      <c r="CK408" s="3510">
        <f t="shared" si="610"/>
        <v>216</v>
      </c>
      <c r="CL408" s="2350">
        <f t="shared" si="610"/>
        <v>218</v>
      </c>
      <c r="CM408" s="2350">
        <f t="shared" si="611"/>
        <v>220</v>
      </c>
      <c r="CN408" s="2350">
        <f t="shared" si="611"/>
        <v>221</v>
      </c>
      <c r="CO408" s="2289">
        <f t="shared" ref="CO408" si="613">+CO266+CO128</f>
        <v>221</v>
      </c>
      <c r="CP408" s="3510"/>
      <c r="CQ408" s="2350"/>
      <c r="CR408" s="847"/>
      <c r="CS408" s="847"/>
      <c r="CT408" s="661"/>
      <c r="CU408" s="661"/>
      <c r="CV408" s="661"/>
    </row>
    <row r="409" spans="1:106" x14ac:dyDescent="0.2">
      <c r="A409" s="2434" t="s">
        <v>2456</v>
      </c>
      <c r="B409" s="651"/>
      <c r="C409" s="236"/>
      <c r="D409" s="234"/>
      <c r="E409" s="234"/>
      <c r="F409" s="234"/>
      <c r="G409" s="234"/>
      <c r="H409" s="661"/>
      <c r="I409" s="847"/>
      <c r="J409" s="847"/>
      <c r="K409" s="847"/>
      <c r="L409" s="847"/>
      <c r="M409" s="661"/>
      <c r="N409" s="847"/>
      <c r="O409" s="847"/>
      <c r="P409" s="847"/>
      <c r="Q409" s="847"/>
      <c r="R409" s="661"/>
      <c r="S409" s="847"/>
      <c r="T409" s="847"/>
      <c r="U409" s="847"/>
      <c r="V409" s="847"/>
      <c r="W409" s="661"/>
      <c r="X409" s="847"/>
      <c r="Y409" s="847"/>
      <c r="Z409" s="847"/>
      <c r="AA409" s="847"/>
      <c r="AB409" s="661"/>
      <c r="AC409" s="847"/>
      <c r="AD409" s="847"/>
      <c r="AE409" s="847"/>
      <c r="AF409" s="847"/>
      <c r="AG409" s="661"/>
      <c r="AH409" s="847"/>
      <c r="AI409" s="847"/>
      <c r="AJ409" s="847"/>
      <c r="AK409" s="847"/>
      <c r="AL409" s="661"/>
      <c r="AM409" s="847"/>
      <c r="AN409" s="847"/>
      <c r="AO409" s="847"/>
      <c r="AP409" s="847"/>
      <c r="AQ409" s="661"/>
      <c r="AR409" s="847"/>
      <c r="AS409" s="847"/>
      <c r="AT409" s="847"/>
      <c r="AU409" s="847"/>
      <c r="AV409" s="661"/>
      <c r="AW409" s="847"/>
      <c r="AX409" s="847"/>
      <c r="AY409" s="847"/>
      <c r="AZ409" s="847"/>
      <c r="BA409" s="661"/>
      <c r="BB409" s="847"/>
      <c r="BC409" s="847"/>
      <c r="BD409" s="847"/>
      <c r="BE409" s="847"/>
      <c r="BF409" s="661"/>
      <c r="BG409" s="847"/>
      <c r="BH409" s="847"/>
      <c r="BI409" s="847"/>
      <c r="BJ409" s="847"/>
      <c r="BK409" s="661"/>
      <c r="BL409" s="847"/>
      <c r="BM409" s="847"/>
      <c r="BN409" s="847"/>
      <c r="BO409" s="1431"/>
      <c r="BP409" s="661"/>
      <c r="BQ409" s="847"/>
      <c r="BR409" s="847"/>
      <c r="BS409" s="847"/>
      <c r="BT409" s="847"/>
      <c r="BU409" s="661"/>
      <c r="BV409" s="847"/>
      <c r="BW409" s="847"/>
      <c r="BX409" s="847"/>
      <c r="BY409" s="847"/>
      <c r="BZ409" s="661"/>
      <c r="CA409" s="847"/>
      <c r="CB409" s="847"/>
      <c r="CC409" s="847"/>
      <c r="CD409" s="847"/>
      <c r="CE409" s="661"/>
      <c r="CF409" s="847"/>
      <c r="CG409" s="3008"/>
      <c r="CH409" s="847">
        <f t="shared" si="609"/>
        <v>224</v>
      </c>
      <c r="CI409" s="847">
        <f t="shared" si="609"/>
        <v>227</v>
      </c>
      <c r="CJ409" s="236">
        <f t="shared" si="543"/>
        <v>227</v>
      </c>
      <c r="CK409" s="3510">
        <f t="shared" si="610"/>
        <v>229</v>
      </c>
      <c r="CL409" s="2350">
        <f t="shared" si="610"/>
        <v>236</v>
      </c>
      <c r="CM409" s="2350">
        <f t="shared" si="611"/>
        <v>242</v>
      </c>
      <c r="CN409" s="2350">
        <f t="shared" si="611"/>
        <v>249</v>
      </c>
      <c r="CO409" s="2289">
        <f t="shared" ref="CO409" si="614">+CO267+CO129</f>
        <v>249</v>
      </c>
      <c r="CP409" s="3510"/>
      <c r="CQ409" s="2350"/>
      <c r="CR409" s="847"/>
      <c r="CS409" s="847"/>
      <c r="CT409" s="661"/>
      <c r="CU409" s="661"/>
      <c r="CV409" s="661"/>
    </row>
    <row r="410" spans="1:106" x14ac:dyDescent="0.2">
      <c r="A410" s="2434" t="s">
        <v>2457</v>
      </c>
      <c r="B410" s="651"/>
      <c r="C410" s="236"/>
      <c r="D410" s="234"/>
      <c r="E410" s="234"/>
      <c r="F410" s="234"/>
      <c r="G410" s="234"/>
      <c r="H410" s="661"/>
      <c r="I410" s="847"/>
      <c r="J410" s="847"/>
      <c r="K410" s="847"/>
      <c r="L410" s="847"/>
      <c r="M410" s="661"/>
      <c r="N410" s="847"/>
      <c r="O410" s="847"/>
      <c r="P410" s="847"/>
      <c r="Q410" s="847"/>
      <c r="R410" s="661"/>
      <c r="S410" s="847"/>
      <c r="T410" s="847"/>
      <c r="U410" s="847"/>
      <c r="V410" s="847"/>
      <c r="W410" s="661"/>
      <c r="X410" s="847"/>
      <c r="Y410" s="847"/>
      <c r="Z410" s="847"/>
      <c r="AA410" s="847"/>
      <c r="AB410" s="661"/>
      <c r="AC410" s="847"/>
      <c r="AD410" s="847"/>
      <c r="AE410" s="847"/>
      <c r="AF410" s="847"/>
      <c r="AG410" s="661"/>
      <c r="AH410" s="847"/>
      <c r="AI410" s="847"/>
      <c r="AJ410" s="847"/>
      <c r="AK410" s="847"/>
      <c r="AL410" s="661"/>
      <c r="AM410" s="847"/>
      <c r="AN410" s="847"/>
      <c r="AO410" s="847"/>
      <c r="AP410" s="847"/>
      <c r="AQ410" s="661"/>
      <c r="AR410" s="847"/>
      <c r="AS410" s="847"/>
      <c r="AT410" s="847"/>
      <c r="AU410" s="847"/>
      <c r="AV410" s="661"/>
      <c r="AW410" s="847"/>
      <c r="AX410" s="847"/>
      <c r="AY410" s="847"/>
      <c r="AZ410" s="847"/>
      <c r="BA410" s="661"/>
      <c r="BB410" s="847"/>
      <c r="BC410" s="847"/>
      <c r="BD410" s="847"/>
      <c r="BE410" s="847"/>
      <c r="BF410" s="661"/>
      <c r="BG410" s="847"/>
      <c r="BH410" s="847"/>
      <c r="BI410" s="847"/>
      <c r="BJ410" s="847"/>
      <c r="BK410" s="661"/>
      <c r="BL410" s="847"/>
      <c r="BM410" s="847"/>
      <c r="BN410" s="847"/>
      <c r="BO410" s="1431"/>
      <c r="BP410" s="661"/>
      <c r="BQ410" s="847"/>
      <c r="BR410" s="847"/>
      <c r="BS410" s="847"/>
      <c r="BT410" s="847"/>
      <c r="BU410" s="661"/>
      <c r="BV410" s="847"/>
      <c r="BW410" s="847"/>
      <c r="BX410" s="847"/>
      <c r="BY410" s="847"/>
      <c r="BZ410" s="661"/>
      <c r="CA410" s="847"/>
      <c r="CB410" s="847"/>
      <c r="CC410" s="847"/>
      <c r="CD410" s="847"/>
      <c r="CE410" s="661"/>
      <c r="CF410" s="847"/>
      <c r="CG410" s="3008"/>
      <c r="CH410" s="847">
        <f t="shared" si="609"/>
        <v>49</v>
      </c>
      <c r="CI410" s="847">
        <f t="shared" si="609"/>
        <v>51</v>
      </c>
      <c r="CJ410" s="236">
        <f t="shared" si="543"/>
        <v>51</v>
      </c>
      <c r="CK410" s="3510">
        <f t="shared" si="610"/>
        <v>50</v>
      </c>
      <c r="CL410" s="2350">
        <f t="shared" si="610"/>
        <v>52</v>
      </c>
      <c r="CM410" s="2350">
        <f t="shared" si="611"/>
        <v>53</v>
      </c>
      <c r="CN410" s="2350">
        <f t="shared" si="611"/>
        <v>53</v>
      </c>
      <c r="CO410" s="2289">
        <f t="shared" ref="CO410" si="615">+CO268+CO130</f>
        <v>53</v>
      </c>
      <c r="CP410" s="3510"/>
      <c r="CQ410" s="2350"/>
      <c r="CR410" s="847"/>
      <c r="CS410" s="847"/>
      <c r="CT410" s="661"/>
      <c r="CU410" s="661"/>
      <c r="CV410" s="661"/>
    </row>
    <row r="411" spans="1:106" x14ac:dyDescent="0.2">
      <c r="A411" s="2434" t="s">
        <v>2458</v>
      </c>
      <c r="B411" s="651"/>
      <c r="C411" s="236"/>
      <c r="D411" s="234"/>
      <c r="E411" s="234"/>
      <c r="F411" s="234"/>
      <c r="G411" s="234"/>
      <c r="H411" s="661"/>
      <c r="I411" s="847"/>
      <c r="J411" s="847"/>
      <c r="K411" s="847"/>
      <c r="L411" s="847"/>
      <c r="M411" s="661"/>
      <c r="N411" s="847"/>
      <c r="O411" s="847"/>
      <c r="P411" s="847"/>
      <c r="Q411" s="847"/>
      <c r="R411" s="661"/>
      <c r="S411" s="847"/>
      <c r="T411" s="847"/>
      <c r="U411" s="847"/>
      <c r="V411" s="847"/>
      <c r="W411" s="661"/>
      <c r="X411" s="847"/>
      <c r="Y411" s="847"/>
      <c r="Z411" s="847"/>
      <c r="AA411" s="847"/>
      <c r="AB411" s="661"/>
      <c r="AC411" s="847"/>
      <c r="AD411" s="847"/>
      <c r="AE411" s="847"/>
      <c r="AF411" s="847"/>
      <c r="AG411" s="661"/>
      <c r="AH411" s="847"/>
      <c r="AI411" s="847"/>
      <c r="AJ411" s="847"/>
      <c r="AK411" s="847"/>
      <c r="AL411" s="661"/>
      <c r="AM411" s="847"/>
      <c r="AN411" s="847"/>
      <c r="AO411" s="847"/>
      <c r="AP411" s="847"/>
      <c r="AQ411" s="661"/>
      <c r="AR411" s="847"/>
      <c r="AS411" s="847"/>
      <c r="AT411" s="847"/>
      <c r="AU411" s="847"/>
      <c r="AV411" s="661"/>
      <c r="AW411" s="847"/>
      <c r="AX411" s="847"/>
      <c r="AY411" s="847"/>
      <c r="AZ411" s="847"/>
      <c r="BA411" s="661"/>
      <c r="BB411" s="847"/>
      <c r="BC411" s="847"/>
      <c r="BD411" s="847"/>
      <c r="BE411" s="847"/>
      <c r="BF411" s="661"/>
      <c r="BG411" s="847"/>
      <c r="BH411" s="847"/>
      <c r="BI411" s="847"/>
      <c r="BJ411" s="847"/>
      <c r="BK411" s="661"/>
      <c r="BL411" s="847"/>
      <c r="BM411" s="847"/>
      <c r="BN411" s="847"/>
      <c r="BO411" s="1431"/>
      <c r="BP411" s="661"/>
      <c r="BQ411" s="847"/>
      <c r="BR411" s="847"/>
      <c r="BS411" s="847"/>
      <c r="BT411" s="847"/>
      <c r="BU411" s="661"/>
      <c r="BV411" s="847"/>
      <c r="BW411" s="847"/>
      <c r="BX411" s="847"/>
      <c r="BY411" s="847"/>
      <c r="BZ411" s="661"/>
      <c r="CA411" s="847"/>
      <c r="CB411" s="847"/>
      <c r="CC411" s="847"/>
      <c r="CD411" s="847"/>
      <c r="CE411" s="661"/>
      <c r="CF411" s="847"/>
      <c r="CG411" s="3008"/>
      <c r="CH411" s="847">
        <f t="shared" si="609"/>
        <v>98</v>
      </c>
      <c r="CI411" s="847">
        <f t="shared" si="609"/>
        <v>97</v>
      </c>
      <c r="CJ411" s="236">
        <f t="shared" si="543"/>
        <v>97</v>
      </c>
      <c r="CK411" s="3510">
        <f t="shared" si="610"/>
        <v>97</v>
      </c>
      <c r="CL411" s="2350">
        <f t="shared" si="610"/>
        <v>100</v>
      </c>
      <c r="CM411" s="2350">
        <f t="shared" si="611"/>
        <v>102</v>
      </c>
      <c r="CN411" s="2350">
        <f t="shared" si="611"/>
        <v>105</v>
      </c>
      <c r="CO411" s="2289">
        <f t="shared" ref="CO411" si="616">+CO269+CO131</f>
        <v>105</v>
      </c>
      <c r="CP411" s="3510"/>
      <c r="CQ411" s="2350"/>
      <c r="CR411" s="847"/>
      <c r="CS411" s="847"/>
      <c r="CT411" s="661"/>
      <c r="CU411" s="661"/>
      <c r="CV411" s="661"/>
    </row>
    <row r="412" spans="1:106" x14ac:dyDescent="0.2">
      <c r="A412" s="2434" t="s">
        <v>2459</v>
      </c>
      <c r="B412" s="651"/>
      <c r="C412" s="236"/>
      <c r="D412" s="234"/>
      <c r="E412" s="234"/>
      <c r="F412" s="234"/>
      <c r="G412" s="234"/>
      <c r="H412" s="661"/>
      <c r="I412" s="847"/>
      <c r="J412" s="847"/>
      <c r="K412" s="847"/>
      <c r="L412" s="847"/>
      <c r="M412" s="661"/>
      <c r="N412" s="847"/>
      <c r="O412" s="847"/>
      <c r="P412" s="847"/>
      <c r="Q412" s="847"/>
      <c r="R412" s="661"/>
      <c r="S412" s="847"/>
      <c r="T412" s="847"/>
      <c r="U412" s="847"/>
      <c r="V412" s="847"/>
      <c r="W412" s="661"/>
      <c r="X412" s="847"/>
      <c r="Y412" s="847"/>
      <c r="Z412" s="847"/>
      <c r="AA412" s="847"/>
      <c r="AB412" s="661"/>
      <c r="AC412" s="847"/>
      <c r="AD412" s="847"/>
      <c r="AE412" s="847"/>
      <c r="AF412" s="847"/>
      <c r="AG412" s="661"/>
      <c r="AH412" s="847"/>
      <c r="AI412" s="847"/>
      <c r="AJ412" s="847"/>
      <c r="AK412" s="847"/>
      <c r="AL412" s="661"/>
      <c r="AM412" s="847"/>
      <c r="AN412" s="847"/>
      <c r="AO412" s="847"/>
      <c r="AP412" s="847"/>
      <c r="AQ412" s="661"/>
      <c r="AR412" s="847"/>
      <c r="AS412" s="847"/>
      <c r="AT412" s="847"/>
      <c r="AU412" s="847"/>
      <c r="AV412" s="661"/>
      <c r="AW412" s="847"/>
      <c r="AX412" s="847"/>
      <c r="AY412" s="847"/>
      <c r="AZ412" s="847"/>
      <c r="BA412" s="661"/>
      <c r="BB412" s="847"/>
      <c r="BC412" s="847"/>
      <c r="BD412" s="847"/>
      <c r="BE412" s="847"/>
      <c r="BF412" s="661"/>
      <c r="BG412" s="847"/>
      <c r="BH412" s="847"/>
      <c r="BI412" s="847"/>
      <c r="BJ412" s="847"/>
      <c r="BK412" s="661"/>
      <c r="BL412" s="847"/>
      <c r="BM412" s="847"/>
      <c r="BN412" s="847"/>
      <c r="BO412" s="1431"/>
      <c r="BP412" s="661"/>
      <c r="BQ412" s="847"/>
      <c r="BR412" s="847"/>
      <c r="BS412" s="847"/>
      <c r="BT412" s="847"/>
      <c r="BU412" s="661"/>
      <c r="BV412" s="847"/>
      <c r="BW412" s="847"/>
      <c r="BX412" s="847"/>
      <c r="BY412" s="847"/>
      <c r="BZ412" s="661"/>
      <c r="CA412" s="847"/>
      <c r="CB412" s="847"/>
      <c r="CC412" s="847"/>
      <c r="CD412" s="847"/>
      <c r="CE412" s="661"/>
      <c r="CF412" s="847"/>
      <c r="CG412" s="3008"/>
      <c r="CH412" s="847">
        <f t="shared" si="609"/>
        <v>37</v>
      </c>
      <c r="CI412" s="847">
        <f t="shared" si="609"/>
        <v>38</v>
      </c>
      <c r="CJ412" s="236">
        <f t="shared" si="543"/>
        <v>38</v>
      </c>
      <c r="CK412" s="3510">
        <f t="shared" si="610"/>
        <v>39</v>
      </c>
      <c r="CL412" s="2350">
        <f>+CL270+CL132</f>
        <v>41</v>
      </c>
      <c r="CM412" s="2350">
        <f t="shared" si="611"/>
        <v>43</v>
      </c>
      <c r="CN412" s="2350">
        <f t="shared" si="611"/>
        <v>43</v>
      </c>
      <c r="CO412" s="2289">
        <f t="shared" ref="CO412" si="617">+CO270+CO132</f>
        <v>43</v>
      </c>
      <c r="CP412" s="3510"/>
      <c r="CQ412" s="2350"/>
      <c r="CR412" s="847"/>
      <c r="CS412" s="847"/>
      <c r="CT412" s="661"/>
      <c r="CU412" s="661"/>
      <c r="CV412" s="661"/>
    </row>
    <row r="413" spans="1:106" x14ac:dyDescent="0.2">
      <c r="A413" s="2434" t="s">
        <v>2460</v>
      </c>
      <c r="B413" s="651"/>
      <c r="C413" s="236"/>
      <c r="D413" s="234"/>
      <c r="E413" s="234"/>
      <c r="F413" s="234"/>
      <c r="G413" s="234"/>
      <c r="H413" s="661"/>
      <c r="I413" s="847"/>
      <c r="J413" s="847"/>
      <c r="K413" s="847"/>
      <c r="L413" s="847"/>
      <c r="M413" s="661"/>
      <c r="N413" s="847"/>
      <c r="O413" s="847"/>
      <c r="P413" s="847"/>
      <c r="Q413" s="847"/>
      <c r="R413" s="661"/>
      <c r="S413" s="847"/>
      <c r="T413" s="847"/>
      <c r="U413" s="847"/>
      <c r="V413" s="847"/>
      <c r="W413" s="661"/>
      <c r="X413" s="847"/>
      <c r="Y413" s="847"/>
      <c r="Z413" s="847"/>
      <c r="AA413" s="847"/>
      <c r="AB413" s="661"/>
      <c r="AC413" s="847"/>
      <c r="AD413" s="847"/>
      <c r="AE413" s="847"/>
      <c r="AF413" s="847"/>
      <c r="AG413" s="661"/>
      <c r="AH413" s="847"/>
      <c r="AI413" s="847"/>
      <c r="AJ413" s="847"/>
      <c r="AK413" s="847"/>
      <c r="AL413" s="661"/>
      <c r="AM413" s="847"/>
      <c r="AN413" s="847"/>
      <c r="AO413" s="847"/>
      <c r="AP413" s="847"/>
      <c r="AQ413" s="661"/>
      <c r="AR413" s="847"/>
      <c r="AS413" s="847"/>
      <c r="AT413" s="847"/>
      <c r="AU413" s="847"/>
      <c r="AV413" s="661"/>
      <c r="AW413" s="847"/>
      <c r="AX413" s="847"/>
      <c r="AY413" s="847"/>
      <c r="AZ413" s="847"/>
      <c r="BA413" s="661"/>
      <c r="BB413" s="847"/>
      <c r="BC413" s="847"/>
      <c r="BD413" s="847"/>
      <c r="BE413" s="847"/>
      <c r="BF413" s="661"/>
      <c r="BG413" s="847"/>
      <c r="BH413" s="847"/>
      <c r="BI413" s="847"/>
      <c r="BJ413" s="847"/>
      <c r="BK413" s="661"/>
      <c r="BL413" s="847"/>
      <c r="BM413" s="847"/>
      <c r="BN413" s="847"/>
      <c r="BO413" s="1431"/>
      <c r="BP413" s="661"/>
      <c r="BQ413" s="847"/>
      <c r="BR413" s="847"/>
      <c r="BS413" s="847"/>
      <c r="BT413" s="847"/>
      <c r="BU413" s="661"/>
      <c r="BV413" s="847"/>
      <c r="BW413" s="847"/>
      <c r="BX413" s="847"/>
      <c r="BY413" s="847"/>
      <c r="BZ413" s="661"/>
      <c r="CA413" s="847"/>
      <c r="CB413" s="847"/>
      <c r="CC413" s="847"/>
      <c r="CD413" s="847"/>
      <c r="CE413" s="661"/>
      <c r="CF413" s="847"/>
      <c r="CG413" s="3008"/>
      <c r="CH413" s="847">
        <f t="shared" si="609"/>
        <v>105</v>
      </c>
      <c r="CI413" s="847">
        <f t="shared" si="609"/>
        <v>106</v>
      </c>
      <c r="CJ413" s="236">
        <f t="shared" si="543"/>
        <v>106</v>
      </c>
      <c r="CK413" s="3510">
        <f t="shared" si="610"/>
        <v>107</v>
      </c>
      <c r="CL413" s="2350">
        <f t="shared" si="610"/>
        <v>107</v>
      </c>
      <c r="CM413" s="2350">
        <f t="shared" si="611"/>
        <v>110</v>
      </c>
      <c r="CN413" s="2350">
        <f t="shared" si="611"/>
        <v>112</v>
      </c>
      <c r="CO413" s="2289">
        <f t="shared" ref="CO413" si="618">+CO271+CO133</f>
        <v>112</v>
      </c>
      <c r="CP413" s="3510"/>
      <c r="CQ413" s="2350"/>
      <c r="CR413" s="847"/>
      <c r="CS413" s="847"/>
      <c r="CT413" s="661"/>
      <c r="CU413" s="661"/>
      <c r="CV413" s="661"/>
    </row>
    <row r="414" spans="1:106" x14ac:dyDescent="0.2">
      <c r="A414" s="2434" t="s">
        <v>2464</v>
      </c>
      <c r="B414" s="651"/>
      <c r="C414" s="236"/>
      <c r="D414" s="234"/>
      <c r="E414" s="234"/>
      <c r="F414" s="234"/>
      <c r="G414" s="234"/>
      <c r="H414" s="661"/>
      <c r="I414" s="847"/>
      <c r="J414" s="847"/>
      <c r="K414" s="847"/>
      <c r="L414" s="847"/>
      <c r="M414" s="661"/>
      <c r="N414" s="847"/>
      <c r="O414" s="847"/>
      <c r="P414" s="847"/>
      <c r="Q414" s="847"/>
      <c r="R414" s="661"/>
      <c r="S414" s="847"/>
      <c r="T414" s="847"/>
      <c r="U414" s="847"/>
      <c r="V414" s="847"/>
      <c r="W414" s="661"/>
      <c r="X414" s="847"/>
      <c r="Y414" s="847"/>
      <c r="Z414" s="847"/>
      <c r="AA414" s="847"/>
      <c r="AB414" s="661"/>
      <c r="AC414" s="847"/>
      <c r="AD414" s="847"/>
      <c r="AE414" s="847"/>
      <c r="AF414" s="847"/>
      <c r="AG414" s="661"/>
      <c r="AH414" s="847"/>
      <c r="AI414" s="847"/>
      <c r="AJ414" s="847"/>
      <c r="AK414" s="847"/>
      <c r="AL414" s="661"/>
      <c r="AM414" s="847"/>
      <c r="AN414" s="847"/>
      <c r="AO414" s="847"/>
      <c r="AP414" s="847"/>
      <c r="AQ414" s="661"/>
      <c r="AR414" s="847"/>
      <c r="AS414" s="847"/>
      <c r="AT414" s="847"/>
      <c r="AU414" s="847"/>
      <c r="AV414" s="661"/>
      <c r="AW414" s="847"/>
      <c r="AX414" s="847"/>
      <c r="AY414" s="847"/>
      <c r="AZ414" s="847"/>
      <c r="BA414" s="661"/>
      <c r="BB414" s="847"/>
      <c r="BC414" s="847"/>
      <c r="BD414" s="847"/>
      <c r="BE414" s="847"/>
      <c r="BF414" s="661"/>
      <c r="BG414" s="847"/>
      <c r="BH414" s="847"/>
      <c r="BI414" s="847"/>
      <c r="BJ414" s="847"/>
      <c r="BK414" s="661"/>
      <c r="BL414" s="847"/>
      <c r="BM414" s="847"/>
      <c r="BN414" s="847"/>
      <c r="BO414" s="1431"/>
      <c r="BP414" s="661"/>
      <c r="BQ414" s="847"/>
      <c r="BR414" s="847"/>
      <c r="BS414" s="847"/>
      <c r="BT414" s="847"/>
      <c r="BU414" s="661"/>
      <c r="BV414" s="847"/>
      <c r="BW414" s="847"/>
      <c r="BX414" s="847"/>
      <c r="BY414" s="847"/>
      <c r="BZ414" s="661"/>
      <c r="CA414" s="847"/>
      <c r="CB414" s="847"/>
      <c r="CC414" s="847"/>
      <c r="CD414" s="847"/>
      <c r="CE414" s="661"/>
      <c r="CF414" s="847"/>
      <c r="CG414" s="3008"/>
      <c r="CH414" s="847">
        <f t="shared" si="609"/>
        <v>114</v>
      </c>
      <c r="CI414" s="847">
        <f t="shared" si="609"/>
        <v>116</v>
      </c>
      <c r="CJ414" s="236">
        <f t="shared" si="543"/>
        <v>116</v>
      </c>
      <c r="CK414" s="3510">
        <f t="shared" si="610"/>
        <v>126</v>
      </c>
      <c r="CL414" s="2350">
        <f t="shared" si="610"/>
        <v>130</v>
      </c>
      <c r="CM414" s="2350">
        <f t="shared" si="611"/>
        <v>137</v>
      </c>
      <c r="CN414" s="2350">
        <f t="shared" si="611"/>
        <v>138</v>
      </c>
      <c r="CO414" s="2289">
        <f t="shared" ref="CO414" si="619">+CO272+CO134</f>
        <v>138</v>
      </c>
      <c r="CP414" s="3510"/>
      <c r="CQ414" s="2350"/>
      <c r="CR414" s="847"/>
      <c r="CS414" s="847"/>
      <c r="CT414" s="661"/>
      <c r="CU414" s="661"/>
      <c r="CV414" s="661"/>
    </row>
    <row r="415" spans="1:106" x14ac:dyDescent="0.2">
      <c r="A415" s="2434" t="s">
        <v>2462</v>
      </c>
      <c r="B415" s="651"/>
      <c r="C415" s="236"/>
      <c r="D415" s="234"/>
      <c r="E415" s="234"/>
      <c r="F415" s="234"/>
      <c r="G415" s="234"/>
      <c r="H415" s="661"/>
      <c r="I415" s="847"/>
      <c r="J415" s="847"/>
      <c r="K415" s="847"/>
      <c r="L415" s="847"/>
      <c r="M415" s="661"/>
      <c r="N415" s="847"/>
      <c r="O415" s="847"/>
      <c r="P415" s="847"/>
      <c r="Q415" s="847"/>
      <c r="R415" s="661"/>
      <c r="S415" s="847"/>
      <c r="T415" s="847"/>
      <c r="U415" s="847"/>
      <c r="V415" s="847"/>
      <c r="W415" s="661"/>
      <c r="X415" s="847"/>
      <c r="Y415" s="847"/>
      <c r="Z415" s="847"/>
      <c r="AA415" s="847"/>
      <c r="AB415" s="661"/>
      <c r="AC415" s="847"/>
      <c r="AD415" s="847"/>
      <c r="AE415" s="847"/>
      <c r="AF415" s="847"/>
      <c r="AG415" s="661"/>
      <c r="AH415" s="847"/>
      <c r="AI415" s="847"/>
      <c r="AJ415" s="847"/>
      <c r="AK415" s="847"/>
      <c r="AL415" s="661"/>
      <c r="AM415" s="847"/>
      <c r="AN415" s="847"/>
      <c r="AO415" s="847"/>
      <c r="AP415" s="847"/>
      <c r="AQ415" s="661"/>
      <c r="AR415" s="847"/>
      <c r="AS415" s="847"/>
      <c r="AT415" s="847"/>
      <c r="AU415" s="847"/>
      <c r="AV415" s="661"/>
      <c r="AW415" s="847"/>
      <c r="AX415" s="847"/>
      <c r="AY415" s="847"/>
      <c r="AZ415" s="847"/>
      <c r="BA415" s="661"/>
      <c r="BB415" s="847"/>
      <c r="BC415" s="847"/>
      <c r="BD415" s="847"/>
      <c r="BE415" s="847"/>
      <c r="BF415" s="661"/>
      <c r="BG415" s="847"/>
      <c r="BH415" s="847"/>
      <c r="BI415" s="847"/>
      <c r="BJ415" s="847"/>
      <c r="BK415" s="661"/>
      <c r="BL415" s="847"/>
      <c r="BM415" s="847"/>
      <c r="BN415" s="847"/>
      <c r="BO415" s="1431"/>
      <c r="BP415" s="661"/>
      <c r="BQ415" s="847"/>
      <c r="BR415" s="847"/>
      <c r="BS415" s="847"/>
      <c r="BT415" s="847"/>
      <c r="BU415" s="661"/>
      <c r="BV415" s="847"/>
      <c r="BW415" s="847"/>
      <c r="BX415" s="847"/>
      <c r="BY415" s="847"/>
      <c r="BZ415" s="661"/>
      <c r="CA415" s="847"/>
      <c r="CB415" s="847"/>
      <c r="CC415" s="847"/>
      <c r="CD415" s="847"/>
      <c r="CE415" s="661"/>
      <c r="CF415" s="847"/>
      <c r="CG415" s="3008"/>
      <c r="CH415" s="847">
        <f t="shared" si="609"/>
        <v>22</v>
      </c>
      <c r="CI415" s="847">
        <f t="shared" si="609"/>
        <v>23</v>
      </c>
      <c r="CJ415" s="236">
        <f t="shared" si="543"/>
        <v>23</v>
      </c>
      <c r="CK415" s="3510">
        <f t="shared" si="610"/>
        <v>24</v>
      </c>
      <c r="CL415" s="2350">
        <f t="shared" si="610"/>
        <v>30</v>
      </c>
      <c r="CM415" s="2350">
        <f t="shared" si="611"/>
        <v>32</v>
      </c>
      <c r="CN415" s="2350">
        <f t="shared" si="611"/>
        <v>34</v>
      </c>
      <c r="CO415" s="2289">
        <f t="shared" ref="CO415" si="620">+CO273+CO135</f>
        <v>34</v>
      </c>
      <c r="CP415" s="3510"/>
      <c r="CQ415" s="2350"/>
      <c r="CR415" s="847"/>
      <c r="CS415" s="847"/>
      <c r="CT415" s="661"/>
      <c r="CU415" s="661"/>
      <c r="CV415" s="661"/>
    </row>
    <row r="416" spans="1:106" x14ac:dyDescent="0.2">
      <c r="A416" s="2434" t="s">
        <v>2463</v>
      </c>
      <c r="B416" s="651"/>
      <c r="C416" s="236"/>
      <c r="D416" s="234"/>
      <c r="E416" s="234"/>
      <c r="F416" s="234"/>
      <c r="G416" s="234"/>
      <c r="H416" s="661"/>
      <c r="I416" s="847"/>
      <c r="J416" s="847"/>
      <c r="K416" s="847"/>
      <c r="L416" s="847"/>
      <c r="M416" s="661"/>
      <c r="N416" s="847"/>
      <c r="O416" s="847"/>
      <c r="P416" s="847"/>
      <c r="Q416" s="847"/>
      <c r="R416" s="661"/>
      <c r="S416" s="847"/>
      <c r="T416" s="847"/>
      <c r="U416" s="847"/>
      <c r="V416" s="847"/>
      <c r="W416" s="661"/>
      <c r="X416" s="847"/>
      <c r="Y416" s="847"/>
      <c r="Z416" s="847"/>
      <c r="AA416" s="847"/>
      <c r="AB416" s="661"/>
      <c r="AC416" s="847"/>
      <c r="AD416" s="847"/>
      <c r="AE416" s="847"/>
      <c r="AF416" s="847"/>
      <c r="AG416" s="661"/>
      <c r="AH416" s="847"/>
      <c r="AI416" s="847"/>
      <c r="AJ416" s="847"/>
      <c r="AK416" s="847"/>
      <c r="AL416" s="661"/>
      <c r="AM416" s="847"/>
      <c r="AN416" s="847"/>
      <c r="AO416" s="847"/>
      <c r="AP416" s="847"/>
      <c r="AQ416" s="661"/>
      <c r="AR416" s="847"/>
      <c r="AS416" s="847"/>
      <c r="AT416" s="847"/>
      <c r="AU416" s="847"/>
      <c r="AV416" s="661"/>
      <c r="AW416" s="847"/>
      <c r="AX416" s="847"/>
      <c r="AY416" s="847"/>
      <c r="AZ416" s="847"/>
      <c r="BA416" s="661"/>
      <c r="BB416" s="847"/>
      <c r="BC416" s="847"/>
      <c r="BD416" s="847"/>
      <c r="BE416" s="847"/>
      <c r="BF416" s="661"/>
      <c r="BG416" s="847"/>
      <c r="BH416" s="847"/>
      <c r="BI416" s="847"/>
      <c r="BJ416" s="847"/>
      <c r="BK416" s="661"/>
      <c r="BL416" s="847"/>
      <c r="BM416" s="847"/>
      <c r="BN416" s="847"/>
      <c r="BO416" s="1431"/>
      <c r="BP416" s="661"/>
      <c r="BQ416" s="847"/>
      <c r="BR416" s="847"/>
      <c r="BS416" s="847"/>
      <c r="BT416" s="847"/>
      <c r="BU416" s="661"/>
      <c r="BV416" s="847"/>
      <c r="BW416" s="847"/>
      <c r="BX416" s="847"/>
      <c r="BY416" s="847"/>
      <c r="BZ416" s="661"/>
      <c r="CA416" s="847"/>
      <c r="CB416" s="847"/>
      <c r="CC416" s="847"/>
      <c r="CD416" s="847"/>
      <c r="CE416" s="661"/>
      <c r="CF416" s="847"/>
      <c r="CG416" s="3008"/>
      <c r="CH416" s="847">
        <f t="shared" si="609"/>
        <v>12</v>
      </c>
      <c r="CI416" s="847">
        <f t="shared" si="609"/>
        <v>21</v>
      </c>
      <c r="CJ416" s="236">
        <f t="shared" si="543"/>
        <v>21</v>
      </c>
      <c r="CK416" s="3510">
        <f t="shared" si="610"/>
        <v>23</v>
      </c>
      <c r="CL416" s="2350">
        <f t="shared" si="610"/>
        <v>24</v>
      </c>
      <c r="CM416" s="2350">
        <f t="shared" si="611"/>
        <v>27</v>
      </c>
      <c r="CN416" s="2350">
        <f t="shared" si="611"/>
        <v>28</v>
      </c>
      <c r="CO416" s="2289">
        <f t="shared" ref="CO416" si="621">+CO274+CO136</f>
        <v>28</v>
      </c>
      <c r="CP416" s="3510"/>
      <c r="CQ416" s="2350"/>
      <c r="CR416" s="847"/>
      <c r="CS416" s="847"/>
      <c r="CT416" s="661"/>
      <c r="CU416" s="661"/>
      <c r="CV416" s="661"/>
    </row>
    <row r="417" spans="1:256" x14ac:dyDescent="0.2">
      <c r="A417" s="2434" t="s">
        <v>1931</v>
      </c>
      <c r="B417" s="651"/>
      <c r="C417" s="236"/>
      <c r="D417" s="234"/>
      <c r="E417" s="234"/>
      <c r="F417" s="234"/>
      <c r="G417" s="234"/>
      <c r="H417" s="661"/>
      <c r="I417" s="847"/>
      <c r="J417" s="847"/>
      <c r="K417" s="847"/>
      <c r="L417" s="847"/>
      <c r="M417" s="661"/>
      <c r="N417" s="847"/>
      <c r="O417" s="847"/>
      <c r="P417" s="847"/>
      <c r="Q417" s="847"/>
      <c r="R417" s="661"/>
      <c r="S417" s="847"/>
      <c r="T417" s="847"/>
      <c r="U417" s="847"/>
      <c r="V417" s="847"/>
      <c r="W417" s="661"/>
      <c r="X417" s="847"/>
      <c r="Y417" s="847"/>
      <c r="Z417" s="847"/>
      <c r="AA417" s="847"/>
      <c r="AB417" s="661"/>
      <c r="AC417" s="847"/>
      <c r="AD417" s="847"/>
      <c r="AE417" s="847"/>
      <c r="AF417" s="847"/>
      <c r="AG417" s="661"/>
      <c r="AH417" s="847"/>
      <c r="AI417" s="847"/>
      <c r="AJ417" s="847"/>
      <c r="AK417" s="847"/>
      <c r="AL417" s="661"/>
      <c r="AM417" s="847"/>
      <c r="AN417" s="847"/>
      <c r="AO417" s="847"/>
      <c r="AP417" s="847"/>
      <c r="AQ417" s="661"/>
      <c r="AR417" s="847"/>
      <c r="AS417" s="847"/>
      <c r="AT417" s="847"/>
      <c r="AU417" s="847"/>
      <c r="AV417" s="661"/>
      <c r="AW417" s="847"/>
      <c r="AX417" s="847"/>
      <c r="AY417" s="847"/>
      <c r="AZ417" s="847"/>
      <c r="BA417" s="661"/>
      <c r="BB417" s="847"/>
      <c r="BC417" s="847"/>
      <c r="BD417" s="847"/>
      <c r="BE417" s="847"/>
      <c r="BF417" s="661"/>
      <c r="BG417" s="847"/>
      <c r="BH417" s="847"/>
      <c r="BI417" s="847"/>
      <c r="BJ417" s="847"/>
      <c r="BK417" s="661"/>
      <c r="BL417" s="847"/>
      <c r="BM417" s="847"/>
      <c r="BN417" s="847"/>
      <c r="BO417" s="1431"/>
      <c r="BP417" s="661"/>
      <c r="BQ417" s="847"/>
      <c r="BR417" s="847"/>
      <c r="BS417" s="847"/>
      <c r="BT417" s="847"/>
      <c r="BU417" s="661"/>
      <c r="BV417" s="847"/>
      <c r="BW417" s="847"/>
      <c r="BX417" s="847"/>
      <c r="BY417" s="847"/>
      <c r="BZ417" s="661"/>
      <c r="CA417" s="847">
        <f t="shared" ref="CA417:CG417" si="622">+CA275+CA138</f>
        <v>42</v>
      </c>
      <c r="CB417" s="847">
        <f t="shared" si="622"/>
        <v>42</v>
      </c>
      <c r="CC417" s="847">
        <f t="shared" si="622"/>
        <v>42</v>
      </c>
      <c r="CD417" s="847">
        <f t="shared" si="622"/>
        <v>42</v>
      </c>
      <c r="CE417" s="236">
        <f t="shared" si="622"/>
        <v>42</v>
      </c>
      <c r="CF417" s="847">
        <f t="shared" si="622"/>
        <v>42</v>
      </c>
      <c r="CG417" s="847">
        <f t="shared" si="622"/>
        <v>44</v>
      </c>
      <c r="CH417" s="3406">
        <f>+CH275+CH138+1</f>
        <v>150</v>
      </c>
      <c r="CI417" s="847">
        <f>+CI275+CI138</f>
        <v>151</v>
      </c>
      <c r="CJ417" s="236">
        <f t="shared" si="543"/>
        <v>151</v>
      </c>
      <c r="CK417" s="3510">
        <f>+CK275+CK138</f>
        <v>157</v>
      </c>
      <c r="CL417" s="2350">
        <f>+CL275+CL138</f>
        <v>165</v>
      </c>
      <c r="CM417" s="2350">
        <f>+CM275+CM138</f>
        <v>206</v>
      </c>
      <c r="CN417" s="2350">
        <f>+CN275+CN138</f>
        <v>217</v>
      </c>
      <c r="CO417" s="2289">
        <f>+CO275+CO138</f>
        <v>217</v>
      </c>
      <c r="CP417" s="3510"/>
      <c r="CQ417" s="2350"/>
      <c r="CR417" s="847"/>
      <c r="CS417" s="847"/>
      <c r="CT417" s="661"/>
      <c r="CU417" s="661"/>
      <c r="CV417" s="661"/>
    </row>
    <row r="418" spans="1:256" x14ac:dyDescent="0.2">
      <c r="A418" s="331" t="s">
        <v>469</v>
      </c>
      <c r="B418" s="1439"/>
      <c r="C418" s="1440"/>
      <c r="D418" s="1441"/>
      <c r="E418" s="1441"/>
      <c r="F418" s="1441"/>
      <c r="G418" s="1441"/>
      <c r="H418" s="1448"/>
      <c r="I418" s="1118">
        <f t="shared" ref="I418:AN418" si="623">SUM(I387:I405)</f>
        <v>2111</v>
      </c>
      <c r="J418" s="1118">
        <f t="shared" si="623"/>
        <v>2175</v>
      </c>
      <c r="K418" s="1118">
        <f t="shared" si="623"/>
        <v>2286</v>
      </c>
      <c r="L418" s="1118">
        <f t="shared" si="623"/>
        <v>2341</v>
      </c>
      <c r="M418" s="1448">
        <f t="shared" si="623"/>
        <v>2341</v>
      </c>
      <c r="N418" s="1118">
        <f t="shared" si="623"/>
        <v>2375</v>
      </c>
      <c r="O418" s="1118">
        <f t="shared" si="623"/>
        <v>2411</v>
      </c>
      <c r="P418" s="1118">
        <f t="shared" si="623"/>
        <v>2449</v>
      </c>
      <c r="Q418" s="1118">
        <f t="shared" si="623"/>
        <v>2501</v>
      </c>
      <c r="R418" s="1448">
        <f t="shared" si="623"/>
        <v>2501</v>
      </c>
      <c r="S418" s="1118">
        <f t="shared" si="623"/>
        <v>2534</v>
      </c>
      <c r="T418" s="1118">
        <f t="shared" si="623"/>
        <v>2581</v>
      </c>
      <c r="U418" s="1118">
        <f t="shared" si="623"/>
        <v>2623</v>
      </c>
      <c r="V418" s="1118">
        <f t="shared" si="623"/>
        <v>2666</v>
      </c>
      <c r="W418" s="1448">
        <f t="shared" si="623"/>
        <v>2666</v>
      </c>
      <c r="X418" s="1118">
        <f t="shared" si="623"/>
        <v>2702</v>
      </c>
      <c r="Y418" s="1118">
        <f t="shared" si="623"/>
        <v>2738</v>
      </c>
      <c r="Z418" s="1118">
        <f t="shared" si="623"/>
        <v>2753</v>
      </c>
      <c r="AA418" s="1118">
        <f t="shared" si="623"/>
        <v>2580</v>
      </c>
      <c r="AB418" s="1448">
        <f t="shared" si="623"/>
        <v>2580</v>
      </c>
      <c r="AC418" s="1118">
        <f t="shared" si="623"/>
        <v>2594</v>
      </c>
      <c r="AD418" s="1118">
        <f t="shared" si="623"/>
        <v>2622</v>
      </c>
      <c r="AE418" s="1118">
        <f t="shared" si="623"/>
        <v>2653</v>
      </c>
      <c r="AF418" s="1118">
        <f t="shared" si="623"/>
        <v>2687</v>
      </c>
      <c r="AG418" s="1448">
        <f t="shared" si="623"/>
        <v>2686</v>
      </c>
      <c r="AH418" s="1118">
        <f t="shared" si="623"/>
        <v>2713</v>
      </c>
      <c r="AI418" s="1118">
        <f t="shared" si="623"/>
        <v>2731</v>
      </c>
      <c r="AJ418" s="1118">
        <f t="shared" si="623"/>
        <v>2756</v>
      </c>
      <c r="AK418" s="1118">
        <f t="shared" si="623"/>
        <v>2771</v>
      </c>
      <c r="AL418" s="1448">
        <f t="shared" si="623"/>
        <v>2771</v>
      </c>
      <c r="AM418" s="1118">
        <f t="shared" si="623"/>
        <v>2790</v>
      </c>
      <c r="AN418" s="1118">
        <f t="shared" si="623"/>
        <v>2820</v>
      </c>
      <c r="AO418" s="1118">
        <f t="shared" ref="AO418:BT418" si="624">SUM(AO387:AO405)</f>
        <v>2862</v>
      </c>
      <c r="AP418" s="1118">
        <f t="shared" si="624"/>
        <v>2918</v>
      </c>
      <c r="AQ418" s="1448">
        <f t="shared" si="624"/>
        <v>2918</v>
      </c>
      <c r="AR418" s="1118">
        <f t="shared" si="624"/>
        <v>2935</v>
      </c>
      <c r="AS418" s="1118">
        <f t="shared" si="624"/>
        <v>2981</v>
      </c>
      <c r="AT418" s="1118">
        <f t="shared" si="624"/>
        <v>3014</v>
      </c>
      <c r="AU418" s="1118">
        <f t="shared" si="624"/>
        <v>3084</v>
      </c>
      <c r="AV418" s="1448">
        <f t="shared" si="624"/>
        <v>3084</v>
      </c>
      <c r="AW418" s="1118">
        <f t="shared" si="624"/>
        <v>3131</v>
      </c>
      <c r="AX418" s="1118">
        <f t="shared" si="624"/>
        <v>3189</v>
      </c>
      <c r="AY418" s="1118">
        <f t="shared" si="624"/>
        <v>3263</v>
      </c>
      <c r="AZ418" s="1118">
        <f t="shared" si="624"/>
        <v>3321</v>
      </c>
      <c r="BA418" s="1448">
        <f t="shared" si="624"/>
        <v>3321</v>
      </c>
      <c r="BB418" s="1118">
        <f t="shared" si="624"/>
        <v>3357</v>
      </c>
      <c r="BC418" s="1118">
        <f t="shared" si="624"/>
        <v>3390</v>
      </c>
      <c r="BD418" s="1118">
        <f t="shared" si="624"/>
        <v>3418</v>
      </c>
      <c r="BE418" s="1118">
        <f t="shared" si="624"/>
        <v>3442</v>
      </c>
      <c r="BF418" s="1448">
        <f t="shared" si="624"/>
        <v>3442</v>
      </c>
      <c r="BG418" s="1118">
        <f t="shared" si="624"/>
        <v>3463</v>
      </c>
      <c r="BH418" s="1118">
        <f t="shared" si="624"/>
        <v>3484</v>
      </c>
      <c r="BI418" s="1118">
        <f t="shared" si="624"/>
        <v>3509</v>
      </c>
      <c r="BJ418" s="1118">
        <f t="shared" si="624"/>
        <v>3534</v>
      </c>
      <c r="BK418" s="1448">
        <f t="shared" si="624"/>
        <v>3534</v>
      </c>
      <c r="BL418" s="1648">
        <f t="shared" si="624"/>
        <v>3551</v>
      </c>
      <c r="BM418" s="938">
        <f t="shared" si="624"/>
        <v>3562</v>
      </c>
      <c r="BN418" s="938">
        <f t="shared" si="624"/>
        <v>3584</v>
      </c>
      <c r="BO418" s="1117">
        <f t="shared" si="624"/>
        <v>3614</v>
      </c>
      <c r="BP418" s="1442">
        <f t="shared" si="624"/>
        <v>3614</v>
      </c>
      <c r="BQ418" s="938">
        <f t="shared" si="624"/>
        <v>3698</v>
      </c>
      <c r="BR418" s="938">
        <f t="shared" si="624"/>
        <v>3727</v>
      </c>
      <c r="BS418" s="938">
        <f t="shared" si="624"/>
        <v>3763</v>
      </c>
      <c r="BT418" s="938">
        <f t="shared" si="624"/>
        <v>3792</v>
      </c>
      <c r="BU418" s="1442">
        <f t="shared" ref="BU418:BZ418" si="625">SUM(BU387:BU405)</f>
        <v>3792</v>
      </c>
      <c r="BV418" s="938">
        <f t="shared" si="625"/>
        <v>3811</v>
      </c>
      <c r="BW418" s="938">
        <f t="shared" si="625"/>
        <v>3965</v>
      </c>
      <c r="BX418" s="938">
        <f t="shared" si="625"/>
        <v>4003</v>
      </c>
      <c r="BY418" s="938">
        <f t="shared" si="625"/>
        <v>4047</v>
      </c>
      <c r="BZ418" s="1442">
        <f t="shared" si="625"/>
        <v>4047</v>
      </c>
      <c r="CA418" s="938">
        <f>SUM(CA387:CA417)</f>
        <v>4140</v>
      </c>
      <c r="CB418" s="938">
        <f t="shared" ref="CB418:CG418" si="626">SUM(CB387:CB417)</f>
        <v>4226</v>
      </c>
      <c r="CC418" s="938">
        <f t="shared" si="626"/>
        <v>4273</v>
      </c>
      <c r="CD418" s="938">
        <f t="shared" si="626"/>
        <v>4333</v>
      </c>
      <c r="CE418" s="1442">
        <f t="shared" si="626"/>
        <v>4333</v>
      </c>
      <c r="CF418" s="938">
        <f t="shared" si="626"/>
        <v>4384</v>
      </c>
      <c r="CG418" s="938">
        <f t="shared" si="626"/>
        <v>4454</v>
      </c>
      <c r="CH418" s="938">
        <f>SUM(CH386:CH405)</f>
        <v>4503</v>
      </c>
      <c r="CI418" s="938">
        <f>SUM(CI386:CI417)</f>
        <v>6080</v>
      </c>
      <c r="CJ418" s="1442">
        <f t="shared" ref="CJ418:CL418" si="627">SUM(CJ386:CJ417)</f>
        <v>6080</v>
      </c>
      <c r="CK418" s="3512">
        <f t="shared" si="627"/>
        <v>6161</v>
      </c>
      <c r="CL418" s="3505">
        <f t="shared" si="627"/>
        <v>6254</v>
      </c>
      <c r="CM418" s="3505">
        <f>SUM(CM386:CM417)</f>
        <v>6401</v>
      </c>
      <c r="CN418" s="3505">
        <f>SUM(CN386:CN417)</f>
        <v>6520</v>
      </c>
      <c r="CO418" s="3816">
        <f>SUM(CO386:CO417)</f>
        <v>6520</v>
      </c>
      <c r="CP418" s="3512"/>
      <c r="CQ418" s="3505"/>
      <c r="CR418" s="938"/>
      <c r="CS418" s="938"/>
      <c r="CT418" s="1442">
        <f>SUM(CT387:CT405)</f>
        <v>0</v>
      </c>
      <c r="CU418" s="1442">
        <f>SUM(CU387:CU405)</f>
        <v>0</v>
      </c>
      <c r="CV418" s="1442">
        <f>SUM(CV387:CV405)</f>
        <v>0</v>
      </c>
      <c r="DB418" s="217"/>
    </row>
    <row r="419" spans="1:256" x14ac:dyDescent="0.2">
      <c r="A419" s="1654" t="s">
        <v>932</v>
      </c>
      <c r="B419" s="374"/>
      <c r="C419" s="78"/>
      <c r="D419" s="374"/>
      <c r="E419" s="374"/>
      <c r="F419" s="374"/>
      <c r="G419" s="374"/>
      <c r="H419" s="78"/>
      <c r="I419" s="1582"/>
      <c r="J419" s="1582">
        <f>+J418-I418</f>
        <v>64</v>
      </c>
      <c r="K419" s="1582">
        <f>+K418-J418</f>
        <v>111</v>
      </c>
      <c r="L419" s="1582">
        <f>+L418-K418</f>
        <v>55</v>
      </c>
      <c r="M419" s="78"/>
      <c r="N419" s="1582">
        <f>+N418-M418</f>
        <v>34</v>
      </c>
      <c r="O419" s="1582">
        <f>+O418-N418</f>
        <v>36</v>
      </c>
      <c r="P419" s="1582">
        <f>+P418-O418</f>
        <v>38</v>
      </c>
      <c r="Q419" s="1582">
        <f>+Q418-P418</f>
        <v>52</v>
      </c>
      <c r="R419" s="1649"/>
      <c r="S419" s="1582">
        <f>+S418-R418</f>
        <v>33</v>
      </c>
      <c r="T419" s="1582">
        <f>+T418-S418</f>
        <v>47</v>
      </c>
      <c r="U419" s="1582">
        <f>+U418-T418</f>
        <v>42</v>
      </c>
      <c r="V419" s="1582">
        <f>+V418-U418</f>
        <v>43</v>
      </c>
      <c r="W419" s="1649"/>
      <c r="X419" s="1582">
        <f>+X418-W418</f>
        <v>36</v>
      </c>
      <c r="Y419" s="1582">
        <f>+Y418-X418</f>
        <v>36</v>
      </c>
      <c r="Z419" s="1582">
        <f>+Z418-Y418</f>
        <v>15</v>
      </c>
      <c r="AA419" s="1582">
        <f>+AA418-Z418</f>
        <v>-173</v>
      </c>
      <c r="AB419" s="1649"/>
      <c r="AC419" s="1582">
        <f>+AC418-AB418</f>
        <v>14</v>
      </c>
      <c r="AD419" s="1582">
        <f>+AD418-AC418</f>
        <v>28</v>
      </c>
      <c r="AE419" s="1582">
        <f>+AE418-AD418</f>
        <v>31</v>
      </c>
      <c r="AF419" s="1582">
        <f>+AF418-AE418</f>
        <v>34</v>
      </c>
      <c r="AG419" s="1649"/>
      <c r="AH419" s="1582">
        <f>+AH418-AG418</f>
        <v>27</v>
      </c>
      <c r="AI419" s="1582">
        <f>+AI418-AH418</f>
        <v>18</v>
      </c>
      <c r="AJ419" s="1582">
        <f>+AJ418-AI418</f>
        <v>25</v>
      </c>
      <c r="AK419" s="1582">
        <f>+AK418-AJ418</f>
        <v>15</v>
      </c>
      <c r="AL419" s="1649"/>
      <c r="AM419" s="1582">
        <f>+AM418-AL418</f>
        <v>19</v>
      </c>
      <c r="AN419" s="1582">
        <f>+AN418-AM418</f>
        <v>30</v>
      </c>
      <c r="AO419" s="1582">
        <f>+AO418-AN418</f>
        <v>42</v>
      </c>
      <c r="AP419" s="1582">
        <f>+AP418-AO418</f>
        <v>56</v>
      </c>
      <c r="AQ419" s="1649"/>
      <c r="AR419" s="1582">
        <f>+AR418-AQ418</f>
        <v>17</v>
      </c>
      <c r="AS419" s="1582">
        <f>+AS418-AR418</f>
        <v>46</v>
      </c>
      <c r="AT419" s="1582">
        <f>+AT418-AS418</f>
        <v>33</v>
      </c>
      <c r="AU419" s="1582">
        <f>+AU418-AT418</f>
        <v>70</v>
      </c>
      <c r="AV419" s="1649"/>
      <c r="AW419" s="1582">
        <f>+AW418-AV418</f>
        <v>47</v>
      </c>
      <c r="AX419" s="1582">
        <f>+AX418-AW418</f>
        <v>58</v>
      </c>
      <c r="AY419" s="1582">
        <f>+AY418-AX418</f>
        <v>74</v>
      </c>
      <c r="AZ419" s="1582">
        <f>+AZ418-AY418</f>
        <v>58</v>
      </c>
      <c r="BA419" s="1649"/>
      <c r="BB419" s="1582">
        <f>+BB418-BA418</f>
        <v>36</v>
      </c>
      <c r="BC419" s="1582">
        <f>+BC418-BB418</f>
        <v>33</v>
      </c>
      <c r="BD419" s="1582">
        <f>+BD418-BC418</f>
        <v>28</v>
      </c>
      <c r="BE419" s="1582">
        <f>+BE418-BD418</f>
        <v>24</v>
      </c>
      <c r="BF419" s="1649"/>
      <c r="BG419" s="1582">
        <f>+BG418-BF418</f>
        <v>21</v>
      </c>
      <c r="BH419" s="1582">
        <f>+BH418-BG418</f>
        <v>21</v>
      </c>
      <c r="BI419" s="1582">
        <f>+BI418-BH418</f>
        <v>25</v>
      </c>
      <c r="BJ419" s="1582">
        <f>+BJ418-BI418</f>
        <v>25</v>
      </c>
      <c r="BK419" s="1649"/>
      <c r="BL419" s="1582">
        <f>+BL418-BK418</f>
        <v>17</v>
      </c>
      <c r="BM419" s="1582">
        <f>+BM418-BL418</f>
        <v>11</v>
      </c>
      <c r="BN419" s="1582">
        <f>+BN418-BM418</f>
        <v>22</v>
      </c>
      <c r="BO419" s="1582">
        <f>+BO418-BN418</f>
        <v>30</v>
      </c>
      <c r="BP419" s="1649"/>
      <c r="BQ419" s="1582">
        <f>+BQ418-BP418</f>
        <v>84</v>
      </c>
      <c r="BR419" s="1582">
        <f>+BR418-BQ418</f>
        <v>29</v>
      </c>
      <c r="BS419" s="1582">
        <f>+BS418-BR418</f>
        <v>36</v>
      </c>
      <c r="BT419" s="1582">
        <f>+BT418-BS418</f>
        <v>29</v>
      </c>
      <c r="BU419" s="1649"/>
      <c r="BV419" s="1582">
        <f>+BV418-BU418</f>
        <v>19</v>
      </c>
      <c r="BW419" s="1582">
        <f>+BW418-BV418</f>
        <v>154</v>
      </c>
      <c r="BX419" s="1582">
        <f>+BX418-BW418</f>
        <v>38</v>
      </c>
      <c r="BY419" s="1582">
        <f>+BY418-BX418</f>
        <v>44</v>
      </c>
      <c r="BZ419" s="1649"/>
      <c r="CA419" s="1582">
        <f>+CA418-BZ418</f>
        <v>93</v>
      </c>
      <c r="CB419" s="1582">
        <f>+CB418-CA418</f>
        <v>86</v>
      </c>
      <c r="CC419" s="1582">
        <f>+CC418-CB418</f>
        <v>47</v>
      </c>
      <c r="CD419" s="1582">
        <f>+CD418-CC418</f>
        <v>60</v>
      </c>
      <c r="CE419" s="1649"/>
      <c r="CF419" s="1582">
        <f>+CF418-CE418</f>
        <v>51</v>
      </c>
      <c r="CG419" s="1582">
        <f>+CG418-CF418</f>
        <v>70</v>
      </c>
      <c r="CH419" s="1582">
        <f>+CH418-CG418</f>
        <v>49</v>
      </c>
      <c r="CI419" s="1582">
        <f>+CI418-CH418</f>
        <v>1577</v>
      </c>
      <c r="CJ419" s="1649"/>
      <c r="CK419" s="3513">
        <f>+CK418-CJ418</f>
        <v>81</v>
      </c>
      <c r="CL419" s="3506">
        <f>+CL418-CK418</f>
        <v>93</v>
      </c>
      <c r="CM419" s="3506">
        <f>+CM418-CL418</f>
        <v>147</v>
      </c>
      <c r="CN419" s="3506">
        <f>+CN418-CM418</f>
        <v>119</v>
      </c>
      <c r="CO419" s="1649">
        <f>+CO418-CN418</f>
        <v>0</v>
      </c>
      <c r="CP419" s="3513"/>
      <c r="CQ419" s="3506"/>
      <c r="CR419" s="1582"/>
      <c r="CS419" s="1582"/>
      <c r="CT419" s="1649"/>
      <c r="CU419" s="1649"/>
      <c r="CV419" s="1649"/>
      <c r="CW419" s="374"/>
      <c r="CX419" s="374"/>
      <c r="CY419" s="374"/>
      <c r="CZ419" s="374"/>
      <c r="DA419" s="374"/>
      <c r="DB419" s="374"/>
      <c r="DC419" s="374"/>
      <c r="DD419" s="374"/>
      <c r="DE419" s="374"/>
      <c r="DF419" s="374"/>
      <c r="DG419" s="374"/>
      <c r="DH419" s="374"/>
      <c r="DI419" s="374"/>
      <c r="DJ419" s="374"/>
      <c r="DK419" s="374"/>
      <c r="DL419" s="374"/>
      <c r="DM419" s="374"/>
      <c r="DN419" s="374"/>
      <c r="DO419" s="374"/>
      <c r="DP419" s="374"/>
      <c r="DQ419" s="374"/>
      <c r="DR419" s="374"/>
      <c r="DS419" s="374"/>
      <c r="DT419" s="374"/>
      <c r="DU419" s="374"/>
      <c r="DV419" s="374"/>
      <c r="DW419" s="374"/>
      <c r="DX419" s="374"/>
      <c r="DY419" s="374"/>
      <c r="DZ419" s="374"/>
      <c r="EA419" s="374"/>
      <c r="EB419" s="374"/>
      <c r="EC419" s="374"/>
      <c r="ED419" s="374"/>
      <c r="EE419" s="374"/>
      <c r="EF419" s="374"/>
      <c r="EG419" s="374"/>
      <c r="EH419" s="374"/>
      <c r="EI419" s="374"/>
      <c r="EJ419" s="374"/>
      <c r="EK419" s="374"/>
      <c r="EL419" s="374"/>
      <c r="EM419" s="374"/>
      <c r="EN419" s="374"/>
      <c r="EO419" s="374"/>
      <c r="EP419" s="374"/>
      <c r="EQ419" s="374"/>
      <c r="ER419" s="374"/>
      <c r="ES419" s="374"/>
      <c r="ET419" s="374"/>
      <c r="EU419" s="374"/>
      <c r="EV419" s="374"/>
      <c r="EW419" s="374"/>
      <c r="EX419" s="374"/>
      <c r="EY419" s="374"/>
      <c r="EZ419" s="374"/>
      <c r="FA419" s="374"/>
      <c r="FB419" s="374"/>
      <c r="FC419" s="374"/>
      <c r="FD419" s="374"/>
      <c r="FE419" s="374"/>
      <c r="FF419" s="374"/>
      <c r="FG419" s="374"/>
      <c r="FH419" s="374"/>
      <c r="FI419" s="374"/>
      <c r="FJ419" s="374"/>
      <c r="FK419" s="374"/>
      <c r="FL419" s="374"/>
      <c r="FM419" s="374"/>
      <c r="FN419" s="374"/>
      <c r="FO419" s="374"/>
      <c r="FP419" s="374"/>
      <c r="FQ419" s="374"/>
      <c r="FR419" s="374"/>
      <c r="FS419" s="374"/>
      <c r="FT419" s="374"/>
      <c r="FU419" s="374"/>
      <c r="FV419" s="374"/>
      <c r="FW419" s="374"/>
      <c r="FX419" s="374"/>
      <c r="FY419" s="374"/>
      <c r="FZ419" s="374"/>
      <c r="GA419" s="374"/>
      <c r="GB419" s="374"/>
      <c r="GC419" s="374"/>
      <c r="GD419" s="374"/>
      <c r="GE419" s="374"/>
      <c r="GF419" s="374"/>
      <c r="GG419" s="374"/>
      <c r="GH419" s="374"/>
      <c r="GI419" s="374"/>
      <c r="GJ419" s="374"/>
      <c r="GK419" s="374"/>
      <c r="GL419" s="374"/>
      <c r="GM419" s="374"/>
      <c r="GN419" s="374"/>
      <c r="GO419" s="374"/>
      <c r="GP419" s="374"/>
      <c r="GQ419" s="374"/>
      <c r="GR419" s="374"/>
      <c r="GS419" s="374"/>
      <c r="GT419" s="374"/>
      <c r="GU419" s="374"/>
      <c r="GV419" s="374"/>
      <c r="GW419" s="374"/>
      <c r="GX419" s="374"/>
      <c r="GY419" s="374"/>
      <c r="GZ419" s="374"/>
      <c r="HA419" s="374"/>
      <c r="HB419" s="374"/>
      <c r="HC419" s="374"/>
      <c r="HD419" s="374"/>
      <c r="HE419" s="374"/>
      <c r="HF419" s="374"/>
      <c r="HG419" s="374"/>
      <c r="HH419" s="374"/>
      <c r="HI419" s="374"/>
      <c r="HJ419" s="374"/>
      <c r="HK419" s="374"/>
      <c r="HL419" s="374"/>
      <c r="HM419" s="374"/>
      <c r="HN419" s="374"/>
      <c r="HO419" s="374"/>
      <c r="HP419" s="374"/>
      <c r="HQ419" s="374"/>
      <c r="HR419" s="374"/>
      <c r="HS419" s="374"/>
      <c r="HT419" s="374"/>
      <c r="HU419" s="374"/>
      <c r="HV419" s="374"/>
      <c r="HW419" s="374"/>
      <c r="HX419" s="374"/>
      <c r="HY419" s="374"/>
      <c r="HZ419" s="374"/>
      <c r="IA419" s="374"/>
      <c r="IB419" s="374"/>
      <c r="IC419" s="374"/>
      <c r="ID419" s="374"/>
      <c r="IE419" s="374"/>
      <c r="IF419" s="374"/>
      <c r="IG419" s="374"/>
      <c r="IH419" s="374"/>
      <c r="II419" s="374"/>
      <c r="IJ419" s="374"/>
      <c r="IK419" s="374"/>
      <c r="IL419" s="374"/>
      <c r="IM419" s="374"/>
      <c r="IN419" s="374"/>
      <c r="IO419" s="374"/>
      <c r="IP419" s="374"/>
      <c r="IQ419" s="374"/>
      <c r="IR419" s="374"/>
      <c r="IS419" s="374"/>
      <c r="IT419" s="374"/>
      <c r="IU419" s="374"/>
      <c r="IV419" s="374"/>
    </row>
    <row r="420" spans="1:256" x14ac:dyDescent="0.2">
      <c r="A420" s="1651" t="s">
        <v>931</v>
      </c>
      <c r="B420" s="9"/>
      <c r="C420" s="9"/>
      <c r="D420" s="9"/>
      <c r="E420" s="9"/>
      <c r="F420" s="9"/>
      <c r="G420" s="9"/>
      <c r="H420" s="9"/>
      <c r="I420" s="9"/>
      <c r="J420" s="9"/>
      <c r="K420" s="9"/>
      <c r="L420" s="9"/>
      <c r="M420" s="9"/>
      <c r="N420" s="1652">
        <f t="shared" ref="N420:AS420" si="628">N418-I418</f>
        <v>264</v>
      </c>
      <c r="O420" s="1652">
        <f t="shared" si="628"/>
        <v>236</v>
      </c>
      <c r="P420" s="1652">
        <f t="shared" si="628"/>
        <v>163</v>
      </c>
      <c r="Q420" s="1652">
        <f t="shared" si="628"/>
        <v>160</v>
      </c>
      <c r="R420" s="2169">
        <f t="shared" si="628"/>
        <v>160</v>
      </c>
      <c r="S420" s="1652">
        <f t="shared" si="628"/>
        <v>159</v>
      </c>
      <c r="T420" s="1652">
        <f t="shared" si="628"/>
        <v>170</v>
      </c>
      <c r="U420" s="1652">
        <f t="shared" si="628"/>
        <v>174</v>
      </c>
      <c r="V420" s="1652">
        <f t="shared" si="628"/>
        <v>165</v>
      </c>
      <c r="W420" s="2169">
        <f t="shared" si="628"/>
        <v>165</v>
      </c>
      <c r="X420" s="1652">
        <f t="shared" si="628"/>
        <v>168</v>
      </c>
      <c r="Y420" s="1652">
        <f t="shared" si="628"/>
        <v>157</v>
      </c>
      <c r="Z420" s="1652">
        <f t="shared" si="628"/>
        <v>130</v>
      </c>
      <c r="AA420" s="1652">
        <f t="shared" si="628"/>
        <v>-86</v>
      </c>
      <c r="AB420" s="2169">
        <f t="shared" si="628"/>
        <v>-86</v>
      </c>
      <c r="AC420" s="1652">
        <f t="shared" si="628"/>
        <v>-108</v>
      </c>
      <c r="AD420" s="1652">
        <f t="shared" si="628"/>
        <v>-116</v>
      </c>
      <c r="AE420" s="1652">
        <f t="shared" si="628"/>
        <v>-100</v>
      </c>
      <c r="AF420" s="1652">
        <f t="shared" si="628"/>
        <v>107</v>
      </c>
      <c r="AG420" s="2169">
        <f t="shared" si="628"/>
        <v>106</v>
      </c>
      <c r="AH420" s="1652">
        <f t="shared" si="628"/>
        <v>119</v>
      </c>
      <c r="AI420" s="1652">
        <f t="shared" si="628"/>
        <v>109</v>
      </c>
      <c r="AJ420" s="1652">
        <f t="shared" si="628"/>
        <v>103</v>
      </c>
      <c r="AK420" s="1652">
        <f t="shared" si="628"/>
        <v>84</v>
      </c>
      <c r="AL420" s="2169">
        <f t="shared" si="628"/>
        <v>85</v>
      </c>
      <c r="AM420" s="1652">
        <f t="shared" si="628"/>
        <v>77</v>
      </c>
      <c r="AN420" s="1652">
        <f t="shared" si="628"/>
        <v>89</v>
      </c>
      <c r="AO420" s="1652">
        <f t="shared" si="628"/>
        <v>106</v>
      </c>
      <c r="AP420" s="1652">
        <f t="shared" si="628"/>
        <v>147</v>
      </c>
      <c r="AQ420" s="2169">
        <f t="shared" si="628"/>
        <v>147</v>
      </c>
      <c r="AR420" s="1652">
        <f t="shared" si="628"/>
        <v>145</v>
      </c>
      <c r="AS420" s="1652">
        <f t="shared" si="628"/>
        <v>161</v>
      </c>
      <c r="AT420" s="1652">
        <f t="shared" ref="AT420:BK420" si="629">AT418-AO418</f>
        <v>152</v>
      </c>
      <c r="AU420" s="1652">
        <f t="shared" si="629"/>
        <v>166</v>
      </c>
      <c r="AV420" s="2169">
        <f t="shared" si="629"/>
        <v>166</v>
      </c>
      <c r="AW420" s="1652">
        <f t="shared" si="629"/>
        <v>196</v>
      </c>
      <c r="AX420" s="1652">
        <f t="shared" si="629"/>
        <v>208</v>
      </c>
      <c r="AY420" s="1652">
        <f t="shared" si="629"/>
        <v>249</v>
      </c>
      <c r="AZ420" s="1652">
        <f t="shared" si="629"/>
        <v>237</v>
      </c>
      <c r="BA420" s="2169">
        <f t="shared" si="629"/>
        <v>237</v>
      </c>
      <c r="BB420" s="1652">
        <f t="shared" si="629"/>
        <v>226</v>
      </c>
      <c r="BC420" s="1652">
        <f t="shared" si="629"/>
        <v>201</v>
      </c>
      <c r="BD420" s="1652">
        <f t="shared" si="629"/>
        <v>155</v>
      </c>
      <c r="BE420" s="1652">
        <f t="shared" si="629"/>
        <v>121</v>
      </c>
      <c r="BF420" s="2169">
        <f t="shared" si="629"/>
        <v>121</v>
      </c>
      <c r="BG420" s="1652">
        <f t="shared" si="629"/>
        <v>106</v>
      </c>
      <c r="BH420" s="1652">
        <f t="shared" si="629"/>
        <v>94</v>
      </c>
      <c r="BI420" s="1652">
        <f t="shared" si="629"/>
        <v>91</v>
      </c>
      <c r="BJ420" s="1652">
        <f t="shared" si="629"/>
        <v>92</v>
      </c>
      <c r="BK420" s="2169">
        <f t="shared" si="629"/>
        <v>92</v>
      </c>
      <c r="BL420" s="1652">
        <f t="shared" ref="BL420:CO420" si="630">BL418-BG418</f>
        <v>88</v>
      </c>
      <c r="BM420" s="1652">
        <f t="shared" si="630"/>
        <v>78</v>
      </c>
      <c r="BN420" s="1652">
        <f t="shared" si="630"/>
        <v>75</v>
      </c>
      <c r="BO420" s="1652">
        <f t="shared" si="630"/>
        <v>80</v>
      </c>
      <c r="BP420" s="2169">
        <f t="shared" si="630"/>
        <v>80</v>
      </c>
      <c r="BQ420" s="1652">
        <f t="shared" si="630"/>
        <v>147</v>
      </c>
      <c r="BR420" s="1652">
        <f t="shared" si="630"/>
        <v>165</v>
      </c>
      <c r="BS420" s="1652">
        <f t="shared" si="630"/>
        <v>179</v>
      </c>
      <c r="BT420" s="1652">
        <f t="shared" si="630"/>
        <v>178</v>
      </c>
      <c r="BU420" s="2169">
        <f t="shared" si="630"/>
        <v>178</v>
      </c>
      <c r="BV420" s="1652">
        <f t="shared" si="630"/>
        <v>113</v>
      </c>
      <c r="BW420" s="1652">
        <f t="shared" si="630"/>
        <v>238</v>
      </c>
      <c r="BX420" s="1652">
        <f t="shared" si="630"/>
        <v>240</v>
      </c>
      <c r="BY420" s="1652">
        <f t="shared" si="630"/>
        <v>255</v>
      </c>
      <c r="BZ420" s="2169">
        <f t="shared" si="630"/>
        <v>255</v>
      </c>
      <c r="CA420" s="1652">
        <f t="shared" si="630"/>
        <v>329</v>
      </c>
      <c r="CB420" s="1652">
        <f t="shared" si="630"/>
        <v>261</v>
      </c>
      <c r="CC420" s="1652">
        <f t="shared" si="630"/>
        <v>270</v>
      </c>
      <c r="CD420" s="1652">
        <f t="shared" si="630"/>
        <v>286</v>
      </c>
      <c r="CE420" s="2169">
        <f t="shared" si="630"/>
        <v>286</v>
      </c>
      <c r="CF420" s="1652">
        <f t="shared" si="630"/>
        <v>244</v>
      </c>
      <c r="CG420" s="1652">
        <f t="shared" si="630"/>
        <v>228</v>
      </c>
      <c r="CH420" s="1652">
        <f t="shared" si="630"/>
        <v>230</v>
      </c>
      <c r="CI420" s="1652">
        <f t="shared" si="630"/>
        <v>1747</v>
      </c>
      <c r="CJ420" s="2169">
        <f t="shared" si="630"/>
        <v>1747</v>
      </c>
      <c r="CK420" s="3514">
        <f t="shared" si="630"/>
        <v>1777</v>
      </c>
      <c r="CL420" s="3507">
        <f t="shared" si="630"/>
        <v>1800</v>
      </c>
      <c r="CM420" s="3507">
        <f t="shared" si="630"/>
        <v>1898</v>
      </c>
      <c r="CN420" s="3507">
        <f t="shared" si="630"/>
        <v>440</v>
      </c>
      <c r="CO420" s="2169">
        <f t="shared" si="630"/>
        <v>440</v>
      </c>
      <c r="CP420" s="3514"/>
      <c r="CQ420" s="3507"/>
      <c r="CR420" s="1202"/>
      <c r="CS420" s="1202"/>
      <c r="CT420" s="2170"/>
      <c r="CU420" s="2170"/>
      <c r="CV420" s="2170"/>
    </row>
    <row r="421" spans="1:256" s="374" customFormat="1" ht="11.25" x14ac:dyDescent="0.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s="836"/>
      <c r="BS421" s="836"/>
      <c r="BT421"/>
      <c r="BU421"/>
      <c r="BV421"/>
      <c r="BW421"/>
      <c r="BX421"/>
      <c r="BY421"/>
      <c r="BZ421"/>
      <c r="CA421"/>
      <c r="CB421"/>
      <c r="CC421"/>
      <c r="CD421"/>
      <c r="CE421"/>
      <c r="CF421"/>
      <c r="CG421"/>
      <c r="CH421"/>
      <c r="CI421"/>
      <c r="CJ421"/>
      <c r="CK421" s="8"/>
      <c r="CL421"/>
      <c r="CM421"/>
      <c r="CN421"/>
      <c r="CO421"/>
      <c r="CP421" s="8"/>
      <c r="CQ421"/>
      <c r="CR421"/>
      <c r="CS421"/>
      <c r="CT421"/>
      <c r="CU421"/>
      <c r="CV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row>
    <row r="422" spans="1:256" x14ac:dyDescent="0.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s="657"/>
      <c r="CD422"/>
      <c r="CE422"/>
      <c r="CF422"/>
      <c r="CG422"/>
      <c r="CH422"/>
      <c r="CI422"/>
      <c r="CJ422"/>
      <c r="CK422" s="8"/>
      <c r="CL422"/>
      <c r="CM422"/>
      <c r="CN422"/>
      <c r="CO422"/>
      <c r="CP422" s="8"/>
      <c r="CQ422"/>
      <c r="CR422"/>
      <c r="CS422"/>
      <c r="CT422"/>
      <c r="CU422"/>
      <c r="CV422"/>
      <c r="CW422" s="374"/>
      <c r="CX422" s="374"/>
      <c r="CY422" s="374"/>
      <c r="CZ422" s="374"/>
      <c r="DA422" s="374"/>
      <c r="DB422" s="374"/>
      <c r="DC422" s="374"/>
      <c r="DD422" s="374"/>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row>
    <row r="423" spans="1:256" customFormat="1" x14ac:dyDescent="0.2">
      <c r="A423" s="1265" t="s">
        <v>441</v>
      </c>
      <c r="B423" s="1425"/>
      <c r="C423" s="1217"/>
      <c r="D423" s="1053" t="str">
        <f>RevPAR!B$5</f>
        <v>1Q00</v>
      </c>
      <c r="E423" s="1053" t="str">
        <f>RevPAR!C$5</f>
        <v>2Q00</v>
      </c>
      <c r="F423" s="1053" t="str">
        <f>RevPAR!D$5</f>
        <v>3Q00</v>
      </c>
      <c r="G423" s="1053" t="str">
        <f>RevPAR!E$5</f>
        <v>4Q00</v>
      </c>
      <c r="H423" s="1054">
        <f>RevPAR!F$5</f>
        <v>2000</v>
      </c>
      <c r="I423" s="1053" t="str">
        <f>RevPAR!G$5</f>
        <v>1Q01</v>
      </c>
      <c r="J423" s="1053" t="str">
        <f>RevPAR!H$5</f>
        <v>2Q01</v>
      </c>
      <c r="K423" s="1053" t="str">
        <f>RevPAR!I$5</f>
        <v>3Q01</v>
      </c>
      <c r="L423" s="1053" t="str">
        <f>RevPAR!J$5</f>
        <v>4Q01</v>
      </c>
      <c r="M423" s="1054">
        <f>RevPAR!K$5</f>
        <v>2001</v>
      </c>
      <c r="N423" s="1053" t="str">
        <f>RevPAR!L$5</f>
        <v>1Q02</v>
      </c>
      <c r="O423" s="1053" t="str">
        <f>RevPAR!M$5</f>
        <v>2Q02</v>
      </c>
      <c r="P423" s="1053" t="str">
        <f>RevPAR!N$5</f>
        <v>3Q02</v>
      </c>
      <c r="Q423" s="1053" t="str">
        <f>RevPAR!O$5</f>
        <v>4Q02</v>
      </c>
      <c r="R423" s="1054">
        <f>RevPAR!P$5</f>
        <v>2002</v>
      </c>
      <c r="S423" s="1053" t="str">
        <f>RevPAR!Q$5</f>
        <v>1Q03</v>
      </c>
      <c r="T423" s="1053" t="str">
        <f>RevPAR!R$5</f>
        <v>2Q03</v>
      </c>
      <c r="U423" s="1053" t="str">
        <f>RevPAR!S$5</f>
        <v>3Q03</v>
      </c>
      <c r="V423" s="1053" t="str">
        <f>RevPAR!T$5</f>
        <v>4Q03</v>
      </c>
      <c r="W423" s="1054">
        <f>RevPAR!U$5</f>
        <v>2003</v>
      </c>
      <c r="X423" s="1053" t="str">
        <f>RevPAR!V$5</f>
        <v>1Q04</v>
      </c>
      <c r="Y423" s="1053" t="str">
        <f>RevPAR!W$5</f>
        <v>2Q04</v>
      </c>
      <c r="Z423" s="1053" t="str">
        <f>RevPAR!X$5</f>
        <v>3Q04</v>
      </c>
      <c r="AA423" s="1053" t="str">
        <f>RevPAR!Y$5</f>
        <v>4Q04</v>
      </c>
      <c r="AB423" s="1054" t="str">
        <f>RevPAR!Z$5</f>
        <v>2004</v>
      </c>
      <c r="AC423" s="1053" t="str">
        <f>RevPAR!AA$5</f>
        <v>1Q05</v>
      </c>
      <c r="AD423" s="1053" t="str">
        <f>RevPAR!AB$5</f>
        <v>2Q05</v>
      </c>
      <c r="AE423" s="1053" t="str">
        <f>RevPAR!AC$5</f>
        <v>3Q05</v>
      </c>
      <c r="AF423" s="1053" t="str">
        <f>RevPAR!AD$5</f>
        <v>4Q05</v>
      </c>
      <c r="AG423" s="1054">
        <f>RevPAR!AE$5</f>
        <v>2005</v>
      </c>
      <c r="AH423" s="1053" t="str">
        <f>RevPAR!AF$5</f>
        <v>1Q06</v>
      </c>
      <c r="AI423" s="1053" t="str">
        <f>RevPAR!AG$5</f>
        <v>2Q06</v>
      </c>
      <c r="AJ423" s="1053" t="str">
        <f>RevPAR!AH$5</f>
        <v>3Q06</v>
      </c>
      <c r="AK423" s="1053" t="str">
        <f>RevPAR!AI$5</f>
        <v>4Q06</v>
      </c>
      <c r="AL423" s="1054">
        <f>RevPAR!AJ$5</f>
        <v>2006</v>
      </c>
      <c r="AM423" s="1053" t="str">
        <f>RevPAR!AK$5</f>
        <v>1Q07</v>
      </c>
      <c r="AN423" s="1053" t="str">
        <f>RevPAR!AL$5</f>
        <v>2Q07</v>
      </c>
      <c r="AO423" s="1053" t="str">
        <f>RevPAR!AM$5</f>
        <v>3Q07</v>
      </c>
      <c r="AP423" s="1053" t="str">
        <f>RevPAR!AN$5</f>
        <v>4Q07</v>
      </c>
      <c r="AQ423" s="1054" t="str">
        <f>RevPAR!AO$5</f>
        <v>2007</v>
      </c>
      <c r="AR423" s="1053" t="str">
        <f>RevPAR!AP$5</f>
        <v>1Q08</v>
      </c>
      <c r="AS423" s="1053" t="str">
        <f>RevPAR!AQ$5</f>
        <v>2Q08</v>
      </c>
      <c r="AT423" s="1053" t="str">
        <f>RevPAR!AR$5</f>
        <v>3Q08</v>
      </c>
      <c r="AU423" s="1053" t="str">
        <f>RevPAR!AS$5</f>
        <v>4Q08</v>
      </c>
      <c r="AV423" s="1054" t="str">
        <f>RevPAR!AT$5</f>
        <v>2008</v>
      </c>
      <c r="AW423" s="1053" t="str">
        <f>RevPAR!AU$5</f>
        <v>1Q09</v>
      </c>
      <c r="AX423" s="1053" t="str">
        <f>RevPAR!AV$5</f>
        <v>2Q09</v>
      </c>
      <c r="AY423" s="1053" t="str">
        <f>RevPAR!AW$5</f>
        <v>3Q09</v>
      </c>
      <c r="AZ423" s="1053" t="str">
        <f>RevPAR!AX$5</f>
        <v>4Q09</v>
      </c>
      <c r="BA423" s="1054" t="str">
        <f>RevPAR!AY$5</f>
        <v>2009</v>
      </c>
      <c r="BB423" s="1053" t="str">
        <f>RevPAR!AZ$5</f>
        <v>1Q10</v>
      </c>
      <c r="BC423" s="1053" t="str">
        <f>RevPAR!BA$5</f>
        <v>2Q10</v>
      </c>
      <c r="BD423" s="1053" t="str">
        <f>RevPAR!BB$5</f>
        <v>3Q10</v>
      </c>
      <c r="BE423" s="1053" t="str">
        <f>RevPAR!BC$5</f>
        <v>4Q10</v>
      </c>
      <c r="BF423" s="1054" t="str">
        <f>RevPAR!BD$5</f>
        <v>2010</v>
      </c>
      <c r="BG423" s="1053" t="str">
        <f>RevPAR!BE$5</f>
        <v>1Q11</v>
      </c>
      <c r="BH423" s="1053" t="str">
        <f>RevPAR!BF$5</f>
        <v>2Q11</v>
      </c>
      <c r="BI423" s="1053" t="str">
        <f>RevPAR!BG$5</f>
        <v>3Q11</v>
      </c>
      <c r="BJ423" s="1053" t="str">
        <f>RevPAR!BH$5</f>
        <v>4Q11</v>
      </c>
      <c r="BK423" s="1054">
        <f>RevPAR!BI$5</f>
        <v>2011</v>
      </c>
      <c r="BL423" s="1053" t="str">
        <f>RevPAR!BJ$5</f>
        <v>1Q12</v>
      </c>
      <c r="BM423" s="1053" t="str">
        <f>RevPAR!BK$5</f>
        <v>2Q12</v>
      </c>
      <c r="BN423" s="1053" t="str">
        <f>RevPAR!BL$5</f>
        <v>3Q12</v>
      </c>
      <c r="BO423" s="1053" t="str">
        <f>RevPAR!BM$5</f>
        <v>4Q12</v>
      </c>
      <c r="BP423" s="1054">
        <f>RevPAR!BN$5</f>
        <v>2012</v>
      </c>
      <c r="BQ423" s="1053" t="str">
        <f>RevPAR!BO$5</f>
        <v>1Q13</v>
      </c>
      <c r="BR423" s="1053" t="str">
        <f>RevPAR!BP$5</f>
        <v>2Q13</v>
      </c>
      <c r="BS423" s="1053" t="str">
        <f>RevPAR!BQ$5</f>
        <v>3Q13</v>
      </c>
      <c r="BT423" s="1053" t="str">
        <f>RevPAR!BR$5</f>
        <v>4Q13</v>
      </c>
      <c r="BU423" s="1054">
        <f>RevPAR!BS$5</f>
        <v>2013</v>
      </c>
      <c r="BV423" s="1053" t="str">
        <f>RevPAR!BT$5</f>
        <v>1Q14</v>
      </c>
      <c r="BW423" s="1053" t="str">
        <f>RevPAR!BU$5</f>
        <v>2Q14</v>
      </c>
      <c r="BX423" s="1053" t="str">
        <f>RevPAR!BV$5</f>
        <v>3Q14</v>
      </c>
      <c r="BY423" s="1053" t="str">
        <f>RevPAR!BW$5</f>
        <v>4Q14</v>
      </c>
      <c r="BZ423" s="1054">
        <f>RevPAR!BX$5</f>
        <v>2014</v>
      </c>
      <c r="CA423" s="1053" t="str">
        <f>RevPAR!BY$5</f>
        <v>1Q15</v>
      </c>
      <c r="CB423" s="1053" t="str">
        <f>RevPAR!BZ$5</f>
        <v>2Q15</v>
      </c>
      <c r="CC423" s="1053" t="str">
        <f>RevPAR!CA$5</f>
        <v>3Q15</v>
      </c>
      <c r="CD423" s="1053" t="str">
        <f>RevPAR!CB$5</f>
        <v>4Q15</v>
      </c>
      <c r="CE423" s="1054">
        <f>RevPAR!CC$5</f>
        <v>2015</v>
      </c>
      <c r="CF423" s="1053" t="str">
        <f>RevPAR!CD$5</f>
        <v>1Q16</v>
      </c>
      <c r="CG423" s="1053" t="str">
        <f>RevPAR!CE$5</f>
        <v>2Q16</v>
      </c>
      <c r="CH423" s="1053" t="str">
        <f>RevPAR!CF$5</f>
        <v>3Q16</v>
      </c>
      <c r="CI423" s="1053" t="str">
        <f>RevPAR!CG$5</f>
        <v>4Q16</v>
      </c>
      <c r="CJ423" s="1054">
        <f>RevPAR!CH$5</f>
        <v>2016</v>
      </c>
      <c r="CK423" s="1053" t="s">
        <v>2974</v>
      </c>
      <c r="CL423" s="1053" t="str">
        <f>RevPAR!CJ$5</f>
        <v>2Q17</v>
      </c>
      <c r="CM423" s="1053" t="str">
        <f>RevPAR!CK$5</f>
        <v>3Q17</v>
      </c>
      <c r="CN423" s="1053" t="str">
        <f>RevPAR!CL$5</f>
        <v>4Q17A</v>
      </c>
      <c r="CO423" s="1054" t="str">
        <f>RevPAR!CM$5</f>
        <v>2017A</v>
      </c>
      <c r="CP423" s="1053" t="str">
        <f>RevPAR!CN$5</f>
        <v>1Q18E</v>
      </c>
      <c r="CQ423" s="1053" t="str">
        <f>RevPAR!CO$5</f>
        <v>2Q18E</v>
      </c>
      <c r="CR423" s="1053" t="str">
        <f>RevPAR!CP$5</f>
        <v>3Q18E</v>
      </c>
      <c r="CS423" s="1053" t="str">
        <f>RevPAR!CQ$5</f>
        <v>4Q18E</v>
      </c>
      <c r="CT423" s="1054" t="str">
        <f>RevPAR!CR$5</f>
        <v>2018E</v>
      </c>
      <c r="CU423" s="1054" t="str">
        <f>RevPAR!CS$5</f>
        <v>2019E</v>
      </c>
      <c r="CV423" s="1054" t="str">
        <f>RevPAR!CT$5</f>
        <v>2020E</v>
      </c>
      <c r="CW423" s="212"/>
      <c r="CX423" s="212"/>
      <c r="CY423" s="212"/>
      <c r="CZ423" s="212"/>
      <c r="DA423" s="212"/>
      <c r="DB423" s="212"/>
      <c r="DC423" s="212"/>
      <c r="DD423" s="212"/>
      <c r="DE423" s="70"/>
      <c r="DF423" s="70"/>
      <c r="DG423" s="70"/>
      <c r="DH423" s="70"/>
      <c r="DI423" s="70"/>
      <c r="DJ423" s="70"/>
      <c r="DK423" s="70"/>
      <c r="DL423" s="70"/>
      <c r="DM423" s="70"/>
      <c r="DN423" s="70"/>
      <c r="DO423" s="70"/>
      <c r="DP423" s="70"/>
      <c r="DQ423" s="70"/>
      <c r="DR423" s="70"/>
      <c r="DS423" s="70"/>
      <c r="DT423" s="70"/>
      <c r="DU423" s="70"/>
      <c r="DV423" s="70"/>
      <c r="DW423" s="70"/>
      <c r="DX423" s="70"/>
      <c r="DY423" s="70"/>
      <c r="DZ423" s="70"/>
      <c r="EA423" s="70"/>
      <c r="EB423" s="70"/>
      <c r="EC423" s="70"/>
      <c r="ED423" s="70"/>
      <c r="EE423" s="70"/>
      <c r="EF423" s="70"/>
      <c r="EG423" s="70"/>
      <c r="EH423" s="70"/>
      <c r="EI423" s="70"/>
      <c r="EJ423" s="70"/>
      <c r="EK423" s="70"/>
      <c r="EL423" s="70"/>
      <c r="EM423" s="70"/>
      <c r="EN423" s="70"/>
      <c r="EO423" s="70"/>
      <c r="EP423" s="70"/>
      <c r="EQ423" s="70"/>
      <c r="ER423" s="70"/>
      <c r="ES423" s="70"/>
      <c r="ET423" s="70"/>
      <c r="EU423" s="70"/>
      <c r="EV423" s="70"/>
      <c r="EW423" s="70"/>
      <c r="EX423" s="70"/>
      <c r="EY423" s="70"/>
      <c r="EZ423" s="70"/>
      <c r="FA423" s="70"/>
      <c r="FB423" s="70"/>
      <c r="FC423" s="70"/>
      <c r="FD423" s="70"/>
      <c r="FE423" s="70"/>
      <c r="FF423" s="70"/>
      <c r="FG423" s="70"/>
      <c r="FH423" s="70"/>
      <c r="FI423" s="70"/>
      <c r="FJ423" s="70"/>
      <c r="FK423" s="70"/>
      <c r="FL423" s="70"/>
      <c r="FM423" s="70"/>
      <c r="FN423" s="70"/>
      <c r="FO423" s="70"/>
      <c r="FP423" s="70"/>
      <c r="FQ423" s="70"/>
      <c r="FR423" s="70"/>
      <c r="FS423" s="70"/>
      <c r="FT423" s="70"/>
      <c r="FU423" s="70"/>
      <c r="FV423" s="70"/>
      <c r="FW423" s="70"/>
      <c r="FX423" s="70"/>
      <c r="FY423" s="70"/>
      <c r="FZ423" s="70"/>
      <c r="GA423" s="70"/>
      <c r="GB423" s="70"/>
      <c r="GC423" s="70"/>
      <c r="GD423" s="70"/>
      <c r="GE423" s="70"/>
      <c r="GF423" s="70"/>
      <c r="GG423" s="70"/>
      <c r="GH423" s="70"/>
      <c r="GI423" s="70"/>
      <c r="GJ423" s="70"/>
      <c r="GK423" s="70"/>
      <c r="GL423" s="70"/>
      <c r="GM423" s="70"/>
      <c r="GN423" s="70"/>
      <c r="GO423" s="70"/>
      <c r="GP423" s="70"/>
      <c r="GQ423" s="70"/>
      <c r="GR423" s="70"/>
      <c r="GS423" s="70"/>
      <c r="GT423" s="70"/>
      <c r="GU423" s="70"/>
      <c r="GV423" s="70"/>
      <c r="GW423" s="70"/>
      <c r="GX423" s="70"/>
      <c r="GY423" s="70"/>
      <c r="GZ423" s="70"/>
      <c r="HA423" s="70"/>
      <c r="HB423" s="70"/>
      <c r="HC423" s="70"/>
      <c r="HD423" s="70"/>
      <c r="HE423" s="70"/>
      <c r="HF423" s="70"/>
      <c r="HG423" s="70"/>
      <c r="HH423" s="70"/>
      <c r="HI423" s="70"/>
      <c r="HJ423" s="70"/>
      <c r="HK423" s="70"/>
      <c r="HL423" s="70"/>
      <c r="HM423" s="70"/>
      <c r="HN423" s="70"/>
      <c r="HO423" s="70"/>
      <c r="HP423" s="70"/>
      <c r="HQ423" s="70"/>
      <c r="HR423" s="70"/>
      <c r="HS423" s="70"/>
      <c r="HT423" s="70"/>
      <c r="HU423" s="70"/>
      <c r="HV423" s="70"/>
      <c r="HW423" s="70"/>
      <c r="HX423" s="70"/>
      <c r="HY423" s="70"/>
      <c r="HZ423" s="70"/>
      <c r="IA423" s="70"/>
      <c r="IB423" s="70"/>
      <c r="IC423" s="70"/>
      <c r="ID423" s="70"/>
      <c r="IE423" s="70"/>
      <c r="IF423" s="70"/>
      <c r="IG423" s="70"/>
      <c r="IH423" s="70"/>
      <c r="II423" s="70"/>
      <c r="IJ423" s="70"/>
      <c r="IK423" s="70"/>
      <c r="IL423" s="70"/>
      <c r="IM423" s="70"/>
      <c r="IN423" s="70"/>
      <c r="IO423" s="70"/>
      <c r="IP423" s="70"/>
      <c r="IQ423" s="70"/>
      <c r="IR423" s="70"/>
      <c r="IS423" s="70"/>
      <c r="IT423" s="70"/>
      <c r="IU423" s="70"/>
      <c r="IV423" s="70"/>
    </row>
    <row r="424" spans="1:256" customFormat="1" x14ac:dyDescent="0.2">
      <c r="A424" s="1434"/>
      <c r="B424" s="651"/>
      <c r="C424" s="236"/>
      <c r="D424" s="234"/>
      <c r="E424" s="234"/>
      <c r="F424" s="234"/>
      <c r="G424" s="234"/>
      <c r="H424" s="236"/>
      <c r="I424" s="234"/>
      <c r="J424" s="234"/>
      <c r="K424" s="234"/>
      <c r="L424" s="234"/>
      <c r="M424" s="709"/>
      <c r="N424" s="234"/>
      <c r="O424" s="234"/>
      <c r="P424" s="234"/>
      <c r="Q424" s="234"/>
      <c r="R424" s="709"/>
      <c r="S424" s="234"/>
      <c r="T424" s="234"/>
      <c r="U424" s="234"/>
      <c r="V424" s="234"/>
      <c r="W424" s="709"/>
      <c r="X424" s="234"/>
      <c r="Y424" s="234"/>
      <c r="Z424" s="234"/>
      <c r="AA424" s="234"/>
      <c r="AB424" s="709"/>
      <c r="AC424" s="234"/>
      <c r="AD424" s="234"/>
      <c r="AE424" s="234"/>
      <c r="AF424" s="234"/>
      <c r="AG424" s="709"/>
      <c r="AH424" s="234"/>
      <c r="AI424" s="234"/>
      <c r="AJ424" s="234"/>
      <c r="AK424" s="234"/>
      <c r="AL424" s="709"/>
      <c r="AM424" s="234"/>
      <c r="AN424" s="234"/>
      <c r="AO424" s="234"/>
      <c r="AP424" s="234"/>
      <c r="AQ424" s="709"/>
      <c r="AR424" s="234"/>
      <c r="AS424" s="234"/>
      <c r="AT424" s="234"/>
      <c r="AU424" s="234"/>
      <c r="AV424" s="709"/>
      <c r="AW424" s="234"/>
      <c r="AX424" s="234"/>
      <c r="AY424" s="234"/>
      <c r="AZ424" s="234"/>
      <c r="BA424" s="709"/>
      <c r="BB424" s="234"/>
      <c r="BC424" s="234"/>
      <c r="BD424" s="234"/>
      <c r="BE424" s="234"/>
      <c r="BF424" s="709"/>
      <c r="BG424" s="234"/>
      <c r="BH424" s="234"/>
      <c r="BI424" s="234"/>
      <c r="BJ424" s="234"/>
      <c r="BK424" s="709"/>
      <c r="BL424" s="234"/>
      <c r="BM424" s="234"/>
      <c r="BN424" s="234"/>
      <c r="BO424" s="234"/>
      <c r="BP424" s="709"/>
      <c r="BQ424" s="234"/>
      <c r="BR424" s="234"/>
      <c r="BS424" s="234"/>
      <c r="BT424" s="234"/>
      <c r="BU424" s="709"/>
      <c r="BV424" s="234"/>
      <c r="BW424" s="234"/>
      <c r="BX424" s="234"/>
      <c r="BY424" s="234"/>
      <c r="BZ424" s="709"/>
      <c r="CA424" s="234"/>
      <c r="CB424" s="234"/>
      <c r="CC424" s="234"/>
      <c r="CD424" s="234"/>
      <c r="CE424" s="709"/>
      <c r="CF424" s="234"/>
      <c r="CG424" s="234"/>
      <c r="CH424" s="234"/>
      <c r="CI424" s="234"/>
      <c r="CJ424" s="709"/>
      <c r="CK424" s="3515"/>
      <c r="CL424" s="234"/>
      <c r="CM424" s="234"/>
      <c r="CN424" s="234"/>
      <c r="CO424" s="236"/>
      <c r="CP424" s="3515"/>
      <c r="CQ424" s="234"/>
      <c r="CR424" s="234"/>
      <c r="CS424" s="234"/>
      <c r="CT424" s="236"/>
      <c r="CU424" s="236"/>
      <c r="CV424" s="236"/>
      <c r="CW424" s="374"/>
      <c r="CX424" s="374"/>
      <c r="CY424" s="374"/>
      <c r="CZ424" s="374"/>
      <c r="DA424" s="374"/>
      <c r="DB424" s="374"/>
      <c r="DC424" s="374"/>
      <c r="DD424" s="212"/>
      <c r="DE424" s="70"/>
      <c r="DF424" s="70"/>
      <c r="DG424" s="70"/>
      <c r="DH424" s="70"/>
      <c r="DI424" s="70"/>
      <c r="DJ424" s="70"/>
      <c r="DK424" s="70"/>
      <c r="DL424" s="70"/>
      <c r="DM424" s="70"/>
      <c r="DN424" s="70"/>
      <c r="DO424" s="70"/>
      <c r="DP424" s="70"/>
      <c r="DQ424" s="70"/>
      <c r="DR424" s="70"/>
      <c r="DS424" s="70"/>
      <c r="DT424" s="70"/>
      <c r="DU424" s="70"/>
      <c r="DV424" s="70"/>
      <c r="DW424" s="70"/>
      <c r="DX424" s="70"/>
      <c r="DY424" s="70"/>
      <c r="DZ424" s="70"/>
      <c r="EA424" s="70"/>
      <c r="EB424" s="70"/>
      <c r="EC424" s="70"/>
      <c r="ED424" s="70"/>
      <c r="EE424" s="70"/>
      <c r="EF424" s="70"/>
      <c r="EG424" s="70"/>
      <c r="EH424" s="70"/>
      <c r="EI424" s="70"/>
      <c r="EJ424" s="70"/>
      <c r="EK424" s="70"/>
      <c r="EL424" s="70"/>
      <c r="EM424" s="70"/>
      <c r="EN424" s="70"/>
      <c r="EO424" s="70"/>
      <c r="EP424" s="70"/>
      <c r="EQ424" s="70"/>
      <c r="ER424" s="70"/>
      <c r="ES424" s="70"/>
      <c r="ET424" s="70"/>
      <c r="EU424" s="70"/>
      <c r="EV424" s="70"/>
      <c r="EW424" s="70"/>
      <c r="EX424" s="70"/>
      <c r="EY424" s="70"/>
      <c r="EZ424" s="70"/>
      <c r="FA424" s="70"/>
      <c r="FB424" s="70"/>
      <c r="FC424" s="70"/>
      <c r="FD424" s="70"/>
      <c r="FE424" s="70"/>
      <c r="FF424" s="70"/>
      <c r="FG424" s="70"/>
      <c r="FH424" s="70"/>
      <c r="FI424" s="70"/>
      <c r="FJ424" s="70"/>
      <c r="FK424" s="70"/>
      <c r="FL424" s="70"/>
      <c r="FM424" s="70"/>
      <c r="FN424" s="70"/>
      <c r="FO424" s="70"/>
      <c r="FP424" s="70"/>
      <c r="FQ424" s="70"/>
      <c r="FR424" s="70"/>
      <c r="FS424" s="70"/>
      <c r="FT424" s="70"/>
      <c r="FU424" s="70"/>
      <c r="FV424" s="70"/>
      <c r="FW424" s="70"/>
      <c r="FX424" s="70"/>
      <c r="FY424" s="70"/>
      <c r="FZ424" s="70"/>
      <c r="GA424" s="70"/>
      <c r="GB424" s="70"/>
      <c r="GC424" s="70"/>
      <c r="GD424" s="70"/>
      <c r="GE424" s="70"/>
      <c r="GF424" s="70"/>
      <c r="GG424" s="70"/>
      <c r="GH424" s="70"/>
      <c r="GI424" s="70"/>
      <c r="GJ424" s="70"/>
      <c r="GK424" s="70"/>
      <c r="GL424" s="70"/>
      <c r="GM424" s="70"/>
      <c r="GN424" s="70"/>
      <c r="GO424" s="70"/>
      <c r="GP424" s="70"/>
      <c r="GQ424" s="70"/>
      <c r="GR424" s="70"/>
      <c r="GS424" s="70"/>
      <c r="GT424" s="70"/>
      <c r="GU424" s="70"/>
      <c r="GV424" s="70"/>
      <c r="GW424" s="70"/>
      <c r="GX424" s="70"/>
      <c r="GY424" s="70"/>
      <c r="GZ424" s="70"/>
      <c r="HA424" s="70"/>
      <c r="HB424" s="70"/>
      <c r="HC424" s="70"/>
      <c r="HD424" s="70"/>
      <c r="HE424" s="70"/>
      <c r="HF424" s="70"/>
      <c r="HG424" s="70"/>
      <c r="HH424" s="70"/>
      <c r="HI424" s="70"/>
      <c r="HJ424" s="70"/>
      <c r="HK424" s="70"/>
      <c r="HL424" s="70"/>
      <c r="HM424" s="70"/>
      <c r="HN424" s="70"/>
      <c r="HO424" s="70"/>
      <c r="HP424" s="70"/>
      <c r="HQ424" s="70"/>
      <c r="HR424" s="70"/>
      <c r="HS424" s="70"/>
      <c r="HT424" s="70"/>
      <c r="HU424" s="70"/>
      <c r="HV424" s="70"/>
      <c r="HW424" s="70"/>
      <c r="HX424" s="70"/>
      <c r="HY424" s="70"/>
      <c r="HZ424" s="70"/>
      <c r="IA424" s="70"/>
      <c r="IB424" s="70"/>
      <c r="IC424" s="70"/>
      <c r="ID424" s="70"/>
      <c r="IE424" s="70"/>
      <c r="IF424" s="70"/>
      <c r="IG424" s="70"/>
      <c r="IH424" s="70"/>
      <c r="II424" s="70"/>
      <c r="IJ424" s="70"/>
      <c r="IK424" s="70"/>
      <c r="IL424" s="70"/>
      <c r="IM424" s="70"/>
      <c r="IN424" s="70"/>
      <c r="IO424" s="70"/>
      <c r="IP424" s="70"/>
      <c r="IQ424" s="70"/>
      <c r="IR424" s="70"/>
      <c r="IS424" s="70"/>
      <c r="IT424" s="70"/>
      <c r="IU424" s="70"/>
      <c r="IV424" s="70"/>
    </row>
    <row r="425" spans="1:256" x14ac:dyDescent="0.2">
      <c r="A425" s="1435" t="s">
        <v>647</v>
      </c>
      <c r="B425" s="651"/>
      <c r="C425" s="236"/>
      <c r="D425" s="234"/>
      <c r="E425" s="234"/>
      <c r="F425" s="234"/>
      <c r="G425" s="234"/>
      <c r="H425" s="236"/>
      <c r="I425" s="234"/>
      <c r="J425" s="234"/>
      <c r="K425" s="234"/>
      <c r="L425" s="234"/>
      <c r="M425" s="236"/>
      <c r="N425" s="234"/>
      <c r="O425" s="234"/>
      <c r="P425" s="234"/>
      <c r="Q425" s="234"/>
      <c r="R425" s="236"/>
      <c r="S425" s="234"/>
      <c r="T425" s="234"/>
      <c r="U425" s="234"/>
      <c r="V425" s="234"/>
      <c r="W425" s="236"/>
      <c r="X425" s="234"/>
      <c r="Y425" s="234"/>
      <c r="Z425" s="234"/>
      <c r="AA425" s="234"/>
      <c r="AB425" s="236"/>
      <c r="AC425" s="234"/>
      <c r="AD425" s="234"/>
      <c r="AE425" s="234"/>
      <c r="AF425" s="234"/>
      <c r="AG425" s="236"/>
      <c r="AH425" s="234"/>
      <c r="AI425" s="234"/>
      <c r="AJ425" s="234"/>
      <c r="AK425" s="234"/>
      <c r="AL425" s="236"/>
      <c r="AM425" s="234"/>
      <c r="AN425" s="234"/>
      <c r="AO425" s="234"/>
      <c r="AP425" s="234"/>
      <c r="AQ425" s="236"/>
      <c r="AR425" s="234"/>
      <c r="AS425" s="234"/>
      <c r="AT425" s="234"/>
      <c r="AU425" s="234"/>
      <c r="AV425" s="236"/>
      <c r="AW425" s="234"/>
      <c r="AX425" s="234"/>
      <c r="AY425" s="234"/>
      <c r="AZ425" s="234"/>
      <c r="BA425" s="236"/>
      <c r="BB425" s="234"/>
      <c r="BC425" s="234"/>
      <c r="BD425" s="234"/>
      <c r="BE425" s="234"/>
      <c r="BF425" s="236"/>
      <c r="BG425" s="234"/>
      <c r="BH425" s="234"/>
      <c r="BI425" s="234"/>
      <c r="BJ425" s="234"/>
      <c r="BK425" s="236"/>
      <c r="BL425" s="234"/>
      <c r="BM425" s="234"/>
      <c r="BN425" s="234"/>
      <c r="BO425" s="234"/>
      <c r="BP425" s="236"/>
      <c r="BQ425" s="234"/>
      <c r="BR425" s="234"/>
      <c r="BS425" s="234"/>
      <c r="BT425" s="234"/>
      <c r="BU425" s="236"/>
      <c r="BV425" s="234"/>
      <c r="BW425" s="234"/>
      <c r="BX425" s="234"/>
      <c r="BY425" s="234"/>
      <c r="BZ425" s="236"/>
      <c r="CA425" s="234"/>
      <c r="CB425" s="234"/>
      <c r="CC425" s="234"/>
      <c r="CD425" s="234"/>
      <c r="CE425" s="236"/>
      <c r="CF425" s="234"/>
      <c r="CG425" s="234"/>
      <c r="CH425" s="234"/>
      <c r="CI425" s="234"/>
      <c r="CJ425" s="236"/>
      <c r="CK425" s="3515"/>
      <c r="CL425" s="234"/>
      <c r="CM425" s="234"/>
      <c r="CN425" s="234"/>
      <c r="CO425" s="236"/>
      <c r="CP425" s="3515"/>
      <c r="CQ425" s="234"/>
      <c r="CR425" s="234"/>
      <c r="CS425" s="234"/>
      <c r="CT425" s="236"/>
      <c r="CU425" s="236"/>
      <c r="CV425" s="236"/>
      <c r="CW425" s="374"/>
      <c r="CX425" s="374"/>
      <c r="CY425" s="374"/>
      <c r="CZ425" s="374"/>
      <c r="DA425" s="374"/>
      <c r="DB425" s="374"/>
      <c r="DC425" s="374"/>
    </row>
    <row r="426" spans="1:256" x14ac:dyDescent="0.2">
      <c r="A426" s="2308" t="s">
        <v>456</v>
      </c>
      <c r="B426" s="651"/>
      <c r="C426" s="236"/>
      <c r="D426" s="234"/>
      <c r="E426" s="234"/>
      <c r="F426" s="234"/>
      <c r="G426" s="234"/>
      <c r="H426" s="236"/>
      <c r="I426" s="234"/>
      <c r="J426" s="234"/>
      <c r="K426" s="234"/>
      <c r="L426" s="234"/>
      <c r="M426" s="236"/>
      <c r="N426" s="234"/>
      <c r="O426" s="234"/>
      <c r="P426" s="234"/>
      <c r="Q426" s="234"/>
      <c r="R426" s="236"/>
      <c r="S426" s="234"/>
      <c r="T426" s="234"/>
      <c r="U426" s="234"/>
      <c r="V426" s="234"/>
      <c r="W426" s="236"/>
      <c r="X426" s="234"/>
      <c r="Y426" s="234"/>
      <c r="Z426" s="234"/>
      <c r="AA426" s="234"/>
      <c r="AB426" s="236"/>
      <c r="AC426" s="234"/>
      <c r="AD426" s="234"/>
      <c r="AE426" s="234"/>
      <c r="AF426" s="234"/>
      <c r="AG426" s="236"/>
      <c r="AH426" s="234"/>
      <c r="AI426" s="234"/>
      <c r="AJ426" s="234"/>
      <c r="AK426" s="234"/>
      <c r="AL426" s="236"/>
      <c r="AM426" s="234"/>
      <c r="AN426" s="234"/>
      <c r="AO426" s="234"/>
      <c r="AP426" s="234"/>
      <c r="AQ426" s="236"/>
      <c r="AR426" s="234"/>
      <c r="AS426" s="234"/>
      <c r="AT426" s="234"/>
      <c r="AU426" s="234"/>
      <c r="AV426" s="236"/>
      <c r="AW426" s="234"/>
      <c r="AX426" s="234"/>
      <c r="AY426" s="234"/>
      <c r="AZ426" s="234"/>
      <c r="BA426" s="236"/>
      <c r="BB426" s="234"/>
      <c r="BC426" s="234"/>
      <c r="BD426" s="234"/>
      <c r="BE426" s="234"/>
      <c r="BF426" s="236"/>
      <c r="BG426" s="234"/>
      <c r="BH426" s="234"/>
      <c r="BI426" s="234"/>
      <c r="BJ426" s="234"/>
      <c r="BK426" s="236"/>
      <c r="BL426" s="234"/>
      <c r="BM426" s="234"/>
      <c r="BN426" s="234"/>
      <c r="BO426" s="234"/>
      <c r="BP426" s="236"/>
      <c r="BQ426" s="234"/>
      <c r="BR426" s="234"/>
      <c r="BS426" s="234"/>
      <c r="BT426" s="234"/>
      <c r="BU426" s="236"/>
      <c r="BV426" s="234"/>
      <c r="BW426" s="234"/>
      <c r="BX426" s="234"/>
      <c r="BY426" s="234"/>
      <c r="BZ426" s="236"/>
      <c r="CA426" s="234"/>
      <c r="CB426" s="234"/>
      <c r="CC426" s="234"/>
      <c r="CD426" s="234"/>
      <c r="CE426" s="236"/>
      <c r="CF426" s="234"/>
      <c r="CG426" s="234"/>
      <c r="CH426" s="845">
        <v>0</v>
      </c>
      <c r="CI426" s="845">
        <v>0</v>
      </c>
      <c r="CJ426" s="661">
        <f>+CI426</f>
        <v>0</v>
      </c>
      <c r="CK426" s="2982">
        <v>0</v>
      </c>
      <c r="CL426" s="2982">
        <v>0</v>
      </c>
      <c r="CM426" s="2982">
        <v>0</v>
      </c>
      <c r="CN426" s="2982">
        <v>0</v>
      </c>
      <c r="CO426" s="661">
        <f>+CN426</f>
        <v>0</v>
      </c>
      <c r="CP426" s="847">
        <f t="shared" ref="CP426:CS433" si="631">CO426</f>
        <v>0</v>
      </c>
      <c r="CQ426" s="847">
        <f t="shared" si="631"/>
        <v>0</v>
      </c>
      <c r="CR426" s="847">
        <f t="shared" si="631"/>
        <v>0</v>
      </c>
      <c r="CS426" s="847">
        <f t="shared" si="631"/>
        <v>0</v>
      </c>
      <c r="CT426" s="661">
        <f>+CO426</f>
        <v>0</v>
      </c>
      <c r="CU426" s="661">
        <f t="shared" ref="CU426:CV428" si="632">+CT426</f>
        <v>0</v>
      </c>
      <c r="CV426" s="661">
        <f t="shared" si="632"/>
        <v>0</v>
      </c>
      <c r="CW426" s="374"/>
      <c r="CX426" s="374"/>
      <c r="CY426" s="374"/>
      <c r="CZ426" s="374"/>
      <c r="DA426" s="374"/>
      <c r="DB426" s="217"/>
    </row>
    <row r="427" spans="1:256" x14ac:dyDescent="0.2">
      <c r="A427" s="1436" t="s">
        <v>346</v>
      </c>
      <c r="B427" s="651"/>
      <c r="C427" s="236"/>
      <c r="D427" s="234"/>
      <c r="E427" s="234"/>
      <c r="F427" s="234"/>
      <c r="G427" s="234"/>
      <c r="H427" s="848">
        <f>5206-H572</f>
        <v>3409</v>
      </c>
      <c r="I427" s="1427">
        <f>4840-I572</f>
        <v>3043</v>
      </c>
      <c r="J427" s="845">
        <f>4729-J572</f>
        <v>2687</v>
      </c>
      <c r="K427" s="845">
        <f>3425-K572</f>
        <v>1383</v>
      </c>
      <c r="L427" s="845">
        <f>3425-L572</f>
        <v>1383</v>
      </c>
      <c r="M427" s="661">
        <f>L427</f>
        <v>1383</v>
      </c>
      <c r="N427" s="1427">
        <f>575+1382+1467-N572</f>
        <v>1382</v>
      </c>
      <c r="O427" s="845">
        <f>575+2849-O572</f>
        <v>1382</v>
      </c>
      <c r="P427" s="845">
        <v>1382</v>
      </c>
      <c r="Q427" s="845">
        <v>1382</v>
      </c>
      <c r="R427" s="661">
        <f>Q427</f>
        <v>1382</v>
      </c>
      <c r="S427" s="1427">
        <v>1382</v>
      </c>
      <c r="T427" s="845">
        <v>1382</v>
      </c>
      <c r="U427" s="845">
        <v>1790</v>
      </c>
      <c r="V427" s="845">
        <v>1189</v>
      </c>
      <c r="W427" s="661">
        <f>V427</f>
        <v>1189</v>
      </c>
      <c r="X427" s="1427">
        <v>1189</v>
      </c>
      <c r="Y427" s="845">
        <v>792</v>
      </c>
      <c r="Z427" s="845">
        <f>409+383</f>
        <v>792</v>
      </c>
      <c r="AA427" s="845">
        <v>383</v>
      </c>
      <c r="AB427" s="661">
        <f>+AA427</f>
        <v>383</v>
      </c>
      <c r="AC427" s="1427">
        <v>1414</v>
      </c>
      <c r="AD427" s="845">
        <v>1414</v>
      </c>
      <c r="AE427" s="845">
        <v>1414</v>
      </c>
      <c r="AF427" s="845">
        <v>1414</v>
      </c>
      <c r="AG427" s="661">
        <f>+AF427</f>
        <v>1414</v>
      </c>
      <c r="AH427" s="1427">
        <v>1414</v>
      </c>
      <c r="AI427" s="845">
        <v>1414</v>
      </c>
      <c r="AJ427" s="845">
        <v>1414</v>
      </c>
      <c r="AK427" s="845">
        <v>1607</v>
      </c>
      <c r="AL427" s="661">
        <f>+AK427</f>
        <v>1607</v>
      </c>
      <c r="AM427" s="1427">
        <v>2379</v>
      </c>
      <c r="AN427" s="845">
        <v>1607</v>
      </c>
      <c r="AO427" s="845">
        <v>1692</v>
      </c>
      <c r="AP427" s="845">
        <f>278+1414</f>
        <v>1692</v>
      </c>
      <c r="AQ427" s="661">
        <f>+AP427</f>
        <v>1692</v>
      </c>
      <c r="AR427" s="845">
        <f>278+1414</f>
        <v>1692</v>
      </c>
      <c r="AS427" s="845">
        <f>278+1770</f>
        <v>2048</v>
      </c>
      <c r="AT427" s="845">
        <f>278+1770</f>
        <v>2048</v>
      </c>
      <c r="AU427" s="845">
        <f>278+1770</f>
        <v>2048</v>
      </c>
      <c r="AV427" s="661">
        <f>+AU427</f>
        <v>2048</v>
      </c>
      <c r="AW427" s="1427">
        <f>278+1769</f>
        <v>2047</v>
      </c>
      <c r="AX427" s="845">
        <f>278+1769</f>
        <v>2047</v>
      </c>
      <c r="AY427" s="845">
        <f>278+1769</f>
        <v>2047</v>
      </c>
      <c r="AZ427" s="845">
        <f>278+1769</f>
        <v>2047</v>
      </c>
      <c r="BA427" s="661">
        <f>+AZ427</f>
        <v>2047</v>
      </c>
      <c r="BB427" s="1427">
        <f>278+1769</f>
        <v>2047</v>
      </c>
      <c r="BC427" s="845">
        <f>278+1769</f>
        <v>2047</v>
      </c>
      <c r="BD427" s="845">
        <f>278+1769</f>
        <v>2047</v>
      </c>
      <c r="BE427" s="845">
        <f>278+1769</f>
        <v>2047</v>
      </c>
      <c r="BF427" s="661">
        <f>+BE427</f>
        <v>2047</v>
      </c>
      <c r="BG427" s="1427">
        <f>278+1769</f>
        <v>2047</v>
      </c>
      <c r="BH427" s="845">
        <f>278+1769</f>
        <v>2047</v>
      </c>
      <c r="BI427" s="845">
        <f>278+1769</f>
        <v>2047</v>
      </c>
      <c r="BJ427" s="845">
        <f>278+1386</f>
        <v>1664</v>
      </c>
      <c r="BK427" s="661">
        <f>+BJ427</f>
        <v>1664</v>
      </c>
      <c r="BL427" s="845">
        <f>278+1386</f>
        <v>1664</v>
      </c>
      <c r="BM427" s="845">
        <f>278+1386</f>
        <v>1664</v>
      </c>
      <c r="BN427" s="845">
        <f>278+1386</f>
        <v>1664</v>
      </c>
      <c r="BO427" s="845">
        <f>278+1386</f>
        <v>1664</v>
      </c>
      <c r="BP427" s="661">
        <f>+BO427</f>
        <v>1664</v>
      </c>
      <c r="BQ427" s="845">
        <f>278+1386</f>
        <v>1664</v>
      </c>
      <c r="BR427" s="845">
        <f>278+1386</f>
        <v>1664</v>
      </c>
      <c r="BS427" s="845">
        <f>278+1386</f>
        <v>1664</v>
      </c>
      <c r="BT427" s="845">
        <f>716+1386</f>
        <v>2102</v>
      </c>
      <c r="BU427" s="661">
        <f>+BT427</f>
        <v>2102</v>
      </c>
      <c r="BV427" s="845">
        <f>716+1386</f>
        <v>2102</v>
      </c>
      <c r="BW427" s="845">
        <f>716+1386</f>
        <v>2102</v>
      </c>
      <c r="BX427" s="845">
        <f>716+1386</f>
        <v>2102</v>
      </c>
      <c r="BY427" s="845">
        <f>716+1386</f>
        <v>2102</v>
      </c>
      <c r="BZ427" s="661">
        <f>+BY427</f>
        <v>2102</v>
      </c>
      <c r="CA427" s="845">
        <v>2102</v>
      </c>
      <c r="CB427" s="845">
        <f>716+1386</f>
        <v>2102</v>
      </c>
      <c r="CC427" s="845">
        <f>716+1386</f>
        <v>2102</v>
      </c>
      <c r="CD427" s="845">
        <f>716+1386</f>
        <v>2102</v>
      </c>
      <c r="CE427" s="661">
        <f>+CD427</f>
        <v>2102</v>
      </c>
      <c r="CF427" s="845">
        <f>716+1386</f>
        <v>2102</v>
      </c>
      <c r="CG427" s="845">
        <f>716+1386</f>
        <v>2102</v>
      </c>
      <c r="CH427" s="2983">
        <v>2102</v>
      </c>
      <c r="CI427" s="2983">
        <v>2102</v>
      </c>
      <c r="CJ427" s="661">
        <f>+CI427</f>
        <v>2102</v>
      </c>
      <c r="CK427" s="2982">
        <v>2102</v>
      </c>
      <c r="CL427" s="2982">
        <v>1664</v>
      </c>
      <c r="CM427" s="2982">
        <v>1664</v>
      </c>
      <c r="CN427" s="2982">
        <v>1664</v>
      </c>
      <c r="CO427" s="661">
        <f>+CN427</f>
        <v>1664</v>
      </c>
      <c r="CP427" s="847">
        <f t="shared" si="631"/>
        <v>1664</v>
      </c>
      <c r="CQ427" s="847">
        <f t="shared" si="631"/>
        <v>1664</v>
      </c>
      <c r="CR427" s="847">
        <f t="shared" si="631"/>
        <v>1664</v>
      </c>
      <c r="CS427" s="847">
        <f t="shared" si="631"/>
        <v>1664</v>
      </c>
      <c r="CT427" s="661">
        <f>+CS427</f>
        <v>1664</v>
      </c>
      <c r="CU427" s="661">
        <f t="shared" si="632"/>
        <v>1664</v>
      </c>
      <c r="CV427" s="661">
        <f t="shared" si="632"/>
        <v>1664</v>
      </c>
      <c r="CW427" s="374"/>
      <c r="CX427" s="374"/>
      <c r="CY427" s="374"/>
      <c r="CZ427" s="374"/>
      <c r="DA427" s="374"/>
      <c r="DB427" s="217"/>
    </row>
    <row r="428" spans="1:256" x14ac:dyDescent="0.2">
      <c r="A428" s="1436" t="s">
        <v>1385</v>
      </c>
      <c r="B428" s="651"/>
      <c r="C428" s="236"/>
      <c r="D428" s="234"/>
      <c r="E428" s="234"/>
      <c r="F428" s="234"/>
      <c r="G428" s="234"/>
      <c r="H428" s="848">
        <v>0</v>
      </c>
      <c r="I428" s="1427">
        <v>0</v>
      </c>
      <c r="J428" s="845">
        <v>0</v>
      </c>
      <c r="K428" s="845">
        <v>0</v>
      </c>
      <c r="L428" s="845">
        <v>0</v>
      </c>
      <c r="M428" s="661">
        <v>0</v>
      </c>
      <c r="N428" s="1427">
        <v>0</v>
      </c>
      <c r="O428" s="845">
        <v>0</v>
      </c>
      <c r="P428" s="845">
        <v>0</v>
      </c>
      <c r="Q428" s="845">
        <v>0</v>
      </c>
      <c r="R428" s="661">
        <v>0</v>
      </c>
      <c r="S428" s="1427">
        <v>0</v>
      </c>
      <c r="T428" s="845">
        <v>0</v>
      </c>
      <c r="U428" s="845">
        <v>0</v>
      </c>
      <c r="V428" s="845">
        <v>0</v>
      </c>
      <c r="W428" s="661">
        <f>V428</f>
        <v>0</v>
      </c>
      <c r="X428" s="1427">
        <v>0</v>
      </c>
      <c r="Y428" s="845">
        <v>182</v>
      </c>
      <c r="Z428" s="845">
        <v>182</v>
      </c>
      <c r="AA428" s="845">
        <v>0</v>
      </c>
      <c r="AB428" s="661">
        <f>+AA428</f>
        <v>0</v>
      </c>
      <c r="AC428" s="1427">
        <v>0</v>
      </c>
      <c r="AD428" s="845">
        <v>0</v>
      </c>
      <c r="AE428" s="845">
        <v>3096</v>
      </c>
      <c r="AF428" s="845">
        <v>2842</v>
      </c>
      <c r="AG428" s="661">
        <f>+AF428</f>
        <v>2842</v>
      </c>
      <c r="AH428" s="1427">
        <v>2173</v>
      </c>
      <c r="AI428" s="845">
        <v>1780</v>
      </c>
      <c r="AJ428" s="845">
        <v>978</v>
      </c>
      <c r="AK428" s="845">
        <v>978</v>
      </c>
      <c r="AL428" s="661">
        <f>+AK428</f>
        <v>978</v>
      </c>
      <c r="AM428" s="1427">
        <v>978</v>
      </c>
      <c r="AN428" s="845">
        <v>978</v>
      </c>
      <c r="AO428" s="845">
        <v>978</v>
      </c>
      <c r="AP428" s="845">
        <v>978</v>
      </c>
      <c r="AQ428" s="661">
        <f>+AP428</f>
        <v>978</v>
      </c>
      <c r="AR428" s="845">
        <v>1449</v>
      </c>
      <c r="AS428" s="845">
        <v>1449</v>
      </c>
      <c r="AT428" s="845">
        <v>1449</v>
      </c>
      <c r="AU428" s="845">
        <v>1449</v>
      </c>
      <c r="AV428" s="661">
        <f>+AU428</f>
        <v>1449</v>
      </c>
      <c r="AW428" s="845">
        <v>1449</v>
      </c>
      <c r="AX428" s="845">
        <v>1449</v>
      </c>
      <c r="AY428" s="845">
        <v>1449</v>
      </c>
      <c r="AZ428" s="845">
        <v>1449</v>
      </c>
      <c r="BA428" s="661">
        <f>+AZ428</f>
        <v>1449</v>
      </c>
      <c r="BB428" s="1427">
        <v>1449</v>
      </c>
      <c r="BC428" s="845">
        <v>978</v>
      </c>
      <c r="BD428" s="845">
        <v>978</v>
      </c>
      <c r="BE428" s="845">
        <v>476</v>
      </c>
      <c r="BF428" s="661">
        <f>+BE428</f>
        <v>476</v>
      </c>
      <c r="BG428" s="1427">
        <v>476</v>
      </c>
      <c r="BH428" s="845">
        <v>310</v>
      </c>
      <c r="BI428" s="845">
        <v>310</v>
      </c>
      <c r="BJ428" s="845">
        <v>310</v>
      </c>
      <c r="BK428" s="661">
        <f>+BJ428</f>
        <v>310</v>
      </c>
      <c r="BL428" s="845">
        <v>310</v>
      </c>
      <c r="BM428" s="845">
        <v>310</v>
      </c>
      <c r="BN428" s="845">
        <v>310</v>
      </c>
      <c r="BO428" s="845">
        <v>310</v>
      </c>
      <c r="BP428" s="661">
        <f>+BO428</f>
        <v>310</v>
      </c>
      <c r="BQ428" s="845">
        <v>310</v>
      </c>
      <c r="BR428" s="845">
        <v>310</v>
      </c>
      <c r="BS428" s="845">
        <v>310</v>
      </c>
      <c r="BT428" s="845">
        <v>310</v>
      </c>
      <c r="BU428" s="661">
        <f>+BT428</f>
        <v>310</v>
      </c>
      <c r="BV428" s="845">
        <v>310</v>
      </c>
      <c r="BW428" s="845">
        <v>310</v>
      </c>
      <c r="BX428" s="845">
        <v>310</v>
      </c>
      <c r="BY428" s="845">
        <v>310</v>
      </c>
      <c r="BZ428" s="661">
        <f>+BY428</f>
        <v>310</v>
      </c>
      <c r="CA428" s="845">
        <v>310</v>
      </c>
      <c r="CB428" s="845">
        <v>310</v>
      </c>
      <c r="CC428" s="845">
        <v>310</v>
      </c>
      <c r="CD428" s="845">
        <v>310</v>
      </c>
      <c r="CE428" s="661">
        <f>+CD428</f>
        <v>310</v>
      </c>
      <c r="CF428" s="845">
        <v>310</v>
      </c>
      <c r="CG428" s="845">
        <v>310</v>
      </c>
      <c r="CH428" s="2983">
        <v>310</v>
      </c>
      <c r="CI428" s="2983">
        <v>310</v>
      </c>
      <c r="CJ428" s="661">
        <f>+CI428</f>
        <v>310</v>
      </c>
      <c r="CK428" s="2982">
        <v>310</v>
      </c>
      <c r="CL428" s="2982">
        <v>310</v>
      </c>
      <c r="CM428" s="2982">
        <v>317</v>
      </c>
      <c r="CN428" s="2982">
        <v>317</v>
      </c>
      <c r="CO428" s="661">
        <f>+CN428</f>
        <v>317</v>
      </c>
      <c r="CP428" s="847">
        <f t="shared" si="631"/>
        <v>317</v>
      </c>
      <c r="CQ428" s="847">
        <f t="shared" si="631"/>
        <v>317</v>
      </c>
      <c r="CR428" s="847">
        <f t="shared" si="631"/>
        <v>317</v>
      </c>
      <c r="CS428" s="847">
        <f t="shared" si="631"/>
        <v>317</v>
      </c>
      <c r="CT428" s="661">
        <f>+CS428</f>
        <v>317</v>
      </c>
      <c r="CU428" s="661">
        <f t="shared" si="632"/>
        <v>317</v>
      </c>
      <c r="CV428" s="661">
        <f t="shared" si="632"/>
        <v>317</v>
      </c>
      <c r="CW428" s="374"/>
      <c r="CX428" s="374"/>
      <c r="CY428" s="374"/>
      <c r="CZ428" s="374"/>
      <c r="DA428" s="374"/>
      <c r="DB428" s="217"/>
    </row>
    <row r="429" spans="1:256" x14ac:dyDescent="0.2">
      <c r="A429" s="1436" t="s">
        <v>512</v>
      </c>
      <c r="B429" s="651"/>
      <c r="C429" s="236"/>
      <c r="D429" s="234"/>
      <c r="E429" s="234"/>
      <c r="F429" s="234"/>
      <c r="G429" s="234"/>
      <c r="H429" s="848">
        <v>0</v>
      </c>
      <c r="I429" s="1427">
        <v>0</v>
      </c>
      <c r="J429" s="845">
        <v>0</v>
      </c>
      <c r="K429" s="845">
        <v>0</v>
      </c>
      <c r="L429" s="845">
        <v>0</v>
      </c>
      <c r="M429" s="661">
        <v>0</v>
      </c>
      <c r="N429" s="1427">
        <v>0</v>
      </c>
      <c r="O429" s="845">
        <v>0</v>
      </c>
      <c r="P429" s="845">
        <v>0</v>
      </c>
      <c r="Q429" s="845">
        <v>0</v>
      </c>
      <c r="R429" s="661">
        <v>0</v>
      </c>
      <c r="S429" s="1427">
        <v>0</v>
      </c>
      <c r="T429" s="845">
        <v>0</v>
      </c>
      <c r="U429" s="845">
        <v>0</v>
      </c>
      <c r="V429" s="845">
        <v>0</v>
      </c>
      <c r="W429" s="661">
        <v>0</v>
      </c>
      <c r="X429" s="1427">
        <v>0</v>
      </c>
      <c r="Y429" s="845">
        <v>0</v>
      </c>
      <c r="Z429" s="845">
        <v>0</v>
      </c>
      <c r="AA429" s="845">
        <v>0</v>
      </c>
      <c r="AB429" s="661">
        <v>0</v>
      </c>
      <c r="AC429" s="1427">
        <v>0</v>
      </c>
      <c r="AD429" s="845">
        <v>0</v>
      </c>
      <c r="AE429" s="845">
        <v>0</v>
      </c>
      <c r="AF429" s="845">
        <v>0</v>
      </c>
      <c r="AG429" s="661">
        <v>0</v>
      </c>
      <c r="AH429" s="1427">
        <v>0</v>
      </c>
      <c r="AI429" s="845">
        <v>0</v>
      </c>
      <c r="AJ429" s="845">
        <v>0</v>
      </c>
      <c r="AK429" s="845">
        <v>0</v>
      </c>
      <c r="AL429" s="661">
        <v>0</v>
      </c>
      <c r="AM429" s="1427">
        <v>0</v>
      </c>
      <c r="AN429" s="845">
        <v>0</v>
      </c>
      <c r="AO429" s="845">
        <v>0</v>
      </c>
      <c r="AP429" s="845">
        <v>0</v>
      </c>
      <c r="AQ429" s="661">
        <v>0</v>
      </c>
      <c r="AR429" s="845">
        <v>0</v>
      </c>
      <c r="AS429" s="845">
        <v>0</v>
      </c>
      <c r="AT429" s="845">
        <v>0</v>
      </c>
      <c r="AU429" s="845">
        <v>0</v>
      </c>
      <c r="AV429" s="661">
        <v>0</v>
      </c>
      <c r="AW429" s="845">
        <v>0</v>
      </c>
      <c r="AX429" s="845">
        <v>0</v>
      </c>
      <c r="AY429" s="845">
        <v>0</v>
      </c>
      <c r="AZ429" s="845">
        <v>0</v>
      </c>
      <c r="BA429" s="661">
        <v>0</v>
      </c>
      <c r="BB429" s="1427">
        <v>0</v>
      </c>
      <c r="BC429" s="845">
        <v>0</v>
      </c>
      <c r="BD429" s="845">
        <v>0</v>
      </c>
      <c r="BE429" s="845">
        <v>0</v>
      </c>
      <c r="BF429" s="661">
        <v>0</v>
      </c>
      <c r="BG429" s="1427">
        <v>0</v>
      </c>
      <c r="BH429" s="845">
        <v>0</v>
      </c>
      <c r="BI429" s="845">
        <v>0</v>
      </c>
      <c r="BJ429" s="845">
        <v>0</v>
      </c>
      <c r="BK429" s="661">
        <v>0</v>
      </c>
      <c r="BL429" s="845">
        <v>0</v>
      </c>
      <c r="BM429" s="845">
        <v>0</v>
      </c>
      <c r="BN429" s="845">
        <v>0</v>
      </c>
      <c r="BO429" s="847">
        <f t="shared" ref="BO429:BO434" si="633">BN429</f>
        <v>0</v>
      </c>
      <c r="BP429" s="661">
        <v>0</v>
      </c>
      <c r="BQ429" s="845">
        <v>0</v>
      </c>
      <c r="BR429" s="845">
        <v>0</v>
      </c>
      <c r="BS429" s="845">
        <v>0</v>
      </c>
      <c r="BT429" s="847">
        <v>0</v>
      </c>
      <c r="BU429" s="661">
        <v>0</v>
      </c>
      <c r="BV429" s="845">
        <v>0</v>
      </c>
      <c r="BW429" s="845">
        <v>0</v>
      </c>
      <c r="BX429" s="845">
        <v>0</v>
      </c>
      <c r="BY429" s="845">
        <v>0</v>
      </c>
      <c r="BZ429" s="661">
        <v>0</v>
      </c>
      <c r="CA429" s="845">
        <v>0</v>
      </c>
      <c r="CB429" s="845">
        <v>0</v>
      </c>
      <c r="CC429" s="845">
        <f t="shared" ref="CC429:CD434" si="634">CB429</f>
        <v>0</v>
      </c>
      <c r="CD429" s="845">
        <f t="shared" si="634"/>
        <v>0</v>
      </c>
      <c r="CE429" s="661">
        <v>0</v>
      </c>
      <c r="CF429" s="845">
        <v>0</v>
      </c>
      <c r="CG429" s="845">
        <v>0</v>
      </c>
      <c r="CH429" s="2349">
        <f>CG429</f>
        <v>0</v>
      </c>
      <c r="CI429" s="2349">
        <f>CH429</f>
        <v>0</v>
      </c>
      <c r="CJ429" s="661">
        <v>0</v>
      </c>
      <c r="CK429" s="2982">
        <v>0</v>
      </c>
      <c r="CL429" s="2982">
        <v>0</v>
      </c>
      <c r="CM429" s="2982">
        <v>0</v>
      </c>
      <c r="CN429" s="2982">
        <v>0</v>
      </c>
      <c r="CO429" s="661">
        <v>0</v>
      </c>
      <c r="CP429" s="847">
        <f t="shared" si="631"/>
        <v>0</v>
      </c>
      <c r="CQ429" s="847">
        <f t="shared" si="631"/>
        <v>0</v>
      </c>
      <c r="CR429" s="847">
        <f t="shared" si="631"/>
        <v>0</v>
      </c>
      <c r="CS429" s="847">
        <f t="shared" si="631"/>
        <v>0</v>
      </c>
      <c r="CT429" s="661">
        <v>0</v>
      </c>
      <c r="CU429" s="661">
        <v>0</v>
      </c>
      <c r="CV429" s="661">
        <v>0</v>
      </c>
      <c r="CW429" s="374"/>
      <c r="CX429" s="374"/>
      <c r="CY429" s="374"/>
      <c r="CZ429" s="374"/>
      <c r="DA429" s="374"/>
      <c r="DB429" s="217"/>
    </row>
    <row r="430" spans="1:256" x14ac:dyDescent="0.2">
      <c r="A430" s="2288" t="s">
        <v>608</v>
      </c>
      <c r="B430" s="651"/>
      <c r="C430" s="236"/>
      <c r="D430" s="234"/>
      <c r="E430" s="234"/>
      <c r="F430" s="234"/>
      <c r="G430" s="234"/>
      <c r="H430" s="848">
        <v>0</v>
      </c>
      <c r="I430" s="1427">
        <v>0</v>
      </c>
      <c r="J430" s="845">
        <v>0</v>
      </c>
      <c r="K430" s="845">
        <v>0</v>
      </c>
      <c r="L430" s="845">
        <v>0</v>
      </c>
      <c r="M430" s="661">
        <v>0</v>
      </c>
      <c r="N430" s="1427">
        <v>0</v>
      </c>
      <c r="O430" s="845">
        <v>0</v>
      </c>
      <c r="P430" s="845">
        <v>0</v>
      </c>
      <c r="Q430" s="845">
        <v>0</v>
      </c>
      <c r="R430" s="661">
        <v>0</v>
      </c>
      <c r="S430" s="1427">
        <v>0</v>
      </c>
      <c r="T430" s="845">
        <v>0</v>
      </c>
      <c r="U430" s="845">
        <v>0</v>
      </c>
      <c r="V430" s="845">
        <v>0</v>
      </c>
      <c r="W430" s="661">
        <v>0</v>
      </c>
      <c r="X430" s="1427">
        <v>0</v>
      </c>
      <c r="Y430" s="845">
        <v>0</v>
      </c>
      <c r="Z430" s="845">
        <v>0</v>
      </c>
      <c r="AA430" s="845">
        <v>0</v>
      </c>
      <c r="AB430" s="661">
        <v>0</v>
      </c>
      <c r="AC430" s="1427">
        <v>0</v>
      </c>
      <c r="AD430" s="845">
        <v>0</v>
      </c>
      <c r="AE430" s="845">
        <v>0</v>
      </c>
      <c r="AF430" s="845">
        <v>0</v>
      </c>
      <c r="AG430" s="661">
        <v>0</v>
      </c>
      <c r="AH430" s="1427">
        <v>0</v>
      </c>
      <c r="AI430" s="845">
        <v>0</v>
      </c>
      <c r="AJ430" s="845">
        <v>0</v>
      </c>
      <c r="AK430" s="845">
        <v>0</v>
      </c>
      <c r="AL430" s="661">
        <v>0</v>
      </c>
      <c r="AM430" s="1427">
        <v>0</v>
      </c>
      <c r="AN430" s="845">
        <v>0</v>
      </c>
      <c r="AO430" s="845">
        <v>0</v>
      </c>
      <c r="AP430" s="845">
        <v>0</v>
      </c>
      <c r="AQ430" s="661">
        <v>0</v>
      </c>
      <c r="AR430" s="845">
        <v>0</v>
      </c>
      <c r="AS430" s="845">
        <v>0</v>
      </c>
      <c r="AT430" s="845">
        <v>0</v>
      </c>
      <c r="AU430" s="845">
        <v>0</v>
      </c>
      <c r="AV430" s="661">
        <v>0</v>
      </c>
      <c r="AW430" s="845">
        <v>0</v>
      </c>
      <c r="AX430" s="845">
        <v>0</v>
      </c>
      <c r="AY430" s="845">
        <v>0</v>
      </c>
      <c r="AZ430" s="845">
        <v>0</v>
      </c>
      <c r="BA430" s="661">
        <v>0</v>
      </c>
      <c r="BB430" s="1427">
        <v>0</v>
      </c>
      <c r="BC430" s="845">
        <v>0</v>
      </c>
      <c r="BD430" s="845">
        <v>0</v>
      </c>
      <c r="BE430" s="845">
        <v>0</v>
      </c>
      <c r="BF430" s="661">
        <v>0</v>
      </c>
      <c r="BG430" s="1427">
        <v>0</v>
      </c>
      <c r="BH430" s="845">
        <v>0</v>
      </c>
      <c r="BI430" s="845">
        <v>0</v>
      </c>
      <c r="BJ430" s="845">
        <v>0</v>
      </c>
      <c r="BK430" s="661">
        <v>0</v>
      </c>
      <c r="BL430" s="845">
        <v>0</v>
      </c>
      <c r="BM430" s="845">
        <v>0</v>
      </c>
      <c r="BN430" s="845">
        <v>0</v>
      </c>
      <c r="BO430" s="847">
        <f t="shared" si="633"/>
        <v>0</v>
      </c>
      <c r="BP430" s="661">
        <v>0</v>
      </c>
      <c r="BQ430" s="845">
        <v>0</v>
      </c>
      <c r="BR430" s="845">
        <v>0</v>
      </c>
      <c r="BS430" s="845">
        <v>0</v>
      </c>
      <c r="BT430" s="847">
        <v>0</v>
      </c>
      <c r="BU430" s="661">
        <v>0</v>
      </c>
      <c r="BV430" s="845">
        <v>0</v>
      </c>
      <c r="BW430" s="845">
        <v>0</v>
      </c>
      <c r="BX430" s="845">
        <v>0</v>
      </c>
      <c r="BY430" s="845">
        <v>0</v>
      </c>
      <c r="BZ430" s="661">
        <v>0</v>
      </c>
      <c r="CA430" s="845">
        <v>0</v>
      </c>
      <c r="CB430" s="845">
        <v>0</v>
      </c>
      <c r="CC430" s="845">
        <f t="shared" si="634"/>
        <v>0</v>
      </c>
      <c r="CD430" s="845">
        <f t="shared" si="634"/>
        <v>0</v>
      </c>
      <c r="CE430" s="661">
        <v>0</v>
      </c>
      <c r="CF430" s="845">
        <v>0</v>
      </c>
      <c r="CG430" s="845">
        <v>0</v>
      </c>
      <c r="CH430" s="2349">
        <f>CG430</f>
        <v>0</v>
      </c>
      <c r="CI430" s="2349">
        <f>CH430</f>
        <v>0</v>
      </c>
      <c r="CJ430" s="661">
        <v>0</v>
      </c>
      <c r="CK430" s="2982">
        <v>0</v>
      </c>
      <c r="CL430" s="2982">
        <v>0</v>
      </c>
      <c r="CM430" s="2982">
        <v>0</v>
      </c>
      <c r="CN430" s="2982">
        <v>0</v>
      </c>
      <c r="CO430" s="661">
        <v>0</v>
      </c>
      <c r="CP430" s="847">
        <f t="shared" si="631"/>
        <v>0</v>
      </c>
      <c r="CQ430" s="847">
        <f t="shared" si="631"/>
        <v>0</v>
      </c>
      <c r="CR430" s="847">
        <f t="shared" si="631"/>
        <v>0</v>
      </c>
      <c r="CS430" s="847">
        <f t="shared" si="631"/>
        <v>0</v>
      </c>
      <c r="CT430" s="661">
        <v>0</v>
      </c>
      <c r="CU430" s="661">
        <v>0</v>
      </c>
      <c r="CV430" s="661">
        <v>0</v>
      </c>
      <c r="CW430" s="374"/>
      <c r="CX430" s="374"/>
      <c r="CY430" s="374"/>
      <c r="CZ430" s="374"/>
      <c r="DA430" s="374"/>
      <c r="DB430" s="217"/>
    </row>
    <row r="431" spans="1:256" outlineLevel="1" x14ac:dyDescent="0.2">
      <c r="A431" s="1436" t="s">
        <v>510</v>
      </c>
      <c r="B431" s="651"/>
      <c r="C431" s="236"/>
      <c r="D431" s="234"/>
      <c r="E431" s="234"/>
      <c r="F431" s="234"/>
      <c r="G431" s="234"/>
      <c r="H431" s="848">
        <v>0</v>
      </c>
      <c r="I431" s="1427">
        <v>0</v>
      </c>
      <c r="J431" s="845">
        <v>0</v>
      </c>
      <c r="K431" s="845">
        <v>0</v>
      </c>
      <c r="L431" s="845">
        <v>0</v>
      </c>
      <c r="M431" s="661">
        <v>0</v>
      </c>
      <c r="N431" s="1427">
        <v>0</v>
      </c>
      <c r="O431" s="845">
        <v>0</v>
      </c>
      <c r="P431" s="845">
        <v>0</v>
      </c>
      <c r="Q431" s="845">
        <v>0</v>
      </c>
      <c r="R431" s="661">
        <v>0</v>
      </c>
      <c r="S431" s="1427">
        <v>0</v>
      </c>
      <c r="T431" s="845">
        <v>0</v>
      </c>
      <c r="U431" s="845">
        <v>0</v>
      </c>
      <c r="V431" s="845">
        <v>0</v>
      </c>
      <c r="W431" s="661">
        <v>0</v>
      </c>
      <c r="X431" s="1427">
        <v>0</v>
      </c>
      <c r="Y431" s="845">
        <v>0</v>
      </c>
      <c r="Z431" s="845">
        <v>0</v>
      </c>
      <c r="AA431" s="845">
        <v>0</v>
      </c>
      <c r="AB431" s="661">
        <v>0</v>
      </c>
      <c r="AC431" s="1427">
        <v>0</v>
      </c>
      <c r="AD431" s="845">
        <v>0</v>
      </c>
      <c r="AE431" s="845">
        <v>0</v>
      </c>
      <c r="AF431" s="845">
        <v>0</v>
      </c>
      <c r="AG431" s="661">
        <v>0</v>
      </c>
      <c r="AH431" s="1427">
        <v>0</v>
      </c>
      <c r="AI431" s="845">
        <v>0</v>
      </c>
      <c r="AJ431" s="845">
        <v>0</v>
      </c>
      <c r="AK431" s="845">
        <v>0</v>
      </c>
      <c r="AL431" s="661">
        <v>0</v>
      </c>
      <c r="AM431" s="1427">
        <v>0</v>
      </c>
      <c r="AN431" s="845">
        <v>0</v>
      </c>
      <c r="AO431" s="845">
        <v>0</v>
      </c>
      <c r="AP431" s="845">
        <v>0</v>
      </c>
      <c r="AQ431" s="661">
        <v>0</v>
      </c>
      <c r="AR431" s="845">
        <v>0</v>
      </c>
      <c r="AS431" s="845">
        <v>0</v>
      </c>
      <c r="AT431" s="845">
        <v>0</v>
      </c>
      <c r="AU431" s="845">
        <v>0</v>
      </c>
      <c r="AV431" s="661">
        <v>0</v>
      </c>
      <c r="AW431" s="845">
        <v>0</v>
      </c>
      <c r="AX431" s="845">
        <v>0</v>
      </c>
      <c r="AY431" s="845">
        <v>0</v>
      </c>
      <c r="AZ431" s="845">
        <v>0</v>
      </c>
      <c r="BA431" s="661">
        <v>0</v>
      </c>
      <c r="BB431" s="1427">
        <v>0</v>
      </c>
      <c r="BC431" s="845">
        <v>0</v>
      </c>
      <c r="BD431" s="845">
        <v>0</v>
      </c>
      <c r="BE431" s="845">
        <v>0</v>
      </c>
      <c r="BF431" s="661">
        <v>0</v>
      </c>
      <c r="BG431" s="1427">
        <v>0</v>
      </c>
      <c r="BH431" s="845">
        <v>0</v>
      </c>
      <c r="BI431" s="845">
        <v>0</v>
      </c>
      <c r="BJ431" s="845">
        <v>0</v>
      </c>
      <c r="BK431" s="661">
        <v>0</v>
      </c>
      <c r="BL431" s="845">
        <v>0</v>
      </c>
      <c r="BM431" s="845">
        <v>0</v>
      </c>
      <c r="BN431" s="845">
        <v>0</v>
      </c>
      <c r="BO431" s="847">
        <f t="shared" si="633"/>
        <v>0</v>
      </c>
      <c r="BP431" s="661">
        <v>0</v>
      </c>
      <c r="BQ431" s="845">
        <v>0</v>
      </c>
      <c r="BR431" s="845">
        <v>0</v>
      </c>
      <c r="BS431" s="845">
        <v>0</v>
      </c>
      <c r="BT431" s="847">
        <v>0</v>
      </c>
      <c r="BU431" s="661">
        <v>0</v>
      </c>
      <c r="BV431" s="845">
        <v>0</v>
      </c>
      <c r="BW431" s="845">
        <v>0</v>
      </c>
      <c r="BX431" s="845">
        <v>0</v>
      </c>
      <c r="BY431" s="845">
        <v>0</v>
      </c>
      <c r="BZ431" s="661">
        <v>0</v>
      </c>
      <c r="CA431" s="845">
        <v>0</v>
      </c>
      <c r="CB431" s="845">
        <v>0</v>
      </c>
      <c r="CC431" s="845">
        <f t="shared" si="634"/>
        <v>0</v>
      </c>
      <c r="CD431" s="845">
        <f t="shared" si="634"/>
        <v>0</v>
      </c>
      <c r="CE431" s="661">
        <v>0</v>
      </c>
      <c r="CF431" s="845">
        <v>0</v>
      </c>
      <c r="CG431" s="845">
        <v>0</v>
      </c>
      <c r="CH431" s="845">
        <v>0</v>
      </c>
      <c r="CI431" s="845">
        <v>0</v>
      </c>
      <c r="CJ431" s="661">
        <v>0</v>
      </c>
      <c r="CK431" s="2982">
        <v>0</v>
      </c>
      <c r="CL431" s="2982">
        <v>0</v>
      </c>
      <c r="CM431" s="2982">
        <v>0</v>
      </c>
      <c r="CN431" s="2982">
        <v>0</v>
      </c>
      <c r="CO431" s="661">
        <v>0</v>
      </c>
      <c r="CP431" s="847">
        <f t="shared" si="631"/>
        <v>0</v>
      </c>
      <c r="CQ431" s="847">
        <f t="shared" si="631"/>
        <v>0</v>
      </c>
      <c r="CR431" s="847">
        <f t="shared" si="631"/>
        <v>0</v>
      </c>
      <c r="CS431" s="847">
        <f t="shared" si="631"/>
        <v>0</v>
      </c>
      <c r="CT431" s="661">
        <v>0</v>
      </c>
      <c r="CU431" s="661">
        <v>0</v>
      </c>
      <c r="CV431" s="661">
        <v>0</v>
      </c>
      <c r="CW431" s="374"/>
      <c r="CX431" s="374"/>
      <c r="CY431" s="374"/>
      <c r="CZ431" s="374"/>
      <c r="DA431" s="374"/>
      <c r="DB431" s="217"/>
    </row>
    <row r="432" spans="1:256" outlineLevel="1" x14ac:dyDescent="0.2">
      <c r="A432" s="1434" t="s">
        <v>511</v>
      </c>
      <c r="B432" s="651"/>
      <c r="C432" s="236"/>
      <c r="D432" s="234"/>
      <c r="E432" s="234"/>
      <c r="F432" s="234"/>
      <c r="G432" s="234"/>
      <c r="H432" s="848">
        <v>0</v>
      </c>
      <c r="I432" s="1427">
        <v>0</v>
      </c>
      <c r="J432" s="845">
        <v>0</v>
      </c>
      <c r="K432" s="845">
        <v>0</v>
      </c>
      <c r="L432" s="845">
        <v>0</v>
      </c>
      <c r="M432" s="661">
        <v>0</v>
      </c>
      <c r="N432" s="1427">
        <v>0</v>
      </c>
      <c r="O432" s="845">
        <v>0</v>
      </c>
      <c r="P432" s="845">
        <v>0</v>
      </c>
      <c r="Q432" s="845">
        <v>0</v>
      </c>
      <c r="R432" s="661">
        <v>0</v>
      </c>
      <c r="S432" s="1427">
        <v>0</v>
      </c>
      <c r="T432" s="845">
        <v>0</v>
      </c>
      <c r="U432" s="845">
        <v>0</v>
      </c>
      <c r="V432" s="845">
        <v>0</v>
      </c>
      <c r="W432" s="661">
        <v>0</v>
      </c>
      <c r="X432" s="1427">
        <v>0</v>
      </c>
      <c r="Y432" s="845">
        <v>0</v>
      </c>
      <c r="Z432" s="845">
        <v>0</v>
      </c>
      <c r="AA432" s="845">
        <v>0</v>
      </c>
      <c r="AB432" s="661">
        <v>0</v>
      </c>
      <c r="AC432" s="1427">
        <v>0</v>
      </c>
      <c r="AD432" s="845">
        <v>0</v>
      </c>
      <c r="AE432" s="845">
        <v>0</v>
      </c>
      <c r="AF432" s="845">
        <v>0</v>
      </c>
      <c r="AG432" s="661">
        <v>0</v>
      </c>
      <c r="AH432" s="1427">
        <v>0</v>
      </c>
      <c r="AI432" s="845">
        <v>0</v>
      </c>
      <c r="AJ432" s="845">
        <v>0</v>
      </c>
      <c r="AK432" s="845">
        <v>0</v>
      </c>
      <c r="AL432" s="661">
        <v>0</v>
      </c>
      <c r="AM432" s="1427">
        <v>0</v>
      </c>
      <c r="AN432" s="845">
        <v>0</v>
      </c>
      <c r="AO432" s="845">
        <v>0</v>
      </c>
      <c r="AP432" s="845">
        <v>0</v>
      </c>
      <c r="AQ432" s="661">
        <v>0</v>
      </c>
      <c r="AR432" s="845">
        <v>0</v>
      </c>
      <c r="AS432" s="845">
        <v>0</v>
      </c>
      <c r="AT432" s="845">
        <v>0</v>
      </c>
      <c r="AU432" s="845">
        <v>0</v>
      </c>
      <c r="AV432" s="661">
        <v>0</v>
      </c>
      <c r="AW432" s="845">
        <v>0</v>
      </c>
      <c r="AX432" s="845">
        <v>0</v>
      </c>
      <c r="AY432" s="845">
        <v>0</v>
      </c>
      <c r="AZ432" s="845">
        <v>0</v>
      </c>
      <c r="BA432" s="661">
        <v>0</v>
      </c>
      <c r="BB432" s="1427">
        <v>0</v>
      </c>
      <c r="BC432" s="845">
        <v>0</v>
      </c>
      <c r="BD432" s="845">
        <v>0</v>
      </c>
      <c r="BE432" s="845">
        <v>0</v>
      </c>
      <c r="BF432" s="661">
        <v>0</v>
      </c>
      <c r="BG432" s="1427">
        <v>0</v>
      </c>
      <c r="BH432" s="845">
        <v>0</v>
      </c>
      <c r="BI432" s="845">
        <v>0</v>
      </c>
      <c r="BJ432" s="845">
        <v>0</v>
      </c>
      <c r="BK432" s="661">
        <v>0</v>
      </c>
      <c r="BL432" s="845">
        <v>0</v>
      </c>
      <c r="BM432" s="845">
        <v>0</v>
      </c>
      <c r="BN432" s="845">
        <v>0</v>
      </c>
      <c r="BO432" s="847">
        <f t="shared" si="633"/>
        <v>0</v>
      </c>
      <c r="BP432" s="661">
        <v>0</v>
      </c>
      <c r="BQ432" s="845">
        <v>0</v>
      </c>
      <c r="BR432" s="845">
        <v>0</v>
      </c>
      <c r="BS432" s="845">
        <v>0</v>
      </c>
      <c r="BT432" s="847">
        <v>0</v>
      </c>
      <c r="BU432" s="661">
        <v>0</v>
      </c>
      <c r="BV432" s="845">
        <v>0</v>
      </c>
      <c r="BW432" s="845">
        <v>0</v>
      </c>
      <c r="BX432" s="845">
        <v>0</v>
      </c>
      <c r="BY432" s="845">
        <v>0</v>
      </c>
      <c r="BZ432" s="661">
        <v>0</v>
      </c>
      <c r="CA432" s="845">
        <v>0</v>
      </c>
      <c r="CB432" s="845">
        <v>0</v>
      </c>
      <c r="CC432" s="845">
        <f t="shared" si="634"/>
        <v>0</v>
      </c>
      <c r="CD432" s="845">
        <f t="shared" si="634"/>
        <v>0</v>
      </c>
      <c r="CE432" s="661">
        <v>0</v>
      </c>
      <c r="CF432" s="845">
        <v>0</v>
      </c>
      <c r="CG432" s="845">
        <v>0</v>
      </c>
      <c r="CH432" s="2349">
        <f t="shared" ref="CH432:CI434" si="635">CG432</f>
        <v>0</v>
      </c>
      <c r="CI432" s="2349">
        <f t="shared" si="635"/>
        <v>0</v>
      </c>
      <c r="CJ432" s="661">
        <v>0</v>
      </c>
      <c r="CK432" s="2982">
        <v>0</v>
      </c>
      <c r="CL432" s="2982">
        <v>0</v>
      </c>
      <c r="CM432" s="2982">
        <v>0</v>
      </c>
      <c r="CN432" s="2982">
        <v>0</v>
      </c>
      <c r="CO432" s="661">
        <v>0</v>
      </c>
      <c r="CP432" s="847">
        <f t="shared" si="631"/>
        <v>0</v>
      </c>
      <c r="CQ432" s="847">
        <f t="shared" si="631"/>
        <v>0</v>
      </c>
      <c r="CR432" s="847">
        <f t="shared" si="631"/>
        <v>0</v>
      </c>
      <c r="CS432" s="847">
        <f t="shared" si="631"/>
        <v>0</v>
      </c>
      <c r="CT432" s="661">
        <v>0</v>
      </c>
      <c r="CU432" s="661">
        <v>0</v>
      </c>
      <c r="CV432" s="661">
        <v>0</v>
      </c>
      <c r="CW432" s="374"/>
      <c r="CX432" s="374"/>
      <c r="CY432" s="374"/>
      <c r="CZ432" s="374"/>
      <c r="DA432" s="374"/>
      <c r="DB432" s="217"/>
    </row>
    <row r="433" spans="1:108" outlineLevel="1" x14ac:dyDescent="0.2">
      <c r="A433" s="1434" t="s">
        <v>383</v>
      </c>
      <c r="B433" s="651"/>
      <c r="C433" s="236"/>
      <c r="D433" s="234"/>
      <c r="E433" s="234"/>
      <c r="F433" s="234"/>
      <c r="G433" s="234"/>
      <c r="H433" s="848">
        <v>0</v>
      </c>
      <c r="I433" s="1427">
        <v>0</v>
      </c>
      <c r="J433" s="845">
        <v>0</v>
      </c>
      <c r="K433" s="845">
        <v>0</v>
      </c>
      <c r="L433" s="845">
        <v>0</v>
      </c>
      <c r="M433" s="661">
        <v>0</v>
      </c>
      <c r="N433" s="1427">
        <v>0</v>
      </c>
      <c r="O433" s="845">
        <v>0</v>
      </c>
      <c r="P433" s="845">
        <v>0</v>
      </c>
      <c r="Q433" s="845">
        <v>0</v>
      </c>
      <c r="R433" s="661">
        <v>0</v>
      </c>
      <c r="S433" s="1427">
        <v>0</v>
      </c>
      <c r="T433" s="845">
        <v>0</v>
      </c>
      <c r="U433" s="845">
        <v>0</v>
      </c>
      <c r="V433" s="845">
        <v>0</v>
      </c>
      <c r="W433" s="661">
        <v>0</v>
      </c>
      <c r="X433" s="1427">
        <v>0</v>
      </c>
      <c r="Y433" s="845">
        <v>0</v>
      </c>
      <c r="Z433" s="845">
        <v>0</v>
      </c>
      <c r="AA433" s="845">
        <v>0</v>
      </c>
      <c r="AB433" s="661">
        <v>0</v>
      </c>
      <c r="AC433" s="1427">
        <v>0</v>
      </c>
      <c r="AD433" s="845">
        <v>0</v>
      </c>
      <c r="AE433" s="845">
        <v>0</v>
      </c>
      <c r="AF433" s="845">
        <v>0</v>
      </c>
      <c r="AG433" s="661">
        <v>0</v>
      </c>
      <c r="AH433" s="1427">
        <v>0</v>
      </c>
      <c r="AI433" s="845">
        <v>0</v>
      </c>
      <c r="AJ433" s="845">
        <v>0</v>
      </c>
      <c r="AK433" s="845">
        <v>0</v>
      </c>
      <c r="AL433" s="661">
        <v>0</v>
      </c>
      <c r="AM433" s="1427">
        <v>0</v>
      </c>
      <c r="AN433" s="845">
        <v>0</v>
      </c>
      <c r="AO433" s="845">
        <v>0</v>
      </c>
      <c r="AP433" s="845">
        <v>0</v>
      </c>
      <c r="AQ433" s="661">
        <v>0</v>
      </c>
      <c r="AR433" s="845">
        <v>0</v>
      </c>
      <c r="AS433" s="845">
        <v>0</v>
      </c>
      <c r="AT433" s="845">
        <v>0</v>
      </c>
      <c r="AU433" s="845">
        <v>0</v>
      </c>
      <c r="AV433" s="661">
        <v>0</v>
      </c>
      <c r="AW433" s="845">
        <v>0</v>
      </c>
      <c r="AX433" s="845">
        <v>0</v>
      </c>
      <c r="AY433" s="845">
        <v>0</v>
      </c>
      <c r="AZ433" s="845">
        <v>0</v>
      </c>
      <c r="BA433" s="661">
        <v>0</v>
      </c>
      <c r="BB433" s="1427">
        <v>0</v>
      </c>
      <c r="BC433" s="845">
        <v>0</v>
      </c>
      <c r="BD433" s="845">
        <v>0</v>
      </c>
      <c r="BE433" s="845">
        <v>0</v>
      </c>
      <c r="BF433" s="661">
        <v>0</v>
      </c>
      <c r="BG433" s="1427">
        <v>0</v>
      </c>
      <c r="BH433" s="845">
        <v>0</v>
      </c>
      <c r="BI433" s="845">
        <v>0</v>
      </c>
      <c r="BJ433" s="845">
        <v>0</v>
      </c>
      <c r="BK433" s="661">
        <v>0</v>
      </c>
      <c r="BL433" s="845">
        <v>0</v>
      </c>
      <c r="BM433" s="845">
        <v>0</v>
      </c>
      <c r="BN433" s="845">
        <v>0</v>
      </c>
      <c r="BO433" s="847">
        <f t="shared" si="633"/>
        <v>0</v>
      </c>
      <c r="BP433" s="661">
        <v>0</v>
      </c>
      <c r="BQ433" s="845">
        <v>0</v>
      </c>
      <c r="BR433" s="845">
        <v>0</v>
      </c>
      <c r="BS433" s="845">
        <v>0</v>
      </c>
      <c r="BT433" s="847">
        <v>0</v>
      </c>
      <c r="BU433" s="661">
        <v>0</v>
      </c>
      <c r="BV433" s="845">
        <v>0</v>
      </c>
      <c r="BW433" s="845">
        <v>0</v>
      </c>
      <c r="BX433" s="845">
        <v>0</v>
      </c>
      <c r="BY433" s="845">
        <v>295</v>
      </c>
      <c r="BZ433" s="661">
        <f>+BY433</f>
        <v>295</v>
      </c>
      <c r="CA433" s="845">
        <v>0</v>
      </c>
      <c r="CB433" s="845">
        <v>0</v>
      </c>
      <c r="CC433" s="845">
        <f t="shared" si="634"/>
        <v>0</v>
      </c>
      <c r="CD433" s="845">
        <f t="shared" si="634"/>
        <v>0</v>
      </c>
      <c r="CE433" s="661">
        <v>0</v>
      </c>
      <c r="CF433" s="845">
        <v>0</v>
      </c>
      <c r="CG433" s="845">
        <v>0</v>
      </c>
      <c r="CH433" s="2349">
        <f t="shared" si="635"/>
        <v>0</v>
      </c>
      <c r="CI433" s="2349">
        <f t="shared" si="635"/>
        <v>0</v>
      </c>
      <c r="CJ433" s="661">
        <v>0</v>
      </c>
      <c r="CK433" s="2982">
        <v>0</v>
      </c>
      <c r="CL433" s="2982">
        <v>0</v>
      </c>
      <c r="CM433" s="2982">
        <v>0</v>
      </c>
      <c r="CN433" s="2982">
        <v>0</v>
      </c>
      <c r="CO433" s="661">
        <v>0</v>
      </c>
      <c r="CP433" s="847">
        <f t="shared" si="631"/>
        <v>0</v>
      </c>
      <c r="CQ433" s="847">
        <f t="shared" si="631"/>
        <v>0</v>
      </c>
      <c r="CR433" s="847">
        <f t="shared" si="631"/>
        <v>0</v>
      </c>
      <c r="CS433" s="847">
        <f t="shared" si="631"/>
        <v>0</v>
      </c>
      <c r="CT433" s="661">
        <v>0</v>
      </c>
      <c r="CU433" s="661">
        <v>0</v>
      </c>
      <c r="CV433" s="661">
        <v>0</v>
      </c>
      <c r="CW433" s="374"/>
      <c r="CX433" s="374"/>
      <c r="CY433" s="374"/>
      <c r="CZ433" s="374"/>
      <c r="DA433" s="374"/>
      <c r="DB433" s="217"/>
    </row>
    <row r="434" spans="1:108" outlineLevel="1" x14ac:dyDescent="0.2">
      <c r="A434" s="1434" t="s">
        <v>656</v>
      </c>
      <c r="B434" s="651"/>
      <c r="C434" s="236"/>
      <c r="D434" s="234"/>
      <c r="E434" s="234"/>
      <c r="F434" s="234"/>
      <c r="G434" s="234"/>
      <c r="H434" s="848">
        <v>0</v>
      </c>
      <c r="I434" s="1427">
        <v>0</v>
      </c>
      <c r="J434" s="845">
        <v>0</v>
      </c>
      <c r="K434" s="845">
        <v>0</v>
      </c>
      <c r="L434" s="845">
        <v>0</v>
      </c>
      <c r="M434" s="661">
        <v>0</v>
      </c>
      <c r="N434" s="1427">
        <v>0</v>
      </c>
      <c r="O434" s="845">
        <v>0</v>
      </c>
      <c r="P434" s="845">
        <v>0</v>
      </c>
      <c r="Q434" s="845">
        <v>0</v>
      </c>
      <c r="R434" s="661">
        <v>0</v>
      </c>
      <c r="S434" s="1427">
        <v>0</v>
      </c>
      <c r="T434" s="845">
        <v>0</v>
      </c>
      <c r="U434" s="845">
        <v>0</v>
      </c>
      <c r="V434" s="845">
        <v>0</v>
      </c>
      <c r="W434" s="661">
        <v>0</v>
      </c>
      <c r="X434" s="1427">
        <v>0</v>
      </c>
      <c r="Y434" s="845">
        <v>0</v>
      </c>
      <c r="Z434" s="845">
        <v>0</v>
      </c>
      <c r="AA434" s="845">
        <v>0</v>
      </c>
      <c r="AB434" s="661">
        <v>0</v>
      </c>
      <c r="AC434" s="1427">
        <v>0</v>
      </c>
      <c r="AD434" s="845">
        <v>0</v>
      </c>
      <c r="AE434" s="845">
        <v>0</v>
      </c>
      <c r="AF434" s="845">
        <v>0</v>
      </c>
      <c r="AG434" s="661">
        <v>0</v>
      </c>
      <c r="AH434" s="1427">
        <v>0</v>
      </c>
      <c r="AI434" s="845">
        <v>0</v>
      </c>
      <c r="AJ434" s="845">
        <v>0</v>
      </c>
      <c r="AK434" s="845">
        <v>0</v>
      </c>
      <c r="AL434" s="661">
        <v>0</v>
      </c>
      <c r="AM434" s="1427">
        <v>0</v>
      </c>
      <c r="AN434" s="845">
        <v>0</v>
      </c>
      <c r="AO434" s="845">
        <v>0</v>
      </c>
      <c r="AP434" s="845">
        <v>0</v>
      </c>
      <c r="AQ434" s="661">
        <v>0</v>
      </c>
      <c r="AR434" s="845">
        <v>0</v>
      </c>
      <c r="AS434" s="845">
        <v>0</v>
      </c>
      <c r="AT434" s="845">
        <v>0</v>
      </c>
      <c r="AU434" s="845">
        <v>0</v>
      </c>
      <c r="AV434" s="661">
        <v>0</v>
      </c>
      <c r="AW434" s="845">
        <v>0</v>
      </c>
      <c r="AX434" s="845">
        <v>0</v>
      </c>
      <c r="AY434" s="845">
        <v>0</v>
      </c>
      <c r="AZ434" s="845">
        <v>0</v>
      </c>
      <c r="BA434" s="661">
        <v>0</v>
      </c>
      <c r="BB434" s="1427">
        <v>0</v>
      </c>
      <c r="BC434" s="845">
        <v>0</v>
      </c>
      <c r="BD434" s="845">
        <v>0</v>
      </c>
      <c r="BE434" s="845">
        <v>0</v>
      </c>
      <c r="BF434" s="661">
        <v>0</v>
      </c>
      <c r="BG434" s="1427">
        <v>0</v>
      </c>
      <c r="BH434" s="845">
        <v>0</v>
      </c>
      <c r="BI434" s="845">
        <v>0</v>
      </c>
      <c r="BJ434" s="845">
        <v>0</v>
      </c>
      <c r="BK434" s="661">
        <v>0</v>
      </c>
      <c r="BL434" s="845">
        <v>0</v>
      </c>
      <c r="BM434" s="845">
        <v>0</v>
      </c>
      <c r="BN434" s="845">
        <v>0</v>
      </c>
      <c r="BO434" s="847">
        <f t="shared" si="633"/>
        <v>0</v>
      </c>
      <c r="BP434" s="661">
        <v>0</v>
      </c>
      <c r="BQ434" s="845">
        <v>0</v>
      </c>
      <c r="BR434" s="845">
        <v>0</v>
      </c>
      <c r="BS434" s="845">
        <v>0</v>
      </c>
      <c r="BT434" s="847">
        <v>0</v>
      </c>
      <c r="BU434" s="661">
        <v>0</v>
      </c>
      <c r="BV434" s="845">
        <v>0</v>
      </c>
      <c r="BW434" s="845">
        <v>0</v>
      </c>
      <c r="BX434" s="845">
        <v>0</v>
      </c>
      <c r="BY434" s="845">
        <v>0</v>
      </c>
      <c r="BZ434" s="661">
        <v>0</v>
      </c>
      <c r="CA434" s="845">
        <v>0</v>
      </c>
      <c r="CB434" s="845">
        <v>0</v>
      </c>
      <c r="CC434" s="845">
        <f t="shared" si="634"/>
        <v>0</v>
      </c>
      <c r="CD434" s="845">
        <f t="shared" si="634"/>
        <v>0</v>
      </c>
      <c r="CE434" s="661">
        <v>0</v>
      </c>
      <c r="CF434" s="845">
        <v>0</v>
      </c>
      <c r="CG434" s="845">
        <v>0</v>
      </c>
      <c r="CH434" s="2349">
        <f t="shared" si="635"/>
        <v>0</v>
      </c>
      <c r="CI434" s="2349">
        <f t="shared" si="635"/>
        <v>0</v>
      </c>
      <c r="CJ434" s="661">
        <v>0</v>
      </c>
      <c r="CK434" s="2982">
        <v>0</v>
      </c>
      <c r="CL434" s="2982">
        <v>0</v>
      </c>
      <c r="CM434" s="2982">
        <v>0</v>
      </c>
      <c r="CN434" s="2982">
        <v>0</v>
      </c>
      <c r="CO434" s="661">
        <v>0</v>
      </c>
      <c r="CP434" s="847">
        <f t="shared" ref="CP434:CS445" si="636">CO434</f>
        <v>0</v>
      </c>
      <c r="CQ434" s="847">
        <f t="shared" si="636"/>
        <v>0</v>
      </c>
      <c r="CR434" s="847">
        <f t="shared" si="636"/>
        <v>0</v>
      </c>
      <c r="CS434" s="847">
        <f t="shared" si="636"/>
        <v>0</v>
      </c>
      <c r="CT434" s="661">
        <v>0</v>
      </c>
      <c r="CU434" s="661">
        <v>0</v>
      </c>
      <c r="CV434" s="661">
        <v>0</v>
      </c>
      <c r="CW434" s="374"/>
      <c r="CX434" s="374"/>
      <c r="CY434" s="374"/>
      <c r="CZ434" s="374"/>
      <c r="DA434" s="374"/>
      <c r="DB434" s="217"/>
    </row>
    <row r="435" spans="1:108" outlineLevel="1" x14ac:dyDescent="0.2">
      <c r="A435" s="1436" t="s">
        <v>1386</v>
      </c>
      <c r="B435" s="651"/>
      <c r="C435" s="236"/>
      <c r="D435" s="234"/>
      <c r="E435" s="234"/>
      <c r="F435" s="234"/>
      <c r="G435" s="234"/>
      <c r="H435" s="848">
        <v>4840</v>
      </c>
      <c r="I435" s="1427">
        <f>453+4177</f>
        <v>4630</v>
      </c>
      <c r="J435" s="845">
        <f>156+4023</f>
        <v>4179</v>
      </c>
      <c r="K435" s="845">
        <f>156+3389</f>
        <v>3545</v>
      </c>
      <c r="L435" s="845">
        <f>640+3902</f>
        <v>4542</v>
      </c>
      <c r="M435" s="661">
        <f>L435</f>
        <v>4542</v>
      </c>
      <c r="N435" s="1427">
        <f>405+3905</f>
        <v>4310</v>
      </c>
      <c r="O435" s="845">
        <f>481+3905</f>
        <v>4386</v>
      </c>
      <c r="P435" s="845">
        <v>4410</v>
      </c>
      <c r="Q435" s="845">
        <f>203+3905</f>
        <v>4108</v>
      </c>
      <c r="R435" s="661">
        <f>Q435</f>
        <v>4108</v>
      </c>
      <c r="S435" s="845">
        <f>203+3905</f>
        <v>4108</v>
      </c>
      <c r="T435" s="845">
        <v>4108</v>
      </c>
      <c r="U435" s="845">
        <v>4108</v>
      </c>
      <c r="V435" s="845">
        <v>4108</v>
      </c>
      <c r="W435" s="661">
        <f>V435</f>
        <v>4108</v>
      </c>
      <c r="X435" s="845">
        <v>4108</v>
      </c>
      <c r="Y435" s="845">
        <v>3982</v>
      </c>
      <c r="Z435" s="845">
        <f>203+3626</f>
        <v>3829</v>
      </c>
      <c r="AA435" s="845">
        <v>3517</v>
      </c>
      <c r="AB435" s="661">
        <f>+AA435</f>
        <v>3517</v>
      </c>
      <c r="AC435" s="845">
        <v>3517</v>
      </c>
      <c r="AD435" s="845">
        <v>3517</v>
      </c>
      <c r="AE435" s="845">
        <v>3517</v>
      </c>
      <c r="AF435" s="845">
        <v>3517</v>
      </c>
      <c r="AG435" s="661">
        <f>+AF435</f>
        <v>3517</v>
      </c>
      <c r="AH435" s="1427">
        <v>3517</v>
      </c>
      <c r="AI435" s="845">
        <v>3517</v>
      </c>
      <c r="AJ435" s="845">
        <v>3517</v>
      </c>
      <c r="AK435" s="845">
        <v>3517</v>
      </c>
      <c r="AL435" s="661">
        <f>+AK435</f>
        <v>3517</v>
      </c>
      <c r="AM435" s="845">
        <v>3517</v>
      </c>
      <c r="AN435" s="845">
        <v>3517</v>
      </c>
      <c r="AO435" s="845">
        <v>3314</v>
      </c>
      <c r="AP435" s="845">
        <v>3314</v>
      </c>
      <c r="AQ435" s="661">
        <f>+AP435</f>
        <v>3314</v>
      </c>
      <c r="AR435" s="845">
        <v>3314</v>
      </c>
      <c r="AS435" s="845">
        <f>149+3165</f>
        <v>3314</v>
      </c>
      <c r="AT435" s="845">
        <f>149+3165</f>
        <v>3314</v>
      </c>
      <c r="AU435" s="845">
        <f>149+3165</f>
        <v>3314</v>
      </c>
      <c r="AV435" s="661">
        <f>+AU435</f>
        <v>3314</v>
      </c>
      <c r="AW435" s="845">
        <f>149+3165</f>
        <v>3314</v>
      </c>
      <c r="AX435" s="845">
        <f>149+3165</f>
        <v>3314</v>
      </c>
      <c r="AY435" s="845">
        <f>149+3165</f>
        <v>3314</v>
      </c>
      <c r="AZ435" s="845">
        <f>149+3165</f>
        <v>3314</v>
      </c>
      <c r="BA435" s="661">
        <f>+AZ435</f>
        <v>3314</v>
      </c>
      <c r="BB435" s="845">
        <f>149+3165</f>
        <v>3314</v>
      </c>
      <c r="BC435" s="845">
        <f>149+3165</f>
        <v>3314</v>
      </c>
      <c r="BD435" s="845">
        <f>149+3165</f>
        <v>3314</v>
      </c>
      <c r="BE435" s="845">
        <f>149+3165</f>
        <v>3314</v>
      </c>
      <c r="BF435" s="661">
        <f>+BE435</f>
        <v>3314</v>
      </c>
      <c r="BG435" s="845">
        <f>149+3165</f>
        <v>3314</v>
      </c>
      <c r="BH435" s="845">
        <f>149+3165</f>
        <v>3314</v>
      </c>
      <c r="BI435" s="845">
        <f>149+3165</f>
        <v>3314</v>
      </c>
      <c r="BJ435" s="845">
        <f>149+3165</f>
        <v>3314</v>
      </c>
      <c r="BK435" s="661">
        <f>+BJ435</f>
        <v>3314</v>
      </c>
      <c r="BL435" s="845">
        <f>149+3165</f>
        <v>3314</v>
      </c>
      <c r="BM435" s="845">
        <f>149+2667</f>
        <v>2816</v>
      </c>
      <c r="BN435" s="845">
        <f>149+2667</f>
        <v>2816</v>
      </c>
      <c r="BO435" s="845">
        <f>149+2667</f>
        <v>2816</v>
      </c>
      <c r="BP435" s="661">
        <f>+BO435</f>
        <v>2816</v>
      </c>
      <c r="BQ435" s="845">
        <f>149+2667</f>
        <v>2816</v>
      </c>
      <c r="BR435" s="845">
        <f>149+2667</f>
        <v>2816</v>
      </c>
      <c r="BS435" s="845">
        <f>149+2667</f>
        <v>2816</v>
      </c>
      <c r="BT435" s="845">
        <f>149+2667</f>
        <v>2816</v>
      </c>
      <c r="BU435" s="661">
        <f>+BT435</f>
        <v>2816</v>
      </c>
      <c r="BV435" s="845">
        <f>149+2667</f>
        <v>2816</v>
      </c>
      <c r="BW435" s="845">
        <f>149+2667</f>
        <v>2816</v>
      </c>
      <c r="BX435" s="845">
        <f>149+2667</f>
        <v>2816</v>
      </c>
      <c r="BY435" s="845">
        <f>149+2667</f>
        <v>2816</v>
      </c>
      <c r="BZ435" s="661">
        <f>+BY435</f>
        <v>2816</v>
      </c>
      <c r="CA435" s="845">
        <v>2816</v>
      </c>
      <c r="CB435" s="845">
        <f>149+2667</f>
        <v>2816</v>
      </c>
      <c r="CC435" s="845">
        <f>149+2667</f>
        <v>2816</v>
      </c>
      <c r="CD435" s="845">
        <f>149+2667</f>
        <v>2816</v>
      </c>
      <c r="CE435" s="661">
        <f t="shared" ref="CE435:CE440" si="637">+CD435</f>
        <v>2816</v>
      </c>
      <c r="CF435" s="845">
        <f>2667+149</f>
        <v>2816</v>
      </c>
      <c r="CG435" s="845">
        <f>2667+149</f>
        <v>2816</v>
      </c>
      <c r="CH435" s="2983">
        <v>2816</v>
      </c>
      <c r="CI435" s="2983">
        <v>2816</v>
      </c>
      <c r="CJ435" s="661">
        <f>+CI435</f>
        <v>2816</v>
      </c>
      <c r="CK435" s="2982">
        <v>2814</v>
      </c>
      <c r="CL435" s="2982">
        <v>2814</v>
      </c>
      <c r="CM435" s="2982">
        <v>2814</v>
      </c>
      <c r="CN435" s="2982">
        <v>2814</v>
      </c>
      <c r="CO435" s="661">
        <f>+CN435</f>
        <v>2814</v>
      </c>
      <c r="CP435" s="847">
        <f t="shared" ref="CP435:CP443" si="638">CO435</f>
        <v>2814</v>
      </c>
      <c r="CQ435" s="847">
        <f t="shared" si="636"/>
        <v>2814</v>
      </c>
      <c r="CR435" s="847">
        <f t="shared" si="636"/>
        <v>2814</v>
      </c>
      <c r="CS435" s="847">
        <f t="shared" si="636"/>
        <v>2814</v>
      </c>
      <c r="CT435" s="661">
        <f>+CS435</f>
        <v>2814</v>
      </c>
      <c r="CU435" s="661">
        <f t="shared" ref="CU435:CV440" si="639">+CT435</f>
        <v>2814</v>
      </c>
      <c r="CV435" s="661">
        <f t="shared" si="639"/>
        <v>2814</v>
      </c>
      <c r="CW435" s="374"/>
      <c r="CX435" s="374"/>
      <c r="CY435" s="374"/>
      <c r="CZ435" s="374"/>
      <c r="DA435" s="374"/>
      <c r="DB435" s="217"/>
    </row>
    <row r="436" spans="1:108" outlineLevel="1" x14ac:dyDescent="0.2">
      <c r="A436" s="1436" t="s">
        <v>47</v>
      </c>
      <c r="B436" s="651"/>
      <c r="C436" s="236"/>
      <c r="D436" s="234"/>
      <c r="E436" s="234"/>
      <c r="F436" s="234"/>
      <c r="G436" s="234"/>
      <c r="H436" s="848">
        <v>0</v>
      </c>
      <c r="I436" s="1427">
        <v>0</v>
      </c>
      <c r="J436" s="845">
        <v>0</v>
      </c>
      <c r="K436" s="845">
        <v>0</v>
      </c>
      <c r="L436" s="845">
        <v>0</v>
      </c>
      <c r="M436" s="848">
        <v>0</v>
      </c>
      <c r="N436" s="1427">
        <v>0</v>
      </c>
      <c r="O436" s="845">
        <v>0</v>
      </c>
      <c r="P436" s="845">
        <v>0</v>
      </c>
      <c r="Q436" s="845">
        <v>0</v>
      </c>
      <c r="R436" s="848">
        <v>0</v>
      </c>
      <c r="S436" s="1427">
        <v>0</v>
      </c>
      <c r="T436" s="845">
        <v>0</v>
      </c>
      <c r="U436" s="845">
        <v>0</v>
      </c>
      <c r="V436" s="845">
        <v>0</v>
      </c>
      <c r="W436" s="848">
        <v>0</v>
      </c>
      <c r="X436" s="1427">
        <v>0</v>
      </c>
      <c r="Y436" s="845">
        <v>0</v>
      </c>
      <c r="Z436" s="845">
        <v>0</v>
      </c>
      <c r="AA436" s="845">
        <v>0</v>
      </c>
      <c r="AB436" s="848">
        <v>0</v>
      </c>
      <c r="AC436" s="1427">
        <v>0</v>
      </c>
      <c r="AD436" s="845">
        <v>0</v>
      </c>
      <c r="AE436" s="845">
        <v>0</v>
      </c>
      <c r="AF436" s="845">
        <v>0</v>
      </c>
      <c r="AG436" s="848">
        <v>0</v>
      </c>
      <c r="AH436" s="1427">
        <v>0</v>
      </c>
      <c r="AI436" s="845">
        <v>0</v>
      </c>
      <c r="AJ436" s="845">
        <v>0</v>
      </c>
      <c r="AK436" s="845">
        <v>0</v>
      </c>
      <c r="AL436" s="848">
        <v>0</v>
      </c>
      <c r="AM436" s="1427">
        <v>0</v>
      </c>
      <c r="AN436" s="845">
        <v>0</v>
      </c>
      <c r="AO436" s="845">
        <v>0</v>
      </c>
      <c r="AP436" s="845">
        <v>0</v>
      </c>
      <c r="AQ436" s="848">
        <v>0</v>
      </c>
      <c r="AR436" s="1427">
        <v>0</v>
      </c>
      <c r="AS436" s="845">
        <v>0</v>
      </c>
      <c r="AT436" s="845">
        <v>0</v>
      </c>
      <c r="AU436" s="845">
        <v>0</v>
      </c>
      <c r="AV436" s="848">
        <v>0</v>
      </c>
      <c r="AW436" s="1427">
        <v>0</v>
      </c>
      <c r="AX436" s="845">
        <v>0</v>
      </c>
      <c r="AY436" s="845">
        <v>0</v>
      </c>
      <c r="AZ436" s="845">
        <v>0</v>
      </c>
      <c r="BA436" s="848">
        <v>0</v>
      </c>
      <c r="BB436" s="1427">
        <v>0</v>
      </c>
      <c r="BC436" s="845">
        <v>0</v>
      </c>
      <c r="BD436" s="845">
        <v>0</v>
      </c>
      <c r="BE436" s="845">
        <v>0</v>
      </c>
      <c r="BF436" s="848">
        <v>0</v>
      </c>
      <c r="BG436" s="1427">
        <v>0</v>
      </c>
      <c r="BH436" s="845">
        <v>0</v>
      </c>
      <c r="BI436" s="845">
        <v>0</v>
      </c>
      <c r="BJ436" s="845">
        <v>0</v>
      </c>
      <c r="BK436" s="848">
        <v>0</v>
      </c>
      <c r="BL436" s="1427">
        <v>0</v>
      </c>
      <c r="BM436" s="845">
        <v>0</v>
      </c>
      <c r="BN436" s="845">
        <v>0</v>
      </c>
      <c r="BO436" s="845">
        <v>0</v>
      </c>
      <c r="BP436" s="848">
        <v>0</v>
      </c>
      <c r="BQ436" s="1427">
        <v>0</v>
      </c>
      <c r="BR436" s="845">
        <v>0</v>
      </c>
      <c r="BS436" s="845">
        <v>0</v>
      </c>
      <c r="BT436" s="845">
        <v>0</v>
      </c>
      <c r="BU436" s="848">
        <v>0</v>
      </c>
      <c r="BV436" s="1427">
        <v>0</v>
      </c>
      <c r="BW436" s="845">
        <v>0</v>
      </c>
      <c r="BX436" s="845">
        <v>0</v>
      </c>
      <c r="BY436" s="845">
        <v>0</v>
      </c>
      <c r="BZ436" s="848">
        <v>0</v>
      </c>
      <c r="CA436" s="1427">
        <v>0</v>
      </c>
      <c r="CB436" s="845">
        <v>0</v>
      </c>
      <c r="CC436" s="845">
        <v>0</v>
      </c>
      <c r="CD436" s="845">
        <v>0</v>
      </c>
      <c r="CE436" s="848">
        <v>0</v>
      </c>
      <c r="CF436" s="1427">
        <v>0</v>
      </c>
      <c r="CG436" s="845">
        <v>0</v>
      </c>
      <c r="CH436" s="845">
        <v>0</v>
      </c>
      <c r="CI436" s="845">
        <v>0</v>
      </c>
      <c r="CJ436" s="848">
        <v>0</v>
      </c>
      <c r="CK436" s="2982">
        <v>0</v>
      </c>
      <c r="CL436" s="2982">
        <v>0</v>
      </c>
      <c r="CM436" s="2982">
        <v>0</v>
      </c>
      <c r="CN436" s="2982">
        <v>0</v>
      </c>
      <c r="CO436" s="848">
        <v>0</v>
      </c>
      <c r="CP436" s="845">
        <f t="shared" si="638"/>
        <v>0</v>
      </c>
      <c r="CQ436" s="845">
        <f t="shared" si="636"/>
        <v>0</v>
      </c>
      <c r="CR436" s="845">
        <f t="shared" si="636"/>
        <v>0</v>
      </c>
      <c r="CS436" s="845">
        <f t="shared" si="636"/>
        <v>0</v>
      </c>
      <c r="CT436" s="848">
        <v>0</v>
      </c>
      <c r="CU436" s="848">
        <v>0</v>
      </c>
      <c r="CV436" s="848">
        <v>0</v>
      </c>
      <c r="CW436" s="374"/>
      <c r="CX436" s="374"/>
      <c r="CY436" s="374"/>
      <c r="CZ436" s="374"/>
      <c r="DA436" s="374"/>
      <c r="DB436" s="217"/>
    </row>
    <row r="437" spans="1:108" x14ac:dyDescent="0.2">
      <c r="A437" s="1436" t="s">
        <v>1388</v>
      </c>
      <c r="B437" s="651"/>
      <c r="C437" s="236"/>
      <c r="D437" s="234"/>
      <c r="E437" s="234"/>
      <c r="F437" s="234"/>
      <c r="G437" s="234"/>
      <c r="H437" s="848">
        <v>2069</v>
      </c>
      <c r="I437" s="1427">
        <v>2069</v>
      </c>
      <c r="J437" s="845">
        <v>1829</v>
      </c>
      <c r="K437" s="845">
        <v>1709</v>
      </c>
      <c r="L437" s="845">
        <v>1709</v>
      </c>
      <c r="M437" s="848">
        <f>L437</f>
        <v>1709</v>
      </c>
      <c r="N437" s="1427">
        <v>1709</v>
      </c>
      <c r="O437" s="845">
        <v>1709</v>
      </c>
      <c r="P437" s="845">
        <v>1685</v>
      </c>
      <c r="Q437" s="845">
        <f>353+1267</f>
        <v>1620</v>
      </c>
      <c r="R437" s="848">
        <f>Q437</f>
        <v>1620</v>
      </c>
      <c r="S437" s="1427">
        <f>353+1267</f>
        <v>1620</v>
      </c>
      <c r="T437" s="845">
        <v>1099</v>
      </c>
      <c r="U437" s="845">
        <v>1099</v>
      </c>
      <c r="V437" s="845">
        <v>865</v>
      </c>
      <c r="W437" s="848">
        <f>V437</f>
        <v>865</v>
      </c>
      <c r="X437" s="1427">
        <v>865</v>
      </c>
      <c r="Y437" s="845">
        <v>637</v>
      </c>
      <c r="Z437" s="845">
        <v>198</v>
      </c>
      <c r="AA437" s="845">
        <v>198</v>
      </c>
      <c r="AB437" s="848">
        <f>+AA437</f>
        <v>198</v>
      </c>
      <c r="AC437" s="1427">
        <v>198</v>
      </c>
      <c r="AD437" s="845">
        <v>198</v>
      </c>
      <c r="AE437" s="845">
        <v>198</v>
      </c>
      <c r="AF437" s="845">
        <v>198</v>
      </c>
      <c r="AG437" s="848">
        <f>+AF437</f>
        <v>198</v>
      </c>
      <c r="AH437" s="1427">
        <v>198</v>
      </c>
      <c r="AI437" s="845">
        <v>198</v>
      </c>
      <c r="AJ437" s="845">
        <v>198</v>
      </c>
      <c r="AK437" s="845">
        <v>198</v>
      </c>
      <c r="AL437" s="848">
        <f>+AK437</f>
        <v>198</v>
      </c>
      <c r="AM437" s="1427">
        <v>198</v>
      </c>
      <c r="AN437" s="845">
        <v>390</v>
      </c>
      <c r="AO437" s="845">
        <v>192</v>
      </c>
      <c r="AP437" s="845">
        <v>192</v>
      </c>
      <c r="AQ437" s="848">
        <f>+AP437</f>
        <v>192</v>
      </c>
      <c r="AR437" s="1427">
        <v>192</v>
      </c>
      <c r="AS437" s="845">
        <v>192</v>
      </c>
      <c r="AT437" s="845">
        <v>192</v>
      </c>
      <c r="AU437" s="845">
        <v>192</v>
      </c>
      <c r="AV437" s="848">
        <f>+AU437</f>
        <v>192</v>
      </c>
      <c r="AW437" s="1427">
        <v>192</v>
      </c>
      <c r="AX437" s="845">
        <v>192</v>
      </c>
      <c r="AY437" s="845">
        <v>192</v>
      </c>
      <c r="AZ437" s="845">
        <v>192</v>
      </c>
      <c r="BA437" s="848">
        <f>+AZ437</f>
        <v>192</v>
      </c>
      <c r="BB437" s="1427">
        <v>192</v>
      </c>
      <c r="BC437" s="845">
        <v>192</v>
      </c>
      <c r="BD437" s="845">
        <v>192</v>
      </c>
      <c r="BE437" s="845">
        <v>192</v>
      </c>
      <c r="BF437" s="848">
        <f>+BE437</f>
        <v>192</v>
      </c>
      <c r="BG437" s="1427">
        <v>192</v>
      </c>
      <c r="BH437" s="845">
        <v>192</v>
      </c>
      <c r="BI437" s="845">
        <v>192</v>
      </c>
      <c r="BJ437" s="845">
        <v>192</v>
      </c>
      <c r="BK437" s="848">
        <f>+BJ437</f>
        <v>192</v>
      </c>
      <c r="BL437" s="1427">
        <v>192</v>
      </c>
      <c r="BM437" s="845">
        <v>192</v>
      </c>
      <c r="BN437" s="845">
        <v>192</v>
      </c>
      <c r="BO437" s="845">
        <v>192</v>
      </c>
      <c r="BP437" s="848">
        <f>+BO437</f>
        <v>192</v>
      </c>
      <c r="BQ437" s="1427">
        <v>192</v>
      </c>
      <c r="BR437" s="845">
        <v>192</v>
      </c>
      <c r="BS437" s="845">
        <v>192</v>
      </c>
      <c r="BT437" s="845">
        <v>192</v>
      </c>
      <c r="BU437" s="848">
        <f>+BT437</f>
        <v>192</v>
      </c>
      <c r="BV437" s="1427">
        <v>192</v>
      </c>
      <c r="BW437" s="845">
        <f>BV437</f>
        <v>192</v>
      </c>
      <c r="BX437" s="845">
        <f>BW437</f>
        <v>192</v>
      </c>
      <c r="BY437" s="845">
        <v>192</v>
      </c>
      <c r="BZ437" s="848">
        <f>+BY437</f>
        <v>192</v>
      </c>
      <c r="CA437" s="1427">
        <v>192</v>
      </c>
      <c r="CB437" s="845">
        <v>192</v>
      </c>
      <c r="CC437" s="845">
        <v>192</v>
      </c>
      <c r="CD437" s="845">
        <v>192</v>
      </c>
      <c r="CE437" s="661">
        <f t="shared" si="637"/>
        <v>192</v>
      </c>
      <c r="CF437" s="1427">
        <v>192</v>
      </c>
      <c r="CG437" s="845">
        <v>192</v>
      </c>
      <c r="CH437" s="2983">
        <v>192</v>
      </c>
      <c r="CI437" s="2983">
        <v>192</v>
      </c>
      <c r="CJ437" s="661">
        <f>+CI437</f>
        <v>192</v>
      </c>
      <c r="CK437" s="2982">
        <v>192</v>
      </c>
      <c r="CL437" s="2982">
        <v>192</v>
      </c>
      <c r="CM437" s="2982">
        <v>192</v>
      </c>
      <c r="CN437" s="2982">
        <v>192</v>
      </c>
      <c r="CO437" s="661">
        <f>+CN437</f>
        <v>192</v>
      </c>
      <c r="CP437" s="847">
        <f t="shared" si="638"/>
        <v>192</v>
      </c>
      <c r="CQ437" s="847">
        <f t="shared" si="636"/>
        <v>192</v>
      </c>
      <c r="CR437" s="847">
        <f t="shared" si="636"/>
        <v>192</v>
      </c>
      <c r="CS437" s="847">
        <f t="shared" si="636"/>
        <v>192</v>
      </c>
      <c r="CT437" s="661">
        <f>+CS437</f>
        <v>192</v>
      </c>
      <c r="CU437" s="661">
        <f t="shared" si="639"/>
        <v>192</v>
      </c>
      <c r="CV437" s="661">
        <f t="shared" si="639"/>
        <v>192</v>
      </c>
      <c r="CW437" s="374"/>
      <c r="CX437" s="374"/>
      <c r="CY437" s="374"/>
      <c r="CZ437" s="374"/>
      <c r="DA437" s="374"/>
      <c r="DB437" s="217"/>
    </row>
    <row r="438" spans="1:108" x14ac:dyDescent="0.2">
      <c r="A438" s="1436" t="s">
        <v>1391</v>
      </c>
      <c r="B438" s="651"/>
      <c r="C438" s="236"/>
      <c r="D438" s="234"/>
      <c r="E438" s="234"/>
      <c r="F438" s="234"/>
      <c r="G438" s="234"/>
      <c r="H438" s="848">
        <v>1198</v>
      </c>
      <c r="I438" s="1427">
        <f>331+1061</f>
        <v>1392</v>
      </c>
      <c r="J438" s="845">
        <f>194+729</f>
        <v>923</v>
      </c>
      <c r="K438" s="845">
        <f>338+732</f>
        <v>1070</v>
      </c>
      <c r="L438" s="845">
        <f>338+732</f>
        <v>1070</v>
      </c>
      <c r="M438" s="661">
        <f>L438</f>
        <v>1070</v>
      </c>
      <c r="N438" s="845">
        <f>194+732</f>
        <v>926</v>
      </c>
      <c r="O438" s="845">
        <f>194+732</f>
        <v>926</v>
      </c>
      <c r="P438" s="845">
        <f>194+731</f>
        <v>925</v>
      </c>
      <c r="Q438" s="845">
        <f>194+415</f>
        <v>609</v>
      </c>
      <c r="R438" s="661">
        <f>Q438</f>
        <v>609</v>
      </c>
      <c r="S438" s="845">
        <f>194+415</f>
        <v>609</v>
      </c>
      <c r="T438" s="845">
        <v>415</v>
      </c>
      <c r="U438" s="845">
        <v>415</v>
      </c>
      <c r="V438" s="845">
        <v>415</v>
      </c>
      <c r="W438" s="661">
        <f>V438</f>
        <v>415</v>
      </c>
      <c r="X438" s="845">
        <v>415</v>
      </c>
      <c r="Y438" s="845">
        <v>127</v>
      </c>
      <c r="Z438" s="845">
        <v>0</v>
      </c>
      <c r="AA438" s="845">
        <v>0</v>
      </c>
      <c r="AB438" s="661">
        <f>+AA438</f>
        <v>0</v>
      </c>
      <c r="AC438" s="845">
        <v>0</v>
      </c>
      <c r="AD438" s="845">
        <v>0</v>
      </c>
      <c r="AE438" s="845">
        <v>0</v>
      </c>
      <c r="AF438" s="845">
        <v>0</v>
      </c>
      <c r="AG438" s="661">
        <f>+AF438</f>
        <v>0</v>
      </c>
      <c r="AH438" s="845">
        <v>0</v>
      </c>
      <c r="AI438" s="845">
        <v>0</v>
      </c>
      <c r="AJ438" s="845">
        <v>0</v>
      </c>
      <c r="AK438" s="845">
        <v>0</v>
      </c>
      <c r="AL438" s="661">
        <f>+AK438</f>
        <v>0</v>
      </c>
      <c r="AM438" s="845">
        <v>0</v>
      </c>
      <c r="AN438" s="845">
        <v>0</v>
      </c>
      <c r="AO438" s="845">
        <v>0</v>
      </c>
      <c r="AP438" s="845">
        <v>0</v>
      </c>
      <c r="AQ438" s="661">
        <f>+AP438</f>
        <v>0</v>
      </c>
      <c r="AR438" s="845">
        <v>0</v>
      </c>
      <c r="AS438" s="845">
        <v>0</v>
      </c>
      <c r="AT438" s="845">
        <v>0</v>
      </c>
      <c r="AU438" s="845">
        <v>0</v>
      </c>
      <c r="AV438" s="661">
        <f>+AU438</f>
        <v>0</v>
      </c>
      <c r="AW438" s="845">
        <v>0</v>
      </c>
      <c r="AX438" s="845">
        <v>0</v>
      </c>
      <c r="AY438" s="845">
        <v>0</v>
      </c>
      <c r="AZ438" s="845">
        <v>0</v>
      </c>
      <c r="BA438" s="661">
        <f>+AZ438</f>
        <v>0</v>
      </c>
      <c r="BB438" s="845">
        <v>0</v>
      </c>
      <c r="BC438" s="845">
        <v>0</v>
      </c>
      <c r="BD438" s="845">
        <v>0</v>
      </c>
      <c r="BE438" s="845">
        <v>0</v>
      </c>
      <c r="BF438" s="661">
        <f>+BE438</f>
        <v>0</v>
      </c>
      <c r="BG438" s="845">
        <v>0</v>
      </c>
      <c r="BH438" s="845">
        <v>0</v>
      </c>
      <c r="BI438" s="845">
        <v>0</v>
      </c>
      <c r="BJ438" s="845">
        <v>0</v>
      </c>
      <c r="BK438" s="661">
        <f>+BJ438</f>
        <v>0</v>
      </c>
      <c r="BL438" s="845">
        <v>0</v>
      </c>
      <c r="BM438" s="845">
        <v>0</v>
      </c>
      <c r="BN438" s="845">
        <v>0</v>
      </c>
      <c r="BO438" s="845">
        <v>0</v>
      </c>
      <c r="BP438" s="661">
        <f>+BO438</f>
        <v>0</v>
      </c>
      <c r="BQ438" s="1427">
        <v>0</v>
      </c>
      <c r="BR438" s="845">
        <v>0</v>
      </c>
      <c r="BS438" s="845">
        <v>0</v>
      </c>
      <c r="BT438" s="845">
        <v>0</v>
      </c>
      <c r="BU438" s="661">
        <f>+BT438</f>
        <v>0</v>
      </c>
      <c r="BV438" s="1427">
        <v>0</v>
      </c>
      <c r="BW438" s="845">
        <f t="shared" ref="BW438:BY440" si="640">+BV438</f>
        <v>0</v>
      </c>
      <c r="BX438" s="845">
        <f t="shared" si="640"/>
        <v>0</v>
      </c>
      <c r="BY438" s="845">
        <f t="shared" si="640"/>
        <v>0</v>
      </c>
      <c r="BZ438" s="661">
        <f>+BY438</f>
        <v>0</v>
      </c>
      <c r="CA438" s="1427">
        <v>0</v>
      </c>
      <c r="CB438" s="845">
        <v>0</v>
      </c>
      <c r="CC438" s="845">
        <f t="shared" ref="CC438:CD440" si="641">+CB438</f>
        <v>0</v>
      </c>
      <c r="CD438" s="845">
        <f t="shared" si="641"/>
        <v>0</v>
      </c>
      <c r="CE438" s="661">
        <f t="shared" si="637"/>
        <v>0</v>
      </c>
      <c r="CF438" s="1427">
        <v>0</v>
      </c>
      <c r="CG438" s="845">
        <v>0</v>
      </c>
      <c r="CH438" s="2349">
        <f t="shared" ref="CH438:CI440" si="642">+CG438</f>
        <v>0</v>
      </c>
      <c r="CI438" s="2349">
        <f t="shared" si="642"/>
        <v>0</v>
      </c>
      <c r="CJ438" s="661">
        <f>+CI438</f>
        <v>0</v>
      </c>
      <c r="CK438" s="2982">
        <v>0</v>
      </c>
      <c r="CL438" s="2982">
        <v>0</v>
      </c>
      <c r="CM438" s="2982">
        <v>0</v>
      </c>
      <c r="CN438" s="2982">
        <v>0</v>
      </c>
      <c r="CO438" s="661">
        <f>+CN438</f>
        <v>0</v>
      </c>
      <c r="CP438" s="847">
        <f t="shared" si="638"/>
        <v>0</v>
      </c>
      <c r="CQ438" s="847">
        <f t="shared" si="636"/>
        <v>0</v>
      </c>
      <c r="CR438" s="847">
        <f>CQ438</f>
        <v>0</v>
      </c>
      <c r="CS438" s="847">
        <f>CR438</f>
        <v>0</v>
      </c>
      <c r="CT438" s="661">
        <f>+CS438</f>
        <v>0</v>
      </c>
      <c r="CU438" s="661">
        <f t="shared" si="639"/>
        <v>0</v>
      </c>
      <c r="CV438" s="661">
        <f t="shared" si="639"/>
        <v>0</v>
      </c>
      <c r="CW438" s="374"/>
      <c r="CX438" s="374"/>
      <c r="CY438" s="374"/>
      <c r="CZ438" s="374"/>
      <c r="DA438" s="374"/>
      <c r="DB438" s="217"/>
    </row>
    <row r="439" spans="1:108" x14ac:dyDescent="0.2">
      <c r="A439" s="1436" t="s">
        <v>1389</v>
      </c>
      <c r="B439" s="651"/>
      <c r="C439" s="236"/>
      <c r="D439" s="234"/>
      <c r="E439" s="234"/>
      <c r="F439" s="234"/>
      <c r="G439" s="234"/>
      <c r="H439" s="848">
        <v>388</v>
      </c>
      <c r="I439" s="1427">
        <v>0</v>
      </c>
      <c r="J439" s="845">
        <v>0</v>
      </c>
      <c r="K439" s="845">
        <v>0</v>
      </c>
      <c r="L439" s="845">
        <v>388</v>
      </c>
      <c r="M439" s="661">
        <f>L439</f>
        <v>388</v>
      </c>
      <c r="N439" s="845">
        <v>378</v>
      </c>
      <c r="O439" s="845">
        <v>378</v>
      </c>
      <c r="P439" s="845">
        <v>378</v>
      </c>
      <c r="Q439" s="845">
        <v>378</v>
      </c>
      <c r="R439" s="661">
        <f>Q439</f>
        <v>378</v>
      </c>
      <c r="S439" s="845">
        <v>388</v>
      </c>
      <c r="T439" s="845">
        <v>388</v>
      </c>
      <c r="U439" s="845">
        <v>388</v>
      </c>
      <c r="V439" s="845">
        <v>388</v>
      </c>
      <c r="W439" s="661">
        <f>V439</f>
        <v>388</v>
      </c>
      <c r="X439" s="845">
        <v>388</v>
      </c>
      <c r="Y439" s="845">
        <v>388</v>
      </c>
      <c r="Z439" s="845">
        <v>388</v>
      </c>
      <c r="AA439" s="845">
        <v>0</v>
      </c>
      <c r="AB439" s="661">
        <f>+AA439</f>
        <v>0</v>
      </c>
      <c r="AC439" s="845">
        <v>0</v>
      </c>
      <c r="AD439" s="845">
        <v>0</v>
      </c>
      <c r="AE439" s="845">
        <v>0</v>
      </c>
      <c r="AF439" s="845">
        <v>0</v>
      </c>
      <c r="AG439" s="661">
        <f>+AF439</f>
        <v>0</v>
      </c>
      <c r="AH439" s="845">
        <v>0</v>
      </c>
      <c r="AI439" s="845">
        <v>0</v>
      </c>
      <c r="AJ439" s="845">
        <v>0</v>
      </c>
      <c r="AK439" s="845">
        <v>0</v>
      </c>
      <c r="AL439" s="661">
        <f>+AK439</f>
        <v>0</v>
      </c>
      <c r="AM439" s="845">
        <v>0</v>
      </c>
      <c r="AN439" s="845">
        <v>0</v>
      </c>
      <c r="AO439" s="845">
        <v>0</v>
      </c>
      <c r="AP439" s="845">
        <v>0</v>
      </c>
      <c r="AQ439" s="661">
        <f>+AP439</f>
        <v>0</v>
      </c>
      <c r="AR439" s="845">
        <v>0</v>
      </c>
      <c r="AS439" s="845">
        <v>0</v>
      </c>
      <c r="AT439" s="845">
        <v>0</v>
      </c>
      <c r="AU439" s="845">
        <v>0</v>
      </c>
      <c r="AV439" s="661">
        <f>+AU439</f>
        <v>0</v>
      </c>
      <c r="AW439" s="845">
        <v>0</v>
      </c>
      <c r="AX439" s="845">
        <v>0</v>
      </c>
      <c r="AY439" s="845">
        <v>0</v>
      </c>
      <c r="AZ439" s="845">
        <v>0</v>
      </c>
      <c r="BA439" s="661">
        <f>+AZ439</f>
        <v>0</v>
      </c>
      <c r="BB439" s="845">
        <v>0</v>
      </c>
      <c r="BC439" s="845">
        <v>0</v>
      </c>
      <c r="BD439" s="845">
        <v>0</v>
      </c>
      <c r="BE439" s="845">
        <v>0</v>
      </c>
      <c r="BF439" s="661">
        <f>+BE439</f>
        <v>0</v>
      </c>
      <c r="BG439" s="845">
        <v>0</v>
      </c>
      <c r="BH439" s="845">
        <v>0</v>
      </c>
      <c r="BI439" s="845">
        <v>0</v>
      </c>
      <c r="BJ439" s="845">
        <v>0</v>
      </c>
      <c r="BK439" s="661">
        <f>+BJ439</f>
        <v>0</v>
      </c>
      <c r="BL439" s="845">
        <v>0</v>
      </c>
      <c r="BM439" s="845">
        <v>0</v>
      </c>
      <c r="BN439" s="845">
        <v>0</v>
      </c>
      <c r="BO439" s="845">
        <v>0</v>
      </c>
      <c r="BP439" s="661">
        <f>+BO439</f>
        <v>0</v>
      </c>
      <c r="BQ439" s="1427">
        <v>0</v>
      </c>
      <c r="BR439" s="845">
        <v>0</v>
      </c>
      <c r="BS439" s="845">
        <v>0</v>
      </c>
      <c r="BT439" s="845">
        <v>0</v>
      </c>
      <c r="BU439" s="661">
        <f>+BT439</f>
        <v>0</v>
      </c>
      <c r="BV439" s="1427">
        <v>0</v>
      </c>
      <c r="BW439" s="845">
        <f t="shared" si="640"/>
        <v>0</v>
      </c>
      <c r="BX439" s="845">
        <f t="shared" si="640"/>
        <v>0</v>
      </c>
      <c r="BY439" s="845">
        <f t="shared" si="640"/>
        <v>0</v>
      </c>
      <c r="BZ439" s="661">
        <f>+BY439</f>
        <v>0</v>
      </c>
      <c r="CA439" s="1427">
        <v>0</v>
      </c>
      <c r="CB439" s="845">
        <v>0</v>
      </c>
      <c r="CC439" s="845">
        <f t="shared" si="641"/>
        <v>0</v>
      </c>
      <c r="CD439" s="845">
        <f t="shared" si="641"/>
        <v>0</v>
      </c>
      <c r="CE439" s="661">
        <f t="shared" si="637"/>
        <v>0</v>
      </c>
      <c r="CF439" s="1427">
        <v>0</v>
      </c>
      <c r="CG439" s="845">
        <v>0</v>
      </c>
      <c r="CH439" s="2349">
        <f t="shared" si="642"/>
        <v>0</v>
      </c>
      <c r="CI439" s="2349">
        <f t="shared" si="642"/>
        <v>0</v>
      </c>
      <c r="CJ439" s="661">
        <f>+CI439</f>
        <v>0</v>
      </c>
      <c r="CK439" s="2982">
        <v>0</v>
      </c>
      <c r="CL439" s="2982">
        <v>0</v>
      </c>
      <c r="CM439" s="2982">
        <v>0</v>
      </c>
      <c r="CN439" s="2982">
        <v>0</v>
      </c>
      <c r="CO439" s="661">
        <f>+CN439</f>
        <v>0</v>
      </c>
      <c r="CP439" s="847">
        <f t="shared" si="638"/>
        <v>0</v>
      </c>
      <c r="CQ439" s="847">
        <f t="shared" si="636"/>
        <v>0</v>
      </c>
      <c r="CR439" s="847">
        <f t="shared" si="636"/>
        <v>0</v>
      </c>
      <c r="CS439" s="847">
        <f t="shared" si="636"/>
        <v>0</v>
      </c>
      <c r="CT439" s="661">
        <f>+CS439</f>
        <v>0</v>
      </c>
      <c r="CU439" s="661">
        <f t="shared" si="639"/>
        <v>0</v>
      </c>
      <c r="CV439" s="661">
        <f t="shared" si="639"/>
        <v>0</v>
      </c>
      <c r="CW439" s="374"/>
      <c r="CX439" s="374"/>
      <c r="CY439" s="374"/>
      <c r="CZ439" s="374"/>
      <c r="DA439" s="374"/>
      <c r="DB439" s="217"/>
    </row>
    <row r="440" spans="1:108" x14ac:dyDescent="0.2">
      <c r="A440" s="1436" t="s">
        <v>1390</v>
      </c>
      <c r="B440" s="651"/>
      <c r="C440" s="236"/>
      <c r="D440" s="234"/>
      <c r="E440" s="234"/>
      <c r="F440" s="234"/>
      <c r="G440" s="234"/>
      <c r="H440" s="848">
        <v>932</v>
      </c>
      <c r="I440" s="1427">
        <f>114+562</f>
        <v>676</v>
      </c>
      <c r="J440" s="845">
        <f>136+562</f>
        <v>698</v>
      </c>
      <c r="K440" s="845">
        <f>501+562</f>
        <v>1063</v>
      </c>
      <c r="L440" s="845">
        <f>365+562</f>
        <v>927</v>
      </c>
      <c r="M440" s="661">
        <f>L440</f>
        <v>927</v>
      </c>
      <c r="N440" s="845">
        <v>562</v>
      </c>
      <c r="O440" s="845">
        <v>562</v>
      </c>
      <c r="P440" s="845">
        <v>562</v>
      </c>
      <c r="Q440" s="845">
        <v>562</v>
      </c>
      <c r="R440" s="661">
        <f>Q440</f>
        <v>562</v>
      </c>
      <c r="S440" s="845">
        <f>159+562</f>
        <v>721</v>
      </c>
      <c r="T440" s="845">
        <v>721</v>
      </c>
      <c r="U440" s="845">
        <v>721</v>
      </c>
      <c r="V440" s="845">
        <v>721</v>
      </c>
      <c r="W440" s="661">
        <f>V440</f>
        <v>721</v>
      </c>
      <c r="X440" s="845">
        <v>721</v>
      </c>
      <c r="Y440" s="845">
        <v>721</v>
      </c>
      <c r="Z440" s="845">
        <f>159+400</f>
        <v>559</v>
      </c>
      <c r="AA440" s="845">
        <v>159</v>
      </c>
      <c r="AB440" s="661">
        <f>+AA440</f>
        <v>159</v>
      </c>
      <c r="AC440" s="845">
        <v>159</v>
      </c>
      <c r="AD440" s="845">
        <v>159</v>
      </c>
      <c r="AE440" s="845">
        <v>159</v>
      </c>
      <c r="AF440" s="845">
        <v>159</v>
      </c>
      <c r="AG440" s="661">
        <f>+AF440</f>
        <v>159</v>
      </c>
      <c r="AH440" s="845">
        <v>159</v>
      </c>
      <c r="AI440" s="845">
        <v>159</v>
      </c>
      <c r="AJ440" s="845">
        <v>159</v>
      </c>
      <c r="AK440" s="845">
        <v>159</v>
      </c>
      <c r="AL440" s="661">
        <f>+AK440</f>
        <v>159</v>
      </c>
      <c r="AM440" s="845">
        <v>159</v>
      </c>
      <c r="AN440" s="845">
        <v>159</v>
      </c>
      <c r="AO440" s="845">
        <v>0</v>
      </c>
      <c r="AP440" s="845">
        <v>0</v>
      </c>
      <c r="AQ440" s="661">
        <f>+AP440</f>
        <v>0</v>
      </c>
      <c r="AR440" s="845">
        <v>0</v>
      </c>
      <c r="AS440" s="845">
        <v>0</v>
      </c>
      <c r="AT440" s="845">
        <v>0</v>
      </c>
      <c r="AU440" s="845">
        <v>0</v>
      </c>
      <c r="AV440" s="661">
        <f>+AU440</f>
        <v>0</v>
      </c>
      <c r="AW440" s="845">
        <v>0</v>
      </c>
      <c r="AX440" s="845">
        <v>0</v>
      </c>
      <c r="AY440" s="845">
        <v>0</v>
      </c>
      <c r="AZ440" s="845">
        <v>0</v>
      </c>
      <c r="BA440" s="661">
        <f>+AZ440</f>
        <v>0</v>
      </c>
      <c r="BB440" s="845">
        <v>0</v>
      </c>
      <c r="BC440" s="845">
        <v>0</v>
      </c>
      <c r="BD440" s="845">
        <v>0</v>
      </c>
      <c r="BE440" s="845">
        <v>0</v>
      </c>
      <c r="BF440" s="661">
        <f>+BE440</f>
        <v>0</v>
      </c>
      <c r="BG440" s="845">
        <v>0</v>
      </c>
      <c r="BH440" s="845">
        <v>0</v>
      </c>
      <c r="BI440" s="845">
        <v>0</v>
      </c>
      <c r="BJ440" s="845">
        <v>0</v>
      </c>
      <c r="BK440" s="661">
        <f>+BJ440</f>
        <v>0</v>
      </c>
      <c r="BL440" s="845">
        <v>0</v>
      </c>
      <c r="BM440" s="845">
        <v>0</v>
      </c>
      <c r="BN440" s="845">
        <v>0</v>
      </c>
      <c r="BO440" s="845">
        <v>0</v>
      </c>
      <c r="BP440" s="661">
        <f>+BO440</f>
        <v>0</v>
      </c>
      <c r="BQ440" s="1427">
        <v>0</v>
      </c>
      <c r="BR440" s="845">
        <v>0</v>
      </c>
      <c r="BS440" s="845">
        <v>0</v>
      </c>
      <c r="BT440" s="845">
        <v>0</v>
      </c>
      <c r="BU440" s="661">
        <f>+BT440</f>
        <v>0</v>
      </c>
      <c r="BV440" s="1427">
        <v>0</v>
      </c>
      <c r="BW440" s="845">
        <f t="shared" si="640"/>
        <v>0</v>
      </c>
      <c r="BX440" s="845">
        <f t="shared" si="640"/>
        <v>0</v>
      </c>
      <c r="BY440" s="845">
        <f t="shared" si="640"/>
        <v>0</v>
      </c>
      <c r="BZ440" s="661">
        <f>+BY440</f>
        <v>0</v>
      </c>
      <c r="CA440" s="1427">
        <v>0</v>
      </c>
      <c r="CB440" s="845">
        <v>0</v>
      </c>
      <c r="CC440" s="845">
        <f t="shared" si="641"/>
        <v>0</v>
      </c>
      <c r="CD440" s="845">
        <f t="shared" si="641"/>
        <v>0</v>
      </c>
      <c r="CE440" s="661">
        <f t="shared" si="637"/>
        <v>0</v>
      </c>
      <c r="CF440" s="1427">
        <v>0</v>
      </c>
      <c r="CG440" s="845">
        <v>0</v>
      </c>
      <c r="CH440" s="2349">
        <f t="shared" si="642"/>
        <v>0</v>
      </c>
      <c r="CI440" s="2349">
        <f t="shared" si="642"/>
        <v>0</v>
      </c>
      <c r="CJ440" s="661">
        <f>+CI440</f>
        <v>0</v>
      </c>
      <c r="CK440" s="2982">
        <v>0</v>
      </c>
      <c r="CL440" s="2982">
        <v>0</v>
      </c>
      <c r="CM440" s="2982">
        <v>0</v>
      </c>
      <c r="CN440" s="2982">
        <v>0</v>
      </c>
      <c r="CO440" s="661">
        <f>+CN440</f>
        <v>0</v>
      </c>
      <c r="CP440" s="847">
        <f t="shared" si="638"/>
        <v>0</v>
      </c>
      <c r="CQ440" s="847">
        <f t="shared" si="636"/>
        <v>0</v>
      </c>
      <c r="CR440" s="847">
        <f t="shared" si="636"/>
        <v>0</v>
      </c>
      <c r="CS440" s="847">
        <f t="shared" si="636"/>
        <v>0</v>
      </c>
      <c r="CT440" s="661">
        <f>+CS440</f>
        <v>0</v>
      </c>
      <c r="CU440" s="661">
        <f t="shared" si="639"/>
        <v>0</v>
      </c>
      <c r="CV440" s="661">
        <f t="shared" si="639"/>
        <v>0</v>
      </c>
      <c r="CW440" s="374"/>
      <c r="CX440" s="374"/>
      <c r="CY440" s="374"/>
      <c r="CZ440" s="374"/>
      <c r="DA440" s="374"/>
      <c r="DB440" s="217"/>
    </row>
    <row r="441" spans="1:108" x14ac:dyDescent="0.2">
      <c r="A441" s="1436" t="s">
        <v>650</v>
      </c>
      <c r="B441" s="651"/>
      <c r="C441" s="234"/>
      <c r="D441" s="234"/>
      <c r="E441" s="234"/>
      <c r="F441" s="234"/>
      <c r="G441" s="234"/>
      <c r="H441" s="848">
        <v>0</v>
      </c>
      <c r="I441" s="1427">
        <v>0</v>
      </c>
      <c r="J441" s="845">
        <v>0</v>
      </c>
      <c r="K441" s="845">
        <v>0</v>
      </c>
      <c r="L441" s="845">
        <v>0</v>
      </c>
      <c r="M441" s="661">
        <v>0</v>
      </c>
      <c r="N441" s="845">
        <v>0</v>
      </c>
      <c r="O441" s="845">
        <v>0</v>
      </c>
      <c r="P441" s="845">
        <v>0</v>
      </c>
      <c r="Q441" s="845">
        <v>0</v>
      </c>
      <c r="R441" s="661">
        <v>0</v>
      </c>
      <c r="S441" s="845">
        <v>0</v>
      </c>
      <c r="T441" s="845">
        <v>0</v>
      </c>
      <c r="U441" s="845">
        <v>0</v>
      </c>
      <c r="V441" s="845">
        <v>0</v>
      </c>
      <c r="W441" s="661">
        <v>0</v>
      </c>
      <c r="X441" s="845">
        <v>0</v>
      </c>
      <c r="Y441" s="845">
        <v>0</v>
      </c>
      <c r="Z441" s="845">
        <v>0</v>
      </c>
      <c r="AA441" s="845">
        <v>0</v>
      </c>
      <c r="AB441" s="661">
        <v>0</v>
      </c>
      <c r="AC441" s="845">
        <v>0</v>
      </c>
      <c r="AD441" s="845">
        <v>0</v>
      </c>
      <c r="AE441" s="845">
        <v>0</v>
      </c>
      <c r="AF441" s="845">
        <v>0</v>
      </c>
      <c r="AG441" s="661">
        <v>0</v>
      </c>
      <c r="AH441" s="845">
        <v>0</v>
      </c>
      <c r="AI441" s="845">
        <v>0</v>
      </c>
      <c r="AJ441" s="845">
        <v>0</v>
      </c>
      <c r="AK441" s="845">
        <v>0</v>
      </c>
      <c r="AL441" s="661">
        <v>0</v>
      </c>
      <c r="AM441" s="845">
        <v>0</v>
      </c>
      <c r="AN441" s="845">
        <v>0</v>
      </c>
      <c r="AO441" s="845">
        <v>0</v>
      </c>
      <c r="AP441" s="845">
        <v>0</v>
      </c>
      <c r="AQ441" s="661">
        <v>0</v>
      </c>
      <c r="AR441" s="845">
        <v>0</v>
      </c>
      <c r="AS441" s="845">
        <v>0</v>
      </c>
      <c r="AT441" s="845">
        <v>0</v>
      </c>
      <c r="AU441" s="845">
        <v>0</v>
      </c>
      <c r="AV441" s="661">
        <v>0</v>
      </c>
      <c r="AW441" s="845">
        <v>0</v>
      </c>
      <c r="AX441" s="845">
        <v>0</v>
      </c>
      <c r="AY441" s="845">
        <v>0</v>
      </c>
      <c r="AZ441" s="845">
        <v>0</v>
      </c>
      <c r="BA441" s="661">
        <v>0</v>
      </c>
      <c r="BB441" s="845">
        <v>0</v>
      </c>
      <c r="BC441" s="845">
        <v>0</v>
      </c>
      <c r="BD441" s="845">
        <v>0</v>
      </c>
      <c r="BE441" s="845">
        <v>0</v>
      </c>
      <c r="BF441" s="661">
        <v>0</v>
      </c>
      <c r="BG441" s="845">
        <v>0</v>
      </c>
      <c r="BH441" s="845">
        <v>0</v>
      </c>
      <c r="BI441" s="845">
        <v>0</v>
      </c>
      <c r="BJ441" s="845">
        <v>0</v>
      </c>
      <c r="BK441" s="661">
        <v>0</v>
      </c>
      <c r="BL441" s="845">
        <v>0</v>
      </c>
      <c r="BM441" s="845">
        <v>0</v>
      </c>
      <c r="BN441" s="845">
        <v>0</v>
      </c>
      <c r="BO441" s="845">
        <v>0</v>
      </c>
      <c r="BP441" s="661">
        <v>0</v>
      </c>
      <c r="BQ441" s="1427">
        <v>0</v>
      </c>
      <c r="BR441" s="845">
        <v>0</v>
      </c>
      <c r="BS441" s="845">
        <v>0</v>
      </c>
      <c r="BT441" s="845">
        <v>0</v>
      </c>
      <c r="BU441" s="661">
        <v>0</v>
      </c>
      <c r="BV441" s="1427">
        <v>0</v>
      </c>
      <c r="BW441" s="845">
        <v>0</v>
      </c>
      <c r="BX441" s="845">
        <v>0</v>
      </c>
      <c r="BY441" s="845">
        <v>0</v>
      </c>
      <c r="BZ441" s="661">
        <v>0</v>
      </c>
      <c r="CA441" s="1427">
        <v>0</v>
      </c>
      <c r="CB441" s="845">
        <v>0</v>
      </c>
      <c r="CC441" s="845">
        <v>0</v>
      </c>
      <c r="CD441" s="845">
        <v>0</v>
      </c>
      <c r="CE441" s="661">
        <v>0</v>
      </c>
      <c r="CF441" s="1427">
        <v>0</v>
      </c>
      <c r="CG441" s="845">
        <v>0</v>
      </c>
      <c r="CH441" s="2349">
        <v>0</v>
      </c>
      <c r="CI441" s="2349">
        <v>0</v>
      </c>
      <c r="CJ441" s="661">
        <v>0</v>
      </c>
      <c r="CK441" s="2982">
        <v>0</v>
      </c>
      <c r="CL441" s="2982">
        <v>0</v>
      </c>
      <c r="CM441" s="2982">
        <v>0</v>
      </c>
      <c r="CN441" s="2982">
        <v>0</v>
      </c>
      <c r="CO441" s="661">
        <v>0</v>
      </c>
      <c r="CP441" s="847">
        <f t="shared" si="638"/>
        <v>0</v>
      </c>
      <c r="CQ441" s="847">
        <f t="shared" si="636"/>
        <v>0</v>
      </c>
      <c r="CR441" s="847">
        <f t="shared" si="636"/>
        <v>0</v>
      </c>
      <c r="CS441" s="847">
        <f t="shared" si="636"/>
        <v>0</v>
      </c>
      <c r="CT441" s="661">
        <v>0</v>
      </c>
      <c r="CU441" s="661">
        <v>0</v>
      </c>
      <c r="CV441" s="661">
        <v>0</v>
      </c>
      <c r="CW441" s="374"/>
      <c r="CX441" s="374"/>
      <c r="CY441" s="374"/>
      <c r="CZ441" s="374"/>
      <c r="DA441" s="374"/>
      <c r="DB441" s="217"/>
    </row>
    <row r="442" spans="1:108" x14ac:dyDescent="0.2">
      <c r="A442" s="2288" t="s">
        <v>2285</v>
      </c>
      <c r="B442" s="651"/>
      <c r="C442" s="234"/>
      <c r="D442" s="234"/>
      <c r="E442" s="234"/>
      <c r="F442" s="234"/>
      <c r="G442" s="234"/>
      <c r="H442" s="848"/>
      <c r="I442" s="1427"/>
      <c r="J442" s="845"/>
      <c r="K442" s="845"/>
      <c r="L442" s="845"/>
      <c r="M442" s="661"/>
      <c r="N442" s="845"/>
      <c r="O442" s="845"/>
      <c r="P442" s="845"/>
      <c r="Q442" s="845"/>
      <c r="R442" s="661"/>
      <c r="S442" s="845"/>
      <c r="T442" s="845"/>
      <c r="U442" s="845"/>
      <c r="V442" s="845"/>
      <c r="W442" s="661"/>
      <c r="X442" s="845"/>
      <c r="Y442" s="845"/>
      <c r="Z442" s="845"/>
      <c r="AA442" s="845"/>
      <c r="AB442" s="661"/>
      <c r="AC442" s="845"/>
      <c r="AD442" s="845"/>
      <c r="AE442" s="845"/>
      <c r="AF442" s="845"/>
      <c r="AG442" s="661"/>
      <c r="AH442" s="845"/>
      <c r="AI442" s="845"/>
      <c r="AJ442" s="845"/>
      <c r="AK442" s="845"/>
      <c r="AL442" s="661"/>
      <c r="AM442" s="845"/>
      <c r="AN442" s="845"/>
      <c r="AO442" s="845"/>
      <c r="AP442" s="845"/>
      <c r="AQ442" s="661"/>
      <c r="AR442" s="845"/>
      <c r="AS442" s="845"/>
      <c r="AT442" s="845"/>
      <c r="AU442" s="845"/>
      <c r="AV442" s="661"/>
      <c r="AW442" s="845"/>
      <c r="AX442" s="845"/>
      <c r="AY442" s="845"/>
      <c r="AZ442" s="845"/>
      <c r="BA442" s="661"/>
      <c r="BB442" s="845"/>
      <c r="BC442" s="845"/>
      <c r="BD442" s="845"/>
      <c r="BE442" s="845"/>
      <c r="BF442" s="661"/>
      <c r="BG442" s="845"/>
      <c r="BH442" s="845"/>
      <c r="BI442" s="845"/>
      <c r="BJ442" s="845"/>
      <c r="BK442" s="661"/>
      <c r="BL442" s="845"/>
      <c r="BM442" s="845"/>
      <c r="BN442" s="845"/>
      <c r="BO442" s="845"/>
      <c r="BP442" s="661"/>
      <c r="BQ442" s="1427"/>
      <c r="BR442" s="845"/>
      <c r="BS442" s="845"/>
      <c r="BT442" s="845"/>
      <c r="BU442" s="661"/>
      <c r="BV442" s="1427"/>
      <c r="BW442" s="845"/>
      <c r="BX442" s="845"/>
      <c r="BY442" s="845"/>
      <c r="BZ442" s="661"/>
      <c r="CA442" s="1427"/>
      <c r="CB442" s="845">
        <v>0</v>
      </c>
      <c r="CC442" s="845">
        <v>0</v>
      </c>
      <c r="CD442" s="845">
        <v>0</v>
      </c>
      <c r="CE442" s="661">
        <v>0</v>
      </c>
      <c r="CF442" s="1427">
        <v>0</v>
      </c>
      <c r="CG442" s="845">
        <v>0</v>
      </c>
      <c r="CH442" s="2349">
        <v>0</v>
      </c>
      <c r="CI442" s="2349">
        <v>0</v>
      </c>
      <c r="CJ442" s="661">
        <v>0</v>
      </c>
      <c r="CK442" s="2982">
        <v>0</v>
      </c>
      <c r="CL442" s="2982">
        <v>0</v>
      </c>
      <c r="CM442" s="2982">
        <v>0</v>
      </c>
      <c r="CN442" s="2982">
        <v>0</v>
      </c>
      <c r="CO442" s="661">
        <v>0</v>
      </c>
      <c r="CP442" s="847">
        <f t="shared" si="638"/>
        <v>0</v>
      </c>
      <c r="CQ442" s="847">
        <f t="shared" si="636"/>
        <v>0</v>
      </c>
      <c r="CR442" s="847">
        <f t="shared" si="636"/>
        <v>0</v>
      </c>
      <c r="CS442" s="847">
        <f t="shared" si="636"/>
        <v>0</v>
      </c>
      <c r="CT442" s="661">
        <v>0</v>
      </c>
      <c r="CU442" s="661">
        <v>0</v>
      </c>
      <c r="CV442" s="661">
        <v>0</v>
      </c>
      <c r="CW442" s="374"/>
      <c r="CX442" s="374"/>
      <c r="CY442" s="374"/>
      <c r="CZ442" s="374"/>
      <c r="DA442" s="374"/>
      <c r="DB442" s="217"/>
    </row>
    <row r="443" spans="1:108" s="2434" customFormat="1" x14ac:dyDescent="0.2">
      <c r="A443" s="2288" t="s">
        <v>384</v>
      </c>
      <c r="B443" s="2400"/>
      <c r="C443" s="2402"/>
      <c r="D443" s="2402"/>
      <c r="E443" s="2402"/>
      <c r="F443" s="2402"/>
      <c r="G443" s="2402"/>
      <c r="H443" s="848">
        <v>0</v>
      </c>
      <c r="I443" s="1427">
        <v>0</v>
      </c>
      <c r="J443" s="845">
        <v>0</v>
      </c>
      <c r="K443" s="845">
        <v>0</v>
      </c>
      <c r="L443" s="845">
        <v>0</v>
      </c>
      <c r="M443" s="2293">
        <v>0</v>
      </c>
      <c r="N443" s="845">
        <v>0</v>
      </c>
      <c r="O443" s="845">
        <v>0</v>
      </c>
      <c r="P443" s="845">
        <v>0</v>
      </c>
      <c r="Q443" s="845">
        <v>0</v>
      </c>
      <c r="R443" s="2293">
        <v>0</v>
      </c>
      <c r="S443" s="845">
        <v>0</v>
      </c>
      <c r="T443" s="845">
        <v>0</v>
      </c>
      <c r="U443" s="845">
        <v>0</v>
      </c>
      <c r="V443" s="845">
        <v>0</v>
      </c>
      <c r="W443" s="2293">
        <v>0</v>
      </c>
      <c r="X443" s="845">
        <v>0</v>
      </c>
      <c r="Y443" s="845">
        <v>0</v>
      </c>
      <c r="Z443" s="845">
        <v>0</v>
      </c>
      <c r="AA443" s="845">
        <v>0</v>
      </c>
      <c r="AB443" s="2293">
        <v>0</v>
      </c>
      <c r="AC443" s="845">
        <v>0</v>
      </c>
      <c r="AD443" s="845">
        <v>0</v>
      </c>
      <c r="AE443" s="845">
        <v>0</v>
      </c>
      <c r="AF443" s="845">
        <v>0</v>
      </c>
      <c r="AG443" s="2293">
        <v>0</v>
      </c>
      <c r="AH443" s="845">
        <v>0</v>
      </c>
      <c r="AI443" s="845">
        <v>0</v>
      </c>
      <c r="AJ443" s="845">
        <v>0</v>
      </c>
      <c r="AK443" s="845">
        <v>0</v>
      </c>
      <c r="AL443" s="2293">
        <v>0</v>
      </c>
      <c r="AM443" s="845">
        <v>0</v>
      </c>
      <c r="AN443" s="845">
        <v>0</v>
      </c>
      <c r="AO443" s="845">
        <v>0</v>
      </c>
      <c r="AP443" s="845">
        <v>0</v>
      </c>
      <c r="AQ443" s="2293">
        <v>0</v>
      </c>
      <c r="AR443" s="845">
        <v>0</v>
      </c>
      <c r="AS443" s="845">
        <v>0</v>
      </c>
      <c r="AT443" s="845">
        <v>0</v>
      </c>
      <c r="AU443" s="845">
        <v>0</v>
      </c>
      <c r="AV443" s="2293">
        <v>0</v>
      </c>
      <c r="AW443" s="845">
        <v>0</v>
      </c>
      <c r="AX443" s="845">
        <v>0</v>
      </c>
      <c r="AY443" s="845">
        <v>0</v>
      </c>
      <c r="AZ443" s="845">
        <v>0</v>
      </c>
      <c r="BA443" s="2293">
        <v>0</v>
      </c>
      <c r="BB443" s="845">
        <v>0</v>
      </c>
      <c r="BC443" s="845">
        <v>0</v>
      </c>
      <c r="BD443" s="845">
        <v>0</v>
      </c>
      <c r="BE443" s="845">
        <v>0</v>
      </c>
      <c r="BF443" s="2293">
        <v>0</v>
      </c>
      <c r="BG443" s="845">
        <v>0</v>
      </c>
      <c r="BH443" s="845">
        <v>0</v>
      </c>
      <c r="BI443" s="845">
        <v>0</v>
      </c>
      <c r="BJ443" s="845">
        <v>0</v>
      </c>
      <c r="BK443" s="2293">
        <v>0</v>
      </c>
      <c r="BL443" s="845">
        <v>0</v>
      </c>
      <c r="BM443" s="845">
        <v>0</v>
      </c>
      <c r="BN443" s="845">
        <v>0</v>
      </c>
      <c r="BO443" s="845">
        <v>0</v>
      </c>
      <c r="BP443" s="2293">
        <v>0</v>
      </c>
      <c r="BQ443" s="1427">
        <v>0</v>
      </c>
      <c r="BR443" s="845">
        <v>0</v>
      </c>
      <c r="BS443" s="845">
        <v>0</v>
      </c>
      <c r="BT443" s="845">
        <v>0</v>
      </c>
      <c r="BU443" s="2293">
        <v>0</v>
      </c>
      <c r="BV443" s="1427">
        <v>0</v>
      </c>
      <c r="BW443" s="845">
        <v>0</v>
      </c>
      <c r="BX443" s="845">
        <v>0</v>
      </c>
      <c r="BY443" s="845">
        <v>0</v>
      </c>
      <c r="BZ443" s="2293">
        <v>0</v>
      </c>
      <c r="CA443" s="1427">
        <v>0</v>
      </c>
      <c r="CB443" s="845">
        <v>0</v>
      </c>
      <c r="CC443" s="845">
        <v>0</v>
      </c>
      <c r="CD443" s="845">
        <v>0</v>
      </c>
      <c r="CE443" s="2293">
        <v>0</v>
      </c>
      <c r="CF443" s="1427">
        <v>0</v>
      </c>
      <c r="CG443" s="845">
        <v>0</v>
      </c>
      <c r="CH443" s="2349">
        <v>0</v>
      </c>
      <c r="CI443" s="2349">
        <v>0</v>
      </c>
      <c r="CJ443" s="2293">
        <v>0</v>
      </c>
      <c r="CK443" s="2982">
        <v>0</v>
      </c>
      <c r="CL443" s="2982">
        <v>0</v>
      </c>
      <c r="CM443" s="2982">
        <v>0</v>
      </c>
      <c r="CN443" s="2982">
        <v>0</v>
      </c>
      <c r="CO443" s="2293">
        <v>0</v>
      </c>
      <c r="CP443" s="847">
        <f t="shared" si="638"/>
        <v>0</v>
      </c>
      <c r="CQ443" s="847">
        <f t="shared" si="636"/>
        <v>0</v>
      </c>
      <c r="CR443" s="847">
        <f t="shared" si="636"/>
        <v>0</v>
      </c>
      <c r="CS443" s="847">
        <f t="shared" si="636"/>
        <v>0</v>
      </c>
      <c r="CT443" s="2293">
        <v>0</v>
      </c>
      <c r="CU443" s="2293">
        <v>0</v>
      </c>
      <c r="CV443" s="2293">
        <v>0</v>
      </c>
      <c r="CW443" s="2584"/>
      <c r="CX443" s="2584"/>
      <c r="CY443" s="2584"/>
      <c r="CZ443" s="2584"/>
      <c r="DA443" s="2584"/>
      <c r="DB443" s="217"/>
      <c r="DC443" s="212"/>
      <c r="DD443" s="2631"/>
    </row>
    <row r="444" spans="1:108" ht="4.5" customHeight="1" x14ac:dyDescent="0.35">
      <c r="A444" s="1446"/>
      <c r="B444" s="651"/>
      <c r="C444" s="234"/>
      <c r="D444" s="234"/>
      <c r="E444" s="234"/>
      <c r="F444" s="234"/>
      <c r="G444" s="234"/>
      <c r="H444" s="1048"/>
      <c r="I444" s="1428"/>
      <c r="J444" s="767"/>
      <c r="K444" s="767"/>
      <c r="L444" s="767"/>
      <c r="M444" s="246"/>
      <c r="N444" s="767"/>
      <c r="O444" s="767"/>
      <c r="P444" s="767"/>
      <c r="Q444" s="767"/>
      <c r="R444" s="246"/>
      <c r="S444" s="767"/>
      <c r="T444" s="767"/>
      <c r="U444" s="767"/>
      <c r="V444" s="767"/>
      <c r="W444" s="246"/>
      <c r="X444" s="767"/>
      <c r="Y444" s="767"/>
      <c r="Z444" s="767"/>
      <c r="AA444" s="767"/>
      <c r="AB444" s="246"/>
      <c r="AC444" s="767"/>
      <c r="AD444" s="767"/>
      <c r="AE444" s="767"/>
      <c r="AF444" s="767"/>
      <c r="AG444" s="246"/>
      <c r="AH444" s="767"/>
      <c r="AI444" s="767"/>
      <c r="AJ444" s="767"/>
      <c r="AK444" s="767"/>
      <c r="AL444" s="246"/>
      <c r="AM444" s="767"/>
      <c r="AN444" s="767"/>
      <c r="AO444" s="767"/>
      <c r="AP444" s="767"/>
      <c r="AQ444" s="246"/>
      <c r="AR444" s="767"/>
      <c r="AS444" s="767"/>
      <c r="AT444" s="767"/>
      <c r="AU444" s="767"/>
      <c r="AV444" s="246"/>
      <c r="AW444" s="767"/>
      <c r="AX444" s="767"/>
      <c r="AY444" s="767"/>
      <c r="AZ444" s="767"/>
      <c r="BA444" s="246"/>
      <c r="BB444" s="767"/>
      <c r="BC444" s="767"/>
      <c r="BD444" s="767"/>
      <c r="BE444" s="767"/>
      <c r="BF444" s="246"/>
      <c r="BG444" s="767"/>
      <c r="BH444" s="767"/>
      <c r="BI444" s="767"/>
      <c r="BJ444" s="767"/>
      <c r="BK444" s="246"/>
      <c r="BL444" s="767"/>
      <c r="BM444" s="767"/>
      <c r="BN444" s="767"/>
      <c r="BO444" s="2058"/>
      <c r="BP444" s="246"/>
      <c r="BQ444" s="767"/>
      <c r="BR444" s="767"/>
      <c r="BS444" s="767"/>
      <c r="BT444" s="2058"/>
      <c r="BU444" s="246"/>
      <c r="BV444" s="767"/>
      <c r="BW444" s="767"/>
      <c r="BX444" s="767"/>
      <c r="BY444" s="767"/>
      <c r="BZ444" s="246"/>
      <c r="CA444" s="767"/>
      <c r="CB444" s="767"/>
      <c r="CC444" s="767"/>
      <c r="CD444" s="767"/>
      <c r="CE444" s="246"/>
      <c r="CF444" s="767"/>
      <c r="CG444" s="767"/>
      <c r="CH444" s="850"/>
      <c r="CI444" s="850"/>
      <c r="CJ444" s="246"/>
      <c r="CK444" s="3516"/>
      <c r="CL444" s="3516"/>
      <c r="CM444" s="3516"/>
      <c r="CN444" s="3516"/>
      <c r="CO444" s="3016"/>
      <c r="CP444" s="847"/>
      <c r="CQ444" s="847"/>
      <c r="CR444" s="847"/>
      <c r="CS444" s="847"/>
      <c r="CT444" s="3016"/>
      <c r="CU444" s="3016"/>
      <c r="CV444" s="3016"/>
      <c r="CW444" s="374"/>
      <c r="CX444" s="374"/>
      <c r="CY444" s="374"/>
      <c r="CZ444" s="374"/>
      <c r="DA444" s="374"/>
      <c r="DB444" s="217"/>
    </row>
    <row r="445" spans="1:108" ht="12" customHeight="1" x14ac:dyDescent="0.35">
      <c r="A445" s="3013" t="s">
        <v>2454</v>
      </c>
      <c r="B445" s="651"/>
      <c r="C445" s="234"/>
      <c r="D445" s="234"/>
      <c r="E445" s="234"/>
      <c r="F445" s="234"/>
      <c r="G445" s="234"/>
      <c r="H445" s="1048"/>
      <c r="I445" s="1428"/>
      <c r="J445" s="767"/>
      <c r="K445" s="767"/>
      <c r="L445" s="767"/>
      <c r="M445" s="246"/>
      <c r="N445" s="767"/>
      <c r="O445" s="767"/>
      <c r="P445" s="767"/>
      <c r="Q445" s="767"/>
      <c r="R445" s="246"/>
      <c r="S445" s="767"/>
      <c r="T445" s="767"/>
      <c r="U445" s="767"/>
      <c r="V445" s="767"/>
      <c r="W445" s="246"/>
      <c r="X445" s="767"/>
      <c r="Y445" s="767"/>
      <c r="Z445" s="767"/>
      <c r="AA445" s="767"/>
      <c r="AB445" s="246"/>
      <c r="AC445" s="767"/>
      <c r="AD445" s="767"/>
      <c r="AE445" s="767"/>
      <c r="AF445" s="767"/>
      <c r="AG445" s="246"/>
      <c r="AH445" s="767"/>
      <c r="AI445" s="767"/>
      <c r="AJ445" s="767"/>
      <c r="AK445" s="767"/>
      <c r="AL445" s="246"/>
      <c r="AM445" s="767"/>
      <c r="AN445" s="767"/>
      <c r="AO445" s="767"/>
      <c r="AP445" s="767"/>
      <c r="AQ445" s="246"/>
      <c r="AR445" s="767"/>
      <c r="AS445" s="767"/>
      <c r="AT445" s="767"/>
      <c r="AU445" s="767"/>
      <c r="AV445" s="246"/>
      <c r="AW445" s="767"/>
      <c r="AX445" s="767"/>
      <c r="AY445" s="767"/>
      <c r="AZ445" s="767"/>
      <c r="BA445" s="246"/>
      <c r="BB445" s="767"/>
      <c r="BC445" s="767"/>
      <c r="BD445" s="767"/>
      <c r="BE445" s="767"/>
      <c r="BF445" s="246"/>
      <c r="BG445" s="767"/>
      <c r="BH445" s="767"/>
      <c r="BI445" s="767"/>
      <c r="BJ445" s="767"/>
      <c r="BK445" s="246"/>
      <c r="BL445" s="767"/>
      <c r="BM445" s="767"/>
      <c r="BN445" s="767"/>
      <c r="BO445" s="2058"/>
      <c r="BP445" s="246"/>
      <c r="BQ445" s="767"/>
      <c r="BR445" s="767"/>
      <c r="BS445" s="767"/>
      <c r="BT445" s="2058"/>
      <c r="BU445" s="246"/>
      <c r="BV445" s="767"/>
      <c r="BW445" s="767"/>
      <c r="BX445" s="767"/>
      <c r="BY445" s="767"/>
      <c r="BZ445" s="246"/>
      <c r="CA445" s="767"/>
      <c r="CB445" s="767"/>
      <c r="CC445" s="767"/>
      <c r="CD445" s="767"/>
      <c r="CE445" s="246"/>
      <c r="CF445" s="767"/>
      <c r="CG445" s="3015"/>
      <c r="CH445" s="3275">
        <v>2671</v>
      </c>
      <c r="CI445" s="3275">
        <v>2671</v>
      </c>
      <c r="CJ445" s="3394">
        <f>CI445</f>
        <v>2671</v>
      </c>
      <c r="CK445" s="2982">
        <v>2671</v>
      </c>
      <c r="CL445" s="2982">
        <v>2671</v>
      </c>
      <c r="CM445" s="2982">
        <v>2671</v>
      </c>
      <c r="CN445" s="2982">
        <v>1299</v>
      </c>
      <c r="CO445" s="3077">
        <f t="shared" ref="CO445:CV445" si="643">CN445</f>
        <v>1299</v>
      </c>
      <c r="CP445" s="3076">
        <f t="shared" ref="CP445:CP455" si="644">CO445</f>
        <v>1299</v>
      </c>
      <c r="CQ445" s="3076">
        <f t="shared" si="636"/>
        <v>1299</v>
      </c>
      <c r="CR445" s="3076">
        <f t="shared" si="636"/>
        <v>1299</v>
      </c>
      <c r="CS445" s="3076">
        <f t="shared" si="636"/>
        <v>1299</v>
      </c>
      <c r="CT445" s="3077">
        <f t="shared" si="643"/>
        <v>1299</v>
      </c>
      <c r="CU445" s="3077">
        <f t="shared" si="643"/>
        <v>1299</v>
      </c>
      <c r="CV445" s="3077">
        <f t="shared" si="643"/>
        <v>1299</v>
      </c>
      <c r="CW445" s="374"/>
      <c r="CX445" s="374"/>
      <c r="CY445" s="374"/>
      <c r="CZ445" s="374"/>
      <c r="DA445" s="374"/>
      <c r="DB445" s="217"/>
    </row>
    <row r="446" spans="1:108" ht="12" customHeight="1" x14ac:dyDescent="0.35">
      <c r="A446" s="3013" t="s">
        <v>2455</v>
      </c>
      <c r="B446" s="651"/>
      <c r="C446" s="234"/>
      <c r="D446" s="234"/>
      <c r="E446" s="234"/>
      <c r="F446" s="234"/>
      <c r="G446" s="234"/>
      <c r="H446" s="1048"/>
      <c r="I446" s="1428"/>
      <c r="J446" s="767"/>
      <c r="K446" s="767"/>
      <c r="L446" s="767"/>
      <c r="M446" s="246"/>
      <c r="N446" s="767"/>
      <c r="O446" s="767"/>
      <c r="P446" s="767"/>
      <c r="Q446" s="767"/>
      <c r="R446" s="246"/>
      <c r="S446" s="767"/>
      <c r="T446" s="767"/>
      <c r="U446" s="767"/>
      <c r="V446" s="767"/>
      <c r="W446" s="246"/>
      <c r="X446" s="767"/>
      <c r="Y446" s="767"/>
      <c r="Z446" s="767"/>
      <c r="AA446" s="767"/>
      <c r="AB446" s="246"/>
      <c r="AC446" s="767"/>
      <c r="AD446" s="767"/>
      <c r="AE446" s="767"/>
      <c r="AF446" s="767"/>
      <c r="AG446" s="246"/>
      <c r="AH446" s="767"/>
      <c r="AI446" s="767"/>
      <c r="AJ446" s="767"/>
      <c r="AK446" s="767"/>
      <c r="AL446" s="246"/>
      <c r="AM446" s="767"/>
      <c r="AN446" s="767"/>
      <c r="AO446" s="767"/>
      <c r="AP446" s="767"/>
      <c r="AQ446" s="246"/>
      <c r="AR446" s="767"/>
      <c r="AS446" s="767"/>
      <c r="AT446" s="767"/>
      <c r="AU446" s="767"/>
      <c r="AV446" s="246"/>
      <c r="AW446" s="767"/>
      <c r="AX446" s="767"/>
      <c r="AY446" s="767"/>
      <c r="AZ446" s="767"/>
      <c r="BA446" s="246"/>
      <c r="BB446" s="767"/>
      <c r="BC446" s="767"/>
      <c r="BD446" s="767"/>
      <c r="BE446" s="767"/>
      <c r="BF446" s="246"/>
      <c r="BG446" s="767"/>
      <c r="BH446" s="767"/>
      <c r="BI446" s="767"/>
      <c r="BJ446" s="767"/>
      <c r="BK446" s="246"/>
      <c r="BL446" s="767"/>
      <c r="BM446" s="767"/>
      <c r="BN446" s="767"/>
      <c r="BO446" s="2058"/>
      <c r="BP446" s="246"/>
      <c r="BQ446" s="767"/>
      <c r="BR446" s="767"/>
      <c r="BS446" s="767"/>
      <c r="BT446" s="2058"/>
      <c r="BU446" s="246"/>
      <c r="BV446" s="767"/>
      <c r="BW446" s="767"/>
      <c r="BX446" s="767"/>
      <c r="BY446" s="767"/>
      <c r="BZ446" s="246"/>
      <c r="CA446" s="767"/>
      <c r="CB446" s="767"/>
      <c r="CC446" s="767"/>
      <c r="CD446" s="767"/>
      <c r="CE446" s="246"/>
      <c r="CF446" s="767"/>
      <c r="CG446" s="3015"/>
      <c r="CH446" s="3275">
        <v>1832</v>
      </c>
      <c r="CI446" s="3275">
        <v>1832</v>
      </c>
      <c r="CJ446" s="3394">
        <f t="shared" ref="CJ446:CJ455" si="645">CI446</f>
        <v>1832</v>
      </c>
      <c r="CK446" s="2982">
        <v>1832</v>
      </c>
      <c r="CL446" s="2982">
        <v>1073</v>
      </c>
      <c r="CM446" s="2982">
        <v>1073</v>
      </c>
      <c r="CN446" s="2982">
        <v>1073</v>
      </c>
      <c r="CO446" s="3077">
        <f>CN446</f>
        <v>1073</v>
      </c>
      <c r="CP446" s="3076">
        <f t="shared" si="644"/>
        <v>1073</v>
      </c>
      <c r="CQ446" s="3076">
        <f t="shared" ref="CQ446:CS455" si="646">CP446</f>
        <v>1073</v>
      </c>
      <c r="CR446" s="3076">
        <f t="shared" si="646"/>
        <v>1073</v>
      </c>
      <c r="CS446" s="3076">
        <f t="shared" si="646"/>
        <v>1073</v>
      </c>
      <c r="CT446" s="3077">
        <f>CS446</f>
        <v>1073</v>
      </c>
      <c r="CU446" s="3077">
        <f>CT446</f>
        <v>1073</v>
      </c>
      <c r="CV446" s="3077">
        <f>CU446</f>
        <v>1073</v>
      </c>
      <c r="CW446" s="374"/>
      <c r="CX446" s="374"/>
      <c r="CY446" s="374"/>
      <c r="CZ446" s="374"/>
      <c r="DA446" s="374"/>
      <c r="DB446" s="217"/>
    </row>
    <row r="447" spans="1:108" ht="12" customHeight="1" x14ac:dyDescent="0.35">
      <c r="A447" s="3013" t="s">
        <v>2456</v>
      </c>
      <c r="B447" s="651"/>
      <c r="C447" s="234"/>
      <c r="D447" s="234"/>
      <c r="E447" s="234"/>
      <c r="F447" s="234"/>
      <c r="G447" s="234"/>
      <c r="H447" s="1048"/>
      <c r="I447" s="1428"/>
      <c r="J447" s="767"/>
      <c r="K447" s="767"/>
      <c r="L447" s="767"/>
      <c r="M447" s="246"/>
      <c r="N447" s="767"/>
      <c r="O447" s="767"/>
      <c r="P447" s="767"/>
      <c r="Q447" s="767"/>
      <c r="R447" s="246"/>
      <c r="S447" s="767"/>
      <c r="T447" s="767"/>
      <c r="U447" s="767"/>
      <c r="V447" s="767"/>
      <c r="W447" s="246"/>
      <c r="X447" s="767"/>
      <c r="Y447" s="767"/>
      <c r="Z447" s="767"/>
      <c r="AA447" s="767"/>
      <c r="AB447" s="246"/>
      <c r="AC447" s="767"/>
      <c r="AD447" s="767"/>
      <c r="AE447" s="767"/>
      <c r="AF447" s="767"/>
      <c r="AG447" s="246"/>
      <c r="AH447" s="767"/>
      <c r="AI447" s="767"/>
      <c r="AJ447" s="767"/>
      <c r="AK447" s="767"/>
      <c r="AL447" s="246"/>
      <c r="AM447" s="767"/>
      <c r="AN447" s="767"/>
      <c r="AO447" s="767"/>
      <c r="AP447" s="767"/>
      <c r="AQ447" s="246"/>
      <c r="AR447" s="767"/>
      <c r="AS447" s="767"/>
      <c r="AT447" s="767"/>
      <c r="AU447" s="767"/>
      <c r="AV447" s="246"/>
      <c r="AW447" s="767"/>
      <c r="AX447" s="767"/>
      <c r="AY447" s="767"/>
      <c r="AZ447" s="767"/>
      <c r="BA447" s="246"/>
      <c r="BB447" s="767"/>
      <c r="BC447" s="767"/>
      <c r="BD447" s="767"/>
      <c r="BE447" s="767"/>
      <c r="BF447" s="246"/>
      <c r="BG447" s="767"/>
      <c r="BH447" s="767"/>
      <c r="BI447" s="767"/>
      <c r="BJ447" s="767"/>
      <c r="BK447" s="246"/>
      <c r="BL447" s="767"/>
      <c r="BM447" s="767"/>
      <c r="BN447" s="767"/>
      <c r="BO447" s="2058"/>
      <c r="BP447" s="246"/>
      <c r="BQ447" s="767"/>
      <c r="BR447" s="767"/>
      <c r="BS447" s="767"/>
      <c r="BT447" s="2058"/>
      <c r="BU447" s="246"/>
      <c r="BV447" s="767"/>
      <c r="BW447" s="767"/>
      <c r="BX447" s="767"/>
      <c r="BY447" s="767"/>
      <c r="BZ447" s="246"/>
      <c r="CA447" s="767"/>
      <c r="CB447" s="767"/>
      <c r="CC447" s="767"/>
      <c r="CD447" s="767"/>
      <c r="CE447" s="246"/>
      <c r="CF447" s="767"/>
      <c r="CG447" s="3015"/>
      <c r="CH447" s="3076">
        <f>CG447</f>
        <v>0</v>
      </c>
      <c r="CI447" s="3275">
        <v>0</v>
      </c>
      <c r="CJ447" s="3394">
        <f t="shared" si="645"/>
        <v>0</v>
      </c>
      <c r="CK447" s="2982">
        <v>0</v>
      </c>
      <c r="CL447" s="2982">
        <v>0</v>
      </c>
      <c r="CM447" s="2982">
        <v>0</v>
      </c>
      <c r="CN447" s="2982">
        <v>0</v>
      </c>
      <c r="CO447" s="3077">
        <f t="shared" ref="CO447:CV447" si="647">CN447</f>
        <v>0</v>
      </c>
      <c r="CP447" s="3076">
        <f t="shared" si="644"/>
        <v>0</v>
      </c>
      <c r="CQ447" s="3076">
        <f t="shared" si="646"/>
        <v>0</v>
      </c>
      <c r="CR447" s="3076">
        <f t="shared" si="646"/>
        <v>0</v>
      </c>
      <c r="CS447" s="3076">
        <f t="shared" si="646"/>
        <v>0</v>
      </c>
      <c r="CT447" s="3077">
        <f t="shared" si="647"/>
        <v>0</v>
      </c>
      <c r="CU447" s="3077">
        <f t="shared" si="647"/>
        <v>0</v>
      </c>
      <c r="CV447" s="3077">
        <f t="shared" si="647"/>
        <v>0</v>
      </c>
      <c r="CW447" s="374"/>
      <c r="CX447" s="374"/>
      <c r="CY447" s="374"/>
      <c r="CZ447" s="374"/>
      <c r="DA447" s="374"/>
      <c r="DB447" s="217"/>
    </row>
    <row r="448" spans="1:108" ht="12" customHeight="1" x14ac:dyDescent="0.35">
      <c r="A448" s="3013" t="s">
        <v>2457</v>
      </c>
      <c r="B448" s="651"/>
      <c r="C448" s="234"/>
      <c r="D448" s="234"/>
      <c r="E448" s="234"/>
      <c r="F448" s="234"/>
      <c r="G448" s="234"/>
      <c r="H448" s="1048"/>
      <c r="I448" s="1428"/>
      <c r="J448" s="767"/>
      <c r="K448" s="767"/>
      <c r="L448" s="767"/>
      <c r="M448" s="246"/>
      <c r="N448" s="767"/>
      <c r="O448" s="767"/>
      <c r="P448" s="767"/>
      <c r="Q448" s="767"/>
      <c r="R448" s="246"/>
      <c r="S448" s="767"/>
      <c r="T448" s="767"/>
      <c r="U448" s="767"/>
      <c r="V448" s="767"/>
      <c r="W448" s="246"/>
      <c r="X448" s="767"/>
      <c r="Y448" s="767"/>
      <c r="Z448" s="767"/>
      <c r="AA448" s="767"/>
      <c r="AB448" s="246"/>
      <c r="AC448" s="767"/>
      <c r="AD448" s="767"/>
      <c r="AE448" s="767"/>
      <c r="AF448" s="767"/>
      <c r="AG448" s="246"/>
      <c r="AH448" s="767"/>
      <c r="AI448" s="767"/>
      <c r="AJ448" s="767"/>
      <c r="AK448" s="767"/>
      <c r="AL448" s="246"/>
      <c r="AM448" s="767"/>
      <c r="AN448" s="767"/>
      <c r="AO448" s="767"/>
      <c r="AP448" s="767"/>
      <c r="AQ448" s="246"/>
      <c r="AR448" s="767"/>
      <c r="AS448" s="767"/>
      <c r="AT448" s="767"/>
      <c r="AU448" s="767"/>
      <c r="AV448" s="246"/>
      <c r="AW448" s="767"/>
      <c r="AX448" s="767"/>
      <c r="AY448" s="767"/>
      <c r="AZ448" s="767"/>
      <c r="BA448" s="246"/>
      <c r="BB448" s="767"/>
      <c r="BC448" s="767"/>
      <c r="BD448" s="767"/>
      <c r="BE448" s="767"/>
      <c r="BF448" s="246"/>
      <c r="BG448" s="767"/>
      <c r="BH448" s="767"/>
      <c r="BI448" s="767"/>
      <c r="BJ448" s="767"/>
      <c r="BK448" s="246"/>
      <c r="BL448" s="767"/>
      <c r="BM448" s="767"/>
      <c r="BN448" s="767"/>
      <c r="BO448" s="2058"/>
      <c r="BP448" s="246"/>
      <c r="BQ448" s="767"/>
      <c r="BR448" s="767"/>
      <c r="BS448" s="767"/>
      <c r="BT448" s="2058"/>
      <c r="BU448" s="246"/>
      <c r="BV448" s="767"/>
      <c r="BW448" s="767"/>
      <c r="BX448" s="767"/>
      <c r="BY448" s="767"/>
      <c r="BZ448" s="246"/>
      <c r="CA448" s="767"/>
      <c r="CB448" s="767"/>
      <c r="CC448" s="767"/>
      <c r="CD448" s="767"/>
      <c r="CE448" s="246"/>
      <c r="CF448" s="767"/>
      <c r="CG448" s="3015"/>
      <c r="CH448" s="3275">
        <v>509</v>
      </c>
      <c r="CI448" s="3275">
        <v>509</v>
      </c>
      <c r="CJ448" s="3394">
        <f t="shared" si="645"/>
        <v>509</v>
      </c>
      <c r="CK448" s="2982">
        <v>509</v>
      </c>
      <c r="CL448" s="2982">
        <v>509</v>
      </c>
      <c r="CM448" s="2982">
        <v>509</v>
      </c>
      <c r="CN448" s="2982">
        <v>509</v>
      </c>
      <c r="CO448" s="3077">
        <f t="shared" ref="CO448:CV448" si="648">CN448</f>
        <v>509</v>
      </c>
      <c r="CP448" s="3076">
        <f t="shared" si="644"/>
        <v>509</v>
      </c>
      <c r="CQ448" s="3076">
        <f t="shared" si="646"/>
        <v>509</v>
      </c>
      <c r="CR448" s="3076">
        <f t="shared" si="646"/>
        <v>509</v>
      </c>
      <c r="CS448" s="3076">
        <f t="shared" si="646"/>
        <v>509</v>
      </c>
      <c r="CT448" s="3077">
        <f t="shared" si="648"/>
        <v>509</v>
      </c>
      <c r="CU448" s="3077">
        <f t="shared" si="648"/>
        <v>509</v>
      </c>
      <c r="CV448" s="3077">
        <f t="shared" si="648"/>
        <v>509</v>
      </c>
      <c r="CW448" s="374"/>
      <c r="CX448" s="374"/>
      <c r="CY448" s="374"/>
      <c r="CZ448" s="374"/>
      <c r="DA448" s="374"/>
      <c r="DB448" s="217"/>
    </row>
    <row r="449" spans="1:106" ht="12" customHeight="1" x14ac:dyDescent="0.35">
      <c r="A449" s="3013" t="s">
        <v>2458</v>
      </c>
      <c r="B449" s="651"/>
      <c r="C449" s="234"/>
      <c r="D449" s="234"/>
      <c r="E449" s="234"/>
      <c r="F449" s="234"/>
      <c r="G449" s="234"/>
      <c r="H449" s="1048"/>
      <c r="I449" s="1428"/>
      <c r="J449" s="767"/>
      <c r="K449" s="767"/>
      <c r="L449" s="767"/>
      <c r="M449" s="246"/>
      <c r="N449" s="767"/>
      <c r="O449" s="767"/>
      <c r="P449" s="767"/>
      <c r="Q449" s="767"/>
      <c r="R449" s="246"/>
      <c r="S449" s="767"/>
      <c r="T449" s="767"/>
      <c r="U449" s="767"/>
      <c r="V449" s="767"/>
      <c r="W449" s="246"/>
      <c r="X449" s="767"/>
      <c r="Y449" s="767"/>
      <c r="Z449" s="767"/>
      <c r="AA449" s="767"/>
      <c r="AB449" s="246"/>
      <c r="AC449" s="767"/>
      <c r="AD449" s="767"/>
      <c r="AE449" s="767"/>
      <c r="AF449" s="767"/>
      <c r="AG449" s="246"/>
      <c r="AH449" s="767"/>
      <c r="AI449" s="767"/>
      <c r="AJ449" s="767"/>
      <c r="AK449" s="767"/>
      <c r="AL449" s="246"/>
      <c r="AM449" s="767"/>
      <c r="AN449" s="767"/>
      <c r="AO449" s="767"/>
      <c r="AP449" s="767"/>
      <c r="AQ449" s="246"/>
      <c r="AR449" s="767"/>
      <c r="AS449" s="767"/>
      <c r="AT449" s="767"/>
      <c r="AU449" s="767"/>
      <c r="AV449" s="246"/>
      <c r="AW449" s="767"/>
      <c r="AX449" s="767"/>
      <c r="AY449" s="767"/>
      <c r="AZ449" s="767"/>
      <c r="BA449" s="246"/>
      <c r="BB449" s="767"/>
      <c r="BC449" s="767"/>
      <c r="BD449" s="767"/>
      <c r="BE449" s="767"/>
      <c r="BF449" s="246"/>
      <c r="BG449" s="767"/>
      <c r="BH449" s="767"/>
      <c r="BI449" s="767"/>
      <c r="BJ449" s="767"/>
      <c r="BK449" s="246"/>
      <c r="BL449" s="767"/>
      <c r="BM449" s="767"/>
      <c r="BN449" s="767"/>
      <c r="BO449" s="2058"/>
      <c r="BP449" s="246"/>
      <c r="BQ449" s="767"/>
      <c r="BR449" s="767"/>
      <c r="BS449" s="767"/>
      <c r="BT449" s="2058"/>
      <c r="BU449" s="246"/>
      <c r="BV449" s="767"/>
      <c r="BW449" s="767"/>
      <c r="BX449" s="767"/>
      <c r="BY449" s="767"/>
      <c r="BZ449" s="246"/>
      <c r="CA449" s="767"/>
      <c r="CB449" s="767"/>
      <c r="CC449" s="767"/>
      <c r="CD449" s="767"/>
      <c r="CE449" s="246"/>
      <c r="CF449" s="767"/>
      <c r="CG449" s="3015"/>
      <c r="CH449" s="3275">
        <v>0</v>
      </c>
      <c r="CI449" s="3275">
        <v>0</v>
      </c>
      <c r="CJ449" s="3394">
        <f t="shared" si="645"/>
        <v>0</v>
      </c>
      <c r="CK449" s="2982">
        <v>0</v>
      </c>
      <c r="CL449" s="2982">
        <v>0</v>
      </c>
      <c r="CM449" s="2982">
        <v>0</v>
      </c>
      <c r="CN449" s="2982">
        <v>0</v>
      </c>
      <c r="CO449" s="3077">
        <f t="shared" ref="CO449:CV449" si="649">CN449</f>
        <v>0</v>
      </c>
      <c r="CP449" s="3076">
        <f t="shared" si="644"/>
        <v>0</v>
      </c>
      <c r="CQ449" s="3076">
        <f t="shared" si="646"/>
        <v>0</v>
      </c>
      <c r="CR449" s="3076">
        <f t="shared" si="646"/>
        <v>0</v>
      </c>
      <c r="CS449" s="3076">
        <f t="shared" si="646"/>
        <v>0</v>
      </c>
      <c r="CT449" s="3077">
        <f t="shared" si="649"/>
        <v>0</v>
      </c>
      <c r="CU449" s="3077">
        <f t="shared" si="649"/>
        <v>0</v>
      </c>
      <c r="CV449" s="3077">
        <f t="shared" si="649"/>
        <v>0</v>
      </c>
      <c r="CW449" s="374"/>
      <c r="CX449" s="374"/>
      <c r="CY449" s="374"/>
      <c r="CZ449" s="374"/>
      <c r="DA449" s="374"/>
      <c r="DB449" s="217"/>
    </row>
    <row r="450" spans="1:106" ht="12" customHeight="1" x14ac:dyDescent="0.35">
      <c r="A450" s="3013" t="s">
        <v>2459</v>
      </c>
      <c r="B450" s="651"/>
      <c r="C450" s="234"/>
      <c r="D450" s="234"/>
      <c r="E450" s="234"/>
      <c r="F450" s="234"/>
      <c r="G450" s="234"/>
      <c r="H450" s="1048"/>
      <c r="I450" s="1428"/>
      <c r="J450" s="767"/>
      <c r="K450" s="767"/>
      <c r="L450" s="767"/>
      <c r="M450" s="246"/>
      <c r="N450" s="767"/>
      <c r="O450" s="767"/>
      <c r="P450" s="767"/>
      <c r="Q450" s="767"/>
      <c r="R450" s="246"/>
      <c r="S450" s="767"/>
      <c r="T450" s="767"/>
      <c r="U450" s="767"/>
      <c r="V450" s="767"/>
      <c r="W450" s="246"/>
      <c r="X450" s="767"/>
      <c r="Y450" s="767"/>
      <c r="Z450" s="767"/>
      <c r="AA450" s="767"/>
      <c r="AB450" s="246"/>
      <c r="AC450" s="767"/>
      <c r="AD450" s="767"/>
      <c r="AE450" s="767"/>
      <c r="AF450" s="767"/>
      <c r="AG450" s="246"/>
      <c r="AH450" s="767"/>
      <c r="AI450" s="767"/>
      <c r="AJ450" s="767"/>
      <c r="AK450" s="767"/>
      <c r="AL450" s="246"/>
      <c r="AM450" s="767"/>
      <c r="AN450" s="767"/>
      <c r="AO450" s="767"/>
      <c r="AP450" s="767"/>
      <c r="AQ450" s="246"/>
      <c r="AR450" s="767"/>
      <c r="AS450" s="767"/>
      <c r="AT450" s="767"/>
      <c r="AU450" s="767"/>
      <c r="AV450" s="246"/>
      <c r="AW450" s="767"/>
      <c r="AX450" s="767"/>
      <c r="AY450" s="767"/>
      <c r="AZ450" s="767"/>
      <c r="BA450" s="246"/>
      <c r="BB450" s="767"/>
      <c r="BC450" s="767"/>
      <c r="BD450" s="767"/>
      <c r="BE450" s="767"/>
      <c r="BF450" s="246"/>
      <c r="BG450" s="767"/>
      <c r="BH450" s="767"/>
      <c r="BI450" s="767"/>
      <c r="BJ450" s="767"/>
      <c r="BK450" s="246"/>
      <c r="BL450" s="767"/>
      <c r="BM450" s="767"/>
      <c r="BN450" s="767"/>
      <c r="BO450" s="2058"/>
      <c r="BP450" s="246"/>
      <c r="BQ450" s="767"/>
      <c r="BR450" s="767"/>
      <c r="BS450" s="767"/>
      <c r="BT450" s="2058"/>
      <c r="BU450" s="246"/>
      <c r="BV450" s="767"/>
      <c r="BW450" s="767"/>
      <c r="BX450" s="767"/>
      <c r="BY450" s="767"/>
      <c r="BZ450" s="246"/>
      <c r="CA450" s="767"/>
      <c r="CB450" s="767"/>
      <c r="CC450" s="767"/>
      <c r="CD450" s="767"/>
      <c r="CE450" s="246"/>
      <c r="CF450" s="767"/>
      <c r="CG450" s="3015"/>
      <c r="CH450" s="3275">
        <v>498</v>
      </c>
      <c r="CI450" s="3275">
        <v>238</v>
      </c>
      <c r="CJ450" s="3394">
        <f t="shared" si="645"/>
        <v>238</v>
      </c>
      <c r="CK450" s="2982">
        <v>238</v>
      </c>
      <c r="CL450" s="2982">
        <v>238</v>
      </c>
      <c r="CM450" s="2982">
        <v>238</v>
      </c>
      <c r="CN450" s="2982">
        <v>238</v>
      </c>
      <c r="CO450" s="3077">
        <f t="shared" ref="CO450:CV450" si="650">CN450</f>
        <v>238</v>
      </c>
      <c r="CP450" s="3076">
        <f t="shared" si="644"/>
        <v>238</v>
      </c>
      <c r="CQ450" s="3076">
        <f t="shared" si="646"/>
        <v>238</v>
      </c>
      <c r="CR450" s="3076">
        <f t="shared" si="646"/>
        <v>238</v>
      </c>
      <c r="CS450" s="3076">
        <f t="shared" si="646"/>
        <v>238</v>
      </c>
      <c r="CT450" s="3077">
        <f t="shared" si="650"/>
        <v>238</v>
      </c>
      <c r="CU450" s="3077">
        <f t="shared" si="650"/>
        <v>238</v>
      </c>
      <c r="CV450" s="3077">
        <f t="shared" si="650"/>
        <v>238</v>
      </c>
      <c r="CW450" s="374"/>
      <c r="CX450" s="374"/>
      <c r="CY450" s="374"/>
      <c r="CZ450" s="374"/>
      <c r="DA450" s="374"/>
      <c r="DB450" s="217"/>
    </row>
    <row r="451" spans="1:106" ht="12" customHeight="1" x14ac:dyDescent="0.35">
      <c r="A451" s="3013" t="s">
        <v>2460</v>
      </c>
      <c r="B451" s="651"/>
      <c r="C451" s="234"/>
      <c r="D451" s="234"/>
      <c r="E451" s="234"/>
      <c r="F451" s="234"/>
      <c r="G451" s="234"/>
      <c r="H451" s="1048"/>
      <c r="I451" s="1428"/>
      <c r="J451" s="767"/>
      <c r="K451" s="767"/>
      <c r="L451" s="767"/>
      <c r="M451" s="246"/>
      <c r="N451" s="767"/>
      <c r="O451" s="767"/>
      <c r="P451" s="767"/>
      <c r="Q451" s="767"/>
      <c r="R451" s="246"/>
      <c r="S451" s="767"/>
      <c r="T451" s="767"/>
      <c r="U451" s="767"/>
      <c r="V451" s="767"/>
      <c r="W451" s="246"/>
      <c r="X451" s="767"/>
      <c r="Y451" s="767"/>
      <c r="Z451" s="767"/>
      <c r="AA451" s="767"/>
      <c r="AB451" s="246"/>
      <c r="AC451" s="767"/>
      <c r="AD451" s="767"/>
      <c r="AE451" s="767"/>
      <c r="AF451" s="767"/>
      <c r="AG451" s="246"/>
      <c r="AH451" s="767"/>
      <c r="AI451" s="767"/>
      <c r="AJ451" s="767"/>
      <c r="AK451" s="767"/>
      <c r="AL451" s="246"/>
      <c r="AM451" s="767"/>
      <c r="AN451" s="767"/>
      <c r="AO451" s="767"/>
      <c r="AP451" s="767"/>
      <c r="AQ451" s="246"/>
      <c r="AR451" s="767"/>
      <c r="AS451" s="767"/>
      <c r="AT451" s="767"/>
      <c r="AU451" s="767"/>
      <c r="AV451" s="246"/>
      <c r="AW451" s="767"/>
      <c r="AX451" s="767"/>
      <c r="AY451" s="767"/>
      <c r="AZ451" s="767"/>
      <c r="BA451" s="246"/>
      <c r="BB451" s="767"/>
      <c r="BC451" s="767"/>
      <c r="BD451" s="767"/>
      <c r="BE451" s="767"/>
      <c r="BF451" s="246"/>
      <c r="BG451" s="767"/>
      <c r="BH451" s="767"/>
      <c r="BI451" s="767"/>
      <c r="BJ451" s="767"/>
      <c r="BK451" s="246"/>
      <c r="BL451" s="767"/>
      <c r="BM451" s="767"/>
      <c r="BN451" s="767"/>
      <c r="BO451" s="2058"/>
      <c r="BP451" s="246"/>
      <c r="BQ451" s="767"/>
      <c r="BR451" s="767"/>
      <c r="BS451" s="767"/>
      <c r="BT451" s="2058"/>
      <c r="BU451" s="246"/>
      <c r="BV451" s="767"/>
      <c r="BW451" s="767"/>
      <c r="BX451" s="767"/>
      <c r="BY451" s="767"/>
      <c r="BZ451" s="246"/>
      <c r="CA451" s="767"/>
      <c r="CB451" s="767"/>
      <c r="CC451" s="767"/>
      <c r="CD451" s="767"/>
      <c r="CE451" s="246"/>
      <c r="CF451" s="767"/>
      <c r="CG451" s="3015"/>
      <c r="CH451" s="3076">
        <f>CG451</f>
        <v>0</v>
      </c>
      <c r="CI451" s="3275">
        <v>0</v>
      </c>
      <c r="CJ451" s="3394">
        <f t="shared" si="645"/>
        <v>0</v>
      </c>
      <c r="CK451" s="2982">
        <v>0</v>
      </c>
      <c r="CL451" s="2982">
        <v>0</v>
      </c>
      <c r="CM451" s="2982">
        <v>0</v>
      </c>
      <c r="CN451" s="2982">
        <v>0</v>
      </c>
      <c r="CO451" s="3077">
        <f t="shared" ref="CO451:CV451" si="651">CN451</f>
        <v>0</v>
      </c>
      <c r="CP451" s="3076">
        <f t="shared" si="644"/>
        <v>0</v>
      </c>
      <c r="CQ451" s="3076">
        <f t="shared" si="646"/>
        <v>0</v>
      </c>
      <c r="CR451" s="3076">
        <f t="shared" si="646"/>
        <v>0</v>
      </c>
      <c r="CS451" s="3076">
        <f t="shared" si="646"/>
        <v>0</v>
      </c>
      <c r="CT451" s="3077">
        <f t="shared" si="651"/>
        <v>0</v>
      </c>
      <c r="CU451" s="3077">
        <f t="shared" si="651"/>
        <v>0</v>
      </c>
      <c r="CV451" s="3077">
        <f t="shared" si="651"/>
        <v>0</v>
      </c>
      <c r="CW451" s="374"/>
      <c r="CX451" s="374"/>
      <c r="CY451" s="374"/>
      <c r="CZ451" s="374"/>
      <c r="DA451" s="374"/>
      <c r="DB451" s="217"/>
    </row>
    <row r="452" spans="1:106" ht="12" customHeight="1" x14ac:dyDescent="0.35">
      <c r="A452" s="3013" t="s">
        <v>2464</v>
      </c>
      <c r="B452" s="651"/>
      <c r="C452" s="234"/>
      <c r="D452" s="234"/>
      <c r="E452" s="234"/>
      <c r="F452" s="234"/>
      <c r="G452" s="234"/>
      <c r="H452" s="1048"/>
      <c r="I452" s="1428"/>
      <c r="J452" s="767"/>
      <c r="K452" s="767"/>
      <c r="L452" s="767"/>
      <c r="M452" s="246"/>
      <c r="N452" s="767"/>
      <c r="O452" s="767"/>
      <c r="P452" s="767"/>
      <c r="Q452" s="767"/>
      <c r="R452" s="246"/>
      <c r="S452" s="767"/>
      <c r="T452" s="767"/>
      <c r="U452" s="767"/>
      <c r="V452" s="767"/>
      <c r="W452" s="246"/>
      <c r="X452" s="767"/>
      <c r="Y452" s="767"/>
      <c r="Z452" s="767"/>
      <c r="AA452" s="767"/>
      <c r="AB452" s="246"/>
      <c r="AC452" s="767"/>
      <c r="AD452" s="767"/>
      <c r="AE452" s="767"/>
      <c r="AF452" s="767"/>
      <c r="AG452" s="246"/>
      <c r="AH452" s="767"/>
      <c r="AI452" s="767"/>
      <c r="AJ452" s="767"/>
      <c r="AK452" s="767"/>
      <c r="AL452" s="246"/>
      <c r="AM452" s="767"/>
      <c r="AN452" s="767"/>
      <c r="AO452" s="767"/>
      <c r="AP452" s="767"/>
      <c r="AQ452" s="246"/>
      <c r="AR452" s="767"/>
      <c r="AS452" s="767"/>
      <c r="AT452" s="767"/>
      <c r="AU452" s="767"/>
      <c r="AV452" s="246"/>
      <c r="AW452" s="767"/>
      <c r="AX452" s="767"/>
      <c r="AY452" s="767"/>
      <c r="AZ452" s="767"/>
      <c r="BA452" s="246"/>
      <c r="BB452" s="767"/>
      <c r="BC452" s="767"/>
      <c r="BD452" s="767"/>
      <c r="BE452" s="767"/>
      <c r="BF452" s="246"/>
      <c r="BG452" s="767"/>
      <c r="BH452" s="767"/>
      <c r="BI452" s="767"/>
      <c r="BJ452" s="767"/>
      <c r="BK452" s="246"/>
      <c r="BL452" s="767"/>
      <c r="BM452" s="767"/>
      <c r="BN452" s="767"/>
      <c r="BO452" s="2058"/>
      <c r="BP452" s="246"/>
      <c r="BQ452" s="767"/>
      <c r="BR452" s="767"/>
      <c r="BS452" s="767"/>
      <c r="BT452" s="2058"/>
      <c r="BU452" s="246"/>
      <c r="BV452" s="767"/>
      <c r="BW452" s="767"/>
      <c r="BX452" s="767"/>
      <c r="BY452" s="767"/>
      <c r="BZ452" s="246"/>
      <c r="CA452" s="767"/>
      <c r="CB452" s="767"/>
      <c r="CC452" s="767"/>
      <c r="CD452" s="767"/>
      <c r="CE452" s="246"/>
      <c r="CF452" s="767"/>
      <c r="CG452" s="3015"/>
      <c r="CH452" s="3076">
        <f>CG452</f>
        <v>0</v>
      </c>
      <c r="CI452" s="3275">
        <v>0</v>
      </c>
      <c r="CJ452" s="3394">
        <f t="shared" si="645"/>
        <v>0</v>
      </c>
      <c r="CK452" s="2982">
        <v>0</v>
      </c>
      <c r="CL452" s="2982">
        <v>0</v>
      </c>
      <c r="CM452" s="2982">
        <v>0</v>
      </c>
      <c r="CN452" s="2982">
        <v>0</v>
      </c>
      <c r="CO452" s="3077">
        <f t="shared" ref="CO452:CV452" si="652">CN452</f>
        <v>0</v>
      </c>
      <c r="CP452" s="3076">
        <f t="shared" si="644"/>
        <v>0</v>
      </c>
      <c r="CQ452" s="3076">
        <f t="shared" si="646"/>
        <v>0</v>
      </c>
      <c r="CR452" s="3076">
        <f t="shared" si="646"/>
        <v>0</v>
      </c>
      <c r="CS452" s="3076">
        <f t="shared" si="646"/>
        <v>0</v>
      </c>
      <c r="CT452" s="3077">
        <f t="shared" si="652"/>
        <v>0</v>
      </c>
      <c r="CU452" s="3077">
        <f t="shared" si="652"/>
        <v>0</v>
      </c>
      <c r="CV452" s="3077">
        <f t="shared" si="652"/>
        <v>0</v>
      </c>
      <c r="CW452" s="374"/>
      <c r="CX452" s="374"/>
      <c r="CY452" s="374"/>
      <c r="CZ452" s="374"/>
      <c r="DA452" s="374"/>
      <c r="DB452" s="217"/>
    </row>
    <row r="453" spans="1:106" ht="12" customHeight="1" x14ac:dyDescent="0.35">
      <c r="A453" s="3013" t="s">
        <v>2462</v>
      </c>
      <c r="B453" s="651"/>
      <c r="C453" s="234"/>
      <c r="D453" s="234"/>
      <c r="E453" s="234"/>
      <c r="F453" s="234"/>
      <c r="G453" s="234"/>
      <c r="H453" s="1048"/>
      <c r="I453" s="1428"/>
      <c r="J453" s="767"/>
      <c r="K453" s="767"/>
      <c r="L453" s="767"/>
      <c r="M453" s="246"/>
      <c r="N453" s="767"/>
      <c r="O453" s="767"/>
      <c r="P453" s="767"/>
      <c r="Q453" s="767"/>
      <c r="R453" s="246"/>
      <c r="S453" s="767"/>
      <c r="T453" s="767"/>
      <c r="U453" s="767"/>
      <c r="V453" s="767"/>
      <c r="W453" s="246"/>
      <c r="X453" s="767"/>
      <c r="Y453" s="767"/>
      <c r="Z453" s="767"/>
      <c r="AA453" s="767"/>
      <c r="AB453" s="246"/>
      <c r="AC453" s="767"/>
      <c r="AD453" s="767"/>
      <c r="AE453" s="767"/>
      <c r="AF453" s="767"/>
      <c r="AG453" s="246"/>
      <c r="AH453" s="767"/>
      <c r="AI453" s="767"/>
      <c r="AJ453" s="767"/>
      <c r="AK453" s="767"/>
      <c r="AL453" s="246"/>
      <c r="AM453" s="767"/>
      <c r="AN453" s="767"/>
      <c r="AO453" s="767"/>
      <c r="AP453" s="767"/>
      <c r="AQ453" s="246"/>
      <c r="AR453" s="767"/>
      <c r="AS453" s="767"/>
      <c r="AT453" s="767"/>
      <c r="AU453" s="767"/>
      <c r="AV453" s="246"/>
      <c r="AW453" s="767"/>
      <c r="AX453" s="767"/>
      <c r="AY453" s="767"/>
      <c r="AZ453" s="767"/>
      <c r="BA453" s="246"/>
      <c r="BB453" s="767"/>
      <c r="BC453" s="767"/>
      <c r="BD453" s="767"/>
      <c r="BE453" s="767"/>
      <c r="BF453" s="246"/>
      <c r="BG453" s="767"/>
      <c r="BH453" s="767"/>
      <c r="BI453" s="767"/>
      <c r="BJ453" s="767"/>
      <c r="BK453" s="246"/>
      <c r="BL453" s="767"/>
      <c r="BM453" s="767"/>
      <c r="BN453" s="767"/>
      <c r="BO453" s="2058"/>
      <c r="BP453" s="246"/>
      <c r="BQ453" s="767"/>
      <c r="BR453" s="767"/>
      <c r="BS453" s="767"/>
      <c r="BT453" s="2058"/>
      <c r="BU453" s="246"/>
      <c r="BV453" s="767"/>
      <c r="BW453" s="767"/>
      <c r="BX453" s="767"/>
      <c r="BY453" s="767"/>
      <c r="BZ453" s="246"/>
      <c r="CA453" s="767"/>
      <c r="CB453" s="767"/>
      <c r="CC453" s="767"/>
      <c r="CD453" s="767"/>
      <c r="CE453" s="246"/>
      <c r="CF453" s="767"/>
      <c r="CG453" s="3015"/>
      <c r="CH453" s="3076">
        <f>CG453</f>
        <v>0</v>
      </c>
      <c r="CI453" s="3275">
        <v>0</v>
      </c>
      <c r="CJ453" s="3394">
        <f t="shared" si="645"/>
        <v>0</v>
      </c>
      <c r="CK453" s="2982">
        <v>0</v>
      </c>
      <c r="CL453" s="2982">
        <v>0</v>
      </c>
      <c r="CM453" s="2982">
        <v>0</v>
      </c>
      <c r="CN453" s="2982">
        <v>0</v>
      </c>
      <c r="CO453" s="3077">
        <f t="shared" ref="CO453:CV453" si="653">CN453</f>
        <v>0</v>
      </c>
      <c r="CP453" s="3076">
        <f t="shared" si="644"/>
        <v>0</v>
      </c>
      <c r="CQ453" s="3076">
        <f t="shared" si="646"/>
        <v>0</v>
      </c>
      <c r="CR453" s="3076">
        <f t="shared" si="646"/>
        <v>0</v>
      </c>
      <c r="CS453" s="3076">
        <f t="shared" si="646"/>
        <v>0</v>
      </c>
      <c r="CT453" s="3077">
        <f t="shared" si="653"/>
        <v>0</v>
      </c>
      <c r="CU453" s="3077">
        <f t="shared" si="653"/>
        <v>0</v>
      </c>
      <c r="CV453" s="3077">
        <f t="shared" si="653"/>
        <v>0</v>
      </c>
      <c r="CW453" s="374"/>
      <c r="CX453" s="374"/>
      <c r="CY453" s="374"/>
      <c r="CZ453" s="374"/>
      <c r="DA453" s="374"/>
      <c r="DB453" s="217"/>
    </row>
    <row r="454" spans="1:106" ht="12" customHeight="1" x14ac:dyDescent="0.35">
      <c r="A454" s="3013" t="s">
        <v>2463</v>
      </c>
      <c r="B454" s="651"/>
      <c r="C454" s="234"/>
      <c r="D454" s="234"/>
      <c r="E454" s="234"/>
      <c r="F454" s="234"/>
      <c r="G454" s="234"/>
      <c r="H454" s="1048"/>
      <c r="I454" s="1428"/>
      <c r="J454" s="767"/>
      <c r="K454" s="767"/>
      <c r="L454" s="767"/>
      <c r="M454" s="246"/>
      <c r="N454" s="767"/>
      <c r="O454" s="767"/>
      <c r="P454" s="767"/>
      <c r="Q454" s="767"/>
      <c r="R454" s="246"/>
      <c r="S454" s="767"/>
      <c r="T454" s="767"/>
      <c r="U454" s="767"/>
      <c r="V454" s="767"/>
      <c r="W454" s="246"/>
      <c r="X454" s="767"/>
      <c r="Y454" s="767"/>
      <c r="Z454" s="767"/>
      <c r="AA454" s="767"/>
      <c r="AB454" s="246"/>
      <c r="AC454" s="767"/>
      <c r="AD454" s="767"/>
      <c r="AE454" s="767"/>
      <c r="AF454" s="767"/>
      <c r="AG454" s="246"/>
      <c r="AH454" s="767"/>
      <c r="AI454" s="767"/>
      <c r="AJ454" s="767"/>
      <c r="AK454" s="767"/>
      <c r="AL454" s="246"/>
      <c r="AM454" s="767"/>
      <c r="AN454" s="767"/>
      <c r="AO454" s="767"/>
      <c r="AP454" s="767"/>
      <c r="AQ454" s="246"/>
      <c r="AR454" s="767"/>
      <c r="AS454" s="767"/>
      <c r="AT454" s="767"/>
      <c r="AU454" s="767"/>
      <c r="AV454" s="246"/>
      <c r="AW454" s="767"/>
      <c r="AX454" s="767"/>
      <c r="AY454" s="767"/>
      <c r="AZ454" s="767"/>
      <c r="BA454" s="246"/>
      <c r="BB454" s="767"/>
      <c r="BC454" s="767"/>
      <c r="BD454" s="767"/>
      <c r="BE454" s="767"/>
      <c r="BF454" s="246"/>
      <c r="BG454" s="767"/>
      <c r="BH454" s="767"/>
      <c r="BI454" s="767"/>
      <c r="BJ454" s="767"/>
      <c r="BK454" s="246"/>
      <c r="BL454" s="767"/>
      <c r="BM454" s="767"/>
      <c r="BN454" s="767"/>
      <c r="BO454" s="2058"/>
      <c r="BP454" s="246"/>
      <c r="BQ454" s="767"/>
      <c r="BR454" s="767"/>
      <c r="BS454" s="767"/>
      <c r="BT454" s="2058"/>
      <c r="BU454" s="246"/>
      <c r="BV454" s="767"/>
      <c r="BW454" s="767"/>
      <c r="BX454" s="767"/>
      <c r="BY454" s="767"/>
      <c r="BZ454" s="246"/>
      <c r="CA454" s="767"/>
      <c r="CB454" s="767"/>
      <c r="CC454" s="767"/>
      <c r="CD454" s="767"/>
      <c r="CE454" s="246"/>
      <c r="CF454" s="767"/>
      <c r="CG454" s="3015"/>
      <c r="CH454" s="3275">
        <v>135</v>
      </c>
      <c r="CI454" s="3275">
        <v>135</v>
      </c>
      <c r="CJ454" s="3394">
        <f t="shared" si="645"/>
        <v>135</v>
      </c>
      <c r="CK454" s="2982">
        <v>135</v>
      </c>
      <c r="CL454" s="2982">
        <v>135</v>
      </c>
      <c r="CM454" s="2982">
        <v>135</v>
      </c>
      <c r="CN454" s="2982">
        <v>135</v>
      </c>
      <c r="CO454" s="3077">
        <f t="shared" ref="CO454:CV454" si="654">CN454</f>
        <v>135</v>
      </c>
      <c r="CP454" s="3076">
        <f t="shared" si="644"/>
        <v>135</v>
      </c>
      <c r="CQ454" s="3076">
        <f t="shared" si="646"/>
        <v>135</v>
      </c>
      <c r="CR454" s="3076">
        <f t="shared" si="646"/>
        <v>135</v>
      </c>
      <c r="CS454" s="3076">
        <f t="shared" si="646"/>
        <v>135</v>
      </c>
      <c r="CT454" s="3077">
        <f t="shared" si="654"/>
        <v>135</v>
      </c>
      <c r="CU454" s="3077">
        <f t="shared" si="654"/>
        <v>135</v>
      </c>
      <c r="CV454" s="3077">
        <f t="shared" si="654"/>
        <v>135</v>
      </c>
      <c r="CW454" s="374"/>
      <c r="CX454" s="374"/>
      <c r="CY454" s="374"/>
      <c r="CZ454" s="374"/>
      <c r="DA454" s="374"/>
      <c r="DB454" s="217"/>
    </row>
    <row r="455" spans="1:106" ht="12" customHeight="1" x14ac:dyDescent="0.35">
      <c r="A455" s="3014" t="s">
        <v>1931</v>
      </c>
      <c r="B455" s="651"/>
      <c r="C455" s="234"/>
      <c r="D455" s="234"/>
      <c r="E455" s="234"/>
      <c r="F455" s="234"/>
      <c r="G455" s="234"/>
      <c r="H455" s="1048"/>
      <c r="I455" s="1428"/>
      <c r="J455" s="767"/>
      <c r="K455" s="767"/>
      <c r="L455" s="767"/>
      <c r="M455" s="246"/>
      <c r="N455" s="767"/>
      <c r="O455" s="767"/>
      <c r="P455" s="767"/>
      <c r="Q455" s="767"/>
      <c r="R455" s="246"/>
      <c r="S455" s="767"/>
      <c r="T455" s="767"/>
      <c r="U455" s="767"/>
      <c r="V455" s="767"/>
      <c r="W455" s="246"/>
      <c r="X455" s="767"/>
      <c r="Y455" s="767"/>
      <c r="Z455" s="767"/>
      <c r="AA455" s="767"/>
      <c r="AB455" s="246"/>
      <c r="AC455" s="767"/>
      <c r="AD455" s="767"/>
      <c r="AE455" s="767"/>
      <c r="AF455" s="767"/>
      <c r="AG455" s="246"/>
      <c r="AH455" s="767"/>
      <c r="AI455" s="767"/>
      <c r="AJ455" s="767"/>
      <c r="AK455" s="767"/>
      <c r="AL455" s="246"/>
      <c r="AM455" s="767"/>
      <c r="AN455" s="767"/>
      <c r="AO455" s="767"/>
      <c r="AP455" s="767"/>
      <c r="AQ455" s="246"/>
      <c r="AR455" s="767"/>
      <c r="AS455" s="767"/>
      <c r="AT455" s="767"/>
      <c r="AU455" s="767"/>
      <c r="AV455" s="246"/>
      <c r="AW455" s="767"/>
      <c r="AX455" s="767"/>
      <c r="AY455" s="767"/>
      <c r="AZ455" s="767"/>
      <c r="BA455" s="246"/>
      <c r="BB455" s="767"/>
      <c r="BC455" s="767"/>
      <c r="BD455" s="767"/>
      <c r="BE455" s="767"/>
      <c r="BF455" s="246"/>
      <c r="BG455" s="767"/>
      <c r="BH455" s="767"/>
      <c r="BI455" s="767"/>
      <c r="BJ455" s="767"/>
      <c r="BK455" s="246"/>
      <c r="BL455" s="767"/>
      <c r="BM455" s="767"/>
      <c r="BN455" s="767"/>
      <c r="BO455" s="2058"/>
      <c r="BP455" s="246"/>
      <c r="BQ455" s="767"/>
      <c r="BR455" s="767"/>
      <c r="BS455" s="767"/>
      <c r="BT455" s="2058"/>
      <c r="BU455" s="246"/>
      <c r="BV455" s="767"/>
      <c r="BW455" s="767"/>
      <c r="BX455" s="767"/>
      <c r="BY455" s="767"/>
      <c r="BZ455" s="246"/>
      <c r="CA455" s="767"/>
      <c r="CB455" s="767"/>
      <c r="CC455" s="767"/>
      <c r="CD455" s="767"/>
      <c r="CE455" s="246"/>
      <c r="CF455" s="767"/>
      <c r="CG455" s="3015"/>
      <c r="CH455" s="3275">
        <v>0</v>
      </c>
      <c r="CI455" s="3275">
        <v>0</v>
      </c>
      <c r="CJ455" s="3394">
        <f t="shared" si="645"/>
        <v>0</v>
      </c>
      <c r="CK455" s="2982">
        <v>0</v>
      </c>
      <c r="CL455" s="2982">
        <v>0</v>
      </c>
      <c r="CM455" s="2982">
        <v>0</v>
      </c>
      <c r="CN455" s="2982">
        <v>0</v>
      </c>
      <c r="CO455" s="3077">
        <f t="shared" ref="CO455:CV455" si="655">CN455</f>
        <v>0</v>
      </c>
      <c r="CP455" s="3076">
        <f t="shared" si="644"/>
        <v>0</v>
      </c>
      <c r="CQ455" s="3076">
        <f t="shared" si="646"/>
        <v>0</v>
      </c>
      <c r="CR455" s="3076">
        <f t="shared" si="646"/>
        <v>0</v>
      </c>
      <c r="CS455" s="3076">
        <f t="shared" si="646"/>
        <v>0</v>
      </c>
      <c r="CT455" s="3077">
        <f t="shared" si="655"/>
        <v>0</v>
      </c>
      <c r="CU455" s="3077">
        <f t="shared" si="655"/>
        <v>0</v>
      </c>
      <c r="CV455" s="3077">
        <f t="shared" si="655"/>
        <v>0</v>
      </c>
      <c r="CW455" s="374"/>
      <c r="CX455" s="374"/>
      <c r="CY455" s="374"/>
      <c r="CZ455" s="374"/>
      <c r="DA455" s="374"/>
      <c r="DB455" s="217"/>
    </row>
    <row r="456" spans="1:106" ht="4.5" customHeight="1" x14ac:dyDescent="0.35">
      <c r="A456" s="1207"/>
      <c r="B456" s="212"/>
      <c r="C456" s="212"/>
      <c r="D456" s="212"/>
      <c r="E456" s="212"/>
      <c r="F456" s="212"/>
      <c r="G456" s="212"/>
      <c r="H456" s="194"/>
      <c r="I456" s="850" t="s">
        <v>2466</v>
      </c>
      <c r="J456" s="850" t="s">
        <v>2139</v>
      </c>
      <c r="K456" s="850" t="s">
        <v>2466</v>
      </c>
      <c r="L456" s="850" t="s">
        <v>2139</v>
      </c>
      <c r="M456" s="3009" t="s">
        <v>2378</v>
      </c>
      <c r="N456" s="850" t="s">
        <v>2466</v>
      </c>
      <c r="O456" s="850" t="s">
        <v>2139</v>
      </c>
      <c r="P456" s="850" t="s">
        <v>2466</v>
      </c>
      <c r="Q456" s="850" t="s">
        <v>2139</v>
      </c>
      <c r="R456" s="3009" t="s">
        <v>2378</v>
      </c>
      <c r="S456" s="850" t="s">
        <v>2466</v>
      </c>
      <c r="T456" s="850" t="s">
        <v>2139</v>
      </c>
      <c r="U456" s="850" t="s">
        <v>2466</v>
      </c>
      <c r="V456" s="850" t="s">
        <v>2139</v>
      </c>
      <c r="W456" s="3009" t="s">
        <v>2378</v>
      </c>
      <c r="X456" s="850" t="s">
        <v>2466</v>
      </c>
      <c r="Y456" s="850" t="s">
        <v>2139</v>
      </c>
      <c r="Z456" s="850" t="s">
        <v>2466</v>
      </c>
      <c r="AA456" s="850" t="s">
        <v>2139</v>
      </c>
      <c r="AB456" s="3009" t="s">
        <v>2378</v>
      </c>
      <c r="AC456" s="850" t="s">
        <v>2466</v>
      </c>
      <c r="AD456" s="850" t="s">
        <v>2139</v>
      </c>
      <c r="AE456" s="850" t="s">
        <v>2466</v>
      </c>
      <c r="AF456" s="850" t="s">
        <v>2139</v>
      </c>
      <c r="AG456" s="3009" t="s">
        <v>2378</v>
      </c>
      <c r="AH456" s="850" t="s">
        <v>2466</v>
      </c>
      <c r="AI456" s="850" t="s">
        <v>2139</v>
      </c>
      <c r="AJ456" s="850" t="s">
        <v>2466</v>
      </c>
      <c r="AK456" s="850" t="s">
        <v>2139</v>
      </c>
      <c r="AL456" s="3009" t="s">
        <v>2378</v>
      </c>
      <c r="AM456" s="850" t="s">
        <v>2466</v>
      </c>
      <c r="AN456" s="850" t="s">
        <v>2139</v>
      </c>
      <c r="AO456" s="850" t="s">
        <v>2466</v>
      </c>
      <c r="AP456" s="850" t="s">
        <v>2139</v>
      </c>
      <c r="AQ456" s="3009" t="s">
        <v>2378</v>
      </c>
      <c r="AR456" s="850" t="s">
        <v>2466</v>
      </c>
      <c r="AS456" s="850" t="s">
        <v>2139</v>
      </c>
      <c r="AT456" s="850" t="s">
        <v>2466</v>
      </c>
      <c r="AU456" s="850" t="s">
        <v>2139</v>
      </c>
      <c r="AV456" s="3009" t="s">
        <v>2378</v>
      </c>
      <c r="AW456" s="850" t="s">
        <v>2466</v>
      </c>
      <c r="AX456" s="850" t="s">
        <v>2139</v>
      </c>
      <c r="AY456" s="850" t="s">
        <v>2466</v>
      </c>
      <c r="AZ456" s="850" t="s">
        <v>2139</v>
      </c>
      <c r="BA456" s="3009" t="s">
        <v>2378</v>
      </c>
      <c r="BB456" s="850" t="s">
        <v>2466</v>
      </c>
      <c r="BC456" s="850" t="s">
        <v>2139</v>
      </c>
      <c r="BD456" s="850" t="s">
        <v>2466</v>
      </c>
      <c r="BE456" s="850" t="s">
        <v>2139</v>
      </c>
      <c r="BF456" s="3009" t="s">
        <v>2378</v>
      </c>
      <c r="BG456" s="3011" t="s">
        <v>2467</v>
      </c>
      <c r="BH456" s="3011" t="s">
        <v>2467</v>
      </c>
      <c r="BI456" s="3011" t="s">
        <v>2467</v>
      </c>
      <c r="BJ456" s="3011" t="s">
        <v>2467</v>
      </c>
      <c r="BK456" s="3009" t="s">
        <v>2139</v>
      </c>
      <c r="BL456" s="3011" t="s">
        <v>1191</v>
      </c>
      <c r="BM456" s="3011" t="s">
        <v>1191</v>
      </c>
      <c r="BN456" s="3011" t="s">
        <v>1191</v>
      </c>
      <c r="BO456" s="3011" t="s">
        <v>1191</v>
      </c>
      <c r="BP456" s="3009" t="s">
        <v>2139</v>
      </c>
      <c r="BQ456" s="3011" t="s">
        <v>2139</v>
      </c>
      <c r="BR456" s="3011" t="s">
        <v>2139</v>
      </c>
      <c r="BS456" s="3011" t="s">
        <v>2139</v>
      </c>
      <c r="BT456" s="3011" t="s">
        <v>2139</v>
      </c>
      <c r="BU456" s="3009" t="s">
        <v>2139</v>
      </c>
      <c r="BV456" s="3011" t="s">
        <v>2468</v>
      </c>
      <c r="BW456" s="3011" t="s">
        <v>2468</v>
      </c>
      <c r="BX456" s="3011" t="s">
        <v>2468</v>
      </c>
      <c r="BY456" s="3011" t="s">
        <v>2467</v>
      </c>
      <c r="BZ456" s="3009" t="s">
        <v>2378</v>
      </c>
      <c r="CA456" s="3011" t="s">
        <v>2466</v>
      </c>
      <c r="CB456" s="3011" t="s">
        <v>2466</v>
      </c>
      <c r="CC456" s="3011" t="s">
        <v>2466</v>
      </c>
      <c r="CD456" s="3011" t="s">
        <v>2378</v>
      </c>
      <c r="CE456" s="3009" t="s">
        <v>2139</v>
      </c>
      <c r="CF456" s="3011" t="s">
        <v>2466</v>
      </c>
      <c r="CG456" s="3010" t="s">
        <v>2378</v>
      </c>
      <c r="CH456" s="3010" t="s">
        <v>2378</v>
      </c>
      <c r="CI456" s="3010" t="s">
        <v>2378</v>
      </c>
      <c r="CJ456" s="3017" t="s">
        <v>2378</v>
      </c>
      <c r="CK456" s="3517" t="s">
        <v>2378</v>
      </c>
      <c r="CL456" s="3517" t="s">
        <v>2378</v>
      </c>
      <c r="CM456" s="3010" t="s">
        <v>2378</v>
      </c>
      <c r="CN456" s="3010" t="s">
        <v>2378</v>
      </c>
      <c r="CO456" s="3017" t="s">
        <v>2378</v>
      </c>
      <c r="CP456" s="3010" t="s">
        <v>2378</v>
      </c>
      <c r="CQ456" s="3010" t="s">
        <v>2378</v>
      </c>
      <c r="CR456" s="3010" t="s">
        <v>2378</v>
      </c>
      <c r="CS456" s="3010" t="s">
        <v>2378</v>
      </c>
      <c r="CT456" s="3017" t="s">
        <v>2378</v>
      </c>
      <c r="CU456" s="3017" t="s">
        <v>2378</v>
      </c>
      <c r="CV456" s="3017" t="s">
        <v>2378</v>
      </c>
      <c r="DB456" s="217"/>
    </row>
    <row r="457" spans="1:106" ht="12" customHeight="1" x14ac:dyDescent="0.2">
      <c r="A457" s="1437" t="s">
        <v>1735</v>
      </c>
      <c r="B457" s="651"/>
      <c r="C457" s="236"/>
      <c r="D457" s="234"/>
      <c r="E457" s="234"/>
      <c r="F457" s="234"/>
      <c r="G457" s="234"/>
      <c r="H457" s="1426">
        <f t="shared" ref="H457:AM457" si="656">SUM(H427:H443)</f>
        <v>12836</v>
      </c>
      <c r="I457" s="1429">
        <f t="shared" si="656"/>
        <v>11810</v>
      </c>
      <c r="J457" s="257">
        <f t="shared" si="656"/>
        <v>10316</v>
      </c>
      <c r="K457" s="257">
        <f t="shared" si="656"/>
        <v>8770</v>
      </c>
      <c r="L457" s="257">
        <f t="shared" si="656"/>
        <v>10019</v>
      </c>
      <c r="M457" s="1426">
        <f t="shared" si="656"/>
        <v>10019</v>
      </c>
      <c r="N457" s="257">
        <f t="shared" si="656"/>
        <v>9267</v>
      </c>
      <c r="O457" s="257">
        <f t="shared" si="656"/>
        <v>9343</v>
      </c>
      <c r="P457" s="257">
        <f t="shared" si="656"/>
        <v>9342</v>
      </c>
      <c r="Q457" s="257">
        <f t="shared" si="656"/>
        <v>8659</v>
      </c>
      <c r="R457" s="1426">
        <f t="shared" si="656"/>
        <v>8659</v>
      </c>
      <c r="S457" s="257">
        <f t="shared" si="656"/>
        <v>8828</v>
      </c>
      <c r="T457" s="257">
        <f t="shared" si="656"/>
        <v>8113</v>
      </c>
      <c r="U457" s="257">
        <f t="shared" si="656"/>
        <v>8521</v>
      </c>
      <c r="V457" s="257">
        <f t="shared" si="656"/>
        <v>7686</v>
      </c>
      <c r="W457" s="1426">
        <f t="shared" si="656"/>
        <v>7686</v>
      </c>
      <c r="X457" s="257">
        <f t="shared" si="656"/>
        <v>7686</v>
      </c>
      <c r="Y457" s="257">
        <f t="shared" si="656"/>
        <v>6829</v>
      </c>
      <c r="Z457" s="257">
        <f t="shared" si="656"/>
        <v>5948</v>
      </c>
      <c r="AA457" s="257">
        <f t="shared" si="656"/>
        <v>4257</v>
      </c>
      <c r="AB457" s="1426">
        <f t="shared" si="656"/>
        <v>4257</v>
      </c>
      <c r="AC457" s="257">
        <f t="shared" si="656"/>
        <v>5288</v>
      </c>
      <c r="AD457" s="257">
        <f t="shared" si="656"/>
        <v>5288</v>
      </c>
      <c r="AE457" s="257">
        <f t="shared" si="656"/>
        <v>8384</v>
      </c>
      <c r="AF457" s="257">
        <f t="shared" si="656"/>
        <v>8130</v>
      </c>
      <c r="AG457" s="1426">
        <f t="shared" si="656"/>
        <v>8130</v>
      </c>
      <c r="AH457" s="257">
        <f t="shared" si="656"/>
        <v>7461</v>
      </c>
      <c r="AI457" s="257">
        <f t="shared" si="656"/>
        <v>7068</v>
      </c>
      <c r="AJ457" s="257">
        <f t="shared" si="656"/>
        <v>6266</v>
      </c>
      <c r="AK457" s="257">
        <f t="shared" si="656"/>
        <v>6459</v>
      </c>
      <c r="AL457" s="1426">
        <f t="shared" si="656"/>
        <v>6459</v>
      </c>
      <c r="AM457" s="257">
        <f t="shared" si="656"/>
        <v>7231</v>
      </c>
      <c r="AN457" s="257">
        <f t="shared" ref="AN457:BS457" si="657">SUM(AN427:AN443)</f>
        <v>6651</v>
      </c>
      <c r="AO457" s="257">
        <f t="shared" si="657"/>
        <v>6176</v>
      </c>
      <c r="AP457" s="257">
        <f t="shared" si="657"/>
        <v>6176</v>
      </c>
      <c r="AQ457" s="1426">
        <f t="shared" si="657"/>
        <v>6176</v>
      </c>
      <c r="AR457" s="257">
        <f t="shared" si="657"/>
        <v>6647</v>
      </c>
      <c r="AS457" s="257">
        <f t="shared" si="657"/>
        <v>7003</v>
      </c>
      <c r="AT457" s="257">
        <f t="shared" si="657"/>
        <v>7003</v>
      </c>
      <c r="AU457" s="257">
        <f t="shared" si="657"/>
        <v>7003</v>
      </c>
      <c r="AV457" s="1426">
        <f t="shared" si="657"/>
        <v>7003</v>
      </c>
      <c r="AW457" s="257">
        <f t="shared" si="657"/>
        <v>7002</v>
      </c>
      <c r="AX457" s="257">
        <f t="shared" si="657"/>
        <v>7002</v>
      </c>
      <c r="AY457" s="257">
        <f t="shared" si="657"/>
        <v>7002</v>
      </c>
      <c r="AZ457" s="257">
        <f t="shared" si="657"/>
        <v>7002</v>
      </c>
      <c r="BA457" s="1426">
        <f t="shared" si="657"/>
        <v>7002</v>
      </c>
      <c r="BB457" s="257">
        <f t="shared" si="657"/>
        <v>7002</v>
      </c>
      <c r="BC457" s="257">
        <f t="shared" si="657"/>
        <v>6531</v>
      </c>
      <c r="BD457" s="257">
        <f t="shared" si="657"/>
        <v>6531</v>
      </c>
      <c r="BE457" s="257">
        <f t="shared" si="657"/>
        <v>6029</v>
      </c>
      <c r="BF457" s="1426">
        <f t="shared" si="657"/>
        <v>6029</v>
      </c>
      <c r="BG457" s="257">
        <f t="shared" si="657"/>
        <v>6029</v>
      </c>
      <c r="BH457" s="257">
        <f t="shared" si="657"/>
        <v>5863</v>
      </c>
      <c r="BI457" s="257">
        <f t="shared" si="657"/>
        <v>5863</v>
      </c>
      <c r="BJ457" s="257">
        <f t="shared" si="657"/>
        <v>5480</v>
      </c>
      <c r="BK457" s="1426">
        <f t="shared" si="657"/>
        <v>5480</v>
      </c>
      <c r="BL457" s="257">
        <f t="shared" si="657"/>
        <v>5480</v>
      </c>
      <c r="BM457" s="257">
        <f t="shared" si="657"/>
        <v>4982</v>
      </c>
      <c r="BN457" s="257">
        <f t="shared" si="657"/>
        <v>4982</v>
      </c>
      <c r="BO457" s="1646">
        <f t="shared" si="657"/>
        <v>4982</v>
      </c>
      <c r="BP457" s="1426">
        <f t="shared" si="657"/>
        <v>4982</v>
      </c>
      <c r="BQ457" s="852">
        <f t="shared" si="657"/>
        <v>4982</v>
      </c>
      <c r="BR457" s="852">
        <f t="shared" si="657"/>
        <v>4982</v>
      </c>
      <c r="BS457" s="852">
        <f t="shared" si="657"/>
        <v>4982</v>
      </c>
      <c r="BT457" s="1646">
        <f t="shared" ref="BT457:BZ457" si="658">SUM(BT427:BT443)</f>
        <v>5420</v>
      </c>
      <c r="BU457" s="1426">
        <f t="shared" si="658"/>
        <v>5420</v>
      </c>
      <c r="BV457" s="852">
        <f t="shared" si="658"/>
        <v>5420</v>
      </c>
      <c r="BW457" s="852">
        <f t="shared" si="658"/>
        <v>5420</v>
      </c>
      <c r="BX457" s="852">
        <f t="shared" si="658"/>
        <v>5420</v>
      </c>
      <c r="BY457" s="852">
        <f>SUM(BY427:BY443)</f>
        <v>5715</v>
      </c>
      <c r="BZ457" s="1426">
        <f t="shared" si="658"/>
        <v>5715</v>
      </c>
      <c r="CA457" s="257">
        <f>SUM(CA427:CA444)</f>
        <v>5420</v>
      </c>
      <c r="CB457" s="257">
        <f t="shared" ref="CB457:CG457" si="659">SUM(CB427:CB444)</f>
        <v>5420</v>
      </c>
      <c r="CC457" s="257">
        <f t="shared" si="659"/>
        <v>5420</v>
      </c>
      <c r="CD457" s="257">
        <f t="shared" si="659"/>
        <v>5420</v>
      </c>
      <c r="CE457" s="1426">
        <f t="shared" si="659"/>
        <v>5420</v>
      </c>
      <c r="CF457" s="257">
        <f t="shared" si="659"/>
        <v>5420</v>
      </c>
      <c r="CG457" s="257">
        <f t="shared" si="659"/>
        <v>5420</v>
      </c>
      <c r="CH457" s="257">
        <f>SUM(CH426:CH444)</f>
        <v>5420</v>
      </c>
      <c r="CI457">
        <f t="shared" ref="CI457:CV457" si="660">SUM(CI426:CI455)</f>
        <v>10805</v>
      </c>
      <c r="CJ457" s="843">
        <f t="shared" si="660"/>
        <v>10805</v>
      </c>
      <c r="CK457" s="854">
        <f t="shared" si="660"/>
        <v>10803</v>
      </c>
      <c r="CL457" s="854">
        <f t="shared" si="660"/>
        <v>9606</v>
      </c>
      <c r="CM457" s="852">
        <f t="shared" si="660"/>
        <v>9613</v>
      </c>
      <c r="CN457" s="852">
        <f t="shared" ref="CN457" si="661">SUM(CN426:CN455)</f>
        <v>8241</v>
      </c>
      <c r="CO457" s="843">
        <f t="shared" si="660"/>
        <v>8241</v>
      </c>
      <c r="CP457" s="852">
        <f t="shared" si="660"/>
        <v>8241</v>
      </c>
      <c r="CQ457" s="852">
        <f t="shared" si="660"/>
        <v>8241</v>
      </c>
      <c r="CR457" s="852">
        <f t="shared" si="660"/>
        <v>8241</v>
      </c>
      <c r="CS457" s="852">
        <f t="shared" si="660"/>
        <v>8241</v>
      </c>
      <c r="CT457" s="843">
        <f t="shared" si="660"/>
        <v>8241</v>
      </c>
      <c r="CU457" s="843">
        <f t="shared" si="660"/>
        <v>8241</v>
      </c>
      <c r="CV457" s="843">
        <f t="shared" si="660"/>
        <v>8241</v>
      </c>
      <c r="CW457" s="374"/>
      <c r="CX457" s="374"/>
      <c r="CY457" s="374"/>
      <c r="CZ457" s="374"/>
      <c r="DA457" s="374"/>
      <c r="DB457" s="217"/>
    </row>
    <row r="458" spans="1:106" ht="12" customHeight="1" x14ac:dyDescent="0.2">
      <c r="A458" s="1434"/>
      <c r="B458" s="651"/>
      <c r="C458" s="236"/>
      <c r="D458" s="234"/>
      <c r="E458" s="234"/>
      <c r="F458" s="234"/>
      <c r="G458" s="234"/>
      <c r="H458" s="236"/>
      <c r="I458" s="234"/>
      <c r="J458" s="234"/>
      <c r="K458" s="234"/>
      <c r="L458" s="234"/>
      <c r="M458" s="236"/>
      <c r="N458" s="234"/>
      <c r="O458" s="234"/>
      <c r="P458" s="234"/>
      <c r="Q458" s="234"/>
      <c r="R458" s="236"/>
      <c r="S458" s="234"/>
      <c r="T458" s="234"/>
      <c r="U458" s="234"/>
      <c r="V458" s="234"/>
      <c r="W458" s="236"/>
      <c r="X458" s="234"/>
      <c r="Y458" s="234"/>
      <c r="Z458" s="234"/>
      <c r="AA458" s="234"/>
      <c r="AB458" s="236"/>
      <c r="AC458" s="234"/>
      <c r="AD458" s="234"/>
      <c r="AE458" s="234"/>
      <c r="AF458" s="234"/>
      <c r="AG458" s="236"/>
      <c r="AH458" s="234"/>
      <c r="AI458" s="234"/>
      <c r="AJ458" s="234"/>
      <c r="AK458" s="234"/>
      <c r="AL458" s="236"/>
      <c r="AM458" s="234"/>
      <c r="AN458" s="234"/>
      <c r="AO458" s="234"/>
      <c r="AP458" s="234"/>
      <c r="AQ458" s="236"/>
      <c r="AR458" s="234"/>
      <c r="AS458" s="234"/>
      <c r="AT458" s="234"/>
      <c r="AU458" s="234"/>
      <c r="AV458" s="236"/>
      <c r="AW458" s="234"/>
      <c r="AX458" s="234"/>
      <c r="AY458" s="234"/>
      <c r="AZ458" s="234"/>
      <c r="BA458" s="236"/>
      <c r="BB458" s="234"/>
      <c r="BC458" s="234"/>
      <c r="BD458" s="234"/>
      <c r="BE458" s="234"/>
      <c r="BF458" s="236"/>
      <c r="BG458" s="234"/>
      <c r="BH458" s="234"/>
      <c r="BI458" s="234"/>
      <c r="BJ458" s="234"/>
      <c r="BK458" s="236"/>
      <c r="BL458" s="234"/>
      <c r="BM458" s="234"/>
      <c r="BN458" s="212"/>
      <c r="BO458" s="212"/>
      <c r="BP458" s="194"/>
      <c r="BQ458" s="212"/>
      <c r="BR458" s="212"/>
      <c r="BS458" s="212"/>
      <c r="BT458" s="212"/>
      <c r="BU458" s="194"/>
      <c r="BV458" s="212"/>
      <c r="BW458" s="212"/>
      <c r="BX458" s="212"/>
      <c r="BY458" s="212"/>
      <c r="BZ458" s="194"/>
      <c r="CA458" s="212"/>
      <c r="CB458" s="212"/>
      <c r="CC458" s="212"/>
      <c r="CD458" s="212"/>
      <c r="CE458" s="194"/>
      <c r="CF458" s="212"/>
      <c r="CG458" s="212"/>
      <c r="CH458" s="212"/>
      <c r="CI458" s="212"/>
      <c r="CJ458" s="194"/>
      <c r="CK458" s="3503"/>
      <c r="CL458" s="212"/>
      <c r="CM458" s="212"/>
      <c r="CN458" s="212"/>
      <c r="CO458" s="194"/>
      <c r="CP458" s="3503"/>
      <c r="CQ458" s="212"/>
      <c r="CR458" s="212"/>
      <c r="CS458" s="212"/>
      <c r="CT458" s="194"/>
      <c r="CU458" s="194"/>
      <c r="CV458" s="194"/>
      <c r="CW458" s="374"/>
      <c r="CX458" s="374"/>
      <c r="CY458" s="374"/>
      <c r="CZ458" s="374"/>
      <c r="DA458" s="374"/>
      <c r="DB458" s="217"/>
    </row>
    <row r="459" spans="1:106" x14ac:dyDescent="0.2">
      <c r="A459" s="1435" t="s">
        <v>362</v>
      </c>
      <c r="B459" s="651"/>
      <c r="C459" s="236"/>
      <c r="D459" s="234"/>
      <c r="E459" s="234"/>
      <c r="F459" s="234"/>
      <c r="G459" s="234"/>
      <c r="H459" s="236"/>
      <c r="I459" s="234"/>
      <c r="J459" s="234"/>
      <c r="K459" s="234"/>
      <c r="L459" s="234"/>
      <c r="M459" s="236"/>
      <c r="N459" s="234"/>
      <c r="O459" s="234"/>
      <c r="P459" s="234"/>
      <c r="Q459" s="234"/>
      <c r="R459" s="236"/>
      <c r="S459" s="234"/>
      <c r="T459" s="234"/>
      <c r="U459" s="234"/>
      <c r="V459" s="234"/>
      <c r="W459" s="236"/>
      <c r="X459" s="234"/>
      <c r="Y459" s="234"/>
      <c r="Z459" s="234"/>
      <c r="AA459" s="234"/>
      <c r="AB459" s="236"/>
      <c r="AC459" s="234"/>
      <c r="AD459" s="234"/>
      <c r="AE459" s="234"/>
      <c r="AF459" s="234"/>
      <c r="AG459" s="236"/>
      <c r="AH459" s="234"/>
      <c r="AI459" s="234"/>
      <c r="AJ459" s="234"/>
      <c r="AK459" s="234"/>
      <c r="AL459" s="236"/>
      <c r="AM459" s="234"/>
      <c r="AN459" s="234"/>
      <c r="AO459" s="234"/>
      <c r="AP459" s="234"/>
      <c r="AQ459" s="236"/>
      <c r="AR459" s="234"/>
      <c r="AS459" s="234"/>
      <c r="AT459" s="234"/>
      <c r="AU459" s="234"/>
      <c r="AV459" s="236"/>
      <c r="AW459" s="234"/>
      <c r="AX459" s="234"/>
      <c r="AY459" s="234"/>
      <c r="AZ459" s="234"/>
      <c r="BA459" s="236"/>
      <c r="BB459" s="234"/>
      <c r="BC459" s="234"/>
      <c r="BD459" s="234"/>
      <c r="BE459" s="234"/>
      <c r="BF459" s="236"/>
      <c r="BG459" s="234"/>
      <c r="BH459" s="234"/>
      <c r="BI459" s="234"/>
      <c r="BJ459" s="234"/>
      <c r="BK459" s="236"/>
      <c r="BL459" s="234"/>
      <c r="BM459" s="234"/>
      <c r="BN459" s="212"/>
      <c r="BO459" s="212"/>
      <c r="BP459" s="194"/>
      <c r="BQ459" s="212"/>
      <c r="BR459" s="212"/>
      <c r="BS459" s="212"/>
      <c r="BT459" s="212"/>
      <c r="BU459" s="194"/>
      <c r="BV459" s="212"/>
      <c r="BW459" s="212"/>
      <c r="BX459" s="212"/>
      <c r="BY459" s="212"/>
      <c r="BZ459" s="194"/>
      <c r="CA459" s="212"/>
      <c r="CB459" s="212"/>
      <c r="CC459" s="212"/>
      <c r="CD459" s="212"/>
      <c r="CE459" s="194"/>
      <c r="CF459" s="212"/>
      <c r="CG459" s="212"/>
      <c r="CH459" s="212"/>
      <c r="CI459" s="212"/>
      <c r="CJ459" s="194"/>
      <c r="CK459" s="3503"/>
      <c r="CL459" s="212"/>
      <c r="CM459" s="212"/>
      <c r="CN459" s="212"/>
      <c r="CO459" s="194"/>
      <c r="CP459" s="3503"/>
      <c r="CQ459" s="212"/>
      <c r="CR459" s="212"/>
      <c r="CS459" s="212"/>
      <c r="CT459" s="194"/>
      <c r="CU459" s="194"/>
      <c r="CV459" s="194"/>
      <c r="CW459" s="374"/>
      <c r="CX459" s="374"/>
      <c r="CY459" s="374"/>
      <c r="CZ459" s="374"/>
      <c r="DA459" s="374"/>
      <c r="DB459" s="217"/>
    </row>
    <row r="460" spans="1:106" x14ac:dyDescent="0.2">
      <c r="A460" s="2308" t="s">
        <v>456</v>
      </c>
      <c r="B460" s="651"/>
      <c r="C460" s="236"/>
      <c r="D460" s="234"/>
      <c r="E460" s="234"/>
      <c r="F460" s="234"/>
      <c r="G460" s="234"/>
      <c r="H460" s="236"/>
      <c r="I460" s="234"/>
      <c r="J460" s="234"/>
      <c r="K460" s="234"/>
      <c r="L460" s="234"/>
      <c r="M460" s="236"/>
      <c r="N460" s="234"/>
      <c r="O460" s="234"/>
      <c r="P460" s="234"/>
      <c r="Q460" s="234"/>
      <c r="R460" s="236"/>
      <c r="S460" s="234"/>
      <c r="T460" s="234"/>
      <c r="U460" s="234"/>
      <c r="V460" s="234"/>
      <c r="W460" s="236"/>
      <c r="X460" s="234"/>
      <c r="Y460" s="234"/>
      <c r="Z460" s="234"/>
      <c r="AA460" s="234"/>
      <c r="AB460" s="236"/>
      <c r="AC460" s="234"/>
      <c r="AD460" s="234"/>
      <c r="AE460" s="234"/>
      <c r="AF460" s="234"/>
      <c r="AG460" s="236"/>
      <c r="AH460" s="234"/>
      <c r="AI460" s="234"/>
      <c r="AJ460" s="234"/>
      <c r="AK460" s="234"/>
      <c r="AL460" s="236"/>
      <c r="AM460" s="234"/>
      <c r="AN460" s="234"/>
      <c r="AO460" s="234"/>
      <c r="AP460" s="234"/>
      <c r="AQ460" s="236"/>
      <c r="AR460" s="234"/>
      <c r="AS460" s="234"/>
      <c r="AT460" s="234"/>
      <c r="AU460" s="234"/>
      <c r="AV460" s="236"/>
      <c r="AW460" s="234"/>
      <c r="AX460" s="234"/>
      <c r="AY460" s="234"/>
      <c r="AZ460" s="234"/>
      <c r="BA460" s="236"/>
      <c r="BB460" s="234"/>
      <c r="BC460" s="234"/>
      <c r="BD460" s="234"/>
      <c r="BE460" s="234"/>
      <c r="BF460" s="236"/>
      <c r="BG460" s="234"/>
      <c r="BH460" s="234"/>
      <c r="BI460" s="234"/>
      <c r="BJ460" s="234"/>
      <c r="BK460" s="236"/>
      <c r="BL460" s="234"/>
      <c r="BM460" s="234"/>
      <c r="BN460" s="234"/>
      <c r="BO460" s="234"/>
      <c r="BP460" s="236"/>
      <c r="BQ460" s="234"/>
      <c r="BR460" s="234"/>
      <c r="BS460" s="234"/>
      <c r="BT460" s="234"/>
      <c r="BU460" s="236"/>
      <c r="BV460" s="234"/>
      <c r="BW460" s="234"/>
      <c r="BX460" s="234"/>
      <c r="BY460" s="234"/>
      <c r="BZ460" s="236"/>
      <c r="CA460" s="234"/>
      <c r="CB460" s="234"/>
      <c r="CC460" s="234"/>
      <c r="CD460" s="234"/>
      <c r="CE460" s="236"/>
      <c r="CF460" s="234"/>
      <c r="CG460" s="234"/>
      <c r="CH460" s="1231">
        <v>9695</v>
      </c>
      <c r="CI460" s="1231">
        <v>9695</v>
      </c>
      <c r="CJ460" s="752">
        <f>+CI460</f>
        <v>9695</v>
      </c>
      <c r="CK460" s="3501">
        <v>9695</v>
      </c>
      <c r="CL460" s="3501">
        <v>9699</v>
      </c>
      <c r="CM460" s="3501">
        <v>9709</v>
      </c>
      <c r="CN460" s="3501">
        <v>10059</v>
      </c>
      <c r="CO460" s="752">
        <f>+CN460</f>
        <v>10059</v>
      </c>
      <c r="CP460" s="1261">
        <f t="shared" ref="CP460:CS463" si="662">+CK460*(1+CP$860)</f>
        <v>9888.9</v>
      </c>
      <c r="CQ460" s="1261">
        <f t="shared" si="662"/>
        <v>9892.98</v>
      </c>
      <c r="CR460" s="1261">
        <f t="shared" si="662"/>
        <v>9903.18</v>
      </c>
      <c r="CS460" s="1261">
        <f t="shared" si="662"/>
        <v>10260.18</v>
      </c>
      <c r="CT460" s="752">
        <f>+CS460</f>
        <v>10260.18</v>
      </c>
      <c r="CU460" s="1243">
        <f t="shared" ref="CU460:CV463" si="663">+CT460*(1+CU$860)</f>
        <v>10465.383600000001</v>
      </c>
      <c r="CV460" s="1243">
        <f t="shared" si="663"/>
        <v>10465.383600000001</v>
      </c>
      <c r="CW460" s="374"/>
      <c r="CX460" s="374"/>
      <c r="CY460" s="374"/>
      <c r="CZ460" s="374"/>
      <c r="DA460" s="374"/>
      <c r="DB460" s="217"/>
    </row>
    <row r="461" spans="1:106" x14ac:dyDescent="0.2">
      <c r="A461" s="1434" t="s">
        <v>346</v>
      </c>
      <c r="B461" s="651"/>
      <c r="C461" s="236"/>
      <c r="D461" s="234"/>
      <c r="E461" s="234"/>
      <c r="F461" s="234"/>
      <c r="G461" s="234"/>
      <c r="H461" s="236"/>
      <c r="I461" s="758">
        <f>+I939-I496</f>
        <v>79959</v>
      </c>
      <c r="J461" s="758">
        <f>+J939-J496</f>
        <v>80810</v>
      </c>
      <c r="K461" s="758">
        <f>+K939-K496</f>
        <v>82200</v>
      </c>
      <c r="L461" s="758">
        <f>+L939-L496</f>
        <v>80335</v>
      </c>
      <c r="M461" s="752">
        <f>L461</f>
        <v>80335</v>
      </c>
      <c r="N461" s="758">
        <f>+N939-N496</f>
        <v>81129</v>
      </c>
      <c r="O461" s="758">
        <f>+O939-O496</f>
        <v>81673</v>
      </c>
      <c r="P461" s="756">
        <v>81279</v>
      </c>
      <c r="Q461" s="756">
        <v>82346</v>
      </c>
      <c r="R461" s="752">
        <f>Q461</f>
        <v>82346</v>
      </c>
      <c r="S461" s="756">
        <v>82346</v>
      </c>
      <c r="T461" s="756">
        <v>83253</v>
      </c>
      <c r="U461" s="756">
        <v>84197</v>
      </c>
      <c r="V461" s="756">
        <v>84135</v>
      </c>
      <c r="W461" s="752">
        <f>V461</f>
        <v>84135</v>
      </c>
      <c r="X461" s="756">
        <v>83181</v>
      </c>
      <c r="Y461" s="756">
        <v>84205</v>
      </c>
      <c r="Z461" s="756">
        <v>85157</v>
      </c>
      <c r="AA461" s="756">
        <v>85473</v>
      </c>
      <c r="AB461" s="752">
        <f>+AA461</f>
        <v>85473</v>
      </c>
      <c r="AC461" s="756">
        <v>83588</v>
      </c>
      <c r="AD461" s="756">
        <v>83310</v>
      </c>
      <c r="AE461" s="756">
        <v>82912</v>
      </c>
      <c r="AF461" s="756">
        <v>83571</v>
      </c>
      <c r="AG461" s="752">
        <f>+AF461</f>
        <v>83571</v>
      </c>
      <c r="AH461" s="756">
        <v>82350</v>
      </c>
      <c r="AI461" s="756">
        <v>82334</v>
      </c>
      <c r="AJ461" s="756">
        <v>82229</v>
      </c>
      <c r="AK461" s="756">
        <v>82225</v>
      </c>
      <c r="AL461" s="752">
        <f>+AK461</f>
        <v>82225</v>
      </c>
      <c r="AM461" s="756">
        <v>81466</v>
      </c>
      <c r="AN461" s="756">
        <v>81962</v>
      </c>
      <c r="AO461" s="756">
        <v>81685</v>
      </c>
      <c r="AP461" s="756">
        <v>82457</v>
      </c>
      <c r="AQ461" s="752">
        <f>+AP461</f>
        <v>82457</v>
      </c>
      <c r="AR461" s="756">
        <v>82590</v>
      </c>
      <c r="AS461" s="756">
        <v>82248</v>
      </c>
      <c r="AT461" s="756">
        <v>82053</v>
      </c>
      <c r="AU461" s="756">
        <v>81895</v>
      </c>
      <c r="AV461" s="752">
        <f>+AU461</f>
        <v>81895</v>
      </c>
      <c r="AW461" s="756">
        <v>82003</v>
      </c>
      <c r="AX461" s="756">
        <v>81709</v>
      </c>
      <c r="AY461" s="756">
        <v>80790</v>
      </c>
      <c r="AZ461" s="756">
        <v>80790</v>
      </c>
      <c r="BA461" s="752">
        <f>+AZ461</f>
        <v>80790</v>
      </c>
      <c r="BB461" s="756">
        <v>82325</v>
      </c>
      <c r="BC461" s="756">
        <v>82323</v>
      </c>
      <c r="BD461" s="756">
        <v>82436</v>
      </c>
      <c r="BE461" s="756">
        <v>83451</v>
      </c>
      <c r="BF461" s="752">
        <f>+BE461</f>
        <v>83451</v>
      </c>
      <c r="BG461" s="756">
        <v>83204</v>
      </c>
      <c r="BH461" s="756">
        <v>83534</v>
      </c>
      <c r="BI461" s="756">
        <v>82876</v>
      </c>
      <c r="BJ461" s="756">
        <v>82228</v>
      </c>
      <c r="BK461" s="752">
        <f>+BJ461</f>
        <v>82228</v>
      </c>
      <c r="BL461" s="756">
        <v>82017</v>
      </c>
      <c r="BM461" s="756">
        <v>81324</v>
      </c>
      <c r="BN461" s="756">
        <v>80472</v>
      </c>
      <c r="BO461" s="756">
        <v>80981</v>
      </c>
      <c r="BP461" s="752">
        <f>+BO461</f>
        <v>80981</v>
      </c>
      <c r="BQ461" s="1231">
        <v>80922</v>
      </c>
      <c r="BR461" s="1231">
        <v>80943</v>
      </c>
      <c r="BS461" s="1231">
        <v>79968</v>
      </c>
      <c r="BT461" s="756">
        <v>78310</v>
      </c>
      <c r="BU461" s="752">
        <f>+BT461</f>
        <v>78310</v>
      </c>
      <c r="BV461" s="1231">
        <v>78310</v>
      </c>
      <c r="BW461" s="1231">
        <v>79164</v>
      </c>
      <c r="BX461" s="1231">
        <v>78878</v>
      </c>
      <c r="BY461" s="1231">
        <v>78688</v>
      </c>
      <c r="BZ461" s="752">
        <f>+BY461</f>
        <v>78688</v>
      </c>
      <c r="CA461" s="1231">
        <v>80095</v>
      </c>
      <c r="CB461" s="1231">
        <v>79825</v>
      </c>
      <c r="CC461" s="1231">
        <v>80364</v>
      </c>
      <c r="CD461" s="1231">
        <v>80457</v>
      </c>
      <c r="CE461" s="752">
        <f>+CD461</f>
        <v>80457</v>
      </c>
      <c r="CF461" s="1231">
        <v>79473</v>
      </c>
      <c r="CG461" s="1231">
        <v>76804</v>
      </c>
      <c r="CH461" s="1231">
        <v>67427</v>
      </c>
      <c r="CI461" s="1231">
        <v>68440</v>
      </c>
      <c r="CJ461" s="752">
        <f>+CI461</f>
        <v>68440</v>
      </c>
      <c r="CK461" s="3501">
        <v>68389</v>
      </c>
      <c r="CL461" s="3501">
        <v>68336</v>
      </c>
      <c r="CM461" s="3501">
        <v>69576</v>
      </c>
      <c r="CN461" s="3501">
        <v>69234</v>
      </c>
      <c r="CO461" s="752">
        <f>+CN461</f>
        <v>69234</v>
      </c>
      <c r="CP461" s="1261">
        <f t="shared" si="662"/>
        <v>69756.78</v>
      </c>
      <c r="CQ461" s="1261">
        <f t="shared" si="662"/>
        <v>69702.720000000001</v>
      </c>
      <c r="CR461" s="1261">
        <f t="shared" si="662"/>
        <v>70967.520000000004</v>
      </c>
      <c r="CS461" s="1261">
        <f t="shared" si="662"/>
        <v>70618.680000000008</v>
      </c>
      <c r="CT461" s="752">
        <f>+CS461</f>
        <v>70618.680000000008</v>
      </c>
      <c r="CU461" s="1243">
        <f t="shared" si="663"/>
        <v>72031.053600000014</v>
      </c>
      <c r="CV461" s="1243">
        <f t="shared" si="663"/>
        <v>72031.053600000014</v>
      </c>
      <c r="CW461" s="374"/>
      <c r="CX461" s="2986"/>
      <c r="CY461" s="2986"/>
      <c r="CZ461" s="2986"/>
      <c r="DA461" s="374"/>
      <c r="DB461" s="217"/>
    </row>
    <row r="462" spans="1:106" x14ac:dyDescent="0.2">
      <c r="A462" s="1434" t="s">
        <v>1385</v>
      </c>
      <c r="B462" s="651"/>
      <c r="C462" s="236"/>
      <c r="D462" s="234"/>
      <c r="E462" s="234"/>
      <c r="F462" s="234"/>
      <c r="G462" s="234"/>
      <c r="H462" s="236"/>
      <c r="I462" s="758">
        <f>+I943-I497</f>
        <v>14208</v>
      </c>
      <c r="J462" s="758">
        <f>+J943-J497</f>
        <v>14186</v>
      </c>
      <c r="K462" s="758">
        <f>+K943-K497</f>
        <v>14186</v>
      </c>
      <c r="L462" s="758">
        <f>+L943-L497</f>
        <v>15631</v>
      </c>
      <c r="M462" s="752">
        <f>L462</f>
        <v>15631</v>
      </c>
      <c r="N462" s="758">
        <f>+N943-N497</f>
        <v>15630</v>
      </c>
      <c r="O462" s="758">
        <f>+O943-O497</f>
        <v>15795</v>
      </c>
      <c r="P462" s="756">
        <v>15795</v>
      </c>
      <c r="Q462" s="756">
        <v>15793</v>
      </c>
      <c r="R462" s="752">
        <f>Q462</f>
        <v>15793</v>
      </c>
      <c r="S462" s="756">
        <v>16711</v>
      </c>
      <c r="T462" s="756">
        <v>16183</v>
      </c>
      <c r="U462" s="756">
        <v>16263</v>
      </c>
      <c r="V462" s="756">
        <v>16263</v>
      </c>
      <c r="W462" s="752">
        <f>V462</f>
        <v>16263</v>
      </c>
      <c r="X462" s="756">
        <v>16262</v>
      </c>
      <c r="Y462" s="756">
        <v>16492</v>
      </c>
      <c r="Z462" s="756">
        <v>16995</v>
      </c>
      <c r="AA462" s="756">
        <v>17177</v>
      </c>
      <c r="AB462" s="752">
        <f>+AA462</f>
        <v>17177</v>
      </c>
      <c r="AC462" s="756">
        <v>17180</v>
      </c>
      <c r="AD462" s="756">
        <v>17177</v>
      </c>
      <c r="AE462" s="756">
        <v>13755</v>
      </c>
      <c r="AF462" s="756">
        <v>13057</v>
      </c>
      <c r="AG462" s="752">
        <f>+AF462</f>
        <v>13057</v>
      </c>
      <c r="AH462" s="756">
        <v>14079</v>
      </c>
      <c r="AI462" s="756">
        <v>14076</v>
      </c>
      <c r="AJ462" s="756">
        <v>14885</v>
      </c>
      <c r="AK462" s="756">
        <v>14903</v>
      </c>
      <c r="AL462" s="752">
        <f>+AK462</f>
        <v>14903</v>
      </c>
      <c r="AM462" s="756">
        <v>14903</v>
      </c>
      <c r="AN462" s="756">
        <v>15165</v>
      </c>
      <c r="AO462" s="756">
        <v>14820</v>
      </c>
      <c r="AP462" s="756">
        <v>15220</v>
      </c>
      <c r="AQ462" s="752">
        <f>+AP462</f>
        <v>15220</v>
      </c>
      <c r="AR462" s="756">
        <v>15414</v>
      </c>
      <c r="AS462" s="756">
        <v>15416</v>
      </c>
      <c r="AT462" s="756">
        <v>15419</v>
      </c>
      <c r="AU462" s="756">
        <v>15415</v>
      </c>
      <c r="AV462" s="752">
        <f>+AU462</f>
        <v>15415</v>
      </c>
      <c r="AW462" s="756">
        <v>15688</v>
      </c>
      <c r="AX462" s="756">
        <v>15688</v>
      </c>
      <c r="AY462" s="756">
        <v>15514</v>
      </c>
      <c r="AZ462" s="756">
        <v>15514</v>
      </c>
      <c r="BA462" s="752">
        <f>+AZ462</f>
        <v>15514</v>
      </c>
      <c r="BB462" s="756">
        <v>15514</v>
      </c>
      <c r="BC462" s="756">
        <v>15985</v>
      </c>
      <c r="BD462" s="756">
        <v>15985</v>
      </c>
      <c r="BE462" s="756">
        <v>15985</v>
      </c>
      <c r="BF462" s="752">
        <f>+BE462</f>
        <v>15985</v>
      </c>
      <c r="BG462" s="756">
        <v>16589</v>
      </c>
      <c r="BH462" s="756">
        <v>16589</v>
      </c>
      <c r="BI462" s="756">
        <v>16589</v>
      </c>
      <c r="BJ462" s="756">
        <v>17116</v>
      </c>
      <c r="BK462" s="752">
        <f>+BJ462</f>
        <v>17116</v>
      </c>
      <c r="BL462" s="756">
        <v>16769</v>
      </c>
      <c r="BM462" s="756">
        <v>16769</v>
      </c>
      <c r="BN462" s="756">
        <v>16137</v>
      </c>
      <c r="BO462" s="756">
        <v>16137</v>
      </c>
      <c r="BP462" s="752">
        <f>+BO462</f>
        <v>16137</v>
      </c>
      <c r="BQ462" s="1231">
        <v>15749</v>
      </c>
      <c r="BR462" s="1231">
        <v>15356</v>
      </c>
      <c r="BS462" s="1231">
        <v>14725</v>
      </c>
      <c r="BT462" s="756">
        <v>14725</v>
      </c>
      <c r="BU462" s="752">
        <f>+BT462</f>
        <v>14725</v>
      </c>
      <c r="BV462" s="1231">
        <v>14725</v>
      </c>
      <c r="BW462" s="1231">
        <v>14725</v>
      </c>
      <c r="BX462" s="1231">
        <v>14727</v>
      </c>
      <c r="BY462" s="1231">
        <v>14571</v>
      </c>
      <c r="BZ462" s="752">
        <f>+BY462</f>
        <v>14571</v>
      </c>
      <c r="CA462" s="1231">
        <v>14571</v>
      </c>
      <c r="CB462" s="1231">
        <v>14371</v>
      </c>
      <c r="CC462" s="1231">
        <v>11919</v>
      </c>
      <c r="CD462" s="1231">
        <v>11919</v>
      </c>
      <c r="CE462" s="752">
        <f>+CD462</f>
        <v>11919</v>
      </c>
      <c r="CF462" s="1231">
        <v>11919</v>
      </c>
      <c r="CG462" s="1231">
        <v>11929</v>
      </c>
      <c r="CH462" s="1231">
        <v>11625</v>
      </c>
      <c r="CI462" s="1231">
        <v>11625</v>
      </c>
      <c r="CJ462" s="752">
        <f>+CI462</f>
        <v>11625</v>
      </c>
      <c r="CK462" s="3501">
        <v>11625</v>
      </c>
      <c r="CL462" s="3501">
        <v>11829</v>
      </c>
      <c r="CM462" s="3501">
        <v>12134</v>
      </c>
      <c r="CN462" s="3501">
        <v>12128</v>
      </c>
      <c r="CO462" s="752">
        <f>+CN462</f>
        <v>12128</v>
      </c>
      <c r="CP462" s="1261">
        <f t="shared" si="662"/>
        <v>11857.5</v>
      </c>
      <c r="CQ462" s="1261">
        <f t="shared" si="662"/>
        <v>12065.58</v>
      </c>
      <c r="CR462" s="1261">
        <f t="shared" si="662"/>
        <v>12376.68</v>
      </c>
      <c r="CS462" s="1261">
        <f t="shared" si="662"/>
        <v>12370.56</v>
      </c>
      <c r="CT462" s="752">
        <f>+CS462</f>
        <v>12370.56</v>
      </c>
      <c r="CU462" s="1243">
        <f t="shared" si="663"/>
        <v>12617.9712</v>
      </c>
      <c r="CV462" s="1243">
        <f t="shared" si="663"/>
        <v>12617.9712</v>
      </c>
      <c r="CW462" s="374"/>
      <c r="CX462" s="374"/>
      <c r="CY462" s="374"/>
      <c r="CZ462" s="374"/>
      <c r="DA462" s="374"/>
      <c r="DB462" s="217"/>
    </row>
    <row r="463" spans="1:106" x14ac:dyDescent="0.2">
      <c r="A463" s="1434" t="s">
        <v>512</v>
      </c>
      <c r="B463" s="651"/>
      <c r="C463" s="236"/>
      <c r="D463" s="234"/>
      <c r="E463" s="234"/>
      <c r="F463" s="234"/>
      <c r="G463" s="234"/>
      <c r="H463" s="236"/>
      <c r="I463" s="1427">
        <v>0</v>
      </c>
      <c r="J463" s="845">
        <v>0</v>
      </c>
      <c r="K463" s="845">
        <v>0</v>
      </c>
      <c r="L463" s="845">
        <v>0</v>
      </c>
      <c r="M463" s="661">
        <v>0</v>
      </c>
      <c r="N463" s="845">
        <v>0</v>
      </c>
      <c r="O463" s="845">
        <v>0</v>
      </c>
      <c r="P463" s="845">
        <v>0</v>
      </c>
      <c r="Q463" s="845">
        <v>0</v>
      </c>
      <c r="R463" s="661">
        <v>0</v>
      </c>
      <c r="S463" s="845">
        <v>0</v>
      </c>
      <c r="T463" s="845">
        <v>0</v>
      </c>
      <c r="U463" s="845">
        <v>0</v>
      </c>
      <c r="V463" s="845">
        <v>0</v>
      </c>
      <c r="W463" s="661">
        <v>0</v>
      </c>
      <c r="X463" s="845">
        <v>0</v>
      </c>
      <c r="Y463" s="845">
        <v>0</v>
      </c>
      <c r="Z463" s="845">
        <v>0</v>
      </c>
      <c r="AA463" s="845">
        <v>0</v>
      </c>
      <c r="AB463" s="661">
        <v>0</v>
      </c>
      <c r="AC463" s="845">
        <v>0</v>
      </c>
      <c r="AD463" s="845">
        <v>0</v>
      </c>
      <c r="AE463" s="845">
        <v>0</v>
      </c>
      <c r="AF463" s="845">
        <v>0</v>
      </c>
      <c r="AG463" s="661">
        <v>0</v>
      </c>
      <c r="AH463" s="845">
        <v>0</v>
      </c>
      <c r="AI463" s="845">
        <v>0</v>
      </c>
      <c r="AJ463" s="845">
        <v>0</v>
      </c>
      <c r="AK463" s="845">
        <v>0</v>
      </c>
      <c r="AL463" s="661">
        <v>0</v>
      </c>
      <c r="AM463" s="845">
        <v>0</v>
      </c>
      <c r="AN463" s="845">
        <v>0</v>
      </c>
      <c r="AO463" s="845">
        <v>0</v>
      </c>
      <c r="AP463" s="845">
        <v>0</v>
      </c>
      <c r="AQ463" s="661">
        <v>0</v>
      </c>
      <c r="AR463" s="845">
        <v>0</v>
      </c>
      <c r="AS463" s="845">
        <v>0</v>
      </c>
      <c r="AT463" s="845">
        <v>0</v>
      </c>
      <c r="AU463" s="845">
        <v>0</v>
      </c>
      <c r="AV463" s="661">
        <v>0</v>
      </c>
      <c r="AW463" s="845">
        <v>0</v>
      </c>
      <c r="AX463" s="845">
        <v>0</v>
      </c>
      <c r="AY463" s="845">
        <v>0</v>
      </c>
      <c r="AZ463" s="845">
        <v>0</v>
      </c>
      <c r="BA463" s="661">
        <v>0</v>
      </c>
      <c r="BB463" s="845">
        <v>0</v>
      </c>
      <c r="BC463" s="845">
        <v>0</v>
      </c>
      <c r="BD463" s="845">
        <v>0</v>
      </c>
      <c r="BE463" s="845">
        <v>0</v>
      </c>
      <c r="BF463" s="661">
        <v>0</v>
      </c>
      <c r="BG463" s="845">
        <v>0</v>
      </c>
      <c r="BH463" s="845">
        <v>0</v>
      </c>
      <c r="BI463" s="845">
        <v>0</v>
      </c>
      <c r="BJ463" s="845">
        <v>0</v>
      </c>
      <c r="BK463" s="661">
        <v>0</v>
      </c>
      <c r="BL463" s="845">
        <v>0</v>
      </c>
      <c r="BM463" s="845">
        <v>0</v>
      </c>
      <c r="BN463" s="845">
        <v>0</v>
      </c>
      <c r="BO463" s="845">
        <v>0</v>
      </c>
      <c r="BP463" s="752"/>
      <c r="BQ463" s="1261">
        <v>0</v>
      </c>
      <c r="BR463" s="1231">
        <v>0</v>
      </c>
      <c r="BS463" s="1231">
        <v>0</v>
      </c>
      <c r="BT463" s="845">
        <v>0</v>
      </c>
      <c r="BU463" s="752"/>
      <c r="BV463" s="1261">
        <v>0</v>
      </c>
      <c r="BW463" s="1261">
        <v>0</v>
      </c>
      <c r="BX463" s="1231">
        <v>181</v>
      </c>
      <c r="BY463" s="1231">
        <v>181</v>
      </c>
      <c r="BZ463" s="752">
        <f>+BY463</f>
        <v>181</v>
      </c>
      <c r="CA463" s="1231">
        <v>181</v>
      </c>
      <c r="CB463" s="1231">
        <v>181</v>
      </c>
      <c r="CC463" s="1231">
        <v>1065</v>
      </c>
      <c r="CD463" s="1231">
        <v>1065</v>
      </c>
      <c r="CE463" s="752">
        <f>+CD463</f>
        <v>1065</v>
      </c>
      <c r="CF463" s="1231">
        <v>1065</v>
      </c>
      <c r="CG463" s="1231">
        <v>1065</v>
      </c>
      <c r="CH463" s="1231">
        <v>1065</v>
      </c>
      <c r="CI463" s="1231">
        <v>1065</v>
      </c>
      <c r="CJ463" s="752">
        <f>+CI463</f>
        <v>1065</v>
      </c>
      <c r="CK463" s="3501">
        <v>1065</v>
      </c>
      <c r="CL463" s="3501">
        <v>1065</v>
      </c>
      <c r="CM463" s="3501">
        <v>989</v>
      </c>
      <c r="CN463" s="3501">
        <v>1204</v>
      </c>
      <c r="CO463" s="752">
        <f>+CN463</f>
        <v>1204</v>
      </c>
      <c r="CP463" s="1261">
        <f t="shared" si="662"/>
        <v>1086.3</v>
      </c>
      <c r="CQ463" s="1261">
        <f t="shared" si="662"/>
        <v>1086.3</v>
      </c>
      <c r="CR463" s="1261">
        <f t="shared" si="662"/>
        <v>1008.78</v>
      </c>
      <c r="CS463" s="1261">
        <f t="shared" si="662"/>
        <v>1228.08</v>
      </c>
      <c r="CT463" s="752">
        <f>+CS463</f>
        <v>1228.08</v>
      </c>
      <c r="CU463" s="1243">
        <f t="shared" si="663"/>
        <v>1252.6415999999999</v>
      </c>
      <c r="CV463" s="1243">
        <f t="shared" si="663"/>
        <v>1252.6415999999999</v>
      </c>
      <c r="CW463" s="374"/>
      <c r="CX463" s="374"/>
      <c r="CY463" s="374"/>
      <c r="CZ463" s="374"/>
      <c r="DA463" s="374"/>
      <c r="DB463" s="217"/>
    </row>
    <row r="464" spans="1:106" x14ac:dyDescent="0.2">
      <c r="A464" s="2288" t="s">
        <v>608</v>
      </c>
      <c r="B464" s="651"/>
      <c r="C464" s="236"/>
      <c r="D464" s="234"/>
      <c r="E464" s="234"/>
      <c r="F464" s="234"/>
      <c r="G464" s="234"/>
      <c r="H464" s="848">
        <v>0</v>
      </c>
      <c r="I464" s="1427">
        <v>0</v>
      </c>
      <c r="J464" s="845">
        <v>0</v>
      </c>
      <c r="K464" s="845">
        <v>0</v>
      </c>
      <c r="L464" s="845">
        <v>0</v>
      </c>
      <c r="M464" s="661">
        <v>0</v>
      </c>
      <c r="N464" s="1427">
        <v>0</v>
      </c>
      <c r="O464" s="845">
        <v>0</v>
      </c>
      <c r="P464" s="845">
        <v>0</v>
      </c>
      <c r="Q464" s="845">
        <v>0</v>
      </c>
      <c r="R464" s="661">
        <v>0</v>
      </c>
      <c r="S464" s="1427">
        <v>0</v>
      </c>
      <c r="T464" s="845">
        <v>0</v>
      </c>
      <c r="U464" s="845">
        <v>0</v>
      </c>
      <c r="V464" s="845">
        <v>0</v>
      </c>
      <c r="W464" s="661">
        <v>0</v>
      </c>
      <c r="X464" s="1427">
        <v>0</v>
      </c>
      <c r="Y464" s="845">
        <v>0</v>
      </c>
      <c r="Z464" s="845">
        <v>0</v>
      </c>
      <c r="AA464" s="845">
        <v>0</v>
      </c>
      <c r="AB464" s="661">
        <v>0</v>
      </c>
      <c r="AC464" s="1427">
        <v>0</v>
      </c>
      <c r="AD464" s="845">
        <v>0</v>
      </c>
      <c r="AE464" s="845">
        <v>0</v>
      </c>
      <c r="AF464" s="845">
        <v>0</v>
      </c>
      <c r="AG464" s="661">
        <v>0</v>
      </c>
      <c r="AH464" s="1427">
        <v>0</v>
      </c>
      <c r="AI464" s="845">
        <v>0</v>
      </c>
      <c r="AJ464" s="845">
        <v>0</v>
      </c>
      <c r="AK464" s="845">
        <v>0</v>
      </c>
      <c r="AL464" s="661">
        <v>0</v>
      </c>
      <c r="AM464" s="1427">
        <v>0</v>
      </c>
      <c r="AN464" s="845">
        <v>0</v>
      </c>
      <c r="AO464" s="845">
        <v>0</v>
      </c>
      <c r="AP464" s="845">
        <v>0</v>
      </c>
      <c r="AQ464" s="661">
        <v>0</v>
      </c>
      <c r="AR464" s="845">
        <v>0</v>
      </c>
      <c r="AS464" s="845">
        <v>0</v>
      </c>
      <c r="AT464" s="845">
        <v>0</v>
      </c>
      <c r="AU464" s="845">
        <v>0</v>
      </c>
      <c r="AV464" s="661">
        <v>0</v>
      </c>
      <c r="AW464" s="845">
        <v>0</v>
      </c>
      <c r="AX464" s="845">
        <v>0</v>
      </c>
      <c r="AY464" s="845">
        <v>0</v>
      </c>
      <c r="AZ464" s="845">
        <v>0</v>
      </c>
      <c r="BA464" s="661">
        <v>0</v>
      </c>
      <c r="BB464" s="1427">
        <v>0</v>
      </c>
      <c r="BC464" s="845">
        <v>0</v>
      </c>
      <c r="BD464" s="845">
        <v>0</v>
      </c>
      <c r="BE464" s="845">
        <v>0</v>
      </c>
      <c r="BF464" s="661">
        <v>0</v>
      </c>
      <c r="BG464" s="1427">
        <v>0</v>
      </c>
      <c r="BH464" s="845">
        <v>0</v>
      </c>
      <c r="BI464" s="845">
        <v>0</v>
      </c>
      <c r="BJ464" s="845">
        <v>0</v>
      </c>
      <c r="BK464" s="661">
        <v>0</v>
      </c>
      <c r="BL464" s="845">
        <v>0</v>
      </c>
      <c r="BM464" s="845">
        <v>0</v>
      </c>
      <c r="BN464" s="845">
        <v>0</v>
      </c>
      <c r="BO464" s="847">
        <f>BN464</f>
        <v>0</v>
      </c>
      <c r="BP464" s="661">
        <v>0</v>
      </c>
      <c r="BQ464" s="845">
        <v>0</v>
      </c>
      <c r="BR464" s="845">
        <v>0</v>
      </c>
      <c r="BS464" s="845">
        <v>0</v>
      </c>
      <c r="BT464" s="847">
        <v>0</v>
      </c>
      <c r="BU464" s="661">
        <v>0</v>
      </c>
      <c r="BV464" s="845">
        <v>0</v>
      </c>
      <c r="BW464" s="845">
        <v>0</v>
      </c>
      <c r="BX464" s="845">
        <v>0</v>
      </c>
      <c r="BY464" s="845">
        <v>0</v>
      </c>
      <c r="BZ464" s="661">
        <v>0</v>
      </c>
      <c r="CA464" s="845">
        <v>0</v>
      </c>
      <c r="CB464" s="845">
        <v>0</v>
      </c>
      <c r="CC464" s="845">
        <v>0</v>
      </c>
      <c r="CD464" s="845">
        <v>0</v>
      </c>
      <c r="CE464" s="661">
        <v>0</v>
      </c>
      <c r="CF464" s="845">
        <v>0</v>
      </c>
      <c r="CG464" s="845">
        <v>0</v>
      </c>
      <c r="CH464" s="845">
        <v>0</v>
      </c>
      <c r="CI464" s="845">
        <v>0</v>
      </c>
      <c r="CJ464" s="661">
        <v>0</v>
      </c>
      <c r="CK464" s="2982">
        <v>0</v>
      </c>
      <c r="CL464" s="2982">
        <f>CK464</f>
        <v>0</v>
      </c>
      <c r="CM464" s="2982">
        <f>CL464</f>
        <v>0</v>
      </c>
      <c r="CN464" s="2982">
        <f>CM464</f>
        <v>0</v>
      </c>
      <c r="CO464" s="661">
        <v>0</v>
      </c>
      <c r="CP464" s="847">
        <f>CO464</f>
        <v>0</v>
      </c>
      <c r="CQ464" s="847">
        <f>CP464</f>
        <v>0</v>
      </c>
      <c r="CR464" s="847">
        <f>CQ464</f>
        <v>0</v>
      </c>
      <c r="CS464" s="847">
        <f>CR464</f>
        <v>0</v>
      </c>
      <c r="CT464" s="661">
        <v>0</v>
      </c>
      <c r="CU464" s="661">
        <v>0</v>
      </c>
      <c r="CV464" s="661">
        <v>0</v>
      </c>
      <c r="CW464" s="374"/>
      <c r="CX464" s="374"/>
      <c r="CY464" s="374"/>
      <c r="CZ464" s="374"/>
      <c r="DA464" s="374"/>
      <c r="DB464" s="217"/>
    </row>
    <row r="465" spans="1:256" x14ac:dyDescent="0.2">
      <c r="A465" s="1434" t="s">
        <v>510</v>
      </c>
      <c r="B465" s="651"/>
      <c r="C465" s="236"/>
      <c r="D465" s="234"/>
      <c r="E465" s="234"/>
      <c r="F465" s="234"/>
      <c r="G465" s="234"/>
      <c r="H465" s="236"/>
      <c r="I465" s="758">
        <f>+I941-I500</f>
        <v>7839</v>
      </c>
      <c r="J465" s="758">
        <f>+J941-J500</f>
        <v>8185</v>
      </c>
      <c r="K465" s="758">
        <f>+K941-K500</f>
        <v>8668</v>
      </c>
      <c r="L465" s="758">
        <f>+L941-L500</f>
        <v>8796</v>
      </c>
      <c r="M465" s="752">
        <f>L465</f>
        <v>8796</v>
      </c>
      <c r="N465" s="758">
        <f>+N941-N500</f>
        <v>9389</v>
      </c>
      <c r="O465" s="758">
        <f>+O941-O500</f>
        <v>9920</v>
      </c>
      <c r="P465" s="756">
        <v>9920</v>
      </c>
      <c r="Q465" s="756">
        <v>10270</v>
      </c>
      <c r="R465" s="752">
        <f>Q465</f>
        <v>10270</v>
      </c>
      <c r="S465" s="756">
        <v>10620</v>
      </c>
      <c r="T465" s="756">
        <v>10709</v>
      </c>
      <c r="U465" s="756">
        <v>11293</v>
      </c>
      <c r="V465" s="756">
        <v>11669</v>
      </c>
      <c r="W465" s="752">
        <f>V465</f>
        <v>11669</v>
      </c>
      <c r="X465" s="756">
        <v>11664</v>
      </c>
      <c r="Y465" s="756">
        <v>11664</v>
      </c>
      <c r="Z465" s="756">
        <v>11633</v>
      </c>
      <c r="AA465" s="756">
        <v>11629</v>
      </c>
      <c r="AB465" s="752">
        <f>+AA465</f>
        <v>11629</v>
      </c>
      <c r="AC465" s="756">
        <v>11616</v>
      </c>
      <c r="AD465" s="756">
        <v>11616</v>
      </c>
      <c r="AE465" s="756">
        <v>11616</v>
      </c>
      <c r="AF465" s="756">
        <v>11616</v>
      </c>
      <c r="AG465" s="752">
        <f>+AF465</f>
        <v>11616</v>
      </c>
      <c r="AH465" s="756">
        <v>11616</v>
      </c>
      <c r="AI465" s="756">
        <v>11616</v>
      </c>
      <c r="AJ465" s="756">
        <v>11616</v>
      </c>
      <c r="AK465" s="756">
        <v>11616</v>
      </c>
      <c r="AL465" s="752">
        <f>+AK465</f>
        <v>11616</v>
      </c>
      <c r="AM465" s="756">
        <v>11343</v>
      </c>
      <c r="AN465" s="756">
        <v>11343</v>
      </c>
      <c r="AO465" s="756">
        <v>11530</v>
      </c>
      <c r="AP465" s="756">
        <v>11627</v>
      </c>
      <c r="AQ465" s="752">
        <f>+AP465</f>
        <v>11627</v>
      </c>
      <c r="AR465" s="756">
        <v>11437</v>
      </c>
      <c r="AS465" s="756">
        <v>11437</v>
      </c>
      <c r="AT465" s="756">
        <v>11603</v>
      </c>
      <c r="AU465" s="756">
        <v>11629</v>
      </c>
      <c r="AV465" s="752">
        <f>+AU465</f>
        <v>11629</v>
      </c>
      <c r="AW465" s="756">
        <v>11652</v>
      </c>
      <c r="AX465" s="756">
        <v>11549</v>
      </c>
      <c r="AY465" s="756">
        <v>11549</v>
      </c>
      <c r="AZ465" s="756">
        <v>12115</v>
      </c>
      <c r="BA465" s="752">
        <f>+AZ465</f>
        <v>12115</v>
      </c>
      <c r="BB465" s="756">
        <v>12120</v>
      </c>
      <c r="BC465" s="756">
        <v>11587</v>
      </c>
      <c r="BD465" s="756">
        <v>11587</v>
      </c>
      <c r="BE465" s="756">
        <v>11587</v>
      </c>
      <c r="BF465" s="752">
        <f>+BE465</f>
        <v>11587</v>
      </c>
      <c r="BG465" s="756">
        <v>11587</v>
      </c>
      <c r="BH465" s="756">
        <v>11587</v>
      </c>
      <c r="BI465" s="756">
        <v>11587</v>
      </c>
      <c r="BJ465" s="756">
        <v>11587</v>
      </c>
      <c r="BK465" s="752">
        <f>+BJ465</f>
        <v>11587</v>
      </c>
      <c r="BL465" s="756">
        <v>11587</v>
      </c>
      <c r="BM465" s="756">
        <v>11587</v>
      </c>
      <c r="BN465" s="756">
        <v>11587</v>
      </c>
      <c r="BO465" s="756">
        <v>11357</v>
      </c>
      <c r="BP465" s="1243">
        <f>+BO465</f>
        <v>11357</v>
      </c>
      <c r="BQ465" s="1231">
        <v>11357</v>
      </c>
      <c r="BR465" s="1231">
        <v>11356</v>
      </c>
      <c r="BS465" s="1231">
        <v>11048</v>
      </c>
      <c r="BT465" s="756">
        <v>11040</v>
      </c>
      <c r="BU465" s="1243">
        <f>+BT465</f>
        <v>11040</v>
      </c>
      <c r="BV465" s="1231">
        <v>11040</v>
      </c>
      <c r="BW465" s="1231">
        <v>11300</v>
      </c>
      <c r="BX465" s="1231">
        <v>11300</v>
      </c>
      <c r="BY465" s="1231">
        <v>11424</v>
      </c>
      <c r="BZ465" s="1243">
        <f>+BY465</f>
        <v>11424</v>
      </c>
      <c r="CA465" s="1231">
        <v>11691</v>
      </c>
      <c r="CB465" s="1231">
        <v>11691</v>
      </c>
      <c r="CC465" s="1231">
        <v>11410</v>
      </c>
      <c r="CD465" s="1231">
        <v>11410</v>
      </c>
      <c r="CE465" s="1243">
        <f>+CD465</f>
        <v>11410</v>
      </c>
      <c r="CF465" s="1231">
        <v>11414</v>
      </c>
      <c r="CG465" s="1231">
        <v>11410</v>
      </c>
      <c r="CH465" s="1231">
        <v>11410</v>
      </c>
      <c r="CI465" s="1231">
        <v>11410</v>
      </c>
      <c r="CJ465" s="1243">
        <f>+CI465</f>
        <v>11410</v>
      </c>
      <c r="CK465" s="3501">
        <v>11413</v>
      </c>
      <c r="CL465" s="3501">
        <v>11413</v>
      </c>
      <c r="CM465" s="3501">
        <v>11764</v>
      </c>
      <c r="CN465" s="3501">
        <v>11256</v>
      </c>
      <c r="CO465" s="752">
        <f>+CN465</f>
        <v>11256</v>
      </c>
      <c r="CP465" s="1261">
        <f>+CK465*(1+CP$863)</f>
        <v>12211.91</v>
      </c>
      <c r="CQ465" s="1261">
        <f>+CL465*(1+CQ$863)</f>
        <v>12211.91</v>
      </c>
      <c r="CR465" s="1261">
        <f>+CM465*(1+CR$863)</f>
        <v>12587.480000000001</v>
      </c>
      <c r="CS465" s="1261">
        <f>+CN465*(1+CS$863)</f>
        <v>12043.92</v>
      </c>
      <c r="CT465" s="752">
        <f>+CS465</f>
        <v>12043.92</v>
      </c>
      <c r="CU465" s="1243">
        <f>+CT465*(1+CU$863)</f>
        <v>12284.7984</v>
      </c>
      <c r="CV465" s="1243">
        <f>+CU465*(1+CV$863)</f>
        <v>12284.7984</v>
      </c>
      <c r="CW465" s="374"/>
      <c r="CX465" s="374"/>
      <c r="CY465" s="374"/>
      <c r="CZ465" s="374"/>
      <c r="DA465" s="374"/>
      <c r="DB465" s="217"/>
    </row>
    <row r="466" spans="1:256" x14ac:dyDescent="0.2">
      <c r="A466" s="1434" t="s">
        <v>511</v>
      </c>
      <c r="B466" s="651"/>
      <c r="C466" s="236"/>
      <c r="D466" s="234"/>
      <c r="E466" s="234"/>
      <c r="F466" s="234"/>
      <c r="G466" s="234"/>
      <c r="H466" s="236"/>
      <c r="I466" s="1427">
        <v>0</v>
      </c>
      <c r="J466" s="845">
        <v>0</v>
      </c>
      <c r="K466" s="845">
        <v>0</v>
      </c>
      <c r="L466" s="845">
        <v>0</v>
      </c>
      <c r="M466" s="661">
        <v>0</v>
      </c>
      <c r="N466" s="845">
        <v>0</v>
      </c>
      <c r="O466" s="845">
        <v>0</v>
      </c>
      <c r="P466" s="845">
        <v>0</v>
      </c>
      <c r="Q466" s="845">
        <v>0</v>
      </c>
      <c r="R466" s="661">
        <v>0</v>
      </c>
      <c r="S466" s="845">
        <v>0</v>
      </c>
      <c r="T466" s="845">
        <v>0</v>
      </c>
      <c r="U466" s="845">
        <v>0</v>
      </c>
      <c r="V466" s="845">
        <v>0</v>
      </c>
      <c r="W466" s="661">
        <v>0</v>
      </c>
      <c r="X466" s="845">
        <v>0</v>
      </c>
      <c r="Y466" s="845">
        <v>0</v>
      </c>
      <c r="Z466" s="845">
        <v>0</v>
      </c>
      <c r="AA466" s="845">
        <v>0</v>
      </c>
      <c r="AB466" s="661">
        <v>0</v>
      </c>
      <c r="AC466" s="845">
        <v>0</v>
      </c>
      <c r="AD466" s="845">
        <v>0</v>
      </c>
      <c r="AE466" s="845">
        <v>0</v>
      </c>
      <c r="AF466" s="845">
        <v>0</v>
      </c>
      <c r="AG466" s="661">
        <v>0</v>
      </c>
      <c r="AH466" s="845">
        <v>0</v>
      </c>
      <c r="AI466" s="845">
        <v>0</v>
      </c>
      <c r="AJ466" s="845">
        <v>0</v>
      </c>
      <c r="AK466" s="845">
        <v>0</v>
      </c>
      <c r="AL466" s="661">
        <v>0</v>
      </c>
      <c r="AM466" s="845">
        <v>0</v>
      </c>
      <c r="AN466" s="845">
        <v>0</v>
      </c>
      <c r="AO466" s="845">
        <v>0</v>
      </c>
      <c r="AP466" s="845">
        <v>0</v>
      </c>
      <c r="AQ466" s="661">
        <v>0</v>
      </c>
      <c r="AR466" s="845">
        <v>0</v>
      </c>
      <c r="AS466" s="845">
        <v>0</v>
      </c>
      <c r="AT466" s="845">
        <v>0</v>
      </c>
      <c r="AU466" s="845">
        <v>0</v>
      </c>
      <c r="AV466" s="661">
        <v>0</v>
      </c>
      <c r="AW466" s="845">
        <v>0</v>
      </c>
      <c r="AX466" s="845">
        <v>0</v>
      </c>
      <c r="AY466" s="845">
        <v>0</v>
      </c>
      <c r="AZ466" s="845">
        <v>0</v>
      </c>
      <c r="BA466" s="661">
        <v>0</v>
      </c>
      <c r="BB466" s="845">
        <v>0</v>
      </c>
      <c r="BC466" s="845">
        <v>0</v>
      </c>
      <c r="BD466" s="845">
        <v>0</v>
      </c>
      <c r="BE466" s="845">
        <v>0</v>
      </c>
      <c r="BF466" s="661">
        <v>0</v>
      </c>
      <c r="BG466" s="845">
        <v>0</v>
      </c>
      <c r="BH466" s="845">
        <v>0</v>
      </c>
      <c r="BI466" s="845">
        <v>0</v>
      </c>
      <c r="BJ466" s="845">
        <v>0</v>
      </c>
      <c r="BK466" s="661">
        <v>0</v>
      </c>
      <c r="BL466" s="845">
        <v>0</v>
      </c>
      <c r="BM466" s="845">
        <v>0</v>
      </c>
      <c r="BN466" s="845">
        <v>0</v>
      </c>
      <c r="BO466" s="845">
        <v>0</v>
      </c>
      <c r="BP466" s="752"/>
      <c r="BQ466" s="1261">
        <v>0</v>
      </c>
      <c r="BR466" s="1231">
        <v>0</v>
      </c>
      <c r="BS466" s="1231">
        <v>0</v>
      </c>
      <c r="BT466" s="845">
        <v>0</v>
      </c>
      <c r="BU466" s="752"/>
      <c r="BV466" s="1261">
        <v>0</v>
      </c>
      <c r="BW466" s="1261">
        <v>0</v>
      </c>
      <c r="BX466" s="1261">
        <v>0</v>
      </c>
      <c r="BY466" s="1261">
        <v>0</v>
      </c>
      <c r="BZ466" s="752"/>
      <c r="CA466" s="1231">
        <v>0</v>
      </c>
      <c r="CB466" s="1231">
        <v>0</v>
      </c>
      <c r="CC466" s="1231">
        <v>0</v>
      </c>
      <c r="CD466" s="1231">
        <v>0</v>
      </c>
      <c r="CE466" s="752"/>
      <c r="CF466" s="1231">
        <v>0</v>
      </c>
      <c r="CG466" s="1231">
        <v>0</v>
      </c>
      <c r="CH466" s="1231">
        <v>0</v>
      </c>
      <c r="CI466" s="1231">
        <v>0</v>
      </c>
      <c r="CJ466" s="752"/>
      <c r="CK466" s="3501">
        <v>0</v>
      </c>
      <c r="CL466" s="3501"/>
      <c r="CM466" s="3501"/>
      <c r="CN466" s="3501"/>
      <c r="CO466" s="752"/>
      <c r="CP466" s="1261"/>
      <c r="CQ466" s="1261"/>
      <c r="CR466" s="1261"/>
      <c r="CS466" s="1261"/>
      <c r="CT466" s="752"/>
      <c r="CU466" s="1243"/>
      <c r="CV466" s="1243"/>
      <c r="CW466" s="374"/>
      <c r="CX466" s="374"/>
      <c r="CY466" s="374"/>
      <c r="CZ466" s="374"/>
      <c r="DA466" s="374"/>
      <c r="DB466" s="217"/>
    </row>
    <row r="467" spans="1:256" x14ac:dyDescent="0.2">
      <c r="A467" s="1434" t="s">
        <v>383</v>
      </c>
      <c r="B467" s="651"/>
      <c r="C467" s="236"/>
      <c r="D467" s="234"/>
      <c r="E467" s="234"/>
      <c r="F467" s="234"/>
      <c r="G467" s="234"/>
      <c r="H467" s="236"/>
      <c r="I467" s="1427">
        <v>0</v>
      </c>
      <c r="J467" s="845">
        <v>0</v>
      </c>
      <c r="K467" s="845">
        <v>0</v>
      </c>
      <c r="L467" s="845">
        <v>0</v>
      </c>
      <c r="M467" s="661">
        <v>0</v>
      </c>
      <c r="N467" s="845">
        <v>0</v>
      </c>
      <c r="O467" s="845">
        <v>0</v>
      </c>
      <c r="P467" s="845">
        <v>0</v>
      </c>
      <c r="Q467" s="845">
        <v>0</v>
      </c>
      <c r="R467" s="661">
        <v>0</v>
      </c>
      <c r="S467" s="845">
        <v>0</v>
      </c>
      <c r="T467" s="845">
        <v>0</v>
      </c>
      <c r="U467" s="845">
        <v>0</v>
      </c>
      <c r="V467" s="845">
        <v>0</v>
      </c>
      <c r="W467" s="661">
        <v>0</v>
      </c>
      <c r="X467" s="845">
        <v>0</v>
      </c>
      <c r="Y467" s="845">
        <v>0</v>
      </c>
      <c r="Z467" s="845">
        <v>0</v>
      </c>
      <c r="AA467" s="845">
        <v>0</v>
      </c>
      <c r="AB467" s="661">
        <v>0</v>
      </c>
      <c r="AC467" s="845">
        <v>0</v>
      </c>
      <c r="AD467" s="845">
        <v>0</v>
      </c>
      <c r="AE467" s="845">
        <v>0</v>
      </c>
      <c r="AF467" s="845">
        <v>0</v>
      </c>
      <c r="AG467" s="661">
        <v>0</v>
      </c>
      <c r="AH467" s="845">
        <v>0</v>
      </c>
      <c r="AI467" s="845">
        <v>0</v>
      </c>
      <c r="AJ467" s="845">
        <v>0</v>
      </c>
      <c r="AK467" s="845">
        <v>0</v>
      </c>
      <c r="AL467" s="661">
        <v>0</v>
      </c>
      <c r="AM467" s="845">
        <v>0</v>
      </c>
      <c r="AN467" s="845">
        <v>0</v>
      </c>
      <c r="AO467" s="845">
        <v>0</v>
      </c>
      <c r="AP467" s="845">
        <v>0</v>
      </c>
      <c r="AQ467" s="661">
        <v>0</v>
      </c>
      <c r="AR467" s="845">
        <v>0</v>
      </c>
      <c r="AS467" s="845">
        <v>0</v>
      </c>
      <c r="AT467" s="845">
        <v>0</v>
      </c>
      <c r="AU467" s="845">
        <v>0</v>
      </c>
      <c r="AV467" s="661">
        <v>0</v>
      </c>
      <c r="AW467" s="845">
        <v>0</v>
      </c>
      <c r="AX467" s="845">
        <v>0</v>
      </c>
      <c r="AY467" s="845">
        <v>0</v>
      </c>
      <c r="AZ467" s="845">
        <v>0</v>
      </c>
      <c r="BA467" s="661">
        <v>0</v>
      </c>
      <c r="BB467" s="845">
        <v>0</v>
      </c>
      <c r="BC467" s="845">
        <v>0</v>
      </c>
      <c r="BD467" s="845">
        <v>0</v>
      </c>
      <c r="BE467" s="756">
        <v>353</v>
      </c>
      <c r="BF467" s="752">
        <f>+BE467</f>
        <v>353</v>
      </c>
      <c r="BG467" s="756">
        <v>353</v>
      </c>
      <c r="BH467" s="756">
        <v>353</v>
      </c>
      <c r="BI467" s="845">
        <v>0</v>
      </c>
      <c r="BJ467" s="845">
        <v>0</v>
      </c>
      <c r="BK467" s="661">
        <f>+BJ467</f>
        <v>0</v>
      </c>
      <c r="BL467" s="845">
        <v>0</v>
      </c>
      <c r="BM467" s="845">
        <v>0</v>
      </c>
      <c r="BN467" s="845">
        <v>0</v>
      </c>
      <c r="BO467" s="845">
        <v>0</v>
      </c>
      <c r="BP467" s="1243">
        <f>+BO467</f>
        <v>0</v>
      </c>
      <c r="BQ467" s="1261">
        <v>0</v>
      </c>
      <c r="BR467" s="1231">
        <v>0</v>
      </c>
      <c r="BS467" s="1231">
        <v>0</v>
      </c>
      <c r="BT467" s="845">
        <v>0</v>
      </c>
      <c r="BU467" s="1243">
        <f>+BT467</f>
        <v>0</v>
      </c>
      <c r="BV467" s="1261">
        <v>0</v>
      </c>
      <c r="BW467" s="1261">
        <v>0</v>
      </c>
      <c r="BX467" s="1261">
        <v>0</v>
      </c>
      <c r="BY467" s="1261">
        <v>0</v>
      </c>
      <c r="BZ467" s="1243">
        <f>+BY467</f>
        <v>0</v>
      </c>
      <c r="CA467" s="1231">
        <v>295</v>
      </c>
      <c r="CB467" s="1231">
        <v>568</v>
      </c>
      <c r="CC467" s="1231">
        <v>568</v>
      </c>
      <c r="CD467" s="1231">
        <v>568</v>
      </c>
      <c r="CE467" s="1243">
        <f>+CD467</f>
        <v>568</v>
      </c>
      <c r="CF467" s="1231">
        <v>568</v>
      </c>
      <c r="CG467" s="1231">
        <v>567</v>
      </c>
      <c r="CH467" s="1231">
        <v>567</v>
      </c>
      <c r="CI467" s="1231">
        <v>567</v>
      </c>
      <c r="CJ467" s="1243">
        <f>+CI467</f>
        <v>567</v>
      </c>
      <c r="CK467" s="3501">
        <v>567</v>
      </c>
      <c r="CL467" s="3501">
        <v>567</v>
      </c>
      <c r="CM467" s="3501">
        <v>567</v>
      </c>
      <c r="CN467" s="3501">
        <v>567</v>
      </c>
      <c r="CO467" s="752">
        <f>+CN467</f>
        <v>567</v>
      </c>
      <c r="CP467" s="1261">
        <f>+CK467*(1+CP863)</f>
        <v>606.69000000000005</v>
      </c>
      <c r="CQ467" s="1261">
        <f>+CL467*(1+CQ863)</f>
        <v>606.69000000000005</v>
      </c>
      <c r="CR467" s="1261">
        <f>+CM467*(1+CR863)</f>
        <v>606.69000000000005</v>
      </c>
      <c r="CS467" s="1261">
        <f>+CN467*(1+CS863)</f>
        <v>606.69000000000005</v>
      </c>
      <c r="CT467" s="752">
        <f>+CS467</f>
        <v>606.69000000000005</v>
      </c>
      <c r="CU467" s="1243">
        <f>+CT467*(1+CU863)</f>
        <v>618.82380000000012</v>
      </c>
      <c r="CV467" s="1243">
        <f>+CU467*(1+CV863)</f>
        <v>618.82380000000012</v>
      </c>
      <c r="CW467" s="374"/>
      <c r="CX467" s="374"/>
      <c r="CY467" s="374"/>
      <c r="CZ467" s="374"/>
      <c r="DA467" s="374"/>
      <c r="DB467" s="217"/>
    </row>
    <row r="468" spans="1:256" x14ac:dyDescent="0.2">
      <c r="A468" s="1434" t="s">
        <v>656</v>
      </c>
      <c r="B468" s="651"/>
      <c r="C468" s="236"/>
      <c r="D468" s="234"/>
      <c r="E468" s="234"/>
      <c r="F468" s="234"/>
      <c r="G468" s="234"/>
      <c r="H468" s="236"/>
      <c r="I468" s="1427">
        <v>0</v>
      </c>
      <c r="J468" s="845">
        <v>0</v>
      </c>
      <c r="K468" s="845">
        <v>0</v>
      </c>
      <c r="L468" s="845">
        <v>0</v>
      </c>
      <c r="M468" s="661">
        <v>0</v>
      </c>
      <c r="N468" s="845">
        <v>0</v>
      </c>
      <c r="O468" s="845">
        <v>0</v>
      </c>
      <c r="P468" s="845">
        <v>0</v>
      </c>
      <c r="Q468" s="845">
        <v>0</v>
      </c>
      <c r="R468" s="661">
        <v>0</v>
      </c>
      <c r="S468" s="845">
        <v>0</v>
      </c>
      <c r="T468" s="845">
        <v>0</v>
      </c>
      <c r="U468" s="845">
        <v>0</v>
      </c>
      <c r="V468" s="845">
        <v>0</v>
      </c>
      <c r="W468" s="661">
        <v>0</v>
      </c>
      <c r="X468" s="1427">
        <v>0</v>
      </c>
      <c r="Y468" s="845">
        <v>0</v>
      </c>
      <c r="Z468" s="845">
        <v>0</v>
      </c>
      <c r="AA468" s="845">
        <v>0</v>
      </c>
      <c r="AB468" s="661">
        <v>0</v>
      </c>
      <c r="AC468" s="845">
        <v>0</v>
      </c>
      <c r="AD468" s="845">
        <v>0</v>
      </c>
      <c r="AE468" s="845">
        <v>0</v>
      </c>
      <c r="AF468" s="845">
        <v>0</v>
      </c>
      <c r="AG468" s="661">
        <v>0</v>
      </c>
      <c r="AH468" s="845">
        <v>0</v>
      </c>
      <c r="AI468" s="845">
        <v>0</v>
      </c>
      <c r="AJ468" s="845">
        <v>0</v>
      </c>
      <c r="AK468" s="845">
        <v>0</v>
      </c>
      <c r="AL468" s="661">
        <v>0</v>
      </c>
      <c r="AM468" s="845">
        <v>0</v>
      </c>
      <c r="AN468" s="845">
        <v>0</v>
      </c>
      <c r="AO468" s="845">
        <v>0</v>
      </c>
      <c r="AP468" s="845">
        <v>0</v>
      </c>
      <c r="AQ468" s="661">
        <v>0</v>
      </c>
      <c r="AR468" s="845">
        <v>0</v>
      </c>
      <c r="AS468" s="845">
        <v>0</v>
      </c>
      <c r="AT468" s="845">
        <v>0</v>
      </c>
      <c r="AU468" s="845">
        <v>0</v>
      </c>
      <c r="AV468" s="661">
        <v>0</v>
      </c>
      <c r="AW468" s="845">
        <v>0</v>
      </c>
      <c r="AX468" s="845">
        <v>0</v>
      </c>
      <c r="AY468" s="845">
        <v>0</v>
      </c>
      <c r="AZ468" s="845">
        <v>0</v>
      </c>
      <c r="BA468" s="661">
        <v>0</v>
      </c>
      <c r="BB468" s="845">
        <v>0</v>
      </c>
      <c r="BC468" s="845">
        <v>0</v>
      </c>
      <c r="BD468" s="845">
        <v>0</v>
      </c>
      <c r="BE468" s="845">
        <v>0</v>
      </c>
      <c r="BF468" s="661">
        <v>0</v>
      </c>
      <c r="BG468" s="845">
        <v>0</v>
      </c>
      <c r="BH468" s="845">
        <v>0</v>
      </c>
      <c r="BI468" s="845">
        <v>0</v>
      </c>
      <c r="BJ468" s="845">
        <v>0</v>
      </c>
      <c r="BK468" s="661">
        <v>0</v>
      </c>
      <c r="BL468" s="845">
        <v>0</v>
      </c>
      <c r="BM468" s="845">
        <v>0</v>
      </c>
      <c r="BN468" s="845">
        <v>0</v>
      </c>
      <c r="BO468" s="845">
        <v>0</v>
      </c>
      <c r="BP468" s="752"/>
      <c r="BQ468" s="1261">
        <v>0</v>
      </c>
      <c r="BR468" s="1231">
        <v>0</v>
      </c>
      <c r="BS468" s="1231">
        <v>0</v>
      </c>
      <c r="BT468" s="845">
        <v>0</v>
      </c>
      <c r="BU468" s="752"/>
      <c r="BV468" s="1261">
        <v>0</v>
      </c>
      <c r="BW468" s="1261"/>
      <c r="BX468" s="1261"/>
      <c r="BY468" s="1261"/>
      <c r="BZ468" s="752"/>
      <c r="CA468" s="1231">
        <v>0</v>
      </c>
      <c r="CB468" s="1231">
        <v>0</v>
      </c>
      <c r="CC468" s="1231">
        <v>0</v>
      </c>
      <c r="CD468" s="1231">
        <v>0</v>
      </c>
      <c r="CE468" s="752"/>
      <c r="CF468" s="1231">
        <v>0</v>
      </c>
      <c r="CG468" s="1231">
        <v>0</v>
      </c>
      <c r="CH468" s="1231">
        <v>0</v>
      </c>
      <c r="CI468" s="1231">
        <v>0</v>
      </c>
      <c r="CJ468" s="752"/>
      <c r="CK468" s="3501">
        <v>0</v>
      </c>
      <c r="CL468" s="3501"/>
      <c r="CM468" s="3501"/>
      <c r="CN468" s="3501"/>
      <c r="CO468" s="752"/>
      <c r="CP468" s="1261"/>
      <c r="CQ468" s="1261"/>
      <c r="CR468" s="1261"/>
      <c r="CS468" s="1261"/>
      <c r="CT468" s="752"/>
      <c r="CU468" s="1243"/>
      <c r="CV468" s="1243"/>
      <c r="CW468" s="374"/>
      <c r="CX468" s="374"/>
      <c r="CY468" s="374"/>
      <c r="CZ468" s="374"/>
      <c r="DA468" s="374"/>
      <c r="DB468" s="217"/>
    </row>
    <row r="469" spans="1:256" x14ac:dyDescent="0.2">
      <c r="A469" s="1434" t="s">
        <v>1386</v>
      </c>
      <c r="B469" s="651"/>
      <c r="C469" s="236"/>
      <c r="D469" s="234"/>
      <c r="E469" s="234"/>
      <c r="F469" s="234"/>
      <c r="G469" s="234"/>
      <c r="H469" s="236"/>
      <c r="I469" s="758">
        <f>+I948-I504</f>
        <v>34760</v>
      </c>
      <c r="J469" s="758">
        <f>+J948-J504</f>
        <v>35211</v>
      </c>
      <c r="K469" s="758">
        <f>+K948-K504</f>
        <v>35845</v>
      </c>
      <c r="L469" s="758">
        <f>+L948-L504</f>
        <v>35488</v>
      </c>
      <c r="M469" s="752">
        <f>L469</f>
        <v>35488</v>
      </c>
      <c r="N469" s="758">
        <f>+N948-N504</f>
        <v>36055</v>
      </c>
      <c r="O469" s="758">
        <f>+O948-O504</f>
        <v>36460</v>
      </c>
      <c r="P469" s="756">
        <v>36339</v>
      </c>
      <c r="Q469" s="756">
        <v>36731</v>
      </c>
      <c r="R469" s="752">
        <f>Q469</f>
        <v>36731</v>
      </c>
      <c r="S469" s="756">
        <v>36731</v>
      </c>
      <c r="T469" s="756">
        <v>36853</v>
      </c>
      <c r="U469" s="756">
        <v>37339</v>
      </c>
      <c r="V469" s="754">
        <v>37339</v>
      </c>
      <c r="W469" s="752">
        <f>V469</f>
        <v>37339</v>
      </c>
      <c r="X469" s="756">
        <v>37355</v>
      </c>
      <c r="Y469" s="756">
        <v>37481</v>
      </c>
      <c r="Z469" s="756">
        <v>37628</v>
      </c>
      <c r="AA469" s="756">
        <v>37940</v>
      </c>
      <c r="AB469" s="752">
        <f>+AA469</f>
        <v>37940</v>
      </c>
      <c r="AC469" s="756">
        <v>38451</v>
      </c>
      <c r="AD469" s="756">
        <v>38452</v>
      </c>
      <c r="AE469" s="756">
        <v>38720</v>
      </c>
      <c r="AF469" s="756">
        <v>38976</v>
      </c>
      <c r="AG469" s="752">
        <f>+AF469</f>
        <v>38976</v>
      </c>
      <c r="AH469" s="756">
        <v>38976</v>
      </c>
      <c r="AI469" s="756">
        <v>39186</v>
      </c>
      <c r="AJ469" s="756">
        <v>39348</v>
      </c>
      <c r="AK469" s="756">
        <v>38747</v>
      </c>
      <c r="AL469" s="752">
        <f>+AK469</f>
        <v>38747</v>
      </c>
      <c r="AM469" s="756">
        <v>38747</v>
      </c>
      <c r="AN469" s="756">
        <v>38747</v>
      </c>
      <c r="AO469" s="756">
        <v>39115</v>
      </c>
      <c r="AP469" s="756">
        <v>39115</v>
      </c>
      <c r="AQ469" s="752">
        <f>+AP469</f>
        <v>39115</v>
      </c>
      <c r="AR469" s="756">
        <v>39377</v>
      </c>
      <c r="AS469" s="756">
        <v>39531</v>
      </c>
      <c r="AT469" s="756">
        <v>39641</v>
      </c>
      <c r="AU469" s="756">
        <v>39641</v>
      </c>
      <c r="AV469" s="752">
        <f>+AU469</f>
        <v>39641</v>
      </c>
      <c r="AW469" s="756">
        <v>39756</v>
      </c>
      <c r="AX469" s="756">
        <v>39984</v>
      </c>
      <c r="AY469" s="756">
        <v>40578</v>
      </c>
      <c r="AZ469" s="756">
        <v>40581</v>
      </c>
      <c r="BA469" s="752">
        <f>+AZ469</f>
        <v>40581</v>
      </c>
      <c r="BB469" s="756">
        <v>40568</v>
      </c>
      <c r="BC469" s="756">
        <v>40829</v>
      </c>
      <c r="BD469" s="756">
        <v>40829</v>
      </c>
      <c r="BE469" s="756">
        <v>40746</v>
      </c>
      <c r="BF469" s="752">
        <f>+BE469</f>
        <v>40746</v>
      </c>
      <c r="BG469" s="756">
        <v>40896</v>
      </c>
      <c r="BH469" s="756">
        <v>40896</v>
      </c>
      <c r="BI469" s="756">
        <v>40896</v>
      </c>
      <c r="BJ469" s="756">
        <v>40936</v>
      </c>
      <c r="BK469" s="752">
        <f>+BJ469</f>
        <v>40936</v>
      </c>
      <c r="BL469" s="756">
        <v>40936</v>
      </c>
      <c r="BM469" s="756">
        <v>41090</v>
      </c>
      <c r="BN469" s="756">
        <v>41334</v>
      </c>
      <c r="BO469" s="756">
        <v>41589</v>
      </c>
      <c r="BP469" s="752">
        <f t="shared" ref="BP469:BP478" si="664">+BO469</f>
        <v>41589</v>
      </c>
      <c r="BQ469" s="1231">
        <v>40896</v>
      </c>
      <c r="BR469" s="1231">
        <v>40384</v>
      </c>
      <c r="BS469" s="1231">
        <v>40384</v>
      </c>
      <c r="BT469" s="756">
        <v>40384</v>
      </c>
      <c r="BU469" s="752">
        <f t="shared" ref="BU469:BU476" si="665">+BT469</f>
        <v>40384</v>
      </c>
      <c r="BV469" s="1231">
        <v>40311</v>
      </c>
      <c r="BW469" s="1231">
        <v>40468</v>
      </c>
      <c r="BX469" s="1231">
        <v>40666</v>
      </c>
      <c r="BY469" s="1231">
        <v>40322</v>
      </c>
      <c r="BZ469" s="752">
        <f t="shared" ref="BZ469:BZ475" si="666">+BY469</f>
        <v>40322</v>
      </c>
      <c r="CA469" s="1231">
        <v>40494</v>
      </c>
      <c r="CB469" s="1231">
        <v>40494</v>
      </c>
      <c r="CC469" s="1231">
        <v>41074</v>
      </c>
      <c r="CD469" s="1231">
        <v>41074</v>
      </c>
      <c r="CE469" s="752">
        <f t="shared" ref="CE469:CE477" si="667">+CD469</f>
        <v>41074</v>
      </c>
      <c r="CF469" s="1231">
        <v>40821</v>
      </c>
      <c r="CG469" s="1231">
        <v>40821</v>
      </c>
      <c r="CH469" s="1231">
        <v>40821</v>
      </c>
      <c r="CI469" s="1231">
        <v>40821</v>
      </c>
      <c r="CJ469" s="752">
        <f>+CI469</f>
        <v>40821</v>
      </c>
      <c r="CK469" s="3501">
        <v>40863</v>
      </c>
      <c r="CL469" s="3501">
        <v>40741</v>
      </c>
      <c r="CM469" s="3501">
        <v>40429</v>
      </c>
      <c r="CN469" s="3501">
        <v>38517</v>
      </c>
      <c r="CO469" s="752">
        <f>+CN469</f>
        <v>38517</v>
      </c>
      <c r="CP469" s="1261">
        <f>+CK469*(1+CP$866)</f>
        <v>41680.26</v>
      </c>
      <c r="CQ469" s="1261">
        <f>+CL469*(1+CQ$866)</f>
        <v>41555.82</v>
      </c>
      <c r="CR469" s="1261">
        <f>+CM469*(1+CR$866)</f>
        <v>41237.58</v>
      </c>
      <c r="CS469" s="1261">
        <f>+CN469*(1+CS$866)</f>
        <v>39287.340000000004</v>
      </c>
      <c r="CT469" s="752">
        <f>+CS469</f>
        <v>39287.340000000004</v>
      </c>
      <c r="CU469" s="1243">
        <f>+CT469*(1+CU$866)</f>
        <v>41448.143700000001</v>
      </c>
      <c r="CV469" s="1243">
        <f>+CU469*(1+CV$866)</f>
        <v>42277.106574000005</v>
      </c>
      <c r="CW469" s="374"/>
      <c r="CX469" s="374"/>
      <c r="CY469" s="374"/>
      <c r="CZ469" s="374"/>
      <c r="DA469" s="374"/>
      <c r="DB469" s="217"/>
    </row>
    <row r="470" spans="1:256" x14ac:dyDescent="0.2">
      <c r="A470" s="1436" t="s">
        <v>47</v>
      </c>
      <c r="B470" s="651"/>
      <c r="C470" s="236"/>
      <c r="D470" s="234"/>
      <c r="E470" s="234"/>
      <c r="F470" s="234"/>
      <c r="G470" s="234"/>
      <c r="H470" s="848">
        <v>0</v>
      </c>
      <c r="I470" s="1427">
        <v>0</v>
      </c>
      <c r="J470" s="845">
        <v>0</v>
      </c>
      <c r="K470" s="845">
        <v>0</v>
      </c>
      <c r="L470" s="845">
        <v>0</v>
      </c>
      <c r="M470" s="848">
        <v>0</v>
      </c>
      <c r="N470" s="1427">
        <v>0</v>
      </c>
      <c r="O470" s="845">
        <v>0</v>
      </c>
      <c r="P470" s="845">
        <v>0</v>
      </c>
      <c r="Q470" s="845">
        <v>0</v>
      </c>
      <c r="R470" s="848">
        <v>0</v>
      </c>
      <c r="S470" s="1427">
        <v>0</v>
      </c>
      <c r="T470" s="845">
        <v>0</v>
      </c>
      <c r="U470" s="845">
        <v>0</v>
      </c>
      <c r="V470" s="845">
        <v>0</v>
      </c>
      <c r="W470" s="848">
        <v>0</v>
      </c>
      <c r="X470" s="1427">
        <v>0</v>
      </c>
      <c r="Y470" s="845">
        <v>0</v>
      </c>
      <c r="Z470" s="845">
        <v>0</v>
      </c>
      <c r="AA470" s="845">
        <v>0</v>
      </c>
      <c r="AB470" s="848">
        <v>0</v>
      </c>
      <c r="AC470" s="1427">
        <v>0</v>
      </c>
      <c r="AD470" s="845">
        <v>0</v>
      </c>
      <c r="AE470" s="845">
        <v>0</v>
      </c>
      <c r="AF470" s="845">
        <v>0</v>
      </c>
      <c r="AG470" s="848">
        <v>0</v>
      </c>
      <c r="AH470" s="1427">
        <v>0</v>
      </c>
      <c r="AI470" s="845">
        <v>0</v>
      </c>
      <c r="AJ470" s="845">
        <v>0</v>
      </c>
      <c r="AK470" s="845">
        <v>0</v>
      </c>
      <c r="AL470" s="848">
        <v>0</v>
      </c>
      <c r="AM470" s="1427">
        <v>0</v>
      </c>
      <c r="AN470" s="845">
        <v>0</v>
      </c>
      <c r="AO470" s="845">
        <v>0</v>
      </c>
      <c r="AP470" s="845">
        <v>0</v>
      </c>
      <c r="AQ470" s="848">
        <v>0</v>
      </c>
      <c r="AR470" s="1427">
        <v>0</v>
      </c>
      <c r="AS470" s="845">
        <v>0</v>
      </c>
      <c r="AT470" s="845">
        <v>0</v>
      </c>
      <c r="AU470" s="845">
        <v>0</v>
      </c>
      <c r="AV470" s="848">
        <v>0</v>
      </c>
      <c r="AW470" s="1427">
        <v>0</v>
      </c>
      <c r="AX470" s="845">
        <v>0</v>
      </c>
      <c r="AY470" s="845">
        <v>0</v>
      </c>
      <c r="AZ470" s="845">
        <v>0</v>
      </c>
      <c r="BA470" s="848">
        <v>0</v>
      </c>
      <c r="BB470" s="1427">
        <v>0</v>
      </c>
      <c r="BC470" s="845">
        <v>0</v>
      </c>
      <c r="BD470" s="845">
        <v>0</v>
      </c>
      <c r="BE470" s="845">
        <v>0</v>
      </c>
      <c r="BF470" s="848">
        <v>0</v>
      </c>
      <c r="BG470" s="1427">
        <v>0</v>
      </c>
      <c r="BH470" s="845">
        <v>0</v>
      </c>
      <c r="BI470" s="845">
        <v>0</v>
      </c>
      <c r="BJ470" s="845">
        <v>0</v>
      </c>
      <c r="BK470" s="848">
        <v>0</v>
      </c>
      <c r="BL470" s="1427">
        <v>0</v>
      </c>
      <c r="BM470" s="845">
        <v>0</v>
      </c>
      <c r="BN470" s="845">
        <v>0</v>
      </c>
      <c r="BO470" s="845">
        <v>0</v>
      </c>
      <c r="BP470" s="848">
        <v>0</v>
      </c>
      <c r="BQ470" s="1427">
        <v>0</v>
      </c>
      <c r="BR470" s="845">
        <v>0</v>
      </c>
      <c r="BS470" s="845">
        <v>0</v>
      </c>
      <c r="BT470" s="845">
        <v>0</v>
      </c>
      <c r="BU470" s="848">
        <v>0</v>
      </c>
      <c r="BV470" s="1427">
        <v>0</v>
      </c>
      <c r="BW470" s="845">
        <v>0</v>
      </c>
      <c r="BX470" s="845">
        <v>0</v>
      </c>
      <c r="BY470" s="845">
        <v>0</v>
      </c>
      <c r="BZ470" s="848">
        <v>0</v>
      </c>
      <c r="CA470" s="1427">
        <v>0</v>
      </c>
      <c r="CB470" s="845">
        <v>0</v>
      </c>
      <c r="CC470" s="845">
        <v>0</v>
      </c>
      <c r="CD470" s="845">
        <v>0</v>
      </c>
      <c r="CE470" s="848">
        <v>0</v>
      </c>
      <c r="CF470" s="1427">
        <v>0</v>
      </c>
      <c r="CG470" s="845">
        <v>0</v>
      </c>
      <c r="CH470" s="845">
        <v>0</v>
      </c>
      <c r="CI470" s="845">
        <v>0</v>
      </c>
      <c r="CJ470" s="848">
        <v>0</v>
      </c>
      <c r="CK470" s="2982">
        <v>0</v>
      </c>
      <c r="CL470" s="2982">
        <v>0</v>
      </c>
      <c r="CM470" s="2982">
        <v>0</v>
      </c>
      <c r="CN470" s="2982">
        <v>0</v>
      </c>
      <c r="CO470" s="848">
        <v>0</v>
      </c>
      <c r="CP470" s="1261">
        <f>CO470</f>
        <v>0</v>
      </c>
      <c r="CQ470" s="1261">
        <f>CP470</f>
        <v>0</v>
      </c>
      <c r="CR470" s="1261">
        <f>CQ470</f>
        <v>0</v>
      </c>
      <c r="CS470" s="1261">
        <f>CR470</f>
        <v>0</v>
      </c>
      <c r="CT470" s="848">
        <v>0</v>
      </c>
      <c r="CU470" s="848">
        <v>0</v>
      </c>
      <c r="CV470" s="848">
        <v>0</v>
      </c>
      <c r="CW470" s="374"/>
      <c r="CX470" s="374"/>
      <c r="CY470" s="374"/>
      <c r="CZ470" s="374"/>
      <c r="DA470" s="374"/>
      <c r="DB470" s="217"/>
    </row>
    <row r="471" spans="1:256" x14ac:dyDescent="0.2">
      <c r="A471" s="1434" t="s">
        <v>1388</v>
      </c>
      <c r="B471" s="651"/>
      <c r="C471" s="236"/>
      <c r="D471" s="234"/>
      <c r="E471" s="234"/>
      <c r="F471" s="234"/>
      <c r="G471" s="234"/>
      <c r="H471" s="236"/>
      <c r="I471" s="758">
        <f>+I956-I506</f>
        <v>15172</v>
      </c>
      <c r="J471" s="758">
        <f>+J956-J506</f>
        <v>15411</v>
      </c>
      <c r="K471" s="758">
        <f>+K956-K506</f>
        <v>15815</v>
      </c>
      <c r="L471" s="758">
        <f>+L956-L506</f>
        <v>15815</v>
      </c>
      <c r="M471" s="752">
        <f>L471</f>
        <v>15815</v>
      </c>
      <c r="N471" s="758">
        <f>+N956-N506</f>
        <v>16165</v>
      </c>
      <c r="O471" s="758">
        <f>+O956-O506</f>
        <v>16039</v>
      </c>
      <c r="P471" s="756">
        <v>16530</v>
      </c>
      <c r="Q471" s="756">
        <v>16918</v>
      </c>
      <c r="R471" s="752">
        <f>Q471</f>
        <v>16918</v>
      </c>
      <c r="S471" s="756">
        <v>16584</v>
      </c>
      <c r="T471" s="756">
        <v>16744</v>
      </c>
      <c r="U471" s="756">
        <v>15500</v>
      </c>
      <c r="V471" s="754">
        <v>16632</v>
      </c>
      <c r="W471" s="752">
        <f>V471</f>
        <v>16632</v>
      </c>
      <c r="X471" s="756">
        <v>16926</v>
      </c>
      <c r="Y471" s="756">
        <v>17154</v>
      </c>
      <c r="Z471" s="756">
        <v>17593</v>
      </c>
      <c r="AA471" s="754">
        <v>17593</v>
      </c>
      <c r="AB471" s="752">
        <f>+AA471</f>
        <v>17593</v>
      </c>
      <c r="AC471" s="756">
        <v>17593</v>
      </c>
      <c r="AD471" s="756">
        <v>17716</v>
      </c>
      <c r="AE471" s="756">
        <v>17716</v>
      </c>
      <c r="AF471" s="754">
        <v>17974</v>
      </c>
      <c r="AG471" s="752">
        <f>+AF471</f>
        <v>17974</v>
      </c>
      <c r="AH471" s="756">
        <v>18008</v>
      </c>
      <c r="AI471" s="756">
        <v>18068</v>
      </c>
      <c r="AJ471" s="756">
        <v>18068</v>
      </c>
      <c r="AK471" s="756">
        <v>18203</v>
      </c>
      <c r="AL471" s="752">
        <f>+AK471</f>
        <v>18203</v>
      </c>
      <c r="AM471" s="756">
        <v>18204</v>
      </c>
      <c r="AN471" s="756">
        <v>18012</v>
      </c>
      <c r="AO471" s="756">
        <v>18210</v>
      </c>
      <c r="AP471" s="756">
        <v>18501</v>
      </c>
      <c r="AQ471" s="752">
        <f>+AP471</f>
        <v>18501</v>
      </c>
      <c r="AR471" s="756">
        <v>18138</v>
      </c>
      <c r="AS471" s="756">
        <v>18058</v>
      </c>
      <c r="AT471" s="756">
        <v>17962</v>
      </c>
      <c r="AU471" s="756">
        <v>18374</v>
      </c>
      <c r="AV471" s="752">
        <f>+AU471</f>
        <v>18374</v>
      </c>
      <c r="AW471" s="756">
        <v>18582</v>
      </c>
      <c r="AX471" s="756">
        <v>18888</v>
      </c>
      <c r="AY471" s="756">
        <v>19211</v>
      </c>
      <c r="AZ471" s="756">
        <v>19406</v>
      </c>
      <c r="BA471" s="752">
        <f>+AZ471</f>
        <v>19406</v>
      </c>
      <c r="BB471" s="756">
        <v>18805</v>
      </c>
      <c r="BC471" s="756">
        <v>18805</v>
      </c>
      <c r="BD471" s="756">
        <v>18805</v>
      </c>
      <c r="BE471" s="756">
        <v>18805</v>
      </c>
      <c r="BF471" s="752">
        <f>+BE471</f>
        <v>18805</v>
      </c>
      <c r="BG471" s="756">
        <v>19130</v>
      </c>
      <c r="BH471" s="756">
        <v>19285</v>
      </c>
      <c r="BI471" s="756">
        <v>19285</v>
      </c>
      <c r="BJ471" s="756">
        <v>19172</v>
      </c>
      <c r="BK471" s="752">
        <f>+BJ471</f>
        <v>19172</v>
      </c>
      <c r="BL471" s="756">
        <v>19174</v>
      </c>
      <c r="BM471" s="756">
        <v>18968</v>
      </c>
      <c r="BN471" s="756">
        <v>18760</v>
      </c>
      <c r="BO471" s="756">
        <v>18512</v>
      </c>
      <c r="BP471" s="752">
        <f t="shared" si="664"/>
        <v>18512</v>
      </c>
      <c r="BQ471" s="1231">
        <v>18512</v>
      </c>
      <c r="BR471" s="1231">
        <v>17662</v>
      </c>
      <c r="BS471" s="1231">
        <v>17692</v>
      </c>
      <c r="BT471" s="756">
        <v>17461</v>
      </c>
      <c r="BU471" s="752">
        <f t="shared" si="665"/>
        <v>17461</v>
      </c>
      <c r="BV471" s="1231">
        <v>16898</v>
      </c>
      <c r="BW471" s="1231">
        <v>17214</v>
      </c>
      <c r="BX471" s="1231">
        <v>15756</v>
      </c>
      <c r="BY471" s="1231">
        <v>15636</v>
      </c>
      <c r="BZ471" s="752">
        <f t="shared" si="666"/>
        <v>15636</v>
      </c>
      <c r="CA471" s="1231">
        <v>16146</v>
      </c>
      <c r="CB471" s="1231">
        <v>16146</v>
      </c>
      <c r="CC471" s="1231">
        <v>16527</v>
      </c>
      <c r="CD471" s="1231">
        <v>16527</v>
      </c>
      <c r="CE471" s="752">
        <f t="shared" si="667"/>
        <v>16527</v>
      </c>
      <c r="CF471" s="1231">
        <v>16790</v>
      </c>
      <c r="CG471" s="1231">
        <v>16790</v>
      </c>
      <c r="CH471" s="1231">
        <v>17155</v>
      </c>
      <c r="CI471" s="1231">
        <v>17155</v>
      </c>
      <c r="CJ471" s="752">
        <f t="shared" ref="CJ471:CJ476" si="668">+CI471</f>
        <v>17155</v>
      </c>
      <c r="CK471" s="3501">
        <v>16996</v>
      </c>
      <c r="CL471" s="3501">
        <v>16900</v>
      </c>
      <c r="CM471" s="3501">
        <v>16207</v>
      </c>
      <c r="CN471" s="3501">
        <v>16519</v>
      </c>
      <c r="CO471" s="1616">
        <f t="shared" ref="CO471:CO476" si="669">+CN471</f>
        <v>16519</v>
      </c>
      <c r="CP471" s="1261">
        <f>+CK471*(1+CP$866)</f>
        <v>17335.920000000002</v>
      </c>
      <c r="CQ471" s="1261">
        <f>+CL471*(1+CQ$866)</f>
        <v>17238</v>
      </c>
      <c r="CR471" s="1261">
        <f>+CM471*(1+CR$866)</f>
        <v>16531.14</v>
      </c>
      <c r="CS471" s="1261">
        <f>+CN471*(1+CS$866)</f>
        <v>16849.38</v>
      </c>
      <c r="CT471" s="2293">
        <f t="shared" ref="CT471:CT476" si="670">+CS471</f>
        <v>16849.38</v>
      </c>
      <c r="CU471" s="1243">
        <f>+CT471*(1+CU$866)</f>
        <v>17776.0959</v>
      </c>
      <c r="CV471" s="1243">
        <f>+CU471*(1+CV$866)</f>
        <v>18131.617817999999</v>
      </c>
      <c r="CW471" s="374"/>
      <c r="CX471" s="374"/>
      <c r="CY471" s="374"/>
      <c r="CZ471" s="374"/>
      <c r="DA471" s="374"/>
      <c r="DB471" s="217"/>
    </row>
    <row r="472" spans="1:256" x14ac:dyDescent="0.2">
      <c r="A472" s="1436" t="s">
        <v>1391</v>
      </c>
      <c r="B472" s="651"/>
      <c r="C472" s="236"/>
      <c r="D472" s="234"/>
      <c r="E472" s="234"/>
      <c r="F472" s="234"/>
      <c r="G472" s="234"/>
      <c r="H472" s="236"/>
      <c r="I472" s="758">
        <f>+I958-I507</f>
        <v>2220</v>
      </c>
      <c r="J472" s="758">
        <f>+J958-J507</f>
        <v>2469</v>
      </c>
      <c r="K472" s="758">
        <f>+K958-K507</f>
        <v>2472</v>
      </c>
      <c r="L472" s="758">
        <f>+L958-L507</f>
        <v>2598</v>
      </c>
      <c r="M472" s="752">
        <f>L472</f>
        <v>2598</v>
      </c>
      <c r="N472" s="758">
        <f>+N958-N507</f>
        <v>2741</v>
      </c>
      <c r="O472" s="758">
        <f>+O958-O507</f>
        <v>2740</v>
      </c>
      <c r="P472" s="756">
        <v>2739</v>
      </c>
      <c r="Q472" s="756">
        <v>3056</v>
      </c>
      <c r="R472" s="752">
        <f>Q472</f>
        <v>3056</v>
      </c>
      <c r="S472" s="756">
        <v>3056</v>
      </c>
      <c r="T472" s="756">
        <v>2961</v>
      </c>
      <c r="U472" s="756">
        <v>2961</v>
      </c>
      <c r="V472" s="754">
        <v>3057</v>
      </c>
      <c r="W472" s="752">
        <f>V472</f>
        <v>3057</v>
      </c>
      <c r="X472" s="756">
        <v>3056</v>
      </c>
      <c r="Y472" s="756">
        <v>3534</v>
      </c>
      <c r="Z472" s="756">
        <v>3661</v>
      </c>
      <c r="AA472" s="754">
        <v>3661</v>
      </c>
      <c r="AB472" s="752">
        <f>+AA472</f>
        <v>3661</v>
      </c>
      <c r="AC472" s="756">
        <v>3661</v>
      </c>
      <c r="AD472" s="756">
        <v>3661</v>
      </c>
      <c r="AE472" s="756">
        <v>3660</v>
      </c>
      <c r="AF472" s="754">
        <v>3660</v>
      </c>
      <c r="AG472" s="752">
        <f>+AF472</f>
        <v>3660</v>
      </c>
      <c r="AH472" s="756">
        <v>3661</v>
      </c>
      <c r="AI472" s="756">
        <v>3661</v>
      </c>
      <c r="AJ472" s="756">
        <v>3661</v>
      </c>
      <c r="AK472" s="754">
        <v>3661</v>
      </c>
      <c r="AL472" s="752">
        <f>+AK472</f>
        <v>3661</v>
      </c>
      <c r="AM472" s="756">
        <v>3661</v>
      </c>
      <c r="AN472" s="756">
        <v>3661</v>
      </c>
      <c r="AO472" s="756">
        <v>3661</v>
      </c>
      <c r="AP472" s="754">
        <v>3661</v>
      </c>
      <c r="AQ472" s="752">
        <f>+AP472</f>
        <v>3661</v>
      </c>
      <c r="AR472" s="756">
        <v>3661</v>
      </c>
      <c r="AS472" s="756">
        <v>3661</v>
      </c>
      <c r="AT472" s="756">
        <v>3661</v>
      </c>
      <c r="AU472" s="754">
        <v>3661</v>
      </c>
      <c r="AV472" s="752">
        <f>+AU472</f>
        <v>3661</v>
      </c>
      <c r="AW472" s="756">
        <v>3661</v>
      </c>
      <c r="AX472" s="756">
        <v>3659</v>
      </c>
      <c r="AY472" s="756">
        <v>3659</v>
      </c>
      <c r="AZ472" s="756">
        <v>3659</v>
      </c>
      <c r="BA472" s="752">
        <f>+AZ472</f>
        <v>3659</v>
      </c>
      <c r="BB472" s="756">
        <v>3658</v>
      </c>
      <c r="BC472" s="756">
        <v>3658</v>
      </c>
      <c r="BD472" s="756">
        <v>3658</v>
      </c>
      <c r="BE472" s="756">
        <v>3658</v>
      </c>
      <c r="BF472" s="752">
        <f>+BE472</f>
        <v>3658</v>
      </c>
      <c r="BG472" s="756">
        <v>3658</v>
      </c>
      <c r="BH472" s="756">
        <v>3658</v>
      </c>
      <c r="BI472" s="756">
        <v>3658</v>
      </c>
      <c r="BJ472" s="756">
        <v>3086</v>
      </c>
      <c r="BK472" s="752">
        <f>+BJ472</f>
        <v>3086</v>
      </c>
      <c r="BL472" s="756">
        <v>3086</v>
      </c>
      <c r="BM472" s="756">
        <v>2440</v>
      </c>
      <c r="BN472" s="756">
        <v>2440</v>
      </c>
      <c r="BO472" s="756">
        <v>2440</v>
      </c>
      <c r="BP472" s="752">
        <f t="shared" si="664"/>
        <v>2440</v>
      </c>
      <c r="BQ472" s="1231">
        <v>2440</v>
      </c>
      <c r="BR472" s="1231">
        <v>2440</v>
      </c>
      <c r="BS472" s="1231">
        <v>2440</v>
      </c>
      <c r="BT472" s="756">
        <v>2440</v>
      </c>
      <c r="BU472" s="752">
        <f t="shared" si="665"/>
        <v>2440</v>
      </c>
      <c r="BV472" s="1231">
        <v>2123</v>
      </c>
      <c r="BW472" s="1231">
        <v>2028</v>
      </c>
      <c r="BX472" s="1231">
        <v>1933</v>
      </c>
      <c r="BY472" s="1231">
        <v>1743</v>
      </c>
      <c r="BZ472" s="752">
        <f t="shared" si="666"/>
        <v>1743</v>
      </c>
      <c r="CA472" s="1231">
        <v>1741</v>
      </c>
      <c r="CB472" s="1231">
        <v>1741</v>
      </c>
      <c r="CC472" s="1231">
        <v>1740</v>
      </c>
      <c r="CD472" s="1231">
        <v>1740</v>
      </c>
      <c r="CE472" s="752">
        <f t="shared" si="667"/>
        <v>1740</v>
      </c>
      <c r="CF472" s="1231">
        <v>1740</v>
      </c>
      <c r="CG472" s="1231">
        <v>1740</v>
      </c>
      <c r="CH472" s="1231">
        <v>1740</v>
      </c>
      <c r="CI472" s="1231">
        <v>1740</v>
      </c>
      <c r="CJ472" s="752">
        <f t="shared" si="668"/>
        <v>1740</v>
      </c>
      <c r="CK472" s="3501">
        <v>1740</v>
      </c>
      <c r="CL472" s="3501">
        <v>1740</v>
      </c>
      <c r="CM472" s="3501">
        <v>1740</v>
      </c>
      <c r="CN472" s="3501">
        <v>1841</v>
      </c>
      <c r="CO472" s="1616">
        <f t="shared" si="669"/>
        <v>1841</v>
      </c>
      <c r="CP472" s="1261">
        <f t="shared" ref="CP472:CS473" si="671">+CK472*(1+CP$869)</f>
        <v>1809.6000000000001</v>
      </c>
      <c r="CQ472" s="1261">
        <f t="shared" si="671"/>
        <v>1809.6000000000001</v>
      </c>
      <c r="CR472" s="1261">
        <f t="shared" si="671"/>
        <v>1809.6000000000001</v>
      </c>
      <c r="CS472" s="1261">
        <f t="shared" si="671"/>
        <v>1914.64</v>
      </c>
      <c r="CT472" s="2293">
        <f t="shared" si="670"/>
        <v>1914.64</v>
      </c>
      <c r="CU472" s="1243">
        <f>+CT472*(1+CU$869)</f>
        <v>2067.8112000000001</v>
      </c>
      <c r="CV472" s="1243">
        <f>+CU472*(1+CV$869)</f>
        <v>2109.1674240000002</v>
      </c>
      <c r="CW472" s="374"/>
      <c r="CX472" s="374"/>
      <c r="CY472" s="374"/>
      <c r="CZ472" s="374"/>
      <c r="DA472" s="374"/>
      <c r="DB472" s="217"/>
    </row>
    <row r="473" spans="1:256" x14ac:dyDescent="0.2">
      <c r="A473" s="1436" t="s">
        <v>1389</v>
      </c>
      <c r="B473" s="651"/>
      <c r="C473" s="236"/>
      <c r="D473" s="234"/>
      <c r="E473" s="234"/>
      <c r="F473" s="234"/>
      <c r="G473" s="234"/>
      <c r="H473" s="236"/>
      <c r="I473" s="758">
        <f>+I952-I508</f>
        <v>7526</v>
      </c>
      <c r="J473" s="758">
        <f>+J952-J508</f>
        <v>7526</v>
      </c>
      <c r="K473" s="758">
        <f>+K952-K508</f>
        <v>7526</v>
      </c>
      <c r="L473" s="758">
        <f>+L952-L508</f>
        <v>467</v>
      </c>
      <c r="M473" s="752">
        <f>L473</f>
        <v>467</v>
      </c>
      <c r="N473" s="758">
        <f>+N952-N508</f>
        <v>512</v>
      </c>
      <c r="O473" s="758">
        <f>+O952-O508</f>
        <v>512</v>
      </c>
      <c r="P473" s="756">
        <v>512</v>
      </c>
      <c r="Q473" s="756">
        <v>512</v>
      </c>
      <c r="R473" s="752">
        <f>Q473</f>
        <v>512</v>
      </c>
      <c r="S473" s="756">
        <v>467</v>
      </c>
      <c r="T473" s="756">
        <v>467</v>
      </c>
      <c r="U473" s="756">
        <v>467</v>
      </c>
      <c r="V473" s="754">
        <v>467</v>
      </c>
      <c r="W473" s="752">
        <f>V473</f>
        <v>467</v>
      </c>
      <c r="X473" s="756">
        <v>467</v>
      </c>
      <c r="Y473" s="756">
        <v>467</v>
      </c>
      <c r="Z473" s="756">
        <v>467</v>
      </c>
      <c r="AA473" s="754">
        <v>855</v>
      </c>
      <c r="AB473" s="752">
        <f>+AA473</f>
        <v>855</v>
      </c>
      <c r="AC473" s="756">
        <v>855</v>
      </c>
      <c r="AD473" s="756">
        <v>855</v>
      </c>
      <c r="AE473" s="756">
        <v>855</v>
      </c>
      <c r="AF473" s="754">
        <v>855</v>
      </c>
      <c r="AG473" s="752">
        <f>+AF473</f>
        <v>855</v>
      </c>
      <c r="AH473" s="756">
        <v>855</v>
      </c>
      <c r="AI473" s="756">
        <v>855</v>
      </c>
      <c r="AJ473" s="756">
        <v>855</v>
      </c>
      <c r="AK473" s="754">
        <v>855</v>
      </c>
      <c r="AL473" s="752">
        <f>+AK473</f>
        <v>855</v>
      </c>
      <c r="AM473" s="756">
        <v>855</v>
      </c>
      <c r="AN473" s="756">
        <v>855</v>
      </c>
      <c r="AO473" s="756">
        <v>855</v>
      </c>
      <c r="AP473" s="754">
        <v>855</v>
      </c>
      <c r="AQ473" s="752">
        <f>+AP473</f>
        <v>855</v>
      </c>
      <c r="AR473" s="756">
        <v>855</v>
      </c>
      <c r="AS473" s="756">
        <v>855</v>
      </c>
      <c r="AT473" s="756">
        <v>855</v>
      </c>
      <c r="AU473" s="754">
        <v>855</v>
      </c>
      <c r="AV473" s="752">
        <f>+AU473</f>
        <v>855</v>
      </c>
      <c r="AW473" s="756">
        <v>855</v>
      </c>
      <c r="AX473" s="756">
        <v>855</v>
      </c>
      <c r="AY473" s="756">
        <v>1055</v>
      </c>
      <c r="AZ473" s="756">
        <v>1055</v>
      </c>
      <c r="BA473" s="752">
        <f>+AZ473</f>
        <v>1055</v>
      </c>
      <c r="BB473" s="756">
        <v>1055</v>
      </c>
      <c r="BC473" s="756">
        <v>1055</v>
      </c>
      <c r="BD473" s="756">
        <v>1055</v>
      </c>
      <c r="BE473" s="756">
        <v>1055</v>
      </c>
      <c r="BF473" s="752">
        <f>+BE473</f>
        <v>1055</v>
      </c>
      <c r="BG473" s="756">
        <v>1055</v>
      </c>
      <c r="BH473" s="756">
        <v>1055</v>
      </c>
      <c r="BI473" s="756">
        <v>1055</v>
      </c>
      <c r="BJ473" s="756">
        <v>1055</v>
      </c>
      <c r="BK473" s="752">
        <f>+BJ473</f>
        <v>1055</v>
      </c>
      <c r="BL473" s="756">
        <v>1055</v>
      </c>
      <c r="BM473" s="756">
        <v>1055</v>
      </c>
      <c r="BN473" s="756">
        <v>1055</v>
      </c>
      <c r="BO473" s="756">
        <v>1055</v>
      </c>
      <c r="BP473" s="752">
        <f t="shared" si="664"/>
        <v>1055</v>
      </c>
      <c r="BQ473" s="1231">
        <v>1055</v>
      </c>
      <c r="BR473" s="1231">
        <v>1055</v>
      </c>
      <c r="BS473" s="1231">
        <v>1197</v>
      </c>
      <c r="BT473" s="756">
        <v>1197</v>
      </c>
      <c r="BU473" s="752">
        <f t="shared" si="665"/>
        <v>1197</v>
      </c>
      <c r="BV473" s="1231">
        <v>1197</v>
      </c>
      <c r="BW473" s="1231">
        <v>1200</v>
      </c>
      <c r="BX473" s="1231">
        <v>1200</v>
      </c>
      <c r="BY473" s="1231">
        <v>1200</v>
      </c>
      <c r="BZ473" s="752">
        <f t="shared" si="666"/>
        <v>1200</v>
      </c>
      <c r="CA473" s="1231">
        <v>1200</v>
      </c>
      <c r="CB473" s="1231">
        <v>1324</v>
      </c>
      <c r="CC473" s="1231">
        <v>1324</v>
      </c>
      <c r="CD473" s="1231">
        <v>1324</v>
      </c>
      <c r="CE473" s="752">
        <f t="shared" si="667"/>
        <v>1324</v>
      </c>
      <c r="CF473" s="1231">
        <v>1324</v>
      </c>
      <c r="CG473" s="1231">
        <v>1324</v>
      </c>
      <c r="CH473" s="1231">
        <v>1324</v>
      </c>
      <c r="CI473" s="1231">
        <v>1432</v>
      </c>
      <c r="CJ473" s="752">
        <f t="shared" si="668"/>
        <v>1432</v>
      </c>
      <c r="CK473" s="3501">
        <v>1432</v>
      </c>
      <c r="CL473" s="3501">
        <v>1432</v>
      </c>
      <c r="CM473" s="3501">
        <v>1432</v>
      </c>
      <c r="CN473" s="3501">
        <v>1432</v>
      </c>
      <c r="CO473" s="1616">
        <f t="shared" si="669"/>
        <v>1432</v>
      </c>
      <c r="CP473" s="1261">
        <f t="shared" si="671"/>
        <v>1489.28</v>
      </c>
      <c r="CQ473" s="1261">
        <f t="shared" si="671"/>
        <v>1489.28</v>
      </c>
      <c r="CR473" s="1261">
        <f t="shared" si="671"/>
        <v>1489.28</v>
      </c>
      <c r="CS473" s="1261">
        <f t="shared" si="671"/>
        <v>1489.28</v>
      </c>
      <c r="CT473" s="2293">
        <f t="shared" si="670"/>
        <v>1489.28</v>
      </c>
      <c r="CU473" s="1243">
        <f>+CT473*(1+CU$869)</f>
        <v>1608.4224000000002</v>
      </c>
      <c r="CV473" s="1243">
        <f>+CU473*(1+CV$869)</f>
        <v>1640.5908480000003</v>
      </c>
      <c r="CW473" s="374"/>
      <c r="CX473" s="374"/>
      <c r="CY473" s="374"/>
      <c r="CZ473" s="374"/>
      <c r="DA473" s="374"/>
      <c r="DB473" s="217"/>
    </row>
    <row r="474" spans="1:256" x14ac:dyDescent="0.2">
      <c r="A474" s="1436" t="s">
        <v>677</v>
      </c>
      <c r="B474" s="651"/>
      <c r="C474" s="236"/>
      <c r="D474" s="234"/>
      <c r="E474" s="234"/>
      <c r="F474" s="234"/>
      <c r="G474" s="234"/>
      <c r="H474" s="236"/>
      <c r="I474" s="1427"/>
      <c r="J474" s="845"/>
      <c r="K474" s="845"/>
      <c r="L474" s="845"/>
      <c r="M474" s="661"/>
      <c r="N474" s="1427"/>
      <c r="O474" s="845"/>
      <c r="P474" s="845"/>
      <c r="Q474" s="845"/>
      <c r="R474" s="661"/>
      <c r="S474" s="1427"/>
      <c r="T474" s="845"/>
      <c r="U474" s="845"/>
      <c r="V474" s="845"/>
      <c r="W474" s="661"/>
      <c r="X474" s="1427"/>
      <c r="Y474" s="845"/>
      <c r="Z474" s="845"/>
      <c r="AA474" s="845"/>
      <c r="AB474" s="661"/>
      <c r="AC474" s="1427"/>
      <c r="AD474" s="845"/>
      <c r="AE474" s="845"/>
      <c r="AF474" s="845"/>
      <c r="AG474" s="661"/>
      <c r="AH474" s="1427"/>
      <c r="AI474" s="845"/>
      <c r="AJ474" s="845"/>
      <c r="AK474" s="845"/>
      <c r="AL474" s="661"/>
      <c r="AM474" s="1427"/>
      <c r="AN474" s="845"/>
      <c r="AO474" s="845"/>
      <c r="AP474" s="845"/>
      <c r="AQ474" s="661"/>
      <c r="AR474" s="1427"/>
      <c r="AS474" s="845"/>
      <c r="AT474" s="845"/>
      <c r="AU474" s="845"/>
      <c r="AV474" s="661"/>
      <c r="AW474" s="1427"/>
      <c r="AX474" s="845"/>
      <c r="AY474" s="845"/>
      <c r="AZ474" s="845"/>
      <c r="BA474" s="661"/>
      <c r="BB474" s="1427"/>
      <c r="BC474" s="845"/>
      <c r="BD474" s="845"/>
      <c r="BE474" s="845"/>
      <c r="BF474" s="661"/>
      <c r="BG474" s="1427"/>
      <c r="BH474" s="845"/>
      <c r="BI474" s="845"/>
      <c r="BJ474" s="845"/>
      <c r="BK474" s="661"/>
      <c r="BL474" s="845"/>
      <c r="BM474" s="845"/>
      <c r="BN474" s="845"/>
      <c r="BO474" s="845">
        <v>8098</v>
      </c>
      <c r="BP474" s="752">
        <f t="shared" si="664"/>
        <v>8098</v>
      </c>
      <c r="BQ474" s="756">
        <v>8098</v>
      </c>
      <c r="BR474" s="756">
        <v>8098</v>
      </c>
      <c r="BS474" s="756">
        <v>8098</v>
      </c>
      <c r="BT474" s="845">
        <v>8098</v>
      </c>
      <c r="BU474" s="752">
        <f t="shared" si="665"/>
        <v>8098</v>
      </c>
      <c r="BV474" s="756">
        <v>8098</v>
      </c>
      <c r="BW474" s="756">
        <v>8098</v>
      </c>
      <c r="BX474" s="756">
        <v>8098</v>
      </c>
      <c r="BY474" s="756">
        <v>8098</v>
      </c>
      <c r="BZ474" s="752">
        <f t="shared" si="666"/>
        <v>8098</v>
      </c>
      <c r="CA474" s="756">
        <v>8098</v>
      </c>
      <c r="CB474" s="756">
        <v>8098</v>
      </c>
      <c r="CC474" s="756">
        <v>8098</v>
      </c>
      <c r="CD474" s="756">
        <v>8098</v>
      </c>
      <c r="CE474" s="752">
        <f t="shared" si="667"/>
        <v>8098</v>
      </c>
      <c r="CF474" s="756">
        <v>8098</v>
      </c>
      <c r="CG474" s="756">
        <v>8098</v>
      </c>
      <c r="CH474" s="756">
        <v>8098</v>
      </c>
      <c r="CI474" s="756">
        <v>8098</v>
      </c>
      <c r="CJ474" s="752">
        <f t="shared" si="668"/>
        <v>8098</v>
      </c>
      <c r="CK474" s="3518">
        <v>8108</v>
      </c>
      <c r="CL474" s="3518">
        <v>8108</v>
      </c>
      <c r="CM474" s="3518">
        <v>8108</v>
      </c>
      <c r="CN474" s="3518">
        <v>8108</v>
      </c>
      <c r="CO474" s="1616">
        <f t="shared" si="669"/>
        <v>8108</v>
      </c>
      <c r="CP474" s="1261">
        <f>+CK474*(1+CP860)</f>
        <v>8270.16</v>
      </c>
      <c r="CQ474" s="1261">
        <f>+CL474*(1+CQ860)</f>
        <v>8270.16</v>
      </c>
      <c r="CR474" s="1261">
        <f>+CM474*(1+CR860)</f>
        <v>8270.16</v>
      </c>
      <c r="CS474" s="1261">
        <f>+CN474*(1+CS860)</f>
        <v>8270.16</v>
      </c>
      <c r="CT474" s="2293">
        <f t="shared" si="670"/>
        <v>8270.16</v>
      </c>
      <c r="CU474" s="752">
        <f>+CT474*(1+CU860)</f>
        <v>8435.5632000000005</v>
      </c>
      <c r="CV474" s="752">
        <f>+CU474*(1+CV860)</f>
        <v>8435.5632000000005</v>
      </c>
      <c r="CW474" s="1201"/>
      <c r="CX474" s="1201"/>
      <c r="CY474" s="1201"/>
      <c r="CZ474" s="1201"/>
      <c r="DA474" s="1201"/>
      <c r="DB474" s="217"/>
      <c r="DF474" s="207"/>
      <c r="DG474" s="207"/>
      <c r="DH474" s="207"/>
      <c r="DI474" s="207"/>
      <c r="DJ474" s="207"/>
      <c r="DK474" s="207"/>
      <c r="DL474" s="207"/>
      <c r="DM474" s="207"/>
      <c r="DN474" s="207"/>
      <c r="DO474" s="207"/>
      <c r="DP474" s="207"/>
      <c r="DQ474" s="207"/>
      <c r="DR474" s="207"/>
      <c r="DS474" s="207"/>
      <c r="DT474" s="207"/>
      <c r="DU474" s="207"/>
      <c r="DV474" s="207"/>
      <c r="DW474" s="207"/>
      <c r="DX474" s="207"/>
      <c r="DY474" s="207"/>
      <c r="DZ474" s="207"/>
      <c r="EA474" s="207"/>
      <c r="EB474" s="207"/>
      <c r="EC474" s="207"/>
      <c r="ED474" s="207"/>
      <c r="EE474" s="207"/>
      <c r="EF474" s="207"/>
      <c r="EG474" s="207"/>
      <c r="EH474" s="207"/>
      <c r="EI474" s="207"/>
      <c r="EJ474" s="207"/>
      <c r="EK474" s="207"/>
      <c r="EL474" s="207"/>
      <c r="EM474" s="207"/>
      <c r="EN474" s="207"/>
      <c r="EO474" s="207"/>
      <c r="EP474" s="207"/>
      <c r="EQ474" s="207"/>
      <c r="ER474" s="207"/>
      <c r="ES474" s="207"/>
      <c r="ET474" s="207"/>
      <c r="EU474" s="207"/>
      <c r="EV474" s="207"/>
      <c r="EW474" s="207"/>
      <c r="EX474" s="207"/>
      <c r="EY474" s="207"/>
      <c r="EZ474" s="207"/>
      <c r="FA474" s="207"/>
      <c r="FB474" s="207"/>
      <c r="FC474" s="207"/>
      <c r="FD474" s="207"/>
      <c r="FE474" s="207"/>
      <c r="FF474" s="207"/>
      <c r="FG474" s="207"/>
      <c r="FH474" s="207"/>
      <c r="FI474" s="207"/>
      <c r="FJ474" s="207"/>
      <c r="FK474" s="207"/>
      <c r="FL474" s="207"/>
      <c r="FM474" s="207"/>
      <c r="FN474" s="207"/>
      <c r="FO474" s="207"/>
      <c r="FP474" s="207"/>
      <c r="FQ474" s="207"/>
      <c r="FR474" s="207"/>
      <c r="FS474" s="207"/>
      <c r="FT474" s="207"/>
      <c r="FU474" s="207"/>
      <c r="FV474" s="207"/>
      <c r="FW474" s="207"/>
      <c r="FX474" s="207"/>
      <c r="FY474" s="207"/>
      <c r="FZ474" s="207"/>
      <c r="GA474" s="207"/>
      <c r="GB474" s="207"/>
      <c r="GC474" s="207"/>
      <c r="GD474" s="207"/>
      <c r="GE474" s="207"/>
      <c r="GF474" s="207"/>
      <c r="GG474" s="207"/>
      <c r="GH474" s="207"/>
      <c r="GI474" s="207"/>
      <c r="GJ474" s="207"/>
      <c r="GK474" s="207"/>
      <c r="GL474" s="207"/>
      <c r="GM474" s="207"/>
      <c r="GN474" s="207"/>
      <c r="GO474" s="207"/>
      <c r="GP474" s="207"/>
      <c r="GQ474" s="207"/>
      <c r="GR474" s="207"/>
      <c r="GS474" s="207"/>
      <c r="GT474" s="207"/>
      <c r="GU474" s="207"/>
      <c r="GV474" s="207"/>
      <c r="GW474" s="207"/>
      <c r="GX474" s="207"/>
      <c r="GY474" s="207"/>
      <c r="GZ474" s="207"/>
      <c r="HA474" s="207"/>
      <c r="HB474" s="207"/>
      <c r="HC474" s="207"/>
      <c r="HD474" s="207"/>
      <c r="HE474" s="207"/>
      <c r="HF474" s="207"/>
      <c r="HG474" s="207"/>
      <c r="HH474" s="207"/>
      <c r="HI474" s="207"/>
      <c r="HJ474" s="207"/>
      <c r="HK474" s="207"/>
      <c r="HL474" s="207"/>
      <c r="HM474" s="207"/>
      <c r="HN474" s="207"/>
      <c r="HO474" s="207"/>
      <c r="HP474" s="207"/>
      <c r="HQ474" s="207"/>
      <c r="HR474" s="207"/>
      <c r="HS474" s="207"/>
      <c r="HT474" s="207"/>
      <c r="HU474" s="207"/>
      <c r="HV474" s="207"/>
      <c r="HW474" s="207"/>
      <c r="HX474" s="207"/>
      <c r="HY474" s="207"/>
      <c r="HZ474" s="207"/>
      <c r="IA474" s="207"/>
      <c r="IB474" s="207"/>
      <c r="IC474" s="207"/>
      <c r="ID474" s="207"/>
      <c r="IE474" s="207"/>
      <c r="IF474" s="207"/>
      <c r="IG474" s="207"/>
      <c r="IH474" s="207"/>
      <c r="II474" s="207"/>
      <c r="IJ474" s="207"/>
      <c r="IK474" s="207"/>
      <c r="IL474" s="207"/>
      <c r="IM474" s="207"/>
      <c r="IN474" s="207"/>
      <c r="IO474" s="207"/>
      <c r="IP474" s="207"/>
      <c r="IQ474" s="207"/>
      <c r="IR474" s="207"/>
      <c r="IS474" s="207"/>
      <c r="IT474" s="207"/>
      <c r="IU474" s="207"/>
      <c r="IV474" s="207"/>
    </row>
    <row r="475" spans="1:256" x14ac:dyDescent="0.2">
      <c r="A475" s="1436" t="s">
        <v>1390</v>
      </c>
      <c r="B475" s="651"/>
      <c r="C475" s="236"/>
      <c r="D475" s="234"/>
      <c r="E475" s="234"/>
      <c r="F475" s="234"/>
      <c r="G475" s="234"/>
      <c r="H475" s="236"/>
      <c r="I475" s="1427">
        <f>+I954-I509</f>
        <v>1196</v>
      </c>
      <c r="J475" s="845">
        <f>+J954-J509</f>
        <v>1227</v>
      </c>
      <c r="K475" s="845">
        <f>+K954-K509</f>
        <v>1363</v>
      </c>
      <c r="L475" s="845">
        <f>+L954-L509</f>
        <v>1941</v>
      </c>
      <c r="M475" s="661">
        <f>L475</f>
        <v>1941</v>
      </c>
      <c r="N475" s="1427">
        <f>+N954-N509</f>
        <v>2461</v>
      </c>
      <c r="O475" s="845">
        <f>+O954-O509</f>
        <v>2461</v>
      </c>
      <c r="P475" s="845">
        <v>2625</v>
      </c>
      <c r="Q475" s="845">
        <v>2625</v>
      </c>
      <c r="R475" s="661">
        <f>Q475</f>
        <v>2625</v>
      </c>
      <c r="S475" s="1427">
        <v>2625</v>
      </c>
      <c r="T475" s="845">
        <v>2625</v>
      </c>
      <c r="U475" s="845">
        <v>2731</v>
      </c>
      <c r="V475" s="845">
        <v>2731</v>
      </c>
      <c r="W475" s="661">
        <f>V475</f>
        <v>2731</v>
      </c>
      <c r="X475" s="1427">
        <v>2731</v>
      </c>
      <c r="Y475" s="845">
        <v>2876</v>
      </c>
      <c r="Z475" s="845">
        <v>3038</v>
      </c>
      <c r="AA475" s="845">
        <v>3438</v>
      </c>
      <c r="AB475" s="661">
        <f>+AA475</f>
        <v>3438</v>
      </c>
      <c r="AC475" s="1427">
        <v>3438</v>
      </c>
      <c r="AD475" s="845">
        <v>3438</v>
      </c>
      <c r="AE475" s="845">
        <v>3658</v>
      </c>
      <c r="AF475" s="845">
        <v>3656</v>
      </c>
      <c r="AG475" s="661">
        <f>+AF475</f>
        <v>3656</v>
      </c>
      <c r="AH475" s="1427">
        <v>3422</v>
      </c>
      <c r="AI475" s="845">
        <v>3422</v>
      </c>
      <c r="AJ475" s="845">
        <v>3422</v>
      </c>
      <c r="AK475" s="845">
        <v>3422</v>
      </c>
      <c r="AL475" s="661">
        <f>+AK475</f>
        <v>3422</v>
      </c>
      <c r="AM475" s="1427">
        <v>3541</v>
      </c>
      <c r="AN475" s="845">
        <v>3541</v>
      </c>
      <c r="AO475" s="845">
        <v>3700</v>
      </c>
      <c r="AP475" s="845">
        <v>3700</v>
      </c>
      <c r="AQ475" s="661">
        <f>+AP475</f>
        <v>3700</v>
      </c>
      <c r="AR475" s="1427">
        <v>3700</v>
      </c>
      <c r="AS475" s="845">
        <v>3817</v>
      </c>
      <c r="AT475" s="845">
        <v>3940</v>
      </c>
      <c r="AU475" s="845">
        <v>3940</v>
      </c>
      <c r="AV475" s="661">
        <f>+AU475</f>
        <v>3940</v>
      </c>
      <c r="AW475" s="1427">
        <v>3940</v>
      </c>
      <c r="AX475" s="845">
        <v>3940</v>
      </c>
      <c r="AY475" s="845">
        <v>4140</v>
      </c>
      <c r="AZ475" s="845">
        <v>4916</v>
      </c>
      <c r="BA475" s="661">
        <f>+AZ475</f>
        <v>4916</v>
      </c>
      <c r="BB475" s="1427">
        <v>4916</v>
      </c>
      <c r="BC475" s="845">
        <v>5035</v>
      </c>
      <c r="BD475" s="845">
        <v>5156</v>
      </c>
      <c r="BE475" s="845">
        <v>5156</v>
      </c>
      <c r="BF475" s="661">
        <f>+BE475</f>
        <v>5156</v>
      </c>
      <c r="BG475" s="1427">
        <v>5156</v>
      </c>
      <c r="BH475" s="845">
        <v>5311</v>
      </c>
      <c r="BI475" s="845">
        <v>5311</v>
      </c>
      <c r="BJ475" s="845">
        <v>5311</v>
      </c>
      <c r="BK475" s="661">
        <f>+BJ475</f>
        <v>5311</v>
      </c>
      <c r="BL475" s="845">
        <v>5311</v>
      </c>
      <c r="BM475" s="845">
        <v>5129</v>
      </c>
      <c r="BN475" s="845">
        <v>4844</v>
      </c>
      <c r="BO475" s="845">
        <v>4545</v>
      </c>
      <c r="BP475" s="752">
        <f t="shared" si="664"/>
        <v>4545</v>
      </c>
      <c r="BQ475" s="756">
        <v>4545</v>
      </c>
      <c r="BR475" s="756">
        <v>4582</v>
      </c>
      <c r="BS475" s="756">
        <v>4582</v>
      </c>
      <c r="BT475" s="845">
        <v>4582</v>
      </c>
      <c r="BU475" s="752">
        <f t="shared" si="665"/>
        <v>4582</v>
      </c>
      <c r="BV475" s="756">
        <v>4582</v>
      </c>
      <c r="BW475" s="756">
        <v>4582</v>
      </c>
      <c r="BX475" s="756">
        <v>4582</v>
      </c>
      <c r="BY475" s="756">
        <v>4450</v>
      </c>
      <c r="BZ475" s="752">
        <f t="shared" si="666"/>
        <v>4450</v>
      </c>
      <c r="CA475" s="756">
        <v>4550</v>
      </c>
      <c r="CB475" s="756">
        <v>4550</v>
      </c>
      <c r="CC475" s="756">
        <v>4720</v>
      </c>
      <c r="CD475" s="756">
        <v>4720</v>
      </c>
      <c r="CE475" s="752">
        <f t="shared" si="667"/>
        <v>4720</v>
      </c>
      <c r="CF475" s="756">
        <v>4973</v>
      </c>
      <c r="CG475" s="756">
        <v>4973</v>
      </c>
      <c r="CH475" s="756">
        <v>4973</v>
      </c>
      <c r="CI475" s="756">
        <v>4854</v>
      </c>
      <c r="CJ475" s="752">
        <f t="shared" si="668"/>
        <v>4854</v>
      </c>
      <c r="CK475" s="3518">
        <v>4854</v>
      </c>
      <c r="CL475" s="3518">
        <v>4854</v>
      </c>
      <c r="CM475" s="3518">
        <v>4854</v>
      </c>
      <c r="CN475" s="3518">
        <v>4854</v>
      </c>
      <c r="CO475" s="1616">
        <f t="shared" si="669"/>
        <v>4854</v>
      </c>
      <c r="CP475" s="1261">
        <f t="shared" ref="CP475:CS476" si="672">+CK475*(1+CP$866)</f>
        <v>4951.08</v>
      </c>
      <c r="CQ475" s="1261">
        <f t="shared" si="672"/>
        <v>4951.08</v>
      </c>
      <c r="CR475" s="1261">
        <f t="shared" si="672"/>
        <v>4951.08</v>
      </c>
      <c r="CS475" s="1261">
        <f t="shared" si="672"/>
        <v>4951.08</v>
      </c>
      <c r="CT475" s="2293">
        <f t="shared" si="670"/>
        <v>4951.08</v>
      </c>
      <c r="CU475" s="752">
        <f>+CT475*(1+CU$866)</f>
        <v>5223.3894</v>
      </c>
      <c r="CV475" s="752">
        <f>+CU475*(1+CV$866)</f>
        <v>5327.857188</v>
      </c>
      <c r="CW475" s="1201"/>
      <c r="CX475" s="1201"/>
      <c r="CY475" s="1201"/>
      <c r="CZ475" s="1201"/>
      <c r="DA475" s="1201"/>
      <c r="DB475" s="217"/>
      <c r="DF475" s="207"/>
      <c r="DG475" s="207"/>
      <c r="DH475" s="207"/>
      <c r="DI475" s="207"/>
      <c r="DJ475" s="207"/>
      <c r="DK475" s="207"/>
      <c r="DL475" s="207"/>
      <c r="DM475" s="207"/>
      <c r="DN475" s="207"/>
      <c r="DO475" s="207"/>
      <c r="DP475" s="207"/>
      <c r="DQ475" s="207"/>
      <c r="DR475" s="207"/>
      <c r="DS475" s="207"/>
      <c r="DT475" s="207"/>
      <c r="DU475" s="207"/>
      <c r="DV475" s="207"/>
      <c r="DW475" s="207"/>
      <c r="DX475" s="207"/>
      <c r="DY475" s="207"/>
      <c r="DZ475" s="207"/>
      <c r="EA475" s="207"/>
      <c r="EB475" s="207"/>
      <c r="EC475" s="207"/>
      <c r="ED475" s="207"/>
      <c r="EE475" s="207"/>
      <c r="EF475" s="207"/>
      <c r="EG475" s="207"/>
      <c r="EH475" s="207"/>
      <c r="EI475" s="207"/>
      <c r="EJ475" s="207"/>
      <c r="EK475" s="207"/>
      <c r="EL475" s="207"/>
      <c r="EM475" s="207"/>
      <c r="EN475" s="207"/>
      <c r="EO475" s="207"/>
      <c r="EP475" s="207"/>
      <c r="EQ475" s="207"/>
      <c r="ER475" s="207"/>
      <c r="ES475" s="207"/>
      <c r="ET475" s="207"/>
      <c r="EU475" s="207"/>
      <c r="EV475" s="207"/>
      <c r="EW475" s="207"/>
      <c r="EX475" s="207"/>
      <c r="EY475" s="207"/>
      <c r="EZ475" s="207"/>
      <c r="FA475" s="207"/>
      <c r="FB475" s="207"/>
      <c r="FC475" s="207"/>
      <c r="FD475" s="207"/>
      <c r="FE475" s="207"/>
      <c r="FF475" s="207"/>
      <c r="FG475" s="207"/>
      <c r="FH475" s="207"/>
      <c r="FI475" s="207"/>
      <c r="FJ475" s="207"/>
      <c r="FK475" s="207"/>
      <c r="FL475" s="207"/>
      <c r="FM475" s="207"/>
      <c r="FN475" s="207"/>
      <c r="FO475" s="207"/>
      <c r="FP475" s="207"/>
      <c r="FQ475" s="207"/>
      <c r="FR475" s="207"/>
      <c r="FS475" s="207"/>
      <c r="FT475" s="207"/>
      <c r="FU475" s="207"/>
      <c r="FV475" s="207"/>
      <c r="FW475" s="207"/>
      <c r="FX475" s="207"/>
      <c r="FY475" s="207"/>
      <c r="FZ475" s="207"/>
      <c r="GA475" s="207"/>
      <c r="GB475" s="207"/>
      <c r="GC475" s="207"/>
      <c r="GD475" s="207"/>
      <c r="GE475" s="207"/>
      <c r="GF475" s="207"/>
      <c r="GG475" s="207"/>
      <c r="GH475" s="207"/>
      <c r="GI475" s="207"/>
      <c r="GJ475" s="207"/>
      <c r="GK475" s="207"/>
      <c r="GL475" s="207"/>
      <c r="GM475" s="207"/>
      <c r="GN475" s="207"/>
      <c r="GO475" s="207"/>
      <c r="GP475" s="207"/>
      <c r="GQ475" s="207"/>
      <c r="GR475" s="207"/>
      <c r="GS475" s="207"/>
      <c r="GT475" s="207"/>
      <c r="GU475" s="207"/>
      <c r="GV475" s="207"/>
      <c r="GW475" s="207"/>
      <c r="GX475" s="207"/>
      <c r="GY475" s="207"/>
      <c r="GZ475" s="207"/>
      <c r="HA475" s="207"/>
      <c r="HB475" s="207"/>
      <c r="HC475" s="207"/>
      <c r="HD475" s="207"/>
      <c r="HE475" s="207"/>
      <c r="HF475" s="207"/>
      <c r="HG475" s="207"/>
      <c r="HH475" s="207"/>
      <c r="HI475" s="207"/>
      <c r="HJ475" s="207"/>
      <c r="HK475" s="207"/>
      <c r="HL475" s="207"/>
      <c r="HM475" s="207"/>
      <c r="HN475" s="207"/>
      <c r="HO475" s="207"/>
      <c r="HP475" s="207"/>
      <c r="HQ475" s="207"/>
      <c r="HR475" s="207"/>
      <c r="HS475" s="207"/>
      <c r="HT475" s="207"/>
      <c r="HU475" s="207"/>
      <c r="HV475" s="207"/>
      <c r="HW475" s="207"/>
      <c r="HX475" s="207"/>
      <c r="HY475" s="207"/>
      <c r="HZ475" s="207"/>
      <c r="IA475" s="207"/>
      <c r="IB475" s="207"/>
      <c r="IC475" s="207"/>
      <c r="ID475" s="207"/>
      <c r="IE475" s="207"/>
      <c r="IF475" s="207"/>
      <c r="IG475" s="207"/>
      <c r="IH475" s="207"/>
      <c r="II475" s="207"/>
      <c r="IJ475" s="207"/>
      <c r="IK475" s="207"/>
      <c r="IL475" s="207"/>
      <c r="IM475" s="207"/>
      <c r="IN475" s="207"/>
      <c r="IO475" s="207"/>
      <c r="IP475" s="207"/>
      <c r="IQ475" s="207"/>
      <c r="IR475" s="207"/>
      <c r="IS475" s="207"/>
      <c r="IT475" s="207"/>
      <c r="IU475" s="207"/>
      <c r="IV475" s="207"/>
    </row>
    <row r="476" spans="1:256" s="207" customFormat="1" x14ac:dyDescent="0.2">
      <c r="A476" s="1436" t="s">
        <v>650</v>
      </c>
      <c r="B476" s="651"/>
      <c r="C476" s="236"/>
      <c r="D476" s="234"/>
      <c r="E476" s="234"/>
      <c r="F476" s="234"/>
      <c r="G476" s="234"/>
      <c r="H476" s="236"/>
      <c r="I476" s="1427">
        <v>0</v>
      </c>
      <c r="J476" s="845">
        <v>0</v>
      </c>
      <c r="K476" s="845">
        <v>0</v>
      </c>
      <c r="L476" s="845">
        <v>0</v>
      </c>
      <c r="M476" s="661">
        <v>0</v>
      </c>
      <c r="N476" s="1427">
        <v>0</v>
      </c>
      <c r="O476" s="845">
        <v>0</v>
      </c>
      <c r="P476" s="845">
        <v>0</v>
      </c>
      <c r="Q476" s="845">
        <v>0</v>
      </c>
      <c r="R476" s="661">
        <v>0</v>
      </c>
      <c r="S476" s="1427">
        <v>0</v>
      </c>
      <c r="T476" s="845">
        <v>0</v>
      </c>
      <c r="U476" s="845">
        <v>0</v>
      </c>
      <c r="V476" s="845">
        <v>0</v>
      </c>
      <c r="W476" s="661">
        <v>0</v>
      </c>
      <c r="X476" s="1427">
        <v>0</v>
      </c>
      <c r="Y476" s="845">
        <v>0</v>
      </c>
      <c r="Z476" s="845">
        <v>0</v>
      </c>
      <c r="AA476" s="845">
        <v>0</v>
      </c>
      <c r="AB476" s="661">
        <v>0</v>
      </c>
      <c r="AC476" s="1427">
        <v>0</v>
      </c>
      <c r="AD476" s="845">
        <v>0</v>
      </c>
      <c r="AE476" s="845">
        <v>0</v>
      </c>
      <c r="AF476" s="845">
        <v>0</v>
      </c>
      <c r="AG476" s="661">
        <v>0</v>
      </c>
      <c r="AH476" s="1427">
        <v>0</v>
      </c>
      <c r="AI476" s="845">
        <v>0</v>
      </c>
      <c r="AJ476" s="845">
        <v>0</v>
      </c>
      <c r="AK476" s="845">
        <v>0</v>
      </c>
      <c r="AL476" s="661">
        <v>0</v>
      </c>
      <c r="AM476" s="1427">
        <v>0</v>
      </c>
      <c r="AN476" s="845">
        <v>0</v>
      </c>
      <c r="AO476" s="845">
        <v>0</v>
      </c>
      <c r="AP476" s="845">
        <v>0</v>
      </c>
      <c r="AQ476" s="661">
        <v>0</v>
      </c>
      <c r="AR476" s="1427">
        <v>0</v>
      </c>
      <c r="AS476" s="845">
        <v>0</v>
      </c>
      <c r="AT476" s="845">
        <v>0</v>
      </c>
      <c r="AU476" s="845">
        <v>0</v>
      </c>
      <c r="AV476" s="661">
        <v>0</v>
      </c>
      <c r="AW476" s="1427">
        <v>0</v>
      </c>
      <c r="AX476" s="845">
        <v>0</v>
      </c>
      <c r="AY476" s="845">
        <v>0</v>
      </c>
      <c r="AZ476" s="845">
        <v>0</v>
      </c>
      <c r="BA476" s="661">
        <v>0</v>
      </c>
      <c r="BB476" s="1427">
        <v>0</v>
      </c>
      <c r="BC476" s="845">
        <v>0</v>
      </c>
      <c r="BD476" s="845">
        <v>0</v>
      </c>
      <c r="BE476" s="845">
        <v>0</v>
      </c>
      <c r="BF476" s="661">
        <v>0</v>
      </c>
      <c r="BG476" s="1427">
        <v>0</v>
      </c>
      <c r="BH476" s="845">
        <v>0</v>
      </c>
      <c r="BI476" s="845">
        <v>0</v>
      </c>
      <c r="BJ476" s="845">
        <v>0</v>
      </c>
      <c r="BK476" s="661">
        <v>0</v>
      </c>
      <c r="BL476" s="845">
        <v>0</v>
      </c>
      <c r="BM476" s="845">
        <v>0</v>
      </c>
      <c r="BN476" s="845">
        <v>0</v>
      </c>
      <c r="BO476" s="845">
        <v>0</v>
      </c>
      <c r="BP476" s="661">
        <f t="shared" si="664"/>
        <v>0</v>
      </c>
      <c r="BQ476" s="1261">
        <v>0</v>
      </c>
      <c r="BR476" s="1261">
        <v>0</v>
      </c>
      <c r="BS476" s="1261">
        <v>0</v>
      </c>
      <c r="BT476" s="845">
        <v>0</v>
      </c>
      <c r="BU476" s="661">
        <f t="shared" si="665"/>
        <v>0</v>
      </c>
      <c r="BV476" s="1261">
        <v>0</v>
      </c>
      <c r="BW476" s="1261"/>
      <c r="BX476" s="1261"/>
      <c r="BY476" s="1261"/>
      <c r="BZ476" s="752"/>
      <c r="CA476" s="2686"/>
      <c r="CB476" s="2686"/>
      <c r="CC476" s="2686">
        <f>+CB476*(1+CC$867)</f>
        <v>0</v>
      </c>
      <c r="CD476" s="2686">
        <f>+CC476*(1+CD$867)</f>
        <v>0</v>
      </c>
      <c r="CE476" s="752">
        <f>+CD476</f>
        <v>0</v>
      </c>
      <c r="CF476" s="756">
        <v>0</v>
      </c>
      <c r="CG476" s="756">
        <v>0</v>
      </c>
      <c r="CH476" s="756">
        <v>0</v>
      </c>
      <c r="CI476" s="756">
        <v>0</v>
      </c>
      <c r="CJ476" s="752">
        <f t="shared" si="668"/>
        <v>0</v>
      </c>
      <c r="CK476" s="3518">
        <v>0</v>
      </c>
      <c r="CL476" s="3518">
        <f t="shared" ref="CL476:CN476" si="673">+CK476*(1+CL$867)</f>
        <v>0</v>
      </c>
      <c r="CM476" s="3518">
        <f t="shared" si="673"/>
        <v>0</v>
      </c>
      <c r="CN476" s="3518">
        <f t="shared" si="673"/>
        <v>0</v>
      </c>
      <c r="CO476" s="1616">
        <f t="shared" si="669"/>
        <v>0</v>
      </c>
      <c r="CP476" s="1261">
        <f t="shared" si="672"/>
        <v>0</v>
      </c>
      <c r="CQ476" s="1261">
        <f t="shared" si="672"/>
        <v>0</v>
      </c>
      <c r="CR476" s="1261">
        <f t="shared" si="672"/>
        <v>0</v>
      </c>
      <c r="CS476" s="1261">
        <f t="shared" si="672"/>
        <v>0</v>
      </c>
      <c r="CT476" s="2293">
        <f t="shared" si="670"/>
        <v>0</v>
      </c>
      <c r="CU476" s="752">
        <f>+CT476*(1+CU$866)</f>
        <v>0</v>
      </c>
      <c r="CV476" s="752">
        <f>+CU476*(1+CV$866)</f>
        <v>0</v>
      </c>
      <c r="CW476" s="374"/>
      <c r="CX476" s="374"/>
      <c r="CY476" s="374"/>
      <c r="CZ476" s="374"/>
      <c r="DA476" s="374"/>
      <c r="DB476" s="217"/>
      <c r="DC476" s="212"/>
      <c r="DD476" s="212"/>
      <c r="DE476" s="70"/>
      <c r="DF476" s="70"/>
      <c r="DG476" s="70"/>
      <c r="DH476" s="70"/>
      <c r="DI476" s="70"/>
      <c r="DJ476" s="70"/>
      <c r="DK476" s="70"/>
      <c r="DL476" s="70"/>
      <c r="DM476" s="70"/>
      <c r="DN476" s="70"/>
      <c r="DO476" s="70"/>
      <c r="DP476" s="70"/>
      <c r="DQ476" s="70"/>
      <c r="DR476" s="70"/>
      <c r="DS476" s="70"/>
      <c r="DT476" s="70"/>
      <c r="DU476" s="70"/>
      <c r="DV476" s="70"/>
      <c r="DW476" s="70"/>
      <c r="DX476" s="70"/>
      <c r="DY476" s="70"/>
      <c r="DZ476" s="70"/>
      <c r="EA476" s="70"/>
      <c r="EB476" s="70"/>
      <c r="EC476" s="70"/>
      <c r="ED476" s="70"/>
      <c r="EE476" s="70"/>
      <c r="EF476" s="70"/>
      <c r="EG476" s="70"/>
      <c r="EH476" s="70"/>
      <c r="EI476" s="70"/>
      <c r="EJ476" s="70"/>
      <c r="EK476" s="70"/>
      <c r="EL476" s="70"/>
      <c r="EM476" s="70"/>
      <c r="EN476" s="70"/>
      <c r="EO476" s="70"/>
      <c r="EP476" s="70"/>
      <c r="EQ476" s="70"/>
      <c r="ER476" s="70"/>
      <c r="ES476" s="70"/>
      <c r="ET476" s="70"/>
      <c r="EU476" s="70"/>
      <c r="EV476" s="70"/>
      <c r="EW476" s="70"/>
      <c r="EX476" s="70"/>
      <c r="EY476" s="70"/>
      <c r="EZ476" s="70"/>
      <c r="FA476" s="70"/>
      <c r="FB476" s="70"/>
      <c r="FC476" s="70"/>
      <c r="FD476" s="70"/>
      <c r="FE476" s="70"/>
      <c r="FF476" s="70"/>
      <c r="FG476" s="70"/>
      <c r="FH476" s="70"/>
      <c r="FI476" s="70"/>
      <c r="FJ476" s="70"/>
      <c r="FK476" s="70"/>
      <c r="FL476" s="70"/>
      <c r="FM476" s="70"/>
      <c r="FN476" s="70"/>
      <c r="FO476" s="70"/>
      <c r="FP476" s="70"/>
      <c r="FQ476" s="70"/>
      <c r="FR476" s="70"/>
      <c r="FS476" s="70"/>
      <c r="FT476" s="70"/>
      <c r="FU476" s="70"/>
      <c r="FV476" s="70"/>
      <c r="FW476" s="70"/>
      <c r="FX476" s="70"/>
      <c r="FY476" s="70"/>
      <c r="FZ476" s="70"/>
      <c r="GA476" s="70"/>
      <c r="GB476" s="70"/>
      <c r="GC476" s="70"/>
      <c r="GD476" s="70"/>
      <c r="GE476" s="70"/>
      <c r="GF476" s="70"/>
      <c r="GG476" s="70"/>
      <c r="GH476" s="70"/>
      <c r="GI476" s="70"/>
      <c r="GJ476" s="70"/>
      <c r="GK476" s="70"/>
      <c r="GL476" s="70"/>
      <c r="GM476" s="70"/>
      <c r="GN476" s="70"/>
      <c r="GO476" s="70"/>
      <c r="GP476" s="70"/>
      <c r="GQ476" s="70"/>
      <c r="GR476" s="70"/>
      <c r="GS476" s="70"/>
      <c r="GT476" s="70"/>
      <c r="GU476" s="70"/>
      <c r="GV476" s="70"/>
      <c r="GW476" s="70"/>
      <c r="GX476" s="70"/>
      <c r="GY476" s="70"/>
      <c r="GZ476" s="70"/>
      <c r="HA476" s="70"/>
      <c r="HB476" s="70"/>
      <c r="HC476" s="70"/>
      <c r="HD476" s="70"/>
      <c r="HE476" s="70"/>
      <c r="HF476" s="70"/>
      <c r="HG476" s="70"/>
      <c r="HH476" s="70"/>
      <c r="HI476" s="70"/>
      <c r="HJ476" s="70"/>
      <c r="HK476" s="70"/>
      <c r="HL476" s="70"/>
      <c r="HM476" s="70"/>
      <c r="HN476" s="70"/>
      <c r="HO476" s="70"/>
      <c r="HP476" s="70"/>
      <c r="HQ476" s="70"/>
      <c r="HR476" s="70"/>
      <c r="HS476" s="70"/>
      <c r="HT476" s="70"/>
      <c r="HU476" s="70"/>
      <c r="HV476" s="70"/>
      <c r="HW476" s="70"/>
      <c r="HX476" s="70"/>
      <c r="HY476" s="70"/>
      <c r="HZ476" s="70"/>
      <c r="IA476" s="70"/>
      <c r="IB476" s="70"/>
      <c r="IC476" s="70"/>
      <c r="ID476" s="70"/>
      <c r="IE476" s="70"/>
      <c r="IF476" s="70"/>
      <c r="IG476" s="70"/>
      <c r="IH476" s="70"/>
      <c r="II476" s="70"/>
      <c r="IJ476" s="70"/>
      <c r="IK476" s="70"/>
      <c r="IL476" s="70"/>
      <c r="IM476" s="70"/>
      <c r="IN476" s="70"/>
      <c r="IO476" s="70"/>
      <c r="IP476" s="70"/>
      <c r="IQ476" s="70"/>
      <c r="IR476" s="70"/>
      <c r="IS476" s="70"/>
      <c r="IT476" s="70"/>
      <c r="IU476" s="70"/>
      <c r="IV476" s="70"/>
    </row>
    <row r="477" spans="1:256" s="207" customFormat="1" x14ac:dyDescent="0.2">
      <c r="A477" s="2288" t="s">
        <v>2285</v>
      </c>
      <c r="B477" s="651"/>
      <c r="C477" s="236"/>
      <c r="D477" s="234"/>
      <c r="E477" s="234"/>
      <c r="F477" s="234"/>
      <c r="G477" s="234"/>
      <c r="H477" s="236"/>
      <c r="I477" s="1427"/>
      <c r="J477" s="845"/>
      <c r="K477" s="845"/>
      <c r="L477" s="845"/>
      <c r="M477" s="661"/>
      <c r="N477" s="1427"/>
      <c r="O477" s="845"/>
      <c r="P477" s="845"/>
      <c r="Q477" s="845"/>
      <c r="R477" s="661"/>
      <c r="S477" s="1427"/>
      <c r="T477" s="845"/>
      <c r="U477" s="845"/>
      <c r="V477" s="845"/>
      <c r="W477" s="661"/>
      <c r="X477" s="1427"/>
      <c r="Y477" s="845"/>
      <c r="Z477" s="845"/>
      <c r="AA477" s="845"/>
      <c r="AB477" s="661"/>
      <c r="AC477" s="1427"/>
      <c r="AD477" s="845"/>
      <c r="AE477" s="845"/>
      <c r="AF477" s="845"/>
      <c r="AG477" s="661"/>
      <c r="AH477" s="1427"/>
      <c r="AI477" s="845"/>
      <c r="AJ477" s="845"/>
      <c r="AK477" s="845"/>
      <c r="AL477" s="661"/>
      <c r="AM477" s="1427"/>
      <c r="AN477" s="845"/>
      <c r="AO477" s="845"/>
      <c r="AP477" s="845"/>
      <c r="AQ477" s="661"/>
      <c r="AR477" s="1427"/>
      <c r="AS477" s="845"/>
      <c r="AT477" s="845"/>
      <c r="AU477" s="845"/>
      <c r="AV477" s="661"/>
      <c r="AW477" s="1427"/>
      <c r="AX477" s="845"/>
      <c r="AY477" s="845"/>
      <c r="AZ477" s="845"/>
      <c r="BA477" s="661"/>
      <c r="BB477" s="1427"/>
      <c r="BC477" s="845"/>
      <c r="BD477" s="845"/>
      <c r="BE477" s="845"/>
      <c r="BF477" s="661"/>
      <c r="BG477" s="1427"/>
      <c r="BH477" s="845"/>
      <c r="BI477" s="845"/>
      <c r="BJ477" s="845"/>
      <c r="BK477" s="661"/>
      <c r="BL477" s="845"/>
      <c r="BM477" s="845"/>
      <c r="BN477" s="845"/>
      <c r="BO477" s="845"/>
      <c r="BP477" s="661"/>
      <c r="BQ477" s="1261"/>
      <c r="BR477" s="1261"/>
      <c r="BS477" s="1261"/>
      <c r="BT477" s="845"/>
      <c r="BU477" s="661"/>
      <c r="BV477" s="1261"/>
      <c r="BW477" s="1261"/>
      <c r="BX477" s="1261"/>
      <c r="BY477" s="1261"/>
      <c r="BZ477" s="752"/>
      <c r="CA477" s="1261"/>
      <c r="CB477" s="1231">
        <v>7246</v>
      </c>
      <c r="CC477" s="1231">
        <v>6829</v>
      </c>
      <c r="CD477" s="1231">
        <v>6828</v>
      </c>
      <c r="CE477" s="752">
        <f t="shared" si="667"/>
        <v>6828</v>
      </c>
      <c r="CF477" s="756">
        <v>6764</v>
      </c>
      <c r="CG477" s="756">
        <v>6764</v>
      </c>
      <c r="CH477" s="756">
        <v>6764</v>
      </c>
      <c r="CI477" s="756">
        <v>6764</v>
      </c>
      <c r="CJ477" s="752">
        <f>CI477</f>
        <v>6764</v>
      </c>
      <c r="CK477" s="3518">
        <v>6764</v>
      </c>
      <c r="CL477" s="3518">
        <v>6764</v>
      </c>
      <c r="CM477" s="3518">
        <v>6764</v>
      </c>
      <c r="CN477" s="3518">
        <v>6764</v>
      </c>
      <c r="CO477" s="1616">
        <f>CN477</f>
        <v>6764</v>
      </c>
      <c r="CP477" s="1261">
        <f>+CK477*(1+CP$860)</f>
        <v>6899.28</v>
      </c>
      <c r="CQ477" s="1261">
        <f>+CL477*(1+CQ$860)</f>
        <v>6899.28</v>
      </c>
      <c r="CR477" s="1261">
        <f>+CM477*(1+CR$860)</f>
        <v>6899.28</v>
      </c>
      <c r="CS477" s="1261">
        <f>+CN477*(1+CS$860)</f>
        <v>6899.28</v>
      </c>
      <c r="CT477" s="2293">
        <f>CS477</f>
        <v>6899.28</v>
      </c>
      <c r="CU477" s="752">
        <f>+CT477*(1+CU$860)</f>
        <v>7037.2655999999997</v>
      </c>
      <c r="CV477" s="752">
        <f>+CU477*(1+CV$860)</f>
        <v>7037.2655999999997</v>
      </c>
      <c r="CW477" s="374"/>
      <c r="CX477" s="374"/>
      <c r="CY477" s="374"/>
      <c r="CZ477" s="374"/>
      <c r="DA477" s="374"/>
      <c r="DB477" s="217"/>
      <c r="DC477" s="212"/>
      <c r="DD477" s="212"/>
      <c r="DE477" s="70"/>
      <c r="DF477" s="70"/>
      <c r="DG477" s="70"/>
      <c r="DH477" s="70"/>
      <c r="DI477" s="70"/>
      <c r="DJ477" s="70"/>
      <c r="DK477" s="70"/>
      <c r="DL477" s="70"/>
      <c r="DM477" s="70"/>
      <c r="DN477" s="70"/>
      <c r="DO477" s="70"/>
      <c r="DP477" s="70"/>
      <c r="DQ477" s="70"/>
      <c r="DR477" s="70"/>
      <c r="DS477" s="70"/>
      <c r="DT477" s="70"/>
      <c r="DU477" s="70"/>
      <c r="DV477" s="70"/>
      <c r="DW477" s="70"/>
      <c r="DX477" s="70"/>
      <c r="DY477" s="70"/>
      <c r="DZ477" s="70"/>
      <c r="EA477" s="70"/>
      <c r="EB477" s="70"/>
      <c r="EC477" s="70"/>
      <c r="ED477" s="70"/>
      <c r="EE477" s="70"/>
      <c r="EF477" s="70"/>
      <c r="EG477" s="70"/>
      <c r="EH477" s="70"/>
      <c r="EI477" s="70"/>
      <c r="EJ477" s="70"/>
      <c r="EK477" s="70"/>
      <c r="EL477" s="70"/>
      <c r="EM477" s="70"/>
      <c r="EN477" s="70"/>
      <c r="EO477" s="70"/>
      <c r="EP477" s="70"/>
      <c r="EQ477" s="70"/>
      <c r="ER477" s="70"/>
      <c r="ES477" s="70"/>
      <c r="ET477" s="70"/>
      <c r="EU477" s="70"/>
      <c r="EV477" s="70"/>
      <c r="EW477" s="70"/>
      <c r="EX477" s="70"/>
      <c r="EY477" s="70"/>
      <c r="EZ477" s="70"/>
      <c r="FA477" s="70"/>
      <c r="FB477" s="70"/>
      <c r="FC477" s="70"/>
      <c r="FD477" s="70"/>
      <c r="FE477" s="70"/>
      <c r="FF477" s="70"/>
      <c r="FG477" s="70"/>
      <c r="FH477" s="70"/>
      <c r="FI477" s="70"/>
      <c r="FJ477" s="70"/>
      <c r="FK477" s="70"/>
      <c r="FL477" s="70"/>
      <c r="FM477" s="70"/>
      <c r="FN477" s="70"/>
      <c r="FO477" s="70"/>
      <c r="FP477" s="70"/>
      <c r="FQ477" s="70"/>
      <c r="FR477" s="70"/>
      <c r="FS477" s="70"/>
      <c r="FT477" s="70"/>
      <c r="FU477" s="70"/>
      <c r="FV477" s="70"/>
      <c r="FW477" s="70"/>
      <c r="FX477" s="70"/>
      <c r="FY477" s="70"/>
      <c r="FZ477" s="70"/>
      <c r="GA477" s="70"/>
      <c r="GB477" s="70"/>
      <c r="GC477" s="70"/>
      <c r="GD477" s="70"/>
      <c r="GE477" s="70"/>
      <c r="GF477" s="70"/>
      <c r="GG477" s="70"/>
      <c r="GH477" s="70"/>
      <c r="GI477" s="70"/>
      <c r="GJ477" s="70"/>
      <c r="GK477" s="70"/>
      <c r="GL477" s="70"/>
      <c r="GM477" s="70"/>
      <c r="GN477" s="70"/>
      <c r="GO477" s="70"/>
      <c r="GP477" s="70"/>
      <c r="GQ477" s="70"/>
      <c r="GR477" s="70"/>
      <c r="GS477" s="70"/>
      <c r="GT477" s="70"/>
      <c r="GU477" s="70"/>
      <c r="GV477" s="70"/>
      <c r="GW477" s="70"/>
      <c r="GX477" s="70"/>
      <c r="GY477" s="70"/>
      <c r="GZ477" s="70"/>
      <c r="HA477" s="70"/>
      <c r="HB477" s="70"/>
      <c r="HC477" s="70"/>
      <c r="HD477" s="70"/>
      <c r="HE477" s="70"/>
      <c r="HF477" s="70"/>
      <c r="HG477" s="70"/>
      <c r="HH477" s="70"/>
      <c r="HI477" s="70"/>
      <c r="HJ477" s="70"/>
      <c r="HK477" s="70"/>
      <c r="HL477" s="70"/>
      <c r="HM477" s="70"/>
      <c r="HN477" s="70"/>
      <c r="HO477" s="70"/>
      <c r="HP477" s="70"/>
      <c r="HQ477" s="70"/>
      <c r="HR477" s="70"/>
      <c r="HS477" s="70"/>
      <c r="HT477" s="70"/>
      <c r="HU477" s="70"/>
      <c r="HV477" s="70"/>
      <c r="HW477" s="70"/>
      <c r="HX477" s="70"/>
      <c r="HY477" s="70"/>
      <c r="HZ477" s="70"/>
      <c r="IA477" s="70"/>
      <c r="IB477" s="70"/>
      <c r="IC477" s="70"/>
      <c r="ID477" s="70"/>
      <c r="IE477" s="70"/>
      <c r="IF477" s="70"/>
      <c r="IG477" s="70"/>
      <c r="IH477" s="70"/>
      <c r="II477" s="70"/>
      <c r="IJ477" s="70"/>
      <c r="IK477" s="70"/>
      <c r="IL477" s="70"/>
      <c r="IM477" s="70"/>
      <c r="IN477" s="70"/>
      <c r="IO477" s="70"/>
      <c r="IP477" s="70"/>
      <c r="IQ477" s="70"/>
      <c r="IR477" s="70"/>
      <c r="IS477" s="70"/>
      <c r="IT477" s="70"/>
      <c r="IU477" s="70"/>
      <c r="IV477" s="70"/>
    </row>
    <row r="478" spans="1:256" s="2434" customFormat="1" x14ac:dyDescent="0.2">
      <c r="A478" s="2288" t="s">
        <v>384</v>
      </c>
      <c r="B478" s="2400"/>
      <c r="C478" s="2401"/>
      <c r="D478" s="2402"/>
      <c r="E478" s="2402"/>
      <c r="F478" s="2402"/>
      <c r="G478" s="2402"/>
      <c r="H478" s="2401"/>
      <c r="I478" s="1427">
        <v>0</v>
      </c>
      <c r="J478" s="845">
        <v>0</v>
      </c>
      <c r="K478" s="845">
        <v>0</v>
      </c>
      <c r="L478" s="845">
        <v>0</v>
      </c>
      <c r="M478" s="2293">
        <v>0</v>
      </c>
      <c r="N478" s="1427">
        <v>0</v>
      </c>
      <c r="O478" s="845">
        <v>0</v>
      </c>
      <c r="P478" s="845">
        <v>0</v>
      </c>
      <c r="Q478" s="845">
        <v>0</v>
      </c>
      <c r="R478" s="2293">
        <v>0</v>
      </c>
      <c r="S478" s="1427">
        <v>0</v>
      </c>
      <c r="T478" s="845">
        <v>0</v>
      </c>
      <c r="U478" s="845">
        <v>0</v>
      </c>
      <c r="V478" s="845">
        <v>0</v>
      </c>
      <c r="W478" s="2293">
        <v>0</v>
      </c>
      <c r="X478" s="1427">
        <v>0</v>
      </c>
      <c r="Y478" s="845">
        <v>0</v>
      </c>
      <c r="Z478" s="845">
        <v>0</v>
      </c>
      <c r="AA478" s="845">
        <v>0</v>
      </c>
      <c r="AB478" s="2293">
        <v>0</v>
      </c>
      <c r="AC478" s="1427">
        <v>0</v>
      </c>
      <c r="AD478" s="845">
        <v>0</v>
      </c>
      <c r="AE478" s="845">
        <v>0</v>
      </c>
      <c r="AF478" s="845">
        <v>0</v>
      </c>
      <c r="AG478" s="2293">
        <v>0</v>
      </c>
      <c r="AH478" s="1427">
        <v>0</v>
      </c>
      <c r="AI478" s="845">
        <v>0</v>
      </c>
      <c r="AJ478" s="845">
        <v>0</v>
      </c>
      <c r="AK478" s="845">
        <v>0</v>
      </c>
      <c r="AL478" s="2293">
        <v>0</v>
      </c>
      <c r="AM478" s="1427">
        <v>0</v>
      </c>
      <c r="AN478" s="845">
        <v>0</v>
      </c>
      <c r="AO478" s="845">
        <v>0</v>
      </c>
      <c r="AP478" s="845">
        <v>0</v>
      </c>
      <c r="AQ478" s="2293">
        <v>0</v>
      </c>
      <c r="AR478" s="1427">
        <v>0</v>
      </c>
      <c r="AS478" s="845">
        <v>0</v>
      </c>
      <c r="AT478" s="845">
        <v>0</v>
      </c>
      <c r="AU478" s="845">
        <v>0</v>
      </c>
      <c r="AV478" s="2293">
        <v>0</v>
      </c>
      <c r="AW478" s="1427">
        <v>0</v>
      </c>
      <c r="AX478" s="845">
        <v>0</v>
      </c>
      <c r="AY478" s="845">
        <v>0</v>
      </c>
      <c r="AZ478" s="845">
        <v>0</v>
      </c>
      <c r="BA478" s="2293">
        <v>0</v>
      </c>
      <c r="BB478" s="1427">
        <v>0</v>
      </c>
      <c r="BC478" s="845">
        <v>0</v>
      </c>
      <c r="BD478" s="845">
        <v>0</v>
      </c>
      <c r="BE478" s="845">
        <v>0</v>
      </c>
      <c r="BF478" s="2293">
        <v>0</v>
      </c>
      <c r="BG478" s="1427">
        <v>0</v>
      </c>
      <c r="BH478" s="845">
        <v>0</v>
      </c>
      <c r="BI478" s="845">
        <v>0</v>
      </c>
      <c r="BJ478" s="845">
        <v>0</v>
      </c>
      <c r="BK478" s="2293">
        <v>0</v>
      </c>
      <c r="BL478" s="845">
        <v>0</v>
      </c>
      <c r="BM478" s="845">
        <v>0</v>
      </c>
      <c r="BN478" s="845">
        <v>0</v>
      </c>
      <c r="BO478" s="845">
        <v>0</v>
      </c>
      <c r="BP478" s="2293">
        <f t="shared" si="664"/>
        <v>0</v>
      </c>
      <c r="BQ478" s="845">
        <v>0</v>
      </c>
      <c r="BR478" s="845">
        <v>0</v>
      </c>
      <c r="BS478" s="845">
        <v>0</v>
      </c>
      <c r="BT478" s="845">
        <v>0</v>
      </c>
      <c r="BU478" s="2293">
        <v>0</v>
      </c>
      <c r="BV478" s="845">
        <v>0</v>
      </c>
      <c r="BW478" s="845">
        <v>0</v>
      </c>
      <c r="BX478" s="845">
        <v>0</v>
      </c>
      <c r="BY478" s="845">
        <v>0</v>
      </c>
      <c r="BZ478" s="848">
        <v>0</v>
      </c>
      <c r="CA478" s="845">
        <v>0</v>
      </c>
      <c r="CB478" s="845">
        <v>0</v>
      </c>
      <c r="CC478" s="845">
        <v>0</v>
      </c>
      <c r="CD478" s="845">
        <v>0</v>
      </c>
      <c r="CE478" s="848">
        <v>0</v>
      </c>
      <c r="CF478" s="845">
        <v>0</v>
      </c>
      <c r="CG478" s="845">
        <v>0</v>
      </c>
      <c r="CH478" s="845">
        <v>0</v>
      </c>
      <c r="CI478" s="845">
        <v>0</v>
      </c>
      <c r="CJ478" s="848">
        <v>0</v>
      </c>
      <c r="CK478" s="2982">
        <v>0</v>
      </c>
      <c r="CL478" s="2982">
        <v>0</v>
      </c>
      <c r="CM478" s="2982">
        <v>0</v>
      </c>
      <c r="CN478" s="2982">
        <v>0</v>
      </c>
      <c r="CO478" s="848">
        <v>0</v>
      </c>
      <c r="CP478" s="1261">
        <f>CO478</f>
        <v>0</v>
      </c>
      <c r="CQ478" s="1261">
        <f>CP478</f>
        <v>0</v>
      </c>
      <c r="CR478" s="1261">
        <f>CQ478</f>
        <v>0</v>
      </c>
      <c r="CS478" s="1261">
        <f>CR478</f>
        <v>0</v>
      </c>
      <c r="CT478" s="752">
        <v>0</v>
      </c>
      <c r="CU478" s="848">
        <v>0</v>
      </c>
      <c r="CV478" s="848">
        <v>0</v>
      </c>
      <c r="CW478" s="2584"/>
      <c r="CX478" s="2584"/>
      <c r="CY478" s="2584"/>
      <c r="CZ478" s="2584"/>
      <c r="DA478" s="2584"/>
      <c r="DB478" s="217"/>
      <c r="DC478" s="212"/>
      <c r="DD478" s="2631"/>
    </row>
    <row r="479" spans="1:256" ht="4.5" customHeight="1" x14ac:dyDescent="0.2">
      <c r="A479" s="1446"/>
      <c r="B479" s="651"/>
      <c r="C479" s="236"/>
      <c r="D479" s="234"/>
      <c r="E479" s="234"/>
      <c r="F479" s="234"/>
      <c r="G479" s="234"/>
      <c r="H479" s="236"/>
      <c r="I479" s="1428"/>
      <c r="J479" s="767"/>
      <c r="K479" s="767"/>
      <c r="L479" s="767"/>
      <c r="M479" s="1430"/>
      <c r="N479" s="1428"/>
      <c r="O479" s="767"/>
      <c r="P479" s="767"/>
      <c r="Q479" s="767"/>
      <c r="R479" s="1430"/>
      <c r="S479" s="1428"/>
      <c r="T479" s="767"/>
      <c r="U479" s="767"/>
      <c r="V479" s="767"/>
      <c r="W479" s="1430"/>
      <c r="X479" s="1428"/>
      <c r="Y479" s="767"/>
      <c r="Z479" s="767"/>
      <c r="AA479" s="767"/>
      <c r="AB479" s="1430"/>
      <c r="AC479" s="1428"/>
      <c r="AD479" s="767"/>
      <c r="AE479" s="767"/>
      <c r="AF479" s="767"/>
      <c r="AG479" s="1430"/>
      <c r="AH479" s="1428"/>
      <c r="AI479" s="767"/>
      <c r="AJ479" s="767"/>
      <c r="AK479" s="767"/>
      <c r="AL479" s="1430"/>
      <c r="AM479" s="1428"/>
      <c r="AN479" s="767"/>
      <c r="AO479" s="767"/>
      <c r="AP479" s="767"/>
      <c r="AQ479" s="1430"/>
      <c r="AR479" s="1428"/>
      <c r="AS479" s="767"/>
      <c r="AT479" s="767"/>
      <c r="AU479" s="767"/>
      <c r="AV479" s="1430"/>
      <c r="AW479" s="1428"/>
      <c r="AX479" s="767"/>
      <c r="AY479" s="767"/>
      <c r="AZ479" s="767"/>
      <c r="BA479" s="1430"/>
      <c r="BB479" s="1428"/>
      <c r="BC479" s="767"/>
      <c r="BD479" s="767"/>
      <c r="BE479" s="767"/>
      <c r="BF479" s="1430"/>
      <c r="BG479" s="1428"/>
      <c r="BH479" s="767"/>
      <c r="BI479" s="767"/>
      <c r="BJ479" s="767"/>
      <c r="BK479" s="246"/>
      <c r="BL479" s="767"/>
      <c r="BM479" s="767"/>
      <c r="BN479" s="767"/>
      <c r="BO479" s="767"/>
      <c r="BP479" s="246"/>
      <c r="BQ479" s="767"/>
      <c r="BR479" s="767"/>
      <c r="BS479" s="767"/>
      <c r="BT479" s="767"/>
      <c r="BU479" s="246"/>
      <c r="BV479" s="767"/>
      <c r="BW479" s="767"/>
      <c r="BX479" s="767"/>
      <c r="BY479" s="767"/>
      <c r="BZ479" s="1048"/>
      <c r="CA479" s="767"/>
      <c r="CB479" s="767"/>
      <c r="CC479" s="767"/>
      <c r="CD479" s="767"/>
      <c r="CE479" s="1048"/>
      <c r="CF479" s="767"/>
      <c r="CG479" s="767"/>
      <c r="CH479" s="767"/>
      <c r="CI479" s="767"/>
      <c r="CJ479" s="1048"/>
      <c r="CK479" s="3516"/>
      <c r="CL479" s="3516"/>
      <c r="CM479" s="3516"/>
      <c r="CN479" s="3516"/>
      <c r="CO479" s="1048"/>
      <c r="CP479" s="1261"/>
      <c r="CQ479" s="1261"/>
      <c r="CR479" s="1261"/>
      <c r="CS479" s="1261"/>
      <c r="CT479" s="1048"/>
      <c r="CU479" s="1048"/>
      <c r="CV479" s="1048"/>
      <c r="CW479" s="374"/>
      <c r="CX479" s="374"/>
      <c r="CY479" s="374"/>
      <c r="CZ479" s="374"/>
      <c r="DA479" s="374"/>
      <c r="DB479" s="217"/>
    </row>
    <row r="480" spans="1:256" x14ac:dyDescent="0.2">
      <c r="A480" s="3013" t="s">
        <v>2454</v>
      </c>
      <c r="B480" s="651"/>
      <c r="C480" s="236"/>
      <c r="D480" s="234"/>
      <c r="E480" s="234"/>
      <c r="F480" s="234"/>
      <c r="G480" s="234"/>
      <c r="H480" s="236"/>
      <c r="I480" s="1428"/>
      <c r="J480" s="767"/>
      <c r="K480" s="767"/>
      <c r="L480" s="767"/>
      <c r="M480" s="1430"/>
      <c r="N480" s="1428"/>
      <c r="O480" s="767"/>
      <c r="P480" s="767"/>
      <c r="Q480" s="767"/>
      <c r="R480" s="1430"/>
      <c r="S480" s="1428"/>
      <c r="T480" s="767"/>
      <c r="U480" s="767"/>
      <c r="V480" s="767"/>
      <c r="W480" s="1430"/>
      <c r="X480" s="1428"/>
      <c r="Y480" s="767"/>
      <c r="Z480" s="767"/>
      <c r="AA480" s="767"/>
      <c r="AB480" s="1430"/>
      <c r="AC480" s="1428"/>
      <c r="AD480" s="767"/>
      <c r="AE480" s="767"/>
      <c r="AF480" s="767"/>
      <c r="AG480" s="1430"/>
      <c r="AH480" s="1428"/>
      <c r="AI480" s="767"/>
      <c r="AJ480" s="767"/>
      <c r="AK480" s="767"/>
      <c r="AL480" s="1430"/>
      <c r="AM480" s="1428"/>
      <c r="AN480" s="767"/>
      <c r="AO480" s="767"/>
      <c r="AP480" s="767"/>
      <c r="AQ480" s="1430"/>
      <c r="AR480" s="1428"/>
      <c r="AS480" s="767"/>
      <c r="AT480" s="767"/>
      <c r="AU480" s="767"/>
      <c r="AV480" s="1430"/>
      <c r="AW480" s="1428"/>
      <c r="AX480" s="767"/>
      <c r="AY480" s="767"/>
      <c r="AZ480" s="767"/>
      <c r="BA480" s="1430"/>
      <c r="BB480" s="1428"/>
      <c r="BC480" s="767"/>
      <c r="BD480" s="767"/>
      <c r="BE480" s="767"/>
      <c r="BF480" s="1430"/>
      <c r="BG480" s="1428"/>
      <c r="BH480" s="767"/>
      <c r="BI480" s="767"/>
      <c r="BJ480" s="767"/>
      <c r="BK480" s="246"/>
      <c r="BL480" s="767"/>
      <c r="BM480" s="767"/>
      <c r="BN480" s="767"/>
      <c r="BO480" s="767"/>
      <c r="BP480" s="246"/>
      <c r="BQ480" s="767"/>
      <c r="BR480" s="767"/>
      <c r="BS480" s="767"/>
      <c r="BT480" s="767"/>
      <c r="BU480" s="246"/>
      <c r="BV480" s="767"/>
      <c r="BW480" s="767"/>
      <c r="BX480" s="767"/>
      <c r="BY480" s="767"/>
      <c r="BZ480" s="1048"/>
      <c r="CA480" s="3322">
        <v>23095</v>
      </c>
      <c r="CB480" s="3322">
        <v>23095</v>
      </c>
      <c r="CC480" s="3322">
        <v>22716</v>
      </c>
      <c r="CD480" s="3322">
        <v>22716</v>
      </c>
      <c r="CE480" s="3323">
        <v>22716</v>
      </c>
      <c r="CF480" s="3322">
        <v>22716</v>
      </c>
      <c r="CG480" s="3322">
        <v>23368</v>
      </c>
      <c r="CH480" s="756">
        <v>23654</v>
      </c>
      <c r="CI480" s="756">
        <v>23654</v>
      </c>
      <c r="CJ480" s="2293">
        <f>CI480</f>
        <v>23654</v>
      </c>
      <c r="CK480" s="2982">
        <v>23600</v>
      </c>
      <c r="CL480" s="2982">
        <v>23600</v>
      </c>
      <c r="CM480" s="2982">
        <v>23208</v>
      </c>
      <c r="CN480" s="2982">
        <v>24010</v>
      </c>
      <c r="CO480" s="2293">
        <f>CN480</f>
        <v>24010</v>
      </c>
      <c r="CP480" s="1261">
        <f t="shared" ref="CP480:CS481" si="674">CK480*(1+CP$860)</f>
        <v>24072</v>
      </c>
      <c r="CQ480" s="1261">
        <f t="shared" si="674"/>
        <v>24072</v>
      </c>
      <c r="CR480" s="1261">
        <f t="shared" si="674"/>
        <v>23672.16</v>
      </c>
      <c r="CS480" s="1261">
        <f t="shared" si="674"/>
        <v>24490.2</v>
      </c>
      <c r="CT480" s="2293">
        <f>CS480</f>
        <v>24490.2</v>
      </c>
      <c r="CU480" s="2293">
        <f>CT480*(1+CU$860)</f>
        <v>24980.004000000001</v>
      </c>
      <c r="CV480" s="2293">
        <f>CU480*(1+CV$860)</f>
        <v>24980.004000000001</v>
      </c>
      <c r="CW480" s="374"/>
      <c r="CX480" s="374"/>
      <c r="CY480" s="374"/>
      <c r="CZ480" s="374"/>
      <c r="DA480" s="374"/>
      <c r="DB480" s="217"/>
    </row>
    <row r="481" spans="1:106" x14ac:dyDescent="0.2">
      <c r="A481" s="3013" t="s">
        <v>2455</v>
      </c>
      <c r="B481" s="651"/>
      <c r="C481" s="236"/>
      <c r="D481" s="234"/>
      <c r="E481" s="234"/>
      <c r="F481" s="234"/>
      <c r="G481" s="234"/>
      <c r="H481" s="236"/>
      <c r="I481" s="1428"/>
      <c r="J481" s="767"/>
      <c r="K481" s="767"/>
      <c r="L481" s="767"/>
      <c r="M481" s="1430"/>
      <c r="N481" s="1428"/>
      <c r="O481" s="767"/>
      <c r="P481" s="767"/>
      <c r="Q481" s="767"/>
      <c r="R481" s="1430"/>
      <c r="S481" s="1428"/>
      <c r="T481" s="767"/>
      <c r="U481" s="767"/>
      <c r="V481" s="767"/>
      <c r="W481" s="1430"/>
      <c r="X481" s="1428"/>
      <c r="Y481" s="767"/>
      <c r="Z481" s="767"/>
      <c r="AA481" s="767"/>
      <c r="AB481" s="1430"/>
      <c r="AC481" s="1428"/>
      <c r="AD481" s="767"/>
      <c r="AE481" s="767"/>
      <c r="AF481" s="767"/>
      <c r="AG481" s="1430"/>
      <c r="AH481" s="1428"/>
      <c r="AI481" s="767"/>
      <c r="AJ481" s="767"/>
      <c r="AK481" s="767"/>
      <c r="AL481" s="1430"/>
      <c r="AM481" s="1428"/>
      <c r="AN481" s="767"/>
      <c r="AO481" s="767"/>
      <c r="AP481" s="767"/>
      <c r="AQ481" s="1430"/>
      <c r="AR481" s="1428"/>
      <c r="AS481" s="767"/>
      <c r="AT481" s="767"/>
      <c r="AU481" s="767"/>
      <c r="AV481" s="1430"/>
      <c r="AW481" s="1428"/>
      <c r="AX481" s="767"/>
      <c r="AY481" s="767"/>
      <c r="AZ481" s="767"/>
      <c r="BA481" s="1430"/>
      <c r="BB481" s="1428"/>
      <c r="BC481" s="767"/>
      <c r="BD481" s="767"/>
      <c r="BE481" s="767"/>
      <c r="BF481" s="1430"/>
      <c r="BG481" s="1428"/>
      <c r="BH481" s="767"/>
      <c r="BI481" s="767"/>
      <c r="BJ481" s="767"/>
      <c r="BK481" s="246"/>
      <c r="BL481" s="767"/>
      <c r="BM481" s="767"/>
      <c r="BN481" s="767"/>
      <c r="BO481" s="767"/>
      <c r="BP481" s="246"/>
      <c r="BQ481" s="767"/>
      <c r="BR481" s="767"/>
      <c r="BS481" s="767"/>
      <c r="BT481" s="767"/>
      <c r="BU481" s="246"/>
      <c r="BV481" s="767"/>
      <c r="BW481" s="767"/>
      <c r="BX481" s="767"/>
      <c r="BY481" s="767"/>
      <c r="BZ481" s="1048"/>
      <c r="CA481" s="3322">
        <v>25973</v>
      </c>
      <c r="CB481" s="3322">
        <v>25973</v>
      </c>
      <c r="CC481" s="3322">
        <v>25398</v>
      </c>
      <c r="CD481" s="3322">
        <v>25954</v>
      </c>
      <c r="CE481" s="3323">
        <v>25954</v>
      </c>
      <c r="CF481" s="3322">
        <v>26088</v>
      </c>
      <c r="CG481" s="3322">
        <v>25620</v>
      </c>
      <c r="CH481" s="756">
        <v>25129</v>
      </c>
      <c r="CI481" s="756">
        <v>25173</v>
      </c>
      <c r="CJ481" s="2293">
        <f t="shared" ref="CJ481:CJ490" si="675">CI481</f>
        <v>25173</v>
      </c>
      <c r="CK481" s="2982">
        <v>25288</v>
      </c>
      <c r="CL481" s="2982">
        <v>25332</v>
      </c>
      <c r="CM481" s="2982">
        <v>25127</v>
      </c>
      <c r="CN481" s="2982">
        <v>25127</v>
      </c>
      <c r="CO481" s="2293">
        <f t="shared" ref="CO481:CO488" si="676">CN481</f>
        <v>25127</v>
      </c>
      <c r="CP481" s="1261">
        <f t="shared" si="674"/>
        <v>25793.760000000002</v>
      </c>
      <c r="CQ481" s="1261">
        <f t="shared" si="674"/>
        <v>25838.639999999999</v>
      </c>
      <c r="CR481" s="1261">
        <f t="shared" si="674"/>
        <v>25629.54</v>
      </c>
      <c r="CS481" s="1261">
        <f t="shared" si="674"/>
        <v>25629.54</v>
      </c>
      <c r="CT481" s="2293">
        <f t="shared" ref="CT481:CT488" si="677">CS481</f>
        <v>25629.54</v>
      </c>
      <c r="CU481" s="2293">
        <f>CT481*(1+CU$860)</f>
        <v>26142.130800000003</v>
      </c>
      <c r="CV481" s="2293">
        <f>CU481*(1+CV$860)</f>
        <v>26142.130800000003</v>
      </c>
      <c r="CW481" s="374"/>
      <c r="CX481" s="374"/>
      <c r="CY481" s="374"/>
      <c r="CZ481" s="374"/>
      <c r="DA481" s="374"/>
      <c r="DB481" s="217"/>
    </row>
    <row r="482" spans="1:106" x14ac:dyDescent="0.2">
      <c r="A482" s="3013" t="s">
        <v>2456</v>
      </c>
      <c r="B482" s="651"/>
      <c r="C482" s="236"/>
      <c r="D482" s="234"/>
      <c r="E482" s="234"/>
      <c r="F482" s="234"/>
      <c r="G482" s="234"/>
      <c r="H482" s="236"/>
      <c r="I482" s="1428"/>
      <c r="J482" s="767"/>
      <c r="K482" s="767"/>
      <c r="L482" s="767"/>
      <c r="M482" s="1430"/>
      <c r="N482" s="1428"/>
      <c r="O482" s="767"/>
      <c r="P482" s="767"/>
      <c r="Q482" s="767"/>
      <c r="R482" s="1430"/>
      <c r="S482" s="1428"/>
      <c r="T482" s="767"/>
      <c r="U482" s="767"/>
      <c r="V482" s="767"/>
      <c r="W482" s="1430"/>
      <c r="X482" s="1428"/>
      <c r="Y482" s="767"/>
      <c r="Z482" s="767"/>
      <c r="AA482" s="767"/>
      <c r="AB482" s="1430"/>
      <c r="AC482" s="1428"/>
      <c r="AD482" s="767"/>
      <c r="AE482" s="767"/>
      <c r="AF482" s="767"/>
      <c r="AG482" s="1430"/>
      <c r="AH482" s="1428"/>
      <c r="AI482" s="767"/>
      <c r="AJ482" s="767"/>
      <c r="AK482" s="767"/>
      <c r="AL482" s="1430"/>
      <c r="AM482" s="1428"/>
      <c r="AN482" s="767"/>
      <c r="AO482" s="767"/>
      <c r="AP482" s="767"/>
      <c r="AQ482" s="1430"/>
      <c r="AR482" s="1428"/>
      <c r="AS482" s="767"/>
      <c r="AT482" s="767"/>
      <c r="AU482" s="767"/>
      <c r="AV482" s="1430"/>
      <c r="AW482" s="1428"/>
      <c r="AX482" s="767"/>
      <c r="AY482" s="767"/>
      <c r="AZ482" s="767"/>
      <c r="BA482" s="1430"/>
      <c r="BB482" s="1428"/>
      <c r="BC482" s="767"/>
      <c r="BD482" s="767"/>
      <c r="BE482" s="767"/>
      <c r="BF482" s="1430"/>
      <c r="BG482" s="1428"/>
      <c r="BH482" s="767"/>
      <c r="BI482" s="767"/>
      <c r="BJ482" s="767"/>
      <c r="BK482" s="246"/>
      <c r="BL482" s="767"/>
      <c r="BM482" s="767"/>
      <c r="BN482" s="767"/>
      <c r="BO482" s="767"/>
      <c r="BP482" s="246"/>
      <c r="BQ482" s="767"/>
      <c r="BR482" s="767"/>
      <c r="BS482" s="767"/>
      <c r="BT482" s="767"/>
      <c r="BU482" s="246"/>
      <c r="BV482" s="767"/>
      <c r="BW482" s="767"/>
      <c r="BX482" s="767"/>
      <c r="BY482" s="767"/>
      <c r="BZ482" s="1048"/>
      <c r="CA482" s="3322">
        <v>134</v>
      </c>
      <c r="CB482" s="3322">
        <v>134</v>
      </c>
      <c r="CC482" s="3322">
        <v>120</v>
      </c>
      <c r="CD482" s="3322">
        <v>120</v>
      </c>
      <c r="CE482" s="3323">
        <v>120</v>
      </c>
      <c r="CF482" s="3322">
        <v>134</v>
      </c>
      <c r="CG482" s="3322">
        <v>134</v>
      </c>
      <c r="CH482" s="756">
        <v>134</v>
      </c>
      <c r="CI482" s="756">
        <v>134</v>
      </c>
      <c r="CJ482" s="2293">
        <f t="shared" si="675"/>
        <v>134</v>
      </c>
      <c r="CK482" s="2982">
        <v>134</v>
      </c>
      <c r="CL482" s="2982">
        <v>134</v>
      </c>
      <c r="CM482" s="2982">
        <v>134</v>
      </c>
      <c r="CN482" s="2982">
        <v>134</v>
      </c>
      <c r="CO482" s="2293">
        <f t="shared" si="676"/>
        <v>134</v>
      </c>
      <c r="CP482" s="1261">
        <f>CK482*(1+CP$866)</f>
        <v>136.68</v>
      </c>
      <c r="CQ482" s="1261">
        <f>CL482*(1+CQ$866)</f>
        <v>136.68</v>
      </c>
      <c r="CR482" s="1261">
        <f>CM482*(1+CR$866)</f>
        <v>136.68</v>
      </c>
      <c r="CS482" s="1261">
        <f>CN482*(1+CS$866)</f>
        <v>136.68</v>
      </c>
      <c r="CT482" s="2293">
        <f t="shared" si="677"/>
        <v>136.68</v>
      </c>
      <c r="CU482" s="2293">
        <f>CT482*(1+CU$866)</f>
        <v>144.19739999999999</v>
      </c>
      <c r="CV482" s="2293">
        <f>CU482*(1+CV$866)</f>
        <v>147.08134799999999</v>
      </c>
      <c r="CW482" s="374"/>
      <c r="CX482" s="374"/>
      <c r="CY482" s="374"/>
      <c r="CZ482" s="374"/>
      <c r="DA482" s="374"/>
      <c r="DB482" s="217"/>
    </row>
    <row r="483" spans="1:106" x14ac:dyDescent="0.2">
      <c r="A483" s="3013" t="s">
        <v>2457</v>
      </c>
      <c r="B483" s="651"/>
      <c r="C483" s="236"/>
      <c r="D483" s="234"/>
      <c r="E483" s="234"/>
      <c r="F483" s="234"/>
      <c r="G483" s="234"/>
      <c r="H483" s="236"/>
      <c r="I483" s="1428"/>
      <c r="J483" s="767"/>
      <c r="K483" s="767"/>
      <c r="L483" s="767"/>
      <c r="M483" s="1430"/>
      <c r="N483" s="1428"/>
      <c r="O483" s="767"/>
      <c r="P483" s="767"/>
      <c r="Q483" s="767"/>
      <c r="R483" s="1430"/>
      <c r="S483" s="1428"/>
      <c r="T483" s="767"/>
      <c r="U483" s="767"/>
      <c r="V483" s="767"/>
      <c r="W483" s="1430"/>
      <c r="X483" s="1428"/>
      <c r="Y483" s="767"/>
      <c r="Z483" s="767"/>
      <c r="AA483" s="767"/>
      <c r="AB483" s="1430"/>
      <c r="AC483" s="1428"/>
      <c r="AD483" s="767"/>
      <c r="AE483" s="767"/>
      <c r="AF483" s="767"/>
      <c r="AG483" s="1430"/>
      <c r="AH483" s="1428"/>
      <c r="AI483" s="767"/>
      <c r="AJ483" s="767"/>
      <c r="AK483" s="767"/>
      <c r="AL483" s="1430"/>
      <c r="AM483" s="1428"/>
      <c r="AN483" s="767"/>
      <c r="AO483" s="767"/>
      <c r="AP483" s="767"/>
      <c r="AQ483" s="1430"/>
      <c r="AR483" s="1428"/>
      <c r="AS483" s="767"/>
      <c r="AT483" s="767"/>
      <c r="AU483" s="767"/>
      <c r="AV483" s="1430"/>
      <c r="AW483" s="1428"/>
      <c r="AX483" s="767"/>
      <c r="AY483" s="767"/>
      <c r="AZ483" s="767"/>
      <c r="BA483" s="1430"/>
      <c r="BB483" s="1428"/>
      <c r="BC483" s="767"/>
      <c r="BD483" s="767"/>
      <c r="BE483" s="767"/>
      <c r="BF483" s="1430"/>
      <c r="BG483" s="1428"/>
      <c r="BH483" s="767"/>
      <c r="BI483" s="767"/>
      <c r="BJ483" s="767"/>
      <c r="BK483" s="246"/>
      <c r="BL483" s="767"/>
      <c r="BM483" s="767"/>
      <c r="BN483" s="767"/>
      <c r="BO483" s="767"/>
      <c r="BP483" s="246"/>
      <c r="BQ483" s="767"/>
      <c r="BR483" s="767"/>
      <c r="BS483" s="767"/>
      <c r="BT483" s="767"/>
      <c r="BU483" s="246"/>
      <c r="BV483" s="767"/>
      <c r="BW483" s="767"/>
      <c r="BX483" s="767"/>
      <c r="BY483" s="767"/>
      <c r="BZ483" s="1048"/>
      <c r="CA483" s="3322">
        <v>7554</v>
      </c>
      <c r="CB483" s="3322">
        <v>7554</v>
      </c>
      <c r="CC483" s="3322">
        <v>7553</v>
      </c>
      <c r="CD483" s="3322">
        <v>7295</v>
      </c>
      <c r="CE483" s="3323">
        <v>7295</v>
      </c>
      <c r="CF483" s="3322">
        <v>7295</v>
      </c>
      <c r="CG483" s="3322">
        <v>7443</v>
      </c>
      <c r="CH483" s="756">
        <v>7441</v>
      </c>
      <c r="CI483" s="756">
        <v>7729</v>
      </c>
      <c r="CJ483" s="2293">
        <f t="shared" si="675"/>
        <v>7729</v>
      </c>
      <c r="CK483" s="2982">
        <v>7729</v>
      </c>
      <c r="CL483" s="2982">
        <v>7974</v>
      </c>
      <c r="CM483" s="2982">
        <v>7950</v>
      </c>
      <c r="CN483" s="2982">
        <v>7950</v>
      </c>
      <c r="CO483" s="2293">
        <f t="shared" si="676"/>
        <v>7950</v>
      </c>
      <c r="CP483" s="1261">
        <f t="shared" ref="CP483:CS485" si="678">CK483*(1+CP$863)</f>
        <v>8270.0300000000007</v>
      </c>
      <c r="CQ483" s="1261">
        <f t="shared" si="678"/>
        <v>8532.18</v>
      </c>
      <c r="CR483" s="1261">
        <f t="shared" si="678"/>
        <v>8506.5</v>
      </c>
      <c r="CS483" s="1261">
        <f t="shared" si="678"/>
        <v>8506.5</v>
      </c>
      <c r="CT483" s="2293">
        <f t="shared" si="677"/>
        <v>8506.5</v>
      </c>
      <c r="CU483" s="2293">
        <f t="shared" ref="CU483:CV485" si="679">CT483*(1+CU$863)</f>
        <v>8676.630000000001</v>
      </c>
      <c r="CV483" s="2293">
        <f t="shared" si="679"/>
        <v>8676.630000000001</v>
      </c>
      <c r="CW483" s="374"/>
      <c r="CX483" s="374"/>
      <c r="CY483" s="374"/>
      <c r="CZ483" s="374"/>
      <c r="DA483" s="374"/>
      <c r="DB483" s="217"/>
    </row>
    <row r="484" spans="1:106" x14ac:dyDescent="0.2">
      <c r="A484" s="3013" t="s">
        <v>2458</v>
      </c>
      <c r="B484" s="651"/>
      <c r="C484" s="236"/>
      <c r="D484" s="234"/>
      <c r="E484" s="234"/>
      <c r="F484" s="234"/>
      <c r="G484" s="234"/>
      <c r="H484" s="236"/>
      <c r="I484" s="1428"/>
      <c r="J484" s="767"/>
      <c r="K484" s="767"/>
      <c r="L484" s="767"/>
      <c r="M484" s="1430"/>
      <c r="N484" s="1428"/>
      <c r="O484" s="767"/>
      <c r="P484" s="767"/>
      <c r="Q484" s="767"/>
      <c r="R484" s="1430"/>
      <c r="S484" s="1428"/>
      <c r="T484" s="767"/>
      <c r="U484" s="767"/>
      <c r="V484" s="767"/>
      <c r="W484" s="1430"/>
      <c r="X484" s="1428"/>
      <c r="Y484" s="767"/>
      <c r="Z484" s="767"/>
      <c r="AA484" s="767"/>
      <c r="AB484" s="1430"/>
      <c r="AC484" s="1428"/>
      <c r="AD484" s="767"/>
      <c r="AE484" s="767"/>
      <c r="AF484" s="767"/>
      <c r="AG484" s="1430"/>
      <c r="AH484" s="1428"/>
      <c r="AI484" s="767"/>
      <c r="AJ484" s="767"/>
      <c r="AK484" s="767"/>
      <c r="AL484" s="1430"/>
      <c r="AM484" s="1428"/>
      <c r="AN484" s="767"/>
      <c r="AO484" s="767"/>
      <c r="AP484" s="767"/>
      <c r="AQ484" s="1430"/>
      <c r="AR484" s="1428"/>
      <c r="AS484" s="767"/>
      <c r="AT484" s="767"/>
      <c r="AU484" s="767"/>
      <c r="AV484" s="1430"/>
      <c r="AW484" s="1428"/>
      <c r="AX484" s="767"/>
      <c r="AY484" s="767"/>
      <c r="AZ484" s="767"/>
      <c r="BA484" s="1430"/>
      <c r="BB484" s="1428"/>
      <c r="BC484" s="767"/>
      <c r="BD484" s="767"/>
      <c r="BE484" s="767"/>
      <c r="BF484" s="1430"/>
      <c r="BG484" s="1428"/>
      <c r="BH484" s="767"/>
      <c r="BI484" s="767"/>
      <c r="BJ484" s="767"/>
      <c r="BK484" s="246"/>
      <c r="BL484" s="767"/>
      <c r="BM484" s="767"/>
      <c r="BN484" s="767"/>
      <c r="BO484" s="767"/>
      <c r="BP484" s="246"/>
      <c r="BQ484" s="767"/>
      <c r="BR484" s="767"/>
      <c r="BS484" s="767"/>
      <c r="BT484" s="767"/>
      <c r="BU484" s="246"/>
      <c r="BV484" s="767"/>
      <c r="BW484" s="767"/>
      <c r="BX484" s="767"/>
      <c r="BY484" s="767"/>
      <c r="BZ484" s="1048"/>
      <c r="CA484" s="3322">
        <v>2291</v>
      </c>
      <c r="CB484" s="3322">
        <v>2291</v>
      </c>
      <c r="CC484" s="3322">
        <v>2294</v>
      </c>
      <c r="CD484" s="3322">
        <v>2294</v>
      </c>
      <c r="CE484" s="3323">
        <v>2294</v>
      </c>
      <c r="CF484" s="3322">
        <v>2294</v>
      </c>
      <c r="CG484" s="3322">
        <v>2294</v>
      </c>
      <c r="CH484" s="756">
        <v>2294</v>
      </c>
      <c r="CI484" s="756">
        <v>2294</v>
      </c>
      <c r="CJ484" s="2293">
        <f t="shared" si="675"/>
        <v>2294</v>
      </c>
      <c r="CK484" s="2982">
        <v>2294</v>
      </c>
      <c r="CL484" s="2982">
        <v>2294</v>
      </c>
      <c r="CM484" s="2982">
        <v>2294</v>
      </c>
      <c r="CN484" s="2982">
        <v>2294</v>
      </c>
      <c r="CO484" s="2293">
        <f t="shared" si="676"/>
        <v>2294</v>
      </c>
      <c r="CP484" s="1261">
        <f t="shared" si="678"/>
        <v>2454.58</v>
      </c>
      <c r="CQ484" s="1261">
        <f t="shared" si="678"/>
        <v>2454.58</v>
      </c>
      <c r="CR484" s="1261">
        <f t="shared" si="678"/>
        <v>2454.58</v>
      </c>
      <c r="CS484" s="1261">
        <f t="shared" si="678"/>
        <v>2454.58</v>
      </c>
      <c r="CT484" s="2293">
        <f t="shared" si="677"/>
        <v>2454.58</v>
      </c>
      <c r="CU484" s="2293">
        <f t="shared" si="679"/>
        <v>2503.6716000000001</v>
      </c>
      <c r="CV484" s="2293">
        <f t="shared" si="679"/>
        <v>2503.6716000000001</v>
      </c>
      <c r="CW484" s="374"/>
      <c r="CX484" s="374"/>
      <c r="CY484" s="374"/>
      <c r="CZ484" s="374"/>
      <c r="DA484" s="374"/>
      <c r="DB484" s="217"/>
    </row>
    <row r="485" spans="1:106" x14ac:dyDescent="0.2">
      <c r="A485" s="3013" t="s">
        <v>2459</v>
      </c>
      <c r="B485" s="651"/>
      <c r="C485" s="236"/>
      <c r="D485" s="234"/>
      <c r="E485" s="234"/>
      <c r="F485" s="234"/>
      <c r="G485" s="234"/>
      <c r="H485" s="236"/>
      <c r="I485" s="1428"/>
      <c r="J485" s="767"/>
      <c r="K485" s="767"/>
      <c r="L485" s="767"/>
      <c r="M485" s="1430"/>
      <c r="N485" s="1428"/>
      <c r="O485" s="767"/>
      <c r="P485" s="767"/>
      <c r="Q485" s="767"/>
      <c r="R485" s="1430"/>
      <c r="S485" s="1428"/>
      <c r="T485" s="767"/>
      <c r="U485" s="767"/>
      <c r="V485" s="767"/>
      <c r="W485" s="1430"/>
      <c r="X485" s="1428"/>
      <c r="Y485" s="767"/>
      <c r="Z485" s="767"/>
      <c r="AA485" s="767"/>
      <c r="AB485" s="1430"/>
      <c r="AC485" s="1428"/>
      <c r="AD485" s="767"/>
      <c r="AE485" s="767"/>
      <c r="AF485" s="767"/>
      <c r="AG485" s="1430"/>
      <c r="AH485" s="1428"/>
      <c r="AI485" s="767"/>
      <c r="AJ485" s="767"/>
      <c r="AK485" s="767"/>
      <c r="AL485" s="1430"/>
      <c r="AM485" s="1428"/>
      <c r="AN485" s="767"/>
      <c r="AO485" s="767"/>
      <c r="AP485" s="767"/>
      <c r="AQ485" s="1430"/>
      <c r="AR485" s="1428"/>
      <c r="AS485" s="767"/>
      <c r="AT485" s="767"/>
      <c r="AU485" s="767"/>
      <c r="AV485" s="1430"/>
      <c r="AW485" s="1428"/>
      <c r="AX485" s="767"/>
      <c r="AY485" s="767"/>
      <c r="AZ485" s="767"/>
      <c r="BA485" s="1430"/>
      <c r="BB485" s="1428"/>
      <c r="BC485" s="767"/>
      <c r="BD485" s="767"/>
      <c r="BE485" s="767"/>
      <c r="BF485" s="1430"/>
      <c r="BG485" s="1428"/>
      <c r="BH485" s="767"/>
      <c r="BI485" s="767"/>
      <c r="BJ485" s="767"/>
      <c r="BK485" s="246"/>
      <c r="BL485" s="767"/>
      <c r="BM485" s="767"/>
      <c r="BN485" s="767"/>
      <c r="BO485" s="767"/>
      <c r="BP485" s="246"/>
      <c r="BQ485" s="767"/>
      <c r="BR485" s="767"/>
      <c r="BS485" s="767"/>
      <c r="BT485" s="767"/>
      <c r="BU485" s="246"/>
      <c r="BV485" s="767"/>
      <c r="BW485" s="767"/>
      <c r="BX485" s="767"/>
      <c r="BY485" s="767"/>
      <c r="BZ485" s="1048"/>
      <c r="CA485" s="3322">
        <v>1884</v>
      </c>
      <c r="CB485" s="3322">
        <v>1884</v>
      </c>
      <c r="CC485" s="3322">
        <v>1881</v>
      </c>
      <c r="CD485" s="3322">
        <v>1866</v>
      </c>
      <c r="CE485" s="3323">
        <v>1866</v>
      </c>
      <c r="CF485" s="3322">
        <v>1873</v>
      </c>
      <c r="CG485" s="3322">
        <v>1464</v>
      </c>
      <c r="CH485" s="756">
        <v>1464</v>
      </c>
      <c r="CI485" s="756">
        <v>1725</v>
      </c>
      <c r="CJ485" s="2293">
        <f t="shared" si="675"/>
        <v>1725</v>
      </c>
      <c r="CK485" s="2982">
        <v>1725</v>
      </c>
      <c r="CL485" s="2982">
        <v>1725</v>
      </c>
      <c r="CM485" s="2982">
        <v>1990</v>
      </c>
      <c r="CN485" s="2982">
        <v>1990</v>
      </c>
      <c r="CO485" s="2293">
        <f t="shared" si="676"/>
        <v>1990</v>
      </c>
      <c r="CP485" s="1261">
        <f t="shared" si="678"/>
        <v>1845.75</v>
      </c>
      <c r="CQ485" s="1261">
        <f t="shared" si="678"/>
        <v>1845.75</v>
      </c>
      <c r="CR485" s="1261">
        <f t="shared" si="678"/>
        <v>2129.3000000000002</v>
      </c>
      <c r="CS485" s="1261">
        <f t="shared" si="678"/>
        <v>2129.3000000000002</v>
      </c>
      <c r="CT485" s="2293">
        <f t="shared" si="677"/>
        <v>2129.3000000000002</v>
      </c>
      <c r="CU485" s="2293">
        <f t="shared" si="679"/>
        <v>2171.8860000000004</v>
      </c>
      <c r="CV485" s="2293">
        <f t="shared" si="679"/>
        <v>2171.8860000000004</v>
      </c>
      <c r="CW485" s="374"/>
      <c r="CX485" s="374"/>
      <c r="CY485" s="374"/>
      <c r="CZ485" s="374"/>
      <c r="DA485" s="374"/>
      <c r="DB485" s="217"/>
    </row>
    <row r="486" spans="1:106" x14ac:dyDescent="0.2">
      <c r="A486" s="3013" t="s">
        <v>2460</v>
      </c>
      <c r="B486" s="651"/>
      <c r="C486" s="236"/>
      <c r="D486" s="234"/>
      <c r="E486" s="234"/>
      <c r="F486" s="234"/>
      <c r="G486" s="234"/>
      <c r="H486" s="236"/>
      <c r="I486" s="1428"/>
      <c r="J486" s="767"/>
      <c r="K486" s="767"/>
      <c r="L486" s="767"/>
      <c r="M486" s="1430"/>
      <c r="N486" s="1428"/>
      <c r="O486" s="767"/>
      <c r="P486" s="767"/>
      <c r="Q486" s="767"/>
      <c r="R486" s="1430"/>
      <c r="S486" s="1428"/>
      <c r="T486" s="767"/>
      <c r="U486" s="767"/>
      <c r="V486" s="767"/>
      <c r="W486" s="1430"/>
      <c r="X486" s="1428"/>
      <c r="Y486" s="767"/>
      <c r="Z486" s="767"/>
      <c r="AA486" s="767"/>
      <c r="AB486" s="1430"/>
      <c r="AC486" s="1428"/>
      <c r="AD486" s="767"/>
      <c r="AE486" s="767"/>
      <c r="AF486" s="767"/>
      <c r="AG486" s="1430"/>
      <c r="AH486" s="1428"/>
      <c r="AI486" s="767"/>
      <c r="AJ486" s="767"/>
      <c r="AK486" s="767"/>
      <c r="AL486" s="1430"/>
      <c r="AM486" s="1428"/>
      <c r="AN486" s="767"/>
      <c r="AO486" s="767"/>
      <c r="AP486" s="767"/>
      <c r="AQ486" s="1430"/>
      <c r="AR486" s="1428"/>
      <c r="AS486" s="767"/>
      <c r="AT486" s="767"/>
      <c r="AU486" s="767"/>
      <c r="AV486" s="1430"/>
      <c r="AW486" s="1428"/>
      <c r="AX486" s="767"/>
      <c r="AY486" s="767"/>
      <c r="AZ486" s="767"/>
      <c r="BA486" s="1430"/>
      <c r="BB486" s="1428"/>
      <c r="BC486" s="767"/>
      <c r="BD486" s="767"/>
      <c r="BE486" s="767"/>
      <c r="BF486" s="1430"/>
      <c r="BG486" s="1428"/>
      <c r="BH486" s="767"/>
      <c r="BI486" s="767"/>
      <c r="BJ486" s="767"/>
      <c r="BK486" s="246"/>
      <c r="BL486" s="767"/>
      <c r="BM486" s="767"/>
      <c r="BN486" s="767"/>
      <c r="BO486" s="767"/>
      <c r="BP486" s="246"/>
      <c r="BQ486" s="767"/>
      <c r="BR486" s="767"/>
      <c r="BS486" s="767"/>
      <c r="BT486" s="767"/>
      <c r="BU486" s="246"/>
      <c r="BV486" s="767"/>
      <c r="BW486" s="767"/>
      <c r="BX486" s="767"/>
      <c r="BY486" s="767"/>
      <c r="BZ486" s="1048"/>
      <c r="CA486" s="3322">
        <v>719</v>
      </c>
      <c r="CB486" s="3322">
        <v>719</v>
      </c>
      <c r="CC486" s="3322">
        <v>719</v>
      </c>
      <c r="CD486" s="3322">
        <v>719</v>
      </c>
      <c r="CE486" s="3323">
        <v>719</v>
      </c>
      <c r="CF486" s="3322">
        <v>719</v>
      </c>
      <c r="CG486" s="3322">
        <v>719</v>
      </c>
      <c r="CH486" s="756">
        <v>719</v>
      </c>
      <c r="CI486" s="756">
        <v>720</v>
      </c>
      <c r="CJ486" s="2293">
        <f t="shared" si="675"/>
        <v>720</v>
      </c>
      <c r="CK486" s="2982">
        <v>720</v>
      </c>
      <c r="CL486" s="2982">
        <v>720</v>
      </c>
      <c r="CM486" s="2982">
        <v>720</v>
      </c>
      <c r="CN486" s="2982">
        <v>720</v>
      </c>
      <c r="CO486" s="2293">
        <f>CN486</f>
        <v>720</v>
      </c>
      <c r="CP486" s="1261">
        <f>CK486*(1+CP$860)</f>
        <v>734.4</v>
      </c>
      <c r="CQ486" s="1261">
        <f>CL486*(1+CQ$860)</f>
        <v>734.4</v>
      </c>
      <c r="CR486" s="1261">
        <f>CM486*(1+CR$860)</f>
        <v>734.4</v>
      </c>
      <c r="CS486" s="1261">
        <f>CN486*(1+CS$860)</f>
        <v>734.4</v>
      </c>
      <c r="CT486" s="2293">
        <f>CS486</f>
        <v>734.4</v>
      </c>
      <c r="CU486" s="2293">
        <f>CT486*(1+CU$860)</f>
        <v>749.08799999999997</v>
      </c>
      <c r="CV486" s="2293">
        <f>CU486*(1+CV$860)</f>
        <v>749.08799999999997</v>
      </c>
      <c r="CW486" s="374"/>
      <c r="CX486" s="374"/>
      <c r="CY486" s="374"/>
      <c r="CZ486" s="374"/>
      <c r="DA486" s="374"/>
      <c r="DB486" s="217"/>
    </row>
    <row r="487" spans="1:106" x14ac:dyDescent="0.2">
      <c r="A487" s="3013" t="s">
        <v>2464</v>
      </c>
      <c r="B487" s="651"/>
      <c r="C487" s="236"/>
      <c r="D487" s="234"/>
      <c r="E487" s="234"/>
      <c r="F487" s="234"/>
      <c r="G487" s="234"/>
      <c r="H487" s="236"/>
      <c r="I487" s="1428"/>
      <c r="J487" s="767"/>
      <c r="K487" s="767"/>
      <c r="L487" s="767"/>
      <c r="M487" s="1430"/>
      <c r="N487" s="1428"/>
      <c r="O487" s="767"/>
      <c r="P487" s="767"/>
      <c r="Q487" s="767"/>
      <c r="R487" s="1430"/>
      <c r="S487" s="1428"/>
      <c r="T487" s="767"/>
      <c r="U487" s="767"/>
      <c r="V487" s="767"/>
      <c r="W487" s="1430"/>
      <c r="X487" s="1428"/>
      <c r="Y487" s="767"/>
      <c r="Z487" s="767"/>
      <c r="AA487" s="767"/>
      <c r="AB487" s="1430"/>
      <c r="AC487" s="1428"/>
      <c r="AD487" s="767"/>
      <c r="AE487" s="767"/>
      <c r="AF487" s="767"/>
      <c r="AG487" s="1430"/>
      <c r="AH487" s="1428"/>
      <c r="AI487" s="767"/>
      <c r="AJ487" s="767"/>
      <c r="AK487" s="767"/>
      <c r="AL487" s="1430"/>
      <c r="AM487" s="1428"/>
      <c r="AN487" s="767"/>
      <c r="AO487" s="767"/>
      <c r="AP487" s="767"/>
      <c r="AQ487" s="1430"/>
      <c r="AR487" s="1428"/>
      <c r="AS487" s="767"/>
      <c r="AT487" s="767"/>
      <c r="AU487" s="767"/>
      <c r="AV487" s="1430"/>
      <c r="AW487" s="1428"/>
      <c r="AX487" s="767"/>
      <c r="AY487" s="767"/>
      <c r="AZ487" s="767"/>
      <c r="BA487" s="1430"/>
      <c r="BB487" s="1428"/>
      <c r="BC487" s="767"/>
      <c r="BD487" s="767"/>
      <c r="BE487" s="767"/>
      <c r="BF487" s="1430"/>
      <c r="BG487" s="1428"/>
      <c r="BH487" s="767"/>
      <c r="BI487" s="767"/>
      <c r="BJ487" s="767"/>
      <c r="BK487" s="246"/>
      <c r="BL487" s="767"/>
      <c r="BM487" s="767"/>
      <c r="BN487" s="767"/>
      <c r="BO487" s="767"/>
      <c r="BP487" s="246"/>
      <c r="BQ487" s="767"/>
      <c r="BR487" s="767"/>
      <c r="BS487" s="767"/>
      <c r="BT487" s="767"/>
      <c r="BU487" s="246"/>
      <c r="BV487" s="767"/>
      <c r="BW487" s="767"/>
      <c r="BX487" s="767"/>
      <c r="BY487" s="767"/>
      <c r="BZ487" s="1048"/>
      <c r="CA487" s="3322">
        <v>0</v>
      </c>
      <c r="CB487" s="3322">
        <v>0</v>
      </c>
      <c r="CC487" s="3322">
        <v>0</v>
      </c>
      <c r="CD487" s="3322">
        <v>0</v>
      </c>
      <c r="CE487" s="3323">
        <v>0</v>
      </c>
      <c r="CF487" s="3322">
        <v>330</v>
      </c>
      <c r="CG487" s="3322">
        <v>330</v>
      </c>
      <c r="CH487" s="756">
        <v>330</v>
      </c>
      <c r="CI487" s="756">
        <v>330</v>
      </c>
      <c r="CJ487" s="2293">
        <f t="shared" si="675"/>
        <v>330</v>
      </c>
      <c r="CK487" s="2982">
        <v>330</v>
      </c>
      <c r="CL487" s="2982">
        <v>330</v>
      </c>
      <c r="CM487" s="2982">
        <v>330</v>
      </c>
      <c r="CN487" s="2982">
        <v>330</v>
      </c>
      <c r="CO487" s="2293">
        <f t="shared" si="676"/>
        <v>330</v>
      </c>
      <c r="CP487" s="1261">
        <f t="shared" ref="CP487:CS488" si="680">CK487*(1+CP$866)</f>
        <v>336.6</v>
      </c>
      <c r="CQ487" s="1261">
        <f t="shared" si="680"/>
        <v>336.6</v>
      </c>
      <c r="CR487" s="1261">
        <f t="shared" si="680"/>
        <v>336.6</v>
      </c>
      <c r="CS487" s="1261">
        <f t="shared" si="680"/>
        <v>336.6</v>
      </c>
      <c r="CT487" s="2293">
        <f t="shared" si="677"/>
        <v>336.6</v>
      </c>
      <c r="CU487" s="2293">
        <f>CT487*(1+CU$866)</f>
        <v>355.113</v>
      </c>
      <c r="CV487" s="2293">
        <f>CU487*(1+CV$866)</f>
        <v>362.21526</v>
      </c>
      <c r="CW487" s="374"/>
      <c r="CX487" s="374"/>
      <c r="CY487" s="374"/>
      <c r="CZ487" s="374"/>
      <c r="DA487" s="374"/>
      <c r="DB487" s="217"/>
    </row>
    <row r="488" spans="1:106" x14ac:dyDescent="0.2">
      <c r="A488" s="3013" t="s">
        <v>2462</v>
      </c>
      <c r="B488" s="651"/>
      <c r="C488" s="236"/>
      <c r="D488" s="234"/>
      <c r="E488" s="234"/>
      <c r="F488" s="234"/>
      <c r="G488" s="234"/>
      <c r="H488" s="236"/>
      <c r="I488" s="1428"/>
      <c r="J488" s="767"/>
      <c r="K488" s="767"/>
      <c r="L488" s="767"/>
      <c r="M488" s="1430"/>
      <c r="N488" s="1428"/>
      <c r="O488" s="767"/>
      <c r="P488" s="767"/>
      <c r="Q488" s="767"/>
      <c r="R488" s="1430"/>
      <c r="S488" s="1428"/>
      <c r="T488" s="767"/>
      <c r="U488" s="767"/>
      <c r="V488" s="767"/>
      <c r="W488" s="1430"/>
      <c r="X488" s="1428"/>
      <c r="Y488" s="767"/>
      <c r="Z488" s="767"/>
      <c r="AA488" s="767"/>
      <c r="AB488" s="1430"/>
      <c r="AC488" s="1428"/>
      <c r="AD488" s="767"/>
      <c r="AE488" s="767"/>
      <c r="AF488" s="767"/>
      <c r="AG488" s="1430"/>
      <c r="AH488" s="1428"/>
      <c r="AI488" s="767"/>
      <c r="AJ488" s="767"/>
      <c r="AK488" s="767"/>
      <c r="AL488" s="1430"/>
      <c r="AM488" s="1428"/>
      <c r="AN488" s="767"/>
      <c r="AO488" s="767"/>
      <c r="AP488" s="767"/>
      <c r="AQ488" s="1430"/>
      <c r="AR488" s="1428"/>
      <c r="AS488" s="767"/>
      <c r="AT488" s="767"/>
      <c r="AU488" s="767"/>
      <c r="AV488" s="1430"/>
      <c r="AW488" s="1428"/>
      <c r="AX488" s="767"/>
      <c r="AY488" s="767"/>
      <c r="AZ488" s="767"/>
      <c r="BA488" s="1430"/>
      <c r="BB488" s="1428"/>
      <c r="BC488" s="767"/>
      <c r="BD488" s="767"/>
      <c r="BE488" s="767"/>
      <c r="BF488" s="1430"/>
      <c r="BG488" s="1428"/>
      <c r="BH488" s="767"/>
      <c r="BI488" s="767"/>
      <c r="BJ488" s="767"/>
      <c r="BK488" s="246"/>
      <c r="BL488" s="767"/>
      <c r="BM488" s="767"/>
      <c r="BN488" s="767"/>
      <c r="BO488" s="767"/>
      <c r="BP488" s="246"/>
      <c r="BQ488" s="767"/>
      <c r="BR488" s="767"/>
      <c r="BS488" s="767"/>
      <c r="BT488" s="767"/>
      <c r="BU488" s="246"/>
      <c r="BV488" s="767"/>
      <c r="BW488" s="767"/>
      <c r="BX488" s="767"/>
      <c r="BY488" s="767"/>
      <c r="BZ488" s="1048"/>
      <c r="CA488" s="3322">
        <v>0</v>
      </c>
      <c r="CB488" s="3322">
        <v>0</v>
      </c>
      <c r="CC488" s="3322">
        <v>0</v>
      </c>
      <c r="CD488" s="3322">
        <v>0</v>
      </c>
      <c r="CE488" s="3323">
        <v>0</v>
      </c>
      <c r="CF488" s="3322">
        <v>180</v>
      </c>
      <c r="CG488" s="3322">
        <v>180</v>
      </c>
      <c r="CH488" s="756">
        <v>180</v>
      </c>
      <c r="CI488" s="756">
        <v>180</v>
      </c>
      <c r="CJ488" s="2293">
        <f t="shared" si="675"/>
        <v>180</v>
      </c>
      <c r="CK488" s="2982">
        <v>180</v>
      </c>
      <c r="CL488" s="2982">
        <v>180</v>
      </c>
      <c r="CM488" s="2982">
        <v>180</v>
      </c>
      <c r="CN488" s="2982">
        <v>180</v>
      </c>
      <c r="CO488" s="2293">
        <f t="shared" si="676"/>
        <v>180</v>
      </c>
      <c r="CP488" s="1261">
        <f t="shared" si="680"/>
        <v>183.6</v>
      </c>
      <c r="CQ488" s="1261">
        <f t="shared" si="680"/>
        <v>183.6</v>
      </c>
      <c r="CR488" s="1261">
        <f t="shared" si="680"/>
        <v>183.6</v>
      </c>
      <c r="CS488" s="1261">
        <f t="shared" si="680"/>
        <v>183.6</v>
      </c>
      <c r="CT488" s="2293">
        <f t="shared" si="677"/>
        <v>183.6</v>
      </c>
      <c r="CU488" s="2293">
        <f>CT488*(1+CU$866)</f>
        <v>193.69799999999998</v>
      </c>
      <c r="CV488" s="2293">
        <f>CU488*(1+CV$866)</f>
        <v>197.57195999999999</v>
      </c>
      <c r="CW488" s="374"/>
      <c r="CX488" s="374"/>
      <c r="CY488" s="374"/>
      <c r="CZ488" s="374"/>
      <c r="DA488" s="374"/>
      <c r="DB488" s="217"/>
    </row>
    <row r="489" spans="1:106" x14ac:dyDescent="0.2">
      <c r="A489" s="3013" t="s">
        <v>2463</v>
      </c>
      <c r="B489" s="651"/>
      <c r="C489" s="236"/>
      <c r="D489" s="234"/>
      <c r="E489" s="234"/>
      <c r="F489" s="234"/>
      <c r="G489" s="234"/>
      <c r="H489" s="236"/>
      <c r="I489" s="1428"/>
      <c r="J489" s="767"/>
      <c r="K489" s="767"/>
      <c r="L489" s="767"/>
      <c r="M489" s="1430"/>
      <c r="N489" s="1428"/>
      <c r="O489" s="767"/>
      <c r="P489" s="767"/>
      <c r="Q489" s="767"/>
      <c r="R489" s="1430"/>
      <c r="S489" s="1428"/>
      <c r="T489" s="767"/>
      <c r="U489" s="767"/>
      <c r="V489" s="767"/>
      <c r="W489" s="1430"/>
      <c r="X489" s="1428"/>
      <c r="Y489" s="767"/>
      <c r="Z489" s="767"/>
      <c r="AA489" s="767"/>
      <c r="AB489" s="1430"/>
      <c r="AC489" s="1428"/>
      <c r="AD489" s="767"/>
      <c r="AE489" s="767"/>
      <c r="AF489" s="767"/>
      <c r="AG489" s="1430"/>
      <c r="AH489" s="1428"/>
      <c r="AI489" s="767"/>
      <c r="AJ489" s="767"/>
      <c r="AK489" s="767"/>
      <c r="AL489" s="1430"/>
      <c r="AM489" s="1428"/>
      <c r="AN489" s="767"/>
      <c r="AO489" s="767"/>
      <c r="AP489" s="767"/>
      <c r="AQ489" s="1430"/>
      <c r="AR489" s="1428"/>
      <c r="AS489" s="767"/>
      <c r="AT489" s="767"/>
      <c r="AU489" s="767"/>
      <c r="AV489" s="1430"/>
      <c r="AW489" s="1428"/>
      <c r="AX489" s="767"/>
      <c r="AY489" s="767"/>
      <c r="AZ489" s="767"/>
      <c r="BA489" s="1430"/>
      <c r="BB489" s="1428"/>
      <c r="BC489" s="767"/>
      <c r="BD489" s="767"/>
      <c r="BE489" s="767"/>
      <c r="BF489" s="1430"/>
      <c r="BG489" s="1428"/>
      <c r="BH489" s="767"/>
      <c r="BI489" s="767"/>
      <c r="BJ489" s="767"/>
      <c r="BK489" s="246"/>
      <c r="BL489" s="767"/>
      <c r="BM489" s="767"/>
      <c r="BN489" s="767"/>
      <c r="BO489" s="767"/>
      <c r="BP489" s="246"/>
      <c r="BQ489" s="767"/>
      <c r="BR489" s="767"/>
      <c r="BS489" s="767"/>
      <c r="BT489" s="767"/>
      <c r="BU489" s="246"/>
      <c r="BV489" s="767"/>
      <c r="BW489" s="767"/>
      <c r="BX489" s="767"/>
      <c r="BY489" s="767"/>
      <c r="BZ489" s="1048"/>
      <c r="CA489" s="3322"/>
      <c r="CB489" s="3322"/>
      <c r="CC489" s="3322">
        <v>0</v>
      </c>
      <c r="CD489" s="3322">
        <v>0</v>
      </c>
      <c r="CE489" s="3323">
        <v>0</v>
      </c>
      <c r="CF489" s="3322">
        <v>0</v>
      </c>
      <c r="CG489" s="3322">
        <v>0</v>
      </c>
      <c r="CH489" s="2983">
        <v>0</v>
      </c>
      <c r="CI489" s="2983">
        <v>0</v>
      </c>
      <c r="CJ489" s="2293">
        <f t="shared" si="675"/>
        <v>0</v>
      </c>
      <c r="CK489" s="2982">
        <v>0</v>
      </c>
      <c r="CL489" s="2982">
        <v>0</v>
      </c>
      <c r="CM489" s="2982">
        <v>0</v>
      </c>
      <c r="CN489" s="2982">
        <v>0</v>
      </c>
      <c r="CO489" s="2922">
        <v>0</v>
      </c>
      <c r="CP489" s="1261">
        <f>CO489</f>
        <v>0</v>
      </c>
      <c r="CQ489" s="1261">
        <f>CP489</f>
        <v>0</v>
      </c>
      <c r="CR489" s="1261">
        <f>CQ489</f>
        <v>0</v>
      </c>
      <c r="CS489" s="1261">
        <f>CR489</f>
        <v>0</v>
      </c>
      <c r="CT489" s="2922">
        <v>0</v>
      </c>
      <c r="CU489" s="2922">
        <v>0</v>
      </c>
      <c r="CV489" s="2922">
        <v>0</v>
      </c>
      <c r="CW489" s="374"/>
      <c r="CX489" s="374"/>
      <c r="CY489" s="374"/>
      <c r="CZ489" s="374"/>
      <c r="DA489" s="374"/>
      <c r="DB489" s="217"/>
    </row>
    <row r="490" spans="1:106" x14ac:dyDescent="0.2">
      <c r="A490" s="3014" t="s">
        <v>2699</v>
      </c>
      <c r="B490" s="651"/>
      <c r="C490" s="236"/>
      <c r="D490" s="234"/>
      <c r="E490" s="234"/>
      <c r="F490" s="234"/>
      <c r="G490" s="234"/>
      <c r="H490" s="236"/>
      <c r="I490" s="1428"/>
      <c r="J490" s="767"/>
      <c r="K490" s="767"/>
      <c r="L490" s="767"/>
      <c r="M490" s="1430"/>
      <c r="N490" s="1428"/>
      <c r="O490" s="767"/>
      <c r="P490" s="767"/>
      <c r="Q490" s="767"/>
      <c r="R490" s="1430"/>
      <c r="S490" s="1428"/>
      <c r="T490" s="767"/>
      <c r="U490" s="767"/>
      <c r="V490" s="767"/>
      <c r="W490" s="1430"/>
      <c r="X490" s="1428"/>
      <c r="Y490" s="767"/>
      <c r="Z490" s="767"/>
      <c r="AA490" s="767"/>
      <c r="AB490" s="1430"/>
      <c r="AC490" s="1428"/>
      <c r="AD490" s="767"/>
      <c r="AE490" s="767"/>
      <c r="AF490" s="767"/>
      <c r="AG490" s="1430"/>
      <c r="AH490" s="1428"/>
      <c r="AI490" s="767"/>
      <c r="AJ490" s="767"/>
      <c r="AK490" s="767"/>
      <c r="AL490" s="1430"/>
      <c r="AM490" s="1428"/>
      <c r="AN490" s="767"/>
      <c r="AO490" s="767"/>
      <c r="AP490" s="767"/>
      <c r="AQ490" s="1430"/>
      <c r="AR490" s="1428"/>
      <c r="AS490" s="767"/>
      <c r="AT490" s="767"/>
      <c r="AU490" s="767"/>
      <c r="AV490" s="1430"/>
      <c r="AW490" s="1428"/>
      <c r="AX490" s="767"/>
      <c r="AY490" s="767"/>
      <c r="AZ490" s="767"/>
      <c r="BA490" s="1430"/>
      <c r="BB490" s="1428"/>
      <c r="BC490" s="767"/>
      <c r="BD490" s="767"/>
      <c r="BE490" s="767"/>
      <c r="BF490" s="1430"/>
      <c r="BG490" s="1428"/>
      <c r="BH490" s="767"/>
      <c r="BI490" s="767"/>
      <c r="BJ490" s="767"/>
      <c r="BK490" s="246"/>
      <c r="BL490" s="767"/>
      <c r="BM490" s="767"/>
      <c r="BN490" s="767"/>
      <c r="BO490" s="767"/>
      <c r="BP490" s="246"/>
      <c r="BQ490" s="767"/>
      <c r="BR490" s="767"/>
      <c r="BS490" s="767"/>
      <c r="BT490" s="767"/>
      <c r="BU490" s="246"/>
      <c r="BV490" s="767"/>
      <c r="BW490" s="767"/>
      <c r="BX490" s="767"/>
      <c r="BY490" s="767"/>
      <c r="BZ490" s="1048"/>
      <c r="CA490" s="3322">
        <v>0</v>
      </c>
      <c r="CB490" s="3322">
        <v>0</v>
      </c>
      <c r="CC490" s="3322">
        <v>0</v>
      </c>
      <c r="CD490" s="3322">
        <v>0</v>
      </c>
      <c r="CE490" s="3323">
        <v>0</v>
      </c>
      <c r="CF490" s="3322">
        <v>0</v>
      </c>
      <c r="CG490" s="3322">
        <v>0</v>
      </c>
      <c r="CH490" s="2983">
        <v>0</v>
      </c>
      <c r="CI490" s="2983">
        <f>4733+25</f>
        <v>4758</v>
      </c>
      <c r="CJ490" s="2293">
        <f t="shared" si="675"/>
        <v>4758</v>
      </c>
      <c r="CK490" s="2982">
        <f>4538+25</f>
        <v>4563</v>
      </c>
      <c r="CL490" s="2982">
        <f>4538+25</f>
        <v>4563</v>
      </c>
      <c r="CM490" s="2982">
        <f>4538+25+1078+467+65</f>
        <v>6173</v>
      </c>
      <c r="CN490" s="2982">
        <f>4650+1078+585+25+65</f>
        <v>6403</v>
      </c>
      <c r="CO490" s="2293">
        <f>CN490</f>
        <v>6403</v>
      </c>
      <c r="CP490" s="1261">
        <f>CK490*(1+CP$866)</f>
        <v>4654.26</v>
      </c>
      <c r="CQ490" s="1261">
        <f>CL490*(1+CQ$866)</f>
        <v>4654.26</v>
      </c>
      <c r="CR490" s="1261">
        <f>CM490*(1+CR$866)</f>
        <v>6296.46</v>
      </c>
      <c r="CS490" s="1261">
        <f>CN490*(1+CS$866)</f>
        <v>6531.06</v>
      </c>
      <c r="CT490" s="2293">
        <f>CS490</f>
        <v>6531.06</v>
      </c>
      <c r="CU490" s="2293">
        <f>CT490*(1+CU$866)</f>
        <v>6890.2682999999997</v>
      </c>
      <c r="CV490" s="2293">
        <f>CU490*(1+CV$866)</f>
        <v>7028.0736660000002</v>
      </c>
      <c r="CW490" s="374"/>
      <c r="CX490" s="374"/>
      <c r="CY490" s="374"/>
      <c r="CZ490" s="374"/>
      <c r="DA490" s="374"/>
      <c r="DB490" s="217"/>
    </row>
    <row r="491" spans="1:106" ht="4.5" customHeight="1" x14ac:dyDescent="0.35">
      <c r="A491" s="1207"/>
      <c r="B491" s="212"/>
      <c r="C491" s="212"/>
      <c r="D491" s="212"/>
      <c r="E491" s="212"/>
      <c r="F491" s="212"/>
      <c r="G491" s="212"/>
      <c r="H491" s="194"/>
      <c r="I491" s="850" t="s">
        <v>2466</v>
      </c>
      <c r="J491" s="850" t="s">
        <v>2139</v>
      </c>
      <c r="K491" s="850" t="s">
        <v>2466</v>
      </c>
      <c r="L491" s="850" t="s">
        <v>2139</v>
      </c>
      <c r="M491" s="3009" t="s">
        <v>2378</v>
      </c>
      <c r="N491" s="850" t="s">
        <v>2466</v>
      </c>
      <c r="O491" s="850" t="s">
        <v>2139</v>
      </c>
      <c r="P491" s="850" t="s">
        <v>2466</v>
      </c>
      <c r="Q491" s="850" t="s">
        <v>2139</v>
      </c>
      <c r="R491" s="3009" t="s">
        <v>2378</v>
      </c>
      <c r="S491" s="850" t="s">
        <v>2466</v>
      </c>
      <c r="T491" s="850" t="s">
        <v>2139</v>
      </c>
      <c r="U491" s="850" t="s">
        <v>2466</v>
      </c>
      <c r="V491" s="850" t="s">
        <v>2139</v>
      </c>
      <c r="W491" s="3009" t="s">
        <v>2378</v>
      </c>
      <c r="X491" s="850" t="s">
        <v>2466</v>
      </c>
      <c r="Y491" s="850" t="s">
        <v>2139</v>
      </c>
      <c r="Z491" s="850" t="s">
        <v>2466</v>
      </c>
      <c r="AA491" s="850" t="s">
        <v>2139</v>
      </c>
      <c r="AB491" s="3009" t="s">
        <v>2378</v>
      </c>
      <c r="AC491" s="850" t="s">
        <v>2466</v>
      </c>
      <c r="AD491" s="850" t="s">
        <v>2139</v>
      </c>
      <c r="AE491" s="850" t="s">
        <v>2466</v>
      </c>
      <c r="AF491" s="850" t="s">
        <v>2139</v>
      </c>
      <c r="AG491" s="3009" t="s">
        <v>2378</v>
      </c>
      <c r="AH491" s="850" t="s">
        <v>2466</v>
      </c>
      <c r="AI491" s="850" t="s">
        <v>2139</v>
      </c>
      <c r="AJ491" s="850" t="s">
        <v>2466</v>
      </c>
      <c r="AK491" s="850" t="s">
        <v>2139</v>
      </c>
      <c r="AL491" s="3009" t="s">
        <v>2378</v>
      </c>
      <c r="AM491" s="850" t="s">
        <v>2466</v>
      </c>
      <c r="AN491" s="850" t="s">
        <v>2139</v>
      </c>
      <c r="AO491" s="850" t="s">
        <v>2466</v>
      </c>
      <c r="AP491" s="850" t="s">
        <v>2139</v>
      </c>
      <c r="AQ491" s="3009" t="s">
        <v>2378</v>
      </c>
      <c r="AR491" s="850" t="s">
        <v>2466</v>
      </c>
      <c r="AS491" s="850" t="s">
        <v>2139</v>
      </c>
      <c r="AT491" s="850" t="s">
        <v>2466</v>
      </c>
      <c r="AU491" s="850" t="s">
        <v>2139</v>
      </c>
      <c r="AV491" s="3009" t="s">
        <v>2378</v>
      </c>
      <c r="AW491" s="850" t="s">
        <v>2466</v>
      </c>
      <c r="AX491" s="850" t="s">
        <v>2139</v>
      </c>
      <c r="AY491" s="850" t="s">
        <v>2466</v>
      </c>
      <c r="AZ491" s="850" t="s">
        <v>2139</v>
      </c>
      <c r="BA491" s="3009" t="s">
        <v>2378</v>
      </c>
      <c r="BB491" s="850" t="s">
        <v>2466</v>
      </c>
      <c r="BC491" s="850" t="s">
        <v>2139</v>
      </c>
      <c r="BD491" s="850" t="s">
        <v>2466</v>
      </c>
      <c r="BE491" s="850" t="s">
        <v>2139</v>
      </c>
      <c r="BF491" s="3009" t="s">
        <v>2378</v>
      </c>
      <c r="BG491" s="3011" t="s">
        <v>2467</v>
      </c>
      <c r="BH491" s="3011" t="s">
        <v>2467</v>
      </c>
      <c r="BI491" s="3011" t="s">
        <v>2467</v>
      </c>
      <c r="BJ491" s="3011" t="s">
        <v>2467</v>
      </c>
      <c r="BK491" s="3009" t="s">
        <v>2139</v>
      </c>
      <c r="BL491" s="3011" t="s">
        <v>1191</v>
      </c>
      <c r="BM491" s="3011" t="s">
        <v>1191</v>
      </c>
      <c r="BN491" s="3011" t="s">
        <v>1191</v>
      </c>
      <c r="BO491" s="3011" t="s">
        <v>1191</v>
      </c>
      <c r="BP491" s="3009" t="s">
        <v>2139</v>
      </c>
      <c r="BQ491" s="3011" t="s">
        <v>2139</v>
      </c>
      <c r="BR491" s="3011" t="s">
        <v>2139</v>
      </c>
      <c r="BS491" s="3011" t="s">
        <v>2139</v>
      </c>
      <c r="BT491" s="3011" t="s">
        <v>2139</v>
      </c>
      <c r="BU491" s="3009" t="s">
        <v>2139</v>
      </c>
      <c r="BV491" s="3011" t="s">
        <v>2468</v>
      </c>
      <c r="BW491" s="3011" t="s">
        <v>2468</v>
      </c>
      <c r="BX491" s="3011" t="s">
        <v>2468</v>
      </c>
      <c r="BY491" s="3011" t="s">
        <v>2467</v>
      </c>
      <c r="BZ491" s="3009" t="s">
        <v>2378</v>
      </c>
      <c r="CA491" s="3011" t="s">
        <v>2466</v>
      </c>
      <c r="CB491" s="3011" t="s">
        <v>2466</v>
      </c>
      <c r="CC491" s="3011" t="s">
        <v>2466</v>
      </c>
      <c r="CD491" s="3011" t="s">
        <v>2378</v>
      </c>
      <c r="CE491" s="3009" t="s">
        <v>2139</v>
      </c>
      <c r="CF491" s="3011" t="s">
        <v>2466</v>
      </c>
      <c r="CG491" s="3011" t="s">
        <v>2378</v>
      </c>
      <c r="CH491" s="3011" t="s">
        <v>2378</v>
      </c>
      <c r="CI491" s="3019" t="s">
        <v>2378</v>
      </c>
      <c r="CJ491" s="3009" t="s">
        <v>2378</v>
      </c>
      <c r="CK491" s="3502" t="s">
        <v>2378</v>
      </c>
      <c r="CL491" s="3502" t="s">
        <v>2378</v>
      </c>
      <c r="CM491" s="3502" t="s">
        <v>2378</v>
      </c>
      <c r="CN491" s="3502">
        <v>65</v>
      </c>
      <c r="CO491" s="3009" t="s">
        <v>2378</v>
      </c>
      <c r="CP491" s="3011" t="s">
        <v>2378</v>
      </c>
      <c r="CQ491" s="3011" t="s">
        <v>2378</v>
      </c>
      <c r="CR491" s="3011" t="s">
        <v>2378</v>
      </c>
      <c r="CS491" s="3011" t="s">
        <v>2378</v>
      </c>
      <c r="CT491" s="3009" t="s">
        <v>2378</v>
      </c>
      <c r="CU491" s="3009" t="s">
        <v>2378</v>
      </c>
      <c r="CV491" s="3009" t="s">
        <v>2378</v>
      </c>
      <c r="DB491" s="217"/>
    </row>
    <row r="492" spans="1:106" x14ac:dyDescent="0.2">
      <c r="A492" s="1437" t="s">
        <v>1735</v>
      </c>
      <c r="B492" s="651"/>
      <c r="C492" s="236"/>
      <c r="D492" s="234"/>
      <c r="E492" s="234"/>
      <c r="F492" s="234"/>
      <c r="G492" s="234"/>
      <c r="H492" s="236"/>
      <c r="I492" s="1429">
        <f t="shared" ref="I492:AN492" si="681">SUM(I461:I478)</f>
        <v>162880</v>
      </c>
      <c r="J492" s="257">
        <f t="shared" si="681"/>
        <v>165025</v>
      </c>
      <c r="K492" s="257">
        <f t="shared" si="681"/>
        <v>168075</v>
      </c>
      <c r="L492" s="257">
        <f t="shared" si="681"/>
        <v>161071</v>
      </c>
      <c r="M492" s="1429">
        <f t="shared" si="681"/>
        <v>161071</v>
      </c>
      <c r="N492" s="1429">
        <f t="shared" si="681"/>
        <v>164082</v>
      </c>
      <c r="O492" s="257">
        <f t="shared" si="681"/>
        <v>165600</v>
      </c>
      <c r="P492" s="257">
        <f t="shared" si="681"/>
        <v>165739</v>
      </c>
      <c r="Q492" s="257">
        <f t="shared" si="681"/>
        <v>168251</v>
      </c>
      <c r="R492" s="1429">
        <f t="shared" si="681"/>
        <v>168251</v>
      </c>
      <c r="S492" s="1429">
        <f t="shared" si="681"/>
        <v>169140</v>
      </c>
      <c r="T492" s="257">
        <f t="shared" si="681"/>
        <v>169795</v>
      </c>
      <c r="U492" s="257">
        <f t="shared" si="681"/>
        <v>170751</v>
      </c>
      <c r="V492" s="257">
        <f t="shared" si="681"/>
        <v>172293</v>
      </c>
      <c r="W492" s="1429">
        <f t="shared" si="681"/>
        <v>172293</v>
      </c>
      <c r="X492" s="1429">
        <f t="shared" si="681"/>
        <v>171642</v>
      </c>
      <c r="Y492" s="257">
        <f t="shared" si="681"/>
        <v>173873</v>
      </c>
      <c r="Z492" s="257">
        <f t="shared" si="681"/>
        <v>176172</v>
      </c>
      <c r="AA492" s="257">
        <f t="shared" si="681"/>
        <v>177766</v>
      </c>
      <c r="AB492" s="1429">
        <f t="shared" si="681"/>
        <v>177766</v>
      </c>
      <c r="AC492" s="1429">
        <f t="shared" si="681"/>
        <v>176382</v>
      </c>
      <c r="AD492" s="257">
        <f t="shared" si="681"/>
        <v>176225</v>
      </c>
      <c r="AE492" s="257">
        <f t="shared" si="681"/>
        <v>172892</v>
      </c>
      <c r="AF492" s="257">
        <f t="shared" si="681"/>
        <v>173365</v>
      </c>
      <c r="AG492" s="1429">
        <f t="shared" si="681"/>
        <v>173365</v>
      </c>
      <c r="AH492" s="1429">
        <f t="shared" si="681"/>
        <v>172967</v>
      </c>
      <c r="AI492" s="257">
        <f t="shared" si="681"/>
        <v>173218</v>
      </c>
      <c r="AJ492" s="257">
        <f t="shared" si="681"/>
        <v>174084</v>
      </c>
      <c r="AK492" s="257">
        <f t="shared" si="681"/>
        <v>173632</v>
      </c>
      <c r="AL492" s="1429">
        <f t="shared" si="681"/>
        <v>173632</v>
      </c>
      <c r="AM492" s="1429">
        <f t="shared" si="681"/>
        <v>172720</v>
      </c>
      <c r="AN492" s="257">
        <f t="shared" si="681"/>
        <v>173286</v>
      </c>
      <c r="AO492" s="257">
        <f t="shared" ref="AO492:BT492" si="682">SUM(AO461:AO478)</f>
        <v>173576</v>
      </c>
      <c r="AP492" s="257">
        <f t="shared" si="682"/>
        <v>175136</v>
      </c>
      <c r="AQ492" s="1429">
        <f t="shared" si="682"/>
        <v>175136</v>
      </c>
      <c r="AR492" s="1429">
        <f t="shared" si="682"/>
        <v>175172</v>
      </c>
      <c r="AS492" s="257">
        <f t="shared" si="682"/>
        <v>175023</v>
      </c>
      <c r="AT492" s="257">
        <f t="shared" si="682"/>
        <v>175134</v>
      </c>
      <c r="AU492" s="257">
        <f t="shared" si="682"/>
        <v>175410</v>
      </c>
      <c r="AV492" s="1429">
        <f t="shared" si="682"/>
        <v>175410</v>
      </c>
      <c r="AW492" s="1429">
        <f t="shared" si="682"/>
        <v>176137</v>
      </c>
      <c r="AX492" s="1429">
        <f t="shared" si="682"/>
        <v>176272</v>
      </c>
      <c r="AY492" s="1429">
        <f t="shared" si="682"/>
        <v>176496</v>
      </c>
      <c r="AZ492" s="1429">
        <f t="shared" si="682"/>
        <v>178036</v>
      </c>
      <c r="BA492" s="1429">
        <f t="shared" si="682"/>
        <v>178036</v>
      </c>
      <c r="BB492" s="1429">
        <f t="shared" si="682"/>
        <v>178961</v>
      </c>
      <c r="BC492" s="257">
        <f t="shared" si="682"/>
        <v>179277</v>
      </c>
      <c r="BD492" s="257">
        <f t="shared" si="682"/>
        <v>179511</v>
      </c>
      <c r="BE492" s="257">
        <f t="shared" si="682"/>
        <v>180796</v>
      </c>
      <c r="BF492" s="1429">
        <f t="shared" si="682"/>
        <v>180796</v>
      </c>
      <c r="BG492" s="1429">
        <f t="shared" si="682"/>
        <v>181628</v>
      </c>
      <c r="BH492" s="257">
        <f t="shared" si="682"/>
        <v>182268</v>
      </c>
      <c r="BI492" s="257">
        <f t="shared" si="682"/>
        <v>181257</v>
      </c>
      <c r="BJ492" s="257">
        <f t="shared" si="682"/>
        <v>180491</v>
      </c>
      <c r="BK492" s="1426">
        <f t="shared" si="682"/>
        <v>180491</v>
      </c>
      <c r="BL492" s="257">
        <f t="shared" si="682"/>
        <v>179935</v>
      </c>
      <c r="BM492" s="257">
        <f t="shared" si="682"/>
        <v>178362</v>
      </c>
      <c r="BN492" s="257">
        <f t="shared" si="682"/>
        <v>176629</v>
      </c>
      <c r="BO492" s="257">
        <f t="shared" si="682"/>
        <v>184714</v>
      </c>
      <c r="BP492" s="1426">
        <f t="shared" si="682"/>
        <v>184714</v>
      </c>
      <c r="BQ492" s="257">
        <f t="shared" si="682"/>
        <v>183574</v>
      </c>
      <c r="BR492" s="257">
        <f t="shared" si="682"/>
        <v>181876</v>
      </c>
      <c r="BS492" s="257">
        <f t="shared" si="682"/>
        <v>180134</v>
      </c>
      <c r="BT492" s="257">
        <f t="shared" si="682"/>
        <v>178237</v>
      </c>
      <c r="BU492" s="1426">
        <f t="shared" ref="BU492:BZ492" si="683">SUM(BU461:BU478)</f>
        <v>178237</v>
      </c>
      <c r="BV492" s="257">
        <f t="shared" si="683"/>
        <v>177284</v>
      </c>
      <c r="BW492" s="257">
        <f t="shared" si="683"/>
        <v>178779</v>
      </c>
      <c r="BX492" s="257">
        <f t="shared" si="683"/>
        <v>177321</v>
      </c>
      <c r="BY492" s="257">
        <f t="shared" si="683"/>
        <v>176313</v>
      </c>
      <c r="BZ492" s="1426">
        <f t="shared" si="683"/>
        <v>176313</v>
      </c>
      <c r="CA492" s="257">
        <f>SUM(CA461:CA478)</f>
        <v>179062</v>
      </c>
      <c r="CB492" s="257">
        <f t="shared" ref="CB492:CG492" si="684">SUM(CB461:CB478)</f>
        <v>186235</v>
      </c>
      <c r="CC492" s="257">
        <f t="shared" si="684"/>
        <v>185638</v>
      </c>
      <c r="CD492" s="257">
        <f t="shared" si="684"/>
        <v>185730</v>
      </c>
      <c r="CE492" s="1426">
        <f t="shared" si="684"/>
        <v>185730</v>
      </c>
      <c r="CF492" s="257">
        <f t="shared" si="684"/>
        <v>184949</v>
      </c>
      <c r="CG492" s="257">
        <f t="shared" si="684"/>
        <v>182285</v>
      </c>
      <c r="CH492" s="257">
        <f>SUM(CH460:CH478)</f>
        <v>182664</v>
      </c>
      <c r="CI492">
        <f>SUM(CI460:CI490)</f>
        <v>250363</v>
      </c>
      <c r="CJ492" s="1426">
        <f t="shared" ref="CJ492:CV492" si="685">SUM(CJ460:CJ490)</f>
        <v>250363</v>
      </c>
      <c r="CK492" s="652">
        <f t="shared" si="685"/>
        <v>250074</v>
      </c>
      <c r="CL492" s="652">
        <f t="shared" si="685"/>
        <v>250300</v>
      </c>
      <c r="CM492" s="652">
        <f>SUM(CM460:CM490)</f>
        <v>252379</v>
      </c>
      <c r="CN492" s="652">
        <f>SUM(CN460:CN490)</f>
        <v>251621</v>
      </c>
      <c r="CO492" s="1426">
        <f t="shared" si="685"/>
        <v>251621</v>
      </c>
      <c r="CP492" s="652">
        <f t="shared" si="685"/>
        <v>256325.32</v>
      </c>
      <c r="CQ492" s="652">
        <f t="shared" si="685"/>
        <v>256568.08999999997</v>
      </c>
      <c r="CR492" s="257">
        <f t="shared" si="685"/>
        <v>258718.26999999996</v>
      </c>
      <c r="CS492" s="257">
        <f t="shared" si="685"/>
        <v>257921.73</v>
      </c>
      <c r="CT492" s="1426">
        <f t="shared" si="685"/>
        <v>257921.73</v>
      </c>
      <c r="CU492" s="1426">
        <f t="shared" si="685"/>
        <v>265674.05070000002</v>
      </c>
      <c r="CV492" s="1426">
        <f t="shared" si="685"/>
        <v>267188.193486</v>
      </c>
      <c r="CW492" s="374"/>
      <c r="CX492" s="374"/>
      <c r="CY492" s="374"/>
      <c r="CZ492" s="374"/>
      <c r="DA492" s="374"/>
      <c r="DB492" s="217"/>
    </row>
    <row r="493" spans="1:106" x14ac:dyDescent="0.2">
      <c r="A493" s="1437"/>
      <c r="B493" s="651"/>
      <c r="C493" s="236"/>
      <c r="D493" s="234"/>
      <c r="E493" s="234"/>
      <c r="F493" s="234"/>
      <c r="G493" s="234"/>
      <c r="H493" s="236"/>
      <c r="I493" s="234"/>
      <c r="J493" s="234"/>
      <c r="K493" s="234"/>
      <c r="L493" s="234"/>
      <c r="M493" s="234"/>
      <c r="N493" s="234"/>
      <c r="O493" s="234"/>
      <c r="P493" s="234"/>
      <c r="Q493" s="234"/>
      <c r="R493" s="234"/>
      <c r="S493" s="234"/>
      <c r="T493" s="234"/>
      <c r="U493" s="234"/>
      <c r="V493" s="234"/>
      <c r="W493" s="234"/>
      <c r="X493" s="234"/>
      <c r="Y493" s="234"/>
      <c r="Z493" s="234"/>
      <c r="AA493" s="234"/>
      <c r="AB493" s="234"/>
      <c r="AC493" s="234"/>
      <c r="AD493" s="234"/>
      <c r="AE493" s="234"/>
      <c r="AF493" s="234"/>
      <c r="AG493" s="234"/>
      <c r="AH493" s="234"/>
      <c r="AI493" s="234"/>
      <c r="AJ493" s="234"/>
      <c r="AK493" s="234"/>
      <c r="AL493" s="234"/>
      <c r="AM493" s="234"/>
      <c r="AN493" s="234"/>
      <c r="AO493" s="234"/>
      <c r="AP493" s="234"/>
      <c r="AQ493" s="234"/>
      <c r="AR493" s="234"/>
      <c r="AS493" s="234"/>
      <c r="AT493" s="234"/>
      <c r="AU493" s="234"/>
      <c r="AV493" s="234"/>
      <c r="AW493" s="234"/>
      <c r="AX493" s="234"/>
      <c r="AY493" s="234"/>
      <c r="AZ493" s="234"/>
      <c r="BA493" s="234"/>
      <c r="BB493" s="234"/>
      <c r="BC493" s="234"/>
      <c r="BD493" s="234"/>
      <c r="BE493" s="234"/>
      <c r="BF493" s="234"/>
      <c r="BG493" s="234"/>
      <c r="BH493" s="234"/>
      <c r="BI493" s="234"/>
      <c r="BJ493" s="234"/>
      <c r="BK493" s="236"/>
      <c r="BL493" s="234"/>
      <c r="BM493" s="234"/>
      <c r="BN493" s="212"/>
      <c r="BO493" s="212"/>
      <c r="BP493" s="194"/>
      <c r="BQ493" s="212"/>
      <c r="BR493" s="212"/>
      <c r="BS493" s="212"/>
      <c r="BT493" s="212"/>
      <c r="BU493" s="194"/>
      <c r="BV493" s="212"/>
      <c r="BW493" s="212"/>
      <c r="BX493" s="212"/>
      <c r="BY493" s="212"/>
      <c r="BZ493" s="194"/>
      <c r="CA493" s="212"/>
      <c r="CB493" s="212"/>
      <c r="CC493" s="212"/>
      <c r="CD493" s="212"/>
      <c r="CE493" s="194"/>
      <c r="CF493" s="212"/>
      <c r="CG493" s="212"/>
      <c r="CH493" s="212"/>
      <c r="CI493" s="212"/>
      <c r="CJ493" s="194"/>
      <c r="CK493" s="2907"/>
      <c r="CL493" s="1282"/>
      <c r="CM493" s="212"/>
      <c r="CN493" s="212"/>
      <c r="CO493" s="194"/>
      <c r="CP493" s="2907"/>
      <c r="CQ493" s="1282"/>
      <c r="CR493" s="212"/>
      <c r="CS493" s="212"/>
      <c r="CT493" s="194"/>
      <c r="CU493" s="194"/>
      <c r="CV493" s="192"/>
      <c r="CW493" s="374"/>
      <c r="CX493" s="374"/>
      <c r="CY493" s="374"/>
      <c r="CZ493" s="374"/>
      <c r="DA493" s="374"/>
      <c r="DB493" s="217"/>
    </row>
    <row r="494" spans="1:106" x14ac:dyDescent="0.2">
      <c r="A494" s="1435" t="s">
        <v>363</v>
      </c>
      <c r="B494" s="651"/>
      <c r="C494" s="236"/>
      <c r="D494" s="234"/>
      <c r="E494" s="234"/>
      <c r="F494" s="234"/>
      <c r="G494" s="234"/>
      <c r="H494" s="236"/>
      <c r="I494" s="234"/>
      <c r="J494" s="234"/>
      <c r="K494" s="234"/>
      <c r="L494" s="234"/>
      <c r="M494" s="234"/>
      <c r="N494" s="234"/>
      <c r="O494" s="234"/>
      <c r="P494" s="234"/>
      <c r="Q494" s="234"/>
      <c r="R494" s="234"/>
      <c r="S494" s="234"/>
      <c r="T494" s="234"/>
      <c r="U494" s="234"/>
      <c r="V494" s="234"/>
      <c r="W494" s="234"/>
      <c r="X494" s="234"/>
      <c r="Y494" s="234"/>
      <c r="Z494" s="234"/>
      <c r="AA494" s="234"/>
      <c r="AB494" s="234"/>
      <c r="AC494" s="234"/>
      <c r="AD494" s="234"/>
      <c r="AE494" s="234"/>
      <c r="AF494" s="234"/>
      <c r="AG494" s="234"/>
      <c r="AH494" s="234"/>
      <c r="AI494" s="234"/>
      <c r="AJ494" s="234"/>
      <c r="AK494" s="234"/>
      <c r="AL494" s="234"/>
      <c r="AM494" s="234"/>
      <c r="AN494" s="234"/>
      <c r="AO494" s="234"/>
      <c r="AP494" s="234"/>
      <c r="AQ494" s="234"/>
      <c r="AR494" s="234"/>
      <c r="AS494" s="234"/>
      <c r="AT494" s="234"/>
      <c r="AU494" s="234"/>
      <c r="AV494" s="234"/>
      <c r="AW494" s="234"/>
      <c r="AX494" s="234"/>
      <c r="AY494" s="234"/>
      <c r="AZ494" s="234"/>
      <c r="BA494" s="234"/>
      <c r="BB494" s="234"/>
      <c r="BC494" s="234"/>
      <c r="BD494" s="234"/>
      <c r="BE494" s="234"/>
      <c r="BF494" s="234"/>
      <c r="BG494" s="234"/>
      <c r="BH494" s="234"/>
      <c r="BI494" s="234"/>
      <c r="BJ494" s="234"/>
      <c r="BK494" s="236"/>
      <c r="BL494" s="234"/>
      <c r="BM494" s="234"/>
      <c r="BN494" s="212"/>
      <c r="BO494" s="212"/>
      <c r="BP494" s="194"/>
      <c r="BQ494" s="212"/>
      <c r="BR494" s="212"/>
      <c r="BS494" s="212"/>
      <c r="BT494" s="212"/>
      <c r="BU494" s="194"/>
      <c r="BV494" s="212"/>
      <c r="BW494" s="212"/>
      <c r="BX494" s="212"/>
      <c r="BY494" s="212"/>
      <c r="BZ494" s="194"/>
      <c r="CA494" s="212"/>
      <c r="CB494" s="212"/>
      <c r="CC494" s="212"/>
      <c r="CD494" s="212"/>
      <c r="CE494" s="194"/>
      <c r="CF494" s="212"/>
      <c r="CG494" s="212"/>
      <c r="CH494" s="212"/>
      <c r="CI494" s="212"/>
      <c r="CJ494" s="194"/>
      <c r="CK494" s="2907"/>
      <c r="CL494" s="212"/>
      <c r="CM494" s="212"/>
      <c r="CN494" s="212"/>
      <c r="CO494" s="194"/>
      <c r="CP494" s="2907"/>
      <c r="CQ494" s="212"/>
      <c r="CR494" s="212"/>
      <c r="CS494" s="212"/>
      <c r="CT494" s="194"/>
      <c r="CU494" s="194"/>
      <c r="CV494" s="194"/>
      <c r="CW494" s="374"/>
      <c r="CX494" s="374"/>
      <c r="CY494" s="374"/>
      <c r="CZ494" s="374"/>
      <c r="DA494" s="374"/>
      <c r="DB494" s="217"/>
    </row>
    <row r="495" spans="1:106" x14ac:dyDescent="0.2">
      <c r="A495" s="2308" t="s">
        <v>456</v>
      </c>
      <c r="B495" s="651"/>
      <c r="C495" s="236"/>
      <c r="D495" s="234"/>
      <c r="E495" s="234"/>
      <c r="F495" s="234"/>
      <c r="G495" s="234"/>
      <c r="H495" s="236"/>
      <c r="I495" s="234"/>
      <c r="J495" s="234"/>
      <c r="K495" s="234"/>
      <c r="L495" s="234"/>
      <c r="M495" s="236"/>
      <c r="N495" s="234"/>
      <c r="O495" s="234"/>
      <c r="P495" s="234"/>
      <c r="Q495" s="234"/>
      <c r="R495" s="236"/>
      <c r="S495" s="234"/>
      <c r="T495" s="234"/>
      <c r="U495" s="234"/>
      <c r="V495" s="234"/>
      <c r="W495" s="236"/>
      <c r="X495" s="234"/>
      <c r="Y495" s="234"/>
      <c r="Z495" s="234"/>
      <c r="AA495" s="234"/>
      <c r="AB495" s="236"/>
      <c r="AC495" s="234"/>
      <c r="AD495" s="234"/>
      <c r="AE495" s="234"/>
      <c r="AF495" s="234"/>
      <c r="AG495" s="236"/>
      <c r="AH495" s="234"/>
      <c r="AI495" s="234"/>
      <c r="AJ495" s="234"/>
      <c r="AK495" s="234"/>
      <c r="AL495" s="236"/>
      <c r="AM495" s="234"/>
      <c r="AN495" s="234"/>
      <c r="AO495" s="234"/>
      <c r="AP495" s="234"/>
      <c r="AQ495" s="236"/>
      <c r="AR495" s="234"/>
      <c r="AS495" s="234"/>
      <c r="AT495" s="234"/>
      <c r="AU495" s="234"/>
      <c r="AV495" s="236"/>
      <c r="AW495" s="234"/>
      <c r="AX495" s="234"/>
      <c r="AY495" s="234"/>
      <c r="AZ495" s="234"/>
      <c r="BA495" s="236"/>
      <c r="BB495" s="234"/>
      <c r="BC495" s="234"/>
      <c r="BD495" s="234"/>
      <c r="BE495" s="234"/>
      <c r="BF495" s="236"/>
      <c r="BG495" s="234"/>
      <c r="BH495" s="234"/>
      <c r="BI495" s="234"/>
      <c r="BJ495" s="234"/>
      <c r="BK495" s="236"/>
      <c r="BL495" s="234"/>
      <c r="BM495" s="234"/>
      <c r="BN495" s="234"/>
      <c r="BO495" s="234"/>
      <c r="BP495" s="236"/>
      <c r="BQ495" s="234"/>
      <c r="BR495" s="234"/>
      <c r="BS495" s="234"/>
      <c r="BT495" s="234"/>
      <c r="BU495" s="236"/>
      <c r="BV495" s="234"/>
      <c r="BW495" s="234"/>
      <c r="BX495" s="234"/>
      <c r="BY495" s="234"/>
      <c r="BZ495" s="236"/>
      <c r="CA495" s="234"/>
      <c r="CB495" s="234"/>
      <c r="CC495" s="234"/>
      <c r="CD495" s="234"/>
      <c r="CE495" s="236"/>
      <c r="CF495" s="234"/>
      <c r="CG495" s="234"/>
      <c r="CH495" s="1231">
        <v>4469</v>
      </c>
      <c r="CI495" s="1231">
        <v>4469</v>
      </c>
      <c r="CJ495" s="752">
        <f t="shared" ref="CJ495:CJ504" si="686">+CI495</f>
        <v>4469</v>
      </c>
      <c r="CK495" s="3501">
        <v>4469</v>
      </c>
      <c r="CL495" s="3501">
        <v>4469</v>
      </c>
      <c r="CM495" s="3501">
        <v>4425</v>
      </c>
      <c r="CN495" s="3501">
        <v>4425</v>
      </c>
      <c r="CO495" s="752">
        <f>+CN495</f>
        <v>4425</v>
      </c>
      <c r="CP495" s="1261">
        <f t="shared" ref="CP495:CS497" si="687">+CK495*(1+CP$882)</f>
        <v>4781.83</v>
      </c>
      <c r="CQ495" s="1261">
        <f t="shared" si="687"/>
        <v>4692.45</v>
      </c>
      <c r="CR495" s="1261">
        <f t="shared" si="687"/>
        <v>4602</v>
      </c>
      <c r="CS495" s="1261">
        <f t="shared" si="687"/>
        <v>4557.75</v>
      </c>
      <c r="CT495" s="752">
        <f t="shared" ref="CT495:CT504" si="688">+CS495</f>
        <v>4557.75</v>
      </c>
      <c r="CU495" s="1243">
        <f t="shared" ref="CU495:CV497" si="689">+CT495*(1+CU$882)</f>
        <v>4831.2150000000001</v>
      </c>
      <c r="CV495" s="1243">
        <f t="shared" si="689"/>
        <v>4976.1514500000003</v>
      </c>
      <c r="CW495" s="374"/>
      <c r="CX495" s="374"/>
      <c r="CY495" s="374"/>
      <c r="CZ495" s="374"/>
      <c r="DA495" s="374"/>
      <c r="DB495" s="217"/>
    </row>
    <row r="496" spans="1:106" x14ac:dyDescent="0.2">
      <c r="A496" s="1434" t="s">
        <v>346</v>
      </c>
      <c r="B496" s="651"/>
      <c r="C496" s="236"/>
      <c r="D496" s="234"/>
      <c r="E496" s="234"/>
      <c r="F496" s="234"/>
      <c r="G496" s="234"/>
      <c r="H496" s="236"/>
      <c r="I496" s="756">
        <f>31244+13758-I639</f>
        <v>31244</v>
      </c>
      <c r="J496" s="756">
        <f>31818+14898-J639</f>
        <v>31818</v>
      </c>
      <c r="K496" s="756">
        <f>32571+15930-K639</f>
        <v>32571</v>
      </c>
      <c r="L496" s="756">
        <f>33768+16205-L639</f>
        <v>33768</v>
      </c>
      <c r="M496" s="752">
        <f>L496</f>
        <v>33768</v>
      </c>
      <c r="N496" s="756">
        <f>34033+16504-N639</f>
        <v>34033</v>
      </c>
      <c r="O496" s="756">
        <f>50826-O639</f>
        <v>34582</v>
      </c>
      <c r="P496" s="756">
        <v>35440</v>
      </c>
      <c r="Q496" s="756">
        <v>36580</v>
      </c>
      <c r="R496" s="752">
        <f>Q496</f>
        <v>36580</v>
      </c>
      <c r="S496" s="756">
        <v>38555</v>
      </c>
      <c r="T496" s="756">
        <v>39651</v>
      </c>
      <c r="U496" s="756">
        <v>39637</v>
      </c>
      <c r="V496" s="754">
        <v>40995</v>
      </c>
      <c r="W496" s="752">
        <f>V496</f>
        <v>40995</v>
      </c>
      <c r="X496" s="756">
        <v>42564</v>
      </c>
      <c r="Y496" s="756">
        <v>43103</v>
      </c>
      <c r="Z496" s="756">
        <v>42999</v>
      </c>
      <c r="AA496" s="754">
        <v>43975</v>
      </c>
      <c r="AB496" s="752">
        <f>+AA496</f>
        <v>43975</v>
      </c>
      <c r="AC496" s="756">
        <v>45472</v>
      </c>
      <c r="AD496" s="756">
        <v>46942</v>
      </c>
      <c r="AE496" s="756">
        <v>47697</v>
      </c>
      <c r="AF496" s="754">
        <v>48549</v>
      </c>
      <c r="AG496" s="752">
        <f>+AF496</f>
        <v>48549</v>
      </c>
      <c r="AH496" s="756">
        <v>50944</v>
      </c>
      <c r="AI496" s="756">
        <v>51715</v>
      </c>
      <c r="AJ496" s="756">
        <v>51947</v>
      </c>
      <c r="AK496" s="754">
        <v>52265</v>
      </c>
      <c r="AL496" s="752">
        <f>+AK496</f>
        <v>52265</v>
      </c>
      <c r="AM496" s="756">
        <v>52445</v>
      </c>
      <c r="AN496" s="756">
        <v>52231</v>
      </c>
      <c r="AO496" s="756">
        <v>52234</v>
      </c>
      <c r="AP496" s="754">
        <v>52199</v>
      </c>
      <c r="AQ496" s="752">
        <f>+AP496</f>
        <v>52199</v>
      </c>
      <c r="AR496" s="756">
        <v>52593</v>
      </c>
      <c r="AS496" s="756">
        <v>52834</v>
      </c>
      <c r="AT496" s="756">
        <v>53397</v>
      </c>
      <c r="AU496" s="754">
        <v>54670</v>
      </c>
      <c r="AV496" s="752">
        <f>+AU496</f>
        <v>54670</v>
      </c>
      <c r="AW496" s="756">
        <v>54881</v>
      </c>
      <c r="AX496" s="756">
        <v>55189</v>
      </c>
      <c r="AY496" s="756">
        <v>56443</v>
      </c>
      <c r="AZ496" s="756">
        <v>57323</v>
      </c>
      <c r="BA496" s="752">
        <f>+AZ496</f>
        <v>57323</v>
      </c>
      <c r="BB496" s="756">
        <v>57910</v>
      </c>
      <c r="BC496" s="756">
        <v>57449</v>
      </c>
      <c r="BD496" s="756">
        <v>57794</v>
      </c>
      <c r="BE496" s="756">
        <v>57851</v>
      </c>
      <c r="BF496" s="752">
        <f t="shared" ref="BF496:BF510" si="690">+BE496</f>
        <v>57851</v>
      </c>
      <c r="BG496" s="756">
        <v>58625</v>
      </c>
      <c r="BH496" s="756">
        <v>58295</v>
      </c>
      <c r="BI496" s="756">
        <f>55742+2914</f>
        <v>58656</v>
      </c>
      <c r="BJ496" s="756">
        <v>58989</v>
      </c>
      <c r="BK496" s="752">
        <f t="shared" ref="BK496:BK510" si="691">+BJ496</f>
        <v>58989</v>
      </c>
      <c r="BL496" s="756">
        <v>58397</v>
      </c>
      <c r="BM496" s="756">
        <v>58821</v>
      </c>
      <c r="BN496" s="756">
        <v>59042</v>
      </c>
      <c r="BO496" s="756">
        <f>56118+2914</f>
        <v>59032</v>
      </c>
      <c r="BP496" s="752">
        <f t="shared" ref="BP496:BP510" si="692">+BO496</f>
        <v>59032</v>
      </c>
      <c r="BQ496" s="1231">
        <v>58043</v>
      </c>
      <c r="BR496" s="1231">
        <v>58019</v>
      </c>
      <c r="BS496" s="1231">
        <v>58294</v>
      </c>
      <c r="BT496" s="756">
        <v>58448</v>
      </c>
      <c r="BU496" s="752">
        <f t="shared" ref="BU496:BU510" si="693">+BT496</f>
        <v>58448</v>
      </c>
      <c r="BV496" s="1231">
        <v>58445</v>
      </c>
      <c r="BW496" s="1231">
        <v>58981</v>
      </c>
      <c r="BX496" s="1231">
        <v>59595</v>
      </c>
      <c r="BY496" s="1231">
        <v>59785</v>
      </c>
      <c r="BZ496" s="752">
        <f>+BY496</f>
        <v>59785</v>
      </c>
      <c r="CA496" s="1231">
        <v>64417</v>
      </c>
      <c r="CB496" s="1231">
        <v>64947</v>
      </c>
      <c r="CC496" s="1231">
        <v>65769</v>
      </c>
      <c r="CD496" s="1231">
        <v>66025</v>
      </c>
      <c r="CE496" s="752">
        <f t="shared" ref="CE496:CE510" si="694">+CD496</f>
        <v>66025</v>
      </c>
      <c r="CF496" s="1231">
        <v>66631</v>
      </c>
      <c r="CG496" s="1231">
        <v>69029</v>
      </c>
      <c r="CH496" s="1231">
        <v>64821</v>
      </c>
      <c r="CI496" s="1231">
        <v>65271</v>
      </c>
      <c r="CJ496" s="752">
        <f t="shared" si="686"/>
        <v>65271</v>
      </c>
      <c r="CK496" s="3501">
        <v>64518</v>
      </c>
      <c r="CL496" s="3501">
        <v>65216</v>
      </c>
      <c r="CM496" s="3501">
        <v>66137</v>
      </c>
      <c r="CN496" s="3501">
        <v>66435</v>
      </c>
      <c r="CO496" s="752">
        <f>+CN496</f>
        <v>66435</v>
      </c>
      <c r="CP496" s="1261">
        <f t="shared" si="687"/>
        <v>69034.260000000009</v>
      </c>
      <c r="CQ496" s="1261">
        <f t="shared" si="687"/>
        <v>68476.800000000003</v>
      </c>
      <c r="CR496" s="1261">
        <f t="shared" si="687"/>
        <v>68782.48</v>
      </c>
      <c r="CS496" s="1261">
        <f t="shared" si="687"/>
        <v>68428.05</v>
      </c>
      <c r="CT496" s="752">
        <f t="shared" si="688"/>
        <v>68428.05</v>
      </c>
      <c r="CU496" s="1243">
        <f t="shared" si="689"/>
        <v>72533.733000000007</v>
      </c>
      <c r="CV496" s="1243">
        <f t="shared" si="689"/>
        <v>74709.744990000007</v>
      </c>
      <c r="CW496" s="374"/>
      <c r="CX496" s="374"/>
      <c r="CY496" s="374"/>
      <c r="CZ496" s="374"/>
      <c r="DA496" s="374"/>
      <c r="DB496" s="217"/>
    </row>
    <row r="497" spans="1:108" x14ac:dyDescent="0.2">
      <c r="A497" s="1434" t="s">
        <v>1385</v>
      </c>
      <c r="B497" s="651"/>
      <c r="C497" s="236"/>
      <c r="D497" s="234"/>
      <c r="E497" s="234"/>
      <c r="F497" s="234"/>
      <c r="G497" s="234"/>
      <c r="H497" s="236"/>
      <c r="I497" s="756">
        <f>6256+4380-I640</f>
        <v>6256</v>
      </c>
      <c r="J497" s="756">
        <f>6724+4380-J640</f>
        <v>6724</v>
      </c>
      <c r="K497" s="756">
        <f>6723+4763-K640</f>
        <v>6723</v>
      </c>
      <c r="L497" s="756">
        <f>7298+4762-L640</f>
        <v>7298</v>
      </c>
      <c r="M497" s="752">
        <f>L497</f>
        <v>7298</v>
      </c>
      <c r="N497" s="756">
        <f>7287+4762-N640</f>
        <v>7287</v>
      </c>
      <c r="O497" s="756">
        <f>12254-O640</f>
        <v>7287</v>
      </c>
      <c r="P497" s="756">
        <v>7287</v>
      </c>
      <c r="Q497" s="756">
        <v>8168</v>
      </c>
      <c r="R497" s="752">
        <f>Q497</f>
        <v>8168</v>
      </c>
      <c r="S497" s="756">
        <v>8467</v>
      </c>
      <c r="T497" s="756">
        <v>8327</v>
      </c>
      <c r="U497" s="756">
        <v>8328</v>
      </c>
      <c r="V497" s="754">
        <v>8036</v>
      </c>
      <c r="W497" s="752">
        <f>V497</f>
        <v>8036</v>
      </c>
      <c r="X497" s="756">
        <v>7747</v>
      </c>
      <c r="Y497" s="756">
        <v>7752</v>
      </c>
      <c r="Z497" s="756">
        <v>7751</v>
      </c>
      <c r="AA497" s="754">
        <v>8297</v>
      </c>
      <c r="AB497" s="752">
        <f>+AA497</f>
        <v>8297</v>
      </c>
      <c r="AC497" s="756">
        <v>8658</v>
      </c>
      <c r="AD497" s="756">
        <v>8578</v>
      </c>
      <c r="AE497" s="756">
        <v>8835</v>
      </c>
      <c r="AF497" s="754">
        <v>9532</v>
      </c>
      <c r="AG497" s="752">
        <f>+AF497</f>
        <v>9532</v>
      </c>
      <c r="AH497" s="756">
        <v>9527</v>
      </c>
      <c r="AI497" s="756">
        <v>9923</v>
      </c>
      <c r="AJ497" s="756">
        <v>9221</v>
      </c>
      <c r="AK497" s="754">
        <v>9225</v>
      </c>
      <c r="AL497" s="752">
        <f>+AK497</f>
        <v>9225</v>
      </c>
      <c r="AM497" s="756">
        <v>8491</v>
      </c>
      <c r="AN497" s="756">
        <v>9226</v>
      </c>
      <c r="AO497" s="756">
        <v>9225</v>
      </c>
      <c r="AP497" s="754">
        <v>9919</v>
      </c>
      <c r="AQ497" s="752">
        <f>+AP497</f>
        <v>9919</v>
      </c>
      <c r="AR497" s="756">
        <v>10593</v>
      </c>
      <c r="AS497" s="756">
        <v>10856</v>
      </c>
      <c r="AT497" s="756">
        <v>10678</v>
      </c>
      <c r="AU497" s="754">
        <v>10910</v>
      </c>
      <c r="AV497" s="752">
        <f>+AU497</f>
        <v>10910</v>
      </c>
      <c r="AW497" s="756">
        <v>10910</v>
      </c>
      <c r="AX497" s="756">
        <v>11060</v>
      </c>
      <c r="AY497" s="756">
        <v>11545</v>
      </c>
      <c r="AZ497" s="756">
        <v>11955</v>
      </c>
      <c r="BA497" s="752">
        <f>+AZ497</f>
        <v>11955</v>
      </c>
      <c r="BB497" s="756">
        <v>11951</v>
      </c>
      <c r="BC497" s="756">
        <v>12106</v>
      </c>
      <c r="BD497" s="756">
        <v>11827</v>
      </c>
      <c r="BE497" s="756">
        <v>11827</v>
      </c>
      <c r="BF497" s="752">
        <f t="shared" si="690"/>
        <v>11827</v>
      </c>
      <c r="BG497" s="756">
        <v>11827</v>
      </c>
      <c r="BH497" s="756">
        <v>11827</v>
      </c>
      <c r="BI497" s="756">
        <f>11198+349</f>
        <v>11547</v>
      </c>
      <c r="BJ497" s="756">
        <v>11803</v>
      </c>
      <c r="BK497" s="752">
        <f t="shared" si="691"/>
        <v>11803</v>
      </c>
      <c r="BL497" s="756">
        <v>12150</v>
      </c>
      <c r="BM497" s="756">
        <v>12150</v>
      </c>
      <c r="BN497" s="756">
        <v>12150</v>
      </c>
      <c r="BO497" s="756">
        <f>11801+349</f>
        <v>12150</v>
      </c>
      <c r="BP497" s="752">
        <f t="shared" si="692"/>
        <v>12150</v>
      </c>
      <c r="BQ497" s="1231">
        <v>12150</v>
      </c>
      <c r="BR497" s="1231">
        <v>12154</v>
      </c>
      <c r="BS497" s="1231">
        <v>12154</v>
      </c>
      <c r="BT497" s="756">
        <v>12154</v>
      </c>
      <c r="BU497" s="752">
        <f t="shared" si="693"/>
        <v>12154</v>
      </c>
      <c r="BV497" s="1231">
        <v>12154</v>
      </c>
      <c r="BW497" s="1231">
        <v>12384</v>
      </c>
      <c r="BX497" s="1231">
        <v>12707</v>
      </c>
      <c r="BY497" s="1231">
        <v>12707</v>
      </c>
      <c r="BZ497" s="752">
        <f>+BY497</f>
        <v>12707</v>
      </c>
      <c r="CA497" s="1231">
        <v>13441</v>
      </c>
      <c r="CB497" s="1231">
        <v>13641</v>
      </c>
      <c r="CC497" s="1231">
        <v>14519</v>
      </c>
      <c r="CD497" s="1231">
        <v>15130</v>
      </c>
      <c r="CE497" s="752">
        <f t="shared" si="694"/>
        <v>15130</v>
      </c>
      <c r="CF497" s="1231">
        <v>15816</v>
      </c>
      <c r="CG497" s="1231">
        <v>15799</v>
      </c>
      <c r="CH497" s="2893">
        <v>16103</v>
      </c>
      <c r="CI497" s="2893">
        <v>16103</v>
      </c>
      <c r="CJ497" s="752">
        <f t="shared" si="686"/>
        <v>16103</v>
      </c>
      <c r="CK497" s="3501">
        <v>16548</v>
      </c>
      <c r="CL497" s="3501">
        <v>16430</v>
      </c>
      <c r="CM497" s="3501">
        <v>16323</v>
      </c>
      <c r="CN497" s="3501">
        <v>16065</v>
      </c>
      <c r="CO497" s="752">
        <f>+CN497</f>
        <v>16065</v>
      </c>
      <c r="CP497" s="1261">
        <f t="shared" si="687"/>
        <v>17706.36</v>
      </c>
      <c r="CQ497" s="1261">
        <f t="shared" si="687"/>
        <v>17251.5</v>
      </c>
      <c r="CR497" s="1261">
        <f t="shared" si="687"/>
        <v>16975.920000000002</v>
      </c>
      <c r="CS497" s="1261">
        <f t="shared" si="687"/>
        <v>16546.95</v>
      </c>
      <c r="CT497" s="752">
        <f t="shared" si="688"/>
        <v>16546.95</v>
      </c>
      <c r="CU497" s="1243">
        <f t="shared" si="689"/>
        <v>17539.767000000003</v>
      </c>
      <c r="CV497" s="1243">
        <f t="shared" si="689"/>
        <v>18065.960010000003</v>
      </c>
      <c r="CW497" s="374"/>
      <c r="CX497" s="374"/>
      <c r="CY497" s="374"/>
      <c r="CZ497" s="374"/>
      <c r="DA497" s="374"/>
      <c r="DB497" s="217"/>
    </row>
    <row r="498" spans="1:108" x14ac:dyDescent="0.2">
      <c r="A498" s="1434" t="s">
        <v>512</v>
      </c>
      <c r="B498" s="651"/>
      <c r="C498" s="236"/>
      <c r="D498" s="234"/>
      <c r="E498" s="234"/>
      <c r="F498" s="234"/>
      <c r="G498" s="234"/>
      <c r="H498" s="236"/>
      <c r="I498" s="1427">
        <v>0</v>
      </c>
      <c r="J498" s="845">
        <v>0</v>
      </c>
      <c r="K498" s="845">
        <v>0</v>
      </c>
      <c r="L498" s="845">
        <v>0</v>
      </c>
      <c r="M498" s="661">
        <v>0</v>
      </c>
      <c r="N498" s="1427">
        <v>0</v>
      </c>
      <c r="O498" s="845">
        <v>0</v>
      </c>
      <c r="P498" s="845">
        <v>0</v>
      </c>
      <c r="Q498" s="845">
        <v>0</v>
      </c>
      <c r="R498" s="661">
        <v>0</v>
      </c>
      <c r="S498" s="1427">
        <v>0</v>
      </c>
      <c r="T498" s="845">
        <v>0</v>
      </c>
      <c r="U498" s="845">
        <v>0</v>
      </c>
      <c r="V498" s="845">
        <v>0</v>
      </c>
      <c r="W498" s="661">
        <v>0</v>
      </c>
      <c r="X498" s="1427">
        <v>0</v>
      </c>
      <c r="Y498" s="845">
        <v>0</v>
      </c>
      <c r="Z498" s="845">
        <v>0</v>
      </c>
      <c r="AA498" s="845">
        <v>0</v>
      </c>
      <c r="AB498" s="661">
        <v>0</v>
      </c>
      <c r="AC498" s="1427">
        <v>0</v>
      </c>
      <c r="AD498" s="845">
        <v>0</v>
      </c>
      <c r="AE498" s="845">
        <v>0</v>
      </c>
      <c r="AF498" s="845">
        <v>0</v>
      </c>
      <c r="AG498" s="661">
        <v>0</v>
      </c>
      <c r="AH498" s="1427">
        <v>0</v>
      </c>
      <c r="AI498" s="845">
        <v>0</v>
      </c>
      <c r="AJ498" s="845">
        <v>0</v>
      </c>
      <c r="AK498" s="845">
        <v>0</v>
      </c>
      <c r="AL498" s="661">
        <v>0</v>
      </c>
      <c r="AM498" s="1427">
        <v>0</v>
      </c>
      <c r="AN498" s="845">
        <v>0</v>
      </c>
      <c r="AO498" s="845">
        <v>0</v>
      </c>
      <c r="AP498" s="845">
        <v>0</v>
      </c>
      <c r="AQ498" s="661">
        <v>0</v>
      </c>
      <c r="AR498" s="1427">
        <v>0</v>
      </c>
      <c r="AS498" s="845">
        <v>0</v>
      </c>
      <c r="AT498" s="845">
        <v>0</v>
      </c>
      <c r="AU498" s="845">
        <v>0</v>
      </c>
      <c r="AV498" s="661">
        <v>0</v>
      </c>
      <c r="AW498" s="1427">
        <v>0</v>
      </c>
      <c r="AX498" s="845">
        <v>0</v>
      </c>
      <c r="AY498" s="845">
        <v>0</v>
      </c>
      <c r="AZ498" s="845">
        <v>0</v>
      </c>
      <c r="BA498" s="661">
        <v>0</v>
      </c>
      <c r="BB498" s="756">
        <v>242</v>
      </c>
      <c r="BC498" s="756">
        <v>1529</v>
      </c>
      <c r="BD498" s="756">
        <v>1646</v>
      </c>
      <c r="BE498" s="756">
        <v>3828</v>
      </c>
      <c r="BF498" s="752">
        <f t="shared" si="690"/>
        <v>3828</v>
      </c>
      <c r="BG498" s="756">
        <v>3954</v>
      </c>
      <c r="BH498" s="756">
        <v>4118</v>
      </c>
      <c r="BI498" s="756">
        <v>4860</v>
      </c>
      <c r="BJ498" s="756">
        <v>5207</v>
      </c>
      <c r="BK498" s="752">
        <f t="shared" si="691"/>
        <v>5207</v>
      </c>
      <c r="BL498" s="756">
        <v>5815</v>
      </c>
      <c r="BM498" s="756">
        <v>6223</v>
      </c>
      <c r="BN498" s="756">
        <v>6298</v>
      </c>
      <c r="BO498" s="756">
        <v>6609</v>
      </c>
      <c r="BP498" s="1243">
        <f t="shared" si="692"/>
        <v>6609</v>
      </c>
      <c r="BQ498" s="1231">
        <v>6910</v>
      </c>
      <c r="BR498" s="1231">
        <v>6917</v>
      </c>
      <c r="BS498" s="1231">
        <v>8059</v>
      </c>
      <c r="BT498" s="756">
        <v>8410</v>
      </c>
      <c r="BU498" s="1243">
        <f t="shared" si="693"/>
        <v>8410</v>
      </c>
      <c r="BV498" s="1231">
        <v>8842</v>
      </c>
      <c r="BW498" s="1231">
        <v>8842</v>
      </c>
      <c r="BX498" s="1231">
        <v>8817</v>
      </c>
      <c r="BY498" s="1231">
        <v>9901</v>
      </c>
      <c r="BZ498" s="1243">
        <f>+BY498</f>
        <v>9901</v>
      </c>
      <c r="CA498" s="1231">
        <v>10419</v>
      </c>
      <c r="CB498" s="1231">
        <v>11381</v>
      </c>
      <c r="CC498" s="1231">
        <v>11777</v>
      </c>
      <c r="CD498" s="1231">
        <v>12070</v>
      </c>
      <c r="CE498" s="1243">
        <f t="shared" si="694"/>
        <v>12070</v>
      </c>
      <c r="CF498" s="1231">
        <v>12443</v>
      </c>
      <c r="CG498" s="1231">
        <v>12649</v>
      </c>
      <c r="CH498" s="2893">
        <v>12804</v>
      </c>
      <c r="CI498" s="2893">
        <v>13234</v>
      </c>
      <c r="CJ498" s="1243">
        <f t="shared" si="686"/>
        <v>13234</v>
      </c>
      <c r="CK498" s="3501">
        <v>14655</v>
      </c>
      <c r="CL498" s="3501">
        <v>15008</v>
      </c>
      <c r="CM498" s="3501">
        <v>15247</v>
      </c>
      <c r="CN498" s="3501">
        <v>15903</v>
      </c>
      <c r="CO498" s="1243">
        <f>+CN498</f>
        <v>15903</v>
      </c>
      <c r="CP498" s="1261">
        <f t="shared" ref="CP498:CS499" si="695">+CK498*(1+CP882)</f>
        <v>15680.85</v>
      </c>
      <c r="CQ498" s="1261">
        <f t="shared" si="695"/>
        <v>15758.400000000001</v>
      </c>
      <c r="CR498" s="1261">
        <f t="shared" si="695"/>
        <v>15856.880000000001</v>
      </c>
      <c r="CS498" s="1261">
        <f t="shared" si="695"/>
        <v>16380.09</v>
      </c>
      <c r="CT498" s="1243">
        <f t="shared" si="688"/>
        <v>16380.09</v>
      </c>
      <c r="CU498" s="1243">
        <f>+CT498*(1+CU882)</f>
        <v>17362.895400000001</v>
      </c>
      <c r="CV498" s="1243">
        <f>+CU498*(1+CV882)</f>
        <v>17883.782262000001</v>
      </c>
      <c r="CW498" s="374"/>
      <c r="CX498" s="374"/>
      <c r="CY498" s="374"/>
      <c r="CZ498" s="374"/>
      <c r="DA498" s="374"/>
      <c r="DB498" s="217"/>
    </row>
    <row r="499" spans="1:108" x14ac:dyDescent="0.2">
      <c r="A499" s="2288" t="s">
        <v>608</v>
      </c>
      <c r="B499" s="651"/>
      <c r="C499" s="236"/>
      <c r="D499" s="234"/>
      <c r="E499" s="234"/>
      <c r="F499" s="234"/>
      <c r="G499" s="234"/>
      <c r="H499" s="848">
        <v>0</v>
      </c>
      <c r="I499" s="1427">
        <v>0</v>
      </c>
      <c r="J499" s="845">
        <v>0</v>
      </c>
      <c r="K499" s="845">
        <v>0</v>
      </c>
      <c r="L499" s="845">
        <v>0</v>
      </c>
      <c r="M499" s="661">
        <v>0</v>
      </c>
      <c r="N499" s="1427">
        <v>0</v>
      </c>
      <c r="O499" s="845">
        <v>0</v>
      </c>
      <c r="P499" s="845">
        <v>0</v>
      </c>
      <c r="Q499" s="845">
        <v>0</v>
      </c>
      <c r="R499" s="661">
        <v>0</v>
      </c>
      <c r="S499" s="1427">
        <v>0</v>
      </c>
      <c r="T499" s="845">
        <v>0</v>
      </c>
      <c r="U499" s="845">
        <v>0</v>
      </c>
      <c r="V499" s="845">
        <v>0</v>
      </c>
      <c r="W499" s="661">
        <v>0</v>
      </c>
      <c r="X499" s="1427">
        <v>0</v>
      </c>
      <c r="Y499" s="845">
        <v>0</v>
      </c>
      <c r="Z499" s="845">
        <v>0</v>
      </c>
      <c r="AA499" s="845">
        <v>0</v>
      </c>
      <c r="AB499" s="661">
        <v>0</v>
      </c>
      <c r="AC499" s="1427">
        <v>0</v>
      </c>
      <c r="AD499" s="845">
        <v>0</v>
      </c>
      <c r="AE499" s="845">
        <v>0</v>
      </c>
      <c r="AF499" s="845">
        <v>0</v>
      </c>
      <c r="AG499" s="661">
        <v>0</v>
      </c>
      <c r="AH499" s="1427">
        <v>0</v>
      </c>
      <c r="AI499" s="845">
        <v>0</v>
      </c>
      <c r="AJ499" s="845">
        <v>0</v>
      </c>
      <c r="AK499" s="845">
        <v>0</v>
      </c>
      <c r="AL499" s="661">
        <v>0</v>
      </c>
      <c r="AM499" s="1427">
        <v>0</v>
      </c>
      <c r="AN499" s="845">
        <v>0</v>
      </c>
      <c r="AO499" s="845">
        <v>0</v>
      </c>
      <c r="AP499" s="845">
        <v>0</v>
      </c>
      <c r="AQ499" s="661">
        <v>0</v>
      </c>
      <c r="AR499" s="845">
        <v>0</v>
      </c>
      <c r="AS499" s="845">
        <v>0</v>
      </c>
      <c r="AT499" s="845">
        <v>0</v>
      </c>
      <c r="AU499" s="845">
        <v>0</v>
      </c>
      <c r="AV499" s="661">
        <v>0</v>
      </c>
      <c r="AW499" s="845">
        <v>0</v>
      </c>
      <c r="AX499" s="845">
        <v>0</v>
      </c>
      <c r="AY499" s="845">
        <v>0</v>
      </c>
      <c r="AZ499" s="845">
        <v>0</v>
      </c>
      <c r="BA499" s="661">
        <v>0</v>
      </c>
      <c r="BB499" s="1427">
        <v>0</v>
      </c>
      <c r="BC499" s="845">
        <v>0</v>
      </c>
      <c r="BD499" s="845">
        <v>0</v>
      </c>
      <c r="BE499" s="845">
        <v>0</v>
      </c>
      <c r="BF499" s="661">
        <v>0</v>
      </c>
      <c r="BG499" s="1427">
        <v>0</v>
      </c>
      <c r="BH499" s="845">
        <v>0</v>
      </c>
      <c r="BI499" s="845">
        <v>0</v>
      </c>
      <c r="BJ499" s="845">
        <v>0</v>
      </c>
      <c r="BK499" s="661">
        <v>0</v>
      </c>
      <c r="BL499" s="845">
        <v>0</v>
      </c>
      <c r="BM499" s="845">
        <v>0</v>
      </c>
      <c r="BN499" s="845">
        <v>0</v>
      </c>
      <c r="BO499" s="847">
        <f>BN499</f>
        <v>0</v>
      </c>
      <c r="BP499" s="661">
        <v>0</v>
      </c>
      <c r="BQ499" s="845">
        <v>0</v>
      </c>
      <c r="BR499" s="845">
        <v>0</v>
      </c>
      <c r="BS499" s="845">
        <v>0</v>
      </c>
      <c r="BT499" s="847">
        <v>0</v>
      </c>
      <c r="BU499" s="661">
        <v>0</v>
      </c>
      <c r="BV499" s="845">
        <v>0</v>
      </c>
      <c r="BW499" s="845">
        <v>0</v>
      </c>
      <c r="BX499" s="845">
        <v>0</v>
      </c>
      <c r="BY499" s="845">
        <v>0</v>
      </c>
      <c r="BZ499" s="661">
        <v>0</v>
      </c>
      <c r="CA499" s="845">
        <v>0</v>
      </c>
      <c r="CB499" s="845">
        <v>0</v>
      </c>
      <c r="CC499" s="845">
        <v>0</v>
      </c>
      <c r="CD499" s="845">
        <v>0</v>
      </c>
      <c r="CE499" s="661">
        <v>0</v>
      </c>
      <c r="CF499" s="845">
        <v>186</v>
      </c>
      <c r="CG499" s="845">
        <v>294</v>
      </c>
      <c r="CH499" s="845">
        <v>294</v>
      </c>
      <c r="CI499" s="845">
        <v>294</v>
      </c>
      <c r="CJ499" s="1243">
        <f t="shared" si="686"/>
        <v>294</v>
      </c>
      <c r="CK499" s="2982">
        <v>294</v>
      </c>
      <c r="CL499" s="2982">
        <v>294</v>
      </c>
      <c r="CM499" s="2982">
        <v>906</v>
      </c>
      <c r="CN499" s="2982">
        <v>1076</v>
      </c>
      <c r="CO499" s="1243">
        <f>+CN499</f>
        <v>1076</v>
      </c>
      <c r="CP499" s="1261">
        <f t="shared" si="695"/>
        <v>294</v>
      </c>
      <c r="CQ499" s="1261">
        <f t="shared" si="695"/>
        <v>294</v>
      </c>
      <c r="CR499" s="1261">
        <f t="shared" si="695"/>
        <v>906</v>
      </c>
      <c r="CS499" s="1261">
        <f t="shared" si="695"/>
        <v>1076</v>
      </c>
      <c r="CT499" s="1243">
        <f t="shared" si="688"/>
        <v>1076</v>
      </c>
      <c r="CU499" s="1243">
        <f>+CT499*(1+CU883)</f>
        <v>1076</v>
      </c>
      <c r="CV499" s="1243">
        <f>+CU499*(1+CV883)</f>
        <v>1076</v>
      </c>
      <c r="CW499" s="374"/>
      <c r="CX499" s="374"/>
      <c r="CY499" s="374"/>
      <c r="CZ499" s="374"/>
      <c r="DA499" s="374"/>
      <c r="DB499" s="217"/>
    </row>
    <row r="500" spans="1:108" x14ac:dyDescent="0.2">
      <c r="A500" s="1434" t="s">
        <v>510</v>
      </c>
      <c r="B500" s="651"/>
      <c r="C500" s="236"/>
      <c r="D500" s="234"/>
      <c r="E500" s="234"/>
      <c r="F500" s="234"/>
      <c r="G500" s="234"/>
      <c r="H500" s="236"/>
      <c r="I500" s="1427">
        <v>0</v>
      </c>
      <c r="J500" s="845">
        <v>0</v>
      </c>
      <c r="K500" s="845">
        <v>0</v>
      </c>
      <c r="L500" s="845">
        <v>0</v>
      </c>
      <c r="M500" s="661">
        <f t="shared" ref="M500:M510" si="696">L500</f>
        <v>0</v>
      </c>
      <c r="N500" s="1427">
        <v>0</v>
      </c>
      <c r="O500" s="845">
        <v>0</v>
      </c>
      <c r="P500" s="845">
        <v>0</v>
      </c>
      <c r="Q500" s="845">
        <v>0</v>
      </c>
      <c r="R500" s="661">
        <f t="shared" ref="R500:R510" si="697">Q500</f>
        <v>0</v>
      </c>
      <c r="S500" s="1427">
        <v>0</v>
      </c>
      <c r="T500" s="845">
        <v>0</v>
      </c>
      <c r="U500" s="845">
        <v>0</v>
      </c>
      <c r="V500" s="845">
        <v>0</v>
      </c>
      <c r="W500" s="661">
        <f t="shared" ref="W500:W510" si="698">V500</f>
        <v>0</v>
      </c>
      <c r="X500" s="1427">
        <v>0</v>
      </c>
      <c r="Y500" s="845">
        <v>0</v>
      </c>
      <c r="Z500" s="845">
        <v>0</v>
      </c>
      <c r="AA500" s="845">
        <v>0</v>
      </c>
      <c r="AB500" s="661">
        <f t="shared" ref="AB500:AB510" si="699">+AA500</f>
        <v>0</v>
      </c>
      <c r="AC500" s="1427">
        <v>0</v>
      </c>
      <c r="AD500" s="845">
        <v>0</v>
      </c>
      <c r="AE500" s="845">
        <v>0</v>
      </c>
      <c r="AF500" s="845">
        <v>0</v>
      </c>
      <c r="AG500" s="661">
        <f t="shared" ref="AG500:AG510" si="700">+AF500</f>
        <v>0</v>
      </c>
      <c r="AH500" s="1427">
        <v>0</v>
      </c>
      <c r="AI500" s="845">
        <v>0</v>
      </c>
      <c r="AJ500" s="845">
        <v>0</v>
      </c>
      <c r="AK500" s="845">
        <v>0</v>
      </c>
      <c r="AL500" s="661">
        <f t="shared" ref="AL500:AL510" si="701">+AK500</f>
        <v>0</v>
      </c>
      <c r="AM500" s="1427">
        <v>0</v>
      </c>
      <c r="AN500" s="845">
        <v>0</v>
      </c>
      <c r="AO500" s="845">
        <v>0</v>
      </c>
      <c r="AP500" s="845">
        <v>0</v>
      </c>
      <c r="AQ500" s="661">
        <f t="shared" ref="AQ500:AQ510" si="702">+AP500</f>
        <v>0</v>
      </c>
      <c r="AR500" s="1427">
        <v>0</v>
      </c>
      <c r="AS500" s="845">
        <v>0</v>
      </c>
      <c r="AT500" s="845">
        <v>0</v>
      </c>
      <c r="AU500" s="845">
        <v>0</v>
      </c>
      <c r="AV500" s="661">
        <f t="shared" ref="AV500:AV510" si="703">+AU500</f>
        <v>0</v>
      </c>
      <c r="AW500" s="1427">
        <v>0</v>
      </c>
      <c r="AX500" s="845">
        <v>0</v>
      </c>
      <c r="AY500" s="845">
        <v>0</v>
      </c>
      <c r="AZ500" s="845">
        <v>0</v>
      </c>
      <c r="BA500" s="661">
        <f t="shared" ref="BA500:BA510" si="704">+AZ500</f>
        <v>0</v>
      </c>
      <c r="BB500" s="756">
        <v>0</v>
      </c>
      <c r="BC500" s="756">
        <v>0</v>
      </c>
      <c r="BD500" s="756">
        <v>0</v>
      </c>
      <c r="BE500" s="756">
        <v>0</v>
      </c>
      <c r="BF500" s="752">
        <f t="shared" si="690"/>
        <v>0</v>
      </c>
      <c r="BG500" s="756">
        <v>0</v>
      </c>
      <c r="BH500" s="756">
        <v>0</v>
      </c>
      <c r="BI500" s="756">
        <v>0</v>
      </c>
      <c r="BJ500" s="756">
        <v>0</v>
      </c>
      <c r="BK500" s="752">
        <f t="shared" si="691"/>
        <v>0</v>
      </c>
      <c r="BL500" s="756">
        <v>0</v>
      </c>
      <c r="BM500" s="756">
        <v>0</v>
      </c>
      <c r="BN500" s="756">
        <v>0</v>
      </c>
      <c r="BO500" s="756">
        <v>0</v>
      </c>
      <c r="BP500" s="1243">
        <f t="shared" si="692"/>
        <v>0</v>
      </c>
      <c r="BQ500" s="1261">
        <v>0</v>
      </c>
      <c r="BR500" s="1231">
        <v>0</v>
      </c>
      <c r="BS500" s="1231">
        <v>0</v>
      </c>
      <c r="BT500" s="756">
        <v>0</v>
      </c>
      <c r="BU500" s="1243">
        <f t="shared" si="693"/>
        <v>0</v>
      </c>
      <c r="BV500" s="1261">
        <v>0</v>
      </c>
      <c r="BW500" s="1261">
        <v>0</v>
      </c>
      <c r="BX500" s="1261">
        <v>0</v>
      </c>
      <c r="BY500" s="1261">
        <v>0</v>
      </c>
      <c r="BZ500" s="1243">
        <f>+BY500</f>
        <v>0</v>
      </c>
      <c r="CA500" s="2686">
        <v>0</v>
      </c>
      <c r="CB500" s="2686">
        <v>0</v>
      </c>
      <c r="CC500" s="2893">
        <v>429</v>
      </c>
      <c r="CD500" s="2893">
        <v>429</v>
      </c>
      <c r="CE500" s="1243">
        <f t="shared" si="694"/>
        <v>429</v>
      </c>
      <c r="CF500" s="845">
        <v>429</v>
      </c>
      <c r="CG500" s="845">
        <v>429</v>
      </c>
      <c r="CH500" s="845">
        <v>429</v>
      </c>
      <c r="CI500" s="845">
        <v>429</v>
      </c>
      <c r="CJ500" s="1243">
        <f t="shared" si="686"/>
        <v>429</v>
      </c>
      <c r="CK500" s="3501">
        <v>429</v>
      </c>
      <c r="CL500" s="3501">
        <v>429</v>
      </c>
      <c r="CM500" s="3501">
        <v>429</v>
      </c>
      <c r="CN500" s="3501">
        <v>429</v>
      </c>
      <c r="CO500" s="1243">
        <f t="shared" ref="CO500:CO503" si="705">+CN500</f>
        <v>429</v>
      </c>
      <c r="CP500" s="1261">
        <f t="shared" ref="CP500:CS503" si="706">CO500</f>
        <v>429</v>
      </c>
      <c r="CQ500" s="1261">
        <f t="shared" si="706"/>
        <v>429</v>
      </c>
      <c r="CR500" s="1261">
        <f t="shared" si="706"/>
        <v>429</v>
      </c>
      <c r="CS500" s="1261">
        <f t="shared" si="706"/>
        <v>429</v>
      </c>
      <c r="CT500" s="1243">
        <f t="shared" si="688"/>
        <v>429</v>
      </c>
      <c r="CU500" s="1243">
        <f t="shared" ref="CU500:CV503" si="707">+CT500</f>
        <v>429</v>
      </c>
      <c r="CV500" s="1243">
        <f t="shared" si="707"/>
        <v>429</v>
      </c>
      <c r="CW500" s="374"/>
      <c r="CX500" s="374"/>
      <c r="CY500" s="374"/>
      <c r="CZ500" s="374"/>
      <c r="DA500" s="374"/>
      <c r="DB500" s="217"/>
    </row>
    <row r="501" spans="1:108" x14ac:dyDescent="0.2">
      <c r="A501" s="1434" t="s">
        <v>511</v>
      </c>
      <c r="B501" s="651"/>
      <c r="C501" s="236"/>
      <c r="D501" s="234"/>
      <c r="E501" s="234"/>
      <c r="F501" s="234"/>
      <c r="G501" s="234"/>
      <c r="H501" s="236"/>
      <c r="I501" s="1427">
        <v>0</v>
      </c>
      <c r="J501" s="845">
        <v>0</v>
      </c>
      <c r="K501" s="845">
        <v>0</v>
      </c>
      <c r="L501" s="845">
        <v>0</v>
      </c>
      <c r="M501" s="661">
        <f t="shared" si="696"/>
        <v>0</v>
      </c>
      <c r="N501" s="1427">
        <v>0</v>
      </c>
      <c r="O501" s="845">
        <v>0</v>
      </c>
      <c r="P501" s="845">
        <v>0</v>
      </c>
      <c r="Q501" s="845">
        <v>0</v>
      </c>
      <c r="R501" s="661">
        <f t="shared" si="697"/>
        <v>0</v>
      </c>
      <c r="S501" s="1427">
        <v>0</v>
      </c>
      <c r="T501" s="845">
        <v>0</v>
      </c>
      <c r="U501" s="845">
        <v>0</v>
      </c>
      <c r="V501" s="845">
        <v>0</v>
      </c>
      <c r="W501" s="661">
        <f t="shared" si="698"/>
        <v>0</v>
      </c>
      <c r="X501" s="1427">
        <v>0</v>
      </c>
      <c r="Y501" s="845">
        <v>0</v>
      </c>
      <c r="Z501" s="845">
        <v>0</v>
      </c>
      <c r="AA501" s="845">
        <v>0</v>
      </c>
      <c r="AB501" s="661">
        <f t="shared" si="699"/>
        <v>0</v>
      </c>
      <c r="AC501" s="1427">
        <v>0</v>
      </c>
      <c r="AD501" s="845">
        <v>0</v>
      </c>
      <c r="AE501" s="845">
        <v>0</v>
      </c>
      <c r="AF501" s="845">
        <v>0</v>
      </c>
      <c r="AG501" s="661">
        <f t="shared" si="700"/>
        <v>0</v>
      </c>
      <c r="AH501" s="1427">
        <v>0</v>
      </c>
      <c r="AI501" s="845">
        <v>0</v>
      </c>
      <c r="AJ501" s="845">
        <v>0</v>
      </c>
      <c r="AK501" s="845">
        <v>0</v>
      </c>
      <c r="AL501" s="661">
        <f t="shared" si="701"/>
        <v>0</v>
      </c>
      <c r="AM501" s="1427">
        <v>0</v>
      </c>
      <c r="AN501" s="845">
        <v>0</v>
      </c>
      <c r="AO501" s="845">
        <v>0</v>
      </c>
      <c r="AP501" s="845">
        <v>0</v>
      </c>
      <c r="AQ501" s="661">
        <f t="shared" si="702"/>
        <v>0</v>
      </c>
      <c r="AR501" s="1427">
        <v>0</v>
      </c>
      <c r="AS501" s="845">
        <v>0</v>
      </c>
      <c r="AT501" s="845">
        <v>0</v>
      </c>
      <c r="AU501" s="845">
        <v>0</v>
      </c>
      <c r="AV501" s="661">
        <f t="shared" si="703"/>
        <v>0</v>
      </c>
      <c r="AW501" s="1427">
        <v>0</v>
      </c>
      <c r="AX501" s="845">
        <v>0</v>
      </c>
      <c r="AY501" s="845">
        <v>0</v>
      </c>
      <c r="AZ501" s="845">
        <v>0</v>
      </c>
      <c r="BA501" s="661">
        <f t="shared" si="704"/>
        <v>0</v>
      </c>
      <c r="BB501" s="756">
        <v>0</v>
      </c>
      <c r="BC501" s="756">
        <v>0</v>
      </c>
      <c r="BD501" s="756">
        <v>0</v>
      </c>
      <c r="BE501" s="756">
        <v>0</v>
      </c>
      <c r="BF501" s="752">
        <f t="shared" si="690"/>
        <v>0</v>
      </c>
      <c r="BG501" s="756">
        <v>0</v>
      </c>
      <c r="BH501" s="756">
        <v>0</v>
      </c>
      <c r="BI501" s="756">
        <v>0</v>
      </c>
      <c r="BJ501" s="756">
        <v>0</v>
      </c>
      <c r="BK501" s="752">
        <f t="shared" si="691"/>
        <v>0</v>
      </c>
      <c r="BL501" s="756">
        <v>0</v>
      </c>
      <c r="BM501" s="756">
        <v>0</v>
      </c>
      <c r="BN501" s="756">
        <v>0</v>
      </c>
      <c r="BO501" s="756">
        <v>0</v>
      </c>
      <c r="BP501" s="1243">
        <f t="shared" si="692"/>
        <v>0</v>
      </c>
      <c r="BQ501" s="1261">
        <v>0</v>
      </c>
      <c r="BR501" s="1231">
        <v>0</v>
      </c>
      <c r="BS501" s="1231">
        <v>0</v>
      </c>
      <c r="BT501" s="756">
        <v>0</v>
      </c>
      <c r="BU501" s="1243">
        <f t="shared" si="693"/>
        <v>0</v>
      </c>
      <c r="BV501" s="1261">
        <v>0</v>
      </c>
      <c r="BW501" s="1261">
        <v>0</v>
      </c>
      <c r="BX501" s="1261">
        <v>0</v>
      </c>
      <c r="BY501" s="1261">
        <v>0</v>
      </c>
      <c r="BZ501" s="1243">
        <f>+BY501</f>
        <v>0</v>
      </c>
      <c r="CA501" s="2686">
        <v>0</v>
      </c>
      <c r="CB501" s="2686">
        <v>0</v>
      </c>
      <c r="CC501" s="2686">
        <v>0</v>
      </c>
      <c r="CD501" s="1261">
        <f>+CC501</f>
        <v>0</v>
      </c>
      <c r="CE501" s="1243">
        <f t="shared" si="694"/>
        <v>0</v>
      </c>
      <c r="CF501" s="2686">
        <v>0</v>
      </c>
      <c r="CG501" s="2686">
        <v>0</v>
      </c>
      <c r="CH501" s="2686">
        <v>0</v>
      </c>
      <c r="CI501" s="2686">
        <v>0</v>
      </c>
      <c r="CJ501" s="1243">
        <f t="shared" si="686"/>
        <v>0</v>
      </c>
      <c r="CK501" s="3501">
        <v>0</v>
      </c>
      <c r="CL501" s="3501">
        <v>0</v>
      </c>
      <c r="CM501" s="3501">
        <v>0</v>
      </c>
      <c r="CN501" s="3501">
        <v>0</v>
      </c>
      <c r="CO501" s="1243">
        <f t="shared" si="705"/>
        <v>0</v>
      </c>
      <c r="CP501" s="1261">
        <f t="shared" si="706"/>
        <v>0</v>
      </c>
      <c r="CQ501" s="1261">
        <f t="shared" si="706"/>
        <v>0</v>
      </c>
      <c r="CR501" s="1261">
        <f t="shared" si="706"/>
        <v>0</v>
      </c>
      <c r="CS501" s="1261">
        <f t="shared" si="706"/>
        <v>0</v>
      </c>
      <c r="CT501" s="1243">
        <f t="shared" si="688"/>
        <v>0</v>
      </c>
      <c r="CU501" s="1243">
        <f t="shared" si="707"/>
        <v>0</v>
      </c>
      <c r="CV501" s="1243">
        <f t="shared" si="707"/>
        <v>0</v>
      </c>
      <c r="CW501" s="374"/>
      <c r="CX501" s="374"/>
      <c r="CY501" s="374"/>
      <c r="CZ501" s="374"/>
      <c r="DA501" s="374"/>
      <c r="DB501" s="217"/>
    </row>
    <row r="502" spans="1:108" x14ac:dyDescent="0.2">
      <c r="A502" s="1434" t="s">
        <v>383</v>
      </c>
      <c r="B502" s="651"/>
      <c r="C502" s="236"/>
      <c r="D502" s="234"/>
      <c r="E502" s="234"/>
      <c r="F502" s="234"/>
      <c r="G502" s="234"/>
      <c r="H502" s="236"/>
      <c r="I502" s="1427">
        <v>0</v>
      </c>
      <c r="J502" s="845">
        <v>0</v>
      </c>
      <c r="K502" s="845">
        <v>0</v>
      </c>
      <c r="L502" s="845">
        <v>0</v>
      </c>
      <c r="M502" s="661">
        <f t="shared" si="696"/>
        <v>0</v>
      </c>
      <c r="N502" s="1427">
        <v>0</v>
      </c>
      <c r="O502" s="845">
        <v>0</v>
      </c>
      <c r="P502" s="845">
        <v>0</v>
      </c>
      <c r="Q502" s="845">
        <v>0</v>
      </c>
      <c r="R502" s="661">
        <f t="shared" si="697"/>
        <v>0</v>
      </c>
      <c r="S502" s="1427">
        <v>0</v>
      </c>
      <c r="T502" s="845">
        <v>0</v>
      </c>
      <c r="U502" s="845">
        <v>0</v>
      </c>
      <c r="V502" s="845">
        <v>0</v>
      </c>
      <c r="W502" s="661">
        <f t="shared" si="698"/>
        <v>0</v>
      </c>
      <c r="X502" s="1427">
        <v>0</v>
      </c>
      <c r="Y502" s="845">
        <v>0</v>
      </c>
      <c r="Z502" s="845">
        <v>0</v>
      </c>
      <c r="AA502" s="845">
        <v>0</v>
      </c>
      <c r="AB502" s="661">
        <f t="shared" si="699"/>
        <v>0</v>
      </c>
      <c r="AC502" s="1427">
        <v>0</v>
      </c>
      <c r="AD502" s="845">
        <v>0</v>
      </c>
      <c r="AE502" s="845">
        <v>0</v>
      </c>
      <c r="AF502" s="845">
        <v>0</v>
      </c>
      <c r="AG502" s="661">
        <f t="shared" si="700"/>
        <v>0</v>
      </c>
      <c r="AH502" s="1427">
        <v>0</v>
      </c>
      <c r="AI502" s="845">
        <v>0</v>
      </c>
      <c r="AJ502" s="845">
        <v>0</v>
      </c>
      <c r="AK502" s="845">
        <v>0</v>
      </c>
      <c r="AL502" s="661">
        <f t="shared" si="701"/>
        <v>0</v>
      </c>
      <c r="AM502" s="1427">
        <v>0</v>
      </c>
      <c r="AN502" s="845">
        <v>0</v>
      </c>
      <c r="AO502" s="845">
        <v>0</v>
      </c>
      <c r="AP502" s="845">
        <v>0</v>
      </c>
      <c r="AQ502" s="661">
        <f t="shared" si="702"/>
        <v>0</v>
      </c>
      <c r="AR502" s="1427">
        <v>0</v>
      </c>
      <c r="AS502" s="845">
        <v>0</v>
      </c>
      <c r="AT502" s="845">
        <v>0</v>
      </c>
      <c r="AU502" s="845">
        <v>0</v>
      </c>
      <c r="AV502" s="661">
        <f t="shared" si="703"/>
        <v>0</v>
      </c>
      <c r="AW502" s="1427">
        <v>0</v>
      </c>
      <c r="AX502" s="845">
        <v>0</v>
      </c>
      <c r="AY502" s="845">
        <v>0</v>
      </c>
      <c r="AZ502" s="845">
        <v>0</v>
      </c>
      <c r="BA502" s="661">
        <f t="shared" si="704"/>
        <v>0</v>
      </c>
      <c r="BB502" s="756">
        <v>0</v>
      </c>
      <c r="BC502" s="756">
        <v>0</v>
      </c>
      <c r="BD502" s="756">
        <v>0</v>
      </c>
      <c r="BE502" s="756">
        <v>0</v>
      </c>
      <c r="BF502" s="752">
        <f t="shared" si="690"/>
        <v>0</v>
      </c>
      <c r="BG502" s="756">
        <v>0</v>
      </c>
      <c r="BH502" s="756">
        <v>0</v>
      </c>
      <c r="BI502" s="756">
        <v>0</v>
      </c>
      <c r="BJ502" s="756">
        <v>0</v>
      </c>
      <c r="BK502" s="752">
        <f t="shared" si="691"/>
        <v>0</v>
      </c>
      <c r="BL502" s="756">
        <v>0</v>
      </c>
      <c r="BM502" s="756">
        <v>0</v>
      </c>
      <c r="BN502" s="756">
        <v>0</v>
      </c>
      <c r="BO502" s="756">
        <v>0</v>
      </c>
      <c r="BP502" s="1243">
        <f t="shared" si="692"/>
        <v>0</v>
      </c>
      <c r="BQ502" s="1261">
        <v>0</v>
      </c>
      <c r="BR502" s="1231">
        <v>0</v>
      </c>
      <c r="BS502" s="1231">
        <v>0</v>
      </c>
      <c r="BT502" s="756">
        <v>0</v>
      </c>
      <c r="BU502" s="1243">
        <f t="shared" si="693"/>
        <v>0</v>
      </c>
      <c r="BV502" s="1261">
        <v>0</v>
      </c>
      <c r="BW502" s="1261">
        <v>0</v>
      </c>
      <c r="BX502" s="1261">
        <v>0</v>
      </c>
      <c r="BY502" s="1261">
        <v>0</v>
      </c>
      <c r="BZ502" s="1243">
        <f>+BY502</f>
        <v>0</v>
      </c>
      <c r="CA502" s="2686">
        <v>0</v>
      </c>
      <c r="CB502" s="2686">
        <v>0</v>
      </c>
      <c r="CC502" s="2686">
        <v>0</v>
      </c>
      <c r="CD502" s="1261">
        <f>+CC502</f>
        <v>0</v>
      </c>
      <c r="CE502" s="1243">
        <f t="shared" si="694"/>
        <v>0</v>
      </c>
      <c r="CF502" s="2686">
        <v>0</v>
      </c>
      <c r="CG502" s="2686">
        <v>0</v>
      </c>
      <c r="CH502" s="2686">
        <f>+CG502</f>
        <v>0</v>
      </c>
      <c r="CI502" s="2686">
        <f>+CH502</f>
        <v>0</v>
      </c>
      <c r="CJ502" s="1243">
        <f t="shared" si="686"/>
        <v>0</v>
      </c>
      <c r="CK502" s="3501">
        <v>0</v>
      </c>
      <c r="CL502" s="3501">
        <v>0</v>
      </c>
      <c r="CM502" s="3501">
        <v>0</v>
      </c>
      <c r="CN502" s="3501">
        <v>0</v>
      </c>
      <c r="CO502" s="1243">
        <f t="shared" si="705"/>
        <v>0</v>
      </c>
      <c r="CP502" s="1261">
        <f t="shared" si="706"/>
        <v>0</v>
      </c>
      <c r="CQ502" s="1261">
        <f t="shared" si="706"/>
        <v>0</v>
      </c>
      <c r="CR502" s="1261">
        <f t="shared" si="706"/>
        <v>0</v>
      </c>
      <c r="CS502" s="1261">
        <f t="shared" si="706"/>
        <v>0</v>
      </c>
      <c r="CT502" s="1243">
        <f t="shared" si="688"/>
        <v>0</v>
      </c>
      <c r="CU502" s="1243">
        <f t="shared" si="707"/>
        <v>0</v>
      </c>
      <c r="CV502" s="1243">
        <f t="shared" si="707"/>
        <v>0</v>
      </c>
      <c r="CW502" s="374"/>
      <c r="CX502" s="374"/>
      <c r="CY502" s="374"/>
      <c r="CZ502" s="374"/>
      <c r="DA502" s="374"/>
      <c r="DB502" s="217"/>
    </row>
    <row r="503" spans="1:108" x14ac:dyDescent="0.2">
      <c r="A503" s="1434" t="s">
        <v>656</v>
      </c>
      <c r="B503" s="651"/>
      <c r="C503" s="236"/>
      <c r="D503" s="234"/>
      <c r="E503" s="234"/>
      <c r="F503" s="234"/>
      <c r="G503" s="234"/>
      <c r="H503" s="236"/>
      <c r="I503" s="1427">
        <v>0</v>
      </c>
      <c r="J503" s="845">
        <v>0</v>
      </c>
      <c r="K503" s="845">
        <v>0</v>
      </c>
      <c r="L503" s="845">
        <v>0</v>
      </c>
      <c r="M503" s="661">
        <f t="shared" si="696"/>
        <v>0</v>
      </c>
      <c r="N503" s="1427">
        <v>0</v>
      </c>
      <c r="O503" s="845">
        <v>0</v>
      </c>
      <c r="P503" s="845">
        <v>0</v>
      </c>
      <c r="Q503" s="845">
        <v>0</v>
      </c>
      <c r="R503" s="661">
        <f t="shared" si="697"/>
        <v>0</v>
      </c>
      <c r="S503" s="1427">
        <v>0</v>
      </c>
      <c r="T503" s="845">
        <v>0</v>
      </c>
      <c r="U503" s="845">
        <v>0</v>
      </c>
      <c r="V503" s="845">
        <v>0</v>
      </c>
      <c r="W503" s="661">
        <f t="shared" si="698"/>
        <v>0</v>
      </c>
      <c r="X503" s="1427">
        <v>0</v>
      </c>
      <c r="Y503" s="845">
        <v>0</v>
      </c>
      <c r="Z503" s="845">
        <v>0</v>
      </c>
      <c r="AA503" s="845">
        <v>0</v>
      </c>
      <c r="AB503" s="661">
        <f t="shared" si="699"/>
        <v>0</v>
      </c>
      <c r="AC503" s="1427">
        <v>0</v>
      </c>
      <c r="AD503" s="845">
        <v>0</v>
      </c>
      <c r="AE503" s="845">
        <v>0</v>
      </c>
      <c r="AF503" s="845">
        <v>0</v>
      </c>
      <c r="AG503" s="661">
        <f t="shared" si="700"/>
        <v>0</v>
      </c>
      <c r="AH503" s="1427">
        <v>0</v>
      </c>
      <c r="AI503" s="845">
        <v>0</v>
      </c>
      <c r="AJ503" s="845">
        <v>0</v>
      </c>
      <c r="AK503" s="845">
        <v>0</v>
      </c>
      <c r="AL503" s="661">
        <f t="shared" si="701"/>
        <v>0</v>
      </c>
      <c r="AM503" s="1427">
        <v>0</v>
      </c>
      <c r="AN503" s="845">
        <v>0</v>
      </c>
      <c r="AO503" s="845">
        <v>0</v>
      </c>
      <c r="AP503" s="845">
        <v>0</v>
      </c>
      <c r="AQ503" s="661">
        <f t="shared" si="702"/>
        <v>0</v>
      </c>
      <c r="AR503" s="1427">
        <v>0</v>
      </c>
      <c r="AS503" s="845">
        <v>0</v>
      </c>
      <c r="AT503" s="845">
        <v>0</v>
      </c>
      <c r="AU503" s="845">
        <v>0</v>
      </c>
      <c r="AV503" s="661">
        <f t="shared" si="703"/>
        <v>0</v>
      </c>
      <c r="AW503" s="1427">
        <v>0</v>
      </c>
      <c r="AX503" s="845">
        <v>0</v>
      </c>
      <c r="AY503" s="845">
        <v>0</v>
      </c>
      <c r="AZ503" s="845">
        <v>0</v>
      </c>
      <c r="BA503" s="661">
        <f t="shared" si="704"/>
        <v>0</v>
      </c>
      <c r="BB503" s="756">
        <v>0</v>
      </c>
      <c r="BC503" s="756">
        <v>0</v>
      </c>
      <c r="BD503" s="756">
        <v>0</v>
      </c>
      <c r="BE503" s="756">
        <v>0</v>
      </c>
      <c r="BF503" s="752">
        <f t="shared" si="690"/>
        <v>0</v>
      </c>
      <c r="BG503" s="756">
        <v>0</v>
      </c>
      <c r="BH503" s="756">
        <v>0</v>
      </c>
      <c r="BI503" s="756">
        <v>0</v>
      </c>
      <c r="BJ503" s="756">
        <v>0</v>
      </c>
      <c r="BK503" s="752">
        <f t="shared" si="691"/>
        <v>0</v>
      </c>
      <c r="BL503" s="756">
        <v>0</v>
      </c>
      <c r="BM503" s="756">
        <v>0</v>
      </c>
      <c r="BN503" s="756">
        <v>0</v>
      </c>
      <c r="BO503" s="756">
        <v>0</v>
      </c>
      <c r="BP503" s="1243">
        <f t="shared" si="692"/>
        <v>0</v>
      </c>
      <c r="BQ503" s="1261">
        <v>0</v>
      </c>
      <c r="BR503" s="1231">
        <v>0</v>
      </c>
      <c r="BS503" s="1231">
        <v>0</v>
      </c>
      <c r="BT503" s="756">
        <v>0</v>
      </c>
      <c r="BU503" s="1243">
        <f t="shared" si="693"/>
        <v>0</v>
      </c>
      <c r="BV503" s="1261">
        <v>0</v>
      </c>
      <c r="BW503" s="1261">
        <v>0</v>
      </c>
      <c r="BX503" s="1261">
        <v>0</v>
      </c>
      <c r="BY503" s="1261">
        <v>0</v>
      </c>
      <c r="BZ503" s="1243">
        <f>+BY503</f>
        <v>0</v>
      </c>
      <c r="CA503" s="2686">
        <v>0</v>
      </c>
      <c r="CB503" s="2686">
        <v>0</v>
      </c>
      <c r="CC503" s="2686">
        <v>0</v>
      </c>
      <c r="CD503" s="1261">
        <f>+CC503</f>
        <v>0</v>
      </c>
      <c r="CE503" s="1243">
        <f t="shared" si="694"/>
        <v>0</v>
      </c>
      <c r="CF503" s="2686">
        <v>0</v>
      </c>
      <c r="CG503" s="2686">
        <v>0</v>
      </c>
      <c r="CH503" s="2686">
        <f>+CG503</f>
        <v>0</v>
      </c>
      <c r="CI503" s="2686">
        <f>+CH503</f>
        <v>0</v>
      </c>
      <c r="CJ503" s="1243">
        <f t="shared" si="686"/>
        <v>0</v>
      </c>
      <c r="CK503" s="3501">
        <v>0</v>
      </c>
      <c r="CL503" s="3501">
        <v>0</v>
      </c>
      <c r="CM503" s="3501">
        <v>0</v>
      </c>
      <c r="CN503" s="3501">
        <v>0</v>
      </c>
      <c r="CO503" s="1243">
        <f t="shared" si="705"/>
        <v>0</v>
      </c>
      <c r="CP503" s="1261">
        <f t="shared" si="706"/>
        <v>0</v>
      </c>
      <c r="CQ503" s="1261">
        <f t="shared" si="706"/>
        <v>0</v>
      </c>
      <c r="CR503" s="1261">
        <f t="shared" si="706"/>
        <v>0</v>
      </c>
      <c r="CS503" s="1261">
        <f t="shared" si="706"/>
        <v>0</v>
      </c>
      <c r="CT503" s="1243">
        <f t="shared" si="688"/>
        <v>0</v>
      </c>
      <c r="CU503" s="1243">
        <f t="shared" si="707"/>
        <v>0</v>
      </c>
      <c r="CV503" s="1243">
        <f t="shared" si="707"/>
        <v>0</v>
      </c>
      <c r="CW503" s="374"/>
      <c r="CX503" s="374"/>
      <c r="CY503" s="374"/>
      <c r="CZ503" s="374"/>
      <c r="DA503" s="374"/>
      <c r="DB503" s="217"/>
    </row>
    <row r="504" spans="1:108" x14ac:dyDescent="0.2">
      <c r="A504" s="1434" t="s">
        <v>1386</v>
      </c>
      <c r="B504" s="651"/>
      <c r="C504" s="236"/>
      <c r="D504" s="234"/>
      <c r="E504" s="234"/>
      <c r="F504" s="234"/>
      <c r="G504" s="234"/>
      <c r="H504" s="236"/>
      <c r="I504" s="756">
        <f>28431+2328-I647</f>
        <v>28431</v>
      </c>
      <c r="J504" s="756">
        <f>29163+2635-J647</f>
        <v>29433</v>
      </c>
      <c r="K504" s="756">
        <f>29856+2735-K647</f>
        <v>29856</v>
      </c>
      <c r="L504" s="756">
        <f>33739-L647</f>
        <v>31005</v>
      </c>
      <c r="M504" s="752">
        <f t="shared" si="696"/>
        <v>31005</v>
      </c>
      <c r="N504" s="756">
        <f>32356+2749-N647</f>
        <v>32356</v>
      </c>
      <c r="O504" s="756">
        <f>35714-O647</f>
        <v>32832</v>
      </c>
      <c r="P504" s="756">
        <v>33658</v>
      </c>
      <c r="Q504" s="756">
        <v>35066</v>
      </c>
      <c r="R504" s="752">
        <f t="shared" si="697"/>
        <v>35066</v>
      </c>
      <c r="S504" s="756">
        <v>35802</v>
      </c>
      <c r="T504" s="756">
        <v>36536</v>
      </c>
      <c r="U504" s="756">
        <v>36909</v>
      </c>
      <c r="V504" s="754">
        <v>37389</v>
      </c>
      <c r="W504" s="752">
        <f t="shared" si="698"/>
        <v>37389</v>
      </c>
      <c r="X504" s="756">
        <v>39345</v>
      </c>
      <c r="Y504" s="756">
        <v>40262</v>
      </c>
      <c r="Z504" s="756">
        <v>40921</v>
      </c>
      <c r="AA504" s="754">
        <v>41828</v>
      </c>
      <c r="AB504" s="752">
        <f t="shared" si="699"/>
        <v>41828</v>
      </c>
      <c r="AC504" s="756">
        <v>42420</v>
      </c>
      <c r="AD504" s="756">
        <v>42957</v>
      </c>
      <c r="AE504" s="756">
        <v>44140</v>
      </c>
      <c r="AF504" s="754">
        <v>45046</v>
      </c>
      <c r="AG504" s="752">
        <f t="shared" si="700"/>
        <v>45046</v>
      </c>
      <c r="AH504" s="756">
        <v>45687</v>
      </c>
      <c r="AI504" s="756">
        <v>46375</v>
      </c>
      <c r="AJ504" s="756">
        <v>47301</v>
      </c>
      <c r="AK504" s="754">
        <v>48962</v>
      </c>
      <c r="AL504" s="752">
        <f t="shared" si="701"/>
        <v>48962</v>
      </c>
      <c r="AM504" s="756">
        <v>49955</v>
      </c>
      <c r="AN504" s="756">
        <v>51064</v>
      </c>
      <c r="AO504" s="756">
        <v>52401</v>
      </c>
      <c r="AP504" s="754">
        <v>54330</v>
      </c>
      <c r="AQ504" s="752">
        <f t="shared" si="702"/>
        <v>54330</v>
      </c>
      <c r="AR504" s="756">
        <v>54450</v>
      </c>
      <c r="AS504" s="756">
        <v>56056</v>
      </c>
      <c r="AT504" s="756">
        <v>56721</v>
      </c>
      <c r="AU504" s="754">
        <v>58788</v>
      </c>
      <c r="AV504" s="752">
        <f t="shared" si="703"/>
        <v>58788</v>
      </c>
      <c r="AW504" s="756">
        <v>59972</v>
      </c>
      <c r="AX504" s="756">
        <v>61359</v>
      </c>
      <c r="AY504" s="756">
        <v>62943</v>
      </c>
      <c r="AZ504" s="756">
        <v>63745</v>
      </c>
      <c r="BA504" s="752">
        <f t="shared" si="704"/>
        <v>63745</v>
      </c>
      <c r="BB504" s="756">
        <v>64976</v>
      </c>
      <c r="BC504" s="756">
        <v>65506</v>
      </c>
      <c r="BD504" s="756">
        <v>66182</v>
      </c>
      <c r="BE504" s="756">
        <v>67574</v>
      </c>
      <c r="BF504" s="752">
        <f t="shared" si="690"/>
        <v>67574</v>
      </c>
      <c r="BG504" s="756">
        <v>67831</v>
      </c>
      <c r="BH504" s="756">
        <v>68229</v>
      </c>
      <c r="BI504" s="756">
        <v>68368</v>
      </c>
      <c r="BJ504" s="756">
        <v>69163</v>
      </c>
      <c r="BK504" s="752">
        <f t="shared" si="691"/>
        <v>69163</v>
      </c>
      <c r="BL504" s="756">
        <v>69442</v>
      </c>
      <c r="BM504" s="756">
        <v>69837</v>
      </c>
      <c r="BN504" s="756">
        <v>70023</v>
      </c>
      <c r="BO504" s="756">
        <v>70543</v>
      </c>
      <c r="BP504" s="752">
        <f t="shared" si="692"/>
        <v>70543</v>
      </c>
      <c r="BQ504" s="1231">
        <v>71383</v>
      </c>
      <c r="BR504" s="1231">
        <v>72533</v>
      </c>
      <c r="BS504" s="1231">
        <v>73349</v>
      </c>
      <c r="BT504" s="756">
        <v>74493</v>
      </c>
      <c r="BU504" s="752">
        <f t="shared" si="693"/>
        <v>74493</v>
      </c>
      <c r="BV504" s="1231">
        <v>74991</v>
      </c>
      <c r="BW504" s="1231">
        <v>75788</v>
      </c>
      <c r="BX504" s="1231">
        <v>77107</v>
      </c>
      <c r="BY504" s="1231">
        <v>77756</v>
      </c>
      <c r="BZ504" s="752">
        <f>+BY504</f>
        <v>77756</v>
      </c>
      <c r="CA504" s="1231">
        <v>82538</v>
      </c>
      <c r="CB504" s="1231">
        <v>83099</v>
      </c>
      <c r="CC504" s="1231">
        <v>84062</v>
      </c>
      <c r="CD504" s="1231">
        <v>85151</v>
      </c>
      <c r="CE504" s="752">
        <f t="shared" si="694"/>
        <v>85151</v>
      </c>
      <c r="CF504" s="1231">
        <v>86441</v>
      </c>
      <c r="CG504" s="1231">
        <v>88010</v>
      </c>
      <c r="CH504" s="2893">
        <v>89786</v>
      </c>
      <c r="CI504" s="2893">
        <v>91559</v>
      </c>
      <c r="CJ504" s="752">
        <f t="shared" si="686"/>
        <v>91559</v>
      </c>
      <c r="CK504" s="3501">
        <v>92890</v>
      </c>
      <c r="CL504" s="3501">
        <v>93870</v>
      </c>
      <c r="CM504" s="3501">
        <v>95110</v>
      </c>
      <c r="CN504" s="3501">
        <v>97995</v>
      </c>
      <c r="CO504" s="752">
        <f>+CN504</f>
        <v>97995</v>
      </c>
      <c r="CP504" s="1261">
        <f>+CK504*(1+CP$888)</f>
        <v>100321.20000000001</v>
      </c>
      <c r="CQ504" s="1261">
        <f>+CL504*(1+CQ$888)</f>
        <v>101379.6</v>
      </c>
      <c r="CR504" s="1261">
        <f>+CM504*(1+CR$888)</f>
        <v>102718.8</v>
      </c>
      <c r="CS504" s="1261">
        <f>+CN504*(1+CS$888)</f>
        <v>105834.6</v>
      </c>
      <c r="CT504" s="752">
        <f t="shared" si="688"/>
        <v>105834.6</v>
      </c>
      <c r="CU504" s="1243">
        <f>+CT504*(1+CU$888)</f>
        <v>113772.19500000001</v>
      </c>
      <c r="CV504" s="1243">
        <f>+CU504*(1+CV$888)</f>
        <v>118323.08280000002</v>
      </c>
      <c r="CW504" s="374"/>
      <c r="CX504" s="374"/>
      <c r="CY504" s="374"/>
      <c r="CZ504" s="374"/>
      <c r="DA504" s="374"/>
      <c r="DB504" s="217"/>
    </row>
    <row r="505" spans="1:108" x14ac:dyDescent="0.2">
      <c r="A505" s="1436" t="s">
        <v>47</v>
      </c>
      <c r="B505" s="651"/>
      <c r="C505" s="236"/>
      <c r="D505" s="234"/>
      <c r="E505" s="234"/>
      <c r="F505" s="234"/>
      <c r="G505" s="234"/>
      <c r="H505" s="848">
        <v>0</v>
      </c>
      <c r="I505" s="1427">
        <v>0</v>
      </c>
      <c r="J505" s="845">
        <v>0</v>
      </c>
      <c r="K505" s="845">
        <v>0</v>
      </c>
      <c r="L505" s="845">
        <v>0</v>
      </c>
      <c r="M505" s="848">
        <v>0</v>
      </c>
      <c r="N505" s="1427">
        <v>0</v>
      </c>
      <c r="O505" s="845">
        <v>0</v>
      </c>
      <c r="P505" s="845">
        <v>0</v>
      </c>
      <c r="Q505" s="845">
        <v>0</v>
      </c>
      <c r="R505" s="848">
        <v>0</v>
      </c>
      <c r="S505" s="1427">
        <v>0</v>
      </c>
      <c r="T505" s="845">
        <v>0</v>
      </c>
      <c r="U505" s="845">
        <v>0</v>
      </c>
      <c r="V505" s="845">
        <v>0</v>
      </c>
      <c r="W505" s="848">
        <v>0</v>
      </c>
      <c r="X505" s="1427">
        <v>0</v>
      </c>
      <c r="Y505" s="845">
        <v>0</v>
      </c>
      <c r="Z505" s="845">
        <v>0</v>
      </c>
      <c r="AA505" s="845">
        <v>0</v>
      </c>
      <c r="AB505" s="848">
        <v>0</v>
      </c>
      <c r="AC505" s="1427">
        <v>0</v>
      </c>
      <c r="AD505" s="845">
        <v>0</v>
      </c>
      <c r="AE505" s="845">
        <v>0</v>
      </c>
      <c r="AF505" s="845">
        <v>0</v>
      </c>
      <c r="AG505" s="848">
        <v>0</v>
      </c>
      <c r="AH505" s="1427">
        <v>0</v>
      </c>
      <c r="AI505" s="845">
        <v>0</v>
      </c>
      <c r="AJ505" s="845">
        <v>0</v>
      </c>
      <c r="AK505" s="845">
        <v>0</v>
      </c>
      <c r="AL505" s="848">
        <v>0</v>
      </c>
      <c r="AM505" s="1427">
        <v>0</v>
      </c>
      <c r="AN505" s="845">
        <v>0</v>
      </c>
      <c r="AO505" s="845">
        <v>0</v>
      </c>
      <c r="AP505" s="845">
        <v>0</v>
      </c>
      <c r="AQ505" s="848">
        <v>0</v>
      </c>
      <c r="AR505" s="1427">
        <v>0</v>
      </c>
      <c r="AS505" s="845">
        <v>0</v>
      </c>
      <c r="AT505" s="845">
        <v>0</v>
      </c>
      <c r="AU505" s="845">
        <v>0</v>
      </c>
      <c r="AV505" s="848">
        <v>0</v>
      </c>
      <c r="AW505" s="1427">
        <v>0</v>
      </c>
      <c r="AX505" s="845">
        <v>0</v>
      </c>
      <c r="AY505" s="845">
        <v>0</v>
      </c>
      <c r="AZ505" s="845">
        <v>0</v>
      </c>
      <c r="BA505" s="848">
        <v>0</v>
      </c>
      <c r="BB505" s="1427">
        <v>0</v>
      </c>
      <c r="BC505" s="845">
        <v>0</v>
      </c>
      <c r="BD505" s="845">
        <v>0</v>
      </c>
      <c r="BE505" s="845">
        <v>0</v>
      </c>
      <c r="BF505" s="848">
        <v>0</v>
      </c>
      <c r="BG505" s="1427">
        <v>0</v>
      </c>
      <c r="BH505" s="845">
        <v>0</v>
      </c>
      <c r="BI505" s="845">
        <v>0</v>
      </c>
      <c r="BJ505" s="845">
        <v>0</v>
      </c>
      <c r="BK505" s="848">
        <v>0</v>
      </c>
      <c r="BL505" s="1427">
        <v>0</v>
      </c>
      <c r="BM505" s="845">
        <v>0</v>
      </c>
      <c r="BN505" s="845">
        <v>0</v>
      </c>
      <c r="BO505" s="845">
        <v>0</v>
      </c>
      <c r="BP505" s="848">
        <v>0</v>
      </c>
      <c r="BQ505" s="1427">
        <v>0</v>
      </c>
      <c r="BR505" s="845">
        <v>0</v>
      </c>
      <c r="BS505" s="845">
        <v>0</v>
      </c>
      <c r="BT505" s="845">
        <v>0</v>
      </c>
      <c r="BU505" s="848">
        <v>0</v>
      </c>
      <c r="BV505" s="1427">
        <v>0</v>
      </c>
      <c r="BW505" s="845">
        <v>0</v>
      </c>
      <c r="BX505" s="845">
        <v>0</v>
      </c>
      <c r="BY505" s="845">
        <v>0</v>
      </c>
      <c r="BZ505" s="848">
        <v>0</v>
      </c>
      <c r="CA505" s="1231">
        <v>0</v>
      </c>
      <c r="CB505" s="1231">
        <v>0</v>
      </c>
      <c r="CC505" s="1231">
        <v>0</v>
      </c>
      <c r="CD505" s="1231">
        <v>0</v>
      </c>
      <c r="CE505" s="848">
        <v>0</v>
      </c>
      <c r="CF505" s="1231">
        <v>0</v>
      </c>
      <c r="CG505" s="1231">
        <v>0</v>
      </c>
      <c r="CH505" s="845">
        <v>0</v>
      </c>
      <c r="CI505" s="845">
        <v>0</v>
      </c>
      <c r="CJ505" s="848">
        <v>0</v>
      </c>
      <c r="CK505" s="2982">
        <v>0</v>
      </c>
      <c r="CL505" s="2982">
        <v>0</v>
      </c>
      <c r="CM505" s="2982">
        <v>0</v>
      </c>
      <c r="CN505" s="2982">
        <v>0</v>
      </c>
      <c r="CO505" s="848">
        <v>0</v>
      </c>
      <c r="CP505" s="1261">
        <f>CO505</f>
        <v>0</v>
      </c>
      <c r="CQ505" s="1261">
        <f>CP505</f>
        <v>0</v>
      </c>
      <c r="CR505" s="1261">
        <f>CQ505</f>
        <v>0</v>
      </c>
      <c r="CS505" s="1261">
        <f>CR505</f>
        <v>0</v>
      </c>
      <c r="CT505" s="848">
        <v>0</v>
      </c>
      <c r="CU505" s="848">
        <v>0</v>
      </c>
      <c r="CV505" s="848">
        <v>0</v>
      </c>
      <c r="CW505" s="374"/>
      <c r="CX505" s="374"/>
      <c r="CY505" s="374"/>
      <c r="CZ505" s="374"/>
      <c r="DA505" s="374"/>
      <c r="DB505" s="217"/>
    </row>
    <row r="506" spans="1:108" x14ac:dyDescent="0.2">
      <c r="A506" s="1434" t="s">
        <v>1388</v>
      </c>
      <c r="B506" s="651"/>
      <c r="C506" s="236"/>
      <c r="D506" s="234"/>
      <c r="E506" s="234"/>
      <c r="F506" s="234"/>
      <c r="G506" s="234"/>
      <c r="H506" s="236"/>
      <c r="I506" s="756">
        <f>23830</f>
        <v>23830</v>
      </c>
      <c r="J506" s="756">
        <f>25174</f>
        <v>25174</v>
      </c>
      <c r="K506" s="756">
        <f>25697</f>
        <v>25697</v>
      </c>
      <c r="L506" s="756">
        <f>27168</f>
        <v>27168</v>
      </c>
      <c r="M506" s="752">
        <f t="shared" si="696"/>
        <v>27168</v>
      </c>
      <c r="N506" s="756">
        <f>27333</f>
        <v>27333</v>
      </c>
      <c r="O506" s="756">
        <f>29184-O649</f>
        <v>27613</v>
      </c>
      <c r="P506" s="756">
        <v>28744</v>
      </c>
      <c r="Q506" s="756">
        <v>30464</v>
      </c>
      <c r="R506" s="752">
        <f t="shared" si="697"/>
        <v>30464</v>
      </c>
      <c r="S506" s="756">
        <v>31378</v>
      </c>
      <c r="T506" s="756">
        <v>32247</v>
      </c>
      <c r="U506" s="756">
        <v>34393</v>
      </c>
      <c r="V506" s="754">
        <v>34022</v>
      </c>
      <c r="W506" s="752">
        <f t="shared" si="698"/>
        <v>34022</v>
      </c>
      <c r="X506" s="756">
        <v>33836</v>
      </c>
      <c r="Y506" s="756">
        <v>34433</v>
      </c>
      <c r="Z506" s="756">
        <v>34691</v>
      </c>
      <c r="AA506" s="754">
        <v>35381</v>
      </c>
      <c r="AB506" s="752">
        <f t="shared" si="699"/>
        <v>35381</v>
      </c>
      <c r="AC506" s="756">
        <v>35872</v>
      </c>
      <c r="AD506" s="756">
        <v>36437</v>
      </c>
      <c r="AE506" s="756">
        <v>37142</v>
      </c>
      <c r="AF506" s="754">
        <v>38032</v>
      </c>
      <c r="AG506" s="752">
        <f t="shared" si="700"/>
        <v>38032</v>
      </c>
      <c r="AH506" s="756">
        <v>38956</v>
      </c>
      <c r="AI506" s="756">
        <v>39544</v>
      </c>
      <c r="AJ506" s="756">
        <v>40654</v>
      </c>
      <c r="AK506" s="754">
        <v>40572</v>
      </c>
      <c r="AL506" s="752">
        <f t="shared" si="701"/>
        <v>40572</v>
      </c>
      <c r="AM506" s="756">
        <v>41654</v>
      </c>
      <c r="AN506" s="756">
        <v>42060</v>
      </c>
      <c r="AO506" s="756">
        <v>43019</v>
      </c>
      <c r="AP506" s="754">
        <v>44112</v>
      </c>
      <c r="AQ506" s="752">
        <f t="shared" si="702"/>
        <v>44112</v>
      </c>
      <c r="AR506" s="756">
        <v>44689</v>
      </c>
      <c r="AS506" s="756">
        <v>45593</v>
      </c>
      <c r="AT506" s="756">
        <v>46398</v>
      </c>
      <c r="AU506" s="754">
        <v>47686</v>
      </c>
      <c r="AV506" s="752">
        <f t="shared" si="703"/>
        <v>47686</v>
      </c>
      <c r="AW506" s="756">
        <v>47956</v>
      </c>
      <c r="AX506" s="756">
        <v>48734</v>
      </c>
      <c r="AY506" s="756">
        <v>50462</v>
      </c>
      <c r="AZ506" s="756">
        <v>51397</v>
      </c>
      <c r="BA506" s="752">
        <f t="shared" si="704"/>
        <v>51397</v>
      </c>
      <c r="BB506" s="756">
        <v>51726</v>
      </c>
      <c r="BC506" s="756">
        <v>52001</v>
      </c>
      <c r="BD506" s="756">
        <v>52283</v>
      </c>
      <c r="BE506" s="756">
        <v>52574</v>
      </c>
      <c r="BF506" s="752">
        <f t="shared" si="690"/>
        <v>52574</v>
      </c>
      <c r="BG506" s="756">
        <v>52708</v>
      </c>
      <c r="BH506" s="756">
        <v>52590</v>
      </c>
      <c r="BI506" s="756">
        <v>52590</v>
      </c>
      <c r="BJ506" s="756">
        <v>52712</v>
      </c>
      <c r="BK506" s="752">
        <f t="shared" si="691"/>
        <v>52712</v>
      </c>
      <c r="BL506" s="756">
        <v>52712</v>
      </c>
      <c r="BM506" s="756">
        <v>53134</v>
      </c>
      <c r="BN506" s="756">
        <v>53562</v>
      </c>
      <c r="BO506" s="756">
        <v>53938</v>
      </c>
      <c r="BP506" s="752">
        <f t="shared" si="692"/>
        <v>53938</v>
      </c>
      <c r="BQ506" s="1231">
        <v>54545</v>
      </c>
      <c r="BR506" s="1231">
        <v>55997</v>
      </c>
      <c r="BS506" s="1231">
        <v>57215</v>
      </c>
      <c r="BT506" s="756">
        <v>58403</v>
      </c>
      <c r="BU506" s="752">
        <f t="shared" si="693"/>
        <v>58403</v>
      </c>
      <c r="BV506" s="1231">
        <v>58544</v>
      </c>
      <c r="BW506" s="1231">
        <v>59506</v>
      </c>
      <c r="BX506" s="1231">
        <v>61629</v>
      </c>
      <c r="BY506" s="1231">
        <v>62690</v>
      </c>
      <c r="BZ506" s="752">
        <f>+BY506</f>
        <v>62690</v>
      </c>
      <c r="CA506" s="1231">
        <v>66078</v>
      </c>
      <c r="CB506" s="1231">
        <v>66889</v>
      </c>
      <c r="CC506" s="1231">
        <v>66899</v>
      </c>
      <c r="CD506" s="1231">
        <v>67693</v>
      </c>
      <c r="CE506" s="752">
        <f t="shared" si="694"/>
        <v>67693</v>
      </c>
      <c r="CF506" s="1231">
        <v>68103</v>
      </c>
      <c r="CG506" s="1231">
        <v>69106</v>
      </c>
      <c r="CH506" s="2893">
        <v>70570</v>
      </c>
      <c r="CI506" s="2893">
        <v>71718</v>
      </c>
      <c r="CJ506" s="752">
        <f t="shared" ref="CJ506:CJ511" si="708">+CI506</f>
        <v>71718</v>
      </c>
      <c r="CK506" s="3501">
        <v>72681</v>
      </c>
      <c r="CL506" s="3501">
        <v>73366</v>
      </c>
      <c r="CM506" s="3501">
        <v>73883</v>
      </c>
      <c r="CN506" s="3501">
        <v>75926</v>
      </c>
      <c r="CO506" s="752">
        <f t="shared" ref="CO506:CO511" si="709">+CN506</f>
        <v>75926</v>
      </c>
      <c r="CP506" s="1261">
        <f>+CK506*(1+CP$888)</f>
        <v>78495.48000000001</v>
      </c>
      <c r="CQ506" s="1261">
        <f>+CL506*(1+CQ$888)</f>
        <v>79235.28</v>
      </c>
      <c r="CR506" s="1261">
        <f>+CM506*(1+CR$888)</f>
        <v>79793.64</v>
      </c>
      <c r="CS506" s="1261">
        <f>+CN506*(1+CS$888)</f>
        <v>82000.08</v>
      </c>
      <c r="CT506" s="752">
        <f t="shared" ref="CT506:CT511" si="710">+CS506</f>
        <v>82000.08</v>
      </c>
      <c r="CU506" s="1243">
        <f>+CT506*(1+CU$888)</f>
        <v>88150.085999999996</v>
      </c>
      <c r="CV506" s="1243">
        <f>+CU506*(1+CV$888)</f>
        <v>91676.089439999996</v>
      </c>
      <c r="CW506" s="374"/>
      <c r="CX506" s="374"/>
      <c r="CY506" s="374"/>
      <c r="CZ506" s="374"/>
      <c r="DA506" s="374"/>
      <c r="DB506" s="217"/>
    </row>
    <row r="507" spans="1:108" x14ac:dyDescent="0.2">
      <c r="A507" s="1436" t="s">
        <v>1391</v>
      </c>
      <c r="B507" s="651"/>
      <c r="C507" s="236"/>
      <c r="D507" s="234"/>
      <c r="E507" s="234"/>
      <c r="F507" s="234"/>
      <c r="G507" s="234"/>
      <c r="H507" s="236"/>
      <c r="I507" s="756">
        <f>5462</f>
        <v>5462</v>
      </c>
      <c r="J507" s="756">
        <f>5811</f>
        <v>5811</v>
      </c>
      <c r="K507" s="756">
        <f>6412</f>
        <v>6412</v>
      </c>
      <c r="L507" s="756">
        <f>6593</f>
        <v>6593</v>
      </c>
      <c r="M507" s="752">
        <f t="shared" si="696"/>
        <v>6593</v>
      </c>
      <c r="N507" s="756">
        <f>6593</f>
        <v>6593</v>
      </c>
      <c r="O507" s="756">
        <f>6774</f>
        <v>6774</v>
      </c>
      <c r="P507" s="756">
        <v>6944</v>
      </c>
      <c r="Q507" s="756">
        <v>7039</v>
      </c>
      <c r="R507" s="752">
        <f t="shared" si="697"/>
        <v>7039</v>
      </c>
      <c r="S507" s="756">
        <v>7141</v>
      </c>
      <c r="T507" s="756">
        <v>7523</v>
      </c>
      <c r="U507" s="756">
        <v>7848</v>
      </c>
      <c r="V507" s="754">
        <v>7909</v>
      </c>
      <c r="W507" s="752">
        <f t="shared" si="698"/>
        <v>7909</v>
      </c>
      <c r="X507" s="756">
        <v>7991</v>
      </c>
      <c r="Y507" s="756">
        <v>7801</v>
      </c>
      <c r="Z507" s="756">
        <v>7894</v>
      </c>
      <c r="AA507" s="754">
        <v>8049</v>
      </c>
      <c r="AB507" s="752">
        <f t="shared" si="699"/>
        <v>8049</v>
      </c>
      <c r="AC507" s="756">
        <v>8155</v>
      </c>
      <c r="AD507" s="756">
        <v>8274</v>
      </c>
      <c r="AE507" s="756">
        <v>8361</v>
      </c>
      <c r="AF507" s="754">
        <v>8643</v>
      </c>
      <c r="AG507" s="752">
        <f t="shared" si="700"/>
        <v>8643</v>
      </c>
      <c r="AH507" s="756">
        <v>8643</v>
      </c>
      <c r="AI507" s="756">
        <v>8728</v>
      </c>
      <c r="AJ507" s="756">
        <v>8634</v>
      </c>
      <c r="AK507" s="754">
        <v>8707</v>
      </c>
      <c r="AL507" s="752">
        <f t="shared" si="701"/>
        <v>8707</v>
      </c>
      <c r="AM507" s="756">
        <v>8705</v>
      </c>
      <c r="AN507" s="756">
        <v>9196</v>
      </c>
      <c r="AO507" s="756">
        <v>9806</v>
      </c>
      <c r="AP507" s="754">
        <v>10461</v>
      </c>
      <c r="AQ507" s="752">
        <f t="shared" si="702"/>
        <v>10461</v>
      </c>
      <c r="AR507" s="756">
        <v>10861</v>
      </c>
      <c r="AS507" s="756">
        <v>11534</v>
      </c>
      <c r="AT507" s="756">
        <v>11742</v>
      </c>
      <c r="AU507" s="756">
        <v>12667</v>
      </c>
      <c r="AV507" s="752">
        <f t="shared" si="703"/>
        <v>12667</v>
      </c>
      <c r="AW507" s="756">
        <v>12982</v>
      </c>
      <c r="AX507" s="756">
        <v>13700</v>
      </c>
      <c r="AY507" s="756">
        <v>14258</v>
      </c>
      <c r="AZ507" s="756">
        <v>14792</v>
      </c>
      <c r="BA507" s="752">
        <f t="shared" si="704"/>
        <v>14792</v>
      </c>
      <c r="BB507" s="756">
        <v>15101</v>
      </c>
      <c r="BC507" s="756">
        <v>15405</v>
      </c>
      <c r="BD507" s="756">
        <v>15662</v>
      </c>
      <c r="BE507" s="756">
        <v>15662</v>
      </c>
      <c r="BF507" s="752">
        <f t="shared" si="690"/>
        <v>15662</v>
      </c>
      <c r="BG507" s="756">
        <v>15751</v>
      </c>
      <c r="BH507" s="756">
        <v>15939</v>
      </c>
      <c r="BI507" s="756">
        <v>16112</v>
      </c>
      <c r="BJ507" s="756">
        <v>16962</v>
      </c>
      <c r="BK507" s="752">
        <f t="shared" si="691"/>
        <v>16962</v>
      </c>
      <c r="BL507" s="756">
        <v>17162</v>
      </c>
      <c r="BM507" s="756">
        <v>17788</v>
      </c>
      <c r="BN507" s="756">
        <v>18059</v>
      </c>
      <c r="BO507" s="756">
        <v>18363</v>
      </c>
      <c r="BP507" s="752">
        <f t="shared" si="692"/>
        <v>18363</v>
      </c>
      <c r="BQ507" s="1231">
        <v>18678</v>
      </c>
      <c r="BR507" s="1231">
        <v>19190</v>
      </c>
      <c r="BS507" s="1231">
        <v>19190</v>
      </c>
      <c r="BT507" s="756">
        <v>19599</v>
      </c>
      <c r="BU507" s="752">
        <f t="shared" si="693"/>
        <v>19599</v>
      </c>
      <c r="BV507" s="1231">
        <v>19964</v>
      </c>
      <c r="BW507" s="1231">
        <v>20655</v>
      </c>
      <c r="BX507" s="1231">
        <v>21197</v>
      </c>
      <c r="BY507" s="1231">
        <v>22230</v>
      </c>
      <c r="BZ507" s="752">
        <f>+BY507</f>
        <v>22230</v>
      </c>
      <c r="CA507" s="1231">
        <v>23712</v>
      </c>
      <c r="CB507" s="1231">
        <v>24370</v>
      </c>
      <c r="CC507" s="1231">
        <v>24768</v>
      </c>
      <c r="CD507" s="1231">
        <v>25388</v>
      </c>
      <c r="CE507" s="752">
        <f t="shared" si="694"/>
        <v>25388</v>
      </c>
      <c r="CF507" s="1231">
        <v>26375</v>
      </c>
      <c r="CG507" s="1231">
        <v>27214</v>
      </c>
      <c r="CH507" s="2893">
        <v>27709</v>
      </c>
      <c r="CI507" s="2893">
        <v>28512</v>
      </c>
      <c r="CJ507" s="752">
        <f t="shared" si="708"/>
        <v>28512</v>
      </c>
      <c r="CK507" s="3501">
        <v>29644</v>
      </c>
      <c r="CL507" s="3501">
        <v>30476</v>
      </c>
      <c r="CM507" s="3501">
        <v>31510</v>
      </c>
      <c r="CN507" s="3501">
        <v>32431</v>
      </c>
      <c r="CO507" s="752">
        <f t="shared" si="709"/>
        <v>32431</v>
      </c>
      <c r="CP507" s="1261">
        <f t="shared" ref="CP507:CS508" si="711">+CK507*(1+CP$891)</f>
        <v>32608.400000000001</v>
      </c>
      <c r="CQ507" s="1261">
        <f t="shared" si="711"/>
        <v>33523.600000000006</v>
      </c>
      <c r="CR507" s="1261">
        <f t="shared" si="711"/>
        <v>34661</v>
      </c>
      <c r="CS507" s="1261">
        <f t="shared" si="711"/>
        <v>35674.100000000006</v>
      </c>
      <c r="CT507" s="752">
        <f t="shared" si="710"/>
        <v>35674.100000000006</v>
      </c>
      <c r="CU507" s="1243">
        <f>+CT507*(1+CU$891)</f>
        <v>38349.657500000001</v>
      </c>
      <c r="CV507" s="1243">
        <f>+CU507*(1+CV$891)</f>
        <v>39500.147225000001</v>
      </c>
      <c r="CW507" s="374"/>
      <c r="CX507" s="374"/>
      <c r="CY507" s="374"/>
      <c r="CZ507" s="374"/>
      <c r="DA507" s="374"/>
      <c r="DB507" s="217"/>
    </row>
    <row r="508" spans="1:108" x14ac:dyDescent="0.2">
      <c r="A508" s="1436" t="s">
        <v>1389</v>
      </c>
      <c r="B508" s="651"/>
      <c r="C508" s="236"/>
      <c r="D508" s="234"/>
      <c r="E508" s="234"/>
      <c r="F508" s="234"/>
      <c r="G508" s="234"/>
      <c r="H508" s="236"/>
      <c r="I508" s="756">
        <f>34834</f>
        <v>34834</v>
      </c>
      <c r="J508" s="756">
        <f>36758</f>
        <v>36758</v>
      </c>
      <c r="K508" s="756">
        <f>37389</f>
        <v>37389</v>
      </c>
      <c r="L508" s="756">
        <f>45040</f>
        <v>45040</v>
      </c>
      <c r="M508" s="752">
        <f t="shared" si="696"/>
        <v>45040</v>
      </c>
      <c r="N508" s="756">
        <f>45858</f>
        <v>45858</v>
      </c>
      <c r="O508" s="756">
        <f>46474</f>
        <v>46474</v>
      </c>
      <c r="P508" s="756">
        <v>47081</v>
      </c>
      <c r="Q508" s="756">
        <v>47324</v>
      </c>
      <c r="R508" s="752">
        <f t="shared" si="697"/>
        <v>47324</v>
      </c>
      <c r="S508" s="756">
        <v>47790</v>
      </c>
      <c r="T508" s="756">
        <v>48408</v>
      </c>
      <c r="U508" s="756">
        <v>48718</v>
      </c>
      <c r="V508" s="756">
        <v>49248</v>
      </c>
      <c r="W508" s="752">
        <f t="shared" si="698"/>
        <v>49248</v>
      </c>
      <c r="X508" s="756">
        <v>49516</v>
      </c>
      <c r="Y508" s="756">
        <v>48998</v>
      </c>
      <c r="Z508" s="756">
        <v>47932</v>
      </c>
      <c r="AA508" s="754">
        <v>47403</v>
      </c>
      <c r="AB508" s="752">
        <f t="shared" si="699"/>
        <v>47403</v>
      </c>
      <c r="AC508" s="756">
        <v>46533</v>
      </c>
      <c r="AD508" s="756">
        <v>46090</v>
      </c>
      <c r="AE508" s="756">
        <v>46412</v>
      </c>
      <c r="AF508" s="754">
        <v>46585</v>
      </c>
      <c r="AG508" s="752">
        <f t="shared" si="700"/>
        <v>46585</v>
      </c>
      <c r="AH508" s="756">
        <v>46507</v>
      </c>
      <c r="AI508" s="756">
        <v>45891</v>
      </c>
      <c r="AJ508" s="756">
        <v>45605</v>
      </c>
      <c r="AK508" s="754">
        <v>45175</v>
      </c>
      <c r="AL508" s="752">
        <f t="shared" si="701"/>
        <v>45175</v>
      </c>
      <c r="AM508" s="756">
        <v>44371</v>
      </c>
      <c r="AN508" s="756">
        <v>44737</v>
      </c>
      <c r="AO508" s="756">
        <v>45376</v>
      </c>
      <c r="AP508" s="754">
        <v>46075</v>
      </c>
      <c r="AQ508" s="752">
        <f t="shared" si="702"/>
        <v>46075</v>
      </c>
      <c r="AR508" s="756">
        <v>45746</v>
      </c>
      <c r="AS508" s="756">
        <v>46717</v>
      </c>
      <c r="AT508" s="756">
        <v>47687</v>
      </c>
      <c r="AU508" s="754">
        <v>48823</v>
      </c>
      <c r="AV508" s="752">
        <f t="shared" si="703"/>
        <v>48823</v>
      </c>
      <c r="AW508" s="756">
        <v>50197</v>
      </c>
      <c r="AX508" s="756">
        <v>51595</v>
      </c>
      <c r="AY508" s="756">
        <v>53482</v>
      </c>
      <c r="AZ508" s="756">
        <v>54567</v>
      </c>
      <c r="BA508" s="752">
        <f t="shared" si="704"/>
        <v>54567</v>
      </c>
      <c r="BB508" s="756">
        <v>55893</v>
      </c>
      <c r="BC508" s="756">
        <v>56725</v>
      </c>
      <c r="BD508" s="756">
        <v>57343</v>
      </c>
      <c r="BE508" s="756">
        <v>57455</v>
      </c>
      <c r="BF508" s="752">
        <f t="shared" si="690"/>
        <v>57455</v>
      </c>
      <c r="BG508" s="756">
        <v>57487</v>
      </c>
      <c r="BH508" s="756">
        <v>57945</v>
      </c>
      <c r="BI508" s="756">
        <v>58955</v>
      </c>
      <c r="BJ508" s="756">
        <v>59337</v>
      </c>
      <c r="BK508" s="752">
        <f t="shared" si="691"/>
        <v>59337</v>
      </c>
      <c r="BL508" s="756">
        <v>59625</v>
      </c>
      <c r="BM508" s="756">
        <v>59926</v>
      </c>
      <c r="BN508" s="756">
        <v>60271</v>
      </c>
      <c r="BO508" s="756">
        <v>60422</v>
      </c>
      <c r="BP508" s="752">
        <f t="shared" si="692"/>
        <v>60422</v>
      </c>
      <c r="BQ508" s="1231">
        <v>60611</v>
      </c>
      <c r="BR508" s="1231">
        <v>61800</v>
      </c>
      <c r="BS508" s="1231">
        <v>62088</v>
      </c>
      <c r="BT508" s="756">
        <v>61724</v>
      </c>
      <c r="BU508" s="752">
        <f t="shared" si="693"/>
        <v>61724</v>
      </c>
      <c r="BV508" s="1231">
        <v>62022</v>
      </c>
      <c r="BW508" s="1231">
        <v>62288</v>
      </c>
      <c r="BX508" s="1231">
        <v>63213</v>
      </c>
      <c r="BY508" s="1231">
        <v>63162</v>
      </c>
      <c r="BZ508" s="752">
        <f>+BY508</f>
        <v>63162</v>
      </c>
      <c r="CA508" s="1231">
        <v>65468</v>
      </c>
      <c r="CB508" s="1231">
        <v>67051</v>
      </c>
      <c r="CC508" s="1231">
        <v>67606</v>
      </c>
      <c r="CD508" s="1231">
        <v>68646</v>
      </c>
      <c r="CE508" s="752">
        <f t="shared" si="694"/>
        <v>68646</v>
      </c>
      <c r="CF508" s="1231">
        <v>69433</v>
      </c>
      <c r="CG508" s="1231">
        <v>71532</v>
      </c>
      <c r="CH508" s="2893">
        <v>73219</v>
      </c>
      <c r="CI508" s="2893">
        <v>75000</v>
      </c>
      <c r="CJ508" s="752">
        <f t="shared" si="708"/>
        <v>75000</v>
      </c>
      <c r="CK508" s="3501">
        <v>76293</v>
      </c>
      <c r="CL508" s="3501">
        <v>77737</v>
      </c>
      <c r="CM508" s="3501">
        <v>79399</v>
      </c>
      <c r="CN508" s="3501">
        <v>81267</v>
      </c>
      <c r="CO508" s="752">
        <f t="shared" si="709"/>
        <v>81267</v>
      </c>
      <c r="CP508" s="1261">
        <f t="shared" si="711"/>
        <v>83922.3</v>
      </c>
      <c r="CQ508" s="1261">
        <f t="shared" si="711"/>
        <v>85510.700000000012</v>
      </c>
      <c r="CR508" s="1261">
        <f t="shared" si="711"/>
        <v>87338.900000000009</v>
      </c>
      <c r="CS508" s="1261">
        <f t="shared" si="711"/>
        <v>89393.700000000012</v>
      </c>
      <c r="CT508" s="752">
        <f t="shared" si="710"/>
        <v>89393.700000000012</v>
      </c>
      <c r="CU508" s="1243">
        <f>+CT508*(1+CU$891)</f>
        <v>96098.227500000008</v>
      </c>
      <c r="CV508" s="1243">
        <f>+CU508*(1+CV$891)</f>
        <v>98981.174325000015</v>
      </c>
      <c r="CW508" s="374"/>
      <c r="CX508" s="374"/>
      <c r="CY508" s="374"/>
      <c r="CZ508" s="374"/>
      <c r="DA508" s="374"/>
      <c r="DB508" s="217"/>
    </row>
    <row r="509" spans="1:108" x14ac:dyDescent="0.2">
      <c r="A509" s="1436" t="s">
        <v>1390</v>
      </c>
      <c r="B509" s="651"/>
      <c r="C509" s="236"/>
      <c r="D509" s="234"/>
      <c r="E509" s="234"/>
      <c r="F509" s="234"/>
      <c r="G509" s="234"/>
      <c r="H509" s="236"/>
      <c r="I509" s="756">
        <f>5084</f>
        <v>5084</v>
      </c>
      <c r="J509" s="756">
        <f>5553</f>
        <v>5553</v>
      </c>
      <c r="K509" s="756">
        <f>6097</f>
        <v>6097</v>
      </c>
      <c r="L509" s="756">
        <f>6724</f>
        <v>6724</v>
      </c>
      <c r="M509" s="752">
        <f t="shared" si="696"/>
        <v>6724</v>
      </c>
      <c r="N509" s="756">
        <v>6828</v>
      </c>
      <c r="O509" s="756">
        <v>7599</v>
      </c>
      <c r="P509" s="756">
        <f>7840-P652</f>
        <v>7716</v>
      </c>
      <c r="Q509" s="756">
        <v>7898</v>
      </c>
      <c r="R509" s="752">
        <f t="shared" si="697"/>
        <v>7898</v>
      </c>
      <c r="S509" s="756">
        <v>7898</v>
      </c>
      <c r="T509" s="756">
        <v>8532</v>
      </c>
      <c r="U509" s="756">
        <v>8678</v>
      </c>
      <c r="V509" s="756">
        <v>9106</v>
      </c>
      <c r="W509" s="752">
        <f t="shared" si="698"/>
        <v>9106</v>
      </c>
      <c r="X509" s="756">
        <v>9327</v>
      </c>
      <c r="Y509" s="756">
        <v>9764</v>
      </c>
      <c r="Z509" s="756">
        <v>10349</v>
      </c>
      <c r="AA509" s="754">
        <v>10829</v>
      </c>
      <c r="AB509" s="752">
        <f t="shared" si="699"/>
        <v>10829</v>
      </c>
      <c r="AC509" s="756">
        <v>10923</v>
      </c>
      <c r="AD509" s="756">
        <v>11836</v>
      </c>
      <c r="AE509" s="756">
        <v>11826</v>
      </c>
      <c r="AF509" s="754">
        <v>12063</v>
      </c>
      <c r="AG509" s="752">
        <f t="shared" si="700"/>
        <v>12063</v>
      </c>
      <c r="AH509" s="756">
        <v>12939</v>
      </c>
      <c r="AI509" s="756">
        <v>13248</v>
      </c>
      <c r="AJ509" s="756">
        <v>13665</v>
      </c>
      <c r="AK509" s="754">
        <v>14103</v>
      </c>
      <c r="AL509" s="752">
        <f t="shared" si="701"/>
        <v>14103</v>
      </c>
      <c r="AM509" s="756">
        <v>14460</v>
      </c>
      <c r="AN509" s="756">
        <v>15198</v>
      </c>
      <c r="AO509" s="756">
        <v>15672</v>
      </c>
      <c r="AP509" s="754">
        <v>16745</v>
      </c>
      <c r="AQ509" s="752">
        <f t="shared" si="702"/>
        <v>16745</v>
      </c>
      <c r="AR509" s="756">
        <v>17757</v>
      </c>
      <c r="AS509" s="756">
        <v>18901</v>
      </c>
      <c r="AT509" s="756">
        <v>19117</v>
      </c>
      <c r="AU509" s="754">
        <v>20087</v>
      </c>
      <c r="AV509" s="752">
        <f t="shared" si="703"/>
        <v>20087</v>
      </c>
      <c r="AW509" s="756">
        <v>21188</v>
      </c>
      <c r="AX509" s="756">
        <v>22104</v>
      </c>
      <c r="AY509" s="756">
        <v>23678</v>
      </c>
      <c r="AZ509" s="756">
        <v>24930</v>
      </c>
      <c r="BA509" s="752">
        <f t="shared" si="704"/>
        <v>24930</v>
      </c>
      <c r="BB509" s="756">
        <v>25568</v>
      </c>
      <c r="BC509" s="756">
        <v>26260</v>
      </c>
      <c r="BD509" s="756">
        <v>26616</v>
      </c>
      <c r="BE509" s="756">
        <v>26805</v>
      </c>
      <c r="BF509" s="752">
        <f t="shared" si="690"/>
        <v>26805</v>
      </c>
      <c r="BG509" s="756">
        <v>26805</v>
      </c>
      <c r="BH509" s="756">
        <v>27453</v>
      </c>
      <c r="BI509" s="756">
        <v>27923</v>
      </c>
      <c r="BJ509" s="756">
        <v>28155</v>
      </c>
      <c r="BK509" s="752">
        <f t="shared" si="691"/>
        <v>28155</v>
      </c>
      <c r="BL509" s="756">
        <v>28510</v>
      </c>
      <c r="BM509" s="756">
        <v>29015</v>
      </c>
      <c r="BN509" s="756">
        <v>29827</v>
      </c>
      <c r="BO509" s="756">
        <v>30299</v>
      </c>
      <c r="BP509" s="752">
        <f t="shared" si="692"/>
        <v>30299</v>
      </c>
      <c r="BQ509" s="1231">
        <v>30299</v>
      </c>
      <c r="BR509" s="1231">
        <v>30747</v>
      </c>
      <c r="BS509" s="1231">
        <v>30971</v>
      </c>
      <c r="BT509" s="756">
        <v>31306</v>
      </c>
      <c r="BU509" s="752">
        <f t="shared" si="693"/>
        <v>31306</v>
      </c>
      <c r="BV509" s="1231">
        <v>31852</v>
      </c>
      <c r="BW509" s="1231">
        <v>31955</v>
      </c>
      <c r="BX509" s="1231">
        <v>32006</v>
      </c>
      <c r="BY509" s="1231">
        <v>32518</v>
      </c>
      <c r="BZ509" s="752">
        <f>+BY509</f>
        <v>32518</v>
      </c>
      <c r="CA509" s="1231">
        <v>33441</v>
      </c>
      <c r="CB509" s="1231">
        <v>34102</v>
      </c>
      <c r="CC509" s="1231">
        <v>34688</v>
      </c>
      <c r="CD509" s="1231">
        <v>35030</v>
      </c>
      <c r="CE509" s="752">
        <f t="shared" si="694"/>
        <v>35030</v>
      </c>
      <c r="CF509" s="1231">
        <v>35849</v>
      </c>
      <c r="CG509" s="1231">
        <v>36524</v>
      </c>
      <c r="CH509" s="2893">
        <v>36992</v>
      </c>
      <c r="CI509" s="2893">
        <v>37672</v>
      </c>
      <c r="CJ509" s="752">
        <f t="shared" si="708"/>
        <v>37672</v>
      </c>
      <c r="CK509" s="3501">
        <v>38128</v>
      </c>
      <c r="CL509" s="3501">
        <v>39367</v>
      </c>
      <c r="CM509" s="3501">
        <v>40464</v>
      </c>
      <c r="CN509" s="3501">
        <v>41092</v>
      </c>
      <c r="CO509" s="752">
        <f t="shared" si="709"/>
        <v>41092</v>
      </c>
      <c r="CP509" s="1261">
        <f>+CK509*(1+CP$888)</f>
        <v>41178.240000000005</v>
      </c>
      <c r="CQ509" s="1261">
        <f>+CL509*(1+CQ$888)</f>
        <v>42516.36</v>
      </c>
      <c r="CR509" s="1261">
        <f>+CM509*(1+CR$888)</f>
        <v>43701.120000000003</v>
      </c>
      <c r="CS509" s="1261">
        <f>+CN509*(1+CS$888)</f>
        <v>44379.360000000001</v>
      </c>
      <c r="CT509" s="752">
        <f t="shared" si="710"/>
        <v>44379.360000000001</v>
      </c>
      <c r="CU509" s="1243">
        <f>+CT509*(1+CU$888)</f>
        <v>47707.811999999998</v>
      </c>
      <c r="CV509" s="1243">
        <f>+CU509*(1+CV$888)</f>
        <v>49616.124479999999</v>
      </c>
      <c r="CW509" s="374"/>
      <c r="CX509" s="374"/>
      <c r="CY509" s="374"/>
      <c r="CZ509" s="374"/>
      <c r="DA509" s="374"/>
      <c r="DB509" s="217"/>
    </row>
    <row r="510" spans="1:108" x14ac:dyDescent="0.2">
      <c r="A510" s="1436" t="s">
        <v>650</v>
      </c>
      <c r="B510" s="651"/>
      <c r="C510" s="236"/>
      <c r="D510" s="234"/>
      <c r="E510" s="234"/>
      <c r="F510" s="234"/>
      <c r="G510" s="234"/>
      <c r="H510" s="236"/>
      <c r="I510" s="1427">
        <v>0</v>
      </c>
      <c r="J510" s="845">
        <v>0</v>
      </c>
      <c r="K510" s="845">
        <v>0</v>
      </c>
      <c r="L510" s="845">
        <v>0</v>
      </c>
      <c r="M510" s="661">
        <f t="shared" si="696"/>
        <v>0</v>
      </c>
      <c r="N510" s="845">
        <v>0</v>
      </c>
      <c r="O510" s="845">
        <v>0</v>
      </c>
      <c r="P510" s="845">
        <v>0</v>
      </c>
      <c r="Q510" s="845">
        <v>0</v>
      </c>
      <c r="R510" s="661">
        <f t="shared" si="697"/>
        <v>0</v>
      </c>
      <c r="S510" s="845">
        <v>0</v>
      </c>
      <c r="T510" s="845">
        <v>0</v>
      </c>
      <c r="U510" s="845">
        <v>0</v>
      </c>
      <c r="V510" s="845">
        <v>0</v>
      </c>
      <c r="W510" s="661">
        <f t="shared" si="698"/>
        <v>0</v>
      </c>
      <c r="X510" s="845">
        <v>0</v>
      </c>
      <c r="Y510" s="845">
        <v>0</v>
      </c>
      <c r="Z510" s="845">
        <v>0</v>
      </c>
      <c r="AA510" s="845">
        <v>0</v>
      </c>
      <c r="AB510" s="661">
        <f t="shared" si="699"/>
        <v>0</v>
      </c>
      <c r="AC510" s="845">
        <v>0</v>
      </c>
      <c r="AD510" s="845">
        <v>0</v>
      </c>
      <c r="AE510" s="845">
        <v>0</v>
      </c>
      <c r="AF510" s="845">
        <v>0</v>
      </c>
      <c r="AG510" s="661">
        <f t="shared" si="700"/>
        <v>0</v>
      </c>
      <c r="AH510" s="845">
        <v>0</v>
      </c>
      <c r="AI510" s="845">
        <v>0</v>
      </c>
      <c r="AJ510" s="845">
        <v>0</v>
      </c>
      <c r="AK510" s="845">
        <v>0</v>
      </c>
      <c r="AL510" s="661">
        <f t="shared" si="701"/>
        <v>0</v>
      </c>
      <c r="AM510" s="1427">
        <v>0</v>
      </c>
      <c r="AN510" s="845">
        <v>0</v>
      </c>
      <c r="AO510" s="845">
        <v>0</v>
      </c>
      <c r="AP510" s="845">
        <v>0</v>
      </c>
      <c r="AQ510" s="661">
        <f t="shared" si="702"/>
        <v>0</v>
      </c>
      <c r="AR510" s="1427">
        <v>0</v>
      </c>
      <c r="AS510" s="845">
        <v>0</v>
      </c>
      <c r="AT510" s="845">
        <v>0</v>
      </c>
      <c r="AU510" s="845">
        <v>0</v>
      </c>
      <c r="AV510" s="661">
        <f t="shared" si="703"/>
        <v>0</v>
      </c>
      <c r="AW510" s="845">
        <v>0</v>
      </c>
      <c r="AX510" s="845">
        <v>0</v>
      </c>
      <c r="AY510" s="845">
        <v>0</v>
      </c>
      <c r="AZ510" s="845">
        <v>0</v>
      </c>
      <c r="BA510" s="661">
        <f t="shared" si="704"/>
        <v>0</v>
      </c>
      <c r="BB510" s="756">
        <v>0</v>
      </c>
      <c r="BC510" s="756">
        <v>0</v>
      </c>
      <c r="BD510" s="756">
        <v>0</v>
      </c>
      <c r="BE510" s="756">
        <v>0</v>
      </c>
      <c r="BF510" s="752">
        <f t="shared" si="690"/>
        <v>0</v>
      </c>
      <c r="BG510" s="756">
        <v>0</v>
      </c>
      <c r="BH510" s="756">
        <v>0</v>
      </c>
      <c r="BI510" s="756">
        <v>0</v>
      </c>
      <c r="BJ510" s="756">
        <v>0</v>
      </c>
      <c r="BK510" s="752">
        <f t="shared" si="691"/>
        <v>0</v>
      </c>
      <c r="BL510" s="756">
        <v>0</v>
      </c>
      <c r="BM510" s="756">
        <v>0</v>
      </c>
      <c r="BN510" s="756">
        <v>0</v>
      </c>
      <c r="BO510" s="756">
        <v>0</v>
      </c>
      <c r="BP510" s="1243">
        <f t="shared" si="692"/>
        <v>0</v>
      </c>
      <c r="BQ510" s="1261">
        <v>0</v>
      </c>
      <c r="BR510" s="1261">
        <v>0</v>
      </c>
      <c r="BS510" s="1261">
        <v>0</v>
      </c>
      <c r="BT510" s="756">
        <v>0</v>
      </c>
      <c r="BU510" s="1243">
        <f t="shared" si="693"/>
        <v>0</v>
      </c>
      <c r="BV510" s="1261">
        <v>0</v>
      </c>
      <c r="BW510" s="1261">
        <f>+BV510</f>
        <v>0</v>
      </c>
      <c r="BX510" s="1261">
        <f>+BW510</f>
        <v>0</v>
      </c>
      <c r="BY510" s="1261">
        <f>+BX510</f>
        <v>0</v>
      </c>
      <c r="BZ510" s="1243">
        <f>+BY510</f>
        <v>0</v>
      </c>
      <c r="CA510" s="2686">
        <v>0</v>
      </c>
      <c r="CB510" s="2686">
        <v>0</v>
      </c>
      <c r="CC510" s="2686">
        <v>0</v>
      </c>
      <c r="CD510" s="2686">
        <v>0</v>
      </c>
      <c r="CE510" s="1243">
        <f t="shared" si="694"/>
        <v>0</v>
      </c>
      <c r="CF510" s="2686">
        <v>0</v>
      </c>
      <c r="CG510" s="2686">
        <v>0</v>
      </c>
      <c r="CH510" s="2686">
        <f>+CG510</f>
        <v>0</v>
      </c>
      <c r="CI510" s="2686">
        <f>+CH510</f>
        <v>0</v>
      </c>
      <c r="CJ510" s="1243">
        <f t="shared" si="708"/>
        <v>0</v>
      </c>
      <c r="CK510" s="3501">
        <v>0</v>
      </c>
      <c r="CL510" s="3501">
        <v>0</v>
      </c>
      <c r="CM510" s="3501">
        <v>0</v>
      </c>
      <c r="CN510" s="3501">
        <v>0</v>
      </c>
      <c r="CO510" s="1243">
        <f t="shared" si="709"/>
        <v>0</v>
      </c>
      <c r="CP510" s="1261">
        <f>CO510</f>
        <v>0</v>
      </c>
      <c r="CQ510" s="1261">
        <f t="shared" ref="CQ510:CS512" si="712">CP510</f>
        <v>0</v>
      </c>
      <c r="CR510" s="1261">
        <f t="shared" si="712"/>
        <v>0</v>
      </c>
      <c r="CS510" s="1261">
        <f t="shared" si="712"/>
        <v>0</v>
      </c>
      <c r="CT510" s="1243">
        <f t="shared" si="710"/>
        <v>0</v>
      </c>
      <c r="CU510" s="1243">
        <f>+CT510</f>
        <v>0</v>
      </c>
      <c r="CV510" s="1243">
        <f>+CU510</f>
        <v>0</v>
      </c>
      <c r="CW510" s="374"/>
      <c r="CX510" s="374"/>
      <c r="CY510" s="374"/>
      <c r="CZ510" s="374"/>
      <c r="DA510" s="374"/>
      <c r="DB510" s="217"/>
    </row>
    <row r="511" spans="1:108" x14ac:dyDescent="0.2">
      <c r="A511" s="2288" t="s">
        <v>2285</v>
      </c>
      <c r="B511" s="651"/>
      <c r="C511" s="236"/>
      <c r="D511" s="234"/>
      <c r="E511" s="234"/>
      <c r="F511" s="234"/>
      <c r="G511" s="234"/>
      <c r="H511" s="236"/>
      <c r="I511" s="1427"/>
      <c r="J511" s="845"/>
      <c r="K511" s="845"/>
      <c r="L511" s="845"/>
      <c r="M511" s="661"/>
      <c r="N511" s="845"/>
      <c r="O511" s="845"/>
      <c r="P511" s="845"/>
      <c r="Q511" s="845"/>
      <c r="R511" s="661"/>
      <c r="S511" s="845"/>
      <c r="T511" s="845"/>
      <c r="U511" s="845"/>
      <c r="V511" s="845"/>
      <c r="W511" s="661"/>
      <c r="X511" s="845"/>
      <c r="Y511" s="845"/>
      <c r="Z511" s="845"/>
      <c r="AA511" s="845"/>
      <c r="AB511" s="661"/>
      <c r="AC511" s="845"/>
      <c r="AD511" s="845"/>
      <c r="AE511" s="845"/>
      <c r="AF511" s="845"/>
      <c r="AG511" s="661"/>
      <c r="AH511" s="845"/>
      <c r="AI511" s="845"/>
      <c r="AJ511" s="845"/>
      <c r="AK511" s="845"/>
      <c r="AL511" s="661"/>
      <c r="AM511" s="845"/>
      <c r="AN511" s="845"/>
      <c r="AO511" s="845"/>
      <c r="AP511" s="845"/>
      <c r="AQ511" s="661"/>
      <c r="AR511" s="845"/>
      <c r="AS511" s="845"/>
      <c r="AT511" s="845"/>
      <c r="AU511" s="845"/>
      <c r="AV511" s="661"/>
      <c r="AW511" s="845"/>
      <c r="AX511" s="845"/>
      <c r="AY511" s="845"/>
      <c r="AZ511" s="845"/>
      <c r="BA511" s="661"/>
      <c r="BB511" s="756"/>
      <c r="BC511" s="756"/>
      <c r="BD511" s="756"/>
      <c r="BE511" s="756"/>
      <c r="BF511" s="752"/>
      <c r="BG511" s="756"/>
      <c r="BH511" s="756"/>
      <c r="BI511" s="756"/>
      <c r="BJ511" s="756"/>
      <c r="BK511" s="752"/>
      <c r="BL511" s="756"/>
      <c r="BM511" s="756"/>
      <c r="BN511" s="756"/>
      <c r="BO511" s="756"/>
      <c r="BP511" s="1243"/>
      <c r="BQ511" s="1261"/>
      <c r="BR511" s="1261"/>
      <c r="BS511" s="1261"/>
      <c r="BT511" s="756"/>
      <c r="BU511" s="1243"/>
      <c r="BV511" s="1261"/>
      <c r="BW511" s="1261"/>
      <c r="BX511" s="1261"/>
      <c r="BY511" s="1261"/>
      <c r="BZ511" s="1243"/>
      <c r="CA511" s="2686"/>
      <c r="CB511" s="1231">
        <v>2349</v>
      </c>
      <c r="CC511" s="1231">
        <v>2761</v>
      </c>
      <c r="CD511" s="1231">
        <v>2557</v>
      </c>
      <c r="CE511" s="1243">
        <f>+CD511</f>
        <v>2557</v>
      </c>
      <c r="CF511" s="1231">
        <v>3020</v>
      </c>
      <c r="CG511" s="1231">
        <v>3020</v>
      </c>
      <c r="CH511" s="2893">
        <v>3020</v>
      </c>
      <c r="CI511" s="2893">
        <v>3020</v>
      </c>
      <c r="CJ511" s="1243">
        <f t="shared" si="708"/>
        <v>3020</v>
      </c>
      <c r="CK511" s="3501">
        <v>3789</v>
      </c>
      <c r="CL511" s="3501">
        <v>4662</v>
      </c>
      <c r="CM511" s="3501">
        <v>5267</v>
      </c>
      <c r="CN511" s="3501">
        <v>5609</v>
      </c>
      <c r="CO511" s="1243">
        <f t="shared" si="709"/>
        <v>5609</v>
      </c>
      <c r="CP511" s="1261">
        <f>+CK511*(1+CP$882)</f>
        <v>4054.23</v>
      </c>
      <c r="CQ511" s="1261">
        <f>+CL511*(1+CQ$882)</f>
        <v>4895.1000000000004</v>
      </c>
      <c r="CR511" s="1261">
        <f>+CM511*(1+CR$882)</f>
        <v>5477.68</v>
      </c>
      <c r="CS511" s="1261">
        <f>+CN511*(1+CS$882)</f>
        <v>5777.27</v>
      </c>
      <c r="CT511" s="1243">
        <f t="shared" si="710"/>
        <v>5777.27</v>
      </c>
      <c r="CU511" s="1243">
        <f>+CT511*(1+CU$882)</f>
        <v>6123.9062000000004</v>
      </c>
      <c r="CV511" s="1243">
        <f>+CU511*(1+CV$882)</f>
        <v>6307.6233860000002</v>
      </c>
      <c r="CW511" s="374"/>
      <c r="CX511" s="374"/>
      <c r="CY511" s="374"/>
      <c r="CZ511" s="374"/>
      <c r="DA511" s="374"/>
      <c r="DB511" s="217"/>
    </row>
    <row r="512" spans="1:108" s="2434" customFormat="1" x14ac:dyDescent="0.2">
      <c r="A512" s="2288" t="s">
        <v>384</v>
      </c>
      <c r="B512" s="2400"/>
      <c r="C512" s="2401"/>
      <c r="D512" s="2402"/>
      <c r="E512" s="2402"/>
      <c r="F512" s="2402"/>
      <c r="G512" s="2402"/>
      <c r="H512" s="2401"/>
      <c r="I512" s="1427">
        <v>0</v>
      </c>
      <c r="J512" s="845">
        <v>0</v>
      </c>
      <c r="K512" s="845">
        <v>0</v>
      </c>
      <c r="L512" s="845">
        <v>0</v>
      </c>
      <c r="M512" s="2293">
        <v>0</v>
      </c>
      <c r="N512" s="845">
        <v>0</v>
      </c>
      <c r="O512" s="845">
        <v>0</v>
      </c>
      <c r="P512" s="845">
        <v>0</v>
      </c>
      <c r="Q512" s="845">
        <v>0</v>
      </c>
      <c r="R512" s="2293">
        <v>0</v>
      </c>
      <c r="S512" s="845">
        <v>0</v>
      </c>
      <c r="T512" s="845">
        <v>0</v>
      </c>
      <c r="U512" s="845">
        <v>0</v>
      </c>
      <c r="V512" s="845">
        <v>0</v>
      </c>
      <c r="W512" s="2293">
        <v>0</v>
      </c>
      <c r="X512" s="845">
        <v>0</v>
      </c>
      <c r="Y512" s="845">
        <v>0</v>
      </c>
      <c r="Z512" s="845">
        <v>0</v>
      </c>
      <c r="AA512" s="845">
        <v>0</v>
      </c>
      <c r="AB512" s="2293">
        <v>0</v>
      </c>
      <c r="AC512" s="845">
        <v>0</v>
      </c>
      <c r="AD512" s="845">
        <v>0</v>
      </c>
      <c r="AE512" s="845">
        <v>0</v>
      </c>
      <c r="AF512" s="845">
        <v>0</v>
      </c>
      <c r="AG512" s="2293">
        <v>0</v>
      </c>
      <c r="AH512" s="845">
        <v>0</v>
      </c>
      <c r="AI512" s="845">
        <v>0</v>
      </c>
      <c r="AJ512" s="845">
        <v>0</v>
      </c>
      <c r="AK512" s="845">
        <v>0</v>
      </c>
      <c r="AL512" s="2293">
        <v>0</v>
      </c>
      <c r="AM512" s="845">
        <v>0</v>
      </c>
      <c r="AN512" s="845">
        <v>0</v>
      </c>
      <c r="AO512" s="845">
        <v>0</v>
      </c>
      <c r="AP512" s="845">
        <v>0</v>
      </c>
      <c r="AQ512" s="2293">
        <v>0</v>
      </c>
      <c r="AR512" s="845">
        <v>0</v>
      </c>
      <c r="AS512" s="845">
        <v>0</v>
      </c>
      <c r="AT512" s="845">
        <v>0</v>
      </c>
      <c r="AU512" s="845">
        <v>0</v>
      </c>
      <c r="AV512" s="2293">
        <v>0</v>
      </c>
      <c r="AW512" s="845">
        <v>0</v>
      </c>
      <c r="AX512" s="845">
        <v>0</v>
      </c>
      <c r="AY512" s="845">
        <v>0</v>
      </c>
      <c r="AZ512" s="845">
        <v>0</v>
      </c>
      <c r="BA512" s="2293">
        <v>0</v>
      </c>
      <c r="BB512" s="845">
        <v>0</v>
      </c>
      <c r="BC512" s="845">
        <v>0</v>
      </c>
      <c r="BD512" s="845">
        <v>0</v>
      </c>
      <c r="BE512" s="845">
        <v>0</v>
      </c>
      <c r="BF512" s="2293">
        <v>0</v>
      </c>
      <c r="BG512" s="845">
        <v>0</v>
      </c>
      <c r="BH512" s="845">
        <v>0</v>
      </c>
      <c r="BI512" s="845">
        <v>0</v>
      </c>
      <c r="BJ512" s="845">
        <v>0</v>
      </c>
      <c r="BK512" s="2293">
        <v>0</v>
      </c>
      <c r="BL512" s="845">
        <v>0</v>
      </c>
      <c r="BM512" s="845">
        <v>0</v>
      </c>
      <c r="BN512" s="845">
        <v>0</v>
      </c>
      <c r="BO512" s="845">
        <v>0</v>
      </c>
      <c r="BP512" s="848">
        <v>0</v>
      </c>
      <c r="BQ512" s="845">
        <v>0</v>
      </c>
      <c r="BR512" s="845">
        <v>0</v>
      </c>
      <c r="BS512" s="845">
        <v>0</v>
      </c>
      <c r="BT512" s="845">
        <v>0</v>
      </c>
      <c r="BU512" s="848">
        <v>0</v>
      </c>
      <c r="BV512" s="845">
        <v>0</v>
      </c>
      <c r="BW512" s="845">
        <v>0</v>
      </c>
      <c r="BX512" s="845">
        <v>0</v>
      </c>
      <c r="BY512" s="845">
        <v>0</v>
      </c>
      <c r="BZ512" s="848">
        <v>0</v>
      </c>
      <c r="CA512" s="845">
        <v>0</v>
      </c>
      <c r="CB512" s="845">
        <v>0</v>
      </c>
      <c r="CC512" s="845">
        <v>0</v>
      </c>
      <c r="CD512" s="845">
        <v>0</v>
      </c>
      <c r="CE512" s="848">
        <v>0</v>
      </c>
      <c r="CF512" s="845">
        <v>0</v>
      </c>
      <c r="CG512" s="845">
        <v>0</v>
      </c>
      <c r="CH512" s="845">
        <v>0</v>
      </c>
      <c r="CI512" s="845">
        <v>0</v>
      </c>
      <c r="CJ512" s="848">
        <v>0</v>
      </c>
      <c r="CK512" s="2982">
        <v>0</v>
      </c>
      <c r="CL512" s="2982">
        <v>0</v>
      </c>
      <c r="CM512" s="2982">
        <v>0</v>
      </c>
      <c r="CN512" s="2982">
        <v>0</v>
      </c>
      <c r="CO512" s="848">
        <v>0</v>
      </c>
      <c r="CP512" s="1261">
        <f>CO512</f>
        <v>0</v>
      </c>
      <c r="CQ512" s="1261">
        <f t="shared" si="712"/>
        <v>0</v>
      </c>
      <c r="CR512" s="1261">
        <f t="shared" si="712"/>
        <v>0</v>
      </c>
      <c r="CS512" s="1261">
        <f t="shared" si="712"/>
        <v>0</v>
      </c>
      <c r="CT512" s="848">
        <v>0</v>
      </c>
      <c r="CU512" s="848">
        <v>0</v>
      </c>
      <c r="CV512" s="848">
        <v>0</v>
      </c>
      <c r="CW512" s="2584"/>
      <c r="CX512" s="2584"/>
      <c r="CY512" s="2584"/>
      <c r="CZ512" s="2584"/>
      <c r="DA512" s="2584"/>
      <c r="DB512" s="217"/>
      <c r="DC512" s="212"/>
      <c r="DD512" s="2631"/>
    </row>
    <row r="513" spans="1:106" ht="4.5" customHeight="1" x14ac:dyDescent="0.2">
      <c r="A513" s="1446"/>
      <c r="B513" s="651"/>
      <c r="C513" s="236"/>
      <c r="D513" s="234"/>
      <c r="E513" s="234"/>
      <c r="F513" s="234"/>
      <c r="G513" s="234"/>
      <c r="H513" s="236"/>
      <c r="I513" s="767"/>
      <c r="J513" s="767"/>
      <c r="K513" s="767"/>
      <c r="L513" s="767"/>
      <c r="M513" s="246"/>
      <c r="N513" s="767"/>
      <c r="O513" s="767"/>
      <c r="P513" s="767"/>
      <c r="Q513" s="767"/>
      <c r="R513" s="246"/>
      <c r="S513" s="767"/>
      <c r="T513" s="767"/>
      <c r="U513" s="767"/>
      <c r="V513" s="767"/>
      <c r="W513" s="246"/>
      <c r="X513" s="767"/>
      <c r="Y513" s="767"/>
      <c r="Z513" s="767"/>
      <c r="AA513" s="767"/>
      <c r="AB513" s="246"/>
      <c r="AC513" s="767"/>
      <c r="AD513" s="767"/>
      <c r="AE513" s="767"/>
      <c r="AF513" s="767"/>
      <c r="AG513" s="246"/>
      <c r="AH513" s="767"/>
      <c r="AI513" s="767"/>
      <c r="AJ513" s="767"/>
      <c r="AK513" s="767"/>
      <c r="AL513" s="246"/>
      <c r="AM513" s="767"/>
      <c r="AN513" s="767"/>
      <c r="AO513" s="767"/>
      <c r="AP513" s="767"/>
      <c r="AQ513" s="246"/>
      <c r="AR513" s="767"/>
      <c r="AS513" s="767"/>
      <c r="AT513" s="767"/>
      <c r="AU513" s="767"/>
      <c r="AV513" s="246"/>
      <c r="AW513" s="767"/>
      <c r="AX513" s="767"/>
      <c r="AY513" s="767"/>
      <c r="AZ513" s="767"/>
      <c r="BA513" s="246"/>
      <c r="BB513" s="767"/>
      <c r="BC513" s="767"/>
      <c r="BD513" s="767"/>
      <c r="BE513" s="767"/>
      <c r="BF513" s="246"/>
      <c r="BG513" s="767"/>
      <c r="BH513" s="767"/>
      <c r="BI513" s="767"/>
      <c r="BJ513" s="767"/>
      <c r="BK513" s="246"/>
      <c r="BL513" s="767"/>
      <c r="BM513" s="767"/>
      <c r="BN513" s="767"/>
      <c r="BO513" s="767"/>
      <c r="BP513" s="1048"/>
      <c r="BQ513" s="767"/>
      <c r="BR513" s="767"/>
      <c r="BS513" s="767"/>
      <c r="BT513" s="767"/>
      <c r="BU513" s="1048"/>
      <c r="BV513" s="767"/>
      <c r="BW513" s="767"/>
      <c r="BX513" s="767"/>
      <c r="BY513" s="767"/>
      <c r="BZ513" s="1048"/>
      <c r="CA513" s="767"/>
      <c r="CB513" s="767"/>
      <c r="CC513" s="767"/>
      <c r="CD513" s="767"/>
      <c r="CE513" s="1048"/>
      <c r="CF513" s="767"/>
      <c r="CG513" s="767"/>
      <c r="CH513" s="767"/>
      <c r="CI513" s="767"/>
      <c r="CJ513" s="1048"/>
      <c r="CK513" s="3516"/>
      <c r="CL513" s="3516"/>
      <c r="CM513" s="3516"/>
      <c r="CN513" s="3516"/>
      <c r="CO513" s="1048"/>
      <c r="CP513" s="1261"/>
      <c r="CQ513" s="1261"/>
      <c r="CR513" s="1261"/>
      <c r="CS513" s="1261"/>
      <c r="CT513" s="1048"/>
      <c r="CU513" s="1048"/>
      <c r="CV513" s="1048"/>
      <c r="CW513" s="374"/>
      <c r="CX513" s="374"/>
      <c r="CY513" s="374"/>
      <c r="CZ513" s="374"/>
      <c r="DA513" s="374"/>
      <c r="DB513" s="217"/>
    </row>
    <row r="514" spans="1:106" x14ac:dyDescent="0.2">
      <c r="A514" s="3013" t="s">
        <v>2454</v>
      </c>
      <c r="B514" s="651"/>
      <c r="C514" s="236"/>
      <c r="D514" s="234"/>
      <c r="E514" s="234"/>
      <c r="F514" s="234"/>
      <c r="G514" s="234"/>
      <c r="H514" s="236"/>
      <c r="I514" s="767"/>
      <c r="J514" s="767"/>
      <c r="K514" s="767"/>
      <c r="L514" s="767"/>
      <c r="M514" s="246"/>
      <c r="N514" s="767"/>
      <c r="O514" s="767"/>
      <c r="P514" s="767"/>
      <c r="Q514" s="767"/>
      <c r="R514" s="246"/>
      <c r="S514" s="767"/>
      <c r="T514" s="767"/>
      <c r="U514" s="767"/>
      <c r="V514" s="767"/>
      <c r="W514" s="246"/>
      <c r="X514" s="767"/>
      <c r="Y514" s="767"/>
      <c r="Z514" s="767"/>
      <c r="AA514" s="767"/>
      <c r="AB514" s="246"/>
      <c r="AC514" s="767"/>
      <c r="AD514" s="767"/>
      <c r="AE514" s="767"/>
      <c r="AF514" s="767"/>
      <c r="AG514" s="246"/>
      <c r="AH514" s="767"/>
      <c r="AI514" s="767"/>
      <c r="AJ514" s="767"/>
      <c r="AK514" s="767"/>
      <c r="AL514" s="246"/>
      <c r="AM514" s="767"/>
      <c r="AN514" s="767"/>
      <c r="AO514" s="767"/>
      <c r="AP514" s="767"/>
      <c r="AQ514" s="246"/>
      <c r="AR514" s="767"/>
      <c r="AS514" s="767"/>
      <c r="AT514" s="767"/>
      <c r="AU514" s="767"/>
      <c r="AV514" s="246"/>
      <c r="AW514" s="767"/>
      <c r="AX514" s="767"/>
      <c r="AY514" s="767"/>
      <c r="AZ514" s="767"/>
      <c r="BA514" s="246"/>
      <c r="BB514" s="767"/>
      <c r="BC514" s="767"/>
      <c r="BD514" s="767"/>
      <c r="BE514" s="767"/>
      <c r="BF514" s="246"/>
      <c r="BG514" s="767"/>
      <c r="BH514" s="767"/>
      <c r="BI514" s="767"/>
      <c r="BJ514" s="767"/>
      <c r="BK514" s="246"/>
      <c r="BL514" s="767"/>
      <c r="BM514" s="767"/>
      <c r="BN514" s="767"/>
      <c r="BO514" s="767"/>
      <c r="BP514" s="1048"/>
      <c r="BQ514" s="767"/>
      <c r="BR514" s="767"/>
      <c r="BS514" s="767"/>
      <c r="BT514" s="767"/>
      <c r="BU514" s="1048"/>
      <c r="BV514" s="767"/>
      <c r="BW514" s="767"/>
      <c r="BX514" s="767"/>
      <c r="BY514" s="767"/>
      <c r="BZ514" s="1048"/>
      <c r="CA514" s="3322">
        <v>47748</v>
      </c>
      <c r="CB514" s="3322">
        <v>47748</v>
      </c>
      <c r="CC514" s="3322">
        <v>47924</v>
      </c>
      <c r="CD514" s="3322">
        <v>48004</v>
      </c>
      <c r="CE514" s="3323">
        <v>48004</v>
      </c>
      <c r="CF514" s="3322">
        <v>48004</v>
      </c>
      <c r="CG514" s="3322">
        <v>47942</v>
      </c>
      <c r="CH514" s="2983">
        <v>47693</v>
      </c>
      <c r="CI514" s="2983">
        <v>48025</v>
      </c>
      <c r="CJ514" s="2293">
        <f>CI514</f>
        <v>48025</v>
      </c>
      <c r="CK514" s="2982">
        <v>48013</v>
      </c>
      <c r="CL514" s="2982">
        <v>47765</v>
      </c>
      <c r="CM514" s="2982">
        <v>47765</v>
      </c>
      <c r="CN514" s="2982">
        <v>47765</v>
      </c>
      <c r="CO514" s="2293">
        <f>CN514</f>
        <v>47765</v>
      </c>
      <c r="CP514" s="1261">
        <f t="shared" ref="CP514:CS515" si="713">CK514*(1+CP$882)</f>
        <v>51373.91</v>
      </c>
      <c r="CQ514" s="1261">
        <f t="shared" si="713"/>
        <v>50153.25</v>
      </c>
      <c r="CR514" s="1261">
        <f t="shared" si="713"/>
        <v>49675.6</v>
      </c>
      <c r="CS514" s="1261">
        <f t="shared" si="713"/>
        <v>49197.950000000004</v>
      </c>
      <c r="CT514" s="2293">
        <f>CS514</f>
        <v>49197.950000000004</v>
      </c>
      <c r="CU514" s="2293">
        <f>CT514*(1+CU$882)</f>
        <v>52149.827000000005</v>
      </c>
      <c r="CV514" s="2293">
        <f>CU514*(1+CV$882)</f>
        <v>53714.321810000009</v>
      </c>
      <c r="CW514" s="374"/>
      <c r="CX514" s="374"/>
      <c r="CY514" s="374"/>
      <c r="CZ514" s="374"/>
      <c r="DA514" s="374"/>
      <c r="DB514" s="217"/>
    </row>
    <row r="515" spans="1:106" x14ac:dyDescent="0.2">
      <c r="A515" s="3013" t="s">
        <v>2455</v>
      </c>
      <c r="B515" s="651"/>
      <c r="C515" s="236"/>
      <c r="D515" s="234"/>
      <c r="E515" s="234"/>
      <c r="F515" s="234"/>
      <c r="G515" s="234"/>
      <c r="H515" s="236"/>
      <c r="I515" s="767"/>
      <c r="J515" s="767"/>
      <c r="K515" s="767"/>
      <c r="L515" s="767"/>
      <c r="M515" s="246"/>
      <c r="N515" s="767"/>
      <c r="O515" s="767"/>
      <c r="P515" s="767"/>
      <c r="Q515" s="767"/>
      <c r="R515" s="246"/>
      <c r="S515" s="767"/>
      <c r="T515" s="767"/>
      <c r="U515" s="767"/>
      <c r="V515" s="767"/>
      <c r="W515" s="246"/>
      <c r="X515" s="767"/>
      <c r="Y515" s="767"/>
      <c r="Z515" s="767"/>
      <c r="AA515" s="767"/>
      <c r="AB515" s="246"/>
      <c r="AC515" s="767"/>
      <c r="AD515" s="767"/>
      <c r="AE515" s="767"/>
      <c r="AF515" s="767"/>
      <c r="AG515" s="246"/>
      <c r="AH515" s="767"/>
      <c r="AI515" s="767"/>
      <c r="AJ515" s="767"/>
      <c r="AK515" s="767"/>
      <c r="AL515" s="246"/>
      <c r="AM515" s="767"/>
      <c r="AN515" s="767"/>
      <c r="AO515" s="767"/>
      <c r="AP515" s="767"/>
      <c r="AQ515" s="246"/>
      <c r="AR515" s="767"/>
      <c r="AS515" s="767"/>
      <c r="AT515" s="767"/>
      <c r="AU515" s="767"/>
      <c r="AV515" s="246"/>
      <c r="AW515" s="767"/>
      <c r="AX515" s="767"/>
      <c r="AY515" s="767"/>
      <c r="AZ515" s="767"/>
      <c r="BA515" s="246"/>
      <c r="BB515" s="767"/>
      <c r="BC515" s="767"/>
      <c r="BD515" s="767"/>
      <c r="BE515" s="767"/>
      <c r="BF515" s="246"/>
      <c r="BG515" s="767"/>
      <c r="BH515" s="767"/>
      <c r="BI515" s="767"/>
      <c r="BJ515" s="767"/>
      <c r="BK515" s="246"/>
      <c r="BL515" s="767"/>
      <c r="BM515" s="767"/>
      <c r="BN515" s="767"/>
      <c r="BO515" s="767"/>
      <c r="BP515" s="1048"/>
      <c r="BQ515" s="767"/>
      <c r="BR515" s="767"/>
      <c r="BS515" s="767"/>
      <c r="BT515" s="767"/>
      <c r="BU515" s="1048"/>
      <c r="BV515" s="767"/>
      <c r="BW515" s="767"/>
      <c r="BX515" s="767"/>
      <c r="BY515" s="767"/>
      <c r="BZ515" s="1048"/>
      <c r="CA515" s="3322">
        <v>22224</v>
      </c>
      <c r="CB515" s="3322">
        <v>22224</v>
      </c>
      <c r="CC515" s="3322">
        <v>23348</v>
      </c>
      <c r="CD515" s="3322">
        <v>23352</v>
      </c>
      <c r="CE515" s="3323">
        <v>23352</v>
      </c>
      <c r="CF515" s="3322">
        <v>23348</v>
      </c>
      <c r="CG515" s="3322">
        <v>23796</v>
      </c>
      <c r="CH515" s="2983">
        <v>24399</v>
      </c>
      <c r="CI515" s="2983">
        <v>24700</v>
      </c>
      <c r="CJ515" s="2293">
        <f t="shared" ref="CJ515:CJ524" si="714">CI515</f>
        <v>24700</v>
      </c>
      <c r="CK515" s="2982">
        <v>24522</v>
      </c>
      <c r="CL515" s="2982">
        <v>25460</v>
      </c>
      <c r="CM515" s="2982">
        <v>26262</v>
      </c>
      <c r="CN515" s="2982">
        <v>26522</v>
      </c>
      <c r="CO515" s="2293">
        <f t="shared" ref="CO515:CO524" si="715">CN515</f>
        <v>26522</v>
      </c>
      <c r="CP515" s="1261">
        <f t="shared" si="713"/>
        <v>26238.54</v>
      </c>
      <c r="CQ515" s="1261">
        <f t="shared" si="713"/>
        <v>26733</v>
      </c>
      <c r="CR515" s="1261">
        <f t="shared" si="713"/>
        <v>27312.48</v>
      </c>
      <c r="CS515" s="1261">
        <f t="shared" si="713"/>
        <v>27317.66</v>
      </c>
      <c r="CT515" s="2293">
        <f t="shared" ref="CT515:CT524" si="716">CS515</f>
        <v>27317.66</v>
      </c>
      <c r="CU515" s="2293">
        <f>CT515*(1+CU$882)</f>
        <v>28956.7196</v>
      </c>
      <c r="CV515" s="2293">
        <f>CU515*(1+CV$882)</f>
        <v>29825.421188</v>
      </c>
      <c r="CW515" s="374"/>
      <c r="CX515" s="374"/>
      <c r="CY515" s="374"/>
      <c r="CZ515" s="374"/>
      <c r="DA515" s="374"/>
      <c r="DB515" s="217"/>
    </row>
    <row r="516" spans="1:106" x14ac:dyDescent="0.2">
      <c r="A516" s="3013" t="s">
        <v>2456</v>
      </c>
      <c r="B516" s="651"/>
      <c r="C516" s="236"/>
      <c r="D516" s="234"/>
      <c r="E516" s="234"/>
      <c r="F516" s="234"/>
      <c r="G516" s="234"/>
      <c r="H516" s="236"/>
      <c r="I516" s="767"/>
      <c r="J516" s="767"/>
      <c r="K516" s="767"/>
      <c r="L516" s="767"/>
      <c r="M516" s="246"/>
      <c r="N516" s="767"/>
      <c r="O516" s="767"/>
      <c r="P516" s="767"/>
      <c r="Q516" s="767"/>
      <c r="R516" s="246"/>
      <c r="S516" s="767"/>
      <c r="T516" s="767"/>
      <c r="U516" s="767"/>
      <c r="V516" s="767"/>
      <c r="W516" s="246"/>
      <c r="X516" s="767"/>
      <c r="Y516" s="767"/>
      <c r="Z516" s="767"/>
      <c r="AA516" s="767"/>
      <c r="AB516" s="246"/>
      <c r="AC516" s="767"/>
      <c r="AD516" s="767"/>
      <c r="AE516" s="767"/>
      <c r="AF516" s="767"/>
      <c r="AG516" s="246"/>
      <c r="AH516" s="767"/>
      <c r="AI516" s="767"/>
      <c r="AJ516" s="767"/>
      <c r="AK516" s="767"/>
      <c r="AL516" s="246"/>
      <c r="AM516" s="767"/>
      <c r="AN516" s="767"/>
      <c r="AO516" s="767"/>
      <c r="AP516" s="767"/>
      <c r="AQ516" s="246"/>
      <c r="AR516" s="767"/>
      <c r="AS516" s="767"/>
      <c r="AT516" s="767"/>
      <c r="AU516" s="767"/>
      <c r="AV516" s="246"/>
      <c r="AW516" s="767"/>
      <c r="AX516" s="767"/>
      <c r="AY516" s="767"/>
      <c r="AZ516" s="767"/>
      <c r="BA516" s="246"/>
      <c r="BB516" s="767"/>
      <c r="BC516" s="767"/>
      <c r="BD516" s="767"/>
      <c r="BE516" s="767"/>
      <c r="BF516" s="246"/>
      <c r="BG516" s="767"/>
      <c r="BH516" s="767"/>
      <c r="BI516" s="767"/>
      <c r="BJ516" s="767"/>
      <c r="BK516" s="246"/>
      <c r="BL516" s="767"/>
      <c r="BM516" s="767"/>
      <c r="BN516" s="767"/>
      <c r="BO516" s="767"/>
      <c r="BP516" s="1048"/>
      <c r="BQ516" s="767"/>
      <c r="BR516" s="767"/>
      <c r="BS516" s="767"/>
      <c r="BT516" s="767"/>
      <c r="BU516" s="1048"/>
      <c r="BV516" s="767"/>
      <c r="BW516" s="767"/>
      <c r="BX516" s="767"/>
      <c r="BY516" s="767"/>
      <c r="BZ516" s="1048"/>
      <c r="CA516" s="3322">
        <v>17932</v>
      </c>
      <c r="CB516" s="3322">
        <v>17932</v>
      </c>
      <c r="CC516" s="3322">
        <v>17982</v>
      </c>
      <c r="CD516" s="3322">
        <v>18332</v>
      </c>
      <c r="CE516" s="3323">
        <v>18332</v>
      </c>
      <c r="CF516" s="3322">
        <v>19152</v>
      </c>
      <c r="CG516" s="3322">
        <v>19248</v>
      </c>
      <c r="CH516" s="2983">
        <v>19409</v>
      </c>
      <c r="CI516" s="2983">
        <v>19996</v>
      </c>
      <c r="CJ516" s="2293">
        <f t="shared" si="714"/>
        <v>19996</v>
      </c>
      <c r="CK516" s="2982">
        <v>20040</v>
      </c>
      <c r="CL516" s="2982">
        <v>20777</v>
      </c>
      <c r="CM516" s="2982">
        <v>20900</v>
      </c>
      <c r="CN516" s="2982">
        <v>21478</v>
      </c>
      <c r="CO516" s="2293">
        <f t="shared" si="715"/>
        <v>21478</v>
      </c>
      <c r="CP516" s="1261">
        <f>CK516*(1+CP$888)</f>
        <v>21643.200000000001</v>
      </c>
      <c r="CQ516" s="1261">
        <f>CL516*(1+CQ$888)</f>
        <v>22439.16</v>
      </c>
      <c r="CR516" s="1261">
        <f>CM516*(1+CR$888)</f>
        <v>22572</v>
      </c>
      <c r="CS516" s="1261">
        <f>CN516*(1+CS$888)</f>
        <v>23196.240000000002</v>
      </c>
      <c r="CT516" s="2293">
        <f t="shared" si="716"/>
        <v>23196.240000000002</v>
      </c>
      <c r="CU516" s="2293">
        <f>CT516*(1+CU$888)</f>
        <v>24935.958000000002</v>
      </c>
      <c r="CV516" s="2293">
        <f>CU516*(1+CV$888)</f>
        <v>25933.396320000003</v>
      </c>
      <c r="CW516" s="374"/>
      <c r="CX516" s="374"/>
      <c r="CY516" s="374"/>
      <c r="CZ516" s="374"/>
      <c r="DA516" s="374"/>
      <c r="DB516" s="217"/>
    </row>
    <row r="517" spans="1:106" x14ac:dyDescent="0.2">
      <c r="A517" s="3013" t="s">
        <v>2457</v>
      </c>
      <c r="B517" s="651"/>
      <c r="C517" s="236"/>
      <c r="D517" s="234"/>
      <c r="E517" s="234"/>
      <c r="F517" s="234"/>
      <c r="G517" s="234"/>
      <c r="H517" s="236"/>
      <c r="I517" s="767"/>
      <c r="J517" s="767"/>
      <c r="K517" s="767"/>
      <c r="L517" s="767"/>
      <c r="M517" s="246"/>
      <c r="N517" s="767"/>
      <c r="O517" s="767"/>
      <c r="P517" s="767"/>
      <c r="Q517" s="767"/>
      <c r="R517" s="246"/>
      <c r="S517" s="767"/>
      <c r="T517" s="767"/>
      <c r="U517" s="767"/>
      <c r="V517" s="767"/>
      <c r="W517" s="246"/>
      <c r="X517" s="767"/>
      <c r="Y517" s="767"/>
      <c r="Z517" s="767"/>
      <c r="AA517" s="767"/>
      <c r="AB517" s="246"/>
      <c r="AC517" s="767"/>
      <c r="AD517" s="767"/>
      <c r="AE517" s="767"/>
      <c r="AF517" s="767"/>
      <c r="AG517" s="246"/>
      <c r="AH517" s="767"/>
      <c r="AI517" s="767"/>
      <c r="AJ517" s="767"/>
      <c r="AK517" s="767"/>
      <c r="AL517" s="246"/>
      <c r="AM517" s="767"/>
      <c r="AN517" s="767"/>
      <c r="AO517" s="767"/>
      <c r="AP517" s="767"/>
      <c r="AQ517" s="246"/>
      <c r="AR517" s="767"/>
      <c r="AS517" s="767"/>
      <c r="AT517" s="767"/>
      <c r="AU517" s="767"/>
      <c r="AV517" s="246"/>
      <c r="AW517" s="767"/>
      <c r="AX517" s="767"/>
      <c r="AY517" s="767"/>
      <c r="AZ517" s="767"/>
      <c r="BA517" s="246"/>
      <c r="BB517" s="767"/>
      <c r="BC517" s="767"/>
      <c r="BD517" s="767"/>
      <c r="BE517" s="767"/>
      <c r="BF517" s="246"/>
      <c r="BG517" s="767"/>
      <c r="BH517" s="767"/>
      <c r="BI517" s="767"/>
      <c r="BJ517" s="767"/>
      <c r="BK517" s="246"/>
      <c r="BL517" s="767"/>
      <c r="BM517" s="767"/>
      <c r="BN517" s="767"/>
      <c r="BO517" s="767"/>
      <c r="BP517" s="1048"/>
      <c r="BQ517" s="767"/>
      <c r="BR517" s="767"/>
      <c r="BS517" s="767"/>
      <c r="BT517" s="767"/>
      <c r="BU517" s="1048"/>
      <c r="BV517" s="767"/>
      <c r="BW517" s="767"/>
      <c r="BX517" s="767"/>
      <c r="BY517" s="767"/>
      <c r="BZ517" s="1048"/>
      <c r="CA517" s="3322">
        <v>0</v>
      </c>
      <c r="CB517" s="3322">
        <v>0</v>
      </c>
      <c r="CC517" s="3322">
        <v>0</v>
      </c>
      <c r="CD517" s="3322">
        <v>0</v>
      </c>
      <c r="CE517" s="3323">
        <v>0</v>
      </c>
      <c r="CF517" s="3322">
        <v>0</v>
      </c>
      <c r="CG517" s="3322">
        <v>0</v>
      </c>
      <c r="CH517" s="2349">
        <f>CG517</f>
        <v>0</v>
      </c>
      <c r="CI517" s="2349">
        <f>CH517</f>
        <v>0</v>
      </c>
      <c r="CJ517" s="2293">
        <f t="shared" si="714"/>
        <v>0</v>
      </c>
      <c r="CK517" s="2982">
        <v>0</v>
      </c>
      <c r="CL517" s="2982">
        <v>0</v>
      </c>
      <c r="CM517" s="2982">
        <v>0</v>
      </c>
      <c r="CN517" s="2982">
        <v>0</v>
      </c>
      <c r="CO517" s="2293">
        <f t="shared" si="715"/>
        <v>0</v>
      </c>
      <c r="CP517" s="1261">
        <f>CO517</f>
        <v>0</v>
      </c>
      <c r="CQ517" s="1261">
        <f t="shared" ref="CQ517:CS519" si="717">CP517</f>
        <v>0</v>
      </c>
      <c r="CR517" s="1261">
        <f t="shared" si="717"/>
        <v>0</v>
      </c>
      <c r="CS517" s="1261">
        <f t="shared" si="717"/>
        <v>0</v>
      </c>
      <c r="CT517" s="2293">
        <f t="shared" si="716"/>
        <v>0</v>
      </c>
      <c r="CU517" s="2293">
        <f t="shared" ref="CU517:CV519" si="718">CT517</f>
        <v>0</v>
      </c>
      <c r="CV517" s="2293">
        <f t="shared" si="718"/>
        <v>0</v>
      </c>
      <c r="CW517" s="374"/>
      <c r="CX517" s="374"/>
      <c r="CY517" s="374"/>
      <c r="CZ517" s="374"/>
      <c r="DA517" s="374"/>
      <c r="DB517" s="217"/>
    </row>
    <row r="518" spans="1:106" x14ac:dyDescent="0.2">
      <c r="A518" s="3013" t="s">
        <v>2458</v>
      </c>
      <c r="B518" s="651"/>
      <c r="C518" s="236"/>
      <c r="D518" s="234"/>
      <c r="E518" s="234"/>
      <c r="F518" s="234"/>
      <c r="G518" s="234"/>
      <c r="H518" s="236"/>
      <c r="I518" s="767"/>
      <c r="J518" s="767"/>
      <c r="K518" s="767"/>
      <c r="L518" s="767"/>
      <c r="M518" s="246"/>
      <c r="N518" s="767"/>
      <c r="O518" s="767"/>
      <c r="P518" s="767"/>
      <c r="Q518" s="767"/>
      <c r="R518" s="246"/>
      <c r="S518" s="767"/>
      <c r="T518" s="767"/>
      <c r="U518" s="767"/>
      <c r="V518" s="767"/>
      <c r="W518" s="246"/>
      <c r="X518" s="767"/>
      <c r="Y518" s="767"/>
      <c r="Z518" s="767"/>
      <c r="AA518" s="767"/>
      <c r="AB518" s="246"/>
      <c r="AC518" s="767"/>
      <c r="AD518" s="767"/>
      <c r="AE518" s="767"/>
      <c r="AF518" s="767"/>
      <c r="AG518" s="246"/>
      <c r="AH518" s="767"/>
      <c r="AI518" s="767"/>
      <c r="AJ518" s="767"/>
      <c r="AK518" s="767"/>
      <c r="AL518" s="246"/>
      <c r="AM518" s="767"/>
      <c r="AN518" s="767"/>
      <c r="AO518" s="767"/>
      <c r="AP518" s="767"/>
      <c r="AQ518" s="246"/>
      <c r="AR518" s="767"/>
      <c r="AS518" s="767"/>
      <c r="AT518" s="767"/>
      <c r="AU518" s="767"/>
      <c r="AV518" s="246"/>
      <c r="AW518" s="767"/>
      <c r="AX518" s="767"/>
      <c r="AY518" s="767"/>
      <c r="AZ518" s="767"/>
      <c r="BA518" s="246"/>
      <c r="BB518" s="767"/>
      <c r="BC518" s="767"/>
      <c r="BD518" s="767"/>
      <c r="BE518" s="767"/>
      <c r="BF518" s="246"/>
      <c r="BG518" s="767"/>
      <c r="BH518" s="767"/>
      <c r="BI518" s="767"/>
      <c r="BJ518" s="767"/>
      <c r="BK518" s="246"/>
      <c r="BL518" s="767"/>
      <c r="BM518" s="767"/>
      <c r="BN518" s="767"/>
      <c r="BO518" s="767"/>
      <c r="BP518" s="1048"/>
      <c r="BQ518" s="767"/>
      <c r="BR518" s="767"/>
      <c r="BS518" s="767"/>
      <c r="BT518" s="767"/>
      <c r="BU518" s="1048"/>
      <c r="BV518" s="767"/>
      <c r="BW518" s="767"/>
      <c r="BX518" s="767"/>
      <c r="BY518" s="767"/>
      <c r="BZ518" s="1048"/>
      <c r="CA518" s="3322">
        <v>1691</v>
      </c>
      <c r="CB518" s="3322">
        <v>1691</v>
      </c>
      <c r="CC518" s="3322">
        <v>2268</v>
      </c>
      <c r="CD518" s="3322">
        <v>2009</v>
      </c>
      <c r="CE518" s="3323">
        <v>2009</v>
      </c>
      <c r="CF518" s="3322">
        <v>2009</v>
      </c>
      <c r="CG518" s="3322">
        <v>2009</v>
      </c>
      <c r="CH518" s="2983">
        <v>2009</v>
      </c>
      <c r="CI518" s="2983">
        <v>1863</v>
      </c>
      <c r="CJ518" s="2293">
        <f t="shared" si="714"/>
        <v>1863</v>
      </c>
      <c r="CK518" s="2982">
        <v>1891</v>
      </c>
      <c r="CL518" s="2982">
        <v>1891</v>
      </c>
      <c r="CM518" s="2982">
        <v>1891</v>
      </c>
      <c r="CN518" s="2982">
        <v>2683</v>
      </c>
      <c r="CO518" s="3075">
        <f t="shared" si="715"/>
        <v>2683</v>
      </c>
      <c r="CP518" s="1261">
        <f>CO518</f>
        <v>2683</v>
      </c>
      <c r="CQ518" s="1261">
        <f>CP518</f>
        <v>2683</v>
      </c>
      <c r="CR518" s="1261">
        <f>CQ518</f>
        <v>2683</v>
      </c>
      <c r="CS518" s="1261">
        <f>CR518</f>
        <v>2683</v>
      </c>
      <c r="CT518" s="3075">
        <f t="shared" si="716"/>
        <v>2683</v>
      </c>
      <c r="CU518" s="3075">
        <f t="shared" si="718"/>
        <v>2683</v>
      </c>
      <c r="CV518" s="3075">
        <f t="shared" si="718"/>
        <v>2683</v>
      </c>
      <c r="CW518" s="374"/>
      <c r="CX518" s="374"/>
      <c r="CY518" s="374"/>
      <c r="CZ518" s="374"/>
      <c r="DA518" s="374"/>
      <c r="DB518" s="217"/>
    </row>
    <row r="519" spans="1:106" x14ac:dyDescent="0.2">
      <c r="A519" s="3013" t="s">
        <v>2459</v>
      </c>
      <c r="B519" s="651"/>
      <c r="C519" s="236"/>
      <c r="D519" s="234"/>
      <c r="E519" s="234"/>
      <c r="F519" s="234"/>
      <c r="G519" s="234"/>
      <c r="H519" s="236"/>
      <c r="I519" s="767"/>
      <c r="J519" s="767"/>
      <c r="K519" s="767"/>
      <c r="L519" s="767"/>
      <c r="M519" s="246"/>
      <c r="N519" s="767"/>
      <c r="O519" s="767"/>
      <c r="P519" s="767"/>
      <c r="Q519" s="767"/>
      <c r="R519" s="246"/>
      <c r="S519" s="767"/>
      <c r="T519" s="767"/>
      <c r="U519" s="767"/>
      <c r="V519" s="767"/>
      <c r="W519" s="246"/>
      <c r="X519" s="767"/>
      <c r="Y519" s="767"/>
      <c r="Z519" s="767"/>
      <c r="AA519" s="767"/>
      <c r="AB519" s="246"/>
      <c r="AC519" s="767"/>
      <c r="AD519" s="767"/>
      <c r="AE519" s="767"/>
      <c r="AF519" s="767"/>
      <c r="AG519" s="246"/>
      <c r="AH519" s="767"/>
      <c r="AI519" s="767"/>
      <c r="AJ519" s="767"/>
      <c r="AK519" s="767"/>
      <c r="AL519" s="246"/>
      <c r="AM519" s="767"/>
      <c r="AN519" s="767"/>
      <c r="AO519" s="767"/>
      <c r="AP519" s="767"/>
      <c r="AQ519" s="246"/>
      <c r="AR519" s="767"/>
      <c r="AS519" s="767"/>
      <c r="AT519" s="767"/>
      <c r="AU519" s="767"/>
      <c r="AV519" s="246"/>
      <c r="AW519" s="767"/>
      <c r="AX519" s="767"/>
      <c r="AY519" s="767"/>
      <c r="AZ519" s="767"/>
      <c r="BA519" s="246"/>
      <c r="BB519" s="767"/>
      <c r="BC519" s="767"/>
      <c r="BD519" s="767"/>
      <c r="BE519" s="767"/>
      <c r="BF519" s="246"/>
      <c r="BG519" s="767"/>
      <c r="BH519" s="767"/>
      <c r="BI519" s="767"/>
      <c r="BJ519" s="767"/>
      <c r="BK519" s="246"/>
      <c r="BL519" s="767"/>
      <c r="BM519" s="767"/>
      <c r="BN519" s="767"/>
      <c r="BO519" s="767"/>
      <c r="BP519" s="1048"/>
      <c r="BQ519" s="767"/>
      <c r="BR519" s="767"/>
      <c r="BS519" s="767"/>
      <c r="BT519" s="767"/>
      <c r="BU519" s="1048"/>
      <c r="BV519" s="767"/>
      <c r="BW519" s="767"/>
      <c r="BX519" s="767"/>
      <c r="BY519" s="767"/>
      <c r="BZ519" s="1048"/>
      <c r="CA519" s="3322">
        <v>0</v>
      </c>
      <c r="CB519" s="3322">
        <v>0</v>
      </c>
      <c r="CC519" s="3322">
        <v>0</v>
      </c>
      <c r="CD519" s="3322">
        <v>0</v>
      </c>
      <c r="CE519" s="3323">
        <v>0</v>
      </c>
      <c r="CF519" s="3322">
        <v>0</v>
      </c>
      <c r="CG519" s="3322">
        <v>0</v>
      </c>
      <c r="CH519" s="2349">
        <f>CG519</f>
        <v>0</v>
      </c>
      <c r="CI519" s="2349">
        <f>CH519</f>
        <v>0</v>
      </c>
      <c r="CJ519" s="2293">
        <f t="shared" si="714"/>
        <v>0</v>
      </c>
      <c r="CK519" s="2982">
        <v>0</v>
      </c>
      <c r="CL519" s="2982">
        <v>0</v>
      </c>
      <c r="CM519" s="2982">
        <v>0</v>
      </c>
      <c r="CN519" s="2982">
        <v>0</v>
      </c>
      <c r="CO519" s="2293">
        <f t="shared" si="715"/>
        <v>0</v>
      </c>
      <c r="CP519" s="1261">
        <f>CO519</f>
        <v>0</v>
      </c>
      <c r="CQ519" s="1261">
        <f t="shared" si="717"/>
        <v>0</v>
      </c>
      <c r="CR519" s="1261">
        <f t="shared" si="717"/>
        <v>0</v>
      </c>
      <c r="CS519" s="1261">
        <f t="shared" si="717"/>
        <v>0</v>
      </c>
      <c r="CT519" s="2293">
        <f t="shared" si="716"/>
        <v>0</v>
      </c>
      <c r="CU519" s="2293">
        <f t="shared" si="718"/>
        <v>0</v>
      </c>
      <c r="CV519" s="2293">
        <f t="shared" si="718"/>
        <v>0</v>
      </c>
      <c r="CW519" s="374"/>
      <c r="CX519" s="374"/>
      <c r="CY519" s="374"/>
      <c r="CZ519" s="374"/>
      <c r="DA519" s="374"/>
      <c r="DB519" s="217"/>
    </row>
    <row r="520" spans="1:106" x14ac:dyDescent="0.2">
      <c r="A520" s="3013" t="s">
        <v>2460</v>
      </c>
      <c r="B520" s="651"/>
      <c r="C520" s="236"/>
      <c r="D520" s="234"/>
      <c r="E520" s="234"/>
      <c r="F520" s="234"/>
      <c r="G520" s="234"/>
      <c r="H520" s="236"/>
      <c r="I520" s="767"/>
      <c r="J520" s="767"/>
      <c r="K520" s="767"/>
      <c r="L520" s="767"/>
      <c r="M520" s="246"/>
      <c r="N520" s="767"/>
      <c r="O520" s="767"/>
      <c r="P520" s="767"/>
      <c r="Q520" s="767"/>
      <c r="R520" s="246"/>
      <c r="S520" s="767"/>
      <c r="T520" s="767"/>
      <c r="U520" s="767"/>
      <c r="V520" s="767"/>
      <c r="W520" s="246"/>
      <c r="X520" s="767"/>
      <c r="Y520" s="767"/>
      <c r="Z520" s="767"/>
      <c r="AA520" s="767"/>
      <c r="AB520" s="246"/>
      <c r="AC520" s="767"/>
      <c r="AD520" s="767"/>
      <c r="AE520" s="767"/>
      <c r="AF520" s="767"/>
      <c r="AG520" s="246"/>
      <c r="AH520" s="767"/>
      <c r="AI520" s="767"/>
      <c r="AJ520" s="767"/>
      <c r="AK520" s="767"/>
      <c r="AL520" s="246"/>
      <c r="AM520" s="767"/>
      <c r="AN520" s="767"/>
      <c r="AO520" s="767"/>
      <c r="AP520" s="767"/>
      <c r="AQ520" s="246"/>
      <c r="AR520" s="767"/>
      <c r="AS520" s="767"/>
      <c r="AT520" s="767"/>
      <c r="AU520" s="767"/>
      <c r="AV520" s="246"/>
      <c r="AW520" s="767"/>
      <c r="AX520" s="767"/>
      <c r="AY520" s="767"/>
      <c r="AZ520" s="767"/>
      <c r="BA520" s="246"/>
      <c r="BB520" s="767"/>
      <c r="BC520" s="767"/>
      <c r="BD520" s="767"/>
      <c r="BE520" s="767"/>
      <c r="BF520" s="246"/>
      <c r="BG520" s="767"/>
      <c r="BH520" s="767"/>
      <c r="BI520" s="767"/>
      <c r="BJ520" s="767"/>
      <c r="BK520" s="246"/>
      <c r="BL520" s="767"/>
      <c r="BM520" s="767"/>
      <c r="BN520" s="767"/>
      <c r="BO520" s="767"/>
      <c r="BP520" s="1048"/>
      <c r="BQ520" s="767"/>
      <c r="BR520" s="767"/>
      <c r="BS520" s="767"/>
      <c r="BT520" s="767"/>
      <c r="BU520" s="1048"/>
      <c r="BV520" s="767"/>
      <c r="BW520" s="767"/>
      <c r="BX520" s="767"/>
      <c r="BY520" s="767"/>
      <c r="BZ520" s="1048"/>
      <c r="CA520" s="3322">
        <v>3753</v>
      </c>
      <c r="CB520" s="3322">
        <v>3753</v>
      </c>
      <c r="CC520" s="3322">
        <v>3753</v>
      </c>
      <c r="CD520" s="3322">
        <v>3753</v>
      </c>
      <c r="CE520" s="3323">
        <v>3753</v>
      </c>
      <c r="CF520" s="3322">
        <v>3753</v>
      </c>
      <c r="CG520" s="3322">
        <v>3753</v>
      </c>
      <c r="CH520" s="2983">
        <v>3753</v>
      </c>
      <c r="CI520" s="2983">
        <v>3753</v>
      </c>
      <c r="CJ520" s="2293">
        <f t="shared" si="714"/>
        <v>3753</v>
      </c>
      <c r="CK520" s="2982">
        <v>3753</v>
      </c>
      <c r="CL520" s="2982">
        <v>3759</v>
      </c>
      <c r="CM520" s="2982">
        <v>4286</v>
      </c>
      <c r="CN520" s="2982">
        <v>4286</v>
      </c>
      <c r="CO520" s="2293">
        <f t="shared" si="715"/>
        <v>4286</v>
      </c>
      <c r="CP520" s="1261">
        <f>CK520*(1+CP$882)</f>
        <v>4015.71</v>
      </c>
      <c r="CQ520" s="1261">
        <f>CL520*(1+CQ$882)</f>
        <v>3946.9500000000003</v>
      </c>
      <c r="CR520" s="1261">
        <f>CM520*(1+CR$882)</f>
        <v>4457.4400000000005</v>
      </c>
      <c r="CS520" s="1261">
        <f>CN520*(1+CS$882)</f>
        <v>4414.58</v>
      </c>
      <c r="CT520" s="2293">
        <f t="shared" si="716"/>
        <v>4414.58</v>
      </c>
      <c r="CU520" s="2293">
        <f>CT520*(1+CU$882)</f>
        <v>4679.4548000000004</v>
      </c>
      <c r="CV520" s="2293">
        <f>CU520*(1+CV$882)</f>
        <v>4819.8384440000009</v>
      </c>
      <c r="CW520" s="374"/>
      <c r="CX520" s="374"/>
      <c r="CY520" s="374"/>
      <c r="CZ520" s="374"/>
      <c r="DA520" s="374"/>
      <c r="DB520" s="217"/>
    </row>
    <row r="521" spans="1:106" x14ac:dyDescent="0.2">
      <c r="A521" s="3013" t="s">
        <v>2464</v>
      </c>
      <c r="B521" s="651"/>
      <c r="C521" s="236"/>
      <c r="D521" s="234"/>
      <c r="E521" s="234"/>
      <c r="F521" s="234"/>
      <c r="G521" s="234"/>
      <c r="H521" s="236"/>
      <c r="I521" s="767"/>
      <c r="J521" s="767"/>
      <c r="K521" s="767"/>
      <c r="L521" s="767"/>
      <c r="M521" s="246"/>
      <c r="N521" s="767"/>
      <c r="O521" s="767"/>
      <c r="P521" s="767"/>
      <c r="Q521" s="767"/>
      <c r="R521" s="246"/>
      <c r="S521" s="767"/>
      <c r="T521" s="767"/>
      <c r="U521" s="767"/>
      <c r="V521" s="767"/>
      <c r="W521" s="246"/>
      <c r="X521" s="767"/>
      <c r="Y521" s="767"/>
      <c r="Z521" s="767"/>
      <c r="AA521" s="767"/>
      <c r="AB521" s="246"/>
      <c r="AC521" s="767"/>
      <c r="AD521" s="767"/>
      <c r="AE521" s="767"/>
      <c r="AF521" s="767"/>
      <c r="AG521" s="246"/>
      <c r="AH521" s="767"/>
      <c r="AI521" s="767"/>
      <c r="AJ521" s="767"/>
      <c r="AK521" s="767"/>
      <c r="AL521" s="246"/>
      <c r="AM521" s="767"/>
      <c r="AN521" s="767"/>
      <c r="AO521" s="767"/>
      <c r="AP521" s="767"/>
      <c r="AQ521" s="246"/>
      <c r="AR521" s="767"/>
      <c r="AS521" s="767"/>
      <c r="AT521" s="767"/>
      <c r="AU521" s="767"/>
      <c r="AV521" s="246"/>
      <c r="AW521" s="767"/>
      <c r="AX521" s="767"/>
      <c r="AY521" s="767"/>
      <c r="AZ521" s="767"/>
      <c r="BA521" s="246"/>
      <c r="BB521" s="767"/>
      <c r="BC521" s="767"/>
      <c r="BD521" s="767"/>
      <c r="BE521" s="767"/>
      <c r="BF521" s="246"/>
      <c r="BG521" s="767"/>
      <c r="BH521" s="767"/>
      <c r="BI521" s="767"/>
      <c r="BJ521" s="767"/>
      <c r="BK521" s="246"/>
      <c r="BL521" s="767"/>
      <c r="BM521" s="767"/>
      <c r="BN521" s="767"/>
      <c r="BO521" s="767"/>
      <c r="BP521" s="1048"/>
      <c r="BQ521" s="767"/>
      <c r="BR521" s="767"/>
      <c r="BS521" s="767"/>
      <c r="BT521" s="767"/>
      <c r="BU521" s="1048"/>
      <c r="BV521" s="767"/>
      <c r="BW521" s="767"/>
      <c r="BX521" s="767"/>
      <c r="BY521" s="767"/>
      <c r="BZ521" s="1048"/>
      <c r="CA521" s="3322">
        <v>9892</v>
      </c>
      <c r="CB521" s="3322">
        <v>9892</v>
      </c>
      <c r="CC521" s="3322">
        <v>10428</v>
      </c>
      <c r="CD521" s="3322">
        <v>10888</v>
      </c>
      <c r="CE521" s="3323">
        <v>10888</v>
      </c>
      <c r="CF521" s="3322">
        <v>11108</v>
      </c>
      <c r="CG521" s="3322">
        <v>11624</v>
      </c>
      <c r="CH521" s="2983">
        <v>11637</v>
      </c>
      <c r="CI521" s="2983">
        <v>11766</v>
      </c>
      <c r="CJ521" s="2293">
        <f t="shared" si="714"/>
        <v>11766</v>
      </c>
      <c r="CK521" s="2982">
        <v>12873</v>
      </c>
      <c r="CL521" s="2982">
        <v>13160</v>
      </c>
      <c r="CM521" s="2982">
        <v>14235</v>
      </c>
      <c r="CN521" s="2982">
        <v>14235</v>
      </c>
      <c r="CO521" s="2293">
        <f t="shared" si="715"/>
        <v>14235</v>
      </c>
      <c r="CP521" s="1261">
        <f t="shared" ref="CP521:CS524" si="719">CK521*(1+CP$888)</f>
        <v>13902.84</v>
      </c>
      <c r="CQ521" s="1261">
        <f t="shared" si="719"/>
        <v>14212.800000000001</v>
      </c>
      <c r="CR521" s="1261">
        <f t="shared" si="719"/>
        <v>15373.800000000001</v>
      </c>
      <c r="CS521" s="1261">
        <f t="shared" si="719"/>
        <v>15373.800000000001</v>
      </c>
      <c r="CT521" s="2293">
        <f t="shared" si="716"/>
        <v>15373.800000000001</v>
      </c>
      <c r="CU521" s="2293">
        <f t="shared" ref="CU521:CV524" si="720">CT521*(1+CU$888)</f>
        <v>16526.834999999999</v>
      </c>
      <c r="CV521" s="2293">
        <f t="shared" si="720"/>
        <v>17187.9084</v>
      </c>
      <c r="CW521" s="374"/>
      <c r="CX521" s="374"/>
      <c r="CY521" s="374"/>
      <c r="CZ521" s="374"/>
      <c r="DA521" s="374"/>
      <c r="DB521" s="217"/>
    </row>
    <row r="522" spans="1:106" x14ac:dyDescent="0.2">
      <c r="A522" s="3013" t="s">
        <v>2462</v>
      </c>
      <c r="B522" s="651"/>
      <c r="C522" s="236"/>
      <c r="D522" s="234"/>
      <c r="E522" s="234"/>
      <c r="F522" s="234"/>
      <c r="G522" s="234"/>
      <c r="H522" s="236"/>
      <c r="I522" s="767"/>
      <c r="J522" s="767"/>
      <c r="K522" s="767"/>
      <c r="L522" s="767"/>
      <c r="M522" s="246"/>
      <c r="N522" s="767"/>
      <c r="O522" s="767"/>
      <c r="P522" s="767"/>
      <c r="Q522" s="767"/>
      <c r="R522" s="246"/>
      <c r="S522" s="767"/>
      <c r="T522" s="767"/>
      <c r="U522" s="767"/>
      <c r="V522" s="767"/>
      <c r="W522" s="246"/>
      <c r="X522" s="767"/>
      <c r="Y522" s="767"/>
      <c r="Z522" s="767"/>
      <c r="AA522" s="767"/>
      <c r="AB522" s="246"/>
      <c r="AC522" s="767"/>
      <c r="AD522" s="767"/>
      <c r="AE522" s="767"/>
      <c r="AF522" s="767"/>
      <c r="AG522" s="246"/>
      <c r="AH522" s="767"/>
      <c r="AI522" s="767"/>
      <c r="AJ522" s="767"/>
      <c r="AK522" s="767"/>
      <c r="AL522" s="246"/>
      <c r="AM522" s="767"/>
      <c r="AN522" s="767"/>
      <c r="AO522" s="767"/>
      <c r="AP522" s="767"/>
      <c r="AQ522" s="246"/>
      <c r="AR522" s="767"/>
      <c r="AS522" s="767"/>
      <c r="AT522" s="767"/>
      <c r="AU522" s="767"/>
      <c r="AV522" s="246"/>
      <c r="AW522" s="767"/>
      <c r="AX522" s="767"/>
      <c r="AY522" s="767"/>
      <c r="AZ522" s="767"/>
      <c r="BA522" s="246"/>
      <c r="BB522" s="767"/>
      <c r="BC522" s="767"/>
      <c r="BD522" s="767"/>
      <c r="BE522" s="767"/>
      <c r="BF522" s="246"/>
      <c r="BG522" s="767"/>
      <c r="BH522" s="767"/>
      <c r="BI522" s="767"/>
      <c r="BJ522" s="767"/>
      <c r="BK522" s="246"/>
      <c r="BL522" s="767"/>
      <c r="BM522" s="767"/>
      <c r="BN522" s="767"/>
      <c r="BO522" s="767"/>
      <c r="BP522" s="1048"/>
      <c r="BQ522" s="767"/>
      <c r="BR522" s="767"/>
      <c r="BS522" s="767"/>
      <c r="BT522" s="767"/>
      <c r="BU522" s="1048"/>
      <c r="BV522" s="767"/>
      <c r="BW522" s="767"/>
      <c r="BX522" s="767"/>
      <c r="BY522" s="767"/>
      <c r="BZ522" s="1048"/>
      <c r="CA522" s="3322">
        <v>2489</v>
      </c>
      <c r="CB522" s="3322">
        <v>2489</v>
      </c>
      <c r="CC522" s="3322">
        <v>2593</v>
      </c>
      <c r="CD522" s="3322">
        <v>2706</v>
      </c>
      <c r="CE522" s="3323">
        <v>2706</v>
      </c>
      <c r="CF522" s="3322">
        <v>2706</v>
      </c>
      <c r="CG522" s="3322">
        <v>2706</v>
      </c>
      <c r="CH522" s="2983">
        <v>2706</v>
      </c>
      <c r="CI522" s="2983">
        <v>2813</v>
      </c>
      <c r="CJ522" s="2293">
        <f>CI522</f>
        <v>2813</v>
      </c>
      <c r="CK522" s="2982">
        <v>2904</v>
      </c>
      <c r="CL522" s="2982">
        <v>3437</v>
      </c>
      <c r="CM522" s="2982">
        <v>3581</v>
      </c>
      <c r="CN522" s="2982">
        <v>3847</v>
      </c>
      <c r="CO522" s="2293">
        <f>CN522</f>
        <v>3847</v>
      </c>
      <c r="CP522" s="1261">
        <f t="shared" si="719"/>
        <v>3136.32</v>
      </c>
      <c r="CQ522" s="1261">
        <f t="shared" si="719"/>
        <v>3711.96</v>
      </c>
      <c r="CR522" s="1261">
        <f t="shared" si="719"/>
        <v>3867.4800000000005</v>
      </c>
      <c r="CS522" s="1261">
        <f t="shared" si="719"/>
        <v>4154.76</v>
      </c>
      <c r="CT522" s="2293">
        <f>CS522</f>
        <v>4154.76</v>
      </c>
      <c r="CU522" s="2293">
        <f t="shared" si="720"/>
        <v>4466.3670000000002</v>
      </c>
      <c r="CV522" s="2293">
        <f t="shared" si="720"/>
        <v>4645.0216800000007</v>
      </c>
      <c r="CW522" s="374"/>
      <c r="CX522" s="374"/>
      <c r="CY522" s="374"/>
      <c r="CZ522" s="374"/>
      <c r="DA522" s="374"/>
      <c r="DB522" s="217"/>
    </row>
    <row r="523" spans="1:106" x14ac:dyDescent="0.2">
      <c r="A523" s="3013" t="s">
        <v>2463</v>
      </c>
      <c r="B523" s="651"/>
      <c r="C523" s="236"/>
      <c r="D523" s="234"/>
      <c r="E523" s="234"/>
      <c r="F523" s="234"/>
      <c r="G523" s="234"/>
      <c r="H523" s="236"/>
      <c r="I523" s="767"/>
      <c r="J523" s="767"/>
      <c r="K523" s="767"/>
      <c r="L523" s="767"/>
      <c r="M523" s="246"/>
      <c r="N523" s="767"/>
      <c r="O523" s="767"/>
      <c r="P523" s="767"/>
      <c r="Q523" s="767"/>
      <c r="R523" s="246"/>
      <c r="S523" s="767"/>
      <c r="T523" s="767"/>
      <c r="U523" s="767"/>
      <c r="V523" s="767"/>
      <c r="W523" s="246"/>
      <c r="X523" s="767"/>
      <c r="Y523" s="767"/>
      <c r="Z523" s="767"/>
      <c r="AA523" s="767"/>
      <c r="AB523" s="246"/>
      <c r="AC523" s="767"/>
      <c r="AD523" s="767"/>
      <c r="AE523" s="767"/>
      <c r="AF523" s="767"/>
      <c r="AG523" s="246"/>
      <c r="AH523" s="767"/>
      <c r="AI523" s="767"/>
      <c r="AJ523" s="767"/>
      <c r="AK523" s="767"/>
      <c r="AL523" s="246"/>
      <c r="AM523" s="767"/>
      <c r="AN523" s="767"/>
      <c r="AO523" s="767"/>
      <c r="AP523" s="767"/>
      <c r="AQ523" s="246"/>
      <c r="AR523" s="767"/>
      <c r="AS523" s="767"/>
      <c r="AT523" s="767"/>
      <c r="AU523" s="767"/>
      <c r="AV523" s="246"/>
      <c r="AW523" s="767"/>
      <c r="AX523" s="767"/>
      <c r="AY523" s="767"/>
      <c r="AZ523" s="767"/>
      <c r="BA523" s="246"/>
      <c r="BB523" s="767"/>
      <c r="BC523" s="767"/>
      <c r="BD523" s="767"/>
      <c r="BE523" s="767"/>
      <c r="BF523" s="246"/>
      <c r="BG523" s="767"/>
      <c r="BH523" s="767"/>
      <c r="BI523" s="767"/>
      <c r="BJ523" s="767"/>
      <c r="BK523" s="246"/>
      <c r="BL523" s="767"/>
      <c r="BM523" s="767"/>
      <c r="BN523" s="767"/>
      <c r="BO523" s="767"/>
      <c r="BP523" s="1048"/>
      <c r="BQ523" s="767"/>
      <c r="BR523" s="767"/>
      <c r="BS523" s="767"/>
      <c r="BT523" s="767"/>
      <c r="BU523" s="1048"/>
      <c r="BV523" s="767"/>
      <c r="BW523" s="767"/>
      <c r="BX523" s="767"/>
      <c r="BY523" s="767"/>
      <c r="BZ523" s="1048"/>
      <c r="CA523" s="3322"/>
      <c r="CB523" s="3322"/>
      <c r="CC523" s="3322">
        <v>393</v>
      </c>
      <c r="CD523" s="3322">
        <v>2414</v>
      </c>
      <c r="CE523" s="3323">
        <v>2414</v>
      </c>
      <c r="CF523" s="3322">
        <v>2412</v>
      </c>
      <c r="CG523" s="3322">
        <v>2650</v>
      </c>
      <c r="CH523" s="2983">
        <v>3423</v>
      </c>
      <c r="CI523" s="2983">
        <v>4541</v>
      </c>
      <c r="CJ523" s="2293">
        <f t="shared" si="714"/>
        <v>4541</v>
      </c>
      <c r="CK523" s="2982">
        <v>4568</v>
      </c>
      <c r="CL523" s="2982">
        <v>4641</v>
      </c>
      <c r="CM523" s="2982">
        <v>4733</v>
      </c>
      <c r="CN523" s="2982">
        <v>4727</v>
      </c>
      <c r="CO523" s="2293">
        <f t="shared" si="715"/>
        <v>4727</v>
      </c>
      <c r="CP523" s="1261">
        <f t="shared" si="719"/>
        <v>4933.4400000000005</v>
      </c>
      <c r="CQ523" s="1261">
        <f t="shared" si="719"/>
        <v>5012.2800000000007</v>
      </c>
      <c r="CR523" s="1261">
        <f t="shared" si="719"/>
        <v>5111.6400000000003</v>
      </c>
      <c r="CS523" s="1261">
        <f t="shared" si="719"/>
        <v>5105.1600000000008</v>
      </c>
      <c r="CT523" s="2293">
        <f t="shared" si="716"/>
        <v>5105.1600000000008</v>
      </c>
      <c r="CU523" s="2293">
        <f t="shared" si="720"/>
        <v>5488.0470000000005</v>
      </c>
      <c r="CV523" s="2293">
        <f t="shared" si="720"/>
        <v>5707.5688800000007</v>
      </c>
      <c r="CW523" s="374"/>
      <c r="CX523" s="374"/>
      <c r="CY523" s="374"/>
      <c r="CZ523" s="374"/>
      <c r="DA523" s="374"/>
      <c r="DB523" s="217"/>
    </row>
    <row r="524" spans="1:106" x14ac:dyDescent="0.2">
      <c r="A524" s="3014" t="s">
        <v>2897</v>
      </c>
      <c r="B524" s="651"/>
      <c r="C524" s="236"/>
      <c r="D524" s="234"/>
      <c r="E524" s="234"/>
      <c r="F524" s="234"/>
      <c r="G524" s="234"/>
      <c r="H524" s="236"/>
      <c r="I524" s="767"/>
      <c r="J524" s="767"/>
      <c r="K524" s="767"/>
      <c r="L524" s="767"/>
      <c r="M524" s="246"/>
      <c r="N524" s="767"/>
      <c r="O524" s="767"/>
      <c r="P524" s="767"/>
      <c r="Q524" s="767"/>
      <c r="R524" s="246"/>
      <c r="S524" s="767"/>
      <c r="T524" s="767"/>
      <c r="U524" s="767"/>
      <c r="V524" s="767"/>
      <c r="W524" s="246"/>
      <c r="X524" s="767"/>
      <c r="Y524" s="767"/>
      <c r="Z524" s="767"/>
      <c r="AA524" s="767"/>
      <c r="AB524" s="246"/>
      <c r="AC524" s="767"/>
      <c r="AD524" s="767"/>
      <c r="AE524" s="767"/>
      <c r="AF524" s="767"/>
      <c r="AG524" s="246"/>
      <c r="AH524" s="767"/>
      <c r="AI524" s="767"/>
      <c r="AJ524" s="767"/>
      <c r="AK524" s="767"/>
      <c r="AL524" s="246"/>
      <c r="AM524" s="767"/>
      <c r="AN524" s="767"/>
      <c r="AO524" s="767"/>
      <c r="AP524" s="767"/>
      <c r="AQ524" s="246"/>
      <c r="AR524" s="767"/>
      <c r="AS524" s="767"/>
      <c r="AT524" s="767"/>
      <c r="AU524" s="767"/>
      <c r="AV524" s="246"/>
      <c r="AW524" s="767"/>
      <c r="AX524" s="767"/>
      <c r="AY524" s="767"/>
      <c r="AZ524" s="767"/>
      <c r="BA524" s="246"/>
      <c r="BB524" s="767"/>
      <c r="BC524" s="767"/>
      <c r="BD524" s="767"/>
      <c r="BE524" s="767"/>
      <c r="BF524" s="246"/>
      <c r="BG524" s="767"/>
      <c r="BH524" s="767"/>
      <c r="BI524" s="767"/>
      <c r="BJ524" s="767"/>
      <c r="BK524" s="246"/>
      <c r="BL524" s="767"/>
      <c r="BM524" s="767"/>
      <c r="BN524" s="767"/>
      <c r="BO524" s="767"/>
      <c r="BP524" s="1048"/>
      <c r="BQ524" s="767"/>
      <c r="BR524" s="767"/>
      <c r="BS524" s="767"/>
      <c r="BT524" s="767"/>
      <c r="BU524" s="1048"/>
      <c r="BV524" s="767"/>
      <c r="BW524" s="767"/>
      <c r="BX524" s="767"/>
      <c r="BY524" s="767"/>
      <c r="BZ524" s="1048"/>
      <c r="CA524" s="3322">
        <v>513</v>
      </c>
      <c r="CB524" s="3322">
        <v>513</v>
      </c>
      <c r="CC524" s="3322">
        <v>120</v>
      </c>
      <c r="CD524" s="3322">
        <v>358</v>
      </c>
      <c r="CE524" s="3323">
        <v>358</v>
      </c>
      <c r="CF524" s="3322">
        <v>650</v>
      </c>
      <c r="CG524" s="3322">
        <v>900</v>
      </c>
      <c r="CH524" s="2983">
        <v>0</v>
      </c>
      <c r="CI524" s="2983">
        <v>55</v>
      </c>
      <c r="CJ524" s="2293">
        <f t="shared" si="714"/>
        <v>55</v>
      </c>
      <c r="CK524" s="2982">
        <v>55</v>
      </c>
      <c r="CL524" s="2982">
        <v>55</v>
      </c>
      <c r="CM524" s="2982">
        <f>55+201+91</f>
        <v>347</v>
      </c>
      <c r="CN524" s="2982">
        <f>55+91+201</f>
        <v>347</v>
      </c>
      <c r="CO524" s="2293">
        <f t="shared" si="715"/>
        <v>347</v>
      </c>
      <c r="CP524" s="1261">
        <f t="shared" si="719"/>
        <v>59.400000000000006</v>
      </c>
      <c r="CQ524" s="1261">
        <f t="shared" si="719"/>
        <v>59.400000000000006</v>
      </c>
      <c r="CR524" s="1261">
        <f t="shared" si="719"/>
        <v>374.76000000000005</v>
      </c>
      <c r="CS524" s="1261">
        <f t="shared" si="719"/>
        <v>374.76000000000005</v>
      </c>
      <c r="CT524" s="2293">
        <f t="shared" si="716"/>
        <v>374.76000000000005</v>
      </c>
      <c r="CU524" s="2293">
        <f t="shared" si="720"/>
        <v>402.86700000000002</v>
      </c>
      <c r="CV524" s="2293">
        <f t="shared" si="720"/>
        <v>418.98168000000004</v>
      </c>
      <c r="CW524" s="374"/>
      <c r="CX524" s="374"/>
      <c r="CY524" s="374"/>
      <c r="CZ524" s="374"/>
      <c r="DA524" s="374"/>
      <c r="DB524" s="217"/>
    </row>
    <row r="525" spans="1:106" ht="4.5" customHeight="1" x14ac:dyDescent="0.35">
      <c r="A525" s="1207"/>
      <c r="B525" s="212"/>
      <c r="C525" s="212"/>
      <c r="D525" s="212"/>
      <c r="E525" s="212"/>
      <c r="F525" s="212"/>
      <c r="G525" s="212"/>
      <c r="H525" s="194"/>
      <c r="I525" s="850" t="s">
        <v>2466</v>
      </c>
      <c r="J525" s="850" t="s">
        <v>2139</v>
      </c>
      <c r="K525" s="850" t="s">
        <v>2466</v>
      </c>
      <c r="L525" s="850" t="s">
        <v>2139</v>
      </c>
      <c r="M525" s="3009" t="s">
        <v>2378</v>
      </c>
      <c r="N525" s="850" t="s">
        <v>2466</v>
      </c>
      <c r="O525" s="850" t="s">
        <v>2139</v>
      </c>
      <c r="P525" s="850" t="s">
        <v>2466</v>
      </c>
      <c r="Q525" s="850" t="s">
        <v>2139</v>
      </c>
      <c r="R525" s="3009" t="s">
        <v>2378</v>
      </c>
      <c r="S525" s="850" t="s">
        <v>2466</v>
      </c>
      <c r="T525" s="850" t="s">
        <v>2139</v>
      </c>
      <c r="U525" s="850" t="s">
        <v>2466</v>
      </c>
      <c r="V525" s="850" t="s">
        <v>2139</v>
      </c>
      <c r="W525" s="3009" t="s">
        <v>2378</v>
      </c>
      <c r="X525" s="850" t="s">
        <v>2466</v>
      </c>
      <c r="Y525" s="850" t="s">
        <v>2139</v>
      </c>
      <c r="Z525" s="850" t="s">
        <v>2466</v>
      </c>
      <c r="AA525" s="850" t="s">
        <v>2139</v>
      </c>
      <c r="AB525" s="3009" t="s">
        <v>2378</v>
      </c>
      <c r="AC525" s="850" t="s">
        <v>2466</v>
      </c>
      <c r="AD525" s="850" t="s">
        <v>2139</v>
      </c>
      <c r="AE525" s="850" t="s">
        <v>2466</v>
      </c>
      <c r="AF525" s="850" t="s">
        <v>2139</v>
      </c>
      <c r="AG525" s="3009" t="s">
        <v>2378</v>
      </c>
      <c r="AH525" s="850" t="s">
        <v>2466</v>
      </c>
      <c r="AI525" s="850" t="s">
        <v>2139</v>
      </c>
      <c r="AJ525" s="850" t="s">
        <v>2466</v>
      </c>
      <c r="AK525" s="850" t="s">
        <v>2139</v>
      </c>
      <c r="AL525" s="3009" t="s">
        <v>2378</v>
      </c>
      <c r="AM525" s="850" t="s">
        <v>2466</v>
      </c>
      <c r="AN525" s="850" t="s">
        <v>2139</v>
      </c>
      <c r="AO525" s="850" t="s">
        <v>2466</v>
      </c>
      <c r="AP525" s="850" t="s">
        <v>2139</v>
      </c>
      <c r="AQ525" s="3009" t="s">
        <v>2378</v>
      </c>
      <c r="AR525" s="850" t="s">
        <v>2466</v>
      </c>
      <c r="AS525" s="850" t="s">
        <v>2139</v>
      </c>
      <c r="AT525" s="850" t="s">
        <v>2466</v>
      </c>
      <c r="AU525" s="850" t="s">
        <v>2139</v>
      </c>
      <c r="AV525" s="3009" t="s">
        <v>2378</v>
      </c>
      <c r="AW525" s="850" t="s">
        <v>2466</v>
      </c>
      <c r="AX525" s="850" t="s">
        <v>2139</v>
      </c>
      <c r="AY525" s="850" t="s">
        <v>2466</v>
      </c>
      <c r="AZ525" s="850" t="s">
        <v>2139</v>
      </c>
      <c r="BA525" s="3009" t="s">
        <v>2378</v>
      </c>
      <c r="BB525" s="850" t="s">
        <v>2466</v>
      </c>
      <c r="BC525" s="850" t="s">
        <v>2139</v>
      </c>
      <c r="BD525" s="850" t="s">
        <v>2466</v>
      </c>
      <c r="BE525" s="850" t="s">
        <v>2139</v>
      </c>
      <c r="BF525" s="3009" t="s">
        <v>2378</v>
      </c>
      <c r="BG525" s="3011" t="s">
        <v>2467</v>
      </c>
      <c r="BH525" s="3011" t="s">
        <v>2467</v>
      </c>
      <c r="BI525" s="3011" t="s">
        <v>2467</v>
      </c>
      <c r="BJ525" s="3011" t="s">
        <v>2467</v>
      </c>
      <c r="BK525" s="3009" t="s">
        <v>2139</v>
      </c>
      <c r="BL525" s="3011" t="s">
        <v>1191</v>
      </c>
      <c r="BM525" s="3011" t="s">
        <v>1191</v>
      </c>
      <c r="BN525" s="3011" t="s">
        <v>1191</v>
      </c>
      <c r="BO525" s="3011" t="s">
        <v>1191</v>
      </c>
      <c r="BP525" s="3009" t="s">
        <v>2139</v>
      </c>
      <c r="BQ525" s="3011" t="s">
        <v>2139</v>
      </c>
      <c r="BR525" s="3011" t="s">
        <v>2139</v>
      </c>
      <c r="BS525" s="3011" t="s">
        <v>2139</v>
      </c>
      <c r="BT525" s="3011" t="s">
        <v>2139</v>
      </c>
      <c r="BU525" s="3009" t="s">
        <v>2139</v>
      </c>
      <c r="BV525" s="3011" t="s">
        <v>2468</v>
      </c>
      <c r="BW525" s="3011" t="s">
        <v>2468</v>
      </c>
      <c r="BX525" s="3011" t="s">
        <v>2468</v>
      </c>
      <c r="BY525" s="3011" t="s">
        <v>2467</v>
      </c>
      <c r="BZ525" s="3009" t="s">
        <v>2378</v>
      </c>
      <c r="CA525" s="3011" t="s">
        <v>2466</v>
      </c>
      <c r="CB525" s="3011" t="s">
        <v>2466</v>
      </c>
      <c r="CC525" s="3011" t="s">
        <v>2466</v>
      </c>
      <c r="CD525" s="3011" t="s">
        <v>2378</v>
      </c>
      <c r="CE525" s="3009" t="s">
        <v>2139</v>
      </c>
      <c r="CF525" s="3011" t="s">
        <v>2466</v>
      </c>
      <c r="CG525" s="3011" t="s">
        <v>2378</v>
      </c>
      <c r="CH525" s="3011" t="s">
        <v>2378</v>
      </c>
      <c r="CI525" s="3011" t="s">
        <v>2378</v>
      </c>
      <c r="CJ525" s="3009" t="s">
        <v>2378</v>
      </c>
      <c r="CK525" s="3502" t="s">
        <v>2378</v>
      </c>
      <c r="CL525" s="3502" t="s">
        <v>2378</v>
      </c>
      <c r="CM525" s="3502" t="s">
        <v>2378</v>
      </c>
      <c r="CN525" s="3502" t="s">
        <v>2378</v>
      </c>
      <c r="CO525" s="3009" t="s">
        <v>2378</v>
      </c>
      <c r="CP525" s="3011" t="s">
        <v>2378</v>
      </c>
      <c r="CQ525" s="3011" t="s">
        <v>2378</v>
      </c>
      <c r="CR525" s="3011" t="s">
        <v>2378</v>
      </c>
      <c r="CS525" s="3011" t="s">
        <v>2378</v>
      </c>
      <c r="CT525" s="3009" t="s">
        <v>2378</v>
      </c>
      <c r="CU525" s="3009" t="s">
        <v>2378</v>
      </c>
      <c r="CV525" s="3009" t="s">
        <v>2378</v>
      </c>
      <c r="DB525" s="217"/>
    </row>
    <row r="526" spans="1:106" x14ac:dyDescent="0.2">
      <c r="A526" s="1437" t="s">
        <v>1735</v>
      </c>
      <c r="B526" s="651"/>
      <c r="C526" s="236"/>
      <c r="D526" s="234"/>
      <c r="E526" s="234"/>
      <c r="F526" s="234"/>
      <c r="G526" s="234"/>
      <c r="H526" s="236"/>
      <c r="I526" s="257">
        <f t="shared" ref="I526:AN526" si="721">SUM(I496:I512)</f>
        <v>135141</v>
      </c>
      <c r="J526" s="257">
        <f t="shared" si="721"/>
        <v>141271</v>
      </c>
      <c r="K526" s="257">
        <f t="shared" si="721"/>
        <v>144745</v>
      </c>
      <c r="L526" s="257">
        <f t="shared" si="721"/>
        <v>157596</v>
      </c>
      <c r="M526" s="1426">
        <f t="shared" si="721"/>
        <v>157596</v>
      </c>
      <c r="N526" s="257">
        <f t="shared" si="721"/>
        <v>160288</v>
      </c>
      <c r="O526" s="257">
        <f t="shared" si="721"/>
        <v>163161</v>
      </c>
      <c r="P526" s="257">
        <f t="shared" si="721"/>
        <v>166870</v>
      </c>
      <c r="Q526" s="257">
        <f t="shared" si="721"/>
        <v>172539</v>
      </c>
      <c r="R526" s="1426">
        <f t="shared" si="721"/>
        <v>172539</v>
      </c>
      <c r="S526" s="257">
        <f t="shared" si="721"/>
        <v>177031</v>
      </c>
      <c r="T526" s="257">
        <f t="shared" si="721"/>
        <v>181224</v>
      </c>
      <c r="U526" s="257">
        <f t="shared" si="721"/>
        <v>184511</v>
      </c>
      <c r="V526" s="257">
        <f t="shared" si="721"/>
        <v>186705</v>
      </c>
      <c r="W526" s="1426">
        <f t="shared" si="721"/>
        <v>186705</v>
      </c>
      <c r="X526" s="257">
        <f t="shared" si="721"/>
        <v>190326</v>
      </c>
      <c r="Y526" s="257">
        <f t="shared" si="721"/>
        <v>192113</v>
      </c>
      <c r="Z526" s="257">
        <f t="shared" si="721"/>
        <v>192537</v>
      </c>
      <c r="AA526" s="257">
        <f t="shared" si="721"/>
        <v>195762</v>
      </c>
      <c r="AB526" s="1426">
        <f t="shared" si="721"/>
        <v>195762</v>
      </c>
      <c r="AC526" s="257">
        <f t="shared" si="721"/>
        <v>198033</v>
      </c>
      <c r="AD526" s="257">
        <f t="shared" si="721"/>
        <v>201114</v>
      </c>
      <c r="AE526" s="257">
        <f t="shared" si="721"/>
        <v>204413</v>
      </c>
      <c r="AF526" s="257">
        <f t="shared" si="721"/>
        <v>208450</v>
      </c>
      <c r="AG526" s="1426">
        <f t="shared" si="721"/>
        <v>208450</v>
      </c>
      <c r="AH526" s="257">
        <f t="shared" si="721"/>
        <v>213203</v>
      </c>
      <c r="AI526" s="257">
        <f t="shared" si="721"/>
        <v>215424</v>
      </c>
      <c r="AJ526" s="257">
        <f t="shared" si="721"/>
        <v>217027</v>
      </c>
      <c r="AK526" s="257">
        <f t="shared" si="721"/>
        <v>219009</v>
      </c>
      <c r="AL526" s="1426">
        <f t="shared" si="721"/>
        <v>219009</v>
      </c>
      <c r="AM526" s="257">
        <f t="shared" si="721"/>
        <v>220081</v>
      </c>
      <c r="AN526" s="257">
        <f t="shared" si="721"/>
        <v>223712</v>
      </c>
      <c r="AO526" s="257">
        <f t="shared" ref="AO526:BT526" si="722">SUM(AO496:AO512)</f>
        <v>227733</v>
      </c>
      <c r="AP526" s="257">
        <f t="shared" si="722"/>
        <v>233841</v>
      </c>
      <c r="AQ526" s="1426">
        <f t="shared" si="722"/>
        <v>233841</v>
      </c>
      <c r="AR526" s="257">
        <f t="shared" si="722"/>
        <v>236689</v>
      </c>
      <c r="AS526" s="257">
        <f t="shared" si="722"/>
        <v>242491</v>
      </c>
      <c r="AT526" s="257">
        <f t="shared" si="722"/>
        <v>245740</v>
      </c>
      <c r="AU526" s="257">
        <f t="shared" si="722"/>
        <v>253631</v>
      </c>
      <c r="AV526" s="1426">
        <f t="shared" si="722"/>
        <v>253631</v>
      </c>
      <c r="AW526" s="257">
        <f t="shared" si="722"/>
        <v>258086</v>
      </c>
      <c r="AX526" s="257">
        <f t="shared" si="722"/>
        <v>263741</v>
      </c>
      <c r="AY526" s="257">
        <f t="shared" si="722"/>
        <v>272811</v>
      </c>
      <c r="AZ526" s="257">
        <f t="shared" si="722"/>
        <v>278709</v>
      </c>
      <c r="BA526" s="1426">
        <f t="shared" si="722"/>
        <v>278709</v>
      </c>
      <c r="BB526" s="257">
        <f t="shared" si="722"/>
        <v>283367</v>
      </c>
      <c r="BC526" s="257">
        <f t="shared" si="722"/>
        <v>286981</v>
      </c>
      <c r="BD526" s="257">
        <f t="shared" si="722"/>
        <v>289353</v>
      </c>
      <c r="BE526" s="257">
        <f t="shared" si="722"/>
        <v>293576</v>
      </c>
      <c r="BF526" s="1426">
        <f t="shared" si="722"/>
        <v>293576</v>
      </c>
      <c r="BG526" s="257">
        <f t="shared" si="722"/>
        <v>294988</v>
      </c>
      <c r="BH526" s="257">
        <f t="shared" si="722"/>
        <v>296396</v>
      </c>
      <c r="BI526" s="257">
        <f t="shared" si="722"/>
        <v>299011</v>
      </c>
      <c r="BJ526" s="257">
        <f t="shared" si="722"/>
        <v>302328</v>
      </c>
      <c r="BK526" s="1426">
        <f t="shared" si="722"/>
        <v>302328</v>
      </c>
      <c r="BL526" s="257">
        <f t="shared" si="722"/>
        <v>303813</v>
      </c>
      <c r="BM526" s="257">
        <f t="shared" si="722"/>
        <v>306894</v>
      </c>
      <c r="BN526" s="257">
        <f t="shared" si="722"/>
        <v>309232</v>
      </c>
      <c r="BO526" s="257">
        <f t="shared" si="722"/>
        <v>311356</v>
      </c>
      <c r="BP526" s="1426">
        <f t="shared" si="722"/>
        <v>311356</v>
      </c>
      <c r="BQ526" s="257">
        <f t="shared" si="722"/>
        <v>312619</v>
      </c>
      <c r="BR526" s="257">
        <f t="shared" si="722"/>
        <v>317357</v>
      </c>
      <c r="BS526" s="257">
        <f t="shared" si="722"/>
        <v>321320</v>
      </c>
      <c r="BT526" s="257">
        <f t="shared" si="722"/>
        <v>324537</v>
      </c>
      <c r="BU526" s="1426">
        <f t="shared" ref="BU526:BZ526" si="723">SUM(BU496:BU512)</f>
        <v>324537</v>
      </c>
      <c r="BV526" s="257">
        <f t="shared" si="723"/>
        <v>326814</v>
      </c>
      <c r="BW526" s="257">
        <f t="shared" si="723"/>
        <v>330399</v>
      </c>
      <c r="BX526" s="257">
        <f t="shared" si="723"/>
        <v>336271</v>
      </c>
      <c r="BY526" s="257">
        <f t="shared" si="723"/>
        <v>340749</v>
      </c>
      <c r="BZ526" s="1426">
        <f t="shared" si="723"/>
        <v>340749</v>
      </c>
      <c r="CA526" s="257">
        <f>SUM(CA496:CA513)</f>
        <v>359514</v>
      </c>
      <c r="CB526" s="257">
        <f t="shared" ref="CB526:CG526" si="724">SUM(CB496:CB513)</f>
        <v>367829</v>
      </c>
      <c r="CC526" s="257">
        <f t="shared" si="724"/>
        <v>373278</v>
      </c>
      <c r="CD526" s="257">
        <f t="shared" si="724"/>
        <v>378119</v>
      </c>
      <c r="CE526" s="1426">
        <f t="shared" si="724"/>
        <v>378119</v>
      </c>
      <c r="CF526" s="257">
        <f t="shared" si="724"/>
        <v>384726</v>
      </c>
      <c r="CG526" s="257">
        <f t="shared" si="724"/>
        <v>393606</v>
      </c>
      <c r="CH526" s="257">
        <f>SUM(CH495:CH513)</f>
        <v>400216</v>
      </c>
      <c r="CI526">
        <f>SUM(CI495:CI524)</f>
        <v>524793</v>
      </c>
      <c r="CJ526" s="1426">
        <f t="shared" ref="CJ526:CV526" si="725">SUM(CJ496:CJ524)</f>
        <v>520324</v>
      </c>
      <c r="CK526" s="257">
        <f>SUM(CK495:CK524)</f>
        <v>532957</v>
      </c>
      <c r="CL526" s="257">
        <f>SUM(CL495:CL524)</f>
        <v>542269</v>
      </c>
      <c r="CM526" s="257">
        <f>SUM(CM495:CM524)</f>
        <v>553100</v>
      </c>
      <c r="CN526" s="257">
        <f>SUM(CN495:CN524)</f>
        <v>564543</v>
      </c>
      <c r="CO526" s="1426">
        <f t="shared" si="725"/>
        <v>560118</v>
      </c>
      <c r="CP526" s="257">
        <f t="shared" si="725"/>
        <v>571710.67999999982</v>
      </c>
      <c r="CQ526" s="257">
        <f t="shared" si="725"/>
        <v>578222.14000000013</v>
      </c>
      <c r="CR526" s="257">
        <f t="shared" si="725"/>
        <v>588069.62</v>
      </c>
      <c r="CS526" s="257">
        <f t="shared" si="725"/>
        <v>597737.1100000001</v>
      </c>
      <c r="CT526" s="1426">
        <f t="shared" si="725"/>
        <v>597737.1100000001</v>
      </c>
      <c r="CU526" s="1426">
        <f t="shared" si="725"/>
        <v>639432.35499999986</v>
      </c>
      <c r="CV526" s="1426">
        <f t="shared" si="725"/>
        <v>661504.18732000014</v>
      </c>
      <c r="CW526" s="374"/>
      <c r="CX526" s="374"/>
      <c r="CY526" s="374"/>
      <c r="CZ526" s="374"/>
      <c r="DA526" s="374"/>
      <c r="DB526" s="217"/>
    </row>
    <row r="527" spans="1:106" x14ac:dyDescent="0.2">
      <c r="A527" s="1437"/>
      <c r="B527" s="651"/>
      <c r="C527" s="236"/>
      <c r="D527" s="234"/>
      <c r="E527" s="234"/>
      <c r="F527" s="234"/>
      <c r="G527" s="234"/>
      <c r="H527" s="236"/>
      <c r="I527" s="234"/>
      <c r="J527" s="234"/>
      <c r="K527" s="234"/>
      <c r="L527" s="234"/>
      <c r="M527" s="236"/>
      <c r="N527" s="234"/>
      <c r="O527" s="234"/>
      <c r="P527" s="234"/>
      <c r="Q527" s="234"/>
      <c r="R527" s="236"/>
      <c r="S527" s="234"/>
      <c r="T527" s="234"/>
      <c r="U527" s="234"/>
      <c r="V527" s="234"/>
      <c r="W527" s="236"/>
      <c r="X527" s="234"/>
      <c r="Y527" s="234"/>
      <c r="Z527" s="234"/>
      <c r="AA527" s="234"/>
      <c r="AB527" s="236"/>
      <c r="AC527" s="234"/>
      <c r="AD527" s="234"/>
      <c r="AE527" s="234"/>
      <c r="AF527" s="234"/>
      <c r="AG527" s="236"/>
      <c r="AH527" s="234"/>
      <c r="AI527" s="234"/>
      <c r="AJ527" s="234"/>
      <c r="AK527" s="234"/>
      <c r="AL527" s="236"/>
      <c r="AM527" s="234"/>
      <c r="AN527" s="234"/>
      <c r="AO527" s="234"/>
      <c r="AP527" s="234"/>
      <c r="AQ527" s="236"/>
      <c r="AR527" s="234"/>
      <c r="AS527" s="234"/>
      <c r="AT527" s="234"/>
      <c r="AU527" s="234"/>
      <c r="AV527" s="236"/>
      <c r="AW527" s="234"/>
      <c r="AX527" s="234"/>
      <c r="AY527" s="234"/>
      <c r="AZ527" s="234"/>
      <c r="BA527" s="236"/>
      <c r="BB527" s="234"/>
      <c r="BC527" s="234"/>
      <c r="BD527" s="234"/>
      <c r="BE527" s="234"/>
      <c r="BF527" s="236"/>
      <c r="BG527" s="234"/>
      <c r="BH527" s="234"/>
      <c r="BI527" s="234"/>
      <c r="BJ527" s="234"/>
      <c r="BK527" s="236"/>
      <c r="BL527" s="234"/>
      <c r="BM527" s="234"/>
      <c r="BN527" s="212"/>
      <c r="BO527" s="212"/>
      <c r="BP527" s="194"/>
      <c r="BQ527" s="212"/>
      <c r="BR527" s="212"/>
      <c r="BS527" s="212"/>
      <c r="BT527" s="212"/>
      <c r="BU527" s="194"/>
      <c r="BV527" s="212"/>
      <c r="BW527" s="212"/>
      <c r="BX527" s="212"/>
      <c r="BY527" s="212"/>
      <c r="BZ527" s="194"/>
      <c r="CA527" s="212"/>
      <c r="CB527" s="212"/>
      <c r="CC527" s="212"/>
      <c r="CD527" s="212"/>
      <c r="CE527" s="194"/>
      <c r="CF527" s="212"/>
      <c r="CG527" s="212"/>
      <c r="CH527" s="212"/>
      <c r="CI527" s="212"/>
      <c r="CJ527" s="194"/>
      <c r="CK527" s="2907"/>
      <c r="CL527" s="212"/>
      <c r="CM527" s="212"/>
      <c r="CN527" s="212"/>
      <c r="CO527" s="194"/>
      <c r="CP527" s="2907"/>
      <c r="CQ527" s="212"/>
      <c r="CR527" s="212"/>
      <c r="CS527" s="212"/>
      <c r="CT527" s="194"/>
      <c r="CU527" s="194"/>
      <c r="CV527" s="194"/>
      <c r="CW527" s="374"/>
      <c r="CX527" s="374"/>
      <c r="CY527" s="374"/>
      <c r="CZ527" s="374"/>
      <c r="DA527" s="374"/>
      <c r="DB527" s="217"/>
    </row>
    <row r="528" spans="1:106" x14ac:dyDescent="0.2">
      <c r="A528" s="1435" t="s">
        <v>1822</v>
      </c>
      <c r="B528" s="651"/>
      <c r="C528" s="236"/>
      <c r="D528" s="234"/>
      <c r="E528" s="234"/>
      <c r="F528" s="234"/>
      <c r="G528" s="234"/>
      <c r="H528" s="236"/>
      <c r="I528" s="234"/>
      <c r="J528" s="234"/>
      <c r="K528" s="234"/>
      <c r="L528" s="234"/>
      <c r="M528" s="236"/>
      <c r="N528" s="234"/>
      <c r="O528" s="234"/>
      <c r="P528" s="234"/>
      <c r="Q528" s="234"/>
      <c r="R528" s="236"/>
      <c r="S528" s="234"/>
      <c r="T528" s="234"/>
      <c r="U528" s="234"/>
      <c r="V528" s="234"/>
      <c r="W528" s="236"/>
      <c r="X528" s="234"/>
      <c r="Y528" s="234"/>
      <c r="Z528" s="234"/>
      <c r="AA528" s="234"/>
      <c r="AB528" s="236"/>
      <c r="AC528" s="234"/>
      <c r="AD528" s="234"/>
      <c r="AE528" s="234"/>
      <c r="AF528" s="234"/>
      <c r="AG528" s="236"/>
      <c r="AH528" s="234"/>
      <c r="AI528" s="234"/>
      <c r="AJ528" s="234"/>
      <c r="AK528" s="234"/>
      <c r="AL528" s="236"/>
      <c r="AM528" s="234"/>
      <c r="AN528" s="234"/>
      <c r="AO528" s="234"/>
      <c r="AP528" s="234"/>
      <c r="AQ528" s="236"/>
      <c r="AR528" s="234"/>
      <c r="AS528" s="234"/>
      <c r="AT528" s="234"/>
      <c r="AU528" s="234"/>
      <c r="AV528" s="236"/>
      <c r="AW528" s="234"/>
      <c r="AX528" s="234"/>
      <c r="AY528" s="234"/>
      <c r="AZ528" s="234"/>
      <c r="BA528" s="236"/>
      <c r="BB528" s="234"/>
      <c r="BC528" s="234"/>
      <c r="BD528" s="234"/>
      <c r="BE528" s="234"/>
      <c r="BF528" s="236"/>
      <c r="BG528" s="234"/>
      <c r="BH528" s="234"/>
      <c r="BI528" s="234"/>
      <c r="BJ528" s="234"/>
      <c r="BK528" s="236"/>
      <c r="BL528" s="234"/>
      <c r="BM528" s="234"/>
      <c r="BN528" s="212"/>
      <c r="BO528" s="212"/>
      <c r="BP528" s="194"/>
      <c r="BQ528" s="212"/>
      <c r="BR528" s="212"/>
      <c r="BS528" s="212"/>
      <c r="BT528" s="212"/>
      <c r="BU528" s="194"/>
      <c r="BV528" s="212"/>
      <c r="BW528" s="212"/>
      <c r="BX528" s="212"/>
      <c r="BY528" s="212"/>
      <c r="BZ528" s="194"/>
      <c r="CA528" s="212"/>
      <c r="CB528" s="212"/>
      <c r="CC528" s="212"/>
      <c r="CD528" s="212"/>
      <c r="CE528" s="194"/>
      <c r="CF528" s="212"/>
      <c r="CG528" s="212"/>
      <c r="CH528" s="212"/>
      <c r="CI528" s="212"/>
      <c r="CJ528" s="194"/>
      <c r="CK528" s="2907"/>
      <c r="CL528" s="212"/>
      <c r="CM528" s="212"/>
      <c r="CN528" s="212"/>
      <c r="CO528" s="194"/>
      <c r="CP528" s="2907"/>
      <c r="CQ528" s="212"/>
      <c r="CR528" s="212"/>
      <c r="CS528" s="212"/>
      <c r="CT528" s="194"/>
      <c r="CU528" s="194"/>
      <c r="CV528" s="194"/>
      <c r="CW528" s="374"/>
      <c r="CX528" s="374"/>
      <c r="CY528" s="374"/>
      <c r="CZ528" s="374"/>
      <c r="DA528" s="374"/>
      <c r="DB528" s="217"/>
    </row>
    <row r="529" spans="1:106" x14ac:dyDescent="0.2">
      <c r="A529" s="2308" t="s">
        <v>456</v>
      </c>
      <c r="B529" s="651"/>
      <c r="C529" s="236"/>
      <c r="D529" s="234"/>
      <c r="E529" s="234"/>
      <c r="F529" s="234"/>
      <c r="G529" s="234"/>
      <c r="H529" s="236"/>
      <c r="I529" s="234"/>
      <c r="J529" s="234"/>
      <c r="K529" s="234"/>
      <c r="L529" s="234"/>
      <c r="M529" s="236"/>
      <c r="N529" s="234"/>
      <c r="O529" s="234"/>
      <c r="P529" s="234"/>
      <c r="Q529" s="234"/>
      <c r="R529" s="236"/>
      <c r="S529" s="234"/>
      <c r="T529" s="234"/>
      <c r="U529" s="234"/>
      <c r="V529" s="234"/>
      <c r="W529" s="236"/>
      <c r="X529" s="234"/>
      <c r="Y529" s="234"/>
      <c r="Z529" s="234"/>
      <c r="AA529" s="234"/>
      <c r="AB529" s="236"/>
      <c r="AC529" s="234"/>
      <c r="AD529" s="234"/>
      <c r="AE529" s="234"/>
      <c r="AF529" s="234"/>
      <c r="AG529" s="236"/>
      <c r="AH529" s="234"/>
      <c r="AI529" s="234"/>
      <c r="AJ529" s="234"/>
      <c r="AK529" s="234"/>
      <c r="AL529" s="236"/>
      <c r="AM529" s="234"/>
      <c r="AN529" s="234"/>
      <c r="AO529" s="234"/>
      <c r="AP529" s="234"/>
      <c r="AQ529" s="236"/>
      <c r="AR529" s="234"/>
      <c r="AS529" s="234"/>
      <c r="AT529" s="234"/>
      <c r="AU529" s="234"/>
      <c r="AV529" s="236"/>
      <c r="AW529" s="234"/>
      <c r="AX529" s="234"/>
      <c r="AY529" s="234"/>
      <c r="AZ529" s="234"/>
      <c r="BA529" s="236"/>
      <c r="BB529" s="234"/>
      <c r="BC529" s="234"/>
      <c r="BD529" s="234"/>
      <c r="BE529" s="234"/>
      <c r="BF529" s="236"/>
      <c r="BG529" s="234"/>
      <c r="BH529" s="234"/>
      <c r="BI529" s="234"/>
      <c r="BJ529" s="234"/>
      <c r="BK529" s="236"/>
      <c r="BL529" s="234"/>
      <c r="BM529" s="234"/>
      <c r="BN529" s="234"/>
      <c r="BO529" s="234"/>
      <c r="BP529" s="236"/>
      <c r="BQ529" s="234"/>
      <c r="BR529" s="234"/>
      <c r="BS529" s="234"/>
      <c r="BT529" s="234"/>
      <c r="BU529" s="236"/>
      <c r="BV529" s="234"/>
      <c r="BW529" s="234"/>
      <c r="BX529" s="234"/>
      <c r="BY529" s="234"/>
      <c r="BZ529" s="236"/>
      <c r="CA529" s="234"/>
      <c r="CB529" s="234"/>
      <c r="CC529" s="234"/>
      <c r="CD529" s="234"/>
      <c r="CE529" s="236"/>
      <c r="CF529" s="234"/>
      <c r="CG529" s="234"/>
      <c r="CH529" s="847">
        <f t="shared" ref="CH529:CV529" si="726">CH426+CH460+CH495</f>
        <v>14164</v>
      </c>
      <c r="CI529" s="847">
        <f t="shared" si="726"/>
        <v>14164</v>
      </c>
      <c r="CJ529" s="661">
        <f t="shared" si="726"/>
        <v>14164</v>
      </c>
      <c r="CK529" s="2350">
        <f t="shared" si="726"/>
        <v>14164</v>
      </c>
      <c r="CL529" s="847">
        <f t="shared" si="726"/>
        <v>14168</v>
      </c>
      <c r="CM529" s="1261">
        <f t="shared" si="726"/>
        <v>14134</v>
      </c>
      <c r="CN529" s="1261">
        <f t="shared" si="726"/>
        <v>14484</v>
      </c>
      <c r="CO529" s="661">
        <f t="shared" si="726"/>
        <v>14484</v>
      </c>
      <c r="CP529" s="1261">
        <f t="shared" ref="CP529:CT542" si="727">CP426+CP460+CP495</f>
        <v>14670.73</v>
      </c>
      <c r="CQ529" s="1261">
        <f t="shared" si="727"/>
        <v>14585.43</v>
      </c>
      <c r="CR529" s="1261">
        <f t="shared" si="727"/>
        <v>14505.18</v>
      </c>
      <c r="CS529" s="1261">
        <f t="shared" si="727"/>
        <v>14817.93</v>
      </c>
      <c r="CT529" s="661">
        <f t="shared" si="727"/>
        <v>14817.93</v>
      </c>
      <c r="CU529" s="661">
        <f t="shared" si="726"/>
        <v>15296.598600000001</v>
      </c>
      <c r="CV529" s="661">
        <f t="shared" si="726"/>
        <v>15441.535050000002</v>
      </c>
      <c r="CW529" s="374"/>
      <c r="CX529" s="374"/>
      <c r="CY529" s="374"/>
      <c r="CZ529" s="374"/>
      <c r="DA529" s="374"/>
      <c r="DB529" s="217"/>
    </row>
    <row r="530" spans="1:106" x14ac:dyDescent="0.2">
      <c r="A530" s="1434" t="s">
        <v>346</v>
      </c>
      <c r="B530" s="651"/>
      <c r="C530" s="236"/>
      <c r="D530" s="234"/>
      <c r="E530" s="234"/>
      <c r="F530" s="234"/>
      <c r="G530" s="234"/>
      <c r="H530" s="236"/>
      <c r="I530" s="973">
        <f t="shared" ref="I530:AN530" si="728">I427+I461+I496</f>
        <v>114246</v>
      </c>
      <c r="J530" s="847">
        <f t="shared" si="728"/>
        <v>115315</v>
      </c>
      <c r="K530" s="847">
        <f t="shared" si="728"/>
        <v>116154</v>
      </c>
      <c r="L530" s="847">
        <f t="shared" si="728"/>
        <v>115486</v>
      </c>
      <c r="M530" s="661">
        <f t="shared" si="728"/>
        <v>115486</v>
      </c>
      <c r="N530" s="847">
        <f t="shared" si="728"/>
        <v>116544</v>
      </c>
      <c r="O530" s="847">
        <f t="shared" si="728"/>
        <v>117637</v>
      </c>
      <c r="P530" s="847">
        <f t="shared" si="728"/>
        <v>118101</v>
      </c>
      <c r="Q530" s="847">
        <f t="shared" si="728"/>
        <v>120308</v>
      </c>
      <c r="R530" s="661">
        <f t="shared" si="728"/>
        <v>120308</v>
      </c>
      <c r="S530" s="847">
        <f t="shared" si="728"/>
        <v>122283</v>
      </c>
      <c r="T530" s="847">
        <f t="shared" si="728"/>
        <v>124286</v>
      </c>
      <c r="U530" s="847">
        <f t="shared" si="728"/>
        <v>125624</v>
      </c>
      <c r="V530" s="847">
        <f t="shared" si="728"/>
        <v>126319</v>
      </c>
      <c r="W530" s="661">
        <f t="shared" si="728"/>
        <v>126319</v>
      </c>
      <c r="X530" s="847">
        <f t="shared" si="728"/>
        <v>126934</v>
      </c>
      <c r="Y530" s="847">
        <f t="shared" si="728"/>
        <v>128100</v>
      </c>
      <c r="Z530" s="847">
        <f t="shared" si="728"/>
        <v>128948</v>
      </c>
      <c r="AA530" s="847">
        <f t="shared" si="728"/>
        <v>129831</v>
      </c>
      <c r="AB530" s="661">
        <f t="shared" si="728"/>
        <v>129831</v>
      </c>
      <c r="AC530" s="847">
        <f t="shared" si="728"/>
        <v>130474</v>
      </c>
      <c r="AD530" s="847">
        <f t="shared" si="728"/>
        <v>131666</v>
      </c>
      <c r="AE530" s="847">
        <f t="shared" si="728"/>
        <v>132023</v>
      </c>
      <c r="AF530" s="847">
        <f t="shared" si="728"/>
        <v>133534</v>
      </c>
      <c r="AG530" s="661">
        <f t="shared" si="728"/>
        <v>133534</v>
      </c>
      <c r="AH530" s="847">
        <f t="shared" si="728"/>
        <v>134708</v>
      </c>
      <c r="AI530" s="847">
        <f t="shared" si="728"/>
        <v>135463</v>
      </c>
      <c r="AJ530" s="847">
        <f t="shared" si="728"/>
        <v>135590</v>
      </c>
      <c r="AK530" s="847">
        <f t="shared" si="728"/>
        <v>136097</v>
      </c>
      <c r="AL530" s="661">
        <f t="shared" si="728"/>
        <v>136097</v>
      </c>
      <c r="AM530" s="847">
        <f t="shared" si="728"/>
        <v>136290</v>
      </c>
      <c r="AN530" s="847">
        <f t="shared" si="728"/>
        <v>135800</v>
      </c>
      <c r="AO530" s="847">
        <f t="shared" ref="AO530:BT530" si="729">AO427+AO461+AO496</f>
        <v>135611</v>
      </c>
      <c r="AP530" s="847">
        <f t="shared" si="729"/>
        <v>136348</v>
      </c>
      <c r="AQ530" s="661">
        <f t="shared" si="729"/>
        <v>136348</v>
      </c>
      <c r="AR530" s="847">
        <f t="shared" si="729"/>
        <v>136875</v>
      </c>
      <c r="AS530" s="847">
        <f t="shared" si="729"/>
        <v>137130</v>
      </c>
      <c r="AT530" s="847">
        <f t="shared" si="729"/>
        <v>137498</v>
      </c>
      <c r="AU530" s="847">
        <f t="shared" si="729"/>
        <v>138613</v>
      </c>
      <c r="AV530" s="661">
        <f t="shared" si="729"/>
        <v>138613</v>
      </c>
      <c r="AW530" s="847">
        <f t="shared" si="729"/>
        <v>138931</v>
      </c>
      <c r="AX530" s="847">
        <f t="shared" si="729"/>
        <v>138945</v>
      </c>
      <c r="AY530" s="847">
        <f t="shared" si="729"/>
        <v>139280</v>
      </c>
      <c r="AZ530" s="847">
        <f t="shared" si="729"/>
        <v>140160</v>
      </c>
      <c r="BA530" s="661">
        <f t="shared" si="729"/>
        <v>140160</v>
      </c>
      <c r="BB530" s="847">
        <f t="shared" si="729"/>
        <v>142282</v>
      </c>
      <c r="BC530" s="847">
        <f t="shared" si="729"/>
        <v>141819</v>
      </c>
      <c r="BD530" s="847">
        <f t="shared" si="729"/>
        <v>142277</v>
      </c>
      <c r="BE530" s="847">
        <f t="shared" si="729"/>
        <v>143349</v>
      </c>
      <c r="BF530" s="661">
        <f t="shared" si="729"/>
        <v>143349</v>
      </c>
      <c r="BG530" s="847">
        <f t="shared" si="729"/>
        <v>143876</v>
      </c>
      <c r="BH530" s="847">
        <f t="shared" si="729"/>
        <v>143876</v>
      </c>
      <c r="BI530" s="847">
        <f t="shared" si="729"/>
        <v>143579</v>
      </c>
      <c r="BJ530" s="847">
        <f t="shared" si="729"/>
        <v>142881</v>
      </c>
      <c r="BK530" s="661">
        <f t="shared" si="729"/>
        <v>142881</v>
      </c>
      <c r="BL530" s="847">
        <f t="shared" si="729"/>
        <v>142078</v>
      </c>
      <c r="BM530" s="847">
        <f t="shared" si="729"/>
        <v>141809</v>
      </c>
      <c r="BN530" s="847">
        <f t="shared" si="729"/>
        <v>141178</v>
      </c>
      <c r="BO530" s="847">
        <f t="shared" si="729"/>
        <v>141677</v>
      </c>
      <c r="BP530" s="661">
        <f t="shared" si="729"/>
        <v>141677</v>
      </c>
      <c r="BQ530" s="847">
        <f t="shared" si="729"/>
        <v>140629</v>
      </c>
      <c r="BR530" s="847">
        <f t="shared" si="729"/>
        <v>140626</v>
      </c>
      <c r="BS530" s="847">
        <f t="shared" si="729"/>
        <v>139926</v>
      </c>
      <c r="BT530" s="847">
        <f t="shared" si="729"/>
        <v>138860</v>
      </c>
      <c r="BU530" s="661">
        <f t="shared" ref="BU530:CG530" si="730">BU427+BU461+BU496</f>
        <v>138860</v>
      </c>
      <c r="BV530" s="847">
        <f t="shared" si="730"/>
        <v>138857</v>
      </c>
      <c r="BW530" s="847">
        <f t="shared" si="730"/>
        <v>140247</v>
      </c>
      <c r="BX530" s="847">
        <f t="shared" si="730"/>
        <v>140575</v>
      </c>
      <c r="BY530" s="847">
        <f t="shared" si="730"/>
        <v>140575</v>
      </c>
      <c r="BZ530" s="661">
        <f t="shared" si="730"/>
        <v>140575</v>
      </c>
      <c r="CA530" s="847">
        <f t="shared" si="730"/>
        <v>146614</v>
      </c>
      <c r="CB530" s="847">
        <f t="shared" si="730"/>
        <v>146874</v>
      </c>
      <c r="CC530" s="847">
        <f t="shared" si="730"/>
        <v>148235</v>
      </c>
      <c r="CD530" s="847">
        <f t="shared" si="730"/>
        <v>148584</v>
      </c>
      <c r="CE530" s="661">
        <f t="shared" si="730"/>
        <v>148584</v>
      </c>
      <c r="CF530" s="847">
        <f t="shared" si="730"/>
        <v>148206</v>
      </c>
      <c r="CG530" s="847">
        <f t="shared" si="730"/>
        <v>147935</v>
      </c>
      <c r="CH530" s="847">
        <f t="shared" ref="CH530:CV530" si="731">CH427+CH461+CH496</f>
        <v>134350</v>
      </c>
      <c r="CI530" s="847">
        <f t="shared" si="731"/>
        <v>135813</v>
      </c>
      <c r="CJ530" s="661">
        <f t="shared" si="731"/>
        <v>135813</v>
      </c>
      <c r="CK530" s="2350">
        <f t="shared" si="731"/>
        <v>135009</v>
      </c>
      <c r="CL530" s="847">
        <f t="shared" si="731"/>
        <v>135216</v>
      </c>
      <c r="CM530" s="1261">
        <f t="shared" si="731"/>
        <v>137377</v>
      </c>
      <c r="CN530" s="1261">
        <f t="shared" si="731"/>
        <v>137333</v>
      </c>
      <c r="CO530" s="661">
        <f t="shared" si="731"/>
        <v>137333</v>
      </c>
      <c r="CP530" s="1261">
        <f t="shared" si="727"/>
        <v>140455.04000000001</v>
      </c>
      <c r="CQ530" s="1261">
        <f t="shared" si="727"/>
        <v>139843.52000000002</v>
      </c>
      <c r="CR530" s="1261">
        <f t="shared" si="727"/>
        <v>141414</v>
      </c>
      <c r="CS530" s="1261">
        <f t="shared" si="727"/>
        <v>140710.73000000001</v>
      </c>
      <c r="CT530" s="661">
        <f t="shared" si="727"/>
        <v>140710.73000000001</v>
      </c>
      <c r="CU530" s="661">
        <f t="shared" si="731"/>
        <v>146228.78660000002</v>
      </c>
      <c r="CV530" s="661">
        <f t="shared" si="731"/>
        <v>148404.79859000002</v>
      </c>
      <c r="CW530" s="374"/>
      <c r="CX530" s="374"/>
      <c r="CY530" s="374"/>
      <c r="CZ530" s="374"/>
      <c r="DA530" s="374"/>
      <c r="DB530" s="217"/>
    </row>
    <row r="531" spans="1:106" x14ac:dyDescent="0.2">
      <c r="A531" s="1434" t="s">
        <v>1385</v>
      </c>
      <c r="B531" s="651"/>
      <c r="C531" s="236"/>
      <c r="D531" s="234"/>
      <c r="E531" s="234"/>
      <c r="F531" s="234"/>
      <c r="G531" s="234"/>
      <c r="H531" s="236"/>
      <c r="I531" s="973">
        <f t="shared" ref="I531:AN531" si="732">I428+I462+I497</f>
        <v>20464</v>
      </c>
      <c r="J531" s="847">
        <f t="shared" si="732"/>
        <v>20910</v>
      </c>
      <c r="K531" s="847">
        <f t="shared" si="732"/>
        <v>20909</v>
      </c>
      <c r="L531" s="847">
        <f t="shared" si="732"/>
        <v>22929</v>
      </c>
      <c r="M531" s="661">
        <f t="shared" si="732"/>
        <v>22929</v>
      </c>
      <c r="N531" s="847">
        <f t="shared" si="732"/>
        <v>22917</v>
      </c>
      <c r="O531" s="847">
        <f t="shared" si="732"/>
        <v>23082</v>
      </c>
      <c r="P531" s="847">
        <f t="shared" si="732"/>
        <v>23082</v>
      </c>
      <c r="Q531" s="847">
        <f t="shared" si="732"/>
        <v>23961</v>
      </c>
      <c r="R531" s="661">
        <f t="shared" si="732"/>
        <v>23961</v>
      </c>
      <c r="S531" s="847">
        <f t="shared" si="732"/>
        <v>25178</v>
      </c>
      <c r="T531" s="847">
        <f t="shared" si="732"/>
        <v>24510</v>
      </c>
      <c r="U531" s="847">
        <f t="shared" si="732"/>
        <v>24591</v>
      </c>
      <c r="V531" s="847">
        <f t="shared" si="732"/>
        <v>24299</v>
      </c>
      <c r="W531" s="661">
        <f t="shared" si="732"/>
        <v>24299</v>
      </c>
      <c r="X531" s="847">
        <f t="shared" si="732"/>
        <v>24009</v>
      </c>
      <c r="Y531" s="847">
        <f t="shared" si="732"/>
        <v>24426</v>
      </c>
      <c r="Z531" s="847">
        <f t="shared" si="732"/>
        <v>24928</v>
      </c>
      <c r="AA531" s="847">
        <f t="shared" si="732"/>
        <v>25474</v>
      </c>
      <c r="AB531" s="661">
        <f t="shared" si="732"/>
        <v>25474</v>
      </c>
      <c r="AC531" s="847">
        <f t="shared" si="732"/>
        <v>25838</v>
      </c>
      <c r="AD531" s="847">
        <f t="shared" si="732"/>
        <v>25755</v>
      </c>
      <c r="AE531" s="847">
        <f t="shared" si="732"/>
        <v>25686</v>
      </c>
      <c r="AF531" s="847">
        <f t="shared" si="732"/>
        <v>25431</v>
      </c>
      <c r="AG531" s="661">
        <f t="shared" si="732"/>
        <v>25431</v>
      </c>
      <c r="AH531" s="847">
        <f t="shared" si="732"/>
        <v>25779</v>
      </c>
      <c r="AI531" s="847">
        <f t="shared" si="732"/>
        <v>25779</v>
      </c>
      <c r="AJ531" s="847">
        <f t="shared" si="732"/>
        <v>25084</v>
      </c>
      <c r="AK531" s="847">
        <f t="shared" si="732"/>
        <v>25106</v>
      </c>
      <c r="AL531" s="661">
        <f t="shared" si="732"/>
        <v>25106</v>
      </c>
      <c r="AM531" s="847">
        <f t="shared" si="732"/>
        <v>24372</v>
      </c>
      <c r="AN531" s="847">
        <f t="shared" si="732"/>
        <v>25369</v>
      </c>
      <c r="AO531" s="847">
        <f t="shared" ref="AO531:BT531" si="733">AO428+AO462+AO497</f>
        <v>25023</v>
      </c>
      <c r="AP531" s="847">
        <f t="shared" si="733"/>
        <v>26117</v>
      </c>
      <c r="AQ531" s="661">
        <f t="shared" si="733"/>
        <v>26117</v>
      </c>
      <c r="AR531" s="847">
        <f t="shared" si="733"/>
        <v>27456</v>
      </c>
      <c r="AS531" s="847">
        <f t="shared" si="733"/>
        <v>27721</v>
      </c>
      <c r="AT531" s="847">
        <f t="shared" si="733"/>
        <v>27546</v>
      </c>
      <c r="AU531" s="847">
        <f t="shared" si="733"/>
        <v>27774</v>
      </c>
      <c r="AV531" s="661">
        <f t="shared" si="733"/>
        <v>27774</v>
      </c>
      <c r="AW531" s="847">
        <f t="shared" si="733"/>
        <v>28047</v>
      </c>
      <c r="AX531" s="847">
        <f t="shared" si="733"/>
        <v>28197</v>
      </c>
      <c r="AY531" s="847">
        <f t="shared" si="733"/>
        <v>28508</v>
      </c>
      <c r="AZ531" s="847">
        <f t="shared" si="733"/>
        <v>28918</v>
      </c>
      <c r="BA531" s="661">
        <f t="shared" si="733"/>
        <v>28918</v>
      </c>
      <c r="BB531" s="847">
        <f t="shared" si="733"/>
        <v>28914</v>
      </c>
      <c r="BC531" s="847">
        <f t="shared" si="733"/>
        <v>29069</v>
      </c>
      <c r="BD531" s="847">
        <f t="shared" si="733"/>
        <v>28790</v>
      </c>
      <c r="BE531" s="847">
        <f t="shared" si="733"/>
        <v>28288</v>
      </c>
      <c r="BF531" s="661">
        <f t="shared" si="733"/>
        <v>28288</v>
      </c>
      <c r="BG531" s="847">
        <f t="shared" si="733"/>
        <v>28892</v>
      </c>
      <c r="BH531" s="847">
        <f t="shared" si="733"/>
        <v>28726</v>
      </c>
      <c r="BI531" s="847">
        <f t="shared" si="733"/>
        <v>28446</v>
      </c>
      <c r="BJ531" s="847">
        <f t="shared" si="733"/>
        <v>29229</v>
      </c>
      <c r="BK531" s="661">
        <f t="shared" si="733"/>
        <v>29229</v>
      </c>
      <c r="BL531" s="847">
        <f t="shared" si="733"/>
        <v>29229</v>
      </c>
      <c r="BM531" s="847">
        <f t="shared" si="733"/>
        <v>29229</v>
      </c>
      <c r="BN531" s="847">
        <f t="shared" si="733"/>
        <v>28597</v>
      </c>
      <c r="BO531" s="847">
        <f t="shared" si="733"/>
        <v>28597</v>
      </c>
      <c r="BP531" s="661">
        <f t="shared" si="733"/>
        <v>28597</v>
      </c>
      <c r="BQ531" s="847">
        <f t="shared" si="733"/>
        <v>28209</v>
      </c>
      <c r="BR531" s="847">
        <f t="shared" si="733"/>
        <v>27820</v>
      </c>
      <c r="BS531" s="847">
        <f t="shared" si="733"/>
        <v>27189</v>
      </c>
      <c r="BT531" s="847">
        <f t="shared" si="733"/>
        <v>27189</v>
      </c>
      <c r="BU531" s="661">
        <f t="shared" ref="BU531:CV531" si="734">BU428+BU462+BU497</f>
        <v>27189</v>
      </c>
      <c r="BV531" s="847">
        <f t="shared" si="734"/>
        <v>27189</v>
      </c>
      <c r="BW531" s="847">
        <f t="shared" si="734"/>
        <v>27419</v>
      </c>
      <c r="BX531" s="847">
        <f t="shared" si="734"/>
        <v>27744</v>
      </c>
      <c r="BY531" s="847">
        <f t="shared" si="734"/>
        <v>27588</v>
      </c>
      <c r="BZ531" s="661">
        <f t="shared" si="734"/>
        <v>27588</v>
      </c>
      <c r="CA531" s="847">
        <f t="shared" si="734"/>
        <v>28322</v>
      </c>
      <c r="CB531" s="847">
        <f t="shared" si="734"/>
        <v>28322</v>
      </c>
      <c r="CC531" s="847">
        <f t="shared" si="734"/>
        <v>26748</v>
      </c>
      <c r="CD531" s="847">
        <f t="shared" si="734"/>
        <v>27359</v>
      </c>
      <c r="CE531" s="661">
        <f t="shared" si="734"/>
        <v>27359</v>
      </c>
      <c r="CF531" s="847">
        <f t="shared" si="734"/>
        <v>28045</v>
      </c>
      <c r="CG531" s="847">
        <f t="shared" si="734"/>
        <v>28038</v>
      </c>
      <c r="CH531" s="847">
        <f t="shared" si="734"/>
        <v>28038</v>
      </c>
      <c r="CI531" s="847">
        <f t="shared" si="734"/>
        <v>28038</v>
      </c>
      <c r="CJ531" s="661">
        <f t="shared" si="734"/>
        <v>28038</v>
      </c>
      <c r="CK531" s="2350">
        <f t="shared" ref="CK531:CK542" si="735">CK428+CK462+CK497</f>
        <v>28483</v>
      </c>
      <c r="CL531" s="847">
        <f t="shared" si="734"/>
        <v>28569</v>
      </c>
      <c r="CM531" s="1261">
        <f t="shared" si="734"/>
        <v>28774</v>
      </c>
      <c r="CN531" s="1261">
        <f t="shared" si="734"/>
        <v>28510</v>
      </c>
      <c r="CO531" s="661">
        <f t="shared" si="734"/>
        <v>28510</v>
      </c>
      <c r="CP531" s="1261">
        <f t="shared" si="727"/>
        <v>29880.86</v>
      </c>
      <c r="CQ531" s="1261">
        <f t="shared" si="727"/>
        <v>29634.080000000002</v>
      </c>
      <c r="CR531" s="1261">
        <f t="shared" si="727"/>
        <v>29669.600000000002</v>
      </c>
      <c r="CS531" s="1261">
        <f t="shared" si="727"/>
        <v>29234.510000000002</v>
      </c>
      <c r="CT531" s="661">
        <f t="shared" si="727"/>
        <v>29234.510000000002</v>
      </c>
      <c r="CU531" s="661">
        <f t="shared" si="734"/>
        <v>30474.738200000003</v>
      </c>
      <c r="CV531" s="661">
        <f t="shared" si="734"/>
        <v>31000.931210000002</v>
      </c>
      <c r="CW531" s="374"/>
      <c r="CX531" s="374"/>
      <c r="CY531" s="374"/>
      <c r="CZ531" s="374"/>
      <c r="DA531" s="374"/>
      <c r="DB531" s="217"/>
    </row>
    <row r="532" spans="1:106" x14ac:dyDescent="0.2">
      <c r="A532" s="1434" t="s">
        <v>512</v>
      </c>
      <c r="B532" s="651"/>
      <c r="C532" s="236"/>
      <c r="D532" s="234"/>
      <c r="E532" s="234"/>
      <c r="F532" s="234"/>
      <c r="G532" s="234"/>
      <c r="H532" s="236"/>
      <c r="I532" s="973">
        <f t="shared" ref="I532:AN532" si="736">I429+I463+I498</f>
        <v>0</v>
      </c>
      <c r="J532" s="847">
        <f t="shared" si="736"/>
        <v>0</v>
      </c>
      <c r="K532" s="847">
        <f t="shared" si="736"/>
        <v>0</v>
      </c>
      <c r="L532" s="847">
        <f t="shared" si="736"/>
        <v>0</v>
      </c>
      <c r="M532" s="661">
        <f t="shared" si="736"/>
        <v>0</v>
      </c>
      <c r="N532" s="847">
        <f t="shared" si="736"/>
        <v>0</v>
      </c>
      <c r="O532" s="847">
        <f t="shared" si="736"/>
        <v>0</v>
      </c>
      <c r="P532" s="847">
        <f t="shared" si="736"/>
        <v>0</v>
      </c>
      <c r="Q532" s="847">
        <f t="shared" si="736"/>
        <v>0</v>
      </c>
      <c r="R532" s="661">
        <f t="shared" si="736"/>
        <v>0</v>
      </c>
      <c r="S532" s="847">
        <f t="shared" si="736"/>
        <v>0</v>
      </c>
      <c r="T532" s="847">
        <f t="shared" si="736"/>
        <v>0</v>
      </c>
      <c r="U532" s="847">
        <f t="shared" si="736"/>
        <v>0</v>
      </c>
      <c r="V532" s="847">
        <f t="shared" si="736"/>
        <v>0</v>
      </c>
      <c r="W532" s="661">
        <f t="shared" si="736"/>
        <v>0</v>
      </c>
      <c r="X532" s="847">
        <f t="shared" si="736"/>
        <v>0</v>
      </c>
      <c r="Y532" s="847">
        <f t="shared" si="736"/>
        <v>0</v>
      </c>
      <c r="Z532" s="847">
        <f t="shared" si="736"/>
        <v>0</v>
      </c>
      <c r="AA532" s="847">
        <f t="shared" si="736"/>
        <v>0</v>
      </c>
      <c r="AB532" s="661">
        <f t="shared" si="736"/>
        <v>0</v>
      </c>
      <c r="AC532" s="847">
        <f t="shared" si="736"/>
        <v>0</v>
      </c>
      <c r="AD532" s="847">
        <f t="shared" si="736"/>
        <v>0</v>
      </c>
      <c r="AE532" s="847">
        <f t="shared" si="736"/>
        <v>0</v>
      </c>
      <c r="AF532" s="847">
        <f t="shared" si="736"/>
        <v>0</v>
      </c>
      <c r="AG532" s="973">
        <f t="shared" si="736"/>
        <v>0</v>
      </c>
      <c r="AH532" s="973">
        <f t="shared" si="736"/>
        <v>0</v>
      </c>
      <c r="AI532" s="847">
        <f t="shared" si="736"/>
        <v>0</v>
      </c>
      <c r="AJ532" s="847">
        <f t="shared" si="736"/>
        <v>0</v>
      </c>
      <c r="AK532" s="847">
        <f t="shared" si="736"/>
        <v>0</v>
      </c>
      <c r="AL532" s="973">
        <f t="shared" si="736"/>
        <v>0</v>
      </c>
      <c r="AM532" s="973">
        <f t="shared" si="736"/>
        <v>0</v>
      </c>
      <c r="AN532" s="847">
        <f t="shared" si="736"/>
        <v>0</v>
      </c>
      <c r="AO532" s="847">
        <f t="shared" ref="AO532:BT532" si="737">AO429+AO463+AO498</f>
        <v>0</v>
      </c>
      <c r="AP532" s="847">
        <f t="shared" si="737"/>
        <v>0</v>
      </c>
      <c r="AQ532" s="973">
        <f t="shared" si="737"/>
        <v>0</v>
      </c>
      <c r="AR532" s="973">
        <f t="shared" si="737"/>
        <v>0</v>
      </c>
      <c r="AS532" s="847">
        <f t="shared" si="737"/>
        <v>0</v>
      </c>
      <c r="AT532" s="847">
        <f t="shared" si="737"/>
        <v>0</v>
      </c>
      <c r="AU532" s="847">
        <f t="shared" si="737"/>
        <v>0</v>
      </c>
      <c r="AV532" s="661">
        <f t="shared" si="737"/>
        <v>0</v>
      </c>
      <c r="AW532" s="847">
        <f t="shared" si="737"/>
        <v>0</v>
      </c>
      <c r="AX532" s="847">
        <f t="shared" si="737"/>
        <v>0</v>
      </c>
      <c r="AY532" s="847">
        <f t="shared" si="737"/>
        <v>0</v>
      </c>
      <c r="AZ532" s="847">
        <f t="shared" si="737"/>
        <v>0</v>
      </c>
      <c r="BA532" s="661">
        <f t="shared" si="737"/>
        <v>0</v>
      </c>
      <c r="BB532" s="847">
        <f t="shared" si="737"/>
        <v>242</v>
      </c>
      <c r="BC532" s="847">
        <f t="shared" si="737"/>
        <v>1529</v>
      </c>
      <c r="BD532" s="847">
        <f t="shared" si="737"/>
        <v>1646</v>
      </c>
      <c r="BE532" s="847">
        <f t="shared" si="737"/>
        <v>3828</v>
      </c>
      <c r="BF532" s="661">
        <f t="shared" si="737"/>
        <v>3828</v>
      </c>
      <c r="BG532" s="847">
        <f t="shared" si="737"/>
        <v>3954</v>
      </c>
      <c r="BH532" s="847">
        <f t="shared" si="737"/>
        <v>4118</v>
      </c>
      <c r="BI532" s="847">
        <f t="shared" si="737"/>
        <v>4860</v>
      </c>
      <c r="BJ532" s="847">
        <f t="shared" si="737"/>
        <v>5207</v>
      </c>
      <c r="BK532" s="661">
        <f t="shared" si="737"/>
        <v>5207</v>
      </c>
      <c r="BL532" s="847">
        <f t="shared" si="737"/>
        <v>5815</v>
      </c>
      <c r="BM532" s="847">
        <f t="shared" si="737"/>
        <v>6223</v>
      </c>
      <c r="BN532" s="847">
        <f t="shared" si="737"/>
        <v>6298</v>
      </c>
      <c r="BO532" s="847">
        <f t="shared" si="737"/>
        <v>6609</v>
      </c>
      <c r="BP532" s="661">
        <f t="shared" si="737"/>
        <v>6609</v>
      </c>
      <c r="BQ532" s="847">
        <f t="shared" si="737"/>
        <v>6910</v>
      </c>
      <c r="BR532" s="847">
        <f t="shared" si="737"/>
        <v>6917</v>
      </c>
      <c r="BS532" s="847">
        <f t="shared" si="737"/>
        <v>8059</v>
      </c>
      <c r="BT532" s="847">
        <f t="shared" si="737"/>
        <v>8410</v>
      </c>
      <c r="BU532" s="661">
        <f t="shared" ref="BU532:CV532" si="738">BU429+BU463+BU498</f>
        <v>8410</v>
      </c>
      <c r="BV532" s="847">
        <f t="shared" si="738"/>
        <v>8842</v>
      </c>
      <c r="BW532" s="847">
        <f t="shared" si="738"/>
        <v>8842</v>
      </c>
      <c r="BX532" s="847">
        <f t="shared" si="738"/>
        <v>8998</v>
      </c>
      <c r="BY532" s="847">
        <f t="shared" si="738"/>
        <v>10082</v>
      </c>
      <c r="BZ532" s="661">
        <f t="shared" si="738"/>
        <v>10082</v>
      </c>
      <c r="CA532" s="847">
        <f t="shared" si="738"/>
        <v>10600</v>
      </c>
      <c r="CB532" s="847">
        <f t="shared" si="738"/>
        <v>11562</v>
      </c>
      <c r="CC532" s="847">
        <f t="shared" si="738"/>
        <v>12842</v>
      </c>
      <c r="CD532" s="847">
        <f t="shared" si="738"/>
        <v>13135</v>
      </c>
      <c r="CE532" s="661">
        <f t="shared" si="738"/>
        <v>13135</v>
      </c>
      <c r="CF532" s="847">
        <f t="shared" si="738"/>
        <v>13508</v>
      </c>
      <c r="CG532" s="847">
        <f t="shared" si="738"/>
        <v>13714</v>
      </c>
      <c r="CH532" s="847">
        <f t="shared" si="738"/>
        <v>13869</v>
      </c>
      <c r="CI532" s="847">
        <f t="shared" si="738"/>
        <v>14299</v>
      </c>
      <c r="CJ532" s="661">
        <f t="shared" si="738"/>
        <v>14299</v>
      </c>
      <c r="CK532" s="2350">
        <f t="shared" si="735"/>
        <v>15720</v>
      </c>
      <c r="CL532" s="847">
        <f t="shared" si="738"/>
        <v>16073</v>
      </c>
      <c r="CM532" s="1261">
        <f t="shared" si="738"/>
        <v>16236</v>
      </c>
      <c r="CN532" s="1261">
        <f t="shared" si="738"/>
        <v>17107</v>
      </c>
      <c r="CO532" s="661">
        <f t="shared" si="738"/>
        <v>17107</v>
      </c>
      <c r="CP532" s="1261">
        <f t="shared" si="727"/>
        <v>16767.150000000001</v>
      </c>
      <c r="CQ532" s="1261">
        <f t="shared" si="727"/>
        <v>16844.7</v>
      </c>
      <c r="CR532" s="1261">
        <f t="shared" si="727"/>
        <v>16865.66</v>
      </c>
      <c r="CS532" s="1261">
        <f t="shared" si="727"/>
        <v>17608.169999999998</v>
      </c>
      <c r="CT532" s="661">
        <f t="shared" si="727"/>
        <v>17608.169999999998</v>
      </c>
      <c r="CU532" s="661">
        <f t="shared" si="738"/>
        <v>18615.537</v>
      </c>
      <c r="CV532" s="661">
        <f t="shared" si="738"/>
        <v>19136.423862</v>
      </c>
      <c r="CW532" s="374"/>
      <c r="CX532" s="374"/>
      <c r="CY532" s="374"/>
      <c r="CZ532" s="374"/>
      <c r="DA532" s="374"/>
      <c r="DB532" s="217"/>
    </row>
    <row r="533" spans="1:106" x14ac:dyDescent="0.2">
      <c r="A533" s="2308" t="s">
        <v>608</v>
      </c>
      <c r="B533" s="651"/>
      <c r="C533" s="236"/>
      <c r="D533" s="234"/>
      <c r="E533" s="234"/>
      <c r="F533" s="234"/>
      <c r="G533" s="234"/>
      <c r="H533" s="236"/>
      <c r="I533" s="973">
        <f t="shared" ref="I533:AN533" si="739">I430+I464+I499</f>
        <v>0</v>
      </c>
      <c r="J533" s="847">
        <f t="shared" si="739"/>
        <v>0</v>
      </c>
      <c r="K533" s="847">
        <f t="shared" si="739"/>
        <v>0</v>
      </c>
      <c r="L533" s="847">
        <f t="shared" si="739"/>
        <v>0</v>
      </c>
      <c r="M533" s="661">
        <f t="shared" si="739"/>
        <v>0</v>
      </c>
      <c r="N533" s="847">
        <f t="shared" si="739"/>
        <v>0</v>
      </c>
      <c r="O533" s="847">
        <f t="shared" si="739"/>
        <v>0</v>
      </c>
      <c r="P533" s="847">
        <f t="shared" si="739"/>
        <v>0</v>
      </c>
      <c r="Q533" s="847">
        <f t="shared" si="739"/>
        <v>0</v>
      </c>
      <c r="R533" s="661">
        <f t="shared" si="739"/>
        <v>0</v>
      </c>
      <c r="S533" s="847">
        <f t="shared" si="739"/>
        <v>0</v>
      </c>
      <c r="T533" s="847">
        <f t="shared" si="739"/>
        <v>0</v>
      </c>
      <c r="U533" s="847">
        <f t="shared" si="739"/>
        <v>0</v>
      </c>
      <c r="V533" s="847">
        <f t="shared" si="739"/>
        <v>0</v>
      </c>
      <c r="W533" s="661">
        <f t="shared" si="739"/>
        <v>0</v>
      </c>
      <c r="X533" s="847">
        <f t="shared" si="739"/>
        <v>0</v>
      </c>
      <c r="Y533" s="847">
        <f t="shared" si="739"/>
        <v>0</v>
      </c>
      <c r="Z533" s="847">
        <f t="shared" si="739"/>
        <v>0</v>
      </c>
      <c r="AA533" s="847">
        <f t="shared" si="739"/>
        <v>0</v>
      </c>
      <c r="AB533" s="973">
        <f t="shared" si="739"/>
        <v>0</v>
      </c>
      <c r="AC533" s="847">
        <f t="shared" si="739"/>
        <v>0</v>
      </c>
      <c r="AD533" s="847">
        <f t="shared" si="739"/>
        <v>0</v>
      </c>
      <c r="AE533" s="847">
        <f t="shared" si="739"/>
        <v>0</v>
      </c>
      <c r="AF533" s="847">
        <f t="shared" si="739"/>
        <v>0</v>
      </c>
      <c r="AG533" s="973">
        <f t="shared" si="739"/>
        <v>0</v>
      </c>
      <c r="AH533" s="973">
        <f t="shared" si="739"/>
        <v>0</v>
      </c>
      <c r="AI533" s="847">
        <f t="shared" si="739"/>
        <v>0</v>
      </c>
      <c r="AJ533" s="847">
        <f t="shared" si="739"/>
        <v>0</v>
      </c>
      <c r="AK533" s="847">
        <f t="shared" si="739"/>
        <v>0</v>
      </c>
      <c r="AL533" s="973">
        <f t="shared" si="739"/>
        <v>0</v>
      </c>
      <c r="AM533" s="973">
        <f t="shared" si="739"/>
        <v>0</v>
      </c>
      <c r="AN533" s="847">
        <f t="shared" si="739"/>
        <v>0</v>
      </c>
      <c r="AO533" s="847">
        <f t="shared" ref="AO533:BT533" si="740">AO430+AO464+AO499</f>
        <v>0</v>
      </c>
      <c r="AP533" s="847">
        <f t="shared" si="740"/>
        <v>0</v>
      </c>
      <c r="AQ533" s="973">
        <f t="shared" si="740"/>
        <v>0</v>
      </c>
      <c r="AR533" s="973">
        <f t="shared" si="740"/>
        <v>0</v>
      </c>
      <c r="AS533" s="847">
        <f t="shared" si="740"/>
        <v>0</v>
      </c>
      <c r="AT533" s="847">
        <f t="shared" si="740"/>
        <v>0</v>
      </c>
      <c r="AU533" s="847">
        <f t="shared" si="740"/>
        <v>0</v>
      </c>
      <c r="AV533" s="661">
        <f t="shared" si="740"/>
        <v>0</v>
      </c>
      <c r="AW533" s="847">
        <f t="shared" si="740"/>
        <v>0</v>
      </c>
      <c r="AX533" s="847">
        <f t="shared" si="740"/>
        <v>0</v>
      </c>
      <c r="AY533" s="847">
        <f t="shared" si="740"/>
        <v>0</v>
      </c>
      <c r="AZ533" s="847">
        <f t="shared" si="740"/>
        <v>0</v>
      </c>
      <c r="BA533" s="661">
        <f t="shared" si="740"/>
        <v>0</v>
      </c>
      <c r="BB533" s="847">
        <f t="shared" si="740"/>
        <v>0</v>
      </c>
      <c r="BC533" s="847">
        <f t="shared" si="740"/>
        <v>0</v>
      </c>
      <c r="BD533" s="847">
        <f t="shared" si="740"/>
        <v>0</v>
      </c>
      <c r="BE533" s="847">
        <f t="shared" si="740"/>
        <v>0</v>
      </c>
      <c r="BF533" s="661">
        <f t="shared" si="740"/>
        <v>0</v>
      </c>
      <c r="BG533" s="847">
        <f t="shared" si="740"/>
        <v>0</v>
      </c>
      <c r="BH533" s="847">
        <f t="shared" si="740"/>
        <v>0</v>
      </c>
      <c r="BI533" s="847">
        <f t="shared" si="740"/>
        <v>0</v>
      </c>
      <c r="BJ533" s="847">
        <f t="shared" si="740"/>
        <v>0</v>
      </c>
      <c r="BK533" s="661">
        <f t="shared" si="740"/>
        <v>0</v>
      </c>
      <c r="BL533" s="847">
        <f t="shared" si="740"/>
        <v>0</v>
      </c>
      <c r="BM533" s="847">
        <f t="shared" si="740"/>
        <v>0</v>
      </c>
      <c r="BN533" s="847">
        <f t="shared" si="740"/>
        <v>0</v>
      </c>
      <c r="BO533" s="847">
        <f t="shared" si="740"/>
        <v>0</v>
      </c>
      <c r="BP533" s="661">
        <f t="shared" si="740"/>
        <v>0</v>
      </c>
      <c r="BQ533" s="847">
        <f t="shared" si="740"/>
        <v>0</v>
      </c>
      <c r="BR533" s="847">
        <f t="shared" si="740"/>
        <v>0</v>
      </c>
      <c r="BS533" s="847">
        <f t="shared" si="740"/>
        <v>0</v>
      </c>
      <c r="BT533" s="847">
        <f t="shared" si="740"/>
        <v>0</v>
      </c>
      <c r="BU533" s="661">
        <f t="shared" ref="BU533:CV533" si="741">BU430+BU464+BU499</f>
        <v>0</v>
      </c>
      <c r="BV533" s="847">
        <f t="shared" si="741"/>
        <v>0</v>
      </c>
      <c r="BW533" s="847">
        <f t="shared" si="741"/>
        <v>0</v>
      </c>
      <c r="BX533" s="847">
        <f t="shared" si="741"/>
        <v>0</v>
      </c>
      <c r="BY533" s="847">
        <f t="shared" si="741"/>
        <v>0</v>
      </c>
      <c r="BZ533" s="661">
        <f t="shared" si="741"/>
        <v>0</v>
      </c>
      <c r="CA533" s="847">
        <f t="shared" si="741"/>
        <v>0</v>
      </c>
      <c r="CB533" s="847">
        <f t="shared" si="741"/>
        <v>0</v>
      </c>
      <c r="CC533" s="847">
        <f t="shared" si="741"/>
        <v>0</v>
      </c>
      <c r="CD533" s="847">
        <f t="shared" si="741"/>
        <v>0</v>
      </c>
      <c r="CE533" s="661">
        <f t="shared" si="741"/>
        <v>0</v>
      </c>
      <c r="CF533" s="847">
        <f t="shared" si="741"/>
        <v>186</v>
      </c>
      <c r="CG533" s="847">
        <f t="shared" si="741"/>
        <v>294</v>
      </c>
      <c r="CH533" s="847">
        <f t="shared" si="741"/>
        <v>294</v>
      </c>
      <c r="CI533" s="847">
        <f t="shared" si="741"/>
        <v>294</v>
      </c>
      <c r="CJ533" s="661">
        <f t="shared" si="741"/>
        <v>294</v>
      </c>
      <c r="CK533" s="2350">
        <f t="shared" si="735"/>
        <v>294</v>
      </c>
      <c r="CL533" s="847">
        <f t="shared" si="741"/>
        <v>294</v>
      </c>
      <c r="CM533" s="1261">
        <f t="shared" si="741"/>
        <v>906</v>
      </c>
      <c r="CN533" s="1261">
        <f t="shared" si="741"/>
        <v>1076</v>
      </c>
      <c r="CO533" s="661">
        <f t="shared" si="741"/>
        <v>1076</v>
      </c>
      <c r="CP533" s="1261">
        <f t="shared" si="727"/>
        <v>294</v>
      </c>
      <c r="CQ533" s="1261">
        <f t="shared" si="727"/>
        <v>294</v>
      </c>
      <c r="CR533" s="1261">
        <f t="shared" si="727"/>
        <v>906</v>
      </c>
      <c r="CS533" s="1261">
        <f t="shared" si="727"/>
        <v>1076</v>
      </c>
      <c r="CT533" s="661">
        <f t="shared" si="727"/>
        <v>1076</v>
      </c>
      <c r="CU533" s="661">
        <f t="shared" si="741"/>
        <v>1076</v>
      </c>
      <c r="CV533" s="661">
        <f t="shared" si="741"/>
        <v>1076</v>
      </c>
      <c r="CW533" s="374"/>
      <c r="CX533" s="374"/>
      <c r="CY533" s="374"/>
      <c r="CZ533" s="374"/>
      <c r="DA533" s="374"/>
      <c r="DB533" s="217"/>
    </row>
    <row r="534" spans="1:106" x14ac:dyDescent="0.2">
      <c r="A534" s="1434" t="s">
        <v>510</v>
      </c>
      <c r="B534" s="651"/>
      <c r="C534" s="236"/>
      <c r="D534" s="234"/>
      <c r="E534" s="234"/>
      <c r="F534" s="234"/>
      <c r="G534" s="234"/>
      <c r="H534" s="236"/>
      <c r="I534" s="973">
        <f t="shared" ref="I534:AN534" si="742">I431+I465+I500</f>
        <v>7839</v>
      </c>
      <c r="J534" s="847">
        <f t="shared" si="742"/>
        <v>8185</v>
      </c>
      <c r="K534" s="847">
        <f t="shared" si="742"/>
        <v>8668</v>
      </c>
      <c r="L534" s="847">
        <f t="shared" si="742"/>
        <v>8796</v>
      </c>
      <c r="M534" s="661">
        <f t="shared" si="742"/>
        <v>8796</v>
      </c>
      <c r="N534" s="847">
        <f t="shared" si="742"/>
        <v>9389</v>
      </c>
      <c r="O534" s="847">
        <f t="shared" si="742"/>
        <v>9920</v>
      </c>
      <c r="P534" s="847">
        <f t="shared" si="742"/>
        <v>9920</v>
      </c>
      <c r="Q534" s="847">
        <f t="shared" si="742"/>
        <v>10270</v>
      </c>
      <c r="R534" s="661">
        <f t="shared" si="742"/>
        <v>10270</v>
      </c>
      <c r="S534" s="847">
        <f t="shared" si="742"/>
        <v>10620</v>
      </c>
      <c r="T534" s="847">
        <f t="shared" si="742"/>
        <v>10709</v>
      </c>
      <c r="U534" s="847">
        <f t="shared" si="742"/>
        <v>11293</v>
      </c>
      <c r="V534" s="847">
        <f t="shared" si="742"/>
        <v>11669</v>
      </c>
      <c r="W534" s="661">
        <f t="shared" si="742"/>
        <v>11669</v>
      </c>
      <c r="X534" s="847">
        <f t="shared" si="742"/>
        <v>11664</v>
      </c>
      <c r="Y534" s="847">
        <f t="shared" si="742"/>
        <v>11664</v>
      </c>
      <c r="Z534" s="847">
        <f t="shared" si="742"/>
        <v>11633</v>
      </c>
      <c r="AA534" s="847">
        <f t="shared" si="742"/>
        <v>11629</v>
      </c>
      <c r="AB534" s="973">
        <f t="shared" si="742"/>
        <v>11629</v>
      </c>
      <c r="AC534" s="973">
        <f t="shared" si="742"/>
        <v>11616</v>
      </c>
      <c r="AD534" s="847">
        <f t="shared" si="742"/>
        <v>11616</v>
      </c>
      <c r="AE534" s="847">
        <f t="shared" si="742"/>
        <v>11616</v>
      </c>
      <c r="AF534" s="847">
        <f t="shared" si="742"/>
        <v>11616</v>
      </c>
      <c r="AG534" s="973">
        <f t="shared" si="742"/>
        <v>11616</v>
      </c>
      <c r="AH534" s="973">
        <f t="shared" si="742"/>
        <v>11616</v>
      </c>
      <c r="AI534" s="847">
        <f t="shared" si="742"/>
        <v>11616</v>
      </c>
      <c r="AJ534" s="847">
        <f t="shared" si="742"/>
        <v>11616</v>
      </c>
      <c r="AK534" s="847">
        <f t="shared" si="742"/>
        <v>11616</v>
      </c>
      <c r="AL534" s="973">
        <f t="shared" si="742"/>
        <v>11616</v>
      </c>
      <c r="AM534" s="973">
        <f t="shared" si="742"/>
        <v>11343</v>
      </c>
      <c r="AN534" s="847">
        <f t="shared" si="742"/>
        <v>11343</v>
      </c>
      <c r="AO534" s="847">
        <f t="shared" ref="AO534:BT534" si="743">AO431+AO465+AO500</f>
        <v>11530</v>
      </c>
      <c r="AP534" s="847">
        <f t="shared" si="743"/>
        <v>11627</v>
      </c>
      <c r="AQ534" s="973">
        <f t="shared" si="743"/>
        <v>11627</v>
      </c>
      <c r="AR534" s="973">
        <f t="shared" si="743"/>
        <v>11437</v>
      </c>
      <c r="AS534" s="847">
        <f t="shared" si="743"/>
        <v>11437</v>
      </c>
      <c r="AT534" s="847">
        <f t="shared" si="743"/>
        <v>11603</v>
      </c>
      <c r="AU534" s="847">
        <f t="shared" si="743"/>
        <v>11629</v>
      </c>
      <c r="AV534" s="661">
        <f t="shared" si="743"/>
        <v>11629</v>
      </c>
      <c r="AW534" s="847">
        <f t="shared" si="743"/>
        <v>11652</v>
      </c>
      <c r="AX534" s="847">
        <f t="shared" si="743"/>
        <v>11549</v>
      </c>
      <c r="AY534" s="847">
        <f t="shared" si="743"/>
        <v>11549</v>
      </c>
      <c r="AZ534" s="847">
        <f t="shared" si="743"/>
        <v>12115</v>
      </c>
      <c r="BA534" s="661">
        <f t="shared" si="743"/>
        <v>12115</v>
      </c>
      <c r="BB534" s="847">
        <f t="shared" si="743"/>
        <v>12120</v>
      </c>
      <c r="BC534" s="847">
        <f t="shared" si="743"/>
        <v>11587</v>
      </c>
      <c r="BD534" s="847">
        <f t="shared" si="743"/>
        <v>11587</v>
      </c>
      <c r="BE534" s="847">
        <f t="shared" si="743"/>
        <v>11587</v>
      </c>
      <c r="BF534" s="661">
        <f t="shared" si="743"/>
        <v>11587</v>
      </c>
      <c r="BG534" s="847">
        <f t="shared" si="743"/>
        <v>11587</v>
      </c>
      <c r="BH534" s="847">
        <f t="shared" si="743"/>
        <v>11587</v>
      </c>
      <c r="BI534" s="847">
        <f t="shared" si="743"/>
        <v>11587</v>
      </c>
      <c r="BJ534" s="847">
        <f t="shared" si="743"/>
        <v>11587</v>
      </c>
      <c r="BK534" s="661">
        <f t="shared" si="743"/>
        <v>11587</v>
      </c>
      <c r="BL534" s="847">
        <f t="shared" si="743"/>
        <v>11587</v>
      </c>
      <c r="BM534" s="847">
        <f t="shared" si="743"/>
        <v>11587</v>
      </c>
      <c r="BN534" s="847">
        <f t="shared" si="743"/>
        <v>11587</v>
      </c>
      <c r="BO534" s="847">
        <f t="shared" si="743"/>
        <v>11357</v>
      </c>
      <c r="BP534" s="661">
        <f t="shared" si="743"/>
        <v>11357</v>
      </c>
      <c r="BQ534" s="847">
        <f t="shared" si="743"/>
        <v>11357</v>
      </c>
      <c r="BR534" s="847">
        <f t="shared" si="743"/>
        <v>11356</v>
      </c>
      <c r="BS534" s="847">
        <f t="shared" si="743"/>
        <v>11048</v>
      </c>
      <c r="BT534" s="847">
        <f t="shared" si="743"/>
        <v>11040</v>
      </c>
      <c r="BU534" s="661">
        <f t="shared" ref="BU534:CV534" si="744">BU431+BU465+BU500</f>
        <v>11040</v>
      </c>
      <c r="BV534" s="847">
        <f t="shared" si="744"/>
        <v>11040</v>
      </c>
      <c r="BW534" s="847">
        <f t="shared" si="744"/>
        <v>11300</v>
      </c>
      <c r="BX534" s="847">
        <f t="shared" si="744"/>
        <v>11300</v>
      </c>
      <c r="BY534" s="847">
        <f t="shared" si="744"/>
        <v>11424</v>
      </c>
      <c r="BZ534" s="661">
        <f t="shared" si="744"/>
        <v>11424</v>
      </c>
      <c r="CA534" s="847">
        <f t="shared" si="744"/>
        <v>11691</v>
      </c>
      <c r="CB534" s="847">
        <f t="shared" si="744"/>
        <v>11691</v>
      </c>
      <c r="CC534" s="847">
        <f t="shared" si="744"/>
        <v>11839</v>
      </c>
      <c r="CD534" s="847">
        <f t="shared" si="744"/>
        <v>11839</v>
      </c>
      <c r="CE534" s="661">
        <f t="shared" si="744"/>
        <v>11839</v>
      </c>
      <c r="CF534" s="847">
        <f t="shared" si="744"/>
        <v>11843</v>
      </c>
      <c r="CG534" s="847">
        <f t="shared" si="744"/>
        <v>11839</v>
      </c>
      <c r="CH534" s="847">
        <f t="shared" si="744"/>
        <v>11839</v>
      </c>
      <c r="CI534" s="847">
        <f t="shared" si="744"/>
        <v>11839</v>
      </c>
      <c r="CJ534" s="661">
        <f t="shared" si="744"/>
        <v>11839</v>
      </c>
      <c r="CK534" s="2350">
        <f t="shared" si="735"/>
        <v>11842</v>
      </c>
      <c r="CL534" s="847">
        <f t="shared" si="744"/>
        <v>11842</v>
      </c>
      <c r="CM534" s="1261">
        <f t="shared" si="744"/>
        <v>12193</v>
      </c>
      <c r="CN534" s="1261">
        <f t="shared" si="744"/>
        <v>11685</v>
      </c>
      <c r="CO534" s="661">
        <f t="shared" si="744"/>
        <v>11685</v>
      </c>
      <c r="CP534" s="1261">
        <f t="shared" si="727"/>
        <v>12640.91</v>
      </c>
      <c r="CQ534" s="1261">
        <f t="shared" si="727"/>
        <v>12640.91</v>
      </c>
      <c r="CR534" s="1261">
        <f t="shared" si="727"/>
        <v>13016.480000000001</v>
      </c>
      <c r="CS534" s="1261">
        <f t="shared" si="727"/>
        <v>12472.92</v>
      </c>
      <c r="CT534" s="661">
        <f t="shared" si="727"/>
        <v>12472.92</v>
      </c>
      <c r="CU534" s="661">
        <f t="shared" si="744"/>
        <v>12713.7984</v>
      </c>
      <c r="CV534" s="661">
        <f t="shared" si="744"/>
        <v>12713.7984</v>
      </c>
      <c r="CW534" s="374"/>
      <c r="CX534" s="374"/>
      <c r="CY534" s="374"/>
      <c r="CZ534" s="374"/>
      <c r="DA534" s="374"/>
      <c r="DB534" s="217"/>
    </row>
    <row r="535" spans="1:106" x14ac:dyDescent="0.2">
      <c r="A535" s="1434" t="s">
        <v>511</v>
      </c>
      <c r="B535" s="651"/>
      <c r="C535" s="236"/>
      <c r="D535" s="234"/>
      <c r="E535" s="234"/>
      <c r="F535" s="234"/>
      <c r="G535" s="234"/>
      <c r="H535" s="236"/>
      <c r="I535" s="973">
        <f t="shared" ref="I535:AN535" si="745">I432+I466+I501</f>
        <v>0</v>
      </c>
      <c r="J535" s="847">
        <f t="shared" si="745"/>
        <v>0</v>
      </c>
      <c r="K535" s="847">
        <f t="shared" si="745"/>
        <v>0</v>
      </c>
      <c r="L535" s="847">
        <f t="shared" si="745"/>
        <v>0</v>
      </c>
      <c r="M535" s="973">
        <f t="shared" si="745"/>
        <v>0</v>
      </c>
      <c r="N535" s="973">
        <f t="shared" si="745"/>
        <v>0</v>
      </c>
      <c r="O535" s="847">
        <f t="shared" si="745"/>
        <v>0</v>
      </c>
      <c r="P535" s="847">
        <f t="shared" si="745"/>
        <v>0</v>
      </c>
      <c r="Q535" s="847">
        <f t="shared" si="745"/>
        <v>0</v>
      </c>
      <c r="R535" s="973">
        <f t="shared" si="745"/>
        <v>0</v>
      </c>
      <c r="S535" s="973">
        <f t="shared" si="745"/>
        <v>0</v>
      </c>
      <c r="T535" s="847">
        <f t="shared" si="745"/>
        <v>0</v>
      </c>
      <c r="U535" s="847">
        <f t="shared" si="745"/>
        <v>0</v>
      </c>
      <c r="V535" s="847">
        <f t="shared" si="745"/>
        <v>0</v>
      </c>
      <c r="W535" s="661">
        <f t="shared" si="745"/>
        <v>0</v>
      </c>
      <c r="X535" s="847">
        <f t="shared" si="745"/>
        <v>0</v>
      </c>
      <c r="Y535" s="847">
        <f t="shared" si="745"/>
        <v>0</v>
      </c>
      <c r="Z535" s="847">
        <f t="shared" si="745"/>
        <v>0</v>
      </c>
      <c r="AA535" s="847">
        <f t="shared" si="745"/>
        <v>0</v>
      </c>
      <c r="AB535" s="973">
        <f t="shared" si="745"/>
        <v>0</v>
      </c>
      <c r="AC535" s="973">
        <f t="shared" si="745"/>
        <v>0</v>
      </c>
      <c r="AD535" s="847">
        <f t="shared" si="745"/>
        <v>0</v>
      </c>
      <c r="AE535" s="847">
        <f t="shared" si="745"/>
        <v>0</v>
      </c>
      <c r="AF535" s="847">
        <f t="shared" si="745"/>
        <v>0</v>
      </c>
      <c r="AG535" s="973">
        <f t="shared" si="745"/>
        <v>0</v>
      </c>
      <c r="AH535" s="973">
        <f t="shared" si="745"/>
        <v>0</v>
      </c>
      <c r="AI535" s="847">
        <f t="shared" si="745"/>
        <v>0</v>
      </c>
      <c r="AJ535" s="847">
        <f t="shared" si="745"/>
        <v>0</v>
      </c>
      <c r="AK535" s="847">
        <f t="shared" si="745"/>
        <v>0</v>
      </c>
      <c r="AL535" s="973">
        <f t="shared" si="745"/>
        <v>0</v>
      </c>
      <c r="AM535" s="973">
        <f t="shared" si="745"/>
        <v>0</v>
      </c>
      <c r="AN535" s="847">
        <f t="shared" si="745"/>
        <v>0</v>
      </c>
      <c r="AO535" s="847">
        <f t="shared" ref="AO535:BT535" si="746">AO432+AO466+AO501</f>
        <v>0</v>
      </c>
      <c r="AP535" s="847">
        <f t="shared" si="746"/>
        <v>0</v>
      </c>
      <c r="AQ535" s="973">
        <f t="shared" si="746"/>
        <v>0</v>
      </c>
      <c r="AR535" s="973">
        <f t="shared" si="746"/>
        <v>0</v>
      </c>
      <c r="AS535" s="847">
        <f t="shared" si="746"/>
        <v>0</v>
      </c>
      <c r="AT535" s="847">
        <f t="shared" si="746"/>
        <v>0</v>
      </c>
      <c r="AU535" s="847">
        <f t="shared" si="746"/>
        <v>0</v>
      </c>
      <c r="AV535" s="661">
        <f t="shared" si="746"/>
        <v>0</v>
      </c>
      <c r="AW535" s="847">
        <f t="shared" si="746"/>
        <v>0</v>
      </c>
      <c r="AX535" s="847">
        <f t="shared" si="746"/>
        <v>0</v>
      </c>
      <c r="AY535" s="847">
        <f t="shared" si="746"/>
        <v>0</v>
      </c>
      <c r="AZ535" s="847">
        <f t="shared" si="746"/>
        <v>0</v>
      </c>
      <c r="BA535" s="661">
        <f t="shared" si="746"/>
        <v>0</v>
      </c>
      <c r="BB535" s="847">
        <f t="shared" si="746"/>
        <v>0</v>
      </c>
      <c r="BC535" s="847">
        <f t="shared" si="746"/>
        <v>0</v>
      </c>
      <c r="BD535" s="847">
        <f t="shared" si="746"/>
        <v>0</v>
      </c>
      <c r="BE535" s="847">
        <f t="shared" si="746"/>
        <v>0</v>
      </c>
      <c r="BF535" s="661">
        <f t="shared" si="746"/>
        <v>0</v>
      </c>
      <c r="BG535" s="847">
        <f t="shared" si="746"/>
        <v>0</v>
      </c>
      <c r="BH535" s="847">
        <f t="shared" si="746"/>
        <v>0</v>
      </c>
      <c r="BI535" s="847">
        <f t="shared" si="746"/>
        <v>0</v>
      </c>
      <c r="BJ535" s="847">
        <f t="shared" si="746"/>
        <v>0</v>
      </c>
      <c r="BK535" s="661">
        <f t="shared" si="746"/>
        <v>0</v>
      </c>
      <c r="BL535" s="847">
        <f t="shared" si="746"/>
        <v>0</v>
      </c>
      <c r="BM535" s="847">
        <f t="shared" si="746"/>
        <v>0</v>
      </c>
      <c r="BN535" s="847">
        <f t="shared" si="746"/>
        <v>0</v>
      </c>
      <c r="BO535" s="847">
        <f t="shared" si="746"/>
        <v>0</v>
      </c>
      <c r="BP535" s="661">
        <f t="shared" si="746"/>
        <v>0</v>
      </c>
      <c r="BQ535" s="847">
        <f t="shared" si="746"/>
        <v>0</v>
      </c>
      <c r="BR535" s="847">
        <f t="shared" si="746"/>
        <v>0</v>
      </c>
      <c r="BS535" s="847">
        <f t="shared" si="746"/>
        <v>0</v>
      </c>
      <c r="BT535" s="847">
        <f t="shared" si="746"/>
        <v>0</v>
      </c>
      <c r="BU535" s="661">
        <f t="shared" ref="BU535:CV535" si="747">BU432+BU466+BU501</f>
        <v>0</v>
      </c>
      <c r="BV535" s="847">
        <f t="shared" si="747"/>
        <v>0</v>
      </c>
      <c r="BW535" s="847">
        <f t="shared" si="747"/>
        <v>0</v>
      </c>
      <c r="BX535" s="847">
        <f t="shared" si="747"/>
        <v>0</v>
      </c>
      <c r="BY535" s="847">
        <f t="shared" si="747"/>
        <v>0</v>
      </c>
      <c r="BZ535" s="661">
        <f t="shared" si="747"/>
        <v>0</v>
      </c>
      <c r="CA535" s="847">
        <f t="shared" si="747"/>
        <v>0</v>
      </c>
      <c r="CB535" s="847">
        <f t="shared" si="747"/>
        <v>0</v>
      </c>
      <c r="CC535" s="847">
        <f t="shared" si="747"/>
        <v>0</v>
      </c>
      <c r="CD535" s="847">
        <f t="shared" si="747"/>
        <v>0</v>
      </c>
      <c r="CE535" s="661">
        <f t="shared" si="747"/>
        <v>0</v>
      </c>
      <c r="CF535" s="847">
        <f t="shared" si="747"/>
        <v>0</v>
      </c>
      <c r="CG535" s="847">
        <f t="shared" si="747"/>
        <v>0</v>
      </c>
      <c r="CH535" s="847">
        <f t="shared" si="747"/>
        <v>0</v>
      </c>
      <c r="CI535" s="847">
        <f t="shared" si="747"/>
        <v>0</v>
      </c>
      <c r="CJ535" s="661">
        <f t="shared" si="747"/>
        <v>0</v>
      </c>
      <c r="CK535" s="2350">
        <f t="shared" si="735"/>
        <v>0</v>
      </c>
      <c r="CL535" s="847">
        <f t="shared" si="747"/>
        <v>0</v>
      </c>
      <c r="CM535" s="1261">
        <f t="shared" si="747"/>
        <v>0</v>
      </c>
      <c r="CN535" s="1261">
        <f t="shared" si="747"/>
        <v>0</v>
      </c>
      <c r="CO535" s="661">
        <f t="shared" si="747"/>
        <v>0</v>
      </c>
      <c r="CP535" s="1261">
        <f t="shared" si="727"/>
        <v>0</v>
      </c>
      <c r="CQ535" s="1261">
        <f t="shared" si="727"/>
        <v>0</v>
      </c>
      <c r="CR535" s="1261">
        <f t="shared" si="727"/>
        <v>0</v>
      </c>
      <c r="CS535" s="1261">
        <f t="shared" si="727"/>
        <v>0</v>
      </c>
      <c r="CT535" s="661">
        <f t="shared" si="727"/>
        <v>0</v>
      </c>
      <c r="CU535" s="661">
        <f t="shared" si="747"/>
        <v>0</v>
      </c>
      <c r="CV535" s="661">
        <f t="shared" si="747"/>
        <v>0</v>
      </c>
      <c r="CW535" s="374"/>
      <c r="CX535" s="374"/>
      <c r="CY535" s="374"/>
      <c r="CZ535" s="374"/>
      <c r="DA535" s="374"/>
      <c r="DB535" s="217"/>
    </row>
    <row r="536" spans="1:106" x14ac:dyDescent="0.2">
      <c r="A536" s="1434" t="s">
        <v>383</v>
      </c>
      <c r="B536" s="651"/>
      <c r="C536" s="236"/>
      <c r="D536" s="234"/>
      <c r="E536" s="234"/>
      <c r="F536" s="234"/>
      <c r="G536" s="234"/>
      <c r="H536" s="236"/>
      <c r="I536" s="973">
        <f t="shared" ref="I536:AN536" si="748">I433+I467+I502</f>
        <v>0</v>
      </c>
      <c r="J536" s="847">
        <f t="shared" si="748"/>
        <v>0</v>
      </c>
      <c r="K536" s="847">
        <f t="shared" si="748"/>
        <v>0</v>
      </c>
      <c r="L536" s="847">
        <f t="shared" si="748"/>
        <v>0</v>
      </c>
      <c r="M536" s="973">
        <f t="shared" si="748"/>
        <v>0</v>
      </c>
      <c r="N536" s="973">
        <f t="shared" si="748"/>
        <v>0</v>
      </c>
      <c r="O536" s="847">
        <f t="shared" si="748"/>
        <v>0</v>
      </c>
      <c r="P536" s="847">
        <f t="shared" si="748"/>
        <v>0</v>
      </c>
      <c r="Q536" s="847">
        <f t="shared" si="748"/>
        <v>0</v>
      </c>
      <c r="R536" s="973">
        <f t="shared" si="748"/>
        <v>0</v>
      </c>
      <c r="S536" s="973">
        <f t="shared" si="748"/>
        <v>0</v>
      </c>
      <c r="T536" s="847">
        <f t="shared" si="748"/>
        <v>0</v>
      </c>
      <c r="U536" s="847">
        <f t="shared" si="748"/>
        <v>0</v>
      </c>
      <c r="V536" s="847">
        <f t="shared" si="748"/>
        <v>0</v>
      </c>
      <c r="W536" s="661">
        <f t="shared" si="748"/>
        <v>0</v>
      </c>
      <c r="X536" s="847">
        <f t="shared" si="748"/>
        <v>0</v>
      </c>
      <c r="Y536" s="847">
        <f t="shared" si="748"/>
        <v>0</v>
      </c>
      <c r="Z536" s="847">
        <f t="shared" si="748"/>
        <v>0</v>
      </c>
      <c r="AA536" s="847">
        <f t="shared" si="748"/>
        <v>0</v>
      </c>
      <c r="AB536" s="973">
        <f t="shared" si="748"/>
        <v>0</v>
      </c>
      <c r="AC536" s="973">
        <f t="shared" si="748"/>
        <v>0</v>
      </c>
      <c r="AD536" s="847">
        <f t="shared" si="748"/>
        <v>0</v>
      </c>
      <c r="AE536" s="847">
        <f t="shared" si="748"/>
        <v>0</v>
      </c>
      <c r="AF536" s="847">
        <f t="shared" si="748"/>
        <v>0</v>
      </c>
      <c r="AG536" s="973">
        <f t="shared" si="748"/>
        <v>0</v>
      </c>
      <c r="AH536" s="973">
        <f t="shared" si="748"/>
        <v>0</v>
      </c>
      <c r="AI536" s="847">
        <f t="shared" si="748"/>
        <v>0</v>
      </c>
      <c r="AJ536" s="847">
        <f t="shared" si="748"/>
        <v>0</v>
      </c>
      <c r="AK536" s="847">
        <f t="shared" si="748"/>
        <v>0</v>
      </c>
      <c r="AL536" s="973">
        <f t="shared" si="748"/>
        <v>0</v>
      </c>
      <c r="AM536" s="973">
        <f t="shared" si="748"/>
        <v>0</v>
      </c>
      <c r="AN536" s="847">
        <f t="shared" si="748"/>
        <v>0</v>
      </c>
      <c r="AO536" s="847">
        <f t="shared" ref="AO536:BT536" si="749">AO433+AO467+AO502</f>
        <v>0</v>
      </c>
      <c r="AP536" s="847">
        <f t="shared" si="749"/>
        <v>0</v>
      </c>
      <c r="AQ536" s="973">
        <f t="shared" si="749"/>
        <v>0</v>
      </c>
      <c r="AR536" s="973">
        <f t="shared" si="749"/>
        <v>0</v>
      </c>
      <c r="AS536" s="847">
        <f t="shared" si="749"/>
        <v>0</v>
      </c>
      <c r="AT536" s="847">
        <f t="shared" si="749"/>
        <v>0</v>
      </c>
      <c r="AU536" s="847">
        <f t="shared" si="749"/>
        <v>0</v>
      </c>
      <c r="AV536" s="661">
        <f t="shared" si="749"/>
        <v>0</v>
      </c>
      <c r="AW536" s="847">
        <f t="shared" si="749"/>
        <v>0</v>
      </c>
      <c r="AX536" s="847">
        <f t="shared" si="749"/>
        <v>0</v>
      </c>
      <c r="AY536" s="847">
        <f t="shared" si="749"/>
        <v>0</v>
      </c>
      <c r="AZ536" s="847">
        <f t="shared" si="749"/>
        <v>0</v>
      </c>
      <c r="BA536" s="661">
        <f t="shared" si="749"/>
        <v>0</v>
      </c>
      <c r="BB536" s="847">
        <f t="shared" si="749"/>
        <v>0</v>
      </c>
      <c r="BC536" s="847">
        <f t="shared" si="749"/>
        <v>0</v>
      </c>
      <c r="BD536" s="847">
        <f t="shared" si="749"/>
        <v>0</v>
      </c>
      <c r="BE536" s="847">
        <f t="shared" si="749"/>
        <v>353</v>
      </c>
      <c r="BF536" s="661">
        <f t="shared" si="749"/>
        <v>353</v>
      </c>
      <c r="BG536" s="847">
        <f t="shared" si="749"/>
        <v>353</v>
      </c>
      <c r="BH536" s="847">
        <f t="shared" si="749"/>
        <v>353</v>
      </c>
      <c r="BI536" s="847">
        <f t="shared" si="749"/>
        <v>0</v>
      </c>
      <c r="BJ536" s="847">
        <f t="shared" si="749"/>
        <v>0</v>
      </c>
      <c r="BK536" s="661">
        <f t="shared" si="749"/>
        <v>0</v>
      </c>
      <c r="BL536" s="847">
        <f t="shared" si="749"/>
        <v>0</v>
      </c>
      <c r="BM536" s="847">
        <f t="shared" si="749"/>
        <v>0</v>
      </c>
      <c r="BN536" s="847">
        <f t="shared" si="749"/>
        <v>0</v>
      </c>
      <c r="BO536" s="847">
        <f t="shared" si="749"/>
        <v>0</v>
      </c>
      <c r="BP536" s="661">
        <f t="shared" si="749"/>
        <v>0</v>
      </c>
      <c r="BQ536" s="847">
        <f t="shared" si="749"/>
        <v>0</v>
      </c>
      <c r="BR536" s="847">
        <f t="shared" si="749"/>
        <v>0</v>
      </c>
      <c r="BS536" s="847">
        <f t="shared" si="749"/>
        <v>0</v>
      </c>
      <c r="BT536" s="847">
        <f t="shared" si="749"/>
        <v>0</v>
      </c>
      <c r="BU536" s="661">
        <f t="shared" ref="BU536:CV536" si="750">BU433+BU467+BU502</f>
        <v>0</v>
      </c>
      <c r="BV536" s="847">
        <f t="shared" si="750"/>
        <v>0</v>
      </c>
      <c r="BW536" s="847">
        <f t="shared" si="750"/>
        <v>0</v>
      </c>
      <c r="BX536" s="847">
        <f t="shared" si="750"/>
        <v>0</v>
      </c>
      <c r="BY536" s="847">
        <f t="shared" si="750"/>
        <v>295</v>
      </c>
      <c r="BZ536" s="661">
        <f t="shared" si="750"/>
        <v>295</v>
      </c>
      <c r="CA536" s="847">
        <f t="shared" si="750"/>
        <v>295</v>
      </c>
      <c r="CB536" s="847">
        <f t="shared" si="750"/>
        <v>568</v>
      </c>
      <c r="CC536" s="847">
        <f t="shared" si="750"/>
        <v>568</v>
      </c>
      <c r="CD536" s="847">
        <f t="shared" si="750"/>
        <v>568</v>
      </c>
      <c r="CE536" s="661">
        <f t="shared" si="750"/>
        <v>568</v>
      </c>
      <c r="CF536" s="847">
        <f t="shared" si="750"/>
        <v>568</v>
      </c>
      <c r="CG536" s="847">
        <f t="shared" si="750"/>
        <v>567</v>
      </c>
      <c r="CH536" s="847">
        <f t="shared" si="750"/>
        <v>567</v>
      </c>
      <c r="CI536" s="847">
        <f t="shared" si="750"/>
        <v>567</v>
      </c>
      <c r="CJ536" s="661">
        <f t="shared" si="750"/>
        <v>567</v>
      </c>
      <c r="CK536" s="2350">
        <f t="shared" si="735"/>
        <v>567</v>
      </c>
      <c r="CL536" s="847">
        <f t="shared" si="750"/>
        <v>567</v>
      </c>
      <c r="CM536" s="1261">
        <f t="shared" si="750"/>
        <v>567</v>
      </c>
      <c r="CN536" s="1261">
        <f t="shared" si="750"/>
        <v>567</v>
      </c>
      <c r="CO536" s="661">
        <f t="shared" si="750"/>
        <v>567</v>
      </c>
      <c r="CP536" s="1261">
        <f t="shared" si="727"/>
        <v>606.69000000000005</v>
      </c>
      <c r="CQ536" s="1261">
        <f t="shared" si="727"/>
        <v>606.69000000000005</v>
      </c>
      <c r="CR536" s="1261">
        <f t="shared" si="727"/>
        <v>606.69000000000005</v>
      </c>
      <c r="CS536" s="1261">
        <f t="shared" si="727"/>
        <v>606.69000000000005</v>
      </c>
      <c r="CT536" s="661">
        <f t="shared" si="727"/>
        <v>606.69000000000005</v>
      </c>
      <c r="CU536" s="661">
        <f t="shared" si="750"/>
        <v>618.82380000000012</v>
      </c>
      <c r="CV536" s="661">
        <f t="shared" si="750"/>
        <v>618.82380000000012</v>
      </c>
      <c r="CW536" s="374"/>
      <c r="CX536" s="374"/>
      <c r="CY536" s="374"/>
      <c r="CZ536" s="374"/>
      <c r="DA536" s="374"/>
      <c r="DB536" s="217"/>
    </row>
    <row r="537" spans="1:106" x14ac:dyDescent="0.2">
      <c r="A537" s="1434" t="s">
        <v>656</v>
      </c>
      <c r="B537" s="651"/>
      <c r="C537" s="236"/>
      <c r="D537" s="234"/>
      <c r="E537" s="234"/>
      <c r="F537" s="234"/>
      <c r="G537" s="234"/>
      <c r="H537" s="236"/>
      <c r="I537" s="973">
        <f t="shared" ref="I537:AN537" si="751">I434+I468+I503</f>
        <v>0</v>
      </c>
      <c r="J537" s="847">
        <f t="shared" si="751"/>
        <v>0</v>
      </c>
      <c r="K537" s="847">
        <f t="shared" si="751"/>
        <v>0</v>
      </c>
      <c r="L537" s="847">
        <f t="shared" si="751"/>
        <v>0</v>
      </c>
      <c r="M537" s="973">
        <f t="shared" si="751"/>
        <v>0</v>
      </c>
      <c r="N537" s="973">
        <f t="shared" si="751"/>
        <v>0</v>
      </c>
      <c r="O537" s="847">
        <f t="shared" si="751"/>
        <v>0</v>
      </c>
      <c r="P537" s="847">
        <f t="shared" si="751"/>
        <v>0</v>
      </c>
      <c r="Q537" s="847">
        <f t="shared" si="751"/>
        <v>0</v>
      </c>
      <c r="R537" s="973">
        <f t="shared" si="751"/>
        <v>0</v>
      </c>
      <c r="S537" s="973">
        <f t="shared" si="751"/>
        <v>0</v>
      </c>
      <c r="T537" s="847">
        <f t="shared" si="751"/>
        <v>0</v>
      </c>
      <c r="U537" s="847">
        <f t="shared" si="751"/>
        <v>0</v>
      </c>
      <c r="V537" s="847">
        <f t="shared" si="751"/>
        <v>0</v>
      </c>
      <c r="W537" s="973">
        <f t="shared" si="751"/>
        <v>0</v>
      </c>
      <c r="X537" s="973">
        <f t="shared" si="751"/>
        <v>0</v>
      </c>
      <c r="Y537" s="847">
        <f t="shared" si="751"/>
        <v>0</v>
      </c>
      <c r="Z537" s="847">
        <f t="shared" si="751"/>
        <v>0</v>
      </c>
      <c r="AA537" s="847">
        <f t="shared" si="751"/>
        <v>0</v>
      </c>
      <c r="AB537" s="973">
        <f t="shared" si="751"/>
        <v>0</v>
      </c>
      <c r="AC537" s="973">
        <f t="shared" si="751"/>
        <v>0</v>
      </c>
      <c r="AD537" s="847">
        <f t="shared" si="751"/>
        <v>0</v>
      </c>
      <c r="AE537" s="847">
        <f t="shared" si="751"/>
        <v>0</v>
      </c>
      <c r="AF537" s="847">
        <f t="shared" si="751"/>
        <v>0</v>
      </c>
      <c r="AG537" s="973">
        <f t="shared" si="751"/>
        <v>0</v>
      </c>
      <c r="AH537" s="973">
        <f t="shared" si="751"/>
        <v>0</v>
      </c>
      <c r="AI537" s="847">
        <f t="shared" si="751"/>
        <v>0</v>
      </c>
      <c r="AJ537" s="847">
        <f t="shared" si="751"/>
        <v>0</v>
      </c>
      <c r="AK537" s="847">
        <f t="shared" si="751"/>
        <v>0</v>
      </c>
      <c r="AL537" s="973">
        <f t="shared" si="751"/>
        <v>0</v>
      </c>
      <c r="AM537" s="973">
        <f t="shared" si="751"/>
        <v>0</v>
      </c>
      <c r="AN537" s="847">
        <f t="shared" si="751"/>
        <v>0</v>
      </c>
      <c r="AO537" s="847">
        <f t="shared" ref="AO537:BT537" si="752">AO434+AO468+AO503</f>
        <v>0</v>
      </c>
      <c r="AP537" s="847">
        <f t="shared" si="752"/>
        <v>0</v>
      </c>
      <c r="AQ537" s="973">
        <f t="shared" si="752"/>
        <v>0</v>
      </c>
      <c r="AR537" s="973">
        <f t="shared" si="752"/>
        <v>0</v>
      </c>
      <c r="AS537" s="847">
        <f t="shared" si="752"/>
        <v>0</v>
      </c>
      <c r="AT537" s="847">
        <f t="shared" si="752"/>
        <v>0</v>
      </c>
      <c r="AU537" s="847">
        <f t="shared" si="752"/>
        <v>0</v>
      </c>
      <c r="AV537" s="973">
        <f t="shared" si="752"/>
        <v>0</v>
      </c>
      <c r="AW537" s="973">
        <f t="shared" si="752"/>
        <v>0</v>
      </c>
      <c r="AX537" s="847">
        <f t="shared" si="752"/>
        <v>0</v>
      </c>
      <c r="AY537" s="847">
        <f t="shared" si="752"/>
        <v>0</v>
      </c>
      <c r="AZ537" s="847">
        <f t="shared" si="752"/>
        <v>0</v>
      </c>
      <c r="BA537" s="661">
        <f t="shared" si="752"/>
        <v>0</v>
      </c>
      <c r="BB537" s="847">
        <f t="shared" si="752"/>
        <v>0</v>
      </c>
      <c r="BC537" s="847">
        <f t="shared" si="752"/>
        <v>0</v>
      </c>
      <c r="BD537" s="847">
        <f t="shared" si="752"/>
        <v>0</v>
      </c>
      <c r="BE537" s="847">
        <f t="shared" si="752"/>
        <v>0</v>
      </c>
      <c r="BF537" s="973">
        <f t="shared" si="752"/>
        <v>0</v>
      </c>
      <c r="BG537" s="973">
        <f t="shared" si="752"/>
        <v>0</v>
      </c>
      <c r="BH537" s="847">
        <f t="shared" si="752"/>
        <v>0</v>
      </c>
      <c r="BI537" s="847">
        <f t="shared" si="752"/>
        <v>0</v>
      </c>
      <c r="BJ537" s="847">
        <f t="shared" si="752"/>
        <v>0</v>
      </c>
      <c r="BK537" s="661">
        <f t="shared" si="752"/>
        <v>0</v>
      </c>
      <c r="BL537" s="847">
        <f t="shared" si="752"/>
        <v>0</v>
      </c>
      <c r="BM537" s="847">
        <f t="shared" si="752"/>
        <v>0</v>
      </c>
      <c r="BN537" s="847">
        <f t="shared" si="752"/>
        <v>0</v>
      </c>
      <c r="BO537" s="847">
        <f t="shared" si="752"/>
        <v>0</v>
      </c>
      <c r="BP537" s="661">
        <f t="shared" si="752"/>
        <v>0</v>
      </c>
      <c r="BQ537" s="847">
        <f t="shared" si="752"/>
        <v>0</v>
      </c>
      <c r="BR537" s="847">
        <f t="shared" si="752"/>
        <v>0</v>
      </c>
      <c r="BS537" s="847">
        <f t="shared" si="752"/>
        <v>0</v>
      </c>
      <c r="BT537" s="847">
        <f t="shared" si="752"/>
        <v>0</v>
      </c>
      <c r="BU537" s="661">
        <f t="shared" ref="BU537:CV537" si="753">BU434+BU468+BU503</f>
        <v>0</v>
      </c>
      <c r="BV537" s="847">
        <f t="shared" si="753"/>
        <v>0</v>
      </c>
      <c r="BW537" s="847">
        <f t="shared" si="753"/>
        <v>0</v>
      </c>
      <c r="BX537" s="847">
        <f t="shared" si="753"/>
        <v>0</v>
      </c>
      <c r="BY537" s="847">
        <f t="shared" si="753"/>
        <v>0</v>
      </c>
      <c r="BZ537" s="661">
        <f t="shared" si="753"/>
        <v>0</v>
      </c>
      <c r="CA537" s="847">
        <f t="shared" si="753"/>
        <v>0</v>
      </c>
      <c r="CB537" s="847">
        <f t="shared" si="753"/>
        <v>0</v>
      </c>
      <c r="CC537" s="847">
        <f t="shared" si="753"/>
        <v>0</v>
      </c>
      <c r="CD537" s="847">
        <f t="shared" si="753"/>
        <v>0</v>
      </c>
      <c r="CE537" s="661">
        <f t="shared" si="753"/>
        <v>0</v>
      </c>
      <c r="CF537" s="847">
        <f t="shared" si="753"/>
        <v>0</v>
      </c>
      <c r="CG537" s="847">
        <f t="shared" si="753"/>
        <v>0</v>
      </c>
      <c r="CH537" s="847">
        <f t="shared" si="753"/>
        <v>0</v>
      </c>
      <c r="CI537" s="847">
        <f t="shared" si="753"/>
        <v>0</v>
      </c>
      <c r="CJ537" s="661">
        <f t="shared" si="753"/>
        <v>0</v>
      </c>
      <c r="CK537" s="2350">
        <f t="shared" si="735"/>
        <v>0</v>
      </c>
      <c r="CL537" s="847">
        <f t="shared" si="753"/>
        <v>0</v>
      </c>
      <c r="CM537" s="1261">
        <f t="shared" si="753"/>
        <v>0</v>
      </c>
      <c r="CN537" s="1261">
        <f t="shared" si="753"/>
        <v>0</v>
      </c>
      <c r="CO537" s="661">
        <f t="shared" si="753"/>
        <v>0</v>
      </c>
      <c r="CP537" s="1261">
        <f t="shared" si="727"/>
        <v>0</v>
      </c>
      <c r="CQ537" s="1261">
        <f t="shared" si="727"/>
        <v>0</v>
      </c>
      <c r="CR537" s="1261">
        <f t="shared" si="727"/>
        <v>0</v>
      </c>
      <c r="CS537" s="1261">
        <f t="shared" si="727"/>
        <v>0</v>
      </c>
      <c r="CT537" s="661">
        <f t="shared" si="727"/>
        <v>0</v>
      </c>
      <c r="CU537" s="661">
        <f t="shared" si="753"/>
        <v>0</v>
      </c>
      <c r="CV537" s="661">
        <f t="shared" si="753"/>
        <v>0</v>
      </c>
      <c r="CW537" s="374"/>
      <c r="CX537" s="374"/>
      <c r="CY537" s="374"/>
      <c r="CZ537" s="374"/>
      <c r="DA537" s="374"/>
      <c r="DB537" s="217"/>
    </row>
    <row r="538" spans="1:106" x14ac:dyDescent="0.2">
      <c r="A538" s="1434" t="s">
        <v>1386</v>
      </c>
      <c r="B538" s="651"/>
      <c r="C538" s="236"/>
      <c r="D538" s="234"/>
      <c r="E538" s="234"/>
      <c r="F538" s="234"/>
      <c r="G538" s="234"/>
      <c r="H538" s="236"/>
      <c r="I538" s="973">
        <f t="shared" ref="I538:AN538" si="754">I435+I469+I504</f>
        <v>67821</v>
      </c>
      <c r="J538" s="847">
        <f t="shared" si="754"/>
        <v>68823</v>
      </c>
      <c r="K538" s="847">
        <f t="shared" si="754"/>
        <v>69246</v>
      </c>
      <c r="L538" s="847">
        <f t="shared" si="754"/>
        <v>71035</v>
      </c>
      <c r="M538" s="973">
        <f t="shared" si="754"/>
        <v>71035</v>
      </c>
      <c r="N538" s="973">
        <f t="shared" si="754"/>
        <v>72721</v>
      </c>
      <c r="O538" s="847">
        <f t="shared" si="754"/>
        <v>73678</v>
      </c>
      <c r="P538" s="847">
        <f t="shared" si="754"/>
        <v>74407</v>
      </c>
      <c r="Q538" s="847">
        <f t="shared" si="754"/>
        <v>75905</v>
      </c>
      <c r="R538" s="973">
        <f t="shared" si="754"/>
        <v>75905</v>
      </c>
      <c r="S538" s="973">
        <f t="shared" si="754"/>
        <v>76641</v>
      </c>
      <c r="T538" s="847">
        <f t="shared" si="754"/>
        <v>77497</v>
      </c>
      <c r="U538" s="847">
        <f t="shared" si="754"/>
        <v>78356</v>
      </c>
      <c r="V538" s="847">
        <f t="shared" si="754"/>
        <v>78836</v>
      </c>
      <c r="W538" s="973">
        <f t="shared" si="754"/>
        <v>78836</v>
      </c>
      <c r="X538" s="973">
        <f t="shared" si="754"/>
        <v>80808</v>
      </c>
      <c r="Y538" s="847">
        <f t="shared" si="754"/>
        <v>81725</v>
      </c>
      <c r="Z538" s="847">
        <f t="shared" si="754"/>
        <v>82378</v>
      </c>
      <c r="AA538" s="847">
        <f t="shared" si="754"/>
        <v>83285</v>
      </c>
      <c r="AB538" s="973">
        <f t="shared" si="754"/>
        <v>83285</v>
      </c>
      <c r="AC538" s="973">
        <f t="shared" si="754"/>
        <v>84388</v>
      </c>
      <c r="AD538" s="847">
        <f t="shared" si="754"/>
        <v>84926</v>
      </c>
      <c r="AE538" s="847">
        <f t="shared" si="754"/>
        <v>86377</v>
      </c>
      <c r="AF538" s="847">
        <f t="shared" si="754"/>
        <v>87539</v>
      </c>
      <c r="AG538" s="973">
        <f t="shared" si="754"/>
        <v>87539</v>
      </c>
      <c r="AH538" s="973">
        <f t="shared" si="754"/>
        <v>88180</v>
      </c>
      <c r="AI538" s="847">
        <f t="shared" si="754"/>
        <v>89078</v>
      </c>
      <c r="AJ538" s="847">
        <f t="shared" si="754"/>
        <v>90166</v>
      </c>
      <c r="AK538" s="847">
        <f t="shared" si="754"/>
        <v>91226</v>
      </c>
      <c r="AL538" s="973">
        <f t="shared" si="754"/>
        <v>91226</v>
      </c>
      <c r="AM538" s="973">
        <f t="shared" si="754"/>
        <v>92219</v>
      </c>
      <c r="AN538" s="847">
        <f t="shared" si="754"/>
        <v>93328</v>
      </c>
      <c r="AO538" s="847">
        <f t="shared" ref="AO538:BT538" si="755">AO435+AO469+AO504</f>
        <v>94830</v>
      </c>
      <c r="AP538" s="847">
        <f t="shared" si="755"/>
        <v>96759</v>
      </c>
      <c r="AQ538" s="973">
        <f t="shared" si="755"/>
        <v>96759</v>
      </c>
      <c r="AR538" s="973">
        <f t="shared" si="755"/>
        <v>97141</v>
      </c>
      <c r="AS538" s="847">
        <f t="shared" si="755"/>
        <v>98901</v>
      </c>
      <c r="AT538" s="847">
        <f t="shared" si="755"/>
        <v>99676</v>
      </c>
      <c r="AU538" s="847">
        <f t="shared" si="755"/>
        <v>101743</v>
      </c>
      <c r="AV538" s="973">
        <f t="shared" si="755"/>
        <v>101743</v>
      </c>
      <c r="AW538" s="973">
        <f t="shared" si="755"/>
        <v>103042</v>
      </c>
      <c r="AX538" s="847">
        <f t="shared" si="755"/>
        <v>104657</v>
      </c>
      <c r="AY538" s="847">
        <f t="shared" si="755"/>
        <v>106835</v>
      </c>
      <c r="AZ538" s="847">
        <f t="shared" si="755"/>
        <v>107640</v>
      </c>
      <c r="BA538" s="661">
        <f t="shared" si="755"/>
        <v>107640</v>
      </c>
      <c r="BB538" s="847">
        <f t="shared" si="755"/>
        <v>108858</v>
      </c>
      <c r="BC538" s="847">
        <f t="shared" si="755"/>
        <v>109649</v>
      </c>
      <c r="BD538" s="847">
        <f t="shared" si="755"/>
        <v>110325</v>
      </c>
      <c r="BE538" s="847">
        <f t="shared" si="755"/>
        <v>111634</v>
      </c>
      <c r="BF538" s="973">
        <f t="shared" si="755"/>
        <v>111634</v>
      </c>
      <c r="BG538" s="973">
        <f t="shared" si="755"/>
        <v>112041</v>
      </c>
      <c r="BH538" s="847">
        <f t="shared" si="755"/>
        <v>112439</v>
      </c>
      <c r="BI538" s="847">
        <f t="shared" si="755"/>
        <v>112578</v>
      </c>
      <c r="BJ538" s="847">
        <f t="shared" si="755"/>
        <v>113413</v>
      </c>
      <c r="BK538" s="661">
        <f t="shared" si="755"/>
        <v>113413</v>
      </c>
      <c r="BL538" s="847">
        <f t="shared" si="755"/>
        <v>113692</v>
      </c>
      <c r="BM538" s="847">
        <f t="shared" si="755"/>
        <v>113743</v>
      </c>
      <c r="BN538" s="847">
        <f t="shared" si="755"/>
        <v>114173</v>
      </c>
      <c r="BO538" s="847">
        <f t="shared" si="755"/>
        <v>114948</v>
      </c>
      <c r="BP538" s="661">
        <f t="shared" si="755"/>
        <v>114948</v>
      </c>
      <c r="BQ538" s="847">
        <f t="shared" si="755"/>
        <v>115095</v>
      </c>
      <c r="BR538" s="847">
        <f t="shared" si="755"/>
        <v>115733</v>
      </c>
      <c r="BS538" s="847">
        <f t="shared" si="755"/>
        <v>116549</v>
      </c>
      <c r="BT538" s="847">
        <f t="shared" si="755"/>
        <v>117693</v>
      </c>
      <c r="BU538" s="661">
        <f t="shared" ref="BU538:CV538" si="756">BU435+BU469+BU504</f>
        <v>117693</v>
      </c>
      <c r="BV538" s="847">
        <f t="shared" si="756"/>
        <v>118118</v>
      </c>
      <c r="BW538" s="847">
        <f t="shared" si="756"/>
        <v>119072</v>
      </c>
      <c r="BX538" s="847">
        <f t="shared" si="756"/>
        <v>120589</v>
      </c>
      <c r="BY538" s="847">
        <f t="shared" si="756"/>
        <v>120894</v>
      </c>
      <c r="BZ538" s="661">
        <f t="shared" si="756"/>
        <v>120894</v>
      </c>
      <c r="CA538" s="847">
        <f t="shared" si="756"/>
        <v>125848</v>
      </c>
      <c r="CB538" s="847">
        <f t="shared" si="756"/>
        <v>126409</v>
      </c>
      <c r="CC538" s="847">
        <f t="shared" si="756"/>
        <v>127952</v>
      </c>
      <c r="CD538" s="847">
        <f t="shared" si="756"/>
        <v>129041</v>
      </c>
      <c r="CE538" s="661">
        <f t="shared" si="756"/>
        <v>129041</v>
      </c>
      <c r="CF538" s="847">
        <f t="shared" si="756"/>
        <v>130078</v>
      </c>
      <c r="CG538" s="847">
        <f t="shared" si="756"/>
        <v>131647</v>
      </c>
      <c r="CH538" s="847">
        <f t="shared" si="756"/>
        <v>133423</v>
      </c>
      <c r="CI538" s="847">
        <f t="shared" si="756"/>
        <v>135196</v>
      </c>
      <c r="CJ538" s="661">
        <f t="shared" si="756"/>
        <v>135196</v>
      </c>
      <c r="CK538" s="2350">
        <f t="shared" si="735"/>
        <v>136567</v>
      </c>
      <c r="CL538" s="847">
        <f t="shared" si="756"/>
        <v>137425</v>
      </c>
      <c r="CM538" s="1261">
        <f t="shared" si="756"/>
        <v>138353</v>
      </c>
      <c r="CN538" s="1261">
        <f t="shared" si="756"/>
        <v>139326</v>
      </c>
      <c r="CO538" s="661">
        <f t="shared" si="756"/>
        <v>139326</v>
      </c>
      <c r="CP538" s="1261">
        <f t="shared" si="727"/>
        <v>144815.46000000002</v>
      </c>
      <c r="CQ538" s="1261">
        <f t="shared" si="727"/>
        <v>145749.42000000001</v>
      </c>
      <c r="CR538" s="1261">
        <f t="shared" si="727"/>
        <v>146770.38</v>
      </c>
      <c r="CS538" s="1261">
        <f t="shared" si="727"/>
        <v>147935.94</v>
      </c>
      <c r="CT538" s="661">
        <f t="shared" si="727"/>
        <v>147935.94</v>
      </c>
      <c r="CU538" s="661">
        <f t="shared" si="756"/>
        <v>158034.33870000002</v>
      </c>
      <c r="CV538" s="661">
        <f t="shared" si="756"/>
        <v>163414.18937400001</v>
      </c>
      <c r="CW538" s="374"/>
      <c r="CX538" s="374"/>
      <c r="CY538" s="374"/>
      <c r="CZ538" s="374"/>
      <c r="DA538" s="374"/>
      <c r="DB538" s="217"/>
    </row>
    <row r="539" spans="1:106" x14ac:dyDescent="0.2">
      <c r="A539" s="1436" t="s">
        <v>47</v>
      </c>
      <c r="B539" s="651"/>
      <c r="C539" s="236"/>
      <c r="D539" s="234"/>
      <c r="E539" s="234"/>
      <c r="F539" s="234"/>
      <c r="G539" s="234"/>
      <c r="H539" s="236"/>
      <c r="I539" s="973">
        <f t="shared" ref="I539:AN539" si="757">I436+I470+I505</f>
        <v>0</v>
      </c>
      <c r="J539" s="847">
        <f t="shared" si="757"/>
        <v>0</v>
      </c>
      <c r="K539" s="847">
        <f t="shared" si="757"/>
        <v>0</v>
      </c>
      <c r="L539" s="847">
        <f t="shared" si="757"/>
        <v>0</v>
      </c>
      <c r="M539" s="973">
        <f t="shared" si="757"/>
        <v>0</v>
      </c>
      <c r="N539" s="973">
        <f t="shared" si="757"/>
        <v>0</v>
      </c>
      <c r="O539" s="847">
        <f t="shared" si="757"/>
        <v>0</v>
      </c>
      <c r="P539" s="847">
        <f t="shared" si="757"/>
        <v>0</v>
      </c>
      <c r="Q539" s="847">
        <f t="shared" si="757"/>
        <v>0</v>
      </c>
      <c r="R539" s="973">
        <f t="shared" si="757"/>
        <v>0</v>
      </c>
      <c r="S539" s="973">
        <f t="shared" si="757"/>
        <v>0</v>
      </c>
      <c r="T539" s="847">
        <f t="shared" si="757"/>
        <v>0</v>
      </c>
      <c r="U539" s="847">
        <f t="shared" si="757"/>
        <v>0</v>
      </c>
      <c r="V539" s="847">
        <f t="shared" si="757"/>
        <v>0</v>
      </c>
      <c r="W539" s="973">
        <f t="shared" si="757"/>
        <v>0</v>
      </c>
      <c r="X539" s="973">
        <f t="shared" si="757"/>
        <v>0</v>
      </c>
      <c r="Y539" s="847">
        <f t="shared" si="757"/>
        <v>0</v>
      </c>
      <c r="Z539" s="847">
        <f t="shared" si="757"/>
        <v>0</v>
      </c>
      <c r="AA539" s="847">
        <f t="shared" si="757"/>
        <v>0</v>
      </c>
      <c r="AB539" s="973">
        <f t="shared" si="757"/>
        <v>0</v>
      </c>
      <c r="AC539" s="973">
        <f t="shared" si="757"/>
        <v>0</v>
      </c>
      <c r="AD539" s="847">
        <f t="shared" si="757"/>
        <v>0</v>
      </c>
      <c r="AE539" s="847">
        <f t="shared" si="757"/>
        <v>0</v>
      </c>
      <c r="AF539" s="847">
        <f t="shared" si="757"/>
        <v>0</v>
      </c>
      <c r="AG539" s="973">
        <f t="shared" si="757"/>
        <v>0</v>
      </c>
      <c r="AH539" s="973">
        <f t="shared" si="757"/>
        <v>0</v>
      </c>
      <c r="AI539" s="847">
        <f t="shared" si="757"/>
        <v>0</v>
      </c>
      <c r="AJ539" s="847">
        <f t="shared" si="757"/>
        <v>0</v>
      </c>
      <c r="AK539" s="847">
        <f t="shared" si="757"/>
        <v>0</v>
      </c>
      <c r="AL539" s="973">
        <f t="shared" si="757"/>
        <v>0</v>
      </c>
      <c r="AM539" s="973">
        <f t="shared" si="757"/>
        <v>0</v>
      </c>
      <c r="AN539" s="847">
        <f t="shared" si="757"/>
        <v>0</v>
      </c>
      <c r="AO539" s="847">
        <f t="shared" ref="AO539:BT539" si="758">AO436+AO470+AO505</f>
        <v>0</v>
      </c>
      <c r="AP539" s="847">
        <f t="shared" si="758"/>
        <v>0</v>
      </c>
      <c r="AQ539" s="973">
        <f t="shared" si="758"/>
        <v>0</v>
      </c>
      <c r="AR539" s="973">
        <f t="shared" si="758"/>
        <v>0</v>
      </c>
      <c r="AS539" s="847">
        <f t="shared" si="758"/>
        <v>0</v>
      </c>
      <c r="AT539" s="847">
        <f t="shared" si="758"/>
        <v>0</v>
      </c>
      <c r="AU539" s="847">
        <f t="shared" si="758"/>
        <v>0</v>
      </c>
      <c r="AV539" s="973">
        <f t="shared" si="758"/>
        <v>0</v>
      </c>
      <c r="AW539" s="973">
        <f t="shared" si="758"/>
        <v>0</v>
      </c>
      <c r="AX539" s="847">
        <f t="shared" si="758"/>
        <v>0</v>
      </c>
      <c r="AY539" s="847">
        <f t="shared" si="758"/>
        <v>0</v>
      </c>
      <c r="AZ539" s="847">
        <f t="shared" si="758"/>
        <v>0</v>
      </c>
      <c r="BA539" s="661">
        <f t="shared" si="758"/>
        <v>0</v>
      </c>
      <c r="BB539" s="847">
        <f t="shared" si="758"/>
        <v>0</v>
      </c>
      <c r="BC539" s="847">
        <f t="shared" si="758"/>
        <v>0</v>
      </c>
      <c r="BD539" s="847">
        <f t="shared" si="758"/>
        <v>0</v>
      </c>
      <c r="BE539" s="847">
        <f t="shared" si="758"/>
        <v>0</v>
      </c>
      <c r="BF539" s="973">
        <f t="shared" si="758"/>
        <v>0</v>
      </c>
      <c r="BG539" s="973">
        <f t="shared" si="758"/>
        <v>0</v>
      </c>
      <c r="BH539" s="847">
        <f t="shared" si="758"/>
        <v>0</v>
      </c>
      <c r="BI539" s="847">
        <f t="shared" si="758"/>
        <v>0</v>
      </c>
      <c r="BJ539" s="847">
        <f t="shared" si="758"/>
        <v>0</v>
      </c>
      <c r="BK539" s="661">
        <f t="shared" si="758"/>
        <v>0</v>
      </c>
      <c r="BL539" s="847">
        <f t="shared" si="758"/>
        <v>0</v>
      </c>
      <c r="BM539" s="847">
        <f t="shared" si="758"/>
        <v>0</v>
      </c>
      <c r="BN539" s="847">
        <f t="shared" si="758"/>
        <v>0</v>
      </c>
      <c r="BO539" s="847">
        <f t="shared" si="758"/>
        <v>0</v>
      </c>
      <c r="BP539" s="661">
        <f t="shared" si="758"/>
        <v>0</v>
      </c>
      <c r="BQ539" s="847">
        <f t="shared" si="758"/>
        <v>0</v>
      </c>
      <c r="BR539" s="847">
        <f t="shared" si="758"/>
        <v>0</v>
      </c>
      <c r="BS539" s="847">
        <f t="shared" si="758"/>
        <v>0</v>
      </c>
      <c r="BT539" s="847">
        <f t="shared" si="758"/>
        <v>0</v>
      </c>
      <c r="BU539" s="661">
        <f t="shared" ref="BU539:CV539" si="759">BU436+BU470+BU505</f>
        <v>0</v>
      </c>
      <c r="BV539" s="847">
        <f t="shared" si="759"/>
        <v>0</v>
      </c>
      <c r="BW539" s="847">
        <f t="shared" si="759"/>
        <v>0</v>
      </c>
      <c r="BX539" s="847">
        <f t="shared" si="759"/>
        <v>0</v>
      </c>
      <c r="BY539" s="847">
        <f t="shared" si="759"/>
        <v>0</v>
      </c>
      <c r="BZ539" s="661">
        <f t="shared" si="759"/>
        <v>0</v>
      </c>
      <c r="CA539" s="847">
        <f t="shared" si="759"/>
        <v>0</v>
      </c>
      <c r="CB539" s="847">
        <f t="shared" si="759"/>
        <v>0</v>
      </c>
      <c r="CC539" s="847">
        <f t="shared" si="759"/>
        <v>0</v>
      </c>
      <c r="CD539" s="847">
        <f t="shared" si="759"/>
        <v>0</v>
      </c>
      <c r="CE539" s="661">
        <f t="shared" si="759"/>
        <v>0</v>
      </c>
      <c r="CF539" s="847">
        <f t="shared" si="759"/>
        <v>0</v>
      </c>
      <c r="CG539" s="847">
        <f t="shared" si="759"/>
        <v>0</v>
      </c>
      <c r="CH539" s="847">
        <f t="shared" si="759"/>
        <v>0</v>
      </c>
      <c r="CI539" s="847">
        <f t="shared" si="759"/>
        <v>0</v>
      </c>
      <c r="CJ539" s="661">
        <f t="shared" si="759"/>
        <v>0</v>
      </c>
      <c r="CK539" s="2350">
        <f t="shared" si="735"/>
        <v>0</v>
      </c>
      <c r="CL539" s="847">
        <f t="shared" si="759"/>
        <v>0</v>
      </c>
      <c r="CM539" s="1261">
        <f t="shared" si="759"/>
        <v>0</v>
      </c>
      <c r="CN539" s="1261">
        <f t="shared" si="759"/>
        <v>0</v>
      </c>
      <c r="CO539" s="661">
        <f t="shared" si="759"/>
        <v>0</v>
      </c>
      <c r="CP539" s="1261">
        <f t="shared" si="727"/>
        <v>0</v>
      </c>
      <c r="CQ539" s="1261">
        <f t="shared" si="727"/>
        <v>0</v>
      </c>
      <c r="CR539" s="1261">
        <f t="shared" si="727"/>
        <v>0</v>
      </c>
      <c r="CS539" s="1261">
        <f t="shared" si="727"/>
        <v>0</v>
      </c>
      <c r="CT539" s="661">
        <f t="shared" si="727"/>
        <v>0</v>
      </c>
      <c r="CU539" s="661">
        <f t="shared" si="759"/>
        <v>0</v>
      </c>
      <c r="CV539" s="661">
        <f t="shared" si="759"/>
        <v>0</v>
      </c>
      <c r="CW539" s="374"/>
      <c r="CX539" s="374"/>
      <c r="CY539" s="374"/>
      <c r="CZ539" s="374"/>
      <c r="DA539" s="374"/>
      <c r="DB539" s="217"/>
    </row>
    <row r="540" spans="1:106" x14ac:dyDescent="0.2">
      <c r="A540" s="1434" t="s">
        <v>1388</v>
      </c>
      <c r="B540" s="651"/>
      <c r="C540" s="236"/>
      <c r="D540" s="234"/>
      <c r="E540" s="234"/>
      <c r="F540" s="234"/>
      <c r="G540" s="234"/>
      <c r="H540" s="236"/>
      <c r="I540" s="973">
        <f t="shared" ref="I540:AN540" si="760">I437+I471+I506</f>
        <v>41071</v>
      </c>
      <c r="J540" s="847">
        <f t="shared" si="760"/>
        <v>42414</v>
      </c>
      <c r="K540" s="847">
        <f t="shared" si="760"/>
        <v>43221</v>
      </c>
      <c r="L540" s="847">
        <f t="shared" si="760"/>
        <v>44692</v>
      </c>
      <c r="M540" s="973">
        <f t="shared" si="760"/>
        <v>44692</v>
      </c>
      <c r="N540" s="973">
        <f t="shared" si="760"/>
        <v>45207</v>
      </c>
      <c r="O540" s="847">
        <f t="shared" si="760"/>
        <v>45361</v>
      </c>
      <c r="P540" s="847">
        <f t="shared" si="760"/>
        <v>46959</v>
      </c>
      <c r="Q540" s="847">
        <f t="shared" si="760"/>
        <v>49002</v>
      </c>
      <c r="R540" s="973">
        <f t="shared" si="760"/>
        <v>49002</v>
      </c>
      <c r="S540" s="973">
        <f t="shared" si="760"/>
        <v>49582</v>
      </c>
      <c r="T540" s="847">
        <f t="shared" si="760"/>
        <v>50090</v>
      </c>
      <c r="U540" s="847">
        <f t="shared" si="760"/>
        <v>50992</v>
      </c>
      <c r="V540" s="847">
        <f t="shared" si="760"/>
        <v>51519</v>
      </c>
      <c r="W540" s="973">
        <f t="shared" si="760"/>
        <v>51519</v>
      </c>
      <c r="X540" s="973">
        <f t="shared" si="760"/>
        <v>51627</v>
      </c>
      <c r="Y540" s="847">
        <f t="shared" si="760"/>
        <v>52224</v>
      </c>
      <c r="Z540" s="847">
        <f t="shared" si="760"/>
        <v>52482</v>
      </c>
      <c r="AA540" s="847">
        <f t="shared" si="760"/>
        <v>53172</v>
      </c>
      <c r="AB540" s="973">
        <f t="shared" si="760"/>
        <v>53172</v>
      </c>
      <c r="AC540" s="973">
        <f t="shared" si="760"/>
        <v>53663</v>
      </c>
      <c r="AD540" s="847">
        <f t="shared" si="760"/>
        <v>54351</v>
      </c>
      <c r="AE540" s="847">
        <f t="shared" si="760"/>
        <v>55056</v>
      </c>
      <c r="AF540" s="847">
        <f t="shared" si="760"/>
        <v>56204</v>
      </c>
      <c r="AG540" s="973">
        <f t="shared" si="760"/>
        <v>56204</v>
      </c>
      <c r="AH540" s="973">
        <f t="shared" si="760"/>
        <v>57162</v>
      </c>
      <c r="AI540" s="847">
        <f t="shared" si="760"/>
        <v>57810</v>
      </c>
      <c r="AJ540" s="847">
        <f t="shared" si="760"/>
        <v>58920</v>
      </c>
      <c r="AK540" s="847">
        <f t="shared" si="760"/>
        <v>58973</v>
      </c>
      <c r="AL540" s="973">
        <f t="shared" si="760"/>
        <v>58973</v>
      </c>
      <c r="AM540" s="973">
        <f t="shared" si="760"/>
        <v>60056</v>
      </c>
      <c r="AN540" s="847">
        <f t="shared" si="760"/>
        <v>60462</v>
      </c>
      <c r="AO540" s="847">
        <f t="shared" ref="AO540:BT540" si="761">AO437+AO471+AO506</f>
        <v>61421</v>
      </c>
      <c r="AP540" s="847">
        <f t="shared" si="761"/>
        <v>62805</v>
      </c>
      <c r="AQ540" s="973">
        <f t="shared" si="761"/>
        <v>62805</v>
      </c>
      <c r="AR540" s="973">
        <f t="shared" si="761"/>
        <v>63019</v>
      </c>
      <c r="AS540" s="847">
        <f t="shared" si="761"/>
        <v>63843</v>
      </c>
      <c r="AT540" s="847">
        <f t="shared" si="761"/>
        <v>64552</v>
      </c>
      <c r="AU540" s="847">
        <f t="shared" si="761"/>
        <v>66252</v>
      </c>
      <c r="AV540" s="973">
        <f t="shared" si="761"/>
        <v>66252</v>
      </c>
      <c r="AW540" s="973">
        <f t="shared" si="761"/>
        <v>66730</v>
      </c>
      <c r="AX540" s="847">
        <f t="shared" si="761"/>
        <v>67814</v>
      </c>
      <c r="AY540" s="847">
        <f t="shared" si="761"/>
        <v>69865</v>
      </c>
      <c r="AZ540" s="847">
        <f t="shared" si="761"/>
        <v>70995</v>
      </c>
      <c r="BA540" s="661">
        <f t="shared" si="761"/>
        <v>70995</v>
      </c>
      <c r="BB540" s="847">
        <f t="shared" si="761"/>
        <v>70723</v>
      </c>
      <c r="BC540" s="847">
        <f t="shared" si="761"/>
        <v>70998</v>
      </c>
      <c r="BD540" s="847">
        <f t="shared" si="761"/>
        <v>71280</v>
      </c>
      <c r="BE540" s="847">
        <f t="shared" si="761"/>
        <v>71571</v>
      </c>
      <c r="BF540" s="973">
        <f t="shared" si="761"/>
        <v>71571</v>
      </c>
      <c r="BG540" s="973">
        <f t="shared" si="761"/>
        <v>72030</v>
      </c>
      <c r="BH540" s="847">
        <f t="shared" si="761"/>
        <v>72067</v>
      </c>
      <c r="BI540" s="847">
        <f t="shared" si="761"/>
        <v>72067</v>
      </c>
      <c r="BJ540" s="847">
        <f t="shared" si="761"/>
        <v>72076</v>
      </c>
      <c r="BK540" s="661">
        <f t="shared" si="761"/>
        <v>72076</v>
      </c>
      <c r="BL540" s="847">
        <f t="shared" si="761"/>
        <v>72078</v>
      </c>
      <c r="BM540" s="847">
        <f t="shared" si="761"/>
        <v>72294</v>
      </c>
      <c r="BN540" s="847">
        <f t="shared" si="761"/>
        <v>72514</v>
      </c>
      <c r="BO540" s="847">
        <f t="shared" si="761"/>
        <v>72642</v>
      </c>
      <c r="BP540" s="661">
        <f t="shared" si="761"/>
        <v>72642</v>
      </c>
      <c r="BQ540" s="847">
        <f t="shared" si="761"/>
        <v>73249</v>
      </c>
      <c r="BR540" s="847">
        <f t="shared" si="761"/>
        <v>73851</v>
      </c>
      <c r="BS540" s="847">
        <f t="shared" si="761"/>
        <v>75099</v>
      </c>
      <c r="BT540" s="847">
        <f t="shared" si="761"/>
        <v>76056</v>
      </c>
      <c r="BU540" s="661">
        <f t="shared" ref="BU540:CV540" si="762">BU437+BU471+BU506</f>
        <v>76056</v>
      </c>
      <c r="BV540" s="847">
        <f t="shared" si="762"/>
        <v>75634</v>
      </c>
      <c r="BW540" s="847">
        <f t="shared" si="762"/>
        <v>76912</v>
      </c>
      <c r="BX540" s="847">
        <f t="shared" si="762"/>
        <v>77577</v>
      </c>
      <c r="BY540" s="847">
        <f t="shared" si="762"/>
        <v>78518</v>
      </c>
      <c r="BZ540" s="661">
        <f t="shared" si="762"/>
        <v>78518</v>
      </c>
      <c r="CA540" s="847">
        <f t="shared" si="762"/>
        <v>82416</v>
      </c>
      <c r="CB540" s="847">
        <f t="shared" si="762"/>
        <v>83227</v>
      </c>
      <c r="CC540" s="847">
        <f t="shared" si="762"/>
        <v>83618</v>
      </c>
      <c r="CD540" s="847">
        <f t="shared" si="762"/>
        <v>84412</v>
      </c>
      <c r="CE540" s="661">
        <f t="shared" si="762"/>
        <v>84412</v>
      </c>
      <c r="CF540" s="847">
        <f t="shared" si="762"/>
        <v>85085</v>
      </c>
      <c r="CG540" s="847">
        <f t="shared" si="762"/>
        <v>86088</v>
      </c>
      <c r="CH540" s="847">
        <f t="shared" si="762"/>
        <v>87917</v>
      </c>
      <c r="CI540" s="847">
        <f t="shared" si="762"/>
        <v>89065</v>
      </c>
      <c r="CJ540" s="661">
        <f t="shared" si="762"/>
        <v>89065</v>
      </c>
      <c r="CK540" s="2350">
        <f t="shared" si="735"/>
        <v>89869</v>
      </c>
      <c r="CL540" s="847">
        <f t="shared" si="762"/>
        <v>90458</v>
      </c>
      <c r="CM540" s="1261">
        <f t="shared" si="762"/>
        <v>90282</v>
      </c>
      <c r="CN540" s="1261">
        <f t="shared" si="762"/>
        <v>92637</v>
      </c>
      <c r="CO540" s="661">
        <f t="shared" si="762"/>
        <v>92637</v>
      </c>
      <c r="CP540" s="1261">
        <f t="shared" si="727"/>
        <v>96023.400000000009</v>
      </c>
      <c r="CQ540" s="1261">
        <f t="shared" si="727"/>
        <v>96665.279999999999</v>
      </c>
      <c r="CR540" s="1261">
        <f t="shared" si="727"/>
        <v>96516.78</v>
      </c>
      <c r="CS540" s="1261">
        <f t="shared" si="727"/>
        <v>99041.46</v>
      </c>
      <c r="CT540" s="661">
        <f t="shared" si="727"/>
        <v>99041.46</v>
      </c>
      <c r="CU540" s="661">
        <f t="shared" si="762"/>
        <v>106118.1819</v>
      </c>
      <c r="CV540" s="661">
        <f t="shared" si="762"/>
        <v>109999.70725799999</v>
      </c>
      <c r="CW540" s="374"/>
      <c r="CX540" s="374"/>
      <c r="CY540" s="374"/>
      <c r="CZ540" s="374"/>
      <c r="DA540" s="374"/>
      <c r="DB540" s="217"/>
    </row>
    <row r="541" spans="1:106" x14ac:dyDescent="0.2">
      <c r="A541" s="1436" t="s">
        <v>1391</v>
      </c>
      <c r="B541" s="651"/>
      <c r="C541" s="236"/>
      <c r="D541" s="234"/>
      <c r="E541" s="234"/>
      <c r="F541" s="234"/>
      <c r="G541" s="234"/>
      <c r="H541" s="236"/>
      <c r="I541" s="973">
        <f t="shared" ref="I541:AN541" si="763">I438+I472+I507</f>
        <v>9074</v>
      </c>
      <c r="J541" s="847">
        <f t="shared" si="763"/>
        <v>9203</v>
      </c>
      <c r="K541" s="847">
        <f t="shared" si="763"/>
        <v>9954</v>
      </c>
      <c r="L541" s="847">
        <f t="shared" si="763"/>
        <v>10261</v>
      </c>
      <c r="M541" s="973">
        <f t="shared" si="763"/>
        <v>10261</v>
      </c>
      <c r="N541" s="973">
        <f t="shared" si="763"/>
        <v>10260</v>
      </c>
      <c r="O541" s="847">
        <f t="shared" si="763"/>
        <v>10440</v>
      </c>
      <c r="P541" s="847">
        <f t="shared" si="763"/>
        <v>10608</v>
      </c>
      <c r="Q541" s="847">
        <f t="shared" si="763"/>
        <v>10704</v>
      </c>
      <c r="R541" s="973">
        <f t="shared" si="763"/>
        <v>10704</v>
      </c>
      <c r="S541" s="973">
        <f t="shared" si="763"/>
        <v>10806</v>
      </c>
      <c r="T541" s="847">
        <f t="shared" si="763"/>
        <v>10899</v>
      </c>
      <c r="U541" s="847">
        <f t="shared" si="763"/>
        <v>11224</v>
      </c>
      <c r="V541" s="847">
        <f t="shared" si="763"/>
        <v>11381</v>
      </c>
      <c r="W541" s="973">
        <f t="shared" si="763"/>
        <v>11381</v>
      </c>
      <c r="X541" s="973">
        <f t="shared" si="763"/>
        <v>11462</v>
      </c>
      <c r="Y541" s="847">
        <f t="shared" si="763"/>
        <v>11462</v>
      </c>
      <c r="Z541" s="847">
        <f t="shared" si="763"/>
        <v>11555</v>
      </c>
      <c r="AA541" s="847">
        <f t="shared" si="763"/>
        <v>11710</v>
      </c>
      <c r="AB541" s="973">
        <f t="shared" si="763"/>
        <v>11710</v>
      </c>
      <c r="AC541" s="973">
        <f t="shared" si="763"/>
        <v>11816</v>
      </c>
      <c r="AD541" s="847">
        <f t="shared" si="763"/>
        <v>11935</v>
      </c>
      <c r="AE541" s="847">
        <f t="shared" si="763"/>
        <v>12021</v>
      </c>
      <c r="AF541" s="847">
        <f t="shared" si="763"/>
        <v>12303</v>
      </c>
      <c r="AG541" s="973">
        <f t="shared" si="763"/>
        <v>12303</v>
      </c>
      <c r="AH541" s="973">
        <f t="shared" si="763"/>
        <v>12304</v>
      </c>
      <c r="AI541" s="847">
        <f t="shared" si="763"/>
        <v>12389</v>
      </c>
      <c r="AJ541" s="847">
        <f t="shared" si="763"/>
        <v>12295</v>
      </c>
      <c r="AK541" s="847">
        <f t="shared" si="763"/>
        <v>12368</v>
      </c>
      <c r="AL541" s="973">
        <f t="shared" si="763"/>
        <v>12368</v>
      </c>
      <c r="AM541" s="973">
        <f t="shared" si="763"/>
        <v>12366</v>
      </c>
      <c r="AN541" s="847">
        <f t="shared" si="763"/>
        <v>12857</v>
      </c>
      <c r="AO541" s="847">
        <f t="shared" ref="AO541:BT541" si="764">AO438+AO472+AO507</f>
        <v>13467</v>
      </c>
      <c r="AP541" s="847">
        <f t="shared" si="764"/>
        <v>14122</v>
      </c>
      <c r="AQ541" s="973">
        <f t="shared" si="764"/>
        <v>14122</v>
      </c>
      <c r="AR541" s="973">
        <f t="shared" si="764"/>
        <v>14522</v>
      </c>
      <c r="AS541" s="847">
        <f t="shared" si="764"/>
        <v>15195</v>
      </c>
      <c r="AT541" s="847">
        <f t="shared" si="764"/>
        <v>15403</v>
      </c>
      <c r="AU541" s="847">
        <f t="shared" si="764"/>
        <v>16328</v>
      </c>
      <c r="AV541" s="973">
        <f t="shared" si="764"/>
        <v>16328</v>
      </c>
      <c r="AW541" s="973">
        <f t="shared" si="764"/>
        <v>16643</v>
      </c>
      <c r="AX541" s="847">
        <f t="shared" si="764"/>
        <v>17359</v>
      </c>
      <c r="AY541" s="847">
        <f t="shared" si="764"/>
        <v>17917</v>
      </c>
      <c r="AZ541" s="847">
        <f t="shared" si="764"/>
        <v>18451</v>
      </c>
      <c r="BA541" s="973">
        <f t="shared" si="764"/>
        <v>18451</v>
      </c>
      <c r="BB541" s="973">
        <f t="shared" si="764"/>
        <v>18759</v>
      </c>
      <c r="BC541" s="847">
        <f t="shared" si="764"/>
        <v>19063</v>
      </c>
      <c r="BD541" s="847">
        <f t="shared" si="764"/>
        <v>19320</v>
      </c>
      <c r="BE541" s="847">
        <f t="shared" si="764"/>
        <v>19320</v>
      </c>
      <c r="BF541" s="973">
        <f t="shared" si="764"/>
        <v>19320</v>
      </c>
      <c r="BG541" s="973">
        <f t="shared" si="764"/>
        <v>19409</v>
      </c>
      <c r="BH541" s="847">
        <f t="shared" si="764"/>
        <v>19597</v>
      </c>
      <c r="BI541" s="847">
        <f t="shared" si="764"/>
        <v>19770</v>
      </c>
      <c r="BJ541" s="847">
        <f t="shared" si="764"/>
        <v>20048</v>
      </c>
      <c r="BK541" s="661">
        <f t="shared" si="764"/>
        <v>20048</v>
      </c>
      <c r="BL541" s="847">
        <f t="shared" si="764"/>
        <v>20248</v>
      </c>
      <c r="BM541" s="847">
        <f t="shared" si="764"/>
        <v>20228</v>
      </c>
      <c r="BN541" s="847">
        <f t="shared" si="764"/>
        <v>20499</v>
      </c>
      <c r="BO541" s="847">
        <f t="shared" si="764"/>
        <v>20803</v>
      </c>
      <c r="BP541" s="661">
        <f t="shared" si="764"/>
        <v>20803</v>
      </c>
      <c r="BQ541" s="847">
        <f t="shared" si="764"/>
        <v>21118</v>
      </c>
      <c r="BR541" s="847">
        <f t="shared" si="764"/>
        <v>21630</v>
      </c>
      <c r="BS541" s="847">
        <f t="shared" si="764"/>
        <v>21630</v>
      </c>
      <c r="BT541" s="847">
        <f t="shared" si="764"/>
        <v>22039</v>
      </c>
      <c r="BU541" s="661">
        <f t="shared" ref="BU541:CV541" si="765">BU438+BU472+BU507</f>
        <v>22039</v>
      </c>
      <c r="BV541" s="847">
        <f t="shared" si="765"/>
        <v>22087</v>
      </c>
      <c r="BW541" s="847">
        <f t="shared" si="765"/>
        <v>22683</v>
      </c>
      <c r="BX541" s="847">
        <f t="shared" si="765"/>
        <v>23130</v>
      </c>
      <c r="BY541" s="847">
        <f t="shared" si="765"/>
        <v>23973</v>
      </c>
      <c r="BZ541" s="661">
        <f t="shared" si="765"/>
        <v>23973</v>
      </c>
      <c r="CA541" s="847">
        <f t="shared" si="765"/>
        <v>25453</v>
      </c>
      <c r="CB541" s="847">
        <f t="shared" si="765"/>
        <v>26111</v>
      </c>
      <c r="CC541" s="847">
        <f t="shared" si="765"/>
        <v>26508</v>
      </c>
      <c r="CD541" s="847">
        <f t="shared" si="765"/>
        <v>27128</v>
      </c>
      <c r="CE541" s="661">
        <f t="shared" si="765"/>
        <v>27128</v>
      </c>
      <c r="CF541" s="847">
        <f t="shared" si="765"/>
        <v>28115</v>
      </c>
      <c r="CG541" s="847">
        <f t="shared" si="765"/>
        <v>28954</v>
      </c>
      <c r="CH541" s="847">
        <f t="shared" si="765"/>
        <v>29449</v>
      </c>
      <c r="CI541" s="847">
        <f t="shared" si="765"/>
        <v>30252</v>
      </c>
      <c r="CJ541" s="661">
        <f t="shared" si="765"/>
        <v>30252</v>
      </c>
      <c r="CK541" s="2350">
        <f t="shared" si="735"/>
        <v>31384</v>
      </c>
      <c r="CL541" s="847">
        <f t="shared" si="765"/>
        <v>32216</v>
      </c>
      <c r="CM541" s="1261">
        <f t="shared" si="765"/>
        <v>33250</v>
      </c>
      <c r="CN541" s="1261">
        <f t="shared" si="765"/>
        <v>34272</v>
      </c>
      <c r="CO541" s="661">
        <f t="shared" si="765"/>
        <v>34272</v>
      </c>
      <c r="CP541" s="1261">
        <f t="shared" si="727"/>
        <v>34418</v>
      </c>
      <c r="CQ541" s="1261">
        <f t="shared" si="727"/>
        <v>35333.200000000004</v>
      </c>
      <c r="CR541" s="1261">
        <f t="shared" si="727"/>
        <v>36470.6</v>
      </c>
      <c r="CS541" s="1261">
        <f t="shared" si="727"/>
        <v>37588.740000000005</v>
      </c>
      <c r="CT541" s="661">
        <f t="shared" si="727"/>
        <v>37588.740000000005</v>
      </c>
      <c r="CU541" s="661">
        <f t="shared" si="765"/>
        <v>40417.468699999998</v>
      </c>
      <c r="CV541" s="661">
        <f t="shared" si="765"/>
        <v>41609.314649</v>
      </c>
      <c r="CW541" s="374"/>
      <c r="CX541" s="374"/>
      <c r="CY541" s="374"/>
      <c r="CZ541" s="374"/>
      <c r="DA541" s="374"/>
      <c r="DB541" s="217"/>
    </row>
    <row r="542" spans="1:106" x14ac:dyDescent="0.2">
      <c r="A542" s="1436" t="s">
        <v>1389</v>
      </c>
      <c r="B542" s="651"/>
      <c r="C542" s="236"/>
      <c r="D542" s="234"/>
      <c r="E542" s="234"/>
      <c r="F542" s="234"/>
      <c r="G542" s="234"/>
      <c r="H542" s="236"/>
      <c r="I542" s="973">
        <f t="shared" ref="I542:AN542" si="766">I439+I473+I508</f>
        <v>42360</v>
      </c>
      <c r="J542" s="847">
        <f t="shared" si="766"/>
        <v>44284</v>
      </c>
      <c r="K542" s="847">
        <f t="shared" si="766"/>
        <v>44915</v>
      </c>
      <c r="L542" s="847">
        <f t="shared" si="766"/>
        <v>45895</v>
      </c>
      <c r="M542" s="973">
        <f t="shared" si="766"/>
        <v>45895</v>
      </c>
      <c r="N542" s="973">
        <f t="shared" si="766"/>
        <v>46748</v>
      </c>
      <c r="O542" s="847">
        <f t="shared" si="766"/>
        <v>47364</v>
      </c>
      <c r="P542" s="847">
        <f t="shared" si="766"/>
        <v>47971</v>
      </c>
      <c r="Q542" s="847">
        <f t="shared" si="766"/>
        <v>48214</v>
      </c>
      <c r="R542" s="973">
        <f t="shared" si="766"/>
        <v>48214</v>
      </c>
      <c r="S542" s="973">
        <f t="shared" si="766"/>
        <v>48645</v>
      </c>
      <c r="T542" s="847">
        <f t="shared" si="766"/>
        <v>49263</v>
      </c>
      <c r="U542" s="847">
        <f t="shared" si="766"/>
        <v>49573</v>
      </c>
      <c r="V542" s="847">
        <f t="shared" si="766"/>
        <v>50103</v>
      </c>
      <c r="W542" s="973">
        <f t="shared" si="766"/>
        <v>50103</v>
      </c>
      <c r="X542" s="973">
        <f t="shared" si="766"/>
        <v>50371</v>
      </c>
      <c r="Y542" s="847">
        <f t="shared" si="766"/>
        <v>49853</v>
      </c>
      <c r="Z542" s="847">
        <f t="shared" si="766"/>
        <v>48787</v>
      </c>
      <c r="AA542" s="847">
        <f t="shared" si="766"/>
        <v>48258</v>
      </c>
      <c r="AB542" s="973">
        <f t="shared" si="766"/>
        <v>48258</v>
      </c>
      <c r="AC542" s="973">
        <f t="shared" si="766"/>
        <v>47388</v>
      </c>
      <c r="AD542" s="847">
        <f t="shared" si="766"/>
        <v>46945</v>
      </c>
      <c r="AE542" s="847">
        <f t="shared" si="766"/>
        <v>47267</v>
      </c>
      <c r="AF542" s="847">
        <f t="shared" si="766"/>
        <v>47440</v>
      </c>
      <c r="AG542" s="973">
        <f t="shared" si="766"/>
        <v>47440</v>
      </c>
      <c r="AH542" s="973">
        <f t="shared" si="766"/>
        <v>47362</v>
      </c>
      <c r="AI542" s="847">
        <f t="shared" si="766"/>
        <v>46746</v>
      </c>
      <c r="AJ542" s="847">
        <f t="shared" si="766"/>
        <v>46460</v>
      </c>
      <c r="AK542" s="847">
        <f t="shared" si="766"/>
        <v>46030</v>
      </c>
      <c r="AL542" s="973">
        <f t="shared" si="766"/>
        <v>46030</v>
      </c>
      <c r="AM542" s="973">
        <f t="shared" si="766"/>
        <v>45226</v>
      </c>
      <c r="AN542" s="847">
        <f t="shared" si="766"/>
        <v>45592</v>
      </c>
      <c r="AO542" s="847">
        <f t="shared" ref="AO542:BT542" si="767">AO439+AO473+AO508</f>
        <v>46231</v>
      </c>
      <c r="AP542" s="847">
        <f t="shared" si="767"/>
        <v>46930</v>
      </c>
      <c r="AQ542" s="973">
        <f t="shared" si="767"/>
        <v>46930</v>
      </c>
      <c r="AR542" s="973">
        <f t="shared" si="767"/>
        <v>46601</v>
      </c>
      <c r="AS542" s="847">
        <f t="shared" si="767"/>
        <v>47572</v>
      </c>
      <c r="AT542" s="847">
        <f t="shared" si="767"/>
        <v>48542</v>
      </c>
      <c r="AU542" s="847">
        <f t="shared" si="767"/>
        <v>49678</v>
      </c>
      <c r="AV542" s="973">
        <f t="shared" si="767"/>
        <v>49678</v>
      </c>
      <c r="AW542" s="973">
        <f t="shared" si="767"/>
        <v>51052</v>
      </c>
      <c r="AX542" s="847">
        <f t="shared" si="767"/>
        <v>52450</v>
      </c>
      <c r="AY542" s="847">
        <f t="shared" si="767"/>
        <v>54537</v>
      </c>
      <c r="AZ542" s="847">
        <f t="shared" si="767"/>
        <v>55622</v>
      </c>
      <c r="BA542" s="973">
        <f t="shared" si="767"/>
        <v>55622</v>
      </c>
      <c r="BB542" s="973">
        <f t="shared" si="767"/>
        <v>56948</v>
      </c>
      <c r="BC542" s="847">
        <f t="shared" si="767"/>
        <v>57780</v>
      </c>
      <c r="BD542" s="847">
        <f t="shared" si="767"/>
        <v>58398</v>
      </c>
      <c r="BE542" s="847">
        <f t="shared" si="767"/>
        <v>58510</v>
      </c>
      <c r="BF542" s="973">
        <f t="shared" si="767"/>
        <v>58510</v>
      </c>
      <c r="BG542" s="973">
        <f t="shared" si="767"/>
        <v>58542</v>
      </c>
      <c r="BH542" s="847">
        <f t="shared" si="767"/>
        <v>59000</v>
      </c>
      <c r="BI542" s="847">
        <f t="shared" si="767"/>
        <v>60010</v>
      </c>
      <c r="BJ542" s="847">
        <f t="shared" si="767"/>
        <v>60392</v>
      </c>
      <c r="BK542" s="661">
        <f t="shared" si="767"/>
        <v>60392</v>
      </c>
      <c r="BL542" s="847">
        <f t="shared" si="767"/>
        <v>60680</v>
      </c>
      <c r="BM542" s="847">
        <f t="shared" si="767"/>
        <v>60981</v>
      </c>
      <c r="BN542" s="847">
        <f t="shared" si="767"/>
        <v>61326</v>
      </c>
      <c r="BO542" s="847">
        <f t="shared" si="767"/>
        <v>61477</v>
      </c>
      <c r="BP542" s="661">
        <f t="shared" si="767"/>
        <v>61477</v>
      </c>
      <c r="BQ542" s="847">
        <f t="shared" si="767"/>
        <v>61666</v>
      </c>
      <c r="BR542" s="847">
        <f t="shared" si="767"/>
        <v>62855</v>
      </c>
      <c r="BS542" s="847">
        <f t="shared" si="767"/>
        <v>63285</v>
      </c>
      <c r="BT542" s="847">
        <f t="shared" si="767"/>
        <v>62921</v>
      </c>
      <c r="BU542" s="661">
        <f t="shared" ref="BU542:CV542" si="768">BU439+BU473+BU508</f>
        <v>62921</v>
      </c>
      <c r="BV542" s="847">
        <f t="shared" si="768"/>
        <v>63219</v>
      </c>
      <c r="BW542" s="847">
        <f t="shared" si="768"/>
        <v>63488</v>
      </c>
      <c r="BX542" s="847">
        <f t="shared" si="768"/>
        <v>64413</v>
      </c>
      <c r="BY542" s="847">
        <f t="shared" si="768"/>
        <v>64362</v>
      </c>
      <c r="BZ542" s="661">
        <f t="shared" si="768"/>
        <v>64362</v>
      </c>
      <c r="CA542" s="847">
        <f t="shared" si="768"/>
        <v>66668</v>
      </c>
      <c r="CB542" s="847">
        <f t="shared" si="768"/>
        <v>68375</v>
      </c>
      <c r="CC542" s="847">
        <f t="shared" si="768"/>
        <v>68930</v>
      </c>
      <c r="CD542" s="847">
        <f t="shared" si="768"/>
        <v>69970</v>
      </c>
      <c r="CE542" s="661">
        <f t="shared" si="768"/>
        <v>69970</v>
      </c>
      <c r="CF542" s="847">
        <f t="shared" si="768"/>
        <v>70757</v>
      </c>
      <c r="CG542" s="847">
        <f t="shared" si="768"/>
        <v>72856</v>
      </c>
      <c r="CH542" s="847">
        <f t="shared" si="768"/>
        <v>74543</v>
      </c>
      <c r="CI542" s="847">
        <f t="shared" si="768"/>
        <v>76432</v>
      </c>
      <c r="CJ542" s="661">
        <f t="shared" si="768"/>
        <v>76432</v>
      </c>
      <c r="CK542" s="2350">
        <f t="shared" si="735"/>
        <v>77725</v>
      </c>
      <c r="CL542" s="847">
        <f t="shared" si="768"/>
        <v>79169</v>
      </c>
      <c r="CM542" s="1261">
        <f t="shared" si="768"/>
        <v>80831</v>
      </c>
      <c r="CN542" s="1261">
        <f t="shared" si="768"/>
        <v>82699</v>
      </c>
      <c r="CO542" s="661">
        <f t="shared" si="768"/>
        <v>82699</v>
      </c>
      <c r="CP542" s="1261">
        <f t="shared" si="727"/>
        <v>85411.58</v>
      </c>
      <c r="CQ542" s="1261">
        <f t="shared" si="727"/>
        <v>86999.98000000001</v>
      </c>
      <c r="CR542" s="1261">
        <f t="shared" si="727"/>
        <v>88828.180000000008</v>
      </c>
      <c r="CS542" s="1261">
        <f t="shared" si="727"/>
        <v>90882.98000000001</v>
      </c>
      <c r="CT542" s="661">
        <f t="shared" si="727"/>
        <v>90882.98000000001</v>
      </c>
      <c r="CU542" s="661">
        <f t="shared" si="768"/>
        <v>97706.649900000004</v>
      </c>
      <c r="CV542" s="661">
        <f t="shared" si="768"/>
        <v>100621.76517300002</v>
      </c>
      <c r="CW542" s="374"/>
      <c r="CX542" s="374"/>
      <c r="CY542" s="374"/>
      <c r="CZ542" s="374"/>
      <c r="DA542" s="374"/>
      <c r="DB542" s="217"/>
    </row>
    <row r="543" spans="1:106" x14ac:dyDescent="0.2">
      <c r="A543" s="1436" t="s">
        <v>1390</v>
      </c>
      <c r="B543" s="651"/>
      <c r="C543" s="236"/>
      <c r="D543" s="234"/>
      <c r="E543" s="234"/>
      <c r="F543" s="234"/>
      <c r="G543" s="234"/>
      <c r="H543" s="236"/>
      <c r="I543" s="973">
        <f t="shared" ref="I543:AN543" si="769">I440+I475+I509</f>
        <v>6956</v>
      </c>
      <c r="J543" s="847">
        <f t="shared" si="769"/>
        <v>7478</v>
      </c>
      <c r="K543" s="847">
        <f t="shared" si="769"/>
        <v>8523</v>
      </c>
      <c r="L543" s="847">
        <f t="shared" si="769"/>
        <v>9592</v>
      </c>
      <c r="M543" s="973">
        <f t="shared" si="769"/>
        <v>9592</v>
      </c>
      <c r="N543" s="973">
        <f t="shared" si="769"/>
        <v>9851</v>
      </c>
      <c r="O543" s="847">
        <f t="shared" si="769"/>
        <v>10622</v>
      </c>
      <c r="P543" s="847">
        <f t="shared" si="769"/>
        <v>10903</v>
      </c>
      <c r="Q543" s="847">
        <f t="shared" si="769"/>
        <v>11085</v>
      </c>
      <c r="R543" s="973">
        <f t="shared" si="769"/>
        <v>11085</v>
      </c>
      <c r="S543" s="973">
        <f t="shared" si="769"/>
        <v>11244</v>
      </c>
      <c r="T543" s="847">
        <f t="shared" si="769"/>
        <v>11878</v>
      </c>
      <c r="U543" s="847">
        <f t="shared" si="769"/>
        <v>12130</v>
      </c>
      <c r="V543" s="847">
        <f t="shared" si="769"/>
        <v>12558</v>
      </c>
      <c r="W543" s="973">
        <f t="shared" si="769"/>
        <v>12558</v>
      </c>
      <c r="X543" s="973">
        <f t="shared" si="769"/>
        <v>12779</v>
      </c>
      <c r="Y543" s="847">
        <f t="shared" si="769"/>
        <v>13361</v>
      </c>
      <c r="Z543" s="847">
        <f t="shared" si="769"/>
        <v>13946</v>
      </c>
      <c r="AA543" s="847">
        <f t="shared" si="769"/>
        <v>14426</v>
      </c>
      <c r="AB543" s="973">
        <f t="shared" si="769"/>
        <v>14426</v>
      </c>
      <c r="AC543" s="973">
        <f t="shared" si="769"/>
        <v>14520</v>
      </c>
      <c r="AD543" s="847">
        <f t="shared" si="769"/>
        <v>15433</v>
      </c>
      <c r="AE543" s="847">
        <f t="shared" si="769"/>
        <v>15643</v>
      </c>
      <c r="AF543" s="847">
        <f t="shared" si="769"/>
        <v>15878</v>
      </c>
      <c r="AG543" s="973">
        <f t="shared" si="769"/>
        <v>15878</v>
      </c>
      <c r="AH543" s="973">
        <f t="shared" si="769"/>
        <v>16520</v>
      </c>
      <c r="AI543" s="847">
        <f t="shared" si="769"/>
        <v>16829</v>
      </c>
      <c r="AJ543" s="847">
        <f t="shared" si="769"/>
        <v>17246</v>
      </c>
      <c r="AK543" s="847">
        <f t="shared" si="769"/>
        <v>17684</v>
      </c>
      <c r="AL543" s="973">
        <f t="shared" si="769"/>
        <v>17684</v>
      </c>
      <c r="AM543" s="973">
        <f t="shared" si="769"/>
        <v>18160</v>
      </c>
      <c r="AN543" s="847">
        <f t="shared" si="769"/>
        <v>18898</v>
      </c>
      <c r="AO543" s="847">
        <f t="shared" ref="AO543:BT543" si="770">AO440+AO475+AO509</f>
        <v>19372</v>
      </c>
      <c r="AP543" s="847">
        <f t="shared" si="770"/>
        <v>20445</v>
      </c>
      <c r="AQ543" s="973">
        <f t="shared" si="770"/>
        <v>20445</v>
      </c>
      <c r="AR543" s="973">
        <f t="shared" si="770"/>
        <v>21457</v>
      </c>
      <c r="AS543" s="847">
        <f t="shared" si="770"/>
        <v>22718</v>
      </c>
      <c r="AT543" s="847">
        <f t="shared" si="770"/>
        <v>23057</v>
      </c>
      <c r="AU543" s="847">
        <f t="shared" si="770"/>
        <v>24027</v>
      </c>
      <c r="AV543" s="973">
        <f t="shared" si="770"/>
        <v>24027</v>
      </c>
      <c r="AW543" s="973">
        <f t="shared" si="770"/>
        <v>25128</v>
      </c>
      <c r="AX543" s="847">
        <f t="shared" si="770"/>
        <v>26044</v>
      </c>
      <c r="AY543" s="847">
        <f t="shared" si="770"/>
        <v>27818</v>
      </c>
      <c r="AZ543" s="847">
        <f t="shared" si="770"/>
        <v>29846</v>
      </c>
      <c r="BA543" s="973">
        <f t="shared" si="770"/>
        <v>29846</v>
      </c>
      <c r="BB543" s="973">
        <f t="shared" si="770"/>
        <v>30484</v>
      </c>
      <c r="BC543" s="847">
        <f t="shared" si="770"/>
        <v>31295</v>
      </c>
      <c r="BD543" s="847">
        <f t="shared" si="770"/>
        <v>31772</v>
      </c>
      <c r="BE543" s="847">
        <f t="shared" si="770"/>
        <v>31961</v>
      </c>
      <c r="BF543" s="973">
        <f t="shared" si="770"/>
        <v>31961</v>
      </c>
      <c r="BG543" s="973">
        <f t="shared" si="770"/>
        <v>31961</v>
      </c>
      <c r="BH543" s="847">
        <f t="shared" si="770"/>
        <v>32764</v>
      </c>
      <c r="BI543" s="847">
        <f t="shared" si="770"/>
        <v>33234</v>
      </c>
      <c r="BJ543" s="847">
        <f t="shared" si="770"/>
        <v>33466</v>
      </c>
      <c r="BK543" s="661">
        <f t="shared" si="770"/>
        <v>33466</v>
      </c>
      <c r="BL543" s="847">
        <f t="shared" si="770"/>
        <v>33821</v>
      </c>
      <c r="BM543" s="847">
        <f t="shared" si="770"/>
        <v>34144</v>
      </c>
      <c r="BN543" s="847">
        <f t="shared" si="770"/>
        <v>34671</v>
      </c>
      <c r="BO543" s="847">
        <f t="shared" si="770"/>
        <v>34844</v>
      </c>
      <c r="BP543" s="661">
        <f t="shared" si="770"/>
        <v>34844</v>
      </c>
      <c r="BQ543" s="847">
        <f t="shared" si="770"/>
        <v>34844</v>
      </c>
      <c r="BR543" s="847">
        <f t="shared" si="770"/>
        <v>35329</v>
      </c>
      <c r="BS543" s="847">
        <f t="shared" si="770"/>
        <v>35553</v>
      </c>
      <c r="BT543" s="847">
        <f t="shared" si="770"/>
        <v>35888</v>
      </c>
      <c r="BU543" s="661">
        <f t="shared" ref="BU543:CV543" si="771">BU440+BU475+BU509</f>
        <v>35888</v>
      </c>
      <c r="BV543" s="847">
        <f t="shared" si="771"/>
        <v>36434</v>
      </c>
      <c r="BW543" s="847">
        <f t="shared" si="771"/>
        <v>36537</v>
      </c>
      <c r="BX543" s="847">
        <f t="shared" si="771"/>
        <v>36588</v>
      </c>
      <c r="BY543" s="847">
        <f t="shared" si="771"/>
        <v>36968</v>
      </c>
      <c r="BZ543" s="661">
        <f t="shared" si="771"/>
        <v>36968</v>
      </c>
      <c r="CA543" s="847">
        <f t="shared" si="771"/>
        <v>37991</v>
      </c>
      <c r="CB543" s="847">
        <f t="shared" si="771"/>
        <v>38652</v>
      </c>
      <c r="CC543" s="847">
        <f t="shared" si="771"/>
        <v>39408</v>
      </c>
      <c r="CD543" s="847">
        <f t="shared" si="771"/>
        <v>39750</v>
      </c>
      <c r="CE543" s="661">
        <f t="shared" si="771"/>
        <v>39750</v>
      </c>
      <c r="CF543" s="847">
        <f t="shared" si="771"/>
        <v>40822</v>
      </c>
      <c r="CG543" s="847">
        <f t="shared" si="771"/>
        <v>41497</v>
      </c>
      <c r="CH543" s="847">
        <f t="shared" si="771"/>
        <v>41965</v>
      </c>
      <c r="CI543" s="847">
        <f t="shared" si="771"/>
        <v>42526</v>
      </c>
      <c r="CJ543" s="661">
        <f t="shared" si="771"/>
        <v>42526</v>
      </c>
      <c r="CK543" s="2350">
        <f>CK440+CK475+CK509</f>
        <v>42982</v>
      </c>
      <c r="CL543" s="847">
        <f t="shared" si="771"/>
        <v>44221</v>
      </c>
      <c r="CM543" s="1261">
        <f t="shared" si="771"/>
        <v>45318</v>
      </c>
      <c r="CN543" s="1261">
        <f t="shared" si="771"/>
        <v>45946</v>
      </c>
      <c r="CO543" s="661">
        <f t="shared" si="771"/>
        <v>45946</v>
      </c>
      <c r="CP543" s="1261">
        <f t="shared" ref="CP543:CT544" si="772">CP440+CP475+CP509</f>
        <v>46129.320000000007</v>
      </c>
      <c r="CQ543" s="1261">
        <f t="shared" si="772"/>
        <v>47467.44</v>
      </c>
      <c r="CR543" s="1261">
        <f t="shared" si="772"/>
        <v>48652.200000000004</v>
      </c>
      <c r="CS543" s="1261">
        <f t="shared" si="772"/>
        <v>49330.44</v>
      </c>
      <c r="CT543" s="661">
        <f t="shared" si="772"/>
        <v>49330.44</v>
      </c>
      <c r="CU543" s="661">
        <f t="shared" si="771"/>
        <v>52931.201399999998</v>
      </c>
      <c r="CV543" s="661">
        <f t="shared" si="771"/>
        <v>54943.981668</v>
      </c>
      <c r="CW543" s="374"/>
      <c r="CX543" s="374"/>
      <c r="CY543" s="374"/>
      <c r="CZ543" s="374"/>
      <c r="DA543" s="374"/>
      <c r="DB543" s="217"/>
    </row>
    <row r="544" spans="1:106" x14ac:dyDescent="0.2">
      <c r="A544" s="1436" t="s">
        <v>650</v>
      </c>
      <c r="B544" s="651"/>
      <c r="C544" s="236"/>
      <c r="D544" s="234"/>
      <c r="E544" s="234"/>
      <c r="F544" s="234"/>
      <c r="G544" s="234"/>
      <c r="H544" s="236"/>
      <c r="I544" s="973">
        <f t="shared" ref="I544:AN544" si="773">I441+I476+I510</f>
        <v>0</v>
      </c>
      <c r="J544" s="847">
        <f t="shared" si="773"/>
        <v>0</v>
      </c>
      <c r="K544" s="847">
        <f t="shared" si="773"/>
        <v>0</v>
      </c>
      <c r="L544" s="847">
        <f t="shared" si="773"/>
        <v>0</v>
      </c>
      <c r="M544" s="973">
        <f t="shared" si="773"/>
        <v>0</v>
      </c>
      <c r="N544" s="973">
        <f t="shared" si="773"/>
        <v>0</v>
      </c>
      <c r="O544" s="847">
        <f t="shared" si="773"/>
        <v>0</v>
      </c>
      <c r="P544" s="847">
        <f t="shared" si="773"/>
        <v>0</v>
      </c>
      <c r="Q544" s="847">
        <f t="shared" si="773"/>
        <v>0</v>
      </c>
      <c r="R544" s="973">
        <f t="shared" si="773"/>
        <v>0</v>
      </c>
      <c r="S544" s="973">
        <f t="shared" si="773"/>
        <v>0</v>
      </c>
      <c r="T544" s="847">
        <f t="shared" si="773"/>
        <v>0</v>
      </c>
      <c r="U544" s="847">
        <f t="shared" si="773"/>
        <v>0</v>
      </c>
      <c r="V544" s="847">
        <f t="shared" si="773"/>
        <v>0</v>
      </c>
      <c r="W544" s="973">
        <f t="shared" si="773"/>
        <v>0</v>
      </c>
      <c r="X544" s="973">
        <f t="shared" si="773"/>
        <v>0</v>
      </c>
      <c r="Y544" s="847">
        <f t="shared" si="773"/>
        <v>0</v>
      </c>
      <c r="Z544" s="847">
        <f t="shared" si="773"/>
        <v>0</v>
      </c>
      <c r="AA544" s="847">
        <f t="shared" si="773"/>
        <v>0</v>
      </c>
      <c r="AB544" s="973">
        <f t="shared" si="773"/>
        <v>0</v>
      </c>
      <c r="AC544" s="973">
        <f t="shared" si="773"/>
        <v>0</v>
      </c>
      <c r="AD544" s="847">
        <f t="shared" si="773"/>
        <v>0</v>
      </c>
      <c r="AE544" s="847">
        <f t="shared" si="773"/>
        <v>0</v>
      </c>
      <c r="AF544" s="847">
        <f t="shared" si="773"/>
        <v>0</v>
      </c>
      <c r="AG544" s="973">
        <f t="shared" si="773"/>
        <v>0</v>
      </c>
      <c r="AH544" s="973">
        <f t="shared" si="773"/>
        <v>0</v>
      </c>
      <c r="AI544" s="847">
        <f t="shared" si="773"/>
        <v>0</v>
      </c>
      <c r="AJ544" s="847">
        <f t="shared" si="773"/>
        <v>0</v>
      </c>
      <c r="AK544" s="847">
        <f t="shared" si="773"/>
        <v>0</v>
      </c>
      <c r="AL544" s="973">
        <f t="shared" si="773"/>
        <v>0</v>
      </c>
      <c r="AM544" s="973">
        <f t="shared" si="773"/>
        <v>0</v>
      </c>
      <c r="AN544" s="847">
        <f t="shared" si="773"/>
        <v>0</v>
      </c>
      <c r="AO544" s="847">
        <f t="shared" ref="AO544:BT544" si="774">AO441+AO476+AO510</f>
        <v>0</v>
      </c>
      <c r="AP544" s="847">
        <f t="shared" si="774"/>
        <v>0</v>
      </c>
      <c r="AQ544" s="973">
        <f t="shared" si="774"/>
        <v>0</v>
      </c>
      <c r="AR544" s="973">
        <f t="shared" si="774"/>
        <v>0</v>
      </c>
      <c r="AS544" s="847">
        <f t="shared" si="774"/>
        <v>0</v>
      </c>
      <c r="AT544" s="847">
        <f t="shared" si="774"/>
        <v>0</v>
      </c>
      <c r="AU544" s="847">
        <f t="shared" si="774"/>
        <v>0</v>
      </c>
      <c r="AV544" s="973">
        <f t="shared" si="774"/>
        <v>0</v>
      </c>
      <c r="AW544" s="973">
        <f t="shared" si="774"/>
        <v>0</v>
      </c>
      <c r="AX544" s="847">
        <f t="shared" si="774"/>
        <v>0</v>
      </c>
      <c r="AY544" s="847">
        <f t="shared" si="774"/>
        <v>0</v>
      </c>
      <c r="AZ544" s="847">
        <f t="shared" si="774"/>
        <v>0</v>
      </c>
      <c r="BA544" s="973">
        <f t="shared" si="774"/>
        <v>0</v>
      </c>
      <c r="BB544" s="973">
        <f t="shared" si="774"/>
        <v>0</v>
      </c>
      <c r="BC544" s="847">
        <f t="shared" si="774"/>
        <v>0</v>
      </c>
      <c r="BD544" s="847">
        <f t="shared" si="774"/>
        <v>0</v>
      </c>
      <c r="BE544" s="847">
        <f t="shared" si="774"/>
        <v>0</v>
      </c>
      <c r="BF544" s="973">
        <f t="shared" si="774"/>
        <v>0</v>
      </c>
      <c r="BG544" s="973">
        <f t="shared" si="774"/>
        <v>0</v>
      </c>
      <c r="BH544" s="847">
        <f t="shared" si="774"/>
        <v>0</v>
      </c>
      <c r="BI544" s="847">
        <f t="shared" si="774"/>
        <v>0</v>
      </c>
      <c r="BJ544" s="847">
        <f t="shared" si="774"/>
        <v>0</v>
      </c>
      <c r="BK544" s="661">
        <f t="shared" si="774"/>
        <v>0</v>
      </c>
      <c r="BL544" s="847">
        <f t="shared" si="774"/>
        <v>0</v>
      </c>
      <c r="BM544" s="847">
        <f t="shared" si="774"/>
        <v>0</v>
      </c>
      <c r="BN544" s="847">
        <f t="shared" si="774"/>
        <v>0</v>
      </c>
      <c r="BO544" s="847">
        <f t="shared" si="774"/>
        <v>0</v>
      </c>
      <c r="BP544" s="661">
        <f t="shared" si="774"/>
        <v>0</v>
      </c>
      <c r="BQ544" s="847">
        <f t="shared" si="774"/>
        <v>0</v>
      </c>
      <c r="BR544" s="847">
        <f t="shared" si="774"/>
        <v>0</v>
      </c>
      <c r="BS544" s="847">
        <f t="shared" si="774"/>
        <v>0</v>
      </c>
      <c r="BT544" s="847">
        <f t="shared" si="774"/>
        <v>0</v>
      </c>
      <c r="BU544" s="661">
        <f t="shared" ref="BU544:CV544" si="775">BU441+BU476+BU510</f>
        <v>0</v>
      </c>
      <c r="BV544" s="847">
        <f t="shared" si="775"/>
        <v>0</v>
      </c>
      <c r="BW544" s="847">
        <f t="shared" si="775"/>
        <v>0</v>
      </c>
      <c r="BX544" s="847">
        <f t="shared" si="775"/>
        <v>0</v>
      </c>
      <c r="BY544" s="847">
        <f t="shared" si="775"/>
        <v>0</v>
      </c>
      <c r="BZ544" s="661">
        <f t="shared" si="775"/>
        <v>0</v>
      </c>
      <c r="CA544" s="847">
        <f t="shared" si="775"/>
        <v>0</v>
      </c>
      <c r="CB544" s="847">
        <f t="shared" si="775"/>
        <v>0</v>
      </c>
      <c r="CC544" s="847">
        <f t="shared" si="775"/>
        <v>0</v>
      </c>
      <c r="CD544" s="847">
        <f t="shared" si="775"/>
        <v>0</v>
      </c>
      <c r="CE544" s="661">
        <f t="shared" si="775"/>
        <v>0</v>
      </c>
      <c r="CF544" s="847">
        <f t="shared" si="775"/>
        <v>0</v>
      </c>
      <c r="CG544" s="847">
        <f t="shared" si="775"/>
        <v>0</v>
      </c>
      <c r="CH544" s="847">
        <f t="shared" si="775"/>
        <v>0</v>
      </c>
      <c r="CI544" s="847">
        <f t="shared" si="775"/>
        <v>0</v>
      </c>
      <c r="CJ544" s="661">
        <f t="shared" si="775"/>
        <v>0</v>
      </c>
      <c r="CK544" s="2350">
        <f>CK441+CK476+CK510</f>
        <v>0</v>
      </c>
      <c r="CL544" s="847">
        <f t="shared" si="775"/>
        <v>0</v>
      </c>
      <c r="CM544" s="1261">
        <f t="shared" si="775"/>
        <v>0</v>
      </c>
      <c r="CN544" s="1261">
        <f t="shared" si="775"/>
        <v>0</v>
      </c>
      <c r="CO544" s="661">
        <f t="shared" si="775"/>
        <v>0</v>
      </c>
      <c r="CP544" s="1261">
        <f t="shared" si="772"/>
        <v>0</v>
      </c>
      <c r="CQ544" s="1261">
        <f t="shared" si="772"/>
        <v>0</v>
      </c>
      <c r="CR544" s="1261">
        <f t="shared" si="772"/>
        <v>0</v>
      </c>
      <c r="CS544" s="1261">
        <f t="shared" si="772"/>
        <v>0</v>
      </c>
      <c r="CT544" s="661">
        <f t="shared" si="772"/>
        <v>0</v>
      </c>
      <c r="CU544" s="661">
        <f t="shared" si="775"/>
        <v>0</v>
      </c>
      <c r="CV544" s="661">
        <f t="shared" si="775"/>
        <v>0</v>
      </c>
      <c r="CW544" s="374"/>
      <c r="CX544" s="374"/>
      <c r="CY544" s="374"/>
      <c r="CZ544" s="374"/>
      <c r="DA544" s="374"/>
      <c r="DB544" s="217"/>
    </row>
    <row r="545" spans="1:256" x14ac:dyDescent="0.2">
      <c r="A545" s="1436" t="s">
        <v>677</v>
      </c>
      <c r="B545" s="651"/>
      <c r="C545" s="236"/>
      <c r="D545" s="234"/>
      <c r="E545" s="234"/>
      <c r="F545" s="234"/>
      <c r="G545" s="234"/>
      <c r="H545" s="236"/>
      <c r="I545" s="1427"/>
      <c r="J545" s="845"/>
      <c r="K545" s="845"/>
      <c r="L545" s="845"/>
      <c r="M545" s="661"/>
      <c r="N545" s="1427"/>
      <c r="O545" s="845"/>
      <c r="P545" s="845"/>
      <c r="Q545" s="845"/>
      <c r="R545" s="661"/>
      <c r="S545" s="1427"/>
      <c r="T545" s="845"/>
      <c r="U545" s="845"/>
      <c r="V545" s="845"/>
      <c r="W545" s="661"/>
      <c r="X545" s="1427"/>
      <c r="Y545" s="845"/>
      <c r="Z545" s="845"/>
      <c r="AA545" s="845"/>
      <c r="AB545" s="661"/>
      <c r="AC545" s="1427"/>
      <c r="AD545" s="845"/>
      <c r="AE545" s="845"/>
      <c r="AF545" s="845"/>
      <c r="AG545" s="661"/>
      <c r="AH545" s="1427"/>
      <c r="AI545" s="845"/>
      <c r="AJ545" s="845"/>
      <c r="AK545" s="845"/>
      <c r="AL545" s="661"/>
      <c r="AM545" s="1427"/>
      <c r="AN545" s="845"/>
      <c r="AO545" s="845"/>
      <c r="AP545" s="845"/>
      <c r="AQ545" s="661"/>
      <c r="AR545" s="1427"/>
      <c r="AS545" s="845"/>
      <c r="AT545" s="845"/>
      <c r="AU545" s="845"/>
      <c r="AV545" s="661"/>
      <c r="AW545" s="1427"/>
      <c r="AX545" s="845"/>
      <c r="AY545" s="845"/>
      <c r="AZ545" s="845"/>
      <c r="BA545" s="661"/>
      <c r="BB545" s="1427"/>
      <c r="BC545" s="845"/>
      <c r="BD545" s="845"/>
      <c r="BE545" s="845"/>
      <c r="BF545" s="661"/>
      <c r="BG545" s="1427"/>
      <c r="BH545" s="845"/>
      <c r="BI545" s="845"/>
      <c r="BJ545" s="845"/>
      <c r="BK545" s="661"/>
      <c r="BL545" s="845"/>
      <c r="BM545" s="845"/>
      <c r="BN545" s="845"/>
      <c r="BO545" s="758">
        <f t="shared" ref="BO545:CV545" si="776">BO474</f>
        <v>8098</v>
      </c>
      <c r="BP545" s="752">
        <f t="shared" si="776"/>
        <v>8098</v>
      </c>
      <c r="BQ545" s="758">
        <f t="shared" si="776"/>
        <v>8098</v>
      </c>
      <c r="BR545" s="758">
        <f t="shared" si="776"/>
        <v>8098</v>
      </c>
      <c r="BS545" s="758">
        <f t="shared" si="776"/>
        <v>8098</v>
      </c>
      <c r="BT545" s="758">
        <f t="shared" si="776"/>
        <v>8098</v>
      </c>
      <c r="BU545" s="752">
        <f t="shared" si="776"/>
        <v>8098</v>
      </c>
      <c r="BV545" s="758">
        <f t="shared" si="776"/>
        <v>8098</v>
      </c>
      <c r="BW545" s="758">
        <f t="shared" si="776"/>
        <v>8098</v>
      </c>
      <c r="BX545" s="758">
        <f t="shared" si="776"/>
        <v>8098</v>
      </c>
      <c r="BY545" s="758">
        <f t="shared" si="776"/>
        <v>8098</v>
      </c>
      <c r="BZ545" s="752">
        <f t="shared" si="776"/>
        <v>8098</v>
      </c>
      <c r="CA545" s="758">
        <f t="shared" si="776"/>
        <v>8098</v>
      </c>
      <c r="CB545" s="758">
        <f t="shared" si="776"/>
        <v>8098</v>
      </c>
      <c r="CC545" s="758">
        <f t="shared" si="776"/>
        <v>8098</v>
      </c>
      <c r="CD545" s="758">
        <f t="shared" si="776"/>
        <v>8098</v>
      </c>
      <c r="CE545" s="752">
        <f t="shared" si="776"/>
        <v>8098</v>
      </c>
      <c r="CF545" s="758">
        <f t="shared" si="776"/>
        <v>8098</v>
      </c>
      <c r="CG545" s="758">
        <f t="shared" si="776"/>
        <v>8098</v>
      </c>
      <c r="CH545" s="758">
        <f t="shared" si="776"/>
        <v>8098</v>
      </c>
      <c r="CI545" s="758">
        <f t="shared" si="776"/>
        <v>8098</v>
      </c>
      <c r="CJ545" s="752">
        <f t="shared" si="776"/>
        <v>8098</v>
      </c>
      <c r="CK545" s="3519">
        <f>CK474</f>
        <v>8108</v>
      </c>
      <c r="CL545" s="758">
        <f t="shared" si="776"/>
        <v>8108</v>
      </c>
      <c r="CM545" s="1261">
        <f t="shared" si="776"/>
        <v>8108</v>
      </c>
      <c r="CN545" s="1261">
        <f t="shared" si="776"/>
        <v>8108</v>
      </c>
      <c r="CO545" s="752">
        <f t="shared" si="776"/>
        <v>8108</v>
      </c>
      <c r="CP545" s="1261">
        <f>CP474</f>
        <v>8270.16</v>
      </c>
      <c r="CQ545" s="1261">
        <f>CQ474</f>
        <v>8270.16</v>
      </c>
      <c r="CR545" s="1261">
        <f>CR474</f>
        <v>8270.16</v>
      </c>
      <c r="CS545" s="1261">
        <f>CS474</f>
        <v>8270.16</v>
      </c>
      <c r="CT545" s="752">
        <f>CT474</f>
        <v>8270.16</v>
      </c>
      <c r="CU545" s="752">
        <f t="shared" si="776"/>
        <v>8435.5632000000005</v>
      </c>
      <c r="CV545" s="752">
        <f t="shared" si="776"/>
        <v>8435.5632000000005</v>
      </c>
      <c r="CW545" s="1201"/>
      <c r="CX545" s="1201"/>
      <c r="CY545" s="1201"/>
      <c r="CZ545" s="1201"/>
      <c r="DA545" s="1201"/>
      <c r="DB545" s="217"/>
      <c r="DF545" s="207"/>
      <c r="DG545" s="207"/>
      <c r="DH545" s="207"/>
      <c r="DI545" s="207"/>
      <c r="DJ545" s="207"/>
      <c r="DK545" s="207"/>
      <c r="DL545" s="207"/>
      <c r="DM545" s="207"/>
      <c r="DN545" s="207"/>
      <c r="DO545" s="207"/>
      <c r="DP545" s="207"/>
      <c r="DQ545" s="207"/>
      <c r="DR545" s="207"/>
      <c r="DS545" s="207"/>
      <c r="DT545" s="207"/>
      <c r="DU545" s="207"/>
      <c r="DV545" s="207"/>
      <c r="DW545" s="207"/>
      <c r="DX545" s="207"/>
      <c r="DY545" s="207"/>
      <c r="DZ545" s="207"/>
      <c r="EA545" s="207"/>
      <c r="EB545" s="207"/>
      <c r="EC545" s="207"/>
      <c r="ED545" s="207"/>
      <c r="EE545" s="207"/>
      <c r="EF545" s="207"/>
      <c r="EG545" s="207"/>
      <c r="EH545" s="207"/>
      <c r="EI545" s="207"/>
      <c r="EJ545" s="207"/>
      <c r="EK545" s="207"/>
      <c r="EL545" s="207"/>
      <c r="EM545" s="207"/>
      <c r="EN545" s="207"/>
      <c r="EO545" s="207"/>
      <c r="EP545" s="207"/>
      <c r="EQ545" s="207"/>
      <c r="ER545" s="207"/>
      <c r="ES545" s="207"/>
      <c r="ET545" s="207"/>
      <c r="EU545" s="207"/>
      <c r="EV545" s="207"/>
      <c r="EW545" s="207"/>
      <c r="EX545" s="207"/>
      <c r="EY545" s="207"/>
      <c r="EZ545" s="207"/>
      <c r="FA545" s="207"/>
      <c r="FB545" s="207"/>
      <c r="FC545" s="207"/>
      <c r="FD545" s="207"/>
      <c r="FE545" s="207"/>
      <c r="FF545" s="207"/>
      <c r="FG545" s="207"/>
      <c r="FH545" s="207"/>
      <c r="FI545" s="207"/>
      <c r="FJ545" s="207"/>
      <c r="FK545" s="207"/>
      <c r="FL545" s="207"/>
      <c r="FM545" s="207"/>
      <c r="FN545" s="207"/>
      <c r="FO545" s="207"/>
      <c r="FP545" s="207"/>
      <c r="FQ545" s="207"/>
      <c r="FR545" s="207"/>
      <c r="FS545" s="207"/>
      <c r="FT545" s="207"/>
      <c r="FU545" s="207"/>
      <c r="FV545" s="207"/>
      <c r="FW545" s="207"/>
      <c r="FX545" s="207"/>
      <c r="FY545" s="207"/>
      <c r="FZ545" s="207"/>
      <c r="GA545" s="207"/>
      <c r="GB545" s="207"/>
      <c r="GC545" s="207"/>
      <c r="GD545" s="207"/>
      <c r="GE545" s="207"/>
      <c r="GF545" s="207"/>
      <c r="GG545" s="207"/>
      <c r="GH545" s="207"/>
      <c r="GI545" s="207"/>
      <c r="GJ545" s="207"/>
      <c r="GK545" s="207"/>
      <c r="GL545" s="207"/>
      <c r="GM545" s="207"/>
      <c r="GN545" s="207"/>
      <c r="GO545" s="207"/>
      <c r="GP545" s="207"/>
      <c r="GQ545" s="207"/>
      <c r="GR545" s="207"/>
      <c r="GS545" s="207"/>
      <c r="GT545" s="207"/>
      <c r="GU545" s="207"/>
      <c r="GV545" s="207"/>
      <c r="GW545" s="207"/>
      <c r="GX545" s="207"/>
      <c r="GY545" s="207"/>
      <c r="GZ545" s="207"/>
      <c r="HA545" s="207"/>
      <c r="HB545" s="207"/>
      <c r="HC545" s="207"/>
      <c r="HD545" s="207"/>
      <c r="HE545" s="207"/>
      <c r="HF545" s="207"/>
      <c r="HG545" s="207"/>
      <c r="HH545" s="207"/>
      <c r="HI545" s="207"/>
      <c r="HJ545" s="207"/>
      <c r="HK545" s="207"/>
      <c r="HL545" s="207"/>
      <c r="HM545" s="207"/>
      <c r="HN545" s="207"/>
      <c r="HO545" s="207"/>
      <c r="HP545" s="207"/>
      <c r="HQ545" s="207"/>
      <c r="HR545" s="207"/>
      <c r="HS545" s="207"/>
      <c r="HT545" s="207"/>
      <c r="HU545" s="207"/>
      <c r="HV545" s="207"/>
      <c r="HW545" s="207"/>
      <c r="HX545" s="207"/>
      <c r="HY545" s="207"/>
      <c r="HZ545" s="207"/>
      <c r="IA545" s="207"/>
      <c r="IB545" s="207"/>
      <c r="IC545" s="207"/>
      <c r="ID545" s="207"/>
      <c r="IE545" s="207"/>
      <c r="IF545" s="207"/>
      <c r="IG545" s="207"/>
      <c r="IH545" s="207"/>
      <c r="II545" s="207"/>
      <c r="IJ545" s="207"/>
      <c r="IK545" s="207"/>
      <c r="IL545" s="207"/>
      <c r="IM545" s="207"/>
      <c r="IN545" s="207"/>
      <c r="IO545" s="207"/>
      <c r="IP545" s="207"/>
      <c r="IQ545" s="207"/>
      <c r="IR545" s="207"/>
      <c r="IS545" s="207"/>
      <c r="IT545" s="207"/>
      <c r="IU545" s="207"/>
      <c r="IV545" s="207"/>
    </row>
    <row r="546" spans="1:256" x14ac:dyDescent="0.2">
      <c r="A546" s="2288" t="s">
        <v>2285</v>
      </c>
      <c r="B546" s="651"/>
      <c r="C546" s="236"/>
      <c r="D546" s="234"/>
      <c r="E546" s="234"/>
      <c r="F546" s="234"/>
      <c r="G546" s="234"/>
      <c r="H546" s="236"/>
      <c r="I546" s="1427"/>
      <c r="J546" s="845"/>
      <c r="K546" s="845"/>
      <c r="L546" s="845"/>
      <c r="M546" s="973"/>
      <c r="N546" s="1427"/>
      <c r="O546" s="845"/>
      <c r="P546" s="845"/>
      <c r="Q546" s="845"/>
      <c r="R546" s="973"/>
      <c r="S546" s="1427"/>
      <c r="T546" s="845"/>
      <c r="U546" s="845"/>
      <c r="V546" s="845"/>
      <c r="W546" s="973"/>
      <c r="X546" s="1427"/>
      <c r="Y546" s="845"/>
      <c r="Z546" s="845"/>
      <c r="AA546" s="845"/>
      <c r="AB546" s="973"/>
      <c r="AC546" s="1427"/>
      <c r="AD546" s="845"/>
      <c r="AE546" s="845"/>
      <c r="AF546" s="845"/>
      <c r="AG546" s="973"/>
      <c r="AH546" s="1427"/>
      <c r="AI546" s="845"/>
      <c r="AJ546" s="845"/>
      <c r="AK546" s="845"/>
      <c r="AL546" s="973"/>
      <c r="AM546" s="1427"/>
      <c r="AN546" s="845"/>
      <c r="AO546" s="845"/>
      <c r="AP546" s="845"/>
      <c r="AQ546" s="973"/>
      <c r="AR546" s="1427"/>
      <c r="AS546" s="845"/>
      <c r="AT546" s="845"/>
      <c r="AU546" s="845"/>
      <c r="AV546" s="973"/>
      <c r="AW546" s="1427"/>
      <c r="AX546" s="845"/>
      <c r="AY546" s="845"/>
      <c r="AZ546" s="845"/>
      <c r="BA546" s="973"/>
      <c r="BB546" s="1427"/>
      <c r="BC546" s="845"/>
      <c r="BD546" s="845"/>
      <c r="BE546" s="845"/>
      <c r="BF546" s="973"/>
      <c r="BG546" s="1427"/>
      <c r="BH546" s="845"/>
      <c r="BI546" s="845"/>
      <c r="BJ546" s="845"/>
      <c r="BK546" s="661"/>
      <c r="BL546" s="845"/>
      <c r="BM546" s="845"/>
      <c r="BN546" s="845"/>
      <c r="BO546" s="758"/>
      <c r="BP546" s="752"/>
      <c r="BQ546" s="758"/>
      <c r="BR546" s="758"/>
      <c r="BS546" s="758"/>
      <c r="BT546" s="758"/>
      <c r="BU546" s="752"/>
      <c r="BV546" s="758"/>
      <c r="BW546" s="758"/>
      <c r="BX546" s="758"/>
      <c r="BY546" s="758"/>
      <c r="BZ546" s="752"/>
      <c r="CA546" s="758"/>
      <c r="CB546" s="847">
        <f t="shared" ref="CB546:CV546" si="777">CB442+CB477+CB511</f>
        <v>9595</v>
      </c>
      <c r="CC546" s="847">
        <f t="shared" si="777"/>
        <v>9590</v>
      </c>
      <c r="CD546" s="847">
        <f t="shared" si="777"/>
        <v>9385</v>
      </c>
      <c r="CE546" s="661">
        <f t="shared" si="777"/>
        <v>9385</v>
      </c>
      <c r="CF546" s="847">
        <f t="shared" si="777"/>
        <v>9784</v>
      </c>
      <c r="CG546" s="847">
        <f t="shared" si="777"/>
        <v>9784</v>
      </c>
      <c r="CH546" s="847">
        <f t="shared" si="777"/>
        <v>9784</v>
      </c>
      <c r="CI546" s="847">
        <f t="shared" si="777"/>
        <v>9784</v>
      </c>
      <c r="CJ546" s="661">
        <f t="shared" si="777"/>
        <v>9784</v>
      </c>
      <c r="CK546" s="2350">
        <f>CK442+CK477+CK511</f>
        <v>10553</v>
      </c>
      <c r="CL546" s="847">
        <f t="shared" si="777"/>
        <v>11426</v>
      </c>
      <c r="CM546" s="1261">
        <f t="shared" si="777"/>
        <v>12031</v>
      </c>
      <c r="CN546" s="1261">
        <f t="shared" si="777"/>
        <v>12373</v>
      </c>
      <c r="CO546" s="661">
        <f t="shared" si="777"/>
        <v>12373</v>
      </c>
      <c r="CP546" s="1261">
        <f t="shared" ref="CP546:CT547" si="778">CP442+CP477+CP511</f>
        <v>10953.51</v>
      </c>
      <c r="CQ546" s="1261">
        <f t="shared" si="778"/>
        <v>11794.380000000001</v>
      </c>
      <c r="CR546" s="1261">
        <f t="shared" si="778"/>
        <v>12376.96</v>
      </c>
      <c r="CS546" s="1261">
        <f t="shared" si="778"/>
        <v>12676.55</v>
      </c>
      <c r="CT546" s="661">
        <f t="shared" si="778"/>
        <v>12676.55</v>
      </c>
      <c r="CU546" s="661">
        <f t="shared" si="777"/>
        <v>13161.1718</v>
      </c>
      <c r="CV546" s="661">
        <f t="shared" si="777"/>
        <v>13344.888986</v>
      </c>
      <c r="CW546" s="1201"/>
      <c r="CX546" s="1201"/>
      <c r="CY546" s="1201"/>
      <c r="CZ546" s="1201"/>
      <c r="DA546" s="1201"/>
      <c r="DB546" s="217"/>
      <c r="DF546" s="207"/>
      <c r="DG546" s="207"/>
      <c r="DH546" s="207"/>
      <c r="DI546" s="207"/>
      <c r="DJ546" s="207"/>
      <c r="DK546" s="207"/>
      <c r="DL546" s="207"/>
      <c r="DM546" s="207"/>
      <c r="DN546" s="207"/>
      <c r="DO546" s="207"/>
      <c r="DP546" s="207"/>
      <c r="DQ546" s="207"/>
      <c r="DR546" s="207"/>
      <c r="DS546" s="207"/>
      <c r="DT546" s="207"/>
      <c r="DU546" s="207"/>
      <c r="DV546" s="207"/>
      <c r="DW546" s="207"/>
      <c r="DX546" s="207"/>
      <c r="DY546" s="207"/>
      <c r="DZ546" s="207"/>
      <c r="EA546" s="207"/>
      <c r="EB546" s="207"/>
      <c r="EC546" s="207"/>
      <c r="ED546" s="207"/>
      <c r="EE546" s="207"/>
      <c r="EF546" s="207"/>
      <c r="EG546" s="207"/>
      <c r="EH546" s="207"/>
      <c r="EI546" s="207"/>
      <c r="EJ546" s="207"/>
      <c r="EK546" s="207"/>
      <c r="EL546" s="207"/>
      <c r="EM546" s="207"/>
      <c r="EN546" s="207"/>
      <c r="EO546" s="207"/>
      <c r="EP546" s="207"/>
      <c r="EQ546" s="207"/>
      <c r="ER546" s="207"/>
      <c r="ES546" s="207"/>
      <c r="ET546" s="207"/>
      <c r="EU546" s="207"/>
      <c r="EV546" s="207"/>
      <c r="EW546" s="207"/>
      <c r="EX546" s="207"/>
      <c r="EY546" s="207"/>
      <c r="EZ546" s="207"/>
      <c r="FA546" s="207"/>
      <c r="FB546" s="207"/>
      <c r="FC546" s="207"/>
      <c r="FD546" s="207"/>
      <c r="FE546" s="207"/>
      <c r="FF546" s="207"/>
      <c r="FG546" s="207"/>
      <c r="FH546" s="207"/>
      <c r="FI546" s="207"/>
      <c r="FJ546" s="207"/>
      <c r="FK546" s="207"/>
      <c r="FL546" s="207"/>
      <c r="FM546" s="207"/>
      <c r="FN546" s="207"/>
      <c r="FO546" s="207"/>
      <c r="FP546" s="207"/>
      <c r="FQ546" s="207"/>
      <c r="FR546" s="207"/>
      <c r="FS546" s="207"/>
      <c r="FT546" s="207"/>
      <c r="FU546" s="207"/>
      <c r="FV546" s="207"/>
      <c r="FW546" s="207"/>
      <c r="FX546" s="207"/>
      <c r="FY546" s="207"/>
      <c r="FZ546" s="207"/>
      <c r="GA546" s="207"/>
      <c r="GB546" s="207"/>
      <c r="GC546" s="207"/>
      <c r="GD546" s="207"/>
      <c r="GE546" s="207"/>
      <c r="GF546" s="207"/>
      <c r="GG546" s="207"/>
      <c r="GH546" s="207"/>
      <c r="GI546" s="207"/>
      <c r="GJ546" s="207"/>
      <c r="GK546" s="207"/>
      <c r="GL546" s="207"/>
      <c r="GM546" s="207"/>
      <c r="GN546" s="207"/>
      <c r="GO546" s="207"/>
      <c r="GP546" s="207"/>
      <c r="GQ546" s="207"/>
      <c r="GR546" s="207"/>
      <c r="GS546" s="207"/>
      <c r="GT546" s="207"/>
      <c r="GU546" s="207"/>
      <c r="GV546" s="207"/>
      <c r="GW546" s="207"/>
      <c r="GX546" s="207"/>
      <c r="GY546" s="207"/>
      <c r="GZ546" s="207"/>
      <c r="HA546" s="207"/>
      <c r="HB546" s="207"/>
      <c r="HC546" s="207"/>
      <c r="HD546" s="207"/>
      <c r="HE546" s="207"/>
      <c r="HF546" s="207"/>
      <c r="HG546" s="207"/>
      <c r="HH546" s="207"/>
      <c r="HI546" s="207"/>
      <c r="HJ546" s="207"/>
      <c r="HK546" s="207"/>
      <c r="HL546" s="207"/>
      <c r="HM546" s="207"/>
      <c r="HN546" s="207"/>
      <c r="HO546" s="207"/>
      <c r="HP546" s="207"/>
      <c r="HQ546" s="207"/>
      <c r="HR546" s="207"/>
      <c r="HS546" s="207"/>
      <c r="HT546" s="207"/>
      <c r="HU546" s="207"/>
      <c r="HV546" s="207"/>
      <c r="HW546" s="207"/>
      <c r="HX546" s="207"/>
      <c r="HY546" s="207"/>
      <c r="HZ546" s="207"/>
      <c r="IA546" s="207"/>
      <c r="IB546" s="207"/>
      <c r="IC546" s="207"/>
      <c r="ID546" s="207"/>
      <c r="IE546" s="207"/>
      <c r="IF546" s="207"/>
      <c r="IG546" s="207"/>
      <c r="IH546" s="207"/>
      <c r="II546" s="207"/>
      <c r="IJ546" s="207"/>
      <c r="IK546" s="207"/>
      <c r="IL546" s="207"/>
      <c r="IM546" s="207"/>
      <c r="IN546" s="207"/>
      <c r="IO546" s="207"/>
      <c r="IP546" s="207"/>
      <c r="IQ546" s="207"/>
      <c r="IR546" s="207"/>
      <c r="IS546" s="207"/>
      <c r="IT546" s="207"/>
      <c r="IU546" s="207"/>
      <c r="IV546" s="207"/>
    </row>
    <row r="547" spans="1:256" s="207" customFormat="1" x14ac:dyDescent="0.2">
      <c r="A547" s="1436" t="s">
        <v>384</v>
      </c>
      <c r="B547" s="651"/>
      <c r="C547" s="236"/>
      <c r="D547" s="234"/>
      <c r="E547" s="234"/>
      <c r="F547" s="234"/>
      <c r="G547" s="234"/>
      <c r="H547" s="236"/>
      <c r="I547" s="973">
        <f t="shared" ref="I547:AN547" si="779">I443+I478+I512</f>
        <v>0</v>
      </c>
      <c r="J547" s="847">
        <f t="shared" si="779"/>
        <v>0</v>
      </c>
      <c r="K547" s="847">
        <f t="shared" si="779"/>
        <v>0</v>
      </c>
      <c r="L547" s="847">
        <f t="shared" si="779"/>
        <v>0</v>
      </c>
      <c r="M547" s="973">
        <f t="shared" si="779"/>
        <v>0</v>
      </c>
      <c r="N547" s="973">
        <f t="shared" si="779"/>
        <v>0</v>
      </c>
      <c r="O547" s="847">
        <f t="shared" si="779"/>
        <v>0</v>
      </c>
      <c r="P547" s="847">
        <f t="shared" si="779"/>
        <v>0</v>
      </c>
      <c r="Q547" s="847">
        <f t="shared" si="779"/>
        <v>0</v>
      </c>
      <c r="R547" s="973">
        <f t="shared" si="779"/>
        <v>0</v>
      </c>
      <c r="S547" s="973">
        <f t="shared" si="779"/>
        <v>0</v>
      </c>
      <c r="T547" s="847">
        <f t="shared" si="779"/>
        <v>0</v>
      </c>
      <c r="U547" s="847">
        <f t="shared" si="779"/>
        <v>0</v>
      </c>
      <c r="V547" s="847">
        <f t="shared" si="779"/>
        <v>0</v>
      </c>
      <c r="W547" s="973">
        <f t="shared" si="779"/>
        <v>0</v>
      </c>
      <c r="X547" s="973">
        <f t="shared" si="779"/>
        <v>0</v>
      </c>
      <c r="Y547" s="847">
        <f t="shared" si="779"/>
        <v>0</v>
      </c>
      <c r="Z547" s="847">
        <f t="shared" si="779"/>
        <v>0</v>
      </c>
      <c r="AA547" s="847">
        <f t="shared" si="779"/>
        <v>0</v>
      </c>
      <c r="AB547" s="973">
        <f t="shared" si="779"/>
        <v>0</v>
      </c>
      <c r="AC547" s="973">
        <f t="shared" si="779"/>
        <v>0</v>
      </c>
      <c r="AD547" s="847">
        <f t="shared" si="779"/>
        <v>0</v>
      </c>
      <c r="AE547" s="847">
        <f t="shared" si="779"/>
        <v>0</v>
      </c>
      <c r="AF547" s="847">
        <f t="shared" si="779"/>
        <v>0</v>
      </c>
      <c r="AG547" s="973">
        <f t="shared" si="779"/>
        <v>0</v>
      </c>
      <c r="AH547" s="973">
        <f t="shared" si="779"/>
        <v>0</v>
      </c>
      <c r="AI547" s="847">
        <f t="shared" si="779"/>
        <v>0</v>
      </c>
      <c r="AJ547" s="847">
        <f t="shared" si="779"/>
        <v>0</v>
      </c>
      <c r="AK547" s="847">
        <f t="shared" si="779"/>
        <v>0</v>
      </c>
      <c r="AL547" s="973">
        <f t="shared" si="779"/>
        <v>0</v>
      </c>
      <c r="AM547" s="973">
        <f t="shared" si="779"/>
        <v>0</v>
      </c>
      <c r="AN547" s="847">
        <f t="shared" si="779"/>
        <v>0</v>
      </c>
      <c r="AO547" s="847">
        <f t="shared" ref="AO547:BT547" si="780">AO443+AO478+AO512</f>
        <v>0</v>
      </c>
      <c r="AP547" s="847">
        <f t="shared" si="780"/>
        <v>0</v>
      </c>
      <c r="AQ547" s="973">
        <f t="shared" si="780"/>
        <v>0</v>
      </c>
      <c r="AR547" s="973">
        <f t="shared" si="780"/>
        <v>0</v>
      </c>
      <c r="AS547" s="847">
        <f t="shared" si="780"/>
        <v>0</v>
      </c>
      <c r="AT547" s="847">
        <f t="shared" si="780"/>
        <v>0</v>
      </c>
      <c r="AU547" s="847">
        <f t="shared" si="780"/>
        <v>0</v>
      </c>
      <c r="AV547" s="973">
        <f t="shared" si="780"/>
        <v>0</v>
      </c>
      <c r="AW547" s="973">
        <f t="shared" si="780"/>
        <v>0</v>
      </c>
      <c r="AX547" s="847">
        <f t="shared" si="780"/>
        <v>0</v>
      </c>
      <c r="AY547" s="847">
        <f t="shared" si="780"/>
        <v>0</v>
      </c>
      <c r="AZ547" s="847">
        <f t="shared" si="780"/>
        <v>0</v>
      </c>
      <c r="BA547" s="973">
        <f t="shared" si="780"/>
        <v>0</v>
      </c>
      <c r="BB547" s="973">
        <f t="shared" si="780"/>
        <v>0</v>
      </c>
      <c r="BC547" s="847">
        <f t="shared" si="780"/>
        <v>0</v>
      </c>
      <c r="BD547" s="847">
        <f t="shared" si="780"/>
        <v>0</v>
      </c>
      <c r="BE547" s="847">
        <f t="shared" si="780"/>
        <v>0</v>
      </c>
      <c r="BF547" s="973">
        <f t="shared" si="780"/>
        <v>0</v>
      </c>
      <c r="BG547" s="973">
        <f t="shared" si="780"/>
        <v>0</v>
      </c>
      <c r="BH547" s="847">
        <f t="shared" si="780"/>
        <v>0</v>
      </c>
      <c r="BI547" s="847">
        <f t="shared" si="780"/>
        <v>0</v>
      </c>
      <c r="BJ547" s="847">
        <f t="shared" si="780"/>
        <v>0</v>
      </c>
      <c r="BK547" s="661">
        <f t="shared" si="780"/>
        <v>0</v>
      </c>
      <c r="BL547" s="847">
        <f t="shared" si="780"/>
        <v>0</v>
      </c>
      <c r="BM547" s="847">
        <f t="shared" si="780"/>
        <v>0</v>
      </c>
      <c r="BN547" s="847">
        <f t="shared" si="780"/>
        <v>0</v>
      </c>
      <c r="BO547" s="847">
        <f t="shared" si="780"/>
        <v>0</v>
      </c>
      <c r="BP547" s="661">
        <f t="shared" si="780"/>
        <v>0</v>
      </c>
      <c r="BQ547" s="847">
        <f t="shared" si="780"/>
        <v>0</v>
      </c>
      <c r="BR547" s="847">
        <f t="shared" si="780"/>
        <v>0</v>
      </c>
      <c r="BS547" s="847">
        <f t="shared" si="780"/>
        <v>0</v>
      </c>
      <c r="BT547" s="847">
        <f t="shared" si="780"/>
        <v>0</v>
      </c>
      <c r="BU547" s="661">
        <f t="shared" ref="BU547:CA547" si="781">BU443+BU478+BU512</f>
        <v>0</v>
      </c>
      <c r="BV547" s="847">
        <f t="shared" si="781"/>
        <v>0</v>
      </c>
      <c r="BW547" s="847">
        <f t="shared" si="781"/>
        <v>0</v>
      </c>
      <c r="BX547" s="847">
        <f t="shared" si="781"/>
        <v>0</v>
      </c>
      <c r="BY547" s="847">
        <f t="shared" si="781"/>
        <v>0</v>
      </c>
      <c r="BZ547" s="661">
        <f t="shared" si="781"/>
        <v>0</v>
      </c>
      <c r="CA547" s="847">
        <f t="shared" si="781"/>
        <v>0</v>
      </c>
      <c r="CB547" s="847">
        <f t="shared" ref="CB547:CV547" si="782">CB443+CB478+CB512</f>
        <v>0</v>
      </c>
      <c r="CC547" s="847">
        <f t="shared" si="782"/>
        <v>0</v>
      </c>
      <c r="CD547" s="847">
        <f t="shared" si="782"/>
        <v>0</v>
      </c>
      <c r="CE547" s="661">
        <f t="shared" si="782"/>
        <v>0</v>
      </c>
      <c r="CF547" s="847">
        <f t="shared" si="782"/>
        <v>0</v>
      </c>
      <c r="CG547" s="847">
        <f t="shared" si="782"/>
        <v>0</v>
      </c>
      <c r="CH547" s="847">
        <f t="shared" si="782"/>
        <v>0</v>
      </c>
      <c r="CI547" s="847">
        <f t="shared" si="782"/>
        <v>0</v>
      </c>
      <c r="CJ547" s="661">
        <f t="shared" si="782"/>
        <v>0</v>
      </c>
      <c r="CK547" s="2350">
        <f>CK443+CK478+CK512</f>
        <v>0</v>
      </c>
      <c r="CL547" s="847">
        <f t="shared" si="782"/>
        <v>0</v>
      </c>
      <c r="CM547" s="1261">
        <f t="shared" si="782"/>
        <v>0</v>
      </c>
      <c r="CN547" s="1261">
        <f t="shared" si="782"/>
        <v>0</v>
      </c>
      <c r="CO547" s="661">
        <f t="shared" si="782"/>
        <v>0</v>
      </c>
      <c r="CP547" s="1261">
        <f t="shared" si="778"/>
        <v>0</v>
      </c>
      <c r="CQ547" s="1261">
        <f t="shared" si="778"/>
        <v>0</v>
      </c>
      <c r="CR547" s="1261">
        <f t="shared" si="778"/>
        <v>0</v>
      </c>
      <c r="CS547" s="1261">
        <f t="shared" si="778"/>
        <v>0</v>
      </c>
      <c r="CT547" s="661">
        <f t="shared" si="778"/>
        <v>0</v>
      </c>
      <c r="CU547" s="661">
        <f t="shared" si="782"/>
        <v>0</v>
      </c>
      <c r="CV547" s="661">
        <f t="shared" si="782"/>
        <v>0</v>
      </c>
      <c r="CW547" s="374"/>
      <c r="CX547" s="374"/>
      <c r="CY547" s="374"/>
      <c r="CZ547" s="374"/>
      <c r="DA547" s="374"/>
      <c r="DB547" s="217"/>
      <c r="DC547" s="212"/>
      <c r="DD547" s="212"/>
      <c r="DE547" s="70"/>
      <c r="DF547" s="70"/>
      <c r="DG547" s="70"/>
      <c r="DH547" s="70"/>
      <c r="DI547" s="70"/>
      <c r="DJ547" s="70"/>
      <c r="DK547" s="70"/>
      <c r="DL547" s="70"/>
      <c r="DM547" s="70"/>
      <c r="DN547" s="70"/>
      <c r="DO547" s="70"/>
      <c r="DP547" s="70"/>
      <c r="DQ547" s="70"/>
      <c r="DR547" s="70"/>
      <c r="DS547" s="70"/>
      <c r="DT547" s="70"/>
      <c r="DU547" s="70"/>
      <c r="DV547" s="70"/>
      <c r="DW547" s="70"/>
      <c r="DX547" s="70"/>
      <c r="DY547" s="70"/>
      <c r="DZ547" s="70"/>
      <c r="EA547" s="70"/>
      <c r="EB547" s="70"/>
      <c r="EC547" s="70"/>
      <c r="ED547" s="70"/>
      <c r="EE547" s="70"/>
      <c r="EF547" s="70"/>
      <c r="EG547" s="70"/>
      <c r="EH547" s="70"/>
      <c r="EI547" s="70"/>
      <c r="EJ547" s="70"/>
      <c r="EK547" s="70"/>
      <c r="EL547" s="70"/>
      <c r="EM547" s="70"/>
      <c r="EN547" s="70"/>
      <c r="EO547" s="70"/>
      <c r="EP547" s="70"/>
      <c r="EQ547" s="70"/>
      <c r="ER547" s="70"/>
      <c r="ES547" s="70"/>
      <c r="ET547" s="70"/>
      <c r="EU547" s="70"/>
      <c r="EV547" s="70"/>
      <c r="EW547" s="70"/>
      <c r="EX547" s="70"/>
      <c r="EY547" s="70"/>
      <c r="EZ547" s="70"/>
      <c r="FA547" s="70"/>
      <c r="FB547" s="70"/>
      <c r="FC547" s="70"/>
      <c r="FD547" s="70"/>
      <c r="FE547" s="70"/>
      <c r="FF547" s="70"/>
      <c r="FG547" s="70"/>
      <c r="FH547" s="70"/>
      <c r="FI547" s="70"/>
      <c r="FJ547" s="70"/>
      <c r="FK547" s="70"/>
      <c r="FL547" s="70"/>
      <c r="FM547" s="70"/>
      <c r="FN547" s="70"/>
      <c r="FO547" s="70"/>
      <c r="FP547" s="70"/>
      <c r="FQ547" s="70"/>
      <c r="FR547" s="70"/>
      <c r="FS547" s="70"/>
      <c r="FT547" s="70"/>
      <c r="FU547" s="70"/>
      <c r="FV547" s="70"/>
      <c r="FW547" s="70"/>
      <c r="FX547" s="70"/>
      <c r="FY547" s="70"/>
      <c r="FZ547" s="70"/>
      <c r="GA547" s="70"/>
      <c r="GB547" s="70"/>
      <c r="GC547" s="70"/>
      <c r="GD547" s="70"/>
      <c r="GE547" s="70"/>
      <c r="GF547" s="70"/>
      <c r="GG547" s="70"/>
      <c r="GH547" s="70"/>
      <c r="GI547" s="70"/>
      <c r="GJ547" s="70"/>
      <c r="GK547" s="70"/>
      <c r="GL547" s="70"/>
      <c r="GM547" s="70"/>
      <c r="GN547" s="70"/>
      <c r="GO547" s="70"/>
      <c r="GP547" s="70"/>
      <c r="GQ547" s="70"/>
      <c r="GR547" s="70"/>
      <c r="GS547" s="70"/>
      <c r="GT547" s="70"/>
      <c r="GU547" s="70"/>
      <c r="GV547" s="70"/>
      <c r="GW547" s="70"/>
      <c r="GX547" s="70"/>
      <c r="GY547" s="70"/>
      <c r="GZ547" s="70"/>
      <c r="HA547" s="70"/>
      <c r="HB547" s="70"/>
      <c r="HC547" s="70"/>
      <c r="HD547" s="70"/>
      <c r="HE547" s="70"/>
      <c r="HF547" s="70"/>
      <c r="HG547" s="70"/>
      <c r="HH547" s="70"/>
      <c r="HI547" s="70"/>
      <c r="HJ547" s="70"/>
      <c r="HK547" s="70"/>
      <c r="HL547" s="70"/>
      <c r="HM547" s="70"/>
      <c r="HN547" s="70"/>
      <c r="HO547" s="70"/>
      <c r="HP547" s="70"/>
      <c r="HQ547" s="70"/>
      <c r="HR547" s="70"/>
      <c r="HS547" s="70"/>
      <c r="HT547" s="70"/>
      <c r="HU547" s="70"/>
      <c r="HV547" s="70"/>
      <c r="HW547" s="70"/>
      <c r="HX547" s="70"/>
      <c r="HY547" s="70"/>
      <c r="HZ547" s="70"/>
      <c r="IA547" s="70"/>
      <c r="IB547" s="70"/>
      <c r="IC547" s="70"/>
      <c r="ID547" s="70"/>
      <c r="IE547" s="70"/>
      <c r="IF547" s="70"/>
      <c r="IG547" s="70"/>
      <c r="IH547" s="70"/>
      <c r="II547" s="70"/>
      <c r="IJ547" s="70"/>
      <c r="IK547" s="70"/>
      <c r="IL547" s="70"/>
      <c r="IM547" s="70"/>
      <c r="IN547" s="70"/>
      <c r="IO547" s="70"/>
      <c r="IP547" s="70"/>
      <c r="IQ547" s="70"/>
      <c r="IR547" s="70"/>
      <c r="IS547" s="70"/>
      <c r="IT547" s="70"/>
      <c r="IU547" s="70"/>
      <c r="IV547" s="70"/>
    </row>
    <row r="548" spans="1:256" s="207" customFormat="1" x14ac:dyDescent="0.2">
      <c r="A548" s="1434" t="s">
        <v>576</v>
      </c>
      <c r="B548" s="651"/>
      <c r="C548" s="236"/>
      <c r="D548" s="234"/>
      <c r="E548" s="234"/>
      <c r="F548" s="234"/>
      <c r="G548" s="234"/>
      <c r="H548" s="236"/>
      <c r="I548" s="973">
        <v>0</v>
      </c>
      <c r="J548" s="847">
        <v>0</v>
      </c>
      <c r="K548" s="847">
        <v>0</v>
      </c>
      <c r="L548" s="847">
        <v>0</v>
      </c>
      <c r="M548" s="973">
        <v>0</v>
      </c>
      <c r="N548" s="973">
        <v>0</v>
      </c>
      <c r="O548" s="847">
        <v>0</v>
      </c>
      <c r="P548" s="847">
        <v>0</v>
      </c>
      <c r="Q548" s="847">
        <v>0</v>
      </c>
      <c r="R548" s="973">
        <v>0</v>
      </c>
      <c r="S548" s="973">
        <v>0</v>
      </c>
      <c r="T548" s="847">
        <v>0</v>
      </c>
      <c r="U548" s="847">
        <v>0</v>
      </c>
      <c r="V548" s="847">
        <v>0</v>
      </c>
      <c r="W548" s="973">
        <v>0</v>
      </c>
      <c r="X548" s="973">
        <v>0</v>
      </c>
      <c r="Y548" s="847">
        <v>0</v>
      </c>
      <c r="Z548" s="847">
        <v>0</v>
      </c>
      <c r="AA548" s="847">
        <v>0</v>
      </c>
      <c r="AB548" s="973">
        <v>0</v>
      </c>
      <c r="AC548" s="973">
        <v>0</v>
      </c>
      <c r="AD548" s="847">
        <v>0</v>
      </c>
      <c r="AE548" s="847">
        <v>0</v>
      </c>
      <c r="AF548" s="847">
        <v>0</v>
      </c>
      <c r="AG548" s="973">
        <v>0</v>
      </c>
      <c r="AH548" s="973">
        <v>0</v>
      </c>
      <c r="AI548" s="847">
        <v>0</v>
      </c>
      <c r="AJ548" s="847">
        <v>0</v>
      </c>
      <c r="AK548" s="847">
        <v>0</v>
      </c>
      <c r="AL548" s="973">
        <v>0</v>
      </c>
      <c r="AM548" s="973">
        <v>0</v>
      </c>
      <c r="AN548" s="847">
        <v>0</v>
      </c>
      <c r="AO548" s="847">
        <v>0</v>
      </c>
      <c r="AP548" s="847">
        <v>0</v>
      </c>
      <c r="AQ548" s="973">
        <v>0</v>
      </c>
      <c r="AR548" s="973">
        <v>0</v>
      </c>
      <c r="AS548" s="847">
        <v>0</v>
      </c>
      <c r="AT548" s="847">
        <v>0</v>
      </c>
      <c r="AU548" s="847">
        <v>0</v>
      </c>
      <c r="AV548" s="973">
        <v>0</v>
      </c>
      <c r="AW548" s="973">
        <v>0</v>
      </c>
      <c r="AX548" s="847">
        <v>0</v>
      </c>
      <c r="AY548" s="847">
        <v>0</v>
      </c>
      <c r="AZ548" s="847">
        <v>0</v>
      </c>
      <c r="BA548" s="973">
        <v>0</v>
      </c>
      <c r="BB548" s="973">
        <v>0</v>
      </c>
      <c r="BC548" s="847">
        <v>0</v>
      </c>
      <c r="BD548" s="847">
        <v>0</v>
      </c>
      <c r="BE548" s="847">
        <v>0</v>
      </c>
      <c r="BF548" s="973">
        <v>0</v>
      </c>
      <c r="BG548" s="973">
        <v>0</v>
      </c>
      <c r="BH548" s="847">
        <v>0</v>
      </c>
      <c r="BI548" s="847">
        <v>0</v>
      </c>
      <c r="BJ548" s="847">
        <v>0</v>
      </c>
      <c r="BK548" s="661">
        <v>0</v>
      </c>
      <c r="BL548" s="847">
        <v>0</v>
      </c>
      <c r="BM548" s="847">
        <v>0</v>
      </c>
      <c r="BN548" s="847">
        <v>0</v>
      </c>
      <c r="BO548" s="847">
        <v>0</v>
      </c>
      <c r="BP548" s="661">
        <v>0</v>
      </c>
      <c r="BQ548" s="847">
        <v>0</v>
      </c>
      <c r="BR548" s="847">
        <v>0</v>
      </c>
      <c r="BS548" s="847">
        <v>0</v>
      </c>
      <c r="BT548" s="847">
        <v>0</v>
      </c>
      <c r="BU548" s="661">
        <v>0</v>
      </c>
      <c r="BV548" s="847">
        <v>0</v>
      </c>
      <c r="BW548" s="847">
        <v>0</v>
      </c>
      <c r="BX548" s="847">
        <v>0</v>
      </c>
      <c r="BY548" s="847">
        <v>0</v>
      </c>
      <c r="BZ548" s="661">
        <v>0</v>
      </c>
      <c r="CA548" s="847">
        <v>0</v>
      </c>
      <c r="CB548" s="847">
        <v>0</v>
      </c>
      <c r="CC548" s="847">
        <v>0</v>
      </c>
      <c r="CD548" s="847">
        <v>0</v>
      </c>
      <c r="CE548" s="661">
        <v>0</v>
      </c>
      <c r="CF548" s="847">
        <v>0</v>
      </c>
      <c r="CG548" s="847">
        <v>0</v>
      </c>
      <c r="CH548" s="847">
        <v>0</v>
      </c>
      <c r="CI548" s="847">
        <v>0</v>
      </c>
      <c r="CJ548" s="661">
        <v>0</v>
      </c>
      <c r="CK548" s="2350">
        <v>0</v>
      </c>
      <c r="CL548" s="847">
        <v>0</v>
      </c>
      <c r="CM548" s="1261">
        <v>0</v>
      </c>
      <c r="CN548" s="1261">
        <v>0</v>
      </c>
      <c r="CO548" s="661">
        <v>0</v>
      </c>
      <c r="CP548" s="1261">
        <f>CO548</f>
        <v>0</v>
      </c>
      <c r="CQ548" s="1261">
        <f>CP548</f>
        <v>0</v>
      </c>
      <c r="CR548" s="1261">
        <f>CQ548</f>
        <v>0</v>
      </c>
      <c r="CS548" s="1261">
        <f>CR548</f>
        <v>0</v>
      </c>
      <c r="CT548" s="661">
        <v>0</v>
      </c>
      <c r="CU548" s="661">
        <v>0</v>
      </c>
      <c r="CV548" s="661">
        <v>0</v>
      </c>
      <c r="CW548" s="2481"/>
      <c r="CX548" s="2481"/>
      <c r="CY548" s="2481"/>
      <c r="CZ548" s="2481"/>
      <c r="DA548" s="2481"/>
      <c r="DB548" s="217"/>
      <c r="DC548" s="212"/>
      <c r="DD548" s="212"/>
      <c r="DE548" s="70"/>
      <c r="DF548" s="70"/>
      <c r="DG548" s="70"/>
      <c r="DH548" s="70"/>
      <c r="DI548" s="70"/>
      <c r="DJ548" s="70"/>
      <c r="DK548" s="70"/>
      <c r="DL548" s="70"/>
      <c r="DM548" s="70"/>
      <c r="DN548" s="70"/>
      <c r="DO548" s="70"/>
      <c r="DP548" s="70"/>
      <c r="DQ548" s="70"/>
      <c r="DR548" s="70"/>
      <c r="DS548" s="70"/>
      <c r="DT548" s="70"/>
      <c r="DU548" s="70"/>
      <c r="DV548" s="70"/>
      <c r="DW548" s="70"/>
      <c r="DX548" s="70"/>
      <c r="DY548" s="70"/>
      <c r="DZ548" s="70"/>
      <c r="EA548" s="70"/>
      <c r="EB548" s="70"/>
      <c r="EC548" s="70"/>
      <c r="ED548" s="70"/>
      <c r="EE548" s="70"/>
      <c r="EF548" s="70"/>
      <c r="EG548" s="70"/>
      <c r="EH548" s="70"/>
      <c r="EI548" s="70"/>
      <c r="EJ548" s="70"/>
      <c r="EK548" s="70"/>
      <c r="EL548" s="70"/>
      <c r="EM548" s="70"/>
      <c r="EN548" s="70"/>
      <c r="EO548" s="70"/>
      <c r="EP548" s="70"/>
      <c r="EQ548" s="70"/>
      <c r="ER548" s="70"/>
      <c r="ES548" s="70"/>
      <c r="ET548" s="70"/>
      <c r="EU548" s="70"/>
      <c r="EV548" s="70"/>
      <c r="EW548" s="70"/>
      <c r="EX548" s="70"/>
      <c r="EY548" s="70"/>
      <c r="EZ548" s="70"/>
      <c r="FA548" s="70"/>
      <c r="FB548" s="70"/>
      <c r="FC548" s="70"/>
      <c r="FD548" s="70"/>
      <c r="FE548" s="70"/>
      <c r="FF548" s="70"/>
      <c r="FG548" s="70"/>
      <c r="FH548" s="70"/>
      <c r="FI548" s="70"/>
      <c r="FJ548" s="70"/>
      <c r="FK548" s="70"/>
      <c r="FL548" s="70"/>
      <c r="FM548" s="70"/>
      <c r="FN548" s="70"/>
      <c r="FO548" s="70"/>
      <c r="FP548" s="70"/>
      <c r="FQ548" s="70"/>
      <c r="FR548" s="70"/>
      <c r="FS548" s="70"/>
      <c r="FT548" s="70"/>
      <c r="FU548" s="70"/>
      <c r="FV548" s="70"/>
      <c r="FW548" s="70"/>
      <c r="FX548" s="70"/>
      <c r="FY548" s="70"/>
      <c r="FZ548" s="70"/>
      <c r="GA548" s="70"/>
      <c r="GB548" s="70"/>
      <c r="GC548" s="70"/>
      <c r="GD548" s="70"/>
      <c r="GE548" s="70"/>
      <c r="GF548" s="70"/>
      <c r="GG548" s="70"/>
      <c r="GH548" s="70"/>
      <c r="GI548" s="70"/>
      <c r="GJ548" s="70"/>
      <c r="GK548" s="70"/>
      <c r="GL548" s="70"/>
      <c r="GM548" s="70"/>
      <c r="GN548" s="70"/>
      <c r="GO548" s="70"/>
      <c r="GP548" s="70"/>
      <c r="GQ548" s="70"/>
      <c r="GR548" s="70"/>
      <c r="GS548" s="70"/>
      <c r="GT548" s="70"/>
      <c r="GU548" s="70"/>
      <c r="GV548" s="70"/>
      <c r="GW548" s="70"/>
      <c r="GX548" s="70"/>
      <c r="GY548" s="70"/>
      <c r="GZ548" s="70"/>
      <c r="HA548" s="70"/>
      <c r="HB548" s="70"/>
      <c r="HC548" s="70"/>
      <c r="HD548" s="70"/>
      <c r="HE548" s="70"/>
      <c r="HF548" s="70"/>
      <c r="HG548" s="70"/>
      <c r="HH548" s="70"/>
      <c r="HI548" s="70"/>
      <c r="HJ548" s="70"/>
      <c r="HK548" s="70"/>
      <c r="HL548" s="70"/>
      <c r="HM548" s="70"/>
      <c r="HN548" s="70"/>
      <c r="HO548" s="70"/>
      <c r="HP548" s="70"/>
      <c r="HQ548" s="70"/>
      <c r="HR548" s="70"/>
      <c r="HS548" s="70"/>
      <c r="HT548" s="70"/>
      <c r="HU548" s="70"/>
      <c r="HV548" s="70"/>
      <c r="HW548" s="70"/>
      <c r="HX548" s="70"/>
      <c r="HY548" s="70"/>
      <c r="HZ548" s="70"/>
      <c r="IA548" s="70"/>
      <c r="IB548" s="70"/>
      <c r="IC548" s="70"/>
      <c r="ID548" s="70"/>
      <c r="IE548" s="70"/>
      <c r="IF548" s="70"/>
      <c r="IG548" s="70"/>
      <c r="IH548" s="70"/>
      <c r="II548" s="70"/>
      <c r="IJ548" s="70"/>
      <c r="IK548" s="70"/>
      <c r="IL548" s="70"/>
      <c r="IM548" s="70"/>
      <c r="IN548" s="70"/>
      <c r="IO548" s="70"/>
      <c r="IP548" s="70"/>
      <c r="IQ548" s="70"/>
      <c r="IR548" s="70"/>
      <c r="IS548" s="70"/>
      <c r="IT548" s="70"/>
      <c r="IU548" s="70"/>
      <c r="IV548" s="70"/>
    </row>
    <row r="549" spans="1:256" s="207" customFormat="1" ht="4.5" customHeight="1" x14ac:dyDescent="0.2">
      <c r="A549" s="1434"/>
      <c r="B549" s="651"/>
      <c r="C549" s="236"/>
      <c r="D549" s="234"/>
      <c r="E549" s="234"/>
      <c r="F549" s="234"/>
      <c r="G549" s="234"/>
      <c r="H549" s="236"/>
      <c r="I549" s="973"/>
      <c r="J549" s="847"/>
      <c r="K549" s="847"/>
      <c r="L549" s="847"/>
      <c r="M549" s="973"/>
      <c r="N549" s="973"/>
      <c r="O549" s="847"/>
      <c r="P549" s="847"/>
      <c r="Q549" s="847"/>
      <c r="R549" s="973"/>
      <c r="S549" s="973"/>
      <c r="T549" s="847"/>
      <c r="U549" s="847"/>
      <c r="V549" s="847"/>
      <c r="W549" s="973"/>
      <c r="X549" s="973"/>
      <c r="Y549" s="847"/>
      <c r="Z549" s="847"/>
      <c r="AA549" s="847"/>
      <c r="AB549" s="973"/>
      <c r="AC549" s="973"/>
      <c r="AD549" s="847"/>
      <c r="AE549" s="847"/>
      <c r="AF549" s="847"/>
      <c r="AG549" s="973"/>
      <c r="AH549" s="973"/>
      <c r="AI549" s="847"/>
      <c r="AJ549" s="847"/>
      <c r="AK549" s="847"/>
      <c r="AL549" s="973"/>
      <c r="AM549" s="973"/>
      <c r="AN549" s="847"/>
      <c r="AO549" s="847"/>
      <c r="AP549" s="847"/>
      <c r="AQ549" s="973"/>
      <c r="AR549" s="973"/>
      <c r="AS549" s="847"/>
      <c r="AT549" s="847"/>
      <c r="AU549" s="847"/>
      <c r="AV549" s="973"/>
      <c r="AW549" s="973"/>
      <c r="AX549" s="847"/>
      <c r="AY549" s="847"/>
      <c r="AZ549" s="847"/>
      <c r="BA549" s="973"/>
      <c r="BB549" s="973"/>
      <c r="BC549" s="847"/>
      <c r="BD549" s="847"/>
      <c r="BE549" s="847"/>
      <c r="BF549" s="973"/>
      <c r="BG549" s="973"/>
      <c r="BH549" s="847"/>
      <c r="BI549" s="847"/>
      <c r="BJ549" s="847"/>
      <c r="BK549" s="661"/>
      <c r="BL549" s="847"/>
      <c r="BM549" s="847"/>
      <c r="BN549" s="847"/>
      <c r="BO549" s="847"/>
      <c r="BP549" s="661"/>
      <c r="BQ549" s="847"/>
      <c r="BR549" s="847"/>
      <c r="BS549" s="847"/>
      <c r="BT549" s="847"/>
      <c r="BU549" s="661"/>
      <c r="BV549" s="847"/>
      <c r="BW549" s="847"/>
      <c r="BX549" s="847"/>
      <c r="BY549" s="847"/>
      <c r="BZ549" s="661"/>
      <c r="CA549" s="847"/>
      <c r="CB549" s="847"/>
      <c r="CC549" s="847"/>
      <c r="CD549" s="847"/>
      <c r="CE549" s="661"/>
      <c r="CF549" s="847"/>
      <c r="CG549" s="847"/>
      <c r="CH549" s="847"/>
      <c r="CI549" s="847"/>
      <c r="CJ549" s="661"/>
      <c r="CK549" s="2350"/>
      <c r="CL549" s="847"/>
      <c r="CM549" s="1261"/>
      <c r="CN549" s="1261"/>
      <c r="CO549" s="661"/>
      <c r="CP549" s="1261"/>
      <c r="CQ549" s="1261"/>
      <c r="CR549" s="1261"/>
      <c r="CS549" s="1261"/>
      <c r="CT549" s="661"/>
      <c r="CU549" s="661"/>
      <c r="CV549" s="661"/>
      <c r="CW549" s="2481"/>
      <c r="CX549" s="2481"/>
      <c r="CY549" s="2481"/>
      <c r="CZ549" s="2481"/>
      <c r="DA549" s="2481"/>
      <c r="DB549" s="217"/>
      <c r="DC549" s="212"/>
      <c r="DD549" s="212"/>
      <c r="DE549" s="70"/>
      <c r="DF549" s="70"/>
      <c r="DG549" s="70"/>
      <c r="DH549" s="70"/>
      <c r="DI549" s="70"/>
      <c r="DJ549" s="70"/>
      <c r="DK549" s="70"/>
      <c r="DL549" s="70"/>
      <c r="DM549" s="70"/>
      <c r="DN549" s="70"/>
      <c r="DO549" s="70"/>
      <c r="DP549" s="70"/>
      <c r="DQ549" s="70"/>
      <c r="DR549" s="70"/>
      <c r="DS549" s="70"/>
      <c r="DT549" s="70"/>
      <c r="DU549" s="70"/>
      <c r="DV549" s="70"/>
      <c r="DW549" s="70"/>
      <c r="DX549" s="70"/>
      <c r="DY549" s="70"/>
      <c r="DZ549" s="70"/>
      <c r="EA549" s="70"/>
      <c r="EB549" s="70"/>
      <c r="EC549" s="70"/>
      <c r="ED549" s="70"/>
      <c r="EE549" s="70"/>
      <c r="EF549" s="70"/>
      <c r="EG549" s="70"/>
      <c r="EH549" s="70"/>
      <c r="EI549" s="70"/>
      <c r="EJ549" s="70"/>
      <c r="EK549" s="70"/>
      <c r="EL549" s="70"/>
      <c r="EM549" s="70"/>
      <c r="EN549" s="70"/>
      <c r="EO549" s="70"/>
      <c r="EP549" s="70"/>
      <c r="EQ549" s="70"/>
      <c r="ER549" s="70"/>
      <c r="ES549" s="70"/>
      <c r="ET549" s="70"/>
      <c r="EU549" s="70"/>
      <c r="EV549" s="70"/>
      <c r="EW549" s="70"/>
      <c r="EX549" s="70"/>
      <c r="EY549" s="70"/>
      <c r="EZ549" s="70"/>
      <c r="FA549" s="70"/>
      <c r="FB549" s="70"/>
      <c r="FC549" s="70"/>
      <c r="FD549" s="70"/>
      <c r="FE549" s="70"/>
      <c r="FF549" s="70"/>
      <c r="FG549" s="70"/>
      <c r="FH549" s="70"/>
      <c r="FI549" s="70"/>
      <c r="FJ549" s="70"/>
      <c r="FK549" s="70"/>
      <c r="FL549" s="70"/>
      <c r="FM549" s="70"/>
      <c r="FN549" s="70"/>
      <c r="FO549" s="70"/>
      <c r="FP549" s="70"/>
      <c r="FQ549" s="70"/>
      <c r="FR549" s="70"/>
      <c r="FS549" s="70"/>
      <c r="FT549" s="70"/>
      <c r="FU549" s="70"/>
      <c r="FV549" s="70"/>
      <c r="FW549" s="70"/>
      <c r="FX549" s="70"/>
      <c r="FY549" s="70"/>
      <c r="FZ549" s="70"/>
      <c r="GA549" s="70"/>
      <c r="GB549" s="70"/>
      <c r="GC549" s="70"/>
      <c r="GD549" s="70"/>
      <c r="GE549" s="70"/>
      <c r="GF549" s="70"/>
      <c r="GG549" s="70"/>
      <c r="GH549" s="70"/>
      <c r="GI549" s="70"/>
      <c r="GJ549" s="70"/>
      <c r="GK549" s="70"/>
      <c r="GL549" s="70"/>
      <c r="GM549" s="70"/>
      <c r="GN549" s="70"/>
      <c r="GO549" s="70"/>
      <c r="GP549" s="70"/>
      <c r="GQ549" s="70"/>
      <c r="GR549" s="70"/>
      <c r="GS549" s="70"/>
      <c r="GT549" s="70"/>
      <c r="GU549" s="70"/>
      <c r="GV549" s="70"/>
      <c r="GW549" s="70"/>
      <c r="GX549" s="70"/>
      <c r="GY549" s="70"/>
      <c r="GZ549" s="70"/>
      <c r="HA549" s="70"/>
      <c r="HB549" s="70"/>
      <c r="HC549" s="70"/>
      <c r="HD549" s="70"/>
      <c r="HE549" s="70"/>
      <c r="HF549" s="70"/>
      <c r="HG549" s="70"/>
      <c r="HH549" s="70"/>
      <c r="HI549" s="70"/>
      <c r="HJ549" s="70"/>
      <c r="HK549" s="70"/>
      <c r="HL549" s="70"/>
      <c r="HM549" s="70"/>
      <c r="HN549" s="70"/>
      <c r="HO549" s="70"/>
      <c r="HP549" s="70"/>
      <c r="HQ549" s="70"/>
      <c r="HR549" s="70"/>
      <c r="HS549" s="70"/>
      <c r="HT549" s="70"/>
      <c r="HU549" s="70"/>
      <c r="HV549" s="70"/>
      <c r="HW549" s="70"/>
      <c r="HX549" s="70"/>
      <c r="HY549" s="70"/>
      <c r="HZ549" s="70"/>
      <c r="IA549" s="70"/>
      <c r="IB549" s="70"/>
      <c r="IC549" s="70"/>
      <c r="ID549" s="70"/>
      <c r="IE549" s="70"/>
      <c r="IF549" s="70"/>
      <c r="IG549" s="70"/>
      <c r="IH549" s="70"/>
      <c r="II549" s="70"/>
      <c r="IJ549" s="70"/>
      <c r="IK549" s="70"/>
      <c r="IL549" s="70"/>
      <c r="IM549" s="70"/>
      <c r="IN549" s="70"/>
      <c r="IO549" s="70"/>
      <c r="IP549" s="70"/>
      <c r="IQ549" s="70"/>
      <c r="IR549" s="70"/>
      <c r="IS549" s="70"/>
      <c r="IT549" s="70"/>
      <c r="IU549" s="70"/>
      <c r="IV549" s="70"/>
    </row>
    <row r="550" spans="1:256" s="207" customFormat="1" x14ac:dyDescent="0.2">
      <c r="A550" s="3393" t="s">
        <v>2454</v>
      </c>
      <c r="B550" s="651"/>
      <c r="C550" s="236"/>
      <c r="D550" s="234"/>
      <c r="E550" s="234"/>
      <c r="F550" s="234"/>
      <c r="G550" s="234"/>
      <c r="H550" s="236"/>
      <c r="I550" s="973"/>
      <c r="J550" s="847"/>
      <c r="K550" s="847"/>
      <c r="L550" s="847"/>
      <c r="M550" s="973"/>
      <c r="N550" s="973"/>
      <c r="O550" s="847"/>
      <c r="P550" s="847"/>
      <c r="Q550" s="847"/>
      <c r="R550" s="973"/>
      <c r="S550" s="973"/>
      <c r="T550" s="847"/>
      <c r="U550" s="847"/>
      <c r="V550" s="847"/>
      <c r="W550" s="973"/>
      <c r="X550" s="973"/>
      <c r="Y550" s="847"/>
      <c r="Z550" s="847"/>
      <c r="AA550" s="847"/>
      <c r="AB550" s="973"/>
      <c r="AC550" s="973"/>
      <c r="AD550" s="847"/>
      <c r="AE550" s="847"/>
      <c r="AF550" s="847"/>
      <c r="AG550" s="973"/>
      <c r="AH550" s="973"/>
      <c r="AI550" s="847"/>
      <c r="AJ550" s="847"/>
      <c r="AK550" s="847"/>
      <c r="AL550" s="973"/>
      <c r="AM550" s="973"/>
      <c r="AN550" s="847"/>
      <c r="AO550" s="847"/>
      <c r="AP550" s="847"/>
      <c r="AQ550" s="973"/>
      <c r="AR550" s="973"/>
      <c r="AS550" s="847"/>
      <c r="AT550" s="847"/>
      <c r="AU550" s="847"/>
      <c r="AV550" s="973"/>
      <c r="AW550" s="973"/>
      <c r="AX550" s="847"/>
      <c r="AY550" s="847"/>
      <c r="AZ550" s="847"/>
      <c r="BA550" s="973"/>
      <c r="BB550" s="973"/>
      <c r="BC550" s="847"/>
      <c r="BD550" s="847"/>
      <c r="BE550" s="847"/>
      <c r="BF550" s="973"/>
      <c r="BG550" s="973"/>
      <c r="BH550" s="847"/>
      <c r="BI550" s="847"/>
      <c r="BJ550" s="847"/>
      <c r="BK550" s="661"/>
      <c r="BL550" s="847"/>
      <c r="BM550" s="847"/>
      <c r="BN550" s="847"/>
      <c r="BO550" s="847"/>
      <c r="BP550" s="661"/>
      <c r="BQ550" s="847"/>
      <c r="BR550" s="847"/>
      <c r="BS550" s="847"/>
      <c r="BT550" s="847"/>
      <c r="BU550" s="661"/>
      <c r="BV550" s="847"/>
      <c r="BW550" s="847"/>
      <c r="BX550" s="847"/>
      <c r="BY550" s="847"/>
      <c r="BZ550" s="661"/>
      <c r="CA550" s="847"/>
      <c r="CB550" s="847"/>
      <c r="CC550" s="847"/>
      <c r="CD550" s="847"/>
      <c r="CE550" s="661"/>
      <c r="CF550" s="847"/>
      <c r="CG550" s="2349"/>
      <c r="CH550" s="2349">
        <f>CH445+CH480+CH514</f>
        <v>74018</v>
      </c>
      <c r="CI550" s="2349">
        <f t="shared" ref="CI550:CI559" si="783">CI445+CI480+CI514</f>
        <v>74350</v>
      </c>
      <c r="CJ550" s="2293">
        <f t="shared" ref="CJ550:CV550" si="784">CJ445+CJ480+CJ514</f>
        <v>74350</v>
      </c>
      <c r="CK550" s="2350">
        <f t="shared" si="784"/>
        <v>74284</v>
      </c>
      <c r="CL550" s="2349">
        <f t="shared" si="784"/>
        <v>74036</v>
      </c>
      <c r="CM550" s="1261">
        <f t="shared" si="784"/>
        <v>73644</v>
      </c>
      <c r="CN550" s="1261">
        <f t="shared" si="784"/>
        <v>73074</v>
      </c>
      <c r="CO550" s="2293">
        <f t="shared" si="784"/>
        <v>73074</v>
      </c>
      <c r="CP550" s="1261">
        <f t="shared" ref="CP550:CT560" si="785">CP445+CP480+CP514</f>
        <v>76744.91</v>
      </c>
      <c r="CQ550" s="1261">
        <f t="shared" si="785"/>
        <v>75524.25</v>
      </c>
      <c r="CR550" s="1261">
        <f t="shared" si="785"/>
        <v>74646.759999999995</v>
      </c>
      <c r="CS550" s="1261">
        <f t="shared" si="785"/>
        <v>74987.150000000009</v>
      </c>
      <c r="CT550" s="2293">
        <f t="shared" si="785"/>
        <v>74987.150000000009</v>
      </c>
      <c r="CU550" s="2293">
        <f t="shared" si="784"/>
        <v>78428.831000000006</v>
      </c>
      <c r="CV550" s="2293">
        <f t="shared" si="784"/>
        <v>79993.325810000009</v>
      </c>
      <c r="CW550" s="2481"/>
      <c r="CX550" s="2481"/>
      <c r="CY550" s="2481"/>
      <c r="CZ550" s="2481"/>
      <c r="DA550" s="2481"/>
      <c r="DB550" s="217"/>
      <c r="DC550" s="212"/>
      <c r="DD550" s="212"/>
      <c r="DE550" s="70"/>
      <c r="DF550" s="70"/>
      <c r="DG550" s="70"/>
      <c r="DH550" s="70"/>
      <c r="DI550" s="70"/>
      <c r="DJ550" s="70"/>
      <c r="DK550" s="70"/>
      <c r="DL550" s="70"/>
      <c r="DM550" s="70"/>
      <c r="DN550" s="70"/>
      <c r="DO550" s="70"/>
      <c r="DP550" s="70"/>
      <c r="DQ550" s="70"/>
      <c r="DR550" s="70"/>
      <c r="DS550" s="70"/>
      <c r="DT550" s="70"/>
      <c r="DU550" s="70"/>
      <c r="DV550" s="70"/>
      <c r="DW550" s="70"/>
      <c r="DX550" s="70"/>
      <c r="DY550" s="70"/>
      <c r="DZ550" s="70"/>
      <c r="EA550" s="70"/>
      <c r="EB550" s="70"/>
      <c r="EC550" s="70"/>
      <c r="ED550" s="70"/>
      <c r="EE550" s="70"/>
      <c r="EF550" s="70"/>
      <c r="EG550" s="70"/>
      <c r="EH550" s="70"/>
      <c r="EI550" s="70"/>
      <c r="EJ550" s="70"/>
      <c r="EK550" s="70"/>
      <c r="EL550" s="70"/>
      <c r="EM550" s="70"/>
      <c r="EN550" s="70"/>
      <c r="EO550" s="70"/>
      <c r="EP550" s="70"/>
      <c r="EQ550" s="70"/>
      <c r="ER550" s="70"/>
      <c r="ES550" s="70"/>
      <c r="ET550" s="70"/>
      <c r="EU550" s="70"/>
      <c r="EV550" s="70"/>
      <c r="EW550" s="70"/>
      <c r="EX550" s="70"/>
      <c r="EY550" s="70"/>
      <c r="EZ550" s="70"/>
      <c r="FA550" s="70"/>
      <c r="FB550" s="70"/>
      <c r="FC550" s="70"/>
      <c r="FD550" s="70"/>
      <c r="FE550" s="70"/>
      <c r="FF550" s="70"/>
      <c r="FG550" s="70"/>
      <c r="FH550" s="70"/>
      <c r="FI550" s="70"/>
      <c r="FJ550" s="70"/>
      <c r="FK550" s="70"/>
      <c r="FL550" s="70"/>
      <c r="FM550" s="70"/>
      <c r="FN550" s="70"/>
      <c r="FO550" s="70"/>
      <c r="FP550" s="70"/>
      <c r="FQ550" s="70"/>
      <c r="FR550" s="70"/>
      <c r="FS550" s="70"/>
      <c r="FT550" s="70"/>
      <c r="FU550" s="70"/>
      <c r="FV550" s="70"/>
      <c r="FW550" s="70"/>
      <c r="FX550" s="70"/>
      <c r="FY550" s="70"/>
      <c r="FZ550" s="70"/>
      <c r="GA550" s="70"/>
      <c r="GB550" s="70"/>
      <c r="GC550" s="70"/>
      <c r="GD550" s="70"/>
      <c r="GE550" s="70"/>
      <c r="GF550" s="70"/>
      <c r="GG550" s="70"/>
      <c r="GH550" s="70"/>
      <c r="GI550" s="70"/>
      <c r="GJ550" s="70"/>
      <c r="GK550" s="70"/>
      <c r="GL550" s="70"/>
      <c r="GM550" s="70"/>
      <c r="GN550" s="70"/>
      <c r="GO550" s="70"/>
      <c r="GP550" s="70"/>
      <c r="GQ550" s="70"/>
      <c r="GR550" s="70"/>
      <c r="GS550" s="70"/>
      <c r="GT550" s="70"/>
      <c r="GU550" s="70"/>
      <c r="GV550" s="70"/>
      <c r="GW550" s="70"/>
      <c r="GX550" s="70"/>
      <c r="GY550" s="70"/>
      <c r="GZ550" s="70"/>
      <c r="HA550" s="70"/>
      <c r="HB550" s="70"/>
      <c r="HC550" s="70"/>
      <c r="HD550" s="70"/>
      <c r="HE550" s="70"/>
      <c r="HF550" s="70"/>
      <c r="HG550" s="70"/>
      <c r="HH550" s="70"/>
      <c r="HI550" s="70"/>
      <c r="HJ550" s="70"/>
      <c r="HK550" s="70"/>
      <c r="HL550" s="70"/>
      <c r="HM550" s="70"/>
      <c r="HN550" s="70"/>
      <c r="HO550" s="70"/>
      <c r="HP550" s="70"/>
      <c r="HQ550" s="70"/>
      <c r="HR550" s="70"/>
      <c r="HS550" s="70"/>
      <c r="HT550" s="70"/>
      <c r="HU550" s="70"/>
      <c r="HV550" s="70"/>
      <c r="HW550" s="70"/>
      <c r="HX550" s="70"/>
      <c r="HY550" s="70"/>
      <c r="HZ550" s="70"/>
      <c r="IA550" s="70"/>
      <c r="IB550" s="70"/>
      <c r="IC550" s="70"/>
      <c r="ID550" s="70"/>
      <c r="IE550" s="70"/>
      <c r="IF550" s="70"/>
      <c r="IG550" s="70"/>
      <c r="IH550" s="70"/>
      <c r="II550" s="70"/>
      <c r="IJ550" s="70"/>
      <c r="IK550" s="70"/>
      <c r="IL550" s="70"/>
      <c r="IM550" s="70"/>
      <c r="IN550" s="70"/>
      <c r="IO550" s="70"/>
      <c r="IP550" s="70"/>
      <c r="IQ550" s="70"/>
      <c r="IR550" s="70"/>
      <c r="IS550" s="70"/>
      <c r="IT550" s="70"/>
      <c r="IU550" s="70"/>
      <c r="IV550" s="70"/>
    </row>
    <row r="551" spans="1:256" s="207" customFormat="1" x14ac:dyDescent="0.2">
      <c r="A551" s="3393" t="s">
        <v>2455</v>
      </c>
      <c r="B551" s="651"/>
      <c r="C551" s="236"/>
      <c r="D551" s="234"/>
      <c r="E551" s="234"/>
      <c r="F551" s="234"/>
      <c r="G551" s="234"/>
      <c r="H551" s="236"/>
      <c r="I551" s="973"/>
      <c r="J551" s="847"/>
      <c r="K551" s="847"/>
      <c r="L551" s="847"/>
      <c r="M551" s="973"/>
      <c r="N551" s="973"/>
      <c r="O551" s="847"/>
      <c r="P551" s="847"/>
      <c r="Q551" s="847"/>
      <c r="R551" s="973"/>
      <c r="S551" s="973"/>
      <c r="T551" s="847"/>
      <c r="U551" s="847"/>
      <c r="V551" s="847"/>
      <c r="W551" s="973"/>
      <c r="X551" s="973"/>
      <c r="Y551" s="847"/>
      <c r="Z551" s="847"/>
      <c r="AA551" s="847"/>
      <c r="AB551" s="973"/>
      <c r="AC551" s="973"/>
      <c r="AD551" s="847"/>
      <c r="AE551" s="847"/>
      <c r="AF551" s="847"/>
      <c r="AG551" s="973"/>
      <c r="AH551" s="973"/>
      <c r="AI551" s="847"/>
      <c r="AJ551" s="847"/>
      <c r="AK551" s="847"/>
      <c r="AL551" s="973"/>
      <c r="AM551" s="973"/>
      <c r="AN551" s="847"/>
      <c r="AO551" s="847"/>
      <c r="AP551" s="847"/>
      <c r="AQ551" s="973"/>
      <c r="AR551" s="973"/>
      <c r="AS551" s="847"/>
      <c r="AT551" s="847"/>
      <c r="AU551" s="847"/>
      <c r="AV551" s="973"/>
      <c r="AW551" s="973"/>
      <c r="AX551" s="847"/>
      <c r="AY551" s="847"/>
      <c r="AZ551" s="847"/>
      <c r="BA551" s="973"/>
      <c r="BB551" s="973"/>
      <c r="BC551" s="847"/>
      <c r="BD551" s="847"/>
      <c r="BE551" s="847"/>
      <c r="BF551" s="973"/>
      <c r="BG551" s="973"/>
      <c r="BH551" s="847"/>
      <c r="BI551" s="847"/>
      <c r="BJ551" s="847"/>
      <c r="BK551" s="661"/>
      <c r="BL551" s="847"/>
      <c r="BM551" s="847"/>
      <c r="BN551" s="847"/>
      <c r="BO551" s="847"/>
      <c r="BP551" s="661"/>
      <c r="BQ551" s="847"/>
      <c r="BR551" s="847"/>
      <c r="BS551" s="847"/>
      <c r="BT551" s="847"/>
      <c r="BU551" s="661"/>
      <c r="BV551" s="847"/>
      <c r="BW551" s="847"/>
      <c r="BX551" s="847"/>
      <c r="BY551" s="847"/>
      <c r="BZ551" s="661"/>
      <c r="CA551" s="847"/>
      <c r="CB551" s="847"/>
      <c r="CC551" s="847"/>
      <c r="CD551" s="847"/>
      <c r="CE551" s="661"/>
      <c r="CF551" s="847"/>
      <c r="CG551" s="2349"/>
      <c r="CH551" s="2349">
        <f t="shared" ref="CH551:CH559" si="786">CH446+CH481+CH515</f>
        <v>51360</v>
      </c>
      <c r="CI551" s="2349">
        <f t="shared" si="783"/>
        <v>51705</v>
      </c>
      <c r="CJ551" s="2293">
        <f t="shared" ref="CJ551:CV551" si="787">CJ446+CJ481+CJ515</f>
        <v>51705</v>
      </c>
      <c r="CK551" s="2350">
        <f t="shared" ref="CK551:CK560" si="788">CK446+CK481+CK515</f>
        <v>51642</v>
      </c>
      <c r="CL551" s="2349">
        <f t="shared" si="787"/>
        <v>51865</v>
      </c>
      <c r="CM551" s="1261">
        <f t="shared" si="787"/>
        <v>52462</v>
      </c>
      <c r="CN551" s="1261">
        <f t="shared" si="787"/>
        <v>52722</v>
      </c>
      <c r="CO551" s="2293">
        <f t="shared" si="787"/>
        <v>52722</v>
      </c>
      <c r="CP551" s="1261">
        <f t="shared" si="785"/>
        <v>53105.3</v>
      </c>
      <c r="CQ551" s="1261">
        <f t="shared" si="785"/>
        <v>53644.639999999999</v>
      </c>
      <c r="CR551" s="1261">
        <f t="shared" si="785"/>
        <v>54015.020000000004</v>
      </c>
      <c r="CS551" s="1261">
        <f t="shared" si="785"/>
        <v>54020.2</v>
      </c>
      <c r="CT551" s="2293">
        <f t="shared" si="785"/>
        <v>54020.2</v>
      </c>
      <c r="CU551" s="2293">
        <f t="shared" si="787"/>
        <v>56171.850400000003</v>
      </c>
      <c r="CV551" s="2293">
        <f t="shared" si="787"/>
        <v>57040.551988000007</v>
      </c>
      <c r="CW551" s="2481"/>
      <c r="CX551" s="2481"/>
      <c r="CY551" s="2481"/>
      <c r="CZ551" s="2481"/>
      <c r="DA551" s="2481"/>
      <c r="DB551" s="217"/>
      <c r="DC551" s="212"/>
      <c r="DD551" s="212"/>
      <c r="DE551" s="70"/>
      <c r="DF551" s="70"/>
      <c r="DG551" s="70"/>
      <c r="DH551" s="70"/>
      <c r="DI551" s="70"/>
      <c r="DJ551" s="70"/>
      <c r="DK551" s="70"/>
      <c r="DL551" s="70"/>
      <c r="DM551" s="70"/>
      <c r="DN551" s="70"/>
      <c r="DO551" s="70"/>
      <c r="DP551" s="70"/>
      <c r="DQ551" s="70"/>
      <c r="DR551" s="70"/>
      <c r="DS551" s="70"/>
      <c r="DT551" s="70"/>
      <c r="DU551" s="70"/>
      <c r="DV551" s="70"/>
      <c r="DW551" s="70"/>
      <c r="DX551" s="70"/>
      <c r="DY551" s="70"/>
      <c r="DZ551" s="70"/>
      <c r="EA551" s="70"/>
      <c r="EB551" s="70"/>
      <c r="EC551" s="70"/>
      <c r="ED551" s="70"/>
      <c r="EE551" s="70"/>
      <c r="EF551" s="70"/>
      <c r="EG551" s="70"/>
      <c r="EH551" s="70"/>
      <c r="EI551" s="70"/>
      <c r="EJ551" s="70"/>
      <c r="EK551" s="70"/>
      <c r="EL551" s="70"/>
      <c r="EM551" s="70"/>
      <c r="EN551" s="70"/>
      <c r="EO551" s="70"/>
      <c r="EP551" s="70"/>
      <c r="EQ551" s="70"/>
      <c r="ER551" s="70"/>
      <c r="ES551" s="70"/>
      <c r="ET551" s="70"/>
      <c r="EU551" s="70"/>
      <c r="EV551" s="70"/>
      <c r="EW551" s="70"/>
      <c r="EX551" s="70"/>
      <c r="EY551" s="70"/>
      <c r="EZ551" s="70"/>
      <c r="FA551" s="70"/>
      <c r="FB551" s="70"/>
      <c r="FC551" s="70"/>
      <c r="FD551" s="70"/>
      <c r="FE551" s="70"/>
      <c r="FF551" s="70"/>
      <c r="FG551" s="70"/>
      <c r="FH551" s="70"/>
      <c r="FI551" s="70"/>
      <c r="FJ551" s="70"/>
      <c r="FK551" s="70"/>
      <c r="FL551" s="70"/>
      <c r="FM551" s="70"/>
      <c r="FN551" s="70"/>
      <c r="FO551" s="70"/>
      <c r="FP551" s="70"/>
      <c r="FQ551" s="70"/>
      <c r="FR551" s="70"/>
      <c r="FS551" s="70"/>
      <c r="FT551" s="70"/>
      <c r="FU551" s="70"/>
      <c r="FV551" s="70"/>
      <c r="FW551" s="70"/>
      <c r="FX551" s="70"/>
      <c r="FY551" s="70"/>
      <c r="FZ551" s="70"/>
      <c r="GA551" s="70"/>
      <c r="GB551" s="70"/>
      <c r="GC551" s="70"/>
      <c r="GD551" s="70"/>
      <c r="GE551" s="70"/>
      <c r="GF551" s="70"/>
      <c r="GG551" s="70"/>
      <c r="GH551" s="70"/>
      <c r="GI551" s="70"/>
      <c r="GJ551" s="70"/>
      <c r="GK551" s="70"/>
      <c r="GL551" s="70"/>
      <c r="GM551" s="70"/>
      <c r="GN551" s="70"/>
      <c r="GO551" s="70"/>
      <c r="GP551" s="70"/>
      <c r="GQ551" s="70"/>
      <c r="GR551" s="70"/>
      <c r="GS551" s="70"/>
      <c r="GT551" s="70"/>
      <c r="GU551" s="70"/>
      <c r="GV551" s="70"/>
      <c r="GW551" s="70"/>
      <c r="GX551" s="70"/>
      <c r="GY551" s="70"/>
      <c r="GZ551" s="70"/>
      <c r="HA551" s="70"/>
      <c r="HB551" s="70"/>
      <c r="HC551" s="70"/>
      <c r="HD551" s="70"/>
      <c r="HE551" s="70"/>
      <c r="HF551" s="70"/>
      <c r="HG551" s="70"/>
      <c r="HH551" s="70"/>
      <c r="HI551" s="70"/>
      <c r="HJ551" s="70"/>
      <c r="HK551" s="70"/>
      <c r="HL551" s="70"/>
      <c r="HM551" s="70"/>
      <c r="HN551" s="70"/>
      <c r="HO551" s="70"/>
      <c r="HP551" s="70"/>
      <c r="HQ551" s="70"/>
      <c r="HR551" s="70"/>
      <c r="HS551" s="70"/>
      <c r="HT551" s="70"/>
      <c r="HU551" s="70"/>
      <c r="HV551" s="70"/>
      <c r="HW551" s="70"/>
      <c r="HX551" s="70"/>
      <c r="HY551" s="70"/>
      <c r="HZ551" s="70"/>
      <c r="IA551" s="70"/>
      <c r="IB551" s="70"/>
      <c r="IC551" s="70"/>
      <c r="ID551" s="70"/>
      <c r="IE551" s="70"/>
      <c r="IF551" s="70"/>
      <c r="IG551" s="70"/>
      <c r="IH551" s="70"/>
      <c r="II551" s="70"/>
      <c r="IJ551" s="70"/>
      <c r="IK551" s="70"/>
      <c r="IL551" s="70"/>
      <c r="IM551" s="70"/>
      <c r="IN551" s="70"/>
      <c r="IO551" s="70"/>
      <c r="IP551" s="70"/>
      <c r="IQ551" s="70"/>
      <c r="IR551" s="70"/>
      <c r="IS551" s="70"/>
      <c r="IT551" s="70"/>
      <c r="IU551" s="70"/>
      <c r="IV551" s="70"/>
    </row>
    <row r="552" spans="1:256" s="207" customFormat="1" x14ac:dyDescent="0.2">
      <c r="A552" s="3393" t="s">
        <v>2456</v>
      </c>
      <c r="B552" s="651"/>
      <c r="C552" s="236"/>
      <c r="D552" s="234"/>
      <c r="E552" s="234"/>
      <c r="F552" s="234"/>
      <c r="G552" s="234"/>
      <c r="H552" s="236"/>
      <c r="I552" s="973"/>
      <c r="J552" s="847"/>
      <c r="K552" s="847"/>
      <c r="L552" s="847"/>
      <c r="M552" s="973"/>
      <c r="N552" s="973"/>
      <c r="O552" s="847"/>
      <c r="P552" s="847"/>
      <c r="Q552" s="847"/>
      <c r="R552" s="973"/>
      <c r="S552" s="973"/>
      <c r="T552" s="847"/>
      <c r="U552" s="847"/>
      <c r="V552" s="847"/>
      <c r="W552" s="973"/>
      <c r="X552" s="973"/>
      <c r="Y552" s="847"/>
      <c r="Z552" s="847"/>
      <c r="AA552" s="847"/>
      <c r="AB552" s="973"/>
      <c r="AC552" s="973"/>
      <c r="AD552" s="847"/>
      <c r="AE552" s="847"/>
      <c r="AF552" s="847"/>
      <c r="AG552" s="973"/>
      <c r="AH552" s="973"/>
      <c r="AI552" s="847"/>
      <c r="AJ552" s="847"/>
      <c r="AK552" s="847"/>
      <c r="AL552" s="973"/>
      <c r="AM552" s="973"/>
      <c r="AN552" s="847"/>
      <c r="AO552" s="847"/>
      <c r="AP552" s="847"/>
      <c r="AQ552" s="973"/>
      <c r="AR552" s="973"/>
      <c r="AS552" s="847"/>
      <c r="AT552" s="847"/>
      <c r="AU552" s="847"/>
      <c r="AV552" s="973"/>
      <c r="AW552" s="973"/>
      <c r="AX552" s="847"/>
      <c r="AY552" s="847"/>
      <c r="AZ552" s="847"/>
      <c r="BA552" s="973"/>
      <c r="BB552" s="973"/>
      <c r="BC552" s="847"/>
      <c r="BD552" s="847"/>
      <c r="BE552" s="847"/>
      <c r="BF552" s="973"/>
      <c r="BG552" s="973"/>
      <c r="BH552" s="847"/>
      <c r="BI552" s="847"/>
      <c r="BJ552" s="847"/>
      <c r="BK552" s="661"/>
      <c r="BL552" s="847"/>
      <c r="BM552" s="847"/>
      <c r="BN552" s="847"/>
      <c r="BO552" s="847"/>
      <c r="BP552" s="661"/>
      <c r="BQ552" s="847"/>
      <c r="BR552" s="847"/>
      <c r="BS552" s="847"/>
      <c r="BT552" s="847"/>
      <c r="BU552" s="661"/>
      <c r="BV552" s="847"/>
      <c r="BW552" s="847"/>
      <c r="BX552" s="847"/>
      <c r="BY552" s="847"/>
      <c r="BZ552" s="661"/>
      <c r="CA552" s="847"/>
      <c r="CB552" s="847"/>
      <c r="CC552" s="847"/>
      <c r="CD552" s="847"/>
      <c r="CE552" s="661"/>
      <c r="CF552" s="847"/>
      <c r="CG552" s="2349"/>
      <c r="CH552" s="2349">
        <f t="shared" si="786"/>
        <v>19543</v>
      </c>
      <c r="CI552" s="2349">
        <f t="shared" si="783"/>
        <v>20130</v>
      </c>
      <c r="CJ552" s="2293">
        <f t="shared" ref="CJ552:CV552" si="789">CJ447+CJ482+CJ516</f>
        <v>20130</v>
      </c>
      <c r="CK552" s="2350">
        <f t="shared" si="788"/>
        <v>20174</v>
      </c>
      <c r="CL552" s="2349">
        <f t="shared" si="789"/>
        <v>20911</v>
      </c>
      <c r="CM552" s="1261">
        <f t="shared" si="789"/>
        <v>21034</v>
      </c>
      <c r="CN552" s="1261">
        <f t="shared" si="789"/>
        <v>21612</v>
      </c>
      <c r="CO552" s="2293">
        <f t="shared" si="789"/>
        <v>21612</v>
      </c>
      <c r="CP552" s="1261">
        <f t="shared" si="785"/>
        <v>21779.88</v>
      </c>
      <c r="CQ552" s="1261">
        <f t="shared" si="785"/>
        <v>22575.84</v>
      </c>
      <c r="CR552" s="1261">
        <f t="shared" si="785"/>
        <v>22708.68</v>
      </c>
      <c r="CS552" s="1261">
        <f t="shared" si="785"/>
        <v>23332.920000000002</v>
      </c>
      <c r="CT552" s="2293">
        <f t="shared" si="785"/>
        <v>23332.920000000002</v>
      </c>
      <c r="CU552" s="2293">
        <f t="shared" si="789"/>
        <v>25080.155400000003</v>
      </c>
      <c r="CV552" s="2293">
        <f t="shared" si="789"/>
        <v>26080.477668000003</v>
      </c>
      <c r="CW552" s="2481"/>
      <c r="CX552" s="2481"/>
      <c r="CY552" s="2481"/>
      <c r="CZ552" s="2481"/>
      <c r="DA552" s="2481"/>
      <c r="DB552" s="217"/>
      <c r="DC552" s="212"/>
      <c r="DD552" s="212"/>
      <c r="DE552" s="70"/>
      <c r="DF552" s="70"/>
      <c r="DG552" s="70"/>
      <c r="DH552" s="70"/>
      <c r="DI552" s="70"/>
      <c r="DJ552" s="70"/>
      <c r="DK552" s="70"/>
      <c r="DL552" s="70"/>
      <c r="DM552" s="70"/>
      <c r="DN552" s="70"/>
      <c r="DO552" s="70"/>
      <c r="DP552" s="70"/>
      <c r="DQ552" s="70"/>
      <c r="DR552" s="70"/>
      <c r="DS552" s="70"/>
      <c r="DT552" s="70"/>
      <c r="DU552" s="70"/>
      <c r="DV552" s="70"/>
      <c r="DW552" s="70"/>
      <c r="DX552" s="70"/>
      <c r="DY552" s="70"/>
      <c r="DZ552" s="70"/>
      <c r="EA552" s="70"/>
      <c r="EB552" s="70"/>
      <c r="EC552" s="70"/>
      <c r="ED552" s="70"/>
      <c r="EE552" s="70"/>
      <c r="EF552" s="70"/>
      <c r="EG552" s="70"/>
      <c r="EH552" s="70"/>
      <c r="EI552" s="70"/>
      <c r="EJ552" s="70"/>
      <c r="EK552" s="70"/>
      <c r="EL552" s="70"/>
      <c r="EM552" s="70"/>
      <c r="EN552" s="70"/>
      <c r="EO552" s="70"/>
      <c r="EP552" s="70"/>
      <c r="EQ552" s="70"/>
      <c r="ER552" s="70"/>
      <c r="ES552" s="70"/>
      <c r="ET552" s="70"/>
      <c r="EU552" s="70"/>
      <c r="EV552" s="70"/>
      <c r="EW552" s="70"/>
      <c r="EX552" s="70"/>
      <c r="EY552" s="70"/>
      <c r="EZ552" s="70"/>
      <c r="FA552" s="70"/>
      <c r="FB552" s="70"/>
      <c r="FC552" s="70"/>
      <c r="FD552" s="70"/>
      <c r="FE552" s="70"/>
      <c r="FF552" s="70"/>
      <c r="FG552" s="70"/>
      <c r="FH552" s="70"/>
      <c r="FI552" s="70"/>
      <c r="FJ552" s="70"/>
      <c r="FK552" s="70"/>
      <c r="FL552" s="70"/>
      <c r="FM552" s="70"/>
      <c r="FN552" s="70"/>
      <c r="FO552" s="70"/>
      <c r="FP552" s="70"/>
      <c r="FQ552" s="70"/>
      <c r="FR552" s="70"/>
      <c r="FS552" s="70"/>
      <c r="FT552" s="70"/>
      <c r="FU552" s="70"/>
      <c r="FV552" s="70"/>
      <c r="FW552" s="70"/>
      <c r="FX552" s="70"/>
      <c r="FY552" s="70"/>
      <c r="FZ552" s="70"/>
      <c r="GA552" s="70"/>
      <c r="GB552" s="70"/>
      <c r="GC552" s="70"/>
      <c r="GD552" s="70"/>
      <c r="GE552" s="70"/>
      <c r="GF552" s="70"/>
      <c r="GG552" s="70"/>
      <c r="GH552" s="70"/>
      <c r="GI552" s="70"/>
      <c r="GJ552" s="70"/>
      <c r="GK552" s="70"/>
      <c r="GL552" s="70"/>
      <c r="GM552" s="70"/>
      <c r="GN552" s="70"/>
      <c r="GO552" s="70"/>
      <c r="GP552" s="70"/>
      <c r="GQ552" s="70"/>
      <c r="GR552" s="70"/>
      <c r="GS552" s="70"/>
      <c r="GT552" s="70"/>
      <c r="GU552" s="70"/>
      <c r="GV552" s="70"/>
      <c r="GW552" s="70"/>
      <c r="GX552" s="70"/>
      <c r="GY552" s="70"/>
      <c r="GZ552" s="70"/>
      <c r="HA552" s="70"/>
      <c r="HB552" s="70"/>
      <c r="HC552" s="70"/>
      <c r="HD552" s="70"/>
      <c r="HE552" s="70"/>
      <c r="HF552" s="70"/>
      <c r="HG552" s="70"/>
      <c r="HH552" s="70"/>
      <c r="HI552" s="70"/>
      <c r="HJ552" s="70"/>
      <c r="HK552" s="70"/>
      <c r="HL552" s="70"/>
      <c r="HM552" s="70"/>
      <c r="HN552" s="70"/>
      <c r="HO552" s="70"/>
      <c r="HP552" s="70"/>
      <c r="HQ552" s="70"/>
      <c r="HR552" s="70"/>
      <c r="HS552" s="70"/>
      <c r="HT552" s="70"/>
      <c r="HU552" s="70"/>
      <c r="HV552" s="70"/>
      <c r="HW552" s="70"/>
      <c r="HX552" s="70"/>
      <c r="HY552" s="70"/>
      <c r="HZ552" s="70"/>
      <c r="IA552" s="70"/>
      <c r="IB552" s="70"/>
      <c r="IC552" s="70"/>
      <c r="ID552" s="70"/>
      <c r="IE552" s="70"/>
      <c r="IF552" s="70"/>
      <c r="IG552" s="70"/>
      <c r="IH552" s="70"/>
      <c r="II552" s="70"/>
      <c r="IJ552" s="70"/>
      <c r="IK552" s="70"/>
      <c r="IL552" s="70"/>
      <c r="IM552" s="70"/>
      <c r="IN552" s="70"/>
      <c r="IO552" s="70"/>
      <c r="IP552" s="70"/>
      <c r="IQ552" s="70"/>
      <c r="IR552" s="70"/>
      <c r="IS552" s="70"/>
      <c r="IT552" s="70"/>
      <c r="IU552" s="70"/>
      <c r="IV552" s="70"/>
    </row>
    <row r="553" spans="1:256" s="207" customFormat="1" x14ac:dyDescent="0.2">
      <c r="A553" s="3393" t="s">
        <v>2457</v>
      </c>
      <c r="B553" s="651"/>
      <c r="C553" s="236"/>
      <c r="D553" s="234"/>
      <c r="E553" s="234"/>
      <c r="F553" s="234"/>
      <c r="G553" s="234"/>
      <c r="H553" s="236"/>
      <c r="I553" s="973"/>
      <c r="J553" s="847"/>
      <c r="K553" s="847"/>
      <c r="L553" s="847"/>
      <c r="M553" s="973"/>
      <c r="N553" s="973"/>
      <c r="O553" s="847"/>
      <c r="P553" s="847"/>
      <c r="Q553" s="847"/>
      <c r="R553" s="973"/>
      <c r="S553" s="973"/>
      <c r="T553" s="847"/>
      <c r="U553" s="847"/>
      <c r="V553" s="847"/>
      <c r="W553" s="973"/>
      <c r="X553" s="973"/>
      <c r="Y553" s="847"/>
      <c r="Z553" s="847"/>
      <c r="AA553" s="847"/>
      <c r="AB553" s="973"/>
      <c r="AC553" s="973"/>
      <c r="AD553" s="847"/>
      <c r="AE553" s="847"/>
      <c r="AF553" s="847"/>
      <c r="AG553" s="973"/>
      <c r="AH553" s="973"/>
      <c r="AI553" s="847"/>
      <c r="AJ553" s="847"/>
      <c r="AK553" s="847"/>
      <c r="AL553" s="973"/>
      <c r="AM553" s="973"/>
      <c r="AN553" s="847"/>
      <c r="AO553" s="847"/>
      <c r="AP553" s="847"/>
      <c r="AQ553" s="973"/>
      <c r="AR553" s="973"/>
      <c r="AS553" s="847"/>
      <c r="AT553" s="847"/>
      <c r="AU553" s="847"/>
      <c r="AV553" s="973"/>
      <c r="AW553" s="973"/>
      <c r="AX553" s="847"/>
      <c r="AY553" s="847"/>
      <c r="AZ553" s="847"/>
      <c r="BA553" s="973"/>
      <c r="BB553" s="973"/>
      <c r="BC553" s="847"/>
      <c r="BD553" s="847"/>
      <c r="BE553" s="847"/>
      <c r="BF553" s="973"/>
      <c r="BG553" s="973"/>
      <c r="BH553" s="847"/>
      <c r="BI553" s="847"/>
      <c r="BJ553" s="847"/>
      <c r="BK553" s="661"/>
      <c r="BL553" s="847"/>
      <c r="BM553" s="847"/>
      <c r="BN553" s="847"/>
      <c r="BO553" s="847"/>
      <c r="BP553" s="661"/>
      <c r="BQ553" s="847"/>
      <c r="BR553" s="847"/>
      <c r="BS553" s="847"/>
      <c r="BT553" s="847"/>
      <c r="BU553" s="661"/>
      <c r="BV553" s="847"/>
      <c r="BW553" s="847"/>
      <c r="BX553" s="847"/>
      <c r="BY553" s="847"/>
      <c r="BZ553" s="661"/>
      <c r="CA553" s="847"/>
      <c r="CB553" s="847"/>
      <c r="CC553" s="847"/>
      <c r="CD553" s="847"/>
      <c r="CE553" s="661"/>
      <c r="CF553" s="847"/>
      <c r="CG553" s="2349"/>
      <c r="CH553" s="2349">
        <f t="shared" si="786"/>
        <v>7950</v>
      </c>
      <c r="CI553" s="2349">
        <f t="shared" si="783"/>
        <v>8238</v>
      </c>
      <c r="CJ553" s="2293">
        <f t="shared" ref="CJ553:CV553" si="790">CJ448+CJ483+CJ517</f>
        <v>8238</v>
      </c>
      <c r="CK553" s="2350">
        <f t="shared" si="788"/>
        <v>8238</v>
      </c>
      <c r="CL553" s="2349">
        <f t="shared" si="790"/>
        <v>8483</v>
      </c>
      <c r="CM553" s="1261">
        <f t="shared" si="790"/>
        <v>8459</v>
      </c>
      <c r="CN553" s="1261">
        <f t="shared" si="790"/>
        <v>8459</v>
      </c>
      <c r="CO553" s="2293">
        <f t="shared" si="790"/>
        <v>8459</v>
      </c>
      <c r="CP553" s="1261">
        <f t="shared" si="785"/>
        <v>8779.0300000000007</v>
      </c>
      <c r="CQ553" s="1261">
        <f t="shared" si="785"/>
        <v>9041.18</v>
      </c>
      <c r="CR553" s="1261">
        <f t="shared" si="785"/>
        <v>9015.5</v>
      </c>
      <c r="CS553" s="1261">
        <f t="shared" si="785"/>
        <v>9015.5</v>
      </c>
      <c r="CT553" s="2293">
        <f t="shared" si="785"/>
        <v>9015.5</v>
      </c>
      <c r="CU553" s="2293">
        <f t="shared" si="790"/>
        <v>9185.630000000001</v>
      </c>
      <c r="CV553" s="2293">
        <f t="shared" si="790"/>
        <v>9185.630000000001</v>
      </c>
      <c r="CW553" s="2481"/>
      <c r="CX553" s="2481"/>
      <c r="CY553" s="2481"/>
      <c r="CZ553" s="2481"/>
      <c r="DA553" s="2481"/>
      <c r="DB553" s="217"/>
      <c r="DC553" s="212"/>
      <c r="DD553" s="212"/>
      <c r="DE553" s="70"/>
      <c r="DF553" s="70"/>
      <c r="DG553" s="70"/>
      <c r="DH553" s="70"/>
      <c r="DI553" s="70"/>
      <c r="DJ553" s="70"/>
      <c r="DK553" s="70"/>
      <c r="DL553" s="70"/>
      <c r="DM553" s="70"/>
      <c r="DN553" s="70"/>
      <c r="DO553" s="70"/>
      <c r="DP553" s="70"/>
      <c r="DQ553" s="70"/>
      <c r="DR553" s="70"/>
      <c r="DS553" s="70"/>
      <c r="DT553" s="70"/>
      <c r="DU553" s="70"/>
      <c r="DV553" s="70"/>
      <c r="DW553" s="70"/>
      <c r="DX553" s="70"/>
      <c r="DY553" s="70"/>
      <c r="DZ553" s="70"/>
      <c r="EA553" s="70"/>
      <c r="EB553" s="70"/>
      <c r="EC553" s="70"/>
      <c r="ED553" s="70"/>
      <c r="EE553" s="70"/>
      <c r="EF553" s="70"/>
      <c r="EG553" s="70"/>
      <c r="EH553" s="70"/>
      <c r="EI553" s="70"/>
      <c r="EJ553" s="70"/>
      <c r="EK553" s="70"/>
      <c r="EL553" s="70"/>
      <c r="EM553" s="70"/>
      <c r="EN553" s="70"/>
      <c r="EO553" s="70"/>
      <c r="EP553" s="70"/>
      <c r="EQ553" s="70"/>
      <c r="ER553" s="70"/>
      <c r="ES553" s="70"/>
      <c r="ET553" s="70"/>
      <c r="EU553" s="70"/>
      <c r="EV553" s="70"/>
      <c r="EW553" s="70"/>
      <c r="EX553" s="70"/>
      <c r="EY553" s="70"/>
      <c r="EZ553" s="70"/>
      <c r="FA553" s="70"/>
      <c r="FB553" s="70"/>
      <c r="FC553" s="70"/>
      <c r="FD553" s="70"/>
      <c r="FE553" s="70"/>
      <c r="FF553" s="70"/>
      <c r="FG553" s="70"/>
      <c r="FH553" s="70"/>
      <c r="FI553" s="70"/>
      <c r="FJ553" s="70"/>
      <c r="FK553" s="70"/>
      <c r="FL553" s="70"/>
      <c r="FM553" s="70"/>
      <c r="FN553" s="70"/>
      <c r="FO553" s="70"/>
      <c r="FP553" s="70"/>
      <c r="FQ553" s="70"/>
      <c r="FR553" s="70"/>
      <c r="FS553" s="70"/>
      <c r="FT553" s="70"/>
      <c r="FU553" s="70"/>
      <c r="FV553" s="70"/>
      <c r="FW553" s="70"/>
      <c r="FX553" s="70"/>
      <c r="FY553" s="70"/>
      <c r="FZ553" s="70"/>
      <c r="GA553" s="70"/>
      <c r="GB553" s="70"/>
      <c r="GC553" s="70"/>
      <c r="GD553" s="70"/>
      <c r="GE553" s="70"/>
      <c r="GF553" s="70"/>
      <c r="GG553" s="70"/>
      <c r="GH553" s="70"/>
      <c r="GI553" s="70"/>
      <c r="GJ553" s="70"/>
      <c r="GK553" s="70"/>
      <c r="GL553" s="70"/>
      <c r="GM553" s="70"/>
      <c r="GN553" s="70"/>
      <c r="GO553" s="70"/>
      <c r="GP553" s="70"/>
      <c r="GQ553" s="70"/>
      <c r="GR553" s="70"/>
      <c r="GS553" s="70"/>
      <c r="GT553" s="70"/>
      <c r="GU553" s="70"/>
      <c r="GV553" s="70"/>
      <c r="GW553" s="70"/>
      <c r="GX553" s="70"/>
      <c r="GY553" s="70"/>
      <c r="GZ553" s="70"/>
      <c r="HA553" s="70"/>
      <c r="HB553" s="70"/>
      <c r="HC553" s="70"/>
      <c r="HD553" s="70"/>
      <c r="HE553" s="70"/>
      <c r="HF553" s="70"/>
      <c r="HG553" s="70"/>
      <c r="HH553" s="70"/>
      <c r="HI553" s="70"/>
      <c r="HJ553" s="70"/>
      <c r="HK553" s="70"/>
      <c r="HL553" s="70"/>
      <c r="HM553" s="70"/>
      <c r="HN553" s="70"/>
      <c r="HO553" s="70"/>
      <c r="HP553" s="70"/>
      <c r="HQ553" s="70"/>
      <c r="HR553" s="70"/>
      <c r="HS553" s="70"/>
      <c r="HT553" s="70"/>
      <c r="HU553" s="70"/>
      <c r="HV553" s="70"/>
      <c r="HW553" s="70"/>
      <c r="HX553" s="70"/>
      <c r="HY553" s="70"/>
      <c r="HZ553" s="70"/>
      <c r="IA553" s="70"/>
      <c r="IB553" s="70"/>
      <c r="IC553" s="70"/>
      <c r="ID553" s="70"/>
      <c r="IE553" s="70"/>
      <c r="IF553" s="70"/>
      <c r="IG553" s="70"/>
      <c r="IH553" s="70"/>
      <c r="II553" s="70"/>
      <c r="IJ553" s="70"/>
      <c r="IK553" s="70"/>
      <c r="IL553" s="70"/>
      <c r="IM553" s="70"/>
      <c r="IN553" s="70"/>
      <c r="IO553" s="70"/>
      <c r="IP553" s="70"/>
      <c r="IQ553" s="70"/>
      <c r="IR553" s="70"/>
      <c r="IS553" s="70"/>
      <c r="IT553" s="70"/>
      <c r="IU553" s="70"/>
      <c r="IV553" s="70"/>
    </row>
    <row r="554" spans="1:256" s="207" customFormat="1" x14ac:dyDescent="0.2">
      <c r="A554" s="3393" t="s">
        <v>2458</v>
      </c>
      <c r="B554" s="651"/>
      <c r="C554" s="236"/>
      <c r="D554" s="234"/>
      <c r="E554" s="234"/>
      <c r="F554" s="234"/>
      <c r="G554" s="234"/>
      <c r="H554" s="236"/>
      <c r="I554" s="973"/>
      <c r="J554" s="847"/>
      <c r="K554" s="847"/>
      <c r="L554" s="847"/>
      <c r="M554" s="973"/>
      <c r="N554" s="973"/>
      <c r="O554" s="847"/>
      <c r="P554" s="847"/>
      <c r="Q554" s="847"/>
      <c r="R554" s="973"/>
      <c r="S554" s="973"/>
      <c r="T554" s="847"/>
      <c r="U554" s="847"/>
      <c r="V554" s="847"/>
      <c r="W554" s="973"/>
      <c r="X554" s="973"/>
      <c r="Y554" s="847"/>
      <c r="Z554" s="847"/>
      <c r="AA554" s="847"/>
      <c r="AB554" s="973"/>
      <c r="AC554" s="973"/>
      <c r="AD554" s="847"/>
      <c r="AE554" s="847"/>
      <c r="AF554" s="847"/>
      <c r="AG554" s="973"/>
      <c r="AH554" s="973"/>
      <c r="AI554" s="847"/>
      <c r="AJ554" s="847"/>
      <c r="AK554" s="847"/>
      <c r="AL554" s="973"/>
      <c r="AM554" s="973"/>
      <c r="AN554" s="847"/>
      <c r="AO554" s="847"/>
      <c r="AP554" s="847"/>
      <c r="AQ554" s="973"/>
      <c r="AR554" s="973"/>
      <c r="AS554" s="847"/>
      <c r="AT554" s="847"/>
      <c r="AU554" s="847"/>
      <c r="AV554" s="973"/>
      <c r="AW554" s="973"/>
      <c r="AX554" s="847"/>
      <c r="AY554" s="847"/>
      <c r="AZ554" s="847"/>
      <c r="BA554" s="973"/>
      <c r="BB554" s="973"/>
      <c r="BC554" s="847"/>
      <c r="BD554" s="847"/>
      <c r="BE554" s="847"/>
      <c r="BF554" s="973"/>
      <c r="BG554" s="973"/>
      <c r="BH554" s="847"/>
      <c r="BI554" s="847"/>
      <c r="BJ554" s="847"/>
      <c r="BK554" s="661"/>
      <c r="BL554" s="847"/>
      <c r="BM554" s="847"/>
      <c r="BN554" s="847"/>
      <c r="BO554" s="847"/>
      <c r="BP554" s="661"/>
      <c r="BQ554" s="847"/>
      <c r="BR554" s="847"/>
      <c r="BS554" s="847"/>
      <c r="BT554" s="847"/>
      <c r="BU554" s="661"/>
      <c r="BV554" s="847"/>
      <c r="BW554" s="847"/>
      <c r="BX554" s="847"/>
      <c r="BY554" s="847"/>
      <c r="BZ554" s="661"/>
      <c r="CA554" s="847"/>
      <c r="CB554" s="847"/>
      <c r="CC554" s="847"/>
      <c r="CD554" s="847"/>
      <c r="CE554" s="661"/>
      <c r="CF554" s="847"/>
      <c r="CG554" s="2349"/>
      <c r="CH554" s="2349">
        <f t="shared" si="786"/>
        <v>4303</v>
      </c>
      <c r="CI554" s="2349">
        <f t="shared" si="783"/>
        <v>4157</v>
      </c>
      <c r="CJ554" s="2293">
        <f t="shared" ref="CJ554:CV554" si="791">CJ449+CJ484+CJ518</f>
        <v>4157</v>
      </c>
      <c r="CK554" s="2350">
        <f t="shared" si="788"/>
        <v>4185</v>
      </c>
      <c r="CL554" s="2349">
        <f t="shared" si="791"/>
        <v>4185</v>
      </c>
      <c r="CM554" s="1261">
        <f t="shared" si="791"/>
        <v>4185</v>
      </c>
      <c r="CN554" s="1261">
        <f t="shared" si="791"/>
        <v>4977</v>
      </c>
      <c r="CO554" s="2293">
        <f t="shared" si="791"/>
        <v>4977</v>
      </c>
      <c r="CP554" s="1261">
        <f t="shared" si="785"/>
        <v>5137.58</v>
      </c>
      <c r="CQ554" s="1261">
        <f t="shared" si="785"/>
        <v>5137.58</v>
      </c>
      <c r="CR554" s="1261">
        <f t="shared" si="785"/>
        <v>5137.58</v>
      </c>
      <c r="CS554" s="1261">
        <f t="shared" si="785"/>
        <v>5137.58</v>
      </c>
      <c r="CT554" s="2293">
        <f t="shared" si="785"/>
        <v>5137.58</v>
      </c>
      <c r="CU554" s="2293">
        <f t="shared" si="791"/>
        <v>5186.6715999999997</v>
      </c>
      <c r="CV554" s="2293">
        <f t="shared" si="791"/>
        <v>5186.6715999999997</v>
      </c>
      <c r="CW554" s="2481"/>
      <c r="CX554" s="2481"/>
      <c r="CY554" s="2481"/>
      <c r="CZ554" s="2481"/>
      <c r="DA554" s="2481"/>
      <c r="DB554" s="217"/>
      <c r="DC554" s="212"/>
      <c r="DD554" s="212"/>
      <c r="DE554" s="70"/>
      <c r="DF554" s="70"/>
      <c r="DG554" s="70"/>
      <c r="DH554" s="70"/>
      <c r="DI554" s="70"/>
      <c r="DJ554" s="70"/>
      <c r="DK554" s="70"/>
      <c r="DL554" s="70"/>
      <c r="DM554" s="70"/>
      <c r="DN554" s="70"/>
      <c r="DO554" s="70"/>
      <c r="DP554" s="70"/>
      <c r="DQ554" s="70"/>
      <c r="DR554" s="70"/>
      <c r="DS554" s="70"/>
      <c r="DT554" s="70"/>
      <c r="DU554" s="70"/>
      <c r="DV554" s="70"/>
      <c r="DW554" s="70"/>
      <c r="DX554" s="70"/>
      <c r="DY554" s="70"/>
      <c r="DZ554" s="70"/>
      <c r="EA554" s="70"/>
      <c r="EB554" s="70"/>
      <c r="EC554" s="70"/>
      <c r="ED554" s="70"/>
      <c r="EE554" s="70"/>
      <c r="EF554" s="70"/>
      <c r="EG554" s="70"/>
      <c r="EH554" s="70"/>
      <c r="EI554" s="70"/>
      <c r="EJ554" s="70"/>
      <c r="EK554" s="70"/>
      <c r="EL554" s="70"/>
      <c r="EM554" s="70"/>
      <c r="EN554" s="70"/>
      <c r="EO554" s="70"/>
      <c r="EP554" s="70"/>
      <c r="EQ554" s="70"/>
      <c r="ER554" s="70"/>
      <c r="ES554" s="70"/>
      <c r="ET554" s="70"/>
      <c r="EU554" s="70"/>
      <c r="EV554" s="70"/>
      <c r="EW554" s="70"/>
      <c r="EX554" s="70"/>
      <c r="EY554" s="70"/>
      <c r="EZ554" s="70"/>
      <c r="FA554" s="70"/>
      <c r="FB554" s="70"/>
      <c r="FC554" s="70"/>
      <c r="FD554" s="70"/>
      <c r="FE554" s="70"/>
      <c r="FF554" s="70"/>
      <c r="FG554" s="70"/>
      <c r="FH554" s="70"/>
      <c r="FI554" s="70"/>
      <c r="FJ554" s="70"/>
      <c r="FK554" s="70"/>
      <c r="FL554" s="70"/>
      <c r="FM554" s="70"/>
      <c r="FN554" s="70"/>
      <c r="FO554" s="70"/>
      <c r="FP554" s="70"/>
      <c r="FQ554" s="70"/>
      <c r="FR554" s="70"/>
      <c r="FS554" s="70"/>
      <c r="FT554" s="70"/>
      <c r="FU554" s="70"/>
      <c r="FV554" s="70"/>
      <c r="FW554" s="70"/>
      <c r="FX554" s="70"/>
      <c r="FY554" s="70"/>
      <c r="FZ554" s="70"/>
      <c r="GA554" s="70"/>
      <c r="GB554" s="70"/>
      <c r="GC554" s="70"/>
      <c r="GD554" s="70"/>
      <c r="GE554" s="70"/>
      <c r="GF554" s="70"/>
      <c r="GG554" s="70"/>
      <c r="GH554" s="70"/>
      <c r="GI554" s="70"/>
      <c r="GJ554" s="70"/>
      <c r="GK554" s="70"/>
      <c r="GL554" s="70"/>
      <c r="GM554" s="70"/>
      <c r="GN554" s="70"/>
      <c r="GO554" s="70"/>
      <c r="GP554" s="70"/>
      <c r="GQ554" s="70"/>
      <c r="GR554" s="70"/>
      <c r="GS554" s="70"/>
      <c r="GT554" s="70"/>
      <c r="GU554" s="70"/>
      <c r="GV554" s="70"/>
      <c r="GW554" s="70"/>
      <c r="GX554" s="70"/>
      <c r="GY554" s="70"/>
      <c r="GZ554" s="70"/>
      <c r="HA554" s="70"/>
      <c r="HB554" s="70"/>
      <c r="HC554" s="70"/>
      <c r="HD554" s="70"/>
      <c r="HE554" s="70"/>
      <c r="HF554" s="70"/>
      <c r="HG554" s="70"/>
      <c r="HH554" s="70"/>
      <c r="HI554" s="70"/>
      <c r="HJ554" s="70"/>
      <c r="HK554" s="70"/>
      <c r="HL554" s="70"/>
      <c r="HM554" s="70"/>
      <c r="HN554" s="70"/>
      <c r="HO554" s="70"/>
      <c r="HP554" s="70"/>
      <c r="HQ554" s="70"/>
      <c r="HR554" s="70"/>
      <c r="HS554" s="70"/>
      <c r="HT554" s="70"/>
      <c r="HU554" s="70"/>
      <c r="HV554" s="70"/>
      <c r="HW554" s="70"/>
      <c r="HX554" s="70"/>
      <c r="HY554" s="70"/>
      <c r="HZ554" s="70"/>
      <c r="IA554" s="70"/>
      <c r="IB554" s="70"/>
      <c r="IC554" s="70"/>
      <c r="ID554" s="70"/>
      <c r="IE554" s="70"/>
      <c r="IF554" s="70"/>
      <c r="IG554" s="70"/>
      <c r="IH554" s="70"/>
      <c r="II554" s="70"/>
      <c r="IJ554" s="70"/>
      <c r="IK554" s="70"/>
      <c r="IL554" s="70"/>
      <c r="IM554" s="70"/>
      <c r="IN554" s="70"/>
      <c r="IO554" s="70"/>
      <c r="IP554" s="70"/>
      <c r="IQ554" s="70"/>
      <c r="IR554" s="70"/>
      <c r="IS554" s="70"/>
      <c r="IT554" s="70"/>
      <c r="IU554" s="70"/>
      <c r="IV554" s="70"/>
    </row>
    <row r="555" spans="1:256" s="207" customFormat="1" x14ac:dyDescent="0.2">
      <c r="A555" s="3393" t="s">
        <v>2459</v>
      </c>
      <c r="B555" s="651"/>
      <c r="C555" s="236"/>
      <c r="D555" s="234"/>
      <c r="E555" s="234"/>
      <c r="F555" s="234"/>
      <c r="G555" s="234"/>
      <c r="H555" s="236"/>
      <c r="I555" s="973"/>
      <c r="J555" s="847"/>
      <c r="K555" s="847"/>
      <c r="L555" s="847"/>
      <c r="M555" s="973"/>
      <c r="N555" s="973"/>
      <c r="O555" s="847"/>
      <c r="P555" s="847"/>
      <c r="Q555" s="847"/>
      <c r="R555" s="973"/>
      <c r="S555" s="973"/>
      <c r="T555" s="847"/>
      <c r="U555" s="847"/>
      <c r="V555" s="847"/>
      <c r="W555" s="973"/>
      <c r="X555" s="973"/>
      <c r="Y555" s="847"/>
      <c r="Z555" s="847"/>
      <c r="AA555" s="847"/>
      <c r="AB555" s="973"/>
      <c r="AC555" s="973"/>
      <c r="AD555" s="847"/>
      <c r="AE555" s="847"/>
      <c r="AF555" s="847"/>
      <c r="AG555" s="973"/>
      <c r="AH555" s="973"/>
      <c r="AI555" s="847"/>
      <c r="AJ555" s="847"/>
      <c r="AK555" s="847"/>
      <c r="AL555" s="973"/>
      <c r="AM555" s="973"/>
      <c r="AN555" s="847"/>
      <c r="AO555" s="847"/>
      <c r="AP555" s="847"/>
      <c r="AQ555" s="973"/>
      <c r="AR555" s="973"/>
      <c r="AS555" s="847"/>
      <c r="AT555" s="847"/>
      <c r="AU555" s="847"/>
      <c r="AV555" s="973"/>
      <c r="AW555" s="973"/>
      <c r="AX555" s="847"/>
      <c r="AY555" s="847"/>
      <c r="AZ555" s="847"/>
      <c r="BA555" s="973"/>
      <c r="BB555" s="973"/>
      <c r="BC555" s="847"/>
      <c r="BD555" s="847"/>
      <c r="BE555" s="847"/>
      <c r="BF555" s="973"/>
      <c r="BG555" s="973"/>
      <c r="BH555" s="847"/>
      <c r="BI555" s="847"/>
      <c r="BJ555" s="847"/>
      <c r="BK555" s="661"/>
      <c r="BL555" s="847"/>
      <c r="BM555" s="847"/>
      <c r="BN555" s="847"/>
      <c r="BO555" s="847"/>
      <c r="BP555" s="661"/>
      <c r="BQ555" s="847"/>
      <c r="BR555" s="847"/>
      <c r="BS555" s="847"/>
      <c r="BT555" s="847"/>
      <c r="BU555" s="661"/>
      <c r="BV555" s="847"/>
      <c r="BW555" s="847"/>
      <c r="BX555" s="847"/>
      <c r="BY555" s="847"/>
      <c r="BZ555" s="661"/>
      <c r="CA555" s="847"/>
      <c r="CB555" s="847"/>
      <c r="CC555" s="847"/>
      <c r="CD555" s="847"/>
      <c r="CE555" s="661"/>
      <c r="CF555" s="847"/>
      <c r="CG555" s="2349"/>
      <c r="CH555" s="2349">
        <f t="shared" si="786"/>
        <v>1962</v>
      </c>
      <c r="CI555" s="2349">
        <f t="shared" si="783"/>
        <v>1963</v>
      </c>
      <c r="CJ555" s="2293">
        <f t="shared" ref="CJ555:CV555" si="792">CJ450+CJ485+CJ519</f>
        <v>1963</v>
      </c>
      <c r="CK555" s="2350">
        <f t="shared" si="788"/>
        <v>1963</v>
      </c>
      <c r="CL555" s="2349">
        <f t="shared" si="792"/>
        <v>1963</v>
      </c>
      <c r="CM555" s="1261">
        <f t="shared" si="792"/>
        <v>2228</v>
      </c>
      <c r="CN555" s="1261">
        <f t="shared" si="792"/>
        <v>2228</v>
      </c>
      <c r="CO555" s="2293">
        <f t="shared" si="792"/>
        <v>2228</v>
      </c>
      <c r="CP555" s="1261">
        <f t="shared" si="785"/>
        <v>2083.75</v>
      </c>
      <c r="CQ555" s="1261">
        <f t="shared" si="785"/>
        <v>2083.75</v>
      </c>
      <c r="CR555" s="1261">
        <f t="shared" si="785"/>
        <v>2367.3000000000002</v>
      </c>
      <c r="CS555" s="1261">
        <f t="shared" si="785"/>
        <v>2367.3000000000002</v>
      </c>
      <c r="CT555" s="2293">
        <f t="shared" si="785"/>
        <v>2367.3000000000002</v>
      </c>
      <c r="CU555" s="2293">
        <f t="shared" si="792"/>
        <v>2409.8860000000004</v>
      </c>
      <c r="CV555" s="2293">
        <f t="shared" si="792"/>
        <v>2409.8860000000004</v>
      </c>
      <c r="CW555" s="2481"/>
      <c r="CX555" s="2481"/>
      <c r="CY555" s="2481"/>
      <c r="CZ555" s="2481"/>
      <c r="DA555" s="2481"/>
      <c r="DB555" s="217"/>
      <c r="DC555" s="212"/>
      <c r="DD555" s="212"/>
      <c r="DE555" s="70"/>
      <c r="DF555" s="70"/>
      <c r="DG555" s="70"/>
      <c r="DH555" s="70"/>
      <c r="DI555" s="70"/>
      <c r="DJ555" s="70"/>
      <c r="DK555" s="70"/>
      <c r="DL555" s="70"/>
      <c r="DM555" s="70"/>
      <c r="DN555" s="70"/>
      <c r="DO555" s="70"/>
      <c r="DP555" s="70"/>
      <c r="DQ555" s="70"/>
      <c r="DR555" s="70"/>
      <c r="DS555" s="70"/>
      <c r="DT555" s="70"/>
      <c r="DU555" s="70"/>
      <c r="DV555" s="70"/>
      <c r="DW555" s="70"/>
      <c r="DX555" s="70"/>
      <c r="DY555" s="70"/>
      <c r="DZ555" s="70"/>
      <c r="EA555" s="70"/>
      <c r="EB555" s="70"/>
      <c r="EC555" s="70"/>
      <c r="ED555" s="70"/>
      <c r="EE555" s="70"/>
      <c r="EF555" s="70"/>
      <c r="EG555" s="70"/>
      <c r="EH555" s="70"/>
      <c r="EI555" s="70"/>
      <c r="EJ555" s="70"/>
      <c r="EK555" s="70"/>
      <c r="EL555" s="70"/>
      <c r="EM555" s="70"/>
      <c r="EN555" s="70"/>
      <c r="EO555" s="70"/>
      <c r="EP555" s="70"/>
      <c r="EQ555" s="70"/>
      <c r="ER555" s="70"/>
      <c r="ES555" s="70"/>
      <c r="ET555" s="70"/>
      <c r="EU555" s="70"/>
      <c r="EV555" s="70"/>
      <c r="EW555" s="70"/>
      <c r="EX555" s="70"/>
      <c r="EY555" s="70"/>
      <c r="EZ555" s="70"/>
      <c r="FA555" s="70"/>
      <c r="FB555" s="70"/>
      <c r="FC555" s="70"/>
      <c r="FD555" s="70"/>
      <c r="FE555" s="70"/>
      <c r="FF555" s="70"/>
      <c r="FG555" s="70"/>
      <c r="FH555" s="70"/>
      <c r="FI555" s="70"/>
      <c r="FJ555" s="70"/>
      <c r="FK555" s="70"/>
      <c r="FL555" s="70"/>
      <c r="FM555" s="70"/>
      <c r="FN555" s="70"/>
      <c r="FO555" s="70"/>
      <c r="FP555" s="70"/>
      <c r="FQ555" s="70"/>
      <c r="FR555" s="70"/>
      <c r="FS555" s="70"/>
      <c r="FT555" s="70"/>
      <c r="FU555" s="70"/>
      <c r="FV555" s="70"/>
      <c r="FW555" s="70"/>
      <c r="FX555" s="70"/>
      <c r="FY555" s="70"/>
      <c r="FZ555" s="70"/>
      <c r="GA555" s="70"/>
      <c r="GB555" s="70"/>
      <c r="GC555" s="70"/>
      <c r="GD555" s="70"/>
      <c r="GE555" s="70"/>
      <c r="GF555" s="70"/>
      <c r="GG555" s="70"/>
      <c r="GH555" s="70"/>
      <c r="GI555" s="70"/>
      <c r="GJ555" s="70"/>
      <c r="GK555" s="70"/>
      <c r="GL555" s="70"/>
      <c r="GM555" s="70"/>
      <c r="GN555" s="70"/>
      <c r="GO555" s="70"/>
      <c r="GP555" s="70"/>
      <c r="GQ555" s="70"/>
      <c r="GR555" s="70"/>
      <c r="GS555" s="70"/>
      <c r="GT555" s="70"/>
      <c r="GU555" s="70"/>
      <c r="GV555" s="70"/>
      <c r="GW555" s="70"/>
      <c r="GX555" s="70"/>
      <c r="GY555" s="70"/>
      <c r="GZ555" s="70"/>
      <c r="HA555" s="70"/>
      <c r="HB555" s="70"/>
      <c r="HC555" s="70"/>
      <c r="HD555" s="70"/>
      <c r="HE555" s="70"/>
      <c r="HF555" s="70"/>
      <c r="HG555" s="70"/>
      <c r="HH555" s="70"/>
      <c r="HI555" s="70"/>
      <c r="HJ555" s="70"/>
      <c r="HK555" s="70"/>
      <c r="HL555" s="70"/>
      <c r="HM555" s="70"/>
      <c r="HN555" s="70"/>
      <c r="HO555" s="70"/>
      <c r="HP555" s="70"/>
      <c r="HQ555" s="70"/>
      <c r="HR555" s="70"/>
      <c r="HS555" s="70"/>
      <c r="HT555" s="70"/>
      <c r="HU555" s="70"/>
      <c r="HV555" s="70"/>
      <c r="HW555" s="70"/>
      <c r="HX555" s="70"/>
      <c r="HY555" s="70"/>
      <c r="HZ555" s="70"/>
      <c r="IA555" s="70"/>
      <c r="IB555" s="70"/>
      <c r="IC555" s="70"/>
      <c r="ID555" s="70"/>
      <c r="IE555" s="70"/>
      <c r="IF555" s="70"/>
      <c r="IG555" s="70"/>
      <c r="IH555" s="70"/>
      <c r="II555" s="70"/>
      <c r="IJ555" s="70"/>
      <c r="IK555" s="70"/>
      <c r="IL555" s="70"/>
      <c r="IM555" s="70"/>
      <c r="IN555" s="70"/>
      <c r="IO555" s="70"/>
      <c r="IP555" s="70"/>
      <c r="IQ555" s="70"/>
      <c r="IR555" s="70"/>
      <c r="IS555" s="70"/>
      <c r="IT555" s="70"/>
      <c r="IU555" s="70"/>
      <c r="IV555" s="70"/>
    </row>
    <row r="556" spans="1:256" s="207" customFormat="1" x14ac:dyDescent="0.2">
      <c r="A556" s="3393" t="s">
        <v>2460</v>
      </c>
      <c r="B556" s="651"/>
      <c r="C556" s="236"/>
      <c r="D556" s="234"/>
      <c r="E556" s="234"/>
      <c r="F556" s="234"/>
      <c r="G556" s="234"/>
      <c r="H556" s="236"/>
      <c r="I556" s="973"/>
      <c r="J556" s="847"/>
      <c r="K556" s="847"/>
      <c r="L556" s="847"/>
      <c r="M556" s="973"/>
      <c r="N556" s="973"/>
      <c r="O556" s="847"/>
      <c r="P556" s="847"/>
      <c r="Q556" s="847"/>
      <c r="R556" s="973"/>
      <c r="S556" s="973"/>
      <c r="T556" s="847"/>
      <c r="U556" s="847"/>
      <c r="V556" s="847"/>
      <c r="W556" s="973"/>
      <c r="X556" s="973"/>
      <c r="Y556" s="847"/>
      <c r="Z556" s="847"/>
      <c r="AA556" s="847"/>
      <c r="AB556" s="973"/>
      <c r="AC556" s="973"/>
      <c r="AD556" s="847"/>
      <c r="AE556" s="847"/>
      <c r="AF556" s="847"/>
      <c r="AG556" s="973"/>
      <c r="AH556" s="973"/>
      <c r="AI556" s="847"/>
      <c r="AJ556" s="847"/>
      <c r="AK556" s="847"/>
      <c r="AL556" s="973"/>
      <c r="AM556" s="973"/>
      <c r="AN556" s="847"/>
      <c r="AO556" s="847"/>
      <c r="AP556" s="847"/>
      <c r="AQ556" s="973"/>
      <c r="AR556" s="973"/>
      <c r="AS556" s="847"/>
      <c r="AT556" s="847"/>
      <c r="AU556" s="847"/>
      <c r="AV556" s="973"/>
      <c r="AW556" s="973"/>
      <c r="AX556" s="847"/>
      <c r="AY556" s="847"/>
      <c r="AZ556" s="847"/>
      <c r="BA556" s="973"/>
      <c r="BB556" s="973"/>
      <c r="BC556" s="847"/>
      <c r="BD556" s="847"/>
      <c r="BE556" s="847"/>
      <c r="BF556" s="973"/>
      <c r="BG556" s="973"/>
      <c r="BH556" s="847"/>
      <c r="BI556" s="847"/>
      <c r="BJ556" s="847"/>
      <c r="BK556" s="661"/>
      <c r="BL556" s="847"/>
      <c r="BM556" s="847"/>
      <c r="BN556" s="847"/>
      <c r="BO556" s="847"/>
      <c r="BP556" s="661"/>
      <c r="BQ556" s="847"/>
      <c r="BR556" s="847"/>
      <c r="BS556" s="847"/>
      <c r="BT556" s="847"/>
      <c r="BU556" s="661"/>
      <c r="BV556" s="847"/>
      <c r="BW556" s="847"/>
      <c r="BX556" s="847"/>
      <c r="BY556" s="847"/>
      <c r="BZ556" s="661"/>
      <c r="CA556" s="847"/>
      <c r="CB556" s="847"/>
      <c r="CC556" s="847"/>
      <c r="CD556" s="847"/>
      <c r="CE556" s="661"/>
      <c r="CF556" s="847"/>
      <c r="CG556" s="2349"/>
      <c r="CH556" s="2349">
        <f t="shared" si="786"/>
        <v>4472</v>
      </c>
      <c r="CI556" s="2349">
        <f t="shared" si="783"/>
        <v>4473</v>
      </c>
      <c r="CJ556" s="2293">
        <f t="shared" ref="CJ556:CV556" si="793">CJ451+CJ486+CJ520</f>
        <v>4473</v>
      </c>
      <c r="CK556" s="2350">
        <f t="shared" si="788"/>
        <v>4473</v>
      </c>
      <c r="CL556" s="2349">
        <f t="shared" si="793"/>
        <v>4479</v>
      </c>
      <c r="CM556" s="1261">
        <f t="shared" si="793"/>
        <v>5006</v>
      </c>
      <c r="CN556" s="1261">
        <f t="shared" si="793"/>
        <v>5006</v>
      </c>
      <c r="CO556" s="2293">
        <f t="shared" si="793"/>
        <v>5006</v>
      </c>
      <c r="CP556" s="1261">
        <f t="shared" si="785"/>
        <v>4750.1099999999997</v>
      </c>
      <c r="CQ556" s="1261">
        <f t="shared" si="785"/>
        <v>4681.3500000000004</v>
      </c>
      <c r="CR556" s="1261">
        <f t="shared" si="785"/>
        <v>5191.84</v>
      </c>
      <c r="CS556" s="1261">
        <f t="shared" si="785"/>
        <v>5148.9799999999996</v>
      </c>
      <c r="CT556" s="2293">
        <f t="shared" si="785"/>
        <v>5148.9799999999996</v>
      </c>
      <c r="CU556" s="2293">
        <f t="shared" si="793"/>
        <v>5428.5428000000002</v>
      </c>
      <c r="CV556" s="2293">
        <f t="shared" si="793"/>
        <v>5568.9264440000006</v>
      </c>
      <c r="CW556" s="2481"/>
      <c r="CX556" s="2481"/>
      <c r="CY556" s="2481"/>
      <c r="CZ556" s="2481"/>
      <c r="DA556" s="2481"/>
      <c r="DB556" s="217"/>
      <c r="DC556" s="212"/>
      <c r="DD556" s="212"/>
      <c r="DE556" s="70"/>
      <c r="DF556" s="70"/>
      <c r="DG556" s="70"/>
      <c r="DH556" s="70"/>
      <c r="DI556" s="70"/>
      <c r="DJ556" s="70"/>
      <c r="DK556" s="70"/>
      <c r="DL556" s="70"/>
      <c r="DM556" s="70"/>
      <c r="DN556" s="70"/>
      <c r="DO556" s="70"/>
      <c r="DP556" s="70"/>
      <c r="DQ556" s="70"/>
      <c r="DR556" s="70"/>
      <c r="DS556" s="70"/>
      <c r="DT556" s="70"/>
      <c r="DU556" s="70"/>
      <c r="DV556" s="70"/>
      <c r="DW556" s="70"/>
      <c r="DX556" s="70"/>
      <c r="DY556" s="70"/>
      <c r="DZ556" s="70"/>
      <c r="EA556" s="70"/>
      <c r="EB556" s="70"/>
      <c r="EC556" s="70"/>
      <c r="ED556" s="70"/>
      <c r="EE556" s="70"/>
      <c r="EF556" s="70"/>
      <c r="EG556" s="70"/>
      <c r="EH556" s="70"/>
      <c r="EI556" s="70"/>
      <c r="EJ556" s="70"/>
      <c r="EK556" s="70"/>
      <c r="EL556" s="70"/>
      <c r="EM556" s="70"/>
      <c r="EN556" s="70"/>
      <c r="EO556" s="70"/>
      <c r="EP556" s="70"/>
      <c r="EQ556" s="70"/>
      <c r="ER556" s="70"/>
      <c r="ES556" s="70"/>
      <c r="ET556" s="70"/>
      <c r="EU556" s="70"/>
      <c r="EV556" s="70"/>
      <c r="EW556" s="70"/>
      <c r="EX556" s="70"/>
      <c r="EY556" s="70"/>
      <c r="EZ556" s="70"/>
      <c r="FA556" s="70"/>
      <c r="FB556" s="70"/>
      <c r="FC556" s="70"/>
      <c r="FD556" s="70"/>
      <c r="FE556" s="70"/>
      <c r="FF556" s="70"/>
      <c r="FG556" s="70"/>
      <c r="FH556" s="70"/>
      <c r="FI556" s="70"/>
      <c r="FJ556" s="70"/>
      <c r="FK556" s="70"/>
      <c r="FL556" s="70"/>
      <c r="FM556" s="70"/>
      <c r="FN556" s="70"/>
      <c r="FO556" s="70"/>
      <c r="FP556" s="70"/>
      <c r="FQ556" s="70"/>
      <c r="FR556" s="70"/>
      <c r="FS556" s="70"/>
      <c r="FT556" s="70"/>
      <c r="FU556" s="70"/>
      <c r="FV556" s="70"/>
      <c r="FW556" s="70"/>
      <c r="FX556" s="70"/>
      <c r="FY556" s="70"/>
      <c r="FZ556" s="70"/>
      <c r="GA556" s="70"/>
      <c r="GB556" s="70"/>
      <c r="GC556" s="70"/>
      <c r="GD556" s="70"/>
      <c r="GE556" s="70"/>
      <c r="GF556" s="70"/>
      <c r="GG556" s="70"/>
      <c r="GH556" s="70"/>
      <c r="GI556" s="70"/>
      <c r="GJ556" s="70"/>
      <c r="GK556" s="70"/>
      <c r="GL556" s="70"/>
      <c r="GM556" s="70"/>
      <c r="GN556" s="70"/>
      <c r="GO556" s="70"/>
      <c r="GP556" s="70"/>
      <c r="GQ556" s="70"/>
      <c r="GR556" s="70"/>
      <c r="GS556" s="70"/>
      <c r="GT556" s="70"/>
      <c r="GU556" s="70"/>
      <c r="GV556" s="70"/>
      <c r="GW556" s="70"/>
      <c r="GX556" s="70"/>
      <c r="GY556" s="70"/>
      <c r="GZ556" s="70"/>
      <c r="HA556" s="70"/>
      <c r="HB556" s="70"/>
      <c r="HC556" s="70"/>
      <c r="HD556" s="70"/>
      <c r="HE556" s="70"/>
      <c r="HF556" s="70"/>
      <c r="HG556" s="70"/>
      <c r="HH556" s="70"/>
      <c r="HI556" s="70"/>
      <c r="HJ556" s="70"/>
      <c r="HK556" s="70"/>
      <c r="HL556" s="70"/>
      <c r="HM556" s="70"/>
      <c r="HN556" s="70"/>
      <c r="HO556" s="70"/>
      <c r="HP556" s="70"/>
      <c r="HQ556" s="70"/>
      <c r="HR556" s="70"/>
      <c r="HS556" s="70"/>
      <c r="HT556" s="70"/>
      <c r="HU556" s="70"/>
      <c r="HV556" s="70"/>
      <c r="HW556" s="70"/>
      <c r="HX556" s="70"/>
      <c r="HY556" s="70"/>
      <c r="HZ556" s="70"/>
      <c r="IA556" s="70"/>
      <c r="IB556" s="70"/>
      <c r="IC556" s="70"/>
      <c r="ID556" s="70"/>
      <c r="IE556" s="70"/>
      <c r="IF556" s="70"/>
      <c r="IG556" s="70"/>
      <c r="IH556" s="70"/>
      <c r="II556" s="70"/>
      <c r="IJ556" s="70"/>
      <c r="IK556" s="70"/>
      <c r="IL556" s="70"/>
      <c r="IM556" s="70"/>
      <c r="IN556" s="70"/>
      <c r="IO556" s="70"/>
      <c r="IP556" s="70"/>
      <c r="IQ556" s="70"/>
      <c r="IR556" s="70"/>
      <c r="IS556" s="70"/>
      <c r="IT556" s="70"/>
      <c r="IU556" s="70"/>
      <c r="IV556" s="70"/>
    </row>
    <row r="557" spans="1:256" s="207" customFormat="1" x14ac:dyDescent="0.2">
      <c r="A557" s="3393" t="s">
        <v>2464</v>
      </c>
      <c r="B557" s="651"/>
      <c r="C557" s="236"/>
      <c r="D557" s="234"/>
      <c r="E557" s="234"/>
      <c r="F557" s="234"/>
      <c r="G557" s="234"/>
      <c r="H557" s="236"/>
      <c r="I557" s="973"/>
      <c r="J557" s="847"/>
      <c r="K557" s="847"/>
      <c r="L557" s="847"/>
      <c r="M557" s="973"/>
      <c r="N557" s="973"/>
      <c r="O557" s="847"/>
      <c r="P557" s="847"/>
      <c r="Q557" s="847"/>
      <c r="R557" s="973"/>
      <c r="S557" s="973"/>
      <c r="T557" s="847"/>
      <c r="U557" s="847"/>
      <c r="V557" s="847"/>
      <c r="W557" s="973"/>
      <c r="X557" s="973"/>
      <c r="Y557" s="847"/>
      <c r="Z557" s="847"/>
      <c r="AA557" s="847"/>
      <c r="AB557" s="973"/>
      <c r="AC557" s="973"/>
      <c r="AD557" s="847"/>
      <c r="AE557" s="847"/>
      <c r="AF557" s="847"/>
      <c r="AG557" s="973"/>
      <c r="AH557" s="973"/>
      <c r="AI557" s="847"/>
      <c r="AJ557" s="847"/>
      <c r="AK557" s="847"/>
      <c r="AL557" s="973"/>
      <c r="AM557" s="973"/>
      <c r="AN557" s="847"/>
      <c r="AO557" s="847"/>
      <c r="AP557" s="847"/>
      <c r="AQ557" s="973"/>
      <c r="AR557" s="973"/>
      <c r="AS557" s="847"/>
      <c r="AT557" s="847"/>
      <c r="AU557" s="847"/>
      <c r="AV557" s="973"/>
      <c r="AW557" s="973"/>
      <c r="AX557" s="847"/>
      <c r="AY557" s="847"/>
      <c r="AZ557" s="847"/>
      <c r="BA557" s="973"/>
      <c r="BB557" s="973"/>
      <c r="BC557" s="847"/>
      <c r="BD557" s="847"/>
      <c r="BE557" s="847"/>
      <c r="BF557" s="973"/>
      <c r="BG557" s="973"/>
      <c r="BH557" s="847"/>
      <c r="BI557" s="847"/>
      <c r="BJ557" s="847"/>
      <c r="BK557" s="661"/>
      <c r="BL557" s="847"/>
      <c r="BM557" s="847"/>
      <c r="BN557" s="847"/>
      <c r="BO557" s="847"/>
      <c r="BP557" s="661"/>
      <c r="BQ557" s="847"/>
      <c r="BR557" s="847"/>
      <c r="BS557" s="847"/>
      <c r="BT557" s="847"/>
      <c r="BU557" s="661"/>
      <c r="BV557" s="847"/>
      <c r="BW557" s="847"/>
      <c r="BX557" s="847"/>
      <c r="BY557" s="847"/>
      <c r="BZ557" s="661"/>
      <c r="CA557" s="847"/>
      <c r="CB557" s="847"/>
      <c r="CC557" s="847"/>
      <c r="CD557" s="847"/>
      <c r="CE557" s="661"/>
      <c r="CF557" s="847"/>
      <c r="CG557" s="2349"/>
      <c r="CH557" s="2349">
        <f t="shared" si="786"/>
        <v>11967</v>
      </c>
      <c r="CI557" s="2349">
        <f t="shared" si="783"/>
        <v>12096</v>
      </c>
      <c r="CJ557" s="2293">
        <f t="shared" ref="CJ557:CV557" si="794">CJ452+CJ487+CJ521</f>
        <v>12096</v>
      </c>
      <c r="CK557" s="2350">
        <f t="shared" si="788"/>
        <v>13203</v>
      </c>
      <c r="CL557" s="2349">
        <f t="shared" si="794"/>
        <v>13490</v>
      </c>
      <c r="CM557" s="1261">
        <f t="shared" si="794"/>
        <v>14565</v>
      </c>
      <c r="CN557" s="1261">
        <f t="shared" si="794"/>
        <v>14565</v>
      </c>
      <c r="CO557" s="2293">
        <f t="shared" si="794"/>
        <v>14565</v>
      </c>
      <c r="CP557" s="1261">
        <f t="shared" si="785"/>
        <v>14239.44</v>
      </c>
      <c r="CQ557" s="1261">
        <f t="shared" si="785"/>
        <v>14549.400000000001</v>
      </c>
      <c r="CR557" s="1261">
        <f t="shared" si="785"/>
        <v>15710.400000000001</v>
      </c>
      <c r="CS557" s="1261">
        <f t="shared" si="785"/>
        <v>15710.400000000001</v>
      </c>
      <c r="CT557" s="2293">
        <f t="shared" si="785"/>
        <v>15710.400000000001</v>
      </c>
      <c r="CU557" s="2293">
        <f t="shared" si="794"/>
        <v>16881.948</v>
      </c>
      <c r="CV557" s="2293">
        <f t="shared" si="794"/>
        <v>17550.123660000001</v>
      </c>
      <c r="CW557" s="2481"/>
      <c r="CX557" s="2481"/>
      <c r="CY557" s="2481"/>
      <c r="CZ557" s="2481"/>
      <c r="DA557" s="2481"/>
      <c r="DB557" s="217"/>
      <c r="DC557" s="212"/>
      <c r="DD557" s="212"/>
      <c r="DE557" s="70"/>
      <c r="DF557" s="70"/>
      <c r="DG557" s="70"/>
      <c r="DH557" s="70"/>
      <c r="DI557" s="70"/>
      <c r="DJ557" s="70"/>
      <c r="DK557" s="70"/>
      <c r="DL557" s="70"/>
      <c r="DM557" s="70"/>
      <c r="DN557" s="70"/>
      <c r="DO557" s="70"/>
      <c r="DP557" s="70"/>
      <c r="DQ557" s="70"/>
      <c r="DR557" s="70"/>
      <c r="DS557" s="70"/>
      <c r="DT557" s="70"/>
      <c r="DU557" s="70"/>
      <c r="DV557" s="70"/>
      <c r="DW557" s="70"/>
      <c r="DX557" s="70"/>
      <c r="DY557" s="70"/>
      <c r="DZ557" s="70"/>
      <c r="EA557" s="70"/>
      <c r="EB557" s="70"/>
      <c r="EC557" s="70"/>
      <c r="ED557" s="70"/>
      <c r="EE557" s="70"/>
      <c r="EF557" s="70"/>
      <c r="EG557" s="70"/>
      <c r="EH557" s="70"/>
      <c r="EI557" s="70"/>
      <c r="EJ557" s="70"/>
      <c r="EK557" s="70"/>
      <c r="EL557" s="70"/>
      <c r="EM557" s="70"/>
      <c r="EN557" s="70"/>
      <c r="EO557" s="70"/>
      <c r="EP557" s="70"/>
      <c r="EQ557" s="70"/>
      <c r="ER557" s="70"/>
      <c r="ES557" s="70"/>
      <c r="ET557" s="70"/>
      <c r="EU557" s="70"/>
      <c r="EV557" s="70"/>
      <c r="EW557" s="70"/>
      <c r="EX557" s="70"/>
      <c r="EY557" s="70"/>
      <c r="EZ557" s="70"/>
      <c r="FA557" s="70"/>
      <c r="FB557" s="70"/>
      <c r="FC557" s="70"/>
      <c r="FD557" s="70"/>
      <c r="FE557" s="70"/>
      <c r="FF557" s="70"/>
      <c r="FG557" s="70"/>
      <c r="FH557" s="70"/>
      <c r="FI557" s="70"/>
      <c r="FJ557" s="70"/>
      <c r="FK557" s="70"/>
      <c r="FL557" s="70"/>
      <c r="FM557" s="70"/>
      <c r="FN557" s="70"/>
      <c r="FO557" s="70"/>
      <c r="FP557" s="70"/>
      <c r="FQ557" s="70"/>
      <c r="FR557" s="70"/>
      <c r="FS557" s="70"/>
      <c r="FT557" s="70"/>
      <c r="FU557" s="70"/>
      <c r="FV557" s="70"/>
      <c r="FW557" s="70"/>
      <c r="FX557" s="70"/>
      <c r="FY557" s="70"/>
      <c r="FZ557" s="70"/>
      <c r="GA557" s="70"/>
      <c r="GB557" s="70"/>
      <c r="GC557" s="70"/>
      <c r="GD557" s="70"/>
      <c r="GE557" s="70"/>
      <c r="GF557" s="70"/>
      <c r="GG557" s="70"/>
      <c r="GH557" s="70"/>
      <c r="GI557" s="70"/>
      <c r="GJ557" s="70"/>
      <c r="GK557" s="70"/>
      <c r="GL557" s="70"/>
      <c r="GM557" s="70"/>
      <c r="GN557" s="70"/>
      <c r="GO557" s="70"/>
      <c r="GP557" s="70"/>
      <c r="GQ557" s="70"/>
      <c r="GR557" s="70"/>
      <c r="GS557" s="70"/>
      <c r="GT557" s="70"/>
      <c r="GU557" s="70"/>
      <c r="GV557" s="70"/>
      <c r="GW557" s="70"/>
      <c r="GX557" s="70"/>
      <c r="GY557" s="70"/>
      <c r="GZ557" s="70"/>
      <c r="HA557" s="70"/>
      <c r="HB557" s="70"/>
      <c r="HC557" s="70"/>
      <c r="HD557" s="70"/>
      <c r="HE557" s="70"/>
      <c r="HF557" s="70"/>
      <c r="HG557" s="70"/>
      <c r="HH557" s="70"/>
      <c r="HI557" s="70"/>
      <c r="HJ557" s="70"/>
      <c r="HK557" s="70"/>
      <c r="HL557" s="70"/>
      <c r="HM557" s="70"/>
      <c r="HN557" s="70"/>
      <c r="HO557" s="70"/>
      <c r="HP557" s="70"/>
      <c r="HQ557" s="70"/>
      <c r="HR557" s="70"/>
      <c r="HS557" s="70"/>
      <c r="HT557" s="70"/>
      <c r="HU557" s="70"/>
      <c r="HV557" s="70"/>
      <c r="HW557" s="70"/>
      <c r="HX557" s="70"/>
      <c r="HY557" s="70"/>
      <c r="HZ557" s="70"/>
      <c r="IA557" s="70"/>
      <c r="IB557" s="70"/>
      <c r="IC557" s="70"/>
      <c r="ID557" s="70"/>
      <c r="IE557" s="70"/>
      <c r="IF557" s="70"/>
      <c r="IG557" s="70"/>
      <c r="IH557" s="70"/>
      <c r="II557" s="70"/>
      <c r="IJ557" s="70"/>
      <c r="IK557" s="70"/>
      <c r="IL557" s="70"/>
      <c r="IM557" s="70"/>
      <c r="IN557" s="70"/>
      <c r="IO557" s="70"/>
      <c r="IP557" s="70"/>
      <c r="IQ557" s="70"/>
      <c r="IR557" s="70"/>
      <c r="IS557" s="70"/>
      <c r="IT557" s="70"/>
      <c r="IU557" s="70"/>
      <c r="IV557" s="70"/>
    </row>
    <row r="558" spans="1:256" s="207" customFormat="1" x14ac:dyDescent="0.2">
      <c r="A558" s="3393" t="s">
        <v>2462</v>
      </c>
      <c r="B558" s="651"/>
      <c r="C558" s="236"/>
      <c r="D558" s="234"/>
      <c r="E558" s="234"/>
      <c r="F558" s="234"/>
      <c r="G558" s="234"/>
      <c r="H558" s="236"/>
      <c r="I558" s="973"/>
      <c r="J558" s="847"/>
      <c r="K558" s="847"/>
      <c r="L558" s="847"/>
      <c r="M558" s="973"/>
      <c r="N558" s="973"/>
      <c r="O558" s="847"/>
      <c r="P558" s="847"/>
      <c r="Q558" s="847"/>
      <c r="R558" s="973"/>
      <c r="S558" s="973"/>
      <c r="T558" s="847"/>
      <c r="U558" s="847"/>
      <c r="V558" s="847"/>
      <c r="W558" s="973"/>
      <c r="X558" s="973"/>
      <c r="Y558" s="847"/>
      <c r="Z558" s="847"/>
      <c r="AA558" s="847"/>
      <c r="AB558" s="973"/>
      <c r="AC558" s="973"/>
      <c r="AD558" s="847"/>
      <c r="AE558" s="847"/>
      <c r="AF558" s="847"/>
      <c r="AG558" s="973"/>
      <c r="AH558" s="973"/>
      <c r="AI558" s="847"/>
      <c r="AJ558" s="847"/>
      <c r="AK558" s="847"/>
      <c r="AL558" s="973"/>
      <c r="AM558" s="973"/>
      <c r="AN558" s="847"/>
      <c r="AO558" s="847"/>
      <c r="AP558" s="847"/>
      <c r="AQ558" s="973"/>
      <c r="AR558" s="973"/>
      <c r="AS558" s="847"/>
      <c r="AT558" s="847"/>
      <c r="AU558" s="847"/>
      <c r="AV558" s="973"/>
      <c r="AW558" s="973"/>
      <c r="AX558" s="847"/>
      <c r="AY558" s="847"/>
      <c r="AZ558" s="847"/>
      <c r="BA558" s="973"/>
      <c r="BB558" s="973"/>
      <c r="BC558" s="847"/>
      <c r="BD558" s="847"/>
      <c r="BE558" s="847"/>
      <c r="BF558" s="973"/>
      <c r="BG558" s="973"/>
      <c r="BH558" s="847"/>
      <c r="BI558" s="847"/>
      <c r="BJ558" s="847"/>
      <c r="BK558" s="661"/>
      <c r="BL558" s="847"/>
      <c r="BM558" s="847"/>
      <c r="BN558" s="847"/>
      <c r="BO558" s="847"/>
      <c r="BP558" s="661"/>
      <c r="BQ558" s="847"/>
      <c r="BR558" s="847"/>
      <c r="BS558" s="847"/>
      <c r="BT558" s="847"/>
      <c r="BU558" s="661"/>
      <c r="BV558" s="847"/>
      <c r="BW558" s="847"/>
      <c r="BX558" s="847"/>
      <c r="BY558" s="847"/>
      <c r="BZ558" s="661"/>
      <c r="CA558" s="847"/>
      <c r="CB558" s="847"/>
      <c r="CC558" s="847"/>
      <c r="CD558" s="847"/>
      <c r="CE558" s="661"/>
      <c r="CF558" s="847"/>
      <c r="CG558" s="2349"/>
      <c r="CH558" s="2349">
        <f t="shared" si="786"/>
        <v>2886</v>
      </c>
      <c r="CI558" s="2349">
        <f t="shared" si="783"/>
        <v>2993</v>
      </c>
      <c r="CJ558" s="2293">
        <f t="shared" ref="CJ558:CV558" si="795">CJ453+CJ488+CJ522</f>
        <v>2993</v>
      </c>
      <c r="CK558" s="2350">
        <f t="shared" si="788"/>
        <v>3084</v>
      </c>
      <c r="CL558" s="2349">
        <f t="shared" si="795"/>
        <v>3617</v>
      </c>
      <c r="CM558" s="1261">
        <f t="shared" si="795"/>
        <v>3761</v>
      </c>
      <c r="CN558" s="1261">
        <f t="shared" si="795"/>
        <v>4027</v>
      </c>
      <c r="CO558" s="2293">
        <f t="shared" si="795"/>
        <v>4027</v>
      </c>
      <c r="CP558" s="1261">
        <f t="shared" si="785"/>
        <v>3319.92</v>
      </c>
      <c r="CQ558" s="1261">
        <f t="shared" si="785"/>
        <v>3895.56</v>
      </c>
      <c r="CR558" s="1261">
        <f t="shared" si="785"/>
        <v>4051.0800000000004</v>
      </c>
      <c r="CS558" s="1261">
        <f t="shared" si="785"/>
        <v>4338.3600000000006</v>
      </c>
      <c r="CT558" s="2293">
        <f t="shared" si="785"/>
        <v>4338.3600000000006</v>
      </c>
      <c r="CU558" s="2293">
        <f t="shared" si="795"/>
        <v>4660.0650000000005</v>
      </c>
      <c r="CV558" s="2293">
        <f t="shared" si="795"/>
        <v>4842.593640000001</v>
      </c>
      <c r="CW558" s="2481"/>
      <c r="CX558" s="2481"/>
      <c r="CY558" s="2481"/>
      <c r="CZ558" s="2481"/>
      <c r="DA558" s="2481"/>
      <c r="DB558" s="217"/>
      <c r="DC558" s="212"/>
      <c r="DD558" s="212"/>
      <c r="DE558" s="70"/>
      <c r="DF558" s="70"/>
      <c r="DG558" s="70"/>
      <c r="DH558" s="70"/>
      <c r="DI558" s="70"/>
      <c r="DJ558" s="70"/>
      <c r="DK558" s="70"/>
      <c r="DL558" s="70"/>
      <c r="DM558" s="70"/>
      <c r="DN558" s="70"/>
      <c r="DO558" s="70"/>
      <c r="DP558" s="70"/>
      <c r="DQ558" s="70"/>
      <c r="DR558" s="70"/>
      <c r="DS558" s="70"/>
      <c r="DT558" s="70"/>
      <c r="DU558" s="70"/>
      <c r="DV558" s="70"/>
      <c r="DW558" s="70"/>
      <c r="DX558" s="70"/>
      <c r="DY558" s="70"/>
      <c r="DZ558" s="70"/>
      <c r="EA558" s="70"/>
      <c r="EB558" s="70"/>
      <c r="EC558" s="70"/>
      <c r="ED558" s="70"/>
      <c r="EE558" s="70"/>
      <c r="EF558" s="70"/>
      <c r="EG558" s="70"/>
      <c r="EH558" s="70"/>
      <c r="EI558" s="70"/>
      <c r="EJ558" s="70"/>
      <c r="EK558" s="70"/>
      <c r="EL558" s="70"/>
      <c r="EM558" s="70"/>
      <c r="EN558" s="70"/>
      <c r="EO558" s="70"/>
      <c r="EP558" s="70"/>
      <c r="EQ558" s="70"/>
      <c r="ER558" s="70"/>
      <c r="ES558" s="70"/>
      <c r="ET558" s="70"/>
      <c r="EU558" s="70"/>
      <c r="EV558" s="70"/>
      <c r="EW558" s="70"/>
      <c r="EX558" s="70"/>
      <c r="EY558" s="70"/>
      <c r="EZ558" s="70"/>
      <c r="FA558" s="70"/>
      <c r="FB558" s="70"/>
      <c r="FC558" s="70"/>
      <c r="FD558" s="70"/>
      <c r="FE558" s="70"/>
      <c r="FF558" s="70"/>
      <c r="FG558" s="70"/>
      <c r="FH558" s="70"/>
      <c r="FI558" s="70"/>
      <c r="FJ558" s="70"/>
      <c r="FK558" s="70"/>
      <c r="FL558" s="70"/>
      <c r="FM558" s="70"/>
      <c r="FN558" s="70"/>
      <c r="FO558" s="70"/>
      <c r="FP558" s="70"/>
      <c r="FQ558" s="70"/>
      <c r="FR558" s="70"/>
      <c r="FS558" s="70"/>
      <c r="FT558" s="70"/>
      <c r="FU558" s="70"/>
      <c r="FV558" s="70"/>
      <c r="FW558" s="70"/>
      <c r="FX558" s="70"/>
      <c r="FY558" s="70"/>
      <c r="FZ558" s="70"/>
      <c r="GA558" s="70"/>
      <c r="GB558" s="70"/>
      <c r="GC558" s="70"/>
      <c r="GD558" s="70"/>
      <c r="GE558" s="70"/>
      <c r="GF558" s="70"/>
      <c r="GG558" s="70"/>
      <c r="GH558" s="70"/>
      <c r="GI558" s="70"/>
      <c r="GJ558" s="70"/>
      <c r="GK558" s="70"/>
      <c r="GL558" s="70"/>
      <c r="GM558" s="70"/>
      <c r="GN558" s="70"/>
      <c r="GO558" s="70"/>
      <c r="GP558" s="70"/>
      <c r="GQ558" s="70"/>
      <c r="GR558" s="70"/>
      <c r="GS558" s="70"/>
      <c r="GT558" s="70"/>
      <c r="GU558" s="70"/>
      <c r="GV558" s="70"/>
      <c r="GW558" s="70"/>
      <c r="GX558" s="70"/>
      <c r="GY558" s="70"/>
      <c r="GZ558" s="70"/>
      <c r="HA558" s="70"/>
      <c r="HB558" s="70"/>
      <c r="HC558" s="70"/>
      <c r="HD558" s="70"/>
      <c r="HE558" s="70"/>
      <c r="HF558" s="70"/>
      <c r="HG558" s="70"/>
      <c r="HH558" s="70"/>
      <c r="HI558" s="70"/>
      <c r="HJ558" s="70"/>
      <c r="HK558" s="70"/>
      <c r="HL558" s="70"/>
      <c r="HM558" s="70"/>
      <c r="HN558" s="70"/>
      <c r="HO558" s="70"/>
      <c r="HP558" s="70"/>
      <c r="HQ558" s="70"/>
      <c r="HR558" s="70"/>
      <c r="HS558" s="70"/>
      <c r="HT558" s="70"/>
      <c r="HU558" s="70"/>
      <c r="HV558" s="70"/>
      <c r="HW558" s="70"/>
      <c r="HX558" s="70"/>
      <c r="HY558" s="70"/>
      <c r="HZ558" s="70"/>
      <c r="IA558" s="70"/>
      <c r="IB558" s="70"/>
      <c r="IC558" s="70"/>
      <c r="ID558" s="70"/>
      <c r="IE558" s="70"/>
      <c r="IF558" s="70"/>
      <c r="IG558" s="70"/>
      <c r="IH558" s="70"/>
      <c r="II558" s="70"/>
      <c r="IJ558" s="70"/>
      <c r="IK558" s="70"/>
      <c r="IL558" s="70"/>
      <c r="IM558" s="70"/>
      <c r="IN558" s="70"/>
      <c r="IO558" s="70"/>
      <c r="IP558" s="70"/>
      <c r="IQ558" s="70"/>
      <c r="IR558" s="70"/>
      <c r="IS558" s="70"/>
      <c r="IT558" s="70"/>
      <c r="IU558" s="70"/>
      <c r="IV558" s="70"/>
    </row>
    <row r="559" spans="1:256" s="207" customFormat="1" x14ac:dyDescent="0.2">
      <c r="A559" s="3393" t="s">
        <v>2463</v>
      </c>
      <c r="B559" s="651"/>
      <c r="C559" s="236"/>
      <c r="D559" s="234"/>
      <c r="E559" s="234"/>
      <c r="F559" s="234"/>
      <c r="G559" s="234"/>
      <c r="H559" s="236"/>
      <c r="I559" s="973"/>
      <c r="J559" s="847"/>
      <c r="K559" s="847"/>
      <c r="L559" s="847"/>
      <c r="M559" s="973"/>
      <c r="N559" s="973"/>
      <c r="O559" s="847"/>
      <c r="P559" s="847"/>
      <c r="Q559" s="847"/>
      <c r="R559" s="973"/>
      <c r="S559" s="973"/>
      <c r="T559" s="847"/>
      <c r="U559" s="847"/>
      <c r="V559" s="847"/>
      <c r="W559" s="973"/>
      <c r="X559" s="973"/>
      <c r="Y559" s="847"/>
      <c r="Z559" s="847"/>
      <c r="AA559" s="847"/>
      <c r="AB559" s="973"/>
      <c r="AC559" s="973"/>
      <c r="AD559" s="847"/>
      <c r="AE559" s="847"/>
      <c r="AF559" s="847"/>
      <c r="AG559" s="973"/>
      <c r="AH559" s="973"/>
      <c r="AI559" s="847"/>
      <c r="AJ559" s="847"/>
      <c r="AK559" s="847"/>
      <c r="AL559" s="973"/>
      <c r="AM559" s="973"/>
      <c r="AN559" s="847"/>
      <c r="AO559" s="847"/>
      <c r="AP559" s="847"/>
      <c r="AQ559" s="973"/>
      <c r="AR559" s="973"/>
      <c r="AS559" s="847"/>
      <c r="AT559" s="847"/>
      <c r="AU559" s="847"/>
      <c r="AV559" s="973"/>
      <c r="AW559" s="973"/>
      <c r="AX559" s="847"/>
      <c r="AY559" s="847"/>
      <c r="AZ559" s="847"/>
      <c r="BA559" s="973"/>
      <c r="BB559" s="973"/>
      <c r="BC559" s="847"/>
      <c r="BD559" s="847"/>
      <c r="BE559" s="847"/>
      <c r="BF559" s="973"/>
      <c r="BG559" s="973"/>
      <c r="BH559" s="847"/>
      <c r="BI559" s="847"/>
      <c r="BJ559" s="847"/>
      <c r="BK559" s="661"/>
      <c r="BL559" s="847"/>
      <c r="BM559" s="847"/>
      <c r="BN559" s="847"/>
      <c r="BO559" s="847"/>
      <c r="BP559" s="661"/>
      <c r="BQ559" s="847"/>
      <c r="BR559" s="847"/>
      <c r="BS559" s="847"/>
      <c r="BT559" s="847"/>
      <c r="BU559" s="661"/>
      <c r="BV559" s="847"/>
      <c r="BW559" s="847"/>
      <c r="BX559" s="847"/>
      <c r="BY559" s="847"/>
      <c r="BZ559" s="661"/>
      <c r="CA559" s="847"/>
      <c r="CB559" s="847"/>
      <c r="CC559" s="847"/>
      <c r="CD559" s="847"/>
      <c r="CE559" s="661"/>
      <c r="CF559" s="847"/>
      <c r="CG559" s="2349"/>
      <c r="CH559" s="2349">
        <f t="shared" si="786"/>
        <v>3558</v>
      </c>
      <c r="CI559" s="2349">
        <f t="shared" si="783"/>
        <v>4676</v>
      </c>
      <c r="CJ559" s="2293">
        <f t="shared" ref="CJ559:CV559" si="796">CJ454+CJ489+CJ523</f>
        <v>4676</v>
      </c>
      <c r="CK559" s="2350">
        <f t="shared" si="788"/>
        <v>4703</v>
      </c>
      <c r="CL559" s="2349">
        <f t="shared" si="796"/>
        <v>4776</v>
      </c>
      <c r="CM559" s="1261">
        <f t="shared" si="796"/>
        <v>4868</v>
      </c>
      <c r="CN559" s="1261">
        <f t="shared" si="796"/>
        <v>4862</v>
      </c>
      <c r="CO559" s="2293">
        <f t="shared" si="796"/>
        <v>4862</v>
      </c>
      <c r="CP559" s="1261">
        <f t="shared" si="785"/>
        <v>5068.4400000000005</v>
      </c>
      <c r="CQ559" s="1261">
        <f t="shared" si="785"/>
        <v>5147.2800000000007</v>
      </c>
      <c r="CR559" s="1261">
        <f t="shared" si="785"/>
        <v>5246.64</v>
      </c>
      <c r="CS559" s="1261">
        <f t="shared" si="785"/>
        <v>5240.1600000000008</v>
      </c>
      <c r="CT559" s="2293">
        <f t="shared" si="785"/>
        <v>5240.1600000000008</v>
      </c>
      <c r="CU559" s="2293">
        <f t="shared" si="796"/>
        <v>5623.0470000000005</v>
      </c>
      <c r="CV559" s="2293">
        <f t="shared" si="796"/>
        <v>5842.5688800000007</v>
      </c>
      <c r="CW559" s="2481"/>
      <c r="CX559" s="2481"/>
      <c r="CY559" s="2481"/>
      <c r="CZ559" s="2481"/>
      <c r="DA559" s="2481"/>
      <c r="DB559" s="217"/>
      <c r="DC559" s="212"/>
      <c r="DD559" s="212"/>
      <c r="DE559" s="70"/>
      <c r="DF559" s="70"/>
      <c r="DG559" s="70"/>
      <c r="DH559" s="70"/>
      <c r="DI559" s="70"/>
      <c r="DJ559" s="70"/>
      <c r="DK559" s="70"/>
      <c r="DL559" s="70"/>
      <c r="DM559" s="70"/>
      <c r="DN559" s="70"/>
      <c r="DO559" s="70"/>
      <c r="DP559" s="70"/>
      <c r="DQ559" s="70"/>
      <c r="DR559" s="70"/>
      <c r="DS559" s="70"/>
      <c r="DT559" s="70"/>
      <c r="DU559" s="70"/>
      <c r="DV559" s="70"/>
      <c r="DW559" s="70"/>
      <c r="DX559" s="70"/>
      <c r="DY559" s="70"/>
      <c r="DZ559" s="70"/>
      <c r="EA559" s="70"/>
      <c r="EB559" s="70"/>
      <c r="EC559" s="70"/>
      <c r="ED559" s="70"/>
      <c r="EE559" s="70"/>
      <c r="EF559" s="70"/>
      <c r="EG559" s="70"/>
      <c r="EH559" s="70"/>
      <c r="EI559" s="70"/>
      <c r="EJ559" s="70"/>
      <c r="EK559" s="70"/>
      <c r="EL559" s="70"/>
      <c r="EM559" s="70"/>
      <c r="EN559" s="70"/>
      <c r="EO559" s="70"/>
      <c r="EP559" s="70"/>
      <c r="EQ559" s="70"/>
      <c r="ER559" s="70"/>
      <c r="ES559" s="70"/>
      <c r="ET559" s="70"/>
      <c r="EU559" s="70"/>
      <c r="EV559" s="70"/>
      <c r="EW559" s="70"/>
      <c r="EX559" s="70"/>
      <c r="EY559" s="70"/>
      <c r="EZ559" s="70"/>
      <c r="FA559" s="70"/>
      <c r="FB559" s="70"/>
      <c r="FC559" s="70"/>
      <c r="FD559" s="70"/>
      <c r="FE559" s="70"/>
      <c r="FF559" s="70"/>
      <c r="FG559" s="70"/>
      <c r="FH559" s="70"/>
      <c r="FI559" s="70"/>
      <c r="FJ559" s="70"/>
      <c r="FK559" s="70"/>
      <c r="FL559" s="70"/>
      <c r="FM559" s="70"/>
      <c r="FN559" s="70"/>
      <c r="FO559" s="70"/>
      <c r="FP559" s="70"/>
      <c r="FQ559" s="70"/>
      <c r="FR559" s="70"/>
      <c r="FS559" s="70"/>
      <c r="FT559" s="70"/>
      <c r="FU559" s="70"/>
      <c r="FV559" s="70"/>
      <c r="FW559" s="70"/>
      <c r="FX559" s="70"/>
      <c r="FY559" s="70"/>
      <c r="FZ559" s="70"/>
      <c r="GA559" s="70"/>
      <c r="GB559" s="70"/>
      <c r="GC559" s="70"/>
      <c r="GD559" s="70"/>
      <c r="GE559" s="70"/>
      <c r="GF559" s="70"/>
      <c r="GG559" s="70"/>
      <c r="GH559" s="70"/>
      <c r="GI559" s="70"/>
      <c r="GJ559" s="70"/>
      <c r="GK559" s="70"/>
      <c r="GL559" s="70"/>
      <c r="GM559" s="70"/>
      <c r="GN559" s="70"/>
      <c r="GO559" s="70"/>
      <c r="GP559" s="70"/>
      <c r="GQ559" s="70"/>
      <c r="GR559" s="70"/>
      <c r="GS559" s="70"/>
      <c r="GT559" s="70"/>
      <c r="GU559" s="70"/>
      <c r="GV559" s="70"/>
      <c r="GW559" s="70"/>
      <c r="GX559" s="70"/>
      <c r="GY559" s="70"/>
      <c r="GZ559" s="70"/>
      <c r="HA559" s="70"/>
      <c r="HB559" s="70"/>
      <c r="HC559" s="70"/>
      <c r="HD559" s="70"/>
      <c r="HE559" s="70"/>
      <c r="HF559" s="70"/>
      <c r="HG559" s="70"/>
      <c r="HH559" s="70"/>
      <c r="HI559" s="70"/>
      <c r="HJ559" s="70"/>
      <c r="HK559" s="70"/>
      <c r="HL559" s="70"/>
      <c r="HM559" s="70"/>
      <c r="HN559" s="70"/>
      <c r="HO559" s="70"/>
      <c r="HP559" s="70"/>
      <c r="HQ559" s="70"/>
      <c r="HR559" s="70"/>
      <c r="HS559" s="70"/>
      <c r="HT559" s="70"/>
      <c r="HU559" s="70"/>
      <c r="HV559" s="70"/>
      <c r="HW559" s="70"/>
      <c r="HX559" s="70"/>
      <c r="HY559" s="70"/>
      <c r="HZ559" s="70"/>
      <c r="IA559" s="70"/>
      <c r="IB559" s="70"/>
      <c r="IC559" s="70"/>
      <c r="ID559" s="70"/>
      <c r="IE559" s="70"/>
      <c r="IF559" s="70"/>
      <c r="IG559" s="70"/>
      <c r="IH559" s="70"/>
      <c r="II559" s="70"/>
      <c r="IJ559" s="70"/>
      <c r="IK559" s="70"/>
      <c r="IL559" s="70"/>
      <c r="IM559" s="70"/>
      <c r="IN559" s="70"/>
      <c r="IO559" s="70"/>
      <c r="IP559" s="70"/>
      <c r="IQ559" s="70"/>
      <c r="IR559" s="70"/>
      <c r="IS559" s="70"/>
      <c r="IT559" s="70"/>
      <c r="IU559" s="70"/>
      <c r="IV559" s="70"/>
    </row>
    <row r="560" spans="1:256" x14ac:dyDescent="0.2">
      <c r="A560" s="1434" t="s">
        <v>1931</v>
      </c>
      <c r="B560" s="651"/>
      <c r="C560" s="236"/>
      <c r="D560" s="234"/>
      <c r="E560" s="234"/>
      <c r="F560" s="234"/>
      <c r="G560" s="234"/>
      <c r="H560" s="236"/>
      <c r="I560" s="973">
        <v>0</v>
      </c>
      <c r="J560" s="847">
        <v>0</v>
      </c>
      <c r="K560" s="847">
        <v>0</v>
      </c>
      <c r="L560" s="847">
        <v>0</v>
      </c>
      <c r="M560" s="973">
        <v>0</v>
      </c>
      <c r="N560" s="973">
        <v>0</v>
      </c>
      <c r="O560" s="847">
        <v>0</v>
      </c>
      <c r="P560" s="847">
        <v>0</v>
      </c>
      <c r="Q560" s="847">
        <v>0</v>
      </c>
      <c r="R560" s="973">
        <v>0</v>
      </c>
      <c r="S560" s="973">
        <v>0</v>
      </c>
      <c r="T560" s="847">
        <v>0</v>
      </c>
      <c r="U560" s="847">
        <v>0</v>
      </c>
      <c r="V560" s="847">
        <v>0</v>
      </c>
      <c r="W560" s="973">
        <v>0</v>
      </c>
      <c r="X560" s="973">
        <v>0</v>
      </c>
      <c r="Y560" s="847">
        <v>0</v>
      </c>
      <c r="Z560" s="847">
        <v>0</v>
      </c>
      <c r="AA560" s="847">
        <v>0</v>
      </c>
      <c r="AB560" s="973">
        <v>0</v>
      </c>
      <c r="AC560" s="973">
        <v>0</v>
      </c>
      <c r="AD560" s="847">
        <v>0</v>
      </c>
      <c r="AE560" s="847">
        <v>0</v>
      </c>
      <c r="AF560" s="847">
        <v>0</v>
      </c>
      <c r="AG560" s="973">
        <v>0</v>
      </c>
      <c r="AH560" s="973">
        <v>0</v>
      </c>
      <c r="AI560" s="847">
        <v>0</v>
      </c>
      <c r="AJ560" s="847">
        <v>0</v>
      </c>
      <c r="AK560" s="847">
        <v>0</v>
      </c>
      <c r="AL560" s="973">
        <v>0</v>
      </c>
      <c r="AM560" s="973">
        <v>0</v>
      </c>
      <c r="AN560" s="847">
        <v>0</v>
      </c>
      <c r="AO560" s="847">
        <v>0</v>
      </c>
      <c r="AP560" s="847">
        <v>0</v>
      </c>
      <c r="AQ560" s="973">
        <v>0</v>
      </c>
      <c r="AR560" s="973">
        <v>0</v>
      </c>
      <c r="AS560" s="847">
        <v>0</v>
      </c>
      <c r="AT560" s="847">
        <v>0</v>
      </c>
      <c r="AU560" s="847">
        <v>0</v>
      </c>
      <c r="AV560" s="973">
        <v>0</v>
      </c>
      <c r="AW560" s="973">
        <v>0</v>
      </c>
      <c r="AX560" s="847">
        <v>0</v>
      </c>
      <c r="AY560" s="847">
        <v>0</v>
      </c>
      <c r="AZ560" s="847">
        <v>0</v>
      </c>
      <c r="BA560" s="973">
        <v>0</v>
      </c>
      <c r="BB560" s="973">
        <v>0</v>
      </c>
      <c r="BC560" s="847">
        <v>0</v>
      </c>
      <c r="BD560" s="847">
        <v>0</v>
      </c>
      <c r="BE560" s="847">
        <v>0</v>
      </c>
      <c r="BF560" s="973"/>
      <c r="BG560" s="973"/>
      <c r="BH560" s="847"/>
      <c r="BI560" s="847"/>
      <c r="BJ560" s="847"/>
      <c r="BK560" s="661"/>
      <c r="BL560" s="847"/>
      <c r="BM560" s="847"/>
      <c r="BN560" s="847"/>
      <c r="BO560" s="847"/>
      <c r="BP560" s="661"/>
      <c r="BQ560" s="847"/>
      <c r="BR560" s="847"/>
      <c r="BS560" s="847"/>
      <c r="BT560" s="847"/>
      <c r="BU560" s="661"/>
      <c r="BV560" s="847"/>
      <c r="BW560" s="847"/>
      <c r="BX560" s="847"/>
      <c r="BY560" s="847"/>
      <c r="BZ560" s="661"/>
      <c r="CA560" s="847"/>
      <c r="CB560" s="847"/>
      <c r="CC560" s="847"/>
      <c r="CD560" s="847"/>
      <c r="CE560" s="661"/>
      <c r="CF560" s="847"/>
      <c r="CG560" s="2349"/>
      <c r="CH560" s="2349">
        <f>CH455+CH490+CH524</f>
        <v>0</v>
      </c>
      <c r="CI560" s="2349">
        <f>CI455+CI490+CI524</f>
        <v>4813</v>
      </c>
      <c r="CJ560" s="2293">
        <f>+CI560</f>
        <v>4813</v>
      </c>
      <c r="CK560" s="2350">
        <f t="shared" si="788"/>
        <v>4618</v>
      </c>
      <c r="CL560" s="2349">
        <f t="shared" ref="CL560:CV560" si="797">CL455+CL490+CL524</f>
        <v>4618</v>
      </c>
      <c r="CM560" s="1261">
        <f t="shared" si="797"/>
        <v>6520</v>
      </c>
      <c r="CN560" s="1261">
        <f t="shared" si="797"/>
        <v>6750</v>
      </c>
      <c r="CO560" s="2293">
        <f t="shared" si="797"/>
        <v>6750</v>
      </c>
      <c r="CP560" s="1261">
        <f t="shared" si="785"/>
        <v>4713.66</v>
      </c>
      <c r="CQ560" s="1261">
        <f t="shared" si="785"/>
        <v>4713.66</v>
      </c>
      <c r="CR560" s="1261">
        <f t="shared" si="785"/>
        <v>6671.22</v>
      </c>
      <c r="CS560" s="1261">
        <f t="shared" si="785"/>
        <v>6905.8200000000006</v>
      </c>
      <c r="CT560" s="2293">
        <f t="shared" si="785"/>
        <v>6905.8200000000006</v>
      </c>
      <c r="CU560" s="2293">
        <f t="shared" si="797"/>
        <v>7293.1352999999999</v>
      </c>
      <c r="CV560" s="2293">
        <f t="shared" si="797"/>
        <v>7447.0553460000001</v>
      </c>
      <c r="CW560" s="2481"/>
      <c r="CX560" s="2481"/>
      <c r="CY560" s="2481"/>
      <c r="CZ560" s="2481"/>
      <c r="DA560" s="2481"/>
      <c r="DB560" s="217"/>
    </row>
    <row r="561" spans="1:256" x14ac:dyDescent="0.2">
      <c r="A561" s="2308" t="s">
        <v>2700</v>
      </c>
      <c r="B561" s="651"/>
      <c r="C561" s="236"/>
      <c r="D561" s="234"/>
      <c r="E561" s="234"/>
      <c r="F561" s="234"/>
      <c r="G561" s="234"/>
      <c r="H561" s="236"/>
      <c r="I561" s="847"/>
      <c r="J561" s="847"/>
      <c r="K561" s="847"/>
      <c r="L561" s="847"/>
      <c r="M561" s="973"/>
      <c r="N561" s="847"/>
      <c r="O561" s="847"/>
      <c r="P561" s="847"/>
      <c r="Q561" s="847"/>
      <c r="R561" s="973"/>
      <c r="S561" s="847"/>
      <c r="T561" s="847"/>
      <c r="U561" s="847"/>
      <c r="V561" s="847"/>
      <c r="W561" s="973"/>
      <c r="X561" s="847"/>
      <c r="Y561" s="847"/>
      <c r="Z561" s="847"/>
      <c r="AA561" s="847"/>
      <c r="AB561" s="973"/>
      <c r="AC561" s="847"/>
      <c r="AD561" s="847"/>
      <c r="AE561" s="847"/>
      <c r="AF561" s="847"/>
      <c r="AG561" s="973"/>
      <c r="AH561" s="847"/>
      <c r="AI561" s="847"/>
      <c r="AJ561" s="847"/>
      <c r="AK561" s="847"/>
      <c r="AL561" s="973"/>
      <c r="AM561" s="847"/>
      <c r="AN561" s="847"/>
      <c r="AO561" s="847"/>
      <c r="AP561" s="847"/>
      <c r="AQ561" s="973"/>
      <c r="AR561" s="847"/>
      <c r="AS561" s="847"/>
      <c r="AT561" s="847"/>
      <c r="AU561" s="847"/>
      <c r="AV561" s="973"/>
      <c r="AW561" s="847"/>
      <c r="AX561" s="847"/>
      <c r="AY561" s="847"/>
      <c r="AZ561" s="847"/>
      <c r="BA561" s="973"/>
      <c r="BB561" s="847"/>
      <c r="BC561" s="847"/>
      <c r="BD561" s="847"/>
      <c r="BE561" s="847"/>
      <c r="BF561" s="973"/>
      <c r="BG561" s="847"/>
      <c r="BH561" s="847"/>
      <c r="BI561" s="847"/>
      <c r="BJ561" s="847"/>
      <c r="BK561" s="661"/>
      <c r="BL561" s="847"/>
      <c r="BM561" s="847"/>
      <c r="BN561" s="847"/>
      <c r="BO561" s="847"/>
      <c r="BP561" s="661"/>
      <c r="BQ561" s="847"/>
      <c r="BR561" s="847"/>
      <c r="BS561" s="847"/>
      <c r="BT561" s="847"/>
      <c r="BU561" s="661"/>
      <c r="BV561" s="847"/>
      <c r="BW561" s="847"/>
      <c r="BX561" s="847"/>
      <c r="BY561" s="847"/>
      <c r="BZ561" s="661"/>
      <c r="CA561" s="847"/>
      <c r="CB561" s="847"/>
      <c r="CC561" s="847"/>
      <c r="CD561" s="847"/>
      <c r="CE561" s="661"/>
      <c r="CF561" s="847"/>
      <c r="CG561" s="2349"/>
      <c r="CH561" s="2983">
        <v>0</v>
      </c>
      <c r="CI561" s="2983">
        <v>1913</v>
      </c>
      <c r="CJ561" s="2293">
        <f>+CI561</f>
        <v>1913</v>
      </c>
      <c r="CK561" s="2982">
        <v>2895</v>
      </c>
      <c r="CL561" s="2982">
        <v>3315</v>
      </c>
      <c r="CM561" s="2982">
        <v>4423</v>
      </c>
      <c r="CN561" s="2982">
        <v>5288</v>
      </c>
      <c r="CO561" s="2293">
        <f>+CN561</f>
        <v>5288</v>
      </c>
      <c r="CP561" s="3432">
        <f t="shared" ref="CP561:CS562" si="798">CO561</f>
        <v>5288</v>
      </c>
      <c r="CQ561" s="3432">
        <f t="shared" si="798"/>
        <v>5288</v>
      </c>
      <c r="CR561" s="3432">
        <f t="shared" si="798"/>
        <v>5288</v>
      </c>
      <c r="CS561" s="3432">
        <f t="shared" si="798"/>
        <v>5288</v>
      </c>
      <c r="CT561" s="2293">
        <f>+CS561</f>
        <v>5288</v>
      </c>
      <c r="CU561" s="3433">
        <f>+CT561</f>
        <v>5288</v>
      </c>
      <c r="CV561" s="3433">
        <f>+CU561</f>
        <v>5288</v>
      </c>
      <c r="CW561" s="2481"/>
      <c r="CX561" s="2481"/>
      <c r="CY561" s="2481"/>
      <c r="CZ561" s="2481"/>
      <c r="DA561" s="2481"/>
      <c r="DB561" s="217"/>
    </row>
    <row r="562" spans="1:256" x14ac:dyDescent="0.2">
      <c r="A562" s="2308" t="s">
        <v>2479</v>
      </c>
      <c r="B562" s="651"/>
      <c r="C562" s="236"/>
      <c r="D562" s="234"/>
      <c r="E562" s="234"/>
      <c r="F562" s="234"/>
      <c r="G562" s="234"/>
      <c r="H562" s="236"/>
      <c r="I562" s="847"/>
      <c r="J562" s="847"/>
      <c r="K562" s="847"/>
      <c r="L562" s="847"/>
      <c r="M562" s="973"/>
      <c r="N562" s="847"/>
      <c r="O562" s="847"/>
      <c r="P562" s="847"/>
      <c r="Q562" s="847"/>
      <c r="R562" s="973"/>
      <c r="S562" s="847"/>
      <c r="T562" s="847"/>
      <c r="U562" s="847"/>
      <c r="V562" s="847"/>
      <c r="W562" s="973"/>
      <c r="X562" s="847"/>
      <c r="Y562" s="847"/>
      <c r="Z562" s="847"/>
      <c r="AA562" s="847"/>
      <c r="AB562" s="973"/>
      <c r="AC562" s="847"/>
      <c r="AD562" s="847"/>
      <c r="AE562" s="847"/>
      <c r="AF562" s="847"/>
      <c r="AG562" s="973"/>
      <c r="AH562" s="847"/>
      <c r="AI562" s="847"/>
      <c r="AJ562" s="847"/>
      <c r="AK562" s="847"/>
      <c r="AL562" s="973"/>
      <c r="AM562" s="847"/>
      <c r="AN562" s="847"/>
      <c r="AO562" s="847"/>
      <c r="AP562" s="847"/>
      <c r="AQ562" s="973"/>
      <c r="AR562" s="847"/>
      <c r="AS562" s="847"/>
      <c r="AT562" s="847"/>
      <c r="AU562" s="847"/>
      <c r="AV562" s="973"/>
      <c r="AW562" s="847"/>
      <c r="AX562" s="847"/>
      <c r="AY562" s="847"/>
      <c r="AZ562" s="847"/>
      <c r="BA562" s="973"/>
      <c r="BB562" s="847"/>
      <c r="BC562" s="847"/>
      <c r="BD562" s="847"/>
      <c r="BE562" s="847"/>
      <c r="BF562" s="973"/>
      <c r="BG562" s="847"/>
      <c r="BH562" s="847"/>
      <c r="BI562" s="847"/>
      <c r="BJ562" s="847"/>
      <c r="BK562" s="661"/>
      <c r="BL562" s="847"/>
      <c r="BM562" s="847"/>
      <c r="BN562" s="847"/>
      <c r="BO562" s="847"/>
      <c r="BP562" s="661"/>
      <c r="BQ562" s="847"/>
      <c r="BR562" s="847"/>
      <c r="BS562" s="847"/>
      <c r="BT562" s="847"/>
      <c r="BU562" s="661"/>
      <c r="BV562" s="847"/>
      <c r="BW562" s="847"/>
      <c r="BX562" s="847"/>
      <c r="BY562" s="847"/>
      <c r="BZ562" s="661"/>
      <c r="CA562" s="847"/>
      <c r="CB562" s="847"/>
      <c r="CC562" s="847"/>
      <c r="CD562" s="847"/>
      <c r="CE562" s="661"/>
      <c r="CF562" s="847"/>
      <c r="CG562" s="2983"/>
      <c r="CH562" s="2983">
        <v>0</v>
      </c>
      <c r="CI562" s="2983">
        <v>17127</v>
      </c>
      <c r="CJ562" s="2293">
        <f t="shared" ref="CJ562:CV562" si="799">CI562</f>
        <v>17127</v>
      </c>
      <c r="CK562" s="2982">
        <v>17425</v>
      </c>
      <c r="CL562" s="2982">
        <v>17953</v>
      </c>
      <c r="CM562" s="2982">
        <v>18117</v>
      </c>
      <c r="CN562" s="2982">
        <v>18281</v>
      </c>
      <c r="CO562" s="2293">
        <f t="shared" si="799"/>
        <v>18281</v>
      </c>
      <c r="CP562">
        <f t="shared" si="798"/>
        <v>18281</v>
      </c>
      <c r="CQ562" s="3650">
        <f t="shared" si="798"/>
        <v>18281</v>
      </c>
      <c r="CR562" s="3650">
        <f t="shared" si="798"/>
        <v>18281</v>
      </c>
      <c r="CS562" s="3651">
        <f t="shared" si="798"/>
        <v>18281</v>
      </c>
      <c r="CT562" s="2293">
        <f t="shared" si="799"/>
        <v>18281</v>
      </c>
      <c r="CU562" s="2293">
        <f t="shared" si="799"/>
        <v>18281</v>
      </c>
      <c r="CV562" s="2293">
        <f t="shared" si="799"/>
        <v>18281</v>
      </c>
      <c r="CW562" s="2481"/>
      <c r="CX562" s="2481"/>
      <c r="CY562" s="2481"/>
      <c r="CZ562" s="2481"/>
      <c r="DA562" s="2481"/>
      <c r="DB562" s="217"/>
    </row>
    <row r="563" spans="1:256" x14ac:dyDescent="0.2">
      <c r="A563" s="331" t="s">
        <v>660</v>
      </c>
      <c r="B563" s="1439"/>
      <c r="C563" s="1440"/>
      <c r="D563" s="1441"/>
      <c r="E563" s="1441"/>
      <c r="F563" s="1441"/>
      <c r="G563" s="1441"/>
      <c r="H563" s="1440"/>
      <c r="I563" s="938">
        <f t="shared" ref="I563:AN563" si="800">SUM(I530:I560)</f>
        <v>309831</v>
      </c>
      <c r="J563" s="938">
        <f t="shared" si="800"/>
        <v>316612</v>
      </c>
      <c r="K563" s="938">
        <f t="shared" si="800"/>
        <v>321590</v>
      </c>
      <c r="L563" s="938">
        <f t="shared" si="800"/>
        <v>328686</v>
      </c>
      <c r="M563" s="1442">
        <f t="shared" si="800"/>
        <v>328686</v>
      </c>
      <c r="N563" s="938">
        <f t="shared" si="800"/>
        <v>333637</v>
      </c>
      <c r="O563" s="938">
        <f t="shared" si="800"/>
        <v>338104</v>
      </c>
      <c r="P563" s="938">
        <f t="shared" si="800"/>
        <v>341951</v>
      </c>
      <c r="Q563" s="938">
        <f t="shared" si="800"/>
        <v>349449</v>
      </c>
      <c r="R563" s="1442">
        <f t="shared" si="800"/>
        <v>349449</v>
      </c>
      <c r="S563" s="938">
        <f t="shared" si="800"/>
        <v>354999</v>
      </c>
      <c r="T563" s="938">
        <f t="shared" si="800"/>
        <v>359132</v>
      </c>
      <c r="U563" s="938">
        <f t="shared" si="800"/>
        <v>363783</v>
      </c>
      <c r="V563" s="938">
        <f t="shared" si="800"/>
        <v>366684</v>
      </c>
      <c r="W563" s="1442">
        <f t="shared" si="800"/>
        <v>366684</v>
      </c>
      <c r="X563" s="938">
        <f t="shared" si="800"/>
        <v>369654</v>
      </c>
      <c r="Y563" s="938">
        <f t="shared" si="800"/>
        <v>372815</v>
      </c>
      <c r="Z563" s="938">
        <f t="shared" si="800"/>
        <v>374657</v>
      </c>
      <c r="AA563" s="938">
        <f t="shared" si="800"/>
        <v>377785</v>
      </c>
      <c r="AB563" s="1442">
        <f t="shared" si="800"/>
        <v>377785</v>
      </c>
      <c r="AC563" s="938">
        <f t="shared" si="800"/>
        <v>379703</v>
      </c>
      <c r="AD563" s="938">
        <f t="shared" si="800"/>
        <v>382627</v>
      </c>
      <c r="AE563" s="938">
        <f t="shared" si="800"/>
        <v>385689</v>
      </c>
      <c r="AF563" s="938">
        <f t="shared" si="800"/>
        <v>389945</v>
      </c>
      <c r="AG563" s="1442">
        <f t="shared" si="800"/>
        <v>389945</v>
      </c>
      <c r="AH563" s="938">
        <f t="shared" si="800"/>
        <v>393631</v>
      </c>
      <c r="AI563" s="938">
        <f t="shared" si="800"/>
        <v>395710</v>
      </c>
      <c r="AJ563" s="938">
        <f t="shared" si="800"/>
        <v>397377</v>
      </c>
      <c r="AK563" s="938">
        <f t="shared" si="800"/>
        <v>399100</v>
      </c>
      <c r="AL563" s="1442">
        <f t="shared" si="800"/>
        <v>399100</v>
      </c>
      <c r="AM563" s="938">
        <f t="shared" si="800"/>
        <v>400032</v>
      </c>
      <c r="AN563" s="938">
        <f t="shared" si="800"/>
        <v>403649</v>
      </c>
      <c r="AO563" s="938">
        <f t="shared" ref="AO563:BT563" si="801">SUM(AO530:AO560)</f>
        <v>407485</v>
      </c>
      <c r="AP563" s="938">
        <f t="shared" si="801"/>
        <v>415153</v>
      </c>
      <c r="AQ563" s="1442">
        <f t="shared" si="801"/>
        <v>415153</v>
      </c>
      <c r="AR563" s="938">
        <f t="shared" si="801"/>
        <v>418508</v>
      </c>
      <c r="AS563" s="938">
        <f t="shared" si="801"/>
        <v>424517</v>
      </c>
      <c r="AT563" s="938">
        <f t="shared" si="801"/>
        <v>427877</v>
      </c>
      <c r="AU563" s="938">
        <f t="shared" si="801"/>
        <v>436044</v>
      </c>
      <c r="AV563" s="1442">
        <f t="shared" si="801"/>
        <v>436044</v>
      </c>
      <c r="AW563" s="938">
        <f t="shared" si="801"/>
        <v>441225</v>
      </c>
      <c r="AX563" s="938">
        <f t="shared" si="801"/>
        <v>447015</v>
      </c>
      <c r="AY563" s="938">
        <f t="shared" si="801"/>
        <v>456309</v>
      </c>
      <c r="AZ563" s="938">
        <f t="shared" si="801"/>
        <v>463747</v>
      </c>
      <c r="BA563" s="1442">
        <f t="shared" si="801"/>
        <v>463747</v>
      </c>
      <c r="BB563" s="938">
        <f t="shared" si="801"/>
        <v>469330</v>
      </c>
      <c r="BC563" s="938">
        <f t="shared" si="801"/>
        <v>472789</v>
      </c>
      <c r="BD563" s="938">
        <f t="shared" si="801"/>
        <v>475395</v>
      </c>
      <c r="BE563" s="938">
        <f t="shared" si="801"/>
        <v>480401</v>
      </c>
      <c r="BF563" s="1442">
        <f t="shared" si="801"/>
        <v>480401</v>
      </c>
      <c r="BG563" s="938">
        <f t="shared" si="801"/>
        <v>482645</v>
      </c>
      <c r="BH563" s="938">
        <f t="shared" si="801"/>
        <v>484527</v>
      </c>
      <c r="BI563" s="938">
        <f t="shared" si="801"/>
        <v>486131</v>
      </c>
      <c r="BJ563" s="938">
        <f t="shared" si="801"/>
        <v>488299</v>
      </c>
      <c r="BK563" s="1442">
        <f t="shared" si="801"/>
        <v>488299</v>
      </c>
      <c r="BL563" s="938">
        <f t="shared" si="801"/>
        <v>489228</v>
      </c>
      <c r="BM563" s="938">
        <f t="shared" si="801"/>
        <v>490238</v>
      </c>
      <c r="BN563" s="938">
        <f t="shared" si="801"/>
        <v>490843</v>
      </c>
      <c r="BO563" s="938">
        <f t="shared" si="801"/>
        <v>501052</v>
      </c>
      <c r="BP563" s="1442">
        <f t="shared" si="801"/>
        <v>501052</v>
      </c>
      <c r="BQ563" s="938">
        <f t="shared" si="801"/>
        <v>501175</v>
      </c>
      <c r="BR563" s="938">
        <f t="shared" si="801"/>
        <v>504215</v>
      </c>
      <c r="BS563" s="938">
        <f t="shared" si="801"/>
        <v>506436</v>
      </c>
      <c r="BT563" s="938">
        <f t="shared" si="801"/>
        <v>508194</v>
      </c>
      <c r="BU563" s="1442">
        <f t="shared" ref="BU563:CF563" si="802">SUM(BU530:BU560)</f>
        <v>508194</v>
      </c>
      <c r="BV563" s="938">
        <f t="shared" si="802"/>
        <v>509518</v>
      </c>
      <c r="BW563" s="938">
        <f t="shared" si="802"/>
        <v>514598</v>
      </c>
      <c r="BX563" s="938">
        <f t="shared" si="802"/>
        <v>519012</v>
      </c>
      <c r="BY563" s="938">
        <f t="shared" si="802"/>
        <v>522777</v>
      </c>
      <c r="BZ563" s="1442">
        <f t="shared" si="802"/>
        <v>522777</v>
      </c>
      <c r="CA563" s="938">
        <f t="shared" si="802"/>
        <v>543996</v>
      </c>
      <c r="CB563" s="938">
        <f t="shared" si="802"/>
        <v>559484</v>
      </c>
      <c r="CC563" s="938">
        <f t="shared" si="802"/>
        <v>564336</v>
      </c>
      <c r="CD563" s="938">
        <f t="shared" si="802"/>
        <v>569269</v>
      </c>
      <c r="CE563" s="1442">
        <f t="shared" si="802"/>
        <v>569269</v>
      </c>
      <c r="CF563" s="938">
        <f t="shared" si="802"/>
        <v>575095</v>
      </c>
      <c r="CG563" s="938">
        <f>SUM(CG530:CG549)</f>
        <v>581311</v>
      </c>
      <c r="CH563" s="938">
        <f>SUM(CH529:CH549)</f>
        <v>588300</v>
      </c>
      <c r="CI563" s="938">
        <f t="shared" ref="CI563:CV563" si="803">SUM(CI529:CI562)</f>
        <v>805001</v>
      </c>
      <c r="CJ563" s="1442">
        <f t="shared" si="803"/>
        <v>805001</v>
      </c>
      <c r="CK563" s="3505">
        <f t="shared" si="803"/>
        <v>814154</v>
      </c>
      <c r="CL563" s="938">
        <f t="shared" si="803"/>
        <v>823443</v>
      </c>
      <c r="CM563" s="938">
        <f t="shared" si="803"/>
        <v>837632</v>
      </c>
      <c r="CN563" s="938">
        <f t="shared" si="803"/>
        <v>847974</v>
      </c>
      <c r="CO563" s="1442">
        <f t="shared" si="803"/>
        <v>847974</v>
      </c>
      <c r="CP563" s="938">
        <f t="shared" si="803"/>
        <v>864627.83000000019</v>
      </c>
      <c r="CQ563" s="938">
        <f t="shared" si="803"/>
        <v>871292.68000000028</v>
      </c>
      <c r="CR563" s="938">
        <f t="shared" si="803"/>
        <v>883199.89</v>
      </c>
      <c r="CS563" s="938">
        <f t="shared" si="803"/>
        <v>892026.59000000008</v>
      </c>
      <c r="CT563" s="1442">
        <f t="shared" si="803"/>
        <v>892026.59000000008</v>
      </c>
      <c r="CU563" s="1442">
        <f t="shared" si="803"/>
        <v>941747.62070000009</v>
      </c>
      <c r="CV563" s="1442">
        <f t="shared" si="803"/>
        <v>965478.53225600021</v>
      </c>
      <c r="CW563" s="374"/>
      <c r="CX563" s="374"/>
      <c r="CY563" s="374"/>
      <c r="CZ563" s="374"/>
      <c r="DA563" s="374"/>
      <c r="DB563" s="217"/>
    </row>
    <row r="564" spans="1:256" x14ac:dyDescent="0.2">
      <c r="A564" s="1654" t="s">
        <v>932</v>
      </c>
      <c r="B564" s="374"/>
      <c r="C564" s="78"/>
      <c r="D564" s="374"/>
      <c r="E564" s="374"/>
      <c r="F564" s="374"/>
      <c r="G564" s="374"/>
      <c r="H564" s="78"/>
      <c r="I564" s="1582"/>
      <c r="J564" s="1582">
        <f>+J563-I563</f>
        <v>6781</v>
      </c>
      <c r="K564" s="1582">
        <f>+K563-J563</f>
        <v>4978</v>
      </c>
      <c r="L564" s="1582">
        <f>+L563-K563</f>
        <v>7096</v>
      </c>
      <c r="M564" s="78"/>
      <c r="N564" s="1582">
        <f>+N563-M563</f>
        <v>4951</v>
      </c>
      <c r="O564" s="1582">
        <f>+O563-N563</f>
        <v>4467</v>
      </c>
      <c r="P564" s="1582">
        <f>+P563-O563</f>
        <v>3847</v>
      </c>
      <c r="Q564" s="1582">
        <f>+Q563-P563</f>
        <v>7498</v>
      </c>
      <c r="R564" s="1649"/>
      <c r="S564" s="1582">
        <f>+S563-R563</f>
        <v>5550</v>
      </c>
      <c r="T564" s="1582">
        <f>+T563-S563</f>
        <v>4133</v>
      </c>
      <c r="U564" s="1582">
        <f>+U563-T563</f>
        <v>4651</v>
      </c>
      <c r="V564" s="1582">
        <f>+V563-U563</f>
        <v>2901</v>
      </c>
      <c r="W564" s="1649"/>
      <c r="X564" s="1582">
        <f>+X563-W563</f>
        <v>2970</v>
      </c>
      <c r="Y564" s="1582">
        <f>+Y563-X563</f>
        <v>3161</v>
      </c>
      <c r="Z564" s="1582">
        <f>+Z563-Y563</f>
        <v>1842</v>
      </c>
      <c r="AA564" s="1582">
        <f>+AA563-Z563</f>
        <v>3128</v>
      </c>
      <c r="AB564" s="1649"/>
      <c r="AC564" s="1582">
        <f>+AC563-AB563</f>
        <v>1918</v>
      </c>
      <c r="AD564" s="1582">
        <f>+AD563-AC563</f>
        <v>2924</v>
      </c>
      <c r="AE564" s="1582">
        <f>+AE563-AD563</f>
        <v>3062</v>
      </c>
      <c r="AF564" s="1582">
        <f>+AF563-AE563</f>
        <v>4256</v>
      </c>
      <c r="AG564" s="1649"/>
      <c r="AH564" s="1582">
        <f>+AH563-AG563</f>
        <v>3686</v>
      </c>
      <c r="AI564" s="1582">
        <f>+AI563-AH563</f>
        <v>2079</v>
      </c>
      <c r="AJ564" s="1582">
        <f>+AJ563-AI563</f>
        <v>1667</v>
      </c>
      <c r="AK564" s="1582">
        <f>+AK563-AJ563</f>
        <v>1723</v>
      </c>
      <c r="AL564" s="1649"/>
      <c r="AM564" s="1582">
        <f>+AM563-AL563</f>
        <v>932</v>
      </c>
      <c r="AN564" s="1582">
        <f>+AN563-AM563</f>
        <v>3617</v>
      </c>
      <c r="AO564" s="1582">
        <f>+AO563-AN563</f>
        <v>3836</v>
      </c>
      <c r="AP564" s="1582">
        <f>+AP563-AO563</f>
        <v>7668</v>
      </c>
      <c r="AQ564" s="1649"/>
      <c r="AR564" s="1582">
        <f>+AR563-AQ563</f>
        <v>3355</v>
      </c>
      <c r="AS564" s="1582">
        <f>+AS563-AR563</f>
        <v>6009</v>
      </c>
      <c r="AT564" s="1582">
        <f>+AT563-AS563</f>
        <v>3360</v>
      </c>
      <c r="AU564" s="1582">
        <f>+AU563-AT563</f>
        <v>8167</v>
      </c>
      <c r="AV564" s="1649"/>
      <c r="AW564" s="1582">
        <f>+AW563-AV563</f>
        <v>5181</v>
      </c>
      <c r="AX564" s="1582">
        <f>+AX563-AW563</f>
        <v>5790</v>
      </c>
      <c r="AY564" s="1582">
        <f>+AY563-AX563</f>
        <v>9294</v>
      </c>
      <c r="AZ564" s="1582">
        <f>+AZ563-AY563</f>
        <v>7438</v>
      </c>
      <c r="BA564" s="1649"/>
      <c r="BB564" s="1582">
        <f>+BB563-BA563</f>
        <v>5583</v>
      </c>
      <c r="BC564" s="1582">
        <f>+BC563-BB563</f>
        <v>3459</v>
      </c>
      <c r="BD564" s="1582">
        <f>+BD563-BC563</f>
        <v>2606</v>
      </c>
      <c r="BE564" s="1582">
        <f>+BE563-BD563</f>
        <v>5006</v>
      </c>
      <c r="BF564" s="1649"/>
      <c r="BG564" s="1582">
        <f>+BG563-BF563</f>
        <v>2244</v>
      </c>
      <c r="BH564" s="1582">
        <f>+BH563-BG563</f>
        <v>1882</v>
      </c>
      <c r="BI564" s="1582">
        <f>+BI563-BH563</f>
        <v>1604</v>
      </c>
      <c r="BJ564" s="1582">
        <f>+BJ563-BI563</f>
        <v>2168</v>
      </c>
      <c r="BK564" s="1649"/>
      <c r="BL564" s="1582">
        <f>+BL563-BK563</f>
        <v>929</v>
      </c>
      <c r="BM564" s="1582">
        <f>+BM563-BL563</f>
        <v>1010</v>
      </c>
      <c r="BN564" s="1582">
        <f>+BN563-BM563</f>
        <v>605</v>
      </c>
      <c r="BO564" s="1582">
        <f>+BO563-BN563</f>
        <v>10209</v>
      </c>
      <c r="BP564" s="1649"/>
      <c r="BQ564" s="1582">
        <f>+BQ563-BP563</f>
        <v>123</v>
      </c>
      <c r="BR564" s="1582">
        <f>+BR563-BQ563</f>
        <v>3040</v>
      </c>
      <c r="BS564" s="1582">
        <f>+BS563-BR563</f>
        <v>2221</v>
      </c>
      <c r="BT564" s="1582">
        <f>+BT563-BS563</f>
        <v>1758</v>
      </c>
      <c r="BU564" s="1649"/>
      <c r="BV564" s="1582">
        <f>+BV563-BU563</f>
        <v>1324</v>
      </c>
      <c r="BW564" s="1582">
        <f>+BW563-BV563</f>
        <v>5080</v>
      </c>
      <c r="BX564" s="1582">
        <f>+BX563-BW563</f>
        <v>4414</v>
      </c>
      <c r="BY564" s="1582">
        <f>+BY563-BX563</f>
        <v>3765</v>
      </c>
      <c r="BZ564" s="1649"/>
      <c r="CA564" s="1582">
        <f>+CA563-BZ563</f>
        <v>21219</v>
      </c>
      <c r="CB564" s="1582">
        <f>+CB563-CA563</f>
        <v>15488</v>
      </c>
      <c r="CC564" s="1582">
        <f>+CC563-CB563</f>
        <v>4852</v>
      </c>
      <c r="CD564" s="1582">
        <f>+CD563-CC563</f>
        <v>4933</v>
      </c>
      <c r="CE564" s="1649"/>
      <c r="CF564" s="1582">
        <f>+CF563-CE563</f>
        <v>5826</v>
      </c>
      <c r="CG564" s="1582">
        <f>+CG563-CF563</f>
        <v>6216</v>
      </c>
      <c r="CH564" s="1582">
        <f>+CH563-CG563</f>
        <v>6989</v>
      </c>
      <c r="CI564" s="1582">
        <f>+CI563-CH563</f>
        <v>216701</v>
      </c>
      <c r="CJ564" s="1649"/>
      <c r="CK564" s="3506">
        <f>+CK563-CJ563</f>
        <v>9153</v>
      </c>
      <c r="CL564" s="1582">
        <f>+CL563-CK563</f>
        <v>9289</v>
      </c>
      <c r="CM564" s="1582">
        <f>+CM563-CL563</f>
        <v>14189</v>
      </c>
      <c r="CN564" s="1582">
        <f>+CN563-CM563</f>
        <v>10342</v>
      </c>
      <c r="CO564" s="1649"/>
      <c r="CP564" s="1582">
        <f>+CP563-CO563</f>
        <v>16653.830000000191</v>
      </c>
      <c r="CQ564" s="1582">
        <f>+CQ563-CP563</f>
        <v>6664.8500000000931</v>
      </c>
      <c r="CR564" s="1582">
        <f>+CR563-CQ563</f>
        <v>11907.20999999973</v>
      </c>
      <c r="CS564" s="1582">
        <f>+CS563-CR563</f>
        <v>8826.7000000000698</v>
      </c>
      <c r="CT564" s="1649"/>
      <c r="CU564" s="1649"/>
      <c r="CV564" s="3086"/>
      <c r="CW564" s="374"/>
      <c r="CX564" s="374"/>
      <c r="CY564" s="374"/>
      <c r="CZ564" s="374"/>
      <c r="DA564" s="374"/>
      <c r="DB564" s="217"/>
      <c r="DF564" s="374"/>
      <c r="DG564" s="374"/>
      <c r="DH564" s="374"/>
      <c r="DI564" s="374"/>
      <c r="DJ564" s="374"/>
      <c r="DK564" s="374"/>
      <c r="DL564" s="374"/>
      <c r="DM564" s="374"/>
      <c r="DN564" s="374"/>
      <c r="DO564" s="374"/>
      <c r="DP564" s="374"/>
      <c r="DQ564" s="374"/>
      <c r="DR564" s="374"/>
      <c r="DS564" s="374"/>
      <c r="DT564" s="374"/>
      <c r="DU564" s="374"/>
      <c r="DV564" s="374"/>
      <c r="DW564" s="374"/>
      <c r="DX564" s="374"/>
      <c r="DY564" s="374"/>
      <c r="DZ564" s="374"/>
      <c r="EA564" s="374"/>
      <c r="EB564" s="374"/>
      <c r="EC564" s="374"/>
      <c r="ED564" s="374"/>
      <c r="EE564" s="374"/>
      <c r="EF564" s="374"/>
      <c r="EG564" s="374"/>
      <c r="EH564" s="374"/>
      <c r="EI564" s="374"/>
      <c r="EJ564" s="374"/>
      <c r="EK564" s="374"/>
      <c r="EL564" s="374"/>
      <c r="EM564" s="374"/>
      <c r="EN564" s="374"/>
      <c r="EO564" s="374"/>
      <c r="EP564" s="374"/>
      <c r="EQ564" s="374"/>
      <c r="ER564" s="374"/>
      <c r="ES564" s="374"/>
      <c r="ET564" s="374"/>
      <c r="EU564" s="374"/>
      <c r="EV564" s="374"/>
      <c r="EW564" s="374"/>
      <c r="EX564" s="374"/>
      <c r="EY564" s="374"/>
      <c r="EZ564" s="374"/>
      <c r="FA564" s="374"/>
      <c r="FB564" s="374"/>
      <c r="FC564" s="374"/>
      <c r="FD564" s="374"/>
      <c r="FE564" s="374"/>
      <c r="FF564" s="374"/>
      <c r="FG564" s="374"/>
      <c r="FH564" s="374"/>
      <c r="FI564" s="374"/>
      <c r="FJ564" s="374"/>
      <c r="FK564" s="374"/>
      <c r="FL564" s="374"/>
      <c r="FM564" s="374"/>
      <c r="FN564" s="374"/>
      <c r="FO564" s="374"/>
      <c r="FP564" s="374"/>
      <c r="FQ564" s="374"/>
      <c r="FR564" s="374"/>
      <c r="FS564" s="374"/>
      <c r="FT564" s="374"/>
      <c r="FU564" s="374"/>
      <c r="FV564" s="374"/>
      <c r="FW564" s="374"/>
      <c r="FX564" s="374"/>
      <c r="FY564" s="374"/>
      <c r="FZ564" s="374"/>
      <c r="GA564" s="374"/>
      <c r="GB564" s="374"/>
      <c r="GC564" s="374"/>
      <c r="GD564" s="374"/>
      <c r="GE564" s="374"/>
      <c r="GF564" s="374"/>
      <c r="GG564" s="374"/>
      <c r="GH564" s="374"/>
      <c r="GI564" s="374"/>
      <c r="GJ564" s="374"/>
      <c r="GK564" s="374"/>
      <c r="GL564" s="374"/>
      <c r="GM564" s="374"/>
      <c r="GN564" s="374"/>
      <c r="GO564" s="374"/>
      <c r="GP564" s="374"/>
      <c r="GQ564" s="374"/>
      <c r="GR564" s="374"/>
      <c r="GS564" s="374"/>
      <c r="GT564" s="374"/>
      <c r="GU564" s="374"/>
      <c r="GV564" s="374"/>
      <c r="GW564" s="374"/>
      <c r="GX564" s="374"/>
      <c r="GY564" s="374"/>
      <c r="GZ564" s="374"/>
      <c r="HA564" s="374"/>
      <c r="HB564" s="374"/>
      <c r="HC564" s="374"/>
      <c r="HD564" s="374"/>
      <c r="HE564" s="374"/>
      <c r="HF564" s="374"/>
      <c r="HG564" s="374"/>
      <c r="HH564" s="374"/>
      <c r="HI564" s="374"/>
      <c r="HJ564" s="374"/>
      <c r="HK564" s="374"/>
      <c r="HL564" s="374"/>
      <c r="HM564" s="374"/>
      <c r="HN564" s="374"/>
      <c r="HO564" s="374"/>
      <c r="HP564" s="374"/>
      <c r="HQ564" s="374"/>
      <c r="HR564" s="374"/>
      <c r="HS564" s="374"/>
      <c r="HT564" s="374"/>
      <c r="HU564" s="374"/>
      <c r="HV564" s="374"/>
      <c r="HW564" s="374"/>
      <c r="HX564" s="374"/>
      <c r="HY564" s="374"/>
      <c r="HZ564" s="374"/>
      <c r="IA564" s="374"/>
      <c r="IB564" s="374"/>
      <c r="IC564" s="374"/>
      <c r="ID564" s="374"/>
      <c r="IE564" s="374"/>
      <c r="IF564" s="374"/>
      <c r="IG564" s="374"/>
      <c r="IH564" s="374"/>
      <c r="II564" s="374"/>
      <c r="IJ564" s="374"/>
      <c r="IK564" s="374"/>
      <c r="IL564" s="374"/>
      <c r="IM564" s="374"/>
      <c r="IN564" s="374"/>
      <c r="IO564" s="374"/>
      <c r="IP564" s="374"/>
      <c r="IQ564" s="374"/>
      <c r="IR564" s="374"/>
      <c r="IS564" s="374"/>
      <c r="IT564" s="374"/>
      <c r="IU564" s="374"/>
      <c r="IV564" s="374"/>
    </row>
    <row r="565" spans="1:256" x14ac:dyDescent="0.2">
      <c r="A565" s="1654" t="s">
        <v>931</v>
      </c>
      <c r="B565" s="374"/>
      <c r="C565" s="374"/>
      <c r="D565" s="374"/>
      <c r="E565" s="374"/>
      <c r="F565" s="374"/>
      <c r="G565" s="374"/>
      <c r="H565" s="374"/>
      <c r="I565" s="374"/>
      <c r="J565" s="374"/>
      <c r="K565" s="374"/>
      <c r="L565" s="374"/>
      <c r="M565" s="1616"/>
      <c r="N565" s="1582">
        <f t="shared" ref="N565:AS565" si="804">N563-I563</f>
        <v>23806</v>
      </c>
      <c r="O565" s="1582">
        <f t="shared" si="804"/>
        <v>21492</v>
      </c>
      <c r="P565" s="1582">
        <f t="shared" si="804"/>
        <v>20361</v>
      </c>
      <c r="Q565" s="1582">
        <f t="shared" si="804"/>
        <v>20763</v>
      </c>
      <c r="R565" s="1528">
        <f t="shared" si="804"/>
        <v>20763</v>
      </c>
      <c r="S565" s="1582">
        <f t="shared" si="804"/>
        <v>21362</v>
      </c>
      <c r="T565" s="1582">
        <f t="shared" si="804"/>
        <v>21028</v>
      </c>
      <c r="U565" s="1582">
        <f t="shared" si="804"/>
        <v>21832</v>
      </c>
      <c r="V565" s="1582">
        <f t="shared" si="804"/>
        <v>17235</v>
      </c>
      <c r="W565" s="1528">
        <f t="shared" si="804"/>
        <v>17235</v>
      </c>
      <c r="X565" s="1582">
        <f t="shared" si="804"/>
        <v>14655</v>
      </c>
      <c r="Y565" s="1582">
        <f t="shared" si="804"/>
        <v>13683</v>
      </c>
      <c r="Z565" s="1582">
        <f t="shared" si="804"/>
        <v>10874</v>
      </c>
      <c r="AA565" s="1582">
        <f t="shared" si="804"/>
        <v>11101</v>
      </c>
      <c r="AB565" s="1528">
        <f t="shared" si="804"/>
        <v>11101</v>
      </c>
      <c r="AC565" s="1582">
        <f t="shared" si="804"/>
        <v>10049</v>
      </c>
      <c r="AD565" s="1582">
        <f t="shared" si="804"/>
        <v>9812</v>
      </c>
      <c r="AE565" s="1582">
        <f t="shared" si="804"/>
        <v>11032</v>
      </c>
      <c r="AF565" s="1582">
        <f t="shared" si="804"/>
        <v>12160</v>
      </c>
      <c r="AG565" s="1528">
        <f t="shared" si="804"/>
        <v>12160</v>
      </c>
      <c r="AH565" s="1582">
        <f t="shared" si="804"/>
        <v>13928</v>
      </c>
      <c r="AI565" s="1582">
        <f t="shared" si="804"/>
        <v>13083</v>
      </c>
      <c r="AJ565" s="1582">
        <f t="shared" si="804"/>
        <v>11688</v>
      </c>
      <c r="AK565" s="1582">
        <f t="shared" si="804"/>
        <v>9155</v>
      </c>
      <c r="AL565" s="1528">
        <f t="shared" si="804"/>
        <v>9155</v>
      </c>
      <c r="AM565" s="1582">
        <f t="shared" si="804"/>
        <v>6401</v>
      </c>
      <c r="AN565" s="1582">
        <f t="shared" si="804"/>
        <v>7939</v>
      </c>
      <c r="AO565" s="1582">
        <f t="shared" si="804"/>
        <v>10108</v>
      </c>
      <c r="AP565" s="1582">
        <f t="shared" si="804"/>
        <v>16053</v>
      </c>
      <c r="AQ565" s="1582">
        <f t="shared" si="804"/>
        <v>16053</v>
      </c>
      <c r="AR565" s="1582">
        <f t="shared" si="804"/>
        <v>18476</v>
      </c>
      <c r="AS565" s="1582">
        <f t="shared" si="804"/>
        <v>20868</v>
      </c>
      <c r="AT565" s="1582">
        <f t="shared" ref="AT565:BV565" si="805">AT563-AO563</f>
        <v>20392</v>
      </c>
      <c r="AU565" s="1582">
        <f t="shared" si="805"/>
        <v>20891</v>
      </c>
      <c r="AV565" s="1528">
        <f t="shared" si="805"/>
        <v>20891</v>
      </c>
      <c r="AW565" s="1582">
        <f t="shared" si="805"/>
        <v>22717</v>
      </c>
      <c r="AX565" s="1582">
        <f t="shared" si="805"/>
        <v>22498</v>
      </c>
      <c r="AY565" s="1582">
        <f t="shared" si="805"/>
        <v>28432</v>
      </c>
      <c r="AZ565" s="1582">
        <f t="shared" si="805"/>
        <v>27703</v>
      </c>
      <c r="BA565" s="1528">
        <f t="shared" si="805"/>
        <v>27703</v>
      </c>
      <c r="BB565" s="1582">
        <f t="shared" si="805"/>
        <v>28105</v>
      </c>
      <c r="BC565" s="1582">
        <f t="shared" si="805"/>
        <v>25774</v>
      </c>
      <c r="BD565" s="1582">
        <f t="shared" si="805"/>
        <v>19086</v>
      </c>
      <c r="BE565" s="1582">
        <f t="shared" si="805"/>
        <v>16654</v>
      </c>
      <c r="BF565" s="1528">
        <f t="shared" si="805"/>
        <v>16654</v>
      </c>
      <c r="BG565" s="1582">
        <f t="shared" si="805"/>
        <v>13315</v>
      </c>
      <c r="BH565" s="1582">
        <f t="shared" si="805"/>
        <v>11738</v>
      </c>
      <c r="BI565" s="1582">
        <f t="shared" si="805"/>
        <v>10736</v>
      </c>
      <c r="BJ565" s="1582">
        <f t="shared" si="805"/>
        <v>7898</v>
      </c>
      <c r="BK565" s="1528">
        <f t="shared" si="805"/>
        <v>7898</v>
      </c>
      <c r="BL565" s="1582">
        <f t="shared" si="805"/>
        <v>6583</v>
      </c>
      <c r="BM565" s="1582">
        <f t="shared" si="805"/>
        <v>5711</v>
      </c>
      <c r="BN565" s="1582">
        <f t="shared" si="805"/>
        <v>4712</v>
      </c>
      <c r="BO565" s="1582">
        <f t="shared" si="805"/>
        <v>12753</v>
      </c>
      <c r="BP565" s="1528">
        <f t="shared" si="805"/>
        <v>12753</v>
      </c>
      <c r="BQ565" s="1582">
        <f t="shared" si="805"/>
        <v>11947</v>
      </c>
      <c r="BR565" s="1582">
        <f t="shared" si="805"/>
        <v>13977</v>
      </c>
      <c r="BS565" s="1582">
        <f t="shared" si="805"/>
        <v>15593</v>
      </c>
      <c r="BT565" s="1582">
        <f>BT563-BO563</f>
        <v>7142</v>
      </c>
      <c r="BU565" s="1528">
        <f t="shared" si="805"/>
        <v>7142</v>
      </c>
      <c r="BV565" s="1582">
        <f t="shared" si="805"/>
        <v>8343</v>
      </c>
      <c r="BW565" s="1582">
        <f t="shared" ref="BW565:CF565" si="806">BW563-BR563</f>
        <v>10383</v>
      </c>
      <c r="BX565" s="1582">
        <f t="shared" si="806"/>
        <v>12576</v>
      </c>
      <c r="BY565" s="1582">
        <f t="shared" si="806"/>
        <v>14583</v>
      </c>
      <c r="BZ565" s="1528">
        <f t="shared" si="806"/>
        <v>14583</v>
      </c>
      <c r="CA565" s="1582">
        <f t="shared" si="806"/>
        <v>34478</v>
      </c>
      <c r="CB565" s="1582">
        <f t="shared" si="806"/>
        <v>44886</v>
      </c>
      <c r="CC565" s="1582">
        <f t="shared" si="806"/>
        <v>45324</v>
      </c>
      <c r="CD565" s="1582">
        <f t="shared" si="806"/>
        <v>46492</v>
      </c>
      <c r="CE565" s="1528">
        <f t="shared" si="806"/>
        <v>46492</v>
      </c>
      <c r="CF565" s="1582">
        <f t="shared" si="806"/>
        <v>31099</v>
      </c>
      <c r="CG565" s="1582">
        <f t="shared" ref="CG565:CO565" si="807">CG563-CB563</f>
        <v>21827</v>
      </c>
      <c r="CH565" s="1582">
        <f t="shared" si="807"/>
        <v>23964</v>
      </c>
      <c r="CI565" s="1582">
        <f t="shared" si="807"/>
        <v>235732</v>
      </c>
      <c r="CJ565" s="1528">
        <f t="shared" si="807"/>
        <v>235732</v>
      </c>
      <c r="CK565" s="3506">
        <f t="shared" si="807"/>
        <v>239059</v>
      </c>
      <c r="CL565" s="1582">
        <f t="shared" si="807"/>
        <v>242132</v>
      </c>
      <c r="CM565" s="1582">
        <f t="shared" si="807"/>
        <v>249332</v>
      </c>
      <c r="CN565" s="1582">
        <f t="shared" si="807"/>
        <v>42973</v>
      </c>
      <c r="CO565" s="1919">
        <f t="shared" si="807"/>
        <v>42973</v>
      </c>
      <c r="CP565" s="1582">
        <f>CP563-CK563</f>
        <v>50473.830000000191</v>
      </c>
      <c r="CQ565" s="1582">
        <f>CQ563-CL563</f>
        <v>47849.680000000284</v>
      </c>
      <c r="CR565" s="1582">
        <f>CR563-CM563</f>
        <v>45567.890000000014</v>
      </c>
      <c r="CS565" s="1582">
        <f>CS563-CN563</f>
        <v>44052.590000000084</v>
      </c>
      <c r="CT565" s="1919">
        <f>CT563-CO563</f>
        <v>44052.590000000084</v>
      </c>
      <c r="CU565" s="1919">
        <f>CU563-CT563</f>
        <v>49721.030700000003</v>
      </c>
      <c r="CV565" s="3087">
        <f>CV563-CU563</f>
        <v>23730.911556000123</v>
      </c>
      <c r="CW565" s="374"/>
      <c r="CX565" s="374"/>
      <c r="CY565" s="374"/>
      <c r="CZ565" s="374"/>
      <c r="DA565" s="374"/>
      <c r="DB565" s="217"/>
      <c r="DF565" s="207"/>
      <c r="DG565" s="207"/>
      <c r="DH565" s="207"/>
      <c r="DI565" s="207"/>
      <c r="DJ565" s="207"/>
      <c r="DK565" s="207"/>
      <c r="DL565" s="207"/>
      <c r="DM565" s="207"/>
      <c r="DN565" s="207"/>
      <c r="DO565" s="207"/>
      <c r="DP565" s="207"/>
      <c r="DQ565" s="207"/>
      <c r="DR565" s="207"/>
      <c r="DS565" s="207"/>
      <c r="DT565" s="207"/>
      <c r="DU565" s="207"/>
      <c r="DV565" s="207"/>
      <c r="DW565" s="207"/>
      <c r="DX565" s="207"/>
      <c r="DY565" s="207"/>
      <c r="DZ565" s="207"/>
      <c r="EA565" s="207"/>
      <c r="EB565" s="207"/>
      <c r="EC565" s="207"/>
      <c r="ED565" s="207"/>
      <c r="EE565" s="207"/>
      <c r="EF565" s="207"/>
      <c r="EG565" s="207"/>
      <c r="EH565" s="207"/>
      <c r="EI565" s="207"/>
      <c r="EJ565" s="207"/>
      <c r="EK565" s="207"/>
      <c r="EL565" s="207"/>
      <c r="EM565" s="207"/>
      <c r="EN565" s="207"/>
      <c r="EO565" s="207"/>
      <c r="EP565" s="207"/>
      <c r="EQ565" s="207"/>
      <c r="ER565" s="207"/>
      <c r="ES565" s="207"/>
      <c r="ET565" s="207"/>
      <c r="EU565" s="207"/>
      <c r="EV565" s="207"/>
      <c r="EW565" s="207"/>
      <c r="EX565" s="207"/>
      <c r="EY565" s="207"/>
      <c r="EZ565" s="207"/>
      <c r="FA565" s="207"/>
      <c r="FB565" s="207"/>
      <c r="FC565" s="207"/>
      <c r="FD565" s="207"/>
      <c r="FE565" s="207"/>
      <c r="FF565" s="207"/>
      <c r="FG565" s="207"/>
      <c r="FH565" s="207"/>
      <c r="FI565" s="207"/>
      <c r="FJ565" s="207"/>
      <c r="FK565" s="207"/>
      <c r="FL565" s="207"/>
      <c r="FM565" s="207"/>
      <c r="FN565" s="207"/>
      <c r="FO565" s="207"/>
      <c r="FP565" s="207"/>
      <c r="FQ565" s="207"/>
      <c r="FR565" s="207"/>
      <c r="FS565" s="207"/>
      <c r="FT565" s="207"/>
      <c r="FU565" s="207"/>
      <c r="FV565" s="207"/>
      <c r="FW565" s="207"/>
      <c r="FX565" s="207"/>
      <c r="FY565" s="207"/>
      <c r="FZ565" s="207"/>
      <c r="GA565" s="207"/>
      <c r="GB565" s="207"/>
      <c r="GC565" s="207"/>
      <c r="GD565" s="207"/>
      <c r="GE565" s="207"/>
      <c r="GF565" s="207"/>
      <c r="GG565" s="207"/>
      <c r="GH565" s="207"/>
      <c r="GI565" s="207"/>
      <c r="GJ565" s="207"/>
      <c r="GK565" s="207"/>
      <c r="GL565" s="207"/>
      <c r="GM565" s="207"/>
      <c r="GN565" s="207"/>
      <c r="GO565" s="207"/>
      <c r="GP565" s="207"/>
      <c r="GQ565" s="207"/>
      <c r="GR565" s="207"/>
      <c r="GS565" s="207"/>
      <c r="GT565" s="207"/>
      <c r="GU565" s="207"/>
      <c r="GV565" s="207"/>
      <c r="GW565" s="207"/>
      <c r="GX565" s="207"/>
      <c r="GY565" s="207"/>
      <c r="GZ565" s="207"/>
      <c r="HA565" s="207"/>
      <c r="HB565" s="207"/>
      <c r="HC565" s="207"/>
      <c r="HD565" s="207"/>
      <c r="HE565" s="207"/>
      <c r="HF565" s="207"/>
      <c r="HG565" s="207"/>
      <c r="HH565" s="207"/>
      <c r="HI565" s="207"/>
      <c r="HJ565" s="207"/>
      <c r="HK565" s="207"/>
      <c r="HL565" s="207"/>
      <c r="HM565" s="207"/>
      <c r="HN565" s="207"/>
      <c r="HO565" s="207"/>
      <c r="HP565" s="207"/>
      <c r="HQ565" s="207"/>
      <c r="HR565" s="207"/>
      <c r="HS565" s="207"/>
      <c r="HT565" s="207"/>
      <c r="HU565" s="207"/>
      <c r="HV565" s="207"/>
      <c r="HW565" s="207"/>
      <c r="HX565" s="207"/>
      <c r="HY565" s="207"/>
      <c r="HZ565" s="207"/>
      <c r="IA565" s="207"/>
      <c r="IB565" s="207"/>
      <c r="IC565" s="207"/>
      <c r="ID565" s="207"/>
      <c r="IE565" s="207"/>
      <c r="IF565" s="207"/>
      <c r="IG565" s="207"/>
      <c r="IH565" s="207"/>
      <c r="II565" s="207"/>
      <c r="IJ565" s="207"/>
      <c r="IK565" s="207"/>
      <c r="IL565" s="207"/>
      <c r="IM565" s="207"/>
      <c r="IN565" s="207"/>
      <c r="IO565" s="207"/>
      <c r="IP565" s="207"/>
      <c r="IQ565" s="207"/>
      <c r="IR565" s="207"/>
      <c r="IS565" s="207"/>
      <c r="IT565" s="207"/>
      <c r="IU565" s="207"/>
      <c r="IV565" s="207"/>
    </row>
    <row r="566" spans="1:256" s="374" customFormat="1" x14ac:dyDescent="0.2">
      <c r="A566" s="1651" t="s">
        <v>935</v>
      </c>
      <c r="B566" s="9"/>
      <c r="C566" s="9"/>
      <c r="D566" s="9"/>
      <c r="E566" s="9"/>
      <c r="F566" s="9"/>
      <c r="G566" s="9"/>
      <c r="H566" s="9"/>
      <c r="I566" s="9"/>
      <c r="J566" s="9"/>
      <c r="K566" s="9"/>
      <c r="L566" s="9"/>
      <c r="M566" s="77"/>
      <c r="N566" s="1655">
        <f>N565/I563</f>
        <v>7.6835436092579507E-2</v>
      </c>
      <c r="O566" s="1655">
        <f t="shared" ref="O566:BV566" si="808">O565/J563</f>
        <v>6.7881192121587303E-2</v>
      </c>
      <c r="P566" s="1655">
        <f t="shared" si="808"/>
        <v>6.3313535868652626E-2</v>
      </c>
      <c r="Q566" s="1655">
        <f t="shared" si="808"/>
        <v>6.3169712126467201E-2</v>
      </c>
      <c r="R566" s="1000">
        <f t="shared" si="808"/>
        <v>6.3169712126467201E-2</v>
      </c>
      <c r="S566" s="1655">
        <f t="shared" si="808"/>
        <v>6.4027670791908575E-2</v>
      </c>
      <c r="T566" s="1655">
        <f t="shared" si="808"/>
        <v>6.2193881172656937E-2</v>
      </c>
      <c r="U566" s="1655">
        <f t="shared" si="808"/>
        <v>6.3845404750973098E-2</v>
      </c>
      <c r="V566" s="1655">
        <f t="shared" si="808"/>
        <v>4.9320501704111328E-2</v>
      </c>
      <c r="W566" s="1000">
        <f t="shared" si="808"/>
        <v>4.9320501704111328E-2</v>
      </c>
      <c r="X566" s="1655">
        <f t="shared" si="808"/>
        <v>4.1281806427623739E-2</v>
      </c>
      <c r="Y566" s="1655">
        <f t="shared" si="808"/>
        <v>3.810019714199793E-2</v>
      </c>
      <c r="Z566" s="1655">
        <f t="shared" si="808"/>
        <v>2.9891446274289891E-2</v>
      </c>
      <c r="AA566" s="1655">
        <f t="shared" si="808"/>
        <v>3.0274023409802446E-2</v>
      </c>
      <c r="AB566" s="1000">
        <f t="shared" si="808"/>
        <v>3.0274023409802446E-2</v>
      </c>
      <c r="AC566" s="1655">
        <f t="shared" si="808"/>
        <v>2.7184880996824055E-2</v>
      </c>
      <c r="AD566" s="1655">
        <f t="shared" si="808"/>
        <v>2.631868352936443E-2</v>
      </c>
      <c r="AE566" s="1655">
        <f t="shared" si="808"/>
        <v>2.9445599575078005E-2</v>
      </c>
      <c r="AF566" s="1655">
        <f t="shared" si="808"/>
        <v>3.218761994255992E-2</v>
      </c>
      <c r="AG566" s="1000">
        <f t="shared" si="808"/>
        <v>3.218761994255992E-2</v>
      </c>
      <c r="AH566" s="1655">
        <f t="shared" si="808"/>
        <v>3.6681300911501881E-2</v>
      </c>
      <c r="AI566" s="1655">
        <f t="shared" si="808"/>
        <v>3.4192568741881778E-2</v>
      </c>
      <c r="AJ566" s="1655">
        <f t="shared" si="808"/>
        <v>3.0304208831467842E-2</v>
      </c>
      <c r="AK566" s="1655">
        <f t="shared" si="808"/>
        <v>2.3477669927810332E-2</v>
      </c>
      <c r="AL566" s="1000">
        <f t="shared" si="808"/>
        <v>2.3477669927810332E-2</v>
      </c>
      <c r="AM566" s="1655">
        <f t="shared" si="808"/>
        <v>1.6261422499752307E-2</v>
      </c>
      <c r="AN566" s="1655">
        <f t="shared" si="808"/>
        <v>2.0062672158904248E-2</v>
      </c>
      <c r="AO566" s="1655">
        <f t="shared" si="808"/>
        <v>2.5436801827987025E-2</v>
      </c>
      <c r="AP566" s="1655">
        <f t="shared" si="808"/>
        <v>4.0223001753946379E-2</v>
      </c>
      <c r="AQ566" s="1655">
        <f t="shared" si="808"/>
        <v>4.0223001753946379E-2</v>
      </c>
      <c r="AR566" s="1655">
        <f t="shared" si="808"/>
        <v>4.618630509559235E-2</v>
      </c>
      <c r="AS566" s="1655">
        <f t="shared" si="808"/>
        <v>5.1698381514632762E-2</v>
      </c>
      <c r="AT566" s="1655">
        <f t="shared" si="808"/>
        <v>5.0043559885639965E-2</v>
      </c>
      <c r="AU566" s="1655">
        <f t="shared" si="808"/>
        <v>5.0321206880354956E-2</v>
      </c>
      <c r="AV566" s="1000">
        <f t="shared" si="808"/>
        <v>5.0321206880354956E-2</v>
      </c>
      <c r="AW566" s="1655">
        <f t="shared" si="808"/>
        <v>5.4280921750599752E-2</v>
      </c>
      <c r="AX566" s="1655">
        <f t="shared" si="808"/>
        <v>5.2996699778807443E-2</v>
      </c>
      <c r="AY566" s="1655">
        <f t="shared" si="808"/>
        <v>6.6449002867646545E-2</v>
      </c>
      <c r="AZ566" s="1655">
        <f t="shared" si="808"/>
        <v>6.3532579280989987E-2</v>
      </c>
      <c r="BA566" s="1000">
        <f t="shared" si="808"/>
        <v>6.3532579280989987E-2</v>
      </c>
      <c r="BB566" s="1655">
        <f t="shared" si="808"/>
        <v>6.3697659924075015E-2</v>
      </c>
      <c r="BC566" s="1655">
        <f t="shared" si="808"/>
        <v>5.765802042437055E-2</v>
      </c>
      <c r="BD566" s="1655">
        <f t="shared" si="808"/>
        <v>4.1826919916109477E-2</v>
      </c>
      <c r="BE566" s="1655">
        <f t="shared" si="808"/>
        <v>3.591182261017322E-2</v>
      </c>
      <c r="BF566" s="1000">
        <f t="shared" si="808"/>
        <v>3.591182261017322E-2</v>
      </c>
      <c r="BG566" s="1655">
        <f t="shared" si="808"/>
        <v>2.8370229902201009E-2</v>
      </c>
      <c r="BH566" s="1655">
        <f t="shared" si="808"/>
        <v>2.482714276347377E-2</v>
      </c>
      <c r="BI566" s="1655">
        <f t="shared" si="808"/>
        <v>2.2583325445156132E-2</v>
      </c>
      <c r="BJ566" s="1655">
        <f t="shared" si="808"/>
        <v>1.6440432055720117E-2</v>
      </c>
      <c r="BK566" s="1000">
        <f t="shared" si="808"/>
        <v>1.6440432055720117E-2</v>
      </c>
      <c r="BL566" s="1655">
        <f t="shared" si="808"/>
        <v>1.3639424421676387E-2</v>
      </c>
      <c r="BM566" s="1655">
        <f t="shared" si="808"/>
        <v>1.1786752853814132E-2</v>
      </c>
      <c r="BN566" s="1655">
        <f t="shared" si="808"/>
        <v>9.6928605663905414E-3</v>
      </c>
      <c r="BO566" s="1655">
        <f t="shared" si="808"/>
        <v>2.6117194587742348E-2</v>
      </c>
      <c r="BP566" s="1000">
        <f t="shared" si="808"/>
        <v>2.6117194587742348E-2</v>
      </c>
      <c r="BQ566" s="1655">
        <f t="shared" si="808"/>
        <v>2.442010678047863E-2</v>
      </c>
      <c r="BR566" s="1655">
        <f t="shared" si="808"/>
        <v>2.8510641769915836E-2</v>
      </c>
      <c r="BS566" s="1655">
        <f t="shared" si="808"/>
        <v>3.1767795405048052E-2</v>
      </c>
      <c r="BT566" s="1655">
        <f>BT565/BO563</f>
        <v>1.4254009563877602E-2</v>
      </c>
      <c r="BU566" s="1000">
        <f t="shared" si="808"/>
        <v>1.4254009563877602E-2</v>
      </c>
      <c r="BV566" s="1655">
        <f t="shared" si="808"/>
        <v>1.6646879832393876E-2</v>
      </c>
      <c r="BW566" s="1655">
        <f t="shared" ref="BW566:CE566" si="809">BW565/BR563</f>
        <v>2.0592406017274377E-2</v>
      </c>
      <c r="BX566" s="1655">
        <f t="shared" si="809"/>
        <v>2.483235788924958E-2</v>
      </c>
      <c r="BY566" s="1655">
        <f t="shared" si="809"/>
        <v>2.8695734306190157E-2</v>
      </c>
      <c r="BZ566" s="1000">
        <f t="shared" si="809"/>
        <v>2.8695734306190157E-2</v>
      </c>
      <c r="CA566" s="1655">
        <f t="shared" si="809"/>
        <v>6.7667874343987841E-2</v>
      </c>
      <c r="CB566" s="1655">
        <f t="shared" si="809"/>
        <v>8.7225368151450253E-2</v>
      </c>
      <c r="CC566" s="1655">
        <f t="shared" si="809"/>
        <v>8.7327460636748289E-2</v>
      </c>
      <c r="CD566" s="1655">
        <f t="shared" si="809"/>
        <v>8.8932757179447444E-2</v>
      </c>
      <c r="CE566" s="1000">
        <f t="shared" si="809"/>
        <v>8.8932757179447444E-2</v>
      </c>
      <c r="CF566" s="1655">
        <f t="shared" ref="CF566:CO566" si="810">CF565/CA563</f>
        <v>5.7167699762498254E-2</v>
      </c>
      <c r="CG566" s="1655">
        <f t="shared" si="810"/>
        <v>3.9012733161270026E-2</v>
      </c>
      <c r="CH566" s="1655">
        <f t="shared" si="810"/>
        <v>4.2464063961895039E-2</v>
      </c>
      <c r="CI566" s="1655">
        <f t="shared" si="810"/>
        <v>0.41409597220294797</v>
      </c>
      <c r="CJ566" s="1000">
        <f t="shared" si="810"/>
        <v>0.41409597220294797</v>
      </c>
      <c r="CK566" s="3520">
        <f t="shared" si="810"/>
        <v>0.41568610403498552</v>
      </c>
      <c r="CL566" s="1655">
        <f t="shared" si="810"/>
        <v>0.41652746980531935</v>
      </c>
      <c r="CM566" s="1655">
        <f t="shared" si="810"/>
        <v>0.42381778004419512</v>
      </c>
      <c r="CN566" s="1655">
        <f t="shared" si="810"/>
        <v>5.3382542381934926E-2</v>
      </c>
      <c r="CO566" s="1000">
        <f t="shared" si="810"/>
        <v>5.3382542381934926E-2</v>
      </c>
      <c r="CP566" s="1655">
        <f>CP565/CK563</f>
        <v>6.1995433296403619E-2</v>
      </c>
      <c r="CQ566" s="1655">
        <f>CQ565/CL563</f>
        <v>5.810928018089933E-2</v>
      </c>
      <c r="CR566" s="1655">
        <f>CR565/CM563</f>
        <v>5.4400846672524469E-2</v>
      </c>
      <c r="CS566" s="1655">
        <f>CS565/CN563</f>
        <v>5.1950401781186789E-2</v>
      </c>
      <c r="CT566" s="1000">
        <f>CT565/CO563</f>
        <v>5.1950401781186789E-2</v>
      </c>
      <c r="CU566" s="1000">
        <f>CU565/CT563</f>
        <v>5.5739404248028077E-2</v>
      </c>
      <c r="CV566" s="1000">
        <f>CV565/CU563</f>
        <v>2.5198801711185593E-2</v>
      </c>
      <c r="DB566" s="217"/>
      <c r="DC566" s="212"/>
      <c r="DD566" s="212"/>
      <c r="DE566" s="70"/>
      <c r="DF566" s="207"/>
      <c r="DG566" s="207"/>
      <c r="DH566" s="207"/>
      <c r="DI566" s="207"/>
      <c r="DJ566" s="207"/>
      <c r="DK566" s="207"/>
      <c r="DL566" s="207"/>
      <c r="DM566" s="207"/>
      <c r="DN566" s="207"/>
      <c r="DO566" s="207"/>
      <c r="DP566" s="207"/>
      <c r="DQ566" s="207"/>
      <c r="DR566" s="207"/>
      <c r="DS566" s="207"/>
      <c r="DT566" s="207"/>
      <c r="DU566" s="207"/>
      <c r="DV566" s="207"/>
      <c r="DW566" s="207"/>
      <c r="DX566" s="207"/>
      <c r="DY566" s="207"/>
      <c r="DZ566" s="207"/>
      <c r="EA566" s="207"/>
      <c r="EB566" s="207"/>
      <c r="EC566" s="207"/>
      <c r="ED566" s="207"/>
      <c r="EE566" s="207"/>
      <c r="EF566" s="207"/>
      <c r="EG566" s="207"/>
      <c r="EH566" s="207"/>
      <c r="EI566" s="207"/>
      <c r="EJ566" s="207"/>
      <c r="EK566" s="207"/>
      <c r="EL566" s="207"/>
      <c r="EM566" s="207"/>
      <c r="EN566" s="207"/>
      <c r="EO566" s="207"/>
      <c r="EP566" s="207"/>
      <c r="EQ566" s="207"/>
      <c r="ER566" s="207"/>
      <c r="ES566" s="207"/>
      <c r="ET566" s="207"/>
      <c r="EU566" s="207"/>
      <c r="EV566" s="207"/>
      <c r="EW566" s="207"/>
      <c r="EX566" s="207"/>
      <c r="EY566" s="207"/>
      <c r="EZ566" s="207"/>
      <c r="FA566" s="207"/>
      <c r="FB566" s="207"/>
      <c r="FC566" s="207"/>
      <c r="FD566" s="207"/>
      <c r="FE566" s="207"/>
      <c r="FF566" s="207"/>
      <c r="FG566" s="207"/>
      <c r="FH566" s="207"/>
      <c r="FI566" s="207"/>
      <c r="FJ566" s="207"/>
      <c r="FK566" s="207"/>
      <c r="FL566" s="207"/>
      <c r="FM566" s="207"/>
      <c r="FN566" s="207"/>
      <c r="FO566" s="207"/>
      <c r="FP566" s="207"/>
      <c r="FQ566" s="207"/>
      <c r="FR566" s="207"/>
      <c r="FS566" s="207"/>
      <c r="FT566" s="207"/>
      <c r="FU566" s="207"/>
      <c r="FV566" s="207"/>
      <c r="FW566" s="207"/>
      <c r="FX566" s="207"/>
      <c r="FY566" s="207"/>
      <c r="FZ566" s="207"/>
      <c r="GA566" s="207"/>
      <c r="GB566" s="207"/>
      <c r="GC566" s="207"/>
      <c r="GD566" s="207"/>
      <c r="GE566" s="207"/>
      <c r="GF566" s="207"/>
      <c r="GG566" s="207"/>
      <c r="GH566" s="207"/>
      <c r="GI566" s="207"/>
      <c r="GJ566" s="207"/>
      <c r="GK566" s="207"/>
      <c r="GL566" s="207"/>
      <c r="GM566" s="207"/>
      <c r="GN566" s="207"/>
      <c r="GO566" s="207"/>
      <c r="GP566" s="207"/>
      <c r="GQ566" s="207"/>
      <c r="GR566" s="207"/>
      <c r="GS566" s="207"/>
      <c r="GT566" s="207"/>
      <c r="GU566" s="207"/>
      <c r="GV566" s="207"/>
      <c r="GW566" s="207"/>
      <c r="GX566" s="207"/>
      <c r="GY566" s="207"/>
      <c r="GZ566" s="207"/>
      <c r="HA566" s="207"/>
      <c r="HB566" s="207"/>
      <c r="HC566" s="207"/>
      <c r="HD566" s="207"/>
      <c r="HE566" s="207"/>
      <c r="HF566" s="207"/>
      <c r="HG566" s="207"/>
      <c r="HH566" s="207"/>
      <c r="HI566" s="207"/>
      <c r="HJ566" s="207"/>
      <c r="HK566" s="207"/>
      <c r="HL566" s="207"/>
      <c r="HM566" s="207"/>
      <c r="HN566" s="207"/>
      <c r="HO566" s="207"/>
      <c r="HP566" s="207"/>
      <c r="HQ566" s="207"/>
      <c r="HR566" s="207"/>
      <c r="HS566" s="207"/>
      <c r="HT566" s="207"/>
      <c r="HU566" s="207"/>
      <c r="HV566" s="207"/>
      <c r="HW566" s="207"/>
      <c r="HX566" s="207"/>
      <c r="HY566" s="207"/>
      <c r="HZ566" s="207"/>
      <c r="IA566" s="207"/>
      <c r="IB566" s="207"/>
      <c r="IC566" s="207"/>
      <c r="ID566" s="207"/>
      <c r="IE566" s="207"/>
      <c r="IF566" s="207"/>
      <c r="IG566" s="207"/>
      <c r="IH566" s="207"/>
      <c r="II566" s="207"/>
      <c r="IJ566" s="207"/>
      <c r="IK566" s="207"/>
      <c r="IL566" s="207"/>
      <c r="IM566" s="207"/>
      <c r="IN566" s="207"/>
      <c r="IO566" s="207"/>
      <c r="IP566" s="207"/>
      <c r="IQ566" s="207"/>
      <c r="IR566" s="207"/>
      <c r="IS566" s="207"/>
      <c r="IT566" s="207"/>
      <c r="IU566" s="207"/>
      <c r="IV566" s="207"/>
    </row>
    <row r="567" spans="1:256" s="207" customFormat="1" x14ac:dyDescent="0.2">
      <c r="A567" s="1264"/>
      <c r="B567" s="651"/>
      <c r="C567" s="236"/>
      <c r="G567" s="234"/>
      <c r="H567" s="236"/>
      <c r="L567" s="234"/>
      <c r="M567" s="234"/>
      <c r="N567" s="234"/>
      <c r="O567" s="234"/>
      <c r="P567" s="234"/>
      <c r="Q567" s="234"/>
      <c r="R567" s="234"/>
      <c r="S567" s="234"/>
      <c r="T567" s="234"/>
      <c r="U567" s="234"/>
      <c r="V567" s="234"/>
      <c r="W567" s="234"/>
      <c r="X567" s="234"/>
      <c r="Y567" s="234"/>
      <c r="Z567" s="234"/>
      <c r="AA567" s="234"/>
      <c r="AB567" s="234"/>
      <c r="AC567" s="234"/>
      <c r="AD567" s="234"/>
      <c r="AE567" s="234"/>
      <c r="AF567" s="234"/>
      <c r="AG567" s="234"/>
      <c r="AH567" s="234"/>
      <c r="AI567" s="234"/>
      <c r="AJ567" s="234"/>
      <c r="AK567" s="234"/>
      <c r="AL567" s="234"/>
      <c r="AM567" s="234"/>
      <c r="AN567" s="234"/>
      <c r="AO567" s="234"/>
      <c r="AP567" s="234"/>
      <c r="AQ567" s="234"/>
      <c r="AR567" s="234"/>
      <c r="AS567" s="234"/>
      <c r="AT567" s="234"/>
      <c r="AU567" s="234"/>
      <c r="AV567" s="234"/>
      <c r="AW567" s="234"/>
      <c r="AX567" s="234"/>
      <c r="AY567" s="234"/>
      <c r="AZ567" s="234"/>
      <c r="BA567" s="234"/>
      <c r="BB567" s="234"/>
      <c r="BC567" s="234"/>
      <c r="BD567" s="234"/>
      <c r="BE567" s="234"/>
      <c r="BF567" s="234"/>
      <c r="BG567" s="234"/>
      <c r="BH567" s="234"/>
      <c r="BI567" s="234"/>
      <c r="BJ567" s="234"/>
      <c r="BK567" s="234"/>
      <c r="BL567" s="212"/>
      <c r="BM567" s="212"/>
      <c r="BN567" s="212"/>
      <c r="BO567" s="212"/>
      <c r="BP567" s="212"/>
      <c r="BQ567" s="212"/>
      <c r="BR567" s="212"/>
      <c r="BS567" s="212"/>
      <c r="BT567" s="212"/>
      <c r="BU567" s="212"/>
      <c r="BV567" s="212"/>
      <c r="BW567" s="212"/>
      <c r="BX567" s="212"/>
      <c r="BY567" s="212"/>
      <c r="BZ567" s="212"/>
      <c r="CA567" s="212"/>
      <c r="CB567" s="212"/>
      <c r="CC567" s="212"/>
      <c r="CD567" s="212"/>
      <c r="CE567" s="212"/>
      <c r="CF567" s="212"/>
      <c r="CG567" s="212"/>
      <c r="CH567" s="212"/>
      <c r="CI567" s="212"/>
      <c r="CJ567" s="212"/>
      <c r="CK567" s="2907"/>
      <c r="CL567" s="212"/>
      <c r="CM567" s="212"/>
      <c r="CN567" s="212"/>
      <c r="CO567" s="212"/>
      <c r="CP567"/>
      <c r="CQ567" s="195"/>
      <c r="CR567" s="195"/>
      <c r="CS567" s="1340"/>
      <c r="CT567" s="212"/>
      <c r="CU567" s="212"/>
      <c r="CV567" s="212"/>
      <c r="CW567" s="374"/>
      <c r="CX567" s="374"/>
      <c r="CY567" s="374"/>
      <c r="CZ567" s="374"/>
      <c r="DA567" s="374"/>
      <c r="DB567" s="217"/>
      <c r="DC567" s="212"/>
      <c r="DD567" s="212"/>
      <c r="DE567" s="70"/>
      <c r="DF567" s="70"/>
      <c r="DG567" s="70"/>
      <c r="DH567" s="70"/>
      <c r="DI567" s="70"/>
      <c r="DJ567" s="70"/>
      <c r="DK567" s="70"/>
      <c r="DL567" s="70"/>
      <c r="DM567" s="70"/>
      <c r="DN567" s="70"/>
      <c r="DO567" s="70"/>
      <c r="DP567" s="70"/>
      <c r="DQ567" s="70"/>
      <c r="DR567" s="70"/>
      <c r="DS567" s="70"/>
      <c r="DT567" s="70"/>
      <c r="DU567" s="70"/>
      <c r="DV567" s="70"/>
      <c r="DW567" s="70"/>
      <c r="DX567" s="70"/>
      <c r="DY567" s="70"/>
      <c r="DZ567" s="70"/>
      <c r="EA567" s="70"/>
      <c r="EB567" s="70"/>
      <c r="EC567" s="70"/>
      <c r="ED567" s="70"/>
      <c r="EE567" s="70"/>
      <c r="EF567" s="70"/>
      <c r="EG567" s="70"/>
      <c r="EH567" s="70"/>
      <c r="EI567" s="70"/>
      <c r="EJ567" s="70"/>
      <c r="EK567" s="70"/>
      <c r="EL567" s="70"/>
      <c r="EM567" s="70"/>
      <c r="EN567" s="70"/>
      <c r="EO567" s="70"/>
      <c r="EP567" s="70"/>
      <c r="EQ567" s="70"/>
      <c r="ER567" s="70"/>
      <c r="ES567" s="70"/>
      <c r="ET567" s="70"/>
      <c r="EU567" s="70"/>
      <c r="EV567" s="70"/>
      <c r="EW567" s="70"/>
      <c r="EX567" s="70"/>
      <c r="EY567" s="70"/>
      <c r="EZ567" s="70"/>
      <c r="FA567" s="70"/>
      <c r="FB567" s="70"/>
      <c r="FC567" s="70"/>
      <c r="FD567" s="70"/>
      <c r="FE567" s="70"/>
      <c r="FF567" s="70"/>
      <c r="FG567" s="70"/>
      <c r="FH567" s="70"/>
      <c r="FI567" s="70"/>
      <c r="FJ567" s="70"/>
      <c r="FK567" s="70"/>
      <c r="FL567" s="70"/>
      <c r="FM567" s="70"/>
      <c r="FN567" s="70"/>
      <c r="FO567" s="70"/>
      <c r="FP567" s="70"/>
      <c r="FQ567" s="70"/>
      <c r="FR567" s="70"/>
      <c r="FS567" s="70"/>
      <c r="FT567" s="70"/>
      <c r="FU567" s="70"/>
      <c r="FV567" s="70"/>
      <c r="FW567" s="70"/>
      <c r="FX567" s="70"/>
      <c r="FY567" s="70"/>
      <c r="FZ567" s="70"/>
      <c r="GA567" s="70"/>
      <c r="GB567" s="70"/>
      <c r="GC567" s="70"/>
      <c r="GD567" s="70"/>
      <c r="GE567" s="70"/>
      <c r="GF567" s="70"/>
      <c r="GG567" s="70"/>
      <c r="GH567" s="70"/>
      <c r="GI567" s="70"/>
      <c r="GJ567" s="70"/>
      <c r="GK567" s="70"/>
      <c r="GL567" s="70"/>
      <c r="GM567" s="70"/>
      <c r="GN567" s="70"/>
      <c r="GO567" s="70"/>
      <c r="GP567" s="70"/>
      <c r="GQ567" s="70"/>
      <c r="GR567" s="70"/>
      <c r="GS567" s="70"/>
      <c r="GT567" s="70"/>
      <c r="GU567" s="70"/>
      <c r="GV567" s="70"/>
      <c r="GW567" s="70"/>
      <c r="GX567" s="70"/>
      <c r="GY567" s="70"/>
      <c r="GZ567" s="70"/>
      <c r="HA567" s="70"/>
      <c r="HB567" s="70"/>
      <c r="HC567" s="70"/>
      <c r="HD567" s="70"/>
      <c r="HE567" s="70"/>
      <c r="HF567" s="70"/>
      <c r="HG567" s="70"/>
      <c r="HH567" s="70"/>
      <c r="HI567" s="70"/>
      <c r="HJ567" s="70"/>
      <c r="HK567" s="70"/>
      <c r="HL567" s="70"/>
      <c r="HM567" s="70"/>
      <c r="HN567" s="70"/>
      <c r="HO567" s="70"/>
      <c r="HP567" s="70"/>
      <c r="HQ567" s="70"/>
      <c r="HR567" s="70"/>
      <c r="HS567" s="70"/>
      <c r="HT567" s="70"/>
      <c r="HU567" s="70"/>
      <c r="HV567" s="70"/>
      <c r="HW567" s="70"/>
      <c r="HX567" s="70"/>
      <c r="HY567" s="70"/>
      <c r="HZ567" s="70"/>
      <c r="IA567" s="70"/>
      <c r="IB567" s="70"/>
      <c r="IC567" s="70"/>
      <c r="ID567" s="70"/>
      <c r="IE567" s="70"/>
      <c r="IF567" s="70"/>
      <c r="IG567" s="70"/>
      <c r="IH567" s="70"/>
      <c r="II567" s="70"/>
      <c r="IJ567" s="70"/>
      <c r="IK567" s="70"/>
      <c r="IL567" s="70"/>
      <c r="IM567" s="70"/>
      <c r="IN567" s="70"/>
      <c r="IO567" s="70"/>
      <c r="IP567" s="70"/>
      <c r="IQ567" s="70"/>
      <c r="IR567" s="70"/>
      <c r="IS567" s="70"/>
      <c r="IT567" s="70"/>
      <c r="IU567" s="70"/>
      <c r="IV567" s="70"/>
    </row>
    <row r="568" spans="1:256" s="207" customFormat="1" x14ac:dyDescent="0.2">
      <c r="A568" s="1265" t="s">
        <v>1040</v>
      </c>
      <c r="B568" s="1425"/>
      <c r="C568" s="1217"/>
      <c r="D568" s="1053" t="str">
        <f>RevPAR!B$5</f>
        <v>1Q00</v>
      </c>
      <c r="E568" s="1053" t="str">
        <f>RevPAR!C$5</f>
        <v>2Q00</v>
      </c>
      <c r="F568" s="1053" t="str">
        <f>RevPAR!D$5</f>
        <v>3Q00</v>
      </c>
      <c r="G568" s="1053" t="str">
        <f>RevPAR!E$5</f>
        <v>4Q00</v>
      </c>
      <c r="H568" s="1054">
        <f>RevPAR!F$5</f>
        <v>2000</v>
      </c>
      <c r="I568" s="1053" t="str">
        <f>RevPAR!G$5</f>
        <v>1Q01</v>
      </c>
      <c r="J568" s="1053" t="str">
        <f>RevPAR!H$5</f>
        <v>2Q01</v>
      </c>
      <c r="K568" s="1053" t="str">
        <f>RevPAR!I$5</f>
        <v>3Q01</v>
      </c>
      <c r="L568" s="1053" t="str">
        <f>RevPAR!J$5</f>
        <v>4Q01</v>
      </c>
      <c r="M568" s="1054">
        <f>RevPAR!K$5</f>
        <v>2001</v>
      </c>
      <c r="N568" s="1053" t="str">
        <f>RevPAR!L$5</f>
        <v>1Q02</v>
      </c>
      <c r="O568" s="1053" t="str">
        <f>RevPAR!M$5</f>
        <v>2Q02</v>
      </c>
      <c r="P568" s="1053" t="str">
        <f>RevPAR!N$5</f>
        <v>3Q02</v>
      </c>
      <c r="Q568" s="1053" t="str">
        <f>RevPAR!O$5</f>
        <v>4Q02</v>
      </c>
      <c r="R568" s="1054">
        <f>RevPAR!P$5</f>
        <v>2002</v>
      </c>
      <c r="S568" s="1053" t="str">
        <f>RevPAR!Q$5</f>
        <v>1Q03</v>
      </c>
      <c r="T568" s="1053" t="str">
        <f>RevPAR!R$5</f>
        <v>2Q03</v>
      </c>
      <c r="U568" s="1053" t="str">
        <f>RevPAR!S$5</f>
        <v>3Q03</v>
      </c>
      <c r="V568" s="1053" t="str">
        <f>RevPAR!T$5</f>
        <v>4Q03</v>
      </c>
      <c r="W568" s="1054">
        <f>RevPAR!U$5</f>
        <v>2003</v>
      </c>
      <c r="X568" s="1053" t="str">
        <f>RevPAR!V$5</f>
        <v>1Q04</v>
      </c>
      <c r="Y568" s="1053" t="str">
        <f>RevPAR!W$5</f>
        <v>2Q04</v>
      </c>
      <c r="Z568" s="1053" t="str">
        <f>RevPAR!X$5</f>
        <v>3Q04</v>
      </c>
      <c r="AA568" s="1053" t="str">
        <f>RevPAR!Y$5</f>
        <v>4Q04</v>
      </c>
      <c r="AB568" s="1054" t="str">
        <f>RevPAR!Z$5</f>
        <v>2004</v>
      </c>
      <c r="AC568" s="1053" t="str">
        <f>RevPAR!AA$5</f>
        <v>1Q05</v>
      </c>
      <c r="AD568" s="1053" t="str">
        <f>RevPAR!AB$5</f>
        <v>2Q05</v>
      </c>
      <c r="AE568" s="1053" t="str">
        <f>RevPAR!AC$5</f>
        <v>3Q05</v>
      </c>
      <c r="AF568" s="1053" t="str">
        <f>RevPAR!AD$5</f>
        <v>4Q05</v>
      </c>
      <c r="AG568" s="1054">
        <f>RevPAR!AE$5</f>
        <v>2005</v>
      </c>
      <c r="AH568" s="1053" t="str">
        <f>RevPAR!AF$5</f>
        <v>1Q06</v>
      </c>
      <c r="AI568" s="1053" t="str">
        <f>RevPAR!AG$5</f>
        <v>2Q06</v>
      </c>
      <c r="AJ568" s="1053" t="str">
        <f>RevPAR!AH$5</f>
        <v>3Q06</v>
      </c>
      <c r="AK568" s="1053" t="str">
        <f>RevPAR!AI$5</f>
        <v>4Q06</v>
      </c>
      <c r="AL568" s="1054">
        <f>RevPAR!AJ$5</f>
        <v>2006</v>
      </c>
      <c r="AM568" s="1053" t="str">
        <f>RevPAR!AK$5</f>
        <v>1Q07</v>
      </c>
      <c r="AN568" s="1053" t="str">
        <f>RevPAR!AL$5</f>
        <v>2Q07</v>
      </c>
      <c r="AO568" s="1053" t="str">
        <f>RevPAR!AM$5</f>
        <v>3Q07</v>
      </c>
      <c r="AP568" s="1053" t="str">
        <f>RevPAR!AN$5</f>
        <v>4Q07</v>
      </c>
      <c r="AQ568" s="1054" t="str">
        <f>RevPAR!AO$5</f>
        <v>2007</v>
      </c>
      <c r="AR568" s="1053" t="str">
        <f>RevPAR!AP$5</f>
        <v>1Q08</v>
      </c>
      <c r="AS568" s="1053" t="str">
        <f>RevPAR!AQ$5</f>
        <v>2Q08</v>
      </c>
      <c r="AT568" s="1053" t="str">
        <f>RevPAR!AR$5</f>
        <v>3Q08</v>
      </c>
      <c r="AU568" s="1053" t="str">
        <f>RevPAR!AS$5</f>
        <v>4Q08</v>
      </c>
      <c r="AV568" s="1054" t="str">
        <f>RevPAR!AT$5</f>
        <v>2008</v>
      </c>
      <c r="AW568" s="1053" t="str">
        <f>RevPAR!AU$5</f>
        <v>1Q09</v>
      </c>
      <c r="AX568" s="1053" t="str">
        <f>RevPAR!AV$5</f>
        <v>2Q09</v>
      </c>
      <c r="AY568" s="1053" t="str">
        <f>RevPAR!AW$5</f>
        <v>3Q09</v>
      </c>
      <c r="AZ568" s="1053" t="str">
        <f>RevPAR!AX$5</f>
        <v>4Q09</v>
      </c>
      <c r="BA568" s="1054" t="str">
        <f>RevPAR!AY$5</f>
        <v>2009</v>
      </c>
      <c r="BB568" s="1053" t="str">
        <f>RevPAR!AZ$5</f>
        <v>1Q10</v>
      </c>
      <c r="BC568" s="1053" t="str">
        <f>RevPAR!BA$5</f>
        <v>2Q10</v>
      </c>
      <c r="BD568" s="1053" t="str">
        <f>RevPAR!BB$5</f>
        <v>3Q10</v>
      </c>
      <c r="BE568" s="1053" t="str">
        <f>RevPAR!BC$5</f>
        <v>4Q10</v>
      </c>
      <c r="BF568" s="1054" t="str">
        <f>RevPAR!BD$5</f>
        <v>2010</v>
      </c>
      <c r="BG568" s="1053" t="str">
        <f>RevPAR!BE$5</f>
        <v>1Q11</v>
      </c>
      <c r="BH568" s="1053" t="str">
        <f>RevPAR!BF$5</f>
        <v>2Q11</v>
      </c>
      <c r="BI568" s="1053" t="str">
        <f>RevPAR!BG$5</f>
        <v>3Q11</v>
      </c>
      <c r="BJ568" s="1053" t="str">
        <f>RevPAR!BH$5</f>
        <v>4Q11</v>
      </c>
      <c r="BK568" s="1054">
        <f>RevPAR!BI$5</f>
        <v>2011</v>
      </c>
      <c r="BL568" s="1053" t="str">
        <f>RevPAR!BJ$5</f>
        <v>1Q12</v>
      </c>
      <c r="BM568" s="1053" t="str">
        <f>RevPAR!BK$5</f>
        <v>2Q12</v>
      </c>
      <c r="BN568" s="1053" t="str">
        <f>RevPAR!BL$5</f>
        <v>3Q12</v>
      </c>
      <c r="BO568" s="1053" t="str">
        <f>RevPAR!BM$5</f>
        <v>4Q12</v>
      </c>
      <c r="BP568" s="1054">
        <f>RevPAR!BN$5</f>
        <v>2012</v>
      </c>
      <c r="BQ568" s="1053" t="str">
        <f>RevPAR!BO$5</f>
        <v>1Q13</v>
      </c>
      <c r="BR568" s="1053" t="str">
        <f>RevPAR!BP$5</f>
        <v>2Q13</v>
      </c>
      <c r="BS568" s="1053" t="str">
        <f>RevPAR!BQ$5</f>
        <v>3Q13</v>
      </c>
      <c r="BT568" s="1053" t="str">
        <f>RevPAR!BR$5</f>
        <v>4Q13</v>
      </c>
      <c r="BU568" s="1054">
        <f>RevPAR!BS$5</f>
        <v>2013</v>
      </c>
      <c r="BV568" s="1053" t="str">
        <f>RevPAR!BT$5</f>
        <v>1Q14</v>
      </c>
      <c r="BW568" s="1053" t="str">
        <f>RevPAR!BU$5</f>
        <v>2Q14</v>
      </c>
      <c r="BX568" s="1053" t="str">
        <f>RevPAR!BV$5</f>
        <v>3Q14</v>
      </c>
      <c r="BY568" s="1053" t="str">
        <f>RevPAR!BW$5</f>
        <v>4Q14</v>
      </c>
      <c r="BZ568" s="1054">
        <f>RevPAR!BX$5</f>
        <v>2014</v>
      </c>
      <c r="CA568" s="1053" t="str">
        <f>RevPAR!BY$5</f>
        <v>1Q15</v>
      </c>
      <c r="CB568" s="1053" t="str">
        <f>RevPAR!BZ$5</f>
        <v>2Q15</v>
      </c>
      <c r="CC568" s="1053" t="str">
        <f>RevPAR!CA$5</f>
        <v>3Q15</v>
      </c>
      <c r="CD568" s="1053" t="str">
        <f>RevPAR!CB$5</f>
        <v>4Q15</v>
      </c>
      <c r="CE568" s="1054">
        <f>RevPAR!CC$5</f>
        <v>2015</v>
      </c>
      <c r="CF568" s="1053" t="str">
        <f>RevPAR!CD$5</f>
        <v>1Q16</v>
      </c>
      <c r="CG568" s="1053" t="str">
        <f>RevPAR!CE$5</f>
        <v>2Q16</v>
      </c>
      <c r="CH568" s="1053" t="str">
        <f>RevPAR!CF$5</f>
        <v>3Q16</v>
      </c>
      <c r="CI568" s="1053" t="str">
        <f>RevPAR!CG$5</f>
        <v>4Q16</v>
      </c>
      <c r="CJ568" s="1054">
        <f>RevPAR!CH$5</f>
        <v>2016</v>
      </c>
      <c r="CK568" s="1053" t="s">
        <v>2974</v>
      </c>
      <c r="CL568" s="1053" t="str">
        <f>RevPAR!CJ$5</f>
        <v>2Q17</v>
      </c>
      <c r="CM568" s="1053" t="str">
        <f>RevPAR!CK$5</f>
        <v>3Q17</v>
      </c>
      <c r="CN568" s="1053" t="str">
        <f>RevPAR!CL$5</f>
        <v>4Q17A</v>
      </c>
      <c r="CO568" s="1054" t="str">
        <f>RevPAR!CM$5</f>
        <v>2017A</v>
      </c>
      <c r="CP568" s="1053" t="str">
        <f>RevPAR!CN$5</f>
        <v>1Q18E</v>
      </c>
      <c r="CQ568" s="1053" t="str">
        <f>RevPAR!CO$5</f>
        <v>2Q18E</v>
      </c>
      <c r="CR568" s="1053" t="str">
        <f>RevPAR!CP$5</f>
        <v>3Q18E</v>
      </c>
      <c r="CS568" s="1053" t="str">
        <f>RevPAR!CQ$5</f>
        <v>4Q18E</v>
      </c>
      <c r="CT568" s="1054" t="str">
        <f>RevPAR!CR$5</f>
        <v>2018E</v>
      </c>
      <c r="CU568" s="1054" t="str">
        <f>RevPAR!CS$5</f>
        <v>2019E</v>
      </c>
      <c r="CV568" s="1054" t="str">
        <f>RevPAR!CT$5</f>
        <v>2020E</v>
      </c>
      <c r="CW568" s="374"/>
      <c r="CX568" s="374"/>
      <c r="CY568" s="374"/>
      <c r="CZ568" s="374"/>
      <c r="DA568" s="374"/>
      <c r="DB568" s="217"/>
      <c r="DC568" s="212"/>
      <c r="DD568" s="212"/>
      <c r="DE568" s="70"/>
      <c r="DF568" s="70"/>
      <c r="DG568" s="70"/>
      <c r="DH568" s="70"/>
      <c r="DI568" s="70"/>
      <c r="DJ568" s="70"/>
      <c r="DK568" s="70"/>
      <c r="DL568" s="70"/>
      <c r="DM568" s="70"/>
      <c r="DN568" s="70"/>
      <c r="DO568" s="70"/>
      <c r="DP568" s="70"/>
      <c r="DQ568" s="70"/>
      <c r="DR568" s="70"/>
      <c r="DS568" s="70"/>
      <c r="DT568" s="70"/>
      <c r="DU568" s="70"/>
      <c r="DV568" s="70"/>
      <c r="DW568" s="70"/>
      <c r="DX568" s="70"/>
      <c r="DY568" s="70"/>
      <c r="DZ568" s="70"/>
      <c r="EA568" s="70"/>
      <c r="EB568" s="70"/>
      <c r="EC568" s="70"/>
      <c r="ED568" s="70"/>
      <c r="EE568" s="70"/>
      <c r="EF568" s="70"/>
      <c r="EG568" s="70"/>
      <c r="EH568" s="70"/>
      <c r="EI568" s="70"/>
      <c r="EJ568" s="70"/>
      <c r="EK568" s="70"/>
      <c r="EL568" s="70"/>
      <c r="EM568" s="70"/>
      <c r="EN568" s="70"/>
      <c r="EO568" s="70"/>
      <c r="EP568" s="70"/>
      <c r="EQ568" s="70"/>
      <c r="ER568" s="70"/>
      <c r="ES568" s="70"/>
      <c r="ET568" s="70"/>
      <c r="EU568" s="70"/>
      <c r="EV568" s="70"/>
      <c r="EW568" s="70"/>
      <c r="EX568" s="70"/>
      <c r="EY568" s="70"/>
      <c r="EZ568" s="70"/>
      <c r="FA568" s="70"/>
      <c r="FB568" s="70"/>
      <c r="FC568" s="70"/>
      <c r="FD568" s="70"/>
      <c r="FE568" s="70"/>
      <c r="FF568" s="70"/>
      <c r="FG568" s="70"/>
      <c r="FH568" s="70"/>
      <c r="FI568" s="70"/>
      <c r="FJ568" s="70"/>
      <c r="FK568" s="70"/>
      <c r="FL568" s="70"/>
      <c r="FM568" s="70"/>
      <c r="FN568" s="70"/>
      <c r="FO568" s="70"/>
      <c r="FP568" s="70"/>
      <c r="FQ568" s="70"/>
      <c r="FR568" s="70"/>
      <c r="FS568" s="70"/>
      <c r="FT568" s="70"/>
      <c r="FU568" s="70"/>
      <c r="FV568" s="70"/>
      <c r="FW568" s="70"/>
      <c r="FX568" s="70"/>
      <c r="FY568" s="70"/>
      <c r="FZ568" s="70"/>
      <c r="GA568" s="70"/>
      <c r="GB568" s="70"/>
      <c r="GC568" s="70"/>
      <c r="GD568" s="70"/>
      <c r="GE568" s="70"/>
      <c r="GF568" s="70"/>
      <c r="GG568" s="70"/>
      <c r="GH568" s="70"/>
      <c r="GI568" s="70"/>
      <c r="GJ568" s="70"/>
      <c r="GK568" s="70"/>
      <c r="GL568" s="70"/>
      <c r="GM568" s="70"/>
      <c r="GN568" s="70"/>
      <c r="GO568" s="70"/>
      <c r="GP568" s="70"/>
      <c r="GQ568" s="70"/>
      <c r="GR568" s="70"/>
      <c r="GS568" s="70"/>
      <c r="GT568" s="70"/>
      <c r="GU568" s="70"/>
      <c r="GV568" s="70"/>
      <c r="GW568" s="70"/>
      <c r="GX568" s="70"/>
      <c r="GY568" s="70"/>
      <c r="GZ568" s="70"/>
      <c r="HA568" s="70"/>
      <c r="HB568" s="70"/>
      <c r="HC568" s="70"/>
      <c r="HD568" s="70"/>
      <c r="HE568" s="70"/>
      <c r="HF568" s="70"/>
      <c r="HG568" s="70"/>
      <c r="HH568" s="70"/>
      <c r="HI568" s="70"/>
      <c r="HJ568" s="70"/>
      <c r="HK568" s="70"/>
      <c r="HL568" s="70"/>
      <c r="HM568" s="70"/>
      <c r="HN568" s="70"/>
      <c r="HO568" s="70"/>
      <c r="HP568" s="70"/>
      <c r="HQ568" s="70"/>
      <c r="HR568" s="70"/>
      <c r="HS568" s="70"/>
      <c r="HT568" s="70"/>
      <c r="HU568" s="70"/>
      <c r="HV568" s="70"/>
      <c r="HW568" s="70"/>
      <c r="HX568" s="70"/>
      <c r="HY568" s="70"/>
      <c r="HZ568" s="70"/>
      <c r="IA568" s="70"/>
      <c r="IB568" s="70"/>
      <c r="IC568" s="70"/>
      <c r="ID568" s="70"/>
      <c r="IE568" s="70"/>
      <c r="IF568" s="70"/>
      <c r="IG568" s="70"/>
      <c r="IH568" s="70"/>
      <c r="II568" s="70"/>
      <c r="IJ568" s="70"/>
      <c r="IK568" s="70"/>
      <c r="IL568" s="70"/>
      <c r="IM568" s="70"/>
      <c r="IN568" s="70"/>
      <c r="IO568" s="70"/>
      <c r="IP568" s="70"/>
      <c r="IQ568" s="70"/>
      <c r="IR568" s="70"/>
      <c r="IS568" s="70"/>
      <c r="IT568" s="70"/>
      <c r="IU568" s="70"/>
      <c r="IV568" s="70"/>
    </row>
    <row r="569" spans="1:256" x14ac:dyDescent="0.2">
      <c r="A569" s="1264"/>
      <c r="B569" s="651"/>
      <c r="C569" s="236"/>
      <c r="D569" s="207"/>
      <c r="E569" s="207"/>
      <c r="F569" s="207"/>
      <c r="G569" s="234"/>
      <c r="H569" s="236"/>
      <c r="I569" s="207"/>
      <c r="J569" s="207"/>
      <c r="K569" s="207"/>
      <c r="L569" s="234"/>
      <c r="M569" s="236"/>
      <c r="N569" s="234"/>
      <c r="O569" s="234"/>
      <c r="P569" s="234"/>
      <c r="Q569" s="234"/>
      <c r="R569" s="236"/>
      <c r="S569" s="234"/>
      <c r="T569" s="234"/>
      <c r="U569" s="234"/>
      <c r="V569" s="234"/>
      <c r="W569" s="236"/>
      <c r="X569" s="234"/>
      <c r="Y569" s="234"/>
      <c r="Z569" s="234"/>
      <c r="AA569" s="234"/>
      <c r="AB569" s="236"/>
      <c r="AC569" s="234"/>
      <c r="AD569" s="234"/>
      <c r="AE569" s="234"/>
      <c r="AF569" s="234"/>
      <c r="AG569" s="236"/>
      <c r="AH569" s="234"/>
      <c r="AI569" s="234"/>
      <c r="AJ569" s="234"/>
      <c r="AK569" s="234"/>
      <c r="AL569" s="236"/>
      <c r="AM569" s="234"/>
      <c r="AN569" s="234"/>
      <c r="AO569" s="234"/>
      <c r="AP569" s="234"/>
      <c r="AQ569" s="236"/>
      <c r="AR569" s="234"/>
      <c r="AS569" s="234"/>
      <c r="AT569" s="234"/>
      <c r="AU569" s="234"/>
      <c r="AV569" s="236"/>
      <c r="AW569" s="234"/>
      <c r="AX569" s="234"/>
      <c r="AY569" s="234"/>
      <c r="AZ569" s="234"/>
      <c r="BA569" s="236"/>
      <c r="BB569" s="234"/>
      <c r="BC569" s="234"/>
      <c r="BD569" s="234"/>
      <c r="BE569" s="234"/>
      <c r="BF569" s="236"/>
      <c r="BG569" s="234"/>
      <c r="BH569" s="234"/>
      <c r="BI569" s="234"/>
      <c r="BJ569" s="234"/>
      <c r="BK569" s="236"/>
      <c r="BL569" s="212"/>
      <c r="BM569" s="212"/>
      <c r="BN569" s="212"/>
      <c r="BO569" s="212"/>
      <c r="BP569" s="194"/>
      <c r="BQ569" s="212"/>
      <c r="BR569" s="212"/>
      <c r="BS569" s="212"/>
      <c r="BT569" s="212"/>
      <c r="BU569" s="194"/>
      <c r="BV569" s="212"/>
      <c r="BW569" s="212"/>
      <c r="BX569" s="212"/>
      <c r="BY569" s="212"/>
      <c r="BZ569" s="194"/>
      <c r="CA569" s="212"/>
      <c r="CB569" s="212"/>
      <c r="CC569" s="212"/>
      <c r="CD569" s="212"/>
      <c r="CE569" s="194"/>
      <c r="CF569" s="212"/>
      <c r="CG569" s="212"/>
      <c r="CH569" s="212"/>
      <c r="CI569" s="212"/>
      <c r="CJ569" s="194"/>
      <c r="CK569" s="2907"/>
      <c r="CL569" s="212"/>
      <c r="CM569" s="212"/>
      <c r="CN569" s="212"/>
      <c r="CO569" s="194"/>
      <c r="CP569" s="2907"/>
      <c r="CQ569" s="212"/>
      <c r="CR569" s="212"/>
      <c r="CS569" s="212"/>
      <c r="CT569" s="194"/>
      <c r="CU569" s="194"/>
      <c r="CV569" s="194"/>
      <c r="CW569" s="374"/>
      <c r="CX569" s="374"/>
      <c r="CY569" s="374"/>
      <c r="CZ569" s="374"/>
      <c r="DA569" s="374"/>
      <c r="DB569" s="217"/>
    </row>
    <row r="570" spans="1:256" x14ac:dyDescent="0.2">
      <c r="A570" s="1263" t="s">
        <v>648</v>
      </c>
      <c r="B570" s="651"/>
      <c r="C570" s="236"/>
      <c r="D570" s="207"/>
      <c r="E570" s="207"/>
      <c r="F570" s="207"/>
      <c r="G570" s="234"/>
      <c r="H570" s="236"/>
      <c r="I570" s="207"/>
      <c r="J570" s="207"/>
      <c r="K570" s="207"/>
      <c r="L570" s="234"/>
      <c r="M570" s="236"/>
      <c r="N570" s="234"/>
      <c r="O570" s="234"/>
      <c r="P570" s="234"/>
      <c r="Q570" s="234"/>
      <c r="R570" s="236"/>
      <c r="S570" s="234"/>
      <c r="T570" s="234"/>
      <c r="U570" s="234"/>
      <c r="V570" s="234"/>
      <c r="W570" s="236"/>
      <c r="X570" s="234"/>
      <c r="Y570" s="234"/>
      <c r="Z570" s="234"/>
      <c r="AA570" s="234"/>
      <c r="AB570" s="236"/>
      <c r="AC570" s="234"/>
      <c r="AD570" s="234"/>
      <c r="AE570" s="234"/>
      <c r="AF570" s="234"/>
      <c r="AG570" s="236"/>
      <c r="AH570" s="234"/>
      <c r="AI570" s="234"/>
      <c r="AJ570" s="234"/>
      <c r="AK570" s="234"/>
      <c r="AL570" s="236"/>
      <c r="AM570" s="234"/>
      <c r="AN570" s="234"/>
      <c r="AO570" s="234"/>
      <c r="AP570" s="234"/>
      <c r="AQ570" s="236"/>
      <c r="AR570" s="234"/>
      <c r="AS570" s="234"/>
      <c r="AT570" s="234"/>
      <c r="AU570" s="234"/>
      <c r="AV570" s="236"/>
      <c r="AW570" s="234"/>
      <c r="AX570" s="234"/>
      <c r="AY570" s="234"/>
      <c r="AZ570" s="234"/>
      <c r="BA570" s="236"/>
      <c r="BB570" s="234"/>
      <c r="BC570" s="234"/>
      <c r="BD570" s="234"/>
      <c r="BE570" s="234"/>
      <c r="BF570" s="236"/>
      <c r="BG570" s="234"/>
      <c r="BH570" s="234"/>
      <c r="BI570" s="234"/>
      <c r="BJ570" s="234"/>
      <c r="BK570" s="236"/>
      <c r="BL570" s="212"/>
      <c r="BM570" s="212"/>
      <c r="BN570" s="212"/>
      <c r="BO570" s="212"/>
      <c r="BP570" s="194"/>
      <c r="BQ570" s="212"/>
      <c r="BR570" s="212"/>
      <c r="BS570" s="212"/>
      <c r="BT570" s="212"/>
      <c r="BU570" s="194"/>
      <c r="BV570" s="212"/>
      <c r="BW570" s="212"/>
      <c r="BX570" s="212"/>
      <c r="BY570" s="212"/>
      <c r="BZ570" s="194"/>
      <c r="CA570" s="212"/>
      <c r="CB570" s="212"/>
      <c r="CC570" s="212"/>
      <c r="CD570" s="212"/>
      <c r="CE570" s="194"/>
      <c r="CF570" s="212"/>
      <c r="CG570" s="212"/>
      <c r="CH570" s="212"/>
      <c r="CI570" s="212"/>
      <c r="CJ570" s="194"/>
      <c r="CK570" s="2907"/>
      <c r="CL570" s="212"/>
      <c r="CM570" s="212"/>
      <c r="CN570" s="212"/>
      <c r="CO570" s="194"/>
      <c r="CP570" s="2907"/>
      <c r="CQ570" s="212"/>
      <c r="CR570" s="212"/>
      <c r="CS570" s="212"/>
      <c r="CT570" s="194"/>
      <c r="CU570" s="194"/>
      <c r="CV570" s="194"/>
      <c r="CW570" s="374"/>
      <c r="CX570" s="374"/>
      <c r="CY570" s="374"/>
      <c r="CZ570" s="374"/>
      <c r="DA570" s="374"/>
      <c r="DB570" s="217"/>
    </row>
    <row r="571" spans="1:256" x14ac:dyDescent="0.2">
      <c r="A571" s="2308" t="s">
        <v>456</v>
      </c>
      <c r="B571" s="651"/>
      <c r="C571" s="236"/>
      <c r="D571" s="234"/>
      <c r="E571" s="234"/>
      <c r="F571" s="234"/>
      <c r="G571" s="234"/>
      <c r="H571" s="236"/>
      <c r="I571" s="234"/>
      <c r="J571" s="234"/>
      <c r="K571" s="234"/>
      <c r="L571" s="234"/>
      <c r="M571" s="236"/>
      <c r="N571" s="234"/>
      <c r="O571" s="234"/>
      <c r="P571" s="234"/>
      <c r="Q571" s="234"/>
      <c r="R571" s="236"/>
      <c r="S571" s="234"/>
      <c r="T571" s="234"/>
      <c r="U571" s="234"/>
      <c r="V571" s="234"/>
      <c r="W571" s="236"/>
      <c r="X571" s="234"/>
      <c r="Y571" s="234"/>
      <c r="Z571" s="234"/>
      <c r="AA571" s="234"/>
      <c r="AB571" s="236"/>
      <c r="AC571" s="234"/>
      <c r="AD571" s="234"/>
      <c r="AE571" s="234"/>
      <c r="AF571" s="234"/>
      <c r="AG571" s="236"/>
      <c r="AH571" s="234"/>
      <c r="AI571" s="234"/>
      <c r="AJ571" s="234"/>
      <c r="AK571" s="234"/>
      <c r="AL571" s="236"/>
      <c r="AM571" s="234"/>
      <c r="AN571" s="234"/>
      <c r="AO571" s="234"/>
      <c r="AP571" s="234"/>
      <c r="AQ571" s="236"/>
      <c r="AR571" s="234"/>
      <c r="AS571" s="234"/>
      <c r="AT571" s="234"/>
      <c r="AU571" s="234"/>
      <c r="AV571" s="236"/>
      <c r="AW571" s="234"/>
      <c r="AX571" s="234"/>
      <c r="AY571" s="234"/>
      <c r="AZ571" s="234"/>
      <c r="BA571" s="236"/>
      <c r="BB571" s="234"/>
      <c r="BC571" s="234"/>
      <c r="BD571" s="234"/>
      <c r="BE571" s="234"/>
      <c r="BF571" s="236"/>
      <c r="BG571" s="234"/>
      <c r="BH571" s="234"/>
      <c r="BI571" s="234"/>
      <c r="BJ571" s="234"/>
      <c r="BK571" s="236"/>
      <c r="BL571" s="234"/>
      <c r="BM571" s="234"/>
      <c r="BN571" s="234"/>
      <c r="BO571" s="234"/>
      <c r="BP571" s="236"/>
      <c r="BQ571" s="234"/>
      <c r="BR571" s="234"/>
      <c r="BS571" s="234"/>
      <c r="BT571" s="234"/>
      <c r="BU571" s="236"/>
      <c r="BV571" s="234"/>
      <c r="BW571" s="234"/>
      <c r="BX571" s="234"/>
      <c r="BY571" s="234"/>
      <c r="BZ571" s="236"/>
      <c r="CA571" s="234"/>
      <c r="CB571" s="234"/>
      <c r="CC571" s="234"/>
      <c r="CD571" s="234"/>
      <c r="CE571" s="236"/>
      <c r="CF571" s="234"/>
      <c r="CG571" s="234"/>
      <c r="CH571" s="1626">
        <v>496</v>
      </c>
      <c r="CI571" s="1626">
        <v>496</v>
      </c>
      <c r="CJ571" s="661">
        <f>+CI571</f>
        <v>496</v>
      </c>
      <c r="CK571" s="3503">
        <v>496</v>
      </c>
      <c r="CL571" s="3503">
        <v>496</v>
      </c>
      <c r="CM571" s="3503">
        <v>496</v>
      </c>
      <c r="CN571" s="3503">
        <v>496</v>
      </c>
      <c r="CO571" s="661">
        <f>+CN571</f>
        <v>496</v>
      </c>
      <c r="CP571" s="212">
        <f t="shared" ref="CP571:CS587" si="811">CO571</f>
        <v>496</v>
      </c>
      <c r="CQ571" s="212">
        <f t="shared" si="811"/>
        <v>496</v>
      </c>
      <c r="CR571" s="212">
        <f t="shared" si="811"/>
        <v>496</v>
      </c>
      <c r="CS571" s="212">
        <f t="shared" si="811"/>
        <v>496</v>
      </c>
      <c r="CT571" s="661">
        <f>+CS571</f>
        <v>496</v>
      </c>
      <c r="CU571" s="194">
        <f>+CT571</f>
        <v>496</v>
      </c>
      <c r="CV571" s="194">
        <f>+CU571</f>
        <v>496</v>
      </c>
      <c r="CW571" s="374"/>
      <c r="CX571" s="374"/>
      <c r="CY571" s="374"/>
      <c r="CZ571" s="374"/>
      <c r="DA571" s="374"/>
      <c r="DB571" s="217"/>
    </row>
    <row r="572" spans="1:256" x14ac:dyDescent="0.2">
      <c r="A572" s="1266" t="s">
        <v>346</v>
      </c>
      <c r="B572" s="651"/>
      <c r="C572" s="236"/>
      <c r="D572" s="207"/>
      <c r="E572" s="207"/>
      <c r="F572" s="207"/>
      <c r="G572" s="234"/>
      <c r="H572" s="848">
        <f>473+1324</f>
        <v>1797</v>
      </c>
      <c r="I572" s="1427">
        <f>473+1324</f>
        <v>1797</v>
      </c>
      <c r="J572" s="845">
        <f>718+1324</f>
        <v>2042</v>
      </c>
      <c r="K572" s="845">
        <f>718+1324</f>
        <v>2042</v>
      </c>
      <c r="L572" s="845">
        <f>575+1467</f>
        <v>2042</v>
      </c>
      <c r="M572" s="661">
        <f>L572</f>
        <v>2042</v>
      </c>
      <c r="N572" s="1427">
        <f>575+1467</f>
        <v>2042</v>
      </c>
      <c r="O572" s="845">
        <f>575+1467</f>
        <v>2042</v>
      </c>
      <c r="P572" s="845">
        <v>1899</v>
      </c>
      <c r="Q572" s="845">
        <f>575+1047</f>
        <v>1622</v>
      </c>
      <c r="R572" s="661">
        <f>Q572</f>
        <v>1622</v>
      </c>
      <c r="S572" s="1427">
        <f>575+1047</f>
        <v>1622</v>
      </c>
      <c r="T572" s="845">
        <v>1622</v>
      </c>
      <c r="U572" s="845">
        <v>1292</v>
      </c>
      <c r="V572" s="845">
        <v>1292</v>
      </c>
      <c r="W572" s="661">
        <f>V572</f>
        <v>1292</v>
      </c>
      <c r="X572" s="1427">
        <v>2526</v>
      </c>
      <c r="Y572" s="845">
        <v>2526</v>
      </c>
      <c r="Z572" s="845">
        <f>602+1924</f>
        <v>2526</v>
      </c>
      <c r="AA572" s="845">
        <v>2423</v>
      </c>
      <c r="AB572" s="661">
        <f>+AA572</f>
        <v>2423</v>
      </c>
      <c r="AC572" s="1427">
        <v>2090</v>
      </c>
      <c r="AD572" s="845">
        <v>2001</v>
      </c>
      <c r="AE572" s="845">
        <v>2001</v>
      </c>
      <c r="AF572" s="845">
        <v>2349</v>
      </c>
      <c r="AG572" s="661">
        <f>+AF572</f>
        <v>2349</v>
      </c>
      <c r="AH572" s="1427">
        <v>3131</v>
      </c>
      <c r="AI572" s="845">
        <v>2774</v>
      </c>
      <c r="AJ572" s="845">
        <v>2774</v>
      </c>
      <c r="AK572" s="845">
        <v>3038</v>
      </c>
      <c r="AL572" s="661">
        <f>+AK572</f>
        <v>3038</v>
      </c>
      <c r="AM572" s="1427">
        <v>2981</v>
      </c>
      <c r="AN572" s="845">
        <v>2996</v>
      </c>
      <c r="AO572" s="845">
        <v>2007</v>
      </c>
      <c r="AP572" s="845">
        <f>245+1417</f>
        <v>1662</v>
      </c>
      <c r="AQ572" s="661">
        <f>+AP572</f>
        <v>1662</v>
      </c>
      <c r="AR572" s="1427">
        <f>245+1418</f>
        <v>1663</v>
      </c>
      <c r="AS572" s="845">
        <f>245+1566</f>
        <v>1811</v>
      </c>
      <c r="AT572" s="845">
        <f>245+1706</f>
        <v>1951</v>
      </c>
      <c r="AU572" s="845">
        <f>245+1726</f>
        <v>1971</v>
      </c>
      <c r="AV572" s="661">
        <f>+AU572</f>
        <v>1971</v>
      </c>
      <c r="AW572" s="1427">
        <f>245+1839</f>
        <v>2084</v>
      </c>
      <c r="AX572" s="845">
        <f>245+1839</f>
        <v>2084</v>
      </c>
      <c r="AY572" s="845">
        <f>245+1839</f>
        <v>2084</v>
      </c>
      <c r="AZ572" s="845">
        <f>245+1839</f>
        <v>2084</v>
      </c>
      <c r="BA572" s="661">
        <f>+AZ572</f>
        <v>2084</v>
      </c>
      <c r="BB572" s="1427">
        <f>245+2340</f>
        <v>2585</v>
      </c>
      <c r="BC572" s="845">
        <f>245+2340</f>
        <v>2585</v>
      </c>
      <c r="BD572" s="845">
        <f>245+2340</f>
        <v>2585</v>
      </c>
      <c r="BE572" s="845">
        <v>2600</v>
      </c>
      <c r="BF572" s="661">
        <f>+BE572</f>
        <v>2600</v>
      </c>
      <c r="BG572" s="845">
        <v>2600</v>
      </c>
      <c r="BH572" s="845">
        <v>2600</v>
      </c>
      <c r="BI572" s="845">
        <v>2600</v>
      </c>
      <c r="BJ572" s="845">
        <v>2600</v>
      </c>
      <c r="BK572" s="661">
        <f>+BJ572</f>
        <v>2600</v>
      </c>
      <c r="BL572" s="845">
        <v>2600</v>
      </c>
      <c r="BM572" s="845">
        <v>2600</v>
      </c>
      <c r="BN572" s="845">
        <v>2600</v>
      </c>
      <c r="BO572" s="1626">
        <v>2348</v>
      </c>
      <c r="BP572" s="661">
        <f>+BO572</f>
        <v>2348</v>
      </c>
      <c r="BQ572" s="1626">
        <v>2348</v>
      </c>
      <c r="BR572" s="1626">
        <v>2199</v>
      </c>
      <c r="BS572" s="1626">
        <v>1939</v>
      </c>
      <c r="BT572" s="1626">
        <v>1939</v>
      </c>
      <c r="BU572" s="661">
        <f>+BT572</f>
        <v>1939</v>
      </c>
      <c r="BV572" s="1626">
        <v>1939</v>
      </c>
      <c r="BW572" s="1626">
        <v>1939</v>
      </c>
      <c r="BX572" s="1626">
        <v>1939</v>
      </c>
      <c r="BY572" s="1626">
        <v>1939</v>
      </c>
      <c r="BZ572" s="661">
        <f>+BY572</f>
        <v>1939</v>
      </c>
      <c r="CA572" s="1626">
        <v>1941</v>
      </c>
      <c r="CB572" s="1626">
        <v>1941</v>
      </c>
      <c r="CC572" s="1626">
        <v>1941</v>
      </c>
      <c r="CD572" s="1626">
        <v>1941</v>
      </c>
      <c r="CE572" s="661">
        <f t="shared" ref="CE572:CE587" si="812">+CD572</f>
        <v>1941</v>
      </c>
      <c r="CF572" s="1626">
        <v>1941</v>
      </c>
      <c r="CG572" s="1626">
        <v>1941</v>
      </c>
      <c r="CH572" s="1626">
        <v>1445</v>
      </c>
      <c r="CI572" s="1626">
        <v>1445</v>
      </c>
      <c r="CJ572" s="661">
        <f t="shared" ref="CJ572:CJ587" si="813">+CI572</f>
        <v>1445</v>
      </c>
      <c r="CK572" s="3503">
        <v>1625</v>
      </c>
      <c r="CL572" s="3503">
        <v>1625</v>
      </c>
      <c r="CM572" s="3503">
        <v>1625</v>
      </c>
      <c r="CN572" s="3503">
        <v>1625</v>
      </c>
      <c r="CO572" s="661">
        <f t="shared" ref="CO572:CO587" si="814">+CN572</f>
        <v>1625</v>
      </c>
      <c r="CP572" s="212">
        <f t="shared" si="811"/>
        <v>1625</v>
      </c>
      <c r="CQ572" s="212">
        <f t="shared" si="811"/>
        <v>1625</v>
      </c>
      <c r="CR572" s="212">
        <f t="shared" si="811"/>
        <v>1625</v>
      </c>
      <c r="CS572" s="212">
        <f t="shared" si="811"/>
        <v>1625</v>
      </c>
      <c r="CT572" s="661">
        <f t="shared" ref="CT572:CT587" si="815">+CS572</f>
        <v>1625</v>
      </c>
      <c r="CU572" s="194">
        <f>+CT572</f>
        <v>1625</v>
      </c>
      <c r="CV572" s="194">
        <f>+CU572</f>
        <v>1625</v>
      </c>
      <c r="CW572" s="374"/>
      <c r="CX572" s="374"/>
      <c r="CY572" s="374"/>
      <c r="CZ572" s="374"/>
      <c r="DA572" s="374"/>
      <c r="DB572" s="217"/>
    </row>
    <row r="573" spans="1:256" x14ac:dyDescent="0.2">
      <c r="A573" s="1266" t="s">
        <v>1385</v>
      </c>
      <c r="B573" s="651"/>
      <c r="C573" s="236"/>
      <c r="D573" s="207"/>
      <c r="E573" s="207"/>
      <c r="F573" s="207"/>
      <c r="G573" s="234"/>
      <c r="H573" s="848">
        <v>0</v>
      </c>
      <c r="I573" s="1427">
        <v>0</v>
      </c>
      <c r="J573" s="845">
        <v>0</v>
      </c>
      <c r="K573" s="845">
        <v>0</v>
      </c>
      <c r="L573" s="845">
        <v>0</v>
      </c>
      <c r="M573" s="661">
        <v>0</v>
      </c>
      <c r="N573" s="1427">
        <v>0</v>
      </c>
      <c r="O573" s="845">
        <v>0</v>
      </c>
      <c r="P573" s="845">
        <v>0</v>
      </c>
      <c r="Q573" s="845">
        <v>0</v>
      </c>
      <c r="R573" s="661">
        <v>0</v>
      </c>
      <c r="S573" s="1427">
        <v>0</v>
      </c>
      <c r="T573" s="845">
        <v>0</v>
      </c>
      <c r="U573" s="845">
        <v>0</v>
      </c>
      <c r="V573" s="845">
        <v>0</v>
      </c>
      <c r="W573" s="661">
        <f>V573</f>
        <v>0</v>
      </c>
      <c r="X573" s="1427">
        <v>276</v>
      </c>
      <c r="Y573" s="845">
        <v>276</v>
      </c>
      <c r="Z573" s="845">
        <v>276</v>
      </c>
      <c r="AA573" s="845">
        <v>276</v>
      </c>
      <c r="AB573" s="661">
        <f>+AA573</f>
        <v>276</v>
      </c>
      <c r="AC573" s="1427">
        <v>276</v>
      </c>
      <c r="AD573" s="845">
        <v>97</v>
      </c>
      <c r="AE573" s="845">
        <v>1566</v>
      </c>
      <c r="AF573" s="845">
        <v>1766</v>
      </c>
      <c r="AG573" s="661">
        <f>+AF573</f>
        <v>1766</v>
      </c>
      <c r="AH573" s="1427">
        <v>1766</v>
      </c>
      <c r="AI573" s="845">
        <v>500</v>
      </c>
      <c r="AJ573" s="845">
        <v>503</v>
      </c>
      <c r="AK573" s="845">
        <v>765</v>
      </c>
      <c r="AL573" s="661">
        <f>+AK573</f>
        <v>765</v>
      </c>
      <c r="AM573" s="1427">
        <v>765</v>
      </c>
      <c r="AN573" s="845">
        <v>765</v>
      </c>
      <c r="AO573" s="845">
        <v>503</v>
      </c>
      <c r="AP573" s="845">
        <v>503</v>
      </c>
      <c r="AQ573" s="661">
        <f>+AP573</f>
        <v>503</v>
      </c>
      <c r="AR573" s="1427">
        <v>503</v>
      </c>
      <c r="AS573" s="845">
        <v>503</v>
      </c>
      <c r="AT573" s="845">
        <v>503</v>
      </c>
      <c r="AU573" s="845">
        <v>503</v>
      </c>
      <c r="AV573" s="661">
        <f>+AU573</f>
        <v>503</v>
      </c>
      <c r="AW573" s="1427">
        <v>503</v>
      </c>
      <c r="AX573" s="845">
        <v>503</v>
      </c>
      <c r="AY573" s="845">
        <v>503</v>
      </c>
      <c r="AZ573" s="845">
        <v>503</v>
      </c>
      <c r="BA573" s="661">
        <f>+AZ573</f>
        <v>503</v>
      </c>
      <c r="BB573" s="1427">
        <v>503</v>
      </c>
      <c r="BC573" s="845">
        <v>503</v>
      </c>
      <c r="BD573" s="845">
        <v>503</v>
      </c>
      <c r="BE573" s="845">
        <v>2177</v>
      </c>
      <c r="BF573" s="661">
        <f>+BE573</f>
        <v>2177</v>
      </c>
      <c r="BG573" s="845">
        <v>2388</v>
      </c>
      <c r="BH573" s="845">
        <v>2388</v>
      </c>
      <c r="BI573" s="845">
        <v>2388</v>
      </c>
      <c r="BJ573" s="845">
        <v>2127</v>
      </c>
      <c r="BK573" s="661">
        <f>+BJ573</f>
        <v>2127</v>
      </c>
      <c r="BL573" s="845">
        <v>2127</v>
      </c>
      <c r="BM573" s="845">
        <v>2127</v>
      </c>
      <c r="BN573" s="845">
        <v>1891</v>
      </c>
      <c r="BO573" s="1626">
        <v>1688</v>
      </c>
      <c r="BP573" s="661">
        <f>+BO573</f>
        <v>1688</v>
      </c>
      <c r="BQ573" s="1626">
        <v>1688</v>
      </c>
      <c r="BR573" s="1626">
        <v>1688</v>
      </c>
      <c r="BS573" s="1626">
        <v>1688</v>
      </c>
      <c r="BT573" s="1626">
        <v>1688</v>
      </c>
      <c r="BU573" s="661">
        <f>+BT573</f>
        <v>1688</v>
      </c>
      <c r="BV573" s="1626">
        <v>1688</v>
      </c>
      <c r="BW573" s="1626">
        <v>1477</v>
      </c>
      <c r="BX573" s="1626">
        <v>964</v>
      </c>
      <c r="BY573" s="1626">
        <v>964</v>
      </c>
      <c r="BZ573" s="661">
        <f t="shared" ref="BZ573:BZ587" si="816">+BY573</f>
        <v>964</v>
      </c>
      <c r="CA573" s="1626">
        <v>964</v>
      </c>
      <c r="CB573" s="1626">
        <v>964</v>
      </c>
      <c r="CC573" s="1626">
        <v>749</v>
      </c>
      <c r="CD573" s="1626">
        <v>749</v>
      </c>
      <c r="CE573" s="661">
        <f t="shared" si="812"/>
        <v>749</v>
      </c>
      <c r="CF573" s="1626">
        <v>749</v>
      </c>
      <c r="CG573" s="1626">
        <v>749</v>
      </c>
      <c r="CH573" s="1626">
        <v>749</v>
      </c>
      <c r="CI573" s="1626">
        <v>749</v>
      </c>
      <c r="CJ573" s="661">
        <f t="shared" si="813"/>
        <v>749</v>
      </c>
      <c r="CK573" s="3503">
        <v>749</v>
      </c>
      <c r="CL573" s="3503">
        <v>749</v>
      </c>
      <c r="CM573" s="3503">
        <v>749</v>
      </c>
      <c r="CN573" s="3503">
        <v>749</v>
      </c>
      <c r="CO573" s="661">
        <f t="shared" si="814"/>
        <v>749</v>
      </c>
      <c r="CP573" s="212">
        <f t="shared" si="811"/>
        <v>749</v>
      </c>
      <c r="CQ573" s="212">
        <f t="shared" si="811"/>
        <v>749</v>
      </c>
      <c r="CR573" s="212">
        <f t="shared" si="811"/>
        <v>749</v>
      </c>
      <c r="CS573" s="212">
        <f t="shared" si="811"/>
        <v>749</v>
      </c>
      <c r="CT573" s="661">
        <f t="shared" si="815"/>
        <v>749</v>
      </c>
      <c r="CU573" s="194">
        <f t="shared" ref="CU573:CV581" si="817">+CT573</f>
        <v>749</v>
      </c>
      <c r="CV573" s="194">
        <f t="shared" si="817"/>
        <v>749</v>
      </c>
      <c r="CW573" s="374"/>
      <c r="CX573" s="374"/>
      <c r="CY573" s="374"/>
      <c r="CZ573" s="374"/>
      <c r="DA573" s="374"/>
      <c r="DB573" s="217"/>
    </row>
    <row r="574" spans="1:256" x14ac:dyDescent="0.2">
      <c r="A574" s="1266" t="s">
        <v>512</v>
      </c>
      <c r="B574" s="651"/>
      <c r="C574" s="236"/>
      <c r="D574" s="207"/>
      <c r="E574" s="207"/>
      <c r="F574" s="207"/>
      <c r="G574" s="234"/>
      <c r="H574" s="848">
        <v>0</v>
      </c>
      <c r="I574" s="1427">
        <v>0</v>
      </c>
      <c r="J574" s="845">
        <v>0</v>
      </c>
      <c r="K574" s="845">
        <v>0</v>
      </c>
      <c r="L574" s="845">
        <v>0</v>
      </c>
      <c r="M574" s="661">
        <v>0</v>
      </c>
      <c r="N574" s="1427">
        <v>0</v>
      </c>
      <c r="O574" s="845">
        <v>0</v>
      </c>
      <c r="P574" s="845">
        <v>0</v>
      </c>
      <c r="Q574" s="845">
        <v>0</v>
      </c>
      <c r="R574" s="661">
        <v>0</v>
      </c>
      <c r="S574" s="1427">
        <v>0</v>
      </c>
      <c r="T574" s="845">
        <v>0</v>
      </c>
      <c r="U574" s="845">
        <v>0</v>
      </c>
      <c r="V574" s="845">
        <v>0</v>
      </c>
      <c r="W574" s="661">
        <f t="shared" ref="W574:W587" si="818">V574</f>
        <v>0</v>
      </c>
      <c r="X574" s="1427">
        <v>0</v>
      </c>
      <c r="Y574" s="845">
        <v>0</v>
      </c>
      <c r="Z574" s="845">
        <v>0</v>
      </c>
      <c r="AA574" s="845">
        <v>0</v>
      </c>
      <c r="AB574" s="661">
        <f t="shared" ref="AB574:AB587" si="819">+AA574</f>
        <v>0</v>
      </c>
      <c r="AC574" s="1427">
        <v>0</v>
      </c>
      <c r="AD574" s="845">
        <v>0</v>
      </c>
      <c r="AE574" s="845">
        <v>0</v>
      </c>
      <c r="AF574" s="845">
        <v>0</v>
      </c>
      <c r="AG574" s="661">
        <f t="shared" ref="AG574:AG587" si="820">+AF574</f>
        <v>0</v>
      </c>
      <c r="AH574" s="1427">
        <v>0</v>
      </c>
      <c r="AI574" s="845">
        <v>0</v>
      </c>
      <c r="AJ574" s="845">
        <v>0</v>
      </c>
      <c r="AK574" s="845">
        <v>0</v>
      </c>
      <c r="AL574" s="661">
        <f t="shared" ref="AL574:AL587" si="821">+AK574</f>
        <v>0</v>
      </c>
      <c r="AM574" s="1427">
        <v>0</v>
      </c>
      <c r="AN574" s="845">
        <v>0</v>
      </c>
      <c r="AO574" s="845">
        <v>0</v>
      </c>
      <c r="AP574" s="845">
        <v>0</v>
      </c>
      <c r="AQ574" s="661">
        <f t="shared" ref="AQ574:AQ587" si="822">+AP574</f>
        <v>0</v>
      </c>
      <c r="AR574" s="1427">
        <v>0</v>
      </c>
      <c r="AS574" s="845">
        <v>0</v>
      </c>
      <c r="AT574" s="845">
        <v>0</v>
      </c>
      <c r="AU574" s="845">
        <v>0</v>
      </c>
      <c r="AV574" s="661">
        <f t="shared" ref="AV574:AV587" si="823">+AU574</f>
        <v>0</v>
      </c>
      <c r="AW574" s="1427">
        <v>0</v>
      </c>
      <c r="AX574" s="845">
        <v>0</v>
      </c>
      <c r="AY574" s="845">
        <v>0</v>
      </c>
      <c r="AZ574" s="845">
        <v>0</v>
      </c>
      <c r="BA574" s="661">
        <f t="shared" ref="BA574:BA587" si="824">+AZ574</f>
        <v>0</v>
      </c>
      <c r="BB574" s="1427">
        <v>0</v>
      </c>
      <c r="BC574" s="845">
        <v>0</v>
      </c>
      <c r="BD574" s="845">
        <v>0</v>
      </c>
      <c r="BE574" s="845">
        <v>0</v>
      </c>
      <c r="BF574" s="661">
        <f t="shared" ref="BF574:BF587" si="825">+BE574</f>
        <v>0</v>
      </c>
      <c r="BG574" s="845">
        <v>0</v>
      </c>
      <c r="BH574" s="845">
        <v>0</v>
      </c>
      <c r="BI574" s="845">
        <v>0</v>
      </c>
      <c r="BJ574" s="845">
        <v>0</v>
      </c>
      <c r="BK574" s="661">
        <f t="shared" ref="BK574:BK587" si="826">+BJ574</f>
        <v>0</v>
      </c>
      <c r="BL574" s="845">
        <v>0</v>
      </c>
      <c r="BM574" s="845">
        <v>0</v>
      </c>
      <c r="BN574" s="845">
        <v>0</v>
      </c>
      <c r="BO574" s="212"/>
      <c r="BP574" s="661">
        <f t="shared" ref="BP574:BP587" si="827">+BO574</f>
        <v>0</v>
      </c>
      <c r="BQ574" s="845">
        <v>0</v>
      </c>
      <c r="BR574" s="223">
        <v>0</v>
      </c>
      <c r="BS574" s="223">
        <v>0</v>
      </c>
      <c r="BT574" s="212">
        <v>0</v>
      </c>
      <c r="BU574" s="661">
        <f t="shared" ref="BU574:BU587" si="828">+BT574</f>
        <v>0</v>
      </c>
      <c r="BV574" s="845">
        <v>0</v>
      </c>
      <c r="BW574" s="845">
        <v>0</v>
      </c>
      <c r="BX574" s="845">
        <v>0</v>
      </c>
      <c r="BY574" s="845">
        <v>0</v>
      </c>
      <c r="BZ574" s="661">
        <f t="shared" si="816"/>
        <v>0</v>
      </c>
      <c r="CA574" s="845">
        <v>0</v>
      </c>
      <c r="CB574" s="845">
        <v>0</v>
      </c>
      <c r="CC574" s="845">
        <v>0</v>
      </c>
      <c r="CD574" s="845">
        <v>0</v>
      </c>
      <c r="CE574" s="661">
        <f t="shared" si="812"/>
        <v>0</v>
      </c>
      <c r="CF574" s="845">
        <v>0</v>
      </c>
      <c r="CG574" s="845">
        <v>0</v>
      </c>
      <c r="CH574" s="845">
        <v>0</v>
      </c>
      <c r="CI574" s="845">
        <v>0</v>
      </c>
      <c r="CJ574" s="661">
        <f t="shared" si="813"/>
        <v>0</v>
      </c>
      <c r="CK574" s="2982">
        <v>0</v>
      </c>
      <c r="CL574" s="2982">
        <v>0</v>
      </c>
      <c r="CM574" s="2982">
        <v>0</v>
      </c>
      <c r="CN574" s="2982">
        <v>0</v>
      </c>
      <c r="CO574" s="661">
        <f t="shared" si="814"/>
        <v>0</v>
      </c>
      <c r="CP574" s="845">
        <f t="shared" si="811"/>
        <v>0</v>
      </c>
      <c r="CQ574" s="845">
        <f t="shared" si="811"/>
        <v>0</v>
      </c>
      <c r="CR574" s="845">
        <f t="shared" si="811"/>
        <v>0</v>
      </c>
      <c r="CS574" s="845">
        <f t="shared" si="811"/>
        <v>0</v>
      </c>
      <c r="CT574" s="661">
        <f t="shared" si="815"/>
        <v>0</v>
      </c>
      <c r="CU574" s="968">
        <f t="shared" si="817"/>
        <v>0</v>
      </c>
      <c r="CV574" s="968">
        <f t="shared" si="817"/>
        <v>0</v>
      </c>
      <c r="CW574" s="374"/>
      <c r="CX574" s="374"/>
      <c r="CY574" s="374"/>
      <c r="CZ574" s="374"/>
      <c r="DA574" s="374"/>
      <c r="DB574" s="217"/>
    </row>
    <row r="575" spans="1:256" x14ac:dyDescent="0.2">
      <c r="A575" s="2633" t="s">
        <v>608</v>
      </c>
      <c r="B575" s="651"/>
      <c r="C575" s="236"/>
      <c r="D575" s="207"/>
      <c r="E575" s="207"/>
      <c r="F575" s="207"/>
      <c r="G575" s="234"/>
      <c r="H575" s="848">
        <v>0</v>
      </c>
      <c r="I575" s="1427">
        <v>0</v>
      </c>
      <c r="J575" s="845">
        <v>0</v>
      </c>
      <c r="K575" s="845">
        <v>0</v>
      </c>
      <c r="L575" s="845">
        <v>0</v>
      </c>
      <c r="M575" s="661">
        <v>0</v>
      </c>
      <c r="N575" s="1427">
        <v>0</v>
      </c>
      <c r="O575" s="845">
        <v>0</v>
      </c>
      <c r="P575" s="845">
        <v>0</v>
      </c>
      <c r="Q575" s="845">
        <v>0</v>
      </c>
      <c r="R575" s="661">
        <v>0</v>
      </c>
      <c r="S575" s="1427">
        <v>0</v>
      </c>
      <c r="T575" s="845">
        <v>0</v>
      </c>
      <c r="U575" s="845">
        <v>0</v>
      </c>
      <c r="V575" s="845">
        <v>0</v>
      </c>
      <c r="W575" s="661">
        <f>V575</f>
        <v>0</v>
      </c>
      <c r="X575" s="1427">
        <v>0</v>
      </c>
      <c r="Y575" s="845">
        <v>0</v>
      </c>
      <c r="Z575" s="845">
        <v>0</v>
      </c>
      <c r="AA575" s="845">
        <v>0</v>
      </c>
      <c r="AB575" s="661">
        <f>+AA575</f>
        <v>0</v>
      </c>
      <c r="AC575" s="1427">
        <v>0</v>
      </c>
      <c r="AD575" s="845">
        <v>0</v>
      </c>
      <c r="AE575" s="845">
        <v>0</v>
      </c>
      <c r="AF575" s="845">
        <v>0</v>
      </c>
      <c r="AG575" s="661">
        <f>+AF575</f>
        <v>0</v>
      </c>
      <c r="AH575" s="1427">
        <v>0</v>
      </c>
      <c r="AI575" s="845">
        <v>0</v>
      </c>
      <c r="AJ575" s="845">
        <v>0</v>
      </c>
      <c r="AK575" s="845">
        <v>0</v>
      </c>
      <c r="AL575" s="661">
        <f>+AK575</f>
        <v>0</v>
      </c>
      <c r="AM575" s="1427">
        <v>0</v>
      </c>
      <c r="AN575" s="845">
        <v>0</v>
      </c>
      <c r="AO575" s="845">
        <v>0</v>
      </c>
      <c r="AP575" s="845">
        <v>0</v>
      </c>
      <c r="AQ575" s="661">
        <f>+AP575</f>
        <v>0</v>
      </c>
      <c r="AR575" s="1427">
        <v>0</v>
      </c>
      <c r="AS575" s="845">
        <v>0</v>
      </c>
      <c r="AT575" s="845">
        <v>0</v>
      </c>
      <c r="AU575" s="845">
        <v>0</v>
      </c>
      <c r="AV575" s="661">
        <f>+AU575</f>
        <v>0</v>
      </c>
      <c r="AW575" s="1427">
        <v>0</v>
      </c>
      <c r="AX575" s="845">
        <v>0</v>
      </c>
      <c r="AY575" s="845">
        <v>0</v>
      </c>
      <c r="AZ575" s="845">
        <v>0</v>
      </c>
      <c r="BA575" s="661">
        <f>+AZ575</f>
        <v>0</v>
      </c>
      <c r="BB575" s="1427">
        <v>0</v>
      </c>
      <c r="BC575" s="845">
        <v>0</v>
      </c>
      <c r="BD575" s="845">
        <v>0</v>
      </c>
      <c r="BE575" s="845">
        <v>0</v>
      </c>
      <c r="BF575" s="661">
        <f>+BE575</f>
        <v>0</v>
      </c>
      <c r="BG575" s="845">
        <v>0</v>
      </c>
      <c r="BH575" s="845">
        <v>0</v>
      </c>
      <c r="BI575" s="845">
        <v>0</v>
      </c>
      <c r="BJ575" s="845">
        <v>0</v>
      </c>
      <c r="BK575" s="661">
        <f>+BJ575</f>
        <v>0</v>
      </c>
      <c r="BL575" s="845">
        <v>0</v>
      </c>
      <c r="BM575" s="845">
        <v>0</v>
      </c>
      <c r="BN575" s="845">
        <v>0</v>
      </c>
      <c r="BO575" s="212"/>
      <c r="BP575" s="661">
        <f>+BO575</f>
        <v>0</v>
      </c>
      <c r="BQ575" s="845">
        <v>0</v>
      </c>
      <c r="BR575" s="223">
        <v>0</v>
      </c>
      <c r="BS575" s="223">
        <v>0</v>
      </c>
      <c r="BT575" s="212">
        <v>0</v>
      </c>
      <c r="BU575" s="661">
        <f>+BT575</f>
        <v>0</v>
      </c>
      <c r="BV575" s="845">
        <v>0</v>
      </c>
      <c r="BW575" s="845">
        <v>0</v>
      </c>
      <c r="BX575" s="845">
        <v>0</v>
      </c>
      <c r="BY575" s="845">
        <v>0</v>
      </c>
      <c r="BZ575" s="661">
        <f t="shared" si="816"/>
        <v>0</v>
      </c>
      <c r="CA575" s="845">
        <v>0</v>
      </c>
      <c r="CB575" s="845">
        <v>0</v>
      </c>
      <c r="CC575" s="845">
        <v>0</v>
      </c>
      <c r="CD575" s="845">
        <v>0</v>
      </c>
      <c r="CE575" s="661">
        <f t="shared" si="812"/>
        <v>0</v>
      </c>
      <c r="CF575" s="845">
        <v>0</v>
      </c>
      <c r="CG575" s="845">
        <v>0</v>
      </c>
      <c r="CH575" s="845">
        <v>0</v>
      </c>
      <c r="CI575" s="845">
        <v>0</v>
      </c>
      <c r="CJ575" s="661">
        <f t="shared" si="813"/>
        <v>0</v>
      </c>
      <c r="CK575" s="2982">
        <v>0</v>
      </c>
      <c r="CL575" s="2982">
        <v>0</v>
      </c>
      <c r="CM575" s="2982">
        <v>0</v>
      </c>
      <c r="CN575" s="2982">
        <v>0</v>
      </c>
      <c r="CO575" s="661">
        <f t="shared" si="814"/>
        <v>0</v>
      </c>
      <c r="CP575" s="845">
        <f t="shared" si="811"/>
        <v>0</v>
      </c>
      <c r="CQ575" s="845">
        <f t="shared" si="811"/>
        <v>0</v>
      </c>
      <c r="CR575" s="845">
        <f t="shared" si="811"/>
        <v>0</v>
      </c>
      <c r="CS575" s="845">
        <f t="shared" si="811"/>
        <v>0</v>
      </c>
      <c r="CT575" s="661">
        <f t="shared" si="815"/>
        <v>0</v>
      </c>
      <c r="CU575" s="968">
        <f>+CT575</f>
        <v>0</v>
      </c>
      <c r="CV575" s="968">
        <f>+CU575</f>
        <v>0</v>
      </c>
      <c r="CW575" s="374"/>
      <c r="CX575" s="374"/>
      <c r="CY575" s="374"/>
      <c r="CZ575" s="374"/>
      <c r="DA575" s="374"/>
      <c r="DB575" s="217"/>
    </row>
    <row r="576" spans="1:256" x14ac:dyDescent="0.2">
      <c r="A576" s="1266" t="s">
        <v>510</v>
      </c>
      <c r="B576" s="651"/>
      <c r="C576" s="236"/>
      <c r="D576" s="207"/>
      <c r="E576" s="207"/>
      <c r="F576" s="207"/>
      <c r="G576" s="234"/>
      <c r="H576" s="848">
        <v>152</v>
      </c>
      <c r="I576" s="1427">
        <v>152</v>
      </c>
      <c r="J576" s="845">
        <v>152</v>
      </c>
      <c r="K576" s="845">
        <v>152</v>
      </c>
      <c r="L576" s="845">
        <v>152</v>
      </c>
      <c r="M576" s="661">
        <f>L576</f>
        <v>152</v>
      </c>
      <c r="N576" s="1427">
        <v>152</v>
      </c>
      <c r="O576" s="845">
        <v>152</v>
      </c>
      <c r="P576" s="845">
        <v>152</v>
      </c>
      <c r="Q576" s="845">
        <v>200</v>
      </c>
      <c r="R576" s="661">
        <f>Q576</f>
        <v>200</v>
      </c>
      <c r="S576" s="1427">
        <v>200</v>
      </c>
      <c r="T576" s="845">
        <v>200</v>
      </c>
      <c r="U576" s="845">
        <v>200</v>
      </c>
      <c r="V576" s="845">
        <v>200</v>
      </c>
      <c r="W576" s="661">
        <f>V576</f>
        <v>200</v>
      </c>
      <c r="X576" s="1427">
        <v>502</v>
      </c>
      <c r="Y576" s="845">
        <v>502</v>
      </c>
      <c r="Z576" s="845">
        <v>502</v>
      </c>
      <c r="AA576" s="845">
        <v>502</v>
      </c>
      <c r="AB576" s="661">
        <f>+AA576</f>
        <v>502</v>
      </c>
      <c r="AC576" s="1427">
        <v>502</v>
      </c>
      <c r="AD576" s="845">
        <v>502</v>
      </c>
      <c r="AE576" s="845">
        <v>478</v>
      </c>
      <c r="AF576" s="845">
        <v>454</v>
      </c>
      <c r="AG576" s="661">
        <f>+AF576</f>
        <v>454</v>
      </c>
      <c r="AH576" s="1427">
        <v>454</v>
      </c>
      <c r="AI576" s="845">
        <v>454</v>
      </c>
      <c r="AJ576" s="845">
        <v>454</v>
      </c>
      <c r="AK576" s="845">
        <v>454</v>
      </c>
      <c r="AL576" s="661">
        <f>+AK576</f>
        <v>454</v>
      </c>
      <c r="AM576" s="1427">
        <v>454</v>
      </c>
      <c r="AN576" s="845">
        <v>704</v>
      </c>
      <c r="AO576" s="845">
        <v>704</v>
      </c>
      <c r="AP576" s="845">
        <v>704</v>
      </c>
      <c r="AQ576" s="661">
        <f>+AP576</f>
        <v>704</v>
      </c>
      <c r="AR576" s="1427">
        <f>180+552</f>
        <v>732</v>
      </c>
      <c r="AS576" s="845">
        <f>180+552</f>
        <v>732</v>
      </c>
      <c r="AT576" s="845">
        <f>180+552</f>
        <v>732</v>
      </c>
      <c r="AU576" s="845">
        <f>180+552</f>
        <v>732</v>
      </c>
      <c r="AV576" s="661">
        <f>+AU576</f>
        <v>732</v>
      </c>
      <c r="AW576" s="1427">
        <f>180+552</f>
        <v>732</v>
      </c>
      <c r="AX576" s="845">
        <f>180+552</f>
        <v>732</v>
      </c>
      <c r="AY576" s="845">
        <f>180+552</f>
        <v>732</v>
      </c>
      <c r="AZ576" s="845">
        <f>180+552</f>
        <v>732</v>
      </c>
      <c r="BA576" s="661">
        <f>+AZ576</f>
        <v>732</v>
      </c>
      <c r="BB576" s="1427">
        <f>180+552</f>
        <v>732</v>
      </c>
      <c r="BC576" s="845">
        <f>180+552</f>
        <v>732</v>
      </c>
      <c r="BD576" s="845">
        <f>180+552</f>
        <v>732</v>
      </c>
      <c r="BE576" s="845">
        <f>180+552</f>
        <v>732</v>
      </c>
      <c r="BF576" s="661">
        <f>+BE576</f>
        <v>732</v>
      </c>
      <c r="BG576" s="845">
        <f>180+552</f>
        <v>732</v>
      </c>
      <c r="BH576" s="845">
        <f>180+552</f>
        <v>732</v>
      </c>
      <c r="BI576" s="845">
        <f>180+552</f>
        <v>732</v>
      </c>
      <c r="BJ576" s="845">
        <f>180+552</f>
        <v>732</v>
      </c>
      <c r="BK576" s="661">
        <f>+BJ576</f>
        <v>732</v>
      </c>
      <c r="BL576" s="845">
        <f>180+552</f>
        <v>732</v>
      </c>
      <c r="BM576" s="845">
        <f>180+552</f>
        <v>732</v>
      </c>
      <c r="BN576" s="845">
        <f>180+552</f>
        <v>732</v>
      </c>
      <c r="BO576" s="1626">
        <f>180+552</f>
        <v>732</v>
      </c>
      <c r="BP576" s="661">
        <f>+BO576</f>
        <v>732</v>
      </c>
      <c r="BQ576" s="1626">
        <f>180+552</f>
        <v>732</v>
      </c>
      <c r="BR576" s="1626">
        <f>180+552</f>
        <v>732</v>
      </c>
      <c r="BS576" s="1626">
        <f>180+552</f>
        <v>732</v>
      </c>
      <c r="BT576" s="1626">
        <f>180+552</f>
        <v>732</v>
      </c>
      <c r="BU576" s="661">
        <f>+BT576</f>
        <v>732</v>
      </c>
      <c r="BV576" s="1626">
        <f>180+552</f>
        <v>732</v>
      </c>
      <c r="BW576" s="1626">
        <f>180+552</f>
        <v>732</v>
      </c>
      <c r="BX576" s="1626">
        <f>180+552</f>
        <v>732</v>
      </c>
      <c r="BY576" s="1626">
        <f>180+552</f>
        <v>732</v>
      </c>
      <c r="BZ576" s="661">
        <f t="shared" si="816"/>
        <v>732</v>
      </c>
      <c r="CA576" s="1626">
        <v>732</v>
      </c>
      <c r="CB576" s="1626">
        <f>180+552</f>
        <v>732</v>
      </c>
      <c r="CC576" s="1626">
        <f>180+552</f>
        <v>732</v>
      </c>
      <c r="CD576" s="1626">
        <v>552</v>
      </c>
      <c r="CE576" s="661">
        <f t="shared" si="812"/>
        <v>552</v>
      </c>
      <c r="CF576" s="1626">
        <v>552</v>
      </c>
      <c r="CG576" s="1626">
        <v>552</v>
      </c>
      <c r="CH576" s="1626">
        <v>553</v>
      </c>
      <c r="CI576" s="1626">
        <v>553</v>
      </c>
      <c r="CJ576" s="661">
        <f t="shared" si="813"/>
        <v>553</v>
      </c>
      <c r="CK576" s="3503">
        <v>553</v>
      </c>
      <c r="CL576" s="3503">
        <v>553</v>
      </c>
      <c r="CM576" s="3503">
        <v>553</v>
      </c>
      <c r="CN576" s="3503">
        <v>553</v>
      </c>
      <c r="CO576" s="661">
        <f t="shared" si="814"/>
        <v>553</v>
      </c>
      <c r="CP576" s="212">
        <f t="shared" si="811"/>
        <v>553</v>
      </c>
      <c r="CQ576" s="212">
        <f t="shared" si="811"/>
        <v>553</v>
      </c>
      <c r="CR576" s="212">
        <f t="shared" si="811"/>
        <v>553</v>
      </c>
      <c r="CS576" s="212">
        <f t="shared" si="811"/>
        <v>553</v>
      </c>
      <c r="CT576" s="661">
        <f t="shared" si="815"/>
        <v>553</v>
      </c>
      <c r="CU576" s="194">
        <f t="shared" si="817"/>
        <v>553</v>
      </c>
      <c r="CV576" s="194">
        <f t="shared" si="817"/>
        <v>553</v>
      </c>
      <c r="CW576" s="374"/>
      <c r="CX576" s="374"/>
      <c r="CY576" s="374"/>
      <c r="CZ576" s="374"/>
      <c r="DA576" s="374"/>
      <c r="DB576" s="217"/>
    </row>
    <row r="577" spans="1:106" x14ac:dyDescent="0.2">
      <c r="A577" s="1264" t="s">
        <v>511</v>
      </c>
      <c r="B577" s="651"/>
      <c r="C577" s="236"/>
      <c r="D577" s="207"/>
      <c r="E577" s="207"/>
      <c r="F577" s="207"/>
      <c r="G577" s="234"/>
      <c r="H577" s="848">
        <v>0</v>
      </c>
      <c r="I577" s="1427">
        <v>0</v>
      </c>
      <c r="J577" s="845">
        <v>0</v>
      </c>
      <c r="K577" s="845">
        <v>0</v>
      </c>
      <c r="L577" s="845">
        <v>0</v>
      </c>
      <c r="M577" s="661">
        <v>0</v>
      </c>
      <c r="N577" s="1427">
        <v>0</v>
      </c>
      <c r="O577" s="845">
        <v>0</v>
      </c>
      <c r="P577" s="845">
        <v>0</v>
      </c>
      <c r="Q577" s="845">
        <v>0</v>
      </c>
      <c r="R577" s="661">
        <v>0</v>
      </c>
      <c r="S577" s="1427">
        <v>0</v>
      </c>
      <c r="T577" s="845">
        <v>0</v>
      </c>
      <c r="U577" s="845">
        <v>0</v>
      </c>
      <c r="V577" s="845">
        <v>0</v>
      </c>
      <c r="W577" s="661">
        <f t="shared" si="818"/>
        <v>0</v>
      </c>
      <c r="X577" s="1427">
        <v>0</v>
      </c>
      <c r="Y577" s="845">
        <v>0</v>
      </c>
      <c r="Z577" s="845">
        <v>0</v>
      </c>
      <c r="AA577" s="845">
        <v>0</v>
      </c>
      <c r="AB577" s="661">
        <f t="shared" si="819"/>
        <v>0</v>
      </c>
      <c r="AC577" s="1427">
        <v>0</v>
      </c>
      <c r="AD577" s="845">
        <v>0</v>
      </c>
      <c r="AE577" s="845">
        <v>0</v>
      </c>
      <c r="AF577" s="845">
        <v>0</v>
      </c>
      <c r="AG577" s="661">
        <f t="shared" si="820"/>
        <v>0</v>
      </c>
      <c r="AH577" s="1427">
        <v>0</v>
      </c>
      <c r="AI577" s="845">
        <v>0</v>
      </c>
      <c r="AJ577" s="845">
        <v>0</v>
      </c>
      <c r="AK577" s="845">
        <v>0</v>
      </c>
      <c r="AL577" s="661">
        <f t="shared" si="821"/>
        <v>0</v>
      </c>
      <c r="AM577" s="1427">
        <v>0</v>
      </c>
      <c r="AN577" s="845">
        <v>0</v>
      </c>
      <c r="AO577" s="845">
        <v>0</v>
      </c>
      <c r="AP577" s="845">
        <v>0</v>
      </c>
      <c r="AQ577" s="661">
        <f t="shared" si="822"/>
        <v>0</v>
      </c>
      <c r="AR577" s="1427">
        <v>0</v>
      </c>
      <c r="AS577" s="845">
        <v>0</v>
      </c>
      <c r="AT577" s="845">
        <v>0</v>
      </c>
      <c r="AU577" s="845">
        <v>0</v>
      </c>
      <c r="AV577" s="661">
        <f t="shared" si="823"/>
        <v>0</v>
      </c>
      <c r="AW577" s="1427">
        <v>0</v>
      </c>
      <c r="AX577" s="845">
        <v>0</v>
      </c>
      <c r="AY577" s="845">
        <v>0</v>
      </c>
      <c r="AZ577" s="845">
        <v>0</v>
      </c>
      <c r="BA577" s="661">
        <f t="shared" si="824"/>
        <v>0</v>
      </c>
      <c r="BB577" s="1427">
        <v>0</v>
      </c>
      <c r="BC577" s="845">
        <v>0</v>
      </c>
      <c r="BD577" s="845">
        <v>0</v>
      </c>
      <c r="BE577" s="845">
        <v>0</v>
      </c>
      <c r="BF577" s="661">
        <f t="shared" si="825"/>
        <v>0</v>
      </c>
      <c r="BG577" s="845">
        <v>0</v>
      </c>
      <c r="BH577" s="845">
        <v>0</v>
      </c>
      <c r="BI577" s="845">
        <v>0</v>
      </c>
      <c r="BJ577" s="845">
        <v>0</v>
      </c>
      <c r="BK577" s="661">
        <f t="shared" si="826"/>
        <v>0</v>
      </c>
      <c r="BL577" s="845">
        <v>0</v>
      </c>
      <c r="BM577" s="845">
        <v>0</v>
      </c>
      <c r="BN577" s="845">
        <v>0</v>
      </c>
      <c r="BO577" s="845">
        <v>0</v>
      </c>
      <c r="BP577" s="661">
        <f t="shared" si="827"/>
        <v>0</v>
      </c>
      <c r="BQ577" s="845">
        <v>0</v>
      </c>
      <c r="BR577" s="223">
        <v>0</v>
      </c>
      <c r="BS577" s="223">
        <v>0</v>
      </c>
      <c r="BT577" s="845">
        <v>0</v>
      </c>
      <c r="BU577" s="661">
        <f t="shared" si="828"/>
        <v>0</v>
      </c>
      <c r="BV577" s="845">
        <v>0</v>
      </c>
      <c r="BW577" s="845">
        <v>0</v>
      </c>
      <c r="BX577" s="845">
        <v>0</v>
      </c>
      <c r="BY577" s="845">
        <v>0</v>
      </c>
      <c r="BZ577" s="2293">
        <f t="shared" si="816"/>
        <v>0</v>
      </c>
      <c r="CA577" s="845">
        <v>0</v>
      </c>
      <c r="CB577" s="845">
        <v>0</v>
      </c>
      <c r="CC577" s="845">
        <v>0</v>
      </c>
      <c r="CD577" s="845">
        <v>0</v>
      </c>
      <c r="CE577" s="2293">
        <f t="shared" si="812"/>
        <v>0</v>
      </c>
      <c r="CF577" s="845">
        <v>0</v>
      </c>
      <c r="CG577" s="845">
        <v>0</v>
      </c>
      <c r="CH577" s="845">
        <v>0</v>
      </c>
      <c r="CI577" s="845">
        <v>0</v>
      </c>
      <c r="CJ577" s="2293">
        <f t="shared" si="813"/>
        <v>0</v>
      </c>
      <c r="CK577" s="2982">
        <v>0</v>
      </c>
      <c r="CL577" s="2982">
        <v>0</v>
      </c>
      <c r="CM577" s="2982">
        <v>0</v>
      </c>
      <c r="CN577" s="2982">
        <v>0</v>
      </c>
      <c r="CO577" s="2293">
        <f t="shared" si="814"/>
        <v>0</v>
      </c>
      <c r="CP577" s="845">
        <f t="shared" si="811"/>
        <v>0</v>
      </c>
      <c r="CQ577" s="845">
        <f t="shared" si="811"/>
        <v>0</v>
      </c>
      <c r="CR577" s="845">
        <f t="shared" si="811"/>
        <v>0</v>
      </c>
      <c r="CS577" s="845">
        <f t="shared" si="811"/>
        <v>0</v>
      </c>
      <c r="CT577" s="2293">
        <f t="shared" si="815"/>
        <v>0</v>
      </c>
      <c r="CU577" s="2293">
        <f t="shared" ref="CU577:CV579" si="829">+CT577</f>
        <v>0</v>
      </c>
      <c r="CV577" s="2293">
        <f t="shared" si="829"/>
        <v>0</v>
      </c>
      <c r="CW577" s="374"/>
      <c r="CX577" s="374"/>
      <c r="CY577" s="374"/>
      <c r="CZ577" s="374"/>
      <c r="DA577" s="374"/>
      <c r="DB577" s="217"/>
    </row>
    <row r="578" spans="1:106" x14ac:dyDescent="0.2">
      <c r="A578" s="1264" t="s">
        <v>383</v>
      </c>
      <c r="B578" s="651"/>
      <c r="C578" s="236"/>
      <c r="D578" s="207"/>
      <c r="E578" s="207"/>
      <c r="F578" s="207"/>
      <c r="G578" s="234"/>
      <c r="H578" s="848">
        <v>0</v>
      </c>
      <c r="I578" s="1427">
        <v>0</v>
      </c>
      <c r="J578" s="845">
        <v>0</v>
      </c>
      <c r="K578" s="845">
        <v>0</v>
      </c>
      <c r="L578" s="845">
        <v>0</v>
      </c>
      <c r="M578" s="661">
        <v>0</v>
      </c>
      <c r="N578" s="1427">
        <v>0</v>
      </c>
      <c r="O578" s="845">
        <v>0</v>
      </c>
      <c r="P578" s="845">
        <v>0</v>
      </c>
      <c r="Q578" s="845">
        <v>0</v>
      </c>
      <c r="R578" s="661">
        <v>0</v>
      </c>
      <c r="S578" s="1427">
        <v>0</v>
      </c>
      <c r="T578" s="845">
        <v>0</v>
      </c>
      <c r="U578" s="845">
        <v>0</v>
      </c>
      <c r="V578" s="845">
        <v>0</v>
      </c>
      <c r="W578" s="661">
        <f t="shared" si="818"/>
        <v>0</v>
      </c>
      <c r="X578" s="1427">
        <v>0</v>
      </c>
      <c r="Y578" s="845">
        <v>0</v>
      </c>
      <c r="Z578" s="845">
        <v>0</v>
      </c>
      <c r="AA578" s="845">
        <v>0</v>
      </c>
      <c r="AB578" s="661">
        <f t="shared" si="819"/>
        <v>0</v>
      </c>
      <c r="AC578" s="1427">
        <v>0</v>
      </c>
      <c r="AD578" s="845">
        <v>0</v>
      </c>
      <c r="AE578" s="845">
        <v>0</v>
      </c>
      <c r="AF578" s="845">
        <v>0</v>
      </c>
      <c r="AG578" s="661">
        <f t="shared" si="820"/>
        <v>0</v>
      </c>
      <c r="AH578" s="1427">
        <v>0</v>
      </c>
      <c r="AI578" s="845">
        <v>0</v>
      </c>
      <c r="AJ578" s="845">
        <v>0</v>
      </c>
      <c r="AK578" s="845">
        <v>0</v>
      </c>
      <c r="AL578" s="661">
        <f t="shared" si="821"/>
        <v>0</v>
      </c>
      <c r="AM578" s="1427">
        <v>0</v>
      </c>
      <c r="AN578" s="845">
        <v>0</v>
      </c>
      <c r="AO578" s="845">
        <v>0</v>
      </c>
      <c r="AP578" s="845">
        <v>0</v>
      </c>
      <c r="AQ578" s="661">
        <f t="shared" si="822"/>
        <v>0</v>
      </c>
      <c r="AR578" s="1427">
        <v>0</v>
      </c>
      <c r="AS578" s="845">
        <v>0</v>
      </c>
      <c r="AT578" s="845">
        <v>0</v>
      </c>
      <c r="AU578" s="845">
        <v>0</v>
      </c>
      <c r="AV578" s="661">
        <f t="shared" si="823"/>
        <v>0</v>
      </c>
      <c r="AW578" s="1427">
        <v>0</v>
      </c>
      <c r="AX578" s="845">
        <v>0</v>
      </c>
      <c r="AY578" s="845">
        <v>0</v>
      </c>
      <c r="AZ578" s="845">
        <v>0</v>
      </c>
      <c r="BA578" s="661">
        <f t="shared" si="824"/>
        <v>0</v>
      </c>
      <c r="BB578" s="1427">
        <v>0</v>
      </c>
      <c r="BC578" s="845">
        <v>0</v>
      </c>
      <c r="BD578" s="845">
        <v>0</v>
      </c>
      <c r="BE578" s="845">
        <v>0</v>
      </c>
      <c r="BF578" s="661">
        <f t="shared" si="825"/>
        <v>0</v>
      </c>
      <c r="BG578" s="845">
        <v>0</v>
      </c>
      <c r="BH578" s="845">
        <v>0</v>
      </c>
      <c r="BI578" s="845">
        <v>0</v>
      </c>
      <c r="BJ578" s="845">
        <v>0</v>
      </c>
      <c r="BK578" s="661">
        <f t="shared" si="826"/>
        <v>0</v>
      </c>
      <c r="BL578" s="845">
        <v>0</v>
      </c>
      <c r="BM578" s="845">
        <v>0</v>
      </c>
      <c r="BN578" s="845">
        <v>0</v>
      </c>
      <c r="BO578" s="845">
        <v>0</v>
      </c>
      <c r="BP578" s="661">
        <f t="shared" si="827"/>
        <v>0</v>
      </c>
      <c r="BQ578" s="845">
        <v>0</v>
      </c>
      <c r="BR578" s="223">
        <v>0</v>
      </c>
      <c r="BS578" s="223">
        <v>173</v>
      </c>
      <c r="BT578" s="845">
        <v>173</v>
      </c>
      <c r="BU578" s="661">
        <f t="shared" si="828"/>
        <v>173</v>
      </c>
      <c r="BV578" s="845">
        <v>0</v>
      </c>
      <c r="BW578" s="845">
        <v>0</v>
      </c>
      <c r="BX578" s="845">
        <v>0</v>
      </c>
      <c r="BY578" s="845">
        <v>0</v>
      </c>
      <c r="BZ578" s="2293">
        <f t="shared" si="816"/>
        <v>0</v>
      </c>
      <c r="CA578" s="845">
        <v>0</v>
      </c>
      <c r="CB578" s="845">
        <v>0</v>
      </c>
      <c r="CC578" s="845">
        <v>0</v>
      </c>
      <c r="CD578" s="845">
        <v>0</v>
      </c>
      <c r="CE578" s="2293">
        <f t="shared" si="812"/>
        <v>0</v>
      </c>
      <c r="CF578" s="845">
        <v>0</v>
      </c>
      <c r="CG578" s="845">
        <v>0</v>
      </c>
      <c r="CH578" s="845">
        <v>0</v>
      </c>
      <c r="CI578" s="845">
        <v>0</v>
      </c>
      <c r="CJ578" s="2293">
        <f t="shared" si="813"/>
        <v>0</v>
      </c>
      <c r="CK578" s="2982">
        <v>0</v>
      </c>
      <c r="CL578" s="2982">
        <v>0</v>
      </c>
      <c r="CM578" s="2982">
        <v>0</v>
      </c>
      <c r="CN578" s="2982">
        <v>0</v>
      </c>
      <c r="CO578" s="2293">
        <f t="shared" si="814"/>
        <v>0</v>
      </c>
      <c r="CP578" s="845">
        <f t="shared" si="811"/>
        <v>0</v>
      </c>
      <c r="CQ578" s="845">
        <f t="shared" si="811"/>
        <v>0</v>
      </c>
      <c r="CR578" s="845">
        <f t="shared" si="811"/>
        <v>0</v>
      </c>
      <c r="CS578" s="845">
        <f t="shared" si="811"/>
        <v>0</v>
      </c>
      <c r="CT578" s="2293">
        <f t="shared" si="815"/>
        <v>0</v>
      </c>
      <c r="CU578" s="2293">
        <f t="shared" si="829"/>
        <v>0</v>
      </c>
      <c r="CV578" s="2293">
        <f t="shared" si="829"/>
        <v>0</v>
      </c>
      <c r="CW578" s="374"/>
      <c r="CX578" s="374"/>
      <c r="CY578" s="374"/>
      <c r="CZ578" s="374"/>
      <c r="DA578" s="374"/>
      <c r="DB578" s="217"/>
    </row>
    <row r="579" spans="1:106" x14ac:dyDescent="0.2">
      <c r="A579" s="1264" t="s">
        <v>656</v>
      </c>
      <c r="B579" s="651"/>
      <c r="C579" s="236"/>
      <c r="D579" s="207"/>
      <c r="E579" s="207"/>
      <c r="F579" s="207"/>
      <c r="G579" s="234"/>
      <c r="H579" s="848">
        <v>0</v>
      </c>
      <c r="I579" s="1427">
        <v>0</v>
      </c>
      <c r="J579" s="845">
        <v>0</v>
      </c>
      <c r="K579" s="845">
        <v>0</v>
      </c>
      <c r="L579" s="845">
        <v>0</v>
      </c>
      <c r="M579" s="661">
        <v>0</v>
      </c>
      <c r="N579" s="1427">
        <v>0</v>
      </c>
      <c r="O579" s="845">
        <v>0</v>
      </c>
      <c r="P579" s="845">
        <v>0</v>
      </c>
      <c r="Q579" s="845">
        <v>0</v>
      </c>
      <c r="R579" s="661">
        <v>0</v>
      </c>
      <c r="S579" s="1427">
        <v>0</v>
      </c>
      <c r="T579" s="845">
        <v>0</v>
      </c>
      <c r="U579" s="845">
        <v>0</v>
      </c>
      <c r="V579" s="845">
        <v>0</v>
      </c>
      <c r="W579" s="661">
        <f t="shared" si="818"/>
        <v>0</v>
      </c>
      <c r="X579" s="1427">
        <v>0</v>
      </c>
      <c r="Y579" s="845">
        <v>0</v>
      </c>
      <c r="Z579" s="845">
        <v>0</v>
      </c>
      <c r="AA579" s="845">
        <v>0</v>
      </c>
      <c r="AB579" s="661">
        <f t="shared" si="819"/>
        <v>0</v>
      </c>
      <c r="AC579" s="1427">
        <v>0</v>
      </c>
      <c r="AD579" s="845">
        <v>0</v>
      </c>
      <c r="AE579" s="845">
        <v>0</v>
      </c>
      <c r="AF579" s="845">
        <v>0</v>
      </c>
      <c r="AG579" s="661">
        <f t="shared" si="820"/>
        <v>0</v>
      </c>
      <c r="AH579" s="1427">
        <v>0</v>
      </c>
      <c r="AI579" s="845">
        <v>0</v>
      </c>
      <c r="AJ579" s="845">
        <v>0</v>
      </c>
      <c r="AK579" s="845">
        <v>0</v>
      </c>
      <c r="AL579" s="661">
        <f t="shared" si="821"/>
        <v>0</v>
      </c>
      <c r="AM579" s="1427">
        <v>0</v>
      </c>
      <c r="AN579" s="845">
        <v>0</v>
      </c>
      <c r="AO579" s="845">
        <v>0</v>
      </c>
      <c r="AP579" s="845">
        <v>0</v>
      </c>
      <c r="AQ579" s="661">
        <f t="shared" si="822"/>
        <v>0</v>
      </c>
      <c r="AR579" s="1427">
        <v>0</v>
      </c>
      <c r="AS579" s="845">
        <v>0</v>
      </c>
      <c r="AT579" s="845">
        <v>0</v>
      </c>
      <c r="AU579" s="845">
        <v>0</v>
      </c>
      <c r="AV579" s="661">
        <f t="shared" si="823"/>
        <v>0</v>
      </c>
      <c r="AW579" s="1427">
        <v>0</v>
      </c>
      <c r="AX579" s="845">
        <v>0</v>
      </c>
      <c r="AY579" s="845">
        <v>0</v>
      </c>
      <c r="AZ579" s="845">
        <v>0</v>
      </c>
      <c r="BA579" s="661">
        <f t="shared" si="824"/>
        <v>0</v>
      </c>
      <c r="BB579" s="1427">
        <v>0</v>
      </c>
      <c r="BC579" s="845">
        <v>0</v>
      </c>
      <c r="BD579" s="845">
        <v>0</v>
      </c>
      <c r="BE579" s="845">
        <v>0</v>
      </c>
      <c r="BF579" s="661">
        <f t="shared" si="825"/>
        <v>0</v>
      </c>
      <c r="BG579" s="845">
        <v>0</v>
      </c>
      <c r="BH579" s="845">
        <v>0</v>
      </c>
      <c r="BI579" s="845">
        <v>0</v>
      </c>
      <c r="BJ579" s="845">
        <v>0</v>
      </c>
      <c r="BK579" s="661">
        <f t="shared" si="826"/>
        <v>0</v>
      </c>
      <c r="BL579" s="845">
        <v>0</v>
      </c>
      <c r="BM579" s="845">
        <v>0</v>
      </c>
      <c r="BN579" s="845">
        <v>0</v>
      </c>
      <c r="BO579" s="845">
        <v>0</v>
      </c>
      <c r="BP579" s="661">
        <f t="shared" si="827"/>
        <v>0</v>
      </c>
      <c r="BQ579" s="845">
        <v>0</v>
      </c>
      <c r="BR579" s="223">
        <v>0</v>
      </c>
      <c r="BS579" s="223">
        <v>0</v>
      </c>
      <c r="BT579" s="845">
        <v>0</v>
      </c>
      <c r="BU579" s="661">
        <f t="shared" si="828"/>
        <v>0</v>
      </c>
      <c r="BV579" s="845">
        <v>0</v>
      </c>
      <c r="BW579" s="845">
        <v>0</v>
      </c>
      <c r="BX579" s="845">
        <v>0</v>
      </c>
      <c r="BY579" s="845">
        <v>0</v>
      </c>
      <c r="BZ579" s="2293">
        <f t="shared" si="816"/>
        <v>0</v>
      </c>
      <c r="CA579" s="845">
        <v>0</v>
      </c>
      <c r="CB579" s="845">
        <v>0</v>
      </c>
      <c r="CC579" s="845">
        <v>0</v>
      </c>
      <c r="CD579" s="845">
        <v>0</v>
      </c>
      <c r="CE579" s="2293">
        <f t="shared" si="812"/>
        <v>0</v>
      </c>
      <c r="CF579" s="845">
        <v>0</v>
      </c>
      <c r="CG579" s="845">
        <v>0</v>
      </c>
      <c r="CH579" s="845">
        <v>0</v>
      </c>
      <c r="CI579" s="845">
        <v>0</v>
      </c>
      <c r="CJ579" s="2293">
        <f t="shared" si="813"/>
        <v>0</v>
      </c>
      <c r="CK579" s="2982">
        <v>0</v>
      </c>
      <c r="CL579" s="2982">
        <v>0</v>
      </c>
      <c r="CM579" s="2982">
        <v>0</v>
      </c>
      <c r="CN579" s="2982">
        <v>0</v>
      </c>
      <c r="CO579" s="2293">
        <f t="shared" si="814"/>
        <v>0</v>
      </c>
      <c r="CP579" s="845">
        <f t="shared" si="811"/>
        <v>0</v>
      </c>
      <c r="CQ579" s="845">
        <f t="shared" si="811"/>
        <v>0</v>
      </c>
      <c r="CR579" s="845">
        <f t="shared" si="811"/>
        <v>0</v>
      </c>
      <c r="CS579" s="845">
        <f t="shared" si="811"/>
        <v>0</v>
      </c>
      <c r="CT579" s="2293">
        <f t="shared" si="815"/>
        <v>0</v>
      </c>
      <c r="CU579" s="2293">
        <f t="shared" si="829"/>
        <v>0</v>
      </c>
      <c r="CV579" s="2293">
        <f t="shared" si="829"/>
        <v>0</v>
      </c>
      <c r="CW579" s="374"/>
      <c r="CX579" s="374"/>
      <c r="CY579" s="374"/>
      <c r="CZ579" s="374"/>
      <c r="DA579" s="374"/>
      <c r="DB579" s="217"/>
    </row>
    <row r="580" spans="1:106" x14ac:dyDescent="0.2">
      <c r="A580" s="1264" t="s">
        <v>1386</v>
      </c>
      <c r="B580" s="651"/>
      <c r="C580" s="236"/>
      <c r="D580" s="207"/>
      <c r="E580" s="207"/>
      <c r="F580" s="207"/>
      <c r="G580" s="234"/>
      <c r="H580" s="848">
        <v>0</v>
      </c>
      <c r="I580" s="1427">
        <v>0</v>
      </c>
      <c r="J580" s="845">
        <v>0</v>
      </c>
      <c r="K580" s="845">
        <v>0</v>
      </c>
      <c r="L580" s="845">
        <v>0</v>
      </c>
      <c r="M580" s="661">
        <v>0</v>
      </c>
      <c r="N580" s="1427">
        <v>0</v>
      </c>
      <c r="O580" s="845">
        <v>0</v>
      </c>
      <c r="P580" s="845">
        <v>0</v>
      </c>
      <c r="Q580" s="845">
        <v>0</v>
      </c>
      <c r="R580" s="661">
        <v>0</v>
      </c>
      <c r="S580" s="1427">
        <v>0</v>
      </c>
      <c r="T580" s="845">
        <v>0</v>
      </c>
      <c r="U580" s="845">
        <v>0</v>
      </c>
      <c r="V580" s="845">
        <v>0</v>
      </c>
      <c r="W580" s="661">
        <f>V580</f>
        <v>0</v>
      </c>
      <c r="X580" s="1427">
        <v>0</v>
      </c>
      <c r="Y580" s="845">
        <v>0</v>
      </c>
      <c r="Z580" s="845">
        <v>0</v>
      </c>
      <c r="AA580" s="845">
        <v>0</v>
      </c>
      <c r="AB580" s="661">
        <f>+AA580</f>
        <v>0</v>
      </c>
      <c r="AC580" s="1427">
        <v>0</v>
      </c>
      <c r="AD580" s="845">
        <v>0</v>
      </c>
      <c r="AE580" s="845">
        <v>221</v>
      </c>
      <c r="AF580" s="845">
        <v>221</v>
      </c>
      <c r="AG580" s="661">
        <f>+AF580</f>
        <v>221</v>
      </c>
      <c r="AH580" s="1427">
        <v>221</v>
      </c>
      <c r="AI580" s="845">
        <v>0</v>
      </c>
      <c r="AJ580" s="845">
        <v>0</v>
      </c>
      <c r="AK580" s="845">
        <v>0</v>
      </c>
      <c r="AL580" s="661">
        <f>+AK580</f>
        <v>0</v>
      </c>
      <c r="AM580" s="1427">
        <v>0</v>
      </c>
      <c r="AN580" s="845">
        <v>0</v>
      </c>
      <c r="AO580" s="845">
        <v>0</v>
      </c>
      <c r="AP580" s="845">
        <v>0</v>
      </c>
      <c r="AQ580" s="661">
        <f>+AP580</f>
        <v>0</v>
      </c>
      <c r="AR580" s="1427">
        <v>0</v>
      </c>
      <c r="AS580" s="845">
        <v>0</v>
      </c>
      <c r="AT580" s="845">
        <v>0</v>
      </c>
      <c r="AU580" s="845">
        <v>0</v>
      </c>
      <c r="AV580" s="661">
        <f>+AU580</f>
        <v>0</v>
      </c>
      <c r="AW580" s="1427">
        <v>404</v>
      </c>
      <c r="AX580" s="845">
        <v>741</v>
      </c>
      <c r="AY580" s="845">
        <v>741</v>
      </c>
      <c r="AZ580" s="845">
        <v>741</v>
      </c>
      <c r="BA580" s="661">
        <f>+AZ580</f>
        <v>741</v>
      </c>
      <c r="BB580" s="1427">
        <v>741</v>
      </c>
      <c r="BC580" s="845">
        <v>741</v>
      </c>
      <c r="BD580" s="845">
        <v>741</v>
      </c>
      <c r="BE580" s="845">
        <f>187+218</f>
        <v>405</v>
      </c>
      <c r="BF580" s="661">
        <f>+BE580</f>
        <v>405</v>
      </c>
      <c r="BG580" s="845">
        <f>356+218</f>
        <v>574</v>
      </c>
      <c r="BH580" s="845">
        <f>356+218</f>
        <v>574</v>
      </c>
      <c r="BI580" s="845">
        <f>356+218</f>
        <v>574</v>
      </c>
      <c r="BJ580" s="845">
        <f>356+218</f>
        <v>574</v>
      </c>
      <c r="BK580" s="661">
        <f>+BJ580</f>
        <v>574</v>
      </c>
      <c r="BL580" s="845">
        <f>356+218</f>
        <v>574</v>
      </c>
      <c r="BM580" s="845">
        <f>356+125</f>
        <v>481</v>
      </c>
      <c r="BN580" s="845">
        <f>356+125</f>
        <v>481</v>
      </c>
      <c r="BO580" s="845">
        <f>356+125</f>
        <v>481</v>
      </c>
      <c r="BP580" s="661">
        <f>+BO580</f>
        <v>481</v>
      </c>
      <c r="BQ580" s="845">
        <f>356+125</f>
        <v>481</v>
      </c>
      <c r="BR580" s="223">
        <v>356</v>
      </c>
      <c r="BS580" s="223">
        <v>550</v>
      </c>
      <c r="BT580" s="845">
        <v>550</v>
      </c>
      <c r="BU580" s="661">
        <f>+BT580</f>
        <v>550</v>
      </c>
      <c r="BV580" s="845">
        <v>550</v>
      </c>
      <c r="BW580" s="845">
        <v>550</v>
      </c>
      <c r="BX580" s="845">
        <v>550</v>
      </c>
      <c r="BY580" s="845">
        <v>550</v>
      </c>
      <c r="BZ580" s="2293">
        <f t="shared" si="816"/>
        <v>550</v>
      </c>
      <c r="CA580" s="845">
        <v>380</v>
      </c>
      <c r="CB580" s="845">
        <v>380</v>
      </c>
      <c r="CC580" s="845">
        <v>380</v>
      </c>
      <c r="CD580" s="845">
        <v>380</v>
      </c>
      <c r="CE580" s="2293">
        <f t="shared" si="812"/>
        <v>380</v>
      </c>
      <c r="CF580" s="845">
        <v>380</v>
      </c>
      <c r="CG580" s="845">
        <v>380</v>
      </c>
      <c r="CH580" s="845">
        <v>644</v>
      </c>
      <c r="CI580" s="845">
        <v>644</v>
      </c>
      <c r="CJ580" s="2293">
        <f t="shared" si="813"/>
        <v>644</v>
      </c>
      <c r="CK580" s="3503">
        <v>644</v>
      </c>
      <c r="CL580" s="3503">
        <v>644</v>
      </c>
      <c r="CM580" s="3503">
        <v>644</v>
      </c>
      <c r="CN580" s="3503">
        <v>645</v>
      </c>
      <c r="CO580" s="2293">
        <f t="shared" si="814"/>
        <v>645</v>
      </c>
      <c r="CP580" s="2631">
        <f t="shared" si="811"/>
        <v>645</v>
      </c>
      <c r="CQ580" s="2631">
        <f t="shared" si="811"/>
        <v>645</v>
      </c>
      <c r="CR580" s="2631">
        <f t="shared" si="811"/>
        <v>645</v>
      </c>
      <c r="CS580" s="2631">
        <f t="shared" si="811"/>
        <v>645</v>
      </c>
      <c r="CT580" s="2293">
        <f t="shared" si="815"/>
        <v>645</v>
      </c>
      <c r="CU580" s="2403">
        <f t="shared" si="817"/>
        <v>645</v>
      </c>
      <c r="CV580" s="2403">
        <f t="shared" si="817"/>
        <v>645</v>
      </c>
      <c r="CW580" s="374"/>
      <c r="CX580" s="374"/>
      <c r="CY580" s="374"/>
      <c r="CZ580" s="374"/>
      <c r="DA580" s="374"/>
      <c r="DB580" s="217"/>
    </row>
    <row r="581" spans="1:106" x14ac:dyDescent="0.2">
      <c r="A581" s="1436" t="s">
        <v>47</v>
      </c>
      <c r="B581" s="651"/>
      <c r="C581" s="236"/>
      <c r="D581" s="234"/>
      <c r="E581" s="234"/>
      <c r="F581" s="234"/>
      <c r="G581" s="234"/>
      <c r="H581" s="848">
        <v>0</v>
      </c>
      <c r="I581" s="1427">
        <v>0</v>
      </c>
      <c r="J581" s="845">
        <v>0</v>
      </c>
      <c r="K581" s="845">
        <v>0</v>
      </c>
      <c r="L581" s="845">
        <v>0</v>
      </c>
      <c r="M581" s="848">
        <v>0</v>
      </c>
      <c r="N581" s="1427">
        <v>0</v>
      </c>
      <c r="O581" s="845">
        <v>0</v>
      </c>
      <c r="P581" s="845">
        <v>0</v>
      </c>
      <c r="Q581" s="845">
        <v>0</v>
      </c>
      <c r="R581" s="848">
        <v>0</v>
      </c>
      <c r="S581" s="1427">
        <v>0</v>
      </c>
      <c r="T581" s="845">
        <v>0</v>
      </c>
      <c r="U581" s="845">
        <v>0</v>
      </c>
      <c r="V581" s="845">
        <v>0</v>
      </c>
      <c r="W581" s="848">
        <v>0</v>
      </c>
      <c r="X581" s="1427">
        <v>0</v>
      </c>
      <c r="Y581" s="845">
        <v>0</v>
      </c>
      <c r="Z581" s="845">
        <v>0</v>
      </c>
      <c r="AA581" s="845">
        <v>0</v>
      </c>
      <c r="AB581" s="848">
        <v>0</v>
      </c>
      <c r="AC581" s="1427">
        <v>0</v>
      </c>
      <c r="AD581" s="845">
        <v>0</v>
      </c>
      <c r="AE581" s="845">
        <v>0</v>
      </c>
      <c r="AF581" s="845">
        <v>0</v>
      </c>
      <c r="AG581" s="848">
        <v>0</v>
      </c>
      <c r="AH581" s="1427">
        <v>0</v>
      </c>
      <c r="AI581" s="845">
        <v>0</v>
      </c>
      <c r="AJ581" s="845">
        <v>0</v>
      </c>
      <c r="AK581" s="845">
        <v>0</v>
      </c>
      <c r="AL581" s="848">
        <v>0</v>
      </c>
      <c r="AM581" s="1427">
        <v>0</v>
      </c>
      <c r="AN581" s="845">
        <v>0</v>
      </c>
      <c r="AO581" s="845">
        <v>0</v>
      </c>
      <c r="AP581" s="845">
        <v>0</v>
      </c>
      <c r="AQ581" s="848">
        <v>0</v>
      </c>
      <c r="AR581" s="1427">
        <v>0</v>
      </c>
      <c r="AS581" s="845">
        <v>0</v>
      </c>
      <c r="AT581" s="845">
        <v>0</v>
      </c>
      <c r="AU581" s="845">
        <v>0</v>
      </c>
      <c r="AV581" s="848">
        <v>0</v>
      </c>
      <c r="AW581" s="1427">
        <v>0</v>
      </c>
      <c r="AX581" s="845">
        <v>0</v>
      </c>
      <c r="AY581" s="845">
        <v>0</v>
      </c>
      <c r="AZ581" s="845">
        <v>0</v>
      </c>
      <c r="BA581" s="848">
        <v>0</v>
      </c>
      <c r="BB581" s="1427">
        <v>0</v>
      </c>
      <c r="BC581" s="845">
        <v>0</v>
      </c>
      <c r="BD581" s="845">
        <v>0</v>
      </c>
      <c r="BE581" s="845">
        <v>0</v>
      </c>
      <c r="BF581" s="848">
        <v>0</v>
      </c>
      <c r="BG581" s="1427">
        <v>0</v>
      </c>
      <c r="BH581" s="845">
        <v>0</v>
      </c>
      <c r="BI581" s="845">
        <v>0</v>
      </c>
      <c r="BJ581" s="845">
        <v>0</v>
      </c>
      <c r="BK581" s="848">
        <v>0</v>
      </c>
      <c r="BL581" s="1427">
        <v>0</v>
      </c>
      <c r="BM581" s="845">
        <v>0</v>
      </c>
      <c r="BN581" s="845">
        <v>0</v>
      </c>
      <c r="BO581" s="845">
        <v>0</v>
      </c>
      <c r="BP581" s="848">
        <v>0</v>
      </c>
      <c r="BQ581" s="1427">
        <v>0</v>
      </c>
      <c r="BR581" s="845">
        <v>0</v>
      </c>
      <c r="BS581" s="845">
        <v>0</v>
      </c>
      <c r="BT581" s="845">
        <v>0</v>
      </c>
      <c r="BU581" s="848">
        <v>0</v>
      </c>
      <c r="BV581" s="1427">
        <v>0</v>
      </c>
      <c r="BW581" s="1537">
        <v>1601</v>
      </c>
      <c r="BX581" s="1537">
        <v>1601</v>
      </c>
      <c r="BY581" s="1537">
        <v>1601</v>
      </c>
      <c r="BZ581" s="2293">
        <f t="shared" si="816"/>
        <v>1601</v>
      </c>
      <c r="CA581" s="845">
        <v>1601</v>
      </c>
      <c r="CB581" s="845">
        <v>1601</v>
      </c>
      <c r="CC581" s="845">
        <v>1601</v>
      </c>
      <c r="CD581" s="845">
        <v>1601</v>
      </c>
      <c r="CE581" s="2293">
        <f t="shared" si="812"/>
        <v>1601</v>
      </c>
      <c r="CF581" s="845">
        <v>1601</v>
      </c>
      <c r="CG581" s="845">
        <v>1601</v>
      </c>
      <c r="CH581" s="845">
        <v>1601</v>
      </c>
      <c r="CI581" s="845">
        <v>1601</v>
      </c>
      <c r="CJ581" s="2293">
        <f t="shared" si="813"/>
        <v>1601</v>
      </c>
      <c r="CK581" s="3503">
        <v>1421</v>
      </c>
      <c r="CL581" s="3503">
        <v>1415</v>
      </c>
      <c r="CM581" s="3503">
        <v>1415</v>
      </c>
      <c r="CN581" s="3503">
        <v>1415</v>
      </c>
      <c r="CO581" s="2293">
        <f t="shared" si="814"/>
        <v>1415</v>
      </c>
      <c r="CP581" s="2631">
        <f t="shared" si="811"/>
        <v>1415</v>
      </c>
      <c r="CQ581" s="2631">
        <f t="shared" si="811"/>
        <v>1415</v>
      </c>
      <c r="CR581" s="2631">
        <f t="shared" si="811"/>
        <v>1415</v>
      </c>
      <c r="CS581" s="2631">
        <f t="shared" si="811"/>
        <v>1415</v>
      </c>
      <c r="CT581" s="2293">
        <f t="shared" si="815"/>
        <v>1415</v>
      </c>
      <c r="CU581" s="2403">
        <f t="shared" si="817"/>
        <v>1415</v>
      </c>
      <c r="CV581" s="2403">
        <f t="shared" si="817"/>
        <v>1415</v>
      </c>
      <c r="CW581" s="374"/>
      <c r="CX581" s="374"/>
      <c r="CY581" s="374"/>
      <c r="CZ581" s="374"/>
      <c r="DA581" s="374"/>
      <c r="DB581" s="217"/>
    </row>
    <row r="582" spans="1:106" x14ac:dyDescent="0.2">
      <c r="A582" s="1266" t="s">
        <v>1388</v>
      </c>
      <c r="B582" s="651"/>
      <c r="C582" s="236"/>
      <c r="D582" s="207"/>
      <c r="E582" s="207"/>
      <c r="F582" s="207"/>
      <c r="G582" s="234"/>
      <c r="H582" s="848">
        <v>0</v>
      </c>
      <c r="I582" s="1427">
        <v>0</v>
      </c>
      <c r="J582" s="845">
        <v>0</v>
      </c>
      <c r="K582" s="845">
        <v>0</v>
      </c>
      <c r="L582" s="845">
        <v>0</v>
      </c>
      <c r="M582" s="661">
        <v>0</v>
      </c>
      <c r="N582" s="1427">
        <v>0</v>
      </c>
      <c r="O582" s="845">
        <v>0</v>
      </c>
      <c r="P582" s="845">
        <v>0</v>
      </c>
      <c r="Q582" s="845">
        <v>0</v>
      </c>
      <c r="R582" s="661">
        <v>0</v>
      </c>
      <c r="S582" s="1427">
        <v>0</v>
      </c>
      <c r="T582" s="845">
        <v>0</v>
      </c>
      <c r="U582" s="845">
        <v>0</v>
      </c>
      <c r="V582" s="845">
        <v>0</v>
      </c>
      <c r="W582" s="661">
        <f t="shared" si="818"/>
        <v>0</v>
      </c>
      <c r="X582" s="1427">
        <v>0</v>
      </c>
      <c r="Y582" s="845">
        <v>0</v>
      </c>
      <c r="Z582" s="845">
        <v>0</v>
      </c>
      <c r="AA582" s="845">
        <v>0</v>
      </c>
      <c r="AB582" s="661">
        <f t="shared" si="819"/>
        <v>0</v>
      </c>
      <c r="AC582" s="1427">
        <v>0</v>
      </c>
      <c r="AD582" s="845">
        <v>0</v>
      </c>
      <c r="AE582" s="845">
        <v>0</v>
      </c>
      <c r="AF582" s="845">
        <v>0</v>
      </c>
      <c r="AG582" s="661">
        <f t="shared" si="820"/>
        <v>0</v>
      </c>
      <c r="AH582" s="1427">
        <v>0</v>
      </c>
      <c r="AI582" s="845">
        <v>0</v>
      </c>
      <c r="AJ582" s="845">
        <v>0</v>
      </c>
      <c r="AK582" s="845">
        <v>0</v>
      </c>
      <c r="AL582" s="661">
        <f t="shared" si="821"/>
        <v>0</v>
      </c>
      <c r="AM582" s="1427">
        <v>0</v>
      </c>
      <c r="AN582" s="845">
        <v>0</v>
      </c>
      <c r="AO582" s="845">
        <v>0</v>
      </c>
      <c r="AP582" s="845">
        <v>0</v>
      </c>
      <c r="AQ582" s="661">
        <f t="shared" si="822"/>
        <v>0</v>
      </c>
      <c r="AR582" s="1427">
        <v>0</v>
      </c>
      <c r="AS582" s="845">
        <v>0</v>
      </c>
      <c r="AT582" s="845">
        <v>0</v>
      </c>
      <c r="AU582" s="845">
        <v>0</v>
      </c>
      <c r="AV582" s="661">
        <f t="shared" si="823"/>
        <v>0</v>
      </c>
      <c r="AW582" s="1427">
        <v>0</v>
      </c>
      <c r="AX582" s="845">
        <v>0</v>
      </c>
      <c r="AY582" s="845">
        <v>0</v>
      </c>
      <c r="AZ582" s="845">
        <v>0</v>
      </c>
      <c r="BA582" s="661">
        <f t="shared" si="824"/>
        <v>0</v>
      </c>
      <c r="BB582" s="1427">
        <v>0</v>
      </c>
      <c r="BC582" s="845">
        <v>0</v>
      </c>
      <c r="BD582" s="845">
        <v>0</v>
      </c>
      <c r="BE582" s="845">
        <v>0</v>
      </c>
      <c r="BF582" s="661">
        <f t="shared" si="825"/>
        <v>0</v>
      </c>
      <c r="BG582" s="845">
        <v>0</v>
      </c>
      <c r="BH582" s="845">
        <v>0</v>
      </c>
      <c r="BI582" s="845">
        <v>0</v>
      </c>
      <c r="BJ582" s="845">
        <v>0</v>
      </c>
      <c r="BK582" s="661">
        <f t="shared" si="826"/>
        <v>0</v>
      </c>
      <c r="BL582" s="845">
        <v>0</v>
      </c>
      <c r="BM582" s="845">
        <v>0</v>
      </c>
      <c r="BN582" s="845">
        <v>0</v>
      </c>
      <c r="BO582" s="845">
        <v>0</v>
      </c>
      <c r="BP582" s="661">
        <f t="shared" si="827"/>
        <v>0</v>
      </c>
      <c r="BQ582" s="845">
        <v>0</v>
      </c>
      <c r="BR582" s="845">
        <v>0</v>
      </c>
      <c r="BS582" s="845">
        <v>0</v>
      </c>
      <c r="BT582" s="845">
        <v>0</v>
      </c>
      <c r="BU582" s="661">
        <f t="shared" si="828"/>
        <v>0</v>
      </c>
      <c r="BV582" s="845">
        <v>0</v>
      </c>
      <c r="BW582" s="845">
        <v>0</v>
      </c>
      <c r="BX582" s="845">
        <v>0</v>
      </c>
      <c r="BY582" s="845">
        <v>0</v>
      </c>
      <c r="BZ582" s="2293">
        <f t="shared" si="816"/>
        <v>0</v>
      </c>
      <c r="CA582" s="845">
        <v>0</v>
      </c>
      <c r="CB582" s="845">
        <v>0</v>
      </c>
      <c r="CC582" s="845">
        <v>0</v>
      </c>
      <c r="CD582" s="845">
        <v>0</v>
      </c>
      <c r="CE582" s="2293">
        <f t="shared" si="812"/>
        <v>0</v>
      </c>
      <c r="CF582" s="845">
        <v>0</v>
      </c>
      <c r="CG582" s="845">
        <v>0</v>
      </c>
      <c r="CH582" s="845">
        <v>140</v>
      </c>
      <c r="CI582" s="845">
        <v>140</v>
      </c>
      <c r="CJ582" s="2293">
        <f t="shared" si="813"/>
        <v>140</v>
      </c>
      <c r="CK582" s="2982">
        <v>140</v>
      </c>
      <c r="CL582" s="2982">
        <v>140</v>
      </c>
      <c r="CM582" s="2982">
        <v>140</v>
      </c>
      <c r="CN582" s="2982">
        <v>140</v>
      </c>
      <c r="CO582" s="2293">
        <f t="shared" si="814"/>
        <v>140</v>
      </c>
      <c r="CP582" s="2631">
        <f t="shared" si="811"/>
        <v>140</v>
      </c>
      <c r="CQ582" s="2631">
        <f t="shared" si="811"/>
        <v>140</v>
      </c>
      <c r="CR582" s="2631">
        <f t="shared" si="811"/>
        <v>140</v>
      </c>
      <c r="CS582" s="2631">
        <f t="shared" si="811"/>
        <v>140</v>
      </c>
      <c r="CT582" s="2293">
        <f t="shared" si="815"/>
        <v>140</v>
      </c>
      <c r="CU582" s="2293">
        <f t="shared" ref="CU582:CU587" si="830">+CT582</f>
        <v>140</v>
      </c>
      <c r="CV582" s="2293">
        <f t="shared" ref="CV582:CV587" si="831">+CU582</f>
        <v>140</v>
      </c>
      <c r="CW582" s="374"/>
      <c r="CX582" s="374"/>
      <c r="CY582" s="374"/>
      <c r="CZ582" s="374"/>
      <c r="DA582" s="374"/>
      <c r="DB582" s="217"/>
    </row>
    <row r="583" spans="1:106" x14ac:dyDescent="0.2">
      <c r="A583" s="1266" t="s">
        <v>1391</v>
      </c>
      <c r="B583" s="651"/>
      <c r="C583" s="236"/>
      <c r="D583" s="207"/>
      <c r="E583" s="207"/>
      <c r="F583" s="207"/>
      <c r="G583" s="234"/>
      <c r="H583" s="848">
        <v>0</v>
      </c>
      <c r="I583" s="1427">
        <v>0</v>
      </c>
      <c r="J583" s="845">
        <v>0</v>
      </c>
      <c r="K583" s="845">
        <v>0</v>
      </c>
      <c r="L583" s="845">
        <v>0</v>
      </c>
      <c r="M583" s="661">
        <v>0</v>
      </c>
      <c r="N583" s="1427">
        <v>0</v>
      </c>
      <c r="O583" s="845">
        <v>0</v>
      </c>
      <c r="P583" s="845">
        <v>0</v>
      </c>
      <c r="Q583" s="845">
        <v>0</v>
      </c>
      <c r="R583" s="661">
        <v>0</v>
      </c>
      <c r="S583" s="1427">
        <v>0</v>
      </c>
      <c r="T583" s="845">
        <v>0</v>
      </c>
      <c r="U583" s="845">
        <v>0</v>
      </c>
      <c r="V583" s="845">
        <v>0</v>
      </c>
      <c r="W583" s="661">
        <f>V583</f>
        <v>0</v>
      </c>
      <c r="X583" s="1427">
        <v>0</v>
      </c>
      <c r="Y583" s="845">
        <v>0</v>
      </c>
      <c r="Z583" s="845">
        <v>0</v>
      </c>
      <c r="AA583" s="845">
        <v>0</v>
      </c>
      <c r="AB583" s="661">
        <f>+AA583</f>
        <v>0</v>
      </c>
      <c r="AC583" s="1427">
        <v>0</v>
      </c>
      <c r="AD583" s="845">
        <v>0</v>
      </c>
      <c r="AE583" s="845">
        <v>0</v>
      </c>
      <c r="AF583" s="845">
        <v>0</v>
      </c>
      <c r="AG583" s="661">
        <f>+AF583</f>
        <v>0</v>
      </c>
      <c r="AH583" s="1427">
        <v>0</v>
      </c>
      <c r="AI583" s="845">
        <v>0</v>
      </c>
      <c r="AJ583" s="845">
        <v>0</v>
      </c>
      <c r="AK583" s="845">
        <v>0</v>
      </c>
      <c r="AL583" s="661">
        <f>+AK583</f>
        <v>0</v>
      </c>
      <c r="AM583" s="1427">
        <v>0</v>
      </c>
      <c r="AN583" s="845">
        <v>0</v>
      </c>
      <c r="AO583" s="845">
        <v>0</v>
      </c>
      <c r="AP583" s="845">
        <v>0</v>
      </c>
      <c r="AQ583" s="661">
        <f>+AP583</f>
        <v>0</v>
      </c>
      <c r="AR583" s="1427">
        <v>0</v>
      </c>
      <c r="AS583" s="845">
        <v>0</v>
      </c>
      <c r="AT583" s="845">
        <v>0</v>
      </c>
      <c r="AU583" s="845">
        <v>0</v>
      </c>
      <c r="AV583" s="661">
        <f>+AU583</f>
        <v>0</v>
      </c>
      <c r="AW583" s="1427">
        <v>0</v>
      </c>
      <c r="AX583" s="845">
        <v>0</v>
      </c>
      <c r="AY583" s="845">
        <v>0</v>
      </c>
      <c r="AZ583" s="845">
        <v>0</v>
      </c>
      <c r="BA583" s="661">
        <f>+AZ583</f>
        <v>0</v>
      </c>
      <c r="BB583" s="1427">
        <v>0</v>
      </c>
      <c r="BC583" s="845">
        <v>0</v>
      </c>
      <c r="BD583" s="845">
        <v>0</v>
      </c>
      <c r="BE583" s="845">
        <v>0</v>
      </c>
      <c r="BF583" s="661">
        <f>+BE583</f>
        <v>0</v>
      </c>
      <c r="BG583" s="845">
        <v>0</v>
      </c>
      <c r="BH583" s="845">
        <v>0</v>
      </c>
      <c r="BI583" s="845">
        <v>0</v>
      </c>
      <c r="BJ583" s="845">
        <v>0</v>
      </c>
      <c r="BK583" s="661">
        <f>+BJ583</f>
        <v>0</v>
      </c>
      <c r="BL583" s="845">
        <v>0</v>
      </c>
      <c r="BM583" s="845">
        <v>0</v>
      </c>
      <c r="BN583" s="845">
        <v>0</v>
      </c>
      <c r="BO583" s="845">
        <v>0</v>
      </c>
      <c r="BP583" s="661">
        <f>+BO583</f>
        <v>0</v>
      </c>
      <c r="BQ583" s="845">
        <v>0</v>
      </c>
      <c r="BR583" s="845">
        <v>0</v>
      </c>
      <c r="BS583" s="845">
        <v>0</v>
      </c>
      <c r="BT583" s="845">
        <v>0</v>
      </c>
      <c r="BU583" s="661">
        <f>+BT583</f>
        <v>0</v>
      </c>
      <c r="BV583" s="845">
        <v>0</v>
      </c>
      <c r="BW583" s="845">
        <v>0</v>
      </c>
      <c r="BX583" s="845">
        <v>0</v>
      </c>
      <c r="BY583" s="845">
        <v>0</v>
      </c>
      <c r="BZ583" s="2293">
        <f t="shared" si="816"/>
        <v>0</v>
      </c>
      <c r="CA583" s="845">
        <v>0</v>
      </c>
      <c r="CB583" s="845">
        <v>0</v>
      </c>
      <c r="CC583" s="845">
        <v>0</v>
      </c>
      <c r="CD583" s="845">
        <v>0</v>
      </c>
      <c r="CE583" s="2293">
        <f t="shared" si="812"/>
        <v>0</v>
      </c>
      <c r="CF583" s="845">
        <v>0</v>
      </c>
      <c r="CG583" s="845">
        <v>0</v>
      </c>
      <c r="CH583" s="2349">
        <f t="shared" ref="CH583:CI587" si="832">CG583</f>
        <v>0</v>
      </c>
      <c r="CI583" s="2349">
        <f t="shared" si="832"/>
        <v>0</v>
      </c>
      <c r="CJ583" s="2293">
        <f t="shared" si="813"/>
        <v>0</v>
      </c>
      <c r="CK583" s="2982">
        <f t="shared" ref="CK583:CN587" si="833">CJ583</f>
        <v>0</v>
      </c>
      <c r="CL583" s="2982">
        <f t="shared" si="833"/>
        <v>0</v>
      </c>
      <c r="CM583" s="2982">
        <f t="shared" si="833"/>
        <v>0</v>
      </c>
      <c r="CN583" s="2982">
        <f t="shared" si="833"/>
        <v>0</v>
      </c>
      <c r="CO583" s="2293">
        <f t="shared" si="814"/>
        <v>0</v>
      </c>
      <c r="CP583" s="845">
        <f t="shared" si="811"/>
        <v>0</v>
      </c>
      <c r="CQ583" s="845">
        <f t="shared" si="811"/>
        <v>0</v>
      </c>
      <c r="CR583" s="845">
        <f t="shared" si="811"/>
        <v>0</v>
      </c>
      <c r="CS583" s="845">
        <f t="shared" si="811"/>
        <v>0</v>
      </c>
      <c r="CT583" s="2293">
        <f t="shared" si="815"/>
        <v>0</v>
      </c>
      <c r="CU583" s="2293">
        <f t="shared" si="830"/>
        <v>0</v>
      </c>
      <c r="CV583" s="2293">
        <f t="shared" si="831"/>
        <v>0</v>
      </c>
      <c r="CW583" s="374"/>
      <c r="CX583" s="374"/>
      <c r="CY583" s="374"/>
      <c r="CZ583" s="374"/>
      <c r="DA583" s="374"/>
      <c r="DB583" s="217"/>
    </row>
    <row r="584" spans="1:106" x14ac:dyDescent="0.2">
      <c r="A584" s="1266" t="s">
        <v>1389</v>
      </c>
      <c r="B584" s="651"/>
      <c r="C584" s="236"/>
      <c r="D584" s="207"/>
      <c r="E584" s="207"/>
      <c r="F584" s="207"/>
      <c r="G584" s="234"/>
      <c r="H584" s="848">
        <v>0</v>
      </c>
      <c r="I584" s="1427">
        <v>0</v>
      </c>
      <c r="J584" s="845">
        <v>0</v>
      </c>
      <c r="K584" s="845">
        <v>0</v>
      </c>
      <c r="L584" s="845">
        <v>0</v>
      </c>
      <c r="M584" s="661">
        <v>0</v>
      </c>
      <c r="N584" s="1427">
        <v>0</v>
      </c>
      <c r="O584" s="845">
        <v>0</v>
      </c>
      <c r="P584" s="845">
        <v>0</v>
      </c>
      <c r="Q584" s="845">
        <v>0</v>
      </c>
      <c r="R584" s="661">
        <v>0</v>
      </c>
      <c r="S584" s="1427">
        <v>0</v>
      </c>
      <c r="T584" s="845">
        <v>0</v>
      </c>
      <c r="U584" s="845">
        <v>0</v>
      </c>
      <c r="V584" s="845">
        <v>0</v>
      </c>
      <c r="W584" s="661">
        <f t="shared" si="818"/>
        <v>0</v>
      </c>
      <c r="X584" s="1427">
        <v>0</v>
      </c>
      <c r="Y584" s="845">
        <v>0</v>
      </c>
      <c r="Z584" s="845">
        <v>0</v>
      </c>
      <c r="AA584" s="845">
        <v>0</v>
      </c>
      <c r="AB584" s="661">
        <f t="shared" si="819"/>
        <v>0</v>
      </c>
      <c r="AC584" s="1427">
        <v>0</v>
      </c>
      <c r="AD584" s="845">
        <v>0</v>
      </c>
      <c r="AE584" s="845">
        <v>0</v>
      </c>
      <c r="AF584" s="845">
        <v>0</v>
      </c>
      <c r="AG584" s="661">
        <f t="shared" si="820"/>
        <v>0</v>
      </c>
      <c r="AH584" s="1427">
        <v>0</v>
      </c>
      <c r="AI584" s="845">
        <v>0</v>
      </c>
      <c r="AJ584" s="845">
        <v>0</v>
      </c>
      <c r="AK584" s="845">
        <v>0</v>
      </c>
      <c r="AL584" s="661">
        <f t="shared" si="821"/>
        <v>0</v>
      </c>
      <c r="AM584" s="1427">
        <v>0</v>
      </c>
      <c r="AN584" s="845">
        <v>0</v>
      </c>
      <c r="AO584" s="845">
        <v>0</v>
      </c>
      <c r="AP584" s="845">
        <v>0</v>
      </c>
      <c r="AQ584" s="661">
        <f t="shared" si="822"/>
        <v>0</v>
      </c>
      <c r="AR584" s="1427">
        <v>0</v>
      </c>
      <c r="AS584" s="845">
        <v>0</v>
      </c>
      <c r="AT584" s="845">
        <v>0</v>
      </c>
      <c r="AU584" s="845">
        <v>0</v>
      </c>
      <c r="AV584" s="661">
        <f t="shared" si="823"/>
        <v>0</v>
      </c>
      <c r="AW584" s="1427">
        <v>0</v>
      </c>
      <c r="AX584" s="845">
        <v>0</v>
      </c>
      <c r="AY584" s="845">
        <v>0</v>
      </c>
      <c r="AZ584" s="845">
        <v>0</v>
      </c>
      <c r="BA584" s="661">
        <f t="shared" si="824"/>
        <v>0</v>
      </c>
      <c r="BB584" s="1427">
        <v>0</v>
      </c>
      <c r="BC584" s="845">
        <v>0</v>
      </c>
      <c r="BD584" s="845">
        <v>0</v>
      </c>
      <c r="BE584" s="845">
        <v>0</v>
      </c>
      <c r="BF584" s="661">
        <f t="shared" si="825"/>
        <v>0</v>
      </c>
      <c r="BG584" s="845">
        <v>0</v>
      </c>
      <c r="BH584" s="845">
        <v>0</v>
      </c>
      <c r="BI584" s="845">
        <v>0</v>
      </c>
      <c r="BJ584" s="845">
        <v>0</v>
      </c>
      <c r="BK584" s="661">
        <f t="shared" si="826"/>
        <v>0</v>
      </c>
      <c r="BL584" s="845">
        <v>0</v>
      </c>
      <c r="BM584" s="845">
        <v>0</v>
      </c>
      <c r="BN584" s="845">
        <v>0</v>
      </c>
      <c r="BO584" s="845">
        <v>0</v>
      </c>
      <c r="BP584" s="661">
        <f t="shared" si="827"/>
        <v>0</v>
      </c>
      <c r="BQ584" s="845">
        <v>0</v>
      </c>
      <c r="BR584" s="845">
        <v>0</v>
      </c>
      <c r="BS584" s="845">
        <v>0</v>
      </c>
      <c r="BT584" s="845">
        <v>0</v>
      </c>
      <c r="BU584" s="661">
        <f t="shared" si="828"/>
        <v>0</v>
      </c>
      <c r="BV584" s="845">
        <v>0</v>
      </c>
      <c r="BW584" s="845">
        <v>0</v>
      </c>
      <c r="BX584" s="845">
        <v>0</v>
      </c>
      <c r="BY584" s="845">
        <v>0</v>
      </c>
      <c r="BZ584" s="2293">
        <f t="shared" si="816"/>
        <v>0</v>
      </c>
      <c r="CA584" s="845">
        <v>0</v>
      </c>
      <c r="CB584" s="845">
        <v>0</v>
      </c>
      <c r="CC584" s="845">
        <v>0</v>
      </c>
      <c r="CD584" s="845">
        <v>0</v>
      </c>
      <c r="CE584" s="2293">
        <f t="shared" si="812"/>
        <v>0</v>
      </c>
      <c r="CF584" s="845">
        <v>0</v>
      </c>
      <c r="CG584" s="845">
        <v>0</v>
      </c>
      <c r="CH584" s="2349">
        <f t="shared" si="832"/>
        <v>0</v>
      </c>
      <c r="CI584" s="2349">
        <f t="shared" si="832"/>
        <v>0</v>
      </c>
      <c r="CJ584" s="2293">
        <f t="shared" si="813"/>
        <v>0</v>
      </c>
      <c r="CK584" s="2982">
        <f t="shared" si="833"/>
        <v>0</v>
      </c>
      <c r="CL584" s="2982">
        <f t="shared" si="833"/>
        <v>0</v>
      </c>
      <c r="CM584" s="2982">
        <f t="shared" si="833"/>
        <v>0</v>
      </c>
      <c r="CN584" s="2982">
        <f t="shared" si="833"/>
        <v>0</v>
      </c>
      <c r="CO584" s="2293">
        <f t="shared" si="814"/>
        <v>0</v>
      </c>
      <c r="CP584" s="845">
        <f t="shared" si="811"/>
        <v>0</v>
      </c>
      <c r="CQ584" s="845">
        <f t="shared" si="811"/>
        <v>0</v>
      </c>
      <c r="CR584" s="845">
        <f t="shared" si="811"/>
        <v>0</v>
      </c>
      <c r="CS584" s="845">
        <f t="shared" si="811"/>
        <v>0</v>
      </c>
      <c r="CT584" s="2293">
        <f t="shared" si="815"/>
        <v>0</v>
      </c>
      <c r="CU584" s="2293">
        <f t="shared" si="830"/>
        <v>0</v>
      </c>
      <c r="CV584" s="2293">
        <f t="shared" si="831"/>
        <v>0</v>
      </c>
      <c r="CW584" s="374"/>
      <c r="CX584" s="374"/>
      <c r="CY584" s="374"/>
      <c r="CZ584" s="374"/>
      <c r="DA584" s="374"/>
      <c r="DB584" s="217"/>
    </row>
    <row r="585" spans="1:106" x14ac:dyDescent="0.2">
      <c r="A585" s="1266" t="s">
        <v>1390</v>
      </c>
      <c r="B585" s="651"/>
      <c r="C585" s="236"/>
      <c r="D585" s="207"/>
      <c r="E585" s="207"/>
      <c r="F585" s="207"/>
      <c r="G585" s="234"/>
      <c r="H585" s="848">
        <v>0</v>
      </c>
      <c r="I585" s="1427">
        <v>0</v>
      </c>
      <c r="J585" s="845">
        <v>0</v>
      </c>
      <c r="K585" s="845">
        <v>0</v>
      </c>
      <c r="L585" s="845">
        <v>0</v>
      </c>
      <c r="M585" s="661">
        <v>0</v>
      </c>
      <c r="N585" s="1427">
        <v>0</v>
      </c>
      <c r="O585" s="845">
        <v>0</v>
      </c>
      <c r="P585" s="845">
        <v>0</v>
      </c>
      <c r="Q585" s="845">
        <v>0</v>
      </c>
      <c r="R585" s="661">
        <v>0</v>
      </c>
      <c r="S585" s="1427">
        <v>0</v>
      </c>
      <c r="T585" s="845">
        <v>0</v>
      </c>
      <c r="U585" s="845">
        <v>0</v>
      </c>
      <c r="V585" s="845">
        <v>0</v>
      </c>
      <c r="W585" s="661">
        <f t="shared" si="818"/>
        <v>0</v>
      </c>
      <c r="X585" s="1427">
        <v>0</v>
      </c>
      <c r="Y585" s="845">
        <v>0</v>
      </c>
      <c r="Z585" s="845">
        <v>0</v>
      </c>
      <c r="AA585" s="845">
        <v>0</v>
      </c>
      <c r="AB585" s="661">
        <f t="shared" si="819"/>
        <v>0</v>
      </c>
      <c r="AC585" s="1427">
        <v>0</v>
      </c>
      <c r="AD585" s="845">
        <v>0</v>
      </c>
      <c r="AE585" s="845">
        <v>0</v>
      </c>
      <c r="AF585" s="845">
        <v>0</v>
      </c>
      <c r="AG585" s="661">
        <f t="shared" si="820"/>
        <v>0</v>
      </c>
      <c r="AH585" s="1427">
        <v>0</v>
      </c>
      <c r="AI585" s="845">
        <v>0</v>
      </c>
      <c r="AJ585" s="845">
        <v>0</v>
      </c>
      <c r="AK585" s="845">
        <v>0</v>
      </c>
      <c r="AL585" s="661">
        <f t="shared" si="821"/>
        <v>0</v>
      </c>
      <c r="AM585" s="1427">
        <v>0</v>
      </c>
      <c r="AN585" s="845">
        <v>0</v>
      </c>
      <c r="AO585" s="845">
        <v>0</v>
      </c>
      <c r="AP585" s="845">
        <v>0</v>
      </c>
      <c r="AQ585" s="661">
        <f t="shared" si="822"/>
        <v>0</v>
      </c>
      <c r="AR585" s="1427">
        <v>0</v>
      </c>
      <c r="AS585" s="845">
        <v>0</v>
      </c>
      <c r="AT585" s="845">
        <v>0</v>
      </c>
      <c r="AU585" s="845">
        <v>0</v>
      </c>
      <c r="AV585" s="661">
        <f t="shared" si="823"/>
        <v>0</v>
      </c>
      <c r="AW585" s="1427">
        <v>0</v>
      </c>
      <c r="AX585" s="845">
        <v>0</v>
      </c>
      <c r="AY585" s="845">
        <v>0</v>
      </c>
      <c r="AZ585" s="845">
        <v>0</v>
      </c>
      <c r="BA585" s="661">
        <f t="shared" si="824"/>
        <v>0</v>
      </c>
      <c r="BB585" s="1427">
        <v>0</v>
      </c>
      <c r="BC585" s="845">
        <v>0</v>
      </c>
      <c r="BD585" s="845">
        <v>0</v>
      </c>
      <c r="BE585" s="845">
        <v>0</v>
      </c>
      <c r="BF585" s="661">
        <f t="shared" si="825"/>
        <v>0</v>
      </c>
      <c r="BG585" s="845">
        <v>0</v>
      </c>
      <c r="BH585" s="845">
        <v>0</v>
      </c>
      <c r="BI585" s="845">
        <v>0</v>
      </c>
      <c r="BJ585" s="845">
        <v>0</v>
      </c>
      <c r="BK585" s="661">
        <f t="shared" si="826"/>
        <v>0</v>
      </c>
      <c r="BL585" s="845">
        <v>0</v>
      </c>
      <c r="BM585" s="845">
        <v>0</v>
      </c>
      <c r="BN585" s="845">
        <v>0</v>
      </c>
      <c r="BO585" s="845">
        <v>0</v>
      </c>
      <c r="BP585" s="661">
        <f t="shared" si="827"/>
        <v>0</v>
      </c>
      <c r="BQ585" s="845">
        <v>0</v>
      </c>
      <c r="BR585" s="845">
        <v>0</v>
      </c>
      <c r="BS585" s="845">
        <v>0</v>
      </c>
      <c r="BT585" s="845">
        <v>0</v>
      </c>
      <c r="BU585" s="661">
        <f t="shared" si="828"/>
        <v>0</v>
      </c>
      <c r="BV585" s="845">
        <v>0</v>
      </c>
      <c r="BW585" s="845">
        <v>0</v>
      </c>
      <c r="BX585" s="845">
        <v>0</v>
      </c>
      <c r="BY585" s="845">
        <v>0</v>
      </c>
      <c r="BZ585" s="2293">
        <f t="shared" si="816"/>
        <v>0</v>
      </c>
      <c r="CA585" s="845">
        <v>0</v>
      </c>
      <c r="CB585" s="845">
        <v>0</v>
      </c>
      <c r="CC585" s="845">
        <v>0</v>
      </c>
      <c r="CD585" s="845">
        <v>0</v>
      </c>
      <c r="CE585" s="2293">
        <f t="shared" si="812"/>
        <v>0</v>
      </c>
      <c r="CF585" s="845">
        <v>0</v>
      </c>
      <c r="CG585" s="845">
        <v>0</v>
      </c>
      <c r="CH585" s="2349">
        <f t="shared" si="832"/>
        <v>0</v>
      </c>
      <c r="CI585" s="2349">
        <f t="shared" si="832"/>
        <v>0</v>
      </c>
      <c r="CJ585" s="2293">
        <f t="shared" si="813"/>
        <v>0</v>
      </c>
      <c r="CK585" s="2982">
        <f t="shared" si="833"/>
        <v>0</v>
      </c>
      <c r="CL585" s="2982">
        <f t="shared" si="833"/>
        <v>0</v>
      </c>
      <c r="CM585" s="2982">
        <f t="shared" si="833"/>
        <v>0</v>
      </c>
      <c r="CN585" s="2982">
        <f t="shared" si="833"/>
        <v>0</v>
      </c>
      <c r="CO585" s="2293">
        <f t="shared" si="814"/>
        <v>0</v>
      </c>
      <c r="CP585" s="845">
        <f t="shared" si="811"/>
        <v>0</v>
      </c>
      <c r="CQ585" s="845">
        <f t="shared" si="811"/>
        <v>0</v>
      </c>
      <c r="CR585" s="845">
        <f t="shared" si="811"/>
        <v>0</v>
      </c>
      <c r="CS585" s="845">
        <f t="shared" si="811"/>
        <v>0</v>
      </c>
      <c r="CT585" s="2293">
        <f t="shared" si="815"/>
        <v>0</v>
      </c>
      <c r="CU585" s="2293">
        <f t="shared" si="830"/>
        <v>0</v>
      </c>
      <c r="CV585" s="2293">
        <f t="shared" si="831"/>
        <v>0</v>
      </c>
      <c r="CW585" s="374"/>
      <c r="CX585" s="374"/>
      <c r="CY585" s="374"/>
      <c r="CZ585" s="374"/>
      <c r="DA585" s="374"/>
      <c r="DB585" s="217"/>
    </row>
    <row r="586" spans="1:106" x14ac:dyDescent="0.2">
      <c r="A586" s="1266" t="s">
        <v>650</v>
      </c>
      <c r="B586" s="651"/>
      <c r="C586" s="234"/>
      <c r="D586" s="207"/>
      <c r="E586" s="207"/>
      <c r="F586" s="207"/>
      <c r="G586" s="234"/>
      <c r="H586" s="848">
        <v>0</v>
      </c>
      <c r="I586" s="1427">
        <v>0</v>
      </c>
      <c r="J586" s="845">
        <v>0</v>
      </c>
      <c r="K586" s="845">
        <v>0</v>
      </c>
      <c r="L586" s="845">
        <v>0</v>
      </c>
      <c r="M586" s="661">
        <v>0</v>
      </c>
      <c r="N586" s="1427">
        <v>0</v>
      </c>
      <c r="O586" s="845">
        <v>0</v>
      </c>
      <c r="P586" s="845">
        <v>0</v>
      </c>
      <c r="Q586" s="845">
        <v>0</v>
      </c>
      <c r="R586" s="661">
        <v>0</v>
      </c>
      <c r="S586" s="1427">
        <v>0</v>
      </c>
      <c r="T586" s="845">
        <v>0</v>
      </c>
      <c r="U586" s="845">
        <v>0</v>
      </c>
      <c r="V586" s="845">
        <v>0</v>
      </c>
      <c r="W586" s="661">
        <f t="shared" si="818"/>
        <v>0</v>
      </c>
      <c r="X586" s="1427">
        <v>0</v>
      </c>
      <c r="Y586" s="845">
        <v>0</v>
      </c>
      <c r="Z586" s="845">
        <v>0</v>
      </c>
      <c r="AA586" s="845">
        <v>0</v>
      </c>
      <c r="AB586" s="661">
        <f t="shared" si="819"/>
        <v>0</v>
      </c>
      <c r="AC586" s="1427">
        <v>0</v>
      </c>
      <c r="AD586" s="845">
        <v>0</v>
      </c>
      <c r="AE586" s="845">
        <v>0</v>
      </c>
      <c r="AF586" s="845">
        <v>0</v>
      </c>
      <c r="AG586" s="661">
        <f t="shared" si="820"/>
        <v>0</v>
      </c>
      <c r="AH586" s="1427">
        <v>0</v>
      </c>
      <c r="AI586" s="845">
        <v>0</v>
      </c>
      <c r="AJ586" s="845">
        <v>0</v>
      </c>
      <c r="AK586" s="845">
        <v>0</v>
      </c>
      <c r="AL586" s="661">
        <f t="shared" si="821"/>
        <v>0</v>
      </c>
      <c r="AM586" s="1427">
        <v>0</v>
      </c>
      <c r="AN586" s="845">
        <v>0</v>
      </c>
      <c r="AO586" s="845">
        <v>0</v>
      </c>
      <c r="AP586" s="845">
        <v>0</v>
      </c>
      <c r="AQ586" s="661">
        <f t="shared" si="822"/>
        <v>0</v>
      </c>
      <c r="AR586" s="1427">
        <v>0</v>
      </c>
      <c r="AS586" s="845">
        <v>0</v>
      </c>
      <c r="AT586" s="845">
        <v>0</v>
      </c>
      <c r="AU586" s="845">
        <v>0</v>
      </c>
      <c r="AV586" s="661">
        <f t="shared" si="823"/>
        <v>0</v>
      </c>
      <c r="AW586" s="1427">
        <v>0</v>
      </c>
      <c r="AX586" s="845">
        <v>0</v>
      </c>
      <c r="AY586" s="845">
        <v>0</v>
      </c>
      <c r="AZ586" s="845">
        <v>0</v>
      </c>
      <c r="BA586" s="661">
        <f t="shared" si="824"/>
        <v>0</v>
      </c>
      <c r="BB586" s="1427">
        <v>0</v>
      </c>
      <c r="BC586" s="845">
        <v>0</v>
      </c>
      <c r="BD586" s="845">
        <v>0</v>
      </c>
      <c r="BE586" s="845">
        <v>0</v>
      </c>
      <c r="BF586" s="661">
        <f t="shared" si="825"/>
        <v>0</v>
      </c>
      <c r="BG586" s="845">
        <v>0</v>
      </c>
      <c r="BH586" s="845">
        <v>0</v>
      </c>
      <c r="BI586" s="845">
        <v>0</v>
      </c>
      <c r="BJ586" s="845">
        <v>0</v>
      </c>
      <c r="BK586" s="661">
        <f t="shared" si="826"/>
        <v>0</v>
      </c>
      <c r="BL586" s="845">
        <v>0</v>
      </c>
      <c r="BM586" s="845">
        <v>0</v>
      </c>
      <c r="BN586" s="845">
        <v>0</v>
      </c>
      <c r="BO586" s="845">
        <v>0</v>
      </c>
      <c r="BP586" s="661">
        <f t="shared" si="827"/>
        <v>0</v>
      </c>
      <c r="BQ586" s="845">
        <v>0</v>
      </c>
      <c r="BR586" s="845">
        <v>0</v>
      </c>
      <c r="BS586" s="845">
        <v>0</v>
      </c>
      <c r="BT586" s="845">
        <v>0</v>
      </c>
      <c r="BU586" s="661">
        <f t="shared" si="828"/>
        <v>0</v>
      </c>
      <c r="BV586" s="845">
        <v>0</v>
      </c>
      <c r="BW586" s="845">
        <v>0</v>
      </c>
      <c r="BX586" s="845">
        <v>0</v>
      </c>
      <c r="BY586" s="845">
        <v>0</v>
      </c>
      <c r="BZ586" s="2293">
        <f t="shared" si="816"/>
        <v>0</v>
      </c>
      <c r="CA586" s="845">
        <v>0</v>
      </c>
      <c r="CB586" s="845">
        <v>0</v>
      </c>
      <c r="CC586" s="845">
        <v>0</v>
      </c>
      <c r="CD586" s="845">
        <v>0</v>
      </c>
      <c r="CE586" s="2293">
        <f t="shared" si="812"/>
        <v>0</v>
      </c>
      <c r="CF586" s="845">
        <v>0</v>
      </c>
      <c r="CG586" s="845">
        <v>0</v>
      </c>
      <c r="CH586" s="2349">
        <f t="shared" si="832"/>
        <v>0</v>
      </c>
      <c r="CI586" s="2349">
        <f t="shared" si="832"/>
        <v>0</v>
      </c>
      <c r="CJ586" s="2293">
        <f t="shared" si="813"/>
        <v>0</v>
      </c>
      <c r="CK586" s="2982">
        <f t="shared" si="833"/>
        <v>0</v>
      </c>
      <c r="CL586" s="2982">
        <f t="shared" si="833"/>
        <v>0</v>
      </c>
      <c r="CM586" s="2982">
        <f t="shared" si="833"/>
        <v>0</v>
      </c>
      <c r="CN586" s="2982">
        <f t="shared" si="833"/>
        <v>0</v>
      </c>
      <c r="CO586" s="2293">
        <f t="shared" si="814"/>
        <v>0</v>
      </c>
      <c r="CP586" s="845">
        <f t="shared" si="811"/>
        <v>0</v>
      </c>
      <c r="CQ586" s="845">
        <f t="shared" si="811"/>
        <v>0</v>
      </c>
      <c r="CR586" s="845">
        <f t="shared" si="811"/>
        <v>0</v>
      </c>
      <c r="CS586" s="845">
        <f t="shared" si="811"/>
        <v>0</v>
      </c>
      <c r="CT586" s="2293">
        <f t="shared" si="815"/>
        <v>0</v>
      </c>
      <c r="CU586" s="2293">
        <f t="shared" si="830"/>
        <v>0</v>
      </c>
      <c r="CV586" s="2293">
        <f t="shared" si="831"/>
        <v>0</v>
      </c>
      <c r="CW586" s="374"/>
      <c r="CX586" s="374"/>
      <c r="CY586" s="374"/>
      <c r="CZ586" s="374"/>
      <c r="DA586" s="374"/>
      <c r="DB586" s="217"/>
    </row>
    <row r="587" spans="1:106" x14ac:dyDescent="0.2">
      <c r="A587" s="2633" t="s">
        <v>384</v>
      </c>
      <c r="B587" s="1207"/>
      <c r="C587" s="1207"/>
      <c r="D587" s="1207"/>
      <c r="E587" s="1207"/>
      <c r="F587" s="1207"/>
      <c r="G587" s="1207"/>
      <c r="H587" s="1048">
        <v>0</v>
      </c>
      <c r="I587" s="1428">
        <v>0</v>
      </c>
      <c r="J587" s="767">
        <v>0</v>
      </c>
      <c r="K587" s="767">
        <v>0</v>
      </c>
      <c r="L587" s="767">
        <v>0</v>
      </c>
      <c r="M587" s="246">
        <v>0</v>
      </c>
      <c r="N587" s="1428">
        <v>0</v>
      </c>
      <c r="O587" s="767">
        <v>0</v>
      </c>
      <c r="P587" s="767">
        <v>0</v>
      </c>
      <c r="Q587" s="767">
        <v>0</v>
      </c>
      <c r="R587" s="246">
        <v>0</v>
      </c>
      <c r="S587" s="1428">
        <v>0</v>
      </c>
      <c r="T587" s="767">
        <v>0</v>
      </c>
      <c r="U587" s="767">
        <v>0</v>
      </c>
      <c r="V587" s="767">
        <v>0</v>
      </c>
      <c r="W587" s="246">
        <f t="shared" si="818"/>
        <v>0</v>
      </c>
      <c r="X587" s="1428">
        <v>0</v>
      </c>
      <c r="Y587" s="767">
        <v>0</v>
      </c>
      <c r="Z587" s="767">
        <v>0</v>
      </c>
      <c r="AA587" s="767">
        <v>0</v>
      </c>
      <c r="AB587" s="246">
        <f t="shared" si="819"/>
        <v>0</v>
      </c>
      <c r="AC587" s="1428">
        <v>0</v>
      </c>
      <c r="AD587" s="767">
        <v>0</v>
      </c>
      <c r="AE587" s="767">
        <v>0</v>
      </c>
      <c r="AF587" s="767">
        <v>0</v>
      </c>
      <c r="AG587" s="246">
        <f t="shared" si="820"/>
        <v>0</v>
      </c>
      <c r="AH587" s="1428">
        <v>0</v>
      </c>
      <c r="AI587" s="767">
        <v>0</v>
      </c>
      <c r="AJ587" s="767">
        <v>0</v>
      </c>
      <c r="AK587" s="767">
        <v>0</v>
      </c>
      <c r="AL587" s="246">
        <f t="shared" si="821"/>
        <v>0</v>
      </c>
      <c r="AM587" s="1428">
        <v>0</v>
      </c>
      <c r="AN587" s="767">
        <v>0</v>
      </c>
      <c r="AO587" s="767">
        <v>0</v>
      </c>
      <c r="AP587" s="767">
        <v>0</v>
      </c>
      <c r="AQ587" s="246">
        <f t="shared" si="822"/>
        <v>0</v>
      </c>
      <c r="AR587" s="1428">
        <v>0</v>
      </c>
      <c r="AS587" s="767">
        <v>0</v>
      </c>
      <c r="AT587" s="767">
        <v>0</v>
      </c>
      <c r="AU587" s="767">
        <v>0</v>
      </c>
      <c r="AV587" s="246">
        <f t="shared" si="823"/>
        <v>0</v>
      </c>
      <c r="AW587" s="1428">
        <v>0</v>
      </c>
      <c r="AX587" s="767">
        <v>0</v>
      </c>
      <c r="AY587" s="767">
        <v>0</v>
      </c>
      <c r="AZ587" s="767">
        <v>0</v>
      </c>
      <c r="BA587" s="246">
        <f t="shared" si="824"/>
        <v>0</v>
      </c>
      <c r="BB587" s="1428">
        <v>0</v>
      </c>
      <c r="BC587" s="767">
        <v>0</v>
      </c>
      <c r="BD587" s="767">
        <v>0</v>
      </c>
      <c r="BE587" s="767">
        <v>0</v>
      </c>
      <c r="BF587" s="2293">
        <f t="shared" si="825"/>
        <v>0</v>
      </c>
      <c r="BG587" s="845">
        <v>0</v>
      </c>
      <c r="BH587" s="845">
        <v>0</v>
      </c>
      <c r="BI587" s="845">
        <v>0</v>
      </c>
      <c r="BJ587" s="845">
        <v>0</v>
      </c>
      <c r="BK587" s="2293">
        <f t="shared" si="826"/>
        <v>0</v>
      </c>
      <c r="BL587" s="845">
        <v>0</v>
      </c>
      <c r="BM587" s="845">
        <v>0</v>
      </c>
      <c r="BN587" s="845">
        <v>0</v>
      </c>
      <c r="BO587" s="845">
        <v>0</v>
      </c>
      <c r="BP587" s="2293">
        <f t="shared" si="827"/>
        <v>0</v>
      </c>
      <c r="BQ587" s="845">
        <v>0</v>
      </c>
      <c r="BR587" s="845">
        <v>0</v>
      </c>
      <c r="BS587" s="845">
        <v>0</v>
      </c>
      <c r="BT587" s="845">
        <v>0</v>
      </c>
      <c r="BU587" s="2293">
        <f t="shared" si="828"/>
        <v>0</v>
      </c>
      <c r="BV587" s="845">
        <v>0</v>
      </c>
      <c r="BW587" s="845">
        <v>0</v>
      </c>
      <c r="BX587" s="845">
        <v>0</v>
      </c>
      <c r="BY587" s="845">
        <v>0</v>
      </c>
      <c r="BZ587" s="2293">
        <f t="shared" si="816"/>
        <v>0</v>
      </c>
      <c r="CA587" s="845">
        <v>0</v>
      </c>
      <c r="CB587" s="845">
        <v>0</v>
      </c>
      <c r="CC587" s="845">
        <v>0</v>
      </c>
      <c r="CD587" s="845">
        <v>0</v>
      </c>
      <c r="CE587" s="2293">
        <f t="shared" si="812"/>
        <v>0</v>
      </c>
      <c r="CF587" s="845">
        <v>0</v>
      </c>
      <c r="CG587" s="845">
        <v>0</v>
      </c>
      <c r="CH587" s="2349">
        <f t="shared" si="832"/>
        <v>0</v>
      </c>
      <c r="CI587" s="2349">
        <f t="shared" si="832"/>
        <v>0</v>
      </c>
      <c r="CJ587" s="2293">
        <f t="shared" si="813"/>
        <v>0</v>
      </c>
      <c r="CK587" s="2982">
        <f t="shared" si="833"/>
        <v>0</v>
      </c>
      <c r="CL587" s="2982">
        <f t="shared" si="833"/>
        <v>0</v>
      </c>
      <c r="CM587" s="2982">
        <f t="shared" si="833"/>
        <v>0</v>
      </c>
      <c r="CN587" s="2982">
        <f t="shared" si="833"/>
        <v>0</v>
      </c>
      <c r="CO587" s="2293">
        <f t="shared" si="814"/>
        <v>0</v>
      </c>
      <c r="CP587" s="845">
        <f t="shared" si="811"/>
        <v>0</v>
      </c>
      <c r="CQ587" s="845">
        <f t="shared" si="811"/>
        <v>0</v>
      </c>
      <c r="CR587" s="845">
        <f t="shared" si="811"/>
        <v>0</v>
      </c>
      <c r="CS587" s="845">
        <f t="shared" si="811"/>
        <v>0</v>
      </c>
      <c r="CT587" s="2293">
        <f t="shared" si="815"/>
        <v>0</v>
      </c>
      <c r="CU587" s="2293">
        <f t="shared" si="830"/>
        <v>0</v>
      </c>
      <c r="CV587" s="2293">
        <f t="shared" si="831"/>
        <v>0</v>
      </c>
      <c r="CW587" s="374"/>
      <c r="CX587" s="374"/>
      <c r="CY587" s="374"/>
      <c r="CZ587" s="374"/>
      <c r="DA587" s="374"/>
      <c r="DB587" s="217"/>
    </row>
    <row r="588" spans="1:106" ht="4.5" customHeight="1" x14ac:dyDescent="0.2">
      <c r="A588" s="1267"/>
      <c r="B588" s="1207"/>
      <c r="C588" s="1207"/>
      <c r="D588" s="1207"/>
      <c r="E588" s="1207"/>
      <c r="F588" s="1207"/>
      <c r="G588" s="1207"/>
      <c r="H588" s="1048"/>
      <c r="I588" s="1428"/>
      <c r="J588" s="767"/>
      <c r="K588" s="767"/>
      <c r="L588" s="767"/>
      <c r="M588" s="246"/>
      <c r="N588" s="767"/>
      <c r="O588" s="767"/>
      <c r="P588" s="767"/>
      <c r="Q588" s="767"/>
      <c r="R588" s="246"/>
      <c r="S588" s="767"/>
      <c r="T588" s="767"/>
      <c r="U588" s="767"/>
      <c r="V588" s="767"/>
      <c r="W588" s="246"/>
      <c r="X588" s="767"/>
      <c r="Y588" s="767"/>
      <c r="Z588" s="767"/>
      <c r="AA588" s="767"/>
      <c r="AB588" s="246"/>
      <c r="AC588" s="767"/>
      <c r="AD588" s="767"/>
      <c r="AE588" s="767"/>
      <c r="AF588" s="767"/>
      <c r="AG588" s="246"/>
      <c r="AH588" s="767"/>
      <c r="AI588" s="767"/>
      <c r="AJ588" s="767"/>
      <c r="AK588" s="767"/>
      <c r="AL588" s="246"/>
      <c r="AM588" s="767"/>
      <c r="AN588" s="767"/>
      <c r="AO588" s="767"/>
      <c r="AP588" s="767"/>
      <c r="AQ588" s="246"/>
      <c r="AR588" s="767"/>
      <c r="AS588" s="767"/>
      <c r="AT588" s="767"/>
      <c r="AU588" s="767"/>
      <c r="AV588" s="246"/>
      <c r="AW588" s="767"/>
      <c r="AX588" s="767"/>
      <c r="AY588" s="767"/>
      <c r="AZ588" s="767"/>
      <c r="BA588" s="246"/>
      <c r="BB588" s="767"/>
      <c r="BC588" s="767"/>
      <c r="BD588" s="767"/>
      <c r="BE588" s="767"/>
      <c r="BF588" s="2293"/>
      <c r="BG588" s="845"/>
      <c r="BH588" s="845"/>
      <c r="BI588" s="845"/>
      <c r="BJ588" s="845"/>
      <c r="BK588" s="2293"/>
      <c r="BL588" s="845"/>
      <c r="BM588" s="845"/>
      <c r="BN588" s="845"/>
      <c r="BO588" s="845"/>
      <c r="BP588" s="2293"/>
      <c r="BQ588" s="845"/>
      <c r="BR588" s="845"/>
      <c r="BS588" s="845"/>
      <c r="BT588" s="845"/>
      <c r="BU588" s="2293"/>
      <c r="BV588" s="845"/>
      <c r="BW588" s="845"/>
      <c r="BX588" s="845"/>
      <c r="BY588" s="845"/>
      <c r="BZ588" s="2293"/>
      <c r="CA588" s="845"/>
      <c r="CB588" s="845"/>
      <c r="CC588" s="845"/>
      <c r="CD588" s="845"/>
      <c r="CE588" s="2293"/>
      <c r="CF588" s="845"/>
      <c r="CG588" s="2983"/>
      <c r="CH588" s="2349"/>
      <c r="CI588" s="2349"/>
      <c r="CJ588" s="2293"/>
      <c r="CK588" s="2982"/>
      <c r="CL588" s="2982"/>
      <c r="CM588" s="2982"/>
      <c r="CN588" s="2982"/>
      <c r="CO588" s="2293"/>
      <c r="CP588" s="2982"/>
      <c r="CQ588" s="2982"/>
      <c r="CR588" s="2349"/>
      <c r="CS588" s="2349"/>
      <c r="CT588" s="2293"/>
      <c r="CU588" s="2293"/>
      <c r="CV588" s="2293"/>
      <c r="CW588" s="374"/>
      <c r="CX588" s="374"/>
      <c r="CY588" s="374"/>
      <c r="CZ588" s="374"/>
      <c r="DA588" s="374"/>
      <c r="DB588" s="217"/>
    </row>
    <row r="589" spans="1:106" x14ac:dyDescent="0.2">
      <c r="A589" s="2434" t="s">
        <v>2454</v>
      </c>
      <c r="B589" s="3022"/>
      <c r="C589" s="3022"/>
      <c r="D589" s="3022"/>
      <c r="E589" s="3022"/>
      <c r="F589" s="3022"/>
      <c r="G589" s="3022"/>
      <c r="H589" s="3023"/>
      <c r="I589" s="3024"/>
      <c r="J589" s="3025"/>
      <c r="K589" s="3025"/>
      <c r="L589" s="3025"/>
      <c r="M589" s="3004"/>
      <c r="N589" s="3025"/>
      <c r="O589" s="3025"/>
      <c r="P589" s="3025"/>
      <c r="Q589" s="3025"/>
      <c r="R589" s="3004"/>
      <c r="S589" s="3025"/>
      <c r="T589" s="3025"/>
      <c r="U589" s="3025"/>
      <c r="V589" s="3025"/>
      <c r="W589" s="3004"/>
      <c r="X589" s="3025"/>
      <c r="Y589" s="3025"/>
      <c r="Z589" s="3025"/>
      <c r="AA589" s="3025"/>
      <c r="AB589" s="3004"/>
      <c r="AC589" s="3025"/>
      <c r="AD589" s="3025"/>
      <c r="AE589" s="3025"/>
      <c r="AF589" s="3025"/>
      <c r="AG589" s="3004"/>
      <c r="AH589" s="3025"/>
      <c r="AI589" s="3025"/>
      <c r="AJ589" s="3025"/>
      <c r="AK589" s="3025"/>
      <c r="AL589" s="3004"/>
      <c r="AM589" s="3025"/>
      <c r="AN589" s="3025"/>
      <c r="AO589" s="3025"/>
      <c r="AP589" s="3025"/>
      <c r="AQ589" s="3004"/>
      <c r="AR589" s="3025"/>
      <c r="AS589" s="3025"/>
      <c r="AT589" s="3025"/>
      <c r="AU589" s="3025"/>
      <c r="AV589" s="3004"/>
      <c r="AW589" s="3025"/>
      <c r="AX589" s="3025"/>
      <c r="AY589" s="3025"/>
      <c r="AZ589" s="3025"/>
      <c r="BA589" s="3004"/>
      <c r="BB589" s="3025"/>
      <c r="BC589" s="3025"/>
      <c r="BD589" s="3025"/>
      <c r="BE589" s="3025"/>
      <c r="BF589" s="246"/>
      <c r="BG589" s="767"/>
      <c r="BH589" s="767"/>
      <c r="BI589" s="767"/>
      <c r="BJ589" s="767"/>
      <c r="BK589" s="246"/>
      <c r="BL589" s="767"/>
      <c r="BM589" s="767"/>
      <c r="BN589" s="767"/>
      <c r="BO589" s="767"/>
      <c r="BP589" s="246"/>
      <c r="BQ589" s="767"/>
      <c r="BR589" s="767"/>
      <c r="BS589" s="767"/>
      <c r="BT589" s="767"/>
      <c r="BU589" s="246"/>
      <c r="BV589" s="767"/>
      <c r="BW589" s="767"/>
      <c r="BX589" s="767"/>
      <c r="BY589" s="767"/>
      <c r="BZ589" s="246"/>
      <c r="CA589" s="767"/>
      <c r="CB589" s="767"/>
      <c r="CC589" s="767"/>
      <c r="CD589" s="767"/>
      <c r="CE589" s="246"/>
      <c r="CF589" s="767"/>
      <c r="CG589" s="2983"/>
      <c r="CH589" s="2983">
        <v>2868</v>
      </c>
      <c r="CI589" s="2983">
        <v>2867</v>
      </c>
      <c r="CJ589" s="2293">
        <f t="shared" ref="CJ589:CV589" si="834">CI589</f>
        <v>2867</v>
      </c>
      <c r="CK589" s="2982">
        <v>2867</v>
      </c>
      <c r="CL589" s="2982">
        <v>2867</v>
      </c>
      <c r="CM589" s="2982">
        <v>2866</v>
      </c>
      <c r="CN589" s="2982">
        <v>2866</v>
      </c>
      <c r="CO589" s="3075">
        <f t="shared" si="834"/>
        <v>2866</v>
      </c>
      <c r="CP589" s="3074">
        <f t="shared" ref="CP589:CT599" si="835">CO589</f>
        <v>2866</v>
      </c>
      <c r="CQ589" s="3074">
        <f t="shared" si="835"/>
        <v>2866</v>
      </c>
      <c r="CR589" s="3074">
        <f t="shared" si="835"/>
        <v>2866</v>
      </c>
      <c r="CS589" s="3074">
        <f t="shared" si="835"/>
        <v>2866</v>
      </c>
      <c r="CT589" s="3075">
        <f t="shared" si="834"/>
        <v>2866</v>
      </c>
      <c r="CU589" s="3075">
        <f t="shared" si="834"/>
        <v>2866</v>
      </c>
      <c r="CV589" s="3078">
        <f t="shared" si="834"/>
        <v>2866</v>
      </c>
      <c r="CW589" s="374"/>
      <c r="CX589" s="374"/>
      <c r="CY589" s="374"/>
      <c r="CZ589" s="374"/>
      <c r="DA589" s="374"/>
      <c r="DB589" s="217"/>
    </row>
    <row r="590" spans="1:106" x14ac:dyDescent="0.2">
      <c r="A590" s="2434" t="s">
        <v>2455</v>
      </c>
      <c r="B590" s="3022"/>
      <c r="C590" s="3022"/>
      <c r="D590" s="3022"/>
      <c r="E590" s="3022"/>
      <c r="F590" s="3022"/>
      <c r="G590" s="3022"/>
      <c r="H590" s="3023"/>
      <c r="I590" s="3024"/>
      <c r="J590" s="3025"/>
      <c r="K590" s="3025"/>
      <c r="L590" s="3025"/>
      <c r="M590" s="3004"/>
      <c r="N590" s="3025"/>
      <c r="O590" s="3025"/>
      <c r="P590" s="3025"/>
      <c r="Q590" s="3025"/>
      <c r="R590" s="3004"/>
      <c r="S590" s="3025"/>
      <c r="T590" s="3025"/>
      <c r="U590" s="3025"/>
      <c r="V590" s="3025"/>
      <c r="W590" s="3004"/>
      <c r="X590" s="3025"/>
      <c r="Y590" s="3025"/>
      <c r="Z590" s="3025"/>
      <c r="AA590" s="3025"/>
      <c r="AB590" s="3004"/>
      <c r="AC590" s="3025"/>
      <c r="AD590" s="3025"/>
      <c r="AE590" s="3025"/>
      <c r="AF590" s="3025"/>
      <c r="AG590" s="3004"/>
      <c r="AH590" s="3025"/>
      <c r="AI590" s="3025"/>
      <c r="AJ590" s="3025"/>
      <c r="AK590" s="3025"/>
      <c r="AL590" s="3004"/>
      <c r="AM590" s="3025"/>
      <c r="AN590" s="3025"/>
      <c r="AO590" s="3025"/>
      <c r="AP590" s="3025"/>
      <c r="AQ590" s="3004"/>
      <c r="AR590" s="3025"/>
      <c r="AS590" s="3025"/>
      <c r="AT590" s="3025"/>
      <c r="AU590" s="3025"/>
      <c r="AV590" s="3004"/>
      <c r="AW590" s="3025"/>
      <c r="AX590" s="3025"/>
      <c r="AY590" s="3025"/>
      <c r="AZ590" s="3025"/>
      <c r="BA590" s="3004"/>
      <c r="BB590" s="3025"/>
      <c r="BC590" s="3025"/>
      <c r="BD590" s="3025"/>
      <c r="BE590" s="3025"/>
      <c r="BF590" s="246"/>
      <c r="BG590" s="767"/>
      <c r="BH590" s="767"/>
      <c r="BI590" s="767"/>
      <c r="BJ590" s="767"/>
      <c r="BK590" s="246"/>
      <c r="BL590" s="767"/>
      <c r="BM590" s="767"/>
      <c r="BN590" s="767"/>
      <c r="BO590" s="767"/>
      <c r="BP590" s="246"/>
      <c r="BQ590" s="767"/>
      <c r="BR590" s="767"/>
      <c r="BS590" s="767"/>
      <c r="BT590" s="767"/>
      <c r="BU590" s="246"/>
      <c r="BV590" s="767"/>
      <c r="BW590" s="767"/>
      <c r="BX590" s="767"/>
      <c r="BY590" s="767"/>
      <c r="BZ590" s="246"/>
      <c r="CA590" s="767"/>
      <c r="CB590" s="767"/>
      <c r="CC590" s="767"/>
      <c r="CD590" s="767"/>
      <c r="CE590" s="246"/>
      <c r="CF590" s="767"/>
      <c r="CG590" s="2983"/>
      <c r="CH590" s="2983">
        <v>246</v>
      </c>
      <c r="CI590" s="2983">
        <v>246</v>
      </c>
      <c r="CJ590" s="2293">
        <f t="shared" ref="CJ590:CJ599" si="836">CI590</f>
        <v>246</v>
      </c>
      <c r="CK590" s="2982">
        <v>246</v>
      </c>
      <c r="CL590" s="2982">
        <v>246</v>
      </c>
      <c r="CM590" s="2982">
        <v>246</v>
      </c>
      <c r="CN590" s="2982">
        <v>246</v>
      </c>
      <c r="CO590" s="3075">
        <f t="shared" ref="CO590:CO599" si="837">CN590</f>
        <v>246</v>
      </c>
      <c r="CP590" s="3074">
        <f t="shared" si="835"/>
        <v>246</v>
      </c>
      <c r="CQ590" s="3074">
        <f t="shared" si="835"/>
        <v>246</v>
      </c>
      <c r="CR590" s="3074">
        <f t="shared" si="835"/>
        <v>246</v>
      </c>
      <c r="CS590" s="3074">
        <f t="shared" si="835"/>
        <v>246</v>
      </c>
      <c r="CT590" s="3075">
        <f t="shared" si="835"/>
        <v>246</v>
      </c>
      <c r="CU590" s="3075">
        <f t="shared" ref="CU590:CV599" si="838">CT590</f>
        <v>246</v>
      </c>
      <c r="CV590" s="3078">
        <f t="shared" si="838"/>
        <v>246</v>
      </c>
      <c r="CW590" s="374"/>
      <c r="CX590" s="374"/>
      <c r="CY590" s="374"/>
      <c r="CZ590" s="374"/>
      <c r="DA590" s="374"/>
      <c r="DB590" s="217"/>
    </row>
    <row r="591" spans="1:106" x14ac:dyDescent="0.2">
      <c r="A591" s="2434" t="s">
        <v>2456</v>
      </c>
      <c r="B591" s="3022"/>
      <c r="C591" s="3022"/>
      <c r="D591" s="3022"/>
      <c r="E591" s="3022"/>
      <c r="F591" s="3022"/>
      <c r="G591" s="3022"/>
      <c r="H591" s="3023"/>
      <c r="I591" s="3024"/>
      <c r="J591" s="3025"/>
      <c r="K591" s="3025"/>
      <c r="L591" s="3025"/>
      <c r="M591" s="3004"/>
      <c r="N591" s="3025"/>
      <c r="O591" s="3025"/>
      <c r="P591" s="3025"/>
      <c r="Q591" s="3025"/>
      <c r="R591" s="3004"/>
      <c r="S591" s="3025"/>
      <c r="T591" s="3025"/>
      <c r="U591" s="3025"/>
      <c r="V591" s="3025"/>
      <c r="W591" s="3004"/>
      <c r="X591" s="3025"/>
      <c r="Y591" s="3025"/>
      <c r="Z591" s="3025"/>
      <c r="AA591" s="3025"/>
      <c r="AB591" s="3004"/>
      <c r="AC591" s="3025"/>
      <c r="AD591" s="3025"/>
      <c r="AE591" s="3025"/>
      <c r="AF591" s="3025"/>
      <c r="AG591" s="3004"/>
      <c r="AH591" s="3025"/>
      <c r="AI591" s="3025"/>
      <c r="AJ591" s="3025"/>
      <c r="AK591" s="3025"/>
      <c r="AL591" s="3004"/>
      <c r="AM591" s="3025"/>
      <c r="AN591" s="3025"/>
      <c r="AO591" s="3025"/>
      <c r="AP591" s="3025"/>
      <c r="AQ591" s="3004"/>
      <c r="AR591" s="3025"/>
      <c r="AS591" s="3025"/>
      <c r="AT591" s="3025"/>
      <c r="AU591" s="3025"/>
      <c r="AV591" s="3004"/>
      <c r="AW591" s="3025"/>
      <c r="AX591" s="3025"/>
      <c r="AY591" s="3025"/>
      <c r="AZ591" s="3025"/>
      <c r="BA591" s="3004"/>
      <c r="BB591" s="3025"/>
      <c r="BC591" s="3025"/>
      <c r="BD591" s="3025"/>
      <c r="BE591" s="3025"/>
      <c r="BF591" s="246"/>
      <c r="BG591" s="767"/>
      <c r="BH591" s="767"/>
      <c r="BI591" s="767"/>
      <c r="BJ591" s="767"/>
      <c r="BK591" s="246"/>
      <c r="BL591" s="767"/>
      <c r="BM591" s="767"/>
      <c r="BN591" s="767"/>
      <c r="BO591" s="767"/>
      <c r="BP591" s="246"/>
      <c r="BQ591" s="767"/>
      <c r="BR591" s="767"/>
      <c r="BS591" s="767"/>
      <c r="BT591" s="767"/>
      <c r="BU591" s="246"/>
      <c r="BV591" s="767"/>
      <c r="BW591" s="767"/>
      <c r="BX591" s="767"/>
      <c r="BY591" s="767"/>
      <c r="BZ591" s="246"/>
      <c r="CA591" s="767"/>
      <c r="CB591" s="767"/>
      <c r="CC591" s="767"/>
      <c r="CD591" s="767"/>
      <c r="CE591" s="246"/>
      <c r="CF591" s="767"/>
      <c r="CG591" s="2983"/>
      <c r="CH591" s="2983">
        <v>0</v>
      </c>
      <c r="CI591" s="2983">
        <v>0</v>
      </c>
      <c r="CJ591" s="2293">
        <f t="shared" si="836"/>
        <v>0</v>
      </c>
      <c r="CK591" s="2982">
        <v>0</v>
      </c>
      <c r="CL591" s="2982">
        <v>0</v>
      </c>
      <c r="CM591" s="2982">
        <v>0</v>
      </c>
      <c r="CN591" s="2982">
        <v>0</v>
      </c>
      <c r="CO591" s="3075">
        <f t="shared" si="837"/>
        <v>0</v>
      </c>
      <c r="CP591" s="845">
        <f t="shared" si="835"/>
        <v>0</v>
      </c>
      <c r="CQ591" s="845">
        <f t="shared" si="835"/>
        <v>0</v>
      </c>
      <c r="CR591" s="845">
        <f t="shared" si="835"/>
        <v>0</v>
      </c>
      <c r="CS591" s="845">
        <f t="shared" si="835"/>
        <v>0</v>
      </c>
      <c r="CT591" s="3075">
        <f t="shared" si="835"/>
        <v>0</v>
      </c>
      <c r="CU591" s="3075">
        <f t="shared" si="838"/>
        <v>0</v>
      </c>
      <c r="CV591" s="3078">
        <f t="shared" si="838"/>
        <v>0</v>
      </c>
      <c r="CW591" s="374"/>
      <c r="CX591" s="374"/>
      <c r="CY591" s="374"/>
      <c r="CZ591" s="374"/>
      <c r="DA591" s="374"/>
      <c r="DB591" s="217"/>
    </row>
    <row r="592" spans="1:106" x14ac:dyDescent="0.2">
      <c r="A592" s="2434" t="s">
        <v>2457</v>
      </c>
      <c r="B592" s="3022"/>
      <c r="C592" s="3022"/>
      <c r="D592" s="3022"/>
      <c r="E592" s="3022"/>
      <c r="F592" s="3022"/>
      <c r="G592" s="3022"/>
      <c r="H592" s="3023"/>
      <c r="I592" s="3024"/>
      <c r="J592" s="3025"/>
      <c r="K592" s="3025"/>
      <c r="L592" s="3025"/>
      <c r="M592" s="3004"/>
      <c r="N592" s="3025"/>
      <c r="O592" s="3025"/>
      <c r="P592" s="3025"/>
      <c r="Q592" s="3025"/>
      <c r="R592" s="3004"/>
      <c r="S592" s="3025"/>
      <c r="T592" s="3025"/>
      <c r="U592" s="3025"/>
      <c r="V592" s="3025"/>
      <c r="W592" s="3004"/>
      <c r="X592" s="3025"/>
      <c r="Y592" s="3025"/>
      <c r="Z592" s="3025"/>
      <c r="AA592" s="3025"/>
      <c r="AB592" s="3004"/>
      <c r="AC592" s="3025"/>
      <c r="AD592" s="3025"/>
      <c r="AE592" s="3025"/>
      <c r="AF592" s="3025"/>
      <c r="AG592" s="3004"/>
      <c r="AH592" s="3025"/>
      <c r="AI592" s="3025"/>
      <c r="AJ592" s="3025"/>
      <c r="AK592" s="3025"/>
      <c r="AL592" s="3004"/>
      <c r="AM592" s="3025"/>
      <c r="AN592" s="3025"/>
      <c r="AO592" s="3025"/>
      <c r="AP592" s="3025"/>
      <c r="AQ592" s="3004"/>
      <c r="AR592" s="3025"/>
      <c r="AS592" s="3025"/>
      <c r="AT592" s="3025"/>
      <c r="AU592" s="3025"/>
      <c r="AV592" s="3004"/>
      <c r="AW592" s="3025"/>
      <c r="AX592" s="3025"/>
      <c r="AY592" s="3025"/>
      <c r="AZ592" s="3025"/>
      <c r="BA592" s="3004"/>
      <c r="BB592" s="3025"/>
      <c r="BC592" s="3025"/>
      <c r="BD592" s="3025"/>
      <c r="BE592" s="3025"/>
      <c r="BF592" s="246"/>
      <c r="BG592" s="767"/>
      <c r="BH592" s="767"/>
      <c r="BI592" s="767"/>
      <c r="BJ592" s="767"/>
      <c r="BK592" s="246"/>
      <c r="BL592" s="767"/>
      <c r="BM592" s="767"/>
      <c r="BN592" s="767"/>
      <c r="BO592" s="767"/>
      <c r="BP592" s="246"/>
      <c r="BQ592" s="767"/>
      <c r="BR592" s="767"/>
      <c r="BS592" s="767"/>
      <c r="BT592" s="767"/>
      <c r="BU592" s="246"/>
      <c r="BV592" s="767"/>
      <c r="BW592" s="767"/>
      <c r="BX592" s="767"/>
      <c r="BY592" s="767"/>
      <c r="BZ592" s="246"/>
      <c r="CA592" s="767"/>
      <c r="CB592" s="767"/>
      <c r="CC592" s="767"/>
      <c r="CD592" s="767"/>
      <c r="CE592" s="246"/>
      <c r="CF592" s="767"/>
      <c r="CG592" s="2983"/>
      <c r="CH592" s="2983">
        <v>665</v>
      </c>
      <c r="CI592" s="2983">
        <v>665</v>
      </c>
      <c r="CJ592" s="2293">
        <f t="shared" si="836"/>
        <v>665</v>
      </c>
      <c r="CK592" s="2982">
        <v>665</v>
      </c>
      <c r="CL592" s="2982">
        <v>665</v>
      </c>
      <c r="CM592" s="2982">
        <v>665</v>
      </c>
      <c r="CN592" s="2982">
        <v>665</v>
      </c>
      <c r="CO592" s="3075">
        <f t="shared" si="837"/>
        <v>665</v>
      </c>
      <c r="CP592" s="3074">
        <f t="shared" si="835"/>
        <v>665</v>
      </c>
      <c r="CQ592" s="3074">
        <f t="shared" si="835"/>
        <v>665</v>
      </c>
      <c r="CR592" s="3074">
        <f t="shared" si="835"/>
        <v>665</v>
      </c>
      <c r="CS592" s="3074">
        <f t="shared" si="835"/>
        <v>665</v>
      </c>
      <c r="CT592" s="3075">
        <f t="shared" si="835"/>
        <v>665</v>
      </c>
      <c r="CU592" s="3075">
        <f t="shared" si="838"/>
        <v>665</v>
      </c>
      <c r="CV592" s="3078">
        <f t="shared" si="838"/>
        <v>665</v>
      </c>
      <c r="CW592" s="374"/>
      <c r="CX592" s="374"/>
      <c r="CY592" s="374"/>
      <c r="CZ592" s="374"/>
      <c r="DA592" s="374"/>
      <c r="DB592" s="217"/>
    </row>
    <row r="593" spans="1:106" x14ac:dyDescent="0.2">
      <c r="A593" s="2434" t="s">
        <v>2458</v>
      </c>
      <c r="B593" s="3022"/>
      <c r="C593" s="3022"/>
      <c r="D593" s="3022"/>
      <c r="E593" s="3022"/>
      <c r="F593" s="3022"/>
      <c r="G593" s="3022"/>
      <c r="H593" s="3023"/>
      <c r="I593" s="3024"/>
      <c r="J593" s="3025"/>
      <c r="K593" s="3025"/>
      <c r="L593" s="3025"/>
      <c r="M593" s="3004"/>
      <c r="N593" s="3025"/>
      <c r="O593" s="3025"/>
      <c r="P593" s="3025"/>
      <c r="Q593" s="3025"/>
      <c r="R593" s="3004"/>
      <c r="S593" s="3025"/>
      <c r="T593" s="3025"/>
      <c r="U593" s="3025"/>
      <c r="V593" s="3025"/>
      <c r="W593" s="3004"/>
      <c r="X593" s="3025"/>
      <c r="Y593" s="3025"/>
      <c r="Z593" s="3025"/>
      <c r="AA593" s="3025"/>
      <c r="AB593" s="3004"/>
      <c r="AC593" s="3025"/>
      <c r="AD593" s="3025"/>
      <c r="AE593" s="3025"/>
      <c r="AF593" s="3025"/>
      <c r="AG593" s="3004"/>
      <c r="AH593" s="3025"/>
      <c r="AI593" s="3025"/>
      <c r="AJ593" s="3025"/>
      <c r="AK593" s="3025"/>
      <c r="AL593" s="3004"/>
      <c r="AM593" s="3025"/>
      <c r="AN593" s="3025"/>
      <c r="AO593" s="3025"/>
      <c r="AP593" s="3025"/>
      <c r="AQ593" s="3004"/>
      <c r="AR593" s="3025"/>
      <c r="AS593" s="3025"/>
      <c r="AT593" s="3025"/>
      <c r="AU593" s="3025"/>
      <c r="AV593" s="3004"/>
      <c r="AW593" s="3025"/>
      <c r="AX593" s="3025"/>
      <c r="AY593" s="3025"/>
      <c r="AZ593" s="3025"/>
      <c r="BA593" s="3004"/>
      <c r="BB593" s="3025"/>
      <c r="BC593" s="3025"/>
      <c r="BD593" s="3025"/>
      <c r="BE593" s="3025"/>
      <c r="BF593" s="246"/>
      <c r="BG593" s="767"/>
      <c r="BH593" s="767"/>
      <c r="BI593" s="767"/>
      <c r="BJ593" s="767"/>
      <c r="BK593" s="246"/>
      <c r="BL593" s="767"/>
      <c r="BM593" s="767"/>
      <c r="BN593" s="767"/>
      <c r="BO593" s="767"/>
      <c r="BP593" s="246"/>
      <c r="BQ593" s="767"/>
      <c r="BR593" s="767"/>
      <c r="BS593" s="767"/>
      <c r="BT593" s="767"/>
      <c r="BU593" s="246"/>
      <c r="BV593" s="767"/>
      <c r="BW593" s="767"/>
      <c r="BX593" s="767"/>
      <c r="BY593" s="767"/>
      <c r="BZ593" s="246"/>
      <c r="CA593" s="767"/>
      <c r="CB593" s="767"/>
      <c r="CC593" s="767"/>
      <c r="CD593" s="767"/>
      <c r="CE593" s="246"/>
      <c r="CF593" s="767"/>
      <c r="CG593" s="2983"/>
      <c r="CH593" s="2983">
        <v>467</v>
      </c>
      <c r="CI593" s="2983">
        <v>468</v>
      </c>
      <c r="CJ593" s="2293">
        <f t="shared" si="836"/>
        <v>468</v>
      </c>
      <c r="CK593" s="2982">
        <v>468</v>
      </c>
      <c r="CL593" s="2982">
        <v>465</v>
      </c>
      <c r="CM593" s="2982">
        <v>465</v>
      </c>
      <c r="CN593" s="2982">
        <v>468</v>
      </c>
      <c r="CO593" s="3075">
        <f t="shared" si="837"/>
        <v>468</v>
      </c>
      <c r="CP593" s="3074">
        <f t="shared" si="835"/>
        <v>468</v>
      </c>
      <c r="CQ593" s="3074">
        <f t="shared" si="835"/>
        <v>468</v>
      </c>
      <c r="CR593" s="3074">
        <f t="shared" si="835"/>
        <v>468</v>
      </c>
      <c r="CS593" s="3074">
        <f t="shared" si="835"/>
        <v>468</v>
      </c>
      <c r="CT593" s="3075">
        <f t="shared" si="835"/>
        <v>468</v>
      </c>
      <c r="CU593" s="3075">
        <f t="shared" si="838"/>
        <v>468</v>
      </c>
      <c r="CV593" s="3078">
        <f t="shared" si="838"/>
        <v>468</v>
      </c>
      <c r="CW593" s="374"/>
      <c r="CX593" s="374"/>
      <c r="CY593" s="374"/>
      <c r="CZ593" s="374"/>
      <c r="DA593" s="374"/>
      <c r="DB593" s="217"/>
    </row>
    <row r="594" spans="1:106" x14ac:dyDescent="0.2">
      <c r="A594" s="2434" t="s">
        <v>2459</v>
      </c>
      <c r="B594" s="3022"/>
      <c r="C594" s="3022"/>
      <c r="D594" s="3022"/>
      <c r="E594" s="3022"/>
      <c r="F594" s="3022"/>
      <c r="G594" s="3022"/>
      <c r="H594" s="3023"/>
      <c r="I594" s="3024"/>
      <c r="J594" s="3025"/>
      <c r="K594" s="3025"/>
      <c r="L594" s="3025"/>
      <c r="M594" s="3004"/>
      <c r="N594" s="3025"/>
      <c r="O594" s="3025"/>
      <c r="P594" s="3025"/>
      <c r="Q594" s="3025"/>
      <c r="R594" s="3004"/>
      <c r="S594" s="3025"/>
      <c r="T594" s="3025"/>
      <c r="U594" s="3025"/>
      <c r="V594" s="3025"/>
      <c r="W594" s="3004"/>
      <c r="X594" s="3025"/>
      <c r="Y594" s="3025"/>
      <c r="Z594" s="3025"/>
      <c r="AA594" s="3025"/>
      <c r="AB594" s="3004"/>
      <c r="AC594" s="3025"/>
      <c r="AD594" s="3025"/>
      <c r="AE594" s="3025"/>
      <c r="AF594" s="3025"/>
      <c r="AG594" s="3004"/>
      <c r="AH594" s="3025"/>
      <c r="AI594" s="3025"/>
      <c r="AJ594" s="3025"/>
      <c r="AK594" s="3025"/>
      <c r="AL594" s="3004"/>
      <c r="AM594" s="3025"/>
      <c r="AN594" s="3025"/>
      <c r="AO594" s="3025"/>
      <c r="AP594" s="3025"/>
      <c r="AQ594" s="3004"/>
      <c r="AR594" s="3025"/>
      <c r="AS594" s="3025"/>
      <c r="AT594" s="3025"/>
      <c r="AU594" s="3025"/>
      <c r="AV594" s="3004"/>
      <c r="AW594" s="3025"/>
      <c r="AX594" s="3025"/>
      <c r="AY594" s="3025"/>
      <c r="AZ594" s="3025"/>
      <c r="BA594" s="3004"/>
      <c r="BB594" s="3025"/>
      <c r="BC594" s="3025"/>
      <c r="BD594" s="3025"/>
      <c r="BE594" s="3025"/>
      <c r="BF594" s="246"/>
      <c r="BG594" s="767"/>
      <c r="BH594" s="767"/>
      <c r="BI594" s="767"/>
      <c r="BJ594" s="767"/>
      <c r="BK594" s="246"/>
      <c r="BL594" s="767"/>
      <c r="BM594" s="767"/>
      <c r="BN594" s="767"/>
      <c r="BO594" s="767"/>
      <c r="BP594" s="246"/>
      <c r="BQ594" s="767"/>
      <c r="BR594" s="767"/>
      <c r="BS594" s="767"/>
      <c r="BT594" s="767"/>
      <c r="BU594" s="246"/>
      <c r="BV594" s="767"/>
      <c r="BW594" s="767"/>
      <c r="BX594" s="767"/>
      <c r="BY594" s="767"/>
      <c r="BZ594" s="246"/>
      <c r="CA594" s="767"/>
      <c r="CB594" s="767"/>
      <c r="CC594" s="767"/>
      <c r="CD594" s="767"/>
      <c r="CE594" s="246"/>
      <c r="CF594" s="767"/>
      <c r="CG594" s="2983"/>
      <c r="CH594" s="2983">
        <v>160</v>
      </c>
      <c r="CI594" s="2983">
        <v>160</v>
      </c>
      <c r="CJ594" s="2293">
        <f t="shared" si="836"/>
        <v>160</v>
      </c>
      <c r="CK594" s="2982">
        <v>160</v>
      </c>
      <c r="CL594" s="2982">
        <v>160</v>
      </c>
      <c r="CM594" s="2982">
        <v>160</v>
      </c>
      <c r="CN594" s="2982">
        <v>160</v>
      </c>
      <c r="CO594" s="3075">
        <f t="shared" si="837"/>
        <v>160</v>
      </c>
      <c r="CP594" s="3074">
        <f t="shared" si="835"/>
        <v>160</v>
      </c>
      <c r="CQ594" s="3074">
        <f t="shared" si="835"/>
        <v>160</v>
      </c>
      <c r="CR594" s="3074">
        <f t="shared" si="835"/>
        <v>160</v>
      </c>
      <c r="CS594" s="3074">
        <f t="shared" si="835"/>
        <v>160</v>
      </c>
      <c r="CT594" s="3075">
        <f t="shared" si="835"/>
        <v>160</v>
      </c>
      <c r="CU594" s="3075">
        <f t="shared" si="838"/>
        <v>160</v>
      </c>
      <c r="CV594" s="3078">
        <f t="shared" si="838"/>
        <v>160</v>
      </c>
      <c r="CW594" s="374"/>
      <c r="CX594" s="374"/>
      <c r="CY594" s="374"/>
      <c r="CZ594" s="374"/>
      <c r="DA594" s="374"/>
      <c r="DB594" s="217"/>
    </row>
    <row r="595" spans="1:106" x14ac:dyDescent="0.2">
      <c r="A595" s="2434" t="s">
        <v>2460</v>
      </c>
      <c r="B595" s="3022"/>
      <c r="C595" s="3022"/>
      <c r="D595" s="3022"/>
      <c r="E595" s="3022"/>
      <c r="F595" s="3022"/>
      <c r="G595" s="3022"/>
      <c r="H595" s="3023"/>
      <c r="I595" s="3024"/>
      <c r="J595" s="3025"/>
      <c r="K595" s="3025"/>
      <c r="L595" s="3025"/>
      <c r="M595" s="3004"/>
      <c r="N595" s="3025"/>
      <c r="O595" s="3025"/>
      <c r="P595" s="3025"/>
      <c r="Q595" s="3025"/>
      <c r="R595" s="3004"/>
      <c r="S595" s="3025"/>
      <c r="T595" s="3025"/>
      <c r="U595" s="3025"/>
      <c r="V595" s="3025"/>
      <c r="W595" s="3004"/>
      <c r="X595" s="3025"/>
      <c r="Y595" s="3025"/>
      <c r="Z595" s="3025"/>
      <c r="AA595" s="3025"/>
      <c r="AB595" s="3004"/>
      <c r="AC595" s="3025"/>
      <c r="AD595" s="3025"/>
      <c r="AE595" s="3025"/>
      <c r="AF595" s="3025"/>
      <c r="AG595" s="3004"/>
      <c r="AH595" s="3025"/>
      <c r="AI595" s="3025"/>
      <c r="AJ595" s="3025"/>
      <c r="AK595" s="3025"/>
      <c r="AL595" s="3004"/>
      <c r="AM595" s="3025"/>
      <c r="AN595" s="3025"/>
      <c r="AO595" s="3025"/>
      <c r="AP595" s="3025"/>
      <c r="AQ595" s="3004"/>
      <c r="AR595" s="3025"/>
      <c r="AS595" s="3025"/>
      <c r="AT595" s="3025"/>
      <c r="AU595" s="3025"/>
      <c r="AV595" s="3004"/>
      <c r="AW595" s="3025"/>
      <c r="AX595" s="3025"/>
      <c r="AY595" s="3025"/>
      <c r="AZ595" s="3025"/>
      <c r="BA595" s="3004"/>
      <c r="BB595" s="3025"/>
      <c r="BC595" s="3025"/>
      <c r="BD595" s="3025"/>
      <c r="BE595" s="3025"/>
      <c r="BF595" s="246"/>
      <c r="BG595" s="767"/>
      <c r="BH595" s="767"/>
      <c r="BI595" s="767"/>
      <c r="BJ595" s="767"/>
      <c r="BK595" s="246"/>
      <c r="BL595" s="767"/>
      <c r="BM595" s="767"/>
      <c r="BN595" s="767"/>
      <c r="BO595" s="767"/>
      <c r="BP595" s="246"/>
      <c r="BQ595" s="767"/>
      <c r="BR595" s="767"/>
      <c r="BS595" s="767"/>
      <c r="BT595" s="767"/>
      <c r="BU595" s="246"/>
      <c r="BV595" s="767"/>
      <c r="BW595" s="767"/>
      <c r="BX595" s="767"/>
      <c r="BY595" s="767"/>
      <c r="BZ595" s="246"/>
      <c r="CA595" s="767"/>
      <c r="CB595" s="767"/>
      <c r="CC595" s="767"/>
      <c r="CD595" s="767"/>
      <c r="CE595" s="246"/>
      <c r="CF595" s="767"/>
      <c r="CG595" s="2983"/>
      <c r="CH595" s="3074">
        <f t="shared" ref="CH595:CI599" si="839">CG595</f>
        <v>0</v>
      </c>
      <c r="CI595" s="3074">
        <f t="shared" si="839"/>
        <v>0</v>
      </c>
      <c r="CJ595" s="2293">
        <f t="shared" si="836"/>
        <v>0</v>
      </c>
      <c r="CK595" s="2982">
        <v>0</v>
      </c>
      <c r="CL595" s="2982">
        <v>0</v>
      </c>
      <c r="CM595" s="2982">
        <v>0</v>
      </c>
      <c r="CN595" s="2982">
        <v>0</v>
      </c>
      <c r="CO595" s="3075">
        <f t="shared" si="837"/>
        <v>0</v>
      </c>
      <c r="CP595" s="845">
        <f t="shared" si="835"/>
        <v>0</v>
      </c>
      <c r="CQ595" s="845">
        <f t="shared" si="835"/>
        <v>0</v>
      </c>
      <c r="CR595" s="845">
        <f t="shared" si="835"/>
        <v>0</v>
      </c>
      <c r="CS595" s="845">
        <f t="shared" si="835"/>
        <v>0</v>
      </c>
      <c r="CT595" s="3075">
        <f t="shared" si="835"/>
        <v>0</v>
      </c>
      <c r="CU595" s="3075">
        <f t="shared" si="838"/>
        <v>0</v>
      </c>
      <c r="CV595" s="3078">
        <f t="shared" si="838"/>
        <v>0</v>
      </c>
      <c r="CW595" s="374"/>
      <c r="CX595" s="374"/>
      <c r="CY595" s="374"/>
      <c r="CZ595" s="374"/>
      <c r="DA595" s="374"/>
      <c r="DB595" s="217"/>
    </row>
    <row r="596" spans="1:106" x14ac:dyDescent="0.2">
      <c r="A596" s="2434" t="s">
        <v>2464</v>
      </c>
      <c r="B596" s="3022"/>
      <c r="C596" s="3022"/>
      <c r="D596" s="3022"/>
      <c r="E596" s="3022"/>
      <c r="F596" s="3022"/>
      <c r="G596" s="3022"/>
      <c r="H596" s="3023"/>
      <c r="I596" s="3024"/>
      <c r="J596" s="3025"/>
      <c r="K596" s="3025"/>
      <c r="L596" s="3025"/>
      <c r="M596" s="3004"/>
      <c r="N596" s="3025"/>
      <c r="O596" s="3025"/>
      <c r="P596" s="3025"/>
      <c r="Q596" s="3025"/>
      <c r="R596" s="3004"/>
      <c r="S596" s="3025"/>
      <c r="T596" s="3025"/>
      <c r="U596" s="3025"/>
      <c r="V596" s="3025"/>
      <c r="W596" s="3004"/>
      <c r="X596" s="3025"/>
      <c r="Y596" s="3025"/>
      <c r="Z596" s="3025"/>
      <c r="AA596" s="3025"/>
      <c r="AB596" s="3004"/>
      <c r="AC596" s="3025"/>
      <c r="AD596" s="3025"/>
      <c r="AE596" s="3025"/>
      <c r="AF596" s="3025"/>
      <c r="AG596" s="3004"/>
      <c r="AH596" s="3025"/>
      <c r="AI596" s="3025"/>
      <c r="AJ596" s="3025"/>
      <c r="AK596" s="3025"/>
      <c r="AL596" s="3004"/>
      <c r="AM596" s="3025"/>
      <c r="AN596" s="3025"/>
      <c r="AO596" s="3025"/>
      <c r="AP596" s="3025"/>
      <c r="AQ596" s="3004"/>
      <c r="AR596" s="3025"/>
      <c r="AS596" s="3025"/>
      <c r="AT596" s="3025"/>
      <c r="AU596" s="3025"/>
      <c r="AV596" s="3004"/>
      <c r="AW596" s="3025"/>
      <c r="AX596" s="3025"/>
      <c r="AY596" s="3025"/>
      <c r="AZ596" s="3025"/>
      <c r="BA596" s="3004"/>
      <c r="BB596" s="3025"/>
      <c r="BC596" s="3025"/>
      <c r="BD596" s="3025"/>
      <c r="BE596" s="3025"/>
      <c r="BF596" s="246"/>
      <c r="BG596" s="767"/>
      <c r="BH596" s="767"/>
      <c r="BI596" s="767"/>
      <c r="BJ596" s="767"/>
      <c r="BK596" s="246"/>
      <c r="BL596" s="767"/>
      <c r="BM596" s="767"/>
      <c r="BN596" s="767"/>
      <c r="BO596" s="767"/>
      <c r="BP596" s="246"/>
      <c r="BQ596" s="767"/>
      <c r="BR596" s="767"/>
      <c r="BS596" s="767"/>
      <c r="BT596" s="767"/>
      <c r="BU596" s="246"/>
      <c r="BV596" s="767"/>
      <c r="BW596" s="767"/>
      <c r="BX596" s="767"/>
      <c r="BY596" s="767"/>
      <c r="BZ596" s="246"/>
      <c r="CA596" s="767"/>
      <c r="CB596" s="767"/>
      <c r="CC596" s="767"/>
      <c r="CD596" s="767"/>
      <c r="CE596" s="246"/>
      <c r="CF596" s="767"/>
      <c r="CG596" s="2983"/>
      <c r="CH596" s="3074">
        <f t="shared" si="839"/>
        <v>0</v>
      </c>
      <c r="CI596" s="3074">
        <f t="shared" si="839"/>
        <v>0</v>
      </c>
      <c r="CJ596" s="2293">
        <f t="shared" si="836"/>
        <v>0</v>
      </c>
      <c r="CK596" s="2982">
        <v>0</v>
      </c>
      <c r="CL596" s="2982">
        <v>0</v>
      </c>
      <c r="CM596" s="2982">
        <v>0</v>
      </c>
      <c r="CN596" s="2982">
        <v>0</v>
      </c>
      <c r="CO596" s="3075">
        <f t="shared" si="837"/>
        <v>0</v>
      </c>
      <c r="CP596" s="845">
        <f t="shared" si="835"/>
        <v>0</v>
      </c>
      <c r="CQ596" s="845">
        <f t="shared" si="835"/>
        <v>0</v>
      </c>
      <c r="CR596" s="845">
        <f t="shared" si="835"/>
        <v>0</v>
      </c>
      <c r="CS596" s="845">
        <f t="shared" si="835"/>
        <v>0</v>
      </c>
      <c r="CT596" s="3075">
        <f t="shared" si="835"/>
        <v>0</v>
      </c>
      <c r="CU596" s="3075">
        <f t="shared" si="838"/>
        <v>0</v>
      </c>
      <c r="CV596" s="3078">
        <f t="shared" si="838"/>
        <v>0</v>
      </c>
      <c r="CW596" s="374"/>
      <c r="CX596" s="374"/>
      <c r="CY596" s="374"/>
      <c r="CZ596" s="374"/>
      <c r="DA596" s="374"/>
      <c r="DB596" s="217"/>
    </row>
    <row r="597" spans="1:106" x14ac:dyDescent="0.2">
      <c r="A597" s="2434" t="s">
        <v>2462</v>
      </c>
      <c r="B597" s="3022"/>
      <c r="C597" s="3022"/>
      <c r="D597" s="3022"/>
      <c r="E597" s="3022"/>
      <c r="F597" s="3022"/>
      <c r="G597" s="3022"/>
      <c r="H597" s="3023"/>
      <c r="I597" s="3024"/>
      <c r="J597" s="3025"/>
      <c r="K597" s="3025"/>
      <c r="L597" s="3025"/>
      <c r="M597" s="3004"/>
      <c r="N597" s="3025"/>
      <c r="O597" s="3025"/>
      <c r="P597" s="3025"/>
      <c r="Q597" s="3025"/>
      <c r="R597" s="3004"/>
      <c r="S597" s="3025"/>
      <c r="T597" s="3025"/>
      <c r="U597" s="3025"/>
      <c r="V597" s="3025"/>
      <c r="W597" s="3004"/>
      <c r="X597" s="3025"/>
      <c r="Y597" s="3025"/>
      <c r="Z597" s="3025"/>
      <c r="AA597" s="3025"/>
      <c r="AB597" s="3004"/>
      <c r="AC597" s="3025"/>
      <c r="AD597" s="3025"/>
      <c r="AE597" s="3025"/>
      <c r="AF597" s="3025"/>
      <c r="AG597" s="3004"/>
      <c r="AH597" s="3025"/>
      <c r="AI597" s="3025"/>
      <c r="AJ597" s="3025"/>
      <c r="AK597" s="3025"/>
      <c r="AL597" s="3004"/>
      <c r="AM597" s="3025"/>
      <c r="AN597" s="3025"/>
      <c r="AO597" s="3025"/>
      <c r="AP597" s="3025"/>
      <c r="AQ597" s="3004"/>
      <c r="AR597" s="3025"/>
      <c r="AS597" s="3025"/>
      <c r="AT597" s="3025"/>
      <c r="AU597" s="3025"/>
      <c r="AV597" s="3004"/>
      <c r="AW597" s="3025"/>
      <c r="AX597" s="3025"/>
      <c r="AY597" s="3025"/>
      <c r="AZ597" s="3025"/>
      <c r="BA597" s="3004"/>
      <c r="BB597" s="3025"/>
      <c r="BC597" s="3025"/>
      <c r="BD597" s="3025"/>
      <c r="BE597" s="3025"/>
      <c r="BF597" s="246"/>
      <c r="BG597" s="767"/>
      <c r="BH597" s="767"/>
      <c r="BI597" s="767"/>
      <c r="BJ597" s="767"/>
      <c r="BK597" s="246"/>
      <c r="BL597" s="767"/>
      <c r="BM597" s="767"/>
      <c r="BN597" s="767"/>
      <c r="BO597" s="767"/>
      <c r="BP597" s="246"/>
      <c r="BQ597" s="767"/>
      <c r="BR597" s="767"/>
      <c r="BS597" s="767"/>
      <c r="BT597" s="767"/>
      <c r="BU597" s="246"/>
      <c r="BV597" s="767"/>
      <c r="BW597" s="767"/>
      <c r="BX597" s="767"/>
      <c r="BY597" s="767"/>
      <c r="BZ597" s="246"/>
      <c r="CA597" s="767"/>
      <c r="CB597" s="767"/>
      <c r="CC597" s="767"/>
      <c r="CD597" s="767"/>
      <c r="CE597" s="246"/>
      <c r="CF597" s="767"/>
      <c r="CG597" s="2983"/>
      <c r="CH597" s="3074">
        <f t="shared" si="839"/>
        <v>0</v>
      </c>
      <c r="CI597" s="3074">
        <f t="shared" si="839"/>
        <v>0</v>
      </c>
      <c r="CJ597" s="2293">
        <f t="shared" si="836"/>
        <v>0</v>
      </c>
      <c r="CK597" s="2982">
        <v>0</v>
      </c>
      <c r="CL597" s="2982">
        <v>0</v>
      </c>
      <c r="CM597" s="2982">
        <v>0</v>
      </c>
      <c r="CN597" s="2982">
        <v>0</v>
      </c>
      <c r="CO597" s="3075">
        <f t="shared" si="837"/>
        <v>0</v>
      </c>
      <c r="CP597" s="845">
        <f t="shared" si="835"/>
        <v>0</v>
      </c>
      <c r="CQ597" s="845">
        <f t="shared" si="835"/>
        <v>0</v>
      </c>
      <c r="CR597" s="845">
        <f t="shared" si="835"/>
        <v>0</v>
      </c>
      <c r="CS597" s="845">
        <f t="shared" si="835"/>
        <v>0</v>
      </c>
      <c r="CT597" s="3075">
        <f t="shared" si="835"/>
        <v>0</v>
      </c>
      <c r="CU597" s="3075">
        <f t="shared" si="838"/>
        <v>0</v>
      </c>
      <c r="CV597" s="3078">
        <f t="shared" si="838"/>
        <v>0</v>
      </c>
      <c r="CW597" s="374"/>
      <c r="CX597" s="374"/>
      <c r="CY597" s="374"/>
      <c r="CZ597" s="374"/>
      <c r="DA597" s="374"/>
      <c r="DB597" s="217"/>
    </row>
    <row r="598" spans="1:106" x14ac:dyDescent="0.2">
      <c r="A598" s="2434" t="s">
        <v>2463</v>
      </c>
      <c r="B598" s="3022"/>
      <c r="C598" s="3022"/>
      <c r="D598" s="3022"/>
      <c r="E598" s="3022"/>
      <c r="F598" s="3022"/>
      <c r="G598" s="3022"/>
      <c r="H598" s="3023"/>
      <c r="I598" s="3024"/>
      <c r="J598" s="3025"/>
      <c r="K598" s="3025"/>
      <c r="L598" s="3025"/>
      <c r="M598" s="3004"/>
      <c r="N598" s="3025"/>
      <c r="O598" s="3025"/>
      <c r="P598" s="3025"/>
      <c r="Q598" s="3025"/>
      <c r="R598" s="3004"/>
      <c r="S598" s="3025"/>
      <c r="T598" s="3025"/>
      <c r="U598" s="3025"/>
      <c r="V598" s="3025"/>
      <c r="W598" s="3004"/>
      <c r="X598" s="3025"/>
      <c r="Y598" s="3025"/>
      <c r="Z598" s="3025"/>
      <c r="AA598" s="3025"/>
      <c r="AB598" s="3004"/>
      <c r="AC598" s="3025"/>
      <c r="AD598" s="3025"/>
      <c r="AE598" s="3025"/>
      <c r="AF598" s="3025"/>
      <c r="AG598" s="3004"/>
      <c r="AH598" s="3025"/>
      <c r="AI598" s="3025"/>
      <c r="AJ598" s="3025"/>
      <c r="AK598" s="3025"/>
      <c r="AL598" s="3004"/>
      <c r="AM598" s="3025"/>
      <c r="AN598" s="3025"/>
      <c r="AO598" s="3025"/>
      <c r="AP598" s="3025"/>
      <c r="AQ598" s="3004"/>
      <c r="AR598" s="3025"/>
      <c r="AS598" s="3025"/>
      <c r="AT598" s="3025"/>
      <c r="AU598" s="3025"/>
      <c r="AV598" s="3004"/>
      <c r="AW598" s="3025"/>
      <c r="AX598" s="3025"/>
      <c r="AY598" s="3025"/>
      <c r="AZ598" s="3025"/>
      <c r="BA598" s="3004"/>
      <c r="BB598" s="3025"/>
      <c r="BC598" s="3025"/>
      <c r="BD598" s="3025"/>
      <c r="BE598" s="3025"/>
      <c r="BF598" s="246"/>
      <c r="BG598" s="767"/>
      <c r="BH598" s="767"/>
      <c r="BI598" s="767"/>
      <c r="BJ598" s="767"/>
      <c r="BK598" s="246"/>
      <c r="BL598" s="767"/>
      <c r="BM598" s="767"/>
      <c r="BN598" s="767"/>
      <c r="BO598" s="767"/>
      <c r="BP598" s="246"/>
      <c r="BQ598" s="767"/>
      <c r="BR598" s="767"/>
      <c r="BS598" s="767"/>
      <c r="BT598" s="767"/>
      <c r="BU598" s="246"/>
      <c r="BV598" s="767"/>
      <c r="BW598" s="767"/>
      <c r="BX598" s="767"/>
      <c r="BY598" s="767"/>
      <c r="BZ598" s="246"/>
      <c r="CA598" s="767"/>
      <c r="CB598" s="767"/>
      <c r="CC598" s="767"/>
      <c r="CD598" s="767"/>
      <c r="CE598" s="246"/>
      <c r="CF598" s="767"/>
      <c r="CG598" s="2983"/>
      <c r="CH598" s="3074">
        <f t="shared" si="839"/>
        <v>0</v>
      </c>
      <c r="CI598" s="3074">
        <f t="shared" si="839"/>
        <v>0</v>
      </c>
      <c r="CJ598" s="2293">
        <f t="shared" si="836"/>
        <v>0</v>
      </c>
      <c r="CK598" s="2982">
        <v>0</v>
      </c>
      <c r="CL598" s="2982">
        <v>0</v>
      </c>
      <c r="CM598" s="2982">
        <v>0</v>
      </c>
      <c r="CN598" s="2982">
        <v>0</v>
      </c>
      <c r="CO598" s="3075">
        <f t="shared" si="837"/>
        <v>0</v>
      </c>
      <c r="CP598" s="845">
        <f t="shared" si="835"/>
        <v>0</v>
      </c>
      <c r="CQ598" s="845">
        <f t="shared" si="835"/>
        <v>0</v>
      </c>
      <c r="CR598" s="845">
        <f t="shared" si="835"/>
        <v>0</v>
      </c>
      <c r="CS598" s="845">
        <f t="shared" si="835"/>
        <v>0</v>
      </c>
      <c r="CT598" s="3075">
        <f t="shared" si="835"/>
        <v>0</v>
      </c>
      <c r="CU598" s="3075">
        <f t="shared" si="838"/>
        <v>0</v>
      </c>
      <c r="CV598" s="3078">
        <f t="shared" si="838"/>
        <v>0</v>
      </c>
      <c r="CW598" s="374"/>
      <c r="CX598" s="374"/>
      <c r="CY598" s="374"/>
      <c r="CZ598" s="374"/>
      <c r="DA598" s="374"/>
      <c r="DB598" s="217"/>
    </row>
    <row r="599" spans="1:106" x14ac:dyDescent="0.2">
      <c r="A599" s="2434" t="s">
        <v>1931</v>
      </c>
      <c r="B599" s="3022"/>
      <c r="C599" s="3022"/>
      <c r="D599" s="3022"/>
      <c r="E599" s="3022"/>
      <c r="F599" s="3022"/>
      <c r="G599" s="3022"/>
      <c r="H599" s="3023"/>
      <c r="I599" s="3024"/>
      <c r="J599" s="3025"/>
      <c r="K599" s="3025"/>
      <c r="L599" s="3025"/>
      <c r="M599" s="3004"/>
      <c r="N599" s="3025"/>
      <c r="O599" s="3025"/>
      <c r="P599" s="3025"/>
      <c r="Q599" s="3025"/>
      <c r="R599" s="3004"/>
      <c r="S599" s="3025"/>
      <c r="T599" s="3025"/>
      <c r="U599" s="3025"/>
      <c r="V599" s="3025"/>
      <c r="W599" s="3004"/>
      <c r="X599" s="3025"/>
      <c r="Y599" s="3025"/>
      <c r="Z599" s="3025"/>
      <c r="AA599" s="3025"/>
      <c r="AB599" s="3004"/>
      <c r="AC599" s="3025"/>
      <c r="AD599" s="3025"/>
      <c r="AE599" s="3025"/>
      <c r="AF599" s="3025"/>
      <c r="AG599" s="3004"/>
      <c r="AH599" s="3025"/>
      <c r="AI599" s="3025"/>
      <c r="AJ599" s="3025"/>
      <c r="AK599" s="3025"/>
      <c r="AL599" s="3004"/>
      <c r="AM599" s="3025"/>
      <c r="AN599" s="3025"/>
      <c r="AO599" s="3025"/>
      <c r="AP599" s="3025"/>
      <c r="AQ599" s="3004"/>
      <c r="AR599" s="3025"/>
      <c r="AS599" s="3025"/>
      <c r="AT599" s="3025"/>
      <c r="AU599" s="3025"/>
      <c r="AV599" s="3004"/>
      <c r="AW599" s="3025"/>
      <c r="AX599" s="3025"/>
      <c r="AY599" s="3025"/>
      <c r="AZ599" s="3025"/>
      <c r="BA599" s="3004"/>
      <c r="BB599" s="3025"/>
      <c r="BC599" s="3025"/>
      <c r="BD599" s="3025"/>
      <c r="BE599" s="3025"/>
      <c r="BF599" s="246"/>
      <c r="BG599" s="767"/>
      <c r="BH599" s="767"/>
      <c r="BI599" s="767"/>
      <c r="BJ599" s="767"/>
      <c r="BK599" s="246"/>
      <c r="BL599" s="767"/>
      <c r="BM599" s="767"/>
      <c r="BN599" s="767"/>
      <c r="BO599" s="767"/>
      <c r="BP599" s="246"/>
      <c r="BQ599" s="767"/>
      <c r="BR599" s="767"/>
      <c r="BS599" s="767"/>
      <c r="BT599" s="767"/>
      <c r="BU599" s="246"/>
      <c r="BV599" s="767"/>
      <c r="BW599" s="767"/>
      <c r="BX599" s="767"/>
      <c r="BY599" s="767"/>
      <c r="BZ599" s="246"/>
      <c r="CA599" s="767"/>
      <c r="CB599" s="767"/>
      <c r="CC599" s="767"/>
      <c r="CD599" s="767"/>
      <c r="CE599" s="246"/>
      <c r="CF599" s="767"/>
      <c r="CG599" s="2983"/>
      <c r="CH599" s="3074">
        <f t="shared" si="839"/>
        <v>0</v>
      </c>
      <c r="CI599" s="3074">
        <f t="shared" si="839"/>
        <v>0</v>
      </c>
      <c r="CJ599" s="2293">
        <f t="shared" si="836"/>
        <v>0</v>
      </c>
      <c r="CK599" s="2982">
        <v>0</v>
      </c>
      <c r="CL599" s="2982">
        <v>0</v>
      </c>
      <c r="CM599" s="2982">
        <v>0</v>
      </c>
      <c r="CN599" s="2982">
        <v>0</v>
      </c>
      <c r="CO599" s="3075">
        <f t="shared" si="837"/>
        <v>0</v>
      </c>
      <c r="CP599" s="845">
        <f t="shared" si="835"/>
        <v>0</v>
      </c>
      <c r="CQ599" s="845">
        <f t="shared" si="835"/>
        <v>0</v>
      </c>
      <c r="CR599" s="845">
        <f t="shared" si="835"/>
        <v>0</v>
      </c>
      <c r="CS599" s="845">
        <f t="shared" si="835"/>
        <v>0</v>
      </c>
      <c r="CT599" s="3075">
        <f t="shared" si="835"/>
        <v>0</v>
      </c>
      <c r="CU599" s="3075">
        <f t="shared" si="838"/>
        <v>0</v>
      </c>
      <c r="CV599" s="3078">
        <f t="shared" si="838"/>
        <v>0</v>
      </c>
      <c r="CW599" s="374"/>
      <c r="CX599" s="374"/>
      <c r="CY599" s="374"/>
      <c r="CZ599" s="374"/>
      <c r="DA599" s="374"/>
      <c r="DB599" s="217"/>
    </row>
    <row r="600" spans="1:106" ht="4.5" customHeight="1" x14ac:dyDescent="0.35">
      <c r="A600" s="1207"/>
      <c r="B600" s="212"/>
      <c r="C600" s="212"/>
      <c r="D600" s="212"/>
      <c r="E600" s="212"/>
      <c r="F600" s="212"/>
      <c r="G600" s="212"/>
      <c r="H600" s="194"/>
      <c r="I600" s="850" t="s">
        <v>2466</v>
      </c>
      <c r="J600" s="850" t="s">
        <v>2139</v>
      </c>
      <c r="K600" s="850" t="s">
        <v>2466</v>
      </c>
      <c r="L600" s="850" t="s">
        <v>2139</v>
      </c>
      <c r="M600" s="3009" t="s">
        <v>2378</v>
      </c>
      <c r="N600" s="850" t="s">
        <v>2466</v>
      </c>
      <c r="O600" s="850" t="s">
        <v>2139</v>
      </c>
      <c r="P600" s="850" t="s">
        <v>2466</v>
      </c>
      <c r="Q600" s="850" t="s">
        <v>2139</v>
      </c>
      <c r="R600" s="3009" t="s">
        <v>2378</v>
      </c>
      <c r="S600" s="850" t="s">
        <v>2466</v>
      </c>
      <c r="T600" s="850" t="s">
        <v>2139</v>
      </c>
      <c r="U600" s="850" t="s">
        <v>2466</v>
      </c>
      <c r="V600" s="850" t="s">
        <v>2139</v>
      </c>
      <c r="W600" s="3009" t="s">
        <v>2378</v>
      </c>
      <c r="X600" s="850" t="s">
        <v>2466</v>
      </c>
      <c r="Y600" s="850" t="s">
        <v>2139</v>
      </c>
      <c r="Z600" s="850" t="s">
        <v>2466</v>
      </c>
      <c r="AA600" s="850" t="s">
        <v>2139</v>
      </c>
      <c r="AB600" s="3009" t="s">
        <v>2378</v>
      </c>
      <c r="AC600" s="850" t="s">
        <v>2466</v>
      </c>
      <c r="AD600" s="850" t="s">
        <v>2139</v>
      </c>
      <c r="AE600" s="850" t="s">
        <v>2466</v>
      </c>
      <c r="AF600" s="850" t="s">
        <v>2139</v>
      </c>
      <c r="AG600" s="3009" t="s">
        <v>2378</v>
      </c>
      <c r="AH600" s="850" t="s">
        <v>2466</v>
      </c>
      <c r="AI600" s="850" t="s">
        <v>2139</v>
      </c>
      <c r="AJ600" s="850" t="s">
        <v>2466</v>
      </c>
      <c r="AK600" s="850" t="s">
        <v>2139</v>
      </c>
      <c r="AL600" s="3009" t="s">
        <v>2378</v>
      </c>
      <c r="AM600" s="850" t="s">
        <v>2466</v>
      </c>
      <c r="AN600" s="850" t="s">
        <v>2139</v>
      </c>
      <c r="AO600" s="850" t="s">
        <v>2466</v>
      </c>
      <c r="AP600" s="850" t="s">
        <v>2139</v>
      </c>
      <c r="AQ600" s="3009" t="s">
        <v>2378</v>
      </c>
      <c r="AR600" s="850" t="s">
        <v>2466</v>
      </c>
      <c r="AS600" s="850" t="s">
        <v>2139</v>
      </c>
      <c r="AT600" s="850" t="s">
        <v>2466</v>
      </c>
      <c r="AU600" s="850" t="s">
        <v>2139</v>
      </c>
      <c r="AV600" s="3009" t="s">
        <v>2378</v>
      </c>
      <c r="AW600" s="850" t="s">
        <v>2466</v>
      </c>
      <c r="AX600" s="850" t="s">
        <v>2139</v>
      </c>
      <c r="AY600" s="850" t="s">
        <v>2466</v>
      </c>
      <c r="AZ600" s="850" t="s">
        <v>2139</v>
      </c>
      <c r="BA600" s="3009" t="s">
        <v>2378</v>
      </c>
      <c r="BB600" s="850" t="s">
        <v>2466</v>
      </c>
      <c r="BC600" s="850" t="s">
        <v>2139</v>
      </c>
      <c r="BD600" s="850" t="s">
        <v>2466</v>
      </c>
      <c r="BE600" s="850" t="s">
        <v>2139</v>
      </c>
      <c r="BF600" s="3009" t="s">
        <v>2378</v>
      </c>
      <c r="BG600" s="3011" t="s">
        <v>2467</v>
      </c>
      <c r="BH600" s="3011" t="s">
        <v>2467</v>
      </c>
      <c r="BI600" s="3011" t="s">
        <v>2467</v>
      </c>
      <c r="BJ600" s="3011" t="s">
        <v>2467</v>
      </c>
      <c r="BK600" s="3009" t="s">
        <v>2139</v>
      </c>
      <c r="BL600" s="3011" t="s">
        <v>1191</v>
      </c>
      <c r="BM600" s="3011" t="s">
        <v>1191</v>
      </c>
      <c r="BN600" s="3011" t="s">
        <v>1191</v>
      </c>
      <c r="BO600" s="3011" t="s">
        <v>1191</v>
      </c>
      <c r="BP600" s="3009" t="s">
        <v>2139</v>
      </c>
      <c r="BQ600" s="3011" t="s">
        <v>2139</v>
      </c>
      <c r="BR600" s="3011" t="s">
        <v>2139</v>
      </c>
      <c r="BS600" s="3011" t="s">
        <v>2139</v>
      </c>
      <c r="BT600" s="3011" t="s">
        <v>2139</v>
      </c>
      <c r="BU600" s="3009" t="s">
        <v>2139</v>
      </c>
      <c r="BV600" s="3011" t="s">
        <v>2468</v>
      </c>
      <c r="BW600" s="3011" t="s">
        <v>2468</v>
      </c>
      <c r="BX600" s="3011" t="s">
        <v>2468</v>
      </c>
      <c r="BY600" s="3011" t="s">
        <v>2467</v>
      </c>
      <c r="BZ600" s="3009" t="s">
        <v>2378</v>
      </c>
      <c r="CA600" s="3011" t="s">
        <v>2466</v>
      </c>
      <c r="CB600" s="3011" t="s">
        <v>2466</v>
      </c>
      <c r="CC600" s="3011" t="s">
        <v>2466</v>
      </c>
      <c r="CD600" s="3011" t="s">
        <v>2378</v>
      </c>
      <c r="CE600" s="3009" t="s">
        <v>2139</v>
      </c>
      <c r="CF600" s="3011" t="s">
        <v>2466</v>
      </c>
      <c r="CG600" s="3011" t="s">
        <v>2378</v>
      </c>
      <c r="CH600" s="3011" t="s">
        <v>2378</v>
      </c>
      <c r="CI600" s="3011" t="s">
        <v>2378</v>
      </c>
      <c r="CJ600" s="3009" t="s">
        <v>2378</v>
      </c>
      <c r="CK600" s="3521">
        <v>0</v>
      </c>
      <c r="CL600" s="3521">
        <v>0</v>
      </c>
      <c r="CM600" s="3521">
        <v>0</v>
      </c>
      <c r="CN600" s="3521">
        <v>0</v>
      </c>
      <c r="CO600" s="3009" t="s">
        <v>2378</v>
      </c>
      <c r="CP600" s="3011" t="s">
        <v>2378</v>
      </c>
      <c r="CQ600" s="3011" t="s">
        <v>2378</v>
      </c>
      <c r="CR600" s="3011" t="s">
        <v>2378</v>
      </c>
      <c r="CS600" s="3011" t="s">
        <v>2378</v>
      </c>
      <c r="CT600" s="3009" t="s">
        <v>2378</v>
      </c>
      <c r="CU600" s="3009" t="s">
        <v>2378</v>
      </c>
      <c r="CV600" s="3019" t="s">
        <v>2378</v>
      </c>
      <c r="DB600" s="217"/>
    </row>
    <row r="601" spans="1:106" x14ac:dyDescent="0.2">
      <c r="A601" s="764" t="s">
        <v>1735</v>
      </c>
      <c r="B601" s="651"/>
      <c r="C601" s="236"/>
      <c r="D601" s="207"/>
      <c r="E601" s="207"/>
      <c r="F601" s="207"/>
      <c r="G601" s="234"/>
      <c r="H601" s="1426">
        <f t="shared" ref="H601:AM601" si="840">SUM(H572:H587)</f>
        <v>1949</v>
      </c>
      <c r="I601" s="1429">
        <f t="shared" si="840"/>
        <v>1949</v>
      </c>
      <c r="J601" s="257">
        <f t="shared" si="840"/>
        <v>2194</v>
      </c>
      <c r="K601" s="257">
        <f t="shared" si="840"/>
        <v>2194</v>
      </c>
      <c r="L601" s="257">
        <f t="shared" si="840"/>
        <v>2194</v>
      </c>
      <c r="M601" s="1426">
        <f t="shared" si="840"/>
        <v>2194</v>
      </c>
      <c r="N601" s="257">
        <f t="shared" si="840"/>
        <v>2194</v>
      </c>
      <c r="O601" s="257">
        <f t="shared" si="840"/>
        <v>2194</v>
      </c>
      <c r="P601" s="257">
        <f t="shared" si="840"/>
        <v>2051</v>
      </c>
      <c r="Q601" s="257">
        <f t="shared" si="840"/>
        <v>1822</v>
      </c>
      <c r="R601" s="1426">
        <f t="shared" si="840"/>
        <v>1822</v>
      </c>
      <c r="S601" s="257">
        <f t="shared" si="840"/>
        <v>1822</v>
      </c>
      <c r="T601" s="257">
        <f t="shared" si="840"/>
        <v>1822</v>
      </c>
      <c r="U601" s="257">
        <f t="shared" si="840"/>
        <v>1492</v>
      </c>
      <c r="V601" s="257">
        <f t="shared" si="840"/>
        <v>1492</v>
      </c>
      <c r="W601" s="1426">
        <f t="shared" si="840"/>
        <v>1492</v>
      </c>
      <c r="X601" s="257">
        <f t="shared" si="840"/>
        <v>3304</v>
      </c>
      <c r="Y601" s="257">
        <f t="shared" si="840"/>
        <v>3304</v>
      </c>
      <c r="Z601" s="257">
        <f t="shared" si="840"/>
        <v>3304</v>
      </c>
      <c r="AA601" s="257">
        <f t="shared" si="840"/>
        <v>3201</v>
      </c>
      <c r="AB601" s="1426">
        <f t="shared" si="840"/>
        <v>3201</v>
      </c>
      <c r="AC601" s="257">
        <f t="shared" si="840"/>
        <v>2868</v>
      </c>
      <c r="AD601" s="257">
        <f t="shared" si="840"/>
        <v>2600</v>
      </c>
      <c r="AE601" s="257">
        <f t="shared" si="840"/>
        <v>4266</v>
      </c>
      <c r="AF601" s="257">
        <f t="shared" si="840"/>
        <v>4790</v>
      </c>
      <c r="AG601" s="1426">
        <f t="shared" si="840"/>
        <v>4790</v>
      </c>
      <c r="AH601" s="257">
        <f t="shared" si="840"/>
        <v>5572</v>
      </c>
      <c r="AI601" s="257">
        <f t="shared" si="840"/>
        <v>3728</v>
      </c>
      <c r="AJ601" s="257">
        <f t="shared" si="840"/>
        <v>3731</v>
      </c>
      <c r="AK601" s="257">
        <f t="shared" si="840"/>
        <v>4257</v>
      </c>
      <c r="AL601" s="1426">
        <f t="shared" si="840"/>
        <v>4257</v>
      </c>
      <c r="AM601" s="257">
        <f t="shared" si="840"/>
        <v>4200</v>
      </c>
      <c r="AN601" s="257">
        <f t="shared" ref="AN601:BS601" si="841">SUM(AN572:AN587)</f>
        <v>4465</v>
      </c>
      <c r="AO601" s="257">
        <f t="shared" si="841"/>
        <v>3214</v>
      </c>
      <c r="AP601" s="257">
        <f t="shared" si="841"/>
        <v>2869</v>
      </c>
      <c r="AQ601" s="1426">
        <f t="shared" si="841"/>
        <v>2869</v>
      </c>
      <c r="AR601" s="257">
        <f t="shared" si="841"/>
        <v>2898</v>
      </c>
      <c r="AS601" s="257">
        <f t="shared" si="841"/>
        <v>3046</v>
      </c>
      <c r="AT601" s="257">
        <f t="shared" si="841"/>
        <v>3186</v>
      </c>
      <c r="AU601" s="257">
        <f t="shared" si="841"/>
        <v>3206</v>
      </c>
      <c r="AV601" s="1426">
        <f t="shared" si="841"/>
        <v>3206</v>
      </c>
      <c r="AW601" s="257">
        <f t="shared" si="841"/>
        <v>3723</v>
      </c>
      <c r="AX601" s="257">
        <f t="shared" si="841"/>
        <v>4060</v>
      </c>
      <c r="AY601" s="257">
        <f t="shared" si="841"/>
        <v>4060</v>
      </c>
      <c r="AZ601" s="257">
        <f t="shared" si="841"/>
        <v>4060</v>
      </c>
      <c r="BA601" s="1426">
        <f t="shared" si="841"/>
        <v>4060</v>
      </c>
      <c r="BB601" s="257">
        <f t="shared" si="841"/>
        <v>4561</v>
      </c>
      <c r="BC601" s="257">
        <f t="shared" si="841"/>
        <v>4561</v>
      </c>
      <c r="BD601" s="257">
        <f t="shared" si="841"/>
        <v>4561</v>
      </c>
      <c r="BE601" s="257">
        <f t="shared" si="841"/>
        <v>5914</v>
      </c>
      <c r="BF601" s="1426">
        <f t="shared" si="841"/>
        <v>5914</v>
      </c>
      <c r="BG601" s="257">
        <f t="shared" si="841"/>
        <v>6294</v>
      </c>
      <c r="BH601" s="257">
        <f t="shared" si="841"/>
        <v>6294</v>
      </c>
      <c r="BI601" s="257">
        <f t="shared" si="841"/>
        <v>6294</v>
      </c>
      <c r="BJ601" s="257">
        <f t="shared" si="841"/>
        <v>6033</v>
      </c>
      <c r="BK601" s="1426">
        <f t="shared" si="841"/>
        <v>6033</v>
      </c>
      <c r="BL601" s="257">
        <f t="shared" si="841"/>
        <v>6033</v>
      </c>
      <c r="BM601" s="257">
        <f t="shared" si="841"/>
        <v>5940</v>
      </c>
      <c r="BN601" s="257">
        <f t="shared" si="841"/>
        <v>5704</v>
      </c>
      <c r="BO601" s="852">
        <f t="shared" si="841"/>
        <v>5249</v>
      </c>
      <c r="BP601" s="1426">
        <f t="shared" si="841"/>
        <v>5249</v>
      </c>
      <c r="BQ601" s="852">
        <f t="shared" si="841"/>
        <v>5249</v>
      </c>
      <c r="BR601" s="852">
        <f t="shared" si="841"/>
        <v>4975</v>
      </c>
      <c r="BS601" s="852">
        <f t="shared" si="841"/>
        <v>5082</v>
      </c>
      <c r="BT601" s="852">
        <f t="shared" ref="BT601:CF601" si="842">SUM(BT572:BT587)</f>
        <v>5082</v>
      </c>
      <c r="BU601" s="1426">
        <f t="shared" si="842"/>
        <v>5082</v>
      </c>
      <c r="BV601" s="852">
        <f t="shared" si="842"/>
        <v>4909</v>
      </c>
      <c r="BW601" s="852">
        <f t="shared" si="842"/>
        <v>6299</v>
      </c>
      <c r="BX601" s="852">
        <f t="shared" si="842"/>
        <v>5786</v>
      </c>
      <c r="BY601" s="852">
        <f t="shared" si="842"/>
        <v>5786</v>
      </c>
      <c r="BZ601" s="1426">
        <f t="shared" si="842"/>
        <v>5786</v>
      </c>
      <c r="CA601" s="852">
        <f t="shared" si="842"/>
        <v>5618</v>
      </c>
      <c r="CB601" s="852">
        <f t="shared" si="842"/>
        <v>5618</v>
      </c>
      <c r="CC601" s="852">
        <f t="shared" si="842"/>
        <v>5403</v>
      </c>
      <c r="CD601" s="852">
        <f t="shared" si="842"/>
        <v>5223</v>
      </c>
      <c r="CE601" s="1426">
        <f t="shared" si="842"/>
        <v>5223</v>
      </c>
      <c r="CF601" s="852">
        <f t="shared" si="842"/>
        <v>5223</v>
      </c>
      <c r="CG601" s="852">
        <f>SUM(CG572:CG587)</f>
        <v>5223</v>
      </c>
      <c r="CH601" s="852">
        <f>SUM(CH571:CH587)</f>
        <v>5628</v>
      </c>
      <c r="CI601">
        <f t="shared" ref="CI601:CV601" si="843">SUM(CI571:CI600)</f>
        <v>10034</v>
      </c>
      <c r="CJ601" s="843">
        <f t="shared" si="843"/>
        <v>10034</v>
      </c>
      <c r="CK601" s="854">
        <f t="shared" si="843"/>
        <v>10034</v>
      </c>
      <c r="CL601" s="854">
        <f t="shared" si="843"/>
        <v>10025</v>
      </c>
      <c r="CM601" s="854">
        <f>SUM(CM571:CM600)</f>
        <v>10024</v>
      </c>
      <c r="CN601" s="854">
        <f>SUM(CN571:CN600)</f>
        <v>10028</v>
      </c>
      <c r="CO601" s="843">
        <f t="shared" si="843"/>
        <v>10028</v>
      </c>
      <c r="CP601" s="852">
        <f t="shared" si="843"/>
        <v>10028</v>
      </c>
      <c r="CQ601" s="852">
        <f t="shared" si="843"/>
        <v>10028</v>
      </c>
      <c r="CR601" s="852">
        <f t="shared" si="843"/>
        <v>10028</v>
      </c>
      <c r="CS601" s="852">
        <f t="shared" si="843"/>
        <v>10028</v>
      </c>
      <c r="CT601" s="843">
        <f t="shared" si="843"/>
        <v>10028</v>
      </c>
      <c r="CU601" s="843">
        <f t="shared" si="843"/>
        <v>10028</v>
      </c>
      <c r="CV601" s="843">
        <f t="shared" si="843"/>
        <v>10028</v>
      </c>
      <c r="CW601" s="374"/>
      <c r="CX601" s="374"/>
      <c r="CY601" s="374"/>
      <c r="CZ601" s="374"/>
      <c r="DA601" s="374"/>
      <c r="DB601" s="217"/>
    </row>
    <row r="602" spans="1:106" x14ac:dyDescent="0.2">
      <c r="A602" s="1264"/>
      <c r="B602" s="651"/>
      <c r="C602" s="236"/>
      <c r="D602" s="207"/>
      <c r="E602" s="207"/>
      <c r="F602" s="207"/>
      <c r="G602" s="234"/>
      <c r="H602" s="236"/>
      <c r="I602" s="207"/>
      <c r="J602" s="207"/>
      <c r="K602" s="207"/>
      <c r="L602" s="234"/>
      <c r="M602" s="236"/>
      <c r="N602" s="234"/>
      <c r="O602" s="234"/>
      <c r="P602" s="234"/>
      <c r="Q602" s="234"/>
      <c r="R602" s="236"/>
      <c r="S602" s="234"/>
      <c r="T602" s="234"/>
      <c r="U602" s="234"/>
      <c r="V602" s="234"/>
      <c r="W602" s="236"/>
      <c r="X602" s="234"/>
      <c r="Y602" s="234"/>
      <c r="Z602" s="234"/>
      <c r="AA602" s="234"/>
      <c r="AB602" s="236"/>
      <c r="AC602" s="234"/>
      <c r="AD602" s="234"/>
      <c r="AE602" s="234"/>
      <c r="AF602" s="234"/>
      <c r="AG602" s="236"/>
      <c r="AH602" s="234"/>
      <c r="AI602" s="234"/>
      <c r="AJ602" s="234"/>
      <c r="AK602" s="234"/>
      <c r="AL602" s="236"/>
      <c r="AM602" s="234"/>
      <c r="AN602" s="234"/>
      <c r="AO602" s="234"/>
      <c r="AP602" s="234"/>
      <c r="AQ602" s="236"/>
      <c r="AR602" s="234"/>
      <c r="AS602" s="234"/>
      <c r="AT602" s="234"/>
      <c r="AU602" s="234"/>
      <c r="AV602" s="236"/>
      <c r="AW602" s="234"/>
      <c r="AX602" s="234"/>
      <c r="AY602" s="234"/>
      <c r="AZ602" s="234"/>
      <c r="BA602" s="236"/>
      <c r="BB602" s="234"/>
      <c r="BC602" s="234"/>
      <c r="BD602" s="234"/>
      <c r="BE602" s="234"/>
      <c r="BF602" s="236"/>
      <c r="BG602" s="234"/>
      <c r="BH602" s="234"/>
      <c r="BI602" s="234"/>
      <c r="BJ602" s="234"/>
      <c r="BK602" s="236"/>
      <c r="BL602" s="234"/>
      <c r="BM602" s="234"/>
      <c r="BN602" s="212"/>
      <c r="BO602" s="212"/>
      <c r="BP602" s="194"/>
      <c r="BQ602" s="212"/>
      <c r="BR602" s="212"/>
      <c r="BS602" s="212"/>
      <c r="BT602" s="212"/>
      <c r="BU602" s="194"/>
      <c r="BV602" s="212"/>
      <c r="BW602" s="212"/>
      <c r="BX602" s="212"/>
      <c r="BY602" s="212"/>
      <c r="BZ602" s="194"/>
      <c r="CA602" s="212"/>
      <c r="CB602" s="212"/>
      <c r="CC602" s="212"/>
      <c r="CD602" s="212"/>
      <c r="CE602" s="194"/>
      <c r="CF602" s="212"/>
      <c r="CG602" s="212"/>
      <c r="CH602" s="212"/>
      <c r="CI602" s="212"/>
      <c r="CJ602" s="194"/>
      <c r="CK602" s="2907"/>
      <c r="CL602" s="212"/>
      <c r="CM602" s="212"/>
      <c r="CN602" s="212"/>
      <c r="CO602" s="194"/>
      <c r="CP602" s="2907"/>
      <c r="CQ602" s="212"/>
      <c r="CR602" s="212"/>
      <c r="CS602" s="212"/>
      <c r="CT602" s="194"/>
      <c r="CU602" s="194"/>
      <c r="CV602" s="194"/>
      <c r="CW602" s="374"/>
      <c r="CX602" s="374"/>
      <c r="CY602" s="374"/>
      <c r="CZ602" s="374"/>
      <c r="DA602" s="374"/>
      <c r="DB602" s="217"/>
    </row>
    <row r="603" spans="1:106" x14ac:dyDescent="0.2">
      <c r="A603" s="1263" t="s">
        <v>361</v>
      </c>
      <c r="B603" s="651"/>
      <c r="C603" s="236"/>
      <c r="D603" s="207"/>
      <c r="E603" s="207"/>
      <c r="F603" s="207"/>
      <c r="G603" s="234"/>
      <c r="H603" s="236"/>
      <c r="I603" s="207"/>
      <c r="J603" s="207"/>
      <c r="K603" s="207"/>
      <c r="L603" s="234"/>
      <c r="M603" s="236"/>
      <c r="N603" s="234"/>
      <c r="O603" s="234"/>
      <c r="P603" s="234"/>
      <c r="Q603" s="234"/>
      <c r="R603" s="236"/>
      <c r="S603" s="234"/>
      <c r="T603" s="234"/>
      <c r="U603" s="234"/>
      <c r="V603" s="234"/>
      <c r="W603" s="236"/>
      <c r="X603" s="234"/>
      <c r="Y603" s="234"/>
      <c r="Z603" s="234"/>
      <c r="AA603" s="234"/>
      <c r="AB603" s="236"/>
      <c r="AC603" s="234"/>
      <c r="AD603" s="234"/>
      <c r="AE603" s="234"/>
      <c r="AF603" s="234"/>
      <c r="AG603" s="236"/>
      <c r="AH603" s="234"/>
      <c r="AI603" s="234"/>
      <c r="AJ603" s="234"/>
      <c r="AK603" s="234"/>
      <c r="AL603" s="236"/>
      <c r="AM603" s="234"/>
      <c r="AN603" s="234"/>
      <c r="AO603" s="234"/>
      <c r="AP603" s="234"/>
      <c r="AQ603" s="236"/>
      <c r="AR603" s="234"/>
      <c r="AS603" s="234"/>
      <c r="AT603" s="234"/>
      <c r="AU603" s="234"/>
      <c r="AV603" s="236"/>
      <c r="AW603" s="234"/>
      <c r="AX603" s="234"/>
      <c r="AY603" s="234"/>
      <c r="AZ603" s="234"/>
      <c r="BA603" s="236"/>
      <c r="BB603" s="234"/>
      <c r="BC603" s="234"/>
      <c r="BD603" s="234"/>
      <c r="BE603" s="234"/>
      <c r="BF603" s="236"/>
      <c r="BG603" s="234"/>
      <c r="BH603" s="234"/>
      <c r="BI603" s="234"/>
      <c r="BJ603" s="234"/>
      <c r="BK603" s="236"/>
      <c r="BL603" s="234"/>
      <c r="BM603" s="234"/>
      <c r="BN603" s="212"/>
      <c r="BO603" s="212"/>
      <c r="BP603" s="194"/>
      <c r="BQ603" s="212"/>
      <c r="BR603" s="212"/>
      <c r="BS603" s="212"/>
      <c r="BT603" s="212"/>
      <c r="BU603" s="194"/>
      <c r="BV603" s="212"/>
      <c r="BW603" s="212"/>
      <c r="BX603" s="212"/>
      <c r="BY603" s="212"/>
      <c r="BZ603" s="194"/>
      <c r="CA603" s="212"/>
      <c r="CB603" s="212"/>
      <c r="CC603" s="212"/>
      <c r="CD603" s="212"/>
      <c r="CE603" s="194"/>
      <c r="CF603" s="212"/>
      <c r="CG603" s="212"/>
      <c r="CH603" s="212"/>
      <c r="CI603" s="212"/>
      <c r="CJ603" s="194"/>
      <c r="CK603" s="2907"/>
      <c r="CL603" s="212"/>
      <c r="CM603" s="212"/>
      <c r="CN603" s="212"/>
      <c r="CO603" s="194"/>
      <c r="CP603" s="2907"/>
      <c r="CQ603" s="212"/>
      <c r="CR603" s="212"/>
      <c r="CS603" s="212"/>
      <c r="CT603" s="194"/>
      <c r="CU603" s="194"/>
      <c r="CV603" s="194"/>
      <c r="CW603" s="374"/>
      <c r="CX603" s="374"/>
      <c r="CY603" s="374"/>
      <c r="CZ603" s="374"/>
      <c r="DA603" s="374"/>
      <c r="DB603" s="217"/>
    </row>
    <row r="604" spans="1:106" x14ac:dyDescent="0.2">
      <c r="A604" s="2308" t="s">
        <v>456</v>
      </c>
      <c r="B604" s="651"/>
      <c r="C604" s="236"/>
      <c r="D604" s="234"/>
      <c r="E604" s="234"/>
      <c r="F604" s="234"/>
      <c r="G604" s="234"/>
      <c r="H604" s="236"/>
      <c r="I604" s="234"/>
      <c r="J604" s="234"/>
      <c r="K604" s="234"/>
      <c r="L604" s="234"/>
      <c r="M604" s="236"/>
      <c r="N604" s="234"/>
      <c r="O604" s="234"/>
      <c r="P604" s="234"/>
      <c r="Q604" s="234"/>
      <c r="R604" s="236"/>
      <c r="S604" s="234"/>
      <c r="T604" s="234"/>
      <c r="U604" s="234"/>
      <c r="V604" s="234"/>
      <c r="W604" s="236"/>
      <c r="X604" s="234"/>
      <c r="Y604" s="234"/>
      <c r="Z604" s="234"/>
      <c r="AA604" s="234"/>
      <c r="AB604" s="236"/>
      <c r="AC604" s="234"/>
      <c r="AD604" s="234"/>
      <c r="AE604" s="234"/>
      <c r="AF604" s="234"/>
      <c r="AG604" s="236"/>
      <c r="AH604" s="234"/>
      <c r="AI604" s="234"/>
      <c r="AJ604" s="234"/>
      <c r="AK604" s="234"/>
      <c r="AL604" s="236"/>
      <c r="AM604" s="234"/>
      <c r="AN604" s="234"/>
      <c r="AO604" s="234"/>
      <c r="AP604" s="234"/>
      <c r="AQ604" s="236"/>
      <c r="AR604" s="234"/>
      <c r="AS604" s="234"/>
      <c r="AT604" s="234"/>
      <c r="AU604" s="234"/>
      <c r="AV604" s="236"/>
      <c r="AW604" s="234"/>
      <c r="AX604" s="234"/>
      <c r="AY604" s="234"/>
      <c r="AZ604" s="234"/>
      <c r="BA604" s="236"/>
      <c r="BB604" s="234"/>
      <c r="BC604" s="234"/>
      <c r="BD604" s="234"/>
      <c r="BE604" s="234"/>
      <c r="BF604" s="236"/>
      <c r="BG604" s="234"/>
      <c r="BH604" s="234"/>
      <c r="BI604" s="234"/>
      <c r="BJ604" s="234"/>
      <c r="BK604" s="236"/>
      <c r="BL604" s="234"/>
      <c r="BM604" s="234"/>
      <c r="BN604" s="234"/>
      <c r="BO604" s="234"/>
      <c r="BP604" s="236"/>
      <c r="BQ604" s="234"/>
      <c r="BR604" s="234"/>
      <c r="BS604" s="234"/>
      <c r="BT604" s="234"/>
      <c r="BU604" s="236"/>
      <c r="BV604" s="234"/>
      <c r="BW604" s="234"/>
      <c r="BX604" s="234"/>
      <c r="BY604" s="234"/>
      <c r="BZ604" s="236"/>
      <c r="CA604" s="234"/>
      <c r="CB604" s="234"/>
      <c r="CC604" s="234"/>
      <c r="CD604" s="234"/>
      <c r="CE604" s="236"/>
      <c r="CF604" s="234"/>
      <c r="CG604" s="234"/>
      <c r="CH604" s="1231">
        <v>17934</v>
      </c>
      <c r="CI604" s="1231">
        <v>18925</v>
      </c>
      <c r="CJ604" s="752">
        <f>+CI604</f>
        <v>18925</v>
      </c>
      <c r="CK604" s="3501">
        <v>18925</v>
      </c>
      <c r="CL604" s="3501">
        <v>18925</v>
      </c>
      <c r="CM604" s="3501">
        <v>18925</v>
      </c>
      <c r="CN604" s="3501">
        <v>19125</v>
      </c>
      <c r="CO604" s="752">
        <f>+CN604</f>
        <v>19125</v>
      </c>
      <c r="CP604" s="1261">
        <f t="shared" ref="CP604:CS607" si="844">+CK604*(1+CP$875)</f>
        <v>19871.25</v>
      </c>
      <c r="CQ604" s="1261">
        <f t="shared" si="844"/>
        <v>20060.5</v>
      </c>
      <c r="CR604" s="1261">
        <f t="shared" si="844"/>
        <v>20060.5</v>
      </c>
      <c r="CS604" s="1261">
        <f t="shared" si="844"/>
        <v>20272.5</v>
      </c>
      <c r="CT604" s="752">
        <f>+CS604</f>
        <v>20272.5</v>
      </c>
      <c r="CU604" s="194">
        <f t="shared" ref="CU604:CV607" si="845">+CT604*(1+CU$875)</f>
        <v>21387.487499999999</v>
      </c>
      <c r="CV604" s="194">
        <f t="shared" si="845"/>
        <v>21815.237249999998</v>
      </c>
      <c r="CW604" s="374"/>
      <c r="CX604" s="374"/>
      <c r="CY604" s="374"/>
      <c r="CZ604" s="374"/>
      <c r="DA604" s="374"/>
      <c r="DB604" s="217"/>
    </row>
    <row r="605" spans="1:106" x14ac:dyDescent="0.2">
      <c r="A605" s="1264" t="s">
        <v>346</v>
      </c>
      <c r="B605" s="651"/>
      <c r="C605" s="236"/>
      <c r="D605" s="207"/>
      <c r="E605" s="207"/>
      <c r="F605" s="207"/>
      <c r="G605" s="234"/>
      <c r="H605" s="236"/>
      <c r="I605" s="973">
        <f>+I940-I639</f>
        <v>22481</v>
      </c>
      <c r="J605" s="750">
        <f>+J940-J639</f>
        <v>23198</v>
      </c>
      <c r="K605" s="750">
        <f>+K940-K639</f>
        <v>23691</v>
      </c>
      <c r="L605" s="758">
        <f>+L940-L639</f>
        <v>24379</v>
      </c>
      <c r="M605" s="752">
        <f>L605</f>
        <v>24379</v>
      </c>
      <c r="N605" s="750">
        <f>+N940-N639</f>
        <v>24230</v>
      </c>
      <c r="O605" s="750">
        <f>+O940-O639</f>
        <v>24617</v>
      </c>
      <c r="P605" s="753">
        <v>25771</v>
      </c>
      <c r="Q605" s="756">
        <v>27381</v>
      </c>
      <c r="R605" s="752">
        <f>Q605</f>
        <v>27381</v>
      </c>
      <c r="S605" s="753">
        <v>28301</v>
      </c>
      <c r="T605" s="753">
        <v>28728</v>
      </c>
      <c r="U605" s="753">
        <v>29796</v>
      </c>
      <c r="V605" s="754">
        <v>29855</v>
      </c>
      <c r="W605" s="752">
        <f t="shared" ref="W605:W621" si="846">V605</f>
        <v>29855</v>
      </c>
      <c r="X605" s="753">
        <v>29005</v>
      </c>
      <c r="Y605" s="753">
        <v>29453</v>
      </c>
      <c r="Z605" s="753">
        <v>29863</v>
      </c>
      <c r="AA605" s="754">
        <v>29911</v>
      </c>
      <c r="AB605" s="752">
        <f t="shared" ref="AB605:AB621" si="847">+AA605</f>
        <v>29911</v>
      </c>
      <c r="AC605" s="753">
        <v>29927</v>
      </c>
      <c r="AD605" s="753">
        <v>37932</v>
      </c>
      <c r="AE605" s="753">
        <v>37929</v>
      </c>
      <c r="AF605" s="754">
        <v>37740</v>
      </c>
      <c r="AG605" s="752">
        <f t="shared" ref="AG605:AG621" si="848">+AF605</f>
        <v>37740</v>
      </c>
      <c r="AH605" s="753">
        <v>38433</v>
      </c>
      <c r="AI605" s="753">
        <v>39143</v>
      </c>
      <c r="AJ605" s="753">
        <v>39441</v>
      </c>
      <c r="AK605" s="754">
        <v>39113</v>
      </c>
      <c r="AL605" s="752">
        <f t="shared" ref="AL605:AL621" si="849">+AK605</f>
        <v>39113</v>
      </c>
      <c r="AM605" s="753">
        <v>39549</v>
      </c>
      <c r="AN605" s="753">
        <v>39501</v>
      </c>
      <c r="AO605" s="753">
        <v>40279</v>
      </c>
      <c r="AP605" s="754">
        <v>40537</v>
      </c>
      <c r="AQ605" s="752">
        <f t="shared" ref="AQ605:AQ621" si="850">+AP605</f>
        <v>40537</v>
      </c>
      <c r="AR605" s="753">
        <v>40301</v>
      </c>
      <c r="AS605" s="753">
        <v>40634</v>
      </c>
      <c r="AT605" s="753">
        <v>41842</v>
      </c>
      <c r="AU605" s="754">
        <v>42389</v>
      </c>
      <c r="AV605" s="752">
        <f t="shared" ref="AV605:AV621" si="851">+AU605</f>
        <v>42389</v>
      </c>
      <c r="AW605" s="753">
        <v>43400</v>
      </c>
      <c r="AX605" s="753">
        <v>44176</v>
      </c>
      <c r="AY605" s="753">
        <v>44528</v>
      </c>
      <c r="AZ605" s="756">
        <v>46053</v>
      </c>
      <c r="BA605" s="752">
        <f t="shared" ref="BA605:BA621" si="852">+AZ605</f>
        <v>46053</v>
      </c>
      <c r="BB605" s="756">
        <v>46536</v>
      </c>
      <c r="BC605" s="753">
        <v>46395</v>
      </c>
      <c r="BD605" s="753">
        <v>46445</v>
      </c>
      <c r="BE605" s="756">
        <v>47163</v>
      </c>
      <c r="BF605" s="752">
        <f t="shared" ref="BF605:BF621" si="853">+BE605</f>
        <v>47163</v>
      </c>
      <c r="BG605" s="756">
        <v>47424</v>
      </c>
      <c r="BH605" s="753">
        <v>48084</v>
      </c>
      <c r="BI605" s="753">
        <v>48490</v>
      </c>
      <c r="BJ605" s="753">
        <v>48992</v>
      </c>
      <c r="BK605" s="752">
        <f t="shared" ref="BK605:BK610" si="854">+BJ605</f>
        <v>48992</v>
      </c>
      <c r="BL605" s="753">
        <v>48246</v>
      </c>
      <c r="BM605" s="753">
        <v>48479</v>
      </c>
      <c r="BN605" s="753">
        <v>48798</v>
      </c>
      <c r="BO605" s="753">
        <v>49905</v>
      </c>
      <c r="BP605" s="752">
        <f t="shared" ref="BP605:BP610" si="855">+BO605</f>
        <v>49905</v>
      </c>
      <c r="BQ605" s="1231">
        <v>51056</v>
      </c>
      <c r="BR605" s="1231">
        <v>50587</v>
      </c>
      <c r="BS605" s="1231">
        <v>51358</v>
      </c>
      <c r="BT605" s="753">
        <v>52329</v>
      </c>
      <c r="BU605" s="752">
        <f t="shared" ref="BU605:BU610" si="856">+BT605</f>
        <v>52329</v>
      </c>
      <c r="BV605" s="1231">
        <v>53113</v>
      </c>
      <c r="BW605" s="1231">
        <v>53542</v>
      </c>
      <c r="BX605" s="1231">
        <v>53877</v>
      </c>
      <c r="BY605" s="1231">
        <v>56390</v>
      </c>
      <c r="BZ605" s="752">
        <f t="shared" ref="BZ605:BZ610" si="857">+BY605</f>
        <v>56390</v>
      </c>
      <c r="CA605" s="1231">
        <v>54972</v>
      </c>
      <c r="CB605" s="1231">
        <v>57028</v>
      </c>
      <c r="CC605" s="1231">
        <v>57559</v>
      </c>
      <c r="CD605" s="1231">
        <v>58049</v>
      </c>
      <c r="CE605" s="752">
        <f t="shared" ref="CE605:CE610" si="858">+CD605</f>
        <v>58049</v>
      </c>
      <c r="CF605" s="1231">
        <v>58745</v>
      </c>
      <c r="CG605" s="1231">
        <v>59878</v>
      </c>
      <c r="CH605" s="1231">
        <v>42184</v>
      </c>
      <c r="CI605" s="1231">
        <v>44547</v>
      </c>
      <c r="CJ605" s="752">
        <f t="shared" ref="CJ605:CJ610" si="859">+CI605</f>
        <v>44547</v>
      </c>
      <c r="CK605" s="3501">
        <v>45252</v>
      </c>
      <c r="CL605" s="3501">
        <v>46114</v>
      </c>
      <c r="CM605" s="3501">
        <v>46313</v>
      </c>
      <c r="CN605" s="3501">
        <v>47546</v>
      </c>
      <c r="CO605" s="752">
        <f t="shared" ref="CO605:CO610" si="860">+CN605</f>
        <v>47546</v>
      </c>
      <c r="CP605" s="1261">
        <f t="shared" si="844"/>
        <v>47514.6</v>
      </c>
      <c r="CQ605" s="1261">
        <f t="shared" si="844"/>
        <v>48880.840000000004</v>
      </c>
      <c r="CR605" s="1261">
        <f t="shared" si="844"/>
        <v>49091.78</v>
      </c>
      <c r="CS605" s="1261">
        <f t="shared" si="844"/>
        <v>50398.76</v>
      </c>
      <c r="CT605" s="752">
        <f t="shared" ref="CT605:CT610" si="861">+CS605</f>
        <v>50398.76</v>
      </c>
      <c r="CU605" s="194">
        <f t="shared" si="845"/>
        <v>53170.691800000001</v>
      </c>
      <c r="CV605" s="194">
        <f t="shared" si="845"/>
        <v>54234.105636</v>
      </c>
      <c r="CW605" s="374"/>
      <c r="CX605" s="374"/>
      <c r="CY605" s="374"/>
      <c r="CZ605" s="374"/>
      <c r="DA605" s="374"/>
      <c r="DB605" s="217"/>
    </row>
    <row r="606" spans="1:106" x14ac:dyDescent="0.2">
      <c r="A606" s="1264" t="s">
        <v>1385</v>
      </c>
      <c r="B606" s="651"/>
      <c r="C606" s="236"/>
      <c r="D606" s="207"/>
      <c r="E606" s="207"/>
      <c r="F606" s="207"/>
      <c r="G606" s="234"/>
      <c r="H606" s="236"/>
      <c r="I606" s="973">
        <f>+I944-I640</f>
        <v>16648</v>
      </c>
      <c r="J606" s="750">
        <f>+J944-J640</f>
        <v>16914</v>
      </c>
      <c r="K606" s="750">
        <f>+K944-K640</f>
        <v>16973</v>
      </c>
      <c r="L606" s="758">
        <f>+L944-L640</f>
        <v>17082</v>
      </c>
      <c r="M606" s="752">
        <f>L606</f>
        <v>17082</v>
      </c>
      <c r="N606" s="750">
        <f>+N944-N640</f>
        <v>17451</v>
      </c>
      <c r="O606" s="750">
        <f>+O944-O640</f>
        <v>17240</v>
      </c>
      <c r="P606" s="753">
        <v>16947</v>
      </c>
      <c r="Q606" s="756">
        <v>16588</v>
      </c>
      <c r="R606" s="752">
        <f>Q606</f>
        <v>16588</v>
      </c>
      <c r="S606" s="753">
        <v>16302</v>
      </c>
      <c r="T606" s="753">
        <v>16303</v>
      </c>
      <c r="U606" s="753">
        <v>16311</v>
      </c>
      <c r="V606" s="754">
        <v>16544</v>
      </c>
      <c r="W606" s="752">
        <f t="shared" si="846"/>
        <v>16544</v>
      </c>
      <c r="X606" s="753">
        <v>16541</v>
      </c>
      <c r="Y606" s="753">
        <v>16782</v>
      </c>
      <c r="Z606" s="753">
        <v>16725</v>
      </c>
      <c r="AA606" s="754">
        <v>16143</v>
      </c>
      <c r="AB606" s="752">
        <f t="shared" si="847"/>
        <v>16143</v>
      </c>
      <c r="AC606" s="753">
        <v>16520</v>
      </c>
      <c r="AD606" s="753">
        <v>17026</v>
      </c>
      <c r="AE606" s="753">
        <v>15634</v>
      </c>
      <c r="AF606" s="754">
        <v>15784</v>
      </c>
      <c r="AG606" s="752">
        <f t="shared" si="848"/>
        <v>15784</v>
      </c>
      <c r="AH606" s="753">
        <v>15593</v>
      </c>
      <c r="AI606" s="753">
        <v>16658</v>
      </c>
      <c r="AJ606" s="753">
        <v>17128</v>
      </c>
      <c r="AK606" s="754">
        <v>16842</v>
      </c>
      <c r="AL606" s="752">
        <f t="shared" si="849"/>
        <v>16842</v>
      </c>
      <c r="AM606" s="753">
        <v>17210</v>
      </c>
      <c r="AN606" s="753">
        <v>17351</v>
      </c>
      <c r="AO606" s="753">
        <v>18114</v>
      </c>
      <c r="AP606" s="754">
        <v>16990</v>
      </c>
      <c r="AQ606" s="752">
        <f t="shared" si="850"/>
        <v>16990</v>
      </c>
      <c r="AR606" s="753">
        <v>16982</v>
      </c>
      <c r="AS606" s="753">
        <v>16324</v>
      </c>
      <c r="AT606" s="753">
        <v>16866</v>
      </c>
      <c r="AU606" s="754">
        <v>16795</v>
      </c>
      <c r="AV606" s="752">
        <f t="shared" si="851"/>
        <v>16795</v>
      </c>
      <c r="AW606" s="753">
        <v>17476</v>
      </c>
      <c r="AX606" s="753">
        <v>17603</v>
      </c>
      <c r="AY606" s="753">
        <v>17445</v>
      </c>
      <c r="AZ606" s="756">
        <v>16848</v>
      </c>
      <c r="BA606" s="752">
        <f t="shared" si="852"/>
        <v>16848</v>
      </c>
      <c r="BB606" s="756">
        <v>16682</v>
      </c>
      <c r="BC606" s="753">
        <v>16710</v>
      </c>
      <c r="BD606" s="753">
        <v>17077</v>
      </c>
      <c r="BE606" s="756">
        <v>15351</v>
      </c>
      <c r="BF606" s="752">
        <f t="shared" si="853"/>
        <v>15351</v>
      </c>
      <c r="BG606" s="756">
        <v>15717</v>
      </c>
      <c r="BH606" s="753">
        <v>15362</v>
      </c>
      <c r="BI606" s="753">
        <v>15587</v>
      </c>
      <c r="BJ606" s="753">
        <v>15844</v>
      </c>
      <c r="BK606" s="752">
        <f t="shared" si="854"/>
        <v>15844</v>
      </c>
      <c r="BL606" s="753">
        <v>15844</v>
      </c>
      <c r="BM606" s="753">
        <v>16345</v>
      </c>
      <c r="BN606" s="753">
        <v>16734</v>
      </c>
      <c r="BO606" s="753">
        <v>16288</v>
      </c>
      <c r="BP606" s="752">
        <f t="shared" si="855"/>
        <v>16288</v>
      </c>
      <c r="BQ606" s="1626">
        <v>15994</v>
      </c>
      <c r="BR606" s="1626">
        <v>16677</v>
      </c>
      <c r="BS606" s="1626">
        <v>16790</v>
      </c>
      <c r="BT606" s="753">
        <v>16303</v>
      </c>
      <c r="BU606" s="752">
        <f t="shared" si="856"/>
        <v>16303</v>
      </c>
      <c r="BV606" s="1626">
        <v>16084</v>
      </c>
      <c r="BW606" s="1626">
        <v>16643</v>
      </c>
      <c r="BX606" s="1626">
        <v>16473</v>
      </c>
      <c r="BY606" s="1626">
        <v>16473</v>
      </c>
      <c r="BZ606" s="752">
        <f t="shared" si="857"/>
        <v>16473</v>
      </c>
      <c r="CA606" s="1626">
        <v>16034</v>
      </c>
      <c r="CB606" s="1626">
        <v>16034</v>
      </c>
      <c r="CC606" s="1626">
        <v>16445</v>
      </c>
      <c r="CD606" s="1626">
        <v>16445</v>
      </c>
      <c r="CE606" s="752">
        <f t="shared" si="858"/>
        <v>16445</v>
      </c>
      <c r="CF606" s="1626">
        <v>16203</v>
      </c>
      <c r="CG606" s="1626">
        <v>16207</v>
      </c>
      <c r="CH606" s="1626">
        <v>16207</v>
      </c>
      <c r="CI606" s="1626">
        <v>16171</v>
      </c>
      <c r="CJ606" s="752">
        <f t="shared" si="859"/>
        <v>16171</v>
      </c>
      <c r="CK606" s="3503">
        <v>15901</v>
      </c>
      <c r="CL606" s="3503">
        <v>16188</v>
      </c>
      <c r="CM606" s="3503">
        <v>16188</v>
      </c>
      <c r="CN606" s="3503">
        <v>16601</v>
      </c>
      <c r="CO606" s="752">
        <f t="shared" si="860"/>
        <v>16601</v>
      </c>
      <c r="CP606" s="1261">
        <f t="shared" si="844"/>
        <v>16696.05</v>
      </c>
      <c r="CQ606" s="1261">
        <f t="shared" si="844"/>
        <v>17159.280000000002</v>
      </c>
      <c r="CR606" s="1261">
        <f t="shared" si="844"/>
        <v>17159.280000000002</v>
      </c>
      <c r="CS606" s="1261">
        <f t="shared" si="844"/>
        <v>17597.060000000001</v>
      </c>
      <c r="CT606" s="752">
        <f t="shared" si="861"/>
        <v>17597.060000000001</v>
      </c>
      <c r="CU606" s="194">
        <f t="shared" si="845"/>
        <v>18564.898300000001</v>
      </c>
      <c r="CV606" s="194">
        <f t="shared" si="845"/>
        <v>18936.196266000003</v>
      </c>
      <c r="CW606" s="374"/>
      <c r="CX606" s="374"/>
      <c r="CY606" s="374"/>
      <c r="CZ606" s="374"/>
      <c r="DA606" s="374"/>
      <c r="DB606" s="217"/>
    </row>
    <row r="607" spans="1:106" x14ac:dyDescent="0.2">
      <c r="A607" s="1264" t="s">
        <v>512</v>
      </c>
      <c r="B607" s="651"/>
      <c r="C607" s="236"/>
      <c r="D607" s="207"/>
      <c r="E607" s="207"/>
      <c r="F607" s="207"/>
      <c r="G607" s="234"/>
      <c r="H607" s="848"/>
      <c r="I607" s="1427">
        <v>0</v>
      </c>
      <c r="J607" s="845">
        <v>0</v>
      </c>
      <c r="K607" s="845">
        <v>0</v>
      </c>
      <c r="L607" s="845">
        <v>0</v>
      </c>
      <c r="M607" s="661">
        <v>0</v>
      </c>
      <c r="N607" s="1427">
        <v>0</v>
      </c>
      <c r="O607" s="845">
        <v>0</v>
      </c>
      <c r="P607" s="845">
        <v>0</v>
      </c>
      <c r="Q607" s="845">
        <v>0</v>
      </c>
      <c r="R607" s="661">
        <v>0</v>
      </c>
      <c r="S607" s="1427">
        <v>0</v>
      </c>
      <c r="T607" s="845">
        <v>0</v>
      </c>
      <c r="U607" s="845">
        <v>0</v>
      </c>
      <c r="V607" s="845">
        <v>0</v>
      </c>
      <c r="W607" s="661">
        <f t="shared" si="846"/>
        <v>0</v>
      </c>
      <c r="X607" s="1427">
        <v>0</v>
      </c>
      <c r="Y607" s="845">
        <v>0</v>
      </c>
      <c r="Z607" s="845">
        <v>0</v>
      </c>
      <c r="AA607" s="845">
        <v>0</v>
      </c>
      <c r="AB607" s="661">
        <f t="shared" si="847"/>
        <v>0</v>
      </c>
      <c r="AC607" s="1427">
        <v>0</v>
      </c>
      <c r="AD607" s="845">
        <v>0</v>
      </c>
      <c r="AE607" s="845">
        <v>0</v>
      </c>
      <c r="AF607" s="845">
        <v>0</v>
      </c>
      <c r="AG607" s="661">
        <f t="shared" si="848"/>
        <v>0</v>
      </c>
      <c r="AH607" s="1427">
        <v>0</v>
      </c>
      <c r="AI607" s="845">
        <v>0</v>
      </c>
      <c r="AJ607" s="845">
        <v>0</v>
      </c>
      <c r="AK607" s="845">
        <v>0</v>
      </c>
      <c r="AL607" s="661">
        <f t="shared" si="849"/>
        <v>0</v>
      </c>
      <c r="AM607" s="1427">
        <v>0</v>
      </c>
      <c r="AN607" s="845">
        <v>0</v>
      </c>
      <c r="AO607" s="845">
        <v>0</v>
      </c>
      <c r="AP607" s="845">
        <v>0</v>
      </c>
      <c r="AQ607" s="661">
        <f t="shared" si="850"/>
        <v>0</v>
      </c>
      <c r="AR607" s="1427">
        <v>0</v>
      </c>
      <c r="AS607" s="845">
        <v>0</v>
      </c>
      <c r="AT607" s="845">
        <v>0</v>
      </c>
      <c r="AU607" s="845">
        <v>0</v>
      </c>
      <c r="AV607" s="661">
        <f t="shared" si="851"/>
        <v>0</v>
      </c>
      <c r="AW607" s="1427">
        <v>0</v>
      </c>
      <c r="AX607" s="845">
        <v>0</v>
      </c>
      <c r="AY607" s="845">
        <v>0</v>
      </c>
      <c r="AZ607" s="845">
        <v>0</v>
      </c>
      <c r="BA607" s="661">
        <f t="shared" si="852"/>
        <v>0</v>
      </c>
      <c r="BB607" s="1427">
        <v>0</v>
      </c>
      <c r="BC607" s="845">
        <v>0</v>
      </c>
      <c r="BD607" s="845">
        <v>0</v>
      </c>
      <c r="BE607" s="845">
        <v>0</v>
      </c>
      <c r="BF607" s="661">
        <f t="shared" si="853"/>
        <v>0</v>
      </c>
      <c r="BG607" s="845">
        <v>0</v>
      </c>
      <c r="BH607" s="845">
        <v>0</v>
      </c>
      <c r="BI607" s="845">
        <v>0</v>
      </c>
      <c r="BJ607" s="845">
        <v>0</v>
      </c>
      <c r="BK607" s="661">
        <f t="shared" si="854"/>
        <v>0</v>
      </c>
      <c r="BL607" s="845">
        <v>0</v>
      </c>
      <c r="BM607" s="845">
        <v>0</v>
      </c>
      <c r="BN607" s="845">
        <v>0</v>
      </c>
      <c r="BO607" s="845">
        <v>308</v>
      </c>
      <c r="BP607" s="661">
        <f t="shared" si="855"/>
        <v>308</v>
      </c>
      <c r="BQ607" s="1626">
        <v>308</v>
      </c>
      <c r="BR607" s="1626">
        <v>308</v>
      </c>
      <c r="BS607" s="1626">
        <v>308</v>
      </c>
      <c r="BT607" s="845">
        <v>395</v>
      </c>
      <c r="BU607" s="661">
        <f t="shared" si="856"/>
        <v>395</v>
      </c>
      <c r="BV607" s="1626">
        <v>584</v>
      </c>
      <c r="BW607" s="1626">
        <v>584</v>
      </c>
      <c r="BX607" s="1626">
        <v>584</v>
      </c>
      <c r="BY607" s="1626">
        <v>584</v>
      </c>
      <c r="BZ607" s="661">
        <f t="shared" si="857"/>
        <v>584</v>
      </c>
      <c r="CA607" s="1626">
        <v>584</v>
      </c>
      <c r="CB607" s="1626">
        <v>584</v>
      </c>
      <c r="CC607" s="1626">
        <v>584</v>
      </c>
      <c r="CD607" s="1626">
        <v>584</v>
      </c>
      <c r="CE607" s="661">
        <f t="shared" si="858"/>
        <v>584</v>
      </c>
      <c r="CF607" s="1626">
        <v>584</v>
      </c>
      <c r="CG607" s="1626">
        <v>584</v>
      </c>
      <c r="CH607" s="1626">
        <v>584</v>
      </c>
      <c r="CI607" s="1626">
        <v>670</v>
      </c>
      <c r="CJ607" s="661">
        <f t="shared" si="859"/>
        <v>670</v>
      </c>
      <c r="CK607" s="3503">
        <v>1456</v>
      </c>
      <c r="CL607" s="3503">
        <v>1527</v>
      </c>
      <c r="CM607" s="3503">
        <v>1456</v>
      </c>
      <c r="CN607" s="3503">
        <v>1456</v>
      </c>
      <c r="CO607" s="661">
        <f t="shared" si="860"/>
        <v>1456</v>
      </c>
      <c r="CP607" s="1261">
        <f t="shared" si="844"/>
        <v>1528.8</v>
      </c>
      <c r="CQ607" s="1261">
        <f t="shared" si="844"/>
        <v>1618.6200000000001</v>
      </c>
      <c r="CR607" s="1261">
        <f t="shared" si="844"/>
        <v>1543.3600000000001</v>
      </c>
      <c r="CS607" s="1261">
        <f t="shared" si="844"/>
        <v>1543.3600000000001</v>
      </c>
      <c r="CT607" s="661">
        <f t="shared" si="861"/>
        <v>1543.3600000000001</v>
      </c>
      <c r="CU607" s="194">
        <f t="shared" si="845"/>
        <v>1628.2447999999999</v>
      </c>
      <c r="CV607" s="194">
        <f t="shared" si="845"/>
        <v>1660.809696</v>
      </c>
      <c r="CW607" s="374"/>
      <c r="CX607" s="374"/>
      <c r="CY607" s="374"/>
      <c r="CZ607" s="374"/>
      <c r="DA607" s="374"/>
      <c r="DB607" s="217"/>
    </row>
    <row r="608" spans="1:106" x14ac:dyDescent="0.2">
      <c r="A608" s="2633" t="s">
        <v>608</v>
      </c>
      <c r="B608" s="651"/>
      <c r="C608" s="236"/>
      <c r="D608" s="207"/>
      <c r="E608" s="207"/>
      <c r="F608" s="207"/>
      <c r="G608" s="234"/>
      <c r="H608" s="848">
        <v>0</v>
      </c>
      <c r="I608" s="1427">
        <v>0</v>
      </c>
      <c r="J608" s="845">
        <v>0</v>
      </c>
      <c r="K608" s="845">
        <v>0</v>
      </c>
      <c r="L608" s="845">
        <v>0</v>
      </c>
      <c r="M608" s="661">
        <v>0</v>
      </c>
      <c r="N608" s="1427">
        <v>0</v>
      </c>
      <c r="O608" s="845">
        <v>0</v>
      </c>
      <c r="P608" s="845">
        <v>0</v>
      </c>
      <c r="Q608" s="845">
        <v>0</v>
      </c>
      <c r="R608" s="661">
        <v>0</v>
      </c>
      <c r="S608" s="1427">
        <v>0</v>
      </c>
      <c r="T608" s="845">
        <v>0</v>
      </c>
      <c r="U608" s="845">
        <v>0</v>
      </c>
      <c r="V608" s="845">
        <v>0</v>
      </c>
      <c r="W608" s="661">
        <f t="shared" si="846"/>
        <v>0</v>
      </c>
      <c r="X608" s="1427">
        <v>0</v>
      </c>
      <c r="Y608" s="845">
        <v>0</v>
      </c>
      <c r="Z608" s="845">
        <v>0</v>
      </c>
      <c r="AA608" s="845">
        <v>0</v>
      </c>
      <c r="AB608" s="661">
        <f t="shared" si="847"/>
        <v>0</v>
      </c>
      <c r="AC608" s="1427">
        <v>0</v>
      </c>
      <c r="AD608" s="845">
        <v>0</v>
      </c>
      <c r="AE608" s="845">
        <v>0</v>
      </c>
      <c r="AF608" s="845">
        <v>0</v>
      </c>
      <c r="AG608" s="661">
        <f t="shared" si="848"/>
        <v>0</v>
      </c>
      <c r="AH608" s="1427">
        <v>0</v>
      </c>
      <c r="AI608" s="845">
        <v>0</v>
      </c>
      <c r="AJ608" s="845">
        <v>0</v>
      </c>
      <c r="AK608" s="845">
        <v>0</v>
      </c>
      <c r="AL608" s="661">
        <f t="shared" si="849"/>
        <v>0</v>
      </c>
      <c r="AM608" s="1427">
        <v>0</v>
      </c>
      <c r="AN608" s="845">
        <v>0</v>
      </c>
      <c r="AO608" s="845">
        <v>0</v>
      </c>
      <c r="AP608" s="845">
        <v>0</v>
      </c>
      <c r="AQ608" s="661">
        <f t="shared" si="850"/>
        <v>0</v>
      </c>
      <c r="AR608" s="1427">
        <v>0</v>
      </c>
      <c r="AS608" s="845">
        <v>0</v>
      </c>
      <c r="AT608" s="845">
        <v>0</v>
      </c>
      <c r="AU608" s="845">
        <v>0</v>
      </c>
      <c r="AV608" s="661">
        <f t="shared" si="851"/>
        <v>0</v>
      </c>
      <c r="AW608" s="1427">
        <v>0</v>
      </c>
      <c r="AX608" s="845">
        <v>0</v>
      </c>
      <c r="AY608" s="845">
        <v>0</v>
      </c>
      <c r="AZ608" s="845">
        <v>0</v>
      </c>
      <c r="BA608" s="661">
        <f t="shared" si="852"/>
        <v>0</v>
      </c>
      <c r="BB608" s="1427">
        <v>0</v>
      </c>
      <c r="BC608" s="845">
        <v>0</v>
      </c>
      <c r="BD608" s="845">
        <v>0</v>
      </c>
      <c r="BE608" s="845">
        <v>0</v>
      </c>
      <c r="BF608" s="661">
        <f t="shared" si="853"/>
        <v>0</v>
      </c>
      <c r="BG608" s="845">
        <v>0</v>
      </c>
      <c r="BH608" s="845">
        <v>0</v>
      </c>
      <c r="BI608" s="845">
        <v>0</v>
      </c>
      <c r="BJ608" s="845">
        <v>0</v>
      </c>
      <c r="BK608" s="661">
        <f t="shared" si="854"/>
        <v>0</v>
      </c>
      <c r="BL608" s="845">
        <v>0</v>
      </c>
      <c r="BM608" s="845">
        <v>0</v>
      </c>
      <c r="BN608" s="845">
        <v>0</v>
      </c>
      <c r="BO608" s="212"/>
      <c r="BP608" s="661">
        <f t="shared" si="855"/>
        <v>0</v>
      </c>
      <c r="BQ608" s="845">
        <v>0</v>
      </c>
      <c r="BR608" s="223">
        <v>0</v>
      </c>
      <c r="BS608" s="223">
        <v>0</v>
      </c>
      <c r="BT608" s="212">
        <v>0</v>
      </c>
      <c r="BU608" s="661">
        <f t="shared" si="856"/>
        <v>0</v>
      </c>
      <c r="BV608" s="845">
        <v>0</v>
      </c>
      <c r="BW608" s="845">
        <v>0</v>
      </c>
      <c r="BX608" s="845">
        <v>0</v>
      </c>
      <c r="BY608" s="845">
        <v>0</v>
      </c>
      <c r="BZ608" s="661">
        <f t="shared" si="857"/>
        <v>0</v>
      </c>
      <c r="CA608" s="845">
        <v>0</v>
      </c>
      <c r="CB608" s="845">
        <v>0</v>
      </c>
      <c r="CC608" s="845">
        <v>0</v>
      </c>
      <c r="CD608" s="845">
        <v>0</v>
      </c>
      <c r="CE608" s="661">
        <f t="shared" si="858"/>
        <v>0</v>
      </c>
      <c r="CF608" s="845">
        <v>0</v>
      </c>
      <c r="CG608" s="845">
        <v>0</v>
      </c>
      <c r="CH608" s="845">
        <v>0</v>
      </c>
      <c r="CI608" s="845">
        <v>0</v>
      </c>
      <c r="CJ608" s="661">
        <f t="shared" si="859"/>
        <v>0</v>
      </c>
      <c r="CK608" s="2982">
        <v>0</v>
      </c>
      <c r="CL608" s="2982">
        <v>0</v>
      </c>
      <c r="CM608" s="2982">
        <v>0</v>
      </c>
      <c r="CN608" s="2982">
        <v>469</v>
      </c>
      <c r="CO608" s="661">
        <f t="shared" si="860"/>
        <v>469</v>
      </c>
      <c r="CP608" s="2350">
        <f>+CK608</f>
        <v>0</v>
      </c>
      <c r="CQ608" s="2350">
        <f>+CL608</f>
        <v>0</v>
      </c>
      <c r="CR608" s="2350">
        <f>+CM608</f>
        <v>0</v>
      </c>
      <c r="CS608" s="2350">
        <f>+CN608</f>
        <v>469</v>
      </c>
      <c r="CT608" s="661">
        <f t="shared" si="861"/>
        <v>469</v>
      </c>
      <c r="CU608" s="968">
        <f>+CT608</f>
        <v>469</v>
      </c>
      <c r="CV608" s="968">
        <f>+CU608</f>
        <v>469</v>
      </c>
      <c r="CW608" s="374"/>
      <c r="CX608" s="374"/>
      <c r="CY608" s="374"/>
      <c r="CZ608" s="374"/>
      <c r="DA608" s="374"/>
      <c r="DB608" s="217"/>
    </row>
    <row r="609" spans="1:256" x14ac:dyDescent="0.2">
      <c r="A609" s="1264" t="s">
        <v>510</v>
      </c>
      <c r="B609" s="651"/>
      <c r="C609" s="236"/>
      <c r="D609" s="207"/>
      <c r="E609" s="207"/>
      <c r="F609" s="207"/>
      <c r="G609" s="234"/>
      <c r="H609" s="236"/>
      <c r="I609" s="973">
        <f>+I942-I643</f>
        <v>5255</v>
      </c>
      <c r="J609" s="750">
        <f>+J942-J643</f>
        <v>5255</v>
      </c>
      <c r="K609" s="750">
        <f>+K942-K643</f>
        <v>5253</v>
      </c>
      <c r="L609" s="758">
        <f>+L942-L643</f>
        <v>5878</v>
      </c>
      <c r="M609" s="752">
        <f>L609</f>
        <v>5878</v>
      </c>
      <c r="N609" s="750">
        <f>+N942-N643</f>
        <v>5824</v>
      </c>
      <c r="O609" s="750">
        <f>+O942-O643</f>
        <v>5832</v>
      </c>
      <c r="P609" s="753">
        <v>5832</v>
      </c>
      <c r="Q609" s="756">
        <v>6096</v>
      </c>
      <c r="R609" s="752">
        <f>Q609</f>
        <v>6096</v>
      </c>
      <c r="S609" s="753">
        <v>6096</v>
      </c>
      <c r="T609" s="753">
        <v>6301</v>
      </c>
      <c r="U609" s="753">
        <v>6301</v>
      </c>
      <c r="V609" s="754">
        <v>6478</v>
      </c>
      <c r="W609" s="752">
        <f t="shared" si="846"/>
        <v>6478</v>
      </c>
      <c r="X609" s="753">
        <v>6478</v>
      </c>
      <c r="Y609" s="753">
        <v>6478</v>
      </c>
      <c r="Z609" s="753">
        <v>6478</v>
      </c>
      <c r="AA609" s="754">
        <v>6480</v>
      </c>
      <c r="AB609" s="752">
        <f t="shared" si="847"/>
        <v>6480</v>
      </c>
      <c r="AC609" s="753">
        <v>6480</v>
      </c>
      <c r="AD609" s="753">
        <v>6813</v>
      </c>
      <c r="AE609" s="753">
        <v>6813</v>
      </c>
      <c r="AF609" s="754">
        <v>7215</v>
      </c>
      <c r="AG609" s="752">
        <f t="shared" si="848"/>
        <v>7215</v>
      </c>
      <c r="AH609" s="753">
        <v>7312</v>
      </c>
      <c r="AI609" s="753">
        <v>7312</v>
      </c>
      <c r="AJ609" s="753">
        <v>7312</v>
      </c>
      <c r="AK609" s="754">
        <v>7336</v>
      </c>
      <c r="AL609" s="752">
        <f t="shared" si="849"/>
        <v>7336</v>
      </c>
      <c r="AM609" s="753">
        <v>7538</v>
      </c>
      <c r="AN609" s="753">
        <v>7783</v>
      </c>
      <c r="AO609" s="753">
        <v>8596</v>
      </c>
      <c r="AP609" s="754">
        <v>9274</v>
      </c>
      <c r="AQ609" s="752">
        <f t="shared" si="850"/>
        <v>9274</v>
      </c>
      <c r="AR609" s="753">
        <v>9409</v>
      </c>
      <c r="AS609" s="753">
        <v>9826</v>
      </c>
      <c r="AT609" s="753">
        <v>9826</v>
      </c>
      <c r="AU609" s="754">
        <v>9950</v>
      </c>
      <c r="AV609" s="752">
        <f t="shared" si="851"/>
        <v>9950</v>
      </c>
      <c r="AW609" s="753">
        <v>10223</v>
      </c>
      <c r="AX609" s="753">
        <v>9859</v>
      </c>
      <c r="AY609" s="753">
        <v>9859</v>
      </c>
      <c r="AZ609" s="756">
        <v>9913</v>
      </c>
      <c r="BA609" s="752">
        <f t="shared" si="852"/>
        <v>9913</v>
      </c>
      <c r="BB609" s="756">
        <v>9897</v>
      </c>
      <c r="BC609" s="753">
        <v>9897</v>
      </c>
      <c r="BD609" s="753">
        <v>10183</v>
      </c>
      <c r="BE609" s="756">
        <v>10183</v>
      </c>
      <c r="BF609" s="752">
        <f t="shared" si="853"/>
        <v>10183</v>
      </c>
      <c r="BG609" s="756">
        <v>10788</v>
      </c>
      <c r="BH609" s="753">
        <v>11100</v>
      </c>
      <c r="BI609" s="753">
        <v>11350</v>
      </c>
      <c r="BJ609" s="753">
        <v>11843</v>
      </c>
      <c r="BK609" s="752">
        <f t="shared" si="854"/>
        <v>11843</v>
      </c>
      <c r="BL609" s="753">
        <v>11843</v>
      </c>
      <c r="BM609" s="753">
        <v>11940</v>
      </c>
      <c r="BN609" s="753">
        <v>12142</v>
      </c>
      <c r="BO609" s="753">
        <v>12257</v>
      </c>
      <c r="BP609" s="752">
        <f t="shared" si="855"/>
        <v>12257</v>
      </c>
      <c r="BQ609" s="1626">
        <v>12967</v>
      </c>
      <c r="BR609" s="1626">
        <v>12502</v>
      </c>
      <c r="BS609" s="1626">
        <v>12507</v>
      </c>
      <c r="BT609" s="753">
        <v>13797</v>
      </c>
      <c r="BU609" s="752">
        <f t="shared" si="856"/>
        <v>13797</v>
      </c>
      <c r="BV609" s="1626">
        <v>13624</v>
      </c>
      <c r="BW609" s="1626">
        <v>13624</v>
      </c>
      <c r="BX609" s="1626">
        <v>13624</v>
      </c>
      <c r="BY609" s="1626">
        <v>13937</v>
      </c>
      <c r="BZ609" s="752">
        <f t="shared" si="857"/>
        <v>13937</v>
      </c>
      <c r="CA609" s="1626">
        <v>13660</v>
      </c>
      <c r="CB609" s="1626">
        <v>13904</v>
      </c>
      <c r="CC609" s="1626">
        <v>14158</v>
      </c>
      <c r="CD609" s="1626">
        <v>14740</v>
      </c>
      <c r="CE609" s="752">
        <f t="shared" si="858"/>
        <v>14740</v>
      </c>
      <c r="CF609" s="1626">
        <v>14713</v>
      </c>
      <c r="CG609" s="1626">
        <v>14713</v>
      </c>
      <c r="CH609" s="1626">
        <v>14135</v>
      </c>
      <c r="CI609" s="1626">
        <v>14474</v>
      </c>
      <c r="CJ609" s="752">
        <f t="shared" si="859"/>
        <v>14474</v>
      </c>
      <c r="CK609" s="3503">
        <v>14675</v>
      </c>
      <c r="CL609" s="3503">
        <v>14832</v>
      </c>
      <c r="CM609" s="3503">
        <v>14947</v>
      </c>
      <c r="CN609" s="3503">
        <v>15134</v>
      </c>
      <c r="CO609" s="752">
        <f t="shared" si="860"/>
        <v>15134</v>
      </c>
      <c r="CP609" s="1261">
        <f>+CK609*(1+CP$875)</f>
        <v>15408.75</v>
      </c>
      <c r="CQ609" s="1261">
        <f t="shared" ref="CP609:CS619" si="862">+CL609*(1+CQ$875)</f>
        <v>15721.92</v>
      </c>
      <c r="CR609" s="1261">
        <f t="shared" si="862"/>
        <v>15843.820000000002</v>
      </c>
      <c r="CS609" s="1261">
        <f t="shared" si="862"/>
        <v>16042.04</v>
      </c>
      <c r="CT609" s="752">
        <f t="shared" si="861"/>
        <v>16042.04</v>
      </c>
      <c r="CU609" s="194">
        <f t="shared" ref="CU609:CV619" si="863">+CT609*(1+CU$875)</f>
        <v>16924.352200000001</v>
      </c>
      <c r="CV609" s="194">
        <f t="shared" si="863"/>
        <v>17262.839244000003</v>
      </c>
      <c r="CW609" s="374"/>
      <c r="CX609" s="374"/>
      <c r="CY609" s="374"/>
      <c r="CZ609" s="374"/>
      <c r="DA609" s="374"/>
      <c r="DB609" s="217"/>
    </row>
    <row r="610" spans="1:256" x14ac:dyDescent="0.2">
      <c r="A610" s="1264" t="s">
        <v>511</v>
      </c>
      <c r="B610" s="651"/>
      <c r="C610" s="236"/>
      <c r="D610" s="207"/>
      <c r="E610" s="207"/>
      <c r="F610" s="207"/>
      <c r="G610" s="234"/>
      <c r="H610" s="236"/>
      <c r="I610" s="973">
        <v>0</v>
      </c>
      <c r="J610" s="845">
        <v>0</v>
      </c>
      <c r="K610" s="845">
        <v>0</v>
      </c>
      <c r="L610" s="845">
        <v>0</v>
      </c>
      <c r="M610" s="752">
        <v>0</v>
      </c>
      <c r="N610" s="1427">
        <v>0</v>
      </c>
      <c r="O610" s="845">
        <v>0</v>
      </c>
      <c r="P610" s="845">
        <v>0</v>
      </c>
      <c r="Q610" s="845">
        <v>0</v>
      </c>
      <c r="R610" s="752">
        <v>0</v>
      </c>
      <c r="S610" s="1427">
        <v>0</v>
      </c>
      <c r="T610" s="845">
        <v>0</v>
      </c>
      <c r="U610" s="845">
        <v>0</v>
      </c>
      <c r="V610" s="845">
        <v>0</v>
      </c>
      <c r="W610" s="752">
        <f t="shared" si="846"/>
        <v>0</v>
      </c>
      <c r="X610" s="1427">
        <v>0</v>
      </c>
      <c r="Y610" s="753">
        <v>58</v>
      </c>
      <c r="Z610" s="753">
        <v>58</v>
      </c>
      <c r="AA610" s="754">
        <v>58</v>
      </c>
      <c r="AB610" s="752">
        <f t="shared" si="847"/>
        <v>58</v>
      </c>
      <c r="AC610" s="753">
        <v>58</v>
      </c>
      <c r="AD610" s="753">
        <v>58</v>
      </c>
      <c r="AE610" s="753">
        <v>58</v>
      </c>
      <c r="AF610" s="754">
        <v>58</v>
      </c>
      <c r="AG610" s="752">
        <f t="shared" si="848"/>
        <v>58</v>
      </c>
      <c r="AH610" s="753">
        <v>58</v>
      </c>
      <c r="AI610" s="753">
        <v>58</v>
      </c>
      <c r="AJ610" s="753">
        <v>58</v>
      </c>
      <c r="AK610" s="754">
        <v>117</v>
      </c>
      <c r="AL610" s="752">
        <f t="shared" si="849"/>
        <v>117</v>
      </c>
      <c r="AM610" s="753">
        <v>117</v>
      </c>
      <c r="AN610" s="753">
        <v>117</v>
      </c>
      <c r="AO610" s="753">
        <v>117</v>
      </c>
      <c r="AP610" s="754">
        <v>117</v>
      </c>
      <c r="AQ610" s="752">
        <f t="shared" si="850"/>
        <v>117</v>
      </c>
      <c r="AR610" s="753">
        <v>117</v>
      </c>
      <c r="AS610" s="753">
        <v>117</v>
      </c>
      <c r="AT610" s="753">
        <v>117</v>
      </c>
      <c r="AU610" s="754">
        <v>117</v>
      </c>
      <c r="AV610" s="752">
        <f t="shared" si="851"/>
        <v>117</v>
      </c>
      <c r="AW610" s="753">
        <v>117</v>
      </c>
      <c r="AX610" s="753">
        <v>117</v>
      </c>
      <c r="AY610" s="753">
        <v>117</v>
      </c>
      <c r="AZ610" s="756">
        <v>117</v>
      </c>
      <c r="BA610" s="752">
        <f t="shared" si="852"/>
        <v>117</v>
      </c>
      <c r="BB610" s="756">
        <v>117</v>
      </c>
      <c r="BC610" s="753">
        <v>117</v>
      </c>
      <c r="BD610" s="753">
        <v>117</v>
      </c>
      <c r="BE610" s="756">
        <v>117</v>
      </c>
      <c r="BF610" s="752">
        <f t="shared" si="853"/>
        <v>117</v>
      </c>
      <c r="BG610" s="756">
        <v>117</v>
      </c>
      <c r="BH610" s="753">
        <v>117</v>
      </c>
      <c r="BI610" s="753">
        <v>117</v>
      </c>
      <c r="BJ610" s="753">
        <v>117</v>
      </c>
      <c r="BK610" s="752">
        <f t="shared" si="854"/>
        <v>117</v>
      </c>
      <c r="BL610" s="753">
        <v>117</v>
      </c>
      <c r="BM610" s="753">
        <v>117</v>
      </c>
      <c r="BN610" s="753">
        <v>117</v>
      </c>
      <c r="BO610" s="753">
        <v>117</v>
      </c>
      <c r="BP610" s="752">
        <f t="shared" si="855"/>
        <v>117</v>
      </c>
      <c r="BQ610" s="1626">
        <v>117</v>
      </c>
      <c r="BR610" s="1626">
        <v>117</v>
      </c>
      <c r="BS610" s="1626">
        <v>117</v>
      </c>
      <c r="BT610" s="753">
        <v>117</v>
      </c>
      <c r="BU610" s="752">
        <f t="shared" si="856"/>
        <v>117</v>
      </c>
      <c r="BV610" s="1626">
        <v>117</v>
      </c>
      <c r="BW610" s="1626">
        <v>117</v>
      </c>
      <c r="BX610" s="1626">
        <v>117</v>
      </c>
      <c r="BY610" s="1626">
        <v>117</v>
      </c>
      <c r="BZ610" s="752">
        <f t="shared" si="857"/>
        <v>117</v>
      </c>
      <c r="CA610" s="1626">
        <v>117</v>
      </c>
      <c r="CB610" s="1626">
        <v>117</v>
      </c>
      <c r="CC610" s="1626">
        <v>117</v>
      </c>
      <c r="CD610" s="1626">
        <v>117</v>
      </c>
      <c r="CE610" s="752">
        <f t="shared" si="858"/>
        <v>117</v>
      </c>
      <c r="CF610" s="1626">
        <v>117</v>
      </c>
      <c r="CG610" s="1626">
        <v>117</v>
      </c>
      <c r="CH610" s="1626">
        <v>117</v>
      </c>
      <c r="CI610" s="1626">
        <v>117</v>
      </c>
      <c r="CJ610" s="752">
        <f t="shared" si="859"/>
        <v>117</v>
      </c>
      <c r="CK610" s="3503">
        <v>117</v>
      </c>
      <c r="CL610" s="3503">
        <v>117</v>
      </c>
      <c r="CM610" s="3503">
        <v>237</v>
      </c>
      <c r="CN610" s="3503">
        <v>357</v>
      </c>
      <c r="CO610" s="752">
        <f t="shared" si="860"/>
        <v>357</v>
      </c>
      <c r="CP610" s="1261">
        <f t="shared" si="862"/>
        <v>122.85000000000001</v>
      </c>
      <c r="CQ610" s="1261">
        <f t="shared" si="862"/>
        <v>124.02000000000001</v>
      </c>
      <c r="CR610" s="1261">
        <f t="shared" si="862"/>
        <v>251.22</v>
      </c>
      <c r="CS610" s="1261">
        <f t="shared" si="862"/>
        <v>378.42</v>
      </c>
      <c r="CT610" s="752">
        <f t="shared" si="861"/>
        <v>378.42</v>
      </c>
      <c r="CU610" s="194">
        <f t="shared" si="863"/>
        <v>399.23309999999998</v>
      </c>
      <c r="CV610" s="194">
        <f t="shared" si="863"/>
        <v>407.21776199999999</v>
      </c>
      <c r="CW610" s="374"/>
      <c r="CX610" s="374"/>
      <c r="CY610" s="374"/>
      <c r="CZ610" s="374"/>
      <c r="DA610" s="374"/>
      <c r="DB610" s="217"/>
    </row>
    <row r="611" spans="1:256" x14ac:dyDescent="0.2">
      <c r="A611" s="1264" t="s">
        <v>383</v>
      </c>
      <c r="B611" s="651"/>
      <c r="C611" s="236"/>
      <c r="D611" s="207"/>
      <c r="E611" s="207"/>
      <c r="F611" s="207"/>
      <c r="G611" s="234"/>
      <c r="H611" s="236"/>
      <c r="I611" s="973">
        <v>0</v>
      </c>
      <c r="J611" s="845">
        <v>0</v>
      </c>
      <c r="K611" s="845">
        <v>0</v>
      </c>
      <c r="L611" s="845">
        <v>0</v>
      </c>
      <c r="M611" s="661">
        <v>0</v>
      </c>
      <c r="N611" s="1427">
        <v>0</v>
      </c>
      <c r="O611" s="845">
        <v>0</v>
      </c>
      <c r="P611" s="845">
        <v>0</v>
      </c>
      <c r="Q611" s="845">
        <v>0</v>
      </c>
      <c r="R611" s="661">
        <v>0</v>
      </c>
      <c r="S611" s="1427">
        <v>0</v>
      </c>
      <c r="T611" s="845">
        <v>0</v>
      </c>
      <c r="U611" s="845">
        <v>0</v>
      </c>
      <c r="V611" s="845">
        <v>0</v>
      </c>
      <c r="W611" s="661">
        <f t="shared" si="846"/>
        <v>0</v>
      </c>
      <c r="X611" s="1427">
        <v>0</v>
      </c>
      <c r="Y611" s="845">
        <v>0</v>
      </c>
      <c r="Z611" s="845">
        <v>0</v>
      </c>
      <c r="AA611" s="845">
        <v>0</v>
      </c>
      <c r="AB611" s="661">
        <f t="shared" si="847"/>
        <v>0</v>
      </c>
      <c r="AC611" s="1427">
        <v>0</v>
      </c>
      <c r="AD611" s="845">
        <v>0</v>
      </c>
      <c r="AE611" s="845">
        <v>0</v>
      </c>
      <c r="AF611" s="845">
        <v>0</v>
      </c>
      <c r="AG611" s="661">
        <f t="shared" si="848"/>
        <v>0</v>
      </c>
      <c r="AH611" s="1427">
        <v>0</v>
      </c>
      <c r="AI611" s="845">
        <v>0</v>
      </c>
      <c r="AJ611" s="845">
        <v>0</v>
      </c>
      <c r="AK611" s="845">
        <v>0</v>
      </c>
      <c r="AL611" s="661">
        <f t="shared" si="849"/>
        <v>0</v>
      </c>
      <c r="AM611" s="1427">
        <v>0</v>
      </c>
      <c r="AN611" s="845">
        <v>0</v>
      </c>
      <c r="AO611" s="845">
        <v>0</v>
      </c>
      <c r="AP611" s="845">
        <v>0</v>
      </c>
      <c r="AQ611" s="661">
        <f t="shared" si="850"/>
        <v>0</v>
      </c>
      <c r="AR611" s="1427">
        <v>0</v>
      </c>
      <c r="AS611" s="845">
        <v>0</v>
      </c>
      <c r="AT611" s="845">
        <v>0</v>
      </c>
      <c r="AU611" s="845">
        <v>0</v>
      </c>
      <c r="AV611" s="661">
        <f t="shared" si="851"/>
        <v>0</v>
      </c>
      <c r="AW611" s="1427">
        <v>0</v>
      </c>
      <c r="AX611" s="845">
        <v>0</v>
      </c>
      <c r="AY611" s="845">
        <v>0</v>
      </c>
      <c r="AZ611" s="845">
        <v>0</v>
      </c>
      <c r="BA611" s="661">
        <f t="shared" si="852"/>
        <v>0</v>
      </c>
      <c r="BB611" s="1427">
        <v>0</v>
      </c>
      <c r="BC611" s="845">
        <v>0</v>
      </c>
      <c r="BD611" s="845">
        <v>0</v>
      </c>
      <c r="BE611" s="845">
        <v>0</v>
      </c>
      <c r="BF611" s="661">
        <f t="shared" si="853"/>
        <v>0</v>
      </c>
      <c r="BG611" s="756">
        <v>78</v>
      </c>
      <c r="BH611" s="756">
        <v>78</v>
      </c>
      <c r="BI611" s="756">
        <v>78</v>
      </c>
      <c r="BJ611" s="756">
        <v>78</v>
      </c>
      <c r="BK611" s="752">
        <f>BJ611</f>
        <v>78</v>
      </c>
      <c r="BL611" s="756">
        <v>78</v>
      </c>
      <c r="BM611" s="756">
        <v>78</v>
      </c>
      <c r="BN611" s="756">
        <v>78</v>
      </c>
      <c r="BO611" s="756">
        <v>78</v>
      </c>
      <c r="BP611" s="752">
        <f>BO611</f>
        <v>78</v>
      </c>
      <c r="BQ611" s="1626">
        <v>78</v>
      </c>
      <c r="BR611" s="1626">
        <v>78</v>
      </c>
      <c r="BS611" s="1626">
        <v>78</v>
      </c>
      <c r="BT611" s="756">
        <v>78</v>
      </c>
      <c r="BU611" s="752">
        <f>BT611</f>
        <v>78</v>
      </c>
      <c r="BV611" s="1626">
        <v>251</v>
      </c>
      <c r="BW611" s="1626">
        <v>251</v>
      </c>
      <c r="BX611" s="1626">
        <v>173</v>
      </c>
      <c r="BY611" s="1626">
        <v>173</v>
      </c>
      <c r="BZ611" s="752">
        <f>BY611</f>
        <v>173</v>
      </c>
      <c r="CA611" s="1626">
        <v>173</v>
      </c>
      <c r="CB611" s="1626">
        <v>173</v>
      </c>
      <c r="CC611" s="1626">
        <v>173</v>
      </c>
      <c r="CD611" s="1626">
        <v>173</v>
      </c>
      <c r="CE611" s="752">
        <f>CD611</f>
        <v>173</v>
      </c>
      <c r="CF611" s="1626">
        <v>173</v>
      </c>
      <c r="CG611" s="1626">
        <v>173</v>
      </c>
      <c r="CH611" s="1626">
        <v>173</v>
      </c>
      <c r="CI611" s="1626">
        <v>699</v>
      </c>
      <c r="CJ611" s="752">
        <f>CI611</f>
        <v>699</v>
      </c>
      <c r="CK611" s="3503">
        <v>699</v>
      </c>
      <c r="CL611" s="3503">
        <v>699</v>
      </c>
      <c r="CM611" s="3503">
        <v>699</v>
      </c>
      <c r="CN611" s="3503">
        <v>699</v>
      </c>
      <c r="CO611" s="752">
        <f>CN611</f>
        <v>699</v>
      </c>
      <c r="CP611" s="1261">
        <f t="shared" si="862"/>
        <v>733.95</v>
      </c>
      <c r="CQ611" s="1261">
        <f t="shared" si="862"/>
        <v>740.94</v>
      </c>
      <c r="CR611" s="1261">
        <f t="shared" si="862"/>
        <v>740.94</v>
      </c>
      <c r="CS611" s="1261">
        <f t="shared" si="862"/>
        <v>740.94</v>
      </c>
      <c r="CT611" s="752">
        <f>CS611</f>
        <v>740.94</v>
      </c>
      <c r="CU611" s="194">
        <f t="shared" si="863"/>
        <v>781.69169999999997</v>
      </c>
      <c r="CV611" s="194">
        <f t="shared" si="863"/>
        <v>797.32553399999995</v>
      </c>
      <c r="CW611" s="374"/>
      <c r="CX611" s="374"/>
      <c r="CY611" s="374"/>
      <c r="CZ611" s="374"/>
      <c r="DA611" s="374"/>
      <c r="DB611" s="217"/>
    </row>
    <row r="612" spans="1:256" x14ac:dyDescent="0.2">
      <c r="A612" s="1264" t="s">
        <v>656</v>
      </c>
      <c r="B612" s="651"/>
      <c r="C612" s="236"/>
      <c r="D612" s="207"/>
      <c r="E612" s="207"/>
      <c r="F612" s="207"/>
      <c r="G612" s="234"/>
      <c r="H612" s="848"/>
      <c r="I612" s="1427">
        <v>0</v>
      </c>
      <c r="J612" s="845">
        <v>0</v>
      </c>
      <c r="K612" s="845">
        <v>0</v>
      </c>
      <c r="L612" s="845">
        <v>0</v>
      </c>
      <c r="M612" s="661">
        <v>0</v>
      </c>
      <c r="N612" s="1427">
        <v>0</v>
      </c>
      <c r="O612" s="845">
        <v>0</v>
      </c>
      <c r="P612" s="845">
        <v>0</v>
      </c>
      <c r="Q612" s="845">
        <v>0</v>
      </c>
      <c r="R612" s="661">
        <v>0</v>
      </c>
      <c r="S612" s="1427">
        <v>0</v>
      </c>
      <c r="T612" s="845">
        <v>0</v>
      </c>
      <c r="U612" s="845">
        <v>0</v>
      </c>
      <c r="V612" s="845">
        <v>0</v>
      </c>
      <c r="W612" s="661">
        <f t="shared" si="846"/>
        <v>0</v>
      </c>
      <c r="X612" s="1427">
        <v>0</v>
      </c>
      <c r="Y612" s="845">
        <v>0</v>
      </c>
      <c r="Z612" s="845">
        <v>0</v>
      </c>
      <c r="AA612" s="845">
        <v>0</v>
      </c>
      <c r="AB612" s="661">
        <f t="shared" si="847"/>
        <v>0</v>
      </c>
      <c r="AC612" s="1427">
        <v>0</v>
      </c>
      <c r="AD612" s="845">
        <v>0</v>
      </c>
      <c r="AE612" s="845">
        <v>0</v>
      </c>
      <c r="AF612" s="845">
        <v>0</v>
      </c>
      <c r="AG612" s="661">
        <f t="shared" si="848"/>
        <v>0</v>
      </c>
      <c r="AH612" s="1427">
        <v>0</v>
      </c>
      <c r="AI612" s="845">
        <v>0</v>
      </c>
      <c r="AJ612" s="845">
        <v>0</v>
      </c>
      <c r="AK612" s="845">
        <v>0</v>
      </c>
      <c r="AL612" s="661">
        <f t="shared" si="849"/>
        <v>0</v>
      </c>
      <c r="AM612" s="1427">
        <v>0</v>
      </c>
      <c r="AN612" s="845">
        <v>0</v>
      </c>
      <c r="AO612" s="845">
        <v>0</v>
      </c>
      <c r="AP612" s="845">
        <v>0</v>
      </c>
      <c r="AQ612" s="661">
        <f t="shared" si="850"/>
        <v>0</v>
      </c>
      <c r="AR612" s="1427">
        <v>0</v>
      </c>
      <c r="AS612" s="845">
        <v>0</v>
      </c>
      <c r="AT612" s="845">
        <v>0</v>
      </c>
      <c r="AU612" s="845">
        <v>0</v>
      </c>
      <c r="AV612" s="661">
        <f t="shared" si="851"/>
        <v>0</v>
      </c>
      <c r="AW612" s="1427">
        <v>0</v>
      </c>
      <c r="AX612" s="845">
        <v>0</v>
      </c>
      <c r="AY612" s="845">
        <v>0</v>
      </c>
      <c r="AZ612" s="845">
        <v>0</v>
      </c>
      <c r="BA612" s="661">
        <f t="shared" si="852"/>
        <v>0</v>
      </c>
      <c r="BB612" s="1427">
        <v>0</v>
      </c>
      <c r="BC612" s="845">
        <v>0</v>
      </c>
      <c r="BD612" s="845">
        <v>0</v>
      </c>
      <c r="BE612" s="845">
        <v>0</v>
      </c>
      <c r="BF612" s="661">
        <f t="shared" si="853"/>
        <v>0</v>
      </c>
      <c r="BG612" s="845">
        <v>0</v>
      </c>
      <c r="BH612" s="845">
        <v>0</v>
      </c>
      <c r="BI612" s="845">
        <v>0</v>
      </c>
      <c r="BJ612" s="845">
        <v>0</v>
      </c>
      <c r="BK612" s="661">
        <f t="shared" ref="BK612:BK621" si="864">+BJ612</f>
        <v>0</v>
      </c>
      <c r="BL612" s="845">
        <v>0</v>
      </c>
      <c r="BM612" s="845">
        <v>0</v>
      </c>
      <c r="BN612" s="845">
        <v>0</v>
      </c>
      <c r="BO612" s="845">
        <v>0</v>
      </c>
      <c r="BP612" s="661">
        <f t="shared" ref="BP612:BP621" si="865">+BO612</f>
        <v>0</v>
      </c>
      <c r="BQ612" s="215">
        <v>0</v>
      </c>
      <c r="BR612" s="215">
        <v>0</v>
      </c>
      <c r="BS612" s="215">
        <v>0</v>
      </c>
      <c r="BT612" s="845">
        <v>0</v>
      </c>
      <c r="BU612" s="661">
        <f t="shared" ref="BU612:BU621" si="866">+BT612</f>
        <v>0</v>
      </c>
      <c r="BV612" s="215">
        <v>0</v>
      </c>
      <c r="BW612" s="215">
        <v>0</v>
      </c>
      <c r="BX612" s="215">
        <v>0</v>
      </c>
      <c r="BY612" s="215">
        <v>0</v>
      </c>
      <c r="BZ612" s="661">
        <f t="shared" ref="BZ612:BZ621" si="867">+BY612</f>
        <v>0</v>
      </c>
      <c r="CA612" s="215">
        <v>0</v>
      </c>
      <c r="CB612" s="215">
        <v>0</v>
      </c>
      <c r="CC612" s="215">
        <v>0</v>
      </c>
      <c r="CD612" s="215">
        <v>0</v>
      </c>
      <c r="CE612" s="661">
        <f t="shared" ref="CE612:CE621" si="868">+CD612</f>
        <v>0</v>
      </c>
      <c r="CF612" s="215">
        <v>0</v>
      </c>
      <c r="CG612" s="215">
        <v>0</v>
      </c>
      <c r="CH612" s="215">
        <v>0</v>
      </c>
      <c r="CI612" s="215">
        <v>0</v>
      </c>
      <c r="CJ612" s="661">
        <f>+CI612</f>
        <v>0</v>
      </c>
      <c r="CK612" s="2915">
        <v>0</v>
      </c>
      <c r="CL612" s="2915">
        <v>0</v>
      </c>
      <c r="CM612" s="2915">
        <v>0</v>
      </c>
      <c r="CN612" s="2915">
        <v>0</v>
      </c>
      <c r="CO612" s="661">
        <f>+CN612</f>
        <v>0</v>
      </c>
      <c r="CP612" s="2324">
        <f t="shared" si="862"/>
        <v>0</v>
      </c>
      <c r="CQ612" s="2324">
        <f t="shared" si="862"/>
        <v>0</v>
      </c>
      <c r="CR612" s="2327">
        <f t="shared" si="862"/>
        <v>0</v>
      </c>
      <c r="CS612" s="2327">
        <f t="shared" si="862"/>
        <v>0</v>
      </c>
      <c r="CT612" s="661">
        <f>+CS612</f>
        <v>0</v>
      </c>
      <c r="CU612" s="968">
        <f t="shared" si="863"/>
        <v>0</v>
      </c>
      <c r="CV612" s="968">
        <f t="shared" si="863"/>
        <v>0</v>
      </c>
      <c r="CW612" s="374"/>
      <c r="CX612" s="374"/>
      <c r="CY612" s="374"/>
      <c r="CZ612" s="374"/>
      <c r="DA612" s="374"/>
      <c r="DB612" s="217"/>
    </row>
    <row r="613" spans="1:256" x14ac:dyDescent="0.2">
      <c r="A613" s="1264" t="s">
        <v>1386</v>
      </c>
      <c r="B613" s="651"/>
      <c r="C613" s="236"/>
      <c r="D613" s="207"/>
      <c r="E613" s="207"/>
      <c r="F613" s="207"/>
      <c r="G613" s="234"/>
      <c r="H613" s="236"/>
      <c r="I613" s="973">
        <f>+I949-I647</f>
        <v>4900</v>
      </c>
      <c r="J613" s="750">
        <f>+J949-J647</f>
        <v>4900</v>
      </c>
      <c r="K613" s="750">
        <f>+K949-K647</f>
        <v>4900</v>
      </c>
      <c r="L613" s="758">
        <f>+L949-L647</f>
        <v>5016</v>
      </c>
      <c r="M613" s="752">
        <f>L613</f>
        <v>5016</v>
      </c>
      <c r="N613" s="750">
        <f>+N949-N647</f>
        <v>5067</v>
      </c>
      <c r="O613" s="750">
        <f>+O949-O647</f>
        <v>5067</v>
      </c>
      <c r="P613" s="753">
        <v>5179</v>
      </c>
      <c r="Q613" s="756">
        <v>5042</v>
      </c>
      <c r="R613" s="752">
        <f>Q613</f>
        <v>5042</v>
      </c>
      <c r="S613" s="753">
        <v>5035</v>
      </c>
      <c r="T613" s="753">
        <v>4791</v>
      </c>
      <c r="U613" s="753">
        <v>4791</v>
      </c>
      <c r="V613" s="754">
        <v>5258</v>
      </c>
      <c r="W613" s="752">
        <f t="shared" si="846"/>
        <v>5258</v>
      </c>
      <c r="X613" s="753">
        <v>5376</v>
      </c>
      <c r="Y613" s="753">
        <v>5376</v>
      </c>
      <c r="Z613" s="753">
        <v>5577</v>
      </c>
      <c r="AA613" s="754">
        <v>5887</v>
      </c>
      <c r="AB613" s="752">
        <f t="shared" si="847"/>
        <v>5887</v>
      </c>
      <c r="AC613" s="753">
        <v>6051</v>
      </c>
      <c r="AD613" s="753">
        <v>6323</v>
      </c>
      <c r="AE613" s="753">
        <v>6198</v>
      </c>
      <c r="AF613" s="754">
        <v>6416</v>
      </c>
      <c r="AG613" s="752">
        <f t="shared" si="848"/>
        <v>6416</v>
      </c>
      <c r="AH613" s="753">
        <v>6768</v>
      </c>
      <c r="AI613" s="753">
        <v>7150</v>
      </c>
      <c r="AJ613" s="753">
        <v>7301</v>
      </c>
      <c r="AK613" s="754">
        <v>7549</v>
      </c>
      <c r="AL613" s="752">
        <f t="shared" si="849"/>
        <v>7549</v>
      </c>
      <c r="AM613" s="753">
        <v>7390</v>
      </c>
      <c r="AN613" s="753">
        <v>7508</v>
      </c>
      <c r="AO613" s="753">
        <v>7364</v>
      </c>
      <c r="AP613" s="754">
        <v>7477</v>
      </c>
      <c r="AQ613" s="752">
        <f t="shared" si="850"/>
        <v>7477</v>
      </c>
      <c r="AR613" s="753">
        <v>7283</v>
      </c>
      <c r="AS613" s="753">
        <v>7547</v>
      </c>
      <c r="AT613" s="753">
        <v>7659</v>
      </c>
      <c r="AU613" s="754">
        <v>7990</v>
      </c>
      <c r="AV613" s="752">
        <f t="shared" si="851"/>
        <v>7990</v>
      </c>
      <c r="AW613" s="753">
        <v>8499</v>
      </c>
      <c r="AX613" s="753">
        <v>8944</v>
      </c>
      <c r="AY613" s="753">
        <v>9088</v>
      </c>
      <c r="AZ613" s="756">
        <v>9380</v>
      </c>
      <c r="BA613" s="752">
        <f t="shared" si="852"/>
        <v>9380</v>
      </c>
      <c r="BB613" s="756">
        <v>9539</v>
      </c>
      <c r="BC613" s="753">
        <v>10339</v>
      </c>
      <c r="BD613" s="753">
        <v>10560</v>
      </c>
      <c r="BE613" s="756">
        <v>11129</v>
      </c>
      <c r="BF613" s="752">
        <f t="shared" si="853"/>
        <v>11129</v>
      </c>
      <c r="BG613" s="756">
        <v>11647</v>
      </c>
      <c r="BH613" s="753">
        <v>11449</v>
      </c>
      <c r="BI613" s="753">
        <v>11627</v>
      </c>
      <c r="BJ613" s="753">
        <v>12210</v>
      </c>
      <c r="BK613" s="752">
        <f t="shared" si="864"/>
        <v>12210</v>
      </c>
      <c r="BL613" s="753">
        <v>11828</v>
      </c>
      <c r="BM613" s="753">
        <v>11335</v>
      </c>
      <c r="BN613" s="753">
        <v>11462</v>
      </c>
      <c r="BO613" s="753">
        <v>11327</v>
      </c>
      <c r="BP613" s="752">
        <f t="shared" si="865"/>
        <v>11327</v>
      </c>
      <c r="BQ613" s="1626">
        <v>11966</v>
      </c>
      <c r="BR613" s="1626">
        <v>11966</v>
      </c>
      <c r="BS613" s="1626">
        <v>12279</v>
      </c>
      <c r="BT613" s="753">
        <v>12408</v>
      </c>
      <c r="BU613" s="752">
        <f t="shared" si="866"/>
        <v>12408</v>
      </c>
      <c r="BV613" s="1626">
        <v>12750</v>
      </c>
      <c r="BW613" s="1626">
        <v>13629</v>
      </c>
      <c r="BX613" s="1626">
        <v>13704</v>
      </c>
      <c r="BY613" s="1626">
        <v>13603</v>
      </c>
      <c r="BZ613" s="752">
        <f>+BY613</f>
        <v>13603</v>
      </c>
      <c r="CA613" s="1626">
        <v>13791</v>
      </c>
      <c r="CB613" s="1626">
        <v>13791</v>
      </c>
      <c r="CC613" s="1626">
        <v>14387</v>
      </c>
      <c r="CD613" s="1626">
        <v>14974</v>
      </c>
      <c r="CE613" s="752">
        <f>+CD613</f>
        <v>14974</v>
      </c>
      <c r="CF613" s="1626">
        <v>15082</v>
      </c>
      <c r="CG613" s="1626">
        <v>15688</v>
      </c>
      <c r="CH613" s="1626">
        <v>15892</v>
      </c>
      <c r="CI613" s="1626">
        <v>16470</v>
      </c>
      <c r="CJ613" s="752">
        <f>+CI613</f>
        <v>16470</v>
      </c>
      <c r="CK613" s="3503">
        <v>16595</v>
      </c>
      <c r="CL613" s="3503">
        <v>16463</v>
      </c>
      <c r="CM613" s="3503">
        <v>16723</v>
      </c>
      <c r="CN613" s="3503">
        <v>18044</v>
      </c>
      <c r="CO613" s="752">
        <f>+CN613</f>
        <v>18044</v>
      </c>
      <c r="CP613" s="1261">
        <f t="shared" si="862"/>
        <v>17424.75</v>
      </c>
      <c r="CQ613" s="1261">
        <f t="shared" si="862"/>
        <v>17450.780000000002</v>
      </c>
      <c r="CR613" s="1261">
        <f t="shared" si="862"/>
        <v>17726.38</v>
      </c>
      <c r="CS613" s="1261">
        <f t="shared" si="862"/>
        <v>19126.64</v>
      </c>
      <c r="CT613" s="752">
        <f>+CS613</f>
        <v>19126.64</v>
      </c>
      <c r="CU613" s="194">
        <f t="shared" si="863"/>
        <v>20178.605199999998</v>
      </c>
      <c r="CV613" s="194">
        <f t="shared" si="863"/>
        <v>20582.177303999997</v>
      </c>
      <c r="CW613" s="374"/>
      <c r="CX613" s="374"/>
      <c r="CY613" s="374"/>
      <c r="CZ613" s="374"/>
      <c r="DA613" s="374"/>
      <c r="DB613" s="217"/>
    </row>
    <row r="614" spans="1:256" x14ac:dyDescent="0.2">
      <c r="A614" s="1436" t="s">
        <v>47</v>
      </c>
      <c r="B614" s="651"/>
      <c r="C614" s="236"/>
      <c r="D614" s="234"/>
      <c r="E614" s="234"/>
      <c r="F614" s="234"/>
      <c r="G614" s="234"/>
      <c r="H614" s="848">
        <v>0</v>
      </c>
      <c r="I614" s="1427">
        <v>0</v>
      </c>
      <c r="J614" s="845">
        <v>0</v>
      </c>
      <c r="K614" s="845">
        <v>0</v>
      </c>
      <c r="L614" s="845">
        <v>0</v>
      </c>
      <c r="M614" s="848">
        <v>0</v>
      </c>
      <c r="N614" s="1427">
        <v>0</v>
      </c>
      <c r="O614" s="845">
        <v>0</v>
      </c>
      <c r="P614" s="845">
        <v>0</v>
      </c>
      <c r="Q614" s="845">
        <v>0</v>
      </c>
      <c r="R614" s="848">
        <v>0</v>
      </c>
      <c r="S614" s="1427">
        <v>0</v>
      </c>
      <c r="T614" s="845">
        <v>0</v>
      </c>
      <c r="U614" s="845">
        <v>0</v>
      </c>
      <c r="V614" s="845">
        <v>0</v>
      </c>
      <c r="W614" s="848">
        <v>0</v>
      </c>
      <c r="X614" s="1427">
        <v>0</v>
      </c>
      <c r="Y614" s="845">
        <v>0</v>
      </c>
      <c r="Z614" s="845">
        <v>0</v>
      </c>
      <c r="AA614" s="845">
        <v>0</v>
      </c>
      <c r="AB614" s="848">
        <v>0</v>
      </c>
      <c r="AC614" s="1427">
        <v>0</v>
      </c>
      <c r="AD614" s="845">
        <v>0</v>
      </c>
      <c r="AE614" s="845">
        <v>0</v>
      </c>
      <c r="AF614" s="845">
        <v>0</v>
      </c>
      <c r="AG614" s="848">
        <v>0</v>
      </c>
      <c r="AH614" s="1427">
        <v>0</v>
      </c>
      <c r="AI614" s="845">
        <v>0</v>
      </c>
      <c r="AJ614" s="845">
        <v>0</v>
      </c>
      <c r="AK614" s="845">
        <v>0</v>
      </c>
      <c r="AL614" s="848">
        <v>0</v>
      </c>
      <c r="AM614" s="1427">
        <v>0</v>
      </c>
      <c r="AN614" s="845">
        <v>0</v>
      </c>
      <c r="AO614" s="845">
        <v>0</v>
      </c>
      <c r="AP614" s="845">
        <v>0</v>
      </c>
      <c r="AQ614" s="848">
        <v>0</v>
      </c>
      <c r="AR614" s="1427">
        <v>0</v>
      </c>
      <c r="AS614" s="845">
        <v>0</v>
      </c>
      <c r="AT614" s="845">
        <v>0</v>
      </c>
      <c r="AU614" s="845">
        <v>0</v>
      </c>
      <c r="AV614" s="848">
        <v>0</v>
      </c>
      <c r="AW614" s="1427">
        <v>0</v>
      </c>
      <c r="AX614" s="845">
        <v>0</v>
      </c>
      <c r="AY614" s="845">
        <v>0</v>
      </c>
      <c r="AZ614" s="845">
        <v>0</v>
      </c>
      <c r="BA614" s="848">
        <v>0</v>
      </c>
      <c r="BB614" s="1427">
        <v>0</v>
      </c>
      <c r="BC614" s="845">
        <v>0</v>
      </c>
      <c r="BD614" s="845">
        <v>0</v>
      </c>
      <c r="BE614" s="845">
        <v>0</v>
      </c>
      <c r="BF614" s="848">
        <v>0</v>
      </c>
      <c r="BG614" s="1427">
        <v>0</v>
      </c>
      <c r="BH614" s="845">
        <v>0</v>
      </c>
      <c r="BI614" s="845">
        <v>0</v>
      </c>
      <c r="BJ614" s="845">
        <v>0</v>
      </c>
      <c r="BK614" s="848">
        <v>0</v>
      </c>
      <c r="BL614" s="1427">
        <v>0</v>
      </c>
      <c r="BM614" s="845">
        <v>0</v>
      </c>
      <c r="BN614" s="845">
        <v>0</v>
      </c>
      <c r="BO614" s="845">
        <v>0</v>
      </c>
      <c r="BP614" s="848">
        <v>0</v>
      </c>
      <c r="BQ614" s="1427">
        <v>0</v>
      </c>
      <c r="BR614" s="845">
        <v>0</v>
      </c>
      <c r="BS614" s="845">
        <v>0</v>
      </c>
      <c r="BT614" s="845">
        <v>0</v>
      </c>
      <c r="BU614" s="848">
        <v>0</v>
      </c>
      <c r="BV614" s="1427">
        <v>0</v>
      </c>
      <c r="BW614" s="845">
        <v>4438</v>
      </c>
      <c r="BX614" s="845">
        <v>4540</v>
      </c>
      <c r="BY614" s="845">
        <v>4540</v>
      </c>
      <c r="BZ614" s="752">
        <f>+BY614</f>
        <v>4540</v>
      </c>
      <c r="CA614" s="1427">
        <v>4788</v>
      </c>
      <c r="CB614" s="845">
        <v>4298</v>
      </c>
      <c r="CC614" s="845">
        <v>4079</v>
      </c>
      <c r="CD614" s="845">
        <v>4079</v>
      </c>
      <c r="CE614" s="752">
        <f>+CD614</f>
        <v>4079</v>
      </c>
      <c r="CF614" s="845">
        <v>4109</v>
      </c>
      <c r="CG614" s="845">
        <v>4100</v>
      </c>
      <c r="CH614" s="845">
        <v>4093</v>
      </c>
      <c r="CI614" s="845">
        <v>4201</v>
      </c>
      <c r="CJ614" s="752">
        <f>+CI614</f>
        <v>4201</v>
      </c>
      <c r="CK614" s="3503">
        <v>4223</v>
      </c>
      <c r="CL614" s="3503">
        <v>4220</v>
      </c>
      <c r="CM614" s="3503">
        <v>4265</v>
      </c>
      <c r="CN614" s="3503">
        <v>4265</v>
      </c>
      <c r="CO614" s="752">
        <f>+CN614</f>
        <v>4265</v>
      </c>
      <c r="CP614" s="1261">
        <f t="shared" si="862"/>
        <v>4434.1500000000005</v>
      </c>
      <c r="CQ614" s="1261">
        <f t="shared" si="862"/>
        <v>4473.2</v>
      </c>
      <c r="CR614" s="1261">
        <f t="shared" si="862"/>
        <v>4520.9000000000005</v>
      </c>
      <c r="CS614" s="1261">
        <f t="shared" si="862"/>
        <v>4520.9000000000005</v>
      </c>
      <c r="CT614" s="752">
        <f>+CS614</f>
        <v>4520.9000000000005</v>
      </c>
      <c r="CU614" s="194">
        <f t="shared" si="863"/>
        <v>4769.5495000000001</v>
      </c>
      <c r="CV614" s="194">
        <f t="shared" si="863"/>
        <v>4864.94049</v>
      </c>
      <c r="CW614" s="374"/>
      <c r="CX614" s="374"/>
      <c r="CY614" s="374"/>
      <c r="CZ614" s="374"/>
      <c r="DA614" s="374"/>
      <c r="DB614" s="217"/>
    </row>
    <row r="615" spans="1:256" x14ac:dyDescent="0.2">
      <c r="A615" s="1264" t="s">
        <v>1388</v>
      </c>
      <c r="B615" s="651"/>
      <c r="C615" s="236"/>
      <c r="D615" s="207"/>
      <c r="E615" s="207"/>
      <c r="F615" s="207"/>
      <c r="G615" s="234"/>
      <c r="H615" s="236"/>
      <c r="I615" s="1427">
        <v>0</v>
      </c>
      <c r="J615" s="845">
        <v>0</v>
      </c>
      <c r="K615" s="845">
        <v>0</v>
      </c>
      <c r="L615" s="845">
        <v>0</v>
      </c>
      <c r="M615" s="752">
        <v>0</v>
      </c>
      <c r="N615" s="1427">
        <v>0</v>
      </c>
      <c r="O615" s="845">
        <v>0</v>
      </c>
      <c r="P615" s="845">
        <v>0</v>
      </c>
      <c r="Q615" s="845">
        <v>0</v>
      </c>
      <c r="R615" s="752">
        <v>0</v>
      </c>
      <c r="S615" s="1427">
        <v>0</v>
      </c>
      <c r="T615" s="845">
        <v>0</v>
      </c>
      <c r="U615" s="845">
        <v>0</v>
      </c>
      <c r="V615" s="845">
        <v>0</v>
      </c>
      <c r="W615" s="752">
        <f t="shared" si="846"/>
        <v>0</v>
      </c>
      <c r="X615" s="1427">
        <v>0</v>
      </c>
      <c r="Y615" s="845">
        <v>0</v>
      </c>
      <c r="Z615" s="845">
        <v>0</v>
      </c>
      <c r="AA615" s="845">
        <v>0</v>
      </c>
      <c r="AB615" s="752">
        <f t="shared" si="847"/>
        <v>0</v>
      </c>
      <c r="AC615" s="1427">
        <v>0</v>
      </c>
      <c r="AD615" s="845">
        <v>0</v>
      </c>
      <c r="AE615" s="845">
        <v>0</v>
      </c>
      <c r="AF615" s="845">
        <v>0</v>
      </c>
      <c r="AG615" s="752">
        <f t="shared" si="848"/>
        <v>0</v>
      </c>
      <c r="AH615" s="1427">
        <v>0</v>
      </c>
      <c r="AI615" s="845">
        <v>0</v>
      </c>
      <c r="AJ615" s="845">
        <v>0</v>
      </c>
      <c r="AK615" s="754">
        <v>190</v>
      </c>
      <c r="AL615" s="752">
        <f t="shared" si="849"/>
        <v>190</v>
      </c>
      <c r="AM615" s="753">
        <v>190</v>
      </c>
      <c r="AN615" s="753">
        <v>190</v>
      </c>
      <c r="AO615" s="753">
        <v>190</v>
      </c>
      <c r="AP615" s="754">
        <v>190</v>
      </c>
      <c r="AQ615" s="752">
        <f t="shared" si="850"/>
        <v>190</v>
      </c>
      <c r="AR615" s="753">
        <v>190</v>
      </c>
      <c r="AS615" s="753">
        <v>190</v>
      </c>
      <c r="AT615" s="753">
        <v>190</v>
      </c>
      <c r="AU615" s="754">
        <v>190</v>
      </c>
      <c r="AV615" s="752">
        <f t="shared" si="851"/>
        <v>190</v>
      </c>
      <c r="AW615" s="753">
        <v>190</v>
      </c>
      <c r="AX615" s="753">
        <v>405</v>
      </c>
      <c r="AY615" s="753">
        <v>405</v>
      </c>
      <c r="AZ615" s="756">
        <v>405</v>
      </c>
      <c r="BA615" s="752">
        <f t="shared" si="852"/>
        <v>405</v>
      </c>
      <c r="BB615" s="756">
        <v>405</v>
      </c>
      <c r="BC615" s="753">
        <v>405</v>
      </c>
      <c r="BD615" s="753">
        <v>405</v>
      </c>
      <c r="BE615" s="756">
        <v>405</v>
      </c>
      <c r="BF615" s="752">
        <f t="shared" si="853"/>
        <v>405</v>
      </c>
      <c r="BG615" s="756">
        <v>405</v>
      </c>
      <c r="BH615" s="753">
        <v>405</v>
      </c>
      <c r="BI615" s="753">
        <v>405</v>
      </c>
      <c r="BJ615" s="753">
        <v>512</v>
      </c>
      <c r="BK615" s="752">
        <f t="shared" si="864"/>
        <v>512</v>
      </c>
      <c r="BL615" s="753">
        <v>749</v>
      </c>
      <c r="BM615" s="753">
        <v>749</v>
      </c>
      <c r="BN615" s="753">
        <v>749</v>
      </c>
      <c r="BO615" s="753">
        <v>749</v>
      </c>
      <c r="BP615" s="752">
        <f t="shared" si="865"/>
        <v>749</v>
      </c>
      <c r="BQ615" s="1626">
        <v>749</v>
      </c>
      <c r="BR615" s="1626">
        <v>749</v>
      </c>
      <c r="BS615" s="1626">
        <v>749</v>
      </c>
      <c r="BT615" s="753">
        <v>749</v>
      </c>
      <c r="BU615" s="752">
        <f t="shared" si="866"/>
        <v>749</v>
      </c>
      <c r="BV615" s="1626">
        <v>749</v>
      </c>
      <c r="BW615" s="1626">
        <v>749</v>
      </c>
      <c r="BX615" s="1626">
        <v>749</v>
      </c>
      <c r="BY615" s="1626">
        <v>970</v>
      </c>
      <c r="BZ615" s="752">
        <f t="shared" si="867"/>
        <v>970</v>
      </c>
      <c r="CA615" s="1626">
        <v>517</v>
      </c>
      <c r="CB615" s="1626">
        <v>517</v>
      </c>
      <c r="CC615" s="1626">
        <v>517</v>
      </c>
      <c r="CD615" s="1626">
        <v>517</v>
      </c>
      <c r="CE615" s="752">
        <f t="shared" si="868"/>
        <v>517</v>
      </c>
      <c r="CF615" s="1626">
        <v>517</v>
      </c>
      <c r="CG615" s="1626">
        <v>517</v>
      </c>
      <c r="CH615" s="1626">
        <v>517</v>
      </c>
      <c r="CI615" s="1626">
        <v>517</v>
      </c>
      <c r="CJ615" s="752">
        <f t="shared" ref="CJ615:CJ621" si="869">+CI615</f>
        <v>517</v>
      </c>
      <c r="CK615" s="3503">
        <v>517</v>
      </c>
      <c r="CL615" s="3503">
        <v>517</v>
      </c>
      <c r="CM615" s="3503">
        <v>517</v>
      </c>
      <c r="CN615" s="3503">
        <v>643</v>
      </c>
      <c r="CO615" s="752">
        <f t="shared" ref="CO615:CO621" si="870">+CN615</f>
        <v>643</v>
      </c>
      <c r="CP615" s="1261">
        <f t="shared" si="862"/>
        <v>542.85</v>
      </c>
      <c r="CQ615" s="1261">
        <f t="shared" si="862"/>
        <v>548.02</v>
      </c>
      <c r="CR615" s="1261">
        <f t="shared" si="862"/>
        <v>548.02</v>
      </c>
      <c r="CS615" s="1261">
        <f t="shared" si="862"/>
        <v>681.58</v>
      </c>
      <c r="CT615" s="752">
        <f t="shared" ref="CT615:CT621" si="871">+CS615</f>
        <v>681.58</v>
      </c>
      <c r="CU615" s="194">
        <f t="shared" si="863"/>
        <v>719.06690000000003</v>
      </c>
      <c r="CV615" s="194">
        <f t="shared" si="863"/>
        <v>733.44823800000006</v>
      </c>
      <c r="CW615" s="374"/>
      <c r="CX615" s="374"/>
      <c r="CY615" s="374"/>
      <c r="CZ615" s="374"/>
      <c r="DA615" s="374"/>
      <c r="DB615" s="217"/>
    </row>
    <row r="616" spans="1:256" x14ac:dyDescent="0.2">
      <c r="A616" s="1266" t="s">
        <v>1391</v>
      </c>
      <c r="B616" s="651"/>
      <c r="C616" s="236"/>
      <c r="D616" s="207"/>
      <c r="E616" s="207"/>
      <c r="F616" s="207"/>
      <c r="G616" s="234"/>
      <c r="H616" s="848"/>
      <c r="I616" s="1427">
        <v>0</v>
      </c>
      <c r="J616" s="845">
        <v>0</v>
      </c>
      <c r="K616" s="845">
        <v>0</v>
      </c>
      <c r="L616" s="845">
        <v>0</v>
      </c>
      <c r="M616" s="661">
        <v>0</v>
      </c>
      <c r="N616" s="1427">
        <v>0</v>
      </c>
      <c r="O616" s="845">
        <v>0</v>
      </c>
      <c r="P616" s="845">
        <v>0</v>
      </c>
      <c r="Q616" s="845">
        <v>0</v>
      </c>
      <c r="R616" s="661">
        <v>0</v>
      </c>
      <c r="S616" s="1427">
        <v>0</v>
      </c>
      <c r="T616" s="845">
        <v>0</v>
      </c>
      <c r="U616" s="845">
        <v>0</v>
      </c>
      <c r="V616" s="845">
        <v>0</v>
      </c>
      <c r="W616" s="661">
        <f t="shared" si="846"/>
        <v>0</v>
      </c>
      <c r="X616" s="1427">
        <v>0</v>
      </c>
      <c r="Y616" s="845">
        <v>0</v>
      </c>
      <c r="Z616" s="845">
        <v>0</v>
      </c>
      <c r="AA616" s="845">
        <v>0</v>
      </c>
      <c r="AB616" s="661">
        <f t="shared" si="847"/>
        <v>0</v>
      </c>
      <c r="AC616" s="1427">
        <v>0</v>
      </c>
      <c r="AD616" s="845">
        <v>0</v>
      </c>
      <c r="AE616" s="845">
        <v>0</v>
      </c>
      <c r="AF616" s="845">
        <v>0</v>
      </c>
      <c r="AG616" s="661">
        <f t="shared" si="848"/>
        <v>0</v>
      </c>
      <c r="AH616" s="1427">
        <v>0</v>
      </c>
      <c r="AI616" s="845">
        <v>0</v>
      </c>
      <c r="AJ616" s="845">
        <v>0</v>
      </c>
      <c r="AK616" s="845">
        <v>0</v>
      </c>
      <c r="AL616" s="661">
        <f t="shared" si="849"/>
        <v>0</v>
      </c>
      <c r="AM616" s="1427">
        <v>0</v>
      </c>
      <c r="AN616" s="845">
        <v>0</v>
      </c>
      <c r="AO616" s="845">
        <v>0</v>
      </c>
      <c r="AP616" s="845">
        <v>0</v>
      </c>
      <c r="AQ616" s="661">
        <f t="shared" si="850"/>
        <v>0</v>
      </c>
      <c r="AR616" s="1427">
        <v>0</v>
      </c>
      <c r="AS616" s="845">
        <v>0</v>
      </c>
      <c r="AT616" s="845">
        <v>0</v>
      </c>
      <c r="AU616" s="845">
        <v>0</v>
      </c>
      <c r="AV616" s="661">
        <f t="shared" si="851"/>
        <v>0</v>
      </c>
      <c r="AW616" s="1427">
        <v>0</v>
      </c>
      <c r="AX616" s="845">
        <v>0</v>
      </c>
      <c r="AY616" s="845">
        <v>0</v>
      </c>
      <c r="AZ616" s="845">
        <v>0</v>
      </c>
      <c r="BA616" s="661">
        <f t="shared" si="852"/>
        <v>0</v>
      </c>
      <c r="BB616" s="1427">
        <v>0</v>
      </c>
      <c r="BC616" s="845">
        <v>0</v>
      </c>
      <c r="BD616" s="845">
        <v>0</v>
      </c>
      <c r="BE616" s="845">
        <v>0</v>
      </c>
      <c r="BF616" s="661">
        <f t="shared" si="853"/>
        <v>0</v>
      </c>
      <c r="BG616" s="845">
        <v>0</v>
      </c>
      <c r="BH616" s="845">
        <v>0</v>
      </c>
      <c r="BI616" s="845">
        <v>0</v>
      </c>
      <c r="BJ616" s="845">
        <v>0</v>
      </c>
      <c r="BK616" s="661">
        <f t="shared" si="864"/>
        <v>0</v>
      </c>
      <c r="BL616" s="845">
        <v>0</v>
      </c>
      <c r="BM616" s="845">
        <v>0</v>
      </c>
      <c r="BN616" s="845">
        <v>0</v>
      </c>
      <c r="BO616" s="845">
        <v>0</v>
      </c>
      <c r="BP616" s="661">
        <f t="shared" si="865"/>
        <v>0</v>
      </c>
      <c r="BQ616" s="215">
        <v>0</v>
      </c>
      <c r="BR616" s="215">
        <v>0</v>
      </c>
      <c r="BS616" s="215">
        <v>0</v>
      </c>
      <c r="BT616" s="845">
        <v>0</v>
      </c>
      <c r="BU616" s="661">
        <f t="shared" si="866"/>
        <v>0</v>
      </c>
      <c r="BV616" s="215">
        <v>0</v>
      </c>
      <c r="BW616" s="215">
        <v>0</v>
      </c>
      <c r="BX616" s="215">
        <v>0</v>
      </c>
      <c r="BY616" s="215">
        <v>0</v>
      </c>
      <c r="BZ616" s="661">
        <f t="shared" si="867"/>
        <v>0</v>
      </c>
      <c r="CA616" s="215">
        <v>0</v>
      </c>
      <c r="CB616" s="215">
        <v>0</v>
      </c>
      <c r="CC616" s="215">
        <v>0</v>
      </c>
      <c r="CD616" s="215">
        <v>0</v>
      </c>
      <c r="CE616" s="661">
        <f t="shared" si="868"/>
        <v>0</v>
      </c>
      <c r="CF616" s="215">
        <v>0</v>
      </c>
      <c r="CG616" s="215">
        <v>0</v>
      </c>
      <c r="CH616" s="2327">
        <v>0</v>
      </c>
      <c r="CI616" s="2327">
        <v>0</v>
      </c>
      <c r="CJ616" s="661">
        <f t="shared" si="869"/>
        <v>0</v>
      </c>
      <c r="CK616" s="2915">
        <v>0</v>
      </c>
      <c r="CL616" s="2915">
        <v>0</v>
      </c>
      <c r="CM616" s="2915">
        <v>0</v>
      </c>
      <c r="CN616" s="2915">
        <v>0</v>
      </c>
      <c r="CO616" s="661">
        <f t="shared" si="870"/>
        <v>0</v>
      </c>
      <c r="CP616" s="2324">
        <f t="shared" si="862"/>
        <v>0</v>
      </c>
      <c r="CQ616" s="2324">
        <f t="shared" si="862"/>
        <v>0</v>
      </c>
      <c r="CR616" s="2327">
        <f t="shared" si="862"/>
        <v>0</v>
      </c>
      <c r="CS616" s="2327">
        <f t="shared" si="862"/>
        <v>0</v>
      </c>
      <c r="CT616" s="661">
        <f t="shared" si="871"/>
        <v>0</v>
      </c>
      <c r="CU616" s="661">
        <f t="shared" si="863"/>
        <v>0</v>
      </c>
      <c r="CV616" s="661">
        <f t="shared" si="863"/>
        <v>0</v>
      </c>
      <c r="CW616" s="374"/>
      <c r="CX616" s="374"/>
      <c r="CY616" s="374"/>
      <c r="CZ616" s="374"/>
      <c r="DA616" s="374"/>
      <c r="DB616" s="217"/>
    </row>
    <row r="617" spans="1:256" x14ac:dyDescent="0.2">
      <c r="A617" s="1266" t="s">
        <v>1389</v>
      </c>
      <c r="B617" s="651"/>
      <c r="C617" s="236"/>
      <c r="D617" s="207"/>
      <c r="E617" s="207"/>
      <c r="F617" s="207"/>
      <c r="G617" s="234"/>
      <c r="H617" s="848"/>
      <c r="I617" s="1427">
        <v>0</v>
      </c>
      <c r="J617" s="845">
        <v>0</v>
      </c>
      <c r="K617" s="845">
        <v>0</v>
      </c>
      <c r="L617" s="845">
        <v>0</v>
      </c>
      <c r="M617" s="661">
        <v>0</v>
      </c>
      <c r="N617" s="1427">
        <v>0</v>
      </c>
      <c r="O617" s="845">
        <v>0</v>
      </c>
      <c r="P617" s="845">
        <v>0</v>
      </c>
      <c r="Q617" s="845">
        <v>0</v>
      </c>
      <c r="R617" s="661">
        <v>0</v>
      </c>
      <c r="S617" s="1427">
        <v>0</v>
      </c>
      <c r="T617" s="845">
        <v>0</v>
      </c>
      <c r="U617" s="845">
        <v>0</v>
      </c>
      <c r="V617" s="845">
        <v>0</v>
      </c>
      <c r="W617" s="661">
        <f t="shared" si="846"/>
        <v>0</v>
      </c>
      <c r="X617" s="1427">
        <v>0</v>
      </c>
      <c r="Y617" s="845">
        <v>0</v>
      </c>
      <c r="Z617" s="845">
        <v>0</v>
      </c>
      <c r="AA617" s="845">
        <v>0</v>
      </c>
      <c r="AB617" s="661">
        <f t="shared" si="847"/>
        <v>0</v>
      </c>
      <c r="AC617" s="1427">
        <v>0</v>
      </c>
      <c r="AD617" s="845">
        <v>0</v>
      </c>
      <c r="AE617" s="845">
        <v>0</v>
      </c>
      <c r="AF617" s="845">
        <v>0</v>
      </c>
      <c r="AG617" s="661">
        <f t="shared" si="848"/>
        <v>0</v>
      </c>
      <c r="AH617" s="1427">
        <v>0</v>
      </c>
      <c r="AI617" s="845">
        <v>0</v>
      </c>
      <c r="AJ617" s="845">
        <v>0</v>
      </c>
      <c r="AK617" s="845">
        <v>0</v>
      </c>
      <c r="AL617" s="661">
        <f t="shared" si="849"/>
        <v>0</v>
      </c>
      <c r="AM617" s="1427">
        <v>0</v>
      </c>
      <c r="AN617" s="845">
        <v>0</v>
      </c>
      <c r="AO617" s="845">
        <v>0</v>
      </c>
      <c r="AP617" s="845">
        <v>0</v>
      </c>
      <c r="AQ617" s="661">
        <f t="shared" si="850"/>
        <v>0</v>
      </c>
      <c r="AR617" s="1427">
        <v>0</v>
      </c>
      <c r="AS617" s="845">
        <v>0</v>
      </c>
      <c r="AT617" s="845">
        <v>0</v>
      </c>
      <c r="AU617" s="845">
        <v>0</v>
      </c>
      <c r="AV617" s="661">
        <f t="shared" si="851"/>
        <v>0</v>
      </c>
      <c r="AW617" s="1427">
        <v>0</v>
      </c>
      <c r="AX617" s="845">
        <v>0</v>
      </c>
      <c r="AY617" s="845">
        <v>0</v>
      </c>
      <c r="AZ617" s="845">
        <v>0</v>
      </c>
      <c r="BA617" s="661">
        <f t="shared" si="852"/>
        <v>0</v>
      </c>
      <c r="BB617" s="1427">
        <v>0</v>
      </c>
      <c r="BC617" s="845">
        <v>0</v>
      </c>
      <c r="BD617" s="845">
        <v>0</v>
      </c>
      <c r="BE617" s="845">
        <v>0</v>
      </c>
      <c r="BF617" s="661">
        <f t="shared" si="853"/>
        <v>0</v>
      </c>
      <c r="BG617" s="845">
        <v>0</v>
      </c>
      <c r="BH617" s="845">
        <v>0</v>
      </c>
      <c r="BI617" s="845">
        <v>0</v>
      </c>
      <c r="BJ617" s="845">
        <v>0</v>
      </c>
      <c r="BK617" s="661">
        <f t="shared" si="864"/>
        <v>0</v>
      </c>
      <c r="BL617" s="845">
        <v>0</v>
      </c>
      <c r="BM617" s="845">
        <v>0</v>
      </c>
      <c r="BN617" s="845">
        <v>0</v>
      </c>
      <c r="BO617" s="845">
        <v>0</v>
      </c>
      <c r="BP617" s="661">
        <f t="shared" si="865"/>
        <v>0</v>
      </c>
      <c r="BQ617" s="215">
        <v>0</v>
      </c>
      <c r="BR617" s="215">
        <v>0</v>
      </c>
      <c r="BS617" s="215">
        <v>0</v>
      </c>
      <c r="BT617" s="845">
        <v>148</v>
      </c>
      <c r="BU617" s="661">
        <f t="shared" si="866"/>
        <v>148</v>
      </c>
      <c r="BV617" s="1626">
        <v>148</v>
      </c>
      <c r="BW617" s="1626">
        <v>148</v>
      </c>
      <c r="BX617" s="1626">
        <v>148</v>
      </c>
      <c r="BY617" s="1626">
        <v>276</v>
      </c>
      <c r="BZ617" s="661">
        <f t="shared" si="867"/>
        <v>276</v>
      </c>
      <c r="CA617" s="1626">
        <v>416</v>
      </c>
      <c r="CB617" s="1626">
        <v>416</v>
      </c>
      <c r="CC617" s="1626">
        <v>416</v>
      </c>
      <c r="CD617" s="1626">
        <v>716</v>
      </c>
      <c r="CE617" s="661">
        <f t="shared" si="868"/>
        <v>716</v>
      </c>
      <c r="CF617" s="1626">
        <v>848</v>
      </c>
      <c r="CG617" s="1626">
        <v>848</v>
      </c>
      <c r="CH617" s="1626">
        <v>1070</v>
      </c>
      <c r="CI617" s="1626">
        <v>1588</v>
      </c>
      <c r="CJ617" s="661">
        <f t="shared" si="869"/>
        <v>1588</v>
      </c>
      <c r="CK617" s="3503">
        <v>1816</v>
      </c>
      <c r="CL617" s="3503">
        <v>1824</v>
      </c>
      <c r="CM617" s="3503">
        <v>2344</v>
      </c>
      <c r="CN617" s="3503">
        <v>2578</v>
      </c>
      <c r="CO617" s="661">
        <f t="shared" si="870"/>
        <v>2578</v>
      </c>
      <c r="CP617" s="1261">
        <f t="shared" si="862"/>
        <v>1906.8000000000002</v>
      </c>
      <c r="CQ617" s="1261">
        <f t="shared" si="862"/>
        <v>1933.44</v>
      </c>
      <c r="CR617" s="1261">
        <f t="shared" si="862"/>
        <v>2484.6400000000003</v>
      </c>
      <c r="CS617" s="1261">
        <f t="shared" si="862"/>
        <v>2732.6800000000003</v>
      </c>
      <c r="CT617" s="661">
        <f t="shared" si="871"/>
        <v>2732.6800000000003</v>
      </c>
      <c r="CU617" s="194">
        <f t="shared" si="863"/>
        <v>2882.9774000000002</v>
      </c>
      <c r="CV617" s="194">
        <f t="shared" si="863"/>
        <v>2940.6369480000003</v>
      </c>
      <c r="CW617" s="374"/>
      <c r="CX617" s="374"/>
      <c r="CY617" s="374"/>
      <c r="CZ617" s="374"/>
      <c r="DA617" s="374"/>
      <c r="DB617" s="217"/>
    </row>
    <row r="618" spans="1:256" outlineLevel="1" x14ac:dyDescent="0.2">
      <c r="A618" s="1266" t="s">
        <v>1390</v>
      </c>
      <c r="B618" s="651"/>
      <c r="C618" s="236"/>
      <c r="D618" s="207"/>
      <c r="E618" s="207"/>
      <c r="F618" s="207"/>
      <c r="G618" s="234"/>
      <c r="H618" s="848"/>
      <c r="I618" s="1427">
        <v>0</v>
      </c>
      <c r="J618" s="845">
        <v>0</v>
      </c>
      <c r="K618" s="845">
        <v>0</v>
      </c>
      <c r="L618" s="845">
        <v>0</v>
      </c>
      <c r="M618" s="661">
        <v>0</v>
      </c>
      <c r="N618" s="1427">
        <v>0</v>
      </c>
      <c r="O618" s="845">
        <v>0</v>
      </c>
      <c r="P618" s="845">
        <v>0</v>
      </c>
      <c r="Q618" s="845">
        <v>0</v>
      </c>
      <c r="R618" s="661">
        <v>0</v>
      </c>
      <c r="S618" s="1427">
        <v>0</v>
      </c>
      <c r="T618" s="845">
        <v>0</v>
      </c>
      <c r="U618" s="845">
        <v>0</v>
      </c>
      <c r="V618" s="845">
        <v>0</v>
      </c>
      <c r="W618" s="661">
        <f t="shared" si="846"/>
        <v>0</v>
      </c>
      <c r="X618" s="1427">
        <v>0</v>
      </c>
      <c r="Y618" s="845">
        <v>0</v>
      </c>
      <c r="Z618" s="845">
        <v>0</v>
      </c>
      <c r="AA618" s="845">
        <v>0</v>
      </c>
      <c r="AB618" s="661">
        <f t="shared" si="847"/>
        <v>0</v>
      </c>
      <c r="AC618" s="1427">
        <v>0</v>
      </c>
      <c r="AD618" s="845">
        <v>0</v>
      </c>
      <c r="AE618" s="845">
        <v>0</v>
      </c>
      <c r="AF618" s="845">
        <v>0</v>
      </c>
      <c r="AG618" s="661">
        <f t="shared" si="848"/>
        <v>0</v>
      </c>
      <c r="AH618" s="1427">
        <v>0</v>
      </c>
      <c r="AI618" s="845">
        <v>0</v>
      </c>
      <c r="AJ618" s="845">
        <v>0</v>
      </c>
      <c r="AK618" s="845">
        <v>0</v>
      </c>
      <c r="AL618" s="661">
        <f t="shared" si="849"/>
        <v>0</v>
      </c>
      <c r="AM618" s="1427">
        <v>0</v>
      </c>
      <c r="AN618" s="845">
        <v>0</v>
      </c>
      <c r="AO618" s="845">
        <v>0</v>
      </c>
      <c r="AP618" s="845">
        <v>0</v>
      </c>
      <c r="AQ618" s="661">
        <f t="shared" si="850"/>
        <v>0</v>
      </c>
      <c r="AR618" s="1427">
        <v>0</v>
      </c>
      <c r="AS618" s="845">
        <v>0</v>
      </c>
      <c r="AT618" s="845">
        <v>0</v>
      </c>
      <c r="AU618" s="845">
        <v>0</v>
      </c>
      <c r="AV618" s="661">
        <f t="shared" si="851"/>
        <v>0</v>
      </c>
      <c r="AW618" s="1427">
        <v>0</v>
      </c>
      <c r="AX618" s="845">
        <v>0</v>
      </c>
      <c r="AY618" s="845">
        <v>0</v>
      </c>
      <c r="AZ618" s="845">
        <v>0</v>
      </c>
      <c r="BA618" s="661">
        <f t="shared" si="852"/>
        <v>0</v>
      </c>
      <c r="BB618" s="1427">
        <v>0</v>
      </c>
      <c r="BC618" s="845">
        <v>0</v>
      </c>
      <c r="BD618" s="845">
        <v>0</v>
      </c>
      <c r="BE618" s="845">
        <v>0</v>
      </c>
      <c r="BF618" s="661">
        <f t="shared" si="853"/>
        <v>0</v>
      </c>
      <c r="BG618" s="845">
        <v>0</v>
      </c>
      <c r="BH618" s="845">
        <v>0</v>
      </c>
      <c r="BI618" s="845">
        <v>0</v>
      </c>
      <c r="BJ618" s="845">
        <v>0</v>
      </c>
      <c r="BK618" s="661">
        <f t="shared" si="864"/>
        <v>0</v>
      </c>
      <c r="BL618" s="845">
        <v>0</v>
      </c>
      <c r="BM618" s="845">
        <v>0</v>
      </c>
      <c r="BN618" s="845">
        <v>0</v>
      </c>
      <c r="BO618" s="845">
        <v>0</v>
      </c>
      <c r="BP618" s="661">
        <f t="shared" si="865"/>
        <v>0</v>
      </c>
      <c r="BQ618" s="215">
        <v>0</v>
      </c>
      <c r="BR618" s="215">
        <v>0</v>
      </c>
      <c r="BS618" s="215">
        <v>0</v>
      </c>
      <c r="BT618" s="845">
        <v>0</v>
      </c>
      <c r="BU618" s="661">
        <f t="shared" si="866"/>
        <v>0</v>
      </c>
      <c r="BV618" s="215">
        <v>0</v>
      </c>
      <c r="BW618" s="215">
        <v>0</v>
      </c>
      <c r="BX618" s="215">
        <v>0</v>
      </c>
      <c r="BY618" s="215">
        <v>0</v>
      </c>
      <c r="BZ618" s="661">
        <f t="shared" si="867"/>
        <v>0</v>
      </c>
      <c r="CA618" s="215">
        <v>0</v>
      </c>
      <c r="CB618" s="215">
        <v>0</v>
      </c>
      <c r="CC618" s="215">
        <v>0</v>
      </c>
      <c r="CD618" s="215">
        <v>0</v>
      </c>
      <c r="CE618" s="661">
        <f t="shared" si="868"/>
        <v>0</v>
      </c>
      <c r="CF618" s="215">
        <v>0</v>
      </c>
      <c r="CG618" s="215">
        <v>0</v>
      </c>
      <c r="CH618" s="2327">
        <v>0</v>
      </c>
      <c r="CI618" s="2327">
        <v>0</v>
      </c>
      <c r="CJ618" s="661">
        <f t="shared" si="869"/>
        <v>0</v>
      </c>
      <c r="CK618" s="2915">
        <v>0</v>
      </c>
      <c r="CL618" s="2915">
        <v>0</v>
      </c>
      <c r="CM618" s="2915">
        <v>0</v>
      </c>
      <c r="CN618" s="2915">
        <v>0</v>
      </c>
      <c r="CO618" s="661">
        <f t="shared" si="870"/>
        <v>0</v>
      </c>
      <c r="CP618" s="2324">
        <f t="shared" si="862"/>
        <v>0</v>
      </c>
      <c r="CQ618" s="2324">
        <f t="shared" si="862"/>
        <v>0</v>
      </c>
      <c r="CR618" s="2327">
        <f t="shared" si="862"/>
        <v>0</v>
      </c>
      <c r="CS618" s="2327">
        <f t="shared" si="862"/>
        <v>0</v>
      </c>
      <c r="CT618" s="661">
        <f t="shared" si="871"/>
        <v>0</v>
      </c>
      <c r="CU618" s="661">
        <f t="shared" si="863"/>
        <v>0</v>
      </c>
      <c r="CV618" s="661">
        <f t="shared" si="863"/>
        <v>0</v>
      </c>
      <c r="CW618" s="374"/>
      <c r="CX618" s="374"/>
      <c r="CY618" s="374"/>
      <c r="CZ618" s="374"/>
      <c r="DA618" s="374"/>
      <c r="DB618" s="217"/>
    </row>
    <row r="619" spans="1:256" x14ac:dyDescent="0.2">
      <c r="A619" s="1266" t="s">
        <v>650</v>
      </c>
      <c r="B619" s="651"/>
      <c r="C619" s="236"/>
      <c r="D619" s="207"/>
      <c r="E619" s="207"/>
      <c r="F619" s="207"/>
      <c r="G619" s="234"/>
      <c r="H619" s="236"/>
      <c r="I619" s="973">
        <f>+I947-I653</f>
        <v>1068</v>
      </c>
      <c r="J619" s="750">
        <f>+J947-J653</f>
        <v>1068</v>
      </c>
      <c r="K619" s="750">
        <f>+K947-K653</f>
        <v>1068</v>
      </c>
      <c r="L619" s="758">
        <f>+L947-L653</f>
        <v>1068</v>
      </c>
      <c r="M619" s="661">
        <f>L619</f>
        <v>1068</v>
      </c>
      <c r="N619" s="750">
        <f>+N947-N653</f>
        <v>1068</v>
      </c>
      <c r="O619" s="750">
        <f>+O947-O653</f>
        <v>727</v>
      </c>
      <c r="P619" s="753">
        <v>727</v>
      </c>
      <c r="Q619" s="756">
        <v>727</v>
      </c>
      <c r="R619" s="661">
        <f>Q619</f>
        <v>727</v>
      </c>
      <c r="S619" s="753">
        <v>727</v>
      </c>
      <c r="T619" s="753">
        <v>727</v>
      </c>
      <c r="U619" s="753">
        <v>727</v>
      </c>
      <c r="V619" s="754">
        <v>727</v>
      </c>
      <c r="W619" s="661">
        <f t="shared" si="846"/>
        <v>727</v>
      </c>
      <c r="X619" s="753">
        <v>727</v>
      </c>
      <c r="Y619" s="753">
        <v>727</v>
      </c>
      <c r="Z619" s="753">
        <v>727</v>
      </c>
      <c r="AA619" s="754">
        <v>727</v>
      </c>
      <c r="AB619" s="661">
        <f t="shared" si="847"/>
        <v>727</v>
      </c>
      <c r="AC619" s="753">
        <v>726</v>
      </c>
      <c r="AD619" s="753">
        <v>724</v>
      </c>
      <c r="AE619" s="753">
        <v>724</v>
      </c>
      <c r="AF619" s="754">
        <v>532</v>
      </c>
      <c r="AG619" s="661">
        <f t="shared" si="848"/>
        <v>532</v>
      </c>
      <c r="AH619" s="753">
        <v>332</v>
      </c>
      <c r="AI619" s="753">
        <v>332</v>
      </c>
      <c r="AJ619" s="753">
        <v>332</v>
      </c>
      <c r="AK619" s="754">
        <v>332</v>
      </c>
      <c r="AL619" s="661">
        <f t="shared" si="849"/>
        <v>332</v>
      </c>
      <c r="AM619" s="753">
        <v>332</v>
      </c>
      <c r="AN619" s="753">
        <v>332</v>
      </c>
      <c r="AO619" s="753">
        <v>332</v>
      </c>
      <c r="AP619" s="754">
        <v>332</v>
      </c>
      <c r="AQ619" s="661">
        <f t="shared" si="850"/>
        <v>332</v>
      </c>
      <c r="AR619" s="1427">
        <v>0</v>
      </c>
      <c r="AS619" s="845">
        <v>0</v>
      </c>
      <c r="AT619" s="845">
        <v>0</v>
      </c>
      <c r="AU619" s="845">
        <v>0</v>
      </c>
      <c r="AV619" s="661">
        <f t="shared" si="851"/>
        <v>0</v>
      </c>
      <c r="AW619" s="1427">
        <v>0</v>
      </c>
      <c r="AX619" s="845">
        <v>0</v>
      </c>
      <c r="AY619" s="845">
        <v>0</v>
      </c>
      <c r="AZ619" s="845">
        <v>0</v>
      </c>
      <c r="BA619" s="661">
        <f t="shared" si="852"/>
        <v>0</v>
      </c>
      <c r="BB619" s="1427">
        <v>0</v>
      </c>
      <c r="BC619" s="845">
        <v>0</v>
      </c>
      <c r="BD619" s="845">
        <v>0</v>
      </c>
      <c r="BE619" s="845">
        <v>0</v>
      </c>
      <c r="BF619" s="661">
        <f t="shared" si="853"/>
        <v>0</v>
      </c>
      <c r="BG619" s="845">
        <v>0</v>
      </c>
      <c r="BH619" s="845">
        <v>0</v>
      </c>
      <c r="BI619" s="845">
        <v>0</v>
      </c>
      <c r="BJ619" s="845">
        <v>0</v>
      </c>
      <c r="BK619" s="661">
        <f t="shared" si="864"/>
        <v>0</v>
      </c>
      <c r="BL619" s="845">
        <v>0</v>
      </c>
      <c r="BM619" s="845">
        <v>0</v>
      </c>
      <c r="BN619" s="845">
        <v>0</v>
      </c>
      <c r="BO619" s="845">
        <v>0</v>
      </c>
      <c r="BP619" s="661">
        <f t="shared" si="865"/>
        <v>0</v>
      </c>
      <c r="BQ619" s="215">
        <v>0</v>
      </c>
      <c r="BR619" s="215">
        <v>0</v>
      </c>
      <c r="BS619" s="215">
        <v>0</v>
      </c>
      <c r="BT619" s="845">
        <v>0</v>
      </c>
      <c r="BU619" s="661">
        <f t="shared" si="866"/>
        <v>0</v>
      </c>
      <c r="BV619" s="215">
        <v>0</v>
      </c>
      <c r="BW619" s="215">
        <v>0</v>
      </c>
      <c r="BX619" s="215">
        <v>0</v>
      </c>
      <c r="BY619" s="215">
        <v>0</v>
      </c>
      <c r="BZ619" s="661">
        <f t="shared" si="867"/>
        <v>0</v>
      </c>
      <c r="CA619" s="215">
        <v>0</v>
      </c>
      <c r="CB619" s="215">
        <v>0</v>
      </c>
      <c r="CC619" s="215">
        <v>0</v>
      </c>
      <c r="CD619" s="215">
        <v>0</v>
      </c>
      <c r="CE619" s="661">
        <f t="shared" si="868"/>
        <v>0</v>
      </c>
      <c r="CF619" s="215">
        <v>0</v>
      </c>
      <c r="CG619" s="215">
        <v>0</v>
      </c>
      <c r="CH619" s="2327">
        <v>0</v>
      </c>
      <c r="CI619" s="2327">
        <v>0</v>
      </c>
      <c r="CJ619" s="661">
        <f t="shared" si="869"/>
        <v>0</v>
      </c>
      <c r="CK619" s="2915">
        <v>0</v>
      </c>
      <c r="CL619" s="2915">
        <v>0</v>
      </c>
      <c r="CM619" s="2915">
        <v>0</v>
      </c>
      <c r="CN619" s="2915">
        <v>0</v>
      </c>
      <c r="CO619" s="661">
        <f t="shared" si="870"/>
        <v>0</v>
      </c>
      <c r="CP619" s="2324">
        <f t="shared" si="862"/>
        <v>0</v>
      </c>
      <c r="CQ619" s="2324">
        <f t="shared" si="862"/>
        <v>0</v>
      </c>
      <c r="CR619" s="2327">
        <f t="shared" si="862"/>
        <v>0</v>
      </c>
      <c r="CS619" s="2327">
        <f t="shared" si="862"/>
        <v>0</v>
      </c>
      <c r="CT619" s="661">
        <f t="shared" si="871"/>
        <v>0</v>
      </c>
      <c r="CU619" s="661">
        <f t="shared" si="863"/>
        <v>0</v>
      </c>
      <c r="CV619" s="661">
        <f t="shared" si="863"/>
        <v>0</v>
      </c>
      <c r="CW619" s="374"/>
      <c r="CX619" s="374"/>
      <c r="CY619" s="374"/>
      <c r="CZ619" s="374"/>
      <c r="DA619" s="374"/>
      <c r="DB619" s="217"/>
    </row>
    <row r="620" spans="1:256" x14ac:dyDescent="0.2">
      <c r="A620" s="1436" t="s">
        <v>677</v>
      </c>
      <c r="B620" s="651"/>
      <c r="C620" s="236"/>
      <c r="D620" s="207"/>
      <c r="E620" s="207"/>
      <c r="F620" s="207"/>
      <c r="G620" s="234"/>
      <c r="H620" s="236"/>
      <c r="I620" s="973"/>
      <c r="J620" s="750"/>
      <c r="K620" s="750"/>
      <c r="L620" s="758"/>
      <c r="M620" s="661"/>
      <c r="N620" s="750"/>
      <c r="O620" s="750"/>
      <c r="P620" s="753"/>
      <c r="Q620" s="756"/>
      <c r="R620" s="661"/>
      <c r="S620" s="753"/>
      <c r="T620" s="753"/>
      <c r="U620" s="753"/>
      <c r="V620" s="754"/>
      <c r="W620" s="661"/>
      <c r="X620" s="753"/>
      <c r="Y620" s="753"/>
      <c r="Z620" s="753"/>
      <c r="AA620" s="754"/>
      <c r="AB620" s="661"/>
      <c r="AC620" s="753"/>
      <c r="AD620" s="753"/>
      <c r="AE620" s="753"/>
      <c r="AF620" s="754"/>
      <c r="AG620" s="661"/>
      <c r="AH620" s="753"/>
      <c r="AI620" s="753"/>
      <c r="AJ620" s="753"/>
      <c r="AK620" s="754"/>
      <c r="AL620" s="661"/>
      <c r="AM620" s="753"/>
      <c r="AN620" s="753"/>
      <c r="AO620" s="753"/>
      <c r="AP620" s="754"/>
      <c r="AQ620" s="661"/>
      <c r="AR620" s="845"/>
      <c r="AS620" s="845"/>
      <c r="AT620" s="845"/>
      <c r="AU620" s="845"/>
      <c r="AV620" s="661"/>
      <c r="AW620" s="845"/>
      <c r="AX620" s="845"/>
      <c r="AY620" s="845"/>
      <c r="AZ620" s="845"/>
      <c r="BA620" s="661"/>
      <c r="BB620" s="845"/>
      <c r="BC620" s="845"/>
      <c r="BD620" s="845"/>
      <c r="BE620" s="845"/>
      <c r="BF620" s="661"/>
      <c r="BG620" s="845"/>
      <c r="BH620" s="845"/>
      <c r="BI620" s="845"/>
      <c r="BJ620" s="845"/>
      <c r="BK620" s="661"/>
      <c r="BL620" s="845"/>
      <c r="BM620" s="845"/>
      <c r="BN620" s="845"/>
      <c r="BO620" s="845"/>
      <c r="BP620" s="661"/>
      <c r="BQ620" s="215">
        <v>0</v>
      </c>
      <c r="BR620" s="215">
        <v>0</v>
      </c>
      <c r="BS620" s="215">
        <v>0</v>
      </c>
      <c r="BT620" s="845">
        <v>0</v>
      </c>
      <c r="BU620" s="661">
        <f t="shared" si="866"/>
        <v>0</v>
      </c>
      <c r="BV620" s="215">
        <v>0</v>
      </c>
      <c r="BW620" s="215">
        <v>0</v>
      </c>
      <c r="BX620" s="215">
        <v>0</v>
      </c>
      <c r="BY620" s="215">
        <v>0</v>
      </c>
      <c r="BZ620" s="661">
        <f t="shared" si="867"/>
        <v>0</v>
      </c>
      <c r="CA620" s="215">
        <v>0</v>
      </c>
      <c r="CB620" s="215">
        <v>0</v>
      </c>
      <c r="CC620" s="215">
        <v>0</v>
      </c>
      <c r="CD620" s="215">
        <v>0</v>
      </c>
      <c r="CE620" s="661">
        <f t="shared" si="868"/>
        <v>0</v>
      </c>
      <c r="CF620" s="215">
        <v>0</v>
      </c>
      <c r="CG620" s="215">
        <v>0</v>
      </c>
      <c r="CH620" s="2327">
        <v>0</v>
      </c>
      <c r="CI620" s="2327">
        <v>0</v>
      </c>
      <c r="CJ620" s="661">
        <f t="shared" si="869"/>
        <v>0</v>
      </c>
      <c r="CK620" s="2915">
        <v>0</v>
      </c>
      <c r="CL620" s="2915">
        <v>0</v>
      </c>
      <c r="CM620" s="2915">
        <v>0</v>
      </c>
      <c r="CN620" s="2915">
        <v>0</v>
      </c>
      <c r="CO620" s="661">
        <f t="shared" si="870"/>
        <v>0</v>
      </c>
      <c r="CP620" s="2324">
        <v>0</v>
      </c>
      <c r="CQ620" s="2324">
        <v>0</v>
      </c>
      <c r="CR620" s="2324">
        <v>0</v>
      </c>
      <c r="CS620" s="2324">
        <v>0</v>
      </c>
      <c r="CT620" s="661">
        <f t="shared" si="871"/>
        <v>0</v>
      </c>
      <c r="CU620" s="661">
        <v>0</v>
      </c>
      <c r="CV620" s="661">
        <v>0</v>
      </c>
      <c r="CW620" s="1201"/>
      <c r="CX620" s="1201"/>
      <c r="CY620" s="1201"/>
      <c r="CZ620" s="1201"/>
      <c r="DA620" s="1201"/>
      <c r="DB620" s="217"/>
      <c r="DF620" s="207"/>
      <c r="DG620" s="207"/>
      <c r="DH620" s="207"/>
      <c r="DI620" s="207"/>
      <c r="DJ620" s="207"/>
      <c r="DK620" s="207"/>
      <c r="DL620" s="207"/>
      <c r="DM620" s="207"/>
      <c r="DN620" s="207"/>
      <c r="DO620" s="207"/>
      <c r="DP620" s="207"/>
      <c r="DQ620" s="207"/>
      <c r="DR620" s="207"/>
      <c r="DS620" s="207"/>
      <c r="DT620" s="207"/>
      <c r="DU620" s="207"/>
      <c r="DV620" s="207"/>
      <c r="DW620" s="207"/>
      <c r="DX620" s="207"/>
      <c r="DY620" s="207"/>
      <c r="DZ620" s="207"/>
      <c r="EA620" s="207"/>
      <c r="EB620" s="207"/>
      <c r="EC620" s="207"/>
      <c r="ED620" s="207"/>
      <c r="EE620" s="207"/>
      <c r="EF620" s="207"/>
      <c r="EG620" s="207"/>
      <c r="EH620" s="207"/>
      <c r="EI620" s="207"/>
      <c r="EJ620" s="207"/>
      <c r="EK620" s="207"/>
      <c r="EL620" s="207"/>
      <c r="EM620" s="207"/>
      <c r="EN620" s="207"/>
      <c r="EO620" s="207"/>
      <c r="EP620" s="207"/>
      <c r="EQ620" s="207"/>
      <c r="ER620" s="207"/>
      <c r="ES620" s="207"/>
      <c r="ET620" s="207"/>
      <c r="EU620" s="207"/>
      <c r="EV620" s="207"/>
      <c r="EW620" s="207"/>
      <c r="EX620" s="207"/>
      <c r="EY620" s="207"/>
      <c r="EZ620" s="207"/>
      <c r="FA620" s="207"/>
      <c r="FB620" s="207"/>
      <c r="FC620" s="207"/>
      <c r="FD620" s="207"/>
      <c r="FE620" s="207"/>
      <c r="FF620" s="207"/>
      <c r="FG620" s="207"/>
      <c r="FH620" s="207"/>
      <c r="FI620" s="207"/>
      <c r="FJ620" s="207"/>
      <c r="FK620" s="207"/>
      <c r="FL620" s="207"/>
      <c r="FM620" s="207"/>
      <c r="FN620" s="207"/>
      <c r="FO620" s="207"/>
      <c r="FP620" s="207"/>
      <c r="FQ620" s="207"/>
      <c r="FR620" s="207"/>
      <c r="FS620" s="207"/>
      <c r="FT620" s="207"/>
      <c r="FU620" s="207"/>
      <c r="FV620" s="207"/>
      <c r="FW620" s="207"/>
      <c r="FX620" s="207"/>
      <c r="FY620" s="207"/>
      <c r="FZ620" s="207"/>
      <c r="GA620" s="207"/>
      <c r="GB620" s="207"/>
      <c r="GC620" s="207"/>
      <c r="GD620" s="207"/>
      <c r="GE620" s="207"/>
      <c r="GF620" s="207"/>
      <c r="GG620" s="207"/>
      <c r="GH620" s="207"/>
      <c r="GI620" s="207"/>
      <c r="GJ620" s="207"/>
      <c r="GK620" s="207"/>
      <c r="GL620" s="207"/>
      <c r="GM620" s="207"/>
      <c r="GN620" s="207"/>
      <c r="GO620" s="207"/>
      <c r="GP620" s="207"/>
      <c r="GQ620" s="207"/>
      <c r="GR620" s="207"/>
      <c r="GS620" s="207"/>
      <c r="GT620" s="207"/>
      <c r="GU620" s="207"/>
      <c r="GV620" s="207"/>
      <c r="GW620" s="207"/>
      <c r="GX620" s="207"/>
      <c r="GY620" s="207"/>
      <c r="GZ620" s="207"/>
      <c r="HA620" s="207"/>
      <c r="HB620" s="207"/>
      <c r="HC620" s="207"/>
      <c r="HD620" s="207"/>
      <c r="HE620" s="207"/>
      <c r="HF620" s="207"/>
      <c r="HG620" s="207"/>
      <c r="HH620" s="207"/>
      <c r="HI620" s="207"/>
      <c r="HJ620" s="207"/>
      <c r="HK620" s="207"/>
      <c r="HL620" s="207"/>
      <c r="HM620" s="207"/>
      <c r="HN620" s="207"/>
      <c r="HO620" s="207"/>
      <c r="HP620" s="207"/>
      <c r="HQ620" s="207"/>
      <c r="HR620" s="207"/>
      <c r="HS620" s="207"/>
      <c r="HT620" s="207"/>
      <c r="HU620" s="207"/>
      <c r="HV620" s="207"/>
      <c r="HW620" s="207"/>
      <c r="HX620" s="207"/>
      <c r="HY620" s="207"/>
      <c r="HZ620" s="207"/>
      <c r="IA620" s="207"/>
      <c r="IB620" s="207"/>
      <c r="IC620" s="207"/>
      <c r="ID620" s="207"/>
      <c r="IE620" s="207"/>
      <c r="IF620" s="207"/>
      <c r="IG620" s="207"/>
      <c r="IH620" s="207"/>
      <c r="II620" s="207"/>
      <c r="IJ620" s="207"/>
      <c r="IK620" s="207"/>
      <c r="IL620" s="207"/>
      <c r="IM620" s="207"/>
      <c r="IN620" s="207"/>
      <c r="IO620" s="207"/>
      <c r="IP620" s="207"/>
      <c r="IQ620" s="207"/>
      <c r="IR620" s="207"/>
      <c r="IS620" s="207"/>
      <c r="IT620" s="207"/>
      <c r="IU620" s="207"/>
      <c r="IV620" s="207"/>
    </row>
    <row r="621" spans="1:256" s="2434" customFormat="1" x14ac:dyDescent="0.2">
      <c r="A621" s="2633" t="s">
        <v>384</v>
      </c>
      <c r="B621" s="2400"/>
      <c r="C621" s="2401"/>
      <c r="D621" s="2644"/>
      <c r="E621" s="2644"/>
      <c r="F621" s="2644"/>
      <c r="G621" s="2402"/>
      <c r="H621" s="2401"/>
      <c r="I621" s="2399">
        <f>+I960-I654</f>
        <v>1733</v>
      </c>
      <c r="J621" s="2405">
        <f>+J960-J654</f>
        <v>1733</v>
      </c>
      <c r="K621" s="2405">
        <f>+K960-K654</f>
        <v>1783</v>
      </c>
      <c r="L621" s="2404">
        <f>+L960-L654</f>
        <v>1797</v>
      </c>
      <c r="M621" s="2406">
        <f>L621</f>
        <v>1797</v>
      </c>
      <c r="N621" s="2405">
        <f>+N960-N654</f>
        <v>1969</v>
      </c>
      <c r="O621" s="2405">
        <f>+O960-O654</f>
        <v>1969</v>
      </c>
      <c r="P621" s="753">
        <v>1909</v>
      </c>
      <c r="Q621" s="756">
        <v>1908</v>
      </c>
      <c r="R621" s="2406">
        <f>Q621</f>
        <v>1908</v>
      </c>
      <c r="S621" s="753">
        <v>2068</v>
      </c>
      <c r="T621" s="753">
        <v>2068</v>
      </c>
      <c r="U621" s="753">
        <v>2068</v>
      </c>
      <c r="V621" s="754">
        <v>2223</v>
      </c>
      <c r="W621" s="2406">
        <f t="shared" si="846"/>
        <v>2223</v>
      </c>
      <c r="X621" s="753">
        <v>2323</v>
      </c>
      <c r="Y621" s="753">
        <v>2372</v>
      </c>
      <c r="Z621" s="753">
        <v>2372</v>
      </c>
      <c r="AA621" s="754">
        <v>2372</v>
      </c>
      <c r="AB621" s="2406">
        <f t="shared" si="847"/>
        <v>2372</v>
      </c>
      <c r="AC621" s="753">
        <v>2486</v>
      </c>
      <c r="AD621" s="753">
        <v>2710</v>
      </c>
      <c r="AE621" s="753">
        <v>2710</v>
      </c>
      <c r="AF621" s="754">
        <v>2753</v>
      </c>
      <c r="AG621" s="2406">
        <f t="shared" si="848"/>
        <v>2753</v>
      </c>
      <c r="AH621" s="753">
        <v>2753</v>
      </c>
      <c r="AI621" s="753">
        <v>2705</v>
      </c>
      <c r="AJ621" s="753">
        <v>2928</v>
      </c>
      <c r="AK621" s="754">
        <v>2878</v>
      </c>
      <c r="AL621" s="2406">
        <f t="shared" si="849"/>
        <v>2878</v>
      </c>
      <c r="AM621" s="753">
        <v>2943</v>
      </c>
      <c r="AN621" s="753">
        <v>2849</v>
      </c>
      <c r="AO621" s="753">
        <v>2937</v>
      </c>
      <c r="AP621" s="754">
        <v>2806</v>
      </c>
      <c r="AQ621" s="2406">
        <f t="shared" si="850"/>
        <v>2806</v>
      </c>
      <c r="AR621" s="753">
        <v>2788</v>
      </c>
      <c r="AS621" s="753">
        <v>2930</v>
      </c>
      <c r="AT621" s="753">
        <v>2930</v>
      </c>
      <c r="AU621" s="754">
        <v>3118</v>
      </c>
      <c r="AV621" s="2406">
        <f t="shared" si="851"/>
        <v>3118</v>
      </c>
      <c r="AW621" s="753">
        <v>3238</v>
      </c>
      <c r="AX621" s="753">
        <v>3313</v>
      </c>
      <c r="AY621" s="753">
        <v>3481</v>
      </c>
      <c r="AZ621" s="756">
        <v>3781</v>
      </c>
      <c r="BA621" s="2406">
        <f t="shared" si="852"/>
        <v>3781</v>
      </c>
      <c r="BB621" s="756">
        <v>3804</v>
      </c>
      <c r="BC621" s="753">
        <v>3580</v>
      </c>
      <c r="BD621" s="753">
        <v>3676</v>
      </c>
      <c r="BE621" s="756">
        <v>3676</v>
      </c>
      <c r="BF621" s="2406">
        <f t="shared" si="853"/>
        <v>3676</v>
      </c>
      <c r="BG621" s="756">
        <v>3676</v>
      </c>
      <c r="BH621" s="753">
        <v>3463</v>
      </c>
      <c r="BI621" s="753">
        <v>3463</v>
      </c>
      <c r="BJ621" s="753">
        <v>3601</v>
      </c>
      <c r="BK621" s="2406">
        <f t="shared" si="864"/>
        <v>3601</v>
      </c>
      <c r="BL621" s="753">
        <v>3727</v>
      </c>
      <c r="BM621" s="753">
        <v>3846</v>
      </c>
      <c r="BN621" s="753">
        <v>3846</v>
      </c>
      <c r="BO621" s="753">
        <v>4066</v>
      </c>
      <c r="BP621" s="2406">
        <f t="shared" si="865"/>
        <v>4066</v>
      </c>
      <c r="BQ621" s="1626">
        <v>4140</v>
      </c>
      <c r="BR621" s="1626">
        <v>4295</v>
      </c>
      <c r="BS621" s="1626">
        <v>4295</v>
      </c>
      <c r="BT621" s="753">
        <v>4295</v>
      </c>
      <c r="BU621" s="2406">
        <f t="shared" si="866"/>
        <v>4295</v>
      </c>
      <c r="BV621" s="1626">
        <v>4423</v>
      </c>
      <c r="BW621" s="1626">
        <v>4423</v>
      </c>
      <c r="BX621" s="1626">
        <v>4285</v>
      </c>
      <c r="BY621" s="1626">
        <v>4261</v>
      </c>
      <c r="BZ621" s="2406">
        <f t="shared" si="867"/>
        <v>4261</v>
      </c>
      <c r="CA621" s="1626">
        <v>4038</v>
      </c>
      <c r="CB621" s="1626">
        <v>4149</v>
      </c>
      <c r="CC621" s="1626">
        <v>4181</v>
      </c>
      <c r="CD621" s="1626">
        <v>4181</v>
      </c>
      <c r="CE621" s="2406">
        <f t="shared" si="868"/>
        <v>4181</v>
      </c>
      <c r="CF621" s="1626">
        <v>4131</v>
      </c>
      <c r="CG621" s="1626">
        <v>4131</v>
      </c>
      <c r="CH621" s="1626">
        <v>4195</v>
      </c>
      <c r="CI621" s="1626">
        <v>4195</v>
      </c>
      <c r="CJ621" s="2406">
        <f t="shared" si="869"/>
        <v>4195</v>
      </c>
      <c r="CK621" s="3503">
        <v>4195</v>
      </c>
      <c r="CL621" s="3503">
        <v>4195</v>
      </c>
      <c r="CM621" s="3503">
        <v>4195</v>
      </c>
      <c r="CN621" s="3503">
        <v>4270</v>
      </c>
      <c r="CO621" s="2406">
        <f t="shared" si="870"/>
        <v>4270</v>
      </c>
      <c r="CP621" s="1261">
        <f>+CK621*(1+CP$875)</f>
        <v>4404.75</v>
      </c>
      <c r="CQ621" s="1261">
        <f>+CL621*(1+CQ$875)</f>
        <v>4446.7</v>
      </c>
      <c r="CR621" s="1261">
        <f>+CM621*(1+CR$875)</f>
        <v>4446.7</v>
      </c>
      <c r="CS621" s="1261">
        <f>+CN621*(1+CS$875)</f>
        <v>4526.2</v>
      </c>
      <c r="CT621" s="2406">
        <f t="shared" si="871"/>
        <v>4526.2</v>
      </c>
      <c r="CU621" s="2403">
        <f>+CT621*(1+CU$875)</f>
        <v>4775.1409999999996</v>
      </c>
      <c r="CV621" s="2403">
        <f>+CU621*(1+CV$875)</f>
        <v>4870.6438199999993</v>
      </c>
      <c r="CW621" s="2584"/>
      <c r="CX621" s="2584"/>
      <c r="CY621" s="2584"/>
      <c r="CZ621" s="2584"/>
      <c r="DA621" s="2584"/>
      <c r="DB621" s="217"/>
      <c r="DC621" s="212"/>
      <c r="DD621" s="2631"/>
    </row>
    <row r="622" spans="1:256" ht="4.5" customHeight="1" x14ac:dyDescent="0.2">
      <c r="A622" s="1267"/>
      <c r="B622" s="651"/>
      <c r="C622" s="236"/>
      <c r="D622" s="207"/>
      <c r="E622" s="207"/>
      <c r="F622" s="207"/>
      <c r="G622" s="234"/>
      <c r="H622" s="236"/>
      <c r="I622" s="1430"/>
      <c r="J622" s="759"/>
      <c r="K622" s="759"/>
      <c r="L622" s="774"/>
      <c r="M622" s="761"/>
      <c r="N622" s="759"/>
      <c r="O622" s="759"/>
      <c r="P622" s="762"/>
      <c r="Q622" s="775"/>
      <c r="R622" s="761"/>
      <c r="S622" s="762"/>
      <c r="T622" s="762"/>
      <c r="U622" s="762"/>
      <c r="V622" s="775"/>
      <c r="W622" s="761"/>
      <c r="X622" s="762"/>
      <c r="Y622" s="762"/>
      <c r="Z622" s="762"/>
      <c r="AA622" s="775"/>
      <c r="AB622" s="761"/>
      <c r="AC622" s="762"/>
      <c r="AD622" s="762"/>
      <c r="AE622" s="762"/>
      <c r="AF622" s="775"/>
      <c r="AG622" s="761"/>
      <c r="AH622" s="762"/>
      <c r="AI622" s="762"/>
      <c r="AJ622" s="762"/>
      <c r="AK622" s="775"/>
      <c r="AL622" s="761"/>
      <c r="AM622" s="762"/>
      <c r="AN622" s="762"/>
      <c r="AO622" s="762"/>
      <c r="AP622" s="775"/>
      <c r="AQ622" s="761"/>
      <c r="AR622" s="762"/>
      <c r="AS622" s="762"/>
      <c r="AT622" s="762"/>
      <c r="AU622" s="775"/>
      <c r="AV622" s="761"/>
      <c r="AW622" s="762"/>
      <c r="AX622" s="762"/>
      <c r="AY622" s="762"/>
      <c r="AZ622" s="775"/>
      <c r="BA622" s="761"/>
      <c r="BB622" s="775"/>
      <c r="BC622" s="762"/>
      <c r="BD622" s="762"/>
      <c r="BE622" s="775"/>
      <c r="BF622" s="761"/>
      <c r="BG622" s="775"/>
      <c r="BH622" s="762"/>
      <c r="BI622" s="762"/>
      <c r="BJ622" s="762"/>
      <c r="BK622" s="761"/>
      <c r="BL622" s="762"/>
      <c r="BM622" s="762"/>
      <c r="BN622" s="762"/>
      <c r="BO622" s="762"/>
      <c r="BP622" s="761"/>
      <c r="BQ622" s="2059"/>
      <c r="BR622" s="2059"/>
      <c r="BS622" s="2059"/>
      <c r="BT622" s="762"/>
      <c r="BU622" s="761"/>
      <c r="BV622" s="2059"/>
      <c r="BW622" s="2059"/>
      <c r="BX622" s="2059"/>
      <c r="BY622" s="2059"/>
      <c r="BZ622" s="761"/>
      <c r="CA622" s="2059"/>
      <c r="CB622" s="2059"/>
      <c r="CC622" s="2059"/>
      <c r="CD622" s="2059"/>
      <c r="CE622" s="761"/>
      <c r="CF622" s="2059"/>
      <c r="CG622" s="2059"/>
      <c r="CH622" s="1650"/>
      <c r="CI622" s="1650"/>
      <c r="CJ622" s="761"/>
      <c r="CK622" s="3522"/>
      <c r="CL622" s="3522"/>
      <c r="CM622" s="3522"/>
      <c r="CN622" s="3522"/>
      <c r="CO622" s="761"/>
      <c r="CP622" s="1261"/>
      <c r="CQ622" s="1261"/>
      <c r="CR622" s="1261"/>
      <c r="CS622" s="1261"/>
      <c r="CT622" s="761"/>
      <c r="CU622" s="1746"/>
      <c r="CV622" s="1746"/>
      <c r="CW622" s="374"/>
      <c r="CX622" s="374"/>
      <c r="CY622" s="374"/>
      <c r="CZ622" s="374"/>
      <c r="DA622" s="374"/>
      <c r="DB622" s="217"/>
    </row>
    <row r="623" spans="1:256" x14ac:dyDescent="0.2">
      <c r="A623" s="2434" t="s">
        <v>2454</v>
      </c>
      <c r="B623" s="651"/>
      <c r="C623" s="236"/>
      <c r="D623" s="207"/>
      <c r="E623" s="207"/>
      <c r="F623" s="207"/>
      <c r="G623" s="234"/>
      <c r="H623" s="236"/>
      <c r="I623" s="1430"/>
      <c r="J623" s="759"/>
      <c r="K623" s="759"/>
      <c r="L623" s="774"/>
      <c r="M623" s="761"/>
      <c r="N623" s="759"/>
      <c r="O623" s="759"/>
      <c r="P623" s="762"/>
      <c r="Q623" s="775"/>
      <c r="R623" s="761"/>
      <c r="S623" s="762"/>
      <c r="T623" s="762"/>
      <c r="U623" s="762"/>
      <c r="V623" s="775"/>
      <c r="W623" s="761"/>
      <c r="X623" s="762"/>
      <c r="Y623" s="762"/>
      <c r="Z623" s="762"/>
      <c r="AA623" s="775"/>
      <c r="AB623" s="761"/>
      <c r="AC623" s="762"/>
      <c r="AD623" s="762"/>
      <c r="AE623" s="762"/>
      <c r="AF623" s="775"/>
      <c r="AG623" s="761"/>
      <c r="AH623" s="762"/>
      <c r="AI623" s="762"/>
      <c r="AJ623" s="762"/>
      <c r="AK623" s="775"/>
      <c r="AL623" s="761"/>
      <c r="AM623" s="762"/>
      <c r="AN623" s="762"/>
      <c r="AO623" s="762"/>
      <c r="AP623" s="775"/>
      <c r="AQ623" s="761"/>
      <c r="AR623" s="762"/>
      <c r="AS623" s="762"/>
      <c r="AT623" s="762"/>
      <c r="AU623" s="775"/>
      <c r="AV623" s="761"/>
      <c r="AW623" s="762"/>
      <c r="AX623" s="762"/>
      <c r="AY623" s="762"/>
      <c r="AZ623" s="775"/>
      <c r="BA623" s="761"/>
      <c r="BB623" s="775"/>
      <c r="BC623" s="762"/>
      <c r="BD623" s="762"/>
      <c r="BE623" s="775"/>
      <c r="BF623" s="761"/>
      <c r="BG623" s="775"/>
      <c r="BH623" s="762"/>
      <c r="BI623" s="762"/>
      <c r="BJ623" s="762"/>
      <c r="BK623" s="761"/>
      <c r="BL623" s="762"/>
      <c r="BM623" s="762"/>
      <c r="BN623" s="762"/>
      <c r="BO623" s="762"/>
      <c r="BP623" s="761"/>
      <c r="BQ623" s="2059"/>
      <c r="BR623" s="2059"/>
      <c r="BS623" s="2059"/>
      <c r="BT623" s="762"/>
      <c r="BU623" s="761"/>
      <c r="BV623" s="2059"/>
      <c r="BW623" s="2059"/>
      <c r="BX623" s="2059"/>
      <c r="BY623" s="2059"/>
      <c r="BZ623" s="761"/>
      <c r="CA623" s="3324">
        <v>61575</v>
      </c>
      <c r="CB623" s="3324">
        <v>61575</v>
      </c>
      <c r="CC623" s="3324">
        <v>61443</v>
      </c>
      <c r="CD623" s="3324">
        <v>63601</v>
      </c>
      <c r="CE623" s="3325">
        <v>63601</v>
      </c>
      <c r="CF623" s="3324">
        <v>62702</v>
      </c>
      <c r="CG623" s="3324">
        <v>61614</v>
      </c>
      <c r="CH623" s="3184">
        <v>62917</v>
      </c>
      <c r="CI623" s="3184">
        <v>64088</v>
      </c>
      <c r="CJ623" s="2406">
        <f>CI623</f>
        <v>64088</v>
      </c>
      <c r="CK623" s="3503">
        <v>64082</v>
      </c>
      <c r="CL623" s="3503">
        <v>63993</v>
      </c>
      <c r="CM623" s="3503">
        <v>63155</v>
      </c>
      <c r="CN623" s="3503">
        <v>63011</v>
      </c>
      <c r="CO623" s="2406">
        <f>CN623</f>
        <v>63011</v>
      </c>
      <c r="CP623" s="1261">
        <f t="shared" ref="CP623:CS633" si="872">CK623*(1+CP$875)</f>
        <v>67286.100000000006</v>
      </c>
      <c r="CQ623" s="1261">
        <f t="shared" si="872"/>
        <v>67832.58</v>
      </c>
      <c r="CR623" s="1261">
        <f t="shared" si="872"/>
        <v>66944.3</v>
      </c>
      <c r="CS623" s="1261">
        <f t="shared" si="872"/>
        <v>66791.66</v>
      </c>
      <c r="CT623" s="2406">
        <f>CS623</f>
        <v>66791.66</v>
      </c>
      <c r="CU623" s="2403">
        <f t="shared" ref="CU623:CV633" si="873">CT623*(1+CU$875)</f>
        <v>70465.201300000001</v>
      </c>
      <c r="CV623" s="2403">
        <f t="shared" si="873"/>
        <v>71874.505325999999</v>
      </c>
      <c r="CW623" s="374"/>
      <c r="CX623" s="374"/>
      <c r="CY623" s="374"/>
      <c r="CZ623" s="374"/>
      <c r="DA623" s="374"/>
      <c r="DB623" s="217"/>
    </row>
    <row r="624" spans="1:256" x14ac:dyDescent="0.2">
      <c r="A624" s="2434" t="s">
        <v>2455</v>
      </c>
      <c r="B624" s="651"/>
      <c r="C624" s="236"/>
      <c r="D624" s="207"/>
      <c r="E624" s="207"/>
      <c r="F624" s="207"/>
      <c r="G624" s="234"/>
      <c r="H624" s="236"/>
      <c r="I624" s="1430"/>
      <c r="J624" s="759"/>
      <c r="K624" s="759"/>
      <c r="L624" s="774"/>
      <c r="M624" s="761"/>
      <c r="N624" s="759"/>
      <c r="O624" s="759"/>
      <c r="P624" s="762"/>
      <c r="Q624" s="775"/>
      <c r="R624" s="761"/>
      <c r="S624" s="762"/>
      <c r="T624" s="762"/>
      <c r="U624" s="762"/>
      <c r="V624" s="775"/>
      <c r="W624" s="761"/>
      <c r="X624" s="762"/>
      <c r="Y624" s="762"/>
      <c r="Z624" s="762"/>
      <c r="AA624" s="775"/>
      <c r="AB624" s="761"/>
      <c r="AC624" s="762"/>
      <c r="AD624" s="762"/>
      <c r="AE624" s="762"/>
      <c r="AF624" s="775"/>
      <c r="AG624" s="761"/>
      <c r="AH624" s="762"/>
      <c r="AI624" s="762"/>
      <c r="AJ624" s="762"/>
      <c r="AK624" s="775"/>
      <c r="AL624" s="761"/>
      <c r="AM624" s="762"/>
      <c r="AN624" s="762"/>
      <c r="AO624" s="762"/>
      <c r="AP624" s="775"/>
      <c r="AQ624" s="761"/>
      <c r="AR624" s="762"/>
      <c r="AS624" s="762"/>
      <c r="AT624" s="762"/>
      <c r="AU624" s="775"/>
      <c r="AV624" s="761"/>
      <c r="AW624" s="762"/>
      <c r="AX624" s="762"/>
      <c r="AY624" s="762"/>
      <c r="AZ624" s="775"/>
      <c r="BA624" s="761"/>
      <c r="BB624" s="775"/>
      <c r="BC624" s="762"/>
      <c r="BD624" s="762"/>
      <c r="BE624" s="775"/>
      <c r="BF624" s="761"/>
      <c r="BG624" s="775"/>
      <c r="BH624" s="762"/>
      <c r="BI624" s="762"/>
      <c r="BJ624" s="762"/>
      <c r="BK624" s="761"/>
      <c r="BL624" s="762"/>
      <c r="BM624" s="762"/>
      <c r="BN624" s="762"/>
      <c r="BO624" s="762"/>
      <c r="BP624" s="761"/>
      <c r="BQ624" s="2059"/>
      <c r="BR624" s="2059"/>
      <c r="BS624" s="2059"/>
      <c r="BT624" s="762"/>
      <c r="BU624" s="761"/>
      <c r="BV624" s="2059"/>
      <c r="BW624" s="2059"/>
      <c r="BX624" s="2059"/>
      <c r="BY624" s="2059"/>
      <c r="BZ624" s="761"/>
      <c r="CA624" s="3324">
        <v>18126</v>
      </c>
      <c r="CB624" s="3324">
        <v>18126</v>
      </c>
      <c r="CC624" s="3324">
        <v>18442</v>
      </c>
      <c r="CD624" s="3324">
        <v>19021</v>
      </c>
      <c r="CE624" s="3325">
        <v>19021</v>
      </c>
      <c r="CF624" s="3324">
        <v>19033</v>
      </c>
      <c r="CG624" s="3324">
        <v>20173</v>
      </c>
      <c r="CH624" s="3184">
        <v>21346</v>
      </c>
      <c r="CI624" s="3184">
        <v>21964</v>
      </c>
      <c r="CJ624" s="2406">
        <f t="shared" ref="CJ624:CJ633" si="874">CI624</f>
        <v>21964</v>
      </c>
      <c r="CK624" s="3503">
        <v>21532</v>
      </c>
      <c r="CL624" s="3503">
        <v>21529</v>
      </c>
      <c r="CM624" s="3503">
        <v>21844</v>
      </c>
      <c r="CN624" s="3503">
        <v>21788</v>
      </c>
      <c r="CO624" s="2406">
        <f t="shared" ref="CO624:CO633" si="875">CN624</f>
        <v>21788</v>
      </c>
      <c r="CP624" s="1261">
        <f t="shared" si="872"/>
        <v>22608.600000000002</v>
      </c>
      <c r="CQ624" s="1261">
        <f t="shared" si="872"/>
        <v>22820.74</v>
      </c>
      <c r="CR624" s="1261">
        <f t="shared" si="872"/>
        <v>23154.639999999999</v>
      </c>
      <c r="CS624" s="1261">
        <f t="shared" si="872"/>
        <v>23095.280000000002</v>
      </c>
      <c r="CT624" s="2406">
        <f t="shared" ref="CT624:CT633" si="876">CS624</f>
        <v>23095.280000000002</v>
      </c>
      <c r="CU624" s="2403">
        <f t="shared" si="873"/>
        <v>24365.520400000001</v>
      </c>
      <c r="CV624" s="2403">
        <f t="shared" si="873"/>
        <v>24852.830808000002</v>
      </c>
      <c r="CW624" s="374"/>
      <c r="CX624" s="374"/>
      <c r="CY624" s="374"/>
      <c r="CZ624" s="374"/>
      <c r="DA624" s="374"/>
      <c r="DB624" s="217"/>
    </row>
    <row r="625" spans="1:256" x14ac:dyDescent="0.2">
      <c r="A625" s="2434" t="s">
        <v>2456</v>
      </c>
      <c r="B625" s="651"/>
      <c r="C625" s="236"/>
      <c r="D625" s="207"/>
      <c r="E625" s="207"/>
      <c r="F625" s="207"/>
      <c r="G625" s="234"/>
      <c r="H625" s="236"/>
      <c r="I625" s="1430"/>
      <c r="J625" s="759"/>
      <c r="K625" s="759"/>
      <c r="L625" s="774"/>
      <c r="M625" s="761"/>
      <c r="N625" s="759"/>
      <c r="O625" s="759"/>
      <c r="P625" s="762"/>
      <c r="Q625" s="775"/>
      <c r="R625" s="761"/>
      <c r="S625" s="762"/>
      <c r="T625" s="762"/>
      <c r="U625" s="762"/>
      <c r="V625" s="775"/>
      <c r="W625" s="761"/>
      <c r="X625" s="762"/>
      <c r="Y625" s="762"/>
      <c r="Z625" s="762"/>
      <c r="AA625" s="775"/>
      <c r="AB625" s="761"/>
      <c r="AC625" s="762"/>
      <c r="AD625" s="762"/>
      <c r="AE625" s="762"/>
      <c r="AF625" s="775"/>
      <c r="AG625" s="761"/>
      <c r="AH625" s="762"/>
      <c r="AI625" s="762"/>
      <c r="AJ625" s="762"/>
      <c r="AK625" s="775"/>
      <c r="AL625" s="761"/>
      <c r="AM625" s="762"/>
      <c r="AN625" s="762"/>
      <c r="AO625" s="762"/>
      <c r="AP625" s="775"/>
      <c r="AQ625" s="761"/>
      <c r="AR625" s="762"/>
      <c r="AS625" s="762"/>
      <c r="AT625" s="762"/>
      <c r="AU625" s="775"/>
      <c r="AV625" s="761"/>
      <c r="AW625" s="762"/>
      <c r="AX625" s="762"/>
      <c r="AY625" s="762"/>
      <c r="AZ625" s="775"/>
      <c r="BA625" s="761"/>
      <c r="BB625" s="775"/>
      <c r="BC625" s="762"/>
      <c r="BD625" s="762"/>
      <c r="BE625" s="775"/>
      <c r="BF625" s="761"/>
      <c r="BG625" s="775"/>
      <c r="BH625" s="762"/>
      <c r="BI625" s="762"/>
      <c r="BJ625" s="762"/>
      <c r="BK625" s="761"/>
      <c r="BL625" s="762"/>
      <c r="BM625" s="762"/>
      <c r="BN625" s="762"/>
      <c r="BO625" s="762"/>
      <c r="BP625" s="761"/>
      <c r="BQ625" s="2059"/>
      <c r="BR625" s="2059"/>
      <c r="BS625" s="2059"/>
      <c r="BT625" s="762"/>
      <c r="BU625" s="761"/>
      <c r="BV625" s="2059"/>
      <c r="BW625" s="2059"/>
      <c r="BX625" s="2059"/>
      <c r="BY625" s="2059"/>
      <c r="BZ625" s="761"/>
      <c r="CA625" s="3324">
        <v>12177</v>
      </c>
      <c r="CB625" s="3324">
        <v>12177</v>
      </c>
      <c r="CC625" s="3324">
        <v>12584</v>
      </c>
      <c r="CD625" s="3324">
        <v>12775</v>
      </c>
      <c r="CE625" s="3325">
        <v>12775</v>
      </c>
      <c r="CF625" s="3324">
        <v>12890</v>
      </c>
      <c r="CG625" s="3324">
        <v>13906</v>
      </c>
      <c r="CH625" s="3184">
        <v>14650</v>
      </c>
      <c r="CI625" s="3184">
        <v>14533</v>
      </c>
      <c r="CJ625" s="2406">
        <f t="shared" si="874"/>
        <v>14533</v>
      </c>
      <c r="CK625" s="3503">
        <v>14378</v>
      </c>
      <c r="CL625" s="3503">
        <v>14598</v>
      </c>
      <c r="CM625" s="3503">
        <v>14921</v>
      </c>
      <c r="CN625" s="3503">
        <v>15201</v>
      </c>
      <c r="CO625" s="2406">
        <f t="shared" si="875"/>
        <v>15201</v>
      </c>
      <c r="CP625" s="1261">
        <f t="shared" si="872"/>
        <v>15096.900000000001</v>
      </c>
      <c r="CQ625" s="1261">
        <f t="shared" si="872"/>
        <v>15473.880000000001</v>
      </c>
      <c r="CR625" s="1261">
        <f t="shared" si="872"/>
        <v>15816.26</v>
      </c>
      <c r="CS625" s="1261">
        <f t="shared" si="872"/>
        <v>16113.060000000001</v>
      </c>
      <c r="CT625" s="2406">
        <f t="shared" si="876"/>
        <v>16113.060000000001</v>
      </c>
      <c r="CU625" s="2403">
        <f t="shared" si="873"/>
        <v>16999.278300000002</v>
      </c>
      <c r="CV625" s="2403">
        <f t="shared" si="873"/>
        <v>17339.263866000001</v>
      </c>
      <c r="CW625" s="374"/>
      <c r="CX625" s="374"/>
      <c r="CY625" s="374"/>
      <c r="CZ625" s="374"/>
      <c r="DA625" s="374"/>
      <c r="DB625" s="217"/>
    </row>
    <row r="626" spans="1:256" x14ac:dyDescent="0.2">
      <c r="A626" s="2434" t="s">
        <v>2457</v>
      </c>
      <c r="B626" s="651"/>
      <c r="C626" s="236"/>
      <c r="D626" s="207"/>
      <c r="E626" s="207"/>
      <c r="F626" s="207"/>
      <c r="G626" s="234"/>
      <c r="H626" s="236"/>
      <c r="I626" s="1430"/>
      <c r="J626" s="759"/>
      <c r="K626" s="759"/>
      <c r="L626" s="774"/>
      <c r="M626" s="761"/>
      <c r="N626" s="759"/>
      <c r="O626" s="759"/>
      <c r="P626" s="762"/>
      <c r="Q626" s="775"/>
      <c r="R626" s="761"/>
      <c r="S626" s="762"/>
      <c r="T626" s="762"/>
      <c r="U626" s="762"/>
      <c r="V626" s="775"/>
      <c r="W626" s="761"/>
      <c r="X626" s="762"/>
      <c r="Y626" s="762"/>
      <c r="Z626" s="762"/>
      <c r="AA626" s="775"/>
      <c r="AB626" s="761"/>
      <c r="AC626" s="762"/>
      <c r="AD626" s="762"/>
      <c r="AE626" s="762"/>
      <c r="AF626" s="775"/>
      <c r="AG626" s="761"/>
      <c r="AH626" s="762"/>
      <c r="AI626" s="762"/>
      <c r="AJ626" s="762"/>
      <c r="AK626" s="775"/>
      <c r="AL626" s="761"/>
      <c r="AM626" s="762"/>
      <c r="AN626" s="762"/>
      <c r="AO626" s="762"/>
      <c r="AP626" s="775"/>
      <c r="AQ626" s="761"/>
      <c r="AR626" s="762"/>
      <c r="AS626" s="762"/>
      <c r="AT626" s="762"/>
      <c r="AU626" s="775"/>
      <c r="AV626" s="761"/>
      <c r="AW626" s="762"/>
      <c r="AX626" s="762"/>
      <c r="AY626" s="762"/>
      <c r="AZ626" s="775"/>
      <c r="BA626" s="761"/>
      <c r="BB626" s="775"/>
      <c r="BC626" s="762"/>
      <c r="BD626" s="762"/>
      <c r="BE626" s="775"/>
      <c r="BF626" s="761"/>
      <c r="BG626" s="775"/>
      <c r="BH626" s="762"/>
      <c r="BI626" s="762"/>
      <c r="BJ626" s="762"/>
      <c r="BK626" s="761"/>
      <c r="BL626" s="762"/>
      <c r="BM626" s="762"/>
      <c r="BN626" s="762"/>
      <c r="BO626" s="762"/>
      <c r="BP626" s="761"/>
      <c r="BQ626" s="2059"/>
      <c r="BR626" s="2059"/>
      <c r="BS626" s="2059"/>
      <c r="BT626" s="762"/>
      <c r="BU626" s="761"/>
      <c r="BV626" s="2059"/>
      <c r="BW626" s="2059"/>
      <c r="BX626" s="2059"/>
      <c r="BY626" s="2059"/>
      <c r="BZ626" s="761"/>
      <c r="CA626" s="3324">
        <v>4438</v>
      </c>
      <c r="CB626" s="3324">
        <v>4438</v>
      </c>
      <c r="CC626" s="3324">
        <v>4438</v>
      </c>
      <c r="CD626" s="3324">
        <v>4554</v>
      </c>
      <c r="CE626" s="3325">
        <v>4554</v>
      </c>
      <c r="CF626" s="3324">
        <v>4607</v>
      </c>
      <c r="CG626" s="3324">
        <v>5150</v>
      </c>
      <c r="CH626" s="3184">
        <v>5148</v>
      </c>
      <c r="CI626" s="3184">
        <v>5242</v>
      </c>
      <c r="CJ626" s="2406">
        <f t="shared" si="874"/>
        <v>5242</v>
      </c>
      <c r="CK626" s="3503">
        <v>4989</v>
      </c>
      <c r="CL626" s="3503">
        <v>5363</v>
      </c>
      <c r="CM626" s="3503">
        <v>5661</v>
      </c>
      <c r="CN626" s="3503">
        <v>5661</v>
      </c>
      <c r="CO626" s="2406">
        <f t="shared" si="875"/>
        <v>5661</v>
      </c>
      <c r="CP626" s="1261">
        <f t="shared" si="872"/>
        <v>5238.45</v>
      </c>
      <c r="CQ626" s="1261">
        <f t="shared" si="872"/>
        <v>5684.7800000000007</v>
      </c>
      <c r="CR626" s="1261">
        <f t="shared" si="872"/>
        <v>6000.66</v>
      </c>
      <c r="CS626" s="1261">
        <f t="shared" si="872"/>
        <v>6000.66</v>
      </c>
      <c r="CT626" s="2406">
        <f t="shared" si="876"/>
        <v>6000.66</v>
      </c>
      <c r="CU626" s="2403">
        <f t="shared" si="873"/>
        <v>6330.6962999999996</v>
      </c>
      <c r="CV626" s="2403">
        <f t="shared" si="873"/>
        <v>6457.3102259999996</v>
      </c>
      <c r="CW626" s="374"/>
      <c r="CX626" s="374"/>
      <c r="CY626" s="374"/>
      <c r="CZ626" s="374"/>
      <c r="DA626" s="374"/>
      <c r="DB626" s="217"/>
    </row>
    <row r="627" spans="1:256" x14ac:dyDescent="0.2">
      <c r="A627" s="2434" t="s">
        <v>2458</v>
      </c>
      <c r="B627" s="651"/>
      <c r="C627" s="236"/>
      <c r="D627" s="207"/>
      <c r="E627" s="207"/>
      <c r="F627" s="207"/>
      <c r="G627" s="234"/>
      <c r="H627" s="236"/>
      <c r="I627" s="1430"/>
      <c r="J627" s="759"/>
      <c r="K627" s="759"/>
      <c r="L627" s="774"/>
      <c r="M627" s="761"/>
      <c r="N627" s="759"/>
      <c r="O627" s="759"/>
      <c r="P627" s="762"/>
      <c r="Q627" s="775"/>
      <c r="R627" s="761"/>
      <c r="S627" s="762"/>
      <c r="T627" s="762"/>
      <c r="U627" s="762"/>
      <c r="V627" s="775"/>
      <c r="W627" s="761"/>
      <c r="X627" s="762"/>
      <c r="Y627" s="762"/>
      <c r="Z627" s="762"/>
      <c r="AA627" s="775"/>
      <c r="AB627" s="761"/>
      <c r="AC627" s="762"/>
      <c r="AD627" s="762"/>
      <c r="AE627" s="762"/>
      <c r="AF627" s="775"/>
      <c r="AG627" s="761"/>
      <c r="AH627" s="762"/>
      <c r="AI627" s="762"/>
      <c r="AJ627" s="762"/>
      <c r="AK627" s="775"/>
      <c r="AL627" s="761"/>
      <c r="AM627" s="762"/>
      <c r="AN627" s="762"/>
      <c r="AO627" s="762"/>
      <c r="AP627" s="775"/>
      <c r="AQ627" s="761"/>
      <c r="AR627" s="762"/>
      <c r="AS627" s="762"/>
      <c r="AT627" s="762"/>
      <c r="AU627" s="775"/>
      <c r="AV627" s="761"/>
      <c r="AW627" s="762"/>
      <c r="AX627" s="762"/>
      <c r="AY627" s="762"/>
      <c r="AZ627" s="775"/>
      <c r="BA627" s="761"/>
      <c r="BB627" s="775"/>
      <c r="BC627" s="762"/>
      <c r="BD627" s="762"/>
      <c r="BE627" s="775"/>
      <c r="BF627" s="761"/>
      <c r="BG627" s="775"/>
      <c r="BH627" s="762"/>
      <c r="BI627" s="762"/>
      <c r="BJ627" s="762"/>
      <c r="BK627" s="761"/>
      <c r="BL627" s="762"/>
      <c r="BM627" s="762"/>
      <c r="BN627" s="762"/>
      <c r="BO627" s="762"/>
      <c r="BP627" s="761"/>
      <c r="BQ627" s="2059"/>
      <c r="BR627" s="2059"/>
      <c r="BS627" s="2059"/>
      <c r="BT627" s="762"/>
      <c r="BU627" s="761"/>
      <c r="BV627" s="2059"/>
      <c r="BW627" s="2059"/>
      <c r="BX627" s="2059"/>
      <c r="BY627" s="2059"/>
      <c r="BZ627" s="761"/>
      <c r="CA627" s="3324">
        <v>7659</v>
      </c>
      <c r="CB627" s="3324">
        <v>7659</v>
      </c>
      <c r="CC627" s="3324">
        <v>7964</v>
      </c>
      <c r="CD627" s="3324">
        <v>7848</v>
      </c>
      <c r="CE627" s="3325">
        <v>7848</v>
      </c>
      <c r="CF627" s="3324">
        <v>7505</v>
      </c>
      <c r="CG627" s="3324">
        <v>7937</v>
      </c>
      <c r="CH627" s="3184">
        <v>7931</v>
      </c>
      <c r="CI627" s="3184">
        <v>8272</v>
      </c>
      <c r="CJ627" s="2406">
        <f t="shared" si="874"/>
        <v>8272</v>
      </c>
      <c r="CK627" s="3503">
        <v>8272</v>
      </c>
      <c r="CL627" s="3503">
        <v>8272</v>
      </c>
      <c r="CM627" s="3503">
        <v>8230</v>
      </c>
      <c r="CN627" s="3503">
        <v>8617</v>
      </c>
      <c r="CO627" s="2406">
        <f t="shared" si="875"/>
        <v>8617</v>
      </c>
      <c r="CP627" s="1261">
        <f t="shared" si="872"/>
        <v>8685.6</v>
      </c>
      <c r="CQ627" s="1261">
        <f t="shared" si="872"/>
        <v>8768.32</v>
      </c>
      <c r="CR627" s="1261">
        <f t="shared" si="872"/>
        <v>8723.8000000000011</v>
      </c>
      <c r="CS627" s="1261">
        <f t="shared" si="872"/>
        <v>9134.02</v>
      </c>
      <c r="CT627" s="2406">
        <f t="shared" si="876"/>
        <v>9134.02</v>
      </c>
      <c r="CU627" s="2403">
        <f t="shared" si="873"/>
        <v>9636.3911000000007</v>
      </c>
      <c r="CV627" s="2403">
        <f t="shared" si="873"/>
        <v>9829.1189220000015</v>
      </c>
      <c r="CW627" s="374"/>
      <c r="CX627" s="374"/>
      <c r="CY627" s="374"/>
      <c r="CZ627" s="374"/>
      <c r="DA627" s="374"/>
      <c r="DB627" s="217"/>
    </row>
    <row r="628" spans="1:256" x14ac:dyDescent="0.2">
      <c r="A628" s="2434" t="s">
        <v>2459</v>
      </c>
      <c r="B628" s="651"/>
      <c r="C628" s="236"/>
      <c r="D628" s="207"/>
      <c r="E628" s="207"/>
      <c r="F628" s="207"/>
      <c r="G628" s="234"/>
      <c r="H628" s="236"/>
      <c r="I628" s="1430"/>
      <c r="J628" s="759"/>
      <c r="K628" s="759"/>
      <c r="L628" s="774"/>
      <c r="M628" s="761"/>
      <c r="N628" s="759"/>
      <c r="O628" s="759"/>
      <c r="P628" s="762"/>
      <c r="Q628" s="775"/>
      <c r="R628" s="761"/>
      <c r="S628" s="762"/>
      <c r="T628" s="762"/>
      <c r="U628" s="762"/>
      <c r="V628" s="775"/>
      <c r="W628" s="761"/>
      <c r="X628" s="762"/>
      <c r="Y628" s="762"/>
      <c r="Z628" s="762"/>
      <c r="AA628" s="775"/>
      <c r="AB628" s="761"/>
      <c r="AC628" s="762"/>
      <c r="AD628" s="762"/>
      <c r="AE628" s="762"/>
      <c r="AF628" s="775"/>
      <c r="AG628" s="761"/>
      <c r="AH628" s="762"/>
      <c r="AI628" s="762"/>
      <c r="AJ628" s="762"/>
      <c r="AK628" s="775"/>
      <c r="AL628" s="761"/>
      <c r="AM628" s="762"/>
      <c r="AN628" s="762"/>
      <c r="AO628" s="762"/>
      <c r="AP628" s="775"/>
      <c r="AQ628" s="761"/>
      <c r="AR628" s="762"/>
      <c r="AS628" s="762"/>
      <c r="AT628" s="762"/>
      <c r="AU628" s="775"/>
      <c r="AV628" s="761"/>
      <c r="AW628" s="762"/>
      <c r="AX628" s="762"/>
      <c r="AY628" s="762"/>
      <c r="AZ628" s="775"/>
      <c r="BA628" s="761"/>
      <c r="BB628" s="775"/>
      <c r="BC628" s="762"/>
      <c r="BD628" s="762"/>
      <c r="BE628" s="775"/>
      <c r="BF628" s="761"/>
      <c r="BG628" s="775"/>
      <c r="BH628" s="762"/>
      <c r="BI628" s="762"/>
      <c r="BJ628" s="762"/>
      <c r="BK628" s="761"/>
      <c r="BL628" s="762"/>
      <c r="BM628" s="762"/>
      <c r="BN628" s="762"/>
      <c r="BO628" s="762"/>
      <c r="BP628" s="761"/>
      <c r="BQ628" s="2059"/>
      <c r="BR628" s="2059"/>
      <c r="BS628" s="2059"/>
      <c r="BT628" s="762"/>
      <c r="BU628" s="761"/>
      <c r="BV628" s="2059"/>
      <c r="BW628" s="2059"/>
      <c r="BX628" s="2059"/>
      <c r="BY628" s="2059"/>
      <c r="BZ628" s="761"/>
      <c r="CA628" s="3324">
        <v>4730</v>
      </c>
      <c r="CB628" s="3324">
        <v>4730</v>
      </c>
      <c r="CC628" s="3324">
        <v>5065</v>
      </c>
      <c r="CD628" s="3324">
        <v>5510</v>
      </c>
      <c r="CE628" s="3325">
        <v>5510</v>
      </c>
      <c r="CF628" s="3324">
        <v>5558</v>
      </c>
      <c r="CG628" s="3324">
        <v>5955</v>
      </c>
      <c r="CH628" s="3184">
        <v>5964</v>
      </c>
      <c r="CI628" s="3184">
        <v>6049</v>
      </c>
      <c r="CJ628" s="2406">
        <f t="shared" si="874"/>
        <v>6049</v>
      </c>
      <c r="CK628" s="3503">
        <v>6237</v>
      </c>
      <c r="CL628" s="3503">
        <v>6931</v>
      </c>
      <c r="CM628" s="3503">
        <v>7049</v>
      </c>
      <c r="CN628" s="3503">
        <v>7048</v>
      </c>
      <c r="CO628" s="2406">
        <f t="shared" si="875"/>
        <v>7048</v>
      </c>
      <c r="CP628" s="1261">
        <f t="shared" si="872"/>
        <v>6548.85</v>
      </c>
      <c r="CQ628" s="1261">
        <f t="shared" si="872"/>
        <v>7346.8600000000006</v>
      </c>
      <c r="CR628" s="1261">
        <f t="shared" si="872"/>
        <v>7471.9400000000005</v>
      </c>
      <c r="CS628" s="1261">
        <f t="shared" si="872"/>
        <v>7470.88</v>
      </c>
      <c r="CT628" s="2406">
        <f t="shared" si="876"/>
        <v>7470.88</v>
      </c>
      <c r="CU628" s="2403">
        <f t="shared" si="873"/>
        <v>7881.7783999999992</v>
      </c>
      <c r="CV628" s="2403">
        <f t="shared" si="873"/>
        <v>8039.4139679999989</v>
      </c>
      <c r="CW628" s="374"/>
      <c r="CX628" s="374"/>
      <c r="CY628" s="374"/>
      <c r="CZ628" s="374"/>
      <c r="DA628" s="374"/>
      <c r="DB628" s="217"/>
    </row>
    <row r="629" spans="1:256" x14ac:dyDescent="0.2">
      <c r="A629" s="2434" t="s">
        <v>2460</v>
      </c>
      <c r="B629" s="651"/>
      <c r="C629" s="236"/>
      <c r="D629" s="207"/>
      <c r="E629" s="207"/>
      <c r="F629" s="207"/>
      <c r="G629" s="234"/>
      <c r="H629" s="236"/>
      <c r="I629" s="1430"/>
      <c r="J629" s="759"/>
      <c r="K629" s="759"/>
      <c r="L629" s="774"/>
      <c r="M629" s="761"/>
      <c r="N629" s="759"/>
      <c r="O629" s="759"/>
      <c r="P629" s="762"/>
      <c r="Q629" s="775"/>
      <c r="R629" s="761"/>
      <c r="S629" s="762"/>
      <c r="T629" s="762"/>
      <c r="U629" s="762"/>
      <c r="V629" s="775"/>
      <c r="W629" s="761"/>
      <c r="X629" s="762"/>
      <c r="Y629" s="762"/>
      <c r="Z629" s="762"/>
      <c r="AA629" s="775"/>
      <c r="AB629" s="761"/>
      <c r="AC629" s="762"/>
      <c r="AD629" s="762"/>
      <c r="AE629" s="762"/>
      <c r="AF629" s="775"/>
      <c r="AG629" s="761"/>
      <c r="AH629" s="762"/>
      <c r="AI629" s="762"/>
      <c r="AJ629" s="762"/>
      <c r="AK629" s="775"/>
      <c r="AL629" s="761"/>
      <c r="AM629" s="762"/>
      <c r="AN629" s="762"/>
      <c r="AO629" s="762"/>
      <c r="AP629" s="775"/>
      <c r="AQ629" s="761"/>
      <c r="AR629" s="762"/>
      <c r="AS629" s="762"/>
      <c r="AT629" s="762"/>
      <c r="AU629" s="775"/>
      <c r="AV629" s="761"/>
      <c r="AW629" s="762"/>
      <c r="AX629" s="762"/>
      <c r="AY629" s="762"/>
      <c r="AZ629" s="775"/>
      <c r="BA629" s="761"/>
      <c r="BB629" s="775"/>
      <c r="BC629" s="762"/>
      <c r="BD629" s="762"/>
      <c r="BE629" s="775"/>
      <c r="BF629" s="761"/>
      <c r="BG629" s="775"/>
      <c r="BH629" s="762"/>
      <c r="BI629" s="762"/>
      <c r="BJ629" s="762"/>
      <c r="BK629" s="761"/>
      <c r="BL629" s="762"/>
      <c r="BM629" s="762"/>
      <c r="BN629" s="762"/>
      <c r="BO629" s="762"/>
      <c r="BP629" s="761"/>
      <c r="BQ629" s="2059"/>
      <c r="BR629" s="2059"/>
      <c r="BS629" s="2059"/>
      <c r="BT629" s="762"/>
      <c r="BU629" s="761"/>
      <c r="BV629" s="2059"/>
      <c r="BW629" s="2059"/>
      <c r="BX629" s="2059"/>
      <c r="BY629" s="2059"/>
      <c r="BZ629" s="761"/>
      <c r="CA629" s="3324">
        <v>20501</v>
      </c>
      <c r="CB629" s="3324">
        <v>20501</v>
      </c>
      <c r="CC629" s="3324">
        <v>20408</v>
      </c>
      <c r="CD629" s="3324">
        <v>20626</v>
      </c>
      <c r="CE629" s="3325">
        <v>20626</v>
      </c>
      <c r="CF629" s="3324">
        <v>20655</v>
      </c>
      <c r="CG629" s="3324">
        <v>20466</v>
      </c>
      <c r="CH629" s="3184">
        <v>21045</v>
      </c>
      <c r="CI629" s="3184">
        <v>20952</v>
      </c>
      <c r="CJ629" s="2406">
        <f t="shared" si="874"/>
        <v>20952</v>
      </c>
      <c r="CK629" s="3503">
        <v>20952</v>
      </c>
      <c r="CL629" s="3503">
        <v>20760</v>
      </c>
      <c r="CM629" s="3503">
        <v>20200</v>
      </c>
      <c r="CN629" s="3503">
        <v>20701</v>
      </c>
      <c r="CO629" s="2406">
        <f t="shared" si="875"/>
        <v>20701</v>
      </c>
      <c r="CP629" s="1261">
        <f t="shared" si="872"/>
        <v>21999.600000000002</v>
      </c>
      <c r="CQ629" s="1261">
        <f t="shared" si="872"/>
        <v>22005.600000000002</v>
      </c>
      <c r="CR629" s="1261">
        <f t="shared" si="872"/>
        <v>21412</v>
      </c>
      <c r="CS629" s="1261">
        <f t="shared" si="872"/>
        <v>21943.06</v>
      </c>
      <c r="CT629" s="2406">
        <f t="shared" si="876"/>
        <v>21943.06</v>
      </c>
      <c r="CU629" s="2403">
        <f t="shared" si="873"/>
        <v>23149.9283</v>
      </c>
      <c r="CV629" s="2403">
        <f t="shared" si="873"/>
        <v>23612.926866000002</v>
      </c>
      <c r="CW629" s="374"/>
      <c r="CX629" s="374"/>
      <c r="CY629" s="374"/>
      <c r="CZ629" s="374"/>
      <c r="DA629" s="374"/>
      <c r="DB629" s="217"/>
    </row>
    <row r="630" spans="1:256" x14ac:dyDescent="0.2">
      <c r="A630" s="2434" t="s">
        <v>2464</v>
      </c>
      <c r="B630" s="651"/>
      <c r="C630" s="236"/>
      <c r="D630" s="207"/>
      <c r="E630" s="207"/>
      <c r="F630" s="207"/>
      <c r="G630" s="234"/>
      <c r="H630" s="236"/>
      <c r="I630" s="1430"/>
      <c r="J630" s="759"/>
      <c r="K630" s="759"/>
      <c r="L630" s="774"/>
      <c r="M630" s="761"/>
      <c r="N630" s="759"/>
      <c r="O630" s="759"/>
      <c r="P630" s="762"/>
      <c r="Q630" s="775"/>
      <c r="R630" s="761"/>
      <c r="S630" s="762"/>
      <c r="T630" s="762"/>
      <c r="U630" s="762"/>
      <c r="V630" s="775"/>
      <c r="W630" s="761"/>
      <c r="X630" s="762"/>
      <c r="Y630" s="762"/>
      <c r="Z630" s="762"/>
      <c r="AA630" s="775"/>
      <c r="AB630" s="761"/>
      <c r="AC630" s="762"/>
      <c r="AD630" s="762"/>
      <c r="AE630" s="762"/>
      <c r="AF630" s="775"/>
      <c r="AG630" s="761"/>
      <c r="AH630" s="762"/>
      <c r="AI630" s="762"/>
      <c r="AJ630" s="762"/>
      <c r="AK630" s="775"/>
      <c r="AL630" s="761"/>
      <c r="AM630" s="762"/>
      <c r="AN630" s="762"/>
      <c r="AO630" s="762"/>
      <c r="AP630" s="775"/>
      <c r="AQ630" s="761"/>
      <c r="AR630" s="762"/>
      <c r="AS630" s="762"/>
      <c r="AT630" s="762"/>
      <c r="AU630" s="775"/>
      <c r="AV630" s="761"/>
      <c r="AW630" s="762"/>
      <c r="AX630" s="762"/>
      <c r="AY630" s="762"/>
      <c r="AZ630" s="775"/>
      <c r="BA630" s="761"/>
      <c r="BB630" s="775"/>
      <c r="BC630" s="762"/>
      <c r="BD630" s="762"/>
      <c r="BE630" s="775"/>
      <c r="BF630" s="761"/>
      <c r="BG630" s="775"/>
      <c r="BH630" s="762"/>
      <c r="BI630" s="762"/>
      <c r="BJ630" s="762"/>
      <c r="BK630" s="761"/>
      <c r="BL630" s="762"/>
      <c r="BM630" s="762"/>
      <c r="BN630" s="762"/>
      <c r="BO630" s="762"/>
      <c r="BP630" s="761"/>
      <c r="BQ630" s="2059"/>
      <c r="BR630" s="2059"/>
      <c r="BS630" s="2059"/>
      <c r="BT630" s="762"/>
      <c r="BU630" s="761"/>
      <c r="BV630" s="2059"/>
      <c r="BW630" s="2059"/>
      <c r="BX630" s="2059"/>
      <c r="BY630" s="2059"/>
      <c r="BZ630" s="761"/>
      <c r="CA630" s="3324">
        <v>4014</v>
      </c>
      <c r="CB630" s="3324">
        <v>4014</v>
      </c>
      <c r="CC630" s="3324">
        <v>4363</v>
      </c>
      <c r="CD630" s="3324">
        <v>4438</v>
      </c>
      <c r="CE630" s="3325">
        <v>4438</v>
      </c>
      <c r="CF630" s="3324">
        <v>4828</v>
      </c>
      <c r="CG630" s="3324">
        <v>5324</v>
      </c>
      <c r="CH630" s="3184">
        <v>5478</v>
      </c>
      <c r="CI630" s="3184">
        <v>5694</v>
      </c>
      <c r="CJ630" s="2406">
        <f t="shared" si="874"/>
        <v>5694</v>
      </c>
      <c r="CK630" s="3503">
        <v>6209</v>
      </c>
      <c r="CL630" s="3503">
        <v>6618</v>
      </c>
      <c r="CM630" s="3503">
        <v>6726</v>
      </c>
      <c r="CN630" s="3503">
        <v>6906</v>
      </c>
      <c r="CO630" s="2406">
        <f t="shared" si="875"/>
        <v>6906</v>
      </c>
      <c r="CP630" s="1261">
        <f t="shared" si="872"/>
        <v>6519.4500000000007</v>
      </c>
      <c r="CQ630" s="1261">
        <f t="shared" si="872"/>
        <v>7015.08</v>
      </c>
      <c r="CR630" s="1261">
        <f t="shared" si="872"/>
        <v>7129.56</v>
      </c>
      <c r="CS630" s="1261">
        <f t="shared" si="872"/>
        <v>7320.3600000000006</v>
      </c>
      <c r="CT630" s="2406">
        <f t="shared" si="876"/>
        <v>7320.3600000000006</v>
      </c>
      <c r="CU630" s="2403">
        <f t="shared" si="873"/>
        <v>7722.9798000000001</v>
      </c>
      <c r="CV630" s="2403">
        <f t="shared" si="873"/>
        <v>7877.4393959999998</v>
      </c>
      <c r="CW630" s="374"/>
      <c r="CX630" s="374"/>
      <c r="CY630" s="374"/>
      <c r="CZ630" s="374"/>
      <c r="DA630" s="374"/>
      <c r="DB630" s="217"/>
    </row>
    <row r="631" spans="1:256" x14ac:dyDescent="0.2">
      <c r="A631" s="2434" t="s">
        <v>2462</v>
      </c>
      <c r="B631" s="651"/>
      <c r="C631" s="236"/>
      <c r="D631" s="207"/>
      <c r="E631" s="207"/>
      <c r="F631" s="207"/>
      <c r="G631" s="234"/>
      <c r="H631" s="236"/>
      <c r="I631" s="1430"/>
      <c r="J631" s="759"/>
      <c r="K631" s="759"/>
      <c r="L631" s="774"/>
      <c r="M631" s="761"/>
      <c r="N631" s="759"/>
      <c r="O631" s="759"/>
      <c r="P631" s="762"/>
      <c r="Q631" s="775"/>
      <c r="R631" s="761"/>
      <c r="S631" s="762"/>
      <c r="T631" s="762"/>
      <c r="U631" s="762"/>
      <c r="V631" s="775"/>
      <c r="W631" s="761"/>
      <c r="X631" s="762"/>
      <c r="Y631" s="762"/>
      <c r="Z631" s="762"/>
      <c r="AA631" s="775"/>
      <c r="AB631" s="761"/>
      <c r="AC631" s="762"/>
      <c r="AD631" s="762"/>
      <c r="AE631" s="762"/>
      <c r="AF631" s="775"/>
      <c r="AG631" s="761"/>
      <c r="AH631" s="762"/>
      <c r="AI631" s="762"/>
      <c r="AJ631" s="762"/>
      <c r="AK631" s="775"/>
      <c r="AL631" s="761"/>
      <c r="AM631" s="762"/>
      <c r="AN631" s="762"/>
      <c r="AO631" s="762"/>
      <c r="AP631" s="775"/>
      <c r="AQ631" s="761"/>
      <c r="AR631" s="762"/>
      <c r="AS631" s="762"/>
      <c r="AT631" s="762"/>
      <c r="AU631" s="775"/>
      <c r="AV631" s="761"/>
      <c r="AW631" s="762"/>
      <c r="AX631" s="762"/>
      <c r="AY631" s="762"/>
      <c r="AZ631" s="775"/>
      <c r="BA631" s="761"/>
      <c r="BB631" s="775"/>
      <c r="BC631" s="762"/>
      <c r="BD631" s="762"/>
      <c r="BE631" s="775"/>
      <c r="BF631" s="761"/>
      <c r="BG631" s="775"/>
      <c r="BH631" s="762"/>
      <c r="BI631" s="762"/>
      <c r="BJ631" s="762"/>
      <c r="BK631" s="761"/>
      <c r="BL631" s="762"/>
      <c r="BM631" s="762"/>
      <c r="BN631" s="762"/>
      <c r="BO631" s="762"/>
      <c r="BP631" s="761"/>
      <c r="BQ631" s="2059"/>
      <c r="BR631" s="2059"/>
      <c r="BS631" s="2059"/>
      <c r="BT631" s="762"/>
      <c r="BU631" s="761"/>
      <c r="BV631" s="2059"/>
      <c r="BW631" s="2059"/>
      <c r="BX631" s="2059"/>
      <c r="BY631" s="2059"/>
      <c r="BZ631" s="761"/>
      <c r="CA631" s="3324">
        <v>188</v>
      </c>
      <c r="CB631" s="3324">
        <v>188</v>
      </c>
      <c r="CC631" s="3324">
        <v>188</v>
      </c>
      <c r="CD631" s="3324">
        <v>188</v>
      </c>
      <c r="CE631" s="3325">
        <v>188</v>
      </c>
      <c r="CF631" s="3324">
        <v>188</v>
      </c>
      <c r="CG631" s="3324">
        <v>188</v>
      </c>
      <c r="CH631" s="3184">
        <v>188</v>
      </c>
      <c r="CI631" s="3184">
        <v>188</v>
      </c>
      <c r="CJ631" s="2406">
        <f t="shared" si="874"/>
        <v>188</v>
      </c>
      <c r="CK631" s="3503">
        <v>188</v>
      </c>
      <c r="CL631" s="3503">
        <v>769</v>
      </c>
      <c r="CM631" s="3503">
        <v>933</v>
      </c>
      <c r="CN631" s="3503">
        <v>933</v>
      </c>
      <c r="CO631" s="2406">
        <f t="shared" si="875"/>
        <v>933</v>
      </c>
      <c r="CP631" s="1261">
        <f t="shared" si="872"/>
        <v>197.4</v>
      </c>
      <c r="CQ631" s="1261">
        <f t="shared" si="872"/>
        <v>815.14</v>
      </c>
      <c r="CR631" s="1261">
        <f t="shared" si="872"/>
        <v>988.98</v>
      </c>
      <c r="CS631" s="1261">
        <f t="shared" si="872"/>
        <v>988.98</v>
      </c>
      <c r="CT631" s="2406">
        <f t="shared" si="876"/>
        <v>988.98</v>
      </c>
      <c r="CU631" s="2403">
        <f t="shared" si="873"/>
        <v>1043.3739</v>
      </c>
      <c r="CV631" s="2403">
        <f t="shared" si="873"/>
        <v>1064.2413780000002</v>
      </c>
      <c r="CW631" s="374"/>
      <c r="CX631" s="374"/>
      <c r="CY631" s="374"/>
      <c r="CZ631" s="374"/>
      <c r="DA631" s="374"/>
      <c r="DB631" s="217"/>
    </row>
    <row r="632" spans="1:256" x14ac:dyDescent="0.2">
      <c r="A632" s="2434" t="s">
        <v>2463</v>
      </c>
      <c r="B632" s="651"/>
      <c r="C632" s="236"/>
      <c r="D632" s="207"/>
      <c r="E632" s="207"/>
      <c r="F632" s="207"/>
      <c r="G632" s="234"/>
      <c r="H632" s="236"/>
      <c r="I632" s="1430"/>
      <c r="J632" s="759"/>
      <c r="K632" s="759"/>
      <c r="L632" s="774"/>
      <c r="M632" s="761"/>
      <c r="N632" s="759"/>
      <c r="O632" s="759"/>
      <c r="P632" s="762"/>
      <c r="Q632" s="775"/>
      <c r="R632" s="761"/>
      <c r="S632" s="762"/>
      <c r="T632" s="762"/>
      <c r="U632" s="762"/>
      <c r="V632" s="775"/>
      <c r="W632" s="761"/>
      <c r="X632" s="762"/>
      <c r="Y632" s="762"/>
      <c r="Z632" s="762"/>
      <c r="AA632" s="775"/>
      <c r="AB632" s="761"/>
      <c r="AC632" s="762"/>
      <c r="AD632" s="762"/>
      <c r="AE632" s="762"/>
      <c r="AF632" s="775"/>
      <c r="AG632" s="761"/>
      <c r="AH632" s="762"/>
      <c r="AI632" s="762"/>
      <c r="AJ632" s="762"/>
      <c r="AK632" s="775"/>
      <c r="AL632" s="761"/>
      <c r="AM632" s="762"/>
      <c r="AN632" s="762"/>
      <c r="AO632" s="762"/>
      <c r="AP632" s="775"/>
      <c r="AQ632" s="761"/>
      <c r="AR632" s="762"/>
      <c r="AS632" s="762"/>
      <c r="AT632" s="762"/>
      <c r="AU632" s="775"/>
      <c r="AV632" s="761"/>
      <c r="AW632" s="762"/>
      <c r="AX632" s="762"/>
      <c r="AY632" s="762"/>
      <c r="AZ632" s="775"/>
      <c r="BA632" s="761"/>
      <c r="BB632" s="775"/>
      <c r="BC632" s="762"/>
      <c r="BD632" s="762"/>
      <c r="BE632" s="775"/>
      <c r="BF632" s="761"/>
      <c r="BG632" s="775"/>
      <c r="BH632" s="762"/>
      <c r="BI632" s="762"/>
      <c r="BJ632" s="762"/>
      <c r="BK632" s="761"/>
      <c r="BL632" s="762"/>
      <c r="BM632" s="762"/>
      <c r="BN632" s="762"/>
      <c r="BO632" s="762"/>
      <c r="BP632" s="761"/>
      <c r="BQ632" s="2059"/>
      <c r="BR632" s="2059"/>
      <c r="BS632" s="2059"/>
      <c r="BT632" s="762"/>
      <c r="BU632" s="761"/>
      <c r="BV632" s="2059"/>
      <c r="BW632" s="2059"/>
      <c r="BX632" s="2059"/>
      <c r="BY632" s="2059"/>
      <c r="BZ632" s="761"/>
      <c r="CA632" s="3324">
        <v>0</v>
      </c>
      <c r="CB632" s="3324">
        <v>0</v>
      </c>
      <c r="CC632" s="3324">
        <v>0</v>
      </c>
      <c r="CD632" s="3324">
        <v>372</v>
      </c>
      <c r="CE632" s="3325">
        <v>372</v>
      </c>
      <c r="CF632" s="3324">
        <v>372</v>
      </c>
      <c r="CG632" s="3324">
        <v>372</v>
      </c>
      <c r="CH632" s="3184">
        <v>372</v>
      </c>
      <c r="CI632" s="3184">
        <v>515</v>
      </c>
      <c r="CJ632" s="2406">
        <f t="shared" si="874"/>
        <v>515</v>
      </c>
      <c r="CK632" s="3503">
        <v>515</v>
      </c>
      <c r="CL632" s="3503">
        <v>515</v>
      </c>
      <c r="CM632" s="3503">
        <v>559</v>
      </c>
      <c r="CN632" s="3503">
        <v>559</v>
      </c>
      <c r="CO632" s="2406">
        <f t="shared" si="875"/>
        <v>559</v>
      </c>
      <c r="CP632" s="1261">
        <f t="shared" si="872"/>
        <v>540.75</v>
      </c>
      <c r="CQ632" s="1261">
        <f t="shared" si="872"/>
        <v>545.9</v>
      </c>
      <c r="CR632" s="1261">
        <f t="shared" si="872"/>
        <v>592.54000000000008</v>
      </c>
      <c r="CS632" s="1261">
        <f t="shared" si="872"/>
        <v>592.54000000000008</v>
      </c>
      <c r="CT632" s="2406">
        <f t="shared" si="876"/>
        <v>592.54000000000008</v>
      </c>
      <c r="CU632" s="2403">
        <f t="shared" si="873"/>
        <v>625.12970000000007</v>
      </c>
      <c r="CV632" s="2403">
        <f t="shared" si="873"/>
        <v>637.63229400000012</v>
      </c>
      <c r="CW632" s="374"/>
      <c r="CX632" s="374"/>
      <c r="CY632" s="374"/>
      <c r="CZ632" s="374"/>
      <c r="DA632" s="374"/>
      <c r="DB632" s="217"/>
    </row>
    <row r="633" spans="1:256" x14ac:dyDescent="0.2">
      <c r="A633" s="2434" t="s">
        <v>2701</v>
      </c>
      <c r="B633" s="651"/>
      <c r="C633" s="236"/>
      <c r="D633" s="207"/>
      <c r="E633" s="207"/>
      <c r="F633" s="207"/>
      <c r="G633" s="234"/>
      <c r="H633" s="236"/>
      <c r="I633" s="1430"/>
      <c r="J633" s="759"/>
      <c r="K633" s="759"/>
      <c r="L633" s="774"/>
      <c r="M633" s="761"/>
      <c r="N633" s="759"/>
      <c r="O633" s="759"/>
      <c r="P633" s="762"/>
      <c r="Q633" s="775"/>
      <c r="R633" s="761"/>
      <c r="S633" s="762"/>
      <c r="T633" s="762"/>
      <c r="U633" s="762"/>
      <c r="V633" s="775"/>
      <c r="W633" s="761"/>
      <c r="X633" s="762"/>
      <c r="Y633" s="762"/>
      <c r="Z633" s="762"/>
      <c r="AA633" s="775"/>
      <c r="AB633" s="761"/>
      <c r="AC633" s="762"/>
      <c r="AD633" s="762"/>
      <c r="AE633" s="762"/>
      <c r="AF633" s="775"/>
      <c r="AG633" s="761"/>
      <c r="AH633" s="762"/>
      <c r="AI633" s="762"/>
      <c r="AJ633" s="762"/>
      <c r="AK633" s="775"/>
      <c r="AL633" s="761"/>
      <c r="AM633" s="762"/>
      <c r="AN633" s="762"/>
      <c r="AO633" s="762"/>
      <c r="AP633" s="775"/>
      <c r="AQ633" s="761"/>
      <c r="AR633" s="762"/>
      <c r="AS633" s="762"/>
      <c r="AT633" s="762"/>
      <c r="AU633" s="775"/>
      <c r="AV633" s="761"/>
      <c r="AW633" s="762"/>
      <c r="AX633" s="762"/>
      <c r="AY633" s="762"/>
      <c r="AZ633" s="775"/>
      <c r="BA633" s="761"/>
      <c r="BB633" s="775"/>
      <c r="BC633" s="762"/>
      <c r="BD633" s="762"/>
      <c r="BE633" s="775"/>
      <c r="BF633" s="761"/>
      <c r="BG633" s="775"/>
      <c r="BH633" s="762"/>
      <c r="BI633" s="762"/>
      <c r="BJ633" s="762"/>
      <c r="BK633" s="761"/>
      <c r="BL633" s="762"/>
      <c r="BM633" s="762"/>
      <c r="BN633" s="762"/>
      <c r="BO633" s="762"/>
      <c r="BP633" s="761"/>
      <c r="BQ633" s="2059"/>
      <c r="BR633" s="2059"/>
      <c r="BS633" s="2059"/>
      <c r="BT633" s="762"/>
      <c r="BU633" s="761"/>
      <c r="BV633" s="2059"/>
      <c r="BW633" s="2059"/>
      <c r="BX633" s="2059"/>
      <c r="BY633" s="2059"/>
      <c r="BZ633" s="761"/>
      <c r="CA633" s="3324">
        <v>250</v>
      </c>
      <c r="CB633" s="3324">
        <v>250</v>
      </c>
      <c r="CC633" s="3324">
        <v>250</v>
      </c>
      <c r="CD633" s="3324">
        <v>0</v>
      </c>
      <c r="CE633" s="3325">
        <v>0</v>
      </c>
      <c r="CF633" s="3324">
        <v>87</v>
      </c>
      <c r="CG633" s="3324">
        <v>0</v>
      </c>
      <c r="CH633" s="3184">
        <v>0</v>
      </c>
      <c r="CI633" s="3184">
        <f>416+697+5</f>
        <v>1118</v>
      </c>
      <c r="CJ633" s="2406">
        <f t="shared" si="874"/>
        <v>1118</v>
      </c>
      <c r="CK633" s="3503">
        <f>697+416+5</f>
        <v>1118</v>
      </c>
      <c r="CL633" s="3503">
        <f>697+5+625+109</f>
        <v>1436</v>
      </c>
      <c r="CM633" s="3503">
        <f>697+5+625+109+516+532+262+264</f>
        <v>3010</v>
      </c>
      <c r="CN633" s="3503">
        <f>925+697+471+516+5+262+264</f>
        <v>3140</v>
      </c>
      <c r="CO633" s="2406">
        <f t="shared" si="875"/>
        <v>3140</v>
      </c>
      <c r="CP633" s="1261">
        <f t="shared" si="872"/>
        <v>1173.9000000000001</v>
      </c>
      <c r="CQ633" s="1261">
        <f t="shared" si="872"/>
        <v>1522.16</v>
      </c>
      <c r="CR633" s="1261">
        <f t="shared" si="872"/>
        <v>3190.6000000000004</v>
      </c>
      <c r="CS633" s="1261">
        <f t="shared" si="872"/>
        <v>3328.4</v>
      </c>
      <c r="CT633" s="2406">
        <f t="shared" si="876"/>
        <v>3328.4</v>
      </c>
      <c r="CU633" s="2403">
        <f t="shared" si="873"/>
        <v>3511.462</v>
      </c>
      <c r="CV633" s="2403">
        <f t="shared" si="873"/>
        <v>3581.6912400000001</v>
      </c>
      <c r="CW633" s="374"/>
      <c r="CX633" s="374"/>
      <c r="CY633" s="374"/>
      <c r="CZ633" s="374"/>
      <c r="DA633" s="374"/>
      <c r="DB633" s="217"/>
    </row>
    <row r="634" spans="1:256" ht="4.5" customHeight="1" x14ac:dyDescent="0.35">
      <c r="A634" s="1207"/>
      <c r="B634" s="212"/>
      <c r="C634" s="212"/>
      <c r="D634" s="212"/>
      <c r="E634" s="212"/>
      <c r="F634" s="212"/>
      <c r="G634" s="212"/>
      <c r="H634" s="194"/>
      <c r="I634" s="850" t="s">
        <v>2466</v>
      </c>
      <c r="J634" s="850" t="s">
        <v>2139</v>
      </c>
      <c r="K634" s="850" t="s">
        <v>2466</v>
      </c>
      <c r="L634" s="850" t="s">
        <v>2139</v>
      </c>
      <c r="M634" s="3009" t="s">
        <v>2378</v>
      </c>
      <c r="N634" s="850" t="s">
        <v>2466</v>
      </c>
      <c r="O634" s="850" t="s">
        <v>2139</v>
      </c>
      <c r="P634" s="850" t="s">
        <v>2466</v>
      </c>
      <c r="Q634" s="850" t="s">
        <v>2139</v>
      </c>
      <c r="R634" s="3009" t="s">
        <v>2378</v>
      </c>
      <c r="S634" s="850" t="s">
        <v>2466</v>
      </c>
      <c r="T634" s="850" t="s">
        <v>2139</v>
      </c>
      <c r="U634" s="850" t="s">
        <v>2466</v>
      </c>
      <c r="V634" s="850" t="s">
        <v>2139</v>
      </c>
      <c r="W634" s="3009" t="s">
        <v>2378</v>
      </c>
      <c r="X634" s="850" t="s">
        <v>2466</v>
      </c>
      <c r="Y634" s="850" t="s">
        <v>2139</v>
      </c>
      <c r="Z634" s="850" t="s">
        <v>2466</v>
      </c>
      <c r="AA634" s="850" t="s">
        <v>2139</v>
      </c>
      <c r="AB634" s="3009" t="s">
        <v>2378</v>
      </c>
      <c r="AC634" s="850" t="s">
        <v>2466</v>
      </c>
      <c r="AD634" s="850" t="s">
        <v>2139</v>
      </c>
      <c r="AE634" s="850" t="s">
        <v>2466</v>
      </c>
      <c r="AF634" s="850" t="s">
        <v>2139</v>
      </c>
      <c r="AG634" s="3009" t="s">
        <v>2378</v>
      </c>
      <c r="AH634" s="850" t="s">
        <v>2466</v>
      </c>
      <c r="AI634" s="850" t="s">
        <v>2139</v>
      </c>
      <c r="AJ634" s="850" t="s">
        <v>2466</v>
      </c>
      <c r="AK634" s="850" t="s">
        <v>2139</v>
      </c>
      <c r="AL634" s="3009" t="s">
        <v>2378</v>
      </c>
      <c r="AM634" s="850" t="s">
        <v>2466</v>
      </c>
      <c r="AN634" s="850" t="s">
        <v>2139</v>
      </c>
      <c r="AO634" s="850" t="s">
        <v>2466</v>
      </c>
      <c r="AP634" s="850" t="s">
        <v>2139</v>
      </c>
      <c r="AQ634" s="3009" t="s">
        <v>2378</v>
      </c>
      <c r="AR634" s="850" t="s">
        <v>2466</v>
      </c>
      <c r="AS634" s="850" t="s">
        <v>2139</v>
      </c>
      <c r="AT634" s="850" t="s">
        <v>2466</v>
      </c>
      <c r="AU634" s="850" t="s">
        <v>2139</v>
      </c>
      <c r="AV634" s="3009" t="s">
        <v>2378</v>
      </c>
      <c r="AW634" s="850" t="s">
        <v>2466</v>
      </c>
      <c r="AX634" s="850" t="s">
        <v>2139</v>
      </c>
      <c r="AY634" s="850" t="s">
        <v>2466</v>
      </c>
      <c r="AZ634" s="850" t="s">
        <v>2139</v>
      </c>
      <c r="BA634" s="3009" t="s">
        <v>2378</v>
      </c>
      <c r="BB634" s="850" t="s">
        <v>2466</v>
      </c>
      <c r="BC634" s="850" t="s">
        <v>2139</v>
      </c>
      <c r="BD634" s="850" t="s">
        <v>2466</v>
      </c>
      <c r="BE634" s="850" t="s">
        <v>2139</v>
      </c>
      <c r="BF634" s="3009" t="s">
        <v>2378</v>
      </c>
      <c r="BG634" s="3011" t="s">
        <v>2467</v>
      </c>
      <c r="BH634" s="3011" t="s">
        <v>2467</v>
      </c>
      <c r="BI634" s="3011" t="s">
        <v>2467</v>
      </c>
      <c r="BJ634" s="3011" t="s">
        <v>2467</v>
      </c>
      <c r="BK634" s="3009" t="s">
        <v>2139</v>
      </c>
      <c r="BL634" s="3011" t="s">
        <v>1191</v>
      </c>
      <c r="BM634" s="3011" t="s">
        <v>1191</v>
      </c>
      <c r="BN634" s="3011" t="s">
        <v>1191</v>
      </c>
      <c r="BO634" s="3011" t="s">
        <v>1191</v>
      </c>
      <c r="BP634" s="3009" t="s">
        <v>2139</v>
      </c>
      <c r="BQ634" s="3011" t="s">
        <v>2139</v>
      </c>
      <c r="BR634" s="3011" t="s">
        <v>2139</v>
      </c>
      <c r="BS634" s="3011" t="s">
        <v>2139</v>
      </c>
      <c r="BT634" s="3011" t="s">
        <v>2139</v>
      </c>
      <c r="BU634" s="3009" t="s">
        <v>2139</v>
      </c>
      <c r="BV634" s="3011" t="s">
        <v>2468</v>
      </c>
      <c r="BW634" s="3011" t="s">
        <v>2468</v>
      </c>
      <c r="BX634" s="3011" t="s">
        <v>2468</v>
      </c>
      <c r="BY634" s="3011" t="s">
        <v>2467</v>
      </c>
      <c r="BZ634" s="3009" t="s">
        <v>2378</v>
      </c>
      <c r="CA634" s="3011" t="s">
        <v>2466</v>
      </c>
      <c r="CB634" s="3011" t="s">
        <v>2466</v>
      </c>
      <c r="CC634" s="3011" t="s">
        <v>2466</v>
      </c>
      <c r="CD634" s="3011" t="s">
        <v>2378</v>
      </c>
      <c r="CE634" s="3009" t="s">
        <v>2139</v>
      </c>
      <c r="CF634" s="3011" t="s">
        <v>2466</v>
      </c>
      <c r="CG634" s="3011" t="s">
        <v>2378</v>
      </c>
      <c r="CH634" s="3011" t="s">
        <v>2378</v>
      </c>
      <c r="CI634" s="3011" t="s">
        <v>2378</v>
      </c>
      <c r="CJ634" s="3009" t="s">
        <v>2378</v>
      </c>
      <c r="CK634" s="3502" t="s">
        <v>2378</v>
      </c>
      <c r="CL634" s="3502" t="s">
        <v>2378</v>
      </c>
      <c r="CM634" s="3502" t="s">
        <v>2378</v>
      </c>
      <c r="CN634" s="3502" t="s">
        <v>2378</v>
      </c>
      <c r="CO634" s="3009" t="s">
        <v>2378</v>
      </c>
      <c r="CP634" s="3502" t="s">
        <v>2378</v>
      </c>
      <c r="CQ634" s="3502" t="s">
        <v>2378</v>
      </c>
      <c r="CR634" s="3011" t="s">
        <v>2378</v>
      </c>
      <c r="CS634" s="3011" t="s">
        <v>2378</v>
      </c>
      <c r="CT634" s="3009" t="s">
        <v>2378</v>
      </c>
      <c r="CU634" s="3009" t="s">
        <v>2378</v>
      </c>
      <c r="CV634" s="3019" t="s">
        <v>2378</v>
      </c>
      <c r="DB634" s="217"/>
    </row>
    <row r="635" spans="1:256" s="207" customFormat="1" x14ac:dyDescent="0.2">
      <c r="A635" s="764" t="s">
        <v>1735</v>
      </c>
      <c r="B635" s="651"/>
      <c r="C635" s="236"/>
      <c r="G635" s="234"/>
      <c r="H635" s="1426"/>
      <c r="I635" s="1433">
        <f t="shared" ref="I635:AN635" si="877">SUM(I605:I621)</f>
        <v>52085</v>
      </c>
      <c r="J635" s="852">
        <f t="shared" si="877"/>
        <v>53068</v>
      </c>
      <c r="K635" s="852">
        <f t="shared" si="877"/>
        <v>53668</v>
      </c>
      <c r="L635" s="1433">
        <f t="shared" si="877"/>
        <v>55220</v>
      </c>
      <c r="M635" s="843">
        <f t="shared" si="877"/>
        <v>55220</v>
      </c>
      <c r="N635" s="1433">
        <f t="shared" si="877"/>
        <v>55609</v>
      </c>
      <c r="O635" s="852">
        <f t="shared" si="877"/>
        <v>55452</v>
      </c>
      <c r="P635" s="852">
        <f t="shared" si="877"/>
        <v>56365</v>
      </c>
      <c r="Q635" s="1433">
        <f t="shared" si="877"/>
        <v>57742</v>
      </c>
      <c r="R635" s="843">
        <f t="shared" si="877"/>
        <v>57742</v>
      </c>
      <c r="S635" s="1433">
        <f t="shared" si="877"/>
        <v>58529</v>
      </c>
      <c r="T635" s="852">
        <f t="shared" si="877"/>
        <v>58918</v>
      </c>
      <c r="U635" s="852">
        <f t="shared" si="877"/>
        <v>59994</v>
      </c>
      <c r="V635" s="1433">
        <f t="shared" si="877"/>
        <v>61085</v>
      </c>
      <c r="W635" s="843">
        <f t="shared" si="877"/>
        <v>61085</v>
      </c>
      <c r="X635" s="1433">
        <f t="shared" si="877"/>
        <v>60450</v>
      </c>
      <c r="Y635" s="852">
        <f t="shared" si="877"/>
        <v>61246</v>
      </c>
      <c r="Z635" s="852">
        <f t="shared" si="877"/>
        <v>61800</v>
      </c>
      <c r="AA635" s="852">
        <f t="shared" si="877"/>
        <v>61578</v>
      </c>
      <c r="AB635" s="843">
        <f t="shared" si="877"/>
        <v>61578</v>
      </c>
      <c r="AC635" s="1433">
        <f t="shared" si="877"/>
        <v>62248</v>
      </c>
      <c r="AD635" s="852">
        <f t="shared" si="877"/>
        <v>71586</v>
      </c>
      <c r="AE635" s="852">
        <f t="shared" si="877"/>
        <v>70066</v>
      </c>
      <c r="AF635" s="852">
        <f t="shared" si="877"/>
        <v>70498</v>
      </c>
      <c r="AG635" s="843">
        <f t="shared" si="877"/>
        <v>70498</v>
      </c>
      <c r="AH635" s="1433">
        <f t="shared" si="877"/>
        <v>71249</v>
      </c>
      <c r="AI635" s="852">
        <f t="shared" si="877"/>
        <v>73358</v>
      </c>
      <c r="AJ635" s="852">
        <f t="shared" si="877"/>
        <v>74500</v>
      </c>
      <c r="AK635" s="852">
        <f t="shared" si="877"/>
        <v>74357</v>
      </c>
      <c r="AL635" s="843">
        <f t="shared" si="877"/>
        <v>74357</v>
      </c>
      <c r="AM635" s="1433">
        <f t="shared" si="877"/>
        <v>75269</v>
      </c>
      <c r="AN635" s="852">
        <f t="shared" si="877"/>
        <v>75631</v>
      </c>
      <c r="AO635" s="852">
        <f t="shared" ref="AO635:BT635" si="878">SUM(AO605:AO621)</f>
        <v>77929</v>
      </c>
      <c r="AP635" s="852">
        <f t="shared" si="878"/>
        <v>77723</v>
      </c>
      <c r="AQ635" s="843">
        <f t="shared" si="878"/>
        <v>77723</v>
      </c>
      <c r="AR635" s="1433">
        <f t="shared" si="878"/>
        <v>77070</v>
      </c>
      <c r="AS635" s="852">
        <f t="shared" si="878"/>
        <v>77568</v>
      </c>
      <c r="AT635" s="852">
        <f t="shared" si="878"/>
        <v>79430</v>
      </c>
      <c r="AU635" s="852">
        <f t="shared" si="878"/>
        <v>80549</v>
      </c>
      <c r="AV635" s="843">
        <f t="shared" si="878"/>
        <v>80549</v>
      </c>
      <c r="AW635" s="1433">
        <f t="shared" si="878"/>
        <v>83143</v>
      </c>
      <c r="AX635" s="852">
        <f t="shared" si="878"/>
        <v>84417</v>
      </c>
      <c r="AY635" s="852">
        <f t="shared" si="878"/>
        <v>84923</v>
      </c>
      <c r="AZ635" s="852">
        <f t="shared" si="878"/>
        <v>86497</v>
      </c>
      <c r="BA635" s="843">
        <f t="shared" si="878"/>
        <v>86497</v>
      </c>
      <c r="BB635" s="1433">
        <f t="shared" si="878"/>
        <v>86980</v>
      </c>
      <c r="BC635" s="852">
        <f t="shared" si="878"/>
        <v>87443</v>
      </c>
      <c r="BD635" s="852">
        <f t="shared" si="878"/>
        <v>88463</v>
      </c>
      <c r="BE635" s="852">
        <f t="shared" si="878"/>
        <v>88024</v>
      </c>
      <c r="BF635" s="843">
        <f t="shared" si="878"/>
        <v>88024</v>
      </c>
      <c r="BG635" s="852">
        <f t="shared" si="878"/>
        <v>89852</v>
      </c>
      <c r="BH635" s="852">
        <f t="shared" si="878"/>
        <v>90058</v>
      </c>
      <c r="BI635" s="852">
        <f t="shared" si="878"/>
        <v>91117</v>
      </c>
      <c r="BJ635" s="852">
        <f t="shared" si="878"/>
        <v>93197</v>
      </c>
      <c r="BK635" s="843">
        <f t="shared" si="878"/>
        <v>93197</v>
      </c>
      <c r="BL635" s="852">
        <f t="shared" si="878"/>
        <v>92432</v>
      </c>
      <c r="BM635" s="852">
        <f t="shared" si="878"/>
        <v>92889</v>
      </c>
      <c r="BN635" s="852">
        <f t="shared" si="878"/>
        <v>93926</v>
      </c>
      <c r="BO635" s="852">
        <f t="shared" si="878"/>
        <v>95095</v>
      </c>
      <c r="BP635" s="843">
        <f t="shared" si="878"/>
        <v>95095</v>
      </c>
      <c r="BQ635" s="852">
        <f t="shared" si="878"/>
        <v>97375</v>
      </c>
      <c r="BR635" s="852">
        <f t="shared" si="878"/>
        <v>97279</v>
      </c>
      <c r="BS635" s="852">
        <f t="shared" si="878"/>
        <v>98481</v>
      </c>
      <c r="BT635" s="852">
        <f t="shared" si="878"/>
        <v>100619</v>
      </c>
      <c r="BU635" s="843">
        <f t="shared" ref="BU635:CF635" si="879">SUM(BU605:BU621)</f>
        <v>100619</v>
      </c>
      <c r="BV635" s="852">
        <f t="shared" si="879"/>
        <v>101843</v>
      </c>
      <c r="BW635" s="852">
        <f t="shared" si="879"/>
        <v>108148</v>
      </c>
      <c r="BX635" s="852">
        <f t="shared" si="879"/>
        <v>108274</v>
      </c>
      <c r="BY635" s="852">
        <f t="shared" si="879"/>
        <v>111324</v>
      </c>
      <c r="BZ635" s="843">
        <f t="shared" si="879"/>
        <v>111324</v>
      </c>
      <c r="CA635" s="852">
        <f t="shared" si="879"/>
        <v>109090</v>
      </c>
      <c r="CB635" s="852">
        <f t="shared" si="879"/>
        <v>111011</v>
      </c>
      <c r="CC635" s="852">
        <f t="shared" si="879"/>
        <v>112616</v>
      </c>
      <c r="CD635" s="852">
        <f t="shared" si="879"/>
        <v>114575</v>
      </c>
      <c r="CE635" s="843">
        <f t="shared" si="879"/>
        <v>114575</v>
      </c>
      <c r="CF635" s="852">
        <f t="shared" si="879"/>
        <v>115222</v>
      </c>
      <c r="CG635" s="852">
        <f>SUM(CG605:CG621)</f>
        <v>116956</v>
      </c>
      <c r="CH635" s="852">
        <f>SUM(CH604:CH621)</f>
        <v>117101</v>
      </c>
      <c r="CI635">
        <f t="shared" ref="CI635:CV635" si="880">SUM(CI604:CI633)</f>
        <v>271189</v>
      </c>
      <c r="CJ635" s="843">
        <f t="shared" si="880"/>
        <v>271189</v>
      </c>
      <c r="CK635" s="854">
        <f t="shared" si="880"/>
        <v>272843</v>
      </c>
      <c r="CL635" s="854">
        <f t="shared" si="880"/>
        <v>276405</v>
      </c>
      <c r="CM635" s="854">
        <f>SUM(CM604:CM633)</f>
        <v>279097</v>
      </c>
      <c r="CN635" s="854">
        <f>SUM(CN604:CN633)</f>
        <v>284752</v>
      </c>
      <c r="CO635" s="843">
        <f t="shared" si="880"/>
        <v>284752</v>
      </c>
      <c r="CP635" s="854">
        <f t="shared" si="880"/>
        <v>286485.15000000008</v>
      </c>
      <c r="CQ635" s="854">
        <f t="shared" si="880"/>
        <v>292989.30000000005</v>
      </c>
      <c r="CR635" s="852">
        <f t="shared" si="880"/>
        <v>295842.81999999995</v>
      </c>
      <c r="CS635" s="852">
        <f t="shared" si="880"/>
        <v>301808.97999999992</v>
      </c>
      <c r="CT635" s="843">
        <f t="shared" si="880"/>
        <v>301808.97999999992</v>
      </c>
      <c r="CU635" s="852">
        <f t="shared" si="880"/>
        <v>318382.67889999994</v>
      </c>
      <c r="CV635" s="843">
        <f t="shared" si="880"/>
        <v>324740.95247799996</v>
      </c>
      <c r="CW635" s="374"/>
      <c r="CX635" s="374"/>
      <c r="CY635" s="374"/>
      <c r="CZ635" s="374"/>
      <c r="DA635" s="374"/>
      <c r="DB635" s="217"/>
      <c r="DC635" s="212"/>
      <c r="DD635" s="212"/>
      <c r="DE635" s="70"/>
      <c r="DF635" s="70"/>
      <c r="DG635" s="70"/>
      <c r="DH635" s="70"/>
      <c r="DI635" s="70"/>
      <c r="DJ635" s="70"/>
      <c r="DK635" s="70"/>
      <c r="DL635" s="70"/>
      <c r="DM635" s="70"/>
      <c r="DN635" s="70"/>
      <c r="DO635" s="70"/>
      <c r="DP635" s="70"/>
      <c r="DQ635" s="70"/>
      <c r="DR635" s="70"/>
      <c r="DS635" s="70"/>
      <c r="DT635" s="70"/>
      <c r="DU635" s="70"/>
      <c r="DV635" s="70"/>
      <c r="DW635" s="70"/>
      <c r="DX635" s="70"/>
      <c r="DY635" s="70"/>
      <c r="DZ635" s="70"/>
      <c r="EA635" s="70"/>
      <c r="EB635" s="70"/>
      <c r="EC635" s="70"/>
      <c r="ED635" s="70"/>
      <c r="EE635" s="70"/>
      <c r="EF635" s="70"/>
      <c r="EG635" s="70"/>
      <c r="EH635" s="70"/>
      <c r="EI635" s="70"/>
      <c r="EJ635" s="70"/>
      <c r="EK635" s="70"/>
      <c r="EL635" s="70"/>
      <c r="EM635" s="70"/>
      <c r="EN635" s="70"/>
      <c r="EO635" s="70"/>
      <c r="EP635" s="70"/>
      <c r="EQ635" s="70"/>
      <c r="ER635" s="70"/>
      <c r="ES635" s="70"/>
      <c r="ET635" s="70"/>
      <c r="EU635" s="70"/>
      <c r="EV635" s="70"/>
      <c r="EW635" s="70"/>
      <c r="EX635" s="70"/>
      <c r="EY635" s="70"/>
      <c r="EZ635" s="70"/>
      <c r="FA635" s="70"/>
      <c r="FB635" s="70"/>
      <c r="FC635" s="70"/>
      <c r="FD635" s="70"/>
      <c r="FE635" s="70"/>
      <c r="FF635" s="70"/>
      <c r="FG635" s="70"/>
      <c r="FH635" s="70"/>
      <c r="FI635" s="70"/>
      <c r="FJ635" s="70"/>
      <c r="FK635" s="70"/>
      <c r="FL635" s="70"/>
      <c r="FM635" s="70"/>
      <c r="FN635" s="70"/>
      <c r="FO635" s="70"/>
      <c r="FP635" s="70"/>
      <c r="FQ635" s="70"/>
      <c r="FR635" s="70"/>
      <c r="FS635" s="70"/>
      <c r="FT635" s="70"/>
      <c r="FU635" s="70"/>
      <c r="FV635" s="70"/>
      <c r="FW635" s="70"/>
      <c r="FX635" s="70"/>
      <c r="FY635" s="70"/>
      <c r="FZ635" s="70"/>
      <c r="GA635" s="70"/>
      <c r="GB635" s="70"/>
      <c r="GC635" s="70"/>
      <c r="GD635" s="70"/>
      <c r="GE635" s="70"/>
      <c r="GF635" s="70"/>
      <c r="GG635" s="70"/>
      <c r="GH635" s="70"/>
      <c r="GI635" s="70"/>
      <c r="GJ635" s="70"/>
      <c r="GK635" s="70"/>
      <c r="GL635" s="70"/>
      <c r="GM635" s="70"/>
      <c r="GN635" s="70"/>
      <c r="GO635" s="70"/>
      <c r="GP635" s="70"/>
      <c r="GQ635" s="70"/>
      <c r="GR635" s="70"/>
      <c r="GS635" s="70"/>
      <c r="GT635" s="70"/>
      <c r="GU635" s="70"/>
      <c r="GV635" s="70"/>
      <c r="GW635" s="70"/>
      <c r="GX635" s="70"/>
      <c r="GY635" s="70"/>
      <c r="GZ635" s="70"/>
      <c r="HA635" s="70"/>
      <c r="HB635" s="70"/>
      <c r="HC635" s="70"/>
      <c r="HD635" s="70"/>
      <c r="HE635" s="70"/>
      <c r="HF635" s="70"/>
      <c r="HG635" s="70"/>
      <c r="HH635" s="70"/>
      <c r="HI635" s="70"/>
      <c r="HJ635" s="70"/>
      <c r="HK635" s="70"/>
      <c r="HL635" s="70"/>
      <c r="HM635" s="70"/>
      <c r="HN635" s="70"/>
      <c r="HO635" s="70"/>
      <c r="HP635" s="70"/>
      <c r="HQ635" s="70"/>
      <c r="HR635" s="70"/>
      <c r="HS635" s="70"/>
      <c r="HT635" s="70"/>
      <c r="HU635" s="70"/>
      <c r="HV635" s="70"/>
      <c r="HW635" s="70"/>
      <c r="HX635" s="70"/>
      <c r="HY635" s="70"/>
      <c r="HZ635" s="70"/>
      <c r="IA635" s="70"/>
      <c r="IB635" s="70"/>
      <c r="IC635" s="70"/>
      <c r="ID635" s="70"/>
      <c r="IE635" s="70"/>
      <c r="IF635" s="70"/>
      <c r="IG635" s="70"/>
      <c r="IH635" s="70"/>
      <c r="II635" s="70"/>
      <c r="IJ635" s="70"/>
      <c r="IK635" s="70"/>
      <c r="IL635" s="70"/>
      <c r="IM635" s="70"/>
      <c r="IN635" s="70"/>
      <c r="IO635" s="70"/>
      <c r="IP635" s="70"/>
      <c r="IQ635" s="70"/>
      <c r="IR635" s="70"/>
      <c r="IS635" s="70"/>
      <c r="IT635" s="70"/>
      <c r="IU635" s="70"/>
      <c r="IV635" s="70"/>
    </row>
    <row r="636" spans="1:256" x14ac:dyDescent="0.2">
      <c r="A636" s="764"/>
      <c r="B636" s="651"/>
      <c r="C636" s="236"/>
      <c r="D636" s="207"/>
      <c r="E636" s="207"/>
      <c r="F636" s="207"/>
      <c r="G636" s="234"/>
      <c r="H636" s="236"/>
      <c r="I636" s="207"/>
      <c r="J636" s="207"/>
      <c r="K636" s="207"/>
      <c r="L636" s="234"/>
      <c r="M636" s="236"/>
      <c r="N636" s="234"/>
      <c r="O636" s="234"/>
      <c r="P636" s="234"/>
      <c r="Q636" s="234"/>
      <c r="R636" s="236"/>
      <c r="S636" s="234"/>
      <c r="T636" s="234"/>
      <c r="U636" s="234"/>
      <c r="V636" s="234"/>
      <c r="W636" s="236"/>
      <c r="X636" s="234"/>
      <c r="Y636" s="234"/>
      <c r="Z636" s="234"/>
      <c r="AA636" s="234"/>
      <c r="AB636" s="236"/>
      <c r="AC636" s="234"/>
      <c r="AD636" s="234"/>
      <c r="AE636" s="234"/>
      <c r="AF636" s="234"/>
      <c r="AG636" s="236"/>
      <c r="AH636" s="234"/>
      <c r="AI636" s="234"/>
      <c r="AJ636" s="234"/>
      <c r="AK636" s="234"/>
      <c r="AL636" s="236"/>
      <c r="AM636" s="234"/>
      <c r="AN636" s="234"/>
      <c r="AO636" s="234"/>
      <c r="AP636" s="234"/>
      <c r="AQ636" s="236"/>
      <c r="AR636" s="234"/>
      <c r="AS636" s="234"/>
      <c r="AT636" s="234"/>
      <c r="AU636" s="234"/>
      <c r="AV636" s="236"/>
      <c r="AW636" s="234"/>
      <c r="AX636" s="234"/>
      <c r="AY636" s="234"/>
      <c r="AZ636" s="234"/>
      <c r="BA636" s="236"/>
      <c r="BB636" s="234"/>
      <c r="BC636" s="234"/>
      <c r="BD636" s="234"/>
      <c r="BE636" s="234"/>
      <c r="BF636" s="236"/>
      <c r="BG636" s="234"/>
      <c r="BH636" s="234"/>
      <c r="BI636" s="234"/>
      <c r="BJ636" s="234"/>
      <c r="BK636" s="236"/>
      <c r="BL636" s="234"/>
      <c r="BM636" s="234"/>
      <c r="BN636" s="212"/>
      <c r="BO636" s="212"/>
      <c r="BP636" s="194"/>
      <c r="BQ636" s="212"/>
      <c r="BR636" s="212"/>
      <c r="BS636" s="212"/>
      <c r="BT636" s="212"/>
      <c r="BU636" s="194"/>
      <c r="BV636" s="212"/>
      <c r="BW636" s="212"/>
      <c r="BX636" s="212"/>
      <c r="BY636" s="212"/>
      <c r="BZ636" s="194"/>
      <c r="CA636" s="212"/>
      <c r="CB636" s="212"/>
      <c r="CC636" s="212"/>
      <c r="CD636" s="212"/>
      <c r="CE636" s="194"/>
      <c r="CF636" s="212"/>
      <c r="CG636" s="212"/>
      <c r="CH636" s="212"/>
      <c r="CI636" s="212"/>
      <c r="CJ636" s="194"/>
      <c r="CK636" s="2907"/>
      <c r="CL636" s="212"/>
      <c r="CM636" s="212"/>
      <c r="CN636" s="212"/>
      <c r="CO636" s="194"/>
      <c r="CP636" s="2907"/>
      <c r="CQ636" s="212"/>
      <c r="CR636" s="212"/>
      <c r="CS636" s="212"/>
      <c r="CT636" s="194"/>
      <c r="CU636" s="194"/>
      <c r="CV636" s="194"/>
      <c r="CW636" s="374"/>
      <c r="CX636" s="374"/>
      <c r="CY636" s="374"/>
      <c r="CZ636" s="374"/>
      <c r="DA636" s="374"/>
      <c r="DB636" s="217"/>
    </row>
    <row r="637" spans="1:256" x14ac:dyDescent="0.2">
      <c r="A637" s="1263" t="s">
        <v>514</v>
      </c>
      <c r="B637" s="651"/>
      <c r="C637" s="236"/>
      <c r="D637" s="207"/>
      <c r="E637" s="207"/>
      <c r="F637" s="207"/>
      <c r="G637" s="234"/>
      <c r="H637" s="236"/>
      <c r="I637" s="207"/>
      <c r="J637" s="207"/>
      <c r="K637" s="207"/>
      <c r="L637" s="234"/>
      <c r="M637" s="236"/>
      <c r="N637" s="234"/>
      <c r="O637" s="234"/>
      <c r="P637" s="234"/>
      <c r="Q637" s="234"/>
      <c r="R637" s="236"/>
      <c r="S637" s="234"/>
      <c r="T637" s="234"/>
      <c r="U637" s="234"/>
      <c r="V637" s="234"/>
      <c r="W637" s="236"/>
      <c r="X637" s="234"/>
      <c r="Y637" s="234"/>
      <c r="Z637" s="234"/>
      <c r="AA637" s="234"/>
      <c r="AB637" s="236"/>
      <c r="AC637" s="234"/>
      <c r="AD637" s="234"/>
      <c r="AE637" s="234"/>
      <c r="AF637" s="234"/>
      <c r="AG637" s="236"/>
      <c r="AH637" s="234"/>
      <c r="AI637" s="234"/>
      <c r="AJ637" s="234"/>
      <c r="AK637" s="234"/>
      <c r="AL637" s="236"/>
      <c r="AM637" s="234"/>
      <c r="AN637" s="234"/>
      <c r="AO637" s="234"/>
      <c r="AP637" s="234"/>
      <c r="AQ637" s="236"/>
      <c r="AR637" s="234"/>
      <c r="AS637" s="234"/>
      <c r="AT637" s="234"/>
      <c r="AU637" s="234"/>
      <c r="AV637" s="236"/>
      <c r="AW637" s="234"/>
      <c r="AX637" s="234"/>
      <c r="AY637" s="234"/>
      <c r="AZ637" s="234"/>
      <c r="BA637" s="236"/>
      <c r="BB637" s="234"/>
      <c r="BC637" s="234"/>
      <c r="BD637" s="234"/>
      <c r="BE637" s="234"/>
      <c r="BF637" s="236"/>
      <c r="BG637" s="234"/>
      <c r="BH637" s="234"/>
      <c r="BI637" s="234"/>
      <c r="BJ637" s="234"/>
      <c r="BK637" s="236"/>
      <c r="BL637" s="234"/>
      <c r="BM637" s="234"/>
      <c r="BN637" s="212"/>
      <c r="BO637" s="212"/>
      <c r="BP637" s="194"/>
      <c r="BQ637" s="212"/>
      <c r="BR637" s="212"/>
      <c r="BS637" s="212"/>
      <c r="BT637" s="212"/>
      <c r="BU637" s="194"/>
      <c r="BV637" s="212"/>
      <c r="BW637" s="212"/>
      <c r="BX637" s="212"/>
      <c r="BY637" s="212"/>
      <c r="BZ637" s="194"/>
      <c r="CA637" s="212"/>
      <c r="CB637" s="212"/>
      <c r="CC637" s="212"/>
      <c r="CD637" s="212"/>
      <c r="CE637" s="194"/>
      <c r="CF637" s="212"/>
      <c r="CG637" s="212"/>
      <c r="CH637" s="212"/>
      <c r="CI637" s="212"/>
      <c r="CJ637" s="194"/>
      <c r="CK637" s="2907"/>
      <c r="CL637" s="212"/>
      <c r="CM637" s="212"/>
      <c r="CN637" s="212"/>
      <c r="CO637" s="194"/>
      <c r="CP637" s="2907"/>
      <c r="CQ637" s="212"/>
      <c r="CR637" s="212"/>
      <c r="CS637" s="212"/>
      <c r="CT637" s="194"/>
      <c r="CU637" s="194"/>
      <c r="CV637" s="194"/>
      <c r="CW637" s="374"/>
      <c r="CX637" s="374"/>
      <c r="CY637" s="374"/>
      <c r="CZ637" s="374"/>
      <c r="DA637" s="374"/>
      <c r="DB637" s="217"/>
    </row>
    <row r="638" spans="1:256" x14ac:dyDescent="0.2">
      <c r="A638" s="2308" t="s">
        <v>456</v>
      </c>
      <c r="B638" s="651"/>
      <c r="C638" s="236"/>
      <c r="D638" s="234"/>
      <c r="E638" s="234"/>
      <c r="F638" s="234"/>
      <c r="G638" s="234"/>
      <c r="H638" s="236"/>
      <c r="I638" s="234"/>
      <c r="J638" s="234"/>
      <c r="K638" s="234"/>
      <c r="L638" s="234"/>
      <c r="M638" s="236"/>
      <c r="N638" s="234"/>
      <c r="O638" s="234"/>
      <c r="P638" s="234"/>
      <c r="Q638" s="234"/>
      <c r="R638" s="236"/>
      <c r="S638" s="234"/>
      <c r="T638" s="234"/>
      <c r="U638" s="234"/>
      <c r="V638" s="234"/>
      <c r="W638" s="236"/>
      <c r="X638" s="234"/>
      <c r="Y638" s="234"/>
      <c r="Z638" s="234"/>
      <c r="AA638" s="234"/>
      <c r="AB638" s="236"/>
      <c r="AC638" s="234"/>
      <c r="AD638" s="234"/>
      <c r="AE638" s="234"/>
      <c r="AF638" s="234"/>
      <c r="AG638" s="236"/>
      <c r="AH638" s="234"/>
      <c r="AI638" s="234"/>
      <c r="AJ638" s="234"/>
      <c r="AK638" s="234"/>
      <c r="AL638" s="236"/>
      <c r="AM638" s="234"/>
      <c r="AN638" s="234"/>
      <c r="AO638" s="234"/>
      <c r="AP638" s="234"/>
      <c r="AQ638" s="236"/>
      <c r="AR638" s="234"/>
      <c r="AS638" s="234"/>
      <c r="AT638" s="234"/>
      <c r="AU638" s="234"/>
      <c r="AV638" s="236"/>
      <c r="AW638" s="234"/>
      <c r="AX638" s="234"/>
      <c r="AY638" s="234"/>
      <c r="AZ638" s="234"/>
      <c r="BA638" s="236"/>
      <c r="BB638" s="234"/>
      <c r="BC638" s="234"/>
      <c r="BD638" s="234"/>
      <c r="BE638" s="234"/>
      <c r="BF638" s="236"/>
      <c r="BG638" s="234"/>
      <c r="BH638" s="234"/>
      <c r="BI638" s="234"/>
      <c r="BJ638" s="234"/>
      <c r="BK638" s="236"/>
      <c r="BL638" s="234"/>
      <c r="BM638" s="234"/>
      <c r="BN638" s="234"/>
      <c r="BO638" s="234"/>
      <c r="BP638" s="236"/>
      <c r="BQ638" s="234"/>
      <c r="BR638" s="234"/>
      <c r="BS638" s="234"/>
      <c r="BT638" s="234"/>
      <c r="BU638" s="236"/>
      <c r="BV638" s="234"/>
      <c r="BW638" s="234"/>
      <c r="BX638" s="234"/>
      <c r="BY638" s="234"/>
      <c r="BZ638" s="236"/>
      <c r="CA638" s="234"/>
      <c r="CB638" s="234"/>
      <c r="CC638" s="234"/>
      <c r="CD638" s="234"/>
      <c r="CE638" s="236"/>
      <c r="CF638" s="234"/>
      <c r="CG638" s="234"/>
      <c r="CH638" s="1231">
        <v>1473</v>
      </c>
      <c r="CI638" s="1231">
        <v>1742</v>
      </c>
      <c r="CJ638" s="752">
        <f>+CI638</f>
        <v>1742</v>
      </c>
      <c r="CK638" s="3500">
        <v>1742</v>
      </c>
      <c r="CL638" s="3500">
        <v>1742</v>
      </c>
      <c r="CM638" s="3500">
        <v>1624</v>
      </c>
      <c r="CN638" s="3500">
        <v>1624</v>
      </c>
      <c r="CO638" s="752">
        <f>+CN638</f>
        <v>1624</v>
      </c>
      <c r="CP638" s="1261">
        <f t="shared" ref="CP638:CS653" si="881">+CK638*(1+CP$896)</f>
        <v>1881.3600000000001</v>
      </c>
      <c r="CQ638" s="1261">
        <f t="shared" si="881"/>
        <v>1881.3600000000001</v>
      </c>
      <c r="CR638" s="1261">
        <f t="shared" si="881"/>
        <v>1770.16</v>
      </c>
      <c r="CS638" s="1261">
        <f t="shared" si="881"/>
        <v>1770.16</v>
      </c>
      <c r="CT638" s="752">
        <f>+CS638</f>
        <v>1770.16</v>
      </c>
      <c r="CU638" s="194">
        <f t="shared" ref="CU638:CV654" si="882">+CT638*(1+CU$896)</f>
        <v>1902.922</v>
      </c>
      <c r="CV638" s="194">
        <f t="shared" si="882"/>
        <v>1979.0388800000001</v>
      </c>
      <c r="CW638" s="374"/>
      <c r="CX638" s="374"/>
      <c r="CY638" s="374"/>
      <c r="CZ638" s="374"/>
      <c r="DA638" s="374"/>
      <c r="DB638" s="217"/>
    </row>
    <row r="639" spans="1:256" x14ac:dyDescent="0.2">
      <c r="A639" s="1264" t="s">
        <v>346</v>
      </c>
      <c r="B639" s="651"/>
      <c r="C639" s="236"/>
      <c r="D639" s="207"/>
      <c r="E639" s="207"/>
      <c r="F639" s="207"/>
      <c r="G639" s="234"/>
      <c r="H639" s="236"/>
      <c r="I639" s="1427">
        <f>13758</f>
        <v>13758</v>
      </c>
      <c r="J639" s="845">
        <f>14898</f>
        <v>14898</v>
      </c>
      <c r="K639" s="845">
        <f>15930</f>
        <v>15930</v>
      </c>
      <c r="L639" s="845">
        <f>16205</f>
        <v>16205</v>
      </c>
      <c r="M639" s="752">
        <f>L639</f>
        <v>16205</v>
      </c>
      <c r="N639" s="1427">
        <f>16504</f>
        <v>16504</v>
      </c>
      <c r="O639" s="845">
        <f>16244</f>
        <v>16244</v>
      </c>
      <c r="P639" s="845">
        <v>16759</v>
      </c>
      <c r="Q639" s="845">
        <v>15889</v>
      </c>
      <c r="R639" s="752">
        <f>Q639</f>
        <v>15889</v>
      </c>
      <c r="S639" s="1427">
        <v>15901</v>
      </c>
      <c r="T639" s="845">
        <v>15901</v>
      </c>
      <c r="U639" s="845">
        <v>16309</v>
      </c>
      <c r="V639" s="845">
        <v>16508</v>
      </c>
      <c r="W639" s="752">
        <f t="shared" ref="W639:W654" si="883">V639</f>
        <v>16508</v>
      </c>
      <c r="X639" s="1427">
        <v>16666</v>
      </c>
      <c r="Y639" s="845">
        <v>16902</v>
      </c>
      <c r="Z639" s="845">
        <v>16994</v>
      </c>
      <c r="AA639" s="845">
        <v>16994</v>
      </c>
      <c r="AB639" s="752">
        <f t="shared" ref="AB639:AB654" si="884">+AA639</f>
        <v>16994</v>
      </c>
      <c r="AC639" s="1427">
        <v>16994</v>
      </c>
      <c r="AD639" s="845">
        <v>9585</v>
      </c>
      <c r="AE639" s="845">
        <v>9646</v>
      </c>
      <c r="AF639" s="845">
        <v>9832</v>
      </c>
      <c r="AG639" s="752">
        <f t="shared" ref="AG639:AG654" si="885">+AF639</f>
        <v>9832</v>
      </c>
      <c r="AH639" s="1427">
        <v>9738</v>
      </c>
      <c r="AI639" s="845">
        <v>8879</v>
      </c>
      <c r="AJ639" s="845">
        <v>8349</v>
      </c>
      <c r="AK639" s="845">
        <v>9156</v>
      </c>
      <c r="AL639" s="752">
        <f t="shared" ref="AL639:AL654" si="886">+AK639</f>
        <v>9156</v>
      </c>
      <c r="AM639" s="1427">
        <v>9342</v>
      </c>
      <c r="AN639" s="845">
        <v>9500</v>
      </c>
      <c r="AO639" s="845">
        <v>10038</v>
      </c>
      <c r="AP639" s="845">
        <v>9997</v>
      </c>
      <c r="AQ639" s="752">
        <f t="shared" ref="AQ639:AQ654" si="887">+AP639</f>
        <v>9997</v>
      </c>
      <c r="AR639" s="1427">
        <v>10002</v>
      </c>
      <c r="AS639" s="845">
        <v>10012</v>
      </c>
      <c r="AT639" s="845">
        <v>10012</v>
      </c>
      <c r="AU639" s="845">
        <v>10257</v>
      </c>
      <c r="AV639" s="752">
        <f t="shared" ref="AV639:AV654" si="888">+AU639</f>
        <v>10257</v>
      </c>
      <c r="AW639" s="1427">
        <v>10256</v>
      </c>
      <c r="AX639" s="845">
        <v>10254</v>
      </c>
      <c r="AY639" s="845">
        <v>10398</v>
      </c>
      <c r="AZ639" s="845">
        <v>10458</v>
      </c>
      <c r="BA639" s="752">
        <f t="shared" ref="BA639:BA654" si="889">+AZ639</f>
        <v>10458</v>
      </c>
      <c r="BB639" s="1427">
        <v>10520</v>
      </c>
      <c r="BC639" s="845">
        <v>10636</v>
      </c>
      <c r="BD639" s="845">
        <v>10906</v>
      </c>
      <c r="BE639" s="845">
        <v>10907</v>
      </c>
      <c r="BF639" s="752">
        <f t="shared" ref="BF639:BF654" si="890">+BE639</f>
        <v>10907</v>
      </c>
      <c r="BG639" s="845">
        <v>11314</v>
      </c>
      <c r="BH639" s="845">
        <v>11314</v>
      </c>
      <c r="BI639" s="845">
        <f>10740+574</f>
        <v>11314</v>
      </c>
      <c r="BJ639" s="845">
        <v>11122</v>
      </c>
      <c r="BK639" s="752">
        <f t="shared" ref="BK639:BK654" si="891">+BJ639</f>
        <v>11122</v>
      </c>
      <c r="BL639" s="845">
        <v>11122</v>
      </c>
      <c r="BM639" s="845">
        <v>10954</v>
      </c>
      <c r="BN639" s="845">
        <v>10735</v>
      </c>
      <c r="BO639" s="845">
        <f>9971+1016</f>
        <v>10987</v>
      </c>
      <c r="BP639" s="752">
        <f t="shared" ref="BP639:BP654" si="892">+BO639</f>
        <v>10987</v>
      </c>
      <c r="BQ639" s="1231">
        <v>10988</v>
      </c>
      <c r="BR639" s="1231">
        <v>11136</v>
      </c>
      <c r="BS639" s="1231">
        <v>11356</v>
      </c>
      <c r="BT639" s="845">
        <v>11773</v>
      </c>
      <c r="BU639" s="752">
        <f t="shared" ref="BU639:BU654" si="893">+BT639</f>
        <v>11773</v>
      </c>
      <c r="BV639" s="1231">
        <v>12561</v>
      </c>
      <c r="BW639" s="1231">
        <v>12561</v>
      </c>
      <c r="BX639" s="1231">
        <v>12832</v>
      </c>
      <c r="BY639" s="1231">
        <v>13099</v>
      </c>
      <c r="BZ639" s="752">
        <f t="shared" ref="BZ639:BZ654" si="894">+BY639</f>
        <v>13099</v>
      </c>
      <c r="CA639" s="1231">
        <v>10923</v>
      </c>
      <c r="CB639" s="1231">
        <v>10923</v>
      </c>
      <c r="CC639" s="1231">
        <v>11243</v>
      </c>
      <c r="CD639" s="1231">
        <v>12745</v>
      </c>
      <c r="CE639" s="752">
        <f t="shared" ref="CE639:CE654" si="895">+CD639</f>
        <v>12745</v>
      </c>
      <c r="CF639" s="1231">
        <v>13312</v>
      </c>
      <c r="CG639" s="1231">
        <v>13865</v>
      </c>
      <c r="CH639" s="1231">
        <v>12582</v>
      </c>
      <c r="CI639" s="1231">
        <v>12491</v>
      </c>
      <c r="CJ639" s="752">
        <f>+CI639</f>
        <v>12491</v>
      </c>
      <c r="CK639" s="3500">
        <v>12309</v>
      </c>
      <c r="CL639" s="3500">
        <v>12453</v>
      </c>
      <c r="CM639" s="3500">
        <v>13297</v>
      </c>
      <c r="CN639" s="3500">
        <v>13776</v>
      </c>
      <c r="CO639" s="752">
        <f>+CN639</f>
        <v>13776</v>
      </c>
      <c r="CP639" s="1261">
        <f t="shared" si="881"/>
        <v>13293.720000000001</v>
      </c>
      <c r="CQ639" s="1261">
        <f t="shared" si="881"/>
        <v>13449.240000000002</v>
      </c>
      <c r="CR639" s="1261">
        <f t="shared" si="881"/>
        <v>14493.730000000001</v>
      </c>
      <c r="CS639" s="1261">
        <f t="shared" si="881"/>
        <v>15015.840000000002</v>
      </c>
      <c r="CT639" s="752">
        <f>+CS639</f>
        <v>15015.840000000002</v>
      </c>
      <c r="CU639" s="194">
        <f t="shared" si="882"/>
        <v>16142.028000000002</v>
      </c>
      <c r="CV639" s="194">
        <f t="shared" si="882"/>
        <v>16787.709120000003</v>
      </c>
      <c r="CW639" s="374"/>
      <c r="CX639" s="374"/>
      <c r="CY639" s="374"/>
      <c r="CZ639" s="374"/>
      <c r="DA639" s="374"/>
      <c r="DB639" s="217"/>
    </row>
    <row r="640" spans="1:256" x14ac:dyDescent="0.2">
      <c r="A640" s="1264" t="s">
        <v>1385</v>
      </c>
      <c r="B640" s="651"/>
      <c r="C640" s="236"/>
      <c r="D640" s="207"/>
      <c r="E640" s="207"/>
      <c r="F640" s="207"/>
      <c r="G640" s="234"/>
      <c r="H640" s="236"/>
      <c r="I640" s="1427">
        <f>4380</f>
        <v>4380</v>
      </c>
      <c r="J640" s="845">
        <f>4380</f>
        <v>4380</v>
      </c>
      <c r="K640" s="845">
        <f>4763</f>
        <v>4763</v>
      </c>
      <c r="L640" s="845">
        <f>4762</f>
        <v>4762</v>
      </c>
      <c r="M640" s="752">
        <f>L640</f>
        <v>4762</v>
      </c>
      <c r="N640" s="1427">
        <f>4762</f>
        <v>4762</v>
      </c>
      <c r="O640" s="845">
        <f>4967</f>
        <v>4967</v>
      </c>
      <c r="P640" s="845">
        <f>4967</f>
        <v>4967</v>
      </c>
      <c r="Q640" s="845">
        <v>5250</v>
      </c>
      <c r="R640" s="752">
        <f>Q640</f>
        <v>5250</v>
      </c>
      <c r="S640" s="1427">
        <v>5427</v>
      </c>
      <c r="T640" s="845">
        <v>4771</v>
      </c>
      <c r="U640" s="845">
        <v>4771</v>
      </c>
      <c r="V640" s="845">
        <v>4771</v>
      </c>
      <c r="W640" s="752">
        <f t="shared" si="883"/>
        <v>4771</v>
      </c>
      <c r="X640" s="1427">
        <v>4771</v>
      </c>
      <c r="Y640" s="845">
        <v>5343</v>
      </c>
      <c r="Z640" s="845">
        <v>5343</v>
      </c>
      <c r="AA640" s="845">
        <v>5566</v>
      </c>
      <c r="AB640" s="752">
        <f t="shared" si="884"/>
        <v>5566</v>
      </c>
      <c r="AC640" s="1427">
        <v>5587</v>
      </c>
      <c r="AD640" s="845">
        <v>5251</v>
      </c>
      <c r="AE640" s="845">
        <v>5251</v>
      </c>
      <c r="AF640" s="845">
        <v>5251</v>
      </c>
      <c r="AG640" s="752">
        <f t="shared" si="885"/>
        <v>5251</v>
      </c>
      <c r="AH640" s="1427">
        <v>5251</v>
      </c>
      <c r="AI640" s="845">
        <v>5251</v>
      </c>
      <c r="AJ640" s="845">
        <v>5513</v>
      </c>
      <c r="AK640" s="845">
        <v>5513</v>
      </c>
      <c r="AL640" s="752">
        <f t="shared" si="886"/>
        <v>5513</v>
      </c>
      <c r="AM640" s="1427">
        <v>5513</v>
      </c>
      <c r="AN640" s="845">
        <v>5307</v>
      </c>
      <c r="AO640" s="845">
        <v>5341</v>
      </c>
      <c r="AP640" s="845">
        <v>5324</v>
      </c>
      <c r="AQ640" s="752">
        <f t="shared" si="887"/>
        <v>5324</v>
      </c>
      <c r="AR640" s="1427">
        <v>4915</v>
      </c>
      <c r="AS640" s="845">
        <v>4291</v>
      </c>
      <c r="AT640" s="845">
        <v>4315</v>
      </c>
      <c r="AU640" s="845">
        <v>4317</v>
      </c>
      <c r="AV640" s="752">
        <f t="shared" si="888"/>
        <v>4317</v>
      </c>
      <c r="AW640" s="1427">
        <v>4557</v>
      </c>
      <c r="AX640" s="845">
        <v>4592</v>
      </c>
      <c r="AY640" s="845">
        <v>4343</v>
      </c>
      <c r="AZ640" s="845">
        <v>4313</v>
      </c>
      <c r="BA640" s="752">
        <f t="shared" si="889"/>
        <v>4313</v>
      </c>
      <c r="BB640" s="1427">
        <v>4807</v>
      </c>
      <c r="BC640" s="845">
        <v>5042</v>
      </c>
      <c r="BD640" s="845">
        <v>5042</v>
      </c>
      <c r="BE640" s="845">
        <v>5192</v>
      </c>
      <c r="BF640" s="752">
        <f t="shared" si="890"/>
        <v>5192</v>
      </c>
      <c r="BG640" s="845">
        <v>5192</v>
      </c>
      <c r="BH640" s="845">
        <v>5465</v>
      </c>
      <c r="BI640" s="845">
        <v>5765</v>
      </c>
      <c r="BJ640" s="845">
        <v>5766</v>
      </c>
      <c r="BK640" s="752">
        <f t="shared" si="891"/>
        <v>5766</v>
      </c>
      <c r="BL640" s="845">
        <v>5759</v>
      </c>
      <c r="BM640" s="845">
        <v>5759</v>
      </c>
      <c r="BN640" s="845">
        <v>5971</v>
      </c>
      <c r="BO640" s="845">
        <v>6716</v>
      </c>
      <c r="BP640" s="752">
        <f t="shared" si="892"/>
        <v>6716</v>
      </c>
      <c r="BQ640" s="1626">
        <v>6718</v>
      </c>
      <c r="BR640" s="1626">
        <v>6725</v>
      </c>
      <c r="BS640" s="1626">
        <v>6725</v>
      </c>
      <c r="BT640" s="845">
        <v>6720</v>
      </c>
      <c r="BU640" s="752">
        <f t="shared" si="893"/>
        <v>6720</v>
      </c>
      <c r="BV640" s="1626">
        <v>7037</v>
      </c>
      <c r="BW640" s="1626">
        <v>7625</v>
      </c>
      <c r="BX640" s="1626">
        <v>7931</v>
      </c>
      <c r="BY640" s="1626">
        <v>7931</v>
      </c>
      <c r="BZ640" s="752">
        <f t="shared" si="894"/>
        <v>7931</v>
      </c>
      <c r="CA640" s="1626">
        <v>7368</v>
      </c>
      <c r="CB640" s="1626">
        <v>7363</v>
      </c>
      <c r="CC640" s="1626">
        <v>7363</v>
      </c>
      <c r="CD640" s="1626">
        <v>7040</v>
      </c>
      <c r="CE640" s="752">
        <f t="shared" si="895"/>
        <v>7040</v>
      </c>
      <c r="CF640" s="1626">
        <v>6835</v>
      </c>
      <c r="CG640" s="1626">
        <v>6957</v>
      </c>
      <c r="CH640" s="1626">
        <v>6956</v>
      </c>
      <c r="CI640" s="1626">
        <v>7168</v>
      </c>
      <c r="CJ640" s="752">
        <f>+CI640</f>
        <v>7168</v>
      </c>
      <c r="CK640" s="1883">
        <v>7168</v>
      </c>
      <c r="CL640" s="1883">
        <v>7168</v>
      </c>
      <c r="CM640" s="1883">
        <v>7441</v>
      </c>
      <c r="CN640" s="1883">
        <v>7437</v>
      </c>
      <c r="CO640" s="752">
        <f>+CN640</f>
        <v>7437</v>
      </c>
      <c r="CP640" s="1261">
        <f t="shared" si="881"/>
        <v>7741.4400000000005</v>
      </c>
      <c r="CQ640" s="1261">
        <f t="shared" si="881"/>
        <v>7741.4400000000005</v>
      </c>
      <c r="CR640" s="1261">
        <f t="shared" si="881"/>
        <v>8110.6900000000005</v>
      </c>
      <c r="CS640" s="1261">
        <f t="shared" si="881"/>
        <v>8106.3300000000008</v>
      </c>
      <c r="CT640" s="752">
        <f>+CS640</f>
        <v>8106.3300000000008</v>
      </c>
      <c r="CU640" s="194">
        <f t="shared" si="882"/>
        <v>8714.3047500000011</v>
      </c>
      <c r="CV640" s="194">
        <f t="shared" si="882"/>
        <v>9062.8769400000019</v>
      </c>
      <c r="CW640" s="374"/>
      <c r="CX640" s="374"/>
      <c r="CY640" s="374"/>
      <c r="CZ640" s="374"/>
      <c r="DA640" s="374"/>
      <c r="DB640" s="217"/>
    </row>
    <row r="641" spans="1:108" x14ac:dyDescent="0.2">
      <c r="A641" s="1264" t="s">
        <v>512</v>
      </c>
      <c r="B641" s="651"/>
      <c r="C641" s="236"/>
      <c r="D641" s="207"/>
      <c r="E641" s="207"/>
      <c r="F641" s="207"/>
      <c r="G641" s="234"/>
      <c r="H641" s="236"/>
      <c r="I641" s="1427">
        <v>0</v>
      </c>
      <c r="J641" s="845">
        <v>0</v>
      </c>
      <c r="K641" s="845">
        <v>0</v>
      </c>
      <c r="L641" s="845">
        <v>0</v>
      </c>
      <c r="M641" s="752">
        <f>L641</f>
        <v>0</v>
      </c>
      <c r="N641" s="1427">
        <v>0</v>
      </c>
      <c r="O641" s="845">
        <v>0</v>
      </c>
      <c r="P641" s="845">
        <v>0</v>
      </c>
      <c r="Q641" s="845">
        <v>0</v>
      </c>
      <c r="R641" s="752">
        <f>Q641</f>
        <v>0</v>
      </c>
      <c r="S641" s="1427">
        <v>0</v>
      </c>
      <c r="T641" s="845">
        <v>0</v>
      </c>
      <c r="U641" s="845">
        <v>0</v>
      </c>
      <c r="V641" s="845">
        <v>0</v>
      </c>
      <c r="W641" s="752">
        <f t="shared" si="883"/>
        <v>0</v>
      </c>
      <c r="X641" s="1427">
        <v>0</v>
      </c>
      <c r="Y641" s="845">
        <v>0</v>
      </c>
      <c r="Z641" s="845">
        <v>0</v>
      </c>
      <c r="AA641" s="845">
        <v>0</v>
      </c>
      <c r="AB641" s="752">
        <f t="shared" si="884"/>
        <v>0</v>
      </c>
      <c r="AC641" s="1427">
        <v>0</v>
      </c>
      <c r="AD641" s="845">
        <v>0</v>
      </c>
      <c r="AE641" s="845">
        <v>0</v>
      </c>
      <c r="AF641" s="845">
        <v>0</v>
      </c>
      <c r="AG641" s="752">
        <f t="shared" si="885"/>
        <v>0</v>
      </c>
      <c r="AH641" s="1427">
        <v>0</v>
      </c>
      <c r="AI641" s="845">
        <v>0</v>
      </c>
      <c r="AJ641" s="845">
        <v>0</v>
      </c>
      <c r="AK641" s="845">
        <v>0</v>
      </c>
      <c r="AL641" s="752">
        <f t="shared" si="886"/>
        <v>0</v>
      </c>
      <c r="AM641" s="1427">
        <v>0</v>
      </c>
      <c r="AN641" s="845">
        <v>0</v>
      </c>
      <c r="AO641" s="845">
        <v>0</v>
      </c>
      <c r="AP641" s="845">
        <v>0</v>
      </c>
      <c r="AQ641" s="752">
        <f t="shared" si="887"/>
        <v>0</v>
      </c>
      <c r="AR641" s="1427">
        <v>0</v>
      </c>
      <c r="AS641" s="845">
        <v>0</v>
      </c>
      <c r="AT641" s="845">
        <v>0</v>
      </c>
      <c r="AU641" s="845">
        <v>0</v>
      </c>
      <c r="AV641" s="752">
        <f t="shared" si="888"/>
        <v>0</v>
      </c>
      <c r="AW641" s="1427">
        <v>0</v>
      </c>
      <c r="AX641" s="845">
        <v>0</v>
      </c>
      <c r="AY641" s="845">
        <v>0</v>
      </c>
      <c r="AZ641" s="845">
        <v>0</v>
      </c>
      <c r="BA641" s="752">
        <f t="shared" si="889"/>
        <v>0</v>
      </c>
      <c r="BB641" s="1427">
        <v>0</v>
      </c>
      <c r="BC641" s="845">
        <v>0</v>
      </c>
      <c r="BD641" s="845">
        <v>0</v>
      </c>
      <c r="BE641" s="845">
        <v>0</v>
      </c>
      <c r="BF641" s="752">
        <f t="shared" si="890"/>
        <v>0</v>
      </c>
      <c r="BG641" s="845">
        <v>0</v>
      </c>
      <c r="BH641" s="845">
        <v>0</v>
      </c>
      <c r="BI641" s="845">
        <v>496</v>
      </c>
      <c r="BJ641" s="845">
        <v>548</v>
      </c>
      <c r="BK641" s="752">
        <f t="shared" si="891"/>
        <v>548</v>
      </c>
      <c r="BL641" s="845">
        <v>548</v>
      </c>
      <c r="BM641" s="845">
        <v>676</v>
      </c>
      <c r="BN641" s="845">
        <v>676</v>
      </c>
      <c r="BO641" s="845">
        <v>748</v>
      </c>
      <c r="BP641" s="752">
        <f t="shared" si="892"/>
        <v>748</v>
      </c>
      <c r="BQ641" s="1626">
        <v>915</v>
      </c>
      <c r="BR641" s="1626">
        <v>1385</v>
      </c>
      <c r="BS641" s="1626">
        <v>1729</v>
      </c>
      <c r="BT641" s="845">
        <v>2310</v>
      </c>
      <c r="BU641" s="752">
        <f t="shared" si="893"/>
        <v>2310</v>
      </c>
      <c r="BV641" s="1626">
        <v>2543</v>
      </c>
      <c r="BW641" s="1626">
        <v>2584</v>
      </c>
      <c r="BX641" s="1626">
        <v>2589</v>
      </c>
      <c r="BY641" s="1626">
        <v>6496</v>
      </c>
      <c r="BZ641" s="752">
        <f t="shared" si="894"/>
        <v>6496</v>
      </c>
      <c r="CA641" s="1626">
        <v>7528</v>
      </c>
      <c r="CB641" s="1626">
        <v>8496</v>
      </c>
      <c r="CC641" s="1626">
        <v>8623</v>
      </c>
      <c r="CD641" s="1626">
        <v>8741</v>
      </c>
      <c r="CE641" s="752">
        <f t="shared" si="895"/>
        <v>8741</v>
      </c>
      <c r="CF641" s="1626">
        <v>9236</v>
      </c>
      <c r="CG641" s="1626">
        <v>9291</v>
      </c>
      <c r="CH641" s="1626">
        <v>9473</v>
      </c>
      <c r="CI641" s="1626">
        <v>9622</v>
      </c>
      <c r="CJ641" s="752">
        <f>+CI641</f>
        <v>9622</v>
      </c>
      <c r="CK641" s="1883">
        <v>10098</v>
      </c>
      <c r="CL641" s="1883">
        <v>10181</v>
      </c>
      <c r="CM641" s="1883">
        <v>10838</v>
      </c>
      <c r="CN641" s="1883">
        <v>10838</v>
      </c>
      <c r="CO641" s="752">
        <f>+CN641</f>
        <v>10838</v>
      </c>
      <c r="CP641" s="1261">
        <f t="shared" si="881"/>
        <v>10905.84</v>
      </c>
      <c r="CQ641" s="1261">
        <f t="shared" si="881"/>
        <v>10995.480000000001</v>
      </c>
      <c r="CR641" s="1261">
        <f t="shared" si="881"/>
        <v>11813.42</v>
      </c>
      <c r="CS641" s="1261">
        <f t="shared" si="881"/>
        <v>11813.42</v>
      </c>
      <c r="CT641" s="752">
        <f>+CS641</f>
        <v>11813.42</v>
      </c>
      <c r="CU641" s="194">
        <f t="shared" si="882"/>
        <v>12699.4265</v>
      </c>
      <c r="CV641" s="194">
        <f t="shared" si="882"/>
        <v>13207.403560000001</v>
      </c>
      <c r="CW641" s="374"/>
      <c r="CX641" s="374"/>
      <c r="CY641" s="374"/>
      <c r="CZ641" s="374"/>
      <c r="DA641" s="374"/>
      <c r="DB641" s="217"/>
    </row>
    <row r="642" spans="1:108" x14ac:dyDescent="0.2">
      <c r="A642" s="2632" t="s">
        <v>608</v>
      </c>
      <c r="B642" s="651"/>
      <c r="C642" s="236"/>
      <c r="D642" s="207"/>
      <c r="E642" s="207"/>
      <c r="F642" s="207"/>
      <c r="G642" s="234"/>
      <c r="H642" s="236"/>
      <c r="I642" s="1427">
        <v>0</v>
      </c>
      <c r="J642" s="845">
        <v>0</v>
      </c>
      <c r="K642" s="845">
        <v>0</v>
      </c>
      <c r="L642" s="845">
        <v>0</v>
      </c>
      <c r="M642" s="752">
        <f>L642</f>
        <v>0</v>
      </c>
      <c r="N642" s="1427">
        <v>0</v>
      </c>
      <c r="O642" s="845">
        <v>0</v>
      </c>
      <c r="P642" s="845">
        <v>0</v>
      </c>
      <c r="Q642" s="845">
        <v>0</v>
      </c>
      <c r="R642" s="752">
        <f>Q642</f>
        <v>0</v>
      </c>
      <c r="S642" s="1427">
        <v>0</v>
      </c>
      <c r="T642" s="845">
        <v>0</v>
      </c>
      <c r="U642" s="845">
        <v>0</v>
      </c>
      <c r="V642" s="845">
        <v>0</v>
      </c>
      <c r="W642" s="752">
        <f>V642</f>
        <v>0</v>
      </c>
      <c r="X642" s="1427">
        <v>0</v>
      </c>
      <c r="Y642" s="845">
        <v>0</v>
      </c>
      <c r="Z642" s="845">
        <v>0</v>
      </c>
      <c r="AA642" s="845">
        <v>0</v>
      </c>
      <c r="AB642" s="752">
        <f>+AA642</f>
        <v>0</v>
      </c>
      <c r="AC642" s="1427">
        <v>0</v>
      </c>
      <c r="AD642" s="845">
        <v>0</v>
      </c>
      <c r="AE642" s="845">
        <v>0</v>
      </c>
      <c r="AF642" s="845">
        <v>0</v>
      </c>
      <c r="AG642" s="752">
        <f>+AF642</f>
        <v>0</v>
      </c>
      <c r="AH642" s="1427">
        <v>0</v>
      </c>
      <c r="AI642" s="845">
        <v>0</v>
      </c>
      <c r="AJ642" s="845">
        <v>0</v>
      </c>
      <c r="AK642" s="845">
        <v>0</v>
      </c>
      <c r="AL642" s="752">
        <f>+AK642</f>
        <v>0</v>
      </c>
      <c r="AM642" s="1427">
        <v>0</v>
      </c>
      <c r="AN642" s="845">
        <v>0</v>
      </c>
      <c r="AO642" s="845">
        <v>0</v>
      </c>
      <c r="AP642" s="845">
        <v>0</v>
      </c>
      <c r="AQ642" s="752">
        <f>+AP642</f>
        <v>0</v>
      </c>
      <c r="AR642" s="1427">
        <v>0</v>
      </c>
      <c r="AS642" s="845">
        <v>0</v>
      </c>
      <c r="AT642" s="845">
        <v>0</v>
      </c>
      <c r="AU642" s="845">
        <v>0</v>
      </c>
      <c r="AV642" s="752">
        <f>+AU642</f>
        <v>0</v>
      </c>
      <c r="AW642" s="1427">
        <v>0</v>
      </c>
      <c r="AX642" s="845">
        <v>0</v>
      </c>
      <c r="AY642" s="845">
        <v>0</v>
      </c>
      <c r="AZ642" s="845">
        <v>0</v>
      </c>
      <c r="BA642" s="752">
        <f>+AZ642</f>
        <v>0</v>
      </c>
      <c r="BB642" s="1427">
        <v>0</v>
      </c>
      <c r="BC642" s="845">
        <v>0</v>
      </c>
      <c r="BD642" s="845">
        <v>0</v>
      </c>
      <c r="BE642" s="845">
        <v>0</v>
      </c>
      <c r="BF642" s="752">
        <f>+BE642</f>
        <v>0</v>
      </c>
      <c r="BG642" s="845">
        <v>0</v>
      </c>
      <c r="BH642" s="845">
        <v>0</v>
      </c>
      <c r="BI642" s="845"/>
      <c r="BJ642" s="845"/>
      <c r="BK642" s="752"/>
      <c r="BL642" s="845"/>
      <c r="BM642" s="845"/>
      <c r="BN642" s="845"/>
      <c r="BO642" s="845"/>
      <c r="BP642" s="752"/>
      <c r="BQ642" s="215">
        <v>0</v>
      </c>
      <c r="BR642" s="215">
        <v>0</v>
      </c>
      <c r="BS642" s="215">
        <v>0</v>
      </c>
      <c r="BT642" s="845">
        <v>0</v>
      </c>
      <c r="BU642" s="752">
        <f>+BT642</f>
        <v>0</v>
      </c>
      <c r="BV642" s="215">
        <v>0</v>
      </c>
      <c r="BW642" s="215">
        <v>0</v>
      </c>
      <c r="BX642" s="1626">
        <v>162</v>
      </c>
      <c r="BY642" s="1626">
        <v>162</v>
      </c>
      <c r="BZ642" s="752">
        <f>+BY642</f>
        <v>162</v>
      </c>
      <c r="CA642" s="1626">
        <v>162</v>
      </c>
      <c r="CB642" s="1626">
        <v>162</v>
      </c>
      <c r="CC642" s="1626">
        <v>162</v>
      </c>
      <c r="CD642" s="1626">
        <v>162</v>
      </c>
      <c r="CE642" s="752">
        <f>+CD642</f>
        <v>162</v>
      </c>
      <c r="CF642" s="1626">
        <v>414</v>
      </c>
      <c r="CG642" s="1626">
        <v>414</v>
      </c>
      <c r="CH642" s="1626">
        <v>800</v>
      </c>
      <c r="CI642" s="1626">
        <v>1000</v>
      </c>
      <c r="CJ642" s="752">
        <f>+CI642</f>
        <v>1000</v>
      </c>
      <c r="CK642" s="1883">
        <v>1874</v>
      </c>
      <c r="CL642" s="1883">
        <v>1874</v>
      </c>
      <c r="CM642" s="1883">
        <v>2734</v>
      </c>
      <c r="CN642" s="1883">
        <v>3028</v>
      </c>
      <c r="CO642" s="752">
        <f>+CN642</f>
        <v>3028</v>
      </c>
      <c r="CP642" s="1261">
        <f t="shared" si="881"/>
        <v>2023.92</v>
      </c>
      <c r="CQ642" s="1261">
        <f t="shared" si="881"/>
        <v>2023.92</v>
      </c>
      <c r="CR642" s="1261">
        <f t="shared" si="881"/>
        <v>2980.0600000000004</v>
      </c>
      <c r="CS642" s="1261">
        <f t="shared" si="881"/>
        <v>3300.5200000000004</v>
      </c>
      <c r="CT642" s="752">
        <f>+CS642</f>
        <v>3300.5200000000004</v>
      </c>
      <c r="CU642" s="194">
        <f t="shared" si="882"/>
        <v>3548.0590000000002</v>
      </c>
      <c r="CV642" s="194">
        <f t="shared" si="882"/>
        <v>3689.9813600000002</v>
      </c>
      <c r="CW642" s="374"/>
      <c r="CX642" s="374"/>
      <c r="CY642" s="374"/>
      <c r="CZ642" s="374"/>
      <c r="DA642" s="374"/>
      <c r="DB642" s="217"/>
    </row>
    <row r="643" spans="1:108" x14ac:dyDescent="0.2">
      <c r="A643" s="1264" t="s">
        <v>510</v>
      </c>
      <c r="B643" s="651"/>
      <c r="C643" s="236"/>
      <c r="D643" s="207"/>
      <c r="E643" s="207"/>
      <c r="F643" s="207"/>
      <c r="G643" s="234"/>
      <c r="H643" s="236"/>
      <c r="I643" s="1427">
        <v>0</v>
      </c>
      <c r="J643" s="845">
        <v>0</v>
      </c>
      <c r="K643" s="845">
        <v>0</v>
      </c>
      <c r="L643" s="845">
        <v>0</v>
      </c>
      <c r="M643" s="752">
        <f>L643</f>
        <v>0</v>
      </c>
      <c r="N643" s="1427">
        <v>0</v>
      </c>
      <c r="O643" s="845">
        <v>0</v>
      </c>
      <c r="P643" s="845">
        <v>0</v>
      </c>
      <c r="Q643" s="845">
        <v>0</v>
      </c>
      <c r="R643" s="752">
        <f>Q643</f>
        <v>0</v>
      </c>
      <c r="S643" s="1427">
        <v>0</v>
      </c>
      <c r="T643" s="845">
        <v>0</v>
      </c>
      <c r="U643" s="845">
        <v>0</v>
      </c>
      <c r="V643" s="845">
        <v>0</v>
      </c>
      <c r="W643" s="752">
        <f t="shared" si="883"/>
        <v>0</v>
      </c>
      <c r="X643" s="1427">
        <v>0</v>
      </c>
      <c r="Y643" s="845">
        <v>0</v>
      </c>
      <c r="Z643" s="845">
        <v>0</v>
      </c>
      <c r="AA643" s="845">
        <v>0</v>
      </c>
      <c r="AB643" s="752">
        <f t="shared" si="884"/>
        <v>0</v>
      </c>
      <c r="AC643" s="1427">
        <v>0</v>
      </c>
      <c r="AD643" s="845">
        <v>0</v>
      </c>
      <c r="AE643" s="845">
        <v>0</v>
      </c>
      <c r="AF643" s="845">
        <v>0</v>
      </c>
      <c r="AG643" s="752">
        <f t="shared" si="885"/>
        <v>0</v>
      </c>
      <c r="AH643" s="1427">
        <v>0</v>
      </c>
      <c r="AI643" s="845">
        <v>0</v>
      </c>
      <c r="AJ643" s="845">
        <v>0</v>
      </c>
      <c r="AK643" s="845">
        <v>0</v>
      </c>
      <c r="AL643" s="752">
        <f t="shared" si="886"/>
        <v>0</v>
      </c>
      <c r="AM643" s="1427">
        <v>0</v>
      </c>
      <c r="AN643" s="845">
        <v>0</v>
      </c>
      <c r="AO643" s="845">
        <v>0</v>
      </c>
      <c r="AP643" s="845">
        <v>0</v>
      </c>
      <c r="AQ643" s="752">
        <f t="shared" si="887"/>
        <v>0</v>
      </c>
      <c r="AR643" s="1427">
        <v>0</v>
      </c>
      <c r="AS643" s="845">
        <v>0</v>
      </c>
      <c r="AT643" s="845">
        <v>0</v>
      </c>
      <c r="AU643" s="845">
        <v>0</v>
      </c>
      <c r="AV643" s="752">
        <f t="shared" si="888"/>
        <v>0</v>
      </c>
      <c r="AW643" s="1427">
        <v>0</v>
      </c>
      <c r="AX643" s="845">
        <v>0</v>
      </c>
      <c r="AY643" s="845">
        <v>0</v>
      </c>
      <c r="AZ643" s="845">
        <v>0</v>
      </c>
      <c r="BA643" s="752">
        <f t="shared" si="889"/>
        <v>0</v>
      </c>
      <c r="BB643" s="1427">
        <v>0</v>
      </c>
      <c r="BC643" s="845">
        <v>0</v>
      </c>
      <c r="BD643" s="845">
        <v>0</v>
      </c>
      <c r="BE643" s="845">
        <v>0</v>
      </c>
      <c r="BF643" s="752">
        <f t="shared" si="890"/>
        <v>0</v>
      </c>
      <c r="BG643" s="845">
        <v>0</v>
      </c>
      <c r="BH643" s="845">
        <v>0</v>
      </c>
      <c r="BI643" s="845">
        <v>0</v>
      </c>
      <c r="BJ643" s="845">
        <v>0</v>
      </c>
      <c r="BK643" s="752">
        <f t="shared" si="891"/>
        <v>0</v>
      </c>
      <c r="BL643" s="845">
        <v>0</v>
      </c>
      <c r="BM643" s="845">
        <v>0</v>
      </c>
      <c r="BN643" s="845">
        <v>0</v>
      </c>
      <c r="BO643" s="845">
        <v>0</v>
      </c>
      <c r="BP643" s="752">
        <f t="shared" si="892"/>
        <v>0</v>
      </c>
      <c r="BQ643" s="215">
        <v>0</v>
      </c>
      <c r="BR643" s="215">
        <v>0</v>
      </c>
      <c r="BS643" s="215">
        <v>0</v>
      </c>
      <c r="BT643" s="845">
        <v>0</v>
      </c>
      <c r="BU643" s="752">
        <f t="shared" si="893"/>
        <v>0</v>
      </c>
      <c r="BV643" s="215">
        <v>0</v>
      </c>
      <c r="BW643" s="215">
        <v>0</v>
      </c>
      <c r="BX643" s="215">
        <v>0</v>
      </c>
      <c r="BY643" s="215">
        <v>0</v>
      </c>
      <c r="BZ643" s="661">
        <f t="shared" si="894"/>
        <v>0</v>
      </c>
      <c r="CA643" s="215">
        <v>0</v>
      </c>
      <c r="CB643" s="215">
        <v>0</v>
      </c>
      <c r="CC643" s="215">
        <v>0</v>
      </c>
      <c r="CD643" s="215">
        <v>0</v>
      </c>
      <c r="CE643" s="661">
        <f t="shared" si="895"/>
        <v>0</v>
      </c>
      <c r="CF643" s="215">
        <v>0</v>
      </c>
      <c r="CG643" s="215">
        <v>0</v>
      </c>
      <c r="CH643" s="2327">
        <v>0</v>
      </c>
      <c r="CI643" s="2327">
        <v>0</v>
      </c>
      <c r="CJ643" s="661">
        <f t="shared" ref="CJ643:CJ654" si="896">+CI643</f>
        <v>0</v>
      </c>
      <c r="CK643" s="2324">
        <v>0</v>
      </c>
      <c r="CL643" s="2324">
        <f t="shared" ref="CL643:CN654" ca="1" si="897">+CK643*(1+CL$897)</f>
        <v>0</v>
      </c>
      <c r="CM643" s="2324">
        <f t="shared" ca="1" si="897"/>
        <v>0</v>
      </c>
      <c r="CN643" s="2324">
        <f t="shared" ca="1" si="897"/>
        <v>0</v>
      </c>
      <c r="CO643" s="661">
        <f t="shared" ref="CO643:CO654" ca="1" si="898">+CN643</f>
        <v>0</v>
      </c>
      <c r="CP643" s="1261">
        <f t="shared" si="881"/>
        <v>0</v>
      </c>
      <c r="CQ643" s="1261">
        <f t="shared" ca="1" si="881"/>
        <v>0</v>
      </c>
      <c r="CR643" s="1261">
        <f t="shared" ca="1" si="881"/>
        <v>0</v>
      </c>
      <c r="CS643" s="1261">
        <f t="shared" ca="1" si="881"/>
        <v>0</v>
      </c>
      <c r="CT643" s="661">
        <f t="shared" ref="CT643:CT654" ca="1" si="899">+CS643</f>
        <v>0</v>
      </c>
      <c r="CU643" s="968">
        <f t="shared" ca="1" si="882"/>
        <v>0</v>
      </c>
      <c r="CV643" s="968">
        <f t="shared" ca="1" si="882"/>
        <v>0</v>
      </c>
      <c r="CW643" s="374"/>
      <c r="CX643" s="374"/>
      <c r="CY643" s="374"/>
      <c r="CZ643" s="374"/>
      <c r="DA643" s="374"/>
      <c r="DB643" s="217"/>
    </row>
    <row r="644" spans="1:108" x14ac:dyDescent="0.2">
      <c r="A644" s="1264" t="s">
        <v>511</v>
      </c>
      <c r="B644" s="651"/>
      <c r="C644" s="236"/>
      <c r="D644" s="207"/>
      <c r="E644" s="207"/>
      <c r="F644" s="207"/>
      <c r="G644" s="234"/>
      <c r="H644" s="236"/>
      <c r="I644" s="1427">
        <v>0</v>
      </c>
      <c r="J644" s="845">
        <v>0</v>
      </c>
      <c r="K644" s="845">
        <v>0</v>
      </c>
      <c r="L644" s="845">
        <v>0</v>
      </c>
      <c r="M644" s="661">
        <v>0</v>
      </c>
      <c r="N644" s="1427">
        <v>0</v>
      </c>
      <c r="O644" s="845">
        <v>0</v>
      </c>
      <c r="P644" s="845">
        <v>0</v>
      </c>
      <c r="Q644" s="845">
        <v>0</v>
      </c>
      <c r="R644" s="661">
        <v>0</v>
      </c>
      <c r="S644" s="1427">
        <v>0</v>
      </c>
      <c r="T644" s="845">
        <v>0</v>
      </c>
      <c r="U644" s="845">
        <v>0</v>
      </c>
      <c r="V644" s="845">
        <v>0</v>
      </c>
      <c r="W644" s="661">
        <f t="shared" si="883"/>
        <v>0</v>
      </c>
      <c r="X644" s="1427">
        <v>0</v>
      </c>
      <c r="Y644" s="845">
        <v>0</v>
      </c>
      <c r="Z644" s="845">
        <v>0</v>
      </c>
      <c r="AA644" s="845">
        <v>0</v>
      </c>
      <c r="AB644" s="661">
        <f t="shared" si="884"/>
        <v>0</v>
      </c>
      <c r="AC644" s="1427">
        <v>0</v>
      </c>
      <c r="AD644" s="845">
        <v>0</v>
      </c>
      <c r="AE644" s="845">
        <v>0</v>
      </c>
      <c r="AF644" s="845">
        <v>0</v>
      </c>
      <c r="AG644" s="661">
        <f t="shared" si="885"/>
        <v>0</v>
      </c>
      <c r="AH644" s="1427">
        <v>0</v>
      </c>
      <c r="AI644" s="845">
        <v>0</v>
      </c>
      <c r="AJ644" s="845">
        <v>0</v>
      </c>
      <c r="AK644" s="845">
        <v>0</v>
      </c>
      <c r="AL644" s="661">
        <f t="shared" si="886"/>
        <v>0</v>
      </c>
      <c r="AM644" s="1427">
        <v>0</v>
      </c>
      <c r="AN644" s="845">
        <v>0</v>
      </c>
      <c r="AO644" s="845">
        <v>0</v>
      </c>
      <c r="AP644" s="845">
        <v>0</v>
      </c>
      <c r="AQ644" s="661">
        <f t="shared" si="887"/>
        <v>0</v>
      </c>
      <c r="AR644" s="1427">
        <v>0</v>
      </c>
      <c r="AS644" s="845">
        <v>0</v>
      </c>
      <c r="AT644" s="845">
        <v>0</v>
      </c>
      <c r="AU644" s="845">
        <v>0</v>
      </c>
      <c r="AV644" s="661">
        <f t="shared" si="888"/>
        <v>0</v>
      </c>
      <c r="AW644" s="1427">
        <v>0</v>
      </c>
      <c r="AX644" s="845">
        <v>0</v>
      </c>
      <c r="AY644" s="845">
        <v>0</v>
      </c>
      <c r="AZ644" s="845">
        <v>0</v>
      </c>
      <c r="BA644" s="661">
        <f t="shared" si="889"/>
        <v>0</v>
      </c>
      <c r="BB644" s="1427">
        <v>0</v>
      </c>
      <c r="BC644" s="845">
        <v>0</v>
      </c>
      <c r="BD644" s="845">
        <v>0</v>
      </c>
      <c r="BE644" s="845">
        <v>0</v>
      </c>
      <c r="BF644" s="661">
        <f t="shared" si="890"/>
        <v>0</v>
      </c>
      <c r="BG644" s="845">
        <v>0</v>
      </c>
      <c r="BH644" s="845">
        <v>0</v>
      </c>
      <c r="BI644" s="845">
        <v>0</v>
      </c>
      <c r="BJ644" s="845">
        <v>0</v>
      </c>
      <c r="BK644" s="661">
        <f t="shared" si="891"/>
        <v>0</v>
      </c>
      <c r="BL644" s="845">
        <v>0</v>
      </c>
      <c r="BM644" s="845">
        <v>85</v>
      </c>
      <c r="BN644" s="845">
        <v>85</v>
      </c>
      <c r="BO644" s="845">
        <v>85</v>
      </c>
      <c r="BP644" s="661">
        <f t="shared" si="892"/>
        <v>85</v>
      </c>
      <c r="BQ644" s="1626">
        <v>85</v>
      </c>
      <c r="BR644" s="1626">
        <v>85</v>
      </c>
      <c r="BS644" s="1626">
        <v>85</v>
      </c>
      <c r="BT644" s="845">
        <v>85</v>
      </c>
      <c r="BU644" s="661">
        <f t="shared" si="893"/>
        <v>85</v>
      </c>
      <c r="BV644" s="1626">
        <v>85</v>
      </c>
      <c r="BW644" s="1626">
        <v>85</v>
      </c>
      <c r="BX644" s="1626">
        <v>85</v>
      </c>
      <c r="BY644" s="1626">
        <v>85</v>
      </c>
      <c r="BZ644" s="661">
        <f t="shared" si="894"/>
        <v>85</v>
      </c>
      <c r="CA644" s="1626">
        <v>85</v>
      </c>
      <c r="CB644" s="1626">
        <v>85</v>
      </c>
      <c r="CC644" s="1626">
        <v>85</v>
      </c>
      <c r="CD644" s="1626">
        <v>85</v>
      </c>
      <c r="CE644" s="661">
        <f t="shared" si="895"/>
        <v>85</v>
      </c>
      <c r="CF644" s="1626">
        <v>85</v>
      </c>
      <c r="CG644" s="1626">
        <v>85</v>
      </c>
      <c r="CH644" s="1626">
        <v>85</v>
      </c>
      <c r="CI644" s="1626">
        <v>85</v>
      </c>
      <c r="CJ644" s="661">
        <f t="shared" si="896"/>
        <v>85</v>
      </c>
      <c r="CK644" s="1883">
        <v>85</v>
      </c>
      <c r="CL644" s="1883">
        <v>85</v>
      </c>
      <c r="CM644" s="1883">
        <v>85</v>
      </c>
      <c r="CN644" s="1883">
        <v>85</v>
      </c>
      <c r="CO644" s="661">
        <f t="shared" si="898"/>
        <v>85</v>
      </c>
      <c r="CP644" s="1261">
        <f t="shared" si="881"/>
        <v>91.800000000000011</v>
      </c>
      <c r="CQ644" s="1261">
        <f t="shared" si="881"/>
        <v>91.800000000000011</v>
      </c>
      <c r="CR644" s="1261">
        <f t="shared" si="881"/>
        <v>92.65</v>
      </c>
      <c r="CS644" s="1261">
        <f t="shared" si="881"/>
        <v>92.65</v>
      </c>
      <c r="CT644" s="661">
        <f t="shared" si="899"/>
        <v>92.65</v>
      </c>
      <c r="CU644" s="194">
        <f t="shared" si="882"/>
        <v>99.598749999999995</v>
      </c>
      <c r="CV644" s="194">
        <f t="shared" si="882"/>
        <v>103.5827</v>
      </c>
      <c r="CW644" s="374"/>
      <c r="CX644" s="374"/>
      <c r="CY644" s="374"/>
      <c r="CZ644" s="374"/>
      <c r="DA644" s="374"/>
      <c r="DB644" s="217"/>
    </row>
    <row r="645" spans="1:108" x14ac:dyDescent="0.2">
      <c r="A645" s="1264" t="s">
        <v>383</v>
      </c>
      <c r="B645" s="651"/>
      <c r="C645" s="236"/>
      <c r="D645" s="207"/>
      <c r="E645" s="207"/>
      <c r="F645" s="207"/>
      <c r="G645" s="234"/>
      <c r="H645" s="236"/>
      <c r="I645" s="1427">
        <v>0</v>
      </c>
      <c r="J645" s="845">
        <v>0</v>
      </c>
      <c r="K645" s="845">
        <v>0</v>
      </c>
      <c r="L645" s="845">
        <v>0</v>
      </c>
      <c r="M645" s="661">
        <v>0</v>
      </c>
      <c r="N645" s="1427">
        <v>0</v>
      </c>
      <c r="O645" s="845">
        <v>0</v>
      </c>
      <c r="P645" s="845">
        <v>0</v>
      </c>
      <c r="Q645" s="845">
        <v>0</v>
      </c>
      <c r="R645" s="661">
        <v>0</v>
      </c>
      <c r="S645" s="1427">
        <v>0</v>
      </c>
      <c r="T645" s="845">
        <v>0</v>
      </c>
      <c r="U645" s="845">
        <v>0</v>
      </c>
      <c r="V645" s="845">
        <v>0</v>
      </c>
      <c r="W645" s="661">
        <f t="shared" si="883"/>
        <v>0</v>
      </c>
      <c r="X645" s="1427">
        <v>0</v>
      </c>
      <c r="Y645" s="845">
        <v>0</v>
      </c>
      <c r="Z645" s="845">
        <v>0</v>
      </c>
      <c r="AA645" s="845">
        <v>0</v>
      </c>
      <c r="AB645" s="661">
        <f t="shared" si="884"/>
        <v>0</v>
      </c>
      <c r="AC645" s="1427">
        <v>0</v>
      </c>
      <c r="AD645" s="845">
        <v>0</v>
      </c>
      <c r="AE645" s="845">
        <v>0</v>
      </c>
      <c r="AF645" s="845">
        <v>0</v>
      </c>
      <c r="AG645" s="661">
        <f t="shared" si="885"/>
        <v>0</v>
      </c>
      <c r="AH645" s="1427">
        <v>0</v>
      </c>
      <c r="AI645" s="845">
        <v>0</v>
      </c>
      <c r="AJ645" s="845">
        <v>0</v>
      </c>
      <c r="AK645" s="845">
        <v>0</v>
      </c>
      <c r="AL645" s="661">
        <f t="shared" si="886"/>
        <v>0</v>
      </c>
      <c r="AM645" s="1427">
        <v>0</v>
      </c>
      <c r="AN645" s="845">
        <v>0</v>
      </c>
      <c r="AO645" s="845">
        <v>0</v>
      </c>
      <c r="AP645" s="845">
        <v>0</v>
      </c>
      <c r="AQ645" s="661">
        <f t="shared" si="887"/>
        <v>0</v>
      </c>
      <c r="AR645" s="1427">
        <v>0</v>
      </c>
      <c r="AS645" s="845">
        <v>0</v>
      </c>
      <c r="AT645" s="845">
        <v>0</v>
      </c>
      <c r="AU645" s="845">
        <v>0</v>
      </c>
      <c r="AV645" s="661">
        <f t="shared" si="888"/>
        <v>0</v>
      </c>
      <c r="AW645" s="1427">
        <v>0</v>
      </c>
      <c r="AX645" s="845">
        <v>0</v>
      </c>
      <c r="AY645" s="845">
        <v>0</v>
      </c>
      <c r="AZ645" s="845">
        <v>0</v>
      </c>
      <c r="BA645" s="661">
        <f t="shared" si="889"/>
        <v>0</v>
      </c>
      <c r="BB645" s="1427">
        <v>0</v>
      </c>
      <c r="BC645" s="845">
        <v>0</v>
      </c>
      <c r="BD645" s="845">
        <v>0</v>
      </c>
      <c r="BE645" s="845">
        <v>0</v>
      </c>
      <c r="BF645" s="661">
        <f t="shared" si="890"/>
        <v>0</v>
      </c>
      <c r="BG645" s="845">
        <v>0</v>
      </c>
      <c r="BH645" s="845">
        <v>0</v>
      </c>
      <c r="BI645" s="845">
        <v>0</v>
      </c>
      <c r="BJ645" s="845">
        <v>0</v>
      </c>
      <c r="BK645" s="661">
        <f t="shared" si="891"/>
        <v>0</v>
      </c>
      <c r="BL645" s="845">
        <v>0</v>
      </c>
      <c r="BM645" s="845">
        <v>0</v>
      </c>
      <c r="BN645" s="845">
        <v>0</v>
      </c>
      <c r="BO645" s="845">
        <v>0</v>
      </c>
      <c r="BP645" s="661">
        <f t="shared" si="892"/>
        <v>0</v>
      </c>
      <c r="BQ645" s="215">
        <v>0</v>
      </c>
      <c r="BR645" s="215">
        <v>0</v>
      </c>
      <c r="BS645" s="215">
        <v>0</v>
      </c>
      <c r="BT645" s="845">
        <v>0</v>
      </c>
      <c r="BU645" s="661">
        <f t="shared" si="893"/>
        <v>0</v>
      </c>
      <c r="BV645" s="215">
        <v>0</v>
      </c>
      <c r="BW645" s="215">
        <v>0</v>
      </c>
      <c r="BX645" s="1626">
        <v>78</v>
      </c>
      <c r="BY645" s="1626">
        <v>78</v>
      </c>
      <c r="BZ645" s="661">
        <f t="shared" si="894"/>
        <v>78</v>
      </c>
      <c r="CA645" s="1626">
        <v>78</v>
      </c>
      <c r="CB645" s="1626">
        <v>78</v>
      </c>
      <c r="CC645" s="1626">
        <v>78</v>
      </c>
      <c r="CD645" s="1626">
        <v>78</v>
      </c>
      <c r="CE645" s="661">
        <f t="shared" si="895"/>
        <v>78</v>
      </c>
      <c r="CF645" s="1626">
        <v>78</v>
      </c>
      <c r="CG645" s="1626">
        <v>78</v>
      </c>
      <c r="CH645" s="2880">
        <v>0</v>
      </c>
      <c r="CI645" s="2880">
        <v>0</v>
      </c>
      <c r="CJ645" s="661">
        <f t="shared" si="896"/>
        <v>0</v>
      </c>
      <c r="CK645" s="2915">
        <v>0</v>
      </c>
      <c r="CL645" s="2915">
        <f t="shared" ca="1" si="897"/>
        <v>0</v>
      </c>
      <c r="CM645" s="2915">
        <f t="shared" ca="1" si="897"/>
        <v>0</v>
      </c>
      <c r="CN645" s="2915">
        <f t="shared" ca="1" si="897"/>
        <v>0</v>
      </c>
      <c r="CO645" s="661">
        <f t="shared" ca="1" si="898"/>
        <v>0</v>
      </c>
      <c r="CP645" s="1261">
        <f t="shared" si="881"/>
        <v>0</v>
      </c>
      <c r="CQ645" s="1261">
        <f t="shared" ca="1" si="881"/>
        <v>0</v>
      </c>
      <c r="CR645" s="1261">
        <f t="shared" ca="1" si="881"/>
        <v>0</v>
      </c>
      <c r="CS645" s="1261">
        <f t="shared" ca="1" si="881"/>
        <v>0</v>
      </c>
      <c r="CT645" s="661">
        <f t="shared" ca="1" si="899"/>
        <v>0</v>
      </c>
      <c r="CU645" s="968">
        <f t="shared" ca="1" si="882"/>
        <v>0</v>
      </c>
      <c r="CV645" s="968">
        <f t="shared" ca="1" si="882"/>
        <v>0</v>
      </c>
      <c r="CW645" s="374"/>
      <c r="CX645" s="374"/>
      <c r="CY645" s="374"/>
      <c r="CZ645" s="374"/>
      <c r="DA645" s="374"/>
      <c r="DB645" s="217"/>
    </row>
    <row r="646" spans="1:108" x14ac:dyDescent="0.2">
      <c r="A646" s="1264" t="s">
        <v>656</v>
      </c>
      <c r="B646" s="651"/>
      <c r="C646" s="236"/>
      <c r="D646" s="207"/>
      <c r="E646" s="207"/>
      <c r="F646" s="207"/>
      <c r="G646" s="234"/>
      <c r="H646" s="236"/>
      <c r="I646" s="1427">
        <v>0</v>
      </c>
      <c r="J646" s="845">
        <v>0</v>
      </c>
      <c r="K646" s="845">
        <v>0</v>
      </c>
      <c r="L646" s="845">
        <v>0</v>
      </c>
      <c r="M646" s="661">
        <v>0</v>
      </c>
      <c r="N646" s="1427">
        <v>0</v>
      </c>
      <c r="O646" s="845">
        <v>0</v>
      </c>
      <c r="P646" s="845">
        <v>0</v>
      </c>
      <c r="Q646" s="845">
        <v>0</v>
      </c>
      <c r="R646" s="661">
        <v>0</v>
      </c>
      <c r="S646" s="1427">
        <v>0</v>
      </c>
      <c r="T646" s="845">
        <v>0</v>
      </c>
      <c r="U646" s="845">
        <v>0</v>
      </c>
      <c r="V646" s="845">
        <v>0</v>
      </c>
      <c r="W646" s="661">
        <f t="shared" si="883"/>
        <v>0</v>
      </c>
      <c r="X646" s="1427">
        <v>0</v>
      </c>
      <c r="Y646" s="845">
        <v>0</v>
      </c>
      <c r="Z646" s="845">
        <v>0</v>
      </c>
      <c r="AA646" s="845">
        <v>0</v>
      </c>
      <c r="AB646" s="661">
        <f t="shared" si="884"/>
        <v>0</v>
      </c>
      <c r="AC646" s="1427">
        <v>0</v>
      </c>
      <c r="AD646" s="845">
        <v>0</v>
      </c>
      <c r="AE646" s="845">
        <v>0</v>
      </c>
      <c r="AF646" s="845">
        <v>0</v>
      </c>
      <c r="AG646" s="661">
        <f t="shared" si="885"/>
        <v>0</v>
      </c>
      <c r="AH646" s="1427">
        <v>0</v>
      </c>
      <c r="AI646" s="845">
        <v>0</v>
      </c>
      <c r="AJ646" s="845">
        <v>0</v>
      </c>
      <c r="AK646" s="845">
        <v>0</v>
      </c>
      <c r="AL646" s="661">
        <f t="shared" si="886"/>
        <v>0</v>
      </c>
      <c r="AM646" s="1427">
        <v>0</v>
      </c>
      <c r="AN646" s="845">
        <v>0</v>
      </c>
      <c r="AO646" s="845">
        <v>0</v>
      </c>
      <c r="AP646" s="845">
        <v>0</v>
      </c>
      <c r="AQ646" s="661">
        <f t="shared" si="887"/>
        <v>0</v>
      </c>
      <c r="AR646" s="1427">
        <v>0</v>
      </c>
      <c r="AS646" s="845">
        <v>0</v>
      </c>
      <c r="AT646" s="845">
        <v>0</v>
      </c>
      <c r="AU646" s="845">
        <v>0</v>
      </c>
      <c r="AV646" s="661">
        <f t="shared" si="888"/>
        <v>0</v>
      </c>
      <c r="AW646" s="1427">
        <v>0</v>
      </c>
      <c r="AX646" s="845">
        <v>0</v>
      </c>
      <c r="AY646" s="845">
        <v>0</v>
      </c>
      <c r="AZ646" s="845">
        <v>0</v>
      </c>
      <c r="BA646" s="661">
        <f t="shared" si="889"/>
        <v>0</v>
      </c>
      <c r="BB646" s="1427">
        <v>0</v>
      </c>
      <c r="BC646" s="845">
        <v>0</v>
      </c>
      <c r="BD646" s="845">
        <v>0</v>
      </c>
      <c r="BE646" s="845">
        <v>0</v>
      </c>
      <c r="BF646" s="661">
        <f t="shared" si="890"/>
        <v>0</v>
      </c>
      <c r="BG646" s="845">
        <v>0</v>
      </c>
      <c r="BH646" s="845">
        <v>0</v>
      </c>
      <c r="BI646" s="845">
        <v>0</v>
      </c>
      <c r="BJ646" s="845">
        <v>0</v>
      </c>
      <c r="BK646" s="661">
        <f t="shared" si="891"/>
        <v>0</v>
      </c>
      <c r="BL646" s="845">
        <v>0</v>
      </c>
      <c r="BM646" s="845">
        <v>0</v>
      </c>
      <c r="BN646" s="845">
        <v>0</v>
      </c>
      <c r="BO646" s="845">
        <v>0</v>
      </c>
      <c r="BP646" s="661">
        <f t="shared" si="892"/>
        <v>0</v>
      </c>
      <c r="BQ646" s="215">
        <v>0</v>
      </c>
      <c r="BR646" s="215">
        <v>0</v>
      </c>
      <c r="BS646" s="215">
        <v>0</v>
      </c>
      <c r="BT646" s="845">
        <v>0</v>
      </c>
      <c r="BU646" s="661">
        <f t="shared" si="893"/>
        <v>0</v>
      </c>
      <c r="BV646" s="215">
        <v>0</v>
      </c>
      <c r="BW646" s="215">
        <v>0</v>
      </c>
      <c r="BX646" s="215">
        <v>0</v>
      </c>
      <c r="BY646" s="215">
        <v>0</v>
      </c>
      <c r="BZ646" s="661">
        <f t="shared" si="894"/>
        <v>0</v>
      </c>
      <c r="CA646" s="215">
        <v>0</v>
      </c>
      <c r="CB646" s="215">
        <v>0</v>
      </c>
      <c r="CC646" s="215">
        <v>0</v>
      </c>
      <c r="CD646" s="215">
        <v>0</v>
      </c>
      <c r="CE646" s="661">
        <f t="shared" si="895"/>
        <v>0</v>
      </c>
      <c r="CF646" s="215">
        <v>0</v>
      </c>
      <c r="CG646" s="215">
        <v>0</v>
      </c>
      <c r="CH646" s="215">
        <v>0</v>
      </c>
      <c r="CI646" s="215">
        <v>0</v>
      </c>
      <c r="CJ646" s="661">
        <f t="shared" si="896"/>
        <v>0</v>
      </c>
      <c r="CK646" s="2324">
        <v>0</v>
      </c>
      <c r="CL646" s="2324">
        <f t="shared" ca="1" si="897"/>
        <v>0</v>
      </c>
      <c r="CM646" s="2324">
        <f t="shared" ca="1" si="897"/>
        <v>0</v>
      </c>
      <c r="CN646" s="2324">
        <f t="shared" ca="1" si="897"/>
        <v>0</v>
      </c>
      <c r="CO646" s="661">
        <f t="shared" ca="1" si="898"/>
        <v>0</v>
      </c>
      <c r="CP646" s="1261">
        <f t="shared" si="881"/>
        <v>0</v>
      </c>
      <c r="CQ646" s="1261">
        <f t="shared" ca="1" si="881"/>
        <v>0</v>
      </c>
      <c r="CR646" s="1261">
        <f t="shared" ca="1" si="881"/>
        <v>0</v>
      </c>
      <c r="CS646" s="1261">
        <f t="shared" ca="1" si="881"/>
        <v>0</v>
      </c>
      <c r="CT646" s="661">
        <f t="shared" ca="1" si="899"/>
        <v>0</v>
      </c>
      <c r="CU646" s="968">
        <f t="shared" ca="1" si="882"/>
        <v>0</v>
      </c>
      <c r="CV646" s="968">
        <f t="shared" ca="1" si="882"/>
        <v>0</v>
      </c>
      <c r="CW646" s="374"/>
      <c r="CX646" s="374"/>
      <c r="CY646" s="374"/>
      <c r="CZ646" s="374"/>
      <c r="DA646" s="374"/>
      <c r="DB646" s="217"/>
    </row>
    <row r="647" spans="1:108" x14ac:dyDescent="0.2">
      <c r="A647" s="1264" t="s">
        <v>1386</v>
      </c>
      <c r="B647" s="651"/>
      <c r="C647" s="236"/>
      <c r="D647" s="207"/>
      <c r="E647" s="207"/>
      <c r="F647" s="207"/>
      <c r="G647" s="234"/>
      <c r="H647" s="236"/>
      <c r="I647" s="1427">
        <f>2328</f>
        <v>2328</v>
      </c>
      <c r="J647" s="845">
        <f>2365</f>
        <v>2365</v>
      </c>
      <c r="K647" s="845">
        <f>2735</f>
        <v>2735</v>
      </c>
      <c r="L647" s="845">
        <f>2734</f>
        <v>2734</v>
      </c>
      <c r="M647" s="752">
        <f>L647</f>
        <v>2734</v>
      </c>
      <c r="N647" s="1427">
        <f>2749</f>
        <v>2749</v>
      </c>
      <c r="O647" s="845">
        <f>2882</f>
        <v>2882</v>
      </c>
      <c r="P647" s="845">
        <v>3316</v>
      </c>
      <c r="Q647" s="845">
        <v>3409</v>
      </c>
      <c r="R647" s="752">
        <f>Q647</f>
        <v>3409</v>
      </c>
      <c r="S647" s="1427">
        <v>3676</v>
      </c>
      <c r="T647" s="845">
        <v>3676</v>
      </c>
      <c r="U647" s="845">
        <v>3894</v>
      </c>
      <c r="V647" s="845">
        <v>4120</v>
      </c>
      <c r="W647" s="752">
        <f t="shared" si="883"/>
        <v>4120</v>
      </c>
      <c r="X647" s="1427">
        <v>4343</v>
      </c>
      <c r="Y647" s="845">
        <v>4343</v>
      </c>
      <c r="Z647" s="845">
        <v>4707</v>
      </c>
      <c r="AA647" s="845">
        <v>4831</v>
      </c>
      <c r="AB647" s="752">
        <f t="shared" si="884"/>
        <v>4831</v>
      </c>
      <c r="AC647" s="1427">
        <v>4990</v>
      </c>
      <c r="AD647" s="845">
        <v>4990</v>
      </c>
      <c r="AE647" s="845">
        <v>5247</v>
      </c>
      <c r="AF647" s="845">
        <v>5493</v>
      </c>
      <c r="AG647" s="752">
        <f t="shared" si="885"/>
        <v>5493</v>
      </c>
      <c r="AH647" s="1427">
        <v>5672</v>
      </c>
      <c r="AI647" s="845">
        <v>6174</v>
      </c>
      <c r="AJ647" s="845">
        <v>6615</v>
      </c>
      <c r="AK647" s="845">
        <v>6751</v>
      </c>
      <c r="AL647" s="752">
        <f t="shared" si="886"/>
        <v>6751</v>
      </c>
      <c r="AM647" s="1427">
        <v>6758</v>
      </c>
      <c r="AN647" s="845">
        <v>6112</v>
      </c>
      <c r="AO647" s="845">
        <v>6241</v>
      </c>
      <c r="AP647" s="845">
        <v>6544</v>
      </c>
      <c r="AQ647" s="752">
        <f t="shared" si="887"/>
        <v>6544</v>
      </c>
      <c r="AR647" s="1427">
        <v>6544</v>
      </c>
      <c r="AS647" s="845">
        <v>7029</v>
      </c>
      <c r="AT647" s="845">
        <v>7049</v>
      </c>
      <c r="AU647" s="845">
        <v>7121</v>
      </c>
      <c r="AV647" s="752">
        <f t="shared" si="888"/>
        <v>7121</v>
      </c>
      <c r="AW647" s="1427">
        <v>7319</v>
      </c>
      <c r="AX647" s="845">
        <v>7425</v>
      </c>
      <c r="AY647" s="845">
        <v>7425</v>
      </c>
      <c r="AZ647" s="845">
        <v>7445</v>
      </c>
      <c r="BA647" s="752">
        <f t="shared" si="889"/>
        <v>7445</v>
      </c>
      <c r="BB647" s="1427">
        <v>7905</v>
      </c>
      <c r="BC647" s="845">
        <v>7851</v>
      </c>
      <c r="BD647" s="845">
        <v>8006</v>
      </c>
      <c r="BE647" s="845">
        <v>7901</v>
      </c>
      <c r="BF647" s="752">
        <f t="shared" si="890"/>
        <v>7901</v>
      </c>
      <c r="BG647" s="845">
        <v>8037</v>
      </c>
      <c r="BH647" s="845">
        <v>8296</v>
      </c>
      <c r="BI647" s="845">
        <v>8295</v>
      </c>
      <c r="BJ647" s="845">
        <v>8522</v>
      </c>
      <c r="BK647" s="752">
        <f t="shared" si="891"/>
        <v>8522</v>
      </c>
      <c r="BL647" s="845">
        <v>9375</v>
      </c>
      <c r="BM647" s="845">
        <v>9375</v>
      </c>
      <c r="BN647" s="845">
        <v>9375</v>
      </c>
      <c r="BO647" s="845">
        <v>9797</v>
      </c>
      <c r="BP647" s="752">
        <f t="shared" si="892"/>
        <v>9797</v>
      </c>
      <c r="BQ647" s="1626">
        <v>9797</v>
      </c>
      <c r="BR647" s="1626">
        <v>9797</v>
      </c>
      <c r="BS647" s="1626">
        <v>9898</v>
      </c>
      <c r="BT647" s="845">
        <v>9898</v>
      </c>
      <c r="BU647" s="752">
        <f t="shared" si="893"/>
        <v>9898</v>
      </c>
      <c r="BV647" s="1626">
        <v>9898</v>
      </c>
      <c r="BW647" s="1626">
        <v>9861</v>
      </c>
      <c r="BX647" s="1626">
        <v>9982</v>
      </c>
      <c r="BY647" s="1626">
        <v>10753</v>
      </c>
      <c r="BZ647" s="752">
        <f t="shared" si="894"/>
        <v>10753</v>
      </c>
      <c r="CA647" s="1626">
        <v>6828</v>
      </c>
      <c r="CB647" s="1626">
        <v>7203</v>
      </c>
      <c r="CC647" s="1626">
        <v>7902</v>
      </c>
      <c r="CD647" s="1626">
        <v>9022</v>
      </c>
      <c r="CE647" s="752">
        <f t="shared" si="895"/>
        <v>9022</v>
      </c>
      <c r="CF647" s="1626">
        <v>9274</v>
      </c>
      <c r="CG647" s="1626">
        <v>9685</v>
      </c>
      <c r="CH647" s="1626">
        <v>10411</v>
      </c>
      <c r="CI647" s="1626">
        <v>10745</v>
      </c>
      <c r="CJ647" s="752">
        <f t="shared" si="896"/>
        <v>10745</v>
      </c>
      <c r="CK647" s="1883">
        <v>10840</v>
      </c>
      <c r="CL647" s="1883">
        <v>10841</v>
      </c>
      <c r="CM647" s="1883">
        <v>10986</v>
      </c>
      <c r="CN647" s="1883">
        <v>11391</v>
      </c>
      <c r="CO647" s="752">
        <f t="shared" si="898"/>
        <v>11391</v>
      </c>
      <c r="CP647" s="1261">
        <f t="shared" si="881"/>
        <v>11707.2</v>
      </c>
      <c r="CQ647" s="1261">
        <f t="shared" si="881"/>
        <v>11708.28</v>
      </c>
      <c r="CR647" s="1261">
        <f t="shared" si="881"/>
        <v>11974.740000000002</v>
      </c>
      <c r="CS647" s="1261">
        <f t="shared" si="881"/>
        <v>12416.19</v>
      </c>
      <c r="CT647" s="752">
        <f t="shared" si="899"/>
        <v>12416.19</v>
      </c>
      <c r="CU647" s="194">
        <f t="shared" si="882"/>
        <v>13347.40425</v>
      </c>
      <c r="CV647" s="194">
        <f t="shared" si="882"/>
        <v>13881.30042</v>
      </c>
      <c r="CW647" s="374"/>
      <c r="CX647" s="374"/>
      <c r="CY647" s="374"/>
      <c r="CZ647" s="374"/>
      <c r="DA647" s="374"/>
      <c r="DB647" s="217"/>
    </row>
    <row r="648" spans="1:108" x14ac:dyDescent="0.2">
      <c r="A648" s="1436" t="s">
        <v>47</v>
      </c>
      <c r="B648" s="651"/>
      <c r="C648" s="236"/>
      <c r="D648" s="234"/>
      <c r="E648" s="234"/>
      <c r="F648" s="234"/>
      <c r="G648" s="234"/>
      <c r="H648" s="848">
        <v>0</v>
      </c>
      <c r="I648" s="1427">
        <v>0</v>
      </c>
      <c r="J648" s="845">
        <v>0</v>
      </c>
      <c r="K648" s="845">
        <v>0</v>
      </c>
      <c r="L648" s="845">
        <v>0</v>
      </c>
      <c r="M648" s="848">
        <v>0</v>
      </c>
      <c r="N648" s="1427">
        <v>0</v>
      </c>
      <c r="O648" s="845">
        <v>0</v>
      </c>
      <c r="P648" s="845">
        <v>0</v>
      </c>
      <c r="Q648" s="845">
        <v>0</v>
      </c>
      <c r="R648" s="848">
        <v>0</v>
      </c>
      <c r="S648" s="1427">
        <v>0</v>
      </c>
      <c r="T648" s="845">
        <v>0</v>
      </c>
      <c r="U648" s="845">
        <v>0</v>
      </c>
      <c r="V648" s="845">
        <v>0</v>
      </c>
      <c r="W648" s="848">
        <v>0</v>
      </c>
      <c r="X648" s="1427">
        <v>0</v>
      </c>
      <c r="Y648" s="845">
        <v>0</v>
      </c>
      <c r="Z648" s="845">
        <v>0</v>
      </c>
      <c r="AA648" s="845">
        <v>0</v>
      </c>
      <c r="AB648" s="848">
        <v>0</v>
      </c>
      <c r="AC648" s="1427">
        <v>0</v>
      </c>
      <c r="AD648" s="845">
        <v>0</v>
      </c>
      <c r="AE648" s="845">
        <v>0</v>
      </c>
      <c r="AF648" s="845">
        <v>0</v>
      </c>
      <c r="AG648" s="848">
        <v>0</v>
      </c>
      <c r="AH648" s="1427">
        <v>0</v>
      </c>
      <c r="AI648" s="845">
        <v>0</v>
      </c>
      <c r="AJ648" s="845">
        <v>0</v>
      </c>
      <c r="AK648" s="845">
        <v>0</v>
      </c>
      <c r="AL648" s="848">
        <v>0</v>
      </c>
      <c r="AM648" s="1427">
        <v>0</v>
      </c>
      <c r="AN648" s="845">
        <v>0</v>
      </c>
      <c r="AO648" s="845">
        <v>0</v>
      </c>
      <c r="AP648" s="845">
        <v>0</v>
      </c>
      <c r="AQ648" s="848">
        <v>0</v>
      </c>
      <c r="AR648" s="1427">
        <v>0</v>
      </c>
      <c r="AS648" s="845">
        <v>0</v>
      </c>
      <c r="AT648" s="845">
        <v>0</v>
      </c>
      <c r="AU648" s="845">
        <v>0</v>
      </c>
      <c r="AV648" s="848">
        <v>0</v>
      </c>
      <c r="AW648" s="1427">
        <v>0</v>
      </c>
      <c r="AX648" s="845">
        <v>0</v>
      </c>
      <c r="AY648" s="845">
        <v>0</v>
      </c>
      <c r="AZ648" s="845">
        <v>0</v>
      </c>
      <c r="BA648" s="848">
        <v>0</v>
      </c>
      <c r="BB648" s="1427">
        <v>0</v>
      </c>
      <c r="BC648" s="845">
        <v>0</v>
      </c>
      <c r="BD648" s="845">
        <v>0</v>
      </c>
      <c r="BE648" s="845">
        <v>0</v>
      </c>
      <c r="BF648" s="848">
        <v>0</v>
      </c>
      <c r="BG648" s="1427">
        <v>0</v>
      </c>
      <c r="BH648" s="845">
        <v>0</v>
      </c>
      <c r="BI648" s="845">
        <v>0</v>
      </c>
      <c r="BJ648" s="845">
        <v>0</v>
      </c>
      <c r="BK648" s="848">
        <v>0</v>
      </c>
      <c r="BL648" s="1427">
        <v>0</v>
      </c>
      <c r="BM648" s="845">
        <v>0</v>
      </c>
      <c r="BN648" s="845">
        <v>0</v>
      </c>
      <c r="BO648" s="845">
        <v>0</v>
      </c>
      <c r="BP648" s="848">
        <v>0</v>
      </c>
      <c r="BQ648" s="1427">
        <v>0</v>
      </c>
      <c r="BR648" s="845">
        <v>0</v>
      </c>
      <c r="BS648" s="845">
        <v>0</v>
      </c>
      <c r="BT648" s="845">
        <v>0</v>
      </c>
      <c r="BU648" s="848">
        <v>0</v>
      </c>
      <c r="BV648" s="1427">
        <v>0</v>
      </c>
      <c r="BW648" s="845">
        <v>3956</v>
      </c>
      <c r="BX648" s="845">
        <v>3966</v>
      </c>
      <c r="BY648" s="845">
        <v>3966</v>
      </c>
      <c r="BZ648" s="752">
        <f t="shared" si="894"/>
        <v>3966</v>
      </c>
      <c r="CA648" s="845">
        <v>3961</v>
      </c>
      <c r="CB648" s="845">
        <v>3965</v>
      </c>
      <c r="CC648" s="845">
        <v>3932</v>
      </c>
      <c r="CD648" s="845">
        <v>3929</v>
      </c>
      <c r="CE648" s="752">
        <f t="shared" si="895"/>
        <v>3929</v>
      </c>
      <c r="CF648" s="845">
        <v>3670</v>
      </c>
      <c r="CG648" s="845">
        <v>3583</v>
      </c>
      <c r="CH648" s="845">
        <v>3548</v>
      </c>
      <c r="CI648" s="845">
        <v>3550</v>
      </c>
      <c r="CJ648" s="752">
        <f t="shared" si="896"/>
        <v>3550</v>
      </c>
      <c r="CK648" s="844">
        <v>3499</v>
      </c>
      <c r="CL648" s="844">
        <v>3437</v>
      </c>
      <c r="CM648" s="844">
        <v>3343</v>
      </c>
      <c r="CN648" s="844">
        <v>3353</v>
      </c>
      <c r="CO648" s="752">
        <f t="shared" si="898"/>
        <v>3353</v>
      </c>
      <c r="CP648" s="1261">
        <f t="shared" si="881"/>
        <v>3778.92</v>
      </c>
      <c r="CQ648" s="1261">
        <f t="shared" si="881"/>
        <v>3711.96</v>
      </c>
      <c r="CR648" s="1261">
        <f t="shared" si="881"/>
        <v>3643.8700000000003</v>
      </c>
      <c r="CS648" s="1261">
        <f t="shared" si="881"/>
        <v>3654.7700000000004</v>
      </c>
      <c r="CT648" s="752">
        <f t="shared" si="899"/>
        <v>3654.7700000000004</v>
      </c>
      <c r="CU648" s="194">
        <f t="shared" si="882"/>
        <v>3928.8777500000001</v>
      </c>
      <c r="CV648" s="194">
        <f t="shared" si="882"/>
        <v>4086.0328600000003</v>
      </c>
      <c r="CW648" s="374"/>
      <c r="CX648" s="374"/>
      <c r="CY648" s="374"/>
      <c r="CZ648" s="374"/>
      <c r="DA648" s="374"/>
      <c r="DB648" s="217"/>
    </row>
    <row r="649" spans="1:108" x14ac:dyDescent="0.2">
      <c r="A649" s="1264" t="s">
        <v>1388</v>
      </c>
      <c r="B649" s="651"/>
      <c r="C649" s="236"/>
      <c r="D649" s="207"/>
      <c r="E649" s="207"/>
      <c r="F649" s="207"/>
      <c r="G649" s="234"/>
      <c r="H649" s="236"/>
      <c r="I649" s="1427">
        <v>1235</v>
      </c>
      <c r="J649" s="845">
        <v>1369</v>
      </c>
      <c r="K649" s="845">
        <v>1371</v>
      </c>
      <c r="L649" s="845">
        <v>1371</v>
      </c>
      <c r="M649" s="752">
        <f>L649</f>
        <v>1371</v>
      </c>
      <c r="N649" s="1427">
        <v>1491</v>
      </c>
      <c r="O649" s="845">
        <v>1571</v>
      </c>
      <c r="P649" s="845">
        <v>1571</v>
      </c>
      <c r="Q649" s="845">
        <v>1571</v>
      </c>
      <c r="R649" s="752">
        <f>Q649</f>
        <v>1571</v>
      </c>
      <c r="S649" s="1427">
        <v>1571</v>
      </c>
      <c r="T649" s="845">
        <v>1789</v>
      </c>
      <c r="U649" s="845">
        <v>1789</v>
      </c>
      <c r="V649" s="845">
        <v>1795</v>
      </c>
      <c r="W649" s="752">
        <f t="shared" si="883"/>
        <v>1795</v>
      </c>
      <c r="X649" s="1427">
        <v>1795</v>
      </c>
      <c r="Y649" s="845">
        <v>1795</v>
      </c>
      <c r="Z649" s="845">
        <v>1887</v>
      </c>
      <c r="AA649" s="845">
        <v>1887</v>
      </c>
      <c r="AB649" s="752">
        <f t="shared" si="884"/>
        <v>1887</v>
      </c>
      <c r="AC649" s="1427">
        <v>2107</v>
      </c>
      <c r="AD649" s="845">
        <v>2107</v>
      </c>
      <c r="AE649" s="845">
        <v>2240</v>
      </c>
      <c r="AF649" s="845">
        <v>2240</v>
      </c>
      <c r="AG649" s="752">
        <f t="shared" si="885"/>
        <v>2240</v>
      </c>
      <c r="AH649" s="1427">
        <v>2240</v>
      </c>
      <c r="AI649" s="845">
        <v>2240</v>
      </c>
      <c r="AJ649" s="845">
        <v>2409</v>
      </c>
      <c r="AK649" s="845">
        <v>2123</v>
      </c>
      <c r="AL649" s="752">
        <f t="shared" si="886"/>
        <v>2123</v>
      </c>
      <c r="AM649" s="1427">
        <v>2123</v>
      </c>
      <c r="AN649" s="845">
        <v>2373</v>
      </c>
      <c r="AO649" s="845">
        <v>2422</v>
      </c>
      <c r="AP649" s="845">
        <v>2421</v>
      </c>
      <c r="AQ649" s="752">
        <f t="shared" si="887"/>
        <v>2421</v>
      </c>
      <c r="AR649" s="1427">
        <v>2421</v>
      </c>
      <c r="AS649" s="845">
        <v>2421</v>
      </c>
      <c r="AT649" s="845">
        <v>2475</v>
      </c>
      <c r="AU649" s="845">
        <v>2475</v>
      </c>
      <c r="AV649" s="752">
        <f t="shared" si="888"/>
        <v>2475</v>
      </c>
      <c r="AW649" s="1427">
        <v>2199</v>
      </c>
      <c r="AX649" s="845">
        <v>2199</v>
      </c>
      <c r="AY649" s="845">
        <v>2199</v>
      </c>
      <c r="AZ649" s="845">
        <v>2012</v>
      </c>
      <c r="BA649" s="752">
        <f t="shared" si="889"/>
        <v>2012</v>
      </c>
      <c r="BB649" s="1427">
        <v>2013</v>
      </c>
      <c r="BC649" s="845">
        <v>2013</v>
      </c>
      <c r="BD649" s="845">
        <v>2154</v>
      </c>
      <c r="BE649" s="845">
        <v>2154</v>
      </c>
      <c r="BF649" s="752">
        <f t="shared" si="890"/>
        <v>2154</v>
      </c>
      <c r="BG649" s="845">
        <v>2154</v>
      </c>
      <c r="BH649" s="845">
        <v>2154</v>
      </c>
      <c r="BI649" s="845">
        <v>2154</v>
      </c>
      <c r="BJ649" s="845">
        <v>2279</v>
      </c>
      <c r="BK649" s="752">
        <f t="shared" si="891"/>
        <v>2279</v>
      </c>
      <c r="BL649" s="845">
        <v>2279</v>
      </c>
      <c r="BM649" s="845">
        <v>2279</v>
      </c>
      <c r="BN649" s="845">
        <v>2480</v>
      </c>
      <c r="BO649" s="845">
        <v>2480</v>
      </c>
      <c r="BP649" s="752">
        <f t="shared" si="892"/>
        <v>2480</v>
      </c>
      <c r="BQ649" s="1626">
        <v>2480</v>
      </c>
      <c r="BR649" s="1626">
        <v>2480</v>
      </c>
      <c r="BS649" s="1626">
        <v>2480</v>
      </c>
      <c r="BT649" s="845">
        <v>2600</v>
      </c>
      <c r="BU649" s="752">
        <f t="shared" si="893"/>
        <v>2600</v>
      </c>
      <c r="BV649" s="1626">
        <v>2600</v>
      </c>
      <c r="BW649" s="1626">
        <v>2600</v>
      </c>
      <c r="BX649" s="1626">
        <v>2600</v>
      </c>
      <c r="BY649" s="1626">
        <v>2675</v>
      </c>
      <c r="BZ649" s="752">
        <f t="shared" si="894"/>
        <v>2675</v>
      </c>
      <c r="CA649" s="1626">
        <v>200</v>
      </c>
      <c r="CB649" s="1626">
        <v>200</v>
      </c>
      <c r="CC649" s="1626">
        <v>200</v>
      </c>
      <c r="CD649" s="1626">
        <v>200</v>
      </c>
      <c r="CE649" s="752">
        <f t="shared" si="895"/>
        <v>200</v>
      </c>
      <c r="CF649" s="1626">
        <v>200</v>
      </c>
      <c r="CG649" s="1626">
        <v>200</v>
      </c>
      <c r="CH649" s="1626">
        <v>200</v>
      </c>
      <c r="CI649" s="1626">
        <v>200</v>
      </c>
      <c r="CJ649" s="752">
        <f t="shared" si="896"/>
        <v>200</v>
      </c>
      <c r="CK649" s="1883">
        <v>200</v>
      </c>
      <c r="CL649" s="1883">
        <v>200</v>
      </c>
      <c r="CM649" s="1883">
        <v>287</v>
      </c>
      <c r="CN649" s="1883">
        <v>287</v>
      </c>
      <c r="CO649" s="752">
        <f t="shared" si="898"/>
        <v>287</v>
      </c>
      <c r="CP649" s="1261">
        <f t="shared" si="881"/>
        <v>216</v>
      </c>
      <c r="CQ649" s="1261">
        <f t="shared" si="881"/>
        <v>216</v>
      </c>
      <c r="CR649" s="1261">
        <f t="shared" si="881"/>
        <v>312.83000000000004</v>
      </c>
      <c r="CS649" s="1261">
        <f t="shared" si="881"/>
        <v>312.83000000000004</v>
      </c>
      <c r="CT649" s="752">
        <f t="shared" si="899"/>
        <v>312.83000000000004</v>
      </c>
      <c r="CU649" s="194">
        <f t="shared" si="882"/>
        <v>336.29225000000002</v>
      </c>
      <c r="CV649" s="194">
        <f t="shared" si="882"/>
        <v>349.74394000000001</v>
      </c>
      <c r="CW649" s="374"/>
      <c r="CX649" s="374"/>
      <c r="CY649" s="374"/>
      <c r="CZ649" s="374"/>
      <c r="DA649" s="374"/>
      <c r="DB649" s="217"/>
    </row>
    <row r="650" spans="1:108" x14ac:dyDescent="0.2">
      <c r="A650" s="1266" t="s">
        <v>1391</v>
      </c>
      <c r="B650" s="651"/>
      <c r="C650" s="236"/>
      <c r="D650" s="207"/>
      <c r="E650" s="207"/>
      <c r="F650" s="207"/>
      <c r="G650" s="234"/>
      <c r="H650" s="236"/>
      <c r="I650" s="1427">
        <v>0</v>
      </c>
      <c r="J650" s="845">
        <v>0</v>
      </c>
      <c r="K650" s="845">
        <v>0</v>
      </c>
      <c r="L650" s="845">
        <v>0</v>
      </c>
      <c r="M650" s="752">
        <v>0</v>
      </c>
      <c r="N650" s="1427">
        <v>0</v>
      </c>
      <c r="O650" s="845">
        <v>0</v>
      </c>
      <c r="P650" s="845">
        <v>0</v>
      </c>
      <c r="Q650" s="845">
        <v>0</v>
      </c>
      <c r="R650" s="752">
        <v>0</v>
      </c>
      <c r="S650" s="1427">
        <v>0</v>
      </c>
      <c r="T650" s="845">
        <v>0</v>
      </c>
      <c r="U650" s="845">
        <v>0</v>
      </c>
      <c r="V650" s="845">
        <v>0</v>
      </c>
      <c r="W650" s="752">
        <f t="shared" si="883"/>
        <v>0</v>
      </c>
      <c r="X650" s="1427">
        <v>0</v>
      </c>
      <c r="Y650" s="845">
        <v>0</v>
      </c>
      <c r="Z650" s="845">
        <v>0</v>
      </c>
      <c r="AA650" s="845">
        <v>0</v>
      </c>
      <c r="AB650" s="752">
        <f t="shared" si="884"/>
        <v>0</v>
      </c>
      <c r="AC650" s="1427">
        <v>0</v>
      </c>
      <c r="AD650" s="845">
        <v>0</v>
      </c>
      <c r="AE650" s="845">
        <v>0</v>
      </c>
      <c r="AF650" s="845">
        <v>0</v>
      </c>
      <c r="AG650" s="752">
        <f t="shared" si="885"/>
        <v>0</v>
      </c>
      <c r="AH650" s="1427">
        <v>0</v>
      </c>
      <c r="AI650" s="845">
        <v>0</v>
      </c>
      <c r="AJ650" s="845">
        <v>0</v>
      </c>
      <c r="AK650" s="845">
        <v>0</v>
      </c>
      <c r="AL650" s="752">
        <f t="shared" si="886"/>
        <v>0</v>
      </c>
      <c r="AM650" s="1427">
        <v>0</v>
      </c>
      <c r="AN650" s="845">
        <v>0</v>
      </c>
      <c r="AO650" s="845">
        <v>0</v>
      </c>
      <c r="AP650" s="845">
        <v>0</v>
      </c>
      <c r="AQ650" s="752">
        <f t="shared" si="887"/>
        <v>0</v>
      </c>
      <c r="AR650" s="1427">
        <v>0</v>
      </c>
      <c r="AS650" s="845">
        <v>0</v>
      </c>
      <c r="AT650" s="845">
        <v>0</v>
      </c>
      <c r="AU650" s="845">
        <v>0</v>
      </c>
      <c r="AV650" s="752">
        <f t="shared" si="888"/>
        <v>0</v>
      </c>
      <c r="AW650" s="1427">
        <v>0</v>
      </c>
      <c r="AX650" s="845">
        <v>0</v>
      </c>
      <c r="AY650" s="845">
        <v>0</v>
      </c>
      <c r="AZ650" s="845">
        <v>0</v>
      </c>
      <c r="BA650" s="752">
        <f t="shared" si="889"/>
        <v>0</v>
      </c>
      <c r="BB650" s="1427">
        <v>0</v>
      </c>
      <c r="BC650" s="845">
        <v>0</v>
      </c>
      <c r="BD650" s="845">
        <v>0</v>
      </c>
      <c r="BE650" s="845">
        <v>105</v>
      </c>
      <c r="BF650" s="752">
        <f t="shared" si="890"/>
        <v>105</v>
      </c>
      <c r="BG650" s="845">
        <v>105</v>
      </c>
      <c r="BH650" s="845">
        <v>105</v>
      </c>
      <c r="BI650" s="845">
        <v>105</v>
      </c>
      <c r="BJ650" s="845">
        <v>105</v>
      </c>
      <c r="BK650" s="752">
        <f t="shared" si="891"/>
        <v>105</v>
      </c>
      <c r="BL650" s="845">
        <v>105</v>
      </c>
      <c r="BM650" s="845">
        <v>105</v>
      </c>
      <c r="BN650" s="845">
        <v>278</v>
      </c>
      <c r="BO650" s="845">
        <v>278</v>
      </c>
      <c r="BP650" s="752">
        <f t="shared" si="892"/>
        <v>278</v>
      </c>
      <c r="BQ650" s="1626">
        <v>278</v>
      </c>
      <c r="BR650" s="1626">
        <v>278</v>
      </c>
      <c r="BS650" s="1626">
        <v>278</v>
      </c>
      <c r="BT650" s="845">
        <v>278</v>
      </c>
      <c r="BU650" s="752">
        <f t="shared" si="893"/>
        <v>278</v>
      </c>
      <c r="BV650" s="1626">
        <v>278</v>
      </c>
      <c r="BW650" s="1626">
        <v>426</v>
      </c>
      <c r="BX650" s="1626">
        <v>518</v>
      </c>
      <c r="BY650" s="1626">
        <v>518</v>
      </c>
      <c r="BZ650" s="752">
        <f t="shared" si="894"/>
        <v>518</v>
      </c>
      <c r="CA650" s="1626">
        <v>0</v>
      </c>
      <c r="CB650" s="1626">
        <v>0</v>
      </c>
      <c r="CC650" s="1626">
        <v>0</v>
      </c>
      <c r="CD650" s="1626">
        <v>0</v>
      </c>
      <c r="CE650" s="752">
        <f t="shared" si="895"/>
        <v>0</v>
      </c>
      <c r="CF650" s="1626">
        <v>0</v>
      </c>
      <c r="CG650" s="1626">
        <v>0</v>
      </c>
      <c r="CH650" s="1626">
        <v>0</v>
      </c>
      <c r="CI650" s="1626">
        <v>0</v>
      </c>
      <c r="CJ650" s="752">
        <f t="shared" si="896"/>
        <v>0</v>
      </c>
      <c r="CK650" s="1883">
        <v>0</v>
      </c>
      <c r="CL650" s="1883">
        <f t="shared" ca="1" si="897"/>
        <v>0</v>
      </c>
      <c r="CM650" s="1883">
        <f t="shared" ca="1" si="897"/>
        <v>0</v>
      </c>
      <c r="CN650" s="1883">
        <f t="shared" ca="1" si="897"/>
        <v>0</v>
      </c>
      <c r="CO650" s="752">
        <f t="shared" ca="1" si="898"/>
        <v>0</v>
      </c>
      <c r="CP650" s="1261">
        <f t="shared" si="881"/>
        <v>0</v>
      </c>
      <c r="CQ650" s="1261">
        <f t="shared" ca="1" si="881"/>
        <v>0</v>
      </c>
      <c r="CR650" s="1261">
        <f t="shared" ca="1" si="881"/>
        <v>0</v>
      </c>
      <c r="CS650" s="1261">
        <f t="shared" ca="1" si="881"/>
        <v>0</v>
      </c>
      <c r="CT650" s="752">
        <f t="shared" ca="1" si="899"/>
        <v>0</v>
      </c>
      <c r="CU650" s="985">
        <f t="shared" ca="1" si="882"/>
        <v>0</v>
      </c>
      <c r="CV650" s="985">
        <f t="shared" ca="1" si="882"/>
        <v>0</v>
      </c>
      <c r="CW650" s="374"/>
      <c r="CX650" s="374"/>
      <c r="CY650" s="374"/>
      <c r="CZ650" s="374"/>
      <c r="DA650" s="374"/>
      <c r="DB650" s="217"/>
    </row>
    <row r="651" spans="1:108" x14ac:dyDescent="0.2">
      <c r="A651" s="1266" t="s">
        <v>1389</v>
      </c>
      <c r="B651" s="651"/>
      <c r="C651" s="236"/>
      <c r="D651" s="207"/>
      <c r="E651" s="207"/>
      <c r="F651" s="207"/>
      <c r="G651" s="234"/>
      <c r="H651" s="236"/>
      <c r="I651" s="1427">
        <v>0</v>
      </c>
      <c r="J651" s="845">
        <v>0</v>
      </c>
      <c r="K651" s="845">
        <v>0</v>
      </c>
      <c r="L651" s="845">
        <v>0</v>
      </c>
      <c r="M651" s="752">
        <v>0</v>
      </c>
      <c r="N651" s="1427">
        <v>0</v>
      </c>
      <c r="O651" s="845">
        <v>0</v>
      </c>
      <c r="P651" s="845">
        <v>0</v>
      </c>
      <c r="Q651" s="845">
        <v>0</v>
      </c>
      <c r="R651" s="752">
        <v>0</v>
      </c>
      <c r="S651" s="1427">
        <v>105</v>
      </c>
      <c r="T651" s="845">
        <v>103</v>
      </c>
      <c r="U651" s="845">
        <v>103</v>
      </c>
      <c r="V651" s="845">
        <v>103</v>
      </c>
      <c r="W651" s="752">
        <f t="shared" si="883"/>
        <v>103</v>
      </c>
      <c r="X651" s="1427">
        <v>103</v>
      </c>
      <c r="Y651" s="845">
        <v>338</v>
      </c>
      <c r="Z651" s="845">
        <v>338</v>
      </c>
      <c r="AA651" s="845">
        <v>452</v>
      </c>
      <c r="AB651" s="752">
        <f t="shared" si="884"/>
        <v>452</v>
      </c>
      <c r="AC651" s="1427">
        <v>452</v>
      </c>
      <c r="AD651" s="845">
        <v>452</v>
      </c>
      <c r="AE651" s="845">
        <v>559</v>
      </c>
      <c r="AF651" s="845">
        <v>559</v>
      </c>
      <c r="AG651" s="752">
        <f t="shared" si="885"/>
        <v>559</v>
      </c>
      <c r="AH651" s="1427">
        <v>559</v>
      </c>
      <c r="AI651" s="845">
        <v>559</v>
      </c>
      <c r="AJ651" s="845">
        <v>559</v>
      </c>
      <c r="AK651" s="845">
        <v>559</v>
      </c>
      <c r="AL651" s="752">
        <f t="shared" si="886"/>
        <v>559</v>
      </c>
      <c r="AM651" s="1427">
        <v>640</v>
      </c>
      <c r="AN651" s="845">
        <v>756</v>
      </c>
      <c r="AO651" s="845">
        <v>859</v>
      </c>
      <c r="AP651" s="845">
        <v>947</v>
      </c>
      <c r="AQ651" s="752">
        <f t="shared" si="887"/>
        <v>947</v>
      </c>
      <c r="AR651" s="1427">
        <v>949</v>
      </c>
      <c r="AS651" s="845">
        <v>1111</v>
      </c>
      <c r="AT651" s="845">
        <v>1109</v>
      </c>
      <c r="AU651" s="845">
        <v>1109</v>
      </c>
      <c r="AV651" s="752">
        <f t="shared" si="888"/>
        <v>1109</v>
      </c>
      <c r="AW651" s="1427">
        <v>1109</v>
      </c>
      <c r="AX651" s="845">
        <v>1109</v>
      </c>
      <c r="AY651" s="845">
        <v>1109</v>
      </c>
      <c r="AZ651" s="845">
        <v>1109</v>
      </c>
      <c r="BA651" s="752">
        <f t="shared" si="889"/>
        <v>1109</v>
      </c>
      <c r="BB651" s="1427">
        <v>1109</v>
      </c>
      <c r="BC651" s="845">
        <v>1153</v>
      </c>
      <c r="BD651" s="845">
        <v>1235</v>
      </c>
      <c r="BE651" s="845">
        <v>1235</v>
      </c>
      <c r="BF651" s="752">
        <f t="shared" si="890"/>
        <v>1235</v>
      </c>
      <c r="BG651" s="845">
        <v>1235</v>
      </c>
      <c r="BH651" s="845">
        <v>1361</v>
      </c>
      <c r="BI651" s="845">
        <v>1361</v>
      </c>
      <c r="BJ651" s="845">
        <v>1568</v>
      </c>
      <c r="BK651" s="752">
        <f t="shared" si="891"/>
        <v>1568</v>
      </c>
      <c r="BL651" s="845">
        <v>1568</v>
      </c>
      <c r="BM651" s="845">
        <v>1568</v>
      </c>
      <c r="BN651" s="845">
        <v>1568</v>
      </c>
      <c r="BO651" s="845">
        <v>1568</v>
      </c>
      <c r="BP651" s="752">
        <f t="shared" si="892"/>
        <v>1568</v>
      </c>
      <c r="BQ651" s="1626">
        <v>1568</v>
      </c>
      <c r="BR651" s="1626">
        <v>1716</v>
      </c>
      <c r="BS651" s="1626">
        <v>1896</v>
      </c>
      <c r="BT651" s="845">
        <v>1896</v>
      </c>
      <c r="BU651" s="752">
        <f t="shared" si="893"/>
        <v>1896</v>
      </c>
      <c r="BV651" s="1626">
        <v>1944</v>
      </c>
      <c r="BW651" s="1626">
        <v>1944</v>
      </c>
      <c r="BX651" s="1626">
        <v>1941</v>
      </c>
      <c r="BY651" s="1626">
        <v>1813</v>
      </c>
      <c r="BZ651" s="752">
        <f t="shared" si="894"/>
        <v>1813</v>
      </c>
      <c r="CA651" s="1626">
        <v>206</v>
      </c>
      <c r="CB651" s="1626">
        <v>206</v>
      </c>
      <c r="CC651" s="1626">
        <v>206</v>
      </c>
      <c r="CD651" s="1626">
        <v>386</v>
      </c>
      <c r="CE651" s="752">
        <f t="shared" si="895"/>
        <v>386</v>
      </c>
      <c r="CF651" s="1626">
        <v>386</v>
      </c>
      <c r="CG651" s="1626">
        <v>386</v>
      </c>
      <c r="CH651" s="1626">
        <v>386</v>
      </c>
      <c r="CI651" s="1626">
        <v>386</v>
      </c>
      <c r="CJ651" s="752">
        <f t="shared" si="896"/>
        <v>386</v>
      </c>
      <c r="CK651" s="1883">
        <v>386</v>
      </c>
      <c r="CL651" s="1883">
        <v>595</v>
      </c>
      <c r="CM651" s="1883">
        <v>755</v>
      </c>
      <c r="CN651" s="1883">
        <v>1157</v>
      </c>
      <c r="CO651" s="752">
        <f t="shared" si="898"/>
        <v>1157</v>
      </c>
      <c r="CP651" s="1261">
        <f t="shared" si="881"/>
        <v>416.88000000000005</v>
      </c>
      <c r="CQ651" s="1261">
        <f t="shared" si="881"/>
        <v>642.6</v>
      </c>
      <c r="CR651" s="1261">
        <f t="shared" si="881"/>
        <v>822.95</v>
      </c>
      <c r="CS651" s="1261">
        <f t="shared" si="881"/>
        <v>1261.1300000000001</v>
      </c>
      <c r="CT651" s="752">
        <f t="shared" si="899"/>
        <v>1261.1300000000001</v>
      </c>
      <c r="CU651" s="194">
        <f t="shared" si="882"/>
        <v>1355.7147500000001</v>
      </c>
      <c r="CV651" s="194">
        <f t="shared" si="882"/>
        <v>1409.94334</v>
      </c>
      <c r="CW651" s="374"/>
      <c r="CX651" s="374"/>
      <c r="CY651" s="374"/>
      <c r="CZ651" s="374"/>
      <c r="DA651" s="374"/>
      <c r="DB651" s="217"/>
    </row>
    <row r="652" spans="1:108" x14ac:dyDescent="0.2">
      <c r="A652" s="1266" t="s">
        <v>1390</v>
      </c>
      <c r="B652" s="651"/>
      <c r="C652" s="236"/>
      <c r="D652" s="207"/>
      <c r="E652" s="207"/>
      <c r="F652" s="207"/>
      <c r="G652" s="234"/>
      <c r="H652" s="236"/>
      <c r="I652" s="1427">
        <v>0</v>
      </c>
      <c r="J652" s="845">
        <v>0</v>
      </c>
      <c r="K652" s="845">
        <v>0</v>
      </c>
      <c r="L652" s="845">
        <v>0</v>
      </c>
      <c r="M652" s="752">
        <v>0</v>
      </c>
      <c r="N652" s="1427">
        <v>124</v>
      </c>
      <c r="O652" s="845">
        <v>124</v>
      </c>
      <c r="P652" s="845">
        <v>124</v>
      </c>
      <c r="Q652" s="845">
        <v>124</v>
      </c>
      <c r="R652" s="752">
        <f>Q652</f>
        <v>124</v>
      </c>
      <c r="S652" s="1427">
        <v>124</v>
      </c>
      <c r="T652" s="845">
        <v>124</v>
      </c>
      <c r="U652" s="845">
        <v>124</v>
      </c>
      <c r="V652" s="845">
        <v>124</v>
      </c>
      <c r="W652" s="752">
        <f t="shared" si="883"/>
        <v>124</v>
      </c>
      <c r="X652" s="1427">
        <v>124</v>
      </c>
      <c r="Y652" s="845">
        <v>124</v>
      </c>
      <c r="Z652" s="845">
        <v>124</v>
      </c>
      <c r="AA652" s="845">
        <v>124</v>
      </c>
      <c r="AB652" s="752">
        <f t="shared" si="884"/>
        <v>124</v>
      </c>
      <c r="AC652" s="1427">
        <v>124</v>
      </c>
      <c r="AD652" s="845">
        <v>124</v>
      </c>
      <c r="AE652" s="845">
        <v>124</v>
      </c>
      <c r="AF652" s="845">
        <v>124</v>
      </c>
      <c r="AG652" s="752">
        <f t="shared" si="885"/>
        <v>124</v>
      </c>
      <c r="AH652" s="1427">
        <v>124</v>
      </c>
      <c r="AI652" s="845">
        <v>124</v>
      </c>
      <c r="AJ652" s="845">
        <v>124</v>
      </c>
      <c r="AK652" s="845">
        <v>124</v>
      </c>
      <c r="AL652" s="752">
        <f t="shared" si="886"/>
        <v>124</v>
      </c>
      <c r="AM652" s="1427">
        <v>124</v>
      </c>
      <c r="AN652" s="845">
        <v>124</v>
      </c>
      <c r="AO652" s="845">
        <v>124</v>
      </c>
      <c r="AP652" s="845">
        <v>124</v>
      </c>
      <c r="AQ652" s="752">
        <f t="shared" si="887"/>
        <v>124</v>
      </c>
      <c r="AR652" s="1427">
        <v>124</v>
      </c>
      <c r="AS652" s="845">
        <v>124</v>
      </c>
      <c r="AT652" s="845">
        <v>124</v>
      </c>
      <c r="AU652" s="845">
        <v>124</v>
      </c>
      <c r="AV652" s="752">
        <f t="shared" si="888"/>
        <v>124</v>
      </c>
      <c r="AW652" s="1427">
        <v>124</v>
      </c>
      <c r="AX652" s="845">
        <v>124</v>
      </c>
      <c r="AY652" s="845">
        <v>124</v>
      </c>
      <c r="AZ652" s="845">
        <v>124</v>
      </c>
      <c r="BA652" s="752">
        <f t="shared" si="889"/>
        <v>124</v>
      </c>
      <c r="BB652" s="1427">
        <v>124</v>
      </c>
      <c r="BC652" s="845">
        <v>124</v>
      </c>
      <c r="BD652" s="845">
        <v>124</v>
      </c>
      <c r="BE652" s="845">
        <v>124</v>
      </c>
      <c r="BF652" s="752">
        <f t="shared" si="890"/>
        <v>124</v>
      </c>
      <c r="BG652" s="845">
        <v>124</v>
      </c>
      <c r="BH652" s="845">
        <v>124</v>
      </c>
      <c r="BI652" s="845">
        <v>299</v>
      </c>
      <c r="BJ652" s="845">
        <v>299</v>
      </c>
      <c r="BK652" s="752">
        <f t="shared" si="891"/>
        <v>299</v>
      </c>
      <c r="BL652" s="845">
        <v>299</v>
      </c>
      <c r="BM652" s="845">
        <v>299</v>
      </c>
      <c r="BN652" s="845">
        <v>299</v>
      </c>
      <c r="BO652" s="845">
        <v>299</v>
      </c>
      <c r="BP652" s="752">
        <f t="shared" si="892"/>
        <v>299</v>
      </c>
      <c r="BQ652" s="1626">
        <v>299</v>
      </c>
      <c r="BR652" s="1626">
        <v>299</v>
      </c>
      <c r="BS652" s="1626">
        <v>299</v>
      </c>
      <c r="BT652" s="845">
        <v>299</v>
      </c>
      <c r="BU652" s="752">
        <f t="shared" si="893"/>
        <v>299</v>
      </c>
      <c r="BV652" s="1626">
        <v>299</v>
      </c>
      <c r="BW652" s="1626">
        <v>299</v>
      </c>
      <c r="BX652" s="1626">
        <v>299</v>
      </c>
      <c r="BY652" s="1626">
        <v>299</v>
      </c>
      <c r="BZ652" s="752">
        <f t="shared" si="894"/>
        <v>299</v>
      </c>
      <c r="CA652" s="1626">
        <v>0</v>
      </c>
      <c r="CB652" s="1626">
        <v>0</v>
      </c>
      <c r="CC652" s="1626">
        <v>0</v>
      </c>
      <c r="CD652" s="1626">
        <v>0</v>
      </c>
      <c r="CE652" s="752">
        <f t="shared" si="895"/>
        <v>0</v>
      </c>
      <c r="CF652" s="223">
        <v>0</v>
      </c>
      <c r="CG652" s="223">
        <v>0</v>
      </c>
      <c r="CH652" s="223">
        <v>0</v>
      </c>
      <c r="CI652" s="223">
        <v>0</v>
      </c>
      <c r="CJ652" s="752">
        <f t="shared" si="896"/>
        <v>0</v>
      </c>
      <c r="CK652" s="224">
        <v>0</v>
      </c>
      <c r="CL652" s="224">
        <f t="shared" ca="1" si="897"/>
        <v>0</v>
      </c>
      <c r="CM652" s="224">
        <f t="shared" ca="1" si="897"/>
        <v>0</v>
      </c>
      <c r="CN652" s="224">
        <f t="shared" ca="1" si="897"/>
        <v>0</v>
      </c>
      <c r="CO652" s="752">
        <f t="shared" ca="1" si="898"/>
        <v>0</v>
      </c>
      <c r="CP652" s="1261">
        <f t="shared" si="881"/>
        <v>0</v>
      </c>
      <c r="CQ652" s="1261">
        <f t="shared" ca="1" si="881"/>
        <v>0</v>
      </c>
      <c r="CR652" s="1261">
        <f t="shared" ca="1" si="881"/>
        <v>0</v>
      </c>
      <c r="CS652" s="224">
        <f t="shared" ca="1" si="881"/>
        <v>0</v>
      </c>
      <c r="CT652" s="752">
        <f t="shared" ca="1" si="899"/>
        <v>0</v>
      </c>
      <c r="CU652" s="985">
        <f t="shared" ca="1" si="882"/>
        <v>0</v>
      </c>
      <c r="CV652" s="985">
        <f t="shared" ca="1" si="882"/>
        <v>0</v>
      </c>
      <c r="CW652" s="374"/>
      <c r="CX652" s="374"/>
      <c r="CY652" s="374"/>
      <c r="CZ652" s="374"/>
      <c r="DA652" s="374"/>
      <c r="DB652" s="217"/>
    </row>
    <row r="653" spans="1:108" x14ac:dyDescent="0.2">
      <c r="A653" s="1266" t="s">
        <v>650</v>
      </c>
      <c r="B653" s="651"/>
      <c r="C653" s="236"/>
      <c r="D653" s="207"/>
      <c r="E653" s="207"/>
      <c r="F653" s="207"/>
      <c r="G653" s="234"/>
      <c r="H653" s="236"/>
      <c r="I653" s="1427">
        <f>10289</f>
        <v>10289</v>
      </c>
      <c r="J653" s="845">
        <f>11261</f>
        <v>11261</v>
      </c>
      <c r="K653" s="845">
        <f>17405</f>
        <v>17405</v>
      </c>
      <c r="L653" s="845">
        <f>18114</f>
        <v>18114</v>
      </c>
      <c r="M653" s="752">
        <f>L653</f>
        <v>18114</v>
      </c>
      <c r="N653" s="1427">
        <f>18822</f>
        <v>18822</v>
      </c>
      <c r="O653" s="845">
        <f>19353</f>
        <v>19353</v>
      </c>
      <c r="P653" s="845">
        <v>20167</v>
      </c>
      <c r="Q653" s="845">
        <v>20503</v>
      </c>
      <c r="R653" s="752">
        <f>Q653</f>
        <v>20503</v>
      </c>
      <c r="S653" s="1427">
        <v>21147</v>
      </c>
      <c r="T653" s="845">
        <v>23042</v>
      </c>
      <c r="U653" s="845">
        <v>24475</v>
      </c>
      <c r="V653" s="845">
        <v>25423</v>
      </c>
      <c r="W653" s="752">
        <f t="shared" si="883"/>
        <v>25423</v>
      </c>
      <c r="X653" s="1427">
        <v>26795</v>
      </c>
      <c r="Y653" s="845">
        <v>27136</v>
      </c>
      <c r="Z653" s="845">
        <v>27031</v>
      </c>
      <c r="AA653" s="845">
        <v>0</v>
      </c>
      <c r="AB653" s="752">
        <f t="shared" si="884"/>
        <v>0</v>
      </c>
      <c r="AC653" s="1427">
        <v>0</v>
      </c>
      <c r="AD653" s="845">
        <v>0</v>
      </c>
      <c r="AE653" s="845">
        <v>0</v>
      </c>
      <c r="AF653" s="845">
        <v>0</v>
      </c>
      <c r="AG653" s="752">
        <f t="shared" si="885"/>
        <v>0</v>
      </c>
      <c r="AH653" s="1427">
        <v>0</v>
      </c>
      <c r="AI653" s="845">
        <v>0</v>
      </c>
      <c r="AJ653" s="845">
        <v>0</v>
      </c>
      <c r="AK653" s="845">
        <v>0</v>
      </c>
      <c r="AL653" s="752">
        <f t="shared" si="886"/>
        <v>0</v>
      </c>
      <c r="AM653" s="1427">
        <v>0</v>
      </c>
      <c r="AN653" s="845">
        <v>0</v>
      </c>
      <c r="AO653" s="845">
        <v>0</v>
      </c>
      <c r="AP653" s="845">
        <v>0</v>
      </c>
      <c r="AQ653" s="752">
        <f t="shared" si="887"/>
        <v>0</v>
      </c>
      <c r="AR653" s="1427">
        <v>0</v>
      </c>
      <c r="AS653" s="845">
        <v>0</v>
      </c>
      <c r="AT653" s="845">
        <v>0</v>
      </c>
      <c r="AU653" s="845">
        <v>0</v>
      </c>
      <c r="AV653" s="752">
        <f t="shared" si="888"/>
        <v>0</v>
      </c>
      <c r="AW653" s="1427">
        <v>0</v>
      </c>
      <c r="AX653" s="845">
        <v>0</v>
      </c>
      <c r="AY653" s="845">
        <v>0</v>
      </c>
      <c r="AZ653" s="845">
        <v>0</v>
      </c>
      <c r="BA653" s="752">
        <f t="shared" si="889"/>
        <v>0</v>
      </c>
      <c r="BB653" s="1427">
        <v>0</v>
      </c>
      <c r="BC653" s="845">
        <v>0</v>
      </c>
      <c r="BD653" s="845">
        <v>0</v>
      </c>
      <c r="BE653" s="845">
        <v>0</v>
      </c>
      <c r="BF653" s="752">
        <f t="shared" si="890"/>
        <v>0</v>
      </c>
      <c r="BG653" s="845">
        <v>0</v>
      </c>
      <c r="BH653" s="845">
        <v>0</v>
      </c>
      <c r="BI653" s="845">
        <v>0</v>
      </c>
      <c r="BJ653" s="845">
        <v>0</v>
      </c>
      <c r="BK653" s="752">
        <f t="shared" si="891"/>
        <v>0</v>
      </c>
      <c r="BL653" s="845">
        <v>0</v>
      </c>
      <c r="BM653" s="845">
        <v>0</v>
      </c>
      <c r="BN653" s="845">
        <v>0</v>
      </c>
      <c r="BO653" s="845">
        <v>0</v>
      </c>
      <c r="BP653" s="752">
        <f t="shared" si="892"/>
        <v>0</v>
      </c>
      <c r="BQ653" s="223">
        <v>0</v>
      </c>
      <c r="BR653" s="223">
        <v>0</v>
      </c>
      <c r="BS653" s="223">
        <v>0</v>
      </c>
      <c r="BT653" s="845">
        <v>0</v>
      </c>
      <c r="BU653" s="752">
        <f t="shared" si="893"/>
        <v>0</v>
      </c>
      <c r="BV653" s="223">
        <v>0</v>
      </c>
      <c r="BW653" s="223">
        <v>0</v>
      </c>
      <c r="BX653" s="223">
        <v>0</v>
      </c>
      <c r="BY653" s="223">
        <v>0</v>
      </c>
      <c r="BZ653" s="752">
        <f t="shared" si="894"/>
        <v>0</v>
      </c>
      <c r="CA653" s="223">
        <v>0</v>
      </c>
      <c r="CB653" s="223">
        <v>0</v>
      </c>
      <c r="CC653" s="223">
        <v>0</v>
      </c>
      <c r="CD653" s="223">
        <v>0</v>
      </c>
      <c r="CE653" s="752">
        <f t="shared" si="895"/>
        <v>0</v>
      </c>
      <c r="CF653" s="223">
        <v>0</v>
      </c>
      <c r="CG653" s="223">
        <v>0</v>
      </c>
      <c r="CH653" s="223">
        <v>0</v>
      </c>
      <c r="CI653" s="223">
        <v>0</v>
      </c>
      <c r="CJ653" s="752">
        <f t="shared" si="896"/>
        <v>0</v>
      </c>
      <c r="CK653" s="224">
        <v>0</v>
      </c>
      <c r="CL653" s="224">
        <f t="shared" ca="1" si="897"/>
        <v>0</v>
      </c>
      <c r="CM653" s="224">
        <f t="shared" ca="1" si="897"/>
        <v>0</v>
      </c>
      <c r="CN653" s="224">
        <f t="shared" ca="1" si="897"/>
        <v>0</v>
      </c>
      <c r="CO653" s="752">
        <f t="shared" ca="1" si="898"/>
        <v>0</v>
      </c>
      <c r="CP653" s="1261">
        <f t="shared" si="881"/>
        <v>0</v>
      </c>
      <c r="CQ653" s="1261">
        <f t="shared" ca="1" si="881"/>
        <v>0</v>
      </c>
      <c r="CR653" s="1261">
        <f t="shared" ca="1" si="881"/>
        <v>0</v>
      </c>
      <c r="CS653" s="224">
        <f t="shared" ca="1" si="881"/>
        <v>0</v>
      </c>
      <c r="CT653" s="752">
        <f t="shared" ca="1" si="899"/>
        <v>0</v>
      </c>
      <c r="CU653" s="985">
        <f t="shared" ca="1" si="882"/>
        <v>0</v>
      </c>
      <c r="CV653" s="985">
        <f t="shared" ca="1" si="882"/>
        <v>0</v>
      </c>
      <c r="CW653" s="374"/>
      <c r="CX653" s="374"/>
      <c r="CY653" s="374"/>
      <c r="CZ653" s="374"/>
      <c r="DA653" s="374"/>
      <c r="DB653" s="217"/>
    </row>
    <row r="654" spans="1:108" s="2434" customFormat="1" x14ac:dyDescent="0.2">
      <c r="A654" s="2633" t="s">
        <v>384</v>
      </c>
      <c r="B654" s="2400"/>
      <c r="C654" s="2401"/>
      <c r="D654" s="2644"/>
      <c r="E654" s="2644"/>
      <c r="F654" s="2644"/>
      <c r="G654" s="2402"/>
      <c r="H654" s="2401"/>
      <c r="I654" s="1427">
        <v>0</v>
      </c>
      <c r="J654" s="845">
        <v>0</v>
      </c>
      <c r="K654" s="845">
        <v>0</v>
      </c>
      <c r="L654" s="845">
        <f>99</f>
        <v>99</v>
      </c>
      <c r="M654" s="2406">
        <f>L654</f>
        <v>99</v>
      </c>
      <c r="N654" s="1427">
        <f>99</f>
        <v>99</v>
      </c>
      <c r="O654" s="845">
        <f>99</f>
        <v>99</v>
      </c>
      <c r="P654" s="845">
        <f>99</f>
        <v>99</v>
      </c>
      <c r="Q654" s="845">
        <v>99</v>
      </c>
      <c r="R654" s="2406">
        <f>Q654</f>
        <v>99</v>
      </c>
      <c r="S654" s="1427">
        <v>99</v>
      </c>
      <c r="T654" s="845">
        <v>99</v>
      </c>
      <c r="U654" s="845">
        <v>99</v>
      </c>
      <c r="V654" s="845">
        <v>99</v>
      </c>
      <c r="W654" s="2406">
        <f t="shared" si="883"/>
        <v>99</v>
      </c>
      <c r="X654" s="1427">
        <v>99</v>
      </c>
      <c r="Y654" s="845">
        <v>99</v>
      </c>
      <c r="Z654" s="845">
        <v>99</v>
      </c>
      <c r="AA654" s="845">
        <v>99</v>
      </c>
      <c r="AB654" s="2406">
        <f t="shared" si="884"/>
        <v>99</v>
      </c>
      <c r="AC654" s="1427">
        <v>99</v>
      </c>
      <c r="AD654" s="845">
        <v>99</v>
      </c>
      <c r="AE654" s="845">
        <v>99</v>
      </c>
      <c r="AF654" s="845">
        <v>99</v>
      </c>
      <c r="AG654" s="2406">
        <f t="shared" si="885"/>
        <v>99</v>
      </c>
      <c r="AH654" s="1427">
        <v>99</v>
      </c>
      <c r="AI654" s="845">
        <v>99</v>
      </c>
      <c r="AJ654" s="845">
        <v>99</v>
      </c>
      <c r="AK654" s="845">
        <v>99</v>
      </c>
      <c r="AL654" s="2406">
        <f t="shared" si="886"/>
        <v>99</v>
      </c>
      <c r="AM654" s="1427">
        <v>99</v>
      </c>
      <c r="AN654" s="845">
        <v>99</v>
      </c>
      <c r="AO654" s="845">
        <v>99</v>
      </c>
      <c r="AP654" s="845">
        <v>99</v>
      </c>
      <c r="AQ654" s="2406">
        <f t="shared" si="887"/>
        <v>99</v>
      </c>
      <c r="AR654" s="1427">
        <v>99</v>
      </c>
      <c r="AS654" s="845">
        <v>99</v>
      </c>
      <c r="AT654" s="845">
        <v>99</v>
      </c>
      <c r="AU654" s="845">
        <v>99</v>
      </c>
      <c r="AV654" s="2406">
        <f t="shared" si="888"/>
        <v>99</v>
      </c>
      <c r="AW654" s="1427">
        <v>99</v>
      </c>
      <c r="AX654" s="845">
        <v>99</v>
      </c>
      <c r="AY654" s="845">
        <v>99</v>
      </c>
      <c r="AZ654" s="845">
        <v>99</v>
      </c>
      <c r="BA654" s="2406">
        <f t="shared" si="889"/>
        <v>99</v>
      </c>
      <c r="BB654" s="1427">
        <v>99</v>
      </c>
      <c r="BC654" s="845">
        <v>99</v>
      </c>
      <c r="BD654" s="845">
        <v>99</v>
      </c>
      <c r="BE654" s="845">
        <v>99</v>
      </c>
      <c r="BF654" s="2406">
        <f t="shared" si="890"/>
        <v>99</v>
      </c>
      <c r="BG654" s="845">
        <v>99</v>
      </c>
      <c r="BH654" s="845">
        <v>99</v>
      </c>
      <c r="BI654" s="845">
        <v>99</v>
      </c>
      <c r="BJ654" s="845">
        <v>99</v>
      </c>
      <c r="BK654" s="2406">
        <f t="shared" si="891"/>
        <v>99</v>
      </c>
      <c r="BL654" s="845">
        <v>99</v>
      </c>
      <c r="BM654" s="845">
        <v>0</v>
      </c>
      <c r="BN654" s="845">
        <v>0</v>
      </c>
      <c r="BO654" s="845">
        <v>0</v>
      </c>
      <c r="BP654" s="2406">
        <f t="shared" si="892"/>
        <v>0</v>
      </c>
      <c r="BQ654" s="845">
        <v>0</v>
      </c>
      <c r="BR654" s="845">
        <v>0</v>
      </c>
      <c r="BS654" s="845">
        <v>0</v>
      </c>
      <c r="BT654" s="845">
        <v>0</v>
      </c>
      <c r="BU654" s="2406">
        <f t="shared" si="893"/>
        <v>0</v>
      </c>
      <c r="BV654" s="845">
        <v>0</v>
      </c>
      <c r="BW654" s="845">
        <v>0</v>
      </c>
      <c r="BX654" s="845">
        <v>0</v>
      </c>
      <c r="BY654" s="845">
        <v>0</v>
      </c>
      <c r="BZ654" s="2406">
        <f t="shared" si="894"/>
        <v>0</v>
      </c>
      <c r="CA654" s="845">
        <v>0</v>
      </c>
      <c r="CB654" s="845">
        <v>0</v>
      </c>
      <c r="CC654" s="845">
        <v>0</v>
      </c>
      <c r="CD654" s="845">
        <v>0</v>
      </c>
      <c r="CE654" s="2406">
        <f t="shared" si="895"/>
        <v>0</v>
      </c>
      <c r="CF654" s="845">
        <v>0</v>
      </c>
      <c r="CG654" s="845">
        <v>0</v>
      </c>
      <c r="CH654" s="845">
        <v>0</v>
      </c>
      <c r="CI654" s="845">
        <v>0</v>
      </c>
      <c r="CJ654" s="2406">
        <f t="shared" si="896"/>
        <v>0</v>
      </c>
      <c r="CK654" s="844">
        <v>0</v>
      </c>
      <c r="CL654" s="844">
        <f t="shared" ca="1" si="897"/>
        <v>0</v>
      </c>
      <c r="CM654" s="844">
        <f t="shared" ca="1" si="897"/>
        <v>0</v>
      </c>
      <c r="CN654" s="844">
        <f t="shared" ca="1" si="897"/>
        <v>0</v>
      </c>
      <c r="CO654" s="2406">
        <f t="shared" ca="1" si="898"/>
        <v>0</v>
      </c>
      <c r="CP654" s="1261">
        <f>+CK654*(1+CP$896)</f>
        <v>0</v>
      </c>
      <c r="CQ654" s="1261">
        <f ca="1">+CL654*(1+CQ$896)</f>
        <v>0</v>
      </c>
      <c r="CR654" s="1261">
        <f ca="1">+CM654*(1+CR$896)</f>
        <v>0</v>
      </c>
      <c r="CS654" s="2349">
        <f ca="1">+CN654*(1+CS$896)</f>
        <v>0</v>
      </c>
      <c r="CT654" s="2406">
        <f t="shared" ca="1" si="899"/>
        <v>0</v>
      </c>
      <c r="CU654" s="3012">
        <f t="shared" ca="1" si="882"/>
        <v>0</v>
      </c>
      <c r="CV654" s="3012">
        <f t="shared" ca="1" si="882"/>
        <v>0</v>
      </c>
      <c r="CW654" s="2584"/>
      <c r="CX654" s="2584"/>
      <c r="CY654" s="2584"/>
      <c r="CZ654" s="2584"/>
      <c r="DA654" s="2584"/>
      <c r="DB654" s="217"/>
      <c r="DC654" s="212"/>
      <c r="DD654" s="2631"/>
    </row>
    <row r="655" spans="1:108" ht="4.5" customHeight="1" x14ac:dyDescent="0.2">
      <c r="A655" s="1267"/>
      <c r="B655" s="651"/>
      <c r="C655" s="236"/>
      <c r="D655" s="207"/>
      <c r="E655" s="207"/>
      <c r="F655" s="207"/>
      <c r="G655" s="234"/>
      <c r="H655" s="236"/>
      <c r="I655" s="1428"/>
      <c r="J655" s="767"/>
      <c r="K655" s="767"/>
      <c r="L655" s="767"/>
      <c r="M655" s="761"/>
      <c r="N655" s="1428"/>
      <c r="O655" s="767"/>
      <c r="P655" s="767"/>
      <c r="Q655" s="767"/>
      <c r="R655" s="761"/>
      <c r="S655" s="1428"/>
      <c r="T655" s="767"/>
      <c r="U655" s="767"/>
      <c r="V655" s="767"/>
      <c r="W655" s="761"/>
      <c r="X655" s="1428"/>
      <c r="Y655" s="767"/>
      <c r="Z655" s="767"/>
      <c r="AA655" s="767"/>
      <c r="AB655" s="761"/>
      <c r="AC655" s="1428"/>
      <c r="AD655" s="767"/>
      <c r="AE655" s="767"/>
      <c r="AF655" s="767"/>
      <c r="AG655" s="761"/>
      <c r="AH655" s="1428"/>
      <c r="AI655" s="767"/>
      <c r="AJ655" s="767"/>
      <c r="AK655" s="767"/>
      <c r="AL655" s="761"/>
      <c r="AM655" s="1428"/>
      <c r="AN655" s="767"/>
      <c r="AO655" s="767"/>
      <c r="AP655" s="767"/>
      <c r="AQ655" s="761"/>
      <c r="AR655" s="1428"/>
      <c r="AS655" s="767"/>
      <c r="AT655" s="767"/>
      <c r="AU655" s="767"/>
      <c r="AV655" s="761"/>
      <c r="AW655" s="1428"/>
      <c r="AX655" s="767"/>
      <c r="AY655" s="767"/>
      <c r="AZ655" s="767"/>
      <c r="BA655" s="761"/>
      <c r="BB655" s="1428"/>
      <c r="BC655" s="767"/>
      <c r="BD655" s="767"/>
      <c r="BE655" s="767"/>
      <c r="BF655" s="761"/>
      <c r="BG655" s="767"/>
      <c r="BH655" s="767"/>
      <c r="BI655" s="767"/>
      <c r="BJ655" s="767"/>
      <c r="BK655" s="761"/>
      <c r="BL655" s="767"/>
      <c r="BM655" s="767"/>
      <c r="BN655" s="767"/>
      <c r="BO655" s="767"/>
      <c r="BP655" s="761"/>
      <c r="BQ655" s="767"/>
      <c r="BR655" s="767"/>
      <c r="BS655" s="767"/>
      <c r="BT655" s="767"/>
      <c r="BU655" s="761"/>
      <c r="BV655" s="767"/>
      <c r="BW655" s="767"/>
      <c r="BX655" s="767"/>
      <c r="BY655" s="767"/>
      <c r="BZ655" s="761"/>
      <c r="CA655" s="767"/>
      <c r="CB655" s="767"/>
      <c r="CC655" s="767"/>
      <c r="CD655" s="767"/>
      <c r="CE655" s="761"/>
      <c r="CF655" s="767"/>
      <c r="CG655" s="767"/>
      <c r="CH655" s="850"/>
      <c r="CI655" s="850"/>
      <c r="CJ655" s="761"/>
      <c r="CK655" s="877"/>
      <c r="CL655" s="877"/>
      <c r="CM655" s="877"/>
      <c r="CN655" s="877"/>
      <c r="CO655" s="761"/>
      <c r="CP655" s="1261"/>
      <c r="CQ655" s="1261"/>
      <c r="CR655" s="1261"/>
      <c r="CS655" s="850"/>
      <c r="CT655" s="761"/>
      <c r="CU655" s="1647"/>
      <c r="CV655" s="1647"/>
      <c r="CW655" s="374"/>
      <c r="CX655" s="374"/>
      <c r="CY655" s="374"/>
      <c r="CZ655" s="374"/>
      <c r="DA655" s="374"/>
      <c r="DB655" s="217"/>
    </row>
    <row r="656" spans="1:108" x14ac:dyDescent="0.2">
      <c r="A656" s="2434" t="s">
        <v>2454</v>
      </c>
      <c r="B656" s="651"/>
      <c r="C656" s="236"/>
      <c r="D656" s="207"/>
      <c r="E656" s="207"/>
      <c r="F656" s="207"/>
      <c r="G656" s="234"/>
      <c r="H656" s="236"/>
      <c r="I656" s="1428"/>
      <c r="J656" s="767"/>
      <c r="K656" s="767"/>
      <c r="L656" s="767"/>
      <c r="M656" s="761"/>
      <c r="N656" s="1428"/>
      <c r="O656" s="767"/>
      <c r="P656" s="767"/>
      <c r="Q656" s="767"/>
      <c r="R656" s="761"/>
      <c r="S656" s="1428"/>
      <c r="T656" s="767"/>
      <c r="U656" s="767"/>
      <c r="V656" s="767"/>
      <c r="W656" s="761"/>
      <c r="X656" s="1428"/>
      <c r="Y656" s="767"/>
      <c r="Z656" s="767"/>
      <c r="AA656" s="767"/>
      <c r="AB656" s="761"/>
      <c r="AC656" s="1428"/>
      <c r="AD656" s="767"/>
      <c r="AE656" s="767"/>
      <c r="AF656" s="767"/>
      <c r="AG656" s="761"/>
      <c r="AH656" s="1428"/>
      <c r="AI656" s="767"/>
      <c r="AJ656" s="767"/>
      <c r="AK656" s="767"/>
      <c r="AL656" s="761"/>
      <c r="AM656" s="1428"/>
      <c r="AN656" s="767"/>
      <c r="AO656" s="767"/>
      <c r="AP656" s="767"/>
      <c r="AQ656" s="761"/>
      <c r="AR656" s="1428"/>
      <c r="AS656" s="767"/>
      <c r="AT656" s="767"/>
      <c r="AU656" s="767"/>
      <c r="AV656" s="761"/>
      <c r="AW656" s="1428"/>
      <c r="AX656" s="767"/>
      <c r="AY656" s="767"/>
      <c r="AZ656" s="767"/>
      <c r="BA656" s="761"/>
      <c r="BB656" s="1428"/>
      <c r="BC656" s="767"/>
      <c r="BD656" s="767"/>
      <c r="BE656" s="767"/>
      <c r="BF656" s="761"/>
      <c r="BG656" s="767"/>
      <c r="BH656" s="767"/>
      <c r="BI656" s="767"/>
      <c r="BJ656" s="767"/>
      <c r="BK656" s="761"/>
      <c r="BL656" s="767"/>
      <c r="BM656" s="767"/>
      <c r="BN656" s="767"/>
      <c r="BO656" s="767"/>
      <c r="BP656" s="761"/>
      <c r="BQ656" s="767"/>
      <c r="BR656" s="767"/>
      <c r="BS656" s="767"/>
      <c r="BT656" s="767"/>
      <c r="BU656" s="761"/>
      <c r="BV656" s="767"/>
      <c r="BW656" s="767"/>
      <c r="BX656" s="767"/>
      <c r="BY656" s="767"/>
      <c r="BZ656" s="761"/>
      <c r="CA656" s="767"/>
      <c r="CB656" s="3322">
        <v>14986</v>
      </c>
      <c r="CC656" s="3322">
        <v>15715</v>
      </c>
      <c r="CD656" s="3322">
        <v>15666</v>
      </c>
      <c r="CE656" s="3325">
        <v>15666</v>
      </c>
      <c r="CF656" s="3322">
        <v>16161</v>
      </c>
      <c r="CG656" s="3322">
        <v>16740</v>
      </c>
      <c r="CH656" s="2983">
        <v>17443</v>
      </c>
      <c r="CI656" s="2983">
        <v>17519</v>
      </c>
      <c r="CJ656" s="2406">
        <f>CI656</f>
        <v>17519</v>
      </c>
      <c r="CK656" s="2982">
        <v>16756</v>
      </c>
      <c r="CL656" s="2982">
        <v>16743</v>
      </c>
      <c r="CM656" s="2982">
        <v>17075</v>
      </c>
      <c r="CN656" s="2982">
        <v>16799</v>
      </c>
      <c r="CO656" s="2406">
        <f>CN656</f>
        <v>16799</v>
      </c>
      <c r="CP656" s="1261">
        <f t="shared" ref="CP656:CS666" si="900">CK656*(1+CP$896)</f>
        <v>18096.48</v>
      </c>
      <c r="CQ656" s="1261">
        <f t="shared" si="900"/>
        <v>18082.440000000002</v>
      </c>
      <c r="CR656" s="1261">
        <f t="shared" si="900"/>
        <v>18611.75</v>
      </c>
      <c r="CS656">
        <f t="shared" si="900"/>
        <v>18310.91</v>
      </c>
      <c r="CT656" s="2406">
        <f>CS656</f>
        <v>18310.91</v>
      </c>
      <c r="CU656" s="3012">
        <f t="shared" ref="CU656:CV666" si="901">CT656*(1+CU$896)</f>
        <v>19684.22825</v>
      </c>
      <c r="CV656" s="3012">
        <f t="shared" si="901"/>
        <v>20471.597379999999</v>
      </c>
      <c r="CW656" s="374"/>
      <c r="CX656" s="374"/>
      <c r="CY656" s="374"/>
      <c r="CZ656" s="374"/>
      <c r="DA656" s="374"/>
      <c r="DB656" s="217"/>
    </row>
    <row r="657" spans="1:106" x14ac:dyDescent="0.2">
      <c r="A657" s="2434" t="s">
        <v>2455</v>
      </c>
      <c r="B657" s="651"/>
      <c r="C657" s="236"/>
      <c r="D657" s="207"/>
      <c r="E657" s="207"/>
      <c r="F657" s="207"/>
      <c r="G657" s="234"/>
      <c r="H657" s="236"/>
      <c r="I657" s="1428"/>
      <c r="J657" s="767"/>
      <c r="K657" s="767"/>
      <c r="L657" s="767"/>
      <c r="M657" s="761"/>
      <c r="N657" s="1428"/>
      <c r="O657" s="767"/>
      <c r="P657" s="767"/>
      <c r="Q657" s="767"/>
      <c r="R657" s="761"/>
      <c r="S657" s="1428"/>
      <c r="T657" s="767"/>
      <c r="U657" s="767"/>
      <c r="V657" s="767"/>
      <c r="W657" s="761"/>
      <c r="X657" s="1428"/>
      <c r="Y657" s="767"/>
      <c r="Z657" s="767"/>
      <c r="AA657" s="767"/>
      <c r="AB657" s="761"/>
      <c r="AC657" s="1428"/>
      <c r="AD657" s="767"/>
      <c r="AE657" s="767"/>
      <c r="AF657" s="767"/>
      <c r="AG657" s="761"/>
      <c r="AH657" s="1428"/>
      <c r="AI657" s="767"/>
      <c r="AJ657" s="767"/>
      <c r="AK657" s="767"/>
      <c r="AL657" s="761"/>
      <c r="AM657" s="1428"/>
      <c r="AN657" s="767"/>
      <c r="AO657" s="767"/>
      <c r="AP657" s="767"/>
      <c r="AQ657" s="761"/>
      <c r="AR657" s="1428"/>
      <c r="AS657" s="767"/>
      <c r="AT657" s="767"/>
      <c r="AU657" s="767"/>
      <c r="AV657" s="761"/>
      <c r="AW657" s="1428"/>
      <c r="AX657" s="767"/>
      <c r="AY657" s="767"/>
      <c r="AZ657" s="767"/>
      <c r="BA657" s="761"/>
      <c r="BB657" s="1428"/>
      <c r="BC657" s="767"/>
      <c r="BD657" s="767"/>
      <c r="BE657" s="767"/>
      <c r="BF657" s="761"/>
      <c r="BG657" s="767"/>
      <c r="BH657" s="767"/>
      <c r="BI657" s="767"/>
      <c r="BJ657" s="767"/>
      <c r="BK657" s="761"/>
      <c r="BL657" s="767"/>
      <c r="BM657" s="767"/>
      <c r="BN657" s="767"/>
      <c r="BO657" s="767"/>
      <c r="BP657" s="761"/>
      <c r="BQ657" s="767"/>
      <c r="BR657" s="767"/>
      <c r="BS657" s="767"/>
      <c r="BT657" s="767"/>
      <c r="BU657" s="761"/>
      <c r="BV657" s="767"/>
      <c r="BW657" s="767"/>
      <c r="BX657" s="767"/>
      <c r="BY657" s="767"/>
      <c r="BZ657" s="761"/>
      <c r="CA657" s="767"/>
      <c r="CB657" s="3322">
        <v>6801</v>
      </c>
      <c r="CC657" s="3322">
        <v>6803</v>
      </c>
      <c r="CD657" s="3322">
        <v>6810</v>
      </c>
      <c r="CE657" s="3325">
        <v>6810</v>
      </c>
      <c r="CF657" s="3322">
        <v>7260</v>
      </c>
      <c r="CG657" s="3322">
        <v>7239</v>
      </c>
      <c r="CH657" s="2983">
        <v>7478</v>
      </c>
      <c r="CI657" s="2983">
        <v>7334</v>
      </c>
      <c r="CJ657" s="2406">
        <f t="shared" ref="CJ657:CJ666" si="902">CI657</f>
        <v>7334</v>
      </c>
      <c r="CK657" s="2982">
        <v>7766</v>
      </c>
      <c r="CL657" s="2982">
        <v>7749</v>
      </c>
      <c r="CM657" s="2982">
        <v>7432</v>
      </c>
      <c r="CN657" s="2982">
        <v>7432</v>
      </c>
      <c r="CO657" s="2406">
        <f t="shared" ref="CO657:CO666" si="903">CN657</f>
        <v>7432</v>
      </c>
      <c r="CP657" s="1261">
        <f t="shared" si="900"/>
        <v>8387.2800000000007</v>
      </c>
      <c r="CQ657" s="1261">
        <f t="shared" si="900"/>
        <v>8368.92</v>
      </c>
      <c r="CR657" s="1261">
        <f t="shared" si="900"/>
        <v>8100.880000000001</v>
      </c>
      <c r="CS657">
        <f t="shared" si="900"/>
        <v>8100.880000000001</v>
      </c>
      <c r="CT657" s="2406">
        <f t="shared" ref="CT657:CT666" si="904">CS657</f>
        <v>8100.880000000001</v>
      </c>
      <c r="CU657" s="3012">
        <f t="shared" si="901"/>
        <v>8708.4459999999999</v>
      </c>
      <c r="CV657" s="3012">
        <f t="shared" si="901"/>
        <v>9056.7838400000001</v>
      </c>
      <c r="CW657" s="374"/>
      <c r="CX657" s="374"/>
      <c r="CY657" s="374"/>
      <c r="CZ657" s="374"/>
      <c r="DA657" s="374"/>
      <c r="DB657" s="217"/>
    </row>
    <row r="658" spans="1:106" x14ac:dyDescent="0.2">
      <c r="A658" s="2434" t="s">
        <v>2456</v>
      </c>
      <c r="B658" s="651"/>
      <c r="C658" s="236"/>
      <c r="D658" s="207"/>
      <c r="E658" s="207"/>
      <c r="F658" s="207"/>
      <c r="G658" s="234"/>
      <c r="H658" s="236"/>
      <c r="I658" s="1428"/>
      <c r="J658" s="767"/>
      <c r="K658" s="767"/>
      <c r="L658" s="767"/>
      <c r="M658" s="761"/>
      <c r="N658" s="1428"/>
      <c r="O658" s="767"/>
      <c r="P658" s="767"/>
      <c r="Q658" s="767"/>
      <c r="R658" s="761"/>
      <c r="S658" s="1428"/>
      <c r="T658" s="767"/>
      <c r="U658" s="767"/>
      <c r="V658" s="767"/>
      <c r="W658" s="761"/>
      <c r="X658" s="1428"/>
      <c r="Y658" s="767"/>
      <c r="Z658" s="767"/>
      <c r="AA658" s="767"/>
      <c r="AB658" s="761"/>
      <c r="AC658" s="1428"/>
      <c r="AD658" s="767"/>
      <c r="AE658" s="767"/>
      <c r="AF658" s="767"/>
      <c r="AG658" s="761"/>
      <c r="AH658" s="1428"/>
      <c r="AI658" s="767"/>
      <c r="AJ658" s="767"/>
      <c r="AK658" s="767"/>
      <c r="AL658" s="761"/>
      <c r="AM658" s="1428"/>
      <c r="AN658" s="767"/>
      <c r="AO658" s="767"/>
      <c r="AP658" s="767"/>
      <c r="AQ658" s="761"/>
      <c r="AR658" s="1428"/>
      <c r="AS658" s="767"/>
      <c r="AT658" s="767"/>
      <c r="AU658" s="767"/>
      <c r="AV658" s="761"/>
      <c r="AW658" s="1428"/>
      <c r="AX658" s="767"/>
      <c r="AY658" s="767"/>
      <c r="AZ658" s="767"/>
      <c r="BA658" s="761"/>
      <c r="BB658" s="1428"/>
      <c r="BC658" s="767"/>
      <c r="BD658" s="767"/>
      <c r="BE658" s="767"/>
      <c r="BF658" s="761"/>
      <c r="BG658" s="767"/>
      <c r="BH658" s="767"/>
      <c r="BI658" s="767"/>
      <c r="BJ658" s="767"/>
      <c r="BK658" s="761"/>
      <c r="BL658" s="767"/>
      <c r="BM658" s="767"/>
      <c r="BN658" s="767"/>
      <c r="BO658" s="767"/>
      <c r="BP658" s="761"/>
      <c r="BQ658" s="767"/>
      <c r="BR658" s="767"/>
      <c r="BS658" s="767"/>
      <c r="BT658" s="767"/>
      <c r="BU658" s="761"/>
      <c r="BV658" s="767"/>
      <c r="BW658" s="767"/>
      <c r="BX658" s="767"/>
      <c r="BY658" s="767"/>
      <c r="BZ658" s="761"/>
      <c r="CA658" s="767"/>
      <c r="CB658" s="3322">
        <v>4986</v>
      </c>
      <c r="CC658" s="3322">
        <v>5169</v>
      </c>
      <c r="CD658" s="3322">
        <v>5537</v>
      </c>
      <c r="CE658" s="3325">
        <v>5537</v>
      </c>
      <c r="CF658" s="3322">
        <v>5532</v>
      </c>
      <c r="CG658" s="3322">
        <v>5171</v>
      </c>
      <c r="CH658" s="2983">
        <v>5844</v>
      </c>
      <c r="CI658" s="2983">
        <v>6010</v>
      </c>
      <c r="CJ658" s="2406">
        <f t="shared" si="902"/>
        <v>6010</v>
      </c>
      <c r="CK658" s="2982">
        <v>6256</v>
      </c>
      <c r="CL658" s="2982">
        <v>6355</v>
      </c>
      <c r="CM658" s="2982">
        <v>6743</v>
      </c>
      <c r="CN658" s="2982">
        <v>7167</v>
      </c>
      <c r="CO658" s="2406">
        <f t="shared" si="903"/>
        <v>7167</v>
      </c>
      <c r="CP658" s="1261">
        <f t="shared" si="900"/>
        <v>6756.4800000000005</v>
      </c>
      <c r="CQ658" s="1261">
        <f t="shared" si="900"/>
        <v>6863.4000000000005</v>
      </c>
      <c r="CR658" s="1261">
        <f t="shared" si="900"/>
        <v>7349.8700000000008</v>
      </c>
      <c r="CS658">
        <f t="shared" si="900"/>
        <v>7812.0300000000007</v>
      </c>
      <c r="CT658" s="2406">
        <f t="shared" si="904"/>
        <v>7812.0300000000007</v>
      </c>
      <c r="CU658" s="3012">
        <f t="shared" si="901"/>
        <v>8397.9322499999998</v>
      </c>
      <c r="CV658" s="3012">
        <f t="shared" si="901"/>
        <v>8733.8495399999993</v>
      </c>
      <c r="CW658" s="374"/>
      <c r="CX658" s="374"/>
      <c r="CY658" s="374"/>
      <c r="CZ658" s="374"/>
      <c r="DA658" s="374"/>
      <c r="DB658" s="217"/>
    </row>
    <row r="659" spans="1:106" x14ac:dyDescent="0.2">
      <c r="A659" s="2434" t="s">
        <v>2457</v>
      </c>
      <c r="B659" s="651"/>
      <c r="C659" s="236"/>
      <c r="D659" s="207"/>
      <c r="E659" s="207"/>
      <c r="F659" s="207"/>
      <c r="G659" s="234"/>
      <c r="H659" s="236"/>
      <c r="I659" s="1428"/>
      <c r="J659" s="767"/>
      <c r="K659" s="767"/>
      <c r="L659" s="767"/>
      <c r="M659" s="761"/>
      <c r="N659" s="1428"/>
      <c r="O659" s="767"/>
      <c r="P659" s="767"/>
      <c r="Q659" s="767"/>
      <c r="R659" s="761"/>
      <c r="S659" s="1428"/>
      <c r="T659" s="767"/>
      <c r="U659" s="767"/>
      <c r="V659" s="767"/>
      <c r="W659" s="761"/>
      <c r="X659" s="1428"/>
      <c r="Y659" s="767"/>
      <c r="Z659" s="767"/>
      <c r="AA659" s="767"/>
      <c r="AB659" s="761"/>
      <c r="AC659" s="1428"/>
      <c r="AD659" s="767"/>
      <c r="AE659" s="767"/>
      <c r="AF659" s="767"/>
      <c r="AG659" s="761"/>
      <c r="AH659" s="1428"/>
      <c r="AI659" s="767"/>
      <c r="AJ659" s="767"/>
      <c r="AK659" s="767"/>
      <c r="AL659" s="761"/>
      <c r="AM659" s="1428"/>
      <c r="AN659" s="767"/>
      <c r="AO659" s="767"/>
      <c r="AP659" s="767"/>
      <c r="AQ659" s="761"/>
      <c r="AR659" s="1428"/>
      <c r="AS659" s="767"/>
      <c r="AT659" s="767"/>
      <c r="AU659" s="767"/>
      <c r="AV659" s="761"/>
      <c r="AW659" s="1428"/>
      <c r="AX659" s="767"/>
      <c r="AY659" s="767"/>
      <c r="AZ659" s="767"/>
      <c r="BA659" s="761"/>
      <c r="BB659" s="1428"/>
      <c r="BC659" s="767"/>
      <c r="BD659" s="767"/>
      <c r="BE659" s="767"/>
      <c r="BF659" s="761"/>
      <c r="BG659" s="767"/>
      <c r="BH659" s="767"/>
      <c r="BI659" s="767"/>
      <c r="BJ659" s="767"/>
      <c r="BK659" s="761"/>
      <c r="BL659" s="767"/>
      <c r="BM659" s="767"/>
      <c r="BN659" s="767"/>
      <c r="BO659" s="767"/>
      <c r="BP659" s="761"/>
      <c r="BQ659" s="767"/>
      <c r="BR659" s="767"/>
      <c r="BS659" s="767"/>
      <c r="BT659" s="767"/>
      <c r="BU659" s="761"/>
      <c r="BV659" s="767"/>
      <c r="BW659" s="767"/>
      <c r="BX659" s="767"/>
      <c r="BY659" s="767"/>
      <c r="BZ659" s="761"/>
      <c r="CA659" s="767"/>
      <c r="CB659" s="3322">
        <v>0</v>
      </c>
      <c r="CC659" s="3322">
        <v>0</v>
      </c>
      <c r="CD659" s="3322">
        <v>0</v>
      </c>
      <c r="CE659" s="3325">
        <v>0</v>
      </c>
      <c r="CF659" s="3322">
        <v>0</v>
      </c>
      <c r="CG659" s="3322">
        <v>0</v>
      </c>
      <c r="CH659" s="2349">
        <f>CG659*(1+CH$877)</f>
        <v>0</v>
      </c>
      <c r="CI659" s="2349">
        <f>CH659*(1+CI$877)</f>
        <v>0</v>
      </c>
      <c r="CJ659" s="2406">
        <f t="shared" si="902"/>
        <v>0</v>
      </c>
      <c r="CK659" s="2350">
        <v>0</v>
      </c>
      <c r="CL659" s="2350">
        <f t="shared" ref="CL659:CN666" si="905">CK659*(1+CL$876)</f>
        <v>0</v>
      </c>
      <c r="CM659" s="2350">
        <f t="shared" si="905"/>
        <v>0</v>
      </c>
      <c r="CN659" s="2350">
        <f t="shared" si="905"/>
        <v>0</v>
      </c>
      <c r="CO659" s="2406">
        <f t="shared" si="903"/>
        <v>0</v>
      </c>
      <c r="CP659" s="1261">
        <f t="shared" si="900"/>
        <v>0</v>
      </c>
      <c r="CQ659" s="1261">
        <f t="shared" si="900"/>
        <v>0</v>
      </c>
      <c r="CR659" s="1261">
        <f t="shared" si="900"/>
        <v>0</v>
      </c>
      <c r="CS659" s="2349">
        <f t="shared" si="900"/>
        <v>0</v>
      </c>
      <c r="CT659" s="2406">
        <f t="shared" si="904"/>
        <v>0</v>
      </c>
      <c r="CU659" s="3012">
        <f t="shared" si="901"/>
        <v>0</v>
      </c>
      <c r="CV659" s="3012">
        <f t="shared" si="901"/>
        <v>0</v>
      </c>
      <c r="CW659" s="374"/>
      <c r="CX659" s="374"/>
      <c r="CY659" s="374"/>
      <c r="CZ659" s="374"/>
      <c r="DA659" s="374"/>
      <c r="DB659" s="217"/>
    </row>
    <row r="660" spans="1:106" x14ac:dyDescent="0.2">
      <c r="A660" s="2434" t="s">
        <v>2458</v>
      </c>
      <c r="B660" s="651"/>
      <c r="C660" s="236"/>
      <c r="D660" s="207"/>
      <c r="E660" s="207"/>
      <c r="F660" s="207"/>
      <c r="G660" s="234"/>
      <c r="H660" s="236"/>
      <c r="I660" s="1428"/>
      <c r="J660" s="767"/>
      <c r="K660" s="767"/>
      <c r="L660" s="767"/>
      <c r="M660" s="761"/>
      <c r="N660" s="1428"/>
      <c r="O660" s="767"/>
      <c r="P660" s="767"/>
      <c r="Q660" s="767"/>
      <c r="R660" s="761"/>
      <c r="S660" s="1428"/>
      <c r="T660" s="767"/>
      <c r="U660" s="767"/>
      <c r="V660" s="767"/>
      <c r="W660" s="761"/>
      <c r="X660" s="1428"/>
      <c r="Y660" s="767"/>
      <c r="Z660" s="767"/>
      <c r="AA660" s="767"/>
      <c r="AB660" s="761"/>
      <c r="AC660" s="1428"/>
      <c r="AD660" s="767"/>
      <c r="AE660" s="767"/>
      <c r="AF660" s="767"/>
      <c r="AG660" s="761"/>
      <c r="AH660" s="1428"/>
      <c r="AI660" s="767"/>
      <c r="AJ660" s="767"/>
      <c r="AK660" s="767"/>
      <c r="AL660" s="761"/>
      <c r="AM660" s="1428"/>
      <c r="AN660" s="767"/>
      <c r="AO660" s="767"/>
      <c r="AP660" s="767"/>
      <c r="AQ660" s="761"/>
      <c r="AR660" s="1428"/>
      <c r="AS660" s="767"/>
      <c r="AT660" s="767"/>
      <c r="AU660" s="767"/>
      <c r="AV660" s="761"/>
      <c r="AW660" s="1428"/>
      <c r="AX660" s="767"/>
      <c r="AY660" s="767"/>
      <c r="AZ660" s="767"/>
      <c r="BA660" s="761"/>
      <c r="BB660" s="1428"/>
      <c r="BC660" s="767"/>
      <c r="BD660" s="767"/>
      <c r="BE660" s="767"/>
      <c r="BF660" s="761"/>
      <c r="BG660" s="767"/>
      <c r="BH660" s="767"/>
      <c r="BI660" s="767"/>
      <c r="BJ660" s="767"/>
      <c r="BK660" s="761"/>
      <c r="BL660" s="767"/>
      <c r="BM660" s="767"/>
      <c r="BN660" s="767"/>
      <c r="BO660" s="767"/>
      <c r="BP660" s="761"/>
      <c r="BQ660" s="767"/>
      <c r="BR660" s="767"/>
      <c r="BS660" s="767"/>
      <c r="BT660" s="767"/>
      <c r="BU660" s="761"/>
      <c r="BV660" s="767"/>
      <c r="BW660" s="767"/>
      <c r="BX660" s="767"/>
      <c r="BY660" s="767"/>
      <c r="BZ660" s="761"/>
      <c r="CA660" s="767"/>
      <c r="CB660" s="3322">
        <v>5701</v>
      </c>
      <c r="CC660" s="3322">
        <v>6106</v>
      </c>
      <c r="CD660" s="3322">
        <v>6116</v>
      </c>
      <c r="CE660" s="3325">
        <v>6116</v>
      </c>
      <c r="CF660" s="3322">
        <v>6348</v>
      </c>
      <c r="CG660" s="3322">
        <v>6348</v>
      </c>
      <c r="CH660" s="2983">
        <v>6600</v>
      </c>
      <c r="CI660" s="2983">
        <v>6387</v>
      </c>
      <c r="CJ660" s="2406">
        <f t="shared" si="902"/>
        <v>6387</v>
      </c>
      <c r="CK660" s="2982">
        <v>6387</v>
      </c>
      <c r="CL660" s="2982">
        <v>6757</v>
      </c>
      <c r="CM660" s="2982">
        <v>6868</v>
      </c>
      <c r="CN660" s="2982">
        <v>6861</v>
      </c>
      <c r="CO660" s="2406">
        <f t="shared" si="903"/>
        <v>6861</v>
      </c>
      <c r="CP660" s="1261">
        <f t="shared" si="900"/>
        <v>6897.96</v>
      </c>
      <c r="CQ660" s="1261">
        <f t="shared" si="900"/>
        <v>7297.56</v>
      </c>
      <c r="CR660" s="1261">
        <f t="shared" si="900"/>
        <v>7486.1200000000008</v>
      </c>
      <c r="CS660">
        <f t="shared" si="900"/>
        <v>7478.4900000000007</v>
      </c>
      <c r="CT660" s="2406">
        <f t="shared" si="904"/>
        <v>7478.4900000000007</v>
      </c>
      <c r="CU660" s="3012">
        <f t="shared" si="901"/>
        <v>8039.3767500000004</v>
      </c>
      <c r="CV660" s="3012">
        <f t="shared" si="901"/>
        <v>8360.9518200000002</v>
      </c>
      <c r="CW660" s="374"/>
      <c r="CX660" s="374"/>
      <c r="CY660" s="374"/>
      <c r="CZ660" s="374"/>
      <c r="DA660" s="374"/>
      <c r="DB660" s="217"/>
    </row>
    <row r="661" spans="1:106" x14ac:dyDescent="0.2">
      <c r="A661" s="2434" t="s">
        <v>2459</v>
      </c>
      <c r="B661" s="651"/>
      <c r="C661" s="236"/>
      <c r="D661" s="207"/>
      <c r="E661" s="207"/>
      <c r="F661" s="207"/>
      <c r="G661" s="234"/>
      <c r="H661" s="236"/>
      <c r="I661" s="1428"/>
      <c r="J661" s="767"/>
      <c r="K661" s="767"/>
      <c r="L661" s="767"/>
      <c r="M661" s="761"/>
      <c r="N661" s="1428"/>
      <c r="O661" s="767"/>
      <c r="P661" s="767"/>
      <c r="Q661" s="767"/>
      <c r="R661" s="761"/>
      <c r="S661" s="1428"/>
      <c r="T661" s="767"/>
      <c r="U661" s="767"/>
      <c r="V661" s="767"/>
      <c r="W661" s="761"/>
      <c r="X661" s="1428"/>
      <c r="Y661" s="767"/>
      <c r="Z661" s="767"/>
      <c r="AA661" s="767"/>
      <c r="AB661" s="761"/>
      <c r="AC661" s="1428"/>
      <c r="AD661" s="767"/>
      <c r="AE661" s="767"/>
      <c r="AF661" s="767"/>
      <c r="AG661" s="761"/>
      <c r="AH661" s="1428"/>
      <c r="AI661" s="767"/>
      <c r="AJ661" s="767"/>
      <c r="AK661" s="767"/>
      <c r="AL661" s="761"/>
      <c r="AM661" s="1428"/>
      <c r="AN661" s="767"/>
      <c r="AO661" s="767"/>
      <c r="AP661" s="767"/>
      <c r="AQ661" s="761"/>
      <c r="AR661" s="1428"/>
      <c r="AS661" s="767"/>
      <c r="AT661" s="767"/>
      <c r="AU661" s="767"/>
      <c r="AV661" s="761"/>
      <c r="AW661" s="1428"/>
      <c r="AX661" s="767"/>
      <c r="AY661" s="767"/>
      <c r="AZ661" s="767"/>
      <c r="BA661" s="761"/>
      <c r="BB661" s="1428"/>
      <c r="BC661" s="767"/>
      <c r="BD661" s="767"/>
      <c r="BE661" s="767"/>
      <c r="BF661" s="761"/>
      <c r="BG661" s="767"/>
      <c r="BH661" s="767"/>
      <c r="BI661" s="767"/>
      <c r="BJ661" s="767"/>
      <c r="BK661" s="761"/>
      <c r="BL661" s="767"/>
      <c r="BM661" s="767"/>
      <c r="BN661" s="767"/>
      <c r="BO661" s="767"/>
      <c r="BP661" s="761"/>
      <c r="BQ661" s="767"/>
      <c r="BR661" s="767"/>
      <c r="BS661" s="767"/>
      <c r="BT661" s="767"/>
      <c r="BU661" s="761"/>
      <c r="BV661" s="767"/>
      <c r="BW661" s="767"/>
      <c r="BX661" s="767"/>
      <c r="BY661" s="767"/>
      <c r="BZ661" s="761"/>
      <c r="CA661" s="767"/>
      <c r="CB661" s="3322">
        <v>0</v>
      </c>
      <c r="CC661" s="3322">
        <v>0</v>
      </c>
      <c r="CD661" s="3322">
        <v>0</v>
      </c>
      <c r="CE661" s="3325">
        <v>0</v>
      </c>
      <c r="CF661" s="3322">
        <v>0</v>
      </c>
      <c r="CG661" s="3322">
        <v>0</v>
      </c>
      <c r="CH661" s="2349">
        <f>CG661*(1+CH$877)</f>
        <v>0</v>
      </c>
      <c r="CI661" s="2349">
        <f>CH661*(1+CI$877)</f>
        <v>0</v>
      </c>
      <c r="CJ661" s="2406">
        <f t="shared" si="902"/>
        <v>0</v>
      </c>
      <c r="CK661" s="2350">
        <v>0</v>
      </c>
      <c r="CL661" s="2350">
        <f t="shared" si="905"/>
        <v>0</v>
      </c>
      <c r="CM661" s="2350">
        <f t="shared" si="905"/>
        <v>0</v>
      </c>
      <c r="CN661" s="2350">
        <f t="shared" si="905"/>
        <v>0</v>
      </c>
      <c r="CO661" s="2406">
        <f t="shared" si="903"/>
        <v>0</v>
      </c>
      <c r="CP661" s="1261">
        <f t="shared" si="900"/>
        <v>0</v>
      </c>
      <c r="CQ661" s="1261">
        <f t="shared" si="900"/>
        <v>0</v>
      </c>
      <c r="CR661" s="1261">
        <f t="shared" si="900"/>
        <v>0</v>
      </c>
      <c r="CS661" s="2349">
        <f t="shared" si="900"/>
        <v>0</v>
      </c>
      <c r="CT661" s="2406">
        <f t="shared" si="904"/>
        <v>0</v>
      </c>
      <c r="CU661" s="3012">
        <f t="shared" si="901"/>
        <v>0</v>
      </c>
      <c r="CV661" s="3012">
        <f t="shared" si="901"/>
        <v>0</v>
      </c>
      <c r="CW661" s="374"/>
      <c r="CX661" s="374"/>
      <c r="CY661" s="374"/>
      <c r="CZ661" s="374"/>
      <c r="DA661" s="374"/>
      <c r="DB661" s="217"/>
    </row>
    <row r="662" spans="1:106" x14ac:dyDescent="0.2">
      <c r="A662" s="2434" t="s">
        <v>2460</v>
      </c>
      <c r="B662" s="651"/>
      <c r="C662" s="236"/>
      <c r="D662" s="207"/>
      <c r="E662" s="207"/>
      <c r="F662" s="207"/>
      <c r="G662" s="234"/>
      <c r="H662" s="236"/>
      <c r="I662" s="1428"/>
      <c r="J662" s="767"/>
      <c r="K662" s="767"/>
      <c r="L662" s="767"/>
      <c r="M662" s="761"/>
      <c r="N662" s="1428"/>
      <c r="O662" s="767"/>
      <c r="P662" s="767"/>
      <c r="Q662" s="767"/>
      <c r="R662" s="761"/>
      <c r="S662" s="1428"/>
      <c r="T662" s="767"/>
      <c r="U662" s="767"/>
      <c r="V662" s="767"/>
      <c r="W662" s="761"/>
      <c r="X662" s="1428"/>
      <c r="Y662" s="767"/>
      <c r="Z662" s="767"/>
      <c r="AA662" s="767"/>
      <c r="AB662" s="761"/>
      <c r="AC662" s="1428"/>
      <c r="AD662" s="767"/>
      <c r="AE662" s="767"/>
      <c r="AF662" s="767"/>
      <c r="AG662" s="761"/>
      <c r="AH662" s="1428"/>
      <c r="AI662" s="767"/>
      <c r="AJ662" s="767"/>
      <c r="AK662" s="767"/>
      <c r="AL662" s="761"/>
      <c r="AM662" s="1428"/>
      <c r="AN662" s="767"/>
      <c r="AO662" s="767"/>
      <c r="AP662" s="767"/>
      <c r="AQ662" s="761"/>
      <c r="AR662" s="1428"/>
      <c r="AS662" s="767"/>
      <c r="AT662" s="767"/>
      <c r="AU662" s="767"/>
      <c r="AV662" s="761"/>
      <c r="AW662" s="1428"/>
      <c r="AX662" s="767"/>
      <c r="AY662" s="767"/>
      <c r="AZ662" s="767"/>
      <c r="BA662" s="761"/>
      <c r="BB662" s="1428"/>
      <c r="BC662" s="767"/>
      <c r="BD662" s="767"/>
      <c r="BE662" s="767"/>
      <c r="BF662" s="761"/>
      <c r="BG662" s="767"/>
      <c r="BH662" s="767"/>
      <c r="BI662" s="767"/>
      <c r="BJ662" s="767"/>
      <c r="BK662" s="761"/>
      <c r="BL662" s="767"/>
      <c r="BM662" s="767"/>
      <c r="BN662" s="767"/>
      <c r="BO662" s="767"/>
      <c r="BP662" s="761"/>
      <c r="BQ662" s="767"/>
      <c r="BR662" s="767"/>
      <c r="BS662" s="767"/>
      <c r="BT662" s="767"/>
      <c r="BU662" s="761"/>
      <c r="BV662" s="767"/>
      <c r="BW662" s="767"/>
      <c r="BX662" s="767"/>
      <c r="BY662" s="767"/>
      <c r="BZ662" s="761"/>
      <c r="CA662" s="767"/>
      <c r="CB662" s="3322">
        <v>1895</v>
      </c>
      <c r="CC662" s="3322">
        <v>1895</v>
      </c>
      <c r="CD662" s="3322">
        <v>1895</v>
      </c>
      <c r="CE662" s="3325">
        <v>1895</v>
      </c>
      <c r="CF662" s="3322">
        <v>2189</v>
      </c>
      <c r="CG662" s="3322">
        <v>2570</v>
      </c>
      <c r="CH662" s="2983">
        <v>2863</v>
      </c>
      <c r="CI662" s="2983">
        <v>2873</v>
      </c>
      <c r="CJ662" s="2406">
        <f t="shared" si="902"/>
        <v>2873</v>
      </c>
      <c r="CK662" s="2982">
        <v>3113</v>
      </c>
      <c r="CL662" s="2982">
        <v>3305</v>
      </c>
      <c r="CM662" s="2982">
        <v>4022</v>
      </c>
      <c r="CN662" s="2982">
        <v>4022</v>
      </c>
      <c r="CO662" s="2406">
        <f t="shared" si="903"/>
        <v>4022</v>
      </c>
      <c r="CP662" s="1261">
        <f t="shared" si="900"/>
        <v>3362.0400000000004</v>
      </c>
      <c r="CQ662" s="1261">
        <f t="shared" si="900"/>
        <v>3569.4</v>
      </c>
      <c r="CR662" s="1261">
        <f t="shared" si="900"/>
        <v>4383.9800000000005</v>
      </c>
      <c r="CS662">
        <f t="shared" si="900"/>
        <v>4383.9800000000005</v>
      </c>
      <c r="CT662" s="2406">
        <f t="shared" si="904"/>
        <v>4383.9800000000005</v>
      </c>
      <c r="CU662" s="3012">
        <f t="shared" si="901"/>
        <v>4712.7785000000003</v>
      </c>
      <c r="CV662" s="3012">
        <f t="shared" si="901"/>
        <v>4901.2896400000009</v>
      </c>
      <c r="CW662" s="374"/>
      <c r="CX662" s="374"/>
      <c r="CY662" s="374"/>
      <c r="CZ662" s="374"/>
      <c r="DA662" s="374"/>
      <c r="DB662" s="217"/>
    </row>
    <row r="663" spans="1:106" x14ac:dyDescent="0.2">
      <c r="A663" s="2434" t="s">
        <v>2464</v>
      </c>
      <c r="B663" s="651"/>
      <c r="C663" s="236"/>
      <c r="D663" s="207"/>
      <c r="E663" s="207"/>
      <c r="F663" s="207"/>
      <c r="G663" s="234"/>
      <c r="H663" s="236"/>
      <c r="I663" s="1428"/>
      <c r="J663" s="767"/>
      <c r="K663" s="767"/>
      <c r="L663" s="767"/>
      <c r="M663" s="761"/>
      <c r="N663" s="1428"/>
      <c r="O663" s="767"/>
      <c r="P663" s="767"/>
      <c r="Q663" s="767"/>
      <c r="R663" s="761"/>
      <c r="S663" s="1428"/>
      <c r="T663" s="767"/>
      <c r="U663" s="767"/>
      <c r="V663" s="767"/>
      <c r="W663" s="761"/>
      <c r="X663" s="1428"/>
      <c r="Y663" s="767"/>
      <c r="Z663" s="767"/>
      <c r="AA663" s="767"/>
      <c r="AB663" s="761"/>
      <c r="AC663" s="1428"/>
      <c r="AD663" s="767"/>
      <c r="AE663" s="767"/>
      <c r="AF663" s="767"/>
      <c r="AG663" s="761"/>
      <c r="AH663" s="1428"/>
      <c r="AI663" s="767"/>
      <c r="AJ663" s="767"/>
      <c r="AK663" s="767"/>
      <c r="AL663" s="761"/>
      <c r="AM663" s="1428"/>
      <c r="AN663" s="767"/>
      <c r="AO663" s="767"/>
      <c r="AP663" s="767"/>
      <c r="AQ663" s="761"/>
      <c r="AR663" s="1428"/>
      <c r="AS663" s="767"/>
      <c r="AT663" s="767"/>
      <c r="AU663" s="767"/>
      <c r="AV663" s="761"/>
      <c r="AW663" s="1428"/>
      <c r="AX663" s="767"/>
      <c r="AY663" s="767"/>
      <c r="AZ663" s="767"/>
      <c r="BA663" s="761"/>
      <c r="BB663" s="1428"/>
      <c r="BC663" s="767"/>
      <c r="BD663" s="767"/>
      <c r="BE663" s="767"/>
      <c r="BF663" s="761"/>
      <c r="BG663" s="767"/>
      <c r="BH663" s="767"/>
      <c r="BI663" s="767"/>
      <c r="BJ663" s="767"/>
      <c r="BK663" s="761"/>
      <c r="BL663" s="767"/>
      <c r="BM663" s="767"/>
      <c r="BN663" s="767"/>
      <c r="BO663" s="767"/>
      <c r="BP663" s="761"/>
      <c r="BQ663" s="767"/>
      <c r="BR663" s="767"/>
      <c r="BS663" s="767"/>
      <c r="BT663" s="767"/>
      <c r="BU663" s="761"/>
      <c r="BV663" s="767"/>
      <c r="BW663" s="767"/>
      <c r="BX663" s="767"/>
      <c r="BY663" s="767"/>
      <c r="BZ663" s="761"/>
      <c r="CA663" s="767"/>
      <c r="CB663" s="3322">
        <v>2031</v>
      </c>
      <c r="CC663" s="3322">
        <v>2031</v>
      </c>
      <c r="CD663" s="3322">
        <v>2031</v>
      </c>
      <c r="CE663" s="3325">
        <v>2031</v>
      </c>
      <c r="CF663" s="3322">
        <v>2030</v>
      </c>
      <c r="CG663" s="3322">
        <v>2030</v>
      </c>
      <c r="CH663" s="2983">
        <v>1988</v>
      </c>
      <c r="CI663" s="2983">
        <v>1925</v>
      </c>
      <c r="CJ663" s="2406">
        <f t="shared" si="902"/>
        <v>1925</v>
      </c>
      <c r="CK663" s="2982">
        <v>1925</v>
      </c>
      <c r="CL663" s="2982">
        <v>1928</v>
      </c>
      <c r="CM663" s="2982">
        <v>1928</v>
      </c>
      <c r="CN663" s="2982">
        <v>1928</v>
      </c>
      <c r="CO663" s="2406">
        <f t="shared" si="903"/>
        <v>1928</v>
      </c>
      <c r="CP663" s="1261">
        <f t="shared" si="900"/>
        <v>2079</v>
      </c>
      <c r="CQ663" s="1261">
        <f t="shared" si="900"/>
        <v>2082.2400000000002</v>
      </c>
      <c r="CR663" s="1261">
        <f t="shared" si="900"/>
        <v>2101.52</v>
      </c>
      <c r="CS663">
        <f t="shared" si="900"/>
        <v>2101.52</v>
      </c>
      <c r="CT663" s="2406">
        <f t="shared" si="904"/>
        <v>2101.52</v>
      </c>
      <c r="CU663" s="3012">
        <f t="shared" si="901"/>
        <v>2259.134</v>
      </c>
      <c r="CV663" s="3012">
        <f t="shared" si="901"/>
        <v>2349.4993600000003</v>
      </c>
      <c r="CW663" s="374"/>
      <c r="CX663" s="374"/>
      <c r="CY663" s="374"/>
      <c r="CZ663" s="374"/>
      <c r="DA663" s="374"/>
      <c r="DB663" s="217"/>
    </row>
    <row r="664" spans="1:106" x14ac:dyDescent="0.2">
      <c r="A664" s="2434" t="s">
        <v>2462</v>
      </c>
      <c r="B664" s="651"/>
      <c r="C664" s="236"/>
      <c r="D664" s="207"/>
      <c r="E664" s="207"/>
      <c r="F664" s="207"/>
      <c r="G664" s="234"/>
      <c r="H664" s="236"/>
      <c r="I664" s="1428"/>
      <c r="J664" s="767"/>
      <c r="K664" s="767"/>
      <c r="L664" s="767"/>
      <c r="M664" s="761"/>
      <c r="N664" s="1428"/>
      <c r="O664" s="767"/>
      <c r="P664" s="767"/>
      <c r="Q664" s="767"/>
      <c r="R664" s="761"/>
      <c r="S664" s="1428"/>
      <c r="T664" s="767"/>
      <c r="U664" s="767"/>
      <c r="V664" s="767"/>
      <c r="W664" s="761"/>
      <c r="X664" s="1428"/>
      <c r="Y664" s="767"/>
      <c r="Z664" s="767"/>
      <c r="AA664" s="767"/>
      <c r="AB664" s="761"/>
      <c r="AC664" s="1428"/>
      <c r="AD664" s="767"/>
      <c r="AE664" s="767"/>
      <c r="AF664" s="767"/>
      <c r="AG664" s="761"/>
      <c r="AH664" s="1428"/>
      <c r="AI664" s="767"/>
      <c r="AJ664" s="767"/>
      <c r="AK664" s="767"/>
      <c r="AL664" s="761"/>
      <c r="AM664" s="1428"/>
      <c r="AN664" s="767"/>
      <c r="AO664" s="767"/>
      <c r="AP664" s="767"/>
      <c r="AQ664" s="761"/>
      <c r="AR664" s="1428"/>
      <c r="AS664" s="767"/>
      <c r="AT664" s="767"/>
      <c r="AU664" s="767"/>
      <c r="AV664" s="761"/>
      <c r="AW664" s="1428"/>
      <c r="AX664" s="767"/>
      <c r="AY664" s="767"/>
      <c r="AZ664" s="767"/>
      <c r="BA664" s="761"/>
      <c r="BB664" s="1428"/>
      <c r="BC664" s="767"/>
      <c r="BD664" s="767"/>
      <c r="BE664" s="767"/>
      <c r="BF664" s="761"/>
      <c r="BG664" s="767"/>
      <c r="BH664" s="767"/>
      <c r="BI664" s="767"/>
      <c r="BJ664" s="767"/>
      <c r="BK664" s="761"/>
      <c r="BL664" s="767"/>
      <c r="BM664" s="767"/>
      <c r="BN664" s="767"/>
      <c r="BO664" s="767"/>
      <c r="BP664" s="761"/>
      <c r="BQ664" s="767"/>
      <c r="BR664" s="767"/>
      <c r="BS664" s="767"/>
      <c r="BT664" s="767"/>
      <c r="BU664" s="761"/>
      <c r="BV664" s="767"/>
      <c r="BW664" s="767"/>
      <c r="BX664" s="767"/>
      <c r="BY664" s="767"/>
      <c r="BZ664" s="761"/>
      <c r="CA664" s="767"/>
      <c r="CB664" s="3322">
        <v>133</v>
      </c>
      <c r="CC664" s="3322">
        <v>133</v>
      </c>
      <c r="CD664" s="3322">
        <v>133</v>
      </c>
      <c r="CE664" s="3325">
        <v>133</v>
      </c>
      <c r="CF664" s="3322">
        <v>293</v>
      </c>
      <c r="CG664" s="3322">
        <v>293</v>
      </c>
      <c r="CH664" s="2983">
        <v>293</v>
      </c>
      <c r="CI664" s="2983">
        <v>293</v>
      </c>
      <c r="CJ664" s="2406">
        <f t="shared" si="902"/>
        <v>293</v>
      </c>
      <c r="CK664" s="2982">
        <v>293</v>
      </c>
      <c r="CL664" s="2982">
        <v>293</v>
      </c>
      <c r="CM664" s="2982">
        <v>293</v>
      </c>
      <c r="CN664" s="2982">
        <v>293</v>
      </c>
      <c r="CO664" s="2406">
        <f>CN664</f>
        <v>293</v>
      </c>
      <c r="CP664" s="1261">
        <f t="shared" si="900"/>
        <v>316.44</v>
      </c>
      <c r="CQ664" s="1261">
        <f t="shared" si="900"/>
        <v>316.44</v>
      </c>
      <c r="CR664" s="1261">
        <f t="shared" si="900"/>
        <v>319.37</v>
      </c>
      <c r="CS664">
        <f t="shared" si="900"/>
        <v>319.37</v>
      </c>
      <c r="CT664" s="2406">
        <f>CS664</f>
        <v>319.37</v>
      </c>
      <c r="CU664" s="3012">
        <f t="shared" si="901"/>
        <v>343.32274999999998</v>
      </c>
      <c r="CV664" s="3012">
        <f t="shared" si="901"/>
        <v>357.05565999999999</v>
      </c>
      <c r="CW664" s="374"/>
      <c r="CX664" s="374"/>
      <c r="CY664" s="374"/>
      <c r="CZ664" s="374"/>
      <c r="DA664" s="374"/>
      <c r="DB664" s="217"/>
    </row>
    <row r="665" spans="1:106" x14ac:dyDescent="0.2">
      <c r="A665" s="2434" t="s">
        <v>2463</v>
      </c>
      <c r="B665" s="651"/>
      <c r="C665" s="236"/>
      <c r="D665" s="207"/>
      <c r="E665" s="207"/>
      <c r="F665" s="207"/>
      <c r="G665" s="234"/>
      <c r="H665" s="236"/>
      <c r="I665" s="1428"/>
      <c r="J665" s="767"/>
      <c r="K665" s="767"/>
      <c r="L665" s="767"/>
      <c r="M665" s="761"/>
      <c r="N665" s="1428"/>
      <c r="O665" s="767"/>
      <c r="P665" s="767"/>
      <c r="Q665" s="767"/>
      <c r="R665" s="761"/>
      <c r="S665" s="1428"/>
      <c r="T665" s="767"/>
      <c r="U665" s="767"/>
      <c r="V665" s="767"/>
      <c r="W665" s="761"/>
      <c r="X665" s="1428"/>
      <c r="Y665" s="767"/>
      <c r="Z665" s="767"/>
      <c r="AA665" s="767"/>
      <c r="AB665" s="761"/>
      <c r="AC665" s="1428"/>
      <c r="AD665" s="767"/>
      <c r="AE665" s="767"/>
      <c r="AF665" s="767"/>
      <c r="AG665" s="761"/>
      <c r="AH665" s="1428"/>
      <c r="AI665" s="767"/>
      <c r="AJ665" s="767"/>
      <c r="AK665" s="767"/>
      <c r="AL665" s="761"/>
      <c r="AM665" s="1428"/>
      <c r="AN665" s="767"/>
      <c r="AO665" s="767"/>
      <c r="AP665" s="767"/>
      <c r="AQ665" s="761"/>
      <c r="AR665" s="1428"/>
      <c r="AS665" s="767"/>
      <c r="AT665" s="767"/>
      <c r="AU665" s="767"/>
      <c r="AV665" s="761"/>
      <c r="AW665" s="1428"/>
      <c r="AX665" s="767"/>
      <c r="AY665" s="767"/>
      <c r="AZ665" s="767"/>
      <c r="BA665" s="761"/>
      <c r="BB665" s="1428"/>
      <c r="BC665" s="767"/>
      <c r="BD665" s="767"/>
      <c r="BE665" s="767"/>
      <c r="BF665" s="761"/>
      <c r="BG665" s="767"/>
      <c r="BH665" s="767"/>
      <c r="BI665" s="767"/>
      <c r="BJ665" s="767"/>
      <c r="BK665" s="761"/>
      <c r="BL665" s="767"/>
      <c r="BM665" s="767"/>
      <c r="BN665" s="767"/>
      <c r="BO665" s="767"/>
      <c r="BP665" s="761"/>
      <c r="BQ665" s="767"/>
      <c r="BR665" s="767"/>
      <c r="BS665" s="767"/>
      <c r="BT665" s="767"/>
      <c r="BU665" s="761"/>
      <c r="BV665" s="767"/>
      <c r="BW665" s="767"/>
      <c r="BX665" s="767"/>
      <c r="BY665" s="767"/>
      <c r="BZ665" s="761"/>
      <c r="CA665" s="767"/>
      <c r="CB665" s="3322">
        <v>0</v>
      </c>
      <c r="CC665" s="3322">
        <v>91</v>
      </c>
      <c r="CD665" s="3322">
        <v>91</v>
      </c>
      <c r="CE665" s="3325">
        <v>91</v>
      </c>
      <c r="CF665" s="3322">
        <v>91</v>
      </c>
      <c r="CG665" s="3322">
        <v>184</v>
      </c>
      <c r="CH665" s="2983">
        <v>184</v>
      </c>
      <c r="CI665" s="2983">
        <v>282</v>
      </c>
      <c r="CJ665" s="2406">
        <f t="shared" si="902"/>
        <v>282</v>
      </c>
      <c r="CK665" s="2982">
        <v>515</v>
      </c>
      <c r="CL665" s="2982">
        <v>515</v>
      </c>
      <c r="CM665" s="2982">
        <v>797</v>
      </c>
      <c r="CN665" s="2982">
        <v>787</v>
      </c>
      <c r="CO665" s="2406">
        <f t="shared" si="903"/>
        <v>787</v>
      </c>
      <c r="CP665" s="1261">
        <f t="shared" si="900"/>
        <v>556.20000000000005</v>
      </c>
      <c r="CQ665" s="1261">
        <f t="shared" si="900"/>
        <v>556.20000000000005</v>
      </c>
      <c r="CR665" s="1261">
        <f t="shared" si="900"/>
        <v>868.73</v>
      </c>
      <c r="CS665">
        <f t="shared" si="900"/>
        <v>857.83</v>
      </c>
      <c r="CT665" s="2406">
        <f t="shared" si="904"/>
        <v>857.83</v>
      </c>
      <c r="CU665" s="3012">
        <f t="shared" si="901"/>
        <v>922.16724999999997</v>
      </c>
      <c r="CV665" s="3012">
        <f t="shared" si="901"/>
        <v>959.05394000000001</v>
      </c>
      <c r="CW665" s="374"/>
      <c r="CX665" s="374"/>
      <c r="CY665" s="374"/>
      <c r="CZ665" s="374"/>
      <c r="DA665" s="374"/>
      <c r="DB665" s="217"/>
    </row>
    <row r="666" spans="1:106" x14ac:dyDescent="0.2">
      <c r="A666" s="2434" t="s">
        <v>1931</v>
      </c>
      <c r="B666" s="651"/>
      <c r="C666" s="236"/>
      <c r="D666" s="207"/>
      <c r="E666" s="207"/>
      <c r="F666" s="207"/>
      <c r="G666" s="234"/>
      <c r="H666" s="236"/>
      <c r="I666" s="1428"/>
      <c r="J666" s="767"/>
      <c r="K666" s="767"/>
      <c r="L666" s="767"/>
      <c r="M666" s="761"/>
      <c r="N666" s="1428"/>
      <c r="O666" s="767"/>
      <c r="P666" s="767"/>
      <c r="Q666" s="767"/>
      <c r="R666" s="761"/>
      <c r="S666" s="1428"/>
      <c r="T666" s="767"/>
      <c r="U666" s="767"/>
      <c r="V666" s="767"/>
      <c r="W666" s="761"/>
      <c r="X666" s="1428"/>
      <c r="Y666" s="767"/>
      <c r="Z666" s="767"/>
      <c r="AA666" s="767"/>
      <c r="AB666" s="761"/>
      <c r="AC666" s="1428"/>
      <c r="AD666" s="767"/>
      <c r="AE666" s="767"/>
      <c r="AF666" s="767"/>
      <c r="AG666" s="761"/>
      <c r="AH666" s="1428"/>
      <c r="AI666" s="767"/>
      <c r="AJ666" s="767"/>
      <c r="AK666" s="767"/>
      <c r="AL666" s="761"/>
      <c r="AM666" s="1428"/>
      <c r="AN666" s="767"/>
      <c r="AO666" s="767"/>
      <c r="AP666" s="767"/>
      <c r="AQ666" s="761"/>
      <c r="AR666" s="1428"/>
      <c r="AS666" s="767"/>
      <c r="AT666" s="767"/>
      <c r="AU666" s="767"/>
      <c r="AV666" s="761"/>
      <c r="AW666" s="1428"/>
      <c r="AX666" s="767"/>
      <c r="AY666" s="767"/>
      <c r="AZ666" s="767"/>
      <c r="BA666" s="761"/>
      <c r="BB666" s="1428"/>
      <c r="BC666" s="767"/>
      <c r="BD666" s="767"/>
      <c r="BE666" s="767"/>
      <c r="BF666" s="761"/>
      <c r="BG666" s="767"/>
      <c r="BH666" s="767"/>
      <c r="BI666" s="767"/>
      <c r="BJ666" s="767"/>
      <c r="BK666" s="761"/>
      <c r="BL666" s="767"/>
      <c r="BM666" s="767"/>
      <c r="BN666" s="767"/>
      <c r="BO666" s="767"/>
      <c r="BP666" s="761"/>
      <c r="BQ666" s="767"/>
      <c r="BR666" s="767"/>
      <c r="BS666" s="767"/>
      <c r="BT666" s="767"/>
      <c r="BU666" s="761"/>
      <c r="BV666" s="767"/>
      <c r="BW666" s="767"/>
      <c r="BX666" s="767"/>
      <c r="BY666" s="767"/>
      <c r="BZ666" s="761"/>
      <c r="CA666" s="767"/>
      <c r="CB666" s="3322">
        <v>0</v>
      </c>
      <c r="CC666" s="3322">
        <v>0</v>
      </c>
      <c r="CD666" s="3322">
        <v>0</v>
      </c>
      <c r="CE666" s="3325">
        <v>0</v>
      </c>
      <c r="CF666" s="3322">
        <v>0</v>
      </c>
      <c r="CG666" s="3322">
        <v>0</v>
      </c>
      <c r="CH666" s="2349">
        <f>CG666*(1+CH$877)</f>
        <v>0</v>
      </c>
      <c r="CI666" s="2349">
        <f>CH666*(1+CI$877)</f>
        <v>0</v>
      </c>
      <c r="CJ666" s="2406">
        <f t="shared" si="902"/>
        <v>0</v>
      </c>
      <c r="CK666" s="2350">
        <f>CJ666*(1+CK$876)</f>
        <v>0</v>
      </c>
      <c r="CL666" s="2350">
        <f t="shared" si="905"/>
        <v>0</v>
      </c>
      <c r="CM666" s="2982">
        <v>64</v>
      </c>
      <c r="CN666" s="2982">
        <f>64+339</f>
        <v>403</v>
      </c>
      <c r="CO666" s="2406">
        <f t="shared" si="903"/>
        <v>403</v>
      </c>
      <c r="CP666" s="1261">
        <f t="shared" si="900"/>
        <v>0</v>
      </c>
      <c r="CQ666" s="1261">
        <f t="shared" si="900"/>
        <v>0</v>
      </c>
      <c r="CR666" s="1261">
        <f t="shared" si="900"/>
        <v>69.760000000000005</v>
      </c>
      <c r="CS666" s="2349">
        <f t="shared" si="900"/>
        <v>439.27000000000004</v>
      </c>
      <c r="CT666" s="2406">
        <f t="shared" si="904"/>
        <v>439.27000000000004</v>
      </c>
      <c r="CU666" s="3012">
        <f t="shared" si="901"/>
        <v>472.21525000000003</v>
      </c>
      <c r="CV666" s="3012">
        <f t="shared" si="901"/>
        <v>491.10386000000005</v>
      </c>
      <c r="CW666" s="374"/>
      <c r="CX666" s="374"/>
      <c r="CY666" s="374"/>
      <c r="CZ666" s="374"/>
      <c r="DA666" s="374"/>
      <c r="DB666" s="217"/>
    </row>
    <row r="667" spans="1:106" ht="4.5" customHeight="1" x14ac:dyDescent="0.35">
      <c r="A667" s="1207"/>
      <c r="B667" s="212"/>
      <c r="C667" s="212"/>
      <c r="D667" s="212"/>
      <c r="E667" s="212"/>
      <c r="F667" s="212"/>
      <c r="G667" s="212"/>
      <c r="H667" s="194"/>
      <c r="I667" s="850" t="s">
        <v>2466</v>
      </c>
      <c r="J667" s="850" t="s">
        <v>2139</v>
      </c>
      <c r="K667" s="850" t="s">
        <v>2466</v>
      </c>
      <c r="L667" s="850" t="s">
        <v>2139</v>
      </c>
      <c r="M667" s="3009" t="s">
        <v>2378</v>
      </c>
      <c r="N667" s="850" t="s">
        <v>2466</v>
      </c>
      <c r="O667" s="850" t="s">
        <v>2139</v>
      </c>
      <c r="P667" s="850" t="s">
        <v>2466</v>
      </c>
      <c r="Q667" s="850" t="s">
        <v>2139</v>
      </c>
      <c r="R667" s="3009" t="s">
        <v>2378</v>
      </c>
      <c r="S667" s="850" t="s">
        <v>2466</v>
      </c>
      <c r="T667" s="850" t="s">
        <v>2139</v>
      </c>
      <c r="U667" s="850" t="s">
        <v>2466</v>
      </c>
      <c r="V667" s="850" t="s">
        <v>2139</v>
      </c>
      <c r="W667" s="3009" t="s">
        <v>2378</v>
      </c>
      <c r="X667" s="850" t="s">
        <v>2466</v>
      </c>
      <c r="Y667" s="850" t="s">
        <v>2139</v>
      </c>
      <c r="Z667" s="850" t="s">
        <v>2466</v>
      </c>
      <c r="AA667" s="850" t="s">
        <v>2139</v>
      </c>
      <c r="AB667" s="3009" t="s">
        <v>2378</v>
      </c>
      <c r="AC667" s="850" t="s">
        <v>2466</v>
      </c>
      <c r="AD667" s="850" t="s">
        <v>2139</v>
      </c>
      <c r="AE667" s="850" t="s">
        <v>2466</v>
      </c>
      <c r="AF667" s="850" t="s">
        <v>2139</v>
      </c>
      <c r="AG667" s="3009" t="s">
        <v>2378</v>
      </c>
      <c r="AH667" s="850" t="s">
        <v>2466</v>
      </c>
      <c r="AI667" s="850" t="s">
        <v>2139</v>
      </c>
      <c r="AJ667" s="850" t="s">
        <v>2466</v>
      </c>
      <c r="AK667" s="850" t="s">
        <v>2139</v>
      </c>
      <c r="AL667" s="3009" t="s">
        <v>2378</v>
      </c>
      <c r="AM667" s="850" t="s">
        <v>2466</v>
      </c>
      <c r="AN667" s="850" t="s">
        <v>2139</v>
      </c>
      <c r="AO667" s="850" t="s">
        <v>2466</v>
      </c>
      <c r="AP667" s="850" t="s">
        <v>2139</v>
      </c>
      <c r="AQ667" s="3009" t="s">
        <v>2378</v>
      </c>
      <c r="AR667" s="850" t="s">
        <v>2466</v>
      </c>
      <c r="AS667" s="850" t="s">
        <v>2139</v>
      </c>
      <c r="AT667" s="850" t="s">
        <v>2466</v>
      </c>
      <c r="AU667" s="850" t="s">
        <v>2139</v>
      </c>
      <c r="AV667" s="3009" t="s">
        <v>2378</v>
      </c>
      <c r="AW667" s="850" t="s">
        <v>2466</v>
      </c>
      <c r="AX667" s="850" t="s">
        <v>2139</v>
      </c>
      <c r="AY667" s="850" t="s">
        <v>2466</v>
      </c>
      <c r="AZ667" s="850" t="s">
        <v>2139</v>
      </c>
      <c r="BA667" s="3009" t="s">
        <v>2378</v>
      </c>
      <c r="BB667" s="850" t="s">
        <v>2466</v>
      </c>
      <c r="BC667" s="850" t="s">
        <v>2139</v>
      </c>
      <c r="BD667" s="850" t="s">
        <v>2466</v>
      </c>
      <c r="BE667" s="850" t="s">
        <v>2139</v>
      </c>
      <c r="BF667" s="3009" t="s">
        <v>2378</v>
      </c>
      <c r="BG667" s="3011" t="s">
        <v>2467</v>
      </c>
      <c r="BH667" s="3011" t="s">
        <v>2467</v>
      </c>
      <c r="BI667" s="3011" t="s">
        <v>2467</v>
      </c>
      <c r="BJ667" s="3011" t="s">
        <v>2467</v>
      </c>
      <c r="BK667" s="3009" t="s">
        <v>2139</v>
      </c>
      <c r="BL667" s="3011" t="s">
        <v>1191</v>
      </c>
      <c r="BM667" s="3011" t="s">
        <v>1191</v>
      </c>
      <c r="BN667" s="3011" t="s">
        <v>1191</v>
      </c>
      <c r="BO667" s="3011" t="s">
        <v>1191</v>
      </c>
      <c r="BP667" s="3009" t="s">
        <v>2139</v>
      </c>
      <c r="BQ667" s="3011" t="s">
        <v>2139</v>
      </c>
      <c r="BR667" s="3011" t="s">
        <v>2139</v>
      </c>
      <c r="BS667" s="3011" t="s">
        <v>2139</v>
      </c>
      <c r="BT667" s="3011" t="s">
        <v>2139</v>
      </c>
      <c r="BU667" s="3009" t="s">
        <v>2139</v>
      </c>
      <c r="BV667" s="3011" t="s">
        <v>2468</v>
      </c>
      <c r="BW667" s="3011" t="s">
        <v>2468</v>
      </c>
      <c r="BX667" s="3011" t="s">
        <v>2468</v>
      </c>
      <c r="BY667" s="3011" t="s">
        <v>2467</v>
      </c>
      <c r="BZ667" s="3009" t="s">
        <v>2378</v>
      </c>
      <c r="CA667" s="3011" t="s">
        <v>2466</v>
      </c>
      <c r="CB667" s="3011" t="s">
        <v>2466</v>
      </c>
      <c r="CC667" s="3011" t="s">
        <v>2466</v>
      </c>
      <c r="CD667" s="3011" t="s">
        <v>2378</v>
      </c>
      <c r="CE667" s="3009" t="s">
        <v>2139</v>
      </c>
      <c r="CF667" s="3011" t="s">
        <v>2466</v>
      </c>
      <c r="CG667" s="3011" t="s">
        <v>2378</v>
      </c>
      <c r="CH667" s="3011" t="s">
        <v>2378</v>
      </c>
      <c r="CI667" s="3011" t="s">
        <v>2378</v>
      </c>
      <c r="CJ667" s="3009" t="s">
        <v>2378</v>
      </c>
      <c r="CK667" s="3502" t="s">
        <v>2378</v>
      </c>
      <c r="CL667" s="3502" t="s">
        <v>2378</v>
      </c>
      <c r="CM667" s="3011" t="s">
        <v>2378</v>
      </c>
      <c r="CN667" s="3011" t="s">
        <v>2378</v>
      </c>
      <c r="CO667" s="3009" t="s">
        <v>2378</v>
      </c>
      <c r="CP667" s="3502" t="s">
        <v>2378</v>
      </c>
      <c r="CQ667" s="3502" t="s">
        <v>2378</v>
      </c>
      <c r="CR667" s="3011" t="s">
        <v>2378</v>
      </c>
      <c r="CS667" s="3019" t="s">
        <v>2378</v>
      </c>
      <c r="CT667" s="3009" t="s">
        <v>2378</v>
      </c>
      <c r="CU667" s="3009" t="s">
        <v>2378</v>
      </c>
      <c r="CV667" s="3019" t="s">
        <v>2378</v>
      </c>
      <c r="DB667" s="217"/>
    </row>
    <row r="668" spans="1:106" x14ac:dyDescent="0.2">
      <c r="A668" s="764" t="s">
        <v>1735</v>
      </c>
      <c r="B668" s="651"/>
      <c r="C668" s="236"/>
      <c r="D668" s="207"/>
      <c r="E668" s="207"/>
      <c r="F668" s="207"/>
      <c r="G668" s="234"/>
      <c r="H668" s="236"/>
      <c r="I668" s="1433">
        <f t="shared" ref="I668:AN668" si="906">SUM(I639:I654)</f>
        <v>31990</v>
      </c>
      <c r="J668" s="852">
        <f t="shared" si="906"/>
        <v>34273</v>
      </c>
      <c r="K668" s="852">
        <f t="shared" si="906"/>
        <v>42204</v>
      </c>
      <c r="L668" s="1433">
        <f t="shared" si="906"/>
        <v>43285</v>
      </c>
      <c r="M668" s="843">
        <f t="shared" si="906"/>
        <v>43285</v>
      </c>
      <c r="N668" s="1433">
        <f t="shared" si="906"/>
        <v>44551</v>
      </c>
      <c r="O668" s="852">
        <f t="shared" si="906"/>
        <v>45240</v>
      </c>
      <c r="P668" s="852">
        <f t="shared" si="906"/>
        <v>47003</v>
      </c>
      <c r="Q668" s="1433">
        <f t="shared" si="906"/>
        <v>46845</v>
      </c>
      <c r="R668" s="843">
        <f t="shared" si="906"/>
        <v>46845</v>
      </c>
      <c r="S668" s="1433">
        <f t="shared" si="906"/>
        <v>48050</v>
      </c>
      <c r="T668" s="852">
        <f t="shared" si="906"/>
        <v>49505</v>
      </c>
      <c r="U668" s="852">
        <f t="shared" si="906"/>
        <v>51564</v>
      </c>
      <c r="V668" s="1433">
        <f t="shared" si="906"/>
        <v>52943</v>
      </c>
      <c r="W668" s="843">
        <f t="shared" si="906"/>
        <v>52943</v>
      </c>
      <c r="X668" s="1433">
        <f t="shared" si="906"/>
        <v>54696</v>
      </c>
      <c r="Y668" s="852">
        <f t="shared" si="906"/>
        <v>56080</v>
      </c>
      <c r="Z668" s="852">
        <f t="shared" si="906"/>
        <v>56523</v>
      </c>
      <c r="AA668" s="852">
        <f t="shared" si="906"/>
        <v>29953</v>
      </c>
      <c r="AB668" s="843">
        <f t="shared" si="906"/>
        <v>29953</v>
      </c>
      <c r="AC668" s="1433">
        <f t="shared" si="906"/>
        <v>30353</v>
      </c>
      <c r="AD668" s="852">
        <f t="shared" si="906"/>
        <v>22608</v>
      </c>
      <c r="AE668" s="852">
        <f t="shared" si="906"/>
        <v>23166</v>
      </c>
      <c r="AF668" s="852">
        <f t="shared" si="906"/>
        <v>23598</v>
      </c>
      <c r="AG668" s="843">
        <f t="shared" si="906"/>
        <v>23598</v>
      </c>
      <c r="AH668" s="1433">
        <f t="shared" si="906"/>
        <v>23683</v>
      </c>
      <c r="AI668" s="852">
        <f t="shared" si="906"/>
        <v>23326</v>
      </c>
      <c r="AJ668" s="852">
        <f t="shared" si="906"/>
        <v>23668</v>
      </c>
      <c r="AK668" s="852">
        <f t="shared" si="906"/>
        <v>24325</v>
      </c>
      <c r="AL668" s="843">
        <f t="shared" si="906"/>
        <v>24325</v>
      </c>
      <c r="AM668" s="1433">
        <f t="shared" si="906"/>
        <v>24599</v>
      </c>
      <c r="AN668" s="852">
        <f t="shared" si="906"/>
        <v>24271</v>
      </c>
      <c r="AO668" s="852">
        <f t="shared" ref="AO668:BT668" si="907">SUM(AO639:AO654)</f>
        <v>25124</v>
      </c>
      <c r="AP668" s="852">
        <f t="shared" si="907"/>
        <v>25456</v>
      </c>
      <c r="AQ668" s="843">
        <f t="shared" si="907"/>
        <v>25456</v>
      </c>
      <c r="AR668" s="1433">
        <f t="shared" si="907"/>
        <v>25054</v>
      </c>
      <c r="AS668" s="852">
        <f t="shared" si="907"/>
        <v>25087</v>
      </c>
      <c r="AT668" s="852">
        <f t="shared" si="907"/>
        <v>25183</v>
      </c>
      <c r="AU668" s="852">
        <f t="shared" si="907"/>
        <v>25502</v>
      </c>
      <c r="AV668" s="843">
        <f t="shared" si="907"/>
        <v>25502</v>
      </c>
      <c r="AW668" s="1433">
        <f t="shared" si="907"/>
        <v>25663</v>
      </c>
      <c r="AX668" s="852">
        <f t="shared" si="907"/>
        <v>25802</v>
      </c>
      <c r="AY668" s="852">
        <f t="shared" si="907"/>
        <v>25697</v>
      </c>
      <c r="AZ668" s="852">
        <f t="shared" si="907"/>
        <v>25560</v>
      </c>
      <c r="BA668" s="843">
        <f t="shared" si="907"/>
        <v>25560</v>
      </c>
      <c r="BB668" s="1433">
        <f t="shared" si="907"/>
        <v>26577</v>
      </c>
      <c r="BC668" s="852">
        <f t="shared" si="907"/>
        <v>26918</v>
      </c>
      <c r="BD668" s="852">
        <f t="shared" si="907"/>
        <v>27566</v>
      </c>
      <c r="BE668" s="852">
        <f t="shared" si="907"/>
        <v>27717</v>
      </c>
      <c r="BF668" s="843">
        <f t="shared" si="907"/>
        <v>27717</v>
      </c>
      <c r="BG668" s="852">
        <f t="shared" si="907"/>
        <v>28260</v>
      </c>
      <c r="BH668" s="852">
        <f t="shared" si="907"/>
        <v>28918</v>
      </c>
      <c r="BI668" s="852">
        <f t="shared" si="907"/>
        <v>29888</v>
      </c>
      <c r="BJ668" s="852">
        <f t="shared" si="907"/>
        <v>30308</v>
      </c>
      <c r="BK668" s="843">
        <f t="shared" si="907"/>
        <v>30308</v>
      </c>
      <c r="BL668" s="852">
        <f t="shared" si="907"/>
        <v>31154</v>
      </c>
      <c r="BM668" s="852">
        <f t="shared" si="907"/>
        <v>31100</v>
      </c>
      <c r="BN668" s="852">
        <f t="shared" si="907"/>
        <v>31467</v>
      </c>
      <c r="BO668" s="852">
        <f t="shared" si="907"/>
        <v>32958</v>
      </c>
      <c r="BP668" s="843">
        <f t="shared" si="907"/>
        <v>32958</v>
      </c>
      <c r="BQ668" s="852">
        <f t="shared" si="907"/>
        <v>33128</v>
      </c>
      <c r="BR668" s="852">
        <f t="shared" si="907"/>
        <v>33901</v>
      </c>
      <c r="BS668" s="852">
        <f t="shared" si="907"/>
        <v>34746</v>
      </c>
      <c r="BT668" s="852">
        <f t="shared" si="907"/>
        <v>35859</v>
      </c>
      <c r="BU668" s="843">
        <f t="shared" ref="BU668:CF668" si="908">SUM(BU639:BU654)</f>
        <v>35859</v>
      </c>
      <c r="BV668" s="852">
        <f t="shared" si="908"/>
        <v>37245</v>
      </c>
      <c r="BW668" s="852">
        <f t="shared" si="908"/>
        <v>41941</v>
      </c>
      <c r="BX668" s="852">
        <f t="shared" si="908"/>
        <v>42983</v>
      </c>
      <c r="BY668" s="852">
        <f t="shared" si="908"/>
        <v>47875</v>
      </c>
      <c r="BZ668" s="843">
        <f t="shared" si="908"/>
        <v>47875</v>
      </c>
      <c r="CA668" s="852">
        <f t="shared" si="908"/>
        <v>37339</v>
      </c>
      <c r="CB668" s="852">
        <f t="shared" si="908"/>
        <v>38681</v>
      </c>
      <c r="CC668" s="852">
        <f t="shared" si="908"/>
        <v>39794</v>
      </c>
      <c r="CD668" s="852">
        <f>SUM(CD639:CD654)</f>
        <v>42388</v>
      </c>
      <c r="CE668" s="843">
        <f t="shared" si="908"/>
        <v>42388</v>
      </c>
      <c r="CF668" s="852">
        <f t="shared" si="908"/>
        <v>43490</v>
      </c>
      <c r="CG668" s="852">
        <f>SUM(CG639:CG654)</f>
        <v>44544</v>
      </c>
      <c r="CH668" s="852">
        <f>SUM(CH638:CH654)</f>
        <v>45914</v>
      </c>
      <c r="CI668">
        <f>SUM(CI638:CI666)</f>
        <v>89612</v>
      </c>
      <c r="CJ668" s="843">
        <f t="shared" ref="CJ668:CV668" si="909">SUM(CJ638:CJ666)</f>
        <v>89612</v>
      </c>
      <c r="CK668" s="854">
        <f t="shared" si="909"/>
        <v>91212</v>
      </c>
      <c r="CL668" s="854">
        <f t="shared" ca="1" si="909"/>
        <v>92221</v>
      </c>
      <c r="CM668" s="852">
        <f t="shared" ca="1" si="909"/>
        <v>96612</v>
      </c>
      <c r="CN668" s="852">
        <f t="shared" ref="CN668" ca="1" si="910">SUM(CN638:CN666)</f>
        <v>98668</v>
      </c>
      <c r="CO668" s="852">
        <f t="shared" ca="1" si="909"/>
        <v>98668</v>
      </c>
      <c r="CP668" s="1775">
        <f t="shared" si="909"/>
        <v>98508.959999999992</v>
      </c>
      <c r="CQ668" s="854">
        <f t="shared" ca="1" si="909"/>
        <v>99598.68</v>
      </c>
      <c r="CR668" s="852">
        <f t="shared" ca="1" si="909"/>
        <v>105307.07999999999</v>
      </c>
      <c r="CS668" s="1646">
        <f t="shared" ca="1" si="909"/>
        <v>107548.12000000001</v>
      </c>
      <c r="CT668" s="852">
        <f t="shared" ca="1" si="909"/>
        <v>107548.12000000001</v>
      </c>
      <c r="CU668" s="1433">
        <f t="shared" ca="1" si="909"/>
        <v>115614.22899999999</v>
      </c>
      <c r="CV668" s="843">
        <f t="shared" ca="1" si="909"/>
        <v>120238.79816000001</v>
      </c>
      <c r="CW668" s="374"/>
      <c r="CX668" s="374"/>
      <c r="CY668" s="374"/>
      <c r="CZ668" s="374"/>
      <c r="DA668" s="374"/>
      <c r="DB668" s="217"/>
    </row>
    <row r="669" spans="1:106" x14ac:dyDescent="0.2">
      <c r="A669" s="764"/>
      <c r="B669" s="651"/>
      <c r="C669" s="236"/>
      <c r="D669" s="207"/>
      <c r="E669" s="207"/>
      <c r="F669" s="207"/>
      <c r="G669" s="234"/>
      <c r="H669" s="236"/>
      <c r="I669" s="207"/>
      <c r="J669" s="207"/>
      <c r="K669" s="207"/>
      <c r="L669" s="234"/>
      <c r="M669" s="236"/>
      <c r="N669" s="234"/>
      <c r="O669" s="234"/>
      <c r="P669" s="234"/>
      <c r="Q669" s="234"/>
      <c r="R669" s="236"/>
      <c r="S669" s="234"/>
      <c r="T669" s="234"/>
      <c r="U669" s="234"/>
      <c r="V669" s="234"/>
      <c r="W669" s="236"/>
      <c r="X669" s="234"/>
      <c r="Y669" s="234"/>
      <c r="Z669" s="234"/>
      <c r="AA669" s="234"/>
      <c r="AB669" s="236"/>
      <c r="AC669" s="234"/>
      <c r="AD669" s="234"/>
      <c r="AE669" s="234"/>
      <c r="AF669" s="234"/>
      <c r="AG669" s="236"/>
      <c r="AH669" s="234"/>
      <c r="AI669" s="234"/>
      <c r="AJ669" s="234"/>
      <c r="AK669" s="234"/>
      <c r="AL669" s="236"/>
      <c r="AM669" s="234"/>
      <c r="AN669" s="234"/>
      <c r="AO669" s="234"/>
      <c r="AP669" s="234"/>
      <c r="AQ669" s="236"/>
      <c r="AR669" s="234"/>
      <c r="AS669" s="234"/>
      <c r="AT669" s="234"/>
      <c r="AU669" s="234"/>
      <c r="AV669" s="236"/>
      <c r="AW669" s="234"/>
      <c r="AX669" s="234"/>
      <c r="AY669" s="234"/>
      <c r="AZ669" s="234"/>
      <c r="BA669" s="236"/>
      <c r="BB669" s="234"/>
      <c r="BC669" s="234"/>
      <c r="BD669" s="234"/>
      <c r="BE669" s="234"/>
      <c r="BF669" s="236"/>
      <c r="BG669" s="234"/>
      <c r="BH669" s="234"/>
      <c r="BI669" s="234"/>
      <c r="BJ669" s="234"/>
      <c r="BK669" s="236"/>
      <c r="BL669" s="234"/>
      <c r="BM669" s="234"/>
      <c r="BN669" s="234"/>
      <c r="BO669" s="212"/>
      <c r="BP669" s="194"/>
      <c r="BQ669" s="212"/>
      <c r="BR669" s="212"/>
      <c r="BS669" s="212"/>
      <c r="BT669" s="212"/>
      <c r="BU669" s="194"/>
      <c r="BV669" s="212"/>
      <c r="BW669" s="212"/>
      <c r="BX669" s="212"/>
      <c r="BY669" s="212"/>
      <c r="BZ669" s="194"/>
      <c r="CA669" s="212"/>
      <c r="CB669" s="212"/>
      <c r="CC669" s="212"/>
      <c r="CD669" s="212"/>
      <c r="CE669" s="194"/>
      <c r="CF669" s="212"/>
      <c r="CG669" s="212"/>
      <c r="CH669" s="212"/>
      <c r="CI669" s="212"/>
      <c r="CJ669" s="194"/>
      <c r="CK669" s="2907"/>
      <c r="CL669" s="212"/>
      <c r="CM669" s="212"/>
      <c r="CN669" s="212"/>
      <c r="CO669" s="194"/>
      <c r="CP669" s="2907"/>
      <c r="CQ669" s="212"/>
      <c r="CR669" s="212"/>
      <c r="CS669" s="192"/>
      <c r="CT669" s="194"/>
      <c r="CU669" s="194"/>
      <c r="CV669" s="194"/>
      <c r="CW669" s="374"/>
      <c r="CX669" s="374"/>
      <c r="CY669" s="374"/>
      <c r="CZ669" s="374"/>
      <c r="DA669" s="374"/>
      <c r="DB669" s="217"/>
    </row>
    <row r="670" spans="1:106" x14ac:dyDescent="0.2">
      <c r="A670" s="1263" t="s">
        <v>1823</v>
      </c>
      <c r="B670" s="651"/>
      <c r="C670" s="236"/>
      <c r="D670" s="207"/>
      <c r="E670" s="207"/>
      <c r="F670" s="207"/>
      <c r="G670" s="234"/>
      <c r="H670" s="236"/>
      <c r="I670" s="207"/>
      <c r="J670" s="207"/>
      <c r="K670" s="207"/>
      <c r="L670" s="234"/>
      <c r="M670" s="236"/>
      <c r="N670" s="234"/>
      <c r="O670" s="234"/>
      <c r="P670" s="234"/>
      <c r="Q670" s="234"/>
      <c r="R670" s="236"/>
      <c r="S670" s="234"/>
      <c r="T670" s="234"/>
      <c r="U670" s="234"/>
      <c r="V670" s="234"/>
      <c r="W670" s="236"/>
      <c r="X670" s="234"/>
      <c r="Y670" s="234"/>
      <c r="Z670" s="234"/>
      <c r="AA670" s="234"/>
      <c r="AB670" s="236"/>
      <c r="AC670" s="234"/>
      <c r="AD670" s="234"/>
      <c r="AE670" s="234"/>
      <c r="AF670" s="234"/>
      <c r="AG670" s="236"/>
      <c r="AH670" s="234"/>
      <c r="AI670" s="234"/>
      <c r="AJ670" s="234"/>
      <c r="AK670" s="234"/>
      <c r="AL670" s="236"/>
      <c r="AM670" s="234"/>
      <c r="AN670" s="234"/>
      <c r="AO670" s="234"/>
      <c r="AP670" s="234"/>
      <c r="AQ670" s="236"/>
      <c r="AR670" s="234"/>
      <c r="AS670" s="234"/>
      <c r="AT670" s="234"/>
      <c r="AU670" s="234"/>
      <c r="AV670" s="236"/>
      <c r="AW670" s="234"/>
      <c r="AX670" s="234"/>
      <c r="AY670" s="234"/>
      <c r="AZ670" s="234"/>
      <c r="BA670" s="236"/>
      <c r="BB670" s="234"/>
      <c r="BC670" s="234"/>
      <c r="BD670" s="234"/>
      <c r="BE670" s="234"/>
      <c r="BF670" s="236"/>
      <c r="BG670" s="234"/>
      <c r="BH670" s="234"/>
      <c r="BI670" s="234"/>
      <c r="BJ670" s="234"/>
      <c r="BK670" s="236"/>
      <c r="BL670" s="234"/>
      <c r="BM670" s="234"/>
      <c r="BN670" s="212"/>
      <c r="BO670" s="212"/>
      <c r="BP670" s="194"/>
      <c r="BQ670" s="212"/>
      <c r="BR670" s="212"/>
      <c r="BS670" s="212"/>
      <c r="BT670" s="212"/>
      <c r="BU670" s="194"/>
      <c r="BV670" s="212"/>
      <c r="BW670" s="212"/>
      <c r="BX670" s="212"/>
      <c r="BY670" s="212"/>
      <c r="BZ670" s="194"/>
      <c r="CA670" s="212"/>
      <c r="CB670" s="212"/>
      <c r="CC670" s="212"/>
      <c r="CD670" s="212"/>
      <c r="CE670" s="194"/>
      <c r="CF670" s="212"/>
      <c r="CG670" s="212"/>
      <c r="CH670" s="212"/>
      <c r="CI670" s="212"/>
      <c r="CJ670" s="194"/>
      <c r="CK670" s="2907"/>
      <c r="CL670" s="212"/>
      <c r="CM670" s="212"/>
      <c r="CN670" s="212"/>
      <c r="CO670" s="194"/>
      <c r="CP670" s="2907"/>
      <c r="CQ670" s="212"/>
      <c r="CR670" s="212"/>
      <c r="CS670" s="192"/>
      <c r="CT670" s="194"/>
      <c r="CU670" s="194"/>
      <c r="CV670" s="194"/>
      <c r="CW670" s="374"/>
      <c r="CX670" s="374"/>
      <c r="CY670" s="374"/>
      <c r="CZ670" s="374"/>
      <c r="DA670" s="374"/>
      <c r="DB670" s="217"/>
    </row>
    <row r="671" spans="1:106" x14ac:dyDescent="0.2">
      <c r="A671" s="2308" t="s">
        <v>456</v>
      </c>
      <c r="B671" s="651"/>
      <c r="C671" s="236"/>
      <c r="D671" s="234"/>
      <c r="E671" s="234"/>
      <c r="F671" s="234"/>
      <c r="G671" s="234"/>
      <c r="H671" s="236"/>
      <c r="I671" s="234"/>
      <c r="J671" s="234"/>
      <c r="K671" s="234"/>
      <c r="L671" s="234"/>
      <c r="M671" s="236"/>
      <c r="N671" s="234"/>
      <c r="O671" s="234"/>
      <c r="P671" s="234"/>
      <c r="Q671" s="234"/>
      <c r="R671" s="236"/>
      <c r="S671" s="234"/>
      <c r="T671" s="234"/>
      <c r="U671" s="234"/>
      <c r="V671" s="234"/>
      <c r="W671" s="236"/>
      <c r="X671" s="234"/>
      <c r="Y671" s="234"/>
      <c r="Z671" s="234"/>
      <c r="AA671" s="234"/>
      <c r="AB671" s="236"/>
      <c r="AC671" s="234"/>
      <c r="AD671" s="234"/>
      <c r="AE671" s="234"/>
      <c r="AF671" s="234"/>
      <c r="AG671" s="236"/>
      <c r="AH671" s="234"/>
      <c r="AI671" s="234"/>
      <c r="AJ671" s="234"/>
      <c r="AK671" s="234"/>
      <c r="AL671" s="236"/>
      <c r="AM671" s="234"/>
      <c r="AN671" s="234"/>
      <c r="AO671" s="234"/>
      <c r="AP671" s="234"/>
      <c r="AQ671" s="236"/>
      <c r="AR671" s="234"/>
      <c r="AS671" s="234"/>
      <c r="AT671" s="234"/>
      <c r="AU671" s="234"/>
      <c r="AV671" s="236"/>
      <c r="AW671" s="234"/>
      <c r="AX671" s="234"/>
      <c r="AY671" s="234"/>
      <c r="AZ671" s="234"/>
      <c r="BA671" s="236"/>
      <c r="BB671" s="234"/>
      <c r="BC671" s="234"/>
      <c r="BD671" s="234"/>
      <c r="BE671" s="234"/>
      <c r="BF671" s="236"/>
      <c r="BG671" s="234"/>
      <c r="BH671" s="234"/>
      <c r="BI671" s="234"/>
      <c r="BJ671" s="234"/>
      <c r="BK671" s="236"/>
      <c r="BL671" s="234"/>
      <c r="BM671" s="234"/>
      <c r="BN671" s="234"/>
      <c r="BO671" s="234"/>
      <c r="BP671" s="236"/>
      <c r="BQ671" s="234"/>
      <c r="BR671" s="234"/>
      <c r="BS671" s="234"/>
      <c r="BT671" s="234"/>
      <c r="BU671" s="236"/>
      <c r="BV671" s="234"/>
      <c r="BW671" s="234"/>
      <c r="BX671" s="234"/>
      <c r="BY671" s="234"/>
      <c r="BZ671" s="236"/>
      <c r="CA671" s="234"/>
      <c r="CB671" s="234"/>
      <c r="CC671" s="234"/>
      <c r="CD671" s="234"/>
      <c r="CE671" s="236"/>
      <c r="CF671" s="234"/>
      <c r="CG671" s="234"/>
      <c r="CH671" s="847">
        <f t="shared" ref="CH671:CV671" si="911">CH571+CH604+CH638</f>
        <v>19903</v>
      </c>
      <c r="CI671" s="847">
        <f t="shared" si="911"/>
        <v>21163</v>
      </c>
      <c r="CJ671" s="661">
        <f t="shared" si="911"/>
        <v>21163</v>
      </c>
      <c r="CK671" s="2350">
        <f t="shared" si="911"/>
        <v>21163</v>
      </c>
      <c r="CL671" s="847">
        <f t="shared" si="911"/>
        <v>21163</v>
      </c>
      <c r="CM671" s="847">
        <f t="shared" si="911"/>
        <v>21045</v>
      </c>
      <c r="CN671" s="847">
        <f t="shared" si="911"/>
        <v>21245</v>
      </c>
      <c r="CO671" s="661">
        <f t="shared" si="911"/>
        <v>21245</v>
      </c>
      <c r="CP671" s="1261">
        <f t="shared" ref="CP671:CT686" si="912">CP571+CP604+CP638</f>
        <v>22248.61</v>
      </c>
      <c r="CQ671" s="1261">
        <f t="shared" si="912"/>
        <v>22437.86</v>
      </c>
      <c r="CR671" s="1261">
        <f t="shared" si="912"/>
        <v>22326.66</v>
      </c>
      <c r="CS671">
        <f t="shared" si="912"/>
        <v>22538.66</v>
      </c>
      <c r="CT671" s="661">
        <f t="shared" si="912"/>
        <v>22538.66</v>
      </c>
      <c r="CU671" s="661">
        <f t="shared" si="911"/>
        <v>23786.409499999998</v>
      </c>
      <c r="CV671" s="661">
        <f t="shared" si="911"/>
        <v>24290.276129999998</v>
      </c>
      <c r="CW671" s="374"/>
      <c r="CX671" s="374"/>
      <c r="CY671" s="374"/>
      <c r="CZ671" s="374"/>
      <c r="DA671" s="374"/>
      <c r="DB671" s="217"/>
    </row>
    <row r="672" spans="1:106" x14ac:dyDescent="0.2">
      <c r="A672" s="1264" t="s">
        <v>346</v>
      </c>
      <c r="B672" s="651"/>
      <c r="C672" s="236"/>
      <c r="D672" s="207"/>
      <c r="E672" s="207"/>
      <c r="F672" s="207"/>
      <c r="G672" s="234"/>
      <c r="H672" s="236"/>
      <c r="I672" s="973">
        <f t="shared" ref="I672:AN672" si="913">I572+I605+I639</f>
        <v>38036</v>
      </c>
      <c r="J672" s="847">
        <f t="shared" si="913"/>
        <v>40138</v>
      </c>
      <c r="K672" s="847">
        <f t="shared" si="913"/>
        <v>41663</v>
      </c>
      <c r="L672" s="847">
        <f t="shared" si="913"/>
        <v>42626</v>
      </c>
      <c r="M672" s="661">
        <f t="shared" si="913"/>
        <v>42626</v>
      </c>
      <c r="N672" s="847">
        <f t="shared" si="913"/>
        <v>42776</v>
      </c>
      <c r="O672" s="847">
        <f t="shared" si="913"/>
        <v>42903</v>
      </c>
      <c r="P672" s="847">
        <f t="shared" si="913"/>
        <v>44429</v>
      </c>
      <c r="Q672" s="847">
        <f t="shared" si="913"/>
        <v>44892</v>
      </c>
      <c r="R672" s="661">
        <f t="shared" si="913"/>
        <v>44892</v>
      </c>
      <c r="S672" s="847">
        <f t="shared" si="913"/>
        <v>45824</v>
      </c>
      <c r="T672" s="847">
        <f t="shared" si="913"/>
        <v>46251</v>
      </c>
      <c r="U672" s="847">
        <f t="shared" si="913"/>
        <v>47397</v>
      </c>
      <c r="V672" s="847">
        <f t="shared" si="913"/>
        <v>47655</v>
      </c>
      <c r="W672" s="661">
        <f t="shared" si="913"/>
        <v>47655</v>
      </c>
      <c r="X672" s="847">
        <f t="shared" si="913"/>
        <v>48197</v>
      </c>
      <c r="Y672" s="847">
        <f t="shared" si="913"/>
        <v>48881</v>
      </c>
      <c r="Z672" s="847">
        <f t="shared" si="913"/>
        <v>49383</v>
      </c>
      <c r="AA672" s="847">
        <f t="shared" si="913"/>
        <v>49328</v>
      </c>
      <c r="AB672" s="661">
        <f t="shared" si="913"/>
        <v>49328</v>
      </c>
      <c r="AC672" s="847">
        <f t="shared" si="913"/>
        <v>49011</v>
      </c>
      <c r="AD672" s="847">
        <f t="shared" si="913"/>
        <v>49518</v>
      </c>
      <c r="AE672" s="847">
        <f t="shared" si="913"/>
        <v>49576</v>
      </c>
      <c r="AF672" s="847">
        <f t="shared" si="913"/>
        <v>49921</v>
      </c>
      <c r="AG672" s="661">
        <f t="shared" si="913"/>
        <v>49921</v>
      </c>
      <c r="AH672" s="847">
        <f t="shared" si="913"/>
        <v>51302</v>
      </c>
      <c r="AI672" s="847">
        <f t="shared" si="913"/>
        <v>50796</v>
      </c>
      <c r="AJ672" s="847">
        <f t="shared" si="913"/>
        <v>50564</v>
      </c>
      <c r="AK672" s="847">
        <f t="shared" si="913"/>
        <v>51307</v>
      </c>
      <c r="AL672" s="661">
        <f t="shared" si="913"/>
        <v>51307</v>
      </c>
      <c r="AM672" s="847">
        <f t="shared" si="913"/>
        <v>51872</v>
      </c>
      <c r="AN672" s="847">
        <f t="shared" si="913"/>
        <v>51997</v>
      </c>
      <c r="AO672" s="847">
        <f t="shared" ref="AO672:BT672" si="914">AO572+AO605+AO639</f>
        <v>52324</v>
      </c>
      <c r="AP672" s="847">
        <f t="shared" si="914"/>
        <v>52196</v>
      </c>
      <c r="AQ672" s="661">
        <f t="shared" si="914"/>
        <v>52196</v>
      </c>
      <c r="AR672" s="847">
        <f t="shared" si="914"/>
        <v>51966</v>
      </c>
      <c r="AS672" s="847">
        <f t="shared" si="914"/>
        <v>52457</v>
      </c>
      <c r="AT672" s="847">
        <f t="shared" si="914"/>
        <v>53805</v>
      </c>
      <c r="AU672" s="847">
        <f t="shared" si="914"/>
        <v>54617</v>
      </c>
      <c r="AV672" s="661">
        <f t="shared" si="914"/>
        <v>54617</v>
      </c>
      <c r="AW672" s="847">
        <f t="shared" si="914"/>
        <v>55740</v>
      </c>
      <c r="AX672" s="847">
        <f t="shared" si="914"/>
        <v>56514</v>
      </c>
      <c r="AY672" s="847">
        <f t="shared" si="914"/>
        <v>57010</v>
      </c>
      <c r="AZ672" s="847">
        <f t="shared" si="914"/>
        <v>58595</v>
      </c>
      <c r="BA672" s="661">
        <f t="shared" si="914"/>
        <v>58595</v>
      </c>
      <c r="BB672" s="847">
        <f t="shared" si="914"/>
        <v>59641</v>
      </c>
      <c r="BC672" s="847">
        <f t="shared" si="914"/>
        <v>59616</v>
      </c>
      <c r="BD672" s="847">
        <f t="shared" si="914"/>
        <v>59936</v>
      </c>
      <c r="BE672" s="847">
        <f t="shared" si="914"/>
        <v>60670</v>
      </c>
      <c r="BF672" s="661">
        <f t="shared" si="914"/>
        <v>60670</v>
      </c>
      <c r="BG672" s="847">
        <f t="shared" si="914"/>
        <v>61338</v>
      </c>
      <c r="BH672" s="847">
        <f t="shared" si="914"/>
        <v>61998</v>
      </c>
      <c r="BI672" s="847">
        <f t="shared" si="914"/>
        <v>62404</v>
      </c>
      <c r="BJ672" s="847">
        <f t="shared" si="914"/>
        <v>62714</v>
      </c>
      <c r="BK672" s="661">
        <f t="shared" si="914"/>
        <v>62714</v>
      </c>
      <c r="BL672" s="847">
        <f t="shared" si="914"/>
        <v>61968</v>
      </c>
      <c r="BM672" s="847">
        <f t="shared" si="914"/>
        <v>62033</v>
      </c>
      <c r="BN672" s="847">
        <f t="shared" si="914"/>
        <v>62133</v>
      </c>
      <c r="BO672" s="847">
        <f t="shared" si="914"/>
        <v>63240</v>
      </c>
      <c r="BP672" s="661">
        <f t="shared" si="914"/>
        <v>63240</v>
      </c>
      <c r="BQ672" s="847">
        <f t="shared" si="914"/>
        <v>64392</v>
      </c>
      <c r="BR672" s="847">
        <f t="shared" si="914"/>
        <v>63922</v>
      </c>
      <c r="BS672" s="847">
        <f t="shared" si="914"/>
        <v>64653</v>
      </c>
      <c r="BT672" s="847">
        <f t="shared" si="914"/>
        <v>66041</v>
      </c>
      <c r="BU672" s="661">
        <f t="shared" ref="BU672:CG672" si="915">BU572+BU605+BU639</f>
        <v>66041</v>
      </c>
      <c r="BV672" s="847">
        <f t="shared" si="915"/>
        <v>67613</v>
      </c>
      <c r="BW672" s="847">
        <f t="shared" si="915"/>
        <v>68042</v>
      </c>
      <c r="BX672" s="847">
        <f t="shared" si="915"/>
        <v>68648</v>
      </c>
      <c r="BY672" s="847">
        <f t="shared" si="915"/>
        <v>71428</v>
      </c>
      <c r="BZ672" s="661">
        <f t="shared" si="915"/>
        <v>71428</v>
      </c>
      <c r="CA672" s="847">
        <f t="shared" si="915"/>
        <v>67836</v>
      </c>
      <c r="CB672" s="847">
        <f t="shared" si="915"/>
        <v>69892</v>
      </c>
      <c r="CC672" s="847">
        <f t="shared" si="915"/>
        <v>70743</v>
      </c>
      <c r="CD672" s="847">
        <f t="shared" si="915"/>
        <v>72735</v>
      </c>
      <c r="CE672" s="661">
        <f t="shared" si="915"/>
        <v>72735</v>
      </c>
      <c r="CF672" s="847">
        <f t="shared" si="915"/>
        <v>73998</v>
      </c>
      <c r="CG672" s="847">
        <f t="shared" si="915"/>
        <v>75684</v>
      </c>
      <c r="CH672" s="847">
        <f t="shared" ref="CH672:CV672" si="916">CH572+CH605+CH639</f>
        <v>56211</v>
      </c>
      <c r="CI672" s="847">
        <f t="shared" si="916"/>
        <v>58483</v>
      </c>
      <c r="CJ672" s="661">
        <f t="shared" si="916"/>
        <v>58483</v>
      </c>
      <c r="CK672" s="2350">
        <f t="shared" si="916"/>
        <v>59186</v>
      </c>
      <c r="CL672" s="847">
        <f t="shared" si="916"/>
        <v>60192</v>
      </c>
      <c r="CM672" s="847">
        <f t="shared" si="916"/>
        <v>61235</v>
      </c>
      <c r="CN672" s="847">
        <f t="shared" si="916"/>
        <v>62947</v>
      </c>
      <c r="CO672" s="661">
        <f t="shared" si="916"/>
        <v>62947</v>
      </c>
      <c r="CP672" s="1261">
        <f t="shared" si="912"/>
        <v>62433.32</v>
      </c>
      <c r="CQ672" s="1261">
        <f t="shared" si="912"/>
        <v>63955.08</v>
      </c>
      <c r="CR672" s="1261">
        <f t="shared" si="912"/>
        <v>65210.51</v>
      </c>
      <c r="CS672">
        <f t="shared" si="912"/>
        <v>67039.600000000006</v>
      </c>
      <c r="CT672" s="661">
        <f t="shared" si="912"/>
        <v>67039.600000000006</v>
      </c>
      <c r="CU672" s="661">
        <f t="shared" si="916"/>
        <v>70937.719800000006</v>
      </c>
      <c r="CV672" s="661">
        <f t="shared" si="916"/>
        <v>72646.814756000007</v>
      </c>
      <c r="CW672" s="374"/>
      <c r="CX672" s="374"/>
      <c r="CY672" s="374"/>
      <c r="CZ672" s="374"/>
      <c r="DA672" s="374"/>
      <c r="DB672" s="217"/>
    </row>
    <row r="673" spans="1:256" x14ac:dyDescent="0.2">
      <c r="A673" s="1264" t="s">
        <v>1385</v>
      </c>
      <c r="B673" s="651"/>
      <c r="C673" s="236"/>
      <c r="D673" s="207"/>
      <c r="E673" s="207"/>
      <c r="F673" s="207"/>
      <c r="G673" s="234"/>
      <c r="H673" s="236"/>
      <c r="I673" s="973">
        <f t="shared" ref="I673:AN673" si="917">I573+I606+I640</f>
        <v>21028</v>
      </c>
      <c r="J673" s="847">
        <f t="shared" si="917"/>
        <v>21294</v>
      </c>
      <c r="K673" s="847">
        <f t="shared" si="917"/>
        <v>21736</v>
      </c>
      <c r="L673" s="847">
        <f t="shared" si="917"/>
        <v>21844</v>
      </c>
      <c r="M673" s="661">
        <f t="shared" si="917"/>
        <v>21844</v>
      </c>
      <c r="N673" s="847">
        <f t="shared" si="917"/>
        <v>22213</v>
      </c>
      <c r="O673" s="847">
        <f t="shared" si="917"/>
        <v>22207</v>
      </c>
      <c r="P673" s="847">
        <f t="shared" si="917"/>
        <v>21914</v>
      </c>
      <c r="Q673" s="847">
        <f t="shared" si="917"/>
        <v>21838</v>
      </c>
      <c r="R673" s="661">
        <f t="shared" si="917"/>
        <v>21838</v>
      </c>
      <c r="S673" s="847">
        <f t="shared" si="917"/>
        <v>21729</v>
      </c>
      <c r="T673" s="847">
        <f t="shared" si="917"/>
        <v>21074</v>
      </c>
      <c r="U673" s="847">
        <f t="shared" si="917"/>
        <v>21082</v>
      </c>
      <c r="V673" s="847">
        <f t="shared" si="917"/>
        <v>21315</v>
      </c>
      <c r="W673" s="661">
        <f t="shared" si="917"/>
        <v>21315</v>
      </c>
      <c r="X673" s="847">
        <f t="shared" si="917"/>
        <v>21588</v>
      </c>
      <c r="Y673" s="847">
        <f t="shared" si="917"/>
        <v>22401</v>
      </c>
      <c r="Z673" s="847">
        <f t="shared" si="917"/>
        <v>22344</v>
      </c>
      <c r="AA673" s="847">
        <f t="shared" si="917"/>
        <v>21985</v>
      </c>
      <c r="AB673" s="661">
        <f t="shared" si="917"/>
        <v>21985</v>
      </c>
      <c r="AC673" s="847">
        <f t="shared" si="917"/>
        <v>22383</v>
      </c>
      <c r="AD673" s="847">
        <f t="shared" si="917"/>
        <v>22374</v>
      </c>
      <c r="AE673" s="847">
        <f t="shared" si="917"/>
        <v>22451</v>
      </c>
      <c r="AF673" s="847">
        <f t="shared" si="917"/>
        <v>22801</v>
      </c>
      <c r="AG673" s="661">
        <f t="shared" si="917"/>
        <v>22801</v>
      </c>
      <c r="AH673" s="847">
        <f t="shared" si="917"/>
        <v>22610</v>
      </c>
      <c r="AI673" s="847">
        <f t="shared" si="917"/>
        <v>22409</v>
      </c>
      <c r="AJ673" s="847">
        <f t="shared" si="917"/>
        <v>23144</v>
      </c>
      <c r="AK673" s="847">
        <f t="shared" si="917"/>
        <v>23120</v>
      </c>
      <c r="AL673" s="661">
        <f t="shared" si="917"/>
        <v>23120</v>
      </c>
      <c r="AM673" s="847">
        <f t="shared" si="917"/>
        <v>23488</v>
      </c>
      <c r="AN673" s="847">
        <f t="shared" si="917"/>
        <v>23423</v>
      </c>
      <c r="AO673" s="847">
        <f t="shared" ref="AO673:BT673" si="918">AO573+AO606+AO640</f>
        <v>23958</v>
      </c>
      <c r="AP673" s="847">
        <f t="shared" si="918"/>
        <v>22817</v>
      </c>
      <c r="AQ673" s="661">
        <f t="shared" si="918"/>
        <v>22817</v>
      </c>
      <c r="AR673" s="847">
        <f t="shared" si="918"/>
        <v>22400</v>
      </c>
      <c r="AS673" s="847">
        <f t="shared" si="918"/>
        <v>21118</v>
      </c>
      <c r="AT673" s="847">
        <f t="shared" si="918"/>
        <v>21684</v>
      </c>
      <c r="AU673" s="847">
        <f t="shared" si="918"/>
        <v>21615</v>
      </c>
      <c r="AV673" s="661">
        <f t="shared" si="918"/>
        <v>21615</v>
      </c>
      <c r="AW673" s="847">
        <f t="shared" si="918"/>
        <v>22536</v>
      </c>
      <c r="AX673" s="847">
        <f t="shared" si="918"/>
        <v>22698</v>
      </c>
      <c r="AY673" s="847">
        <f t="shared" si="918"/>
        <v>22291</v>
      </c>
      <c r="AZ673" s="847">
        <f t="shared" si="918"/>
        <v>21664</v>
      </c>
      <c r="BA673" s="661">
        <f t="shared" si="918"/>
        <v>21664</v>
      </c>
      <c r="BB673" s="847">
        <f t="shared" si="918"/>
        <v>21992</v>
      </c>
      <c r="BC673" s="847">
        <f t="shared" si="918"/>
        <v>22255</v>
      </c>
      <c r="BD673" s="847">
        <f t="shared" si="918"/>
        <v>22622</v>
      </c>
      <c r="BE673" s="847">
        <f t="shared" si="918"/>
        <v>22720</v>
      </c>
      <c r="BF673" s="661">
        <f t="shared" si="918"/>
        <v>22720</v>
      </c>
      <c r="BG673" s="847">
        <f t="shared" si="918"/>
        <v>23297</v>
      </c>
      <c r="BH673" s="847">
        <f t="shared" si="918"/>
        <v>23215</v>
      </c>
      <c r="BI673" s="847">
        <f t="shared" si="918"/>
        <v>23740</v>
      </c>
      <c r="BJ673" s="847">
        <f t="shared" si="918"/>
        <v>23737</v>
      </c>
      <c r="BK673" s="661">
        <f t="shared" si="918"/>
        <v>23737</v>
      </c>
      <c r="BL673" s="847">
        <f t="shared" si="918"/>
        <v>23730</v>
      </c>
      <c r="BM673" s="847">
        <f t="shared" si="918"/>
        <v>24231</v>
      </c>
      <c r="BN673" s="847">
        <f t="shared" si="918"/>
        <v>24596</v>
      </c>
      <c r="BO673" s="847">
        <f t="shared" si="918"/>
        <v>24692</v>
      </c>
      <c r="BP673" s="661">
        <f t="shared" si="918"/>
        <v>24692</v>
      </c>
      <c r="BQ673" s="847">
        <f t="shared" si="918"/>
        <v>24400</v>
      </c>
      <c r="BR673" s="847">
        <f t="shared" si="918"/>
        <v>25090</v>
      </c>
      <c r="BS673" s="847">
        <f t="shared" si="918"/>
        <v>25203</v>
      </c>
      <c r="BT673" s="847">
        <f t="shared" si="918"/>
        <v>24711</v>
      </c>
      <c r="BU673" s="661">
        <f t="shared" ref="BU673:CV673" si="919">BU573+BU606+BU640</f>
        <v>24711</v>
      </c>
      <c r="BV673" s="847">
        <f t="shared" si="919"/>
        <v>24809</v>
      </c>
      <c r="BW673" s="847">
        <f t="shared" si="919"/>
        <v>25745</v>
      </c>
      <c r="BX673" s="847">
        <f t="shared" si="919"/>
        <v>25368</v>
      </c>
      <c r="BY673" s="847">
        <f t="shared" si="919"/>
        <v>25368</v>
      </c>
      <c r="BZ673" s="661">
        <f t="shared" si="919"/>
        <v>25368</v>
      </c>
      <c r="CA673" s="847">
        <f t="shared" si="919"/>
        <v>24366</v>
      </c>
      <c r="CB673" s="847">
        <f t="shared" si="919"/>
        <v>24361</v>
      </c>
      <c r="CC673" s="847">
        <f t="shared" si="919"/>
        <v>24557</v>
      </c>
      <c r="CD673" s="847">
        <f t="shared" si="919"/>
        <v>24234</v>
      </c>
      <c r="CE673" s="661">
        <f t="shared" si="919"/>
        <v>24234</v>
      </c>
      <c r="CF673" s="847">
        <f t="shared" si="919"/>
        <v>23787</v>
      </c>
      <c r="CG673" s="847">
        <f t="shared" si="919"/>
        <v>23913</v>
      </c>
      <c r="CH673" s="847">
        <f t="shared" si="919"/>
        <v>23912</v>
      </c>
      <c r="CI673" s="847">
        <f t="shared" si="919"/>
        <v>24088</v>
      </c>
      <c r="CJ673" s="661">
        <f t="shared" si="919"/>
        <v>24088</v>
      </c>
      <c r="CK673" s="2350">
        <f t="shared" ref="CK673:CK686" si="920">CK573+CK606+CK640</f>
        <v>23818</v>
      </c>
      <c r="CL673" s="847">
        <f t="shared" si="919"/>
        <v>24105</v>
      </c>
      <c r="CM673" s="847">
        <f t="shared" si="919"/>
        <v>24378</v>
      </c>
      <c r="CN673" s="847">
        <f t="shared" si="919"/>
        <v>24787</v>
      </c>
      <c r="CO673" s="661">
        <f t="shared" si="919"/>
        <v>24787</v>
      </c>
      <c r="CP673" s="1261">
        <f t="shared" si="912"/>
        <v>25186.489999999998</v>
      </c>
      <c r="CQ673" s="1261">
        <f t="shared" si="912"/>
        <v>25649.72</v>
      </c>
      <c r="CR673" s="1261">
        <f t="shared" si="912"/>
        <v>26018.97</v>
      </c>
      <c r="CS673" s="1261">
        <f t="shared" si="912"/>
        <v>26452.390000000003</v>
      </c>
      <c r="CT673" s="661">
        <f t="shared" si="912"/>
        <v>26452.390000000003</v>
      </c>
      <c r="CU673" s="661">
        <f t="shared" si="919"/>
        <v>28028.203050000004</v>
      </c>
      <c r="CV673" s="661">
        <f t="shared" si="919"/>
        <v>28748.073206000005</v>
      </c>
      <c r="CW673" s="374"/>
      <c r="CX673" s="374"/>
      <c r="CY673" s="374"/>
      <c r="CZ673" s="374"/>
      <c r="DA673" s="374"/>
      <c r="DB673" s="217"/>
    </row>
    <row r="674" spans="1:256" x14ac:dyDescent="0.2">
      <c r="A674" s="1264" t="s">
        <v>512</v>
      </c>
      <c r="B674" s="651"/>
      <c r="C674" s="236"/>
      <c r="D674" s="207"/>
      <c r="E674" s="207"/>
      <c r="F674" s="207"/>
      <c r="G674" s="234"/>
      <c r="H674" s="236"/>
      <c r="I674" s="973">
        <f t="shared" ref="I674:AN674" si="921">I574+I607+I641</f>
        <v>0</v>
      </c>
      <c r="J674" s="847">
        <f t="shared" si="921"/>
        <v>0</v>
      </c>
      <c r="K674" s="847">
        <f t="shared" si="921"/>
        <v>0</v>
      </c>
      <c r="L674" s="847">
        <f t="shared" si="921"/>
        <v>0</v>
      </c>
      <c r="M674" s="661">
        <f t="shared" si="921"/>
        <v>0</v>
      </c>
      <c r="N674" s="847">
        <f t="shared" si="921"/>
        <v>0</v>
      </c>
      <c r="O674" s="847">
        <f t="shared" si="921"/>
        <v>0</v>
      </c>
      <c r="P674" s="847">
        <f t="shared" si="921"/>
        <v>0</v>
      </c>
      <c r="Q674" s="847">
        <f t="shared" si="921"/>
        <v>0</v>
      </c>
      <c r="R674" s="661">
        <f t="shared" si="921"/>
        <v>0</v>
      </c>
      <c r="S674" s="847">
        <f t="shared" si="921"/>
        <v>0</v>
      </c>
      <c r="T674" s="847">
        <f t="shared" si="921"/>
        <v>0</v>
      </c>
      <c r="U674" s="847">
        <f t="shared" si="921"/>
        <v>0</v>
      </c>
      <c r="V674" s="847">
        <f t="shared" si="921"/>
        <v>0</v>
      </c>
      <c r="W674" s="661">
        <f t="shared" si="921"/>
        <v>0</v>
      </c>
      <c r="X674" s="847">
        <f t="shared" si="921"/>
        <v>0</v>
      </c>
      <c r="Y674" s="847">
        <f t="shared" si="921"/>
        <v>0</v>
      </c>
      <c r="Z674" s="847">
        <f t="shared" si="921"/>
        <v>0</v>
      </c>
      <c r="AA674" s="847">
        <f t="shared" si="921"/>
        <v>0</v>
      </c>
      <c r="AB674" s="661">
        <f t="shared" si="921"/>
        <v>0</v>
      </c>
      <c r="AC674" s="847">
        <f t="shared" si="921"/>
        <v>0</v>
      </c>
      <c r="AD674" s="847">
        <f t="shared" si="921"/>
        <v>0</v>
      </c>
      <c r="AE674" s="847">
        <f t="shared" si="921"/>
        <v>0</v>
      </c>
      <c r="AF674" s="847">
        <f t="shared" si="921"/>
        <v>0</v>
      </c>
      <c r="AG674" s="661">
        <f t="shared" si="921"/>
        <v>0</v>
      </c>
      <c r="AH674" s="973">
        <f t="shared" si="921"/>
        <v>0</v>
      </c>
      <c r="AI674" s="847">
        <f t="shared" si="921"/>
        <v>0</v>
      </c>
      <c r="AJ674" s="847">
        <f t="shared" si="921"/>
        <v>0</v>
      </c>
      <c r="AK674" s="847">
        <f t="shared" si="921"/>
        <v>0</v>
      </c>
      <c r="AL674" s="661">
        <f t="shared" si="921"/>
        <v>0</v>
      </c>
      <c r="AM674" s="973">
        <f t="shared" si="921"/>
        <v>0</v>
      </c>
      <c r="AN674" s="847">
        <f t="shared" si="921"/>
        <v>0</v>
      </c>
      <c r="AO674" s="847">
        <f t="shared" ref="AO674:BT674" si="922">AO574+AO607+AO641</f>
        <v>0</v>
      </c>
      <c r="AP674" s="847">
        <f t="shared" si="922"/>
        <v>0</v>
      </c>
      <c r="AQ674" s="661">
        <f t="shared" si="922"/>
        <v>0</v>
      </c>
      <c r="AR674" s="973">
        <f t="shared" si="922"/>
        <v>0</v>
      </c>
      <c r="AS674" s="847">
        <f t="shared" si="922"/>
        <v>0</v>
      </c>
      <c r="AT674" s="847">
        <f t="shared" si="922"/>
        <v>0</v>
      </c>
      <c r="AU674" s="847">
        <f t="shared" si="922"/>
        <v>0</v>
      </c>
      <c r="AV674" s="661">
        <f t="shared" si="922"/>
        <v>0</v>
      </c>
      <c r="AW674" s="847">
        <f t="shared" si="922"/>
        <v>0</v>
      </c>
      <c r="AX674" s="847">
        <f t="shared" si="922"/>
        <v>0</v>
      </c>
      <c r="AY674" s="847">
        <f t="shared" si="922"/>
        <v>0</v>
      </c>
      <c r="AZ674" s="847">
        <f t="shared" si="922"/>
        <v>0</v>
      </c>
      <c r="BA674" s="661">
        <f t="shared" si="922"/>
        <v>0</v>
      </c>
      <c r="BB674" s="847">
        <f t="shared" si="922"/>
        <v>0</v>
      </c>
      <c r="BC674" s="847">
        <f t="shared" si="922"/>
        <v>0</v>
      </c>
      <c r="BD674" s="847">
        <f t="shared" si="922"/>
        <v>0</v>
      </c>
      <c r="BE674" s="847">
        <f t="shared" si="922"/>
        <v>0</v>
      </c>
      <c r="BF674" s="661">
        <f t="shared" si="922"/>
        <v>0</v>
      </c>
      <c r="BG674" s="847">
        <f t="shared" si="922"/>
        <v>0</v>
      </c>
      <c r="BH674" s="847">
        <f t="shared" si="922"/>
        <v>0</v>
      </c>
      <c r="BI674" s="847">
        <f t="shared" si="922"/>
        <v>496</v>
      </c>
      <c r="BJ674" s="847">
        <f t="shared" si="922"/>
        <v>548</v>
      </c>
      <c r="BK674" s="661">
        <f t="shared" si="922"/>
        <v>548</v>
      </c>
      <c r="BL674" s="847">
        <f t="shared" si="922"/>
        <v>548</v>
      </c>
      <c r="BM674" s="847">
        <f t="shared" si="922"/>
        <v>676</v>
      </c>
      <c r="BN674" s="847">
        <f t="shared" si="922"/>
        <v>676</v>
      </c>
      <c r="BO674" s="847">
        <f t="shared" si="922"/>
        <v>1056</v>
      </c>
      <c r="BP674" s="661">
        <f t="shared" si="922"/>
        <v>1056</v>
      </c>
      <c r="BQ674" s="847">
        <f t="shared" si="922"/>
        <v>1223</v>
      </c>
      <c r="BR674" s="847">
        <f t="shared" si="922"/>
        <v>1693</v>
      </c>
      <c r="BS674" s="847">
        <f t="shared" si="922"/>
        <v>2037</v>
      </c>
      <c r="BT674" s="847">
        <f t="shared" si="922"/>
        <v>2705</v>
      </c>
      <c r="BU674" s="661">
        <f t="shared" ref="BU674:CV674" si="923">BU574+BU607+BU641</f>
        <v>2705</v>
      </c>
      <c r="BV674" s="847">
        <f t="shared" si="923"/>
        <v>3127</v>
      </c>
      <c r="BW674" s="847">
        <f t="shared" si="923"/>
        <v>3168</v>
      </c>
      <c r="BX674" s="847">
        <f t="shared" si="923"/>
        <v>3173</v>
      </c>
      <c r="BY674" s="847">
        <f t="shared" si="923"/>
        <v>7080</v>
      </c>
      <c r="BZ674" s="661">
        <f t="shared" si="923"/>
        <v>7080</v>
      </c>
      <c r="CA674" s="847">
        <f t="shared" si="923"/>
        <v>8112</v>
      </c>
      <c r="CB674" s="847">
        <f t="shared" si="923"/>
        <v>9080</v>
      </c>
      <c r="CC674" s="847">
        <f t="shared" si="923"/>
        <v>9207</v>
      </c>
      <c r="CD674" s="847">
        <f t="shared" si="923"/>
        <v>9325</v>
      </c>
      <c r="CE674" s="661">
        <f t="shared" si="923"/>
        <v>9325</v>
      </c>
      <c r="CF674" s="847">
        <f t="shared" si="923"/>
        <v>9820</v>
      </c>
      <c r="CG674" s="847">
        <f t="shared" si="923"/>
        <v>9875</v>
      </c>
      <c r="CH674" s="847">
        <f t="shared" si="923"/>
        <v>10057</v>
      </c>
      <c r="CI674" s="847">
        <f t="shared" si="923"/>
        <v>10292</v>
      </c>
      <c r="CJ674" s="661">
        <f t="shared" si="923"/>
        <v>10292</v>
      </c>
      <c r="CK674" s="2350">
        <f t="shared" si="920"/>
        <v>11554</v>
      </c>
      <c r="CL674" s="847">
        <f t="shared" si="923"/>
        <v>11708</v>
      </c>
      <c r="CM674" s="847">
        <f t="shared" si="923"/>
        <v>12294</v>
      </c>
      <c r="CN674" s="847">
        <f t="shared" si="923"/>
        <v>12294</v>
      </c>
      <c r="CO674" s="661">
        <f t="shared" si="923"/>
        <v>12294</v>
      </c>
      <c r="CP674" s="1261">
        <f t="shared" si="912"/>
        <v>12434.64</v>
      </c>
      <c r="CQ674" s="1261">
        <f t="shared" si="912"/>
        <v>12614.100000000002</v>
      </c>
      <c r="CR674" s="1261">
        <f t="shared" si="912"/>
        <v>13356.78</v>
      </c>
      <c r="CS674" s="1261">
        <f t="shared" si="912"/>
        <v>13356.78</v>
      </c>
      <c r="CT674" s="661">
        <f t="shared" si="912"/>
        <v>13356.78</v>
      </c>
      <c r="CU674" s="661">
        <f t="shared" si="923"/>
        <v>14327.6713</v>
      </c>
      <c r="CV674" s="661">
        <f t="shared" si="923"/>
        <v>14868.213256000001</v>
      </c>
      <c r="CW674" s="374"/>
      <c r="CX674" s="374"/>
      <c r="CY674" s="374"/>
      <c r="CZ674" s="374"/>
      <c r="DA674" s="374"/>
      <c r="DB674" s="217"/>
    </row>
    <row r="675" spans="1:256" x14ac:dyDescent="0.2">
      <c r="A675" s="2632" t="s">
        <v>608</v>
      </c>
      <c r="B675" s="651"/>
      <c r="C675" s="236"/>
      <c r="D675" s="207"/>
      <c r="E675" s="207"/>
      <c r="F675" s="207"/>
      <c r="G675" s="234"/>
      <c r="H675" s="236"/>
      <c r="I675" s="973">
        <f t="shared" ref="I675:AN675" si="924">I575+I608+I642</f>
        <v>0</v>
      </c>
      <c r="J675" s="847">
        <f t="shared" si="924"/>
        <v>0</v>
      </c>
      <c r="K675" s="847">
        <f t="shared" si="924"/>
        <v>0</v>
      </c>
      <c r="L675" s="847">
        <f t="shared" si="924"/>
        <v>0</v>
      </c>
      <c r="M675" s="661">
        <f t="shared" si="924"/>
        <v>0</v>
      </c>
      <c r="N675" s="847">
        <f t="shared" si="924"/>
        <v>0</v>
      </c>
      <c r="O675" s="847">
        <f t="shared" si="924"/>
        <v>0</v>
      </c>
      <c r="P675" s="847">
        <f t="shared" si="924"/>
        <v>0</v>
      </c>
      <c r="Q675" s="847">
        <f t="shared" si="924"/>
        <v>0</v>
      </c>
      <c r="R675" s="661">
        <f t="shared" si="924"/>
        <v>0</v>
      </c>
      <c r="S675" s="847">
        <f t="shared" si="924"/>
        <v>0</v>
      </c>
      <c r="T675" s="847">
        <f t="shared" si="924"/>
        <v>0</v>
      </c>
      <c r="U675" s="847">
        <f t="shared" si="924"/>
        <v>0</v>
      </c>
      <c r="V675" s="847">
        <f t="shared" si="924"/>
        <v>0</v>
      </c>
      <c r="W675" s="661">
        <f t="shared" si="924"/>
        <v>0</v>
      </c>
      <c r="X675" s="847">
        <f t="shared" si="924"/>
        <v>0</v>
      </c>
      <c r="Y675" s="847">
        <f t="shared" si="924"/>
        <v>0</v>
      </c>
      <c r="Z675" s="847">
        <f t="shared" si="924"/>
        <v>0</v>
      </c>
      <c r="AA675" s="847">
        <f t="shared" si="924"/>
        <v>0</v>
      </c>
      <c r="AB675" s="661">
        <f t="shared" si="924"/>
        <v>0</v>
      </c>
      <c r="AC675" s="847">
        <f t="shared" si="924"/>
        <v>0</v>
      </c>
      <c r="AD675" s="847">
        <f t="shared" si="924"/>
        <v>0</v>
      </c>
      <c r="AE675" s="847">
        <f t="shared" si="924"/>
        <v>0</v>
      </c>
      <c r="AF675" s="847">
        <f t="shared" si="924"/>
        <v>0</v>
      </c>
      <c r="AG675" s="661">
        <f t="shared" si="924"/>
        <v>0</v>
      </c>
      <c r="AH675" s="973">
        <f t="shared" si="924"/>
        <v>0</v>
      </c>
      <c r="AI675" s="847">
        <f t="shared" si="924"/>
        <v>0</v>
      </c>
      <c r="AJ675" s="847">
        <f t="shared" si="924"/>
        <v>0</v>
      </c>
      <c r="AK675" s="847">
        <f t="shared" si="924"/>
        <v>0</v>
      </c>
      <c r="AL675" s="661">
        <f t="shared" si="924"/>
        <v>0</v>
      </c>
      <c r="AM675" s="973">
        <f t="shared" si="924"/>
        <v>0</v>
      </c>
      <c r="AN675" s="847">
        <f t="shared" si="924"/>
        <v>0</v>
      </c>
      <c r="AO675" s="847">
        <f t="shared" ref="AO675:BT675" si="925">AO575+AO608+AO642</f>
        <v>0</v>
      </c>
      <c r="AP675" s="847">
        <f t="shared" si="925"/>
        <v>0</v>
      </c>
      <c r="AQ675" s="661">
        <f t="shared" si="925"/>
        <v>0</v>
      </c>
      <c r="AR675" s="973">
        <f t="shared" si="925"/>
        <v>0</v>
      </c>
      <c r="AS675" s="847">
        <f t="shared" si="925"/>
        <v>0</v>
      </c>
      <c r="AT675" s="847">
        <f t="shared" si="925"/>
        <v>0</v>
      </c>
      <c r="AU675" s="847">
        <f t="shared" si="925"/>
        <v>0</v>
      </c>
      <c r="AV675" s="661">
        <f t="shared" si="925"/>
        <v>0</v>
      </c>
      <c r="AW675" s="847">
        <f t="shared" si="925"/>
        <v>0</v>
      </c>
      <c r="AX675" s="847">
        <f t="shared" si="925"/>
        <v>0</v>
      </c>
      <c r="AY675" s="847">
        <f t="shared" si="925"/>
        <v>0</v>
      </c>
      <c r="AZ675" s="847">
        <f t="shared" si="925"/>
        <v>0</v>
      </c>
      <c r="BA675" s="661">
        <f t="shared" si="925"/>
        <v>0</v>
      </c>
      <c r="BB675" s="847">
        <f t="shared" si="925"/>
        <v>0</v>
      </c>
      <c r="BC675" s="847">
        <f t="shared" si="925"/>
        <v>0</v>
      </c>
      <c r="BD675" s="847">
        <f t="shared" si="925"/>
        <v>0</v>
      </c>
      <c r="BE675" s="847">
        <f t="shared" si="925"/>
        <v>0</v>
      </c>
      <c r="BF675" s="661">
        <f t="shared" si="925"/>
        <v>0</v>
      </c>
      <c r="BG675" s="847">
        <f t="shared" si="925"/>
        <v>0</v>
      </c>
      <c r="BH675" s="847">
        <f t="shared" si="925"/>
        <v>0</v>
      </c>
      <c r="BI675" s="847">
        <f t="shared" si="925"/>
        <v>0</v>
      </c>
      <c r="BJ675" s="847">
        <f t="shared" si="925"/>
        <v>0</v>
      </c>
      <c r="BK675" s="661">
        <f t="shared" si="925"/>
        <v>0</v>
      </c>
      <c r="BL675" s="847">
        <f t="shared" si="925"/>
        <v>0</v>
      </c>
      <c r="BM675" s="847">
        <f t="shared" si="925"/>
        <v>0</v>
      </c>
      <c r="BN675" s="847">
        <f t="shared" si="925"/>
        <v>0</v>
      </c>
      <c r="BO675" s="847">
        <f t="shared" si="925"/>
        <v>0</v>
      </c>
      <c r="BP675" s="661">
        <f t="shared" si="925"/>
        <v>0</v>
      </c>
      <c r="BQ675" s="847">
        <f t="shared" si="925"/>
        <v>0</v>
      </c>
      <c r="BR675" s="847">
        <f t="shared" si="925"/>
        <v>0</v>
      </c>
      <c r="BS675" s="847">
        <f t="shared" si="925"/>
        <v>0</v>
      </c>
      <c r="BT675" s="847">
        <f t="shared" si="925"/>
        <v>0</v>
      </c>
      <c r="BU675" s="661">
        <f t="shared" ref="BU675:CV675" si="926">BU575+BU608+BU642</f>
        <v>0</v>
      </c>
      <c r="BV675" s="847">
        <f t="shared" si="926"/>
        <v>0</v>
      </c>
      <c r="BW675" s="847">
        <f t="shared" si="926"/>
        <v>0</v>
      </c>
      <c r="BX675" s="847">
        <f t="shared" si="926"/>
        <v>162</v>
      </c>
      <c r="BY675" s="847">
        <f t="shared" si="926"/>
        <v>162</v>
      </c>
      <c r="BZ675" s="661">
        <f t="shared" si="926"/>
        <v>162</v>
      </c>
      <c r="CA675" s="847">
        <f t="shared" si="926"/>
        <v>162</v>
      </c>
      <c r="CB675" s="847">
        <f t="shared" si="926"/>
        <v>162</v>
      </c>
      <c r="CC675" s="847">
        <f t="shared" si="926"/>
        <v>162</v>
      </c>
      <c r="CD675" s="847">
        <f t="shared" si="926"/>
        <v>162</v>
      </c>
      <c r="CE675" s="661">
        <f t="shared" si="926"/>
        <v>162</v>
      </c>
      <c r="CF675" s="847">
        <f t="shared" si="926"/>
        <v>414</v>
      </c>
      <c r="CG675" s="847">
        <f t="shared" si="926"/>
        <v>414</v>
      </c>
      <c r="CH675" s="847">
        <f t="shared" si="926"/>
        <v>800</v>
      </c>
      <c r="CI675" s="847">
        <f t="shared" si="926"/>
        <v>1000</v>
      </c>
      <c r="CJ675" s="661">
        <f t="shared" si="926"/>
        <v>1000</v>
      </c>
      <c r="CK675" s="2350">
        <f t="shared" si="920"/>
        <v>1874</v>
      </c>
      <c r="CL675" s="847">
        <f t="shared" si="926"/>
        <v>1874</v>
      </c>
      <c r="CM675" s="847">
        <f t="shared" si="926"/>
        <v>2734</v>
      </c>
      <c r="CN675" s="847">
        <f t="shared" si="926"/>
        <v>3497</v>
      </c>
      <c r="CO675" s="661">
        <f t="shared" si="926"/>
        <v>3497</v>
      </c>
      <c r="CP675" s="1261">
        <f t="shared" si="912"/>
        <v>2023.92</v>
      </c>
      <c r="CQ675" s="1261">
        <f t="shared" si="912"/>
        <v>2023.92</v>
      </c>
      <c r="CR675" s="1261">
        <f t="shared" si="912"/>
        <v>2980.0600000000004</v>
      </c>
      <c r="CS675" s="1261">
        <f t="shared" si="912"/>
        <v>3769.5200000000004</v>
      </c>
      <c r="CT675" s="661">
        <f t="shared" si="912"/>
        <v>3769.5200000000004</v>
      </c>
      <c r="CU675" s="661">
        <f t="shared" si="926"/>
        <v>4017.0590000000002</v>
      </c>
      <c r="CV675" s="661">
        <f t="shared" si="926"/>
        <v>4158.9813599999998</v>
      </c>
      <c r="CW675" s="374"/>
      <c r="CX675" s="374"/>
      <c r="CY675" s="374"/>
      <c r="CZ675" s="374"/>
      <c r="DA675" s="374"/>
      <c r="DB675" s="217"/>
    </row>
    <row r="676" spans="1:256" x14ac:dyDescent="0.2">
      <c r="A676" s="1264" t="s">
        <v>510</v>
      </c>
      <c r="B676" s="651"/>
      <c r="C676" s="236"/>
      <c r="D676" s="207"/>
      <c r="E676" s="207"/>
      <c r="F676" s="207"/>
      <c r="G676" s="234"/>
      <c r="H676" s="236"/>
      <c r="I676" s="973">
        <f t="shared" ref="I676:AN676" si="927">I576+I609+I643</f>
        <v>5407</v>
      </c>
      <c r="J676" s="847">
        <f t="shared" si="927"/>
        <v>5407</v>
      </c>
      <c r="K676" s="847">
        <f t="shared" si="927"/>
        <v>5405</v>
      </c>
      <c r="L676" s="847">
        <f t="shared" si="927"/>
        <v>6030</v>
      </c>
      <c r="M676" s="661">
        <f t="shared" si="927"/>
        <v>6030</v>
      </c>
      <c r="N676" s="847">
        <f t="shared" si="927"/>
        <v>5976</v>
      </c>
      <c r="O676" s="847">
        <f t="shared" si="927"/>
        <v>5984</v>
      </c>
      <c r="P676" s="847">
        <f t="shared" si="927"/>
        <v>5984</v>
      </c>
      <c r="Q676" s="847">
        <f t="shared" si="927"/>
        <v>6296</v>
      </c>
      <c r="R676" s="661">
        <f t="shared" si="927"/>
        <v>6296</v>
      </c>
      <c r="S676" s="847">
        <f t="shared" si="927"/>
        <v>6296</v>
      </c>
      <c r="T676" s="847">
        <f t="shared" si="927"/>
        <v>6501</v>
      </c>
      <c r="U676" s="847">
        <f t="shared" si="927"/>
        <v>6501</v>
      </c>
      <c r="V676" s="847">
        <f t="shared" si="927"/>
        <v>6678</v>
      </c>
      <c r="W676" s="661">
        <f t="shared" si="927"/>
        <v>6678</v>
      </c>
      <c r="X676" s="847">
        <f t="shared" si="927"/>
        <v>6980</v>
      </c>
      <c r="Y676" s="847">
        <f t="shared" si="927"/>
        <v>6980</v>
      </c>
      <c r="Z676" s="847">
        <f t="shared" si="927"/>
        <v>6980</v>
      </c>
      <c r="AA676" s="847">
        <f t="shared" si="927"/>
        <v>6982</v>
      </c>
      <c r="AB676" s="661">
        <f t="shared" si="927"/>
        <v>6982</v>
      </c>
      <c r="AC676" s="973">
        <f t="shared" si="927"/>
        <v>6982</v>
      </c>
      <c r="AD676" s="847">
        <f t="shared" si="927"/>
        <v>7315</v>
      </c>
      <c r="AE676" s="847">
        <f t="shared" si="927"/>
        <v>7291</v>
      </c>
      <c r="AF676" s="847">
        <f t="shared" si="927"/>
        <v>7669</v>
      </c>
      <c r="AG676" s="661">
        <f t="shared" si="927"/>
        <v>7669</v>
      </c>
      <c r="AH676" s="973">
        <f t="shared" si="927"/>
        <v>7766</v>
      </c>
      <c r="AI676" s="847">
        <f t="shared" si="927"/>
        <v>7766</v>
      </c>
      <c r="AJ676" s="847">
        <f t="shared" si="927"/>
        <v>7766</v>
      </c>
      <c r="AK676" s="847">
        <f t="shared" si="927"/>
        <v>7790</v>
      </c>
      <c r="AL676" s="661">
        <f t="shared" si="927"/>
        <v>7790</v>
      </c>
      <c r="AM676" s="973">
        <f t="shared" si="927"/>
        <v>7992</v>
      </c>
      <c r="AN676" s="847">
        <f t="shared" si="927"/>
        <v>8487</v>
      </c>
      <c r="AO676" s="847">
        <f t="shared" ref="AO676:BT676" si="928">AO576+AO609+AO643</f>
        <v>9300</v>
      </c>
      <c r="AP676" s="847">
        <f t="shared" si="928"/>
        <v>9978</v>
      </c>
      <c r="AQ676" s="661">
        <f t="shared" si="928"/>
        <v>9978</v>
      </c>
      <c r="AR676" s="973">
        <f t="shared" si="928"/>
        <v>10141</v>
      </c>
      <c r="AS676" s="847">
        <f t="shared" si="928"/>
        <v>10558</v>
      </c>
      <c r="AT676" s="847">
        <f t="shared" si="928"/>
        <v>10558</v>
      </c>
      <c r="AU676" s="847">
        <f t="shared" si="928"/>
        <v>10682</v>
      </c>
      <c r="AV676" s="661">
        <f t="shared" si="928"/>
        <v>10682</v>
      </c>
      <c r="AW676" s="847">
        <f t="shared" si="928"/>
        <v>10955</v>
      </c>
      <c r="AX676" s="847">
        <f t="shared" si="928"/>
        <v>10591</v>
      </c>
      <c r="AY676" s="847">
        <f t="shared" si="928"/>
        <v>10591</v>
      </c>
      <c r="AZ676" s="847">
        <f t="shared" si="928"/>
        <v>10645</v>
      </c>
      <c r="BA676" s="661">
        <f t="shared" si="928"/>
        <v>10645</v>
      </c>
      <c r="BB676" s="847">
        <f t="shared" si="928"/>
        <v>10629</v>
      </c>
      <c r="BC676" s="847">
        <f t="shared" si="928"/>
        <v>10629</v>
      </c>
      <c r="BD676" s="847">
        <f t="shared" si="928"/>
        <v>10915</v>
      </c>
      <c r="BE676" s="847">
        <f t="shared" si="928"/>
        <v>10915</v>
      </c>
      <c r="BF676" s="661">
        <f t="shared" si="928"/>
        <v>10915</v>
      </c>
      <c r="BG676" s="847">
        <f t="shared" si="928"/>
        <v>11520</v>
      </c>
      <c r="BH676" s="847">
        <f t="shared" si="928"/>
        <v>11832</v>
      </c>
      <c r="BI676" s="847">
        <f t="shared" si="928"/>
        <v>12082</v>
      </c>
      <c r="BJ676" s="847">
        <f t="shared" si="928"/>
        <v>12575</v>
      </c>
      <c r="BK676" s="661">
        <f t="shared" si="928"/>
        <v>12575</v>
      </c>
      <c r="BL676" s="847">
        <f t="shared" si="928"/>
        <v>12575</v>
      </c>
      <c r="BM676" s="847">
        <f t="shared" si="928"/>
        <v>12672</v>
      </c>
      <c r="BN676" s="847">
        <f t="shared" si="928"/>
        <v>12874</v>
      </c>
      <c r="BO676" s="847">
        <f t="shared" si="928"/>
        <v>12989</v>
      </c>
      <c r="BP676" s="661">
        <f t="shared" si="928"/>
        <v>12989</v>
      </c>
      <c r="BQ676" s="847">
        <f t="shared" si="928"/>
        <v>13699</v>
      </c>
      <c r="BR676" s="847">
        <f t="shared" si="928"/>
        <v>13234</v>
      </c>
      <c r="BS676" s="847">
        <f t="shared" si="928"/>
        <v>13239</v>
      </c>
      <c r="BT676" s="847">
        <f t="shared" si="928"/>
        <v>14529</v>
      </c>
      <c r="BU676" s="661">
        <f t="shared" ref="BU676:CV676" si="929">BU576+BU609+BU643</f>
        <v>14529</v>
      </c>
      <c r="BV676" s="847">
        <f t="shared" si="929"/>
        <v>14356</v>
      </c>
      <c r="BW676" s="847">
        <f t="shared" si="929"/>
        <v>14356</v>
      </c>
      <c r="BX676" s="847">
        <f t="shared" si="929"/>
        <v>14356</v>
      </c>
      <c r="BY676" s="847">
        <f t="shared" si="929"/>
        <v>14669</v>
      </c>
      <c r="BZ676" s="661">
        <f t="shared" si="929"/>
        <v>14669</v>
      </c>
      <c r="CA676" s="847">
        <f t="shared" si="929"/>
        <v>14392</v>
      </c>
      <c r="CB676" s="847">
        <f t="shared" si="929"/>
        <v>14636</v>
      </c>
      <c r="CC676" s="847">
        <f t="shared" si="929"/>
        <v>14890</v>
      </c>
      <c r="CD676" s="847">
        <f t="shared" si="929"/>
        <v>15292</v>
      </c>
      <c r="CE676" s="661">
        <f t="shared" si="929"/>
        <v>15292</v>
      </c>
      <c r="CF676" s="847">
        <f t="shared" si="929"/>
        <v>15265</v>
      </c>
      <c r="CG676" s="847">
        <f t="shared" si="929"/>
        <v>15265</v>
      </c>
      <c r="CH676" s="847">
        <f t="shared" si="929"/>
        <v>14688</v>
      </c>
      <c r="CI676" s="847">
        <f t="shared" si="929"/>
        <v>15027</v>
      </c>
      <c r="CJ676" s="661">
        <f t="shared" si="929"/>
        <v>15027</v>
      </c>
      <c r="CK676" s="2350">
        <f t="shared" si="920"/>
        <v>15228</v>
      </c>
      <c r="CL676" s="847">
        <f t="shared" ca="1" si="929"/>
        <v>15385</v>
      </c>
      <c r="CM676" s="847">
        <f t="shared" ca="1" si="929"/>
        <v>15500</v>
      </c>
      <c r="CN676" s="847">
        <f t="shared" ca="1" si="929"/>
        <v>15687</v>
      </c>
      <c r="CO676" s="661">
        <f t="shared" ca="1" si="929"/>
        <v>15687</v>
      </c>
      <c r="CP676" s="1261">
        <f t="shared" si="912"/>
        <v>15961.75</v>
      </c>
      <c r="CQ676" s="1261">
        <f t="shared" ca="1" si="912"/>
        <v>16274.92</v>
      </c>
      <c r="CR676" s="1261">
        <f t="shared" ca="1" si="912"/>
        <v>16396.82</v>
      </c>
      <c r="CS676" s="1261">
        <f t="shared" ca="1" si="912"/>
        <v>16595.04</v>
      </c>
      <c r="CT676" s="661">
        <f t="shared" ca="1" si="912"/>
        <v>16595.04</v>
      </c>
      <c r="CU676" s="661">
        <f t="shared" ca="1" si="929"/>
        <v>17477.352200000001</v>
      </c>
      <c r="CV676" s="661">
        <f t="shared" ca="1" si="929"/>
        <v>17815.839244000003</v>
      </c>
      <c r="CW676" s="374"/>
      <c r="CX676" s="374"/>
      <c r="CY676" s="374"/>
      <c r="CZ676" s="374"/>
      <c r="DA676" s="374"/>
      <c r="DB676" s="217"/>
    </row>
    <row r="677" spans="1:256" x14ac:dyDescent="0.2">
      <c r="A677" s="1264" t="s">
        <v>511</v>
      </c>
      <c r="B677" s="651"/>
      <c r="C677" s="236"/>
      <c r="D677" s="207"/>
      <c r="E677" s="207"/>
      <c r="F677" s="207"/>
      <c r="G677" s="234"/>
      <c r="H677" s="236"/>
      <c r="I677" s="973">
        <f t="shared" ref="I677:AN677" si="930">I577+I610+I644</f>
        <v>0</v>
      </c>
      <c r="J677" s="847">
        <f t="shared" si="930"/>
        <v>0</v>
      </c>
      <c r="K677" s="847">
        <f t="shared" si="930"/>
        <v>0</v>
      </c>
      <c r="L677" s="847">
        <f t="shared" si="930"/>
        <v>0</v>
      </c>
      <c r="M677" s="661">
        <f t="shared" si="930"/>
        <v>0</v>
      </c>
      <c r="N677" s="973">
        <f t="shared" si="930"/>
        <v>0</v>
      </c>
      <c r="O677" s="847">
        <f t="shared" si="930"/>
        <v>0</v>
      </c>
      <c r="P677" s="847">
        <f t="shared" si="930"/>
        <v>0</v>
      </c>
      <c r="Q677" s="847">
        <f t="shared" si="930"/>
        <v>0</v>
      </c>
      <c r="R677" s="661">
        <f t="shared" si="930"/>
        <v>0</v>
      </c>
      <c r="S677" s="973">
        <f t="shared" si="930"/>
        <v>0</v>
      </c>
      <c r="T677" s="847">
        <f t="shared" si="930"/>
        <v>0</v>
      </c>
      <c r="U677" s="847">
        <f t="shared" si="930"/>
        <v>0</v>
      </c>
      <c r="V677" s="847">
        <f t="shared" si="930"/>
        <v>0</v>
      </c>
      <c r="W677" s="661">
        <f t="shared" si="930"/>
        <v>0</v>
      </c>
      <c r="X677" s="847">
        <f t="shared" si="930"/>
        <v>0</v>
      </c>
      <c r="Y677" s="847">
        <f t="shared" si="930"/>
        <v>58</v>
      </c>
      <c r="Z677" s="847">
        <f t="shared" si="930"/>
        <v>58</v>
      </c>
      <c r="AA677" s="847">
        <f t="shared" si="930"/>
        <v>58</v>
      </c>
      <c r="AB677" s="661">
        <f t="shared" si="930"/>
        <v>58</v>
      </c>
      <c r="AC677" s="973">
        <f t="shared" si="930"/>
        <v>58</v>
      </c>
      <c r="AD677" s="847">
        <f t="shared" si="930"/>
        <v>58</v>
      </c>
      <c r="AE677" s="847">
        <f t="shared" si="930"/>
        <v>58</v>
      </c>
      <c r="AF677" s="847">
        <f t="shared" si="930"/>
        <v>58</v>
      </c>
      <c r="AG677" s="661">
        <f t="shared" si="930"/>
        <v>58</v>
      </c>
      <c r="AH677" s="973">
        <f t="shared" si="930"/>
        <v>58</v>
      </c>
      <c r="AI677" s="847">
        <f t="shared" si="930"/>
        <v>58</v>
      </c>
      <c r="AJ677" s="847">
        <f t="shared" si="930"/>
        <v>58</v>
      </c>
      <c r="AK677" s="847">
        <f t="shared" si="930"/>
        <v>117</v>
      </c>
      <c r="AL677" s="661">
        <f t="shared" si="930"/>
        <v>117</v>
      </c>
      <c r="AM677" s="973">
        <f t="shared" si="930"/>
        <v>117</v>
      </c>
      <c r="AN677" s="847">
        <f t="shared" si="930"/>
        <v>117</v>
      </c>
      <c r="AO677" s="847">
        <f t="shared" ref="AO677:BT677" si="931">AO577+AO610+AO644</f>
        <v>117</v>
      </c>
      <c r="AP677" s="847">
        <f t="shared" si="931"/>
        <v>117</v>
      </c>
      <c r="AQ677" s="661">
        <f t="shared" si="931"/>
        <v>117</v>
      </c>
      <c r="AR677" s="973">
        <f t="shared" si="931"/>
        <v>117</v>
      </c>
      <c r="AS677" s="847">
        <f t="shared" si="931"/>
        <v>117</v>
      </c>
      <c r="AT677" s="847">
        <f t="shared" si="931"/>
        <v>117</v>
      </c>
      <c r="AU677" s="847">
        <f t="shared" si="931"/>
        <v>117</v>
      </c>
      <c r="AV677" s="661">
        <f t="shared" si="931"/>
        <v>117</v>
      </c>
      <c r="AW677" s="847">
        <f t="shared" si="931"/>
        <v>117</v>
      </c>
      <c r="AX677" s="847">
        <f t="shared" si="931"/>
        <v>117</v>
      </c>
      <c r="AY677" s="847">
        <f t="shared" si="931"/>
        <v>117</v>
      </c>
      <c r="AZ677" s="847">
        <f t="shared" si="931"/>
        <v>117</v>
      </c>
      <c r="BA677" s="661">
        <f t="shared" si="931"/>
        <v>117</v>
      </c>
      <c r="BB677" s="847">
        <f t="shared" si="931"/>
        <v>117</v>
      </c>
      <c r="BC677" s="847">
        <f t="shared" si="931"/>
        <v>117</v>
      </c>
      <c r="BD677" s="847">
        <f t="shared" si="931"/>
        <v>117</v>
      </c>
      <c r="BE677" s="847">
        <f t="shared" si="931"/>
        <v>117</v>
      </c>
      <c r="BF677" s="661">
        <f t="shared" si="931"/>
        <v>117</v>
      </c>
      <c r="BG677" s="847">
        <f t="shared" si="931"/>
        <v>117</v>
      </c>
      <c r="BH677" s="847">
        <f t="shared" si="931"/>
        <v>117</v>
      </c>
      <c r="BI677" s="847">
        <f t="shared" si="931"/>
        <v>117</v>
      </c>
      <c r="BJ677" s="847">
        <f t="shared" si="931"/>
        <v>117</v>
      </c>
      <c r="BK677" s="661">
        <f t="shared" si="931"/>
        <v>117</v>
      </c>
      <c r="BL677" s="847">
        <f t="shared" si="931"/>
        <v>117</v>
      </c>
      <c r="BM677" s="847">
        <f t="shared" si="931"/>
        <v>202</v>
      </c>
      <c r="BN677" s="847">
        <f t="shared" si="931"/>
        <v>202</v>
      </c>
      <c r="BO677" s="847">
        <f t="shared" si="931"/>
        <v>202</v>
      </c>
      <c r="BP677" s="661">
        <f t="shared" si="931"/>
        <v>202</v>
      </c>
      <c r="BQ677" s="847">
        <f t="shared" si="931"/>
        <v>202</v>
      </c>
      <c r="BR677" s="847">
        <f t="shared" si="931"/>
        <v>202</v>
      </c>
      <c r="BS677" s="847">
        <f t="shared" si="931"/>
        <v>202</v>
      </c>
      <c r="BT677" s="847">
        <f t="shared" si="931"/>
        <v>202</v>
      </c>
      <c r="BU677" s="661">
        <f t="shared" ref="BU677:CV677" si="932">BU577+BU610+BU644</f>
        <v>202</v>
      </c>
      <c r="BV677" s="847">
        <f t="shared" si="932"/>
        <v>202</v>
      </c>
      <c r="BW677" s="847">
        <f t="shared" si="932"/>
        <v>202</v>
      </c>
      <c r="BX677" s="847">
        <f t="shared" si="932"/>
        <v>202</v>
      </c>
      <c r="BY677" s="847">
        <f t="shared" si="932"/>
        <v>202</v>
      </c>
      <c r="BZ677" s="661">
        <f t="shared" si="932"/>
        <v>202</v>
      </c>
      <c r="CA677" s="847">
        <f t="shared" si="932"/>
        <v>202</v>
      </c>
      <c r="CB677" s="847">
        <f t="shared" si="932"/>
        <v>202</v>
      </c>
      <c r="CC677" s="847">
        <f t="shared" si="932"/>
        <v>202</v>
      </c>
      <c r="CD677" s="847">
        <f t="shared" si="932"/>
        <v>202</v>
      </c>
      <c r="CE677" s="661">
        <f t="shared" si="932"/>
        <v>202</v>
      </c>
      <c r="CF677" s="847">
        <f t="shared" si="932"/>
        <v>202</v>
      </c>
      <c r="CG677" s="847">
        <f t="shared" si="932"/>
        <v>202</v>
      </c>
      <c r="CH677" s="847">
        <f t="shared" si="932"/>
        <v>202</v>
      </c>
      <c r="CI677" s="847">
        <f t="shared" si="932"/>
        <v>202</v>
      </c>
      <c r="CJ677" s="661">
        <f t="shared" si="932"/>
        <v>202</v>
      </c>
      <c r="CK677" s="2350">
        <f t="shared" si="920"/>
        <v>202</v>
      </c>
      <c r="CL677" s="847">
        <f t="shared" si="932"/>
        <v>202</v>
      </c>
      <c r="CM677" s="847">
        <f t="shared" si="932"/>
        <v>322</v>
      </c>
      <c r="CN677" s="847">
        <f t="shared" si="932"/>
        <v>442</v>
      </c>
      <c r="CO677" s="661">
        <f t="shared" si="932"/>
        <v>442</v>
      </c>
      <c r="CP677" s="1261">
        <f t="shared" si="912"/>
        <v>214.65000000000003</v>
      </c>
      <c r="CQ677" s="1261">
        <f t="shared" si="912"/>
        <v>215.82000000000002</v>
      </c>
      <c r="CR677" s="1261">
        <f t="shared" si="912"/>
        <v>343.87</v>
      </c>
      <c r="CS677" s="1261">
        <f t="shared" si="912"/>
        <v>471.07000000000005</v>
      </c>
      <c r="CT677" s="661">
        <f t="shared" si="912"/>
        <v>471.07000000000005</v>
      </c>
      <c r="CU677" s="661">
        <f t="shared" si="932"/>
        <v>498.83184999999997</v>
      </c>
      <c r="CV677" s="661">
        <f t="shared" si="932"/>
        <v>510.80046199999998</v>
      </c>
      <c r="CW677" s="374"/>
      <c r="CX677" s="374"/>
      <c r="CY677" s="374"/>
      <c r="CZ677" s="374"/>
      <c r="DA677" s="374"/>
      <c r="DB677" s="217"/>
    </row>
    <row r="678" spans="1:256" x14ac:dyDescent="0.2">
      <c r="A678" s="1264" t="s">
        <v>383</v>
      </c>
      <c r="B678" s="651"/>
      <c r="C678" s="236"/>
      <c r="D678" s="207"/>
      <c r="E678" s="207"/>
      <c r="F678" s="207"/>
      <c r="G678" s="234"/>
      <c r="H678" s="236"/>
      <c r="I678" s="973">
        <f t="shared" ref="I678:AN678" si="933">I578+I611+I645</f>
        <v>0</v>
      </c>
      <c r="J678" s="847">
        <f t="shared" si="933"/>
        <v>0</v>
      </c>
      <c r="K678" s="847">
        <f t="shared" si="933"/>
        <v>0</v>
      </c>
      <c r="L678" s="847">
        <f t="shared" si="933"/>
        <v>0</v>
      </c>
      <c r="M678" s="661">
        <f t="shared" si="933"/>
        <v>0</v>
      </c>
      <c r="N678" s="973">
        <f t="shared" si="933"/>
        <v>0</v>
      </c>
      <c r="O678" s="847">
        <f t="shared" si="933"/>
        <v>0</v>
      </c>
      <c r="P678" s="847">
        <f t="shared" si="933"/>
        <v>0</v>
      </c>
      <c r="Q678" s="847">
        <f t="shared" si="933"/>
        <v>0</v>
      </c>
      <c r="R678" s="661">
        <f t="shared" si="933"/>
        <v>0</v>
      </c>
      <c r="S678" s="973">
        <f t="shared" si="933"/>
        <v>0</v>
      </c>
      <c r="T678" s="847">
        <f t="shared" si="933"/>
        <v>0</v>
      </c>
      <c r="U678" s="847">
        <f t="shared" si="933"/>
        <v>0</v>
      </c>
      <c r="V678" s="847">
        <f t="shared" si="933"/>
        <v>0</v>
      </c>
      <c r="W678" s="661">
        <f t="shared" si="933"/>
        <v>0</v>
      </c>
      <c r="X678" s="847">
        <f t="shared" si="933"/>
        <v>0</v>
      </c>
      <c r="Y678" s="847">
        <f t="shared" si="933"/>
        <v>0</v>
      </c>
      <c r="Z678" s="847">
        <f t="shared" si="933"/>
        <v>0</v>
      </c>
      <c r="AA678" s="847">
        <f t="shared" si="933"/>
        <v>0</v>
      </c>
      <c r="AB678" s="661">
        <f t="shared" si="933"/>
        <v>0</v>
      </c>
      <c r="AC678" s="973">
        <f t="shared" si="933"/>
        <v>0</v>
      </c>
      <c r="AD678" s="847">
        <f t="shared" si="933"/>
        <v>0</v>
      </c>
      <c r="AE678" s="847">
        <f t="shared" si="933"/>
        <v>0</v>
      </c>
      <c r="AF678" s="847">
        <f t="shared" si="933"/>
        <v>0</v>
      </c>
      <c r="AG678" s="661">
        <f t="shared" si="933"/>
        <v>0</v>
      </c>
      <c r="AH678" s="973">
        <f t="shared" si="933"/>
        <v>0</v>
      </c>
      <c r="AI678" s="847">
        <f t="shared" si="933"/>
        <v>0</v>
      </c>
      <c r="AJ678" s="847">
        <f t="shared" si="933"/>
        <v>0</v>
      </c>
      <c r="AK678" s="847">
        <f t="shared" si="933"/>
        <v>0</v>
      </c>
      <c r="AL678" s="661">
        <f t="shared" si="933"/>
        <v>0</v>
      </c>
      <c r="AM678" s="973">
        <f t="shared" si="933"/>
        <v>0</v>
      </c>
      <c r="AN678" s="847">
        <f t="shared" si="933"/>
        <v>0</v>
      </c>
      <c r="AO678" s="847">
        <f t="shared" ref="AO678:BJ678" si="934">AO578+AO611+AO645</f>
        <v>0</v>
      </c>
      <c r="AP678" s="847">
        <f t="shared" si="934"/>
        <v>0</v>
      </c>
      <c r="AQ678" s="661">
        <f t="shared" si="934"/>
        <v>0</v>
      </c>
      <c r="AR678" s="973">
        <f t="shared" si="934"/>
        <v>0</v>
      </c>
      <c r="AS678" s="847">
        <f t="shared" si="934"/>
        <v>0</v>
      </c>
      <c r="AT678" s="847">
        <f t="shared" si="934"/>
        <v>0</v>
      </c>
      <c r="AU678" s="847">
        <f t="shared" si="934"/>
        <v>0</v>
      </c>
      <c r="AV678" s="661">
        <f t="shared" si="934"/>
        <v>0</v>
      </c>
      <c r="AW678" s="847">
        <f t="shared" si="934"/>
        <v>0</v>
      </c>
      <c r="AX678" s="847">
        <f t="shared" si="934"/>
        <v>0</v>
      </c>
      <c r="AY678" s="847">
        <f t="shared" si="934"/>
        <v>0</v>
      </c>
      <c r="AZ678" s="847">
        <f t="shared" si="934"/>
        <v>0</v>
      </c>
      <c r="BA678" s="661">
        <f t="shared" si="934"/>
        <v>0</v>
      </c>
      <c r="BB678" s="847">
        <f t="shared" si="934"/>
        <v>0</v>
      </c>
      <c r="BC678" s="847">
        <f t="shared" si="934"/>
        <v>0</v>
      </c>
      <c r="BD678" s="847">
        <f t="shared" si="934"/>
        <v>0</v>
      </c>
      <c r="BE678" s="847">
        <f t="shared" si="934"/>
        <v>0</v>
      </c>
      <c r="BF678" s="661">
        <f t="shared" si="934"/>
        <v>0</v>
      </c>
      <c r="BG678" s="847">
        <f t="shared" si="934"/>
        <v>78</v>
      </c>
      <c r="BH678" s="847">
        <f t="shared" si="934"/>
        <v>78</v>
      </c>
      <c r="BI678" s="847">
        <f t="shared" si="934"/>
        <v>78</v>
      </c>
      <c r="BJ678" s="847">
        <f t="shared" si="934"/>
        <v>78</v>
      </c>
      <c r="BK678" s="661">
        <f>BJ678</f>
        <v>78</v>
      </c>
      <c r="BL678" s="847">
        <f t="shared" ref="BL678:CV678" si="935">BL578+BL611+BL645</f>
        <v>78</v>
      </c>
      <c r="BM678" s="847">
        <f t="shared" si="935"/>
        <v>78</v>
      </c>
      <c r="BN678" s="847">
        <f t="shared" si="935"/>
        <v>78</v>
      </c>
      <c r="BO678" s="847">
        <f t="shared" si="935"/>
        <v>78</v>
      </c>
      <c r="BP678" s="661">
        <f t="shared" si="935"/>
        <v>78</v>
      </c>
      <c r="BQ678" s="847">
        <f t="shared" si="935"/>
        <v>78</v>
      </c>
      <c r="BR678" s="847">
        <f t="shared" si="935"/>
        <v>78</v>
      </c>
      <c r="BS678" s="847">
        <f t="shared" si="935"/>
        <v>251</v>
      </c>
      <c r="BT678" s="847">
        <f t="shared" si="935"/>
        <v>251</v>
      </c>
      <c r="BU678" s="661">
        <f t="shared" si="935"/>
        <v>251</v>
      </c>
      <c r="BV678" s="847">
        <f t="shared" si="935"/>
        <v>251</v>
      </c>
      <c r="BW678" s="847">
        <f t="shared" si="935"/>
        <v>251</v>
      </c>
      <c r="BX678" s="847">
        <f t="shared" si="935"/>
        <v>251</v>
      </c>
      <c r="BY678" s="847">
        <f t="shared" si="935"/>
        <v>251</v>
      </c>
      <c r="BZ678" s="661">
        <f t="shared" si="935"/>
        <v>251</v>
      </c>
      <c r="CA678" s="847">
        <f t="shared" si="935"/>
        <v>251</v>
      </c>
      <c r="CB678" s="847">
        <f t="shared" si="935"/>
        <v>251</v>
      </c>
      <c r="CC678" s="847">
        <f t="shared" si="935"/>
        <v>251</v>
      </c>
      <c r="CD678" s="847">
        <f t="shared" si="935"/>
        <v>251</v>
      </c>
      <c r="CE678" s="661">
        <f t="shared" si="935"/>
        <v>251</v>
      </c>
      <c r="CF678" s="847">
        <f t="shared" si="935"/>
        <v>251</v>
      </c>
      <c r="CG678" s="847">
        <f t="shared" si="935"/>
        <v>251</v>
      </c>
      <c r="CH678" s="847">
        <f t="shared" si="935"/>
        <v>173</v>
      </c>
      <c r="CI678" s="847">
        <f t="shared" si="935"/>
        <v>699</v>
      </c>
      <c r="CJ678" s="661">
        <f t="shared" si="935"/>
        <v>699</v>
      </c>
      <c r="CK678" s="2350">
        <f t="shared" si="920"/>
        <v>699</v>
      </c>
      <c r="CL678" s="847">
        <f t="shared" ca="1" si="935"/>
        <v>699</v>
      </c>
      <c r="CM678" s="847">
        <f t="shared" ca="1" si="935"/>
        <v>699</v>
      </c>
      <c r="CN678" s="847">
        <f t="shared" ca="1" si="935"/>
        <v>699</v>
      </c>
      <c r="CO678" s="661">
        <f t="shared" ca="1" si="935"/>
        <v>699</v>
      </c>
      <c r="CP678" s="1261">
        <f t="shared" si="912"/>
        <v>733.95</v>
      </c>
      <c r="CQ678" s="1261">
        <f t="shared" ca="1" si="912"/>
        <v>740.94</v>
      </c>
      <c r="CR678" s="1261">
        <f t="shared" ca="1" si="912"/>
        <v>740.94</v>
      </c>
      <c r="CS678" s="1261">
        <f t="shared" ca="1" si="912"/>
        <v>740.94</v>
      </c>
      <c r="CT678" s="661">
        <f t="shared" ca="1" si="912"/>
        <v>740.94</v>
      </c>
      <c r="CU678" s="661">
        <f t="shared" ca="1" si="935"/>
        <v>781.69169999999997</v>
      </c>
      <c r="CV678" s="661">
        <f t="shared" ca="1" si="935"/>
        <v>797.32553399999995</v>
      </c>
      <c r="CW678" s="374"/>
      <c r="CX678" s="374"/>
      <c r="CY678" s="374"/>
      <c r="CZ678" s="374"/>
      <c r="DA678" s="374"/>
      <c r="DB678" s="217"/>
    </row>
    <row r="679" spans="1:256" x14ac:dyDescent="0.2">
      <c r="A679" s="1264" t="s">
        <v>656</v>
      </c>
      <c r="B679" s="651"/>
      <c r="C679" s="236"/>
      <c r="D679" s="207"/>
      <c r="E679" s="207"/>
      <c r="F679" s="207"/>
      <c r="G679" s="234"/>
      <c r="H679" s="236"/>
      <c r="I679" s="973">
        <f t="shared" ref="I679:AN679" si="936">I579+I612+I646</f>
        <v>0</v>
      </c>
      <c r="J679" s="847">
        <f t="shared" si="936"/>
        <v>0</v>
      </c>
      <c r="K679" s="847">
        <f t="shared" si="936"/>
        <v>0</v>
      </c>
      <c r="L679" s="847">
        <f t="shared" si="936"/>
        <v>0</v>
      </c>
      <c r="M679" s="661">
        <f t="shared" si="936"/>
        <v>0</v>
      </c>
      <c r="N679" s="973">
        <f t="shared" si="936"/>
        <v>0</v>
      </c>
      <c r="O679" s="847">
        <f t="shared" si="936"/>
        <v>0</v>
      </c>
      <c r="P679" s="847">
        <f t="shared" si="936"/>
        <v>0</v>
      </c>
      <c r="Q679" s="847">
        <f t="shared" si="936"/>
        <v>0</v>
      </c>
      <c r="R679" s="661">
        <f t="shared" si="936"/>
        <v>0</v>
      </c>
      <c r="S679" s="973">
        <f t="shared" si="936"/>
        <v>0</v>
      </c>
      <c r="T679" s="847">
        <f t="shared" si="936"/>
        <v>0</v>
      </c>
      <c r="U679" s="847">
        <f t="shared" si="936"/>
        <v>0</v>
      </c>
      <c r="V679" s="847">
        <f t="shared" si="936"/>
        <v>0</v>
      </c>
      <c r="W679" s="661">
        <f t="shared" si="936"/>
        <v>0</v>
      </c>
      <c r="X679" s="973">
        <f t="shared" si="936"/>
        <v>0</v>
      </c>
      <c r="Y679" s="847">
        <f t="shared" si="936"/>
        <v>0</v>
      </c>
      <c r="Z679" s="847">
        <f t="shared" si="936"/>
        <v>0</v>
      </c>
      <c r="AA679" s="847">
        <f t="shared" si="936"/>
        <v>0</v>
      </c>
      <c r="AB679" s="661">
        <f t="shared" si="936"/>
        <v>0</v>
      </c>
      <c r="AC679" s="973">
        <f t="shared" si="936"/>
        <v>0</v>
      </c>
      <c r="AD679" s="847">
        <f t="shared" si="936"/>
        <v>0</v>
      </c>
      <c r="AE679" s="847">
        <f t="shared" si="936"/>
        <v>0</v>
      </c>
      <c r="AF679" s="847">
        <f t="shared" si="936"/>
        <v>0</v>
      </c>
      <c r="AG679" s="661">
        <f t="shared" si="936"/>
        <v>0</v>
      </c>
      <c r="AH679" s="973">
        <f t="shared" si="936"/>
        <v>0</v>
      </c>
      <c r="AI679" s="847">
        <f t="shared" si="936"/>
        <v>0</v>
      </c>
      <c r="AJ679" s="847">
        <f t="shared" si="936"/>
        <v>0</v>
      </c>
      <c r="AK679" s="847">
        <f t="shared" si="936"/>
        <v>0</v>
      </c>
      <c r="AL679" s="661">
        <f t="shared" si="936"/>
        <v>0</v>
      </c>
      <c r="AM679" s="973">
        <f t="shared" si="936"/>
        <v>0</v>
      </c>
      <c r="AN679" s="847">
        <f t="shared" si="936"/>
        <v>0</v>
      </c>
      <c r="AO679" s="847">
        <f t="shared" ref="AO679:BJ679" si="937">AO579+AO612+AO646</f>
        <v>0</v>
      </c>
      <c r="AP679" s="847">
        <f t="shared" si="937"/>
        <v>0</v>
      </c>
      <c r="AQ679" s="661">
        <f t="shared" si="937"/>
        <v>0</v>
      </c>
      <c r="AR679" s="973">
        <f t="shared" si="937"/>
        <v>0</v>
      </c>
      <c r="AS679" s="847">
        <f t="shared" si="937"/>
        <v>0</v>
      </c>
      <c r="AT679" s="847">
        <f t="shared" si="937"/>
        <v>0</v>
      </c>
      <c r="AU679" s="847">
        <f t="shared" si="937"/>
        <v>0</v>
      </c>
      <c r="AV679" s="661">
        <f t="shared" si="937"/>
        <v>0</v>
      </c>
      <c r="AW679" s="973">
        <f t="shared" si="937"/>
        <v>0</v>
      </c>
      <c r="AX679" s="847">
        <f t="shared" si="937"/>
        <v>0</v>
      </c>
      <c r="AY679" s="847">
        <f t="shared" si="937"/>
        <v>0</v>
      </c>
      <c r="AZ679" s="847">
        <f t="shared" si="937"/>
        <v>0</v>
      </c>
      <c r="BA679" s="661">
        <f t="shared" si="937"/>
        <v>0</v>
      </c>
      <c r="BB679" s="847">
        <f t="shared" si="937"/>
        <v>0</v>
      </c>
      <c r="BC679" s="847">
        <f t="shared" si="937"/>
        <v>0</v>
      </c>
      <c r="BD679" s="847">
        <f t="shared" si="937"/>
        <v>0</v>
      </c>
      <c r="BE679" s="847">
        <f t="shared" si="937"/>
        <v>0</v>
      </c>
      <c r="BF679" s="661">
        <f t="shared" si="937"/>
        <v>0</v>
      </c>
      <c r="BG679" s="847">
        <f t="shared" si="937"/>
        <v>0</v>
      </c>
      <c r="BH679" s="847">
        <f t="shared" si="937"/>
        <v>0</v>
      </c>
      <c r="BI679" s="847">
        <f t="shared" si="937"/>
        <v>0</v>
      </c>
      <c r="BJ679" s="847">
        <f t="shared" si="937"/>
        <v>0</v>
      </c>
      <c r="BK679" s="661">
        <f t="shared" ref="BK679:BK686" si="938">BK579+BK612+BK646</f>
        <v>0</v>
      </c>
      <c r="BL679" s="847">
        <f t="shared" ref="BL679:CV679" si="939">BL579+BL612+BL646</f>
        <v>0</v>
      </c>
      <c r="BM679" s="847">
        <f t="shared" si="939"/>
        <v>0</v>
      </c>
      <c r="BN679" s="847">
        <f t="shared" si="939"/>
        <v>0</v>
      </c>
      <c r="BO679" s="847">
        <f t="shared" si="939"/>
        <v>0</v>
      </c>
      <c r="BP679" s="661">
        <f t="shared" si="939"/>
        <v>0</v>
      </c>
      <c r="BQ679" s="847">
        <f t="shared" si="939"/>
        <v>0</v>
      </c>
      <c r="BR679" s="847">
        <f t="shared" si="939"/>
        <v>0</v>
      </c>
      <c r="BS679" s="847">
        <f t="shared" si="939"/>
        <v>0</v>
      </c>
      <c r="BT679" s="847">
        <f t="shared" si="939"/>
        <v>0</v>
      </c>
      <c r="BU679" s="661">
        <f t="shared" si="939"/>
        <v>0</v>
      </c>
      <c r="BV679" s="847">
        <f t="shared" si="939"/>
        <v>0</v>
      </c>
      <c r="BW679" s="847">
        <f t="shared" si="939"/>
        <v>0</v>
      </c>
      <c r="BX679" s="847">
        <f t="shared" si="939"/>
        <v>0</v>
      </c>
      <c r="BY679" s="847">
        <f t="shared" si="939"/>
        <v>0</v>
      </c>
      <c r="BZ679" s="661">
        <f t="shared" si="939"/>
        <v>0</v>
      </c>
      <c r="CA679" s="847">
        <f t="shared" si="939"/>
        <v>0</v>
      </c>
      <c r="CB679" s="847">
        <f t="shared" si="939"/>
        <v>0</v>
      </c>
      <c r="CC679" s="847">
        <f t="shared" si="939"/>
        <v>0</v>
      </c>
      <c r="CD679" s="847">
        <f t="shared" si="939"/>
        <v>0</v>
      </c>
      <c r="CE679" s="661">
        <f t="shared" si="939"/>
        <v>0</v>
      </c>
      <c r="CF679" s="847">
        <f t="shared" si="939"/>
        <v>0</v>
      </c>
      <c r="CG679" s="847">
        <f t="shared" si="939"/>
        <v>0</v>
      </c>
      <c r="CH679" s="847">
        <f t="shared" si="939"/>
        <v>0</v>
      </c>
      <c r="CI679" s="847">
        <f t="shared" si="939"/>
        <v>0</v>
      </c>
      <c r="CJ679" s="661">
        <f t="shared" si="939"/>
        <v>0</v>
      </c>
      <c r="CK679" s="2350">
        <f t="shared" si="920"/>
        <v>0</v>
      </c>
      <c r="CL679" s="847">
        <f t="shared" ca="1" si="939"/>
        <v>0</v>
      </c>
      <c r="CM679" s="847">
        <f t="shared" ca="1" si="939"/>
        <v>0</v>
      </c>
      <c r="CN679" s="847">
        <f t="shared" ca="1" si="939"/>
        <v>0</v>
      </c>
      <c r="CO679" s="661">
        <f t="shared" ca="1" si="939"/>
        <v>0</v>
      </c>
      <c r="CP679" s="1261">
        <f t="shared" si="912"/>
        <v>0</v>
      </c>
      <c r="CQ679" s="1261">
        <f t="shared" ca="1" si="912"/>
        <v>0</v>
      </c>
      <c r="CR679" s="1261">
        <f t="shared" ca="1" si="912"/>
        <v>0</v>
      </c>
      <c r="CS679" s="1261">
        <f t="shared" ca="1" si="912"/>
        <v>0</v>
      </c>
      <c r="CT679" s="661">
        <f t="shared" ca="1" si="912"/>
        <v>0</v>
      </c>
      <c r="CU679" s="661">
        <f t="shared" ca="1" si="939"/>
        <v>0</v>
      </c>
      <c r="CV679" s="661">
        <f t="shared" ca="1" si="939"/>
        <v>0</v>
      </c>
      <c r="CW679" s="374"/>
      <c r="CX679" s="374"/>
      <c r="CY679" s="374"/>
      <c r="CZ679" s="374"/>
      <c r="DA679" s="374"/>
      <c r="DB679" s="217"/>
    </row>
    <row r="680" spans="1:256" x14ac:dyDescent="0.2">
      <c r="A680" s="1264" t="s">
        <v>1386</v>
      </c>
      <c r="B680" s="651"/>
      <c r="C680" s="236"/>
      <c r="D680" s="207"/>
      <c r="E680" s="207"/>
      <c r="F680" s="207"/>
      <c r="G680" s="234"/>
      <c r="H680" s="236"/>
      <c r="I680" s="973">
        <f t="shared" ref="I680:AN680" si="940">I580+I613+I647</f>
        <v>7228</v>
      </c>
      <c r="J680" s="847">
        <f t="shared" si="940"/>
        <v>7265</v>
      </c>
      <c r="K680" s="847">
        <f t="shared" si="940"/>
        <v>7635</v>
      </c>
      <c r="L680" s="847">
        <f t="shared" si="940"/>
        <v>7750</v>
      </c>
      <c r="M680" s="661">
        <f t="shared" si="940"/>
        <v>7750</v>
      </c>
      <c r="N680" s="973">
        <f t="shared" si="940"/>
        <v>7816</v>
      </c>
      <c r="O680" s="847">
        <f t="shared" si="940"/>
        <v>7949</v>
      </c>
      <c r="P680" s="847">
        <f t="shared" si="940"/>
        <v>8495</v>
      </c>
      <c r="Q680" s="847">
        <f t="shared" si="940"/>
        <v>8451</v>
      </c>
      <c r="R680" s="661">
        <f t="shared" si="940"/>
        <v>8451</v>
      </c>
      <c r="S680" s="973">
        <f t="shared" si="940"/>
        <v>8711</v>
      </c>
      <c r="T680" s="847">
        <f t="shared" si="940"/>
        <v>8467</v>
      </c>
      <c r="U680" s="847">
        <f t="shared" si="940"/>
        <v>8685</v>
      </c>
      <c r="V680" s="847">
        <f t="shared" si="940"/>
        <v>9378</v>
      </c>
      <c r="W680" s="661">
        <f t="shared" si="940"/>
        <v>9378</v>
      </c>
      <c r="X680" s="973">
        <f t="shared" si="940"/>
        <v>9719</v>
      </c>
      <c r="Y680" s="847">
        <f t="shared" si="940"/>
        <v>9719</v>
      </c>
      <c r="Z680" s="847">
        <f t="shared" si="940"/>
        <v>10284</v>
      </c>
      <c r="AA680" s="847">
        <f t="shared" si="940"/>
        <v>10718</v>
      </c>
      <c r="AB680" s="661">
        <f t="shared" si="940"/>
        <v>10718</v>
      </c>
      <c r="AC680" s="973">
        <f t="shared" si="940"/>
        <v>11041</v>
      </c>
      <c r="AD680" s="847">
        <f t="shared" si="940"/>
        <v>11313</v>
      </c>
      <c r="AE680" s="847">
        <f t="shared" si="940"/>
        <v>11666</v>
      </c>
      <c r="AF680" s="847">
        <f t="shared" si="940"/>
        <v>12130</v>
      </c>
      <c r="AG680" s="661">
        <f t="shared" si="940"/>
        <v>12130</v>
      </c>
      <c r="AH680" s="973">
        <f t="shared" si="940"/>
        <v>12661</v>
      </c>
      <c r="AI680" s="847">
        <f t="shared" si="940"/>
        <v>13324</v>
      </c>
      <c r="AJ680" s="847">
        <f t="shared" si="940"/>
        <v>13916</v>
      </c>
      <c r="AK680" s="847">
        <f t="shared" si="940"/>
        <v>14300</v>
      </c>
      <c r="AL680" s="661">
        <f t="shared" si="940"/>
        <v>14300</v>
      </c>
      <c r="AM680" s="973">
        <f t="shared" si="940"/>
        <v>14148</v>
      </c>
      <c r="AN680" s="847">
        <f t="shared" si="940"/>
        <v>13620</v>
      </c>
      <c r="AO680" s="847">
        <f t="shared" ref="AO680:BJ680" si="941">AO580+AO613+AO647</f>
        <v>13605</v>
      </c>
      <c r="AP680" s="847">
        <f t="shared" si="941"/>
        <v>14021</v>
      </c>
      <c r="AQ680" s="661">
        <f t="shared" si="941"/>
        <v>14021</v>
      </c>
      <c r="AR680" s="973">
        <f t="shared" si="941"/>
        <v>13827</v>
      </c>
      <c r="AS680" s="847">
        <f t="shared" si="941"/>
        <v>14576</v>
      </c>
      <c r="AT680" s="847">
        <f t="shared" si="941"/>
        <v>14708</v>
      </c>
      <c r="AU680" s="847">
        <f t="shared" si="941"/>
        <v>15111</v>
      </c>
      <c r="AV680" s="661">
        <f t="shared" si="941"/>
        <v>15111</v>
      </c>
      <c r="AW680" s="973">
        <f t="shared" si="941"/>
        <v>16222</v>
      </c>
      <c r="AX680" s="847">
        <f t="shared" si="941"/>
        <v>17110</v>
      </c>
      <c r="AY680" s="847">
        <f t="shared" si="941"/>
        <v>17254</v>
      </c>
      <c r="AZ680" s="847">
        <f t="shared" si="941"/>
        <v>17566</v>
      </c>
      <c r="BA680" s="661">
        <f t="shared" si="941"/>
        <v>17566</v>
      </c>
      <c r="BB680" s="847">
        <f t="shared" si="941"/>
        <v>18185</v>
      </c>
      <c r="BC680" s="847">
        <f t="shared" si="941"/>
        <v>18931</v>
      </c>
      <c r="BD680" s="847">
        <f t="shared" si="941"/>
        <v>19307</v>
      </c>
      <c r="BE680" s="847">
        <f t="shared" si="941"/>
        <v>19435</v>
      </c>
      <c r="BF680" s="661">
        <f t="shared" si="941"/>
        <v>19435</v>
      </c>
      <c r="BG680" s="847">
        <f t="shared" si="941"/>
        <v>20258</v>
      </c>
      <c r="BH680" s="847">
        <f t="shared" si="941"/>
        <v>20319</v>
      </c>
      <c r="BI680" s="847">
        <f t="shared" si="941"/>
        <v>20496</v>
      </c>
      <c r="BJ680" s="847">
        <f t="shared" si="941"/>
        <v>21306</v>
      </c>
      <c r="BK680" s="661">
        <f t="shared" si="938"/>
        <v>21306</v>
      </c>
      <c r="BL680" s="847">
        <f t="shared" ref="BL680:CV680" si="942">BL580+BL613+BL647</f>
        <v>21777</v>
      </c>
      <c r="BM680" s="847">
        <f t="shared" si="942"/>
        <v>21191</v>
      </c>
      <c r="BN680" s="847">
        <f t="shared" si="942"/>
        <v>21318</v>
      </c>
      <c r="BO680" s="847">
        <f t="shared" si="942"/>
        <v>21605</v>
      </c>
      <c r="BP680" s="661">
        <f t="shared" si="942"/>
        <v>21605</v>
      </c>
      <c r="BQ680" s="847">
        <f t="shared" si="942"/>
        <v>22244</v>
      </c>
      <c r="BR680" s="847">
        <f t="shared" si="942"/>
        <v>22119</v>
      </c>
      <c r="BS680" s="847">
        <f t="shared" si="942"/>
        <v>22727</v>
      </c>
      <c r="BT680" s="847">
        <f t="shared" si="942"/>
        <v>22856</v>
      </c>
      <c r="BU680" s="661">
        <f t="shared" si="942"/>
        <v>22856</v>
      </c>
      <c r="BV680" s="847">
        <f t="shared" si="942"/>
        <v>23198</v>
      </c>
      <c r="BW680" s="847">
        <f t="shared" si="942"/>
        <v>24040</v>
      </c>
      <c r="BX680" s="847">
        <f t="shared" si="942"/>
        <v>24236</v>
      </c>
      <c r="BY680" s="847">
        <f t="shared" si="942"/>
        <v>24906</v>
      </c>
      <c r="BZ680" s="661">
        <f t="shared" si="942"/>
        <v>24906</v>
      </c>
      <c r="CA680" s="847">
        <f t="shared" si="942"/>
        <v>20999</v>
      </c>
      <c r="CB680" s="847">
        <f t="shared" si="942"/>
        <v>21374</v>
      </c>
      <c r="CC680" s="847">
        <f t="shared" si="942"/>
        <v>22669</v>
      </c>
      <c r="CD680" s="847">
        <f t="shared" si="942"/>
        <v>24376</v>
      </c>
      <c r="CE680" s="661">
        <f t="shared" si="942"/>
        <v>24376</v>
      </c>
      <c r="CF680" s="847">
        <f t="shared" si="942"/>
        <v>24736</v>
      </c>
      <c r="CG680" s="847">
        <f t="shared" si="942"/>
        <v>25753</v>
      </c>
      <c r="CH680" s="847">
        <f t="shared" si="942"/>
        <v>26947</v>
      </c>
      <c r="CI680" s="847">
        <f t="shared" si="942"/>
        <v>27859</v>
      </c>
      <c r="CJ680" s="661">
        <f t="shared" si="942"/>
        <v>27859</v>
      </c>
      <c r="CK680" s="2350">
        <f t="shared" si="920"/>
        <v>28079</v>
      </c>
      <c r="CL680" s="847">
        <f t="shared" si="942"/>
        <v>27948</v>
      </c>
      <c r="CM680" s="847">
        <f t="shared" si="942"/>
        <v>28353</v>
      </c>
      <c r="CN680" s="847">
        <f t="shared" si="942"/>
        <v>30080</v>
      </c>
      <c r="CO680" s="661">
        <f t="shared" si="942"/>
        <v>30080</v>
      </c>
      <c r="CP680" s="1261">
        <f t="shared" si="912"/>
        <v>29776.95</v>
      </c>
      <c r="CQ680" s="1261">
        <f t="shared" si="912"/>
        <v>29804.060000000005</v>
      </c>
      <c r="CR680" s="1261">
        <f t="shared" si="912"/>
        <v>30346.120000000003</v>
      </c>
      <c r="CS680" s="1261">
        <f t="shared" si="912"/>
        <v>32187.83</v>
      </c>
      <c r="CT680" s="661">
        <f t="shared" si="912"/>
        <v>32187.83</v>
      </c>
      <c r="CU680" s="661">
        <f t="shared" si="942"/>
        <v>34171.009449999998</v>
      </c>
      <c r="CV680" s="661">
        <f t="shared" si="942"/>
        <v>35108.477723999997</v>
      </c>
      <c r="CW680" s="374"/>
      <c r="CX680" s="374"/>
      <c r="CY680" s="374"/>
      <c r="CZ680" s="374"/>
      <c r="DA680" s="374"/>
      <c r="DB680" s="217"/>
    </row>
    <row r="681" spans="1:256" outlineLevel="1" x14ac:dyDescent="0.2">
      <c r="A681" s="1436" t="s">
        <v>47</v>
      </c>
      <c r="B681" s="651"/>
      <c r="C681" s="236"/>
      <c r="D681" s="234"/>
      <c r="E681" s="234"/>
      <c r="F681" s="234"/>
      <c r="G681" s="234"/>
      <c r="H681" s="848">
        <v>0</v>
      </c>
      <c r="I681" s="2399">
        <f t="shared" ref="I681:AN681" si="943">I581+I614+I648</f>
        <v>0</v>
      </c>
      <c r="J681" s="2349">
        <f t="shared" si="943"/>
        <v>0</v>
      </c>
      <c r="K681" s="2349">
        <f t="shared" si="943"/>
        <v>0</v>
      </c>
      <c r="L681" s="2349">
        <f t="shared" si="943"/>
        <v>0</v>
      </c>
      <c r="M681" s="2293">
        <f t="shared" si="943"/>
        <v>0</v>
      </c>
      <c r="N681" s="2399">
        <f t="shared" si="943"/>
        <v>0</v>
      </c>
      <c r="O681" s="2349">
        <f t="shared" si="943"/>
        <v>0</v>
      </c>
      <c r="P681" s="2349">
        <f t="shared" si="943"/>
        <v>0</v>
      </c>
      <c r="Q681" s="2349">
        <f t="shared" si="943"/>
        <v>0</v>
      </c>
      <c r="R681" s="2293">
        <f t="shared" si="943"/>
        <v>0</v>
      </c>
      <c r="S681" s="2399">
        <f t="shared" si="943"/>
        <v>0</v>
      </c>
      <c r="T681" s="2349">
        <f t="shared" si="943"/>
        <v>0</v>
      </c>
      <c r="U681" s="2349">
        <f t="shared" si="943"/>
        <v>0</v>
      </c>
      <c r="V681" s="2349">
        <f t="shared" si="943"/>
        <v>0</v>
      </c>
      <c r="W681" s="2293">
        <f t="shared" si="943"/>
        <v>0</v>
      </c>
      <c r="X681" s="2399">
        <f t="shared" si="943"/>
        <v>0</v>
      </c>
      <c r="Y681" s="2349">
        <f t="shared" si="943"/>
        <v>0</v>
      </c>
      <c r="Z681" s="2349">
        <f t="shared" si="943"/>
        <v>0</v>
      </c>
      <c r="AA681" s="2349">
        <f t="shared" si="943"/>
        <v>0</v>
      </c>
      <c r="AB681" s="2293">
        <f t="shared" si="943"/>
        <v>0</v>
      </c>
      <c r="AC681" s="2399">
        <f t="shared" si="943"/>
        <v>0</v>
      </c>
      <c r="AD681" s="2349">
        <f t="shared" si="943"/>
        <v>0</v>
      </c>
      <c r="AE681" s="2349">
        <f t="shared" si="943"/>
        <v>0</v>
      </c>
      <c r="AF681" s="2349">
        <f t="shared" si="943"/>
        <v>0</v>
      </c>
      <c r="AG681" s="2293">
        <f t="shared" si="943"/>
        <v>0</v>
      </c>
      <c r="AH681" s="2399">
        <f t="shared" si="943"/>
        <v>0</v>
      </c>
      <c r="AI681" s="2349">
        <f t="shared" si="943"/>
        <v>0</v>
      </c>
      <c r="AJ681" s="2349">
        <f t="shared" si="943"/>
        <v>0</v>
      </c>
      <c r="AK681" s="2349">
        <f t="shared" si="943"/>
        <v>0</v>
      </c>
      <c r="AL681" s="2293">
        <f t="shared" si="943"/>
        <v>0</v>
      </c>
      <c r="AM681" s="2399">
        <f t="shared" si="943"/>
        <v>0</v>
      </c>
      <c r="AN681" s="2349">
        <f t="shared" si="943"/>
        <v>0</v>
      </c>
      <c r="AO681" s="2349">
        <f t="shared" ref="AO681:BJ681" si="944">AO581+AO614+AO648</f>
        <v>0</v>
      </c>
      <c r="AP681" s="2349">
        <f t="shared" si="944"/>
        <v>0</v>
      </c>
      <c r="AQ681" s="2293">
        <f t="shared" si="944"/>
        <v>0</v>
      </c>
      <c r="AR681" s="2399">
        <f t="shared" si="944"/>
        <v>0</v>
      </c>
      <c r="AS681" s="2349">
        <f t="shared" si="944"/>
        <v>0</v>
      </c>
      <c r="AT681" s="2349">
        <f t="shared" si="944"/>
        <v>0</v>
      </c>
      <c r="AU681" s="2349">
        <f t="shared" si="944"/>
        <v>0</v>
      </c>
      <c r="AV681" s="2293">
        <f t="shared" si="944"/>
        <v>0</v>
      </c>
      <c r="AW681" s="2399">
        <f t="shared" si="944"/>
        <v>0</v>
      </c>
      <c r="AX681" s="2349">
        <f t="shared" si="944"/>
        <v>0</v>
      </c>
      <c r="AY681" s="2349">
        <f t="shared" si="944"/>
        <v>0</v>
      </c>
      <c r="AZ681" s="2349">
        <f t="shared" si="944"/>
        <v>0</v>
      </c>
      <c r="BA681" s="2293">
        <f t="shared" si="944"/>
        <v>0</v>
      </c>
      <c r="BB681" s="2399">
        <f t="shared" si="944"/>
        <v>0</v>
      </c>
      <c r="BC681" s="2349">
        <f t="shared" si="944"/>
        <v>0</v>
      </c>
      <c r="BD681" s="2349">
        <f t="shared" si="944"/>
        <v>0</v>
      </c>
      <c r="BE681" s="2349">
        <f t="shared" si="944"/>
        <v>0</v>
      </c>
      <c r="BF681" s="2293">
        <f t="shared" si="944"/>
        <v>0</v>
      </c>
      <c r="BG681" s="2399">
        <f t="shared" si="944"/>
        <v>0</v>
      </c>
      <c r="BH681" s="2349">
        <f t="shared" si="944"/>
        <v>0</v>
      </c>
      <c r="BI681" s="2349">
        <f t="shared" si="944"/>
        <v>0</v>
      </c>
      <c r="BJ681" s="2349">
        <f t="shared" si="944"/>
        <v>0</v>
      </c>
      <c r="BK681" s="2293">
        <f t="shared" si="938"/>
        <v>0</v>
      </c>
      <c r="BL681" s="2399">
        <f t="shared" ref="BL681:CV681" si="945">BL581+BL614+BL648</f>
        <v>0</v>
      </c>
      <c r="BM681" s="2349">
        <f t="shared" si="945"/>
        <v>0</v>
      </c>
      <c r="BN681" s="2349">
        <f t="shared" si="945"/>
        <v>0</v>
      </c>
      <c r="BO681" s="2349">
        <f t="shared" si="945"/>
        <v>0</v>
      </c>
      <c r="BP681" s="2293">
        <f t="shared" si="945"/>
        <v>0</v>
      </c>
      <c r="BQ681" s="2399">
        <f t="shared" si="945"/>
        <v>0</v>
      </c>
      <c r="BR681" s="2349">
        <f t="shared" si="945"/>
        <v>0</v>
      </c>
      <c r="BS681" s="2349">
        <f t="shared" si="945"/>
        <v>0</v>
      </c>
      <c r="BT681" s="2349">
        <f t="shared" si="945"/>
        <v>0</v>
      </c>
      <c r="BU681" s="2293">
        <f t="shared" si="945"/>
        <v>0</v>
      </c>
      <c r="BV681" s="2399">
        <f t="shared" si="945"/>
        <v>0</v>
      </c>
      <c r="BW681" s="2349">
        <f t="shared" si="945"/>
        <v>9995</v>
      </c>
      <c r="BX681" s="2349">
        <f t="shared" si="945"/>
        <v>10107</v>
      </c>
      <c r="BY681" s="2349">
        <f t="shared" si="945"/>
        <v>10107</v>
      </c>
      <c r="BZ681" s="2293">
        <f t="shared" si="945"/>
        <v>10107</v>
      </c>
      <c r="CA681" s="2399">
        <f t="shared" si="945"/>
        <v>10350</v>
      </c>
      <c r="CB681" s="2349">
        <f t="shared" si="945"/>
        <v>9864</v>
      </c>
      <c r="CC681" s="2349">
        <f t="shared" si="945"/>
        <v>9612</v>
      </c>
      <c r="CD681" s="2349">
        <f t="shared" si="945"/>
        <v>9609</v>
      </c>
      <c r="CE681" s="2293">
        <f t="shared" si="945"/>
        <v>9609</v>
      </c>
      <c r="CF681" s="2399">
        <f t="shared" si="945"/>
        <v>9380</v>
      </c>
      <c r="CG681" s="2349">
        <f t="shared" si="945"/>
        <v>9284</v>
      </c>
      <c r="CH681" s="2349">
        <f t="shared" si="945"/>
        <v>9242</v>
      </c>
      <c r="CI681" s="2349">
        <f t="shared" si="945"/>
        <v>9352</v>
      </c>
      <c r="CJ681" s="2293">
        <f t="shared" si="945"/>
        <v>9352</v>
      </c>
      <c r="CK681" s="2350">
        <f t="shared" si="920"/>
        <v>9143</v>
      </c>
      <c r="CL681" s="2349">
        <f t="shared" si="945"/>
        <v>9072</v>
      </c>
      <c r="CM681" s="2349">
        <f t="shared" si="945"/>
        <v>9023</v>
      </c>
      <c r="CN681" s="2349">
        <f t="shared" si="945"/>
        <v>9033</v>
      </c>
      <c r="CO681" s="2293">
        <f t="shared" si="945"/>
        <v>9033</v>
      </c>
      <c r="CP681" s="1261">
        <f t="shared" si="912"/>
        <v>9628.07</v>
      </c>
      <c r="CQ681" s="1261">
        <f t="shared" si="912"/>
        <v>9600.16</v>
      </c>
      <c r="CR681" s="1261">
        <f t="shared" si="912"/>
        <v>9579.77</v>
      </c>
      <c r="CS681" s="1261">
        <f t="shared" si="912"/>
        <v>9590.6700000000019</v>
      </c>
      <c r="CT681" s="2293">
        <f t="shared" si="912"/>
        <v>9590.6700000000019</v>
      </c>
      <c r="CU681" s="2293">
        <f t="shared" si="945"/>
        <v>10113.427250000001</v>
      </c>
      <c r="CV681" s="2293">
        <f t="shared" si="945"/>
        <v>10365.97335</v>
      </c>
      <c r="CW681" s="374"/>
      <c r="CX681" s="374"/>
      <c r="CY681" s="374"/>
      <c r="CZ681" s="374"/>
      <c r="DA681" s="374"/>
      <c r="DB681" s="217"/>
    </row>
    <row r="682" spans="1:256" x14ac:dyDescent="0.2">
      <c r="A682" s="1264" t="s">
        <v>1388</v>
      </c>
      <c r="B682" s="651"/>
      <c r="C682" s="236"/>
      <c r="D682" s="207"/>
      <c r="E682" s="207"/>
      <c r="F682" s="207"/>
      <c r="G682" s="234"/>
      <c r="H682" s="236"/>
      <c r="I682" s="973">
        <f t="shared" ref="I682:AN682" si="946">I582+I615+I649</f>
        <v>1235</v>
      </c>
      <c r="J682" s="847">
        <f t="shared" si="946"/>
        <v>1369</v>
      </c>
      <c r="K682" s="847">
        <f t="shared" si="946"/>
        <v>1371</v>
      </c>
      <c r="L682" s="847">
        <f t="shared" si="946"/>
        <v>1371</v>
      </c>
      <c r="M682" s="661">
        <f t="shared" si="946"/>
        <v>1371</v>
      </c>
      <c r="N682" s="973">
        <f t="shared" si="946"/>
        <v>1491</v>
      </c>
      <c r="O682" s="847">
        <f t="shared" si="946"/>
        <v>1571</v>
      </c>
      <c r="P682" s="847">
        <f t="shared" si="946"/>
        <v>1571</v>
      </c>
      <c r="Q682" s="847">
        <f t="shared" si="946"/>
        <v>1571</v>
      </c>
      <c r="R682" s="661">
        <f t="shared" si="946"/>
        <v>1571</v>
      </c>
      <c r="S682" s="973">
        <f t="shared" si="946"/>
        <v>1571</v>
      </c>
      <c r="T682" s="847">
        <f t="shared" si="946"/>
        <v>1789</v>
      </c>
      <c r="U682" s="847">
        <f t="shared" si="946"/>
        <v>1789</v>
      </c>
      <c r="V682" s="847">
        <f t="shared" si="946"/>
        <v>1795</v>
      </c>
      <c r="W682" s="661">
        <f t="shared" si="946"/>
        <v>1795</v>
      </c>
      <c r="X682" s="973">
        <f t="shared" si="946"/>
        <v>1795</v>
      </c>
      <c r="Y682" s="847">
        <f t="shared" si="946"/>
        <v>1795</v>
      </c>
      <c r="Z682" s="847">
        <f t="shared" si="946"/>
        <v>1887</v>
      </c>
      <c r="AA682" s="847">
        <f t="shared" si="946"/>
        <v>1887</v>
      </c>
      <c r="AB682" s="661">
        <f t="shared" si="946"/>
        <v>1887</v>
      </c>
      <c r="AC682" s="973">
        <f t="shared" si="946"/>
        <v>2107</v>
      </c>
      <c r="AD682" s="847">
        <f t="shared" si="946"/>
        <v>2107</v>
      </c>
      <c r="AE682" s="847">
        <f t="shared" si="946"/>
        <v>2240</v>
      </c>
      <c r="AF682" s="847">
        <f t="shared" si="946"/>
        <v>2240</v>
      </c>
      <c r="AG682" s="661">
        <f t="shared" si="946"/>
        <v>2240</v>
      </c>
      <c r="AH682" s="973">
        <f t="shared" si="946"/>
        <v>2240</v>
      </c>
      <c r="AI682" s="847">
        <f t="shared" si="946"/>
        <v>2240</v>
      </c>
      <c r="AJ682" s="847">
        <f t="shared" si="946"/>
        <v>2409</v>
      </c>
      <c r="AK682" s="847">
        <f t="shared" si="946"/>
        <v>2313</v>
      </c>
      <c r="AL682" s="661">
        <f t="shared" si="946"/>
        <v>2313</v>
      </c>
      <c r="AM682" s="973">
        <f t="shared" si="946"/>
        <v>2313</v>
      </c>
      <c r="AN682" s="847">
        <f t="shared" si="946"/>
        <v>2563</v>
      </c>
      <c r="AO682" s="847">
        <f t="shared" ref="AO682:BJ682" si="947">AO582+AO615+AO649</f>
        <v>2612</v>
      </c>
      <c r="AP682" s="847">
        <f t="shared" si="947"/>
        <v>2611</v>
      </c>
      <c r="AQ682" s="661">
        <f t="shared" si="947"/>
        <v>2611</v>
      </c>
      <c r="AR682" s="973">
        <f t="shared" si="947"/>
        <v>2611</v>
      </c>
      <c r="AS682" s="847">
        <f t="shared" si="947"/>
        <v>2611</v>
      </c>
      <c r="AT682" s="847">
        <f t="shared" si="947"/>
        <v>2665</v>
      </c>
      <c r="AU682" s="847">
        <f t="shared" si="947"/>
        <v>2665</v>
      </c>
      <c r="AV682" s="661">
        <f t="shared" si="947"/>
        <v>2665</v>
      </c>
      <c r="AW682" s="973">
        <f t="shared" si="947"/>
        <v>2389</v>
      </c>
      <c r="AX682" s="847">
        <f t="shared" si="947"/>
        <v>2604</v>
      </c>
      <c r="AY682" s="847">
        <f t="shared" si="947"/>
        <v>2604</v>
      </c>
      <c r="AZ682" s="847">
        <f t="shared" si="947"/>
        <v>2417</v>
      </c>
      <c r="BA682" s="661">
        <f t="shared" si="947"/>
        <v>2417</v>
      </c>
      <c r="BB682" s="847">
        <f t="shared" si="947"/>
        <v>2418</v>
      </c>
      <c r="BC682" s="847">
        <f t="shared" si="947"/>
        <v>2418</v>
      </c>
      <c r="BD682" s="847">
        <f t="shared" si="947"/>
        <v>2559</v>
      </c>
      <c r="BE682" s="847">
        <f t="shared" si="947"/>
        <v>2559</v>
      </c>
      <c r="BF682" s="661">
        <f t="shared" si="947"/>
        <v>2559</v>
      </c>
      <c r="BG682" s="847">
        <f t="shared" si="947"/>
        <v>2559</v>
      </c>
      <c r="BH682" s="847">
        <f t="shared" si="947"/>
        <v>2559</v>
      </c>
      <c r="BI682" s="847">
        <f t="shared" si="947"/>
        <v>2559</v>
      </c>
      <c r="BJ682" s="847">
        <f t="shared" si="947"/>
        <v>2791</v>
      </c>
      <c r="BK682" s="661">
        <f t="shared" si="938"/>
        <v>2791</v>
      </c>
      <c r="BL682" s="847">
        <f t="shared" ref="BL682:CV682" si="948">BL582+BL615+BL649</f>
        <v>3028</v>
      </c>
      <c r="BM682" s="847">
        <f t="shared" si="948"/>
        <v>3028</v>
      </c>
      <c r="BN682" s="847">
        <f t="shared" si="948"/>
        <v>3229</v>
      </c>
      <c r="BO682" s="847">
        <f t="shared" si="948"/>
        <v>3229</v>
      </c>
      <c r="BP682" s="661">
        <f t="shared" si="948"/>
        <v>3229</v>
      </c>
      <c r="BQ682" s="847">
        <f t="shared" si="948"/>
        <v>3229</v>
      </c>
      <c r="BR682" s="847">
        <f t="shared" si="948"/>
        <v>3229</v>
      </c>
      <c r="BS682" s="847">
        <f t="shared" si="948"/>
        <v>3229</v>
      </c>
      <c r="BT682" s="847">
        <f t="shared" si="948"/>
        <v>3349</v>
      </c>
      <c r="BU682" s="661">
        <f t="shared" si="948"/>
        <v>3349</v>
      </c>
      <c r="BV682" s="847">
        <f t="shared" si="948"/>
        <v>3349</v>
      </c>
      <c r="BW682" s="847">
        <f t="shared" si="948"/>
        <v>3349</v>
      </c>
      <c r="BX682" s="847">
        <f t="shared" si="948"/>
        <v>3349</v>
      </c>
      <c r="BY682" s="847">
        <f t="shared" si="948"/>
        <v>3645</v>
      </c>
      <c r="BZ682" s="661">
        <f t="shared" si="948"/>
        <v>3645</v>
      </c>
      <c r="CA682" s="847">
        <f t="shared" si="948"/>
        <v>717</v>
      </c>
      <c r="CB682" s="847">
        <f t="shared" si="948"/>
        <v>717</v>
      </c>
      <c r="CC682" s="847">
        <f t="shared" si="948"/>
        <v>717</v>
      </c>
      <c r="CD682" s="847">
        <f t="shared" si="948"/>
        <v>717</v>
      </c>
      <c r="CE682" s="661">
        <f t="shared" si="948"/>
        <v>717</v>
      </c>
      <c r="CF682" s="847">
        <f t="shared" si="948"/>
        <v>717</v>
      </c>
      <c r="CG682" s="847">
        <f t="shared" si="948"/>
        <v>717</v>
      </c>
      <c r="CH682" s="847">
        <f t="shared" si="948"/>
        <v>857</v>
      </c>
      <c r="CI682" s="847">
        <f t="shared" si="948"/>
        <v>857</v>
      </c>
      <c r="CJ682" s="661">
        <f t="shared" si="948"/>
        <v>857</v>
      </c>
      <c r="CK682" s="2350">
        <f t="shared" si="920"/>
        <v>857</v>
      </c>
      <c r="CL682" s="847">
        <f t="shared" si="948"/>
        <v>857</v>
      </c>
      <c r="CM682" s="847">
        <f t="shared" si="948"/>
        <v>944</v>
      </c>
      <c r="CN682" s="847">
        <f t="shared" si="948"/>
        <v>1070</v>
      </c>
      <c r="CO682" s="661">
        <f t="shared" si="948"/>
        <v>1070</v>
      </c>
      <c r="CP682" s="1261">
        <f t="shared" si="912"/>
        <v>898.85</v>
      </c>
      <c r="CQ682" s="1261">
        <f t="shared" si="912"/>
        <v>904.02</v>
      </c>
      <c r="CR682" s="1261">
        <f t="shared" si="912"/>
        <v>1000.85</v>
      </c>
      <c r="CS682" s="1261">
        <f t="shared" si="912"/>
        <v>1134.4100000000001</v>
      </c>
      <c r="CT682" s="661">
        <f t="shared" si="912"/>
        <v>1134.4100000000001</v>
      </c>
      <c r="CU682" s="661">
        <f t="shared" si="948"/>
        <v>1195.35915</v>
      </c>
      <c r="CV682" s="661">
        <f t="shared" si="948"/>
        <v>1223.192178</v>
      </c>
      <c r="CW682" s="374"/>
      <c r="CX682" s="374"/>
      <c r="CY682" s="374"/>
      <c r="CZ682" s="374"/>
      <c r="DA682" s="374"/>
      <c r="DB682" s="217"/>
    </row>
    <row r="683" spans="1:256" x14ac:dyDescent="0.2">
      <c r="A683" s="1266" t="s">
        <v>1391</v>
      </c>
      <c r="B683" s="651"/>
      <c r="C683" s="236"/>
      <c r="D683" s="207"/>
      <c r="E683" s="207"/>
      <c r="F683" s="207"/>
      <c r="G683" s="234"/>
      <c r="H683" s="236"/>
      <c r="I683" s="973">
        <f t="shared" ref="I683:AN683" si="949">I583+I616+I650</f>
        <v>0</v>
      </c>
      <c r="J683" s="847">
        <f t="shared" si="949"/>
        <v>0</v>
      </c>
      <c r="K683" s="847">
        <f t="shared" si="949"/>
        <v>0</v>
      </c>
      <c r="L683" s="847">
        <f t="shared" si="949"/>
        <v>0</v>
      </c>
      <c r="M683" s="661">
        <f t="shared" si="949"/>
        <v>0</v>
      </c>
      <c r="N683" s="973">
        <f t="shared" si="949"/>
        <v>0</v>
      </c>
      <c r="O683" s="847">
        <f t="shared" si="949"/>
        <v>0</v>
      </c>
      <c r="P683" s="847">
        <f t="shared" si="949"/>
        <v>0</v>
      </c>
      <c r="Q683" s="847">
        <f t="shared" si="949"/>
        <v>0</v>
      </c>
      <c r="R683" s="661">
        <f t="shared" si="949"/>
        <v>0</v>
      </c>
      <c r="S683" s="973">
        <f t="shared" si="949"/>
        <v>0</v>
      </c>
      <c r="T683" s="847">
        <f t="shared" si="949"/>
        <v>0</v>
      </c>
      <c r="U683" s="847">
        <f t="shared" si="949"/>
        <v>0</v>
      </c>
      <c r="V683" s="847">
        <f t="shared" si="949"/>
        <v>0</v>
      </c>
      <c r="W683" s="661">
        <f t="shared" si="949"/>
        <v>0</v>
      </c>
      <c r="X683" s="973">
        <f t="shared" si="949"/>
        <v>0</v>
      </c>
      <c r="Y683" s="847">
        <f t="shared" si="949"/>
        <v>0</v>
      </c>
      <c r="Z683" s="847">
        <f t="shared" si="949"/>
        <v>0</v>
      </c>
      <c r="AA683" s="847">
        <f t="shared" si="949"/>
        <v>0</v>
      </c>
      <c r="AB683" s="661">
        <f t="shared" si="949"/>
        <v>0</v>
      </c>
      <c r="AC683" s="973">
        <f t="shared" si="949"/>
        <v>0</v>
      </c>
      <c r="AD683" s="847">
        <f t="shared" si="949"/>
        <v>0</v>
      </c>
      <c r="AE683" s="847">
        <f t="shared" si="949"/>
        <v>0</v>
      </c>
      <c r="AF683" s="847">
        <f t="shared" si="949"/>
        <v>0</v>
      </c>
      <c r="AG683" s="661">
        <f t="shared" si="949"/>
        <v>0</v>
      </c>
      <c r="AH683" s="973">
        <f t="shared" si="949"/>
        <v>0</v>
      </c>
      <c r="AI683" s="847">
        <f t="shared" si="949"/>
        <v>0</v>
      </c>
      <c r="AJ683" s="847">
        <f t="shared" si="949"/>
        <v>0</v>
      </c>
      <c r="AK683" s="847">
        <f t="shared" si="949"/>
        <v>0</v>
      </c>
      <c r="AL683" s="661">
        <f t="shared" si="949"/>
        <v>0</v>
      </c>
      <c r="AM683" s="973">
        <f t="shared" si="949"/>
        <v>0</v>
      </c>
      <c r="AN683" s="847">
        <f t="shared" si="949"/>
        <v>0</v>
      </c>
      <c r="AO683" s="847">
        <f t="shared" ref="AO683:BJ683" si="950">AO583+AO616+AO650</f>
        <v>0</v>
      </c>
      <c r="AP683" s="847">
        <f t="shared" si="950"/>
        <v>0</v>
      </c>
      <c r="AQ683" s="661">
        <f t="shared" si="950"/>
        <v>0</v>
      </c>
      <c r="AR683" s="973">
        <f t="shared" si="950"/>
        <v>0</v>
      </c>
      <c r="AS683" s="847">
        <f t="shared" si="950"/>
        <v>0</v>
      </c>
      <c r="AT683" s="847">
        <f t="shared" si="950"/>
        <v>0</v>
      </c>
      <c r="AU683" s="847">
        <f t="shared" si="950"/>
        <v>0</v>
      </c>
      <c r="AV683" s="661">
        <f t="shared" si="950"/>
        <v>0</v>
      </c>
      <c r="AW683" s="973">
        <f t="shared" si="950"/>
        <v>0</v>
      </c>
      <c r="AX683" s="847">
        <f t="shared" si="950"/>
        <v>0</v>
      </c>
      <c r="AY683" s="847">
        <f t="shared" si="950"/>
        <v>0</v>
      </c>
      <c r="AZ683" s="847">
        <f t="shared" si="950"/>
        <v>0</v>
      </c>
      <c r="BA683" s="661">
        <f t="shared" si="950"/>
        <v>0</v>
      </c>
      <c r="BB683" s="973">
        <f t="shared" si="950"/>
        <v>0</v>
      </c>
      <c r="BC683" s="847">
        <f t="shared" si="950"/>
        <v>0</v>
      </c>
      <c r="BD683" s="847">
        <f t="shared" si="950"/>
        <v>0</v>
      </c>
      <c r="BE683" s="847">
        <f t="shared" si="950"/>
        <v>105</v>
      </c>
      <c r="BF683" s="661">
        <f t="shared" si="950"/>
        <v>105</v>
      </c>
      <c r="BG683" s="847">
        <f t="shared" si="950"/>
        <v>105</v>
      </c>
      <c r="BH683" s="847">
        <f t="shared" si="950"/>
        <v>105</v>
      </c>
      <c r="BI683" s="847">
        <f t="shared" si="950"/>
        <v>105</v>
      </c>
      <c r="BJ683" s="847">
        <f t="shared" si="950"/>
        <v>105</v>
      </c>
      <c r="BK683" s="661">
        <f t="shared" si="938"/>
        <v>105</v>
      </c>
      <c r="BL683" s="847">
        <f t="shared" ref="BL683:CV683" si="951">BL583+BL616+BL650</f>
        <v>105</v>
      </c>
      <c r="BM683" s="847">
        <f t="shared" si="951"/>
        <v>105</v>
      </c>
      <c r="BN683" s="847">
        <f t="shared" si="951"/>
        <v>278</v>
      </c>
      <c r="BO683" s="847">
        <f t="shared" si="951"/>
        <v>278</v>
      </c>
      <c r="BP683" s="661">
        <f t="shared" si="951"/>
        <v>278</v>
      </c>
      <c r="BQ683" s="847">
        <f t="shared" si="951"/>
        <v>278</v>
      </c>
      <c r="BR683" s="847">
        <f t="shared" si="951"/>
        <v>278</v>
      </c>
      <c r="BS683" s="847">
        <f t="shared" si="951"/>
        <v>278</v>
      </c>
      <c r="BT683" s="847">
        <f t="shared" si="951"/>
        <v>278</v>
      </c>
      <c r="BU683" s="661">
        <f t="shared" si="951"/>
        <v>278</v>
      </c>
      <c r="BV683" s="847">
        <f t="shared" si="951"/>
        <v>278</v>
      </c>
      <c r="BW683" s="847">
        <f t="shared" si="951"/>
        <v>426</v>
      </c>
      <c r="BX683" s="847">
        <f t="shared" si="951"/>
        <v>518</v>
      </c>
      <c r="BY683" s="847">
        <f t="shared" si="951"/>
        <v>518</v>
      </c>
      <c r="BZ683" s="661">
        <f t="shared" si="951"/>
        <v>518</v>
      </c>
      <c r="CA683" s="847">
        <f t="shared" si="951"/>
        <v>0</v>
      </c>
      <c r="CB683" s="847">
        <f t="shared" si="951"/>
        <v>0</v>
      </c>
      <c r="CC683" s="847">
        <f t="shared" si="951"/>
        <v>0</v>
      </c>
      <c r="CD683" s="847">
        <f t="shared" si="951"/>
        <v>0</v>
      </c>
      <c r="CE683" s="661">
        <f t="shared" si="951"/>
        <v>0</v>
      </c>
      <c r="CF683" s="847">
        <f t="shared" si="951"/>
        <v>0</v>
      </c>
      <c r="CG683" s="847">
        <f t="shared" si="951"/>
        <v>0</v>
      </c>
      <c r="CH683" s="847">
        <f t="shared" si="951"/>
        <v>0</v>
      </c>
      <c r="CI683" s="847">
        <f t="shared" si="951"/>
        <v>0</v>
      </c>
      <c r="CJ683" s="661">
        <f t="shared" si="951"/>
        <v>0</v>
      </c>
      <c r="CK683" s="2350">
        <f t="shared" si="920"/>
        <v>0</v>
      </c>
      <c r="CL683" s="847">
        <f t="shared" ca="1" si="951"/>
        <v>0</v>
      </c>
      <c r="CM683" s="847">
        <f t="shared" ca="1" si="951"/>
        <v>0</v>
      </c>
      <c r="CN683" s="847">
        <f t="shared" ca="1" si="951"/>
        <v>0</v>
      </c>
      <c r="CO683" s="661">
        <f t="shared" ca="1" si="951"/>
        <v>0</v>
      </c>
      <c r="CP683" s="1261">
        <f t="shared" si="912"/>
        <v>0</v>
      </c>
      <c r="CQ683" s="1261">
        <f t="shared" ca="1" si="912"/>
        <v>0</v>
      </c>
      <c r="CR683" s="1261">
        <f t="shared" ca="1" si="912"/>
        <v>0</v>
      </c>
      <c r="CS683" s="1261">
        <f t="shared" ca="1" si="912"/>
        <v>0</v>
      </c>
      <c r="CT683" s="661">
        <f t="shared" ca="1" si="912"/>
        <v>0</v>
      </c>
      <c r="CU683" s="661">
        <f t="shared" ca="1" si="951"/>
        <v>0</v>
      </c>
      <c r="CV683" s="661">
        <f t="shared" ca="1" si="951"/>
        <v>0</v>
      </c>
      <c r="CW683" s="374"/>
      <c r="CX683" s="374"/>
      <c r="CY683" s="374"/>
      <c r="CZ683" s="374"/>
      <c r="DA683" s="374"/>
      <c r="DB683" s="217"/>
    </row>
    <row r="684" spans="1:256" x14ac:dyDescent="0.2">
      <c r="A684" s="1266" t="s">
        <v>1389</v>
      </c>
      <c r="B684" s="651"/>
      <c r="C684" s="236"/>
      <c r="D684" s="207"/>
      <c r="E684" s="207"/>
      <c r="F684" s="207"/>
      <c r="G684" s="234"/>
      <c r="H684" s="236"/>
      <c r="I684" s="973">
        <f t="shared" ref="I684:AN684" si="952">I584+I617+I651</f>
        <v>0</v>
      </c>
      <c r="J684" s="847">
        <f t="shared" si="952"/>
        <v>0</v>
      </c>
      <c r="K684" s="847">
        <f t="shared" si="952"/>
        <v>0</v>
      </c>
      <c r="L684" s="847">
        <f t="shared" si="952"/>
        <v>0</v>
      </c>
      <c r="M684" s="661">
        <f t="shared" si="952"/>
        <v>0</v>
      </c>
      <c r="N684" s="973">
        <f t="shared" si="952"/>
        <v>0</v>
      </c>
      <c r="O684" s="847">
        <f t="shared" si="952"/>
        <v>0</v>
      </c>
      <c r="P684" s="847">
        <f t="shared" si="952"/>
        <v>0</v>
      </c>
      <c r="Q684" s="847">
        <f t="shared" si="952"/>
        <v>0</v>
      </c>
      <c r="R684" s="661">
        <f t="shared" si="952"/>
        <v>0</v>
      </c>
      <c r="S684" s="973">
        <f t="shared" si="952"/>
        <v>105</v>
      </c>
      <c r="T684" s="847">
        <f t="shared" si="952"/>
        <v>103</v>
      </c>
      <c r="U684" s="847">
        <f t="shared" si="952"/>
        <v>103</v>
      </c>
      <c r="V684" s="847">
        <f t="shared" si="952"/>
        <v>103</v>
      </c>
      <c r="W684" s="661">
        <f t="shared" si="952"/>
        <v>103</v>
      </c>
      <c r="X684" s="973">
        <f t="shared" si="952"/>
        <v>103</v>
      </c>
      <c r="Y684" s="847">
        <f t="shared" si="952"/>
        <v>338</v>
      </c>
      <c r="Z684" s="847">
        <f t="shared" si="952"/>
        <v>338</v>
      </c>
      <c r="AA684" s="847">
        <f t="shared" si="952"/>
        <v>452</v>
      </c>
      <c r="AB684" s="661">
        <f t="shared" si="952"/>
        <v>452</v>
      </c>
      <c r="AC684" s="973">
        <f t="shared" si="952"/>
        <v>452</v>
      </c>
      <c r="AD684" s="847">
        <f t="shared" si="952"/>
        <v>452</v>
      </c>
      <c r="AE684" s="847">
        <f t="shared" si="952"/>
        <v>559</v>
      </c>
      <c r="AF684" s="847">
        <f t="shared" si="952"/>
        <v>559</v>
      </c>
      <c r="AG684" s="661">
        <f t="shared" si="952"/>
        <v>559</v>
      </c>
      <c r="AH684" s="973">
        <f t="shared" si="952"/>
        <v>559</v>
      </c>
      <c r="AI684" s="847">
        <f t="shared" si="952"/>
        <v>559</v>
      </c>
      <c r="AJ684" s="847">
        <f t="shared" si="952"/>
        <v>559</v>
      </c>
      <c r="AK684" s="847">
        <f t="shared" si="952"/>
        <v>559</v>
      </c>
      <c r="AL684" s="661">
        <f t="shared" si="952"/>
        <v>559</v>
      </c>
      <c r="AM684" s="973">
        <f t="shared" si="952"/>
        <v>640</v>
      </c>
      <c r="AN684" s="847">
        <f t="shared" si="952"/>
        <v>756</v>
      </c>
      <c r="AO684" s="847">
        <f t="shared" ref="AO684:BJ684" si="953">AO584+AO617+AO651</f>
        <v>859</v>
      </c>
      <c r="AP684" s="847">
        <f t="shared" si="953"/>
        <v>947</v>
      </c>
      <c r="AQ684" s="661">
        <f t="shared" si="953"/>
        <v>947</v>
      </c>
      <c r="AR684" s="973">
        <f t="shared" si="953"/>
        <v>949</v>
      </c>
      <c r="AS684" s="847">
        <f t="shared" si="953"/>
        <v>1111</v>
      </c>
      <c r="AT684" s="847">
        <f t="shared" si="953"/>
        <v>1109</v>
      </c>
      <c r="AU684" s="847">
        <f t="shared" si="953"/>
        <v>1109</v>
      </c>
      <c r="AV684" s="661">
        <f t="shared" si="953"/>
        <v>1109</v>
      </c>
      <c r="AW684" s="973">
        <f t="shared" si="953"/>
        <v>1109</v>
      </c>
      <c r="AX684" s="847">
        <f t="shared" si="953"/>
        <v>1109</v>
      </c>
      <c r="AY684" s="847">
        <f t="shared" si="953"/>
        <v>1109</v>
      </c>
      <c r="AZ684" s="847">
        <f t="shared" si="953"/>
        <v>1109</v>
      </c>
      <c r="BA684" s="661">
        <f t="shared" si="953"/>
        <v>1109</v>
      </c>
      <c r="BB684" s="973">
        <f t="shared" si="953"/>
        <v>1109</v>
      </c>
      <c r="BC684" s="847">
        <f t="shared" si="953"/>
        <v>1153</v>
      </c>
      <c r="BD684" s="847">
        <f t="shared" si="953"/>
        <v>1235</v>
      </c>
      <c r="BE684" s="847">
        <f t="shared" si="953"/>
        <v>1235</v>
      </c>
      <c r="BF684" s="661">
        <f t="shared" si="953"/>
        <v>1235</v>
      </c>
      <c r="BG684" s="847">
        <f t="shared" si="953"/>
        <v>1235</v>
      </c>
      <c r="BH684" s="847">
        <f t="shared" si="953"/>
        <v>1361</v>
      </c>
      <c r="BI684" s="847">
        <f t="shared" si="953"/>
        <v>1361</v>
      </c>
      <c r="BJ684" s="847">
        <f t="shared" si="953"/>
        <v>1568</v>
      </c>
      <c r="BK684" s="661">
        <f t="shared" si="938"/>
        <v>1568</v>
      </c>
      <c r="BL684" s="847">
        <f t="shared" ref="BL684:CV684" si="954">BL584+BL617+BL651</f>
        <v>1568</v>
      </c>
      <c r="BM684" s="847">
        <f t="shared" si="954"/>
        <v>1568</v>
      </c>
      <c r="BN684" s="847">
        <f t="shared" si="954"/>
        <v>1568</v>
      </c>
      <c r="BO684" s="847">
        <f t="shared" si="954"/>
        <v>1568</v>
      </c>
      <c r="BP684" s="661">
        <f t="shared" si="954"/>
        <v>1568</v>
      </c>
      <c r="BQ684" s="847">
        <f t="shared" si="954"/>
        <v>1568</v>
      </c>
      <c r="BR684" s="847">
        <f t="shared" si="954"/>
        <v>1716</v>
      </c>
      <c r="BS684" s="847">
        <f t="shared" si="954"/>
        <v>1896</v>
      </c>
      <c r="BT684" s="847">
        <f t="shared" si="954"/>
        <v>2044</v>
      </c>
      <c r="BU684" s="661">
        <f t="shared" si="954"/>
        <v>2044</v>
      </c>
      <c r="BV684" s="847">
        <f t="shared" si="954"/>
        <v>2092</v>
      </c>
      <c r="BW684" s="847">
        <f t="shared" si="954"/>
        <v>2092</v>
      </c>
      <c r="BX684" s="847">
        <f t="shared" si="954"/>
        <v>2089</v>
      </c>
      <c r="BY684" s="847">
        <f t="shared" si="954"/>
        <v>2089</v>
      </c>
      <c r="BZ684" s="661">
        <f t="shared" si="954"/>
        <v>2089</v>
      </c>
      <c r="CA684" s="847">
        <f t="shared" si="954"/>
        <v>622</v>
      </c>
      <c r="CB684" s="847">
        <f t="shared" si="954"/>
        <v>622</v>
      </c>
      <c r="CC684" s="847">
        <f t="shared" si="954"/>
        <v>622</v>
      </c>
      <c r="CD684" s="847">
        <f t="shared" si="954"/>
        <v>1102</v>
      </c>
      <c r="CE684" s="661">
        <f t="shared" si="954"/>
        <v>1102</v>
      </c>
      <c r="CF684" s="847">
        <f t="shared" si="954"/>
        <v>1234</v>
      </c>
      <c r="CG684" s="847">
        <f t="shared" si="954"/>
        <v>1234</v>
      </c>
      <c r="CH684" s="847">
        <f t="shared" si="954"/>
        <v>1456</v>
      </c>
      <c r="CI684" s="847">
        <f t="shared" si="954"/>
        <v>1974</v>
      </c>
      <c r="CJ684" s="661">
        <f t="shared" si="954"/>
        <v>1974</v>
      </c>
      <c r="CK684" s="2350">
        <f t="shared" si="920"/>
        <v>2202</v>
      </c>
      <c r="CL684" s="847">
        <f t="shared" si="954"/>
        <v>2419</v>
      </c>
      <c r="CM684" s="847">
        <f t="shared" si="954"/>
        <v>3099</v>
      </c>
      <c r="CN684" s="847">
        <f t="shared" si="954"/>
        <v>3735</v>
      </c>
      <c r="CO684" s="661">
        <f t="shared" si="954"/>
        <v>3735</v>
      </c>
      <c r="CP684" s="1261">
        <f t="shared" si="912"/>
        <v>2323.6800000000003</v>
      </c>
      <c r="CQ684" s="1261">
        <f t="shared" si="912"/>
        <v>2576.04</v>
      </c>
      <c r="CR684" s="1261">
        <f t="shared" si="912"/>
        <v>3307.59</v>
      </c>
      <c r="CS684" s="1261">
        <f t="shared" si="912"/>
        <v>3993.8100000000004</v>
      </c>
      <c r="CT684" s="661">
        <f t="shared" si="912"/>
        <v>3993.8100000000004</v>
      </c>
      <c r="CU684" s="661">
        <f t="shared" si="954"/>
        <v>4238.6921500000008</v>
      </c>
      <c r="CV684" s="661">
        <f t="shared" si="954"/>
        <v>4350.5802880000001</v>
      </c>
      <c r="CW684" s="374"/>
      <c r="CX684" s="374"/>
      <c r="CY684" s="374"/>
      <c r="CZ684" s="374"/>
      <c r="DA684" s="374"/>
      <c r="DB684" s="217"/>
    </row>
    <row r="685" spans="1:256" x14ac:dyDescent="0.2">
      <c r="A685" s="1266" t="s">
        <v>1390</v>
      </c>
      <c r="B685" s="651"/>
      <c r="C685" s="236"/>
      <c r="D685" s="207"/>
      <c r="E685" s="207"/>
      <c r="F685" s="207"/>
      <c r="G685" s="234"/>
      <c r="H685" s="236"/>
      <c r="I685" s="973">
        <f t="shared" ref="I685:AN685" si="955">I585+I618+I652</f>
        <v>0</v>
      </c>
      <c r="J685" s="847">
        <f t="shared" si="955"/>
        <v>0</v>
      </c>
      <c r="K685" s="847">
        <f t="shared" si="955"/>
        <v>0</v>
      </c>
      <c r="L685" s="847">
        <f t="shared" si="955"/>
        <v>0</v>
      </c>
      <c r="M685" s="661">
        <f t="shared" si="955"/>
        <v>0</v>
      </c>
      <c r="N685" s="973">
        <f t="shared" si="955"/>
        <v>124</v>
      </c>
      <c r="O685" s="847">
        <f t="shared" si="955"/>
        <v>124</v>
      </c>
      <c r="P685" s="847">
        <f t="shared" si="955"/>
        <v>124</v>
      </c>
      <c r="Q685" s="847">
        <f t="shared" si="955"/>
        <v>124</v>
      </c>
      <c r="R685" s="661">
        <f t="shared" si="955"/>
        <v>124</v>
      </c>
      <c r="S685" s="973">
        <f t="shared" si="955"/>
        <v>124</v>
      </c>
      <c r="T685" s="847">
        <f t="shared" si="955"/>
        <v>124</v>
      </c>
      <c r="U685" s="847">
        <f t="shared" si="955"/>
        <v>124</v>
      </c>
      <c r="V685" s="847">
        <f t="shared" si="955"/>
        <v>124</v>
      </c>
      <c r="W685" s="661">
        <f t="shared" si="955"/>
        <v>124</v>
      </c>
      <c r="X685" s="973">
        <f t="shared" si="955"/>
        <v>124</v>
      </c>
      <c r="Y685" s="847">
        <f t="shared" si="955"/>
        <v>124</v>
      </c>
      <c r="Z685" s="847">
        <f t="shared" si="955"/>
        <v>124</v>
      </c>
      <c r="AA685" s="847">
        <f t="shared" si="955"/>
        <v>124</v>
      </c>
      <c r="AB685" s="661">
        <f t="shared" si="955"/>
        <v>124</v>
      </c>
      <c r="AC685" s="973">
        <f t="shared" si="955"/>
        <v>124</v>
      </c>
      <c r="AD685" s="847">
        <f t="shared" si="955"/>
        <v>124</v>
      </c>
      <c r="AE685" s="847">
        <f t="shared" si="955"/>
        <v>124</v>
      </c>
      <c r="AF685" s="847">
        <f t="shared" si="955"/>
        <v>124</v>
      </c>
      <c r="AG685" s="661">
        <f t="shared" si="955"/>
        <v>124</v>
      </c>
      <c r="AH685" s="973">
        <f t="shared" si="955"/>
        <v>124</v>
      </c>
      <c r="AI685" s="847">
        <f t="shared" si="955"/>
        <v>124</v>
      </c>
      <c r="AJ685" s="847">
        <f t="shared" si="955"/>
        <v>124</v>
      </c>
      <c r="AK685" s="847">
        <f t="shared" si="955"/>
        <v>124</v>
      </c>
      <c r="AL685" s="661">
        <f t="shared" si="955"/>
        <v>124</v>
      </c>
      <c r="AM685" s="973">
        <f t="shared" si="955"/>
        <v>124</v>
      </c>
      <c r="AN685" s="847">
        <f t="shared" si="955"/>
        <v>124</v>
      </c>
      <c r="AO685" s="847">
        <f t="shared" ref="AO685:BJ685" si="956">AO585+AO618+AO652</f>
        <v>124</v>
      </c>
      <c r="AP685" s="847">
        <f t="shared" si="956"/>
        <v>124</v>
      </c>
      <c r="AQ685" s="661">
        <f t="shared" si="956"/>
        <v>124</v>
      </c>
      <c r="AR685" s="973">
        <f t="shared" si="956"/>
        <v>124</v>
      </c>
      <c r="AS685" s="847">
        <f t="shared" si="956"/>
        <v>124</v>
      </c>
      <c r="AT685" s="847">
        <f t="shared" si="956"/>
        <v>124</v>
      </c>
      <c r="AU685" s="847">
        <f t="shared" si="956"/>
        <v>124</v>
      </c>
      <c r="AV685" s="661">
        <f t="shared" si="956"/>
        <v>124</v>
      </c>
      <c r="AW685" s="973">
        <f t="shared" si="956"/>
        <v>124</v>
      </c>
      <c r="AX685" s="847">
        <f t="shared" si="956"/>
        <v>124</v>
      </c>
      <c r="AY685" s="847">
        <f t="shared" si="956"/>
        <v>124</v>
      </c>
      <c r="AZ685" s="847">
        <f t="shared" si="956"/>
        <v>124</v>
      </c>
      <c r="BA685" s="661">
        <f t="shared" si="956"/>
        <v>124</v>
      </c>
      <c r="BB685" s="973">
        <f t="shared" si="956"/>
        <v>124</v>
      </c>
      <c r="BC685" s="847">
        <f t="shared" si="956"/>
        <v>124</v>
      </c>
      <c r="BD685" s="847">
        <f t="shared" si="956"/>
        <v>124</v>
      </c>
      <c r="BE685" s="847">
        <f t="shared" si="956"/>
        <v>124</v>
      </c>
      <c r="BF685" s="661">
        <f t="shared" si="956"/>
        <v>124</v>
      </c>
      <c r="BG685" s="847">
        <f t="shared" si="956"/>
        <v>124</v>
      </c>
      <c r="BH685" s="847">
        <f t="shared" si="956"/>
        <v>124</v>
      </c>
      <c r="BI685" s="847">
        <f t="shared" si="956"/>
        <v>299</v>
      </c>
      <c r="BJ685" s="847">
        <f t="shared" si="956"/>
        <v>299</v>
      </c>
      <c r="BK685" s="661">
        <f t="shared" si="938"/>
        <v>299</v>
      </c>
      <c r="BL685" s="847">
        <f t="shared" ref="BL685:CV685" si="957">BL585+BL618+BL652</f>
        <v>299</v>
      </c>
      <c r="BM685" s="847">
        <f t="shared" si="957"/>
        <v>299</v>
      </c>
      <c r="BN685" s="847">
        <f t="shared" si="957"/>
        <v>299</v>
      </c>
      <c r="BO685" s="847">
        <f t="shared" si="957"/>
        <v>299</v>
      </c>
      <c r="BP685" s="661">
        <f t="shared" si="957"/>
        <v>299</v>
      </c>
      <c r="BQ685" s="847">
        <f t="shared" si="957"/>
        <v>299</v>
      </c>
      <c r="BR685" s="847">
        <f t="shared" si="957"/>
        <v>299</v>
      </c>
      <c r="BS685" s="847">
        <f t="shared" si="957"/>
        <v>299</v>
      </c>
      <c r="BT685" s="847">
        <f t="shared" si="957"/>
        <v>299</v>
      </c>
      <c r="BU685" s="661">
        <f t="shared" si="957"/>
        <v>299</v>
      </c>
      <c r="BV685" s="847">
        <f t="shared" si="957"/>
        <v>299</v>
      </c>
      <c r="BW685" s="847">
        <f t="shared" si="957"/>
        <v>299</v>
      </c>
      <c r="BX685" s="847">
        <f t="shared" si="957"/>
        <v>299</v>
      </c>
      <c r="BY685" s="847">
        <f t="shared" si="957"/>
        <v>299</v>
      </c>
      <c r="BZ685" s="661">
        <f t="shared" si="957"/>
        <v>299</v>
      </c>
      <c r="CA685" s="847">
        <f t="shared" si="957"/>
        <v>0</v>
      </c>
      <c r="CB685" s="847">
        <f t="shared" si="957"/>
        <v>0</v>
      </c>
      <c r="CC685" s="847">
        <f t="shared" si="957"/>
        <v>0</v>
      </c>
      <c r="CD685" s="847">
        <f t="shared" si="957"/>
        <v>0</v>
      </c>
      <c r="CE685" s="661">
        <f t="shared" si="957"/>
        <v>0</v>
      </c>
      <c r="CF685" s="847">
        <f t="shared" si="957"/>
        <v>0</v>
      </c>
      <c r="CG685" s="847">
        <f t="shared" si="957"/>
        <v>0</v>
      </c>
      <c r="CH685" s="847">
        <f t="shared" si="957"/>
        <v>0</v>
      </c>
      <c r="CI685" s="847">
        <f t="shared" si="957"/>
        <v>0</v>
      </c>
      <c r="CJ685" s="661">
        <f t="shared" si="957"/>
        <v>0</v>
      </c>
      <c r="CK685" s="2350">
        <f t="shared" si="920"/>
        <v>0</v>
      </c>
      <c r="CL685" s="847">
        <f t="shared" ca="1" si="957"/>
        <v>0</v>
      </c>
      <c r="CM685" s="847">
        <f t="shared" ca="1" si="957"/>
        <v>0</v>
      </c>
      <c r="CN685" s="847">
        <f t="shared" ca="1" si="957"/>
        <v>0</v>
      </c>
      <c r="CO685" s="661">
        <f t="shared" ca="1" si="957"/>
        <v>0</v>
      </c>
      <c r="CP685" s="1261">
        <f t="shared" si="912"/>
        <v>0</v>
      </c>
      <c r="CQ685" s="1261">
        <f t="shared" ca="1" si="912"/>
        <v>0</v>
      </c>
      <c r="CR685" s="1261">
        <f t="shared" ca="1" si="912"/>
        <v>0</v>
      </c>
      <c r="CS685" s="1261">
        <f t="shared" ca="1" si="912"/>
        <v>0</v>
      </c>
      <c r="CT685" s="661">
        <f t="shared" ca="1" si="912"/>
        <v>0</v>
      </c>
      <c r="CU685" s="661">
        <f t="shared" ca="1" si="957"/>
        <v>0</v>
      </c>
      <c r="CV685" s="661">
        <f t="shared" ca="1" si="957"/>
        <v>0</v>
      </c>
      <c r="CW685" s="374"/>
      <c r="CX685" s="374"/>
      <c r="CY685" s="374"/>
      <c r="CZ685" s="374"/>
      <c r="DA685" s="374"/>
      <c r="DB685" s="217"/>
    </row>
    <row r="686" spans="1:256" x14ac:dyDescent="0.2">
      <c r="A686" s="1266" t="s">
        <v>650</v>
      </c>
      <c r="B686" s="651"/>
      <c r="C686" s="236"/>
      <c r="D686" s="207"/>
      <c r="E686" s="207"/>
      <c r="F686" s="207"/>
      <c r="G686" s="234"/>
      <c r="H686" s="236"/>
      <c r="I686" s="973">
        <f t="shared" ref="I686:AN686" si="958">I586+I619+I653</f>
        <v>11357</v>
      </c>
      <c r="J686" s="847">
        <f t="shared" si="958"/>
        <v>12329</v>
      </c>
      <c r="K686" s="847">
        <f t="shared" si="958"/>
        <v>18473</v>
      </c>
      <c r="L686" s="847">
        <f t="shared" si="958"/>
        <v>19182</v>
      </c>
      <c r="M686" s="661">
        <f t="shared" si="958"/>
        <v>19182</v>
      </c>
      <c r="N686" s="973">
        <f t="shared" si="958"/>
        <v>19890</v>
      </c>
      <c r="O686" s="847">
        <f t="shared" si="958"/>
        <v>20080</v>
      </c>
      <c r="P686" s="847">
        <f t="shared" si="958"/>
        <v>20894</v>
      </c>
      <c r="Q686" s="847">
        <f t="shared" si="958"/>
        <v>21230</v>
      </c>
      <c r="R686" s="661">
        <f t="shared" si="958"/>
        <v>21230</v>
      </c>
      <c r="S686" s="973">
        <f t="shared" si="958"/>
        <v>21874</v>
      </c>
      <c r="T686" s="847">
        <f t="shared" si="958"/>
        <v>23769</v>
      </c>
      <c r="U686" s="847">
        <f t="shared" si="958"/>
        <v>25202</v>
      </c>
      <c r="V686" s="847">
        <f t="shared" si="958"/>
        <v>26150</v>
      </c>
      <c r="W686" s="661">
        <f t="shared" si="958"/>
        <v>26150</v>
      </c>
      <c r="X686" s="973">
        <f t="shared" si="958"/>
        <v>27522</v>
      </c>
      <c r="Y686" s="847">
        <f t="shared" si="958"/>
        <v>27863</v>
      </c>
      <c r="Z686" s="847">
        <f t="shared" si="958"/>
        <v>27758</v>
      </c>
      <c r="AA686" s="847">
        <f t="shared" si="958"/>
        <v>727</v>
      </c>
      <c r="AB686" s="661">
        <f t="shared" si="958"/>
        <v>727</v>
      </c>
      <c r="AC686" s="973">
        <f t="shared" si="958"/>
        <v>726</v>
      </c>
      <c r="AD686" s="847">
        <f t="shared" si="958"/>
        <v>724</v>
      </c>
      <c r="AE686" s="847">
        <f t="shared" si="958"/>
        <v>724</v>
      </c>
      <c r="AF686" s="847">
        <f t="shared" si="958"/>
        <v>532</v>
      </c>
      <c r="AG686" s="661">
        <f t="shared" si="958"/>
        <v>532</v>
      </c>
      <c r="AH686" s="973">
        <f t="shared" si="958"/>
        <v>332</v>
      </c>
      <c r="AI686" s="847">
        <f t="shared" si="958"/>
        <v>332</v>
      </c>
      <c r="AJ686" s="847">
        <f t="shared" si="958"/>
        <v>332</v>
      </c>
      <c r="AK686" s="847">
        <f t="shared" si="958"/>
        <v>332</v>
      </c>
      <c r="AL686" s="661">
        <f t="shared" si="958"/>
        <v>332</v>
      </c>
      <c r="AM686" s="973">
        <f t="shared" si="958"/>
        <v>332</v>
      </c>
      <c r="AN686" s="847">
        <f t="shared" si="958"/>
        <v>332</v>
      </c>
      <c r="AO686" s="847">
        <f t="shared" ref="AO686:BJ686" si="959">AO586+AO619+AO653</f>
        <v>332</v>
      </c>
      <c r="AP686" s="847">
        <f t="shared" si="959"/>
        <v>332</v>
      </c>
      <c r="AQ686" s="661">
        <f t="shared" si="959"/>
        <v>332</v>
      </c>
      <c r="AR686" s="973">
        <f t="shared" si="959"/>
        <v>0</v>
      </c>
      <c r="AS686" s="847">
        <f t="shared" si="959"/>
        <v>0</v>
      </c>
      <c r="AT686" s="847">
        <f t="shared" si="959"/>
        <v>0</v>
      </c>
      <c r="AU686" s="847">
        <f t="shared" si="959"/>
        <v>0</v>
      </c>
      <c r="AV686" s="661">
        <f t="shared" si="959"/>
        <v>0</v>
      </c>
      <c r="AW686" s="973">
        <f t="shared" si="959"/>
        <v>0</v>
      </c>
      <c r="AX686" s="847">
        <f t="shared" si="959"/>
        <v>0</v>
      </c>
      <c r="AY686" s="847">
        <f t="shared" si="959"/>
        <v>0</v>
      </c>
      <c r="AZ686" s="847">
        <f t="shared" si="959"/>
        <v>0</v>
      </c>
      <c r="BA686" s="661">
        <f t="shared" si="959"/>
        <v>0</v>
      </c>
      <c r="BB686" s="973">
        <f t="shared" si="959"/>
        <v>0</v>
      </c>
      <c r="BC686" s="847">
        <f t="shared" si="959"/>
        <v>0</v>
      </c>
      <c r="BD686" s="847">
        <f t="shared" si="959"/>
        <v>0</v>
      </c>
      <c r="BE686" s="847">
        <f t="shared" si="959"/>
        <v>0</v>
      </c>
      <c r="BF686" s="661">
        <f t="shared" si="959"/>
        <v>0</v>
      </c>
      <c r="BG686" s="847">
        <f t="shared" si="959"/>
        <v>0</v>
      </c>
      <c r="BH686" s="847">
        <f t="shared" si="959"/>
        <v>0</v>
      </c>
      <c r="BI686" s="847">
        <f t="shared" si="959"/>
        <v>0</v>
      </c>
      <c r="BJ686" s="847">
        <f t="shared" si="959"/>
        <v>0</v>
      </c>
      <c r="BK686" s="661">
        <f t="shared" si="938"/>
        <v>0</v>
      </c>
      <c r="BL686" s="847">
        <f t="shared" ref="BL686:CV686" si="960">BL586+BL619+BL653</f>
        <v>0</v>
      </c>
      <c r="BM686" s="847">
        <f t="shared" si="960"/>
        <v>0</v>
      </c>
      <c r="BN686" s="847">
        <f t="shared" si="960"/>
        <v>0</v>
      </c>
      <c r="BO686" s="847">
        <f t="shared" si="960"/>
        <v>0</v>
      </c>
      <c r="BP686" s="661">
        <f t="shared" si="960"/>
        <v>0</v>
      </c>
      <c r="BQ686" s="847">
        <f t="shared" si="960"/>
        <v>0</v>
      </c>
      <c r="BR686" s="847">
        <f t="shared" si="960"/>
        <v>0</v>
      </c>
      <c r="BS686" s="847">
        <f t="shared" si="960"/>
        <v>0</v>
      </c>
      <c r="BT686" s="847">
        <f t="shared" si="960"/>
        <v>0</v>
      </c>
      <c r="BU686" s="661">
        <f t="shared" si="960"/>
        <v>0</v>
      </c>
      <c r="BV686" s="847">
        <f t="shared" si="960"/>
        <v>0</v>
      </c>
      <c r="BW686" s="847">
        <f t="shared" si="960"/>
        <v>0</v>
      </c>
      <c r="BX686" s="847">
        <f t="shared" si="960"/>
        <v>0</v>
      </c>
      <c r="BY686" s="847">
        <f t="shared" si="960"/>
        <v>0</v>
      </c>
      <c r="BZ686" s="661">
        <f t="shared" si="960"/>
        <v>0</v>
      </c>
      <c r="CA686" s="847">
        <f t="shared" si="960"/>
        <v>0</v>
      </c>
      <c r="CB686" s="847">
        <f t="shared" si="960"/>
        <v>0</v>
      </c>
      <c r="CC686" s="847">
        <f t="shared" si="960"/>
        <v>0</v>
      </c>
      <c r="CD686" s="847">
        <f t="shared" si="960"/>
        <v>0</v>
      </c>
      <c r="CE686" s="661">
        <f t="shared" si="960"/>
        <v>0</v>
      </c>
      <c r="CF686" s="847">
        <f t="shared" si="960"/>
        <v>0</v>
      </c>
      <c r="CG686" s="847">
        <f t="shared" si="960"/>
        <v>0</v>
      </c>
      <c r="CH686" s="847">
        <f t="shared" si="960"/>
        <v>0</v>
      </c>
      <c r="CI686" s="847">
        <f t="shared" si="960"/>
        <v>0</v>
      </c>
      <c r="CJ686" s="661">
        <f t="shared" si="960"/>
        <v>0</v>
      </c>
      <c r="CK686" s="2350">
        <f t="shared" si="920"/>
        <v>0</v>
      </c>
      <c r="CL686" s="847">
        <f t="shared" ca="1" si="960"/>
        <v>0</v>
      </c>
      <c r="CM686" s="847">
        <f t="shared" ca="1" si="960"/>
        <v>0</v>
      </c>
      <c r="CN686" s="847">
        <f t="shared" ca="1" si="960"/>
        <v>0</v>
      </c>
      <c r="CO686" s="661">
        <f t="shared" ca="1" si="960"/>
        <v>0</v>
      </c>
      <c r="CP686" s="1261">
        <f t="shared" si="912"/>
        <v>0</v>
      </c>
      <c r="CQ686" s="1261">
        <f t="shared" ca="1" si="912"/>
        <v>0</v>
      </c>
      <c r="CR686" s="1261">
        <f t="shared" ca="1" si="912"/>
        <v>0</v>
      </c>
      <c r="CS686" s="1261">
        <f t="shared" ca="1" si="912"/>
        <v>0</v>
      </c>
      <c r="CT686" s="661">
        <f t="shared" ca="1" si="912"/>
        <v>0</v>
      </c>
      <c r="CU686" s="661">
        <f t="shared" ca="1" si="960"/>
        <v>0</v>
      </c>
      <c r="CV686" s="661">
        <f t="shared" ca="1" si="960"/>
        <v>0</v>
      </c>
      <c r="CW686" s="374"/>
      <c r="CX686" s="374"/>
      <c r="CY686" s="374"/>
      <c r="CZ686" s="374"/>
      <c r="DA686" s="374"/>
      <c r="DB686" s="217"/>
    </row>
    <row r="687" spans="1:256" x14ac:dyDescent="0.2">
      <c r="A687" s="1436" t="s">
        <v>677</v>
      </c>
      <c r="B687" s="651"/>
      <c r="C687" s="236"/>
      <c r="D687" s="207"/>
      <c r="E687" s="207"/>
      <c r="F687" s="207"/>
      <c r="G687" s="234"/>
      <c r="H687" s="236"/>
      <c r="I687" s="973"/>
      <c r="J687" s="750"/>
      <c r="K687" s="750"/>
      <c r="L687" s="758"/>
      <c r="M687" s="661"/>
      <c r="N687" s="750"/>
      <c r="O687" s="750"/>
      <c r="P687" s="753"/>
      <c r="Q687" s="756"/>
      <c r="R687" s="661"/>
      <c r="S687" s="753"/>
      <c r="T687" s="753"/>
      <c r="U687" s="753"/>
      <c r="V687" s="754"/>
      <c r="W687" s="661"/>
      <c r="X687" s="753"/>
      <c r="Y687" s="753"/>
      <c r="Z687" s="753"/>
      <c r="AA687" s="754"/>
      <c r="AB687" s="661"/>
      <c r="AC687" s="753"/>
      <c r="AD687" s="753"/>
      <c r="AE687" s="753"/>
      <c r="AF687" s="754"/>
      <c r="AG687" s="661"/>
      <c r="AH687" s="753"/>
      <c r="AI687" s="753"/>
      <c r="AJ687" s="753"/>
      <c r="AK687" s="754"/>
      <c r="AL687" s="661"/>
      <c r="AM687" s="753"/>
      <c r="AN687" s="753"/>
      <c r="AO687" s="753"/>
      <c r="AP687" s="754"/>
      <c r="AQ687" s="661"/>
      <c r="AR687" s="845"/>
      <c r="AS687" s="845"/>
      <c r="AT687" s="845"/>
      <c r="AU687" s="845"/>
      <c r="AV687" s="661"/>
      <c r="AW687" s="845"/>
      <c r="AX687" s="845"/>
      <c r="AY687" s="845"/>
      <c r="AZ687" s="845"/>
      <c r="BA687" s="661"/>
      <c r="BB687" s="845"/>
      <c r="BC687" s="845"/>
      <c r="BD687" s="845"/>
      <c r="BE687" s="845"/>
      <c r="BF687" s="661"/>
      <c r="BG687" s="845"/>
      <c r="BH687" s="845"/>
      <c r="BI687" s="845"/>
      <c r="BJ687" s="845"/>
      <c r="BK687" s="661"/>
      <c r="BL687" s="845"/>
      <c r="BM687" s="845"/>
      <c r="BN687" s="845"/>
      <c r="BO687" s="234"/>
      <c r="BP687" s="661"/>
      <c r="BQ687" s="847">
        <f t="shared" ref="BQ687:CV687" si="961">BQ620</f>
        <v>0</v>
      </c>
      <c r="BR687" s="847">
        <f t="shared" si="961"/>
        <v>0</v>
      </c>
      <c r="BS687" s="847">
        <f t="shared" si="961"/>
        <v>0</v>
      </c>
      <c r="BT687" s="234">
        <f t="shared" si="961"/>
        <v>0</v>
      </c>
      <c r="BU687" s="661">
        <f t="shared" si="961"/>
        <v>0</v>
      </c>
      <c r="BV687" s="847">
        <f t="shared" si="961"/>
        <v>0</v>
      </c>
      <c r="BW687" s="847">
        <f t="shared" si="961"/>
        <v>0</v>
      </c>
      <c r="BX687" s="847">
        <f t="shared" si="961"/>
        <v>0</v>
      </c>
      <c r="BY687" s="847">
        <f t="shared" si="961"/>
        <v>0</v>
      </c>
      <c r="BZ687" s="661">
        <f t="shared" si="961"/>
        <v>0</v>
      </c>
      <c r="CA687" s="847">
        <f t="shared" si="961"/>
        <v>0</v>
      </c>
      <c r="CB687" s="847">
        <f t="shared" si="961"/>
        <v>0</v>
      </c>
      <c r="CC687" s="847">
        <f t="shared" si="961"/>
        <v>0</v>
      </c>
      <c r="CD687" s="847">
        <f t="shared" si="961"/>
        <v>0</v>
      </c>
      <c r="CE687" s="661">
        <f t="shared" si="961"/>
        <v>0</v>
      </c>
      <c r="CF687" s="847">
        <f t="shared" si="961"/>
        <v>0</v>
      </c>
      <c r="CG687" s="847">
        <f t="shared" si="961"/>
        <v>0</v>
      </c>
      <c r="CH687" s="847">
        <f t="shared" si="961"/>
        <v>0</v>
      </c>
      <c r="CI687" s="847">
        <f t="shared" si="961"/>
        <v>0</v>
      </c>
      <c r="CJ687" s="661">
        <f t="shared" si="961"/>
        <v>0</v>
      </c>
      <c r="CK687" s="2350">
        <f t="shared" si="961"/>
        <v>0</v>
      </c>
      <c r="CL687" s="847">
        <f t="shared" si="961"/>
        <v>0</v>
      </c>
      <c r="CM687" s="847">
        <f t="shared" si="961"/>
        <v>0</v>
      </c>
      <c r="CN687" s="847">
        <f t="shared" si="961"/>
        <v>0</v>
      </c>
      <c r="CO687" s="661">
        <f t="shared" si="961"/>
        <v>0</v>
      </c>
      <c r="CP687" s="1261">
        <f>CP620</f>
        <v>0</v>
      </c>
      <c r="CQ687" s="1261">
        <f>CQ620</f>
        <v>0</v>
      </c>
      <c r="CR687" s="1261">
        <f>CR620</f>
        <v>0</v>
      </c>
      <c r="CS687" s="1261">
        <f>CS620</f>
        <v>0</v>
      </c>
      <c r="CT687" s="661">
        <f>CT620</f>
        <v>0</v>
      </c>
      <c r="CU687" s="661">
        <f t="shared" si="961"/>
        <v>0</v>
      </c>
      <c r="CV687" s="661">
        <f t="shared" si="961"/>
        <v>0</v>
      </c>
      <c r="CW687" s="1201"/>
      <c r="CX687" s="1201"/>
      <c r="CY687" s="1201"/>
      <c r="CZ687" s="1201"/>
      <c r="DA687" s="1201"/>
      <c r="DB687" s="217"/>
      <c r="DF687" s="207"/>
      <c r="DG687" s="207"/>
      <c r="DH687" s="207"/>
      <c r="DI687" s="207"/>
      <c r="DJ687" s="207"/>
      <c r="DK687" s="207"/>
      <c r="DL687" s="207"/>
      <c r="DM687" s="207"/>
      <c r="DN687" s="207"/>
      <c r="DO687" s="207"/>
      <c r="DP687" s="207"/>
      <c r="DQ687" s="207"/>
      <c r="DR687" s="207"/>
      <c r="DS687" s="207"/>
      <c r="DT687" s="207"/>
      <c r="DU687" s="207"/>
      <c r="DV687" s="207"/>
      <c r="DW687" s="207"/>
      <c r="DX687" s="207"/>
      <c r="DY687" s="207"/>
      <c r="DZ687" s="207"/>
      <c r="EA687" s="207"/>
      <c r="EB687" s="207"/>
      <c r="EC687" s="207"/>
      <c r="ED687" s="207"/>
      <c r="EE687" s="207"/>
      <c r="EF687" s="207"/>
      <c r="EG687" s="207"/>
      <c r="EH687" s="207"/>
      <c r="EI687" s="207"/>
      <c r="EJ687" s="207"/>
      <c r="EK687" s="207"/>
      <c r="EL687" s="207"/>
      <c r="EM687" s="207"/>
      <c r="EN687" s="207"/>
      <c r="EO687" s="207"/>
      <c r="EP687" s="207"/>
      <c r="EQ687" s="207"/>
      <c r="ER687" s="207"/>
      <c r="ES687" s="207"/>
      <c r="ET687" s="207"/>
      <c r="EU687" s="207"/>
      <c r="EV687" s="207"/>
      <c r="EW687" s="207"/>
      <c r="EX687" s="207"/>
      <c r="EY687" s="207"/>
      <c r="EZ687" s="207"/>
      <c r="FA687" s="207"/>
      <c r="FB687" s="207"/>
      <c r="FC687" s="207"/>
      <c r="FD687" s="207"/>
      <c r="FE687" s="207"/>
      <c r="FF687" s="207"/>
      <c r="FG687" s="207"/>
      <c r="FH687" s="207"/>
      <c r="FI687" s="207"/>
      <c r="FJ687" s="207"/>
      <c r="FK687" s="207"/>
      <c r="FL687" s="207"/>
      <c r="FM687" s="207"/>
      <c r="FN687" s="207"/>
      <c r="FO687" s="207"/>
      <c r="FP687" s="207"/>
      <c r="FQ687" s="207"/>
      <c r="FR687" s="207"/>
      <c r="FS687" s="207"/>
      <c r="FT687" s="207"/>
      <c r="FU687" s="207"/>
      <c r="FV687" s="207"/>
      <c r="FW687" s="207"/>
      <c r="FX687" s="207"/>
      <c r="FY687" s="207"/>
      <c r="FZ687" s="207"/>
      <c r="GA687" s="207"/>
      <c r="GB687" s="207"/>
      <c r="GC687" s="207"/>
      <c r="GD687" s="207"/>
      <c r="GE687" s="207"/>
      <c r="GF687" s="207"/>
      <c r="GG687" s="207"/>
      <c r="GH687" s="207"/>
      <c r="GI687" s="207"/>
      <c r="GJ687" s="207"/>
      <c r="GK687" s="207"/>
      <c r="GL687" s="207"/>
      <c r="GM687" s="207"/>
      <c r="GN687" s="207"/>
      <c r="GO687" s="207"/>
      <c r="GP687" s="207"/>
      <c r="GQ687" s="207"/>
      <c r="GR687" s="207"/>
      <c r="GS687" s="207"/>
      <c r="GT687" s="207"/>
      <c r="GU687" s="207"/>
      <c r="GV687" s="207"/>
      <c r="GW687" s="207"/>
      <c r="GX687" s="207"/>
      <c r="GY687" s="207"/>
      <c r="GZ687" s="207"/>
      <c r="HA687" s="207"/>
      <c r="HB687" s="207"/>
      <c r="HC687" s="207"/>
      <c r="HD687" s="207"/>
      <c r="HE687" s="207"/>
      <c r="HF687" s="207"/>
      <c r="HG687" s="207"/>
      <c r="HH687" s="207"/>
      <c r="HI687" s="207"/>
      <c r="HJ687" s="207"/>
      <c r="HK687" s="207"/>
      <c r="HL687" s="207"/>
      <c r="HM687" s="207"/>
      <c r="HN687" s="207"/>
      <c r="HO687" s="207"/>
      <c r="HP687" s="207"/>
      <c r="HQ687" s="207"/>
      <c r="HR687" s="207"/>
      <c r="HS687" s="207"/>
      <c r="HT687" s="207"/>
      <c r="HU687" s="207"/>
      <c r="HV687" s="207"/>
      <c r="HW687" s="207"/>
      <c r="HX687" s="207"/>
      <c r="HY687" s="207"/>
      <c r="HZ687" s="207"/>
      <c r="IA687" s="207"/>
      <c r="IB687" s="207"/>
      <c r="IC687" s="207"/>
      <c r="ID687" s="207"/>
      <c r="IE687" s="207"/>
      <c r="IF687" s="207"/>
      <c r="IG687" s="207"/>
      <c r="IH687" s="207"/>
      <c r="II687" s="207"/>
      <c r="IJ687" s="207"/>
      <c r="IK687" s="207"/>
      <c r="IL687" s="207"/>
      <c r="IM687" s="207"/>
      <c r="IN687" s="207"/>
      <c r="IO687" s="207"/>
      <c r="IP687" s="207"/>
      <c r="IQ687" s="207"/>
      <c r="IR687" s="207"/>
      <c r="IS687" s="207"/>
      <c r="IT687" s="207"/>
      <c r="IU687" s="207"/>
      <c r="IV687" s="207"/>
    </row>
    <row r="688" spans="1:256" x14ac:dyDescent="0.2">
      <c r="A688" s="1266" t="s">
        <v>384</v>
      </c>
      <c r="B688" s="651"/>
      <c r="C688" s="236"/>
      <c r="D688" s="207"/>
      <c r="E688" s="207"/>
      <c r="F688" s="207"/>
      <c r="G688" s="234"/>
      <c r="H688" s="236"/>
      <c r="I688" s="973">
        <f t="shared" ref="I688:AN688" si="962">I587+I621+I654</f>
        <v>1733</v>
      </c>
      <c r="J688" s="847">
        <f t="shared" si="962"/>
        <v>1733</v>
      </c>
      <c r="K688" s="847">
        <f t="shared" si="962"/>
        <v>1783</v>
      </c>
      <c r="L688" s="847">
        <f t="shared" si="962"/>
        <v>1896</v>
      </c>
      <c r="M688" s="661">
        <f t="shared" si="962"/>
        <v>1896</v>
      </c>
      <c r="N688" s="973">
        <f t="shared" si="962"/>
        <v>2068</v>
      </c>
      <c r="O688" s="847">
        <f t="shared" si="962"/>
        <v>2068</v>
      </c>
      <c r="P688" s="847">
        <f t="shared" si="962"/>
        <v>2008</v>
      </c>
      <c r="Q688" s="847">
        <f t="shared" si="962"/>
        <v>2007</v>
      </c>
      <c r="R688" s="661">
        <f t="shared" si="962"/>
        <v>2007</v>
      </c>
      <c r="S688" s="973">
        <f t="shared" si="962"/>
        <v>2167</v>
      </c>
      <c r="T688" s="847">
        <f t="shared" si="962"/>
        <v>2167</v>
      </c>
      <c r="U688" s="847">
        <f t="shared" si="962"/>
        <v>2167</v>
      </c>
      <c r="V688" s="847">
        <f t="shared" si="962"/>
        <v>2322</v>
      </c>
      <c r="W688" s="661">
        <f t="shared" si="962"/>
        <v>2322</v>
      </c>
      <c r="X688" s="973">
        <f t="shared" si="962"/>
        <v>2422</v>
      </c>
      <c r="Y688" s="847">
        <f t="shared" si="962"/>
        <v>2471</v>
      </c>
      <c r="Z688" s="847">
        <f t="shared" si="962"/>
        <v>2471</v>
      </c>
      <c r="AA688" s="847">
        <f t="shared" si="962"/>
        <v>2471</v>
      </c>
      <c r="AB688" s="661">
        <f t="shared" si="962"/>
        <v>2471</v>
      </c>
      <c r="AC688" s="973">
        <f t="shared" si="962"/>
        <v>2585</v>
      </c>
      <c r="AD688" s="847">
        <f t="shared" si="962"/>
        <v>2809</v>
      </c>
      <c r="AE688" s="847">
        <f t="shared" si="962"/>
        <v>2809</v>
      </c>
      <c r="AF688" s="847">
        <f t="shared" si="962"/>
        <v>2852</v>
      </c>
      <c r="AG688" s="661">
        <f t="shared" si="962"/>
        <v>2852</v>
      </c>
      <c r="AH688" s="973">
        <f t="shared" si="962"/>
        <v>2852</v>
      </c>
      <c r="AI688" s="847">
        <f t="shared" si="962"/>
        <v>2804</v>
      </c>
      <c r="AJ688" s="847">
        <f t="shared" si="962"/>
        <v>3027</v>
      </c>
      <c r="AK688" s="847">
        <f t="shared" si="962"/>
        <v>2977</v>
      </c>
      <c r="AL688" s="661">
        <f t="shared" si="962"/>
        <v>2977</v>
      </c>
      <c r="AM688" s="973">
        <f t="shared" si="962"/>
        <v>3042</v>
      </c>
      <c r="AN688" s="847">
        <f t="shared" si="962"/>
        <v>2948</v>
      </c>
      <c r="AO688" s="847">
        <f t="shared" ref="AO688:BT688" si="963">AO587+AO621+AO654</f>
        <v>3036</v>
      </c>
      <c r="AP688" s="847">
        <f t="shared" si="963"/>
        <v>2905</v>
      </c>
      <c r="AQ688" s="661">
        <f t="shared" si="963"/>
        <v>2905</v>
      </c>
      <c r="AR688" s="973">
        <f t="shared" si="963"/>
        <v>2887</v>
      </c>
      <c r="AS688" s="847">
        <f t="shared" si="963"/>
        <v>3029</v>
      </c>
      <c r="AT688" s="847">
        <f t="shared" si="963"/>
        <v>3029</v>
      </c>
      <c r="AU688" s="847">
        <f t="shared" si="963"/>
        <v>3217</v>
      </c>
      <c r="AV688" s="661">
        <f t="shared" si="963"/>
        <v>3217</v>
      </c>
      <c r="AW688" s="973">
        <f t="shared" si="963"/>
        <v>3337</v>
      </c>
      <c r="AX688" s="847">
        <f t="shared" si="963"/>
        <v>3412</v>
      </c>
      <c r="AY688" s="847">
        <f t="shared" si="963"/>
        <v>3580</v>
      </c>
      <c r="AZ688" s="847">
        <f t="shared" si="963"/>
        <v>3880</v>
      </c>
      <c r="BA688" s="661">
        <f t="shared" si="963"/>
        <v>3880</v>
      </c>
      <c r="BB688" s="973">
        <f t="shared" si="963"/>
        <v>3903</v>
      </c>
      <c r="BC688" s="847">
        <f t="shared" si="963"/>
        <v>3679</v>
      </c>
      <c r="BD688" s="847">
        <f t="shared" si="963"/>
        <v>3775</v>
      </c>
      <c r="BE688" s="847">
        <f t="shared" si="963"/>
        <v>3775</v>
      </c>
      <c r="BF688" s="661">
        <f t="shared" si="963"/>
        <v>3775</v>
      </c>
      <c r="BG688" s="847">
        <f t="shared" si="963"/>
        <v>3775</v>
      </c>
      <c r="BH688" s="847">
        <f t="shared" si="963"/>
        <v>3562</v>
      </c>
      <c r="BI688" s="847">
        <f t="shared" si="963"/>
        <v>3562</v>
      </c>
      <c r="BJ688" s="847">
        <f t="shared" si="963"/>
        <v>3700</v>
      </c>
      <c r="BK688" s="661">
        <f t="shared" si="963"/>
        <v>3700</v>
      </c>
      <c r="BL688" s="847">
        <f t="shared" si="963"/>
        <v>3826</v>
      </c>
      <c r="BM688" s="847">
        <f t="shared" si="963"/>
        <v>3846</v>
      </c>
      <c r="BN688" s="847">
        <f t="shared" si="963"/>
        <v>3846</v>
      </c>
      <c r="BO688" s="847">
        <f t="shared" si="963"/>
        <v>4066</v>
      </c>
      <c r="BP688" s="661">
        <f t="shared" si="963"/>
        <v>4066</v>
      </c>
      <c r="BQ688" s="847">
        <f t="shared" si="963"/>
        <v>4140</v>
      </c>
      <c r="BR688" s="847">
        <f t="shared" si="963"/>
        <v>4295</v>
      </c>
      <c r="BS688" s="847">
        <f t="shared" si="963"/>
        <v>4295</v>
      </c>
      <c r="BT688" s="847">
        <f t="shared" si="963"/>
        <v>4295</v>
      </c>
      <c r="BU688" s="661">
        <f t="shared" ref="BU688:CV688" si="964">BU587+BU621+BU654</f>
        <v>4295</v>
      </c>
      <c r="BV688" s="847">
        <f t="shared" si="964"/>
        <v>4423</v>
      </c>
      <c r="BW688" s="847">
        <f t="shared" si="964"/>
        <v>4423</v>
      </c>
      <c r="BX688" s="847">
        <f t="shared" si="964"/>
        <v>4285</v>
      </c>
      <c r="BY688" s="847">
        <f t="shared" si="964"/>
        <v>4261</v>
      </c>
      <c r="BZ688" s="661">
        <f t="shared" si="964"/>
        <v>4261</v>
      </c>
      <c r="CA688" s="847">
        <f t="shared" si="964"/>
        <v>4038</v>
      </c>
      <c r="CB688" s="847">
        <f t="shared" si="964"/>
        <v>4149</v>
      </c>
      <c r="CC688" s="847">
        <f t="shared" si="964"/>
        <v>4181</v>
      </c>
      <c r="CD688" s="847">
        <f t="shared" si="964"/>
        <v>4181</v>
      </c>
      <c r="CE688" s="661">
        <f t="shared" si="964"/>
        <v>4181</v>
      </c>
      <c r="CF688" s="847">
        <f t="shared" si="964"/>
        <v>4131</v>
      </c>
      <c r="CG688" s="847">
        <f t="shared" si="964"/>
        <v>4131</v>
      </c>
      <c r="CH688" s="847">
        <f t="shared" si="964"/>
        <v>4195</v>
      </c>
      <c r="CI688" s="847">
        <f t="shared" si="964"/>
        <v>4195</v>
      </c>
      <c r="CJ688" s="661">
        <f t="shared" si="964"/>
        <v>4195</v>
      </c>
      <c r="CK688" s="2350">
        <f t="shared" si="964"/>
        <v>4195</v>
      </c>
      <c r="CL688" s="847">
        <f t="shared" ca="1" si="964"/>
        <v>4195</v>
      </c>
      <c r="CM688" s="847">
        <f t="shared" ca="1" si="964"/>
        <v>4195</v>
      </c>
      <c r="CN688" s="847">
        <f t="shared" ca="1" si="964"/>
        <v>4270</v>
      </c>
      <c r="CO688" s="661">
        <f t="shared" ca="1" si="964"/>
        <v>4270</v>
      </c>
      <c r="CP688" s="1261">
        <f>CP587+CP621+CP654</f>
        <v>4404.75</v>
      </c>
      <c r="CQ688" s="1261">
        <f ca="1">CQ587+CQ621+CQ654</f>
        <v>4446.7</v>
      </c>
      <c r="CR688" s="1261">
        <f ca="1">CR587+CR621+CR654</f>
        <v>4446.7</v>
      </c>
      <c r="CS688" s="1261">
        <f ca="1">CS587+CS621+CS654</f>
        <v>4526.2</v>
      </c>
      <c r="CT688" s="661">
        <f ca="1">CT587+CT621+CT654</f>
        <v>4526.2</v>
      </c>
      <c r="CU688" s="661">
        <f t="shared" ca="1" si="964"/>
        <v>4775.1409999999996</v>
      </c>
      <c r="CV688" s="661">
        <f t="shared" ca="1" si="964"/>
        <v>4870.6438199999993</v>
      </c>
      <c r="CW688" s="374"/>
      <c r="CX688" s="374"/>
      <c r="CY688" s="374"/>
      <c r="CZ688" s="374"/>
      <c r="DA688" s="374"/>
      <c r="DB688" s="217"/>
    </row>
    <row r="689" spans="1:256" s="207" customFormat="1" ht="4.5" customHeight="1" x14ac:dyDescent="0.2">
      <c r="A689" s="1264"/>
      <c r="B689" s="651"/>
      <c r="C689" s="236"/>
      <c r="G689" s="234"/>
      <c r="H689" s="236"/>
      <c r="I689" s="973"/>
      <c r="J689" s="847"/>
      <c r="K689" s="847"/>
      <c r="L689" s="847"/>
      <c r="M689" s="661"/>
      <c r="N689" s="973"/>
      <c r="O689" s="847"/>
      <c r="P689" s="847"/>
      <c r="Q689" s="847"/>
      <c r="R689" s="661"/>
      <c r="S689" s="973"/>
      <c r="T689" s="847"/>
      <c r="U689" s="847"/>
      <c r="V689" s="847"/>
      <c r="W689" s="661"/>
      <c r="X689" s="973"/>
      <c r="Y689" s="847"/>
      <c r="Z689" s="847"/>
      <c r="AA689" s="847"/>
      <c r="AB689" s="661"/>
      <c r="AC689" s="973"/>
      <c r="AD689" s="847"/>
      <c r="AE689" s="847"/>
      <c r="AF689" s="847"/>
      <c r="AG689" s="661"/>
      <c r="AH689" s="973"/>
      <c r="AI689" s="847"/>
      <c r="AJ689" s="847"/>
      <c r="AK689" s="847"/>
      <c r="AL689" s="661"/>
      <c r="AM689" s="973"/>
      <c r="AN689" s="847"/>
      <c r="AO689" s="847"/>
      <c r="AP689" s="847"/>
      <c r="AQ689" s="661"/>
      <c r="AR689" s="973"/>
      <c r="AS689" s="847"/>
      <c r="AT689" s="847"/>
      <c r="AU689" s="847"/>
      <c r="AV689" s="661"/>
      <c r="AW689" s="973"/>
      <c r="AX689" s="847"/>
      <c r="AY689" s="847"/>
      <c r="AZ689" s="847"/>
      <c r="BA689" s="661"/>
      <c r="BB689" s="973"/>
      <c r="BC689" s="847"/>
      <c r="BD689" s="847"/>
      <c r="BE689" s="847"/>
      <c r="BF689" s="661"/>
      <c r="BG689" s="847"/>
      <c r="BH689" s="847"/>
      <c r="BI689" s="847"/>
      <c r="BJ689" s="847"/>
      <c r="BK689" s="661"/>
      <c r="BL689" s="847"/>
      <c r="BM689" s="847"/>
      <c r="BN689" s="847"/>
      <c r="BO689" s="847"/>
      <c r="BP689" s="661"/>
      <c r="BQ689" s="847"/>
      <c r="BR689" s="847"/>
      <c r="BS689" s="847"/>
      <c r="BT689" s="847"/>
      <c r="BU689" s="661"/>
      <c r="BV689" s="847"/>
      <c r="BW689" s="847"/>
      <c r="BX689" s="847"/>
      <c r="BY689" s="847"/>
      <c r="BZ689" s="661"/>
      <c r="CA689" s="847"/>
      <c r="CB689" s="847"/>
      <c r="CC689" s="847"/>
      <c r="CD689" s="847"/>
      <c r="CE689" s="661"/>
      <c r="CF689" s="847"/>
      <c r="CG689" s="847"/>
      <c r="CH689" s="847"/>
      <c r="CI689" s="847"/>
      <c r="CJ689" s="661"/>
      <c r="CK689" s="2350"/>
      <c r="CL689" s="847"/>
      <c r="CM689" s="847"/>
      <c r="CN689" s="847"/>
      <c r="CO689" s="661"/>
      <c r="CP689" s="1261"/>
      <c r="CQ689" s="1261"/>
      <c r="CR689" s="1261"/>
      <c r="CS689" s="1261"/>
      <c r="CT689" s="661"/>
      <c r="CU689" s="661"/>
      <c r="CV689" s="661"/>
      <c r="CW689" s="2481"/>
      <c r="CX689" s="2481"/>
      <c r="CY689" s="2481"/>
      <c r="CZ689" s="2481"/>
      <c r="DA689" s="2481"/>
      <c r="DB689" s="217"/>
      <c r="DC689" s="212"/>
      <c r="DD689" s="212"/>
      <c r="DE689" s="70"/>
      <c r="DF689" s="70"/>
      <c r="DG689" s="70"/>
      <c r="DH689" s="70"/>
      <c r="DI689" s="70"/>
      <c r="DJ689" s="70"/>
      <c r="DK689" s="70"/>
      <c r="DL689" s="70"/>
      <c r="DM689" s="70"/>
      <c r="DN689" s="70"/>
      <c r="DO689" s="70"/>
      <c r="DP689" s="70"/>
      <c r="DQ689" s="70"/>
      <c r="DR689" s="70"/>
      <c r="DS689" s="70"/>
      <c r="DT689" s="70"/>
      <c r="DU689" s="70"/>
      <c r="DV689" s="70"/>
      <c r="DW689" s="70"/>
      <c r="DX689" s="70"/>
      <c r="DY689" s="70"/>
      <c r="DZ689" s="70"/>
      <c r="EA689" s="70"/>
      <c r="EB689" s="70"/>
      <c r="EC689" s="70"/>
      <c r="ED689" s="70"/>
      <c r="EE689" s="70"/>
      <c r="EF689" s="70"/>
      <c r="EG689" s="70"/>
      <c r="EH689" s="70"/>
      <c r="EI689" s="70"/>
      <c r="EJ689" s="70"/>
      <c r="EK689" s="70"/>
      <c r="EL689" s="70"/>
      <c r="EM689" s="70"/>
      <c r="EN689" s="70"/>
      <c r="EO689" s="70"/>
      <c r="EP689" s="70"/>
      <c r="EQ689" s="70"/>
      <c r="ER689" s="70"/>
      <c r="ES689" s="70"/>
      <c r="ET689" s="70"/>
      <c r="EU689" s="70"/>
      <c r="EV689" s="70"/>
      <c r="EW689" s="70"/>
      <c r="EX689" s="70"/>
      <c r="EY689" s="70"/>
      <c r="EZ689" s="70"/>
      <c r="FA689" s="70"/>
      <c r="FB689" s="70"/>
      <c r="FC689" s="70"/>
      <c r="FD689" s="70"/>
      <c r="FE689" s="70"/>
      <c r="FF689" s="70"/>
      <c r="FG689" s="70"/>
      <c r="FH689" s="70"/>
      <c r="FI689" s="70"/>
      <c r="FJ689" s="70"/>
      <c r="FK689" s="70"/>
      <c r="FL689" s="70"/>
      <c r="FM689" s="70"/>
      <c r="FN689" s="70"/>
      <c r="FO689" s="70"/>
      <c r="FP689" s="70"/>
      <c r="FQ689" s="70"/>
      <c r="FR689" s="70"/>
      <c r="FS689" s="70"/>
      <c r="FT689" s="70"/>
      <c r="FU689" s="70"/>
      <c r="FV689" s="70"/>
      <c r="FW689" s="70"/>
      <c r="FX689" s="70"/>
      <c r="FY689" s="70"/>
      <c r="FZ689" s="70"/>
      <c r="GA689" s="70"/>
      <c r="GB689" s="70"/>
      <c r="GC689" s="70"/>
      <c r="GD689" s="70"/>
      <c r="GE689" s="70"/>
      <c r="GF689" s="70"/>
      <c r="GG689" s="70"/>
      <c r="GH689" s="70"/>
      <c r="GI689" s="70"/>
      <c r="GJ689" s="70"/>
      <c r="GK689" s="70"/>
      <c r="GL689" s="70"/>
      <c r="GM689" s="70"/>
      <c r="GN689" s="70"/>
      <c r="GO689" s="70"/>
      <c r="GP689" s="70"/>
      <c r="GQ689" s="70"/>
      <c r="GR689" s="70"/>
      <c r="GS689" s="70"/>
      <c r="GT689" s="70"/>
      <c r="GU689" s="70"/>
      <c r="GV689" s="70"/>
      <c r="GW689" s="70"/>
      <c r="GX689" s="70"/>
      <c r="GY689" s="70"/>
      <c r="GZ689" s="70"/>
      <c r="HA689" s="70"/>
      <c r="HB689" s="70"/>
      <c r="HC689" s="70"/>
      <c r="HD689" s="70"/>
      <c r="HE689" s="70"/>
      <c r="HF689" s="70"/>
      <c r="HG689" s="70"/>
      <c r="HH689" s="70"/>
      <c r="HI689" s="70"/>
      <c r="HJ689" s="70"/>
      <c r="HK689" s="70"/>
      <c r="HL689" s="70"/>
      <c r="HM689" s="70"/>
      <c r="HN689" s="70"/>
      <c r="HO689" s="70"/>
      <c r="HP689" s="70"/>
      <c r="HQ689" s="70"/>
      <c r="HR689" s="70"/>
      <c r="HS689" s="70"/>
      <c r="HT689" s="70"/>
      <c r="HU689" s="70"/>
      <c r="HV689" s="70"/>
      <c r="HW689" s="70"/>
      <c r="HX689" s="70"/>
      <c r="HY689" s="70"/>
      <c r="HZ689" s="70"/>
      <c r="IA689" s="70"/>
      <c r="IB689" s="70"/>
      <c r="IC689" s="70"/>
      <c r="ID689" s="70"/>
      <c r="IE689" s="70"/>
      <c r="IF689" s="70"/>
      <c r="IG689" s="70"/>
      <c r="IH689" s="70"/>
      <c r="II689" s="70"/>
      <c r="IJ689" s="70"/>
      <c r="IK689" s="70"/>
      <c r="IL689" s="70"/>
      <c r="IM689" s="70"/>
      <c r="IN689" s="70"/>
      <c r="IO689" s="70"/>
      <c r="IP689" s="70"/>
      <c r="IQ689" s="70"/>
      <c r="IR689" s="70"/>
      <c r="IS689" s="70"/>
      <c r="IT689" s="70"/>
      <c r="IU689" s="70"/>
      <c r="IV689" s="70"/>
    </row>
    <row r="690" spans="1:256" s="207" customFormat="1" x14ac:dyDescent="0.2">
      <c r="A690" s="2434" t="s">
        <v>2454</v>
      </c>
      <c r="B690" s="651"/>
      <c r="C690" s="236"/>
      <c r="G690" s="234"/>
      <c r="H690" s="236"/>
      <c r="I690" s="973"/>
      <c r="J690" s="847"/>
      <c r="K690" s="847"/>
      <c r="L690" s="847"/>
      <c r="M690" s="661"/>
      <c r="N690" s="973"/>
      <c r="O690" s="847"/>
      <c r="P690" s="847"/>
      <c r="Q690" s="847"/>
      <c r="R690" s="661"/>
      <c r="S690" s="973"/>
      <c r="T690" s="847"/>
      <c r="U690" s="847"/>
      <c r="V690" s="847"/>
      <c r="W690" s="661"/>
      <c r="X690" s="973"/>
      <c r="Y690" s="847"/>
      <c r="Z690" s="847"/>
      <c r="AA690" s="847"/>
      <c r="AB690" s="661"/>
      <c r="AC690" s="973"/>
      <c r="AD690" s="847"/>
      <c r="AE690" s="847"/>
      <c r="AF690" s="847"/>
      <c r="AG690" s="661"/>
      <c r="AH690" s="973"/>
      <c r="AI690" s="847"/>
      <c r="AJ690" s="847"/>
      <c r="AK690" s="847"/>
      <c r="AL690" s="661"/>
      <c r="AM690" s="973"/>
      <c r="AN690" s="847"/>
      <c r="AO690" s="847"/>
      <c r="AP690" s="847"/>
      <c r="AQ690" s="661"/>
      <c r="AR690" s="973"/>
      <c r="AS690" s="847"/>
      <c r="AT690" s="847"/>
      <c r="AU690" s="847"/>
      <c r="AV690" s="661"/>
      <c r="AW690" s="973"/>
      <c r="AX690" s="847"/>
      <c r="AY690" s="847"/>
      <c r="AZ690" s="847"/>
      <c r="BA690" s="661"/>
      <c r="BB690" s="973"/>
      <c r="BC690" s="847"/>
      <c r="BD690" s="847"/>
      <c r="BE690" s="847"/>
      <c r="BF690" s="661"/>
      <c r="BG690" s="847"/>
      <c r="BH690" s="847"/>
      <c r="BI690" s="847"/>
      <c r="BJ690" s="847"/>
      <c r="BK690" s="661"/>
      <c r="BL690" s="847"/>
      <c r="BM690" s="847"/>
      <c r="BN690" s="847"/>
      <c r="BO690" s="847"/>
      <c r="BP690" s="661"/>
      <c r="BQ690" s="847"/>
      <c r="BR690" s="847"/>
      <c r="BS690" s="847"/>
      <c r="BT690" s="847"/>
      <c r="BU690" s="661"/>
      <c r="BV690" s="847"/>
      <c r="BW690" s="847"/>
      <c r="BX690" s="847"/>
      <c r="BY690" s="847"/>
      <c r="BZ690" s="661"/>
      <c r="CA690" s="847"/>
      <c r="CB690" s="847"/>
      <c r="CC690" s="847"/>
      <c r="CD690" s="847"/>
      <c r="CE690" s="661"/>
      <c r="CF690" s="847"/>
      <c r="CG690" s="2349"/>
      <c r="CH690" s="2349">
        <f t="shared" ref="CH690:CV690" si="965">CH589+CH623+CH656</f>
        <v>83228</v>
      </c>
      <c r="CI690" s="2349">
        <f t="shared" si="965"/>
        <v>84474</v>
      </c>
      <c r="CJ690" s="2293">
        <f t="shared" si="965"/>
        <v>84474</v>
      </c>
      <c r="CK690" s="2350">
        <f t="shared" si="965"/>
        <v>83705</v>
      </c>
      <c r="CL690" s="2349">
        <f t="shared" si="965"/>
        <v>83603</v>
      </c>
      <c r="CM690" s="2349">
        <f t="shared" si="965"/>
        <v>83096</v>
      </c>
      <c r="CN690" s="2349">
        <f t="shared" si="965"/>
        <v>82676</v>
      </c>
      <c r="CO690" s="2293">
        <f t="shared" si="965"/>
        <v>82676</v>
      </c>
      <c r="CP690" s="1261">
        <f t="shared" ref="CP690:CT699" si="966">CP589+CP623+CP656</f>
        <v>88248.58</v>
      </c>
      <c r="CQ690" s="1261">
        <f t="shared" si="966"/>
        <v>88781.02</v>
      </c>
      <c r="CR690" s="1261">
        <f t="shared" si="966"/>
        <v>88422.05</v>
      </c>
      <c r="CS690" s="1261">
        <f t="shared" si="966"/>
        <v>87968.57</v>
      </c>
      <c r="CT690" s="2293">
        <f t="shared" si="966"/>
        <v>87968.57</v>
      </c>
      <c r="CU690" s="2349">
        <f t="shared" si="965"/>
        <v>93015.429550000001</v>
      </c>
      <c r="CV690" s="2293">
        <f t="shared" si="965"/>
        <v>95212.102706000005</v>
      </c>
      <c r="CW690" s="2481"/>
      <c r="CX690" s="2481"/>
      <c r="CY690" s="2481"/>
      <c r="CZ690" s="2481"/>
      <c r="DA690" s="2481"/>
      <c r="DB690" s="217"/>
      <c r="DC690" s="212"/>
      <c r="DD690" s="212"/>
      <c r="DE690" s="70"/>
      <c r="DF690" s="70"/>
      <c r="DG690" s="70"/>
      <c r="DH690" s="70"/>
      <c r="DI690" s="70"/>
      <c r="DJ690" s="70"/>
      <c r="DK690" s="70"/>
      <c r="DL690" s="70"/>
      <c r="DM690" s="70"/>
      <c r="DN690" s="70"/>
      <c r="DO690" s="70"/>
      <c r="DP690" s="70"/>
      <c r="DQ690" s="70"/>
      <c r="DR690" s="70"/>
      <c r="DS690" s="70"/>
      <c r="DT690" s="70"/>
      <c r="DU690" s="70"/>
      <c r="DV690" s="70"/>
      <c r="DW690" s="70"/>
      <c r="DX690" s="70"/>
      <c r="DY690" s="70"/>
      <c r="DZ690" s="70"/>
      <c r="EA690" s="70"/>
      <c r="EB690" s="70"/>
      <c r="EC690" s="70"/>
      <c r="ED690" s="70"/>
      <c r="EE690" s="70"/>
      <c r="EF690" s="70"/>
      <c r="EG690" s="70"/>
      <c r="EH690" s="70"/>
      <c r="EI690" s="70"/>
      <c r="EJ690" s="70"/>
      <c r="EK690" s="70"/>
      <c r="EL690" s="70"/>
      <c r="EM690" s="70"/>
      <c r="EN690" s="70"/>
      <c r="EO690" s="70"/>
      <c r="EP690" s="70"/>
      <c r="EQ690" s="70"/>
      <c r="ER690" s="70"/>
      <c r="ES690" s="70"/>
      <c r="ET690" s="70"/>
      <c r="EU690" s="70"/>
      <c r="EV690" s="70"/>
      <c r="EW690" s="70"/>
      <c r="EX690" s="70"/>
      <c r="EY690" s="70"/>
      <c r="EZ690" s="70"/>
      <c r="FA690" s="70"/>
      <c r="FB690" s="70"/>
      <c r="FC690" s="70"/>
      <c r="FD690" s="70"/>
      <c r="FE690" s="70"/>
      <c r="FF690" s="70"/>
      <c r="FG690" s="70"/>
      <c r="FH690" s="70"/>
      <c r="FI690" s="70"/>
      <c r="FJ690" s="70"/>
      <c r="FK690" s="70"/>
      <c r="FL690" s="70"/>
      <c r="FM690" s="70"/>
      <c r="FN690" s="70"/>
      <c r="FO690" s="70"/>
      <c r="FP690" s="70"/>
      <c r="FQ690" s="70"/>
      <c r="FR690" s="70"/>
      <c r="FS690" s="70"/>
      <c r="FT690" s="70"/>
      <c r="FU690" s="70"/>
      <c r="FV690" s="70"/>
      <c r="FW690" s="70"/>
      <c r="FX690" s="70"/>
      <c r="FY690" s="70"/>
      <c r="FZ690" s="70"/>
      <c r="GA690" s="70"/>
      <c r="GB690" s="70"/>
      <c r="GC690" s="70"/>
      <c r="GD690" s="70"/>
      <c r="GE690" s="70"/>
      <c r="GF690" s="70"/>
      <c r="GG690" s="70"/>
      <c r="GH690" s="70"/>
      <c r="GI690" s="70"/>
      <c r="GJ690" s="70"/>
      <c r="GK690" s="70"/>
      <c r="GL690" s="70"/>
      <c r="GM690" s="70"/>
      <c r="GN690" s="70"/>
      <c r="GO690" s="70"/>
      <c r="GP690" s="70"/>
      <c r="GQ690" s="70"/>
      <c r="GR690" s="70"/>
      <c r="GS690" s="70"/>
      <c r="GT690" s="70"/>
      <c r="GU690" s="70"/>
      <c r="GV690" s="70"/>
      <c r="GW690" s="70"/>
      <c r="GX690" s="70"/>
      <c r="GY690" s="70"/>
      <c r="GZ690" s="70"/>
      <c r="HA690" s="70"/>
      <c r="HB690" s="70"/>
      <c r="HC690" s="70"/>
      <c r="HD690" s="70"/>
      <c r="HE690" s="70"/>
      <c r="HF690" s="70"/>
      <c r="HG690" s="70"/>
      <c r="HH690" s="70"/>
      <c r="HI690" s="70"/>
      <c r="HJ690" s="70"/>
      <c r="HK690" s="70"/>
      <c r="HL690" s="70"/>
      <c r="HM690" s="70"/>
      <c r="HN690" s="70"/>
      <c r="HO690" s="70"/>
      <c r="HP690" s="70"/>
      <c r="HQ690" s="70"/>
      <c r="HR690" s="70"/>
      <c r="HS690" s="70"/>
      <c r="HT690" s="70"/>
      <c r="HU690" s="70"/>
      <c r="HV690" s="70"/>
      <c r="HW690" s="70"/>
      <c r="HX690" s="70"/>
      <c r="HY690" s="70"/>
      <c r="HZ690" s="70"/>
      <c r="IA690" s="70"/>
      <c r="IB690" s="70"/>
      <c r="IC690" s="70"/>
      <c r="ID690" s="70"/>
      <c r="IE690" s="70"/>
      <c r="IF690" s="70"/>
      <c r="IG690" s="70"/>
      <c r="IH690" s="70"/>
      <c r="II690" s="70"/>
      <c r="IJ690" s="70"/>
      <c r="IK690" s="70"/>
      <c r="IL690" s="70"/>
      <c r="IM690" s="70"/>
      <c r="IN690" s="70"/>
      <c r="IO690" s="70"/>
      <c r="IP690" s="70"/>
      <c r="IQ690" s="70"/>
      <c r="IR690" s="70"/>
      <c r="IS690" s="70"/>
      <c r="IT690" s="70"/>
      <c r="IU690" s="70"/>
      <c r="IV690" s="70"/>
    </row>
    <row r="691" spans="1:256" s="207" customFormat="1" x14ac:dyDescent="0.2">
      <c r="A691" s="2434" t="s">
        <v>2455</v>
      </c>
      <c r="B691" s="651"/>
      <c r="C691" s="236"/>
      <c r="G691" s="234"/>
      <c r="H691" s="236"/>
      <c r="I691" s="973"/>
      <c r="J691" s="847"/>
      <c r="K691" s="847"/>
      <c r="L691" s="847"/>
      <c r="M691" s="661"/>
      <c r="N691" s="973"/>
      <c r="O691" s="847"/>
      <c r="P691" s="847"/>
      <c r="Q691" s="847"/>
      <c r="R691" s="661"/>
      <c r="S691" s="973"/>
      <c r="T691" s="847"/>
      <c r="U691" s="847"/>
      <c r="V691" s="847"/>
      <c r="W691" s="661"/>
      <c r="X691" s="973"/>
      <c r="Y691" s="847"/>
      <c r="Z691" s="847"/>
      <c r="AA691" s="847"/>
      <c r="AB691" s="661"/>
      <c r="AC691" s="973"/>
      <c r="AD691" s="847"/>
      <c r="AE691" s="847"/>
      <c r="AF691" s="847"/>
      <c r="AG691" s="661"/>
      <c r="AH691" s="973"/>
      <c r="AI691" s="847"/>
      <c r="AJ691" s="847"/>
      <c r="AK691" s="847"/>
      <c r="AL691" s="661"/>
      <c r="AM691" s="973"/>
      <c r="AN691" s="847"/>
      <c r="AO691" s="847"/>
      <c r="AP691" s="847"/>
      <c r="AQ691" s="661"/>
      <c r="AR691" s="973"/>
      <c r="AS691" s="847"/>
      <c r="AT691" s="847"/>
      <c r="AU691" s="847"/>
      <c r="AV691" s="661"/>
      <c r="AW691" s="973"/>
      <c r="AX691" s="847"/>
      <c r="AY691" s="847"/>
      <c r="AZ691" s="847"/>
      <c r="BA691" s="661"/>
      <c r="BB691" s="973"/>
      <c r="BC691" s="847"/>
      <c r="BD691" s="847"/>
      <c r="BE691" s="847"/>
      <c r="BF691" s="661"/>
      <c r="BG691" s="847"/>
      <c r="BH691" s="847"/>
      <c r="BI691" s="847"/>
      <c r="BJ691" s="847"/>
      <c r="BK691" s="661"/>
      <c r="BL691" s="847"/>
      <c r="BM691" s="847"/>
      <c r="BN691" s="847"/>
      <c r="BO691" s="847"/>
      <c r="BP691" s="661"/>
      <c r="BQ691" s="847"/>
      <c r="BR691" s="847"/>
      <c r="BS691" s="847"/>
      <c r="BT691" s="847"/>
      <c r="BU691" s="661"/>
      <c r="BV691" s="847"/>
      <c r="BW691" s="847"/>
      <c r="BX691" s="847"/>
      <c r="BY691" s="847"/>
      <c r="BZ691" s="661"/>
      <c r="CA691" s="847"/>
      <c r="CB691" s="847"/>
      <c r="CC691" s="847"/>
      <c r="CD691" s="847"/>
      <c r="CE691" s="661"/>
      <c r="CF691" s="847"/>
      <c r="CG691" s="2349"/>
      <c r="CH691" s="2349">
        <f t="shared" ref="CH691:CV691" si="967">CH590+CH624+CH657</f>
        <v>29070</v>
      </c>
      <c r="CI691" s="2349">
        <f t="shared" si="967"/>
        <v>29544</v>
      </c>
      <c r="CJ691" s="2293">
        <f t="shared" si="967"/>
        <v>29544</v>
      </c>
      <c r="CK691" s="2350">
        <f t="shared" ref="CK691:CK699" si="968">CK590+CK624+CK657</f>
        <v>29544</v>
      </c>
      <c r="CL691" s="2349">
        <f t="shared" si="967"/>
        <v>29524</v>
      </c>
      <c r="CM691" s="2349">
        <f t="shared" si="967"/>
        <v>29522</v>
      </c>
      <c r="CN691" s="2349">
        <f t="shared" si="967"/>
        <v>29466</v>
      </c>
      <c r="CO691" s="2293">
        <f t="shared" si="967"/>
        <v>29466</v>
      </c>
      <c r="CP691" s="1261">
        <f t="shared" si="966"/>
        <v>31241.880000000005</v>
      </c>
      <c r="CQ691" s="1261">
        <f t="shared" si="966"/>
        <v>31435.660000000003</v>
      </c>
      <c r="CR691" s="1261">
        <f t="shared" si="966"/>
        <v>31501.52</v>
      </c>
      <c r="CS691" s="1261">
        <f t="shared" si="966"/>
        <v>31442.160000000003</v>
      </c>
      <c r="CT691" s="2293">
        <f t="shared" si="966"/>
        <v>31442.160000000003</v>
      </c>
      <c r="CU691" s="2349">
        <f t="shared" si="967"/>
        <v>33319.966400000005</v>
      </c>
      <c r="CV691" s="2293">
        <f t="shared" si="967"/>
        <v>34155.614648000002</v>
      </c>
      <c r="CW691" s="2481"/>
      <c r="CX691" s="2481"/>
      <c r="CY691" s="2481"/>
      <c r="CZ691" s="2481"/>
      <c r="DA691" s="2481"/>
      <c r="DB691" s="217"/>
      <c r="DC691" s="212"/>
      <c r="DD691" s="212"/>
      <c r="DE691" s="70"/>
      <c r="DF691" s="70"/>
      <c r="DG691" s="70"/>
      <c r="DH691" s="70"/>
      <c r="DI691" s="70"/>
      <c r="DJ691" s="70"/>
      <c r="DK691" s="70"/>
      <c r="DL691" s="70"/>
      <c r="DM691" s="70"/>
      <c r="DN691" s="70"/>
      <c r="DO691" s="70"/>
      <c r="DP691" s="70"/>
      <c r="DQ691" s="70"/>
      <c r="DR691" s="70"/>
      <c r="DS691" s="70"/>
      <c r="DT691" s="70"/>
      <c r="DU691" s="70"/>
      <c r="DV691" s="70"/>
      <c r="DW691" s="70"/>
      <c r="DX691" s="70"/>
      <c r="DY691" s="70"/>
      <c r="DZ691" s="70"/>
      <c r="EA691" s="70"/>
      <c r="EB691" s="70"/>
      <c r="EC691" s="70"/>
      <c r="ED691" s="70"/>
      <c r="EE691" s="70"/>
      <c r="EF691" s="70"/>
      <c r="EG691" s="70"/>
      <c r="EH691" s="70"/>
      <c r="EI691" s="70"/>
      <c r="EJ691" s="70"/>
      <c r="EK691" s="70"/>
      <c r="EL691" s="70"/>
      <c r="EM691" s="70"/>
      <c r="EN691" s="70"/>
      <c r="EO691" s="70"/>
      <c r="EP691" s="70"/>
      <c r="EQ691" s="70"/>
      <c r="ER691" s="70"/>
      <c r="ES691" s="70"/>
      <c r="ET691" s="70"/>
      <c r="EU691" s="70"/>
      <c r="EV691" s="70"/>
      <c r="EW691" s="70"/>
      <c r="EX691" s="70"/>
      <c r="EY691" s="70"/>
      <c r="EZ691" s="70"/>
      <c r="FA691" s="70"/>
      <c r="FB691" s="70"/>
      <c r="FC691" s="70"/>
      <c r="FD691" s="70"/>
      <c r="FE691" s="70"/>
      <c r="FF691" s="70"/>
      <c r="FG691" s="70"/>
      <c r="FH691" s="70"/>
      <c r="FI691" s="70"/>
      <c r="FJ691" s="70"/>
      <c r="FK691" s="70"/>
      <c r="FL691" s="70"/>
      <c r="FM691" s="70"/>
      <c r="FN691" s="70"/>
      <c r="FO691" s="70"/>
      <c r="FP691" s="70"/>
      <c r="FQ691" s="70"/>
      <c r="FR691" s="70"/>
      <c r="FS691" s="70"/>
      <c r="FT691" s="70"/>
      <c r="FU691" s="70"/>
      <c r="FV691" s="70"/>
      <c r="FW691" s="70"/>
      <c r="FX691" s="70"/>
      <c r="FY691" s="70"/>
      <c r="FZ691" s="70"/>
      <c r="GA691" s="70"/>
      <c r="GB691" s="70"/>
      <c r="GC691" s="70"/>
      <c r="GD691" s="70"/>
      <c r="GE691" s="70"/>
      <c r="GF691" s="70"/>
      <c r="GG691" s="70"/>
      <c r="GH691" s="70"/>
      <c r="GI691" s="70"/>
      <c r="GJ691" s="70"/>
      <c r="GK691" s="70"/>
      <c r="GL691" s="70"/>
      <c r="GM691" s="70"/>
      <c r="GN691" s="70"/>
      <c r="GO691" s="70"/>
      <c r="GP691" s="70"/>
      <c r="GQ691" s="70"/>
      <c r="GR691" s="70"/>
      <c r="GS691" s="70"/>
      <c r="GT691" s="70"/>
      <c r="GU691" s="70"/>
      <c r="GV691" s="70"/>
      <c r="GW691" s="70"/>
      <c r="GX691" s="70"/>
      <c r="GY691" s="70"/>
      <c r="GZ691" s="70"/>
      <c r="HA691" s="70"/>
      <c r="HB691" s="70"/>
      <c r="HC691" s="70"/>
      <c r="HD691" s="70"/>
      <c r="HE691" s="70"/>
      <c r="HF691" s="70"/>
      <c r="HG691" s="70"/>
      <c r="HH691" s="70"/>
      <c r="HI691" s="70"/>
      <c r="HJ691" s="70"/>
      <c r="HK691" s="70"/>
      <c r="HL691" s="70"/>
      <c r="HM691" s="70"/>
      <c r="HN691" s="70"/>
      <c r="HO691" s="70"/>
      <c r="HP691" s="70"/>
      <c r="HQ691" s="70"/>
      <c r="HR691" s="70"/>
      <c r="HS691" s="70"/>
      <c r="HT691" s="70"/>
      <c r="HU691" s="70"/>
      <c r="HV691" s="70"/>
      <c r="HW691" s="70"/>
      <c r="HX691" s="70"/>
      <c r="HY691" s="70"/>
      <c r="HZ691" s="70"/>
      <c r="IA691" s="70"/>
      <c r="IB691" s="70"/>
      <c r="IC691" s="70"/>
      <c r="ID691" s="70"/>
      <c r="IE691" s="70"/>
      <c r="IF691" s="70"/>
      <c r="IG691" s="70"/>
      <c r="IH691" s="70"/>
      <c r="II691" s="70"/>
      <c r="IJ691" s="70"/>
      <c r="IK691" s="70"/>
      <c r="IL691" s="70"/>
      <c r="IM691" s="70"/>
      <c r="IN691" s="70"/>
      <c r="IO691" s="70"/>
      <c r="IP691" s="70"/>
      <c r="IQ691" s="70"/>
      <c r="IR691" s="70"/>
      <c r="IS691" s="70"/>
      <c r="IT691" s="70"/>
      <c r="IU691" s="70"/>
      <c r="IV691" s="70"/>
    </row>
    <row r="692" spans="1:256" s="207" customFormat="1" x14ac:dyDescent="0.2">
      <c r="A692" s="2434" t="s">
        <v>2456</v>
      </c>
      <c r="B692" s="651"/>
      <c r="C692" s="236"/>
      <c r="G692" s="234"/>
      <c r="H692" s="236"/>
      <c r="I692" s="973"/>
      <c r="J692" s="847"/>
      <c r="K692" s="847"/>
      <c r="L692" s="847"/>
      <c r="M692" s="661"/>
      <c r="N692" s="973"/>
      <c r="O692" s="847"/>
      <c r="P692" s="847"/>
      <c r="Q692" s="847"/>
      <c r="R692" s="661"/>
      <c r="S692" s="973"/>
      <c r="T692" s="847"/>
      <c r="U692" s="847"/>
      <c r="V692" s="847"/>
      <c r="W692" s="661"/>
      <c r="X692" s="973"/>
      <c r="Y692" s="847"/>
      <c r="Z692" s="847"/>
      <c r="AA692" s="847"/>
      <c r="AB692" s="661"/>
      <c r="AC692" s="973"/>
      <c r="AD692" s="847"/>
      <c r="AE692" s="847"/>
      <c r="AF692" s="847"/>
      <c r="AG692" s="661"/>
      <c r="AH692" s="973"/>
      <c r="AI692" s="847"/>
      <c r="AJ692" s="847"/>
      <c r="AK692" s="847"/>
      <c r="AL692" s="661"/>
      <c r="AM692" s="973"/>
      <c r="AN692" s="847"/>
      <c r="AO692" s="847"/>
      <c r="AP692" s="847"/>
      <c r="AQ692" s="661"/>
      <c r="AR692" s="973"/>
      <c r="AS692" s="847"/>
      <c r="AT692" s="847"/>
      <c r="AU692" s="847"/>
      <c r="AV692" s="661"/>
      <c r="AW692" s="973"/>
      <c r="AX692" s="847"/>
      <c r="AY692" s="847"/>
      <c r="AZ692" s="847"/>
      <c r="BA692" s="661"/>
      <c r="BB692" s="973"/>
      <c r="BC692" s="847"/>
      <c r="BD692" s="847"/>
      <c r="BE692" s="847"/>
      <c r="BF692" s="661"/>
      <c r="BG692" s="847"/>
      <c r="BH692" s="847"/>
      <c r="BI692" s="847"/>
      <c r="BJ692" s="847"/>
      <c r="BK692" s="661"/>
      <c r="BL692" s="847"/>
      <c r="BM692" s="847"/>
      <c r="BN692" s="847"/>
      <c r="BO692" s="847"/>
      <c r="BP692" s="661"/>
      <c r="BQ692" s="847"/>
      <c r="BR692" s="847"/>
      <c r="BS692" s="847"/>
      <c r="BT692" s="847"/>
      <c r="BU692" s="661"/>
      <c r="BV692" s="847"/>
      <c r="BW692" s="847"/>
      <c r="BX692" s="847"/>
      <c r="BY692" s="847"/>
      <c r="BZ692" s="661"/>
      <c r="CA692" s="847"/>
      <c r="CB692" s="847"/>
      <c r="CC692" s="847"/>
      <c r="CD692" s="847"/>
      <c r="CE692" s="661"/>
      <c r="CF692" s="847"/>
      <c r="CG692" s="2349"/>
      <c r="CH692" s="2349">
        <f t="shared" ref="CH692:CV692" si="969">CH591+CH625+CH658</f>
        <v>20494</v>
      </c>
      <c r="CI692" s="2349">
        <f t="shared" si="969"/>
        <v>20543</v>
      </c>
      <c r="CJ692" s="2293">
        <f t="shared" si="969"/>
        <v>20543</v>
      </c>
      <c r="CK692" s="2350">
        <f t="shared" si="968"/>
        <v>20634</v>
      </c>
      <c r="CL692" s="2349">
        <f t="shared" si="969"/>
        <v>20953</v>
      </c>
      <c r="CM692" s="2349">
        <f t="shared" si="969"/>
        <v>21664</v>
      </c>
      <c r="CN692" s="2349">
        <f t="shared" si="969"/>
        <v>22368</v>
      </c>
      <c r="CO692" s="2293">
        <f t="shared" si="969"/>
        <v>22368</v>
      </c>
      <c r="CP692" s="1261">
        <f t="shared" si="966"/>
        <v>21853.38</v>
      </c>
      <c r="CQ692" s="1261">
        <f t="shared" si="966"/>
        <v>22337.280000000002</v>
      </c>
      <c r="CR692" s="1261">
        <f t="shared" si="966"/>
        <v>23166.13</v>
      </c>
      <c r="CS692" s="1261">
        <f t="shared" si="966"/>
        <v>23925.090000000004</v>
      </c>
      <c r="CT692" s="2293">
        <f t="shared" si="966"/>
        <v>23925.090000000004</v>
      </c>
      <c r="CU692" s="2349">
        <f t="shared" si="969"/>
        <v>25397.210550000003</v>
      </c>
      <c r="CV692" s="2293">
        <f t="shared" si="969"/>
        <v>26073.113406</v>
      </c>
      <c r="CW692" s="2481"/>
      <c r="CX692" s="2481"/>
      <c r="CY692" s="2481"/>
      <c r="CZ692" s="2481"/>
      <c r="DA692" s="2481"/>
      <c r="DB692" s="217"/>
      <c r="DC692" s="212"/>
      <c r="DD692" s="212"/>
      <c r="DE692" s="70"/>
      <c r="DF692" s="70"/>
      <c r="DG692" s="70"/>
      <c r="DH692" s="70"/>
      <c r="DI692" s="70"/>
      <c r="DJ692" s="70"/>
      <c r="DK692" s="70"/>
      <c r="DL692" s="70"/>
      <c r="DM692" s="70"/>
      <c r="DN692" s="70"/>
      <c r="DO692" s="70"/>
      <c r="DP692" s="70"/>
      <c r="DQ692" s="70"/>
      <c r="DR692" s="70"/>
      <c r="DS692" s="70"/>
      <c r="DT692" s="70"/>
      <c r="DU692" s="70"/>
      <c r="DV692" s="70"/>
      <c r="DW692" s="70"/>
      <c r="DX692" s="70"/>
      <c r="DY692" s="70"/>
      <c r="DZ692" s="70"/>
      <c r="EA692" s="70"/>
      <c r="EB692" s="70"/>
      <c r="EC692" s="70"/>
      <c r="ED692" s="70"/>
      <c r="EE692" s="70"/>
      <c r="EF692" s="70"/>
      <c r="EG692" s="70"/>
      <c r="EH692" s="70"/>
      <c r="EI692" s="70"/>
      <c r="EJ692" s="70"/>
      <c r="EK692" s="70"/>
      <c r="EL692" s="70"/>
      <c r="EM692" s="70"/>
      <c r="EN692" s="70"/>
      <c r="EO692" s="70"/>
      <c r="EP692" s="70"/>
      <c r="EQ692" s="70"/>
      <c r="ER692" s="70"/>
      <c r="ES692" s="70"/>
      <c r="ET692" s="70"/>
      <c r="EU692" s="70"/>
      <c r="EV692" s="70"/>
      <c r="EW692" s="70"/>
      <c r="EX692" s="70"/>
      <c r="EY692" s="70"/>
      <c r="EZ692" s="70"/>
      <c r="FA692" s="70"/>
      <c r="FB692" s="70"/>
      <c r="FC692" s="70"/>
      <c r="FD692" s="70"/>
      <c r="FE692" s="70"/>
      <c r="FF692" s="70"/>
      <c r="FG692" s="70"/>
      <c r="FH692" s="70"/>
      <c r="FI692" s="70"/>
      <c r="FJ692" s="70"/>
      <c r="FK692" s="70"/>
      <c r="FL692" s="70"/>
      <c r="FM692" s="70"/>
      <c r="FN692" s="70"/>
      <c r="FO692" s="70"/>
      <c r="FP692" s="70"/>
      <c r="FQ692" s="70"/>
      <c r="FR692" s="70"/>
      <c r="FS692" s="70"/>
      <c r="FT692" s="70"/>
      <c r="FU692" s="70"/>
      <c r="FV692" s="70"/>
      <c r="FW692" s="70"/>
      <c r="FX692" s="70"/>
      <c r="FY692" s="70"/>
      <c r="FZ692" s="70"/>
      <c r="GA692" s="70"/>
      <c r="GB692" s="70"/>
      <c r="GC692" s="70"/>
      <c r="GD692" s="70"/>
      <c r="GE692" s="70"/>
      <c r="GF692" s="70"/>
      <c r="GG692" s="70"/>
      <c r="GH692" s="70"/>
      <c r="GI692" s="70"/>
      <c r="GJ692" s="70"/>
      <c r="GK692" s="70"/>
      <c r="GL692" s="70"/>
      <c r="GM692" s="70"/>
      <c r="GN692" s="70"/>
      <c r="GO692" s="70"/>
      <c r="GP692" s="70"/>
      <c r="GQ692" s="70"/>
      <c r="GR692" s="70"/>
      <c r="GS692" s="70"/>
      <c r="GT692" s="70"/>
      <c r="GU692" s="70"/>
      <c r="GV692" s="70"/>
      <c r="GW692" s="70"/>
      <c r="GX692" s="70"/>
      <c r="GY692" s="70"/>
      <c r="GZ692" s="70"/>
      <c r="HA692" s="70"/>
      <c r="HB692" s="70"/>
      <c r="HC692" s="70"/>
      <c r="HD692" s="70"/>
      <c r="HE692" s="70"/>
      <c r="HF692" s="70"/>
      <c r="HG692" s="70"/>
      <c r="HH692" s="70"/>
      <c r="HI692" s="70"/>
      <c r="HJ692" s="70"/>
      <c r="HK692" s="70"/>
      <c r="HL692" s="70"/>
      <c r="HM692" s="70"/>
      <c r="HN692" s="70"/>
      <c r="HO692" s="70"/>
      <c r="HP692" s="70"/>
      <c r="HQ692" s="70"/>
      <c r="HR692" s="70"/>
      <c r="HS692" s="70"/>
      <c r="HT692" s="70"/>
      <c r="HU692" s="70"/>
      <c r="HV692" s="70"/>
      <c r="HW692" s="70"/>
      <c r="HX692" s="70"/>
      <c r="HY692" s="70"/>
      <c r="HZ692" s="70"/>
      <c r="IA692" s="70"/>
      <c r="IB692" s="70"/>
      <c r="IC692" s="70"/>
      <c r="ID692" s="70"/>
      <c r="IE692" s="70"/>
      <c r="IF692" s="70"/>
      <c r="IG692" s="70"/>
      <c r="IH692" s="70"/>
      <c r="II692" s="70"/>
      <c r="IJ692" s="70"/>
      <c r="IK692" s="70"/>
      <c r="IL692" s="70"/>
      <c r="IM692" s="70"/>
      <c r="IN692" s="70"/>
      <c r="IO692" s="70"/>
      <c r="IP692" s="70"/>
      <c r="IQ692" s="70"/>
      <c r="IR692" s="70"/>
      <c r="IS692" s="70"/>
      <c r="IT692" s="70"/>
      <c r="IU692" s="70"/>
      <c r="IV692" s="70"/>
    </row>
    <row r="693" spans="1:256" s="207" customFormat="1" x14ac:dyDescent="0.2">
      <c r="A693" s="2434" t="s">
        <v>2457</v>
      </c>
      <c r="B693" s="651"/>
      <c r="C693" s="236"/>
      <c r="G693" s="234"/>
      <c r="H693" s="236"/>
      <c r="I693" s="973"/>
      <c r="J693" s="847"/>
      <c r="K693" s="847"/>
      <c r="L693" s="847"/>
      <c r="M693" s="661"/>
      <c r="N693" s="973"/>
      <c r="O693" s="847"/>
      <c r="P693" s="847"/>
      <c r="Q693" s="847"/>
      <c r="R693" s="661"/>
      <c r="S693" s="973"/>
      <c r="T693" s="847"/>
      <c r="U693" s="847"/>
      <c r="V693" s="847"/>
      <c r="W693" s="661"/>
      <c r="X693" s="973"/>
      <c r="Y693" s="847"/>
      <c r="Z693" s="847"/>
      <c r="AA693" s="847"/>
      <c r="AB693" s="661"/>
      <c r="AC693" s="973"/>
      <c r="AD693" s="847"/>
      <c r="AE693" s="847"/>
      <c r="AF693" s="847"/>
      <c r="AG693" s="661"/>
      <c r="AH693" s="973"/>
      <c r="AI693" s="847"/>
      <c r="AJ693" s="847"/>
      <c r="AK693" s="847"/>
      <c r="AL693" s="661"/>
      <c r="AM693" s="973"/>
      <c r="AN693" s="847"/>
      <c r="AO693" s="847"/>
      <c r="AP693" s="847"/>
      <c r="AQ693" s="661"/>
      <c r="AR693" s="973"/>
      <c r="AS693" s="847"/>
      <c r="AT693" s="847"/>
      <c r="AU693" s="847"/>
      <c r="AV693" s="661"/>
      <c r="AW693" s="973"/>
      <c r="AX693" s="847"/>
      <c r="AY693" s="847"/>
      <c r="AZ693" s="847"/>
      <c r="BA693" s="661"/>
      <c r="BB693" s="973"/>
      <c r="BC693" s="847"/>
      <c r="BD693" s="847"/>
      <c r="BE693" s="847"/>
      <c r="BF693" s="661"/>
      <c r="BG693" s="847"/>
      <c r="BH693" s="847"/>
      <c r="BI693" s="847"/>
      <c r="BJ693" s="847"/>
      <c r="BK693" s="661"/>
      <c r="BL693" s="847"/>
      <c r="BM693" s="847"/>
      <c r="BN693" s="847"/>
      <c r="BO693" s="847"/>
      <c r="BP693" s="661"/>
      <c r="BQ693" s="847"/>
      <c r="BR693" s="847"/>
      <c r="BS693" s="847"/>
      <c r="BT693" s="847"/>
      <c r="BU693" s="661"/>
      <c r="BV693" s="847"/>
      <c r="BW693" s="847"/>
      <c r="BX693" s="847"/>
      <c r="BY693" s="847"/>
      <c r="BZ693" s="661"/>
      <c r="CA693" s="847"/>
      <c r="CB693" s="847"/>
      <c r="CC693" s="847"/>
      <c r="CD693" s="847"/>
      <c r="CE693" s="661"/>
      <c r="CF693" s="847"/>
      <c r="CG693" s="2349"/>
      <c r="CH693" s="2349">
        <f t="shared" ref="CH693:CV693" si="970">CH592+CH626+CH659</f>
        <v>5813</v>
      </c>
      <c r="CI693" s="2349">
        <f t="shared" si="970"/>
        <v>5907</v>
      </c>
      <c r="CJ693" s="2293">
        <f t="shared" si="970"/>
        <v>5907</v>
      </c>
      <c r="CK693" s="2350">
        <f t="shared" si="968"/>
        <v>5654</v>
      </c>
      <c r="CL693" s="2349">
        <f t="shared" si="970"/>
        <v>6028</v>
      </c>
      <c r="CM693" s="2349">
        <f t="shared" si="970"/>
        <v>6326</v>
      </c>
      <c r="CN693" s="2349">
        <f t="shared" si="970"/>
        <v>6326</v>
      </c>
      <c r="CO693" s="2293">
        <f t="shared" si="970"/>
        <v>6326</v>
      </c>
      <c r="CP693" s="1261">
        <f t="shared" si="966"/>
        <v>5903.45</v>
      </c>
      <c r="CQ693" s="1261">
        <f t="shared" si="966"/>
        <v>6349.7800000000007</v>
      </c>
      <c r="CR693" s="1261">
        <f t="shared" si="966"/>
        <v>6665.66</v>
      </c>
      <c r="CS693" s="1261">
        <f t="shared" si="966"/>
        <v>6665.66</v>
      </c>
      <c r="CT693" s="2293">
        <f t="shared" si="966"/>
        <v>6665.66</v>
      </c>
      <c r="CU693" s="2349">
        <f t="shared" si="970"/>
        <v>6995.6962999999996</v>
      </c>
      <c r="CV693" s="2293">
        <f t="shared" si="970"/>
        <v>7122.3102259999996</v>
      </c>
      <c r="CW693" s="2481"/>
      <c r="CX693" s="2481"/>
      <c r="CY693" s="2481"/>
      <c r="CZ693" s="2481"/>
      <c r="DA693" s="2481"/>
      <c r="DB693" s="217"/>
      <c r="DC693" s="212"/>
      <c r="DD693" s="212"/>
      <c r="DE693" s="70"/>
      <c r="DF693" s="70"/>
      <c r="DG693" s="70"/>
      <c r="DH693" s="70"/>
      <c r="DI693" s="70"/>
      <c r="DJ693" s="70"/>
      <c r="DK693" s="70"/>
      <c r="DL693" s="70"/>
      <c r="DM693" s="70"/>
      <c r="DN693" s="70"/>
      <c r="DO693" s="70"/>
      <c r="DP693" s="70"/>
      <c r="DQ693" s="70"/>
      <c r="DR693" s="70"/>
      <c r="DS693" s="70"/>
      <c r="DT693" s="70"/>
      <c r="DU693" s="70"/>
      <c r="DV693" s="70"/>
      <c r="DW693" s="70"/>
      <c r="DX693" s="70"/>
      <c r="DY693" s="70"/>
      <c r="DZ693" s="70"/>
      <c r="EA693" s="70"/>
      <c r="EB693" s="70"/>
      <c r="EC693" s="70"/>
      <c r="ED693" s="70"/>
      <c r="EE693" s="70"/>
      <c r="EF693" s="70"/>
      <c r="EG693" s="70"/>
      <c r="EH693" s="70"/>
      <c r="EI693" s="70"/>
      <c r="EJ693" s="70"/>
      <c r="EK693" s="70"/>
      <c r="EL693" s="70"/>
      <c r="EM693" s="70"/>
      <c r="EN693" s="70"/>
      <c r="EO693" s="70"/>
      <c r="EP693" s="70"/>
      <c r="EQ693" s="70"/>
      <c r="ER693" s="70"/>
      <c r="ES693" s="70"/>
      <c r="ET693" s="70"/>
      <c r="EU693" s="70"/>
      <c r="EV693" s="70"/>
      <c r="EW693" s="70"/>
      <c r="EX693" s="70"/>
      <c r="EY693" s="70"/>
      <c r="EZ693" s="70"/>
      <c r="FA693" s="70"/>
      <c r="FB693" s="70"/>
      <c r="FC693" s="70"/>
      <c r="FD693" s="70"/>
      <c r="FE693" s="70"/>
      <c r="FF693" s="70"/>
      <c r="FG693" s="70"/>
      <c r="FH693" s="70"/>
      <c r="FI693" s="70"/>
      <c r="FJ693" s="70"/>
      <c r="FK693" s="70"/>
      <c r="FL693" s="70"/>
      <c r="FM693" s="70"/>
      <c r="FN693" s="70"/>
      <c r="FO693" s="70"/>
      <c r="FP693" s="70"/>
      <c r="FQ693" s="70"/>
      <c r="FR693" s="70"/>
      <c r="FS693" s="70"/>
      <c r="FT693" s="70"/>
      <c r="FU693" s="70"/>
      <c r="FV693" s="70"/>
      <c r="FW693" s="70"/>
      <c r="FX693" s="70"/>
      <c r="FY693" s="70"/>
      <c r="FZ693" s="70"/>
      <c r="GA693" s="70"/>
      <c r="GB693" s="70"/>
      <c r="GC693" s="70"/>
      <c r="GD693" s="70"/>
      <c r="GE693" s="70"/>
      <c r="GF693" s="70"/>
      <c r="GG693" s="70"/>
      <c r="GH693" s="70"/>
      <c r="GI693" s="70"/>
      <c r="GJ693" s="70"/>
      <c r="GK693" s="70"/>
      <c r="GL693" s="70"/>
      <c r="GM693" s="70"/>
      <c r="GN693" s="70"/>
      <c r="GO693" s="70"/>
      <c r="GP693" s="70"/>
      <c r="GQ693" s="70"/>
      <c r="GR693" s="70"/>
      <c r="GS693" s="70"/>
      <c r="GT693" s="70"/>
      <c r="GU693" s="70"/>
      <c r="GV693" s="70"/>
      <c r="GW693" s="70"/>
      <c r="GX693" s="70"/>
      <c r="GY693" s="70"/>
      <c r="GZ693" s="70"/>
      <c r="HA693" s="70"/>
      <c r="HB693" s="70"/>
      <c r="HC693" s="70"/>
      <c r="HD693" s="70"/>
      <c r="HE693" s="70"/>
      <c r="HF693" s="70"/>
      <c r="HG693" s="70"/>
      <c r="HH693" s="70"/>
      <c r="HI693" s="70"/>
      <c r="HJ693" s="70"/>
      <c r="HK693" s="70"/>
      <c r="HL693" s="70"/>
      <c r="HM693" s="70"/>
      <c r="HN693" s="70"/>
      <c r="HO693" s="70"/>
      <c r="HP693" s="70"/>
      <c r="HQ693" s="70"/>
      <c r="HR693" s="70"/>
      <c r="HS693" s="70"/>
      <c r="HT693" s="70"/>
      <c r="HU693" s="70"/>
      <c r="HV693" s="70"/>
      <c r="HW693" s="70"/>
      <c r="HX693" s="70"/>
      <c r="HY693" s="70"/>
      <c r="HZ693" s="70"/>
      <c r="IA693" s="70"/>
      <c r="IB693" s="70"/>
      <c r="IC693" s="70"/>
      <c r="ID693" s="70"/>
      <c r="IE693" s="70"/>
      <c r="IF693" s="70"/>
      <c r="IG693" s="70"/>
      <c r="IH693" s="70"/>
      <c r="II693" s="70"/>
      <c r="IJ693" s="70"/>
      <c r="IK693" s="70"/>
      <c r="IL693" s="70"/>
      <c r="IM693" s="70"/>
      <c r="IN693" s="70"/>
      <c r="IO693" s="70"/>
      <c r="IP693" s="70"/>
      <c r="IQ693" s="70"/>
      <c r="IR693" s="70"/>
      <c r="IS693" s="70"/>
      <c r="IT693" s="70"/>
      <c r="IU693" s="70"/>
      <c r="IV693" s="70"/>
    </row>
    <row r="694" spans="1:256" s="207" customFormat="1" x14ac:dyDescent="0.2">
      <c r="A694" s="2434" t="s">
        <v>2458</v>
      </c>
      <c r="B694" s="651"/>
      <c r="C694" s="236"/>
      <c r="G694" s="234"/>
      <c r="H694" s="236"/>
      <c r="I694" s="973"/>
      <c r="J694" s="847"/>
      <c r="K694" s="847"/>
      <c r="L694" s="847"/>
      <c r="M694" s="661"/>
      <c r="N694" s="973"/>
      <c r="O694" s="847"/>
      <c r="P694" s="847"/>
      <c r="Q694" s="847"/>
      <c r="R694" s="661"/>
      <c r="S694" s="973"/>
      <c r="T694" s="847"/>
      <c r="U694" s="847"/>
      <c r="V694" s="847"/>
      <c r="W694" s="661"/>
      <c r="X694" s="973"/>
      <c r="Y694" s="847"/>
      <c r="Z694" s="847"/>
      <c r="AA694" s="847"/>
      <c r="AB694" s="661"/>
      <c r="AC694" s="973"/>
      <c r="AD694" s="847"/>
      <c r="AE694" s="847"/>
      <c r="AF694" s="847"/>
      <c r="AG694" s="661"/>
      <c r="AH694" s="973"/>
      <c r="AI694" s="847"/>
      <c r="AJ694" s="847"/>
      <c r="AK694" s="847"/>
      <c r="AL694" s="661"/>
      <c r="AM694" s="973"/>
      <c r="AN694" s="847"/>
      <c r="AO694" s="847"/>
      <c r="AP694" s="847"/>
      <c r="AQ694" s="661"/>
      <c r="AR694" s="973"/>
      <c r="AS694" s="847"/>
      <c r="AT694" s="847"/>
      <c r="AU694" s="847"/>
      <c r="AV694" s="661"/>
      <c r="AW694" s="973"/>
      <c r="AX694" s="847"/>
      <c r="AY694" s="847"/>
      <c r="AZ694" s="847"/>
      <c r="BA694" s="661"/>
      <c r="BB694" s="973"/>
      <c r="BC694" s="847"/>
      <c r="BD694" s="847"/>
      <c r="BE694" s="847"/>
      <c r="BF694" s="661"/>
      <c r="BG694" s="847"/>
      <c r="BH694" s="847"/>
      <c r="BI694" s="847"/>
      <c r="BJ694" s="847"/>
      <c r="BK694" s="661"/>
      <c r="BL694" s="847"/>
      <c r="BM694" s="847"/>
      <c r="BN694" s="847"/>
      <c r="BO694" s="847"/>
      <c r="BP694" s="661"/>
      <c r="BQ694" s="847"/>
      <c r="BR694" s="847"/>
      <c r="BS694" s="847"/>
      <c r="BT694" s="847"/>
      <c r="BU694" s="661"/>
      <c r="BV694" s="847"/>
      <c r="BW694" s="847"/>
      <c r="BX694" s="847"/>
      <c r="BY694" s="847"/>
      <c r="BZ694" s="661"/>
      <c r="CA694" s="847"/>
      <c r="CB694" s="847"/>
      <c r="CC694" s="847"/>
      <c r="CD694" s="847"/>
      <c r="CE694" s="661"/>
      <c r="CF694" s="847"/>
      <c r="CG694" s="2349"/>
      <c r="CH694" s="2349">
        <f t="shared" ref="CH694:CV694" si="971">CH593+CH627+CH660</f>
        <v>14998</v>
      </c>
      <c r="CI694" s="2349">
        <f t="shared" si="971"/>
        <v>15127</v>
      </c>
      <c r="CJ694" s="2293">
        <f t="shared" si="971"/>
        <v>15127</v>
      </c>
      <c r="CK694" s="2350">
        <f t="shared" si="968"/>
        <v>15127</v>
      </c>
      <c r="CL694" s="2349">
        <f t="shared" si="971"/>
        <v>15494</v>
      </c>
      <c r="CM694" s="2349">
        <f t="shared" si="971"/>
        <v>15563</v>
      </c>
      <c r="CN694" s="2349">
        <f t="shared" si="971"/>
        <v>15946</v>
      </c>
      <c r="CO694" s="2293">
        <f t="shared" si="971"/>
        <v>15946</v>
      </c>
      <c r="CP694" s="1261">
        <f t="shared" si="966"/>
        <v>16051.560000000001</v>
      </c>
      <c r="CQ694" s="1261">
        <f t="shared" si="966"/>
        <v>16533.88</v>
      </c>
      <c r="CR694" s="1261">
        <f t="shared" si="966"/>
        <v>16677.920000000002</v>
      </c>
      <c r="CS694" s="1261">
        <f t="shared" si="966"/>
        <v>17080.510000000002</v>
      </c>
      <c r="CT694" s="2293">
        <f t="shared" si="966"/>
        <v>17080.510000000002</v>
      </c>
      <c r="CU694" s="2349">
        <f t="shared" si="971"/>
        <v>18143.76785</v>
      </c>
      <c r="CV694" s="2293">
        <f t="shared" si="971"/>
        <v>18658.070742000004</v>
      </c>
      <c r="CW694" s="2481"/>
      <c r="CX694" s="2481"/>
      <c r="CY694" s="2481"/>
      <c r="CZ694" s="2481"/>
      <c r="DA694" s="2481"/>
      <c r="DB694" s="217"/>
      <c r="DC694" s="212"/>
      <c r="DD694" s="212"/>
      <c r="DE694" s="70"/>
      <c r="DF694" s="70"/>
      <c r="DG694" s="70"/>
      <c r="DH694" s="70"/>
      <c r="DI694" s="70"/>
      <c r="DJ694" s="70"/>
      <c r="DK694" s="70"/>
      <c r="DL694" s="70"/>
      <c r="DM694" s="70"/>
      <c r="DN694" s="70"/>
      <c r="DO694" s="70"/>
      <c r="DP694" s="70"/>
      <c r="DQ694" s="70"/>
      <c r="DR694" s="70"/>
      <c r="DS694" s="70"/>
      <c r="DT694" s="70"/>
      <c r="DU694" s="70"/>
      <c r="DV694" s="70"/>
      <c r="DW694" s="70"/>
      <c r="DX694" s="70"/>
      <c r="DY694" s="70"/>
      <c r="DZ694" s="70"/>
      <c r="EA694" s="70"/>
      <c r="EB694" s="70"/>
      <c r="EC694" s="70"/>
      <c r="ED694" s="70"/>
      <c r="EE694" s="70"/>
      <c r="EF694" s="70"/>
      <c r="EG694" s="70"/>
      <c r="EH694" s="70"/>
      <c r="EI694" s="70"/>
      <c r="EJ694" s="70"/>
      <c r="EK694" s="70"/>
      <c r="EL694" s="70"/>
      <c r="EM694" s="70"/>
      <c r="EN694" s="70"/>
      <c r="EO694" s="70"/>
      <c r="EP694" s="70"/>
      <c r="EQ694" s="70"/>
      <c r="ER694" s="70"/>
      <c r="ES694" s="70"/>
      <c r="ET694" s="70"/>
      <c r="EU694" s="70"/>
      <c r="EV694" s="70"/>
      <c r="EW694" s="70"/>
      <c r="EX694" s="70"/>
      <c r="EY694" s="70"/>
      <c r="EZ694" s="70"/>
      <c r="FA694" s="70"/>
      <c r="FB694" s="70"/>
      <c r="FC694" s="70"/>
      <c r="FD694" s="70"/>
      <c r="FE694" s="70"/>
      <c r="FF694" s="70"/>
      <c r="FG694" s="70"/>
      <c r="FH694" s="70"/>
      <c r="FI694" s="70"/>
      <c r="FJ694" s="70"/>
      <c r="FK694" s="70"/>
      <c r="FL694" s="70"/>
      <c r="FM694" s="70"/>
      <c r="FN694" s="70"/>
      <c r="FO694" s="70"/>
      <c r="FP694" s="70"/>
      <c r="FQ694" s="70"/>
      <c r="FR694" s="70"/>
      <c r="FS694" s="70"/>
      <c r="FT694" s="70"/>
      <c r="FU694" s="70"/>
      <c r="FV694" s="70"/>
      <c r="FW694" s="70"/>
      <c r="FX694" s="70"/>
      <c r="FY694" s="70"/>
      <c r="FZ694" s="70"/>
      <c r="GA694" s="70"/>
      <c r="GB694" s="70"/>
      <c r="GC694" s="70"/>
      <c r="GD694" s="70"/>
      <c r="GE694" s="70"/>
      <c r="GF694" s="70"/>
      <c r="GG694" s="70"/>
      <c r="GH694" s="70"/>
      <c r="GI694" s="70"/>
      <c r="GJ694" s="70"/>
      <c r="GK694" s="70"/>
      <c r="GL694" s="70"/>
      <c r="GM694" s="70"/>
      <c r="GN694" s="70"/>
      <c r="GO694" s="70"/>
      <c r="GP694" s="70"/>
      <c r="GQ694" s="70"/>
      <c r="GR694" s="70"/>
      <c r="GS694" s="70"/>
      <c r="GT694" s="70"/>
      <c r="GU694" s="70"/>
      <c r="GV694" s="70"/>
      <c r="GW694" s="70"/>
      <c r="GX694" s="70"/>
      <c r="GY694" s="70"/>
      <c r="GZ694" s="70"/>
      <c r="HA694" s="70"/>
      <c r="HB694" s="70"/>
      <c r="HC694" s="70"/>
      <c r="HD694" s="70"/>
      <c r="HE694" s="70"/>
      <c r="HF694" s="70"/>
      <c r="HG694" s="70"/>
      <c r="HH694" s="70"/>
      <c r="HI694" s="70"/>
      <c r="HJ694" s="70"/>
      <c r="HK694" s="70"/>
      <c r="HL694" s="70"/>
      <c r="HM694" s="70"/>
      <c r="HN694" s="70"/>
      <c r="HO694" s="70"/>
      <c r="HP694" s="70"/>
      <c r="HQ694" s="70"/>
      <c r="HR694" s="70"/>
      <c r="HS694" s="70"/>
      <c r="HT694" s="70"/>
      <c r="HU694" s="70"/>
      <c r="HV694" s="70"/>
      <c r="HW694" s="70"/>
      <c r="HX694" s="70"/>
      <c r="HY694" s="70"/>
      <c r="HZ694" s="70"/>
      <c r="IA694" s="70"/>
      <c r="IB694" s="70"/>
      <c r="IC694" s="70"/>
      <c r="ID694" s="70"/>
      <c r="IE694" s="70"/>
      <c r="IF694" s="70"/>
      <c r="IG694" s="70"/>
      <c r="IH694" s="70"/>
      <c r="II694" s="70"/>
      <c r="IJ694" s="70"/>
      <c r="IK694" s="70"/>
      <c r="IL694" s="70"/>
      <c r="IM694" s="70"/>
      <c r="IN694" s="70"/>
      <c r="IO694" s="70"/>
      <c r="IP694" s="70"/>
      <c r="IQ694" s="70"/>
      <c r="IR694" s="70"/>
      <c r="IS694" s="70"/>
      <c r="IT694" s="70"/>
      <c r="IU694" s="70"/>
      <c r="IV694" s="70"/>
    </row>
    <row r="695" spans="1:256" s="207" customFormat="1" x14ac:dyDescent="0.2">
      <c r="A695" s="2434" t="s">
        <v>2459</v>
      </c>
      <c r="B695" s="651"/>
      <c r="C695" s="236"/>
      <c r="G695" s="234"/>
      <c r="H695" s="236"/>
      <c r="I695" s="973"/>
      <c r="J695" s="847"/>
      <c r="K695" s="847"/>
      <c r="L695" s="847"/>
      <c r="M695" s="661"/>
      <c r="N695" s="973"/>
      <c r="O695" s="847"/>
      <c r="P695" s="847"/>
      <c r="Q695" s="847"/>
      <c r="R695" s="661"/>
      <c r="S695" s="973"/>
      <c r="T695" s="847"/>
      <c r="U695" s="847"/>
      <c r="V695" s="847"/>
      <c r="W695" s="661"/>
      <c r="X695" s="973"/>
      <c r="Y695" s="847"/>
      <c r="Z695" s="847"/>
      <c r="AA695" s="847"/>
      <c r="AB695" s="661"/>
      <c r="AC695" s="973"/>
      <c r="AD695" s="847"/>
      <c r="AE695" s="847"/>
      <c r="AF695" s="847"/>
      <c r="AG695" s="661"/>
      <c r="AH695" s="973"/>
      <c r="AI695" s="847"/>
      <c r="AJ695" s="847"/>
      <c r="AK695" s="847"/>
      <c r="AL695" s="661"/>
      <c r="AM695" s="973"/>
      <c r="AN695" s="847"/>
      <c r="AO695" s="847"/>
      <c r="AP695" s="847"/>
      <c r="AQ695" s="661"/>
      <c r="AR695" s="973"/>
      <c r="AS695" s="847"/>
      <c r="AT695" s="847"/>
      <c r="AU695" s="847"/>
      <c r="AV695" s="661"/>
      <c r="AW695" s="973"/>
      <c r="AX695" s="847"/>
      <c r="AY695" s="847"/>
      <c r="AZ695" s="847"/>
      <c r="BA695" s="661"/>
      <c r="BB695" s="973"/>
      <c r="BC695" s="847"/>
      <c r="BD695" s="847"/>
      <c r="BE695" s="847"/>
      <c r="BF695" s="661"/>
      <c r="BG695" s="847"/>
      <c r="BH695" s="847"/>
      <c r="BI695" s="847"/>
      <c r="BJ695" s="847"/>
      <c r="BK695" s="661"/>
      <c r="BL695" s="847"/>
      <c r="BM695" s="847"/>
      <c r="BN695" s="847"/>
      <c r="BO695" s="847"/>
      <c r="BP695" s="661"/>
      <c r="BQ695" s="847"/>
      <c r="BR695" s="847"/>
      <c r="BS695" s="847"/>
      <c r="BT695" s="847"/>
      <c r="BU695" s="661"/>
      <c r="BV695" s="847"/>
      <c r="BW695" s="847"/>
      <c r="BX695" s="847"/>
      <c r="BY695" s="847"/>
      <c r="BZ695" s="661"/>
      <c r="CA695" s="847"/>
      <c r="CB695" s="847"/>
      <c r="CC695" s="847"/>
      <c r="CD695" s="847"/>
      <c r="CE695" s="661"/>
      <c r="CF695" s="847"/>
      <c r="CG695" s="2349"/>
      <c r="CH695" s="2349">
        <f t="shared" ref="CH695:CV695" si="972">CH594+CH628+CH661</f>
        <v>6124</v>
      </c>
      <c r="CI695" s="2349">
        <f t="shared" si="972"/>
        <v>6209</v>
      </c>
      <c r="CJ695" s="2293">
        <f t="shared" si="972"/>
        <v>6209</v>
      </c>
      <c r="CK695" s="2350">
        <f t="shared" si="968"/>
        <v>6397</v>
      </c>
      <c r="CL695" s="2349">
        <f t="shared" si="972"/>
        <v>7091</v>
      </c>
      <c r="CM695" s="2349">
        <f t="shared" si="972"/>
        <v>7209</v>
      </c>
      <c r="CN695" s="2349">
        <f t="shared" si="972"/>
        <v>7208</v>
      </c>
      <c r="CO695" s="2293">
        <f t="shared" si="972"/>
        <v>7208</v>
      </c>
      <c r="CP695" s="1261">
        <f t="shared" si="966"/>
        <v>6708.85</v>
      </c>
      <c r="CQ695" s="1261">
        <f t="shared" si="966"/>
        <v>7506.8600000000006</v>
      </c>
      <c r="CR695" s="1261">
        <f t="shared" si="966"/>
        <v>7631.9400000000005</v>
      </c>
      <c r="CS695" s="1261">
        <f t="shared" si="966"/>
        <v>7630.88</v>
      </c>
      <c r="CT695" s="2293">
        <f t="shared" si="966"/>
        <v>7630.88</v>
      </c>
      <c r="CU695" s="2349">
        <f t="shared" si="972"/>
        <v>8041.7783999999992</v>
      </c>
      <c r="CV695" s="2293">
        <f t="shared" si="972"/>
        <v>8199.4139679999989</v>
      </c>
      <c r="CW695" s="2481"/>
      <c r="CX695" s="2481"/>
      <c r="CY695" s="2481"/>
      <c r="CZ695" s="2481"/>
      <c r="DA695" s="2481"/>
      <c r="DB695" s="217"/>
      <c r="DC695" s="212"/>
      <c r="DD695" s="212"/>
      <c r="DE695" s="70"/>
      <c r="DF695" s="70"/>
      <c r="DG695" s="70"/>
      <c r="DH695" s="70"/>
      <c r="DI695" s="70"/>
      <c r="DJ695" s="70"/>
      <c r="DK695" s="70"/>
      <c r="DL695" s="70"/>
      <c r="DM695" s="70"/>
      <c r="DN695" s="70"/>
      <c r="DO695" s="70"/>
      <c r="DP695" s="70"/>
      <c r="DQ695" s="70"/>
      <c r="DR695" s="70"/>
      <c r="DS695" s="70"/>
      <c r="DT695" s="70"/>
      <c r="DU695" s="70"/>
      <c r="DV695" s="70"/>
      <c r="DW695" s="70"/>
      <c r="DX695" s="70"/>
      <c r="DY695" s="70"/>
      <c r="DZ695" s="70"/>
      <c r="EA695" s="70"/>
      <c r="EB695" s="70"/>
      <c r="EC695" s="70"/>
      <c r="ED695" s="70"/>
      <c r="EE695" s="70"/>
      <c r="EF695" s="70"/>
      <c r="EG695" s="70"/>
      <c r="EH695" s="70"/>
      <c r="EI695" s="70"/>
      <c r="EJ695" s="70"/>
      <c r="EK695" s="70"/>
      <c r="EL695" s="70"/>
      <c r="EM695" s="70"/>
      <c r="EN695" s="70"/>
      <c r="EO695" s="70"/>
      <c r="EP695" s="70"/>
      <c r="EQ695" s="70"/>
      <c r="ER695" s="70"/>
      <c r="ES695" s="70"/>
      <c r="ET695" s="70"/>
      <c r="EU695" s="70"/>
      <c r="EV695" s="70"/>
      <c r="EW695" s="70"/>
      <c r="EX695" s="70"/>
      <c r="EY695" s="70"/>
      <c r="EZ695" s="70"/>
      <c r="FA695" s="70"/>
      <c r="FB695" s="70"/>
      <c r="FC695" s="70"/>
      <c r="FD695" s="70"/>
      <c r="FE695" s="70"/>
      <c r="FF695" s="70"/>
      <c r="FG695" s="70"/>
      <c r="FH695" s="70"/>
      <c r="FI695" s="70"/>
      <c r="FJ695" s="70"/>
      <c r="FK695" s="70"/>
      <c r="FL695" s="70"/>
      <c r="FM695" s="70"/>
      <c r="FN695" s="70"/>
      <c r="FO695" s="70"/>
      <c r="FP695" s="70"/>
      <c r="FQ695" s="70"/>
      <c r="FR695" s="70"/>
      <c r="FS695" s="70"/>
      <c r="FT695" s="70"/>
      <c r="FU695" s="70"/>
      <c r="FV695" s="70"/>
      <c r="FW695" s="70"/>
      <c r="FX695" s="70"/>
      <c r="FY695" s="70"/>
      <c r="FZ695" s="70"/>
      <c r="GA695" s="70"/>
      <c r="GB695" s="70"/>
      <c r="GC695" s="70"/>
      <c r="GD695" s="70"/>
      <c r="GE695" s="70"/>
      <c r="GF695" s="70"/>
      <c r="GG695" s="70"/>
      <c r="GH695" s="70"/>
      <c r="GI695" s="70"/>
      <c r="GJ695" s="70"/>
      <c r="GK695" s="70"/>
      <c r="GL695" s="70"/>
      <c r="GM695" s="70"/>
      <c r="GN695" s="70"/>
      <c r="GO695" s="70"/>
      <c r="GP695" s="70"/>
      <c r="GQ695" s="70"/>
      <c r="GR695" s="70"/>
      <c r="GS695" s="70"/>
      <c r="GT695" s="70"/>
      <c r="GU695" s="70"/>
      <c r="GV695" s="70"/>
      <c r="GW695" s="70"/>
      <c r="GX695" s="70"/>
      <c r="GY695" s="70"/>
      <c r="GZ695" s="70"/>
      <c r="HA695" s="70"/>
      <c r="HB695" s="70"/>
      <c r="HC695" s="70"/>
      <c r="HD695" s="70"/>
      <c r="HE695" s="70"/>
      <c r="HF695" s="70"/>
      <c r="HG695" s="70"/>
      <c r="HH695" s="70"/>
      <c r="HI695" s="70"/>
      <c r="HJ695" s="70"/>
      <c r="HK695" s="70"/>
      <c r="HL695" s="70"/>
      <c r="HM695" s="70"/>
      <c r="HN695" s="70"/>
      <c r="HO695" s="70"/>
      <c r="HP695" s="70"/>
      <c r="HQ695" s="70"/>
      <c r="HR695" s="70"/>
      <c r="HS695" s="70"/>
      <c r="HT695" s="70"/>
      <c r="HU695" s="70"/>
      <c r="HV695" s="70"/>
      <c r="HW695" s="70"/>
      <c r="HX695" s="70"/>
      <c r="HY695" s="70"/>
      <c r="HZ695" s="70"/>
      <c r="IA695" s="70"/>
      <c r="IB695" s="70"/>
      <c r="IC695" s="70"/>
      <c r="ID695" s="70"/>
      <c r="IE695" s="70"/>
      <c r="IF695" s="70"/>
      <c r="IG695" s="70"/>
      <c r="IH695" s="70"/>
      <c r="II695" s="70"/>
      <c r="IJ695" s="70"/>
      <c r="IK695" s="70"/>
      <c r="IL695" s="70"/>
      <c r="IM695" s="70"/>
      <c r="IN695" s="70"/>
      <c r="IO695" s="70"/>
      <c r="IP695" s="70"/>
      <c r="IQ695" s="70"/>
      <c r="IR695" s="70"/>
      <c r="IS695" s="70"/>
      <c r="IT695" s="70"/>
      <c r="IU695" s="70"/>
      <c r="IV695" s="70"/>
    </row>
    <row r="696" spans="1:256" s="207" customFormat="1" x14ac:dyDescent="0.2">
      <c r="A696" s="2434" t="s">
        <v>2460</v>
      </c>
      <c r="B696" s="651"/>
      <c r="C696" s="236"/>
      <c r="G696" s="234"/>
      <c r="H696" s="236"/>
      <c r="I696" s="973"/>
      <c r="J696" s="847"/>
      <c r="K696" s="847"/>
      <c r="L696" s="847"/>
      <c r="M696" s="661"/>
      <c r="N696" s="973"/>
      <c r="O696" s="847"/>
      <c r="P696" s="847"/>
      <c r="Q696" s="847"/>
      <c r="R696" s="661"/>
      <c r="S696" s="973"/>
      <c r="T696" s="847"/>
      <c r="U696" s="847"/>
      <c r="V696" s="847"/>
      <c r="W696" s="661"/>
      <c r="X696" s="973"/>
      <c r="Y696" s="847"/>
      <c r="Z696" s="847"/>
      <c r="AA696" s="847"/>
      <c r="AB696" s="661"/>
      <c r="AC696" s="973"/>
      <c r="AD696" s="847"/>
      <c r="AE696" s="847"/>
      <c r="AF696" s="847"/>
      <c r="AG696" s="661"/>
      <c r="AH696" s="973"/>
      <c r="AI696" s="847"/>
      <c r="AJ696" s="847"/>
      <c r="AK696" s="847"/>
      <c r="AL696" s="661"/>
      <c r="AM696" s="973"/>
      <c r="AN696" s="847"/>
      <c r="AO696" s="847"/>
      <c r="AP696" s="847"/>
      <c r="AQ696" s="661"/>
      <c r="AR696" s="973"/>
      <c r="AS696" s="847"/>
      <c r="AT696" s="847"/>
      <c r="AU696" s="847"/>
      <c r="AV696" s="661"/>
      <c r="AW696" s="973"/>
      <c r="AX696" s="847"/>
      <c r="AY696" s="847"/>
      <c r="AZ696" s="847"/>
      <c r="BA696" s="661"/>
      <c r="BB696" s="973"/>
      <c r="BC696" s="847"/>
      <c r="BD696" s="847"/>
      <c r="BE696" s="847"/>
      <c r="BF696" s="661"/>
      <c r="BG696" s="847"/>
      <c r="BH696" s="847"/>
      <c r="BI696" s="847"/>
      <c r="BJ696" s="847"/>
      <c r="BK696" s="661"/>
      <c r="BL696" s="847"/>
      <c r="BM696" s="847"/>
      <c r="BN696" s="847"/>
      <c r="BO696" s="847"/>
      <c r="BP696" s="661"/>
      <c r="BQ696" s="847"/>
      <c r="BR696" s="847"/>
      <c r="BS696" s="847"/>
      <c r="BT696" s="847"/>
      <c r="BU696" s="661"/>
      <c r="BV696" s="847"/>
      <c r="BW696" s="847"/>
      <c r="BX696" s="847"/>
      <c r="BY696" s="847"/>
      <c r="BZ696" s="661"/>
      <c r="CA696" s="847"/>
      <c r="CB696" s="847"/>
      <c r="CC696" s="847"/>
      <c r="CD696" s="847"/>
      <c r="CE696" s="661"/>
      <c r="CF696" s="847"/>
      <c r="CG696" s="2349"/>
      <c r="CH696" s="2349">
        <f t="shared" ref="CH696:CV696" si="973">CH595+CH629+CH662</f>
        <v>23908</v>
      </c>
      <c r="CI696" s="2349">
        <f t="shared" si="973"/>
        <v>23825</v>
      </c>
      <c r="CJ696" s="2293">
        <f t="shared" si="973"/>
        <v>23825</v>
      </c>
      <c r="CK696" s="2350">
        <f t="shared" si="968"/>
        <v>24065</v>
      </c>
      <c r="CL696" s="2349">
        <f t="shared" si="973"/>
        <v>24065</v>
      </c>
      <c r="CM696" s="2349">
        <f t="shared" si="973"/>
        <v>24222</v>
      </c>
      <c r="CN696" s="2349">
        <f t="shared" si="973"/>
        <v>24723</v>
      </c>
      <c r="CO696" s="2293">
        <f t="shared" si="973"/>
        <v>24723</v>
      </c>
      <c r="CP696" s="1261">
        <f t="shared" si="966"/>
        <v>25361.640000000003</v>
      </c>
      <c r="CQ696" s="1261">
        <f t="shared" si="966"/>
        <v>25575.000000000004</v>
      </c>
      <c r="CR696" s="1261">
        <f t="shared" si="966"/>
        <v>25795.98</v>
      </c>
      <c r="CS696" s="1261">
        <f t="shared" si="966"/>
        <v>26327.040000000001</v>
      </c>
      <c r="CT696" s="2293">
        <f t="shared" si="966"/>
        <v>26327.040000000001</v>
      </c>
      <c r="CU696" s="2349">
        <f t="shared" si="973"/>
        <v>27862.7068</v>
      </c>
      <c r="CV696" s="2293">
        <f t="shared" si="973"/>
        <v>28514.216506000004</v>
      </c>
      <c r="CW696" s="2481"/>
      <c r="CX696" s="2481"/>
      <c r="CY696" s="2481"/>
      <c r="CZ696" s="2481"/>
      <c r="DA696" s="2481"/>
      <c r="DB696" s="217"/>
      <c r="DC696" s="212"/>
      <c r="DD696" s="212"/>
      <c r="DE696" s="70"/>
      <c r="DF696" s="70"/>
      <c r="DG696" s="70"/>
      <c r="DH696" s="70"/>
      <c r="DI696" s="70"/>
      <c r="DJ696" s="70"/>
      <c r="DK696" s="70"/>
      <c r="DL696" s="70"/>
      <c r="DM696" s="70"/>
      <c r="DN696" s="70"/>
      <c r="DO696" s="70"/>
      <c r="DP696" s="70"/>
      <c r="DQ696" s="70"/>
      <c r="DR696" s="70"/>
      <c r="DS696" s="70"/>
      <c r="DT696" s="70"/>
      <c r="DU696" s="70"/>
      <c r="DV696" s="70"/>
      <c r="DW696" s="70"/>
      <c r="DX696" s="70"/>
      <c r="DY696" s="70"/>
      <c r="DZ696" s="70"/>
      <c r="EA696" s="70"/>
      <c r="EB696" s="70"/>
      <c r="EC696" s="70"/>
      <c r="ED696" s="70"/>
      <c r="EE696" s="70"/>
      <c r="EF696" s="70"/>
      <c r="EG696" s="70"/>
      <c r="EH696" s="70"/>
      <c r="EI696" s="70"/>
      <c r="EJ696" s="70"/>
      <c r="EK696" s="70"/>
      <c r="EL696" s="70"/>
      <c r="EM696" s="70"/>
      <c r="EN696" s="70"/>
      <c r="EO696" s="70"/>
      <c r="EP696" s="70"/>
      <c r="EQ696" s="70"/>
      <c r="ER696" s="70"/>
      <c r="ES696" s="70"/>
      <c r="ET696" s="70"/>
      <c r="EU696" s="70"/>
      <c r="EV696" s="70"/>
      <c r="EW696" s="70"/>
      <c r="EX696" s="70"/>
      <c r="EY696" s="70"/>
      <c r="EZ696" s="70"/>
      <c r="FA696" s="70"/>
      <c r="FB696" s="70"/>
      <c r="FC696" s="70"/>
      <c r="FD696" s="70"/>
      <c r="FE696" s="70"/>
      <c r="FF696" s="70"/>
      <c r="FG696" s="70"/>
      <c r="FH696" s="70"/>
      <c r="FI696" s="70"/>
      <c r="FJ696" s="70"/>
      <c r="FK696" s="70"/>
      <c r="FL696" s="70"/>
      <c r="FM696" s="70"/>
      <c r="FN696" s="70"/>
      <c r="FO696" s="70"/>
      <c r="FP696" s="70"/>
      <c r="FQ696" s="70"/>
      <c r="FR696" s="70"/>
      <c r="FS696" s="70"/>
      <c r="FT696" s="70"/>
      <c r="FU696" s="70"/>
      <c r="FV696" s="70"/>
      <c r="FW696" s="70"/>
      <c r="FX696" s="70"/>
      <c r="FY696" s="70"/>
      <c r="FZ696" s="70"/>
      <c r="GA696" s="70"/>
      <c r="GB696" s="70"/>
      <c r="GC696" s="70"/>
      <c r="GD696" s="70"/>
      <c r="GE696" s="70"/>
      <c r="GF696" s="70"/>
      <c r="GG696" s="70"/>
      <c r="GH696" s="70"/>
      <c r="GI696" s="70"/>
      <c r="GJ696" s="70"/>
      <c r="GK696" s="70"/>
      <c r="GL696" s="70"/>
      <c r="GM696" s="70"/>
      <c r="GN696" s="70"/>
      <c r="GO696" s="70"/>
      <c r="GP696" s="70"/>
      <c r="GQ696" s="70"/>
      <c r="GR696" s="70"/>
      <c r="GS696" s="70"/>
      <c r="GT696" s="70"/>
      <c r="GU696" s="70"/>
      <c r="GV696" s="70"/>
      <c r="GW696" s="70"/>
      <c r="GX696" s="70"/>
      <c r="GY696" s="70"/>
      <c r="GZ696" s="70"/>
      <c r="HA696" s="70"/>
      <c r="HB696" s="70"/>
      <c r="HC696" s="70"/>
      <c r="HD696" s="70"/>
      <c r="HE696" s="70"/>
      <c r="HF696" s="70"/>
      <c r="HG696" s="70"/>
      <c r="HH696" s="70"/>
      <c r="HI696" s="70"/>
      <c r="HJ696" s="70"/>
      <c r="HK696" s="70"/>
      <c r="HL696" s="70"/>
      <c r="HM696" s="70"/>
      <c r="HN696" s="70"/>
      <c r="HO696" s="70"/>
      <c r="HP696" s="70"/>
      <c r="HQ696" s="70"/>
      <c r="HR696" s="70"/>
      <c r="HS696" s="70"/>
      <c r="HT696" s="70"/>
      <c r="HU696" s="70"/>
      <c r="HV696" s="70"/>
      <c r="HW696" s="70"/>
      <c r="HX696" s="70"/>
      <c r="HY696" s="70"/>
      <c r="HZ696" s="70"/>
      <c r="IA696" s="70"/>
      <c r="IB696" s="70"/>
      <c r="IC696" s="70"/>
      <c r="ID696" s="70"/>
      <c r="IE696" s="70"/>
      <c r="IF696" s="70"/>
      <c r="IG696" s="70"/>
      <c r="IH696" s="70"/>
      <c r="II696" s="70"/>
      <c r="IJ696" s="70"/>
      <c r="IK696" s="70"/>
      <c r="IL696" s="70"/>
      <c r="IM696" s="70"/>
      <c r="IN696" s="70"/>
      <c r="IO696" s="70"/>
      <c r="IP696" s="70"/>
      <c r="IQ696" s="70"/>
      <c r="IR696" s="70"/>
      <c r="IS696" s="70"/>
      <c r="IT696" s="70"/>
      <c r="IU696" s="70"/>
      <c r="IV696" s="70"/>
    </row>
    <row r="697" spans="1:256" s="207" customFormat="1" x14ac:dyDescent="0.2">
      <c r="A697" s="2434" t="s">
        <v>2464</v>
      </c>
      <c r="B697" s="651"/>
      <c r="C697" s="236"/>
      <c r="G697" s="234"/>
      <c r="H697" s="236"/>
      <c r="I697" s="973"/>
      <c r="J697" s="847"/>
      <c r="K697" s="847"/>
      <c r="L697" s="847"/>
      <c r="M697" s="661"/>
      <c r="N697" s="973"/>
      <c r="O697" s="847"/>
      <c r="P697" s="847"/>
      <c r="Q697" s="847"/>
      <c r="R697" s="661"/>
      <c r="S697" s="973"/>
      <c r="T697" s="847"/>
      <c r="U697" s="847"/>
      <c r="V697" s="847"/>
      <c r="W697" s="661"/>
      <c r="X697" s="973"/>
      <c r="Y697" s="847"/>
      <c r="Z697" s="847"/>
      <c r="AA697" s="847"/>
      <c r="AB697" s="661"/>
      <c r="AC697" s="973"/>
      <c r="AD697" s="847"/>
      <c r="AE697" s="847"/>
      <c r="AF697" s="847"/>
      <c r="AG697" s="661"/>
      <c r="AH697" s="973"/>
      <c r="AI697" s="847"/>
      <c r="AJ697" s="847"/>
      <c r="AK697" s="847"/>
      <c r="AL697" s="661"/>
      <c r="AM697" s="973"/>
      <c r="AN697" s="847"/>
      <c r="AO697" s="847"/>
      <c r="AP697" s="847"/>
      <c r="AQ697" s="661"/>
      <c r="AR697" s="973"/>
      <c r="AS697" s="847"/>
      <c r="AT697" s="847"/>
      <c r="AU697" s="847"/>
      <c r="AV697" s="661"/>
      <c r="AW697" s="973"/>
      <c r="AX697" s="847"/>
      <c r="AY697" s="847"/>
      <c r="AZ697" s="847"/>
      <c r="BA697" s="661"/>
      <c r="BB697" s="973"/>
      <c r="BC697" s="847"/>
      <c r="BD697" s="847"/>
      <c r="BE697" s="847"/>
      <c r="BF697" s="661"/>
      <c r="BG697" s="847"/>
      <c r="BH697" s="847"/>
      <c r="BI697" s="847"/>
      <c r="BJ697" s="847"/>
      <c r="BK697" s="661"/>
      <c r="BL697" s="847"/>
      <c r="BM697" s="847"/>
      <c r="BN697" s="847"/>
      <c r="BO697" s="847"/>
      <c r="BP697" s="661"/>
      <c r="BQ697" s="847"/>
      <c r="BR697" s="847"/>
      <c r="BS697" s="847"/>
      <c r="BT697" s="847"/>
      <c r="BU697" s="661"/>
      <c r="BV697" s="847"/>
      <c r="BW697" s="847"/>
      <c r="BX697" s="847"/>
      <c r="BY697" s="847"/>
      <c r="BZ697" s="661"/>
      <c r="CA697" s="847"/>
      <c r="CB697" s="847"/>
      <c r="CC697" s="847"/>
      <c r="CD697" s="847"/>
      <c r="CE697" s="661"/>
      <c r="CF697" s="847"/>
      <c r="CG697" s="2349"/>
      <c r="CH697" s="2349">
        <f t="shared" ref="CH697:CV697" si="974">CH596+CH630+CH663</f>
        <v>7466</v>
      </c>
      <c r="CI697" s="2349">
        <f t="shared" si="974"/>
        <v>7619</v>
      </c>
      <c r="CJ697" s="2293">
        <f t="shared" si="974"/>
        <v>7619</v>
      </c>
      <c r="CK697" s="2350">
        <f t="shared" si="968"/>
        <v>8134</v>
      </c>
      <c r="CL697" s="2349">
        <f t="shared" si="974"/>
        <v>8546</v>
      </c>
      <c r="CM697" s="2349">
        <f t="shared" si="974"/>
        <v>8654</v>
      </c>
      <c r="CN697" s="2349">
        <f t="shared" si="974"/>
        <v>8834</v>
      </c>
      <c r="CO697" s="2293">
        <f t="shared" si="974"/>
        <v>8834</v>
      </c>
      <c r="CP697" s="1261">
        <f t="shared" si="966"/>
        <v>8598.4500000000007</v>
      </c>
      <c r="CQ697" s="1261">
        <f t="shared" si="966"/>
        <v>9097.32</v>
      </c>
      <c r="CR697" s="1261">
        <f t="shared" si="966"/>
        <v>9231.08</v>
      </c>
      <c r="CS697" s="1261">
        <f t="shared" si="966"/>
        <v>9421.880000000001</v>
      </c>
      <c r="CT697" s="2293">
        <f t="shared" si="966"/>
        <v>9421.880000000001</v>
      </c>
      <c r="CU697" s="2349">
        <f t="shared" si="974"/>
        <v>9982.1137999999992</v>
      </c>
      <c r="CV697" s="2293">
        <f t="shared" si="974"/>
        <v>10226.938756</v>
      </c>
      <c r="CW697" s="2481"/>
      <c r="CX697" s="2481"/>
      <c r="CY697" s="2481"/>
      <c r="CZ697" s="2481"/>
      <c r="DA697" s="2481"/>
      <c r="DB697" s="217"/>
      <c r="DC697" s="212"/>
      <c r="DD697" s="212"/>
      <c r="DE697" s="70"/>
      <c r="DF697" s="70"/>
      <c r="DG697" s="70"/>
      <c r="DH697" s="70"/>
      <c r="DI697" s="70"/>
      <c r="DJ697" s="70"/>
      <c r="DK697" s="70"/>
      <c r="DL697" s="70"/>
      <c r="DM697" s="70"/>
      <c r="DN697" s="70"/>
      <c r="DO697" s="70"/>
      <c r="DP697" s="70"/>
      <c r="DQ697" s="70"/>
      <c r="DR697" s="70"/>
      <c r="DS697" s="70"/>
      <c r="DT697" s="70"/>
      <c r="DU697" s="70"/>
      <c r="DV697" s="70"/>
      <c r="DW697" s="70"/>
      <c r="DX697" s="70"/>
      <c r="DY697" s="70"/>
      <c r="DZ697" s="70"/>
      <c r="EA697" s="70"/>
      <c r="EB697" s="70"/>
      <c r="EC697" s="70"/>
      <c r="ED697" s="70"/>
      <c r="EE697" s="70"/>
      <c r="EF697" s="70"/>
      <c r="EG697" s="70"/>
      <c r="EH697" s="70"/>
      <c r="EI697" s="70"/>
      <c r="EJ697" s="70"/>
      <c r="EK697" s="70"/>
      <c r="EL697" s="70"/>
      <c r="EM697" s="70"/>
      <c r="EN697" s="70"/>
      <c r="EO697" s="70"/>
      <c r="EP697" s="70"/>
      <c r="EQ697" s="70"/>
      <c r="ER697" s="70"/>
      <c r="ES697" s="70"/>
      <c r="ET697" s="70"/>
      <c r="EU697" s="70"/>
      <c r="EV697" s="70"/>
      <c r="EW697" s="70"/>
      <c r="EX697" s="70"/>
      <c r="EY697" s="70"/>
      <c r="EZ697" s="70"/>
      <c r="FA697" s="70"/>
      <c r="FB697" s="70"/>
      <c r="FC697" s="70"/>
      <c r="FD697" s="70"/>
      <c r="FE697" s="70"/>
      <c r="FF697" s="70"/>
      <c r="FG697" s="70"/>
      <c r="FH697" s="70"/>
      <c r="FI697" s="70"/>
      <c r="FJ697" s="70"/>
      <c r="FK697" s="70"/>
      <c r="FL697" s="70"/>
      <c r="FM697" s="70"/>
      <c r="FN697" s="70"/>
      <c r="FO697" s="70"/>
      <c r="FP697" s="70"/>
      <c r="FQ697" s="70"/>
      <c r="FR697" s="70"/>
      <c r="FS697" s="70"/>
      <c r="FT697" s="70"/>
      <c r="FU697" s="70"/>
      <c r="FV697" s="70"/>
      <c r="FW697" s="70"/>
      <c r="FX697" s="70"/>
      <c r="FY697" s="70"/>
      <c r="FZ697" s="70"/>
      <c r="GA697" s="70"/>
      <c r="GB697" s="70"/>
      <c r="GC697" s="70"/>
      <c r="GD697" s="70"/>
      <c r="GE697" s="70"/>
      <c r="GF697" s="70"/>
      <c r="GG697" s="70"/>
      <c r="GH697" s="70"/>
      <c r="GI697" s="70"/>
      <c r="GJ697" s="70"/>
      <c r="GK697" s="70"/>
      <c r="GL697" s="70"/>
      <c r="GM697" s="70"/>
      <c r="GN697" s="70"/>
      <c r="GO697" s="70"/>
      <c r="GP697" s="70"/>
      <c r="GQ697" s="70"/>
      <c r="GR697" s="70"/>
      <c r="GS697" s="70"/>
      <c r="GT697" s="70"/>
      <c r="GU697" s="70"/>
      <c r="GV697" s="70"/>
      <c r="GW697" s="70"/>
      <c r="GX697" s="70"/>
      <c r="GY697" s="70"/>
      <c r="GZ697" s="70"/>
      <c r="HA697" s="70"/>
      <c r="HB697" s="70"/>
      <c r="HC697" s="70"/>
      <c r="HD697" s="70"/>
      <c r="HE697" s="70"/>
      <c r="HF697" s="70"/>
      <c r="HG697" s="70"/>
      <c r="HH697" s="70"/>
      <c r="HI697" s="70"/>
      <c r="HJ697" s="70"/>
      <c r="HK697" s="70"/>
      <c r="HL697" s="70"/>
      <c r="HM697" s="70"/>
      <c r="HN697" s="70"/>
      <c r="HO697" s="70"/>
      <c r="HP697" s="70"/>
      <c r="HQ697" s="70"/>
      <c r="HR697" s="70"/>
      <c r="HS697" s="70"/>
      <c r="HT697" s="70"/>
      <c r="HU697" s="70"/>
      <c r="HV697" s="70"/>
      <c r="HW697" s="70"/>
      <c r="HX697" s="70"/>
      <c r="HY697" s="70"/>
      <c r="HZ697" s="70"/>
      <c r="IA697" s="70"/>
      <c r="IB697" s="70"/>
      <c r="IC697" s="70"/>
      <c r="ID697" s="70"/>
      <c r="IE697" s="70"/>
      <c r="IF697" s="70"/>
      <c r="IG697" s="70"/>
      <c r="IH697" s="70"/>
      <c r="II697" s="70"/>
      <c r="IJ697" s="70"/>
      <c r="IK697" s="70"/>
      <c r="IL697" s="70"/>
      <c r="IM697" s="70"/>
      <c r="IN697" s="70"/>
      <c r="IO697" s="70"/>
      <c r="IP697" s="70"/>
      <c r="IQ697" s="70"/>
      <c r="IR697" s="70"/>
      <c r="IS697" s="70"/>
      <c r="IT697" s="70"/>
      <c r="IU697" s="70"/>
      <c r="IV697" s="70"/>
    </row>
    <row r="698" spans="1:256" s="207" customFormat="1" x14ac:dyDescent="0.2">
      <c r="A698" s="2434" t="s">
        <v>2462</v>
      </c>
      <c r="B698" s="651"/>
      <c r="C698" s="236"/>
      <c r="G698" s="234"/>
      <c r="H698" s="236"/>
      <c r="I698" s="973"/>
      <c r="J698" s="847"/>
      <c r="K698" s="847"/>
      <c r="L698" s="847"/>
      <c r="M698" s="661"/>
      <c r="N698" s="973"/>
      <c r="O698" s="847"/>
      <c r="P698" s="847"/>
      <c r="Q698" s="847"/>
      <c r="R698" s="661"/>
      <c r="S698" s="973"/>
      <c r="T698" s="847"/>
      <c r="U698" s="847"/>
      <c r="V698" s="847"/>
      <c r="W698" s="661"/>
      <c r="X698" s="973"/>
      <c r="Y698" s="847"/>
      <c r="Z698" s="847"/>
      <c r="AA698" s="847"/>
      <c r="AB698" s="661"/>
      <c r="AC698" s="973"/>
      <c r="AD698" s="847"/>
      <c r="AE698" s="847"/>
      <c r="AF698" s="847"/>
      <c r="AG698" s="661"/>
      <c r="AH698" s="973"/>
      <c r="AI698" s="847"/>
      <c r="AJ698" s="847"/>
      <c r="AK698" s="847"/>
      <c r="AL698" s="661"/>
      <c r="AM698" s="973"/>
      <c r="AN698" s="847"/>
      <c r="AO698" s="847"/>
      <c r="AP698" s="847"/>
      <c r="AQ698" s="661"/>
      <c r="AR698" s="973"/>
      <c r="AS698" s="847"/>
      <c r="AT698" s="847"/>
      <c r="AU698" s="847"/>
      <c r="AV698" s="661"/>
      <c r="AW698" s="973"/>
      <c r="AX698" s="847"/>
      <c r="AY698" s="847"/>
      <c r="AZ698" s="847"/>
      <c r="BA698" s="661"/>
      <c r="BB698" s="973"/>
      <c r="BC698" s="847"/>
      <c r="BD698" s="847"/>
      <c r="BE698" s="847"/>
      <c r="BF698" s="661"/>
      <c r="BG698" s="847"/>
      <c r="BH698" s="847"/>
      <c r="BI698" s="847"/>
      <c r="BJ698" s="847"/>
      <c r="BK698" s="661"/>
      <c r="BL698" s="847"/>
      <c r="BM698" s="847"/>
      <c r="BN698" s="847"/>
      <c r="BO698" s="847"/>
      <c r="BP698" s="661"/>
      <c r="BQ698" s="847"/>
      <c r="BR698" s="847"/>
      <c r="BS698" s="847"/>
      <c r="BT698" s="847"/>
      <c r="BU698" s="661"/>
      <c r="BV698" s="847"/>
      <c r="BW698" s="847"/>
      <c r="BX698" s="847"/>
      <c r="BY698" s="847"/>
      <c r="BZ698" s="661"/>
      <c r="CA698" s="847"/>
      <c r="CB698" s="847"/>
      <c r="CC698" s="847"/>
      <c r="CD698" s="847"/>
      <c r="CE698" s="661"/>
      <c r="CF698" s="847"/>
      <c r="CG698" s="2349"/>
      <c r="CH698" s="2349">
        <f t="shared" ref="CH698:CV698" si="975">CH597+CH631+CH664</f>
        <v>481</v>
      </c>
      <c r="CI698" s="2349">
        <f t="shared" si="975"/>
        <v>481</v>
      </c>
      <c r="CJ698" s="2293">
        <f t="shared" si="975"/>
        <v>481</v>
      </c>
      <c r="CK698" s="2350">
        <f t="shared" si="968"/>
        <v>481</v>
      </c>
      <c r="CL698" s="2349">
        <f t="shared" si="975"/>
        <v>1062</v>
      </c>
      <c r="CM698" s="2349">
        <f t="shared" si="975"/>
        <v>1226</v>
      </c>
      <c r="CN698" s="2349">
        <f t="shared" si="975"/>
        <v>1226</v>
      </c>
      <c r="CO698" s="2293">
        <f t="shared" si="975"/>
        <v>1226</v>
      </c>
      <c r="CP698" s="1261">
        <f t="shared" si="966"/>
        <v>513.84</v>
      </c>
      <c r="CQ698" s="1261">
        <f t="shared" si="966"/>
        <v>1131.58</v>
      </c>
      <c r="CR698" s="1261">
        <f t="shared" si="966"/>
        <v>1308.3499999999999</v>
      </c>
      <c r="CS698" s="1261">
        <f t="shared" si="966"/>
        <v>1308.3499999999999</v>
      </c>
      <c r="CT698" s="2293">
        <f t="shared" si="966"/>
        <v>1308.3499999999999</v>
      </c>
      <c r="CU698" s="2349">
        <f t="shared" si="975"/>
        <v>1386.6966500000001</v>
      </c>
      <c r="CV698" s="2293">
        <f t="shared" si="975"/>
        <v>1421.2970380000002</v>
      </c>
      <c r="CW698" s="2481"/>
      <c r="CX698" s="2481"/>
      <c r="CY698" s="2481"/>
      <c r="CZ698" s="2481"/>
      <c r="DA698" s="2481"/>
      <c r="DB698" s="217"/>
      <c r="DC698" s="212"/>
      <c r="DD698" s="212"/>
      <c r="DE698" s="70"/>
      <c r="DF698" s="70"/>
      <c r="DG698" s="70"/>
      <c r="DH698" s="70"/>
      <c r="DI698" s="70"/>
      <c r="DJ698" s="70"/>
      <c r="DK698" s="70"/>
      <c r="DL698" s="70"/>
      <c r="DM698" s="70"/>
      <c r="DN698" s="70"/>
      <c r="DO698" s="70"/>
      <c r="DP698" s="70"/>
      <c r="DQ698" s="70"/>
      <c r="DR698" s="70"/>
      <c r="DS698" s="70"/>
      <c r="DT698" s="70"/>
      <c r="DU698" s="70"/>
      <c r="DV698" s="70"/>
      <c r="DW698" s="70"/>
      <c r="DX698" s="70"/>
      <c r="DY698" s="70"/>
      <c r="DZ698" s="70"/>
      <c r="EA698" s="70"/>
      <c r="EB698" s="70"/>
      <c r="EC698" s="70"/>
      <c r="ED698" s="70"/>
      <c r="EE698" s="70"/>
      <c r="EF698" s="70"/>
      <c r="EG698" s="70"/>
      <c r="EH698" s="70"/>
      <c r="EI698" s="70"/>
      <c r="EJ698" s="70"/>
      <c r="EK698" s="70"/>
      <c r="EL698" s="70"/>
      <c r="EM698" s="70"/>
      <c r="EN698" s="70"/>
      <c r="EO698" s="70"/>
      <c r="EP698" s="70"/>
      <c r="EQ698" s="70"/>
      <c r="ER698" s="70"/>
      <c r="ES698" s="70"/>
      <c r="ET698" s="70"/>
      <c r="EU698" s="70"/>
      <c r="EV698" s="70"/>
      <c r="EW698" s="70"/>
      <c r="EX698" s="70"/>
      <c r="EY698" s="70"/>
      <c r="EZ698" s="70"/>
      <c r="FA698" s="70"/>
      <c r="FB698" s="70"/>
      <c r="FC698" s="70"/>
      <c r="FD698" s="70"/>
      <c r="FE698" s="70"/>
      <c r="FF698" s="70"/>
      <c r="FG698" s="70"/>
      <c r="FH698" s="70"/>
      <c r="FI698" s="70"/>
      <c r="FJ698" s="70"/>
      <c r="FK698" s="70"/>
      <c r="FL698" s="70"/>
      <c r="FM698" s="70"/>
      <c r="FN698" s="70"/>
      <c r="FO698" s="70"/>
      <c r="FP698" s="70"/>
      <c r="FQ698" s="70"/>
      <c r="FR698" s="70"/>
      <c r="FS698" s="70"/>
      <c r="FT698" s="70"/>
      <c r="FU698" s="70"/>
      <c r="FV698" s="70"/>
      <c r="FW698" s="70"/>
      <c r="FX698" s="70"/>
      <c r="FY698" s="70"/>
      <c r="FZ698" s="70"/>
      <c r="GA698" s="70"/>
      <c r="GB698" s="70"/>
      <c r="GC698" s="70"/>
      <c r="GD698" s="70"/>
      <c r="GE698" s="70"/>
      <c r="GF698" s="70"/>
      <c r="GG698" s="70"/>
      <c r="GH698" s="70"/>
      <c r="GI698" s="70"/>
      <c r="GJ698" s="70"/>
      <c r="GK698" s="70"/>
      <c r="GL698" s="70"/>
      <c r="GM698" s="70"/>
      <c r="GN698" s="70"/>
      <c r="GO698" s="70"/>
      <c r="GP698" s="70"/>
      <c r="GQ698" s="70"/>
      <c r="GR698" s="70"/>
      <c r="GS698" s="70"/>
      <c r="GT698" s="70"/>
      <c r="GU698" s="70"/>
      <c r="GV698" s="70"/>
      <c r="GW698" s="70"/>
      <c r="GX698" s="70"/>
      <c r="GY698" s="70"/>
      <c r="GZ698" s="70"/>
      <c r="HA698" s="70"/>
      <c r="HB698" s="70"/>
      <c r="HC698" s="70"/>
      <c r="HD698" s="70"/>
      <c r="HE698" s="70"/>
      <c r="HF698" s="70"/>
      <c r="HG698" s="70"/>
      <c r="HH698" s="70"/>
      <c r="HI698" s="70"/>
      <c r="HJ698" s="70"/>
      <c r="HK698" s="70"/>
      <c r="HL698" s="70"/>
      <c r="HM698" s="70"/>
      <c r="HN698" s="70"/>
      <c r="HO698" s="70"/>
      <c r="HP698" s="70"/>
      <c r="HQ698" s="70"/>
      <c r="HR698" s="70"/>
      <c r="HS698" s="70"/>
      <c r="HT698" s="70"/>
      <c r="HU698" s="70"/>
      <c r="HV698" s="70"/>
      <c r="HW698" s="70"/>
      <c r="HX698" s="70"/>
      <c r="HY698" s="70"/>
      <c r="HZ698" s="70"/>
      <c r="IA698" s="70"/>
      <c r="IB698" s="70"/>
      <c r="IC698" s="70"/>
      <c r="ID698" s="70"/>
      <c r="IE698" s="70"/>
      <c r="IF698" s="70"/>
      <c r="IG698" s="70"/>
      <c r="IH698" s="70"/>
      <c r="II698" s="70"/>
      <c r="IJ698" s="70"/>
      <c r="IK698" s="70"/>
      <c r="IL698" s="70"/>
      <c r="IM698" s="70"/>
      <c r="IN698" s="70"/>
      <c r="IO698" s="70"/>
      <c r="IP698" s="70"/>
      <c r="IQ698" s="70"/>
      <c r="IR698" s="70"/>
      <c r="IS698" s="70"/>
      <c r="IT698" s="70"/>
      <c r="IU698" s="70"/>
      <c r="IV698" s="70"/>
    </row>
    <row r="699" spans="1:256" s="207" customFormat="1" x14ac:dyDescent="0.2">
      <c r="A699" s="2434" t="s">
        <v>2463</v>
      </c>
      <c r="B699" s="651"/>
      <c r="C699" s="236"/>
      <c r="G699" s="234"/>
      <c r="H699" s="236"/>
      <c r="I699" s="973"/>
      <c r="J699" s="847"/>
      <c r="K699" s="847"/>
      <c r="L699" s="847"/>
      <c r="M699" s="661"/>
      <c r="N699" s="973"/>
      <c r="O699" s="847"/>
      <c r="P699" s="847"/>
      <c r="Q699" s="847"/>
      <c r="R699" s="661"/>
      <c r="S699" s="973"/>
      <c r="T699" s="847"/>
      <c r="U699" s="847"/>
      <c r="V699" s="847"/>
      <c r="W699" s="661"/>
      <c r="X699" s="973"/>
      <c r="Y699" s="847"/>
      <c r="Z699" s="847"/>
      <c r="AA699" s="847"/>
      <c r="AB699" s="661"/>
      <c r="AC699" s="973"/>
      <c r="AD699" s="847"/>
      <c r="AE699" s="847"/>
      <c r="AF699" s="847"/>
      <c r="AG699" s="661"/>
      <c r="AH699" s="973"/>
      <c r="AI699" s="847"/>
      <c r="AJ699" s="847"/>
      <c r="AK699" s="847"/>
      <c r="AL699" s="661"/>
      <c r="AM699" s="973"/>
      <c r="AN699" s="847"/>
      <c r="AO699" s="847"/>
      <c r="AP699" s="847"/>
      <c r="AQ699" s="661"/>
      <c r="AR699" s="973"/>
      <c r="AS699" s="847"/>
      <c r="AT699" s="847"/>
      <c r="AU699" s="847"/>
      <c r="AV699" s="661"/>
      <c r="AW699" s="973"/>
      <c r="AX699" s="847"/>
      <c r="AY699" s="847"/>
      <c r="AZ699" s="847"/>
      <c r="BA699" s="661"/>
      <c r="BB699" s="973"/>
      <c r="BC699" s="847"/>
      <c r="BD699" s="847"/>
      <c r="BE699" s="847"/>
      <c r="BF699" s="661"/>
      <c r="BG699" s="847"/>
      <c r="BH699" s="847"/>
      <c r="BI699" s="847"/>
      <c r="BJ699" s="847"/>
      <c r="BK699" s="661"/>
      <c r="BL699" s="847"/>
      <c r="BM699" s="847"/>
      <c r="BN699" s="847"/>
      <c r="BO699" s="847"/>
      <c r="BP699" s="661"/>
      <c r="BQ699" s="847"/>
      <c r="BR699" s="847"/>
      <c r="BS699" s="847"/>
      <c r="BT699" s="847"/>
      <c r="BU699" s="661"/>
      <c r="BV699" s="847"/>
      <c r="BW699" s="847"/>
      <c r="BX699" s="847"/>
      <c r="BY699" s="847"/>
      <c r="BZ699" s="661"/>
      <c r="CA699" s="847"/>
      <c r="CB699" s="847"/>
      <c r="CC699" s="847"/>
      <c r="CD699" s="847"/>
      <c r="CE699" s="661"/>
      <c r="CF699" s="847"/>
      <c r="CG699" s="2349"/>
      <c r="CH699" s="2349">
        <f t="shared" ref="CH699:CV699" si="976">CH598+CH632+CH665</f>
        <v>556</v>
      </c>
      <c r="CI699" s="2349">
        <f t="shared" si="976"/>
        <v>797</v>
      </c>
      <c r="CJ699" s="2293">
        <f t="shared" si="976"/>
        <v>797</v>
      </c>
      <c r="CK699" s="2350">
        <f t="shared" si="968"/>
        <v>1030</v>
      </c>
      <c r="CL699" s="2349">
        <f t="shared" si="976"/>
        <v>1030</v>
      </c>
      <c r="CM699" s="2349">
        <f t="shared" si="976"/>
        <v>1356</v>
      </c>
      <c r="CN699" s="2349">
        <f t="shared" si="976"/>
        <v>1346</v>
      </c>
      <c r="CO699" s="2293">
        <f t="shared" si="976"/>
        <v>1346</v>
      </c>
      <c r="CP699" s="1261">
        <f t="shared" si="966"/>
        <v>1096.95</v>
      </c>
      <c r="CQ699" s="1261">
        <f t="shared" si="966"/>
        <v>1102.0999999999999</v>
      </c>
      <c r="CR699" s="1261">
        <f t="shared" si="966"/>
        <v>1461.27</v>
      </c>
      <c r="CS699" s="1261">
        <f t="shared" si="966"/>
        <v>1450.3700000000001</v>
      </c>
      <c r="CT699" s="2293">
        <f t="shared" si="966"/>
        <v>1450.3700000000001</v>
      </c>
      <c r="CU699" s="2349">
        <f t="shared" si="976"/>
        <v>1547.2969499999999</v>
      </c>
      <c r="CV699" s="2293">
        <f t="shared" si="976"/>
        <v>1596.6862340000002</v>
      </c>
      <c r="CW699" s="2481"/>
      <c r="CX699" s="2481"/>
      <c r="CY699" s="2481"/>
      <c r="CZ699" s="2481"/>
      <c r="DA699" s="2481"/>
      <c r="DB699" s="217"/>
      <c r="DC699" s="212"/>
      <c r="DD699" s="212"/>
      <c r="DE699" s="70"/>
      <c r="DF699" s="70"/>
      <c r="DG699" s="70"/>
      <c r="DH699" s="70"/>
      <c r="DI699" s="70"/>
      <c r="DJ699" s="70"/>
      <c r="DK699" s="70"/>
      <c r="DL699" s="70"/>
      <c r="DM699" s="70"/>
      <c r="DN699" s="70"/>
      <c r="DO699" s="70"/>
      <c r="DP699" s="70"/>
      <c r="DQ699" s="70"/>
      <c r="DR699" s="70"/>
      <c r="DS699" s="70"/>
      <c r="DT699" s="70"/>
      <c r="DU699" s="70"/>
      <c r="DV699" s="70"/>
      <c r="DW699" s="70"/>
      <c r="DX699" s="70"/>
      <c r="DY699" s="70"/>
      <c r="DZ699" s="70"/>
      <c r="EA699" s="70"/>
      <c r="EB699" s="70"/>
      <c r="EC699" s="70"/>
      <c r="ED699" s="70"/>
      <c r="EE699" s="70"/>
      <c r="EF699" s="70"/>
      <c r="EG699" s="70"/>
      <c r="EH699" s="70"/>
      <c r="EI699" s="70"/>
      <c r="EJ699" s="70"/>
      <c r="EK699" s="70"/>
      <c r="EL699" s="70"/>
      <c r="EM699" s="70"/>
      <c r="EN699" s="70"/>
      <c r="EO699" s="70"/>
      <c r="EP699" s="70"/>
      <c r="EQ699" s="70"/>
      <c r="ER699" s="70"/>
      <c r="ES699" s="70"/>
      <c r="ET699" s="70"/>
      <c r="EU699" s="70"/>
      <c r="EV699" s="70"/>
      <c r="EW699" s="70"/>
      <c r="EX699" s="70"/>
      <c r="EY699" s="70"/>
      <c r="EZ699" s="70"/>
      <c r="FA699" s="70"/>
      <c r="FB699" s="70"/>
      <c r="FC699" s="70"/>
      <c r="FD699" s="70"/>
      <c r="FE699" s="70"/>
      <c r="FF699" s="70"/>
      <c r="FG699" s="70"/>
      <c r="FH699" s="70"/>
      <c r="FI699" s="70"/>
      <c r="FJ699" s="70"/>
      <c r="FK699" s="70"/>
      <c r="FL699" s="70"/>
      <c r="FM699" s="70"/>
      <c r="FN699" s="70"/>
      <c r="FO699" s="70"/>
      <c r="FP699" s="70"/>
      <c r="FQ699" s="70"/>
      <c r="FR699" s="70"/>
      <c r="FS699" s="70"/>
      <c r="FT699" s="70"/>
      <c r="FU699" s="70"/>
      <c r="FV699" s="70"/>
      <c r="FW699" s="70"/>
      <c r="FX699" s="70"/>
      <c r="FY699" s="70"/>
      <c r="FZ699" s="70"/>
      <c r="GA699" s="70"/>
      <c r="GB699" s="70"/>
      <c r="GC699" s="70"/>
      <c r="GD699" s="70"/>
      <c r="GE699" s="70"/>
      <c r="GF699" s="70"/>
      <c r="GG699" s="70"/>
      <c r="GH699" s="70"/>
      <c r="GI699" s="70"/>
      <c r="GJ699" s="70"/>
      <c r="GK699" s="70"/>
      <c r="GL699" s="70"/>
      <c r="GM699" s="70"/>
      <c r="GN699" s="70"/>
      <c r="GO699" s="70"/>
      <c r="GP699" s="70"/>
      <c r="GQ699" s="70"/>
      <c r="GR699" s="70"/>
      <c r="GS699" s="70"/>
      <c r="GT699" s="70"/>
      <c r="GU699" s="70"/>
      <c r="GV699" s="70"/>
      <c r="GW699" s="70"/>
      <c r="GX699" s="70"/>
      <c r="GY699" s="70"/>
      <c r="GZ699" s="70"/>
      <c r="HA699" s="70"/>
      <c r="HB699" s="70"/>
      <c r="HC699" s="70"/>
      <c r="HD699" s="70"/>
      <c r="HE699" s="70"/>
      <c r="HF699" s="70"/>
      <c r="HG699" s="70"/>
      <c r="HH699" s="70"/>
      <c r="HI699" s="70"/>
      <c r="HJ699" s="70"/>
      <c r="HK699" s="70"/>
      <c r="HL699" s="70"/>
      <c r="HM699" s="70"/>
      <c r="HN699" s="70"/>
      <c r="HO699" s="70"/>
      <c r="HP699" s="70"/>
      <c r="HQ699" s="70"/>
      <c r="HR699" s="70"/>
      <c r="HS699" s="70"/>
      <c r="HT699" s="70"/>
      <c r="HU699" s="70"/>
      <c r="HV699" s="70"/>
      <c r="HW699" s="70"/>
      <c r="HX699" s="70"/>
      <c r="HY699" s="70"/>
      <c r="HZ699" s="70"/>
      <c r="IA699" s="70"/>
      <c r="IB699" s="70"/>
      <c r="IC699" s="70"/>
      <c r="ID699" s="70"/>
      <c r="IE699" s="70"/>
      <c r="IF699" s="70"/>
      <c r="IG699" s="70"/>
      <c r="IH699" s="70"/>
      <c r="II699" s="70"/>
      <c r="IJ699" s="70"/>
      <c r="IK699" s="70"/>
      <c r="IL699" s="70"/>
      <c r="IM699" s="70"/>
      <c r="IN699" s="70"/>
      <c r="IO699" s="70"/>
      <c r="IP699" s="70"/>
      <c r="IQ699" s="70"/>
      <c r="IR699" s="70"/>
      <c r="IS699" s="70"/>
      <c r="IT699" s="70"/>
      <c r="IU699" s="70"/>
      <c r="IV699" s="70"/>
    </row>
    <row r="700" spans="1:256" x14ac:dyDescent="0.2">
      <c r="A700" s="1264" t="s">
        <v>1931</v>
      </c>
      <c r="B700" s="651"/>
      <c r="C700" s="236"/>
      <c r="D700" s="207"/>
      <c r="E700" s="207"/>
      <c r="F700" s="207"/>
      <c r="G700" s="234"/>
      <c r="H700" s="236"/>
      <c r="I700" s="973">
        <v>0</v>
      </c>
      <c r="J700" s="847">
        <v>0</v>
      </c>
      <c r="K700" s="847">
        <v>0</v>
      </c>
      <c r="L700" s="847">
        <v>0</v>
      </c>
      <c r="M700" s="661">
        <v>0</v>
      </c>
      <c r="N700" s="973">
        <v>0</v>
      </c>
      <c r="O700" s="847">
        <v>0</v>
      </c>
      <c r="P700" s="847">
        <v>0</v>
      </c>
      <c r="Q700" s="847">
        <v>0</v>
      </c>
      <c r="R700" s="661">
        <v>0</v>
      </c>
      <c r="S700" s="973">
        <v>0</v>
      </c>
      <c r="T700" s="847">
        <v>0</v>
      </c>
      <c r="U700" s="847">
        <v>0</v>
      </c>
      <c r="V700" s="847">
        <v>0</v>
      </c>
      <c r="W700" s="661">
        <v>0</v>
      </c>
      <c r="X700" s="973">
        <v>0</v>
      </c>
      <c r="Y700" s="847">
        <v>0</v>
      </c>
      <c r="Z700" s="847">
        <v>0</v>
      </c>
      <c r="AA700" s="847">
        <v>0</v>
      </c>
      <c r="AB700" s="661">
        <v>0</v>
      </c>
      <c r="AC700" s="973">
        <v>0</v>
      </c>
      <c r="AD700" s="847">
        <v>0</v>
      </c>
      <c r="AE700" s="847">
        <v>0</v>
      </c>
      <c r="AF700" s="847">
        <v>0</v>
      </c>
      <c r="AG700" s="661">
        <v>0</v>
      </c>
      <c r="AH700" s="973">
        <v>0</v>
      </c>
      <c r="AI700" s="847">
        <v>0</v>
      </c>
      <c r="AJ700" s="847">
        <v>0</v>
      </c>
      <c r="AK700" s="847">
        <v>0</v>
      </c>
      <c r="AL700" s="661">
        <v>0</v>
      </c>
      <c r="AM700" s="973">
        <v>0</v>
      </c>
      <c r="AN700" s="847">
        <v>0</v>
      </c>
      <c r="AO700" s="847">
        <v>0</v>
      </c>
      <c r="AP700" s="847">
        <v>0</v>
      </c>
      <c r="AQ700" s="661">
        <v>0</v>
      </c>
      <c r="AR700" s="973">
        <v>0</v>
      </c>
      <c r="AS700" s="847">
        <v>0</v>
      </c>
      <c r="AT700" s="847">
        <v>0</v>
      </c>
      <c r="AU700" s="847">
        <v>0</v>
      </c>
      <c r="AV700" s="661">
        <v>0</v>
      </c>
      <c r="AW700" s="973">
        <v>0</v>
      </c>
      <c r="AX700" s="847">
        <v>0</v>
      </c>
      <c r="AY700" s="847">
        <v>0</v>
      </c>
      <c r="AZ700" s="847">
        <v>0</v>
      </c>
      <c r="BA700" s="661">
        <v>0</v>
      </c>
      <c r="BB700" s="973">
        <v>0</v>
      </c>
      <c r="BC700" s="847">
        <v>0</v>
      </c>
      <c r="BD700" s="847">
        <v>0</v>
      </c>
      <c r="BE700" s="847">
        <v>0</v>
      </c>
      <c r="BF700" s="661">
        <v>0</v>
      </c>
      <c r="BG700" s="847">
        <v>0</v>
      </c>
      <c r="BH700" s="847">
        <v>0</v>
      </c>
      <c r="BI700" s="847">
        <v>0</v>
      </c>
      <c r="BJ700" s="847">
        <v>0</v>
      </c>
      <c r="BK700" s="661">
        <v>0</v>
      </c>
      <c r="BL700" s="847">
        <v>0</v>
      </c>
      <c r="BM700" s="847">
        <v>0</v>
      </c>
      <c r="BN700" s="847">
        <v>0</v>
      </c>
      <c r="BO700" s="847">
        <v>0</v>
      </c>
      <c r="BP700" s="661">
        <v>0</v>
      </c>
      <c r="BQ700" s="847">
        <v>0</v>
      </c>
      <c r="BR700" s="847">
        <v>0</v>
      </c>
      <c r="BS700" s="847">
        <v>0</v>
      </c>
      <c r="BT700" s="847">
        <v>0</v>
      </c>
      <c r="BU700" s="661">
        <v>0</v>
      </c>
      <c r="BV700" s="847">
        <v>0</v>
      </c>
      <c r="BW700" s="847">
        <v>0</v>
      </c>
      <c r="BX700" s="847">
        <v>0</v>
      </c>
      <c r="BY700" s="847">
        <v>0</v>
      </c>
      <c r="BZ700" s="661">
        <v>0</v>
      </c>
      <c r="CA700" s="847">
        <v>0</v>
      </c>
      <c r="CB700" s="847">
        <v>0</v>
      </c>
      <c r="CC700" s="847">
        <v>0</v>
      </c>
      <c r="CD700" s="847">
        <v>0</v>
      </c>
      <c r="CE700" s="661">
        <v>0</v>
      </c>
      <c r="CF700" s="847">
        <v>0</v>
      </c>
      <c r="CG700" s="2349"/>
      <c r="CH700" s="2983">
        <f>0+CH599+CH633+CH666</f>
        <v>0</v>
      </c>
      <c r="CI700" s="2349">
        <f>CI599+CI633+CI666</f>
        <v>1118</v>
      </c>
      <c r="CJ700" s="2293">
        <f t="shared" ref="CJ700:CV700" si="977">0+CJ599+CJ633+CJ666</f>
        <v>1118</v>
      </c>
      <c r="CK700" s="2350">
        <f t="shared" si="977"/>
        <v>1118</v>
      </c>
      <c r="CL700" s="2349">
        <f t="shared" si="977"/>
        <v>1436</v>
      </c>
      <c r="CM700" s="2349">
        <f t="shared" si="977"/>
        <v>3074</v>
      </c>
      <c r="CN700" s="2349">
        <f t="shared" si="977"/>
        <v>3543</v>
      </c>
      <c r="CO700" s="2293">
        <f t="shared" si="977"/>
        <v>3543</v>
      </c>
      <c r="CP700" s="1261">
        <f>0+CP599+CP633+CP666</f>
        <v>1173.9000000000001</v>
      </c>
      <c r="CQ700" s="1261">
        <f>0+CQ599+CQ633+CQ666</f>
        <v>1522.16</v>
      </c>
      <c r="CR700" s="1261">
        <f>0+CR599+CR633+CR666</f>
        <v>3260.3600000000006</v>
      </c>
      <c r="CS700" s="1261">
        <f>0+CS599+CS633+CS666</f>
        <v>3767.67</v>
      </c>
      <c r="CT700" s="2293">
        <f>0+CT599+CT633+CT666</f>
        <v>3767.67</v>
      </c>
      <c r="CU700" s="2349">
        <f t="shared" si="977"/>
        <v>3983.6772500000002</v>
      </c>
      <c r="CV700" s="2293">
        <f t="shared" si="977"/>
        <v>4072.7951000000003</v>
      </c>
      <c r="CW700" s="2481"/>
      <c r="CX700" s="2481"/>
      <c r="CY700" s="2481"/>
      <c r="CZ700" s="2481"/>
      <c r="DA700" s="2481"/>
      <c r="DB700" s="217"/>
    </row>
    <row r="701" spans="1:256" s="207" customFormat="1" x14ac:dyDescent="0.2">
      <c r="A701" s="1264" t="s">
        <v>576</v>
      </c>
      <c r="B701" s="651"/>
      <c r="C701" s="236"/>
      <c r="G701" s="234"/>
      <c r="H701" s="236"/>
      <c r="I701" s="973">
        <v>0</v>
      </c>
      <c r="J701" s="847">
        <v>0</v>
      </c>
      <c r="K701" s="847">
        <v>0</v>
      </c>
      <c r="L701" s="847">
        <v>0</v>
      </c>
      <c r="M701" s="661">
        <v>0</v>
      </c>
      <c r="N701" s="973">
        <v>0</v>
      </c>
      <c r="O701" s="847">
        <v>0</v>
      </c>
      <c r="P701" s="847">
        <v>0</v>
      </c>
      <c r="Q701" s="847">
        <v>0</v>
      </c>
      <c r="R701" s="661">
        <v>0</v>
      </c>
      <c r="S701" s="973">
        <v>0</v>
      </c>
      <c r="T701" s="847">
        <v>0</v>
      </c>
      <c r="U701" s="847">
        <v>0</v>
      </c>
      <c r="V701" s="847">
        <v>0</v>
      </c>
      <c r="W701" s="661">
        <v>0</v>
      </c>
      <c r="X701" s="973">
        <v>0</v>
      </c>
      <c r="Y701" s="847">
        <v>0</v>
      </c>
      <c r="Z701" s="847">
        <v>0</v>
      </c>
      <c r="AA701" s="847">
        <v>0</v>
      </c>
      <c r="AB701" s="661">
        <v>0</v>
      </c>
      <c r="AC701" s="973">
        <v>0</v>
      </c>
      <c r="AD701" s="847">
        <v>0</v>
      </c>
      <c r="AE701" s="847">
        <v>0</v>
      </c>
      <c r="AF701" s="847">
        <v>0</v>
      </c>
      <c r="AG701" s="661">
        <v>0</v>
      </c>
      <c r="AH701" s="973">
        <v>0</v>
      </c>
      <c r="AI701" s="847">
        <v>0</v>
      </c>
      <c r="AJ701" s="847">
        <v>0</v>
      </c>
      <c r="AK701" s="847">
        <v>0</v>
      </c>
      <c r="AL701" s="661">
        <v>0</v>
      </c>
      <c r="AM701" s="973">
        <v>0</v>
      </c>
      <c r="AN701" s="847">
        <v>0</v>
      </c>
      <c r="AO701" s="847">
        <v>0</v>
      </c>
      <c r="AP701" s="847">
        <v>0</v>
      </c>
      <c r="AQ701" s="661">
        <v>0</v>
      </c>
      <c r="AR701" s="973">
        <v>0</v>
      </c>
      <c r="AS701" s="847">
        <v>0</v>
      </c>
      <c r="AT701" s="847">
        <v>0</v>
      </c>
      <c r="AU701" s="847">
        <v>0</v>
      </c>
      <c r="AV701" s="661">
        <v>0</v>
      </c>
      <c r="AW701" s="973">
        <v>0</v>
      </c>
      <c r="AX701" s="847">
        <v>0</v>
      </c>
      <c r="AY701" s="847">
        <v>0</v>
      </c>
      <c r="AZ701" s="847">
        <v>0</v>
      </c>
      <c r="BA701" s="661">
        <v>0</v>
      </c>
      <c r="BB701" s="973">
        <v>0</v>
      </c>
      <c r="BC701" s="847">
        <v>0</v>
      </c>
      <c r="BD701" s="847">
        <v>0</v>
      </c>
      <c r="BE701" s="847">
        <v>0</v>
      </c>
      <c r="BF701" s="661">
        <v>0</v>
      </c>
      <c r="BG701" s="847">
        <v>0</v>
      </c>
      <c r="BH701" s="847">
        <v>0</v>
      </c>
      <c r="BI701" s="847">
        <v>0</v>
      </c>
      <c r="BJ701" s="847">
        <v>0</v>
      </c>
      <c r="BK701" s="661">
        <v>0</v>
      </c>
      <c r="BL701" s="847">
        <v>0</v>
      </c>
      <c r="BM701" s="847">
        <v>0</v>
      </c>
      <c r="BN701" s="847">
        <v>0</v>
      </c>
      <c r="BO701" s="847">
        <v>0</v>
      </c>
      <c r="BP701" s="661">
        <v>0</v>
      </c>
      <c r="BQ701" s="847">
        <v>0</v>
      </c>
      <c r="BR701" s="847">
        <v>0</v>
      </c>
      <c r="BS701" s="847">
        <v>0</v>
      </c>
      <c r="BT701" s="847">
        <v>0</v>
      </c>
      <c r="BU701" s="661">
        <v>0</v>
      </c>
      <c r="BV701" s="847">
        <v>0</v>
      </c>
      <c r="BW701" s="847">
        <v>0</v>
      </c>
      <c r="BX701" s="847">
        <v>0</v>
      </c>
      <c r="BY701" s="847">
        <v>0</v>
      </c>
      <c r="BZ701" s="661">
        <v>0</v>
      </c>
      <c r="CA701" s="847">
        <v>0</v>
      </c>
      <c r="CB701" s="847">
        <v>0</v>
      </c>
      <c r="CC701" s="847">
        <v>0</v>
      </c>
      <c r="CD701" s="847">
        <v>0</v>
      </c>
      <c r="CE701" s="661">
        <v>0</v>
      </c>
      <c r="CF701" s="847">
        <v>0</v>
      </c>
      <c r="CG701" s="847">
        <v>0</v>
      </c>
      <c r="CH701" s="847">
        <v>0</v>
      </c>
      <c r="CI701" s="2983">
        <v>3575</v>
      </c>
      <c r="CJ701" s="661">
        <f t="shared" ref="CJ701:CV701" si="978">+CI701</f>
        <v>3575</v>
      </c>
      <c r="CK701" s="2982">
        <v>3527</v>
      </c>
      <c r="CL701" s="2982">
        <v>3770</v>
      </c>
      <c r="CM701" s="2982">
        <v>3770</v>
      </c>
      <c r="CN701" s="2982">
        <v>3873</v>
      </c>
      <c r="CO701" s="2293">
        <f t="shared" si="978"/>
        <v>3873</v>
      </c>
      <c r="CP701" s="3432">
        <f t="shared" ref="CP701:CS702" si="979">CO701</f>
        <v>3873</v>
      </c>
      <c r="CQ701" s="3432">
        <f t="shared" si="979"/>
        <v>3873</v>
      </c>
      <c r="CR701" s="3432">
        <f t="shared" si="979"/>
        <v>3873</v>
      </c>
      <c r="CS701" s="3432">
        <f t="shared" si="979"/>
        <v>3873</v>
      </c>
      <c r="CT701" s="2293">
        <f t="shared" si="978"/>
        <v>3873</v>
      </c>
      <c r="CU701" s="3433">
        <f t="shared" si="978"/>
        <v>3873</v>
      </c>
      <c r="CV701" s="3433">
        <f t="shared" si="978"/>
        <v>3873</v>
      </c>
      <c r="CW701" s="2481"/>
      <c r="CX701" s="2481"/>
      <c r="CY701" s="2481"/>
      <c r="CZ701" s="2481"/>
      <c r="DA701" s="2481"/>
      <c r="DB701" s="217"/>
      <c r="DC701" s="212"/>
      <c r="DD701" s="212"/>
      <c r="DE701" s="70"/>
      <c r="DF701" s="70"/>
      <c r="DG701" s="70"/>
      <c r="DH701" s="70"/>
      <c r="DI701" s="70"/>
      <c r="DJ701" s="70"/>
      <c r="DK701" s="70"/>
      <c r="DL701" s="70"/>
      <c r="DM701" s="70"/>
      <c r="DN701" s="70"/>
      <c r="DO701" s="70"/>
      <c r="DP701" s="70"/>
      <c r="DQ701" s="70"/>
      <c r="DR701" s="70"/>
      <c r="DS701" s="70"/>
      <c r="DT701" s="70"/>
      <c r="DU701" s="70"/>
      <c r="DV701" s="70"/>
      <c r="DW701" s="70"/>
      <c r="DX701" s="70"/>
      <c r="DY701" s="70"/>
      <c r="DZ701" s="70"/>
      <c r="EA701" s="70"/>
      <c r="EB701" s="70"/>
      <c r="EC701" s="70"/>
      <c r="ED701" s="70"/>
      <c r="EE701" s="70"/>
      <c r="EF701" s="70"/>
      <c r="EG701" s="70"/>
      <c r="EH701" s="70"/>
      <c r="EI701" s="70"/>
      <c r="EJ701" s="70"/>
      <c r="EK701" s="70"/>
      <c r="EL701" s="70"/>
      <c r="EM701" s="70"/>
      <c r="EN701" s="70"/>
      <c r="EO701" s="70"/>
      <c r="EP701" s="70"/>
      <c r="EQ701" s="70"/>
      <c r="ER701" s="70"/>
      <c r="ES701" s="70"/>
      <c r="ET701" s="70"/>
      <c r="EU701" s="70"/>
      <c r="EV701" s="70"/>
      <c r="EW701" s="70"/>
      <c r="EX701" s="70"/>
      <c r="EY701" s="70"/>
      <c r="EZ701" s="70"/>
      <c r="FA701" s="70"/>
      <c r="FB701" s="70"/>
      <c r="FC701" s="70"/>
      <c r="FD701" s="70"/>
      <c r="FE701" s="70"/>
      <c r="FF701" s="70"/>
      <c r="FG701" s="70"/>
      <c r="FH701" s="70"/>
      <c r="FI701" s="70"/>
      <c r="FJ701" s="70"/>
      <c r="FK701" s="70"/>
      <c r="FL701" s="70"/>
      <c r="FM701" s="70"/>
      <c r="FN701" s="70"/>
      <c r="FO701" s="70"/>
      <c r="FP701" s="70"/>
      <c r="FQ701" s="70"/>
      <c r="FR701" s="70"/>
      <c r="FS701" s="70"/>
      <c r="FT701" s="70"/>
      <c r="FU701" s="70"/>
      <c r="FV701" s="70"/>
      <c r="FW701" s="70"/>
      <c r="FX701" s="70"/>
      <c r="FY701" s="70"/>
      <c r="FZ701" s="70"/>
      <c r="GA701" s="70"/>
      <c r="GB701" s="70"/>
      <c r="GC701" s="70"/>
      <c r="GD701" s="70"/>
      <c r="GE701" s="70"/>
      <c r="GF701" s="70"/>
      <c r="GG701" s="70"/>
      <c r="GH701" s="70"/>
      <c r="GI701" s="70"/>
      <c r="GJ701" s="70"/>
      <c r="GK701" s="70"/>
      <c r="GL701" s="70"/>
      <c r="GM701" s="70"/>
      <c r="GN701" s="70"/>
      <c r="GO701" s="70"/>
      <c r="GP701" s="70"/>
      <c r="GQ701" s="70"/>
      <c r="GR701" s="70"/>
      <c r="GS701" s="70"/>
      <c r="GT701" s="70"/>
      <c r="GU701" s="70"/>
      <c r="GV701" s="70"/>
      <c r="GW701" s="70"/>
      <c r="GX701" s="70"/>
      <c r="GY701" s="70"/>
      <c r="GZ701" s="70"/>
      <c r="HA701" s="70"/>
      <c r="HB701" s="70"/>
      <c r="HC701" s="70"/>
      <c r="HD701" s="70"/>
      <c r="HE701" s="70"/>
      <c r="HF701" s="70"/>
      <c r="HG701" s="70"/>
      <c r="HH701" s="70"/>
      <c r="HI701" s="70"/>
      <c r="HJ701" s="70"/>
      <c r="HK701" s="70"/>
      <c r="HL701" s="70"/>
      <c r="HM701" s="70"/>
      <c r="HN701" s="70"/>
      <c r="HO701" s="70"/>
      <c r="HP701" s="70"/>
      <c r="HQ701" s="70"/>
      <c r="HR701" s="70"/>
      <c r="HS701" s="70"/>
      <c r="HT701" s="70"/>
      <c r="HU701" s="70"/>
      <c r="HV701" s="70"/>
      <c r="HW701" s="70"/>
      <c r="HX701" s="70"/>
      <c r="HY701" s="70"/>
      <c r="HZ701" s="70"/>
      <c r="IA701" s="70"/>
      <c r="IB701" s="70"/>
      <c r="IC701" s="70"/>
      <c r="ID701" s="70"/>
      <c r="IE701" s="70"/>
      <c r="IF701" s="70"/>
      <c r="IG701" s="70"/>
      <c r="IH701" s="70"/>
      <c r="II701" s="70"/>
      <c r="IJ701" s="70"/>
      <c r="IK701" s="70"/>
      <c r="IL701" s="70"/>
      <c r="IM701" s="70"/>
      <c r="IN701" s="70"/>
      <c r="IO701" s="70"/>
      <c r="IP701" s="70"/>
      <c r="IQ701" s="70"/>
      <c r="IR701" s="70"/>
      <c r="IS701" s="70"/>
      <c r="IT701" s="70"/>
      <c r="IU701" s="70"/>
      <c r="IV701" s="70"/>
    </row>
    <row r="702" spans="1:256" x14ac:dyDescent="0.2">
      <c r="A702" s="2632" t="s">
        <v>2700</v>
      </c>
      <c r="B702" s="651"/>
      <c r="C702" s="236"/>
      <c r="D702" s="207"/>
      <c r="E702" s="207"/>
      <c r="F702" s="207"/>
      <c r="G702" s="234"/>
      <c r="H702" s="236"/>
      <c r="I702" s="847"/>
      <c r="J702" s="847"/>
      <c r="K702" s="847"/>
      <c r="L702" s="847"/>
      <c r="M702" s="661"/>
      <c r="N702" s="847"/>
      <c r="O702" s="847"/>
      <c r="P702" s="847"/>
      <c r="Q702" s="847"/>
      <c r="R702" s="661"/>
      <c r="S702" s="847"/>
      <c r="T702" s="847"/>
      <c r="U702" s="847"/>
      <c r="V702" s="847"/>
      <c r="W702" s="661"/>
      <c r="X702" s="847"/>
      <c r="Y702" s="847"/>
      <c r="Z702" s="847"/>
      <c r="AA702" s="847"/>
      <c r="AB702" s="661"/>
      <c r="AC702" s="847"/>
      <c r="AD702" s="847"/>
      <c r="AE702" s="847"/>
      <c r="AF702" s="847"/>
      <c r="AG702" s="661"/>
      <c r="AH702" s="847"/>
      <c r="AI702" s="847"/>
      <c r="AJ702" s="847"/>
      <c r="AK702" s="847"/>
      <c r="AL702" s="661"/>
      <c r="AM702" s="847"/>
      <c r="AN702" s="847"/>
      <c r="AO702" s="847"/>
      <c r="AP702" s="847"/>
      <c r="AQ702" s="661"/>
      <c r="AR702" s="847"/>
      <c r="AS702" s="847"/>
      <c r="AT702" s="847"/>
      <c r="AU702" s="847"/>
      <c r="AV702" s="661"/>
      <c r="AW702" s="847"/>
      <c r="AX702" s="847"/>
      <c r="AY702" s="847"/>
      <c r="AZ702" s="847"/>
      <c r="BA702" s="661"/>
      <c r="BB702" s="847"/>
      <c r="BC702" s="847"/>
      <c r="BD702" s="847"/>
      <c r="BE702" s="847"/>
      <c r="BF702" s="661"/>
      <c r="BG702" s="847"/>
      <c r="BH702" s="847"/>
      <c r="BI702" s="847"/>
      <c r="BJ702" s="847"/>
      <c r="BK702" s="661"/>
      <c r="BL702" s="847"/>
      <c r="BM702" s="847"/>
      <c r="BN702" s="847"/>
      <c r="BO702" s="847"/>
      <c r="BP702" s="661"/>
      <c r="BQ702" s="847"/>
      <c r="BR702" s="847"/>
      <c r="BS702" s="847"/>
      <c r="BT702" s="847"/>
      <c r="BU702" s="661"/>
      <c r="BV702" s="847"/>
      <c r="BW702" s="847"/>
      <c r="BX702" s="847"/>
      <c r="BY702" s="847"/>
      <c r="BZ702" s="661"/>
      <c r="CA702" s="847"/>
      <c r="CB702" s="847"/>
      <c r="CC702" s="847"/>
      <c r="CD702" s="847"/>
      <c r="CE702" s="661"/>
      <c r="CF702" s="847"/>
      <c r="CG702" s="2349"/>
      <c r="CH702" s="2983"/>
      <c r="CI702" s="2983">
        <v>11193</v>
      </c>
      <c r="CJ702" s="2293">
        <f t="shared" ref="CJ702:CV702" si="980">+CI702</f>
        <v>11193</v>
      </c>
      <c r="CK702" s="2982">
        <v>11193</v>
      </c>
      <c r="CL702" s="2982">
        <v>11744</v>
      </c>
      <c r="CM702" s="2982">
        <v>12086</v>
      </c>
      <c r="CN702" s="2982">
        <v>12371</v>
      </c>
      <c r="CO702" s="2293">
        <f t="shared" si="980"/>
        <v>12371</v>
      </c>
      <c r="CP702" s="3432">
        <f t="shared" si="979"/>
        <v>12371</v>
      </c>
      <c r="CQ702" s="3432">
        <f t="shared" si="979"/>
        <v>12371</v>
      </c>
      <c r="CR702" s="3432">
        <f t="shared" si="979"/>
        <v>12371</v>
      </c>
      <c r="CS702" s="3432">
        <f t="shared" si="979"/>
        <v>12371</v>
      </c>
      <c r="CT702" s="2293">
        <f t="shared" si="980"/>
        <v>12371</v>
      </c>
      <c r="CU702" s="3433">
        <f t="shared" si="980"/>
        <v>12371</v>
      </c>
      <c r="CV702" s="3433">
        <f t="shared" si="980"/>
        <v>12371</v>
      </c>
      <c r="CW702" s="2481"/>
      <c r="CX702" s="2481"/>
      <c r="CY702" s="2481"/>
      <c r="CZ702" s="2481"/>
      <c r="DA702" s="2481"/>
      <c r="DB702" s="217"/>
    </row>
    <row r="703" spans="1:256" x14ac:dyDescent="0.2">
      <c r="A703" s="331" t="s">
        <v>665</v>
      </c>
      <c r="B703" s="1439"/>
      <c r="C703" s="1440"/>
      <c r="D703" s="1441"/>
      <c r="E703" s="1441"/>
      <c r="F703" s="1441"/>
      <c r="G703" s="1441"/>
      <c r="H703" s="1440"/>
      <c r="I703" s="938">
        <f t="shared" ref="I703:AN703" si="981">SUM(I672:I700)</f>
        <v>86024</v>
      </c>
      <c r="J703" s="938">
        <f t="shared" si="981"/>
        <v>89535</v>
      </c>
      <c r="K703" s="938">
        <f t="shared" si="981"/>
        <v>98066</v>
      </c>
      <c r="L703" s="938">
        <f t="shared" si="981"/>
        <v>100699</v>
      </c>
      <c r="M703" s="1442">
        <f t="shared" si="981"/>
        <v>100699</v>
      </c>
      <c r="N703" s="938">
        <f t="shared" si="981"/>
        <v>102354</v>
      </c>
      <c r="O703" s="938">
        <f t="shared" si="981"/>
        <v>102886</v>
      </c>
      <c r="P703" s="938">
        <f t="shared" si="981"/>
        <v>105419</v>
      </c>
      <c r="Q703" s="938">
        <f t="shared" si="981"/>
        <v>106409</v>
      </c>
      <c r="R703" s="1442">
        <f t="shared" si="981"/>
        <v>106409</v>
      </c>
      <c r="S703" s="938">
        <f t="shared" si="981"/>
        <v>108401</v>
      </c>
      <c r="T703" s="938">
        <f t="shared" si="981"/>
        <v>110245</v>
      </c>
      <c r="U703" s="938">
        <f t="shared" si="981"/>
        <v>113050</v>
      </c>
      <c r="V703" s="938">
        <f t="shared" si="981"/>
        <v>115520</v>
      </c>
      <c r="W703" s="1442">
        <f t="shared" si="981"/>
        <v>115520</v>
      </c>
      <c r="X703" s="938">
        <f t="shared" si="981"/>
        <v>118450</v>
      </c>
      <c r="Y703" s="938">
        <f t="shared" si="981"/>
        <v>120630</v>
      </c>
      <c r="Z703" s="938">
        <f t="shared" si="981"/>
        <v>121627</v>
      </c>
      <c r="AA703" s="938">
        <f t="shared" si="981"/>
        <v>94732</v>
      </c>
      <c r="AB703" s="1442">
        <f t="shared" si="981"/>
        <v>94732</v>
      </c>
      <c r="AC703" s="938">
        <f t="shared" si="981"/>
        <v>95469</v>
      </c>
      <c r="AD703" s="938">
        <f t="shared" si="981"/>
        <v>96794</v>
      </c>
      <c r="AE703" s="938">
        <f t="shared" si="981"/>
        <v>97498</v>
      </c>
      <c r="AF703" s="938">
        <f t="shared" si="981"/>
        <v>98886</v>
      </c>
      <c r="AG703" s="1442">
        <f t="shared" si="981"/>
        <v>98886</v>
      </c>
      <c r="AH703" s="938">
        <f t="shared" si="981"/>
        <v>100504</v>
      </c>
      <c r="AI703" s="938">
        <f t="shared" si="981"/>
        <v>100412</v>
      </c>
      <c r="AJ703" s="938">
        <f t="shared" si="981"/>
        <v>101899</v>
      </c>
      <c r="AK703" s="938">
        <f t="shared" si="981"/>
        <v>102939</v>
      </c>
      <c r="AL703" s="1442">
        <f t="shared" si="981"/>
        <v>102939</v>
      </c>
      <c r="AM703" s="938">
        <f t="shared" si="981"/>
        <v>104068</v>
      </c>
      <c r="AN703" s="938">
        <f t="shared" si="981"/>
        <v>104367</v>
      </c>
      <c r="AO703" s="938">
        <f t="shared" ref="AO703:BT703" si="982">SUM(AO672:AO700)</f>
        <v>106267</v>
      </c>
      <c r="AP703" s="938">
        <f t="shared" si="982"/>
        <v>106048</v>
      </c>
      <c r="AQ703" s="1442">
        <f t="shared" si="982"/>
        <v>106048</v>
      </c>
      <c r="AR703" s="938">
        <f t="shared" si="982"/>
        <v>105022</v>
      </c>
      <c r="AS703" s="938">
        <f t="shared" si="982"/>
        <v>105701</v>
      </c>
      <c r="AT703" s="938">
        <f t="shared" si="982"/>
        <v>107799</v>
      </c>
      <c r="AU703" s="938">
        <f t="shared" si="982"/>
        <v>109257</v>
      </c>
      <c r="AV703" s="1442">
        <f t="shared" si="982"/>
        <v>109257</v>
      </c>
      <c r="AW703" s="938">
        <f t="shared" si="982"/>
        <v>112529</v>
      </c>
      <c r="AX703" s="938">
        <f t="shared" si="982"/>
        <v>114279</v>
      </c>
      <c r="AY703" s="938">
        <f t="shared" si="982"/>
        <v>114680</v>
      </c>
      <c r="AZ703" s="938">
        <f t="shared" si="982"/>
        <v>116117</v>
      </c>
      <c r="BA703" s="1442">
        <f t="shared" si="982"/>
        <v>116117</v>
      </c>
      <c r="BB703" s="938">
        <f t="shared" si="982"/>
        <v>118118</v>
      </c>
      <c r="BC703" s="938">
        <f t="shared" si="982"/>
        <v>118922</v>
      </c>
      <c r="BD703" s="938">
        <f t="shared" si="982"/>
        <v>120590</v>
      </c>
      <c r="BE703" s="938">
        <f t="shared" si="982"/>
        <v>121655</v>
      </c>
      <c r="BF703" s="1442">
        <f t="shared" si="982"/>
        <v>121655</v>
      </c>
      <c r="BG703" s="938">
        <f t="shared" si="982"/>
        <v>124406</v>
      </c>
      <c r="BH703" s="938">
        <f t="shared" si="982"/>
        <v>125270</v>
      </c>
      <c r="BI703" s="938">
        <f t="shared" si="982"/>
        <v>127299</v>
      </c>
      <c r="BJ703" s="938">
        <f t="shared" si="982"/>
        <v>129538</v>
      </c>
      <c r="BK703" s="1442">
        <f t="shared" si="982"/>
        <v>129538</v>
      </c>
      <c r="BL703" s="938">
        <f t="shared" si="982"/>
        <v>129619</v>
      </c>
      <c r="BM703" s="938">
        <f t="shared" si="982"/>
        <v>129929</v>
      </c>
      <c r="BN703" s="938">
        <f t="shared" si="982"/>
        <v>131097</v>
      </c>
      <c r="BO703" s="938">
        <f t="shared" si="982"/>
        <v>133302</v>
      </c>
      <c r="BP703" s="1442">
        <f t="shared" si="982"/>
        <v>133302</v>
      </c>
      <c r="BQ703" s="938">
        <f t="shared" si="982"/>
        <v>135752</v>
      </c>
      <c r="BR703" s="938">
        <f t="shared" si="982"/>
        <v>136155</v>
      </c>
      <c r="BS703" s="938">
        <f t="shared" si="982"/>
        <v>138309</v>
      </c>
      <c r="BT703" s="938">
        <f t="shared" si="982"/>
        <v>141560</v>
      </c>
      <c r="BU703" s="1442">
        <f t="shared" ref="BU703:CF703" si="983">SUM(BU672:BU700)</f>
        <v>141560</v>
      </c>
      <c r="BV703" s="938">
        <f t="shared" si="983"/>
        <v>143997</v>
      </c>
      <c r="BW703" s="938">
        <f t="shared" si="983"/>
        <v>156388</v>
      </c>
      <c r="BX703" s="938">
        <f t="shared" si="983"/>
        <v>157043</v>
      </c>
      <c r="BY703" s="938">
        <f t="shared" si="983"/>
        <v>164985</v>
      </c>
      <c r="BZ703" s="1442">
        <f t="shared" si="983"/>
        <v>164985</v>
      </c>
      <c r="CA703" s="938">
        <f t="shared" si="983"/>
        <v>152047</v>
      </c>
      <c r="CB703" s="938">
        <f t="shared" si="983"/>
        <v>155310</v>
      </c>
      <c r="CC703" s="938">
        <f t="shared" si="983"/>
        <v>157813</v>
      </c>
      <c r="CD703" s="938">
        <f t="shared" si="983"/>
        <v>162186</v>
      </c>
      <c r="CE703" s="1442">
        <f t="shared" si="983"/>
        <v>162186</v>
      </c>
      <c r="CF703" s="938">
        <f t="shared" si="983"/>
        <v>163935</v>
      </c>
      <c r="CG703" s="938">
        <f>SUM(CG672:CG701)</f>
        <v>166723</v>
      </c>
      <c r="CH703" s="938">
        <f>SUM(CH671:CH688)</f>
        <v>168643</v>
      </c>
      <c r="CI703" s="938">
        <f>SUM(CI671:CI702)</f>
        <v>385603</v>
      </c>
      <c r="CJ703" s="1442">
        <f>SUM(CJ671:CJ702)</f>
        <v>385603</v>
      </c>
      <c r="CK703" s="3505">
        <f t="shared" ref="CK703:CV703" si="984">SUM(CK671:CK702)</f>
        <v>388809</v>
      </c>
      <c r="CL703" s="938">
        <f t="shared" ca="1" si="984"/>
        <v>394165</v>
      </c>
      <c r="CM703" s="938">
        <f t="shared" ca="1" si="984"/>
        <v>401589</v>
      </c>
      <c r="CN703" s="938">
        <f t="shared" ca="1" si="984"/>
        <v>409692</v>
      </c>
      <c r="CO703" s="1442">
        <f t="shared" ca="1" si="984"/>
        <v>409692</v>
      </c>
      <c r="CP703" s="938">
        <f t="shared" si="984"/>
        <v>411266.1100000001</v>
      </c>
      <c r="CQ703" s="938">
        <f t="shared" ca="1" si="984"/>
        <v>418859.98000000004</v>
      </c>
      <c r="CR703" s="938">
        <f t="shared" ca="1" si="984"/>
        <v>427421.89999999997</v>
      </c>
      <c r="CS703" s="938">
        <f t="shared" ca="1" si="984"/>
        <v>435629.1</v>
      </c>
      <c r="CT703" s="1442">
        <f t="shared" ca="1" si="984"/>
        <v>435629.1</v>
      </c>
      <c r="CU703" s="938">
        <f t="shared" ca="1" si="984"/>
        <v>460268.90789999999</v>
      </c>
      <c r="CV703" s="1442">
        <f t="shared" ca="1" si="984"/>
        <v>471251.75063800003</v>
      </c>
      <c r="CW703" s="374"/>
      <c r="CX703" s="374"/>
      <c r="CY703" s="374"/>
      <c r="CZ703" s="374"/>
      <c r="DA703" s="374"/>
      <c r="DB703" s="217"/>
    </row>
    <row r="704" spans="1:256" x14ac:dyDescent="0.2">
      <c r="A704" s="1654" t="s">
        <v>932</v>
      </c>
      <c r="B704" s="374"/>
      <c r="C704" s="78"/>
      <c r="D704" s="374"/>
      <c r="E704" s="374"/>
      <c r="F704" s="374"/>
      <c r="G704" s="374"/>
      <c r="H704" s="78"/>
      <c r="I704" s="1582"/>
      <c r="J704" s="1582">
        <f>+J703-I703</f>
        <v>3511</v>
      </c>
      <c r="K704" s="1582">
        <f>+K703-J703</f>
        <v>8531</v>
      </c>
      <c r="L704" s="1582">
        <f>+L703-K703</f>
        <v>2633</v>
      </c>
      <c r="M704" s="78"/>
      <c r="N704" s="1582">
        <f>+N703-M703</f>
        <v>1655</v>
      </c>
      <c r="O704" s="1582">
        <f>+O703-N703</f>
        <v>532</v>
      </c>
      <c r="P704" s="1582">
        <f>+P703-O703</f>
        <v>2533</v>
      </c>
      <c r="Q704" s="1582">
        <f>+Q703-P703</f>
        <v>990</v>
      </c>
      <c r="R704" s="1649"/>
      <c r="S704" s="1582">
        <f>+S703-R703</f>
        <v>1992</v>
      </c>
      <c r="T704" s="1582">
        <f>+T703-S703</f>
        <v>1844</v>
      </c>
      <c r="U704" s="1582">
        <f>+U703-T703</f>
        <v>2805</v>
      </c>
      <c r="V704" s="1582">
        <f>+V703-U703</f>
        <v>2470</v>
      </c>
      <c r="W704" s="1649"/>
      <c r="X704" s="1582">
        <f>+X703-W703</f>
        <v>2930</v>
      </c>
      <c r="Y704" s="1582">
        <f>+Y703-X703</f>
        <v>2180</v>
      </c>
      <c r="Z704" s="1582">
        <f>+Z703-Y703</f>
        <v>997</v>
      </c>
      <c r="AA704" s="1582">
        <f>+AA703-Z703</f>
        <v>-26895</v>
      </c>
      <c r="AB704" s="1649"/>
      <c r="AC704" s="1582">
        <f>+AC703-AB703</f>
        <v>737</v>
      </c>
      <c r="AD704" s="1582">
        <f>+AD703-AC703</f>
        <v>1325</v>
      </c>
      <c r="AE704" s="1582">
        <f>+AE703-AD703</f>
        <v>704</v>
      </c>
      <c r="AF704" s="1582">
        <f>+AF703-AE703</f>
        <v>1388</v>
      </c>
      <c r="AG704" s="1649"/>
      <c r="AH704" s="1582">
        <f>+AH703-AG703</f>
        <v>1618</v>
      </c>
      <c r="AI704" s="1582">
        <f>+AI703-AH703</f>
        <v>-92</v>
      </c>
      <c r="AJ704" s="1582">
        <f>+AJ703-AI703</f>
        <v>1487</v>
      </c>
      <c r="AK704" s="1582">
        <f>+AK703-AJ703</f>
        <v>1040</v>
      </c>
      <c r="AL704" s="1649"/>
      <c r="AM704" s="1582">
        <f>+AM703-AL703</f>
        <v>1129</v>
      </c>
      <c r="AN704" s="1582">
        <f>+AN703-AM703</f>
        <v>299</v>
      </c>
      <c r="AO704" s="1582">
        <f>+AO703-AN703</f>
        <v>1900</v>
      </c>
      <c r="AP704" s="1582">
        <f>+AP703-AO703</f>
        <v>-219</v>
      </c>
      <c r="AQ704" s="1649"/>
      <c r="AR704" s="1582">
        <f>+AR703-AQ703</f>
        <v>-1026</v>
      </c>
      <c r="AS704" s="1582">
        <f>+AS703-AR703</f>
        <v>679</v>
      </c>
      <c r="AT704" s="1582">
        <f>+AT703-AS703</f>
        <v>2098</v>
      </c>
      <c r="AU704" s="1582">
        <f>+AU703-AT703</f>
        <v>1458</v>
      </c>
      <c r="AV704" s="1649"/>
      <c r="AW704" s="1582">
        <f>+AW703-AV703</f>
        <v>3272</v>
      </c>
      <c r="AX704" s="1582">
        <f>+AX703-AW703</f>
        <v>1750</v>
      </c>
      <c r="AY704" s="1582">
        <f>+AY703-AX703</f>
        <v>401</v>
      </c>
      <c r="AZ704" s="1582">
        <f>+AZ703-AY703</f>
        <v>1437</v>
      </c>
      <c r="BA704" s="1649"/>
      <c r="BB704" s="1582">
        <f>+BB703-BA703</f>
        <v>2001</v>
      </c>
      <c r="BC704" s="1582">
        <f>+BC703-BB703</f>
        <v>804</v>
      </c>
      <c r="BD704" s="1582">
        <f>+BD703-BC703</f>
        <v>1668</v>
      </c>
      <c r="BE704" s="1582">
        <f>+BE703-BD703</f>
        <v>1065</v>
      </c>
      <c r="BF704" s="1649"/>
      <c r="BG704" s="1582">
        <f>+BG703-BF703</f>
        <v>2751</v>
      </c>
      <c r="BH704" s="1582">
        <f>+BH703-BG703</f>
        <v>864</v>
      </c>
      <c r="BI704" s="1582">
        <f>+BI703-BH703</f>
        <v>2029</v>
      </c>
      <c r="BJ704" s="1582">
        <f>+BJ703-BI703</f>
        <v>2239</v>
      </c>
      <c r="BK704" s="1649"/>
      <c r="BL704" s="1582">
        <f>+BL703-BK703</f>
        <v>81</v>
      </c>
      <c r="BM704" s="1582">
        <f>+BM703-BL703</f>
        <v>310</v>
      </c>
      <c r="BN704" s="1582">
        <f>+BN703-BM703</f>
        <v>1168</v>
      </c>
      <c r="BO704" s="1582">
        <f>+BO703-BN703</f>
        <v>2205</v>
      </c>
      <c r="BP704" s="1649"/>
      <c r="BQ704" s="1582">
        <f>+BQ703-BP703</f>
        <v>2450</v>
      </c>
      <c r="BR704" s="1582">
        <f>+BR703-BQ703</f>
        <v>403</v>
      </c>
      <c r="BS704" s="1582">
        <f>+BS703-BR703</f>
        <v>2154</v>
      </c>
      <c r="BT704" s="1582">
        <f>+BT703-BS703</f>
        <v>3251</v>
      </c>
      <c r="BU704" s="1649"/>
      <c r="BV704" s="1582">
        <f>+BV703-BU703</f>
        <v>2437</v>
      </c>
      <c r="BW704" s="1582">
        <f>+BW703-BV703</f>
        <v>12391</v>
      </c>
      <c r="BX704" s="1582">
        <f>+BX703-BW703</f>
        <v>655</v>
      </c>
      <c r="BY704" s="1582">
        <f>+BY703-BX703</f>
        <v>7942</v>
      </c>
      <c r="BZ704" s="1649"/>
      <c r="CA704" s="1582">
        <f>+CA703-BZ703</f>
        <v>-12938</v>
      </c>
      <c r="CB704" s="1582">
        <f>+CB703-CA703</f>
        <v>3263</v>
      </c>
      <c r="CC704" s="1582">
        <f>+CC703-CB703</f>
        <v>2503</v>
      </c>
      <c r="CD704" s="1582"/>
      <c r="CE704" s="1649"/>
      <c r="CF704" s="1582">
        <f>+CF703-CE703</f>
        <v>1749</v>
      </c>
      <c r="CG704" s="1582"/>
      <c r="CH704" s="1582"/>
      <c r="CI704" s="1582"/>
      <c r="CJ704" s="1649"/>
      <c r="CK704" s="3506"/>
      <c r="CL704" s="1582"/>
      <c r="CM704" s="1582"/>
      <c r="CN704" s="1582"/>
      <c r="CO704" s="1649"/>
      <c r="CP704" s="3506"/>
      <c r="CQ704" s="1582"/>
      <c r="CR704" s="1582"/>
      <c r="CS704" s="1582"/>
      <c r="CT704" s="1649"/>
      <c r="CU704" s="1649"/>
      <c r="CV704" s="1649"/>
      <c r="CW704" s="374"/>
      <c r="CX704" s="374"/>
      <c r="CY704" s="374"/>
      <c r="CZ704" s="374"/>
      <c r="DA704" s="374"/>
      <c r="DB704" s="217"/>
      <c r="DF704" s="374"/>
      <c r="DG704" s="374"/>
      <c r="DH704" s="374"/>
      <c r="DI704" s="374"/>
      <c r="DJ704" s="374"/>
      <c r="DK704" s="374"/>
      <c r="DL704" s="374"/>
      <c r="DM704" s="374"/>
      <c r="DN704" s="374"/>
      <c r="DO704" s="374"/>
      <c r="DP704" s="374"/>
      <c r="DQ704" s="374"/>
      <c r="DR704" s="374"/>
      <c r="DS704" s="374"/>
      <c r="DT704" s="374"/>
      <c r="DU704" s="374"/>
      <c r="DV704" s="374"/>
      <c r="DW704" s="374"/>
      <c r="DX704" s="374"/>
      <c r="DY704" s="374"/>
      <c r="DZ704" s="374"/>
      <c r="EA704" s="374"/>
      <c r="EB704" s="374"/>
      <c r="EC704" s="374"/>
      <c r="ED704" s="374"/>
      <c r="EE704" s="374"/>
      <c r="EF704" s="374"/>
      <c r="EG704" s="374"/>
      <c r="EH704" s="374"/>
      <c r="EI704" s="374"/>
      <c r="EJ704" s="374"/>
      <c r="EK704" s="374"/>
      <c r="EL704" s="374"/>
      <c r="EM704" s="374"/>
      <c r="EN704" s="374"/>
      <c r="EO704" s="374"/>
      <c r="EP704" s="374"/>
      <c r="EQ704" s="374"/>
      <c r="ER704" s="374"/>
      <c r="ES704" s="374"/>
      <c r="ET704" s="374"/>
      <c r="EU704" s="374"/>
      <c r="EV704" s="374"/>
      <c r="EW704" s="374"/>
      <c r="EX704" s="374"/>
      <c r="EY704" s="374"/>
      <c r="EZ704" s="374"/>
      <c r="FA704" s="374"/>
      <c r="FB704" s="374"/>
      <c r="FC704" s="374"/>
      <c r="FD704" s="374"/>
      <c r="FE704" s="374"/>
      <c r="FF704" s="374"/>
      <c r="FG704" s="374"/>
      <c r="FH704" s="374"/>
      <c r="FI704" s="374"/>
      <c r="FJ704" s="374"/>
      <c r="FK704" s="374"/>
      <c r="FL704" s="374"/>
      <c r="FM704" s="374"/>
      <c r="FN704" s="374"/>
      <c r="FO704" s="374"/>
      <c r="FP704" s="374"/>
      <c r="FQ704" s="374"/>
      <c r="FR704" s="374"/>
      <c r="FS704" s="374"/>
      <c r="FT704" s="374"/>
      <c r="FU704" s="374"/>
      <c r="FV704" s="374"/>
      <c r="FW704" s="374"/>
      <c r="FX704" s="374"/>
      <c r="FY704" s="374"/>
      <c r="FZ704" s="374"/>
      <c r="GA704" s="374"/>
      <c r="GB704" s="374"/>
      <c r="GC704" s="374"/>
      <c r="GD704" s="374"/>
      <c r="GE704" s="374"/>
      <c r="GF704" s="374"/>
      <c r="GG704" s="374"/>
      <c r="GH704" s="374"/>
      <c r="GI704" s="374"/>
      <c r="GJ704" s="374"/>
      <c r="GK704" s="374"/>
      <c r="GL704" s="374"/>
      <c r="GM704" s="374"/>
      <c r="GN704" s="374"/>
      <c r="GO704" s="374"/>
      <c r="GP704" s="374"/>
      <c r="GQ704" s="374"/>
      <c r="GR704" s="374"/>
      <c r="GS704" s="374"/>
      <c r="GT704" s="374"/>
      <c r="GU704" s="374"/>
      <c r="GV704" s="374"/>
      <c r="GW704" s="374"/>
      <c r="GX704" s="374"/>
      <c r="GY704" s="374"/>
      <c r="GZ704" s="374"/>
      <c r="HA704" s="374"/>
      <c r="HB704" s="374"/>
      <c r="HC704" s="374"/>
      <c r="HD704" s="374"/>
      <c r="HE704" s="374"/>
      <c r="HF704" s="374"/>
      <c r="HG704" s="374"/>
      <c r="HH704" s="374"/>
      <c r="HI704" s="374"/>
      <c r="HJ704" s="374"/>
      <c r="HK704" s="374"/>
      <c r="HL704" s="374"/>
      <c r="HM704" s="374"/>
      <c r="HN704" s="374"/>
      <c r="HO704" s="374"/>
      <c r="HP704" s="374"/>
      <c r="HQ704" s="374"/>
      <c r="HR704" s="374"/>
      <c r="HS704" s="374"/>
      <c r="HT704" s="374"/>
      <c r="HU704" s="374"/>
      <c r="HV704" s="374"/>
      <c r="HW704" s="374"/>
      <c r="HX704" s="374"/>
      <c r="HY704" s="374"/>
      <c r="HZ704" s="374"/>
      <c r="IA704" s="374"/>
      <c r="IB704" s="374"/>
      <c r="IC704" s="374"/>
      <c r="ID704" s="374"/>
      <c r="IE704" s="374"/>
      <c r="IF704" s="374"/>
      <c r="IG704" s="374"/>
      <c r="IH704" s="374"/>
      <c r="II704" s="374"/>
      <c r="IJ704" s="374"/>
      <c r="IK704" s="374"/>
      <c r="IL704" s="374"/>
      <c r="IM704" s="374"/>
      <c r="IN704" s="374"/>
      <c r="IO704" s="374"/>
      <c r="IP704" s="374"/>
      <c r="IQ704" s="374"/>
      <c r="IR704" s="374"/>
      <c r="IS704" s="374"/>
      <c r="IT704" s="374"/>
      <c r="IU704" s="374"/>
      <c r="IV704" s="374"/>
    </row>
    <row r="705" spans="1:256" x14ac:dyDescent="0.2">
      <c r="A705" s="1654" t="s">
        <v>931</v>
      </c>
      <c r="B705" s="374"/>
      <c r="C705" s="374"/>
      <c r="D705" s="374"/>
      <c r="E705" s="374"/>
      <c r="F705" s="374"/>
      <c r="G705" s="374"/>
      <c r="H705" s="374"/>
      <c r="I705" s="374"/>
      <c r="J705" s="374"/>
      <c r="K705" s="374"/>
      <c r="L705" s="374"/>
      <c r="M705" s="1616"/>
      <c r="N705" s="1582">
        <f t="shared" ref="N705:AS705" si="985">N703-I703</f>
        <v>16330</v>
      </c>
      <c r="O705" s="1582">
        <f t="shared" si="985"/>
        <v>13351</v>
      </c>
      <c r="P705" s="1582">
        <f t="shared" si="985"/>
        <v>7353</v>
      </c>
      <c r="Q705" s="1582">
        <f t="shared" si="985"/>
        <v>5710</v>
      </c>
      <c r="R705" s="1528">
        <f t="shared" si="985"/>
        <v>5710</v>
      </c>
      <c r="S705" s="1582">
        <f t="shared" si="985"/>
        <v>6047</v>
      </c>
      <c r="T705" s="1582">
        <f t="shared" si="985"/>
        <v>7359</v>
      </c>
      <c r="U705" s="1582">
        <f t="shared" si="985"/>
        <v>7631</v>
      </c>
      <c r="V705" s="1582">
        <f t="shared" si="985"/>
        <v>9111</v>
      </c>
      <c r="W705" s="1528">
        <f t="shared" si="985"/>
        <v>9111</v>
      </c>
      <c r="X705" s="1582">
        <f t="shared" si="985"/>
        <v>10049</v>
      </c>
      <c r="Y705" s="1582">
        <f t="shared" si="985"/>
        <v>10385</v>
      </c>
      <c r="Z705" s="1582">
        <f t="shared" si="985"/>
        <v>8577</v>
      </c>
      <c r="AA705" s="1582">
        <f t="shared" si="985"/>
        <v>-20788</v>
      </c>
      <c r="AB705" s="1528">
        <f t="shared" si="985"/>
        <v>-20788</v>
      </c>
      <c r="AC705" s="1582">
        <f t="shared" si="985"/>
        <v>-22981</v>
      </c>
      <c r="AD705" s="1582">
        <f t="shared" si="985"/>
        <v>-23836</v>
      </c>
      <c r="AE705" s="1582">
        <f t="shared" si="985"/>
        <v>-24129</v>
      </c>
      <c r="AF705" s="1582">
        <f t="shared" si="985"/>
        <v>4154</v>
      </c>
      <c r="AG705" s="1528">
        <f t="shared" si="985"/>
        <v>4154</v>
      </c>
      <c r="AH705" s="1582">
        <f t="shared" si="985"/>
        <v>5035</v>
      </c>
      <c r="AI705" s="1582">
        <f t="shared" si="985"/>
        <v>3618</v>
      </c>
      <c r="AJ705" s="1582">
        <f t="shared" si="985"/>
        <v>4401</v>
      </c>
      <c r="AK705" s="1582">
        <f t="shared" si="985"/>
        <v>4053</v>
      </c>
      <c r="AL705" s="1528">
        <f t="shared" si="985"/>
        <v>4053</v>
      </c>
      <c r="AM705" s="1582">
        <f t="shared" si="985"/>
        <v>3564</v>
      </c>
      <c r="AN705" s="1582">
        <f t="shared" si="985"/>
        <v>3955</v>
      </c>
      <c r="AO705" s="1582">
        <f t="shared" si="985"/>
        <v>4368</v>
      </c>
      <c r="AP705" s="1582">
        <f t="shared" si="985"/>
        <v>3109</v>
      </c>
      <c r="AQ705" s="1582">
        <f t="shared" si="985"/>
        <v>3109</v>
      </c>
      <c r="AR705" s="1582">
        <f t="shared" si="985"/>
        <v>954</v>
      </c>
      <c r="AS705" s="1582">
        <f t="shared" si="985"/>
        <v>1334</v>
      </c>
      <c r="AT705" s="1582">
        <f t="shared" ref="AT705:BV705" si="986">AT703-AO703</f>
        <v>1532</v>
      </c>
      <c r="AU705" s="1582">
        <f t="shared" si="986"/>
        <v>3209</v>
      </c>
      <c r="AV705" s="1528">
        <f t="shared" si="986"/>
        <v>3209</v>
      </c>
      <c r="AW705" s="1582">
        <f t="shared" si="986"/>
        <v>7507</v>
      </c>
      <c r="AX705" s="1582">
        <f t="shared" si="986"/>
        <v>8578</v>
      </c>
      <c r="AY705" s="1582">
        <f t="shared" si="986"/>
        <v>6881</v>
      </c>
      <c r="AZ705" s="1582">
        <f t="shared" si="986"/>
        <v>6860</v>
      </c>
      <c r="BA705" s="1528">
        <f t="shared" si="986"/>
        <v>6860</v>
      </c>
      <c r="BB705" s="1582">
        <f t="shared" si="986"/>
        <v>5589</v>
      </c>
      <c r="BC705" s="1582">
        <f t="shared" si="986"/>
        <v>4643</v>
      </c>
      <c r="BD705" s="1582">
        <f t="shared" si="986"/>
        <v>5910</v>
      </c>
      <c r="BE705" s="1582">
        <f t="shared" si="986"/>
        <v>5538</v>
      </c>
      <c r="BF705" s="1528">
        <f t="shared" si="986"/>
        <v>5538</v>
      </c>
      <c r="BG705" s="1582">
        <f t="shared" si="986"/>
        <v>6288</v>
      </c>
      <c r="BH705" s="1582">
        <f t="shared" si="986"/>
        <v>6348</v>
      </c>
      <c r="BI705" s="1582">
        <f t="shared" si="986"/>
        <v>6709</v>
      </c>
      <c r="BJ705" s="1582">
        <f t="shared" si="986"/>
        <v>7883</v>
      </c>
      <c r="BK705" s="1528">
        <f t="shared" si="986"/>
        <v>7883</v>
      </c>
      <c r="BL705" s="1582">
        <f t="shared" si="986"/>
        <v>5213</v>
      </c>
      <c r="BM705" s="1582">
        <f t="shared" si="986"/>
        <v>4659</v>
      </c>
      <c r="BN705" s="1582">
        <f t="shared" si="986"/>
        <v>3798</v>
      </c>
      <c r="BO705" s="1582">
        <f t="shared" si="986"/>
        <v>3764</v>
      </c>
      <c r="BP705" s="1528">
        <f t="shared" si="986"/>
        <v>3764</v>
      </c>
      <c r="BQ705" s="1582">
        <f t="shared" si="986"/>
        <v>6133</v>
      </c>
      <c r="BR705" s="1582">
        <f t="shared" si="986"/>
        <v>6226</v>
      </c>
      <c r="BS705" s="1582">
        <f t="shared" si="986"/>
        <v>7212</v>
      </c>
      <c r="BT705" s="1582">
        <f>BT703-BO703</f>
        <v>8258</v>
      </c>
      <c r="BU705" s="1528">
        <f t="shared" si="986"/>
        <v>8258</v>
      </c>
      <c r="BV705" s="1582">
        <f t="shared" si="986"/>
        <v>8245</v>
      </c>
      <c r="BW705" s="1582">
        <f t="shared" ref="BW705:CF705" si="987">BW703-BR703</f>
        <v>20233</v>
      </c>
      <c r="BX705" s="1582">
        <f t="shared" si="987"/>
        <v>18734</v>
      </c>
      <c r="BY705" s="1582">
        <f t="shared" si="987"/>
        <v>23425</v>
      </c>
      <c r="BZ705" s="1528">
        <f t="shared" si="987"/>
        <v>23425</v>
      </c>
      <c r="CA705" s="1582">
        <f t="shared" si="987"/>
        <v>8050</v>
      </c>
      <c r="CB705" s="1582">
        <f t="shared" si="987"/>
        <v>-1078</v>
      </c>
      <c r="CC705" s="1582">
        <f t="shared" si="987"/>
        <v>770</v>
      </c>
      <c r="CD705" s="1582">
        <f t="shared" si="987"/>
        <v>-2799</v>
      </c>
      <c r="CE705" s="1528">
        <f t="shared" si="987"/>
        <v>-2799</v>
      </c>
      <c r="CF705" s="1582">
        <f t="shared" si="987"/>
        <v>11888</v>
      </c>
      <c r="CG705" s="1582">
        <f t="shared" ref="CG705:CO705" si="988">CG703-CB703</f>
        <v>11413</v>
      </c>
      <c r="CH705" s="1582">
        <f t="shared" si="988"/>
        <v>10830</v>
      </c>
      <c r="CI705" s="1582">
        <f t="shared" si="988"/>
        <v>223417</v>
      </c>
      <c r="CJ705" s="1528">
        <f t="shared" si="988"/>
        <v>223417</v>
      </c>
      <c r="CK705" s="3506">
        <f t="shared" si="988"/>
        <v>224874</v>
      </c>
      <c r="CL705" s="1582">
        <f t="shared" ca="1" si="988"/>
        <v>227442</v>
      </c>
      <c r="CM705" s="1582">
        <f t="shared" ca="1" si="988"/>
        <v>232946</v>
      </c>
      <c r="CN705" s="1582">
        <f t="shared" ca="1" si="988"/>
        <v>24089</v>
      </c>
      <c r="CO705" s="1528">
        <f t="shared" ca="1" si="988"/>
        <v>24089</v>
      </c>
      <c r="CP705" s="1582">
        <f>CP703-CK703</f>
        <v>22457.110000000102</v>
      </c>
      <c r="CQ705" s="1582">
        <f ca="1">CQ703-CL703</f>
        <v>24694.98000000004</v>
      </c>
      <c r="CR705" s="1582">
        <f ca="1">CR703-CM703</f>
        <v>25832.899999999965</v>
      </c>
      <c r="CS705" s="1582">
        <f ca="1">CS703-CN703</f>
        <v>25937.099999999977</v>
      </c>
      <c r="CT705" s="1528">
        <f ca="1">CT703-CO703</f>
        <v>25937.099999999977</v>
      </c>
      <c r="CU705" s="1919">
        <f ca="1">CU703-CT703</f>
        <v>24639.807900000014</v>
      </c>
      <c r="CV705" s="1919">
        <f ca="1">CV703-CU703</f>
        <v>10982.842738000036</v>
      </c>
      <c r="CW705" s="374"/>
      <c r="CX705" s="374"/>
      <c r="CY705" s="374"/>
      <c r="CZ705" s="374"/>
      <c r="DA705" s="374"/>
      <c r="DB705" s="217"/>
      <c r="DF705" s="234"/>
      <c r="DG705" s="234"/>
      <c r="DH705" s="234"/>
      <c r="DI705" s="234"/>
      <c r="DJ705" s="234"/>
      <c r="DK705" s="234"/>
      <c r="DL705" s="234"/>
      <c r="DM705" s="234"/>
      <c r="DN705" s="234"/>
      <c r="DO705" s="234"/>
      <c r="DP705" s="234"/>
      <c r="DQ705" s="234"/>
      <c r="DR705" s="234"/>
      <c r="DS705" s="234"/>
      <c r="DT705" s="234"/>
      <c r="DU705" s="234"/>
      <c r="DV705" s="234"/>
      <c r="DW705" s="234"/>
      <c r="DX705" s="234"/>
      <c r="DY705" s="234"/>
      <c r="DZ705" s="234"/>
      <c r="EA705" s="234"/>
      <c r="EB705" s="234"/>
      <c r="EC705" s="234"/>
      <c r="ED705" s="234"/>
      <c r="EE705" s="234"/>
      <c r="EF705" s="234"/>
      <c r="EG705" s="234"/>
      <c r="EH705" s="234"/>
      <c r="EI705" s="234"/>
      <c r="EJ705" s="234"/>
      <c r="EK705" s="234"/>
      <c r="EL705" s="234"/>
      <c r="EM705" s="234"/>
      <c r="EN705" s="234"/>
      <c r="EO705" s="234"/>
      <c r="EP705" s="234"/>
      <c r="EQ705" s="234"/>
      <c r="ER705" s="234"/>
      <c r="ES705" s="234"/>
      <c r="ET705" s="234"/>
      <c r="EU705" s="234"/>
      <c r="EV705" s="234"/>
      <c r="EW705" s="234"/>
      <c r="EX705" s="234"/>
      <c r="EY705" s="234"/>
      <c r="EZ705" s="234"/>
      <c r="FA705" s="234"/>
      <c r="FB705" s="234"/>
      <c r="FC705" s="234"/>
      <c r="FD705" s="234"/>
      <c r="FE705" s="234"/>
      <c r="FF705" s="234"/>
      <c r="FG705" s="234"/>
      <c r="FH705" s="234"/>
      <c r="FI705" s="234"/>
      <c r="FJ705" s="234"/>
      <c r="FK705" s="234"/>
      <c r="FL705" s="234"/>
      <c r="FM705" s="234"/>
      <c r="FN705" s="234"/>
      <c r="FO705" s="234"/>
      <c r="FP705" s="234"/>
      <c r="FQ705" s="234"/>
      <c r="FR705" s="234"/>
      <c r="FS705" s="234"/>
      <c r="FT705" s="234"/>
      <c r="FU705" s="234"/>
      <c r="FV705" s="234"/>
      <c r="FW705" s="234"/>
      <c r="FX705" s="234"/>
      <c r="FY705" s="234"/>
      <c r="FZ705" s="234"/>
      <c r="GA705" s="234"/>
      <c r="GB705" s="234"/>
      <c r="GC705" s="234"/>
      <c r="GD705" s="234"/>
      <c r="GE705" s="234"/>
      <c r="GF705" s="234"/>
      <c r="GG705" s="234"/>
      <c r="GH705" s="234"/>
      <c r="GI705" s="234"/>
      <c r="GJ705" s="234"/>
      <c r="GK705" s="234"/>
      <c r="GL705" s="234"/>
      <c r="GM705" s="234"/>
      <c r="GN705" s="234"/>
      <c r="GO705" s="234"/>
      <c r="GP705" s="234"/>
      <c r="GQ705" s="234"/>
      <c r="GR705" s="234"/>
      <c r="GS705" s="234"/>
      <c r="GT705" s="234"/>
      <c r="GU705" s="234"/>
      <c r="GV705" s="234"/>
      <c r="GW705" s="234"/>
      <c r="GX705" s="234"/>
      <c r="GY705" s="234"/>
      <c r="GZ705" s="234"/>
      <c r="HA705" s="234"/>
      <c r="HB705" s="234"/>
      <c r="HC705" s="234"/>
      <c r="HD705" s="234"/>
      <c r="HE705" s="234"/>
      <c r="HF705" s="234"/>
      <c r="HG705" s="234"/>
      <c r="HH705" s="234"/>
      <c r="HI705" s="234"/>
      <c r="HJ705" s="234"/>
      <c r="HK705" s="234"/>
      <c r="HL705" s="234"/>
      <c r="HM705" s="234"/>
      <c r="HN705" s="234"/>
      <c r="HO705" s="234"/>
      <c r="HP705" s="234"/>
      <c r="HQ705" s="234"/>
      <c r="HR705" s="234"/>
      <c r="HS705" s="234"/>
      <c r="HT705" s="234"/>
      <c r="HU705" s="234"/>
      <c r="HV705" s="234"/>
      <c r="HW705" s="234"/>
      <c r="HX705" s="234"/>
      <c r="HY705" s="234"/>
      <c r="HZ705" s="234"/>
      <c r="IA705" s="234"/>
      <c r="IB705" s="234"/>
      <c r="IC705" s="234"/>
      <c r="ID705" s="234"/>
      <c r="IE705" s="234"/>
      <c r="IF705" s="234"/>
      <c r="IG705" s="234"/>
      <c r="IH705" s="234"/>
      <c r="II705" s="234"/>
      <c r="IJ705" s="234"/>
      <c r="IK705" s="234"/>
      <c r="IL705" s="234"/>
      <c r="IM705" s="234"/>
      <c r="IN705" s="234"/>
      <c r="IO705" s="234"/>
      <c r="IP705" s="234"/>
      <c r="IQ705" s="234"/>
      <c r="IR705" s="234"/>
      <c r="IS705" s="234"/>
      <c r="IT705" s="234"/>
      <c r="IU705" s="234"/>
      <c r="IV705" s="234"/>
    </row>
    <row r="706" spans="1:256" s="374" customFormat="1" x14ac:dyDescent="0.2">
      <c r="A706" s="2392" t="s">
        <v>935</v>
      </c>
      <c r="B706" s="2618"/>
      <c r="C706" s="2618"/>
      <c r="D706" s="2618"/>
      <c r="E706" s="2618"/>
      <c r="F706" s="2618"/>
      <c r="G706" s="2618"/>
      <c r="H706" s="2618"/>
      <c r="I706" s="2618"/>
      <c r="J706" s="2618"/>
      <c r="K706" s="2618"/>
      <c r="L706" s="2618"/>
      <c r="M706" s="2619"/>
      <c r="N706" s="1716">
        <f t="shared" ref="N706:AS706" si="989">N705/I703</f>
        <v>0.18983074490839766</v>
      </c>
      <c r="O706" s="1716">
        <f t="shared" si="989"/>
        <v>0.14911487127938794</v>
      </c>
      <c r="P706" s="1716">
        <f t="shared" si="989"/>
        <v>7.4980115432463856E-2</v>
      </c>
      <c r="Q706" s="1716">
        <f t="shared" si="989"/>
        <v>5.6703641545596283E-2</v>
      </c>
      <c r="R706" s="2620">
        <f t="shared" si="989"/>
        <v>5.6703641545596283E-2</v>
      </c>
      <c r="S706" s="1716">
        <f t="shared" si="989"/>
        <v>5.907927389256893E-2</v>
      </c>
      <c r="T706" s="1716">
        <f t="shared" si="989"/>
        <v>7.1525766382209435E-2</v>
      </c>
      <c r="U706" s="1716">
        <f t="shared" si="989"/>
        <v>7.2387330557110205E-2</v>
      </c>
      <c r="V706" s="1716">
        <f t="shared" si="989"/>
        <v>8.5622456747079662E-2</v>
      </c>
      <c r="W706" s="2620">
        <f t="shared" si="989"/>
        <v>8.5622456747079662E-2</v>
      </c>
      <c r="X706" s="1716">
        <f t="shared" si="989"/>
        <v>9.2702096844125059E-2</v>
      </c>
      <c r="Y706" s="1716">
        <f t="shared" si="989"/>
        <v>9.4199283414213797E-2</v>
      </c>
      <c r="Z706" s="1716">
        <f t="shared" si="989"/>
        <v>7.5869084475895618E-2</v>
      </c>
      <c r="AA706" s="1716">
        <f t="shared" si="989"/>
        <v>-0.17995152354570637</v>
      </c>
      <c r="AB706" s="2620">
        <f t="shared" si="989"/>
        <v>-0.17995152354570637</v>
      </c>
      <c r="AC706" s="1716">
        <f t="shared" si="989"/>
        <v>-0.19401435204727732</v>
      </c>
      <c r="AD706" s="1716">
        <f t="shared" si="989"/>
        <v>-0.19759595457183121</v>
      </c>
      <c r="AE706" s="1716">
        <f t="shared" si="989"/>
        <v>-0.19838522696440758</v>
      </c>
      <c r="AF706" s="1716">
        <f t="shared" si="989"/>
        <v>4.3850019000971158E-2</v>
      </c>
      <c r="AG706" s="2620">
        <f t="shared" si="989"/>
        <v>4.3850019000971158E-2</v>
      </c>
      <c r="AH706" s="1716">
        <f t="shared" si="989"/>
        <v>5.2739632760372475E-2</v>
      </c>
      <c r="AI706" s="1716">
        <f t="shared" si="989"/>
        <v>3.7378349897720931E-2</v>
      </c>
      <c r="AJ706" s="1716">
        <f t="shared" si="989"/>
        <v>4.5139387474614864E-2</v>
      </c>
      <c r="AK706" s="1716">
        <f t="shared" si="989"/>
        <v>4.0986590619501245E-2</v>
      </c>
      <c r="AL706" s="2620">
        <f t="shared" si="989"/>
        <v>4.0986590619501245E-2</v>
      </c>
      <c r="AM706" s="1716">
        <f t="shared" si="989"/>
        <v>3.5461275173127436E-2</v>
      </c>
      <c r="AN706" s="1716">
        <f t="shared" si="989"/>
        <v>3.9387722582958209E-2</v>
      </c>
      <c r="AO706" s="1716">
        <f t="shared" si="989"/>
        <v>4.2865975132238783E-2</v>
      </c>
      <c r="AP706" s="1716">
        <f t="shared" si="989"/>
        <v>3.0202352849745966E-2</v>
      </c>
      <c r="AQ706" s="1716">
        <f t="shared" si="989"/>
        <v>3.0202352849745966E-2</v>
      </c>
      <c r="AR706" s="1716">
        <f t="shared" si="989"/>
        <v>9.1670830610754515E-3</v>
      </c>
      <c r="AS706" s="1716">
        <f t="shared" si="989"/>
        <v>1.2781818007607769E-2</v>
      </c>
      <c r="AT706" s="1716">
        <f t="shared" ref="AT706:BV706" si="990">AT705/AO703</f>
        <v>1.441651688670989E-2</v>
      </c>
      <c r="AU706" s="1716">
        <f t="shared" si="990"/>
        <v>3.0259882317441159E-2</v>
      </c>
      <c r="AV706" s="2620">
        <f t="shared" si="990"/>
        <v>3.0259882317441159E-2</v>
      </c>
      <c r="AW706" s="1716">
        <f t="shared" si="990"/>
        <v>7.1480261278589252E-2</v>
      </c>
      <c r="AX706" s="1716">
        <f t="shared" si="990"/>
        <v>8.1153442256932287E-2</v>
      </c>
      <c r="AY706" s="1716">
        <f t="shared" si="990"/>
        <v>6.3831760962532125E-2</v>
      </c>
      <c r="AZ706" s="1716">
        <f t="shared" si="990"/>
        <v>6.2787739000704765E-2</v>
      </c>
      <c r="BA706" s="2620">
        <f t="shared" si="990"/>
        <v>6.2787739000704765E-2</v>
      </c>
      <c r="BB706" s="1716">
        <f t="shared" si="990"/>
        <v>4.9667196900354572E-2</v>
      </c>
      <c r="BC706" s="1716">
        <f t="shared" si="990"/>
        <v>4.0628636932419783E-2</v>
      </c>
      <c r="BD706" s="1716">
        <f t="shared" si="990"/>
        <v>5.1534705266829441E-2</v>
      </c>
      <c r="BE706" s="1716">
        <f t="shared" si="990"/>
        <v>4.7693274886536852E-2</v>
      </c>
      <c r="BF706" s="2620">
        <f t="shared" si="990"/>
        <v>4.7693274886536852E-2</v>
      </c>
      <c r="BG706" s="1716">
        <f t="shared" si="990"/>
        <v>5.3234900692527815E-2</v>
      </c>
      <c r="BH706" s="1716">
        <f t="shared" si="990"/>
        <v>5.3379526075915305E-2</v>
      </c>
      <c r="BI706" s="1716">
        <f t="shared" si="990"/>
        <v>5.5634795588357246E-2</v>
      </c>
      <c r="BJ706" s="1716">
        <f t="shared" si="990"/>
        <v>6.4797994328223252E-2</v>
      </c>
      <c r="BK706" s="2620">
        <f t="shared" si="990"/>
        <v>6.4797994328223252E-2</v>
      </c>
      <c r="BL706" s="1716">
        <f t="shared" si="990"/>
        <v>4.1903123643554169E-2</v>
      </c>
      <c r="BM706" s="1716">
        <f t="shared" si="990"/>
        <v>3.7191666001436897E-2</v>
      </c>
      <c r="BN706" s="1716">
        <f t="shared" si="990"/>
        <v>2.9835269719322224E-2</v>
      </c>
      <c r="BO706" s="1716">
        <f t="shared" si="990"/>
        <v>2.9057110654788557E-2</v>
      </c>
      <c r="BP706" s="2620">
        <f t="shared" si="990"/>
        <v>2.9057110654788557E-2</v>
      </c>
      <c r="BQ706" s="1716">
        <f t="shared" si="990"/>
        <v>4.7315594164435766E-2</v>
      </c>
      <c r="BR706" s="1716">
        <f t="shared" si="990"/>
        <v>4.7918478553671623E-2</v>
      </c>
      <c r="BS706" s="1716">
        <f t="shared" si="990"/>
        <v>5.5012700519462686E-2</v>
      </c>
      <c r="BT706" s="1716">
        <f>BT705/BO703</f>
        <v>6.1949558146164346E-2</v>
      </c>
      <c r="BU706" s="2620">
        <f t="shared" si="990"/>
        <v>6.1949558146164346E-2</v>
      </c>
      <c r="BV706" s="1716">
        <f t="shared" si="990"/>
        <v>6.0735753432730272E-2</v>
      </c>
      <c r="BW706" s="1716">
        <f t="shared" ref="BW706:CF706" si="991">BW705/BR703</f>
        <v>0.14860269545738314</v>
      </c>
      <c r="BX706" s="1716">
        <f t="shared" si="991"/>
        <v>0.13545033222711464</v>
      </c>
      <c r="BY706" s="1716">
        <f t="shared" si="991"/>
        <v>0.16547753602712631</v>
      </c>
      <c r="BZ706" s="2620">
        <f t="shared" si="991"/>
        <v>0.16547753602712631</v>
      </c>
      <c r="CA706" s="1716">
        <f t="shared" si="991"/>
        <v>5.5903942443245348E-2</v>
      </c>
      <c r="CB706" s="1716">
        <f t="shared" si="991"/>
        <v>-6.8931120034785281E-3</v>
      </c>
      <c r="CC706" s="1716">
        <f t="shared" si="991"/>
        <v>4.9031157071630065E-3</v>
      </c>
      <c r="CD706" s="1716">
        <f t="shared" si="991"/>
        <v>-1.6965178652604784E-2</v>
      </c>
      <c r="CE706" s="2620">
        <f t="shared" si="991"/>
        <v>-1.6965178652604784E-2</v>
      </c>
      <c r="CF706" s="1716">
        <f t="shared" si="991"/>
        <v>7.8186350273270769E-2</v>
      </c>
      <c r="CG706" s="1716">
        <f t="shared" ref="CG706:CO706" si="992">CG705/CB703</f>
        <v>7.348528748953706E-2</v>
      </c>
      <c r="CH706" s="1716">
        <f t="shared" si="992"/>
        <v>6.8625525146851024E-2</v>
      </c>
      <c r="CI706" s="1716">
        <f t="shared" si="992"/>
        <v>1.3775356689233349</v>
      </c>
      <c r="CJ706" s="2620">
        <f t="shared" si="992"/>
        <v>1.3775356689233349</v>
      </c>
      <c r="CK706" s="2393">
        <f t="shared" si="992"/>
        <v>1.3717265989569036</v>
      </c>
      <c r="CL706" s="1716">
        <f t="shared" ca="1" si="992"/>
        <v>1.3641909034746256</v>
      </c>
      <c r="CM706" s="1716">
        <f t="shared" ca="1" si="992"/>
        <v>1.3812965850939558</v>
      </c>
      <c r="CN706" s="1716">
        <f t="shared" ca="1" si="992"/>
        <v>6.2470986999582472E-2</v>
      </c>
      <c r="CO706" s="2620">
        <f t="shared" ca="1" si="992"/>
        <v>6.2470986999582472E-2</v>
      </c>
      <c r="CP706" s="1716">
        <f>CP705/CK703</f>
        <v>5.7758719576964788E-2</v>
      </c>
      <c r="CQ706" s="1716">
        <f ca="1">CQ705/CL703</f>
        <v>6.2651376961424879E-2</v>
      </c>
      <c r="CR706" s="1716">
        <f ca="1">CR705/CM703</f>
        <v>6.4326712136039493E-2</v>
      </c>
      <c r="CS706" s="1716">
        <f ca="1">CS705/CN703</f>
        <v>6.3308778301748581E-2</v>
      </c>
      <c r="CT706" s="2620">
        <f ca="1">CT705/CO703</f>
        <v>6.3308778301748581E-2</v>
      </c>
      <c r="CU706" s="2620">
        <f ca="1">CU705/CT703</f>
        <v>5.6561437011439356E-2</v>
      </c>
      <c r="CV706" s="2620">
        <f ca="1">CV705/CU703</f>
        <v>2.3861795896902547E-2</v>
      </c>
      <c r="CW706" s="2702"/>
      <c r="CX706" s="2702"/>
      <c r="CY706" s="2702"/>
      <c r="CZ706" s="2702"/>
      <c r="DA706" s="2702"/>
      <c r="DB706" s="217"/>
      <c r="DC706" s="212"/>
      <c r="DD706" s="212"/>
      <c r="DE706" s="70"/>
      <c r="DF706" s="11"/>
      <c r="DG706" s="11"/>
      <c r="DH706" s="11"/>
      <c r="DI706" s="11"/>
      <c r="DJ706" s="11"/>
      <c r="DK706" s="11"/>
      <c r="DL706" s="11"/>
      <c r="DM706" s="11"/>
      <c r="DN706" s="11"/>
      <c r="DO706" s="11"/>
      <c r="DP706" s="11"/>
      <c r="DQ706" s="11"/>
      <c r="DR706" s="11"/>
      <c r="DS706" s="11"/>
      <c r="DT706" s="11"/>
      <c r="DU706" s="11"/>
      <c r="DV706" s="11"/>
      <c r="DW706" s="11"/>
      <c r="DX706" s="11"/>
      <c r="DY706" s="11"/>
      <c r="DZ706" s="11"/>
      <c r="EA706" s="11"/>
      <c r="EB706" s="11"/>
      <c r="EC706" s="11"/>
      <c r="ED706" s="11"/>
      <c r="EE706" s="11"/>
      <c r="EF706" s="11"/>
      <c r="EG706" s="11"/>
      <c r="EH706" s="11"/>
      <c r="EI706" s="11"/>
      <c r="EJ706" s="11"/>
      <c r="EK706" s="11"/>
      <c r="EL706" s="11"/>
      <c r="EM706" s="11"/>
      <c r="EN706" s="11"/>
      <c r="EO706" s="11"/>
      <c r="EP706" s="11"/>
      <c r="EQ706" s="11"/>
      <c r="ER706" s="11"/>
      <c r="ES706" s="11"/>
      <c r="ET706" s="11"/>
      <c r="EU706" s="11"/>
      <c r="EV706" s="11"/>
      <c r="EW706" s="11"/>
      <c r="EX706" s="11"/>
      <c r="EY706" s="11"/>
      <c r="EZ706" s="11"/>
      <c r="FA706" s="11"/>
      <c r="FB706" s="11"/>
      <c r="FC706" s="11"/>
      <c r="FD706" s="11"/>
      <c r="FE706" s="11"/>
      <c r="FF706" s="11"/>
      <c r="FG706" s="11"/>
      <c r="FH706" s="11"/>
      <c r="FI706" s="11"/>
      <c r="FJ706" s="11"/>
      <c r="FK706" s="11"/>
      <c r="FL706" s="11"/>
      <c r="FM706" s="11"/>
      <c r="FN706" s="11"/>
      <c r="FO706" s="11"/>
      <c r="FP706" s="11"/>
      <c r="FQ706" s="11"/>
      <c r="FR706" s="11"/>
      <c r="FS706" s="11"/>
      <c r="FT706" s="11"/>
      <c r="FU706" s="11"/>
      <c r="FV706" s="11"/>
      <c r="FW706" s="11"/>
      <c r="FX706" s="11"/>
      <c r="FY706" s="11"/>
      <c r="FZ706" s="11"/>
      <c r="GA706" s="11"/>
      <c r="GB706" s="11"/>
      <c r="GC706" s="11"/>
      <c r="GD706" s="11"/>
      <c r="GE706" s="11"/>
      <c r="GF706" s="11"/>
      <c r="GG706" s="11"/>
      <c r="GH706" s="11"/>
      <c r="GI706" s="11"/>
      <c r="GJ706" s="11"/>
      <c r="GK706" s="11"/>
      <c r="GL706" s="11"/>
      <c r="GM706" s="11"/>
      <c r="GN706" s="11"/>
      <c r="GO706" s="11"/>
      <c r="GP706" s="11"/>
      <c r="GQ706" s="11"/>
      <c r="GR706" s="11"/>
      <c r="GS706" s="11"/>
      <c r="GT706" s="11"/>
      <c r="GU706" s="11"/>
      <c r="GV706" s="11"/>
      <c r="GW706" s="11"/>
      <c r="GX706" s="11"/>
      <c r="GY706" s="11"/>
      <c r="GZ706" s="11"/>
      <c r="HA706" s="11"/>
      <c r="HB706" s="11"/>
      <c r="HC706" s="11"/>
      <c r="HD706" s="11"/>
      <c r="HE706" s="11"/>
      <c r="HF706" s="11"/>
      <c r="HG706" s="11"/>
      <c r="HH706" s="11"/>
      <c r="HI706" s="11"/>
      <c r="HJ706" s="11"/>
      <c r="HK706" s="11"/>
      <c r="HL706" s="11"/>
      <c r="HM706" s="11"/>
      <c r="HN706" s="11"/>
      <c r="HO706" s="11"/>
      <c r="HP706" s="11"/>
      <c r="HQ706" s="11"/>
      <c r="HR706" s="11"/>
      <c r="HS706" s="11"/>
      <c r="HT706" s="11"/>
      <c r="HU706" s="11"/>
      <c r="HV706" s="11"/>
      <c r="HW706" s="11"/>
      <c r="HX706" s="11"/>
      <c r="HY706" s="11"/>
      <c r="HZ706" s="11"/>
      <c r="IA706" s="11"/>
      <c r="IB706" s="11"/>
      <c r="IC706" s="11"/>
      <c r="ID706" s="11"/>
      <c r="IE706" s="11"/>
      <c r="IF706" s="11"/>
      <c r="IG706" s="11"/>
      <c r="IH706" s="11"/>
      <c r="II706" s="11"/>
      <c r="IJ706" s="11"/>
      <c r="IK706" s="11"/>
      <c r="IL706" s="11"/>
      <c r="IM706" s="11"/>
      <c r="IN706" s="11"/>
      <c r="IO706" s="11"/>
      <c r="IP706" s="11"/>
      <c r="IQ706" s="11"/>
      <c r="IR706" s="11"/>
      <c r="IS706" s="11"/>
      <c r="IT706" s="11"/>
      <c r="IU706" s="11"/>
      <c r="IV706" s="11"/>
    </row>
    <row r="707" spans="1:256" s="234" customFormat="1" x14ac:dyDescent="0.2">
      <c r="A707" s="1656"/>
      <c r="B707" s="651"/>
      <c r="BL707" s="212"/>
      <c r="BM707" s="212"/>
      <c r="BN707" s="212"/>
      <c r="BO707" s="212"/>
      <c r="BP707" s="212"/>
      <c r="BQ707" s="212"/>
      <c r="BR707" s="212"/>
      <c r="BS707" s="212"/>
      <c r="BT707" s="212"/>
      <c r="BU707" s="212"/>
      <c r="BV707" s="212"/>
      <c r="BW707" s="212"/>
      <c r="BX707" s="212"/>
      <c r="BY707" s="212"/>
      <c r="BZ707" s="212"/>
      <c r="CA707" s="212"/>
      <c r="CB707" s="212"/>
      <c r="CC707" s="212"/>
      <c r="CD707" s="212"/>
      <c r="CE707" s="212"/>
      <c r="CF707" s="212"/>
      <c r="CG707" s="212"/>
      <c r="CH707" s="871"/>
      <c r="CI707" s="212"/>
      <c r="CJ707" s="212"/>
      <c r="CK707" s="2907"/>
      <c r="CL707" s="212"/>
      <c r="CM707" s="212"/>
      <c r="CN707" s="212"/>
      <c r="CO707" s="212"/>
      <c r="CP707" s="2907"/>
      <c r="CQ707" s="212"/>
      <c r="CR707" s="212"/>
      <c r="CS707" s="212"/>
      <c r="CT707" s="212"/>
      <c r="CU707" s="212"/>
      <c r="CV707" s="212"/>
      <c r="CW707" s="374"/>
      <c r="CX707" s="374"/>
      <c r="CY707" s="374"/>
      <c r="CZ707" s="374"/>
      <c r="DA707" s="374"/>
      <c r="DB707" s="217"/>
      <c r="DC707" s="212"/>
      <c r="DD707" s="212"/>
      <c r="DE707" s="70"/>
      <c r="DF707" s="212"/>
      <c r="DG707" s="212"/>
      <c r="DH707" s="212"/>
      <c r="DI707" s="212"/>
      <c r="DJ707" s="212"/>
      <c r="DK707" s="212"/>
      <c r="DL707" s="212"/>
      <c r="DM707" s="212"/>
      <c r="DN707" s="212"/>
      <c r="DO707" s="212"/>
      <c r="DP707" s="212"/>
      <c r="DQ707" s="212"/>
      <c r="DR707" s="212"/>
      <c r="DS707" s="212"/>
      <c r="DT707" s="212"/>
      <c r="DU707" s="212"/>
      <c r="DV707" s="212"/>
      <c r="DW707" s="212"/>
      <c r="DX707" s="212"/>
      <c r="DY707" s="212"/>
      <c r="DZ707" s="212"/>
      <c r="EA707" s="212"/>
      <c r="EB707" s="212"/>
      <c r="EC707" s="212"/>
      <c r="ED707" s="212"/>
      <c r="EE707" s="212"/>
      <c r="EF707" s="212"/>
      <c r="EG707" s="212"/>
      <c r="EH707" s="212"/>
      <c r="EI707" s="212"/>
      <c r="EJ707" s="212"/>
      <c r="EK707" s="212"/>
      <c r="EL707" s="212"/>
      <c r="EM707" s="212"/>
      <c r="EN707" s="212"/>
      <c r="EO707" s="212"/>
      <c r="EP707" s="212"/>
      <c r="EQ707" s="212"/>
      <c r="ER707" s="212"/>
      <c r="ES707" s="212"/>
      <c r="ET707" s="212"/>
      <c r="EU707" s="212"/>
      <c r="EV707" s="212"/>
      <c r="EW707" s="212"/>
      <c r="EX707" s="212"/>
      <c r="EY707" s="212"/>
      <c r="EZ707" s="212"/>
      <c r="FA707" s="212"/>
      <c r="FB707" s="212"/>
      <c r="FC707" s="212"/>
      <c r="FD707" s="212"/>
      <c r="FE707" s="212"/>
      <c r="FF707" s="212"/>
      <c r="FG707" s="212"/>
      <c r="FH707" s="212"/>
      <c r="FI707" s="212"/>
      <c r="FJ707" s="212"/>
      <c r="FK707" s="212"/>
      <c r="FL707" s="212"/>
      <c r="FM707" s="212"/>
      <c r="FN707" s="212"/>
      <c r="FO707" s="212"/>
      <c r="FP707" s="212"/>
      <c r="FQ707" s="212"/>
      <c r="FR707" s="212"/>
      <c r="FS707" s="212"/>
      <c r="FT707" s="212"/>
      <c r="FU707" s="212"/>
      <c r="FV707" s="212"/>
      <c r="FW707" s="212"/>
      <c r="FX707" s="212"/>
      <c r="FY707" s="212"/>
      <c r="FZ707" s="212"/>
      <c r="GA707" s="212"/>
      <c r="GB707" s="212"/>
      <c r="GC707" s="212"/>
      <c r="GD707" s="212"/>
      <c r="GE707" s="212"/>
      <c r="GF707" s="212"/>
      <c r="GG707" s="212"/>
      <c r="GH707" s="212"/>
      <c r="GI707" s="212"/>
      <c r="GJ707" s="212"/>
      <c r="GK707" s="212"/>
      <c r="GL707" s="212"/>
      <c r="GM707" s="212"/>
      <c r="GN707" s="212"/>
      <c r="GO707" s="212"/>
      <c r="GP707" s="212"/>
      <c r="GQ707" s="212"/>
      <c r="GR707" s="212"/>
      <c r="GS707" s="212"/>
      <c r="GT707" s="212"/>
      <c r="GU707" s="212"/>
      <c r="GV707" s="212"/>
      <c r="GW707" s="212"/>
      <c r="GX707" s="212"/>
      <c r="GY707" s="212"/>
      <c r="GZ707" s="212"/>
      <c r="HA707" s="212"/>
      <c r="HB707" s="212"/>
      <c r="HC707" s="212"/>
      <c r="HD707" s="212"/>
      <c r="HE707" s="212"/>
      <c r="HF707" s="212"/>
      <c r="HG707" s="212"/>
      <c r="HH707" s="212"/>
      <c r="HI707" s="212"/>
      <c r="HJ707" s="212"/>
      <c r="HK707" s="212"/>
      <c r="HL707" s="212"/>
      <c r="HM707" s="212"/>
      <c r="HN707" s="212"/>
      <c r="HO707" s="212"/>
      <c r="HP707" s="212"/>
      <c r="HQ707" s="212"/>
      <c r="HR707" s="212"/>
      <c r="HS707" s="212"/>
      <c r="HT707" s="212"/>
      <c r="HU707" s="212"/>
      <c r="HV707" s="212"/>
      <c r="HW707" s="212"/>
      <c r="HX707" s="212"/>
      <c r="HY707" s="212"/>
      <c r="HZ707" s="212"/>
      <c r="IA707" s="212"/>
      <c r="IB707" s="212"/>
      <c r="IC707" s="212"/>
      <c r="ID707" s="212"/>
      <c r="IE707" s="212"/>
      <c r="IF707" s="212"/>
      <c r="IG707" s="212"/>
      <c r="IH707" s="212"/>
      <c r="II707" s="212"/>
      <c r="IJ707" s="212"/>
      <c r="IK707" s="212"/>
      <c r="IL707" s="212"/>
      <c r="IM707" s="212"/>
      <c r="IN707" s="212"/>
      <c r="IO707" s="212"/>
      <c r="IP707" s="212"/>
      <c r="IQ707" s="212"/>
      <c r="IR707" s="212"/>
      <c r="IS707" s="212"/>
      <c r="IT707" s="212"/>
      <c r="IU707" s="212"/>
      <c r="IV707" s="212"/>
    </row>
    <row r="708" spans="1:256" s="3033" customFormat="1" x14ac:dyDescent="0.2">
      <c r="A708" s="3032"/>
      <c r="B708" s="2400"/>
      <c r="C708" s="2402"/>
      <c r="D708" s="2402"/>
      <c r="E708" s="2402"/>
      <c r="F708" s="2402"/>
      <c r="G708" s="2402"/>
      <c r="H708" s="2402"/>
      <c r="I708" s="2402"/>
      <c r="J708" s="2402"/>
      <c r="K708" s="2402"/>
      <c r="L708" s="2402"/>
      <c r="M708" s="2402"/>
      <c r="N708" s="2402"/>
      <c r="O708" s="2402"/>
      <c r="P708" s="2402"/>
      <c r="Q708" s="2402"/>
      <c r="R708" s="2402"/>
      <c r="S708" s="2402"/>
      <c r="T708" s="2402"/>
      <c r="U708" s="2402"/>
      <c r="V708" s="2402"/>
      <c r="W708" s="2402"/>
      <c r="X708" s="2402"/>
      <c r="Y708" s="2402"/>
      <c r="Z708" s="2402"/>
      <c r="AA708" s="2402"/>
      <c r="AB708" s="2402"/>
      <c r="AC708" s="2402"/>
      <c r="AD708" s="2402"/>
      <c r="AE708" s="2402"/>
      <c r="AF708" s="2402"/>
      <c r="AG708" s="2402"/>
      <c r="AH708" s="2402"/>
      <c r="AI708" s="2402"/>
      <c r="AJ708" s="2402"/>
      <c r="AK708" s="2402"/>
      <c r="AL708" s="2402"/>
      <c r="AM708" s="2402"/>
      <c r="AN708" s="2402"/>
      <c r="AO708" s="2402"/>
      <c r="AP708" s="2402"/>
      <c r="AQ708" s="2402"/>
      <c r="AR708" s="2402"/>
      <c r="AS708" s="2402"/>
      <c r="AT708" s="2402"/>
      <c r="AU708" s="2402"/>
      <c r="AV708" s="2402"/>
      <c r="AW708" s="2402"/>
      <c r="AX708" s="2402"/>
      <c r="AY708" s="2402"/>
      <c r="AZ708" s="2402"/>
      <c r="BA708" s="2402"/>
      <c r="BB708" s="2402"/>
      <c r="BC708" s="2402"/>
      <c r="BD708" s="2402"/>
      <c r="BE708" s="2402"/>
      <c r="BF708" s="2402"/>
      <c r="BG708" s="2402"/>
      <c r="BH708" s="2402"/>
      <c r="BI708" s="2402"/>
      <c r="BJ708" s="2402"/>
      <c r="BK708" s="2402"/>
      <c r="BL708" s="2402"/>
      <c r="BM708" s="2402"/>
      <c r="BN708" s="2402"/>
      <c r="BO708" s="2402"/>
      <c r="BP708" s="2402"/>
      <c r="BQ708" s="2402"/>
      <c r="BR708" s="2402"/>
      <c r="BS708" s="2402"/>
      <c r="BT708" s="2402"/>
      <c r="BU708" s="2402"/>
      <c r="BV708" s="2402"/>
      <c r="BW708" s="2402"/>
      <c r="BX708" s="2402"/>
      <c r="BY708" s="2402"/>
      <c r="BZ708" s="2402"/>
      <c r="CA708" s="2402"/>
      <c r="CB708" s="2402"/>
      <c r="CC708" s="2402"/>
      <c r="CD708" s="2402"/>
      <c r="CE708">
        <f>CE743/CE848</f>
        <v>1.4550450813788954E-2</v>
      </c>
      <c r="CF708" s="2402"/>
      <c r="CG708" s="2402"/>
      <c r="CH708" s="2402"/>
      <c r="CI708" s="2402"/>
      <c r="CJ708" s="2402"/>
      <c r="CK708" s="3515"/>
      <c r="CL708" s="2402"/>
      <c r="CM708" s="2402"/>
      <c r="CN708" s="2402"/>
      <c r="CO708" s="2402"/>
      <c r="CP708" s="3515"/>
      <c r="CQ708" s="2402"/>
      <c r="CR708" s="2402"/>
      <c r="CS708" s="2402"/>
      <c r="CT708" s="2402"/>
      <c r="CU708" s="2402"/>
      <c r="CV708" s="2402"/>
      <c r="CW708" s="2745"/>
      <c r="CX708" s="2745"/>
      <c r="CY708" s="2745"/>
      <c r="CZ708" s="2745"/>
      <c r="DA708" s="2745"/>
      <c r="DB708" s="217"/>
      <c r="DC708" s="212"/>
      <c r="DD708" s="2402"/>
      <c r="DE708" s="2644"/>
      <c r="DF708" s="2402"/>
      <c r="DG708" s="2402"/>
      <c r="DH708" s="2402"/>
      <c r="DI708" s="2402"/>
      <c r="DJ708" s="2402"/>
      <c r="DK708" s="2402"/>
      <c r="DL708" s="2402"/>
      <c r="DM708" s="2402"/>
      <c r="DN708" s="2402"/>
      <c r="DO708" s="2402"/>
      <c r="DP708" s="2402"/>
      <c r="DQ708" s="2402"/>
      <c r="DR708" s="2402"/>
      <c r="DS708" s="2402"/>
      <c r="DT708" s="2402"/>
      <c r="DU708" s="2402"/>
      <c r="DV708" s="2402"/>
      <c r="DW708" s="2402"/>
      <c r="DX708" s="2402"/>
      <c r="DY708" s="2402"/>
      <c r="DZ708" s="2402"/>
      <c r="EA708" s="2402"/>
      <c r="EB708" s="2402"/>
      <c r="EC708" s="2402"/>
      <c r="ED708" s="2402"/>
      <c r="EE708" s="2402"/>
      <c r="EF708" s="2402"/>
      <c r="EG708" s="2402"/>
      <c r="EH708" s="2402"/>
      <c r="EI708" s="2402"/>
      <c r="EJ708" s="2402"/>
      <c r="EK708" s="2402"/>
      <c r="EL708" s="2402"/>
      <c r="EM708" s="2402"/>
      <c r="EN708" s="2402"/>
      <c r="EO708" s="2402"/>
      <c r="EP708" s="2402"/>
      <c r="EQ708" s="2402"/>
      <c r="ER708" s="2402"/>
      <c r="ES708" s="2402"/>
      <c r="ET708" s="2402"/>
      <c r="EU708" s="2402"/>
      <c r="EV708" s="2402"/>
      <c r="EW708" s="2402"/>
      <c r="EX708" s="2402"/>
      <c r="EY708" s="2402"/>
      <c r="EZ708" s="2402"/>
      <c r="FA708" s="2402"/>
      <c r="FB708" s="2402"/>
      <c r="FC708" s="2402"/>
      <c r="FD708" s="2402"/>
      <c r="FE708" s="2402"/>
      <c r="FF708" s="2402"/>
      <c r="FG708" s="2402"/>
      <c r="FH708" s="2402"/>
      <c r="FI708" s="2402"/>
      <c r="FJ708" s="2402"/>
      <c r="FK708" s="2402"/>
      <c r="FL708" s="2402"/>
      <c r="FM708" s="2402"/>
      <c r="FN708" s="2402"/>
      <c r="FO708" s="2402"/>
      <c r="FP708" s="2402"/>
      <c r="FQ708" s="2402"/>
      <c r="FR708" s="2402"/>
      <c r="FS708" s="2402"/>
      <c r="FT708" s="2402"/>
      <c r="FU708" s="2402"/>
      <c r="FV708" s="2402"/>
      <c r="FW708" s="2402"/>
      <c r="FX708" s="2402"/>
      <c r="FY708" s="2402"/>
      <c r="FZ708" s="2402"/>
      <c r="GA708" s="2402"/>
      <c r="GB708" s="2402"/>
      <c r="GC708" s="2402"/>
      <c r="GD708" s="2402"/>
      <c r="GE708" s="2402"/>
      <c r="GF708" s="2402"/>
      <c r="GG708" s="2402"/>
      <c r="GH708" s="2402"/>
      <c r="GI708" s="2402"/>
      <c r="GJ708" s="2402"/>
      <c r="GK708" s="2402"/>
      <c r="GL708" s="2402"/>
      <c r="GM708" s="2402"/>
      <c r="GN708" s="2402"/>
      <c r="GO708" s="2402"/>
      <c r="GP708" s="2402"/>
      <c r="GQ708" s="2402"/>
      <c r="GR708" s="2402"/>
      <c r="GS708" s="2402"/>
      <c r="GT708" s="2402"/>
      <c r="GU708" s="2402"/>
      <c r="GV708" s="2402"/>
      <c r="GW708" s="2402"/>
      <c r="GX708" s="2402"/>
      <c r="GY708" s="2402"/>
      <c r="GZ708" s="2402"/>
      <c r="HA708" s="2402"/>
      <c r="HB708" s="2402"/>
      <c r="HC708" s="2402"/>
      <c r="HD708" s="2402"/>
      <c r="HE708" s="2402"/>
      <c r="HF708" s="2402"/>
      <c r="HG708" s="2402"/>
      <c r="HH708" s="2402"/>
      <c r="HI708" s="2402"/>
      <c r="HJ708" s="2402"/>
      <c r="HK708" s="2402"/>
      <c r="HL708" s="2402"/>
      <c r="HM708" s="2402"/>
      <c r="HN708" s="2402"/>
      <c r="HO708" s="2402"/>
      <c r="HP708" s="2402"/>
      <c r="HQ708" s="2402"/>
      <c r="HR708" s="2402"/>
      <c r="HS708" s="2402"/>
      <c r="HT708" s="2402"/>
      <c r="HU708" s="2402"/>
      <c r="HV708" s="2402"/>
      <c r="HW708" s="2402"/>
      <c r="HX708" s="2402"/>
      <c r="HY708" s="2402"/>
      <c r="HZ708" s="2402"/>
      <c r="IA708" s="2402"/>
      <c r="IB708" s="2402"/>
      <c r="IC708" s="2402"/>
      <c r="ID708" s="2402"/>
      <c r="IE708" s="2402"/>
      <c r="IF708" s="2402"/>
      <c r="IG708" s="2402"/>
      <c r="IH708" s="2402"/>
      <c r="II708" s="2402"/>
      <c r="IJ708" s="2402"/>
      <c r="IK708" s="2402"/>
      <c r="IL708" s="2402"/>
      <c r="IM708" s="2402"/>
      <c r="IN708" s="2402"/>
      <c r="IO708" s="2402"/>
      <c r="IP708" s="2402"/>
      <c r="IQ708" s="2402"/>
      <c r="IR708" s="2402"/>
      <c r="IS708" s="2402"/>
      <c r="IT708" s="2402"/>
      <c r="IU708" s="2402"/>
      <c r="IV708" s="2402"/>
    </row>
    <row r="709" spans="1:256" s="212" customFormat="1" x14ac:dyDescent="0.2">
      <c r="A709" s="1265" t="s">
        <v>1327</v>
      </c>
      <c r="B709" s="1425"/>
      <c r="C709" s="1217"/>
      <c r="D709" s="1453" t="str">
        <f>RevPAR!B$5</f>
        <v>1Q00</v>
      </c>
      <c r="E709" s="1053" t="str">
        <f>RevPAR!C$5</f>
        <v>2Q00</v>
      </c>
      <c r="F709" s="1053" t="str">
        <f>RevPAR!D$5</f>
        <v>3Q00</v>
      </c>
      <c r="G709" s="1053" t="str">
        <f>RevPAR!E$5</f>
        <v>4Q00</v>
      </c>
      <c r="H709" s="1054">
        <f>RevPAR!F$5</f>
        <v>2000</v>
      </c>
      <c r="I709" s="1053" t="str">
        <f>RevPAR!G$5</f>
        <v>1Q01</v>
      </c>
      <c r="J709" s="1053" t="str">
        <f>RevPAR!H$5</f>
        <v>2Q01</v>
      </c>
      <c r="K709" s="1053" t="str">
        <f>RevPAR!I$5</f>
        <v>3Q01</v>
      </c>
      <c r="L709" s="1053" t="str">
        <f>RevPAR!J$5</f>
        <v>4Q01</v>
      </c>
      <c r="M709" s="1054">
        <f>RevPAR!K$5</f>
        <v>2001</v>
      </c>
      <c r="N709" s="1053" t="str">
        <f>RevPAR!L$5</f>
        <v>1Q02</v>
      </c>
      <c r="O709" s="1053" t="str">
        <f>RevPAR!M$5</f>
        <v>2Q02</v>
      </c>
      <c r="P709" s="1053" t="str">
        <f>RevPAR!N$5</f>
        <v>3Q02</v>
      </c>
      <c r="Q709" s="1053" t="str">
        <f>RevPAR!O$5</f>
        <v>4Q02</v>
      </c>
      <c r="R709" s="1054">
        <f>RevPAR!P$5</f>
        <v>2002</v>
      </c>
      <c r="S709" s="1053" t="str">
        <f>RevPAR!Q$5</f>
        <v>1Q03</v>
      </c>
      <c r="T709" s="1053" t="str">
        <f>RevPAR!R$5</f>
        <v>2Q03</v>
      </c>
      <c r="U709" s="1053" t="str">
        <f>RevPAR!S$5</f>
        <v>3Q03</v>
      </c>
      <c r="V709" s="1053" t="str">
        <f>RevPAR!T$5</f>
        <v>4Q03</v>
      </c>
      <c r="W709" s="1054">
        <f>RevPAR!U$5</f>
        <v>2003</v>
      </c>
      <c r="X709" s="1053" t="str">
        <f>RevPAR!V$5</f>
        <v>1Q04</v>
      </c>
      <c r="Y709" s="1053" t="str">
        <f>RevPAR!W$5</f>
        <v>2Q04</v>
      </c>
      <c r="Z709" s="1053" t="str">
        <f>RevPAR!X$5</f>
        <v>3Q04</v>
      </c>
      <c r="AA709" s="1053" t="str">
        <f>RevPAR!Y$5</f>
        <v>4Q04</v>
      </c>
      <c r="AB709" s="1054" t="str">
        <f>RevPAR!Z$5</f>
        <v>2004</v>
      </c>
      <c r="AC709" s="1053" t="str">
        <f>RevPAR!AA$5</f>
        <v>1Q05</v>
      </c>
      <c r="AD709" s="1053" t="str">
        <f>RevPAR!AB$5</f>
        <v>2Q05</v>
      </c>
      <c r="AE709" s="1053" t="str">
        <f>RevPAR!AC$5</f>
        <v>3Q05</v>
      </c>
      <c r="AF709" s="1053" t="str">
        <f>RevPAR!AD$5</f>
        <v>4Q05</v>
      </c>
      <c r="AG709" s="1054">
        <f>RevPAR!AE$5</f>
        <v>2005</v>
      </c>
      <c r="AH709" s="1053" t="str">
        <f>RevPAR!AF$5</f>
        <v>1Q06</v>
      </c>
      <c r="AI709" s="1053" t="str">
        <f>RevPAR!AG$5</f>
        <v>2Q06</v>
      </c>
      <c r="AJ709" s="1053" t="str">
        <f>RevPAR!AH$5</f>
        <v>3Q06</v>
      </c>
      <c r="AK709" s="1053" t="str">
        <f>RevPAR!AI$5</f>
        <v>4Q06</v>
      </c>
      <c r="AL709" s="1054">
        <f>RevPAR!AJ$5</f>
        <v>2006</v>
      </c>
      <c r="AM709" s="1053" t="str">
        <f>RevPAR!AK$5</f>
        <v>1Q07</v>
      </c>
      <c r="AN709" s="1053" t="str">
        <f>RevPAR!AL$5</f>
        <v>2Q07</v>
      </c>
      <c r="AO709" s="1053" t="str">
        <f>RevPAR!AM$5</f>
        <v>3Q07</v>
      </c>
      <c r="AP709" s="1053" t="str">
        <f>RevPAR!AN$5</f>
        <v>4Q07</v>
      </c>
      <c r="AQ709" s="1054" t="str">
        <f>RevPAR!AO$5</f>
        <v>2007</v>
      </c>
      <c r="AR709" s="1053" t="str">
        <f>RevPAR!AP$5</f>
        <v>1Q08</v>
      </c>
      <c r="AS709" s="1053" t="str">
        <f>RevPAR!AQ$5</f>
        <v>2Q08</v>
      </c>
      <c r="AT709" s="1053" t="str">
        <f>RevPAR!AR$5</f>
        <v>3Q08</v>
      </c>
      <c r="AU709" s="1053" t="str">
        <f>RevPAR!AS$5</f>
        <v>4Q08</v>
      </c>
      <c r="AV709" s="1054" t="str">
        <f>RevPAR!AT$5</f>
        <v>2008</v>
      </c>
      <c r="AW709" s="1053" t="str">
        <f>RevPAR!AU$5</f>
        <v>1Q09</v>
      </c>
      <c r="AX709" s="1053" t="str">
        <f>RevPAR!AV$5</f>
        <v>2Q09</v>
      </c>
      <c r="AY709" s="1053" t="str">
        <f>RevPAR!AW$5</f>
        <v>3Q09</v>
      </c>
      <c r="AZ709" s="1053" t="str">
        <f>RevPAR!AX$5</f>
        <v>4Q09</v>
      </c>
      <c r="BA709" s="1054" t="str">
        <f>RevPAR!AY$5</f>
        <v>2009</v>
      </c>
      <c r="BB709" s="1053" t="str">
        <f>RevPAR!AZ$5</f>
        <v>1Q10</v>
      </c>
      <c r="BC709" s="1053" t="str">
        <f>RevPAR!BA$5</f>
        <v>2Q10</v>
      </c>
      <c r="BD709" s="1053" t="str">
        <f>RevPAR!BB$5</f>
        <v>3Q10</v>
      </c>
      <c r="BE709" s="1053" t="str">
        <f>RevPAR!BC$5</f>
        <v>4Q10</v>
      </c>
      <c r="BF709" s="1054" t="str">
        <f>RevPAR!BD$5</f>
        <v>2010</v>
      </c>
      <c r="BG709" s="1053" t="str">
        <f>RevPAR!BE$5</f>
        <v>1Q11</v>
      </c>
      <c r="BH709" s="1053" t="str">
        <f>RevPAR!BF$5</f>
        <v>2Q11</v>
      </c>
      <c r="BI709" s="1053" t="str">
        <f>RevPAR!BG$5</f>
        <v>3Q11</v>
      </c>
      <c r="BJ709" s="1053" t="str">
        <f>RevPAR!BH$5</f>
        <v>4Q11</v>
      </c>
      <c r="BK709" s="1054">
        <f>RevPAR!BI$5</f>
        <v>2011</v>
      </c>
      <c r="BL709" s="1053" t="str">
        <f>RevPAR!BJ$5</f>
        <v>1Q12</v>
      </c>
      <c r="BM709" s="1053" t="str">
        <f>RevPAR!BK$5</f>
        <v>2Q12</v>
      </c>
      <c r="BN709" s="1053" t="str">
        <f>RevPAR!BL$5</f>
        <v>3Q12</v>
      </c>
      <c r="BO709" s="1053" t="str">
        <f>RevPAR!BM$5</f>
        <v>4Q12</v>
      </c>
      <c r="BP709" s="1054">
        <f>RevPAR!BN$5</f>
        <v>2012</v>
      </c>
      <c r="BQ709" s="1053" t="str">
        <f>RevPAR!BO$5</f>
        <v>1Q13</v>
      </c>
      <c r="BR709" s="1053" t="str">
        <f>RevPAR!BP$5</f>
        <v>2Q13</v>
      </c>
      <c r="BS709" s="1053" t="str">
        <f>RevPAR!BQ$5</f>
        <v>3Q13</v>
      </c>
      <c r="BT709" s="1053" t="str">
        <f>RevPAR!BR$5</f>
        <v>4Q13</v>
      </c>
      <c r="BU709" s="1054">
        <f>RevPAR!BS$5</f>
        <v>2013</v>
      </c>
      <c r="BV709" s="1053" t="str">
        <f>RevPAR!BT$5</f>
        <v>1Q14</v>
      </c>
      <c r="BW709" s="1053" t="str">
        <f>RevPAR!BU$5</f>
        <v>2Q14</v>
      </c>
      <c r="BX709" s="1053" t="str">
        <f>RevPAR!BV$5</f>
        <v>3Q14</v>
      </c>
      <c r="BY709" s="1053" t="str">
        <f>RevPAR!BW$5</f>
        <v>4Q14</v>
      </c>
      <c r="BZ709" s="1054">
        <f>RevPAR!BX$5</f>
        <v>2014</v>
      </c>
      <c r="CA709" s="1053" t="str">
        <f>RevPAR!BY$5</f>
        <v>1Q15</v>
      </c>
      <c r="CB709" s="1053" t="str">
        <f>RevPAR!BZ$5</f>
        <v>2Q15</v>
      </c>
      <c r="CC709" s="1053" t="str">
        <f>RevPAR!CA$5</f>
        <v>3Q15</v>
      </c>
      <c r="CD709" s="1053" t="str">
        <f>RevPAR!CB$5</f>
        <v>4Q15</v>
      </c>
      <c r="CE709" s="1054">
        <f>RevPAR!CC$5</f>
        <v>2015</v>
      </c>
      <c r="CF709" s="1053" t="str">
        <f>RevPAR!CD$5</f>
        <v>1Q16</v>
      </c>
      <c r="CG709" s="1053" t="str">
        <f>RevPAR!CE$5</f>
        <v>2Q16</v>
      </c>
      <c r="CH709" s="1053" t="str">
        <f>RevPAR!CF$5</f>
        <v>3Q16</v>
      </c>
      <c r="CI709" s="1053" t="str">
        <f>RevPAR!CG$5</f>
        <v>4Q16</v>
      </c>
      <c r="CJ709" s="1054">
        <f>RevPAR!CH$5</f>
        <v>2016</v>
      </c>
      <c r="CK709" s="1053" t="s">
        <v>2974</v>
      </c>
      <c r="CL709" s="1053" t="str">
        <f>RevPAR!CJ$5</f>
        <v>2Q17</v>
      </c>
      <c r="CM709" s="1053" t="str">
        <f>RevPAR!CK$5</f>
        <v>3Q17</v>
      </c>
      <c r="CN709" s="1053" t="str">
        <f>RevPAR!CL$5</f>
        <v>4Q17A</v>
      </c>
      <c r="CO709" s="1054" t="str">
        <f>RevPAR!CM$5</f>
        <v>2017A</v>
      </c>
      <c r="CP709" s="1053" t="str">
        <f>RevPAR!CN$5</f>
        <v>1Q18E</v>
      </c>
      <c r="CQ709" s="1053" t="str">
        <f>RevPAR!CO$5</f>
        <v>2Q18E</v>
      </c>
      <c r="CR709" s="1053" t="str">
        <f>RevPAR!CP$5</f>
        <v>3Q18E</v>
      </c>
      <c r="CS709" s="1053" t="str">
        <f>RevPAR!CQ$5</f>
        <v>4Q18E</v>
      </c>
      <c r="CT709" s="1054" t="str">
        <f>RevPAR!CR$5</f>
        <v>2018E</v>
      </c>
      <c r="CU709" s="1054" t="str">
        <f>RevPAR!CS$5</f>
        <v>2019E</v>
      </c>
      <c r="CV709" s="1054" t="str">
        <f>RevPAR!CT$5</f>
        <v>2020E</v>
      </c>
      <c r="CW709" s="374"/>
      <c r="CX709" s="374"/>
      <c r="CY709" s="374"/>
      <c r="CZ709" s="374"/>
      <c r="DA709" s="374"/>
      <c r="DB709" s="217"/>
      <c r="DE709" s="70"/>
      <c r="DF709" s="70"/>
      <c r="DG709" s="70"/>
      <c r="DH709" s="70"/>
      <c r="DI709" s="70"/>
      <c r="DJ709" s="70"/>
      <c r="DK709" s="70"/>
      <c r="DL709" s="70"/>
      <c r="DM709" s="70"/>
      <c r="DN709" s="70"/>
      <c r="DO709" s="70"/>
      <c r="DP709" s="70"/>
      <c r="DQ709" s="70"/>
      <c r="DR709" s="70"/>
      <c r="DS709" s="70"/>
      <c r="DT709" s="70"/>
      <c r="DU709" s="70"/>
      <c r="DV709" s="70"/>
      <c r="DW709" s="70"/>
      <c r="DX709" s="70"/>
      <c r="DY709" s="70"/>
      <c r="DZ709" s="70"/>
      <c r="EA709" s="70"/>
      <c r="EB709" s="70"/>
      <c r="EC709" s="70"/>
      <c r="ED709" s="70"/>
      <c r="EE709" s="70"/>
      <c r="EF709" s="70"/>
      <c r="EG709" s="70"/>
      <c r="EH709" s="70"/>
      <c r="EI709" s="70"/>
      <c r="EJ709" s="70"/>
      <c r="EK709" s="70"/>
      <c r="EL709" s="70"/>
      <c r="EM709" s="70"/>
      <c r="EN709" s="70"/>
      <c r="EO709" s="70"/>
      <c r="EP709" s="70"/>
      <c r="EQ709" s="70"/>
      <c r="ER709" s="70"/>
      <c r="ES709" s="70"/>
      <c r="ET709" s="70"/>
      <c r="EU709" s="70"/>
      <c r="EV709" s="70"/>
      <c r="EW709" s="70"/>
      <c r="EX709" s="70"/>
      <c r="EY709" s="70"/>
      <c r="EZ709" s="70"/>
      <c r="FA709" s="70"/>
      <c r="FB709" s="70"/>
      <c r="FC709" s="70"/>
      <c r="FD709" s="70"/>
      <c r="FE709" s="70"/>
      <c r="FF709" s="70"/>
      <c r="FG709" s="70"/>
      <c r="FH709" s="70"/>
      <c r="FI709" s="70"/>
      <c r="FJ709" s="70"/>
      <c r="FK709" s="70"/>
      <c r="FL709" s="70"/>
      <c r="FM709" s="70"/>
      <c r="FN709" s="70"/>
      <c r="FO709" s="70"/>
      <c r="FP709" s="70"/>
      <c r="FQ709" s="70"/>
      <c r="FR709" s="70"/>
      <c r="FS709" s="70"/>
      <c r="FT709" s="70"/>
      <c r="FU709" s="70"/>
      <c r="FV709" s="70"/>
      <c r="FW709" s="70"/>
      <c r="FX709" s="70"/>
      <c r="FY709" s="70"/>
      <c r="FZ709" s="70"/>
      <c r="GA709" s="70"/>
      <c r="GB709" s="70"/>
      <c r="GC709" s="70"/>
      <c r="GD709" s="70"/>
      <c r="GE709" s="70"/>
      <c r="GF709" s="70"/>
      <c r="GG709" s="70"/>
      <c r="GH709" s="70"/>
      <c r="GI709" s="70"/>
      <c r="GJ709" s="70"/>
      <c r="GK709" s="70"/>
      <c r="GL709" s="70"/>
      <c r="GM709" s="70"/>
      <c r="GN709" s="70"/>
      <c r="GO709" s="70"/>
      <c r="GP709" s="70"/>
      <c r="GQ709" s="70"/>
      <c r="GR709" s="70"/>
      <c r="GS709" s="70"/>
      <c r="GT709" s="70"/>
      <c r="GU709" s="70"/>
      <c r="GV709" s="70"/>
      <c r="GW709" s="70"/>
      <c r="GX709" s="70"/>
      <c r="GY709" s="70"/>
      <c r="GZ709" s="70"/>
      <c r="HA709" s="70"/>
      <c r="HB709" s="70"/>
      <c r="HC709" s="70"/>
      <c r="HD709" s="70"/>
      <c r="HE709" s="70"/>
      <c r="HF709" s="70"/>
      <c r="HG709" s="70"/>
      <c r="HH709" s="70"/>
      <c r="HI709" s="70"/>
      <c r="HJ709" s="70"/>
      <c r="HK709" s="70"/>
      <c r="HL709" s="70"/>
      <c r="HM709" s="70"/>
      <c r="HN709" s="70"/>
      <c r="HO709" s="70"/>
      <c r="HP709" s="70"/>
      <c r="HQ709" s="70"/>
      <c r="HR709" s="70"/>
      <c r="HS709" s="70"/>
      <c r="HT709" s="70"/>
      <c r="HU709" s="70"/>
      <c r="HV709" s="70"/>
      <c r="HW709" s="70"/>
      <c r="HX709" s="70"/>
      <c r="HY709" s="70"/>
      <c r="HZ709" s="70"/>
      <c r="IA709" s="70"/>
      <c r="IB709" s="70"/>
      <c r="IC709" s="70"/>
      <c r="ID709" s="70"/>
      <c r="IE709" s="70"/>
      <c r="IF709" s="70"/>
      <c r="IG709" s="70"/>
      <c r="IH709" s="70"/>
      <c r="II709" s="70"/>
      <c r="IJ709" s="70"/>
      <c r="IK709" s="70"/>
      <c r="IL709" s="70"/>
      <c r="IM709" s="70"/>
      <c r="IN709" s="70"/>
      <c r="IO709" s="70"/>
      <c r="IP709" s="70"/>
      <c r="IQ709" s="70"/>
      <c r="IR709" s="70"/>
      <c r="IS709" s="70"/>
      <c r="IT709" s="70"/>
      <c r="IU709" s="70"/>
      <c r="IV709" s="70"/>
    </row>
    <row r="710" spans="1:256" s="212" customFormat="1" x14ac:dyDescent="0.2">
      <c r="A710" s="1263"/>
      <c r="B710" s="651"/>
      <c r="C710" s="236"/>
      <c r="D710" s="207"/>
      <c r="E710" s="207"/>
      <c r="F710" s="207"/>
      <c r="G710" s="234"/>
      <c r="H710" s="236"/>
      <c r="I710" s="207"/>
      <c r="J710" s="207"/>
      <c r="K710" s="207"/>
      <c r="L710" s="234"/>
      <c r="M710" s="236"/>
      <c r="N710" s="234"/>
      <c r="O710" s="234"/>
      <c r="P710" s="234"/>
      <c r="Q710" s="234"/>
      <c r="R710" s="236"/>
      <c r="S710" s="234"/>
      <c r="T710" s="234"/>
      <c r="U710" s="234"/>
      <c r="V710" s="234"/>
      <c r="W710" s="236"/>
      <c r="X710" s="234"/>
      <c r="Y710" s="234"/>
      <c r="Z710" s="234"/>
      <c r="AA710" s="234"/>
      <c r="AB710" s="236"/>
      <c r="AC710" s="234"/>
      <c r="AD710" s="234"/>
      <c r="AE710" s="234"/>
      <c r="AF710" s="234"/>
      <c r="AG710" s="236"/>
      <c r="AH710" s="234"/>
      <c r="AI710" s="234"/>
      <c r="AJ710" s="234"/>
      <c r="AK710" s="234"/>
      <c r="AL710" s="236"/>
      <c r="AM710" s="234"/>
      <c r="AN710" s="234"/>
      <c r="AO710" s="234"/>
      <c r="AP710" s="234"/>
      <c r="AQ710" s="236"/>
      <c r="AR710" s="234"/>
      <c r="AS710" s="234"/>
      <c r="AT710" s="234"/>
      <c r="AU710" s="234"/>
      <c r="AV710" s="236"/>
      <c r="AW710" s="234"/>
      <c r="AX710" s="234"/>
      <c r="AY710" s="234"/>
      <c r="AZ710" s="234"/>
      <c r="BA710" s="236"/>
      <c r="BB710" s="234"/>
      <c r="BC710" s="234"/>
      <c r="BD710" s="234"/>
      <c r="BE710" s="234"/>
      <c r="BF710" s="236"/>
      <c r="BG710" s="234"/>
      <c r="BH710" s="234"/>
      <c r="BI710" s="234"/>
      <c r="BJ710" s="234"/>
      <c r="BK710" s="236"/>
      <c r="BP710" s="194"/>
      <c r="BU710" s="194"/>
      <c r="BZ710" s="194"/>
      <c r="CE710" s="194"/>
      <c r="CJ710" s="194"/>
      <c r="CK710" s="2907"/>
      <c r="CO710" s="194"/>
      <c r="CP710" s="2907"/>
      <c r="CT710" s="194"/>
      <c r="CU710" s="194"/>
      <c r="CV710" s="194"/>
      <c r="CW710" s="374"/>
      <c r="CX710" s="374"/>
      <c r="CY710" s="374"/>
      <c r="CZ710" s="374"/>
      <c r="DA710" s="374"/>
      <c r="DB710" s="217"/>
      <c r="DE710" s="70"/>
      <c r="DF710" s="70"/>
      <c r="DG710" s="70"/>
      <c r="DH710" s="70"/>
      <c r="DI710" s="70"/>
      <c r="DJ710" s="70"/>
      <c r="DK710" s="70"/>
      <c r="DL710" s="70"/>
      <c r="DM710" s="70"/>
      <c r="DN710" s="70"/>
      <c r="DO710" s="70"/>
      <c r="DP710" s="70"/>
      <c r="DQ710" s="70"/>
      <c r="DR710" s="70"/>
      <c r="DS710" s="70"/>
      <c r="DT710" s="70"/>
      <c r="DU710" s="70"/>
      <c r="DV710" s="70"/>
      <c r="DW710" s="70"/>
      <c r="DX710" s="70"/>
      <c r="DY710" s="70"/>
      <c r="DZ710" s="70"/>
      <c r="EA710" s="70"/>
      <c r="EB710" s="70"/>
      <c r="EC710" s="70"/>
      <c r="ED710" s="70"/>
      <c r="EE710" s="70"/>
      <c r="EF710" s="70"/>
      <c r="EG710" s="70"/>
      <c r="EH710" s="70"/>
      <c r="EI710" s="70"/>
      <c r="EJ710" s="70"/>
      <c r="EK710" s="70"/>
      <c r="EL710" s="70"/>
      <c r="EM710" s="70"/>
      <c r="EN710" s="70"/>
      <c r="EO710" s="70"/>
      <c r="EP710" s="70"/>
      <c r="EQ710" s="70"/>
      <c r="ER710" s="70"/>
      <c r="ES710" s="70"/>
      <c r="ET710" s="70"/>
      <c r="EU710" s="70"/>
      <c r="EV710" s="70"/>
      <c r="EW710" s="70"/>
      <c r="EX710" s="70"/>
      <c r="EY710" s="70"/>
      <c r="EZ710" s="70"/>
      <c r="FA710" s="70"/>
      <c r="FB710" s="70"/>
      <c r="FC710" s="70"/>
      <c r="FD710" s="70"/>
      <c r="FE710" s="70"/>
      <c r="FF710" s="70"/>
      <c r="FG710" s="70"/>
      <c r="FH710" s="70"/>
      <c r="FI710" s="70"/>
      <c r="FJ710" s="70"/>
      <c r="FK710" s="70"/>
      <c r="FL710" s="70"/>
      <c r="FM710" s="70"/>
      <c r="FN710" s="70"/>
      <c r="FO710" s="70"/>
      <c r="FP710" s="70"/>
      <c r="FQ710" s="70"/>
      <c r="FR710" s="70"/>
      <c r="FS710" s="70"/>
      <c r="FT710" s="70"/>
      <c r="FU710" s="70"/>
      <c r="FV710" s="70"/>
      <c r="FW710" s="70"/>
      <c r="FX710" s="70"/>
      <c r="FY710" s="70"/>
      <c r="FZ710" s="70"/>
      <c r="GA710" s="70"/>
      <c r="GB710" s="70"/>
      <c r="GC710" s="70"/>
      <c r="GD710" s="70"/>
      <c r="GE710" s="70"/>
      <c r="GF710" s="70"/>
      <c r="GG710" s="70"/>
      <c r="GH710" s="70"/>
      <c r="GI710" s="70"/>
      <c r="GJ710" s="70"/>
      <c r="GK710" s="70"/>
      <c r="GL710" s="70"/>
      <c r="GM710" s="70"/>
      <c r="GN710" s="70"/>
      <c r="GO710" s="70"/>
      <c r="GP710" s="70"/>
      <c r="GQ710" s="70"/>
      <c r="GR710" s="70"/>
      <c r="GS710" s="70"/>
      <c r="GT710" s="70"/>
      <c r="GU710" s="70"/>
      <c r="GV710" s="70"/>
      <c r="GW710" s="70"/>
      <c r="GX710" s="70"/>
      <c r="GY710" s="70"/>
      <c r="GZ710" s="70"/>
      <c r="HA710" s="70"/>
      <c r="HB710" s="70"/>
      <c r="HC710" s="70"/>
      <c r="HD710" s="70"/>
      <c r="HE710" s="70"/>
      <c r="HF710" s="70"/>
      <c r="HG710" s="70"/>
      <c r="HH710" s="70"/>
      <c r="HI710" s="70"/>
      <c r="HJ710" s="70"/>
      <c r="HK710" s="70"/>
      <c r="HL710" s="70"/>
      <c r="HM710" s="70"/>
      <c r="HN710" s="70"/>
      <c r="HO710" s="70"/>
      <c r="HP710" s="70"/>
      <c r="HQ710" s="70"/>
      <c r="HR710" s="70"/>
      <c r="HS710" s="70"/>
      <c r="HT710" s="70"/>
      <c r="HU710" s="70"/>
      <c r="HV710" s="70"/>
      <c r="HW710" s="70"/>
      <c r="HX710" s="70"/>
      <c r="HY710" s="70"/>
      <c r="HZ710" s="70"/>
      <c r="IA710" s="70"/>
      <c r="IB710" s="70"/>
      <c r="IC710" s="70"/>
      <c r="ID710" s="70"/>
      <c r="IE710" s="70"/>
      <c r="IF710" s="70"/>
      <c r="IG710" s="70"/>
      <c r="IH710" s="70"/>
      <c r="II710" s="70"/>
      <c r="IJ710" s="70"/>
      <c r="IK710" s="70"/>
      <c r="IL710" s="70"/>
      <c r="IM710" s="70"/>
      <c r="IN710" s="70"/>
      <c r="IO710" s="70"/>
      <c r="IP710" s="70"/>
      <c r="IQ710" s="70"/>
      <c r="IR710" s="70"/>
      <c r="IS710" s="70"/>
      <c r="IT710" s="70"/>
      <c r="IU710" s="70"/>
      <c r="IV710" s="70"/>
    </row>
    <row r="711" spans="1:256" x14ac:dyDescent="0.2">
      <c r="A711" s="1263" t="s">
        <v>649</v>
      </c>
      <c r="B711" s="651"/>
      <c r="C711" s="236"/>
      <c r="D711" s="207"/>
      <c r="E711" s="207"/>
      <c r="F711" s="207"/>
      <c r="G711" s="234"/>
      <c r="H711" s="236"/>
      <c r="I711" s="207"/>
      <c r="J711" s="207"/>
      <c r="K711" s="207"/>
      <c r="L711" s="234"/>
      <c r="M711" s="236"/>
      <c r="N711" s="234"/>
      <c r="O711" s="234"/>
      <c r="P711" s="234"/>
      <c r="Q711" s="234"/>
      <c r="R711" s="236"/>
      <c r="S711" s="234"/>
      <c r="T711" s="234"/>
      <c r="U711" s="234"/>
      <c r="V711" s="234"/>
      <c r="W711" s="236"/>
      <c r="X711" s="234"/>
      <c r="Y711" s="234"/>
      <c r="Z711" s="234"/>
      <c r="AA711" s="234"/>
      <c r="AB711" s="236"/>
      <c r="AC711" s="234"/>
      <c r="AD711" s="234"/>
      <c r="AE711" s="234"/>
      <c r="AF711" s="234"/>
      <c r="AG711" s="236"/>
      <c r="AH711" s="234"/>
      <c r="AI711" s="234"/>
      <c r="AJ711" s="234"/>
      <c r="AK711" s="234"/>
      <c r="AL711" s="236"/>
      <c r="AM711" s="234"/>
      <c r="AN711" s="234"/>
      <c r="AO711" s="234"/>
      <c r="AP711" s="234"/>
      <c r="AQ711" s="236"/>
      <c r="AR711" s="234"/>
      <c r="AS711" s="234"/>
      <c r="AT711" s="234"/>
      <c r="AU711" s="234"/>
      <c r="AV711" s="236"/>
      <c r="AW711" s="234"/>
      <c r="AX711" s="234"/>
      <c r="AY711" s="234"/>
      <c r="AZ711" s="234"/>
      <c r="BA711" s="236"/>
      <c r="BB711" s="234"/>
      <c r="BC711" s="234"/>
      <c r="BD711" s="234"/>
      <c r="BE711" s="234"/>
      <c r="BF711" s="236"/>
      <c r="BG711" s="234"/>
      <c r="BH711" s="234"/>
      <c r="BI711" s="234"/>
      <c r="BJ711" s="234"/>
      <c r="BK711" s="236"/>
      <c r="BL711" s="212"/>
      <c r="BM711" s="212"/>
      <c r="BN711" s="212"/>
      <c r="BO711" s="212"/>
      <c r="BP711" s="194"/>
      <c r="BQ711" s="212"/>
      <c r="BR711" s="212"/>
      <c r="BS711" s="212"/>
      <c r="BT711" s="212"/>
      <c r="BU711" s="194"/>
      <c r="BV711" s="212"/>
      <c r="BW711" s="212"/>
      <c r="BX711" s="212"/>
      <c r="BY711" s="212"/>
      <c r="BZ711" s="194"/>
      <c r="CA711" s="212"/>
      <c r="CB711" s="212"/>
      <c r="CC711" s="212"/>
      <c r="CD711" s="212"/>
      <c r="CE711" s="194"/>
      <c r="CF711" s="212"/>
      <c r="CG711" s="212"/>
      <c r="CH711" s="212"/>
      <c r="CI711" s="212"/>
      <c r="CJ711" s="194"/>
      <c r="CK711" s="2907"/>
      <c r="CL711" s="212"/>
      <c r="CM711" s="212"/>
      <c r="CN711" s="212"/>
      <c r="CO711" s="194"/>
      <c r="CP711" s="2907"/>
      <c r="CQ711" s="212"/>
      <c r="CR711" s="212"/>
      <c r="CS711" s="212"/>
      <c r="CT711" s="194"/>
      <c r="CU711" s="194"/>
      <c r="CV711" s="194"/>
      <c r="CW711" s="374"/>
      <c r="CX711" s="374"/>
      <c r="CY711" s="374"/>
      <c r="CZ711" s="374"/>
      <c r="DA711" s="374"/>
      <c r="DB711" s="217"/>
    </row>
    <row r="712" spans="1:256" x14ac:dyDescent="0.2">
      <c r="A712" s="2632" t="s">
        <v>456</v>
      </c>
      <c r="B712" s="651"/>
      <c r="C712" s="236"/>
      <c r="D712" s="207"/>
      <c r="E712" s="207"/>
      <c r="F712" s="207"/>
      <c r="G712" s="234"/>
      <c r="H712" s="236"/>
      <c r="I712" s="207"/>
      <c r="J712" s="207"/>
      <c r="K712" s="207"/>
      <c r="L712" s="234"/>
      <c r="M712" s="236"/>
      <c r="N712" s="234"/>
      <c r="O712" s="234"/>
      <c r="P712" s="234"/>
      <c r="Q712" s="234"/>
      <c r="R712" s="236"/>
      <c r="S712" s="234"/>
      <c r="T712" s="234"/>
      <c r="U712" s="234"/>
      <c r="V712" s="234"/>
      <c r="W712" s="236"/>
      <c r="X712" s="234"/>
      <c r="Y712" s="234"/>
      <c r="Z712" s="234"/>
      <c r="AA712" s="234"/>
      <c r="AB712" s="236"/>
      <c r="AC712" s="234"/>
      <c r="AD712" s="234"/>
      <c r="AE712" s="234"/>
      <c r="AF712" s="234"/>
      <c r="AG712" s="236"/>
      <c r="AH712" s="234"/>
      <c r="AI712" s="234"/>
      <c r="AJ712" s="234"/>
      <c r="AK712" s="234"/>
      <c r="AL712" s="236"/>
      <c r="AM712" s="234"/>
      <c r="AN712" s="234"/>
      <c r="AO712" s="234"/>
      <c r="AP712" s="234"/>
      <c r="AQ712" s="236"/>
      <c r="AR712" s="234"/>
      <c r="AS712" s="234"/>
      <c r="AT712" s="234"/>
      <c r="AU712" s="234"/>
      <c r="AV712" s="236"/>
      <c r="AW712" s="234"/>
      <c r="AX712" s="234"/>
      <c r="AY712" s="234"/>
      <c r="AZ712" s="234"/>
      <c r="BA712" s="236"/>
      <c r="BB712" s="234"/>
      <c r="BC712" s="234"/>
      <c r="BD712" s="234"/>
      <c r="BE712" s="234"/>
      <c r="BF712" s="236"/>
      <c r="BG712" s="234"/>
      <c r="BH712" s="234"/>
      <c r="BI712" s="234"/>
      <c r="BJ712" s="234"/>
      <c r="BK712" s="236"/>
      <c r="BL712" s="212"/>
      <c r="BM712" s="212"/>
      <c r="BN712" s="212"/>
      <c r="BO712" s="212"/>
      <c r="BP712" s="194"/>
      <c r="BQ712" s="212"/>
      <c r="BR712" s="212"/>
      <c r="BS712" s="212"/>
      <c r="BT712" s="212"/>
      <c r="BU712" s="194"/>
      <c r="BV712" s="212"/>
      <c r="BW712" s="212"/>
      <c r="BX712" s="212"/>
      <c r="BY712" s="212"/>
      <c r="BZ712" s="194"/>
      <c r="CA712" s="212"/>
      <c r="CB712" s="212"/>
      <c r="CC712" s="212"/>
      <c r="CD712" s="212"/>
      <c r="CE712" s="194"/>
      <c r="CF712" s="212"/>
      <c r="CG712" s="212"/>
      <c r="CH712" s="847">
        <f t="shared" ref="CH712:CI727" si="993">CH426+CH571</f>
        <v>496</v>
      </c>
      <c r="CI712" s="847">
        <f t="shared" si="993"/>
        <v>496</v>
      </c>
      <c r="CJ712" s="194">
        <f>CI712</f>
        <v>496</v>
      </c>
      <c r="CK712" s="2350">
        <f t="shared" ref="CK712:CK727" si="994">CK426+CK571</f>
        <v>496</v>
      </c>
      <c r="CL712" s="847">
        <f t="shared" ref="CL712:CN727" si="995">CL426+CL571</f>
        <v>496</v>
      </c>
      <c r="CM712" s="847">
        <f t="shared" si="995"/>
        <v>496</v>
      </c>
      <c r="CN712" s="847">
        <f t="shared" si="995"/>
        <v>496</v>
      </c>
      <c r="CO712" s="194">
        <f>CN712</f>
        <v>496</v>
      </c>
      <c r="CP712" s="973">
        <f t="shared" ref="CP712:CS727" si="996">CP426+CP571</f>
        <v>496</v>
      </c>
      <c r="CQ712" s="847">
        <f t="shared" si="996"/>
        <v>496</v>
      </c>
      <c r="CR712" s="847">
        <f t="shared" si="996"/>
        <v>496</v>
      </c>
      <c r="CS712" s="1431">
        <f t="shared" si="996"/>
        <v>496</v>
      </c>
      <c r="CT712" s="194">
        <f>CS712</f>
        <v>496</v>
      </c>
      <c r="CU712" s="194">
        <f t="shared" ref="CU712:CV727" si="997">CU426+CU571</f>
        <v>496</v>
      </c>
      <c r="CV712" s="194">
        <f t="shared" si="997"/>
        <v>496</v>
      </c>
      <c r="CW712" s="374"/>
      <c r="CX712" s="374"/>
      <c r="CY712" s="374"/>
      <c r="CZ712" s="374"/>
      <c r="DA712" s="374"/>
      <c r="DB712" s="217"/>
    </row>
    <row r="713" spans="1:256" x14ac:dyDescent="0.2">
      <c r="A713" s="1266" t="s">
        <v>346</v>
      </c>
      <c r="B713" s="651"/>
      <c r="C713" s="236"/>
      <c r="D713" s="207"/>
      <c r="E713" s="207"/>
      <c r="F713" s="207"/>
      <c r="G713" s="234"/>
      <c r="H713" s="661">
        <f t="shared" ref="H713:L727" si="998">H427+H572</f>
        <v>5206</v>
      </c>
      <c r="I713" s="973">
        <f t="shared" si="998"/>
        <v>4840</v>
      </c>
      <c r="J713" s="847">
        <f t="shared" si="998"/>
        <v>4729</v>
      </c>
      <c r="K713" s="847">
        <f t="shared" si="998"/>
        <v>3425</v>
      </c>
      <c r="L713" s="847">
        <f t="shared" si="998"/>
        <v>3425</v>
      </c>
      <c r="M713" s="661">
        <f>L713</f>
        <v>3425</v>
      </c>
      <c r="N713" s="973">
        <f t="shared" ref="N713:Q727" si="999">N427+N572</f>
        <v>3424</v>
      </c>
      <c r="O713" s="847">
        <f t="shared" si="999"/>
        <v>3424</v>
      </c>
      <c r="P713" s="847">
        <f t="shared" si="999"/>
        <v>3281</v>
      </c>
      <c r="Q713" s="847">
        <f t="shared" si="999"/>
        <v>3004</v>
      </c>
      <c r="R713" s="661">
        <f>Q713</f>
        <v>3004</v>
      </c>
      <c r="S713" s="973">
        <f t="shared" ref="S713:V727" si="1000">S427+S572</f>
        <v>3004</v>
      </c>
      <c r="T713" s="847">
        <f t="shared" si="1000"/>
        <v>3004</v>
      </c>
      <c r="U713" s="847">
        <f t="shared" si="1000"/>
        <v>3082</v>
      </c>
      <c r="V713" s="847">
        <f t="shared" si="1000"/>
        <v>2481</v>
      </c>
      <c r="W713" s="661">
        <f>V713</f>
        <v>2481</v>
      </c>
      <c r="X713" s="973">
        <f t="shared" ref="X713:AA727" si="1001">X427+X572</f>
        <v>3715</v>
      </c>
      <c r="Y713" s="847">
        <f t="shared" si="1001"/>
        <v>3318</v>
      </c>
      <c r="Z713" s="847">
        <f t="shared" si="1001"/>
        <v>3318</v>
      </c>
      <c r="AA713" s="847">
        <f t="shared" si="1001"/>
        <v>2806</v>
      </c>
      <c r="AB713" s="661">
        <f>AA713</f>
        <v>2806</v>
      </c>
      <c r="AC713" s="973">
        <f t="shared" ref="AC713:AF727" si="1002">AC427+AC572</f>
        <v>3504</v>
      </c>
      <c r="AD713" s="847">
        <f t="shared" si="1002"/>
        <v>3415</v>
      </c>
      <c r="AE713" s="847">
        <f t="shared" si="1002"/>
        <v>3415</v>
      </c>
      <c r="AF713" s="847">
        <f t="shared" si="1002"/>
        <v>3763</v>
      </c>
      <c r="AG713" s="661">
        <f>AF713</f>
        <v>3763</v>
      </c>
      <c r="AH713" s="973">
        <f t="shared" ref="AH713:AK727" si="1003">AH427+AH572</f>
        <v>4545</v>
      </c>
      <c r="AI713" s="847">
        <f t="shared" si="1003"/>
        <v>4188</v>
      </c>
      <c r="AJ713" s="847">
        <f t="shared" si="1003"/>
        <v>4188</v>
      </c>
      <c r="AK713" s="847">
        <f t="shared" si="1003"/>
        <v>4645</v>
      </c>
      <c r="AL713" s="661">
        <f>AK713</f>
        <v>4645</v>
      </c>
      <c r="AM713" s="973">
        <f t="shared" ref="AM713:AP727" si="1004">AM427+AM572</f>
        <v>5360</v>
      </c>
      <c r="AN713" s="847">
        <f t="shared" si="1004"/>
        <v>4603</v>
      </c>
      <c r="AO713" s="847">
        <f t="shared" si="1004"/>
        <v>3699</v>
      </c>
      <c r="AP713" s="847">
        <f t="shared" si="1004"/>
        <v>3354</v>
      </c>
      <c r="AQ713" s="661">
        <f>AP713</f>
        <v>3354</v>
      </c>
      <c r="AR713" s="973">
        <f t="shared" ref="AR713:AU727" si="1005">AR427+AR572</f>
        <v>3355</v>
      </c>
      <c r="AS713" s="847">
        <f t="shared" si="1005"/>
        <v>3859</v>
      </c>
      <c r="AT713" s="847">
        <f t="shared" si="1005"/>
        <v>3999</v>
      </c>
      <c r="AU713" s="847">
        <f t="shared" si="1005"/>
        <v>4019</v>
      </c>
      <c r="AV713" s="661">
        <f>AU713</f>
        <v>4019</v>
      </c>
      <c r="AW713" s="973">
        <f t="shared" ref="AW713:AZ727" si="1006">AW427+AW572</f>
        <v>4131</v>
      </c>
      <c r="AX713" s="847">
        <f t="shared" si="1006"/>
        <v>4131</v>
      </c>
      <c r="AY713" s="847">
        <f t="shared" si="1006"/>
        <v>4131</v>
      </c>
      <c r="AZ713" s="847">
        <f t="shared" si="1006"/>
        <v>4131</v>
      </c>
      <c r="BA713" s="661">
        <f>AZ713</f>
        <v>4131</v>
      </c>
      <c r="BB713" s="973">
        <f t="shared" ref="BB713:BE727" si="1007">BB427+BB572</f>
        <v>4632</v>
      </c>
      <c r="BC713" s="847">
        <f t="shared" si="1007"/>
        <v>4632</v>
      </c>
      <c r="BD713" s="847">
        <f t="shared" si="1007"/>
        <v>4632</v>
      </c>
      <c r="BE713" s="847">
        <f t="shared" si="1007"/>
        <v>4647</v>
      </c>
      <c r="BF713" s="661">
        <f>BE713</f>
        <v>4647</v>
      </c>
      <c r="BG713" s="973">
        <f t="shared" ref="BG713:BJ727" si="1008">BG427+BG572</f>
        <v>4647</v>
      </c>
      <c r="BH713" s="847">
        <f t="shared" si="1008"/>
        <v>4647</v>
      </c>
      <c r="BI713" s="847">
        <f t="shared" si="1008"/>
        <v>4647</v>
      </c>
      <c r="BJ713" s="847">
        <f t="shared" si="1008"/>
        <v>4264</v>
      </c>
      <c r="BK713" s="661">
        <f>BJ713</f>
        <v>4264</v>
      </c>
      <c r="BL713" s="847">
        <f t="shared" ref="BL713:BO727" si="1009">BL427+BL572</f>
        <v>4264</v>
      </c>
      <c r="BM713" s="847">
        <f t="shared" si="1009"/>
        <v>4264</v>
      </c>
      <c r="BN713" s="847">
        <f t="shared" si="1009"/>
        <v>4264</v>
      </c>
      <c r="BO713" s="847">
        <f t="shared" si="1009"/>
        <v>4012</v>
      </c>
      <c r="BP713" s="194">
        <f>BO713</f>
        <v>4012</v>
      </c>
      <c r="BQ713" s="847">
        <f t="shared" ref="BQ713:BT727" si="1010">BQ427+BQ572</f>
        <v>4012</v>
      </c>
      <c r="BR713" s="847">
        <f t="shared" si="1010"/>
        <v>3863</v>
      </c>
      <c r="BS713" s="847">
        <f t="shared" si="1010"/>
        <v>3603</v>
      </c>
      <c r="BT713" s="847">
        <f t="shared" si="1010"/>
        <v>4041</v>
      </c>
      <c r="BU713" s="194">
        <f>BT713</f>
        <v>4041</v>
      </c>
      <c r="BV713" s="847">
        <f t="shared" ref="BV713:BY727" si="1011">BV427+BV572</f>
        <v>4041</v>
      </c>
      <c r="BW713" s="847">
        <f t="shared" si="1011"/>
        <v>4041</v>
      </c>
      <c r="BX713" s="847">
        <f t="shared" si="1011"/>
        <v>4041</v>
      </c>
      <c r="BY713" s="847">
        <f t="shared" si="1011"/>
        <v>4041</v>
      </c>
      <c r="BZ713" s="194">
        <f>BY713</f>
        <v>4041</v>
      </c>
      <c r="CA713" s="847">
        <f t="shared" ref="CA713:CD727" si="1012">CA427+CA572</f>
        <v>4043</v>
      </c>
      <c r="CB713" s="847">
        <f t="shared" si="1012"/>
        <v>4043</v>
      </c>
      <c r="CC713" s="847">
        <f t="shared" si="1012"/>
        <v>4043</v>
      </c>
      <c r="CD713" s="847">
        <f t="shared" si="1012"/>
        <v>4043</v>
      </c>
      <c r="CE713" s="194">
        <f>CD713</f>
        <v>4043</v>
      </c>
      <c r="CF713" s="847">
        <f t="shared" ref="CF713:CG727" si="1013">CF427+CF572</f>
        <v>4043</v>
      </c>
      <c r="CG713" s="847">
        <f t="shared" si="1013"/>
        <v>4043</v>
      </c>
      <c r="CH713" s="847">
        <f t="shared" si="993"/>
        <v>3547</v>
      </c>
      <c r="CI713" s="847">
        <f t="shared" si="993"/>
        <v>3547</v>
      </c>
      <c r="CJ713" s="194">
        <f t="shared" ref="CJ713:CJ721" si="1014">CI713</f>
        <v>3547</v>
      </c>
      <c r="CK713" s="2350">
        <f t="shared" si="994"/>
        <v>3727</v>
      </c>
      <c r="CL713" s="847">
        <f t="shared" si="995"/>
        <v>3289</v>
      </c>
      <c r="CM713" s="847">
        <f t="shared" si="995"/>
        <v>3289</v>
      </c>
      <c r="CN713" s="847">
        <f t="shared" si="995"/>
        <v>3289</v>
      </c>
      <c r="CO713" s="194">
        <f t="shared" ref="CO713:CO721" si="1015">CN713</f>
        <v>3289</v>
      </c>
      <c r="CP713" s="973">
        <f t="shared" si="996"/>
        <v>3289</v>
      </c>
      <c r="CQ713" s="847">
        <f t="shared" si="996"/>
        <v>3289</v>
      </c>
      <c r="CR713" s="847">
        <f t="shared" si="996"/>
        <v>3289</v>
      </c>
      <c r="CS713" s="1431">
        <f t="shared" si="996"/>
        <v>3289</v>
      </c>
      <c r="CT713" s="194">
        <f t="shared" ref="CT713:CT721" si="1016">CS713</f>
        <v>3289</v>
      </c>
      <c r="CU713" s="194">
        <f t="shared" si="997"/>
        <v>3289</v>
      </c>
      <c r="CV713" s="194">
        <f t="shared" si="997"/>
        <v>3289</v>
      </c>
      <c r="CW713" s="374"/>
      <c r="CX713" s="374"/>
      <c r="CY713" s="374"/>
      <c r="CZ713" s="374"/>
      <c r="DA713" s="374"/>
      <c r="DB713" s="217"/>
    </row>
    <row r="714" spans="1:256" x14ac:dyDescent="0.2">
      <c r="A714" s="1266" t="s">
        <v>1385</v>
      </c>
      <c r="B714" s="651"/>
      <c r="C714" s="236"/>
      <c r="D714" s="207"/>
      <c r="E714" s="207"/>
      <c r="F714" s="207"/>
      <c r="G714" s="234"/>
      <c r="H714" s="661">
        <f t="shared" si="998"/>
        <v>0</v>
      </c>
      <c r="I714" s="973">
        <f t="shared" si="998"/>
        <v>0</v>
      </c>
      <c r="J714" s="847">
        <f t="shared" si="998"/>
        <v>0</v>
      </c>
      <c r="K714" s="847">
        <f t="shared" si="998"/>
        <v>0</v>
      </c>
      <c r="L714" s="847">
        <f t="shared" si="998"/>
        <v>0</v>
      </c>
      <c r="M714" s="661">
        <f t="shared" ref="M714:M729" si="1017">L714</f>
        <v>0</v>
      </c>
      <c r="N714" s="973">
        <f t="shared" si="999"/>
        <v>0</v>
      </c>
      <c r="O714" s="847">
        <f t="shared" si="999"/>
        <v>0</v>
      </c>
      <c r="P714" s="847">
        <f t="shared" si="999"/>
        <v>0</v>
      </c>
      <c r="Q714" s="847">
        <f t="shared" si="999"/>
        <v>0</v>
      </c>
      <c r="R714" s="661">
        <f t="shared" ref="R714:R729" si="1018">Q714</f>
        <v>0</v>
      </c>
      <c r="S714" s="973">
        <f t="shared" si="1000"/>
        <v>0</v>
      </c>
      <c r="T714" s="847">
        <f t="shared" si="1000"/>
        <v>0</v>
      </c>
      <c r="U714" s="847">
        <f t="shared" si="1000"/>
        <v>0</v>
      </c>
      <c r="V714" s="847">
        <f t="shared" si="1000"/>
        <v>0</v>
      </c>
      <c r="W714" s="661">
        <f t="shared" ref="W714:W729" si="1019">V714</f>
        <v>0</v>
      </c>
      <c r="X714" s="973">
        <f t="shared" si="1001"/>
        <v>276</v>
      </c>
      <c r="Y714" s="847">
        <f t="shared" si="1001"/>
        <v>458</v>
      </c>
      <c r="Z714" s="847">
        <f t="shared" si="1001"/>
        <v>458</v>
      </c>
      <c r="AA714" s="847">
        <f t="shared" si="1001"/>
        <v>276</v>
      </c>
      <c r="AB714" s="661">
        <f t="shared" ref="AB714:AB729" si="1020">AA714</f>
        <v>276</v>
      </c>
      <c r="AC714" s="973">
        <f t="shared" si="1002"/>
        <v>276</v>
      </c>
      <c r="AD714" s="847">
        <f t="shared" si="1002"/>
        <v>97</v>
      </c>
      <c r="AE714" s="847">
        <f t="shared" si="1002"/>
        <v>4662</v>
      </c>
      <c r="AF714" s="847">
        <f t="shared" si="1002"/>
        <v>4608</v>
      </c>
      <c r="AG714" s="661">
        <f t="shared" ref="AG714:AG729" si="1021">AF714</f>
        <v>4608</v>
      </c>
      <c r="AH714" s="973">
        <f t="shared" si="1003"/>
        <v>3939</v>
      </c>
      <c r="AI714" s="847">
        <f t="shared" si="1003"/>
        <v>2280</v>
      </c>
      <c r="AJ714" s="847">
        <f t="shared" si="1003"/>
        <v>1481</v>
      </c>
      <c r="AK714" s="847">
        <f t="shared" si="1003"/>
        <v>1743</v>
      </c>
      <c r="AL714" s="661">
        <f t="shared" ref="AL714:AL729" si="1022">AK714</f>
        <v>1743</v>
      </c>
      <c r="AM714" s="973">
        <f t="shared" si="1004"/>
        <v>1743</v>
      </c>
      <c r="AN714" s="847">
        <f t="shared" si="1004"/>
        <v>1743</v>
      </c>
      <c r="AO714" s="847">
        <f t="shared" si="1004"/>
        <v>1481</v>
      </c>
      <c r="AP714" s="847">
        <f t="shared" si="1004"/>
        <v>1481</v>
      </c>
      <c r="AQ714" s="661">
        <f t="shared" ref="AQ714:AQ729" si="1023">AP714</f>
        <v>1481</v>
      </c>
      <c r="AR714" s="973">
        <f t="shared" si="1005"/>
        <v>1952</v>
      </c>
      <c r="AS714" s="847">
        <f t="shared" si="1005"/>
        <v>1952</v>
      </c>
      <c r="AT714" s="847">
        <f t="shared" si="1005"/>
        <v>1952</v>
      </c>
      <c r="AU714" s="847">
        <f t="shared" si="1005"/>
        <v>1952</v>
      </c>
      <c r="AV714" s="661">
        <f t="shared" ref="AV714:AV729" si="1024">AU714</f>
        <v>1952</v>
      </c>
      <c r="AW714" s="973">
        <f t="shared" si="1006"/>
        <v>1952</v>
      </c>
      <c r="AX714" s="847">
        <f t="shared" si="1006"/>
        <v>1952</v>
      </c>
      <c r="AY714" s="847">
        <f t="shared" si="1006"/>
        <v>1952</v>
      </c>
      <c r="AZ714" s="847">
        <f t="shared" si="1006"/>
        <v>1952</v>
      </c>
      <c r="BA714" s="661">
        <f t="shared" ref="BA714:BA729" si="1025">AZ714</f>
        <v>1952</v>
      </c>
      <c r="BB714" s="973">
        <f t="shared" si="1007"/>
        <v>1952</v>
      </c>
      <c r="BC714" s="847">
        <f t="shared" si="1007"/>
        <v>1481</v>
      </c>
      <c r="BD714" s="847">
        <f t="shared" si="1007"/>
        <v>1481</v>
      </c>
      <c r="BE714" s="847">
        <f t="shared" si="1007"/>
        <v>2653</v>
      </c>
      <c r="BF714" s="661">
        <f t="shared" ref="BF714:BF729" si="1026">BE714</f>
        <v>2653</v>
      </c>
      <c r="BG714" s="973">
        <f t="shared" si="1008"/>
        <v>2864</v>
      </c>
      <c r="BH714" s="847">
        <f t="shared" si="1008"/>
        <v>2698</v>
      </c>
      <c r="BI714" s="847">
        <f t="shared" si="1008"/>
        <v>2698</v>
      </c>
      <c r="BJ714" s="847">
        <f t="shared" si="1008"/>
        <v>2437</v>
      </c>
      <c r="BK714" s="661">
        <f t="shared" ref="BK714:BK729" si="1027">BJ714</f>
        <v>2437</v>
      </c>
      <c r="BL714" s="847">
        <f t="shared" si="1009"/>
        <v>2437</v>
      </c>
      <c r="BM714" s="847">
        <f t="shared" si="1009"/>
        <v>2437</v>
      </c>
      <c r="BN714" s="847">
        <f t="shared" si="1009"/>
        <v>2201</v>
      </c>
      <c r="BO714" s="847">
        <f t="shared" si="1009"/>
        <v>1998</v>
      </c>
      <c r="BP714" s="194">
        <f t="shared" ref="BP714:BP729" si="1028">BO714</f>
        <v>1998</v>
      </c>
      <c r="BQ714" s="847">
        <f t="shared" si="1010"/>
        <v>1998</v>
      </c>
      <c r="BR714" s="847">
        <f t="shared" si="1010"/>
        <v>1998</v>
      </c>
      <c r="BS714" s="847">
        <f t="shared" si="1010"/>
        <v>1998</v>
      </c>
      <c r="BT714" s="847">
        <f t="shared" si="1010"/>
        <v>1998</v>
      </c>
      <c r="BU714" s="194">
        <f t="shared" ref="BU714:BU729" si="1029">BT714</f>
        <v>1998</v>
      </c>
      <c r="BV714" s="847">
        <f t="shared" si="1011"/>
        <v>1998</v>
      </c>
      <c r="BW714" s="847">
        <f t="shared" si="1011"/>
        <v>1787</v>
      </c>
      <c r="BX714" s="847">
        <f t="shared" si="1011"/>
        <v>1274</v>
      </c>
      <c r="BY714" s="847">
        <f t="shared" si="1011"/>
        <v>1274</v>
      </c>
      <c r="BZ714" s="194">
        <f t="shared" ref="BZ714:BZ729" si="1030">BY714</f>
        <v>1274</v>
      </c>
      <c r="CA714" s="847">
        <f t="shared" si="1012"/>
        <v>1274</v>
      </c>
      <c r="CB714" s="847">
        <f t="shared" si="1012"/>
        <v>1274</v>
      </c>
      <c r="CC714" s="847">
        <f t="shared" si="1012"/>
        <v>1059</v>
      </c>
      <c r="CD714" s="847">
        <f t="shared" si="1012"/>
        <v>1059</v>
      </c>
      <c r="CE714" s="194">
        <f t="shared" ref="CE714:CE729" si="1031">CD714</f>
        <v>1059</v>
      </c>
      <c r="CF714" s="847">
        <f t="shared" si="1013"/>
        <v>1059</v>
      </c>
      <c r="CG714" s="847">
        <f t="shared" si="1013"/>
        <v>1059</v>
      </c>
      <c r="CH714" s="847">
        <f t="shared" si="993"/>
        <v>1059</v>
      </c>
      <c r="CI714" s="847">
        <f t="shared" si="993"/>
        <v>1059</v>
      </c>
      <c r="CJ714" s="194">
        <f t="shared" si="1014"/>
        <v>1059</v>
      </c>
      <c r="CK714" s="2350">
        <f t="shared" si="994"/>
        <v>1059</v>
      </c>
      <c r="CL714" s="847">
        <f t="shared" si="995"/>
        <v>1059</v>
      </c>
      <c r="CM714" s="847">
        <f t="shared" si="995"/>
        <v>1066</v>
      </c>
      <c r="CN714" s="847">
        <f t="shared" si="995"/>
        <v>1066</v>
      </c>
      <c r="CO714" s="194">
        <f t="shared" si="1015"/>
        <v>1066</v>
      </c>
      <c r="CP714" s="973">
        <f t="shared" si="996"/>
        <v>1066</v>
      </c>
      <c r="CQ714" s="847">
        <f t="shared" si="996"/>
        <v>1066</v>
      </c>
      <c r="CR714" s="847">
        <f t="shared" si="996"/>
        <v>1066</v>
      </c>
      <c r="CS714" s="1431">
        <f t="shared" si="996"/>
        <v>1066</v>
      </c>
      <c r="CT714" s="194">
        <f t="shared" si="1016"/>
        <v>1066</v>
      </c>
      <c r="CU714" s="194">
        <f t="shared" si="997"/>
        <v>1066</v>
      </c>
      <c r="CV714" s="194">
        <f t="shared" si="997"/>
        <v>1066</v>
      </c>
      <c r="CW714" s="374"/>
      <c r="CX714" s="374"/>
      <c r="CY714" s="374"/>
      <c r="CZ714" s="374"/>
      <c r="DA714" s="374"/>
      <c r="DB714" s="217"/>
    </row>
    <row r="715" spans="1:256" x14ac:dyDescent="0.2">
      <c r="A715" s="1266" t="s">
        <v>512</v>
      </c>
      <c r="B715" s="651"/>
      <c r="C715" s="236"/>
      <c r="D715" s="207"/>
      <c r="E715" s="207"/>
      <c r="F715" s="207"/>
      <c r="G715" s="234"/>
      <c r="H715" s="661">
        <f t="shared" si="998"/>
        <v>0</v>
      </c>
      <c r="I715" s="973">
        <f t="shared" si="998"/>
        <v>0</v>
      </c>
      <c r="J715" s="847">
        <f t="shared" si="998"/>
        <v>0</v>
      </c>
      <c r="K715" s="847">
        <f t="shared" si="998"/>
        <v>0</v>
      </c>
      <c r="L715" s="847">
        <f t="shared" si="998"/>
        <v>0</v>
      </c>
      <c r="M715" s="661">
        <f t="shared" si="1017"/>
        <v>0</v>
      </c>
      <c r="N715" s="973">
        <f t="shared" si="999"/>
        <v>0</v>
      </c>
      <c r="O715" s="847">
        <f t="shared" si="999"/>
        <v>0</v>
      </c>
      <c r="P715" s="847">
        <f t="shared" si="999"/>
        <v>0</v>
      </c>
      <c r="Q715" s="847">
        <f t="shared" si="999"/>
        <v>0</v>
      </c>
      <c r="R715" s="661">
        <f t="shared" si="1018"/>
        <v>0</v>
      </c>
      <c r="S715" s="973">
        <f t="shared" si="1000"/>
        <v>0</v>
      </c>
      <c r="T715" s="847">
        <f t="shared" si="1000"/>
        <v>0</v>
      </c>
      <c r="U715" s="847">
        <f t="shared" si="1000"/>
        <v>0</v>
      </c>
      <c r="V715" s="847">
        <f t="shared" si="1000"/>
        <v>0</v>
      </c>
      <c r="W715" s="661">
        <f t="shared" si="1019"/>
        <v>0</v>
      </c>
      <c r="X715" s="973">
        <f t="shared" si="1001"/>
        <v>0</v>
      </c>
      <c r="Y715" s="847">
        <f t="shared" si="1001"/>
        <v>0</v>
      </c>
      <c r="Z715" s="847">
        <f t="shared" si="1001"/>
        <v>0</v>
      </c>
      <c r="AA715" s="847">
        <f t="shared" si="1001"/>
        <v>0</v>
      </c>
      <c r="AB715" s="661">
        <f t="shared" si="1020"/>
        <v>0</v>
      </c>
      <c r="AC715" s="973">
        <f t="shared" si="1002"/>
        <v>0</v>
      </c>
      <c r="AD715" s="847">
        <f t="shared" si="1002"/>
        <v>0</v>
      </c>
      <c r="AE715" s="847">
        <f t="shared" si="1002"/>
        <v>0</v>
      </c>
      <c r="AF715" s="847">
        <f t="shared" si="1002"/>
        <v>0</v>
      </c>
      <c r="AG715" s="661">
        <f t="shared" si="1021"/>
        <v>0</v>
      </c>
      <c r="AH715" s="973">
        <f t="shared" si="1003"/>
        <v>0</v>
      </c>
      <c r="AI715" s="847">
        <f t="shared" si="1003"/>
        <v>0</v>
      </c>
      <c r="AJ715" s="847">
        <f t="shared" si="1003"/>
        <v>0</v>
      </c>
      <c r="AK715" s="847">
        <f t="shared" si="1003"/>
        <v>0</v>
      </c>
      <c r="AL715" s="661">
        <f t="shared" si="1022"/>
        <v>0</v>
      </c>
      <c r="AM715" s="973">
        <f t="shared" si="1004"/>
        <v>0</v>
      </c>
      <c r="AN715" s="847">
        <f t="shared" si="1004"/>
        <v>0</v>
      </c>
      <c r="AO715" s="847">
        <f t="shared" si="1004"/>
        <v>0</v>
      </c>
      <c r="AP715" s="847">
        <f t="shared" si="1004"/>
        <v>0</v>
      </c>
      <c r="AQ715" s="661">
        <f t="shared" si="1023"/>
        <v>0</v>
      </c>
      <c r="AR715" s="973">
        <f t="shared" si="1005"/>
        <v>0</v>
      </c>
      <c r="AS715" s="847">
        <f t="shared" si="1005"/>
        <v>0</v>
      </c>
      <c r="AT715" s="847">
        <f t="shared" si="1005"/>
        <v>0</v>
      </c>
      <c r="AU715" s="847">
        <f t="shared" si="1005"/>
        <v>0</v>
      </c>
      <c r="AV715" s="661">
        <f t="shared" si="1024"/>
        <v>0</v>
      </c>
      <c r="AW715" s="973">
        <f t="shared" si="1006"/>
        <v>0</v>
      </c>
      <c r="AX715" s="847">
        <f t="shared" si="1006"/>
        <v>0</v>
      </c>
      <c r="AY715" s="847">
        <f t="shared" si="1006"/>
        <v>0</v>
      </c>
      <c r="AZ715" s="847">
        <f t="shared" si="1006"/>
        <v>0</v>
      </c>
      <c r="BA715" s="661">
        <f t="shared" si="1025"/>
        <v>0</v>
      </c>
      <c r="BB715" s="973">
        <f t="shared" si="1007"/>
        <v>0</v>
      </c>
      <c r="BC715" s="847">
        <f t="shared" si="1007"/>
        <v>0</v>
      </c>
      <c r="BD715" s="847">
        <f t="shared" si="1007"/>
        <v>0</v>
      </c>
      <c r="BE715" s="847">
        <f t="shared" si="1007"/>
        <v>0</v>
      </c>
      <c r="BF715" s="661">
        <f t="shared" si="1026"/>
        <v>0</v>
      </c>
      <c r="BG715" s="973">
        <f t="shared" si="1008"/>
        <v>0</v>
      </c>
      <c r="BH715" s="847">
        <f t="shared" si="1008"/>
        <v>0</v>
      </c>
      <c r="BI715" s="847">
        <f t="shared" si="1008"/>
        <v>0</v>
      </c>
      <c r="BJ715" s="847">
        <f t="shared" si="1008"/>
        <v>0</v>
      </c>
      <c r="BK715" s="661">
        <f t="shared" si="1027"/>
        <v>0</v>
      </c>
      <c r="BL715" s="847">
        <f t="shared" si="1009"/>
        <v>0</v>
      </c>
      <c r="BM715" s="847">
        <f t="shared" si="1009"/>
        <v>0</v>
      </c>
      <c r="BN715" s="847">
        <f t="shared" si="1009"/>
        <v>0</v>
      </c>
      <c r="BO715" s="847">
        <f t="shared" si="1009"/>
        <v>0</v>
      </c>
      <c r="BP715" s="194">
        <f t="shared" si="1028"/>
        <v>0</v>
      </c>
      <c r="BQ715" s="847">
        <f t="shared" si="1010"/>
        <v>0</v>
      </c>
      <c r="BR715" s="847">
        <f t="shared" si="1010"/>
        <v>0</v>
      </c>
      <c r="BS715" s="847">
        <f t="shared" si="1010"/>
        <v>0</v>
      </c>
      <c r="BT715" s="847">
        <f t="shared" si="1010"/>
        <v>0</v>
      </c>
      <c r="BU715" s="194">
        <f t="shared" si="1029"/>
        <v>0</v>
      </c>
      <c r="BV715" s="847">
        <f t="shared" si="1011"/>
        <v>0</v>
      </c>
      <c r="BW715" s="847">
        <f t="shared" si="1011"/>
        <v>0</v>
      </c>
      <c r="BX715" s="847">
        <f t="shared" si="1011"/>
        <v>0</v>
      </c>
      <c r="BY715" s="847">
        <f t="shared" si="1011"/>
        <v>0</v>
      </c>
      <c r="BZ715" s="194">
        <f t="shared" si="1030"/>
        <v>0</v>
      </c>
      <c r="CA715" s="847">
        <f t="shared" si="1012"/>
        <v>0</v>
      </c>
      <c r="CB715" s="847">
        <f t="shared" si="1012"/>
        <v>0</v>
      </c>
      <c r="CC715" s="847">
        <f t="shared" si="1012"/>
        <v>0</v>
      </c>
      <c r="CD715" s="847">
        <f t="shared" si="1012"/>
        <v>0</v>
      </c>
      <c r="CE715" s="194">
        <f t="shared" si="1031"/>
        <v>0</v>
      </c>
      <c r="CF715" s="847">
        <f t="shared" si="1013"/>
        <v>0</v>
      </c>
      <c r="CG715" s="847">
        <f t="shared" si="1013"/>
        <v>0</v>
      </c>
      <c r="CH715" s="847">
        <f t="shared" si="993"/>
        <v>0</v>
      </c>
      <c r="CI715" s="847">
        <f t="shared" si="993"/>
        <v>0</v>
      </c>
      <c r="CJ715" s="194">
        <f t="shared" si="1014"/>
        <v>0</v>
      </c>
      <c r="CK715" s="2350">
        <f t="shared" si="994"/>
        <v>0</v>
      </c>
      <c r="CL715" s="847">
        <f t="shared" si="995"/>
        <v>0</v>
      </c>
      <c r="CM715" s="847">
        <f t="shared" si="995"/>
        <v>0</v>
      </c>
      <c r="CN715" s="847">
        <f t="shared" si="995"/>
        <v>0</v>
      </c>
      <c r="CO715" s="194">
        <f t="shared" si="1015"/>
        <v>0</v>
      </c>
      <c r="CP715" s="973">
        <f t="shared" si="996"/>
        <v>0</v>
      </c>
      <c r="CQ715" s="847">
        <f t="shared" si="996"/>
        <v>0</v>
      </c>
      <c r="CR715" s="847">
        <f t="shared" si="996"/>
        <v>0</v>
      </c>
      <c r="CS715" s="1431">
        <f t="shared" si="996"/>
        <v>0</v>
      </c>
      <c r="CT715" s="194">
        <f t="shared" si="1016"/>
        <v>0</v>
      </c>
      <c r="CU715" s="194">
        <f t="shared" si="997"/>
        <v>0</v>
      </c>
      <c r="CV715" s="194">
        <f t="shared" si="997"/>
        <v>0</v>
      </c>
      <c r="CW715" s="374"/>
      <c r="CX715" s="374"/>
      <c r="CY715" s="374"/>
      <c r="CZ715" s="374"/>
      <c r="DA715" s="374"/>
      <c r="DB715" s="217"/>
    </row>
    <row r="716" spans="1:256" x14ac:dyDescent="0.2">
      <c r="A716" s="2633" t="s">
        <v>608</v>
      </c>
      <c r="B716" s="651"/>
      <c r="C716" s="236"/>
      <c r="D716" s="207"/>
      <c r="E716" s="207"/>
      <c r="F716" s="207"/>
      <c r="G716" s="234"/>
      <c r="H716" s="661">
        <f t="shared" si="998"/>
        <v>0</v>
      </c>
      <c r="I716" s="973">
        <f t="shared" si="998"/>
        <v>0</v>
      </c>
      <c r="J716" s="847">
        <f t="shared" si="998"/>
        <v>0</v>
      </c>
      <c r="K716" s="847">
        <f t="shared" si="998"/>
        <v>0</v>
      </c>
      <c r="L716" s="847">
        <f t="shared" si="998"/>
        <v>0</v>
      </c>
      <c r="M716" s="661">
        <f>L716</f>
        <v>0</v>
      </c>
      <c r="N716" s="973">
        <f t="shared" si="999"/>
        <v>0</v>
      </c>
      <c r="O716" s="847">
        <f t="shared" si="999"/>
        <v>0</v>
      </c>
      <c r="P716" s="847">
        <f t="shared" si="999"/>
        <v>0</v>
      </c>
      <c r="Q716" s="847">
        <f t="shared" si="999"/>
        <v>0</v>
      </c>
      <c r="R716" s="661">
        <f>Q716</f>
        <v>0</v>
      </c>
      <c r="S716" s="973">
        <f t="shared" si="1000"/>
        <v>0</v>
      </c>
      <c r="T716" s="847">
        <f t="shared" si="1000"/>
        <v>0</v>
      </c>
      <c r="U716" s="847">
        <f t="shared" si="1000"/>
        <v>0</v>
      </c>
      <c r="V716" s="847">
        <f t="shared" si="1000"/>
        <v>0</v>
      </c>
      <c r="W716" s="661">
        <f>V716</f>
        <v>0</v>
      </c>
      <c r="X716" s="973">
        <f t="shared" si="1001"/>
        <v>0</v>
      </c>
      <c r="Y716" s="847">
        <f t="shared" si="1001"/>
        <v>0</v>
      </c>
      <c r="Z716" s="847">
        <f t="shared" si="1001"/>
        <v>0</v>
      </c>
      <c r="AA716" s="847">
        <f t="shared" si="1001"/>
        <v>0</v>
      </c>
      <c r="AB716" s="661">
        <f>AA716</f>
        <v>0</v>
      </c>
      <c r="AC716" s="973">
        <f t="shared" si="1002"/>
        <v>0</v>
      </c>
      <c r="AD716" s="847">
        <f t="shared" si="1002"/>
        <v>0</v>
      </c>
      <c r="AE716" s="847">
        <f t="shared" si="1002"/>
        <v>0</v>
      </c>
      <c r="AF716" s="847">
        <f t="shared" si="1002"/>
        <v>0</v>
      </c>
      <c r="AG716" s="661">
        <f>AF716</f>
        <v>0</v>
      </c>
      <c r="AH716" s="973">
        <f t="shared" si="1003"/>
        <v>0</v>
      </c>
      <c r="AI716" s="847">
        <f t="shared" si="1003"/>
        <v>0</v>
      </c>
      <c r="AJ716" s="847">
        <f t="shared" si="1003"/>
        <v>0</v>
      </c>
      <c r="AK716" s="847">
        <f t="shared" si="1003"/>
        <v>0</v>
      </c>
      <c r="AL716" s="661">
        <f>AK716</f>
        <v>0</v>
      </c>
      <c r="AM716" s="973">
        <f t="shared" si="1004"/>
        <v>0</v>
      </c>
      <c r="AN716" s="847">
        <f t="shared" si="1004"/>
        <v>0</v>
      </c>
      <c r="AO716" s="847">
        <f t="shared" si="1004"/>
        <v>0</v>
      </c>
      <c r="AP716" s="847">
        <f t="shared" si="1004"/>
        <v>0</v>
      </c>
      <c r="AQ716" s="661">
        <f>AP716</f>
        <v>0</v>
      </c>
      <c r="AR716" s="973">
        <f t="shared" si="1005"/>
        <v>0</v>
      </c>
      <c r="AS716" s="847">
        <f t="shared" si="1005"/>
        <v>0</v>
      </c>
      <c r="AT716" s="847">
        <f t="shared" si="1005"/>
        <v>0</v>
      </c>
      <c r="AU716" s="847">
        <f t="shared" si="1005"/>
        <v>0</v>
      </c>
      <c r="AV716" s="661">
        <f>AU716</f>
        <v>0</v>
      </c>
      <c r="AW716" s="973">
        <f t="shared" si="1006"/>
        <v>0</v>
      </c>
      <c r="AX716" s="847">
        <f t="shared" si="1006"/>
        <v>0</v>
      </c>
      <c r="AY716" s="847">
        <f t="shared" si="1006"/>
        <v>0</v>
      </c>
      <c r="AZ716" s="847">
        <f t="shared" si="1006"/>
        <v>0</v>
      </c>
      <c r="BA716" s="661">
        <f>AZ716</f>
        <v>0</v>
      </c>
      <c r="BB716" s="973">
        <f t="shared" si="1007"/>
        <v>0</v>
      </c>
      <c r="BC716" s="847">
        <f t="shared" si="1007"/>
        <v>0</v>
      </c>
      <c r="BD716" s="847">
        <f t="shared" si="1007"/>
        <v>0</v>
      </c>
      <c r="BE716" s="847">
        <f t="shared" si="1007"/>
        <v>0</v>
      </c>
      <c r="BF716" s="661">
        <f>BE716</f>
        <v>0</v>
      </c>
      <c r="BG716" s="973">
        <f t="shared" si="1008"/>
        <v>0</v>
      </c>
      <c r="BH716" s="847">
        <f t="shared" si="1008"/>
        <v>0</v>
      </c>
      <c r="BI716" s="847">
        <f t="shared" si="1008"/>
        <v>0</v>
      </c>
      <c r="BJ716" s="847">
        <f t="shared" si="1008"/>
        <v>0</v>
      </c>
      <c r="BK716" s="661">
        <f>BJ716</f>
        <v>0</v>
      </c>
      <c r="BL716" s="847">
        <f t="shared" si="1009"/>
        <v>0</v>
      </c>
      <c r="BM716" s="847">
        <f t="shared" si="1009"/>
        <v>0</v>
      </c>
      <c r="BN716" s="847">
        <f t="shared" si="1009"/>
        <v>0</v>
      </c>
      <c r="BO716" s="847">
        <f t="shared" si="1009"/>
        <v>0</v>
      </c>
      <c r="BP716" s="194">
        <f>BO716</f>
        <v>0</v>
      </c>
      <c r="BQ716" s="847">
        <f t="shared" si="1010"/>
        <v>0</v>
      </c>
      <c r="BR716" s="847">
        <f t="shared" si="1010"/>
        <v>0</v>
      </c>
      <c r="BS716" s="847">
        <f t="shared" si="1010"/>
        <v>0</v>
      </c>
      <c r="BT716" s="847">
        <f t="shared" si="1010"/>
        <v>0</v>
      </c>
      <c r="BU716" s="194">
        <f>BT716</f>
        <v>0</v>
      </c>
      <c r="BV716" s="847">
        <f t="shared" si="1011"/>
        <v>0</v>
      </c>
      <c r="BW716" s="847">
        <f t="shared" si="1011"/>
        <v>0</v>
      </c>
      <c r="BX716" s="847">
        <f t="shared" si="1011"/>
        <v>0</v>
      </c>
      <c r="BY716" s="847">
        <f t="shared" si="1011"/>
        <v>0</v>
      </c>
      <c r="BZ716" s="194">
        <f>BY716</f>
        <v>0</v>
      </c>
      <c r="CA716" s="847">
        <f t="shared" si="1012"/>
        <v>0</v>
      </c>
      <c r="CB716" s="847">
        <f t="shared" si="1012"/>
        <v>0</v>
      </c>
      <c r="CC716" s="847">
        <f t="shared" si="1012"/>
        <v>0</v>
      </c>
      <c r="CD716" s="847">
        <f t="shared" si="1012"/>
        <v>0</v>
      </c>
      <c r="CE716" s="194">
        <f>CD716</f>
        <v>0</v>
      </c>
      <c r="CF716" s="847">
        <f t="shared" si="1013"/>
        <v>0</v>
      </c>
      <c r="CG716" s="847">
        <f t="shared" si="1013"/>
        <v>0</v>
      </c>
      <c r="CH716" s="847">
        <f t="shared" si="993"/>
        <v>0</v>
      </c>
      <c r="CI716" s="847">
        <f t="shared" si="993"/>
        <v>0</v>
      </c>
      <c r="CJ716" s="194">
        <f t="shared" si="1014"/>
        <v>0</v>
      </c>
      <c r="CK716" s="2350">
        <f t="shared" si="994"/>
        <v>0</v>
      </c>
      <c r="CL716" s="847">
        <f t="shared" si="995"/>
        <v>0</v>
      </c>
      <c r="CM716" s="847">
        <f t="shared" si="995"/>
        <v>0</v>
      </c>
      <c r="CN716" s="847">
        <f t="shared" si="995"/>
        <v>0</v>
      </c>
      <c r="CO716" s="194">
        <f t="shared" si="1015"/>
        <v>0</v>
      </c>
      <c r="CP716" s="973">
        <f t="shared" si="996"/>
        <v>0</v>
      </c>
      <c r="CQ716" s="847">
        <f t="shared" si="996"/>
        <v>0</v>
      </c>
      <c r="CR716" s="847">
        <f t="shared" si="996"/>
        <v>0</v>
      </c>
      <c r="CS716" s="1431">
        <f t="shared" si="996"/>
        <v>0</v>
      </c>
      <c r="CT716" s="194">
        <f t="shared" si="1016"/>
        <v>0</v>
      </c>
      <c r="CU716" s="194">
        <f t="shared" si="997"/>
        <v>0</v>
      </c>
      <c r="CV716" s="194">
        <f t="shared" si="997"/>
        <v>0</v>
      </c>
      <c r="CW716" s="374"/>
      <c r="CX716" s="374"/>
      <c r="CY716" s="374"/>
      <c r="CZ716" s="374"/>
      <c r="DA716" s="374"/>
      <c r="DB716" s="217"/>
    </row>
    <row r="717" spans="1:256" outlineLevel="1" x14ac:dyDescent="0.2">
      <c r="A717" s="1266" t="s">
        <v>510</v>
      </c>
      <c r="B717" s="651"/>
      <c r="C717" s="236"/>
      <c r="D717" s="207"/>
      <c r="E717" s="207"/>
      <c r="F717" s="207"/>
      <c r="G717" s="234"/>
      <c r="H717" s="661">
        <f t="shared" si="998"/>
        <v>152</v>
      </c>
      <c r="I717" s="973">
        <f t="shared" si="998"/>
        <v>152</v>
      </c>
      <c r="J717" s="847">
        <f t="shared" si="998"/>
        <v>152</v>
      </c>
      <c r="K717" s="847">
        <f t="shared" si="998"/>
        <v>152</v>
      </c>
      <c r="L717" s="847">
        <f t="shared" si="998"/>
        <v>152</v>
      </c>
      <c r="M717" s="661">
        <f t="shared" si="1017"/>
        <v>152</v>
      </c>
      <c r="N717" s="973">
        <f t="shared" si="999"/>
        <v>152</v>
      </c>
      <c r="O717" s="847">
        <f t="shared" si="999"/>
        <v>152</v>
      </c>
      <c r="P717" s="847">
        <f t="shared" si="999"/>
        <v>152</v>
      </c>
      <c r="Q717" s="847">
        <f t="shared" si="999"/>
        <v>200</v>
      </c>
      <c r="R717" s="661">
        <f t="shared" si="1018"/>
        <v>200</v>
      </c>
      <c r="S717" s="973">
        <f t="shared" si="1000"/>
        <v>200</v>
      </c>
      <c r="T717" s="847">
        <f t="shared" si="1000"/>
        <v>200</v>
      </c>
      <c r="U717" s="847">
        <f t="shared" si="1000"/>
        <v>200</v>
      </c>
      <c r="V717" s="847">
        <f t="shared" si="1000"/>
        <v>200</v>
      </c>
      <c r="W717" s="661">
        <f t="shared" si="1019"/>
        <v>200</v>
      </c>
      <c r="X717" s="973">
        <f t="shared" si="1001"/>
        <v>502</v>
      </c>
      <c r="Y717" s="847">
        <f t="shared" si="1001"/>
        <v>502</v>
      </c>
      <c r="Z717" s="847">
        <f t="shared" si="1001"/>
        <v>502</v>
      </c>
      <c r="AA717" s="847">
        <f t="shared" si="1001"/>
        <v>502</v>
      </c>
      <c r="AB717" s="661">
        <f t="shared" si="1020"/>
        <v>502</v>
      </c>
      <c r="AC717" s="973">
        <f t="shared" si="1002"/>
        <v>502</v>
      </c>
      <c r="AD717" s="847">
        <f t="shared" si="1002"/>
        <v>502</v>
      </c>
      <c r="AE717" s="847">
        <f t="shared" si="1002"/>
        <v>478</v>
      </c>
      <c r="AF717" s="847">
        <f t="shared" si="1002"/>
        <v>454</v>
      </c>
      <c r="AG717" s="661">
        <f t="shared" si="1021"/>
        <v>454</v>
      </c>
      <c r="AH717" s="973">
        <f t="shared" si="1003"/>
        <v>454</v>
      </c>
      <c r="AI717" s="847">
        <f t="shared" si="1003"/>
        <v>454</v>
      </c>
      <c r="AJ717" s="847">
        <f t="shared" si="1003"/>
        <v>454</v>
      </c>
      <c r="AK717" s="847">
        <f t="shared" si="1003"/>
        <v>454</v>
      </c>
      <c r="AL717" s="661">
        <f t="shared" si="1022"/>
        <v>454</v>
      </c>
      <c r="AM717" s="973">
        <f t="shared" si="1004"/>
        <v>454</v>
      </c>
      <c r="AN717" s="847">
        <f t="shared" si="1004"/>
        <v>704</v>
      </c>
      <c r="AO717" s="847">
        <f t="shared" si="1004"/>
        <v>704</v>
      </c>
      <c r="AP717" s="847">
        <f t="shared" si="1004"/>
        <v>704</v>
      </c>
      <c r="AQ717" s="661">
        <f t="shared" si="1023"/>
        <v>704</v>
      </c>
      <c r="AR717" s="973">
        <f t="shared" si="1005"/>
        <v>732</v>
      </c>
      <c r="AS717" s="847">
        <f t="shared" si="1005"/>
        <v>732</v>
      </c>
      <c r="AT717" s="847">
        <f t="shared" si="1005"/>
        <v>732</v>
      </c>
      <c r="AU717" s="847">
        <f t="shared" si="1005"/>
        <v>732</v>
      </c>
      <c r="AV717" s="661">
        <f t="shared" si="1024"/>
        <v>732</v>
      </c>
      <c r="AW717" s="973">
        <f t="shared" si="1006"/>
        <v>732</v>
      </c>
      <c r="AX717" s="847">
        <f t="shared" si="1006"/>
        <v>732</v>
      </c>
      <c r="AY717" s="847">
        <f t="shared" si="1006"/>
        <v>732</v>
      </c>
      <c r="AZ717" s="847">
        <f t="shared" si="1006"/>
        <v>732</v>
      </c>
      <c r="BA717" s="661">
        <f t="shared" si="1025"/>
        <v>732</v>
      </c>
      <c r="BB717" s="973">
        <f t="shared" si="1007"/>
        <v>732</v>
      </c>
      <c r="BC717" s="847">
        <f t="shared" si="1007"/>
        <v>732</v>
      </c>
      <c r="BD717" s="847">
        <f t="shared" si="1007"/>
        <v>732</v>
      </c>
      <c r="BE717" s="847">
        <f t="shared" si="1007"/>
        <v>732</v>
      </c>
      <c r="BF717" s="661">
        <f t="shared" si="1026"/>
        <v>732</v>
      </c>
      <c r="BG717" s="973">
        <f t="shared" si="1008"/>
        <v>732</v>
      </c>
      <c r="BH717" s="847">
        <f t="shared" si="1008"/>
        <v>732</v>
      </c>
      <c r="BI717" s="847">
        <f t="shared" si="1008"/>
        <v>732</v>
      </c>
      <c r="BJ717" s="847">
        <f t="shared" si="1008"/>
        <v>732</v>
      </c>
      <c r="BK717" s="661">
        <f t="shared" si="1027"/>
        <v>732</v>
      </c>
      <c r="BL717" s="847">
        <f t="shared" si="1009"/>
        <v>732</v>
      </c>
      <c r="BM717" s="847">
        <f t="shared" si="1009"/>
        <v>732</v>
      </c>
      <c r="BN717" s="847">
        <f t="shared" si="1009"/>
        <v>732</v>
      </c>
      <c r="BO717" s="847">
        <f t="shared" si="1009"/>
        <v>732</v>
      </c>
      <c r="BP717" s="194">
        <f t="shared" si="1028"/>
        <v>732</v>
      </c>
      <c r="BQ717" s="847">
        <f t="shared" si="1010"/>
        <v>732</v>
      </c>
      <c r="BR717" s="847">
        <f t="shared" si="1010"/>
        <v>732</v>
      </c>
      <c r="BS717" s="847">
        <f t="shared" si="1010"/>
        <v>732</v>
      </c>
      <c r="BT717" s="847">
        <f t="shared" si="1010"/>
        <v>732</v>
      </c>
      <c r="BU717" s="194">
        <f t="shared" si="1029"/>
        <v>732</v>
      </c>
      <c r="BV717" s="847">
        <f t="shared" si="1011"/>
        <v>732</v>
      </c>
      <c r="BW717" s="847">
        <f t="shared" si="1011"/>
        <v>732</v>
      </c>
      <c r="BX717" s="847">
        <f t="shared" si="1011"/>
        <v>732</v>
      </c>
      <c r="BY717" s="847">
        <f t="shared" si="1011"/>
        <v>732</v>
      </c>
      <c r="BZ717" s="194">
        <f t="shared" si="1030"/>
        <v>732</v>
      </c>
      <c r="CA717" s="847">
        <f t="shared" si="1012"/>
        <v>732</v>
      </c>
      <c r="CB717" s="847">
        <f t="shared" si="1012"/>
        <v>732</v>
      </c>
      <c r="CC717" s="847">
        <f t="shared" si="1012"/>
        <v>732</v>
      </c>
      <c r="CD717" s="847">
        <f t="shared" si="1012"/>
        <v>552</v>
      </c>
      <c r="CE717" s="194">
        <f t="shared" si="1031"/>
        <v>552</v>
      </c>
      <c r="CF717" s="847">
        <f t="shared" si="1013"/>
        <v>552</v>
      </c>
      <c r="CG717" s="847">
        <f t="shared" si="1013"/>
        <v>552</v>
      </c>
      <c r="CH717" s="847">
        <f t="shared" si="993"/>
        <v>553</v>
      </c>
      <c r="CI717" s="847">
        <f t="shared" si="993"/>
        <v>553</v>
      </c>
      <c r="CJ717" s="194">
        <f t="shared" si="1014"/>
        <v>553</v>
      </c>
      <c r="CK717" s="2350">
        <f t="shared" si="994"/>
        <v>553</v>
      </c>
      <c r="CL717" s="847">
        <f t="shared" si="995"/>
        <v>553</v>
      </c>
      <c r="CM717" s="847">
        <f t="shared" si="995"/>
        <v>553</v>
      </c>
      <c r="CN717" s="847">
        <f t="shared" si="995"/>
        <v>553</v>
      </c>
      <c r="CO717" s="194">
        <f t="shared" si="1015"/>
        <v>553</v>
      </c>
      <c r="CP717" s="973">
        <f t="shared" si="996"/>
        <v>553</v>
      </c>
      <c r="CQ717" s="847">
        <f t="shared" si="996"/>
        <v>553</v>
      </c>
      <c r="CR717" s="847">
        <f t="shared" si="996"/>
        <v>553</v>
      </c>
      <c r="CS717" s="1431">
        <f t="shared" si="996"/>
        <v>553</v>
      </c>
      <c r="CT717" s="194">
        <f t="shared" si="1016"/>
        <v>553</v>
      </c>
      <c r="CU717" s="194">
        <f t="shared" si="997"/>
        <v>553</v>
      </c>
      <c r="CV717" s="194">
        <f t="shared" si="997"/>
        <v>553</v>
      </c>
      <c r="CW717" s="374"/>
      <c r="CX717" s="374"/>
      <c r="CY717" s="374"/>
      <c r="CZ717" s="374"/>
      <c r="DA717" s="374"/>
      <c r="DB717" s="217"/>
    </row>
    <row r="718" spans="1:256" outlineLevel="1" x14ac:dyDescent="0.2">
      <c r="A718" s="1264" t="s">
        <v>511</v>
      </c>
      <c r="B718" s="651"/>
      <c r="C718" s="236"/>
      <c r="D718" s="207"/>
      <c r="E718" s="207"/>
      <c r="F718" s="207"/>
      <c r="G718" s="234"/>
      <c r="H718" s="661">
        <f t="shared" si="998"/>
        <v>0</v>
      </c>
      <c r="I718" s="973">
        <f t="shared" si="998"/>
        <v>0</v>
      </c>
      <c r="J718" s="847">
        <f t="shared" si="998"/>
        <v>0</v>
      </c>
      <c r="K718" s="847">
        <f t="shared" si="998"/>
        <v>0</v>
      </c>
      <c r="L718" s="847">
        <f t="shared" si="998"/>
        <v>0</v>
      </c>
      <c r="M718" s="661">
        <f t="shared" si="1017"/>
        <v>0</v>
      </c>
      <c r="N718" s="973">
        <f t="shared" si="999"/>
        <v>0</v>
      </c>
      <c r="O718" s="847">
        <f t="shared" si="999"/>
        <v>0</v>
      </c>
      <c r="P718" s="847">
        <f t="shared" si="999"/>
        <v>0</v>
      </c>
      <c r="Q718" s="847">
        <f t="shared" si="999"/>
        <v>0</v>
      </c>
      <c r="R718" s="661">
        <f t="shared" si="1018"/>
        <v>0</v>
      </c>
      <c r="S718" s="973">
        <f t="shared" si="1000"/>
        <v>0</v>
      </c>
      <c r="T718" s="847">
        <f t="shared" si="1000"/>
        <v>0</v>
      </c>
      <c r="U718" s="847">
        <f t="shared" si="1000"/>
        <v>0</v>
      </c>
      <c r="V718" s="847">
        <f t="shared" si="1000"/>
        <v>0</v>
      </c>
      <c r="W718" s="661">
        <f t="shared" si="1019"/>
        <v>0</v>
      </c>
      <c r="X718" s="973">
        <f t="shared" si="1001"/>
        <v>0</v>
      </c>
      <c r="Y718" s="847">
        <f t="shared" si="1001"/>
        <v>0</v>
      </c>
      <c r="Z718" s="847">
        <f t="shared" si="1001"/>
        <v>0</v>
      </c>
      <c r="AA718" s="847">
        <f t="shared" si="1001"/>
        <v>0</v>
      </c>
      <c r="AB718" s="661">
        <f t="shared" si="1020"/>
        <v>0</v>
      </c>
      <c r="AC718" s="973">
        <f t="shared" si="1002"/>
        <v>0</v>
      </c>
      <c r="AD718" s="847">
        <f t="shared" si="1002"/>
        <v>0</v>
      </c>
      <c r="AE718" s="847">
        <f t="shared" si="1002"/>
        <v>0</v>
      </c>
      <c r="AF718" s="847">
        <f t="shared" si="1002"/>
        <v>0</v>
      </c>
      <c r="AG718" s="661">
        <f t="shared" si="1021"/>
        <v>0</v>
      </c>
      <c r="AH718" s="973">
        <f t="shared" si="1003"/>
        <v>0</v>
      </c>
      <c r="AI718" s="847">
        <f t="shared" si="1003"/>
        <v>0</v>
      </c>
      <c r="AJ718" s="847">
        <f t="shared" si="1003"/>
        <v>0</v>
      </c>
      <c r="AK718" s="847">
        <f t="shared" si="1003"/>
        <v>0</v>
      </c>
      <c r="AL718" s="661">
        <f t="shared" si="1022"/>
        <v>0</v>
      </c>
      <c r="AM718" s="973">
        <f t="shared" si="1004"/>
        <v>0</v>
      </c>
      <c r="AN718" s="847">
        <f t="shared" si="1004"/>
        <v>0</v>
      </c>
      <c r="AO718" s="847">
        <f t="shared" si="1004"/>
        <v>0</v>
      </c>
      <c r="AP718" s="847">
        <f t="shared" si="1004"/>
        <v>0</v>
      </c>
      <c r="AQ718" s="661">
        <f t="shared" si="1023"/>
        <v>0</v>
      </c>
      <c r="AR718" s="973">
        <f t="shared" si="1005"/>
        <v>0</v>
      </c>
      <c r="AS718" s="847">
        <f t="shared" si="1005"/>
        <v>0</v>
      </c>
      <c r="AT718" s="847">
        <f t="shared" si="1005"/>
        <v>0</v>
      </c>
      <c r="AU718" s="847">
        <f t="shared" si="1005"/>
        <v>0</v>
      </c>
      <c r="AV718" s="661">
        <f t="shared" si="1024"/>
        <v>0</v>
      </c>
      <c r="AW718" s="973">
        <f t="shared" si="1006"/>
        <v>0</v>
      </c>
      <c r="AX718" s="847">
        <f t="shared" si="1006"/>
        <v>0</v>
      </c>
      <c r="AY718" s="847">
        <f t="shared" si="1006"/>
        <v>0</v>
      </c>
      <c r="AZ718" s="847">
        <f t="shared" si="1006"/>
        <v>0</v>
      </c>
      <c r="BA718" s="661">
        <f t="shared" si="1025"/>
        <v>0</v>
      </c>
      <c r="BB718" s="973">
        <f t="shared" si="1007"/>
        <v>0</v>
      </c>
      <c r="BC718" s="847">
        <f t="shared" si="1007"/>
        <v>0</v>
      </c>
      <c r="BD718" s="847">
        <f t="shared" si="1007"/>
        <v>0</v>
      </c>
      <c r="BE718" s="847">
        <f t="shared" si="1007"/>
        <v>0</v>
      </c>
      <c r="BF718" s="661">
        <f t="shared" si="1026"/>
        <v>0</v>
      </c>
      <c r="BG718" s="973">
        <f t="shared" si="1008"/>
        <v>0</v>
      </c>
      <c r="BH718" s="847">
        <f t="shared" si="1008"/>
        <v>0</v>
      </c>
      <c r="BI718" s="847">
        <f t="shared" si="1008"/>
        <v>0</v>
      </c>
      <c r="BJ718" s="847">
        <f t="shared" si="1008"/>
        <v>0</v>
      </c>
      <c r="BK718" s="661">
        <f t="shared" si="1027"/>
        <v>0</v>
      </c>
      <c r="BL718" s="847">
        <f t="shared" si="1009"/>
        <v>0</v>
      </c>
      <c r="BM718" s="847">
        <f t="shared" si="1009"/>
        <v>0</v>
      </c>
      <c r="BN718" s="847">
        <f t="shared" si="1009"/>
        <v>0</v>
      </c>
      <c r="BO718" s="847">
        <f t="shared" si="1009"/>
        <v>0</v>
      </c>
      <c r="BP718" s="194">
        <f t="shared" si="1028"/>
        <v>0</v>
      </c>
      <c r="BQ718" s="847">
        <f t="shared" si="1010"/>
        <v>0</v>
      </c>
      <c r="BR718" s="847">
        <f t="shared" si="1010"/>
        <v>0</v>
      </c>
      <c r="BS718" s="847">
        <f t="shared" si="1010"/>
        <v>0</v>
      </c>
      <c r="BT718" s="847">
        <f t="shared" si="1010"/>
        <v>0</v>
      </c>
      <c r="BU718" s="194">
        <f t="shared" si="1029"/>
        <v>0</v>
      </c>
      <c r="BV718" s="847">
        <f t="shared" si="1011"/>
        <v>0</v>
      </c>
      <c r="BW718" s="847">
        <f t="shared" si="1011"/>
        <v>0</v>
      </c>
      <c r="BX718" s="847">
        <f t="shared" si="1011"/>
        <v>0</v>
      </c>
      <c r="BY718" s="847">
        <f t="shared" si="1011"/>
        <v>0</v>
      </c>
      <c r="BZ718" s="194">
        <f t="shared" si="1030"/>
        <v>0</v>
      </c>
      <c r="CA718" s="847">
        <f t="shared" si="1012"/>
        <v>0</v>
      </c>
      <c r="CB718" s="847">
        <f t="shared" si="1012"/>
        <v>0</v>
      </c>
      <c r="CC718" s="847">
        <f t="shared" si="1012"/>
        <v>0</v>
      </c>
      <c r="CD718" s="847">
        <f t="shared" si="1012"/>
        <v>0</v>
      </c>
      <c r="CE718" s="194">
        <f t="shared" si="1031"/>
        <v>0</v>
      </c>
      <c r="CF718" s="847">
        <f t="shared" si="1013"/>
        <v>0</v>
      </c>
      <c r="CG718" s="847">
        <f t="shared" si="1013"/>
        <v>0</v>
      </c>
      <c r="CH718" s="847">
        <f t="shared" si="993"/>
        <v>0</v>
      </c>
      <c r="CI718" s="847">
        <f t="shared" si="993"/>
        <v>0</v>
      </c>
      <c r="CJ718" s="194">
        <f t="shared" si="1014"/>
        <v>0</v>
      </c>
      <c r="CK718" s="2350">
        <f t="shared" si="994"/>
        <v>0</v>
      </c>
      <c r="CL718" s="847">
        <f t="shared" si="995"/>
        <v>0</v>
      </c>
      <c r="CM718" s="847">
        <f t="shared" si="995"/>
        <v>0</v>
      </c>
      <c r="CN718" s="847">
        <f t="shared" si="995"/>
        <v>0</v>
      </c>
      <c r="CO718" s="194">
        <f t="shared" si="1015"/>
        <v>0</v>
      </c>
      <c r="CP718" s="973">
        <f t="shared" si="996"/>
        <v>0</v>
      </c>
      <c r="CQ718" s="847">
        <f t="shared" si="996"/>
        <v>0</v>
      </c>
      <c r="CR718" s="847">
        <f t="shared" si="996"/>
        <v>0</v>
      </c>
      <c r="CS718" s="1431">
        <f t="shared" si="996"/>
        <v>0</v>
      </c>
      <c r="CT718" s="194">
        <f t="shared" si="1016"/>
        <v>0</v>
      </c>
      <c r="CU718" s="194">
        <f t="shared" si="997"/>
        <v>0</v>
      </c>
      <c r="CV718" s="194">
        <f t="shared" si="997"/>
        <v>0</v>
      </c>
      <c r="CW718" s="374"/>
      <c r="CX718" s="374"/>
      <c r="CY718" s="374"/>
      <c r="CZ718" s="374"/>
      <c r="DA718" s="374"/>
      <c r="DB718" s="217"/>
    </row>
    <row r="719" spans="1:256" x14ac:dyDescent="0.2">
      <c r="A719" s="1264" t="s">
        <v>383</v>
      </c>
      <c r="B719" s="651"/>
      <c r="C719" s="236"/>
      <c r="D719" s="207"/>
      <c r="E719" s="207"/>
      <c r="F719" s="207"/>
      <c r="G719" s="234"/>
      <c r="H719" s="661">
        <f t="shared" si="998"/>
        <v>0</v>
      </c>
      <c r="I719" s="973">
        <f t="shared" si="998"/>
        <v>0</v>
      </c>
      <c r="J719" s="847">
        <f t="shared" si="998"/>
        <v>0</v>
      </c>
      <c r="K719" s="847">
        <f t="shared" si="998"/>
        <v>0</v>
      </c>
      <c r="L719" s="847">
        <f t="shared" si="998"/>
        <v>0</v>
      </c>
      <c r="M719" s="661">
        <f t="shared" si="1017"/>
        <v>0</v>
      </c>
      <c r="N719" s="973">
        <f t="shared" si="999"/>
        <v>0</v>
      </c>
      <c r="O719" s="847">
        <f t="shared" si="999"/>
        <v>0</v>
      </c>
      <c r="P719" s="847">
        <f t="shared" si="999"/>
        <v>0</v>
      </c>
      <c r="Q719" s="847">
        <f t="shared" si="999"/>
        <v>0</v>
      </c>
      <c r="R719" s="661">
        <f t="shared" si="1018"/>
        <v>0</v>
      </c>
      <c r="S719" s="973">
        <f t="shared" si="1000"/>
        <v>0</v>
      </c>
      <c r="T719" s="847">
        <f t="shared" si="1000"/>
        <v>0</v>
      </c>
      <c r="U719" s="847">
        <f t="shared" si="1000"/>
        <v>0</v>
      </c>
      <c r="V719" s="847">
        <f t="shared" si="1000"/>
        <v>0</v>
      </c>
      <c r="W719" s="661">
        <f t="shared" si="1019"/>
        <v>0</v>
      </c>
      <c r="X719" s="973">
        <f t="shared" si="1001"/>
        <v>0</v>
      </c>
      <c r="Y719" s="847">
        <f t="shared" si="1001"/>
        <v>0</v>
      </c>
      <c r="Z719" s="847">
        <f t="shared" si="1001"/>
        <v>0</v>
      </c>
      <c r="AA719" s="847">
        <f t="shared" si="1001"/>
        <v>0</v>
      </c>
      <c r="AB719" s="661">
        <f t="shared" si="1020"/>
        <v>0</v>
      </c>
      <c r="AC719" s="973">
        <f t="shared" si="1002"/>
        <v>0</v>
      </c>
      <c r="AD719" s="847">
        <f t="shared" si="1002"/>
        <v>0</v>
      </c>
      <c r="AE719" s="847">
        <f t="shared" si="1002"/>
        <v>0</v>
      </c>
      <c r="AF719" s="847">
        <f t="shared" si="1002"/>
        <v>0</v>
      </c>
      <c r="AG719" s="661">
        <f t="shared" si="1021"/>
        <v>0</v>
      </c>
      <c r="AH719" s="973">
        <f t="shared" si="1003"/>
        <v>0</v>
      </c>
      <c r="AI719" s="847">
        <f t="shared" si="1003"/>
        <v>0</v>
      </c>
      <c r="AJ719" s="847">
        <f t="shared" si="1003"/>
        <v>0</v>
      </c>
      <c r="AK719" s="847">
        <f t="shared" si="1003"/>
        <v>0</v>
      </c>
      <c r="AL719" s="661">
        <f t="shared" si="1022"/>
        <v>0</v>
      </c>
      <c r="AM719" s="973">
        <f t="shared" si="1004"/>
        <v>0</v>
      </c>
      <c r="AN719" s="847">
        <f t="shared" si="1004"/>
        <v>0</v>
      </c>
      <c r="AO719" s="847">
        <f t="shared" si="1004"/>
        <v>0</v>
      </c>
      <c r="AP719" s="847">
        <f t="shared" si="1004"/>
        <v>0</v>
      </c>
      <c r="AQ719" s="661">
        <f t="shared" si="1023"/>
        <v>0</v>
      </c>
      <c r="AR719" s="973">
        <f t="shared" si="1005"/>
        <v>0</v>
      </c>
      <c r="AS719" s="847">
        <f t="shared" si="1005"/>
        <v>0</v>
      </c>
      <c r="AT719" s="847">
        <f t="shared" si="1005"/>
        <v>0</v>
      </c>
      <c r="AU719" s="847">
        <f t="shared" si="1005"/>
        <v>0</v>
      </c>
      <c r="AV719" s="661">
        <f t="shared" si="1024"/>
        <v>0</v>
      </c>
      <c r="AW719" s="973">
        <f t="shared" si="1006"/>
        <v>0</v>
      </c>
      <c r="AX719" s="847">
        <f t="shared" si="1006"/>
        <v>0</v>
      </c>
      <c r="AY719" s="847">
        <f t="shared" si="1006"/>
        <v>0</v>
      </c>
      <c r="AZ719" s="847">
        <f t="shared" si="1006"/>
        <v>0</v>
      </c>
      <c r="BA719" s="661">
        <f t="shared" si="1025"/>
        <v>0</v>
      </c>
      <c r="BB719" s="973">
        <f t="shared" si="1007"/>
        <v>0</v>
      </c>
      <c r="BC719" s="847">
        <f t="shared" si="1007"/>
        <v>0</v>
      </c>
      <c r="BD719" s="847">
        <f t="shared" si="1007"/>
        <v>0</v>
      </c>
      <c r="BE719" s="847">
        <f t="shared" si="1007"/>
        <v>0</v>
      </c>
      <c r="BF719" s="661">
        <f t="shared" si="1026"/>
        <v>0</v>
      </c>
      <c r="BG719" s="973">
        <f t="shared" si="1008"/>
        <v>0</v>
      </c>
      <c r="BH719" s="847">
        <f t="shared" si="1008"/>
        <v>0</v>
      </c>
      <c r="BI719" s="847">
        <f t="shared" si="1008"/>
        <v>0</v>
      </c>
      <c r="BJ719" s="847">
        <f t="shared" si="1008"/>
        <v>0</v>
      </c>
      <c r="BK719" s="661">
        <f t="shared" si="1027"/>
        <v>0</v>
      </c>
      <c r="BL719" s="847">
        <f t="shared" si="1009"/>
        <v>0</v>
      </c>
      <c r="BM719" s="847">
        <f t="shared" si="1009"/>
        <v>0</v>
      </c>
      <c r="BN719" s="847">
        <f t="shared" si="1009"/>
        <v>0</v>
      </c>
      <c r="BO719" s="847">
        <f t="shared" si="1009"/>
        <v>0</v>
      </c>
      <c r="BP719" s="194">
        <f t="shared" si="1028"/>
        <v>0</v>
      </c>
      <c r="BQ719" s="847">
        <f t="shared" si="1010"/>
        <v>0</v>
      </c>
      <c r="BR719" s="847">
        <f t="shared" si="1010"/>
        <v>0</v>
      </c>
      <c r="BS719" s="847">
        <f t="shared" si="1010"/>
        <v>173</v>
      </c>
      <c r="BT719" s="847">
        <f t="shared" si="1010"/>
        <v>173</v>
      </c>
      <c r="BU719" s="194">
        <f t="shared" si="1029"/>
        <v>173</v>
      </c>
      <c r="BV719" s="847">
        <f t="shared" si="1011"/>
        <v>0</v>
      </c>
      <c r="BW719" s="847">
        <f t="shared" si="1011"/>
        <v>0</v>
      </c>
      <c r="BX719" s="847">
        <f t="shared" si="1011"/>
        <v>0</v>
      </c>
      <c r="BY719" s="847">
        <f t="shared" si="1011"/>
        <v>295</v>
      </c>
      <c r="BZ719" s="194">
        <f t="shared" si="1030"/>
        <v>295</v>
      </c>
      <c r="CA719" s="847">
        <f t="shared" si="1012"/>
        <v>0</v>
      </c>
      <c r="CB719" s="847">
        <f t="shared" si="1012"/>
        <v>0</v>
      </c>
      <c r="CC719" s="847">
        <f t="shared" si="1012"/>
        <v>0</v>
      </c>
      <c r="CD719" s="847">
        <f t="shared" si="1012"/>
        <v>0</v>
      </c>
      <c r="CE719" s="194">
        <f t="shared" si="1031"/>
        <v>0</v>
      </c>
      <c r="CF719" s="847">
        <f t="shared" si="1013"/>
        <v>0</v>
      </c>
      <c r="CG719" s="847">
        <f t="shared" si="1013"/>
        <v>0</v>
      </c>
      <c r="CH719" s="847">
        <f t="shared" si="993"/>
        <v>0</v>
      </c>
      <c r="CI719" s="847">
        <f t="shared" si="993"/>
        <v>0</v>
      </c>
      <c r="CJ719" s="194">
        <f t="shared" si="1014"/>
        <v>0</v>
      </c>
      <c r="CK719" s="2350">
        <f t="shared" si="994"/>
        <v>0</v>
      </c>
      <c r="CL719" s="847">
        <f t="shared" si="995"/>
        <v>0</v>
      </c>
      <c r="CM719" s="847">
        <f t="shared" si="995"/>
        <v>0</v>
      </c>
      <c r="CN719" s="847">
        <f t="shared" si="995"/>
        <v>0</v>
      </c>
      <c r="CO719" s="194">
        <f t="shared" si="1015"/>
        <v>0</v>
      </c>
      <c r="CP719" s="973">
        <f t="shared" si="996"/>
        <v>0</v>
      </c>
      <c r="CQ719" s="847">
        <f t="shared" si="996"/>
        <v>0</v>
      </c>
      <c r="CR719" s="847">
        <f t="shared" si="996"/>
        <v>0</v>
      </c>
      <c r="CS719" s="1431">
        <f t="shared" si="996"/>
        <v>0</v>
      </c>
      <c r="CT719" s="194">
        <f t="shared" si="1016"/>
        <v>0</v>
      </c>
      <c r="CU719" s="194">
        <f t="shared" si="997"/>
        <v>0</v>
      </c>
      <c r="CV719" s="194">
        <f t="shared" si="997"/>
        <v>0</v>
      </c>
      <c r="CW719" s="374"/>
      <c r="CX719" s="374"/>
      <c r="CY719" s="374"/>
      <c r="CZ719" s="374"/>
      <c r="DA719" s="374"/>
      <c r="DB719" s="217"/>
    </row>
    <row r="720" spans="1:256" outlineLevel="1" x14ac:dyDescent="0.2">
      <c r="A720" s="1264" t="s">
        <v>656</v>
      </c>
      <c r="B720" s="651"/>
      <c r="C720" s="236"/>
      <c r="D720" s="207"/>
      <c r="E720" s="207"/>
      <c r="F720" s="207"/>
      <c r="G720" s="234"/>
      <c r="H720" s="661">
        <f t="shared" si="998"/>
        <v>0</v>
      </c>
      <c r="I720" s="973">
        <f t="shared" si="998"/>
        <v>0</v>
      </c>
      <c r="J720" s="847">
        <f t="shared" si="998"/>
        <v>0</v>
      </c>
      <c r="K720" s="847">
        <f t="shared" si="998"/>
        <v>0</v>
      </c>
      <c r="L720" s="847">
        <f t="shared" si="998"/>
        <v>0</v>
      </c>
      <c r="M720" s="661">
        <f t="shared" si="1017"/>
        <v>0</v>
      </c>
      <c r="N720" s="973">
        <f t="shared" si="999"/>
        <v>0</v>
      </c>
      <c r="O720" s="847">
        <f t="shared" si="999"/>
        <v>0</v>
      </c>
      <c r="P720" s="847">
        <f t="shared" si="999"/>
        <v>0</v>
      </c>
      <c r="Q720" s="847">
        <f t="shared" si="999"/>
        <v>0</v>
      </c>
      <c r="R720" s="661">
        <f t="shared" si="1018"/>
        <v>0</v>
      </c>
      <c r="S720" s="973">
        <f t="shared" si="1000"/>
        <v>0</v>
      </c>
      <c r="T720" s="847">
        <f t="shared" si="1000"/>
        <v>0</v>
      </c>
      <c r="U720" s="847">
        <f t="shared" si="1000"/>
        <v>0</v>
      </c>
      <c r="V720" s="847">
        <f t="shared" si="1000"/>
        <v>0</v>
      </c>
      <c r="W720" s="661">
        <f t="shared" si="1019"/>
        <v>0</v>
      </c>
      <c r="X720" s="973">
        <f t="shared" si="1001"/>
        <v>0</v>
      </c>
      <c r="Y720" s="847">
        <f t="shared" si="1001"/>
        <v>0</v>
      </c>
      <c r="Z720" s="847">
        <f t="shared" si="1001"/>
        <v>0</v>
      </c>
      <c r="AA720" s="847">
        <f t="shared" si="1001"/>
        <v>0</v>
      </c>
      <c r="AB720" s="661">
        <f t="shared" si="1020"/>
        <v>0</v>
      </c>
      <c r="AC720" s="973">
        <f t="shared" si="1002"/>
        <v>0</v>
      </c>
      <c r="AD720" s="847">
        <f t="shared" si="1002"/>
        <v>0</v>
      </c>
      <c r="AE720" s="847">
        <f t="shared" si="1002"/>
        <v>0</v>
      </c>
      <c r="AF720" s="847">
        <f t="shared" si="1002"/>
        <v>0</v>
      </c>
      <c r="AG720" s="661">
        <f t="shared" si="1021"/>
        <v>0</v>
      </c>
      <c r="AH720" s="973">
        <f t="shared" si="1003"/>
        <v>0</v>
      </c>
      <c r="AI720" s="847">
        <f t="shared" si="1003"/>
        <v>0</v>
      </c>
      <c r="AJ720" s="847">
        <f t="shared" si="1003"/>
        <v>0</v>
      </c>
      <c r="AK720" s="847">
        <f t="shared" si="1003"/>
        <v>0</v>
      </c>
      <c r="AL720" s="661">
        <f t="shared" si="1022"/>
        <v>0</v>
      </c>
      <c r="AM720" s="973">
        <f t="shared" si="1004"/>
        <v>0</v>
      </c>
      <c r="AN720" s="847">
        <f t="shared" si="1004"/>
        <v>0</v>
      </c>
      <c r="AO720" s="847">
        <f t="shared" si="1004"/>
        <v>0</v>
      </c>
      <c r="AP720" s="847">
        <f t="shared" si="1004"/>
        <v>0</v>
      </c>
      <c r="AQ720" s="661">
        <f t="shared" si="1023"/>
        <v>0</v>
      </c>
      <c r="AR720" s="973">
        <f t="shared" si="1005"/>
        <v>0</v>
      </c>
      <c r="AS720" s="847">
        <f t="shared" si="1005"/>
        <v>0</v>
      </c>
      <c r="AT720" s="847">
        <f t="shared" si="1005"/>
        <v>0</v>
      </c>
      <c r="AU720" s="847">
        <f t="shared" si="1005"/>
        <v>0</v>
      </c>
      <c r="AV720" s="661">
        <f t="shared" si="1024"/>
        <v>0</v>
      </c>
      <c r="AW720" s="973">
        <f t="shared" si="1006"/>
        <v>0</v>
      </c>
      <c r="AX720" s="847">
        <f t="shared" si="1006"/>
        <v>0</v>
      </c>
      <c r="AY720" s="847">
        <f t="shared" si="1006"/>
        <v>0</v>
      </c>
      <c r="AZ720" s="847">
        <f t="shared" si="1006"/>
        <v>0</v>
      </c>
      <c r="BA720" s="661">
        <f t="shared" si="1025"/>
        <v>0</v>
      </c>
      <c r="BB720" s="973">
        <f t="shared" si="1007"/>
        <v>0</v>
      </c>
      <c r="BC720" s="847">
        <f t="shared" si="1007"/>
        <v>0</v>
      </c>
      <c r="BD720" s="847">
        <f t="shared" si="1007"/>
        <v>0</v>
      </c>
      <c r="BE720" s="847">
        <f t="shared" si="1007"/>
        <v>0</v>
      </c>
      <c r="BF720" s="661">
        <f t="shared" si="1026"/>
        <v>0</v>
      </c>
      <c r="BG720" s="973">
        <f t="shared" si="1008"/>
        <v>0</v>
      </c>
      <c r="BH720" s="847">
        <f t="shared" si="1008"/>
        <v>0</v>
      </c>
      <c r="BI720" s="847">
        <f t="shared" si="1008"/>
        <v>0</v>
      </c>
      <c r="BJ720" s="847">
        <f t="shared" si="1008"/>
        <v>0</v>
      </c>
      <c r="BK720" s="661">
        <f t="shared" si="1027"/>
        <v>0</v>
      </c>
      <c r="BL720" s="847">
        <f t="shared" si="1009"/>
        <v>0</v>
      </c>
      <c r="BM720" s="847">
        <f t="shared" si="1009"/>
        <v>0</v>
      </c>
      <c r="BN720" s="847">
        <f t="shared" si="1009"/>
        <v>0</v>
      </c>
      <c r="BO720" s="847">
        <f t="shared" si="1009"/>
        <v>0</v>
      </c>
      <c r="BP720" s="194">
        <f t="shared" si="1028"/>
        <v>0</v>
      </c>
      <c r="BQ720" s="847">
        <f t="shared" si="1010"/>
        <v>0</v>
      </c>
      <c r="BR720" s="847">
        <f t="shared" si="1010"/>
        <v>0</v>
      </c>
      <c r="BS720" s="847">
        <f t="shared" si="1010"/>
        <v>0</v>
      </c>
      <c r="BT720" s="847">
        <f t="shared" si="1010"/>
        <v>0</v>
      </c>
      <c r="BU720" s="194">
        <f t="shared" si="1029"/>
        <v>0</v>
      </c>
      <c r="BV720" s="847">
        <f t="shared" si="1011"/>
        <v>0</v>
      </c>
      <c r="BW720" s="847">
        <f t="shared" si="1011"/>
        <v>0</v>
      </c>
      <c r="BX720" s="847">
        <f t="shared" si="1011"/>
        <v>0</v>
      </c>
      <c r="BY720" s="847">
        <f t="shared" si="1011"/>
        <v>0</v>
      </c>
      <c r="BZ720" s="194">
        <f t="shared" si="1030"/>
        <v>0</v>
      </c>
      <c r="CA720" s="847">
        <f t="shared" si="1012"/>
        <v>0</v>
      </c>
      <c r="CB720" s="847">
        <f t="shared" si="1012"/>
        <v>0</v>
      </c>
      <c r="CC720" s="847">
        <f t="shared" si="1012"/>
        <v>0</v>
      </c>
      <c r="CD720" s="847">
        <f t="shared" si="1012"/>
        <v>0</v>
      </c>
      <c r="CE720" s="194">
        <f t="shared" si="1031"/>
        <v>0</v>
      </c>
      <c r="CF720" s="847">
        <f t="shared" si="1013"/>
        <v>0</v>
      </c>
      <c r="CG720" s="847">
        <f t="shared" si="1013"/>
        <v>0</v>
      </c>
      <c r="CH720" s="847">
        <f t="shared" si="993"/>
        <v>0</v>
      </c>
      <c r="CI720" s="847">
        <f t="shared" si="993"/>
        <v>0</v>
      </c>
      <c r="CJ720" s="194">
        <f t="shared" si="1014"/>
        <v>0</v>
      </c>
      <c r="CK720" s="2350">
        <f t="shared" si="994"/>
        <v>0</v>
      </c>
      <c r="CL720" s="847">
        <f t="shared" si="995"/>
        <v>0</v>
      </c>
      <c r="CM720" s="847">
        <f t="shared" si="995"/>
        <v>0</v>
      </c>
      <c r="CN720" s="847">
        <f t="shared" si="995"/>
        <v>0</v>
      </c>
      <c r="CO720" s="194">
        <f t="shared" si="1015"/>
        <v>0</v>
      </c>
      <c r="CP720" s="973">
        <f t="shared" si="996"/>
        <v>0</v>
      </c>
      <c r="CQ720" s="847">
        <f t="shared" si="996"/>
        <v>0</v>
      </c>
      <c r="CR720" s="847">
        <f t="shared" si="996"/>
        <v>0</v>
      </c>
      <c r="CS720" s="1431">
        <f t="shared" si="996"/>
        <v>0</v>
      </c>
      <c r="CT720" s="194">
        <f t="shared" si="1016"/>
        <v>0</v>
      </c>
      <c r="CU720" s="194">
        <f t="shared" si="997"/>
        <v>0</v>
      </c>
      <c r="CV720" s="194">
        <f t="shared" si="997"/>
        <v>0</v>
      </c>
      <c r="CW720" s="374"/>
      <c r="CX720" s="374"/>
      <c r="CY720" s="374"/>
      <c r="CZ720" s="374"/>
      <c r="DA720" s="374"/>
      <c r="DB720" s="217"/>
    </row>
    <row r="721" spans="1:108" outlineLevel="1" x14ac:dyDescent="0.2">
      <c r="A721" s="1266" t="s">
        <v>1386</v>
      </c>
      <c r="B721" s="651"/>
      <c r="C721" s="236"/>
      <c r="D721" s="207"/>
      <c r="E721" s="207"/>
      <c r="F721" s="207"/>
      <c r="G721" s="234"/>
      <c r="H721" s="661">
        <f t="shared" si="998"/>
        <v>4840</v>
      </c>
      <c r="I721" s="973">
        <f t="shared" si="998"/>
        <v>4630</v>
      </c>
      <c r="J721" s="847">
        <f t="shared" si="998"/>
        <v>4179</v>
      </c>
      <c r="K721" s="847">
        <f t="shared" si="998"/>
        <v>3545</v>
      </c>
      <c r="L721" s="847">
        <f t="shared" si="998"/>
        <v>4542</v>
      </c>
      <c r="M721" s="661">
        <f t="shared" si="1017"/>
        <v>4542</v>
      </c>
      <c r="N721" s="973">
        <f t="shared" si="999"/>
        <v>4310</v>
      </c>
      <c r="O721" s="847">
        <f t="shared" si="999"/>
        <v>4386</v>
      </c>
      <c r="P721" s="847">
        <f t="shared" si="999"/>
        <v>4410</v>
      </c>
      <c r="Q721" s="847">
        <f t="shared" si="999"/>
        <v>4108</v>
      </c>
      <c r="R721" s="661">
        <f t="shared" si="1018"/>
        <v>4108</v>
      </c>
      <c r="S721" s="973">
        <f t="shared" si="1000"/>
        <v>4108</v>
      </c>
      <c r="T721" s="847">
        <f t="shared" si="1000"/>
        <v>4108</v>
      </c>
      <c r="U721" s="847">
        <f t="shared" si="1000"/>
        <v>4108</v>
      </c>
      <c r="V721" s="847">
        <f t="shared" si="1000"/>
        <v>4108</v>
      </c>
      <c r="W721" s="661">
        <f t="shared" si="1019"/>
        <v>4108</v>
      </c>
      <c r="X721" s="973">
        <f t="shared" si="1001"/>
        <v>4108</v>
      </c>
      <c r="Y721" s="847">
        <f t="shared" si="1001"/>
        <v>3982</v>
      </c>
      <c r="Z721" s="847">
        <f t="shared" si="1001"/>
        <v>3829</v>
      </c>
      <c r="AA721" s="847">
        <f t="shared" si="1001"/>
        <v>3517</v>
      </c>
      <c r="AB721" s="661">
        <f t="shared" si="1020"/>
        <v>3517</v>
      </c>
      <c r="AC721" s="973">
        <f t="shared" si="1002"/>
        <v>3517</v>
      </c>
      <c r="AD721" s="847">
        <f t="shared" si="1002"/>
        <v>3517</v>
      </c>
      <c r="AE721" s="847">
        <f t="shared" si="1002"/>
        <v>3738</v>
      </c>
      <c r="AF721" s="847">
        <f t="shared" si="1002"/>
        <v>3738</v>
      </c>
      <c r="AG721" s="661">
        <f t="shared" si="1021"/>
        <v>3738</v>
      </c>
      <c r="AH721" s="973">
        <f t="shared" si="1003"/>
        <v>3738</v>
      </c>
      <c r="AI721" s="847">
        <f t="shared" si="1003"/>
        <v>3517</v>
      </c>
      <c r="AJ721" s="847">
        <f t="shared" si="1003"/>
        <v>3517</v>
      </c>
      <c r="AK721" s="847">
        <f t="shared" si="1003"/>
        <v>3517</v>
      </c>
      <c r="AL721" s="661">
        <f t="shared" si="1022"/>
        <v>3517</v>
      </c>
      <c r="AM721" s="973">
        <f t="shared" si="1004"/>
        <v>3517</v>
      </c>
      <c r="AN721" s="847">
        <f t="shared" si="1004"/>
        <v>3517</v>
      </c>
      <c r="AO721" s="847">
        <f t="shared" si="1004"/>
        <v>3314</v>
      </c>
      <c r="AP721" s="847">
        <f t="shared" si="1004"/>
        <v>3314</v>
      </c>
      <c r="AQ721" s="661">
        <f t="shared" si="1023"/>
        <v>3314</v>
      </c>
      <c r="AR721" s="973">
        <f t="shared" si="1005"/>
        <v>3314</v>
      </c>
      <c r="AS721" s="847">
        <f t="shared" si="1005"/>
        <v>3314</v>
      </c>
      <c r="AT721" s="847">
        <f t="shared" si="1005"/>
        <v>3314</v>
      </c>
      <c r="AU721" s="847">
        <f t="shared" si="1005"/>
        <v>3314</v>
      </c>
      <c r="AV721" s="661">
        <f t="shared" si="1024"/>
        <v>3314</v>
      </c>
      <c r="AW721" s="973">
        <f t="shared" si="1006"/>
        <v>3718</v>
      </c>
      <c r="AX721" s="847">
        <f t="shared" si="1006"/>
        <v>4055</v>
      </c>
      <c r="AY721" s="847">
        <f t="shared" si="1006"/>
        <v>4055</v>
      </c>
      <c r="AZ721" s="847">
        <f t="shared" si="1006"/>
        <v>4055</v>
      </c>
      <c r="BA721" s="661">
        <f t="shared" si="1025"/>
        <v>4055</v>
      </c>
      <c r="BB721" s="973">
        <f t="shared" si="1007"/>
        <v>4055</v>
      </c>
      <c r="BC721" s="847">
        <f t="shared" si="1007"/>
        <v>4055</v>
      </c>
      <c r="BD721" s="847">
        <f t="shared" si="1007"/>
        <v>4055</v>
      </c>
      <c r="BE721" s="847">
        <f t="shared" si="1007"/>
        <v>3719</v>
      </c>
      <c r="BF721" s="661">
        <f t="shared" si="1026"/>
        <v>3719</v>
      </c>
      <c r="BG721" s="973">
        <f t="shared" si="1008"/>
        <v>3888</v>
      </c>
      <c r="BH721" s="847">
        <f t="shared" si="1008"/>
        <v>3888</v>
      </c>
      <c r="BI721" s="847">
        <f t="shared" si="1008"/>
        <v>3888</v>
      </c>
      <c r="BJ721" s="847">
        <f t="shared" si="1008"/>
        <v>3888</v>
      </c>
      <c r="BK721" s="661">
        <f t="shared" si="1027"/>
        <v>3888</v>
      </c>
      <c r="BL721" s="847">
        <f t="shared" si="1009"/>
        <v>3888</v>
      </c>
      <c r="BM721" s="847">
        <f t="shared" si="1009"/>
        <v>3297</v>
      </c>
      <c r="BN721" s="847">
        <f t="shared" si="1009"/>
        <v>3297</v>
      </c>
      <c r="BO721" s="847">
        <f t="shared" si="1009"/>
        <v>3297</v>
      </c>
      <c r="BP721" s="194">
        <f t="shared" si="1028"/>
        <v>3297</v>
      </c>
      <c r="BQ721" s="847">
        <f t="shared" si="1010"/>
        <v>3297</v>
      </c>
      <c r="BR721" s="847">
        <f t="shared" si="1010"/>
        <v>3172</v>
      </c>
      <c r="BS721" s="847">
        <f t="shared" si="1010"/>
        <v>3366</v>
      </c>
      <c r="BT721" s="847">
        <f t="shared" si="1010"/>
        <v>3366</v>
      </c>
      <c r="BU721" s="194">
        <f t="shared" si="1029"/>
        <v>3366</v>
      </c>
      <c r="BV721" s="847">
        <f t="shared" si="1011"/>
        <v>3366</v>
      </c>
      <c r="BW721" s="847">
        <f t="shared" si="1011"/>
        <v>3366</v>
      </c>
      <c r="BX721" s="847">
        <f t="shared" si="1011"/>
        <v>3366</v>
      </c>
      <c r="BY721" s="847">
        <f t="shared" si="1011"/>
        <v>3366</v>
      </c>
      <c r="BZ721" s="194">
        <f t="shared" si="1030"/>
        <v>3366</v>
      </c>
      <c r="CA721" s="847">
        <f t="shared" si="1012"/>
        <v>3196</v>
      </c>
      <c r="CB721" s="847">
        <f t="shared" si="1012"/>
        <v>3196</v>
      </c>
      <c r="CC721" s="847">
        <f t="shared" si="1012"/>
        <v>3196</v>
      </c>
      <c r="CD721" s="847">
        <f t="shared" si="1012"/>
        <v>3196</v>
      </c>
      <c r="CE721" s="194">
        <f t="shared" si="1031"/>
        <v>3196</v>
      </c>
      <c r="CF721" s="847">
        <f t="shared" si="1013"/>
        <v>3196</v>
      </c>
      <c r="CG721" s="847">
        <f t="shared" si="1013"/>
        <v>3196</v>
      </c>
      <c r="CH721" s="847">
        <f t="shared" si="993"/>
        <v>3460</v>
      </c>
      <c r="CI721" s="847">
        <f t="shared" si="993"/>
        <v>3460</v>
      </c>
      <c r="CJ721" s="194">
        <f t="shared" si="1014"/>
        <v>3460</v>
      </c>
      <c r="CK721" s="2350">
        <f t="shared" si="994"/>
        <v>3458</v>
      </c>
      <c r="CL721" s="847">
        <f t="shared" si="995"/>
        <v>3458</v>
      </c>
      <c r="CM721" s="847">
        <f t="shared" si="995"/>
        <v>3458</v>
      </c>
      <c r="CN721" s="847">
        <f t="shared" si="995"/>
        <v>3459</v>
      </c>
      <c r="CO721" s="194">
        <f t="shared" si="1015"/>
        <v>3459</v>
      </c>
      <c r="CP721" s="973">
        <f t="shared" si="996"/>
        <v>3459</v>
      </c>
      <c r="CQ721" s="847">
        <f t="shared" si="996"/>
        <v>3459</v>
      </c>
      <c r="CR721" s="847">
        <f t="shared" si="996"/>
        <v>3459</v>
      </c>
      <c r="CS721" s="1431">
        <f t="shared" si="996"/>
        <v>3459</v>
      </c>
      <c r="CT721" s="194">
        <f t="shared" si="1016"/>
        <v>3459</v>
      </c>
      <c r="CU721" s="194">
        <f t="shared" si="997"/>
        <v>3459</v>
      </c>
      <c r="CV721" s="194">
        <f t="shared" si="997"/>
        <v>3459</v>
      </c>
      <c r="CW721" s="374"/>
      <c r="CX721" s="374"/>
      <c r="CY721" s="374"/>
      <c r="CZ721" s="374"/>
      <c r="DA721" s="374"/>
      <c r="DB721" s="217"/>
    </row>
    <row r="722" spans="1:108" outlineLevel="1" x14ac:dyDescent="0.2">
      <c r="A722" s="1436" t="s">
        <v>47</v>
      </c>
      <c r="B722" s="651"/>
      <c r="C722" s="236"/>
      <c r="D722" s="234"/>
      <c r="E722" s="234"/>
      <c r="F722" s="234"/>
      <c r="G722" s="234"/>
      <c r="H722" s="2293">
        <f t="shared" si="998"/>
        <v>0</v>
      </c>
      <c r="I722" s="2399">
        <f t="shared" si="998"/>
        <v>0</v>
      </c>
      <c r="J722" s="2349">
        <f t="shared" si="998"/>
        <v>0</v>
      </c>
      <c r="K722" s="2349">
        <f t="shared" si="998"/>
        <v>0</v>
      </c>
      <c r="L722" s="2349">
        <f t="shared" si="998"/>
        <v>0</v>
      </c>
      <c r="M722" s="2293">
        <f>M436+M581</f>
        <v>0</v>
      </c>
      <c r="N722" s="2399">
        <f t="shared" si="999"/>
        <v>0</v>
      </c>
      <c r="O722" s="2349">
        <f t="shared" si="999"/>
        <v>0</v>
      </c>
      <c r="P722" s="2349">
        <f t="shared" si="999"/>
        <v>0</v>
      </c>
      <c r="Q722" s="2349">
        <f t="shared" si="999"/>
        <v>0</v>
      </c>
      <c r="R722" s="2293">
        <f>R436+R581</f>
        <v>0</v>
      </c>
      <c r="S722" s="2399">
        <f t="shared" si="1000"/>
        <v>0</v>
      </c>
      <c r="T722" s="2349">
        <f t="shared" si="1000"/>
        <v>0</v>
      </c>
      <c r="U722" s="2349">
        <f t="shared" si="1000"/>
        <v>0</v>
      </c>
      <c r="V722" s="2349">
        <f t="shared" si="1000"/>
        <v>0</v>
      </c>
      <c r="W722" s="2293">
        <f>W436+W581</f>
        <v>0</v>
      </c>
      <c r="X722" s="2399">
        <f t="shared" si="1001"/>
        <v>0</v>
      </c>
      <c r="Y722" s="2349">
        <f t="shared" si="1001"/>
        <v>0</v>
      </c>
      <c r="Z722" s="2349">
        <f t="shared" si="1001"/>
        <v>0</v>
      </c>
      <c r="AA722" s="2349">
        <f t="shared" si="1001"/>
        <v>0</v>
      </c>
      <c r="AB722" s="2293">
        <f>AB436+AB581</f>
        <v>0</v>
      </c>
      <c r="AC722" s="2399">
        <f t="shared" si="1002"/>
        <v>0</v>
      </c>
      <c r="AD722" s="2349">
        <f t="shared" si="1002"/>
        <v>0</v>
      </c>
      <c r="AE722" s="2349">
        <f t="shared" si="1002"/>
        <v>0</v>
      </c>
      <c r="AF722" s="2349">
        <f t="shared" si="1002"/>
        <v>0</v>
      </c>
      <c r="AG722" s="2293">
        <f>AG436+AG581</f>
        <v>0</v>
      </c>
      <c r="AH722" s="2399">
        <f t="shared" si="1003"/>
        <v>0</v>
      </c>
      <c r="AI722" s="2349">
        <f t="shared" si="1003"/>
        <v>0</v>
      </c>
      <c r="AJ722" s="2349">
        <f t="shared" si="1003"/>
        <v>0</v>
      </c>
      <c r="AK722" s="2349">
        <f t="shared" si="1003"/>
        <v>0</v>
      </c>
      <c r="AL722" s="2293">
        <f>AL436+AL581</f>
        <v>0</v>
      </c>
      <c r="AM722" s="2399">
        <f t="shared" si="1004"/>
        <v>0</v>
      </c>
      <c r="AN722" s="2349">
        <f t="shared" si="1004"/>
        <v>0</v>
      </c>
      <c r="AO722" s="2349">
        <f t="shared" si="1004"/>
        <v>0</v>
      </c>
      <c r="AP722" s="2349">
        <f t="shared" si="1004"/>
        <v>0</v>
      </c>
      <c r="AQ722" s="2293">
        <f>AQ436+AQ581</f>
        <v>0</v>
      </c>
      <c r="AR722" s="2399">
        <f t="shared" si="1005"/>
        <v>0</v>
      </c>
      <c r="AS722" s="2349">
        <f t="shared" si="1005"/>
        <v>0</v>
      </c>
      <c r="AT722" s="2349">
        <f t="shared" si="1005"/>
        <v>0</v>
      </c>
      <c r="AU722" s="2349">
        <f t="shared" si="1005"/>
        <v>0</v>
      </c>
      <c r="AV722" s="2293">
        <f>AV436+AV581</f>
        <v>0</v>
      </c>
      <c r="AW722" s="2399">
        <f t="shared" si="1006"/>
        <v>0</v>
      </c>
      <c r="AX722" s="2349">
        <f t="shared" si="1006"/>
        <v>0</v>
      </c>
      <c r="AY722" s="2349">
        <f t="shared" si="1006"/>
        <v>0</v>
      </c>
      <c r="AZ722" s="2349">
        <f t="shared" si="1006"/>
        <v>0</v>
      </c>
      <c r="BA722" s="2293">
        <f>BA436+BA581</f>
        <v>0</v>
      </c>
      <c r="BB722" s="2399">
        <f t="shared" si="1007"/>
        <v>0</v>
      </c>
      <c r="BC722" s="2349">
        <f t="shared" si="1007"/>
        <v>0</v>
      </c>
      <c r="BD722" s="2349">
        <f t="shared" si="1007"/>
        <v>0</v>
      </c>
      <c r="BE722" s="2349">
        <f t="shared" si="1007"/>
        <v>0</v>
      </c>
      <c r="BF722" s="2293">
        <f>BF436+BF581</f>
        <v>0</v>
      </c>
      <c r="BG722" s="2399">
        <f t="shared" si="1008"/>
        <v>0</v>
      </c>
      <c r="BH722" s="2349">
        <f t="shared" si="1008"/>
        <v>0</v>
      </c>
      <c r="BI722" s="2349">
        <f t="shared" si="1008"/>
        <v>0</v>
      </c>
      <c r="BJ722" s="2349">
        <f t="shared" si="1008"/>
        <v>0</v>
      </c>
      <c r="BK722" s="2293">
        <f>BK436+BK581</f>
        <v>0</v>
      </c>
      <c r="BL722" s="2399">
        <f t="shared" si="1009"/>
        <v>0</v>
      </c>
      <c r="BM722" s="2349">
        <f t="shared" si="1009"/>
        <v>0</v>
      </c>
      <c r="BN722" s="2349">
        <f t="shared" si="1009"/>
        <v>0</v>
      </c>
      <c r="BO722" s="2349">
        <f t="shared" si="1009"/>
        <v>0</v>
      </c>
      <c r="BP722" s="2293">
        <f>BP436+BP581</f>
        <v>0</v>
      </c>
      <c r="BQ722" s="2399">
        <f t="shared" si="1010"/>
        <v>0</v>
      </c>
      <c r="BR722" s="2349">
        <f t="shared" si="1010"/>
        <v>0</v>
      </c>
      <c r="BS722" s="2349">
        <f t="shared" si="1010"/>
        <v>0</v>
      </c>
      <c r="BT722" s="2349">
        <f t="shared" si="1010"/>
        <v>0</v>
      </c>
      <c r="BU722" s="2293">
        <f>BU436+BU581</f>
        <v>0</v>
      </c>
      <c r="BV722" s="2399">
        <f t="shared" si="1011"/>
        <v>0</v>
      </c>
      <c r="BW722" s="2349">
        <f t="shared" si="1011"/>
        <v>1601</v>
      </c>
      <c r="BX722" s="2349">
        <f t="shared" si="1011"/>
        <v>1601</v>
      </c>
      <c r="BY722" s="2349">
        <f t="shared" si="1011"/>
        <v>1601</v>
      </c>
      <c r="BZ722" s="2293">
        <f>BZ436+BZ581</f>
        <v>1601</v>
      </c>
      <c r="CA722" s="2399">
        <f t="shared" si="1012"/>
        <v>1601</v>
      </c>
      <c r="CB722" s="2349">
        <f t="shared" si="1012"/>
        <v>1601</v>
      </c>
      <c r="CC722" s="2349">
        <f t="shared" si="1012"/>
        <v>1601</v>
      </c>
      <c r="CD722" s="2349">
        <f t="shared" si="1012"/>
        <v>1601</v>
      </c>
      <c r="CE722" s="2293">
        <f>CE436+CE581</f>
        <v>1601</v>
      </c>
      <c r="CF722" s="2349">
        <f t="shared" si="1013"/>
        <v>1601</v>
      </c>
      <c r="CG722" s="2349">
        <f t="shared" si="1013"/>
        <v>1601</v>
      </c>
      <c r="CH722" s="2349">
        <f t="shared" si="993"/>
        <v>1601</v>
      </c>
      <c r="CI722" s="2349">
        <f t="shared" si="993"/>
        <v>1601</v>
      </c>
      <c r="CJ722" s="2293">
        <f>CJ436+CJ581</f>
        <v>1601</v>
      </c>
      <c r="CK722" s="2350">
        <f t="shared" si="994"/>
        <v>1421</v>
      </c>
      <c r="CL722" s="2349">
        <f t="shared" si="995"/>
        <v>1415</v>
      </c>
      <c r="CM722" s="2349">
        <f t="shared" si="995"/>
        <v>1415</v>
      </c>
      <c r="CN722" s="2349">
        <f t="shared" si="995"/>
        <v>1415</v>
      </c>
      <c r="CO722" s="2293">
        <f>CO436+CO581</f>
        <v>1415</v>
      </c>
      <c r="CP722" s="973">
        <f t="shared" si="996"/>
        <v>1415</v>
      </c>
      <c r="CQ722" s="847">
        <f t="shared" si="996"/>
        <v>1415</v>
      </c>
      <c r="CR722" s="847">
        <f t="shared" si="996"/>
        <v>1415</v>
      </c>
      <c r="CS722" s="1431">
        <f t="shared" si="996"/>
        <v>1415</v>
      </c>
      <c r="CT722" s="2293">
        <f>CT436+CT581</f>
        <v>1415</v>
      </c>
      <c r="CU722" s="194">
        <f t="shared" si="997"/>
        <v>1415</v>
      </c>
      <c r="CV722" s="194">
        <f t="shared" si="997"/>
        <v>1415</v>
      </c>
      <c r="CW722" s="374"/>
      <c r="CX722" s="374"/>
      <c r="CY722" s="374"/>
      <c r="CZ722" s="374"/>
      <c r="DA722" s="374"/>
      <c r="DB722" s="217"/>
    </row>
    <row r="723" spans="1:108" x14ac:dyDescent="0.2">
      <c r="A723" s="1436" t="s">
        <v>1388</v>
      </c>
      <c r="B723" s="651"/>
      <c r="C723" s="236"/>
      <c r="D723" s="234"/>
      <c r="E723" s="234"/>
      <c r="F723" s="234"/>
      <c r="G723" s="234"/>
      <c r="H723" s="2293">
        <f t="shared" si="998"/>
        <v>2069</v>
      </c>
      <c r="I723" s="2399">
        <f t="shared" si="998"/>
        <v>2069</v>
      </c>
      <c r="J723" s="2349">
        <f t="shared" si="998"/>
        <v>1829</v>
      </c>
      <c r="K723" s="2349">
        <f t="shared" si="998"/>
        <v>1709</v>
      </c>
      <c r="L723" s="2349">
        <f t="shared" si="998"/>
        <v>1709</v>
      </c>
      <c r="M723" s="2293">
        <f t="shared" si="1017"/>
        <v>1709</v>
      </c>
      <c r="N723" s="2399">
        <f t="shared" si="999"/>
        <v>1709</v>
      </c>
      <c r="O723" s="2349">
        <f t="shared" si="999"/>
        <v>1709</v>
      </c>
      <c r="P723" s="2349">
        <f t="shared" si="999"/>
        <v>1685</v>
      </c>
      <c r="Q723" s="2349">
        <f t="shared" si="999"/>
        <v>1620</v>
      </c>
      <c r="R723" s="2293">
        <f t="shared" si="1018"/>
        <v>1620</v>
      </c>
      <c r="S723" s="2399">
        <f t="shared" si="1000"/>
        <v>1620</v>
      </c>
      <c r="T723" s="2349">
        <f t="shared" si="1000"/>
        <v>1099</v>
      </c>
      <c r="U723" s="2349">
        <f t="shared" si="1000"/>
        <v>1099</v>
      </c>
      <c r="V723" s="2349">
        <f t="shared" si="1000"/>
        <v>865</v>
      </c>
      <c r="W723" s="2293">
        <f t="shared" si="1019"/>
        <v>865</v>
      </c>
      <c r="X723" s="2399">
        <f t="shared" si="1001"/>
        <v>865</v>
      </c>
      <c r="Y723" s="2349">
        <f t="shared" si="1001"/>
        <v>637</v>
      </c>
      <c r="Z723" s="2349">
        <f t="shared" si="1001"/>
        <v>198</v>
      </c>
      <c r="AA723" s="2349">
        <f t="shared" si="1001"/>
        <v>198</v>
      </c>
      <c r="AB723" s="2293">
        <f t="shared" si="1020"/>
        <v>198</v>
      </c>
      <c r="AC723" s="2399">
        <f t="shared" si="1002"/>
        <v>198</v>
      </c>
      <c r="AD723" s="2349">
        <f t="shared" si="1002"/>
        <v>198</v>
      </c>
      <c r="AE723" s="2349">
        <f t="shared" si="1002"/>
        <v>198</v>
      </c>
      <c r="AF723" s="2349">
        <f t="shared" si="1002"/>
        <v>198</v>
      </c>
      <c r="AG723" s="2293">
        <f t="shared" si="1021"/>
        <v>198</v>
      </c>
      <c r="AH723" s="2399">
        <f t="shared" si="1003"/>
        <v>198</v>
      </c>
      <c r="AI723" s="2349">
        <f t="shared" si="1003"/>
        <v>198</v>
      </c>
      <c r="AJ723" s="2349">
        <f t="shared" si="1003"/>
        <v>198</v>
      </c>
      <c r="AK723" s="2349">
        <f t="shared" si="1003"/>
        <v>198</v>
      </c>
      <c r="AL723" s="2293">
        <f t="shared" si="1022"/>
        <v>198</v>
      </c>
      <c r="AM723" s="2399">
        <f t="shared" si="1004"/>
        <v>198</v>
      </c>
      <c r="AN723" s="2349">
        <f t="shared" si="1004"/>
        <v>390</v>
      </c>
      <c r="AO723" s="2349">
        <f t="shared" si="1004"/>
        <v>192</v>
      </c>
      <c r="AP723" s="2349">
        <f t="shared" si="1004"/>
        <v>192</v>
      </c>
      <c r="AQ723" s="2293">
        <f t="shared" si="1023"/>
        <v>192</v>
      </c>
      <c r="AR723" s="2399">
        <f t="shared" si="1005"/>
        <v>192</v>
      </c>
      <c r="AS723" s="2349">
        <f t="shared" si="1005"/>
        <v>192</v>
      </c>
      <c r="AT723" s="2349">
        <f t="shared" si="1005"/>
        <v>192</v>
      </c>
      <c r="AU723" s="2349">
        <f t="shared" si="1005"/>
        <v>192</v>
      </c>
      <c r="AV723" s="2293">
        <f t="shared" si="1024"/>
        <v>192</v>
      </c>
      <c r="AW723" s="2399">
        <f t="shared" si="1006"/>
        <v>192</v>
      </c>
      <c r="AX723" s="2349">
        <f t="shared" si="1006"/>
        <v>192</v>
      </c>
      <c r="AY723" s="2349">
        <f t="shared" si="1006"/>
        <v>192</v>
      </c>
      <c r="AZ723" s="2349">
        <f t="shared" si="1006"/>
        <v>192</v>
      </c>
      <c r="BA723" s="2293">
        <f t="shared" si="1025"/>
        <v>192</v>
      </c>
      <c r="BB723" s="2399">
        <f t="shared" si="1007"/>
        <v>192</v>
      </c>
      <c r="BC723" s="2349">
        <f t="shared" si="1007"/>
        <v>192</v>
      </c>
      <c r="BD723" s="2349">
        <f t="shared" si="1007"/>
        <v>192</v>
      </c>
      <c r="BE723" s="2349">
        <f t="shared" si="1007"/>
        <v>192</v>
      </c>
      <c r="BF723" s="2293">
        <f t="shared" si="1026"/>
        <v>192</v>
      </c>
      <c r="BG723" s="2399">
        <f t="shared" si="1008"/>
        <v>192</v>
      </c>
      <c r="BH723" s="2349">
        <f t="shared" si="1008"/>
        <v>192</v>
      </c>
      <c r="BI723" s="2349">
        <f t="shared" si="1008"/>
        <v>192</v>
      </c>
      <c r="BJ723" s="2349">
        <f t="shared" si="1008"/>
        <v>192</v>
      </c>
      <c r="BK723" s="2293">
        <f t="shared" si="1027"/>
        <v>192</v>
      </c>
      <c r="BL723" s="2399">
        <f t="shared" si="1009"/>
        <v>192</v>
      </c>
      <c r="BM723" s="2349">
        <f t="shared" si="1009"/>
        <v>192</v>
      </c>
      <c r="BN723" s="2349">
        <f t="shared" si="1009"/>
        <v>192</v>
      </c>
      <c r="BO723" s="2349">
        <f t="shared" si="1009"/>
        <v>192</v>
      </c>
      <c r="BP723" s="2293">
        <f t="shared" si="1028"/>
        <v>192</v>
      </c>
      <c r="BQ723" s="2399">
        <f t="shared" si="1010"/>
        <v>192</v>
      </c>
      <c r="BR723" s="2349">
        <f t="shared" si="1010"/>
        <v>192</v>
      </c>
      <c r="BS723" s="2349">
        <f t="shared" si="1010"/>
        <v>192</v>
      </c>
      <c r="BT723" s="2349">
        <f t="shared" si="1010"/>
        <v>192</v>
      </c>
      <c r="BU723" s="2293">
        <f t="shared" si="1029"/>
        <v>192</v>
      </c>
      <c r="BV723" s="2399">
        <f t="shared" si="1011"/>
        <v>192</v>
      </c>
      <c r="BW723" s="2349">
        <f t="shared" si="1011"/>
        <v>192</v>
      </c>
      <c r="BX723" s="2349">
        <f t="shared" si="1011"/>
        <v>192</v>
      </c>
      <c r="BY723" s="2349">
        <f t="shared" si="1011"/>
        <v>192</v>
      </c>
      <c r="BZ723" s="2293">
        <f t="shared" si="1030"/>
        <v>192</v>
      </c>
      <c r="CA723" s="2399">
        <f t="shared" si="1012"/>
        <v>192</v>
      </c>
      <c r="CB723" s="2349">
        <f t="shared" si="1012"/>
        <v>192</v>
      </c>
      <c r="CC723" s="2349">
        <f t="shared" si="1012"/>
        <v>192</v>
      </c>
      <c r="CD723" s="2349">
        <f t="shared" si="1012"/>
        <v>192</v>
      </c>
      <c r="CE723" s="2293">
        <f t="shared" si="1031"/>
        <v>192</v>
      </c>
      <c r="CF723" s="2349">
        <f t="shared" si="1013"/>
        <v>192</v>
      </c>
      <c r="CG723" s="2349">
        <f t="shared" si="1013"/>
        <v>192</v>
      </c>
      <c r="CH723" s="2349">
        <f t="shared" si="993"/>
        <v>332</v>
      </c>
      <c r="CI723" s="2349">
        <f t="shared" si="993"/>
        <v>332</v>
      </c>
      <c r="CJ723" s="2293">
        <f t="shared" ref="CJ723:CJ729" si="1032">CI723</f>
        <v>332</v>
      </c>
      <c r="CK723" s="2350">
        <f t="shared" si="994"/>
        <v>332</v>
      </c>
      <c r="CL723" s="2349">
        <f t="shared" si="995"/>
        <v>332</v>
      </c>
      <c r="CM723" s="2349">
        <f t="shared" si="995"/>
        <v>332</v>
      </c>
      <c r="CN723" s="2349">
        <f t="shared" si="995"/>
        <v>332</v>
      </c>
      <c r="CO723" s="2293">
        <f t="shared" ref="CO723:CO729" si="1033">CN723</f>
        <v>332</v>
      </c>
      <c r="CP723" s="973">
        <f t="shared" si="996"/>
        <v>332</v>
      </c>
      <c r="CQ723" s="847">
        <f t="shared" si="996"/>
        <v>332</v>
      </c>
      <c r="CR723" s="847">
        <f t="shared" si="996"/>
        <v>332</v>
      </c>
      <c r="CS723" s="1431">
        <f t="shared" si="996"/>
        <v>332</v>
      </c>
      <c r="CT723" s="2293">
        <f t="shared" ref="CT723:CT729" si="1034">CS723</f>
        <v>332</v>
      </c>
      <c r="CU723" s="194">
        <f t="shared" si="997"/>
        <v>332</v>
      </c>
      <c r="CV723" s="194">
        <f t="shared" si="997"/>
        <v>332</v>
      </c>
      <c r="CW723" s="374"/>
      <c r="CX723" s="374"/>
      <c r="CY723" s="374"/>
      <c r="CZ723" s="374"/>
      <c r="DA723" s="374"/>
      <c r="DB723" s="217"/>
    </row>
    <row r="724" spans="1:108" x14ac:dyDescent="0.2">
      <c r="A724" s="1266" t="s">
        <v>1391</v>
      </c>
      <c r="B724" s="651"/>
      <c r="C724" s="236"/>
      <c r="D724" s="207"/>
      <c r="E724" s="207"/>
      <c r="F724" s="207"/>
      <c r="G724" s="234"/>
      <c r="H724" s="661">
        <f t="shared" si="998"/>
        <v>1198</v>
      </c>
      <c r="I724" s="973">
        <f t="shared" si="998"/>
        <v>1392</v>
      </c>
      <c r="J724" s="847">
        <f t="shared" si="998"/>
        <v>923</v>
      </c>
      <c r="K724" s="847">
        <f t="shared" si="998"/>
        <v>1070</v>
      </c>
      <c r="L724" s="847">
        <f t="shared" si="998"/>
        <v>1070</v>
      </c>
      <c r="M724" s="661">
        <f t="shared" si="1017"/>
        <v>1070</v>
      </c>
      <c r="N724" s="973">
        <f t="shared" si="999"/>
        <v>926</v>
      </c>
      <c r="O724" s="847">
        <f t="shared" si="999"/>
        <v>926</v>
      </c>
      <c r="P724" s="847">
        <f t="shared" si="999"/>
        <v>925</v>
      </c>
      <c r="Q724" s="847">
        <f t="shared" si="999"/>
        <v>609</v>
      </c>
      <c r="R724" s="661">
        <f t="shared" si="1018"/>
        <v>609</v>
      </c>
      <c r="S724" s="973">
        <f t="shared" si="1000"/>
        <v>609</v>
      </c>
      <c r="T724" s="847">
        <f t="shared" si="1000"/>
        <v>415</v>
      </c>
      <c r="U724" s="847">
        <f t="shared" si="1000"/>
        <v>415</v>
      </c>
      <c r="V724" s="847">
        <f t="shared" si="1000"/>
        <v>415</v>
      </c>
      <c r="W724" s="661">
        <f t="shared" si="1019"/>
        <v>415</v>
      </c>
      <c r="X724" s="973">
        <f t="shared" si="1001"/>
        <v>415</v>
      </c>
      <c r="Y724" s="847">
        <f t="shared" si="1001"/>
        <v>127</v>
      </c>
      <c r="Z724" s="847">
        <f t="shared" si="1001"/>
        <v>0</v>
      </c>
      <c r="AA724" s="847">
        <f t="shared" si="1001"/>
        <v>0</v>
      </c>
      <c r="AB724" s="661">
        <f t="shared" si="1020"/>
        <v>0</v>
      </c>
      <c r="AC724" s="973">
        <f t="shared" si="1002"/>
        <v>0</v>
      </c>
      <c r="AD724" s="847">
        <f t="shared" si="1002"/>
        <v>0</v>
      </c>
      <c r="AE724" s="847">
        <f t="shared" si="1002"/>
        <v>0</v>
      </c>
      <c r="AF724" s="847">
        <f t="shared" si="1002"/>
        <v>0</v>
      </c>
      <c r="AG724" s="661">
        <f t="shared" si="1021"/>
        <v>0</v>
      </c>
      <c r="AH724" s="973">
        <f t="shared" si="1003"/>
        <v>0</v>
      </c>
      <c r="AI724" s="847">
        <f t="shared" si="1003"/>
        <v>0</v>
      </c>
      <c r="AJ724" s="847">
        <f t="shared" si="1003"/>
        <v>0</v>
      </c>
      <c r="AK724" s="847">
        <f t="shared" si="1003"/>
        <v>0</v>
      </c>
      <c r="AL724" s="661">
        <f t="shared" si="1022"/>
        <v>0</v>
      </c>
      <c r="AM724" s="973">
        <f t="shared" si="1004"/>
        <v>0</v>
      </c>
      <c r="AN724" s="847">
        <f t="shared" si="1004"/>
        <v>0</v>
      </c>
      <c r="AO724" s="847">
        <f t="shared" si="1004"/>
        <v>0</v>
      </c>
      <c r="AP724" s="847">
        <f t="shared" si="1004"/>
        <v>0</v>
      </c>
      <c r="AQ724" s="661">
        <f t="shared" si="1023"/>
        <v>0</v>
      </c>
      <c r="AR724" s="973">
        <f t="shared" si="1005"/>
        <v>0</v>
      </c>
      <c r="AS724" s="847">
        <f t="shared" si="1005"/>
        <v>0</v>
      </c>
      <c r="AT724" s="847">
        <f t="shared" si="1005"/>
        <v>0</v>
      </c>
      <c r="AU724" s="847">
        <f t="shared" si="1005"/>
        <v>0</v>
      </c>
      <c r="AV724" s="661">
        <f t="shared" si="1024"/>
        <v>0</v>
      </c>
      <c r="AW724" s="973">
        <f t="shared" si="1006"/>
        <v>0</v>
      </c>
      <c r="AX724" s="847">
        <f t="shared" si="1006"/>
        <v>0</v>
      </c>
      <c r="AY724" s="847">
        <f t="shared" si="1006"/>
        <v>0</v>
      </c>
      <c r="AZ724" s="847">
        <f t="shared" si="1006"/>
        <v>0</v>
      </c>
      <c r="BA724" s="661">
        <f t="shared" si="1025"/>
        <v>0</v>
      </c>
      <c r="BB724" s="973">
        <f t="shared" si="1007"/>
        <v>0</v>
      </c>
      <c r="BC724" s="847">
        <f t="shared" si="1007"/>
        <v>0</v>
      </c>
      <c r="BD724" s="847">
        <f t="shared" si="1007"/>
        <v>0</v>
      </c>
      <c r="BE724" s="847">
        <f t="shared" si="1007"/>
        <v>0</v>
      </c>
      <c r="BF724" s="661">
        <f t="shared" si="1026"/>
        <v>0</v>
      </c>
      <c r="BG724" s="973">
        <f t="shared" si="1008"/>
        <v>0</v>
      </c>
      <c r="BH724" s="847">
        <f t="shared" si="1008"/>
        <v>0</v>
      </c>
      <c r="BI724" s="847">
        <f t="shared" si="1008"/>
        <v>0</v>
      </c>
      <c r="BJ724" s="847">
        <f t="shared" si="1008"/>
        <v>0</v>
      </c>
      <c r="BK724" s="661">
        <f t="shared" si="1027"/>
        <v>0</v>
      </c>
      <c r="BL724" s="847">
        <f t="shared" si="1009"/>
        <v>0</v>
      </c>
      <c r="BM724" s="847">
        <f t="shared" si="1009"/>
        <v>0</v>
      </c>
      <c r="BN724" s="847">
        <f t="shared" si="1009"/>
        <v>0</v>
      </c>
      <c r="BO724" s="847">
        <f t="shared" si="1009"/>
        <v>0</v>
      </c>
      <c r="BP724" s="194">
        <f t="shared" si="1028"/>
        <v>0</v>
      </c>
      <c r="BQ724" s="847">
        <f t="shared" si="1010"/>
        <v>0</v>
      </c>
      <c r="BR724" s="847">
        <f t="shared" si="1010"/>
        <v>0</v>
      </c>
      <c r="BS724" s="847">
        <f t="shared" si="1010"/>
        <v>0</v>
      </c>
      <c r="BT724" s="847">
        <f t="shared" si="1010"/>
        <v>0</v>
      </c>
      <c r="BU724" s="194">
        <f t="shared" si="1029"/>
        <v>0</v>
      </c>
      <c r="BV724" s="847">
        <f t="shared" si="1011"/>
        <v>0</v>
      </c>
      <c r="BW724" s="847">
        <f t="shared" si="1011"/>
        <v>0</v>
      </c>
      <c r="BX724" s="847">
        <f t="shared" si="1011"/>
        <v>0</v>
      </c>
      <c r="BY724" s="847">
        <f t="shared" si="1011"/>
        <v>0</v>
      </c>
      <c r="BZ724" s="194">
        <f t="shared" si="1030"/>
        <v>0</v>
      </c>
      <c r="CA724" s="847">
        <f t="shared" si="1012"/>
        <v>0</v>
      </c>
      <c r="CB724" s="847">
        <f t="shared" si="1012"/>
        <v>0</v>
      </c>
      <c r="CC724" s="847">
        <f t="shared" si="1012"/>
        <v>0</v>
      </c>
      <c r="CD724" s="847">
        <f t="shared" si="1012"/>
        <v>0</v>
      </c>
      <c r="CE724" s="194">
        <f t="shared" si="1031"/>
        <v>0</v>
      </c>
      <c r="CF724" s="847">
        <f t="shared" si="1013"/>
        <v>0</v>
      </c>
      <c r="CG724" s="847">
        <f t="shared" si="1013"/>
        <v>0</v>
      </c>
      <c r="CH724" s="847">
        <f t="shared" si="993"/>
        <v>0</v>
      </c>
      <c r="CI724" s="847">
        <f t="shared" si="993"/>
        <v>0</v>
      </c>
      <c r="CJ724" s="194">
        <f t="shared" si="1032"/>
        <v>0</v>
      </c>
      <c r="CK724" s="2350">
        <f t="shared" si="994"/>
        <v>0</v>
      </c>
      <c r="CL724" s="847">
        <f t="shared" si="995"/>
        <v>0</v>
      </c>
      <c r="CM724" s="847">
        <f t="shared" si="995"/>
        <v>0</v>
      </c>
      <c r="CN724" s="847">
        <f t="shared" si="995"/>
        <v>0</v>
      </c>
      <c r="CO724" s="194">
        <f t="shared" si="1033"/>
        <v>0</v>
      </c>
      <c r="CP724" s="973">
        <f t="shared" si="996"/>
        <v>0</v>
      </c>
      <c r="CQ724" s="847">
        <f t="shared" si="996"/>
        <v>0</v>
      </c>
      <c r="CR724" s="847">
        <f t="shared" si="996"/>
        <v>0</v>
      </c>
      <c r="CS724" s="1431">
        <f t="shared" si="996"/>
        <v>0</v>
      </c>
      <c r="CT724" s="194">
        <f t="shared" si="1034"/>
        <v>0</v>
      </c>
      <c r="CU724" s="194">
        <f t="shared" si="997"/>
        <v>0</v>
      </c>
      <c r="CV724" s="194">
        <f t="shared" si="997"/>
        <v>0</v>
      </c>
      <c r="CW724" s="374"/>
      <c r="CX724" s="374"/>
      <c r="CY724" s="374"/>
      <c r="CZ724" s="374"/>
      <c r="DA724" s="374"/>
      <c r="DB724" s="217"/>
    </row>
    <row r="725" spans="1:108" x14ac:dyDescent="0.2">
      <c r="A725" s="1266" t="s">
        <v>1389</v>
      </c>
      <c r="B725" s="651"/>
      <c r="C725" s="236"/>
      <c r="D725" s="207"/>
      <c r="E725" s="207"/>
      <c r="F725" s="207"/>
      <c r="G725" s="234"/>
      <c r="H725" s="661">
        <f t="shared" si="998"/>
        <v>388</v>
      </c>
      <c r="I725" s="973">
        <f t="shared" si="998"/>
        <v>0</v>
      </c>
      <c r="J725" s="847">
        <f t="shared" si="998"/>
        <v>0</v>
      </c>
      <c r="K725" s="847">
        <f t="shared" si="998"/>
        <v>0</v>
      </c>
      <c r="L725" s="847">
        <f t="shared" si="998"/>
        <v>388</v>
      </c>
      <c r="M725" s="661">
        <f t="shared" si="1017"/>
        <v>388</v>
      </c>
      <c r="N725" s="973">
        <f t="shared" si="999"/>
        <v>378</v>
      </c>
      <c r="O725" s="847">
        <f t="shared" si="999"/>
        <v>378</v>
      </c>
      <c r="P725" s="847">
        <f t="shared" si="999"/>
        <v>378</v>
      </c>
      <c r="Q725" s="847">
        <f t="shared" si="999"/>
        <v>378</v>
      </c>
      <c r="R725" s="661">
        <f t="shared" si="1018"/>
        <v>378</v>
      </c>
      <c r="S725" s="973">
        <f t="shared" si="1000"/>
        <v>388</v>
      </c>
      <c r="T725" s="847">
        <f t="shared" si="1000"/>
        <v>388</v>
      </c>
      <c r="U725" s="847">
        <f t="shared" si="1000"/>
        <v>388</v>
      </c>
      <c r="V725" s="847">
        <f t="shared" si="1000"/>
        <v>388</v>
      </c>
      <c r="W725" s="661">
        <f t="shared" si="1019"/>
        <v>388</v>
      </c>
      <c r="X725" s="973">
        <f t="shared" si="1001"/>
        <v>388</v>
      </c>
      <c r="Y725" s="847">
        <f t="shared" si="1001"/>
        <v>388</v>
      </c>
      <c r="Z725" s="847">
        <f t="shared" si="1001"/>
        <v>388</v>
      </c>
      <c r="AA725" s="847">
        <f t="shared" si="1001"/>
        <v>0</v>
      </c>
      <c r="AB725" s="661">
        <f t="shared" si="1020"/>
        <v>0</v>
      </c>
      <c r="AC725" s="973">
        <f t="shared" si="1002"/>
        <v>0</v>
      </c>
      <c r="AD725" s="847">
        <f t="shared" si="1002"/>
        <v>0</v>
      </c>
      <c r="AE725" s="847">
        <f t="shared" si="1002"/>
        <v>0</v>
      </c>
      <c r="AF725" s="847">
        <f t="shared" si="1002"/>
        <v>0</v>
      </c>
      <c r="AG725" s="661">
        <f t="shared" si="1021"/>
        <v>0</v>
      </c>
      <c r="AH725" s="973">
        <f t="shared" si="1003"/>
        <v>0</v>
      </c>
      <c r="AI725" s="847">
        <f t="shared" si="1003"/>
        <v>0</v>
      </c>
      <c r="AJ725" s="847">
        <f t="shared" si="1003"/>
        <v>0</v>
      </c>
      <c r="AK725" s="847">
        <f t="shared" si="1003"/>
        <v>0</v>
      </c>
      <c r="AL725" s="661">
        <f t="shared" si="1022"/>
        <v>0</v>
      </c>
      <c r="AM725" s="973">
        <f t="shared" si="1004"/>
        <v>0</v>
      </c>
      <c r="AN725" s="847">
        <f t="shared" si="1004"/>
        <v>0</v>
      </c>
      <c r="AO725" s="847">
        <f t="shared" si="1004"/>
        <v>0</v>
      </c>
      <c r="AP725" s="847">
        <f t="shared" si="1004"/>
        <v>0</v>
      </c>
      <c r="AQ725" s="661">
        <f t="shared" si="1023"/>
        <v>0</v>
      </c>
      <c r="AR725" s="973">
        <f t="shared" si="1005"/>
        <v>0</v>
      </c>
      <c r="AS725" s="847">
        <f t="shared" si="1005"/>
        <v>0</v>
      </c>
      <c r="AT725" s="847">
        <f t="shared" si="1005"/>
        <v>0</v>
      </c>
      <c r="AU725" s="847">
        <f t="shared" si="1005"/>
        <v>0</v>
      </c>
      <c r="AV725" s="661">
        <f t="shared" si="1024"/>
        <v>0</v>
      </c>
      <c r="AW725" s="973">
        <f t="shared" si="1006"/>
        <v>0</v>
      </c>
      <c r="AX725" s="847">
        <f t="shared" si="1006"/>
        <v>0</v>
      </c>
      <c r="AY725" s="847">
        <f t="shared" si="1006"/>
        <v>0</v>
      </c>
      <c r="AZ725" s="847">
        <f t="shared" si="1006"/>
        <v>0</v>
      </c>
      <c r="BA725" s="661">
        <f t="shared" si="1025"/>
        <v>0</v>
      </c>
      <c r="BB725" s="973">
        <f t="shared" si="1007"/>
        <v>0</v>
      </c>
      <c r="BC725" s="847">
        <f t="shared" si="1007"/>
        <v>0</v>
      </c>
      <c r="BD725" s="847">
        <f t="shared" si="1007"/>
        <v>0</v>
      </c>
      <c r="BE725" s="847">
        <f t="shared" si="1007"/>
        <v>0</v>
      </c>
      <c r="BF725" s="661">
        <f t="shared" si="1026"/>
        <v>0</v>
      </c>
      <c r="BG725" s="973">
        <f t="shared" si="1008"/>
        <v>0</v>
      </c>
      <c r="BH725" s="847">
        <f t="shared" si="1008"/>
        <v>0</v>
      </c>
      <c r="BI725" s="847">
        <f t="shared" si="1008"/>
        <v>0</v>
      </c>
      <c r="BJ725" s="847">
        <f t="shared" si="1008"/>
        <v>0</v>
      </c>
      <c r="BK725" s="661">
        <f t="shared" si="1027"/>
        <v>0</v>
      </c>
      <c r="BL725" s="847">
        <f t="shared" si="1009"/>
        <v>0</v>
      </c>
      <c r="BM725" s="847">
        <f t="shared" si="1009"/>
        <v>0</v>
      </c>
      <c r="BN725" s="847">
        <f t="shared" si="1009"/>
        <v>0</v>
      </c>
      <c r="BO725" s="847">
        <f t="shared" si="1009"/>
        <v>0</v>
      </c>
      <c r="BP725" s="194">
        <f t="shared" si="1028"/>
        <v>0</v>
      </c>
      <c r="BQ725" s="847">
        <f t="shared" si="1010"/>
        <v>0</v>
      </c>
      <c r="BR725" s="847">
        <f t="shared" si="1010"/>
        <v>0</v>
      </c>
      <c r="BS725" s="847">
        <f t="shared" si="1010"/>
        <v>0</v>
      </c>
      <c r="BT725" s="847">
        <f t="shared" si="1010"/>
        <v>0</v>
      </c>
      <c r="BU725" s="194">
        <f t="shared" si="1029"/>
        <v>0</v>
      </c>
      <c r="BV725" s="847">
        <f t="shared" si="1011"/>
        <v>0</v>
      </c>
      <c r="BW725" s="847">
        <f t="shared" si="1011"/>
        <v>0</v>
      </c>
      <c r="BX725" s="847">
        <f t="shared" si="1011"/>
        <v>0</v>
      </c>
      <c r="BY725" s="847">
        <f t="shared" si="1011"/>
        <v>0</v>
      </c>
      <c r="BZ725" s="194">
        <f t="shared" si="1030"/>
        <v>0</v>
      </c>
      <c r="CA725" s="847">
        <f t="shared" si="1012"/>
        <v>0</v>
      </c>
      <c r="CB725" s="847">
        <f t="shared" si="1012"/>
        <v>0</v>
      </c>
      <c r="CC725" s="847">
        <f t="shared" si="1012"/>
        <v>0</v>
      </c>
      <c r="CD725" s="847">
        <f t="shared" si="1012"/>
        <v>0</v>
      </c>
      <c r="CE725" s="194">
        <f t="shared" si="1031"/>
        <v>0</v>
      </c>
      <c r="CF725" s="847">
        <f t="shared" si="1013"/>
        <v>0</v>
      </c>
      <c r="CG725" s="847">
        <f t="shared" si="1013"/>
        <v>0</v>
      </c>
      <c r="CH725" s="847">
        <f t="shared" si="993"/>
        <v>0</v>
      </c>
      <c r="CI725" s="847">
        <f t="shared" si="993"/>
        <v>0</v>
      </c>
      <c r="CJ725" s="194">
        <f t="shared" si="1032"/>
        <v>0</v>
      </c>
      <c r="CK725" s="2350">
        <f t="shared" si="994"/>
        <v>0</v>
      </c>
      <c r="CL725" s="847">
        <f t="shared" si="995"/>
        <v>0</v>
      </c>
      <c r="CM725" s="847">
        <f t="shared" si="995"/>
        <v>0</v>
      </c>
      <c r="CN725" s="847">
        <f t="shared" si="995"/>
        <v>0</v>
      </c>
      <c r="CO725" s="194">
        <f t="shared" si="1033"/>
        <v>0</v>
      </c>
      <c r="CP725" s="973">
        <f t="shared" si="996"/>
        <v>0</v>
      </c>
      <c r="CQ725" s="847">
        <f t="shared" si="996"/>
        <v>0</v>
      </c>
      <c r="CR725" s="847">
        <f t="shared" si="996"/>
        <v>0</v>
      </c>
      <c r="CS725" s="1431">
        <f t="shared" si="996"/>
        <v>0</v>
      </c>
      <c r="CT725" s="194">
        <f t="shared" si="1034"/>
        <v>0</v>
      </c>
      <c r="CU725" s="194">
        <f t="shared" si="997"/>
        <v>0</v>
      </c>
      <c r="CV725" s="194">
        <f t="shared" si="997"/>
        <v>0</v>
      </c>
      <c r="CW725" s="374"/>
      <c r="CX725" s="374"/>
      <c r="CY725" s="374"/>
      <c r="CZ725" s="374"/>
      <c r="DA725" s="374"/>
      <c r="DB725" s="217"/>
    </row>
    <row r="726" spans="1:108" x14ac:dyDescent="0.2">
      <c r="A726" s="1266" t="s">
        <v>1390</v>
      </c>
      <c r="B726" s="651"/>
      <c r="C726" s="236"/>
      <c r="D726" s="207"/>
      <c r="E726" s="207"/>
      <c r="F726" s="207"/>
      <c r="G726" s="234"/>
      <c r="H726" s="661">
        <f t="shared" si="998"/>
        <v>932</v>
      </c>
      <c r="I726" s="973">
        <f t="shared" si="998"/>
        <v>676</v>
      </c>
      <c r="J726" s="847">
        <f t="shared" si="998"/>
        <v>698</v>
      </c>
      <c r="K726" s="847">
        <f t="shared" si="998"/>
        <v>1063</v>
      </c>
      <c r="L726" s="847">
        <f t="shared" si="998"/>
        <v>927</v>
      </c>
      <c r="M726" s="661">
        <f t="shared" si="1017"/>
        <v>927</v>
      </c>
      <c r="N726" s="973">
        <f t="shared" si="999"/>
        <v>562</v>
      </c>
      <c r="O726" s="847">
        <f t="shared" si="999"/>
        <v>562</v>
      </c>
      <c r="P726" s="847">
        <f t="shared" si="999"/>
        <v>562</v>
      </c>
      <c r="Q726" s="847">
        <f t="shared" si="999"/>
        <v>562</v>
      </c>
      <c r="R726" s="661">
        <f t="shared" si="1018"/>
        <v>562</v>
      </c>
      <c r="S726" s="973">
        <f t="shared" si="1000"/>
        <v>721</v>
      </c>
      <c r="T726" s="847">
        <f t="shared" si="1000"/>
        <v>721</v>
      </c>
      <c r="U726" s="847">
        <f t="shared" si="1000"/>
        <v>721</v>
      </c>
      <c r="V726" s="847">
        <f t="shared" si="1000"/>
        <v>721</v>
      </c>
      <c r="W726" s="661">
        <f t="shared" si="1019"/>
        <v>721</v>
      </c>
      <c r="X726" s="973">
        <f t="shared" si="1001"/>
        <v>721</v>
      </c>
      <c r="Y726" s="847">
        <f t="shared" si="1001"/>
        <v>721</v>
      </c>
      <c r="Z726" s="847">
        <f t="shared" si="1001"/>
        <v>559</v>
      </c>
      <c r="AA726" s="847">
        <f t="shared" si="1001"/>
        <v>159</v>
      </c>
      <c r="AB726" s="661">
        <f t="shared" si="1020"/>
        <v>159</v>
      </c>
      <c r="AC726" s="973">
        <f t="shared" si="1002"/>
        <v>159</v>
      </c>
      <c r="AD726" s="847">
        <f t="shared" si="1002"/>
        <v>159</v>
      </c>
      <c r="AE726" s="847">
        <f t="shared" si="1002"/>
        <v>159</v>
      </c>
      <c r="AF726" s="847">
        <f t="shared" si="1002"/>
        <v>159</v>
      </c>
      <c r="AG726" s="661">
        <f t="shared" si="1021"/>
        <v>159</v>
      </c>
      <c r="AH726" s="973">
        <f t="shared" si="1003"/>
        <v>159</v>
      </c>
      <c r="AI726" s="847">
        <f t="shared" si="1003"/>
        <v>159</v>
      </c>
      <c r="AJ726" s="847">
        <f t="shared" si="1003"/>
        <v>159</v>
      </c>
      <c r="AK726" s="847">
        <f t="shared" si="1003"/>
        <v>159</v>
      </c>
      <c r="AL726" s="661">
        <f t="shared" si="1022"/>
        <v>159</v>
      </c>
      <c r="AM726" s="973">
        <f t="shared" si="1004"/>
        <v>159</v>
      </c>
      <c r="AN726" s="847">
        <f t="shared" si="1004"/>
        <v>159</v>
      </c>
      <c r="AO726" s="847">
        <f t="shared" si="1004"/>
        <v>0</v>
      </c>
      <c r="AP726" s="847">
        <f t="shared" si="1004"/>
        <v>0</v>
      </c>
      <c r="AQ726" s="661">
        <f t="shared" si="1023"/>
        <v>0</v>
      </c>
      <c r="AR726" s="973">
        <f t="shared" si="1005"/>
        <v>0</v>
      </c>
      <c r="AS726" s="847">
        <f t="shared" si="1005"/>
        <v>0</v>
      </c>
      <c r="AT726" s="847">
        <f t="shared" si="1005"/>
        <v>0</v>
      </c>
      <c r="AU726" s="847">
        <f t="shared" si="1005"/>
        <v>0</v>
      </c>
      <c r="AV726" s="661">
        <f t="shared" si="1024"/>
        <v>0</v>
      </c>
      <c r="AW726" s="973">
        <f t="shared" si="1006"/>
        <v>0</v>
      </c>
      <c r="AX726" s="847">
        <f t="shared" si="1006"/>
        <v>0</v>
      </c>
      <c r="AY726" s="847">
        <f t="shared" si="1006"/>
        <v>0</v>
      </c>
      <c r="AZ726" s="847">
        <f t="shared" si="1006"/>
        <v>0</v>
      </c>
      <c r="BA726" s="661">
        <f t="shared" si="1025"/>
        <v>0</v>
      </c>
      <c r="BB726" s="973">
        <f t="shared" si="1007"/>
        <v>0</v>
      </c>
      <c r="BC726" s="847">
        <f t="shared" si="1007"/>
        <v>0</v>
      </c>
      <c r="BD726" s="847">
        <f t="shared" si="1007"/>
        <v>0</v>
      </c>
      <c r="BE726" s="847">
        <f t="shared" si="1007"/>
        <v>0</v>
      </c>
      <c r="BF726" s="661">
        <f t="shared" si="1026"/>
        <v>0</v>
      </c>
      <c r="BG726" s="973">
        <f t="shared" si="1008"/>
        <v>0</v>
      </c>
      <c r="BH726" s="847">
        <f t="shared" si="1008"/>
        <v>0</v>
      </c>
      <c r="BI726" s="847">
        <f t="shared" si="1008"/>
        <v>0</v>
      </c>
      <c r="BJ726" s="847">
        <f t="shared" si="1008"/>
        <v>0</v>
      </c>
      <c r="BK726" s="661">
        <f t="shared" si="1027"/>
        <v>0</v>
      </c>
      <c r="BL726" s="847">
        <f t="shared" si="1009"/>
        <v>0</v>
      </c>
      <c r="BM726" s="847">
        <f t="shared" si="1009"/>
        <v>0</v>
      </c>
      <c r="BN726" s="847">
        <f t="shared" si="1009"/>
        <v>0</v>
      </c>
      <c r="BO726" s="847">
        <f t="shared" si="1009"/>
        <v>0</v>
      </c>
      <c r="BP726" s="194">
        <f t="shared" si="1028"/>
        <v>0</v>
      </c>
      <c r="BQ726" s="847">
        <f t="shared" si="1010"/>
        <v>0</v>
      </c>
      <c r="BR726" s="847">
        <f t="shared" si="1010"/>
        <v>0</v>
      </c>
      <c r="BS726" s="847">
        <f t="shared" si="1010"/>
        <v>0</v>
      </c>
      <c r="BT726" s="847">
        <f t="shared" si="1010"/>
        <v>0</v>
      </c>
      <c r="BU726" s="194">
        <f t="shared" si="1029"/>
        <v>0</v>
      </c>
      <c r="BV726" s="847">
        <f t="shared" si="1011"/>
        <v>0</v>
      </c>
      <c r="BW726" s="847">
        <f t="shared" si="1011"/>
        <v>0</v>
      </c>
      <c r="BX726" s="847">
        <f t="shared" si="1011"/>
        <v>0</v>
      </c>
      <c r="BY726" s="847">
        <f t="shared" si="1011"/>
        <v>0</v>
      </c>
      <c r="BZ726" s="194">
        <f t="shared" si="1030"/>
        <v>0</v>
      </c>
      <c r="CA726" s="847">
        <f t="shared" si="1012"/>
        <v>0</v>
      </c>
      <c r="CB726" s="847">
        <f t="shared" si="1012"/>
        <v>0</v>
      </c>
      <c r="CC726" s="847">
        <f t="shared" si="1012"/>
        <v>0</v>
      </c>
      <c r="CD726" s="847">
        <f t="shared" si="1012"/>
        <v>0</v>
      </c>
      <c r="CE726" s="194">
        <f t="shared" si="1031"/>
        <v>0</v>
      </c>
      <c r="CF726" s="847">
        <f t="shared" si="1013"/>
        <v>0</v>
      </c>
      <c r="CG726" s="847">
        <f t="shared" si="1013"/>
        <v>0</v>
      </c>
      <c r="CH726" s="847">
        <f t="shared" si="993"/>
        <v>0</v>
      </c>
      <c r="CI726" s="847">
        <f t="shared" si="993"/>
        <v>0</v>
      </c>
      <c r="CJ726" s="194">
        <f>CI726</f>
        <v>0</v>
      </c>
      <c r="CK726" s="2350">
        <f t="shared" si="994"/>
        <v>0</v>
      </c>
      <c r="CL726" s="847">
        <f t="shared" si="995"/>
        <v>0</v>
      </c>
      <c r="CM726" s="847">
        <f t="shared" si="995"/>
        <v>0</v>
      </c>
      <c r="CN726" s="847">
        <f t="shared" si="995"/>
        <v>0</v>
      </c>
      <c r="CO726" s="194">
        <f t="shared" si="1033"/>
        <v>0</v>
      </c>
      <c r="CP726" s="973">
        <f t="shared" si="996"/>
        <v>0</v>
      </c>
      <c r="CQ726" s="847">
        <f t="shared" si="996"/>
        <v>0</v>
      </c>
      <c r="CR726" s="847">
        <f t="shared" si="996"/>
        <v>0</v>
      </c>
      <c r="CS726" s="1431">
        <f t="shared" si="996"/>
        <v>0</v>
      </c>
      <c r="CT726" s="194">
        <f t="shared" si="1034"/>
        <v>0</v>
      </c>
      <c r="CU726" s="194">
        <f t="shared" si="997"/>
        <v>0</v>
      </c>
      <c r="CV726" s="194">
        <f t="shared" si="997"/>
        <v>0</v>
      </c>
      <c r="CW726" s="374"/>
      <c r="CX726" s="374"/>
      <c r="CY726" s="374"/>
      <c r="CZ726" s="374"/>
      <c r="DA726" s="374"/>
      <c r="DB726" s="217"/>
    </row>
    <row r="727" spans="1:108" x14ac:dyDescent="0.2">
      <c r="A727" s="1266" t="s">
        <v>650</v>
      </c>
      <c r="B727" s="651"/>
      <c r="C727" s="234"/>
      <c r="D727" s="207"/>
      <c r="E727" s="207"/>
      <c r="F727" s="207"/>
      <c r="G727" s="234"/>
      <c r="H727" s="661">
        <f t="shared" si="998"/>
        <v>0</v>
      </c>
      <c r="I727" s="973">
        <f t="shared" si="998"/>
        <v>0</v>
      </c>
      <c r="J727" s="847">
        <f t="shared" si="998"/>
        <v>0</v>
      </c>
      <c r="K727" s="847">
        <f t="shared" si="998"/>
        <v>0</v>
      </c>
      <c r="L727" s="847">
        <f t="shared" si="998"/>
        <v>0</v>
      </c>
      <c r="M727" s="661">
        <f t="shared" si="1017"/>
        <v>0</v>
      </c>
      <c r="N727" s="973">
        <f t="shared" si="999"/>
        <v>0</v>
      </c>
      <c r="O727" s="847">
        <f t="shared" si="999"/>
        <v>0</v>
      </c>
      <c r="P727" s="847">
        <f t="shared" si="999"/>
        <v>0</v>
      </c>
      <c r="Q727" s="847">
        <f t="shared" si="999"/>
        <v>0</v>
      </c>
      <c r="R727" s="661">
        <f t="shared" si="1018"/>
        <v>0</v>
      </c>
      <c r="S727" s="973">
        <f t="shared" si="1000"/>
        <v>0</v>
      </c>
      <c r="T727" s="847">
        <f t="shared" si="1000"/>
        <v>0</v>
      </c>
      <c r="U727" s="847">
        <f t="shared" si="1000"/>
        <v>0</v>
      </c>
      <c r="V727" s="847">
        <f t="shared" si="1000"/>
        <v>0</v>
      </c>
      <c r="W727" s="661">
        <f t="shared" si="1019"/>
        <v>0</v>
      </c>
      <c r="X727" s="973">
        <f t="shared" si="1001"/>
        <v>0</v>
      </c>
      <c r="Y727" s="847">
        <f t="shared" si="1001"/>
        <v>0</v>
      </c>
      <c r="Z727" s="847">
        <f t="shared" si="1001"/>
        <v>0</v>
      </c>
      <c r="AA727" s="847">
        <f t="shared" si="1001"/>
        <v>0</v>
      </c>
      <c r="AB727" s="661">
        <f t="shared" si="1020"/>
        <v>0</v>
      </c>
      <c r="AC727" s="973">
        <f t="shared" si="1002"/>
        <v>0</v>
      </c>
      <c r="AD727" s="847">
        <f t="shared" si="1002"/>
        <v>0</v>
      </c>
      <c r="AE727" s="847">
        <f t="shared" si="1002"/>
        <v>0</v>
      </c>
      <c r="AF727" s="847">
        <f t="shared" si="1002"/>
        <v>0</v>
      </c>
      <c r="AG727" s="661">
        <f t="shared" si="1021"/>
        <v>0</v>
      </c>
      <c r="AH727" s="973">
        <f t="shared" si="1003"/>
        <v>0</v>
      </c>
      <c r="AI727" s="847">
        <f t="shared" si="1003"/>
        <v>0</v>
      </c>
      <c r="AJ727" s="847">
        <f t="shared" si="1003"/>
        <v>0</v>
      </c>
      <c r="AK727" s="847">
        <f t="shared" si="1003"/>
        <v>0</v>
      </c>
      <c r="AL727" s="661">
        <f t="shared" si="1022"/>
        <v>0</v>
      </c>
      <c r="AM727" s="973">
        <f t="shared" si="1004"/>
        <v>0</v>
      </c>
      <c r="AN727" s="847">
        <f t="shared" si="1004"/>
        <v>0</v>
      </c>
      <c r="AO727" s="847">
        <f t="shared" si="1004"/>
        <v>0</v>
      </c>
      <c r="AP727" s="847">
        <f t="shared" si="1004"/>
        <v>0</v>
      </c>
      <c r="AQ727" s="661">
        <f t="shared" si="1023"/>
        <v>0</v>
      </c>
      <c r="AR727" s="973">
        <f t="shared" si="1005"/>
        <v>0</v>
      </c>
      <c r="AS727" s="847">
        <f t="shared" si="1005"/>
        <v>0</v>
      </c>
      <c r="AT727" s="847">
        <f t="shared" si="1005"/>
        <v>0</v>
      </c>
      <c r="AU727" s="847">
        <f t="shared" si="1005"/>
        <v>0</v>
      </c>
      <c r="AV727" s="661">
        <f t="shared" si="1024"/>
        <v>0</v>
      </c>
      <c r="AW727" s="973">
        <f t="shared" si="1006"/>
        <v>0</v>
      </c>
      <c r="AX727" s="847">
        <f t="shared" si="1006"/>
        <v>0</v>
      </c>
      <c r="AY727" s="847">
        <f t="shared" si="1006"/>
        <v>0</v>
      </c>
      <c r="AZ727" s="847">
        <f t="shared" si="1006"/>
        <v>0</v>
      </c>
      <c r="BA727" s="661">
        <f t="shared" si="1025"/>
        <v>0</v>
      </c>
      <c r="BB727" s="973">
        <f t="shared" si="1007"/>
        <v>0</v>
      </c>
      <c r="BC727" s="847">
        <f t="shared" si="1007"/>
        <v>0</v>
      </c>
      <c r="BD727" s="847">
        <f t="shared" si="1007"/>
        <v>0</v>
      </c>
      <c r="BE727" s="847">
        <f t="shared" si="1007"/>
        <v>0</v>
      </c>
      <c r="BF727" s="661">
        <f t="shared" si="1026"/>
        <v>0</v>
      </c>
      <c r="BG727" s="973">
        <f t="shared" si="1008"/>
        <v>0</v>
      </c>
      <c r="BH727" s="847">
        <f t="shared" si="1008"/>
        <v>0</v>
      </c>
      <c r="BI727" s="847">
        <f t="shared" si="1008"/>
        <v>0</v>
      </c>
      <c r="BJ727" s="847">
        <f t="shared" si="1008"/>
        <v>0</v>
      </c>
      <c r="BK727" s="661">
        <f t="shared" si="1027"/>
        <v>0</v>
      </c>
      <c r="BL727" s="847">
        <f t="shared" si="1009"/>
        <v>0</v>
      </c>
      <c r="BM727" s="847">
        <f t="shared" si="1009"/>
        <v>0</v>
      </c>
      <c r="BN727" s="847">
        <f t="shared" si="1009"/>
        <v>0</v>
      </c>
      <c r="BO727" s="847">
        <f t="shared" si="1009"/>
        <v>0</v>
      </c>
      <c r="BP727" s="194">
        <f t="shared" si="1028"/>
        <v>0</v>
      </c>
      <c r="BQ727" s="847">
        <f t="shared" si="1010"/>
        <v>0</v>
      </c>
      <c r="BR727" s="847">
        <f t="shared" si="1010"/>
        <v>0</v>
      </c>
      <c r="BS727" s="847">
        <f t="shared" si="1010"/>
        <v>0</v>
      </c>
      <c r="BT727" s="847">
        <f t="shared" si="1010"/>
        <v>0</v>
      </c>
      <c r="BU727" s="194">
        <f t="shared" si="1029"/>
        <v>0</v>
      </c>
      <c r="BV727" s="847">
        <f t="shared" si="1011"/>
        <v>0</v>
      </c>
      <c r="BW727" s="847">
        <f t="shared" si="1011"/>
        <v>0</v>
      </c>
      <c r="BX727" s="847">
        <f t="shared" si="1011"/>
        <v>0</v>
      </c>
      <c r="BY727" s="847">
        <f t="shared" si="1011"/>
        <v>0</v>
      </c>
      <c r="BZ727" s="194">
        <f t="shared" si="1030"/>
        <v>0</v>
      </c>
      <c r="CA727" s="847">
        <f t="shared" si="1012"/>
        <v>0</v>
      </c>
      <c r="CB727" s="847">
        <f t="shared" si="1012"/>
        <v>0</v>
      </c>
      <c r="CC727" s="847">
        <f t="shared" si="1012"/>
        <v>0</v>
      </c>
      <c r="CD727" s="847">
        <f t="shared" si="1012"/>
        <v>0</v>
      </c>
      <c r="CE727" s="194">
        <f t="shared" si="1031"/>
        <v>0</v>
      </c>
      <c r="CF727" s="847">
        <f t="shared" si="1013"/>
        <v>0</v>
      </c>
      <c r="CG727" s="847">
        <f t="shared" si="1013"/>
        <v>0</v>
      </c>
      <c r="CH727" s="847">
        <f t="shared" si="993"/>
        <v>0</v>
      </c>
      <c r="CI727" s="847">
        <f t="shared" si="993"/>
        <v>0</v>
      </c>
      <c r="CJ727" s="194">
        <f t="shared" si="1032"/>
        <v>0</v>
      </c>
      <c r="CK727" s="2350">
        <f t="shared" si="994"/>
        <v>0</v>
      </c>
      <c r="CL727" s="847">
        <f t="shared" si="995"/>
        <v>0</v>
      </c>
      <c r="CM727" s="847">
        <f t="shared" si="995"/>
        <v>0</v>
      </c>
      <c r="CN727" s="847">
        <f t="shared" si="995"/>
        <v>0</v>
      </c>
      <c r="CO727" s="194">
        <f t="shared" si="1033"/>
        <v>0</v>
      </c>
      <c r="CP727" s="973">
        <f t="shared" si="996"/>
        <v>0</v>
      </c>
      <c r="CQ727" s="847">
        <f t="shared" si="996"/>
        <v>0</v>
      </c>
      <c r="CR727" s="847">
        <f t="shared" si="996"/>
        <v>0</v>
      </c>
      <c r="CS727" s="1431">
        <f t="shared" si="996"/>
        <v>0</v>
      </c>
      <c r="CT727" s="194">
        <f t="shared" si="1034"/>
        <v>0</v>
      </c>
      <c r="CU727" s="194">
        <f t="shared" si="997"/>
        <v>0</v>
      </c>
      <c r="CV727" s="194">
        <f t="shared" si="997"/>
        <v>0</v>
      </c>
      <c r="CW727" s="374"/>
      <c r="CX727" s="374"/>
      <c r="CY727" s="374"/>
      <c r="CZ727" s="374"/>
      <c r="DA727" s="374"/>
      <c r="DB727" s="217"/>
    </row>
    <row r="728" spans="1:108" x14ac:dyDescent="0.2">
      <c r="A728" s="2633" t="s">
        <v>2285</v>
      </c>
      <c r="B728" s="651"/>
      <c r="C728" s="234"/>
      <c r="D728" s="207"/>
      <c r="E728" s="207"/>
      <c r="F728" s="207"/>
      <c r="G728" s="234"/>
      <c r="H728" s="661"/>
      <c r="I728" s="973"/>
      <c r="J728" s="847"/>
      <c r="K728" s="847"/>
      <c r="L728" s="847"/>
      <c r="M728" s="661"/>
      <c r="N728" s="973"/>
      <c r="O728" s="847"/>
      <c r="P728" s="847"/>
      <c r="Q728" s="847"/>
      <c r="R728" s="661"/>
      <c r="S728" s="973"/>
      <c r="T728" s="847"/>
      <c r="U728" s="847"/>
      <c r="V728" s="847"/>
      <c r="W728" s="661"/>
      <c r="X728" s="973"/>
      <c r="Y728" s="847"/>
      <c r="Z728" s="847"/>
      <c r="AA728" s="847"/>
      <c r="AB728" s="661"/>
      <c r="AC728" s="973"/>
      <c r="AD728" s="847"/>
      <c r="AE728" s="847"/>
      <c r="AF728" s="847"/>
      <c r="AG728" s="661"/>
      <c r="AH728" s="973"/>
      <c r="AI728" s="847"/>
      <c r="AJ728" s="847"/>
      <c r="AK728" s="847"/>
      <c r="AL728" s="661"/>
      <c r="AM728" s="973"/>
      <c r="AN728" s="847"/>
      <c r="AO728" s="847"/>
      <c r="AP728" s="847"/>
      <c r="AQ728" s="661"/>
      <c r="AR728" s="973"/>
      <c r="AS728" s="847"/>
      <c r="AT728" s="847"/>
      <c r="AU728" s="847"/>
      <c r="AV728" s="661"/>
      <c r="AW728" s="973"/>
      <c r="AX728" s="847"/>
      <c r="AY728" s="847"/>
      <c r="AZ728" s="847"/>
      <c r="BA728" s="661"/>
      <c r="BB728" s="973"/>
      <c r="BC728" s="847"/>
      <c r="BD728" s="847"/>
      <c r="BE728" s="847"/>
      <c r="BF728" s="661"/>
      <c r="BG728" s="973"/>
      <c r="BH728" s="847"/>
      <c r="BI728" s="847"/>
      <c r="BJ728" s="847"/>
      <c r="BK728" s="661"/>
      <c r="BL728" s="847"/>
      <c r="BM728" s="847"/>
      <c r="BN728" s="847"/>
      <c r="BO728" s="847"/>
      <c r="BP728" s="194"/>
      <c r="BQ728" s="847"/>
      <c r="BR728" s="847"/>
      <c r="BS728" s="847"/>
      <c r="BT728" s="847"/>
      <c r="BU728" s="194"/>
      <c r="BV728" s="847">
        <f>BV442</f>
        <v>0</v>
      </c>
      <c r="BW728" s="847">
        <f>BW442</f>
        <v>0</v>
      </c>
      <c r="BX728" s="847">
        <f>BX442</f>
        <v>0</v>
      </c>
      <c r="BY728" s="847">
        <f>BY442</f>
        <v>0</v>
      </c>
      <c r="BZ728" s="194">
        <f t="shared" si="1030"/>
        <v>0</v>
      </c>
      <c r="CA728" s="847">
        <f>CA442</f>
        <v>0</v>
      </c>
      <c r="CB728" s="847">
        <f>CB442</f>
        <v>0</v>
      </c>
      <c r="CC728" s="847">
        <f>CC442</f>
        <v>0</v>
      </c>
      <c r="CD728" s="847">
        <f>CD442</f>
        <v>0</v>
      </c>
      <c r="CE728" s="194">
        <f>CD728</f>
        <v>0</v>
      </c>
      <c r="CF728" s="847">
        <f>CF442</f>
        <v>0</v>
      </c>
      <c r="CG728" s="847">
        <f>CG442</f>
        <v>0</v>
      </c>
      <c r="CH728" s="847">
        <f>CH442</f>
        <v>0</v>
      </c>
      <c r="CI728" s="847">
        <f>CI442</f>
        <v>0</v>
      </c>
      <c r="CJ728" s="194">
        <f t="shared" si="1032"/>
        <v>0</v>
      </c>
      <c r="CK728" s="2350">
        <f>CK442</f>
        <v>0</v>
      </c>
      <c r="CL728" s="847">
        <f>CL442</f>
        <v>0</v>
      </c>
      <c r="CM728" s="847">
        <f>CM442</f>
        <v>0</v>
      </c>
      <c r="CN728" s="847">
        <f>CN442</f>
        <v>0</v>
      </c>
      <c r="CO728" s="194">
        <f t="shared" si="1033"/>
        <v>0</v>
      </c>
      <c r="CP728" s="973">
        <f t="shared" ref="CP728:CV728" si="1035">CP442</f>
        <v>0</v>
      </c>
      <c r="CQ728" s="847">
        <f t="shared" si="1035"/>
        <v>0</v>
      </c>
      <c r="CR728" s="847">
        <f t="shared" si="1035"/>
        <v>0</v>
      </c>
      <c r="CS728" s="1431">
        <f t="shared" si="1035"/>
        <v>0</v>
      </c>
      <c r="CT728" s="194">
        <f t="shared" si="1034"/>
        <v>0</v>
      </c>
      <c r="CU728" s="194">
        <f t="shared" si="1035"/>
        <v>0</v>
      </c>
      <c r="CV728" s="194">
        <f t="shared" si="1035"/>
        <v>0</v>
      </c>
      <c r="CW728" s="374"/>
      <c r="CX728" s="374"/>
      <c r="CY728" s="374"/>
      <c r="CZ728" s="374"/>
      <c r="DA728" s="374"/>
      <c r="DB728" s="217"/>
    </row>
    <row r="729" spans="1:108" s="2434" customFormat="1" x14ac:dyDescent="0.2">
      <c r="A729" s="2633" t="s">
        <v>384</v>
      </c>
      <c r="H729" s="2293">
        <f>H443+H587</f>
        <v>0</v>
      </c>
      <c r="I729" s="2399">
        <f>I443+I587</f>
        <v>0</v>
      </c>
      <c r="J729" s="2349">
        <f>J443+J587</f>
        <v>0</v>
      </c>
      <c r="K729" s="2349">
        <f>K443+K587</f>
        <v>0</v>
      </c>
      <c r="L729" s="2349">
        <f>L443+L587</f>
        <v>0</v>
      </c>
      <c r="M729" s="2293">
        <f t="shared" si="1017"/>
        <v>0</v>
      </c>
      <c r="N729" s="2399">
        <f>N443+N587</f>
        <v>0</v>
      </c>
      <c r="O729" s="2349">
        <f>O443+O587</f>
        <v>0</v>
      </c>
      <c r="P729" s="2349">
        <f>P443+P587</f>
        <v>0</v>
      </c>
      <c r="Q729" s="2349">
        <f>Q443+Q587</f>
        <v>0</v>
      </c>
      <c r="R729" s="2293">
        <f t="shared" si="1018"/>
        <v>0</v>
      </c>
      <c r="S729" s="2399">
        <f>S443+S587</f>
        <v>0</v>
      </c>
      <c r="T729" s="2349">
        <f>T443+T587</f>
        <v>0</v>
      </c>
      <c r="U729" s="2349">
        <f>U443+U587</f>
        <v>0</v>
      </c>
      <c r="V729" s="2349">
        <f>V443+V587</f>
        <v>0</v>
      </c>
      <c r="W729" s="2293">
        <f t="shared" si="1019"/>
        <v>0</v>
      </c>
      <c r="X729" s="2399">
        <f>X443+X587</f>
        <v>0</v>
      </c>
      <c r="Y729" s="2349">
        <f>Y443+Y587</f>
        <v>0</v>
      </c>
      <c r="Z729" s="2349">
        <f>Z443+Z587</f>
        <v>0</v>
      </c>
      <c r="AA729" s="2349">
        <f>AA443+AA587</f>
        <v>0</v>
      </c>
      <c r="AB729" s="2293">
        <f t="shared" si="1020"/>
        <v>0</v>
      </c>
      <c r="AC729" s="2399">
        <f>AC443+AC587</f>
        <v>0</v>
      </c>
      <c r="AD729" s="2349">
        <f>AD443+AD587</f>
        <v>0</v>
      </c>
      <c r="AE729" s="2349">
        <f>AE443+AE587</f>
        <v>0</v>
      </c>
      <c r="AF729" s="2349">
        <f>AF443+AF587</f>
        <v>0</v>
      </c>
      <c r="AG729" s="2293">
        <f t="shared" si="1021"/>
        <v>0</v>
      </c>
      <c r="AH729" s="2399">
        <f>AH443+AH587</f>
        <v>0</v>
      </c>
      <c r="AI729" s="2349">
        <f>AI443+AI587</f>
        <v>0</v>
      </c>
      <c r="AJ729" s="2349">
        <f>AJ443+AJ587</f>
        <v>0</v>
      </c>
      <c r="AK729" s="2349">
        <f>AK443+AK587</f>
        <v>0</v>
      </c>
      <c r="AL729" s="2293">
        <f t="shared" si="1022"/>
        <v>0</v>
      </c>
      <c r="AM729" s="2399">
        <f>AM443+AM587</f>
        <v>0</v>
      </c>
      <c r="AN729" s="2349">
        <f>AN443+AN587</f>
        <v>0</v>
      </c>
      <c r="AO729" s="2349">
        <f>AO443+AO587</f>
        <v>0</v>
      </c>
      <c r="AP729" s="2349">
        <f>AP443+AP587</f>
        <v>0</v>
      </c>
      <c r="AQ729" s="2293">
        <f t="shared" si="1023"/>
        <v>0</v>
      </c>
      <c r="AR729" s="2399">
        <f>AR443+AR587</f>
        <v>0</v>
      </c>
      <c r="AS729" s="2349">
        <f>AS443+AS587</f>
        <v>0</v>
      </c>
      <c r="AT729" s="2349">
        <f>AT443+AT587</f>
        <v>0</v>
      </c>
      <c r="AU729" s="2349">
        <f>AU443+AU587</f>
        <v>0</v>
      </c>
      <c r="AV729" s="2293">
        <f t="shared" si="1024"/>
        <v>0</v>
      </c>
      <c r="AW729" s="2399">
        <f>AW443+AW587</f>
        <v>0</v>
      </c>
      <c r="AX729" s="2349">
        <f>AX443+AX587</f>
        <v>0</v>
      </c>
      <c r="AY729" s="2349">
        <f>AY443+AY587</f>
        <v>0</v>
      </c>
      <c r="AZ729" s="2349">
        <f>AZ443+AZ587</f>
        <v>0</v>
      </c>
      <c r="BA729" s="2293">
        <f t="shared" si="1025"/>
        <v>0</v>
      </c>
      <c r="BB729" s="2399">
        <f>BB443+BB587</f>
        <v>0</v>
      </c>
      <c r="BC729" s="2349">
        <f>BC443+BC587</f>
        <v>0</v>
      </c>
      <c r="BD729" s="2349">
        <f>BD443+BD587</f>
        <v>0</v>
      </c>
      <c r="BE729" s="2349">
        <f>BE443+BE587</f>
        <v>0</v>
      </c>
      <c r="BF729" s="2293">
        <f t="shared" si="1026"/>
        <v>0</v>
      </c>
      <c r="BG729" s="2399">
        <f>BG443+BG587</f>
        <v>0</v>
      </c>
      <c r="BH729" s="2349">
        <f>BH443+BH587</f>
        <v>0</v>
      </c>
      <c r="BI729" s="2349">
        <f>BI443+BI587</f>
        <v>0</v>
      </c>
      <c r="BJ729" s="2349">
        <f>BJ443+BJ587</f>
        <v>0</v>
      </c>
      <c r="BK729" s="2293">
        <f t="shared" si="1027"/>
        <v>0</v>
      </c>
      <c r="BL729" s="2349">
        <f>BL443+BL587</f>
        <v>0</v>
      </c>
      <c r="BM729" s="2349">
        <f>BM443+BM587</f>
        <v>0</v>
      </c>
      <c r="BN729" s="2349">
        <f>BN443+BN587</f>
        <v>0</v>
      </c>
      <c r="BO729" s="2349">
        <f>BO443+BO587</f>
        <v>0</v>
      </c>
      <c r="BP729" s="2403">
        <f t="shared" si="1028"/>
        <v>0</v>
      </c>
      <c r="BQ729" s="2349">
        <f>BQ443+BQ587</f>
        <v>0</v>
      </c>
      <c r="BR729" s="2349">
        <f>BR443+BR587</f>
        <v>0</v>
      </c>
      <c r="BS729" s="2349">
        <f>BS443+BS587</f>
        <v>0</v>
      </c>
      <c r="BT729" s="2349">
        <f>BT443+BT587</f>
        <v>0</v>
      </c>
      <c r="BU729" s="2403">
        <f t="shared" si="1029"/>
        <v>0</v>
      </c>
      <c r="BV729" s="2349">
        <f>BV443+BV587</f>
        <v>0</v>
      </c>
      <c r="BW729" s="2349">
        <f>BW443+BW587</f>
        <v>0</v>
      </c>
      <c r="BX729" s="2349">
        <f>BX443+BX587</f>
        <v>0</v>
      </c>
      <c r="BY729" s="2349">
        <f>BY443+BY587</f>
        <v>0</v>
      </c>
      <c r="BZ729" s="2403">
        <f t="shared" si="1030"/>
        <v>0</v>
      </c>
      <c r="CA729" s="2349">
        <f>CA443+CA587</f>
        <v>0</v>
      </c>
      <c r="CB729" s="2349">
        <f>CB443+CB587</f>
        <v>0</v>
      </c>
      <c r="CC729" s="2349">
        <f>CC443+CC587</f>
        <v>0</v>
      </c>
      <c r="CD729" s="2349">
        <f>CD443+CD587</f>
        <v>0</v>
      </c>
      <c r="CE729" s="2403">
        <f t="shared" si="1031"/>
        <v>0</v>
      </c>
      <c r="CF729" s="2349">
        <f>CF443+CF587</f>
        <v>0</v>
      </c>
      <c r="CG729" s="2349">
        <f>CG443+CG587</f>
        <v>0</v>
      </c>
      <c r="CH729" s="2349">
        <f>CH443+CH587</f>
        <v>0</v>
      </c>
      <c r="CI729" s="2349">
        <f>CI443+CI587</f>
        <v>0</v>
      </c>
      <c r="CJ729" s="2293">
        <f t="shared" si="1032"/>
        <v>0</v>
      </c>
      <c r="CK729" s="2350">
        <f>CK443+CK587</f>
        <v>0</v>
      </c>
      <c r="CL729" s="2349">
        <f>CL443+CL587</f>
        <v>0</v>
      </c>
      <c r="CM729" s="2349">
        <f>CM443+CM587</f>
        <v>0</v>
      </c>
      <c r="CN729" s="2349">
        <f>CN443+CN587</f>
        <v>0</v>
      </c>
      <c r="CO729" s="2293">
        <f t="shared" si="1033"/>
        <v>0</v>
      </c>
      <c r="CP729" s="973">
        <f t="shared" ref="CP729:CV729" si="1036">CP443+CP587</f>
        <v>0</v>
      </c>
      <c r="CQ729" s="847">
        <f t="shared" si="1036"/>
        <v>0</v>
      </c>
      <c r="CR729" s="847">
        <f t="shared" si="1036"/>
        <v>0</v>
      </c>
      <c r="CS729" s="1431">
        <f t="shared" si="1036"/>
        <v>0</v>
      </c>
      <c r="CT729" s="2293">
        <f t="shared" si="1034"/>
        <v>0</v>
      </c>
      <c r="CU729" s="2293">
        <f t="shared" si="1036"/>
        <v>0</v>
      </c>
      <c r="CV729" s="2293">
        <f t="shared" si="1036"/>
        <v>0</v>
      </c>
      <c r="CW729" s="2584"/>
      <c r="CX729" s="2584"/>
      <c r="CY729" s="2584"/>
      <c r="CZ729" s="2584"/>
      <c r="DA729" s="2584"/>
      <c r="DB729" s="217"/>
      <c r="DC729" s="212"/>
      <c r="DD729" s="2631"/>
    </row>
    <row r="730" spans="1:108" ht="4.5" customHeight="1" x14ac:dyDescent="0.2">
      <c r="A730" s="1267"/>
      <c r="B730" s="1207"/>
      <c r="C730" s="1207"/>
      <c r="D730" s="1207"/>
      <c r="E730" s="1207"/>
      <c r="F730" s="1207"/>
      <c r="G730" s="1207"/>
      <c r="H730" s="246"/>
      <c r="I730" s="850"/>
      <c r="J730" s="850"/>
      <c r="K730" s="850"/>
      <c r="L730" s="850"/>
      <c r="M730" s="246"/>
      <c r="N730" s="850"/>
      <c r="O730" s="850"/>
      <c r="P730" s="850"/>
      <c r="Q730" s="850"/>
      <c r="R730" s="246"/>
      <c r="S730" s="850"/>
      <c r="T730" s="850"/>
      <c r="U730" s="850"/>
      <c r="V730" s="850"/>
      <c r="W730" s="246"/>
      <c r="X730" s="850"/>
      <c r="Y730" s="850"/>
      <c r="Z730" s="850"/>
      <c r="AA730" s="850"/>
      <c r="AB730" s="246"/>
      <c r="AC730" s="850"/>
      <c r="AD730" s="850"/>
      <c r="AE730" s="850"/>
      <c r="AF730" s="850"/>
      <c r="AG730" s="246"/>
      <c r="AH730" s="850"/>
      <c r="AI730" s="850"/>
      <c r="AJ730" s="850"/>
      <c r="AK730" s="850"/>
      <c r="AL730" s="246"/>
      <c r="AM730" s="850"/>
      <c r="AN730" s="850"/>
      <c r="AO730" s="850"/>
      <c r="AP730" s="850"/>
      <c r="AQ730" s="246"/>
      <c r="AR730" s="850"/>
      <c r="AS730" s="850"/>
      <c r="AT730" s="850"/>
      <c r="AU730" s="850"/>
      <c r="AV730" s="246"/>
      <c r="AW730" s="850"/>
      <c r="AX730" s="850"/>
      <c r="AY730" s="850"/>
      <c r="AZ730" s="850"/>
      <c r="BA730" s="246"/>
      <c r="BB730" s="850"/>
      <c r="BC730" s="850"/>
      <c r="BD730" s="850"/>
      <c r="BE730" s="850"/>
      <c r="BF730" s="246"/>
      <c r="BG730" s="850"/>
      <c r="BH730" s="850"/>
      <c r="BI730" s="850"/>
      <c r="BJ730" s="850"/>
      <c r="BK730" s="246"/>
      <c r="BL730" s="850"/>
      <c r="BM730" s="850"/>
      <c r="BN730" s="850"/>
      <c r="BO730" s="850"/>
      <c r="BP730" s="194"/>
      <c r="BQ730" s="850"/>
      <c r="BR730" s="850"/>
      <c r="BS730" s="850"/>
      <c r="BT730" s="850"/>
      <c r="BU730" s="194"/>
      <c r="BV730" s="850"/>
      <c r="BW730" s="850"/>
      <c r="BX730" s="850"/>
      <c r="BY730" s="850"/>
      <c r="BZ730" s="194"/>
      <c r="CA730" s="850"/>
      <c r="CB730" s="850"/>
      <c r="CC730" s="850"/>
      <c r="CD730" s="850"/>
      <c r="CE730" s="194"/>
      <c r="CF730" s="850"/>
      <c r="CG730" s="850"/>
      <c r="CH730" s="850"/>
      <c r="CI730" s="850"/>
      <c r="CJ730" s="246"/>
      <c r="CK730" s="877"/>
      <c r="CL730" s="850"/>
      <c r="CM730" s="850"/>
      <c r="CN730" s="850"/>
      <c r="CO730" s="246"/>
      <c r="CP730" s="973"/>
      <c r="CQ730" s="847"/>
      <c r="CR730" s="847"/>
      <c r="CS730" s="1431"/>
      <c r="CT730" s="246"/>
      <c r="CU730" s="246"/>
      <c r="CV730" s="246"/>
      <c r="CW730" s="374"/>
      <c r="CX730" s="374"/>
      <c r="CY730" s="374"/>
      <c r="CZ730" s="374"/>
      <c r="DA730" s="374"/>
      <c r="DB730" s="217"/>
    </row>
    <row r="731" spans="1:108" x14ac:dyDescent="0.2">
      <c r="A731" s="3013" t="s">
        <v>2454</v>
      </c>
      <c r="B731" s="1207"/>
      <c r="C731" s="1207"/>
      <c r="D731" s="1207"/>
      <c r="E731" s="1207"/>
      <c r="F731" s="1207"/>
      <c r="G731" s="1207"/>
      <c r="H731" s="246"/>
      <c r="I731" s="850"/>
      <c r="J731" s="850"/>
      <c r="K731" s="850"/>
      <c r="L731" s="850"/>
      <c r="M731" s="246"/>
      <c r="N731" s="850"/>
      <c r="O731" s="850"/>
      <c r="P731" s="850"/>
      <c r="Q731" s="850"/>
      <c r="R731" s="246"/>
      <c r="S731" s="850"/>
      <c r="T731" s="850"/>
      <c r="U731" s="850"/>
      <c r="V731" s="850"/>
      <c r="W731" s="246"/>
      <c r="X731" s="850"/>
      <c r="Y731" s="850"/>
      <c r="Z731" s="850"/>
      <c r="AA731" s="850"/>
      <c r="AB731" s="246"/>
      <c r="AC731" s="850"/>
      <c r="AD731" s="850"/>
      <c r="AE731" s="850"/>
      <c r="AF731" s="850"/>
      <c r="AG731" s="246"/>
      <c r="AH731" s="850"/>
      <c r="AI731" s="850"/>
      <c r="AJ731" s="850"/>
      <c r="AK731" s="850"/>
      <c r="AL731" s="246"/>
      <c r="AM731" s="850"/>
      <c r="AN731" s="850"/>
      <c r="AO731" s="850"/>
      <c r="AP731" s="850"/>
      <c r="AQ731" s="246"/>
      <c r="AR731" s="850"/>
      <c r="AS731" s="850"/>
      <c r="AT731" s="850"/>
      <c r="AU731" s="850"/>
      <c r="AV731" s="246"/>
      <c r="AW731" s="850"/>
      <c r="AX731" s="850"/>
      <c r="AY731" s="850"/>
      <c r="AZ731" s="850"/>
      <c r="BA731" s="246"/>
      <c r="BB731" s="850"/>
      <c r="BC731" s="850"/>
      <c r="BD731" s="850"/>
      <c r="BE731" s="850"/>
      <c r="BF731" s="246"/>
      <c r="BG731" s="850"/>
      <c r="BH731" s="850"/>
      <c r="BI731" s="850"/>
      <c r="BJ731" s="850"/>
      <c r="BK731" s="246"/>
      <c r="BL731" s="850"/>
      <c r="BM731" s="850"/>
      <c r="BN731" s="850"/>
      <c r="BO731" s="850"/>
      <c r="BP731" s="194"/>
      <c r="BQ731" s="850"/>
      <c r="BR731" s="850"/>
      <c r="BS731" s="850"/>
      <c r="BT731" s="850"/>
      <c r="BU731" s="194"/>
      <c r="BV731" s="850"/>
      <c r="BW731" s="850"/>
      <c r="BX731" s="850"/>
      <c r="BY731" s="850"/>
      <c r="BZ731" s="194"/>
      <c r="CA731" s="850"/>
      <c r="CB731" s="850"/>
      <c r="CC731" s="850"/>
      <c r="CD731" s="850"/>
      <c r="CE731" s="194"/>
      <c r="CF731" s="850"/>
      <c r="CG731" s="2349"/>
      <c r="CH731" s="2349">
        <f t="shared" ref="CH731:CI741" si="1037">CH445+CH589</f>
        <v>5539</v>
      </c>
      <c r="CI731" s="2349">
        <f t="shared" si="1037"/>
        <v>5538</v>
      </c>
      <c r="CJ731" s="2293">
        <f>CI731</f>
        <v>5538</v>
      </c>
      <c r="CK731" s="2350">
        <f t="shared" ref="CK731:CK741" si="1038">CK445+CK589</f>
        <v>5538</v>
      </c>
      <c r="CL731" s="2349">
        <f t="shared" ref="CL731:CV741" si="1039">CL445+CL589</f>
        <v>5538</v>
      </c>
      <c r="CM731" s="2349">
        <f t="shared" si="1039"/>
        <v>5537</v>
      </c>
      <c r="CN731" s="2349">
        <f t="shared" si="1039"/>
        <v>4165</v>
      </c>
      <c r="CO731" s="2293">
        <f t="shared" si="1039"/>
        <v>4165</v>
      </c>
      <c r="CP731" s="973">
        <f t="shared" ref="CP731:CT741" si="1040">CP445+CP589</f>
        <v>4165</v>
      </c>
      <c r="CQ731" s="847">
        <f t="shared" si="1040"/>
        <v>4165</v>
      </c>
      <c r="CR731" s="847">
        <f t="shared" si="1040"/>
        <v>4165</v>
      </c>
      <c r="CS731" s="1431">
        <f t="shared" si="1040"/>
        <v>4165</v>
      </c>
      <c r="CT731" s="2293">
        <f t="shared" si="1040"/>
        <v>4165</v>
      </c>
      <c r="CU731" s="2293">
        <f t="shared" si="1039"/>
        <v>4165</v>
      </c>
      <c r="CV731" s="2293">
        <f t="shared" si="1039"/>
        <v>4165</v>
      </c>
      <c r="CW731" s="374"/>
      <c r="CX731" s="374"/>
      <c r="CY731" s="374"/>
      <c r="CZ731" s="374"/>
      <c r="DA731" s="374"/>
      <c r="DB731" s="217"/>
    </row>
    <row r="732" spans="1:108" x14ac:dyDescent="0.2">
      <c r="A732" s="3013" t="s">
        <v>2455</v>
      </c>
      <c r="B732" s="1207"/>
      <c r="C732" s="1207"/>
      <c r="D732" s="1207"/>
      <c r="E732" s="1207"/>
      <c r="F732" s="1207"/>
      <c r="G732" s="1207"/>
      <c r="H732" s="246"/>
      <c r="I732" s="850"/>
      <c r="J732" s="850"/>
      <c r="K732" s="850"/>
      <c r="L732" s="850"/>
      <c r="M732" s="246"/>
      <c r="N732" s="850"/>
      <c r="O732" s="850"/>
      <c r="P732" s="850"/>
      <c r="Q732" s="850"/>
      <c r="R732" s="246"/>
      <c r="S732" s="850"/>
      <c r="T732" s="850"/>
      <c r="U732" s="850"/>
      <c r="V732" s="850"/>
      <c r="W732" s="246"/>
      <c r="X732" s="850"/>
      <c r="Y732" s="850"/>
      <c r="Z732" s="850"/>
      <c r="AA732" s="850"/>
      <c r="AB732" s="246"/>
      <c r="AC732" s="850"/>
      <c r="AD732" s="850"/>
      <c r="AE732" s="850"/>
      <c r="AF732" s="850"/>
      <c r="AG732" s="246"/>
      <c r="AH732" s="850"/>
      <c r="AI732" s="850"/>
      <c r="AJ732" s="850"/>
      <c r="AK732" s="850"/>
      <c r="AL732" s="246"/>
      <c r="AM732" s="850"/>
      <c r="AN732" s="850"/>
      <c r="AO732" s="850"/>
      <c r="AP732" s="850"/>
      <c r="AQ732" s="246"/>
      <c r="AR732" s="850"/>
      <c r="AS732" s="850"/>
      <c r="AT732" s="850"/>
      <c r="AU732" s="850"/>
      <c r="AV732" s="246"/>
      <c r="AW732" s="850"/>
      <c r="AX732" s="850"/>
      <c r="AY732" s="850"/>
      <c r="AZ732" s="850"/>
      <c r="BA732" s="246"/>
      <c r="BB732" s="850"/>
      <c r="BC732" s="850"/>
      <c r="BD732" s="850"/>
      <c r="BE732" s="850"/>
      <c r="BF732" s="246"/>
      <c r="BG732" s="850"/>
      <c r="BH732" s="850"/>
      <c r="BI732" s="850"/>
      <c r="BJ732" s="850"/>
      <c r="BK732" s="246"/>
      <c r="BL732" s="850"/>
      <c r="BM732" s="850"/>
      <c r="BN732" s="850"/>
      <c r="BO732" s="850"/>
      <c r="BP732" s="194"/>
      <c r="BQ732" s="850"/>
      <c r="BR732" s="850"/>
      <c r="BS732" s="850"/>
      <c r="BT732" s="850"/>
      <c r="BU732" s="194"/>
      <c r="BV732" s="850"/>
      <c r="BW732" s="850"/>
      <c r="BX732" s="850"/>
      <c r="BY732" s="850"/>
      <c r="BZ732" s="194"/>
      <c r="CA732" s="850"/>
      <c r="CB732" s="850"/>
      <c r="CC732" s="850"/>
      <c r="CD732" s="850"/>
      <c r="CE732" s="194"/>
      <c r="CF732" s="850"/>
      <c r="CG732" s="2349"/>
      <c r="CH732" s="2349">
        <f t="shared" si="1037"/>
        <v>2078</v>
      </c>
      <c r="CI732" s="2349">
        <f t="shared" si="1037"/>
        <v>2078</v>
      </c>
      <c r="CJ732" s="2293">
        <f t="shared" ref="CJ732:CJ741" si="1041">CI732</f>
        <v>2078</v>
      </c>
      <c r="CK732" s="2350">
        <f t="shared" si="1038"/>
        <v>2078</v>
      </c>
      <c r="CL732" s="2349">
        <f t="shared" si="1039"/>
        <v>1319</v>
      </c>
      <c r="CM732" s="2349">
        <f t="shared" si="1039"/>
        <v>1319</v>
      </c>
      <c r="CN732" s="2349">
        <f t="shared" si="1039"/>
        <v>1319</v>
      </c>
      <c r="CO732" s="2293">
        <f t="shared" si="1039"/>
        <v>1319</v>
      </c>
      <c r="CP732" s="973">
        <f t="shared" si="1040"/>
        <v>1319</v>
      </c>
      <c r="CQ732" s="847">
        <f t="shared" si="1040"/>
        <v>1319</v>
      </c>
      <c r="CR732" s="847">
        <f t="shared" si="1040"/>
        <v>1319</v>
      </c>
      <c r="CS732" s="1431">
        <f t="shared" si="1040"/>
        <v>1319</v>
      </c>
      <c r="CT732" s="2293">
        <f t="shared" si="1040"/>
        <v>1319</v>
      </c>
      <c r="CU732" s="2293">
        <f t="shared" si="1039"/>
        <v>1319</v>
      </c>
      <c r="CV732" s="2293">
        <f t="shared" si="1039"/>
        <v>1319</v>
      </c>
      <c r="CW732" s="374"/>
      <c r="CX732" s="374"/>
      <c r="CY732" s="374"/>
      <c r="CZ732" s="374"/>
      <c r="DA732" s="374"/>
      <c r="DB732" s="217"/>
    </row>
    <row r="733" spans="1:108" x14ac:dyDescent="0.2">
      <c r="A733" s="3013" t="s">
        <v>2456</v>
      </c>
      <c r="B733" s="1207"/>
      <c r="C733" s="1207"/>
      <c r="D733" s="1207"/>
      <c r="E733" s="1207"/>
      <c r="F733" s="1207"/>
      <c r="G733" s="1207"/>
      <c r="H733" s="246"/>
      <c r="I733" s="850"/>
      <c r="J733" s="850"/>
      <c r="K733" s="850"/>
      <c r="L733" s="850"/>
      <c r="M733" s="246"/>
      <c r="N733" s="850"/>
      <c r="O733" s="850"/>
      <c r="P733" s="850"/>
      <c r="Q733" s="850"/>
      <c r="R733" s="246"/>
      <c r="S733" s="850"/>
      <c r="T733" s="850"/>
      <c r="U733" s="850"/>
      <c r="V733" s="850"/>
      <c r="W733" s="246"/>
      <c r="X733" s="850"/>
      <c r="Y733" s="850"/>
      <c r="Z733" s="850"/>
      <c r="AA733" s="850"/>
      <c r="AB733" s="246"/>
      <c r="AC733" s="850"/>
      <c r="AD733" s="850"/>
      <c r="AE733" s="850"/>
      <c r="AF733" s="850"/>
      <c r="AG733" s="246"/>
      <c r="AH733" s="850"/>
      <c r="AI733" s="850"/>
      <c r="AJ733" s="850"/>
      <c r="AK733" s="850"/>
      <c r="AL733" s="246"/>
      <c r="AM733" s="850"/>
      <c r="AN733" s="850"/>
      <c r="AO733" s="850"/>
      <c r="AP733" s="850"/>
      <c r="AQ733" s="246"/>
      <c r="AR733" s="850"/>
      <c r="AS733" s="850"/>
      <c r="AT733" s="850"/>
      <c r="AU733" s="850"/>
      <c r="AV733" s="246"/>
      <c r="AW733" s="850"/>
      <c r="AX733" s="850"/>
      <c r="AY733" s="850"/>
      <c r="AZ733" s="850"/>
      <c r="BA733" s="246"/>
      <c r="BB733" s="850"/>
      <c r="BC733" s="850"/>
      <c r="BD733" s="850"/>
      <c r="BE733" s="850"/>
      <c r="BF733" s="246"/>
      <c r="BG733" s="850"/>
      <c r="BH733" s="850"/>
      <c r="BI733" s="850"/>
      <c r="BJ733" s="850"/>
      <c r="BK733" s="246"/>
      <c r="BL733" s="850"/>
      <c r="BM733" s="850"/>
      <c r="BN733" s="850"/>
      <c r="BO733" s="850"/>
      <c r="BP733" s="194"/>
      <c r="BQ733" s="850"/>
      <c r="BR733" s="850"/>
      <c r="BS733" s="850"/>
      <c r="BT733" s="850"/>
      <c r="BU733" s="194"/>
      <c r="BV733" s="850"/>
      <c r="BW733" s="850"/>
      <c r="BX733" s="850"/>
      <c r="BY733" s="850"/>
      <c r="BZ733" s="194"/>
      <c r="CA733" s="850"/>
      <c r="CB733" s="850"/>
      <c r="CC733" s="850"/>
      <c r="CD733" s="850"/>
      <c r="CE733" s="194"/>
      <c r="CF733" s="850"/>
      <c r="CG733" s="2349"/>
      <c r="CH733" s="2349">
        <f t="shared" si="1037"/>
        <v>0</v>
      </c>
      <c r="CI733" s="2349">
        <f t="shared" si="1037"/>
        <v>0</v>
      </c>
      <c r="CJ733" s="2293">
        <f t="shared" si="1041"/>
        <v>0</v>
      </c>
      <c r="CK733" s="2350">
        <f t="shared" si="1038"/>
        <v>0</v>
      </c>
      <c r="CL733" s="2349">
        <f t="shared" si="1039"/>
        <v>0</v>
      </c>
      <c r="CM733" s="2349">
        <f t="shared" si="1039"/>
        <v>0</v>
      </c>
      <c r="CN733" s="2349">
        <f t="shared" si="1039"/>
        <v>0</v>
      </c>
      <c r="CO733" s="2293">
        <f t="shared" si="1039"/>
        <v>0</v>
      </c>
      <c r="CP733" s="973">
        <f t="shared" si="1040"/>
        <v>0</v>
      </c>
      <c r="CQ733" s="847">
        <f t="shared" si="1040"/>
        <v>0</v>
      </c>
      <c r="CR733" s="847">
        <f t="shared" si="1040"/>
        <v>0</v>
      </c>
      <c r="CS733" s="1431">
        <f t="shared" si="1040"/>
        <v>0</v>
      </c>
      <c r="CT733" s="2293">
        <f t="shared" si="1040"/>
        <v>0</v>
      </c>
      <c r="CU733" s="2293">
        <f t="shared" si="1039"/>
        <v>0</v>
      </c>
      <c r="CV733" s="2293">
        <f t="shared" si="1039"/>
        <v>0</v>
      </c>
      <c r="CW733" s="374"/>
      <c r="CX733" s="374"/>
      <c r="CY733" s="374"/>
      <c r="CZ733" s="374"/>
      <c r="DA733" s="374"/>
      <c r="DB733" s="217"/>
    </row>
    <row r="734" spans="1:108" x14ac:dyDescent="0.2">
      <c r="A734" s="3013" t="s">
        <v>2457</v>
      </c>
      <c r="B734" s="1207"/>
      <c r="C734" s="1207"/>
      <c r="D734" s="1207"/>
      <c r="E734" s="1207"/>
      <c r="F734" s="1207"/>
      <c r="G734" s="1207"/>
      <c r="H734" s="246"/>
      <c r="I734" s="850"/>
      <c r="J734" s="850"/>
      <c r="K734" s="850"/>
      <c r="L734" s="850"/>
      <c r="M734" s="246"/>
      <c r="N734" s="850"/>
      <c r="O734" s="850"/>
      <c r="P734" s="850"/>
      <c r="Q734" s="850"/>
      <c r="R734" s="246"/>
      <c r="S734" s="850"/>
      <c r="T734" s="850"/>
      <c r="U734" s="850"/>
      <c r="V734" s="850"/>
      <c r="W734" s="246"/>
      <c r="X734" s="850"/>
      <c r="Y734" s="850"/>
      <c r="Z734" s="850"/>
      <c r="AA734" s="850"/>
      <c r="AB734" s="246"/>
      <c r="AC734" s="850"/>
      <c r="AD734" s="850"/>
      <c r="AE734" s="850"/>
      <c r="AF734" s="850"/>
      <c r="AG734" s="246"/>
      <c r="AH734" s="850"/>
      <c r="AI734" s="850"/>
      <c r="AJ734" s="850"/>
      <c r="AK734" s="850"/>
      <c r="AL734" s="246"/>
      <c r="AM734" s="850"/>
      <c r="AN734" s="850"/>
      <c r="AO734" s="850"/>
      <c r="AP734" s="850"/>
      <c r="AQ734" s="246"/>
      <c r="AR734" s="850"/>
      <c r="AS734" s="850"/>
      <c r="AT734" s="850"/>
      <c r="AU734" s="850"/>
      <c r="AV734" s="246"/>
      <c r="AW734" s="850"/>
      <c r="AX734" s="850"/>
      <c r="AY734" s="850"/>
      <c r="AZ734" s="850"/>
      <c r="BA734" s="246"/>
      <c r="BB734" s="850"/>
      <c r="BC734" s="850"/>
      <c r="BD734" s="850"/>
      <c r="BE734" s="850"/>
      <c r="BF734" s="246"/>
      <c r="BG734" s="850"/>
      <c r="BH734" s="850"/>
      <c r="BI734" s="850"/>
      <c r="BJ734" s="850"/>
      <c r="BK734" s="246"/>
      <c r="BL734" s="850"/>
      <c r="BM734" s="850"/>
      <c r="BN734" s="850"/>
      <c r="BO734" s="850"/>
      <c r="BP734" s="194"/>
      <c r="BQ734" s="850"/>
      <c r="BR734" s="850"/>
      <c r="BS734" s="850"/>
      <c r="BT734" s="850"/>
      <c r="BU734" s="194"/>
      <c r="BV734" s="850"/>
      <c r="BW734" s="850"/>
      <c r="BX734" s="850"/>
      <c r="BY734" s="850"/>
      <c r="BZ734" s="194"/>
      <c r="CA734" s="850"/>
      <c r="CB734" s="850"/>
      <c r="CC734" s="850"/>
      <c r="CD734" s="850"/>
      <c r="CE734" s="194"/>
      <c r="CF734" s="850"/>
      <c r="CG734" s="2349"/>
      <c r="CH734" s="2349">
        <f t="shared" si="1037"/>
        <v>1174</v>
      </c>
      <c r="CI734" s="2349">
        <f t="shared" si="1037"/>
        <v>1174</v>
      </c>
      <c r="CJ734" s="2293">
        <f t="shared" si="1041"/>
        <v>1174</v>
      </c>
      <c r="CK734" s="2350">
        <f t="shared" si="1038"/>
        <v>1174</v>
      </c>
      <c r="CL734" s="2349">
        <f t="shared" si="1039"/>
        <v>1174</v>
      </c>
      <c r="CM734" s="2349">
        <f t="shared" si="1039"/>
        <v>1174</v>
      </c>
      <c r="CN734" s="2349">
        <f t="shared" si="1039"/>
        <v>1174</v>
      </c>
      <c r="CO734" s="2293">
        <f t="shared" si="1039"/>
        <v>1174</v>
      </c>
      <c r="CP734" s="973">
        <f t="shared" si="1040"/>
        <v>1174</v>
      </c>
      <c r="CQ734" s="847">
        <f t="shared" si="1040"/>
        <v>1174</v>
      </c>
      <c r="CR734" s="847">
        <f t="shared" si="1040"/>
        <v>1174</v>
      </c>
      <c r="CS734" s="1431">
        <f t="shared" si="1040"/>
        <v>1174</v>
      </c>
      <c r="CT734" s="2293">
        <f t="shared" si="1040"/>
        <v>1174</v>
      </c>
      <c r="CU734" s="2293">
        <f t="shared" si="1039"/>
        <v>1174</v>
      </c>
      <c r="CV734" s="2293">
        <f t="shared" si="1039"/>
        <v>1174</v>
      </c>
      <c r="CW734" s="374"/>
      <c r="CX734" s="374"/>
      <c r="CY734" s="374"/>
      <c r="CZ734" s="374"/>
      <c r="DA734" s="374"/>
      <c r="DB734" s="217"/>
    </row>
    <row r="735" spans="1:108" x14ac:dyDescent="0.2">
      <c r="A735" s="3013" t="s">
        <v>2458</v>
      </c>
      <c r="B735" s="1207"/>
      <c r="C735" s="1207"/>
      <c r="D735" s="1207"/>
      <c r="E735" s="1207"/>
      <c r="F735" s="1207"/>
      <c r="G735" s="1207"/>
      <c r="H735" s="246"/>
      <c r="I735" s="850"/>
      <c r="J735" s="850"/>
      <c r="K735" s="850"/>
      <c r="L735" s="850"/>
      <c r="M735" s="246"/>
      <c r="N735" s="850"/>
      <c r="O735" s="850"/>
      <c r="P735" s="850"/>
      <c r="Q735" s="850"/>
      <c r="R735" s="246"/>
      <c r="S735" s="850"/>
      <c r="T735" s="850"/>
      <c r="U735" s="850"/>
      <c r="V735" s="850"/>
      <c r="W735" s="246"/>
      <c r="X735" s="850"/>
      <c r="Y735" s="850"/>
      <c r="Z735" s="850"/>
      <c r="AA735" s="850"/>
      <c r="AB735" s="246"/>
      <c r="AC735" s="850"/>
      <c r="AD735" s="850"/>
      <c r="AE735" s="850"/>
      <c r="AF735" s="850"/>
      <c r="AG735" s="246"/>
      <c r="AH735" s="850"/>
      <c r="AI735" s="850"/>
      <c r="AJ735" s="850"/>
      <c r="AK735" s="850"/>
      <c r="AL735" s="246"/>
      <c r="AM735" s="850"/>
      <c r="AN735" s="850"/>
      <c r="AO735" s="850"/>
      <c r="AP735" s="850"/>
      <c r="AQ735" s="246"/>
      <c r="AR735" s="850"/>
      <c r="AS735" s="850"/>
      <c r="AT735" s="850"/>
      <c r="AU735" s="850"/>
      <c r="AV735" s="246"/>
      <c r="AW735" s="850"/>
      <c r="AX735" s="850"/>
      <c r="AY735" s="850"/>
      <c r="AZ735" s="850"/>
      <c r="BA735" s="246"/>
      <c r="BB735" s="850"/>
      <c r="BC735" s="850"/>
      <c r="BD735" s="850"/>
      <c r="BE735" s="850"/>
      <c r="BF735" s="246"/>
      <c r="BG735" s="850"/>
      <c r="BH735" s="850"/>
      <c r="BI735" s="850"/>
      <c r="BJ735" s="850"/>
      <c r="BK735" s="246"/>
      <c r="BL735" s="850"/>
      <c r="BM735" s="850"/>
      <c r="BN735" s="850"/>
      <c r="BO735" s="850"/>
      <c r="BP735" s="194"/>
      <c r="BQ735" s="850"/>
      <c r="BR735" s="850"/>
      <c r="BS735" s="850"/>
      <c r="BT735" s="850"/>
      <c r="BU735" s="194"/>
      <c r="BV735" s="850"/>
      <c r="BW735" s="850"/>
      <c r="BX735" s="850"/>
      <c r="BY735" s="850"/>
      <c r="BZ735" s="194"/>
      <c r="CA735" s="850"/>
      <c r="CB735" s="850"/>
      <c r="CC735" s="850"/>
      <c r="CD735" s="850"/>
      <c r="CE735" s="194"/>
      <c r="CF735" s="850"/>
      <c r="CG735" s="2349"/>
      <c r="CH735" s="2349">
        <f t="shared" si="1037"/>
        <v>467</v>
      </c>
      <c r="CI735" s="2349">
        <f t="shared" si="1037"/>
        <v>468</v>
      </c>
      <c r="CJ735" s="2293">
        <f t="shared" si="1041"/>
        <v>468</v>
      </c>
      <c r="CK735" s="2350">
        <f t="shared" si="1038"/>
        <v>468</v>
      </c>
      <c r="CL735" s="2349">
        <f t="shared" si="1039"/>
        <v>465</v>
      </c>
      <c r="CM735" s="2349">
        <f t="shared" si="1039"/>
        <v>465</v>
      </c>
      <c r="CN735" s="2349">
        <f t="shared" si="1039"/>
        <v>468</v>
      </c>
      <c r="CO735" s="2293">
        <f t="shared" si="1039"/>
        <v>468</v>
      </c>
      <c r="CP735" s="973">
        <f t="shared" si="1040"/>
        <v>468</v>
      </c>
      <c r="CQ735" s="847">
        <f t="shared" si="1040"/>
        <v>468</v>
      </c>
      <c r="CR735" s="847">
        <f t="shared" si="1040"/>
        <v>468</v>
      </c>
      <c r="CS735" s="1431">
        <f t="shared" si="1040"/>
        <v>468</v>
      </c>
      <c r="CT735" s="2293">
        <f t="shared" si="1040"/>
        <v>468</v>
      </c>
      <c r="CU735" s="2293">
        <f t="shared" si="1039"/>
        <v>468</v>
      </c>
      <c r="CV735" s="2293">
        <f t="shared" si="1039"/>
        <v>468</v>
      </c>
      <c r="CW735" s="374"/>
      <c r="CX735" s="374"/>
      <c r="CY735" s="374"/>
      <c r="CZ735" s="374"/>
      <c r="DA735" s="374"/>
      <c r="DB735" s="217"/>
    </row>
    <row r="736" spans="1:108" x14ac:dyDescent="0.2">
      <c r="A736" s="3013" t="s">
        <v>2459</v>
      </c>
      <c r="B736" s="1207"/>
      <c r="C736" s="1207"/>
      <c r="D736" s="1207"/>
      <c r="E736" s="1207"/>
      <c r="F736" s="1207"/>
      <c r="G736" s="1207"/>
      <c r="H736" s="246"/>
      <c r="I736" s="850"/>
      <c r="J736" s="850"/>
      <c r="K736" s="850"/>
      <c r="L736" s="850"/>
      <c r="M736" s="246"/>
      <c r="N736" s="850"/>
      <c r="O736" s="850"/>
      <c r="P736" s="850"/>
      <c r="Q736" s="850"/>
      <c r="R736" s="246"/>
      <c r="S736" s="850"/>
      <c r="T736" s="850"/>
      <c r="U736" s="850"/>
      <c r="V736" s="850"/>
      <c r="W736" s="246"/>
      <c r="X736" s="850"/>
      <c r="Y736" s="850"/>
      <c r="Z736" s="850"/>
      <c r="AA736" s="850"/>
      <c r="AB736" s="246"/>
      <c r="AC736" s="850"/>
      <c r="AD736" s="850"/>
      <c r="AE736" s="850"/>
      <c r="AF736" s="850"/>
      <c r="AG736" s="246"/>
      <c r="AH736" s="850"/>
      <c r="AI736" s="850"/>
      <c r="AJ736" s="850"/>
      <c r="AK736" s="850"/>
      <c r="AL736" s="246"/>
      <c r="AM736" s="850"/>
      <c r="AN736" s="850"/>
      <c r="AO736" s="850"/>
      <c r="AP736" s="850"/>
      <c r="AQ736" s="246"/>
      <c r="AR736" s="850"/>
      <c r="AS736" s="850"/>
      <c r="AT736" s="850"/>
      <c r="AU736" s="850"/>
      <c r="AV736" s="246"/>
      <c r="AW736" s="850"/>
      <c r="AX736" s="850"/>
      <c r="AY736" s="850"/>
      <c r="AZ736" s="850"/>
      <c r="BA736" s="246"/>
      <c r="BB736" s="850"/>
      <c r="BC736" s="850"/>
      <c r="BD736" s="850"/>
      <c r="BE736" s="850"/>
      <c r="BF736" s="246"/>
      <c r="BG736" s="850"/>
      <c r="BH736" s="850"/>
      <c r="BI736" s="850"/>
      <c r="BJ736" s="850"/>
      <c r="BK736" s="246"/>
      <c r="BL736" s="850"/>
      <c r="BM736" s="850"/>
      <c r="BN736" s="850"/>
      <c r="BO736" s="850"/>
      <c r="BP736" s="194"/>
      <c r="BQ736" s="850"/>
      <c r="BR736" s="850"/>
      <c r="BS736" s="850"/>
      <c r="BT736" s="850"/>
      <c r="BU736" s="194"/>
      <c r="BV736" s="850"/>
      <c r="BW736" s="850"/>
      <c r="BX736" s="850"/>
      <c r="BY736" s="850"/>
      <c r="BZ736" s="194"/>
      <c r="CA736" s="850"/>
      <c r="CB736" s="850"/>
      <c r="CC736" s="850"/>
      <c r="CD736" s="850"/>
      <c r="CE736" s="194"/>
      <c r="CF736" s="850"/>
      <c r="CG736" s="2349"/>
      <c r="CH736" s="2349">
        <f t="shared" si="1037"/>
        <v>658</v>
      </c>
      <c r="CI736" s="2349">
        <f t="shared" si="1037"/>
        <v>398</v>
      </c>
      <c r="CJ736" s="2293">
        <f t="shared" si="1041"/>
        <v>398</v>
      </c>
      <c r="CK736" s="2350">
        <f t="shared" si="1038"/>
        <v>398</v>
      </c>
      <c r="CL736" s="2349">
        <f t="shared" si="1039"/>
        <v>398</v>
      </c>
      <c r="CM736" s="2349">
        <f t="shared" si="1039"/>
        <v>398</v>
      </c>
      <c r="CN736" s="2349">
        <f t="shared" si="1039"/>
        <v>398</v>
      </c>
      <c r="CO736" s="2293">
        <f t="shared" si="1039"/>
        <v>398</v>
      </c>
      <c r="CP736" s="973">
        <f t="shared" si="1040"/>
        <v>398</v>
      </c>
      <c r="CQ736" s="847">
        <f t="shared" si="1040"/>
        <v>398</v>
      </c>
      <c r="CR736" s="847">
        <f t="shared" si="1040"/>
        <v>398</v>
      </c>
      <c r="CS736" s="1431">
        <f t="shared" si="1040"/>
        <v>398</v>
      </c>
      <c r="CT736" s="2293">
        <f t="shared" si="1040"/>
        <v>398</v>
      </c>
      <c r="CU736" s="2293">
        <f t="shared" si="1039"/>
        <v>398</v>
      </c>
      <c r="CV736" s="2293">
        <f t="shared" si="1039"/>
        <v>398</v>
      </c>
      <c r="CW736" s="374"/>
      <c r="CX736" s="374"/>
      <c r="CY736" s="374"/>
      <c r="CZ736" s="374"/>
      <c r="DA736" s="374"/>
      <c r="DB736" s="217"/>
    </row>
    <row r="737" spans="1:106" x14ac:dyDescent="0.2">
      <c r="A737" s="3013" t="s">
        <v>2460</v>
      </c>
      <c r="B737" s="1207"/>
      <c r="C737" s="1207"/>
      <c r="D737" s="1207"/>
      <c r="E737" s="1207"/>
      <c r="F737" s="1207"/>
      <c r="G737" s="1207"/>
      <c r="H737" s="246"/>
      <c r="I737" s="850"/>
      <c r="J737" s="850"/>
      <c r="K737" s="850"/>
      <c r="L737" s="850"/>
      <c r="M737" s="246"/>
      <c r="N737" s="850"/>
      <c r="O737" s="850"/>
      <c r="P737" s="850"/>
      <c r="Q737" s="850"/>
      <c r="R737" s="246"/>
      <c r="S737" s="850"/>
      <c r="T737" s="850"/>
      <c r="U737" s="850"/>
      <c r="V737" s="850"/>
      <c r="W737" s="246"/>
      <c r="X737" s="850"/>
      <c r="Y737" s="850"/>
      <c r="Z737" s="850"/>
      <c r="AA737" s="850"/>
      <c r="AB737" s="246"/>
      <c r="AC737" s="850"/>
      <c r="AD737" s="850"/>
      <c r="AE737" s="850"/>
      <c r="AF737" s="850"/>
      <c r="AG737" s="246"/>
      <c r="AH737" s="850"/>
      <c r="AI737" s="850"/>
      <c r="AJ737" s="850"/>
      <c r="AK737" s="850"/>
      <c r="AL737" s="246"/>
      <c r="AM737" s="850"/>
      <c r="AN737" s="850"/>
      <c r="AO737" s="850"/>
      <c r="AP737" s="850"/>
      <c r="AQ737" s="246"/>
      <c r="AR737" s="850"/>
      <c r="AS737" s="850"/>
      <c r="AT737" s="850"/>
      <c r="AU737" s="850"/>
      <c r="AV737" s="246"/>
      <c r="AW737" s="850"/>
      <c r="AX737" s="850"/>
      <c r="AY737" s="850"/>
      <c r="AZ737" s="850"/>
      <c r="BA737" s="246"/>
      <c r="BB737" s="850"/>
      <c r="BC737" s="850"/>
      <c r="BD737" s="850"/>
      <c r="BE737" s="850"/>
      <c r="BF737" s="246"/>
      <c r="BG737" s="850"/>
      <c r="BH737" s="850"/>
      <c r="BI737" s="850"/>
      <c r="BJ737" s="850"/>
      <c r="BK737" s="246"/>
      <c r="BL737" s="850"/>
      <c r="BM737" s="850"/>
      <c r="BN737" s="850"/>
      <c r="BO737" s="850"/>
      <c r="BP737" s="194"/>
      <c r="BQ737" s="850"/>
      <c r="BR737" s="850"/>
      <c r="BS737" s="850"/>
      <c r="BT737" s="850"/>
      <c r="BU737" s="194"/>
      <c r="BV737" s="850"/>
      <c r="BW737" s="850"/>
      <c r="BX737" s="850"/>
      <c r="BY737" s="850"/>
      <c r="BZ737" s="194"/>
      <c r="CA737" s="850"/>
      <c r="CB737" s="850"/>
      <c r="CC737" s="850"/>
      <c r="CD737" s="850"/>
      <c r="CE737" s="194"/>
      <c r="CF737" s="850"/>
      <c r="CG737" s="2349"/>
      <c r="CH737" s="2349">
        <f t="shared" si="1037"/>
        <v>0</v>
      </c>
      <c r="CI737" s="2349">
        <f t="shared" si="1037"/>
        <v>0</v>
      </c>
      <c r="CJ737" s="2293">
        <f t="shared" si="1041"/>
        <v>0</v>
      </c>
      <c r="CK737" s="2350">
        <f t="shared" si="1038"/>
        <v>0</v>
      </c>
      <c r="CL737" s="2349">
        <f t="shared" si="1039"/>
        <v>0</v>
      </c>
      <c r="CM737" s="2349">
        <f t="shared" si="1039"/>
        <v>0</v>
      </c>
      <c r="CN737" s="2349">
        <f t="shared" si="1039"/>
        <v>0</v>
      </c>
      <c r="CO737" s="2293">
        <f t="shared" si="1039"/>
        <v>0</v>
      </c>
      <c r="CP737" s="973">
        <f t="shared" si="1040"/>
        <v>0</v>
      </c>
      <c r="CQ737" s="847">
        <f t="shared" si="1040"/>
        <v>0</v>
      </c>
      <c r="CR737" s="847">
        <f t="shared" si="1040"/>
        <v>0</v>
      </c>
      <c r="CS737" s="1431">
        <f t="shared" si="1040"/>
        <v>0</v>
      </c>
      <c r="CT737" s="2293">
        <f t="shared" si="1040"/>
        <v>0</v>
      </c>
      <c r="CU737" s="2293">
        <f t="shared" si="1039"/>
        <v>0</v>
      </c>
      <c r="CV737" s="2293">
        <f t="shared" si="1039"/>
        <v>0</v>
      </c>
      <c r="CW737" s="374"/>
      <c r="CX737" s="374"/>
      <c r="CY737" s="374"/>
      <c r="CZ737" s="374"/>
      <c r="DA737" s="374"/>
      <c r="DB737" s="217"/>
    </row>
    <row r="738" spans="1:106" x14ac:dyDescent="0.2">
      <c r="A738" s="3013" t="s">
        <v>2464</v>
      </c>
      <c r="B738" s="1207"/>
      <c r="C738" s="1207"/>
      <c r="D738" s="1207"/>
      <c r="E738" s="1207"/>
      <c r="F738" s="1207"/>
      <c r="G738" s="1207"/>
      <c r="H738" s="246"/>
      <c r="I738" s="850"/>
      <c r="J738" s="850"/>
      <c r="K738" s="850"/>
      <c r="L738" s="850"/>
      <c r="M738" s="246"/>
      <c r="N738" s="850"/>
      <c r="O738" s="850"/>
      <c r="P738" s="850"/>
      <c r="Q738" s="850"/>
      <c r="R738" s="246"/>
      <c r="S738" s="850"/>
      <c r="T738" s="850"/>
      <c r="U738" s="850"/>
      <c r="V738" s="850"/>
      <c r="W738" s="246"/>
      <c r="X738" s="850"/>
      <c r="Y738" s="850"/>
      <c r="Z738" s="850"/>
      <c r="AA738" s="850"/>
      <c r="AB738" s="246"/>
      <c r="AC738" s="850"/>
      <c r="AD738" s="850"/>
      <c r="AE738" s="850"/>
      <c r="AF738" s="850"/>
      <c r="AG738" s="246"/>
      <c r="AH738" s="850"/>
      <c r="AI738" s="850"/>
      <c r="AJ738" s="850"/>
      <c r="AK738" s="850"/>
      <c r="AL738" s="246"/>
      <c r="AM738" s="850"/>
      <c r="AN738" s="850"/>
      <c r="AO738" s="850"/>
      <c r="AP738" s="850"/>
      <c r="AQ738" s="246"/>
      <c r="AR738" s="850"/>
      <c r="AS738" s="850"/>
      <c r="AT738" s="850"/>
      <c r="AU738" s="850"/>
      <c r="AV738" s="246"/>
      <c r="AW738" s="850"/>
      <c r="AX738" s="850"/>
      <c r="AY738" s="850"/>
      <c r="AZ738" s="850"/>
      <c r="BA738" s="246"/>
      <c r="BB738" s="850"/>
      <c r="BC738" s="850"/>
      <c r="BD738" s="850"/>
      <c r="BE738" s="850"/>
      <c r="BF738" s="246"/>
      <c r="BG738" s="850"/>
      <c r="BH738" s="850"/>
      <c r="BI738" s="850"/>
      <c r="BJ738" s="850"/>
      <c r="BK738" s="246"/>
      <c r="BL738" s="850"/>
      <c r="BM738" s="850"/>
      <c r="BN738" s="850"/>
      <c r="BO738" s="850"/>
      <c r="BP738" s="194"/>
      <c r="BQ738" s="850"/>
      <c r="BR738" s="850"/>
      <c r="BS738" s="850"/>
      <c r="BT738" s="850"/>
      <c r="BU738" s="194"/>
      <c r="BV738" s="850"/>
      <c r="BW738" s="850"/>
      <c r="BX738" s="850"/>
      <c r="BY738" s="850"/>
      <c r="BZ738" s="194"/>
      <c r="CA738" s="850"/>
      <c r="CB738" s="850"/>
      <c r="CC738" s="850"/>
      <c r="CD738" s="850"/>
      <c r="CE738" s="194"/>
      <c r="CF738" s="850"/>
      <c r="CG738" s="2349"/>
      <c r="CH738" s="2349">
        <f t="shared" si="1037"/>
        <v>0</v>
      </c>
      <c r="CI738" s="2349">
        <f t="shared" si="1037"/>
        <v>0</v>
      </c>
      <c r="CJ738" s="2293">
        <f t="shared" si="1041"/>
        <v>0</v>
      </c>
      <c r="CK738" s="2350">
        <f t="shared" si="1038"/>
        <v>0</v>
      </c>
      <c r="CL738" s="2349">
        <f t="shared" si="1039"/>
        <v>0</v>
      </c>
      <c r="CM738" s="2349">
        <f t="shared" si="1039"/>
        <v>0</v>
      </c>
      <c r="CN738" s="2349">
        <f t="shared" si="1039"/>
        <v>0</v>
      </c>
      <c r="CO738" s="2293">
        <f t="shared" si="1039"/>
        <v>0</v>
      </c>
      <c r="CP738" s="973">
        <f t="shared" si="1040"/>
        <v>0</v>
      </c>
      <c r="CQ738" s="847">
        <f t="shared" si="1040"/>
        <v>0</v>
      </c>
      <c r="CR738" s="847">
        <f t="shared" si="1040"/>
        <v>0</v>
      </c>
      <c r="CS738" s="1431">
        <f t="shared" si="1040"/>
        <v>0</v>
      </c>
      <c r="CT738" s="2293">
        <f t="shared" si="1040"/>
        <v>0</v>
      </c>
      <c r="CU738" s="2293">
        <f t="shared" si="1039"/>
        <v>0</v>
      </c>
      <c r="CV738" s="2293">
        <f t="shared" si="1039"/>
        <v>0</v>
      </c>
      <c r="CW738" s="374"/>
      <c r="CX738" s="374"/>
      <c r="CY738" s="374"/>
      <c r="CZ738" s="374"/>
      <c r="DA738" s="374"/>
      <c r="DB738" s="217"/>
    </row>
    <row r="739" spans="1:106" x14ac:dyDescent="0.2">
      <c r="A739" s="3013" t="s">
        <v>2462</v>
      </c>
      <c r="B739" s="1207"/>
      <c r="C739" s="1207"/>
      <c r="D739" s="1207"/>
      <c r="E739" s="1207"/>
      <c r="F739" s="1207"/>
      <c r="G739" s="1207"/>
      <c r="H739" s="246"/>
      <c r="I739" s="850"/>
      <c r="J739" s="850"/>
      <c r="K739" s="850"/>
      <c r="L739" s="850"/>
      <c r="M739" s="246"/>
      <c r="N739" s="850"/>
      <c r="O739" s="850"/>
      <c r="P739" s="850"/>
      <c r="Q739" s="850"/>
      <c r="R739" s="246"/>
      <c r="S739" s="850"/>
      <c r="T739" s="850"/>
      <c r="U739" s="850"/>
      <c r="V739" s="850"/>
      <c r="W739" s="246"/>
      <c r="X739" s="850"/>
      <c r="Y739" s="850"/>
      <c r="Z739" s="850"/>
      <c r="AA739" s="850"/>
      <c r="AB739" s="246"/>
      <c r="AC739" s="850"/>
      <c r="AD739" s="850"/>
      <c r="AE739" s="850"/>
      <c r="AF739" s="850"/>
      <c r="AG739" s="246"/>
      <c r="AH739" s="850"/>
      <c r="AI739" s="850"/>
      <c r="AJ739" s="850"/>
      <c r="AK739" s="850"/>
      <c r="AL739" s="246"/>
      <c r="AM739" s="850"/>
      <c r="AN739" s="850"/>
      <c r="AO739" s="850"/>
      <c r="AP739" s="850"/>
      <c r="AQ739" s="246"/>
      <c r="AR739" s="850"/>
      <c r="AS739" s="850"/>
      <c r="AT739" s="850"/>
      <c r="AU739" s="850"/>
      <c r="AV739" s="246"/>
      <c r="AW739" s="850"/>
      <c r="AX739" s="850"/>
      <c r="AY739" s="850"/>
      <c r="AZ739" s="850"/>
      <c r="BA739" s="246"/>
      <c r="BB739" s="850"/>
      <c r="BC739" s="850"/>
      <c r="BD739" s="850"/>
      <c r="BE739" s="850"/>
      <c r="BF739" s="246"/>
      <c r="BG739" s="850"/>
      <c r="BH739" s="850"/>
      <c r="BI739" s="850"/>
      <c r="BJ739" s="850"/>
      <c r="BK739" s="246"/>
      <c r="BL739" s="850"/>
      <c r="BM739" s="850"/>
      <c r="BN739" s="850"/>
      <c r="BO739" s="850"/>
      <c r="BP739" s="194"/>
      <c r="BQ739" s="850"/>
      <c r="BR739" s="850"/>
      <c r="BS739" s="850"/>
      <c r="BT739" s="850"/>
      <c r="BU739" s="194"/>
      <c r="BV739" s="850"/>
      <c r="BW739" s="850"/>
      <c r="BX739" s="850"/>
      <c r="BY739" s="850"/>
      <c r="BZ739" s="194"/>
      <c r="CA739" s="850"/>
      <c r="CB739" s="850"/>
      <c r="CC739" s="850"/>
      <c r="CD739" s="850"/>
      <c r="CE739" s="194"/>
      <c r="CF739" s="850"/>
      <c r="CG739" s="2349"/>
      <c r="CH739" s="2349">
        <f t="shared" si="1037"/>
        <v>0</v>
      </c>
      <c r="CI739" s="2349">
        <f t="shared" si="1037"/>
        <v>0</v>
      </c>
      <c r="CJ739" s="2293">
        <f t="shared" si="1041"/>
        <v>0</v>
      </c>
      <c r="CK739" s="2350">
        <f t="shared" si="1038"/>
        <v>0</v>
      </c>
      <c r="CL739" s="2349">
        <f t="shared" si="1039"/>
        <v>0</v>
      </c>
      <c r="CM739" s="2349">
        <f t="shared" si="1039"/>
        <v>0</v>
      </c>
      <c r="CN739" s="2349">
        <f t="shared" si="1039"/>
        <v>0</v>
      </c>
      <c r="CO739" s="2293">
        <f t="shared" si="1039"/>
        <v>0</v>
      </c>
      <c r="CP739" s="973">
        <f t="shared" si="1040"/>
        <v>0</v>
      </c>
      <c r="CQ739" s="847">
        <f t="shared" si="1040"/>
        <v>0</v>
      </c>
      <c r="CR739" s="847">
        <f t="shared" si="1040"/>
        <v>0</v>
      </c>
      <c r="CS739" s="1431">
        <f t="shared" si="1040"/>
        <v>0</v>
      </c>
      <c r="CT739" s="2293">
        <f t="shared" si="1040"/>
        <v>0</v>
      </c>
      <c r="CU739" s="2293">
        <f t="shared" si="1039"/>
        <v>0</v>
      </c>
      <c r="CV739" s="2293">
        <f t="shared" si="1039"/>
        <v>0</v>
      </c>
      <c r="CW739" s="374"/>
      <c r="CX739" s="374"/>
      <c r="CY739" s="374"/>
      <c r="CZ739" s="374"/>
      <c r="DA739" s="374"/>
      <c r="DB739" s="217"/>
    </row>
    <row r="740" spans="1:106" x14ac:dyDescent="0.2">
      <c r="A740" s="3013" t="s">
        <v>2463</v>
      </c>
      <c r="B740" s="1207"/>
      <c r="C740" s="1207"/>
      <c r="D740" s="1207"/>
      <c r="E740" s="1207"/>
      <c r="F740" s="1207"/>
      <c r="G740" s="1207"/>
      <c r="H740" s="246"/>
      <c r="I740" s="850"/>
      <c r="J740" s="850"/>
      <c r="K740" s="850"/>
      <c r="L740" s="850"/>
      <c r="M740" s="246"/>
      <c r="N740" s="850"/>
      <c r="O740" s="850"/>
      <c r="P740" s="850"/>
      <c r="Q740" s="850"/>
      <c r="R740" s="246"/>
      <c r="S740" s="850"/>
      <c r="T740" s="850"/>
      <c r="U740" s="850"/>
      <c r="V740" s="850"/>
      <c r="W740" s="246"/>
      <c r="X740" s="850"/>
      <c r="Y740" s="850"/>
      <c r="Z740" s="850"/>
      <c r="AA740" s="850"/>
      <c r="AB740" s="246"/>
      <c r="AC740" s="850"/>
      <c r="AD740" s="850"/>
      <c r="AE740" s="850"/>
      <c r="AF740" s="850"/>
      <c r="AG740" s="246"/>
      <c r="AH740" s="850"/>
      <c r="AI740" s="850"/>
      <c r="AJ740" s="850"/>
      <c r="AK740" s="850"/>
      <c r="AL740" s="246"/>
      <c r="AM740" s="850"/>
      <c r="AN740" s="850"/>
      <c r="AO740" s="850"/>
      <c r="AP740" s="850"/>
      <c r="AQ740" s="246"/>
      <c r="AR740" s="850"/>
      <c r="AS740" s="850"/>
      <c r="AT740" s="850"/>
      <c r="AU740" s="850"/>
      <c r="AV740" s="246"/>
      <c r="AW740" s="850"/>
      <c r="AX740" s="850"/>
      <c r="AY740" s="850"/>
      <c r="AZ740" s="850"/>
      <c r="BA740" s="246"/>
      <c r="BB740" s="850"/>
      <c r="BC740" s="850"/>
      <c r="BD740" s="850"/>
      <c r="BE740" s="850"/>
      <c r="BF740" s="246"/>
      <c r="BG740" s="850"/>
      <c r="BH740" s="850"/>
      <c r="BI740" s="850"/>
      <c r="BJ740" s="850"/>
      <c r="BK740" s="246"/>
      <c r="BL740" s="850"/>
      <c r="BM740" s="850"/>
      <c r="BN740" s="850"/>
      <c r="BO740" s="850"/>
      <c r="BP740" s="194"/>
      <c r="BQ740" s="850"/>
      <c r="BR740" s="850"/>
      <c r="BS740" s="850"/>
      <c r="BT740" s="850"/>
      <c r="BU740" s="194"/>
      <c r="BV740" s="850"/>
      <c r="BW740" s="850"/>
      <c r="BX740" s="850"/>
      <c r="BY740" s="850"/>
      <c r="BZ740" s="194"/>
      <c r="CA740" s="850"/>
      <c r="CB740" s="850"/>
      <c r="CC740" s="850"/>
      <c r="CD740" s="850"/>
      <c r="CE740" s="194"/>
      <c r="CF740" s="850"/>
      <c r="CG740" s="2349"/>
      <c r="CH740" s="2349">
        <f t="shared" si="1037"/>
        <v>135</v>
      </c>
      <c r="CI740" s="2349">
        <f t="shared" si="1037"/>
        <v>135</v>
      </c>
      <c r="CJ740" s="2293">
        <f t="shared" si="1041"/>
        <v>135</v>
      </c>
      <c r="CK740" s="2350">
        <f t="shared" si="1038"/>
        <v>135</v>
      </c>
      <c r="CL740" s="2349">
        <f t="shared" si="1039"/>
        <v>135</v>
      </c>
      <c r="CM740" s="2349">
        <f t="shared" si="1039"/>
        <v>135</v>
      </c>
      <c r="CN740" s="2349">
        <f t="shared" si="1039"/>
        <v>135</v>
      </c>
      <c r="CO740" s="2293">
        <f t="shared" si="1039"/>
        <v>135</v>
      </c>
      <c r="CP740" s="973">
        <f t="shared" si="1040"/>
        <v>135</v>
      </c>
      <c r="CQ740" s="847">
        <f t="shared" si="1040"/>
        <v>135</v>
      </c>
      <c r="CR740" s="847">
        <f t="shared" si="1040"/>
        <v>135</v>
      </c>
      <c r="CS740" s="1431">
        <f t="shared" si="1040"/>
        <v>135</v>
      </c>
      <c r="CT740" s="2293">
        <f t="shared" si="1040"/>
        <v>135</v>
      </c>
      <c r="CU740" s="2293">
        <f t="shared" si="1039"/>
        <v>135</v>
      </c>
      <c r="CV740" s="2293">
        <f t="shared" si="1039"/>
        <v>135</v>
      </c>
      <c r="CW740" s="374"/>
      <c r="CX740" s="374"/>
      <c r="CY740" s="374"/>
      <c r="CZ740" s="374"/>
      <c r="DA740" s="374"/>
      <c r="DB740" s="217"/>
    </row>
    <row r="741" spans="1:106" x14ac:dyDescent="0.2">
      <c r="A741" s="3013" t="s">
        <v>1931</v>
      </c>
      <c r="B741" s="1207"/>
      <c r="C741" s="1207"/>
      <c r="D741" s="1207"/>
      <c r="E741" s="1207"/>
      <c r="F741" s="1207"/>
      <c r="G741" s="1207"/>
      <c r="H741" s="246"/>
      <c r="I741" s="850"/>
      <c r="J741" s="850"/>
      <c r="K741" s="850"/>
      <c r="L741" s="850"/>
      <c r="M741" s="246"/>
      <c r="N741" s="850"/>
      <c r="O741" s="850"/>
      <c r="P741" s="850"/>
      <c r="Q741" s="850"/>
      <c r="R741" s="246"/>
      <c r="S741" s="850"/>
      <c r="T741" s="850"/>
      <c r="U741" s="850"/>
      <c r="V741" s="850"/>
      <c r="W741" s="246"/>
      <c r="X741" s="850"/>
      <c r="Y741" s="850"/>
      <c r="Z741" s="850"/>
      <c r="AA741" s="850"/>
      <c r="AB741" s="246"/>
      <c r="AC741" s="850"/>
      <c r="AD741" s="850"/>
      <c r="AE741" s="850"/>
      <c r="AF741" s="850"/>
      <c r="AG741" s="246"/>
      <c r="AH741" s="850"/>
      <c r="AI741" s="850"/>
      <c r="AJ741" s="850"/>
      <c r="AK741" s="850"/>
      <c r="AL741" s="246"/>
      <c r="AM741" s="850"/>
      <c r="AN741" s="850"/>
      <c r="AO741" s="850"/>
      <c r="AP741" s="850"/>
      <c r="AQ741" s="246"/>
      <c r="AR741" s="850"/>
      <c r="AS741" s="850"/>
      <c r="AT741" s="850"/>
      <c r="AU741" s="850"/>
      <c r="AV741" s="246"/>
      <c r="AW741" s="850"/>
      <c r="AX741" s="850"/>
      <c r="AY741" s="850"/>
      <c r="AZ741" s="850"/>
      <c r="BA741" s="246"/>
      <c r="BB741" s="850"/>
      <c r="BC741" s="850"/>
      <c r="BD741" s="850"/>
      <c r="BE741" s="850"/>
      <c r="BF741" s="246"/>
      <c r="BG741" s="850"/>
      <c r="BH741" s="850"/>
      <c r="BI741" s="850"/>
      <c r="BJ741" s="850"/>
      <c r="BK741" s="246"/>
      <c r="BL741" s="850"/>
      <c r="BM741" s="850"/>
      <c r="BN741" s="850"/>
      <c r="BO741" s="850"/>
      <c r="BP741" s="194"/>
      <c r="BQ741" s="850"/>
      <c r="BR741" s="850"/>
      <c r="BS741" s="850"/>
      <c r="BT741" s="850"/>
      <c r="BU741" s="194"/>
      <c r="BV741" s="850"/>
      <c r="BW741" s="850"/>
      <c r="BX741" s="850"/>
      <c r="BY741" s="850"/>
      <c r="BZ741" s="194"/>
      <c r="CA741" s="850"/>
      <c r="CB741" s="850"/>
      <c r="CC741" s="850"/>
      <c r="CD741" s="850"/>
      <c r="CE741" s="194"/>
      <c r="CF741" s="850"/>
      <c r="CG741" s="2349"/>
      <c r="CH741" s="2349">
        <f t="shared" si="1037"/>
        <v>0</v>
      </c>
      <c r="CI741" s="2349">
        <f t="shared" si="1037"/>
        <v>0</v>
      </c>
      <c r="CJ741" s="2293">
        <f t="shared" si="1041"/>
        <v>0</v>
      </c>
      <c r="CK741" s="2350">
        <f t="shared" si="1038"/>
        <v>0</v>
      </c>
      <c r="CL741" s="2349">
        <f t="shared" si="1039"/>
        <v>0</v>
      </c>
      <c r="CM741" s="2349">
        <f t="shared" si="1039"/>
        <v>0</v>
      </c>
      <c r="CN741" s="2349">
        <f t="shared" si="1039"/>
        <v>0</v>
      </c>
      <c r="CO741" s="2293">
        <f t="shared" si="1039"/>
        <v>0</v>
      </c>
      <c r="CP741" s="973">
        <f t="shared" si="1040"/>
        <v>0</v>
      </c>
      <c r="CQ741" s="847">
        <f t="shared" si="1040"/>
        <v>0</v>
      </c>
      <c r="CR741" s="847">
        <f t="shared" si="1040"/>
        <v>0</v>
      </c>
      <c r="CS741" s="1431">
        <f t="shared" si="1040"/>
        <v>0</v>
      </c>
      <c r="CT741" s="2293">
        <f t="shared" si="1040"/>
        <v>0</v>
      </c>
      <c r="CU741" s="2293">
        <f t="shared" si="1039"/>
        <v>0</v>
      </c>
      <c r="CV741" s="2293">
        <f t="shared" si="1039"/>
        <v>0</v>
      </c>
      <c r="CW741" s="374"/>
      <c r="CX741" s="374"/>
      <c r="CY741" s="374"/>
      <c r="CZ741" s="374"/>
      <c r="DA741" s="374"/>
      <c r="DB741" s="217"/>
    </row>
    <row r="742" spans="1:106" ht="4.5" customHeight="1" x14ac:dyDescent="0.35">
      <c r="A742" s="1207"/>
      <c r="B742" s="212"/>
      <c r="C742" s="212"/>
      <c r="D742" s="212"/>
      <c r="E742" s="212"/>
      <c r="F742" s="212"/>
      <c r="G742" s="212"/>
      <c r="H742" s="194"/>
      <c r="I742" s="850" t="s">
        <v>2466</v>
      </c>
      <c r="J742" s="850" t="s">
        <v>2139</v>
      </c>
      <c r="K742" s="850" t="s">
        <v>2466</v>
      </c>
      <c r="L742" s="850" t="s">
        <v>2139</v>
      </c>
      <c r="M742" s="3009" t="s">
        <v>2378</v>
      </c>
      <c r="N742" s="850" t="s">
        <v>2466</v>
      </c>
      <c r="O742" s="850" t="s">
        <v>2139</v>
      </c>
      <c r="P742" s="850" t="s">
        <v>2466</v>
      </c>
      <c r="Q742" s="850" t="s">
        <v>2139</v>
      </c>
      <c r="R742" s="3009" t="s">
        <v>2378</v>
      </c>
      <c r="S742" s="850" t="s">
        <v>2466</v>
      </c>
      <c r="T742" s="850" t="s">
        <v>2139</v>
      </c>
      <c r="U742" s="850" t="s">
        <v>2466</v>
      </c>
      <c r="V742" s="850" t="s">
        <v>2139</v>
      </c>
      <c r="W742" s="3009" t="s">
        <v>2378</v>
      </c>
      <c r="X742" s="850" t="s">
        <v>2466</v>
      </c>
      <c r="Y742" s="850" t="s">
        <v>2139</v>
      </c>
      <c r="Z742" s="850" t="s">
        <v>2466</v>
      </c>
      <c r="AA742" s="850" t="s">
        <v>2139</v>
      </c>
      <c r="AB742" s="3009" t="s">
        <v>2378</v>
      </c>
      <c r="AC742" s="850" t="s">
        <v>2466</v>
      </c>
      <c r="AD742" s="850" t="s">
        <v>2139</v>
      </c>
      <c r="AE742" s="850" t="s">
        <v>2466</v>
      </c>
      <c r="AF742" s="850" t="s">
        <v>2139</v>
      </c>
      <c r="AG742" s="3009" t="s">
        <v>2378</v>
      </c>
      <c r="AH742" s="850" t="s">
        <v>2466</v>
      </c>
      <c r="AI742" s="850" t="s">
        <v>2139</v>
      </c>
      <c r="AJ742" s="850" t="s">
        <v>2466</v>
      </c>
      <c r="AK742" s="850" t="s">
        <v>2139</v>
      </c>
      <c r="AL742" s="3009" t="s">
        <v>2378</v>
      </c>
      <c r="AM742" s="850" t="s">
        <v>2466</v>
      </c>
      <c r="AN742" s="850" t="s">
        <v>2139</v>
      </c>
      <c r="AO742" s="850" t="s">
        <v>2466</v>
      </c>
      <c r="AP742" s="850" t="s">
        <v>2139</v>
      </c>
      <c r="AQ742" s="3009" t="s">
        <v>2378</v>
      </c>
      <c r="AR742" s="850" t="s">
        <v>2466</v>
      </c>
      <c r="AS742" s="850" t="s">
        <v>2139</v>
      </c>
      <c r="AT742" s="850" t="s">
        <v>2466</v>
      </c>
      <c r="AU742" s="850" t="s">
        <v>2139</v>
      </c>
      <c r="AV742" s="3009" t="s">
        <v>2378</v>
      </c>
      <c r="AW742" s="850" t="s">
        <v>2466</v>
      </c>
      <c r="AX742" s="850" t="s">
        <v>2139</v>
      </c>
      <c r="AY742" s="850" t="s">
        <v>2466</v>
      </c>
      <c r="AZ742" s="850" t="s">
        <v>2139</v>
      </c>
      <c r="BA742" s="3009" t="s">
        <v>2378</v>
      </c>
      <c r="BB742" s="850" t="s">
        <v>2466</v>
      </c>
      <c r="BC742" s="850" t="s">
        <v>2139</v>
      </c>
      <c r="BD742" s="850" t="s">
        <v>2466</v>
      </c>
      <c r="BE742" s="850" t="s">
        <v>2139</v>
      </c>
      <c r="BF742" s="3009" t="s">
        <v>2378</v>
      </c>
      <c r="BG742" s="3011" t="s">
        <v>2467</v>
      </c>
      <c r="BH742" s="3011" t="s">
        <v>2467</v>
      </c>
      <c r="BI742" s="3011" t="s">
        <v>2467</v>
      </c>
      <c r="BJ742" s="3011" t="s">
        <v>2467</v>
      </c>
      <c r="BK742" s="3009" t="s">
        <v>2139</v>
      </c>
      <c r="BL742" s="3011" t="s">
        <v>1191</v>
      </c>
      <c r="BM742" s="3011" t="s">
        <v>1191</v>
      </c>
      <c r="BN742" s="3011" t="s">
        <v>1191</v>
      </c>
      <c r="BO742" s="3011" t="s">
        <v>1191</v>
      </c>
      <c r="BP742" s="3009" t="s">
        <v>2139</v>
      </c>
      <c r="BQ742" s="3011" t="s">
        <v>2139</v>
      </c>
      <c r="BR742" s="3011" t="s">
        <v>2139</v>
      </c>
      <c r="BS742" s="3011" t="s">
        <v>2139</v>
      </c>
      <c r="BT742" s="3011" t="s">
        <v>2139</v>
      </c>
      <c r="BU742" s="3009" t="s">
        <v>2139</v>
      </c>
      <c r="BV742" s="3011" t="s">
        <v>2468</v>
      </c>
      <c r="BW742" s="3011" t="s">
        <v>2468</v>
      </c>
      <c r="BX742" s="3011" t="s">
        <v>2468</v>
      </c>
      <c r="BY742" s="3011" t="s">
        <v>2467</v>
      </c>
      <c r="BZ742" s="3009" t="s">
        <v>2378</v>
      </c>
      <c r="CA742" s="3011" t="s">
        <v>2466</v>
      </c>
      <c r="CB742" s="3011" t="s">
        <v>2466</v>
      </c>
      <c r="CC742" s="3011" t="s">
        <v>2466</v>
      </c>
      <c r="CD742" s="3011" t="s">
        <v>2378</v>
      </c>
      <c r="CE742" s="3009" t="s">
        <v>2139</v>
      </c>
      <c r="CF742" s="3011" t="s">
        <v>2466</v>
      </c>
      <c r="CG742" s="3011" t="s">
        <v>2378</v>
      </c>
      <c r="CH742" s="3011" t="s">
        <v>2378</v>
      </c>
      <c r="CI742" s="3011" t="s">
        <v>2378</v>
      </c>
      <c r="CJ742" s="3009" t="s">
        <v>2378</v>
      </c>
      <c r="CK742" s="3502" t="s">
        <v>2378</v>
      </c>
      <c r="CL742" s="3011" t="s">
        <v>2378</v>
      </c>
      <c r="CM742" s="3011" t="s">
        <v>2378</v>
      </c>
      <c r="CN742" s="3011" t="s">
        <v>2378</v>
      </c>
      <c r="CO742" s="3009" t="s">
        <v>2378</v>
      </c>
      <c r="CP742" s="3504" t="s">
        <v>2378</v>
      </c>
      <c r="CQ742" s="3011" t="s">
        <v>2378</v>
      </c>
      <c r="CR742" s="3011" t="s">
        <v>2378</v>
      </c>
      <c r="CS742" s="3019" t="s">
        <v>2378</v>
      </c>
      <c r="CT742" s="3009" t="s">
        <v>2378</v>
      </c>
      <c r="CU742" s="3009" t="s">
        <v>2378</v>
      </c>
      <c r="CV742" s="3019" t="s">
        <v>2378</v>
      </c>
      <c r="DB742" s="217"/>
    </row>
    <row r="743" spans="1:106" x14ac:dyDescent="0.2">
      <c r="A743" s="764" t="s">
        <v>1735</v>
      </c>
      <c r="B743" s="651"/>
      <c r="C743" s="236"/>
      <c r="D743" s="207"/>
      <c r="E743" s="207"/>
      <c r="F743" s="207"/>
      <c r="G743" s="234"/>
      <c r="H743" s="763">
        <f>SUM(H713:H726)</f>
        <v>14785</v>
      </c>
      <c r="I743" s="757">
        <f>SUM(I713:I729)</f>
        <v>13759</v>
      </c>
      <c r="J743" s="757">
        <f>SUM(J713:J729)</f>
        <v>12510</v>
      </c>
      <c r="K743" s="757">
        <f>SUM(K713:K729)</f>
        <v>10964</v>
      </c>
      <c r="L743" s="757">
        <f>SUM(L713:L729)</f>
        <v>12213</v>
      </c>
      <c r="M743" s="763">
        <f>SUM(M713:M726)</f>
        <v>12213</v>
      </c>
      <c r="N743" s="757">
        <f>SUM(N713:N729)</f>
        <v>11461</v>
      </c>
      <c r="O743" s="757">
        <f>SUM(O713:O729)</f>
        <v>11537</v>
      </c>
      <c r="P743" s="757">
        <f>SUM(P713:P729)</f>
        <v>11393</v>
      </c>
      <c r="Q743" s="757">
        <f>SUM(Q713:Q729)</f>
        <v>10481</v>
      </c>
      <c r="R743" s="763">
        <f>SUM(R713:R726)</f>
        <v>10481</v>
      </c>
      <c r="S743" s="757">
        <f>SUM(S713:S729)</f>
        <v>10650</v>
      </c>
      <c r="T743" s="757">
        <f>SUM(T713:T729)</f>
        <v>9935</v>
      </c>
      <c r="U743" s="757">
        <f>SUM(U713:U729)</f>
        <v>10013</v>
      </c>
      <c r="V743" s="757">
        <f>SUM(V713:V729)</f>
        <v>9178</v>
      </c>
      <c r="W743" s="763">
        <f>SUM(W713:W726)</f>
        <v>9178</v>
      </c>
      <c r="X743" s="757">
        <f>SUM(X713:X729)</f>
        <v>10990</v>
      </c>
      <c r="Y743" s="757">
        <f>SUM(Y713:Y729)</f>
        <v>10133</v>
      </c>
      <c r="Z743" s="757">
        <f>SUM(Z713:Z729)</f>
        <v>9252</v>
      </c>
      <c r="AA743" s="757">
        <f>SUM(AA713:AA729)</f>
        <v>7458</v>
      </c>
      <c r="AB743" s="763">
        <f>SUM(AB713:AB726)</f>
        <v>7458</v>
      </c>
      <c r="AC743" s="757">
        <f>SUM(AC713:AC729)</f>
        <v>8156</v>
      </c>
      <c r="AD743" s="757">
        <f>SUM(AD713:AD729)</f>
        <v>7888</v>
      </c>
      <c r="AE743" s="757">
        <f>SUM(AE713:AE729)</f>
        <v>12650</v>
      </c>
      <c r="AF743" s="757">
        <f>SUM(AF713:AF729)</f>
        <v>12920</v>
      </c>
      <c r="AG743" s="763">
        <f>SUM(AG713:AG726)</f>
        <v>12920</v>
      </c>
      <c r="AH743" s="757">
        <f>SUM(AH713:AH729)</f>
        <v>13033</v>
      </c>
      <c r="AI743" s="757">
        <f>SUM(AI713:AI729)</f>
        <v>10796</v>
      </c>
      <c r="AJ743" s="757">
        <f>SUM(AJ713:AJ729)</f>
        <v>9997</v>
      </c>
      <c r="AK743" s="757">
        <f>SUM(AK713:AK729)</f>
        <v>10716</v>
      </c>
      <c r="AL743" s="763">
        <f>SUM(AL713:AL726)</f>
        <v>10716</v>
      </c>
      <c r="AM743" s="757">
        <f>SUM(AM713:AM729)</f>
        <v>11431</v>
      </c>
      <c r="AN743" s="757">
        <f>SUM(AN713:AN729)</f>
        <v>11116</v>
      </c>
      <c r="AO743" s="757">
        <f>SUM(AO713:AO729)</f>
        <v>9390</v>
      </c>
      <c r="AP743" s="757">
        <f>SUM(AP713:AP729)</f>
        <v>9045</v>
      </c>
      <c r="AQ743" s="763">
        <f>SUM(AQ713:AQ726)</f>
        <v>9045</v>
      </c>
      <c r="AR743" s="757">
        <f>SUM(AR713:AR729)</f>
        <v>9545</v>
      </c>
      <c r="AS743" s="757">
        <f>SUM(AS713:AS729)</f>
        <v>10049</v>
      </c>
      <c r="AT743" s="757">
        <f>SUM(AT713:AT729)</f>
        <v>10189</v>
      </c>
      <c r="AU743" s="757">
        <f>SUM(AU713:AU729)</f>
        <v>10209</v>
      </c>
      <c r="AV743" s="763">
        <f>SUM(AV713:AV726)</f>
        <v>10209</v>
      </c>
      <c r="AW743" s="757">
        <f>SUM(AW713:AW729)</f>
        <v>10725</v>
      </c>
      <c r="AX743" s="757">
        <f>SUM(AX713:AX729)</f>
        <v>11062</v>
      </c>
      <c r="AY743" s="757">
        <f>SUM(AY713:AY729)</f>
        <v>11062</v>
      </c>
      <c r="AZ743" s="757">
        <f>SUM(AZ713:AZ729)</f>
        <v>11062</v>
      </c>
      <c r="BA743" s="763">
        <f>SUM(BA713:BA726)</f>
        <v>11062</v>
      </c>
      <c r="BB743" s="757">
        <f>SUM(BB713:BB729)</f>
        <v>11563</v>
      </c>
      <c r="BC743" s="757">
        <f>SUM(BC713:BC729)</f>
        <v>11092</v>
      </c>
      <c r="BD743" s="757">
        <f>SUM(BD713:BD729)</f>
        <v>11092</v>
      </c>
      <c r="BE743" s="757">
        <f>SUM(BE713:BE729)</f>
        <v>11943</v>
      </c>
      <c r="BF743" s="763">
        <f>SUM(BF713:BF726)</f>
        <v>11943</v>
      </c>
      <c r="BG743" s="757">
        <f>SUM(BG713:BG729)</f>
        <v>12323</v>
      </c>
      <c r="BH743" s="757">
        <f>SUM(BH713:BH729)</f>
        <v>12157</v>
      </c>
      <c r="BI743" s="757">
        <f>SUM(BI713:BI729)</f>
        <v>12157</v>
      </c>
      <c r="BJ743" s="757">
        <f>SUM(BJ713:BJ729)</f>
        <v>11513</v>
      </c>
      <c r="BK743" s="763">
        <f>SUM(BK713:BK726)</f>
        <v>11513</v>
      </c>
      <c r="BL743" s="757">
        <f>SUM(BL713:BL729)</f>
        <v>11513</v>
      </c>
      <c r="BM743" s="757">
        <f>SUM(BM713:BM729)</f>
        <v>10922</v>
      </c>
      <c r="BN743" s="757">
        <f>SUM(BN713:BN729)</f>
        <v>10686</v>
      </c>
      <c r="BO743" s="757">
        <f>SUM(BO713:BO729)</f>
        <v>10231</v>
      </c>
      <c r="BP743" s="763">
        <f>SUM(BP713:BP726)</f>
        <v>10231</v>
      </c>
      <c r="BQ743" s="757">
        <f>SUM(BQ713:BQ729)</f>
        <v>10231</v>
      </c>
      <c r="BR743" s="757">
        <f>SUM(BR713:BR729)</f>
        <v>9957</v>
      </c>
      <c r="BS743" s="757">
        <f>SUM(BS713:BS729)</f>
        <v>10064</v>
      </c>
      <c r="BT743" s="757">
        <f>SUM(BT713:BT729)</f>
        <v>10502</v>
      </c>
      <c r="BU743" s="763">
        <f>SUM(BU713:BU726)</f>
        <v>10502</v>
      </c>
      <c r="BV743" s="757">
        <f>SUM(BV713:BV729)</f>
        <v>10329</v>
      </c>
      <c r="BW743" s="757">
        <f>SUM(BW713:BW729)</f>
        <v>11719</v>
      </c>
      <c r="BX743" s="757">
        <f>SUM(BX713:BX729)</f>
        <v>11206</v>
      </c>
      <c r="BY743" s="757">
        <f>SUM(BY713:BY729)</f>
        <v>11501</v>
      </c>
      <c r="BZ743" s="763">
        <f>SUM(BZ713:BZ726)</f>
        <v>11501</v>
      </c>
      <c r="CA743" s="757">
        <f>SUM(CA713:CA729)</f>
        <v>11038</v>
      </c>
      <c r="CB743" s="757">
        <f>SUM(CB713:CB729)</f>
        <v>11038</v>
      </c>
      <c r="CC743" s="757">
        <f>SUM(CC713:CC729)</f>
        <v>10823</v>
      </c>
      <c r="CD743" s="757">
        <f>SUM(CD713:CD729)</f>
        <v>10643</v>
      </c>
      <c r="CE743" s="763">
        <f>SUM(CE713:CE726)</f>
        <v>10643</v>
      </c>
      <c r="CF743" s="757">
        <f>SUM(CF713:CF729)</f>
        <v>10643</v>
      </c>
      <c r="CG743" s="757">
        <f>SUM(CG713:CG729)</f>
        <v>10643</v>
      </c>
      <c r="CH743">
        <f>SUM(CH710:CH728)</f>
        <v>11048</v>
      </c>
      <c r="CI743">
        <f>SUM(CI710:CI742)</f>
        <v>20839</v>
      </c>
      <c r="CJ743">
        <f t="shared" ref="CJ743:CV743" si="1042">SUM(CJ710:CJ742)</f>
        <v>20839</v>
      </c>
      <c r="CK743">
        <f t="shared" si="1042"/>
        <v>20837</v>
      </c>
      <c r="CL743">
        <f t="shared" si="1042"/>
        <v>19631</v>
      </c>
      <c r="CM743">
        <f t="shared" si="1042"/>
        <v>19637</v>
      </c>
      <c r="CN743">
        <f t="shared" si="1042"/>
        <v>18269</v>
      </c>
      <c r="CO743">
        <f t="shared" si="1042"/>
        <v>18269</v>
      </c>
      <c r="CP743">
        <f>SUM(CP710:CP742)</f>
        <v>18269</v>
      </c>
      <c r="CQ743">
        <f>SUM(CQ710:CQ742)</f>
        <v>18269</v>
      </c>
      <c r="CR743">
        <f>SUM(CR710:CR742)</f>
        <v>18269</v>
      </c>
      <c r="CS743">
        <f>SUM(CS710:CS742)</f>
        <v>18269</v>
      </c>
      <c r="CT743">
        <f>SUM(CT710:CT742)</f>
        <v>18269</v>
      </c>
      <c r="CU743">
        <f t="shared" si="1042"/>
        <v>18269</v>
      </c>
      <c r="CV743">
        <f t="shared" si="1042"/>
        <v>18269</v>
      </c>
      <c r="CW743" s="374"/>
      <c r="CX743" s="374"/>
      <c r="CY743" s="374"/>
      <c r="CZ743" s="374"/>
      <c r="DA743" s="374"/>
      <c r="DB743" s="217"/>
    </row>
    <row r="744" spans="1:106" x14ac:dyDescent="0.2">
      <c r="A744" s="1432"/>
      <c r="B744" s="651"/>
      <c r="C744" s="236"/>
      <c r="D744" s="207"/>
      <c r="E744" s="207"/>
      <c r="F744" s="207"/>
      <c r="G744" s="234"/>
      <c r="H744" s="763"/>
      <c r="I744" s="757"/>
      <c r="J744" s="757"/>
      <c r="K744" s="757"/>
      <c r="L744" s="757"/>
      <c r="M744" s="763"/>
      <c r="N744" s="757"/>
      <c r="O744" s="757"/>
      <c r="P744" s="757"/>
      <c r="Q744" s="757"/>
      <c r="R744" s="763"/>
      <c r="S744" s="757"/>
      <c r="T744" s="757"/>
      <c r="U744" s="757"/>
      <c r="V744" s="757"/>
      <c r="W744" s="763"/>
      <c r="X744" s="757"/>
      <c r="Y744" s="757"/>
      <c r="Z744" s="757"/>
      <c r="AA744" s="757"/>
      <c r="AB744" s="763"/>
      <c r="AC744" s="757"/>
      <c r="AD744" s="757"/>
      <c r="AE744" s="757"/>
      <c r="AF744" s="757"/>
      <c r="AG744" s="763"/>
      <c r="AH744" s="757"/>
      <c r="AI744" s="757"/>
      <c r="AJ744" s="757"/>
      <c r="AK744" s="757"/>
      <c r="AL744" s="763"/>
      <c r="AM744" s="757"/>
      <c r="AN744" s="757"/>
      <c r="AO744" s="757"/>
      <c r="AP744" s="757"/>
      <c r="AQ744" s="763"/>
      <c r="AR744" s="757"/>
      <c r="AS744" s="757"/>
      <c r="AT744" s="757"/>
      <c r="AU744" s="757"/>
      <c r="AV744" s="763"/>
      <c r="AW744" s="757"/>
      <c r="AX744" s="757"/>
      <c r="AY744" s="757"/>
      <c r="AZ744" s="757"/>
      <c r="BA744" s="763"/>
      <c r="BB744" s="757"/>
      <c r="BC744" s="757"/>
      <c r="BD744" s="757"/>
      <c r="BE744" s="757"/>
      <c r="BF744" s="763"/>
      <c r="BG744" s="757"/>
      <c r="BH744" s="757"/>
      <c r="BI744" s="757"/>
      <c r="BJ744" s="757"/>
      <c r="BK744" s="763"/>
      <c r="BL744" s="757"/>
      <c r="BM744" s="757"/>
      <c r="BN744" s="757"/>
      <c r="BO744" s="757"/>
      <c r="BP744" s="194"/>
      <c r="BQ744" s="757"/>
      <c r="BR744" s="757"/>
      <c r="BS744" s="757"/>
      <c r="BT744" s="757"/>
      <c r="BU744" s="194"/>
      <c r="BV744" s="757"/>
      <c r="BW744" s="757"/>
      <c r="BX744" s="757"/>
      <c r="BY744" s="757"/>
      <c r="BZ744" s="194"/>
      <c r="CA744" s="757"/>
      <c r="CB744" s="757"/>
      <c r="CC744" s="757"/>
      <c r="CD744" s="757"/>
      <c r="CE744" s="194"/>
      <c r="CF744" s="757"/>
      <c r="CG744" s="757"/>
      <c r="CH744" s="757"/>
      <c r="CI744" s="757"/>
      <c r="CJ744" s="194"/>
      <c r="CK744" s="3523"/>
      <c r="CL744" s="757"/>
      <c r="CM744" s="757"/>
      <c r="CN744" s="757"/>
      <c r="CO744" s="194"/>
      <c r="CP744"/>
      <c r="CQ744" s="1248"/>
      <c r="CR744" s="1248"/>
      <c r="CS744" s="1249"/>
      <c r="CT744" s="194"/>
      <c r="CU744" s="194"/>
      <c r="CV744" s="194"/>
      <c r="CW744" s="374"/>
      <c r="CX744" s="374"/>
      <c r="CY744" s="374"/>
      <c r="CZ744" s="374"/>
      <c r="DA744" s="374"/>
      <c r="DB744" s="217"/>
    </row>
    <row r="745" spans="1:106" x14ac:dyDescent="0.2">
      <c r="A745" s="1263" t="s">
        <v>9</v>
      </c>
      <c r="B745" s="651"/>
      <c r="C745" s="236"/>
      <c r="D745" s="207"/>
      <c r="E745" s="207"/>
      <c r="F745" s="207"/>
      <c r="G745" s="234"/>
      <c r="H745" s="236"/>
      <c r="I745" s="207"/>
      <c r="J745" s="207"/>
      <c r="K745" s="207"/>
      <c r="L745" s="234"/>
      <c r="M745" s="236"/>
      <c r="N745" s="207"/>
      <c r="O745" s="207"/>
      <c r="P745" s="207"/>
      <c r="Q745" s="234"/>
      <c r="R745" s="236"/>
      <c r="S745" s="207"/>
      <c r="T745" s="207"/>
      <c r="U745" s="207"/>
      <c r="V745" s="234"/>
      <c r="W745" s="236"/>
      <c r="X745" s="207"/>
      <c r="Y745" s="207"/>
      <c r="Z745" s="207"/>
      <c r="AA745" s="234"/>
      <c r="AB745" s="236"/>
      <c r="AC745" s="207"/>
      <c r="AD745" s="207"/>
      <c r="AE745" s="207"/>
      <c r="AF745" s="234"/>
      <c r="AG745" s="236"/>
      <c r="AH745" s="207"/>
      <c r="AI745" s="207"/>
      <c r="AJ745" s="207"/>
      <c r="AK745" s="234"/>
      <c r="AL745" s="236"/>
      <c r="AM745" s="207"/>
      <c r="AN745" s="207"/>
      <c r="AO745" s="207"/>
      <c r="AP745" s="234"/>
      <c r="AQ745" s="236"/>
      <c r="AR745" s="207"/>
      <c r="AS745" s="207"/>
      <c r="AT745" s="207"/>
      <c r="AU745" s="234"/>
      <c r="AV745" s="236"/>
      <c r="AW745" s="207"/>
      <c r="AX745" s="207"/>
      <c r="AY745" s="207"/>
      <c r="AZ745" s="234"/>
      <c r="BA745" s="236"/>
      <c r="BB745" s="207"/>
      <c r="BC745" s="207"/>
      <c r="BD745" s="207"/>
      <c r="BE745" s="234"/>
      <c r="BF745" s="236"/>
      <c r="BG745" s="207"/>
      <c r="BH745" s="207"/>
      <c r="BI745" s="207"/>
      <c r="BJ745" s="234"/>
      <c r="BK745" s="236"/>
      <c r="BL745" s="234"/>
      <c r="BM745" s="234"/>
      <c r="BN745" s="234"/>
      <c r="BO745" s="234"/>
      <c r="BP745" s="194"/>
      <c r="BQ745" s="234"/>
      <c r="BR745" s="234"/>
      <c r="BS745" s="234"/>
      <c r="BT745" s="234"/>
      <c r="BU745" s="194"/>
      <c r="BV745" s="234"/>
      <c r="BW745" s="234"/>
      <c r="BX745" s="234"/>
      <c r="BY745" s="234"/>
      <c r="BZ745" s="194"/>
      <c r="CA745" s="234"/>
      <c r="CB745" s="234"/>
      <c r="CC745" s="234"/>
      <c r="CD745" s="234"/>
      <c r="CE745" s="194"/>
      <c r="CF745" s="234"/>
      <c r="CG745" s="234"/>
      <c r="CH745" s="234"/>
      <c r="CI745" s="234"/>
      <c r="CJ745" s="194"/>
      <c r="CK745" s="3515"/>
      <c r="CL745" s="234"/>
      <c r="CM745" s="234"/>
      <c r="CN745" s="234"/>
      <c r="CO745" s="236"/>
      <c r="CP745"/>
      <c r="CQ745" s="234"/>
      <c r="CR745" s="234"/>
      <c r="CS745" s="208"/>
      <c r="CT745" s="236"/>
      <c r="CU745" s="194"/>
      <c r="CV745" s="194"/>
      <c r="CW745" s="374"/>
      <c r="CX745" s="374"/>
      <c r="CY745" s="374"/>
      <c r="CZ745" s="374"/>
      <c r="DA745" s="374"/>
      <c r="DB745" s="217"/>
    </row>
    <row r="746" spans="1:106" x14ac:dyDescent="0.2">
      <c r="A746" s="2632" t="s">
        <v>456</v>
      </c>
      <c r="B746" s="651"/>
      <c r="C746" s="236"/>
      <c r="D746" s="207"/>
      <c r="E746" s="207"/>
      <c r="F746" s="207"/>
      <c r="G746" s="234"/>
      <c r="H746" s="236"/>
      <c r="I746" s="207"/>
      <c r="J746" s="207"/>
      <c r="K746" s="207"/>
      <c r="L746" s="234"/>
      <c r="M746" s="236"/>
      <c r="N746" s="234"/>
      <c r="O746" s="234"/>
      <c r="P746" s="234"/>
      <c r="Q746" s="234"/>
      <c r="R746" s="236"/>
      <c r="S746" s="234"/>
      <c r="T746" s="234"/>
      <c r="U746" s="234"/>
      <c r="V746" s="234"/>
      <c r="W746" s="236"/>
      <c r="X746" s="234"/>
      <c r="Y746" s="234"/>
      <c r="Z746" s="234"/>
      <c r="AA746" s="234"/>
      <c r="AB746" s="236"/>
      <c r="AC746" s="234"/>
      <c r="AD746" s="234"/>
      <c r="AE746" s="234"/>
      <c r="AF746" s="234"/>
      <c r="AG746" s="236"/>
      <c r="AH746" s="234"/>
      <c r="AI746" s="234"/>
      <c r="AJ746" s="234"/>
      <c r="AK746" s="234"/>
      <c r="AL746" s="236"/>
      <c r="AM746" s="234"/>
      <c r="AN746" s="234"/>
      <c r="AO746" s="234"/>
      <c r="AP746" s="234"/>
      <c r="AQ746" s="236"/>
      <c r="AR746" s="234"/>
      <c r="AS746" s="234"/>
      <c r="AT746" s="234"/>
      <c r="AU746" s="234"/>
      <c r="AV746" s="236"/>
      <c r="AW746" s="234"/>
      <c r="AX746" s="234"/>
      <c r="AY746" s="234"/>
      <c r="AZ746" s="234"/>
      <c r="BA746" s="236"/>
      <c r="BB746" s="234"/>
      <c r="BC746" s="234"/>
      <c r="BD746" s="234"/>
      <c r="BE746" s="234"/>
      <c r="BF746" s="236"/>
      <c r="BG746" s="234"/>
      <c r="BH746" s="234"/>
      <c r="BI746" s="234"/>
      <c r="BJ746" s="234"/>
      <c r="BK746" s="236"/>
      <c r="BL746" s="212"/>
      <c r="BM746" s="212"/>
      <c r="BN746" s="212"/>
      <c r="BO746" s="212"/>
      <c r="BP746" s="194"/>
      <c r="BQ746" s="212"/>
      <c r="BR746" s="212"/>
      <c r="BS746" s="212"/>
      <c r="BT746" s="212"/>
      <c r="BU746" s="194"/>
      <c r="BV746" s="212"/>
      <c r="BW746" s="212"/>
      <c r="BX746" s="212"/>
      <c r="BY746" s="212"/>
      <c r="BZ746" s="194"/>
      <c r="CA746" s="212"/>
      <c r="CB746" s="212"/>
      <c r="CC746" s="212"/>
      <c r="CD746" s="212"/>
      <c r="CE746" s="194"/>
      <c r="CF746" s="212"/>
      <c r="CG746" s="212"/>
      <c r="CH746" s="847">
        <f t="shared" ref="CH746:CV746" si="1043">CH460+CH604</f>
        <v>27629</v>
      </c>
      <c r="CI746" s="847">
        <f t="shared" si="1043"/>
        <v>28620</v>
      </c>
      <c r="CJ746" s="194">
        <f t="shared" si="1043"/>
        <v>28620</v>
      </c>
      <c r="CK746" s="2350">
        <f t="shared" si="1043"/>
        <v>28620</v>
      </c>
      <c r="CL746" s="847">
        <f t="shared" si="1043"/>
        <v>28624</v>
      </c>
      <c r="CM746" s="847">
        <f t="shared" si="1043"/>
        <v>28634</v>
      </c>
      <c r="CN746" s="847">
        <f t="shared" si="1043"/>
        <v>29184</v>
      </c>
      <c r="CO746" s="236">
        <f t="shared" si="1043"/>
        <v>29184</v>
      </c>
      <c r="CP746" s="973">
        <f t="shared" ref="CP746:CT753" si="1044">CP460+CP604</f>
        <v>29760.15</v>
      </c>
      <c r="CQ746" s="847">
        <f t="shared" si="1044"/>
        <v>29953.48</v>
      </c>
      <c r="CR746" s="847">
        <f t="shared" si="1044"/>
        <v>29963.68</v>
      </c>
      <c r="CS746" s="1431">
        <f t="shared" si="1044"/>
        <v>30532.68</v>
      </c>
      <c r="CT746" s="236">
        <f t="shared" si="1044"/>
        <v>30532.68</v>
      </c>
      <c r="CU746" s="194">
        <f t="shared" si="1043"/>
        <v>31852.8711</v>
      </c>
      <c r="CV746" s="194">
        <f t="shared" si="1043"/>
        <v>32280.620849999999</v>
      </c>
      <c r="CW746" s="374"/>
      <c r="CX746" s="374"/>
      <c r="CY746" s="374"/>
      <c r="CZ746" s="374"/>
      <c r="DA746" s="374"/>
      <c r="DB746" s="217"/>
    </row>
    <row r="747" spans="1:106" x14ac:dyDescent="0.2">
      <c r="A747" s="1264" t="s">
        <v>346</v>
      </c>
      <c r="B747" s="651"/>
      <c r="C747" s="236"/>
      <c r="D747" s="207"/>
      <c r="E747" s="207"/>
      <c r="F747" s="207"/>
      <c r="G747" s="234"/>
      <c r="H747" s="661"/>
      <c r="I747" s="847">
        <f t="shared" ref="I747:AN747" si="1045">I461+I605</f>
        <v>102440</v>
      </c>
      <c r="J747" s="847">
        <f t="shared" si="1045"/>
        <v>104008</v>
      </c>
      <c r="K747" s="847">
        <f t="shared" si="1045"/>
        <v>105891</v>
      </c>
      <c r="L747" s="847">
        <f t="shared" si="1045"/>
        <v>104714</v>
      </c>
      <c r="M747" s="661">
        <f t="shared" si="1045"/>
        <v>104714</v>
      </c>
      <c r="N747" s="847">
        <f t="shared" si="1045"/>
        <v>105359</v>
      </c>
      <c r="O747" s="847">
        <f t="shared" si="1045"/>
        <v>106290</v>
      </c>
      <c r="P747" s="847">
        <f t="shared" si="1045"/>
        <v>107050</v>
      </c>
      <c r="Q747" s="847">
        <f t="shared" si="1045"/>
        <v>109727</v>
      </c>
      <c r="R747" s="661">
        <f t="shared" si="1045"/>
        <v>109727</v>
      </c>
      <c r="S747" s="847">
        <f t="shared" si="1045"/>
        <v>110647</v>
      </c>
      <c r="T747" s="847">
        <f t="shared" si="1045"/>
        <v>111981</v>
      </c>
      <c r="U747" s="847">
        <f t="shared" si="1045"/>
        <v>113993</v>
      </c>
      <c r="V747" s="847">
        <f t="shared" si="1045"/>
        <v>113990</v>
      </c>
      <c r="W747" s="661">
        <f t="shared" si="1045"/>
        <v>113990</v>
      </c>
      <c r="X747" s="847">
        <f t="shared" si="1045"/>
        <v>112186</v>
      </c>
      <c r="Y747" s="847">
        <f t="shared" si="1045"/>
        <v>113658</v>
      </c>
      <c r="Z747" s="847">
        <f t="shared" si="1045"/>
        <v>115020</v>
      </c>
      <c r="AA747" s="847">
        <f t="shared" si="1045"/>
        <v>115384</v>
      </c>
      <c r="AB747" s="661">
        <f t="shared" si="1045"/>
        <v>115384</v>
      </c>
      <c r="AC747" s="847">
        <f t="shared" si="1045"/>
        <v>113515</v>
      </c>
      <c r="AD747" s="847">
        <f t="shared" si="1045"/>
        <v>121242</v>
      </c>
      <c r="AE747" s="847">
        <f t="shared" si="1045"/>
        <v>120841</v>
      </c>
      <c r="AF747" s="847">
        <f t="shared" si="1045"/>
        <v>121311</v>
      </c>
      <c r="AG747" s="661">
        <f t="shared" si="1045"/>
        <v>121311</v>
      </c>
      <c r="AH747" s="847">
        <f t="shared" si="1045"/>
        <v>120783</v>
      </c>
      <c r="AI747" s="847">
        <f t="shared" si="1045"/>
        <v>121477</v>
      </c>
      <c r="AJ747" s="847">
        <f t="shared" si="1045"/>
        <v>121670</v>
      </c>
      <c r="AK747" s="847">
        <f t="shared" si="1045"/>
        <v>121338</v>
      </c>
      <c r="AL747" s="661">
        <f t="shared" si="1045"/>
        <v>121338</v>
      </c>
      <c r="AM747" s="847">
        <f t="shared" si="1045"/>
        <v>121015</v>
      </c>
      <c r="AN747" s="847">
        <f t="shared" si="1045"/>
        <v>121463</v>
      </c>
      <c r="AO747" s="847">
        <f t="shared" ref="AO747:BT747" si="1046">AO461+AO605</f>
        <v>121964</v>
      </c>
      <c r="AP747" s="847">
        <f t="shared" si="1046"/>
        <v>122994</v>
      </c>
      <c r="AQ747" s="661">
        <f t="shared" si="1046"/>
        <v>122994</v>
      </c>
      <c r="AR747" s="847">
        <f t="shared" si="1046"/>
        <v>122891</v>
      </c>
      <c r="AS747" s="847">
        <f t="shared" si="1046"/>
        <v>122882</v>
      </c>
      <c r="AT747" s="847">
        <f t="shared" si="1046"/>
        <v>123895</v>
      </c>
      <c r="AU747" s="847">
        <f t="shared" si="1046"/>
        <v>124284</v>
      </c>
      <c r="AV747" s="661">
        <f t="shared" si="1046"/>
        <v>124284</v>
      </c>
      <c r="AW747" s="847">
        <f t="shared" si="1046"/>
        <v>125403</v>
      </c>
      <c r="AX747" s="847">
        <f t="shared" si="1046"/>
        <v>125885</v>
      </c>
      <c r="AY747" s="847">
        <f t="shared" si="1046"/>
        <v>125318</v>
      </c>
      <c r="AZ747" s="847">
        <f t="shared" si="1046"/>
        <v>126843</v>
      </c>
      <c r="BA747" s="661">
        <f t="shared" si="1046"/>
        <v>126843</v>
      </c>
      <c r="BB747" s="847">
        <f t="shared" si="1046"/>
        <v>128861</v>
      </c>
      <c r="BC747" s="847">
        <f t="shared" si="1046"/>
        <v>128718</v>
      </c>
      <c r="BD747" s="847">
        <f t="shared" si="1046"/>
        <v>128881</v>
      </c>
      <c r="BE747" s="847">
        <f t="shared" si="1046"/>
        <v>130614</v>
      </c>
      <c r="BF747" s="661">
        <f t="shared" si="1046"/>
        <v>130614</v>
      </c>
      <c r="BG747" s="847">
        <f t="shared" si="1046"/>
        <v>130628</v>
      </c>
      <c r="BH747" s="847">
        <f t="shared" si="1046"/>
        <v>131618</v>
      </c>
      <c r="BI747" s="847">
        <f t="shared" si="1046"/>
        <v>131366</v>
      </c>
      <c r="BJ747" s="847">
        <f t="shared" si="1046"/>
        <v>131220</v>
      </c>
      <c r="BK747" s="661">
        <f t="shared" si="1046"/>
        <v>131220</v>
      </c>
      <c r="BL747" s="847">
        <f t="shared" si="1046"/>
        <v>130263</v>
      </c>
      <c r="BM747" s="847">
        <f t="shared" si="1046"/>
        <v>129803</v>
      </c>
      <c r="BN747" s="847">
        <f t="shared" si="1046"/>
        <v>129270</v>
      </c>
      <c r="BO747" s="847">
        <f t="shared" si="1046"/>
        <v>130886</v>
      </c>
      <c r="BP747" s="194">
        <f t="shared" si="1046"/>
        <v>130886</v>
      </c>
      <c r="BQ747" s="847">
        <f t="shared" si="1046"/>
        <v>131978</v>
      </c>
      <c r="BR747" s="847">
        <f t="shared" si="1046"/>
        <v>131530</v>
      </c>
      <c r="BS747" s="847">
        <f t="shared" si="1046"/>
        <v>131326</v>
      </c>
      <c r="BT747" s="847">
        <f t="shared" si="1046"/>
        <v>130639</v>
      </c>
      <c r="BU747" s="194">
        <f t="shared" ref="BU747:CG747" si="1047">BU461+BU605</f>
        <v>130639</v>
      </c>
      <c r="BV747" s="847">
        <f t="shared" si="1047"/>
        <v>131423</v>
      </c>
      <c r="BW747" s="847">
        <f t="shared" si="1047"/>
        <v>132706</v>
      </c>
      <c r="BX747" s="847">
        <f t="shared" si="1047"/>
        <v>132755</v>
      </c>
      <c r="BY747" s="847">
        <f t="shared" si="1047"/>
        <v>135078</v>
      </c>
      <c r="BZ747" s="194">
        <f t="shared" si="1047"/>
        <v>135078</v>
      </c>
      <c r="CA747" s="847">
        <f t="shared" si="1047"/>
        <v>135067</v>
      </c>
      <c r="CB747" s="847">
        <f t="shared" si="1047"/>
        <v>136853</v>
      </c>
      <c r="CC747" s="847">
        <f t="shared" si="1047"/>
        <v>137923</v>
      </c>
      <c r="CD747" s="847">
        <f t="shared" si="1047"/>
        <v>138506</v>
      </c>
      <c r="CE747" s="194">
        <f t="shared" si="1047"/>
        <v>138506</v>
      </c>
      <c r="CF747" s="847">
        <f t="shared" si="1047"/>
        <v>138218</v>
      </c>
      <c r="CG747" s="847">
        <f t="shared" si="1047"/>
        <v>136682</v>
      </c>
      <c r="CH747" s="847">
        <f t="shared" ref="CH747:CV747" si="1048">CH461+CH605</f>
        <v>109611</v>
      </c>
      <c r="CI747" s="847">
        <f t="shared" si="1048"/>
        <v>112987</v>
      </c>
      <c r="CJ747" s="194">
        <f t="shared" si="1048"/>
        <v>112987</v>
      </c>
      <c r="CK747" s="2350">
        <f t="shared" ref="CK747:CK759" si="1049">CK461+CK605</f>
        <v>113641</v>
      </c>
      <c r="CL747" s="847">
        <f t="shared" si="1048"/>
        <v>114450</v>
      </c>
      <c r="CM747" s="847">
        <f t="shared" si="1048"/>
        <v>115889</v>
      </c>
      <c r="CN747" s="847">
        <f t="shared" si="1048"/>
        <v>116780</v>
      </c>
      <c r="CO747" s="236">
        <f t="shared" si="1048"/>
        <v>116780</v>
      </c>
      <c r="CP747" s="973">
        <f t="shared" si="1044"/>
        <v>117271.38</v>
      </c>
      <c r="CQ747" s="847">
        <f t="shared" si="1044"/>
        <v>118583.56</v>
      </c>
      <c r="CR747" s="847">
        <f t="shared" si="1044"/>
        <v>120059.3</v>
      </c>
      <c r="CS747" s="1431">
        <f t="shared" si="1044"/>
        <v>121017.44</v>
      </c>
      <c r="CT747" s="236">
        <f t="shared" si="1044"/>
        <v>121017.44</v>
      </c>
      <c r="CU747" s="194">
        <f t="shared" si="1048"/>
        <v>125201.74540000001</v>
      </c>
      <c r="CV747" s="194">
        <f t="shared" si="1048"/>
        <v>126265.15923600001</v>
      </c>
      <c r="CW747" s="374"/>
      <c r="CX747" s="374"/>
      <c r="CY747" s="374"/>
      <c r="CZ747" s="374"/>
      <c r="DA747" s="374"/>
      <c r="DB747" s="217"/>
    </row>
    <row r="748" spans="1:106" x14ac:dyDescent="0.2">
      <c r="A748" s="1264" t="s">
        <v>1385</v>
      </c>
      <c r="B748" s="651"/>
      <c r="C748" s="236"/>
      <c r="D748" s="207"/>
      <c r="E748" s="207"/>
      <c r="F748" s="207"/>
      <c r="G748" s="234"/>
      <c r="H748" s="661"/>
      <c r="I748" s="847">
        <f t="shared" ref="I748:AN748" si="1050">I462+I606</f>
        <v>30856</v>
      </c>
      <c r="J748" s="847">
        <f t="shared" si="1050"/>
        <v>31100</v>
      </c>
      <c r="K748" s="847">
        <f t="shared" si="1050"/>
        <v>31159</v>
      </c>
      <c r="L748" s="847">
        <f t="shared" si="1050"/>
        <v>32713</v>
      </c>
      <c r="M748" s="661">
        <f t="shared" si="1050"/>
        <v>32713</v>
      </c>
      <c r="N748" s="847">
        <f t="shared" si="1050"/>
        <v>33081</v>
      </c>
      <c r="O748" s="847">
        <f t="shared" si="1050"/>
        <v>33035</v>
      </c>
      <c r="P748" s="847">
        <f t="shared" si="1050"/>
        <v>32742</v>
      </c>
      <c r="Q748" s="847">
        <f t="shared" si="1050"/>
        <v>32381</v>
      </c>
      <c r="R748" s="661">
        <f t="shared" si="1050"/>
        <v>32381</v>
      </c>
      <c r="S748" s="847">
        <f t="shared" si="1050"/>
        <v>33013</v>
      </c>
      <c r="T748" s="847">
        <f t="shared" si="1050"/>
        <v>32486</v>
      </c>
      <c r="U748" s="847">
        <f t="shared" si="1050"/>
        <v>32574</v>
      </c>
      <c r="V748" s="847">
        <f t="shared" si="1050"/>
        <v>32807</v>
      </c>
      <c r="W748" s="661">
        <f t="shared" si="1050"/>
        <v>32807</v>
      </c>
      <c r="X748" s="847">
        <f t="shared" si="1050"/>
        <v>32803</v>
      </c>
      <c r="Y748" s="847">
        <f t="shared" si="1050"/>
        <v>33274</v>
      </c>
      <c r="Z748" s="847">
        <f t="shared" si="1050"/>
        <v>33720</v>
      </c>
      <c r="AA748" s="847">
        <f t="shared" si="1050"/>
        <v>33320</v>
      </c>
      <c r="AB748" s="661">
        <f t="shared" si="1050"/>
        <v>33320</v>
      </c>
      <c r="AC748" s="847">
        <f t="shared" si="1050"/>
        <v>33700</v>
      </c>
      <c r="AD748" s="847">
        <f t="shared" si="1050"/>
        <v>34203</v>
      </c>
      <c r="AE748" s="847">
        <f t="shared" si="1050"/>
        <v>29389</v>
      </c>
      <c r="AF748" s="847">
        <f t="shared" si="1050"/>
        <v>28841</v>
      </c>
      <c r="AG748" s="661">
        <f t="shared" si="1050"/>
        <v>28841</v>
      </c>
      <c r="AH748" s="847">
        <f t="shared" si="1050"/>
        <v>29672</v>
      </c>
      <c r="AI748" s="847">
        <f t="shared" si="1050"/>
        <v>30734</v>
      </c>
      <c r="AJ748" s="847">
        <f t="shared" si="1050"/>
        <v>32013</v>
      </c>
      <c r="AK748" s="847">
        <f t="shared" si="1050"/>
        <v>31745</v>
      </c>
      <c r="AL748" s="661">
        <f t="shared" si="1050"/>
        <v>31745</v>
      </c>
      <c r="AM748" s="847">
        <f t="shared" si="1050"/>
        <v>32113</v>
      </c>
      <c r="AN748" s="847">
        <f t="shared" si="1050"/>
        <v>32516</v>
      </c>
      <c r="AO748" s="847">
        <f t="shared" ref="AO748:BT748" si="1051">AO462+AO606</f>
        <v>32934</v>
      </c>
      <c r="AP748" s="847">
        <f t="shared" si="1051"/>
        <v>32210</v>
      </c>
      <c r="AQ748" s="661">
        <f t="shared" si="1051"/>
        <v>32210</v>
      </c>
      <c r="AR748" s="847">
        <f t="shared" si="1051"/>
        <v>32396</v>
      </c>
      <c r="AS748" s="847">
        <f t="shared" si="1051"/>
        <v>31740</v>
      </c>
      <c r="AT748" s="847">
        <f t="shared" si="1051"/>
        <v>32285</v>
      </c>
      <c r="AU748" s="847">
        <f t="shared" si="1051"/>
        <v>32210</v>
      </c>
      <c r="AV748" s="661">
        <f t="shared" si="1051"/>
        <v>32210</v>
      </c>
      <c r="AW748" s="847">
        <f t="shared" si="1051"/>
        <v>33164</v>
      </c>
      <c r="AX748" s="847">
        <f t="shared" si="1051"/>
        <v>33291</v>
      </c>
      <c r="AY748" s="847">
        <f t="shared" si="1051"/>
        <v>32959</v>
      </c>
      <c r="AZ748" s="847">
        <f t="shared" si="1051"/>
        <v>32362</v>
      </c>
      <c r="BA748" s="661">
        <f t="shared" si="1051"/>
        <v>32362</v>
      </c>
      <c r="BB748" s="847">
        <f t="shared" si="1051"/>
        <v>32196</v>
      </c>
      <c r="BC748" s="847">
        <f t="shared" si="1051"/>
        <v>32695</v>
      </c>
      <c r="BD748" s="847">
        <f t="shared" si="1051"/>
        <v>33062</v>
      </c>
      <c r="BE748" s="847">
        <f t="shared" si="1051"/>
        <v>31336</v>
      </c>
      <c r="BF748" s="661">
        <f t="shared" si="1051"/>
        <v>31336</v>
      </c>
      <c r="BG748" s="847">
        <f t="shared" si="1051"/>
        <v>32306</v>
      </c>
      <c r="BH748" s="847">
        <f t="shared" si="1051"/>
        <v>31951</v>
      </c>
      <c r="BI748" s="847">
        <f t="shared" si="1051"/>
        <v>32176</v>
      </c>
      <c r="BJ748" s="847">
        <f t="shared" si="1051"/>
        <v>32960</v>
      </c>
      <c r="BK748" s="661">
        <f t="shared" si="1051"/>
        <v>32960</v>
      </c>
      <c r="BL748" s="847">
        <f t="shared" si="1051"/>
        <v>32613</v>
      </c>
      <c r="BM748" s="847">
        <f t="shared" si="1051"/>
        <v>33114</v>
      </c>
      <c r="BN748" s="847">
        <f t="shared" si="1051"/>
        <v>32871</v>
      </c>
      <c r="BO748" s="847">
        <f t="shared" si="1051"/>
        <v>32425</v>
      </c>
      <c r="BP748" s="194">
        <f t="shared" si="1051"/>
        <v>32425</v>
      </c>
      <c r="BQ748" s="847">
        <f t="shared" si="1051"/>
        <v>31743</v>
      </c>
      <c r="BR748" s="847">
        <f t="shared" si="1051"/>
        <v>32033</v>
      </c>
      <c r="BS748" s="847">
        <f t="shared" si="1051"/>
        <v>31515</v>
      </c>
      <c r="BT748" s="847">
        <f t="shared" si="1051"/>
        <v>31028</v>
      </c>
      <c r="BU748" s="194">
        <f t="shared" ref="BU748:CG748" si="1052">BU462+BU606</f>
        <v>31028</v>
      </c>
      <c r="BV748" s="847">
        <f t="shared" si="1052"/>
        <v>30809</v>
      </c>
      <c r="BW748" s="847">
        <f t="shared" si="1052"/>
        <v>31368</v>
      </c>
      <c r="BX748" s="847">
        <f t="shared" si="1052"/>
        <v>31200</v>
      </c>
      <c r="BY748" s="847">
        <f t="shared" si="1052"/>
        <v>31044</v>
      </c>
      <c r="BZ748" s="194">
        <f t="shared" si="1052"/>
        <v>31044</v>
      </c>
      <c r="CA748" s="847">
        <f t="shared" si="1052"/>
        <v>30605</v>
      </c>
      <c r="CB748" s="847">
        <f t="shared" si="1052"/>
        <v>30405</v>
      </c>
      <c r="CC748" s="847">
        <f t="shared" si="1052"/>
        <v>28364</v>
      </c>
      <c r="CD748" s="847">
        <f t="shared" si="1052"/>
        <v>28364</v>
      </c>
      <c r="CE748" s="194">
        <f t="shared" si="1052"/>
        <v>28364</v>
      </c>
      <c r="CF748" s="847">
        <f t="shared" si="1052"/>
        <v>28122</v>
      </c>
      <c r="CG748" s="847">
        <f t="shared" si="1052"/>
        <v>28136</v>
      </c>
      <c r="CH748" s="847">
        <f t="shared" ref="CH748:CV748" si="1053">CH462+CH606</f>
        <v>27832</v>
      </c>
      <c r="CI748" s="847">
        <f t="shared" si="1053"/>
        <v>27796</v>
      </c>
      <c r="CJ748" s="194">
        <f t="shared" si="1053"/>
        <v>27796</v>
      </c>
      <c r="CK748" s="2350">
        <f t="shared" si="1049"/>
        <v>27526</v>
      </c>
      <c r="CL748" s="847">
        <f t="shared" si="1053"/>
        <v>28017</v>
      </c>
      <c r="CM748" s="847">
        <f t="shared" si="1053"/>
        <v>28322</v>
      </c>
      <c r="CN748" s="847">
        <f t="shared" si="1053"/>
        <v>28729</v>
      </c>
      <c r="CO748" s="236">
        <f t="shared" si="1053"/>
        <v>28729</v>
      </c>
      <c r="CP748" s="973">
        <f t="shared" si="1044"/>
        <v>28553.55</v>
      </c>
      <c r="CQ748" s="847">
        <f t="shared" si="1044"/>
        <v>29224.86</v>
      </c>
      <c r="CR748" s="847">
        <f t="shared" si="1044"/>
        <v>29535.960000000003</v>
      </c>
      <c r="CS748" s="1431">
        <f t="shared" si="1044"/>
        <v>29967.620000000003</v>
      </c>
      <c r="CT748" s="236">
        <f t="shared" si="1044"/>
        <v>29967.620000000003</v>
      </c>
      <c r="CU748" s="194">
        <f t="shared" si="1053"/>
        <v>31182.869500000001</v>
      </c>
      <c r="CV748" s="194">
        <f t="shared" si="1053"/>
        <v>31554.167466000003</v>
      </c>
      <c r="CW748" s="374"/>
      <c r="CX748" s="374"/>
      <c r="CY748" s="374"/>
      <c r="CZ748" s="374"/>
      <c r="DA748" s="374"/>
      <c r="DB748" s="217"/>
    </row>
    <row r="749" spans="1:106" x14ac:dyDescent="0.2">
      <c r="A749" s="1264" t="s">
        <v>512</v>
      </c>
      <c r="B749" s="651"/>
      <c r="C749" s="236"/>
      <c r="D749" s="207"/>
      <c r="E749" s="207"/>
      <c r="F749" s="207"/>
      <c r="G749" s="234"/>
      <c r="H749" s="661"/>
      <c r="I749" s="847">
        <f t="shared" ref="I749:AN749" si="1054">I463+I607</f>
        <v>0</v>
      </c>
      <c r="J749" s="847">
        <f t="shared" si="1054"/>
        <v>0</v>
      </c>
      <c r="K749" s="847">
        <f t="shared" si="1054"/>
        <v>0</v>
      </c>
      <c r="L749" s="847">
        <f t="shared" si="1054"/>
        <v>0</v>
      </c>
      <c r="M749" s="661">
        <f t="shared" si="1054"/>
        <v>0</v>
      </c>
      <c r="N749" s="847">
        <f t="shared" si="1054"/>
        <v>0</v>
      </c>
      <c r="O749" s="847">
        <f t="shared" si="1054"/>
        <v>0</v>
      </c>
      <c r="P749" s="847">
        <f t="shared" si="1054"/>
        <v>0</v>
      </c>
      <c r="Q749" s="847">
        <f t="shared" si="1054"/>
        <v>0</v>
      </c>
      <c r="R749" s="661">
        <f t="shared" si="1054"/>
        <v>0</v>
      </c>
      <c r="S749" s="847">
        <f t="shared" si="1054"/>
        <v>0</v>
      </c>
      <c r="T749" s="847">
        <f t="shared" si="1054"/>
        <v>0</v>
      </c>
      <c r="U749" s="847">
        <f t="shared" si="1054"/>
        <v>0</v>
      </c>
      <c r="V749" s="847">
        <f t="shared" si="1054"/>
        <v>0</v>
      </c>
      <c r="W749" s="661">
        <f t="shared" si="1054"/>
        <v>0</v>
      </c>
      <c r="X749" s="847">
        <f t="shared" si="1054"/>
        <v>0</v>
      </c>
      <c r="Y749" s="847">
        <f t="shared" si="1054"/>
        <v>0</v>
      </c>
      <c r="Z749" s="847">
        <f t="shared" si="1054"/>
        <v>0</v>
      </c>
      <c r="AA749" s="847">
        <f t="shared" si="1054"/>
        <v>0</v>
      </c>
      <c r="AB749" s="661">
        <f t="shared" si="1054"/>
        <v>0</v>
      </c>
      <c r="AC749" s="847">
        <f t="shared" si="1054"/>
        <v>0</v>
      </c>
      <c r="AD749" s="847">
        <f t="shared" si="1054"/>
        <v>0</v>
      </c>
      <c r="AE749" s="847">
        <f t="shared" si="1054"/>
        <v>0</v>
      </c>
      <c r="AF749" s="847">
        <f t="shared" si="1054"/>
        <v>0</v>
      </c>
      <c r="AG749" s="661">
        <f t="shared" si="1054"/>
        <v>0</v>
      </c>
      <c r="AH749" s="847">
        <f t="shared" si="1054"/>
        <v>0</v>
      </c>
      <c r="AI749" s="847">
        <f t="shared" si="1054"/>
        <v>0</v>
      </c>
      <c r="AJ749" s="847">
        <f t="shared" si="1054"/>
        <v>0</v>
      </c>
      <c r="AK749" s="847">
        <f t="shared" si="1054"/>
        <v>0</v>
      </c>
      <c r="AL749" s="661">
        <f t="shared" si="1054"/>
        <v>0</v>
      </c>
      <c r="AM749" s="847">
        <f t="shared" si="1054"/>
        <v>0</v>
      </c>
      <c r="AN749" s="847">
        <f t="shared" si="1054"/>
        <v>0</v>
      </c>
      <c r="AO749" s="847">
        <f t="shared" ref="AO749:BT749" si="1055">AO463+AO607</f>
        <v>0</v>
      </c>
      <c r="AP749" s="847">
        <f t="shared" si="1055"/>
        <v>0</v>
      </c>
      <c r="AQ749" s="661">
        <f t="shared" si="1055"/>
        <v>0</v>
      </c>
      <c r="AR749" s="847">
        <f t="shared" si="1055"/>
        <v>0</v>
      </c>
      <c r="AS749" s="847">
        <f t="shared" si="1055"/>
        <v>0</v>
      </c>
      <c r="AT749" s="847">
        <f t="shared" si="1055"/>
        <v>0</v>
      </c>
      <c r="AU749" s="847">
        <f t="shared" si="1055"/>
        <v>0</v>
      </c>
      <c r="AV749" s="661">
        <f t="shared" si="1055"/>
        <v>0</v>
      </c>
      <c r="AW749" s="847">
        <f t="shared" si="1055"/>
        <v>0</v>
      </c>
      <c r="AX749" s="847">
        <f t="shared" si="1055"/>
        <v>0</v>
      </c>
      <c r="AY749" s="847">
        <f t="shared" si="1055"/>
        <v>0</v>
      </c>
      <c r="AZ749" s="847">
        <f t="shared" si="1055"/>
        <v>0</v>
      </c>
      <c r="BA749" s="661">
        <f t="shared" si="1055"/>
        <v>0</v>
      </c>
      <c r="BB749" s="847">
        <f t="shared" si="1055"/>
        <v>0</v>
      </c>
      <c r="BC749" s="847">
        <f t="shared" si="1055"/>
        <v>0</v>
      </c>
      <c r="BD749" s="847">
        <f t="shared" si="1055"/>
        <v>0</v>
      </c>
      <c r="BE749" s="847">
        <f t="shared" si="1055"/>
        <v>0</v>
      </c>
      <c r="BF749" s="661">
        <f t="shared" si="1055"/>
        <v>0</v>
      </c>
      <c r="BG749" s="847">
        <f t="shared" si="1055"/>
        <v>0</v>
      </c>
      <c r="BH749" s="847">
        <f t="shared" si="1055"/>
        <v>0</v>
      </c>
      <c r="BI749" s="847">
        <f t="shared" si="1055"/>
        <v>0</v>
      </c>
      <c r="BJ749" s="847">
        <f t="shared" si="1055"/>
        <v>0</v>
      </c>
      <c r="BK749" s="661">
        <f t="shared" si="1055"/>
        <v>0</v>
      </c>
      <c r="BL749" s="847">
        <f t="shared" si="1055"/>
        <v>0</v>
      </c>
      <c r="BM749" s="847">
        <f t="shared" si="1055"/>
        <v>0</v>
      </c>
      <c r="BN749" s="847">
        <f t="shared" si="1055"/>
        <v>0</v>
      </c>
      <c r="BO749" s="847">
        <f t="shared" si="1055"/>
        <v>308</v>
      </c>
      <c r="BP749" s="194">
        <f t="shared" si="1055"/>
        <v>308</v>
      </c>
      <c r="BQ749" s="847">
        <f t="shared" si="1055"/>
        <v>308</v>
      </c>
      <c r="BR749" s="847">
        <f t="shared" si="1055"/>
        <v>308</v>
      </c>
      <c r="BS749" s="847">
        <f t="shared" si="1055"/>
        <v>308</v>
      </c>
      <c r="BT749" s="847">
        <f t="shared" si="1055"/>
        <v>395</v>
      </c>
      <c r="BU749" s="194">
        <f t="shared" ref="BU749:CG749" si="1056">BU463+BU607</f>
        <v>395</v>
      </c>
      <c r="BV749" s="847">
        <f t="shared" si="1056"/>
        <v>584</v>
      </c>
      <c r="BW749" s="847">
        <f t="shared" si="1056"/>
        <v>584</v>
      </c>
      <c r="BX749" s="847">
        <f t="shared" si="1056"/>
        <v>765</v>
      </c>
      <c r="BY749" s="847">
        <f t="shared" si="1056"/>
        <v>765</v>
      </c>
      <c r="BZ749" s="194">
        <f t="shared" si="1056"/>
        <v>765</v>
      </c>
      <c r="CA749" s="847">
        <f t="shared" si="1056"/>
        <v>765</v>
      </c>
      <c r="CB749" s="847">
        <f t="shared" si="1056"/>
        <v>765</v>
      </c>
      <c r="CC749" s="847">
        <f t="shared" si="1056"/>
        <v>1649</v>
      </c>
      <c r="CD749" s="847">
        <f t="shared" si="1056"/>
        <v>1649</v>
      </c>
      <c r="CE749" s="194">
        <f t="shared" si="1056"/>
        <v>1649</v>
      </c>
      <c r="CF749" s="847">
        <f t="shared" si="1056"/>
        <v>1649</v>
      </c>
      <c r="CG749" s="847">
        <f t="shared" si="1056"/>
        <v>1649</v>
      </c>
      <c r="CH749" s="847">
        <f t="shared" ref="CH749:CV749" si="1057">CH463+CH607</f>
        <v>1649</v>
      </c>
      <c r="CI749" s="847">
        <f t="shared" si="1057"/>
        <v>1735</v>
      </c>
      <c r="CJ749" s="194">
        <f t="shared" si="1057"/>
        <v>1735</v>
      </c>
      <c r="CK749" s="2350">
        <f t="shared" si="1049"/>
        <v>2521</v>
      </c>
      <c r="CL749" s="847">
        <f t="shared" si="1057"/>
        <v>2592</v>
      </c>
      <c r="CM749" s="847">
        <f t="shared" si="1057"/>
        <v>2445</v>
      </c>
      <c r="CN749" s="847">
        <f t="shared" si="1057"/>
        <v>2660</v>
      </c>
      <c r="CO749" s="236">
        <f t="shared" si="1057"/>
        <v>2660</v>
      </c>
      <c r="CP749" s="973">
        <f t="shared" si="1044"/>
        <v>2615.1</v>
      </c>
      <c r="CQ749" s="847">
        <f t="shared" si="1044"/>
        <v>2704.92</v>
      </c>
      <c r="CR749" s="847">
        <f t="shared" si="1044"/>
        <v>2552.1400000000003</v>
      </c>
      <c r="CS749" s="1431">
        <f t="shared" si="1044"/>
        <v>2771.44</v>
      </c>
      <c r="CT749" s="236">
        <f t="shared" si="1044"/>
        <v>2771.44</v>
      </c>
      <c r="CU749" s="194">
        <f t="shared" si="1057"/>
        <v>2880.8863999999999</v>
      </c>
      <c r="CV749" s="194">
        <f t="shared" si="1057"/>
        <v>2913.4512960000002</v>
      </c>
      <c r="CW749" s="374"/>
      <c r="CX749" s="374"/>
      <c r="CY749" s="374"/>
      <c r="CZ749" s="374"/>
      <c r="DA749" s="374"/>
      <c r="DB749" s="217"/>
    </row>
    <row r="750" spans="1:106" x14ac:dyDescent="0.2">
      <c r="A750" s="2632" t="s">
        <v>608</v>
      </c>
      <c r="B750" s="651"/>
      <c r="C750" s="236"/>
      <c r="D750" s="207"/>
      <c r="E750" s="207"/>
      <c r="F750" s="207"/>
      <c r="G750" s="234"/>
      <c r="H750" s="661"/>
      <c r="I750" s="847">
        <f t="shared" ref="I750:AN750" si="1058">I464+I608</f>
        <v>0</v>
      </c>
      <c r="J750" s="847">
        <f t="shared" si="1058"/>
        <v>0</v>
      </c>
      <c r="K750" s="847">
        <f t="shared" si="1058"/>
        <v>0</v>
      </c>
      <c r="L750" s="847">
        <f t="shared" si="1058"/>
        <v>0</v>
      </c>
      <c r="M750" s="661">
        <f t="shared" si="1058"/>
        <v>0</v>
      </c>
      <c r="N750" s="847">
        <f t="shared" si="1058"/>
        <v>0</v>
      </c>
      <c r="O750" s="847">
        <f t="shared" si="1058"/>
        <v>0</v>
      </c>
      <c r="P750" s="847">
        <f t="shared" si="1058"/>
        <v>0</v>
      </c>
      <c r="Q750" s="847">
        <f t="shared" si="1058"/>
        <v>0</v>
      </c>
      <c r="R750" s="661">
        <f t="shared" si="1058"/>
        <v>0</v>
      </c>
      <c r="S750" s="847">
        <f t="shared" si="1058"/>
        <v>0</v>
      </c>
      <c r="T750" s="847">
        <f t="shared" si="1058"/>
        <v>0</v>
      </c>
      <c r="U750" s="847">
        <f t="shared" si="1058"/>
        <v>0</v>
      </c>
      <c r="V750" s="847">
        <f t="shared" si="1058"/>
        <v>0</v>
      </c>
      <c r="W750" s="661">
        <f t="shared" si="1058"/>
        <v>0</v>
      </c>
      <c r="X750" s="847">
        <f t="shared" si="1058"/>
        <v>0</v>
      </c>
      <c r="Y750" s="847">
        <f t="shared" si="1058"/>
        <v>0</v>
      </c>
      <c r="Z750" s="847">
        <f t="shared" si="1058"/>
        <v>0</v>
      </c>
      <c r="AA750" s="847">
        <f t="shared" si="1058"/>
        <v>0</v>
      </c>
      <c r="AB750" s="661">
        <f t="shared" si="1058"/>
        <v>0</v>
      </c>
      <c r="AC750" s="847">
        <f t="shared" si="1058"/>
        <v>0</v>
      </c>
      <c r="AD750" s="847">
        <f t="shared" si="1058"/>
        <v>0</v>
      </c>
      <c r="AE750" s="847">
        <f t="shared" si="1058"/>
        <v>0</v>
      </c>
      <c r="AF750" s="847">
        <f t="shared" si="1058"/>
        <v>0</v>
      </c>
      <c r="AG750" s="661">
        <f t="shared" si="1058"/>
        <v>0</v>
      </c>
      <c r="AH750" s="847">
        <f t="shared" si="1058"/>
        <v>0</v>
      </c>
      <c r="AI750" s="847">
        <f t="shared" si="1058"/>
        <v>0</v>
      </c>
      <c r="AJ750" s="847">
        <f t="shared" si="1058"/>
        <v>0</v>
      </c>
      <c r="AK750" s="847">
        <f t="shared" si="1058"/>
        <v>0</v>
      </c>
      <c r="AL750" s="661">
        <f t="shared" si="1058"/>
        <v>0</v>
      </c>
      <c r="AM750" s="847">
        <f t="shared" si="1058"/>
        <v>0</v>
      </c>
      <c r="AN750" s="847">
        <f t="shared" si="1058"/>
        <v>0</v>
      </c>
      <c r="AO750" s="847">
        <f t="shared" ref="AO750:BT750" si="1059">AO464+AO608</f>
        <v>0</v>
      </c>
      <c r="AP750" s="847">
        <f t="shared" si="1059"/>
        <v>0</v>
      </c>
      <c r="AQ750" s="661">
        <f t="shared" si="1059"/>
        <v>0</v>
      </c>
      <c r="AR750" s="847">
        <f t="shared" si="1059"/>
        <v>0</v>
      </c>
      <c r="AS750" s="847">
        <f t="shared" si="1059"/>
        <v>0</v>
      </c>
      <c r="AT750" s="847">
        <f t="shared" si="1059"/>
        <v>0</v>
      </c>
      <c r="AU750" s="847">
        <f t="shared" si="1059"/>
        <v>0</v>
      </c>
      <c r="AV750" s="661">
        <f t="shared" si="1059"/>
        <v>0</v>
      </c>
      <c r="AW750" s="847">
        <f t="shared" si="1059"/>
        <v>0</v>
      </c>
      <c r="AX750" s="847">
        <f t="shared" si="1059"/>
        <v>0</v>
      </c>
      <c r="AY750" s="847">
        <f t="shared" si="1059"/>
        <v>0</v>
      </c>
      <c r="AZ750" s="847">
        <f t="shared" si="1059"/>
        <v>0</v>
      </c>
      <c r="BA750" s="661">
        <f t="shared" si="1059"/>
        <v>0</v>
      </c>
      <c r="BB750" s="847">
        <f t="shared" si="1059"/>
        <v>0</v>
      </c>
      <c r="BC750" s="847">
        <f t="shared" si="1059"/>
        <v>0</v>
      </c>
      <c r="BD750" s="847">
        <f t="shared" si="1059"/>
        <v>0</v>
      </c>
      <c r="BE750" s="847">
        <f t="shared" si="1059"/>
        <v>0</v>
      </c>
      <c r="BF750" s="661">
        <f t="shared" si="1059"/>
        <v>0</v>
      </c>
      <c r="BG750" s="847">
        <f t="shared" si="1059"/>
        <v>0</v>
      </c>
      <c r="BH750" s="847">
        <f t="shared" si="1059"/>
        <v>0</v>
      </c>
      <c r="BI750" s="847">
        <f t="shared" si="1059"/>
        <v>0</v>
      </c>
      <c r="BJ750" s="847">
        <f t="shared" si="1059"/>
        <v>0</v>
      </c>
      <c r="BK750" s="661">
        <f t="shared" si="1059"/>
        <v>0</v>
      </c>
      <c r="BL750" s="847">
        <f t="shared" si="1059"/>
        <v>0</v>
      </c>
      <c r="BM750" s="847">
        <f t="shared" si="1059"/>
        <v>0</v>
      </c>
      <c r="BN750" s="847">
        <f t="shared" si="1059"/>
        <v>0</v>
      </c>
      <c r="BO750" s="847">
        <f t="shared" si="1059"/>
        <v>0</v>
      </c>
      <c r="BP750" s="194">
        <f t="shared" si="1059"/>
        <v>0</v>
      </c>
      <c r="BQ750" s="847">
        <f t="shared" si="1059"/>
        <v>0</v>
      </c>
      <c r="BR750" s="847">
        <f t="shared" si="1059"/>
        <v>0</v>
      </c>
      <c r="BS750" s="847">
        <f t="shared" si="1059"/>
        <v>0</v>
      </c>
      <c r="BT750" s="847">
        <f t="shared" si="1059"/>
        <v>0</v>
      </c>
      <c r="BU750" s="194">
        <f t="shared" ref="BU750:CG750" si="1060">BU464+BU608</f>
        <v>0</v>
      </c>
      <c r="BV750" s="847">
        <f t="shared" si="1060"/>
        <v>0</v>
      </c>
      <c r="BW750" s="847">
        <f t="shared" si="1060"/>
        <v>0</v>
      </c>
      <c r="BX750" s="847">
        <f t="shared" si="1060"/>
        <v>0</v>
      </c>
      <c r="BY750" s="847">
        <f t="shared" si="1060"/>
        <v>0</v>
      </c>
      <c r="BZ750" s="194">
        <f t="shared" si="1060"/>
        <v>0</v>
      </c>
      <c r="CA750" s="847">
        <f t="shared" si="1060"/>
        <v>0</v>
      </c>
      <c r="CB750" s="847">
        <f t="shared" si="1060"/>
        <v>0</v>
      </c>
      <c r="CC750" s="847">
        <f t="shared" si="1060"/>
        <v>0</v>
      </c>
      <c r="CD750" s="847">
        <f t="shared" si="1060"/>
        <v>0</v>
      </c>
      <c r="CE750" s="194">
        <f t="shared" si="1060"/>
        <v>0</v>
      </c>
      <c r="CF750" s="847">
        <f t="shared" si="1060"/>
        <v>0</v>
      </c>
      <c r="CG750" s="847">
        <f t="shared" si="1060"/>
        <v>0</v>
      </c>
      <c r="CH750" s="847">
        <f t="shared" ref="CH750:CV750" si="1061">CH464+CH608</f>
        <v>0</v>
      </c>
      <c r="CI750" s="847">
        <f t="shared" si="1061"/>
        <v>0</v>
      </c>
      <c r="CJ750" s="194">
        <f t="shared" si="1061"/>
        <v>0</v>
      </c>
      <c r="CK750" s="2350">
        <f t="shared" si="1049"/>
        <v>0</v>
      </c>
      <c r="CL750" s="847">
        <f t="shared" si="1061"/>
        <v>0</v>
      </c>
      <c r="CM750" s="847">
        <f t="shared" si="1061"/>
        <v>0</v>
      </c>
      <c r="CN750" s="847">
        <f t="shared" si="1061"/>
        <v>469</v>
      </c>
      <c r="CO750" s="236">
        <f t="shared" si="1061"/>
        <v>469</v>
      </c>
      <c r="CP750" s="973">
        <f t="shared" si="1044"/>
        <v>0</v>
      </c>
      <c r="CQ750" s="847">
        <f t="shared" si="1044"/>
        <v>0</v>
      </c>
      <c r="CR750" s="847">
        <f t="shared" si="1044"/>
        <v>0</v>
      </c>
      <c r="CS750" s="1431">
        <f t="shared" si="1044"/>
        <v>469</v>
      </c>
      <c r="CT750" s="236">
        <f t="shared" si="1044"/>
        <v>469</v>
      </c>
      <c r="CU750" s="194">
        <f t="shared" si="1061"/>
        <v>469</v>
      </c>
      <c r="CV750" s="194">
        <f t="shared" si="1061"/>
        <v>469</v>
      </c>
      <c r="CW750" s="374"/>
      <c r="CX750" s="374"/>
      <c r="CY750" s="374"/>
      <c r="CZ750" s="374"/>
      <c r="DA750" s="374"/>
      <c r="DB750" s="217"/>
    </row>
    <row r="751" spans="1:106" x14ac:dyDescent="0.2">
      <c r="A751" s="1264" t="s">
        <v>510</v>
      </c>
      <c r="B751" s="651"/>
      <c r="C751" s="236"/>
      <c r="D751" s="207"/>
      <c r="E751" s="207"/>
      <c r="F751" s="207"/>
      <c r="G751" s="234"/>
      <c r="H751" s="661"/>
      <c r="I751" s="847">
        <f t="shared" ref="I751:AN751" si="1062">I465+I609</f>
        <v>13094</v>
      </c>
      <c r="J751" s="847">
        <f t="shared" si="1062"/>
        <v>13440</v>
      </c>
      <c r="K751" s="847">
        <f t="shared" si="1062"/>
        <v>13921</v>
      </c>
      <c r="L751" s="847">
        <f t="shared" si="1062"/>
        <v>14674</v>
      </c>
      <c r="M751" s="661">
        <f t="shared" si="1062"/>
        <v>14674</v>
      </c>
      <c r="N751" s="847">
        <f t="shared" si="1062"/>
        <v>15213</v>
      </c>
      <c r="O751" s="847">
        <f t="shared" si="1062"/>
        <v>15752</v>
      </c>
      <c r="P751" s="847">
        <f t="shared" si="1062"/>
        <v>15752</v>
      </c>
      <c r="Q751" s="847">
        <f t="shared" si="1062"/>
        <v>16366</v>
      </c>
      <c r="R751" s="661">
        <f t="shared" si="1062"/>
        <v>16366</v>
      </c>
      <c r="S751" s="847">
        <f t="shared" si="1062"/>
        <v>16716</v>
      </c>
      <c r="T751" s="847">
        <f t="shared" si="1062"/>
        <v>17010</v>
      </c>
      <c r="U751" s="847">
        <f t="shared" si="1062"/>
        <v>17594</v>
      </c>
      <c r="V751" s="847">
        <f t="shared" si="1062"/>
        <v>18147</v>
      </c>
      <c r="W751" s="661">
        <f t="shared" si="1062"/>
        <v>18147</v>
      </c>
      <c r="X751" s="847">
        <f t="shared" si="1062"/>
        <v>18142</v>
      </c>
      <c r="Y751" s="847">
        <f t="shared" si="1062"/>
        <v>18142</v>
      </c>
      <c r="Z751" s="847">
        <f t="shared" si="1062"/>
        <v>18111</v>
      </c>
      <c r="AA751" s="847">
        <f t="shared" si="1062"/>
        <v>18109</v>
      </c>
      <c r="AB751" s="661">
        <f t="shared" si="1062"/>
        <v>18109</v>
      </c>
      <c r="AC751" s="847">
        <f t="shared" si="1062"/>
        <v>18096</v>
      </c>
      <c r="AD751" s="847">
        <f t="shared" si="1062"/>
        <v>18429</v>
      </c>
      <c r="AE751" s="847">
        <f t="shared" si="1062"/>
        <v>18429</v>
      </c>
      <c r="AF751" s="847">
        <f t="shared" si="1062"/>
        <v>18831</v>
      </c>
      <c r="AG751" s="661">
        <f t="shared" si="1062"/>
        <v>18831</v>
      </c>
      <c r="AH751" s="847">
        <f t="shared" si="1062"/>
        <v>18928</v>
      </c>
      <c r="AI751" s="847">
        <f t="shared" si="1062"/>
        <v>18928</v>
      </c>
      <c r="AJ751" s="847">
        <f t="shared" si="1062"/>
        <v>18928</v>
      </c>
      <c r="AK751" s="847">
        <f t="shared" si="1062"/>
        <v>18952</v>
      </c>
      <c r="AL751" s="661">
        <f t="shared" si="1062"/>
        <v>18952</v>
      </c>
      <c r="AM751" s="847">
        <f t="shared" si="1062"/>
        <v>18881</v>
      </c>
      <c r="AN751" s="847">
        <f t="shared" si="1062"/>
        <v>19126</v>
      </c>
      <c r="AO751" s="847">
        <f t="shared" ref="AO751:BT751" si="1063">AO465+AO609</f>
        <v>20126</v>
      </c>
      <c r="AP751" s="847">
        <f t="shared" si="1063"/>
        <v>20901</v>
      </c>
      <c r="AQ751" s="661">
        <f t="shared" si="1063"/>
        <v>20901</v>
      </c>
      <c r="AR751" s="847">
        <f t="shared" si="1063"/>
        <v>20846</v>
      </c>
      <c r="AS751" s="847">
        <f t="shared" si="1063"/>
        <v>21263</v>
      </c>
      <c r="AT751" s="847">
        <f t="shared" si="1063"/>
        <v>21429</v>
      </c>
      <c r="AU751" s="847">
        <f t="shared" si="1063"/>
        <v>21579</v>
      </c>
      <c r="AV751" s="661">
        <f t="shared" si="1063"/>
        <v>21579</v>
      </c>
      <c r="AW751" s="847">
        <f t="shared" si="1063"/>
        <v>21875</v>
      </c>
      <c r="AX751" s="847">
        <f t="shared" si="1063"/>
        <v>21408</v>
      </c>
      <c r="AY751" s="847">
        <f t="shared" si="1063"/>
        <v>21408</v>
      </c>
      <c r="AZ751" s="847">
        <f t="shared" si="1063"/>
        <v>22028</v>
      </c>
      <c r="BA751" s="661">
        <f t="shared" si="1063"/>
        <v>22028</v>
      </c>
      <c r="BB751" s="847">
        <f t="shared" si="1063"/>
        <v>22017</v>
      </c>
      <c r="BC751" s="847">
        <f t="shared" si="1063"/>
        <v>21484</v>
      </c>
      <c r="BD751" s="847">
        <f t="shared" si="1063"/>
        <v>21770</v>
      </c>
      <c r="BE751" s="847">
        <f t="shared" si="1063"/>
        <v>21770</v>
      </c>
      <c r="BF751" s="661">
        <f t="shared" si="1063"/>
        <v>21770</v>
      </c>
      <c r="BG751" s="847">
        <f t="shared" si="1063"/>
        <v>22375</v>
      </c>
      <c r="BH751" s="847">
        <f t="shared" si="1063"/>
        <v>22687</v>
      </c>
      <c r="BI751" s="847">
        <f t="shared" si="1063"/>
        <v>22937</v>
      </c>
      <c r="BJ751" s="847">
        <f t="shared" si="1063"/>
        <v>23430</v>
      </c>
      <c r="BK751" s="661">
        <f t="shared" si="1063"/>
        <v>23430</v>
      </c>
      <c r="BL751" s="847">
        <f t="shared" si="1063"/>
        <v>23430</v>
      </c>
      <c r="BM751" s="847">
        <f t="shared" si="1063"/>
        <v>23527</v>
      </c>
      <c r="BN751" s="847">
        <f t="shared" si="1063"/>
        <v>23729</v>
      </c>
      <c r="BO751" s="847">
        <f t="shared" si="1063"/>
        <v>23614</v>
      </c>
      <c r="BP751" s="194">
        <f t="shared" si="1063"/>
        <v>23614</v>
      </c>
      <c r="BQ751" s="847">
        <f t="shared" si="1063"/>
        <v>24324</v>
      </c>
      <c r="BR751" s="847">
        <f t="shared" si="1063"/>
        <v>23858</v>
      </c>
      <c r="BS751" s="847">
        <f t="shared" si="1063"/>
        <v>23555</v>
      </c>
      <c r="BT751" s="847">
        <f t="shared" si="1063"/>
        <v>24837</v>
      </c>
      <c r="BU751" s="194">
        <f t="shared" ref="BU751:CG751" si="1064">BU465+BU609</f>
        <v>24837</v>
      </c>
      <c r="BV751" s="847">
        <f t="shared" si="1064"/>
        <v>24664</v>
      </c>
      <c r="BW751" s="847">
        <f t="shared" si="1064"/>
        <v>24924</v>
      </c>
      <c r="BX751" s="847">
        <f t="shared" si="1064"/>
        <v>24924</v>
      </c>
      <c r="BY751" s="847">
        <f t="shared" si="1064"/>
        <v>25361</v>
      </c>
      <c r="BZ751" s="194">
        <f t="shared" si="1064"/>
        <v>25361</v>
      </c>
      <c r="CA751" s="847">
        <f t="shared" si="1064"/>
        <v>25351</v>
      </c>
      <c r="CB751" s="847">
        <f t="shared" si="1064"/>
        <v>25595</v>
      </c>
      <c r="CC751" s="847">
        <f t="shared" si="1064"/>
        <v>25568</v>
      </c>
      <c r="CD751" s="847">
        <f t="shared" si="1064"/>
        <v>26150</v>
      </c>
      <c r="CE751" s="194">
        <f t="shared" si="1064"/>
        <v>26150</v>
      </c>
      <c r="CF751" s="847">
        <f t="shared" si="1064"/>
        <v>26127</v>
      </c>
      <c r="CG751" s="847">
        <f t="shared" si="1064"/>
        <v>26123</v>
      </c>
      <c r="CH751" s="847">
        <f t="shared" ref="CH751:CV751" si="1065">CH465+CH609</f>
        <v>25545</v>
      </c>
      <c r="CI751" s="847">
        <f t="shared" si="1065"/>
        <v>25884</v>
      </c>
      <c r="CJ751" s="194">
        <f t="shared" si="1065"/>
        <v>25884</v>
      </c>
      <c r="CK751" s="2350">
        <f t="shared" si="1049"/>
        <v>26088</v>
      </c>
      <c r="CL751" s="847">
        <f t="shared" si="1065"/>
        <v>26245</v>
      </c>
      <c r="CM751" s="847">
        <f t="shared" si="1065"/>
        <v>26711</v>
      </c>
      <c r="CN751" s="847">
        <f t="shared" si="1065"/>
        <v>26390</v>
      </c>
      <c r="CO751" s="236">
        <f t="shared" si="1065"/>
        <v>26390</v>
      </c>
      <c r="CP751" s="973">
        <f t="shared" si="1044"/>
        <v>27620.66</v>
      </c>
      <c r="CQ751" s="847">
        <f t="shared" si="1044"/>
        <v>27933.83</v>
      </c>
      <c r="CR751" s="847">
        <f t="shared" si="1044"/>
        <v>28431.300000000003</v>
      </c>
      <c r="CS751" s="1431">
        <f t="shared" si="1044"/>
        <v>28085.96</v>
      </c>
      <c r="CT751" s="236">
        <f t="shared" si="1044"/>
        <v>28085.96</v>
      </c>
      <c r="CU751" s="194">
        <f t="shared" si="1065"/>
        <v>29209.150600000001</v>
      </c>
      <c r="CV751" s="194">
        <f t="shared" si="1065"/>
        <v>29547.637644000002</v>
      </c>
      <c r="CW751" s="374"/>
      <c r="CX751" s="374"/>
      <c r="CY751" s="374"/>
      <c r="CZ751" s="374"/>
      <c r="DA751" s="374"/>
      <c r="DB751" s="217"/>
    </row>
    <row r="752" spans="1:106" x14ac:dyDescent="0.2">
      <c r="A752" s="1264" t="s">
        <v>511</v>
      </c>
      <c r="B752" s="651"/>
      <c r="C752" s="236"/>
      <c r="D752" s="207"/>
      <c r="E752" s="207"/>
      <c r="F752" s="207"/>
      <c r="G752" s="234"/>
      <c r="H752" s="661"/>
      <c r="I752" s="847">
        <f t="shared" ref="I752:AN752" si="1066">I466+I610</f>
        <v>0</v>
      </c>
      <c r="J752" s="847">
        <f t="shared" si="1066"/>
        <v>0</v>
      </c>
      <c r="K752" s="847">
        <f t="shared" si="1066"/>
        <v>0</v>
      </c>
      <c r="L752" s="847">
        <f t="shared" si="1066"/>
        <v>0</v>
      </c>
      <c r="M752" s="661">
        <f t="shared" si="1066"/>
        <v>0</v>
      </c>
      <c r="N752" s="847">
        <f t="shared" si="1066"/>
        <v>0</v>
      </c>
      <c r="O752" s="847">
        <f t="shared" si="1066"/>
        <v>0</v>
      </c>
      <c r="P752" s="847">
        <f t="shared" si="1066"/>
        <v>0</v>
      </c>
      <c r="Q752" s="847">
        <f t="shared" si="1066"/>
        <v>0</v>
      </c>
      <c r="R752" s="661">
        <f t="shared" si="1066"/>
        <v>0</v>
      </c>
      <c r="S752" s="847">
        <f t="shared" si="1066"/>
        <v>0</v>
      </c>
      <c r="T752" s="847">
        <f t="shared" si="1066"/>
        <v>0</v>
      </c>
      <c r="U752" s="847">
        <f t="shared" si="1066"/>
        <v>0</v>
      </c>
      <c r="V752" s="847">
        <f t="shared" si="1066"/>
        <v>0</v>
      </c>
      <c r="W752" s="661">
        <f t="shared" si="1066"/>
        <v>0</v>
      </c>
      <c r="X752" s="847">
        <f t="shared" si="1066"/>
        <v>0</v>
      </c>
      <c r="Y752" s="847">
        <f t="shared" si="1066"/>
        <v>58</v>
      </c>
      <c r="Z752" s="847">
        <f t="shared" si="1066"/>
        <v>58</v>
      </c>
      <c r="AA752" s="847">
        <f t="shared" si="1066"/>
        <v>58</v>
      </c>
      <c r="AB752" s="661">
        <f t="shared" si="1066"/>
        <v>58</v>
      </c>
      <c r="AC752" s="847">
        <f t="shared" si="1066"/>
        <v>58</v>
      </c>
      <c r="AD752" s="847">
        <f t="shared" si="1066"/>
        <v>58</v>
      </c>
      <c r="AE752" s="847">
        <f t="shared" si="1066"/>
        <v>58</v>
      </c>
      <c r="AF752" s="847">
        <f t="shared" si="1066"/>
        <v>58</v>
      </c>
      <c r="AG752" s="661">
        <f t="shared" si="1066"/>
        <v>58</v>
      </c>
      <c r="AH752" s="847">
        <f t="shared" si="1066"/>
        <v>58</v>
      </c>
      <c r="AI752" s="847">
        <f t="shared" si="1066"/>
        <v>58</v>
      </c>
      <c r="AJ752" s="847">
        <f t="shared" si="1066"/>
        <v>58</v>
      </c>
      <c r="AK752" s="847">
        <f t="shared" si="1066"/>
        <v>117</v>
      </c>
      <c r="AL752" s="661">
        <f t="shared" si="1066"/>
        <v>117</v>
      </c>
      <c r="AM752" s="847">
        <f t="shared" si="1066"/>
        <v>117</v>
      </c>
      <c r="AN752" s="847">
        <f t="shared" si="1066"/>
        <v>117</v>
      </c>
      <c r="AO752" s="847">
        <f t="shared" ref="AO752:BT752" si="1067">AO466+AO610</f>
        <v>117</v>
      </c>
      <c r="AP752" s="847">
        <f t="shared" si="1067"/>
        <v>117</v>
      </c>
      <c r="AQ752" s="661">
        <f t="shared" si="1067"/>
        <v>117</v>
      </c>
      <c r="AR752" s="847">
        <f t="shared" si="1067"/>
        <v>117</v>
      </c>
      <c r="AS752" s="847">
        <f t="shared" si="1067"/>
        <v>117</v>
      </c>
      <c r="AT752" s="847">
        <f t="shared" si="1067"/>
        <v>117</v>
      </c>
      <c r="AU752" s="847">
        <f t="shared" si="1067"/>
        <v>117</v>
      </c>
      <c r="AV752" s="661">
        <f t="shared" si="1067"/>
        <v>117</v>
      </c>
      <c r="AW752" s="847">
        <f t="shared" si="1067"/>
        <v>117</v>
      </c>
      <c r="AX752" s="847">
        <f t="shared" si="1067"/>
        <v>117</v>
      </c>
      <c r="AY752" s="847">
        <f t="shared" si="1067"/>
        <v>117</v>
      </c>
      <c r="AZ752" s="847">
        <f t="shared" si="1067"/>
        <v>117</v>
      </c>
      <c r="BA752" s="661">
        <f t="shared" si="1067"/>
        <v>117</v>
      </c>
      <c r="BB752" s="847">
        <f t="shared" si="1067"/>
        <v>117</v>
      </c>
      <c r="BC752" s="847">
        <f t="shared" si="1067"/>
        <v>117</v>
      </c>
      <c r="BD752" s="847">
        <f t="shared" si="1067"/>
        <v>117</v>
      </c>
      <c r="BE752" s="847">
        <f t="shared" si="1067"/>
        <v>117</v>
      </c>
      <c r="BF752" s="661">
        <f t="shared" si="1067"/>
        <v>117</v>
      </c>
      <c r="BG752" s="847">
        <f t="shared" si="1067"/>
        <v>117</v>
      </c>
      <c r="BH752" s="847">
        <f t="shared" si="1067"/>
        <v>117</v>
      </c>
      <c r="BI752" s="847">
        <f t="shared" si="1067"/>
        <v>117</v>
      </c>
      <c r="BJ752" s="847">
        <f t="shared" si="1067"/>
        <v>117</v>
      </c>
      <c r="BK752" s="661">
        <f t="shared" si="1067"/>
        <v>117</v>
      </c>
      <c r="BL752" s="847">
        <f t="shared" si="1067"/>
        <v>117</v>
      </c>
      <c r="BM752" s="847">
        <f t="shared" si="1067"/>
        <v>117</v>
      </c>
      <c r="BN752" s="847">
        <f t="shared" si="1067"/>
        <v>117</v>
      </c>
      <c r="BO752" s="847">
        <f t="shared" si="1067"/>
        <v>117</v>
      </c>
      <c r="BP752" s="194">
        <f t="shared" si="1067"/>
        <v>117</v>
      </c>
      <c r="BQ752" s="847">
        <f t="shared" si="1067"/>
        <v>117</v>
      </c>
      <c r="BR752" s="847">
        <f t="shared" si="1067"/>
        <v>117</v>
      </c>
      <c r="BS752" s="847">
        <f t="shared" si="1067"/>
        <v>117</v>
      </c>
      <c r="BT752" s="847">
        <f t="shared" si="1067"/>
        <v>117</v>
      </c>
      <c r="BU752" s="194">
        <f t="shared" ref="BU752:CG752" si="1068">BU466+BU610</f>
        <v>117</v>
      </c>
      <c r="BV752" s="847">
        <f t="shared" si="1068"/>
        <v>117</v>
      </c>
      <c r="BW752" s="847">
        <f t="shared" si="1068"/>
        <v>117</v>
      </c>
      <c r="BX752" s="847">
        <f t="shared" si="1068"/>
        <v>117</v>
      </c>
      <c r="BY752" s="847">
        <f t="shared" si="1068"/>
        <v>117</v>
      </c>
      <c r="BZ752" s="194">
        <f t="shared" si="1068"/>
        <v>117</v>
      </c>
      <c r="CA752" s="847">
        <f t="shared" si="1068"/>
        <v>117</v>
      </c>
      <c r="CB752" s="847">
        <f t="shared" si="1068"/>
        <v>117</v>
      </c>
      <c r="CC752" s="847">
        <f t="shared" si="1068"/>
        <v>117</v>
      </c>
      <c r="CD752" s="847">
        <f t="shared" si="1068"/>
        <v>117</v>
      </c>
      <c r="CE752" s="194">
        <f t="shared" si="1068"/>
        <v>117</v>
      </c>
      <c r="CF752" s="847">
        <f t="shared" si="1068"/>
        <v>117</v>
      </c>
      <c r="CG752" s="847">
        <f t="shared" si="1068"/>
        <v>117</v>
      </c>
      <c r="CH752" s="847">
        <f t="shared" ref="CH752:CV752" si="1069">CH466+CH610</f>
        <v>117</v>
      </c>
      <c r="CI752" s="847">
        <f t="shared" si="1069"/>
        <v>117</v>
      </c>
      <c r="CJ752" s="194">
        <f t="shared" si="1069"/>
        <v>117</v>
      </c>
      <c r="CK752" s="2350">
        <f t="shared" si="1049"/>
        <v>117</v>
      </c>
      <c r="CL752" s="847">
        <f t="shared" si="1069"/>
        <v>117</v>
      </c>
      <c r="CM752" s="847">
        <f t="shared" si="1069"/>
        <v>237</v>
      </c>
      <c r="CN752" s="847">
        <f t="shared" si="1069"/>
        <v>357</v>
      </c>
      <c r="CO752" s="236">
        <f t="shared" si="1069"/>
        <v>357</v>
      </c>
      <c r="CP752" s="973">
        <f t="shared" si="1044"/>
        <v>122.85000000000001</v>
      </c>
      <c r="CQ752" s="847">
        <f t="shared" si="1044"/>
        <v>124.02000000000001</v>
      </c>
      <c r="CR752" s="847">
        <f t="shared" si="1044"/>
        <v>251.22</v>
      </c>
      <c r="CS752" s="1431">
        <f t="shared" si="1044"/>
        <v>378.42</v>
      </c>
      <c r="CT752" s="236">
        <f t="shared" si="1044"/>
        <v>378.42</v>
      </c>
      <c r="CU752" s="194">
        <f t="shared" si="1069"/>
        <v>399.23309999999998</v>
      </c>
      <c r="CV752" s="194">
        <f t="shared" si="1069"/>
        <v>407.21776199999999</v>
      </c>
      <c r="CW752" s="374"/>
      <c r="CX752" s="374"/>
      <c r="CY752" s="374"/>
      <c r="CZ752" s="374"/>
      <c r="DA752" s="374"/>
      <c r="DB752" s="217"/>
    </row>
    <row r="753" spans="1:256" x14ac:dyDescent="0.2">
      <c r="A753" s="1264" t="s">
        <v>383</v>
      </c>
      <c r="B753" s="651"/>
      <c r="C753" s="236"/>
      <c r="D753" s="207"/>
      <c r="E753" s="207"/>
      <c r="F753" s="207"/>
      <c r="G753" s="234"/>
      <c r="H753" s="661"/>
      <c r="I753" s="847">
        <f t="shared" ref="I753:AN753" si="1070">I467+I611</f>
        <v>0</v>
      </c>
      <c r="J753" s="847">
        <f t="shared" si="1070"/>
        <v>0</v>
      </c>
      <c r="K753" s="847">
        <f t="shared" si="1070"/>
        <v>0</v>
      </c>
      <c r="L753" s="847">
        <f t="shared" si="1070"/>
        <v>0</v>
      </c>
      <c r="M753" s="661">
        <f t="shared" si="1070"/>
        <v>0</v>
      </c>
      <c r="N753" s="847">
        <f t="shared" si="1070"/>
        <v>0</v>
      </c>
      <c r="O753" s="847">
        <f t="shared" si="1070"/>
        <v>0</v>
      </c>
      <c r="P753" s="847">
        <f t="shared" si="1070"/>
        <v>0</v>
      </c>
      <c r="Q753" s="847">
        <f t="shared" si="1070"/>
        <v>0</v>
      </c>
      <c r="R753" s="661">
        <f t="shared" si="1070"/>
        <v>0</v>
      </c>
      <c r="S753" s="847">
        <f t="shared" si="1070"/>
        <v>0</v>
      </c>
      <c r="T753" s="847">
        <f t="shared" si="1070"/>
        <v>0</v>
      </c>
      <c r="U753" s="847">
        <f t="shared" si="1070"/>
        <v>0</v>
      </c>
      <c r="V753" s="847">
        <f t="shared" si="1070"/>
        <v>0</v>
      </c>
      <c r="W753" s="661">
        <f t="shared" si="1070"/>
        <v>0</v>
      </c>
      <c r="X753" s="847">
        <f t="shared" si="1070"/>
        <v>0</v>
      </c>
      <c r="Y753" s="847">
        <f t="shared" si="1070"/>
        <v>0</v>
      </c>
      <c r="Z753" s="847">
        <f t="shared" si="1070"/>
        <v>0</v>
      </c>
      <c r="AA753" s="847">
        <f t="shared" si="1070"/>
        <v>0</v>
      </c>
      <c r="AB753" s="661">
        <f t="shared" si="1070"/>
        <v>0</v>
      </c>
      <c r="AC753" s="847">
        <f t="shared" si="1070"/>
        <v>0</v>
      </c>
      <c r="AD753" s="847">
        <f t="shared" si="1070"/>
        <v>0</v>
      </c>
      <c r="AE753" s="847">
        <f t="shared" si="1070"/>
        <v>0</v>
      </c>
      <c r="AF753" s="847">
        <f t="shared" si="1070"/>
        <v>0</v>
      </c>
      <c r="AG753" s="661">
        <f t="shared" si="1070"/>
        <v>0</v>
      </c>
      <c r="AH753" s="847">
        <f t="shared" si="1070"/>
        <v>0</v>
      </c>
      <c r="AI753" s="847">
        <f t="shared" si="1070"/>
        <v>0</v>
      </c>
      <c r="AJ753" s="847">
        <f t="shared" si="1070"/>
        <v>0</v>
      </c>
      <c r="AK753" s="847">
        <f t="shared" si="1070"/>
        <v>0</v>
      </c>
      <c r="AL753" s="661">
        <f t="shared" si="1070"/>
        <v>0</v>
      </c>
      <c r="AM753" s="847">
        <f t="shared" si="1070"/>
        <v>0</v>
      </c>
      <c r="AN753" s="847">
        <f t="shared" si="1070"/>
        <v>0</v>
      </c>
      <c r="AO753" s="847">
        <f t="shared" ref="AO753:BJ753" si="1071">AO467+AO611</f>
        <v>0</v>
      </c>
      <c r="AP753" s="847">
        <f t="shared" si="1071"/>
        <v>0</v>
      </c>
      <c r="AQ753" s="661">
        <f t="shared" si="1071"/>
        <v>0</v>
      </c>
      <c r="AR753" s="847">
        <f t="shared" si="1071"/>
        <v>0</v>
      </c>
      <c r="AS753" s="847">
        <f t="shared" si="1071"/>
        <v>0</v>
      </c>
      <c r="AT753" s="847">
        <f t="shared" si="1071"/>
        <v>0</v>
      </c>
      <c r="AU753" s="847">
        <f t="shared" si="1071"/>
        <v>0</v>
      </c>
      <c r="AV753" s="661">
        <f t="shared" si="1071"/>
        <v>0</v>
      </c>
      <c r="AW753" s="847">
        <f t="shared" si="1071"/>
        <v>0</v>
      </c>
      <c r="AX753" s="847">
        <f t="shared" si="1071"/>
        <v>0</v>
      </c>
      <c r="AY753" s="847">
        <f t="shared" si="1071"/>
        <v>0</v>
      </c>
      <c r="AZ753" s="847">
        <f t="shared" si="1071"/>
        <v>0</v>
      </c>
      <c r="BA753" s="661">
        <f t="shared" si="1071"/>
        <v>0</v>
      </c>
      <c r="BB753" s="847">
        <f t="shared" si="1071"/>
        <v>0</v>
      </c>
      <c r="BC753" s="847">
        <f t="shared" si="1071"/>
        <v>0</v>
      </c>
      <c r="BD753" s="847">
        <f t="shared" si="1071"/>
        <v>0</v>
      </c>
      <c r="BE753" s="847">
        <f t="shared" si="1071"/>
        <v>353</v>
      </c>
      <c r="BF753" s="661">
        <f t="shared" si="1071"/>
        <v>353</v>
      </c>
      <c r="BG753" s="847">
        <f t="shared" si="1071"/>
        <v>431</v>
      </c>
      <c r="BH753" s="847">
        <f t="shared" si="1071"/>
        <v>431</v>
      </c>
      <c r="BI753" s="847">
        <f t="shared" si="1071"/>
        <v>78</v>
      </c>
      <c r="BJ753" s="847">
        <f t="shared" si="1071"/>
        <v>78</v>
      </c>
      <c r="BK753" s="661">
        <f>BJ753</f>
        <v>78</v>
      </c>
      <c r="BL753" s="847">
        <f t="shared" ref="BL753:BO759" si="1072">BL467+BL611</f>
        <v>78</v>
      </c>
      <c r="BM753" s="847">
        <f t="shared" si="1072"/>
        <v>78</v>
      </c>
      <c r="BN753" s="847">
        <f t="shared" si="1072"/>
        <v>78</v>
      </c>
      <c r="BO753" s="847">
        <f t="shared" si="1072"/>
        <v>78</v>
      </c>
      <c r="BP753" s="194">
        <f>BO753</f>
        <v>78</v>
      </c>
      <c r="BQ753" s="847">
        <f t="shared" ref="BQ753:BT759" si="1073">BQ467+BQ611</f>
        <v>78</v>
      </c>
      <c r="BR753" s="847">
        <f t="shared" si="1073"/>
        <v>78</v>
      </c>
      <c r="BS753" s="847">
        <f t="shared" si="1073"/>
        <v>78</v>
      </c>
      <c r="BT753" s="847">
        <f t="shared" si="1073"/>
        <v>78</v>
      </c>
      <c r="BU753" s="194">
        <f>BT753</f>
        <v>78</v>
      </c>
      <c r="BV753" s="847">
        <f t="shared" ref="BV753:BY759" si="1074">BV467+BV611</f>
        <v>251</v>
      </c>
      <c r="BW753" s="847">
        <f t="shared" si="1074"/>
        <v>251</v>
      </c>
      <c r="BX753" s="847">
        <f t="shared" si="1074"/>
        <v>173</v>
      </c>
      <c r="BY753" s="847">
        <f t="shared" si="1074"/>
        <v>173</v>
      </c>
      <c r="BZ753" s="194">
        <f>BY753</f>
        <v>173</v>
      </c>
      <c r="CA753" s="847">
        <f t="shared" ref="CA753:CD759" si="1075">CA467+CA611</f>
        <v>468</v>
      </c>
      <c r="CB753" s="847">
        <f t="shared" si="1075"/>
        <v>741</v>
      </c>
      <c r="CC753" s="847">
        <f t="shared" si="1075"/>
        <v>741</v>
      </c>
      <c r="CD753" s="847">
        <f t="shared" si="1075"/>
        <v>741</v>
      </c>
      <c r="CE753" s="194">
        <f>CD753</f>
        <v>741</v>
      </c>
      <c r="CF753" s="847">
        <f t="shared" ref="CF753:CI759" si="1076">CF467+CF611</f>
        <v>741</v>
      </c>
      <c r="CG753" s="847">
        <f t="shared" si="1076"/>
        <v>740</v>
      </c>
      <c r="CH753" s="847">
        <f t="shared" si="1076"/>
        <v>740</v>
      </c>
      <c r="CI753" s="847">
        <f t="shared" si="1076"/>
        <v>1266</v>
      </c>
      <c r="CJ753" s="194">
        <f>CI753</f>
        <v>1266</v>
      </c>
      <c r="CK753" s="2350">
        <f t="shared" si="1049"/>
        <v>1266</v>
      </c>
      <c r="CL753" s="847">
        <f t="shared" ref="CL753:CN759" si="1077">CL467+CL611</f>
        <v>1266</v>
      </c>
      <c r="CM753" s="847">
        <f t="shared" si="1077"/>
        <v>1266</v>
      </c>
      <c r="CN753" s="847">
        <f t="shared" si="1077"/>
        <v>1266</v>
      </c>
      <c r="CO753" s="236">
        <f>CN753</f>
        <v>1266</v>
      </c>
      <c r="CP753" s="973">
        <f t="shared" si="1044"/>
        <v>1340.64</v>
      </c>
      <c r="CQ753" s="847">
        <f t="shared" si="1044"/>
        <v>1347.63</v>
      </c>
      <c r="CR753" s="847">
        <f t="shared" si="1044"/>
        <v>1347.63</v>
      </c>
      <c r="CS753" s="1431">
        <f t="shared" si="1044"/>
        <v>1347.63</v>
      </c>
      <c r="CT753" s="236">
        <f>CS753</f>
        <v>1347.63</v>
      </c>
      <c r="CU753" s="194">
        <f t="shared" ref="CU753:CV759" si="1078">CU467+CU611</f>
        <v>1400.5155</v>
      </c>
      <c r="CV753" s="194">
        <f t="shared" si="1078"/>
        <v>1416.1493340000002</v>
      </c>
      <c r="CW753" s="374"/>
      <c r="CX753" s="374"/>
      <c r="CY753" s="374"/>
      <c r="CZ753" s="374"/>
      <c r="DA753" s="374"/>
      <c r="DB753" s="217"/>
    </row>
    <row r="754" spans="1:256" x14ac:dyDescent="0.2">
      <c r="A754" s="1264" t="s">
        <v>656</v>
      </c>
      <c r="B754" s="651"/>
      <c r="C754" s="236"/>
      <c r="D754" s="207"/>
      <c r="E754" s="207"/>
      <c r="F754" s="207"/>
      <c r="G754" s="234"/>
      <c r="H754" s="661"/>
      <c r="I754" s="847">
        <f t="shared" ref="I754:AN754" si="1079">I468+I612</f>
        <v>0</v>
      </c>
      <c r="J754" s="847">
        <f t="shared" si="1079"/>
        <v>0</v>
      </c>
      <c r="K754" s="847">
        <f t="shared" si="1079"/>
        <v>0</v>
      </c>
      <c r="L754" s="847">
        <f t="shared" si="1079"/>
        <v>0</v>
      </c>
      <c r="M754" s="661">
        <f t="shared" si="1079"/>
        <v>0</v>
      </c>
      <c r="N754" s="847">
        <f t="shared" si="1079"/>
        <v>0</v>
      </c>
      <c r="O754" s="847">
        <f t="shared" si="1079"/>
        <v>0</v>
      </c>
      <c r="P754" s="847">
        <f t="shared" si="1079"/>
        <v>0</v>
      </c>
      <c r="Q754" s="847">
        <f t="shared" si="1079"/>
        <v>0</v>
      </c>
      <c r="R754" s="661">
        <f t="shared" si="1079"/>
        <v>0</v>
      </c>
      <c r="S754" s="847">
        <f t="shared" si="1079"/>
        <v>0</v>
      </c>
      <c r="T754" s="847">
        <f t="shared" si="1079"/>
        <v>0</v>
      </c>
      <c r="U754" s="847">
        <f t="shared" si="1079"/>
        <v>0</v>
      </c>
      <c r="V754" s="847">
        <f t="shared" si="1079"/>
        <v>0</v>
      </c>
      <c r="W754" s="661">
        <f t="shared" si="1079"/>
        <v>0</v>
      </c>
      <c r="X754" s="847">
        <f t="shared" si="1079"/>
        <v>0</v>
      </c>
      <c r="Y754" s="847">
        <f t="shared" si="1079"/>
        <v>0</v>
      </c>
      <c r="Z754" s="847">
        <f t="shared" si="1079"/>
        <v>0</v>
      </c>
      <c r="AA754" s="847">
        <f t="shared" si="1079"/>
        <v>0</v>
      </c>
      <c r="AB754" s="661">
        <f t="shared" si="1079"/>
        <v>0</v>
      </c>
      <c r="AC754" s="847">
        <f t="shared" si="1079"/>
        <v>0</v>
      </c>
      <c r="AD754" s="847">
        <f t="shared" si="1079"/>
        <v>0</v>
      </c>
      <c r="AE754" s="847">
        <f t="shared" si="1079"/>
        <v>0</v>
      </c>
      <c r="AF754" s="847">
        <f t="shared" si="1079"/>
        <v>0</v>
      </c>
      <c r="AG754" s="661">
        <f t="shared" si="1079"/>
        <v>0</v>
      </c>
      <c r="AH754" s="847">
        <f t="shared" si="1079"/>
        <v>0</v>
      </c>
      <c r="AI754" s="847">
        <f t="shared" si="1079"/>
        <v>0</v>
      </c>
      <c r="AJ754" s="847">
        <f t="shared" si="1079"/>
        <v>0</v>
      </c>
      <c r="AK754" s="847">
        <f t="shared" si="1079"/>
        <v>0</v>
      </c>
      <c r="AL754" s="661">
        <f t="shared" si="1079"/>
        <v>0</v>
      </c>
      <c r="AM754" s="847">
        <f t="shared" si="1079"/>
        <v>0</v>
      </c>
      <c r="AN754" s="847">
        <f t="shared" si="1079"/>
        <v>0</v>
      </c>
      <c r="AO754" s="847">
        <f t="shared" ref="AO754:BJ754" si="1080">AO468+AO612</f>
        <v>0</v>
      </c>
      <c r="AP754" s="847">
        <f t="shared" si="1080"/>
        <v>0</v>
      </c>
      <c r="AQ754" s="661">
        <f t="shared" si="1080"/>
        <v>0</v>
      </c>
      <c r="AR754" s="847">
        <f t="shared" si="1080"/>
        <v>0</v>
      </c>
      <c r="AS754" s="847">
        <f t="shared" si="1080"/>
        <v>0</v>
      </c>
      <c r="AT754" s="847">
        <f t="shared" si="1080"/>
        <v>0</v>
      </c>
      <c r="AU754" s="847">
        <f t="shared" si="1080"/>
        <v>0</v>
      </c>
      <c r="AV754" s="661">
        <f t="shared" si="1080"/>
        <v>0</v>
      </c>
      <c r="AW754" s="847">
        <f t="shared" si="1080"/>
        <v>0</v>
      </c>
      <c r="AX754" s="847">
        <f t="shared" si="1080"/>
        <v>0</v>
      </c>
      <c r="AY754" s="847">
        <f t="shared" si="1080"/>
        <v>0</v>
      </c>
      <c r="AZ754" s="847">
        <f t="shared" si="1080"/>
        <v>0</v>
      </c>
      <c r="BA754" s="661">
        <f t="shared" si="1080"/>
        <v>0</v>
      </c>
      <c r="BB754" s="847">
        <f t="shared" si="1080"/>
        <v>0</v>
      </c>
      <c r="BC754" s="847">
        <f t="shared" si="1080"/>
        <v>0</v>
      </c>
      <c r="BD754" s="847">
        <f t="shared" si="1080"/>
        <v>0</v>
      </c>
      <c r="BE754" s="847">
        <f t="shared" si="1080"/>
        <v>0</v>
      </c>
      <c r="BF754" s="661">
        <f t="shared" si="1080"/>
        <v>0</v>
      </c>
      <c r="BG754" s="847">
        <f t="shared" si="1080"/>
        <v>0</v>
      </c>
      <c r="BH754" s="847">
        <f t="shared" si="1080"/>
        <v>0</v>
      </c>
      <c r="BI754" s="847">
        <f t="shared" si="1080"/>
        <v>0</v>
      </c>
      <c r="BJ754" s="847">
        <f t="shared" si="1080"/>
        <v>0</v>
      </c>
      <c r="BK754" s="661">
        <f t="shared" ref="BK754:BK759" si="1081">BK468+BK612</f>
        <v>0</v>
      </c>
      <c r="BL754" s="847">
        <f t="shared" si="1072"/>
        <v>0</v>
      </c>
      <c r="BM754" s="847">
        <f t="shared" si="1072"/>
        <v>0</v>
      </c>
      <c r="BN754" s="847">
        <f t="shared" si="1072"/>
        <v>0</v>
      </c>
      <c r="BO754" s="847">
        <f t="shared" si="1072"/>
        <v>0</v>
      </c>
      <c r="BP754" s="2060">
        <f t="shared" ref="BP754:BP759" si="1082">BP468+BP612</f>
        <v>0</v>
      </c>
      <c r="BQ754" s="723">
        <f t="shared" si="1073"/>
        <v>0</v>
      </c>
      <c r="BR754" s="723">
        <f t="shared" si="1073"/>
        <v>0</v>
      </c>
      <c r="BS754" s="723">
        <f t="shared" si="1073"/>
        <v>0</v>
      </c>
      <c r="BT754" s="723">
        <f t="shared" si="1073"/>
        <v>0</v>
      </c>
      <c r="BU754" s="2060">
        <f t="shared" ref="BU754:BU759" si="1083">BU468+BU612</f>
        <v>0</v>
      </c>
      <c r="BV754" s="723">
        <f t="shared" si="1074"/>
        <v>0</v>
      </c>
      <c r="BW754" s="723">
        <f t="shared" si="1074"/>
        <v>0</v>
      </c>
      <c r="BX754" s="723">
        <f t="shared" si="1074"/>
        <v>0</v>
      </c>
      <c r="BY754" s="723">
        <f t="shared" si="1074"/>
        <v>0</v>
      </c>
      <c r="BZ754" s="2060">
        <f t="shared" ref="BZ754:BZ759" si="1084">BZ468+BZ612</f>
        <v>0</v>
      </c>
      <c r="CA754" s="723">
        <f t="shared" si="1075"/>
        <v>0</v>
      </c>
      <c r="CB754" s="723">
        <f t="shared" si="1075"/>
        <v>0</v>
      </c>
      <c r="CC754" s="723">
        <f t="shared" si="1075"/>
        <v>0</v>
      </c>
      <c r="CD754" s="723">
        <f t="shared" si="1075"/>
        <v>0</v>
      </c>
      <c r="CE754" s="2060">
        <f t="shared" ref="CE754:CE759" si="1085">CE468+CE612</f>
        <v>0</v>
      </c>
      <c r="CF754" s="723">
        <f t="shared" si="1076"/>
        <v>0</v>
      </c>
      <c r="CG754" s="723">
        <f t="shared" si="1076"/>
        <v>0</v>
      </c>
      <c r="CH754" s="723">
        <f t="shared" si="1076"/>
        <v>0</v>
      </c>
      <c r="CI754" s="723">
        <f t="shared" si="1076"/>
        <v>0</v>
      </c>
      <c r="CJ754" s="2060">
        <f t="shared" ref="CJ754:CJ759" si="1086">CJ468+CJ612</f>
        <v>0</v>
      </c>
      <c r="CK754" s="3097">
        <f t="shared" si="1049"/>
        <v>0</v>
      </c>
      <c r="CL754" s="723">
        <f t="shared" si="1077"/>
        <v>0</v>
      </c>
      <c r="CM754" s="723">
        <f t="shared" si="1077"/>
        <v>0</v>
      </c>
      <c r="CN754" s="723">
        <f t="shared" si="1077"/>
        <v>0</v>
      </c>
      <c r="CO754" s="2970">
        <f t="shared" ref="CO754:CS759" si="1087">CO468+CO612</f>
        <v>0</v>
      </c>
      <c r="CP754" s="973">
        <f t="shared" si="1087"/>
        <v>0</v>
      </c>
      <c r="CQ754" s="847">
        <f t="shared" si="1087"/>
        <v>0</v>
      </c>
      <c r="CR754" s="847">
        <f t="shared" si="1087"/>
        <v>0</v>
      </c>
      <c r="CS754" s="1431">
        <f t="shared" si="1087"/>
        <v>0</v>
      </c>
      <c r="CT754" s="2970">
        <f t="shared" ref="CT754:CT759" si="1088">CT468+CT612</f>
        <v>0</v>
      </c>
      <c r="CU754" s="2060">
        <f t="shared" si="1078"/>
        <v>0</v>
      </c>
      <c r="CV754" s="2060">
        <f t="shared" si="1078"/>
        <v>0</v>
      </c>
      <c r="CW754" s="374"/>
      <c r="CX754" s="374"/>
      <c r="CY754" s="374"/>
      <c r="CZ754" s="374"/>
      <c r="DA754" s="374"/>
      <c r="DB754" s="217"/>
    </row>
    <row r="755" spans="1:256" x14ac:dyDescent="0.2">
      <c r="A755" s="1264" t="s">
        <v>1386</v>
      </c>
      <c r="B755" s="651"/>
      <c r="C755" s="236"/>
      <c r="D755" s="207"/>
      <c r="E755" s="207"/>
      <c r="F755" s="207"/>
      <c r="G755" s="234"/>
      <c r="H755" s="661"/>
      <c r="I755" s="847">
        <f t="shared" ref="I755:AN755" si="1089">I469+I613</f>
        <v>39660</v>
      </c>
      <c r="J755" s="847">
        <f t="shared" si="1089"/>
        <v>40111</v>
      </c>
      <c r="K755" s="847">
        <f t="shared" si="1089"/>
        <v>40745</v>
      </c>
      <c r="L755" s="847">
        <f t="shared" si="1089"/>
        <v>40504</v>
      </c>
      <c r="M755" s="661">
        <f t="shared" si="1089"/>
        <v>40504</v>
      </c>
      <c r="N755" s="847">
        <f t="shared" si="1089"/>
        <v>41122</v>
      </c>
      <c r="O755" s="847">
        <f t="shared" si="1089"/>
        <v>41527</v>
      </c>
      <c r="P755" s="847">
        <f t="shared" si="1089"/>
        <v>41518</v>
      </c>
      <c r="Q755" s="847">
        <f t="shared" si="1089"/>
        <v>41773</v>
      </c>
      <c r="R755" s="661">
        <f t="shared" si="1089"/>
        <v>41773</v>
      </c>
      <c r="S755" s="847">
        <f t="shared" si="1089"/>
        <v>41766</v>
      </c>
      <c r="T755" s="847">
        <f t="shared" si="1089"/>
        <v>41644</v>
      </c>
      <c r="U755" s="847">
        <f t="shared" si="1089"/>
        <v>42130</v>
      </c>
      <c r="V755" s="847">
        <f t="shared" si="1089"/>
        <v>42597</v>
      </c>
      <c r="W755" s="661">
        <f t="shared" si="1089"/>
        <v>42597</v>
      </c>
      <c r="X755" s="847">
        <f t="shared" si="1089"/>
        <v>42731</v>
      </c>
      <c r="Y755" s="847">
        <f t="shared" si="1089"/>
        <v>42857</v>
      </c>
      <c r="Z755" s="847">
        <f t="shared" si="1089"/>
        <v>43205</v>
      </c>
      <c r="AA755" s="847">
        <f t="shared" si="1089"/>
        <v>43827</v>
      </c>
      <c r="AB755" s="661">
        <f t="shared" si="1089"/>
        <v>43827</v>
      </c>
      <c r="AC755" s="847">
        <f t="shared" si="1089"/>
        <v>44502</v>
      </c>
      <c r="AD755" s="847">
        <f t="shared" si="1089"/>
        <v>44775</v>
      </c>
      <c r="AE755" s="847">
        <f t="shared" si="1089"/>
        <v>44918</v>
      </c>
      <c r="AF755" s="847">
        <f t="shared" si="1089"/>
        <v>45392</v>
      </c>
      <c r="AG755" s="661">
        <f t="shared" si="1089"/>
        <v>45392</v>
      </c>
      <c r="AH755" s="847">
        <f t="shared" si="1089"/>
        <v>45744</v>
      </c>
      <c r="AI755" s="847">
        <f t="shared" si="1089"/>
        <v>46336</v>
      </c>
      <c r="AJ755" s="847">
        <f t="shared" si="1089"/>
        <v>46649</v>
      </c>
      <c r="AK755" s="847">
        <f t="shared" si="1089"/>
        <v>46296</v>
      </c>
      <c r="AL755" s="661">
        <f t="shared" si="1089"/>
        <v>46296</v>
      </c>
      <c r="AM755" s="847">
        <f t="shared" si="1089"/>
        <v>46137</v>
      </c>
      <c r="AN755" s="847">
        <f t="shared" si="1089"/>
        <v>46255</v>
      </c>
      <c r="AO755" s="847">
        <f t="shared" ref="AO755:BJ755" si="1090">AO469+AO613</f>
        <v>46479</v>
      </c>
      <c r="AP755" s="847">
        <f t="shared" si="1090"/>
        <v>46592</v>
      </c>
      <c r="AQ755" s="661">
        <f t="shared" si="1090"/>
        <v>46592</v>
      </c>
      <c r="AR755" s="847">
        <f t="shared" si="1090"/>
        <v>46660</v>
      </c>
      <c r="AS755" s="847">
        <f t="shared" si="1090"/>
        <v>47078</v>
      </c>
      <c r="AT755" s="847">
        <f t="shared" si="1090"/>
        <v>47300</v>
      </c>
      <c r="AU755" s="847">
        <f t="shared" si="1090"/>
        <v>47631</v>
      </c>
      <c r="AV755" s="661">
        <f t="shared" si="1090"/>
        <v>47631</v>
      </c>
      <c r="AW755" s="847">
        <f t="shared" si="1090"/>
        <v>48255</v>
      </c>
      <c r="AX755" s="847">
        <f t="shared" si="1090"/>
        <v>48928</v>
      </c>
      <c r="AY755" s="847">
        <f t="shared" si="1090"/>
        <v>49666</v>
      </c>
      <c r="AZ755" s="847">
        <f t="shared" si="1090"/>
        <v>49961</v>
      </c>
      <c r="BA755" s="661">
        <f t="shared" si="1090"/>
        <v>49961</v>
      </c>
      <c r="BB755" s="847">
        <f t="shared" si="1090"/>
        <v>50107</v>
      </c>
      <c r="BC755" s="847">
        <f t="shared" si="1090"/>
        <v>51168</v>
      </c>
      <c r="BD755" s="847">
        <f t="shared" si="1090"/>
        <v>51389</v>
      </c>
      <c r="BE755" s="847">
        <f t="shared" si="1090"/>
        <v>51875</v>
      </c>
      <c r="BF755" s="661">
        <f t="shared" si="1090"/>
        <v>51875</v>
      </c>
      <c r="BG755" s="847">
        <f t="shared" si="1090"/>
        <v>52543</v>
      </c>
      <c r="BH755" s="847">
        <f t="shared" si="1090"/>
        <v>52345</v>
      </c>
      <c r="BI755" s="847">
        <f t="shared" si="1090"/>
        <v>52523</v>
      </c>
      <c r="BJ755" s="847">
        <f t="shared" si="1090"/>
        <v>53146</v>
      </c>
      <c r="BK755" s="661">
        <f t="shared" si="1081"/>
        <v>53146</v>
      </c>
      <c r="BL755" s="847">
        <f t="shared" si="1072"/>
        <v>52764</v>
      </c>
      <c r="BM755" s="847">
        <f t="shared" si="1072"/>
        <v>52425</v>
      </c>
      <c r="BN755" s="847">
        <f t="shared" si="1072"/>
        <v>52796</v>
      </c>
      <c r="BO755" s="847">
        <f t="shared" si="1072"/>
        <v>52916</v>
      </c>
      <c r="BP755" s="194">
        <f t="shared" si="1082"/>
        <v>52916</v>
      </c>
      <c r="BQ755" s="847">
        <f t="shared" si="1073"/>
        <v>52862</v>
      </c>
      <c r="BR755" s="847">
        <f t="shared" si="1073"/>
        <v>52350</v>
      </c>
      <c r="BS755" s="847">
        <f t="shared" si="1073"/>
        <v>52663</v>
      </c>
      <c r="BT755" s="847">
        <f t="shared" si="1073"/>
        <v>52792</v>
      </c>
      <c r="BU755" s="194">
        <f t="shared" si="1083"/>
        <v>52792</v>
      </c>
      <c r="BV755" s="847">
        <f t="shared" si="1074"/>
        <v>53061</v>
      </c>
      <c r="BW755" s="847">
        <f t="shared" si="1074"/>
        <v>54097</v>
      </c>
      <c r="BX755" s="847">
        <f t="shared" si="1074"/>
        <v>54370</v>
      </c>
      <c r="BY755" s="847">
        <f t="shared" si="1074"/>
        <v>53925</v>
      </c>
      <c r="BZ755" s="194">
        <f t="shared" si="1084"/>
        <v>53925</v>
      </c>
      <c r="CA755" s="847">
        <f t="shared" si="1075"/>
        <v>54285</v>
      </c>
      <c r="CB755" s="847">
        <f t="shared" si="1075"/>
        <v>54285</v>
      </c>
      <c r="CC755" s="847">
        <f t="shared" si="1075"/>
        <v>55461</v>
      </c>
      <c r="CD755" s="847">
        <f t="shared" si="1075"/>
        <v>56048</v>
      </c>
      <c r="CE755" s="194">
        <f t="shared" si="1085"/>
        <v>56048</v>
      </c>
      <c r="CF755" s="847">
        <f t="shared" si="1076"/>
        <v>55903</v>
      </c>
      <c r="CG755" s="847">
        <f t="shared" si="1076"/>
        <v>56509</v>
      </c>
      <c r="CH755" s="847">
        <f t="shared" si="1076"/>
        <v>56713</v>
      </c>
      <c r="CI755" s="847">
        <f t="shared" si="1076"/>
        <v>57291</v>
      </c>
      <c r="CJ755" s="194">
        <f t="shared" si="1086"/>
        <v>57291</v>
      </c>
      <c r="CK755" s="2350">
        <f t="shared" si="1049"/>
        <v>57458</v>
      </c>
      <c r="CL755" s="847">
        <f t="shared" si="1077"/>
        <v>57204</v>
      </c>
      <c r="CM755" s="847">
        <f t="shared" si="1077"/>
        <v>57152</v>
      </c>
      <c r="CN755" s="847">
        <f t="shared" si="1077"/>
        <v>56561</v>
      </c>
      <c r="CO755" s="236">
        <f t="shared" si="1087"/>
        <v>56561</v>
      </c>
      <c r="CP755" s="973">
        <f t="shared" si="1087"/>
        <v>59105.01</v>
      </c>
      <c r="CQ755" s="847">
        <f t="shared" si="1087"/>
        <v>59006.600000000006</v>
      </c>
      <c r="CR755" s="847">
        <f t="shared" si="1087"/>
        <v>58963.960000000006</v>
      </c>
      <c r="CS755" s="1431">
        <f t="shared" si="1087"/>
        <v>58413.98</v>
      </c>
      <c r="CT755" s="236">
        <f t="shared" si="1088"/>
        <v>58413.98</v>
      </c>
      <c r="CU755" s="194">
        <f t="shared" si="1078"/>
        <v>61626.748899999999</v>
      </c>
      <c r="CV755" s="194">
        <f t="shared" si="1078"/>
        <v>62859.283878000002</v>
      </c>
      <c r="CW755" s="374"/>
      <c r="CX755" s="374"/>
      <c r="CY755" s="374"/>
      <c r="CZ755" s="374"/>
      <c r="DA755" s="374"/>
      <c r="DB755" s="217"/>
    </row>
    <row r="756" spans="1:256" x14ac:dyDescent="0.2">
      <c r="A756" s="2288" t="s">
        <v>47</v>
      </c>
      <c r="B756" s="2400"/>
      <c r="C756" s="2401"/>
      <c r="D756" s="2402"/>
      <c r="E756" s="2402"/>
      <c r="F756" s="2402"/>
      <c r="G756" s="2402"/>
      <c r="H756" s="2293">
        <v>0</v>
      </c>
      <c r="I756" s="2399">
        <f t="shared" ref="I756:AN756" si="1091">I470+I614</f>
        <v>0</v>
      </c>
      <c r="J756" s="2349">
        <f t="shared" si="1091"/>
        <v>0</v>
      </c>
      <c r="K756" s="2349">
        <f t="shared" si="1091"/>
        <v>0</v>
      </c>
      <c r="L756" s="2349">
        <f t="shared" si="1091"/>
        <v>0</v>
      </c>
      <c r="M756" s="2293">
        <f t="shared" si="1091"/>
        <v>0</v>
      </c>
      <c r="N756" s="2399">
        <f t="shared" si="1091"/>
        <v>0</v>
      </c>
      <c r="O756" s="2349">
        <f t="shared" si="1091"/>
        <v>0</v>
      </c>
      <c r="P756" s="2349">
        <f t="shared" si="1091"/>
        <v>0</v>
      </c>
      <c r="Q756" s="2349">
        <f t="shared" si="1091"/>
        <v>0</v>
      </c>
      <c r="R756" s="2293">
        <f t="shared" si="1091"/>
        <v>0</v>
      </c>
      <c r="S756" s="2399">
        <f t="shared" si="1091"/>
        <v>0</v>
      </c>
      <c r="T756" s="2349">
        <f t="shared" si="1091"/>
        <v>0</v>
      </c>
      <c r="U756" s="2349">
        <f t="shared" si="1091"/>
        <v>0</v>
      </c>
      <c r="V756" s="2349">
        <f t="shared" si="1091"/>
        <v>0</v>
      </c>
      <c r="W756" s="2293">
        <f t="shared" si="1091"/>
        <v>0</v>
      </c>
      <c r="X756" s="2399">
        <f t="shared" si="1091"/>
        <v>0</v>
      </c>
      <c r="Y756" s="2349">
        <f t="shared" si="1091"/>
        <v>0</v>
      </c>
      <c r="Z756" s="2349">
        <f t="shared" si="1091"/>
        <v>0</v>
      </c>
      <c r="AA756" s="2349">
        <f t="shared" si="1091"/>
        <v>0</v>
      </c>
      <c r="AB756" s="2293">
        <f t="shared" si="1091"/>
        <v>0</v>
      </c>
      <c r="AC756" s="2399">
        <f t="shared" si="1091"/>
        <v>0</v>
      </c>
      <c r="AD756" s="2349">
        <f t="shared" si="1091"/>
        <v>0</v>
      </c>
      <c r="AE756" s="2349">
        <f t="shared" si="1091"/>
        <v>0</v>
      </c>
      <c r="AF756" s="2349">
        <f t="shared" si="1091"/>
        <v>0</v>
      </c>
      <c r="AG756" s="2293">
        <f t="shared" si="1091"/>
        <v>0</v>
      </c>
      <c r="AH756" s="2399">
        <f t="shared" si="1091"/>
        <v>0</v>
      </c>
      <c r="AI756" s="2349">
        <f t="shared" si="1091"/>
        <v>0</v>
      </c>
      <c r="AJ756" s="2349">
        <f t="shared" si="1091"/>
        <v>0</v>
      </c>
      <c r="AK756" s="2349">
        <f t="shared" si="1091"/>
        <v>0</v>
      </c>
      <c r="AL756" s="2293">
        <f t="shared" si="1091"/>
        <v>0</v>
      </c>
      <c r="AM756" s="2399">
        <f t="shared" si="1091"/>
        <v>0</v>
      </c>
      <c r="AN756" s="2349">
        <f t="shared" si="1091"/>
        <v>0</v>
      </c>
      <c r="AO756" s="2349">
        <f t="shared" ref="AO756:BJ756" si="1092">AO470+AO614</f>
        <v>0</v>
      </c>
      <c r="AP756" s="2349">
        <f t="shared" si="1092"/>
        <v>0</v>
      </c>
      <c r="AQ756" s="2293">
        <f t="shared" si="1092"/>
        <v>0</v>
      </c>
      <c r="AR756" s="2399">
        <f t="shared" si="1092"/>
        <v>0</v>
      </c>
      <c r="AS756" s="2349">
        <f t="shared" si="1092"/>
        <v>0</v>
      </c>
      <c r="AT756" s="2349">
        <f t="shared" si="1092"/>
        <v>0</v>
      </c>
      <c r="AU756" s="2349">
        <f t="shared" si="1092"/>
        <v>0</v>
      </c>
      <c r="AV756" s="2293">
        <f t="shared" si="1092"/>
        <v>0</v>
      </c>
      <c r="AW756" s="2399">
        <f t="shared" si="1092"/>
        <v>0</v>
      </c>
      <c r="AX756" s="2349">
        <f t="shared" si="1092"/>
        <v>0</v>
      </c>
      <c r="AY756" s="2349">
        <f t="shared" si="1092"/>
        <v>0</v>
      </c>
      <c r="AZ756" s="2349">
        <f t="shared" si="1092"/>
        <v>0</v>
      </c>
      <c r="BA756" s="2293">
        <f t="shared" si="1092"/>
        <v>0</v>
      </c>
      <c r="BB756" s="2399">
        <f t="shared" si="1092"/>
        <v>0</v>
      </c>
      <c r="BC756" s="2349">
        <f t="shared" si="1092"/>
        <v>0</v>
      </c>
      <c r="BD756" s="2349">
        <f t="shared" si="1092"/>
        <v>0</v>
      </c>
      <c r="BE756" s="2349">
        <f t="shared" si="1092"/>
        <v>0</v>
      </c>
      <c r="BF756" s="2293">
        <f t="shared" si="1092"/>
        <v>0</v>
      </c>
      <c r="BG756" s="2399">
        <f t="shared" si="1092"/>
        <v>0</v>
      </c>
      <c r="BH756" s="2349">
        <f t="shared" si="1092"/>
        <v>0</v>
      </c>
      <c r="BI756" s="2349">
        <f t="shared" si="1092"/>
        <v>0</v>
      </c>
      <c r="BJ756" s="2349">
        <f t="shared" si="1092"/>
        <v>0</v>
      </c>
      <c r="BK756" s="2293">
        <f t="shared" si="1081"/>
        <v>0</v>
      </c>
      <c r="BL756" s="2399">
        <f t="shared" si="1072"/>
        <v>0</v>
      </c>
      <c r="BM756" s="2349">
        <f t="shared" si="1072"/>
        <v>0</v>
      </c>
      <c r="BN756" s="2349">
        <f t="shared" si="1072"/>
        <v>0</v>
      </c>
      <c r="BO756" s="2349">
        <f t="shared" si="1072"/>
        <v>0</v>
      </c>
      <c r="BP756" s="2293">
        <f t="shared" si="1082"/>
        <v>0</v>
      </c>
      <c r="BQ756" s="2399">
        <f t="shared" si="1073"/>
        <v>0</v>
      </c>
      <c r="BR756" s="2349">
        <f t="shared" si="1073"/>
        <v>0</v>
      </c>
      <c r="BS756" s="2349">
        <f t="shared" si="1073"/>
        <v>0</v>
      </c>
      <c r="BT756" s="2349">
        <f t="shared" si="1073"/>
        <v>0</v>
      </c>
      <c r="BU756" s="2293">
        <f t="shared" si="1083"/>
        <v>0</v>
      </c>
      <c r="BV756" s="2399">
        <f t="shared" si="1074"/>
        <v>0</v>
      </c>
      <c r="BW756" s="2349">
        <f t="shared" si="1074"/>
        <v>4438</v>
      </c>
      <c r="BX756" s="2349">
        <f t="shared" si="1074"/>
        <v>4540</v>
      </c>
      <c r="BY756" s="2349">
        <f t="shared" si="1074"/>
        <v>4540</v>
      </c>
      <c r="BZ756" s="2293">
        <f t="shared" si="1084"/>
        <v>4540</v>
      </c>
      <c r="CA756" s="2399">
        <f t="shared" si="1075"/>
        <v>4788</v>
      </c>
      <c r="CB756" s="2349">
        <f t="shared" si="1075"/>
        <v>4298</v>
      </c>
      <c r="CC756" s="2349">
        <f t="shared" si="1075"/>
        <v>4079</v>
      </c>
      <c r="CD756" s="2349">
        <f t="shared" si="1075"/>
        <v>4079</v>
      </c>
      <c r="CE756" s="2293">
        <f t="shared" si="1085"/>
        <v>4079</v>
      </c>
      <c r="CF756" s="2349">
        <f t="shared" si="1076"/>
        <v>4109</v>
      </c>
      <c r="CG756" s="2349">
        <f t="shared" si="1076"/>
        <v>4100</v>
      </c>
      <c r="CH756" s="2349">
        <f t="shared" si="1076"/>
        <v>4093</v>
      </c>
      <c r="CI756" s="2349">
        <f t="shared" si="1076"/>
        <v>4201</v>
      </c>
      <c r="CJ756" s="2293">
        <f t="shared" si="1086"/>
        <v>4201</v>
      </c>
      <c r="CK756" s="2350">
        <f t="shared" si="1049"/>
        <v>4223</v>
      </c>
      <c r="CL756" s="2349">
        <f t="shared" si="1077"/>
        <v>4220</v>
      </c>
      <c r="CM756" s="2349">
        <f t="shared" si="1077"/>
        <v>4265</v>
      </c>
      <c r="CN756" s="2349">
        <f t="shared" si="1077"/>
        <v>4265</v>
      </c>
      <c r="CO756" s="2293">
        <f t="shared" si="1087"/>
        <v>4265</v>
      </c>
      <c r="CP756" s="973">
        <f t="shared" si="1087"/>
        <v>4434.1500000000005</v>
      </c>
      <c r="CQ756" s="847">
        <f t="shared" si="1087"/>
        <v>4473.2</v>
      </c>
      <c r="CR756" s="847">
        <f t="shared" si="1087"/>
        <v>4520.9000000000005</v>
      </c>
      <c r="CS756" s="1431">
        <f t="shared" si="1087"/>
        <v>4520.9000000000005</v>
      </c>
      <c r="CT756" s="2293">
        <f t="shared" si="1088"/>
        <v>4520.9000000000005</v>
      </c>
      <c r="CU756" s="2403">
        <f t="shared" si="1078"/>
        <v>4769.5495000000001</v>
      </c>
      <c r="CV756" s="2403">
        <f t="shared" si="1078"/>
        <v>4864.94049</v>
      </c>
      <c r="CW756" s="389"/>
      <c r="CX756" s="389"/>
      <c r="CY756" s="389"/>
      <c r="CZ756" s="389"/>
      <c r="DA756" s="389"/>
      <c r="DB756" s="217"/>
    </row>
    <row r="757" spans="1:256" x14ac:dyDescent="0.2">
      <c r="A757" s="1264" t="s">
        <v>1388</v>
      </c>
      <c r="B757" s="651"/>
      <c r="C757" s="236"/>
      <c r="D757" s="207"/>
      <c r="E757" s="207"/>
      <c r="F757" s="207"/>
      <c r="G757" s="234"/>
      <c r="H757" s="661"/>
      <c r="I757" s="847">
        <f t="shared" ref="I757:AN757" si="1093">I471+I615</f>
        <v>15172</v>
      </c>
      <c r="J757" s="847">
        <f t="shared" si="1093"/>
        <v>15411</v>
      </c>
      <c r="K757" s="847">
        <f t="shared" si="1093"/>
        <v>15815</v>
      </c>
      <c r="L757" s="847">
        <f t="shared" si="1093"/>
        <v>15815</v>
      </c>
      <c r="M757" s="661">
        <f t="shared" si="1093"/>
        <v>15815</v>
      </c>
      <c r="N757" s="847">
        <f t="shared" si="1093"/>
        <v>16165</v>
      </c>
      <c r="O757" s="847">
        <f t="shared" si="1093"/>
        <v>16039</v>
      </c>
      <c r="P757" s="847">
        <f t="shared" si="1093"/>
        <v>16530</v>
      </c>
      <c r="Q757" s="847">
        <f t="shared" si="1093"/>
        <v>16918</v>
      </c>
      <c r="R757" s="661">
        <f t="shared" si="1093"/>
        <v>16918</v>
      </c>
      <c r="S757" s="847">
        <f t="shared" si="1093"/>
        <v>16584</v>
      </c>
      <c r="T757" s="847">
        <f t="shared" si="1093"/>
        <v>16744</v>
      </c>
      <c r="U757" s="847">
        <f t="shared" si="1093"/>
        <v>15500</v>
      </c>
      <c r="V757" s="847">
        <f t="shared" si="1093"/>
        <v>16632</v>
      </c>
      <c r="W757" s="661">
        <f t="shared" si="1093"/>
        <v>16632</v>
      </c>
      <c r="X757" s="847">
        <f t="shared" si="1093"/>
        <v>16926</v>
      </c>
      <c r="Y757" s="847">
        <f t="shared" si="1093"/>
        <v>17154</v>
      </c>
      <c r="Z757" s="847">
        <f t="shared" si="1093"/>
        <v>17593</v>
      </c>
      <c r="AA757" s="847">
        <f t="shared" si="1093"/>
        <v>17593</v>
      </c>
      <c r="AB757" s="661">
        <f t="shared" si="1093"/>
        <v>17593</v>
      </c>
      <c r="AC757" s="847">
        <f t="shared" si="1093"/>
        <v>17593</v>
      </c>
      <c r="AD757" s="847">
        <f t="shared" si="1093"/>
        <v>17716</v>
      </c>
      <c r="AE757" s="847">
        <f t="shared" si="1093"/>
        <v>17716</v>
      </c>
      <c r="AF757" s="847">
        <f t="shared" si="1093"/>
        <v>17974</v>
      </c>
      <c r="AG757" s="661">
        <f t="shared" si="1093"/>
        <v>17974</v>
      </c>
      <c r="AH757" s="847">
        <f t="shared" si="1093"/>
        <v>18008</v>
      </c>
      <c r="AI757" s="847">
        <f t="shared" si="1093"/>
        <v>18068</v>
      </c>
      <c r="AJ757" s="847">
        <f t="shared" si="1093"/>
        <v>18068</v>
      </c>
      <c r="AK757" s="847">
        <f t="shared" si="1093"/>
        <v>18393</v>
      </c>
      <c r="AL757" s="661">
        <f t="shared" si="1093"/>
        <v>18393</v>
      </c>
      <c r="AM757" s="847">
        <f t="shared" si="1093"/>
        <v>18394</v>
      </c>
      <c r="AN757" s="847">
        <f t="shared" si="1093"/>
        <v>18202</v>
      </c>
      <c r="AO757" s="847">
        <f t="shared" ref="AO757:BJ757" si="1094">AO471+AO615</f>
        <v>18400</v>
      </c>
      <c r="AP757" s="847">
        <f t="shared" si="1094"/>
        <v>18691</v>
      </c>
      <c r="AQ757" s="661">
        <f t="shared" si="1094"/>
        <v>18691</v>
      </c>
      <c r="AR757" s="847">
        <f t="shared" si="1094"/>
        <v>18328</v>
      </c>
      <c r="AS757" s="847">
        <f t="shared" si="1094"/>
        <v>18248</v>
      </c>
      <c r="AT757" s="847">
        <f t="shared" si="1094"/>
        <v>18152</v>
      </c>
      <c r="AU757" s="847">
        <f t="shared" si="1094"/>
        <v>18564</v>
      </c>
      <c r="AV757" s="661">
        <f t="shared" si="1094"/>
        <v>18564</v>
      </c>
      <c r="AW757" s="847">
        <f t="shared" si="1094"/>
        <v>18772</v>
      </c>
      <c r="AX757" s="847">
        <f t="shared" si="1094"/>
        <v>19293</v>
      </c>
      <c r="AY757" s="847">
        <f t="shared" si="1094"/>
        <v>19616</v>
      </c>
      <c r="AZ757" s="847">
        <f t="shared" si="1094"/>
        <v>19811</v>
      </c>
      <c r="BA757" s="661">
        <f t="shared" si="1094"/>
        <v>19811</v>
      </c>
      <c r="BB757" s="847">
        <f t="shared" si="1094"/>
        <v>19210</v>
      </c>
      <c r="BC757" s="847">
        <f t="shared" si="1094"/>
        <v>19210</v>
      </c>
      <c r="BD757" s="847">
        <f t="shared" si="1094"/>
        <v>19210</v>
      </c>
      <c r="BE757" s="847">
        <f t="shared" si="1094"/>
        <v>19210</v>
      </c>
      <c r="BF757" s="661">
        <f t="shared" si="1094"/>
        <v>19210</v>
      </c>
      <c r="BG757" s="847">
        <f t="shared" si="1094"/>
        <v>19535</v>
      </c>
      <c r="BH757" s="847">
        <f t="shared" si="1094"/>
        <v>19690</v>
      </c>
      <c r="BI757" s="847">
        <f t="shared" si="1094"/>
        <v>19690</v>
      </c>
      <c r="BJ757" s="847">
        <f t="shared" si="1094"/>
        <v>19684</v>
      </c>
      <c r="BK757" s="661">
        <f t="shared" si="1081"/>
        <v>19684</v>
      </c>
      <c r="BL757" s="847">
        <f t="shared" si="1072"/>
        <v>19923</v>
      </c>
      <c r="BM757" s="847">
        <f t="shared" si="1072"/>
        <v>19717</v>
      </c>
      <c r="BN757" s="847">
        <f t="shared" si="1072"/>
        <v>19509</v>
      </c>
      <c r="BO757" s="847">
        <f t="shared" si="1072"/>
        <v>19261</v>
      </c>
      <c r="BP757" s="194">
        <f t="shared" si="1082"/>
        <v>19261</v>
      </c>
      <c r="BQ757" s="847">
        <f t="shared" si="1073"/>
        <v>19261</v>
      </c>
      <c r="BR757" s="847">
        <f t="shared" si="1073"/>
        <v>18411</v>
      </c>
      <c r="BS757" s="847">
        <f t="shared" si="1073"/>
        <v>18441</v>
      </c>
      <c r="BT757" s="847">
        <f t="shared" si="1073"/>
        <v>18210</v>
      </c>
      <c r="BU757" s="194">
        <f t="shared" si="1083"/>
        <v>18210</v>
      </c>
      <c r="BV757" s="847">
        <f t="shared" si="1074"/>
        <v>17647</v>
      </c>
      <c r="BW757" s="847">
        <f t="shared" si="1074"/>
        <v>17963</v>
      </c>
      <c r="BX757" s="847">
        <f t="shared" si="1074"/>
        <v>16505</v>
      </c>
      <c r="BY757" s="847">
        <f t="shared" si="1074"/>
        <v>16606</v>
      </c>
      <c r="BZ757" s="194">
        <f t="shared" si="1084"/>
        <v>16606</v>
      </c>
      <c r="CA757" s="847">
        <f t="shared" si="1075"/>
        <v>16663</v>
      </c>
      <c r="CB757" s="847">
        <f t="shared" si="1075"/>
        <v>16663</v>
      </c>
      <c r="CC757" s="847">
        <f t="shared" si="1075"/>
        <v>17044</v>
      </c>
      <c r="CD757" s="847">
        <f t="shared" si="1075"/>
        <v>17044</v>
      </c>
      <c r="CE757" s="194">
        <f t="shared" si="1085"/>
        <v>17044</v>
      </c>
      <c r="CF757" s="847">
        <f t="shared" si="1076"/>
        <v>17307</v>
      </c>
      <c r="CG757" s="847">
        <f t="shared" si="1076"/>
        <v>17307</v>
      </c>
      <c r="CH757" s="847">
        <f t="shared" si="1076"/>
        <v>17672</v>
      </c>
      <c r="CI757" s="847">
        <f t="shared" si="1076"/>
        <v>17672</v>
      </c>
      <c r="CJ757" s="194">
        <f t="shared" si="1086"/>
        <v>17672</v>
      </c>
      <c r="CK757" s="2350">
        <f t="shared" si="1049"/>
        <v>17513</v>
      </c>
      <c r="CL757" s="847">
        <f t="shared" si="1077"/>
        <v>17417</v>
      </c>
      <c r="CM757" s="847">
        <f t="shared" si="1077"/>
        <v>16724</v>
      </c>
      <c r="CN757" s="847">
        <f t="shared" si="1077"/>
        <v>17162</v>
      </c>
      <c r="CO757" s="236">
        <f t="shared" si="1087"/>
        <v>17162</v>
      </c>
      <c r="CP757" s="973">
        <f t="shared" si="1087"/>
        <v>17878.77</v>
      </c>
      <c r="CQ757" s="847">
        <f t="shared" si="1087"/>
        <v>17786.02</v>
      </c>
      <c r="CR757" s="847">
        <f t="shared" si="1087"/>
        <v>17079.16</v>
      </c>
      <c r="CS757" s="1431">
        <f t="shared" si="1087"/>
        <v>17530.960000000003</v>
      </c>
      <c r="CT757" s="236">
        <f t="shared" si="1088"/>
        <v>17530.960000000003</v>
      </c>
      <c r="CU757" s="194">
        <f t="shared" si="1078"/>
        <v>18495.162800000002</v>
      </c>
      <c r="CV757" s="194">
        <f t="shared" si="1078"/>
        <v>18865.066056</v>
      </c>
      <c r="CW757" s="374"/>
      <c r="CX757" s="374"/>
      <c r="CY757" s="374"/>
      <c r="CZ757" s="374"/>
      <c r="DA757" s="374"/>
      <c r="DB757" s="217"/>
    </row>
    <row r="758" spans="1:256" x14ac:dyDescent="0.2">
      <c r="A758" s="1266" t="s">
        <v>1391</v>
      </c>
      <c r="B758" s="651"/>
      <c r="C758" s="236"/>
      <c r="D758" s="207"/>
      <c r="E758" s="207"/>
      <c r="F758" s="207"/>
      <c r="G758" s="234"/>
      <c r="H758" s="661"/>
      <c r="I758" s="847">
        <f t="shared" ref="I758:AN758" si="1095">I472+I616</f>
        <v>2220</v>
      </c>
      <c r="J758" s="847">
        <f t="shared" si="1095"/>
        <v>2469</v>
      </c>
      <c r="K758" s="847">
        <f t="shared" si="1095"/>
        <v>2472</v>
      </c>
      <c r="L758" s="847">
        <f t="shared" si="1095"/>
        <v>2598</v>
      </c>
      <c r="M758" s="661">
        <f t="shared" si="1095"/>
        <v>2598</v>
      </c>
      <c r="N758" s="847">
        <f t="shared" si="1095"/>
        <v>2741</v>
      </c>
      <c r="O758" s="847">
        <f t="shared" si="1095"/>
        <v>2740</v>
      </c>
      <c r="P758" s="847">
        <f t="shared" si="1095"/>
        <v>2739</v>
      </c>
      <c r="Q758" s="847">
        <f t="shared" si="1095"/>
        <v>3056</v>
      </c>
      <c r="R758" s="661">
        <f t="shared" si="1095"/>
        <v>3056</v>
      </c>
      <c r="S758" s="847">
        <f t="shared" si="1095"/>
        <v>3056</v>
      </c>
      <c r="T758" s="847">
        <f t="shared" si="1095"/>
        <v>2961</v>
      </c>
      <c r="U758" s="847">
        <f t="shared" si="1095"/>
        <v>2961</v>
      </c>
      <c r="V758" s="847">
        <f t="shared" si="1095"/>
        <v>3057</v>
      </c>
      <c r="W758" s="661">
        <f t="shared" si="1095"/>
        <v>3057</v>
      </c>
      <c r="X758" s="847">
        <f t="shared" si="1095"/>
        <v>3056</v>
      </c>
      <c r="Y758" s="847">
        <f t="shared" si="1095"/>
        <v>3534</v>
      </c>
      <c r="Z758" s="847">
        <f t="shared" si="1095"/>
        <v>3661</v>
      </c>
      <c r="AA758" s="847">
        <f t="shared" si="1095"/>
        <v>3661</v>
      </c>
      <c r="AB758" s="661">
        <f t="shared" si="1095"/>
        <v>3661</v>
      </c>
      <c r="AC758" s="847">
        <f t="shared" si="1095"/>
        <v>3661</v>
      </c>
      <c r="AD758" s="847">
        <f t="shared" si="1095"/>
        <v>3661</v>
      </c>
      <c r="AE758" s="847">
        <f t="shared" si="1095"/>
        <v>3660</v>
      </c>
      <c r="AF758" s="847">
        <f t="shared" si="1095"/>
        <v>3660</v>
      </c>
      <c r="AG758" s="661">
        <f t="shared" si="1095"/>
        <v>3660</v>
      </c>
      <c r="AH758" s="847">
        <f t="shared" si="1095"/>
        <v>3661</v>
      </c>
      <c r="AI758" s="847">
        <f t="shared" si="1095"/>
        <v>3661</v>
      </c>
      <c r="AJ758" s="847">
        <f t="shared" si="1095"/>
        <v>3661</v>
      </c>
      <c r="AK758" s="847">
        <f t="shared" si="1095"/>
        <v>3661</v>
      </c>
      <c r="AL758" s="661">
        <f t="shared" si="1095"/>
        <v>3661</v>
      </c>
      <c r="AM758" s="847">
        <f t="shared" si="1095"/>
        <v>3661</v>
      </c>
      <c r="AN758" s="847">
        <f t="shared" si="1095"/>
        <v>3661</v>
      </c>
      <c r="AO758" s="847">
        <f t="shared" ref="AO758:BJ758" si="1096">AO472+AO616</f>
        <v>3661</v>
      </c>
      <c r="AP758" s="847">
        <f t="shared" si="1096"/>
        <v>3661</v>
      </c>
      <c r="AQ758" s="661">
        <f t="shared" si="1096"/>
        <v>3661</v>
      </c>
      <c r="AR758" s="847">
        <f t="shared" si="1096"/>
        <v>3661</v>
      </c>
      <c r="AS758" s="847">
        <f t="shared" si="1096"/>
        <v>3661</v>
      </c>
      <c r="AT758" s="847">
        <f t="shared" si="1096"/>
        <v>3661</v>
      </c>
      <c r="AU758" s="847">
        <f t="shared" si="1096"/>
        <v>3661</v>
      </c>
      <c r="AV758" s="661">
        <f t="shared" si="1096"/>
        <v>3661</v>
      </c>
      <c r="AW758" s="847">
        <f t="shared" si="1096"/>
        <v>3661</v>
      </c>
      <c r="AX758" s="847">
        <f t="shared" si="1096"/>
        <v>3659</v>
      </c>
      <c r="AY758" s="847">
        <f t="shared" si="1096"/>
        <v>3659</v>
      </c>
      <c r="AZ758" s="847">
        <f t="shared" si="1096"/>
        <v>3659</v>
      </c>
      <c r="BA758" s="661">
        <f t="shared" si="1096"/>
        <v>3659</v>
      </c>
      <c r="BB758" s="847">
        <f t="shared" si="1096"/>
        <v>3658</v>
      </c>
      <c r="BC758" s="847">
        <f t="shared" si="1096"/>
        <v>3658</v>
      </c>
      <c r="BD758" s="847">
        <f t="shared" si="1096"/>
        <v>3658</v>
      </c>
      <c r="BE758" s="847">
        <f t="shared" si="1096"/>
        <v>3658</v>
      </c>
      <c r="BF758" s="661">
        <f t="shared" si="1096"/>
        <v>3658</v>
      </c>
      <c r="BG758" s="847">
        <f t="shared" si="1096"/>
        <v>3658</v>
      </c>
      <c r="BH758" s="847">
        <f t="shared" si="1096"/>
        <v>3658</v>
      </c>
      <c r="BI758" s="847">
        <f t="shared" si="1096"/>
        <v>3658</v>
      </c>
      <c r="BJ758" s="847">
        <f t="shared" si="1096"/>
        <v>3086</v>
      </c>
      <c r="BK758" s="661">
        <f t="shared" si="1081"/>
        <v>3086</v>
      </c>
      <c r="BL758" s="847">
        <f t="shared" si="1072"/>
        <v>3086</v>
      </c>
      <c r="BM758" s="847">
        <f t="shared" si="1072"/>
        <v>2440</v>
      </c>
      <c r="BN758" s="847">
        <f t="shared" si="1072"/>
        <v>2440</v>
      </c>
      <c r="BO758" s="847">
        <f t="shared" si="1072"/>
        <v>2440</v>
      </c>
      <c r="BP758" s="194">
        <f t="shared" si="1082"/>
        <v>2440</v>
      </c>
      <c r="BQ758" s="847">
        <f t="shared" si="1073"/>
        <v>2440</v>
      </c>
      <c r="BR758" s="847">
        <f t="shared" si="1073"/>
        <v>2440</v>
      </c>
      <c r="BS758" s="847">
        <f t="shared" si="1073"/>
        <v>2440</v>
      </c>
      <c r="BT758" s="847">
        <f t="shared" si="1073"/>
        <v>2440</v>
      </c>
      <c r="BU758" s="194">
        <f t="shared" si="1083"/>
        <v>2440</v>
      </c>
      <c r="BV758" s="847">
        <f t="shared" si="1074"/>
        <v>2123</v>
      </c>
      <c r="BW758" s="847">
        <f t="shared" si="1074"/>
        <v>2028</v>
      </c>
      <c r="BX758" s="847">
        <f t="shared" si="1074"/>
        <v>1933</v>
      </c>
      <c r="BY758" s="847">
        <f t="shared" si="1074"/>
        <v>1743</v>
      </c>
      <c r="BZ758" s="194">
        <f t="shared" si="1084"/>
        <v>1743</v>
      </c>
      <c r="CA758" s="847">
        <f t="shared" si="1075"/>
        <v>1741</v>
      </c>
      <c r="CB758" s="847">
        <f t="shared" si="1075"/>
        <v>1741</v>
      </c>
      <c r="CC758" s="847">
        <f t="shared" si="1075"/>
        <v>1740</v>
      </c>
      <c r="CD758" s="847">
        <f t="shared" si="1075"/>
        <v>1740</v>
      </c>
      <c r="CE758" s="194">
        <f t="shared" si="1085"/>
        <v>1740</v>
      </c>
      <c r="CF758" s="847">
        <f t="shared" si="1076"/>
        <v>1740</v>
      </c>
      <c r="CG758" s="847">
        <f t="shared" si="1076"/>
        <v>1740</v>
      </c>
      <c r="CH758" s="847">
        <f t="shared" si="1076"/>
        <v>1740</v>
      </c>
      <c r="CI758" s="847">
        <f t="shared" si="1076"/>
        <v>1740</v>
      </c>
      <c r="CJ758" s="194">
        <f t="shared" si="1086"/>
        <v>1740</v>
      </c>
      <c r="CK758" s="2350">
        <f t="shared" si="1049"/>
        <v>1740</v>
      </c>
      <c r="CL758" s="847">
        <f t="shared" si="1077"/>
        <v>1740</v>
      </c>
      <c r="CM758" s="847">
        <f t="shared" si="1077"/>
        <v>1740</v>
      </c>
      <c r="CN758" s="847">
        <f t="shared" si="1077"/>
        <v>1841</v>
      </c>
      <c r="CO758" s="236">
        <f t="shared" si="1087"/>
        <v>1841</v>
      </c>
      <c r="CP758" s="973">
        <f t="shared" si="1087"/>
        <v>1809.6000000000001</v>
      </c>
      <c r="CQ758" s="847">
        <f t="shared" si="1087"/>
        <v>1809.6000000000001</v>
      </c>
      <c r="CR758" s="847">
        <f t="shared" si="1087"/>
        <v>1809.6000000000001</v>
      </c>
      <c r="CS758" s="1431">
        <f t="shared" si="1087"/>
        <v>1914.64</v>
      </c>
      <c r="CT758" s="236">
        <f t="shared" si="1088"/>
        <v>1914.64</v>
      </c>
      <c r="CU758" s="194">
        <f t="shared" si="1078"/>
        <v>2067.8112000000001</v>
      </c>
      <c r="CV758" s="194">
        <f t="shared" si="1078"/>
        <v>2109.1674240000002</v>
      </c>
      <c r="CW758" s="374"/>
      <c r="CX758" s="374"/>
      <c r="CY758" s="374"/>
      <c r="CZ758" s="374"/>
      <c r="DA758" s="374"/>
      <c r="DB758" s="217"/>
    </row>
    <row r="759" spans="1:256" x14ac:dyDescent="0.2">
      <c r="A759" s="1266" t="s">
        <v>1389</v>
      </c>
      <c r="B759" s="651"/>
      <c r="C759" s="236"/>
      <c r="D759" s="207"/>
      <c r="E759" s="207"/>
      <c r="F759" s="207"/>
      <c r="G759" s="234"/>
      <c r="H759" s="661"/>
      <c r="I759" s="847">
        <f t="shared" ref="I759:AN759" si="1097">I473+I617</f>
        <v>7526</v>
      </c>
      <c r="J759" s="847">
        <f t="shared" si="1097"/>
        <v>7526</v>
      </c>
      <c r="K759" s="847">
        <f t="shared" si="1097"/>
        <v>7526</v>
      </c>
      <c r="L759" s="847">
        <f t="shared" si="1097"/>
        <v>467</v>
      </c>
      <c r="M759" s="661">
        <f t="shared" si="1097"/>
        <v>467</v>
      </c>
      <c r="N759" s="847">
        <f t="shared" si="1097"/>
        <v>512</v>
      </c>
      <c r="O759" s="847">
        <f t="shared" si="1097"/>
        <v>512</v>
      </c>
      <c r="P759" s="847">
        <f t="shared" si="1097"/>
        <v>512</v>
      </c>
      <c r="Q759" s="847">
        <f t="shared" si="1097"/>
        <v>512</v>
      </c>
      <c r="R759" s="661">
        <f t="shared" si="1097"/>
        <v>512</v>
      </c>
      <c r="S759" s="847">
        <f t="shared" si="1097"/>
        <v>467</v>
      </c>
      <c r="T759" s="847">
        <f t="shared" si="1097"/>
        <v>467</v>
      </c>
      <c r="U759" s="847">
        <f t="shared" si="1097"/>
        <v>467</v>
      </c>
      <c r="V759" s="847">
        <f t="shared" si="1097"/>
        <v>467</v>
      </c>
      <c r="W759" s="661">
        <f t="shared" si="1097"/>
        <v>467</v>
      </c>
      <c r="X759" s="847">
        <f t="shared" si="1097"/>
        <v>467</v>
      </c>
      <c r="Y759" s="847">
        <f t="shared" si="1097"/>
        <v>467</v>
      </c>
      <c r="Z759" s="847">
        <f t="shared" si="1097"/>
        <v>467</v>
      </c>
      <c r="AA759" s="847">
        <f t="shared" si="1097"/>
        <v>855</v>
      </c>
      <c r="AB759" s="661">
        <f t="shared" si="1097"/>
        <v>855</v>
      </c>
      <c r="AC759" s="847">
        <f t="shared" si="1097"/>
        <v>855</v>
      </c>
      <c r="AD759" s="847">
        <f t="shared" si="1097"/>
        <v>855</v>
      </c>
      <c r="AE759" s="847">
        <f t="shared" si="1097"/>
        <v>855</v>
      </c>
      <c r="AF759" s="847">
        <f t="shared" si="1097"/>
        <v>855</v>
      </c>
      <c r="AG759" s="661">
        <f t="shared" si="1097"/>
        <v>855</v>
      </c>
      <c r="AH759" s="847">
        <f t="shared" si="1097"/>
        <v>855</v>
      </c>
      <c r="AI759" s="847">
        <f t="shared" si="1097"/>
        <v>855</v>
      </c>
      <c r="AJ759" s="847">
        <f t="shared" si="1097"/>
        <v>855</v>
      </c>
      <c r="AK759" s="847">
        <f t="shared" si="1097"/>
        <v>855</v>
      </c>
      <c r="AL759" s="661">
        <f t="shared" si="1097"/>
        <v>855</v>
      </c>
      <c r="AM759" s="847">
        <f t="shared" si="1097"/>
        <v>855</v>
      </c>
      <c r="AN759" s="847">
        <f t="shared" si="1097"/>
        <v>855</v>
      </c>
      <c r="AO759" s="847">
        <f t="shared" ref="AO759:BJ759" si="1098">AO473+AO617</f>
        <v>855</v>
      </c>
      <c r="AP759" s="847">
        <f t="shared" si="1098"/>
        <v>855</v>
      </c>
      <c r="AQ759" s="661">
        <f t="shared" si="1098"/>
        <v>855</v>
      </c>
      <c r="AR759" s="847">
        <f t="shared" si="1098"/>
        <v>855</v>
      </c>
      <c r="AS759" s="847">
        <f t="shared" si="1098"/>
        <v>855</v>
      </c>
      <c r="AT759" s="847">
        <f t="shared" si="1098"/>
        <v>855</v>
      </c>
      <c r="AU759" s="847">
        <f t="shared" si="1098"/>
        <v>855</v>
      </c>
      <c r="AV759" s="661">
        <f t="shared" si="1098"/>
        <v>855</v>
      </c>
      <c r="AW759" s="847">
        <f t="shared" si="1098"/>
        <v>855</v>
      </c>
      <c r="AX759" s="847">
        <f t="shared" si="1098"/>
        <v>855</v>
      </c>
      <c r="AY759" s="847">
        <f t="shared" si="1098"/>
        <v>1055</v>
      </c>
      <c r="AZ759" s="847">
        <f t="shared" si="1098"/>
        <v>1055</v>
      </c>
      <c r="BA759" s="661">
        <f t="shared" si="1098"/>
        <v>1055</v>
      </c>
      <c r="BB759" s="847">
        <f t="shared" si="1098"/>
        <v>1055</v>
      </c>
      <c r="BC759" s="847">
        <f t="shared" si="1098"/>
        <v>1055</v>
      </c>
      <c r="BD759" s="847">
        <f t="shared" si="1098"/>
        <v>1055</v>
      </c>
      <c r="BE759" s="847">
        <f t="shared" si="1098"/>
        <v>1055</v>
      </c>
      <c r="BF759" s="661">
        <f t="shared" si="1098"/>
        <v>1055</v>
      </c>
      <c r="BG759" s="847">
        <f t="shared" si="1098"/>
        <v>1055</v>
      </c>
      <c r="BH759" s="847">
        <f t="shared" si="1098"/>
        <v>1055</v>
      </c>
      <c r="BI759" s="847">
        <f t="shared" si="1098"/>
        <v>1055</v>
      </c>
      <c r="BJ759" s="847">
        <f t="shared" si="1098"/>
        <v>1055</v>
      </c>
      <c r="BK759" s="661">
        <f t="shared" si="1081"/>
        <v>1055</v>
      </c>
      <c r="BL759" s="847">
        <f t="shared" si="1072"/>
        <v>1055</v>
      </c>
      <c r="BM759" s="847">
        <f t="shared" si="1072"/>
        <v>1055</v>
      </c>
      <c r="BN759" s="847">
        <f t="shared" si="1072"/>
        <v>1055</v>
      </c>
      <c r="BO759" s="847">
        <f t="shared" si="1072"/>
        <v>1055</v>
      </c>
      <c r="BP759" s="194">
        <f t="shared" si="1082"/>
        <v>1055</v>
      </c>
      <c r="BQ759" s="847">
        <f t="shared" si="1073"/>
        <v>1055</v>
      </c>
      <c r="BR759" s="847">
        <f t="shared" si="1073"/>
        <v>1055</v>
      </c>
      <c r="BS759" s="847">
        <f t="shared" si="1073"/>
        <v>1197</v>
      </c>
      <c r="BT759" s="847">
        <f t="shared" si="1073"/>
        <v>1345</v>
      </c>
      <c r="BU759" s="194">
        <f t="shared" si="1083"/>
        <v>1345</v>
      </c>
      <c r="BV759" s="847">
        <f t="shared" si="1074"/>
        <v>1345</v>
      </c>
      <c r="BW759" s="847">
        <f t="shared" si="1074"/>
        <v>1348</v>
      </c>
      <c r="BX759" s="847">
        <f t="shared" si="1074"/>
        <v>1348</v>
      </c>
      <c r="BY759" s="847">
        <f t="shared" si="1074"/>
        <v>1476</v>
      </c>
      <c r="BZ759" s="194">
        <f t="shared" si="1084"/>
        <v>1476</v>
      </c>
      <c r="CA759" s="847">
        <f t="shared" si="1075"/>
        <v>1616</v>
      </c>
      <c r="CB759" s="847">
        <f t="shared" si="1075"/>
        <v>1740</v>
      </c>
      <c r="CC759" s="847">
        <f t="shared" si="1075"/>
        <v>1740</v>
      </c>
      <c r="CD759" s="847">
        <f t="shared" si="1075"/>
        <v>2040</v>
      </c>
      <c r="CE759" s="194">
        <f t="shared" si="1085"/>
        <v>2040</v>
      </c>
      <c r="CF759" s="847">
        <f t="shared" si="1076"/>
        <v>2172</v>
      </c>
      <c r="CG759" s="847">
        <f t="shared" si="1076"/>
        <v>2172</v>
      </c>
      <c r="CH759" s="847">
        <f t="shared" si="1076"/>
        <v>2394</v>
      </c>
      <c r="CI759" s="847">
        <f t="shared" si="1076"/>
        <v>3020</v>
      </c>
      <c r="CJ759" s="194">
        <f t="shared" si="1086"/>
        <v>3020</v>
      </c>
      <c r="CK759" s="2350">
        <f t="shared" si="1049"/>
        <v>3248</v>
      </c>
      <c r="CL759" s="847">
        <f t="shared" si="1077"/>
        <v>3256</v>
      </c>
      <c r="CM759" s="847">
        <f t="shared" si="1077"/>
        <v>3776</v>
      </c>
      <c r="CN759" s="847">
        <f t="shared" si="1077"/>
        <v>4010</v>
      </c>
      <c r="CO759" s="236">
        <f t="shared" si="1087"/>
        <v>4010</v>
      </c>
      <c r="CP759" s="973">
        <f t="shared" si="1087"/>
        <v>3396.08</v>
      </c>
      <c r="CQ759" s="847">
        <f t="shared" si="1087"/>
        <v>3422.7200000000003</v>
      </c>
      <c r="CR759" s="847">
        <f t="shared" si="1087"/>
        <v>3973.92</v>
      </c>
      <c r="CS759" s="1431">
        <f t="shared" si="1087"/>
        <v>4221.96</v>
      </c>
      <c r="CT759" s="236">
        <f t="shared" si="1088"/>
        <v>4221.96</v>
      </c>
      <c r="CU759" s="194">
        <f t="shared" si="1078"/>
        <v>4491.3998000000001</v>
      </c>
      <c r="CV759" s="194">
        <f t="shared" si="1078"/>
        <v>4581.227796000001</v>
      </c>
      <c r="CW759" s="374"/>
      <c r="CX759" s="374"/>
      <c r="CY759" s="374"/>
      <c r="CZ759" s="374"/>
      <c r="DA759" s="374"/>
      <c r="DB759" s="217"/>
    </row>
    <row r="760" spans="1:256" x14ac:dyDescent="0.2">
      <c r="A760" s="1266" t="s">
        <v>1390</v>
      </c>
      <c r="B760" s="651"/>
      <c r="C760" s="236"/>
      <c r="D760" s="207"/>
      <c r="E760" s="207"/>
      <c r="F760" s="207"/>
      <c r="G760" s="234"/>
      <c r="H760" s="661"/>
      <c r="I760" s="847">
        <f t="shared" ref="I760:AN760" si="1099">I475+I618</f>
        <v>1196</v>
      </c>
      <c r="J760" s="847">
        <f t="shared" si="1099"/>
        <v>1227</v>
      </c>
      <c r="K760" s="847">
        <f t="shared" si="1099"/>
        <v>1363</v>
      </c>
      <c r="L760" s="847">
        <f t="shared" si="1099"/>
        <v>1941</v>
      </c>
      <c r="M760" s="661">
        <f t="shared" si="1099"/>
        <v>1941</v>
      </c>
      <c r="N760" s="847">
        <f t="shared" si="1099"/>
        <v>2461</v>
      </c>
      <c r="O760" s="847">
        <f t="shared" si="1099"/>
        <v>2461</v>
      </c>
      <c r="P760" s="847">
        <f t="shared" si="1099"/>
        <v>2625</v>
      </c>
      <c r="Q760" s="847">
        <f t="shared" si="1099"/>
        <v>2625</v>
      </c>
      <c r="R760" s="661">
        <f t="shared" si="1099"/>
        <v>2625</v>
      </c>
      <c r="S760" s="847">
        <f t="shared" si="1099"/>
        <v>2625</v>
      </c>
      <c r="T760" s="847">
        <f t="shared" si="1099"/>
        <v>2625</v>
      </c>
      <c r="U760" s="847">
        <f t="shared" si="1099"/>
        <v>2731</v>
      </c>
      <c r="V760" s="847">
        <f t="shared" si="1099"/>
        <v>2731</v>
      </c>
      <c r="W760" s="661">
        <f t="shared" si="1099"/>
        <v>2731</v>
      </c>
      <c r="X760" s="847">
        <f t="shared" si="1099"/>
        <v>2731</v>
      </c>
      <c r="Y760" s="847">
        <f t="shared" si="1099"/>
        <v>2876</v>
      </c>
      <c r="Z760" s="847">
        <f t="shared" si="1099"/>
        <v>3038</v>
      </c>
      <c r="AA760" s="847">
        <f t="shared" si="1099"/>
        <v>3438</v>
      </c>
      <c r="AB760" s="661">
        <f t="shared" si="1099"/>
        <v>3438</v>
      </c>
      <c r="AC760" s="847">
        <f t="shared" si="1099"/>
        <v>3438</v>
      </c>
      <c r="AD760" s="847">
        <f t="shared" si="1099"/>
        <v>3438</v>
      </c>
      <c r="AE760" s="847">
        <f t="shared" si="1099"/>
        <v>3658</v>
      </c>
      <c r="AF760" s="847">
        <f t="shared" si="1099"/>
        <v>3656</v>
      </c>
      <c r="AG760" s="661">
        <f t="shared" si="1099"/>
        <v>3656</v>
      </c>
      <c r="AH760" s="847">
        <f t="shared" si="1099"/>
        <v>3422</v>
      </c>
      <c r="AI760" s="847">
        <f t="shared" si="1099"/>
        <v>3422</v>
      </c>
      <c r="AJ760" s="847">
        <f t="shared" si="1099"/>
        <v>3422</v>
      </c>
      <c r="AK760" s="847">
        <f t="shared" si="1099"/>
        <v>3422</v>
      </c>
      <c r="AL760" s="661">
        <f t="shared" si="1099"/>
        <v>3422</v>
      </c>
      <c r="AM760" s="847">
        <f t="shared" si="1099"/>
        <v>3541</v>
      </c>
      <c r="AN760" s="847">
        <f t="shared" si="1099"/>
        <v>3541</v>
      </c>
      <c r="AO760" s="847">
        <f t="shared" ref="AO760:BT760" si="1100">AO475+AO618</f>
        <v>3700</v>
      </c>
      <c r="AP760" s="847">
        <f t="shared" si="1100"/>
        <v>3700</v>
      </c>
      <c r="AQ760" s="661">
        <f t="shared" si="1100"/>
        <v>3700</v>
      </c>
      <c r="AR760" s="847">
        <f t="shared" si="1100"/>
        <v>3700</v>
      </c>
      <c r="AS760" s="847">
        <f t="shared" si="1100"/>
        <v>3817</v>
      </c>
      <c r="AT760" s="847">
        <f t="shared" si="1100"/>
        <v>3940</v>
      </c>
      <c r="AU760" s="847">
        <f t="shared" si="1100"/>
        <v>3940</v>
      </c>
      <c r="AV760" s="661">
        <f t="shared" si="1100"/>
        <v>3940</v>
      </c>
      <c r="AW760" s="847">
        <f t="shared" si="1100"/>
        <v>3940</v>
      </c>
      <c r="AX760" s="847">
        <f t="shared" si="1100"/>
        <v>3940</v>
      </c>
      <c r="AY760" s="847">
        <f t="shared" si="1100"/>
        <v>4140</v>
      </c>
      <c r="AZ760" s="847">
        <f t="shared" si="1100"/>
        <v>4916</v>
      </c>
      <c r="BA760" s="661">
        <f t="shared" si="1100"/>
        <v>4916</v>
      </c>
      <c r="BB760" s="847">
        <f t="shared" si="1100"/>
        <v>4916</v>
      </c>
      <c r="BC760" s="847">
        <f t="shared" si="1100"/>
        <v>5035</v>
      </c>
      <c r="BD760" s="847">
        <f t="shared" si="1100"/>
        <v>5156</v>
      </c>
      <c r="BE760" s="847">
        <f t="shared" si="1100"/>
        <v>5156</v>
      </c>
      <c r="BF760" s="661">
        <f t="shared" si="1100"/>
        <v>5156</v>
      </c>
      <c r="BG760" s="847">
        <f t="shared" si="1100"/>
        <v>5156</v>
      </c>
      <c r="BH760" s="847">
        <f t="shared" si="1100"/>
        <v>5311</v>
      </c>
      <c r="BI760" s="847">
        <f t="shared" si="1100"/>
        <v>5311</v>
      </c>
      <c r="BJ760" s="847">
        <f t="shared" si="1100"/>
        <v>5311</v>
      </c>
      <c r="BK760" s="661">
        <f t="shared" si="1100"/>
        <v>5311</v>
      </c>
      <c r="BL760" s="847">
        <f t="shared" si="1100"/>
        <v>5311</v>
      </c>
      <c r="BM760" s="847">
        <f t="shared" si="1100"/>
        <v>5129</v>
      </c>
      <c r="BN760" s="847">
        <f t="shared" si="1100"/>
        <v>4844</v>
      </c>
      <c r="BO760" s="847">
        <f t="shared" si="1100"/>
        <v>4545</v>
      </c>
      <c r="BP760" s="194">
        <f t="shared" si="1100"/>
        <v>4545</v>
      </c>
      <c r="BQ760" s="847">
        <f t="shared" si="1100"/>
        <v>4545</v>
      </c>
      <c r="BR760" s="847">
        <f t="shared" si="1100"/>
        <v>4582</v>
      </c>
      <c r="BS760" s="847">
        <f t="shared" si="1100"/>
        <v>4582</v>
      </c>
      <c r="BT760" s="847">
        <f t="shared" si="1100"/>
        <v>4582</v>
      </c>
      <c r="BU760" s="194">
        <f t="shared" ref="BU760:CV760" si="1101">BU475+BU618</f>
        <v>4582</v>
      </c>
      <c r="BV760" s="847">
        <f t="shared" si="1101"/>
        <v>4582</v>
      </c>
      <c r="BW760" s="847">
        <f t="shared" si="1101"/>
        <v>4582</v>
      </c>
      <c r="BX760" s="847">
        <f t="shared" si="1101"/>
        <v>4582</v>
      </c>
      <c r="BY760" s="847">
        <f t="shared" si="1101"/>
        <v>4450</v>
      </c>
      <c r="BZ760" s="194">
        <f t="shared" si="1101"/>
        <v>4450</v>
      </c>
      <c r="CA760" s="847">
        <f t="shared" si="1101"/>
        <v>4550</v>
      </c>
      <c r="CB760" s="847">
        <f t="shared" si="1101"/>
        <v>4550</v>
      </c>
      <c r="CC760" s="847">
        <f t="shared" si="1101"/>
        <v>4720</v>
      </c>
      <c r="CD760" s="847">
        <f t="shared" si="1101"/>
        <v>4720</v>
      </c>
      <c r="CE760" s="194">
        <f t="shared" si="1101"/>
        <v>4720</v>
      </c>
      <c r="CF760" s="847">
        <f t="shared" si="1101"/>
        <v>4973</v>
      </c>
      <c r="CG760" s="847">
        <f t="shared" si="1101"/>
        <v>4973</v>
      </c>
      <c r="CH760" s="847">
        <f t="shared" si="1101"/>
        <v>4973</v>
      </c>
      <c r="CI760" s="847">
        <f t="shared" si="1101"/>
        <v>4854</v>
      </c>
      <c r="CJ760" s="194">
        <f t="shared" si="1101"/>
        <v>4854</v>
      </c>
      <c r="CK760" s="2350">
        <f t="shared" si="1101"/>
        <v>4854</v>
      </c>
      <c r="CL760" s="847">
        <f t="shared" si="1101"/>
        <v>4854</v>
      </c>
      <c r="CM760" s="847">
        <f t="shared" si="1101"/>
        <v>4854</v>
      </c>
      <c r="CN760" s="847">
        <f t="shared" si="1101"/>
        <v>4854</v>
      </c>
      <c r="CO760" s="236">
        <f t="shared" si="1101"/>
        <v>4854</v>
      </c>
      <c r="CP760" s="973">
        <f t="shared" si="1101"/>
        <v>4951.08</v>
      </c>
      <c r="CQ760" s="847">
        <f t="shared" si="1101"/>
        <v>4951.08</v>
      </c>
      <c r="CR760" s="847">
        <f t="shared" si="1101"/>
        <v>4951.08</v>
      </c>
      <c r="CS760" s="1431">
        <f t="shared" si="1101"/>
        <v>4951.08</v>
      </c>
      <c r="CT760" s="236">
        <f>CT475+CT618</f>
        <v>4951.08</v>
      </c>
      <c r="CU760" s="194">
        <f t="shared" si="1101"/>
        <v>5223.3894</v>
      </c>
      <c r="CV760" s="194">
        <f t="shared" si="1101"/>
        <v>5327.857188</v>
      </c>
      <c r="CW760" s="374"/>
      <c r="CX760" s="374"/>
      <c r="CY760" s="374"/>
      <c r="CZ760" s="374"/>
      <c r="DA760" s="374"/>
      <c r="DB760" s="217"/>
    </row>
    <row r="761" spans="1:256" x14ac:dyDescent="0.2">
      <c r="A761" s="1266" t="s">
        <v>650</v>
      </c>
      <c r="B761" s="651"/>
      <c r="C761" s="236"/>
      <c r="D761" s="207"/>
      <c r="E761" s="207"/>
      <c r="F761" s="207"/>
      <c r="G761" s="234"/>
      <c r="H761" s="661"/>
      <c r="I761" s="847">
        <f t="shared" ref="I761:AN761" si="1102">I476+I619</f>
        <v>1068</v>
      </c>
      <c r="J761" s="847">
        <f t="shared" si="1102"/>
        <v>1068</v>
      </c>
      <c r="K761" s="847">
        <f t="shared" si="1102"/>
        <v>1068</v>
      </c>
      <c r="L761" s="847">
        <f t="shared" si="1102"/>
        <v>1068</v>
      </c>
      <c r="M761" s="661">
        <f t="shared" si="1102"/>
        <v>1068</v>
      </c>
      <c r="N761" s="847">
        <f t="shared" si="1102"/>
        <v>1068</v>
      </c>
      <c r="O761" s="847">
        <f t="shared" si="1102"/>
        <v>727</v>
      </c>
      <c r="P761" s="847">
        <f t="shared" si="1102"/>
        <v>727</v>
      </c>
      <c r="Q761" s="847">
        <f t="shared" si="1102"/>
        <v>727</v>
      </c>
      <c r="R761" s="661">
        <f t="shared" si="1102"/>
        <v>727</v>
      </c>
      <c r="S761" s="847">
        <f t="shared" si="1102"/>
        <v>727</v>
      </c>
      <c r="T761" s="847">
        <f t="shared" si="1102"/>
        <v>727</v>
      </c>
      <c r="U761" s="847">
        <f t="shared" si="1102"/>
        <v>727</v>
      </c>
      <c r="V761" s="847">
        <f t="shared" si="1102"/>
        <v>727</v>
      </c>
      <c r="W761" s="661">
        <f t="shared" si="1102"/>
        <v>727</v>
      </c>
      <c r="X761" s="847">
        <f t="shared" si="1102"/>
        <v>727</v>
      </c>
      <c r="Y761" s="847">
        <f t="shared" si="1102"/>
        <v>727</v>
      </c>
      <c r="Z761" s="847">
        <f t="shared" si="1102"/>
        <v>727</v>
      </c>
      <c r="AA761" s="847">
        <f t="shared" si="1102"/>
        <v>727</v>
      </c>
      <c r="AB761" s="661">
        <f t="shared" si="1102"/>
        <v>727</v>
      </c>
      <c r="AC761" s="847">
        <f t="shared" si="1102"/>
        <v>726</v>
      </c>
      <c r="AD761" s="847">
        <f t="shared" si="1102"/>
        <v>724</v>
      </c>
      <c r="AE761" s="847">
        <f t="shared" si="1102"/>
        <v>724</v>
      </c>
      <c r="AF761" s="847">
        <f t="shared" si="1102"/>
        <v>532</v>
      </c>
      <c r="AG761" s="661">
        <f t="shared" si="1102"/>
        <v>532</v>
      </c>
      <c r="AH761" s="847">
        <f t="shared" si="1102"/>
        <v>332</v>
      </c>
      <c r="AI761" s="847">
        <f t="shared" si="1102"/>
        <v>332</v>
      </c>
      <c r="AJ761" s="847">
        <f t="shared" si="1102"/>
        <v>332</v>
      </c>
      <c r="AK761" s="847">
        <f t="shared" si="1102"/>
        <v>332</v>
      </c>
      <c r="AL761" s="661">
        <f t="shared" si="1102"/>
        <v>332</v>
      </c>
      <c r="AM761" s="847">
        <f t="shared" si="1102"/>
        <v>332</v>
      </c>
      <c r="AN761" s="847">
        <f t="shared" si="1102"/>
        <v>332</v>
      </c>
      <c r="AO761" s="847">
        <f t="shared" ref="AO761:BT761" si="1103">AO476+AO619</f>
        <v>332</v>
      </c>
      <c r="AP761" s="847">
        <f t="shared" si="1103"/>
        <v>332</v>
      </c>
      <c r="AQ761" s="661">
        <f t="shared" si="1103"/>
        <v>332</v>
      </c>
      <c r="AR761" s="847">
        <f t="shared" si="1103"/>
        <v>0</v>
      </c>
      <c r="AS761" s="847">
        <f t="shared" si="1103"/>
        <v>0</v>
      </c>
      <c r="AT761" s="847">
        <f t="shared" si="1103"/>
        <v>0</v>
      </c>
      <c r="AU761" s="847">
        <f t="shared" si="1103"/>
        <v>0</v>
      </c>
      <c r="AV761" s="661">
        <f t="shared" si="1103"/>
        <v>0</v>
      </c>
      <c r="AW761" s="847">
        <f t="shared" si="1103"/>
        <v>0</v>
      </c>
      <c r="AX761" s="847">
        <f t="shared" si="1103"/>
        <v>0</v>
      </c>
      <c r="AY761" s="847">
        <f t="shared" si="1103"/>
        <v>0</v>
      </c>
      <c r="AZ761" s="847">
        <f t="shared" si="1103"/>
        <v>0</v>
      </c>
      <c r="BA761" s="661">
        <f t="shared" si="1103"/>
        <v>0</v>
      </c>
      <c r="BB761" s="847">
        <f t="shared" si="1103"/>
        <v>0</v>
      </c>
      <c r="BC761" s="847">
        <f t="shared" si="1103"/>
        <v>0</v>
      </c>
      <c r="BD761" s="847">
        <f t="shared" si="1103"/>
        <v>0</v>
      </c>
      <c r="BE761" s="847">
        <f t="shared" si="1103"/>
        <v>0</v>
      </c>
      <c r="BF761" s="661">
        <f t="shared" si="1103"/>
        <v>0</v>
      </c>
      <c r="BG761" s="847">
        <f t="shared" si="1103"/>
        <v>0</v>
      </c>
      <c r="BH761" s="847">
        <f t="shared" si="1103"/>
        <v>0</v>
      </c>
      <c r="BI761" s="847">
        <f t="shared" si="1103"/>
        <v>0</v>
      </c>
      <c r="BJ761" s="847">
        <f t="shared" si="1103"/>
        <v>0</v>
      </c>
      <c r="BK761" s="661">
        <f t="shared" si="1103"/>
        <v>0</v>
      </c>
      <c r="BL761" s="847">
        <f t="shared" si="1103"/>
        <v>0</v>
      </c>
      <c r="BM761" s="847">
        <f t="shared" si="1103"/>
        <v>0</v>
      </c>
      <c r="BN761" s="847">
        <f t="shared" si="1103"/>
        <v>0</v>
      </c>
      <c r="BO761" s="847">
        <f t="shared" si="1103"/>
        <v>0</v>
      </c>
      <c r="BP761" s="194">
        <f t="shared" si="1103"/>
        <v>0</v>
      </c>
      <c r="BQ761" s="847">
        <f t="shared" si="1103"/>
        <v>0</v>
      </c>
      <c r="BR761" s="847">
        <f t="shared" si="1103"/>
        <v>0</v>
      </c>
      <c r="BS761" s="847">
        <f t="shared" si="1103"/>
        <v>0</v>
      </c>
      <c r="BT761" s="847">
        <f t="shared" si="1103"/>
        <v>0</v>
      </c>
      <c r="BU761" s="194">
        <f t="shared" ref="BU761:CV761" si="1104">BU476+BU619</f>
        <v>0</v>
      </c>
      <c r="BV761" s="847">
        <f t="shared" si="1104"/>
        <v>0</v>
      </c>
      <c r="BW761" s="847">
        <f t="shared" si="1104"/>
        <v>0</v>
      </c>
      <c r="BX761" s="847">
        <f t="shared" si="1104"/>
        <v>0</v>
      </c>
      <c r="BY761" s="847">
        <f t="shared" si="1104"/>
        <v>0</v>
      </c>
      <c r="BZ761" s="194">
        <f t="shared" si="1104"/>
        <v>0</v>
      </c>
      <c r="CA761" s="847">
        <f t="shared" si="1104"/>
        <v>0</v>
      </c>
      <c r="CB761" s="847">
        <f t="shared" si="1104"/>
        <v>0</v>
      </c>
      <c r="CC761" s="847">
        <f t="shared" si="1104"/>
        <v>0</v>
      </c>
      <c r="CD761" s="847">
        <f t="shared" si="1104"/>
        <v>0</v>
      </c>
      <c r="CE761" s="194">
        <f t="shared" si="1104"/>
        <v>0</v>
      </c>
      <c r="CF761" s="847">
        <f t="shared" si="1104"/>
        <v>0</v>
      </c>
      <c r="CG761" s="847">
        <f t="shared" si="1104"/>
        <v>0</v>
      </c>
      <c r="CH761" s="847">
        <f t="shared" si="1104"/>
        <v>0</v>
      </c>
      <c r="CI761" s="847">
        <f t="shared" si="1104"/>
        <v>0</v>
      </c>
      <c r="CJ761" s="194">
        <f t="shared" si="1104"/>
        <v>0</v>
      </c>
      <c r="CK761" s="2350">
        <f>CK476+CK619</f>
        <v>0</v>
      </c>
      <c r="CL761" s="847">
        <f t="shared" si="1104"/>
        <v>0</v>
      </c>
      <c r="CM761" s="847">
        <f t="shared" si="1104"/>
        <v>0</v>
      </c>
      <c r="CN761" s="847">
        <f t="shared" si="1104"/>
        <v>0</v>
      </c>
      <c r="CO761" s="236">
        <f t="shared" si="1104"/>
        <v>0</v>
      </c>
      <c r="CP761" s="973">
        <f>CP476+CP619</f>
        <v>0</v>
      </c>
      <c r="CQ761" s="847">
        <f>CQ476+CQ619</f>
        <v>0</v>
      </c>
      <c r="CR761" s="847">
        <f>CR476+CR619</f>
        <v>0</v>
      </c>
      <c r="CS761" s="1431">
        <f>CS476+CS619</f>
        <v>0</v>
      </c>
      <c r="CT761" s="2970">
        <f>CT476+CT619</f>
        <v>0</v>
      </c>
      <c r="CU761" s="194">
        <f t="shared" si="1104"/>
        <v>0</v>
      </c>
      <c r="CV761" s="194">
        <f t="shared" si="1104"/>
        <v>0</v>
      </c>
      <c r="CW761" s="374"/>
      <c r="CX761" s="374"/>
      <c r="CY761" s="374"/>
      <c r="CZ761" s="374"/>
      <c r="DA761" s="374"/>
      <c r="DB761" s="217"/>
    </row>
    <row r="762" spans="1:256" x14ac:dyDescent="0.2">
      <c r="A762" s="1436" t="s">
        <v>677</v>
      </c>
      <c r="B762" s="651"/>
      <c r="C762" s="236"/>
      <c r="D762" s="207"/>
      <c r="E762" s="207"/>
      <c r="F762" s="207"/>
      <c r="G762" s="234"/>
      <c r="H762" s="661"/>
      <c r="I762" s="847"/>
      <c r="J762" s="847"/>
      <c r="K762" s="847"/>
      <c r="L762" s="847"/>
      <c r="M762" s="661"/>
      <c r="N762" s="847"/>
      <c r="O762" s="847"/>
      <c r="P762" s="847"/>
      <c r="Q762" s="847"/>
      <c r="R762" s="661"/>
      <c r="S762" s="847"/>
      <c r="T762" s="847"/>
      <c r="U762" s="847"/>
      <c r="V762" s="847"/>
      <c r="W762" s="661"/>
      <c r="X762" s="847"/>
      <c r="Y762" s="847"/>
      <c r="Z762" s="847"/>
      <c r="AA762" s="847"/>
      <c r="AB762" s="661"/>
      <c r="AC762" s="847"/>
      <c r="AD762" s="847"/>
      <c r="AE762" s="847"/>
      <c r="AF762" s="847"/>
      <c r="AG762" s="661"/>
      <c r="AH762" s="847"/>
      <c r="AI762" s="847"/>
      <c r="AJ762" s="847"/>
      <c r="AK762" s="847"/>
      <c r="AL762" s="661"/>
      <c r="AM762" s="847"/>
      <c r="AN762" s="847"/>
      <c r="AO762" s="847"/>
      <c r="AP762" s="847"/>
      <c r="AQ762" s="661"/>
      <c r="AR762" s="847"/>
      <c r="AS762" s="847"/>
      <c r="AT762" s="847"/>
      <c r="AU762" s="847"/>
      <c r="AV762" s="661"/>
      <c r="AW762" s="847"/>
      <c r="AX762" s="847"/>
      <c r="AY762" s="847"/>
      <c r="AZ762" s="847"/>
      <c r="BA762" s="661"/>
      <c r="BB762" s="847"/>
      <c r="BC762" s="847"/>
      <c r="BD762" s="847"/>
      <c r="BE762" s="847"/>
      <c r="BF762" s="661"/>
      <c r="BG762" s="847"/>
      <c r="BH762" s="847"/>
      <c r="BI762" s="847"/>
      <c r="BJ762" s="847"/>
      <c r="BK762" s="661"/>
      <c r="BL762" s="847"/>
      <c r="BM762" s="847"/>
      <c r="BN762" s="847"/>
      <c r="BO762" s="1431">
        <f t="shared" ref="BO762:CV762" si="1105">BO474+BO620</f>
        <v>8098</v>
      </c>
      <c r="BP762" s="661">
        <f t="shared" si="1105"/>
        <v>8098</v>
      </c>
      <c r="BQ762" s="847">
        <f t="shared" si="1105"/>
        <v>8098</v>
      </c>
      <c r="BR762" s="847">
        <f t="shared" si="1105"/>
        <v>8098</v>
      </c>
      <c r="BS762" s="847">
        <f t="shared" si="1105"/>
        <v>8098</v>
      </c>
      <c r="BT762" s="847">
        <f t="shared" si="1105"/>
        <v>8098</v>
      </c>
      <c r="BU762" s="236">
        <f t="shared" si="1105"/>
        <v>8098</v>
      </c>
      <c r="BV762" s="847">
        <f t="shared" si="1105"/>
        <v>8098</v>
      </c>
      <c r="BW762" s="847">
        <f t="shared" si="1105"/>
        <v>8098</v>
      </c>
      <c r="BX762" s="847">
        <f t="shared" si="1105"/>
        <v>8098</v>
      </c>
      <c r="BY762" s="847">
        <f t="shared" si="1105"/>
        <v>8098</v>
      </c>
      <c r="BZ762" s="236">
        <f t="shared" si="1105"/>
        <v>8098</v>
      </c>
      <c r="CA762" s="847">
        <f t="shared" si="1105"/>
        <v>8098</v>
      </c>
      <c r="CB762" s="847">
        <f t="shared" si="1105"/>
        <v>8098</v>
      </c>
      <c r="CC762" s="847">
        <f t="shared" si="1105"/>
        <v>8098</v>
      </c>
      <c r="CD762" s="847">
        <f t="shared" si="1105"/>
        <v>8098</v>
      </c>
      <c r="CE762" s="236">
        <f t="shared" si="1105"/>
        <v>8098</v>
      </c>
      <c r="CF762" s="847">
        <f t="shared" si="1105"/>
        <v>8098</v>
      </c>
      <c r="CG762" s="847">
        <f t="shared" si="1105"/>
        <v>8098</v>
      </c>
      <c r="CH762" s="847">
        <f t="shared" si="1105"/>
        <v>8098</v>
      </c>
      <c r="CI762" s="847">
        <f t="shared" si="1105"/>
        <v>8098</v>
      </c>
      <c r="CJ762" s="236">
        <f t="shared" si="1105"/>
        <v>8098</v>
      </c>
      <c r="CK762" s="2350">
        <f t="shared" si="1105"/>
        <v>8108</v>
      </c>
      <c r="CL762" s="847">
        <f t="shared" si="1105"/>
        <v>8108</v>
      </c>
      <c r="CM762" s="847">
        <f t="shared" si="1105"/>
        <v>8108</v>
      </c>
      <c r="CN762" s="847">
        <f t="shared" si="1105"/>
        <v>8108</v>
      </c>
      <c r="CO762" s="236">
        <f t="shared" si="1105"/>
        <v>8108</v>
      </c>
      <c r="CP762" s="973">
        <f>CP474+CP620</f>
        <v>8270.16</v>
      </c>
      <c r="CQ762" s="847">
        <f>CQ474+CQ620</f>
        <v>8270.16</v>
      </c>
      <c r="CR762" s="847">
        <f>CR474+CR620</f>
        <v>8270.16</v>
      </c>
      <c r="CS762" s="1431">
        <f>CS474+CS620</f>
        <v>8270.16</v>
      </c>
      <c r="CT762" s="236">
        <f>CT474+CT620</f>
        <v>8270.16</v>
      </c>
      <c r="CU762" s="236">
        <f t="shared" si="1105"/>
        <v>8435.5632000000005</v>
      </c>
      <c r="CV762" s="236">
        <f t="shared" si="1105"/>
        <v>8435.5632000000005</v>
      </c>
      <c r="CW762" s="1201"/>
      <c r="CX762" s="1201"/>
      <c r="CY762" s="1201"/>
      <c r="CZ762" s="1201"/>
      <c r="DA762" s="1201"/>
      <c r="DB762" s="217"/>
      <c r="DF762" s="207"/>
      <c r="DG762" s="207"/>
      <c r="DH762" s="207"/>
      <c r="DI762" s="207"/>
      <c r="DJ762" s="207"/>
      <c r="DK762" s="207"/>
      <c r="DL762" s="207"/>
      <c r="DM762" s="207"/>
      <c r="DN762" s="207"/>
      <c r="DO762" s="207"/>
      <c r="DP762" s="207"/>
      <c r="DQ762" s="207"/>
      <c r="DR762" s="207"/>
      <c r="DS762" s="207"/>
      <c r="DT762" s="207"/>
      <c r="DU762" s="207"/>
      <c r="DV762" s="207"/>
      <c r="DW762" s="207"/>
      <c r="DX762" s="207"/>
      <c r="DY762" s="207"/>
      <c r="DZ762" s="207"/>
      <c r="EA762" s="207"/>
      <c r="EB762" s="207"/>
      <c r="EC762" s="207"/>
      <c r="ED762" s="207"/>
      <c r="EE762" s="207"/>
      <c r="EF762" s="207"/>
      <c r="EG762" s="207"/>
      <c r="EH762" s="207"/>
      <c r="EI762" s="207"/>
      <c r="EJ762" s="207"/>
      <c r="EK762" s="207"/>
      <c r="EL762" s="207"/>
      <c r="EM762" s="207"/>
      <c r="EN762" s="207"/>
      <c r="EO762" s="207"/>
      <c r="EP762" s="207"/>
      <c r="EQ762" s="207"/>
      <c r="ER762" s="207"/>
      <c r="ES762" s="207"/>
      <c r="ET762" s="207"/>
      <c r="EU762" s="207"/>
      <c r="EV762" s="207"/>
      <c r="EW762" s="207"/>
      <c r="EX762" s="207"/>
      <c r="EY762" s="207"/>
      <c r="EZ762" s="207"/>
      <c r="FA762" s="207"/>
      <c r="FB762" s="207"/>
      <c r="FC762" s="207"/>
      <c r="FD762" s="207"/>
      <c r="FE762" s="207"/>
      <c r="FF762" s="207"/>
      <c r="FG762" s="207"/>
      <c r="FH762" s="207"/>
      <c r="FI762" s="207"/>
      <c r="FJ762" s="207"/>
      <c r="FK762" s="207"/>
      <c r="FL762" s="207"/>
      <c r="FM762" s="207"/>
      <c r="FN762" s="207"/>
      <c r="FO762" s="207"/>
      <c r="FP762" s="207"/>
      <c r="FQ762" s="207"/>
      <c r="FR762" s="207"/>
      <c r="FS762" s="207"/>
      <c r="FT762" s="207"/>
      <c r="FU762" s="207"/>
      <c r="FV762" s="207"/>
      <c r="FW762" s="207"/>
      <c r="FX762" s="207"/>
      <c r="FY762" s="207"/>
      <c r="FZ762" s="207"/>
      <c r="GA762" s="207"/>
      <c r="GB762" s="207"/>
      <c r="GC762" s="207"/>
      <c r="GD762" s="207"/>
      <c r="GE762" s="207"/>
      <c r="GF762" s="207"/>
      <c r="GG762" s="207"/>
      <c r="GH762" s="207"/>
      <c r="GI762" s="207"/>
      <c r="GJ762" s="207"/>
      <c r="GK762" s="207"/>
      <c r="GL762" s="207"/>
      <c r="GM762" s="207"/>
      <c r="GN762" s="207"/>
      <c r="GO762" s="207"/>
      <c r="GP762" s="207"/>
      <c r="GQ762" s="207"/>
      <c r="GR762" s="207"/>
      <c r="GS762" s="207"/>
      <c r="GT762" s="207"/>
      <c r="GU762" s="207"/>
      <c r="GV762" s="207"/>
      <c r="GW762" s="207"/>
      <c r="GX762" s="207"/>
      <c r="GY762" s="207"/>
      <c r="GZ762" s="207"/>
      <c r="HA762" s="207"/>
      <c r="HB762" s="207"/>
      <c r="HC762" s="207"/>
      <c r="HD762" s="207"/>
      <c r="HE762" s="207"/>
      <c r="HF762" s="207"/>
      <c r="HG762" s="207"/>
      <c r="HH762" s="207"/>
      <c r="HI762" s="207"/>
      <c r="HJ762" s="207"/>
      <c r="HK762" s="207"/>
      <c r="HL762" s="207"/>
      <c r="HM762" s="207"/>
      <c r="HN762" s="207"/>
      <c r="HO762" s="207"/>
      <c r="HP762" s="207"/>
      <c r="HQ762" s="207"/>
      <c r="HR762" s="207"/>
      <c r="HS762" s="207"/>
      <c r="HT762" s="207"/>
      <c r="HU762" s="207"/>
      <c r="HV762" s="207"/>
      <c r="HW762" s="207"/>
      <c r="HX762" s="207"/>
      <c r="HY762" s="207"/>
      <c r="HZ762" s="207"/>
      <c r="IA762" s="207"/>
      <c r="IB762" s="207"/>
      <c r="IC762" s="207"/>
      <c r="ID762" s="207"/>
      <c r="IE762" s="207"/>
      <c r="IF762" s="207"/>
      <c r="IG762" s="207"/>
      <c r="IH762" s="207"/>
      <c r="II762" s="207"/>
      <c r="IJ762" s="207"/>
      <c r="IK762" s="207"/>
      <c r="IL762" s="207"/>
      <c r="IM762" s="207"/>
      <c r="IN762" s="207"/>
      <c r="IO762" s="207"/>
      <c r="IP762" s="207"/>
      <c r="IQ762" s="207"/>
      <c r="IR762" s="207"/>
      <c r="IS762" s="207"/>
      <c r="IT762" s="207"/>
      <c r="IU762" s="207"/>
      <c r="IV762" s="207"/>
    </row>
    <row r="763" spans="1:256" x14ac:dyDescent="0.2">
      <c r="A763" s="2360" t="s">
        <v>2285</v>
      </c>
      <c r="B763" s="651"/>
      <c r="C763" s="236"/>
      <c r="D763" s="207"/>
      <c r="E763" s="207"/>
      <c r="F763" s="207"/>
      <c r="G763" s="234"/>
      <c r="H763" s="661"/>
      <c r="I763" s="847"/>
      <c r="J763" s="847"/>
      <c r="K763" s="847"/>
      <c r="L763" s="847"/>
      <c r="M763" s="661"/>
      <c r="N763" s="847"/>
      <c r="O763" s="847"/>
      <c r="P763" s="847"/>
      <c r="Q763" s="847"/>
      <c r="R763" s="661"/>
      <c r="S763" s="847"/>
      <c r="T763" s="847"/>
      <c r="U763" s="847"/>
      <c r="V763" s="847"/>
      <c r="W763" s="661"/>
      <c r="X763" s="847"/>
      <c r="Y763" s="847"/>
      <c r="Z763" s="847"/>
      <c r="AA763" s="847"/>
      <c r="AB763" s="661"/>
      <c r="AC763" s="847"/>
      <c r="AD763" s="847"/>
      <c r="AE763" s="847"/>
      <c r="AF763" s="847"/>
      <c r="AG763" s="661"/>
      <c r="AH763" s="847"/>
      <c r="AI763" s="847"/>
      <c r="AJ763" s="847"/>
      <c r="AK763" s="847"/>
      <c r="AL763" s="661"/>
      <c r="AM763" s="847"/>
      <c r="AN763" s="847"/>
      <c r="AO763" s="847"/>
      <c r="AP763" s="847"/>
      <c r="AQ763" s="661"/>
      <c r="AR763" s="847"/>
      <c r="AS763" s="847"/>
      <c r="AT763" s="847"/>
      <c r="AU763" s="847"/>
      <c r="AV763" s="661"/>
      <c r="AW763" s="847"/>
      <c r="AX763" s="847"/>
      <c r="AY763" s="847"/>
      <c r="AZ763" s="847"/>
      <c r="BA763" s="661"/>
      <c r="BB763" s="847"/>
      <c r="BC763" s="847"/>
      <c r="BD763" s="847"/>
      <c r="BE763" s="847"/>
      <c r="BF763" s="661"/>
      <c r="BG763" s="847"/>
      <c r="BH763" s="847"/>
      <c r="BI763" s="847"/>
      <c r="BJ763" s="847"/>
      <c r="BK763" s="661"/>
      <c r="BL763" s="847"/>
      <c r="BM763" s="847"/>
      <c r="BN763" s="847"/>
      <c r="BO763" s="847"/>
      <c r="BP763" s="661"/>
      <c r="BQ763" s="847"/>
      <c r="BR763" s="847"/>
      <c r="BS763" s="847"/>
      <c r="BT763" s="847"/>
      <c r="BU763" s="236"/>
      <c r="BV763" s="847"/>
      <c r="BW763" s="847"/>
      <c r="BX763" s="847"/>
      <c r="BY763" s="847"/>
      <c r="BZ763" s="236"/>
      <c r="CA763" s="847"/>
      <c r="CB763" s="847">
        <f t="shared" ref="CB763:CV763" si="1106">CB477</f>
        <v>7246</v>
      </c>
      <c r="CC763" s="847">
        <f t="shared" si="1106"/>
        <v>6829</v>
      </c>
      <c r="CD763" s="847">
        <f t="shared" si="1106"/>
        <v>6828</v>
      </c>
      <c r="CE763" s="236">
        <f t="shared" si="1106"/>
        <v>6828</v>
      </c>
      <c r="CF763" s="847">
        <f t="shared" si="1106"/>
        <v>6764</v>
      </c>
      <c r="CG763" s="847">
        <f t="shared" si="1106"/>
        <v>6764</v>
      </c>
      <c r="CH763" s="847">
        <f t="shared" si="1106"/>
        <v>6764</v>
      </c>
      <c r="CI763" s="847">
        <f t="shared" si="1106"/>
        <v>6764</v>
      </c>
      <c r="CJ763" s="236">
        <f t="shared" si="1106"/>
        <v>6764</v>
      </c>
      <c r="CK763" s="2350">
        <f t="shared" si="1106"/>
        <v>6764</v>
      </c>
      <c r="CL763" s="847">
        <f t="shared" si="1106"/>
        <v>6764</v>
      </c>
      <c r="CM763" s="847">
        <f t="shared" si="1106"/>
        <v>6764</v>
      </c>
      <c r="CN763" s="847">
        <f t="shared" si="1106"/>
        <v>6764</v>
      </c>
      <c r="CO763" s="236">
        <f t="shared" si="1106"/>
        <v>6764</v>
      </c>
      <c r="CP763" s="973">
        <f>CP477</f>
        <v>6899.28</v>
      </c>
      <c r="CQ763" s="847">
        <f>CQ477</f>
        <v>6899.28</v>
      </c>
      <c r="CR763" s="847">
        <f>CR477</f>
        <v>6899.28</v>
      </c>
      <c r="CS763" s="1431">
        <f>CS477</f>
        <v>6899.28</v>
      </c>
      <c r="CT763" s="236">
        <f>CT477</f>
        <v>6899.28</v>
      </c>
      <c r="CU763" s="236">
        <f t="shared" si="1106"/>
        <v>7037.2655999999997</v>
      </c>
      <c r="CV763" s="236">
        <f t="shared" si="1106"/>
        <v>7037.2655999999997</v>
      </c>
      <c r="CW763" s="1201"/>
      <c r="CX763" s="1201"/>
      <c r="CY763" s="1201"/>
      <c r="CZ763" s="1201"/>
      <c r="DA763" s="1201"/>
      <c r="DB763" s="217"/>
      <c r="DF763" s="207"/>
      <c r="DG763" s="207"/>
      <c r="DH763" s="207"/>
      <c r="DI763" s="207"/>
      <c r="DJ763" s="207"/>
      <c r="DK763" s="207"/>
      <c r="DL763" s="207"/>
      <c r="DM763" s="207"/>
      <c r="DN763" s="207"/>
      <c r="DO763" s="207"/>
      <c r="DP763" s="207"/>
      <c r="DQ763" s="207"/>
      <c r="DR763" s="207"/>
      <c r="DS763" s="207"/>
      <c r="DT763" s="207"/>
      <c r="DU763" s="207"/>
      <c r="DV763" s="207"/>
      <c r="DW763" s="207"/>
      <c r="DX763" s="207"/>
      <c r="DY763" s="207"/>
      <c r="DZ763" s="207"/>
      <c r="EA763" s="207"/>
      <c r="EB763" s="207"/>
      <c r="EC763" s="207"/>
      <c r="ED763" s="207"/>
      <c r="EE763" s="207"/>
      <c r="EF763" s="207"/>
      <c r="EG763" s="207"/>
      <c r="EH763" s="207"/>
      <c r="EI763" s="207"/>
      <c r="EJ763" s="207"/>
      <c r="EK763" s="207"/>
      <c r="EL763" s="207"/>
      <c r="EM763" s="207"/>
      <c r="EN763" s="207"/>
      <c r="EO763" s="207"/>
      <c r="EP763" s="207"/>
      <c r="EQ763" s="207"/>
      <c r="ER763" s="207"/>
      <c r="ES763" s="207"/>
      <c r="ET763" s="207"/>
      <c r="EU763" s="207"/>
      <c r="EV763" s="207"/>
      <c r="EW763" s="207"/>
      <c r="EX763" s="207"/>
      <c r="EY763" s="207"/>
      <c r="EZ763" s="207"/>
      <c r="FA763" s="207"/>
      <c r="FB763" s="207"/>
      <c r="FC763" s="207"/>
      <c r="FD763" s="207"/>
      <c r="FE763" s="207"/>
      <c r="FF763" s="207"/>
      <c r="FG763" s="207"/>
      <c r="FH763" s="207"/>
      <c r="FI763" s="207"/>
      <c r="FJ763" s="207"/>
      <c r="FK763" s="207"/>
      <c r="FL763" s="207"/>
      <c r="FM763" s="207"/>
      <c r="FN763" s="207"/>
      <c r="FO763" s="207"/>
      <c r="FP763" s="207"/>
      <c r="FQ763" s="207"/>
      <c r="FR763" s="207"/>
      <c r="FS763" s="207"/>
      <c r="FT763" s="207"/>
      <c r="FU763" s="207"/>
      <c r="FV763" s="207"/>
      <c r="FW763" s="207"/>
      <c r="FX763" s="207"/>
      <c r="FY763" s="207"/>
      <c r="FZ763" s="207"/>
      <c r="GA763" s="207"/>
      <c r="GB763" s="207"/>
      <c r="GC763" s="207"/>
      <c r="GD763" s="207"/>
      <c r="GE763" s="207"/>
      <c r="GF763" s="207"/>
      <c r="GG763" s="207"/>
      <c r="GH763" s="207"/>
      <c r="GI763" s="207"/>
      <c r="GJ763" s="207"/>
      <c r="GK763" s="207"/>
      <c r="GL763" s="207"/>
      <c r="GM763" s="207"/>
      <c r="GN763" s="207"/>
      <c r="GO763" s="207"/>
      <c r="GP763" s="207"/>
      <c r="GQ763" s="207"/>
      <c r="GR763" s="207"/>
      <c r="GS763" s="207"/>
      <c r="GT763" s="207"/>
      <c r="GU763" s="207"/>
      <c r="GV763" s="207"/>
      <c r="GW763" s="207"/>
      <c r="GX763" s="207"/>
      <c r="GY763" s="207"/>
      <c r="GZ763" s="207"/>
      <c r="HA763" s="207"/>
      <c r="HB763" s="207"/>
      <c r="HC763" s="207"/>
      <c r="HD763" s="207"/>
      <c r="HE763" s="207"/>
      <c r="HF763" s="207"/>
      <c r="HG763" s="207"/>
      <c r="HH763" s="207"/>
      <c r="HI763" s="207"/>
      <c r="HJ763" s="207"/>
      <c r="HK763" s="207"/>
      <c r="HL763" s="207"/>
      <c r="HM763" s="207"/>
      <c r="HN763" s="207"/>
      <c r="HO763" s="207"/>
      <c r="HP763" s="207"/>
      <c r="HQ763" s="207"/>
      <c r="HR763" s="207"/>
      <c r="HS763" s="207"/>
      <c r="HT763" s="207"/>
      <c r="HU763" s="207"/>
      <c r="HV763" s="207"/>
      <c r="HW763" s="207"/>
      <c r="HX763" s="207"/>
      <c r="HY763" s="207"/>
      <c r="HZ763" s="207"/>
      <c r="IA763" s="207"/>
      <c r="IB763" s="207"/>
      <c r="IC763" s="207"/>
      <c r="ID763" s="207"/>
      <c r="IE763" s="207"/>
      <c r="IF763" s="207"/>
      <c r="IG763" s="207"/>
      <c r="IH763" s="207"/>
      <c r="II763" s="207"/>
      <c r="IJ763" s="207"/>
      <c r="IK763" s="207"/>
      <c r="IL763" s="207"/>
      <c r="IM763" s="207"/>
      <c r="IN763" s="207"/>
      <c r="IO763" s="207"/>
      <c r="IP763" s="207"/>
      <c r="IQ763" s="207"/>
      <c r="IR763" s="207"/>
      <c r="IS763" s="207"/>
      <c r="IT763" s="207"/>
      <c r="IU763" s="207"/>
      <c r="IV763" s="207"/>
    </row>
    <row r="764" spans="1:256" s="3026" customFormat="1" x14ac:dyDescent="0.2">
      <c r="A764" s="2633" t="s">
        <v>384</v>
      </c>
      <c r="B764" s="1443"/>
      <c r="C764" s="1444"/>
      <c r="G764" s="1445"/>
      <c r="H764" s="246"/>
      <c r="I764" s="850">
        <f t="shared" ref="I764:AN764" si="1107">I478+I621</f>
        <v>1733</v>
      </c>
      <c r="J764" s="850">
        <f t="shared" si="1107"/>
        <v>1733</v>
      </c>
      <c r="K764" s="850">
        <f t="shared" si="1107"/>
        <v>1783</v>
      </c>
      <c r="L764" s="850">
        <f t="shared" si="1107"/>
        <v>1797</v>
      </c>
      <c r="M764" s="246">
        <f t="shared" si="1107"/>
        <v>1797</v>
      </c>
      <c r="N764" s="850">
        <f t="shared" si="1107"/>
        <v>1969</v>
      </c>
      <c r="O764" s="850">
        <f t="shared" si="1107"/>
        <v>1969</v>
      </c>
      <c r="P764" s="850">
        <f t="shared" si="1107"/>
        <v>1909</v>
      </c>
      <c r="Q764" s="850">
        <f t="shared" si="1107"/>
        <v>1908</v>
      </c>
      <c r="R764" s="246">
        <f t="shared" si="1107"/>
        <v>1908</v>
      </c>
      <c r="S764" s="850">
        <f t="shared" si="1107"/>
        <v>2068</v>
      </c>
      <c r="T764" s="850">
        <f t="shared" si="1107"/>
        <v>2068</v>
      </c>
      <c r="U764" s="850">
        <f t="shared" si="1107"/>
        <v>2068</v>
      </c>
      <c r="V764" s="850">
        <f t="shared" si="1107"/>
        <v>2223</v>
      </c>
      <c r="W764" s="246">
        <f t="shared" si="1107"/>
        <v>2223</v>
      </c>
      <c r="X764" s="850">
        <f t="shared" si="1107"/>
        <v>2323</v>
      </c>
      <c r="Y764" s="850">
        <f t="shared" si="1107"/>
        <v>2372</v>
      </c>
      <c r="Z764" s="850">
        <f t="shared" si="1107"/>
        <v>2372</v>
      </c>
      <c r="AA764" s="850">
        <f t="shared" si="1107"/>
        <v>2372</v>
      </c>
      <c r="AB764" s="246">
        <f t="shared" si="1107"/>
        <v>2372</v>
      </c>
      <c r="AC764" s="850">
        <f t="shared" si="1107"/>
        <v>2486</v>
      </c>
      <c r="AD764" s="850">
        <f t="shared" si="1107"/>
        <v>2710</v>
      </c>
      <c r="AE764" s="850">
        <f t="shared" si="1107"/>
        <v>2710</v>
      </c>
      <c r="AF764" s="850">
        <f t="shared" si="1107"/>
        <v>2753</v>
      </c>
      <c r="AG764" s="246">
        <f t="shared" si="1107"/>
        <v>2753</v>
      </c>
      <c r="AH764" s="850">
        <f t="shared" si="1107"/>
        <v>2753</v>
      </c>
      <c r="AI764" s="850">
        <f t="shared" si="1107"/>
        <v>2705</v>
      </c>
      <c r="AJ764" s="850">
        <f t="shared" si="1107"/>
        <v>2928</v>
      </c>
      <c r="AK764" s="850">
        <f t="shared" si="1107"/>
        <v>2878</v>
      </c>
      <c r="AL764" s="246">
        <f t="shared" si="1107"/>
        <v>2878</v>
      </c>
      <c r="AM764" s="850">
        <f t="shared" si="1107"/>
        <v>2943</v>
      </c>
      <c r="AN764" s="850">
        <f t="shared" si="1107"/>
        <v>2849</v>
      </c>
      <c r="AO764" s="850">
        <f t="shared" ref="AO764:BT764" si="1108">AO478+AO621</f>
        <v>2937</v>
      </c>
      <c r="AP764" s="850">
        <f t="shared" si="1108"/>
        <v>2806</v>
      </c>
      <c r="AQ764" s="246">
        <f t="shared" si="1108"/>
        <v>2806</v>
      </c>
      <c r="AR764" s="850">
        <f t="shared" si="1108"/>
        <v>2788</v>
      </c>
      <c r="AS764" s="850">
        <f t="shared" si="1108"/>
        <v>2930</v>
      </c>
      <c r="AT764" s="850">
        <f t="shared" si="1108"/>
        <v>2930</v>
      </c>
      <c r="AU764" s="850">
        <f t="shared" si="1108"/>
        <v>3118</v>
      </c>
      <c r="AV764" s="246">
        <f t="shared" si="1108"/>
        <v>3118</v>
      </c>
      <c r="AW764" s="850">
        <f t="shared" si="1108"/>
        <v>3238</v>
      </c>
      <c r="AX764" s="850">
        <f t="shared" si="1108"/>
        <v>3313</v>
      </c>
      <c r="AY764" s="850">
        <f t="shared" si="1108"/>
        <v>3481</v>
      </c>
      <c r="AZ764" s="850">
        <f t="shared" si="1108"/>
        <v>3781</v>
      </c>
      <c r="BA764" s="246">
        <f t="shared" si="1108"/>
        <v>3781</v>
      </c>
      <c r="BB764" s="850">
        <f t="shared" si="1108"/>
        <v>3804</v>
      </c>
      <c r="BC764" s="850">
        <f t="shared" si="1108"/>
        <v>3580</v>
      </c>
      <c r="BD764" s="850">
        <f t="shared" si="1108"/>
        <v>3676</v>
      </c>
      <c r="BE764" s="850">
        <f t="shared" si="1108"/>
        <v>3676</v>
      </c>
      <c r="BF764" s="2293">
        <f t="shared" si="1108"/>
        <v>3676</v>
      </c>
      <c r="BG764" s="2349">
        <f t="shared" si="1108"/>
        <v>3676</v>
      </c>
      <c r="BH764" s="2349">
        <f t="shared" si="1108"/>
        <v>3463</v>
      </c>
      <c r="BI764" s="2349">
        <f t="shared" si="1108"/>
        <v>3463</v>
      </c>
      <c r="BJ764" s="2349">
        <f t="shared" si="1108"/>
        <v>3601</v>
      </c>
      <c r="BK764" s="2293">
        <f t="shared" si="1108"/>
        <v>3601</v>
      </c>
      <c r="BL764" s="2349">
        <f t="shared" si="1108"/>
        <v>3727</v>
      </c>
      <c r="BM764" s="2349">
        <f t="shared" si="1108"/>
        <v>3846</v>
      </c>
      <c r="BN764" s="2349">
        <f t="shared" si="1108"/>
        <v>3846</v>
      </c>
      <c r="BO764" s="2349">
        <f t="shared" si="1108"/>
        <v>4066</v>
      </c>
      <c r="BP764" s="2403">
        <f t="shared" si="1108"/>
        <v>4066</v>
      </c>
      <c r="BQ764" s="2349">
        <f t="shared" si="1108"/>
        <v>4140</v>
      </c>
      <c r="BR764" s="2349">
        <f t="shared" si="1108"/>
        <v>4295</v>
      </c>
      <c r="BS764" s="2349">
        <f t="shared" si="1108"/>
        <v>4295</v>
      </c>
      <c r="BT764" s="2349">
        <f t="shared" si="1108"/>
        <v>4295</v>
      </c>
      <c r="BU764" s="2403">
        <f t="shared" ref="BU764:CV764" si="1109">BU478+BU621</f>
        <v>4295</v>
      </c>
      <c r="BV764" s="2349">
        <f t="shared" si="1109"/>
        <v>4423</v>
      </c>
      <c r="BW764" s="2349">
        <f t="shared" si="1109"/>
        <v>4423</v>
      </c>
      <c r="BX764" s="2349">
        <f t="shared" si="1109"/>
        <v>4285</v>
      </c>
      <c r="BY764" s="2349">
        <f t="shared" si="1109"/>
        <v>4261</v>
      </c>
      <c r="BZ764" s="2403">
        <f t="shared" si="1109"/>
        <v>4261</v>
      </c>
      <c r="CA764" s="2349">
        <f t="shared" si="1109"/>
        <v>4038</v>
      </c>
      <c r="CB764" s="2349">
        <f t="shared" si="1109"/>
        <v>4149</v>
      </c>
      <c r="CC764" s="2349">
        <f t="shared" si="1109"/>
        <v>4181</v>
      </c>
      <c r="CD764" s="2349">
        <f t="shared" si="1109"/>
        <v>4181</v>
      </c>
      <c r="CE764" s="2403">
        <f t="shared" si="1109"/>
        <v>4181</v>
      </c>
      <c r="CF764" s="2349">
        <f t="shared" si="1109"/>
        <v>4131</v>
      </c>
      <c r="CG764" s="2349">
        <f t="shared" si="1109"/>
        <v>4131</v>
      </c>
      <c r="CH764" s="2349">
        <f t="shared" si="1109"/>
        <v>4195</v>
      </c>
      <c r="CI764" s="2349">
        <f t="shared" si="1109"/>
        <v>4195</v>
      </c>
      <c r="CJ764" s="2403">
        <f t="shared" si="1109"/>
        <v>4195</v>
      </c>
      <c r="CK764" s="2350">
        <f t="shared" si="1109"/>
        <v>4195</v>
      </c>
      <c r="CL764" s="2349">
        <f t="shared" si="1109"/>
        <v>4195</v>
      </c>
      <c r="CM764" s="2349">
        <f t="shared" si="1109"/>
        <v>4195</v>
      </c>
      <c r="CN764" s="2349">
        <f t="shared" si="1109"/>
        <v>4270</v>
      </c>
      <c r="CO764" s="2403">
        <f t="shared" si="1109"/>
        <v>4270</v>
      </c>
      <c r="CP764" s="973">
        <f>CP478+CP621</f>
        <v>4404.75</v>
      </c>
      <c r="CQ764" s="847">
        <f>CQ478+CQ621</f>
        <v>4446.7</v>
      </c>
      <c r="CR764" s="847">
        <f>CR478+CR621</f>
        <v>4446.7</v>
      </c>
      <c r="CS764" s="1431">
        <f>CS478+CS621</f>
        <v>4526.2</v>
      </c>
      <c r="CT764" s="2403">
        <f>CT478+CT621</f>
        <v>4526.2</v>
      </c>
      <c r="CU764" s="2403">
        <f t="shared" si="1109"/>
        <v>4775.1409999999996</v>
      </c>
      <c r="CV764" s="2403">
        <f t="shared" si="1109"/>
        <v>4870.6438199999993</v>
      </c>
      <c r="CW764" s="3027"/>
      <c r="CX764" s="3027"/>
      <c r="CY764" s="3027"/>
      <c r="CZ764" s="3027"/>
      <c r="DA764" s="3027"/>
      <c r="DB764" s="217"/>
      <c r="DC764" s="212"/>
      <c r="DD764" s="1650"/>
      <c r="DE764" s="1207"/>
      <c r="DF764" s="1207"/>
      <c r="DG764" s="1207"/>
      <c r="DH764" s="1207"/>
      <c r="DI764" s="1207"/>
      <c r="DJ764" s="1207"/>
      <c r="DK764" s="1207"/>
      <c r="DL764" s="1207"/>
      <c r="DM764" s="1207"/>
      <c r="DN764" s="1207"/>
      <c r="DO764" s="1207"/>
      <c r="DP764" s="1207"/>
      <c r="DQ764" s="1207"/>
      <c r="DR764" s="1207"/>
      <c r="DS764" s="1207"/>
      <c r="DT764" s="1207"/>
      <c r="DU764" s="1207"/>
      <c r="DV764" s="1207"/>
      <c r="DW764" s="1207"/>
      <c r="DX764" s="1207"/>
      <c r="DY764" s="1207"/>
      <c r="DZ764" s="1207"/>
      <c r="EA764" s="1207"/>
      <c r="EB764" s="1207"/>
      <c r="EC764" s="1207"/>
      <c r="ED764" s="1207"/>
      <c r="EE764" s="1207"/>
      <c r="EF764" s="1207"/>
      <c r="EG764" s="1207"/>
      <c r="EH764" s="1207"/>
      <c r="EI764" s="1207"/>
      <c r="EJ764" s="1207"/>
      <c r="EK764" s="1207"/>
      <c r="EL764" s="1207"/>
      <c r="EM764" s="1207"/>
      <c r="EN764" s="1207"/>
      <c r="EO764" s="1207"/>
      <c r="EP764" s="1207"/>
      <c r="EQ764" s="1207"/>
      <c r="ER764" s="1207"/>
      <c r="ES764" s="1207"/>
      <c r="ET764" s="1207"/>
      <c r="EU764" s="1207"/>
      <c r="EV764" s="1207"/>
      <c r="EW764" s="1207"/>
      <c r="EX764" s="1207"/>
      <c r="EY764" s="1207"/>
      <c r="EZ764" s="1207"/>
      <c r="FA764" s="1207"/>
      <c r="FB764" s="1207"/>
      <c r="FC764" s="1207"/>
      <c r="FD764" s="1207"/>
      <c r="FE764" s="1207"/>
      <c r="FF764" s="1207"/>
      <c r="FG764" s="1207"/>
      <c r="FH764" s="1207"/>
      <c r="FI764" s="1207"/>
      <c r="FJ764" s="1207"/>
      <c r="FK764" s="1207"/>
      <c r="FL764" s="1207"/>
      <c r="FM764" s="1207"/>
      <c r="FN764" s="1207"/>
      <c r="FO764" s="1207"/>
      <c r="FP764" s="1207"/>
      <c r="FQ764" s="1207"/>
      <c r="FR764" s="1207"/>
      <c r="FS764" s="1207"/>
      <c r="FT764" s="1207"/>
      <c r="FU764" s="1207"/>
      <c r="FV764" s="1207"/>
      <c r="FW764" s="1207"/>
      <c r="FX764" s="1207"/>
      <c r="FY764" s="1207"/>
      <c r="FZ764" s="1207"/>
      <c r="GA764" s="1207"/>
      <c r="GB764" s="1207"/>
      <c r="GC764" s="1207"/>
      <c r="GD764" s="1207"/>
      <c r="GE764" s="1207"/>
      <c r="GF764" s="1207"/>
      <c r="GG764" s="1207"/>
      <c r="GH764" s="1207"/>
      <c r="GI764" s="1207"/>
      <c r="GJ764" s="1207"/>
      <c r="GK764" s="1207"/>
      <c r="GL764" s="1207"/>
      <c r="GM764" s="1207"/>
      <c r="GN764" s="1207"/>
      <c r="GO764" s="1207"/>
      <c r="GP764" s="1207"/>
      <c r="GQ764" s="1207"/>
      <c r="GR764" s="1207"/>
      <c r="GS764" s="1207"/>
      <c r="GT764" s="1207"/>
      <c r="GU764" s="1207"/>
      <c r="GV764" s="1207"/>
      <c r="GW764" s="1207"/>
      <c r="GX764" s="1207"/>
      <c r="GY764" s="1207"/>
      <c r="GZ764" s="1207"/>
      <c r="HA764" s="1207"/>
      <c r="HB764" s="1207"/>
      <c r="HC764" s="1207"/>
      <c r="HD764" s="1207"/>
      <c r="HE764" s="1207"/>
      <c r="HF764" s="1207"/>
      <c r="HG764" s="1207"/>
      <c r="HH764" s="1207"/>
      <c r="HI764" s="1207"/>
      <c r="HJ764" s="1207"/>
      <c r="HK764" s="1207"/>
      <c r="HL764" s="1207"/>
      <c r="HM764" s="1207"/>
      <c r="HN764" s="1207"/>
      <c r="HO764" s="1207"/>
      <c r="HP764" s="1207"/>
      <c r="HQ764" s="1207"/>
      <c r="HR764" s="1207"/>
      <c r="HS764" s="1207"/>
      <c r="HT764" s="1207"/>
      <c r="HU764" s="1207"/>
      <c r="HV764" s="1207"/>
      <c r="HW764" s="1207"/>
      <c r="HX764" s="1207"/>
      <c r="HY764" s="1207"/>
      <c r="HZ764" s="1207"/>
      <c r="IA764" s="1207"/>
      <c r="IB764" s="1207"/>
      <c r="IC764" s="1207"/>
      <c r="ID764" s="1207"/>
      <c r="IE764" s="1207"/>
      <c r="IF764" s="1207"/>
      <c r="IG764" s="1207"/>
      <c r="IH764" s="1207"/>
      <c r="II764" s="1207"/>
      <c r="IJ764" s="1207"/>
      <c r="IK764" s="1207"/>
      <c r="IL764" s="1207"/>
      <c r="IM764" s="1207"/>
      <c r="IN764" s="1207"/>
      <c r="IO764" s="1207"/>
      <c r="IP764" s="1207"/>
      <c r="IQ764" s="1207"/>
      <c r="IR764" s="1207"/>
      <c r="IS764" s="1207"/>
      <c r="IT764" s="1207"/>
      <c r="IU764" s="1207"/>
      <c r="IV764" s="1207"/>
    </row>
    <row r="765" spans="1:256" s="207" customFormat="1" ht="4.5" customHeight="1" x14ac:dyDescent="0.2">
      <c r="A765" s="1266"/>
      <c r="B765" s="651"/>
      <c r="C765" s="236"/>
      <c r="G765" s="234"/>
      <c r="H765" s="246"/>
      <c r="I765" s="850"/>
      <c r="J765" s="850"/>
      <c r="K765" s="850"/>
      <c r="L765" s="850"/>
      <c r="M765" s="246"/>
      <c r="N765" s="850"/>
      <c r="O765" s="850"/>
      <c r="P765" s="850"/>
      <c r="Q765" s="850"/>
      <c r="R765" s="246"/>
      <c r="S765" s="850"/>
      <c r="T765" s="850"/>
      <c r="U765" s="850"/>
      <c r="V765" s="850"/>
      <c r="W765" s="246"/>
      <c r="X765" s="850"/>
      <c r="Y765" s="850"/>
      <c r="Z765" s="850"/>
      <c r="AA765" s="850"/>
      <c r="AB765" s="246"/>
      <c r="AC765" s="850"/>
      <c r="AD765" s="850"/>
      <c r="AE765" s="850"/>
      <c r="AF765" s="850"/>
      <c r="AG765" s="246"/>
      <c r="AH765" s="850"/>
      <c r="AI765" s="850"/>
      <c r="AJ765" s="850"/>
      <c r="AK765" s="850"/>
      <c r="AL765" s="246"/>
      <c r="AM765" s="850"/>
      <c r="AN765" s="850"/>
      <c r="AO765" s="850"/>
      <c r="AP765" s="850"/>
      <c r="AQ765" s="246"/>
      <c r="AR765" s="850"/>
      <c r="AS765" s="850"/>
      <c r="AT765" s="850"/>
      <c r="AU765" s="850"/>
      <c r="AV765" s="246"/>
      <c r="AW765" s="850"/>
      <c r="AX765" s="850"/>
      <c r="AY765" s="850"/>
      <c r="AZ765" s="850"/>
      <c r="BA765" s="246"/>
      <c r="BB765" s="850"/>
      <c r="BC765" s="850"/>
      <c r="BD765" s="850"/>
      <c r="BE765" s="850"/>
      <c r="BF765" s="246"/>
      <c r="BG765" s="850"/>
      <c r="BH765" s="850"/>
      <c r="BI765" s="850"/>
      <c r="BJ765" s="850"/>
      <c r="BK765" s="246"/>
      <c r="BL765" s="850"/>
      <c r="BM765" s="850"/>
      <c r="BN765" s="850"/>
      <c r="BO765" s="850"/>
      <c r="BP765" s="1746"/>
      <c r="BQ765" s="850"/>
      <c r="BR765" s="850"/>
      <c r="BS765" s="850"/>
      <c r="BT765" s="850"/>
      <c r="BU765" s="1746"/>
      <c r="BV765" s="850"/>
      <c r="BW765" s="850"/>
      <c r="BX765" s="850"/>
      <c r="BY765" s="850"/>
      <c r="BZ765" s="1746"/>
      <c r="CA765" s="850"/>
      <c r="CB765" s="850"/>
      <c r="CC765" s="850"/>
      <c r="CD765" s="850"/>
      <c r="CE765" s="1746"/>
      <c r="CF765" s="850"/>
      <c r="CG765" s="850"/>
      <c r="CH765" s="850"/>
      <c r="CI765" s="850"/>
      <c r="CJ765" s="1746"/>
      <c r="CK765" s="877"/>
      <c r="CL765" s="850"/>
      <c r="CM765" s="850"/>
      <c r="CN765" s="850"/>
      <c r="CO765" s="1746"/>
      <c r="CP765" s="973"/>
      <c r="CQ765" s="847"/>
      <c r="CR765" s="847"/>
      <c r="CS765" s="1431"/>
      <c r="CT765" s="1746"/>
      <c r="CU765" s="1746"/>
      <c r="CV765" s="1746"/>
      <c r="CW765" s="374"/>
      <c r="CX765" s="374"/>
      <c r="CY765" s="374"/>
      <c r="CZ765" s="374"/>
      <c r="DA765" s="374"/>
      <c r="DB765" s="217"/>
      <c r="DC765" s="212"/>
      <c r="DD765" s="212"/>
      <c r="DE765" s="70"/>
      <c r="DF765" s="70"/>
      <c r="DG765" s="70"/>
      <c r="DH765" s="70"/>
      <c r="DI765" s="70"/>
      <c r="DJ765" s="70"/>
      <c r="DK765" s="70"/>
      <c r="DL765" s="70"/>
      <c r="DM765" s="70"/>
      <c r="DN765" s="70"/>
      <c r="DO765" s="70"/>
      <c r="DP765" s="70"/>
      <c r="DQ765" s="70"/>
      <c r="DR765" s="70"/>
      <c r="DS765" s="70"/>
      <c r="DT765" s="70"/>
      <c r="DU765" s="70"/>
      <c r="DV765" s="70"/>
      <c r="DW765" s="70"/>
      <c r="DX765" s="70"/>
      <c r="DY765" s="70"/>
      <c r="DZ765" s="70"/>
      <c r="EA765" s="70"/>
      <c r="EB765" s="70"/>
      <c r="EC765" s="70"/>
      <c r="ED765" s="70"/>
      <c r="EE765" s="70"/>
      <c r="EF765" s="70"/>
      <c r="EG765" s="70"/>
      <c r="EH765" s="70"/>
      <c r="EI765" s="70"/>
      <c r="EJ765" s="70"/>
      <c r="EK765" s="70"/>
      <c r="EL765" s="70"/>
      <c r="EM765" s="70"/>
      <c r="EN765" s="70"/>
      <c r="EO765" s="70"/>
      <c r="EP765" s="70"/>
      <c r="EQ765" s="70"/>
      <c r="ER765" s="70"/>
      <c r="ES765" s="70"/>
      <c r="ET765" s="70"/>
      <c r="EU765" s="70"/>
      <c r="EV765" s="70"/>
      <c r="EW765" s="70"/>
      <c r="EX765" s="70"/>
      <c r="EY765" s="70"/>
      <c r="EZ765" s="70"/>
      <c r="FA765" s="70"/>
      <c r="FB765" s="70"/>
      <c r="FC765" s="70"/>
      <c r="FD765" s="70"/>
      <c r="FE765" s="70"/>
      <c r="FF765" s="70"/>
      <c r="FG765" s="70"/>
      <c r="FH765" s="70"/>
      <c r="FI765" s="70"/>
      <c r="FJ765" s="70"/>
      <c r="FK765" s="70"/>
      <c r="FL765" s="70"/>
      <c r="FM765" s="70"/>
      <c r="FN765" s="70"/>
      <c r="FO765" s="70"/>
      <c r="FP765" s="70"/>
      <c r="FQ765" s="70"/>
      <c r="FR765" s="70"/>
      <c r="FS765" s="70"/>
      <c r="FT765" s="70"/>
      <c r="FU765" s="70"/>
      <c r="FV765" s="70"/>
      <c r="FW765" s="70"/>
      <c r="FX765" s="70"/>
      <c r="FY765" s="70"/>
      <c r="FZ765" s="70"/>
      <c r="GA765" s="70"/>
      <c r="GB765" s="70"/>
      <c r="GC765" s="70"/>
      <c r="GD765" s="70"/>
      <c r="GE765" s="70"/>
      <c r="GF765" s="70"/>
      <c r="GG765" s="70"/>
      <c r="GH765" s="70"/>
      <c r="GI765" s="70"/>
      <c r="GJ765" s="70"/>
      <c r="GK765" s="70"/>
      <c r="GL765" s="70"/>
      <c r="GM765" s="70"/>
      <c r="GN765" s="70"/>
      <c r="GO765" s="70"/>
      <c r="GP765" s="70"/>
      <c r="GQ765" s="70"/>
      <c r="GR765" s="70"/>
      <c r="GS765" s="70"/>
      <c r="GT765" s="70"/>
      <c r="GU765" s="70"/>
      <c r="GV765" s="70"/>
      <c r="GW765" s="70"/>
      <c r="GX765" s="70"/>
      <c r="GY765" s="70"/>
      <c r="GZ765" s="70"/>
      <c r="HA765" s="70"/>
      <c r="HB765" s="70"/>
      <c r="HC765" s="70"/>
      <c r="HD765" s="70"/>
      <c r="HE765" s="70"/>
      <c r="HF765" s="70"/>
      <c r="HG765" s="70"/>
      <c r="HH765" s="70"/>
      <c r="HI765" s="70"/>
      <c r="HJ765" s="70"/>
      <c r="HK765" s="70"/>
      <c r="HL765" s="70"/>
      <c r="HM765" s="70"/>
      <c r="HN765" s="70"/>
      <c r="HO765" s="70"/>
      <c r="HP765" s="70"/>
      <c r="HQ765" s="70"/>
      <c r="HR765" s="70"/>
      <c r="HS765" s="70"/>
      <c r="HT765" s="70"/>
      <c r="HU765" s="70"/>
      <c r="HV765" s="70"/>
      <c r="HW765" s="70"/>
      <c r="HX765" s="70"/>
      <c r="HY765" s="70"/>
      <c r="HZ765" s="70"/>
      <c r="IA765" s="70"/>
      <c r="IB765" s="70"/>
      <c r="IC765" s="70"/>
      <c r="ID765" s="70"/>
      <c r="IE765" s="70"/>
      <c r="IF765" s="70"/>
      <c r="IG765" s="70"/>
      <c r="IH765" s="70"/>
      <c r="II765" s="70"/>
      <c r="IJ765" s="70"/>
      <c r="IK765" s="70"/>
      <c r="IL765" s="70"/>
      <c r="IM765" s="70"/>
      <c r="IN765" s="70"/>
      <c r="IO765" s="70"/>
      <c r="IP765" s="70"/>
      <c r="IQ765" s="70"/>
      <c r="IR765" s="70"/>
      <c r="IS765" s="70"/>
      <c r="IT765" s="70"/>
      <c r="IU765" s="70"/>
      <c r="IV765" s="70"/>
    </row>
    <row r="766" spans="1:256" s="207" customFormat="1" x14ac:dyDescent="0.2">
      <c r="A766" s="2434" t="s">
        <v>2454</v>
      </c>
      <c r="B766" s="651"/>
      <c r="C766" s="236"/>
      <c r="G766" s="234"/>
      <c r="H766" s="246"/>
      <c r="I766" s="850"/>
      <c r="J766" s="850"/>
      <c r="K766" s="850"/>
      <c r="L766" s="850"/>
      <c r="M766" s="246"/>
      <c r="N766" s="850"/>
      <c r="O766" s="850"/>
      <c r="P766" s="850"/>
      <c r="Q766" s="850"/>
      <c r="R766" s="246"/>
      <c r="S766" s="850"/>
      <c r="T766" s="850"/>
      <c r="U766" s="850"/>
      <c r="V766" s="850"/>
      <c r="W766" s="246"/>
      <c r="X766" s="850"/>
      <c r="Y766" s="850"/>
      <c r="Z766" s="850"/>
      <c r="AA766" s="850"/>
      <c r="AB766" s="246"/>
      <c r="AC766" s="850"/>
      <c r="AD766" s="850"/>
      <c r="AE766" s="850"/>
      <c r="AF766" s="850"/>
      <c r="AG766" s="246"/>
      <c r="AH766" s="850"/>
      <c r="AI766" s="850"/>
      <c r="AJ766" s="850"/>
      <c r="AK766" s="850"/>
      <c r="AL766" s="246"/>
      <c r="AM766" s="850"/>
      <c r="AN766" s="850"/>
      <c r="AO766" s="850"/>
      <c r="AP766" s="850"/>
      <c r="AQ766" s="246"/>
      <c r="AR766" s="850"/>
      <c r="AS766" s="850"/>
      <c r="AT766" s="850"/>
      <c r="AU766" s="850"/>
      <c r="AV766" s="246"/>
      <c r="AW766" s="850"/>
      <c r="AX766" s="850"/>
      <c r="AY766" s="850"/>
      <c r="AZ766" s="850"/>
      <c r="BA766" s="246"/>
      <c r="BB766" s="850"/>
      <c r="BC766" s="850"/>
      <c r="BD766" s="850"/>
      <c r="BE766" s="850"/>
      <c r="BF766" s="246"/>
      <c r="BG766" s="850"/>
      <c r="BH766" s="850"/>
      <c r="BI766" s="850"/>
      <c r="BJ766" s="850"/>
      <c r="BK766" s="246"/>
      <c r="BL766" s="850"/>
      <c r="BM766" s="850"/>
      <c r="BN766" s="850"/>
      <c r="BO766" s="850"/>
      <c r="BP766" s="1746"/>
      <c r="BQ766" s="850"/>
      <c r="BR766" s="850"/>
      <c r="BS766" s="850"/>
      <c r="BT766" s="850"/>
      <c r="BU766" s="1746"/>
      <c r="BV766" s="850"/>
      <c r="BW766" s="850"/>
      <c r="BX766" s="850"/>
      <c r="BY766" s="850"/>
      <c r="BZ766" s="1746"/>
      <c r="CA766" s="850"/>
      <c r="CB766" s="850"/>
      <c r="CC766" s="850"/>
      <c r="CD766" s="850"/>
      <c r="CE766" s="1746"/>
      <c r="CF766" s="850"/>
      <c r="CG766" s="2349"/>
      <c r="CH766" s="2349">
        <f t="shared" ref="CH766:CV766" si="1110">CH480+CH623</f>
        <v>86571</v>
      </c>
      <c r="CI766" s="2349">
        <f t="shared" si="1110"/>
        <v>87742</v>
      </c>
      <c r="CJ766" s="2293">
        <f t="shared" si="1110"/>
        <v>87742</v>
      </c>
      <c r="CK766" s="2350">
        <f t="shared" si="1110"/>
        <v>87682</v>
      </c>
      <c r="CL766" s="2349">
        <f t="shared" si="1110"/>
        <v>87593</v>
      </c>
      <c r="CM766" s="2349">
        <f t="shared" si="1110"/>
        <v>86363</v>
      </c>
      <c r="CN766" s="2349">
        <f t="shared" si="1110"/>
        <v>87021</v>
      </c>
      <c r="CO766" s="2293">
        <f t="shared" si="1110"/>
        <v>87021</v>
      </c>
      <c r="CP766" s="973">
        <f t="shared" ref="CP766:CT776" si="1111">CP480+CP623</f>
        <v>91358.1</v>
      </c>
      <c r="CQ766" s="847">
        <f t="shared" si="1111"/>
        <v>91904.58</v>
      </c>
      <c r="CR766" s="847">
        <f t="shared" si="1111"/>
        <v>90616.46</v>
      </c>
      <c r="CS766" s="1431">
        <f t="shared" si="1111"/>
        <v>91281.86</v>
      </c>
      <c r="CT766" s="2293">
        <f t="shared" si="1111"/>
        <v>91281.86</v>
      </c>
      <c r="CU766" s="2293">
        <f t="shared" si="1110"/>
        <v>95445.205300000001</v>
      </c>
      <c r="CV766" s="2293">
        <f t="shared" si="1110"/>
        <v>96854.509325999999</v>
      </c>
      <c r="CW766" s="374"/>
      <c r="CX766" s="374"/>
      <c r="CY766" s="374"/>
      <c r="CZ766" s="374"/>
      <c r="DA766" s="374"/>
      <c r="DB766" s="217"/>
      <c r="DC766" s="212"/>
      <c r="DD766" s="212"/>
      <c r="DE766" s="70"/>
      <c r="DF766" s="70"/>
      <c r="DG766" s="70"/>
      <c r="DH766" s="70"/>
      <c r="DI766" s="70"/>
      <c r="DJ766" s="70"/>
      <c r="DK766" s="70"/>
      <c r="DL766" s="70"/>
      <c r="DM766" s="70"/>
      <c r="DN766" s="70"/>
      <c r="DO766" s="70"/>
      <c r="DP766" s="70"/>
      <c r="DQ766" s="70"/>
      <c r="DR766" s="70"/>
      <c r="DS766" s="70"/>
      <c r="DT766" s="70"/>
      <c r="DU766" s="70"/>
      <c r="DV766" s="70"/>
      <c r="DW766" s="70"/>
      <c r="DX766" s="70"/>
      <c r="DY766" s="70"/>
      <c r="DZ766" s="70"/>
      <c r="EA766" s="70"/>
      <c r="EB766" s="70"/>
      <c r="EC766" s="70"/>
      <c r="ED766" s="70"/>
      <c r="EE766" s="70"/>
      <c r="EF766" s="70"/>
      <c r="EG766" s="70"/>
      <c r="EH766" s="70"/>
      <c r="EI766" s="70"/>
      <c r="EJ766" s="70"/>
      <c r="EK766" s="70"/>
      <c r="EL766" s="70"/>
      <c r="EM766" s="70"/>
      <c r="EN766" s="70"/>
      <c r="EO766" s="70"/>
      <c r="EP766" s="70"/>
      <c r="EQ766" s="70"/>
      <c r="ER766" s="70"/>
      <c r="ES766" s="70"/>
      <c r="ET766" s="70"/>
      <c r="EU766" s="70"/>
      <c r="EV766" s="70"/>
      <c r="EW766" s="70"/>
      <c r="EX766" s="70"/>
      <c r="EY766" s="70"/>
      <c r="EZ766" s="70"/>
      <c r="FA766" s="70"/>
      <c r="FB766" s="70"/>
      <c r="FC766" s="70"/>
      <c r="FD766" s="70"/>
      <c r="FE766" s="70"/>
      <c r="FF766" s="70"/>
      <c r="FG766" s="70"/>
      <c r="FH766" s="70"/>
      <c r="FI766" s="70"/>
      <c r="FJ766" s="70"/>
      <c r="FK766" s="70"/>
      <c r="FL766" s="70"/>
      <c r="FM766" s="70"/>
      <c r="FN766" s="70"/>
      <c r="FO766" s="70"/>
      <c r="FP766" s="70"/>
      <c r="FQ766" s="70"/>
      <c r="FR766" s="70"/>
      <c r="FS766" s="70"/>
      <c r="FT766" s="70"/>
      <c r="FU766" s="70"/>
      <c r="FV766" s="70"/>
      <c r="FW766" s="70"/>
      <c r="FX766" s="70"/>
      <c r="FY766" s="70"/>
      <c r="FZ766" s="70"/>
      <c r="GA766" s="70"/>
      <c r="GB766" s="70"/>
      <c r="GC766" s="70"/>
      <c r="GD766" s="70"/>
      <c r="GE766" s="70"/>
      <c r="GF766" s="70"/>
      <c r="GG766" s="70"/>
      <c r="GH766" s="70"/>
      <c r="GI766" s="70"/>
      <c r="GJ766" s="70"/>
      <c r="GK766" s="70"/>
      <c r="GL766" s="70"/>
      <c r="GM766" s="70"/>
      <c r="GN766" s="70"/>
      <c r="GO766" s="70"/>
      <c r="GP766" s="70"/>
      <c r="GQ766" s="70"/>
      <c r="GR766" s="70"/>
      <c r="GS766" s="70"/>
      <c r="GT766" s="70"/>
      <c r="GU766" s="70"/>
      <c r="GV766" s="70"/>
      <c r="GW766" s="70"/>
      <c r="GX766" s="70"/>
      <c r="GY766" s="70"/>
      <c r="GZ766" s="70"/>
      <c r="HA766" s="70"/>
      <c r="HB766" s="70"/>
      <c r="HC766" s="70"/>
      <c r="HD766" s="70"/>
      <c r="HE766" s="70"/>
      <c r="HF766" s="70"/>
      <c r="HG766" s="70"/>
      <c r="HH766" s="70"/>
      <c r="HI766" s="70"/>
      <c r="HJ766" s="70"/>
      <c r="HK766" s="70"/>
      <c r="HL766" s="70"/>
      <c r="HM766" s="70"/>
      <c r="HN766" s="70"/>
      <c r="HO766" s="70"/>
      <c r="HP766" s="70"/>
      <c r="HQ766" s="70"/>
      <c r="HR766" s="70"/>
      <c r="HS766" s="70"/>
      <c r="HT766" s="70"/>
      <c r="HU766" s="70"/>
      <c r="HV766" s="70"/>
      <c r="HW766" s="70"/>
      <c r="HX766" s="70"/>
      <c r="HY766" s="70"/>
      <c r="HZ766" s="70"/>
      <c r="IA766" s="70"/>
      <c r="IB766" s="70"/>
      <c r="IC766" s="70"/>
      <c r="ID766" s="70"/>
      <c r="IE766" s="70"/>
      <c r="IF766" s="70"/>
      <c r="IG766" s="70"/>
      <c r="IH766" s="70"/>
      <c r="II766" s="70"/>
      <c r="IJ766" s="70"/>
      <c r="IK766" s="70"/>
      <c r="IL766" s="70"/>
      <c r="IM766" s="70"/>
      <c r="IN766" s="70"/>
      <c r="IO766" s="70"/>
      <c r="IP766" s="70"/>
      <c r="IQ766" s="70"/>
      <c r="IR766" s="70"/>
      <c r="IS766" s="70"/>
      <c r="IT766" s="70"/>
      <c r="IU766" s="70"/>
      <c r="IV766" s="70"/>
    </row>
    <row r="767" spans="1:256" s="207" customFormat="1" x14ac:dyDescent="0.2">
      <c r="A767" s="2434" t="s">
        <v>2455</v>
      </c>
      <c r="B767" s="651"/>
      <c r="C767" s="236"/>
      <c r="G767" s="234"/>
      <c r="H767" s="246"/>
      <c r="I767" s="850"/>
      <c r="J767" s="850"/>
      <c r="K767" s="850"/>
      <c r="L767" s="850"/>
      <c r="M767" s="246"/>
      <c r="N767" s="850"/>
      <c r="O767" s="850"/>
      <c r="P767" s="850"/>
      <c r="Q767" s="850"/>
      <c r="R767" s="246"/>
      <c r="S767" s="850"/>
      <c r="T767" s="850"/>
      <c r="U767" s="850"/>
      <c r="V767" s="850"/>
      <c r="W767" s="246"/>
      <c r="X767" s="850"/>
      <c r="Y767" s="850"/>
      <c r="Z767" s="850"/>
      <c r="AA767" s="850"/>
      <c r="AB767" s="246"/>
      <c r="AC767" s="850"/>
      <c r="AD767" s="850"/>
      <c r="AE767" s="850"/>
      <c r="AF767" s="850"/>
      <c r="AG767" s="246"/>
      <c r="AH767" s="850"/>
      <c r="AI767" s="850"/>
      <c r="AJ767" s="850"/>
      <c r="AK767" s="850"/>
      <c r="AL767" s="246"/>
      <c r="AM767" s="850"/>
      <c r="AN767" s="850"/>
      <c r="AO767" s="850"/>
      <c r="AP767" s="850"/>
      <c r="AQ767" s="246"/>
      <c r="AR767" s="850"/>
      <c r="AS767" s="850"/>
      <c r="AT767" s="850"/>
      <c r="AU767" s="850"/>
      <c r="AV767" s="246"/>
      <c r="AW767" s="850"/>
      <c r="AX767" s="850"/>
      <c r="AY767" s="850"/>
      <c r="AZ767" s="850"/>
      <c r="BA767" s="246"/>
      <c r="BB767" s="850"/>
      <c r="BC767" s="850"/>
      <c r="BD767" s="850"/>
      <c r="BE767" s="850"/>
      <c r="BF767" s="246"/>
      <c r="BG767" s="850"/>
      <c r="BH767" s="850"/>
      <c r="BI767" s="850"/>
      <c r="BJ767" s="850"/>
      <c r="BK767" s="246"/>
      <c r="BL767" s="850"/>
      <c r="BM767" s="850"/>
      <c r="BN767" s="850"/>
      <c r="BO767" s="850"/>
      <c r="BP767" s="1746"/>
      <c r="BQ767" s="850"/>
      <c r="BR767" s="850"/>
      <c r="BS767" s="850"/>
      <c r="BT767" s="850"/>
      <c r="BU767" s="1746"/>
      <c r="BV767" s="850"/>
      <c r="BW767" s="850"/>
      <c r="BX767" s="850"/>
      <c r="BY767" s="850"/>
      <c r="BZ767" s="1746"/>
      <c r="CA767" s="850"/>
      <c r="CB767" s="850"/>
      <c r="CC767" s="850"/>
      <c r="CD767" s="850"/>
      <c r="CE767" s="1746"/>
      <c r="CF767" s="850"/>
      <c r="CG767" s="2349"/>
      <c r="CH767" s="2349">
        <f t="shared" ref="CH767:CV767" si="1112">CH481+CH624</f>
        <v>46475</v>
      </c>
      <c r="CI767" s="2349">
        <f t="shared" si="1112"/>
        <v>47137</v>
      </c>
      <c r="CJ767" s="2293">
        <f t="shared" si="1112"/>
        <v>47137</v>
      </c>
      <c r="CK767" s="2350">
        <f t="shared" ref="CK767:CK776" si="1113">CK481+CK624</f>
        <v>46820</v>
      </c>
      <c r="CL767" s="2349">
        <f t="shared" si="1112"/>
        <v>46861</v>
      </c>
      <c r="CM767" s="2349">
        <f t="shared" si="1112"/>
        <v>46971</v>
      </c>
      <c r="CN767" s="2349">
        <f t="shared" si="1112"/>
        <v>46915</v>
      </c>
      <c r="CO767" s="2293">
        <f t="shared" si="1112"/>
        <v>46915</v>
      </c>
      <c r="CP767" s="973">
        <f t="shared" si="1111"/>
        <v>48402.36</v>
      </c>
      <c r="CQ767" s="847">
        <f t="shared" si="1111"/>
        <v>48659.380000000005</v>
      </c>
      <c r="CR767" s="847">
        <f t="shared" si="1111"/>
        <v>48784.18</v>
      </c>
      <c r="CS767" s="1431">
        <f t="shared" si="1111"/>
        <v>48724.820000000007</v>
      </c>
      <c r="CT767" s="2293">
        <f t="shared" si="1111"/>
        <v>48724.820000000007</v>
      </c>
      <c r="CU767" s="2293">
        <f t="shared" si="1112"/>
        <v>50507.651200000008</v>
      </c>
      <c r="CV767" s="2293">
        <f t="shared" si="1112"/>
        <v>50994.961608000005</v>
      </c>
      <c r="CW767" s="374"/>
      <c r="CX767" s="374"/>
      <c r="CY767" s="374"/>
      <c r="CZ767" s="374"/>
      <c r="DA767" s="374"/>
      <c r="DB767" s="217"/>
      <c r="DC767" s="212"/>
      <c r="DD767" s="212"/>
      <c r="DE767" s="70"/>
      <c r="DF767" s="70"/>
      <c r="DG767" s="70"/>
      <c r="DH767" s="70"/>
      <c r="DI767" s="70"/>
      <c r="DJ767" s="70"/>
      <c r="DK767" s="70"/>
      <c r="DL767" s="70"/>
      <c r="DM767" s="70"/>
      <c r="DN767" s="70"/>
      <c r="DO767" s="70"/>
      <c r="DP767" s="70"/>
      <c r="DQ767" s="70"/>
      <c r="DR767" s="70"/>
      <c r="DS767" s="70"/>
      <c r="DT767" s="70"/>
      <c r="DU767" s="70"/>
      <c r="DV767" s="70"/>
      <c r="DW767" s="70"/>
      <c r="DX767" s="70"/>
      <c r="DY767" s="70"/>
      <c r="DZ767" s="70"/>
      <c r="EA767" s="70"/>
      <c r="EB767" s="70"/>
      <c r="EC767" s="70"/>
      <c r="ED767" s="70"/>
      <c r="EE767" s="70"/>
      <c r="EF767" s="70"/>
      <c r="EG767" s="70"/>
      <c r="EH767" s="70"/>
      <c r="EI767" s="70"/>
      <c r="EJ767" s="70"/>
      <c r="EK767" s="70"/>
      <c r="EL767" s="70"/>
      <c r="EM767" s="70"/>
      <c r="EN767" s="70"/>
      <c r="EO767" s="70"/>
      <c r="EP767" s="70"/>
      <c r="EQ767" s="70"/>
      <c r="ER767" s="70"/>
      <c r="ES767" s="70"/>
      <c r="ET767" s="70"/>
      <c r="EU767" s="70"/>
      <c r="EV767" s="70"/>
      <c r="EW767" s="70"/>
      <c r="EX767" s="70"/>
      <c r="EY767" s="70"/>
      <c r="EZ767" s="70"/>
      <c r="FA767" s="70"/>
      <c r="FB767" s="70"/>
      <c r="FC767" s="70"/>
      <c r="FD767" s="70"/>
      <c r="FE767" s="70"/>
      <c r="FF767" s="70"/>
      <c r="FG767" s="70"/>
      <c r="FH767" s="70"/>
      <c r="FI767" s="70"/>
      <c r="FJ767" s="70"/>
      <c r="FK767" s="70"/>
      <c r="FL767" s="70"/>
      <c r="FM767" s="70"/>
      <c r="FN767" s="70"/>
      <c r="FO767" s="70"/>
      <c r="FP767" s="70"/>
      <c r="FQ767" s="70"/>
      <c r="FR767" s="70"/>
      <c r="FS767" s="70"/>
      <c r="FT767" s="70"/>
      <c r="FU767" s="70"/>
      <c r="FV767" s="70"/>
      <c r="FW767" s="70"/>
      <c r="FX767" s="70"/>
      <c r="FY767" s="70"/>
      <c r="FZ767" s="70"/>
      <c r="GA767" s="70"/>
      <c r="GB767" s="70"/>
      <c r="GC767" s="70"/>
      <c r="GD767" s="70"/>
      <c r="GE767" s="70"/>
      <c r="GF767" s="70"/>
      <c r="GG767" s="70"/>
      <c r="GH767" s="70"/>
      <c r="GI767" s="70"/>
      <c r="GJ767" s="70"/>
      <c r="GK767" s="70"/>
      <c r="GL767" s="70"/>
      <c r="GM767" s="70"/>
      <c r="GN767" s="70"/>
      <c r="GO767" s="70"/>
      <c r="GP767" s="70"/>
      <c r="GQ767" s="70"/>
      <c r="GR767" s="70"/>
      <c r="GS767" s="70"/>
      <c r="GT767" s="70"/>
      <c r="GU767" s="70"/>
      <c r="GV767" s="70"/>
      <c r="GW767" s="70"/>
      <c r="GX767" s="70"/>
      <c r="GY767" s="70"/>
      <c r="GZ767" s="70"/>
      <c r="HA767" s="70"/>
      <c r="HB767" s="70"/>
      <c r="HC767" s="70"/>
      <c r="HD767" s="70"/>
      <c r="HE767" s="70"/>
      <c r="HF767" s="70"/>
      <c r="HG767" s="70"/>
      <c r="HH767" s="70"/>
      <c r="HI767" s="70"/>
      <c r="HJ767" s="70"/>
      <c r="HK767" s="70"/>
      <c r="HL767" s="70"/>
      <c r="HM767" s="70"/>
      <c r="HN767" s="70"/>
      <c r="HO767" s="70"/>
      <c r="HP767" s="70"/>
      <c r="HQ767" s="70"/>
      <c r="HR767" s="70"/>
      <c r="HS767" s="70"/>
      <c r="HT767" s="70"/>
      <c r="HU767" s="70"/>
      <c r="HV767" s="70"/>
      <c r="HW767" s="70"/>
      <c r="HX767" s="70"/>
      <c r="HY767" s="70"/>
      <c r="HZ767" s="70"/>
      <c r="IA767" s="70"/>
      <c r="IB767" s="70"/>
      <c r="IC767" s="70"/>
      <c r="ID767" s="70"/>
      <c r="IE767" s="70"/>
      <c r="IF767" s="70"/>
      <c r="IG767" s="70"/>
      <c r="IH767" s="70"/>
      <c r="II767" s="70"/>
      <c r="IJ767" s="70"/>
      <c r="IK767" s="70"/>
      <c r="IL767" s="70"/>
      <c r="IM767" s="70"/>
      <c r="IN767" s="70"/>
      <c r="IO767" s="70"/>
      <c r="IP767" s="70"/>
      <c r="IQ767" s="70"/>
      <c r="IR767" s="70"/>
      <c r="IS767" s="70"/>
      <c r="IT767" s="70"/>
      <c r="IU767" s="70"/>
      <c r="IV767" s="70"/>
    </row>
    <row r="768" spans="1:256" s="207" customFormat="1" x14ac:dyDescent="0.2">
      <c r="A768" s="2434" t="s">
        <v>2456</v>
      </c>
      <c r="B768" s="651"/>
      <c r="C768" s="236"/>
      <c r="G768" s="234"/>
      <c r="H768" s="246"/>
      <c r="I768" s="850"/>
      <c r="J768" s="850"/>
      <c r="K768" s="850"/>
      <c r="L768" s="850"/>
      <c r="M768" s="246"/>
      <c r="N768" s="850"/>
      <c r="O768" s="850"/>
      <c r="P768" s="850"/>
      <c r="Q768" s="850"/>
      <c r="R768" s="246"/>
      <c r="S768" s="850"/>
      <c r="T768" s="850"/>
      <c r="U768" s="850"/>
      <c r="V768" s="850"/>
      <c r="W768" s="246"/>
      <c r="X768" s="850"/>
      <c r="Y768" s="850"/>
      <c r="Z768" s="850"/>
      <c r="AA768" s="850"/>
      <c r="AB768" s="246"/>
      <c r="AC768" s="850"/>
      <c r="AD768" s="850"/>
      <c r="AE768" s="850"/>
      <c r="AF768" s="850"/>
      <c r="AG768" s="246"/>
      <c r="AH768" s="850"/>
      <c r="AI768" s="850"/>
      <c r="AJ768" s="850"/>
      <c r="AK768" s="850"/>
      <c r="AL768" s="246"/>
      <c r="AM768" s="850"/>
      <c r="AN768" s="850"/>
      <c r="AO768" s="850"/>
      <c r="AP768" s="850"/>
      <c r="AQ768" s="246"/>
      <c r="AR768" s="850"/>
      <c r="AS768" s="850"/>
      <c r="AT768" s="850"/>
      <c r="AU768" s="850"/>
      <c r="AV768" s="246"/>
      <c r="AW768" s="850"/>
      <c r="AX768" s="850"/>
      <c r="AY768" s="850"/>
      <c r="AZ768" s="850"/>
      <c r="BA768" s="246"/>
      <c r="BB768" s="850"/>
      <c r="BC768" s="850"/>
      <c r="BD768" s="850"/>
      <c r="BE768" s="850"/>
      <c r="BF768" s="246"/>
      <c r="BG768" s="850"/>
      <c r="BH768" s="850"/>
      <c r="BI768" s="850"/>
      <c r="BJ768" s="850"/>
      <c r="BK768" s="246"/>
      <c r="BL768" s="850"/>
      <c r="BM768" s="850"/>
      <c r="BN768" s="850"/>
      <c r="BO768" s="850"/>
      <c r="BP768" s="1746"/>
      <c r="BQ768" s="850"/>
      <c r="BR768" s="850"/>
      <c r="BS768" s="850"/>
      <c r="BT768" s="850"/>
      <c r="BU768" s="1746"/>
      <c r="BV768" s="850"/>
      <c r="BW768" s="850"/>
      <c r="BX768" s="850"/>
      <c r="BY768" s="850"/>
      <c r="BZ768" s="1746"/>
      <c r="CA768" s="850"/>
      <c r="CB768" s="850"/>
      <c r="CC768" s="850"/>
      <c r="CD768" s="850"/>
      <c r="CE768" s="1746"/>
      <c r="CF768" s="850"/>
      <c r="CG768" s="2349"/>
      <c r="CH768" s="2349">
        <f t="shared" ref="CH768:CV768" si="1114">CH482+CH625</f>
        <v>14784</v>
      </c>
      <c r="CI768" s="2349">
        <f t="shared" si="1114"/>
        <v>14667</v>
      </c>
      <c r="CJ768" s="2293">
        <f t="shared" si="1114"/>
        <v>14667</v>
      </c>
      <c r="CK768" s="2350">
        <f t="shared" si="1113"/>
        <v>14512</v>
      </c>
      <c r="CL768" s="2349">
        <f t="shared" si="1114"/>
        <v>14732</v>
      </c>
      <c r="CM768" s="2349">
        <f t="shared" si="1114"/>
        <v>15055</v>
      </c>
      <c r="CN768" s="2349">
        <f t="shared" si="1114"/>
        <v>15335</v>
      </c>
      <c r="CO768" s="2293">
        <f t="shared" si="1114"/>
        <v>15335</v>
      </c>
      <c r="CP768" s="973">
        <f t="shared" si="1111"/>
        <v>15233.580000000002</v>
      </c>
      <c r="CQ768" s="847">
        <f t="shared" si="1111"/>
        <v>15610.560000000001</v>
      </c>
      <c r="CR768" s="847">
        <f t="shared" si="1111"/>
        <v>15952.94</v>
      </c>
      <c r="CS768" s="1431">
        <f t="shared" si="1111"/>
        <v>16249.740000000002</v>
      </c>
      <c r="CT768" s="2293">
        <f t="shared" si="1111"/>
        <v>16249.740000000002</v>
      </c>
      <c r="CU768" s="2293">
        <f t="shared" si="1114"/>
        <v>17143.475700000003</v>
      </c>
      <c r="CV768" s="2293">
        <f t="shared" si="1114"/>
        <v>17486.345214000001</v>
      </c>
      <c r="CW768" s="374"/>
      <c r="CX768" s="374"/>
      <c r="CY768" s="374"/>
      <c r="CZ768" s="374"/>
      <c r="DA768" s="374"/>
      <c r="DB768" s="217"/>
      <c r="DC768" s="212"/>
      <c r="DD768" s="212"/>
      <c r="DE768" s="70"/>
      <c r="DF768" s="70"/>
      <c r="DG768" s="70"/>
      <c r="DH768" s="70"/>
      <c r="DI768" s="70"/>
      <c r="DJ768" s="70"/>
      <c r="DK768" s="70"/>
      <c r="DL768" s="70"/>
      <c r="DM768" s="70"/>
      <c r="DN768" s="70"/>
      <c r="DO768" s="70"/>
      <c r="DP768" s="70"/>
      <c r="DQ768" s="70"/>
      <c r="DR768" s="70"/>
      <c r="DS768" s="70"/>
      <c r="DT768" s="70"/>
      <c r="DU768" s="70"/>
      <c r="DV768" s="70"/>
      <c r="DW768" s="70"/>
      <c r="DX768" s="70"/>
      <c r="DY768" s="70"/>
      <c r="DZ768" s="70"/>
      <c r="EA768" s="70"/>
      <c r="EB768" s="70"/>
      <c r="EC768" s="70"/>
      <c r="ED768" s="70"/>
      <c r="EE768" s="70"/>
      <c r="EF768" s="70"/>
      <c r="EG768" s="70"/>
      <c r="EH768" s="70"/>
      <c r="EI768" s="70"/>
      <c r="EJ768" s="70"/>
      <c r="EK768" s="70"/>
      <c r="EL768" s="70"/>
      <c r="EM768" s="70"/>
      <c r="EN768" s="70"/>
      <c r="EO768" s="70"/>
      <c r="EP768" s="70"/>
      <c r="EQ768" s="70"/>
      <c r="ER768" s="70"/>
      <c r="ES768" s="70"/>
      <c r="ET768" s="70"/>
      <c r="EU768" s="70"/>
      <c r="EV768" s="70"/>
      <c r="EW768" s="70"/>
      <c r="EX768" s="70"/>
      <c r="EY768" s="70"/>
      <c r="EZ768" s="70"/>
      <c r="FA768" s="70"/>
      <c r="FB768" s="70"/>
      <c r="FC768" s="70"/>
      <c r="FD768" s="70"/>
      <c r="FE768" s="70"/>
      <c r="FF768" s="70"/>
      <c r="FG768" s="70"/>
      <c r="FH768" s="70"/>
      <c r="FI768" s="70"/>
      <c r="FJ768" s="70"/>
      <c r="FK768" s="70"/>
      <c r="FL768" s="70"/>
      <c r="FM768" s="70"/>
      <c r="FN768" s="70"/>
      <c r="FO768" s="70"/>
      <c r="FP768" s="70"/>
      <c r="FQ768" s="70"/>
      <c r="FR768" s="70"/>
      <c r="FS768" s="70"/>
      <c r="FT768" s="70"/>
      <c r="FU768" s="70"/>
      <c r="FV768" s="70"/>
      <c r="FW768" s="70"/>
      <c r="FX768" s="70"/>
      <c r="FY768" s="70"/>
      <c r="FZ768" s="70"/>
      <c r="GA768" s="70"/>
      <c r="GB768" s="70"/>
      <c r="GC768" s="70"/>
      <c r="GD768" s="70"/>
      <c r="GE768" s="70"/>
      <c r="GF768" s="70"/>
      <c r="GG768" s="70"/>
      <c r="GH768" s="70"/>
      <c r="GI768" s="70"/>
      <c r="GJ768" s="70"/>
      <c r="GK768" s="70"/>
      <c r="GL768" s="70"/>
      <c r="GM768" s="70"/>
      <c r="GN768" s="70"/>
      <c r="GO768" s="70"/>
      <c r="GP768" s="70"/>
      <c r="GQ768" s="70"/>
      <c r="GR768" s="70"/>
      <c r="GS768" s="70"/>
      <c r="GT768" s="70"/>
      <c r="GU768" s="70"/>
      <c r="GV768" s="70"/>
      <c r="GW768" s="70"/>
      <c r="GX768" s="70"/>
      <c r="GY768" s="70"/>
      <c r="GZ768" s="70"/>
      <c r="HA768" s="70"/>
      <c r="HB768" s="70"/>
      <c r="HC768" s="70"/>
      <c r="HD768" s="70"/>
      <c r="HE768" s="70"/>
      <c r="HF768" s="70"/>
      <c r="HG768" s="70"/>
      <c r="HH768" s="70"/>
      <c r="HI768" s="70"/>
      <c r="HJ768" s="70"/>
      <c r="HK768" s="70"/>
      <c r="HL768" s="70"/>
      <c r="HM768" s="70"/>
      <c r="HN768" s="70"/>
      <c r="HO768" s="70"/>
      <c r="HP768" s="70"/>
      <c r="HQ768" s="70"/>
      <c r="HR768" s="70"/>
      <c r="HS768" s="70"/>
      <c r="HT768" s="70"/>
      <c r="HU768" s="70"/>
      <c r="HV768" s="70"/>
      <c r="HW768" s="70"/>
      <c r="HX768" s="70"/>
      <c r="HY768" s="70"/>
      <c r="HZ768" s="70"/>
      <c r="IA768" s="70"/>
      <c r="IB768" s="70"/>
      <c r="IC768" s="70"/>
      <c r="ID768" s="70"/>
      <c r="IE768" s="70"/>
      <c r="IF768" s="70"/>
      <c r="IG768" s="70"/>
      <c r="IH768" s="70"/>
      <c r="II768" s="70"/>
      <c r="IJ768" s="70"/>
      <c r="IK768" s="70"/>
      <c r="IL768" s="70"/>
      <c r="IM768" s="70"/>
      <c r="IN768" s="70"/>
      <c r="IO768" s="70"/>
      <c r="IP768" s="70"/>
      <c r="IQ768" s="70"/>
      <c r="IR768" s="70"/>
      <c r="IS768" s="70"/>
      <c r="IT768" s="70"/>
      <c r="IU768" s="70"/>
      <c r="IV768" s="70"/>
    </row>
    <row r="769" spans="1:256" s="207" customFormat="1" x14ac:dyDescent="0.2">
      <c r="A769" s="2434" t="s">
        <v>2457</v>
      </c>
      <c r="B769" s="651"/>
      <c r="C769" s="236"/>
      <c r="G769" s="234"/>
      <c r="H769" s="246"/>
      <c r="I769" s="850"/>
      <c r="J769" s="850"/>
      <c r="K769" s="850"/>
      <c r="L769" s="850"/>
      <c r="M769" s="246"/>
      <c r="N769" s="850"/>
      <c r="O769" s="850"/>
      <c r="P769" s="850"/>
      <c r="Q769" s="850"/>
      <c r="R769" s="246"/>
      <c r="S769" s="850"/>
      <c r="T769" s="850"/>
      <c r="U769" s="850"/>
      <c r="V769" s="850"/>
      <c r="W769" s="246"/>
      <c r="X769" s="850"/>
      <c r="Y769" s="850"/>
      <c r="Z769" s="850"/>
      <c r="AA769" s="850"/>
      <c r="AB769" s="246"/>
      <c r="AC769" s="850"/>
      <c r="AD769" s="850"/>
      <c r="AE769" s="850"/>
      <c r="AF769" s="850"/>
      <c r="AG769" s="246"/>
      <c r="AH769" s="850"/>
      <c r="AI769" s="850"/>
      <c r="AJ769" s="850"/>
      <c r="AK769" s="850"/>
      <c r="AL769" s="246"/>
      <c r="AM769" s="850"/>
      <c r="AN769" s="850"/>
      <c r="AO769" s="850"/>
      <c r="AP769" s="850"/>
      <c r="AQ769" s="246"/>
      <c r="AR769" s="850"/>
      <c r="AS769" s="850"/>
      <c r="AT769" s="850"/>
      <c r="AU769" s="850"/>
      <c r="AV769" s="246"/>
      <c r="AW769" s="850"/>
      <c r="AX769" s="850"/>
      <c r="AY769" s="850"/>
      <c r="AZ769" s="850"/>
      <c r="BA769" s="246"/>
      <c r="BB769" s="850"/>
      <c r="BC769" s="850"/>
      <c r="BD769" s="850"/>
      <c r="BE769" s="850"/>
      <c r="BF769" s="246"/>
      <c r="BG769" s="850"/>
      <c r="BH769" s="850"/>
      <c r="BI769" s="850"/>
      <c r="BJ769" s="850"/>
      <c r="BK769" s="246"/>
      <c r="BL769" s="850"/>
      <c r="BM769" s="850"/>
      <c r="BN769" s="850"/>
      <c r="BO769" s="850"/>
      <c r="BP769" s="1746"/>
      <c r="BQ769" s="850"/>
      <c r="BR769" s="850"/>
      <c r="BS769" s="850"/>
      <c r="BT769" s="850"/>
      <c r="BU769" s="1746"/>
      <c r="BV769" s="850"/>
      <c r="BW769" s="850"/>
      <c r="BX769" s="850"/>
      <c r="BY769" s="850"/>
      <c r="BZ769" s="1746"/>
      <c r="CA769" s="850"/>
      <c r="CB769" s="850"/>
      <c r="CC769" s="850"/>
      <c r="CD769" s="850"/>
      <c r="CE769" s="1746"/>
      <c r="CF769" s="850"/>
      <c r="CG769" s="2349"/>
      <c r="CH769" s="2349">
        <f t="shared" ref="CH769:CV769" si="1115">CH483+CH626</f>
        <v>12589</v>
      </c>
      <c r="CI769" s="2349">
        <f t="shared" si="1115"/>
        <v>12971</v>
      </c>
      <c r="CJ769" s="2293">
        <f t="shared" si="1115"/>
        <v>12971</v>
      </c>
      <c r="CK769" s="2350">
        <f t="shared" si="1113"/>
        <v>12718</v>
      </c>
      <c r="CL769" s="2349">
        <f t="shared" si="1115"/>
        <v>13337</v>
      </c>
      <c r="CM769" s="2349">
        <f t="shared" si="1115"/>
        <v>13611</v>
      </c>
      <c r="CN769" s="2349">
        <f t="shared" si="1115"/>
        <v>13611</v>
      </c>
      <c r="CO769" s="2293">
        <f t="shared" si="1115"/>
        <v>13611</v>
      </c>
      <c r="CP769" s="973">
        <f t="shared" si="1111"/>
        <v>13508.48</v>
      </c>
      <c r="CQ769" s="847">
        <f t="shared" si="1111"/>
        <v>14216.960000000001</v>
      </c>
      <c r="CR769" s="847">
        <f t="shared" si="1111"/>
        <v>14507.16</v>
      </c>
      <c r="CS769" s="1431">
        <f t="shared" si="1111"/>
        <v>14507.16</v>
      </c>
      <c r="CT769" s="2293">
        <f t="shared" si="1111"/>
        <v>14507.16</v>
      </c>
      <c r="CU769" s="2293">
        <f t="shared" si="1115"/>
        <v>15007.326300000001</v>
      </c>
      <c r="CV769" s="2293">
        <f t="shared" si="1115"/>
        <v>15133.940226000001</v>
      </c>
      <c r="CW769" s="374"/>
      <c r="CX769" s="374"/>
      <c r="CY769" s="374"/>
      <c r="CZ769" s="374"/>
      <c r="DA769" s="374"/>
      <c r="DB769" s="217"/>
      <c r="DC769" s="212"/>
      <c r="DD769" s="212"/>
      <c r="DE769" s="70"/>
      <c r="DF769" s="70"/>
      <c r="DG769" s="70"/>
      <c r="DH769" s="70"/>
      <c r="DI769" s="70"/>
      <c r="DJ769" s="70"/>
      <c r="DK769" s="70"/>
      <c r="DL769" s="70"/>
      <c r="DM769" s="70"/>
      <c r="DN769" s="70"/>
      <c r="DO769" s="70"/>
      <c r="DP769" s="70"/>
      <c r="DQ769" s="70"/>
      <c r="DR769" s="70"/>
      <c r="DS769" s="70"/>
      <c r="DT769" s="70"/>
      <c r="DU769" s="70"/>
      <c r="DV769" s="70"/>
      <c r="DW769" s="70"/>
      <c r="DX769" s="70"/>
      <c r="DY769" s="70"/>
      <c r="DZ769" s="70"/>
      <c r="EA769" s="70"/>
      <c r="EB769" s="70"/>
      <c r="EC769" s="70"/>
      <c r="ED769" s="70"/>
      <c r="EE769" s="70"/>
      <c r="EF769" s="70"/>
      <c r="EG769" s="70"/>
      <c r="EH769" s="70"/>
      <c r="EI769" s="70"/>
      <c r="EJ769" s="70"/>
      <c r="EK769" s="70"/>
      <c r="EL769" s="70"/>
      <c r="EM769" s="70"/>
      <c r="EN769" s="70"/>
      <c r="EO769" s="70"/>
      <c r="EP769" s="70"/>
      <c r="EQ769" s="70"/>
      <c r="ER769" s="70"/>
      <c r="ES769" s="70"/>
      <c r="ET769" s="70"/>
      <c r="EU769" s="70"/>
      <c r="EV769" s="70"/>
      <c r="EW769" s="70"/>
      <c r="EX769" s="70"/>
      <c r="EY769" s="70"/>
      <c r="EZ769" s="70"/>
      <c r="FA769" s="70"/>
      <c r="FB769" s="70"/>
      <c r="FC769" s="70"/>
      <c r="FD769" s="70"/>
      <c r="FE769" s="70"/>
      <c r="FF769" s="70"/>
      <c r="FG769" s="70"/>
      <c r="FH769" s="70"/>
      <c r="FI769" s="70"/>
      <c r="FJ769" s="70"/>
      <c r="FK769" s="70"/>
      <c r="FL769" s="70"/>
      <c r="FM769" s="70"/>
      <c r="FN769" s="70"/>
      <c r="FO769" s="70"/>
      <c r="FP769" s="70"/>
      <c r="FQ769" s="70"/>
      <c r="FR769" s="70"/>
      <c r="FS769" s="70"/>
      <c r="FT769" s="70"/>
      <c r="FU769" s="70"/>
      <c r="FV769" s="70"/>
      <c r="FW769" s="70"/>
      <c r="FX769" s="70"/>
      <c r="FY769" s="70"/>
      <c r="FZ769" s="70"/>
      <c r="GA769" s="70"/>
      <c r="GB769" s="70"/>
      <c r="GC769" s="70"/>
      <c r="GD769" s="70"/>
      <c r="GE769" s="70"/>
      <c r="GF769" s="70"/>
      <c r="GG769" s="70"/>
      <c r="GH769" s="70"/>
      <c r="GI769" s="70"/>
      <c r="GJ769" s="70"/>
      <c r="GK769" s="70"/>
      <c r="GL769" s="70"/>
      <c r="GM769" s="70"/>
      <c r="GN769" s="70"/>
      <c r="GO769" s="70"/>
      <c r="GP769" s="70"/>
      <c r="GQ769" s="70"/>
      <c r="GR769" s="70"/>
      <c r="GS769" s="70"/>
      <c r="GT769" s="70"/>
      <c r="GU769" s="70"/>
      <c r="GV769" s="70"/>
      <c r="GW769" s="70"/>
      <c r="GX769" s="70"/>
      <c r="GY769" s="70"/>
      <c r="GZ769" s="70"/>
      <c r="HA769" s="70"/>
      <c r="HB769" s="70"/>
      <c r="HC769" s="70"/>
      <c r="HD769" s="70"/>
      <c r="HE769" s="70"/>
      <c r="HF769" s="70"/>
      <c r="HG769" s="70"/>
      <c r="HH769" s="70"/>
      <c r="HI769" s="70"/>
      <c r="HJ769" s="70"/>
      <c r="HK769" s="70"/>
      <c r="HL769" s="70"/>
      <c r="HM769" s="70"/>
      <c r="HN769" s="70"/>
      <c r="HO769" s="70"/>
      <c r="HP769" s="70"/>
      <c r="HQ769" s="70"/>
      <c r="HR769" s="70"/>
      <c r="HS769" s="70"/>
      <c r="HT769" s="70"/>
      <c r="HU769" s="70"/>
      <c r="HV769" s="70"/>
      <c r="HW769" s="70"/>
      <c r="HX769" s="70"/>
      <c r="HY769" s="70"/>
      <c r="HZ769" s="70"/>
      <c r="IA769" s="70"/>
      <c r="IB769" s="70"/>
      <c r="IC769" s="70"/>
      <c r="ID769" s="70"/>
      <c r="IE769" s="70"/>
      <c r="IF769" s="70"/>
      <c r="IG769" s="70"/>
      <c r="IH769" s="70"/>
      <c r="II769" s="70"/>
      <c r="IJ769" s="70"/>
      <c r="IK769" s="70"/>
      <c r="IL769" s="70"/>
      <c r="IM769" s="70"/>
      <c r="IN769" s="70"/>
      <c r="IO769" s="70"/>
      <c r="IP769" s="70"/>
      <c r="IQ769" s="70"/>
      <c r="IR769" s="70"/>
      <c r="IS769" s="70"/>
      <c r="IT769" s="70"/>
      <c r="IU769" s="70"/>
      <c r="IV769" s="70"/>
    </row>
    <row r="770" spans="1:256" s="207" customFormat="1" x14ac:dyDescent="0.2">
      <c r="A770" s="2434" t="s">
        <v>2458</v>
      </c>
      <c r="B770" s="651"/>
      <c r="C770" s="236"/>
      <c r="G770" s="234"/>
      <c r="H770" s="246"/>
      <c r="I770" s="850"/>
      <c r="J770" s="850"/>
      <c r="K770" s="850"/>
      <c r="L770" s="850"/>
      <c r="M770" s="246"/>
      <c r="N770" s="850"/>
      <c r="O770" s="850"/>
      <c r="P770" s="850"/>
      <c r="Q770" s="850"/>
      <c r="R770" s="246"/>
      <c r="S770" s="850"/>
      <c r="T770" s="850"/>
      <c r="U770" s="850"/>
      <c r="V770" s="850"/>
      <c r="W770" s="246"/>
      <c r="X770" s="850"/>
      <c r="Y770" s="850"/>
      <c r="Z770" s="850"/>
      <c r="AA770" s="850"/>
      <c r="AB770" s="246"/>
      <c r="AC770" s="850"/>
      <c r="AD770" s="850"/>
      <c r="AE770" s="850"/>
      <c r="AF770" s="850"/>
      <c r="AG770" s="246"/>
      <c r="AH770" s="850"/>
      <c r="AI770" s="850"/>
      <c r="AJ770" s="850"/>
      <c r="AK770" s="850"/>
      <c r="AL770" s="246"/>
      <c r="AM770" s="850"/>
      <c r="AN770" s="850"/>
      <c r="AO770" s="850"/>
      <c r="AP770" s="850"/>
      <c r="AQ770" s="246"/>
      <c r="AR770" s="850"/>
      <c r="AS770" s="850"/>
      <c r="AT770" s="850"/>
      <c r="AU770" s="850"/>
      <c r="AV770" s="246"/>
      <c r="AW770" s="850"/>
      <c r="AX770" s="850"/>
      <c r="AY770" s="850"/>
      <c r="AZ770" s="850"/>
      <c r="BA770" s="246"/>
      <c r="BB770" s="850"/>
      <c r="BC770" s="850"/>
      <c r="BD770" s="850"/>
      <c r="BE770" s="850"/>
      <c r="BF770" s="246"/>
      <c r="BG770" s="850"/>
      <c r="BH770" s="850"/>
      <c r="BI770" s="850"/>
      <c r="BJ770" s="850"/>
      <c r="BK770" s="246"/>
      <c r="BL770" s="850"/>
      <c r="BM770" s="850"/>
      <c r="BN770" s="850"/>
      <c r="BO770" s="850"/>
      <c r="BP770" s="1746"/>
      <c r="BQ770" s="850"/>
      <c r="BR770" s="850"/>
      <c r="BS770" s="850"/>
      <c r="BT770" s="850"/>
      <c r="BU770" s="1746"/>
      <c r="BV770" s="850"/>
      <c r="BW770" s="850"/>
      <c r="BX770" s="850"/>
      <c r="BY770" s="850"/>
      <c r="BZ770" s="1746"/>
      <c r="CA770" s="850"/>
      <c r="CB770" s="850"/>
      <c r="CC770" s="850"/>
      <c r="CD770" s="850"/>
      <c r="CE770" s="1746"/>
      <c r="CF770" s="850"/>
      <c r="CG770" s="2349"/>
      <c r="CH770" s="2349">
        <f t="shared" ref="CH770:CV770" si="1116">CH484+CH627</f>
        <v>10225</v>
      </c>
      <c r="CI770" s="2349">
        <f t="shared" si="1116"/>
        <v>10566</v>
      </c>
      <c r="CJ770" s="2293">
        <f t="shared" si="1116"/>
        <v>10566</v>
      </c>
      <c r="CK770" s="2350">
        <f t="shared" si="1113"/>
        <v>10566</v>
      </c>
      <c r="CL770" s="2349">
        <f t="shared" si="1116"/>
        <v>10566</v>
      </c>
      <c r="CM770" s="2349">
        <f t="shared" si="1116"/>
        <v>10524</v>
      </c>
      <c r="CN770" s="2349">
        <f t="shared" si="1116"/>
        <v>10911</v>
      </c>
      <c r="CO770" s="2293">
        <f t="shared" si="1116"/>
        <v>10911</v>
      </c>
      <c r="CP770" s="973">
        <f t="shared" si="1111"/>
        <v>11140.18</v>
      </c>
      <c r="CQ770" s="847">
        <f t="shared" si="1111"/>
        <v>11222.9</v>
      </c>
      <c r="CR770" s="847">
        <f t="shared" si="1111"/>
        <v>11178.380000000001</v>
      </c>
      <c r="CS770" s="1431">
        <f t="shared" si="1111"/>
        <v>11588.6</v>
      </c>
      <c r="CT770" s="2293">
        <f t="shared" si="1111"/>
        <v>11588.6</v>
      </c>
      <c r="CU770" s="2293">
        <f t="shared" si="1116"/>
        <v>12140.0627</v>
      </c>
      <c r="CV770" s="2293">
        <f t="shared" si="1116"/>
        <v>12332.790522000001</v>
      </c>
      <c r="CW770" s="374"/>
      <c r="CX770" s="374"/>
      <c r="CY770" s="374"/>
      <c r="CZ770" s="374"/>
      <c r="DA770" s="374"/>
      <c r="DB770" s="217"/>
      <c r="DC770" s="212"/>
      <c r="DD770" s="212"/>
      <c r="DE770" s="70"/>
      <c r="DF770" s="70"/>
      <c r="DG770" s="70"/>
      <c r="DH770" s="70"/>
      <c r="DI770" s="70"/>
      <c r="DJ770" s="70"/>
      <c r="DK770" s="70"/>
      <c r="DL770" s="70"/>
      <c r="DM770" s="70"/>
      <c r="DN770" s="70"/>
      <c r="DO770" s="70"/>
      <c r="DP770" s="70"/>
      <c r="DQ770" s="70"/>
      <c r="DR770" s="70"/>
      <c r="DS770" s="70"/>
      <c r="DT770" s="70"/>
      <c r="DU770" s="70"/>
      <c r="DV770" s="70"/>
      <c r="DW770" s="70"/>
      <c r="DX770" s="70"/>
      <c r="DY770" s="70"/>
      <c r="DZ770" s="70"/>
      <c r="EA770" s="70"/>
      <c r="EB770" s="70"/>
      <c r="EC770" s="70"/>
      <c r="ED770" s="70"/>
      <c r="EE770" s="70"/>
      <c r="EF770" s="70"/>
      <c r="EG770" s="70"/>
      <c r="EH770" s="70"/>
      <c r="EI770" s="70"/>
      <c r="EJ770" s="70"/>
      <c r="EK770" s="70"/>
      <c r="EL770" s="70"/>
      <c r="EM770" s="70"/>
      <c r="EN770" s="70"/>
      <c r="EO770" s="70"/>
      <c r="EP770" s="70"/>
      <c r="EQ770" s="70"/>
      <c r="ER770" s="70"/>
      <c r="ES770" s="70"/>
      <c r="ET770" s="70"/>
      <c r="EU770" s="70"/>
      <c r="EV770" s="70"/>
      <c r="EW770" s="70"/>
      <c r="EX770" s="70"/>
      <c r="EY770" s="70"/>
      <c r="EZ770" s="70"/>
      <c r="FA770" s="70"/>
      <c r="FB770" s="70"/>
      <c r="FC770" s="70"/>
      <c r="FD770" s="70"/>
      <c r="FE770" s="70"/>
      <c r="FF770" s="70"/>
      <c r="FG770" s="70"/>
      <c r="FH770" s="70"/>
      <c r="FI770" s="70"/>
      <c r="FJ770" s="70"/>
      <c r="FK770" s="70"/>
      <c r="FL770" s="70"/>
      <c r="FM770" s="70"/>
      <c r="FN770" s="70"/>
      <c r="FO770" s="70"/>
      <c r="FP770" s="70"/>
      <c r="FQ770" s="70"/>
      <c r="FR770" s="70"/>
      <c r="FS770" s="70"/>
      <c r="FT770" s="70"/>
      <c r="FU770" s="70"/>
      <c r="FV770" s="70"/>
      <c r="FW770" s="70"/>
      <c r="FX770" s="70"/>
      <c r="FY770" s="70"/>
      <c r="FZ770" s="70"/>
      <c r="GA770" s="70"/>
      <c r="GB770" s="70"/>
      <c r="GC770" s="70"/>
      <c r="GD770" s="70"/>
      <c r="GE770" s="70"/>
      <c r="GF770" s="70"/>
      <c r="GG770" s="70"/>
      <c r="GH770" s="70"/>
      <c r="GI770" s="70"/>
      <c r="GJ770" s="70"/>
      <c r="GK770" s="70"/>
      <c r="GL770" s="70"/>
      <c r="GM770" s="70"/>
      <c r="GN770" s="70"/>
      <c r="GO770" s="70"/>
      <c r="GP770" s="70"/>
      <c r="GQ770" s="70"/>
      <c r="GR770" s="70"/>
      <c r="GS770" s="70"/>
      <c r="GT770" s="70"/>
      <c r="GU770" s="70"/>
      <c r="GV770" s="70"/>
      <c r="GW770" s="70"/>
      <c r="GX770" s="70"/>
      <c r="GY770" s="70"/>
      <c r="GZ770" s="70"/>
      <c r="HA770" s="70"/>
      <c r="HB770" s="70"/>
      <c r="HC770" s="70"/>
      <c r="HD770" s="70"/>
      <c r="HE770" s="70"/>
      <c r="HF770" s="70"/>
      <c r="HG770" s="70"/>
      <c r="HH770" s="70"/>
      <c r="HI770" s="70"/>
      <c r="HJ770" s="70"/>
      <c r="HK770" s="70"/>
      <c r="HL770" s="70"/>
      <c r="HM770" s="70"/>
      <c r="HN770" s="70"/>
      <c r="HO770" s="70"/>
      <c r="HP770" s="70"/>
      <c r="HQ770" s="70"/>
      <c r="HR770" s="70"/>
      <c r="HS770" s="70"/>
      <c r="HT770" s="70"/>
      <c r="HU770" s="70"/>
      <c r="HV770" s="70"/>
      <c r="HW770" s="70"/>
      <c r="HX770" s="70"/>
      <c r="HY770" s="70"/>
      <c r="HZ770" s="70"/>
      <c r="IA770" s="70"/>
      <c r="IB770" s="70"/>
      <c r="IC770" s="70"/>
      <c r="ID770" s="70"/>
      <c r="IE770" s="70"/>
      <c r="IF770" s="70"/>
      <c r="IG770" s="70"/>
      <c r="IH770" s="70"/>
      <c r="II770" s="70"/>
      <c r="IJ770" s="70"/>
      <c r="IK770" s="70"/>
      <c r="IL770" s="70"/>
      <c r="IM770" s="70"/>
      <c r="IN770" s="70"/>
      <c r="IO770" s="70"/>
      <c r="IP770" s="70"/>
      <c r="IQ770" s="70"/>
      <c r="IR770" s="70"/>
      <c r="IS770" s="70"/>
      <c r="IT770" s="70"/>
      <c r="IU770" s="70"/>
      <c r="IV770" s="70"/>
    </row>
    <row r="771" spans="1:256" s="207" customFormat="1" x14ac:dyDescent="0.2">
      <c r="A771" s="2434" t="s">
        <v>2459</v>
      </c>
      <c r="B771" s="651"/>
      <c r="C771" s="236"/>
      <c r="G771" s="234"/>
      <c r="H771" s="246"/>
      <c r="I771" s="850"/>
      <c r="J771" s="850"/>
      <c r="K771" s="850"/>
      <c r="L771" s="850"/>
      <c r="M771" s="246"/>
      <c r="N771" s="850"/>
      <c r="O771" s="850"/>
      <c r="P771" s="850"/>
      <c r="Q771" s="850"/>
      <c r="R771" s="246"/>
      <c r="S771" s="850"/>
      <c r="T771" s="850"/>
      <c r="U771" s="850"/>
      <c r="V771" s="850"/>
      <c r="W771" s="246"/>
      <c r="X771" s="850"/>
      <c r="Y771" s="850"/>
      <c r="Z771" s="850"/>
      <c r="AA771" s="850"/>
      <c r="AB771" s="246"/>
      <c r="AC771" s="850"/>
      <c r="AD771" s="850"/>
      <c r="AE771" s="850"/>
      <c r="AF771" s="850"/>
      <c r="AG771" s="246"/>
      <c r="AH771" s="850"/>
      <c r="AI771" s="850"/>
      <c r="AJ771" s="850"/>
      <c r="AK771" s="850"/>
      <c r="AL771" s="246"/>
      <c r="AM771" s="850"/>
      <c r="AN771" s="850"/>
      <c r="AO771" s="850"/>
      <c r="AP771" s="850"/>
      <c r="AQ771" s="246"/>
      <c r="AR771" s="850"/>
      <c r="AS771" s="850"/>
      <c r="AT771" s="850"/>
      <c r="AU771" s="850"/>
      <c r="AV771" s="246"/>
      <c r="AW771" s="850"/>
      <c r="AX771" s="850"/>
      <c r="AY771" s="850"/>
      <c r="AZ771" s="850"/>
      <c r="BA771" s="246"/>
      <c r="BB771" s="850"/>
      <c r="BC771" s="850"/>
      <c r="BD771" s="850"/>
      <c r="BE771" s="850"/>
      <c r="BF771" s="246"/>
      <c r="BG771" s="850"/>
      <c r="BH771" s="850"/>
      <c r="BI771" s="850"/>
      <c r="BJ771" s="850"/>
      <c r="BK771" s="246"/>
      <c r="BL771" s="850"/>
      <c r="BM771" s="850"/>
      <c r="BN771" s="850"/>
      <c r="BO771" s="850"/>
      <c r="BP771" s="1746"/>
      <c r="BQ771" s="850"/>
      <c r="BR771" s="850"/>
      <c r="BS771" s="850"/>
      <c r="BT771" s="850"/>
      <c r="BU771" s="1746"/>
      <c r="BV771" s="850"/>
      <c r="BW771" s="850"/>
      <c r="BX771" s="850"/>
      <c r="BY771" s="850"/>
      <c r="BZ771" s="1746"/>
      <c r="CA771" s="850"/>
      <c r="CB771" s="850"/>
      <c r="CC771" s="850"/>
      <c r="CD771" s="850"/>
      <c r="CE771" s="1746"/>
      <c r="CF771" s="850"/>
      <c r="CG771" s="2349"/>
      <c r="CH771" s="2349">
        <f t="shared" ref="CH771:CV771" si="1117">CH485+CH628</f>
        <v>7428</v>
      </c>
      <c r="CI771" s="2349">
        <f t="shared" si="1117"/>
        <v>7774</v>
      </c>
      <c r="CJ771" s="2293">
        <f t="shared" si="1117"/>
        <v>7774</v>
      </c>
      <c r="CK771" s="2350">
        <f t="shared" si="1113"/>
        <v>7962</v>
      </c>
      <c r="CL771" s="2349">
        <f t="shared" si="1117"/>
        <v>8656</v>
      </c>
      <c r="CM771" s="2349">
        <f t="shared" si="1117"/>
        <v>9039</v>
      </c>
      <c r="CN771" s="2349">
        <f t="shared" si="1117"/>
        <v>9038</v>
      </c>
      <c r="CO771" s="2293">
        <f t="shared" si="1117"/>
        <v>9038</v>
      </c>
      <c r="CP771" s="973">
        <f t="shared" si="1111"/>
        <v>8394.6</v>
      </c>
      <c r="CQ771" s="847">
        <f t="shared" si="1111"/>
        <v>9192.61</v>
      </c>
      <c r="CR771" s="847">
        <f t="shared" si="1111"/>
        <v>9601.2400000000016</v>
      </c>
      <c r="CS771" s="1431">
        <f t="shared" si="1111"/>
        <v>9600.18</v>
      </c>
      <c r="CT771" s="2293">
        <f t="shared" si="1111"/>
        <v>9600.18</v>
      </c>
      <c r="CU771" s="2293">
        <f t="shared" si="1117"/>
        <v>10053.6644</v>
      </c>
      <c r="CV771" s="2293">
        <f t="shared" si="1117"/>
        <v>10211.299967999999</v>
      </c>
      <c r="CW771" s="374"/>
      <c r="CX771" s="374"/>
      <c r="CY771" s="374"/>
      <c r="CZ771" s="374"/>
      <c r="DA771" s="374"/>
      <c r="DB771" s="217"/>
      <c r="DC771" s="212"/>
      <c r="DD771" s="212"/>
      <c r="DE771" s="70"/>
      <c r="DF771" s="70"/>
      <c r="DG771" s="70"/>
      <c r="DH771" s="70"/>
      <c r="DI771" s="70"/>
      <c r="DJ771" s="70"/>
      <c r="DK771" s="70"/>
      <c r="DL771" s="70"/>
      <c r="DM771" s="70"/>
      <c r="DN771" s="70"/>
      <c r="DO771" s="70"/>
      <c r="DP771" s="70"/>
      <c r="DQ771" s="70"/>
      <c r="DR771" s="70"/>
      <c r="DS771" s="70"/>
      <c r="DT771" s="70"/>
      <c r="DU771" s="70"/>
      <c r="DV771" s="70"/>
      <c r="DW771" s="70"/>
      <c r="DX771" s="70"/>
      <c r="DY771" s="70"/>
      <c r="DZ771" s="70"/>
      <c r="EA771" s="70"/>
      <c r="EB771" s="70"/>
      <c r="EC771" s="70"/>
      <c r="ED771" s="70"/>
      <c r="EE771" s="70"/>
      <c r="EF771" s="70"/>
      <c r="EG771" s="70"/>
      <c r="EH771" s="70"/>
      <c r="EI771" s="70"/>
      <c r="EJ771" s="70"/>
      <c r="EK771" s="70"/>
      <c r="EL771" s="70"/>
      <c r="EM771" s="70"/>
      <c r="EN771" s="70"/>
      <c r="EO771" s="70"/>
      <c r="EP771" s="70"/>
      <c r="EQ771" s="70"/>
      <c r="ER771" s="70"/>
      <c r="ES771" s="70"/>
      <c r="ET771" s="70"/>
      <c r="EU771" s="70"/>
      <c r="EV771" s="70"/>
      <c r="EW771" s="70"/>
      <c r="EX771" s="70"/>
      <c r="EY771" s="70"/>
      <c r="EZ771" s="70"/>
      <c r="FA771" s="70"/>
      <c r="FB771" s="70"/>
      <c r="FC771" s="70"/>
      <c r="FD771" s="70"/>
      <c r="FE771" s="70"/>
      <c r="FF771" s="70"/>
      <c r="FG771" s="70"/>
      <c r="FH771" s="70"/>
      <c r="FI771" s="70"/>
      <c r="FJ771" s="70"/>
      <c r="FK771" s="70"/>
      <c r="FL771" s="70"/>
      <c r="FM771" s="70"/>
      <c r="FN771" s="70"/>
      <c r="FO771" s="70"/>
      <c r="FP771" s="70"/>
      <c r="FQ771" s="70"/>
      <c r="FR771" s="70"/>
      <c r="FS771" s="70"/>
      <c r="FT771" s="70"/>
      <c r="FU771" s="70"/>
      <c r="FV771" s="70"/>
      <c r="FW771" s="70"/>
      <c r="FX771" s="70"/>
      <c r="FY771" s="70"/>
      <c r="FZ771" s="70"/>
      <c r="GA771" s="70"/>
      <c r="GB771" s="70"/>
      <c r="GC771" s="70"/>
      <c r="GD771" s="70"/>
      <c r="GE771" s="70"/>
      <c r="GF771" s="70"/>
      <c r="GG771" s="70"/>
      <c r="GH771" s="70"/>
      <c r="GI771" s="70"/>
      <c r="GJ771" s="70"/>
      <c r="GK771" s="70"/>
      <c r="GL771" s="70"/>
      <c r="GM771" s="70"/>
      <c r="GN771" s="70"/>
      <c r="GO771" s="70"/>
      <c r="GP771" s="70"/>
      <c r="GQ771" s="70"/>
      <c r="GR771" s="70"/>
      <c r="GS771" s="70"/>
      <c r="GT771" s="70"/>
      <c r="GU771" s="70"/>
      <c r="GV771" s="70"/>
      <c r="GW771" s="70"/>
      <c r="GX771" s="70"/>
      <c r="GY771" s="70"/>
      <c r="GZ771" s="70"/>
      <c r="HA771" s="70"/>
      <c r="HB771" s="70"/>
      <c r="HC771" s="70"/>
      <c r="HD771" s="70"/>
      <c r="HE771" s="70"/>
      <c r="HF771" s="70"/>
      <c r="HG771" s="70"/>
      <c r="HH771" s="70"/>
      <c r="HI771" s="70"/>
      <c r="HJ771" s="70"/>
      <c r="HK771" s="70"/>
      <c r="HL771" s="70"/>
      <c r="HM771" s="70"/>
      <c r="HN771" s="70"/>
      <c r="HO771" s="70"/>
      <c r="HP771" s="70"/>
      <c r="HQ771" s="70"/>
      <c r="HR771" s="70"/>
      <c r="HS771" s="70"/>
      <c r="HT771" s="70"/>
      <c r="HU771" s="70"/>
      <c r="HV771" s="70"/>
      <c r="HW771" s="70"/>
      <c r="HX771" s="70"/>
      <c r="HY771" s="70"/>
      <c r="HZ771" s="70"/>
      <c r="IA771" s="70"/>
      <c r="IB771" s="70"/>
      <c r="IC771" s="70"/>
      <c r="ID771" s="70"/>
      <c r="IE771" s="70"/>
      <c r="IF771" s="70"/>
      <c r="IG771" s="70"/>
      <c r="IH771" s="70"/>
      <c r="II771" s="70"/>
      <c r="IJ771" s="70"/>
      <c r="IK771" s="70"/>
      <c r="IL771" s="70"/>
      <c r="IM771" s="70"/>
      <c r="IN771" s="70"/>
      <c r="IO771" s="70"/>
      <c r="IP771" s="70"/>
      <c r="IQ771" s="70"/>
      <c r="IR771" s="70"/>
      <c r="IS771" s="70"/>
      <c r="IT771" s="70"/>
      <c r="IU771" s="70"/>
      <c r="IV771" s="70"/>
    </row>
    <row r="772" spans="1:256" s="207" customFormat="1" x14ac:dyDescent="0.2">
      <c r="A772" s="2434" t="s">
        <v>2460</v>
      </c>
      <c r="B772" s="651"/>
      <c r="C772" s="236"/>
      <c r="G772" s="234"/>
      <c r="H772" s="246"/>
      <c r="I772" s="850"/>
      <c r="J772" s="850"/>
      <c r="K772" s="850"/>
      <c r="L772" s="850"/>
      <c r="M772" s="246"/>
      <c r="N772" s="850"/>
      <c r="O772" s="850"/>
      <c r="P772" s="850"/>
      <c r="Q772" s="850"/>
      <c r="R772" s="246"/>
      <c r="S772" s="850"/>
      <c r="T772" s="850"/>
      <c r="U772" s="850"/>
      <c r="V772" s="850"/>
      <c r="W772" s="246"/>
      <c r="X772" s="850"/>
      <c r="Y772" s="850"/>
      <c r="Z772" s="850"/>
      <c r="AA772" s="850"/>
      <c r="AB772" s="246"/>
      <c r="AC772" s="850"/>
      <c r="AD772" s="850"/>
      <c r="AE772" s="850"/>
      <c r="AF772" s="850"/>
      <c r="AG772" s="246"/>
      <c r="AH772" s="850"/>
      <c r="AI772" s="850"/>
      <c r="AJ772" s="850"/>
      <c r="AK772" s="850"/>
      <c r="AL772" s="246"/>
      <c r="AM772" s="850"/>
      <c r="AN772" s="850"/>
      <c r="AO772" s="850"/>
      <c r="AP772" s="850"/>
      <c r="AQ772" s="246"/>
      <c r="AR772" s="850"/>
      <c r="AS772" s="850"/>
      <c r="AT772" s="850"/>
      <c r="AU772" s="850"/>
      <c r="AV772" s="246"/>
      <c r="AW772" s="850"/>
      <c r="AX772" s="850"/>
      <c r="AY772" s="850"/>
      <c r="AZ772" s="850"/>
      <c r="BA772" s="246"/>
      <c r="BB772" s="850"/>
      <c r="BC772" s="850"/>
      <c r="BD772" s="850"/>
      <c r="BE772" s="850"/>
      <c r="BF772" s="246"/>
      <c r="BG772" s="850"/>
      <c r="BH772" s="850"/>
      <c r="BI772" s="850"/>
      <c r="BJ772" s="850"/>
      <c r="BK772" s="246"/>
      <c r="BL772" s="850"/>
      <c r="BM772" s="850"/>
      <c r="BN772" s="850"/>
      <c r="BO772" s="850"/>
      <c r="BP772" s="1746"/>
      <c r="BQ772" s="850"/>
      <c r="BR772" s="850"/>
      <c r="BS772" s="850"/>
      <c r="BT772" s="850"/>
      <c r="BU772" s="1746"/>
      <c r="BV772" s="850"/>
      <c r="BW772" s="850"/>
      <c r="BX772" s="850"/>
      <c r="BY772" s="850"/>
      <c r="BZ772" s="1746"/>
      <c r="CA772" s="850"/>
      <c r="CB772" s="850"/>
      <c r="CC772" s="850"/>
      <c r="CD772" s="850"/>
      <c r="CE772" s="1746"/>
      <c r="CF772" s="850"/>
      <c r="CG772" s="2349"/>
      <c r="CH772" s="2349">
        <f t="shared" ref="CH772:CV772" si="1118">CH486+CH629</f>
        <v>21764</v>
      </c>
      <c r="CI772" s="2349">
        <f t="shared" si="1118"/>
        <v>21672</v>
      </c>
      <c r="CJ772" s="2293">
        <f t="shared" si="1118"/>
        <v>21672</v>
      </c>
      <c r="CK772" s="2350">
        <f t="shared" si="1113"/>
        <v>21672</v>
      </c>
      <c r="CL772" s="2349">
        <f t="shared" si="1118"/>
        <v>21480</v>
      </c>
      <c r="CM772" s="2349">
        <f t="shared" si="1118"/>
        <v>20920</v>
      </c>
      <c r="CN772" s="2349">
        <f t="shared" si="1118"/>
        <v>21421</v>
      </c>
      <c r="CO772" s="2293">
        <f t="shared" si="1118"/>
        <v>21421</v>
      </c>
      <c r="CP772" s="973">
        <f t="shared" si="1111"/>
        <v>22734.000000000004</v>
      </c>
      <c r="CQ772" s="847">
        <f t="shared" si="1111"/>
        <v>22740.000000000004</v>
      </c>
      <c r="CR772" s="847">
        <f t="shared" si="1111"/>
        <v>22146.400000000001</v>
      </c>
      <c r="CS772" s="1431">
        <f t="shared" si="1111"/>
        <v>22677.460000000003</v>
      </c>
      <c r="CT772" s="2293">
        <f t="shared" si="1111"/>
        <v>22677.460000000003</v>
      </c>
      <c r="CU772" s="2293">
        <f t="shared" si="1118"/>
        <v>23899.016299999999</v>
      </c>
      <c r="CV772" s="2293">
        <f t="shared" si="1118"/>
        <v>24362.014866000001</v>
      </c>
      <c r="CW772" s="374"/>
      <c r="CX772" s="374"/>
      <c r="CY772" s="374"/>
      <c r="CZ772" s="374"/>
      <c r="DA772" s="374"/>
      <c r="DB772" s="217"/>
      <c r="DC772" s="212"/>
      <c r="DD772" s="212"/>
      <c r="DE772" s="70"/>
      <c r="DF772" s="70"/>
      <c r="DG772" s="70"/>
      <c r="DH772" s="70"/>
      <c r="DI772" s="70"/>
      <c r="DJ772" s="70"/>
      <c r="DK772" s="70"/>
      <c r="DL772" s="70"/>
      <c r="DM772" s="70"/>
      <c r="DN772" s="70"/>
      <c r="DO772" s="70"/>
      <c r="DP772" s="70"/>
      <c r="DQ772" s="70"/>
      <c r="DR772" s="70"/>
      <c r="DS772" s="70"/>
      <c r="DT772" s="70"/>
      <c r="DU772" s="70"/>
      <c r="DV772" s="70"/>
      <c r="DW772" s="70"/>
      <c r="DX772" s="70"/>
      <c r="DY772" s="70"/>
      <c r="DZ772" s="70"/>
      <c r="EA772" s="70"/>
      <c r="EB772" s="70"/>
      <c r="EC772" s="70"/>
      <c r="ED772" s="70"/>
      <c r="EE772" s="70"/>
      <c r="EF772" s="70"/>
      <c r="EG772" s="70"/>
      <c r="EH772" s="70"/>
      <c r="EI772" s="70"/>
      <c r="EJ772" s="70"/>
      <c r="EK772" s="70"/>
      <c r="EL772" s="70"/>
      <c r="EM772" s="70"/>
      <c r="EN772" s="70"/>
      <c r="EO772" s="70"/>
      <c r="EP772" s="70"/>
      <c r="EQ772" s="70"/>
      <c r="ER772" s="70"/>
      <c r="ES772" s="70"/>
      <c r="ET772" s="70"/>
      <c r="EU772" s="70"/>
      <c r="EV772" s="70"/>
      <c r="EW772" s="70"/>
      <c r="EX772" s="70"/>
      <c r="EY772" s="70"/>
      <c r="EZ772" s="70"/>
      <c r="FA772" s="70"/>
      <c r="FB772" s="70"/>
      <c r="FC772" s="70"/>
      <c r="FD772" s="70"/>
      <c r="FE772" s="70"/>
      <c r="FF772" s="70"/>
      <c r="FG772" s="70"/>
      <c r="FH772" s="70"/>
      <c r="FI772" s="70"/>
      <c r="FJ772" s="70"/>
      <c r="FK772" s="70"/>
      <c r="FL772" s="70"/>
      <c r="FM772" s="70"/>
      <c r="FN772" s="70"/>
      <c r="FO772" s="70"/>
      <c r="FP772" s="70"/>
      <c r="FQ772" s="70"/>
      <c r="FR772" s="70"/>
      <c r="FS772" s="70"/>
      <c r="FT772" s="70"/>
      <c r="FU772" s="70"/>
      <c r="FV772" s="70"/>
      <c r="FW772" s="70"/>
      <c r="FX772" s="70"/>
      <c r="FY772" s="70"/>
      <c r="FZ772" s="70"/>
      <c r="GA772" s="70"/>
      <c r="GB772" s="70"/>
      <c r="GC772" s="70"/>
      <c r="GD772" s="70"/>
      <c r="GE772" s="70"/>
      <c r="GF772" s="70"/>
      <c r="GG772" s="70"/>
      <c r="GH772" s="70"/>
      <c r="GI772" s="70"/>
      <c r="GJ772" s="70"/>
      <c r="GK772" s="70"/>
      <c r="GL772" s="70"/>
      <c r="GM772" s="70"/>
      <c r="GN772" s="70"/>
      <c r="GO772" s="70"/>
      <c r="GP772" s="70"/>
      <c r="GQ772" s="70"/>
      <c r="GR772" s="70"/>
      <c r="GS772" s="70"/>
      <c r="GT772" s="70"/>
      <c r="GU772" s="70"/>
      <c r="GV772" s="70"/>
      <c r="GW772" s="70"/>
      <c r="GX772" s="70"/>
      <c r="GY772" s="70"/>
      <c r="GZ772" s="70"/>
      <c r="HA772" s="70"/>
      <c r="HB772" s="70"/>
      <c r="HC772" s="70"/>
      <c r="HD772" s="70"/>
      <c r="HE772" s="70"/>
      <c r="HF772" s="70"/>
      <c r="HG772" s="70"/>
      <c r="HH772" s="70"/>
      <c r="HI772" s="70"/>
      <c r="HJ772" s="70"/>
      <c r="HK772" s="70"/>
      <c r="HL772" s="70"/>
      <c r="HM772" s="70"/>
      <c r="HN772" s="70"/>
      <c r="HO772" s="70"/>
      <c r="HP772" s="70"/>
      <c r="HQ772" s="70"/>
      <c r="HR772" s="70"/>
      <c r="HS772" s="70"/>
      <c r="HT772" s="70"/>
      <c r="HU772" s="70"/>
      <c r="HV772" s="70"/>
      <c r="HW772" s="70"/>
      <c r="HX772" s="70"/>
      <c r="HY772" s="70"/>
      <c r="HZ772" s="70"/>
      <c r="IA772" s="70"/>
      <c r="IB772" s="70"/>
      <c r="IC772" s="70"/>
      <c r="ID772" s="70"/>
      <c r="IE772" s="70"/>
      <c r="IF772" s="70"/>
      <c r="IG772" s="70"/>
      <c r="IH772" s="70"/>
      <c r="II772" s="70"/>
      <c r="IJ772" s="70"/>
      <c r="IK772" s="70"/>
      <c r="IL772" s="70"/>
      <c r="IM772" s="70"/>
      <c r="IN772" s="70"/>
      <c r="IO772" s="70"/>
      <c r="IP772" s="70"/>
      <c r="IQ772" s="70"/>
      <c r="IR772" s="70"/>
      <c r="IS772" s="70"/>
      <c r="IT772" s="70"/>
      <c r="IU772" s="70"/>
      <c r="IV772" s="70"/>
    </row>
    <row r="773" spans="1:256" s="207" customFormat="1" x14ac:dyDescent="0.2">
      <c r="A773" s="2434" t="s">
        <v>2464</v>
      </c>
      <c r="B773" s="651"/>
      <c r="C773" s="236"/>
      <c r="G773" s="234"/>
      <c r="H773" s="246"/>
      <c r="I773" s="850"/>
      <c r="J773" s="850"/>
      <c r="K773" s="850"/>
      <c r="L773" s="850"/>
      <c r="M773" s="246"/>
      <c r="N773" s="850"/>
      <c r="O773" s="850"/>
      <c r="P773" s="850"/>
      <c r="Q773" s="850"/>
      <c r="R773" s="246"/>
      <c r="S773" s="850"/>
      <c r="T773" s="850"/>
      <c r="U773" s="850"/>
      <c r="V773" s="850"/>
      <c r="W773" s="246"/>
      <c r="X773" s="850"/>
      <c r="Y773" s="850"/>
      <c r="Z773" s="850"/>
      <c r="AA773" s="850"/>
      <c r="AB773" s="246"/>
      <c r="AC773" s="850"/>
      <c r="AD773" s="850"/>
      <c r="AE773" s="850"/>
      <c r="AF773" s="850"/>
      <c r="AG773" s="246"/>
      <c r="AH773" s="850"/>
      <c r="AI773" s="850"/>
      <c r="AJ773" s="850"/>
      <c r="AK773" s="850"/>
      <c r="AL773" s="246"/>
      <c r="AM773" s="850"/>
      <c r="AN773" s="850"/>
      <c r="AO773" s="850"/>
      <c r="AP773" s="850"/>
      <c r="AQ773" s="246"/>
      <c r="AR773" s="850"/>
      <c r="AS773" s="850"/>
      <c r="AT773" s="850"/>
      <c r="AU773" s="850"/>
      <c r="AV773" s="246"/>
      <c r="AW773" s="850"/>
      <c r="AX773" s="850"/>
      <c r="AY773" s="850"/>
      <c r="AZ773" s="850"/>
      <c r="BA773" s="246"/>
      <c r="BB773" s="850"/>
      <c r="BC773" s="850"/>
      <c r="BD773" s="850"/>
      <c r="BE773" s="850"/>
      <c r="BF773" s="246"/>
      <c r="BG773" s="850"/>
      <c r="BH773" s="850"/>
      <c r="BI773" s="850"/>
      <c r="BJ773" s="850"/>
      <c r="BK773" s="246"/>
      <c r="BL773" s="850"/>
      <c r="BM773" s="850"/>
      <c r="BN773" s="850"/>
      <c r="BO773" s="850"/>
      <c r="BP773" s="1746"/>
      <c r="BQ773" s="850"/>
      <c r="BR773" s="850"/>
      <c r="BS773" s="850"/>
      <c r="BT773" s="850"/>
      <c r="BU773" s="1746"/>
      <c r="BV773" s="850"/>
      <c r="BW773" s="850"/>
      <c r="BX773" s="850"/>
      <c r="BY773" s="850"/>
      <c r="BZ773" s="1746"/>
      <c r="CA773" s="850"/>
      <c r="CB773" s="850"/>
      <c r="CC773" s="850"/>
      <c r="CD773" s="850"/>
      <c r="CE773" s="1746"/>
      <c r="CF773" s="850"/>
      <c r="CG773" s="2349"/>
      <c r="CH773" s="2349">
        <f t="shared" ref="CH773:CV773" si="1119">CH487+CH630</f>
        <v>5808</v>
      </c>
      <c r="CI773" s="2349">
        <f t="shared" si="1119"/>
        <v>6024</v>
      </c>
      <c r="CJ773" s="2293">
        <f t="shared" si="1119"/>
        <v>6024</v>
      </c>
      <c r="CK773" s="2350">
        <f t="shared" si="1113"/>
        <v>6539</v>
      </c>
      <c r="CL773" s="2349">
        <f t="shared" si="1119"/>
        <v>6948</v>
      </c>
      <c r="CM773" s="2349">
        <f t="shared" si="1119"/>
        <v>7056</v>
      </c>
      <c r="CN773" s="2349">
        <f t="shared" si="1119"/>
        <v>7236</v>
      </c>
      <c r="CO773" s="2293">
        <f t="shared" si="1119"/>
        <v>7236</v>
      </c>
      <c r="CP773" s="973">
        <f t="shared" si="1111"/>
        <v>6856.0500000000011</v>
      </c>
      <c r="CQ773" s="847">
        <f t="shared" si="1111"/>
        <v>7351.68</v>
      </c>
      <c r="CR773" s="847">
        <f t="shared" si="1111"/>
        <v>7466.1600000000008</v>
      </c>
      <c r="CS773" s="1431">
        <f t="shared" si="1111"/>
        <v>7656.9600000000009</v>
      </c>
      <c r="CT773" s="2293">
        <f t="shared" si="1111"/>
        <v>7656.9600000000009</v>
      </c>
      <c r="CU773" s="2293">
        <f t="shared" si="1119"/>
        <v>8078.0928000000004</v>
      </c>
      <c r="CV773" s="2293">
        <f t="shared" si="1119"/>
        <v>8239.6546560000006</v>
      </c>
      <c r="CW773" s="374"/>
      <c r="CX773" s="374"/>
      <c r="CY773" s="374"/>
      <c r="CZ773" s="374"/>
      <c r="DA773" s="374"/>
      <c r="DB773" s="217"/>
      <c r="DC773" s="212"/>
      <c r="DD773" s="212"/>
      <c r="DE773" s="70"/>
      <c r="DF773" s="70"/>
      <c r="DG773" s="70"/>
      <c r="DH773" s="70"/>
      <c r="DI773" s="70"/>
      <c r="DJ773" s="70"/>
      <c r="DK773" s="70"/>
      <c r="DL773" s="70"/>
      <c r="DM773" s="70"/>
      <c r="DN773" s="70"/>
      <c r="DO773" s="70"/>
      <c r="DP773" s="70"/>
      <c r="DQ773" s="70"/>
      <c r="DR773" s="70"/>
      <c r="DS773" s="70"/>
      <c r="DT773" s="70"/>
      <c r="DU773" s="70"/>
      <c r="DV773" s="70"/>
      <c r="DW773" s="70"/>
      <c r="DX773" s="70"/>
      <c r="DY773" s="70"/>
      <c r="DZ773" s="70"/>
      <c r="EA773" s="70"/>
      <c r="EB773" s="70"/>
      <c r="EC773" s="70"/>
      <c r="ED773" s="70"/>
      <c r="EE773" s="70"/>
      <c r="EF773" s="70"/>
      <c r="EG773" s="70"/>
      <c r="EH773" s="70"/>
      <c r="EI773" s="70"/>
      <c r="EJ773" s="70"/>
      <c r="EK773" s="70"/>
      <c r="EL773" s="70"/>
      <c r="EM773" s="70"/>
      <c r="EN773" s="70"/>
      <c r="EO773" s="70"/>
      <c r="EP773" s="70"/>
      <c r="EQ773" s="70"/>
      <c r="ER773" s="70"/>
      <c r="ES773" s="70"/>
      <c r="ET773" s="70"/>
      <c r="EU773" s="70"/>
      <c r="EV773" s="70"/>
      <c r="EW773" s="70"/>
      <c r="EX773" s="70"/>
      <c r="EY773" s="70"/>
      <c r="EZ773" s="70"/>
      <c r="FA773" s="70"/>
      <c r="FB773" s="70"/>
      <c r="FC773" s="70"/>
      <c r="FD773" s="70"/>
      <c r="FE773" s="70"/>
      <c r="FF773" s="70"/>
      <c r="FG773" s="70"/>
      <c r="FH773" s="70"/>
      <c r="FI773" s="70"/>
      <c r="FJ773" s="70"/>
      <c r="FK773" s="70"/>
      <c r="FL773" s="70"/>
      <c r="FM773" s="70"/>
      <c r="FN773" s="70"/>
      <c r="FO773" s="70"/>
      <c r="FP773" s="70"/>
      <c r="FQ773" s="70"/>
      <c r="FR773" s="70"/>
      <c r="FS773" s="70"/>
      <c r="FT773" s="70"/>
      <c r="FU773" s="70"/>
      <c r="FV773" s="70"/>
      <c r="FW773" s="70"/>
      <c r="FX773" s="70"/>
      <c r="FY773" s="70"/>
      <c r="FZ773" s="70"/>
      <c r="GA773" s="70"/>
      <c r="GB773" s="70"/>
      <c r="GC773" s="70"/>
      <c r="GD773" s="70"/>
      <c r="GE773" s="70"/>
      <c r="GF773" s="70"/>
      <c r="GG773" s="70"/>
      <c r="GH773" s="70"/>
      <c r="GI773" s="70"/>
      <c r="GJ773" s="70"/>
      <c r="GK773" s="70"/>
      <c r="GL773" s="70"/>
      <c r="GM773" s="70"/>
      <c r="GN773" s="70"/>
      <c r="GO773" s="70"/>
      <c r="GP773" s="70"/>
      <c r="GQ773" s="70"/>
      <c r="GR773" s="70"/>
      <c r="GS773" s="70"/>
      <c r="GT773" s="70"/>
      <c r="GU773" s="70"/>
      <c r="GV773" s="70"/>
      <c r="GW773" s="70"/>
      <c r="GX773" s="70"/>
      <c r="GY773" s="70"/>
      <c r="GZ773" s="70"/>
      <c r="HA773" s="70"/>
      <c r="HB773" s="70"/>
      <c r="HC773" s="70"/>
      <c r="HD773" s="70"/>
      <c r="HE773" s="70"/>
      <c r="HF773" s="70"/>
      <c r="HG773" s="70"/>
      <c r="HH773" s="70"/>
      <c r="HI773" s="70"/>
      <c r="HJ773" s="70"/>
      <c r="HK773" s="70"/>
      <c r="HL773" s="70"/>
      <c r="HM773" s="70"/>
      <c r="HN773" s="70"/>
      <c r="HO773" s="70"/>
      <c r="HP773" s="70"/>
      <c r="HQ773" s="70"/>
      <c r="HR773" s="70"/>
      <c r="HS773" s="70"/>
      <c r="HT773" s="70"/>
      <c r="HU773" s="70"/>
      <c r="HV773" s="70"/>
      <c r="HW773" s="70"/>
      <c r="HX773" s="70"/>
      <c r="HY773" s="70"/>
      <c r="HZ773" s="70"/>
      <c r="IA773" s="70"/>
      <c r="IB773" s="70"/>
      <c r="IC773" s="70"/>
      <c r="ID773" s="70"/>
      <c r="IE773" s="70"/>
      <c r="IF773" s="70"/>
      <c r="IG773" s="70"/>
      <c r="IH773" s="70"/>
      <c r="II773" s="70"/>
      <c r="IJ773" s="70"/>
      <c r="IK773" s="70"/>
      <c r="IL773" s="70"/>
      <c r="IM773" s="70"/>
      <c r="IN773" s="70"/>
      <c r="IO773" s="70"/>
      <c r="IP773" s="70"/>
      <c r="IQ773" s="70"/>
      <c r="IR773" s="70"/>
      <c r="IS773" s="70"/>
      <c r="IT773" s="70"/>
      <c r="IU773" s="70"/>
      <c r="IV773" s="70"/>
    </row>
    <row r="774" spans="1:256" s="207" customFormat="1" x14ac:dyDescent="0.2">
      <c r="A774" s="2434" t="s">
        <v>2462</v>
      </c>
      <c r="B774" s="651"/>
      <c r="C774" s="236"/>
      <c r="G774" s="234"/>
      <c r="H774" s="246"/>
      <c r="I774" s="850"/>
      <c r="J774" s="850"/>
      <c r="K774" s="850"/>
      <c r="L774" s="850"/>
      <c r="M774" s="246"/>
      <c r="N774" s="850"/>
      <c r="O774" s="850"/>
      <c r="P774" s="850"/>
      <c r="Q774" s="850"/>
      <c r="R774" s="246"/>
      <c r="S774" s="850"/>
      <c r="T774" s="850"/>
      <c r="U774" s="850"/>
      <c r="V774" s="850"/>
      <c r="W774" s="246"/>
      <c r="X774" s="850"/>
      <c r="Y774" s="850"/>
      <c r="Z774" s="850"/>
      <c r="AA774" s="850"/>
      <c r="AB774" s="246"/>
      <c r="AC774" s="850"/>
      <c r="AD774" s="850"/>
      <c r="AE774" s="850"/>
      <c r="AF774" s="850"/>
      <c r="AG774" s="246"/>
      <c r="AH774" s="850"/>
      <c r="AI774" s="850"/>
      <c r="AJ774" s="850"/>
      <c r="AK774" s="850"/>
      <c r="AL774" s="246"/>
      <c r="AM774" s="850"/>
      <c r="AN774" s="850"/>
      <c r="AO774" s="850"/>
      <c r="AP774" s="850"/>
      <c r="AQ774" s="246"/>
      <c r="AR774" s="850"/>
      <c r="AS774" s="850"/>
      <c r="AT774" s="850"/>
      <c r="AU774" s="850"/>
      <c r="AV774" s="246"/>
      <c r="AW774" s="850"/>
      <c r="AX774" s="850"/>
      <c r="AY774" s="850"/>
      <c r="AZ774" s="850"/>
      <c r="BA774" s="246"/>
      <c r="BB774" s="850"/>
      <c r="BC774" s="850"/>
      <c r="BD774" s="850"/>
      <c r="BE774" s="850"/>
      <c r="BF774" s="246"/>
      <c r="BG774" s="850"/>
      <c r="BH774" s="850"/>
      <c r="BI774" s="850"/>
      <c r="BJ774" s="850"/>
      <c r="BK774" s="246"/>
      <c r="BL774" s="850"/>
      <c r="BM774" s="850"/>
      <c r="BN774" s="850"/>
      <c r="BO774" s="850"/>
      <c r="BP774" s="1746"/>
      <c r="BQ774" s="850"/>
      <c r="BR774" s="850"/>
      <c r="BS774" s="850"/>
      <c r="BT774" s="850"/>
      <c r="BU774" s="1746"/>
      <c r="BV774" s="850"/>
      <c r="BW774" s="850"/>
      <c r="BX774" s="850"/>
      <c r="BY774" s="850"/>
      <c r="BZ774" s="1746"/>
      <c r="CA774" s="850"/>
      <c r="CB774" s="850"/>
      <c r="CC774" s="850"/>
      <c r="CD774" s="850"/>
      <c r="CE774" s="1746"/>
      <c r="CF774" s="850"/>
      <c r="CG774" s="2349"/>
      <c r="CH774" s="2349">
        <f t="shared" ref="CH774:CV774" si="1120">CH488+CH631</f>
        <v>368</v>
      </c>
      <c r="CI774" s="2349">
        <f t="shared" si="1120"/>
        <v>368</v>
      </c>
      <c r="CJ774" s="2293">
        <f t="shared" si="1120"/>
        <v>368</v>
      </c>
      <c r="CK774" s="2350">
        <f t="shared" si="1113"/>
        <v>368</v>
      </c>
      <c r="CL774" s="2349">
        <f t="shared" si="1120"/>
        <v>949</v>
      </c>
      <c r="CM774" s="2349">
        <f t="shared" si="1120"/>
        <v>1113</v>
      </c>
      <c r="CN774" s="2349">
        <f t="shared" si="1120"/>
        <v>1113</v>
      </c>
      <c r="CO774" s="2293">
        <f t="shared" si="1120"/>
        <v>1113</v>
      </c>
      <c r="CP774" s="973">
        <f t="shared" si="1111"/>
        <v>381</v>
      </c>
      <c r="CQ774" s="847">
        <f t="shared" si="1111"/>
        <v>998.74</v>
      </c>
      <c r="CR774" s="847">
        <f t="shared" si="1111"/>
        <v>1172.58</v>
      </c>
      <c r="CS774" s="1431">
        <f t="shared" si="1111"/>
        <v>1172.58</v>
      </c>
      <c r="CT774" s="2293">
        <f t="shared" si="1111"/>
        <v>1172.58</v>
      </c>
      <c r="CU774" s="2293">
        <f t="shared" si="1120"/>
        <v>1237.0718999999999</v>
      </c>
      <c r="CV774" s="2293">
        <f t="shared" si="1120"/>
        <v>1261.8133380000002</v>
      </c>
      <c r="CW774" s="374"/>
      <c r="CX774" s="374"/>
      <c r="CY774" s="374"/>
      <c r="CZ774" s="374"/>
      <c r="DA774" s="374"/>
      <c r="DB774" s="217"/>
      <c r="DC774" s="212"/>
      <c r="DD774" s="212"/>
      <c r="DE774" s="70"/>
      <c r="DF774" s="70"/>
      <c r="DG774" s="70"/>
      <c r="DH774" s="70"/>
      <c r="DI774" s="70"/>
      <c r="DJ774" s="70"/>
      <c r="DK774" s="70"/>
      <c r="DL774" s="70"/>
      <c r="DM774" s="70"/>
      <c r="DN774" s="70"/>
      <c r="DO774" s="70"/>
      <c r="DP774" s="70"/>
      <c r="DQ774" s="70"/>
      <c r="DR774" s="70"/>
      <c r="DS774" s="70"/>
      <c r="DT774" s="70"/>
      <c r="DU774" s="70"/>
      <c r="DV774" s="70"/>
      <c r="DW774" s="70"/>
      <c r="DX774" s="70"/>
      <c r="DY774" s="70"/>
      <c r="DZ774" s="70"/>
      <c r="EA774" s="70"/>
      <c r="EB774" s="70"/>
      <c r="EC774" s="70"/>
      <c r="ED774" s="70"/>
      <c r="EE774" s="70"/>
      <c r="EF774" s="70"/>
      <c r="EG774" s="70"/>
      <c r="EH774" s="70"/>
      <c r="EI774" s="70"/>
      <c r="EJ774" s="70"/>
      <c r="EK774" s="70"/>
      <c r="EL774" s="70"/>
      <c r="EM774" s="70"/>
      <c r="EN774" s="70"/>
      <c r="EO774" s="70"/>
      <c r="EP774" s="70"/>
      <c r="EQ774" s="70"/>
      <c r="ER774" s="70"/>
      <c r="ES774" s="70"/>
      <c r="ET774" s="70"/>
      <c r="EU774" s="70"/>
      <c r="EV774" s="70"/>
      <c r="EW774" s="70"/>
      <c r="EX774" s="70"/>
      <c r="EY774" s="70"/>
      <c r="EZ774" s="70"/>
      <c r="FA774" s="70"/>
      <c r="FB774" s="70"/>
      <c r="FC774" s="70"/>
      <c r="FD774" s="70"/>
      <c r="FE774" s="70"/>
      <c r="FF774" s="70"/>
      <c r="FG774" s="70"/>
      <c r="FH774" s="70"/>
      <c r="FI774" s="70"/>
      <c r="FJ774" s="70"/>
      <c r="FK774" s="70"/>
      <c r="FL774" s="70"/>
      <c r="FM774" s="70"/>
      <c r="FN774" s="70"/>
      <c r="FO774" s="70"/>
      <c r="FP774" s="70"/>
      <c r="FQ774" s="70"/>
      <c r="FR774" s="70"/>
      <c r="FS774" s="70"/>
      <c r="FT774" s="70"/>
      <c r="FU774" s="70"/>
      <c r="FV774" s="70"/>
      <c r="FW774" s="70"/>
      <c r="FX774" s="70"/>
      <c r="FY774" s="70"/>
      <c r="FZ774" s="70"/>
      <c r="GA774" s="70"/>
      <c r="GB774" s="70"/>
      <c r="GC774" s="70"/>
      <c r="GD774" s="70"/>
      <c r="GE774" s="70"/>
      <c r="GF774" s="70"/>
      <c r="GG774" s="70"/>
      <c r="GH774" s="70"/>
      <c r="GI774" s="70"/>
      <c r="GJ774" s="70"/>
      <c r="GK774" s="70"/>
      <c r="GL774" s="70"/>
      <c r="GM774" s="70"/>
      <c r="GN774" s="70"/>
      <c r="GO774" s="70"/>
      <c r="GP774" s="70"/>
      <c r="GQ774" s="70"/>
      <c r="GR774" s="70"/>
      <c r="GS774" s="70"/>
      <c r="GT774" s="70"/>
      <c r="GU774" s="70"/>
      <c r="GV774" s="70"/>
      <c r="GW774" s="70"/>
      <c r="GX774" s="70"/>
      <c r="GY774" s="70"/>
      <c r="GZ774" s="70"/>
      <c r="HA774" s="70"/>
      <c r="HB774" s="70"/>
      <c r="HC774" s="70"/>
      <c r="HD774" s="70"/>
      <c r="HE774" s="70"/>
      <c r="HF774" s="70"/>
      <c r="HG774" s="70"/>
      <c r="HH774" s="70"/>
      <c r="HI774" s="70"/>
      <c r="HJ774" s="70"/>
      <c r="HK774" s="70"/>
      <c r="HL774" s="70"/>
      <c r="HM774" s="70"/>
      <c r="HN774" s="70"/>
      <c r="HO774" s="70"/>
      <c r="HP774" s="70"/>
      <c r="HQ774" s="70"/>
      <c r="HR774" s="70"/>
      <c r="HS774" s="70"/>
      <c r="HT774" s="70"/>
      <c r="HU774" s="70"/>
      <c r="HV774" s="70"/>
      <c r="HW774" s="70"/>
      <c r="HX774" s="70"/>
      <c r="HY774" s="70"/>
      <c r="HZ774" s="70"/>
      <c r="IA774" s="70"/>
      <c r="IB774" s="70"/>
      <c r="IC774" s="70"/>
      <c r="ID774" s="70"/>
      <c r="IE774" s="70"/>
      <c r="IF774" s="70"/>
      <c r="IG774" s="70"/>
      <c r="IH774" s="70"/>
      <c r="II774" s="70"/>
      <c r="IJ774" s="70"/>
      <c r="IK774" s="70"/>
      <c r="IL774" s="70"/>
      <c r="IM774" s="70"/>
      <c r="IN774" s="70"/>
      <c r="IO774" s="70"/>
      <c r="IP774" s="70"/>
      <c r="IQ774" s="70"/>
      <c r="IR774" s="70"/>
      <c r="IS774" s="70"/>
      <c r="IT774" s="70"/>
      <c r="IU774" s="70"/>
      <c r="IV774" s="70"/>
    </row>
    <row r="775" spans="1:256" s="207" customFormat="1" x14ac:dyDescent="0.2">
      <c r="A775" s="2434" t="s">
        <v>2463</v>
      </c>
      <c r="B775" s="651"/>
      <c r="C775" s="236"/>
      <c r="G775" s="234"/>
      <c r="H775" s="246"/>
      <c r="I775" s="850"/>
      <c r="J775" s="850"/>
      <c r="K775" s="850"/>
      <c r="L775" s="850"/>
      <c r="M775" s="246"/>
      <c r="N775" s="850"/>
      <c r="O775" s="850"/>
      <c r="P775" s="850"/>
      <c r="Q775" s="850"/>
      <c r="R775" s="246"/>
      <c r="S775" s="850"/>
      <c r="T775" s="850"/>
      <c r="U775" s="850"/>
      <c r="V775" s="850"/>
      <c r="W775" s="246"/>
      <c r="X775" s="850"/>
      <c r="Y775" s="850"/>
      <c r="Z775" s="850"/>
      <c r="AA775" s="850"/>
      <c r="AB775" s="246"/>
      <c r="AC775" s="850"/>
      <c r="AD775" s="850"/>
      <c r="AE775" s="850"/>
      <c r="AF775" s="850"/>
      <c r="AG775" s="246"/>
      <c r="AH775" s="850"/>
      <c r="AI775" s="850"/>
      <c r="AJ775" s="850"/>
      <c r="AK775" s="850"/>
      <c r="AL775" s="246"/>
      <c r="AM775" s="850"/>
      <c r="AN775" s="850"/>
      <c r="AO775" s="850"/>
      <c r="AP775" s="850"/>
      <c r="AQ775" s="246"/>
      <c r="AR775" s="850"/>
      <c r="AS775" s="850"/>
      <c r="AT775" s="850"/>
      <c r="AU775" s="850"/>
      <c r="AV775" s="246"/>
      <c r="AW775" s="850"/>
      <c r="AX775" s="850"/>
      <c r="AY775" s="850"/>
      <c r="AZ775" s="850"/>
      <c r="BA775" s="246"/>
      <c r="BB775" s="850"/>
      <c r="BC775" s="850"/>
      <c r="BD775" s="850"/>
      <c r="BE775" s="850"/>
      <c r="BF775" s="246"/>
      <c r="BG775" s="850"/>
      <c r="BH775" s="850"/>
      <c r="BI775" s="850"/>
      <c r="BJ775" s="850"/>
      <c r="BK775" s="246"/>
      <c r="BL775" s="850"/>
      <c r="BM775" s="850"/>
      <c r="BN775" s="850"/>
      <c r="BO775" s="850"/>
      <c r="BP775" s="1746"/>
      <c r="BQ775" s="850"/>
      <c r="BR775" s="850"/>
      <c r="BS775" s="850"/>
      <c r="BT775" s="850"/>
      <c r="BU775" s="1746"/>
      <c r="BV775" s="850"/>
      <c r="BW775" s="850"/>
      <c r="BX775" s="850"/>
      <c r="BY775" s="850"/>
      <c r="BZ775" s="1746"/>
      <c r="CA775" s="850"/>
      <c r="CB775" s="850"/>
      <c r="CC775" s="850"/>
      <c r="CD775" s="850"/>
      <c r="CE775" s="1746"/>
      <c r="CF775" s="850"/>
      <c r="CG775" s="2349"/>
      <c r="CH775" s="2349">
        <f t="shared" ref="CH775:CV775" si="1121">CH489+CH632</f>
        <v>372</v>
      </c>
      <c r="CI775" s="2349">
        <f t="shared" si="1121"/>
        <v>515</v>
      </c>
      <c r="CJ775" s="2293">
        <f t="shared" si="1121"/>
        <v>515</v>
      </c>
      <c r="CK775" s="2350">
        <f t="shared" si="1113"/>
        <v>515</v>
      </c>
      <c r="CL775" s="2349">
        <f t="shared" si="1121"/>
        <v>515</v>
      </c>
      <c r="CM775" s="2349">
        <f t="shared" si="1121"/>
        <v>559</v>
      </c>
      <c r="CN775" s="2349">
        <f t="shared" si="1121"/>
        <v>559</v>
      </c>
      <c r="CO775" s="2293">
        <f t="shared" si="1121"/>
        <v>559</v>
      </c>
      <c r="CP775" s="973">
        <f t="shared" si="1111"/>
        <v>540.75</v>
      </c>
      <c r="CQ775" s="847">
        <f t="shared" si="1111"/>
        <v>545.9</v>
      </c>
      <c r="CR775" s="847">
        <f t="shared" si="1111"/>
        <v>592.54000000000008</v>
      </c>
      <c r="CS775" s="1431">
        <f t="shared" si="1111"/>
        <v>592.54000000000008</v>
      </c>
      <c r="CT775" s="2293">
        <f t="shared" si="1111"/>
        <v>592.54000000000008</v>
      </c>
      <c r="CU775" s="2293">
        <f t="shared" si="1121"/>
        <v>625.12970000000007</v>
      </c>
      <c r="CV775" s="2293">
        <f t="shared" si="1121"/>
        <v>637.63229400000012</v>
      </c>
      <c r="CW775" s="374"/>
      <c r="CX775" s="374"/>
      <c r="CY775" s="374"/>
      <c r="CZ775" s="374"/>
      <c r="DA775" s="374"/>
      <c r="DB775" s="217"/>
      <c r="DC775" s="212"/>
      <c r="DD775" s="212"/>
      <c r="DE775" s="70"/>
      <c r="DF775" s="70"/>
      <c r="DG775" s="70"/>
      <c r="DH775" s="70"/>
      <c r="DI775" s="70"/>
      <c r="DJ775" s="70"/>
      <c r="DK775" s="70"/>
      <c r="DL775" s="70"/>
      <c r="DM775" s="70"/>
      <c r="DN775" s="70"/>
      <c r="DO775" s="70"/>
      <c r="DP775" s="70"/>
      <c r="DQ775" s="70"/>
      <c r="DR775" s="70"/>
      <c r="DS775" s="70"/>
      <c r="DT775" s="70"/>
      <c r="DU775" s="70"/>
      <c r="DV775" s="70"/>
      <c r="DW775" s="70"/>
      <c r="DX775" s="70"/>
      <c r="DY775" s="70"/>
      <c r="DZ775" s="70"/>
      <c r="EA775" s="70"/>
      <c r="EB775" s="70"/>
      <c r="EC775" s="70"/>
      <c r="ED775" s="70"/>
      <c r="EE775" s="70"/>
      <c r="EF775" s="70"/>
      <c r="EG775" s="70"/>
      <c r="EH775" s="70"/>
      <c r="EI775" s="70"/>
      <c r="EJ775" s="70"/>
      <c r="EK775" s="70"/>
      <c r="EL775" s="70"/>
      <c r="EM775" s="70"/>
      <c r="EN775" s="70"/>
      <c r="EO775" s="70"/>
      <c r="EP775" s="70"/>
      <c r="EQ775" s="70"/>
      <c r="ER775" s="70"/>
      <c r="ES775" s="70"/>
      <c r="ET775" s="70"/>
      <c r="EU775" s="70"/>
      <c r="EV775" s="70"/>
      <c r="EW775" s="70"/>
      <c r="EX775" s="70"/>
      <c r="EY775" s="70"/>
      <c r="EZ775" s="70"/>
      <c r="FA775" s="70"/>
      <c r="FB775" s="70"/>
      <c r="FC775" s="70"/>
      <c r="FD775" s="70"/>
      <c r="FE775" s="70"/>
      <c r="FF775" s="70"/>
      <c r="FG775" s="70"/>
      <c r="FH775" s="70"/>
      <c r="FI775" s="70"/>
      <c r="FJ775" s="70"/>
      <c r="FK775" s="70"/>
      <c r="FL775" s="70"/>
      <c r="FM775" s="70"/>
      <c r="FN775" s="70"/>
      <c r="FO775" s="70"/>
      <c r="FP775" s="70"/>
      <c r="FQ775" s="70"/>
      <c r="FR775" s="70"/>
      <c r="FS775" s="70"/>
      <c r="FT775" s="70"/>
      <c r="FU775" s="70"/>
      <c r="FV775" s="70"/>
      <c r="FW775" s="70"/>
      <c r="FX775" s="70"/>
      <c r="FY775" s="70"/>
      <c r="FZ775" s="70"/>
      <c r="GA775" s="70"/>
      <c r="GB775" s="70"/>
      <c r="GC775" s="70"/>
      <c r="GD775" s="70"/>
      <c r="GE775" s="70"/>
      <c r="GF775" s="70"/>
      <c r="GG775" s="70"/>
      <c r="GH775" s="70"/>
      <c r="GI775" s="70"/>
      <c r="GJ775" s="70"/>
      <c r="GK775" s="70"/>
      <c r="GL775" s="70"/>
      <c r="GM775" s="70"/>
      <c r="GN775" s="70"/>
      <c r="GO775" s="70"/>
      <c r="GP775" s="70"/>
      <c r="GQ775" s="70"/>
      <c r="GR775" s="70"/>
      <c r="GS775" s="70"/>
      <c r="GT775" s="70"/>
      <c r="GU775" s="70"/>
      <c r="GV775" s="70"/>
      <c r="GW775" s="70"/>
      <c r="GX775" s="70"/>
      <c r="GY775" s="70"/>
      <c r="GZ775" s="70"/>
      <c r="HA775" s="70"/>
      <c r="HB775" s="70"/>
      <c r="HC775" s="70"/>
      <c r="HD775" s="70"/>
      <c r="HE775" s="70"/>
      <c r="HF775" s="70"/>
      <c r="HG775" s="70"/>
      <c r="HH775" s="70"/>
      <c r="HI775" s="70"/>
      <c r="HJ775" s="70"/>
      <c r="HK775" s="70"/>
      <c r="HL775" s="70"/>
      <c r="HM775" s="70"/>
      <c r="HN775" s="70"/>
      <c r="HO775" s="70"/>
      <c r="HP775" s="70"/>
      <c r="HQ775" s="70"/>
      <c r="HR775" s="70"/>
      <c r="HS775" s="70"/>
      <c r="HT775" s="70"/>
      <c r="HU775" s="70"/>
      <c r="HV775" s="70"/>
      <c r="HW775" s="70"/>
      <c r="HX775" s="70"/>
      <c r="HY775" s="70"/>
      <c r="HZ775" s="70"/>
      <c r="IA775" s="70"/>
      <c r="IB775" s="70"/>
      <c r="IC775" s="70"/>
      <c r="ID775" s="70"/>
      <c r="IE775" s="70"/>
      <c r="IF775" s="70"/>
      <c r="IG775" s="70"/>
      <c r="IH775" s="70"/>
      <c r="II775" s="70"/>
      <c r="IJ775" s="70"/>
      <c r="IK775" s="70"/>
      <c r="IL775" s="70"/>
      <c r="IM775" s="70"/>
      <c r="IN775" s="70"/>
      <c r="IO775" s="70"/>
      <c r="IP775" s="70"/>
      <c r="IQ775" s="70"/>
      <c r="IR775" s="70"/>
      <c r="IS775" s="70"/>
      <c r="IT775" s="70"/>
      <c r="IU775" s="70"/>
      <c r="IV775" s="70"/>
    </row>
    <row r="776" spans="1:256" s="207" customFormat="1" x14ac:dyDescent="0.2">
      <c r="A776" s="2434" t="s">
        <v>1931</v>
      </c>
      <c r="B776" s="651"/>
      <c r="C776" s="236"/>
      <c r="G776" s="234"/>
      <c r="H776" s="246"/>
      <c r="I776" s="850"/>
      <c r="J776" s="850"/>
      <c r="K776" s="850"/>
      <c r="L776" s="850"/>
      <c r="M776" s="246"/>
      <c r="N776" s="850"/>
      <c r="O776" s="850"/>
      <c r="P776" s="850"/>
      <c r="Q776" s="850"/>
      <c r="R776" s="246"/>
      <c r="S776" s="850"/>
      <c r="T776" s="850"/>
      <c r="U776" s="850"/>
      <c r="V776" s="850"/>
      <c r="W776" s="246"/>
      <c r="X776" s="850"/>
      <c r="Y776" s="850"/>
      <c r="Z776" s="850"/>
      <c r="AA776" s="850"/>
      <c r="AB776" s="246"/>
      <c r="AC776" s="850"/>
      <c r="AD776" s="850"/>
      <c r="AE776" s="850"/>
      <c r="AF776" s="850"/>
      <c r="AG776" s="246"/>
      <c r="AH776" s="850"/>
      <c r="AI776" s="850"/>
      <c r="AJ776" s="850"/>
      <c r="AK776" s="850"/>
      <c r="AL776" s="246"/>
      <c r="AM776" s="850"/>
      <c r="AN776" s="850"/>
      <c r="AO776" s="850"/>
      <c r="AP776" s="850"/>
      <c r="AQ776" s="246"/>
      <c r="AR776" s="850"/>
      <c r="AS776" s="850"/>
      <c r="AT776" s="850"/>
      <c r="AU776" s="850"/>
      <c r="AV776" s="246"/>
      <c r="AW776" s="850"/>
      <c r="AX776" s="850"/>
      <c r="AY776" s="850"/>
      <c r="AZ776" s="850"/>
      <c r="BA776" s="246"/>
      <c r="BB776" s="850"/>
      <c r="BC776" s="850"/>
      <c r="BD776" s="850"/>
      <c r="BE776" s="850"/>
      <c r="BF776" s="246"/>
      <c r="BG776" s="850"/>
      <c r="BH776" s="850"/>
      <c r="BI776" s="850"/>
      <c r="BJ776" s="850"/>
      <c r="BK776" s="246"/>
      <c r="BL776" s="850"/>
      <c r="BM776" s="850"/>
      <c r="BN776" s="850"/>
      <c r="BO776" s="850"/>
      <c r="BP776" s="1746"/>
      <c r="BQ776" s="850"/>
      <c r="BR776" s="850"/>
      <c r="BS776" s="850"/>
      <c r="BT776" s="850"/>
      <c r="BU776" s="1746"/>
      <c r="BV776" s="850"/>
      <c r="BW776" s="850"/>
      <c r="BX776" s="850"/>
      <c r="BY776" s="850"/>
      <c r="BZ776" s="1746"/>
      <c r="CA776" s="850"/>
      <c r="CB776" s="850"/>
      <c r="CC776" s="850"/>
      <c r="CD776" s="850"/>
      <c r="CE776" s="1746"/>
      <c r="CF776" s="850"/>
      <c r="CG776" s="2349"/>
      <c r="CH776" s="2349">
        <f t="shared" ref="CH776:CV776" si="1122">CH490+CH633</f>
        <v>0</v>
      </c>
      <c r="CI776" s="2349">
        <f t="shared" si="1122"/>
        <v>5876</v>
      </c>
      <c r="CJ776" s="2293">
        <f t="shared" si="1122"/>
        <v>5876</v>
      </c>
      <c r="CK776" s="2350">
        <f t="shared" si="1113"/>
        <v>5681</v>
      </c>
      <c r="CL776" s="2349">
        <f t="shared" si="1122"/>
        <v>5999</v>
      </c>
      <c r="CM776" s="2349">
        <f t="shared" si="1122"/>
        <v>9183</v>
      </c>
      <c r="CN776" s="2349">
        <f t="shared" si="1122"/>
        <v>9543</v>
      </c>
      <c r="CO776" s="2293">
        <f t="shared" si="1122"/>
        <v>9543</v>
      </c>
      <c r="CP776" s="973">
        <f t="shared" si="1111"/>
        <v>5828.16</v>
      </c>
      <c r="CQ776" s="847">
        <f t="shared" si="1111"/>
        <v>6176.42</v>
      </c>
      <c r="CR776" s="847">
        <f t="shared" si="1111"/>
        <v>9487.0600000000013</v>
      </c>
      <c r="CS776" s="1431">
        <f t="shared" si="1111"/>
        <v>9859.4600000000009</v>
      </c>
      <c r="CT776" s="2293">
        <f t="shared" si="1111"/>
        <v>9859.4600000000009</v>
      </c>
      <c r="CU776" s="2293">
        <f t="shared" si="1122"/>
        <v>10401.730299999999</v>
      </c>
      <c r="CV776" s="2293">
        <f t="shared" si="1122"/>
        <v>10609.764906</v>
      </c>
      <c r="CW776" s="374"/>
      <c r="CX776" s="374"/>
      <c r="CY776" s="374"/>
      <c r="CZ776" s="374"/>
      <c r="DA776" s="374"/>
      <c r="DB776" s="217"/>
      <c r="DC776" s="212"/>
      <c r="DD776" s="212"/>
      <c r="DE776" s="70"/>
      <c r="DF776" s="70"/>
      <c r="DG776" s="70"/>
      <c r="DH776" s="70"/>
      <c r="DI776" s="70"/>
      <c r="DJ776" s="70"/>
      <c r="DK776" s="70"/>
      <c r="DL776" s="70"/>
      <c r="DM776" s="70"/>
      <c r="DN776" s="70"/>
      <c r="DO776" s="70"/>
      <c r="DP776" s="70"/>
      <c r="DQ776" s="70"/>
      <c r="DR776" s="70"/>
      <c r="DS776" s="70"/>
      <c r="DT776" s="70"/>
      <c r="DU776" s="70"/>
      <c r="DV776" s="70"/>
      <c r="DW776" s="70"/>
      <c r="DX776" s="70"/>
      <c r="DY776" s="70"/>
      <c r="DZ776" s="70"/>
      <c r="EA776" s="70"/>
      <c r="EB776" s="70"/>
      <c r="EC776" s="70"/>
      <c r="ED776" s="70"/>
      <c r="EE776" s="70"/>
      <c r="EF776" s="70"/>
      <c r="EG776" s="70"/>
      <c r="EH776" s="70"/>
      <c r="EI776" s="70"/>
      <c r="EJ776" s="70"/>
      <c r="EK776" s="70"/>
      <c r="EL776" s="70"/>
      <c r="EM776" s="70"/>
      <c r="EN776" s="70"/>
      <c r="EO776" s="70"/>
      <c r="EP776" s="70"/>
      <c r="EQ776" s="70"/>
      <c r="ER776" s="70"/>
      <c r="ES776" s="70"/>
      <c r="ET776" s="70"/>
      <c r="EU776" s="70"/>
      <c r="EV776" s="70"/>
      <c r="EW776" s="70"/>
      <c r="EX776" s="70"/>
      <c r="EY776" s="70"/>
      <c r="EZ776" s="70"/>
      <c r="FA776" s="70"/>
      <c r="FB776" s="70"/>
      <c r="FC776" s="70"/>
      <c r="FD776" s="70"/>
      <c r="FE776" s="70"/>
      <c r="FF776" s="70"/>
      <c r="FG776" s="70"/>
      <c r="FH776" s="70"/>
      <c r="FI776" s="70"/>
      <c r="FJ776" s="70"/>
      <c r="FK776" s="70"/>
      <c r="FL776" s="70"/>
      <c r="FM776" s="70"/>
      <c r="FN776" s="70"/>
      <c r="FO776" s="70"/>
      <c r="FP776" s="70"/>
      <c r="FQ776" s="70"/>
      <c r="FR776" s="70"/>
      <c r="FS776" s="70"/>
      <c r="FT776" s="70"/>
      <c r="FU776" s="70"/>
      <c r="FV776" s="70"/>
      <c r="FW776" s="70"/>
      <c r="FX776" s="70"/>
      <c r="FY776" s="70"/>
      <c r="FZ776" s="70"/>
      <c r="GA776" s="70"/>
      <c r="GB776" s="70"/>
      <c r="GC776" s="70"/>
      <c r="GD776" s="70"/>
      <c r="GE776" s="70"/>
      <c r="GF776" s="70"/>
      <c r="GG776" s="70"/>
      <c r="GH776" s="70"/>
      <c r="GI776" s="70"/>
      <c r="GJ776" s="70"/>
      <c r="GK776" s="70"/>
      <c r="GL776" s="70"/>
      <c r="GM776" s="70"/>
      <c r="GN776" s="70"/>
      <c r="GO776" s="70"/>
      <c r="GP776" s="70"/>
      <c r="GQ776" s="70"/>
      <c r="GR776" s="70"/>
      <c r="GS776" s="70"/>
      <c r="GT776" s="70"/>
      <c r="GU776" s="70"/>
      <c r="GV776" s="70"/>
      <c r="GW776" s="70"/>
      <c r="GX776" s="70"/>
      <c r="GY776" s="70"/>
      <c r="GZ776" s="70"/>
      <c r="HA776" s="70"/>
      <c r="HB776" s="70"/>
      <c r="HC776" s="70"/>
      <c r="HD776" s="70"/>
      <c r="HE776" s="70"/>
      <c r="HF776" s="70"/>
      <c r="HG776" s="70"/>
      <c r="HH776" s="70"/>
      <c r="HI776" s="70"/>
      <c r="HJ776" s="70"/>
      <c r="HK776" s="70"/>
      <c r="HL776" s="70"/>
      <c r="HM776" s="70"/>
      <c r="HN776" s="70"/>
      <c r="HO776" s="70"/>
      <c r="HP776" s="70"/>
      <c r="HQ776" s="70"/>
      <c r="HR776" s="70"/>
      <c r="HS776" s="70"/>
      <c r="HT776" s="70"/>
      <c r="HU776" s="70"/>
      <c r="HV776" s="70"/>
      <c r="HW776" s="70"/>
      <c r="HX776" s="70"/>
      <c r="HY776" s="70"/>
      <c r="HZ776" s="70"/>
      <c r="IA776" s="70"/>
      <c r="IB776" s="70"/>
      <c r="IC776" s="70"/>
      <c r="ID776" s="70"/>
      <c r="IE776" s="70"/>
      <c r="IF776" s="70"/>
      <c r="IG776" s="70"/>
      <c r="IH776" s="70"/>
      <c r="II776" s="70"/>
      <c r="IJ776" s="70"/>
      <c r="IK776" s="70"/>
      <c r="IL776" s="70"/>
      <c r="IM776" s="70"/>
      <c r="IN776" s="70"/>
      <c r="IO776" s="70"/>
      <c r="IP776" s="70"/>
      <c r="IQ776" s="70"/>
      <c r="IR776" s="70"/>
      <c r="IS776" s="70"/>
      <c r="IT776" s="70"/>
      <c r="IU776" s="70"/>
      <c r="IV776" s="70"/>
    </row>
    <row r="777" spans="1:256" ht="4.5" customHeight="1" x14ac:dyDescent="0.35">
      <c r="A777" s="1207"/>
      <c r="B777" s="212"/>
      <c r="C777" s="212"/>
      <c r="D777" s="212"/>
      <c r="E777" s="212"/>
      <c r="F777" s="212"/>
      <c r="G777" s="212"/>
      <c r="H777" s="194"/>
      <c r="I777" s="850" t="s">
        <v>2466</v>
      </c>
      <c r="J777" s="850" t="s">
        <v>2139</v>
      </c>
      <c r="K777" s="850" t="s">
        <v>2466</v>
      </c>
      <c r="L777" s="850" t="s">
        <v>2139</v>
      </c>
      <c r="M777" s="3009" t="s">
        <v>2378</v>
      </c>
      <c r="N777" s="850" t="s">
        <v>2466</v>
      </c>
      <c r="O777" s="850" t="s">
        <v>2139</v>
      </c>
      <c r="P777" s="850" t="s">
        <v>2466</v>
      </c>
      <c r="Q777" s="850" t="s">
        <v>2139</v>
      </c>
      <c r="R777" s="3009" t="s">
        <v>2378</v>
      </c>
      <c r="S777" s="850" t="s">
        <v>2466</v>
      </c>
      <c r="T777" s="850" t="s">
        <v>2139</v>
      </c>
      <c r="U777" s="850" t="s">
        <v>2466</v>
      </c>
      <c r="V777" s="850" t="s">
        <v>2139</v>
      </c>
      <c r="W777" s="3009" t="s">
        <v>2378</v>
      </c>
      <c r="X777" s="850" t="s">
        <v>2466</v>
      </c>
      <c r="Y777" s="850" t="s">
        <v>2139</v>
      </c>
      <c r="Z777" s="850" t="s">
        <v>2466</v>
      </c>
      <c r="AA777" s="850" t="s">
        <v>2139</v>
      </c>
      <c r="AB777" s="3009" t="s">
        <v>2378</v>
      </c>
      <c r="AC777" s="850" t="s">
        <v>2466</v>
      </c>
      <c r="AD777" s="850" t="s">
        <v>2139</v>
      </c>
      <c r="AE777" s="850" t="s">
        <v>2466</v>
      </c>
      <c r="AF777" s="850" t="s">
        <v>2139</v>
      </c>
      <c r="AG777" s="3009" t="s">
        <v>2378</v>
      </c>
      <c r="AH777" s="850" t="s">
        <v>2466</v>
      </c>
      <c r="AI777" s="850" t="s">
        <v>2139</v>
      </c>
      <c r="AJ777" s="850" t="s">
        <v>2466</v>
      </c>
      <c r="AK777" s="850" t="s">
        <v>2139</v>
      </c>
      <c r="AL777" s="3009" t="s">
        <v>2378</v>
      </c>
      <c r="AM777" s="850" t="s">
        <v>2466</v>
      </c>
      <c r="AN777" s="850" t="s">
        <v>2139</v>
      </c>
      <c r="AO777" s="850" t="s">
        <v>2466</v>
      </c>
      <c r="AP777" s="850" t="s">
        <v>2139</v>
      </c>
      <c r="AQ777" s="3009" t="s">
        <v>2378</v>
      </c>
      <c r="AR777" s="850" t="s">
        <v>2466</v>
      </c>
      <c r="AS777" s="850" t="s">
        <v>2139</v>
      </c>
      <c r="AT777" s="850" t="s">
        <v>2466</v>
      </c>
      <c r="AU777" s="850" t="s">
        <v>2139</v>
      </c>
      <c r="AV777" s="3009" t="s">
        <v>2378</v>
      </c>
      <c r="AW777" s="850" t="s">
        <v>2466</v>
      </c>
      <c r="AX777" s="850" t="s">
        <v>2139</v>
      </c>
      <c r="AY777" s="850" t="s">
        <v>2466</v>
      </c>
      <c r="AZ777" s="850" t="s">
        <v>2139</v>
      </c>
      <c r="BA777" s="3009" t="s">
        <v>2378</v>
      </c>
      <c r="BB777" s="850" t="s">
        <v>2466</v>
      </c>
      <c r="BC777" s="850" t="s">
        <v>2139</v>
      </c>
      <c r="BD777" s="850" t="s">
        <v>2466</v>
      </c>
      <c r="BE777" s="850" t="s">
        <v>2139</v>
      </c>
      <c r="BF777" s="3009" t="s">
        <v>2378</v>
      </c>
      <c r="BG777" s="3011" t="s">
        <v>2467</v>
      </c>
      <c r="BH777" s="3011" t="s">
        <v>2467</v>
      </c>
      <c r="BI777" s="3011" t="s">
        <v>2467</v>
      </c>
      <c r="BJ777" s="3011" t="s">
        <v>2467</v>
      </c>
      <c r="BK777" s="3009" t="s">
        <v>2139</v>
      </c>
      <c r="BL777" s="3011" t="s">
        <v>1191</v>
      </c>
      <c r="BM777" s="3011" t="s">
        <v>1191</v>
      </c>
      <c r="BN777" s="3011" t="s">
        <v>1191</v>
      </c>
      <c r="BO777" s="3011" t="s">
        <v>1191</v>
      </c>
      <c r="BP777" s="3009" t="s">
        <v>2139</v>
      </c>
      <c r="BQ777" s="3011" t="s">
        <v>2139</v>
      </c>
      <c r="BR777" s="3011" t="s">
        <v>2139</v>
      </c>
      <c r="BS777" s="3011" t="s">
        <v>2139</v>
      </c>
      <c r="BT777" s="3011" t="s">
        <v>2139</v>
      </c>
      <c r="BU777" s="3009" t="s">
        <v>2139</v>
      </c>
      <c r="BV777" s="3011" t="s">
        <v>2468</v>
      </c>
      <c r="BW777" s="3011" t="s">
        <v>2468</v>
      </c>
      <c r="BX777" s="3011" t="s">
        <v>2468</v>
      </c>
      <c r="BY777" s="3011" t="s">
        <v>2467</v>
      </c>
      <c r="BZ777" s="3009" t="s">
        <v>2378</v>
      </c>
      <c r="CA777" s="3011" t="s">
        <v>2466</v>
      </c>
      <c r="CB777" s="3011" t="s">
        <v>2466</v>
      </c>
      <c r="CC777" s="3011" t="s">
        <v>2466</v>
      </c>
      <c r="CD777" s="3011" t="s">
        <v>2378</v>
      </c>
      <c r="CE777" s="3009" t="s">
        <v>2139</v>
      </c>
      <c r="CF777" s="3011" t="s">
        <v>2466</v>
      </c>
      <c r="CG777" s="3011" t="s">
        <v>2378</v>
      </c>
      <c r="CH777" s="3011" t="s">
        <v>2378</v>
      </c>
      <c r="CI777" s="3011" t="s">
        <v>2378</v>
      </c>
      <c r="CJ777" s="3009" t="s">
        <v>2378</v>
      </c>
      <c r="CK777" s="3502" t="s">
        <v>2378</v>
      </c>
      <c r="CL777" s="3011" t="s">
        <v>2378</v>
      </c>
      <c r="CM777" s="3011" t="s">
        <v>2378</v>
      </c>
      <c r="CN777" s="3011" t="s">
        <v>2378</v>
      </c>
      <c r="CO777" s="3009" t="s">
        <v>2378</v>
      </c>
      <c r="CP777" s="3504" t="s">
        <v>2378</v>
      </c>
      <c r="CQ777" s="3011" t="s">
        <v>2378</v>
      </c>
      <c r="CR777" s="3011" t="s">
        <v>2378</v>
      </c>
      <c r="CS777" s="3019" t="s">
        <v>2378</v>
      </c>
      <c r="CT777" s="3009" t="s">
        <v>2378</v>
      </c>
      <c r="CU777" s="3009" t="s">
        <v>2378</v>
      </c>
      <c r="CV777" s="3019" t="s">
        <v>2378</v>
      </c>
      <c r="DB777" s="217"/>
    </row>
    <row r="778" spans="1:256" s="207" customFormat="1" x14ac:dyDescent="0.2">
      <c r="A778" s="764" t="s">
        <v>1735</v>
      </c>
      <c r="B778" s="651"/>
      <c r="C778" s="236"/>
      <c r="G778" s="234"/>
      <c r="H778" s="843"/>
      <c r="I778" s="852">
        <f t="shared" ref="I778:AN778" si="1123">SUM(I747:I764)</f>
        <v>214965</v>
      </c>
      <c r="J778" s="852">
        <f t="shared" si="1123"/>
        <v>218093</v>
      </c>
      <c r="K778" s="852">
        <f t="shared" si="1123"/>
        <v>221743</v>
      </c>
      <c r="L778" s="852">
        <f t="shared" si="1123"/>
        <v>216291</v>
      </c>
      <c r="M778" s="843">
        <f t="shared" si="1123"/>
        <v>216291</v>
      </c>
      <c r="N778" s="852">
        <f t="shared" si="1123"/>
        <v>219691</v>
      </c>
      <c r="O778" s="852">
        <f t="shared" si="1123"/>
        <v>221052</v>
      </c>
      <c r="P778" s="852">
        <f t="shared" si="1123"/>
        <v>222104</v>
      </c>
      <c r="Q778" s="852">
        <f t="shared" si="1123"/>
        <v>225993</v>
      </c>
      <c r="R778" s="843">
        <f t="shared" si="1123"/>
        <v>225993</v>
      </c>
      <c r="S778" s="852">
        <f t="shared" si="1123"/>
        <v>227669</v>
      </c>
      <c r="T778" s="852">
        <f t="shared" si="1123"/>
        <v>228713</v>
      </c>
      <c r="U778" s="852">
        <f t="shared" si="1123"/>
        <v>230745</v>
      </c>
      <c r="V778" s="852">
        <f t="shared" si="1123"/>
        <v>233378</v>
      </c>
      <c r="W778" s="843">
        <f t="shared" si="1123"/>
        <v>233378</v>
      </c>
      <c r="X778" s="852">
        <f t="shared" si="1123"/>
        <v>232092</v>
      </c>
      <c r="Y778" s="852">
        <f t="shared" si="1123"/>
        <v>235119</v>
      </c>
      <c r="Z778" s="852">
        <f t="shared" si="1123"/>
        <v>237972</v>
      </c>
      <c r="AA778" s="852">
        <f t="shared" si="1123"/>
        <v>239344</v>
      </c>
      <c r="AB778" s="843">
        <f t="shared" si="1123"/>
        <v>239344</v>
      </c>
      <c r="AC778" s="852">
        <f t="shared" si="1123"/>
        <v>238630</v>
      </c>
      <c r="AD778" s="852">
        <f t="shared" si="1123"/>
        <v>247811</v>
      </c>
      <c r="AE778" s="852">
        <f t="shared" si="1123"/>
        <v>242958</v>
      </c>
      <c r="AF778" s="852">
        <f t="shared" si="1123"/>
        <v>243863</v>
      </c>
      <c r="AG778" s="843">
        <f t="shared" si="1123"/>
        <v>243863</v>
      </c>
      <c r="AH778" s="852">
        <f t="shared" si="1123"/>
        <v>244216</v>
      </c>
      <c r="AI778" s="852">
        <f t="shared" si="1123"/>
        <v>246576</v>
      </c>
      <c r="AJ778" s="852">
        <f t="shared" si="1123"/>
        <v>248584</v>
      </c>
      <c r="AK778" s="852">
        <f t="shared" si="1123"/>
        <v>247989</v>
      </c>
      <c r="AL778" s="843">
        <f t="shared" si="1123"/>
        <v>247989</v>
      </c>
      <c r="AM778" s="852">
        <f t="shared" si="1123"/>
        <v>247989</v>
      </c>
      <c r="AN778" s="852">
        <f t="shared" si="1123"/>
        <v>248917</v>
      </c>
      <c r="AO778" s="852">
        <f t="shared" ref="AO778:BT778" si="1124">SUM(AO747:AO764)</f>
        <v>251505</v>
      </c>
      <c r="AP778" s="852">
        <f t="shared" si="1124"/>
        <v>252859</v>
      </c>
      <c r="AQ778" s="843">
        <f t="shared" si="1124"/>
        <v>252859</v>
      </c>
      <c r="AR778" s="852">
        <f t="shared" si="1124"/>
        <v>252242</v>
      </c>
      <c r="AS778" s="852">
        <f t="shared" si="1124"/>
        <v>252591</v>
      </c>
      <c r="AT778" s="852">
        <f t="shared" si="1124"/>
        <v>254564</v>
      </c>
      <c r="AU778" s="852">
        <f t="shared" si="1124"/>
        <v>255959</v>
      </c>
      <c r="AV778" s="843">
        <f t="shared" si="1124"/>
        <v>255959</v>
      </c>
      <c r="AW778" s="852">
        <f t="shared" si="1124"/>
        <v>259280</v>
      </c>
      <c r="AX778" s="852">
        <f t="shared" si="1124"/>
        <v>260689</v>
      </c>
      <c r="AY778" s="852">
        <f t="shared" si="1124"/>
        <v>261419</v>
      </c>
      <c r="AZ778" s="852">
        <f t="shared" si="1124"/>
        <v>264533</v>
      </c>
      <c r="BA778" s="843">
        <f t="shared" si="1124"/>
        <v>264533</v>
      </c>
      <c r="BB778" s="852">
        <f t="shared" si="1124"/>
        <v>265941</v>
      </c>
      <c r="BC778" s="852">
        <f t="shared" si="1124"/>
        <v>266720</v>
      </c>
      <c r="BD778" s="852">
        <f t="shared" si="1124"/>
        <v>267974</v>
      </c>
      <c r="BE778" s="852">
        <f t="shared" si="1124"/>
        <v>268820</v>
      </c>
      <c r="BF778" s="843">
        <f t="shared" si="1124"/>
        <v>268820</v>
      </c>
      <c r="BG778" s="852">
        <f t="shared" si="1124"/>
        <v>271480</v>
      </c>
      <c r="BH778" s="852">
        <f t="shared" si="1124"/>
        <v>272326</v>
      </c>
      <c r="BI778" s="852">
        <f t="shared" si="1124"/>
        <v>272374</v>
      </c>
      <c r="BJ778" s="852">
        <f t="shared" si="1124"/>
        <v>273688</v>
      </c>
      <c r="BK778" s="843">
        <f t="shared" si="1124"/>
        <v>273688</v>
      </c>
      <c r="BL778" s="852">
        <f t="shared" si="1124"/>
        <v>272367</v>
      </c>
      <c r="BM778" s="852">
        <f t="shared" si="1124"/>
        <v>271251</v>
      </c>
      <c r="BN778" s="852">
        <f t="shared" si="1124"/>
        <v>270555</v>
      </c>
      <c r="BO778" s="852">
        <f t="shared" si="1124"/>
        <v>279809</v>
      </c>
      <c r="BP778" s="843">
        <f t="shared" si="1124"/>
        <v>279809</v>
      </c>
      <c r="BQ778" s="852">
        <f t="shared" si="1124"/>
        <v>280949</v>
      </c>
      <c r="BR778" s="852">
        <f t="shared" si="1124"/>
        <v>279155</v>
      </c>
      <c r="BS778" s="852">
        <f t="shared" si="1124"/>
        <v>278615</v>
      </c>
      <c r="BT778" s="852">
        <f t="shared" si="1124"/>
        <v>278856</v>
      </c>
      <c r="BU778" s="843">
        <f t="shared" ref="BU778:CG778" si="1125">SUM(BU747:BU764)</f>
        <v>278856</v>
      </c>
      <c r="BV778" s="852">
        <f t="shared" si="1125"/>
        <v>279127</v>
      </c>
      <c r="BW778" s="852">
        <f t="shared" si="1125"/>
        <v>286927</v>
      </c>
      <c r="BX778" s="852">
        <f t="shared" si="1125"/>
        <v>285595</v>
      </c>
      <c r="BY778" s="852">
        <f t="shared" si="1125"/>
        <v>287637</v>
      </c>
      <c r="BZ778" s="843">
        <f t="shared" si="1125"/>
        <v>287637</v>
      </c>
      <c r="CA778" s="852">
        <f t="shared" si="1125"/>
        <v>288152</v>
      </c>
      <c r="CB778" s="852">
        <f t="shared" si="1125"/>
        <v>297246</v>
      </c>
      <c r="CC778" s="852">
        <f t="shared" si="1125"/>
        <v>298254</v>
      </c>
      <c r="CD778" s="852">
        <f t="shared" si="1125"/>
        <v>300305</v>
      </c>
      <c r="CE778" s="843">
        <f t="shared" si="1125"/>
        <v>300305</v>
      </c>
      <c r="CF778" s="852">
        <f t="shared" si="1125"/>
        <v>300171</v>
      </c>
      <c r="CG778" s="852">
        <f t="shared" si="1125"/>
        <v>299241</v>
      </c>
      <c r="CH778" s="852">
        <f>SUM(CH745:CH763)</f>
        <v>295570</v>
      </c>
      <c r="CI778" s="852">
        <f>SUM(CI745:CI777)</f>
        <v>521552</v>
      </c>
      <c r="CJ778" s="843">
        <f t="shared" ref="CJ778:CV778" si="1126">SUM(CJ745:CJ777)</f>
        <v>521552</v>
      </c>
      <c r="CK778" s="852">
        <f t="shared" si="1126"/>
        <v>522917</v>
      </c>
      <c r="CL778" s="852">
        <f t="shared" si="1126"/>
        <v>526705</v>
      </c>
      <c r="CM778" s="852">
        <f t="shared" si="1126"/>
        <v>531476</v>
      </c>
      <c r="CN778" s="852">
        <f t="shared" si="1126"/>
        <v>536373</v>
      </c>
      <c r="CO778" s="843">
        <f t="shared" si="1126"/>
        <v>536373</v>
      </c>
      <c r="CP778" s="852">
        <f>SUM(CP745:CP777)</f>
        <v>542810.47000000009</v>
      </c>
      <c r="CQ778" s="852">
        <f>SUM(CQ745:CQ777)</f>
        <v>549557.39000000025</v>
      </c>
      <c r="CR778" s="852">
        <f>SUM(CR745:CR777)</f>
        <v>554561.09000000008</v>
      </c>
      <c r="CS778" s="852">
        <f>SUM(CS745:CS777)</f>
        <v>559730.71</v>
      </c>
      <c r="CT778" s="843">
        <f>SUM(CT745:CT777)</f>
        <v>559730.71</v>
      </c>
      <c r="CU778" s="843">
        <f t="shared" si="1126"/>
        <v>584056.72960000008</v>
      </c>
      <c r="CV778" s="843">
        <f t="shared" si="1126"/>
        <v>591929.14596400002</v>
      </c>
      <c r="CW778" s="374"/>
      <c r="CX778" s="374"/>
      <c r="CY778" s="374"/>
      <c r="CZ778" s="374"/>
      <c r="DA778" s="374"/>
      <c r="DB778" s="217"/>
      <c r="DC778" s="212"/>
      <c r="DD778" s="212"/>
      <c r="DE778" s="70"/>
      <c r="DF778" s="70"/>
      <c r="DG778" s="70"/>
      <c r="DH778" s="70"/>
      <c r="DI778" s="70"/>
      <c r="DJ778" s="70"/>
      <c r="DK778" s="70"/>
      <c r="DL778" s="70"/>
      <c r="DM778" s="70"/>
      <c r="DN778" s="70"/>
      <c r="DO778" s="70"/>
      <c r="DP778" s="70"/>
      <c r="DQ778" s="70"/>
      <c r="DR778" s="70"/>
      <c r="DS778" s="70"/>
      <c r="DT778" s="70"/>
      <c r="DU778" s="70"/>
      <c r="DV778" s="70"/>
      <c r="DW778" s="70"/>
      <c r="DX778" s="70"/>
      <c r="DY778" s="70"/>
      <c r="DZ778" s="70"/>
      <c r="EA778" s="70"/>
      <c r="EB778" s="70"/>
      <c r="EC778" s="70"/>
      <c r="ED778" s="70"/>
      <c r="EE778" s="70"/>
      <c r="EF778" s="70"/>
      <c r="EG778" s="70"/>
      <c r="EH778" s="70"/>
      <c r="EI778" s="70"/>
      <c r="EJ778" s="70"/>
      <c r="EK778" s="70"/>
      <c r="EL778" s="70"/>
      <c r="EM778" s="70"/>
      <c r="EN778" s="70"/>
      <c r="EO778" s="70"/>
      <c r="EP778" s="70"/>
      <c r="EQ778" s="70"/>
      <c r="ER778" s="70"/>
      <c r="ES778" s="70"/>
      <c r="ET778" s="70"/>
      <c r="EU778" s="70"/>
      <c r="EV778" s="70"/>
      <c r="EW778" s="70"/>
      <c r="EX778" s="70"/>
      <c r="EY778" s="70"/>
      <c r="EZ778" s="70"/>
      <c r="FA778" s="70"/>
      <c r="FB778" s="70"/>
      <c r="FC778" s="70"/>
      <c r="FD778" s="70"/>
      <c r="FE778" s="70"/>
      <c r="FF778" s="70"/>
      <c r="FG778" s="70"/>
      <c r="FH778" s="70"/>
      <c r="FI778" s="70"/>
      <c r="FJ778" s="70"/>
      <c r="FK778" s="70"/>
      <c r="FL778" s="70"/>
      <c r="FM778" s="70"/>
      <c r="FN778" s="70"/>
      <c r="FO778" s="70"/>
      <c r="FP778" s="70"/>
      <c r="FQ778" s="70"/>
      <c r="FR778" s="70"/>
      <c r="FS778" s="70"/>
      <c r="FT778" s="70"/>
      <c r="FU778" s="70"/>
      <c r="FV778" s="70"/>
      <c r="FW778" s="70"/>
      <c r="FX778" s="70"/>
      <c r="FY778" s="70"/>
      <c r="FZ778" s="70"/>
      <c r="GA778" s="70"/>
      <c r="GB778" s="70"/>
      <c r="GC778" s="70"/>
      <c r="GD778" s="70"/>
      <c r="GE778" s="70"/>
      <c r="GF778" s="70"/>
      <c r="GG778" s="70"/>
      <c r="GH778" s="70"/>
      <c r="GI778" s="70"/>
      <c r="GJ778" s="70"/>
      <c r="GK778" s="70"/>
      <c r="GL778" s="70"/>
      <c r="GM778" s="70"/>
      <c r="GN778" s="70"/>
      <c r="GO778" s="70"/>
      <c r="GP778" s="70"/>
      <c r="GQ778" s="70"/>
      <c r="GR778" s="70"/>
      <c r="GS778" s="70"/>
      <c r="GT778" s="70"/>
      <c r="GU778" s="70"/>
      <c r="GV778" s="70"/>
      <c r="GW778" s="70"/>
      <c r="GX778" s="70"/>
      <c r="GY778" s="70"/>
      <c r="GZ778" s="70"/>
      <c r="HA778" s="70"/>
      <c r="HB778" s="70"/>
      <c r="HC778" s="70"/>
      <c r="HD778" s="70"/>
      <c r="HE778" s="70"/>
      <c r="HF778" s="70"/>
      <c r="HG778" s="70"/>
      <c r="HH778" s="70"/>
      <c r="HI778" s="70"/>
      <c r="HJ778" s="70"/>
      <c r="HK778" s="70"/>
      <c r="HL778" s="70"/>
      <c r="HM778" s="70"/>
      <c r="HN778" s="70"/>
      <c r="HO778" s="70"/>
      <c r="HP778" s="70"/>
      <c r="HQ778" s="70"/>
      <c r="HR778" s="70"/>
      <c r="HS778" s="70"/>
      <c r="HT778" s="70"/>
      <c r="HU778" s="70"/>
      <c r="HV778" s="70"/>
      <c r="HW778" s="70"/>
      <c r="HX778" s="70"/>
      <c r="HY778" s="70"/>
      <c r="HZ778" s="70"/>
      <c r="IA778" s="70"/>
      <c r="IB778" s="70"/>
      <c r="IC778" s="70"/>
      <c r="ID778" s="70"/>
      <c r="IE778" s="70"/>
      <c r="IF778" s="70"/>
      <c r="IG778" s="70"/>
      <c r="IH778" s="70"/>
      <c r="II778" s="70"/>
      <c r="IJ778" s="70"/>
      <c r="IK778" s="70"/>
      <c r="IL778" s="70"/>
      <c r="IM778" s="70"/>
      <c r="IN778" s="70"/>
      <c r="IO778" s="70"/>
      <c r="IP778" s="70"/>
      <c r="IQ778" s="70"/>
      <c r="IR778" s="70"/>
      <c r="IS778" s="70"/>
      <c r="IT778" s="70"/>
      <c r="IU778" s="70"/>
      <c r="IV778" s="70"/>
    </row>
    <row r="779" spans="1:256" x14ac:dyDescent="0.2">
      <c r="A779" s="764"/>
      <c r="B779" s="651"/>
      <c r="C779" s="236"/>
      <c r="D779" s="207"/>
      <c r="E779" s="207"/>
      <c r="F779" s="207"/>
      <c r="G779" s="234"/>
      <c r="H779" s="236"/>
      <c r="I779" s="207"/>
      <c r="J779" s="207"/>
      <c r="K779" s="207"/>
      <c r="L779" s="234"/>
      <c r="M779" s="236"/>
      <c r="N779" s="207"/>
      <c r="O779" s="207"/>
      <c r="P779" s="207"/>
      <c r="Q779" s="234"/>
      <c r="R779" s="236"/>
      <c r="S779" s="207"/>
      <c r="T779" s="207"/>
      <c r="U779" s="207"/>
      <c r="V779" s="234"/>
      <c r="W779" s="236"/>
      <c r="X779" s="207"/>
      <c r="Y779" s="207"/>
      <c r="Z779" s="207"/>
      <c r="AA779" s="234"/>
      <c r="AB779" s="236"/>
      <c r="AC779" s="207"/>
      <c r="AD779" s="207"/>
      <c r="AE779" s="207"/>
      <c r="AF779" s="234"/>
      <c r="AG779" s="236"/>
      <c r="AH779" s="207"/>
      <c r="AI779" s="207"/>
      <c r="AJ779" s="207"/>
      <c r="AK779" s="234"/>
      <c r="AL779" s="236"/>
      <c r="AM779" s="207"/>
      <c r="AN779" s="207"/>
      <c r="AO779" s="207"/>
      <c r="AP779" s="234"/>
      <c r="AQ779" s="236"/>
      <c r="AR779" s="207"/>
      <c r="AS779" s="207"/>
      <c r="AT779" s="207"/>
      <c r="AU779" s="234"/>
      <c r="AV779" s="236"/>
      <c r="AW779" s="207"/>
      <c r="AX779" s="207"/>
      <c r="AY779" s="207"/>
      <c r="AZ779" s="234"/>
      <c r="BA779" s="236"/>
      <c r="BB779" s="207"/>
      <c r="BC779" s="207"/>
      <c r="BD779" s="207"/>
      <c r="BE779" s="234"/>
      <c r="BF779" s="236"/>
      <c r="BG779" s="207"/>
      <c r="BH779" s="207"/>
      <c r="BI779" s="207"/>
      <c r="BJ779" s="234"/>
      <c r="BK779" s="236"/>
      <c r="BL779" s="234"/>
      <c r="BM779" s="234"/>
      <c r="BN779" s="234"/>
      <c r="BO779" s="234"/>
      <c r="BP779" s="194"/>
      <c r="BQ779" s="234"/>
      <c r="BR779" s="234"/>
      <c r="BS779" s="234"/>
      <c r="BT779" s="234"/>
      <c r="BU779" s="194"/>
      <c r="BV779" s="234"/>
      <c r="BW779" s="234"/>
      <c r="BX779" s="234"/>
      <c r="BY779" s="234"/>
      <c r="BZ779" s="194"/>
      <c r="CA779" s="234"/>
      <c r="CB779" s="234"/>
      <c r="CC779" s="234"/>
      <c r="CD779" s="234"/>
      <c r="CE779" s="194"/>
      <c r="CF779" s="234"/>
      <c r="CG779" s="234"/>
      <c r="CH779" s="234"/>
      <c r="CI779" s="234"/>
      <c r="CJ779" s="194"/>
      <c r="CK779" s="3515"/>
      <c r="CL779" s="234"/>
      <c r="CM779" s="234"/>
      <c r="CN779" s="234"/>
      <c r="CO779" s="194"/>
      <c r="CP779" s="374"/>
      <c r="CQ779" s="234"/>
      <c r="CR779" s="234"/>
      <c r="CS779" s="208"/>
      <c r="CT779" s="194"/>
      <c r="CU779" s="194"/>
      <c r="CV779" s="194"/>
      <c r="CW779" s="374"/>
      <c r="CX779" s="374"/>
      <c r="CY779" s="374"/>
      <c r="CZ779" s="374"/>
      <c r="DA779" s="374"/>
      <c r="DB779" s="217"/>
    </row>
    <row r="780" spans="1:256" x14ac:dyDescent="0.2">
      <c r="A780" s="1263" t="s">
        <v>1416</v>
      </c>
      <c r="B780" s="651"/>
      <c r="C780" s="236"/>
      <c r="D780" s="207"/>
      <c r="E780" s="207"/>
      <c r="F780" s="207"/>
      <c r="G780" s="234"/>
      <c r="H780" s="236"/>
      <c r="I780" s="207"/>
      <c r="J780" s="207"/>
      <c r="K780" s="207"/>
      <c r="L780" s="234"/>
      <c r="M780" s="236"/>
      <c r="N780" s="207"/>
      <c r="O780" s="207"/>
      <c r="P780" s="207"/>
      <c r="Q780" s="234"/>
      <c r="R780" s="236"/>
      <c r="S780" s="207"/>
      <c r="T780" s="207"/>
      <c r="U780" s="207"/>
      <c r="V780" s="234"/>
      <c r="W780" s="236"/>
      <c r="X780" s="207"/>
      <c r="Y780" s="207"/>
      <c r="Z780" s="207"/>
      <c r="AA780" s="234"/>
      <c r="AB780" s="236"/>
      <c r="AC780" s="207"/>
      <c r="AD780" s="207"/>
      <c r="AE780" s="207"/>
      <c r="AF780" s="234"/>
      <c r="AG780" s="236"/>
      <c r="AH780" s="207"/>
      <c r="AI780" s="207"/>
      <c r="AJ780" s="207"/>
      <c r="AK780" s="234"/>
      <c r="AL780" s="236"/>
      <c r="AM780" s="207"/>
      <c r="AN780" s="207"/>
      <c r="AO780" s="207"/>
      <c r="AP780" s="234"/>
      <c r="AQ780" s="236"/>
      <c r="AR780" s="207"/>
      <c r="AS780" s="207"/>
      <c r="AT780" s="207"/>
      <c r="AU780" s="234"/>
      <c r="AV780" s="236"/>
      <c r="AW780" s="207"/>
      <c r="AX780" s="207"/>
      <c r="AY780" s="207"/>
      <c r="AZ780" s="234"/>
      <c r="BA780" s="236"/>
      <c r="BB780" s="207"/>
      <c r="BC780" s="207"/>
      <c r="BD780" s="207"/>
      <c r="BE780" s="234"/>
      <c r="BF780" s="236"/>
      <c r="BG780" s="207"/>
      <c r="BH780" s="207"/>
      <c r="BI780" s="207"/>
      <c r="BJ780" s="234"/>
      <c r="BK780" s="236"/>
      <c r="BL780" s="234"/>
      <c r="BM780" s="234"/>
      <c r="BN780" s="234"/>
      <c r="BO780" s="234"/>
      <c r="BP780" s="194"/>
      <c r="BQ780" s="234"/>
      <c r="BR780" s="234"/>
      <c r="BS780" s="234"/>
      <c r="BT780" s="234"/>
      <c r="BU780" s="194"/>
      <c r="BV780" s="234"/>
      <c r="BW780" s="234"/>
      <c r="BX780" s="234"/>
      <c r="BY780" s="234"/>
      <c r="BZ780" s="194"/>
      <c r="CA780" s="234"/>
      <c r="CB780" s="234"/>
      <c r="CC780" s="234"/>
      <c r="CD780" s="234"/>
      <c r="CE780" s="194"/>
      <c r="CF780" s="234"/>
      <c r="CG780" s="234"/>
      <c r="CH780" s="234"/>
      <c r="CI780" s="234"/>
      <c r="CJ780" s="194"/>
      <c r="CK780" s="3515"/>
      <c r="CL780" s="234"/>
      <c r="CM780" s="234"/>
      <c r="CN780" s="234"/>
      <c r="CO780" s="194"/>
      <c r="CP780" s="3515"/>
      <c r="CQ780" s="234"/>
      <c r="CR780" s="234"/>
      <c r="CS780" s="234"/>
      <c r="CT780" s="194"/>
      <c r="CU780" s="194"/>
      <c r="CV780" s="194"/>
      <c r="CW780" s="374"/>
      <c r="CX780" s="374"/>
      <c r="CY780" s="374"/>
      <c r="CZ780" s="374"/>
      <c r="DA780" s="374"/>
      <c r="DB780" s="217"/>
    </row>
    <row r="781" spans="1:256" x14ac:dyDescent="0.2">
      <c r="A781" s="2632" t="s">
        <v>456</v>
      </c>
      <c r="B781" s="651"/>
      <c r="C781" s="236"/>
      <c r="D781" s="207"/>
      <c r="E781" s="207"/>
      <c r="F781" s="207"/>
      <c r="G781" s="234"/>
      <c r="H781" s="236"/>
      <c r="I781" s="207"/>
      <c r="J781" s="207"/>
      <c r="K781" s="207"/>
      <c r="L781" s="234"/>
      <c r="M781" s="236"/>
      <c r="N781" s="234"/>
      <c r="O781" s="234"/>
      <c r="P781" s="234"/>
      <c r="Q781" s="234"/>
      <c r="R781" s="236"/>
      <c r="S781" s="234"/>
      <c r="T781" s="234"/>
      <c r="U781" s="234"/>
      <c r="V781" s="234"/>
      <c r="W781" s="236"/>
      <c r="X781" s="234"/>
      <c r="Y781" s="234"/>
      <c r="Z781" s="234"/>
      <c r="AA781" s="234"/>
      <c r="AB781" s="236"/>
      <c r="AC781" s="234"/>
      <c r="AD781" s="234"/>
      <c r="AE781" s="234"/>
      <c r="AF781" s="234"/>
      <c r="AG781" s="236"/>
      <c r="AH781" s="234"/>
      <c r="AI781" s="234"/>
      <c r="AJ781" s="234"/>
      <c r="AK781" s="234"/>
      <c r="AL781" s="236"/>
      <c r="AM781" s="234"/>
      <c r="AN781" s="234"/>
      <c r="AO781" s="234"/>
      <c r="AP781" s="234"/>
      <c r="AQ781" s="236"/>
      <c r="AR781" s="234"/>
      <c r="AS781" s="234"/>
      <c r="AT781" s="234"/>
      <c r="AU781" s="234"/>
      <c r="AV781" s="236"/>
      <c r="AW781" s="234"/>
      <c r="AX781" s="234"/>
      <c r="AY781" s="234"/>
      <c r="AZ781" s="234"/>
      <c r="BA781" s="236"/>
      <c r="BB781" s="234"/>
      <c r="BC781" s="234"/>
      <c r="BD781" s="234"/>
      <c r="BE781" s="234"/>
      <c r="BF781" s="236"/>
      <c r="BG781" s="234"/>
      <c r="BH781" s="234"/>
      <c r="BI781" s="234"/>
      <c r="BJ781" s="234"/>
      <c r="BK781" s="236"/>
      <c r="BL781" s="212"/>
      <c r="BM781" s="212"/>
      <c r="BN781" s="212"/>
      <c r="BO781" s="212"/>
      <c r="BP781" s="194"/>
      <c r="BQ781" s="212"/>
      <c r="BR781" s="212"/>
      <c r="BS781" s="212"/>
      <c r="BT781" s="212"/>
      <c r="BU781" s="194"/>
      <c r="BV781" s="212"/>
      <c r="BW781" s="212"/>
      <c r="BX781" s="212"/>
      <c r="BY781" s="212"/>
      <c r="BZ781" s="194"/>
      <c r="CA781" s="212"/>
      <c r="CB781" s="212"/>
      <c r="CC781" s="212"/>
      <c r="CD781" s="212"/>
      <c r="CE781" s="194"/>
      <c r="CF781" s="212"/>
      <c r="CG781" s="212"/>
      <c r="CH781" s="847">
        <f t="shared" ref="CH781:CV781" si="1127">CH495+CH638</f>
        <v>5942</v>
      </c>
      <c r="CI781" s="847">
        <f t="shared" si="1127"/>
        <v>6211</v>
      </c>
      <c r="CJ781" s="194">
        <f t="shared" si="1127"/>
        <v>6211</v>
      </c>
      <c r="CK781" s="2350">
        <f t="shared" si="1127"/>
        <v>6211</v>
      </c>
      <c r="CL781" s="847">
        <f t="shared" si="1127"/>
        <v>6211</v>
      </c>
      <c r="CM781" s="847">
        <f t="shared" si="1127"/>
        <v>6049</v>
      </c>
      <c r="CN781" s="847">
        <f t="shared" si="1127"/>
        <v>6049</v>
      </c>
      <c r="CO781" s="194">
        <f t="shared" si="1127"/>
        <v>6049</v>
      </c>
      <c r="CP781" s="973">
        <f t="shared" ref="CP781:CT796" si="1128">CP495+CP638</f>
        <v>6663.1900000000005</v>
      </c>
      <c r="CQ781" s="847">
        <f t="shared" si="1128"/>
        <v>6573.8099999999995</v>
      </c>
      <c r="CR781" s="847">
        <f t="shared" si="1128"/>
        <v>6372.16</v>
      </c>
      <c r="CS781" s="1431">
        <f t="shared" si="1128"/>
        <v>6327.91</v>
      </c>
      <c r="CT781" s="194">
        <f t="shared" si="1128"/>
        <v>6327.91</v>
      </c>
      <c r="CU781" s="194">
        <f t="shared" si="1127"/>
        <v>6734.1370000000006</v>
      </c>
      <c r="CV781" s="194">
        <f t="shared" si="1127"/>
        <v>6955.1903300000004</v>
      </c>
      <c r="CW781" s="374"/>
      <c r="CX781" s="374"/>
      <c r="CY781" s="374"/>
      <c r="CZ781" s="374"/>
      <c r="DA781" s="374"/>
      <c r="DB781" s="217"/>
    </row>
    <row r="782" spans="1:256" x14ac:dyDescent="0.2">
      <c r="A782" s="1264" t="s">
        <v>346</v>
      </c>
      <c r="B782" s="651"/>
      <c r="C782" s="236"/>
      <c r="D782" s="207"/>
      <c r="E782" s="207"/>
      <c r="F782" s="207"/>
      <c r="G782" s="234"/>
      <c r="H782" s="661"/>
      <c r="I782" s="847">
        <f t="shared" ref="I782:AN782" si="1129">I496+I639</f>
        <v>45002</v>
      </c>
      <c r="J782" s="847">
        <f t="shared" si="1129"/>
        <v>46716</v>
      </c>
      <c r="K782" s="847">
        <f t="shared" si="1129"/>
        <v>48501</v>
      </c>
      <c r="L782" s="847">
        <f t="shared" si="1129"/>
        <v>49973</v>
      </c>
      <c r="M782" s="661">
        <f t="shared" si="1129"/>
        <v>49973</v>
      </c>
      <c r="N782" s="847">
        <f t="shared" si="1129"/>
        <v>50537</v>
      </c>
      <c r="O782" s="847">
        <f t="shared" si="1129"/>
        <v>50826</v>
      </c>
      <c r="P782" s="847">
        <f t="shared" si="1129"/>
        <v>52199</v>
      </c>
      <c r="Q782" s="847">
        <f t="shared" si="1129"/>
        <v>52469</v>
      </c>
      <c r="R782" s="661">
        <f t="shared" si="1129"/>
        <v>52469</v>
      </c>
      <c r="S782" s="847">
        <f t="shared" si="1129"/>
        <v>54456</v>
      </c>
      <c r="T782" s="847">
        <f t="shared" si="1129"/>
        <v>55552</v>
      </c>
      <c r="U782" s="847">
        <f t="shared" si="1129"/>
        <v>55946</v>
      </c>
      <c r="V782" s="847">
        <f t="shared" si="1129"/>
        <v>57503</v>
      </c>
      <c r="W782" s="661">
        <f t="shared" si="1129"/>
        <v>57503</v>
      </c>
      <c r="X782" s="847">
        <f t="shared" si="1129"/>
        <v>59230</v>
      </c>
      <c r="Y782" s="847">
        <f t="shared" si="1129"/>
        <v>60005</v>
      </c>
      <c r="Z782" s="847">
        <f t="shared" si="1129"/>
        <v>59993</v>
      </c>
      <c r="AA782" s="847">
        <f t="shared" si="1129"/>
        <v>60969</v>
      </c>
      <c r="AB782" s="661">
        <f t="shared" si="1129"/>
        <v>60969</v>
      </c>
      <c r="AC782" s="847">
        <f t="shared" si="1129"/>
        <v>62466</v>
      </c>
      <c r="AD782" s="847">
        <f t="shared" si="1129"/>
        <v>56527</v>
      </c>
      <c r="AE782" s="847">
        <f t="shared" si="1129"/>
        <v>57343</v>
      </c>
      <c r="AF782" s="847">
        <f t="shared" si="1129"/>
        <v>58381</v>
      </c>
      <c r="AG782" s="661">
        <f t="shared" si="1129"/>
        <v>58381</v>
      </c>
      <c r="AH782" s="847">
        <f t="shared" si="1129"/>
        <v>60682</v>
      </c>
      <c r="AI782" s="847">
        <f t="shared" si="1129"/>
        <v>60594</v>
      </c>
      <c r="AJ782" s="847">
        <f t="shared" si="1129"/>
        <v>60296</v>
      </c>
      <c r="AK782" s="847">
        <f t="shared" si="1129"/>
        <v>61421</v>
      </c>
      <c r="AL782" s="661">
        <f t="shared" si="1129"/>
        <v>61421</v>
      </c>
      <c r="AM782" s="847">
        <f t="shared" si="1129"/>
        <v>61787</v>
      </c>
      <c r="AN782" s="847">
        <f t="shared" si="1129"/>
        <v>61731</v>
      </c>
      <c r="AO782" s="847">
        <f t="shared" ref="AO782:BT782" si="1130">AO496+AO639</f>
        <v>62272</v>
      </c>
      <c r="AP782" s="847">
        <f t="shared" si="1130"/>
        <v>62196</v>
      </c>
      <c r="AQ782" s="661">
        <f t="shared" si="1130"/>
        <v>62196</v>
      </c>
      <c r="AR782" s="847">
        <f t="shared" si="1130"/>
        <v>62595</v>
      </c>
      <c r="AS782" s="847">
        <f t="shared" si="1130"/>
        <v>62846</v>
      </c>
      <c r="AT782" s="847">
        <f t="shared" si="1130"/>
        <v>63409</v>
      </c>
      <c r="AU782" s="847">
        <f t="shared" si="1130"/>
        <v>64927</v>
      </c>
      <c r="AV782" s="661">
        <f t="shared" si="1130"/>
        <v>64927</v>
      </c>
      <c r="AW782" s="847">
        <f t="shared" si="1130"/>
        <v>65137</v>
      </c>
      <c r="AX782" s="847">
        <f t="shared" si="1130"/>
        <v>65443</v>
      </c>
      <c r="AY782" s="847">
        <f t="shared" si="1130"/>
        <v>66841</v>
      </c>
      <c r="AZ782" s="847">
        <f t="shared" si="1130"/>
        <v>67781</v>
      </c>
      <c r="BA782" s="661">
        <f t="shared" si="1130"/>
        <v>67781</v>
      </c>
      <c r="BB782" s="847">
        <f t="shared" si="1130"/>
        <v>68430</v>
      </c>
      <c r="BC782" s="847">
        <f t="shared" si="1130"/>
        <v>68085</v>
      </c>
      <c r="BD782" s="847">
        <f t="shared" si="1130"/>
        <v>68700</v>
      </c>
      <c r="BE782" s="847">
        <f t="shared" si="1130"/>
        <v>68758</v>
      </c>
      <c r="BF782" s="661">
        <f t="shared" si="1130"/>
        <v>68758</v>
      </c>
      <c r="BG782" s="847">
        <f t="shared" si="1130"/>
        <v>69939</v>
      </c>
      <c r="BH782" s="847">
        <f t="shared" si="1130"/>
        <v>69609</v>
      </c>
      <c r="BI782" s="847">
        <f t="shared" si="1130"/>
        <v>69970</v>
      </c>
      <c r="BJ782" s="847">
        <f t="shared" si="1130"/>
        <v>70111</v>
      </c>
      <c r="BK782" s="661">
        <f t="shared" si="1130"/>
        <v>70111</v>
      </c>
      <c r="BL782" s="847">
        <f t="shared" si="1130"/>
        <v>69519</v>
      </c>
      <c r="BM782" s="847">
        <f t="shared" si="1130"/>
        <v>69775</v>
      </c>
      <c r="BN782" s="847">
        <f t="shared" si="1130"/>
        <v>69777</v>
      </c>
      <c r="BO782" s="847">
        <f t="shared" si="1130"/>
        <v>70019</v>
      </c>
      <c r="BP782" s="194">
        <f t="shared" si="1130"/>
        <v>70019</v>
      </c>
      <c r="BQ782" s="847">
        <f t="shared" si="1130"/>
        <v>69031</v>
      </c>
      <c r="BR782" s="847">
        <f t="shared" si="1130"/>
        <v>69155</v>
      </c>
      <c r="BS782" s="847">
        <f t="shared" si="1130"/>
        <v>69650</v>
      </c>
      <c r="BT782" s="847">
        <f t="shared" si="1130"/>
        <v>70221</v>
      </c>
      <c r="BU782" s="194">
        <f t="shared" ref="BU782:CG782" si="1131">BU496+BU639</f>
        <v>70221</v>
      </c>
      <c r="BV782" s="847">
        <f t="shared" si="1131"/>
        <v>71006</v>
      </c>
      <c r="BW782" s="847">
        <f t="shared" si="1131"/>
        <v>71542</v>
      </c>
      <c r="BX782" s="847">
        <f t="shared" si="1131"/>
        <v>72427</v>
      </c>
      <c r="BY782" s="847">
        <f t="shared" si="1131"/>
        <v>72884</v>
      </c>
      <c r="BZ782" s="194">
        <f t="shared" si="1131"/>
        <v>72884</v>
      </c>
      <c r="CA782" s="847">
        <f t="shared" si="1131"/>
        <v>75340</v>
      </c>
      <c r="CB782" s="847">
        <f t="shared" si="1131"/>
        <v>75870</v>
      </c>
      <c r="CC782" s="847">
        <f t="shared" si="1131"/>
        <v>77012</v>
      </c>
      <c r="CD782" s="847">
        <f t="shared" si="1131"/>
        <v>78770</v>
      </c>
      <c r="CE782" s="194">
        <f t="shared" si="1131"/>
        <v>78770</v>
      </c>
      <c r="CF782" s="847">
        <f t="shared" si="1131"/>
        <v>79943</v>
      </c>
      <c r="CG782" s="847">
        <f t="shared" si="1131"/>
        <v>82894</v>
      </c>
      <c r="CH782" s="847">
        <f t="shared" ref="CH782:CV782" si="1132">CH496+CH639</f>
        <v>77403</v>
      </c>
      <c r="CI782" s="847">
        <f t="shared" si="1132"/>
        <v>77762</v>
      </c>
      <c r="CJ782" s="194">
        <f t="shared" si="1132"/>
        <v>77762</v>
      </c>
      <c r="CK782" s="2350">
        <f t="shared" ref="CK782:CK796" si="1133">CK496+CK639</f>
        <v>76827</v>
      </c>
      <c r="CL782" s="847">
        <f t="shared" si="1132"/>
        <v>77669</v>
      </c>
      <c r="CM782" s="847">
        <f t="shared" si="1132"/>
        <v>79434</v>
      </c>
      <c r="CN782" s="847">
        <f t="shared" si="1132"/>
        <v>80211</v>
      </c>
      <c r="CO782" s="194">
        <f t="shared" si="1132"/>
        <v>80211</v>
      </c>
      <c r="CP782" s="973">
        <f t="shared" si="1128"/>
        <v>82327.98000000001</v>
      </c>
      <c r="CQ782" s="847">
        <f t="shared" si="1128"/>
        <v>81926.040000000008</v>
      </c>
      <c r="CR782" s="847">
        <f t="shared" si="1128"/>
        <v>83276.209999999992</v>
      </c>
      <c r="CS782" s="1431">
        <f t="shared" si="1128"/>
        <v>83443.89</v>
      </c>
      <c r="CT782" s="194">
        <f t="shared" si="1128"/>
        <v>83443.89</v>
      </c>
      <c r="CU782" s="194">
        <f t="shared" si="1132"/>
        <v>88675.761000000013</v>
      </c>
      <c r="CV782" s="194">
        <f t="shared" si="1132"/>
        <v>91497.454110000006</v>
      </c>
      <c r="CW782" s="374"/>
      <c r="CX782" s="374"/>
      <c r="CY782" s="374"/>
      <c r="CZ782" s="374"/>
      <c r="DA782" s="374"/>
      <c r="DB782" s="217"/>
    </row>
    <row r="783" spans="1:256" x14ac:dyDescent="0.2">
      <c r="A783" s="1264" t="s">
        <v>1385</v>
      </c>
      <c r="B783" s="651"/>
      <c r="C783" s="236"/>
      <c r="D783" s="207"/>
      <c r="E783" s="207"/>
      <c r="F783" s="207"/>
      <c r="G783" s="234"/>
      <c r="H783" s="661"/>
      <c r="I783" s="847">
        <f t="shared" ref="I783:AN783" si="1134">I497+I640</f>
        <v>10636</v>
      </c>
      <c r="J783" s="847">
        <f t="shared" si="1134"/>
        <v>11104</v>
      </c>
      <c r="K783" s="847">
        <f t="shared" si="1134"/>
        <v>11486</v>
      </c>
      <c r="L783" s="847">
        <f t="shared" si="1134"/>
        <v>12060</v>
      </c>
      <c r="M783" s="661">
        <f t="shared" si="1134"/>
        <v>12060</v>
      </c>
      <c r="N783" s="847">
        <f t="shared" si="1134"/>
        <v>12049</v>
      </c>
      <c r="O783" s="847">
        <f t="shared" si="1134"/>
        <v>12254</v>
      </c>
      <c r="P783" s="847">
        <f t="shared" si="1134"/>
        <v>12254</v>
      </c>
      <c r="Q783" s="847">
        <f t="shared" si="1134"/>
        <v>13418</v>
      </c>
      <c r="R783" s="661">
        <f t="shared" si="1134"/>
        <v>13418</v>
      </c>
      <c r="S783" s="847">
        <f t="shared" si="1134"/>
        <v>13894</v>
      </c>
      <c r="T783" s="847">
        <f t="shared" si="1134"/>
        <v>13098</v>
      </c>
      <c r="U783" s="847">
        <f t="shared" si="1134"/>
        <v>13099</v>
      </c>
      <c r="V783" s="847">
        <f t="shared" si="1134"/>
        <v>12807</v>
      </c>
      <c r="W783" s="661">
        <f t="shared" si="1134"/>
        <v>12807</v>
      </c>
      <c r="X783" s="847">
        <f t="shared" si="1134"/>
        <v>12518</v>
      </c>
      <c r="Y783" s="847">
        <f t="shared" si="1134"/>
        <v>13095</v>
      </c>
      <c r="Z783" s="847">
        <f t="shared" si="1134"/>
        <v>13094</v>
      </c>
      <c r="AA783" s="847">
        <f t="shared" si="1134"/>
        <v>13863</v>
      </c>
      <c r="AB783" s="661">
        <f t="shared" si="1134"/>
        <v>13863</v>
      </c>
      <c r="AC783" s="847">
        <f t="shared" si="1134"/>
        <v>14245</v>
      </c>
      <c r="AD783" s="847">
        <f t="shared" si="1134"/>
        <v>13829</v>
      </c>
      <c r="AE783" s="847">
        <f t="shared" si="1134"/>
        <v>14086</v>
      </c>
      <c r="AF783" s="847">
        <f t="shared" si="1134"/>
        <v>14783</v>
      </c>
      <c r="AG783" s="661">
        <f t="shared" si="1134"/>
        <v>14783</v>
      </c>
      <c r="AH783" s="847">
        <f t="shared" si="1134"/>
        <v>14778</v>
      </c>
      <c r="AI783" s="847">
        <f t="shared" si="1134"/>
        <v>15174</v>
      </c>
      <c r="AJ783" s="847">
        <f t="shared" si="1134"/>
        <v>14734</v>
      </c>
      <c r="AK783" s="847">
        <f t="shared" si="1134"/>
        <v>14738</v>
      </c>
      <c r="AL783" s="661">
        <f t="shared" si="1134"/>
        <v>14738</v>
      </c>
      <c r="AM783" s="847">
        <f t="shared" si="1134"/>
        <v>14004</v>
      </c>
      <c r="AN783" s="847">
        <f t="shared" si="1134"/>
        <v>14533</v>
      </c>
      <c r="AO783" s="847">
        <f t="shared" ref="AO783:BT783" si="1135">AO497+AO640</f>
        <v>14566</v>
      </c>
      <c r="AP783" s="847">
        <f t="shared" si="1135"/>
        <v>15243</v>
      </c>
      <c r="AQ783" s="661">
        <f t="shared" si="1135"/>
        <v>15243</v>
      </c>
      <c r="AR783" s="847">
        <f t="shared" si="1135"/>
        <v>15508</v>
      </c>
      <c r="AS783" s="847">
        <f t="shared" si="1135"/>
        <v>15147</v>
      </c>
      <c r="AT783" s="847">
        <f t="shared" si="1135"/>
        <v>14993</v>
      </c>
      <c r="AU783" s="847">
        <f t="shared" si="1135"/>
        <v>15227</v>
      </c>
      <c r="AV783" s="661">
        <f t="shared" si="1135"/>
        <v>15227</v>
      </c>
      <c r="AW783" s="847">
        <f t="shared" si="1135"/>
        <v>15467</v>
      </c>
      <c r="AX783" s="847">
        <f t="shared" si="1135"/>
        <v>15652</v>
      </c>
      <c r="AY783" s="847">
        <f t="shared" si="1135"/>
        <v>15888</v>
      </c>
      <c r="AZ783" s="847">
        <f t="shared" si="1135"/>
        <v>16268</v>
      </c>
      <c r="BA783" s="661">
        <f t="shared" si="1135"/>
        <v>16268</v>
      </c>
      <c r="BB783" s="847">
        <f t="shared" si="1135"/>
        <v>16758</v>
      </c>
      <c r="BC783" s="847">
        <f t="shared" si="1135"/>
        <v>17148</v>
      </c>
      <c r="BD783" s="847">
        <f t="shared" si="1135"/>
        <v>16869</v>
      </c>
      <c r="BE783" s="847">
        <f t="shared" si="1135"/>
        <v>17019</v>
      </c>
      <c r="BF783" s="661">
        <f t="shared" si="1135"/>
        <v>17019</v>
      </c>
      <c r="BG783" s="847">
        <f t="shared" si="1135"/>
        <v>17019</v>
      </c>
      <c r="BH783" s="847">
        <f t="shared" si="1135"/>
        <v>17292</v>
      </c>
      <c r="BI783" s="847">
        <f t="shared" si="1135"/>
        <v>17312</v>
      </c>
      <c r="BJ783" s="847">
        <f t="shared" si="1135"/>
        <v>17569</v>
      </c>
      <c r="BK783" s="661">
        <f t="shared" si="1135"/>
        <v>17569</v>
      </c>
      <c r="BL783" s="847">
        <f t="shared" si="1135"/>
        <v>17909</v>
      </c>
      <c r="BM783" s="847">
        <f t="shared" si="1135"/>
        <v>17909</v>
      </c>
      <c r="BN783" s="847">
        <f t="shared" si="1135"/>
        <v>18121</v>
      </c>
      <c r="BO783" s="847">
        <f t="shared" si="1135"/>
        <v>18866</v>
      </c>
      <c r="BP783" s="194">
        <f t="shared" si="1135"/>
        <v>18866</v>
      </c>
      <c r="BQ783" s="847">
        <f t="shared" si="1135"/>
        <v>18868</v>
      </c>
      <c r="BR783" s="847">
        <f t="shared" si="1135"/>
        <v>18879</v>
      </c>
      <c r="BS783" s="847">
        <f t="shared" si="1135"/>
        <v>18879</v>
      </c>
      <c r="BT783" s="847">
        <f t="shared" si="1135"/>
        <v>18874</v>
      </c>
      <c r="BU783" s="194">
        <f t="shared" ref="BU783:CG783" si="1136">BU497+BU640</f>
        <v>18874</v>
      </c>
      <c r="BV783" s="847">
        <f t="shared" si="1136"/>
        <v>19191</v>
      </c>
      <c r="BW783" s="847">
        <f t="shared" si="1136"/>
        <v>20009</v>
      </c>
      <c r="BX783" s="847">
        <f t="shared" si="1136"/>
        <v>20638</v>
      </c>
      <c r="BY783" s="847">
        <f t="shared" si="1136"/>
        <v>20638</v>
      </c>
      <c r="BZ783" s="194">
        <f t="shared" si="1136"/>
        <v>20638</v>
      </c>
      <c r="CA783" s="847">
        <f t="shared" si="1136"/>
        <v>20809</v>
      </c>
      <c r="CB783" s="847">
        <f t="shared" si="1136"/>
        <v>21004</v>
      </c>
      <c r="CC783" s="847">
        <f t="shared" si="1136"/>
        <v>21882</v>
      </c>
      <c r="CD783" s="847">
        <f t="shared" si="1136"/>
        <v>22170</v>
      </c>
      <c r="CE783" s="194">
        <f t="shared" si="1136"/>
        <v>22170</v>
      </c>
      <c r="CF783" s="847">
        <f t="shared" si="1136"/>
        <v>22651</v>
      </c>
      <c r="CG783" s="847">
        <f t="shared" si="1136"/>
        <v>22756</v>
      </c>
      <c r="CH783" s="847">
        <f t="shared" ref="CH783:CV783" si="1137">CH497+CH640</f>
        <v>23059</v>
      </c>
      <c r="CI783" s="847">
        <f t="shared" si="1137"/>
        <v>23271</v>
      </c>
      <c r="CJ783" s="194">
        <f t="shared" si="1137"/>
        <v>23271</v>
      </c>
      <c r="CK783" s="2350">
        <f t="shared" si="1133"/>
        <v>23716</v>
      </c>
      <c r="CL783" s="847">
        <f t="shared" si="1137"/>
        <v>23598</v>
      </c>
      <c r="CM783" s="847">
        <f t="shared" si="1137"/>
        <v>23764</v>
      </c>
      <c r="CN783" s="847">
        <f t="shared" si="1137"/>
        <v>23502</v>
      </c>
      <c r="CO783" s="194">
        <f t="shared" si="1137"/>
        <v>23502</v>
      </c>
      <c r="CP783" s="973">
        <f t="shared" si="1128"/>
        <v>25447.800000000003</v>
      </c>
      <c r="CQ783" s="847">
        <f t="shared" si="1128"/>
        <v>24992.940000000002</v>
      </c>
      <c r="CR783" s="847">
        <f t="shared" si="1128"/>
        <v>25086.61</v>
      </c>
      <c r="CS783" s="1431">
        <f t="shared" si="1128"/>
        <v>24653.280000000002</v>
      </c>
      <c r="CT783" s="194">
        <f t="shared" si="1128"/>
        <v>24653.280000000002</v>
      </c>
      <c r="CU783" s="194">
        <f t="shared" si="1137"/>
        <v>26254.071750000003</v>
      </c>
      <c r="CV783" s="194">
        <f t="shared" si="1137"/>
        <v>27128.836950000004</v>
      </c>
      <c r="CW783" s="374"/>
      <c r="CX783" s="374"/>
      <c r="CY783" s="374"/>
      <c r="CZ783" s="374"/>
      <c r="DA783" s="374"/>
      <c r="DB783" s="217"/>
    </row>
    <row r="784" spans="1:256" x14ac:dyDescent="0.2">
      <c r="A784" s="1264" t="s">
        <v>512</v>
      </c>
      <c r="B784" s="651"/>
      <c r="C784" s="236"/>
      <c r="D784" s="207"/>
      <c r="E784" s="207"/>
      <c r="F784" s="207"/>
      <c r="G784" s="234"/>
      <c r="H784" s="661"/>
      <c r="I784" s="847">
        <f t="shared" ref="I784:AN784" si="1138">I498+I641</f>
        <v>0</v>
      </c>
      <c r="J784" s="847">
        <f t="shared" si="1138"/>
        <v>0</v>
      </c>
      <c r="K784" s="847">
        <f t="shared" si="1138"/>
        <v>0</v>
      </c>
      <c r="L784" s="847">
        <f t="shared" si="1138"/>
        <v>0</v>
      </c>
      <c r="M784" s="661">
        <f t="shared" si="1138"/>
        <v>0</v>
      </c>
      <c r="N784" s="847">
        <f t="shared" si="1138"/>
        <v>0</v>
      </c>
      <c r="O784" s="847">
        <f t="shared" si="1138"/>
        <v>0</v>
      </c>
      <c r="P784" s="847">
        <f t="shared" si="1138"/>
        <v>0</v>
      </c>
      <c r="Q784" s="847">
        <f t="shared" si="1138"/>
        <v>0</v>
      </c>
      <c r="R784" s="661">
        <f t="shared" si="1138"/>
        <v>0</v>
      </c>
      <c r="S784" s="847">
        <f t="shared" si="1138"/>
        <v>0</v>
      </c>
      <c r="T784" s="847">
        <f t="shared" si="1138"/>
        <v>0</v>
      </c>
      <c r="U784" s="847">
        <f t="shared" si="1138"/>
        <v>0</v>
      </c>
      <c r="V784" s="847">
        <f t="shared" si="1138"/>
        <v>0</v>
      </c>
      <c r="W784" s="661">
        <f t="shared" si="1138"/>
        <v>0</v>
      </c>
      <c r="X784" s="847">
        <f t="shared" si="1138"/>
        <v>0</v>
      </c>
      <c r="Y784" s="847">
        <f t="shared" si="1138"/>
        <v>0</v>
      </c>
      <c r="Z784" s="847">
        <f t="shared" si="1138"/>
        <v>0</v>
      </c>
      <c r="AA784" s="847">
        <f t="shared" si="1138"/>
        <v>0</v>
      </c>
      <c r="AB784" s="661">
        <f t="shared" si="1138"/>
        <v>0</v>
      </c>
      <c r="AC784" s="847">
        <f t="shared" si="1138"/>
        <v>0</v>
      </c>
      <c r="AD784" s="847">
        <f t="shared" si="1138"/>
        <v>0</v>
      </c>
      <c r="AE784" s="847">
        <f t="shared" si="1138"/>
        <v>0</v>
      </c>
      <c r="AF784" s="847">
        <f t="shared" si="1138"/>
        <v>0</v>
      </c>
      <c r="AG784" s="661">
        <f t="shared" si="1138"/>
        <v>0</v>
      </c>
      <c r="AH784" s="847">
        <f t="shared" si="1138"/>
        <v>0</v>
      </c>
      <c r="AI784" s="847">
        <f t="shared" si="1138"/>
        <v>0</v>
      </c>
      <c r="AJ784" s="847">
        <f t="shared" si="1138"/>
        <v>0</v>
      </c>
      <c r="AK784" s="847">
        <f t="shared" si="1138"/>
        <v>0</v>
      </c>
      <c r="AL784" s="661">
        <f t="shared" si="1138"/>
        <v>0</v>
      </c>
      <c r="AM784" s="847">
        <f t="shared" si="1138"/>
        <v>0</v>
      </c>
      <c r="AN784" s="847">
        <f t="shared" si="1138"/>
        <v>0</v>
      </c>
      <c r="AO784" s="847">
        <f t="shared" ref="AO784:BT784" si="1139">AO498+AO641</f>
        <v>0</v>
      </c>
      <c r="AP784" s="847">
        <f t="shared" si="1139"/>
        <v>0</v>
      </c>
      <c r="AQ784" s="661">
        <f t="shared" si="1139"/>
        <v>0</v>
      </c>
      <c r="AR784" s="847">
        <f t="shared" si="1139"/>
        <v>0</v>
      </c>
      <c r="AS784" s="847">
        <f t="shared" si="1139"/>
        <v>0</v>
      </c>
      <c r="AT784" s="847">
        <f t="shared" si="1139"/>
        <v>0</v>
      </c>
      <c r="AU784" s="847">
        <f t="shared" si="1139"/>
        <v>0</v>
      </c>
      <c r="AV784" s="661">
        <f t="shared" si="1139"/>
        <v>0</v>
      </c>
      <c r="AW784" s="847">
        <f t="shared" si="1139"/>
        <v>0</v>
      </c>
      <c r="AX784" s="847">
        <f t="shared" si="1139"/>
        <v>0</v>
      </c>
      <c r="AY784" s="847">
        <f t="shared" si="1139"/>
        <v>0</v>
      </c>
      <c r="AZ784" s="847">
        <f t="shared" si="1139"/>
        <v>0</v>
      </c>
      <c r="BA784" s="661">
        <f t="shared" si="1139"/>
        <v>0</v>
      </c>
      <c r="BB784" s="847">
        <f t="shared" si="1139"/>
        <v>242</v>
      </c>
      <c r="BC784" s="847">
        <f t="shared" si="1139"/>
        <v>1529</v>
      </c>
      <c r="BD784" s="847">
        <f t="shared" si="1139"/>
        <v>1646</v>
      </c>
      <c r="BE784" s="847">
        <f t="shared" si="1139"/>
        <v>3828</v>
      </c>
      <c r="BF784" s="661">
        <f t="shared" si="1139"/>
        <v>3828</v>
      </c>
      <c r="BG784" s="847">
        <f t="shared" si="1139"/>
        <v>3954</v>
      </c>
      <c r="BH784" s="847">
        <f t="shared" si="1139"/>
        <v>4118</v>
      </c>
      <c r="BI784" s="847">
        <f t="shared" si="1139"/>
        <v>5356</v>
      </c>
      <c r="BJ784" s="847">
        <f t="shared" si="1139"/>
        <v>5755</v>
      </c>
      <c r="BK784" s="661">
        <f t="shared" si="1139"/>
        <v>5755</v>
      </c>
      <c r="BL784" s="847">
        <f t="shared" si="1139"/>
        <v>6363</v>
      </c>
      <c r="BM784" s="847">
        <f t="shared" si="1139"/>
        <v>6899</v>
      </c>
      <c r="BN784" s="847">
        <f t="shared" si="1139"/>
        <v>6974</v>
      </c>
      <c r="BO784" s="847">
        <f t="shared" si="1139"/>
        <v>7357</v>
      </c>
      <c r="BP784" s="194">
        <f t="shared" si="1139"/>
        <v>7357</v>
      </c>
      <c r="BQ784" s="847">
        <f t="shared" si="1139"/>
        <v>7825</v>
      </c>
      <c r="BR784" s="847">
        <f t="shared" si="1139"/>
        <v>8302</v>
      </c>
      <c r="BS784" s="847">
        <f t="shared" si="1139"/>
        <v>9788</v>
      </c>
      <c r="BT784" s="847">
        <f t="shared" si="1139"/>
        <v>10720</v>
      </c>
      <c r="BU784" s="194">
        <f t="shared" ref="BU784:CG784" si="1140">BU498+BU641</f>
        <v>10720</v>
      </c>
      <c r="BV784" s="847">
        <f t="shared" si="1140"/>
        <v>11385</v>
      </c>
      <c r="BW784" s="847">
        <f t="shared" si="1140"/>
        <v>11426</v>
      </c>
      <c r="BX784" s="847">
        <f t="shared" si="1140"/>
        <v>11406</v>
      </c>
      <c r="BY784" s="847">
        <f t="shared" si="1140"/>
        <v>16397</v>
      </c>
      <c r="BZ784" s="194">
        <f t="shared" si="1140"/>
        <v>16397</v>
      </c>
      <c r="CA784" s="847">
        <f t="shared" si="1140"/>
        <v>17947</v>
      </c>
      <c r="CB784" s="847">
        <f t="shared" si="1140"/>
        <v>19877</v>
      </c>
      <c r="CC784" s="847">
        <f t="shared" si="1140"/>
        <v>20400</v>
      </c>
      <c r="CD784" s="847">
        <f t="shared" si="1140"/>
        <v>20811</v>
      </c>
      <c r="CE784" s="194">
        <f t="shared" si="1140"/>
        <v>20811</v>
      </c>
      <c r="CF784" s="847">
        <f t="shared" si="1140"/>
        <v>21679</v>
      </c>
      <c r="CG784" s="847">
        <f t="shared" si="1140"/>
        <v>21940</v>
      </c>
      <c r="CH784" s="847">
        <f t="shared" ref="CH784:CV784" si="1141">CH498+CH641</f>
        <v>22277</v>
      </c>
      <c r="CI784" s="847">
        <f t="shared" si="1141"/>
        <v>22856</v>
      </c>
      <c r="CJ784" s="194">
        <f t="shared" si="1141"/>
        <v>22856</v>
      </c>
      <c r="CK784" s="2350">
        <f t="shared" si="1133"/>
        <v>24753</v>
      </c>
      <c r="CL784" s="847">
        <f t="shared" si="1141"/>
        <v>25189</v>
      </c>
      <c r="CM784" s="847">
        <f t="shared" si="1141"/>
        <v>26085</v>
      </c>
      <c r="CN784" s="847">
        <f t="shared" si="1141"/>
        <v>26741</v>
      </c>
      <c r="CO784" s="194">
        <f t="shared" si="1141"/>
        <v>26741</v>
      </c>
      <c r="CP784" s="973">
        <f t="shared" si="1128"/>
        <v>26586.690000000002</v>
      </c>
      <c r="CQ784" s="847">
        <f t="shared" si="1128"/>
        <v>26753.880000000005</v>
      </c>
      <c r="CR784" s="847">
        <f t="shared" si="1128"/>
        <v>27670.300000000003</v>
      </c>
      <c r="CS784" s="1431">
        <f t="shared" si="1128"/>
        <v>28193.510000000002</v>
      </c>
      <c r="CT784" s="194">
        <f t="shared" si="1128"/>
        <v>28193.510000000002</v>
      </c>
      <c r="CU784" s="194">
        <f t="shared" si="1141"/>
        <v>30062.321900000003</v>
      </c>
      <c r="CV784" s="194">
        <f t="shared" si="1141"/>
        <v>31091.185821999999</v>
      </c>
      <c r="CW784" s="374"/>
      <c r="CX784" s="374"/>
      <c r="CY784" s="374"/>
      <c r="CZ784" s="374"/>
      <c r="DA784" s="374"/>
      <c r="DB784" s="217"/>
    </row>
    <row r="785" spans="1:256" x14ac:dyDescent="0.2">
      <c r="A785" s="2632" t="s">
        <v>609</v>
      </c>
      <c r="B785" s="651"/>
      <c r="C785" s="236"/>
      <c r="D785" s="207"/>
      <c r="E785" s="207"/>
      <c r="F785" s="207"/>
      <c r="G785" s="234"/>
      <c r="H785" s="661"/>
      <c r="I785" s="847">
        <f t="shared" ref="I785:AN785" si="1142">I499+I642</f>
        <v>0</v>
      </c>
      <c r="J785" s="847">
        <f t="shared" si="1142"/>
        <v>0</v>
      </c>
      <c r="K785" s="847">
        <f t="shared" si="1142"/>
        <v>0</v>
      </c>
      <c r="L785" s="847">
        <f t="shared" si="1142"/>
        <v>0</v>
      </c>
      <c r="M785" s="661">
        <f t="shared" si="1142"/>
        <v>0</v>
      </c>
      <c r="N785" s="847">
        <f t="shared" si="1142"/>
        <v>0</v>
      </c>
      <c r="O785" s="847">
        <f t="shared" si="1142"/>
        <v>0</v>
      </c>
      <c r="P785" s="847">
        <f t="shared" si="1142"/>
        <v>0</v>
      </c>
      <c r="Q785" s="847">
        <f t="shared" si="1142"/>
        <v>0</v>
      </c>
      <c r="R785" s="661">
        <f t="shared" si="1142"/>
        <v>0</v>
      </c>
      <c r="S785" s="847">
        <f t="shared" si="1142"/>
        <v>0</v>
      </c>
      <c r="T785" s="847">
        <f t="shared" si="1142"/>
        <v>0</v>
      </c>
      <c r="U785" s="847">
        <f t="shared" si="1142"/>
        <v>0</v>
      </c>
      <c r="V785" s="847">
        <f t="shared" si="1142"/>
        <v>0</v>
      </c>
      <c r="W785" s="661">
        <f t="shared" si="1142"/>
        <v>0</v>
      </c>
      <c r="X785" s="847">
        <f t="shared" si="1142"/>
        <v>0</v>
      </c>
      <c r="Y785" s="847">
        <f t="shared" si="1142"/>
        <v>0</v>
      </c>
      <c r="Z785" s="847">
        <f t="shared" si="1142"/>
        <v>0</v>
      </c>
      <c r="AA785" s="847">
        <f t="shared" si="1142"/>
        <v>0</v>
      </c>
      <c r="AB785" s="661">
        <f t="shared" si="1142"/>
        <v>0</v>
      </c>
      <c r="AC785" s="847">
        <f t="shared" si="1142"/>
        <v>0</v>
      </c>
      <c r="AD785" s="847">
        <f t="shared" si="1142"/>
        <v>0</v>
      </c>
      <c r="AE785" s="847">
        <f t="shared" si="1142"/>
        <v>0</v>
      </c>
      <c r="AF785" s="847">
        <f t="shared" si="1142"/>
        <v>0</v>
      </c>
      <c r="AG785" s="661">
        <f t="shared" si="1142"/>
        <v>0</v>
      </c>
      <c r="AH785" s="847">
        <f t="shared" si="1142"/>
        <v>0</v>
      </c>
      <c r="AI785" s="847">
        <f t="shared" si="1142"/>
        <v>0</v>
      </c>
      <c r="AJ785" s="847">
        <f t="shared" si="1142"/>
        <v>0</v>
      </c>
      <c r="AK785" s="847">
        <f t="shared" si="1142"/>
        <v>0</v>
      </c>
      <c r="AL785" s="661">
        <f t="shared" si="1142"/>
        <v>0</v>
      </c>
      <c r="AM785" s="847">
        <f t="shared" si="1142"/>
        <v>0</v>
      </c>
      <c r="AN785" s="847">
        <f t="shared" si="1142"/>
        <v>0</v>
      </c>
      <c r="AO785" s="847">
        <f t="shared" ref="AO785:BT785" si="1143">AO499+AO642</f>
        <v>0</v>
      </c>
      <c r="AP785" s="847">
        <f t="shared" si="1143"/>
        <v>0</v>
      </c>
      <c r="AQ785" s="661">
        <f t="shared" si="1143"/>
        <v>0</v>
      </c>
      <c r="AR785" s="847">
        <f t="shared" si="1143"/>
        <v>0</v>
      </c>
      <c r="AS785" s="847">
        <f t="shared" si="1143"/>
        <v>0</v>
      </c>
      <c r="AT785" s="847">
        <f t="shared" si="1143"/>
        <v>0</v>
      </c>
      <c r="AU785" s="847">
        <f t="shared" si="1143"/>
        <v>0</v>
      </c>
      <c r="AV785" s="661">
        <f t="shared" si="1143"/>
        <v>0</v>
      </c>
      <c r="AW785" s="847">
        <f t="shared" si="1143"/>
        <v>0</v>
      </c>
      <c r="AX785" s="847">
        <f t="shared" si="1143"/>
        <v>0</v>
      </c>
      <c r="AY785" s="847">
        <f t="shared" si="1143"/>
        <v>0</v>
      </c>
      <c r="AZ785" s="847">
        <f t="shared" si="1143"/>
        <v>0</v>
      </c>
      <c r="BA785" s="661">
        <f t="shared" si="1143"/>
        <v>0</v>
      </c>
      <c r="BB785" s="847">
        <f t="shared" si="1143"/>
        <v>0</v>
      </c>
      <c r="BC785" s="847">
        <f t="shared" si="1143"/>
        <v>0</v>
      </c>
      <c r="BD785" s="847">
        <f t="shared" si="1143"/>
        <v>0</v>
      </c>
      <c r="BE785" s="847">
        <f t="shared" si="1143"/>
        <v>0</v>
      </c>
      <c r="BF785" s="661">
        <f t="shared" si="1143"/>
        <v>0</v>
      </c>
      <c r="BG785" s="847">
        <f t="shared" si="1143"/>
        <v>0</v>
      </c>
      <c r="BH785" s="847">
        <f t="shared" si="1143"/>
        <v>0</v>
      </c>
      <c r="BI785" s="847">
        <f t="shared" si="1143"/>
        <v>0</v>
      </c>
      <c r="BJ785" s="847">
        <f t="shared" si="1143"/>
        <v>0</v>
      </c>
      <c r="BK785" s="661">
        <f t="shared" si="1143"/>
        <v>0</v>
      </c>
      <c r="BL785" s="847">
        <f t="shared" si="1143"/>
        <v>0</v>
      </c>
      <c r="BM785" s="847">
        <f t="shared" si="1143"/>
        <v>0</v>
      </c>
      <c r="BN785" s="847">
        <f t="shared" si="1143"/>
        <v>0</v>
      </c>
      <c r="BO785" s="847">
        <f t="shared" si="1143"/>
        <v>0</v>
      </c>
      <c r="BP785" s="194">
        <f t="shared" si="1143"/>
        <v>0</v>
      </c>
      <c r="BQ785" s="847">
        <f t="shared" si="1143"/>
        <v>0</v>
      </c>
      <c r="BR785" s="847">
        <f t="shared" si="1143"/>
        <v>0</v>
      </c>
      <c r="BS785" s="847">
        <f t="shared" si="1143"/>
        <v>0</v>
      </c>
      <c r="BT785" s="847">
        <f t="shared" si="1143"/>
        <v>0</v>
      </c>
      <c r="BU785" s="194">
        <f t="shared" ref="BU785:CG785" si="1144">BU499+BU642</f>
        <v>0</v>
      </c>
      <c r="BV785" s="847">
        <f t="shared" si="1144"/>
        <v>0</v>
      </c>
      <c r="BW785" s="847">
        <f t="shared" si="1144"/>
        <v>0</v>
      </c>
      <c r="BX785" s="847">
        <f t="shared" si="1144"/>
        <v>162</v>
      </c>
      <c r="BY785" s="847">
        <f t="shared" si="1144"/>
        <v>162</v>
      </c>
      <c r="BZ785" s="194">
        <f t="shared" si="1144"/>
        <v>162</v>
      </c>
      <c r="CA785" s="847">
        <f t="shared" si="1144"/>
        <v>162</v>
      </c>
      <c r="CB785" s="847">
        <f t="shared" si="1144"/>
        <v>162</v>
      </c>
      <c r="CC785" s="847">
        <f t="shared" si="1144"/>
        <v>162</v>
      </c>
      <c r="CD785" s="847">
        <f t="shared" si="1144"/>
        <v>162</v>
      </c>
      <c r="CE785" s="194">
        <f t="shared" si="1144"/>
        <v>162</v>
      </c>
      <c r="CF785" s="847">
        <f t="shared" si="1144"/>
        <v>600</v>
      </c>
      <c r="CG785" s="847">
        <f t="shared" si="1144"/>
        <v>708</v>
      </c>
      <c r="CH785" s="847">
        <f t="shared" ref="CH785:CV785" si="1145">CH499+CH642</f>
        <v>1094</v>
      </c>
      <c r="CI785" s="847">
        <f t="shared" si="1145"/>
        <v>1294</v>
      </c>
      <c r="CJ785" s="194">
        <f t="shared" si="1145"/>
        <v>1294</v>
      </c>
      <c r="CK785" s="2350">
        <f t="shared" si="1133"/>
        <v>2168</v>
      </c>
      <c r="CL785" s="847">
        <f t="shared" si="1145"/>
        <v>2168</v>
      </c>
      <c r="CM785" s="847">
        <f t="shared" si="1145"/>
        <v>3640</v>
      </c>
      <c r="CN785" s="847">
        <f t="shared" si="1145"/>
        <v>4104</v>
      </c>
      <c r="CO785" s="194">
        <f>CO499+CO642</f>
        <v>4104</v>
      </c>
      <c r="CP785" s="973">
        <f t="shared" si="1128"/>
        <v>2317.92</v>
      </c>
      <c r="CQ785" s="847">
        <f t="shared" si="1128"/>
        <v>2317.92</v>
      </c>
      <c r="CR785" s="847">
        <f t="shared" si="1128"/>
        <v>3886.0600000000004</v>
      </c>
      <c r="CS785" s="1431">
        <f t="shared" si="1128"/>
        <v>4376.5200000000004</v>
      </c>
      <c r="CT785" s="194">
        <f t="shared" si="1128"/>
        <v>4376.5200000000004</v>
      </c>
      <c r="CU785" s="194">
        <f t="shared" si="1145"/>
        <v>4624.0590000000002</v>
      </c>
      <c r="CV785" s="194">
        <f t="shared" si="1145"/>
        <v>4765.9813599999998</v>
      </c>
      <c r="CW785" s="374"/>
      <c r="CX785" s="374"/>
      <c r="CY785" s="374"/>
      <c r="CZ785" s="374"/>
      <c r="DA785" s="374"/>
      <c r="DB785" s="217"/>
    </row>
    <row r="786" spans="1:256" x14ac:dyDescent="0.2">
      <c r="A786" s="1264" t="s">
        <v>510</v>
      </c>
      <c r="B786" s="651"/>
      <c r="C786" s="236"/>
      <c r="D786" s="207"/>
      <c r="E786" s="207"/>
      <c r="F786" s="207"/>
      <c r="G786" s="234"/>
      <c r="H786" s="661"/>
      <c r="I786" s="847">
        <f t="shared" ref="I786:AN786" si="1146">I500+I643</f>
        <v>0</v>
      </c>
      <c r="J786" s="847">
        <f t="shared" si="1146"/>
        <v>0</v>
      </c>
      <c r="K786" s="847">
        <f t="shared" si="1146"/>
        <v>0</v>
      </c>
      <c r="L786" s="847">
        <f t="shared" si="1146"/>
        <v>0</v>
      </c>
      <c r="M786" s="661">
        <f t="shared" si="1146"/>
        <v>0</v>
      </c>
      <c r="N786" s="847">
        <f t="shared" si="1146"/>
        <v>0</v>
      </c>
      <c r="O786" s="847">
        <f t="shared" si="1146"/>
        <v>0</v>
      </c>
      <c r="P786" s="847">
        <f t="shared" si="1146"/>
        <v>0</v>
      </c>
      <c r="Q786" s="847">
        <f t="shared" si="1146"/>
        <v>0</v>
      </c>
      <c r="R786" s="661">
        <f t="shared" si="1146"/>
        <v>0</v>
      </c>
      <c r="S786" s="847">
        <f t="shared" si="1146"/>
        <v>0</v>
      </c>
      <c r="T786" s="847">
        <f t="shared" si="1146"/>
        <v>0</v>
      </c>
      <c r="U786" s="847">
        <f t="shared" si="1146"/>
        <v>0</v>
      </c>
      <c r="V786" s="847">
        <f t="shared" si="1146"/>
        <v>0</v>
      </c>
      <c r="W786" s="661">
        <f t="shared" si="1146"/>
        <v>0</v>
      </c>
      <c r="X786" s="847">
        <f t="shared" si="1146"/>
        <v>0</v>
      </c>
      <c r="Y786" s="847">
        <f t="shared" si="1146"/>
        <v>0</v>
      </c>
      <c r="Z786" s="847">
        <f t="shared" si="1146"/>
        <v>0</v>
      </c>
      <c r="AA786" s="847">
        <f t="shared" si="1146"/>
        <v>0</v>
      </c>
      <c r="AB786" s="661">
        <f t="shared" si="1146"/>
        <v>0</v>
      </c>
      <c r="AC786" s="847">
        <f t="shared" si="1146"/>
        <v>0</v>
      </c>
      <c r="AD786" s="847">
        <f t="shared" si="1146"/>
        <v>0</v>
      </c>
      <c r="AE786" s="847">
        <f t="shared" si="1146"/>
        <v>0</v>
      </c>
      <c r="AF786" s="847">
        <f t="shared" si="1146"/>
        <v>0</v>
      </c>
      <c r="AG786" s="661">
        <f t="shared" si="1146"/>
        <v>0</v>
      </c>
      <c r="AH786" s="847">
        <f t="shared" si="1146"/>
        <v>0</v>
      </c>
      <c r="AI786" s="847">
        <f t="shared" si="1146"/>
        <v>0</v>
      </c>
      <c r="AJ786" s="847">
        <f t="shared" si="1146"/>
        <v>0</v>
      </c>
      <c r="AK786" s="847">
        <f t="shared" si="1146"/>
        <v>0</v>
      </c>
      <c r="AL786" s="661">
        <f t="shared" si="1146"/>
        <v>0</v>
      </c>
      <c r="AM786" s="847">
        <f t="shared" si="1146"/>
        <v>0</v>
      </c>
      <c r="AN786" s="847">
        <f t="shared" si="1146"/>
        <v>0</v>
      </c>
      <c r="AO786" s="847">
        <f t="shared" ref="AO786:BT786" si="1147">AO500+AO643</f>
        <v>0</v>
      </c>
      <c r="AP786" s="847">
        <f t="shared" si="1147"/>
        <v>0</v>
      </c>
      <c r="AQ786" s="661">
        <f t="shared" si="1147"/>
        <v>0</v>
      </c>
      <c r="AR786" s="847">
        <f t="shared" si="1147"/>
        <v>0</v>
      </c>
      <c r="AS786" s="847">
        <f t="shared" si="1147"/>
        <v>0</v>
      </c>
      <c r="AT786" s="847">
        <f t="shared" si="1147"/>
        <v>0</v>
      </c>
      <c r="AU786" s="847">
        <f t="shared" si="1147"/>
        <v>0</v>
      </c>
      <c r="AV786" s="661">
        <f t="shared" si="1147"/>
        <v>0</v>
      </c>
      <c r="AW786" s="847">
        <f t="shared" si="1147"/>
        <v>0</v>
      </c>
      <c r="AX786" s="847">
        <f t="shared" si="1147"/>
        <v>0</v>
      </c>
      <c r="AY786" s="847">
        <f t="shared" si="1147"/>
        <v>0</v>
      </c>
      <c r="AZ786" s="847">
        <f t="shared" si="1147"/>
        <v>0</v>
      </c>
      <c r="BA786" s="661">
        <f t="shared" si="1147"/>
        <v>0</v>
      </c>
      <c r="BB786" s="847">
        <f t="shared" si="1147"/>
        <v>0</v>
      </c>
      <c r="BC786" s="847">
        <f t="shared" si="1147"/>
        <v>0</v>
      </c>
      <c r="BD786" s="847">
        <f t="shared" si="1147"/>
        <v>0</v>
      </c>
      <c r="BE786" s="847">
        <f t="shared" si="1147"/>
        <v>0</v>
      </c>
      <c r="BF786" s="661">
        <f t="shared" si="1147"/>
        <v>0</v>
      </c>
      <c r="BG786" s="847">
        <f t="shared" si="1147"/>
        <v>0</v>
      </c>
      <c r="BH786" s="847">
        <f t="shared" si="1147"/>
        <v>0</v>
      </c>
      <c r="BI786" s="847">
        <f t="shared" si="1147"/>
        <v>0</v>
      </c>
      <c r="BJ786" s="847">
        <f t="shared" si="1147"/>
        <v>0</v>
      </c>
      <c r="BK786" s="661">
        <f t="shared" si="1147"/>
        <v>0</v>
      </c>
      <c r="BL786" s="847">
        <f t="shared" si="1147"/>
        <v>0</v>
      </c>
      <c r="BM786" s="847">
        <f t="shared" si="1147"/>
        <v>0</v>
      </c>
      <c r="BN786" s="847">
        <f t="shared" si="1147"/>
        <v>0</v>
      </c>
      <c r="BO786" s="847">
        <f t="shared" si="1147"/>
        <v>0</v>
      </c>
      <c r="BP786" s="968">
        <f t="shared" si="1147"/>
        <v>0</v>
      </c>
      <c r="BQ786" s="847">
        <f t="shared" si="1147"/>
        <v>0</v>
      </c>
      <c r="BR786" s="847">
        <f t="shared" si="1147"/>
        <v>0</v>
      </c>
      <c r="BS786" s="847">
        <f t="shared" si="1147"/>
        <v>0</v>
      </c>
      <c r="BT786" s="847">
        <f t="shared" si="1147"/>
        <v>0</v>
      </c>
      <c r="BU786" s="968">
        <f t="shared" ref="BU786:CG786" si="1148">BU500+BU643</f>
        <v>0</v>
      </c>
      <c r="BV786" s="847">
        <f t="shared" si="1148"/>
        <v>0</v>
      </c>
      <c r="BW786" s="847">
        <f t="shared" si="1148"/>
        <v>0</v>
      </c>
      <c r="BX786" s="847">
        <f t="shared" si="1148"/>
        <v>0</v>
      </c>
      <c r="BY786" s="847">
        <f t="shared" si="1148"/>
        <v>0</v>
      </c>
      <c r="BZ786" s="968">
        <f t="shared" si="1148"/>
        <v>0</v>
      </c>
      <c r="CA786" s="847">
        <f t="shared" si="1148"/>
        <v>0</v>
      </c>
      <c r="CB786" s="847">
        <f t="shared" si="1148"/>
        <v>0</v>
      </c>
      <c r="CC786" s="847">
        <f t="shared" si="1148"/>
        <v>429</v>
      </c>
      <c r="CD786" s="847">
        <f t="shared" si="1148"/>
        <v>429</v>
      </c>
      <c r="CE786" s="968">
        <f t="shared" si="1148"/>
        <v>429</v>
      </c>
      <c r="CF786" s="847">
        <f t="shared" si="1148"/>
        <v>429</v>
      </c>
      <c r="CG786" s="847">
        <f t="shared" si="1148"/>
        <v>429</v>
      </c>
      <c r="CH786" s="847">
        <f t="shared" ref="CH786:CV786" si="1149">CH500+CH643</f>
        <v>429</v>
      </c>
      <c r="CI786" s="847">
        <f t="shared" si="1149"/>
        <v>429</v>
      </c>
      <c r="CJ786" s="968">
        <f t="shared" si="1149"/>
        <v>429</v>
      </c>
      <c r="CK786" s="2350">
        <f t="shared" si="1133"/>
        <v>429</v>
      </c>
      <c r="CL786" s="847">
        <f t="shared" ca="1" si="1149"/>
        <v>429</v>
      </c>
      <c r="CM786" s="847">
        <f t="shared" ca="1" si="1149"/>
        <v>429</v>
      </c>
      <c r="CN786" s="847">
        <f t="shared" ca="1" si="1149"/>
        <v>429</v>
      </c>
      <c r="CO786" s="968">
        <f t="shared" ca="1" si="1149"/>
        <v>429</v>
      </c>
      <c r="CP786" s="973">
        <f t="shared" si="1128"/>
        <v>429</v>
      </c>
      <c r="CQ786" s="847">
        <f t="shared" ca="1" si="1128"/>
        <v>429</v>
      </c>
      <c r="CR786" s="847">
        <f t="shared" ca="1" si="1128"/>
        <v>429</v>
      </c>
      <c r="CS786" s="1431">
        <f t="shared" ca="1" si="1128"/>
        <v>429</v>
      </c>
      <c r="CT786" s="968">
        <f t="shared" ca="1" si="1128"/>
        <v>429</v>
      </c>
      <c r="CU786" s="968">
        <f t="shared" ca="1" si="1149"/>
        <v>429</v>
      </c>
      <c r="CV786" s="968">
        <f t="shared" ca="1" si="1149"/>
        <v>429</v>
      </c>
      <c r="CW786" s="374"/>
      <c r="CX786" s="374"/>
      <c r="CY786" s="374"/>
      <c r="CZ786" s="374"/>
      <c r="DA786" s="374"/>
      <c r="DB786" s="217"/>
    </row>
    <row r="787" spans="1:256" x14ac:dyDescent="0.2">
      <c r="A787" s="1264" t="s">
        <v>511</v>
      </c>
      <c r="B787" s="651"/>
      <c r="C787" s="236"/>
      <c r="D787" s="207"/>
      <c r="E787" s="207"/>
      <c r="F787" s="207"/>
      <c r="G787" s="234"/>
      <c r="H787" s="661"/>
      <c r="I787" s="847">
        <f t="shared" ref="I787:AN787" si="1150">I501+I644</f>
        <v>0</v>
      </c>
      <c r="J787" s="847">
        <f t="shared" si="1150"/>
        <v>0</v>
      </c>
      <c r="K787" s="847">
        <f t="shared" si="1150"/>
        <v>0</v>
      </c>
      <c r="L787" s="847">
        <f t="shared" si="1150"/>
        <v>0</v>
      </c>
      <c r="M787" s="661">
        <f t="shared" si="1150"/>
        <v>0</v>
      </c>
      <c r="N787" s="847">
        <f t="shared" si="1150"/>
        <v>0</v>
      </c>
      <c r="O787" s="847">
        <f t="shared" si="1150"/>
        <v>0</v>
      </c>
      <c r="P787" s="847">
        <f t="shared" si="1150"/>
        <v>0</v>
      </c>
      <c r="Q787" s="847">
        <f t="shared" si="1150"/>
        <v>0</v>
      </c>
      <c r="R787" s="661">
        <f t="shared" si="1150"/>
        <v>0</v>
      </c>
      <c r="S787" s="847">
        <f t="shared" si="1150"/>
        <v>0</v>
      </c>
      <c r="T787" s="847">
        <f t="shared" si="1150"/>
        <v>0</v>
      </c>
      <c r="U787" s="847">
        <f t="shared" si="1150"/>
        <v>0</v>
      </c>
      <c r="V787" s="847">
        <f t="shared" si="1150"/>
        <v>0</v>
      </c>
      <c r="W787" s="661">
        <f t="shared" si="1150"/>
        <v>0</v>
      </c>
      <c r="X787" s="847">
        <f t="shared" si="1150"/>
        <v>0</v>
      </c>
      <c r="Y787" s="847">
        <f t="shared" si="1150"/>
        <v>0</v>
      </c>
      <c r="Z787" s="847">
        <f t="shared" si="1150"/>
        <v>0</v>
      </c>
      <c r="AA787" s="847">
        <f t="shared" si="1150"/>
        <v>0</v>
      </c>
      <c r="AB787" s="661">
        <f t="shared" si="1150"/>
        <v>0</v>
      </c>
      <c r="AC787" s="847">
        <f t="shared" si="1150"/>
        <v>0</v>
      </c>
      <c r="AD787" s="847">
        <f t="shared" si="1150"/>
        <v>0</v>
      </c>
      <c r="AE787" s="847">
        <f t="shared" si="1150"/>
        <v>0</v>
      </c>
      <c r="AF787" s="847">
        <f t="shared" si="1150"/>
        <v>0</v>
      </c>
      <c r="AG787" s="661">
        <f t="shared" si="1150"/>
        <v>0</v>
      </c>
      <c r="AH787" s="847">
        <f t="shared" si="1150"/>
        <v>0</v>
      </c>
      <c r="AI787" s="847">
        <f t="shared" si="1150"/>
        <v>0</v>
      </c>
      <c r="AJ787" s="847">
        <f t="shared" si="1150"/>
        <v>0</v>
      </c>
      <c r="AK787" s="847">
        <f t="shared" si="1150"/>
        <v>0</v>
      </c>
      <c r="AL787" s="661">
        <f t="shared" si="1150"/>
        <v>0</v>
      </c>
      <c r="AM787" s="847">
        <f t="shared" si="1150"/>
        <v>0</v>
      </c>
      <c r="AN787" s="847">
        <f t="shared" si="1150"/>
        <v>0</v>
      </c>
      <c r="AO787" s="847">
        <f t="shared" ref="AO787:BT787" si="1151">AO501+AO644</f>
        <v>0</v>
      </c>
      <c r="AP787" s="847">
        <f t="shared" si="1151"/>
        <v>0</v>
      </c>
      <c r="AQ787" s="661">
        <f t="shared" si="1151"/>
        <v>0</v>
      </c>
      <c r="AR787" s="847">
        <f t="shared" si="1151"/>
        <v>0</v>
      </c>
      <c r="AS787" s="847">
        <f t="shared" si="1151"/>
        <v>0</v>
      </c>
      <c r="AT787" s="847">
        <f t="shared" si="1151"/>
        <v>0</v>
      </c>
      <c r="AU787" s="847">
        <f t="shared" si="1151"/>
        <v>0</v>
      </c>
      <c r="AV787" s="661">
        <f t="shared" si="1151"/>
        <v>0</v>
      </c>
      <c r="AW787" s="847">
        <f t="shared" si="1151"/>
        <v>0</v>
      </c>
      <c r="AX787" s="847">
        <f t="shared" si="1151"/>
        <v>0</v>
      </c>
      <c r="AY787" s="847">
        <f t="shared" si="1151"/>
        <v>0</v>
      </c>
      <c r="AZ787" s="847">
        <f t="shared" si="1151"/>
        <v>0</v>
      </c>
      <c r="BA787" s="661">
        <f t="shared" si="1151"/>
        <v>0</v>
      </c>
      <c r="BB787" s="847">
        <f t="shared" si="1151"/>
        <v>0</v>
      </c>
      <c r="BC787" s="847">
        <f t="shared" si="1151"/>
        <v>0</v>
      </c>
      <c r="BD787" s="847">
        <f t="shared" si="1151"/>
        <v>0</v>
      </c>
      <c r="BE787" s="847">
        <f t="shared" si="1151"/>
        <v>0</v>
      </c>
      <c r="BF787" s="661">
        <f t="shared" si="1151"/>
        <v>0</v>
      </c>
      <c r="BG787" s="847">
        <f t="shared" si="1151"/>
        <v>0</v>
      </c>
      <c r="BH787" s="847">
        <f t="shared" si="1151"/>
        <v>0</v>
      </c>
      <c r="BI787" s="847">
        <f t="shared" si="1151"/>
        <v>0</v>
      </c>
      <c r="BJ787" s="847">
        <f t="shared" si="1151"/>
        <v>0</v>
      </c>
      <c r="BK787" s="661">
        <f t="shared" si="1151"/>
        <v>0</v>
      </c>
      <c r="BL787" s="847">
        <f t="shared" si="1151"/>
        <v>0</v>
      </c>
      <c r="BM787" s="847">
        <f t="shared" si="1151"/>
        <v>85</v>
      </c>
      <c r="BN787" s="847">
        <f t="shared" si="1151"/>
        <v>85</v>
      </c>
      <c r="BO787" s="847">
        <f t="shared" si="1151"/>
        <v>85</v>
      </c>
      <c r="BP787" s="194">
        <f t="shared" si="1151"/>
        <v>85</v>
      </c>
      <c r="BQ787" s="847">
        <f t="shared" si="1151"/>
        <v>85</v>
      </c>
      <c r="BR787" s="847">
        <f t="shared" si="1151"/>
        <v>85</v>
      </c>
      <c r="BS787" s="847">
        <f t="shared" si="1151"/>
        <v>85</v>
      </c>
      <c r="BT787" s="847">
        <f t="shared" si="1151"/>
        <v>85</v>
      </c>
      <c r="BU787" s="194">
        <f t="shared" ref="BU787:CG787" si="1152">BU501+BU644</f>
        <v>85</v>
      </c>
      <c r="BV787" s="847">
        <f t="shared" si="1152"/>
        <v>85</v>
      </c>
      <c r="BW787" s="847">
        <f t="shared" si="1152"/>
        <v>85</v>
      </c>
      <c r="BX787" s="847">
        <f t="shared" si="1152"/>
        <v>85</v>
      </c>
      <c r="BY787" s="847">
        <f t="shared" si="1152"/>
        <v>85</v>
      </c>
      <c r="BZ787" s="194">
        <f t="shared" si="1152"/>
        <v>85</v>
      </c>
      <c r="CA787" s="847">
        <f t="shared" si="1152"/>
        <v>85</v>
      </c>
      <c r="CB787" s="847">
        <f t="shared" si="1152"/>
        <v>85</v>
      </c>
      <c r="CC787" s="847">
        <f t="shared" si="1152"/>
        <v>85</v>
      </c>
      <c r="CD787" s="847">
        <f t="shared" si="1152"/>
        <v>85</v>
      </c>
      <c r="CE787" s="194">
        <f t="shared" si="1152"/>
        <v>85</v>
      </c>
      <c r="CF787" s="847">
        <f t="shared" si="1152"/>
        <v>85</v>
      </c>
      <c r="CG787" s="847">
        <f t="shared" si="1152"/>
        <v>85</v>
      </c>
      <c r="CH787" s="847">
        <f t="shared" ref="CH787:CV787" si="1153">CH501+CH644</f>
        <v>85</v>
      </c>
      <c r="CI787" s="847">
        <f t="shared" si="1153"/>
        <v>85</v>
      </c>
      <c r="CJ787" s="194">
        <f t="shared" si="1153"/>
        <v>85</v>
      </c>
      <c r="CK787" s="2350">
        <f t="shared" si="1133"/>
        <v>85</v>
      </c>
      <c r="CL787" s="847">
        <f t="shared" si="1153"/>
        <v>85</v>
      </c>
      <c r="CM787" s="847">
        <f t="shared" si="1153"/>
        <v>85</v>
      </c>
      <c r="CN787" s="847">
        <f t="shared" si="1153"/>
        <v>85</v>
      </c>
      <c r="CO787" s="194">
        <f t="shared" si="1153"/>
        <v>85</v>
      </c>
      <c r="CP787" s="973">
        <f t="shared" si="1128"/>
        <v>91.800000000000011</v>
      </c>
      <c r="CQ787" s="847">
        <f t="shared" si="1128"/>
        <v>91.800000000000011</v>
      </c>
      <c r="CR787" s="847">
        <f t="shared" si="1128"/>
        <v>92.65</v>
      </c>
      <c r="CS787" s="1431">
        <f t="shared" si="1128"/>
        <v>92.65</v>
      </c>
      <c r="CT787" s="194">
        <f t="shared" si="1128"/>
        <v>92.65</v>
      </c>
      <c r="CU787" s="194">
        <f t="shared" si="1153"/>
        <v>99.598749999999995</v>
      </c>
      <c r="CV787" s="194">
        <f t="shared" si="1153"/>
        <v>103.5827</v>
      </c>
      <c r="CW787" s="374"/>
      <c r="CX787" s="374"/>
      <c r="CY787" s="374"/>
      <c r="CZ787" s="374"/>
      <c r="DA787" s="374"/>
      <c r="DB787" s="217"/>
    </row>
    <row r="788" spans="1:256" x14ac:dyDescent="0.2">
      <c r="A788" s="2061" t="s">
        <v>383</v>
      </c>
      <c r="B788" s="846"/>
      <c r="C788" s="661"/>
      <c r="D788" s="2062"/>
      <c r="E788" s="2062"/>
      <c r="F788" s="2062"/>
      <c r="G788" s="847"/>
      <c r="H788" s="661"/>
      <c r="I788" s="847">
        <f t="shared" ref="I788:AN788" si="1154">I502+I645</f>
        <v>0</v>
      </c>
      <c r="J788" s="847">
        <f t="shared" si="1154"/>
        <v>0</v>
      </c>
      <c r="K788" s="847">
        <f t="shared" si="1154"/>
        <v>0</v>
      </c>
      <c r="L788" s="847">
        <f t="shared" si="1154"/>
        <v>0</v>
      </c>
      <c r="M788" s="661">
        <f t="shared" si="1154"/>
        <v>0</v>
      </c>
      <c r="N788" s="847">
        <f t="shared" si="1154"/>
        <v>0</v>
      </c>
      <c r="O788" s="847">
        <f t="shared" si="1154"/>
        <v>0</v>
      </c>
      <c r="P788" s="847">
        <f t="shared" si="1154"/>
        <v>0</v>
      </c>
      <c r="Q788" s="847">
        <f t="shared" si="1154"/>
        <v>0</v>
      </c>
      <c r="R788" s="661">
        <f t="shared" si="1154"/>
        <v>0</v>
      </c>
      <c r="S788" s="847">
        <f t="shared" si="1154"/>
        <v>0</v>
      </c>
      <c r="T788" s="847">
        <f t="shared" si="1154"/>
        <v>0</v>
      </c>
      <c r="U788" s="847">
        <f t="shared" si="1154"/>
        <v>0</v>
      </c>
      <c r="V788" s="847">
        <f t="shared" si="1154"/>
        <v>0</v>
      </c>
      <c r="W788" s="661">
        <f t="shared" si="1154"/>
        <v>0</v>
      </c>
      <c r="X788" s="847">
        <f t="shared" si="1154"/>
        <v>0</v>
      </c>
      <c r="Y788" s="847">
        <f t="shared" si="1154"/>
        <v>0</v>
      </c>
      <c r="Z788" s="847">
        <f t="shared" si="1154"/>
        <v>0</v>
      </c>
      <c r="AA788" s="847">
        <f t="shared" si="1154"/>
        <v>0</v>
      </c>
      <c r="AB788" s="661">
        <f t="shared" si="1154"/>
        <v>0</v>
      </c>
      <c r="AC788" s="847">
        <f t="shared" si="1154"/>
        <v>0</v>
      </c>
      <c r="AD788" s="847">
        <f t="shared" si="1154"/>
        <v>0</v>
      </c>
      <c r="AE788" s="847">
        <f t="shared" si="1154"/>
        <v>0</v>
      </c>
      <c r="AF788" s="847">
        <f t="shared" si="1154"/>
        <v>0</v>
      </c>
      <c r="AG788" s="661">
        <f t="shared" si="1154"/>
        <v>0</v>
      </c>
      <c r="AH788" s="847">
        <f t="shared" si="1154"/>
        <v>0</v>
      </c>
      <c r="AI788" s="847">
        <f t="shared" si="1154"/>
        <v>0</v>
      </c>
      <c r="AJ788" s="847">
        <f t="shared" si="1154"/>
        <v>0</v>
      </c>
      <c r="AK788" s="847">
        <f t="shared" si="1154"/>
        <v>0</v>
      </c>
      <c r="AL788" s="661">
        <f t="shared" si="1154"/>
        <v>0</v>
      </c>
      <c r="AM788" s="847">
        <f t="shared" si="1154"/>
        <v>0</v>
      </c>
      <c r="AN788" s="847">
        <f t="shared" si="1154"/>
        <v>0</v>
      </c>
      <c r="AO788" s="847">
        <f t="shared" ref="AO788:BT788" si="1155">AO502+AO645</f>
        <v>0</v>
      </c>
      <c r="AP788" s="847">
        <f t="shared" si="1155"/>
        <v>0</v>
      </c>
      <c r="AQ788" s="661">
        <f t="shared" si="1155"/>
        <v>0</v>
      </c>
      <c r="AR788" s="847">
        <f t="shared" si="1155"/>
        <v>0</v>
      </c>
      <c r="AS788" s="847">
        <f t="shared" si="1155"/>
        <v>0</v>
      </c>
      <c r="AT788" s="847">
        <f t="shared" si="1155"/>
        <v>0</v>
      </c>
      <c r="AU788" s="847">
        <f t="shared" si="1155"/>
        <v>0</v>
      </c>
      <c r="AV788" s="661">
        <f t="shared" si="1155"/>
        <v>0</v>
      </c>
      <c r="AW788" s="847">
        <f t="shared" si="1155"/>
        <v>0</v>
      </c>
      <c r="AX788" s="847">
        <f t="shared" si="1155"/>
        <v>0</v>
      </c>
      <c r="AY788" s="847">
        <f t="shared" si="1155"/>
        <v>0</v>
      </c>
      <c r="AZ788" s="847">
        <f t="shared" si="1155"/>
        <v>0</v>
      </c>
      <c r="BA788" s="661">
        <f t="shared" si="1155"/>
        <v>0</v>
      </c>
      <c r="BB788" s="847">
        <f t="shared" si="1155"/>
        <v>0</v>
      </c>
      <c r="BC788" s="847">
        <f t="shared" si="1155"/>
        <v>0</v>
      </c>
      <c r="BD788" s="847">
        <f t="shared" si="1155"/>
        <v>0</v>
      </c>
      <c r="BE788" s="847">
        <f t="shared" si="1155"/>
        <v>0</v>
      </c>
      <c r="BF788" s="661">
        <f t="shared" si="1155"/>
        <v>0</v>
      </c>
      <c r="BG788" s="847">
        <f t="shared" si="1155"/>
        <v>0</v>
      </c>
      <c r="BH788" s="847">
        <f t="shared" si="1155"/>
        <v>0</v>
      </c>
      <c r="BI788" s="847">
        <f t="shared" si="1155"/>
        <v>0</v>
      </c>
      <c r="BJ788" s="847">
        <f t="shared" si="1155"/>
        <v>0</v>
      </c>
      <c r="BK788" s="661">
        <f t="shared" si="1155"/>
        <v>0</v>
      </c>
      <c r="BL788" s="847">
        <f t="shared" si="1155"/>
        <v>0</v>
      </c>
      <c r="BM788" s="847">
        <f t="shared" si="1155"/>
        <v>0</v>
      </c>
      <c r="BN788" s="847">
        <f t="shared" si="1155"/>
        <v>0</v>
      </c>
      <c r="BO788" s="847">
        <f t="shared" si="1155"/>
        <v>0</v>
      </c>
      <c r="BP788" s="968">
        <f t="shared" si="1155"/>
        <v>0</v>
      </c>
      <c r="BQ788" s="847">
        <f t="shared" si="1155"/>
        <v>0</v>
      </c>
      <c r="BR788" s="847">
        <f t="shared" si="1155"/>
        <v>0</v>
      </c>
      <c r="BS788" s="847">
        <f t="shared" si="1155"/>
        <v>0</v>
      </c>
      <c r="BT788" s="847">
        <f t="shared" si="1155"/>
        <v>0</v>
      </c>
      <c r="BU788" s="968">
        <f t="shared" ref="BU788:CG788" si="1156">BU502+BU645</f>
        <v>0</v>
      </c>
      <c r="BV788" s="847">
        <f t="shared" si="1156"/>
        <v>0</v>
      </c>
      <c r="BW788" s="847">
        <f t="shared" si="1156"/>
        <v>0</v>
      </c>
      <c r="BX788" s="847">
        <f t="shared" si="1156"/>
        <v>78</v>
      </c>
      <c r="BY788" s="847">
        <f t="shared" si="1156"/>
        <v>78</v>
      </c>
      <c r="BZ788" s="968">
        <f t="shared" si="1156"/>
        <v>78</v>
      </c>
      <c r="CA788" s="847">
        <f t="shared" si="1156"/>
        <v>78</v>
      </c>
      <c r="CB788" s="847">
        <f t="shared" si="1156"/>
        <v>78</v>
      </c>
      <c r="CC788" s="847">
        <f t="shared" si="1156"/>
        <v>78</v>
      </c>
      <c r="CD788" s="847">
        <f t="shared" si="1156"/>
        <v>78</v>
      </c>
      <c r="CE788" s="968">
        <f t="shared" si="1156"/>
        <v>78</v>
      </c>
      <c r="CF788" s="847">
        <f t="shared" si="1156"/>
        <v>78</v>
      </c>
      <c r="CG788" s="847">
        <f t="shared" si="1156"/>
        <v>78</v>
      </c>
      <c r="CH788" s="847">
        <f t="shared" ref="CH788:CV788" si="1157">CH502+CH645</f>
        <v>0</v>
      </c>
      <c r="CI788" s="847">
        <f t="shared" si="1157"/>
        <v>0</v>
      </c>
      <c r="CJ788" s="968">
        <f t="shared" si="1157"/>
        <v>0</v>
      </c>
      <c r="CK788" s="2350">
        <f t="shared" si="1133"/>
        <v>0</v>
      </c>
      <c r="CL788" s="847">
        <f t="shared" ca="1" si="1157"/>
        <v>0</v>
      </c>
      <c r="CM788" s="847">
        <f t="shared" ca="1" si="1157"/>
        <v>0</v>
      </c>
      <c r="CN788" s="847">
        <f t="shared" ca="1" si="1157"/>
        <v>0</v>
      </c>
      <c r="CO788" s="968">
        <f t="shared" ca="1" si="1157"/>
        <v>0</v>
      </c>
      <c r="CP788" s="973">
        <f t="shared" si="1128"/>
        <v>0</v>
      </c>
      <c r="CQ788" s="847">
        <f t="shared" ca="1" si="1128"/>
        <v>0</v>
      </c>
      <c r="CR788" s="847">
        <f t="shared" ca="1" si="1128"/>
        <v>0</v>
      </c>
      <c r="CS788" s="1431">
        <f t="shared" ca="1" si="1128"/>
        <v>0</v>
      </c>
      <c r="CT788" s="968">
        <f t="shared" ca="1" si="1128"/>
        <v>0</v>
      </c>
      <c r="CU788" s="968">
        <f t="shared" ca="1" si="1157"/>
        <v>0</v>
      </c>
      <c r="CV788" s="968">
        <f t="shared" ca="1" si="1157"/>
        <v>0</v>
      </c>
      <c r="CW788" s="2703"/>
      <c r="CX788" s="2703"/>
      <c r="CY788" s="2703"/>
      <c r="CZ788" s="2703"/>
      <c r="DA788" s="2703"/>
      <c r="DB788" s="217"/>
      <c r="DF788" s="186"/>
      <c r="DG788" s="186"/>
      <c r="DH788" s="186"/>
      <c r="DI788" s="186"/>
      <c r="DJ788" s="186"/>
      <c r="DK788" s="186"/>
      <c r="DL788" s="186"/>
      <c r="DM788" s="186"/>
      <c r="DN788" s="186"/>
      <c r="DO788" s="186"/>
      <c r="DP788" s="186"/>
      <c r="DQ788" s="186"/>
      <c r="DR788" s="186"/>
      <c r="DS788" s="186"/>
      <c r="DT788" s="186"/>
      <c r="DU788" s="186"/>
      <c r="DV788" s="186"/>
      <c r="DW788" s="186"/>
      <c r="DX788" s="186"/>
      <c r="DY788" s="186"/>
      <c r="DZ788" s="186"/>
      <c r="EA788" s="186"/>
      <c r="EB788" s="186"/>
      <c r="EC788" s="186"/>
      <c r="ED788" s="186"/>
      <c r="EE788" s="186"/>
      <c r="EF788" s="186"/>
      <c r="EG788" s="186"/>
      <c r="EH788" s="186"/>
      <c r="EI788" s="186"/>
      <c r="EJ788" s="186"/>
      <c r="EK788" s="186"/>
      <c r="EL788" s="186"/>
      <c r="EM788" s="186"/>
      <c r="EN788" s="186"/>
      <c r="EO788" s="186"/>
      <c r="EP788" s="186"/>
      <c r="EQ788" s="186"/>
      <c r="ER788" s="186"/>
      <c r="ES788" s="186"/>
      <c r="ET788" s="186"/>
      <c r="EU788" s="186"/>
      <c r="EV788" s="186"/>
      <c r="EW788" s="186"/>
      <c r="EX788" s="186"/>
      <c r="EY788" s="186"/>
      <c r="EZ788" s="186"/>
      <c r="FA788" s="186"/>
      <c r="FB788" s="186"/>
      <c r="FC788" s="186"/>
      <c r="FD788" s="186"/>
      <c r="FE788" s="186"/>
      <c r="FF788" s="186"/>
      <c r="FG788" s="186"/>
      <c r="FH788" s="186"/>
      <c r="FI788" s="186"/>
      <c r="FJ788" s="186"/>
      <c r="FK788" s="186"/>
      <c r="FL788" s="186"/>
      <c r="FM788" s="186"/>
      <c r="FN788" s="186"/>
      <c r="FO788" s="186"/>
      <c r="FP788" s="186"/>
      <c r="FQ788" s="186"/>
      <c r="FR788" s="186"/>
      <c r="FS788" s="186"/>
      <c r="FT788" s="186"/>
      <c r="FU788" s="186"/>
      <c r="FV788" s="186"/>
      <c r="FW788" s="186"/>
      <c r="FX788" s="186"/>
      <c r="FY788" s="186"/>
      <c r="FZ788" s="186"/>
      <c r="GA788" s="186"/>
      <c r="GB788" s="186"/>
      <c r="GC788" s="186"/>
      <c r="GD788" s="186"/>
      <c r="GE788" s="186"/>
      <c r="GF788" s="186"/>
      <c r="GG788" s="186"/>
      <c r="GH788" s="186"/>
      <c r="GI788" s="186"/>
      <c r="GJ788" s="186"/>
      <c r="GK788" s="186"/>
      <c r="GL788" s="186"/>
      <c r="GM788" s="186"/>
      <c r="GN788" s="186"/>
      <c r="GO788" s="186"/>
      <c r="GP788" s="186"/>
      <c r="GQ788" s="186"/>
      <c r="GR788" s="186"/>
      <c r="GS788" s="186"/>
      <c r="GT788" s="186"/>
      <c r="GU788" s="186"/>
      <c r="GV788" s="186"/>
      <c r="GW788" s="186"/>
      <c r="GX788" s="186"/>
      <c r="GY788" s="186"/>
      <c r="GZ788" s="186"/>
      <c r="HA788" s="186"/>
      <c r="HB788" s="186"/>
      <c r="HC788" s="186"/>
      <c r="HD788" s="186"/>
      <c r="HE788" s="186"/>
      <c r="HF788" s="186"/>
      <c r="HG788" s="186"/>
      <c r="HH788" s="186"/>
      <c r="HI788" s="186"/>
      <c r="HJ788" s="186"/>
      <c r="HK788" s="186"/>
      <c r="HL788" s="186"/>
      <c r="HM788" s="186"/>
      <c r="HN788" s="186"/>
      <c r="HO788" s="186"/>
      <c r="HP788" s="186"/>
      <c r="HQ788" s="186"/>
      <c r="HR788" s="186"/>
      <c r="HS788" s="186"/>
      <c r="HT788" s="186"/>
      <c r="HU788" s="186"/>
      <c r="HV788" s="186"/>
      <c r="HW788" s="186"/>
      <c r="HX788" s="186"/>
      <c r="HY788" s="186"/>
      <c r="HZ788" s="186"/>
      <c r="IA788" s="186"/>
      <c r="IB788" s="186"/>
      <c r="IC788" s="186"/>
      <c r="ID788" s="186"/>
      <c r="IE788" s="186"/>
      <c r="IF788" s="186"/>
      <c r="IG788" s="186"/>
      <c r="IH788" s="186"/>
      <c r="II788" s="186"/>
      <c r="IJ788" s="186"/>
      <c r="IK788" s="186"/>
      <c r="IL788" s="186"/>
      <c r="IM788" s="186"/>
      <c r="IN788" s="186"/>
      <c r="IO788" s="186"/>
      <c r="IP788" s="186"/>
      <c r="IQ788" s="186"/>
      <c r="IR788" s="186"/>
      <c r="IS788" s="186"/>
      <c r="IT788" s="186"/>
      <c r="IU788" s="186"/>
      <c r="IV788" s="186"/>
    </row>
    <row r="789" spans="1:256" x14ac:dyDescent="0.2">
      <c r="A789" s="2061" t="s">
        <v>656</v>
      </c>
      <c r="B789" s="846"/>
      <c r="C789" s="661"/>
      <c r="D789" s="2062"/>
      <c r="E789" s="2062"/>
      <c r="F789" s="2062"/>
      <c r="G789" s="847"/>
      <c r="H789" s="661"/>
      <c r="I789" s="847">
        <f t="shared" ref="I789:AN789" si="1158">I503+I646</f>
        <v>0</v>
      </c>
      <c r="J789" s="847">
        <f t="shared" si="1158"/>
        <v>0</v>
      </c>
      <c r="K789" s="847">
        <f t="shared" si="1158"/>
        <v>0</v>
      </c>
      <c r="L789" s="847">
        <f t="shared" si="1158"/>
        <v>0</v>
      </c>
      <c r="M789" s="661">
        <f t="shared" si="1158"/>
        <v>0</v>
      </c>
      <c r="N789" s="847">
        <f t="shared" si="1158"/>
        <v>0</v>
      </c>
      <c r="O789" s="847">
        <f t="shared" si="1158"/>
        <v>0</v>
      </c>
      <c r="P789" s="847">
        <f t="shared" si="1158"/>
        <v>0</v>
      </c>
      <c r="Q789" s="847">
        <f t="shared" si="1158"/>
        <v>0</v>
      </c>
      <c r="R789" s="661">
        <f t="shared" si="1158"/>
        <v>0</v>
      </c>
      <c r="S789" s="847">
        <f t="shared" si="1158"/>
        <v>0</v>
      </c>
      <c r="T789" s="847">
        <f t="shared" si="1158"/>
        <v>0</v>
      </c>
      <c r="U789" s="847">
        <f t="shared" si="1158"/>
        <v>0</v>
      </c>
      <c r="V789" s="847">
        <f t="shared" si="1158"/>
        <v>0</v>
      </c>
      <c r="W789" s="661">
        <f t="shared" si="1158"/>
        <v>0</v>
      </c>
      <c r="X789" s="847">
        <f t="shared" si="1158"/>
        <v>0</v>
      </c>
      <c r="Y789" s="847">
        <f t="shared" si="1158"/>
        <v>0</v>
      </c>
      <c r="Z789" s="847">
        <f t="shared" si="1158"/>
        <v>0</v>
      </c>
      <c r="AA789" s="847">
        <f t="shared" si="1158"/>
        <v>0</v>
      </c>
      <c r="AB789" s="661">
        <f t="shared" si="1158"/>
        <v>0</v>
      </c>
      <c r="AC789" s="847">
        <f t="shared" si="1158"/>
        <v>0</v>
      </c>
      <c r="AD789" s="847">
        <f t="shared" si="1158"/>
        <v>0</v>
      </c>
      <c r="AE789" s="847">
        <f t="shared" si="1158"/>
        <v>0</v>
      </c>
      <c r="AF789" s="847">
        <f t="shared" si="1158"/>
        <v>0</v>
      </c>
      <c r="AG789" s="661">
        <f t="shared" si="1158"/>
        <v>0</v>
      </c>
      <c r="AH789" s="847">
        <f t="shared" si="1158"/>
        <v>0</v>
      </c>
      <c r="AI789" s="847">
        <f t="shared" si="1158"/>
        <v>0</v>
      </c>
      <c r="AJ789" s="847">
        <f t="shared" si="1158"/>
        <v>0</v>
      </c>
      <c r="AK789" s="847">
        <f t="shared" si="1158"/>
        <v>0</v>
      </c>
      <c r="AL789" s="661">
        <f t="shared" si="1158"/>
        <v>0</v>
      </c>
      <c r="AM789" s="847">
        <f t="shared" si="1158"/>
        <v>0</v>
      </c>
      <c r="AN789" s="847">
        <f t="shared" si="1158"/>
        <v>0</v>
      </c>
      <c r="AO789" s="847">
        <f t="shared" ref="AO789:BT789" si="1159">AO503+AO646</f>
        <v>0</v>
      </c>
      <c r="AP789" s="847">
        <f t="shared" si="1159"/>
        <v>0</v>
      </c>
      <c r="AQ789" s="661">
        <f t="shared" si="1159"/>
        <v>0</v>
      </c>
      <c r="AR789" s="847">
        <f t="shared" si="1159"/>
        <v>0</v>
      </c>
      <c r="AS789" s="847">
        <f t="shared" si="1159"/>
        <v>0</v>
      </c>
      <c r="AT789" s="847">
        <f t="shared" si="1159"/>
        <v>0</v>
      </c>
      <c r="AU789" s="847">
        <f t="shared" si="1159"/>
        <v>0</v>
      </c>
      <c r="AV789" s="661">
        <f t="shared" si="1159"/>
        <v>0</v>
      </c>
      <c r="AW789" s="847">
        <f t="shared" si="1159"/>
        <v>0</v>
      </c>
      <c r="AX789" s="847">
        <f t="shared" si="1159"/>
        <v>0</v>
      </c>
      <c r="AY789" s="847">
        <f t="shared" si="1159"/>
        <v>0</v>
      </c>
      <c r="AZ789" s="847">
        <f t="shared" si="1159"/>
        <v>0</v>
      </c>
      <c r="BA789" s="661">
        <f t="shared" si="1159"/>
        <v>0</v>
      </c>
      <c r="BB789" s="847">
        <f t="shared" si="1159"/>
        <v>0</v>
      </c>
      <c r="BC789" s="847">
        <f t="shared" si="1159"/>
        <v>0</v>
      </c>
      <c r="BD789" s="847">
        <f t="shared" si="1159"/>
        <v>0</v>
      </c>
      <c r="BE789" s="847">
        <f t="shared" si="1159"/>
        <v>0</v>
      </c>
      <c r="BF789" s="661">
        <f t="shared" si="1159"/>
        <v>0</v>
      </c>
      <c r="BG789" s="847">
        <f t="shared" si="1159"/>
        <v>0</v>
      </c>
      <c r="BH789" s="847">
        <f t="shared" si="1159"/>
        <v>0</v>
      </c>
      <c r="BI789" s="847">
        <f t="shared" si="1159"/>
        <v>0</v>
      </c>
      <c r="BJ789" s="847">
        <f t="shared" si="1159"/>
        <v>0</v>
      </c>
      <c r="BK789" s="661">
        <f t="shared" si="1159"/>
        <v>0</v>
      </c>
      <c r="BL789" s="847">
        <f t="shared" si="1159"/>
        <v>0</v>
      </c>
      <c r="BM789" s="847">
        <f t="shared" si="1159"/>
        <v>0</v>
      </c>
      <c r="BN789" s="847">
        <f t="shared" si="1159"/>
        <v>0</v>
      </c>
      <c r="BO789" s="847">
        <f t="shared" si="1159"/>
        <v>0</v>
      </c>
      <c r="BP789" s="968">
        <f t="shared" si="1159"/>
        <v>0</v>
      </c>
      <c r="BQ789" s="847">
        <f t="shared" si="1159"/>
        <v>0</v>
      </c>
      <c r="BR789" s="847">
        <f t="shared" si="1159"/>
        <v>0</v>
      </c>
      <c r="BS789" s="847">
        <f t="shared" si="1159"/>
        <v>0</v>
      </c>
      <c r="BT789" s="847">
        <f t="shared" si="1159"/>
        <v>0</v>
      </c>
      <c r="BU789" s="968">
        <f t="shared" ref="BU789:CG789" si="1160">BU503+BU646</f>
        <v>0</v>
      </c>
      <c r="BV789" s="847">
        <f t="shared" si="1160"/>
        <v>0</v>
      </c>
      <c r="BW789" s="847">
        <f t="shared" si="1160"/>
        <v>0</v>
      </c>
      <c r="BX789" s="847">
        <f t="shared" si="1160"/>
        <v>0</v>
      </c>
      <c r="BY789" s="847">
        <f t="shared" si="1160"/>
        <v>0</v>
      </c>
      <c r="BZ789" s="968">
        <f t="shared" si="1160"/>
        <v>0</v>
      </c>
      <c r="CA789" s="847">
        <f t="shared" si="1160"/>
        <v>0</v>
      </c>
      <c r="CB789" s="847">
        <f t="shared" si="1160"/>
        <v>0</v>
      </c>
      <c r="CC789" s="847">
        <f t="shared" si="1160"/>
        <v>0</v>
      </c>
      <c r="CD789" s="847">
        <f t="shared" si="1160"/>
        <v>0</v>
      </c>
      <c r="CE789" s="968">
        <f t="shared" si="1160"/>
        <v>0</v>
      </c>
      <c r="CF789" s="847">
        <f t="shared" si="1160"/>
        <v>0</v>
      </c>
      <c r="CG789" s="847">
        <f t="shared" si="1160"/>
        <v>0</v>
      </c>
      <c r="CH789" s="847">
        <f t="shared" ref="CH789:CV789" si="1161">CH503+CH646</f>
        <v>0</v>
      </c>
      <c r="CI789" s="847">
        <f t="shared" si="1161"/>
        <v>0</v>
      </c>
      <c r="CJ789" s="968">
        <f t="shared" si="1161"/>
        <v>0</v>
      </c>
      <c r="CK789" s="2350">
        <f t="shared" si="1133"/>
        <v>0</v>
      </c>
      <c r="CL789" s="847">
        <f t="shared" ca="1" si="1161"/>
        <v>0</v>
      </c>
      <c r="CM789" s="847">
        <f t="shared" ca="1" si="1161"/>
        <v>0</v>
      </c>
      <c r="CN789" s="847">
        <f t="shared" ca="1" si="1161"/>
        <v>0</v>
      </c>
      <c r="CO789" s="968">
        <f t="shared" ca="1" si="1161"/>
        <v>0</v>
      </c>
      <c r="CP789" s="973">
        <f t="shared" si="1128"/>
        <v>0</v>
      </c>
      <c r="CQ789" s="847">
        <f t="shared" ca="1" si="1128"/>
        <v>0</v>
      </c>
      <c r="CR789" s="847">
        <f t="shared" ca="1" si="1128"/>
        <v>0</v>
      </c>
      <c r="CS789" s="1431">
        <f t="shared" ca="1" si="1128"/>
        <v>0</v>
      </c>
      <c r="CT789" s="968">
        <f t="shared" ca="1" si="1128"/>
        <v>0</v>
      </c>
      <c r="CU789" s="968">
        <f t="shared" ca="1" si="1161"/>
        <v>0</v>
      </c>
      <c r="CV789" s="968">
        <f t="shared" ca="1" si="1161"/>
        <v>0</v>
      </c>
      <c r="CW789" s="2703"/>
      <c r="CX789" s="2703"/>
      <c r="CY789" s="2703"/>
      <c r="CZ789" s="2703"/>
      <c r="DA789" s="2703"/>
      <c r="DB789" s="217"/>
      <c r="DF789" s="186"/>
      <c r="DG789" s="186"/>
      <c r="DH789" s="186"/>
      <c r="DI789" s="186"/>
      <c r="DJ789" s="186"/>
      <c r="DK789" s="186"/>
      <c r="DL789" s="186"/>
      <c r="DM789" s="186"/>
      <c r="DN789" s="186"/>
      <c r="DO789" s="186"/>
      <c r="DP789" s="186"/>
      <c r="DQ789" s="186"/>
      <c r="DR789" s="186"/>
      <c r="DS789" s="186"/>
      <c r="DT789" s="186"/>
      <c r="DU789" s="186"/>
      <c r="DV789" s="186"/>
      <c r="DW789" s="186"/>
      <c r="DX789" s="186"/>
      <c r="DY789" s="186"/>
      <c r="DZ789" s="186"/>
      <c r="EA789" s="186"/>
      <c r="EB789" s="186"/>
      <c r="EC789" s="186"/>
      <c r="ED789" s="186"/>
      <c r="EE789" s="186"/>
      <c r="EF789" s="186"/>
      <c r="EG789" s="186"/>
      <c r="EH789" s="186"/>
      <c r="EI789" s="186"/>
      <c r="EJ789" s="186"/>
      <c r="EK789" s="186"/>
      <c r="EL789" s="186"/>
      <c r="EM789" s="186"/>
      <c r="EN789" s="186"/>
      <c r="EO789" s="186"/>
      <c r="EP789" s="186"/>
      <c r="EQ789" s="186"/>
      <c r="ER789" s="186"/>
      <c r="ES789" s="186"/>
      <c r="ET789" s="186"/>
      <c r="EU789" s="186"/>
      <c r="EV789" s="186"/>
      <c r="EW789" s="186"/>
      <c r="EX789" s="186"/>
      <c r="EY789" s="186"/>
      <c r="EZ789" s="186"/>
      <c r="FA789" s="186"/>
      <c r="FB789" s="186"/>
      <c r="FC789" s="186"/>
      <c r="FD789" s="186"/>
      <c r="FE789" s="186"/>
      <c r="FF789" s="186"/>
      <c r="FG789" s="186"/>
      <c r="FH789" s="186"/>
      <c r="FI789" s="186"/>
      <c r="FJ789" s="186"/>
      <c r="FK789" s="186"/>
      <c r="FL789" s="186"/>
      <c r="FM789" s="186"/>
      <c r="FN789" s="186"/>
      <c r="FO789" s="186"/>
      <c r="FP789" s="186"/>
      <c r="FQ789" s="186"/>
      <c r="FR789" s="186"/>
      <c r="FS789" s="186"/>
      <c r="FT789" s="186"/>
      <c r="FU789" s="186"/>
      <c r="FV789" s="186"/>
      <c r="FW789" s="186"/>
      <c r="FX789" s="186"/>
      <c r="FY789" s="186"/>
      <c r="FZ789" s="186"/>
      <c r="GA789" s="186"/>
      <c r="GB789" s="186"/>
      <c r="GC789" s="186"/>
      <c r="GD789" s="186"/>
      <c r="GE789" s="186"/>
      <c r="GF789" s="186"/>
      <c r="GG789" s="186"/>
      <c r="GH789" s="186"/>
      <c r="GI789" s="186"/>
      <c r="GJ789" s="186"/>
      <c r="GK789" s="186"/>
      <c r="GL789" s="186"/>
      <c r="GM789" s="186"/>
      <c r="GN789" s="186"/>
      <c r="GO789" s="186"/>
      <c r="GP789" s="186"/>
      <c r="GQ789" s="186"/>
      <c r="GR789" s="186"/>
      <c r="GS789" s="186"/>
      <c r="GT789" s="186"/>
      <c r="GU789" s="186"/>
      <c r="GV789" s="186"/>
      <c r="GW789" s="186"/>
      <c r="GX789" s="186"/>
      <c r="GY789" s="186"/>
      <c r="GZ789" s="186"/>
      <c r="HA789" s="186"/>
      <c r="HB789" s="186"/>
      <c r="HC789" s="186"/>
      <c r="HD789" s="186"/>
      <c r="HE789" s="186"/>
      <c r="HF789" s="186"/>
      <c r="HG789" s="186"/>
      <c r="HH789" s="186"/>
      <c r="HI789" s="186"/>
      <c r="HJ789" s="186"/>
      <c r="HK789" s="186"/>
      <c r="HL789" s="186"/>
      <c r="HM789" s="186"/>
      <c r="HN789" s="186"/>
      <c r="HO789" s="186"/>
      <c r="HP789" s="186"/>
      <c r="HQ789" s="186"/>
      <c r="HR789" s="186"/>
      <c r="HS789" s="186"/>
      <c r="HT789" s="186"/>
      <c r="HU789" s="186"/>
      <c r="HV789" s="186"/>
      <c r="HW789" s="186"/>
      <c r="HX789" s="186"/>
      <c r="HY789" s="186"/>
      <c r="HZ789" s="186"/>
      <c r="IA789" s="186"/>
      <c r="IB789" s="186"/>
      <c r="IC789" s="186"/>
      <c r="ID789" s="186"/>
      <c r="IE789" s="186"/>
      <c r="IF789" s="186"/>
      <c r="IG789" s="186"/>
      <c r="IH789" s="186"/>
      <c r="II789" s="186"/>
      <c r="IJ789" s="186"/>
      <c r="IK789" s="186"/>
      <c r="IL789" s="186"/>
      <c r="IM789" s="186"/>
      <c r="IN789" s="186"/>
      <c r="IO789" s="186"/>
      <c r="IP789" s="186"/>
      <c r="IQ789" s="186"/>
      <c r="IR789" s="186"/>
      <c r="IS789" s="186"/>
      <c r="IT789" s="186"/>
      <c r="IU789" s="186"/>
      <c r="IV789" s="186"/>
    </row>
    <row r="790" spans="1:256" s="186" customFormat="1" outlineLevel="1" x14ac:dyDescent="0.2">
      <c r="A790" s="1264" t="s">
        <v>1386</v>
      </c>
      <c r="B790" s="651"/>
      <c r="C790" s="236"/>
      <c r="D790" s="207"/>
      <c r="E790" s="207"/>
      <c r="F790" s="207"/>
      <c r="G790" s="234"/>
      <c r="H790" s="661"/>
      <c r="I790" s="847">
        <f t="shared" ref="I790:AN790" si="1162">I504+I647</f>
        <v>30759</v>
      </c>
      <c r="J790" s="847">
        <f t="shared" si="1162"/>
        <v>31798</v>
      </c>
      <c r="K790" s="847">
        <f t="shared" si="1162"/>
        <v>32591</v>
      </c>
      <c r="L790" s="847">
        <f t="shared" si="1162"/>
        <v>33739</v>
      </c>
      <c r="M790" s="661">
        <f t="shared" si="1162"/>
        <v>33739</v>
      </c>
      <c r="N790" s="847">
        <f t="shared" si="1162"/>
        <v>35105</v>
      </c>
      <c r="O790" s="847">
        <f t="shared" si="1162"/>
        <v>35714</v>
      </c>
      <c r="P790" s="847">
        <f t="shared" si="1162"/>
        <v>36974</v>
      </c>
      <c r="Q790" s="847">
        <f t="shared" si="1162"/>
        <v>38475</v>
      </c>
      <c r="R790" s="661">
        <f t="shared" si="1162"/>
        <v>38475</v>
      </c>
      <c r="S790" s="847">
        <f t="shared" si="1162"/>
        <v>39478</v>
      </c>
      <c r="T790" s="847">
        <f t="shared" si="1162"/>
        <v>40212</v>
      </c>
      <c r="U790" s="847">
        <f t="shared" si="1162"/>
        <v>40803</v>
      </c>
      <c r="V790" s="847">
        <f t="shared" si="1162"/>
        <v>41509</v>
      </c>
      <c r="W790" s="661">
        <f t="shared" si="1162"/>
        <v>41509</v>
      </c>
      <c r="X790" s="847">
        <f t="shared" si="1162"/>
        <v>43688</v>
      </c>
      <c r="Y790" s="847">
        <f t="shared" si="1162"/>
        <v>44605</v>
      </c>
      <c r="Z790" s="847">
        <f t="shared" si="1162"/>
        <v>45628</v>
      </c>
      <c r="AA790" s="847">
        <f t="shared" si="1162"/>
        <v>46659</v>
      </c>
      <c r="AB790" s="661">
        <f t="shared" si="1162"/>
        <v>46659</v>
      </c>
      <c r="AC790" s="847">
        <f t="shared" si="1162"/>
        <v>47410</v>
      </c>
      <c r="AD790" s="847">
        <f t="shared" si="1162"/>
        <v>47947</v>
      </c>
      <c r="AE790" s="847">
        <f t="shared" si="1162"/>
        <v>49387</v>
      </c>
      <c r="AF790" s="847">
        <f t="shared" si="1162"/>
        <v>50539</v>
      </c>
      <c r="AG790" s="661">
        <f t="shared" si="1162"/>
        <v>50539</v>
      </c>
      <c r="AH790" s="847">
        <f t="shared" si="1162"/>
        <v>51359</v>
      </c>
      <c r="AI790" s="847">
        <f t="shared" si="1162"/>
        <v>52549</v>
      </c>
      <c r="AJ790" s="847">
        <f t="shared" si="1162"/>
        <v>53916</v>
      </c>
      <c r="AK790" s="847">
        <f t="shared" si="1162"/>
        <v>55713</v>
      </c>
      <c r="AL790" s="661">
        <f t="shared" si="1162"/>
        <v>55713</v>
      </c>
      <c r="AM790" s="847">
        <f t="shared" si="1162"/>
        <v>56713</v>
      </c>
      <c r="AN790" s="847">
        <f t="shared" si="1162"/>
        <v>57176</v>
      </c>
      <c r="AO790" s="847">
        <f t="shared" ref="AO790:BT790" si="1163">AO504+AO647</f>
        <v>58642</v>
      </c>
      <c r="AP790" s="847">
        <f t="shared" si="1163"/>
        <v>60874</v>
      </c>
      <c r="AQ790" s="661">
        <f t="shared" si="1163"/>
        <v>60874</v>
      </c>
      <c r="AR790" s="847">
        <f t="shared" si="1163"/>
        <v>60994</v>
      </c>
      <c r="AS790" s="847">
        <f t="shared" si="1163"/>
        <v>63085</v>
      </c>
      <c r="AT790" s="847">
        <f t="shared" si="1163"/>
        <v>63770</v>
      </c>
      <c r="AU790" s="847">
        <f t="shared" si="1163"/>
        <v>65909</v>
      </c>
      <c r="AV790" s="661">
        <f t="shared" si="1163"/>
        <v>65909</v>
      </c>
      <c r="AW790" s="847">
        <f t="shared" si="1163"/>
        <v>67291</v>
      </c>
      <c r="AX790" s="847">
        <f t="shared" si="1163"/>
        <v>68784</v>
      </c>
      <c r="AY790" s="847">
        <f t="shared" si="1163"/>
        <v>70368</v>
      </c>
      <c r="AZ790" s="847">
        <f t="shared" si="1163"/>
        <v>71190</v>
      </c>
      <c r="BA790" s="661">
        <f t="shared" si="1163"/>
        <v>71190</v>
      </c>
      <c r="BB790" s="847">
        <f t="shared" si="1163"/>
        <v>72881</v>
      </c>
      <c r="BC790" s="847">
        <f t="shared" si="1163"/>
        <v>73357</v>
      </c>
      <c r="BD790" s="847">
        <f t="shared" si="1163"/>
        <v>74188</v>
      </c>
      <c r="BE790" s="847">
        <f t="shared" si="1163"/>
        <v>75475</v>
      </c>
      <c r="BF790" s="661">
        <f t="shared" si="1163"/>
        <v>75475</v>
      </c>
      <c r="BG790" s="847">
        <f t="shared" si="1163"/>
        <v>75868</v>
      </c>
      <c r="BH790" s="847">
        <f t="shared" si="1163"/>
        <v>76525</v>
      </c>
      <c r="BI790" s="847">
        <f t="shared" si="1163"/>
        <v>76663</v>
      </c>
      <c r="BJ790" s="847">
        <f t="shared" si="1163"/>
        <v>77685</v>
      </c>
      <c r="BK790" s="661">
        <f t="shared" si="1163"/>
        <v>77685</v>
      </c>
      <c r="BL790" s="847">
        <f t="shared" si="1163"/>
        <v>78817</v>
      </c>
      <c r="BM790" s="847">
        <f t="shared" si="1163"/>
        <v>79212</v>
      </c>
      <c r="BN790" s="847">
        <f t="shared" si="1163"/>
        <v>79398</v>
      </c>
      <c r="BO790" s="847">
        <f t="shared" si="1163"/>
        <v>80340</v>
      </c>
      <c r="BP790" s="194">
        <f t="shared" si="1163"/>
        <v>80340</v>
      </c>
      <c r="BQ790" s="847">
        <f t="shared" si="1163"/>
        <v>81180</v>
      </c>
      <c r="BR790" s="847">
        <f t="shared" si="1163"/>
        <v>82330</v>
      </c>
      <c r="BS790" s="847">
        <f t="shared" si="1163"/>
        <v>83247</v>
      </c>
      <c r="BT790" s="847">
        <f t="shared" si="1163"/>
        <v>84391</v>
      </c>
      <c r="BU790" s="194">
        <f t="shared" ref="BU790:CG790" si="1164">BU504+BU647</f>
        <v>84391</v>
      </c>
      <c r="BV790" s="847">
        <f t="shared" si="1164"/>
        <v>84889</v>
      </c>
      <c r="BW790" s="847">
        <f t="shared" si="1164"/>
        <v>85649</v>
      </c>
      <c r="BX790" s="847">
        <f t="shared" si="1164"/>
        <v>87089</v>
      </c>
      <c r="BY790" s="847">
        <f t="shared" si="1164"/>
        <v>88509</v>
      </c>
      <c r="BZ790" s="194">
        <f t="shared" si="1164"/>
        <v>88509</v>
      </c>
      <c r="CA790" s="847">
        <f t="shared" si="1164"/>
        <v>89366</v>
      </c>
      <c r="CB790" s="847">
        <f t="shared" si="1164"/>
        <v>90302</v>
      </c>
      <c r="CC790" s="847">
        <f t="shared" si="1164"/>
        <v>91964</v>
      </c>
      <c r="CD790" s="847">
        <f t="shared" si="1164"/>
        <v>94173</v>
      </c>
      <c r="CE790" s="194">
        <f t="shared" si="1164"/>
        <v>94173</v>
      </c>
      <c r="CF790" s="847">
        <f t="shared" si="1164"/>
        <v>95715</v>
      </c>
      <c r="CG790" s="847">
        <f t="shared" si="1164"/>
        <v>97695</v>
      </c>
      <c r="CH790" s="847">
        <f t="shared" ref="CH790:CV790" si="1165">CH504+CH647</f>
        <v>100197</v>
      </c>
      <c r="CI790" s="847">
        <f t="shared" si="1165"/>
        <v>102304</v>
      </c>
      <c r="CJ790" s="194">
        <f t="shared" si="1165"/>
        <v>102304</v>
      </c>
      <c r="CK790" s="2350">
        <f t="shared" si="1133"/>
        <v>103730</v>
      </c>
      <c r="CL790" s="847">
        <f t="shared" si="1165"/>
        <v>104711</v>
      </c>
      <c r="CM790" s="847">
        <f t="shared" si="1165"/>
        <v>106096</v>
      </c>
      <c r="CN790" s="847">
        <f t="shared" si="1165"/>
        <v>109386</v>
      </c>
      <c r="CO790" s="194">
        <f t="shared" si="1165"/>
        <v>109386</v>
      </c>
      <c r="CP790" s="973">
        <f t="shared" si="1128"/>
        <v>112028.40000000001</v>
      </c>
      <c r="CQ790" s="847">
        <f t="shared" si="1128"/>
        <v>113087.88</v>
      </c>
      <c r="CR790" s="847">
        <f t="shared" si="1128"/>
        <v>114693.54000000001</v>
      </c>
      <c r="CS790" s="1431">
        <f t="shared" si="1128"/>
        <v>118250.79000000001</v>
      </c>
      <c r="CT790" s="194">
        <f t="shared" si="1128"/>
        <v>118250.79000000001</v>
      </c>
      <c r="CU790" s="194">
        <f t="shared" si="1165"/>
        <v>127119.59925</v>
      </c>
      <c r="CV790" s="194">
        <f t="shared" si="1165"/>
        <v>132204.38322000002</v>
      </c>
      <c r="CW790" s="374"/>
      <c r="CX790" s="374"/>
      <c r="CY790" s="374"/>
      <c r="CZ790" s="374"/>
      <c r="DA790" s="374"/>
      <c r="DB790" s="217"/>
      <c r="DC790" s="212"/>
      <c r="DD790" s="212"/>
      <c r="DE790" s="70"/>
      <c r="DF790" s="70"/>
      <c r="DG790" s="70"/>
      <c r="DH790" s="70"/>
      <c r="DI790" s="70"/>
      <c r="DJ790" s="70"/>
      <c r="DK790" s="70"/>
      <c r="DL790" s="70"/>
      <c r="DM790" s="70"/>
      <c r="DN790" s="70"/>
      <c r="DO790" s="70"/>
      <c r="DP790" s="70"/>
      <c r="DQ790" s="70"/>
      <c r="DR790" s="70"/>
      <c r="DS790" s="70"/>
      <c r="DT790" s="70"/>
      <c r="DU790" s="70"/>
      <c r="DV790" s="70"/>
      <c r="DW790" s="70"/>
      <c r="DX790" s="70"/>
      <c r="DY790" s="70"/>
      <c r="DZ790" s="70"/>
      <c r="EA790" s="70"/>
      <c r="EB790" s="70"/>
      <c r="EC790" s="70"/>
      <c r="ED790" s="70"/>
      <c r="EE790" s="70"/>
      <c r="EF790" s="70"/>
      <c r="EG790" s="70"/>
      <c r="EH790" s="70"/>
      <c r="EI790" s="70"/>
      <c r="EJ790" s="70"/>
      <c r="EK790" s="70"/>
      <c r="EL790" s="70"/>
      <c r="EM790" s="70"/>
      <c r="EN790" s="70"/>
      <c r="EO790" s="70"/>
      <c r="EP790" s="70"/>
      <c r="EQ790" s="70"/>
      <c r="ER790" s="70"/>
      <c r="ES790" s="70"/>
      <c r="ET790" s="70"/>
      <c r="EU790" s="70"/>
      <c r="EV790" s="70"/>
      <c r="EW790" s="70"/>
      <c r="EX790" s="70"/>
      <c r="EY790" s="70"/>
      <c r="EZ790" s="70"/>
      <c r="FA790" s="70"/>
      <c r="FB790" s="70"/>
      <c r="FC790" s="70"/>
      <c r="FD790" s="70"/>
      <c r="FE790" s="70"/>
      <c r="FF790" s="70"/>
      <c r="FG790" s="70"/>
      <c r="FH790" s="70"/>
      <c r="FI790" s="70"/>
      <c r="FJ790" s="70"/>
      <c r="FK790" s="70"/>
      <c r="FL790" s="70"/>
      <c r="FM790" s="70"/>
      <c r="FN790" s="70"/>
      <c r="FO790" s="70"/>
      <c r="FP790" s="70"/>
      <c r="FQ790" s="70"/>
      <c r="FR790" s="70"/>
      <c r="FS790" s="70"/>
      <c r="FT790" s="70"/>
      <c r="FU790" s="70"/>
      <c r="FV790" s="70"/>
      <c r="FW790" s="70"/>
      <c r="FX790" s="70"/>
      <c r="FY790" s="70"/>
      <c r="FZ790" s="70"/>
      <c r="GA790" s="70"/>
      <c r="GB790" s="70"/>
      <c r="GC790" s="70"/>
      <c r="GD790" s="70"/>
      <c r="GE790" s="70"/>
      <c r="GF790" s="70"/>
      <c r="GG790" s="70"/>
      <c r="GH790" s="70"/>
      <c r="GI790" s="70"/>
      <c r="GJ790" s="70"/>
      <c r="GK790" s="70"/>
      <c r="GL790" s="70"/>
      <c r="GM790" s="70"/>
      <c r="GN790" s="70"/>
      <c r="GO790" s="70"/>
      <c r="GP790" s="70"/>
      <c r="GQ790" s="70"/>
      <c r="GR790" s="70"/>
      <c r="GS790" s="70"/>
      <c r="GT790" s="70"/>
      <c r="GU790" s="70"/>
      <c r="GV790" s="70"/>
      <c r="GW790" s="70"/>
      <c r="GX790" s="70"/>
      <c r="GY790" s="70"/>
      <c r="GZ790" s="70"/>
      <c r="HA790" s="70"/>
      <c r="HB790" s="70"/>
      <c r="HC790" s="70"/>
      <c r="HD790" s="70"/>
      <c r="HE790" s="70"/>
      <c r="HF790" s="70"/>
      <c r="HG790" s="70"/>
      <c r="HH790" s="70"/>
      <c r="HI790" s="70"/>
      <c r="HJ790" s="70"/>
      <c r="HK790" s="70"/>
      <c r="HL790" s="70"/>
      <c r="HM790" s="70"/>
      <c r="HN790" s="70"/>
      <c r="HO790" s="70"/>
      <c r="HP790" s="70"/>
      <c r="HQ790" s="70"/>
      <c r="HR790" s="70"/>
      <c r="HS790" s="70"/>
      <c r="HT790" s="70"/>
      <c r="HU790" s="70"/>
      <c r="HV790" s="70"/>
      <c r="HW790" s="70"/>
      <c r="HX790" s="70"/>
      <c r="HY790" s="70"/>
      <c r="HZ790" s="70"/>
      <c r="IA790" s="70"/>
      <c r="IB790" s="70"/>
      <c r="IC790" s="70"/>
      <c r="ID790" s="70"/>
      <c r="IE790" s="70"/>
      <c r="IF790" s="70"/>
      <c r="IG790" s="70"/>
      <c r="IH790" s="70"/>
      <c r="II790" s="70"/>
      <c r="IJ790" s="70"/>
      <c r="IK790" s="70"/>
      <c r="IL790" s="70"/>
      <c r="IM790" s="70"/>
      <c r="IN790" s="70"/>
      <c r="IO790" s="70"/>
      <c r="IP790" s="70"/>
      <c r="IQ790" s="70"/>
      <c r="IR790" s="70"/>
      <c r="IS790" s="70"/>
      <c r="IT790" s="70"/>
      <c r="IU790" s="70"/>
      <c r="IV790" s="70"/>
    </row>
    <row r="791" spans="1:256" s="186" customFormat="1" outlineLevel="1" x14ac:dyDescent="0.2">
      <c r="A791" s="2288" t="s">
        <v>47</v>
      </c>
      <c r="B791" s="2400"/>
      <c r="C791" s="2401"/>
      <c r="D791" s="2402"/>
      <c r="E791" s="2402"/>
      <c r="F791" s="2402"/>
      <c r="G791" s="2402"/>
      <c r="H791" s="2293">
        <v>0</v>
      </c>
      <c r="I791" s="2399">
        <f t="shared" ref="I791:AN791" si="1166">I505+I648</f>
        <v>0</v>
      </c>
      <c r="J791" s="2349">
        <f t="shared" si="1166"/>
        <v>0</v>
      </c>
      <c r="K791" s="2349">
        <f t="shared" si="1166"/>
        <v>0</v>
      </c>
      <c r="L791" s="2349">
        <f t="shared" si="1166"/>
        <v>0</v>
      </c>
      <c r="M791" s="2293">
        <f t="shared" si="1166"/>
        <v>0</v>
      </c>
      <c r="N791" s="2399">
        <f t="shared" si="1166"/>
        <v>0</v>
      </c>
      <c r="O791" s="2349">
        <f t="shared" si="1166"/>
        <v>0</v>
      </c>
      <c r="P791" s="2349">
        <f t="shared" si="1166"/>
        <v>0</v>
      </c>
      <c r="Q791" s="2349">
        <f t="shared" si="1166"/>
        <v>0</v>
      </c>
      <c r="R791" s="2293">
        <f t="shared" si="1166"/>
        <v>0</v>
      </c>
      <c r="S791" s="2399">
        <f t="shared" si="1166"/>
        <v>0</v>
      </c>
      <c r="T791" s="2349">
        <f t="shared" si="1166"/>
        <v>0</v>
      </c>
      <c r="U791" s="2349">
        <f t="shared" si="1166"/>
        <v>0</v>
      </c>
      <c r="V791" s="2349">
        <f t="shared" si="1166"/>
        <v>0</v>
      </c>
      <c r="W791" s="2293">
        <f t="shared" si="1166"/>
        <v>0</v>
      </c>
      <c r="X791" s="2399">
        <f t="shared" si="1166"/>
        <v>0</v>
      </c>
      <c r="Y791" s="2349">
        <f t="shared" si="1166"/>
        <v>0</v>
      </c>
      <c r="Z791" s="2349">
        <f t="shared" si="1166"/>
        <v>0</v>
      </c>
      <c r="AA791" s="2349">
        <f t="shared" si="1166"/>
        <v>0</v>
      </c>
      <c r="AB791" s="2293">
        <f t="shared" si="1166"/>
        <v>0</v>
      </c>
      <c r="AC791" s="2399">
        <f t="shared" si="1166"/>
        <v>0</v>
      </c>
      <c r="AD791" s="2349">
        <f t="shared" si="1166"/>
        <v>0</v>
      </c>
      <c r="AE791" s="2349">
        <f t="shared" si="1166"/>
        <v>0</v>
      </c>
      <c r="AF791" s="2349">
        <f t="shared" si="1166"/>
        <v>0</v>
      </c>
      <c r="AG791" s="2293">
        <f t="shared" si="1166"/>
        <v>0</v>
      </c>
      <c r="AH791" s="2399">
        <f t="shared" si="1166"/>
        <v>0</v>
      </c>
      <c r="AI791" s="2349">
        <f t="shared" si="1166"/>
        <v>0</v>
      </c>
      <c r="AJ791" s="2349">
        <f t="shared" si="1166"/>
        <v>0</v>
      </c>
      <c r="AK791" s="2349">
        <f t="shared" si="1166"/>
        <v>0</v>
      </c>
      <c r="AL791" s="2293">
        <f t="shared" si="1166"/>
        <v>0</v>
      </c>
      <c r="AM791" s="2399">
        <f t="shared" si="1166"/>
        <v>0</v>
      </c>
      <c r="AN791" s="2349">
        <f t="shared" si="1166"/>
        <v>0</v>
      </c>
      <c r="AO791" s="2349">
        <f t="shared" ref="AO791:BT791" si="1167">AO505+AO648</f>
        <v>0</v>
      </c>
      <c r="AP791" s="2349">
        <f t="shared" si="1167"/>
        <v>0</v>
      </c>
      <c r="AQ791" s="2293">
        <f t="shared" si="1167"/>
        <v>0</v>
      </c>
      <c r="AR791" s="2399">
        <f t="shared" si="1167"/>
        <v>0</v>
      </c>
      <c r="AS791" s="2349">
        <f t="shared" si="1167"/>
        <v>0</v>
      </c>
      <c r="AT791" s="2349">
        <f t="shared" si="1167"/>
        <v>0</v>
      </c>
      <c r="AU791" s="2349">
        <f t="shared" si="1167"/>
        <v>0</v>
      </c>
      <c r="AV791" s="2293">
        <f t="shared" si="1167"/>
        <v>0</v>
      </c>
      <c r="AW791" s="2399">
        <f t="shared" si="1167"/>
        <v>0</v>
      </c>
      <c r="AX791" s="2349">
        <f t="shared" si="1167"/>
        <v>0</v>
      </c>
      <c r="AY791" s="2349">
        <f t="shared" si="1167"/>
        <v>0</v>
      </c>
      <c r="AZ791" s="2349">
        <f t="shared" si="1167"/>
        <v>0</v>
      </c>
      <c r="BA791" s="2293">
        <f t="shared" si="1167"/>
        <v>0</v>
      </c>
      <c r="BB791" s="2399">
        <f t="shared" si="1167"/>
        <v>0</v>
      </c>
      <c r="BC791" s="2349">
        <f t="shared" si="1167"/>
        <v>0</v>
      </c>
      <c r="BD791" s="2349">
        <f t="shared" si="1167"/>
        <v>0</v>
      </c>
      <c r="BE791" s="2349">
        <f t="shared" si="1167"/>
        <v>0</v>
      </c>
      <c r="BF791" s="2293">
        <f t="shared" si="1167"/>
        <v>0</v>
      </c>
      <c r="BG791" s="2399">
        <f t="shared" si="1167"/>
        <v>0</v>
      </c>
      <c r="BH791" s="2349">
        <f t="shared" si="1167"/>
        <v>0</v>
      </c>
      <c r="BI791" s="2349">
        <f t="shared" si="1167"/>
        <v>0</v>
      </c>
      <c r="BJ791" s="2349">
        <f t="shared" si="1167"/>
        <v>0</v>
      </c>
      <c r="BK791" s="2293">
        <f t="shared" si="1167"/>
        <v>0</v>
      </c>
      <c r="BL791" s="2399">
        <f t="shared" si="1167"/>
        <v>0</v>
      </c>
      <c r="BM791" s="2349">
        <f t="shared" si="1167"/>
        <v>0</v>
      </c>
      <c r="BN791" s="2349">
        <f t="shared" si="1167"/>
        <v>0</v>
      </c>
      <c r="BO791" s="2349">
        <f t="shared" si="1167"/>
        <v>0</v>
      </c>
      <c r="BP791" s="2293">
        <f t="shared" si="1167"/>
        <v>0</v>
      </c>
      <c r="BQ791" s="2399">
        <f t="shared" si="1167"/>
        <v>0</v>
      </c>
      <c r="BR791" s="2349">
        <f t="shared" si="1167"/>
        <v>0</v>
      </c>
      <c r="BS791" s="2349">
        <f t="shared" si="1167"/>
        <v>0</v>
      </c>
      <c r="BT791" s="2349">
        <f t="shared" si="1167"/>
        <v>0</v>
      </c>
      <c r="BU791" s="2293">
        <f t="shared" ref="BU791:CG791" si="1168">BU505+BU648</f>
        <v>0</v>
      </c>
      <c r="BV791" s="2399">
        <f t="shared" si="1168"/>
        <v>0</v>
      </c>
      <c r="BW791" s="2349">
        <f t="shared" si="1168"/>
        <v>3956</v>
      </c>
      <c r="BX791" s="2349">
        <f t="shared" si="1168"/>
        <v>3966</v>
      </c>
      <c r="BY791" s="2349">
        <f t="shared" si="1168"/>
        <v>3966</v>
      </c>
      <c r="BZ791" s="2293">
        <f t="shared" si="1168"/>
        <v>3966</v>
      </c>
      <c r="CA791" s="2399">
        <f t="shared" si="1168"/>
        <v>3961</v>
      </c>
      <c r="CB791" s="2349">
        <f t="shared" si="1168"/>
        <v>3965</v>
      </c>
      <c r="CC791" s="2349">
        <f t="shared" si="1168"/>
        <v>3932</v>
      </c>
      <c r="CD791" s="2349">
        <f t="shared" si="1168"/>
        <v>3929</v>
      </c>
      <c r="CE791" s="2293">
        <f t="shared" si="1168"/>
        <v>3929</v>
      </c>
      <c r="CF791" s="2349">
        <f t="shared" si="1168"/>
        <v>3670</v>
      </c>
      <c r="CG791" s="2349">
        <f t="shared" si="1168"/>
        <v>3583</v>
      </c>
      <c r="CH791" s="2349">
        <f t="shared" ref="CH791:CV791" si="1169">CH505+CH648</f>
        <v>3548</v>
      </c>
      <c r="CI791" s="2349">
        <f t="shared" si="1169"/>
        <v>3550</v>
      </c>
      <c r="CJ791" s="2293">
        <f t="shared" si="1169"/>
        <v>3550</v>
      </c>
      <c r="CK791" s="2350">
        <f t="shared" si="1133"/>
        <v>3499</v>
      </c>
      <c r="CL791" s="2349">
        <f t="shared" si="1169"/>
        <v>3437</v>
      </c>
      <c r="CM791" s="2349">
        <f t="shared" si="1169"/>
        <v>3343</v>
      </c>
      <c r="CN791" s="2349">
        <f t="shared" si="1169"/>
        <v>3353</v>
      </c>
      <c r="CO791" s="2293">
        <f t="shared" si="1169"/>
        <v>3353</v>
      </c>
      <c r="CP791" s="973">
        <f t="shared" si="1128"/>
        <v>3778.92</v>
      </c>
      <c r="CQ791" s="847">
        <f t="shared" si="1128"/>
        <v>3711.96</v>
      </c>
      <c r="CR791" s="847">
        <f t="shared" si="1128"/>
        <v>3643.8700000000003</v>
      </c>
      <c r="CS791" s="1431">
        <f t="shared" si="1128"/>
        <v>3654.7700000000004</v>
      </c>
      <c r="CT791" s="2293">
        <f t="shared" si="1128"/>
        <v>3654.7700000000004</v>
      </c>
      <c r="CU791" s="2403">
        <f t="shared" si="1169"/>
        <v>3928.8777500000001</v>
      </c>
      <c r="CV791" s="2403">
        <f t="shared" si="1169"/>
        <v>4086.0328600000003</v>
      </c>
      <c r="CW791" s="389"/>
      <c r="CX791" s="389"/>
      <c r="CY791" s="389"/>
      <c r="CZ791" s="389"/>
      <c r="DA791" s="389"/>
      <c r="DB791" s="217"/>
      <c r="DC791" s="212"/>
      <c r="DD791" s="212"/>
      <c r="DE791" s="70"/>
      <c r="DF791" s="70"/>
      <c r="DG791" s="70"/>
      <c r="DH791" s="70"/>
      <c r="DI791" s="70"/>
      <c r="DJ791" s="70"/>
      <c r="DK791" s="70"/>
      <c r="DL791" s="70"/>
      <c r="DM791" s="70"/>
      <c r="DN791" s="70"/>
      <c r="DO791" s="70"/>
      <c r="DP791" s="70"/>
      <c r="DQ791" s="70"/>
      <c r="DR791" s="70"/>
      <c r="DS791" s="70"/>
      <c r="DT791" s="70"/>
      <c r="DU791" s="70"/>
      <c r="DV791" s="70"/>
      <c r="DW791" s="70"/>
      <c r="DX791" s="70"/>
      <c r="DY791" s="70"/>
      <c r="DZ791" s="70"/>
      <c r="EA791" s="70"/>
      <c r="EB791" s="70"/>
      <c r="EC791" s="70"/>
      <c r="ED791" s="70"/>
      <c r="EE791" s="70"/>
      <c r="EF791" s="70"/>
      <c r="EG791" s="70"/>
      <c r="EH791" s="70"/>
      <c r="EI791" s="70"/>
      <c r="EJ791" s="70"/>
      <c r="EK791" s="70"/>
      <c r="EL791" s="70"/>
      <c r="EM791" s="70"/>
      <c r="EN791" s="70"/>
      <c r="EO791" s="70"/>
      <c r="EP791" s="70"/>
      <c r="EQ791" s="70"/>
      <c r="ER791" s="70"/>
      <c r="ES791" s="70"/>
      <c r="ET791" s="70"/>
      <c r="EU791" s="70"/>
      <c r="EV791" s="70"/>
      <c r="EW791" s="70"/>
      <c r="EX791" s="70"/>
      <c r="EY791" s="70"/>
      <c r="EZ791" s="70"/>
      <c r="FA791" s="70"/>
      <c r="FB791" s="70"/>
      <c r="FC791" s="70"/>
      <c r="FD791" s="70"/>
      <c r="FE791" s="70"/>
      <c r="FF791" s="70"/>
      <c r="FG791" s="70"/>
      <c r="FH791" s="70"/>
      <c r="FI791" s="70"/>
      <c r="FJ791" s="70"/>
      <c r="FK791" s="70"/>
      <c r="FL791" s="70"/>
      <c r="FM791" s="70"/>
      <c r="FN791" s="70"/>
      <c r="FO791" s="70"/>
      <c r="FP791" s="70"/>
      <c r="FQ791" s="70"/>
      <c r="FR791" s="70"/>
      <c r="FS791" s="70"/>
      <c r="FT791" s="70"/>
      <c r="FU791" s="70"/>
      <c r="FV791" s="70"/>
      <c r="FW791" s="70"/>
      <c r="FX791" s="70"/>
      <c r="FY791" s="70"/>
      <c r="FZ791" s="70"/>
      <c r="GA791" s="70"/>
      <c r="GB791" s="70"/>
      <c r="GC791" s="70"/>
      <c r="GD791" s="70"/>
      <c r="GE791" s="70"/>
      <c r="GF791" s="70"/>
      <c r="GG791" s="70"/>
      <c r="GH791" s="70"/>
      <c r="GI791" s="70"/>
      <c r="GJ791" s="70"/>
      <c r="GK791" s="70"/>
      <c r="GL791" s="70"/>
      <c r="GM791" s="70"/>
      <c r="GN791" s="70"/>
      <c r="GO791" s="70"/>
      <c r="GP791" s="70"/>
      <c r="GQ791" s="70"/>
      <c r="GR791" s="70"/>
      <c r="GS791" s="70"/>
      <c r="GT791" s="70"/>
      <c r="GU791" s="70"/>
      <c r="GV791" s="70"/>
      <c r="GW791" s="70"/>
      <c r="GX791" s="70"/>
      <c r="GY791" s="70"/>
      <c r="GZ791" s="70"/>
      <c r="HA791" s="70"/>
      <c r="HB791" s="70"/>
      <c r="HC791" s="70"/>
      <c r="HD791" s="70"/>
      <c r="HE791" s="70"/>
      <c r="HF791" s="70"/>
      <c r="HG791" s="70"/>
      <c r="HH791" s="70"/>
      <c r="HI791" s="70"/>
      <c r="HJ791" s="70"/>
      <c r="HK791" s="70"/>
      <c r="HL791" s="70"/>
      <c r="HM791" s="70"/>
      <c r="HN791" s="70"/>
      <c r="HO791" s="70"/>
      <c r="HP791" s="70"/>
      <c r="HQ791" s="70"/>
      <c r="HR791" s="70"/>
      <c r="HS791" s="70"/>
      <c r="HT791" s="70"/>
      <c r="HU791" s="70"/>
      <c r="HV791" s="70"/>
      <c r="HW791" s="70"/>
      <c r="HX791" s="70"/>
      <c r="HY791" s="70"/>
      <c r="HZ791" s="70"/>
      <c r="IA791" s="70"/>
      <c r="IB791" s="70"/>
      <c r="IC791" s="70"/>
      <c r="ID791" s="70"/>
      <c r="IE791" s="70"/>
      <c r="IF791" s="70"/>
      <c r="IG791" s="70"/>
      <c r="IH791" s="70"/>
      <c r="II791" s="70"/>
      <c r="IJ791" s="70"/>
      <c r="IK791" s="70"/>
      <c r="IL791" s="70"/>
      <c r="IM791" s="70"/>
      <c r="IN791" s="70"/>
      <c r="IO791" s="70"/>
      <c r="IP791" s="70"/>
      <c r="IQ791" s="70"/>
      <c r="IR791" s="70"/>
      <c r="IS791" s="70"/>
      <c r="IT791" s="70"/>
      <c r="IU791" s="70"/>
      <c r="IV791" s="70"/>
    </row>
    <row r="792" spans="1:256" x14ac:dyDescent="0.2">
      <c r="A792" s="1264" t="s">
        <v>1388</v>
      </c>
      <c r="B792" s="651"/>
      <c r="C792" s="236"/>
      <c r="D792" s="207"/>
      <c r="E792" s="207"/>
      <c r="F792" s="207"/>
      <c r="G792" s="234"/>
      <c r="H792" s="661"/>
      <c r="I792" s="847">
        <f t="shared" ref="I792:AN792" si="1170">I506+I649</f>
        <v>25065</v>
      </c>
      <c r="J792" s="847">
        <f t="shared" si="1170"/>
        <v>26543</v>
      </c>
      <c r="K792" s="847">
        <f t="shared" si="1170"/>
        <v>27068</v>
      </c>
      <c r="L792" s="847">
        <f t="shared" si="1170"/>
        <v>28539</v>
      </c>
      <c r="M792" s="661">
        <f t="shared" si="1170"/>
        <v>28539</v>
      </c>
      <c r="N792" s="847">
        <f t="shared" si="1170"/>
        <v>28824</v>
      </c>
      <c r="O792" s="847">
        <f t="shared" si="1170"/>
        <v>29184</v>
      </c>
      <c r="P792" s="847">
        <f t="shared" si="1170"/>
        <v>30315</v>
      </c>
      <c r="Q792" s="847">
        <f t="shared" si="1170"/>
        <v>32035</v>
      </c>
      <c r="R792" s="661">
        <f t="shared" si="1170"/>
        <v>32035</v>
      </c>
      <c r="S792" s="847">
        <f t="shared" si="1170"/>
        <v>32949</v>
      </c>
      <c r="T792" s="847">
        <f t="shared" si="1170"/>
        <v>34036</v>
      </c>
      <c r="U792" s="847">
        <f t="shared" si="1170"/>
        <v>36182</v>
      </c>
      <c r="V792" s="847">
        <f t="shared" si="1170"/>
        <v>35817</v>
      </c>
      <c r="W792" s="661">
        <f t="shared" si="1170"/>
        <v>35817</v>
      </c>
      <c r="X792" s="847">
        <f t="shared" si="1170"/>
        <v>35631</v>
      </c>
      <c r="Y792" s="847">
        <f t="shared" si="1170"/>
        <v>36228</v>
      </c>
      <c r="Z792" s="847">
        <f t="shared" si="1170"/>
        <v>36578</v>
      </c>
      <c r="AA792" s="847">
        <f t="shared" si="1170"/>
        <v>37268</v>
      </c>
      <c r="AB792" s="661">
        <f t="shared" si="1170"/>
        <v>37268</v>
      </c>
      <c r="AC792" s="847">
        <f t="shared" si="1170"/>
        <v>37979</v>
      </c>
      <c r="AD792" s="847">
        <f t="shared" si="1170"/>
        <v>38544</v>
      </c>
      <c r="AE792" s="847">
        <f t="shared" si="1170"/>
        <v>39382</v>
      </c>
      <c r="AF792" s="847">
        <f t="shared" si="1170"/>
        <v>40272</v>
      </c>
      <c r="AG792" s="661">
        <f t="shared" si="1170"/>
        <v>40272</v>
      </c>
      <c r="AH792" s="847">
        <f t="shared" si="1170"/>
        <v>41196</v>
      </c>
      <c r="AI792" s="847">
        <f t="shared" si="1170"/>
        <v>41784</v>
      </c>
      <c r="AJ792" s="847">
        <f t="shared" si="1170"/>
        <v>43063</v>
      </c>
      <c r="AK792" s="847">
        <f t="shared" si="1170"/>
        <v>42695</v>
      </c>
      <c r="AL792" s="661">
        <f t="shared" si="1170"/>
        <v>42695</v>
      </c>
      <c r="AM792" s="847">
        <f t="shared" si="1170"/>
        <v>43777</v>
      </c>
      <c r="AN792" s="847">
        <f t="shared" si="1170"/>
        <v>44433</v>
      </c>
      <c r="AO792" s="847">
        <f t="shared" ref="AO792:BT792" si="1171">AO506+AO649</f>
        <v>45441</v>
      </c>
      <c r="AP792" s="847">
        <f t="shared" si="1171"/>
        <v>46533</v>
      </c>
      <c r="AQ792" s="661">
        <f t="shared" si="1171"/>
        <v>46533</v>
      </c>
      <c r="AR792" s="847">
        <f t="shared" si="1171"/>
        <v>47110</v>
      </c>
      <c r="AS792" s="847">
        <f t="shared" si="1171"/>
        <v>48014</v>
      </c>
      <c r="AT792" s="847">
        <f t="shared" si="1171"/>
        <v>48873</v>
      </c>
      <c r="AU792" s="847">
        <f t="shared" si="1171"/>
        <v>50161</v>
      </c>
      <c r="AV792" s="661">
        <f t="shared" si="1171"/>
        <v>50161</v>
      </c>
      <c r="AW792" s="847">
        <f t="shared" si="1171"/>
        <v>50155</v>
      </c>
      <c r="AX792" s="847">
        <f t="shared" si="1171"/>
        <v>50933</v>
      </c>
      <c r="AY792" s="847">
        <f t="shared" si="1171"/>
        <v>52661</v>
      </c>
      <c r="AZ792" s="847">
        <f t="shared" si="1171"/>
        <v>53409</v>
      </c>
      <c r="BA792" s="661">
        <f t="shared" si="1171"/>
        <v>53409</v>
      </c>
      <c r="BB792" s="847">
        <f t="shared" si="1171"/>
        <v>53739</v>
      </c>
      <c r="BC792" s="847">
        <f t="shared" si="1171"/>
        <v>54014</v>
      </c>
      <c r="BD792" s="847">
        <f t="shared" si="1171"/>
        <v>54437</v>
      </c>
      <c r="BE792" s="847">
        <f t="shared" si="1171"/>
        <v>54728</v>
      </c>
      <c r="BF792" s="661">
        <f t="shared" si="1171"/>
        <v>54728</v>
      </c>
      <c r="BG792" s="847">
        <f t="shared" si="1171"/>
        <v>54862</v>
      </c>
      <c r="BH792" s="847">
        <f t="shared" si="1171"/>
        <v>54744</v>
      </c>
      <c r="BI792" s="847">
        <f t="shared" si="1171"/>
        <v>54744</v>
      </c>
      <c r="BJ792" s="847">
        <f t="shared" si="1171"/>
        <v>54991</v>
      </c>
      <c r="BK792" s="661">
        <f t="shared" si="1171"/>
        <v>54991</v>
      </c>
      <c r="BL792" s="847">
        <f t="shared" si="1171"/>
        <v>54991</v>
      </c>
      <c r="BM792" s="847">
        <f t="shared" si="1171"/>
        <v>55413</v>
      </c>
      <c r="BN792" s="847">
        <f t="shared" si="1171"/>
        <v>56042</v>
      </c>
      <c r="BO792" s="847">
        <f t="shared" si="1171"/>
        <v>56418</v>
      </c>
      <c r="BP792" s="194">
        <f t="shared" si="1171"/>
        <v>56418</v>
      </c>
      <c r="BQ792" s="847">
        <f t="shared" si="1171"/>
        <v>57025</v>
      </c>
      <c r="BR792" s="847">
        <f t="shared" si="1171"/>
        <v>58477</v>
      </c>
      <c r="BS792" s="847">
        <f t="shared" si="1171"/>
        <v>59695</v>
      </c>
      <c r="BT792" s="847">
        <f t="shared" si="1171"/>
        <v>61003</v>
      </c>
      <c r="BU792" s="194">
        <f t="shared" ref="BU792:CG792" si="1172">BU506+BU649</f>
        <v>61003</v>
      </c>
      <c r="BV792" s="847">
        <f t="shared" si="1172"/>
        <v>61144</v>
      </c>
      <c r="BW792" s="847">
        <f t="shared" si="1172"/>
        <v>62106</v>
      </c>
      <c r="BX792" s="847">
        <f t="shared" si="1172"/>
        <v>64229</v>
      </c>
      <c r="BY792" s="847">
        <f t="shared" si="1172"/>
        <v>65365</v>
      </c>
      <c r="BZ792" s="194">
        <f t="shared" si="1172"/>
        <v>65365</v>
      </c>
      <c r="CA792" s="847">
        <f t="shared" si="1172"/>
        <v>66278</v>
      </c>
      <c r="CB792" s="847">
        <f t="shared" si="1172"/>
        <v>67089</v>
      </c>
      <c r="CC792" s="847">
        <f t="shared" si="1172"/>
        <v>67099</v>
      </c>
      <c r="CD792" s="847">
        <f t="shared" si="1172"/>
        <v>67893</v>
      </c>
      <c r="CE792" s="194">
        <f t="shared" si="1172"/>
        <v>67893</v>
      </c>
      <c r="CF792" s="847">
        <f t="shared" si="1172"/>
        <v>68303</v>
      </c>
      <c r="CG792" s="847">
        <f t="shared" si="1172"/>
        <v>69306</v>
      </c>
      <c r="CH792" s="847">
        <f t="shared" ref="CH792:CV792" si="1173">CH506+CH649</f>
        <v>70770</v>
      </c>
      <c r="CI792" s="847">
        <f t="shared" si="1173"/>
        <v>71918</v>
      </c>
      <c r="CJ792" s="194">
        <f t="shared" si="1173"/>
        <v>71918</v>
      </c>
      <c r="CK792" s="2350">
        <f t="shared" si="1133"/>
        <v>72881</v>
      </c>
      <c r="CL792" s="847">
        <f t="shared" si="1173"/>
        <v>73566</v>
      </c>
      <c r="CM792" s="847">
        <f t="shared" si="1173"/>
        <v>74170</v>
      </c>
      <c r="CN792" s="847">
        <f t="shared" si="1173"/>
        <v>76213</v>
      </c>
      <c r="CO792" s="194">
        <f t="shared" si="1173"/>
        <v>76213</v>
      </c>
      <c r="CP792" s="973">
        <f t="shared" si="1128"/>
        <v>78711.48000000001</v>
      </c>
      <c r="CQ792" s="847">
        <f t="shared" si="1128"/>
        <v>79451.28</v>
      </c>
      <c r="CR792" s="847">
        <f t="shared" si="1128"/>
        <v>80106.47</v>
      </c>
      <c r="CS792" s="1431">
        <f t="shared" si="1128"/>
        <v>82312.91</v>
      </c>
      <c r="CT792" s="194">
        <f t="shared" si="1128"/>
        <v>82312.91</v>
      </c>
      <c r="CU792" s="194">
        <f t="shared" si="1173"/>
        <v>88486.378249999994</v>
      </c>
      <c r="CV792" s="194">
        <f t="shared" si="1173"/>
        <v>92025.833379999996</v>
      </c>
      <c r="CW792" s="374"/>
      <c r="CX792" s="374"/>
      <c r="CY792" s="374"/>
      <c r="CZ792" s="374"/>
      <c r="DA792" s="374"/>
      <c r="DB792" s="217"/>
    </row>
    <row r="793" spans="1:256" x14ac:dyDescent="0.2">
      <c r="A793" s="1266" t="s">
        <v>1391</v>
      </c>
      <c r="B793" s="651"/>
      <c r="C793" s="236"/>
      <c r="D793" s="207"/>
      <c r="E793" s="207"/>
      <c r="F793" s="207"/>
      <c r="G793" s="234"/>
      <c r="H793" s="661"/>
      <c r="I793" s="847">
        <f t="shared" ref="I793:AN793" si="1174">I507+I650</f>
        <v>5462</v>
      </c>
      <c r="J793" s="847">
        <f t="shared" si="1174"/>
        <v>5811</v>
      </c>
      <c r="K793" s="847">
        <f t="shared" si="1174"/>
        <v>6412</v>
      </c>
      <c r="L793" s="847">
        <f t="shared" si="1174"/>
        <v>6593</v>
      </c>
      <c r="M793" s="661">
        <f t="shared" si="1174"/>
        <v>6593</v>
      </c>
      <c r="N793" s="847">
        <f t="shared" si="1174"/>
        <v>6593</v>
      </c>
      <c r="O793" s="847">
        <f t="shared" si="1174"/>
        <v>6774</v>
      </c>
      <c r="P793" s="847">
        <f t="shared" si="1174"/>
        <v>6944</v>
      </c>
      <c r="Q793" s="847">
        <f t="shared" si="1174"/>
        <v>7039</v>
      </c>
      <c r="R793" s="661">
        <f t="shared" si="1174"/>
        <v>7039</v>
      </c>
      <c r="S793" s="847">
        <f t="shared" si="1174"/>
        <v>7141</v>
      </c>
      <c r="T793" s="847">
        <f t="shared" si="1174"/>
        <v>7523</v>
      </c>
      <c r="U793" s="847">
        <f t="shared" si="1174"/>
        <v>7848</v>
      </c>
      <c r="V793" s="847">
        <f t="shared" si="1174"/>
        <v>7909</v>
      </c>
      <c r="W793" s="661">
        <f t="shared" si="1174"/>
        <v>7909</v>
      </c>
      <c r="X793" s="847">
        <f t="shared" si="1174"/>
        <v>7991</v>
      </c>
      <c r="Y793" s="847">
        <f t="shared" si="1174"/>
        <v>7801</v>
      </c>
      <c r="Z793" s="847">
        <f t="shared" si="1174"/>
        <v>7894</v>
      </c>
      <c r="AA793" s="847">
        <f t="shared" si="1174"/>
        <v>8049</v>
      </c>
      <c r="AB793" s="661">
        <f t="shared" si="1174"/>
        <v>8049</v>
      </c>
      <c r="AC793" s="847">
        <f t="shared" si="1174"/>
        <v>8155</v>
      </c>
      <c r="AD793" s="847">
        <f t="shared" si="1174"/>
        <v>8274</v>
      </c>
      <c r="AE793" s="847">
        <f t="shared" si="1174"/>
        <v>8361</v>
      </c>
      <c r="AF793" s="847">
        <f t="shared" si="1174"/>
        <v>8643</v>
      </c>
      <c r="AG793" s="661">
        <f t="shared" si="1174"/>
        <v>8643</v>
      </c>
      <c r="AH793" s="847">
        <f t="shared" si="1174"/>
        <v>8643</v>
      </c>
      <c r="AI793" s="847">
        <f t="shared" si="1174"/>
        <v>8728</v>
      </c>
      <c r="AJ793" s="847">
        <f t="shared" si="1174"/>
        <v>8634</v>
      </c>
      <c r="AK793" s="847">
        <f t="shared" si="1174"/>
        <v>8707</v>
      </c>
      <c r="AL793" s="661">
        <f t="shared" si="1174"/>
        <v>8707</v>
      </c>
      <c r="AM793" s="847">
        <f t="shared" si="1174"/>
        <v>8705</v>
      </c>
      <c r="AN793" s="847">
        <f t="shared" si="1174"/>
        <v>9196</v>
      </c>
      <c r="AO793" s="847">
        <f t="shared" ref="AO793:BT793" si="1175">AO507+AO650</f>
        <v>9806</v>
      </c>
      <c r="AP793" s="847">
        <f t="shared" si="1175"/>
        <v>10461</v>
      </c>
      <c r="AQ793" s="661">
        <f t="shared" si="1175"/>
        <v>10461</v>
      </c>
      <c r="AR793" s="847">
        <f t="shared" si="1175"/>
        <v>10861</v>
      </c>
      <c r="AS793" s="847">
        <f t="shared" si="1175"/>
        <v>11534</v>
      </c>
      <c r="AT793" s="847">
        <f t="shared" si="1175"/>
        <v>11742</v>
      </c>
      <c r="AU793" s="847">
        <f t="shared" si="1175"/>
        <v>12667</v>
      </c>
      <c r="AV793" s="661">
        <f t="shared" si="1175"/>
        <v>12667</v>
      </c>
      <c r="AW793" s="847">
        <f t="shared" si="1175"/>
        <v>12982</v>
      </c>
      <c r="AX793" s="847">
        <f t="shared" si="1175"/>
        <v>13700</v>
      </c>
      <c r="AY793" s="847">
        <f t="shared" si="1175"/>
        <v>14258</v>
      </c>
      <c r="AZ793" s="847">
        <f t="shared" si="1175"/>
        <v>14792</v>
      </c>
      <c r="BA793" s="661">
        <f t="shared" si="1175"/>
        <v>14792</v>
      </c>
      <c r="BB793" s="847">
        <f t="shared" si="1175"/>
        <v>15101</v>
      </c>
      <c r="BC793" s="847">
        <f t="shared" si="1175"/>
        <v>15405</v>
      </c>
      <c r="BD793" s="847">
        <f t="shared" si="1175"/>
        <v>15662</v>
      </c>
      <c r="BE793" s="847">
        <f t="shared" si="1175"/>
        <v>15767</v>
      </c>
      <c r="BF793" s="661">
        <f t="shared" si="1175"/>
        <v>15767</v>
      </c>
      <c r="BG793" s="847">
        <f t="shared" si="1175"/>
        <v>15856</v>
      </c>
      <c r="BH793" s="847">
        <f t="shared" si="1175"/>
        <v>16044</v>
      </c>
      <c r="BI793" s="847">
        <f t="shared" si="1175"/>
        <v>16217</v>
      </c>
      <c r="BJ793" s="847">
        <f t="shared" si="1175"/>
        <v>17067</v>
      </c>
      <c r="BK793" s="661">
        <f t="shared" si="1175"/>
        <v>17067</v>
      </c>
      <c r="BL793" s="847">
        <f t="shared" si="1175"/>
        <v>17267</v>
      </c>
      <c r="BM793" s="847">
        <f t="shared" si="1175"/>
        <v>17893</v>
      </c>
      <c r="BN793" s="847">
        <f t="shared" si="1175"/>
        <v>18337</v>
      </c>
      <c r="BO793" s="847">
        <f t="shared" si="1175"/>
        <v>18641</v>
      </c>
      <c r="BP793" s="194">
        <f t="shared" si="1175"/>
        <v>18641</v>
      </c>
      <c r="BQ793" s="847">
        <f t="shared" si="1175"/>
        <v>18956</v>
      </c>
      <c r="BR793" s="847">
        <f t="shared" si="1175"/>
        <v>19468</v>
      </c>
      <c r="BS793" s="847">
        <f t="shared" si="1175"/>
        <v>19468</v>
      </c>
      <c r="BT793" s="847">
        <f t="shared" si="1175"/>
        <v>19877</v>
      </c>
      <c r="BU793" s="194">
        <f t="shared" ref="BU793:CG793" si="1176">BU507+BU650</f>
        <v>19877</v>
      </c>
      <c r="BV793" s="847">
        <f t="shared" si="1176"/>
        <v>20242</v>
      </c>
      <c r="BW793" s="847">
        <f t="shared" si="1176"/>
        <v>21081</v>
      </c>
      <c r="BX793" s="847">
        <f t="shared" si="1176"/>
        <v>21715</v>
      </c>
      <c r="BY793" s="847">
        <f t="shared" si="1176"/>
        <v>22748</v>
      </c>
      <c r="BZ793" s="194">
        <f t="shared" si="1176"/>
        <v>22748</v>
      </c>
      <c r="CA793" s="847">
        <f t="shared" si="1176"/>
        <v>23712</v>
      </c>
      <c r="CB793" s="847">
        <f t="shared" si="1176"/>
        <v>24370</v>
      </c>
      <c r="CC793" s="847">
        <f t="shared" si="1176"/>
        <v>24768</v>
      </c>
      <c r="CD793" s="847">
        <f t="shared" si="1176"/>
        <v>25388</v>
      </c>
      <c r="CE793" s="194">
        <f t="shared" si="1176"/>
        <v>25388</v>
      </c>
      <c r="CF793" s="847">
        <f t="shared" si="1176"/>
        <v>26375</v>
      </c>
      <c r="CG793" s="847">
        <f t="shared" si="1176"/>
        <v>27214</v>
      </c>
      <c r="CH793" s="847">
        <f t="shared" ref="CH793:CV793" si="1177">CH507+CH650</f>
        <v>27709</v>
      </c>
      <c r="CI793" s="847">
        <f t="shared" si="1177"/>
        <v>28512</v>
      </c>
      <c r="CJ793" s="194">
        <f t="shared" si="1177"/>
        <v>28512</v>
      </c>
      <c r="CK793" s="2350">
        <f t="shared" si="1133"/>
        <v>29644</v>
      </c>
      <c r="CL793" s="847">
        <f t="shared" ca="1" si="1177"/>
        <v>30476</v>
      </c>
      <c r="CM793" s="847">
        <f t="shared" ca="1" si="1177"/>
        <v>31510</v>
      </c>
      <c r="CN793" s="847">
        <f t="shared" ca="1" si="1177"/>
        <v>32431</v>
      </c>
      <c r="CO793" s="194">
        <f t="shared" ca="1" si="1177"/>
        <v>32431</v>
      </c>
      <c r="CP793" s="973">
        <f t="shared" si="1128"/>
        <v>32608.400000000001</v>
      </c>
      <c r="CQ793" s="847">
        <f t="shared" ca="1" si="1128"/>
        <v>33523.600000000006</v>
      </c>
      <c r="CR793" s="847">
        <f t="shared" ca="1" si="1128"/>
        <v>34661</v>
      </c>
      <c r="CS793" s="1431">
        <f t="shared" ca="1" si="1128"/>
        <v>35674.100000000006</v>
      </c>
      <c r="CT793" s="194">
        <f t="shared" ca="1" si="1128"/>
        <v>35674.100000000006</v>
      </c>
      <c r="CU793" s="194">
        <f t="shared" ca="1" si="1177"/>
        <v>38349.657500000001</v>
      </c>
      <c r="CV793" s="194">
        <f t="shared" ca="1" si="1177"/>
        <v>39500.147225000001</v>
      </c>
      <c r="CW793" s="374"/>
      <c r="CX793" s="374"/>
      <c r="CY793" s="374"/>
      <c r="CZ793" s="374"/>
      <c r="DA793" s="374"/>
      <c r="DB793" s="217"/>
    </row>
    <row r="794" spans="1:256" x14ac:dyDescent="0.2">
      <c r="A794" s="1266" t="s">
        <v>1389</v>
      </c>
      <c r="B794" s="651"/>
      <c r="C794" s="236"/>
      <c r="D794" s="207"/>
      <c r="E794" s="207"/>
      <c r="F794" s="207"/>
      <c r="G794" s="234"/>
      <c r="H794" s="661"/>
      <c r="I794" s="847">
        <f t="shared" ref="I794:AN794" si="1178">I508+I651</f>
        <v>34834</v>
      </c>
      <c r="J794" s="847">
        <f t="shared" si="1178"/>
        <v>36758</v>
      </c>
      <c r="K794" s="847">
        <f t="shared" si="1178"/>
        <v>37389</v>
      </c>
      <c r="L794" s="847">
        <f t="shared" si="1178"/>
        <v>45040</v>
      </c>
      <c r="M794" s="661">
        <f t="shared" si="1178"/>
        <v>45040</v>
      </c>
      <c r="N794" s="847">
        <f t="shared" si="1178"/>
        <v>45858</v>
      </c>
      <c r="O794" s="847">
        <f t="shared" si="1178"/>
        <v>46474</v>
      </c>
      <c r="P794" s="847">
        <f t="shared" si="1178"/>
        <v>47081</v>
      </c>
      <c r="Q794" s="847">
        <f t="shared" si="1178"/>
        <v>47324</v>
      </c>
      <c r="R794" s="661">
        <f t="shared" si="1178"/>
        <v>47324</v>
      </c>
      <c r="S794" s="847">
        <f t="shared" si="1178"/>
        <v>47895</v>
      </c>
      <c r="T794" s="847">
        <f t="shared" si="1178"/>
        <v>48511</v>
      </c>
      <c r="U794" s="847">
        <f t="shared" si="1178"/>
        <v>48821</v>
      </c>
      <c r="V794" s="847">
        <f t="shared" si="1178"/>
        <v>49351</v>
      </c>
      <c r="W794" s="661">
        <f t="shared" si="1178"/>
        <v>49351</v>
      </c>
      <c r="X794" s="847">
        <f t="shared" si="1178"/>
        <v>49619</v>
      </c>
      <c r="Y794" s="847">
        <f t="shared" si="1178"/>
        <v>49336</v>
      </c>
      <c r="Z794" s="847">
        <f t="shared" si="1178"/>
        <v>48270</v>
      </c>
      <c r="AA794" s="847">
        <f t="shared" si="1178"/>
        <v>47855</v>
      </c>
      <c r="AB794" s="661">
        <f t="shared" si="1178"/>
        <v>47855</v>
      </c>
      <c r="AC794" s="847">
        <f t="shared" si="1178"/>
        <v>46985</v>
      </c>
      <c r="AD794" s="847">
        <f t="shared" si="1178"/>
        <v>46542</v>
      </c>
      <c r="AE794" s="847">
        <f t="shared" si="1178"/>
        <v>46971</v>
      </c>
      <c r="AF794" s="847">
        <f t="shared" si="1178"/>
        <v>47144</v>
      </c>
      <c r="AG794" s="661">
        <f t="shared" si="1178"/>
        <v>47144</v>
      </c>
      <c r="AH794" s="847">
        <f t="shared" si="1178"/>
        <v>47066</v>
      </c>
      <c r="AI794" s="847">
        <f t="shared" si="1178"/>
        <v>46450</v>
      </c>
      <c r="AJ794" s="847">
        <f t="shared" si="1178"/>
        <v>46164</v>
      </c>
      <c r="AK794" s="847">
        <f t="shared" si="1178"/>
        <v>45734</v>
      </c>
      <c r="AL794" s="661">
        <f t="shared" si="1178"/>
        <v>45734</v>
      </c>
      <c r="AM794" s="847">
        <f t="shared" si="1178"/>
        <v>45011</v>
      </c>
      <c r="AN794" s="847">
        <f t="shared" si="1178"/>
        <v>45493</v>
      </c>
      <c r="AO794" s="847">
        <f t="shared" ref="AO794:BT794" si="1179">AO508+AO651</f>
        <v>46235</v>
      </c>
      <c r="AP794" s="847">
        <f t="shared" si="1179"/>
        <v>47022</v>
      </c>
      <c r="AQ794" s="661">
        <f t="shared" si="1179"/>
        <v>47022</v>
      </c>
      <c r="AR794" s="847">
        <f t="shared" si="1179"/>
        <v>46695</v>
      </c>
      <c r="AS794" s="847">
        <f t="shared" si="1179"/>
        <v>47828</v>
      </c>
      <c r="AT794" s="847">
        <f t="shared" si="1179"/>
        <v>48796</v>
      </c>
      <c r="AU794" s="847">
        <f t="shared" si="1179"/>
        <v>49932</v>
      </c>
      <c r="AV794" s="661">
        <f t="shared" si="1179"/>
        <v>49932</v>
      </c>
      <c r="AW794" s="847">
        <f t="shared" si="1179"/>
        <v>51306</v>
      </c>
      <c r="AX794" s="847">
        <f t="shared" si="1179"/>
        <v>52704</v>
      </c>
      <c r="AY794" s="847">
        <f t="shared" si="1179"/>
        <v>54591</v>
      </c>
      <c r="AZ794" s="847">
        <f t="shared" si="1179"/>
        <v>55676</v>
      </c>
      <c r="BA794" s="661">
        <f t="shared" si="1179"/>
        <v>55676</v>
      </c>
      <c r="BB794" s="847">
        <f t="shared" si="1179"/>
        <v>57002</v>
      </c>
      <c r="BC794" s="847">
        <f t="shared" si="1179"/>
        <v>57878</v>
      </c>
      <c r="BD794" s="847">
        <f t="shared" si="1179"/>
        <v>58578</v>
      </c>
      <c r="BE794" s="847">
        <f t="shared" si="1179"/>
        <v>58690</v>
      </c>
      <c r="BF794" s="661">
        <f t="shared" si="1179"/>
        <v>58690</v>
      </c>
      <c r="BG794" s="847">
        <f t="shared" si="1179"/>
        <v>58722</v>
      </c>
      <c r="BH794" s="847">
        <f t="shared" si="1179"/>
        <v>59306</v>
      </c>
      <c r="BI794" s="847">
        <f t="shared" si="1179"/>
        <v>60316</v>
      </c>
      <c r="BJ794" s="847">
        <f t="shared" si="1179"/>
        <v>60905</v>
      </c>
      <c r="BK794" s="661">
        <f t="shared" si="1179"/>
        <v>60905</v>
      </c>
      <c r="BL794" s="847">
        <f t="shared" si="1179"/>
        <v>61193</v>
      </c>
      <c r="BM794" s="847">
        <f t="shared" si="1179"/>
        <v>61494</v>
      </c>
      <c r="BN794" s="847">
        <f t="shared" si="1179"/>
        <v>61839</v>
      </c>
      <c r="BO794" s="847">
        <f t="shared" si="1179"/>
        <v>61990</v>
      </c>
      <c r="BP794" s="194">
        <f t="shared" si="1179"/>
        <v>61990</v>
      </c>
      <c r="BQ794" s="847">
        <f t="shared" si="1179"/>
        <v>62179</v>
      </c>
      <c r="BR794" s="847">
        <f t="shared" si="1179"/>
        <v>63516</v>
      </c>
      <c r="BS794" s="847">
        <f t="shared" si="1179"/>
        <v>63984</v>
      </c>
      <c r="BT794" s="847">
        <f t="shared" si="1179"/>
        <v>63620</v>
      </c>
      <c r="BU794" s="194">
        <f t="shared" ref="BU794:CG794" si="1180">BU508+BU651</f>
        <v>63620</v>
      </c>
      <c r="BV794" s="847">
        <f t="shared" si="1180"/>
        <v>63966</v>
      </c>
      <c r="BW794" s="847">
        <f t="shared" si="1180"/>
        <v>64232</v>
      </c>
      <c r="BX794" s="847">
        <f t="shared" si="1180"/>
        <v>65154</v>
      </c>
      <c r="BY794" s="847">
        <f t="shared" si="1180"/>
        <v>64975</v>
      </c>
      <c r="BZ794" s="194">
        <f t="shared" si="1180"/>
        <v>64975</v>
      </c>
      <c r="CA794" s="847">
        <f t="shared" si="1180"/>
        <v>65674</v>
      </c>
      <c r="CB794" s="847">
        <f t="shared" si="1180"/>
        <v>67257</v>
      </c>
      <c r="CC794" s="847">
        <f t="shared" si="1180"/>
        <v>67812</v>
      </c>
      <c r="CD794" s="847">
        <f t="shared" si="1180"/>
        <v>69032</v>
      </c>
      <c r="CE794" s="194">
        <f t="shared" si="1180"/>
        <v>69032</v>
      </c>
      <c r="CF794" s="847">
        <f t="shared" si="1180"/>
        <v>69819</v>
      </c>
      <c r="CG794" s="847">
        <f t="shared" si="1180"/>
        <v>71918</v>
      </c>
      <c r="CH794" s="847">
        <f t="shared" ref="CH794:CV794" si="1181">CH508+CH651</f>
        <v>73605</v>
      </c>
      <c r="CI794" s="847">
        <f t="shared" si="1181"/>
        <v>75386</v>
      </c>
      <c r="CJ794" s="194">
        <f t="shared" si="1181"/>
        <v>75386</v>
      </c>
      <c r="CK794" s="2350">
        <f t="shared" si="1133"/>
        <v>76679</v>
      </c>
      <c r="CL794" s="847">
        <f t="shared" si="1181"/>
        <v>78332</v>
      </c>
      <c r="CM794" s="847">
        <f t="shared" si="1181"/>
        <v>80154</v>
      </c>
      <c r="CN794" s="847">
        <f t="shared" si="1181"/>
        <v>82424</v>
      </c>
      <c r="CO794" s="194">
        <f t="shared" si="1181"/>
        <v>82424</v>
      </c>
      <c r="CP794" s="973">
        <f t="shared" si="1128"/>
        <v>84339.180000000008</v>
      </c>
      <c r="CQ794" s="847">
        <f t="shared" si="1128"/>
        <v>86153.300000000017</v>
      </c>
      <c r="CR794" s="847">
        <f t="shared" si="1128"/>
        <v>88161.85</v>
      </c>
      <c r="CS794" s="1431">
        <f t="shared" si="1128"/>
        <v>90654.830000000016</v>
      </c>
      <c r="CT794" s="194">
        <f t="shared" si="1128"/>
        <v>90654.830000000016</v>
      </c>
      <c r="CU794" s="194">
        <f t="shared" si="1181"/>
        <v>97453.942250000007</v>
      </c>
      <c r="CV794" s="194">
        <f t="shared" si="1181"/>
        <v>100391.11766500001</v>
      </c>
      <c r="CW794" s="374"/>
      <c r="CX794" s="374"/>
      <c r="CY794" s="374"/>
      <c r="CZ794" s="374"/>
      <c r="DA794" s="374"/>
      <c r="DB794" s="217"/>
    </row>
    <row r="795" spans="1:256" x14ac:dyDescent="0.2">
      <c r="A795" s="1266" t="s">
        <v>1390</v>
      </c>
      <c r="B795" s="651"/>
      <c r="C795" s="236"/>
      <c r="D795" s="207"/>
      <c r="E795" s="207"/>
      <c r="F795" s="207"/>
      <c r="G795" s="234"/>
      <c r="H795" s="661"/>
      <c r="I795" s="847">
        <f t="shared" ref="I795:AN795" si="1182">I509+I652</f>
        <v>5084</v>
      </c>
      <c r="J795" s="847">
        <f t="shared" si="1182"/>
        <v>5553</v>
      </c>
      <c r="K795" s="847">
        <f t="shared" si="1182"/>
        <v>6097</v>
      </c>
      <c r="L795" s="847">
        <f t="shared" si="1182"/>
        <v>6724</v>
      </c>
      <c r="M795" s="661">
        <f t="shared" si="1182"/>
        <v>6724</v>
      </c>
      <c r="N795" s="847">
        <f t="shared" si="1182"/>
        <v>6952</v>
      </c>
      <c r="O795" s="847">
        <f t="shared" si="1182"/>
        <v>7723</v>
      </c>
      <c r="P795" s="847">
        <f t="shared" si="1182"/>
        <v>7840</v>
      </c>
      <c r="Q795" s="847">
        <f t="shared" si="1182"/>
        <v>8022</v>
      </c>
      <c r="R795" s="661">
        <f t="shared" si="1182"/>
        <v>8022</v>
      </c>
      <c r="S795" s="847">
        <f t="shared" si="1182"/>
        <v>8022</v>
      </c>
      <c r="T795" s="847">
        <f t="shared" si="1182"/>
        <v>8656</v>
      </c>
      <c r="U795" s="847">
        <f t="shared" si="1182"/>
        <v>8802</v>
      </c>
      <c r="V795" s="847">
        <f t="shared" si="1182"/>
        <v>9230</v>
      </c>
      <c r="W795" s="661">
        <f t="shared" si="1182"/>
        <v>9230</v>
      </c>
      <c r="X795" s="847">
        <f t="shared" si="1182"/>
        <v>9451</v>
      </c>
      <c r="Y795" s="847">
        <f t="shared" si="1182"/>
        <v>9888</v>
      </c>
      <c r="Z795" s="847">
        <f t="shared" si="1182"/>
        <v>10473</v>
      </c>
      <c r="AA795" s="847">
        <f t="shared" si="1182"/>
        <v>10953</v>
      </c>
      <c r="AB795" s="661">
        <f t="shared" si="1182"/>
        <v>10953</v>
      </c>
      <c r="AC795" s="847">
        <f t="shared" si="1182"/>
        <v>11047</v>
      </c>
      <c r="AD795" s="847">
        <f t="shared" si="1182"/>
        <v>11960</v>
      </c>
      <c r="AE795" s="847">
        <f t="shared" si="1182"/>
        <v>11950</v>
      </c>
      <c r="AF795" s="847">
        <f t="shared" si="1182"/>
        <v>12187</v>
      </c>
      <c r="AG795" s="661">
        <f t="shared" si="1182"/>
        <v>12187</v>
      </c>
      <c r="AH795" s="847">
        <f t="shared" si="1182"/>
        <v>13063</v>
      </c>
      <c r="AI795" s="847">
        <f t="shared" si="1182"/>
        <v>13372</v>
      </c>
      <c r="AJ795" s="847">
        <f t="shared" si="1182"/>
        <v>13789</v>
      </c>
      <c r="AK795" s="847">
        <f t="shared" si="1182"/>
        <v>14227</v>
      </c>
      <c r="AL795" s="661">
        <f t="shared" si="1182"/>
        <v>14227</v>
      </c>
      <c r="AM795" s="847">
        <f t="shared" si="1182"/>
        <v>14584</v>
      </c>
      <c r="AN795" s="847">
        <f t="shared" si="1182"/>
        <v>15322</v>
      </c>
      <c r="AO795" s="847">
        <f t="shared" ref="AO795:BT795" si="1183">AO509+AO652</f>
        <v>15796</v>
      </c>
      <c r="AP795" s="847">
        <f t="shared" si="1183"/>
        <v>16869</v>
      </c>
      <c r="AQ795" s="661">
        <f t="shared" si="1183"/>
        <v>16869</v>
      </c>
      <c r="AR795" s="847">
        <f t="shared" si="1183"/>
        <v>17881</v>
      </c>
      <c r="AS795" s="847">
        <f t="shared" si="1183"/>
        <v>19025</v>
      </c>
      <c r="AT795" s="847">
        <f t="shared" si="1183"/>
        <v>19241</v>
      </c>
      <c r="AU795" s="847">
        <f t="shared" si="1183"/>
        <v>20211</v>
      </c>
      <c r="AV795" s="661">
        <f t="shared" si="1183"/>
        <v>20211</v>
      </c>
      <c r="AW795" s="847">
        <f t="shared" si="1183"/>
        <v>21312</v>
      </c>
      <c r="AX795" s="847">
        <f t="shared" si="1183"/>
        <v>22228</v>
      </c>
      <c r="AY795" s="847">
        <f t="shared" si="1183"/>
        <v>23802</v>
      </c>
      <c r="AZ795" s="847">
        <f t="shared" si="1183"/>
        <v>25054</v>
      </c>
      <c r="BA795" s="661">
        <f t="shared" si="1183"/>
        <v>25054</v>
      </c>
      <c r="BB795" s="847">
        <f t="shared" si="1183"/>
        <v>25692</v>
      </c>
      <c r="BC795" s="847">
        <f t="shared" si="1183"/>
        <v>26384</v>
      </c>
      <c r="BD795" s="847">
        <f t="shared" si="1183"/>
        <v>26740</v>
      </c>
      <c r="BE795" s="847">
        <f t="shared" si="1183"/>
        <v>26929</v>
      </c>
      <c r="BF795" s="661">
        <f t="shared" si="1183"/>
        <v>26929</v>
      </c>
      <c r="BG795" s="847">
        <f t="shared" si="1183"/>
        <v>26929</v>
      </c>
      <c r="BH795" s="847">
        <f t="shared" si="1183"/>
        <v>27577</v>
      </c>
      <c r="BI795" s="847">
        <f t="shared" si="1183"/>
        <v>28222</v>
      </c>
      <c r="BJ795" s="847">
        <f t="shared" si="1183"/>
        <v>28454</v>
      </c>
      <c r="BK795" s="661">
        <f t="shared" si="1183"/>
        <v>28454</v>
      </c>
      <c r="BL795" s="847">
        <f t="shared" si="1183"/>
        <v>28809</v>
      </c>
      <c r="BM795" s="847">
        <f t="shared" si="1183"/>
        <v>29314</v>
      </c>
      <c r="BN795" s="847">
        <f t="shared" si="1183"/>
        <v>30126</v>
      </c>
      <c r="BO795" s="847">
        <f t="shared" si="1183"/>
        <v>30598</v>
      </c>
      <c r="BP795" s="194">
        <f t="shared" si="1183"/>
        <v>30598</v>
      </c>
      <c r="BQ795" s="847">
        <f t="shared" si="1183"/>
        <v>30598</v>
      </c>
      <c r="BR795" s="847">
        <f t="shared" si="1183"/>
        <v>31046</v>
      </c>
      <c r="BS795" s="847">
        <f t="shared" si="1183"/>
        <v>31270</v>
      </c>
      <c r="BT795" s="847">
        <f t="shared" si="1183"/>
        <v>31605</v>
      </c>
      <c r="BU795" s="194">
        <f t="shared" ref="BU795:CG795" si="1184">BU509+BU652</f>
        <v>31605</v>
      </c>
      <c r="BV795" s="847">
        <f t="shared" si="1184"/>
        <v>32151</v>
      </c>
      <c r="BW795" s="847">
        <f t="shared" si="1184"/>
        <v>32254</v>
      </c>
      <c r="BX795" s="847">
        <f t="shared" si="1184"/>
        <v>32305</v>
      </c>
      <c r="BY795" s="847">
        <f t="shared" si="1184"/>
        <v>32817</v>
      </c>
      <c r="BZ795" s="194">
        <f t="shared" si="1184"/>
        <v>32817</v>
      </c>
      <c r="CA795" s="847">
        <f t="shared" si="1184"/>
        <v>33441</v>
      </c>
      <c r="CB795" s="847">
        <f t="shared" si="1184"/>
        <v>34102</v>
      </c>
      <c r="CC795" s="847">
        <f t="shared" si="1184"/>
        <v>34688</v>
      </c>
      <c r="CD795" s="847">
        <f t="shared" si="1184"/>
        <v>35030</v>
      </c>
      <c r="CE795" s="194">
        <f t="shared" si="1184"/>
        <v>35030</v>
      </c>
      <c r="CF795" s="847">
        <f t="shared" si="1184"/>
        <v>35849</v>
      </c>
      <c r="CG795" s="847">
        <f t="shared" si="1184"/>
        <v>36524</v>
      </c>
      <c r="CH795" s="847">
        <f t="shared" ref="CH795:CV795" si="1185">CH509+CH652</f>
        <v>36992</v>
      </c>
      <c r="CI795" s="847">
        <f t="shared" si="1185"/>
        <v>37672</v>
      </c>
      <c r="CJ795" s="194">
        <f t="shared" si="1185"/>
        <v>37672</v>
      </c>
      <c r="CK795" s="2350">
        <f t="shared" si="1133"/>
        <v>38128</v>
      </c>
      <c r="CL795" s="847">
        <f t="shared" ca="1" si="1185"/>
        <v>39367</v>
      </c>
      <c r="CM795" s="847">
        <f t="shared" ca="1" si="1185"/>
        <v>40464</v>
      </c>
      <c r="CN795" s="847">
        <f t="shared" ca="1" si="1185"/>
        <v>41092</v>
      </c>
      <c r="CO795" s="194">
        <f t="shared" ca="1" si="1185"/>
        <v>41092</v>
      </c>
      <c r="CP795" s="973">
        <f t="shared" si="1128"/>
        <v>41178.240000000005</v>
      </c>
      <c r="CQ795" s="847">
        <f t="shared" ca="1" si="1128"/>
        <v>42516.36</v>
      </c>
      <c r="CR795" s="847">
        <f t="shared" ca="1" si="1128"/>
        <v>43701.120000000003</v>
      </c>
      <c r="CS795" s="1431">
        <f t="shared" ca="1" si="1128"/>
        <v>44379.360000000001</v>
      </c>
      <c r="CT795" s="194">
        <f t="shared" ca="1" si="1128"/>
        <v>44379.360000000001</v>
      </c>
      <c r="CU795" s="194">
        <f t="shared" ca="1" si="1185"/>
        <v>47707.811999999998</v>
      </c>
      <c r="CV795" s="194">
        <f t="shared" ca="1" si="1185"/>
        <v>49616.124479999999</v>
      </c>
      <c r="CW795" s="374"/>
      <c r="CX795" s="374"/>
      <c r="CY795" s="374"/>
      <c r="CZ795" s="374"/>
      <c r="DA795" s="374"/>
      <c r="DB795" s="217"/>
    </row>
    <row r="796" spans="1:256" x14ac:dyDescent="0.2">
      <c r="A796" s="1266" t="s">
        <v>650</v>
      </c>
      <c r="B796" s="651"/>
      <c r="C796" s="236"/>
      <c r="D796" s="207"/>
      <c r="E796" s="207"/>
      <c r="F796" s="207"/>
      <c r="G796" s="234"/>
      <c r="H796" s="661"/>
      <c r="I796" s="847">
        <f t="shared" ref="I796:AN796" si="1186">I510+I653</f>
        <v>10289</v>
      </c>
      <c r="J796" s="847">
        <f t="shared" si="1186"/>
        <v>11261</v>
      </c>
      <c r="K796" s="847">
        <f t="shared" si="1186"/>
        <v>17405</v>
      </c>
      <c r="L796" s="847">
        <f t="shared" si="1186"/>
        <v>18114</v>
      </c>
      <c r="M796" s="661">
        <f t="shared" si="1186"/>
        <v>18114</v>
      </c>
      <c r="N796" s="847">
        <f t="shared" si="1186"/>
        <v>18822</v>
      </c>
      <c r="O796" s="847">
        <f t="shared" si="1186"/>
        <v>19353</v>
      </c>
      <c r="P796" s="847">
        <f t="shared" si="1186"/>
        <v>20167</v>
      </c>
      <c r="Q796" s="847">
        <f t="shared" si="1186"/>
        <v>20503</v>
      </c>
      <c r="R796" s="661">
        <f t="shared" si="1186"/>
        <v>20503</v>
      </c>
      <c r="S796" s="847">
        <f t="shared" si="1186"/>
        <v>21147</v>
      </c>
      <c r="T796" s="847">
        <f t="shared" si="1186"/>
        <v>23042</v>
      </c>
      <c r="U796" s="847">
        <f t="shared" si="1186"/>
        <v>24475</v>
      </c>
      <c r="V796" s="847">
        <f t="shared" si="1186"/>
        <v>25423</v>
      </c>
      <c r="W796" s="661">
        <f t="shared" si="1186"/>
        <v>25423</v>
      </c>
      <c r="X796" s="847">
        <f t="shared" si="1186"/>
        <v>26795</v>
      </c>
      <c r="Y796" s="847">
        <f t="shared" si="1186"/>
        <v>27136</v>
      </c>
      <c r="Z796" s="847">
        <f t="shared" si="1186"/>
        <v>27031</v>
      </c>
      <c r="AA796" s="847">
        <f t="shared" si="1186"/>
        <v>0</v>
      </c>
      <c r="AB796" s="661">
        <f t="shared" si="1186"/>
        <v>0</v>
      </c>
      <c r="AC796" s="847">
        <f t="shared" si="1186"/>
        <v>0</v>
      </c>
      <c r="AD796" s="847">
        <f t="shared" si="1186"/>
        <v>0</v>
      </c>
      <c r="AE796" s="847">
        <f t="shared" si="1186"/>
        <v>0</v>
      </c>
      <c r="AF796" s="847">
        <f t="shared" si="1186"/>
        <v>0</v>
      </c>
      <c r="AG796" s="661">
        <f t="shared" si="1186"/>
        <v>0</v>
      </c>
      <c r="AH796" s="847">
        <f t="shared" si="1186"/>
        <v>0</v>
      </c>
      <c r="AI796" s="847">
        <f t="shared" si="1186"/>
        <v>0</v>
      </c>
      <c r="AJ796" s="847">
        <f t="shared" si="1186"/>
        <v>0</v>
      </c>
      <c r="AK796" s="847">
        <f t="shared" si="1186"/>
        <v>0</v>
      </c>
      <c r="AL796" s="661">
        <f t="shared" si="1186"/>
        <v>0</v>
      </c>
      <c r="AM796" s="847">
        <f t="shared" si="1186"/>
        <v>0</v>
      </c>
      <c r="AN796" s="847">
        <f t="shared" si="1186"/>
        <v>0</v>
      </c>
      <c r="AO796" s="847">
        <f t="shared" ref="AO796:BT796" si="1187">AO510+AO653</f>
        <v>0</v>
      </c>
      <c r="AP796" s="847">
        <f t="shared" si="1187"/>
        <v>0</v>
      </c>
      <c r="AQ796" s="661">
        <f t="shared" si="1187"/>
        <v>0</v>
      </c>
      <c r="AR796" s="847">
        <f t="shared" si="1187"/>
        <v>0</v>
      </c>
      <c r="AS796" s="847">
        <f t="shared" si="1187"/>
        <v>0</v>
      </c>
      <c r="AT796" s="847">
        <f t="shared" si="1187"/>
        <v>0</v>
      </c>
      <c r="AU796" s="847">
        <f t="shared" si="1187"/>
        <v>0</v>
      </c>
      <c r="AV796" s="661">
        <f t="shared" si="1187"/>
        <v>0</v>
      </c>
      <c r="AW796" s="847">
        <f t="shared" si="1187"/>
        <v>0</v>
      </c>
      <c r="AX796" s="847">
        <f t="shared" si="1187"/>
        <v>0</v>
      </c>
      <c r="AY796" s="847">
        <f t="shared" si="1187"/>
        <v>0</v>
      </c>
      <c r="AZ796" s="847">
        <f t="shared" si="1187"/>
        <v>0</v>
      </c>
      <c r="BA796" s="661">
        <f t="shared" si="1187"/>
        <v>0</v>
      </c>
      <c r="BB796" s="847">
        <f t="shared" si="1187"/>
        <v>0</v>
      </c>
      <c r="BC796" s="847">
        <f t="shared" si="1187"/>
        <v>0</v>
      </c>
      <c r="BD796" s="847">
        <f t="shared" si="1187"/>
        <v>0</v>
      </c>
      <c r="BE796" s="847">
        <f t="shared" si="1187"/>
        <v>0</v>
      </c>
      <c r="BF796" s="661">
        <f t="shared" si="1187"/>
        <v>0</v>
      </c>
      <c r="BG796" s="847">
        <f t="shared" si="1187"/>
        <v>0</v>
      </c>
      <c r="BH796" s="847">
        <f t="shared" si="1187"/>
        <v>0</v>
      </c>
      <c r="BI796" s="847">
        <f t="shared" si="1187"/>
        <v>0</v>
      </c>
      <c r="BJ796" s="847">
        <f t="shared" si="1187"/>
        <v>0</v>
      </c>
      <c r="BK796" s="661">
        <f t="shared" si="1187"/>
        <v>0</v>
      </c>
      <c r="BL796" s="847">
        <f t="shared" si="1187"/>
        <v>0</v>
      </c>
      <c r="BM796" s="847">
        <f t="shared" si="1187"/>
        <v>0</v>
      </c>
      <c r="BN796" s="847">
        <f t="shared" si="1187"/>
        <v>0</v>
      </c>
      <c r="BO796" s="847">
        <f t="shared" si="1187"/>
        <v>0</v>
      </c>
      <c r="BP796" s="968">
        <f t="shared" si="1187"/>
        <v>0</v>
      </c>
      <c r="BQ796" s="847">
        <f t="shared" si="1187"/>
        <v>0</v>
      </c>
      <c r="BR796" s="847">
        <f t="shared" si="1187"/>
        <v>0</v>
      </c>
      <c r="BS796" s="847">
        <f t="shared" si="1187"/>
        <v>0</v>
      </c>
      <c r="BT796" s="847">
        <f t="shared" si="1187"/>
        <v>0</v>
      </c>
      <c r="BU796" s="968">
        <f t="shared" ref="BU796:CG796" si="1188">BU510+BU653</f>
        <v>0</v>
      </c>
      <c r="BV796" s="847">
        <f t="shared" si="1188"/>
        <v>0</v>
      </c>
      <c r="BW796" s="847">
        <f t="shared" si="1188"/>
        <v>0</v>
      </c>
      <c r="BX796" s="847">
        <f t="shared" si="1188"/>
        <v>0</v>
      </c>
      <c r="BY796" s="847">
        <f t="shared" si="1188"/>
        <v>0</v>
      </c>
      <c r="BZ796" s="968">
        <f t="shared" si="1188"/>
        <v>0</v>
      </c>
      <c r="CA796" s="847">
        <f t="shared" si="1188"/>
        <v>0</v>
      </c>
      <c r="CB796" s="847">
        <f t="shared" si="1188"/>
        <v>0</v>
      </c>
      <c r="CC796" s="847">
        <f t="shared" si="1188"/>
        <v>0</v>
      </c>
      <c r="CD796" s="847">
        <f t="shared" si="1188"/>
        <v>0</v>
      </c>
      <c r="CE796" s="968">
        <f t="shared" si="1188"/>
        <v>0</v>
      </c>
      <c r="CF796" s="847">
        <f t="shared" si="1188"/>
        <v>0</v>
      </c>
      <c r="CG796" s="847">
        <f t="shared" si="1188"/>
        <v>0</v>
      </c>
      <c r="CH796" s="847">
        <f t="shared" ref="CH796:CV796" si="1189">CH510+CH653</f>
        <v>0</v>
      </c>
      <c r="CI796" s="847">
        <f t="shared" si="1189"/>
        <v>0</v>
      </c>
      <c r="CJ796" s="968">
        <f t="shared" si="1189"/>
        <v>0</v>
      </c>
      <c r="CK796" s="2350">
        <f t="shared" si="1133"/>
        <v>0</v>
      </c>
      <c r="CL796" s="847">
        <f t="shared" ca="1" si="1189"/>
        <v>0</v>
      </c>
      <c r="CM796" s="847">
        <f t="shared" ca="1" si="1189"/>
        <v>0</v>
      </c>
      <c r="CN796" s="847">
        <f t="shared" ca="1" si="1189"/>
        <v>0</v>
      </c>
      <c r="CO796" s="968">
        <f t="shared" ca="1" si="1189"/>
        <v>0</v>
      </c>
      <c r="CP796" s="973">
        <f t="shared" si="1128"/>
        <v>0</v>
      </c>
      <c r="CQ796" s="847">
        <f t="shared" ca="1" si="1128"/>
        <v>0</v>
      </c>
      <c r="CR796" s="847">
        <f t="shared" ca="1" si="1128"/>
        <v>0</v>
      </c>
      <c r="CS796" s="1431">
        <f t="shared" ca="1" si="1128"/>
        <v>0</v>
      </c>
      <c r="CT796" s="968">
        <f t="shared" ca="1" si="1128"/>
        <v>0</v>
      </c>
      <c r="CU796" s="968">
        <f t="shared" ca="1" si="1189"/>
        <v>0</v>
      </c>
      <c r="CV796" s="968">
        <f t="shared" ca="1" si="1189"/>
        <v>0</v>
      </c>
      <c r="CW796" s="374"/>
      <c r="CX796" s="374"/>
      <c r="CY796" s="374"/>
      <c r="CZ796" s="374"/>
      <c r="DA796" s="374"/>
      <c r="DB796" s="217"/>
    </row>
    <row r="797" spans="1:256" x14ac:dyDescent="0.2">
      <c r="A797" s="2633" t="s">
        <v>2285</v>
      </c>
      <c r="B797" s="651"/>
      <c r="C797" s="236"/>
      <c r="D797" s="207"/>
      <c r="E797" s="207"/>
      <c r="F797" s="207"/>
      <c r="G797" s="234"/>
      <c r="H797" s="661"/>
      <c r="I797" s="847"/>
      <c r="J797" s="847"/>
      <c r="K797" s="847"/>
      <c r="L797" s="847"/>
      <c r="M797" s="661"/>
      <c r="N797" s="847"/>
      <c r="O797" s="847"/>
      <c r="P797" s="847"/>
      <c r="Q797" s="847"/>
      <c r="R797" s="661"/>
      <c r="S797" s="847"/>
      <c r="T797" s="847"/>
      <c r="U797" s="847"/>
      <c r="V797" s="847"/>
      <c r="W797" s="661"/>
      <c r="X797" s="847"/>
      <c r="Y797" s="847"/>
      <c r="Z797" s="847"/>
      <c r="AA797" s="847"/>
      <c r="AB797" s="661"/>
      <c r="AC797" s="847"/>
      <c r="AD797" s="847"/>
      <c r="AE797" s="847"/>
      <c r="AF797" s="847"/>
      <c r="AG797" s="661"/>
      <c r="AH797" s="847"/>
      <c r="AI797" s="847"/>
      <c r="AJ797" s="847"/>
      <c r="AK797" s="847"/>
      <c r="AL797" s="661"/>
      <c r="AM797" s="847"/>
      <c r="AN797" s="847"/>
      <c r="AO797" s="847"/>
      <c r="AP797" s="847"/>
      <c r="AQ797" s="661"/>
      <c r="AR797" s="847"/>
      <c r="AS797" s="847"/>
      <c r="AT797" s="847"/>
      <c r="AU797" s="847"/>
      <c r="AV797" s="661"/>
      <c r="AW797" s="847"/>
      <c r="AX797" s="847"/>
      <c r="AY797" s="847"/>
      <c r="AZ797" s="847"/>
      <c r="BA797" s="661"/>
      <c r="BB797" s="847"/>
      <c r="BC797" s="847"/>
      <c r="BD797" s="847"/>
      <c r="BE797" s="847"/>
      <c r="BF797" s="661"/>
      <c r="BG797" s="847"/>
      <c r="BH797" s="847"/>
      <c r="BI797" s="847"/>
      <c r="BJ797" s="847"/>
      <c r="BK797" s="661"/>
      <c r="BL797" s="847"/>
      <c r="BM797" s="847"/>
      <c r="BN797" s="847"/>
      <c r="BO797" s="847"/>
      <c r="BP797" s="968"/>
      <c r="BQ797" s="847"/>
      <c r="BR797" s="847"/>
      <c r="BS797" s="847"/>
      <c r="BT797" s="847"/>
      <c r="BU797" s="968"/>
      <c r="BV797" s="847"/>
      <c r="BW797" s="847"/>
      <c r="BX797" s="847"/>
      <c r="BY797" s="847"/>
      <c r="BZ797" s="968"/>
      <c r="CA797" s="847"/>
      <c r="CB797" s="847">
        <f t="shared" ref="CB797:CV797" si="1190">CB511</f>
        <v>2349</v>
      </c>
      <c r="CC797" s="847">
        <f t="shared" si="1190"/>
        <v>2761</v>
      </c>
      <c r="CD797" s="847">
        <f t="shared" si="1190"/>
        <v>2557</v>
      </c>
      <c r="CE797" s="968">
        <f t="shared" si="1190"/>
        <v>2557</v>
      </c>
      <c r="CF797" s="847">
        <f t="shared" si="1190"/>
        <v>3020</v>
      </c>
      <c r="CG797" s="847">
        <f t="shared" si="1190"/>
        <v>3020</v>
      </c>
      <c r="CH797" s="847">
        <f t="shared" si="1190"/>
        <v>3020</v>
      </c>
      <c r="CI797" s="847">
        <f t="shared" si="1190"/>
        <v>3020</v>
      </c>
      <c r="CJ797" s="968">
        <f t="shared" si="1190"/>
        <v>3020</v>
      </c>
      <c r="CK797" s="2350">
        <f t="shared" si="1190"/>
        <v>3789</v>
      </c>
      <c r="CL797" s="847">
        <f t="shared" si="1190"/>
        <v>4662</v>
      </c>
      <c r="CM797" s="847">
        <f t="shared" si="1190"/>
        <v>5267</v>
      </c>
      <c r="CN797" s="847">
        <f t="shared" si="1190"/>
        <v>5609</v>
      </c>
      <c r="CO797" s="968">
        <f t="shared" si="1190"/>
        <v>5609</v>
      </c>
      <c r="CP797" s="973">
        <f>CP511</f>
        <v>4054.23</v>
      </c>
      <c r="CQ797" s="847">
        <f>CQ511</f>
        <v>4895.1000000000004</v>
      </c>
      <c r="CR797" s="847">
        <f>CR511</f>
        <v>5477.68</v>
      </c>
      <c r="CS797" s="1431">
        <f>CS511</f>
        <v>5777.27</v>
      </c>
      <c r="CT797" s="968">
        <f>CT511</f>
        <v>5777.27</v>
      </c>
      <c r="CU797" s="968">
        <f t="shared" si="1190"/>
        <v>6123.9062000000004</v>
      </c>
      <c r="CV797" s="968">
        <f t="shared" si="1190"/>
        <v>6307.6233860000002</v>
      </c>
      <c r="CW797" s="374"/>
      <c r="CX797" s="374"/>
      <c r="CY797" s="374"/>
      <c r="CZ797" s="374"/>
      <c r="DA797" s="374"/>
      <c r="DB797" s="217"/>
    </row>
    <row r="798" spans="1:256" s="2434" customFormat="1" x14ac:dyDescent="0.2">
      <c r="A798" s="2633" t="s">
        <v>384</v>
      </c>
      <c r="B798" s="3028"/>
      <c r="C798" s="2293"/>
      <c r="D798" s="3029"/>
      <c r="E798" s="3029"/>
      <c r="F798" s="3029"/>
      <c r="G798" s="2349"/>
      <c r="H798" s="2293"/>
      <c r="I798" s="2349">
        <f t="shared" ref="I798:AN798" si="1191">I512+I654</f>
        <v>0</v>
      </c>
      <c r="J798" s="2349">
        <f t="shared" si="1191"/>
        <v>0</v>
      </c>
      <c r="K798" s="2349">
        <f t="shared" si="1191"/>
        <v>0</v>
      </c>
      <c r="L798" s="2349">
        <f t="shared" si="1191"/>
        <v>99</v>
      </c>
      <c r="M798" s="2293">
        <f t="shared" si="1191"/>
        <v>99</v>
      </c>
      <c r="N798" s="2349">
        <f t="shared" si="1191"/>
        <v>99</v>
      </c>
      <c r="O798" s="2349">
        <f t="shared" si="1191"/>
        <v>99</v>
      </c>
      <c r="P798" s="2349">
        <f t="shared" si="1191"/>
        <v>99</v>
      </c>
      <c r="Q798" s="2349">
        <f t="shared" si="1191"/>
        <v>99</v>
      </c>
      <c r="R798" s="2293">
        <f t="shared" si="1191"/>
        <v>99</v>
      </c>
      <c r="S798" s="2349">
        <f t="shared" si="1191"/>
        <v>99</v>
      </c>
      <c r="T798" s="2349">
        <f t="shared" si="1191"/>
        <v>99</v>
      </c>
      <c r="U798" s="2349">
        <f t="shared" si="1191"/>
        <v>99</v>
      </c>
      <c r="V798" s="2349">
        <f t="shared" si="1191"/>
        <v>99</v>
      </c>
      <c r="W798" s="2293">
        <f t="shared" si="1191"/>
        <v>99</v>
      </c>
      <c r="X798" s="2349">
        <f t="shared" si="1191"/>
        <v>99</v>
      </c>
      <c r="Y798" s="2349">
        <f t="shared" si="1191"/>
        <v>99</v>
      </c>
      <c r="Z798" s="2349">
        <f t="shared" si="1191"/>
        <v>99</v>
      </c>
      <c r="AA798" s="2349">
        <f t="shared" si="1191"/>
        <v>99</v>
      </c>
      <c r="AB798" s="2293">
        <f t="shared" si="1191"/>
        <v>99</v>
      </c>
      <c r="AC798" s="2349">
        <f t="shared" si="1191"/>
        <v>99</v>
      </c>
      <c r="AD798" s="2349">
        <f t="shared" si="1191"/>
        <v>99</v>
      </c>
      <c r="AE798" s="2349">
        <f t="shared" si="1191"/>
        <v>99</v>
      </c>
      <c r="AF798" s="2349">
        <f t="shared" si="1191"/>
        <v>99</v>
      </c>
      <c r="AG798" s="2293">
        <f t="shared" si="1191"/>
        <v>99</v>
      </c>
      <c r="AH798" s="2349">
        <f t="shared" si="1191"/>
        <v>99</v>
      </c>
      <c r="AI798" s="2349">
        <f t="shared" si="1191"/>
        <v>99</v>
      </c>
      <c r="AJ798" s="2349">
        <f t="shared" si="1191"/>
        <v>99</v>
      </c>
      <c r="AK798" s="2349">
        <f t="shared" si="1191"/>
        <v>99</v>
      </c>
      <c r="AL798" s="2293">
        <f t="shared" si="1191"/>
        <v>99</v>
      </c>
      <c r="AM798" s="2349">
        <f t="shared" si="1191"/>
        <v>99</v>
      </c>
      <c r="AN798" s="2349">
        <f t="shared" si="1191"/>
        <v>99</v>
      </c>
      <c r="AO798" s="2349">
        <f t="shared" ref="AO798:BT798" si="1192">AO512+AO654</f>
        <v>99</v>
      </c>
      <c r="AP798" s="2349">
        <f t="shared" si="1192"/>
        <v>99</v>
      </c>
      <c r="AQ798" s="2293">
        <f t="shared" si="1192"/>
        <v>99</v>
      </c>
      <c r="AR798" s="2349">
        <f t="shared" si="1192"/>
        <v>99</v>
      </c>
      <c r="AS798" s="2349">
        <f t="shared" si="1192"/>
        <v>99</v>
      </c>
      <c r="AT798" s="2349">
        <f t="shared" si="1192"/>
        <v>99</v>
      </c>
      <c r="AU798" s="2349">
        <f t="shared" si="1192"/>
        <v>99</v>
      </c>
      <c r="AV798" s="2293">
        <f t="shared" si="1192"/>
        <v>99</v>
      </c>
      <c r="AW798" s="2349">
        <f t="shared" si="1192"/>
        <v>99</v>
      </c>
      <c r="AX798" s="2349">
        <f t="shared" si="1192"/>
        <v>99</v>
      </c>
      <c r="AY798" s="2349">
        <f t="shared" si="1192"/>
        <v>99</v>
      </c>
      <c r="AZ798" s="2349">
        <f t="shared" si="1192"/>
        <v>99</v>
      </c>
      <c r="BA798" s="2293">
        <f t="shared" si="1192"/>
        <v>99</v>
      </c>
      <c r="BB798" s="2349">
        <f t="shared" si="1192"/>
        <v>99</v>
      </c>
      <c r="BC798" s="2349">
        <f t="shared" si="1192"/>
        <v>99</v>
      </c>
      <c r="BD798" s="2349">
        <f t="shared" si="1192"/>
        <v>99</v>
      </c>
      <c r="BE798" s="2349">
        <f t="shared" si="1192"/>
        <v>99</v>
      </c>
      <c r="BF798" s="2293">
        <f t="shared" si="1192"/>
        <v>99</v>
      </c>
      <c r="BG798" s="2349">
        <f t="shared" si="1192"/>
        <v>99</v>
      </c>
      <c r="BH798" s="2349">
        <f t="shared" si="1192"/>
        <v>99</v>
      </c>
      <c r="BI798" s="2349">
        <f t="shared" si="1192"/>
        <v>99</v>
      </c>
      <c r="BJ798" s="2349">
        <f t="shared" si="1192"/>
        <v>99</v>
      </c>
      <c r="BK798" s="2293">
        <f t="shared" si="1192"/>
        <v>99</v>
      </c>
      <c r="BL798" s="2349">
        <f t="shared" si="1192"/>
        <v>99</v>
      </c>
      <c r="BM798" s="2349">
        <f t="shared" si="1192"/>
        <v>0</v>
      </c>
      <c r="BN798" s="2349">
        <f t="shared" si="1192"/>
        <v>0</v>
      </c>
      <c r="BO798" s="2349">
        <f t="shared" si="1192"/>
        <v>0</v>
      </c>
      <c r="BP798" s="2290">
        <f t="shared" si="1192"/>
        <v>0</v>
      </c>
      <c r="BQ798" s="2349">
        <f t="shared" si="1192"/>
        <v>0</v>
      </c>
      <c r="BR798" s="2349">
        <f t="shared" si="1192"/>
        <v>0</v>
      </c>
      <c r="BS798" s="2349">
        <f t="shared" si="1192"/>
        <v>0</v>
      </c>
      <c r="BT798" s="2349">
        <f t="shared" si="1192"/>
        <v>0</v>
      </c>
      <c r="BU798" s="2290">
        <f t="shared" ref="BU798:CV798" si="1193">BU512+BU654</f>
        <v>0</v>
      </c>
      <c r="BV798" s="2349">
        <f t="shared" si="1193"/>
        <v>0</v>
      </c>
      <c r="BW798" s="2349">
        <f t="shared" si="1193"/>
        <v>0</v>
      </c>
      <c r="BX798" s="2349">
        <f t="shared" si="1193"/>
        <v>0</v>
      </c>
      <c r="BY798" s="2349">
        <f t="shared" si="1193"/>
        <v>0</v>
      </c>
      <c r="BZ798" s="2290">
        <f t="shared" si="1193"/>
        <v>0</v>
      </c>
      <c r="CA798" s="2349">
        <f t="shared" si="1193"/>
        <v>0</v>
      </c>
      <c r="CB798" s="2349">
        <f t="shared" si="1193"/>
        <v>0</v>
      </c>
      <c r="CC798" s="2349">
        <f t="shared" si="1193"/>
        <v>0</v>
      </c>
      <c r="CD798" s="2349">
        <f t="shared" si="1193"/>
        <v>0</v>
      </c>
      <c r="CE798" s="2290">
        <f t="shared" si="1193"/>
        <v>0</v>
      </c>
      <c r="CF798" s="2349">
        <f t="shared" si="1193"/>
        <v>0</v>
      </c>
      <c r="CG798" s="2349">
        <f t="shared" si="1193"/>
        <v>0</v>
      </c>
      <c r="CH798" s="2349">
        <f t="shared" si="1193"/>
        <v>0</v>
      </c>
      <c r="CI798" s="2349">
        <f t="shared" si="1193"/>
        <v>0</v>
      </c>
      <c r="CJ798" s="2290">
        <f t="shared" si="1193"/>
        <v>0</v>
      </c>
      <c r="CK798" s="2350">
        <f t="shared" si="1193"/>
        <v>0</v>
      </c>
      <c r="CL798" s="2349">
        <f t="shared" ca="1" si="1193"/>
        <v>0</v>
      </c>
      <c r="CM798" s="2349">
        <f t="shared" ca="1" si="1193"/>
        <v>0</v>
      </c>
      <c r="CN798" s="2349">
        <f t="shared" ca="1" si="1193"/>
        <v>0</v>
      </c>
      <c r="CO798" s="2290">
        <f t="shared" ca="1" si="1193"/>
        <v>0</v>
      </c>
      <c r="CP798" s="973">
        <f>CP512+CP654</f>
        <v>0</v>
      </c>
      <c r="CQ798" s="847">
        <f ca="1">CQ512+CQ654</f>
        <v>0</v>
      </c>
      <c r="CR798" s="847">
        <f ca="1">CR512+CR654</f>
        <v>0</v>
      </c>
      <c r="CS798" s="1431">
        <f ca="1">CS512+CS654</f>
        <v>0</v>
      </c>
      <c r="CT798" s="2290">
        <f ca="1">CT512+CT654</f>
        <v>0</v>
      </c>
      <c r="CU798" s="2290">
        <f t="shared" ca="1" si="1193"/>
        <v>0</v>
      </c>
      <c r="CV798" s="2290">
        <f t="shared" ca="1" si="1193"/>
        <v>0</v>
      </c>
      <c r="CW798" s="3030"/>
      <c r="CX798" s="3030"/>
      <c r="CY798" s="3030"/>
      <c r="CZ798" s="3030"/>
      <c r="DA798" s="3030"/>
      <c r="DB798" s="217"/>
      <c r="DC798" s="212"/>
      <c r="DD798" s="2631"/>
      <c r="DF798" s="3031"/>
      <c r="DG798" s="3031"/>
      <c r="DH798" s="3031"/>
      <c r="DI798" s="3031"/>
      <c r="DJ798" s="3031"/>
      <c r="DK798" s="3031"/>
      <c r="DL798" s="3031"/>
      <c r="DM798" s="3031"/>
      <c r="DN798" s="3031"/>
      <c r="DO798" s="3031"/>
      <c r="DP798" s="3031"/>
      <c r="DQ798" s="3031"/>
      <c r="DR798" s="3031"/>
      <c r="DS798" s="3031"/>
      <c r="DT798" s="3031"/>
      <c r="DU798" s="3031"/>
      <c r="DV798" s="3031"/>
      <c r="DW798" s="3031"/>
      <c r="DX798" s="3031"/>
      <c r="DY798" s="3031"/>
      <c r="DZ798" s="3031"/>
      <c r="EA798" s="3031"/>
      <c r="EB798" s="3031"/>
      <c r="EC798" s="3031"/>
      <c r="ED798" s="3031"/>
      <c r="EE798" s="3031"/>
      <c r="EF798" s="3031"/>
      <c r="EG798" s="3031"/>
      <c r="EH798" s="3031"/>
      <c r="EI798" s="3031"/>
      <c r="EJ798" s="3031"/>
      <c r="EK798" s="3031"/>
      <c r="EL798" s="3031"/>
      <c r="EM798" s="3031"/>
      <c r="EN798" s="3031"/>
      <c r="EO798" s="3031"/>
      <c r="EP798" s="3031"/>
      <c r="EQ798" s="3031"/>
      <c r="ER798" s="3031"/>
      <c r="ES798" s="3031"/>
      <c r="ET798" s="3031"/>
      <c r="EU798" s="3031"/>
      <c r="EV798" s="3031"/>
      <c r="EW798" s="3031"/>
      <c r="EX798" s="3031"/>
      <c r="EY798" s="3031"/>
      <c r="EZ798" s="3031"/>
      <c r="FA798" s="3031"/>
      <c r="FB798" s="3031"/>
      <c r="FC798" s="3031"/>
      <c r="FD798" s="3031"/>
      <c r="FE798" s="3031"/>
      <c r="FF798" s="3031"/>
      <c r="FG798" s="3031"/>
      <c r="FH798" s="3031"/>
      <c r="FI798" s="3031"/>
      <c r="FJ798" s="3031"/>
      <c r="FK798" s="3031"/>
      <c r="FL798" s="3031"/>
      <c r="FM798" s="3031"/>
      <c r="FN798" s="3031"/>
      <c r="FO798" s="3031"/>
      <c r="FP798" s="3031"/>
      <c r="FQ798" s="3031"/>
      <c r="FR798" s="3031"/>
      <c r="FS798" s="3031"/>
      <c r="FT798" s="3031"/>
      <c r="FU798" s="3031"/>
      <c r="FV798" s="3031"/>
      <c r="FW798" s="3031"/>
      <c r="FX798" s="3031"/>
      <c r="FY798" s="3031"/>
      <c r="FZ798" s="3031"/>
      <c r="GA798" s="3031"/>
      <c r="GB798" s="3031"/>
      <c r="GC798" s="3031"/>
      <c r="GD798" s="3031"/>
      <c r="GE798" s="3031"/>
      <c r="GF798" s="3031"/>
      <c r="GG798" s="3031"/>
      <c r="GH798" s="3031"/>
      <c r="GI798" s="3031"/>
      <c r="GJ798" s="3031"/>
      <c r="GK798" s="3031"/>
      <c r="GL798" s="3031"/>
      <c r="GM798" s="3031"/>
      <c r="GN798" s="3031"/>
      <c r="GO798" s="3031"/>
      <c r="GP798" s="3031"/>
      <c r="GQ798" s="3031"/>
      <c r="GR798" s="3031"/>
      <c r="GS798" s="3031"/>
      <c r="GT798" s="3031"/>
      <c r="GU798" s="3031"/>
      <c r="GV798" s="3031"/>
      <c r="GW798" s="3031"/>
      <c r="GX798" s="3031"/>
      <c r="GY798" s="3031"/>
      <c r="GZ798" s="3031"/>
      <c r="HA798" s="3031"/>
      <c r="HB798" s="3031"/>
      <c r="HC798" s="3031"/>
      <c r="HD798" s="3031"/>
      <c r="HE798" s="3031"/>
      <c r="HF798" s="3031"/>
      <c r="HG798" s="3031"/>
      <c r="HH798" s="3031"/>
      <c r="HI798" s="3031"/>
      <c r="HJ798" s="3031"/>
      <c r="HK798" s="3031"/>
      <c r="HL798" s="3031"/>
      <c r="HM798" s="3031"/>
      <c r="HN798" s="3031"/>
      <c r="HO798" s="3031"/>
      <c r="HP798" s="3031"/>
      <c r="HQ798" s="3031"/>
      <c r="HR798" s="3031"/>
      <c r="HS798" s="3031"/>
      <c r="HT798" s="3031"/>
      <c r="HU798" s="3031"/>
      <c r="HV798" s="3031"/>
      <c r="HW798" s="3031"/>
      <c r="HX798" s="3031"/>
      <c r="HY798" s="3031"/>
      <c r="HZ798" s="3031"/>
      <c r="IA798" s="3031"/>
      <c r="IB798" s="3031"/>
      <c r="IC798" s="3031"/>
      <c r="ID798" s="3031"/>
      <c r="IE798" s="3031"/>
      <c r="IF798" s="3031"/>
      <c r="IG798" s="3031"/>
      <c r="IH798" s="3031"/>
      <c r="II798" s="3031"/>
      <c r="IJ798" s="3031"/>
      <c r="IK798" s="3031"/>
      <c r="IL798" s="3031"/>
      <c r="IM798" s="3031"/>
      <c r="IN798" s="3031"/>
      <c r="IO798" s="3031"/>
      <c r="IP798" s="3031"/>
      <c r="IQ798" s="3031"/>
      <c r="IR798" s="3031"/>
      <c r="IS798" s="3031"/>
      <c r="IT798" s="3031"/>
      <c r="IU798" s="3031"/>
      <c r="IV798" s="3031"/>
    </row>
    <row r="799" spans="1:256" ht="4.5" customHeight="1" x14ac:dyDescent="0.2">
      <c r="A799" s="1266"/>
      <c r="B799" s="846"/>
      <c r="C799" s="661"/>
      <c r="D799" s="2062"/>
      <c r="E799" s="2062"/>
      <c r="F799" s="2062"/>
      <c r="G799" s="847"/>
      <c r="H799" s="246"/>
      <c r="I799" s="850"/>
      <c r="J799" s="850"/>
      <c r="K799" s="850"/>
      <c r="L799" s="850"/>
      <c r="M799" s="246"/>
      <c r="N799" s="850"/>
      <c r="O799" s="850"/>
      <c r="P799" s="850"/>
      <c r="Q799" s="850"/>
      <c r="R799" s="246"/>
      <c r="S799" s="850"/>
      <c r="T799" s="850"/>
      <c r="U799" s="850"/>
      <c r="V799" s="850"/>
      <c r="W799" s="246"/>
      <c r="X799" s="850"/>
      <c r="Y799" s="850"/>
      <c r="Z799" s="850"/>
      <c r="AA799" s="850"/>
      <c r="AB799" s="246"/>
      <c r="AC799" s="850"/>
      <c r="AD799" s="850"/>
      <c r="AE799" s="850"/>
      <c r="AF799" s="850"/>
      <c r="AG799" s="246"/>
      <c r="AH799" s="850"/>
      <c r="AI799" s="850"/>
      <c r="AJ799" s="850"/>
      <c r="AK799" s="850"/>
      <c r="AL799" s="246"/>
      <c r="AM799" s="850"/>
      <c r="AN799" s="850"/>
      <c r="AO799" s="850"/>
      <c r="AP799" s="850"/>
      <c r="AQ799" s="246"/>
      <c r="AR799" s="850"/>
      <c r="AS799" s="850"/>
      <c r="AT799" s="850"/>
      <c r="AU799" s="850"/>
      <c r="AV799" s="246"/>
      <c r="AW799" s="850"/>
      <c r="AX799" s="850"/>
      <c r="AY799" s="850"/>
      <c r="AZ799" s="850"/>
      <c r="BA799" s="246"/>
      <c r="BB799" s="850"/>
      <c r="BC799" s="850"/>
      <c r="BD799" s="850"/>
      <c r="BE799" s="850"/>
      <c r="BF799" s="246"/>
      <c r="BG799" s="850"/>
      <c r="BH799" s="850"/>
      <c r="BI799" s="850"/>
      <c r="BJ799" s="850"/>
      <c r="BK799" s="246"/>
      <c r="BL799" s="850"/>
      <c r="BM799" s="850"/>
      <c r="BN799" s="850"/>
      <c r="BO799" s="850"/>
      <c r="BP799" s="970"/>
      <c r="BQ799" s="850"/>
      <c r="BR799" s="850"/>
      <c r="BS799" s="850"/>
      <c r="BT799" s="850"/>
      <c r="BU799" s="970"/>
      <c r="BV799" s="850"/>
      <c r="BW799" s="850"/>
      <c r="BX799" s="850"/>
      <c r="BY799" s="850"/>
      <c r="BZ799" s="970"/>
      <c r="CA799" s="850"/>
      <c r="CB799" s="850"/>
      <c r="CC799" s="850"/>
      <c r="CD799" s="850"/>
      <c r="CE799" s="970"/>
      <c r="CF799" s="850"/>
      <c r="CG799" s="850"/>
      <c r="CH799" s="850"/>
      <c r="CI799" s="850"/>
      <c r="CJ799" s="970"/>
      <c r="CK799" s="877"/>
      <c r="CL799" s="850"/>
      <c r="CM799" s="850"/>
      <c r="CN799" s="850"/>
      <c r="CO799" s="970"/>
      <c r="CP799" s="973"/>
      <c r="CQ799" s="847"/>
      <c r="CR799" s="847"/>
      <c r="CS799" s="1431"/>
      <c r="CT799" s="970"/>
      <c r="CU799" s="970"/>
      <c r="CV799" s="970"/>
      <c r="CW799" s="2703"/>
      <c r="CX799" s="2703"/>
      <c r="CY799" s="2703"/>
      <c r="CZ799" s="2703"/>
      <c r="DA799" s="2703"/>
      <c r="DB799" s="217"/>
      <c r="DF799" s="186"/>
      <c r="DG799" s="186"/>
      <c r="DH799" s="186"/>
      <c r="DI799" s="186"/>
      <c r="DJ799" s="186"/>
      <c r="DK799" s="186"/>
      <c r="DL799" s="186"/>
      <c r="DM799" s="186"/>
      <c r="DN799" s="186"/>
      <c r="DO799" s="186"/>
      <c r="DP799" s="186"/>
      <c r="DQ799" s="186"/>
      <c r="DR799" s="186"/>
      <c r="DS799" s="186"/>
      <c r="DT799" s="186"/>
      <c r="DU799" s="186"/>
      <c r="DV799" s="186"/>
      <c r="DW799" s="186"/>
      <c r="DX799" s="186"/>
      <c r="DY799" s="186"/>
      <c r="DZ799" s="186"/>
      <c r="EA799" s="186"/>
      <c r="EB799" s="186"/>
      <c r="EC799" s="186"/>
      <c r="ED799" s="186"/>
      <c r="EE799" s="186"/>
      <c r="EF799" s="186"/>
      <c r="EG799" s="186"/>
      <c r="EH799" s="186"/>
      <c r="EI799" s="186"/>
      <c r="EJ799" s="186"/>
      <c r="EK799" s="186"/>
      <c r="EL799" s="186"/>
      <c r="EM799" s="186"/>
      <c r="EN799" s="186"/>
      <c r="EO799" s="186"/>
      <c r="EP799" s="186"/>
      <c r="EQ799" s="186"/>
      <c r="ER799" s="186"/>
      <c r="ES799" s="186"/>
      <c r="ET799" s="186"/>
      <c r="EU799" s="186"/>
      <c r="EV799" s="186"/>
      <c r="EW799" s="186"/>
      <c r="EX799" s="186"/>
      <c r="EY799" s="186"/>
      <c r="EZ799" s="186"/>
      <c r="FA799" s="186"/>
      <c r="FB799" s="186"/>
      <c r="FC799" s="186"/>
      <c r="FD799" s="186"/>
      <c r="FE799" s="186"/>
      <c r="FF799" s="186"/>
      <c r="FG799" s="186"/>
      <c r="FH799" s="186"/>
      <c r="FI799" s="186"/>
      <c r="FJ799" s="186"/>
      <c r="FK799" s="186"/>
      <c r="FL799" s="186"/>
      <c r="FM799" s="186"/>
      <c r="FN799" s="186"/>
      <c r="FO799" s="186"/>
      <c r="FP799" s="186"/>
      <c r="FQ799" s="186"/>
      <c r="FR799" s="186"/>
      <c r="FS799" s="186"/>
      <c r="FT799" s="186"/>
      <c r="FU799" s="186"/>
      <c r="FV799" s="186"/>
      <c r="FW799" s="186"/>
      <c r="FX799" s="186"/>
      <c r="FY799" s="186"/>
      <c r="FZ799" s="186"/>
      <c r="GA799" s="186"/>
      <c r="GB799" s="186"/>
      <c r="GC799" s="186"/>
      <c r="GD799" s="186"/>
      <c r="GE799" s="186"/>
      <c r="GF799" s="186"/>
      <c r="GG799" s="186"/>
      <c r="GH799" s="186"/>
      <c r="GI799" s="186"/>
      <c r="GJ799" s="186"/>
      <c r="GK799" s="186"/>
      <c r="GL799" s="186"/>
      <c r="GM799" s="186"/>
      <c r="GN799" s="186"/>
      <c r="GO799" s="186"/>
      <c r="GP799" s="186"/>
      <c r="GQ799" s="186"/>
      <c r="GR799" s="186"/>
      <c r="GS799" s="186"/>
      <c r="GT799" s="186"/>
      <c r="GU799" s="186"/>
      <c r="GV799" s="186"/>
      <c r="GW799" s="186"/>
      <c r="GX799" s="186"/>
      <c r="GY799" s="186"/>
      <c r="GZ799" s="186"/>
      <c r="HA799" s="186"/>
      <c r="HB799" s="186"/>
      <c r="HC799" s="186"/>
      <c r="HD799" s="186"/>
      <c r="HE799" s="186"/>
      <c r="HF799" s="186"/>
      <c r="HG799" s="186"/>
      <c r="HH799" s="186"/>
      <c r="HI799" s="186"/>
      <c r="HJ799" s="186"/>
      <c r="HK799" s="186"/>
      <c r="HL799" s="186"/>
      <c r="HM799" s="186"/>
      <c r="HN799" s="186"/>
      <c r="HO799" s="186"/>
      <c r="HP799" s="186"/>
      <c r="HQ799" s="186"/>
      <c r="HR799" s="186"/>
      <c r="HS799" s="186"/>
      <c r="HT799" s="186"/>
      <c r="HU799" s="186"/>
      <c r="HV799" s="186"/>
      <c r="HW799" s="186"/>
      <c r="HX799" s="186"/>
      <c r="HY799" s="186"/>
      <c r="HZ799" s="186"/>
      <c r="IA799" s="186"/>
      <c r="IB799" s="186"/>
      <c r="IC799" s="186"/>
      <c r="ID799" s="186"/>
      <c r="IE799" s="186"/>
      <c r="IF799" s="186"/>
      <c r="IG799" s="186"/>
      <c r="IH799" s="186"/>
      <c r="II799" s="186"/>
      <c r="IJ799" s="186"/>
      <c r="IK799" s="186"/>
      <c r="IL799" s="186"/>
      <c r="IM799" s="186"/>
      <c r="IN799" s="186"/>
      <c r="IO799" s="186"/>
      <c r="IP799" s="186"/>
      <c r="IQ799" s="186"/>
      <c r="IR799" s="186"/>
      <c r="IS799" s="186"/>
      <c r="IT799" s="186"/>
      <c r="IU799" s="186"/>
      <c r="IV799" s="186"/>
    </row>
    <row r="800" spans="1:256" x14ac:dyDescent="0.2">
      <c r="A800" s="2434" t="s">
        <v>2454</v>
      </c>
      <c r="B800" s="846"/>
      <c r="C800" s="661"/>
      <c r="D800" s="2062"/>
      <c r="E800" s="2062"/>
      <c r="F800" s="2062"/>
      <c r="G800" s="847"/>
      <c r="H800" s="246"/>
      <c r="I800" s="850"/>
      <c r="J800" s="850"/>
      <c r="K800" s="850"/>
      <c r="L800" s="850"/>
      <c r="M800" s="246"/>
      <c r="N800" s="850"/>
      <c r="O800" s="850"/>
      <c r="P800" s="850"/>
      <c r="Q800" s="850"/>
      <c r="R800" s="246"/>
      <c r="S800" s="850"/>
      <c r="T800" s="850"/>
      <c r="U800" s="850"/>
      <c r="V800" s="850"/>
      <c r="W800" s="246"/>
      <c r="X800" s="850"/>
      <c r="Y800" s="850"/>
      <c r="Z800" s="850"/>
      <c r="AA800" s="850"/>
      <c r="AB800" s="246"/>
      <c r="AC800" s="850"/>
      <c r="AD800" s="850"/>
      <c r="AE800" s="850"/>
      <c r="AF800" s="850"/>
      <c r="AG800" s="246"/>
      <c r="AH800" s="850"/>
      <c r="AI800" s="850"/>
      <c r="AJ800" s="850"/>
      <c r="AK800" s="850"/>
      <c r="AL800" s="246"/>
      <c r="AM800" s="850"/>
      <c r="AN800" s="850"/>
      <c r="AO800" s="850"/>
      <c r="AP800" s="850"/>
      <c r="AQ800" s="246"/>
      <c r="AR800" s="850"/>
      <c r="AS800" s="850"/>
      <c r="AT800" s="850"/>
      <c r="AU800" s="850"/>
      <c r="AV800" s="246"/>
      <c r="AW800" s="850"/>
      <c r="AX800" s="850"/>
      <c r="AY800" s="850"/>
      <c r="AZ800" s="850"/>
      <c r="BA800" s="246"/>
      <c r="BB800" s="850"/>
      <c r="BC800" s="850"/>
      <c r="BD800" s="850"/>
      <c r="BE800" s="850"/>
      <c r="BF800" s="246"/>
      <c r="BG800" s="850"/>
      <c r="BH800" s="850"/>
      <c r="BI800" s="850"/>
      <c r="BJ800" s="850"/>
      <c r="BK800" s="246"/>
      <c r="BL800" s="850"/>
      <c r="BM800" s="850"/>
      <c r="BN800" s="850"/>
      <c r="BO800" s="850"/>
      <c r="BP800" s="970"/>
      <c r="BQ800" s="850"/>
      <c r="BR800" s="850"/>
      <c r="BS800" s="850"/>
      <c r="BT800" s="850"/>
      <c r="BU800" s="970"/>
      <c r="BV800" s="850"/>
      <c r="BW800" s="850"/>
      <c r="BX800" s="850"/>
      <c r="BY800" s="850"/>
      <c r="BZ800" s="970"/>
      <c r="CA800" s="850"/>
      <c r="CB800" s="850"/>
      <c r="CC800" s="850"/>
      <c r="CD800" s="850"/>
      <c r="CE800" s="970"/>
      <c r="CF800" s="850"/>
      <c r="CG800" s="2349"/>
      <c r="CH800" s="2349">
        <f t="shared" ref="CH800:CV800" si="1194">CH514+CH656</f>
        <v>65136</v>
      </c>
      <c r="CI800" s="2349">
        <f t="shared" si="1194"/>
        <v>65544</v>
      </c>
      <c r="CJ800" s="2293">
        <f t="shared" si="1194"/>
        <v>65544</v>
      </c>
      <c r="CK800" s="2350">
        <f t="shared" si="1194"/>
        <v>64769</v>
      </c>
      <c r="CL800" s="2349">
        <f t="shared" si="1194"/>
        <v>64508</v>
      </c>
      <c r="CM800" s="2349">
        <f t="shared" si="1194"/>
        <v>64840</v>
      </c>
      <c r="CN800" s="2349">
        <f t="shared" si="1194"/>
        <v>64564</v>
      </c>
      <c r="CO800" s="2293">
        <f t="shared" si="1194"/>
        <v>64564</v>
      </c>
      <c r="CP800" s="973">
        <f t="shared" ref="CP800:CT810" si="1195">CP514+CP656</f>
        <v>69470.39</v>
      </c>
      <c r="CQ800" s="847">
        <f t="shared" si="1195"/>
        <v>68235.69</v>
      </c>
      <c r="CR800" s="847">
        <f t="shared" si="1195"/>
        <v>68287.350000000006</v>
      </c>
      <c r="CS800" s="1431">
        <f t="shared" si="1195"/>
        <v>67508.86</v>
      </c>
      <c r="CT800" s="2293">
        <f t="shared" si="1195"/>
        <v>67508.86</v>
      </c>
      <c r="CU800" s="2349">
        <f t="shared" si="1194"/>
        <v>71834.055250000005</v>
      </c>
      <c r="CV800" s="2293">
        <f t="shared" si="1194"/>
        <v>74185.919190000015</v>
      </c>
      <c r="CW800" s="2703"/>
      <c r="CX800" s="2703"/>
      <c r="CY800" s="2703"/>
      <c r="CZ800" s="2703"/>
      <c r="DA800" s="2703"/>
      <c r="DB800" s="217"/>
      <c r="DF800" s="186"/>
      <c r="DG800" s="186"/>
      <c r="DH800" s="186"/>
      <c r="DI800" s="186"/>
      <c r="DJ800" s="186"/>
      <c r="DK800" s="186"/>
      <c r="DL800" s="186"/>
      <c r="DM800" s="186"/>
      <c r="DN800" s="186"/>
      <c r="DO800" s="186"/>
      <c r="DP800" s="186"/>
      <c r="DQ800" s="186"/>
      <c r="DR800" s="186"/>
      <c r="DS800" s="186"/>
      <c r="DT800" s="186"/>
      <c r="DU800" s="186"/>
      <c r="DV800" s="186"/>
      <c r="DW800" s="186"/>
      <c r="DX800" s="186"/>
      <c r="DY800" s="186"/>
      <c r="DZ800" s="186"/>
      <c r="EA800" s="186"/>
      <c r="EB800" s="186"/>
      <c r="EC800" s="186"/>
      <c r="ED800" s="186"/>
      <c r="EE800" s="186"/>
      <c r="EF800" s="186"/>
      <c r="EG800" s="186"/>
      <c r="EH800" s="186"/>
      <c r="EI800" s="186"/>
      <c r="EJ800" s="186"/>
      <c r="EK800" s="186"/>
      <c r="EL800" s="186"/>
      <c r="EM800" s="186"/>
      <c r="EN800" s="186"/>
      <c r="EO800" s="186"/>
      <c r="EP800" s="186"/>
      <c r="EQ800" s="186"/>
      <c r="ER800" s="186"/>
      <c r="ES800" s="186"/>
      <c r="ET800" s="186"/>
      <c r="EU800" s="186"/>
      <c r="EV800" s="186"/>
      <c r="EW800" s="186"/>
      <c r="EX800" s="186"/>
      <c r="EY800" s="186"/>
      <c r="EZ800" s="186"/>
      <c r="FA800" s="186"/>
      <c r="FB800" s="186"/>
      <c r="FC800" s="186"/>
      <c r="FD800" s="186"/>
      <c r="FE800" s="186"/>
      <c r="FF800" s="186"/>
      <c r="FG800" s="186"/>
      <c r="FH800" s="186"/>
      <c r="FI800" s="186"/>
      <c r="FJ800" s="186"/>
      <c r="FK800" s="186"/>
      <c r="FL800" s="186"/>
      <c r="FM800" s="186"/>
      <c r="FN800" s="186"/>
      <c r="FO800" s="186"/>
      <c r="FP800" s="186"/>
      <c r="FQ800" s="186"/>
      <c r="FR800" s="186"/>
      <c r="FS800" s="186"/>
      <c r="FT800" s="186"/>
      <c r="FU800" s="186"/>
      <c r="FV800" s="186"/>
      <c r="FW800" s="186"/>
      <c r="FX800" s="186"/>
      <c r="FY800" s="186"/>
      <c r="FZ800" s="186"/>
      <c r="GA800" s="186"/>
      <c r="GB800" s="186"/>
      <c r="GC800" s="186"/>
      <c r="GD800" s="186"/>
      <c r="GE800" s="186"/>
      <c r="GF800" s="186"/>
      <c r="GG800" s="186"/>
      <c r="GH800" s="186"/>
      <c r="GI800" s="186"/>
      <c r="GJ800" s="186"/>
      <c r="GK800" s="186"/>
      <c r="GL800" s="186"/>
      <c r="GM800" s="186"/>
      <c r="GN800" s="186"/>
      <c r="GO800" s="186"/>
      <c r="GP800" s="186"/>
      <c r="GQ800" s="186"/>
      <c r="GR800" s="186"/>
      <c r="GS800" s="186"/>
      <c r="GT800" s="186"/>
      <c r="GU800" s="186"/>
      <c r="GV800" s="186"/>
      <c r="GW800" s="186"/>
      <c r="GX800" s="186"/>
      <c r="GY800" s="186"/>
      <c r="GZ800" s="186"/>
      <c r="HA800" s="186"/>
      <c r="HB800" s="186"/>
      <c r="HC800" s="186"/>
      <c r="HD800" s="186"/>
      <c r="HE800" s="186"/>
      <c r="HF800" s="186"/>
      <c r="HG800" s="186"/>
      <c r="HH800" s="186"/>
      <c r="HI800" s="186"/>
      <c r="HJ800" s="186"/>
      <c r="HK800" s="186"/>
      <c r="HL800" s="186"/>
      <c r="HM800" s="186"/>
      <c r="HN800" s="186"/>
      <c r="HO800" s="186"/>
      <c r="HP800" s="186"/>
      <c r="HQ800" s="186"/>
      <c r="HR800" s="186"/>
      <c r="HS800" s="186"/>
      <c r="HT800" s="186"/>
      <c r="HU800" s="186"/>
      <c r="HV800" s="186"/>
      <c r="HW800" s="186"/>
      <c r="HX800" s="186"/>
      <c r="HY800" s="186"/>
      <c r="HZ800" s="186"/>
      <c r="IA800" s="186"/>
      <c r="IB800" s="186"/>
      <c r="IC800" s="186"/>
      <c r="ID800" s="186"/>
      <c r="IE800" s="186"/>
      <c r="IF800" s="186"/>
      <c r="IG800" s="186"/>
      <c r="IH800" s="186"/>
      <c r="II800" s="186"/>
      <c r="IJ800" s="186"/>
      <c r="IK800" s="186"/>
      <c r="IL800" s="186"/>
      <c r="IM800" s="186"/>
      <c r="IN800" s="186"/>
      <c r="IO800" s="186"/>
      <c r="IP800" s="186"/>
      <c r="IQ800" s="186"/>
      <c r="IR800" s="186"/>
      <c r="IS800" s="186"/>
      <c r="IT800" s="186"/>
      <c r="IU800" s="186"/>
      <c r="IV800" s="186"/>
    </row>
    <row r="801" spans="1:256" x14ac:dyDescent="0.2">
      <c r="A801" s="2434" t="s">
        <v>2455</v>
      </c>
      <c r="B801" s="846"/>
      <c r="C801" s="661"/>
      <c r="D801" s="2062"/>
      <c r="E801" s="2062"/>
      <c r="F801" s="2062"/>
      <c r="G801" s="847"/>
      <c r="H801" s="246"/>
      <c r="I801" s="850"/>
      <c r="J801" s="850"/>
      <c r="K801" s="850"/>
      <c r="L801" s="850"/>
      <c r="M801" s="246"/>
      <c r="N801" s="850"/>
      <c r="O801" s="850"/>
      <c r="P801" s="850"/>
      <c r="Q801" s="850"/>
      <c r="R801" s="246"/>
      <c r="S801" s="850"/>
      <c r="T801" s="850"/>
      <c r="U801" s="850"/>
      <c r="V801" s="850"/>
      <c r="W801" s="246"/>
      <c r="X801" s="850"/>
      <c r="Y801" s="850"/>
      <c r="Z801" s="850"/>
      <c r="AA801" s="850"/>
      <c r="AB801" s="246"/>
      <c r="AC801" s="850"/>
      <c r="AD801" s="850"/>
      <c r="AE801" s="850"/>
      <c r="AF801" s="850"/>
      <c r="AG801" s="246"/>
      <c r="AH801" s="850"/>
      <c r="AI801" s="850"/>
      <c r="AJ801" s="850"/>
      <c r="AK801" s="850"/>
      <c r="AL801" s="246"/>
      <c r="AM801" s="850"/>
      <c r="AN801" s="850"/>
      <c r="AO801" s="850"/>
      <c r="AP801" s="850"/>
      <c r="AQ801" s="246"/>
      <c r="AR801" s="850"/>
      <c r="AS801" s="850"/>
      <c r="AT801" s="850"/>
      <c r="AU801" s="850"/>
      <c r="AV801" s="246"/>
      <c r="AW801" s="850"/>
      <c r="AX801" s="850"/>
      <c r="AY801" s="850"/>
      <c r="AZ801" s="850"/>
      <c r="BA801" s="246"/>
      <c r="BB801" s="850"/>
      <c r="BC801" s="850"/>
      <c r="BD801" s="850"/>
      <c r="BE801" s="850"/>
      <c r="BF801" s="246"/>
      <c r="BG801" s="850"/>
      <c r="BH801" s="850"/>
      <c r="BI801" s="850"/>
      <c r="BJ801" s="850"/>
      <c r="BK801" s="246"/>
      <c r="BL801" s="850"/>
      <c r="BM801" s="850"/>
      <c r="BN801" s="850"/>
      <c r="BO801" s="850"/>
      <c r="BP801" s="970"/>
      <c r="BQ801" s="850"/>
      <c r="BR801" s="850"/>
      <c r="BS801" s="850"/>
      <c r="BT801" s="850"/>
      <c r="BU801" s="970"/>
      <c r="BV801" s="850"/>
      <c r="BW801" s="850"/>
      <c r="BX801" s="850"/>
      <c r="BY801" s="850"/>
      <c r="BZ801" s="970"/>
      <c r="CA801" s="850"/>
      <c r="CB801" s="850"/>
      <c r="CC801" s="850"/>
      <c r="CD801" s="850"/>
      <c r="CE801" s="970"/>
      <c r="CF801" s="850"/>
      <c r="CG801" s="2349"/>
      <c r="CH801" s="2349">
        <f t="shared" ref="CH801:CV801" si="1196">CH515+CH657</f>
        <v>31877</v>
      </c>
      <c r="CI801" s="2349">
        <f t="shared" si="1196"/>
        <v>32034</v>
      </c>
      <c r="CJ801" s="2293">
        <f t="shared" si="1196"/>
        <v>32034</v>
      </c>
      <c r="CK801" s="2350">
        <f t="shared" ref="CK801:CK810" si="1197">CK515+CK657</f>
        <v>32288</v>
      </c>
      <c r="CL801" s="2349">
        <f t="shared" si="1196"/>
        <v>33209</v>
      </c>
      <c r="CM801" s="2349">
        <f t="shared" si="1196"/>
        <v>33694</v>
      </c>
      <c r="CN801" s="2349">
        <f t="shared" si="1196"/>
        <v>33954</v>
      </c>
      <c r="CO801" s="2293">
        <f t="shared" si="1196"/>
        <v>33954</v>
      </c>
      <c r="CP801" s="973">
        <f t="shared" si="1195"/>
        <v>34625.82</v>
      </c>
      <c r="CQ801" s="847">
        <f t="shared" si="1195"/>
        <v>35101.919999999998</v>
      </c>
      <c r="CR801" s="847">
        <f t="shared" si="1195"/>
        <v>35413.360000000001</v>
      </c>
      <c r="CS801" s="1431">
        <f t="shared" si="1195"/>
        <v>35418.54</v>
      </c>
      <c r="CT801" s="2293">
        <f t="shared" si="1195"/>
        <v>35418.54</v>
      </c>
      <c r="CU801" s="2349">
        <f t="shared" si="1196"/>
        <v>37665.1656</v>
      </c>
      <c r="CV801" s="2293">
        <f t="shared" si="1196"/>
        <v>38882.205027999997</v>
      </c>
      <c r="CW801" s="2703"/>
      <c r="CX801" s="2703"/>
      <c r="CY801" s="2703"/>
      <c r="CZ801" s="2703"/>
      <c r="DA801" s="2703"/>
      <c r="DB801" s="217"/>
      <c r="DF801" s="186"/>
      <c r="DG801" s="186"/>
      <c r="DH801" s="186"/>
      <c r="DI801" s="186"/>
      <c r="DJ801" s="186"/>
      <c r="DK801" s="186"/>
      <c r="DL801" s="186"/>
      <c r="DM801" s="186"/>
      <c r="DN801" s="186"/>
      <c r="DO801" s="186"/>
      <c r="DP801" s="186"/>
      <c r="DQ801" s="186"/>
      <c r="DR801" s="186"/>
      <c r="DS801" s="186"/>
      <c r="DT801" s="186"/>
      <c r="DU801" s="186"/>
      <c r="DV801" s="186"/>
      <c r="DW801" s="186"/>
      <c r="DX801" s="186"/>
      <c r="DY801" s="186"/>
      <c r="DZ801" s="186"/>
      <c r="EA801" s="186"/>
      <c r="EB801" s="186"/>
      <c r="EC801" s="186"/>
      <c r="ED801" s="186"/>
      <c r="EE801" s="186"/>
      <c r="EF801" s="186"/>
      <c r="EG801" s="186"/>
      <c r="EH801" s="186"/>
      <c r="EI801" s="186"/>
      <c r="EJ801" s="186"/>
      <c r="EK801" s="186"/>
      <c r="EL801" s="186"/>
      <c r="EM801" s="186"/>
      <c r="EN801" s="186"/>
      <c r="EO801" s="186"/>
      <c r="EP801" s="186"/>
      <c r="EQ801" s="186"/>
      <c r="ER801" s="186"/>
      <c r="ES801" s="186"/>
      <c r="ET801" s="186"/>
      <c r="EU801" s="186"/>
      <c r="EV801" s="186"/>
      <c r="EW801" s="186"/>
      <c r="EX801" s="186"/>
      <c r="EY801" s="186"/>
      <c r="EZ801" s="186"/>
      <c r="FA801" s="186"/>
      <c r="FB801" s="186"/>
      <c r="FC801" s="186"/>
      <c r="FD801" s="186"/>
      <c r="FE801" s="186"/>
      <c r="FF801" s="186"/>
      <c r="FG801" s="186"/>
      <c r="FH801" s="186"/>
      <c r="FI801" s="186"/>
      <c r="FJ801" s="186"/>
      <c r="FK801" s="186"/>
      <c r="FL801" s="186"/>
      <c r="FM801" s="186"/>
      <c r="FN801" s="186"/>
      <c r="FO801" s="186"/>
      <c r="FP801" s="186"/>
      <c r="FQ801" s="186"/>
      <c r="FR801" s="186"/>
      <c r="FS801" s="186"/>
      <c r="FT801" s="186"/>
      <c r="FU801" s="186"/>
      <c r="FV801" s="186"/>
      <c r="FW801" s="186"/>
      <c r="FX801" s="186"/>
      <c r="FY801" s="186"/>
      <c r="FZ801" s="186"/>
      <c r="GA801" s="186"/>
      <c r="GB801" s="186"/>
      <c r="GC801" s="186"/>
      <c r="GD801" s="186"/>
      <c r="GE801" s="186"/>
      <c r="GF801" s="186"/>
      <c r="GG801" s="186"/>
      <c r="GH801" s="186"/>
      <c r="GI801" s="186"/>
      <c r="GJ801" s="186"/>
      <c r="GK801" s="186"/>
      <c r="GL801" s="186"/>
      <c r="GM801" s="186"/>
      <c r="GN801" s="186"/>
      <c r="GO801" s="186"/>
      <c r="GP801" s="186"/>
      <c r="GQ801" s="186"/>
      <c r="GR801" s="186"/>
      <c r="GS801" s="186"/>
      <c r="GT801" s="186"/>
      <c r="GU801" s="186"/>
      <c r="GV801" s="186"/>
      <c r="GW801" s="186"/>
      <c r="GX801" s="186"/>
      <c r="GY801" s="186"/>
      <c r="GZ801" s="186"/>
      <c r="HA801" s="186"/>
      <c r="HB801" s="186"/>
      <c r="HC801" s="186"/>
      <c r="HD801" s="186"/>
      <c r="HE801" s="186"/>
      <c r="HF801" s="186"/>
      <c r="HG801" s="186"/>
      <c r="HH801" s="186"/>
      <c r="HI801" s="186"/>
      <c r="HJ801" s="186"/>
      <c r="HK801" s="186"/>
      <c r="HL801" s="186"/>
      <c r="HM801" s="186"/>
      <c r="HN801" s="186"/>
      <c r="HO801" s="186"/>
      <c r="HP801" s="186"/>
      <c r="HQ801" s="186"/>
      <c r="HR801" s="186"/>
      <c r="HS801" s="186"/>
      <c r="HT801" s="186"/>
      <c r="HU801" s="186"/>
      <c r="HV801" s="186"/>
      <c r="HW801" s="186"/>
      <c r="HX801" s="186"/>
      <c r="HY801" s="186"/>
      <c r="HZ801" s="186"/>
      <c r="IA801" s="186"/>
      <c r="IB801" s="186"/>
      <c r="IC801" s="186"/>
      <c r="ID801" s="186"/>
      <c r="IE801" s="186"/>
      <c r="IF801" s="186"/>
      <c r="IG801" s="186"/>
      <c r="IH801" s="186"/>
      <c r="II801" s="186"/>
      <c r="IJ801" s="186"/>
      <c r="IK801" s="186"/>
      <c r="IL801" s="186"/>
      <c r="IM801" s="186"/>
      <c r="IN801" s="186"/>
      <c r="IO801" s="186"/>
      <c r="IP801" s="186"/>
      <c r="IQ801" s="186"/>
      <c r="IR801" s="186"/>
      <c r="IS801" s="186"/>
      <c r="IT801" s="186"/>
      <c r="IU801" s="186"/>
      <c r="IV801" s="186"/>
    </row>
    <row r="802" spans="1:256" x14ac:dyDescent="0.2">
      <c r="A802" s="2434" t="s">
        <v>2456</v>
      </c>
      <c r="B802" s="846"/>
      <c r="C802" s="661"/>
      <c r="D802" s="2062"/>
      <c r="E802" s="2062"/>
      <c r="F802" s="2062"/>
      <c r="G802" s="847"/>
      <c r="H802" s="246"/>
      <c r="I802" s="850"/>
      <c r="J802" s="850"/>
      <c r="K802" s="850"/>
      <c r="L802" s="850"/>
      <c r="M802" s="246"/>
      <c r="N802" s="850"/>
      <c r="O802" s="850"/>
      <c r="P802" s="850"/>
      <c r="Q802" s="850"/>
      <c r="R802" s="246"/>
      <c r="S802" s="850"/>
      <c r="T802" s="850"/>
      <c r="U802" s="850"/>
      <c r="V802" s="850"/>
      <c r="W802" s="246"/>
      <c r="X802" s="850"/>
      <c r="Y802" s="850"/>
      <c r="Z802" s="850"/>
      <c r="AA802" s="850"/>
      <c r="AB802" s="246"/>
      <c r="AC802" s="850"/>
      <c r="AD802" s="850"/>
      <c r="AE802" s="850"/>
      <c r="AF802" s="850"/>
      <c r="AG802" s="246"/>
      <c r="AH802" s="850"/>
      <c r="AI802" s="850"/>
      <c r="AJ802" s="850"/>
      <c r="AK802" s="850"/>
      <c r="AL802" s="246"/>
      <c r="AM802" s="850"/>
      <c r="AN802" s="850"/>
      <c r="AO802" s="850"/>
      <c r="AP802" s="850"/>
      <c r="AQ802" s="246"/>
      <c r="AR802" s="850"/>
      <c r="AS802" s="850"/>
      <c r="AT802" s="850"/>
      <c r="AU802" s="850"/>
      <c r="AV802" s="246"/>
      <c r="AW802" s="850"/>
      <c r="AX802" s="850"/>
      <c r="AY802" s="850"/>
      <c r="AZ802" s="850"/>
      <c r="BA802" s="246"/>
      <c r="BB802" s="850"/>
      <c r="BC802" s="850"/>
      <c r="BD802" s="850"/>
      <c r="BE802" s="850"/>
      <c r="BF802" s="246"/>
      <c r="BG802" s="850"/>
      <c r="BH802" s="850"/>
      <c r="BI802" s="850"/>
      <c r="BJ802" s="850"/>
      <c r="BK802" s="246"/>
      <c r="BL802" s="850"/>
      <c r="BM802" s="850"/>
      <c r="BN802" s="850"/>
      <c r="BO802" s="850"/>
      <c r="BP802" s="970"/>
      <c r="BQ802" s="850"/>
      <c r="BR802" s="850"/>
      <c r="BS802" s="850"/>
      <c r="BT802" s="850"/>
      <c r="BU802" s="970"/>
      <c r="BV802" s="850"/>
      <c r="BW802" s="850"/>
      <c r="BX802" s="850"/>
      <c r="BY802" s="850"/>
      <c r="BZ802" s="970"/>
      <c r="CA802" s="850"/>
      <c r="CB802" s="850"/>
      <c r="CC802" s="850"/>
      <c r="CD802" s="850"/>
      <c r="CE802" s="970"/>
      <c r="CF802" s="850"/>
      <c r="CG802" s="2349"/>
      <c r="CH802" s="2349">
        <f t="shared" ref="CH802:CV802" si="1198">CH516+CH658</f>
        <v>25253</v>
      </c>
      <c r="CI802" s="2349">
        <f t="shared" si="1198"/>
        <v>26006</v>
      </c>
      <c r="CJ802" s="2293">
        <f t="shared" si="1198"/>
        <v>26006</v>
      </c>
      <c r="CK802" s="2350">
        <f t="shared" si="1197"/>
        <v>26296</v>
      </c>
      <c r="CL802" s="2349">
        <f t="shared" si="1198"/>
        <v>27132</v>
      </c>
      <c r="CM802" s="2349">
        <f t="shared" si="1198"/>
        <v>27643</v>
      </c>
      <c r="CN802" s="2349">
        <f t="shared" si="1198"/>
        <v>28645</v>
      </c>
      <c r="CO802" s="2293">
        <f t="shared" si="1198"/>
        <v>28645</v>
      </c>
      <c r="CP802" s="973">
        <f t="shared" si="1195"/>
        <v>28399.68</v>
      </c>
      <c r="CQ802" s="847">
        <f t="shared" si="1195"/>
        <v>29302.560000000001</v>
      </c>
      <c r="CR802" s="847">
        <f t="shared" si="1195"/>
        <v>29921.870000000003</v>
      </c>
      <c r="CS802" s="1431">
        <f t="shared" si="1195"/>
        <v>31008.270000000004</v>
      </c>
      <c r="CT802" s="2293">
        <f t="shared" si="1195"/>
        <v>31008.270000000004</v>
      </c>
      <c r="CU802" s="2349">
        <f t="shared" si="1198"/>
        <v>33333.890250000004</v>
      </c>
      <c r="CV802" s="2293">
        <f t="shared" si="1198"/>
        <v>34667.245860000003</v>
      </c>
      <c r="CW802" s="2703"/>
      <c r="CX802" s="2703"/>
      <c r="CY802" s="2703"/>
      <c r="CZ802" s="2703"/>
      <c r="DA802" s="2703"/>
      <c r="DB802" s="217"/>
      <c r="DF802" s="186"/>
      <c r="DG802" s="186"/>
      <c r="DH802" s="186"/>
      <c r="DI802" s="186"/>
      <c r="DJ802" s="186"/>
      <c r="DK802" s="186"/>
      <c r="DL802" s="186"/>
      <c r="DM802" s="186"/>
      <c r="DN802" s="186"/>
      <c r="DO802" s="186"/>
      <c r="DP802" s="186"/>
      <c r="DQ802" s="186"/>
      <c r="DR802" s="186"/>
      <c r="DS802" s="186"/>
      <c r="DT802" s="186"/>
      <c r="DU802" s="186"/>
      <c r="DV802" s="186"/>
      <c r="DW802" s="186"/>
      <c r="DX802" s="186"/>
      <c r="DY802" s="186"/>
      <c r="DZ802" s="186"/>
      <c r="EA802" s="186"/>
      <c r="EB802" s="186"/>
      <c r="EC802" s="186"/>
      <c r="ED802" s="186"/>
      <c r="EE802" s="186"/>
      <c r="EF802" s="186"/>
      <c r="EG802" s="186"/>
      <c r="EH802" s="186"/>
      <c r="EI802" s="186"/>
      <c r="EJ802" s="186"/>
      <c r="EK802" s="186"/>
      <c r="EL802" s="186"/>
      <c r="EM802" s="186"/>
      <c r="EN802" s="186"/>
      <c r="EO802" s="186"/>
      <c r="EP802" s="186"/>
      <c r="EQ802" s="186"/>
      <c r="ER802" s="186"/>
      <c r="ES802" s="186"/>
      <c r="ET802" s="186"/>
      <c r="EU802" s="186"/>
      <c r="EV802" s="186"/>
      <c r="EW802" s="186"/>
      <c r="EX802" s="186"/>
      <c r="EY802" s="186"/>
      <c r="EZ802" s="186"/>
      <c r="FA802" s="186"/>
      <c r="FB802" s="186"/>
      <c r="FC802" s="186"/>
      <c r="FD802" s="186"/>
      <c r="FE802" s="186"/>
      <c r="FF802" s="186"/>
      <c r="FG802" s="186"/>
      <c r="FH802" s="186"/>
      <c r="FI802" s="186"/>
      <c r="FJ802" s="186"/>
      <c r="FK802" s="186"/>
      <c r="FL802" s="186"/>
      <c r="FM802" s="186"/>
      <c r="FN802" s="186"/>
      <c r="FO802" s="186"/>
      <c r="FP802" s="186"/>
      <c r="FQ802" s="186"/>
      <c r="FR802" s="186"/>
      <c r="FS802" s="186"/>
      <c r="FT802" s="186"/>
      <c r="FU802" s="186"/>
      <c r="FV802" s="186"/>
      <c r="FW802" s="186"/>
      <c r="FX802" s="186"/>
      <c r="FY802" s="186"/>
      <c r="FZ802" s="186"/>
      <c r="GA802" s="186"/>
      <c r="GB802" s="186"/>
      <c r="GC802" s="186"/>
      <c r="GD802" s="186"/>
      <c r="GE802" s="186"/>
      <c r="GF802" s="186"/>
      <c r="GG802" s="186"/>
      <c r="GH802" s="186"/>
      <c r="GI802" s="186"/>
      <c r="GJ802" s="186"/>
      <c r="GK802" s="186"/>
      <c r="GL802" s="186"/>
      <c r="GM802" s="186"/>
      <c r="GN802" s="186"/>
      <c r="GO802" s="186"/>
      <c r="GP802" s="186"/>
      <c r="GQ802" s="186"/>
      <c r="GR802" s="186"/>
      <c r="GS802" s="186"/>
      <c r="GT802" s="186"/>
      <c r="GU802" s="186"/>
      <c r="GV802" s="186"/>
      <c r="GW802" s="186"/>
      <c r="GX802" s="186"/>
      <c r="GY802" s="186"/>
      <c r="GZ802" s="186"/>
      <c r="HA802" s="186"/>
      <c r="HB802" s="186"/>
      <c r="HC802" s="186"/>
      <c r="HD802" s="186"/>
      <c r="HE802" s="186"/>
      <c r="HF802" s="186"/>
      <c r="HG802" s="186"/>
      <c r="HH802" s="186"/>
      <c r="HI802" s="186"/>
      <c r="HJ802" s="186"/>
      <c r="HK802" s="186"/>
      <c r="HL802" s="186"/>
      <c r="HM802" s="186"/>
      <c r="HN802" s="186"/>
      <c r="HO802" s="186"/>
      <c r="HP802" s="186"/>
      <c r="HQ802" s="186"/>
      <c r="HR802" s="186"/>
      <c r="HS802" s="186"/>
      <c r="HT802" s="186"/>
      <c r="HU802" s="186"/>
      <c r="HV802" s="186"/>
      <c r="HW802" s="186"/>
      <c r="HX802" s="186"/>
      <c r="HY802" s="186"/>
      <c r="HZ802" s="186"/>
      <c r="IA802" s="186"/>
      <c r="IB802" s="186"/>
      <c r="IC802" s="186"/>
      <c r="ID802" s="186"/>
      <c r="IE802" s="186"/>
      <c r="IF802" s="186"/>
      <c r="IG802" s="186"/>
      <c r="IH802" s="186"/>
      <c r="II802" s="186"/>
      <c r="IJ802" s="186"/>
      <c r="IK802" s="186"/>
      <c r="IL802" s="186"/>
      <c r="IM802" s="186"/>
      <c r="IN802" s="186"/>
      <c r="IO802" s="186"/>
      <c r="IP802" s="186"/>
      <c r="IQ802" s="186"/>
      <c r="IR802" s="186"/>
      <c r="IS802" s="186"/>
      <c r="IT802" s="186"/>
      <c r="IU802" s="186"/>
      <c r="IV802" s="186"/>
    </row>
    <row r="803" spans="1:256" x14ac:dyDescent="0.2">
      <c r="A803" s="2434" t="s">
        <v>2457</v>
      </c>
      <c r="B803" s="846"/>
      <c r="C803" s="661"/>
      <c r="D803" s="2062"/>
      <c r="E803" s="2062"/>
      <c r="F803" s="2062"/>
      <c r="G803" s="847"/>
      <c r="H803" s="246"/>
      <c r="I803" s="850"/>
      <c r="J803" s="850"/>
      <c r="K803" s="850"/>
      <c r="L803" s="850"/>
      <c r="M803" s="246"/>
      <c r="N803" s="850"/>
      <c r="O803" s="850"/>
      <c r="P803" s="850"/>
      <c r="Q803" s="850"/>
      <c r="R803" s="246"/>
      <c r="S803" s="850"/>
      <c r="T803" s="850"/>
      <c r="U803" s="850"/>
      <c r="V803" s="850"/>
      <c r="W803" s="246"/>
      <c r="X803" s="850"/>
      <c r="Y803" s="850"/>
      <c r="Z803" s="850"/>
      <c r="AA803" s="850"/>
      <c r="AB803" s="246"/>
      <c r="AC803" s="850"/>
      <c r="AD803" s="850"/>
      <c r="AE803" s="850"/>
      <c r="AF803" s="850"/>
      <c r="AG803" s="246"/>
      <c r="AH803" s="850"/>
      <c r="AI803" s="850"/>
      <c r="AJ803" s="850"/>
      <c r="AK803" s="850"/>
      <c r="AL803" s="246"/>
      <c r="AM803" s="850"/>
      <c r="AN803" s="850"/>
      <c r="AO803" s="850"/>
      <c r="AP803" s="850"/>
      <c r="AQ803" s="246"/>
      <c r="AR803" s="850"/>
      <c r="AS803" s="850"/>
      <c r="AT803" s="850"/>
      <c r="AU803" s="850"/>
      <c r="AV803" s="246"/>
      <c r="AW803" s="850"/>
      <c r="AX803" s="850"/>
      <c r="AY803" s="850"/>
      <c r="AZ803" s="850"/>
      <c r="BA803" s="246"/>
      <c r="BB803" s="850"/>
      <c r="BC803" s="850"/>
      <c r="BD803" s="850"/>
      <c r="BE803" s="850"/>
      <c r="BF803" s="246"/>
      <c r="BG803" s="850"/>
      <c r="BH803" s="850"/>
      <c r="BI803" s="850"/>
      <c r="BJ803" s="850"/>
      <c r="BK803" s="246"/>
      <c r="BL803" s="850"/>
      <c r="BM803" s="850"/>
      <c r="BN803" s="850"/>
      <c r="BO803" s="850"/>
      <c r="BP803" s="970"/>
      <c r="BQ803" s="850"/>
      <c r="BR803" s="850"/>
      <c r="BS803" s="850"/>
      <c r="BT803" s="850"/>
      <c r="BU803" s="970"/>
      <c r="BV803" s="850"/>
      <c r="BW803" s="850"/>
      <c r="BX803" s="850"/>
      <c r="BY803" s="850"/>
      <c r="BZ803" s="970"/>
      <c r="CA803" s="850"/>
      <c r="CB803" s="850"/>
      <c r="CC803" s="850"/>
      <c r="CD803" s="850"/>
      <c r="CE803" s="970"/>
      <c r="CF803" s="850"/>
      <c r="CG803" s="2349"/>
      <c r="CH803" s="2349">
        <f t="shared" ref="CH803:CV803" si="1199">CH517+CH659</f>
        <v>0</v>
      </c>
      <c r="CI803" s="2349">
        <f t="shared" si="1199"/>
        <v>0</v>
      </c>
      <c r="CJ803" s="2293">
        <f t="shared" si="1199"/>
        <v>0</v>
      </c>
      <c r="CK803" s="2350">
        <f t="shared" si="1197"/>
        <v>0</v>
      </c>
      <c r="CL803" s="2349">
        <f t="shared" si="1199"/>
        <v>0</v>
      </c>
      <c r="CM803" s="2349">
        <f t="shared" si="1199"/>
        <v>0</v>
      </c>
      <c r="CN803" s="2349">
        <f t="shared" si="1199"/>
        <v>0</v>
      </c>
      <c r="CO803" s="2293">
        <f t="shared" si="1199"/>
        <v>0</v>
      </c>
      <c r="CP803" s="973">
        <f t="shared" si="1195"/>
        <v>0</v>
      </c>
      <c r="CQ803" s="847">
        <f t="shared" si="1195"/>
        <v>0</v>
      </c>
      <c r="CR803" s="847">
        <f t="shared" si="1195"/>
        <v>0</v>
      </c>
      <c r="CS803" s="1431">
        <f t="shared" si="1195"/>
        <v>0</v>
      </c>
      <c r="CT803" s="2293">
        <f t="shared" si="1195"/>
        <v>0</v>
      </c>
      <c r="CU803" s="2349">
        <f t="shared" si="1199"/>
        <v>0</v>
      </c>
      <c r="CV803" s="2293">
        <f t="shared" si="1199"/>
        <v>0</v>
      </c>
      <c r="CW803" s="2703"/>
      <c r="CX803" s="2703"/>
      <c r="CY803" s="2703"/>
      <c r="CZ803" s="2703"/>
      <c r="DA803" s="2703"/>
      <c r="DB803" s="217"/>
      <c r="DF803" s="186"/>
      <c r="DG803" s="186"/>
      <c r="DH803" s="186"/>
      <c r="DI803" s="186"/>
      <c r="DJ803" s="186"/>
      <c r="DK803" s="186"/>
      <c r="DL803" s="186"/>
      <c r="DM803" s="186"/>
      <c r="DN803" s="186"/>
      <c r="DO803" s="186"/>
      <c r="DP803" s="186"/>
      <c r="DQ803" s="186"/>
      <c r="DR803" s="186"/>
      <c r="DS803" s="186"/>
      <c r="DT803" s="186"/>
      <c r="DU803" s="186"/>
      <c r="DV803" s="186"/>
      <c r="DW803" s="186"/>
      <c r="DX803" s="186"/>
      <c r="DY803" s="186"/>
      <c r="DZ803" s="186"/>
      <c r="EA803" s="186"/>
      <c r="EB803" s="186"/>
      <c r="EC803" s="186"/>
      <c r="ED803" s="186"/>
      <c r="EE803" s="186"/>
      <c r="EF803" s="186"/>
      <c r="EG803" s="186"/>
      <c r="EH803" s="186"/>
      <c r="EI803" s="186"/>
      <c r="EJ803" s="186"/>
      <c r="EK803" s="186"/>
      <c r="EL803" s="186"/>
      <c r="EM803" s="186"/>
      <c r="EN803" s="186"/>
      <c r="EO803" s="186"/>
      <c r="EP803" s="186"/>
      <c r="EQ803" s="186"/>
      <c r="ER803" s="186"/>
      <c r="ES803" s="186"/>
      <c r="ET803" s="186"/>
      <c r="EU803" s="186"/>
      <c r="EV803" s="186"/>
      <c r="EW803" s="186"/>
      <c r="EX803" s="186"/>
      <c r="EY803" s="186"/>
      <c r="EZ803" s="186"/>
      <c r="FA803" s="186"/>
      <c r="FB803" s="186"/>
      <c r="FC803" s="186"/>
      <c r="FD803" s="186"/>
      <c r="FE803" s="186"/>
      <c r="FF803" s="186"/>
      <c r="FG803" s="186"/>
      <c r="FH803" s="186"/>
      <c r="FI803" s="186"/>
      <c r="FJ803" s="186"/>
      <c r="FK803" s="186"/>
      <c r="FL803" s="186"/>
      <c r="FM803" s="186"/>
      <c r="FN803" s="186"/>
      <c r="FO803" s="186"/>
      <c r="FP803" s="186"/>
      <c r="FQ803" s="186"/>
      <c r="FR803" s="186"/>
      <c r="FS803" s="186"/>
      <c r="FT803" s="186"/>
      <c r="FU803" s="186"/>
      <c r="FV803" s="186"/>
      <c r="FW803" s="186"/>
      <c r="FX803" s="186"/>
      <c r="FY803" s="186"/>
      <c r="FZ803" s="186"/>
      <c r="GA803" s="186"/>
      <c r="GB803" s="186"/>
      <c r="GC803" s="186"/>
      <c r="GD803" s="186"/>
      <c r="GE803" s="186"/>
      <c r="GF803" s="186"/>
      <c r="GG803" s="186"/>
      <c r="GH803" s="186"/>
      <c r="GI803" s="186"/>
      <c r="GJ803" s="186"/>
      <c r="GK803" s="186"/>
      <c r="GL803" s="186"/>
      <c r="GM803" s="186"/>
      <c r="GN803" s="186"/>
      <c r="GO803" s="186"/>
      <c r="GP803" s="186"/>
      <c r="GQ803" s="186"/>
      <c r="GR803" s="186"/>
      <c r="GS803" s="186"/>
      <c r="GT803" s="186"/>
      <c r="GU803" s="186"/>
      <c r="GV803" s="186"/>
      <c r="GW803" s="186"/>
      <c r="GX803" s="186"/>
      <c r="GY803" s="186"/>
      <c r="GZ803" s="186"/>
      <c r="HA803" s="186"/>
      <c r="HB803" s="186"/>
      <c r="HC803" s="186"/>
      <c r="HD803" s="186"/>
      <c r="HE803" s="186"/>
      <c r="HF803" s="186"/>
      <c r="HG803" s="186"/>
      <c r="HH803" s="186"/>
      <c r="HI803" s="186"/>
      <c r="HJ803" s="186"/>
      <c r="HK803" s="186"/>
      <c r="HL803" s="186"/>
      <c r="HM803" s="186"/>
      <c r="HN803" s="186"/>
      <c r="HO803" s="186"/>
      <c r="HP803" s="186"/>
      <c r="HQ803" s="186"/>
      <c r="HR803" s="186"/>
      <c r="HS803" s="186"/>
      <c r="HT803" s="186"/>
      <c r="HU803" s="186"/>
      <c r="HV803" s="186"/>
      <c r="HW803" s="186"/>
      <c r="HX803" s="186"/>
      <c r="HY803" s="186"/>
      <c r="HZ803" s="186"/>
      <c r="IA803" s="186"/>
      <c r="IB803" s="186"/>
      <c r="IC803" s="186"/>
      <c r="ID803" s="186"/>
      <c r="IE803" s="186"/>
      <c r="IF803" s="186"/>
      <c r="IG803" s="186"/>
      <c r="IH803" s="186"/>
      <c r="II803" s="186"/>
      <c r="IJ803" s="186"/>
      <c r="IK803" s="186"/>
      <c r="IL803" s="186"/>
      <c r="IM803" s="186"/>
      <c r="IN803" s="186"/>
      <c r="IO803" s="186"/>
      <c r="IP803" s="186"/>
      <c r="IQ803" s="186"/>
      <c r="IR803" s="186"/>
      <c r="IS803" s="186"/>
      <c r="IT803" s="186"/>
      <c r="IU803" s="186"/>
      <c r="IV803" s="186"/>
    </row>
    <row r="804" spans="1:256" x14ac:dyDescent="0.2">
      <c r="A804" s="2434" t="s">
        <v>2458</v>
      </c>
      <c r="B804" s="846"/>
      <c r="C804" s="661"/>
      <c r="D804" s="2062"/>
      <c r="E804" s="2062"/>
      <c r="F804" s="2062"/>
      <c r="G804" s="847"/>
      <c r="H804" s="246"/>
      <c r="I804" s="850"/>
      <c r="J804" s="850"/>
      <c r="K804" s="850"/>
      <c r="L804" s="850"/>
      <c r="M804" s="246"/>
      <c r="N804" s="850"/>
      <c r="O804" s="850"/>
      <c r="P804" s="850"/>
      <c r="Q804" s="850"/>
      <c r="R804" s="246"/>
      <c r="S804" s="850"/>
      <c r="T804" s="850"/>
      <c r="U804" s="850"/>
      <c r="V804" s="850"/>
      <c r="W804" s="246"/>
      <c r="X804" s="850"/>
      <c r="Y804" s="850"/>
      <c r="Z804" s="850"/>
      <c r="AA804" s="850"/>
      <c r="AB804" s="246"/>
      <c r="AC804" s="850"/>
      <c r="AD804" s="850"/>
      <c r="AE804" s="850"/>
      <c r="AF804" s="850"/>
      <c r="AG804" s="246"/>
      <c r="AH804" s="850"/>
      <c r="AI804" s="850"/>
      <c r="AJ804" s="850"/>
      <c r="AK804" s="850"/>
      <c r="AL804" s="246"/>
      <c r="AM804" s="850"/>
      <c r="AN804" s="850"/>
      <c r="AO804" s="850"/>
      <c r="AP804" s="850"/>
      <c r="AQ804" s="246"/>
      <c r="AR804" s="850"/>
      <c r="AS804" s="850"/>
      <c r="AT804" s="850"/>
      <c r="AU804" s="850"/>
      <c r="AV804" s="246"/>
      <c r="AW804" s="850"/>
      <c r="AX804" s="850"/>
      <c r="AY804" s="850"/>
      <c r="AZ804" s="850"/>
      <c r="BA804" s="246"/>
      <c r="BB804" s="850"/>
      <c r="BC804" s="850"/>
      <c r="BD804" s="850"/>
      <c r="BE804" s="850"/>
      <c r="BF804" s="246"/>
      <c r="BG804" s="850"/>
      <c r="BH804" s="850"/>
      <c r="BI804" s="850"/>
      <c r="BJ804" s="850"/>
      <c r="BK804" s="246"/>
      <c r="BL804" s="850"/>
      <c r="BM804" s="850"/>
      <c r="BN804" s="850"/>
      <c r="BO804" s="850"/>
      <c r="BP804" s="970"/>
      <c r="BQ804" s="850"/>
      <c r="BR804" s="850"/>
      <c r="BS804" s="850"/>
      <c r="BT804" s="850"/>
      <c r="BU804" s="970"/>
      <c r="BV804" s="850"/>
      <c r="BW804" s="850"/>
      <c r="BX804" s="850"/>
      <c r="BY804" s="850"/>
      <c r="BZ804" s="970"/>
      <c r="CA804" s="850"/>
      <c r="CB804" s="850"/>
      <c r="CC804" s="850"/>
      <c r="CD804" s="850"/>
      <c r="CE804" s="970"/>
      <c r="CF804" s="850"/>
      <c r="CG804" s="2349"/>
      <c r="CH804" s="2349">
        <f t="shared" ref="CH804:CV804" si="1200">CH518+CH660</f>
        <v>8609</v>
      </c>
      <c r="CI804" s="2349">
        <f t="shared" si="1200"/>
        <v>8250</v>
      </c>
      <c r="CJ804" s="2293">
        <f t="shared" si="1200"/>
        <v>8250</v>
      </c>
      <c r="CK804" s="2350">
        <f t="shared" si="1197"/>
        <v>8278</v>
      </c>
      <c r="CL804" s="2349">
        <f t="shared" si="1200"/>
        <v>8648</v>
      </c>
      <c r="CM804" s="2349">
        <f t="shared" si="1200"/>
        <v>8759</v>
      </c>
      <c r="CN804" s="2349">
        <f t="shared" si="1200"/>
        <v>9544</v>
      </c>
      <c r="CO804" s="2293">
        <f t="shared" si="1200"/>
        <v>9544</v>
      </c>
      <c r="CP804" s="973">
        <f t="shared" si="1195"/>
        <v>9580.9599999999991</v>
      </c>
      <c r="CQ804" s="847">
        <f t="shared" si="1195"/>
        <v>9980.5600000000013</v>
      </c>
      <c r="CR804" s="847">
        <f t="shared" si="1195"/>
        <v>10169.120000000001</v>
      </c>
      <c r="CS804" s="1431">
        <f t="shared" si="1195"/>
        <v>10161.490000000002</v>
      </c>
      <c r="CT804" s="2293">
        <f t="shared" si="1195"/>
        <v>10161.490000000002</v>
      </c>
      <c r="CU804" s="2349">
        <f t="shared" si="1200"/>
        <v>10722.376749999999</v>
      </c>
      <c r="CV804" s="2293">
        <f t="shared" si="1200"/>
        <v>11043.95182</v>
      </c>
      <c r="CW804" s="2703"/>
      <c r="CX804" s="2703"/>
      <c r="CY804" s="2703"/>
      <c r="CZ804" s="2703"/>
      <c r="DA804" s="2703"/>
      <c r="DB804" s="217"/>
      <c r="DF804" s="186"/>
      <c r="DG804" s="186"/>
      <c r="DH804" s="186"/>
      <c r="DI804" s="186"/>
      <c r="DJ804" s="186"/>
      <c r="DK804" s="186"/>
      <c r="DL804" s="186"/>
      <c r="DM804" s="186"/>
      <c r="DN804" s="186"/>
      <c r="DO804" s="186"/>
      <c r="DP804" s="186"/>
      <c r="DQ804" s="186"/>
      <c r="DR804" s="186"/>
      <c r="DS804" s="186"/>
      <c r="DT804" s="186"/>
      <c r="DU804" s="186"/>
      <c r="DV804" s="186"/>
      <c r="DW804" s="186"/>
      <c r="DX804" s="186"/>
      <c r="DY804" s="186"/>
      <c r="DZ804" s="186"/>
      <c r="EA804" s="186"/>
      <c r="EB804" s="186"/>
      <c r="EC804" s="186"/>
      <c r="ED804" s="186"/>
      <c r="EE804" s="186"/>
      <c r="EF804" s="186"/>
      <c r="EG804" s="186"/>
      <c r="EH804" s="186"/>
      <c r="EI804" s="186"/>
      <c r="EJ804" s="186"/>
      <c r="EK804" s="186"/>
      <c r="EL804" s="186"/>
      <c r="EM804" s="186"/>
      <c r="EN804" s="186"/>
      <c r="EO804" s="186"/>
      <c r="EP804" s="186"/>
      <c r="EQ804" s="186"/>
      <c r="ER804" s="186"/>
      <c r="ES804" s="186"/>
      <c r="ET804" s="186"/>
      <c r="EU804" s="186"/>
      <c r="EV804" s="186"/>
      <c r="EW804" s="186"/>
      <c r="EX804" s="186"/>
      <c r="EY804" s="186"/>
      <c r="EZ804" s="186"/>
      <c r="FA804" s="186"/>
      <c r="FB804" s="186"/>
      <c r="FC804" s="186"/>
      <c r="FD804" s="186"/>
      <c r="FE804" s="186"/>
      <c r="FF804" s="186"/>
      <c r="FG804" s="186"/>
      <c r="FH804" s="186"/>
      <c r="FI804" s="186"/>
      <c r="FJ804" s="186"/>
      <c r="FK804" s="186"/>
      <c r="FL804" s="186"/>
      <c r="FM804" s="186"/>
      <c r="FN804" s="186"/>
      <c r="FO804" s="186"/>
      <c r="FP804" s="186"/>
      <c r="FQ804" s="186"/>
      <c r="FR804" s="186"/>
      <c r="FS804" s="186"/>
      <c r="FT804" s="186"/>
      <c r="FU804" s="186"/>
      <c r="FV804" s="186"/>
      <c r="FW804" s="186"/>
      <c r="FX804" s="186"/>
      <c r="FY804" s="186"/>
      <c r="FZ804" s="186"/>
      <c r="GA804" s="186"/>
      <c r="GB804" s="186"/>
      <c r="GC804" s="186"/>
      <c r="GD804" s="186"/>
      <c r="GE804" s="186"/>
      <c r="GF804" s="186"/>
      <c r="GG804" s="186"/>
      <c r="GH804" s="186"/>
      <c r="GI804" s="186"/>
      <c r="GJ804" s="186"/>
      <c r="GK804" s="186"/>
      <c r="GL804" s="186"/>
      <c r="GM804" s="186"/>
      <c r="GN804" s="186"/>
      <c r="GO804" s="186"/>
      <c r="GP804" s="186"/>
      <c r="GQ804" s="186"/>
      <c r="GR804" s="186"/>
      <c r="GS804" s="186"/>
      <c r="GT804" s="186"/>
      <c r="GU804" s="186"/>
      <c r="GV804" s="186"/>
      <c r="GW804" s="186"/>
      <c r="GX804" s="186"/>
      <c r="GY804" s="186"/>
      <c r="GZ804" s="186"/>
      <c r="HA804" s="186"/>
      <c r="HB804" s="186"/>
      <c r="HC804" s="186"/>
      <c r="HD804" s="186"/>
      <c r="HE804" s="186"/>
      <c r="HF804" s="186"/>
      <c r="HG804" s="186"/>
      <c r="HH804" s="186"/>
      <c r="HI804" s="186"/>
      <c r="HJ804" s="186"/>
      <c r="HK804" s="186"/>
      <c r="HL804" s="186"/>
      <c r="HM804" s="186"/>
      <c r="HN804" s="186"/>
      <c r="HO804" s="186"/>
      <c r="HP804" s="186"/>
      <c r="HQ804" s="186"/>
      <c r="HR804" s="186"/>
      <c r="HS804" s="186"/>
      <c r="HT804" s="186"/>
      <c r="HU804" s="186"/>
      <c r="HV804" s="186"/>
      <c r="HW804" s="186"/>
      <c r="HX804" s="186"/>
      <c r="HY804" s="186"/>
      <c r="HZ804" s="186"/>
      <c r="IA804" s="186"/>
      <c r="IB804" s="186"/>
      <c r="IC804" s="186"/>
      <c r="ID804" s="186"/>
      <c r="IE804" s="186"/>
      <c r="IF804" s="186"/>
      <c r="IG804" s="186"/>
      <c r="IH804" s="186"/>
      <c r="II804" s="186"/>
      <c r="IJ804" s="186"/>
      <c r="IK804" s="186"/>
      <c r="IL804" s="186"/>
      <c r="IM804" s="186"/>
      <c r="IN804" s="186"/>
      <c r="IO804" s="186"/>
      <c r="IP804" s="186"/>
      <c r="IQ804" s="186"/>
      <c r="IR804" s="186"/>
      <c r="IS804" s="186"/>
      <c r="IT804" s="186"/>
      <c r="IU804" s="186"/>
      <c r="IV804" s="186"/>
    </row>
    <row r="805" spans="1:256" x14ac:dyDescent="0.2">
      <c r="A805" s="2434" t="s">
        <v>2459</v>
      </c>
      <c r="B805" s="846"/>
      <c r="C805" s="661"/>
      <c r="D805" s="2062"/>
      <c r="E805" s="2062"/>
      <c r="F805" s="2062"/>
      <c r="G805" s="847"/>
      <c r="H805" s="246"/>
      <c r="I805" s="850"/>
      <c r="J805" s="850"/>
      <c r="K805" s="850"/>
      <c r="L805" s="850"/>
      <c r="M805" s="246"/>
      <c r="N805" s="850"/>
      <c r="O805" s="850"/>
      <c r="P805" s="850"/>
      <c r="Q805" s="850"/>
      <c r="R805" s="246"/>
      <c r="S805" s="850"/>
      <c r="T805" s="850"/>
      <c r="U805" s="850"/>
      <c r="V805" s="850"/>
      <c r="W805" s="246"/>
      <c r="X805" s="850"/>
      <c r="Y805" s="850"/>
      <c r="Z805" s="850"/>
      <c r="AA805" s="850"/>
      <c r="AB805" s="246"/>
      <c r="AC805" s="850"/>
      <c r="AD805" s="850"/>
      <c r="AE805" s="850"/>
      <c r="AF805" s="850"/>
      <c r="AG805" s="246"/>
      <c r="AH805" s="850"/>
      <c r="AI805" s="850"/>
      <c r="AJ805" s="850"/>
      <c r="AK805" s="850"/>
      <c r="AL805" s="246"/>
      <c r="AM805" s="850"/>
      <c r="AN805" s="850"/>
      <c r="AO805" s="850"/>
      <c r="AP805" s="850"/>
      <c r="AQ805" s="246"/>
      <c r="AR805" s="850"/>
      <c r="AS805" s="850"/>
      <c r="AT805" s="850"/>
      <c r="AU805" s="850"/>
      <c r="AV805" s="246"/>
      <c r="AW805" s="850"/>
      <c r="AX805" s="850"/>
      <c r="AY805" s="850"/>
      <c r="AZ805" s="850"/>
      <c r="BA805" s="246"/>
      <c r="BB805" s="850"/>
      <c r="BC805" s="850"/>
      <c r="BD805" s="850"/>
      <c r="BE805" s="850"/>
      <c r="BF805" s="246"/>
      <c r="BG805" s="850"/>
      <c r="BH805" s="850"/>
      <c r="BI805" s="850"/>
      <c r="BJ805" s="850"/>
      <c r="BK805" s="246"/>
      <c r="BL805" s="850"/>
      <c r="BM805" s="850"/>
      <c r="BN805" s="850"/>
      <c r="BO805" s="850"/>
      <c r="BP805" s="970"/>
      <c r="BQ805" s="850"/>
      <c r="BR805" s="850"/>
      <c r="BS805" s="850"/>
      <c r="BT805" s="850"/>
      <c r="BU805" s="970"/>
      <c r="BV805" s="850"/>
      <c r="BW805" s="850"/>
      <c r="BX805" s="850"/>
      <c r="BY805" s="850"/>
      <c r="BZ805" s="970"/>
      <c r="CA805" s="850"/>
      <c r="CB805" s="850"/>
      <c r="CC805" s="850"/>
      <c r="CD805" s="850"/>
      <c r="CE805" s="970"/>
      <c r="CF805" s="850"/>
      <c r="CG805" s="2349"/>
      <c r="CH805" s="2349">
        <f t="shared" ref="CH805:CV805" si="1201">CH519+CH661</f>
        <v>0</v>
      </c>
      <c r="CI805" s="2349">
        <f t="shared" si="1201"/>
        <v>0</v>
      </c>
      <c r="CJ805" s="2293">
        <f t="shared" si="1201"/>
        <v>0</v>
      </c>
      <c r="CK805" s="2350">
        <f t="shared" si="1197"/>
        <v>0</v>
      </c>
      <c r="CL805" s="2349">
        <f t="shared" si="1201"/>
        <v>0</v>
      </c>
      <c r="CM805" s="2349">
        <f t="shared" si="1201"/>
        <v>0</v>
      </c>
      <c r="CN805" s="2349">
        <f t="shared" si="1201"/>
        <v>0</v>
      </c>
      <c r="CO805" s="2293">
        <f t="shared" si="1201"/>
        <v>0</v>
      </c>
      <c r="CP805" s="973">
        <f t="shared" si="1195"/>
        <v>0</v>
      </c>
      <c r="CQ805" s="847">
        <f t="shared" si="1195"/>
        <v>0</v>
      </c>
      <c r="CR805" s="847">
        <f t="shared" si="1195"/>
        <v>0</v>
      </c>
      <c r="CS805" s="1431">
        <f t="shared" si="1195"/>
        <v>0</v>
      </c>
      <c r="CT805" s="2293">
        <f t="shared" si="1195"/>
        <v>0</v>
      </c>
      <c r="CU805" s="2349">
        <f t="shared" si="1201"/>
        <v>0</v>
      </c>
      <c r="CV805" s="2293">
        <f t="shared" si="1201"/>
        <v>0</v>
      </c>
      <c r="CW805" s="2703"/>
      <c r="CX805" s="2703"/>
      <c r="CY805" s="2703"/>
      <c r="CZ805" s="2703"/>
      <c r="DA805" s="2703"/>
      <c r="DB805" s="217"/>
      <c r="DF805" s="186"/>
      <c r="DG805" s="186"/>
      <c r="DH805" s="186"/>
      <c r="DI805" s="186"/>
      <c r="DJ805" s="186"/>
      <c r="DK805" s="186"/>
      <c r="DL805" s="186"/>
      <c r="DM805" s="186"/>
      <c r="DN805" s="186"/>
      <c r="DO805" s="186"/>
      <c r="DP805" s="186"/>
      <c r="DQ805" s="186"/>
      <c r="DR805" s="186"/>
      <c r="DS805" s="186"/>
      <c r="DT805" s="186"/>
      <c r="DU805" s="186"/>
      <c r="DV805" s="186"/>
      <c r="DW805" s="186"/>
      <c r="DX805" s="186"/>
      <c r="DY805" s="186"/>
      <c r="DZ805" s="186"/>
      <c r="EA805" s="186"/>
      <c r="EB805" s="186"/>
      <c r="EC805" s="186"/>
      <c r="ED805" s="186"/>
      <c r="EE805" s="186"/>
      <c r="EF805" s="186"/>
      <c r="EG805" s="186"/>
      <c r="EH805" s="186"/>
      <c r="EI805" s="186"/>
      <c r="EJ805" s="186"/>
      <c r="EK805" s="186"/>
      <c r="EL805" s="186"/>
      <c r="EM805" s="186"/>
      <c r="EN805" s="186"/>
      <c r="EO805" s="186"/>
      <c r="EP805" s="186"/>
      <c r="EQ805" s="186"/>
      <c r="ER805" s="186"/>
      <c r="ES805" s="186"/>
      <c r="ET805" s="186"/>
      <c r="EU805" s="186"/>
      <c r="EV805" s="186"/>
      <c r="EW805" s="186"/>
      <c r="EX805" s="186"/>
      <c r="EY805" s="186"/>
      <c r="EZ805" s="186"/>
      <c r="FA805" s="186"/>
      <c r="FB805" s="186"/>
      <c r="FC805" s="186"/>
      <c r="FD805" s="186"/>
      <c r="FE805" s="186"/>
      <c r="FF805" s="186"/>
      <c r="FG805" s="186"/>
      <c r="FH805" s="186"/>
      <c r="FI805" s="186"/>
      <c r="FJ805" s="186"/>
      <c r="FK805" s="186"/>
      <c r="FL805" s="186"/>
      <c r="FM805" s="186"/>
      <c r="FN805" s="186"/>
      <c r="FO805" s="186"/>
      <c r="FP805" s="186"/>
      <c r="FQ805" s="186"/>
      <c r="FR805" s="186"/>
      <c r="FS805" s="186"/>
      <c r="FT805" s="186"/>
      <c r="FU805" s="186"/>
      <c r="FV805" s="186"/>
      <c r="FW805" s="186"/>
      <c r="FX805" s="186"/>
      <c r="FY805" s="186"/>
      <c r="FZ805" s="186"/>
      <c r="GA805" s="186"/>
      <c r="GB805" s="186"/>
      <c r="GC805" s="186"/>
      <c r="GD805" s="186"/>
      <c r="GE805" s="186"/>
      <c r="GF805" s="186"/>
      <c r="GG805" s="186"/>
      <c r="GH805" s="186"/>
      <c r="GI805" s="186"/>
      <c r="GJ805" s="186"/>
      <c r="GK805" s="186"/>
      <c r="GL805" s="186"/>
      <c r="GM805" s="186"/>
      <c r="GN805" s="186"/>
      <c r="GO805" s="186"/>
      <c r="GP805" s="186"/>
      <c r="GQ805" s="186"/>
      <c r="GR805" s="186"/>
      <c r="GS805" s="186"/>
      <c r="GT805" s="186"/>
      <c r="GU805" s="186"/>
      <c r="GV805" s="186"/>
      <c r="GW805" s="186"/>
      <c r="GX805" s="186"/>
      <c r="GY805" s="186"/>
      <c r="GZ805" s="186"/>
      <c r="HA805" s="186"/>
      <c r="HB805" s="186"/>
      <c r="HC805" s="186"/>
      <c r="HD805" s="186"/>
      <c r="HE805" s="186"/>
      <c r="HF805" s="186"/>
      <c r="HG805" s="186"/>
      <c r="HH805" s="186"/>
      <c r="HI805" s="186"/>
      <c r="HJ805" s="186"/>
      <c r="HK805" s="186"/>
      <c r="HL805" s="186"/>
      <c r="HM805" s="186"/>
      <c r="HN805" s="186"/>
      <c r="HO805" s="186"/>
      <c r="HP805" s="186"/>
      <c r="HQ805" s="186"/>
      <c r="HR805" s="186"/>
      <c r="HS805" s="186"/>
      <c r="HT805" s="186"/>
      <c r="HU805" s="186"/>
      <c r="HV805" s="186"/>
      <c r="HW805" s="186"/>
      <c r="HX805" s="186"/>
      <c r="HY805" s="186"/>
      <c r="HZ805" s="186"/>
      <c r="IA805" s="186"/>
      <c r="IB805" s="186"/>
      <c r="IC805" s="186"/>
      <c r="ID805" s="186"/>
      <c r="IE805" s="186"/>
      <c r="IF805" s="186"/>
      <c r="IG805" s="186"/>
      <c r="IH805" s="186"/>
      <c r="II805" s="186"/>
      <c r="IJ805" s="186"/>
      <c r="IK805" s="186"/>
      <c r="IL805" s="186"/>
      <c r="IM805" s="186"/>
      <c r="IN805" s="186"/>
      <c r="IO805" s="186"/>
      <c r="IP805" s="186"/>
      <c r="IQ805" s="186"/>
      <c r="IR805" s="186"/>
      <c r="IS805" s="186"/>
      <c r="IT805" s="186"/>
      <c r="IU805" s="186"/>
      <c r="IV805" s="186"/>
    </row>
    <row r="806" spans="1:256" x14ac:dyDescent="0.2">
      <c r="A806" s="2434" t="s">
        <v>2460</v>
      </c>
      <c r="B806" s="846"/>
      <c r="C806" s="661"/>
      <c r="D806" s="2062"/>
      <c r="E806" s="2062"/>
      <c r="F806" s="2062"/>
      <c r="G806" s="847"/>
      <c r="H806" s="246"/>
      <c r="I806" s="850"/>
      <c r="J806" s="850"/>
      <c r="K806" s="850"/>
      <c r="L806" s="850"/>
      <c r="M806" s="246"/>
      <c r="N806" s="850"/>
      <c r="O806" s="850"/>
      <c r="P806" s="850"/>
      <c r="Q806" s="850"/>
      <c r="R806" s="246"/>
      <c r="S806" s="850"/>
      <c r="T806" s="850"/>
      <c r="U806" s="850"/>
      <c r="V806" s="850"/>
      <c r="W806" s="246"/>
      <c r="X806" s="850"/>
      <c r="Y806" s="850"/>
      <c r="Z806" s="850"/>
      <c r="AA806" s="850"/>
      <c r="AB806" s="246"/>
      <c r="AC806" s="850"/>
      <c r="AD806" s="850"/>
      <c r="AE806" s="850"/>
      <c r="AF806" s="850"/>
      <c r="AG806" s="246"/>
      <c r="AH806" s="850"/>
      <c r="AI806" s="850"/>
      <c r="AJ806" s="850"/>
      <c r="AK806" s="850"/>
      <c r="AL806" s="246"/>
      <c r="AM806" s="850"/>
      <c r="AN806" s="850"/>
      <c r="AO806" s="850"/>
      <c r="AP806" s="850"/>
      <c r="AQ806" s="246"/>
      <c r="AR806" s="850"/>
      <c r="AS806" s="850"/>
      <c r="AT806" s="850"/>
      <c r="AU806" s="850"/>
      <c r="AV806" s="246"/>
      <c r="AW806" s="850"/>
      <c r="AX806" s="850"/>
      <c r="AY806" s="850"/>
      <c r="AZ806" s="850"/>
      <c r="BA806" s="246"/>
      <c r="BB806" s="850"/>
      <c r="BC806" s="850"/>
      <c r="BD806" s="850"/>
      <c r="BE806" s="850"/>
      <c r="BF806" s="246"/>
      <c r="BG806" s="850"/>
      <c r="BH806" s="850"/>
      <c r="BI806" s="850"/>
      <c r="BJ806" s="850"/>
      <c r="BK806" s="246"/>
      <c r="BL806" s="850"/>
      <c r="BM806" s="850"/>
      <c r="BN806" s="850"/>
      <c r="BO806" s="850"/>
      <c r="BP806" s="970"/>
      <c r="BQ806" s="850"/>
      <c r="BR806" s="850"/>
      <c r="BS806" s="850"/>
      <c r="BT806" s="850"/>
      <c r="BU806" s="970"/>
      <c r="BV806" s="850"/>
      <c r="BW806" s="850"/>
      <c r="BX806" s="850"/>
      <c r="BY806" s="850"/>
      <c r="BZ806" s="970"/>
      <c r="CA806" s="850"/>
      <c r="CB806" s="850"/>
      <c r="CC806" s="850"/>
      <c r="CD806" s="850"/>
      <c r="CE806" s="970"/>
      <c r="CF806" s="850"/>
      <c r="CG806" s="2349"/>
      <c r="CH806" s="2349">
        <f t="shared" ref="CH806:CV806" si="1202">CH520+CH662</f>
        <v>6616</v>
      </c>
      <c r="CI806" s="2349">
        <f t="shared" si="1202"/>
        <v>6626</v>
      </c>
      <c r="CJ806" s="2293">
        <f t="shared" si="1202"/>
        <v>6626</v>
      </c>
      <c r="CK806" s="2350">
        <f t="shared" si="1197"/>
        <v>6866</v>
      </c>
      <c r="CL806" s="2349">
        <f t="shared" si="1202"/>
        <v>7064</v>
      </c>
      <c r="CM806" s="2349">
        <f t="shared" si="1202"/>
        <v>8308</v>
      </c>
      <c r="CN806" s="2349">
        <f t="shared" si="1202"/>
        <v>8308</v>
      </c>
      <c r="CO806" s="2293">
        <f t="shared" si="1202"/>
        <v>8308</v>
      </c>
      <c r="CP806" s="973">
        <f t="shared" si="1195"/>
        <v>7377.75</v>
      </c>
      <c r="CQ806" s="847">
        <f t="shared" si="1195"/>
        <v>7516.35</v>
      </c>
      <c r="CR806" s="847">
        <f t="shared" si="1195"/>
        <v>8841.4200000000019</v>
      </c>
      <c r="CS806" s="1431">
        <f t="shared" si="1195"/>
        <v>8798.5600000000013</v>
      </c>
      <c r="CT806" s="2293">
        <f t="shared" si="1195"/>
        <v>8798.5600000000013</v>
      </c>
      <c r="CU806" s="2349">
        <f t="shared" si="1202"/>
        <v>9392.2332999999999</v>
      </c>
      <c r="CV806" s="2293">
        <f t="shared" si="1202"/>
        <v>9721.1280840000018</v>
      </c>
      <c r="CW806" s="2703"/>
      <c r="CX806" s="2703"/>
      <c r="CY806" s="2703"/>
      <c r="CZ806" s="2703"/>
      <c r="DA806" s="2703"/>
      <c r="DB806" s="217"/>
      <c r="DF806" s="186"/>
      <c r="DG806" s="186"/>
      <c r="DH806" s="186"/>
      <c r="DI806" s="186"/>
      <c r="DJ806" s="186"/>
      <c r="DK806" s="186"/>
      <c r="DL806" s="186"/>
      <c r="DM806" s="186"/>
      <c r="DN806" s="186"/>
      <c r="DO806" s="186"/>
      <c r="DP806" s="186"/>
      <c r="DQ806" s="186"/>
      <c r="DR806" s="186"/>
      <c r="DS806" s="186"/>
      <c r="DT806" s="186"/>
      <c r="DU806" s="186"/>
      <c r="DV806" s="186"/>
      <c r="DW806" s="186"/>
      <c r="DX806" s="186"/>
      <c r="DY806" s="186"/>
      <c r="DZ806" s="186"/>
      <c r="EA806" s="186"/>
      <c r="EB806" s="186"/>
      <c r="EC806" s="186"/>
      <c r="ED806" s="186"/>
      <c r="EE806" s="186"/>
      <c r="EF806" s="186"/>
      <c r="EG806" s="186"/>
      <c r="EH806" s="186"/>
      <c r="EI806" s="186"/>
      <c r="EJ806" s="186"/>
      <c r="EK806" s="186"/>
      <c r="EL806" s="186"/>
      <c r="EM806" s="186"/>
      <c r="EN806" s="186"/>
      <c r="EO806" s="186"/>
      <c r="EP806" s="186"/>
      <c r="EQ806" s="186"/>
      <c r="ER806" s="186"/>
      <c r="ES806" s="186"/>
      <c r="ET806" s="186"/>
      <c r="EU806" s="186"/>
      <c r="EV806" s="186"/>
      <c r="EW806" s="186"/>
      <c r="EX806" s="186"/>
      <c r="EY806" s="186"/>
      <c r="EZ806" s="186"/>
      <c r="FA806" s="186"/>
      <c r="FB806" s="186"/>
      <c r="FC806" s="186"/>
      <c r="FD806" s="186"/>
      <c r="FE806" s="186"/>
      <c r="FF806" s="186"/>
      <c r="FG806" s="186"/>
      <c r="FH806" s="186"/>
      <c r="FI806" s="186"/>
      <c r="FJ806" s="186"/>
      <c r="FK806" s="186"/>
      <c r="FL806" s="186"/>
      <c r="FM806" s="186"/>
      <c r="FN806" s="186"/>
      <c r="FO806" s="186"/>
      <c r="FP806" s="186"/>
      <c r="FQ806" s="186"/>
      <c r="FR806" s="186"/>
      <c r="FS806" s="186"/>
      <c r="FT806" s="186"/>
      <c r="FU806" s="186"/>
      <c r="FV806" s="186"/>
      <c r="FW806" s="186"/>
      <c r="FX806" s="186"/>
      <c r="FY806" s="186"/>
      <c r="FZ806" s="186"/>
      <c r="GA806" s="186"/>
      <c r="GB806" s="186"/>
      <c r="GC806" s="186"/>
      <c r="GD806" s="186"/>
      <c r="GE806" s="186"/>
      <c r="GF806" s="186"/>
      <c r="GG806" s="186"/>
      <c r="GH806" s="186"/>
      <c r="GI806" s="186"/>
      <c r="GJ806" s="186"/>
      <c r="GK806" s="186"/>
      <c r="GL806" s="186"/>
      <c r="GM806" s="186"/>
      <c r="GN806" s="186"/>
      <c r="GO806" s="186"/>
      <c r="GP806" s="186"/>
      <c r="GQ806" s="186"/>
      <c r="GR806" s="186"/>
      <c r="GS806" s="186"/>
      <c r="GT806" s="186"/>
      <c r="GU806" s="186"/>
      <c r="GV806" s="186"/>
      <c r="GW806" s="186"/>
      <c r="GX806" s="186"/>
      <c r="GY806" s="186"/>
      <c r="GZ806" s="186"/>
      <c r="HA806" s="186"/>
      <c r="HB806" s="186"/>
      <c r="HC806" s="186"/>
      <c r="HD806" s="186"/>
      <c r="HE806" s="186"/>
      <c r="HF806" s="186"/>
      <c r="HG806" s="186"/>
      <c r="HH806" s="186"/>
      <c r="HI806" s="186"/>
      <c r="HJ806" s="186"/>
      <c r="HK806" s="186"/>
      <c r="HL806" s="186"/>
      <c r="HM806" s="186"/>
      <c r="HN806" s="186"/>
      <c r="HO806" s="186"/>
      <c r="HP806" s="186"/>
      <c r="HQ806" s="186"/>
      <c r="HR806" s="186"/>
      <c r="HS806" s="186"/>
      <c r="HT806" s="186"/>
      <c r="HU806" s="186"/>
      <c r="HV806" s="186"/>
      <c r="HW806" s="186"/>
      <c r="HX806" s="186"/>
      <c r="HY806" s="186"/>
      <c r="HZ806" s="186"/>
      <c r="IA806" s="186"/>
      <c r="IB806" s="186"/>
      <c r="IC806" s="186"/>
      <c r="ID806" s="186"/>
      <c r="IE806" s="186"/>
      <c r="IF806" s="186"/>
      <c r="IG806" s="186"/>
      <c r="IH806" s="186"/>
      <c r="II806" s="186"/>
      <c r="IJ806" s="186"/>
      <c r="IK806" s="186"/>
      <c r="IL806" s="186"/>
      <c r="IM806" s="186"/>
      <c r="IN806" s="186"/>
      <c r="IO806" s="186"/>
      <c r="IP806" s="186"/>
      <c r="IQ806" s="186"/>
      <c r="IR806" s="186"/>
      <c r="IS806" s="186"/>
      <c r="IT806" s="186"/>
      <c r="IU806" s="186"/>
      <c r="IV806" s="186"/>
    </row>
    <row r="807" spans="1:256" x14ac:dyDescent="0.2">
      <c r="A807" s="2434" t="s">
        <v>2464</v>
      </c>
      <c r="B807" s="846"/>
      <c r="C807" s="661"/>
      <c r="D807" s="2062"/>
      <c r="E807" s="2062"/>
      <c r="F807" s="2062"/>
      <c r="G807" s="847"/>
      <c r="H807" s="246"/>
      <c r="I807" s="850"/>
      <c r="J807" s="850"/>
      <c r="K807" s="850"/>
      <c r="L807" s="850"/>
      <c r="M807" s="246"/>
      <c r="N807" s="850"/>
      <c r="O807" s="850"/>
      <c r="P807" s="850"/>
      <c r="Q807" s="850"/>
      <c r="R807" s="246"/>
      <c r="S807" s="850"/>
      <c r="T807" s="850"/>
      <c r="U807" s="850"/>
      <c r="V807" s="850"/>
      <c r="W807" s="246"/>
      <c r="X807" s="850"/>
      <c r="Y807" s="850"/>
      <c r="Z807" s="850"/>
      <c r="AA807" s="850"/>
      <c r="AB807" s="246"/>
      <c r="AC807" s="850"/>
      <c r="AD807" s="850"/>
      <c r="AE807" s="850"/>
      <c r="AF807" s="850"/>
      <c r="AG807" s="246"/>
      <c r="AH807" s="850"/>
      <c r="AI807" s="850"/>
      <c r="AJ807" s="850"/>
      <c r="AK807" s="850"/>
      <c r="AL807" s="246"/>
      <c r="AM807" s="850"/>
      <c r="AN807" s="850"/>
      <c r="AO807" s="850"/>
      <c r="AP807" s="850"/>
      <c r="AQ807" s="246"/>
      <c r="AR807" s="850"/>
      <c r="AS807" s="850"/>
      <c r="AT807" s="850"/>
      <c r="AU807" s="850"/>
      <c r="AV807" s="246"/>
      <c r="AW807" s="850"/>
      <c r="AX807" s="850"/>
      <c r="AY807" s="850"/>
      <c r="AZ807" s="850"/>
      <c r="BA807" s="246"/>
      <c r="BB807" s="850"/>
      <c r="BC807" s="850"/>
      <c r="BD807" s="850"/>
      <c r="BE807" s="850"/>
      <c r="BF807" s="246"/>
      <c r="BG807" s="850"/>
      <c r="BH807" s="850"/>
      <c r="BI807" s="850"/>
      <c r="BJ807" s="850"/>
      <c r="BK807" s="246"/>
      <c r="BL807" s="850"/>
      <c r="BM807" s="850"/>
      <c r="BN807" s="850"/>
      <c r="BO807" s="850"/>
      <c r="BP807" s="970"/>
      <c r="BQ807" s="850"/>
      <c r="BR807" s="850"/>
      <c r="BS807" s="850"/>
      <c r="BT807" s="850"/>
      <c r="BU807" s="970"/>
      <c r="BV807" s="850"/>
      <c r="BW807" s="850"/>
      <c r="BX807" s="850"/>
      <c r="BY807" s="850"/>
      <c r="BZ807" s="970"/>
      <c r="CA807" s="850"/>
      <c r="CB807" s="850"/>
      <c r="CC807" s="850"/>
      <c r="CD807" s="850"/>
      <c r="CE807" s="970"/>
      <c r="CF807" s="850"/>
      <c r="CG807" s="2349"/>
      <c r="CH807" s="2349">
        <f t="shared" ref="CH807:CV807" si="1203">CH521+CH663</f>
        <v>13625</v>
      </c>
      <c r="CI807" s="2349">
        <f t="shared" si="1203"/>
        <v>13691</v>
      </c>
      <c r="CJ807" s="2293">
        <f t="shared" si="1203"/>
        <v>13691</v>
      </c>
      <c r="CK807" s="2350">
        <f t="shared" si="1197"/>
        <v>14798</v>
      </c>
      <c r="CL807" s="2349">
        <f t="shared" si="1203"/>
        <v>15088</v>
      </c>
      <c r="CM807" s="2349">
        <f t="shared" si="1203"/>
        <v>16163</v>
      </c>
      <c r="CN807" s="2349">
        <f t="shared" si="1203"/>
        <v>16163</v>
      </c>
      <c r="CO807" s="2293">
        <f t="shared" si="1203"/>
        <v>16163</v>
      </c>
      <c r="CP807" s="973">
        <f t="shared" si="1195"/>
        <v>15981.84</v>
      </c>
      <c r="CQ807" s="847">
        <f t="shared" si="1195"/>
        <v>16295.04</v>
      </c>
      <c r="CR807" s="847">
        <f t="shared" si="1195"/>
        <v>17475.32</v>
      </c>
      <c r="CS807" s="1431">
        <f t="shared" si="1195"/>
        <v>17475.32</v>
      </c>
      <c r="CT807" s="2293">
        <f t="shared" si="1195"/>
        <v>17475.32</v>
      </c>
      <c r="CU807" s="2349">
        <f t="shared" si="1203"/>
        <v>18785.968999999997</v>
      </c>
      <c r="CV807" s="2293">
        <f t="shared" si="1203"/>
        <v>19537.407760000002</v>
      </c>
      <c r="CW807" s="2703"/>
      <c r="CX807" s="2703"/>
      <c r="CY807" s="2703"/>
      <c r="CZ807" s="2703"/>
      <c r="DA807" s="2703"/>
      <c r="DB807" s="217"/>
      <c r="DF807" s="186"/>
      <c r="DG807" s="186"/>
      <c r="DH807" s="186"/>
      <c r="DI807" s="186"/>
      <c r="DJ807" s="186"/>
      <c r="DK807" s="186"/>
      <c r="DL807" s="186"/>
      <c r="DM807" s="186"/>
      <c r="DN807" s="186"/>
      <c r="DO807" s="186"/>
      <c r="DP807" s="186"/>
      <c r="DQ807" s="186"/>
      <c r="DR807" s="186"/>
      <c r="DS807" s="186"/>
      <c r="DT807" s="186"/>
      <c r="DU807" s="186"/>
      <c r="DV807" s="186"/>
      <c r="DW807" s="186"/>
      <c r="DX807" s="186"/>
      <c r="DY807" s="186"/>
      <c r="DZ807" s="186"/>
      <c r="EA807" s="186"/>
      <c r="EB807" s="186"/>
      <c r="EC807" s="186"/>
      <c r="ED807" s="186"/>
      <c r="EE807" s="186"/>
      <c r="EF807" s="186"/>
      <c r="EG807" s="186"/>
      <c r="EH807" s="186"/>
      <c r="EI807" s="186"/>
      <c r="EJ807" s="186"/>
      <c r="EK807" s="186"/>
      <c r="EL807" s="186"/>
      <c r="EM807" s="186"/>
      <c r="EN807" s="186"/>
      <c r="EO807" s="186"/>
      <c r="EP807" s="186"/>
      <c r="EQ807" s="186"/>
      <c r="ER807" s="186"/>
      <c r="ES807" s="186"/>
      <c r="ET807" s="186"/>
      <c r="EU807" s="186"/>
      <c r="EV807" s="186"/>
      <c r="EW807" s="186"/>
      <c r="EX807" s="186"/>
      <c r="EY807" s="186"/>
      <c r="EZ807" s="186"/>
      <c r="FA807" s="186"/>
      <c r="FB807" s="186"/>
      <c r="FC807" s="186"/>
      <c r="FD807" s="186"/>
      <c r="FE807" s="186"/>
      <c r="FF807" s="186"/>
      <c r="FG807" s="186"/>
      <c r="FH807" s="186"/>
      <c r="FI807" s="186"/>
      <c r="FJ807" s="186"/>
      <c r="FK807" s="186"/>
      <c r="FL807" s="186"/>
      <c r="FM807" s="186"/>
      <c r="FN807" s="186"/>
      <c r="FO807" s="186"/>
      <c r="FP807" s="186"/>
      <c r="FQ807" s="186"/>
      <c r="FR807" s="186"/>
      <c r="FS807" s="186"/>
      <c r="FT807" s="186"/>
      <c r="FU807" s="186"/>
      <c r="FV807" s="186"/>
      <c r="FW807" s="186"/>
      <c r="FX807" s="186"/>
      <c r="FY807" s="186"/>
      <c r="FZ807" s="186"/>
      <c r="GA807" s="186"/>
      <c r="GB807" s="186"/>
      <c r="GC807" s="186"/>
      <c r="GD807" s="186"/>
      <c r="GE807" s="186"/>
      <c r="GF807" s="186"/>
      <c r="GG807" s="186"/>
      <c r="GH807" s="186"/>
      <c r="GI807" s="186"/>
      <c r="GJ807" s="186"/>
      <c r="GK807" s="186"/>
      <c r="GL807" s="186"/>
      <c r="GM807" s="186"/>
      <c r="GN807" s="186"/>
      <c r="GO807" s="186"/>
      <c r="GP807" s="186"/>
      <c r="GQ807" s="186"/>
      <c r="GR807" s="186"/>
      <c r="GS807" s="186"/>
      <c r="GT807" s="186"/>
      <c r="GU807" s="186"/>
      <c r="GV807" s="186"/>
      <c r="GW807" s="186"/>
      <c r="GX807" s="186"/>
      <c r="GY807" s="186"/>
      <c r="GZ807" s="186"/>
      <c r="HA807" s="186"/>
      <c r="HB807" s="186"/>
      <c r="HC807" s="186"/>
      <c r="HD807" s="186"/>
      <c r="HE807" s="186"/>
      <c r="HF807" s="186"/>
      <c r="HG807" s="186"/>
      <c r="HH807" s="186"/>
      <c r="HI807" s="186"/>
      <c r="HJ807" s="186"/>
      <c r="HK807" s="186"/>
      <c r="HL807" s="186"/>
      <c r="HM807" s="186"/>
      <c r="HN807" s="186"/>
      <c r="HO807" s="186"/>
      <c r="HP807" s="186"/>
      <c r="HQ807" s="186"/>
      <c r="HR807" s="186"/>
      <c r="HS807" s="186"/>
      <c r="HT807" s="186"/>
      <c r="HU807" s="186"/>
      <c r="HV807" s="186"/>
      <c r="HW807" s="186"/>
      <c r="HX807" s="186"/>
      <c r="HY807" s="186"/>
      <c r="HZ807" s="186"/>
      <c r="IA807" s="186"/>
      <c r="IB807" s="186"/>
      <c r="IC807" s="186"/>
      <c r="ID807" s="186"/>
      <c r="IE807" s="186"/>
      <c r="IF807" s="186"/>
      <c r="IG807" s="186"/>
      <c r="IH807" s="186"/>
      <c r="II807" s="186"/>
      <c r="IJ807" s="186"/>
      <c r="IK807" s="186"/>
      <c r="IL807" s="186"/>
      <c r="IM807" s="186"/>
      <c r="IN807" s="186"/>
      <c r="IO807" s="186"/>
      <c r="IP807" s="186"/>
      <c r="IQ807" s="186"/>
      <c r="IR807" s="186"/>
      <c r="IS807" s="186"/>
      <c r="IT807" s="186"/>
      <c r="IU807" s="186"/>
      <c r="IV807" s="186"/>
    </row>
    <row r="808" spans="1:256" x14ac:dyDescent="0.2">
      <c r="A808" s="2434" t="s">
        <v>2462</v>
      </c>
      <c r="B808" s="846"/>
      <c r="C808" s="661"/>
      <c r="D808" s="2062"/>
      <c r="E808" s="2062"/>
      <c r="F808" s="2062"/>
      <c r="G808" s="847"/>
      <c r="H808" s="246"/>
      <c r="I808" s="850"/>
      <c r="J808" s="850"/>
      <c r="K808" s="850"/>
      <c r="L808" s="850"/>
      <c r="M808" s="246"/>
      <c r="N808" s="850"/>
      <c r="O808" s="850"/>
      <c r="P808" s="850"/>
      <c r="Q808" s="850"/>
      <c r="R808" s="246"/>
      <c r="S808" s="850"/>
      <c r="T808" s="850"/>
      <c r="U808" s="850"/>
      <c r="V808" s="850"/>
      <c r="W808" s="246"/>
      <c r="X808" s="850"/>
      <c r="Y808" s="850"/>
      <c r="Z808" s="850"/>
      <c r="AA808" s="850"/>
      <c r="AB808" s="246"/>
      <c r="AC808" s="850"/>
      <c r="AD808" s="850"/>
      <c r="AE808" s="850"/>
      <c r="AF808" s="850"/>
      <c r="AG808" s="246"/>
      <c r="AH808" s="850"/>
      <c r="AI808" s="850"/>
      <c r="AJ808" s="850"/>
      <c r="AK808" s="850"/>
      <c r="AL808" s="246"/>
      <c r="AM808" s="850"/>
      <c r="AN808" s="850"/>
      <c r="AO808" s="850"/>
      <c r="AP808" s="850"/>
      <c r="AQ808" s="246"/>
      <c r="AR808" s="850"/>
      <c r="AS808" s="850"/>
      <c r="AT808" s="850"/>
      <c r="AU808" s="850"/>
      <c r="AV808" s="246"/>
      <c r="AW808" s="850"/>
      <c r="AX808" s="850"/>
      <c r="AY808" s="850"/>
      <c r="AZ808" s="850"/>
      <c r="BA808" s="246"/>
      <c r="BB808" s="850"/>
      <c r="BC808" s="850"/>
      <c r="BD808" s="850"/>
      <c r="BE808" s="850"/>
      <c r="BF808" s="246"/>
      <c r="BG808" s="850"/>
      <c r="BH808" s="850"/>
      <c r="BI808" s="850"/>
      <c r="BJ808" s="850"/>
      <c r="BK808" s="246"/>
      <c r="BL808" s="850"/>
      <c r="BM808" s="850"/>
      <c r="BN808" s="850"/>
      <c r="BO808" s="850"/>
      <c r="BP808" s="970"/>
      <c r="BQ808" s="850"/>
      <c r="BR808" s="850"/>
      <c r="BS808" s="850"/>
      <c r="BT808" s="850"/>
      <c r="BU808" s="970"/>
      <c r="BV808" s="850"/>
      <c r="BW808" s="850"/>
      <c r="BX808" s="850"/>
      <c r="BY808" s="850"/>
      <c r="BZ808" s="970"/>
      <c r="CA808" s="850"/>
      <c r="CB808" s="850"/>
      <c r="CC808" s="850"/>
      <c r="CD808" s="850"/>
      <c r="CE808" s="970"/>
      <c r="CF808" s="850"/>
      <c r="CG808" s="2349"/>
      <c r="CH808" s="2349">
        <f t="shared" ref="CH808:CV808" si="1204">CH522+CH664</f>
        <v>2999</v>
      </c>
      <c r="CI808" s="2349">
        <f t="shared" si="1204"/>
        <v>3106</v>
      </c>
      <c r="CJ808" s="2293">
        <f t="shared" si="1204"/>
        <v>3106</v>
      </c>
      <c r="CK808" s="2350">
        <f t="shared" si="1197"/>
        <v>3197</v>
      </c>
      <c r="CL808" s="2349">
        <f t="shared" si="1204"/>
        <v>3730</v>
      </c>
      <c r="CM808" s="2349">
        <f t="shared" si="1204"/>
        <v>3874</v>
      </c>
      <c r="CN808" s="2349">
        <f t="shared" si="1204"/>
        <v>4140</v>
      </c>
      <c r="CO808" s="2293">
        <f t="shared" si="1204"/>
        <v>4140</v>
      </c>
      <c r="CP808" s="973">
        <f t="shared" si="1195"/>
        <v>3452.76</v>
      </c>
      <c r="CQ808" s="847">
        <f t="shared" si="1195"/>
        <v>4028.4</v>
      </c>
      <c r="CR808" s="847">
        <f t="shared" si="1195"/>
        <v>4186.8500000000004</v>
      </c>
      <c r="CS808" s="1431">
        <f t="shared" si="1195"/>
        <v>4474.13</v>
      </c>
      <c r="CT808" s="2293">
        <f t="shared" si="1195"/>
        <v>4474.13</v>
      </c>
      <c r="CU808" s="2349">
        <f t="shared" si="1204"/>
        <v>4809.6897500000005</v>
      </c>
      <c r="CV808" s="2293">
        <f t="shared" si="1204"/>
        <v>5002.0773400000007</v>
      </c>
      <c r="CW808" s="2703"/>
      <c r="CX808" s="2703"/>
      <c r="CY808" s="2703"/>
      <c r="CZ808" s="2703"/>
      <c r="DA808" s="2703"/>
      <c r="DB808" s="217"/>
      <c r="DF808" s="186"/>
      <c r="DG808" s="186"/>
      <c r="DH808" s="186"/>
      <c r="DI808" s="186"/>
      <c r="DJ808" s="186"/>
      <c r="DK808" s="186"/>
      <c r="DL808" s="186"/>
      <c r="DM808" s="186"/>
      <c r="DN808" s="186"/>
      <c r="DO808" s="186"/>
      <c r="DP808" s="186"/>
      <c r="DQ808" s="186"/>
      <c r="DR808" s="186"/>
      <c r="DS808" s="186"/>
      <c r="DT808" s="186"/>
      <c r="DU808" s="186"/>
      <c r="DV808" s="186"/>
      <c r="DW808" s="186"/>
      <c r="DX808" s="186"/>
      <c r="DY808" s="186"/>
      <c r="DZ808" s="186"/>
      <c r="EA808" s="186"/>
      <c r="EB808" s="186"/>
      <c r="EC808" s="186"/>
      <c r="ED808" s="186"/>
      <c r="EE808" s="186"/>
      <c r="EF808" s="186"/>
      <c r="EG808" s="186"/>
      <c r="EH808" s="186"/>
      <c r="EI808" s="186"/>
      <c r="EJ808" s="186"/>
      <c r="EK808" s="186"/>
      <c r="EL808" s="186"/>
      <c r="EM808" s="186"/>
      <c r="EN808" s="186"/>
      <c r="EO808" s="186"/>
      <c r="EP808" s="186"/>
      <c r="EQ808" s="186"/>
      <c r="ER808" s="186"/>
      <c r="ES808" s="186"/>
      <c r="ET808" s="186"/>
      <c r="EU808" s="186"/>
      <c r="EV808" s="186"/>
      <c r="EW808" s="186"/>
      <c r="EX808" s="186"/>
      <c r="EY808" s="186"/>
      <c r="EZ808" s="186"/>
      <c r="FA808" s="186"/>
      <c r="FB808" s="186"/>
      <c r="FC808" s="186"/>
      <c r="FD808" s="186"/>
      <c r="FE808" s="186"/>
      <c r="FF808" s="186"/>
      <c r="FG808" s="186"/>
      <c r="FH808" s="186"/>
      <c r="FI808" s="186"/>
      <c r="FJ808" s="186"/>
      <c r="FK808" s="186"/>
      <c r="FL808" s="186"/>
      <c r="FM808" s="186"/>
      <c r="FN808" s="186"/>
      <c r="FO808" s="186"/>
      <c r="FP808" s="186"/>
      <c r="FQ808" s="186"/>
      <c r="FR808" s="186"/>
      <c r="FS808" s="186"/>
      <c r="FT808" s="186"/>
      <c r="FU808" s="186"/>
      <c r="FV808" s="186"/>
      <c r="FW808" s="186"/>
      <c r="FX808" s="186"/>
      <c r="FY808" s="186"/>
      <c r="FZ808" s="186"/>
      <c r="GA808" s="186"/>
      <c r="GB808" s="186"/>
      <c r="GC808" s="186"/>
      <c r="GD808" s="186"/>
      <c r="GE808" s="186"/>
      <c r="GF808" s="186"/>
      <c r="GG808" s="186"/>
      <c r="GH808" s="186"/>
      <c r="GI808" s="186"/>
      <c r="GJ808" s="186"/>
      <c r="GK808" s="186"/>
      <c r="GL808" s="186"/>
      <c r="GM808" s="186"/>
      <c r="GN808" s="186"/>
      <c r="GO808" s="186"/>
      <c r="GP808" s="186"/>
      <c r="GQ808" s="186"/>
      <c r="GR808" s="186"/>
      <c r="GS808" s="186"/>
      <c r="GT808" s="186"/>
      <c r="GU808" s="186"/>
      <c r="GV808" s="186"/>
      <c r="GW808" s="186"/>
      <c r="GX808" s="186"/>
      <c r="GY808" s="186"/>
      <c r="GZ808" s="186"/>
      <c r="HA808" s="186"/>
      <c r="HB808" s="186"/>
      <c r="HC808" s="186"/>
      <c r="HD808" s="186"/>
      <c r="HE808" s="186"/>
      <c r="HF808" s="186"/>
      <c r="HG808" s="186"/>
      <c r="HH808" s="186"/>
      <c r="HI808" s="186"/>
      <c r="HJ808" s="186"/>
      <c r="HK808" s="186"/>
      <c r="HL808" s="186"/>
      <c r="HM808" s="186"/>
      <c r="HN808" s="186"/>
      <c r="HO808" s="186"/>
      <c r="HP808" s="186"/>
      <c r="HQ808" s="186"/>
      <c r="HR808" s="186"/>
      <c r="HS808" s="186"/>
      <c r="HT808" s="186"/>
      <c r="HU808" s="186"/>
      <c r="HV808" s="186"/>
      <c r="HW808" s="186"/>
      <c r="HX808" s="186"/>
      <c r="HY808" s="186"/>
      <c r="HZ808" s="186"/>
      <c r="IA808" s="186"/>
      <c r="IB808" s="186"/>
      <c r="IC808" s="186"/>
      <c r="ID808" s="186"/>
      <c r="IE808" s="186"/>
      <c r="IF808" s="186"/>
      <c r="IG808" s="186"/>
      <c r="IH808" s="186"/>
      <c r="II808" s="186"/>
      <c r="IJ808" s="186"/>
      <c r="IK808" s="186"/>
      <c r="IL808" s="186"/>
      <c r="IM808" s="186"/>
      <c r="IN808" s="186"/>
      <c r="IO808" s="186"/>
      <c r="IP808" s="186"/>
      <c r="IQ808" s="186"/>
      <c r="IR808" s="186"/>
      <c r="IS808" s="186"/>
      <c r="IT808" s="186"/>
      <c r="IU808" s="186"/>
      <c r="IV808" s="186"/>
    </row>
    <row r="809" spans="1:256" x14ac:dyDescent="0.2">
      <c r="A809" s="2434" t="s">
        <v>2463</v>
      </c>
      <c r="B809" s="846"/>
      <c r="C809" s="661"/>
      <c r="D809" s="2062"/>
      <c r="E809" s="2062"/>
      <c r="F809" s="2062"/>
      <c r="G809" s="847"/>
      <c r="H809" s="246"/>
      <c r="I809" s="850"/>
      <c r="J809" s="850"/>
      <c r="K809" s="850"/>
      <c r="L809" s="850"/>
      <c r="M809" s="246"/>
      <c r="N809" s="850"/>
      <c r="O809" s="850"/>
      <c r="P809" s="850"/>
      <c r="Q809" s="850"/>
      <c r="R809" s="246"/>
      <c r="S809" s="850"/>
      <c r="T809" s="850"/>
      <c r="U809" s="850"/>
      <c r="V809" s="850"/>
      <c r="W809" s="246"/>
      <c r="X809" s="850"/>
      <c r="Y809" s="850"/>
      <c r="Z809" s="850"/>
      <c r="AA809" s="850"/>
      <c r="AB809" s="246"/>
      <c r="AC809" s="850"/>
      <c r="AD809" s="850"/>
      <c r="AE809" s="850"/>
      <c r="AF809" s="850"/>
      <c r="AG809" s="246"/>
      <c r="AH809" s="850"/>
      <c r="AI809" s="850"/>
      <c r="AJ809" s="850"/>
      <c r="AK809" s="850"/>
      <c r="AL809" s="246"/>
      <c r="AM809" s="850"/>
      <c r="AN809" s="850"/>
      <c r="AO809" s="850"/>
      <c r="AP809" s="850"/>
      <c r="AQ809" s="246"/>
      <c r="AR809" s="850"/>
      <c r="AS809" s="850"/>
      <c r="AT809" s="850"/>
      <c r="AU809" s="850"/>
      <c r="AV809" s="246"/>
      <c r="AW809" s="850"/>
      <c r="AX809" s="850"/>
      <c r="AY809" s="850"/>
      <c r="AZ809" s="850"/>
      <c r="BA809" s="246"/>
      <c r="BB809" s="850"/>
      <c r="BC809" s="850"/>
      <c r="BD809" s="850"/>
      <c r="BE809" s="850"/>
      <c r="BF809" s="246"/>
      <c r="BG809" s="850"/>
      <c r="BH809" s="850"/>
      <c r="BI809" s="850"/>
      <c r="BJ809" s="850"/>
      <c r="BK809" s="246"/>
      <c r="BL809" s="850"/>
      <c r="BM809" s="850"/>
      <c r="BN809" s="850"/>
      <c r="BO809" s="850"/>
      <c r="BP809" s="970"/>
      <c r="BQ809" s="850"/>
      <c r="BR809" s="850"/>
      <c r="BS809" s="850"/>
      <c r="BT809" s="850"/>
      <c r="BU809" s="970"/>
      <c r="BV809" s="850"/>
      <c r="BW809" s="850"/>
      <c r="BX809" s="850"/>
      <c r="BY809" s="850"/>
      <c r="BZ809" s="970"/>
      <c r="CA809" s="850"/>
      <c r="CB809" s="850"/>
      <c r="CC809" s="850"/>
      <c r="CD809" s="850"/>
      <c r="CE809" s="970"/>
      <c r="CF809" s="850"/>
      <c r="CG809" s="2349"/>
      <c r="CH809" s="2349">
        <f t="shared" ref="CH809:CV809" si="1205">CH523+CH665</f>
        <v>3607</v>
      </c>
      <c r="CI809" s="2349">
        <f t="shared" si="1205"/>
        <v>4823</v>
      </c>
      <c r="CJ809" s="2293">
        <f t="shared" si="1205"/>
        <v>4823</v>
      </c>
      <c r="CK809" s="2350">
        <f t="shared" si="1197"/>
        <v>5083</v>
      </c>
      <c r="CL809" s="2349">
        <f t="shared" si="1205"/>
        <v>5156</v>
      </c>
      <c r="CM809" s="2349">
        <f t="shared" si="1205"/>
        <v>5530</v>
      </c>
      <c r="CN809" s="2349">
        <f t="shared" si="1205"/>
        <v>5514</v>
      </c>
      <c r="CO809" s="2293">
        <f t="shared" si="1205"/>
        <v>5514</v>
      </c>
      <c r="CP809" s="973">
        <f t="shared" si="1195"/>
        <v>5489.64</v>
      </c>
      <c r="CQ809" s="847">
        <f t="shared" si="1195"/>
        <v>5568.4800000000005</v>
      </c>
      <c r="CR809" s="847">
        <f t="shared" si="1195"/>
        <v>5980.3700000000008</v>
      </c>
      <c r="CS809" s="1431">
        <f t="shared" si="1195"/>
        <v>5962.9900000000007</v>
      </c>
      <c r="CT809" s="2293">
        <f t="shared" si="1195"/>
        <v>5962.9900000000007</v>
      </c>
      <c r="CU809" s="2349">
        <f t="shared" si="1205"/>
        <v>6410.2142500000009</v>
      </c>
      <c r="CV809" s="2293">
        <f t="shared" si="1205"/>
        <v>6666.6228200000005</v>
      </c>
      <c r="CW809" s="2703"/>
      <c r="CX809" s="2703"/>
      <c r="CY809" s="2703"/>
      <c r="CZ809" s="2703"/>
      <c r="DA809" s="2703"/>
      <c r="DB809" s="217"/>
      <c r="DF809" s="186"/>
      <c r="DG809" s="186"/>
      <c r="DH809" s="186"/>
      <c r="DI809" s="186"/>
      <c r="DJ809" s="186"/>
      <c r="DK809" s="186"/>
      <c r="DL809" s="186"/>
      <c r="DM809" s="186"/>
      <c r="DN809" s="186"/>
      <c r="DO809" s="186"/>
      <c r="DP809" s="186"/>
      <c r="DQ809" s="186"/>
      <c r="DR809" s="186"/>
      <c r="DS809" s="186"/>
      <c r="DT809" s="186"/>
      <c r="DU809" s="186"/>
      <c r="DV809" s="186"/>
      <c r="DW809" s="186"/>
      <c r="DX809" s="186"/>
      <c r="DY809" s="186"/>
      <c r="DZ809" s="186"/>
      <c r="EA809" s="186"/>
      <c r="EB809" s="186"/>
      <c r="EC809" s="186"/>
      <c r="ED809" s="186"/>
      <c r="EE809" s="186"/>
      <c r="EF809" s="186"/>
      <c r="EG809" s="186"/>
      <c r="EH809" s="186"/>
      <c r="EI809" s="186"/>
      <c r="EJ809" s="186"/>
      <c r="EK809" s="186"/>
      <c r="EL809" s="186"/>
      <c r="EM809" s="186"/>
      <c r="EN809" s="186"/>
      <c r="EO809" s="186"/>
      <c r="EP809" s="186"/>
      <c r="EQ809" s="186"/>
      <c r="ER809" s="186"/>
      <c r="ES809" s="186"/>
      <c r="ET809" s="186"/>
      <c r="EU809" s="186"/>
      <c r="EV809" s="186"/>
      <c r="EW809" s="186"/>
      <c r="EX809" s="186"/>
      <c r="EY809" s="186"/>
      <c r="EZ809" s="186"/>
      <c r="FA809" s="186"/>
      <c r="FB809" s="186"/>
      <c r="FC809" s="186"/>
      <c r="FD809" s="186"/>
      <c r="FE809" s="186"/>
      <c r="FF809" s="186"/>
      <c r="FG809" s="186"/>
      <c r="FH809" s="186"/>
      <c r="FI809" s="186"/>
      <c r="FJ809" s="186"/>
      <c r="FK809" s="186"/>
      <c r="FL809" s="186"/>
      <c r="FM809" s="186"/>
      <c r="FN809" s="186"/>
      <c r="FO809" s="186"/>
      <c r="FP809" s="186"/>
      <c r="FQ809" s="186"/>
      <c r="FR809" s="186"/>
      <c r="FS809" s="186"/>
      <c r="FT809" s="186"/>
      <c r="FU809" s="186"/>
      <c r="FV809" s="186"/>
      <c r="FW809" s="186"/>
      <c r="FX809" s="186"/>
      <c r="FY809" s="186"/>
      <c r="FZ809" s="186"/>
      <c r="GA809" s="186"/>
      <c r="GB809" s="186"/>
      <c r="GC809" s="186"/>
      <c r="GD809" s="186"/>
      <c r="GE809" s="186"/>
      <c r="GF809" s="186"/>
      <c r="GG809" s="186"/>
      <c r="GH809" s="186"/>
      <c r="GI809" s="186"/>
      <c r="GJ809" s="186"/>
      <c r="GK809" s="186"/>
      <c r="GL809" s="186"/>
      <c r="GM809" s="186"/>
      <c r="GN809" s="186"/>
      <c r="GO809" s="186"/>
      <c r="GP809" s="186"/>
      <c r="GQ809" s="186"/>
      <c r="GR809" s="186"/>
      <c r="GS809" s="186"/>
      <c r="GT809" s="186"/>
      <c r="GU809" s="186"/>
      <c r="GV809" s="186"/>
      <c r="GW809" s="186"/>
      <c r="GX809" s="186"/>
      <c r="GY809" s="186"/>
      <c r="GZ809" s="186"/>
      <c r="HA809" s="186"/>
      <c r="HB809" s="186"/>
      <c r="HC809" s="186"/>
      <c r="HD809" s="186"/>
      <c r="HE809" s="186"/>
      <c r="HF809" s="186"/>
      <c r="HG809" s="186"/>
      <c r="HH809" s="186"/>
      <c r="HI809" s="186"/>
      <c r="HJ809" s="186"/>
      <c r="HK809" s="186"/>
      <c r="HL809" s="186"/>
      <c r="HM809" s="186"/>
      <c r="HN809" s="186"/>
      <c r="HO809" s="186"/>
      <c r="HP809" s="186"/>
      <c r="HQ809" s="186"/>
      <c r="HR809" s="186"/>
      <c r="HS809" s="186"/>
      <c r="HT809" s="186"/>
      <c r="HU809" s="186"/>
      <c r="HV809" s="186"/>
      <c r="HW809" s="186"/>
      <c r="HX809" s="186"/>
      <c r="HY809" s="186"/>
      <c r="HZ809" s="186"/>
      <c r="IA809" s="186"/>
      <c r="IB809" s="186"/>
      <c r="IC809" s="186"/>
      <c r="ID809" s="186"/>
      <c r="IE809" s="186"/>
      <c r="IF809" s="186"/>
      <c r="IG809" s="186"/>
      <c r="IH809" s="186"/>
      <c r="II809" s="186"/>
      <c r="IJ809" s="186"/>
      <c r="IK809" s="186"/>
      <c r="IL809" s="186"/>
      <c r="IM809" s="186"/>
      <c r="IN809" s="186"/>
      <c r="IO809" s="186"/>
      <c r="IP809" s="186"/>
      <c r="IQ809" s="186"/>
      <c r="IR809" s="186"/>
      <c r="IS809" s="186"/>
      <c r="IT809" s="186"/>
      <c r="IU809" s="186"/>
      <c r="IV809" s="186"/>
    </row>
    <row r="810" spans="1:256" x14ac:dyDescent="0.2">
      <c r="A810" s="2434" t="s">
        <v>1931</v>
      </c>
      <c r="B810" s="846"/>
      <c r="C810" s="661"/>
      <c r="D810" s="2062"/>
      <c r="E810" s="2062"/>
      <c r="F810" s="2062"/>
      <c r="G810" s="847"/>
      <c r="H810" s="246"/>
      <c r="I810" s="850"/>
      <c r="J810" s="850"/>
      <c r="K810" s="850"/>
      <c r="L810" s="850"/>
      <c r="M810" s="246"/>
      <c r="N810" s="850"/>
      <c r="O810" s="850"/>
      <c r="P810" s="850"/>
      <c r="Q810" s="850"/>
      <c r="R810" s="246"/>
      <c r="S810" s="850"/>
      <c r="T810" s="850"/>
      <c r="U810" s="850"/>
      <c r="V810" s="850"/>
      <c r="W810" s="246"/>
      <c r="X810" s="850"/>
      <c r="Y810" s="850"/>
      <c r="Z810" s="850"/>
      <c r="AA810" s="850"/>
      <c r="AB810" s="246"/>
      <c r="AC810" s="850"/>
      <c r="AD810" s="850"/>
      <c r="AE810" s="850"/>
      <c r="AF810" s="850"/>
      <c r="AG810" s="246"/>
      <c r="AH810" s="850"/>
      <c r="AI810" s="850"/>
      <c r="AJ810" s="850"/>
      <c r="AK810" s="850"/>
      <c r="AL810" s="246"/>
      <c r="AM810" s="850"/>
      <c r="AN810" s="850"/>
      <c r="AO810" s="850"/>
      <c r="AP810" s="850"/>
      <c r="AQ810" s="246"/>
      <c r="AR810" s="850"/>
      <c r="AS810" s="850"/>
      <c r="AT810" s="850"/>
      <c r="AU810" s="850"/>
      <c r="AV810" s="246"/>
      <c r="AW810" s="850"/>
      <c r="AX810" s="850"/>
      <c r="AY810" s="850"/>
      <c r="AZ810" s="850"/>
      <c r="BA810" s="246"/>
      <c r="BB810" s="850"/>
      <c r="BC810" s="850"/>
      <c r="BD810" s="850"/>
      <c r="BE810" s="850"/>
      <c r="BF810" s="246"/>
      <c r="BG810" s="850"/>
      <c r="BH810" s="850"/>
      <c r="BI810" s="850"/>
      <c r="BJ810" s="850"/>
      <c r="BK810" s="246"/>
      <c r="BL810" s="850"/>
      <c r="BM810" s="850"/>
      <c r="BN810" s="850"/>
      <c r="BO810" s="850"/>
      <c r="BP810" s="970"/>
      <c r="BQ810" s="850"/>
      <c r="BR810" s="850"/>
      <c r="BS810" s="850"/>
      <c r="BT810" s="850"/>
      <c r="BU810" s="970"/>
      <c r="BV810" s="850"/>
      <c r="BW810" s="850"/>
      <c r="BX810" s="850"/>
      <c r="BY810" s="850"/>
      <c r="BZ810" s="970"/>
      <c r="CA810" s="850"/>
      <c r="CB810" s="850"/>
      <c r="CC810" s="850"/>
      <c r="CD810" s="850"/>
      <c r="CE810" s="970"/>
      <c r="CF810" s="850"/>
      <c r="CG810" s="2349"/>
      <c r="CH810" s="2349">
        <f t="shared" ref="CH810:CV810" si="1206">CH524+CH666</f>
        <v>0</v>
      </c>
      <c r="CI810" s="2349">
        <f t="shared" si="1206"/>
        <v>55</v>
      </c>
      <c r="CJ810" s="2293">
        <f t="shared" si="1206"/>
        <v>55</v>
      </c>
      <c r="CK810" s="2350">
        <f t="shared" si="1197"/>
        <v>55</v>
      </c>
      <c r="CL810" s="2349">
        <f t="shared" si="1206"/>
        <v>55</v>
      </c>
      <c r="CM810" s="2349">
        <f t="shared" si="1206"/>
        <v>411</v>
      </c>
      <c r="CN810" s="2349">
        <f t="shared" si="1206"/>
        <v>750</v>
      </c>
      <c r="CO810" s="2293">
        <f t="shared" si="1206"/>
        <v>750</v>
      </c>
      <c r="CP810" s="973">
        <f t="shared" si="1195"/>
        <v>59.400000000000006</v>
      </c>
      <c r="CQ810" s="847">
        <f t="shared" si="1195"/>
        <v>59.400000000000006</v>
      </c>
      <c r="CR810" s="847">
        <f t="shared" si="1195"/>
        <v>444.52000000000004</v>
      </c>
      <c r="CS810" s="1431">
        <f t="shared" si="1195"/>
        <v>814.03000000000009</v>
      </c>
      <c r="CT810" s="2293">
        <f t="shared" si="1195"/>
        <v>814.03000000000009</v>
      </c>
      <c r="CU810" s="2349">
        <f t="shared" si="1206"/>
        <v>875.08225000000004</v>
      </c>
      <c r="CV810" s="2293">
        <f t="shared" si="1206"/>
        <v>910.08554000000004</v>
      </c>
      <c r="CW810" s="2703"/>
      <c r="CX810" s="2703"/>
      <c r="CY810" s="2703"/>
      <c r="CZ810" s="2703"/>
      <c r="DA810" s="2703"/>
      <c r="DB810" s="217"/>
      <c r="DF810" s="186"/>
      <c r="DG810" s="186"/>
      <c r="DH810" s="186"/>
      <c r="DI810" s="186"/>
      <c r="DJ810" s="186"/>
      <c r="DK810" s="186"/>
      <c r="DL810" s="186"/>
      <c r="DM810" s="186"/>
      <c r="DN810" s="186"/>
      <c r="DO810" s="186"/>
      <c r="DP810" s="186"/>
      <c r="DQ810" s="186"/>
      <c r="DR810" s="186"/>
      <c r="DS810" s="186"/>
      <c r="DT810" s="186"/>
      <c r="DU810" s="186"/>
      <c r="DV810" s="186"/>
      <c r="DW810" s="186"/>
      <c r="DX810" s="186"/>
      <c r="DY810" s="186"/>
      <c r="DZ810" s="186"/>
      <c r="EA810" s="186"/>
      <c r="EB810" s="186"/>
      <c r="EC810" s="186"/>
      <c r="ED810" s="186"/>
      <c r="EE810" s="186"/>
      <c r="EF810" s="186"/>
      <c r="EG810" s="186"/>
      <c r="EH810" s="186"/>
      <c r="EI810" s="186"/>
      <c r="EJ810" s="186"/>
      <c r="EK810" s="186"/>
      <c r="EL810" s="186"/>
      <c r="EM810" s="186"/>
      <c r="EN810" s="186"/>
      <c r="EO810" s="186"/>
      <c r="EP810" s="186"/>
      <c r="EQ810" s="186"/>
      <c r="ER810" s="186"/>
      <c r="ES810" s="186"/>
      <c r="ET810" s="186"/>
      <c r="EU810" s="186"/>
      <c r="EV810" s="186"/>
      <c r="EW810" s="186"/>
      <c r="EX810" s="186"/>
      <c r="EY810" s="186"/>
      <c r="EZ810" s="186"/>
      <c r="FA810" s="186"/>
      <c r="FB810" s="186"/>
      <c r="FC810" s="186"/>
      <c r="FD810" s="186"/>
      <c r="FE810" s="186"/>
      <c r="FF810" s="186"/>
      <c r="FG810" s="186"/>
      <c r="FH810" s="186"/>
      <c r="FI810" s="186"/>
      <c r="FJ810" s="186"/>
      <c r="FK810" s="186"/>
      <c r="FL810" s="186"/>
      <c r="FM810" s="186"/>
      <c r="FN810" s="186"/>
      <c r="FO810" s="186"/>
      <c r="FP810" s="186"/>
      <c r="FQ810" s="186"/>
      <c r="FR810" s="186"/>
      <c r="FS810" s="186"/>
      <c r="FT810" s="186"/>
      <c r="FU810" s="186"/>
      <c r="FV810" s="186"/>
      <c r="FW810" s="186"/>
      <c r="FX810" s="186"/>
      <c r="FY810" s="186"/>
      <c r="FZ810" s="186"/>
      <c r="GA810" s="186"/>
      <c r="GB810" s="186"/>
      <c r="GC810" s="186"/>
      <c r="GD810" s="186"/>
      <c r="GE810" s="186"/>
      <c r="GF810" s="186"/>
      <c r="GG810" s="186"/>
      <c r="GH810" s="186"/>
      <c r="GI810" s="186"/>
      <c r="GJ810" s="186"/>
      <c r="GK810" s="186"/>
      <c r="GL810" s="186"/>
      <c r="GM810" s="186"/>
      <c r="GN810" s="186"/>
      <c r="GO810" s="186"/>
      <c r="GP810" s="186"/>
      <c r="GQ810" s="186"/>
      <c r="GR810" s="186"/>
      <c r="GS810" s="186"/>
      <c r="GT810" s="186"/>
      <c r="GU810" s="186"/>
      <c r="GV810" s="186"/>
      <c r="GW810" s="186"/>
      <c r="GX810" s="186"/>
      <c r="GY810" s="186"/>
      <c r="GZ810" s="186"/>
      <c r="HA810" s="186"/>
      <c r="HB810" s="186"/>
      <c r="HC810" s="186"/>
      <c r="HD810" s="186"/>
      <c r="HE810" s="186"/>
      <c r="HF810" s="186"/>
      <c r="HG810" s="186"/>
      <c r="HH810" s="186"/>
      <c r="HI810" s="186"/>
      <c r="HJ810" s="186"/>
      <c r="HK810" s="186"/>
      <c r="HL810" s="186"/>
      <c r="HM810" s="186"/>
      <c r="HN810" s="186"/>
      <c r="HO810" s="186"/>
      <c r="HP810" s="186"/>
      <c r="HQ810" s="186"/>
      <c r="HR810" s="186"/>
      <c r="HS810" s="186"/>
      <c r="HT810" s="186"/>
      <c r="HU810" s="186"/>
      <c r="HV810" s="186"/>
      <c r="HW810" s="186"/>
      <c r="HX810" s="186"/>
      <c r="HY810" s="186"/>
      <c r="HZ810" s="186"/>
      <c r="IA810" s="186"/>
      <c r="IB810" s="186"/>
      <c r="IC810" s="186"/>
      <c r="ID810" s="186"/>
      <c r="IE810" s="186"/>
      <c r="IF810" s="186"/>
      <c r="IG810" s="186"/>
      <c r="IH810" s="186"/>
      <c r="II810" s="186"/>
      <c r="IJ810" s="186"/>
      <c r="IK810" s="186"/>
      <c r="IL810" s="186"/>
      <c r="IM810" s="186"/>
      <c r="IN810" s="186"/>
      <c r="IO810" s="186"/>
      <c r="IP810" s="186"/>
      <c r="IQ810" s="186"/>
      <c r="IR810" s="186"/>
      <c r="IS810" s="186"/>
      <c r="IT810" s="186"/>
      <c r="IU810" s="186"/>
      <c r="IV810" s="186"/>
    </row>
    <row r="811" spans="1:256" ht="4.5" customHeight="1" x14ac:dyDescent="0.2">
      <c r="A811" s="1266"/>
      <c r="B811" s="846"/>
      <c r="C811" s="661"/>
      <c r="D811" s="2062"/>
      <c r="E811" s="2062"/>
      <c r="F811" s="2062"/>
      <c r="G811" s="847"/>
      <c r="H811" s="246"/>
      <c r="I811" s="850"/>
      <c r="J811" s="850"/>
      <c r="K811" s="850"/>
      <c r="L811" s="850"/>
      <c r="M811" s="246"/>
      <c r="N811" s="850"/>
      <c r="O811" s="850"/>
      <c r="P811" s="850"/>
      <c r="Q811" s="850"/>
      <c r="R811" s="246"/>
      <c r="S811" s="850"/>
      <c r="T811" s="850"/>
      <c r="U811" s="850"/>
      <c r="V811" s="850"/>
      <c r="W811" s="246"/>
      <c r="X811" s="850"/>
      <c r="Y811" s="850"/>
      <c r="Z811" s="850"/>
      <c r="AA811" s="850"/>
      <c r="AB811" s="246"/>
      <c r="AC811" s="850"/>
      <c r="AD811" s="850"/>
      <c r="AE811" s="850"/>
      <c r="AF811" s="850"/>
      <c r="AG811" s="246"/>
      <c r="AH811" s="850"/>
      <c r="AI811" s="850"/>
      <c r="AJ811" s="850"/>
      <c r="AK811" s="850"/>
      <c r="AL811" s="246"/>
      <c r="AM811" s="850"/>
      <c r="AN811" s="850"/>
      <c r="AO811" s="850"/>
      <c r="AP811" s="850"/>
      <c r="AQ811" s="246"/>
      <c r="AR811" s="850"/>
      <c r="AS811" s="850"/>
      <c r="AT811" s="850"/>
      <c r="AU811" s="850"/>
      <c r="AV811" s="246"/>
      <c r="AW811" s="850"/>
      <c r="AX811" s="850"/>
      <c r="AY811" s="850"/>
      <c r="AZ811" s="850"/>
      <c r="BA811" s="246"/>
      <c r="BB811" s="850"/>
      <c r="BC811" s="850"/>
      <c r="BD811" s="850"/>
      <c r="BE811" s="850"/>
      <c r="BF811" s="246"/>
      <c r="BG811" s="850"/>
      <c r="BH811" s="850"/>
      <c r="BI811" s="850"/>
      <c r="BJ811" s="850"/>
      <c r="BK811" s="246"/>
      <c r="BL811" s="850"/>
      <c r="BM811" s="850"/>
      <c r="BN811" s="850"/>
      <c r="BO811" s="850"/>
      <c r="BP811" s="970"/>
      <c r="BQ811" s="850"/>
      <c r="BR811" s="850"/>
      <c r="BS811" s="850"/>
      <c r="BT811" s="850"/>
      <c r="BU811" s="970"/>
      <c r="BV811" s="850"/>
      <c r="BW811" s="850"/>
      <c r="BX811" s="850"/>
      <c r="BY811" s="850"/>
      <c r="BZ811" s="970"/>
      <c r="CA811" s="850"/>
      <c r="CB811" s="850"/>
      <c r="CC811" s="850"/>
      <c r="CD811" s="850"/>
      <c r="CE811" s="970"/>
      <c r="CF811" s="850"/>
      <c r="CG811" s="850"/>
      <c r="CH811" s="850"/>
      <c r="CI811" s="850"/>
      <c r="CJ811" s="970"/>
      <c r="CK811" s="877"/>
      <c r="CL811" s="850"/>
      <c r="CM811" s="850"/>
      <c r="CN811" s="850"/>
      <c r="CO811" s="970"/>
      <c r="CP811" s="877"/>
      <c r="CQ811" s="850"/>
      <c r="CR811" s="850"/>
      <c r="CS811" s="850"/>
      <c r="CT811" s="970"/>
      <c r="CU811" s="970"/>
      <c r="CV811" s="970"/>
      <c r="CW811" s="2703"/>
      <c r="CX811" s="2703"/>
      <c r="CY811" s="2703"/>
      <c r="CZ811" s="2703"/>
      <c r="DA811" s="2703"/>
      <c r="DB811" s="217"/>
      <c r="DF811" s="186"/>
      <c r="DG811" s="186"/>
      <c r="DH811" s="186"/>
      <c r="DI811" s="186"/>
      <c r="DJ811" s="186"/>
      <c r="DK811" s="186"/>
      <c r="DL811" s="186"/>
      <c r="DM811" s="186"/>
      <c r="DN811" s="186"/>
      <c r="DO811" s="186"/>
      <c r="DP811" s="186"/>
      <c r="DQ811" s="186"/>
      <c r="DR811" s="186"/>
      <c r="DS811" s="186"/>
      <c r="DT811" s="186"/>
      <c r="DU811" s="186"/>
      <c r="DV811" s="186"/>
      <c r="DW811" s="186"/>
      <c r="DX811" s="186"/>
      <c r="DY811" s="186"/>
      <c r="DZ811" s="186"/>
      <c r="EA811" s="186"/>
      <c r="EB811" s="186"/>
      <c r="EC811" s="186"/>
      <c r="ED811" s="186"/>
      <c r="EE811" s="186"/>
      <c r="EF811" s="186"/>
      <c r="EG811" s="186"/>
      <c r="EH811" s="186"/>
      <c r="EI811" s="186"/>
      <c r="EJ811" s="186"/>
      <c r="EK811" s="186"/>
      <c r="EL811" s="186"/>
      <c r="EM811" s="186"/>
      <c r="EN811" s="186"/>
      <c r="EO811" s="186"/>
      <c r="EP811" s="186"/>
      <c r="EQ811" s="186"/>
      <c r="ER811" s="186"/>
      <c r="ES811" s="186"/>
      <c r="ET811" s="186"/>
      <c r="EU811" s="186"/>
      <c r="EV811" s="186"/>
      <c r="EW811" s="186"/>
      <c r="EX811" s="186"/>
      <c r="EY811" s="186"/>
      <c r="EZ811" s="186"/>
      <c r="FA811" s="186"/>
      <c r="FB811" s="186"/>
      <c r="FC811" s="186"/>
      <c r="FD811" s="186"/>
      <c r="FE811" s="186"/>
      <c r="FF811" s="186"/>
      <c r="FG811" s="186"/>
      <c r="FH811" s="186"/>
      <c r="FI811" s="186"/>
      <c r="FJ811" s="186"/>
      <c r="FK811" s="186"/>
      <c r="FL811" s="186"/>
      <c r="FM811" s="186"/>
      <c r="FN811" s="186"/>
      <c r="FO811" s="186"/>
      <c r="FP811" s="186"/>
      <c r="FQ811" s="186"/>
      <c r="FR811" s="186"/>
      <c r="FS811" s="186"/>
      <c r="FT811" s="186"/>
      <c r="FU811" s="186"/>
      <c r="FV811" s="186"/>
      <c r="FW811" s="186"/>
      <c r="FX811" s="186"/>
      <c r="FY811" s="186"/>
      <c r="FZ811" s="186"/>
      <c r="GA811" s="186"/>
      <c r="GB811" s="186"/>
      <c r="GC811" s="186"/>
      <c r="GD811" s="186"/>
      <c r="GE811" s="186"/>
      <c r="GF811" s="186"/>
      <c r="GG811" s="186"/>
      <c r="GH811" s="186"/>
      <c r="GI811" s="186"/>
      <c r="GJ811" s="186"/>
      <c r="GK811" s="186"/>
      <c r="GL811" s="186"/>
      <c r="GM811" s="186"/>
      <c r="GN811" s="186"/>
      <c r="GO811" s="186"/>
      <c r="GP811" s="186"/>
      <c r="GQ811" s="186"/>
      <c r="GR811" s="186"/>
      <c r="GS811" s="186"/>
      <c r="GT811" s="186"/>
      <c r="GU811" s="186"/>
      <c r="GV811" s="186"/>
      <c r="GW811" s="186"/>
      <c r="GX811" s="186"/>
      <c r="GY811" s="186"/>
      <c r="GZ811" s="186"/>
      <c r="HA811" s="186"/>
      <c r="HB811" s="186"/>
      <c r="HC811" s="186"/>
      <c r="HD811" s="186"/>
      <c r="HE811" s="186"/>
      <c r="HF811" s="186"/>
      <c r="HG811" s="186"/>
      <c r="HH811" s="186"/>
      <c r="HI811" s="186"/>
      <c r="HJ811" s="186"/>
      <c r="HK811" s="186"/>
      <c r="HL811" s="186"/>
      <c r="HM811" s="186"/>
      <c r="HN811" s="186"/>
      <c r="HO811" s="186"/>
      <c r="HP811" s="186"/>
      <c r="HQ811" s="186"/>
      <c r="HR811" s="186"/>
      <c r="HS811" s="186"/>
      <c r="HT811" s="186"/>
      <c r="HU811" s="186"/>
      <c r="HV811" s="186"/>
      <c r="HW811" s="186"/>
      <c r="HX811" s="186"/>
      <c r="HY811" s="186"/>
      <c r="HZ811" s="186"/>
      <c r="IA811" s="186"/>
      <c r="IB811" s="186"/>
      <c r="IC811" s="186"/>
      <c r="ID811" s="186"/>
      <c r="IE811" s="186"/>
      <c r="IF811" s="186"/>
      <c r="IG811" s="186"/>
      <c r="IH811" s="186"/>
      <c r="II811" s="186"/>
      <c r="IJ811" s="186"/>
      <c r="IK811" s="186"/>
      <c r="IL811" s="186"/>
      <c r="IM811" s="186"/>
      <c r="IN811" s="186"/>
      <c r="IO811" s="186"/>
      <c r="IP811" s="186"/>
      <c r="IQ811" s="186"/>
      <c r="IR811" s="186"/>
      <c r="IS811" s="186"/>
      <c r="IT811" s="186"/>
      <c r="IU811" s="186"/>
      <c r="IV811" s="186"/>
    </row>
    <row r="812" spans="1:256" x14ac:dyDescent="0.2">
      <c r="A812" s="764" t="s">
        <v>1735</v>
      </c>
      <c r="B812" s="651"/>
      <c r="C812" s="236"/>
      <c r="D812" s="207"/>
      <c r="E812" s="207"/>
      <c r="F812" s="207"/>
      <c r="G812" s="234"/>
      <c r="H812" s="843"/>
      <c r="I812" s="852">
        <f t="shared" ref="I812:AN812" si="1207">SUM(I782:I798)</f>
        <v>167131</v>
      </c>
      <c r="J812" s="852">
        <f t="shared" si="1207"/>
        <v>175544</v>
      </c>
      <c r="K812" s="852">
        <f t="shared" si="1207"/>
        <v>186949</v>
      </c>
      <c r="L812" s="852">
        <f t="shared" si="1207"/>
        <v>200881</v>
      </c>
      <c r="M812" s="843">
        <f t="shared" si="1207"/>
        <v>200881</v>
      </c>
      <c r="N812" s="852">
        <f t="shared" si="1207"/>
        <v>204839</v>
      </c>
      <c r="O812" s="852">
        <f t="shared" si="1207"/>
        <v>208401</v>
      </c>
      <c r="P812" s="852">
        <f t="shared" si="1207"/>
        <v>213873</v>
      </c>
      <c r="Q812" s="852">
        <f t="shared" si="1207"/>
        <v>219384</v>
      </c>
      <c r="R812" s="843">
        <f t="shared" si="1207"/>
        <v>219384</v>
      </c>
      <c r="S812" s="852">
        <f t="shared" si="1207"/>
        <v>225081</v>
      </c>
      <c r="T812" s="852">
        <f t="shared" si="1207"/>
        <v>230729</v>
      </c>
      <c r="U812" s="852">
        <f t="shared" si="1207"/>
        <v>236075</v>
      </c>
      <c r="V812" s="852">
        <f t="shared" si="1207"/>
        <v>239648</v>
      </c>
      <c r="W812" s="843">
        <f t="shared" si="1207"/>
        <v>239648</v>
      </c>
      <c r="X812" s="852">
        <f t="shared" si="1207"/>
        <v>245022</v>
      </c>
      <c r="Y812" s="852">
        <f t="shared" si="1207"/>
        <v>248193</v>
      </c>
      <c r="Z812" s="852">
        <f t="shared" si="1207"/>
        <v>249060</v>
      </c>
      <c r="AA812" s="852">
        <f t="shared" si="1207"/>
        <v>225715</v>
      </c>
      <c r="AB812" s="843">
        <f t="shared" si="1207"/>
        <v>225715</v>
      </c>
      <c r="AC812" s="852">
        <f t="shared" si="1207"/>
        <v>228386</v>
      </c>
      <c r="AD812" s="852">
        <f t="shared" si="1207"/>
        <v>223722</v>
      </c>
      <c r="AE812" s="852">
        <f t="shared" si="1207"/>
        <v>227579</v>
      </c>
      <c r="AF812" s="852">
        <f t="shared" si="1207"/>
        <v>232048</v>
      </c>
      <c r="AG812" s="843">
        <f t="shared" si="1207"/>
        <v>232048</v>
      </c>
      <c r="AH812" s="852">
        <f t="shared" si="1207"/>
        <v>236886</v>
      </c>
      <c r="AI812" s="852">
        <f t="shared" si="1207"/>
        <v>238750</v>
      </c>
      <c r="AJ812" s="852">
        <f t="shared" si="1207"/>
        <v>240695</v>
      </c>
      <c r="AK812" s="852">
        <f t="shared" si="1207"/>
        <v>243334</v>
      </c>
      <c r="AL812" s="843">
        <f t="shared" si="1207"/>
        <v>243334</v>
      </c>
      <c r="AM812" s="852">
        <f t="shared" si="1207"/>
        <v>244680</v>
      </c>
      <c r="AN812" s="852">
        <f t="shared" si="1207"/>
        <v>247983</v>
      </c>
      <c r="AO812" s="852">
        <f t="shared" ref="AO812:BT812" si="1208">SUM(AO782:AO798)</f>
        <v>252857</v>
      </c>
      <c r="AP812" s="852">
        <f t="shared" si="1208"/>
        <v>259297</v>
      </c>
      <c r="AQ812" s="843">
        <f t="shared" si="1208"/>
        <v>259297</v>
      </c>
      <c r="AR812" s="852">
        <f t="shared" si="1208"/>
        <v>261743</v>
      </c>
      <c r="AS812" s="852">
        <f t="shared" si="1208"/>
        <v>267578</v>
      </c>
      <c r="AT812" s="852">
        <f t="shared" si="1208"/>
        <v>270923</v>
      </c>
      <c r="AU812" s="852">
        <f t="shared" si="1208"/>
        <v>279133</v>
      </c>
      <c r="AV812" s="843">
        <f t="shared" si="1208"/>
        <v>279133</v>
      </c>
      <c r="AW812" s="852">
        <f t="shared" si="1208"/>
        <v>283749</v>
      </c>
      <c r="AX812" s="852">
        <f t="shared" si="1208"/>
        <v>289543</v>
      </c>
      <c r="AY812" s="852">
        <f t="shared" si="1208"/>
        <v>298508</v>
      </c>
      <c r="AZ812" s="852">
        <f t="shared" si="1208"/>
        <v>304269</v>
      </c>
      <c r="BA812" s="843">
        <f t="shared" si="1208"/>
        <v>304269</v>
      </c>
      <c r="BB812" s="852">
        <f t="shared" si="1208"/>
        <v>309944</v>
      </c>
      <c r="BC812" s="852">
        <f t="shared" si="1208"/>
        <v>313899</v>
      </c>
      <c r="BD812" s="852">
        <f t="shared" si="1208"/>
        <v>316919</v>
      </c>
      <c r="BE812" s="852">
        <f t="shared" si="1208"/>
        <v>321293</v>
      </c>
      <c r="BF812" s="843">
        <f t="shared" si="1208"/>
        <v>321293</v>
      </c>
      <c r="BG812" s="852">
        <f t="shared" si="1208"/>
        <v>323248</v>
      </c>
      <c r="BH812" s="852">
        <f t="shared" si="1208"/>
        <v>325314</v>
      </c>
      <c r="BI812" s="852">
        <f t="shared" si="1208"/>
        <v>328899</v>
      </c>
      <c r="BJ812" s="852">
        <f t="shared" si="1208"/>
        <v>332636</v>
      </c>
      <c r="BK812" s="843">
        <f t="shared" si="1208"/>
        <v>332636</v>
      </c>
      <c r="BL812" s="852">
        <f t="shared" si="1208"/>
        <v>334967</v>
      </c>
      <c r="BM812" s="852">
        <f t="shared" si="1208"/>
        <v>337994</v>
      </c>
      <c r="BN812" s="852">
        <f t="shared" si="1208"/>
        <v>340699</v>
      </c>
      <c r="BO812" s="852">
        <f t="shared" si="1208"/>
        <v>344314</v>
      </c>
      <c r="BP812" s="843">
        <f t="shared" si="1208"/>
        <v>344314</v>
      </c>
      <c r="BQ812" s="852">
        <f t="shared" si="1208"/>
        <v>345747</v>
      </c>
      <c r="BR812" s="852">
        <f t="shared" si="1208"/>
        <v>351258</v>
      </c>
      <c r="BS812" s="852">
        <f t="shared" si="1208"/>
        <v>356066</v>
      </c>
      <c r="BT812" s="852">
        <f t="shared" si="1208"/>
        <v>360396</v>
      </c>
      <c r="BU812" s="843">
        <f t="shared" ref="BU812:CG812" si="1209">SUM(BU782:BU798)</f>
        <v>360396</v>
      </c>
      <c r="BV812" s="852">
        <f t="shared" si="1209"/>
        <v>364059</v>
      </c>
      <c r="BW812" s="852">
        <f t="shared" si="1209"/>
        <v>372340</v>
      </c>
      <c r="BX812" s="852">
        <f t="shared" si="1209"/>
        <v>379254</v>
      </c>
      <c r="BY812" s="852">
        <f t="shared" si="1209"/>
        <v>388624</v>
      </c>
      <c r="BZ812" s="843">
        <f t="shared" si="1209"/>
        <v>388624</v>
      </c>
      <c r="CA812" s="852">
        <f t="shared" si="1209"/>
        <v>396853</v>
      </c>
      <c r="CB812" s="852">
        <f t="shared" si="1209"/>
        <v>406510</v>
      </c>
      <c r="CC812" s="852">
        <f t="shared" si="1209"/>
        <v>413072</v>
      </c>
      <c r="CD812" s="852">
        <f t="shared" si="1209"/>
        <v>420507</v>
      </c>
      <c r="CE812" s="843">
        <f t="shared" si="1209"/>
        <v>420507</v>
      </c>
      <c r="CF812" s="852">
        <f t="shared" si="1209"/>
        <v>428216</v>
      </c>
      <c r="CG812" s="852">
        <f t="shared" si="1209"/>
        <v>438150</v>
      </c>
      <c r="CH812">
        <f>SUM(CH781:CH810)</f>
        <v>603852</v>
      </c>
      <c r="CI812" s="852">
        <f t="shared" ref="CI812:CV812" si="1210">SUM(CI781:CI810)</f>
        <v>614405</v>
      </c>
      <c r="CJ812" s="843">
        <f t="shared" si="1210"/>
        <v>614405</v>
      </c>
      <c r="CK812" s="854">
        <f t="shared" si="1210"/>
        <v>624169</v>
      </c>
      <c r="CL812" s="852">
        <f t="shared" ca="1" si="1210"/>
        <v>634490</v>
      </c>
      <c r="CM812" s="852">
        <f t="shared" ca="1" si="1210"/>
        <v>649712</v>
      </c>
      <c r="CN812" s="852">
        <f t="shared" ca="1" si="1210"/>
        <v>663211</v>
      </c>
      <c r="CO812" s="843">
        <f t="shared" ca="1" si="1210"/>
        <v>663211</v>
      </c>
      <c r="CP812" s="854">
        <f t="shared" si="1210"/>
        <v>675001.47</v>
      </c>
      <c r="CQ812" s="852">
        <f t="shared" ca="1" si="1210"/>
        <v>682513.27000000025</v>
      </c>
      <c r="CR812" s="852">
        <f t="shared" ca="1" si="1210"/>
        <v>697978.7</v>
      </c>
      <c r="CS812" s="852">
        <f t="shared" ca="1" si="1210"/>
        <v>709842.98</v>
      </c>
      <c r="CT812" s="843">
        <f t="shared" ca="1" si="1210"/>
        <v>709842.98</v>
      </c>
      <c r="CU812" s="843">
        <f t="shared" ca="1" si="1210"/>
        <v>759877.799</v>
      </c>
      <c r="CV812" s="843">
        <f t="shared" ca="1" si="1210"/>
        <v>786719.13693000004</v>
      </c>
      <c r="CW812" s="374"/>
      <c r="CX812" s="374"/>
      <c r="CY812" s="374"/>
      <c r="CZ812" s="374"/>
      <c r="DA812" s="374"/>
      <c r="DB812" s="217"/>
    </row>
    <row r="813" spans="1:256" s="186" customFormat="1" x14ac:dyDescent="0.2">
      <c r="A813" s="764"/>
      <c r="B813" s="651"/>
      <c r="C813" s="236"/>
      <c r="D813" s="207"/>
      <c r="E813" s="207"/>
      <c r="F813" s="207"/>
      <c r="G813" s="234"/>
      <c r="H813" s="236"/>
      <c r="I813" s="207"/>
      <c r="J813" s="207"/>
      <c r="K813" s="207"/>
      <c r="L813" s="234"/>
      <c r="M813" s="236"/>
      <c r="N813" s="207"/>
      <c r="O813" s="207"/>
      <c r="P813" s="207"/>
      <c r="Q813" s="234"/>
      <c r="R813" s="236"/>
      <c r="S813" s="207"/>
      <c r="T813" s="207"/>
      <c r="U813" s="207"/>
      <c r="V813" s="234"/>
      <c r="W813" s="236"/>
      <c r="X813" s="207"/>
      <c r="Y813" s="207"/>
      <c r="Z813" s="207"/>
      <c r="AA813" s="234"/>
      <c r="AB813" s="236"/>
      <c r="AC813" s="207"/>
      <c r="AD813" s="207"/>
      <c r="AE813" s="207"/>
      <c r="AF813" s="234"/>
      <c r="AG813" s="236"/>
      <c r="AH813" s="207"/>
      <c r="AI813" s="207"/>
      <c r="AJ813" s="207"/>
      <c r="AK813" s="234"/>
      <c r="AL813" s="236"/>
      <c r="AM813" s="207"/>
      <c r="AN813" s="207"/>
      <c r="AO813" s="207"/>
      <c r="AP813" s="234"/>
      <c r="AQ813" s="236"/>
      <c r="AR813" s="207"/>
      <c r="AS813" s="207"/>
      <c r="AT813" s="207"/>
      <c r="AU813" s="234"/>
      <c r="AV813" s="236"/>
      <c r="AW813" s="207"/>
      <c r="AX813" s="207"/>
      <c r="AY813" s="207"/>
      <c r="AZ813" s="234"/>
      <c r="BA813" s="236"/>
      <c r="BB813" s="207"/>
      <c r="BC813" s="207"/>
      <c r="BD813" s="207"/>
      <c r="BE813" s="234"/>
      <c r="BF813" s="236"/>
      <c r="BG813" s="207"/>
      <c r="BH813" s="207"/>
      <c r="BI813" s="207"/>
      <c r="BJ813" s="234"/>
      <c r="BK813" s="236"/>
      <c r="BL813" s="234"/>
      <c r="BM813" s="234"/>
      <c r="BN813" s="234"/>
      <c r="BO813" s="234"/>
      <c r="BP813" s="194"/>
      <c r="BQ813" s="234"/>
      <c r="BR813" s="234"/>
      <c r="BS813" s="234"/>
      <c r="BT813" s="234"/>
      <c r="BU813" s="194"/>
      <c r="BV813" s="234"/>
      <c r="BW813" s="234"/>
      <c r="BX813" s="234"/>
      <c r="BY813" s="234"/>
      <c r="BZ813" s="194"/>
      <c r="CA813" s="234"/>
      <c r="CB813" s="234"/>
      <c r="CC813" s="234"/>
      <c r="CD813" s="234"/>
      <c r="CE813" s="194"/>
      <c r="CF813" s="234"/>
      <c r="CG813" s="234"/>
      <c r="CH813" s="234"/>
      <c r="CI813" s="234"/>
      <c r="CJ813" s="194"/>
      <c r="CK813" s="3515"/>
      <c r="CL813" s="234"/>
      <c r="CM813" s="234"/>
      <c r="CN813" s="234"/>
      <c r="CO813" s="194"/>
      <c r="CP813" s="3515"/>
      <c r="CQ813" s="234"/>
      <c r="CR813" s="234"/>
      <c r="CS813" s="234"/>
      <c r="CT813" s="194"/>
      <c r="CU813" s="194"/>
      <c r="CV813" s="194"/>
      <c r="CW813" s="374"/>
      <c r="CX813" s="374"/>
      <c r="CY813" s="374"/>
      <c r="CZ813" s="374"/>
      <c r="DA813" s="374"/>
      <c r="DB813" s="217"/>
      <c r="DC813" s="212"/>
      <c r="DD813" s="212"/>
      <c r="DE813" s="70"/>
      <c r="DF813" s="70"/>
      <c r="DG813" s="70"/>
      <c r="DH813" s="70"/>
      <c r="DI813" s="70"/>
      <c r="DJ813" s="70"/>
      <c r="DK813" s="70"/>
      <c r="DL813" s="70"/>
      <c r="DM813" s="70"/>
      <c r="DN813" s="70"/>
      <c r="DO813" s="70"/>
      <c r="DP813" s="70"/>
      <c r="DQ813" s="70"/>
      <c r="DR813" s="70"/>
      <c r="DS813" s="70"/>
      <c r="DT813" s="70"/>
      <c r="DU813" s="70"/>
      <c r="DV813" s="70"/>
      <c r="DW813" s="70"/>
      <c r="DX813" s="70"/>
      <c r="DY813" s="70"/>
      <c r="DZ813" s="70"/>
      <c r="EA813" s="70"/>
      <c r="EB813" s="70"/>
      <c r="EC813" s="70"/>
      <c r="ED813" s="70"/>
      <c r="EE813" s="70"/>
      <c r="EF813" s="70"/>
      <c r="EG813" s="70"/>
      <c r="EH813" s="70"/>
      <c r="EI813" s="70"/>
      <c r="EJ813" s="70"/>
      <c r="EK813" s="70"/>
      <c r="EL813" s="70"/>
      <c r="EM813" s="70"/>
      <c r="EN813" s="70"/>
      <c r="EO813" s="70"/>
      <c r="EP813" s="70"/>
      <c r="EQ813" s="70"/>
      <c r="ER813" s="70"/>
      <c r="ES813" s="70"/>
      <c r="ET813" s="70"/>
      <c r="EU813" s="70"/>
      <c r="EV813" s="70"/>
      <c r="EW813" s="70"/>
      <c r="EX813" s="70"/>
      <c r="EY813" s="70"/>
      <c r="EZ813" s="70"/>
      <c r="FA813" s="70"/>
      <c r="FB813" s="70"/>
      <c r="FC813" s="70"/>
      <c r="FD813" s="70"/>
      <c r="FE813" s="70"/>
      <c r="FF813" s="70"/>
      <c r="FG813" s="70"/>
      <c r="FH813" s="70"/>
      <c r="FI813" s="70"/>
      <c r="FJ813" s="70"/>
      <c r="FK813" s="70"/>
      <c r="FL813" s="70"/>
      <c r="FM813" s="70"/>
      <c r="FN813" s="70"/>
      <c r="FO813" s="70"/>
      <c r="FP813" s="70"/>
      <c r="FQ813" s="70"/>
      <c r="FR813" s="70"/>
      <c r="FS813" s="70"/>
      <c r="FT813" s="70"/>
      <c r="FU813" s="70"/>
      <c r="FV813" s="70"/>
      <c r="FW813" s="70"/>
      <c r="FX813" s="70"/>
      <c r="FY813" s="70"/>
      <c r="FZ813" s="70"/>
      <c r="GA813" s="70"/>
      <c r="GB813" s="70"/>
      <c r="GC813" s="70"/>
      <c r="GD813" s="70"/>
      <c r="GE813" s="70"/>
      <c r="GF813" s="70"/>
      <c r="GG813" s="70"/>
      <c r="GH813" s="70"/>
      <c r="GI813" s="70"/>
      <c r="GJ813" s="70"/>
      <c r="GK813" s="70"/>
      <c r="GL813" s="70"/>
      <c r="GM813" s="70"/>
      <c r="GN813" s="70"/>
      <c r="GO813" s="70"/>
      <c r="GP813" s="70"/>
      <c r="GQ813" s="70"/>
      <c r="GR813" s="70"/>
      <c r="GS813" s="70"/>
      <c r="GT813" s="70"/>
      <c r="GU813" s="70"/>
      <c r="GV813" s="70"/>
      <c r="GW813" s="70"/>
      <c r="GX813" s="70"/>
      <c r="GY813" s="70"/>
      <c r="GZ813" s="70"/>
      <c r="HA813" s="70"/>
      <c r="HB813" s="70"/>
      <c r="HC813" s="70"/>
      <c r="HD813" s="70"/>
      <c r="HE813" s="70"/>
      <c r="HF813" s="70"/>
      <c r="HG813" s="70"/>
      <c r="HH813" s="70"/>
      <c r="HI813" s="70"/>
      <c r="HJ813" s="70"/>
      <c r="HK813" s="70"/>
      <c r="HL813" s="70"/>
      <c r="HM813" s="70"/>
      <c r="HN813" s="70"/>
      <c r="HO813" s="70"/>
      <c r="HP813" s="70"/>
      <c r="HQ813" s="70"/>
      <c r="HR813" s="70"/>
      <c r="HS813" s="70"/>
      <c r="HT813" s="70"/>
      <c r="HU813" s="70"/>
      <c r="HV813" s="70"/>
      <c r="HW813" s="70"/>
      <c r="HX813" s="70"/>
      <c r="HY813" s="70"/>
      <c r="HZ813" s="70"/>
      <c r="IA813" s="70"/>
      <c r="IB813" s="70"/>
      <c r="IC813" s="70"/>
      <c r="ID813" s="70"/>
      <c r="IE813" s="70"/>
      <c r="IF813" s="70"/>
      <c r="IG813" s="70"/>
      <c r="IH813" s="70"/>
      <c r="II813" s="70"/>
      <c r="IJ813" s="70"/>
      <c r="IK813" s="70"/>
      <c r="IL813" s="70"/>
      <c r="IM813" s="70"/>
      <c r="IN813" s="70"/>
      <c r="IO813" s="70"/>
      <c r="IP813" s="70"/>
      <c r="IQ813" s="70"/>
      <c r="IR813" s="70"/>
      <c r="IS813" s="70"/>
      <c r="IT813" s="70"/>
      <c r="IU813" s="70"/>
      <c r="IV813" s="70"/>
    </row>
    <row r="814" spans="1:256" x14ac:dyDescent="0.2">
      <c r="A814" s="1263" t="s">
        <v>1327</v>
      </c>
      <c r="B814" s="651"/>
      <c r="C814" s="236"/>
      <c r="D814" s="207"/>
      <c r="E814" s="207"/>
      <c r="F814" s="207"/>
      <c r="G814" s="234"/>
      <c r="H814" s="236"/>
      <c r="I814" s="207"/>
      <c r="J814" s="207"/>
      <c r="K814" s="207"/>
      <c r="L814" s="234"/>
      <c r="M814" s="236"/>
      <c r="N814" s="207"/>
      <c r="O814" s="207"/>
      <c r="P814" s="207"/>
      <c r="Q814" s="234"/>
      <c r="R814" s="236"/>
      <c r="S814" s="207"/>
      <c r="T814" s="207"/>
      <c r="U814" s="207"/>
      <c r="V814" s="234"/>
      <c r="W814" s="236"/>
      <c r="X814" s="207"/>
      <c r="Y814" s="207"/>
      <c r="Z814" s="207"/>
      <c r="AA814" s="234"/>
      <c r="AB814" s="236"/>
      <c r="AC814" s="207"/>
      <c r="AD814" s="207"/>
      <c r="AE814" s="207"/>
      <c r="AF814" s="234"/>
      <c r="AG814" s="236"/>
      <c r="AH814" s="207"/>
      <c r="AI814" s="207"/>
      <c r="AJ814" s="207"/>
      <c r="AK814" s="234"/>
      <c r="AL814" s="236"/>
      <c r="AM814" s="207"/>
      <c r="AN814" s="207"/>
      <c r="AO814" s="207"/>
      <c r="AP814" s="234"/>
      <c r="AQ814" s="236"/>
      <c r="AR814" s="207"/>
      <c r="AS814" s="207"/>
      <c r="AT814" s="207"/>
      <c r="AU814" s="234"/>
      <c r="AV814" s="236"/>
      <c r="AW814" s="207"/>
      <c r="AX814" s="207"/>
      <c r="AY814" s="207"/>
      <c r="AZ814" s="234"/>
      <c r="BA814" s="236"/>
      <c r="BB814" s="207"/>
      <c r="BC814" s="207"/>
      <c r="BD814" s="207"/>
      <c r="BE814" s="234"/>
      <c r="BF814" s="236"/>
      <c r="BG814" s="207"/>
      <c r="BH814" s="207"/>
      <c r="BI814" s="207"/>
      <c r="BJ814" s="234"/>
      <c r="BK814" s="236"/>
      <c r="BL814" s="234"/>
      <c r="BM814" s="234"/>
      <c r="BN814" s="234"/>
      <c r="BO814" s="234"/>
      <c r="BP814" s="194"/>
      <c r="BQ814" s="234"/>
      <c r="BR814" s="234"/>
      <c r="BS814" s="234"/>
      <c r="BT814" s="234"/>
      <c r="BU814" s="194"/>
      <c r="BV814" s="234"/>
      <c r="BW814" s="234"/>
      <c r="BX814" s="234"/>
      <c r="BY814" s="234"/>
      <c r="BZ814" s="194"/>
      <c r="CA814" s="234"/>
      <c r="CB814" s="234"/>
      <c r="CC814" s="234"/>
      <c r="CD814" s="234"/>
      <c r="CE814" s="194"/>
      <c r="CF814" s="234"/>
      <c r="CG814" s="234"/>
      <c r="CH814" s="234"/>
      <c r="CI814" s="234">
        <f>+CI818+348</f>
        <v>24939</v>
      </c>
      <c r="CJ814" s="194"/>
      <c r="CK814" s="3515"/>
      <c r="CL814" s="234"/>
      <c r="CM814" s="234"/>
      <c r="CN814" s="234"/>
      <c r="CO814" s="194"/>
      <c r="CP814" s="3515"/>
      <c r="CQ814" s="234"/>
      <c r="CR814" s="234"/>
      <c r="CS814" s="234"/>
      <c r="CT814" s="194"/>
      <c r="CU814" s="194"/>
      <c r="CV814" s="194"/>
      <c r="CW814" s="374"/>
      <c r="CX814" s="374"/>
      <c r="CY814" s="374"/>
      <c r="CZ814" s="374"/>
      <c r="DA814" s="374"/>
      <c r="DB814" s="217"/>
    </row>
    <row r="815" spans="1:256" x14ac:dyDescent="0.2">
      <c r="A815" s="2632" t="s">
        <v>456</v>
      </c>
      <c r="B815" s="651"/>
      <c r="C815" s="236"/>
      <c r="D815" s="207"/>
      <c r="E815" s="207"/>
      <c r="F815" s="207"/>
      <c r="G815" s="234"/>
      <c r="H815" s="236"/>
      <c r="I815" s="207"/>
      <c r="J815" s="207"/>
      <c r="K815" s="207"/>
      <c r="L815" s="234"/>
      <c r="M815" s="236"/>
      <c r="N815" s="234"/>
      <c r="O815" s="234"/>
      <c r="P815" s="234"/>
      <c r="Q815" s="234"/>
      <c r="R815" s="236"/>
      <c r="S815" s="234"/>
      <c r="T815" s="234"/>
      <c r="U815" s="234"/>
      <c r="V815" s="234"/>
      <c r="W815" s="236"/>
      <c r="X815" s="234"/>
      <c r="Y815" s="234"/>
      <c r="Z815" s="234"/>
      <c r="AA815" s="234"/>
      <c r="AB815" s="236"/>
      <c r="AC815" s="234"/>
      <c r="AD815" s="234"/>
      <c r="AE815" s="234"/>
      <c r="AF815" s="234"/>
      <c r="AG815" s="236"/>
      <c r="AH815" s="234"/>
      <c r="AI815" s="234"/>
      <c r="AJ815" s="234"/>
      <c r="AK815" s="234"/>
      <c r="AL815" s="236"/>
      <c r="AM815" s="234"/>
      <c r="AN815" s="234"/>
      <c r="AO815" s="234"/>
      <c r="AP815" s="234"/>
      <c r="AQ815" s="236"/>
      <c r="AR815" s="234"/>
      <c r="AS815" s="234"/>
      <c r="AT815" s="234"/>
      <c r="AU815" s="234"/>
      <c r="AV815" s="236"/>
      <c r="AW815" s="234"/>
      <c r="AX815" s="234"/>
      <c r="AY815" s="234"/>
      <c r="AZ815" s="234"/>
      <c r="BA815" s="236"/>
      <c r="BB815" s="234"/>
      <c r="BC815" s="234"/>
      <c r="BD815" s="234"/>
      <c r="BE815" s="234"/>
      <c r="BF815" s="236"/>
      <c r="BG815" s="234"/>
      <c r="BH815" s="234"/>
      <c r="BI815" s="234"/>
      <c r="BJ815" s="234"/>
      <c r="BK815" s="236"/>
      <c r="BL815" s="212"/>
      <c r="BM815" s="212"/>
      <c r="BN815" s="212"/>
      <c r="BO815" s="212"/>
      <c r="BP815" s="194"/>
      <c r="BQ815" s="212"/>
      <c r="BR815" s="212"/>
      <c r="BS815" s="212"/>
      <c r="BT815" s="212"/>
      <c r="BU815" s="194"/>
      <c r="BV815" s="212"/>
      <c r="BW815" s="212"/>
      <c r="BX815" s="212"/>
      <c r="BY815" s="212"/>
      <c r="BZ815" s="194"/>
      <c r="CA815" s="212"/>
      <c r="CB815" s="212"/>
      <c r="CC815" s="212"/>
      <c r="CD815" s="212"/>
      <c r="CE815" s="194"/>
      <c r="CF815" s="212"/>
      <c r="CG815" s="212"/>
      <c r="CH815" s="847">
        <f t="shared" ref="CH815:CV815" si="1211">CH529+CH671</f>
        <v>34067</v>
      </c>
      <c r="CI815" s="847">
        <f t="shared" si="1211"/>
        <v>35327</v>
      </c>
      <c r="CJ815" s="236">
        <f t="shared" si="1211"/>
        <v>35327</v>
      </c>
      <c r="CK815" s="2350">
        <f t="shared" si="1211"/>
        <v>35327</v>
      </c>
      <c r="CL815" s="847">
        <f t="shared" si="1211"/>
        <v>35331</v>
      </c>
      <c r="CM815" s="847">
        <f t="shared" si="1211"/>
        <v>35179</v>
      </c>
      <c r="CN815" s="847">
        <f t="shared" si="1211"/>
        <v>35729</v>
      </c>
      <c r="CO815" s="236">
        <f t="shared" si="1211"/>
        <v>35729</v>
      </c>
      <c r="CP815" s="973">
        <f t="shared" ref="CP815:CT831" si="1212">CP529+CP671</f>
        <v>36919.339999999997</v>
      </c>
      <c r="CQ815" s="847">
        <f t="shared" si="1212"/>
        <v>37023.29</v>
      </c>
      <c r="CR815" s="847">
        <f t="shared" si="1212"/>
        <v>36831.839999999997</v>
      </c>
      <c r="CS815" s="1431">
        <f t="shared" si="1212"/>
        <v>37356.589999999997</v>
      </c>
      <c r="CT815" s="236">
        <f t="shared" si="1212"/>
        <v>37356.589999999997</v>
      </c>
      <c r="CU815" s="194">
        <f t="shared" si="1211"/>
        <v>39083.008099999999</v>
      </c>
      <c r="CV815" s="194">
        <f t="shared" si="1211"/>
        <v>39731.811180000004</v>
      </c>
      <c r="CW815" s="374"/>
      <c r="CX815" s="374"/>
      <c r="CY815" s="374"/>
      <c r="CZ815" s="374"/>
      <c r="DA815" s="374"/>
      <c r="DB815" s="217"/>
    </row>
    <row r="816" spans="1:256" x14ac:dyDescent="0.2">
      <c r="A816" s="1264" t="s">
        <v>346</v>
      </c>
      <c r="B816" s="651"/>
      <c r="C816" s="236"/>
      <c r="D816" s="207"/>
      <c r="E816" s="207"/>
      <c r="F816" s="207"/>
      <c r="G816" s="234"/>
      <c r="H816" s="661"/>
      <c r="I816" s="847">
        <f t="shared" ref="I816:AN816" si="1213">I530+I672</f>
        <v>152282</v>
      </c>
      <c r="J816" s="847">
        <f t="shared" si="1213"/>
        <v>155453</v>
      </c>
      <c r="K816" s="847">
        <f t="shared" si="1213"/>
        <v>157817</v>
      </c>
      <c r="L816" s="847">
        <f t="shared" si="1213"/>
        <v>158112</v>
      </c>
      <c r="M816" s="661">
        <f t="shared" si="1213"/>
        <v>158112</v>
      </c>
      <c r="N816" s="847">
        <f t="shared" si="1213"/>
        <v>159320</v>
      </c>
      <c r="O816" s="847">
        <f t="shared" si="1213"/>
        <v>160540</v>
      </c>
      <c r="P816" s="847">
        <f t="shared" si="1213"/>
        <v>162530</v>
      </c>
      <c r="Q816" s="847">
        <f t="shared" si="1213"/>
        <v>165200</v>
      </c>
      <c r="R816" s="661">
        <f t="shared" si="1213"/>
        <v>165200</v>
      </c>
      <c r="S816" s="847">
        <f t="shared" si="1213"/>
        <v>168107</v>
      </c>
      <c r="T816" s="847">
        <f t="shared" si="1213"/>
        <v>170537</v>
      </c>
      <c r="U816" s="847">
        <f t="shared" si="1213"/>
        <v>173021</v>
      </c>
      <c r="V816" s="847">
        <f t="shared" si="1213"/>
        <v>173974</v>
      </c>
      <c r="W816" s="661">
        <f t="shared" si="1213"/>
        <v>173974</v>
      </c>
      <c r="X816" s="847">
        <f t="shared" si="1213"/>
        <v>175131</v>
      </c>
      <c r="Y816" s="847">
        <f t="shared" si="1213"/>
        <v>176981</v>
      </c>
      <c r="Z816" s="847">
        <f t="shared" si="1213"/>
        <v>178331</v>
      </c>
      <c r="AA816" s="847">
        <f t="shared" si="1213"/>
        <v>179159</v>
      </c>
      <c r="AB816" s="661">
        <f t="shared" si="1213"/>
        <v>179159</v>
      </c>
      <c r="AC816" s="847">
        <f t="shared" si="1213"/>
        <v>179485</v>
      </c>
      <c r="AD816" s="847">
        <f t="shared" si="1213"/>
        <v>181184</v>
      </c>
      <c r="AE816" s="847">
        <f t="shared" si="1213"/>
        <v>181599</v>
      </c>
      <c r="AF816" s="847">
        <f t="shared" si="1213"/>
        <v>183455</v>
      </c>
      <c r="AG816" s="661">
        <f t="shared" si="1213"/>
        <v>183455</v>
      </c>
      <c r="AH816" s="847">
        <f t="shared" si="1213"/>
        <v>186010</v>
      </c>
      <c r="AI816" s="847">
        <f t="shared" si="1213"/>
        <v>186259</v>
      </c>
      <c r="AJ816" s="847">
        <f t="shared" si="1213"/>
        <v>186154</v>
      </c>
      <c r="AK816" s="847">
        <f t="shared" si="1213"/>
        <v>187404</v>
      </c>
      <c r="AL816" s="661">
        <f t="shared" si="1213"/>
        <v>187404</v>
      </c>
      <c r="AM816" s="847">
        <f t="shared" si="1213"/>
        <v>188162</v>
      </c>
      <c r="AN816" s="847">
        <f t="shared" si="1213"/>
        <v>187797</v>
      </c>
      <c r="AO816" s="847">
        <f t="shared" ref="AO816:BT816" si="1214">AO530+AO672</f>
        <v>187935</v>
      </c>
      <c r="AP816" s="847">
        <f t="shared" si="1214"/>
        <v>188544</v>
      </c>
      <c r="AQ816" s="661">
        <f t="shared" si="1214"/>
        <v>188544</v>
      </c>
      <c r="AR816" s="847">
        <f t="shared" si="1214"/>
        <v>188841</v>
      </c>
      <c r="AS816" s="847">
        <f t="shared" si="1214"/>
        <v>189587</v>
      </c>
      <c r="AT816" s="847">
        <f t="shared" si="1214"/>
        <v>191303</v>
      </c>
      <c r="AU816" s="847">
        <f t="shared" si="1214"/>
        <v>193230</v>
      </c>
      <c r="AV816" s="661">
        <f t="shared" si="1214"/>
        <v>193230</v>
      </c>
      <c r="AW816" s="847">
        <f t="shared" si="1214"/>
        <v>194671</v>
      </c>
      <c r="AX816" s="847">
        <f t="shared" si="1214"/>
        <v>195459</v>
      </c>
      <c r="AY816" s="847">
        <f t="shared" si="1214"/>
        <v>196290</v>
      </c>
      <c r="AZ816" s="847">
        <f t="shared" si="1214"/>
        <v>198755</v>
      </c>
      <c r="BA816" s="661">
        <f t="shared" si="1214"/>
        <v>198755</v>
      </c>
      <c r="BB816" s="847">
        <f t="shared" si="1214"/>
        <v>201923</v>
      </c>
      <c r="BC816" s="847">
        <f t="shared" si="1214"/>
        <v>201435</v>
      </c>
      <c r="BD816" s="847">
        <f t="shared" si="1214"/>
        <v>202213</v>
      </c>
      <c r="BE816" s="847">
        <f t="shared" si="1214"/>
        <v>204019</v>
      </c>
      <c r="BF816" s="661">
        <f t="shared" si="1214"/>
        <v>204019</v>
      </c>
      <c r="BG816" s="847">
        <f t="shared" si="1214"/>
        <v>205214</v>
      </c>
      <c r="BH816" s="847">
        <f t="shared" si="1214"/>
        <v>205874</v>
      </c>
      <c r="BI816" s="847">
        <f t="shared" si="1214"/>
        <v>205983</v>
      </c>
      <c r="BJ816" s="847">
        <f t="shared" si="1214"/>
        <v>205595</v>
      </c>
      <c r="BK816" s="661">
        <f t="shared" si="1214"/>
        <v>205595</v>
      </c>
      <c r="BL816" s="847">
        <f t="shared" si="1214"/>
        <v>204046</v>
      </c>
      <c r="BM816" s="847">
        <f t="shared" si="1214"/>
        <v>203842</v>
      </c>
      <c r="BN816" s="847">
        <f t="shared" si="1214"/>
        <v>203311</v>
      </c>
      <c r="BO816" s="847">
        <f t="shared" si="1214"/>
        <v>204917</v>
      </c>
      <c r="BP816" s="194">
        <f t="shared" si="1214"/>
        <v>204917</v>
      </c>
      <c r="BQ816" s="847">
        <f t="shared" si="1214"/>
        <v>205021</v>
      </c>
      <c r="BR816" s="847">
        <f t="shared" si="1214"/>
        <v>204548</v>
      </c>
      <c r="BS816" s="847">
        <f t="shared" si="1214"/>
        <v>204579</v>
      </c>
      <c r="BT816" s="847">
        <f t="shared" si="1214"/>
        <v>204901</v>
      </c>
      <c r="BU816" s="194">
        <f t="shared" ref="BU816:CG816" si="1215">BU530+BU672</f>
        <v>204901</v>
      </c>
      <c r="BV816" s="847">
        <f t="shared" si="1215"/>
        <v>206470</v>
      </c>
      <c r="BW816" s="847">
        <f t="shared" si="1215"/>
        <v>208289</v>
      </c>
      <c r="BX816" s="847">
        <f t="shared" si="1215"/>
        <v>209223</v>
      </c>
      <c r="BY816" s="847">
        <f t="shared" si="1215"/>
        <v>212003</v>
      </c>
      <c r="BZ816" s="194">
        <f t="shared" si="1215"/>
        <v>212003</v>
      </c>
      <c r="CA816" s="847">
        <f t="shared" si="1215"/>
        <v>214450</v>
      </c>
      <c r="CB816" s="847">
        <f t="shared" si="1215"/>
        <v>216766</v>
      </c>
      <c r="CC816" s="847">
        <f t="shared" si="1215"/>
        <v>218978</v>
      </c>
      <c r="CD816" s="847">
        <f t="shared" si="1215"/>
        <v>221319</v>
      </c>
      <c r="CE816" s="194">
        <f t="shared" si="1215"/>
        <v>221319</v>
      </c>
      <c r="CF816" s="847">
        <f t="shared" si="1215"/>
        <v>222204</v>
      </c>
      <c r="CG816" s="847">
        <f t="shared" si="1215"/>
        <v>223619</v>
      </c>
      <c r="CH816" s="847">
        <f t="shared" ref="CH816:CV816" si="1216">CH530+CH672</f>
        <v>190561</v>
      </c>
      <c r="CI816" s="847">
        <f t="shared" si="1216"/>
        <v>194296</v>
      </c>
      <c r="CJ816" s="236">
        <f t="shared" si="1216"/>
        <v>194296</v>
      </c>
      <c r="CK816" s="2350">
        <f t="shared" ref="CK816:CK830" si="1217">CK530+CK672</f>
        <v>194195</v>
      </c>
      <c r="CL816" s="847">
        <f t="shared" si="1216"/>
        <v>195408</v>
      </c>
      <c r="CM816" s="847">
        <f t="shared" si="1216"/>
        <v>198612</v>
      </c>
      <c r="CN816" s="847">
        <f t="shared" si="1216"/>
        <v>200280</v>
      </c>
      <c r="CO816" s="236">
        <f t="shared" si="1216"/>
        <v>200280</v>
      </c>
      <c r="CP816" s="973">
        <f t="shared" si="1212"/>
        <v>202888.36000000002</v>
      </c>
      <c r="CQ816" s="847">
        <f t="shared" si="1212"/>
        <v>203798.60000000003</v>
      </c>
      <c r="CR816" s="847">
        <f t="shared" si="1212"/>
        <v>206624.51</v>
      </c>
      <c r="CS816" s="1431">
        <f t="shared" si="1212"/>
        <v>207750.33000000002</v>
      </c>
      <c r="CT816" s="236">
        <f t="shared" si="1212"/>
        <v>207750.33000000002</v>
      </c>
      <c r="CU816" s="194">
        <f t="shared" si="1216"/>
        <v>217166.50640000001</v>
      </c>
      <c r="CV816" s="194">
        <f t="shared" si="1216"/>
        <v>221051.61334600003</v>
      </c>
      <c r="CW816" s="884"/>
      <c r="CX816" s="884"/>
      <c r="CY816" s="884"/>
      <c r="CZ816" s="884"/>
      <c r="DA816" s="884"/>
      <c r="DB816" s="217"/>
    </row>
    <row r="817" spans="1:256" x14ac:dyDescent="0.2">
      <c r="A817" s="1264" t="s">
        <v>1385</v>
      </c>
      <c r="B817" s="651"/>
      <c r="C817" s="236"/>
      <c r="D817" s="207"/>
      <c r="E817" s="207"/>
      <c r="F817" s="207"/>
      <c r="G817" s="234"/>
      <c r="H817" s="661"/>
      <c r="I817" s="847">
        <f t="shared" ref="I817:AN817" si="1218">I531+I673</f>
        <v>41492</v>
      </c>
      <c r="J817" s="847">
        <f t="shared" si="1218"/>
        <v>42204</v>
      </c>
      <c r="K817" s="847">
        <f t="shared" si="1218"/>
        <v>42645</v>
      </c>
      <c r="L817" s="847">
        <f t="shared" si="1218"/>
        <v>44773</v>
      </c>
      <c r="M817" s="661">
        <f t="shared" si="1218"/>
        <v>44773</v>
      </c>
      <c r="N817" s="847">
        <f t="shared" si="1218"/>
        <v>45130</v>
      </c>
      <c r="O817" s="847">
        <f t="shared" si="1218"/>
        <v>45289</v>
      </c>
      <c r="P817" s="847">
        <f t="shared" si="1218"/>
        <v>44996</v>
      </c>
      <c r="Q817" s="847">
        <f t="shared" si="1218"/>
        <v>45799</v>
      </c>
      <c r="R817" s="661">
        <f t="shared" si="1218"/>
        <v>45799</v>
      </c>
      <c r="S817" s="847">
        <f t="shared" si="1218"/>
        <v>46907</v>
      </c>
      <c r="T817" s="847">
        <f t="shared" si="1218"/>
        <v>45584</v>
      </c>
      <c r="U817" s="847">
        <f t="shared" si="1218"/>
        <v>45673</v>
      </c>
      <c r="V817" s="847">
        <f t="shared" si="1218"/>
        <v>45614</v>
      </c>
      <c r="W817" s="661">
        <f t="shared" si="1218"/>
        <v>45614</v>
      </c>
      <c r="X817" s="847">
        <f t="shared" si="1218"/>
        <v>45597</v>
      </c>
      <c r="Y817" s="847">
        <f t="shared" si="1218"/>
        <v>46827</v>
      </c>
      <c r="Z817" s="847">
        <f t="shared" si="1218"/>
        <v>47272</v>
      </c>
      <c r="AA817" s="847">
        <f t="shared" si="1218"/>
        <v>47459</v>
      </c>
      <c r="AB817" s="661">
        <f t="shared" si="1218"/>
        <v>47459</v>
      </c>
      <c r="AC817" s="847">
        <f t="shared" si="1218"/>
        <v>48221</v>
      </c>
      <c r="AD817" s="847">
        <f t="shared" si="1218"/>
        <v>48129</v>
      </c>
      <c r="AE817" s="847">
        <f t="shared" si="1218"/>
        <v>48137</v>
      </c>
      <c r="AF817" s="847">
        <f t="shared" si="1218"/>
        <v>48232</v>
      </c>
      <c r="AG817" s="661">
        <f t="shared" si="1218"/>
        <v>48232</v>
      </c>
      <c r="AH817" s="847">
        <f t="shared" si="1218"/>
        <v>48389</v>
      </c>
      <c r="AI817" s="847">
        <f t="shared" si="1218"/>
        <v>48188</v>
      </c>
      <c r="AJ817" s="847">
        <f t="shared" si="1218"/>
        <v>48228</v>
      </c>
      <c r="AK817" s="847">
        <f t="shared" si="1218"/>
        <v>48226</v>
      </c>
      <c r="AL817" s="661">
        <f t="shared" si="1218"/>
        <v>48226</v>
      </c>
      <c r="AM817" s="847">
        <f t="shared" si="1218"/>
        <v>47860</v>
      </c>
      <c r="AN817" s="847">
        <f t="shared" si="1218"/>
        <v>48792</v>
      </c>
      <c r="AO817" s="847">
        <f t="shared" ref="AO817:BT817" si="1219">AO531+AO673</f>
        <v>48981</v>
      </c>
      <c r="AP817" s="847">
        <f t="shared" si="1219"/>
        <v>48934</v>
      </c>
      <c r="AQ817" s="661">
        <f t="shared" si="1219"/>
        <v>48934</v>
      </c>
      <c r="AR817" s="847">
        <f t="shared" si="1219"/>
        <v>49856</v>
      </c>
      <c r="AS817" s="847">
        <f t="shared" si="1219"/>
        <v>48839</v>
      </c>
      <c r="AT817" s="847">
        <f t="shared" si="1219"/>
        <v>49230</v>
      </c>
      <c r="AU817" s="847">
        <f t="shared" si="1219"/>
        <v>49389</v>
      </c>
      <c r="AV817" s="661">
        <f t="shared" si="1219"/>
        <v>49389</v>
      </c>
      <c r="AW817" s="847">
        <f t="shared" si="1219"/>
        <v>50583</v>
      </c>
      <c r="AX817" s="847">
        <f t="shared" si="1219"/>
        <v>50895</v>
      </c>
      <c r="AY817" s="847">
        <f t="shared" si="1219"/>
        <v>50799</v>
      </c>
      <c r="AZ817" s="847">
        <f t="shared" si="1219"/>
        <v>50582</v>
      </c>
      <c r="BA817" s="661">
        <f t="shared" si="1219"/>
        <v>50582</v>
      </c>
      <c r="BB817" s="847">
        <f t="shared" si="1219"/>
        <v>50906</v>
      </c>
      <c r="BC817" s="847">
        <f t="shared" si="1219"/>
        <v>51324</v>
      </c>
      <c r="BD817" s="847">
        <f t="shared" si="1219"/>
        <v>51412</v>
      </c>
      <c r="BE817" s="847">
        <f t="shared" si="1219"/>
        <v>51008</v>
      </c>
      <c r="BF817" s="661">
        <f t="shared" si="1219"/>
        <v>51008</v>
      </c>
      <c r="BG817" s="847">
        <f t="shared" si="1219"/>
        <v>52189</v>
      </c>
      <c r="BH817" s="847">
        <f t="shared" si="1219"/>
        <v>51941</v>
      </c>
      <c r="BI817" s="847">
        <f t="shared" si="1219"/>
        <v>52186</v>
      </c>
      <c r="BJ817" s="847">
        <f t="shared" si="1219"/>
        <v>52966</v>
      </c>
      <c r="BK817" s="661">
        <f t="shared" si="1219"/>
        <v>52966</v>
      </c>
      <c r="BL817" s="847">
        <f t="shared" si="1219"/>
        <v>52959</v>
      </c>
      <c r="BM817" s="847">
        <f t="shared" si="1219"/>
        <v>53460</v>
      </c>
      <c r="BN817" s="847">
        <f t="shared" si="1219"/>
        <v>53193</v>
      </c>
      <c r="BO817" s="847">
        <f t="shared" si="1219"/>
        <v>53289</v>
      </c>
      <c r="BP817" s="194">
        <f t="shared" si="1219"/>
        <v>53289</v>
      </c>
      <c r="BQ817" s="847">
        <f t="shared" si="1219"/>
        <v>52609</v>
      </c>
      <c r="BR817" s="847">
        <f t="shared" si="1219"/>
        <v>52910</v>
      </c>
      <c r="BS817" s="847">
        <f t="shared" si="1219"/>
        <v>52392</v>
      </c>
      <c r="BT817" s="847">
        <f t="shared" si="1219"/>
        <v>51900</v>
      </c>
      <c r="BU817" s="194">
        <f t="shared" ref="BU817:CG817" si="1220">BU531+BU673</f>
        <v>51900</v>
      </c>
      <c r="BV817" s="847">
        <f t="shared" si="1220"/>
        <v>51998</v>
      </c>
      <c r="BW817" s="847">
        <f t="shared" si="1220"/>
        <v>53164</v>
      </c>
      <c r="BX817" s="847">
        <f t="shared" si="1220"/>
        <v>53112</v>
      </c>
      <c r="BY817" s="847">
        <f t="shared" si="1220"/>
        <v>52956</v>
      </c>
      <c r="BZ817" s="194">
        <f t="shared" si="1220"/>
        <v>52956</v>
      </c>
      <c r="CA817" s="847">
        <f t="shared" si="1220"/>
        <v>52688</v>
      </c>
      <c r="CB817" s="847">
        <f t="shared" si="1220"/>
        <v>52683</v>
      </c>
      <c r="CC817" s="847">
        <f t="shared" si="1220"/>
        <v>51305</v>
      </c>
      <c r="CD817" s="847">
        <f t="shared" si="1220"/>
        <v>51593</v>
      </c>
      <c r="CE817" s="194">
        <f t="shared" si="1220"/>
        <v>51593</v>
      </c>
      <c r="CF817" s="847">
        <f t="shared" si="1220"/>
        <v>51832</v>
      </c>
      <c r="CG817" s="847">
        <f t="shared" si="1220"/>
        <v>51951</v>
      </c>
      <c r="CH817" s="847">
        <f t="shared" ref="CH817:CV817" si="1221">CH531+CH673</f>
        <v>51950</v>
      </c>
      <c r="CI817" s="847">
        <f t="shared" si="1221"/>
        <v>52126</v>
      </c>
      <c r="CJ817" s="236">
        <f t="shared" si="1221"/>
        <v>52126</v>
      </c>
      <c r="CK817" s="2350">
        <f t="shared" si="1217"/>
        <v>52301</v>
      </c>
      <c r="CL817" s="847">
        <f t="shared" si="1221"/>
        <v>52674</v>
      </c>
      <c r="CM817" s="847">
        <f t="shared" si="1221"/>
        <v>53152</v>
      </c>
      <c r="CN817" s="847">
        <f t="shared" si="1221"/>
        <v>53297</v>
      </c>
      <c r="CO817" s="236">
        <f t="shared" si="1221"/>
        <v>53297</v>
      </c>
      <c r="CP817" s="973">
        <f t="shared" si="1212"/>
        <v>55067.35</v>
      </c>
      <c r="CQ817" s="847">
        <f t="shared" si="1212"/>
        <v>55283.8</v>
      </c>
      <c r="CR817" s="847">
        <f t="shared" si="1212"/>
        <v>55688.570000000007</v>
      </c>
      <c r="CS817" s="1431">
        <f t="shared" si="1212"/>
        <v>55686.900000000009</v>
      </c>
      <c r="CT817" s="236">
        <f t="shared" si="1212"/>
        <v>55686.900000000009</v>
      </c>
      <c r="CU817" s="194">
        <f t="shared" si="1221"/>
        <v>58502.941250000003</v>
      </c>
      <c r="CV817" s="194">
        <f t="shared" si="1221"/>
        <v>59749.004416000011</v>
      </c>
      <c r="CW817" s="884"/>
      <c r="CX817" s="884"/>
      <c r="CY817" s="884"/>
      <c r="CZ817" s="884"/>
      <c r="DA817" s="884"/>
      <c r="DB817" s="217"/>
    </row>
    <row r="818" spans="1:256" x14ac:dyDescent="0.2">
      <c r="A818" s="1264" t="s">
        <v>512</v>
      </c>
      <c r="B818" s="651"/>
      <c r="C818" s="236"/>
      <c r="D818" s="207"/>
      <c r="E818" s="207"/>
      <c r="F818" s="207"/>
      <c r="G818" s="234"/>
      <c r="H818" s="661"/>
      <c r="I818" s="847">
        <f t="shared" ref="I818:AN818" si="1222">I532+I674</f>
        <v>0</v>
      </c>
      <c r="J818" s="847">
        <f t="shared" si="1222"/>
        <v>0</v>
      </c>
      <c r="K818" s="847">
        <f t="shared" si="1222"/>
        <v>0</v>
      </c>
      <c r="L818" s="847">
        <f t="shared" si="1222"/>
        <v>0</v>
      </c>
      <c r="M818" s="661">
        <f t="shared" si="1222"/>
        <v>0</v>
      </c>
      <c r="N818" s="847">
        <f t="shared" si="1222"/>
        <v>0</v>
      </c>
      <c r="O818" s="847">
        <f t="shared" si="1222"/>
        <v>0</v>
      </c>
      <c r="P818" s="847">
        <f t="shared" si="1222"/>
        <v>0</v>
      </c>
      <c r="Q818" s="847">
        <f t="shared" si="1222"/>
        <v>0</v>
      </c>
      <c r="R818" s="661">
        <f t="shared" si="1222"/>
        <v>0</v>
      </c>
      <c r="S818" s="847">
        <f t="shared" si="1222"/>
        <v>0</v>
      </c>
      <c r="T818" s="847">
        <f t="shared" si="1222"/>
        <v>0</v>
      </c>
      <c r="U818" s="847">
        <f t="shared" si="1222"/>
        <v>0</v>
      </c>
      <c r="V818" s="847">
        <f t="shared" si="1222"/>
        <v>0</v>
      </c>
      <c r="W818" s="661">
        <f t="shared" si="1222"/>
        <v>0</v>
      </c>
      <c r="X818" s="847">
        <f t="shared" si="1222"/>
        <v>0</v>
      </c>
      <c r="Y818" s="847">
        <f t="shared" si="1222"/>
        <v>0</v>
      </c>
      <c r="Z818" s="847">
        <f t="shared" si="1222"/>
        <v>0</v>
      </c>
      <c r="AA818" s="847">
        <f t="shared" si="1222"/>
        <v>0</v>
      </c>
      <c r="AB818" s="661">
        <f t="shared" si="1222"/>
        <v>0</v>
      </c>
      <c r="AC818" s="847">
        <f t="shared" si="1222"/>
        <v>0</v>
      </c>
      <c r="AD818" s="847">
        <f t="shared" si="1222"/>
        <v>0</v>
      </c>
      <c r="AE818" s="847">
        <f t="shared" si="1222"/>
        <v>0</v>
      </c>
      <c r="AF818" s="847">
        <f t="shared" si="1222"/>
        <v>0</v>
      </c>
      <c r="AG818" s="661">
        <f t="shared" si="1222"/>
        <v>0</v>
      </c>
      <c r="AH818" s="847">
        <f t="shared" si="1222"/>
        <v>0</v>
      </c>
      <c r="AI818" s="847">
        <f t="shared" si="1222"/>
        <v>0</v>
      </c>
      <c r="AJ818" s="847">
        <f t="shared" si="1222"/>
        <v>0</v>
      </c>
      <c r="AK818" s="847">
        <f t="shared" si="1222"/>
        <v>0</v>
      </c>
      <c r="AL818" s="661">
        <f t="shared" si="1222"/>
        <v>0</v>
      </c>
      <c r="AM818" s="847">
        <f t="shared" si="1222"/>
        <v>0</v>
      </c>
      <c r="AN818" s="847">
        <f t="shared" si="1222"/>
        <v>0</v>
      </c>
      <c r="AO818" s="847">
        <f t="shared" ref="AO818:BT818" si="1223">AO532+AO674</f>
        <v>0</v>
      </c>
      <c r="AP818" s="847">
        <f t="shared" si="1223"/>
        <v>0</v>
      </c>
      <c r="AQ818" s="661">
        <f t="shared" si="1223"/>
        <v>0</v>
      </c>
      <c r="AR818" s="847">
        <f t="shared" si="1223"/>
        <v>0</v>
      </c>
      <c r="AS818" s="847">
        <f t="shared" si="1223"/>
        <v>0</v>
      </c>
      <c r="AT818" s="847">
        <f t="shared" si="1223"/>
        <v>0</v>
      </c>
      <c r="AU818" s="847">
        <f t="shared" si="1223"/>
        <v>0</v>
      </c>
      <c r="AV818" s="661">
        <f t="shared" si="1223"/>
        <v>0</v>
      </c>
      <c r="AW818" s="847">
        <f t="shared" si="1223"/>
        <v>0</v>
      </c>
      <c r="AX818" s="847">
        <f t="shared" si="1223"/>
        <v>0</v>
      </c>
      <c r="AY818" s="847">
        <f t="shared" si="1223"/>
        <v>0</v>
      </c>
      <c r="AZ818" s="847">
        <f t="shared" si="1223"/>
        <v>0</v>
      </c>
      <c r="BA818" s="661">
        <f t="shared" si="1223"/>
        <v>0</v>
      </c>
      <c r="BB818" s="847">
        <f t="shared" si="1223"/>
        <v>242</v>
      </c>
      <c r="BC818" s="847">
        <f t="shared" si="1223"/>
        <v>1529</v>
      </c>
      <c r="BD818" s="847">
        <f t="shared" si="1223"/>
        <v>1646</v>
      </c>
      <c r="BE818" s="847">
        <f t="shared" si="1223"/>
        <v>3828</v>
      </c>
      <c r="BF818" s="661">
        <f t="shared" si="1223"/>
        <v>3828</v>
      </c>
      <c r="BG818" s="847">
        <f t="shared" si="1223"/>
        <v>3954</v>
      </c>
      <c r="BH818" s="847">
        <f t="shared" si="1223"/>
        <v>4118</v>
      </c>
      <c r="BI818" s="847">
        <f t="shared" si="1223"/>
        <v>5356</v>
      </c>
      <c r="BJ818" s="847">
        <f t="shared" si="1223"/>
        <v>5755</v>
      </c>
      <c r="BK818" s="661">
        <f t="shared" si="1223"/>
        <v>5755</v>
      </c>
      <c r="BL818" s="847">
        <f t="shared" si="1223"/>
        <v>6363</v>
      </c>
      <c r="BM818" s="847">
        <f t="shared" si="1223"/>
        <v>6899</v>
      </c>
      <c r="BN818" s="847">
        <f t="shared" si="1223"/>
        <v>6974</v>
      </c>
      <c r="BO818" s="847">
        <f t="shared" si="1223"/>
        <v>7665</v>
      </c>
      <c r="BP818" s="194">
        <f t="shared" si="1223"/>
        <v>7665</v>
      </c>
      <c r="BQ818" s="847">
        <f t="shared" si="1223"/>
        <v>8133</v>
      </c>
      <c r="BR818" s="847">
        <f t="shared" si="1223"/>
        <v>8610</v>
      </c>
      <c r="BS818" s="847">
        <f t="shared" si="1223"/>
        <v>10096</v>
      </c>
      <c r="BT818" s="847">
        <f t="shared" si="1223"/>
        <v>11115</v>
      </c>
      <c r="BU818" s="194">
        <f t="shared" ref="BU818:CG818" si="1224">BU532+BU674</f>
        <v>11115</v>
      </c>
      <c r="BV818" s="847">
        <f t="shared" si="1224"/>
        <v>11969</v>
      </c>
      <c r="BW818" s="847">
        <f t="shared" si="1224"/>
        <v>12010</v>
      </c>
      <c r="BX818" s="847">
        <f t="shared" si="1224"/>
        <v>12171</v>
      </c>
      <c r="BY818" s="847">
        <f t="shared" si="1224"/>
        <v>17162</v>
      </c>
      <c r="BZ818" s="194">
        <f t="shared" si="1224"/>
        <v>17162</v>
      </c>
      <c r="CA818" s="847">
        <f t="shared" si="1224"/>
        <v>18712</v>
      </c>
      <c r="CB818" s="847">
        <f t="shared" si="1224"/>
        <v>20642</v>
      </c>
      <c r="CC818" s="847">
        <f t="shared" si="1224"/>
        <v>22049</v>
      </c>
      <c r="CD818" s="847">
        <f t="shared" si="1224"/>
        <v>22460</v>
      </c>
      <c r="CE818" s="194">
        <f t="shared" si="1224"/>
        <v>22460</v>
      </c>
      <c r="CF818" s="847">
        <f t="shared" si="1224"/>
        <v>23328</v>
      </c>
      <c r="CG818" s="847">
        <f t="shared" si="1224"/>
        <v>23589</v>
      </c>
      <c r="CH818" s="847">
        <f t="shared" ref="CH818:CV818" si="1225">CH532+CH674</f>
        <v>23926</v>
      </c>
      <c r="CI818" s="847">
        <f t="shared" si="1225"/>
        <v>24591</v>
      </c>
      <c r="CJ818" s="236">
        <f t="shared" si="1225"/>
        <v>24591</v>
      </c>
      <c r="CK818" s="2350">
        <f t="shared" si="1217"/>
        <v>27274</v>
      </c>
      <c r="CL818" s="847">
        <f t="shared" si="1225"/>
        <v>27781</v>
      </c>
      <c r="CM818" s="847">
        <f t="shared" si="1225"/>
        <v>28530</v>
      </c>
      <c r="CN818" s="847">
        <f t="shared" si="1225"/>
        <v>29401</v>
      </c>
      <c r="CO818" s="236">
        <f t="shared" si="1225"/>
        <v>29401</v>
      </c>
      <c r="CP818" s="973">
        <f t="shared" si="1212"/>
        <v>29201.79</v>
      </c>
      <c r="CQ818" s="847">
        <f t="shared" si="1212"/>
        <v>29458.800000000003</v>
      </c>
      <c r="CR818" s="847">
        <f t="shared" si="1212"/>
        <v>30222.440000000002</v>
      </c>
      <c r="CS818" s="1431">
        <f t="shared" si="1212"/>
        <v>30964.949999999997</v>
      </c>
      <c r="CT818" s="236">
        <f t="shared" si="1212"/>
        <v>30964.949999999997</v>
      </c>
      <c r="CU818" s="194">
        <f t="shared" si="1225"/>
        <v>32943.208299999998</v>
      </c>
      <c r="CV818" s="194">
        <f t="shared" si="1225"/>
        <v>34004.637117999999</v>
      </c>
      <c r="CW818" s="884"/>
      <c r="CX818" s="884"/>
      <c r="CY818" s="884"/>
      <c r="CZ818" s="884"/>
      <c r="DA818" s="884"/>
      <c r="DB818" s="217"/>
    </row>
    <row r="819" spans="1:256" x14ac:dyDescent="0.2">
      <c r="A819" s="2632" t="s">
        <v>608</v>
      </c>
      <c r="B819" s="651"/>
      <c r="C819" s="236"/>
      <c r="D819" s="207"/>
      <c r="E819" s="207"/>
      <c r="F819" s="207"/>
      <c r="G819" s="234"/>
      <c r="H819" s="661"/>
      <c r="I819" s="847">
        <f t="shared" ref="I819:AN819" si="1226">I533+I675</f>
        <v>0</v>
      </c>
      <c r="J819" s="847">
        <f t="shared" si="1226"/>
        <v>0</v>
      </c>
      <c r="K819" s="847">
        <f t="shared" si="1226"/>
        <v>0</v>
      </c>
      <c r="L819" s="847">
        <f t="shared" si="1226"/>
        <v>0</v>
      </c>
      <c r="M819" s="661">
        <f t="shared" si="1226"/>
        <v>0</v>
      </c>
      <c r="N819" s="847">
        <f t="shared" si="1226"/>
        <v>0</v>
      </c>
      <c r="O819" s="847">
        <f t="shared" si="1226"/>
        <v>0</v>
      </c>
      <c r="P819" s="847">
        <f t="shared" si="1226"/>
        <v>0</v>
      </c>
      <c r="Q819" s="847">
        <f t="shared" si="1226"/>
        <v>0</v>
      </c>
      <c r="R819" s="661">
        <f t="shared" si="1226"/>
        <v>0</v>
      </c>
      <c r="S819" s="847">
        <f t="shared" si="1226"/>
        <v>0</v>
      </c>
      <c r="T819" s="847">
        <f t="shared" si="1226"/>
        <v>0</v>
      </c>
      <c r="U819" s="847">
        <f t="shared" si="1226"/>
        <v>0</v>
      </c>
      <c r="V819" s="847">
        <f t="shared" si="1226"/>
        <v>0</v>
      </c>
      <c r="W819" s="661">
        <f t="shared" si="1226"/>
        <v>0</v>
      </c>
      <c r="X819" s="847">
        <f t="shared" si="1226"/>
        <v>0</v>
      </c>
      <c r="Y819" s="847">
        <f t="shared" si="1226"/>
        <v>0</v>
      </c>
      <c r="Z819" s="847">
        <f t="shared" si="1226"/>
        <v>0</v>
      </c>
      <c r="AA819" s="847">
        <f t="shared" si="1226"/>
        <v>0</v>
      </c>
      <c r="AB819" s="661">
        <f t="shared" si="1226"/>
        <v>0</v>
      </c>
      <c r="AC819" s="847">
        <f t="shared" si="1226"/>
        <v>0</v>
      </c>
      <c r="AD819" s="847">
        <f t="shared" si="1226"/>
        <v>0</v>
      </c>
      <c r="AE819" s="847">
        <f t="shared" si="1226"/>
        <v>0</v>
      </c>
      <c r="AF819" s="847">
        <f t="shared" si="1226"/>
        <v>0</v>
      </c>
      <c r="AG819" s="661">
        <f t="shared" si="1226"/>
        <v>0</v>
      </c>
      <c r="AH819" s="847">
        <f t="shared" si="1226"/>
        <v>0</v>
      </c>
      <c r="AI819" s="847">
        <f t="shared" si="1226"/>
        <v>0</v>
      </c>
      <c r="AJ819" s="847">
        <f t="shared" si="1226"/>
        <v>0</v>
      </c>
      <c r="AK819" s="847">
        <f t="shared" si="1226"/>
        <v>0</v>
      </c>
      <c r="AL819" s="661">
        <f t="shared" si="1226"/>
        <v>0</v>
      </c>
      <c r="AM819" s="847">
        <f t="shared" si="1226"/>
        <v>0</v>
      </c>
      <c r="AN819" s="847">
        <f t="shared" si="1226"/>
        <v>0</v>
      </c>
      <c r="AO819" s="847">
        <f t="shared" ref="AO819:BT819" si="1227">AO533+AO675</f>
        <v>0</v>
      </c>
      <c r="AP819" s="847">
        <f t="shared" si="1227"/>
        <v>0</v>
      </c>
      <c r="AQ819" s="661">
        <f t="shared" si="1227"/>
        <v>0</v>
      </c>
      <c r="AR819" s="847">
        <f t="shared" si="1227"/>
        <v>0</v>
      </c>
      <c r="AS819" s="847">
        <f t="shared" si="1227"/>
        <v>0</v>
      </c>
      <c r="AT819" s="847">
        <f t="shared" si="1227"/>
        <v>0</v>
      </c>
      <c r="AU819" s="847">
        <f t="shared" si="1227"/>
        <v>0</v>
      </c>
      <c r="AV819" s="661">
        <f t="shared" si="1227"/>
        <v>0</v>
      </c>
      <c r="AW819" s="847">
        <f t="shared" si="1227"/>
        <v>0</v>
      </c>
      <c r="AX819" s="847">
        <f t="shared" si="1227"/>
        <v>0</v>
      </c>
      <c r="AY819" s="847">
        <f t="shared" si="1227"/>
        <v>0</v>
      </c>
      <c r="AZ819" s="847">
        <f t="shared" si="1227"/>
        <v>0</v>
      </c>
      <c r="BA819" s="661">
        <f t="shared" si="1227"/>
        <v>0</v>
      </c>
      <c r="BB819" s="847">
        <f t="shared" si="1227"/>
        <v>0</v>
      </c>
      <c r="BC819" s="847">
        <f t="shared" si="1227"/>
        <v>0</v>
      </c>
      <c r="BD819" s="847">
        <f t="shared" si="1227"/>
        <v>0</v>
      </c>
      <c r="BE819" s="847">
        <f t="shared" si="1227"/>
        <v>0</v>
      </c>
      <c r="BF819" s="661">
        <f t="shared" si="1227"/>
        <v>0</v>
      </c>
      <c r="BG819" s="847">
        <f t="shared" si="1227"/>
        <v>0</v>
      </c>
      <c r="BH819" s="847">
        <f t="shared" si="1227"/>
        <v>0</v>
      </c>
      <c r="BI819" s="847">
        <f t="shared" si="1227"/>
        <v>0</v>
      </c>
      <c r="BJ819" s="847">
        <f t="shared" si="1227"/>
        <v>0</v>
      </c>
      <c r="BK819" s="661">
        <f t="shared" si="1227"/>
        <v>0</v>
      </c>
      <c r="BL819" s="847">
        <f t="shared" si="1227"/>
        <v>0</v>
      </c>
      <c r="BM819" s="847">
        <f t="shared" si="1227"/>
        <v>0</v>
      </c>
      <c r="BN819" s="847">
        <f t="shared" si="1227"/>
        <v>0</v>
      </c>
      <c r="BO819" s="847">
        <f t="shared" si="1227"/>
        <v>0</v>
      </c>
      <c r="BP819" s="661">
        <f t="shared" si="1227"/>
        <v>0</v>
      </c>
      <c r="BQ819" s="847">
        <f t="shared" si="1227"/>
        <v>0</v>
      </c>
      <c r="BR819" s="847">
        <f t="shared" si="1227"/>
        <v>0</v>
      </c>
      <c r="BS819" s="847">
        <f t="shared" si="1227"/>
        <v>0</v>
      </c>
      <c r="BT819" s="847">
        <f t="shared" si="1227"/>
        <v>0</v>
      </c>
      <c r="BU819" s="661">
        <f t="shared" ref="BU819:CG819" si="1228">BU533+BU675</f>
        <v>0</v>
      </c>
      <c r="BV819" s="847">
        <f t="shared" si="1228"/>
        <v>0</v>
      </c>
      <c r="BW819" s="847">
        <f t="shared" si="1228"/>
        <v>0</v>
      </c>
      <c r="BX819" s="847">
        <f t="shared" si="1228"/>
        <v>162</v>
      </c>
      <c r="BY819" s="847">
        <f t="shared" si="1228"/>
        <v>162</v>
      </c>
      <c r="BZ819" s="194">
        <f t="shared" si="1228"/>
        <v>162</v>
      </c>
      <c r="CA819" s="847">
        <f t="shared" si="1228"/>
        <v>162</v>
      </c>
      <c r="CB819" s="847">
        <f t="shared" si="1228"/>
        <v>162</v>
      </c>
      <c r="CC819" s="847">
        <f t="shared" si="1228"/>
        <v>162</v>
      </c>
      <c r="CD819" s="847">
        <f t="shared" si="1228"/>
        <v>162</v>
      </c>
      <c r="CE819" s="194">
        <f t="shared" si="1228"/>
        <v>162</v>
      </c>
      <c r="CF819" s="847">
        <f t="shared" si="1228"/>
        <v>600</v>
      </c>
      <c r="CG819" s="847">
        <f t="shared" si="1228"/>
        <v>708</v>
      </c>
      <c r="CH819" s="847">
        <f t="shared" ref="CH819:CV819" si="1229">CH533+CH675</f>
        <v>1094</v>
      </c>
      <c r="CI819" s="847">
        <f t="shared" si="1229"/>
        <v>1294</v>
      </c>
      <c r="CJ819" s="236">
        <f t="shared" si="1229"/>
        <v>1294</v>
      </c>
      <c r="CK819" s="2350">
        <f t="shared" si="1217"/>
        <v>2168</v>
      </c>
      <c r="CL819" s="847">
        <f t="shared" si="1229"/>
        <v>2168</v>
      </c>
      <c r="CM819" s="847">
        <f t="shared" si="1229"/>
        <v>3640</v>
      </c>
      <c r="CN819" s="847">
        <f t="shared" si="1229"/>
        <v>4573</v>
      </c>
      <c r="CO819" s="236">
        <f t="shared" si="1229"/>
        <v>4573</v>
      </c>
      <c r="CP819" s="973">
        <f t="shared" si="1212"/>
        <v>2317.92</v>
      </c>
      <c r="CQ819" s="847">
        <f t="shared" si="1212"/>
        <v>2317.92</v>
      </c>
      <c r="CR819" s="847">
        <f t="shared" si="1212"/>
        <v>3886.0600000000004</v>
      </c>
      <c r="CS819" s="1431">
        <f t="shared" si="1212"/>
        <v>4845.5200000000004</v>
      </c>
      <c r="CT819" s="236">
        <f t="shared" si="1212"/>
        <v>4845.5200000000004</v>
      </c>
      <c r="CU819" s="194">
        <f t="shared" si="1229"/>
        <v>5093.0590000000002</v>
      </c>
      <c r="CV819" s="194">
        <f t="shared" si="1229"/>
        <v>5234.9813599999998</v>
      </c>
      <c r="CW819" s="884"/>
      <c r="CX819" s="884"/>
      <c r="CY819" s="884"/>
      <c r="CZ819" s="884"/>
      <c r="DA819" s="884"/>
      <c r="DB819" s="217"/>
    </row>
    <row r="820" spans="1:256" x14ac:dyDescent="0.2">
      <c r="A820" s="1264" t="s">
        <v>510</v>
      </c>
      <c r="B820" s="651"/>
      <c r="C820" s="236"/>
      <c r="D820" s="207"/>
      <c r="E820" s="207"/>
      <c r="F820" s="207"/>
      <c r="G820" s="234"/>
      <c r="H820" s="661"/>
      <c r="I820" s="847">
        <f t="shared" ref="I820:AN820" si="1230">I534+I676</f>
        <v>13246</v>
      </c>
      <c r="J820" s="847">
        <f t="shared" si="1230"/>
        <v>13592</v>
      </c>
      <c r="K820" s="847">
        <f t="shared" si="1230"/>
        <v>14073</v>
      </c>
      <c r="L820" s="847">
        <f t="shared" si="1230"/>
        <v>14826</v>
      </c>
      <c r="M820" s="661">
        <f t="shared" si="1230"/>
        <v>14826</v>
      </c>
      <c r="N820" s="847">
        <f t="shared" si="1230"/>
        <v>15365</v>
      </c>
      <c r="O820" s="847">
        <f t="shared" si="1230"/>
        <v>15904</v>
      </c>
      <c r="P820" s="847">
        <f t="shared" si="1230"/>
        <v>15904</v>
      </c>
      <c r="Q820" s="847">
        <f t="shared" si="1230"/>
        <v>16566</v>
      </c>
      <c r="R820" s="661">
        <f t="shared" si="1230"/>
        <v>16566</v>
      </c>
      <c r="S820" s="847">
        <f t="shared" si="1230"/>
        <v>16916</v>
      </c>
      <c r="T820" s="847">
        <f t="shared" si="1230"/>
        <v>17210</v>
      </c>
      <c r="U820" s="847">
        <f t="shared" si="1230"/>
        <v>17794</v>
      </c>
      <c r="V820" s="847">
        <f t="shared" si="1230"/>
        <v>18347</v>
      </c>
      <c r="W820" s="661">
        <f t="shared" si="1230"/>
        <v>18347</v>
      </c>
      <c r="X820" s="847">
        <f t="shared" si="1230"/>
        <v>18644</v>
      </c>
      <c r="Y820" s="847">
        <f t="shared" si="1230"/>
        <v>18644</v>
      </c>
      <c r="Z820" s="847">
        <f t="shared" si="1230"/>
        <v>18613</v>
      </c>
      <c r="AA820" s="847">
        <f t="shared" si="1230"/>
        <v>18611</v>
      </c>
      <c r="AB820" s="661">
        <f t="shared" si="1230"/>
        <v>18611</v>
      </c>
      <c r="AC820" s="847">
        <f t="shared" si="1230"/>
        <v>18598</v>
      </c>
      <c r="AD820" s="847">
        <f t="shared" si="1230"/>
        <v>18931</v>
      </c>
      <c r="AE820" s="847">
        <f t="shared" si="1230"/>
        <v>18907</v>
      </c>
      <c r="AF820" s="847">
        <f t="shared" si="1230"/>
        <v>19285</v>
      </c>
      <c r="AG820" s="661">
        <f t="shared" si="1230"/>
        <v>19285</v>
      </c>
      <c r="AH820" s="847">
        <f t="shared" si="1230"/>
        <v>19382</v>
      </c>
      <c r="AI820" s="847">
        <f t="shared" si="1230"/>
        <v>19382</v>
      </c>
      <c r="AJ820" s="847">
        <f t="shared" si="1230"/>
        <v>19382</v>
      </c>
      <c r="AK820" s="847">
        <f t="shared" si="1230"/>
        <v>19406</v>
      </c>
      <c r="AL820" s="661">
        <f t="shared" si="1230"/>
        <v>19406</v>
      </c>
      <c r="AM820" s="847">
        <f t="shared" si="1230"/>
        <v>19335</v>
      </c>
      <c r="AN820" s="847">
        <f t="shared" si="1230"/>
        <v>19830</v>
      </c>
      <c r="AO820" s="847">
        <f t="shared" ref="AO820:BT820" si="1231">AO534+AO676</f>
        <v>20830</v>
      </c>
      <c r="AP820" s="847">
        <f t="shared" si="1231"/>
        <v>21605</v>
      </c>
      <c r="AQ820" s="661">
        <f t="shared" si="1231"/>
        <v>21605</v>
      </c>
      <c r="AR820" s="847">
        <f t="shared" si="1231"/>
        <v>21578</v>
      </c>
      <c r="AS820" s="847">
        <f t="shared" si="1231"/>
        <v>21995</v>
      </c>
      <c r="AT820" s="847">
        <f t="shared" si="1231"/>
        <v>22161</v>
      </c>
      <c r="AU820" s="847">
        <f t="shared" si="1231"/>
        <v>22311</v>
      </c>
      <c r="AV820" s="661">
        <f t="shared" si="1231"/>
        <v>22311</v>
      </c>
      <c r="AW820" s="847">
        <f t="shared" si="1231"/>
        <v>22607</v>
      </c>
      <c r="AX820" s="847">
        <f t="shared" si="1231"/>
        <v>22140</v>
      </c>
      <c r="AY820" s="847">
        <f t="shared" si="1231"/>
        <v>22140</v>
      </c>
      <c r="AZ820" s="847">
        <f t="shared" si="1231"/>
        <v>22760</v>
      </c>
      <c r="BA820" s="661">
        <f t="shared" si="1231"/>
        <v>22760</v>
      </c>
      <c r="BB820" s="847">
        <f t="shared" si="1231"/>
        <v>22749</v>
      </c>
      <c r="BC820" s="847">
        <f t="shared" si="1231"/>
        <v>22216</v>
      </c>
      <c r="BD820" s="847">
        <f t="shared" si="1231"/>
        <v>22502</v>
      </c>
      <c r="BE820" s="847">
        <f t="shared" si="1231"/>
        <v>22502</v>
      </c>
      <c r="BF820" s="661">
        <f t="shared" si="1231"/>
        <v>22502</v>
      </c>
      <c r="BG820" s="847">
        <f t="shared" si="1231"/>
        <v>23107</v>
      </c>
      <c r="BH820" s="847">
        <f t="shared" si="1231"/>
        <v>23419</v>
      </c>
      <c r="BI820" s="847">
        <f t="shared" si="1231"/>
        <v>23669</v>
      </c>
      <c r="BJ820" s="847">
        <f t="shared" si="1231"/>
        <v>24162</v>
      </c>
      <c r="BK820" s="661">
        <f t="shared" si="1231"/>
        <v>24162</v>
      </c>
      <c r="BL820" s="847">
        <f t="shared" si="1231"/>
        <v>24162</v>
      </c>
      <c r="BM820" s="847">
        <f t="shared" si="1231"/>
        <v>24259</v>
      </c>
      <c r="BN820" s="847">
        <f t="shared" si="1231"/>
        <v>24461</v>
      </c>
      <c r="BO820" s="847">
        <f t="shared" si="1231"/>
        <v>24346</v>
      </c>
      <c r="BP820" s="194">
        <f t="shared" si="1231"/>
        <v>24346</v>
      </c>
      <c r="BQ820" s="847">
        <f t="shared" si="1231"/>
        <v>25056</v>
      </c>
      <c r="BR820" s="847">
        <f t="shared" si="1231"/>
        <v>24590</v>
      </c>
      <c r="BS820" s="847">
        <f t="shared" si="1231"/>
        <v>24287</v>
      </c>
      <c r="BT820" s="847">
        <f t="shared" si="1231"/>
        <v>25569</v>
      </c>
      <c r="BU820" s="194">
        <f t="shared" ref="BU820:CG820" si="1232">BU534+BU676</f>
        <v>25569</v>
      </c>
      <c r="BV820" s="847">
        <f t="shared" si="1232"/>
        <v>25396</v>
      </c>
      <c r="BW820" s="847">
        <f t="shared" si="1232"/>
        <v>25656</v>
      </c>
      <c r="BX820" s="847">
        <f t="shared" si="1232"/>
        <v>25656</v>
      </c>
      <c r="BY820" s="847">
        <f t="shared" si="1232"/>
        <v>26093</v>
      </c>
      <c r="BZ820" s="194">
        <f t="shared" si="1232"/>
        <v>26093</v>
      </c>
      <c r="CA820" s="847">
        <f t="shared" si="1232"/>
        <v>26083</v>
      </c>
      <c r="CB820" s="847">
        <f t="shared" si="1232"/>
        <v>26327</v>
      </c>
      <c r="CC820" s="847">
        <f t="shared" si="1232"/>
        <v>26729</v>
      </c>
      <c r="CD820" s="847">
        <f t="shared" si="1232"/>
        <v>27131</v>
      </c>
      <c r="CE820" s="194">
        <f t="shared" si="1232"/>
        <v>27131</v>
      </c>
      <c r="CF820" s="847">
        <f t="shared" si="1232"/>
        <v>27108</v>
      </c>
      <c r="CG820" s="847">
        <f t="shared" si="1232"/>
        <v>27104</v>
      </c>
      <c r="CH820" s="847">
        <f t="shared" ref="CH820:CV820" si="1233">CH534+CH676</f>
        <v>26527</v>
      </c>
      <c r="CI820" s="847">
        <f t="shared" si="1233"/>
        <v>26866</v>
      </c>
      <c r="CJ820" s="236">
        <f t="shared" si="1233"/>
        <v>26866</v>
      </c>
      <c r="CK820" s="2350">
        <f t="shared" si="1217"/>
        <v>27070</v>
      </c>
      <c r="CL820" s="847">
        <f t="shared" ca="1" si="1233"/>
        <v>27227</v>
      </c>
      <c r="CM820" s="847">
        <f t="shared" ca="1" si="1233"/>
        <v>27693</v>
      </c>
      <c r="CN820" s="847">
        <f t="shared" ca="1" si="1233"/>
        <v>27372</v>
      </c>
      <c r="CO820" s="236">
        <f t="shared" ca="1" si="1233"/>
        <v>27372</v>
      </c>
      <c r="CP820" s="973">
        <f t="shared" si="1212"/>
        <v>28602.66</v>
      </c>
      <c r="CQ820" s="847">
        <f t="shared" ca="1" si="1212"/>
        <v>28915.83</v>
      </c>
      <c r="CR820" s="847">
        <f t="shared" ca="1" si="1212"/>
        <v>29413.300000000003</v>
      </c>
      <c r="CS820" s="1431">
        <f t="shared" ca="1" si="1212"/>
        <v>29067.96</v>
      </c>
      <c r="CT820" s="236">
        <f t="shared" ca="1" si="1212"/>
        <v>29067.96</v>
      </c>
      <c r="CU820" s="194">
        <f t="shared" ca="1" si="1233"/>
        <v>30191.150600000001</v>
      </c>
      <c r="CV820" s="194">
        <f t="shared" ca="1" si="1233"/>
        <v>30529.637644000002</v>
      </c>
      <c r="CW820" s="884"/>
      <c r="CX820" s="884"/>
      <c r="CY820" s="884"/>
      <c r="CZ820" s="884"/>
      <c r="DA820" s="884"/>
      <c r="DB820" s="217"/>
    </row>
    <row r="821" spans="1:256" x14ac:dyDescent="0.2">
      <c r="A821" s="1264" t="s">
        <v>511</v>
      </c>
      <c r="B821" s="651"/>
      <c r="C821" s="236"/>
      <c r="D821" s="207"/>
      <c r="E821" s="207"/>
      <c r="F821" s="207"/>
      <c r="G821" s="234"/>
      <c r="H821" s="661"/>
      <c r="I821" s="847">
        <f t="shared" ref="I821:AN821" si="1234">I535+I677</f>
        <v>0</v>
      </c>
      <c r="J821" s="847">
        <f t="shared" si="1234"/>
        <v>0</v>
      </c>
      <c r="K821" s="847">
        <f t="shared" si="1234"/>
        <v>0</v>
      </c>
      <c r="L821" s="847">
        <f t="shared" si="1234"/>
        <v>0</v>
      </c>
      <c r="M821" s="661">
        <f t="shared" si="1234"/>
        <v>0</v>
      </c>
      <c r="N821" s="847">
        <f t="shared" si="1234"/>
        <v>0</v>
      </c>
      <c r="O821" s="847">
        <f t="shared" si="1234"/>
        <v>0</v>
      </c>
      <c r="P821" s="847">
        <f t="shared" si="1234"/>
        <v>0</v>
      </c>
      <c r="Q821" s="847">
        <f t="shared" si="1234"/>
        <v>0</v>
      </c>
      <c r="R821" s="661">
        <f t="shared" si="1234"/>
        <v>0</v>
      </c>
      <c r="S821" s="847">
        <f t="shared" si="1234"/>
        <v>0</v>
      </c>
      <c r="T821" s="847">
        <f t="shared" si="1234"/>
        <v>0</v>
      </c>
      <c r="U821" s="847">
        <f t="shared" si="1234"/>
        <v>0</v>
      </c>
      <c r="V821" s="847">
        <f t="shared" si="1234"/>
        <v>0</v>
      </c>
      <c r="W821" s="661">
        <f t="shared" si="1234"/>
        <v>0</v>
      </c>
      <c r="X821" s="847">
        <f t="shared" si="1234"/>
        <v>0</v>
      </c>
      <c r="Y821" s="847">
        <f t="shared" si="1234"/>
        <v>58</v>
      </c>
      <c r="Z821" s="847">
        <f t="shared" si="1234"/>
        <v>58</v>
      </c>
      <c r="AA821" s="847">
        <f t="shared" si="1234"/>
        <v>58</v>
      </c>
      <c r="AB821" s="661">
        <f t="shared" si="1234"/>
        <v>58</v>
      </c>
      <c r="AC821" s="847">
        <f t="shared" si="1234"/>
        <v>58</v>
      </c>
      <c r="AD821" s="847">
        <f t="shared" si="1234"/>
        <v>58</v>
      </c>
      <c r="AE821" s="847">
        <f t="shared" si="1234"/>
        <v>58</v>
      </c>
      <c r="AF821" s="847">
        <f t="shared" si="1234"/>
        <v>58</v>
      </c>
      <c r="AG821" s="661">
        <f t="shared" si="1234"/>
        <v>58</v>
      </c>
      <c r="AH821" s="847">
        <f t="shared" si="1234"/>
        <v>58</v>
      </c>
      <c r="AI821" s="847">
        <f t="shared" si="1234"/>
        <v>58</v>
      </c>
      <c r="AJ821" s="847">
        <f t="shared" si="1234"/>
        <v>58</v>
      </c>
      <c r="AK821" s="847">
        <f t="shared" si="1234"/>
        <v>117</v>
      </c>
      <c r="AL821" s="661">
        <f t="shared" si="1234"/>
        <v>117</v>
      </c>
      <c r="AM821" s="847">
        <f t="shared" si="1234"/>
        <v>117</v>
      </c>
      <c r="AN821" s="847">
        <f t="shared" si="1234"/>
        <v>117</v>
      </c>
      <c r="AO821" s="847">
        <f t="shared" ref="AO821:BT821" si="1235">AO535+AO677</f>
        <v>117</v>
      </c>
      <c r="AP821" s="847">
        <f t="shared" si="1235"/>
        <v>117</v>
      </c>
      <c r="AQ821" s="661">
        <f t="shared" si="1235"/>
        <v>117</v>
      </c>
      <c r="AR821" s="847">
        <f t="shared" si="1235"/>
        <v>117</v>
      </c>
      <c r="AS821" s="847">
        <f t="shared" si="1235"/>
        <v>117</v>
      </c>
      <c r="AT821" s="847">
        <f t="shared" si="1235"/>
        <v>117</v>
      </c>
      <c r="AU821" s="847">
        <f t="shared" si="1235"/>
        <v>117</v>
      </c>
      <c r="AV821" s="661">
        <f t="shared" si="1235"/>
        <v>117</v>
      </c>
      <c r="AW821" s="847">
        <f t="shared" si="1235"/>
        <v>117</v>
      </c>
      <c r="AX821" s="847">
        <f t="shared" si="1235"/>
        <v>117</v>
      </c>
      <c r="AY821" s="847">
        <f t="shared" si="1235"/>
        <v>117</v>
      </c>
      <c r="AZ821" s="847">
        <f t="shared" si="1235"/>
        <v>117</v>
      </c>
      <c r="BA821" s="661">
        <f t="shared" si="1235"/>
        <v>117</v>
      </c>
      <c r="BB821" s="847">
        <f t="shared" si="1235"/>
        <v>117</v>
      </c>
      <c r="BC821" s="847">
        <f t="shared" si="1235"/>
        <v>117</v>
      </c>
      <c r="BD821" s="847">
        <f t="shared" si="1235"/>
        <v>117</v>
      </c>
      <c r="BE821" s="847">
        <f t="shared" si="1235"/>
        <v>117</v>
      </c>
      <c r="BF821" s="661">
        <f t="shared" si="1235"/>
        <v>117</v>
      </c>
      <c r="BG821" s="847">
        <f t="shared" si="1235"/>
        <v>117</v>
      </c>
      <c r="BH821" s="847">
        <f t="shared" si="1235"/>
        <v>117</v>
      </c>
      <c r="BI821" s="847">
        <f t="shared" si="1235"/>
        <v>117</v>
      </c>
      <c r="BJ821" s="847">
        <f t="shared" si="1235"/>
        <v>117</v>
      </c>
      <c r="BK821" s="661">
        <f t="shared" si="1235"/>
        <v>117</v>
      </c>
      <c r="BL821" s="847">
        <f t="shared" si="1235"/>
        <v>117</v>
      </c>
      <c r="BM821" s="847">
        <f t="shared" si="1235"/>
        <v>202</v>
      </c>
      <c r="BN821" s="847">
        <f t="shared" si="1235"/>
        <v>202</v>
      </c>
      <c r="BO821" s="847">
        <f t="shared" si="1235"/>
        <v>202</v>
      </c>
      <c r="BP821" s="194">
        <f t="shared" si="1235"/>
        <v>202</v>
      </c>
      <c r="BQ821" s="847">
        <f t="shared" si="1235"/>
        <v>202</v>
      </c>
      <c r="BR821" s="847">
        <f t="shared" si="1235"/>
        <v>202</v>
      </c>
      <c r="BS821" s="847">
        <f t="shared" si="1235"/>
        <v>202</v>
      </c>
      <c r="BT821" s="847">
        <f t="shared" si="1235"/>
        <v>202</v>
      </c>
      <c r="BU821" s="194">
        <f t="shared" ref="BU821:CG821" si="1236">BU535+BU677</f>
        <v>202</v>
      </c>
      <c r="BV821" s="847">
        <f t="shared" si="1236"/>
        <v>202</v>
      </c>
      <c r="BW821" s="847">
        <f t="shared" si="1236"/>
        <v>202</v>
      </c>
      <c r="BX821" s="847">
        <f t="shared" si="1236"/>
        <v>202</v>
      </c>
      <c r="BY821" s="847">
        <f t="shared" si="1236"/>
        <v>202</v>
      </c>
      <c r="BZ821" s="194">
        <f t="shared" si="1236"/>
        <v>202</v>
      </c>
      <c r="CA821" s="847">
        <f t="shared" si="1236"/>
        <v>202</v>
      </c>
      <c r="CB821" s="847">
        <f t="shared" si="1236"/>
        <v>202</v>
      </c>
      <c r="CC821" s="847">
        <f t="shared" si="1236"/>
        <v>202</v>
      </c>
      <c r="CD821" s="847">
        <f t="shared" si="1236"/>
        <v>202</v>
      </c>
      <c r="CE821" s="194">
        <f t="shared" si="1236"/>
        <v>202</v>
      </c>
      <c r="CF821" s="847">
        <f t="shared" si="1236"/>
        <v>202</v>
      </c>
      <c r="CG821" s="847">
        <f t="shared" si="1236"/>
        <v>202</v>
      </c>
      <c r="CH821" s="847">
        <f t="shared" ref="CH821:CV821" si="1237">CH535+CH677</f>
        <v>202</v>
      </c>
      <c r="CI821" s="847">
        <f t="shared" si="1237"/>
        <v>202</v>
      </c>
      <c r="CJ821" s="236">
        <f t="shared" si="1237"/>
        <v>202</v>
      </c>
      <c r="CK821" s="2350">
        <f t="shared" si="1217"/>
        <v>202</v>
      </c>
      <c r="CL821" s="847">
        <f t="shared" si="1237"/>
        <v>202</v>
      </c>
      <c r="CM821" s="847">
        <f t="shared" si="1237"/>
        <v>322</v>
      </c>
      <c r="CN821" s="847">
        <f t="shared" si="1237"/>
        <v>442</v>
      </c>
      <c r="CO821" s="236">
        <f t="shared" si="1237"/>
        <v>442</v>
      </c>
      <c r="CP821" s="973">
        <f t="shared" si="1212"/>
        <v>214.65000000000003</v>
      </c>
      <c r="CQ821" s="847">
        <f t="shared" si="1212"/>
        <v>215.82000000000002</v>
      </c>
      <c r="CR821" s="847">
        <f t="shared" si="1212"/>
        <v>343.87</v>
      </c>
      <c r="CS821" s="1431">
        <f t="shared" si="1212"/>
        <v>471.07000000000005</v>
      </c>
      <c r="CT821" s="236">
        <f t="shared" si="1212"/>
        <v>471.07000000000005</v>
      </c>
      <c r="CU821" s="194">
        <f t="shared" si="1237"/>
        <v>498.83184999999997</v>
      </c>
      <c r="CV821" s="194">
        <f t="shared" si="1237"/>
        <v>510.80046199999998</v>
      </c>
      <c r="CW821" s="374"/>
      <c r="CX821" s="374"/>
      <c r="CY821" s="374"/>
      <c r="CZ821" s="374"/>
      <c r="DA821" s="374"/>
      <c r="DB821" s="217"/>
    </row>
    <row r="822" spans="1:256" x14ac:dyDescent="0.2">
      <c r="A822" s="1264" t="s">
        <v>383</v>
      </c>
      <c r="B822" s="651"/>
      <c r="C822" s="236"/>
      <c r="D822" s="207"/>
      <c r="E822" s="207"/>
      <c r="F822" s="207"/>
      <c r="G822" s="234"/>
      <c r="H822" s="661"/>
      <c r="I822" s="847">
        <f t="shared" ref="I822:AN822" si="1238">I536+I678</f>
        <v>0</v>
      </c>
      <c r="J822" s="847">
        <f t="shared" si="1238"/>
        <v>0</v>
      </c>
      <c r="K822" s="847">
        <f t="shared" si="1238"/>
        <v>0</v>
      </c>
      <c r="L822" s="847">
        <f t="shared" si="1238"/>
        <v>0</v>
      </c>
      <c r="M822" s="661">
        <f t="shared" si="1238"/>
        <v>0</v>
      </c>
      <c r="N822" s="847">
        <f t="shared" si="1238"/>
        <v>0</v>
      </c>
      <c r="O822" s="847">
        <f t="shared" si="1238"/>
        <v>0</v>
      </c>
      <c r="P822" s="847">
        <f t="shared" si="1238"/>
        <v>0</v>
      </c>
      <c r="Q822" s="847">
        <f t="shared" si="1238"/>
        <v>0</v>
      </c>
      <c r="R822" s="661">
        <f t="shared" si="1238"/>
        <v>0</v>
      </c>
      <c r="S822" s="847">
        <f t="shared" si="1238"/>
        <v>0</v>
      </c>
      <c r="T822" s="847">
        <f t="shared" si="1238"/>
        <v>0</v>
      </c>
      <c r="U822" s="847">
        <f t="shared" si="1238"/>
        <v>0</v>
      </c>
      <c r="V822" s="847">
        <f t="shared" si="1238"/>
        <v>0</v>
      </c>
      <c r="W822" s="661">
        <f t="shared" si="1238"/>
        <v>0</v>
      </c>
      <c r="X822" s="847">
        <f t="shared" si="1238"/>
        <v>0</v>
      </c>
      <c r="Y822" s="847">
        <f t="shared" si="1238"/>
        <v>0</v>
      </c>
      <c r="Z822" s="847">
        <f t="shared" si="1238"/>
        <v>0</v>
      </c>
      <c r="AA822" s="847">
        <f t="shared" si="1238"/>
        <v>0</v>
      </c>
      <c r="AB822" s="661">
        <f t="shared" si="1238"/>
        <v>0</v>
      </c>
      <c r="AC822" s="847">
        <f t="shared" si="1238"/>
        <v>0</v>
      </c>
      <c r="AD822" s="847">
        <f t="shared" si="1238"/>
        <v>0</v>
      </c>
      <c r="AE822" s="847">
        <f t="shared" si="1238"/>
        <v>0</v>
      </c>
      <c r="AF822" s="847">
        <f t="shared" si="1238"/>
        <v>0</v>
      </c>
      <c r="AG822" s="661">
        <f t="shared" si="1238"/>
        <v>0</v>
      </c>
      <c r="AH822" s="847">
        <f t="shared" si="1238"/>
        <v>0</v>
      </c>
      <c r="AI822" s="847">
        <f t="shared" si="1238"/>
        <v>0</v>
      </c>
      <c r="AJ822" s="847">
        <f t="shared" si="1238"/>
        <v>0</v>
      </c>
      <c r="AK822" s="847">
        <f t="shared" si="1238"/>
        <v>0</v>
      </c>
      <c r="AL822" s="661">
        <f t="shared" si="1238"/>
        <v>0</v>
      </c>
      <c r="AM822" s="847">
        <f t="shared" si="1238"/>
        <v>0</v>
      </c>
      <c r="AN822" s="847">
        <f t="shared" si="1238"/>
        <v>0</v>
      </c>
      <c r="AO822" s="847">
        <f t="shared" ref="AO822:BT822" si="1239">AO536+AO678</f>
        <v>0</v>
      </c>
      <c r="AP822" s="847">
        <f t="shared" si="1239"/>
        <v>0</v>
      </c>
      <c r="AQ822" s="661">
        <f t="shared" si="1239"/>
        <v>0</v>
      </c>
      <c r="AR822" s="847">
        <f t="shared" si="1239"/>
        <v>0</v>
      </c>
      <c r="AS822" s="847">
        <f t="shared" si="1239"/>
        <v>0</v>
      </c>
      <c r="AT822" s="847">
        <f t="shared" si="1239"/>
        <v>0</v>
      </c>
      <c r="AU822" s="847">
        <f t="shared" si="1239"/>
        <v>0</v>
      </c>
      <c r="AV822" s="661">
        <f t="shared" si="1239"/>
        <v>0</v>
      </c>
      <c r="AW822" s="847">
        <f t="shared" si="1239"/>
        <v>0</v>
      </c>
      <c r="AX822" s="847">
        <f t="shared" si="1239"/>
        <v>0</v>
      </c>
      <c r="AY822" s="847">
        <f t="shared" si="1239"/>
        <v>0</v>
      </c>
      <c r="AZ822" s="847">
        <f t="shared" si="1239"/>
        <v>0</v>
      </c>
      <c r="BA822" s="661">
        <f t="shared" si="1239"/>
        <v>0</v>
      </c>
      <c r="BB822" s="847">
        <f t="shared" si="1239"/>
        <v>0</v>
      </c>
      <c r="BC822" s="847">
        <f t="shared" si="1239"/>
        <v>0</v>
      </c>
      <c r="BD822" s="847">
        <f t="shared" si="1239"/>
        <v>0</v>
      </c>
      <c r="BE822" s="847">
        <f t="shared" si="1239"/>
        <v>353</v>
      </c>
      <c r="BF822" s="661">
        <f t="shared" si="1239"/>
        <v>353</v>
      </c>
      <c r="BG822" s="847">
        <f t="shared" si="1239"/>
        <v>431</v>
      </c>
      <c r="BH822" s="847">
        <f t="shared" si="1239"/>
        <v>431</v>
      </c>
      <c r="BI822" s="847">
        <f t="shared" si="1239"/>
        <v>78</v>
      </c>
      <c r="BJ822" s="847">
        <f t="shared" si="1239"/>
        <v>78</v>
      </c>
      <c r="BK822" s="661">
        <f t="shared" si="1239"/>
        <v>78</v>
      </c>
      <c r="BL822" s="847">
        <f t="shared" si="1239"/>
        <v>78</v>
      </c>
      <c r="BM822" s="847">
        <f t="shared" si="1239"/>
        <v>78</v>
      </c>
      <c r="BN822" s="847">
        <f t="shared" si="1239"/>
        <v>78</v>
      </c>
      <c r="BO822" s="847">
        <f t="shared" si="1239"/>
        <v>78</v>
      </c>
      <c r="BP822" s="194">
        <f t="shared" si="1239"/>
        <v>78</v>
      </c>
      <c r="BQ822" s="847">
        <f t="shared" si="1239"/>
        <v>78</v>
      </c>
      <c r="BR822" s="847">
        <f t="shared" si="1239"/>
        <v>78</v>
      </c>
      <c r="BS822" s="847">
        <f t="shared" si="1239"/>
        <v>251</v>
      </c>
      <c r="BT822" s="847">
        <f t="shared" si="1239"/>
        <v>251</v>
      </c>
      <c r="BU822" s="194">
        <f t="shared" ref="BU822:CG822" si="1240">BU536+BU678</f>
        <v>251</v>
      </c>
      <c r="BV822" s="847">
        <f t="shared" si="1240"/>
        <v>251</v>
      </c>
      <c r="BW822" s="847">
        <f t="shared" si="1240"/>
        <v>251</v>
      </c>
      <c r="BX822" s="847">
        <f t="shared" si="1240"/>
        <v>251</v>
      </c>
      <c r="BY822" s="847">
        <f t="shared" si="1240"/>
        <v>546</v>
      </c>
      <c r="BZ822" s="194">
        <f t="shared" si="1240"/>
        <v>546</v>
      </c>
      <c r="CA822" s="847">
        <f t="shared" si="1240"/>
        <v>546</v>
      </c>
      <c r="CB822" s="847">
        <f t="shared" si="1240"/>
        <v>819</v>
      </c>
      <c r="CC822" s="847">
        <f t="shared" si="1240"/>
        <v>819</v>
      </c>
      <c r="CD822" s="847">
        <f t="shared" si="1240"/>
        <v>819</v>
      </c>
      <c r="CE822" s="194">
        <f t="shared" si="1240"/>
        <v>819</v>
      </c>
      <c r="CF822" s="847">
        <f t="shared" si="1240"/>
        <v>819</v>
      </c>
      <c r="CG822" s="847">
        <f t="shared" si="1240"/>
        <v>818</v>
      </c>
      <c r="CH822" s="847">
        <f t="shared" ref="CH822:CV822" si="1241">CH536+CH678</f>
        <v>740</v>
      </c>
      <c r="CI822" s="847">
        <f t="shared" si="1241"/>
        <v>1266</v>
      </c>
      <c r="CJ822" s="236">
        <f t="shared" si="1241"/>
        <v>1266</v>
      </c>
      <c r="CK822" s="2350">
        <f t="shared" si="1217"/>
        <v>1266</v>
      </c>
      <c r="CL822" s="847">
        <f t="shared" ca="1" si="1241"/>
        <v>1266</v>
      </c>
      <c r="CM822" s="847">
        <f t="shared" ca="1" si="1241"/>
        <v>1266</v>
      </c>
      <c r="CN822" s="847">
        <f t="shared" ca="1" si="1241"/>
        <v>1266</v>
      </c>
      <c r="CO822" s="236">
        <f t="shared" ca="1" si="1241"/>
        <v>1266</v>
      </c>
      <c r="CP822" s="973">
        <f t="shared" si="1212"/>
        <v>1340.64</v>
      </c>
      <c r="CQ822" s="847">
        <f t="shared" ca="1" si="1212"/>
        <v>1347.63</v>
      </c>
      <c r="CR822" s="847">
        <f t="shared" ca="1" si="1212"/>
        <v>1347.63</v>
      </c>
      <c r="CS822" s="1431">
        <f t="shared" ca="1" si="1212"/>
        <v>1347.63</v>
      </c>
      <c r="CT822" s="236">
        <f t="shared" ca="1" si="1212"/>
        <v>1347.63</v>
      </c>
      <c r="CU822" s="194">
        <f t="shared" ca="1" si="1241"/>
        <v>1400.5155</v>
      </c>
      <c r="CV822" s="194">
        <f t="shared" ca="1" si="1241"/>
        <v>1416.1493340000002</v>
      </c>
      <c r="CW822" s="374"/>
      <c r="CX822" s="374"/>
      <c r="CY822" s="374"/>
      <c r="CZ822" s="374"/>
      <c r="DA822" s="374"/>
      <c r="DB822" s="217"/>
    </row>
    <row r="823" spans="1:256" x14ac:dyDescent="0.2">
      <c r="A823" s="1264" t="s">
        <v>656</v>
      </c>
      <c r="B823" s="651"/>
      <c r="C823" s="236"/>
      <c r="D823" s="207"/>
      <c r="E823" s="207"/>
      <c r="F823" s="207"/>
      <c r="G823" s="234"/>
      <c r="H823" s="661"/>
      <c r="I823" s="847">
        <f t="shared" ref="I823:AN823" si="1242">I537+I679</f>
        <v>0</v>
      </c>
      <c r="J823" s="847">
        <f t="shared" si="1242"/>
        <v>0</v>
      </c>
      <c r="K823" s="847">
        <f t="shared" si="1242"/>
        <v>0</v>
      </c>
      <c r="L823" s="847">
        <f t="shared" si="1242"/>
        <v>0</v>
      </c>
      <c r="M823" s="661">
        <f t="shared" si="1242"/>
        <v>0</v>
      </c>
      <c r="N823" s="847">
        <f t="shared" si="1242"/>
        <v>0</v>
      </c>
      <c r="O823" s="847">
        <f t="shared" si="1242"/>
        <v>0</v>
      </c>
      <c r="P823" s="847">
        <f t="shared" si="1242"/>
        <v>0</v>
      </c>
      <c r="Q823" s="847">
        <f t="shared" si="1242"/>
        <v>0</v>
      </c>
      <c r="R823" s="661">
        <f t="shared" si="1242"/>
        <v>0</v>
      </c>
      <c r="S823" s="847">
        <f t="shared" si="1242"/>
        <v>0</v>
      </c>
      <c r="T823" s="847">
        <f t="shared" si="1242"/>
        <v>0</v>
      </c>
      <c r="U823" s="847">
        <f t="shared" si="1242"/>
        <v>0</v>
      </c>
      <c r="V823" s="847">
        <f t="shared" si="1242"/>
        <v>0</v>
      </c>
      <c r="W823" s="661">
        <f t="shared" si="1242"/>
        <v>0</v>
      </c>
      <c r="X823" s="847">
        <f t="shared" si="1242"/>
        <v>0</v>
      </c>
      <c r="Y823" s="847">
        <f t="shared" si="1242"/>
        <v>0</v>
      </c>
      <c r="Z823" s="847">
        <f t="shared" si="1242"/>
        <v>0</v>
      </c>
      <c r="AA823" s="847">
        <f t="shared" si="1242"/>
        <v>0</v>
      </c>
      <c r="AB823" s="661">
        <f t="shared" si="1242"/>
        <v>0</v>
      </c>
      <c r="AC823" s="847">
        <f t="shared" si="1242"/>
        <v>0</v>
      </c>
      <c r="AD823" s="847">
        <f t="shared" si="1242"/>
        <v>0</v>
      </c>
      <c r="AE823" s="847">
        <f t="shared" si="1242"/>
        <v>0</v>
      </c>
      <c r="AF823" s="847">
        <f t="shared" si="1242"/>
        <v>0</v>
      </c>
      <c r="AG823" s="661">
        <f t="shared" si="1242"/>
        <v>0</v>
      </c>
      <c r="AH823" s="847">
        <f t="shared" si="1242"/>
        <v>0</v>
      </c>
      <c r="AI823" s="847">
        <f t="shared" si="1242"/>
        <v>0</v>
      </c>
      <c r="AJ823" s="847">
        <f t="shared" si="1242"/>
        <v>0</v>
      </c>
      <c r="AK823" s="847">
        <f t="shared" si="1242"/>
        <v>0</v>
      </c>
      <c r="AL823" s="661">
        <f t="shared" si="1242"/>
        <v>0</v>
      </c>
      <c r="AM823" s="847">
        <f t="shared" si="1242"/>
        <v>0</v>
      </c>
      <c r="AN823" s="847">
        <f t="shared" si="1242"/>
        <v>0</v>
      </c>
      <c r="AO823" s="847">
        <f t="shared" ref="AO823:BT823" si="1243">AO537+AO679</f>
        <v>0</v>
      </c>
      <c r="AP823" s="847">
        <f t="shared" si="1243"/>
        <v>0</v>
      </c>
      <c r="AQ823" s="661">
        <f t="shared" si="1243"/>
        <v>0</v>
      </c>
      <c r="AR823" s="847">
        <f t="shared" si="1243"/>
        <v>0</v>
      </c>
      <c r="AS823" s="847">
        <f t="shared" si="1243"/>
        <v>0</v>
      </c>
      <c r="AT823" s="847">
        <f t="shared" si="1243"/>
        <v>0</v>
      </c>
      <c r="AU823" s="847">
        <f t="shared" si="1243"/>
        <v>0</v>
      </c>
      <c r="AV823" s="661">
        <f t="shared" si="1243"/>
        <v>0</v>
      </c>
      <c r="AW823" s="847">
        <f t="shared" si="1243"/>
        <v>0</v>
      </c>
      <c r="AX823" s="847">
        <f t="shared" si="1243"/>
        <v>0</v>
      </c>
      <c r="AY823" s="847">
        <f t="shared" si="1243"/>
        <v>0</v>
      </c>
      <c r="AZ823" s="847">
        <f t="shared" si="1243"/>
        <v>0</v>
      </c>
      <c r="BA823" s="661">
        <f t="shared" si="1243"/>
        <v>0</v>
      </c>
      <c r="BB823" s="847">
        <f t="shared" si="1243"/>
        <v>0</v>
      </c>
      <c r="BC823" s="847">
        <f t="shared" si="1243"/>
        <v>0</v>
      </c>
      <c r="BD823" s="847">
        <f t="shared" si="1243"/>
        <v>0</v>
      </c>
      <c r="BE823" s="847">
        <f t="shared" si="1243"/>
        <v>0</v>
      </c>
      <c r="BF823" s="661">
        <f t="shared" si="1243"/>
        <v>0</v>
      </c>
      <c r="BG823" s="847">
        <f t="shared" si="1243"/>
        <v>0</v>
      </c>
      <c r="BH823" s="847">
        <f t="shared" si="1243"/>
        <v>0</v>
      </c>
      <c r="BI823" s="847">
        <f t="shared" si="1243"/>
        <v>0</v>
      </c>
      <c r="BJ823" s="847">
        <f t="shared" si="1243"/>
        <v>0</v>
      </c>
      <c r="BK823" s="661">
        <f t="shared" si="1243"/>
        <v>0</v>
      </c>
      <c r="BL823" s="847">
        <f t="shared" si="1243"/>
        <v>0</v>
      </c>
      <c r="BM823" s="847">
        <f t="shared" si="1243"/>
        <v>0</v>
      </c>
      <c r="BN823" s="847">
        <f t="shared" si="1243"/>
        <v>0</v>
      </c>
      <c r="BO823" s="847">
        <f t="shared" si="1243"/>
        <v>0</v>
      </c>
      <c r="BP823" s="194">
        <f t="shared" si="1243"/>
        <v>0</v>
      </c>
      <c r="BQ823" s="847">
        <f t="shared" si="1243"/>
        <v>0</v>
      </c>
      <c r="BR823" s="847">
        <f t="shared" si="1243"/>
        <v>0</v>
      </c>
      <c r="BS823" s="847">
        <f t="shared" si="1243"/>
        <v>0</v>
      </c>
      <c r="BT823" s="847">
        <f t="shared" si="1243"/>
        <v>0</v>
      </c>
      <c r="BU823" s="661">
        <f t="shared" ref="BU823:CG823" si="1244">BU537+BU679</f>
        <v>0</v>
      </c>
      <c r="BV823" s="847">
        <f t="shared" si="1244"/>
        <v>0</v>
      </c>
      <c r="BW823" s="847">
        <f t="shared" si="1244"/>
        <v>0</v>
      </c>
      <c r="BX823" s="847">
        <f t="shared" si="1244"/>
        <v>0</v>
      </c>
      <c r="BY823" s="847">
        <f t="shared" si="1244"/>
        <v>0</v>
      </c>
      <c r="BZ823" s="194">
        <f t="shared" si="1244"/>
        <v>0</v>
      </c>
      <c r="CA823" s="847">
        <f t="shared" si="1244"/>
        <v>0</v>
      </c>
      <c r="CB823" s="847">
        <f t="shared" si="1244"/>
        <v>0</v>
      </c>
      <c r="CC823" s="847">
        <f t="shared" si="1244"/>
        <v>0</v>
      </c>
      <c r="CD823" s="847">
        <f t="shared" si="1244"/>
        <v>0</v>
      </c>
      <c r="CE823" s="194">
        <f t="shared" si="1244"/>
        <v>0</v>
      </c>
      <c r="CF823" s="847">
        <f t="shared" si="1244"/>
        <v>0</v>
      </c>
      <c r="CG823" s="847">
        <f t="shared" si="1244"/>
        <v>0</v>
      </c>
      <c r="CH823" s="847">
        <f t="shared" ref="CH823:CV823" si="1245">CH537+CH679</f>
        <v>0</v>
      </c>
      <c r="CI823" s="847">
        <f t="shared" si="1245"/>
        <v>0</v>
      </c>
      <c r="CJ823" s="236">
        <f t="shared" si="1245"/>
        <v>0</v>
      </c>
      <c r="CK823" s="2350">
        <f t="shared" si="1217"/>
        <v>0</v>
      </c>
      <c r="CL823" s="847">
        <f t="shared" ca="1" si="1245"/>
        <v>0</v>
      </c>
      <c r="CM823" s="847">
        <f t="shared" ca="1" si="1245"/>
        <v>0</v>
      </c>
      <c r="CN823" s="847">
        <f t="shared" ca="1" si="1245"/>
        <v>0</v>
      </c>
      <c r="CO823" s="236">
        <f t="shared" ca="1" si="1245"/>
        <v>0</v>
      </c>
      <c r="CP823" s="973">
        <f t="shared" si="1212"/>
        <v>0</v>
      </c>
      <c r="CQ823" s="847">
        <f t="shared" ca="1" si="1212"/>
        <v>0</v>
      </c>
      <c r="CR823" s="847">
        <f t="shared" ca="1" si="1212"/>
        <v>0</v>
      </c>
      <c r="CS823" s="1431">
        <f t="shared" ca="1" si="1212"/>
        <v>0</v>
      </c>
      <c r="CT823" s="236">
        <f t="shared" ca="1" si="1212"/>
        <v>0</v>
      </c>
      <c r="CU823" s="194">
        <f t="shared" ca="1" si="1245"/>
        <v>0</v>
      </c>
      <c r="CV823" s="194">
        <f t="shared" ca="1" si="1245"/>
        <v>0</v>
      </c>
      <c r="CW823" s="374"/>
      <c r="CX823" s="374"/>
      <c r="CY823" s="374"/>
      <c r="CZ823" s="374"/>
      <c r="DA823" s="374"/>
      <c r="DB823" s="217"/>
    </row>
    <row r="824" spans="1:256" x14ac:dyDescent="0.2">
      <c r="A824" s="1264" t="s">
        <v>1386</v>
      </c>
      <c r="B824" s="651"/>
      <c r="C824" s="236"/>
      <c r="D824" s="207"/>
      <c r="E824" s="207"/>
      <c r="F824" s="207"/>
      <c r="G824" s="234"/>
      <c r="H824" s="661"/>
      <c r="I824" s="847">
        <f t="shared" ref="I824:AN824" si="1246">I538+I680</f>
        <v>75049</v>
      </c>
      <c r="J824" s="847">
        <f t="shared" si="1246"/>
        <v>76088</v>
      </c>
      <c r="K824" s="847">
        <f t="shared" si="1246"/>
        <v>76881</v>
      </c>
      <c r="L824" s="847">
        <f t="shared" si="1246"/>
        <v>78785</v>
      </c>
      <c r="M824" s="661">
        <f t="shared" si="1246"/>
        <v>78785</v>
      </c>
      <c r="N824" s="847">
        <f t="shared" si="1246"/>
        <v>80537</v>
      </c>
      <c r="O824" s="847">
        <f t="shared" si="1246"/>
        <v>81627</v>
      </c>
      <c r="P824" s="847">
        <f t="shared" si="1246"/>
        <v>82902</v>
      </c>
      <c r="Q824" s="847">
        <f t="shared" si="1246"/>
        <v>84356</v>
      </c>
      <c r="R824" s="661">
        <f t="shared" si="1246"/>
        <v>84356</v>
      </c>
      <c r="S824" s="847">
        <f t="shared" si="1246"/>
        <v>85352</v>
      </c>
      <c r="T824" s="847">
        <f t="shared" si="1246"/>
        <v>85964</v>
      </c>
      <c r="U824" s="847">
        <f t="shared" si="1246"/>
        <v>87041</v>
      </c>
      <c r="V824" s="847">
        <f t="shared" si="1246"/>
        <v>88214</v>
      </c>
      <c r="W824" s="661">
        <f t="shared" si="1246"/>
        <v>88214</v>
      </c>
      <c r="X824" s="847">
        <f t="shared" si="1246"/>
        <v>90527</v>
      </c>
      <c r="Y824" s="847">
        <f t="shared" si="1246"/>
        <v>91444</v>
      </c>
      <c r="Z824" s="847">
        <f t="shared" si="1246"/>
        <v>92662</v>
      </c>
      <c r="AA824" s="847">
        <f t="shared" si="1246"/>
        <v>94003</v>
      </c>
      <c r="AB824" s="661">
        <f t="shared" si="1246"/>
        <v>94003</v>
      </c>
      <c r="AC824" s="847">
        <f t="shared" si="1246"/>
        <v>95429</v>
      </c>
      <c r="AD824" s="847">
        <f t="shared" si="1246"/>
        <v>96239</v>
      </c>
      <c r="AE824" s="847">
        <f t="shared" si="1246"/>
        <v>98043</v>
      </c>
      <c r="AF824" s="847">
        <f t="shared" si="1246"/>
        <v>99669</v>
      </c>
      <c r="AG824" s="661">
        <f t="shared" si="1246"/>
        <v>99669</v>
      </c>
      <c r="AH824" s="847">
        <f t="shared" si="1246"/>
        <v>100841</v>
      </c>
      <c r="AI824" s="847">
        <f t="shared" si="1246"/>
        <v>102402</v>
      </c>
      <c r="AJ824" s="847">
        <f t="shared" si="1246"/>
        <v>104082</v>
      </c>
      <c r="AK824" s="847">
        <f t="shared" si="1246"/>
        <v>105526</v>
      </c>
      <c r="AL824" s="661">
        <f t="shared" si="1246"/>
        <v>105526</v>
      </c>
      <c r="AM824" s="847">
        <f t="shared" si="1246"/>
        <v>106367</v>
      </c>
      <c r="AN824" s="847">
        <f t="shared" si="1246"/>
        <v>106948</v>
      </c>
      <c r="AO824" s="847">
        <f t="shared" ref="AO824:BT824" si="1247">AO538+AO680</f>
        <v>108435</v>
      </c>
      <c r="AP824" s="847">
        <f t="shared" si="1247"/>
        <v>110780</v>
      </c>
      <c r="AQ824" s="661">
        <f t="shared" si="1247"/>
        <v>110780</v>
      </c>
      <c r="AR824" s="847">
        <f t="shared" si="1247"/>
        <v>110968</v>
      </c>
      <c r="AS824" s="847">
        <f t="shared" si="1247"/>
        <v>113477</v>
      </c>
      <c r="AT824" s="847">
        <f t="shared" si="1247"/>
        <v>114384</v>
      </c>
      <c r="AU824" s="847">
        <f t="shared" si="1247"/>
        <v>116854</v>
      </c>
      <c r="AV824" s="661">
        <f t="shared" si="1247"/>
        <v>116854</v>
      </c>
      <c r="AW824" s="847">
        <f t="shared" si="1247"/>
        <v>119264</v>
      </c>
      <c r="AX824" s="847">
        <f t="shared" si="1247"/>
        <v>121767</v>
      </c>
      <c r="AY824" s="847">
        <f t="shared" si="1247"/>
        <v>124089</v>
      </c>
      <c r="AZ824" s="847">
        <f t="shared" si="1247"/>
        <v>125206</v>
      </c>
      <c r="BA824" s="661">
        <f t="shared" si="1247"/>
        <v>125206</v>
      </c>
      <c r="BB824" s="847">
        <f t="shared" si="1247"/>
        <v>127043</v>
      </c>
      <c r="BC824" s="847">
        <f t="shared" si="1247"/>
        <v>128580</v>
      </c>
      <c r="BD824" s="847">
        <f t="shared" si="1247"/>
        <v>129632</v>
      </c>
      <c r="BE824" s="847">
        <f t="shared" si="1247"/>
        <v>131069</v>
      </c>
      <c r="BF824" s="661">
        <f t="shared" si="1247"/>
        <v>131069</v>
      </c>
      <c r="BG824" s="847">
        <f t="shared" si="1247"/>
        <v>132299</v>
      </c>
      <c r="BH824" s="847">
        <f t="shared" si="1247"/>
        <v>132758</v>
      </c>
      <c r="BI824" s="847">
        <f t="shared" si="1247"/>
        <v>133074</v>
      </c>
      <c r="BJ824" s="847">
        <f t="shared" si="1247"/>
        <v>134719</v>
      </c>
      <c r="BK824" s="661">
        <f t="shared" si="1247"/>
        <v>134719</v>
      </c>
      <c r="BL824" s="847">
        <f t="shared" si="1247"/>
        <v>135469</v>
      </c>
      <c r="BM824" s="847">
        <f t="shared" si="1247"/>
        <v>134934</v>
      </c>
      <c r="BN824" s="847">
        <f t="shared" si="1247"/>
        <v>135491</v>
      </c>
      <c r="BO824" s="847">
        <f t="shared" si="1247"/>
        <v>136553</v>
      </c>
      <c r="BP824" s="194">
        <f t="shared" si="1247"/>
        <v>136553</v>
      </c>
      <c r="BQ824" s="847">
        <f t="shared" si="1247"/>
        <v>137339</v>
      </c>
      <c r="BR824" s="847">
        <f t="shared" si="1247"/>
        <v>137852</v>
      </c>
      <c r="BS824" s="847">
        <f t="shared" si="1247"/>
        <v>139276</v>
      </c>
      <c r="BT824" s="847">
        <f t="shared" si="1247"/>
        <v>140549</v>
      </c>
      <c r="BU824" s="194">
        <f t="shared" ref="BU824:CG824" si="1248">BU538+BU680</f>
        <v>140549</v>
      </c>
      <c r="BV824" s="847">
        <f t="shared" si="1248"/>
        <v>141316</v>
      </c>
      <c r="BW824" s="847">
        <f t="shared" si="1248"/>
        <v>143112</v>
      </c>
      <c r="BX824" s="847">
        <f t="shared" si="1248"/>
        <v>144825</v>
      </c>
      <c r="BY824" s="847">
        <f t="shared" si="1248"/>
        <v>145800</v>
      </c>
      <c r="BZ824" s="194">
        <f t="shared" si="1248"/>
        <v>145800</v>
      </c>
      <c r="CA824" s="847">
        <f t="shared" si="1248"/>
        <v>146847</v>
      </c>
      <c r="CB824" s="847">
        <f t="shared" si="1248"/>
        <v>147783</v>
      </c>
      <c r="CC824" s="847">
        <f t="shared" si="1248"/>
        <v>150621</v>
      </c>
      <c r="CD824" s="847">
        <f t="shared" si="1248"/>
        <v>153417</v>
      </c>
      <c r="CE824" s="194">
        <f t="shared" si="1248"/>
        <v>153417</v>
      </c>
      <c r="CF824" s="847">
        <f t="shared" si="1248"/>
        <v>154814</v>
      </c>
      <c r="CG824" s="847">
        <f t="shared" si="1248"/>
        <v>157400</v>
      </c>
      <c r="CH824" s="847">
        <f t="shared" ref="CH824:CV824" si="1249">CH538+CH680</f>
        <v>160370</v>
      </c>
      <c r="CI824" s="847">
        <f t="shared" si="1249"/>
        <v>163055</v>
      </c>
      <c r="CJ824" s="236">
        <f t="shared" si="1249"/>
        <v>163055</v>
      </c>
      <c r="CK824" s="2350">
        <f t="shared" si="1217"/>
        <v>164646</v>
      </c>
      <c r="CL824" s="847">
        <f t="shared" si="1249"/>
        <v>165373</v>
      </c>
      <c r="CM824" s="847">
        <f t="shared" si="1249"/>
        <v>166706</v>
      </c>
      <c r="CN824" s="847">
        <f t="shared" si="1249"/>
        <v>169406</v>
      </c>
      <c r="CO824" s="236">
        <f t="shared" si="1249"/>
        <v>169406</v>
      </c>
      <c r="CP824" s="973">
        <f t="shared" si="1212"/>
        <v>174592.41000000003</v>
      </c>
      <c r="CQ824" s="847">
        <f t="shared" si="1212"/>
        <v>175553.48</v>
      </c>
      <c r="CR824" s="847">
        <f t="shared" si="1212"/>
        <v>177116.5</v>
      </c>
      <c r="CS824" s="1431">
        <f t="shared" si="1212"/>
        <v>180123.77000000002</v>
      </c>
      <c r="CT824" s="236">
        <f t="shared" si="1212"/>
        <v>180123.77000000002</v>
      </c>
      <c r="CU824" s="194">
        <f t="shared" si="1249"/>
        <v>192205.34815000003</v>
      </c>
      <c r="CV824" s="194">
        <f t="shared" si="1249"/>
        <v>198522.66709800001</v>
      </c>
      <c r="CW824" s="374"/>
      <c r="CX824" s="374"/>
      <c r="CY824" s="374"/>
      <c r="CZ824" s="374"/>
      <c r="DA824" s="374"/>
      <c r="DB824" s="217"/>
    </row>
    <row r="825" spans="1:256" outlineLevel="1" x14ac:dyDescent="0.2">
      <c r="A825" s="1436" t="s">
        <v>47</v>
      </c>
      <c r="B825" s="651"/>
      <c r="C825" s="236"/>
      <c r="D825" s="234"/>
      <c r="E825" s="234"/>
      <c r="F825" s="234"/>
      <c r="G825" s="234"/>
      <c r="H825" s="848">
        <v>0</v>
      </c>
      <c r="I825" s="2399">
        <f t="shared" ref="I825:AN825" si="1250">I539+I681</f>
        <v>0</v>
      </c>
      <c r="J825" s="2349">
        <f t="shared" si="1250"/>
        <v>0</v>
      </c>
      <c r="K825" s="2349">
        <f t="shared" si="1250"/>
        <v>0</v>
      </c>
      <c r="L825" s="2349">
        <f t="shared" si="1250"/>
        <v>0</v>
      </c>
      <c r="M825" s="2293">
        <f t="shared" si="1250"/>
        <v>0</v>
      </c>
      <c r="N825" s="2399">
        <f t="shared" si="1250"/>
        <v>0</v>
      </c>
      <c r="O825" s="2349">
        <f t="shared" si="1250"/>
        <v>0</v>
      </c>
      <c r="P825" s="2349">
        <f t="shared" si="1250"/>
        <v>0</v>
      </c>
      <c r="Q825" s="2349">
        <f t="shared" si="1250"/>
        <v>0</v>
      </c>
      <c r="R825" s="2293">
        <f t="shared" si="1250"/>
        <v>0</v>
      </c>
      <c r="S825" s="2399">
        <f t="shared" si="1250"/>
        <v>0</v>
      </c>
      <c r="T825" s="2349">
        <f t="shared" si="1250"/>
        <v>0</v>
      </c>
      <c r="U825" s="2349">
        <f t="shared" si="1250"/>
        <v>0</v>
      </c>
      <c r="V825" s="2349">
        <f t="shared" si="1250"/>
        <v>0</v>
      </c>
      <c r="W825" s="2293">
        <f t="shared" si="1250"/>
        <v>0</v>
      </c>
      <c r="X825" s="2399">
        <f t="shared" si="1250"/>
        <v>0</v>
      </c>
      <c r="Y825" s="2349">
        <f t="shared" si="1250"/>
        <v>0</v>
      </c>
      <c r="Z825" s="2349">
        <f t="shared" si="1250"/>
        <v>0</v>
      </c>
      <c r="AA825" s="2349">
        <f t="shared" si="1250"/>
        <v>0</v>
      </c>
      <c r="AB825" s="2293">
        <f t="shared" si="1250"/>
        <v>0</v>
      </c>
      <c r="AC825" s="2399">
        <f t="shared" si="1250"/>
        <v>0</v>
      </c>
      <c r="AD825" s="2349">
        <f t="shared" si="1250"/>
        <v>0</v>
      </c>
      <c r="AE825" s="2349">
        <f t="shared" si="1250"/>
        <v>0</v>
      </c>
      <c r="AF825" s="2349">
        <f t="shared" si="1250"/>
        <v>0</v>
      </c>
      <c r="AG825" s="2293">
        <f t="shared" si="1250"/>
        <v>0</v>
      </c>
      <c r="AH825" s="2399">
        <f t="shared" si="1250"/>
        <v>0</v>
      </c>
      <c r="AI825" s="2349">
        <f t="shared" si="1250"/>
        <v>0</v>
      </c>
      <c r="AJ825" s="2349">
        <f t="shared" si="1250"/>
        <v>0</v>
      </c>
      <c r="AK825" s="2349">
        <f t="shared" si="1250"/>
        <v>0</v>
      </c>
      <c r="AL825" s="2293">
        <f t="shared" si="1250"/>
        <v>0</v>
      </c>
      <c r="AM825" s="2399">
        <f t="shared" si="1250"/>
        <v>0</v>
      </c>
      <c r="AN825" s="2349">
        <f t="shared" si="1250"/>
        <v>0</v>
      </c>
      <c r="AO825" s="2349">
        <f t="shared" ref="AO825:BT825" si="1251">AO539+AO681</f>
        <v>0</v>
      </c>
      <c r="AP825" s="2349">
        <f t="shared" si="1251"/>
        <v>0</v>
      </c>
      <c r="AQ825" s="2293">
        <f t="shared" si="1251"/>
        <v>0</v>
      </c>
      <c r="AR825" s="2399">
        <f t="shared" si="1251"/>
        <v>0</v>
      </c>
      <c r="AS825" s="2349">
        <f t="shared" si="1251"/>
        <v>0</v>
      </c>
      <c r="AT825" s="2349">
        <f t="shared" si="1251"/>
        <v>0</v>
      </c>
      <c r="AU825" s="2349">
        <f t="shared" si="1251"/>
        <v>0</v>
      </c>
      <c r="AV825" s="2293">
        <f t="shared" si="1251"/>
        <v>0</v>
      </c>
      <c r="AW825" s="2399">
        <f t="shared" si="1251"/>
        <v>0</v>
      </c>
      <c r="AX825" s="2349">
        <f t="shared" si="1251"/>
        <v>0</v>
      </c>
      <c r="AY825" s="2349">
        <f t="shared" si="1251"/>
        <v>0</v>
      </c>
      <c r="AZ825" s="2349">
        <f t="shared" si="1251"/>
        <v>0</v>
      </c>
      <c r="BA825" s="2293">
        <f t="shared" si="1251"/>
        <v>0</v>
      </c>
      <c r="BB825" s="2399">
        <f t="shared" si="1251"/>
        <v>0</v>
      </c>
      <c r="BC825" s="2349">
        <f t="shared" si="1251"/>
        <v>0</v>
      </c>
      <c r="BD825" s="2349">
        <f t="shared" si="1251"/>
        <v>0</v>
      </c>
      <c r="BE825" s="2349">
        <f t="shared" si="1251"/>
        <v>0</v>
      </c>
      <c r="BF825" s="2293">
        <f t="shared" si="1251"/>
        <v>0</v>
      </c>
      <c r="BG825" s="2399">
        <f t="shared" si="1251"/>
        <v>0</v>
      </c>
      <c r="BH825" s="2349">
        <f t="shared" si="1251"/>
        <v>0</v>
      </c>
      <c r="BI825" s="2349">
        <f t="shared" si="1251"/>
        <v>0</v>
      </c>
      <c r="BJ825" s="2349">
        <f t="shared" si="1251"/>
        <v>0</v>
      </c>
      <c r="BK825" s="2293">
        <f t="shared" si="1251"/>
        <v>0</v>
      </c>
      <c r="BL825" s="2399">
        <f t="shared" si="1251"/>
        <v>0</v>
      </c>
      <c r="BM825" s="2349">
        <f t="shared" si="1251"/>
        <v>0</v>
      </c>
      <c r="BN825" s="2349">
        <f t="shared" si="1251"/>
        <v>0</v>
      </c>
      <c r="BO825" s="2349">
        <f t="shared" si="1251"/>
        <v>0</v>
      </c>
      <c r="BP825" s="2293">
        <f t="shared" si="1251"/>
        <v>0</v>
      </c>
      <c r="BQ825" s="2399">
        <f t="shared" si="1251"/>
        <v>0</v>
      </c>
      <c r="BR825" s="2349">
        <f t="shared" si="1251"/>
        <v>0</v>
      </c>
      <c r="BS825" s="2349">
        <f t="shared" si="1251"/>
        <v>0</v>
      </c>
      <c r="BT825" s="2349">
        <f t="shared" si="1251"/>
        <v>0</v>
      </c>
      <c r="BU825" s="2293">
        <f t="shared" ref="BU825:CG825" si="1252">BU539+BU681</f>
        <v>0</v>
      </c>
      <c r="BV825" s="2399">
        <f t="shared" si="1252"/>
        <v>0</v>
      </c>
      <c r="BW825" s="2349">
        <f t="shared" si="1252"/>
        <v>9995</v>
      </c>
      <c r="BX825" s="2349">
        <f t="shared" si="1252"/>
        <v>10107</v>
      </c>
      <c r="BY825" s="2349">
        <f t="shared" si="1252"/>
        <v>10107</v>
      </c>
      <c r="BZ825" s="2293">
        <f t="shared" si="1252"/>
        <v>10107</v>
      </c>
      <c r="CA825" s="2399">
        <f t="shared" si="1252"/>
        <v>10350</v>
      </c>
      <c r="CB825" s="2349">
        <f t="shared" si="1252"/>
        <v>9864</v>
      </c>
      <c r="CC825" s="2349">
        <f t="shared" si="1252"/>
        <v>9612</v>
      </c>
      <c r="CD825" s="2349">
        <f t="shared" si="1252"/>
        <v>9609</v>
      </c>
      <c r="CE825" s="2293">
        <f t="shared" si="1252"/>
        <v>9609</v>
      </c>
      <c r="CF825" s="2349">
        <f t="shared" si="1252"/>
        <v>9380</v>
      </c>
      <c r="CG825" s="2349">
        <f t="shared" si="1252"/>
        <v>9284</v>
      </c>
      <c r="CH825" s="2349">
        <f t="shared" ref="CH825:CV825" si="1253">CH539+CH681</f>
        <v>9242</v>
      </c>
      <c r="CI825" s="2349">
        <f t="shared" si="1253"/>
        <v>9352</v>
      </c>
      <c r="CJ825" s="2293">
        <f t="shared" si="1253"/>
        <v>9352</v>
      </c>
      <c r="CK825" s="2350">
        <f t="shared" si="1217"/>
        <v>9143</v>
      </c>
      <c r="CL825" s="2349">
        <f t="shared" si="1253"/>
        <v>9072</v>
      </c>
      <c r="CM825" s="2349">
        <f t="shared" si="1253"/>
        <v>9023</v>
      </c>
      <c r="CN825" s="2349">
        <f t="shared" si="1253"/>
        <v>9033</v>
      </c>
      <c r="CO825" s="2293">
        <f t="shared" si="1253"/>
        <v>9033</v>
      </c>
      <c r="CP825" s="973">
        <f t="shared" si="1212"/>
        <v>9628.07</v>
      </c>
      <c r="CQ825" s="847">
        <f t="shared" si="1212"/>
        <v>9600.16</v>
      </c>
      <c r="CR825" s="847">
        <f t="shared" si="1212"/>
        <v>9579.77</v>
      </c>
      <c r="CS825" s="1431">
        <f t="shared" si="1212"/>
        <v>9590.6700000000019</v>
      </c>
      <c r="CT825" s="2293">
        <f t="shared" si="1212"/>
        <v>9590.6700000000019</v>
      </c>
      <c r="CU825" s="194">
        <f t="shared" si="1253"/>
        <v>10113.427250000001</v>
      </c>
      <c r="CV825" s="194">
        <f t="shared" si="1253"/>
        <v>10365.97335</v>
      </c>
      <c r="CW825" s="374"/>
      <c r="CX825" s="374"/>
      <c r="CY825" s="374"/>
      <c r="CZ825" s="374"/>
      <c r="DA825" s="374"/>
      <c r="DB825" s="217"/>
    </row>
    <row r="826" spans="1:256" x14ac:dyDescent="0.2">
      <c r="A826" s="1264" t="s">
        <v>1388</v>
      </c>
      <c r="B826" s="651"/>
      <c r="C826" s="236"/>
      <c r="D826" s="207"/>
      <c r="E826" s="207"/>
      <c r="F826" s="207"/>
      <c r="G826" s="234"/>
      <c r="H826" s="661"/>
      <c r="I826" s="847">
        <f t="shared" ref="I826:AN826" si="1254">I540+I682</f>
        <v>42306</v>
      </c>
      <c r="J826" s="847">
        <f t="shared" si="1254"/>
        <v>43783</v>
      </c>
      <c r="K826" s="847">
        <f t="shared" si="1254"/>
        <v>44592</v>
      </c>
      <c r="L826" s="847">
        <f t="shared" si="1254"/>
        <v>46063</v>
      </c>
      <c r="M826" s="661">
        <f t="shared" si="1254"/>
        <v>46063</v>
      </c>
      <c r="N826" s="847">
        <f t="shared" si="1254"/>
        <v>46698</v>
      </c>
      <c r="O826" s="847">
        <f t="shared" si="1254"/>
        <v>46932</v>
      </c>
      <c r="P826" s="847">
        <f t="shared" si="1254"/>
        <v>48530</v>
      </c>
      <c r="Q826" s="847">
        <f t="shared" si="1254"/>
        <v>50573</v>
      </c>
      <c r="R826" s="661">
        <f t="shared" si="1254"/>
        <v>50573</v>
      </c>
      <c r="S826" s="847">
        <f t="shared" si="1254"/>
        <v>51153</v>
      </c>
      <c r="T826" s="847">
        <f t="shared" si="1254"/>
        <v>51879</v>
      </c>
      <c r="U826" s="847">
        <f t="shared" si="1254"/>
        <v>52781</v>
      </c>
      <c r="V826" s="847">
        <f t="shared" si="1254"/>
        <v>53314</v>
      </c>
      <c r="W826" s="661">
        <f t="shared" si="1254"/>
        <v>53314</v>
      </c>
      <c r="X826" s="847">
        <f t="shared" si="1254"/>
        <v>53422</v>
      </c>
      <c r="Y826" s="847">
        <f t="shared" si="1254"/>
        <v>54019</v>
      </c>
      <c r="Z826" s="847">
        <f t="shared" si="1254"/>
        <v>54369</v>
      </c>
      <c r="AA826" s="847">
        <f t="shared" si="1254"/>
        <v>55059</v>
      </c>
      <c r="AB826" s="661">
        <f t="shared" si="1254"/>
        <v>55059</v>
      </c>
      <c r="AC826" s="847">
        <f t="shared" si="1254"/>
        <v>55770</v>
      </c>
      <c r="AD826" s="847">
        <f t="shared" si="1254"/>
        <v>56458</v>
      </c>
      <c r="AE826" s="847">
        <f t="shared" si="1254"/>
        <v>57296</v>
      </c>
      <c r="AF826" s="847">
        <f t="shared" si="1254"/>
        <v>58444</v>
      </c>
      <c r="AG826" s="661">
        <f t="shared" si="1254"/>
        <v>58444</v>
      </c>
      <c r="AH826" s="847">
        <f t="shared" si="1254"/>
        <v>59402</v>
      </c>
      <c r="AI826" s="847">
        <f t="shared" si="1254"/>
        <v>60050</v>
      </c>
      <c r="AJ826" s="847">
        <f t="shared" si="1254"/>
        <v>61329</v>
      </c>
      <c r="AK826" s="847">
        <f t="shared" si="1254"/>
        <v>61286</v>
      </c>
      <c r="AL826" s="661">
        <f t="shared" si="1254"/>
        <v>61286</v>
      </c>
      <c r="AM826" s="847">
        <f t="shared" si="1254"/>
        <v>62369</v>
      </c>
      <c r="AN826" s="847">
        <f t="shared" si="1254"/>
        <v>63025</v>
      </c>
      <c r="AO826" s="847">
        <f t="shared" ref="AO826:BT826" si="1255">AO540+AO682</f>
        <v>64033</v>
      </c>
      <c r="AP826" s="847">
        <f t="shared" si="1255"/>
        <v>65416</v>
      </c>
      <c r="AQ826" s="661">
        <f t="shared" si="1255"/>
        <v>65416</v>
      </c>
      <c r="AR826" s="847">
        <f t="shared" si="1255"/>
        <v>65630</v>
      </c>
      <c r="AS826" s="847">
        <f t="shared" si="1255"/>
        <v>66454</v>
      </c>
      <c r="AT826" s="847">
        <f t="shared" si="1255"/>
        <v>67217</v>
      </c>
      <c r="AU826" s="847">
        <f t="shared" si="1255"/>
        <v>68917</v>
      </c>
      <c r="AV826" s="661">
        <f t="shared" si="1255"/>
        <v>68917</v>
      </c>
      <c r="AW826" s="847">
        <f t="shared" si="1255"/>
        <v>69119</v>
      </c>
      <c r="AX826" s="847">
        <f t="shared" si="1255"/>
        <v>70418</v>
      </c>
      <c r="AY826" s="847">
        <f t="shared" si="1255"/>
        <v>72469</v>
      </c>
      <c r="AZ826" s="847">
        <f t="shared" si="1255"/>
        <v>73412</v>
      </c>
      <c r="BA826" s="661">
        <f t="shared" si="1255"/>
        <v>73412</v>
      </c>
      <c r="BB826" s="847">
        <f t="shared" si="1255"/>
        <v>73141</v>
      </c>
      <c r="BC826" s="847">
        <f t="shared" si="1255"/>
        <v>73416</v>
      </c>
      <c r="BD826" s="847">
        <f t="shared" si="1255"/>
        <v>73839</v>
      </c>
      <c r="BE826" s="847">
        <f t="shared" si="1255"/>
        <v>74130</v>
      </c>
      <c r="BF826" s="661">
        <f t="shared" si="1255"/>
        <v>74130</v>
      </c>
      <c r="BG826" s="847">
        <f t="shared" si="1255"/>
        <v>74589</v>
      </c>
      <c r="BH826" s="847">
        <f t="shared" si="1255"/>
        <v>74626</v>
      </c>
      <c r="BI826" s="847">
        <f t="shared" si="1255"/>
        <v>74626</v>
      </c>
      <c r="BJ826" s="847">
        <f t="shared" si="1255"/>
        <v>74867</v>
      </c>
      <c r="BK826" s="661">
        <f t="shared" si="1255"/>
        <v>74867</v>
      </c>
      <c r="BL826" s="847">
        <f t="shared" si="1255"/>
        <v>75106</v>
      </c>
      <c r="BM826" s="847">
        <f t="shared" si="1255"/>
        <v>75322</v>
      </c>
      <c r="BN826" s="847">
        <f t="shared" si="1255"/>
        <v>75743</v>
      </c>
      <c r="BO826" s="847">
        <f t="shared" si="1255"/>
        <v>75871</v>
      </c>
      <c r="BP826" s="194">
        <f t="shared" si="1255"/>
        <v>75871</v>
      </c>
      <c r="BQ826" s="847">
        <f t="shared" si="1255"/>
        <v>76478</v>
      </c>
      <c r="BR826" s="847">
        <f t="shared" si="1255"/>
        <v>77080</v>
      </c>
      <c r="BS826" s="847">
        <f t="shared" si="1255"/>
        <v>78328</v>
      </c>
      <c r="BT826" s="847">
        <f t="shared" si="1255"/>
        <v>79405</v>
      </c>
      <c r="BU826" s="194">
        <f t="shared" ref="BU826:CG826" si="1256">BU540+BU682</f>
        <v>79405</v>
      </c>
      <c r="BV826" s="847">
        <f t="shared" si="1256"/>
        <v>78983</v>
      </c>
      <c r="BW826" s="847">
        <f t="shared" si="1256"/>
        <v>80261</v>
      </c>
      <c r="BX826" s="847">
        <f t="shared" si="1256"/>
        <v>80926</v>
      </c>
      <c r="BY826" s="847">
        <f t="shared" si="1256"/>
        <v>82163</v>
      </c>
      <c r="BZ826" s="194">
        <f t="shared" si="1256"/>
        <v>82163</v>
      </c>
      <c r="CA826" s="847">
        <f t="shared" si="1256"/>
        <v>83133</v>
      </c>
      <c r="CB826" s="847">
        <f t="shared" si="1256"/>
        <v>83944</v>
      </c>
      <c r="CC826" s="847">
        <f t="shared" si="1256"/>
        <v>84335</v>
      </c>
      <c r="CD826" s="847">
        <f t="shared" si="1256"/>
        <v>85129</v>
      </c>
      <c r="CE826" s="194">
        <f t="shared" si="1256"/>
        <v>85129</v>
      </c>
      <c r="CF826" s="847">
        <f t="shared" si="1256"/>
        <v>85802</v>
      </c>
      <c r="CG826" s="847">
        <f t="shared" si="1256"/>
        <v>86805</v>
      </c>
      <c r="CH826" s="847">
        <f t="shared" ref="CH826:CV826" si="1257">CH540+CH682</f>
        <v>88774</v>
      </c>
      <c r="CI826" s="847">
        <f t="shared" si="1257"/>
        <v>89922</v>
      </c>
      <c r="CJ826" s="236">
        <f t="shared" si="1257"/>
        <v>89922</v>
      </c>
      <c r="CK826" s="2350">
        <f t="shared" si="1217"/>
        <v>90726</v>
      </c>
      <c r="CL826" s="847">
        <f t="shared" si="1257"/>
        <v>91315</v>
      </c>
      <c r="CM826" s="847">
        <f t="shared" si="1257"/>
        <v>91226</v>
      </c>
      <c r="CN826" s="847">
        <f t="shared" si="1257"/>
        <v>93707</v>
      </c>
      <c r="CO826" s="236">
        <f t="shared" si="1257"/>
        <v>93707</v>
      </c>
      <c r="CP826" s="973">
        <f t="shared" si="1212"/>
        <v>96922.250000000015</v>
      </c>
      <c r="CQ826" s="847">
        <f t="shared" si="1212"/>
        <v>97569.3</v>
      </c>
      <c r="CR826" s="847">
        <f t="shared" si="1212"/>
        <v>97517.63</v>
      </c>
      <c r="CS826" s="1431">
        <f t="shared" si="1212"/>
        <v>100175.87000000001</v>
      </c>
      <c r="CT826" s="236">
        <f t="shared" si="1212"/>
        <v>100175.87000000001</v>
      </c>
      <c r="CU826" s="194">
        <f t="shared" si="1257"/>
        <v>107313.54105</v>
      </c>
      <c r="CV826" s="194">
        <f t="shared" si="1257"/>
        <v>111222.89943599999</v>
      </c>
      <c r="CW826" s="374"/>
      <c r="CX826" s="374"/>
      <c r="CY826" s="374"/>
      <c r="CZ826" s="374"/>
      <c r="DA826" s="374"/>
      <c r="DB826" s="217"/>
    </row>
    <row r="827" spans="1:256" x14ac:dyDescent="0.2">
      <c r="A827" s="1266" t="s">
        <v>1391</v>
      </c>
      <c r="B827" s="651"/>
      <c r="C827" s="236"/>
      <c r="D827" s="207"/>
      <c r="E827" s="207"/>
      <c r="F827" s="207"/>
      <c r="G827" s="234"/>
      <c r="H827" s="661"/>
      <c r="I827" s="847">
        <f t="shared" ref="I827:AN827" si="1258">I541+I683</f>
        <v>9074</v>
      </c>
      <c r="J827" s="847">
        <f t="shared" si="1258"/>
        <v>9203</v>
      </c>
      <c r="K827" s="847">
        <f t="shared" si="1258"/>
        <v>9954</v>
      </c>
      <c r="L827" s="847">
        <f t="shared" si="1258"/>
        <v>10261</v>
      </c>
      <c r="M827" s="661">
        <f t="shared" si="1258"/>
        <v>10261</v>
      </c>
      <c r="N827" s="847">
        <f t="shared" si="1258"/>
        <v>10260</v>
      </c>
      <c r="O827" s="847">
        <f t="shared" si="1258"/>
        <v>10440</v>
      </c>
      <c r="P827" s="847">
        <f t="shared" si="1258"/>
        <v>10608</v>
      </c>
      <c r="Q827" s="847">
        <f t="shared" si="1258"/>
        <v>10704</v>
      </c>
      <c r="R827" s="661">
        <f t="shared" si="1258"/>
        <v>10704</v>
      </c>
      <c r="S827" s="847">
        <f t="shared" si="1258"/>
        <v>10806</v>
      </c>
      <c r="T827" s="847">
        <f t="shared" si="1258"/>
        <v>10899</v>
      </c>
      <c r="U827" s="847">
        <f t="shared" si="1258"/>
        <v>11224</v>
      </c>
      <c r="V827" s="847">
        <f t="shared" si="1258"/>
        <v>11381</v>
      </c>
      <c r="W827" s="661">
        <f t="shared" si="1258"/>
        <v>11381</v>
      </c>
      <c r="X827" s="847">
        <f t="shared" si="1258"/>
        <v>11462</v>
      </c>
      <c r="Y827" s="847">
        <f t="shared" si="1258"/>
        <v>11462</v>
      </c>
      <c r="Z827" s="847">
        <f t="shared" si="1258"/>
        <v>11555</v>
      </c>
      <c r="AA827" s="847">
        <f t="shared" si="1258"/>
        <v>11710</v>
      </c>
      <c r="AB827" s="661">
        <f t="shared" si="1258"/>
        <v>11710</v>
      </c>
      <c r="AC827" s="847">
        <f t="shared" si="1258"/>
        <v>11816</v>
      </c>
      <c r="AD827" s="847">
        <f t="shared" si="1258"/>
        <v>11935</v>
      </c>
      <c r="AE827" s="847">
        <f t="shared" si="1258"/>
        <v>12021</v>
      </c>
      <c r="AF827" s="847">
        <f t="shared" si="1258"/>
        <v>12303</v>
      </c>
      <c r="AG827" s="661">
        <f t="shared" si="1258"/>
        <v>12303</v>
      </c>
      <c r="AH827" s="847">
        <f t="shared" si="1258"/>
        <v>12304</v>
      </c>
      <c r="AI827" s="847">
        <f t="shared" si="1258"/>
        <v>12389</v>
      </c>
      <c r="AJ827" s="847">
        <f t="shared" si="1258"/>
        <v>12295</v>
      </c>
      <c r="AK827" s="847">
        <f t="shared" si="1258"/>
        <v>12368</v>
      </c>
      <c r="AL827" s="661">
        <f t="shared" si="1258"/>
        <v>12368</v>
      </c>
      <c r="AM827" s="847">
        <f t="shared" si="1258"/>
        <v>12366</v>
      </c>
      <c r="AN827" s="847">
        <f t="shared" si="1258"/>
        <v>12857</v>
      </c>
      <c r="AO827" s="847">
        <f t="shared" ref="AO827:BT827" si="1259">AO541+AO683</f>
        <v>13467</v>
      </c>
      <c r="AP827" s="847">
        <f t="shared" si="1259"/>
        <v>14122</v>
      </c>
      <c r="AQ827" s="661">
        <f t="shared" si="1259"/>
        <v>14122</v>
      </c>
      <c r="AR827" s="847">
        <f t="shared" si="1259"/>
        <v>14522</v>
      </c>
      <c r="AS827" s="847">
        <f t="shared" si="1259"/>
        <v>15195</v>
      </c>
      <c r="AT827" s="847">
        <f t="shared" si="1259"/>
        <v>15403</v>
      </c>
      <c r="AU827" s="847">
        <f t="shared" si="1259"/>
        <v>16328</v>
      </c>
      <c r="AV827" s="661">
        <f t="shared" si="1259"/>
        <v>16328</v>
      </c>
      <c r="AW827" s="847">
        <f t="shared" si="1259"/>
        <v>16643</v>
      </c>
      <c r="AX827" s="847">
        <f t="shared" si="1259"/>
        <v>17359</v>
      </c>
      <c r="AY827" s="847">
        <f t="shared" si="1259"/>
        <v>17917</v>
      </c>
      <c r="AZ827" s="847">
        <f t="shared" si="1259"/>
        <v>18451</v>
      </c>
      <c r="BA827" s="661">
        <f t="shared" si="1259"/>
        <v>18451</v>
      </c>
      <c r="BB827" s="847">
        <f t="shared" si="1259"/>
        <v>18759</v>
      </c>
      <c r="BC827" s="847">
        <f t="shared" si="1259"/>
        <v>19063</v>
      </c>
      <c r="BD827" s="847">
        <f t="shared" si="1259"/>
        <v>19320</v>
      </c>
      <c r="BE827" s="847">
        <f t="shared" si="1259"/>
        <v>19425</v>
      </c>
      <c r="BF827" s="661">
        <f t="shared" si="1259"/>
        <v>19425</v>
      </c>
      <c r="BG827" s="847">
        <f t="shared" si="1259"/>
        <v>19514</v>
      </c>
      <c r="BH827" s="847">
        <f t="shared" si="1259"/>
        <v>19702</v>
      </c>
      <c r="BI827" s="847">
        <f t="shared" si="1259"/>
        <v>19875</v>
      </c>
      <c r="BJ827" s="847">
        <f t="shared" si="1259"/>
        <v>20153</v>
      </c>
      <c r="BK827" s="661">
        <f t="shared" si="1259"/>
        <v>20153</v>
      </c>
      <c r="BL827" s="847">
        <f t="shared" si="1259"/>
        <v>20353</v>
      </c>
      <c r="BM827" s="847">
        <f t="shared" si="1259"/>
        <v>20333</v>
      </c>
      <c r="BN827" s="847">
        <f t="shared" si="1259"/>
        <v>20777</v>
      </c>
      <c r="BO827" s="847">
        <f t="shared" si="1259"/>
        <v>21081</v>
      </c>
      <c r="BP827" s="194">
        <f t="shared" si="1259"/>
        <v>21081</v>
      </c>
      <c r="BQ827" s="847">
        <f t="shared" si="1259"/>
        <v>21396</v>
      </c>
      <c r="BR827" s="847">
        <f t="shared" si="1259"/>
        <v>21908</v>
      </c>
      <c r="BS827" s="847">
        <f t="shared" si="1259"/>
        <v>21908</v>
      </c>
      <c r="BT827" s="847">
        <f t="shared" si="1259"/>
        <v>22317</v>
      </c>
      <c r="BU827" s="194">
        <f t="shared" ref="BU827:CG827" si="1260">BU541+BU683</f>
        <v>22317</v>
      </c>
      <c r="BV827" s="847">
        <f t="shared" si="1260"/>
        <v>22365</v>
      </c>
      <c r="BW827" s="847">
        <f t="shared" si="1260"/>
        <v>23109</v>
      </c>
      <c r="BX827" s="847">
        <f t="shared" si="1260"/>
        <v>23648</v>
      </c>
      <c r="BY827" s="847">
        <f t="shared" si="1260"/>
        <v>24491</v>
      </c>
      <c r="BZ827" s="194">
        <f t="shared" si="1260"/>
        <v>24491</v>
      </c>
      <c r="CA827" s="847">
        <f t="shared" si="1260"/>
        <v>25453</v>
      </c>
      <c r="CB827" s="847">
        <f t="shared" si="1260"/>
        <v>26111</v>
      </c>
      <c r="CC827" s="847">
        <f t="shared" si="1260"/>
        <v>26508</v>
      </c>
      <c r="CD827" s="847">
        <f t="shared" si="1260"/>
        <v>27128</v>
      </c>
      <c r="CE827" s="194">
        <f t="shared" si="1260"/>
        <v>27128</v>
      </c>
      <c r="CF827" s="847">
        <f t="shared" si="1260"/>
        <v>28115</v>
      </c>
      <c r="CG827" s="847">
        <f t="shared" si="1260"/>
        <v>28954</v>
      </c>
      <c r="CH827" s="847">
        <f t="shared" ref="CH827:CV827" si="1261">CH541+CH683</f>
        <v>29449</v>
      </c>
      <c r="CI827" s="847">
        <f t="shared" si="1261"/>
        <v>30252</v>
      </c>
      <c r="CJ827" s="236">
        <f t="shared" si="1261"/>
        <v>30252</v>
      </c>
      <c r="CK827" s="2350">
        <f t="shared" si="1217"/>
        <v>31384</v>
      </c>
      <c r="CL827" s="847">
        <f t="shared" ca="1" si="1261"/>
        <v>32216</v>
      </c>
      <c r="CM827" s="847">
        <f t="shared" ca="1" si="1261"/>
        <v>33250</v>
      </c>
      <c r="CN827" s="847">
        <f t="shared" ca="1" si="1261"/>
        <v>34272</v>
      </c>
      <c r="CO827" s="236">
        <f t="shared" ca="1" si="1261"/>
        <v>34272</v>
      </c>
      <c r="CP827" s="973">
        <f t="shared" si="1212"/>
        <v>34418</v>
      </c>
      <c r="CQ827" s="847">
        <f t="shared" ca="1" si="1212"/>
        <v>35333.200000000004</v>
      </c>
      <c r="CR827" s="847">
        <f t="shared" ca="1" si="1212"/>
        <v>36470.6</v>
      </c>
      <c r="CS827" s="1431">
        <f t="shared" ca="1" si="1212"/>
        <v>37588.740000000005</v>
      </c>
      <c r="CT827" s="236">
        <f t="shared" ca="1" si="1212"/>
        <v>37588.740000000005</v>
      </c>
      <c r="CU827" s="194">
        <f t="shared" ca="1" si="1261"/>
        <v>40417.468699999998</v>
      </c>
      <c r="CV827" s="194">
        <f t="shared" ca="1" si="1261"/>
        <v>41609.314649</v>
      </c>
      <c r="CW827" s="374"/>
      <c r="CX827" s="374"/>
      <c r="CY827" s="374"/>
      <c r="CZ827" s="374"/>
      <c r="DA827" s="374"/>
      <c r="DB827" s="217"/>
    </row>
    <row r="828" spans="1:256" x14ac:dyDescent="0.2">
      <c r="A828" s="1266" t="s">
        <v>1389</v>
      </c>
      <c r="B828" s="651"/>
      <c r="C828" s="236"/>
      <c r="D828" s="207"/>
      <c r="E828" s="207"/>
      <c r="F828" s="207"/>
      <c r="G828" s="234"/>
      <c r="H828" s="661"/>
      <c r="I828" s="847">
        <f t="shared" ref="I828:AN828" si="1262">I542+I684</f>
        <v>42360</v>
      </c>
      <c r="J828" s="847">
        <f t="shared" si="1262"/>
        <v>44284</v>
      </c>
      <c r="K828" s="847">
        <f t="shared" si="1262"/>
        <v>44915</v>
      </c>
      <c r="L828" s="847">
        <f t="shared" si="1262"/>
        <v>45895</v>
      </c>
      <c r="M828" s="661">
        <f t="shared" si="1262"/>
        <v>45895</v>
      </c>
      <c r="N828" s="847">
        <f t="shared" si="1262"/>
        <v>46748</v>
      </c>
      <c r="O828" s="847">
        <f t="shared" si="1262"/>
        <v>47364</v>
      </c>
      <c r="P828" s="847">
        <f t="shared" si="1262"/>
        <v>47971</v>
      </c>
      <c r="Q828" s="847">
        <f t="shared" si="1262"/>
        <v>48214</v>
      </c>
      <c r="R828" s="661">
        <f t="shared" si="1262"/>
        <v>48214</v>
      </c>
      <c r="S828" s="847">
        <f t="shared" si="1262"/>
        <v>48750</v>
      </c>
      <c r="T828" s="847">
        <f t="shared" si="1262"/>
        <v>49366</v>
      </c>
      <c r="U828" s="847">
        <f t="shared" si="1262"/>
        <v>49676</v>
      </c>
      <c r="V828" s="847">
        <f t="shared" si="1262"/>
        <v>50206</v>
      </c>
      <c r="W828" s="661">
        <f t="shared" si="1262"/>
        <v>50206</v>
      </c>
      <c r="X828" s="847">
        <f t="shared" si="1262"/>
        <v>50474</v>
      </c>
      <c r="Y828" s="847">
        <f t="shared" si="1262"/>
        <v>50191</v>
      </c>
      <c r="Z828" s="847">
        <f t="shared" si="1262"/>
        <v>49125</v>
      </c>
      <c r="AA828" s="847">
        <f t="shared" si="1262"/>
        <v>48710</v>
      </c>
      <c r="AB828" s="661">
        <f t="shared" si="1262"/>
        <v>48710</v>
      </c>
      <c r="AC828" s="847">
        <f t="shared" si="1262"/>
        <v>47840</v>
      </c>
      <c r="AD828" s="847">
        <f t="shared" si="1262"/>
        <v>47397</v>
      </c>
      <c r="AE828" s="847">
        <f t="shared" si="1262"/>
        <v>47826</v>
      </c>
      <c r="AF828" s="847">
        <f t="shared" si="1262"/>
        <v>47999</v>
      </c>
      <c r="AG828" s="661">
        <f t="shared" si="1262"/>
        <v>47999</v>
      </c>
      <c r="AH828" s="847">
        <f t="shared" si="1262"/>
        <v>47921</v>
      </c>
      <c r="AI828" s="847">
        <f t="shared" si="1262"/>
        <v>47305</v>
      </c>
      <c r="AJ828" s="847">
        <f t="shared" si="1262"/>
        <v>47019</v>
      </c>
      <c r="AK828" s="847">
        <f t="shared" si="1262"/>
        <v>46589</v>
      </c>
      <c r="AL828" s="661">
        <f t="shared" si="1262"/>
        <v>46589</v>
      </c>
      <c r="AM828" s="847">
        <f t="shared" si="1262"/>
        <v>45866</v>
      </c>
      <c r="AN828" s="847">
        <f t="shared" si="1262"/>
        <v>46348</v>
      </c>
      <c r="AO828" s="847">
        <f t="shared" ref="AO828:BT828" si="1263">AO542+AO684</f>
        <v>47090</v>
      </c>
      <c r="AP828" s="847">
        <f t="shared" si="1263"/>
        <v>47877</v>
      </c>
      <c r="AQ828" s="661">
        <f t="shared" si="1263"/>
        <v>47877</v>
      </c>
      <c r="AR828" s="847">
        <f t="shared" si="1263"/>
        <v>47550</v>
      </c>
      <c r="AS828" s="847">
        <f t="shared" si="1263"/>
        <v>48683</v>
      </c>
      <c r="AT828" s="847">
        <f t="shared" si="1263"/>
        <v>49651</v>
      </c>
      <c r="AU828" s="847">
        <f t="shared" si="1263"/>
        <v>50787</v>
      </c>
      <c r="AV828" s="661">
        <f t="shared" si="1263"/>
        <v>50787</v>
      </c>
      <c r="AW828" s="847">
        <f t="shared" si="1263"/>
        <v>52161</v>
      </c>
      <c r="AX828" s="847">
        <f t="shared" si="1263"/>
        <v>53559</v>
      </c>
      <c r="AY828" s="847">
        <f t="shared" si="1263"/>
        <v>55646</v>
      </c>
      <c r="AZ828" s="847">
        <f t="shared" si="1263"/>
        <v>56731</v>
      </c>
      <c r="BA828" s="661">
        <f t="shared" si="1263"/>
        <v>56731</v>
      </c>
      <c r="BB828" s="847">
        <f t="shared" si="1263"/>
        <v>58057</v>
      </c>
      <c r="BC828" s="847">
        <f t="shared" si="1263"/>
        <v>58933</v>
      </c>
      <c r="BD828" s="847">
        <f t="shared" si="1263"/>
        <v>59633</v>
      </c>
      <c r="BE828" s="847">
        <f t="shared" si="1263"/>
        <v>59745</v>
      </c>
      <c r="BF828" s="661">
        <f t="shared" si="1263"/>
        <v>59745</v>
      </c>
      <c r="BG828" s="847">
        <f t="shared" si="1263"/>
        <v>59777</v>
      </c>
      <c r="BH828" s="847">
        <f t="shared" si="1263"/>
        <v>60361</v>
      </c>
      <c r="BI828" s="847">
        <f t="shared" si="1263"/>
        <v>61371</v>
      </c>
      <c r="BJ828" s="847">
        <f t="shared" si="1263"/>
        <v>61960</v>
      </c>
      <c r="BK828" s="661">
        <f t="shared" si="1263"/>
        <v>61960</v>
      </c>
      <c r="BL828" s="847">
        <f t="shared" si="1263"/>
        <v>62248</v>
      </c>
      <c r="BM828" s="847">
        <f t="shared" si="1263"/>
        <v>62549</v>
      </c>
      <c r="BN828" s="847">
        <f t="shared" si="1263"/>
        <v>62894</v>
      </c>
      <c r="BO828" s="847">
        <f t="shared" si="1263"/>
        <v>63045</v>
      </c>
      <c r="BP828" s="194">
        <f t="shared" si="1263"/>
        <v>63045</v>
      </c>
      <c r="BQ828" s="847">
        <f t="shared" si="1263"/>
        <v>63234</v>
      </c>
      <c r="BR828" s="847">
        <f t="shared" si="1263"/>
        <v>64571</v>
      </c>
      <c r="BS828" s="847">
        <f t="shared" si="1263"/>
        <v>65181</v>
      </c>
      <c r="BT828" s="847">
        <f t="shared" si="1263"/>
        <v>64965</v>
      </c>
      <c r="BU828" s="194">
        <f t="shared" ref="BU828:CG828" si="1264">BU542+BU684</f>
        <v>64965</v>
      </c>
      <c r="BV828" s="847">
        <f t="shared" si="1264"/>
        <v>65311</v>
      </c>
      <c r="BW828" s="847">
        <f t="shared" si="1264"/>
        <v>65580</v>
      </c>
      <c r="BX828" s="847">
        <f t="shared" si="1264"/>
        <v>66502</v>
      </c>
      <c r="BY828" s="847">
        <f t="shared" si="1264"/>
        <v>66451</v>
      </c>
      <c r="BZ828" s="194">
        <f t="shared" si="1264"/>
        <v>66451</v>
      </c>
      <c r="CA828" s="847">
        <f t="shared" si="1264"/>
        <v>67290</v>
      </c>
      <c r="CB828" s="847">
        <f t="shared" si="1264"/>
        <v>68997</v>
      </c>
      <c r="CC828" s="847">
        <f t="shared" si="1264"/>
        <v>69552</v>
      </c>
      <c r="CD828" s="847">
        <f t="shared" si="1264"/>
        <v>71072</v>
      </c>
      <c r="CE828" s="194">
        <f t="shared" si="1264"/>
        <v>71072</v>
      </c>
      <c r="CF828" s="847">
        <f t="shared" si="1264"/>
        <v>71991</v>
      </c>
      <c r="CG828" s="847">
        <f t="shared" si="1264"/>
        <v>74090</v>
      </c>
      <c r="CH828" s="847">
        <f t="shared" ref="CH828:CV828" si="1265">CH542+CH684</f>
        <v>75999</v>
      </c>
      <c r="CI828" s="847">
        <f t="shared" si="1265"/>
        <v>78406</v>
      </c>
      <c r="CJ828" s="236">
        <f t="shared" si="1265"/>
        <v>78406</v>
      </c>
      <c r="CK828" s="2350">
        <f t="shared" si="1217"/>
        <v>79927</v>
      </c>
      <c r="CL828" s="847">
        <f t="shared" si="1265"/>
        <v>81588</v>
      </c>
      <c r="CM828" s="847">
        <f t="shared" si="1265"/>
        <v>83930</v>
      </c>
      <c r="CN828" s="847">
        <f t="shared" si="1265"/>
        <v>86434</v>
      </c>
      <c r="CO828" s="236">
        <f t="shared" si="1265"/>
        <v>86434</v>
      </c>
      <c r="CP828" s="973">
        <f t="shared" si="1212"/>
        <v>87735.260000000009</v>
      </c>
      <c r="CQ828" s="847">
        <f t="shared" si="1212"/>
        <v>89576.02</v>
      </c>
      <c r="CR828" s="847">
        <f t="shared" si="1212"/>
        <v>92135.77</v>
      </c>
      <c r="CS828" s="1431">
        <f t="shared" si="1212"/>
        <v>94876.790000000008</v>
      </c>
      <c r="CT828" s="236">
        <f t="shared" si="1212"/>
        <v>94876.790000000008</v>
      </c>
      <c r="CU828" s="194">
        <f t="shared" si="1265"/>
        <v>101945.34205000001</v>
      </c>
      <c r="CV828" s="194">
        <f t="shared" si="1265"/>
        <v>104972.34546100002</v>
      </c>
      <c r="CW828" s="3039"/>
      <c r="CX828" s="374"/>
      <c r="CY828" s="374"/>
      <c r="CZ828" s="374"/>
      <c r="DA828" s="374"/>
      <c r="DB828" s="217"/>
    </row>
    <row r="829" spans="1:256" x14ac:dyDescent="0.2">
      <c r="A829" s="1266" t="s">
        <v>1390</v>
      </c>
      <c r="B829" s="651"/>
      <c r="C829" s="236"/>
      <c r="D829" s="207"/>
      <c r="E829" s="207"/>
      <c r="F829" s="207"/>
      <c r="G829" s="234"/>
      <c r="H829" s="661"/>
      <c r="I829" s="847">
        <f t="shared" ref="I829:AN829" si="1266">I543+I685</f>
        <v>6956</v>
      </c>
      <c r="J829" s="847">
        <f t="shared" si="1266"/>
        <v>7478</v>
      </c>
      <c r="K829" s="847">
        <f t="shared" si="1266"/>
        <v>8523</v>
      </c>
      <c r="L829" s="847">
        <f t="shared" si="1266"/>
        <v>9592</v>
      </c>
      <c r="M829" s="661">
        <f t="shared" si="1266"/>
        <v>9592</v>
      </c>
      <c r="N829" s="847">
        <f t="shared" si="1266"/>
        <v>9975</v>
      </c>
      <c r="O829" s="847">
        <f t="shared" si="1266"/>
        <v>10746</v>
      </c>
      <c r="P829" s="847">
        <f t="shared" si="1266"/>
        <v>11027</v>
      </c>
      <c r="Q829" s="847">
        <f t="shared" si="1266"/>
        <v>11209</v>
      </c>
      <c r="R829" s="661">
        <f t="shared" si="1266"/>
        <v>11209</v>
      </c>
      <c r="S829" s="847">
        <f t="shared" si="1266"/>
        <v>11368</v>
      </c>
      <c r="T829" s="847">
        <f t="shared" si="1266"/>
        <v>12002</v>
      </c>
      <c r="U829" s="847">
        <f t="shared" si="1266"/>
        <v>12254</v>
      </c>
      <c r="V829" s="847">
        <f t="shared" si="1266"/>
        <v>12682</v>
      </c>
      <c r="W829" s="661">
        <f t="shared" si="1266"/>
        <v>12682</v>
      </c>
      <c r="X829" s="847">
        <f t="shared" si="1266"/>
        <v>12903</v>
      </c>
      <c r="Y829" s="847">
        <f t="shared" si="1266"/>
        <v>13485</v>
      </c>
      <c r="Z829" s="847">
        <f t="shared" si="1266"/>
        <v>14070</v>
      </c>
      <c r="AA829" s="847">
        <f t="shared" si="1266"/>
        <v>14550</v>
      </c>
      <c r="AB829" s="661">
        <f t="shared" si="1266"/>
        <v>14550</v>
      </c>
      <c r="AC829" s="847">
        <f t="shared" si="1266"/>
        <v>14644</v>
      </c>
      <c r="AD829" s="847">
        <f t="shared" si="1266"/>
        <v>15557</v>
      </c>
      <c r="AE829" s="847">
        <f t="shared" si="1266"/>
        <v>15767</v>
      </c>
      <c r="AF829" s="847">
        <f t="shared" si="1266"/>
        <v>16002</v>
      </c>
      <c r="AG829" s="661">
        <f t="shared" si="1266"/>
        <v>16002</v>
      </c>
      <c r="AH829" s="847">
        <f t="shared" si="1266"/>
        <v>16644</v>
      </c>
      <c r="AI829" s="847">
        <f t="shared" si="1266"/>
        <v>16953</v>
      </c>
      <c r="AJ829" s="847">
        <f t="shared" si="1266"/>
        <v>17370</v>
      </c>
      <c r="AK829" s="847">
        <f t="shared" si="1266"/>
        <v>17808</v>
      </c>
      <c r="AL829" s="661">
        <f t="shared" si="1266"/>
        <v>17808</v>
      </c>
      <c r="AM829" s="847">
        <f t="shared" si="1266"/>
        <v>18284</v>
      </c>
      <c r="AN829" s="847">
        <f t="shared" si="1266"/>
        <v>19022</v>
      </c>
      <c r="AO829" s="847">
        <f t="shared" ref="AO829:BT829" si="1267">AO543+AO685</f>
        <v>19496</v>
      </c>
      <c r="AP829" s="847">
        <f t="shared" si="1267"/>
        <v>20569</v>
      </c>
      <c r="AQ829" s="661">
        <f t="shared" si="1267"/>
        <v>20569</v>
      </c>
      <c r="AR829" s="847">
        <f t="shared" si="1267"/>
        <v>21581</v>
      </c>
      <c r="AS829" s="847">
        <f t="shared" si="1267"/>
        <v>22842</v>
      </c>
      <c r="AT829" s="847">
        <f t="shared" si="1267"/>
        <v>23181</v>
      </c>
      <c r="AU829" s="847">
        <f t="shared" si="1267"/>
        <v>24151</v>
      </c>
      <c r="AV829" s="661">
        <f t="shared" si="1267"/>
        <v>24151</v>
      </c>
      <c r="AW829" s="847">
        <f t="shared" si="1267"/>
        <v>25252</v>
      </c>
      <c r="AX829" s="847">
        <f t="shared" si="1267"/>
        <v>26168</v>
      </c>
      <c r="AY829" s="847">
        <f t="shared" si="1267"/>
        <v>27942</v>
      </c>
      <c r="AZ829" s="847">
        <f t="shared" si="1267"/>
        <v>29970</v>
      </c>
      <c r="BA829" s="661">
        <f t="shared" si="1267"/>
        <v>29970</v>
      </c>
      <c r="BB829" s="847">
        <f t="shared" si="1267"/>
        <v>30608</v>
      </c>
      <c r="BC829" s="847">
        <f t="shared" si="1267"/>
        <v>31419</v>
      </c>
      <c r="BD829" s="847">
        <f t="shared" si="1267"/>
        <v>31896</v>
      </c>
      <c r="BE829" s="847">
        <f t="shared" si="1267"/>
        <v>32085</v>
      </c>
      <c r="BF829" s="661">
        <f t="shared" si="1267"/>
        <v>32085</v>
      </c>
      <c r="BG829" s="847">
        <f t="shared" si="1267"/>
        <v>32085</v>
      </c>
      <c r="BH829" s="847">
        <f t="shared" si="1267"/>
        <v>32888</v>
      </c>
      <c r="BI829" s="847">
        <f t="shared" si="1267"/>
        <v>33533</v>
      </c>
      <c r="BJ829" s="847">
        <f t="shared" si="1267"/>
        <v>33765</v>
      </c>
      <c r="BK829" s="661">
        <f t="shared" si="1267"/>
        <v>33765</v>
      </c>
      <c r="BL829" s="847">
        <f t="shared" si="1267"/>
        <v>34120</v>
      </c>
      <c r="BM829" s="847">
        <f t="shared" si="1267"/>
        <v>34443</v>
      </c>
      <c r="BN829" s="847">
        <f t="shared" si="1267"/>
        <v>34970</v>
      </c>
      <c r="BO829" s="847">
        <f t="shared" si="1267"/>
        <v>35143</v>
      </c>
      <c r="BP829" s="194">
        <f t="shared" si="1267"/>
        <v>35143</v>
      </c>
      <c r="BQ829" s="847">
        <f t="shared" si="1267"/>
        <v>35143</v>
      </c>
      <c r="BR829" s="847">
        <f t="shared" si="1267"/>
        <v>35628</v>
      </c>
      <c r="BS829" s="847">
        <f t="shared" si="1267"/>
        <v>35852</v>
      </c>
      <c r="BT829" s="847">
        <f t="shared" si="1267"/>
        <v>36187</v>
      </c>
      <c r="BU829" s="194">
        <f t="shared" ref="BU829:CG829" si="1268">BU543+BU685</f>
        <v>36187</v>
      </c>
      <c r="BV829" s="847">
        <f t="shared" si="1268"/>
        <v>36733</v>
      </c>
      <c r="BW829" s="847">
        <f t="shared" si="1268"/>
        <v>36836</v>
      </c>
      <c r="BX829" s="847">
        <f t="shared" si="1268"/>
        <v>36887</v>
      </c>
      <c r="BY829" s="847">
        <f t="shared" si="1268"/>
        <v>37267</v>
      </c>
      <c r="BZ829" s="194">
        <f t="shared" si="1268"/>
        <v>37267</v>
      </c>
      <c r="CA829" s="847">
        <f t="shared" si="1268"/>
        <v>37991</v>
      </c>
      <c r="CB829" s="847">
        <f t="shared" si="1268"/>
        <v>38652</v>
      </c>
      <c r="CC829" s="847">
        <f t="shared" si="1268"/>
        <v>39408</v>
      </c>
      <c r="CD829" s="847">
        <f t="shared" si="1268"/>
        <v>39750</v>
      </c>
      <c r="CE829" s="194">
        <f t="shared" si="1268"/>
        <v>39750</v>
      </c>
      <c r="CF829" s="847">
        <f t="shared" si="1268"/>
        <v>40822</v>
      </c>
      <c r="CG829" s="847">
        <f t="shared" si="1268"/>
        <v>41497</v>
      </c>
      <c r="CH829" s="847">
        <f t="shared" ref="CH829:CV829" si="1269">CH543+CH685</f>
        <v>41965</v>
      </c>
      <c r="CI829" s="847">
        <f t="shared" si="1269"/>
        <v>42526</v>
      </c>
      <c r="CJ829" s="236">
        <f t="shared" si="1269"/>
        <v>42526</v>
      </c>
      <c r="CK829" s="2350">
        <f t="shared" si="1217"/>
        <v>42982</v>
      </c>
      <c r="CL829" s="847">
        <f t="shared" ca="1" si="1269"/>
        <v>44221</v>
      </c>
      <c r="CM829" s="847">
        <f t="shared" ca="1" si="1269"/>
        <v>45318</v>
      </c>
      <c r="CN829" s="847">
        <f t="shared" ca="1" si="1269"/>
        <v>45946</v>
      </c>
      <c r="CO829" s="236">
        <f t="shared" ca="1" si="1269"/>
        <v>45946</v>
      </c>
      <c r="CP829" s="973">
        <f t="shared" si="1212"/>
        <v>46129.320000000007</v>
      </c>
      <c r="CQ829" s="847">
        <f t="shared" ca="1" si="1212"/>
        <v>47467.44</v>
      </c>
      <c r="CR829" s="847">
        <f t="shared" ca="1" si="1212"/>
        <v>48652.200000000004</v>
      </c>
      <c r="CS829" s="1431">
        <f t="shared" ca="1" si="1212"/>
        <v>49330.44</v>
      </c>
      <c r="CT829" s="236">
        <f t="shared" ca="1" si="1212"/>
        <v>49330.44</v>
      </c>
      <c r="CU829" s="194">
        <f t="shared" ca="1" si="1269"/>
        <v>52931.201399999998</v>
      </c>
      <c r="CV829" s="194">
        <f t="shared" ca="1" si="1269"/>
        <v>54943.981668</v>
      </c>
      <c r="CW829" s="3039"/>
      <c r="CX829" s="374"/>
      <c r="CY829" s="374"/>
      <c r="CZ829" s="374"/>
      <c r="DA829" s="374"/>
      <c r="DB829" s="217"/>
    </row>
    <row r="830" spans="1:256" x14ac:dyDescent="0.2">
      <c r="A830" s="1266" t="s">
        <v>650</v>
      </c>
      <c r="B830" s="651"/>
      <c r="C830" s="236"/>
      <c r="D830" s="207"/>
      <c r="E830" s="207"/>
      <c r="F830" s="207"/>
      <c r="G830" s="234"/>
      <c r="H830" s="661"/>
      <c r="I830" s="847">
        <f t="shared" ref="I830:AN830" si="1270">I544+I686</f>
        <v>11357</v>
      </c>
      <c r="J830" s="847">
        <f t="shared" si="1270"/>
        <v>12329</v>
      </c>
      <c r="K830" s="847">
        <f t="shared" si="1270"/>
        <v>18473</v>
      </c>
      <c r="L830" s="847">
        <f t="shared" si="1270"/>
        <v>19182</v>
      </c>
      <c r="M830" s="661">
        <f t="shared" si="1270"/>
        <v>19182</v>
      </c>
      <c r="N830" s="847">
        <f t="shared" si="1270"/>
        <v>19890</v>
      </c>
      <c r="O830" s="847">
        <f t="shared" si="1270"/>
        <v>20080</v>
      </c>
      <c r="P830" s="847">
        <f t="shared" si="1270"/>
        <v>20894</v>
      </c>
      <c r="Q830" s="847">
        <f t="shared" si="1270"/>
        <v>21230</v>
      </c>
      <c r="R830" s="661">
        <f t="shared" si="1270"/>
        <v>21230</v>
      </c>
      <c r="S830" s="847">
        <f t="shared" si="1270"/>
        <v>21874</v>
      </c>
      <c r="T830" s="847">
        <f t="shared" si="1270"/>
        <v>23769</v>
      </c>
      <c r="U830" s="847">
        <f t="shared" si="1270"/>
        <v>25202</v>
      </c>
      <c r="V830" s="847">
        <f t="shared" si="1270"/>
        <v>26150</v>
      </c>
      <c r="W830" s="661">
        <f t="shared" si="1270"/>
        <v>26150</v>
      </c>
      <c r="X830" s="847">
        <f t="shared" si="1270"/>
        <v>27522</v>
      </c>
      <c r="Y830" s="847">
        <f t="shared" si="1270"/>
        <v>27863</v>
      </c>
      <c r="Z830" s="847">
        <f t="shared" si="1270"/>
        <v>27758</v>
      </c>
      <c r="AA830" s="847">
        <f t="shared" si="1270"/>
        <v>727</v>
      </c>
      <c r="AB830" s="661">
        <f t="shared" si="1270"/>
        <v>727</v>
      </c>
      <c r="AC830" s="847">
        <f t="shared" si="1270"/>
        <v>726</v>
      </c>
      <c r="AD830" s="847">
        <f t="shared" si="1270"/>
        <v>724</v>
      </c>
      <c r="AE830" s="847">
        <f t="shared" si="1270"/>
        <v>724</v>
      </c>
      <c r="AF830" s="847">
        <f t="shared" si="1270"/>
        <v>532</v>
      </c>
      <c r="AG830" s="661">
        <f t="shared" si="1270"/>
        <v>532</v>
      </c>
      <c r="AH830" s="847">
        <f t="shared" si="1270"/>
        <v>332</v>
      </c>
      <c r="AI830" s="847">
        <f t="shared" si="1270"/>
        <v>332</v>
      </c>
      <c r="AJ830" s="847">
        <f t="shared" si="1270"/>
        <v>332</v>
      </c>
      <c r="AK830" s="847">
        <f t="shared" si="1270"/>
        <v>332</v>
      </c>
      <c r="AL830" s="661">
        <f t="shared" si="1270"/>
        <v>332</v>
      </c>
      <c r="AM830" s="847">
        <f t="shared" si="1270"/>
        <v>332</v>
      </c>
      <c r="AN830" s="847">
        <f t="shared" si="1270"/>
        <v>332</v>
      </c>
      <c r="AO830" s="847">
        <f t="shared" ref="AO830:BT830" si="1271">AO544+AO686</f>
        <v>332</v>
      </c>
      <c r="AP830" s="847">
        <f t="shared" si="1271"/>
        <v>332</v>
      </c>
      <c r="AQ830" s="661">
        <f t="shared" si="1271"/>
        <v>332</v>
      </c>
      <c r="AR830" s="847">
        <f t="shared" si="1271"/>
        <v>0</v>
      </c>
      <c r="AS830" s="847">
        <f t="shared" si="1271"/>
        <v>0</v>
      </c>
      <c r="AT830" s="847">
        <f t="shared" si="1271"/>
        <v>0</v>
      </c>
      <c r="AU830" s="847">
        <f t="shared" si="1271"/>
        <v>0</v>
      </c>
      <c r="AV830" s="661">
        <f t="shared" si="1271"/>
        <v>0</v>
      </c>
      <c r="AW830" s="847">
        <f t="shared" si="1271"/>
        <v>0</v>
      </c>
      <c r="AX830" s="847">
        <f t="shared" si="1271"/>
        <v>0</v>
      </c>
      <c r="AY830" s="847">
        <f t="shared" si="1271"/>
        <v>0</v>
      </c>
      <c r="AZ830" s="847">
        <f t="shared" si="1271"/>
        <v>0</v>
      </c>
      <c r="BA830" s="661">
        <f t="shared" si="1271"/>
        <v>0</v>
      </c>
      <c r="BB830" s="847">
        <f t="shared" si="1271"/>
        <v>0</v>
      </c>
      <c r="BC830" s="847">
        <f t="shared" si="1271"/>
        <v>0</v>
      </c>
      <c r="BD830" s="847">
        <f t="shared" si="1271"/>
        <v>0</v>
      </c>
      <c r="BE830" s="847">
        <f t="shared" si="1271"/>
        <v>0</v>
      </c>
      <c r="BF830" s="661">
        <f t="shared" si="1271"/>
        <v>0</v>
      </c>
      <c r="BG830" s="847">
        <f t="shared" si="1271"/>
        <v>0</v>
      </c>
      <c r="BH830" s="847">
        <f t="shared" si="1271"/>
        <v>0</v>
      </c>
      <c r="BI830" s="847">
        <f t="shared" si="1271"/>
        <v>0</v>
      </c>
      <c r="BJ830" s="847">
        <f t="shared" si="1271"/>
        <v>0</v>
      </c>
      <c r="BK830" s="661">
        <f t="shared" si="1271"/>
        <v>0</v>
      </c>
      <c r="BL830" s="847">
        <f t="shared" si="1271"/>
        <v>0</v>
      </c>
      <c r="BM830" s="847">
        <f t="shared" si="1271"/>
        <v>0</v>
      </c>
      <c r="BN830" s="847">
        <f t="shared" si="1271"/>
        <v>0</v>
      </c>
      <c r="BO830" s="847">
        <f t="shared" si="1271"/>
        <v>0</v>
      </c>
      <c r="BP830" s="194">
        <f t="shared" si="1271"/>
        <v>0</v>
      </c>
      <c r="BQ830" s="847">
        <f t="shared" si="1271"/>
        <v>0</v>
      </c>
      <c r="BR830" s="847">
        <f t="shared" si="1271"/>
        <v>0</v>
      </c>
      <c r="BS830" s="847">
        <f t="shared" si="1271"/>
        <v>0</v>
      </c>
      <c r="BT830" s="847">
        <f t="shared" si="1271"/>
        <v>0</v>
      </c>
      <c r="BU830" s="194">
        <f t="shared" ref="BU830:CG830" si="1272">BU544+BU686</f>
        <v>0</v>
      </c>
      <c r="BV830" s="847">
        <f t="shared" si="1272"/>
        <v>0</v>
      </c>
      <c r="BW830" s="847">
        <f t="shared" si="1272"/>
        <v>0</v>
      </c>
      <c r="BX830" s="847">
        <f t="shared" si="1272"/>
        <v>0</v>
      </c>
      <c r="BY830" s="847">
        <f t="shared" si="1272"/>
        <v>0</v>
      </c>
      <c r="BZ830" s="194">
        <f t="shared" si="1272"/>
        <v>0</v>
      </c>
      <c r="CA830" s="847">
        <f t="shared" si="1272"/>
        <v>0</v>
      </c>
      <c r="CB830" s="847">
        <f t="shared" si="1272"/>
        <v>0</v>
      </c>
      <c r="CC830" s="847">
        <f t="shared" si="1272"/>
        <v>0</v>
      </c>
      <c r="CD830" s="847">
        <f t="shared" si="1272"/>
        <v>0</v>
      </c>
      <c r="CE830" s="194">
        <f t="shared" si="1272"/>
        <v>0</v>
      </c>
      <c r="CF830" s="847">
        <f t="shared" si="1272"/>
        <v>0</v>
      </c>
      <c r="CG830" s="847">
        <f t="shared" si="1272"/>
        <v>0</v>
      </c>
      <c r="CH830" s="847">
        <f t="shared" ref="CH830:CV830" si="1273">CH544+CH686</f>
        <v>0</v>
      </c>
      <c r="CI830" s="847">
        <f t="shared" si="1273"/>
        <v>0</v>
      </c>
      <c r="CJ830" s="236">
        <f t="shared" si="1273"/>
        <v>0</v>
      </c>
      <c r="CK830" s="2350">
        <f t="shared" si="1217"/>
        <v>0</v>
      </c>
      <c r="CL830" s="847">
        <f t="shared" ca="1" si="1273"/>
        <v>0</v>
      </c>
      <c r="CM830" s="847">
        <f t="shared" ca="1" si="1273"/>
        <v>0</v>
      </c>
      <c r="CN830" s="847">
        <f t="shared" ca="1" si="1273"/>
        <v>0</v>
      </c>
      <c r="CO830" s="236">
        <f t="shared" ca="1" si="1273"/>
        <v>0</v>
      </c>
      <c r="CP830" s="973">
        <f t="shared" si="1212"/>
        <v>0</v>
      </c>
      <c r="CQ830" s="847">
        <f t="shared" ca="1" si="1212"/>
        <v>0</v>
      </c>
      <c r="CR830" s="847">
        <f t="shared" ca="1" si="1212"/>
        <v>0</v>
      </c>
      <c r="CS830" s="1431">
        <f t="shared" ca="1" si="1212"/>
        <v>0</v>
      </c>
      <c r="CT830" s="236">
        <f t="shared" ca="1" si="1212"/>
        <v>0</v>
      </c>
      <c r="CU830" s="194">
        <f t="shared" ca="1" si="1273"/>
        <v>0</v>
      </c>
      <c r="CV830" s="194">
        <f t="shared" ca="1" si="1273"/>
        <v>0</v>
      </c>
      <c r="CW830" s="374"/>
      <c r="CX830" s="374"/>
      <c r="CY830" s="374"/>
      <c r="CZ830" s="374"/>
      <c r="DA830" s="374"/>
      <c r="DB830" s="217"/>
    </row>
    <row r="831" spans="1:256" x14ac:dyDescent="0.2">
      <c r="A831" s="1436" t="s">
        <v>677</v>
      </c>
      <c r="B831" s="651"/>
      <c r="C831" s="236"/>
      <c r="D831" s="207"/>
      <c r="E831" s="207"/>
      <c r="F831" s="207"/>
      <c r="G831" s="234"/>
      <c r="H831" s="236"/>
      <c r="I831" s="973"/>
      <c r="J831" s="750"/>
      <c r="K831" s="750"/>
      <c r="L831" s="758"/>
      <c r="M831" s="661"/>
      <c r="N831" s="750"/>
      <c r="O831" s="750"/>
      <c r="P831" s="753"/>
      <c r="Q831" s="756"/>
      <c r="R831" s="661"/>
      <c r="S831" s="753"/>
      <c r="T831" s="753"/>
      <c r="U831" s="753"/>
      <c r="V831" s="754"/>
      <c r="W831" s="661"/>
      <c r="X831" s="753"/>
      <c r="Y831" s="753"/>
      <c r="Z831" s="753"/>
      <c r="AA831" s="754"/>
      <c r="AB831" s="661"/>
      <c r="AC831" s="753"/>
      <c r="AD831" s="753"/>
      <c r="AE831" s="753"/>
      <c r="AF831" s="754"/>
      <c r="AG831" s="661"/>
      <c r="AH831" s="753"/>
      <c r="AI831" s="753"/>
      <c r="AJ831" s="753"/>
      <c r="AK831" s="754"/>
      <c r="AL831" s="661"/>
      <c r="AM831" s="753"/>
      <c r="AN831" s="753"/>
      <c r="AO831" s="753"/>
      <c r="AP831" s="754"/>
      <c r="AQ831" s="661"/>
      <c r="AR831" s="845"/>
      <c r="AS831" s="845"/>
      <c r="AT831" s="845"/>
      <c r="AU831" s="845"/>
      <c r="AV831" s="661"/>
      <c r="AW831" s="845"/>
      <c r="AX831" s="845"/>
      <c r="AY831" s="845"/>
      <c r="AZ831" s="845"/>
      <c r="BA831" s="661"/>
      <c r="BB831" s="845"/>
      <c r="BC831" s="845"/>
      <c r="BD831" s="845"/>
      <c r="BE831" s="845"/>
      <c r="BF831" s="661"/>
      <c r="BG831" s="845"/>
      <c r="BH831" s="845"/>
      <c r="BI831" s="845"/>
      <c r="BJ831" s="845"/>
      <c r="BK831" s="661"/>
      <c r="BL831" s="845"/>
      <c r="BM831" s="845"/>
      <c r="BN831" s="845"/>
      <c r="BO831" s="1431">
        <f t="shared" ref="BO831:CG831" si="1274">BO545+BO687</f>
        <v>8098</v>
      </c>
      <c r="BP831" s="661">
        <f t="shared" si="1274"/>
        <v>8098</v>
      </c>
      <c r="BQ831" s="1531">
        <f t="shared" si="1274"/>
        <v>8098</v>
      </c>
      <c r="BR831" s="234">
        <f t="shared" si="1274"/>
        <v>8098</v>
      </c>
      <c r="BS831" s="234">
        <f t="shared" si="1274"/>
        <v>8098</v>
      </c>
      <c r="BT831" s="234">
        <f t="shared" si="1274"/>
        <v>8098</v>
      </c>
      <c r="BU831" s="661">
        <f t="shared" si="1274"/>
        <v>8098</v>
      </c>
      <c r="BV831" s="1531">
        <f t="shared" si="1274"/>
        <v>8098</v>
      </c>
      <c r="BW831" s="234">
        <f t="shared" si="1274"/>
        <v>8098</v>
      </c>
      <c r="BX831" s="234">
        <f t="shared" si="1274"/>
        <v>8098</v>
      </c>
      <c r="BY831" s="234">
        <f t="shared" si="1274"/>
        <v>8098</v>
      </c>
      <c r="BZ831" s="661">
        <f t="shared" si="1274"/>
        <v>8098</v>
      </c>
      <c r="CA831" s="1531">
        <f t="shared" si="1274"/>
        <v>8098</v>
      </c>
      <c r="CB831" s="234">
        <f t="shared" si="1274"/>
        <v>8098</v>
      </c>
      <c r="CC831" s="234">
        <f t="shared" si="1274"/>
        <v>8098</v>
      </c>
      <c r="CD831" s="234">
        <f t="shared" si="1274"/>
        <v>8098</v>
      </c>
      <c r="CE831" s="661">
        <f t="shared" si="1274"/>
        <v>8098</v>
      </c>
      <c r="CF831" s="234">
        <f t="shared" si="1274"/>
        <v>8098</v>
      </c>
      <c r="CG831" s="234">
        <f t="shared" si="1274"/>
        <v>8098</v>
      </c>
      <c r="CH831" s="234">
        <f t="shared" ref="CH831:CV831" si="1275">CH545+CH687</f>
        <v>8098</v>
      </c>
      <c r="CI831" s="234">
        <f t="shared" si="1275"/>
        <v>8098</v>
      </c>
      <c r="CJ831" s="661">
        <f t="shared" si="1275"/>
        <v>8098</v>
      </c>
      <c r="CK831" s="3515">
        <f t="shared" si="1275"/>
        <v>8108</v>
      </c>
      <c r="CL831" s="234">
        <f t="shared" si="1275"/>
        <v>8108</v>
      </c>
      <c r="CM831" s="234">
        <f t="shared" si="1275"/>
        <v>8108</v>
      </c>
      <c r="CN831" s="234">
        <f t="shared" si="1275"/>
        <v>8108</v>
      </c>
      <c r="CO831" s="661">
        <f t="shared" si="1275"/>
        <v>8108</v>
      </c>
      <c r="CP831" s="973">
        <f t="shared" si="1212"/>
        <v>8270.16</v>
      </c>
      <c r="CQ831" s="847">
        <f t="shared" si="1212"/>
        <v>8270.16</v>
      </c>
      <c r="CR831" s="847">
        <f t="shared" si="1212"/>
        <v>8270.16</v>
      </c>
      <c r="CS831" s="1431">
        <f t="shared" si="1212"/>
        <v>8270.16</v>
      </c>
      <c r="CT831" s="661">
        <f t="shared" si="1212"/>
        <v>8270.16</v>
      </c>
      <c r="CU831" s="236">
        <f t="shared" si="1275"/>
        <v>8435.5632000000005</v>
      </c>
      <c r="CV831" s="236">
        <f t="shared" si="1275"/>
        <v>8435.5632000000005</v>
      </c>
      <c r="CW831" s="1201"/>
      <c r="CX831" s="1201"/>
      <c r="CY831" s="1201"/>
      <c r="CZ831" s="1201"/>
      <c r="DA831" s="1201"/>
      <c r="DB831" s="217"/>
      <c r="DF831" s="207"/>
      <c r="DG831" s="207"/>
      <c r="DH831" s="207"/>
      <c r="DI831" s="207"/>
      <c r="DJ831" s="207"/>
      <c r="DK831" s="207"/>
      <c r="DL831" s="207"/>
      <c r="DM831" s="207"/>
      <c r="DN831" s="207"/>
      <c r="DO831" s="207"/>
      <c r="DP831" s="207"/>
      <c r="DQ831" s="207"/>
      <c r="DR831" s="207"/>
      <c r="DS831" s="207"/>
      <c r="DT831" s="207"/>
      <c r="DU831" s="207"/>
      <c r="DV831" s="207"/>
      <c r="DW831" s="207"/>
      <c r="DX831" s="207"/>
      <c r="DY831" s="207"/>
      <c r="DZ831" s="207"/>
      <c r="EA831" s="207"/>
      <c r="EB831" s="207"/>
      <c r="EC831" s="207"/>
      <c r="ED831" s="207"/>
      <c r="EE831" s="207"/>
      <c r="EF831" s="207"/>
      <c r="EG831" s="207"/>
      <c r="EH831" s="207"/>
      <c r="EI831" s="207"/>
      <c r="EJ831" s="207"/>
      <c r="EK831" s="207"/>
      <c r="EL831" s="207"/>
      <c r="EM831" s="207"/>
      <c r="EN831" s="207"/>
      <c r="EO831" s="207"/>
      <c r="EP831" s="207"/>
      <c r="EQ831" s="207"/>
      <c r="ER831" s="207"/>
      <c r="ES831" s="207"/>
      <c r="ET831" s="207"/>
      <c r="EU831" s="207"/>
      <c r="EV831" s="207"/>
      <c r="EW831" s="207"/>
      <c r="EX831" s="207"/>
      <c r="EY831" s="207"/>
      <c r="EZ831" s="207"/>
      <c r="FA831" s="207"/>
      <c r="FB831" s="207"/>
      <c r="FC831" s="207"/>
      <c r="FD831" s="207"/>
      <c r="FE831" s="207"/>
      <c r="FF831" s="207"/>
      <c r="FG831" s="207"/>
      <c r="FH831" s="207"/>
      <c r="FI831" s="207"/>
      <c r="FJ831" s="207"/>
      <c r="FK831" s="207"/>
      <c r="FL831" s="207"/>
      <c r="FM831" s="207"/>
      <c r="FN831" s="207"/>
      <c r="FO831" s="207"/>
      <c r="FP831" s="207"/>
      <c r="FQ831" s="207"/>
      <c r="FR831" s="207"/>
      <c r="FS831" s="207"/>
      <c r="FT831" s="207"/>
      <c r="FU831" s="207"/>
      <c r="FV831" s="207"/>
      <c r="FW831" s="207"/>
      <c r="FX831" s="207"/>
      <c r="FY831" s="207"/>
      <c r="FZ831" s="207"/>
      <c r="GA831" s="207"/>
      <c r="GB831" s="207"/>
      <c r="GC831" s="207"/>
      <c r="GD831" s="207"/>
      <c r="GE831" s="207"/>
      <c r="GF831" s="207"/>
      <c r="GG831" s="207"/>
      <c r="GH831" s="207"/>
      <c r="GI831" s="207"/>
      <c r="GJ831" s="207"/>
      <c r="GK831" s="207"/>
      <c r="GL831" s="207"/>
      <c r="GM831" s="207"/>
      <c r="GN831" s="207"/>
      <c r="GO831" s="207"/>
      <c r="GP831" s="207"/>
      <c r="GQ831" s="207"/>
      <c r="GR831" s="207"/>
      <c r="GS831" s="207"/>
      <c r="GT831" s="207"/>
      <c r="GU831" s="207"/>
      <c r="GV831" s="207"/>
      <c r="GW831" s="207"/>
      <c r="GX831" s="207"/>
      <c r="GY831" s="207"/>
      <c r="GZ831" s="207"/>
      <c r="HA831" s="207"/>
      <c r="HB831" s="207"/>
      <c r="HC831" s="207"/>
      <c r="HD831" s="207"/>
      <c r="HE831" s="207"/>
      <c r="HF831" s="207"/>
      <c r="HG831" s="207"/>
      <c r="HH831" s="207"/>
      <c r="HI831" s="207"/>
      <c r="HJ831" s="207"/>
      <c r="HK831" s="207"/>
      <c r="HL831" s="207"/>
      <c r="HM831" s="207"/>
      <c r="HN831" s="207"/>
      <c r="HO831" s="207"/>
      <c r="HP831" s="207"/>
      <c r="HQ831" s="207"/>
      <c r="HR831" s="207"/>
      <c r="HS831" s="207"/>
      <c r="HT831" s="207"/>
      <c r="HU831" s="207"/>
      <c r="HV831" s="207"/>
      <c r="HW831" s="207"/>
      <c r="HX831" s="207"/>
      <c r="HY831" s="207"/>
      <c r="HZ831" s="207"/>
      <c r="IA831" s="207"/>
      <c r="IB831" s="207"/>
      <c r="IC831" s="207"/>
      <c r="ID831" s="207"/>
      <c r="IE831" s="207"/>
      <c r="IF831" s="207"/>
      <c r="IG831" s="207"/>
      <c r="IH831" s="207"/>
      <c r="II831" s="207"/>
      <c r="IJ831" s="207"/>
      <c r="IK831" s="207"/>
      <c r="IL831" s="207"/>
      <c r="IM831" s="207"/>
      <c r="IN831" s="207"/>
      <c r="IO831" s="207"/>
      <c r="IP831" s="207"/>
      <c r="IQ831" s="207"/>
      <c r="IR831" s="207"/>
      <c r="IS831" s="207"/>
      <c r="IT831" s="207"/>
      <c r="IU831" s="207"/>
      <c r="IV831" s="207"/>
    </row>
    <row r="832" spans="1:256" x14ac:dyDescent="0.2">
      <c r="A832" s="2360" t="s">
        <v>2285</v>
      </c>
      <c r="B832" s="651"/>
      <c r="C832" s="236"/>
      <c r="D832" s="207"/>
      <c r="E832" s="207"/>
      <c r="F832" s="207"/>
      <c r="G832" s="234"/>
      <c r="H832" s="236"/>
      <c r="I832" s="847"/>
      <c r="J832" s="750"/>
      <c r="K832" s="750"/>
      <c r="L832" s="758"/>
      <c r="M832" s="661"/>
      <c r="N832" s="750"/>
      <c r="O832" s="750"/>
      <c r="P832" s="753"/>
      <c r="Q832" s="756"/>
      <c r="R832" s="661"/>
      <c r="S832" s="753"/>
      <c r="T832" s="753"/>
      <c r="U832" s="753"/>
      <c r="V832" s="756"/>
      <c r="W832" s="661"/>
      <c r="X832" s="753"/>
      <c r="Y832" s="753"/>
      <c r="Z832" s="753"/>
      <c r="AA832" s="756"/>
      <c r="AB832" s="661"/>
      <c r="AC832" s="753"/>
      <c r="AD832" s="753"/>
      <c r="AE832" s="753"/>
      <c r="AF832" s="756"/>
      <c r="AG832" s="661"/>
      <c r="AH832" s="753"/>
      <c r="AI832" s="753"/>
      <c r="AJ832" s="753"/>
      <c r="AK832" s="756"/>
      <c r="AL832" s="661"/>
      <c r="AM832" s="753"/>
      <c r="AN832" s="753"/>
      <c r="AO832" s="753"/>
      <c r="AP832" s="756"/>
      <c r="AQ832" s="661"/>
      <c r="AR832" s="845"/>
      <c r="AS832" s="845"/>
      <c r="AT832" s="845"/>
      <c r="AU832" s="845"/>
      <c r="AV832" s="661"/>
      <c r="AW832" s="845"/>
      <c r="AX832" s="845"/>
      <c r="AY832" s="845"/>
      <c r="AZ832" s="845"/>
      <c r="BA832" s="661"/>
      <c r="BB832" s="845"/>
      <c r="BC832" s="845"/>
      <c r="BD832" s="845"/>
      <c r="BE832" s="845"/>
      <c r="BF832" s="661"/>
      <c r="BG832" s="845"/>
      <c r="BH832" s="845"/>
      <c r="BI832" s="845"/>
      <c r="BJ832" s="845"/>
      <c r="BK832" s="661"/>
      <c r="BL832" s="845"/>
      <c r="BM832" s="845"/>
      <c r="BN832" s="845"/>
      <c r="BO832" s="847"/>
      <c r="BP832" s="661"/>
      <c r="BQ832" s="1531"/>
      <c r="BR832" s="234"/>
      <c r="BS832" s="234"/>
      <c r="BT832" s="234"/>
      <c r="BU832" s="661"/>
      <c r="BV832" s="1531"/>
      <c r="BW832" s="234"/>
      <c r="BX832" s="234"/>
      <c r="BY832" s="234"/>
      <c r="BZ832" s="661"/>
      <c r="CA832" s="1531"/>
      <c r="CB832" s="234">
        <f t="shared" ref="CB832:CV832" si="1276">CB546</f>
        <v>9595</v>
      </c>
      <c r="CC832" s="234">
        <f t="shared" si="1276"/>
        <v>9590</v>
      </c>
      <c r="CD832" s="234">
        <f t="shared" si="1276"/>
        <v>9385</v>
      </c>
      <c r="CE832" s="661">
        <f t="shared" si="1276"/>
        <v>9385</v>
      </c>
      <c r="CF832" s="234">
        <f t="shared" si="1276"/>
        <v>9784</v>
      </c>
      <c r="CG832" s="234">
        <f t="shared" si="1276"/>
        <v>9784</v>
      </c>
      <c r="CH832" s="234">
        <f t="shared" si="1276"/>
        <v>9784</v>
      </c>
      <c r="CI832" s="234">
        <f t="shared" si="1276"/>
        <v>9784</v>
      </c>
      <c r="CJ832" s="661">
        <f t="shared" si="1276"/>
        <v>9784</v>
      </c>
      <c r="CK832" s="3515">
        <f t="shared" si="1276"/>
        <v>10553</v>
      </c>
      <c r="CL832" s="234">
        <f t="shared" si="1276"/>
        <v>11426</v>
      </c>
      <c r="CM832" s="234">
        <f t="shared" si="1276"/>
        <v>12031</v>
      </c>
      <c r="CN832" s="234">
        <f t="shared" si="1276"/>
        <v>12373</v>
      </c>
      <c r="CO832" s="661">
        <f t="shared" si="1276"/>
        <v>12373</v>
      </c>
      <c r="CP832" s="973">
        <f>CP546</f>
        <v>10953.51</v>
      </c>
      <c r="CQ832" s="847">
        <f>CQ546</f>
        <v>11794.380000000001</v>
      </c>
      <c r="CR832" s="847">
        <f>CR546</f>
        <v>12376.96</v>
      </c>
      <c r="CS832" s="1431">
        <f>CS546</f>
        <v>12676.55</v>
      </c>
      <c r="CT832" s="661">
        <f>CT546</f>
        <v>12676.55</v>
      </c>
      <c r="CU832" s="236">
        <f t="shared" si="1276"/>
        <v>13161.1718</v>
      </c>
      <c r="CV832" s="236">
        <f t="shared" si="1276"/>
        <v>13344.888986</v>
      </c>
      <c r="CW832" s="1201"/>
      <c r="CX832" s="1201"/>
      <c r="CY832" s="1201"/>
      <c r="CZ832" s="1201"/>
      <c r="DA832" s="1201"/>
      <c r="DB832" s="217"/>
      <c r="DF832" s="207"/>
      <c r="DG832" s="207"/>
      <c r="DH832" s="207"/>
      <c r="DI832" s="207"/>
      <c r="DJ832" s="207"/>
      <c r="DK832" s="207"/>
      <c r="DL832" s="207"/>
      <c r="DM832" s="207"/>
      <c r="DN832" s="207"/>
      <c r="DO832" s="207"/>
      <c r="DP832" s="207"/>
      <c r="DQ832" s="207"/>
      <c r="DR832" s="207"/>
      <c r="DS832" s="207"/>
      <c r="DT832" s="207"/>
      <c r="DU832" s="207"/>
      <c r="DV832" s="207"/>
      <c r="DW832" s="207"/>
      <c r="DX832" s="207"/>
      <c r="DY832" s="207"/>
      <c r="DZ832" s="207"/>
      <c r="EA832" s="207"/>
      <c r="EB832" s="207"/>
      <c r="EC832" s="207"/>
      <c r="ED832" s="207"/>
      <c r="EE832" s="207"/>
      <c r="EF832" s="207"/>
      <c r="EG832" s="207"/>
      <c r="EH832" s="207"/>
      <c r="EI832" s="207"/>
      <c r="EJ832" s="207"/>
      <c r="EK832" s="207"/>
      <c r="EL832" s="207"/>
      <c r="EM832" s="207"/>
      <c r="EN832" s="207"/>
      <c r="EO832" s="207"/>
      <c r="EP832" s="207"/>
      <c r="EQ832" s="207"/>
      <c r="ER832" s="207"/>
      <c r="ES832" s="207"/>
      <c r="ET832" s="207"/>
      <c r="EU832" s="207"/>
      <c r="EV832" s="207"/>
      <c r="EW832" s="207"/>
      <c r="EX832" s="207"/>
      <c r="EY832" s="207"/>
      <c r="EZ832" s="207"/>
      <c r="FA832" s="207"/>
      <c r="FB832" s="207"/>
      <c r="FC832" s="207"/>
      <c r="FD832" s="207"/>
      <c r="FE832" s="207"/>
      <c r="FF832" s="207"/>
      <c r="FG832" s="207"/>
      <c r="FH832" s="207"/>
      <c r="FI832" s="207"/>
      <c r="FJ832" s="207"/>
      <c r="FK832" s="207"/>
      <c r="FL832" s="207"/>
      <c r="FM832" s="207"/>
      <c r="FN832" s="207"/>
      <c r="FO832" s="207"/>
      <c r="FP832" s="207"/>
      <c r="FQ832" s="207"/>
      <c r="FR832" s="207"/>
      <c r="FS832" s="207"/>
      <c r="FT832" s="207"/>
      <c r="FU832" s="207"/>
      <c r="FV832" s="207"/>
      <c r="FW832" s="207"/>
      <c r="FX832" s="207"/>
      <c r="FY832" s="207"/>
      <c r="FZ832" s="207"/>
      <c r="GA832" s="207"/>
      <c r="GB832" s="207"/>
      <c r="GC832" s="207"/>
      <c r="GD832" s="207"/>
      <c r="GE832" s="207"/>
      <c r="GF832" s="207"/>
      <c r="GG832" s="207"/>
      <c r="GH832" s="207"/>
      <c r="GI832" s="207"/>
      <c r="GJ832" s="207"/>
      <c r="GK832" s="207"/>
      <c r="GL832" s="207"/>
      <c r="GM832" s="207"/>
      <c r="GN832" s="207"/>
      <c r="GO832" s="207"/>
      <c r="GP832" s="207"/>
      <c r="GQ832" s="207"/>
      <c r="GR832" s="207"/>
      <c r="GS832" s="207"/>
      <c r="GT832" s="207"/>
      <c r="GU832" s="207"/>
      <c r="GV832" s="207"/>
      <c r="GW832" s="207"/>
      <c r="GX832" s="207"/>
      <c r="GY832" s="207"/>
      <c r="GZ832" s="207"/>
      <c r="HA832" s="207"/>
      <c r="HB832" s="207"/>
      <c r="HC832" s="207"/>
      <c r="HD832" s="207"/>
      <c r="HE832" s="207"/>
      <c r="HF832" s="207"/>
      <c r="HG832" s="207"/>
      <c r="HH832" s="207"/>
      <c r="HI832" s="207"/>
      <c r="HJ832" s="207"/>
      <c r="HK832" s="207"/>
      <c r="HL832" s="207"/>
      <c r="HM832" s="207"/>
      <c r="HN832" s="207"/>
      <c r="HO832" s="207"/>
      <c r="HP832" s="207"/>
      <c r="HQ832" s="207"/>
      <c r="HR832" s="207"/>
      <c r="HS832" s="207"/>
      <c r="HT832" s="207"/>
      <c r="HU832" s="207"/>
      <c r="HV832" s="207"/>
      <c r="HW832" s="207"/>
      <c r="HX832" s="207"/>
      <c r="HY832" s="207"/>
      <c r="HZ832" s="207"/>
      <c r="IA832" s="207"/>
      <c r="IB832" s="207"/>
      <c r="IC832" s="207"/>
      <c r="ID832" s="207"/>
      <c r="IE832" s="207"/>
      <c r="IF832" s="207"/>
      <c r="IG832" s="207"/>
      <c r="IH832" s="207"/>
      <c r="II832" s="207"/>
      <c r="IJ832" s="207"/>
      <c r="IK832" s="207"/>
      <c r="IL832" s="207"/>
      <c r="IM832" s="207"/>
      <c r="IN832" s="207"/>
      <c r="IO832" s="207"/>
      <c r="IP832" s="207"/>
      <c r="IQ832" s="207"/>
      <c r="IR832" s="207"/>
      <c r="IS832" s="207"/>
      <c r="IT832" s="207"/>
      <c r="IU832" s="207"/>
      <c r="IV832" s="207"/>
    </row>
    <row r="833" spans="1:256" s="207" customFormat="1" x14ac:dyDescent="0.2">
      <c r="A833" s="1266" t="s">
        <v>384</v>
      </c>
      <c r="B833" s="651"/>
      <c r="C833" s="236"/>
      <c r="G833" s="234"/>
      <c r="H833" s="661"/>
      <c r="I833" s="847">
        <f t="shared" ref="I833:AN833" si="1277">I547+I688</f>
        <v>1733</v>
      </c>
      <c r="J833" s="847">
        <f t="shared" si="1277"/>
        <v>1733</v>
      </c>
      <c r="K833" s="847">
        <f t="shared" si="1277"/>
        <v>1783</v>
      </c>
      <c r="L833" s="847">
        <f t="shared" si="1277"/>
        <v>1896</v>
      </c>
      <c r="M833" s="661">
        <f t="shared" si="1277"/>
        <v>1896</v>
      </c>
      <c r="N833" s="847">
        <f t="shared" si="1277"/>
        <v>2068</v>
      </c>
      <c r="O833" s="847">
        <f t="shared" si="1277"/>
        <v>2068</v>
      </c>
      <c r="P833" s="847">
        <f t="shared" si="1277"/>
        <v>2008</v>
      </c>
      <c r="Q833" s="847">
        <f t="shared" si="1277"/>
        <v>2007</v>
      </c>
      <c r="R833" s="661">
        <f t="shared" si="1277"/>
        <v>2007</v>
      </c>
      <c r="S833" s="847">
        <f t="shared" si="1277"/>
        <v>2167</v>
      </c>
      <c r="T833" s="847">
        <f t="shared" si="1277"/>
        <v>2167</v>
      </c>
      <c r="U833" s="847">
        <f t="shared" si="1277"/>
        <v>2167</v>
      </c>
      <c r="V833" s="847">
        <f t="shared" si="1277"/>
        <v>2322</v>
      </c>
      <c r="W833" s="661">
        <f t="shared" si="1277"/>
        <v>2322</v>
      </c>
      <c r="X833" s="847">
        <f t="shared" si="1277"/>
        <v>2422</v>
      </c>
      <c r="Y833" s="847">
        <f t="shared" si="1277"/>
        <v>2471</v>
      </c>
      <c r="Z833" s="847">
        <f t="shared" si="1277"/>
        <v>2471</v>
      </c>
      <c r="AA833" s="847">
        <f t="shared" si="1277"/>
        <v>2471</v>
      </c>
      <c r="AB833" s="661">
        <f t="shared" si="1277"/>
        <v>2471</v>
      </c>
      <c r="AC833" s="847">
        <f t="shared" si="1277"/>
        <v>2585</v>
      </c>
      <c r="AD833" s="847">
        <f t="shared" si="1277"/>
        <v>2809</v>
      </c>
      <c r="AE833" s="847">
        <f t="shared" si="1277"/>
        <v>2809</v>
      </c>
      <c r="AF833" s="847">
        <f t="shared" si="1277"/>
        <v>2852</v>
      </c>
      <c r="AG833" s="661">
        <f t="shared" si="1277"/>
        <v>2852</v>
      </c>
      <c r="AH833" s="847">
        <f t="shared" si="1277"/>
        <v>2852</v>
      </c>
      <c r="AI833" s="847">
        <f t="shared" si="1277"/>
        <v>2804</v>
      </c>
      <c r="AJ833" s="847">
        <f t="shared" si="1277"/>
        <v>3027</v>
      </c>
      <c r="AK833" s="847">
        <f t="shared" si="1277"/>
        <v>2977</v>
      </c>
      <c r="AL833" s="661">
        <f t="shared" si="1277"/>
        <v>2977</v>
      </c>
      <c r="AM833" s="847">
        <f t="shared" si="1277"/>
        <v>3042</v>
      </c>
      <c r="AN833" s="847">
        <f t="shared" si="1277"/>
        <v>2948</v>
      </c>
      <c r="AO833" s="847">
        <f t="shared" ref="AO833:BT833" si="1278">AO547+AO688</f>
        <v>3036</v>
      </c>
      <c r="AP833" s="847">
        <f t="shared" si="1278"/>
        <v>2905</v>
      </c>
      <c r="AQ833" s="661">
        <f t="shared" si="1278"/>
        <v>2905</v>
      </c>
      <c r="AR833" s="847">
        <f t="shared" si="1278"/>
        <v>2887</v>
      </c>
      <c r="AS833" s="847">
        <f t="shared" si="1278"/>
        <v>3029</v>
      </c>
      <c r="AT833" s="847">
        <f t="shared" si="1278"/>
        <v>3029</v>
      </c>
      <c r="AU833" s="847">
        <f t="shared" si="1278"/>
        <v>3217</v>
      </c>
      <c r="AV833" s="661">
        <f t="shared" si="1278"/>
        <v>3217</v>
      </c>
      <c r="AW833" s="847">
        <f t="shared" si="1278"/>
        <v>3337</v>
      </c>
      <c r="AX833" s="847">
        <f t="shared" si="1278"/>
        <v>3412</v>
      </c>
      <c r="AY833" s="847">
        <f t="shared" si="1278"/>
        <v>3580</v>
      </c>
      <c r="AZ833" s="847">
        <f t="shared" si="1278"/>
        <v>3880</v>
      </c>
      <c r="BA833" s="661">
        <f t="shared" si="1278"/>
        <v>3880</v>
      </c>
      <c r="BB833" s="847">
        <f t="shared" si="1278"/>
        <v>3903</v>
      </c>
      <c r="BC833" s="847">
        <f t="shared" si="1278"/>
        <v>3679</v>
      </c>
      <c r="BD833" s="847">
        <f t="shared" si="1278"/>
        <v>3775</v>
      </c>
      <c r="BE833" s="847">
        <f t="shared" si="1278"/>
        <v>3775</v>
      </c>
      <c r="BF833" s="661">
        <f t="shared" si="1278"/>
        <v>3775</v>
      </c>
      <c r="BG833" s="847">
        <f t="shared" si="1278"/>
        <v>3775</v>
      </c>
      <c r="BH833" s="847">
        <f t="shared" si="1278"/>
        <v>3562</v>
      </c>
      <c r="BI833" s="847">
        <f t="shared" si="1278"/>
        <v>3562</v>
      </c>
      <c r="BJ833" s="847">
        <f t="shared" si="1278"/>
        <v>3700</v>
      </c>
      <c r="BK833" s="661">
        <f t="shared" si="1278"/>
        <v>3700</v>
      </c>
      <c r="BL833" s="847">
        <f t="shared" si="1278"/>
        <v>3826</v>
      </c>
      <c r="BM833" s="847">
        <f t="shared" si="1278"/>
        <v>3846</v>
      </c>
      <c r="BN833" s="847">
        <f t="shared" si="1278"/>
        <v>3846</v>
      </c>
      <c r="BO833" s="847">
        <f t="shared" si="1278"/>
        <v>4066</v>
      </c>
      <c r="BP833" s="194">
        <f t="shared" si="1278"/>
        <v>4066</v>
      </c>
      <c r="BQ833" s="847">
        <f t="shared" si="1278"/>
        <v>4140</v>
      </c>
      <c r="BR833" s="847">
        <f t="shared" si="1278"/>
        <v>4295</v>
      </c>
      <c r="BS833" s="847">
        <f t="shared" si="1278"/>
        <v>4295</v>
      </c>
      <c r="BT833" s="847">
        <f t="shared" si="1278"/>
        <v>4295</v>
      </c>
      <c r="BU833" s="194">
        <f t="shared" ref="BU833:CV833" si="1279">BU547+BU688</f>
        <v>4295</v>
      </c>
      <c r="BV833" s="847">
        <f t="shared" si="1279"/>
        <v>4423</v>
      </c>
      <c r="BW833" s="847">
        <f t="shared" si="1279"/>
        <v>4423</v>
      </c>
      <c r="BX833" s="847">
        <f t="shared" si="1279"/>
        <v>4285</v>
      </c>
      <c r="BY833" s="847">
        <f t="shared" si="1279"/>
        <v>4261</v>
      </c>
      <c r="BZ833" s="194">
        <f t="shared" si="1279"/>
        <v>4261</v>
      </c>
      <c r="CA833" s="847">
        <f t="shared" si="1279"/>
        <v>4038</v>
      </c>
      <c r="CB833" s="847">
        <f t="shared" si="1279"/>
        <v>4149</v>
      </c>
      <c r="CC833" s="847">
        <f t="shared" si="1279"/>
        <v>4181</v>
      </c>
      <c r="CD833" s="847">
        <f t="shared" si="1279"/>
        <v>4181</v>
      </c>
      <c r="CE833" s="194">
        <f t="shared" si="1279"/>
        <v>4181</v>
      </c>
      <c r="CF833" s="847">
        <f t="shared" si="1279"/>
        <v>4131</v>
      </c>
      <c r="CG833" s="847">
        <f t="shared" si="1279"/>
        <v>4131</v>
      </c>
      <c r="CH833" s="847">
        <f t="shared" si="1279"/>
        <v>4195</v>
      </c>
      <c r="CI833" s="847">
        <f t="shared" si="1279"/>
        <v>4195</v>
      </c>
      <c r="CJ833" s="236">
        <f t="shared" si="1279"/>
        <v>4195</v>
      </c>
      <c r="CK833" s="2350">
        <f t="shared" si="1279"/>
        <v>4195</v>
      </c>
      <c r="CL833" s="847">
        <f t="shared" ca="1" si="1279"/>
        <v>4195</v>
      </c>
      <c r="CM833" s="847">
        <f t="shared" ca="1" si="1279"/>
        <v>4195</v>
      </c>
      <c r="CN833" s="847">
        <f t="shared" ca="1" si="1279"/>
        <v>4270</v>
      </c>
      <c r="CO833" s="236">
        <f t="shared" ca="1" si="1279"/>
        <v>4270</v>
      </c>
      <c r="CP833" s="973">
        <f>CP547+CP688</f>
        <v>4404.75</v>
      </c>
      <c r="CQ833" s="847">
        <f ca="1">CQ547+CQ688</f>
        <v>4446.7</v>
      </c>
      <c r="CR833" s="847">
        <f ca="1">CR547+CR688</f>
        <v>4446.7</v>
      </c>
      <c r="CS833" s="1431">
        <f ca="1">CS547+CS688</f>
        <v>4526.2</v>
      </c>
      <c r="CT833" s="236">
        <f ca="1">CT547+CT688</f>
        <v>4526.2</v>
      </c>
      <c r="CU833" s="194">
        <f t="shared" ca="1" si="1279"/>
        <v>4775.1409999999996</v>
      </c>
      <c r="CV833" s="194">
        <f t="shared" ca="1" si="1279"/>
        <v>4870.6438199999993</v>
      </c>
      <c r="CW833" s="374"/>
      <c r="CX833" s="374"/>
      <c r="CY833" s="374"/>
      <c r="CZ833" s="374"/>
      <c r="DA833" s="374"/>
      <c r="DB833" s="217"/>
      <c r="DC833" s="212"/>
      <c r="DD833" s="212"/>
      <c r="DE833" s="70"/>
      <c r="DF833" s="70"/>
      <c r="DG833" s="70"/>
      <c r="DH833" s="70"/>
      <c r="DI833" s="70"/>
      <c r="DJ833" s="70"/>
      <c r="DK833" s="70"/>
      <c r="DL833" s="70"/>
      <c r="DM833" s="70"/>
      <c r="DN833" s="70"/>
      <c r="DO833" s="70"/>
      <c r="DP833" s="70"/>
      <c r="DQ833" s="70"/>
      <c r="DR833" s="70"/>
      <c r="DS833" s="70"/>
      <c r="DT833" s="70"/>
      <c r="DU833" s="70"/>
      <c r="DV833" s="70"/>
      <c r="DW833" s="70"/>
      <c r="DX833" s="70"/>
      <c r="DY833" s="70"/>
      <c r="DZ833" s="70"/>
      <c r="EA833" s="70"/>
      <c r="EB833" s="70"/>
      <c r="EC833" s="70"/>
      <c r="ED833" s="70"/>
      <c r="EE833" s="70"/>
      <c r="EF833" s="70"/>
      <c r="EG833" s="70"/>
      <c r="EH833" s="70"/>
      <c r="EI833" s="70"/>
      <c r="EJ833" s="70"/>
      <c r="EK833" s="70"/>
      <c r="EL833" s="70"/>
      <c r="EM833" s="70"/>
      <c r="EN833" s="70"/>
      <c r="EO833" s="70"/>
      <c r="EP833" s="70"/>
      <c r="EQ833" s="70"/>
      <c r="ER833" s="70"/>
      <c r="ES833" s="70"/>
      <c r="ET833" s="70"/>
      <c r="EU833" s="70"/>
      <c r="EV833" s="70"/>
      <c r="EW833" s="70"/>
      <c r="EX833" s="70"/>
      <c r="EY833" s="70"/>
      <c r="EZ833" s="70"/>
      <c r="FA833" s="70"/>
      <c r="FB833" s="70"/>
      <c r="FC833" s="70"/>
      <c r="FD833" s="70"/>
      <c r="FE833" s="70"/>
      <c r="FF833" s="70"/>
      <c r="FG833" s="70"/>
      <c r="FH833" s="70"/>
      <c r="FI833" s="70"/>
      <c r="FJ833" s="70"/>
      <c r="FK833" s="70"/>
      <c r="FL833" s="70"/>
      <c r="FM833" s="70"/>
      <c r="FN833" s="70"/>
      <c r="FO833" s="70"/>
      <c r="FP833" s="70"/>
      <c r="FQ833" s="70"/>
      <c r="FR833" s="70"/>
      <c r="FS833" s="70"/>
      <c r="FT833" s="70"/>
      <c r="FU833" s="70"/>
      <c r="FV833" s="70"/>
      <c r="FW833" s="70"/>
      <c r="FX833" s="70"/>
      <c r="FY833" s="70"/>
      <c r="FZ833" s="70"/>
      <c r="GA833" s="70"/>
      <c r="GB833" s="70"/>
      <c r="GC833" s="70"/>
      <c r="GD833" s="70"/>
      <c r="GE833" s="70"/>
      <c r="GF833" s="70"/>
      <c r="GG833" s="70"/>
      <c r="GH833" s="70"/>
      <c r="GI833" s="70"/>
      <c r="GJ833" s="70"/>
      <c r="GK833" s="70"/>
      <c r="GL833" s="70"/>
      <c r="GM833" s="70"/>
      <c r="GN833" s="70"/>
      <c r="GO833" s="70"/>
      <c r="GP833" s="70"/>
      <c r="GQ833" s="70"/>
      <c r="GR833" s="70"/>
      <c r="GS833" s="70"/>
      <c r="GT833" s="70"/>
      <c r="GU833" s="70"/>
      <c r="GV833" s="70"/>
      <c r="GW833" s="70"/>
      <c r="GX833" s="70"/>
      <c r="GY833" s="70"/>
      <c r="GZ833" s="70"/>
      <c r="HA833" s="70"/>
      <c r="HB833" s="70"/>
      <c r="HC833" s="70"/>
      <c r="HD833" s="70"/>
      <c r="HE833" s="70"/>
      <c r="HF833" s="70"/>
      <c r="HG833" s="70"/>
      <c r="HH833" s="70"/>
      <c r="HI833" s="70"/>
      <c r="HJ833" s="70"/>
      <c r="HK833" s="70"/>
      <c r="HL833" s="70"/>
      <c r="HM833" s="70"/>
      <c r="HN833" s="70"/>
      <c r="HO833" s="70"/>
      <c r="HP833" s="70"/>
      <c r="HQ833" s="70"/>
      <c r="HR833" s="70"/>
      <c r="HS833" s="70"/>
      <c r="HT833" s="70"/>
      <c r="HU833" s="70"/>
      <c r="HV833" s="70"/>
      <c r="HW833" s="70"/>
      <c r="HX833" s="70"/>
      <c r="HY833" s="70"/>
      <c r="HZ833" s="70"/>
      <c r="IA833" s="70"/>
      <c r="IB833" s="70"/>
      <c r="IC833" s="70"/>
      <c r="ID833" s="70"/>
      <c r="IE833" s="70"/>
      <c r="IF833" s="70"/>
      <c r="IG833" s="70"/>
      <c r="IH833" s="70"/>
      <c r="II833" s="70"/>
      <c r="IJ833" s="70"/>
      <c r="IK833" s="70"/>
      <c r="IL833" s="70"/>
      <c r="IM833" s="70"/>
      <c r="IN833" s="70"/>
      <c r="IO833" s="70"/>
      <c r="IP833" s="70"/>
      <c r="IQ833" s="70"/>
      <c r="IR833" s="70"/>
      <c r="IS833" s="70"/>
      <c r="IT833" s="70"/>
      <c r="IU833" s="70"/>
      <c r="IV833" s="70"/>
    </row>
    <row r="834" spans="1:256" s="207" customFormat="1" ht="4.5" customHeight="1" x14ac:dyDescent="0.2">
      <c r="A834" s="1266"/>
      <c r="B834" s="651"/>
      <c r="C834" s="236"/>
      <c r="G834" s="234"/>
      <c r="H834" s="661"/>
      <c r="I834" s="847"/>
      <c r="J834" s="847"/>
      <c r="K834" s="847"/>
      <c r="L834" s="847"/>
      <c r="M834" s="661"/>
      <c r="N834" s="847"/>
      <c r="O834" s="847"/>
      <c r="P834" s="847"/>
      <c r="Q834" s="847"/>
      <c r="R834" s="661"/>
      <c r="S834" s="847"/>
      <c r="T834" s="847"/>
      <c r="U834" s="847"/>
      <c r="V834" s="847"/>
      <c r="W834" s="661"/>
      <c r="X834" s="847"/>
      <c r="Y834" s="847"/>
      <c r="Z834" s="847"/>
      <c r="AA834" s="847"/>
      <c r="AB834" s="661"/>
      <c r="AC834" s="847"/>
      <c r="AD834" s="847"/>
      <c r="AE834" s="847"/>
      <c r="AF834" s="847"/>
      <c r="AG834" s="661"/>
      <c r="AH834" s="847"/>
      <c r="AI834" s="847"/>
      <c r="AJ834" s="847"/>
      <c r="AK834" s="847"/>
      <c r="AL834" s="661"/>
      <c r="AM834" s="847"/>
      <c r="AN834" s="847"/>
      <c r="AO834" s="847"/>
      <c r="AP834" s="847"/>
      <c r="AQ834" s="661"/>
      <c r="AR834" s="847"/>
      <c r="AS834" s="847"/>
      <c r="AT834" s="847"/>
      <c r="AU834" s="847"/>
      <c r="AV834" s="661"/>
      <c r="AW834" s="847"/>
      <c r="AX834" s="847"/>
      <c r="AY834" s="847"/>
      <c r="AZ834" s="847"/>
      <c r="BA834" s="661"/>
      <c r="BB834" s="847"/>
      <c r="BC834" s="847"/>
      <c r="BD834" s="847"/>
      <c r="BE834" s="847"/>
      <c r="BF834" s="661"/>
      <c r="BG834" s="847"/>
      <c r="BH834" s="847"/>
      <c r="BI834" s="847"/>
      <c r="BJ834" s="847"/>
      <c r="BK834" s="661"/>
      <c r="BL834" s="847"/>
      <c r="BM834" s="847"/>
      <c r="BN834" s="847"/>
      <c r="BO834" s="847"/>
      <c r="BP834" s="194"/>
      <c r="BQ834" s="847"/>
      <c r="BR834" s="847"/>
      <c r="BS834" s="847"/>
      <c r="BT834" s="847"/>
      <c r="BU834" s="194"/>
      <c r="BV834" s="847"/>
      <c r="BW834" s="847"/>
      <c r="BX834" s="847"/>
      <c r="BY834" s="847"/>
      <c r="BZ834" s="194"/>
      <c r="CA834" s="847"/>
      <c r="CB834" s="847"/>
      <c r="CC834" s="847"/>
      <c r="CD834" s="847"/>
      <c r="CE834" s="194"/>
      <c r="CF834" s="847"/>
      <c r="CG834" s="847"/>
      <c r="CH834" s="847"/>
      <c r="CI834" s="847"/>
      <c r="CJ834" s="236"/>
      <c r="CK834" s="2350"/>
      <c r="CL834" s="847"/>
      <c r="CM834" s="847"/>
      <c r="CN834" s="847"/>
      <c r="CO834" s="236"/>
      <c r="CP834" s="973"/>
      <c r="CQ834" s="847"/>
      <c r="CR834" s="847"/>
      <c r="CS834" s="1431"/>
      <c r="CT834" s="236"/>
      <c r="CU834" s="194"/>
      <c r="CV834" s="194"/>
      <c r="CW834" s="374"/>
      <c r="CX834" s="374"/>
      <c r="CY834" s="374"/>
      <c r="CZ834" s="374"/>
      <c r="DA834" s="374"/>
      <c r="DB834" s="217"/>
      <c r="DC834" s="212"/>
      <c r="DD834" s="212"/>
      <c r="DE834" s="70"/>
      <c r="DF834" s="70"/>
      <c r="DG834" s="70"/>
      <c r="DH834" s="70"/>
      <c r="DI834" s="70"/>
      <c r="DJ834" s="70"/>
      <c r="DK834" s="70"/>
      <c r="DL834" s="70"/>
      <c r="DM834" s="70"/>
      <c r="DN834" s="70"/>
      <c r="DO834" s="70"/>
      <c r="DP834" s="70"/>
      <c r="DQ834" s="70"/>
      <c r="DR834" s="70"/>
      <c r="DS834" s="70"/>
      <c r="DT834" s="70"/>
      <c r="DU834" s="70"/>
      <c r="DV834" s="70"/>
      <c r="DW834" s="70"/>
      <c r="DX834" s="70"/>
      <c r="DY834" s="70"/>
      <c r="DZ834" s="70"/>
      <c r="EA834" s="70"/>
      <c r="EB834" s="70"/>
      <c r="EC834" s="70"/>
      <c r="ED834" s="70"/>
      <c r="EE834" s="70"/>
      <c r="EF834" s="70"/>
      <c r="EG834" s="70"/>
      <c r="EH834" s="70"/>
      <c r="EI834" s="70"/>
      <c r="EJ834" s="70"/>
      <c r="EK834" s="70"/>
      <c r="EL834" s="70"/>
      <c r="EM834" s="70"/>
      <c r="EN834" s="70"/>
      <c r="EO834" s="70"/>
      <c r="EP834" s="70"/>
      <c r="EQ834" s="70"/>
      <c r="ER834" s="70"/>
      <c r="ES834" s="70"/>
      <c r="ET834" s="70"/>
      <c r="EU834" s="70"/>
      <c r="EV834" s="70"/>
      <c r="EW834" s="70"/>
      <c r="EX834" s="70"/>
      <c r="EY834" s="70"/>
      <c r="EZ834" s="70"/>
      <c r="FA834" s="70"/>
      <c r="FB834" s="70"/>
      <c r="FC834" s="70"/>
      <c r="FD834" s="70"/>
      <c r="FE834" s="70"/>
      <c r="FF834" s="70"/>
      <c r="FG834" s="70"/>
      <c r="FH834" s="70"/>
      <c r="FI834" s="70"/>
      <c r="FJ834" s="70"/>
      <c r="FK834" s="70"/>
      <c r="FL834" s="70"/>
      <c r="FM834" s="70"/>
      <c r="FN834" s="70"/>
      <c r="FO834" s="70"/>
      <c r="FP834" s="70"/>
      <c r="FQ834" s="70"/>
      <c r="FR834" s="70"/>
      <c r="FS834" s="70"/>
      <c r="FT834" s="70"/>
      <c r="FU834" s="70"/>
      <c r="FV834" s="70"/>
      <c r="FW834" s="70"/>
      <c r="FX834" s="70"/>
      <c r="FY834" s="70"/>
      <c r="FZ834" s="70"/>
      <c r="GA834" s="70"/>
      <c r="GB834" s="70"/>
      <c r="GC834" s="70"/>
      <c r="GD834" s="70"/>
      <c r="GE834" s="70"/>
      <c r="GF834" s="70"/>
      <c r="GG834" s="70"/>
      <c r="GH834" s="70"/>
      <c r="GI834" s="70"/>
      <c r="GJ834" s="70"/>
      <c r="GK834" s="70"/>
      <c r="GL834" s="70"/>
      <c r="GM834" s="70"/>
      <c r="GN834" s="70"/>
      <c r="GO834" s="70"/>
      <c r="GP834" s="70"/>
      <c r="GQ834" s="70"/>
      <c r="GR834" s="70"/>
      <c r="GS834" s="70"/>
      <c r="GT834" s="70"/>
      <c r="GU834" s="70"/>
      <c r="GV834" s="70"/>
      <c r="GW834" s="70"/>
      <c r="GX834" s="70"/>
      <c r="GY834" s="70"/>
      <c r="GZ834" s="70"/>
      <c r="HA834" s="70"/>
      <c r="HB834" s="70"/>
      <c r="HC834" s="70"/>
      <c r="HD834" s="70"/>
      <c r="HE834" s="70"/>
      <c r="HF834" s="70"/>
      <c r="HG834" s="70"/>
      <c r="HH834" s="70"/>
      <c r="HI834" s="70"/>
      <c r="HJ834" s="70"/>
      <c r="HK834" s="70"/>
      <c r="HL834" s="70"/>
      <c r="HM834" s="70"/>
      <c r="HN834" s="70"/>
      <c r="HO834" s="70"/>
      <c r="HP834" s="70"/>
      <c r="HQ834" s="70"/>
      <c r="HR834" s="70"/>
      <c r="HS834" s="70"/>
      <c r="HT834" s="70"/>
      <c r="HU834" s="70"/>
      <c r="HV834" s="70"/>
      <c r="HW834" s="70"/>
      <c r="HX834" s="70"/>
      <c r="HY834" s="70"/>
      <c r="HZ834" s="70"/>
      <c r="IA834" s="70"/>
      <c r="IB834" s="70"/>
      <c r="IC834" s="70"/>
      <c r="ID834" s="70"/>
      <c r="IE834" s="70"/>
      <c r="IF834" s="70"/>
      <c r="IG834" s="70"/>
      <c r="IH834" s="70"/>
      <c r="II834" s="70"/>
      <c r="IJ834" s="70"/>
      <c r="IK834" s="70"/>
      <c r="IL834" s="70"/>
      <c r="IM834" s="70"/>
      <c r="IN834" s="70"/>
      <c r="IO834" s="70"/>
      <c r="IP834" s="70"/>
      <c r="IQ834" s="70"/>
      <c r="IR834" s="70"/>
      <c r="IS834" s="70"/>
      <c r="IT834" s="70"/>
      <c r="IU834" s="70"/>
      <c r="IV834" s="70"/>
    </row>
    <row r="835" spans="1:256" s="207" customFormat="1" x14ac:dyDescent="0.2">
      <c r="A835" s="2434" t="s">
        <v>2454</v>
      </c>
      <c r="B835" s="651"/>
      <c r="C835" s="236"/>
      <c r="G835" s="234"/>
      <c r="H835" s="661"/>
      <c r="I835" s="847"/>
      <c r="J835" s="847"/>
      <c r="K835" s="847"/>
      <c r="L835" s="847"/>
      <c r="M835" s="661"/>
      <c r="N835" s="847"/>
      <c r="O835" s="847"/>
      <c r="P835" s="847"/>
      <c r="Q835" s="847"/>
      <c r="R835" s="661"/>
      <c r="S835" s="847"/>
      <c r="T835" s="847"/>
      <c r="U835" s="847"/>
      <c r="V835" s="847"/>
      <c r="W835" s="661"/>
      <c r="X835" s="847"/>
      <c r="Y835" s="847"/>
      <c r="Z835" s="847"/>
      <c r="AA835" s="847"/>
      <c r="AB835" s="661"/>
      <c r="AC835" s="847"/>
      <c r="AD835" s="847"/>
      <c r="AE835" s="847"/>
      <c r="AF835" s="847"/>
      <c r="AG835" s="661"/>
      <c r="AH835" s="847"/>
      <c r="AI835" s="847"/>
      <c r="AJ835" s="847"/>
      <c r="AK835" s="847"/>
      <c r="AL835" s="661"/>
      <c r="AM835" s="847"/>
      <c r="AN835" s="847"/>
      <c r="AO835" s="847"/>
      <c r="AP835" s="847"/>
      <c r="AQ835" s="661"/>
      <c r="AR835" s="847"/>
      <c r="AS835" s="847"/>
      <c r="AT835" s="847"/>
      <c r="AU835" s="847"/>
      <c r="AV835" s="661"/>
      <c r="AW835" s="847"/>
      <c r="AX835" s="847"/>
      <c r="AY835" s="847"/>
      <c r="AZ835" s="847"/>
      <c r="BA835" s="661"/>
      <c r="BB835" s="847"/>
      <c r="BC835" s="847"/>
      <c r="BD835" s="847"/>
      <c r="BE835" s="847"/>
      <c r="BF835" s="661"/>
      <c r="BG835" s="847"/>
      <c r="BH835" s="847"/>
      <c r="BI835" s="847"/>
      <c r="BJ835" s="847"/>
      <c r="BK835" s="661"/>
      <c r="BL835" s="847"/>
      <c r="BM835" s="847"/>
      <c r="BN835" s="847"/>
      <c r="BO835" s="847"/>
      <c r="BP835" s="194"/>
      <c r="BQ835" s="847"/>
      <c r="BR835" s="847"/>
      <c r="BS835" s="847"/>
      <c r="BT835" s="847"/>
      <c r="BU835" s="194"/>
      <c r="BV835" s="847"/>
      <c r="BW835" s="847"/>
      <c r="BX835" s="847"/>
      <c r="BY835" s="847"/>
      <c r="BZ835" s="194"/>
      <c r="CA835" s="847"/>
      <c r="CB835" s="847"/>
      <c r="CC835" s="847"/>
      <c r="CD835" s="847"/>
      <c r="CE835" s="194"/>
      <c r="CF835" s="847"/>
      <c r="CG835" s="2349"/>
      <c r="CH835" s="2349">
        <f t="shared" ref="CH835:CV835" si="1280">CH550+CH690</f>
        <v>157246</v>
      </c>
      <c r="CI835" s="2349">
        <f t="shared" si="1280"/>
        <v>158824</v>
      </c>
      <c r="CJ835" s="2293">
        <f t="shared" si="1280"/>
        <v>158824</v>
      </c>
      <c r="CK835" s="2350">
        <f t="shared" si="1280"/>
        <v>157989</v>
      </c>
      <c r="CL835" s="2349">
        <f t="shared" si="1280"/>
        <v>157639</v>
      </c>
      <c r="CM835" s="2349">
        <f t="shared" si="1280"/>
        <v>156740</v>
      </c>
      <c r="CN835" s="2349">
        <f t="shared" si="1280"/>
        <v>155750</v>
      </c>
      <c r="CO835" s="2293">
        <f t="shared" si="1280"/>
        <v>155750</v>
      </c>
      <c r="CP835" s="973">
        <f t="shared" ref="CP835:CT844" si="1281">CP550+CP690</f>
        <v>164993.49</v>
      </c>
      <c r="CQ835" s="847">
        <f t="shared" si="1281"/>
        <v>164305.27000000002</v>
      </c>
      <c r="CR835" s="847">
        <f t="shared" si="1281"/>
        <v>163068.81</v>
      </c>
      <c r="CS835" s="1431">
        <f t="shared" si="1281"/>
        <v>162955.72000000003</v>
      </c>
      <c r="CT835" s="2293">
        <f t="shared" si="1281"/>
        <v>162955.72000000003</v>
      </c>
      <c r="CU835" s="2293">
        <f t="shared" si="1280"/>
        <v>171444.26055000001</v>
      </c>
      <c r="CV835" s="2293">
        <f t="shared" si="1280"/>
        <v>175205.42851600001</v>
      </c>
      <c r="CW835" s="374"/>
      <c r="CX835" s="374"/>
      <c r="CY835" s="374"/>
      <c r="CZ835" s="374"/>
      <c r="DA835" s="374"/>
      <c r="DB835" s="217"/>
      <c r="DC835" s="212"/>
      <c r="DD835" s="212"/>
      <c r="DE835" s="70"/>
      <c r="DF835" s="70"/>
      <c r="DG835" s="70"/>
      <c r="DH835" s="70"/>
      <c r="DI835" s="70"/>
      <c r="DJ835" s="70"/>
      <c r="DK835" s="70"/>
      <c r="DL835" s="70"/>
      <c r="DM835" s="70"/>
      <c r="DN835" s="70"/>
      <c r="DO835" s="70"/>
      <c r="DP835" s="70"/>
      <c r="DQ835" s="70"/>
      <c r="DR835" s="70"/>
      <c r="DS835" s="70"/>
      <c r="DT835" s="70"/>
      <c r="DU835" s="70"/>
      <c r="DV835" s="70"/>
      <c r="DW835" s="70"/>
      <c r="DX835" s="70"/>
      <c r="DY835" s="70"/>
      <c r="DZ835" s="70"/>
      <c r="EA835" s="70"/>
      <c r="EB835" s="70"/>
      <c r="EC835" s="70"/>
      <c r="ED835" s="70"/>
      <c r="EE835" s="70"/>
      <c r="EF835" s="70"/>
      <c r="EG835" s="70"/>
      <c r="EH835" s="70"/>
      <c r="EI835" s="70"/>
      <c r="EJ835" s="70"/>
      <c r="EK835" s="70"/>
      <c r="EL835" s="70"/>
      <c r="EM835" s="70"/>
      <c r="EN835" s="70"/>
      <c r="EO835" s="70"/>
      <c r="EP835" s="70"/>
      <c r="EQ835" s="70"/>
      <c r="ER835" s="70"/>
      <c r="ES835" s="70"/>
      <c r="ET835" s="70"/>
      <c r="EU835" s="70"/>
      <c r="EV835" s="70"/>
      <c r="EW835" s="70"/>
      <c r="EX835" s="70"/>
      <c r="EY835" s="70"/>
      <c r="EZ835" s="70"/>
      <c r="FA835" s="70"/>
      <c r="FB835" s="70"/>
      <c r="FC835" s="70"/>
      <c r="FD835" s="70"/>
      <c r="FE835" s="70"/>
      <c r="FF835" s="70"/>
      <c r="FG835" s="70"/>
      <c r="FH835" s="70"/>
      <c r="FI835" s="70"/>
      <c r="FJ835" s="70"/>
      <c r="FK835" s="70"/>
      <c r="FL835" s="70"/>
      <c r="FM835" s="70"/>
      <c r="FN835" s="70"/>
      <c r="FO835" s="70"/>
      <c r="FP835" s="70"/>
      <c r="FQ835" s="70"/>
      <c r="FR835" s="70"/>
      <c r="FS835" s="70"/>
      <c r="FT835" s="70"/>
      <c r="FU835" s="70"/>
      <c r="FV835" s="70"/>
      <c r="FW835" s="70"/>
      <c r="FX835" s="70"/>
      <c r="FY835" s="70"/>
      <c r="FZ835" s="70"/>
      <c r="GA835" s="70"/>
      <c r="GB835" s="70"/>
      <c r="GC835" s="70"/>
      <c r="GD835" s="70"/>
      <c r="GE835" s="70"/>
      <c r="GF835" s="70"/>
      <c r="GG835" s="70"/>
      <c r="GH835" s="70"/>
      <c r="GI835" s="70"/>
      <c r="GJ835" s="70"/>
      <c r="GK835" s="70"/>
      <c r="GL835" s="70"/>
      <c r="GM835" s="70"/>
      <c r="GN835" s="70"/>
      <c r="GO835" s="70"/>
      <c r="GP835" s="70"/>
      <c r="GQ835" s="70"/>
      <c r="GR835" s="70"/>
      <c r="GS835" s="70"/>
      <c r="GT835" s="70"/>
      <c r="GU835" s="70"/>
      <c r="GV835" s="70"/>
      <c r="GW835" s="70"/>
      <c r="GX835" s="70"/>
      <c r="GY835" s="70"/>
      <c r="GZ835" s="70"/>
      <c r="HA835" s="70"/>
      <c r="HB835" s="70"/>
      <c r="HC835" s="70"/>
      <c r="HD835" s="70"/>
      <c r="HE835" s="70"/>
      <c r="HF835" s="70"/>
      <c r="HG835" s="70"/>
      <c r="HH835" s="70"/>
      <c r="HI835" s="70"/>
      <c r="HJ835" s="70"/>
      <c r="HK835" s="70"/>
      <c r="HL835" s="70"/>
      <c r="HM835" s="70"/>
      <c r="HN835" s="70"/>
      <c r="HO835" s="70"/>
      <c r="HP835" s="70"/>
      <c r="HQ835" s="70"/>
      <c r="HR835" s="70"/>
      <c r="HS835" s="70"/>
      <c r="HT835" s="70"/>
      <c r="HU835" s="70"/>
      <c r="HV835" s="70"/>
      <c r="HW835" s="70"/>
      <c r="HX835" s="70"/>
      <c r="HY835" s="70"/>
      <c r="HZ835" s="70"/>
      <c r="IA835" s="70"/>
      <c r="IB835" s="70"/>
      <c r="IC835" s="70"/>
      <c r="ID835" s="70"/>
      <c r="IE835" s="70"/>
      <c r="IF835" s="70"/>
      <c r="IG835" s="70"/>
      <c r="IH835" s="70"/>
      <c r="II835" s="70"/>
      <c r="IJ835" s="70"/>
      <c r="IK835" s="70"/>
      <c r="IL835" s="70"/>
      <c r="IM835" s="70"/>
      <c r="IN835" s="70"/>
      <c r="IO835" s="70"/>
      <c r="IP835" s="70"/>
      <c r="IQ835" s="70"/>
      <c r="IR835" s="70"/>
      <c r="IS835" s="70"/>
      <c r="IT835" s="70"/>
      <c r="IU835" s="70"/>
      <c r="IV835" s="70"/>
    </row>
    <row r="836" spans="1:256" s="207" customFormat="1" x14ac:dyDescent="0.2">
      <c r="A836" s="2434" t="s">
        <v>2455</v>
      </c>
      <c r="B836" s="651"/>
      <c r="C836" s="236"/>
      <c r="G836" s="234"/>
      <c r="H836" s="661"/>
      <c r="I836" s="847"/>
      <c r="J836" s="847"/>
      <c r="K836" s="847"/>
      <c r="L836" s="847"/>
      <c r="M836" s="661"/>
      <c r="N836" s="847"/>
      <c r="O836" s="847"/>
      <c r="P836" s="847"/>
      <c r="Q836" s="847"/>
      <c r="R836" s="661"/>
      <c r="S836" s="847"/>
      <c r="T836" s="847"/>
      <c r="U836" s="847"/>
      <c r="V836" s="847"/>
      <c r="W836" s="661"/>
      <c r="X836" s="847"/>
      <c r="Y836" s="847"/>
      <c r="Z836" s="847"/>
      <c r="AA836" s="847"/>
      <c r="AB836" s="661"/>
      <c r="AC836" s="847"/>
      <c r="AD836" s="847"/>
      <c r="AE836" s="847"/>
      <c r="AF836" s="847"/>
      <c r="AG836" s="661"/>
      <c r="AH836" s="847"/>
      <c r="AI836" s="847"/>
      <c r="AJ836" s="847"/>
      <c r="AK836" s="847"/>
      <c r="AL836" s="661"/>
      <c r="AM836" s="847"/>
      <c r="AN836" s="847"/>
      <c r="AO836" s="847"/>
      <c r="AP836" s="847"/>
      <c r="AQ836" s="661"/>
      <c r="AR836" s="847"/>
      <c r="AS836" s="847"/>
      <c r="AT836" s="847"/>
      <c r="AU836" s="847"/>
      <c r="AV836" s="661"/>
      <c r="AW836" s="847"/>
      <c r="AX836" s="847"/>
      <c r="AY836" s="847"/>
      <c r="AZ836" s="847"/>
      <c r="BA836" s="661"/>
      <c r="BB836" s="847"/>
      <c r="BC836" s="847"/>
      <c r="BD836" s="847"/>
      <c r="BE836" s="847"/>
      <c r="BF836" s="661"/>
      <c r="BG836" s="847"/>
      <c r="BH836" s="847"/>
      <c r="BI836" s="847"/>
      <c r="BJ836" s="847"/>
      <c r="BK836" s="661"/>
      <c r="BL836" s="847"/>
      <c r="BM836" s="847"/>
      <c r="BN836" s="847"/>
      <c r="BO836" s="847"/>
      <c r="BP836" s="194"/>
      <c r="BQ836" s="847"/>
      <c r="BR836" s="847"/>
      <c r="BS836" s="847"/>
      <c r="BT836" s="847"/>
      <c r="BU836" s="194"/>
      <c r="BV836" s="847"/>
      <c r="BW836" s="847"/>
      <c r="BX836" s="847"/>
      <c r="BY836" s="847"/>
      <c r="BZ836" s="194"/>
      <c r="CA836" s="847"/>
      <c r="CB836" s="847"/>
      <c r="CC836" s="847"/>
      <c r="CD836" s="847"/>
      <c r="CE836" s="194"/>
      <c r="CF836" s="847"/>
      <c r="CG836" s="2349"/>
      <c r="CH836" s="2349">
        <f t="shared" ref="CH836:CV836" si="1282">CH551+CH691</f>
        <v>80430</v>
      </c>
      <c r="CI836" s="2349">
        <f t="shared" si="1282"/>
        <v>81249</v>
      </c>
      <c r="CJ836" s="2293">
        <f t="shared" si="1282"/>
        <v>81249</v>
      </c>
      <c r="CK836" s="2350">
        <f t="shared" ref="CK836:CK844" si="1283">CK551+CK691</f>
        <v>81186</v>
      </c>
      <c r="CL836" s="2349">
        <f t="shared" si="1282"/>
        <v>81389</v>
      </c>
      <c r="CM836" s="2349">
        <f t="shared" si="1282"/>
        <v>81984</v>
      </c>
      <c r="CN836" s="2349">
        <f t="shared" si="1282"/>
        <v>82188</v>
      </c>
      <c r="CO836" s="2293">
        <f t="shared" si="1282"/>
        <v>82188</v>
      </c>
      <c r="CP836" s="973">
        <f t="shared" si="1281"/>
        <v>84347.180000000008</v>
      </c>
      <c r="CQ836" s="847">
        <f t="shared" si="1281"/>
        <v>85080.3</v>
      </c>
      <c r="CR836" s="847">
        <f t="shared" si="1281"/>
        <v>85516.540000000008</v>
      </c>
      <c r="CS836" s="1431">
        <f t="shared" si="1281"/>
        <v>85462.36</v>
      </c>
      <c r="CT836" s="2293">
        <f t="shared" si="1281"/>
        <v>85462.36</v>
      </c>
      <c r="CU836" s="2293">
        <f t="shared" si="1282"/>
        <v>89491.816800000001</v>
      </c>
      <c r="CV836" s="2293">
        <f t="shared" si="1282"/>
        <v>91196.166636000009</v>
      </c>
      <c r="CW836" s="374"/>
      <c r="CX836" s="374"/>
      <c r="CY836" s="374"/>
      <c r="CZ836" s="374"/>
      <c r="DA836" s="374"/>
      <c r="DB836" s="217"/>
      <c r="DC836" s="212"/>
      <c r="DD836" s="212"/>
      <c r="DE836" s="70"/>
      <c r="DF836" s="70"/>
      <c r="DG836" s="70"/>
      <c r="DH836" s="70"/>
      <c r="DI836" s="70"/>
      <c r="DJ836" s="70"/>
      <c r="DK836" s="70"/>
      <c r="DL836" s="70"/>
      <c r="DM836" s="70"/>
      <c r="DN836" s="70"/>
      <c r="DO836" s="70"/>
      <c r="DP836" s="70"/>
      <c r="DQ836" s="70"/>
      <c r="DR836" s="70"/>
      <c r="DS836" s="70"/>
      <c r="DT836" s="70"/>
      <c r="DU836" s="70"/>
      <c r="DV836" s="70"/>
      <c r="DW836" s="70"/>
      <c r="DX836" s="70"/>
      <c r="DY836" s="70"/>
      <c r="DZ836" s="70"/>
      <c r="EA836" s="70"/>
      <c r="EB836" s="70"/>
      <c r="EC836" s="70"/>
      <c r="ED836" s="70"/>
      <c r="EE836" s="70"/>
      <c r="EF836" s="70"/>
      <c r="EG836" s="70"/>
      <c r="EH836" s="70"/>
      <c r="EI836" s="70"/>
      <c r="EJ836" s="70"/>
      <c r="EK836" s="70"/>
      <c r="EL836" s="70"/>
      <c r="EM836" s="70"/>
      <c r="EN836" s="70"/>
      <c r="EO836" s="70"/>
      <c r="EP836" s="70"/>
      <c r="EQ836" s="70"/>
      <c r="ER836" s="70"/>
      <c r="ES836" s="70"/>
      <c r="ET836" s="70"/>
      <c r="EU836" s="70"/>
      <c r="EV836" s="70"/>
      <c r="EW836" s="70"/>
      <c r="EX836" s="70"/>
      <c r="EY836" s="70"/>
      <c r="EZ836" s="70"/>
      <c r="FA836" s="70"/>
      <c r="FB836" s="70"/>
      <c r="FC836" s="70"/>
      <c r="FD836" s="70"/>
      <c r="FE836" s="70"/>
      <c r="FF836" s="70"/>
      <c r="FG836" s="70"/>
      <c r="FH836" s="70"/>
      <c r="FI836" s="70"/>
      <c r="FJ836" s="70"/>
      <c r="FK836" s="70"/>
      <c r="FL836" s="70"/>
      <c r="FM836" s="70"/>
      <c r="FN836" s="70"/>
      <c r="FO836" s="70"/>
      <c r="FP836" s="70"/>
      <c r="FQ836" s="70"/>
      <c r="FR836" s="70"/>
      <c r="FS836" s="70"/>
      <c r="FT836" s="70"/>
      <c r="FU836" s="70"/>
      <c r="FV836" s="70"/>
      <c r="FW836" s="70"/>
      <c r="FX836" s="70"/>
      <c r="FY836" s="70"/>
      <c r="FZ836" s="70"/>
      <c r="GA836" s="70"/>
      <c r="GB836" s="70"/>
      <c r="GC836" s="70"/>
      <c r="GD836" s="70"/>
      <c r="GE836" s="70"/>
      <c r="GF836" s="70"/>
      <c r="GG836" s="70"/>
      <c r="GH836" s="70"/>
      <c r="GI836" s="70"/>
      <c r="GJ836" s="70"/>
      <c r="GK836" s="70"/>
      <c r="GL836" s="70"/>
      <c r="GM836" s="70"/>
      <c r="GN836" s="70"/>
      <c r="GO836" s="70"/>
      <c r="GP836" s="70"/>
      <c r="GQ836" s="70"/>
      <c r="GR836" s="70"/>
      <c r="GS836" s="70"/>
      <c r="GT836" s="70"/>
      <c r="GU836" s="70"/>
      <c r="GV836" s="70"/>
      <c r="GW836" s="70"/>
      <c r="GX836" s="70"/>
      <c r="GY836" s="70"/>
      <c r="GZ836" s="70"/>
      <c r="HA836" s="70"/>
      <c r="HB836" s="70"/>
      <c r="HC836" s="70"/>
      <c r="HD836" s="70"/>
      <c r="HE836" s="70"/>
      <c r="HF836" s="70"/>
      <c r="HG836" s="70"/>
      <c r="HH836" s="70"/>
      <c r="HI836" s="70"/>
      <c r="HJ836" s="70"/>
      <c r="HK836" s="70"/>
      <c r="HL836" s="70"/>
      <c r="HM836" s="70"/>
      <c r="HN836" s="70"/>
      <c r="HO836" s="70"/>
      <c r="HP836" s="70"/>
      <c r="HQ836" s="70"/>
      <c r="HR836" s="70"/>
      <c r="HS836" s="70"/>
      <c r="HT836" s="70"/>
      <c r="HU836" s="70"/>
      <c r="HV836" s="70"/>
      <c r="HW836" s="70"/>
      <c r="HX836" s="70"/>
      <c r="HY836" s="70"/>
      <c r="HZ836" s="70"/>
      <c r="IA836" s="70"/>
      <c r="IB836" s="70"/>
      <c r="IC836" s="70"/>
      <c r="ID836" s="70"/>
      <c r="IE836" s="70"/>
      <c r="IF836" s="70"/>
      <c r="IG836" s="70"/>
      <c r="IH836" s="70"/>
      <c r="II836" s="70"/>
      <c r="IJ836" s="70"/>
      <c r="IK836" s="70"/>
      <c r="IL836" s="70"/>
      <c r="IM836" s="70"/>
      <c r="IN836" s="70"/>
      <c r="IO836" s="70"/>
      <c r="IP836" s="70"/>
      <c r="IQ836" s="70"/>
      <c r="IR836" s="70"/>
      <c r="IS836" s="70"/>
      <c r="IT836" s="70"/>
      <c r="IU836" s="70"/>
      <c r="IV836" s="70"/>
    </row>
    <row r="837" spans="1:256" s="207" customFormat="1" x14ac:dyDescent="0.2">
      <c r="A837" s="2434" t="s">
        <v>2456</v>
      </c>
      <c r="B837" s="651"/>
      <c r="C837" s="236"/>
      <c r="G837" s="234"/>
      <c r="H837" s="661"/>
      <c r="I837" s="847"/>
      <c r="J837" s="847"/>
      <c r="K837" s="847"/>
      <c r="L837" s="847"/>
      <c r="M837" s="661"/>
      <c r="N837" s="847"/>
      <c r="O837" s="847"/>
      <c r="P837" s="847"/>
      <c r="Q837" s="847"/>
      <c r="R837" s="661"/>
      <c r="S837" s="847"/>
      <c r="T837" s="847"/>
      <c r="U837" s="847"/>
      <c r="V837" s="847"/>
      <c r="W837" s="661"/>
      <c r="X837" s="847"/>
      <c r="Y837" s="847"/>
      <c r="Z837" s="847"/>
      <c r="AA837" s="847"/>
      <c r="AB837" s="661"/>
      <c r="AC837" s="847"/>
      <c r="AD837" s="847"/>
      <c r="AE837" s="847"/>
      <c r="AF837" s="847"/>
      <c r="AG837" s="661"/>
      <c r="AH837" s="847"/>
      <c r="AI837" s="847"/>
      <c r="AJ837" s="847"/>
      <c r="AK837" s="847"/>
      <c r="AL837" s="661"/>
      <c r="AM837" s="847"/>
      <c r="AN837" s="847"/>
      <c r="AO837" s="847"/>
      <c r="AP837" s="847"/>
      <c r="AQ837" s="661"/>
      <c r="AR837" s="847"/>
      <c r="AS837" s="847"/>
      <c r="AT837" s="847"/>
      <c r="AU837" s="847"/>
      <c r="AV837" s="661"/>
      <c r="AW837" s="847"/>
      <c r="AX837" s="847"/>
      <c r="AY837" s="847"/>
      <c r="AZ837" s="847"/>
      <c r="BA837" s="661"/>
      <c r="BB837" s="847"/>
      <c r="BC837" s="847"/>
      <c r="BD837" s="847"/>
      <c r="BE837" s="847"/>
      <c r="BF837" s="661"/>
      <c r="BG837" s="847"/>
      <c r="BH837" s="847"/>
      <c r="BI837" s="847"/>
      <c r="BJ837" s="847"/>
      <c r="BK837" s="661"/>
      <c r="BL837" s="847"/>
      <c r="BM837" s="847"/>
      <c r="BN837" s="847"/>
      <c r="BO837" s="847"/>
      <c r="BP837" s="194"/>
      <c r="BQ837" s="847"/>
      <c r="BR837" s="847"/>
      <c r="BS837" s="847"/>
      <c r="BT837" s="847"/>
      <c r="BU837" s="194"/>
      <c r="BV837" s="847"/>
      <c r="BW837" s="847"/>
      <c r="BX837" s="847"/>
      <c r="BY837" s="847"/>
      <c r="BZ837" s="194"/>
      <c r="CA837" s="847"/>
      <c r="CB837" s="847"/>
      <c r="CC837" s="847"/>
      <c r="CD837" s="847"/>
      <c r="CE837" s="194"/>
      <c r="CF837" s="847"/>
      <c r="CG837" s="2349"/>
      <c r="CH837" s="2349">
        <f t="shared" ref="CH837:CV837" si="1284">CH552+CH692</f>
        <v>40037</v>
      </c>
      <c r="CI837" s="2349">
        <f t="shared" si="1284"/>
        <v>40673</v>
      </c>
      <c r="CJ837" s="2293">
        <f t="shared" si="1284"/>
        <v>40673</v>
      </c>
      <c r="CK837" s="2350">
        <f t="shared" si="1283"/>
        <v>40808</v>
      </c>
      <c r="CL837" s="2349">
        <f t="shared" si="1284"/>
        <v>41864</v>
      </c>
      <c r="CM837" s="2349">
        <f t="shared" si="1284"/>
        <v>42698</v>
      </c>
      <c r="CN837" s="2349">
        <f t="shared" si="1284"/>
        <v>43980</v>
      </c>
      <c r="CO837" s="2293">
        <f t="shared" si="1284"/>
        <v>43980</v>
      </c>
      <c r="CP837" s="973">
        <f t="shared" si="1281"/>
        <v>43633.26</v>
      </c>
      <c r="CQ837" s="847">
        <f t="shared" si="1281"/>
        <v>44913.120000000003</v>
      </c>
      <c r="CR837" s="847">
        <f t="shared" si="1281"/>
        <v>45874.81</v>
      </c>
      <c r="CS837" s="1431">
        <f t="shared" si="1281"/>
        <v>47258.010000000009</v>
      </c>
      <c r="CT837" s="2293">
        <f t="shared" si="1281"/>
        <v>47258.010000000009</v>
      </c>
      <c r="CU837" s="2293">
        <f t="shared" si="1284"/>
        <v>50477.365950000007</v>
      </c>
      <c r="CV837" s="2293">
        <f t="shared" si="1284"/>
        <v>52153.591074000004</v>
      </c>
      <c r="CW837" s="374"/>
      <c r="CX837" s="374"/>
      <c r="CY837" s="374"/>
      <c r="CZ837" s="374"/>
      <c r="DA837" s="374"/>
      <c r="DB837" s="217"/>
      <c r="DC837" s="212"/>
      <c r="DD837" s="212"/>
      <c r="DE837" s="70"/>
      <c r="DF837" s="70"/>
      <c r="DG837" s="70"/>
      <c r="DH837" s="70"/>
      <c r="DI837" s="70"/>
      <c r="DJ837" s="70"/>
      <c r="DK837" s="70"/>
      <c r="DL837" s="70"/>
      <c r="DM837" s="70"/>
      <c r="DN837" s="70"/>
      <c r="DO837" s="70"/>
      <c r="DP837" s="70"/>
      <c r="DQ837" s="70"/>
      <c r="DR837" s="70"/>
      <c r="DS837" s="70"/>
      <c r="DT837" s="70"/>
      <c r="DU837" s="70"/>
      <c r="DV837" s="70"/>
      <c r="DW837" s="70"/>
      <c r="DX837" s="70"/>
      <c r="DY837" s="70"/>
      <c r="DZ837" s="70"/>
      <c r="EA837" s="70"/>
      <c r="EB837" s="70"/>
      <c r="EC837" s="70"/>
      <c r="ED837" s="70"/>
      <c r="EE837" s="70"/>
      <c r="EF837" s="70"/>
      <c r="EG837" s="70"/>
      <c r="EH837" s="70"/>
      <c r="EI837" s="70"/>
      <c r="EJ837" s="70"/>
      <c r="EK837" s="70"/>
      <c r="EL837" s="70"/>
      <c r="EM837" s="70"/>
      <c r="EN837" s="70"/>
      <c r="EO837" s="70"/>
      <c r="EP837" s="70"/>
      <c r="EQ837" s="70"/>
      <c r="ER837" s="70"/>
      <c r="ES837" s="70"/>
      <c r="ET837" s="70"/>
      <c r="EU837" s="70"/>
      <c r="EV837" s="70"/>
      <c r="EW837" s="70"/>
      <c r="EX837" s="70"/>
      <c r="EY837" s="70"/>
      <c r="EZ837" s="70"/>
      <c r="FA837" s="70"/>
      <c r="FB837" s="70"/>
      <c r="FC837" s="70"/>
      <c r="FD837" s="70"/>
      <c r="FE837" s="70"/>
      <c r="FF837" s="70"/>
      <c r="FG837" s="70"/>
      <c r="FH837" s="70"/>
      <c r="FI837" s="70"/>
      <c r="FJ837" s="70"/>
      <c r="FK837" s="70"/>
      <c r="FL837" s="70"/>
      <c r="FM837" s="70"/>
      <c r="FN837" s="70"/>
      <c r="FO837" s="70"/>
      <c r="FP837" s="70"/>
      <c r="FQ837" s="70"/>
      <c r="FR837" s="70"/>
      <c r="FS837" s="70"/>
      <c r="FT837" s="70"/>
      <c r="FU837" s="70"/>
      <c r="FV837" s="70"/>
      <c r="FW837" s="70"/>
      <c r="FX837" s="70"/>
      <c r="FY837" s="70"/>
      <c r="FZ837" s="70"/>
      <c r="GA837" s="70"/>
      <c r="GB837" s="70"/>
      <c r="GC837" s="70"/>
      <c r="GD837" s="70"/>
      <c r="GE837" s="70"/>
      <c r="GF837" s="70"/>
      <c r="GG837" s="70"/>
      <c r="GH837" s="70"/>
      <c r="GI837" s="70"/>
      <c r="GJ837" s="70"/>
      <c r="GK837" s="70"/>
      <c r="GL837" s="70"/>
      <c r="GM837" s="70"/>
      <c r="GN837" s="70"/>
      <c r="GO837" s="70"/>
      <c r="GP837" s="70"/>
      <c r="GQ837" s="70"/>
      <c r="GR837" s="70"/>
      <c r="GS837" s="70"/>
      <c r="GT837" s="70"/>
      <c r="GU837" s="70"/>
      <c r="GV837" s="70"/>
      <c r="GW837" s="70"/>
      <c r="GX837" s="70"/>
      <c r="GY837" s="70"/>
      <c r="GZ837" s="70"/>
      <c r="HA837" s="70"/>
      <c r="HB837" s="70"/>
      <c r="HC837" s="70"/>
      <c r="HD837" s="70"/>
      <c r="HE837" s="70"/>
      <c r="HF837" s="70"/>
      <c r="HG837" s="70"/>
      <c r="HH837" s="70"/>
      <c r="HI837" s="70"/>
      <c r="HJ837" s="70"/>
      <c r="HK837" s="70"/>
      <c r="HL837" s="70"/>
      <c r="HM837" s="70"/>
      <c r="HN837" s="70"/>
      <c r="HO837" s="70"/>
      <c r="HP837" s="70"/>
      <c r="HQ837" s="70"/>
      <c r="HR837" s="70"/>
      <c r="HS837" s="70"/>
      <c r="HT837" s="70"/>
      <c r="HU837" s="70"/>
      <c r="HV837" s="70"/>
      <c r="HW837" s="70"/>
      <c r="HX837" s="70"/>
      <c r="HY837" s="70"/>
      <c r="HZ837" s="70"/>
      <c r="IA837" s="70"/>
      <c r="IB837" s="70"/>
      <c r="IC837" s="70"/>
      <c r="ID837" s="70"/>
      <c r="IE837" s="70"/>
      <c r="IF837" s="70"/>
      <c r="IG837" s="70"/>
      <c r="IH837" s="70"/>
      <c r="II837" s="70"/>
      <c r="IJ837" s="70"/>
      <c r="IK837" s="70"/>
      <c r="IL837" s="70"/>
      <c r="IM837" s="70"/>
      <c r="IN837" s="70"/>
      <c r="IO837" s="70"/>
      <c r="IP837" s="70"/>
      <c r="IQ837" s="70"/>
      <c r="IR837" s="70"/>
      <c r="IS837" s="70"/>
      <c r="IT837" s="70"/>
      <c r="IU837" s="70"/>
      <c r="IV837" s="70"/>
    </row>
    <row r="838" spans="1:256" s="207" customFormat="1" x14ac:dyDescent="0.2">
      <c r="A838" s="2434" t="s">
        <v>2457</v>
      </c>
      <c r="B838" s="651"/>
      <c r="C838" s="236"/>
      <c r="G838" s="234"/>
      <c r="H838" s="661"/>
      <c r="I838" s="847"/>
      <c r="J838" s="847"/>
      <c r="K838" s="847"/>
      <c r="L838" s="847"/>
      <c r="M838" s="661"/>
      <c r="N838" s="847"/>
      <c r="O838" s="847"/>
      <c r="P838" s="847"/>
      <c r="Q838" s="847"/>
      <c r="R838" s="661"/>
      <c r="S838" s="847"/>
      <c r="T838" s="847"/>
      <c r="U838" s="847"/>
      <c r="V838" s="847"/>
      <c r="W838" s="661"/>
      <c r="X838" s="847"/>
      <c r="Y838" s="847"/>
      <c r="Z838" s="847"/>
      <c r="AA838" s="847"/>
      <c r="AB838" s="661"/>
      <c r="AC838" s="847"/>
      <c r="AD838" s="847"/>
      <c r="AE838" s="847"/>
      <c r="AF838" s="847"/>
      <c r="AG838" s="661"/>
      <c r="AH838" s="847"/>
      <c r="AI838" s="847"/>
      <c r="AJ838" s="847"/>
      <c r="AK838" s="847"/>
      <c r="AL838" s="661"/>
      <c r="AM838" s="847"/>
      <c r="AN838" s="847"/>
      <c r="AO838" s="847"/>
      <c r="AP838" s="847"/>
      <c r="AQ838" s="661"/>
      <c r="AR838" s="847"/>
      <c r="AS838" s="847"/>
      <c r="AT838" s="847"/>
      <c r="AU838" s="847"/>
      <c r="AV838" s="661"/>
      <c r="AW838" s="847"/>
      <c r="AX838" s="847"/>
      <c r="AY838" s="847"/>
      <c r="AZ838" s="847"/>
      <c r="BA838" s="661"/>
      <c r="BB838" s="847"/>
      <c r="BC838" s="847"/>
      <c r="BD838" s="847"/>
      <c r="BE838" s="847"/>
      <c r="BF838" s="661"/>
      <c r="BG838" s="847"/>
      <c r="BH838" s="847"/>
      <c r="BI838" s="847"/>
      <c r="BJ838" s="847"/>
      <c r="BK838" s="661"/>
      <c r="BL838" s="847"/>
      <c r="BM838" s="847"/>
      <c r="BN838" s="847"/>
      <c r="BO838" s="847"/>
      <c r="BP838" s="194"/>
      <c r="BQ838" s="847"/>
      <c r="BR838" s="847"/>
      <c r="BS838" s="847"/>
      <c r="BT838" s="847"/>
      <c r="BU838" s="194"/>
      <c r="BV838" s="847"/>
      <c r="BW838" s="847"/>
      <c r="BX838" s="847"/>
      <c r="BY838" s="847"/>
      <c r="BZ838" s="194"/>
      <c r="CA838" s="847"/>
      <c r="CB838" s="847"/>
      <c r="CC838" s="847"/>
      <c r="CD838" s="847"/>
      <c r="CE838" s="194"/>
      <c r="CF838" s="847"/>
      <c r="CG838" s="2349"/>
      <c r="CH838" s="2349">
        <f t="shared" ref="CH838:CV838" si="1285">CH553+CH693</f>
        <v>13763</v>
      </c>
      <c r="CI838" s="2349">
        <f t="shared" si="1285"/>
        <v>14145</v>
      </c>
      <c r="CJ838" s="2293">
        <f t="shared" si="1285"/>
        <v>14145</v>
      </c>
      <c r="CK838" s="2350">
        <f t="shared" si="1283"/>
        <v>13892</v>
      </c>
      <c r="CL838" s="2349">
        <f t="shared" si="1285"/>
        <v>14511</v>
      </c>
      <c r="CM838" s="2349">
        <f t="shared" si="1285"/>
        <v>14785</v>
      </c>
      <c r="CN838" s="2349">
        <f t="shared" si="1285"/>
        <v>14785</v>
      </c>
      <c r="CO838" s="2293">
        <f t="shared" si="1285"/>
        <v>14785</v>
      </c>
      <c r="CP838" s="973">
        <f t="shared" si="1281"/>
        <v>14682.48</v>
      </c>
      <c r="CQ838" s="847">
        <f t="shared" si="1281"/>
        <v>15390.960000000001</v>
      </c>
      <c r="CR838" s="847">
        <f t="shared" si="1281"/>
        <v>15681.16</v>
      </c>
      <c r="CS838" s="1431">
        <f t="shared" si="1281"/>
        <v>15681.16</v>
      </c>
      <c r="CT838" s="2293">
        <f t="shared" si="1281"/>
        <v>15681.16</v>
      </c>
      <c r="CU838" s="2293">
        <f t="shared" si="1285"/>
        <v>16181.326300000001</v>
      </c>
      <c r="CV838" s="2293">
        <f t="shared" si="1285"/>
        <v>16307.940226000001</v>
      </c>
      <c r="CW838" s="374"/>
      <c r="CX838" s="374"/>
      <c r="CY838" s="374"/>
      <c r="CZ838" s="374"/>
      <c r="DA838" s="374"/>
      <c r="DB838" s="217"/>
      <c r="DC838" s="212"/>
      <c r="DD838" s="212"/>
      <c r="DE838" s="70"/>
      <c r="DF838" s="70"/>
      <c r="DG838" s="70"/>
      <c r="DH838" s="70"/>
      <c r="DI838" s="70"/>
      <c r="DJ838" s="70"/>
      <c r="DK838" s="70"/>
      <c r="DL838" s="70"/>
      <c r="DM838" s="70"/>
      <c r="DN838" s="70"/>
      <c r="DO838" s="70"/>
      <c r="DP838" s="70"/>
      <c r="DQ838" s="70"/>
      <c r="DR838" s="70"/>
      <c r="DS838" s="70"/>
      <c r="DT838" s="70"/>
      <c r="DU838" s="70"/>
      <c r="DV838" s="70"/>
      <c r="DW838" s="70"/>
      <c r="DX838" s="70"/>
      <c r="DY838" s="70"/>
      <c r="DZ838" s="70"/>
      <c r="EA838" s="70"/>
      <c r="EB838" s="70"/>
      <c r="EC838" s="70"/>
      <c r="ED838" s="70"/>
      <c r="EE838" s="70"/>
      <c r="EF838" s="70"/>
      <c r="EG838" s="70"/>
      <c r="EH838" s="70"/>
      <c r="EI838" s="70"/>
      <c r="EJ838" s="70"/>
      <c r="EK838" s="70"/>
      <c r="EL838" s="70"/>
      <c r="EM838" s="70"/>
      <c r="EN838" s="70"/>
      <c r="EO838" s="70"/>
      <c r="EP838" s="70"/>
      <c r="EQ838" s="70"/>
      <c r="ER838" s="70"/>
      <c r="ES838" s="70"/>
      <c r="ET838" s="70"/>
      <c r="EU838" s="70"/>
      <c r="EV838" s="70"/>
      <c r="EW838" s="70"/>
      <c r="EX838" s="70"/>
      <c r="EY838" s="70"/>
      <c r="EZ838" s="70"/>
      <c r="FA838" s="70"/>
      <c r="FB838" s="70"/>
      <c r="FC838" s="70"/>
      <c r="FD838" s="70"/>
      <c r="FE838" s="70"/>
      <c r="FF838" s="70"/>
      <c r="FG838" s="70"/>
      <c r="FH838" s="70"/>
      <c r="FI838" s="70"/>
      <c r="FJ838" s="70"/>
      <c r="FK838" s="70"/>
      <c r="FL838" s="70"/>
      <c r="FM838" s="70"/>
      <c r="FN838" s="70"/>
      <c r="FO838" s="70"/>
      <c r="FP838" s="70"/>
      <c r="FQ838" s="70"/>
      <c r="FR838" s="70"/>
      <c r="FS838" s="70"/>
      <c r="FT838" s="70"/>
      <c r="FU838" s="70"/>
      <c r="FV838" s="70"/>
      <c r="FW838" s="70"/>
      <c r="FX838" s="70"/>
      <c r="FY838" s="70"/>
      <c r="FZ838" s="70"/>
      <c r="GA838" s="70"/>
      <c r="GB838" s="70"/>
      <c r="GC838" s="70"/>
      <c r="GD838" s="70"/>
      <c r="GE838" s="70"/>
      <c r="GF838" s="70"/>
      <c r="GG838" s="70"/>
      <c r="GH838" s="70"/>
      <c r="GI838" s="70"/>
      <c r="GJ838" s="70"/>
      <c r="GK838" s="70"/>
      <c r="GL838" s="70"/>
      <c r="GM838" s="70"/>
      <c r="GN838" s="70"/>
      <c r="GO838" s="70"/>
      <c r="GP838" s="70"/>
      <c r="GQ838" s="70"/>
      <c r="GR838" s="70"/>
      <c r="GS838" s="70"/>
      <c r="GT838" s="70"/>
      <c r="GU838" s="70"/>
      <c r="GV838" s="70"/>
      <c r="GW838" s="70"/>
      <c r="GX838" s="70"/>
      <c r="GY838" s="70"/>
      <c r="GZ838" s="70"/>
      <c r="HA838" s="70"/>
      <c r="HB838" s="70"/>
      <c r="HC838" s="70"/>
      <c r="HD838" s="70"/>
      <c r="HE838" s="70"/>
      <c r="HF838" s="70"/>
      <c r="HG838" s="70"/>
      <c r="HH838" s="70"/>
      <c r="HI838" s="70"/>
      <c r="HJ838" s="70"/>
      <c r="HK838" s="70"/>
      <c r="HL838" s="70"/>
      <c r="HM838" s="70"/>
      <c r="HN838" s="70"/>
      <c r="HO838" s="70"/>
      <c r="HP838" s="70"/>
      <c r="HQ838" s="70"/>
      <c r="HR838" s="70"/>
      <c r="HS838" s="70"/>
      <c r="HT838" s="70"/>
      <c r="HU838" s="70"/>
      <c r="HV838" s="70"/>
      <c r="HW838" s="70"/>
      <c r="HX838" s="70"/>
      <c r="HY838" s="70"/>
      <c r="HZ838" s="70"/>
      <c r="IA838" s="70"/>
      <c r="IB838" s="70"/>
      <c r="IC838" s="70"/>
      <c r="ID838" s="70"/>
      <c r="IE838" s="70"/>
      <c r="IF838" s="70"/>
      <c r="IG838" s="70"/>
      <c r="IH838" s="70"/>
      <c r="II838" s="70"/>
      <c r="IJ838" s="70"/>
      <c r="IK838" s="70"/>
      <c r="IL838" s="70"/>
      <c r="IM838" s="70"/>
      <c r="IN838" s="70"/>
      <c r="IO838" s="70"/>
      <c r="IP838" s="70"/>
      <c r="IQ838" s="70"/>
      <c r="IR838" s="70"/>
      <c r="IS838" s="70"/>
      <c r="IT838" s="70"/>
      <c r="IU838" s="70"/>
      <c r="IV838" s="70"/>
    </row>
    <row r="839" spans="1:256" s="207" customFormat="1" x14ac:dyDescent="0.2">
      <c r="A839" s="2434" t="s">
        <v>2458</v>
      </c>
      <c r="B839" s="651"/>
      <c r="C839" s="236"/>
      <c r="G839" s="234"/>
      <c r="H839" s="661"/>
      <c r="I839" s="847"/>
      <c r="J839" s="847"/>
      <c r="K839" s="847"/>
      <c r="L839" s="847"/>
      <c r="M839" s="661"/>
      <c r="N839" s="847"/>
      <c r="O839" s="847"/>
      <c r="P839" s="847"/>
      <c r="Q839" s="847"/>
      <c r="R839" s="661"/>
      <c r="S839" s="847"/>
      <c r="T839" s="847"/>
      <c r="U839" s="847"/>
      <c r="V839" s="847"/>
      <c r="W839" s="661"/>
      <c r="X839" s="847"/>
      <c r="Y839" s="847"/>
      <c r="Z839" s="847"/>
      <c r="AA839" s="847"/>
      <c r="AB839" s="661"/>
      <c r="AC839" s="847"/>
      <c r="AD839" s="847"/>
      <c r="AE839" s="847"/>
      <c r="AF839" s="847"/>
      <c r="AG839" s="661"/>
      <c r="AH839" s="847"/>
      <c r="AI839" s="847"/>
      <c r="AJ839" s="847"/>
      <c r="AK839" s="847"/>
      <c r="AL839" s="661"/>
      <c r="AM839" s="847"/>
      <c r="AN839" s="847"/>
      <c r="AO839" s="847"/>
      <c r="AP839" s="847"/>
      <c r="AQ839" s="661"/>
      <c r="AR839" s="847"/>
      <c r="AS839" s="847"/>
      <c r="AT839" s="847"/>
      <c r="AU839" s="847"/>
      <c r="AV839" s="661"/>
      <c r="AW839" s="847"/>
      <c r="AX839" s="847"/>
      <c r="AY839" s="847"/>
      <c r="AZ839" s="847"/>
      <c r="BA839" s="661"/>
      <c r="BB839" s="847"/>
      <c r="BC839" s="847"/>
      <c r="BD839" s="847"/>
      <c r="BE839" s="847"/>
      <c r="BF839" s="661"/>
      <c r="BG839" s="847"/>
      <c r="BH839" s="847"/>
      <c r="BI839" s="847"/>
      <c r="BJ839" s="847"/>
      <c r="BK839" s="661"/>
      <c r="BL839" s="847"/>
      <c r="BM839" s="847"/>
      <c r="BN839" s="847"/>
      <c r="BO839" s="847"/>
      <c r="BP839" s="194"/>
      <c r="BQ839" s="847"/>
      <c r="BR839" s="847"/>
      <c r="BS839" s="847"/>
      <c r="BT839" s="847"/>
      <c r="BU839" s="194"/>
      <c r="BV839" s="847"/>
      <c r="BW839" s="847"/>
      <c r="BX839" s="847"/>
      <c r="BY839" s="847"/>
      <c r="BZ839" s="194"/>
      <c r="CA839" s="847"/>
      <c r="CB839" s="847"/>
      <c r="CC839" s="847"/>
      <c r="CD839" s="847"/>
      <c r="CE839" s="194"/>
      <c r="CF839" s="847"/>
      <c r="CG839" s="2349"/>
      <c r="CH839" s="2349">
        <f t="shared" ref="CH839:CV839" si="1286">CH554+CH694</f>
        <v>19301</v>
      </c>
      <c r="CI839" s="2349">
        <f t="shared" si="1286"/>
        <v>19284</v>
      </c>
      <c r="CJ839" s="2293">
        <f t="shared" si="1286"/>
        <v>19284</v>
      </c>
      <c r="CK839" s="2350">
        <f t="shared" si="1283"/>
        <v>19312</v>
      </c>
      <c r="CL839" s="2349">
        <f t="shared" si="1286"/>
        <v>19679</v>
      </c>
      <c r="CM839" s="2349">
        <f t="shared" si="1286"/>
        <v>19748</v>
      </c>
      <c r="CN839" s="2349">
        <f t="shared" si="1286"/>
        <v>20923</v>
      </c>
      <c r="CO839" s="2293">
        <f t="shared" si="1286"/>
        <v>20923</v>
      </c>
      <c r="CP839" s="973">
        <f t="shared" si="1281"/>
        <v>21189.14</v>
      </c>
      <c r="CQ839" s="847">
        <f t="shared" si="1281"/>
        <v>21671.46</v>
      </c>
      <c r="CR839" s="847">
        <f t="shared" si="1281"/>
        <v>21815.5</v>
      </c>
      <c r="CS839" s="1431">
        <f t="shared" si="1281"/>
        <v>22218.090000000004</v>
      </c>
      <c r="CT839" s="2293">
        <f t="shared" si="1281"/>
        <v>22218.090000000004</v>
      </c>
      <c r="CU839" s="2293">
        <f t="shared" si="1286"/>
        <v>23330.439449999998</v>
      </c>
      <c r="CV839" s="2293">
        <f t="shared" si="1286"/>
        <v>23844.742342000005</v>
      </c>
      <c r="CW839" s="374"/>
      <c r="CX839" s="374"/>
      <c r="CY839" s="374"/>
      <c r="CZ839" s="374"/>
      <c r="DA839" s="374"/>
      <c r="DB839" s="217"/>
      <c r="DC839" s="212"/>
      <c r="DD839" s="212"/>
      <c r="DE839" s="70"/>
      <c r="DF839" s="70"/>
      <c r="DG839" s="70"/>
      <c r="DH839" s="70"/>
      <c r="DI839" s="70"/>
      <c r="DJ839" s="70"/>
      <c r="DK839" s="70"/>
      <c r="DL839" s="70"/>
      <c r="DM839" s="70"/>
      <c r="DN839" s="70"/>
      <c r="DO839" s="70"/>
      <c r="DP839" s="70"/>
      <c r="DQ839" s="70"/>
      <c r="DR839" s="70"/>
      <c r="DS839" s="70"/>
      <c r="DT839" s="70"/>
      <c r="DU839" s="70"/>
      <c r="DV839" s="70"/>
      <c r="DW839" s="70"/>
      <c r="DX839" s="70"/>
      <c r="DY839" s="70"/>
      <c r="DZ839" s="70"/>
      <c r="EA839" s="70"/>
      <c r="EB839" s="70"/>
      <c r="EC839" s="70"/>
      <c r="ED839" s="70"/>
      <c r="EE839" s="70"/>
      <c r="EF839" s="70"/>
      <c r="EG839" s="70"/>
      <c r="EH839" s="70"/>
      <c r="EI839" s="70"/>
      <c r="EJ839" s="70"/>
      <c r="EK839" s="70"/>
      <c r="EL839" s="70"/>
      <c r="EM839" s="70"/>
      <c r="EN839" s="70"/>
      <c r="EO839" s="70"/>
      <c r="EP839" s="70"/>
      <c r="EQ839" s="70"/>
      <c r="ER839" s="70"/>
      <c r="ES839" s="70"/>
      <c r="ET839" s="70"/>
      <c r="EU839" s="70"/>
      <c r="EV839" s="70"/>
      <c r="EW839" s="70"/>
      <c r="EX839" s="70"/>
      <c r="EY839" s="70"/>
      <c r="EZ839" s="70"/>
      <c r="FA839" s="70"/>
      <c r="FB839" s="70"/>
      <c r="FC839" s="70"/>
      <c r="FD839" s="70"/>
      <c r="FE839" s="70"/>
      <c r="FF839" s="70"/>
      <c r="FG839" s="70"/>
      <c r="FH839" s="70"/>
      <c r="FI839" s="70"/>
      <c r="FJ839" s="70"/>
      <c r="FK839" s="70"/>
      <c r="FL839" s="70"/>
      <c r="FM839" s="70"/>
      <c r="FN839" s="70"/>
      <c r="FO839" s="70"/>
      <c r="FP839" s="70"/>
      <c r="FQ839" s="70"/>
      <c r="FR839" s="70"/>
      <c r="FS839" s="70"/>
      <c r="FT839" s="70"/>
      <c r="FU839" s="70"/>
      <c r="FV839" s="70"/>
      <c r="FW839" s="70"/>
      <c r="FX839" s="70"/>
      <c r="FY839" s="70"/>
      <c r="FZ839" s="70"/>
      <c r="GA839" s="70"/>
      <c r="GB839" s="70"/>
      <c r="GC839" s="70"/>
      <c r="GD839" s="70"/>
      <c r="GE839" s="70"/>
      <c r="GF839" s="70"/>
      <c r="GG839" s="70"/>
      <c r="GH839" s="70"/>
      <c r="GI839" s="70"/>
      <c r="GJ839" s="70"/>
      <c r="GK839" s="70"/>
      <c r="GL839" s="70"/>
      <c r="GM839" s="70"/>
      <c r="GN839" s="70"/>
      <c r="GO839" s="70"/>
      <c r="GP839" s="70"/>
      <c r="GQ839" s="70"/>
      <c r="GR839" s="70"/>
      <c r="GS839" s="70"/>
      <c r="GT839" s="70"/>
      <c r="GU839" s="70"/>
      <c r="GV839" s="70"/>
      <c r="GW839" s="70"/>
      <c r="GX839" s="70"/>
      <c r="GY839" s="70"/>
      <c r="GZ839" s="70"/>
      <c r="HA839" s="70"/>
      <c r="HB839" s="70"/>
      <c r="HC839" s="70"/>
      <c r="HD839" s="70"/>
      <c r="HE839" s="70"/>
      <c r="HF839" s="70"/>
      <c r="HG839" s="70"/>
      <c r="HH839" s="70"/>
      <c r="HI839" s="70"/>
      <c r="HJ839" s="70"/>
      <c r="HK839" s="70"/>
      <c r="HL839" s="70"/>
      <c r="HM839" s="70"/>
      <c r="HN839" s="70"/>
      <c r="HO839" s="70"/>
      <c r="HP839" s="70"/>
      <c r="HQ839" s="70"/>
      <c r="HR839" s="70"/>
      <c r="HS839" s="70"/>
      <c r="HT839" s="70"/>
      <c r="HU839" s="70"/>
      <c r="HV839" s="70"/>
      <c r="HW839" s="70"/>
      <c r="HX839" s="70"/>
      <c r="HY839" s="70"/>
      <c r="HZ839" s="70"/>
      <c r="IA839" s="70"/>
      <c r="IB839" s="70"/>
      <c r="IC839" s="70"/>
      <c r="ID839" s="70"/>
      <c r="IE839" s="70"/>
      <c r="IF839" s="70"/>
      <c r="IG839" s="70"/>
      <c r="IH839" s="70"/>
      <c r="II839" s="70"/>
      <c r="IJ839" s="70"/>
      <c r="IK839" s="70"/>
      <c r="IL839" s="70"/>
      <c r="IM839" s="70"/>
      <c r="IN839" s="70"/>
      <c r="IO839" s="70"/>
      <c r="IP839" s="70"/>
      <c r="IQ839" s="70"/>
      <c r="IR839" s="70"/>
      <c r="IS839" s="70"/>
      <c r="IT839" s="70"/>
      <c r="IU839" s="70"/>
      <c r="IV839" s="70"/>
    </row>
    <row r="840" spans="1:256" s="207" customFormat="1" x14ac:dyDescent="0.2">
      <c r="A840" s="2434" t="s">
        <v>2459</v>
      </c>
      <c r="B840" s="651"/>
      <c r="C840" s="236"/>
      <c r="G840" s="234"/>
      <c r="H840" s="661"/>
      <c r="I840" s="847"/>
      <c r="J840" s="847"/>
      <c r="K840" s="847"/>
      <c r="L840" s="847"/>
      <c r="M840" s="661"/>
      <c r="N840" s="847"/>
      <c r="O840" s="847"/>
      <c r="P840" s="847"/>
      <c r="Q840" s="847"/>
      <c r="R840" s="661"/>
      <c r="S840" s="847"/>
      <c r="T840" s="847"/>
      <c r="U840" s="847"/>
      <c r="V840" s="847"/>
      <c r="W840" s="661"/>
      <c r="X840" s="847"/>
      <c r="Y840" s="847"/>
      <c r="Z840" s="847"/>
      <c r="AA840" s="847"/>
      <c r="AB840" s="661"/>
      <c r="AC840" s="847"/>
      <c r="AD840" s="847"/>
      <c r="AE840" s="847"/>
      <c r="AF840" s="847"/>
      <c r="AG840" s="661"/>
      <c r="AH840" s="847"/>
      <c r="AI840" s="847"/>
      <c r="AJ840" s="847"/>
      <c r="AK840" s="847"/>
      <c r="AL840" s="661"/>
      <c r="AM840" s="847"/>
      <c r="AN840" s="847"/>
      <c r="AO840" s="847"/>
      <c r="AP840" s="847"/>
      <c r="AQ840" s="661"/>
      <c r="AR840" s="847"/>
      <c r="AS840" s="847"/>
      <c r="AT840" s="847"/>
      <c r="AU840" s="847"/>
      <c r="AV840" s="661"/>
      <c r="AW840" s="847"/>
      <c r="AX840" s="847"/>
      <c r="AY840" s="847"/>
      <c r="AZ840" s="847"/>
      <c r="BA840" s="661"/>
      <c r="BB840" s="847"/>
      <c r="BC840" s="847"/>
      <c r="BD840" s="847"/>
      <c r="BE840" s="847"/>
      <c r="BF840" s="661"/>
      <c r="BG840" s="847"/>
      <c r="BH840" s="847"/>
      <c r="BI840" s="847"/>
      <c r="BJ840" s="847"/>
      <c r="BK840" s="661"/>
      <c r="BL840" s="847"/>
      <c r="BM840" s="847"/>
      <c r="BN840" s="847"/>
      <c r="BO840" s="847"/>
      <c r="BP840" s="194"/>
      <c r="BQ840" s="847"/>
      <c r="BR840" s="847"/>
      <c r="BS840" s="847"/>
      <c r="BT840" s="847"/>
      <c r="BU840" s="194"/>
      <c r="BV840" s="847"/>
      <c r="BW840" s="847"/>
      <c r="BX840" s="847"/>
      <c r="BY840" s="847"/>
      <c r="BZ840" s="194"/>
      <c r="CA840" s="847"/>
      <c r="CB840" s="847"/>
      <c r="CC840" s="847"/>
      <c r="CD840" s="847"/>
      <c r="CE840" s="194"/>
      <c r="CF840" s="847"/>
      <c r="CG840" s="2349"/>
      <c r="CH840" s="2349">
        <f t="shared" ref="CH840:CV840" si="1287">CH555+CH695</f>
        <v>8086</v>
      </c>
      <c r="CI840" s="2349">
        <f t="shared" si="1287"/>
        <v>8172</v>
      </c>
      <c r="CJ840" s="2293">
        <f t="shared" si="1287"/>
        <v>8172</v>
      </c>
      <c r="CK840" s="2350">
        <f t="shared" si="1283"/>
        <v>8360</v>
      </c>
      <c r="CL840" s="2349">
        <f t="shared" si="1287"/>
        <v>9054</v>
      </c>
      <c r="CM840" s="2349">
        <f t="shared" si="1287"/>
        <v>9437</v>
      </c>
      <c r="CN840" s="2349">
        <f t="shared" si="1287"/>
        <v>9436</v>
      </c>
      <c r="CO840" s="2293">
        <f t="shared" si="1287"/>
        <v>9436</v>
      </c>
      <c r="CP840" s="973">
        <f t="shared" si="1281"/>
        <v>8792.6</v>
      </c>
      <c r="CQ840" s="847">
        <f t="shared" si="1281"/>
        <v>9590.61</v>
      </c>
      <c r="CR840" s="847">
        <f t="shared" si="1281"/>
        <v>9999.2400000000016</v>
      </c>
      <c r="CS840" s="1431">
        <f t="shared" si="1281"/>
        <v>9998.18</v>
      </c>
      <c r="CT840" s="2293">
        <f t="shared" si="1281"/>
        <v>9998.18</v>
      </c>
      <c r="CU840" s="2293">
        <f t="shared" si="1287"/>
        <v>10451.6644</v>
      </c>
      <c r="CV840" s="2293">
        <f t="shared" si="1287"/>
        <v>10609.299967999999</v>
      </c>
      <c r="CW840" s="374"/>
      <c r="CX840" s="374"/>
      <c r="CY840" s="374"/>
      <c r="CZ840" s="374"/>
      <c r="DA840" s="374"/>
      <c r="DB840" s="217"/>
      <c r="DC840" s="212"/>
      <c r="DD840" s="212"/>
      <c r="DE840" s="70"/>
      <c r="DF840" s="70"/>
      <c r="DG840" s="70"/>
      <c r="DH840" s="70"/>
      <c r="DI840" s="70"/>
      <c r="DJ840" s="70"/>
      <c r="DK840" s="70"/>
      <c r="DL840" s="70"/>
      <c r="DM840" s="70"/>
      <c r="DN840" s="70"/>
      <c r="DO840" s="70"/>
      <c r="DP840" s="70"/>
      <c r="DQ840" s="70"/>
      <c r="DR840" s="70"/>
      <c r="DS840" s="70"/>
      <c r="DT840" s="70"/>
      <c r="DU840" s="70"/>
      <c r="DV840" s="70"/>
      <c r="DW840" s="70"/>
      <c r="DX840" s="70"/>
      <c r="DY840" s="70"/>
      <c r="DZ840" s="70"/>
      <c r="EA840" s="70"/>
      <c r="EB840" s="70"/>
      <c r="EC840" s="70"/>
      <c r="ED840" s="70"/>
      <c r="EE840" s="70"/>
      <c r="EF840" s="70"/>
      <c r="EG840" s="70"/>
      <c r="EH840" s="70"/>
      <c r="EI840" s="70"/>
      <c r="EJ840" s="70"/>
      <c r="EK840" s="70"/>
      <c r="EL840" s="70"/>
      <c r="EM840" s="70"/>
      <c r="EN840" s="70"/>
      <c r="EO840" s="70"/>
      <c r="EP840" s="70"/>
      <c r="EQ840" s="70"/>
      <c r="ER840" s="70"/>
      <c r="ES840" s="70"/>
      <c r="ET840" s="70"/>
      <c r="EU840" s="70"/>
      <c r="EV840" s="70"/>
      <c r="EW840" s="70"/>
      <c r="EX840" s="70"/>
      <c r="EY840" s="70"/>
      <c r="EZ840" s="70"/>
      <c r="FA840" s="70"/>
      <c r="FB840" s="70"/>
      <c r="FC840" s="70"/>
      <c r="FD840" s="70"/>
      <c r="FE840" s="70"/>
      <c r="FF840" s="70"/>
      <c r="FG840" s="70"/>
      <c r="FH840" s="70"/>
      <c r="FI840" s="70"/>
      <c r="FJ840" s="70"/>
      <c r="FK840" s="70"/>
      <c r="FL840" s="70"/>
      <c r="FM840" s="70"/>
      <c r="FN840" s="70"/>
      <c r="FO840" s="70"/>
      <c r="FP840" s="70"/>
      <c r="FQ840" s="70"/>
      <c r="FR840" s="70"/>
      <c r="FS840" s="70"/>
      <c r="FT840" s="70"/>
      <c r="FU840" s="70"/>
      <c r="FV840" s="70"/>
      <c r="FW840" s="70"/>
      <c r="FX840" s="70"/>
      <c r="FY840" s="70"/>
      <c r="FZ840" s="70"/>
      <c r="GA840" s="70"/>
      <c r="GB840" s="70"/>
      <c r="GC840" s="70"/>
      <c r="GD840" s="70"/>
      <c r="GE840" s="70"/>
      <c r="GF840" s="70"/>
      <c r="GG840" s="70"/>
      <c r="GH840" s="70"/>
      <c r="GI840" s="70"/>
      <c r="GJ840" s="70"/>
      <c r="GK840" s="70"/>
      <c r="GL840" s="70"/>
      <c r="GM840" s="70"/>
      <c r="GN840" s="70"/>
      <c r="GO840" s="70"/>
      <c r="GP840" s="70"/>
      <c r="GQ840" s="70"/>
      <c r="GR840" s="70"/>
      <c r="GS840" s="70"/>
      <c r="GT840" s="70"/>
      <c r="GU840" s="70"/>
      <c r="GV840" s="70"/>
      <c r="GW840" s="70"/>
      <c r="GX840" s="70"/>
      <c r="GY840" s="70"/>
      <c r="GZ840" s="70"/>
      <c r="HA840" s="70"/>
      <c r="HB840" s="70"/>
      <c r="HC840" s="70"/>
      <c r="HD840" s="70"/>
      <c r="HE840" s="70"/>
      <c r="HF840" s="70"/>
      <c r="HG840" s="70"/>
      <c r="HH840" s="70"/>
      <c r="HI840" s="70"/>
      <c r="HJ840" s="70"/>
      <c r="HK840" s="70"/>
      <c r="HL840" s="70"/>
      <c r="HM840" s="70"/>
      <c r="HN840" s="70"/>
      <c r="HO840" s="70"/>
      <c r="HP840" s="70"/>
      <c r="HQ840" s="70"/>
      <c r="HR840" s="70"/>
      <c r="HS840" s="70"/>
      <c r="HT840" s="70"/>
      <c r="HU840" s="70"/>
      <c r="HV840" s="70"/>
      <c r="HW840" s="70"/>
      <c r="HX840" s="70"/>
      <c r="HY840" s="70"/>
      <c r="HZ840" s="70"/>
      <c r="IA840" s="70"/>
      <c r="IB840" s="70"/>
      <c r="IC840" s="70"/>
      <c r="ID840" s="70"/>
      <c r="IE840" s="70"/>
      <c r="IF840" s="70"/>
      <c r="IG840" s="70"/>
      <c r="IH840" s="70"/>
      <c r="II840" s="70"/>
      <c r="IJ840" s="70"/>
      <c r="IK840" s="70"/>
      <c r="IL840" s="70"/>
      <c r="IM840" s="70"/>
      <c r="IN840" s="70"/>
      <c r="IO840" s="70"/>
      <c r="IP840" s="70"/>
      <c r="IQ840" s="70"/>
      <c r="IR840" s="70"/>
      <c r="IS840" s="70"/>
      <c r="IT840" s="70"/>
      <c r="IU840" s="70"/>
      <c r="IV840" s="70"/>
    </row>
    <row r="841" spans="1:256" s="207" customFormat="1" x14ac:dyDescent="0.2">
      <c r="A841" s="2434" t="s">
        <v>2460</v>
      </c>
      <c r="B841" s="651"/>
      <c r="C841" s="236"/>
      <c r="G841" s="234"/>
      <c r="H841" s="661"/>
      <c r="I841" s="847"/>
      <c r="J841" s="847"/>
      <c r="K841" s="847"/>
      <c r="L841" s="847"/>
      <c r="M841" s="661"/>
      <c r="N841" s="847"/>
      <c r="O841" s="847"/>
      <c r="P841" s="847"/>
      <c r="Q841" s="847"/>
      <c r="R841" s="661"/>
      <c r="S841" s="847"/>
      <c r="T841" s="847"/>
      <c r="U841" s="847"/>
      <c r="V841" s="847"/>
      <c r="W841" s="661"/>
      <c r="X841" s="847"/>
      <c r="Y841" s="847"/>
      <c r="Z841" s="847"/>
      <c r="AA841" s="847"/>
      <c r="AB841" s="661"/>
      <c r="AC841" s="847"/>
      <c r="AD841" s="847"/>
      <c r="AE841" s="847"/>
      <c r="AF841" s="847"/>
      <c r="AG841" s="661"/>
      <c r="AH841" s="847"/>
      <c r="AI841" s="847"/>
      <c r="AJ841" s="847"/>
      <c r="AK841" s="847"/>
      <c r="AL841" s="661"/>
      <c r="AM841" s="847"/>
      <c r="AN841" s="847"/>
      <c r="AO841" s="847"/>
      <c r="AP841" s="847"/>
      <c r="AQ841" s="661"/>
      <c r="AR841" s="847"/>
      <c r="AS841" s="847"/>
      <c r="AT841" s="847"/>
      <c r="AU841" s="847"/>
      <c r="AV841" s="661"/>
      <c r="AW841" s="847"/>
      <c r="AX841" s="847"/>
      <c r="AY841" s="847"/>
      <c r="AZ841" s="847"/>
      <c r="BA841" s="661"/>
      <c r="BB841" s="847"/>
      <c r="BC841" s="847"/>
      <c r="BD841" s="847"/>
      <c r="BE841" s="847"/>
      <c r="BF841" s="661"/>
      <c r="BG841" s="847"/>
      <c r="BH841" s="847"/>
      <c r="BI841" s="847"/>
      <c r="BJ841" s="847"/>
      <c r="BK841" s="661"/>
      <c r="BL841" s="847"/>
      <c r="BM841" s="847"/>
      <c r="BN841" s="847"/>
      <c r="BO841" s="847"/>
      <c r="BP841" s="194"/>
      <c r="BQ841" s="847"/>
      <c r="BR841" s="847"/>
      <c r="BS841" s="847"/>
      <c r="BT841" s="847"/>
      <c r="BU841" s="194"/>
      <c r="BV841" s="847"/>
      <c r="BW841" s="847"/>
      <c r="BX841" s="847"/>
      <c r="BY841" s="847"/>
      <c r="BZ841" s="194"/>
      <c r="CA841" s="847"/>
      <c r="CB841" s="847"/>
      <c r="CC841" s="847"/>
      <c r="CD841" s="847"/>
      <c r="CE841" s="194"/>
      <c r="CF841" s="847"/>
      <c r="CG841" s="2349"/>
      <c r="CH841" s="2349">
        <f t="shared" ref="CH841:CV841" si="1288">CH556+CH696</f>
        <v>28380</v>
      </c>
      <c r="CI841" s="2349">
        <f t="shared" si="1288"/>
        <v>28298</v>
      </c>
      <c r="CJ841" s="2293">
        <f t="shared" si="1288"/>
        <v>28298</v>
      </c>
      <c r="CK841" s="2350">
        <f t="shared" si="1283"/>
        <v>28538</v>
      </c>
      <c r="CL841" s="2349">
        <f t="shared" si="1288"/>
        <v>28544</v>
      </c>
      <c r="CM841" s="2349">
        <f t="shared" si="1288"/>
        <v>29228</v>
      </c>
      <c r="CN841" s="2349">
        <f t="shared" si="1288"/>
        <v>29729</v>
      </c>
      <c r="CO841" s="2293">
        <f t="shared" si="1288"/>
        <v>29729</v>
      </c>
      <c r="CP841" s="973">
        <f t="shared" si="1281"/>
        <v>30111.750000000004</v>
      </c>
      <c r="CQ841" s="847">
        <f t="shared" si="1281"/>
        <v>30256.350000000006</v>
      </c>
      <c r="CR841" s="847">
        <f t="shared" si="1281"/>
        <v>30987.82</v>
      </c>
      <c r="CS841" s="1431">
        <f t="shared" si="1281"/>
        <v>31476.02</v>
      </c>
      <c r="CT841" s="2293">
        <f t="shared" si="1281"/>
        <v>31476.02</v>
      </c>
      <c r="CU841" s="2293">
        <f t="shared" si="1288"/>
        <v>33291.249600000003</v>
      </c>
      <c r="CV841" s="2293">
        <f t="shared" si="1288"/>
        <v>34083.142950000009</v>
      </c>
      <c r="CW841" s="374"/>
      <c r="CX841" s="374"/>
      <c r="CY841" s="374"/>
      <c r="CZ841" s="374"/>
      <c r="DA841" s="374"/>
      <c r="DB841" s="217"/>
      <c r="DC841" s="212"/>
      <c r="DD841" s="212"/>
      <c r="DE841" s="70"/>
      <c r="DF841" s="70"/>
      <c r="DG841" s="70"/>
      <c r="DH841" s="70"/>
      <c r="DI841" s="70"/>
      <c r="DJ841" s="70"/>
      <c r="DK841" s="70"/>
      <c r="DL841" s="70"/>
      <c r="DM841" s="70"/>
      <c r="DN841" s="70"/>
      <c r="DO841" s="70"/>
      <c r="DP841" s="70"/>
      <c r="DQ841" s="70"/>
      <c r="DR841" s="70"/>
      <c r="DS841" s="70"/>
      <c r="DT841" s="70"/>
      <c r="DU841" s="70"/>
      <c r="DV841" s="70"/>
      <c r="DW841" s="70"/>
      <c r="DX841" s="70"/>
      <c r="DY841" s="70"/>
      <c r="DZ841" s="70"/>
      <c r="EA841" s="70"/>
      <c r="EB841" s="70"/>
      <c r="EC841" s="70"/>
      <c r="ED841" s="70"/>
      <c r="EE841" s="70"/>
      <c r="EF841" s="70"/>
      <c r="EG841" s="70"/>
      <c r="EH841" s="70"/>
      <c r="EI841" s="70"/>
      <c r="EJ841" s="70"/>
      <c r="EK841" s="70"/>
      <c r="EL841" s="70"/>
      <c r="EM841" s="70"/>
      <c r="EN841" s="70"/>
      <c r="EO841" s="70"/>
      <c r="EP841" s="70"/>
      <c r="EQ841" s="70"/>
      <c r="ER841" s="70"/>
      <c r="ES841" s="70"/>
      <c r="ET841" s="70"/>
      <c r="EU841" s="70"/>
      <c r="EV841" s="70"/>
      <c r="EW841" s="70"/>
      <c r="EX841" s="70"/>
      <c r="EY841" s="70"/>
      <c r="EZ841" s="70"/>
      <c r="FA841" s="70"/>
      <c r="FB841" s="70"/>
      <c r="FC841" s="70"/>
      <c r="FD841" s="70"/>
      <c r="FE841" s="70"/>
      <c r="FF841" s="70"/>
      <c r="FG841" s="70"/>
      <c r="FH841" s="70"/>
      <c r="FI841" s="70"/>
      <c r="FJ841" s="70"/>
      <c r="FK841" s="70"/>
      <c r="FL841" s="70"/>
      <c r="FM841" s="70"/>
      <c r="FN841" s="70"/>
      <c r="FO841" s="70"/>
      <c r="FP841" s="70"/>
      <c r="FQ841" s="70"/>
      <c r="FR841" s="70"/>
      <c r="FS841" s="70"/>
      <c r="FT841" s="70"/>
      <c r="FU841" s="70"/>
      <c r="FV841" s="70"/>
      <c r="FW841" s="70"/>
      <c r="FX841" s="70"/>
      <c r="FY841" s="70"/>
      <c r="FZ841" s="70"/>
      <c r="GA841" s="70"/>
      <c r="GB841" s="70"/>
      <c r="GC841" s="70"/>
      <c r="GD841" s="70"/>
      <c r="GE841" s="70"/>
      <c r="GF841" s="70"/>
      <c r="GG841" s="70"/>
      <c r="GH841" s="70"/>
      <c r="GI841" s="70"/>
      <c r="GJ841" s="70"/>
      <c r="GK841" s="70"/>
      <c r="GL841" s="70"/>
      <c r="GM841" s="70"/>
      <c r="GN841" s="70"/>
      <c r="GO841" s="70"/>
      <c r="GP841" s="70"/>
      <c r="GQ841" s="70"/>
      <c r="GR841" s="70"/>
      <c r="GS841" s="70"/>
      <c r="GT841" s="70"/>
      <c r="GU841" s="70"/>
      <c r="GV841" s="70"/>
      <c r="GW841" s="70"/>
      <c r="GX841" s="70"/>
      <c r="GY841" s="70"/>
      <c r="GZ841" s="70"/>
      <c r="HA841" s="70"/>
      <c r="HB841" s="70"/>
      <c r="HC841" s="70"/>
      <c r="HD841" s="70"/>
      <c r="HE841" s="70"/>
      <c r="HF841" s="70"/>
      <c r="HG841" s="70"/>
      <c r="HH841" s="70"/>
      <c r="HI841" s="70"/>
      <c r="HJ841" s="70"/>
      <c r="HK841" s="70"/>
      <c r="HL841" s="70"/>
      <c r="HM841" s="70"/>
      <c r="HN841" s="70"/>
      <c r="HO841" s="70"/>
      <c r="HP841" s="70"/>
      <c r="HQ841" s="70"/>
      <c r="HR841" s="70"/>
      <c r="HS841" s="70"/>
      <c r="HT841" s="70"/>
      <c r="HU841" s="70"/>
      <c r="HV841" s="70"/>
      <c r="HW841" s="70"/>
      <c r="HX841" s="70"/>
      <c r="HY841" s="70"/>
      <c r="HZ841" s="70"/>
      <c r="IA841" s="70"/>
      <c r="IB841" s="70"/>
      <c r="IC841" s="70"/>
      <c r="ID841" s="70"/>
      <c r="IE841" s="70"/>
      <c r="IF841" s="70"/>
      <c r="IG841" s="70"/>
      <c r="IH841" s="70"/>
      <c r="II841" s="70"/>
      <c r="IJ841" s="70"/>
      <c r="IK841" s="70"/>
      <c r="IL841" s="70"/>
      <c r="IM841" s="70"/>
      <c r="IN841" s="70"/>
      <c r="IO841" s="70"/>
      <c r="IP841" s="70"/>
      <c r="IQ841" s="70"/>
      <c r="IR841" s="70"/>
      <c r="IS841" s="70"/>
      <c r="IT841" s="70"/>
      <c r="IU841" s="70"/>
      <c r="IV841" s="70"/>
    </row>
    <row r="842" spans="1:256" s="207" customFormat="1" x14ac:dyDescent="0.2">
      <c r="A842" s="2434" t="s">
        <v>2464</v>
      </c>
      <c r="B842" s="651"/>
      <c r="C842" s="236"/>
      <c r="G842" s="234"/>
      <c r="H842" s="661"/>
      <c r="I842" s="847"/>
      <c r="J842" s="847"/>
      <c r="K842" s="847"/>
      <c r="L842" s="847"/>
      <c r="M842" s="661"/>
      <c r="N842" s="847"/>
      <c r="O842" s="847"/>
      <c r="P842" s="847"/>
      <c r="Q842" s="847"/>
      <c r="R842" s="661"/>
      <c r="S842" s="847"/>
      <c r="T842" s="847"/>
      <c r="U842" s="847"/>
      <c r="V842" s="847"/>
      <c r="W842" s="661"/>
      <c r="X842" s="847"/>
      <c r="Y842" s="847"/>
      <c r="Z842" s="847"/>
      <c r="AA842" s="847"/>
      <c r="AB842" s="661"/>
      <c r="AC842" s="847"/>
      <c r="AD842" s="847"/>
      <c r="AE842" s="847"/>
      <c r="AF842" s="847"/>
      <c r="AG842" s="661"/>
      <c r="AH842" s="847"/>
      <c r="AI842" s="847"/>
      <c r="AJ842" s="847"/>
      <c r="AK842" s="847"/>
      <c r="AL842" s="661"/>
      <c r="AM842" s="847"/>
      <c r="AN842" s="847"/>
      <c r="AO842" s="847"/>
      <c r="AP842" s="847"/>
      <c r="AQ842" s="661"/>
      <c r="AR842" s="847"/>
      <c r="AS842" s="847"/>
      <c r="AT842" s="847"/>
      <c r="AU842" s="847"/>
      <c r="AV842" s="661"/>
      <c r="AW842" s="847"/>
      <c r="AX842" s="847"/>
      <c r="AY842" s="847"/>
      <c r="AZ842" s="847"/>
      <c r="BA842" s="661"/>
      <c r="BB842" s="847"/>
      <c r="BC842" s="847"/>
      <c r="BD842" s="847"/>
      <c r="BE842" s="847"/>
      <c r="BF842" s="661"/>
      <c r="BG842" s="847"/>
      <c r="BH842" s="847"/>
      <c r="BI842" s="847"/>
      <c r="BJ842" s="847"/>
      <c r="BK842" s="661"/>
      <c r="BL842" s="847"/>
      <c r="BM842" s="847"/>
      <c r="BN842" s="847"/>
      <c r="BO842" s="847"/>
      <c r="BP842" s="194"/>
      <c r="BQ842" s="847"/>
      <c r="BR842" s="847"/>
      <c r="BS842" s="847"/>
      <c r="BT842" s="847"/>
      <c r="BU842" s="194"/>
      <c r="BV842" s="847"/>
      <c r="BW842" s="847"/>
      <c r="BX842" s="847"/>
      <c r="BY842" s="847"/>
      <c r="BZ842" s="194"/>
      <c r="CA842" s="847"/>
      <c r="CB842" s="847"/>
      <c r="CC842" s="847"/>
      <c r="CD842" s="847"/>
      <c r="CE842" s="194"/>
      <c r="CF842" s="847"/>
      <c r="CG842" s="2349"/>
      <c r="CH842" s="2349">
        <f t="shared" ref="CH842:CV842" si="1289">CH557+CH697</f>
        <v>19433</v>
      </c>
      <c r="CI842" s="2349">
        <f t="shared" si="1289"/>
        <v>19715</v>
      </c>
      <c r="CJ842" s="2293">
        <f t="shared" si="1289"/>
        <v>19715</v>
      </c>
      <c r="CK842" s="2350">
        <f t="shared" si="1283"/>
        <v>21337</v>
      </c>
      <c r="CL842" s="2349">
        <f t="shared" si="1289"/>
        <v>22036</v>
      </c>
      <c r="CM842" s="2349">
        <f t="shared" si="1289"/>
        <v>23219</v>
      </c>
      <c r="CN842" s="2349">
        <f t="shared" si="1289"/>
        <v>23399</v>
      </c>
      <c r="CO842" s="2293">
        <f t="shared" si="1289"/>
        <v>23399</v>
      </c>
      <c r="CP842" s="973">
        <f t="shared" si="1281"/>
        <v>22837.89</v>
      </c>
      <c r="CQ842" s="847">
        <f t="shared" si="1281"/>
        <v>23646.720000000001</v>
      </c>
      <c r="CR842" s="847">
        <f t="shared" si="1281"/>
        <v>24941.480000000003</v>
      </c>
      <c r="CS842" s="1431">
        <f t="shared" si="1281"/>
        <v>25132.280000000002</v>
      </c>
      <c r="CT842" s="2293">
        <f t="shared" si="1281"/>
        <v>25132.280000000002</v>
      </c>
      <c r="CU842" s="2293">
        <f t="shared" si="1289"/>
        <v>26864.061799999999</v>
      </c>
      <c r="CV842" s="2293">
        <f t="shared" si="1289"/>
        <v>27777.062416000001</v>
      </c>
      <c r="CW842" s="374"/>
      <c r="CX842" s="374"/>
      <c r="CY842" s="374"/>
      <c r="CZ842" s="374"/>
      <c r="DA842" s="374"/>
      <c r="DB842" s="217"/>
      <c r="DC842" s="212"/>
      <c r="DD842" s="212"/>
      <c r="DE842" s="70"/>
      <c r="DF842" s="70"/>
      <c r="DG842" s="70"/>
      <c r="DH842" s="70"/>
      <c r="DI842" s="70"/>
      <c r="DJ842" s="70"/>
      <c r="DK842" s="70"/>
      <c r="DL842" s="70"/>
      <c r="DM842" s="70"/>
      <c r="DN842" s="70"/>
      <c r="DO842" s="70"/>
      <c r="DP842" s="70"/>
      <c r="DQ842" s="70"/>
      <c r="DR842" s="70"/>
      <c r="DS842" s="70"/>
      <c r="DT842" s="70"/>
      <c r="DU842" s="70"/>
      <c r="DV842" s="70"/>
      <c r="DW842" s="70"/>
      <c r="DX842" s="70"/>
      <c r="DY842" s="70"/>
      <c r="DZ842" s="70"/>
      <c r="EA842" s="70"/>
      <c r="EB842" s="70"/>
      <c r="EC842" s="70"/>
      <c r="ED842" s="70"/>
      <c r="EE842" s="70"/>
      <c r="EF842" s="70"/>
      <c r="EG842" s="70"/>
      <c r="EH842" s="70"/>
      <c r="EI842" s="70"/>
      <c r="EJ842" s="70"/>
      <c r="EK842" s="70"/>
      <c r="EL842" s="70"/>
      <c r="EM842" s="70"/>
      <c r="EN842" s="70"/>
      <c r="EO842" s="70"/>
      <c r="EP842" s="70"/>
      <c r="EQ842" s="70"/>
      <c r="ER842" s="70"/>
      <c r="ES842" s="70"/>
      <c r="ET842" s="70"/>
      <c r="EU842" s="70"/>
      <c r="EV842" s="70"/>
      <c r="EW842" s="70"/>
      <c r="EX842" s="70"/>
      <c r="EY842" s="70"/>
      <c r="EZ842" s="70"/>
      <c r="FA842" s="70"/>
      <c r="FB842" s="70"/>
      <c r="FC842" s="70"/>
      <c r="FD842" s="70"/>
      <c r="FE842" s="70"/>
      <c r="FF842" s="70"/>
      <c r="FG842" s="70"/>
      <c r="FH842" s="70"/>
      <c r="FI842" s="70"/>
      <c r="FJ842" s="70"/>
      <c r="FK842" s="70"/>
      <c r="FL842" s="70"/>
      <c r="FM842" s="70"/>
      <c r="FN842" s="70"/>
      <c r="FO842" s="70"/>
      <c r="FP842" s="70"/>
      <c r="FQ842" s="70"/>
      <c r="FR842" s="70"/>
      <c r="FS842" s="70"/>
      <c r="FT842" s="70"/>
      <c r="FU842" s="70"/>
      <c r="FV842" s="70"/>
      <c r="FW842" s="70"/>
      <c r="FX842" s="70"/>
      <c r="FY842" s="70"/>
      <c r="FZ842" s="70"/>
      <c r="GA842" s="70"/>
      <c r="GB842" s="70"/>
      <c r="GC842" s="70"/>
      <c r="GD842" s="70"/>
      <c r="GE842" s="70"/>
      <c r="GF842" s="70"/>
      <c r="GG842" s="70"/>
      <c r="GH842" s="70"/>
      <c r="GI842" s="70"/>
      <c r="GJ842" s="70"/>
      <c r="GK842" s="70"/>
      <c r="GL842" s="70"/>
      <c r="GM842" s="70"/>
      <c r="GN842" s="70"/>
      <c r="GO842" s="70"/>
      <c r="GP842" s="70"/>
      <c r="GQ842" s="70"/>
      <c r="GR842" s="70"/>
      <c r="GS842" s="70"/>
      <c r="GT842" s="70"/>
      <c r="GU842" s="70"/>
      <c r="GV842" s="70"/>
      <c r="GW842" s="70"/>
      <c r="GX842" s="70"/>
      <c r="GY842" s="70"/>
      <c r="GZ842" s="70"/>
      <c r="HA842" s="70"/>
      <c r="HB842" s="70"/>
      <c r="HC842" s="70"/>
      <c r="HD842" s="70"/>
      <c r="HE842" s="70"/>
      <c r="HF842" s="70"/>
      <c r="HG842" s="70"/>
      <c r="HH842" s="70"/>
      <c r="HI842" s="70"/>
      <c r="HJ842" s="70"/>
      <c r="HK842" s="70"/>
      <c r="HL842" s="70"/>
      <c r="HM842" s="70"/>
      <c r="HN842" s="70"/>
      <c r="HO842" s="70"/>
      <c r="HP842" s="70"/>
      <c r="HQ842" s="70"/>
      <c r="HR842" s="70"/>
      <c r="HS842" s="70"/>
      <c r="HT842" s="70"/>
      <c r="HU842" s="70"/>
      <c r="HV842" s="70"/>
      <c r="HW842" s="70"/>
      <c r="HX842" s="70"/>
      <c r="HY842" s="70"/>
      <c r="HZ842" s="70"/>
      <c r="IA842" s="70"/>
      <c r="IB842" s="70"/>
      <c r="IC842" s="70"/>
      <c r="ID842" s="70"/>
      <c r="IE842" s="70"/>
      <c r="IF842" s="70"/>
      <c r="IG842" s="70"/>
      <c r="IH842" s="70"/>
      <c r="II842" s="70"/>
      <c r="IJ842" s="70"/>
      <c r="IK842" s="70"/>
      <c r="IL842" s="70"/>
      <c r="IM842" s="70"/>
      <c r="IN842" s="70"/>
      <c r="IO842" s="70"/>
      <c r="IP842" s="70"/>
      <c r="IQ842" s="70"/>
      <c r="IR842" s="70"/>
      <c r="IS842" s="70"/>
      <c r="IT842" s="70"/>
      <c r="IU842" s="70"/>
      <c r="IV842" s="70"/>
    </row>
    <row r="843" spans="1:256" s="207" customFormat="1" x14ac:dyDescent="0.2">
      <c r="A843" s="2434" t="s">
        <v>2462</v>
      </c>
      <c r="B843" s="651"/>
      <c r="C843" s="236"/>
      <c r="G843" s="234"/>
      <c r="H843" s="661"/>
      <c r="I843" s="847"/>
      <c r="J843" s="847"/>
      <c r="K843" s="847"/>
      <c r="L843" s="847"/>
      <c r="M843" s="661"/>
      <c r="N843" s="847"/>
      <c r="O843" s="847"/>
      <c r="P843" s="847"/>
      <c r="Q843" s="847"/>
      <c r="R843" s="661"/>
      <c r="S843" s="847"/>
      <c r="T843" s="847"/>
      <c r="U843" s="847"/>
      <c r="V843" s="847"/>
      <c r="W843" s="661"/>
      <c r="X843" s="847"/>
      <c r="Y843" s="847"/>
      <c r="Z843" s="847"/>
      <c r="AA843" s="847"/>
      <c r="AB843" s="661"/>
      <c r="AC843" s="847"/>
      <c r="AD843" s="847"/>
      <c r="AE843" s="847"/>
      <c r="AF843" s="847"/>
      <c r="AG843" s="661"/>
      <c r="AH843" s="847"/>
      <c r="AI843" s="847"/>
      <c r="AJ843" s="847"/>
      <c r="AK843" s="847"/>
      <c r="AL843" s="661"/>
      <c r="AM843" s="847"/>
      <c r="AN843" s="847"/>
      <c r="AO843" s="847"/>
      <c r="AP843" s="847"/>
      <c r="AQ843" s="661"/>
      <c r="AR843" s="847"/>
      <c r="AS843" s="847"/>
      <c r="AT843" s="847"/>
      <c r="AU843" s="847"/>
      <c r="AV843" s="661"/>
      <c r="AW843" s="847"/>
      <c r="AX843" s="847"/>
      <c r="AY843" s="847"/>
      <c r="AZ843" s="847"/>
      <c r="BA843" s="661"/>
      <c r="BB843" s="847"/>
      <c r="BC843" s="847"/>
      <c r="BD843" s="847"/>
      <c r="BE843" s="847"/>
      <c r="BF843" s="661"/>
      <c r="BG843" s="847"/>
      <c r="BH843" s="847"/>
      <c r="BI843" s="847"/>
      <c r="BJ843" s="847"/>
      <c r="BK843" s="661"/>
      <c r="BL843" s="847"/>
      <c r="BM843" s="847"/>
      <c r="BN843" s="847"/>
      <c r="BO843" s="847"/>
      <c r="BP843" s="194"/>
      <c r="BQ843" s="847"/>
      <c r="BR843" s="847"/>
      <c r="BS843" s="847"/>
      <c r="BT843" s="847"/>
      <c r="BU843" s="194"/>
      <c r="BV843" s="847"/>
      <c r="BW843" s="847"/>
      <c r="BX843" s="847"/>
      <c r="BY843" s="847"/>
      <c r="BZ843" s="194"/>
      <c r="CA843" s="847"/>
      <c r="CB843" s="847"/>
      <c r="CC843" s="847"/>
      <c r="CD843" s="847"/>
      <c r="CE843" s="194"/>
      <c r="CF843" s="847"/>
      <c r="CG843" s="2349"/>
      <c r="CH843" s="2349">
        <f t="shared" ref="CH843:CV843" si="1290">CH558+CH698</f>
        <v>3367</v>
      </c>
      <c r="CI843" s="2349">
        <f t="shared" si="1290"/>
        <v>3474</v>
      </c>
      <c r="CJ843" s="2293">
        <f t="shared" si="1290"/>
        <v>3474</v>
      </c>
      <c r="CK843" s="2350">
        <f t="shared" si="1283"/>
        <v>3565</v>
      </c>
      <c r="CL843" s="2349">
        <f t="shared" si="1290"/>
        <v>4679</v>
      </c>
      <c r="CM843" s="2349">
        <f t="shared" si="1290"/>
        <v>4987</v>
      </c>
      <c r="CN843" s="2349">
        <f t="shared" si="1290"/>
        <v>5253</v>
      </c>
      <c r="CO843" s="2293">
        <f t="shared" si="1290"/>
        <v>5253</v>
      </c>
      <c r="CP843" s="973">
        <f t="shared" si="1281"/>
        <v>3833.76</v>
      </c>
      <c r="CQ843" s="847">
        <f t="shared" si="1281"/>
        <v>5027.1399999999994</v>
      </c>
      <c r="CR843" s="847">
        <f t="shared" si="1281"/>
        <v>5359.43</v>
      </c>
      <c r="CS843" s="1431">
        <f t="shared" si="1281"/>
        <v>5646.7100000000009</v>
      </c>
      <c r="CT843" s="2293">
        <f t="shared" si="1281"/>
        <v>5646.7100000000009</v>
      </c>
      <c r="CU843" s="2293">
        <f t="shared" si="1290"/>
        <v>6046.7616500000004</v>
      </c>
      <c r="CV843" s="2293">
        <f t="shared" si="1290"/>
        <v>6263.8906780000016</v>
      </c>
      <c r="CW843" s="374"/>
      <c r="CX843" s="374"/>
      <c r="CY843" s="374"/>
      <c r="CZ843" s="374"/>
      <c r="DA843" s="374"/>
      <c r="DB843" s="217"/>
      <c r="DC843" s="212"/>
      <c r="DD843" s="212"/>
      <c r="DE843" s="70"/>
      <c r="DF843" s="70"/>
      <c r="DG843" s="70"/>
      <c r="DH843" s="70"/>
      <c r="DI843" s="70"/>
      <c r="DJ843" s="70"/>
      <c r="DK843" s="70"/>
      <c r="DL843" s="70"/>
      <c r="DM843" s="70"/>
      <c r="DN843" s="70"/>
      <c r="DO843" s="70"/>
      <c r="DP843" s="70"/>
      <c r="DQ843" s="70"/>
      <c r="DR843" s="70"/>
      <c r="DS843" s="70"/>
      <c r="DT843" s="70"/>
      <c r="DU843" s="70"/>
      <c r="DV843" s="70"/>
      <c r="DW843" s="70"/>
      <c r="DX843" s="70"/>
      <c r="DY843" s="70"/>
      <c r="DZ843" s="70"/>
      <c r="EA843" s="70"/>
      <c r="EB843" s="70"/>
      <c r="EC843" s="70"/>
      <c r="ED843" s="70"/>
      <c r="EE843" s="70"/>
      <c r="EF843" s="70"/>
      <c r="EG843" s="70"/>
      <c r="EH843" s="70"/>
      <c r="EI843" s="70"/>
      <c r="EJ843" s="70"/>
      <c r="EK843" s="70"/>
      <c r="EL843" s="70"/>
      <c r="EM843" s="70"/>
      <c r="EN843" s="70"/>
      <c r="EO843" s="70"/>
      <c r="EP843" s="70"/>
      <c r="EQ843" s="70"/>
      <c r="ER843" s="70"/>
      <c r="ES843" s="70"/>
      <c r="ET843" s="70"/>
      <c r="EU843" s="70"/>
      <c r="EV843" s="70"/>
      <c r="EW843" s="70"/>
      <c r="EX843" s="70"/>
      <c r="EY843" s="70"/>
      <c r="EZ843" s="70"/>
      <c r="FA843" s="70"/>
      <c r="FB843" s="70"/>
      <c r="FC843" s="70"/>
      <c r="FD843" s="70"/>
      <c r="FE843" s="70"/>
      <c r="FF843" s="70"/>
      <c r="FG843" s="70"/>
      <c r="FH843" s="70"/>
      <c r="FI843" s="70"/>
      <c r="FJ843" s="70"/>
      <c r="FK843" s="70"/>
      <c r="FL843" s="70"/>
      <c r="FM843" s="70"/>
      <c r="FN843" s="70"/>
      <c r="FO843" s="70"/>
      <c r="FP843" s="70"/>
      <c r="FQ843" s="70"/>
      <c r="FR843" s="70"/>
      <c r="FS843" s="70"/>
      <c r="FT843" s="70"/>
      <c r="FU843" s="70"/>
      <c r="FV843" s="70"/>
      <c r="FW843" s="70"/>
      <c r="FX843" s="70"/>
      <c r="FY843" s="70"/>
      <c r="FZ843" s="70"/>
      <c r="GA843" s="70"/>
      <c r="GB843" s="70"/>
      <c r="GC843" s="70"/>
      <c r="GD843" s="70"/>
      <c r="GE843" s="70"/>
      <c r="GF843" s="70"/>
      <c r="GG843" s="70"/>
      <c r="GH843" s="70"/>
      <c r="GI843" s="70"/>
      <c r="GJ843" s="70"/>
      <c r="GK843" s="70"/>
      <c r="GL843" s="70"/>
      <c r="GM843" s="70"/>
      <c r="GN843" s="70"/>
      <c r="GO843" s="70"/>
      <c r="GP843" s="70"/>
      <c r="GQ843" s="70"/>
      <c r="GR843" s="70"/>
      <c r="GS843" s="70"/>
      <c r="GT843" s="70"/>
      <c r="GU843" s="70"/>
      <c r="GV843" s="70"/>
      <c r="GW843" s="70"/>
      <c r="GX843" s="70"/>
      <c r="GY843" s="70"/>
      <c r="GZ843" s="70"/>
      <c r="HA843" s="70"/>
      <c r="HB843" s="70"/>
      <c r="HC843" s="70"/>
      <c r="HD843" s="70"/>
      <c r="HE843" s="70"/>
      <c r="HF843" s="70"/>
      <c r="HG843" s="70"/>
      <c r="HH843" s="70"/>
      <c r="HI843" s="70"/>
      <c r="HJ843" s="70"/>
      <c r="HK843" s="70"/>
      <c r="HL843" s="70"/>
      <c r="HM843" s="70"/>
      <c r="HN843" s="70"/>
      <c r="HO843" s="70"/>
      <c r="HP843" s="70"/>
      <c r="HQ843" s="70"/>
      <c r="HR843" s="70"/>
      <c r="HS843" s="70"/>
      <c r="HT843" s="70"/>
      <c r="HU843" s="70"/>
      <c r="HV843" s="70"/>
      <c r="HW843" s="70"/>
      <c r="HX843" s="70"/>
      <c r="HY843" s="70"/>
      <c r="HZ843" s="70"/>
      <c r="IA843" s="70"/>
      <c r="IB843" s="70"/>
      <c r="IC843" s="70"/>
      <c r="ID843" s="70"/>
      <c r="IE843" s="70"/>
      <c r="IF843" s="70"/>
      <c r="IG843" s="70"/>
      <c r="IH843" s="70"/>
      <c r="II843" s="70"/>
      <c r="IJ843" s="70"/>
      <c r="IK843" s="70"/>
      <c r="IL843" s="70"/>
      <c r="IM843" s="70"/>
      <c r="IN843" s="70"/>
      <c r="IO843" s="70"/>
      <c r="IP843" s="70"/>
      <c r="IQ843" s="70"/>
      <c r="IR843" s="70"/>
      <c r="IS843" s="70"/>
      <c r="IT843" s="70"/>
      <c r="IU843" s="70"/>
      <c r="IV843" s="70"/>
    </row>
    <row r="844" spans="1:256" s="207" customFormat="1" x14ac:dyDescent="0.2">
      <c r="A844" s="2434" t="s">
        <v>2463</v>
      </c>
      <c r="B844" s="651"/>
      <c r="C844" s="236"/>
      <c r="G844" s="234"/>
      <c r="H844" s="661"/>
      <c r="I844" s="847"/>
      <c r="J844" s="847"/>
      <c r="K844" s="847"/>
      <c r="L844" s="847"/>
      <c r="M844" s="661"/>
      <c r="N844" s="847"/>
      <c r="O844" s="847"/>
      <c r="P844" s="847"/>
      <c r="Q844" s="847"/>
      <c r="R844" s="661"/>
      <c r="S844" s="847"/>
      <c r="T844" s="847"/>
      <c r="U844" s="847"/>
      <c r="V844" s="847"/>
      <c r="W844" s="661"/>
      <c r="X844" s="847"/>
      <c r="Y844" s="847"/>
      <c r="Z844" s="847"/>
      <c r="AA844" s="847"/>
      <c r="AB844" s="661"/>
      <c r="AC844" s="847"/>
      <c r="AD844" s="847"/>
      <c r="AE844" s="847"/>
      <c r="AF844" s="847"/>
      <c r="AG844" s="661"/>
      <c r="AH844" s="847"/>
      <c r="AI844" s="847"/>
      <c r="AJ844" s="847"/>
      <c r="AK844" s="847"/>
      <c r="AL844" s="661"/>
      <c r="AM844" s="847"/>
      <c r="AN844" s="847"/>
      <c r="AO844" s="847"/>
      <c r="AP844" s="847"/>
      <c r="AQ844" s="661"/>
      <c r="AR844" s="847"/>
      <c r="AS844" s="847"/>
      <c r="AT844" s="847"/>
      <c r="AU844" s="847"/>
      <c r="AV844" s="661"/>
      <c r="AW844" s="847"/>
      <c r="AX844" s="847"/>
      <c r="AY844" s="847"/>
      <c r="AZ844" s="847"/>
      <c r="BA844" s="661"/>
      <c r="BB844" s="847"/>
      <c r="BC844" s="847"/>
      <c r="BD844" s="847"/>
      <c r="BE844" s="847"/>
      <c r="BF844" s="661"/>
      <c r="BG844" s="847"/>
      <c r="BH844" s="847"/>
      <c r="BI844" s="847"/>
      <c r="BJ844" s="847"/>
      <c r="BK844" s="661"/>
      <c r="BL844" s="847"/>
      <c r="BM844" s="847"/>
      <c r="BN844" s="847"/>
      <c r="BO844" s="847"/>
      <c r="BP844" s="194"/>
      <c r="BQ844" s="847"/>
      <c r="BR844" s="847"/>
      <c r="BS844" s="847"/>
      <c r="BT844" s="847"/>
      <c r="BU844" s="194"/>
      <c r="BV844" s="847"/>
      <c r="BW844" s="847"/>
      <c r="BX844" s="847"/>
      <c r="BY844" s="847"/>
      <c r="BZ844" s="194"/>
      <c r="CA844" s="847"/>
      <c r="CB844" s="847"/>
      <c r="CC844" s="847"/>
      <c r="CD844" s="847"/>
      <c r="CE844" s="194"/>
      <c r="CF844" s="847"/>
      <c r="CG844" s="2349"/>
      <c r="CH844" s="2349">
        <f t="shared" ref="CH844:CV844" si="1291">CH559+CH699</f>
        <v>4114</v>
      </c>
      <c r="CI844" s="2349">
        <f t="shared" si="1291"/>
        <v>5473</v>
      </c>
      <c r="CJ844" s="2293">
        <f t="shared" si="1291"/>
        <v>5473</v>
      </c>
      <c r="CK844" s="2350">
        <f t="shared" si="1283"/>
        <v>5733</v>
      </c>
      <c r="CL844" s="2349">
        <f t="shared" si="1291"/>
        <v>5806</v>
      </c>
      <c r="CM844" s="2349">
        <f t="shared" si="1291"/>
        <v>6224</v>
      </c>
      <c r="CN844" s="2349">
        <f t="shared" si="1291"/>
        <v>6208</v>
      </c>
      <c r="CO844" s="2293">
        <f t="shared" si="1291"/>
        <v>6208</v>
      </c>
      <c r="CP844" s="973">
        <f t="shared" si="1281"/>
        <v>6165.39</v>
      </c>
      <c r="CQ844" s="847">
        <f t="shared" si="1281"/>
        <v>6249.380000000001</v>
      </c>
      <c r="CR844" s="847">
        <f t="shared" si="1281"/>
        <v>6707.91</v>
      </c>
      <c r="CS844" s="1431">
        <f t="shared" si="1281"/>
        <v>6690.5300000000007</v>
      </c>
      <c r="CT844" s="2293">
        <f t="shared" si="1281"/>
        <v>6690.5300000000007</v>
      </c>
      <c r="CU844" s="2293">
        <f t="shared" si="1291"/>
        <v>7170.3439500000004</v>
      </c>
      <c r="CV844" s="2293">
        <f t="shared" si="1291"/>
        <v>7439.2551140000014</v>
      </c>
      <c r="CW844" s="374"/>
      <c r="CX844" s="374"/>
      <c r="CY844" s="374"/>
      <c r="CZ844" s="374"/>
      <c r="DA844" s="374"/>
      <c r="DB844" s="217"/>
      <c r="DC844" s="212"/>
      <c r="DD844" s="212"/>
      <c r="DE844" s="70"/>
      <c r="DF844" s="70"/>
      <c r="DG844" s="70"/>
      <c r="DH844" s="70"/>
      <c r="DI844" s="70"/>
      <c r="DJ844" s="70"/>
      <c r="DK844" s="70"/>
      <c r="DL844" s="70"/>
      <c r="DM844" s="70"/>
      <c r="DN844" s="70"/>
      <c r="DO844" s="70"/>
      <c r="DP844" s="70"/>
      <c r="DQ844" s="70"/>
      <c r="DR844" s="70"/>
      <c r="DS844" s="70"/>
      <c r="DT844" s="70"/>
      <c r="DU844" s="70"/>
      <c r="DV844" s="70"/>
      <c r="DW844" s="70"/>
      <c r="DX844" s="70"/>
      <c r="DY844" s="70"/>
      <c r="DZ844" s="70"/>
      <c r="EA844" s="70"/>
      <c r="EB844" s="70"/>
      <c r="EC844" s="70"/>
      <c r="ED844" s="70"/>
      <c r="EE844" s="70"/>
      <c r="EF844" s="70"/>
      <c r="EG844" s="70"/>
      <c r="EH844" s="70"/>
      <c r="EI844" s="70"/>
      <c r="EJ844" s="70"/>
      <c r="EK844" s="70"/>
      <c r="EL844" s="70"/>
      <c r="EM844" s="70"/>
      <c r="EN844" s="70"/>
      <c r="EO844" s="70"/>
      <c r="EP844" s="70"/>
      <c r="EQ844" s="70"/>
      <c r="ER844" s="70"/>
      <c r="ES844" s="70"/>
      <c r="ET844" s="70"/>
      <c r="EU844" s="70"/>
      <c r="EV844" s="70"/>
      <c r="EW844" s="70"/>
      <c r="EX844" s="70"/>
      <c r="EY844" s="70"/>
      <c r="EZ844" s="70"/>
      <c r="FA844" s="70"/>
      <c r="FB844" s="70"/>
      <c r="FC844" s="70"/>
      <c r="FD844" s="70"/>
      <c r="FE844" s="70"/>
      <c r="FF844" s="70"/>
      <c r="FG844" s="70"/>
      <c r="FH844" s="70"/>
      <c r="FI844" s="70"/>
      <c r="FJ844" s="70"/>
      <c r="FK844" s="70"/>
      <c r="FL844" s="70"/>
      <c r="FM844" s="70"/>
      <c r="FN844" s="70"/>
      <c r="FO844" s="70"/>
      <c r="FP844" s="70"/>
      <c r="FQ844" s="70"/>
      <c r="FR844" s="70"/>
      <c r="FS844" s="70"/>
      <c r="FT844" s="70"/>
      <c r="FU844" s="70"/>
      <c r="FV844" s="70"/>
      <c r="FW844" s="70"/>
      <c r="FX844" s="70"/>
      <c r="FY844" s="70"/>
      <c r="FZ844" s="70"/>
      <c r="GA844" s="70"/>
      <c r="GB844" s="70"/>
      <c r="GC844" s="70"/>
      <c r="GD844" s="70"/>
      <c r="GE844" s="70"/>
      <c r="GF844" s="70"/>
      <c r="GG844" s="70"/>
      <c r="GH844" s="70"/>
      <c r="GI844" s="70"/>
      <c r="GJ844" s="70"/>
      <c r="GK844" s="70"/>
      <c r="GL844" s="70"/>
      <c r="GM844" s="70"/>
      <c r="GN844" s="70"/>
      <c r="GO844" s="70"/>
      <c r="GP844" s="70"/>
      <c r="GQ844" s="70"/>
      <c r="GR844" s="70"/>
      <c r="GS844" s="70"/>
      <c r="GT844" s="70"/>
      <c r="GU844" s="70"/>
      <c r="GV844" s="70"/>
      <c r="GW844" s="70"/>
      <c r="GX844" s="70"/>
      <c r="GY844" s="70"/>
      <c r="GZ844" s="70"/>
      <c r="HA844" s="70"/>
      <c r="HB844" s="70"/>
      <c r="HC844" s="70"/>
      <c r="HD844" s="70"/>
      <c r="HE844" s="70"/>
      <c r="HF844" s="70"/>
      <c r="HG844" s="70"/>
      <c r="HH844" s="70"/>
      <c r="HI844" s="70"/>
      <c r="HJ844" s="70"/>
      <c r="HK844" s="70"/>
      <c r="HL844" s="70"/>
      <c r="HM844" s="70"/>
      <c r="HN844" s="70"/>
      <c r="HO844" s="70"/>
      <c r="HP844" s="70"/>
      <c r="HQ844" s="70"/>
      <c r="HR844" s="70"/>
      <c r="HS844" s="70"/>
      <c r="HT844" s="70"/>
      <c r="HU844" s="70"/>
      <c r="HV844" s="70"/>
      <c r="HW844" s="70"/>
      <c r="HX844" s="70"/>
      <c r="HY844" s="70"/>
      <c r="HZ844" s="70"/>
      <c r="IA844" s="70"/>
      <c r="IB844" s="70"/>
      <c r="IC844" s="70"/>
      <c r="ID844" s="70"/>
      <c r="IE844" s="70"/>
      <c r="IF844" s="70"/>
      <c r="IG844" s="70"/>
      <c r="IH844" s="70"/>
      <c r="II844" s="70"/>
      <c r="IJ844" s="70"/>
      <c r="IK844" s="70"/>
      <c r="IL844" s="70"/>
      <c r="IM844" s="70"/>
      <c r="IN844" s="70"/>
      <c r="IO844" s="70"/>
      <c r="IP844" s="70"/>
      <c r="IQ844" s="70"/>
      <c r="IR844" s="70"/>
      <c r="IS844" s="70"/>
      <c r="IT844" s="70"/>
      <c r="IU844" s="70"/>
      <c r="IV844" s="70"/>
    </row>
    <row r="845" spans="1:256" s="207" customFormat="1" x14ac:dyDescent="0.2">
      <c r="A845" s="1264" t="s">
        <v>576</v>
      </c>
      <c r="B845" s="651"/>
      <c r="C845" s="236"/>
      <c r="G845" s="234"/>
      <c r="H845" s="661"/>
      <c r="I845" s="847">
        <f t="shared" ref="I845:AN845" si="1292">I701+I548</f>
        <v>0</v>
      </c>
      <c r="J845" s="847">
        <f t="shared" si="1292"/>
        <v>0</v>
      </c>
      <c r="K845" s="847">
        <f t="shared" si="1292"/>
        <v>0</v>
      </c>
      <c r="L845" s="847">
        <f t="shared" si="1292"/>
        <v>0</v>
      </c>
      <c r="M845" s="661">
        <f t="shared" si="1292"/>
        <v>0</v>
      </c>
      <c r="N845" s="847">
        <f t="shared" si="1292"/>
        <v>0</v>
      </c>
      <c r="O845" s="847">
        <f t="shared" si="1292"/>
        <v>0</v>
      </c>
      <c r="P845" s="847">
        <f t="shared" si="1292"/>
        <v>0</v>
      </c>
      <c r="Q845" s="847">
        <f t="shared" si="1292"/>
        <v>0</v>
      </c>
      <c r="R845" s="661">
        <f t="shared" si="1292"/>
        <v>0</v>
      </c>
      <c r="S845" s="847">
        <f t="shared" si="1292"/>
        <v>0</v>
      </c>
      <c r="T845" s="847">
        <f t="shared" si="1292"/>
        <v>0</v>
      </c>
      <c r="U845" s="847">
        <f t="shared" si="1292"/>
        <v>0</v>
      </c>
      <c r="V845" s="847">
        <f t="shared" si="1292"/>
        <v>0</v>
      </c>
      <c r="W845" s="661">
        <f t="shared" si="1292"/>
        <v>0</v>
      </c>
      <c r="X845" s="847">
        <f t="shared" si="1292"/>
        <v>0</v>
      </c>
      <c r="Y845" s="847">
        <f t="shared" si="1292"/>
        <v>0</v>
      </c>
      <c r="Z845" s="847">
        <f t="shared" si="1292"/>
        <v>0</v>
      </c>
      <c r="AA845" s="847">
        <f t="shared" si="1292"/>
        <v>0</v>
      </c>
      <c r="AB845" s="661">
        <f t="shared" si="1292"/>
        <v>0</v>
      </c>
      <c r="AC845" s="847">
        <f t="shared" si="1292"/>
        <v>0</v>
      </c>
      <c r="AD845" s="847">
        <f t="shared" si="1292"/>
        <v>0</v>
      </c>
      <c r="AE845" s="847">
        <f t="shared" si="1292"/>
        <v>0</v>
      </c>
      <c r="AF845" s="847">
        <f t="shared" si="1292"/>
        <v>0</v>
      </c>
      <c r="AG845" s="661">
        <f t="shared" si="1292"/>
        <v>0</v>
      </c>
      <c r="AH845" s="847">
        <f t="shared" si="1292"/>
        <v>0</v>
      </c>
      <c r="AI845" s="847">
        <f t="shared" si="1292"/>
        <v>0</v>
      </c>
      <c r="AJ845" s="847">
        <f t="shared" si="1292"/>
        <v>0</v>
      </c>
      <c r="AK845" s="847">
        <f t="shared" si="1292"/>
        <v>0</v>
      </c>
      <c r="AL845" s="661">
        <f t="shared" si="1292"/>
        <v>0</v>
      </c>
      <c r="AM845" s="847">
        <f t="shared" si="1292"/>
        <v>0</v>
      </c>
      <c r="AN845" s="847">
        <f t="shared" si="1292"/>
        <v>0</v>
      </c>
      <c r="AO845" s="847">
        <f t="shared" ref="AO845:BT845" si="1293">AO701+AO548</f>
        <v>0</v>
      </c>
      <c r="AP845" s="847">
        <f t="shared" si="1293"/>
        <v>0</v>
      </c>
      <c r="AQ845" s="661">
        <f t="shared" si="1293"/>
        <v>0</v>
      </c>
      <c r="AR845" s="847">
        <f t="shared" si="1293"/>
        <v>0</v>
      </c>
      <c r="AS845" s="847">
        <f t="shared" si="1293"/>
        <v>0</v>
      </c>
      <c r="AT845" s="847">
        <f t="shared" si="1293"/>
        <v>0</v>
      </c>
      <c r="AU845" s="847">
        <f t="shared" si="1293"/>
        <v>0</v>
      </c>
      <c r="AV845" s="661">
        <f t="shared" si="1293"/>
        <v>0</v>
      </c>
      <c r="AW845" s="847">
        <f t="shared" si="1293"/>
        <v>0</v>
      </c>
      <c r="AX845" s="847">
        <f t="shared" si="1293"/>
        <v>0</v>
      </c>
      <c r="AY845" s="847">
        <f t="shared" si="1293"/>
        <v>0</v>
      </c>
      <c r="AZ845" s="847">
        <f t="shared" si="1293"/>
        <v>0</v>
      </c>
      <c r="BA845" s="661">
        <f t="shared" si="1293"/>
        <v>0</v>
      </c>
      <c r="BB845" s="847">
        <f t="shared" si="1293"/>
        <v>0</v>
      </c>
      <c r="BC845" s="847">
        <f t="shared" si="1293"/>
        <v>0</v>
      </c>
      <c r="BD845" s="847">
        <f t="shared" si="1293"/>
        <v>0</v>
      </c>
      <c r="BE845" s="847">
        <f t="shared" si="1293"/>
        <v>0</v>
      </c>
      <c r="BF845" s="661">
        <f t="shared" si="1293"/>
        <v>0</v>
      </c>
      <c r="BG845" s="847">
        <f t="shared" si="1293"/>
        <v>0</v>
      </c>
      <c r="BH845" s="847">
        <f t="shared" si="1293"/>
        <v>0</v>
      </c>
      <c r="BI845" s="847">
        <f t="shared" si="1293"/>
        <v>0</v>
      </c>
      <c r="BJ845" s="847">
        <f t="shared" si="1293"/>
        <v>0</v>
      </c>
      <c r="BK845" s="661">
        <f t="shared" si="1293"/>
        <v>0</v>
      </c>
      <c r="BL845" s="847">
        <f t="shared" si="1293"/>
        <v>0</v>
      </c>
      <c r="BM845" s="847">
        <f t="shared" si="1293"/>
        <v>0</v>
      </c>
      <c r="BN845" s="847">
        <f t="shared" si="1293"/>
        <v>0</v>
      </c>
      <c r="BO845" s="847">
        <f t="shared" si="1293"/>
        <v>0</v>
      </c>
      <c r="BP845" s="968">
        <f t="shared" si="1293"/>
        <v>0</v>
      </c>
      <c r="BQ845" s="847">
        <f t="shared" si="1293"/>
        <v>0</v>
      </c>
      <c r="BR845" s="847">
        <f t="shared" si="1293"/>
        <v>0</v>
      </c>
      <c r="BS845" s="847">
        <f t="shared" si="1293"/>
        <v>0</v>
      </c>
      <c r="BT845" s="847">
        <f t="shared" si="1293"/>
        <v>0</v>
      </c>
      <c r="BU845" s="968">
        <f t="shared" ref="BU845:CH845" si="1294">BU701+BU548</f>
        <v>0</v>
      </c>
      <c r="BV845" s="847">
        <f t="shared" si="1294"/>
        <v>0</v>
      </c>
      <c r="BW845" s="847">
        <f t="shared" si="1294"/>
        <v>0</v>
      </c>
      <c r="BX845" s="847">
        <f t="shared" si="1294"/>
        <v>0</v>
      </c>
      <c r="BY845" s="847">
        <f t="shared" si="1294"/>
        <v>0</v>
      </c>
      <c r="BZ845" s="968">
        <f t="shared" si="1294"/>
        <v>0</v>
      </c>
      <c r="CA845" s="847">
        <f t="shared" si="1294"/>
        <v>0</v>
      </c>
      <c r="CB845" s="847">
        <f t="shared" si="1294"/>
        <v>0</v>
      </c>
      <c r="CC845" s="847">
        <f t="shared" si="1294"/>
        <v>0</v>
      </c>
      <c r="CD845" s="847">
        <f t="shared" si="1294"/>
        <v>0</v>
      </c>
      <c r="CE845" s="968">
        <f t="shared" si="1294"/>
        <v>0</v>
      </c>
      <c r="CF845" s="847">
        <f t="shared" si="1294"/>
        <v>0</v>
      </c>
      <c r="CG845" s="2349">
        <f t="shared" si="1294"/>
        <v>0</v>
      </c>
      <c r="CH845" s="2349">
        <f t="shared" si="1294"/>
        <v>0</v>
      </c>
      <c r="CI845" s="2349">
        <f>CI701+CI548+CI562</f>
        <v>20702</v>
      </c>
      <c r="CJ845" s="2293">
        <f>+CI845</f>
        <v>20702</v>
      </c>
      <c r="CK845" s="2350">
        <f>CK701+CK548+CK562</f>
        <v>20952</v>
      </c>
      <c r="CL845" s="2349">
        <f t="shared" ref="CL845:CV845" si="1295">CL701+CL548+CL562</f>
        <v>21723</v>
      </c>
      <c r="CM845" s="2349">
        <f t="shared" si="1295"/>
        <v>21887</v>
      </c>
      <c r="CN845" s="2349">
        <f t="shared" si="1295"/>
        <v>22154</v>
      </c>
      <c r="CO845" s="2293">
        <f t="shared" si="1295"/>
        <v>22154</v>
      </c>
      <c r="CP845" s="973">
        <f>CP701+CP548+CP562</f>
        <v>22154</v>
      </c>
      <c r="CQ845" s="847">
        <f>CQ701+CQ548+CQ562</f>
        <v>22154</v>
      </c>
      <c r="CR845" s="847">
        <f>CR701+CR548+CR562</f>
        <v>22154</v>
      </c>
      <c r="CS845" s="1431">
        <f>CS701+CS548+CS562</f>
        <v>22154</v>
      </c>
      <c r="CT845" s="2293">
        <f>CT701+CT548+CT562</f>
        <v>22154</v>
      </c>
      <c r="CU845" s="2293">
        <f t="shared" si="1295"/>
        <v>22154</v>
      </c>
      <c r="CV845" s="2293">
        <f t="shared" si="1295"/>
        <v>22154</v>
      </c>
      <c r="CW845" s="2399"/>
      <c r="CX845" s="2481"/>
      <c r="CY845" s="2481"/>
      <c r="CZ845" s="2481"/>
      <c r="DA845" s="2481"/>
      <c r="DB845" s="217"/>
      <c r="DC845" s="212"/>
      <c r="DD845" s="212"/>
      <c r="DE845" s="70"/>
      <c r="DF845" s="70"/>
      <c r="DG845" s="70"/>
      <c r="DH845" s="70"/>
      <c r="DI845" s="70"/>
      <c r="DJ845" s="70"/>
      <c r="DK845" s="70"/>
      <c r="DL845" s="70"/>
      <c r="DM845" s="70"/>
      <c r="DN845" s="70"/>
      <c r="DO845" s="70"/>
      <c r="DP845" s="70"/>
      <c r="DQ845" s="70"/>
      <c r="DR845" s="70"/>
      <c r="DS845" s="70"/>
      <c r="DT845" s="70"/>
      <c r="DU845" s="70"/>
      <c r="DV845" s="70"/>
      <c r="DW845" s="70"/>
      <c r="DX845" s="70"/>
      <c r="DY845" s="70"/>
      <c r="DZ845" s="70"/>
      <c r="EA845" s="70"/>
      <c r="EB845" s="70"/>
      <c r="EC845" s="70"/>
      <c r="ED845" s="70"/>
      <c r="EE845" s="70"/>
      <c r="EF845" s="70"/>
      <c r="EG845" s="70"/>
      <c r="EH845" s="70"/>
      <c r="EI845" s="70"/>
      <c r="EJ845" s="70"/>
      <c r="EK845" s="70"/>
      <c r="EL845" s="70"/>
      <c r="EM845" s="70"/>
      <c r="EN845" s="70"/>
      <c r="EO845" s="70"/>
      <c r="EP845" s="70"/>
      <c r="EQ845" s="70"/>
      <c r="ER845" s="70"/>
      <c r="ES845" s="70"/>
      <c r="ET845" s="70"/>
      <c r="EU845" s="70"/>
      <c r="EV845" s="70"/>
      <c r="EW845" s="70"/>
      <c r="EX845" s="70"/>
      <c r="EY845" s="70"/>
      <c r="EZ845" s="70"/>
      <c r="FA845" s="70"/>
      <c r="FB845" s="70"/>
      <c r="FC845" s="70"/>
      <c r="FD845" s="70"/>
      <c r="FE845" s="70"/>
      <c r="FF845" s="70"/>
      <c r="FG845" s="70"/>
      <c r="FH845" s="70"/>
      <c r="FI845" s="70"/>
      <c r="FJ845" s="70"/>
      <c r="FK845" s="70"/>
      <c r="FL845" s="70"/>
      <c r="FM845" s="70"/>
      <c r="FN845" s="70"/>
      <c r="FO845" s="70"/>
      <c r="FP845" s="70"/>
      <c r="FQ845" s="70"/>
      <c r="FR845" s="70"/>
      <c r="FS845" s="70"/>
      <c r="FT845" s="70"/>
      <c r="FU845" s="70"/>
      <c r="FV845" s="70"/>
      <c r="FW845" s="70"/>
      <c r="FX845" s="70"/>
      <c r="FY845" s="70"/>
      <c r="FZ845" s="70"/>
      <c r="GA845" s="70"/>
      <c r="GB845" s="70"/>
      <c r="GC845" s="70"/>
      <c r="GD845" s="70"/>
      <c r="GE845" s="70"/>
      <c r="GF845" s="70"/>
      <c r="GG845" s="70"/>
      <c r="GH845" s="70"/>
      <c r="GI845" s="70"/>
      <c r="GJ845" s="70"/>
      <c r="GK845" s="70"/>
      <c r="GL845" s="70"/>
      <c r="GM845" s="70"/>
      <c r="GN845" s="70"/>
      <c r="GO845" s="70"/>
      <c r="GP845" s="70"/>
      <c r="GQ845" s="70"/>
      <c r="GR845" s="70"/>
      <c r="GS845" s="70"/>
      <c r="GT845" s="70"/>
      <c r="GU845" s="70"/>
      <c r="GV845" s="70"/>
      <c r="GW845" s="70"/>
      <c r="GX845" s="70"/>
      <c r="GY845" s="70"/>
      <c r="GZ845" s="70"/>
      <c r="HA845" s="70"/>
      <c r="HB845" s="70"/>
      <c r="HC845" s="70"/>
      <c r="HD845" s="70"/>
      <c r="HE845" s="70"/>
      <c r="HF845" s="70"/>
      <c r="HG845" s="70"/>
      <c r="HH845" s="70"/>
      <c r="HI845" s="70"/>
      <c r="HJ845" s="70"/>
      <c r="HK845" s="70"/>
      <c r="HL845" s="70"/>
      <c r="HM845" s="70"/>
      <c r="HN845" s="70"/>
      <c r="HO845" s="70"/>
      <c r="HP845" s="70"/>
      <c r="HQ845" s="70"/>
      <c r="HR845" s="70"/>
      <c r="HS845" s="70"/>
      <c r="HT845" s="70"/>
      <c r="HU845" s="70"/>
      <c r="HV845" s="70"/>
      <c r="HW845" s="70"/>
      <c r="HX845" s="70"/>
      <c r="HY845" s="70"/>
      <c r="HZ845" s="70"/>
      <c r="IA845" s="70"/>
      <c r="IB845" s="70"/>
      <c r="IC845" s="70"/>
      <c r="ID845" s="70"/>
      <c r="IE845" s="70"/>
      <c r="IF845" s="70"/>
      <c r="IG845" s="70"/>
      <c r="IH845" s="70"/>
      <c r="II845" s="70"/>
      <c r="IJ845" s="70"/>
      <c r="IK845" s="70"/>
      <c r="IL845" s="70"/>
      <c r="IM845" s="70"/>
      <c r="IN845" s="70"/>
      <c r="IO845" s="70"/>
      <c r="IP845" s="70"/>
      <c r="IQ845" s="70"/>
      <c r="IR845" s="70"/>
      <c r="IS845" s="70"/>
      <c r="IT845" s="70"/>
      <c r="IU845" s="70"/>
      <c r="IV845" s="70"/>
    </row>
    <row r="846" spans="1:256" x14ac:dyDescent="0.2">
      <c r="A846" s="1264" t="s">
        <v>1931</v>
      </c>
      <c r="B846" s="651"/>
      <c r="C846" s="236"/>
      <c r="D846" s="207"/>
      <c r="E846" s="207"/>
      <c r="F846" s="207"/>
      <c r="G846" s="234"/>
      <c r="H846" s="661"/>
      <c r="I846" s="847">
        <f t="shared" ref="I846:AN846" si="1296">I700+I560</f>
        <v>0</v>
      </c>
      <c r="J846" s="847">
        <f t="shared" si="1296"/>
        <v>0</v>
      </c>
      <c r="K846" s="847">
        <f t="shared" si="1296"/>
        <v>0</v>
      </c>
      <c r="L846" s="847">
        <f t="shared" si="1296"/>
        <v>0</v>
      </c>
      <c r="M846" s="661">
        <f t="shared" si="1296"/>
        <v>0</v>
      </c>
      <c r="N846" s="847">
        <f t="shared" si="1296"/>
        <v>0</v>
      </c>
      <c r="O846" s="847">
        <f t="shared" si="1296"/>
        <v>0</v>
      </c>
      <c r="P846" s="847">
        <f t="shared" si="1296"/>
        <v>0</v>
      </c>
      <c r="Q846" s="847">
        <f t="shared" si="1296"/>
        <v>0</v>
      </c>
      <c r="R846" s="661">
        <f t="shared" si="1296"/>
        <v>0</v>
      </c>
      <c r="S846" s="847">
        <f t="shared" si="1296"/>
        <v>0</v>
      </c>
      <c r="T846" s="847">
        <f t="shared" si="1296"/>
        <v>0</v>
      </c>
      <c r="U846" s="847">
        <f t="shared" si="1296"/>
        <v>0</v>
      </c>
      <c r="V846" s="847">
        <f t="shared" si="1296"/>
        <v>0</v>
      </c>
      <c r="W846" s="661">
        <f t="shared" si="1296"/>
        <v>0</v>
      </c>
      <c r="X846" s="847">
        <f t="shared" si="1296"/>
        <v>0</v>
      </c>
      <c r="Y846" s="847">
        <f t="shared" si="1296"/>
        <v>0</v>
      </c>
      <c r="Z846" s="847">
        <f t="shared" si="1296"/>
        <v>0</v>
      </c>
      <c r="AA846" s="847">
        <f t="shared" si="1296"/>
        <v>0</v>
      </c>
      <c r="AB846" s="661">
        <f t="shared" si="1296"/>
        <v>0</v>
      </c>
      <c r="AC846" s="847">
        <f t="shared" si="1296"/>
        <v>0</v>
      </c>
      <c r="AD846" s="847">
        <f t="shared" si="1296"/>
        <v>0</v>
      </c>
      <c r="AE846" s="847">
        <f t="shared" si="1296"/>
        <v>0</v>
      </c>
      <c r="AF846" s="847">
        <f t="shared" si="1296"/>
        <v>0</v>
      </c>
      <c r="AG846" s="661">
        <f t="shared" si="1296"/>
        <v>0</v>
      </c>
      <c r="AH846" s="847">
        <f t="shared" si="1296"/>
        <v>0</v>
      </c>
      <c r="AI846" s="847">
        <f t="shared" si="1296"/>
        <v>0</v>
      </c>
      <c r="AJ846" s="847">
        <f t="shared" si="1296"/>
        <v>0</v>
      </c>
      <c r="AK846" s="847">
        <f t="shared" si="1296"/>
        <v>0</v>
      </c>
      <c r="AL846" s="661">
        <f t="shared" si="1296"/>
        <v>0</v>
      </c>
      <c r="AM846" s="847">
        <f t="shared" si="1296"/>
        <v>0</v>
      </c>
      <c r="AN846" s="847">
        <f t="shared" si="1296"/>
        <v>0</v>
      </c>
      <c r="AO846" s="847">
        <f t="shared" ref="AO846:BT846" si="1297">AO700+AO560</f>
        <v>0</v>
      </c>
      <c r="AP846" s="847">
        <f t="shared" si="1297"/>
        <v>0</v>
      </c>
      <c r="AQ846" s="661">
        <f t="shared" si="1297"/>
        <v>0</v>
      </c>
      <c r="AR846" s="847">
        <f t="shared" si="1297"/>
        <v>0</v>
      </c>
      <c r="AS846" s="847">
        <f t="shared" si="1297"/>
        <v>0</v>
      </c>
      <c r="AT846" s="847">
        <f t="shared" si="1297"/>
        <v>0</v>
      </c>
      <c r="AU846" s="847">
        <f t="shared" si="1297"/>
        <v>0</v>
      </c>
      <c r="AV846" s="661">
        <f t="shared" si="1297"/>
        <v>0</v>
      </c>
      <c r="AW846" s="847">
        <f t="shared" si="1297"/>
        <v>0</v>
      </c>
      <c r="AX846" s="847">
        <f t="shared" si="1297"/>
        <v>0</v>
      </c>
      <c r="AY846" s="847">
        <f t="shared" si="1297"/>
        <v>0</v>
      </c>
      <c r="AZ846" s="847">
        <f t="shared" si="1297"/>
        <v>0</v>
      </c>
      <c r="BA846" s="661">
        <f t="shared" si="1297"/>
        <v>0</v>
      </c>
      <c r="BB846" s="847">
        <f t="shared" si="1297"/>
        <v>0</v>
      </c>
      <c r="BC846" s="847">
        <f t="shared" si="1297"/>
        <v>0</v>
      </c>
      <c r="BD846" s="847">
        <f t="shared" si="1297"/>
        <v>0</v>
      </c>
      <c r="BE846" s="847">
        <f t="shared" si="1297"/>
        <v>0</v>
      </c>
      <c r="BF846" s="661">
        <f t="shared" si="1297"/>
        <v>0</v>
      </c>
      <c r="BG846" s="847">
        <f t="shared" si="1297"/>
        <v>0</v>
      </c>
      <c r="BH846" s="847">
        <f t="shared" si="1297"/>
        <v>0</v>
      </c>
      <c r="BI846" s="847">
        <f t="shared" si="1297"/>
        <v>0</v>
      </c>
      <c r="BJ846" s="847">
        <f t="shared" si="1297"/>
        <v>0</v>
      </c>
      <c r="BK846" s="661">
        <f t="shared" si="1297"/>
        <v>0</v>
      </c>
      <c r="BL846" s="847">
        <f t="shared" si="1297"/>
        <v>0</v>
      </c>
      <c r="BM846" s="847">
        <f t="shared" si="1297"/>
        <v>0</v>
      </c>
      <c r="BN846" s="847">
        <f t="shared" si="1297"/>
        <v>0</v>
      </c>
      <c r="BO846" s="847">
        <f t="shared" si="1297"/>
        <v>0</v>
      </c>
      <c r="BP846" s="968">
        <f t="shared" si="1297"/>
        <v>0</v>
      </c>
      <c r="BQ846" s="847">
        <f t="shared" si="1297"/>
        <v>0</v>
      </c>
      <c r="BR846" s="847">
        <f t="shared" si="1297"/>
        <v>0</v>
      </c>
      <c r="BS846" s="847">
        <f t="shared" si="1297"/>
        <v>0</v>
      </c>
      <c r="BT846" s="847">
        <f t="shared" si="1297"/>
        <v>0</v>
      </c>
      <c r="BU846" s="968">
        <f t="shared" ref="BU846:CI846" si="1298">BU700+BU560</f>
        <v>0</v>
      </c>
      <c r="BV846" s="847">
        <f t="shared" si="1298"/>
        <v>0</v>
      </c>
      <c r="BW846" s="847">
        <f t="shared" si="1298"/>
        <v>0</v>
      </c>
      <c r="BX846" s="847">
        <f t="shared" si="1298"/>
        <v>0</v>
      </c>
      <c r="BY846" s="847">
        <f t="shared" si="1298"/>
        <v>0</v>
      </c>
      <c r="BZ846" s="968">
        <f t="shared" si="1298"/>
        <v>0</v>
      </c>
      <c r="CA846" s="847">
        <f t="shared" si="1298"/>
        <v>0</v>
      </c>
      <c r="CB846" s="847">
        <f t="shared" si="1298"/>
        <v>0</v>
      </c>
      <c r="CC846" s="847">
        <f t="shared" si="1298"/>
        <v>0</v>
      </c>
      <c r="CD846" s="847">
        <f t="shared" si="1298"/>
        <v>0</v>
      </c>
      <c r="CE846" s="968">
        <f t="shared" si="1298"/>
        <v>0</v>
      </c>
      <c r="CF846" s="847">
        <f t="shared" si="1298"/>
        <v>0</v>
      </c>
      <c r="CG846" s="2349">
        <f t="shared" si="1298"/>
        <v>0</v>
      </c>
      <c r="CH846" s="2349">
        <f t="shared" si="1298"/>
        <v>0</v>
      </c>
      <c r="CI846" s="2349">
        <f t="shared" si="1298"/>
        <v>5931</v>
      </c>
      <c r="CJ846" s="2293">
        <f>+CI846</f>
        <v>5931</v>
      </c>
      <c r="CK846" s="2350">
        <f>CK700+CK560</f>
        <v>5736</v>
      </c>
      <c r="CL846" s="2349">
        <f t="shared" ref="CL846:CV846" si="1299">CL700+CL560</f>
        <v>6054</v>
      </c>
      <c r="CM846" s="2349">
        <f t="shared" si="1299"/>
        <v>9594</v>
      </c>
      <c r="CN846" s="2349">
        <f t="shared" si="1299"/>
        <v>10293</v>
      </c>
      <c r="CO846" s="2293">
        <f t="shared" si="1299"/>
        <v>10293</v>
      </c>
      <c r="CP846" s="973">
        <f>CP700+CP560</f>
        <v>5887.5599999999995</v>
      </c>
      <c r="CQ846" s="847">
        <f>CQ700+CQ560</f>
        <v>6235.82</v>
      </c>
      <c r="CR846" s="847">
        <f>CR700+CR560</f>
        <v>9931.5800000000017</v>
      </c>
      <c r="CS846" s="1431">
        <f>CS700+CS560</f>
        <v>10673.490000000002</v>
      </c>
      <c r="CT846" s="2293">
        <f>CT700+CT560</f>
        <v>10673.490000000002</v>
      </c>
      <c r="CU846" s="2293">
        <f t="shared" si="1299"/>
        <v>11276.812550000001</v>
      </c>
      <c r="CV846" s="2293">
        <f t="shared" si="1299"/>
        <v>11519.850446</v>
      </c>
      <c r="CW846" s="2481"/>
      <c r="CX846" s="2481"/>
      <c r="CY846" s="2481"/>
      <c r="CZ846" s="2481"/>
      <c r="DA846" s="2481"/>
      <c r="DB846" s="217"/>
    </row>
    <row r="847" spans="1:256" x14ac:dyDescent="0.2">
      <c r="A847" s="2632" t="s">
        <v>2700</v>
      </c>
      <c r="B847" s="651"/>
      <c r="C847" s="234"/>
      <c r="D847" s="207"/>
      <c r="E847" s="207"/>
      <c r="F847" s="207"/>
      <c r="G847" s="234"/>
      <c r="H847" s="847"/>
      <c r="I847" s="847"/>
      <c r="J847" s="847"/>
      <c r="K847" s="847"/>
      <c r="L847" s="847"/>
      <c r="M847" s="847"/>
      <c r="N847" s="847"/>
      <c r="O847" s="847"/>
      <c r="P847" s="847"/>
      <c r="Q847" s="847"/>
      <c r="R847" s="847"/>
      <c r="S847" s="847"/>
      <c r="T847" s="847"/>
      <c r="U847" s="847"/>
      <c r="V847" s="847"/>
      <c r="W847" s="847"/>
      <c r="X847" s="847"/>
      <c r="Y847" s="847"/>
      <c r="Z847" s="847"/>
      <c r="AA847" s="847"/>
      <c r="AB847" s="847"/>
      <c r="AC847" s="847"/>
      <c r="AD847" s="847"/>
      <c r="AE847" s="847"/>
      <c r="AF847" s="847"/>
      <c r="AG847" s="847"/>
      <c r="AH847" s="847"/>
      <c r="AI847" s="847"/>
      <c r="AJ847" s="847"/>
      <c r="AK847" s="847"/>
      <c r="AL847" s="847"/>
      <c r="AM847" s="847"/>
      <c r="AN847" s="847"/>
      <c r="AO847" s="847"/>
      <c r="AP847" s="847"/>
      <c r="AQ847" s="847"/>
      <c r="AR847" s="847"/>
      <c r="AS847" s="847"/>
      <c r="AT847" s="847"/>
      <c r="AU847" s="847"/>
      <c r="AV847" s="847"/>
      <c r="AW847" s="847"/>
      <c r="AX847" s="847"/>
      <c r="AY847" s="847"/>
      <c r="AZ847" s="847"/>
      <c r="BA847" s="847"/>
      <c r="BB847" s="847"/>
      <c r="BC847" s="847"/>
      <c r="BD847" s="847"/>
      <c r="BE847" s="847"/>
      <c r="BF847" s="847"/>
      <c r="BG847" s="847"/>
      <c r="BH847" s="847"/>
      <c r="BI847" s="847"/>
      <c r="BJ847" s="847"/>
      <c r="BK847" s="847"/>
      <c r="BL847" s="847"/>
      <c r="BM847" s="847"/>
      <c r="BN847" s="847"/>
      <c r="BO847" s="847"/>
      <c r="BP847" s="215"/>
      <c r="BQ847" s="847"/>
      <c r="BR847" s="847"/>
      <c r="BS847" s="847"/>
      <c r="BT847" s="847"/>
      <c r="BU847" s="215"/>
      <c r="BV847" s="847"/>
      <c r="BW847" s="847"/>
      <c r="BX847" s="847"/>
      <c r="BY847" s="847"/>
      <c r="BZ847" s="968"/>
      <c r="CA847" s="847"/>
      <c r="CB847" s="847"/>
      <c r="CC847" s="847"/>
      <c r="CD847" s="847"/>
      <c r="CE847" s="968"/>
      <c r="CF847" s="847"/>
      <c r="CG847" s="2349"/>
      <c r="CH847" s="2349"/>
      <c r="CI847" s="2349">
        <f t="shared" ref="CI847:CV847" si="1300">+CI702+CI561</f>
        <v>13106</v>
      </c>
      <c r="CJ847" s="2293">
        <f t="shared" si="1300"/>
        <v>13106</v>
      </c>
      <c r="CK847" s="2350">
        <f t="shared" si="1300"/>
        <v>14088</v>
      </c>
      <c r="CL847" s="2349">
        <f t="shared" si="1300"/>
        <v>15059</v>
      </c>
      <c r="CM847" s="2349">
        <f t="shared" si="1300"/>
        <v>16509</v>
      </c>
      <c r="CN847" s="2349">
        <f t="shared" si="1300"/>
        <v>17659</v>
      </c>
      <c r="CO847" s="2293">
        <f t="shared" si="1300"/>
        <v>17659</v>
      </c>
      <c r="CP847">
        <f>+CP702+CP561</f>
        <v>17659</v>
      </c>
      <c r="CQ847">
        <f>+CQ702+CQ561</f>
        <v>17659</v>
      </c>
      <c r="CR847">
        <f>+CR702+CR561</f>
        <v>17659</v>
      </c>
      <c r="CS847">
        <f>+CS702+CS561</f>
        <v>17659</v>
      </c>
      <c r="CT847" s="2293">
        <f>+CT702+CT561</f>
        <v>17659</v>
      </c>
      <c r="CU847" s="2293">
        <f t="shared" si="1300"/>
        <v>17659</v>
      </c>
      <c r="CV847" s="2355">
        <f t="shared" si="1300"/>
        <v>17659</v>
      </c>
      <c r="CW847" s="2481"/>
      <c r="CX847" s="2481"/>
      <c r="CY847" s="2481"/>
      <c r="CZ847" s="2481"/>
      <c r="DA847" s="2481"/>
      <c r="DB847" s="217"/>
    </row>
    <row r="848" spans="1:256" s="212" customFormat="1" x14ac:dyDescent="0.2">
      <c r="A848" s="331" t="s">
        <v>1327</v>
      </c>
      <c r="B848" s="1439"/>
      <c r="C848" s="1441"/>
      <c r="D848" s="1441"/>
      <c r="E848" s="1441"/>
      <c r="F848" s="1441"/>
      <c r="G848" s="1441"/>
      <c r="H848" s="938"/>
      <c r="I848" s="938">
        <f>SUM(I816:I845)</f>
        <v>395855</v>
      </c>
      <c r="J848" s="938">
        <f>SUM(J816:J833)</f>
        <v>406147</v>
      </c>
      <c r="K848" s="938">
        <f>SUM(K816:K833)</f>
        <v>419656</v>
      </c>
      <c r="L848" s="938">
        <f>SUM(L816:L833)</f>
        <v>429385</v>
      </c>
      <c r="M848" s="938">
        <f>SUM(M816:M833)</f>
        <v>429385</v>
      </c>
      <c r="N848" s="938">
        <f>SUM(N816:N845)</f>
        <v>435991</v>
      </c>
      <c r="O848" s="938">
        <f>SUM(O816:O833)</f>
        <v>440990</v>
      </c>
      <c r="P848" s="938">
        <f>SUM(P816:P833)</f>
        <v>447370</v>
      </c>
      <c r="Q848" s="938">
        <f>SUM(Q816:Q833)</f>
        <v>455858</v>
      </c>
      <c r="R848" s="938">
        <f>SUM(R816:R833)</f>
        <v>455858</v>
      </c>
      <c r="S848" s="938">
        <f>SUM(S816:S845)</f>
        <v>463400</v>
      </c>
      <c r="T848" s="938">
        <f>SUM(T816:T833)</f>
        <v>469377</v>
      </c>
      <c r="U848" s="938">
        <f>SUM(U816:U833)</f>
        <v>476833</v>
      </c>
      <c r="V848" s="938">
        <f>SUM(V816:V833)</f>
        <v>482204</v>
      </c>
      <c r="W848" s="938">
        <f>SUM(W816:W833)</f>
        <v>482204</v>
      </c>
      <c r="X848" s="938">
        <f>SUM(X816:X845)</f>
        <v>488104</v>
      </c>
      <c r="Y848" s="938">
        <f>SUM(Y816:Y833)</f>
        <v>493445</v>
      </c>
      <c r="Z848" s="938">
        <f>SUM(Z816:Z833)</f>
        <v>496284</v>
      </c>
      <c r="AA848" s="938">
        <f>SUM(AA816:AA833)</f>
        <v>472517</v>
      </c>
      <c r="AB848" s="938">
        <f>SUM(AB816:AB833)</f>
        <v>472517</v>
      </c>
      <c r="AC848" s="938">
        <f>SUM(AC816:AC845)</f>
        <v>475172</v>
      </c>
      <c r="AD848" s="938">
        <f>SUM(AD816:AD833)</f>
        <v>479421</v>
      </c>
      <c r="AE848" s="938">
        <f>SUM(AE816:AE833)</f>
        <v>483187</v>
      </c>
      <c r="AF848" s="938">
        <f>SUM(AF816:AF833)</f>
        <v>488831</v>
      </c>
      <c r="AG848" s="938">
        <f>SUM(AG816:AG833)</f>
        <v>488831</v>
      </c>
      <c r="AH848" s="938">
        <f>SUM(AH816:AH845)</f>
        <v>494135</v>
      </c>
      <c r="AI848" s="938">
        <f>SUM(AI816:AI833)</f>
        <v>496122</v>
      </c>
      <c r="AJ848" s="938">
        <f>SUM(AJ816:AJ833)</f>
        <v>499276</v>
      </c>
      <c r="AK848" s="938">
        <f>SUM(AK816:AK833)</f>
        <v>502039</v>
      </c>
      <c r="AL848" s="938">
        <f>SUM(AL816:AL833)</f>
        <v>502039</v>
      </c>
      <c r="AM848" s="938">
        <f>SUM(AM816:AM845)</f>
        <v>504100</v>
      </c>
      <c r="AN848" s="938">
        <f>SUM(AN816:AN833)</f>
        <v>508016</v>
      </c>
      <c r="AO848" s="938">
        <f>SUM(AO816:AO833)</f>
        <v>513752</v>
      </c>
      <c r="AP848" s="938">
        <f>SUM(AP816:AP833)</f>
        <v>521201</v>
      </c>
      <c r="AQ848" s="938">
        <f>SUM(AQ816:AQ833)</f>
        <v>521201</v>
      </c>
      <c r="AR848" s="938">
        <f>SUM(AR816:AR845)</f>
        <v>523530</v>
      </c>
      <c r="AS848" s="938">
        <f>SUM(AS816:AS833)</f>
        <v>530218</v>
      </c>
      <c r="AT848" s="938">
        <f>SUM(AT816:AT833)</f>
        <v>535676</v>
      </c>
      <c r="AU848" s="938">
        <f>SUM(AU816:AU833)</f>
        <v>545301</v>
      </c>
      <c r="AV848" s="938">
        <f>SUM(AV816:AV833)</f>
        <v>545301</v>
      </c>
      <c r="AW848" s="938">
        <f>SUM(AW816:AW845)</f>
        <v>553754</v>
      </c>
      <c r="AX848" s="938">
        <f>SUM(AX816:AX833)</f>
        <v>561294</v>
      </c>
      <c r="AY848" s="938">
        <f>SUM(AY816:AY833)</f>
        <v>570989</v>
      </c>
      <c r="AZ848" s="938">
        <f>SUM(AZ816:AZ833)</f>
        <v>579864</v>
      </c>
      <c r="BA848" s="938">
        <f>SUM(BA816:BA833)</f>
        <v>579864</v>
      </c>
      <c r="BB848" s="938">
        <f>SUM(BB816:BB845)</f>
        <v>587448</v>
      </c>
      <c r="BC848" s="938">
        <f>SUM(BC816:BC833)</f>
        <v>591711</v>
      </c>
      <c r="BD848" s="938">
        <f>SUM(BD816:BD833)</f>
        <v>595985</v>
      </c>
      <c r="BE848" s="938">
        <f>SUM(BE816:BE833)</f>
        <v>602056</v>
      </c>
      <c r="BF848" s="938">
        <f>SUM(BF816:BF833)</f>
        <v>602056</v>
      </c>
      <c r="BG848" s="938">
        <f>SUM(BG816:BG845)</f>
        <v>607051</v>
      </c>
      <c r="BH848" s="938">
        <f t="shared" ref="BH848:CG848" si="1301">SUM(BH816:BH833)</f>
        <v>609797</v>
      </c>
      <c r="BI848" s="938">
        <f t="shared" si="1301"/>
        <v>613430</v>
      </c>
      <c r="BJ848" s="938">
        <f t="shared" si="1301"/>
        <v>617837</v>
      </c>
      <c r="BK848" s="938">
        <f t="shared" si="1301"/>
        <v>617837</v>
      </c>
      <c r="BL848" s="938">
        <f t="shared" si="1301"/>
        <v>618847</v>
      </c>
      <c r="BM848" s="938">
        <f t="shared" si="1301"/>
        <v>620167</v>
      </c>
      <c r="BN848" s="938">
        <f t="shared" si="1301"/>
        <v>621940</v>
      </c>
      <c r="BO848" s="938">
        <f t="shared" si="1301"/>
        <v>634354</v>
      </c>
      <c r="BP848" s="938">
        <f t="shared" si="1301"/>
        <v>634354</v>
      </c>
      <c r="BQ848" s="938">
        <f t="shared" si="1301"/>
        <v>636927</v>
      </c>
      <c r="BR848" s="938">
        <f t="shared" si="1301"/>
        <v>640370</v>
      </c>
      <c r="BS848" s="938">
        <f t="shared" si="1301"/>
        <v>644745</v>
      </c>
      <c r="BT848" s="938">
        <f t="shared" si="1301"/>
        <v>649754</v>
      </c>
      <c r="BU848" s="938">
        <f t="shared" si="1301"/>
        <v>649754</v>
      </c>
      <c r="BV848" s="938">
        <f t="shared" si="1301"/>
        <v>653515</v>
      </c>
      <c r="BW848" s="938">
        <f t="shared" si="1301"/>
        <v>670986</v>
      </c>
      <c r="BX848" s="938">
        <f t="shared" si="1301"/>
        <v>676055</v>
      </c>
      <c r="BY848" s="938">
        <f t="shared" si="1301"/>
        <v>687762</v>
      </c>
      <c r="BZ848" s="1442">
        <f t="shared" si="1301"/>
        <v>687762</v>
      </c>
      <c r="CA848" s="938">
        <f t="shared" si="1301"/>
        <v>696043</v>
      </c>
      <c r="CB848" s="938">
        <f t="shared" si="1301"/>
        <v>714794</v>
      </c>
      <c r="CC848" s="938">
        <f t="shared" si="1301"/>
        <v>722149</v>
      </c>
      <c r="CD848" s="938">
        <f t="shared" si="1301"/>
        <v>731455</v>
      </c>
      <c r="CE848" s="1442">
        <f t="shared" si="1301"/>
        <v>731455</v>
      </c>
      <c r="CF848" s="938">
        <f t="shared" si="1301"/>
        <v>739030</v>
      </c>
      <c r="CG848" s="938">
        <f t="shared" si="1301"/>
        <v>748034</v>
      </c>
      <c r="CH848" s="938">
        <f>SUM(CH815:CH833)</f>
        <v>756943</v>
      </c>
      <c r="CI848">
        <f>SUM(CI815:CI847)</f>
        <v>1190604</v>
      </c>
      <c r="CJ848" s="1442">
        <f t="shared" ref="CJ848:CV848" si="1302">SUM(CJ815:CJ847)</f>
        <v>1190604</v>
      </c>
      <c r="CK848" s="3505">
        <f t="shared" si="1302"/>
        <v>1202963</v>
      </c>
      <c r="CL848" s="938">
        <f t="shared" ca="1" si="1302"/>
        <v>1217608</v>
      </c>
      <c r="CM848" s="938">
        <f t="shared" ca="1" si="1302"/>
        <v>1239221</v>
      </c>
      <c r="CN848" s="938">
        <f t="shared" ca="1" si="1302"/>
        <v>1257666</v>
      </c>
      <c r="CO848" s="1442">
        <f t="shared" ca="1" si="1302"/>
        <v>1257666</v>
      </c>
      <c r="CP848" s="3505">
        <f>SUM(CP815:CP847)</f>
        <v>1275893.94</v>
      </c>
      <c r="CQ848" s="938">
        <f ca="1">SUM(CQ815:CQ847)</f>
        <v>1290152.6600000001</v>
      </c>
      <c r="CR848" s="938">
        <f ca="1">SUM(CR815:CR847)</f>
        <v>1310621.7899999998</v>
      </c>
      <c r="CS848" s="938">
        <f ca="1">SUM(CS815:CS847)</f>
        <v>1327655.6900000004</v>
      </c>
      <c r="CT848" s="1442">
        <f ca="1">SUM(CT815:CT847)</f>
        <v>1327655.6900000004</v>
      </c>
      <c r="CU848" s="1442">
        <f t="shared" ca="1" si="1302"/>
        <v>1402016.5285999996</v>
      </c>
      <c r="CV848" s="1648">
        <f t="shared" ca="1" si="1302"/>
        <v>1436730.2828939999</v>
      </c>
      <c r="CW848" s="1433"/>
      <c r="CX848" s="374"/>
      <c r="CY848" s="374"/>
      <c r="CZ848" s="374"/>
      <c r="DA848" s="374"/>
      <c r="DB848" s="217"/>
    </row>
    <row r="849" spans="1:256" x14ac:dyDescent="0.2">
      <c r="A849" s="1654" t="s">
        <v>932</v>
      </c>
      <c r="B849" s="374"/>
      <c r="C849" s="1616"/>
      <c r="D849" s="374"/>
      <c r="E849" s="374"/>
      <c r="F849" s="374"/>
      <c r="G849" s="374"/>
      <c r="H849" s="1616"/>
      <c r="I849" s="1582"/>
      <c r="J849" s="1582">
        <f>+J848-I848</f>
        <v>10292</v>
      </c>
      <c r="K849" s="1582">
        <f>+K848-J848</f>
        <v>13509</v>
      </c>
      <c r="L849" s="1582">
        <f>+L848-K848</f>
        <v>9729</v>
      </c>
      <c r="M849" s="1616"/>
      <c r="N849" s="1582">
        <f>+N848-M848</f>
        <v>6606</v>
      </c>
      <c r="O849" s="1582">
        <f>+O848-N848</f>
        <v>4999</v>
      </c>
      <c r="P849" s="1582">
        <f>+P848-O848</f>
        <v>6380</v>
      </c>
      <c r="Q849" s="1582">
        <f>+Q848-P848</f>
        <v>8488</v>
      </c>
      <c r="R849" s="1528"/>
      <c r="S849" s="1582">
        <f>+S848-R848</f>
        <v>7542</v>
      </c>
      <c r="T849" s="1582">
        <f>+T848-S848</f>
        <v>5977</v>
      </c>
      <c r="U849" s="1582">
        <f>+U848-T848</f>
        <v>7456</v>
      </c>
      <c r="V849" s="1582">
        <f>+V848-U848</f>
        <v>5371</v>
      </c>
      <c r="W849" s="1528"/>
      <c r="X849" s="1582">
        <f>+X848-W848</f>
        <v>5900</v>
      </c>
      <c r="Y849" s="1582">
        <f>+Y848-X848</f>
        <v>5341</v>
      </c>
      <c r="Z849" s="1582">
        <f>+Z848-Y848</f>
        <v>2839</v>
      </c>
      <c r="AA849" s="1582">
        <f>+AA848-Z848</f>
        <v>-23767</v>
      </c>
      <c r="AB849" s="1528"/>
      <c r="AC849" s="1582">
        <f>+AC848-AB848</f>
        <v>2655</v>
      </c>
      <c r="AD849" s="1582">
        <f>+AD848-AC848</f>
        <v>4249</v>
      </c>
      <c r="AE849" s="1582">
        <f>+AE848-AD848</f>
        <v>3766</v>
      </c>
      <c r="AF849" s="1582">
        <f>+AF848-AE848</f>
        <v>5644</v>
      </c>
      <c r="AG849" s="1528"/>
      <c r="AH849" s="1582">
        <f>+AH848-AG848</f>
        <v>5304</v>
      </c>
      <c r="AI849" s="1582">
        <f>+AI848-AH848</f>
        <v>1987</v>
      </c>
      <c r="AJ849" s="1582">
        <f>+AJ848-AI848</f>
        <v>3154</v>
      </c>
      <c r="AK849" s="1582">
        <f>+AK848-AJ848</f>
        <v>2763</v>
      </c>
      <c r="AL849" s="1528"/>
      <c r="AM849" s="1582">
        <f>+AM848-AL848</f>
        <v>2061</v>
      </c>
      <c r="AN849" s="1582">
        <f>+AN848-AM848</f>
        <v>3916</v>
      </c>
      <c r="AO849" s="1582">
        <f>+AO848-AN848</f>
        <v>5736</v>
      </c>
      <c r="AP849" s="1582">
        <f>+AP848-AO848</f>
        <v>7449</v>
      </c>
      <c r="AQ849" s="1528"/>
      <c r="AR849" s="1582">
        <f>+AR848-AQ848</f>
        <v>2329</v>
      </c>
      <c r="AS849" s="1582">
        <f>+AS848-AR848</f>
        <v>6688</v>
      </c>
      <c r="AT849" s="1582">
        <f>+AT848-AS848</f>
        <v>5458</v>
      </c>
      <c r="AU849" s="1582">
        <f>+AU848-AT848</f>
        <v>9625</v>
      </c>
      <c r="AV849" s="1528"/>
      <c r="AW849" s="1582">
        <f>+AW848-AV848</f>
        <v>8453</v>
      </c>
      <c r="AX849" s="1582">
        <f>+AX848-AW848</f>
        <v>7540</v>
      </c>
      <c r="AY849" s="1582">
        <f>+AY848-AX848</f>
        <v>9695</v>
      </c>
      <c r="AZ849" s="1582">
        <f>+AZ848-AY848</f>
        <v>8875</v>
      </c>
      <c r="BA849" s="1528"/>
      <c r="BB849" s="1582">
        <f>+BB848-BA848</f>
        <v>7584</v>
      </c>
      <c r="BC849" s="1582">
        <f>+BC848-BB848</f>
        <v>4263</v>
      </c>
      <c r="BD849" s="1582">
        <f>+BD848-BC848</f>
        <v>4274</v>
      </c>
      <c r="BE849" s="1582">
        <f>+BE848-BD848</f>
        <v>6071</v>
      </c>
      <c r="BF849" s="1528"/>
      <c r="BG849" s="1582">
        <f>+BG848-BF848</f>
        <v>4995</v>
      </c>
      <c r="BH849" s="1582">
        <f>+BH848-BG848</f>
        <v>2746</v>
      </c>
      <c r="BI849" s="1582">
        <f>+BI848-BH848</f>
        <v>3633</v>
      </c>
      <c r="BJ849" s="1582">
        <f>+BJ848-BI848</f>
        <v>4407</v>
      </c>
      <c r="BK849" s="1528"/>
      <c r="BL849" s="1582">
        <f>+BL848-BK848</f>
        <v>1010</v>
      </c>
      <c r="BM849" s="1582">
        <f>+BM848-BL848</f>
        <v>1320</v>
      </c>
      <c r="BN849" s="1582">
        <f>+BN848-BM848</f>
        <v>1773</v>
      </c>
      <c r="BO849" s="1582">
        <f>+BO848-BN848</f>
        <v>12414</v>
      </c>
      <c r="BP849" s="1528"/>
      <c r="BQ849" s="1582">
        <f>+BQ848-BP848</f>
        <v>2573</v>
      </c>
      <c r="BR849" s="1582">
        <f>+BR848-BQ848</f>
        <v>3443</v>
      </c>
      <c r="BS849" s="1582">
        <f>+BS848-BR848</f>
        <v>4375</v>
      </c>
      <c r="BT849" s="1582">
        <f>+BT848-BS848</f>
        <v>5009</v>
      </c>
      <c r="BU849" s="1528"/>
      <c r="BV849" s="1582">
        <f>+BV848-BU848</f>
        <v>3761</v>
      </c>
      <c r="BW849" s="1582">
        <f>+BW848-BV848</f>
        <v>17471</v>
      </c>
      <c r="BX849" s="1582">
        <f>+BX848-BW848</f>
        <v>5069</v>
      </c>
      <c r="BY849" s="1582">
        <f>+BY848-BX848</f>
        <v>11707</v>
      </c>
      <c r="BZ849" s="1528"/>
      <c r="CA849" s="1582">
        <f>+CA848-BZ848</f>
        <v>8281</v>
      </c>
      <c r="CB849" s="1582">
        <f>+CB848-CA848</f>
        <v>18751</v>
      </c>
      <c r="CC849" s="1582">
        <f>+CC848-CB848</f>
        <v>7355</v>
      </c>
      <c r="CD849" s="1582">
        <f>+CD848-CC848</f>
        <v>9306</v>
      </c>
      <c r="CE849" s="1528"/>
      <c r="CF849" s="1582">
        <f>+CF848-CE848</f>
        <v>7575</v>
      </c>
      <c r="CG849" s="1582">
        <f>+CG848-CF848</f>
        <v>9004</v>
      </c>
      <c r="CH849" s="1582">
        <f>+CH848-CG848</f>
        <v>8909</v>
      </c>
      <c r="CI849" s="1582">
        <f>+CI848-CH848</f>
        <v>433661</v>
      </c>
      <c r="CJ849" s="1528"/>
      <c r="CK849" s="3506">
        <f>+CK848-CJ848</f>
        <v>12359</v>
      </c>
      <c r="CL849" s="1582">
        <f ca="1">+CL848-CK848</f>
        <v>14645</v>
      </c>
      <c r="CM849" s="1582">
        <f ca="1">+CM848-CL848</f>
        <v>21613</v>
      </c>
      <c r="CN849" s="1582">
        <f ca="1">+CN848-CM848</f>
        <v>18445</v>
      </c>
      <c r="CO849" s="2971"/>
      <c r="CP849" s="1582">
        <f ca="1">+CP848-CO848</f>
        <v>18227.939999999944</v>
      </c>
      <c r="CQ849" s="1582">
        <f ca="1">+CQ848-CP848</f>
        <v>14258.720000000205</v>
      </c>
      <c r="CR849" s="1582">
        <f ca="1">+CR848-CQ848</f>
        <v>20469.129999999655</v>
      </c>
      <c r="CS849" s="1582">
        <f ca="1">+CS848-CR848</f>
        <v>17033.900000000605</v>
      </c>
      <c r="CT849" s="2971"/>
      <c r="CU849" s="1528"/>
      <c r="CV849" s="1528"/>
      <c r="CW849" s="374"/>
      <c r="CX849" s="374"/>
      <c r="CY849" s="374"/>
      <c r="CZ849" s="374"/>
      <c r="DA849" s="374"/>
      <c r="DB849" s="217"/>
      <c r="DF849" s="374"/>
      <c r="DG849" s="374"/>
      <c r="DH849" s="374"/>
      <c r="DI849" s="374"/>
      <c r="DJ849" s="374"/>
      <c r="DK849" s="374"/>
      <c r="DL849" s="374"/>
      <c r="DM849" s="374"/>
      <c r="DN849" s="374"/>
      <c r="DO849" s="374"/>
      <c r="DP849" s="374"/>
      <c r="DQ849" s="374"/>
      <c r="DR849" s="374"/>
      <c r="DS849" s="374"/>
      <c r="DT849" s="374"/>
      <c r="DU849" s="374"/>
      <c r="DV849" s="374"/>
      <c r="DW849" s="374"/>
      <c r="DX849" s="374"/>
      <c r="DY849" s="374"/>
      <c r="DZ849" s="374"/>
      <c r="EA849" s="374"/>
      <c r="EB849" s="374"/>
      <c r="EC849" s="374"/>
      <c r="ED849" s="374"/>
      <c r="EE849" s="374"/>
      <c r="EF849" s="374"/>
      <c r="EG849" s="374"/>
      <c r="EH849" s="374"/>
      <c r="EI849" s="374"/>
      <c r="EJ849" s="374"/>
      <c r="EK849" s="374"/>
      <c r="EL849" s="374"/>
      <c r="EM849" s="374"/>
      <c r="EN849" s="374"/>
      <c r="EO849" s="374"/>
      <c r="EP849" s="374"/>
      <c r="EQ849" s="374"/>
      <c r="ER849" s="374"/>
      <c r="ES849" s="374"/>
      <c r="ET849" s="374"/>
      <c r="EU849" s="374"/>
      <c r="EV849" s="374"/>
      <c r="EW849" s="374"/>
      <c r="EX849" s="374"/>
      <c r="EY849" s="374"/>
      <c r="EZ849" s="374"/>
      <c r="FA849" s="374"/>
      <c r="FB849" s="374"/>
      <c r="FC849" s="374"/>
      <c r="FD849" s="374"/>
      <c r="FE849" s="374"/>
      <c r="FF849" s="374"/>
      <c r="FG849" s="374"/>
      <c r="FH849" s="374"/>
      <c r="FI849" s="374"/>
      <c r="FJ849" s="374"/>
      <c r="FK849" s="374"/>
      <c r="FL849" s="374"/>
      <c r="FM849" s="374"/>
      <c r="FN849" s="374"/>
      <c r="FO849" s="374"/>
      <c r="FP849" s="374"/>
      <c r="FQ849" s="374"/>
      <c r="FR849" s="374"/>
      <c r="FS849" s="374"/>
      <c r="FT849" s="374"/>
      <c r="FU849" s="374"/>
      <c r="FV849" s="374"/>
      <c r="FW849" s="374"/>
      <c r="FX849" s="374"/>
      <c r="FY849" s="374"/>
      <c r="FZ849" s="374"/>
      <c r="GA849" s="374"/>
      <c r="GB849" s="374"/>
      <c r="GC849" s="374"/>
      <c r="GD849" s="374"/>
      <c r="GE849" s="374"/>
      <c r="GF849" s="374"/>
      <c r="GG849" s="374"/>
      <c r="GH849" s="374"/>
      <c r="GI849" s="374"/>
      <c r="GJ849" s="374"/>
      <c r="GK849" s="374"/>
      <c r="GL849" s="374"/>
      <c r="GM849" s="374"/>
      <c r="GN849" s="374"/>
      <c r="GO849" s="374"/>
      <c r="GP849" s="374"/>
      <c r="GQ849" s="374"/>
      <c r="GR849" s="374"/>
      <c r="GS849" s="374"/>
      <c r="GT849" s="374"/>
      <c r="GU849" s="374"/>
      <c r="GV849" s="374"/>
      <c r="GW849" s="374"/>
      <c r="GX849" s="374"/>
      <c r="GY849" s="374"/>
      <c r="GZ849" s="374"/>
      <c r="HA849" s="374"/>
      <c r="HB849" s="374"/>
      <c r="HC849" s="374"/>
      <c r="HD849" s="374"/>
      <c r="HE849" s="374"/>
      <c r="HF849" s="374"/>
      <c r="HG849" s="374"/>
      <c r="HH849" s="374"/>
      <c r="HI849" s="374"/>
      <c r="HJ849" s="374"/>
      <c r="HK849" s="374"/>
      <c r="HL849" s="374"/>
      <c r="HM849" s="374"/>
      <c r="HN849" s="374"/>
      <c r="HO849" s="374"/>
      <c r="HP849" s="374"/>
      <c r="HQ849" s="374"/>
      <c r="HR849" s="374"/>
      <c r="HS849" s="374"/>
      <c r="HT849" s="374"/>
      <c r="HU849" s="374"/>
      <c r="HV849" s="374"/>
      <c r="HW849" s="374"/>
      <c r="HX849" s="374"/>
      <c r="HY849" s="374"/>
      <c r="HZ849" s="374"/>
      <c r="IA849" s="374"/>
      <c r="IB849" s="374"/>
      <c r="IC849" s="374"/>
      <c r="ID849" s="374"/>
      <c r="IE849" s="374"/>
      <c r="IF849" s="374"/>
      <c r="IG849" s="374"/>
      <c r="IH849" s="374"/>
      <c r="II849" s="374"/>
      <c r="IJ849" s="374"/>
      <c r="IK849" s="374"/>
      <c r="IL849" s="374"/>
      <c r="IM849" s="374"/>
      <c r="IN849" s="374"/>
      <c r="IO849" s="374"/>
      <c r="IP849" s="374"/>
      <c r="IQ849" s="374"/>
      <c r="IR849" s="374"/>
      <c r="IS849" s="374"/>
      <c r="IT849" s="374"/>
      <c r="IU849" s="374"/>
      <c r="IV849" s="374"/>
    </row>
    <row r="850" spans="1:256" x14ac:dyDescent="0.2">
      <c r="A850" s="1654" t="s">
        <v>1142</v>
      </c>
      <c r="B850" s="374"/>
      <c r="C850" s="374"/>
      <c r="D850" s="374"/>
      <c r="E850" s="374"/>
      <c r="F850" s="374"/>
      <c r="G850" s="374"/>
      <c r="H850" s="374"/>
      <c r="I850" s="374"/>
      <c r="J850" s="374"/>
      <c r="K850" s="374"/>
      <c r="L850" s="374"/>
      <c r="M850" s="1616"/>
      <c r="N850" s="1582">
        <f t="shared" ref="N850:AS850" si="1303">N848-I848</f>
        <v>40136</v>
      </c>
      <c r="O850" s="1582">
        <f t="shared" si="1303"/>
        <v>34843</v>
      </c>
      <c r="P850" s="1582">
        <f t="shared" si="1303"/>
        <v>27714</v>
      </c>
      <c r="Q850" s="1582">
        <f t="shared" si="1303"/>
        <v>26473</v>
      </c>
      <c r="R850" s="1528">
        <f t="shared" si="1303"/>
        <v>26473</v>
      </c>
      <c r="S850" s="1582">
        <f t="shared" si="1303"/>
        <v>27409</v>
      </c>
      <c r="T850" s="1582">
        <f t="shared" si="1303"/>
        <v>28387</v>
      </c>
      <c r="U850" s="1582">
        <f t="shared" si="1303"/>
        <v>29463</v>
      </c>
      <c r="V850" s="1582">
        <f t="shared" si="1303"/>
        <v>26346</v>
      </c>
      <c r="W850" s="1528">
        <f t="shared" si="1303"/>
        <v>26346</v>
      </c>
      <c r="X850" s="1582">
        <f t="shared" si="1303"/>
        <v>24704</v>
      </c>
      <c r="Y850" s="1582">
        <f t="shared" si="1303"/>
        <v>24068</v>
      </c>
      <c r="Z850" s="1582">
        <f t="shared" si="1303"/>
        <v>19451</v>
      </c>
      <c r="AA850" s="1582">
        <f t="shared" si="1303"/>
        <v>-9687</v>
      </c>
      <c r="AB850" s="1528">
        <f t="shared" si="1303"/>
        <v>-9687</v>
      </c>
      <c r="AC850" s="1582">
        <f t="shared" si="1303"/>
        <v>-12932</v>
      </c>
      <c r="AD850" s="1582">
        <f t="shared" si="1303"/>
        <v>-14024</v>
      </c>
      <c r="AE850" s="1582">
        <f t="shared" si="1303"/>
        <v>-13097</v>
      </c>
      <c r="AF850" s="1582">
        <f t="shared" si="1303"/>
        <v>16314</v>
      </c>
      <c r="AG850" s="1528">
        <f t="shared" si="1303"/>
        <v>16314</v>
      </c>
      <c r="AH850" s="1582">
        <f t="shared" si="1303"/>
        <v>18963</v>
      </c>
      <c r="AI850" s="1582">
        <f t="shared" si="1303"/>
        <v>16701</v>
      </c>
      <c r="AJ850" s="1582">
        <f t="shared" si="1303"/>
        <v>16089</v>
      </c>
      <c r="AK850" s="1582">
        <f t="shared" si="1303"/>
        <v>13208</v>
      </c>
      <c r="AL850" s="1528">
        <f t="shared" si="1303"/>
        <v>13208</v>
      </c>
      <c r="AM850" s="1582">
        <f t="shared" si="1303"/>
        <v>9965</v>
      </c>
      <c r="AN850" s="1582">
        <f t="shared" si="1303"/>
        <v>11894</v>
      </c>
      <c r="AO850" s="1582">
        <f t="shared" si="1303"/>
        <v>14476</v>
      </c>
      <c r="AP850" s="1582">
        <f t="shared" si="1303"/>
        <v>19162</v>
      </c>
      <c r="AQ850" s="1582">
        <f t="shared" si="1303"/>
        <v>19162</v>
      </c>
      <c r="AR850" s="1582">
        <f t="shared" si="1303"/>
        <v>19430</v>
      </c>
      <c r="AS850" s="1582">
        <f t="shared" si="1303"/>
        <v>22202</v>
      </c>
      <c r="AT850" s="1582">
        <f t="shared" ref="AT850:BV850" si="1304">AT848-AO848</f>
        <v>21924</v>
      </c>
      <c r="AU850" s="1582">
        <f t="shared" si="1304"/>
        <v>24100</v>
      </c>
      <c r="AV850" s="1528">
        <f t="shared" si="1304"/>
        <v>24100</v>
      </c>
      <c r="AW850" s="1582">
        <f t="shared" si="1304"/>
        <v>30224</v>
      </c>
      <c r="AX850" s="1582">
        <f t="shared" si="1304"/>
        <v>31076</v>
      </c>
      <c r="AY850" s="1582">
        <f t="shared" si="1304"/>
        <v>35313</v>
      </c>
      <c r="AZ850" s="1582">
        <f t="shared" si="1304"/>
        <v>34563</v>
      </c>
      <c r="BA850" s="1528">
        <f t="shared" si="1304"/>
        <v>34563</v>
      </c>
      <c r="BB850" s="1582">
        <f t="shared" si="1304"/>
        <v>33694</v>
      </c>
      <c r="BC850" s="1582">
        <f t="shared" si="1304"/>
        <v>30417</v>
      </c>
      <c r="BD850" s="1582">
        <f t="shared" si="1304"/>
        <v>24996</v>
      </c>
      <c r="BE850" s="1582">
        <f t="shared" si="1304"/>
        <v>22192</v>
      </c>
      <c r="BF850" s="1528">
        <f t="shared" si="1304"/>
        <v>22192</v>
      </c>
      <c r="BG850" s="1582">
        <f t="shared" si="1304"/>
        <v>19603</v>
      </c>
      <c r="BH850" s="1582">
        <f t="shared" si="1304"/>
        <v>18086</v>
      </c>
      <c r="BI850" s="1582">
        <f t="shared" si="1304"/>
        <v>17445</v>
      </c>
      <c r="BJ850" s="1582">
        <f t="shared" si="1304"/>
        <v>15781</v>
      </c>
      <c r="BK850" s="1528">
        <f t="shared" si="1304"/>
        <v>15781</v>
      </c>
      <c r="BL850" s="1582">
        <f t="shared" si="1304"/>
        <v>11796</v>
      </c>
      <c r="BM850" s="1582">
        <f t="shared" si="1304"/>
        <v>10370</v>
      </c>
      <c r="BN850" s="1582">
        <f t="shared" si="1304"/>
        <v>8510</v>
      </c>
      <c r="BO850" s="1582">
        <f t="shared" si="1304"/>
        <v>16517</v>
      </c>
      <c r="BP850" s="1528">
        <f t="shared" si="1304"/>
        <v>16517</v>
      </c>
      <c r="BQ850" s="1582">
        <f t="shared" si="1304"/>
        <v>18080</v>
      </c>
      <c r="BR850" s="1582">
        <f>BR848-BM848</f>
        <v>20203</v>
      </c>
      <c r="BS850" s="1582">
        <f>BS848-BN848</f>
        <v>22805</v>
      </c>
      <c r="BT850" s="1582">
        <f>BT848-BO848</f>
        <v>15400</v>
      </c>
      <c r="BU850" s="1528">
        <f t="shared" si="1304"/>
        <v>15400</v>
      </c>
      <c r="BV850" s="1582">
        <f t="shared" si="1304"/>
        <v>16588</v>
      </c>
      <c r="BW850" s="1582">
        <f t="shared" ref="BW850:CF850" si="1305">BW848-BR848</f>
        <v>30616</v>
      </c>
      <c r="BX850" s="1582">
        <f t="shared" si="1305"/>
        <v>31310</v>
      </c>
      <c r="BY850" s="1582">
        <f t="shared" si="1305"/>
        <v>38008</v>
      </c>
      <c r="BZ850" s="1528">
        <f t="shared" si="1305"/>
        <v>38008</v>
      </c>
      <c r="CA850" s="1582">
        <f t="shared" si="1305"/>
        <v>42528</v>
      </c>
      <c r="CB850" s="1582">
        <f t="shared" si="1305"/>
        <v>43808</v>
      </c>
      <c r="CC850" s="1582">
        <f t="shared" si="1305"/>
        <v>46094</v>
      </c>
      <c r="CD850" s="1582">
        <f t="shared" si="1305"/>
        <v>43693</v>
      </c>
      <c r="CE850" s="1528">
        <f t="shared" si="1305"/>
        <v>43693</v>
      </c>
      <c r="CF850" s="1582">
        <f t="shared" si="1305"/>
        <v>42987</v>
      </c>
      <c r="CG850" s="1582">
        <f>CG848-CB848</f>
        <v>33240</v>
      </c>
      <c r="CH850" s="1582">
        <f t="shared" ref="CH850:CO850" si="1306">CH848-CC848</f>
        <v>34794</v>
      </c>
      <c r="CI850" s="1582">
        <f t="shared" si="1306"/>
        <v>459149</v>
      </c>
      <c r="CJ850" s="1528">
        <f t="shared" si="1306"/>
        <v>459149</v>
      </c>
      <c r="CK850" s="3506">
        <f t="shared" si="1306"/>
        <v>463933</v>
      </c>
      <c r="CL850" s="1582">
        <f t="shared" ca="1" si="1306"/>
        <v>469574</v>
      </c>
      <c r="CM850" s="1582">
        <f t="shared" ca="1" si="1306"/>
        <v>482278</v>
      </c>
      <c r="CN850" s="1582">
        <f t="shared" ca="1" si="1306"/>
        <v>67062</v>
      </c>
      <c r="CO850" s="2971">
        <f t="shared" ca="1" si="1306"/>
        <v>67062</v>
      </c>
      <c r="CP850" s="1582">
        <f>CP848-CK848</f>
        <v>72930.939999999944</v>
      </c>
      <c r="CQ850" s="1582">
        <f ca="1">CQ848-CL848</f>
        <v>72544.660000000149</v>
      </c>
      <c r="CR850" s="1582">
        <f ca="1">CR848-CM848</f>
        <v>71400.789999999804</v>
      </c>
      <c r="CS850" s="1582">
        <f ca="1">CS848-CN848</f>
        <v>69989.69000000041</v>
      </c>
      <c r="CT850" s="2971">
        <f ca="1">CT848-CO848</f>
        <v>69989.69000000041</v>
      </c>
      <c r="CU850" s="1919">
        <f ca="1">CU848-CT848</f>
        <v>74360.838599999202</v>
      </c>
      <c r="CV850" s="1919">
        <f ca="1">CV848-CU848</f>
        <v>34713.754294000333</v>
      </c>
      <c r="CW850" s="374"/>
      <c r="CX850" s="374"/>
      <c r="CY850" s="374"/>
      <c r="CZ850" s="374"/>
      <c r="DA850" s="374"/>
      <c r="DB850" s="217"/>
      <c r="DF850" s="212"/>
      <c r="DG850" s="212"/>
      <c r="DH850" s="212"/>
      <c r="DI850" s="212"/>
      <c r="DJ850" s="212"/>
      <c r="DK850" s="212"/>
      <c r="DL850" s="212"/>
      <c r="DM850" s="212"/>
      <c r="DN850" s="212"/>
      <c r="DO850" s="212"/>
      <c r="DP850" s="212"/>
      <c r="DQ850" s="212"/>
      <c r="DR850" s="212"/>
      <c r="DS850" s="212"/>
      <c r="DT850" s="212"/>
      <c r="DU850" s="212"/>
      <c r="DV850" s="212"/>
      <c r="DW850" s="212"/>
      <c r="DX850" s="212"/>
      <c r="DY850" s="212"/>
      <c r="DZ850" s="212"/>
      <c r="EA850" s="212"/>
      <c r="EB850" s="212"/>
      <c r="EC850" s="212"/>
      <c r="ED850" s="212"/>
      <c r="EE850" s="212"/>
      <c r="EF850" s="212"/>
      <c r="EG850" s="212"/>
      <c r="EH850" s="212"/>
      <c r="EI850" s="212"/>
      <c r="EJ850" s="212"/>
      <c r="EK850" s="212"/>
      <c r="EL850" s="212"/>
      <c r="EM850" s="212"/>
      <c r="EN850" s="212"/>
      <c r="EO850" s="212"/>
      <c r="EP850" s="212"/>
      <c r="EQ850" s="212"/>
      <c r="ER850" s="212"/>
      <c r="ES850" s="212"/>
      <c r="ET850" s="212"/>
      <c r="EU850" s="212"/>
      <c r="EV850" s="212"/>
      <c r="EW850" s="212"/>
      <c r="EX850" s="212"/>
      <c r="EY850" s="212"/>
      <c r="EZ850" s="212"/>
      <c r="FA850" s="212"/>
      <c r="FB850" s="212"/>
      <c r="FC850" s="212"/>
      <c r="FD850" s="212"/>
      <c r="FE850" s="212"/>
      <c r="FF850" s="212"/>
      <c r="FG850" s="212"/>
      <c r="FH850" s="212"/>
      <c r="FI850" s="212"/>
      <c r="FJ850" s="212"/>
      <c r="FK850" s="212"/>
      <c r="FL850" s="212"/>
      <c r="FM850" s="212"/>
      <c r="FN850" s="212"/>
      <c r="FO850" s="212"/>
      <c r="FP850" s="212"/>
      <c r="FQ850" s="212"/>
      <c r="FR850" s="212"/>
      <c r="FS850" s="212"/>
      <c r="FT850" s="212"/>
      <c r="FU850" s="212"/>
      <c r="FV850" s="212"/>
      <c r="FW850" s="212"/>
      <c r="FX850" s="212"/>
      <c r="FY850" s="212"/>
      <c r="FZ850" s="212"/>
      <c r="GA850" s="212"/>
      <c r="GB850" s="212"/>
      <c r="GC850" s="212"/>
      <c r="GD850" s="212"/>
      <c r="GE850" s="212"/>
      <c r="GF850" s="212"/>
      <c r="GG850" s="212"/>
      <c r="GH850" s="212"/>
      <c r="GI850" s="212"/>
      <c r="GJ850" s="212"/>
      <c r="GK850" s="212"/>
      <c r="GL850" s="212"/>
      <c r="GM850" s="212"/>
      <c r="GN850" s="212"/>
      <c r="GO850" s="212"/>
      <c r="GP850" s="212"/>
      <c r="GQ850" s="212"/>
      <c r="GR850" s="212"/>
      <c r="GS850" s="212"/>
      <c r="GT850" s="212"/>
      <c r="GU850" s="212"/>
      <c r="GV850" s="212"/>
      <c r="GW850" s="212"/>
      <c r="GX850" s="212"/>
      <c r="GY850" s="212"/>
      <c r="GZ850" s="212"/>
      <c r="HA850" s="212"/>
      <c r="HB850" s="212"/>
      <c r="HC850" s="212"/>
      <c r="HD850" s="212"/>
      <c r="HE850" s="212"/>
      <c r="HF850" s="212"/>
      <c r="HG850" s="212"/>
      <c r="HH850" s="212"/>
      <c r="HI850" s="212"/>
      <c r="HJ850" s="212"/>
      <c r="HK850" s="212"/>
      <c r="HL850" s="212"/>
      <c r="HM850" s="212"/>
      <c r="HN850" s="212"/>
      <c r="HO850" s="212"/>
      <c r="HP850" s="212"/>
      <c r="HQ850" s="212"/>
      <c r="HR850" s="212"/>
      <c r="HS850" s="212"/>
      <c r="HT850" s="212"/>
      <c r="HU850" s="212"/>
      <c r="HV850" s="212"/>
      <c r="HW850" s="212"/>
      <c r="HX850" s="212"/>
      <c r="HY850" s="212"/>
      <c r="HZ850" s="212"/>
      <c r="IA850" s="212"/>
      <c r="IB850" s="212"/>
      <c r="IC850" s="212"/>
      <c r="ID850" s="212"/>
      <c r="IE850" s="212"/>
      <c r="IF850" s="212"/>
      <c r="IG850" s="212"/>
      <c r="IH850" s="212"/>
      <c r="II850" s="212"/>
      <c r="IJ850" s="212"/>
      <c r="IK850" s="212"/>
      <c r="IL850" s="212"/>
      <c r="IM850" s="212"/>
      <c r="IN850" s="212"/>
      <c r="IO850" s="212"/>
      <c r="IP850" s="212"/>
      <c r="IQ850" s="212"/>
      <c r="IR850" s="212"/>
      <c r="IS850" s="212"/>
      <c r="IT850" s="212"/>
      <c r="IU850" s="212"/>
      <c r="IV850" s="212"/>
    </row>
    <row r="851" spans="1:256" s="374" customFormat="1" x14ac:dyDescent="0.2">
      <c r="A851" s="2392" t="s">
        <v>935</v>
      </c>
      <c r="B851" s="2618"/>
      <c r="C851" s="2618"/>
      <c r="D851" s="2618"/>
      <c r="E851" s="2618"/>
      <c r="F851" s="2618"/>
      <c r="G851" s="2618"/>
      <c r="H851" s="2618"/>
      <c r="I851" s="2618"/>
      <c r="J851" s="2618"/>
      <c r="K851" s="2618"/>
      <c r="L851" s="2618"/>
      <c r="M851" s="2619"/>
      <c r="N851" s="1716">
        <f t="shared" ref="N851:AS851" si="1307">N850/I848</f>
        <v>0.10139066072172892</v>
      </c>
      <c r="O851" s="1716">
        <f t="shared" si="1307"/>
        <v>8.5789135460806062E-2</v>
      </c>
      <c r="P851" s="1716">
        <f t="shared" si="1307"/>
        <v>6.6039804029967397E-2</v>
      </c>
      <c r="Q851" s="1716">
        <f t="shared" si="1307"/>
        <v>6.1653294828650278E-2</v>
      </c>
      <c r="R851" s="2620">
        <f t="shared" si="1307"/>
        <v>6.1653294828650278E-2</v>
      </c>
      <c r="S851" s="1716">
        <f t="shared" si="1307"/>
        <v>6.2865976591259906E-2</v>
      </c>
      <c r="T851" s="1716">
        <f t="shared" si="1307"/>
        <v>6.4371074174017551E-2</v>
      </c>
      <c r="U851" s="1716">
        <f t="shared" si="1307"/>
        <v>6.5858238147394776E-2</v>
      </c>
      <c r="V851" s="1716">
        <f t="shared" si="1307"/>
        <v>5.7794313141372969E-2</v>
      </c>
      <c r="W851" s="2620">
        <f t="shared" si="1307"/>
        <v>5.7794313141372969E-2</v>
      </c>
      <c r="X851" s="1716">
        <f t="shared" si="1307"/>
        <v>5.3310315062580924E-2</v>
      </c>
      <c r="Y851" s="1716">
        <f t="shared" si="1307"/>
        <v>5.127647924802451E-2</v>
      </c>
      <c r="Z851" s="1716">
        <f t="shared" si="1307"/>
        <v>4.0792059274421026E-2</v>
      </c>
      <c r="AA851" s="1716">
        <f t="shared" si="1307"/>
        <v>-2.0089007971729807E-2</v>
      </c>
      <c r="AB851" s="2620">
        <f t="shared" si="1307"/>
        <v>-2.0089007971729807E-2</v>
      </c>
      <c r="AC851" s="1716">
        <f t="shared" si="1307"/>
        <v>-2.6494353662334255E-2</v>
      </c>
      <c r="AD851" s="1716">
        <f t="shared" si="1307"/>
        <v>-2.8420593987171821E-2</v>
      </c>
      <c r="AE851" s="1716">
        <f t="shared" si="1307"/>
        <v>-2.6390131456988337E-2</v>
      </c>
      <c r="AF851" s="1716">
        <f t="shared" si="1307"/>
        <v>3.4525741930978147E-2</v>
      </c>
      <c r="AG851" s="2620">
        <f t="shared" si="1307"/>
        <v>3.4525741930978147E-2</v>
      </c>
      <c r="AH851" s="1716">
        <f t="shared" si="1307"/>
        <v>3.9907654491426262E-2</v>
      </c>
      <c r="AI851" s="1716">
        <f t="shared" si="1307"/>
        <v>3.4835770648344568E-2</v>
      </c>
      <c r="AJ851" s="1716">
        <f t="shared" si="1307"/>
        <v>3.329766736273948E-2</v>
      </c>
      <c r="AK851" s="1716">
        <f t="shared" si="1307"/>
        <v>2.7019562998255021E-2</v>
      </c>
      <c r="AL851" s="2620">
        <f t="shared" si="1307"/>
        <v>2.7019562998255021E-2</v>
      </c>
      <c r="AM851" s="1716">
        <f t="shared" si="1307"/>
        <v>2.0166553674603096E-2</v>
      </c>
      <c r="AN851" s="1716">
        <f t="shared" si="1307"/>
        <v>2.3973941893324625E-2</v>
      </c>
      <c r="AO851" s="1716">
        <f t="shared" si="1307"/>
        <v>2.8993983287800736E-2</v>
      </c>
      <c r="AP851" s="1716">
        <f t="shared" si="1307"/>
        <v>3.8168349470857843E-2</v>
      </c>
      <c r="AQ851" s="1716">
        <f t="shared" si="1307"/>
        <v>3.8168349470857843E-2</v>
      </c>
      <c r="AR851" s="1716">
        <f t="shared" si="1307"/>
        <v>3.8543939694505057E-2</v>
      </c>
      <c r="AS851" s="1716">
        <f t="shared" si="1307"/>
        <v>4.3703347926049574E-2</v>
      </c>
      <c r="AT851" s="1716">
        <f t="shared" ref="AT851:BV851" si="1308">AT850/AO848</f>
        <v>4.267428642613557E-2</v>
      </c>
      <c r="AU851" s="1716">
        <f t="shared" si="1308"/>
        <v>4.6239358711898097E-2</v>
      </c>
      <c r="AV851" s="2620">
        <f t="shared" si="1308"/>
        <v>4.6239358711898097E-2</v>
      </c>
      <c r="AW851" s="1716">
        <f t="shared" si="1308"/>
        <v>5.7731171088571807E-2</v>
      </c>
      <c r="AX851" s="1716">
        <f t="shared" si="1308"/>
        <v>5.8609854814434814E-2</v>
      </c>
      <c r="AY851" s="1716">
        <f t="shared" si="1308"/>
        <v>6.592231124784384E-2</v>
      </c>
      <c r="AZ851" s="1716">
        <f t="shared" si="1308"/>
        <v>6.3383342410888666E-2</v>
      </c>
      <c r="BA851" s="2620">
        <f t="shared" si="1308"/>
        <v>6.3383342410888666E-2</v>
      </c>
      <c r="BB851" s="1716">
        <f t="shared" si="1308"/>
        <v>6.0846513072591799E-2</v>
      </c>
      <c r="BC851" s="1716">
        <f t="shared" si="1308"/>
        <v>5.4190851853039582E-2</v>
      </c>
      <c r="BD851" s="1716">
        <f t="shared" si="1308"/>
        <v>4.3776675207403297E-2</v>
      </c>
      <c r="BE851" s="1716">
        <f t="shared" si="1308"/>
        <v>3.8271042865223572E-2</v>
      </c>
      <c r="BF851" s="2620">
        <f t="shared" si="1308"/>
        <v>3.8271042865223572E-2</v>
      </c>
      <c r="BG851" s="1716">
        <f t="shared" si="1308"/>
        <v>3.3369762089580694E-2</v>
      </c>
      <c r="BH851" s="1716">
        <f t="shared" si="1308"/>
        <v>3.0565597056671247E-2</v>
      </c>
      <c r="BI851" s="1716">
        <f t="shared" si="1308"/>
        <v>2.9270870911180649E-2</v>
      </c>
      <c r="BJ851" s="1716">
        <f t="shared" si="1308"/>
        <v>2.6211847402899398E-2</v>
      </c>
      <c r="BK851" s="2620">
        <f t="shared" si="1308"/>
        <v>2.6211847402899398E-2</v>
      </c>
      <c r="BL851" s="1716">
        <f t="shared" si="1308"/>
        <v>1.9431645776055061E-2</v>
      </c>
      <c r="BM851" s="1716">
        <f t="shared" si="1308"/>
        <v>1.7005659260376813E-2</v>
      </c>
      <c r="BN851" s="1716">
        <f t="shared" si="1308"/>
        <v>1.3872813523955464E-2</v>
      </c>
      <c r="BO851" s="1716">
        <f t="shared" si="1308"/>
        <v>2.6733588308890534E-2</v>
      </c>
      <c r="BP851" s="2620">
        <f t="shared" si="1308"/>
        <v>2.6733588308890534E-2</v>
      </c>
      <c r="BQ851" s="1716">
        <f t="shared" si="1308"/>
        <v>2.9215621955022808E-2</v>
      </c>
      <c r="BR851" s="1716">
        <f>BR850/BM848</f>
        <v>3.2576709176721751E-2</v>
      </c>
      <c r="BS851" s="1716">
        <f>BS850/BN848</f>
        <v>3.6667524198475736E-2</v>
      </c>
      <c r="BT851" s="1716">
        <f>BT850/BO848</f>
        <v>2.4276665710313169E-2</v>
      </c>
      <c r="BU851" s="2620">
        <f t="shared" si="1308"/>
        <v>2.4276665710313169E-2</v>
      </c>
      <c r="BV851" s="1716">
        <f t="shared" si="1308"/>
        <v>2.6043800937941081E-2</v>
      </c>
      <c r="BW851" s="1716">
        <f t="shared" ref="BW851:CF851" si="1309">BW850/BR848</f>
        <v>4.7809859924731017E-2</v>
      </c>
      <c r="BX851" s="1716">
        <f t="shared" si="1309"/>
        <v>4.8561834523726435E-2</v>
      </c>
      <c r="BY851" s="1716">
        <f t="shared" si="1309"/>
        <v>5.8495984634184629E-2</v>
      </c>
      <c r="BZ851" s="2620">
        <f t="shared" si="1309"/>
        <v>5.8495984634184629E-2</v>
      </c>
      <c r="CA851" s="1716">
        <f t="shared" si="1309"/>
        <v>6.507578249925404E-2</v>
      </c>
      <c r="CB851" s="1716">
        <f t="shared" si="1309"/>
        <v>6.5288992616835517E-2</v>
      </c>
      <c r="CC851" s="1716">
        <f t="shared" si="1309"/>
        <v>6.8180843274585651E-2</v>
      </c>
      <c r="CD851" s="1716">
        <f t="shared" si="1309"/>
        <v>6.3529244128055926E-2</v>
      </c>
      <c r="CE851" s="2620">
        <f t="shared" si="1309"/>
        <v>6.3529244128055926E-2</v>
      </c>
      <c r="CF851" s="1716">
        <f t="shared" si="1309"/>
        <v>6.1759115456947344E-2</v>
      </c>
      <c r="CG851" s="1716">
        <f t="shared" ref="CG851:CO851" si="1310">CG850/CB848</f>
        <v>4.6502908530289842E-2</v>
      </c>
      <c r="CH851" s="1716">
        <f t="shared" si="1310"/>
        <v>4.8181192523980509E-2</v>
      </c>
      <c r="CI851" s="1716">
        <f t="shared" si="1310"/>
        <v>0.62772009214510804</v>
      </c>
      <c r="CJ851" s="2620">
        <f t="shared" si="1310"/>
        <v>0.62772009214510804</v>
      </c>
      <c r="CK851" s="2393">
        <f t="shared" si="1310"/>
        <v>0.62775936024248002</v>
      </c>
      <c r="CL851" s="1716">
        <f t="shared" ca="1" si="1310"/>
        <v>0.6277441934457525</v>
      </c>
      <c r="CM851" s="1716">
        <f t="shared" ca="1" si="1310"/>
        <v>0.63713912408199824</v>
      </c>
      <c r="CN851" s="1716">
        <f t="shared" ca="1" si="1310"/>
        <v>5.6326032837114605E-2</v>
      </c>
      <c r="CO851" s="2620">
        <f t="shared" ca="1" si="1310"/>
        <v>5.6326032837114605E-2</v>
      </c>
      <c r="CP851" s="1716">
        <f>CP850/CK848</f>
        <v>6.062608741914751E-2</v>
      </c>
      <c r="CQ851" s="1716">
        <f ca="1">CQ850/CL848</f>
        <v>5.9579651250648936E-2</v>
      </c>
      <c r="CR851" s="1716">
        <f ca="1">CR850/CM848</f>
        <v>5.7617479045303302E-2</v>
      </c>
      <c r="CS851" s="1716">
        <f ca="1">CS850/CN848</f>
        <v>5.5650458865867732E-2</v>
      </c>
      <c r="CT851" s="2620">
        <f ca="1">CT850/CO848</f>
        <v>5.5650458865867732E-2</v>
      </c>
      <c r="CU851" s="2620">
        <f ca="1">CU850/CT848</f>
        <v>5.60091288427342E-2</v>
      </c>
      <c r="CV851" s="2620">
        <f ca="1">CV850/CU848</f>
        <v>2.4759875212501357E-2</v>
      </c>
      <c r="CW851" s="2702"/>
      <c r="CX851" s="2702"/>
      <c r="CY851" s="2702"/>
      <c r="CZ851" s="2702"/>
      <c r="DA851" s="2702"/>
      <c r="DB851" s="217"/>
      <c r="DC851" s="212"/>
      <c r="DD851" s="212"/>
      <c r="DE851" s="70"/>
      <c r="DF851" s="1193"/>
      <c r="DG851" s="1193"/>
      <c r="DH851" s="1193"/>
      <c r="DI851" s="1193"/>
      <c r="DJ851" s="1193"/>
      <c r="DK851" s="1193"/>
      <c r="DL851" s="1193"/>
      <c r="DM851" s="1193"/>
      <c r="DN851" s="1193"/>
      <c r="DO851" s="1193"/>
      <c r="DP851" s="1193"/>
      <c r="DQ851" s="1193"/>
      <c r="DR851" s="1193"/>
      <c r="DS851" s="1193"/>
      <c r="DT851" s="1193"/>
      <c r="DU851" s="1193"/>
      <c r="DV851" s="1193"/>
      <c r="DW851" s="1193"/>
      <c r="DX851" s="1193"/>
      <c r="DY851" s="1193"/>
      <c r="DZ851" s="1193"/>
      <c r="EA851" s="1193"/>
      <c r="EB851" s="1193"/>
      <c r="EC851" s="1193"/>
      <c r="ED851" s="1193"/>
      <c r="EE851" s="1193"/>
      <c r="EF851" s="1193"/>
      <c r="EG851" s="1193"/>
      <c r="EH851" s="1193"/>
      <c r="EI851" s="1193"/>
      <c r="EJ851" s="1193"/>
      <c r="EK851" s="1193"/>
      <c r="EL851" s="1193"/>
      <c r="EM851" s="1193"/>
      <c r="EN851" s="1193"/>
      <c r="EO851" s="1193"/>
      <c r="EP851" s="1193"/>
      <c r="EQ851" s="1193"/>
      <c r="ER851" s="1193"/>
      <c r="ES851" s="1193"/>
      <c r="ET851" s="1193"/>
      <c r="EU851" s="1193"/>
      <c r="EV851" s="1193"/>
      <c r="EW851" s="1193"/>
      <c r="EX851" s="1193"/>
      <c r="EY851" s="1193"/>
      <c r="EZ851" s="1193"/>
      <c r="FA851" s="1193"/>
      <c r="FB851" s="1193"/>
      <c r="FC851" s="1193"/>
      <c r="FD851" s="1193"/>
      <c r="FE851" s="1193"/>
      <c r="FF851" s="1193"/>
      <c r="FG851" s="1193"/>
      <c r="FH851" s="1193"/>
      <c r="FI851" s="1193"/>
      <c r="FJ851" s="1193"/>
      <c r="FK851" s="1193"/>
      <c r="FL851" s="1193"/>
      <c r="FM851" s="1193"/>
      <c r="FN851" s="1193"/>
      <c r="FO851" s="1193"/>
      <c r="FP851" s="1193"/>
      <c r="FQ851" s="1193"/>
      <c r="FR851" s="1193"/>
      <c r="FS851" s="1193"/>
      <c r="FT851" s="1193"/>
      <c r="FU851" s="1193"/>
      <c r="FV851" s="1193"/>
      <c r="FW851" s="1193"/>
      <c r="FX851" s="1193"/>
      <c r="FY851" s="1193"/>
      <c r="FZ851" s="1193"/>
      <c r="GA851" s="1193"/>
      <c r="GB851" s="1193"/>
      <c r="GC851" s="1193"/>
      <c r="GD851" s="1193"/>
      <c r="GE851" s="1193"/>
      <c r="GF851" s="1193"/>
      <c r="GG851" s="1193"/>
      <c r="GH851" s="1193"/>
      <c r="GI851" s="1193"/>
      <c r="GJ851" s="1193"/>
      <c r="GK851" s="1193"/>
      <c r="GL851" s="1193"/>
      <c r="GM851" s="1193"/>
      <c r="GN851" s="1193"/>
      <c r="GO851" s="1193"/>
      <c r="GP851" s="1193"/>
      <c r="GQ851" s="1193"/>
      <c r="GR851" s="1193"/>
      <c r="GS851" s="1193"/>
      <c r="GT851" s="1193"/>
      <c r="GU851" s="1193"/>
      <c r="GV851" s="1193"/>
      <c r="GW851" s="1193"/>
      <c r="GX851" s="1193"/>
      <c r="GY851" s="1193"/>
      <c r="GZ851" s="1193"/>
      <c r="HA851" s="1193"/>
      <c r="HB851" s="1193"/>
      <c r="HC851" s="1193"/>
      <c r="HD851" s="1193"/>
      <c r="HE851" s="1193"/>
      <c r="HF851" s="1193"/>
      <c r="HG851" s="1193"/>
      <c r="HH851" s="1193"/>
      <c r="HI851" s="1193"/>
      <c r="HJ851" s="1193"/>
      <c r="HK851" s="1193"/>
      <c r="HL851" s="1193"/>
      <c r="HM851" s="1193"/>
      <c r="HN851" s="1193"/>
      <c r="HO851" s="1193"/>
      <c r="HP851" s="1193"/>
      <c r="HQ851" s="1193"/>
      <c r="HR851" s="1193"/>
      <c r="HS851" s="1193"/>
      <c r="HT851" s="1193"/>
      <c r="HU851" s="1193"/>
      <c r="HV851" s="1193"/>
      <c r="HW851" s="1193"/>
      <c r="HX851" s="1193"/>
      <c r="HY851" s="1193"/>
      <c r="HZ851" s="1193"/>
      <c r="IA851" s="1193"/>
      <c r="IB851" s="1193"/>
      <c r="IC851" s="1193"/>
      <c r="ID851" s="1193"/>
      <c r="IE851" s="1193"/>
      <c r="IF851" s="1193"/>
      <c r="IG851" s="1193"/>
      <c r="IH851" s="1193"/>
      <c r="II851" s="1193"/>
      <c r="IJ851" s="1193"/>
      <c r="IK851" s="1193"/>
      <c r="IL851" s="1193"/>
      <c r="IM851" s="1193"/>
      <c r="IN851" s="1193"/>
      <c r="IO851" s="1193"/>
      <c r="IP851" s="1193"/>
      <c r="IQ851" s="1193"/>
      <c r="IR851" s="1193"/>
      <c r="IS851" s="1193"/>
      <c r="IT851" s="1193"/>
      <c r="IU851" s="1193"/>
      <c r="IV851" s="1193"/>
    </row>
    <row r="852" spans="1:256" s="212" customFormat="1" x14ac:dyDescent="0.2">
      <c r="A852" s="331" t="s">
        <v>2659</v>
      </c>
      <c r="B852" s="1439"/>
      <c r="C852" s="1441"/>
      <c r="D852" s="1441"/>
      <c r="E852" s="1441"/>
      <c r="F852" s="1441"/>
      <c r="G852" s="1441"/>
      <c r="H852" s="938"/>
      <c r="I852" s="938"/>
      <c r="J852" s="938"/>
      <c r="K852" s="938"/>
      <c r="L852" s="938"/>
      <c r="M852" s="938"/>
      <c r="N852" s="938"/>
      <c r="O852" s="938"/>
      <c r="P852" s="938"/>
      <c r="Q852" s="938"/>
      <c r="R852" s="938"/>
      <c r="S852" s="938"/>
      <c r="T852" s="938"/>
      <c r="U852" s="938"/>
      <c r="V852" s="938"/>
      <c r="W852" s="938"/>
      <c r="X852" s="938"/>
      <c r="Y852" s="938"/>
      <c r="Z852" s="938"/>
      <c r="AA852" s="938"/>
      <c r="AB852" s="938"/>
      <c r="AC852" s="3320">
        <v>222994</v>
      </c>
      <c r="AD852" s="3320">
        <v>222564</v>
      </c>
      <c r="AE852" s="3320">
        <v>221830</v>
      </c>
      <c r="AF852" s="3320">
        <v>252573</v>
      </c>
      <c r="AG852" s="3320">
        <v>252573</v>
      </c>
      <c r="AH852" s="3320">
        <v>251603</v>
      </c>
      <c r="AI852" s="3320">
        <v>255404</v>
      </c>
      <c r="AJ852" s="3320">
        <v>256391</v>
      </c>
      <c r="AK852" s="3320">
        <v>260292</v>
      </c>
      <c r="AL852" s="3320">
        <v>260292</v>
      </c>
      <c r="AM852" s="3320">
        <v>261072</v>
      </c>
      <c r="AN852" s="3320">
        <v>270253</v>
      </c>
      <c r="AO852" s="3320">
        <v>271672</v>
      </c>
      <c r="AP852" s="3320">
        <v>272227</v>
      </c>
      <c r="AQ852" s="3320">
        <v>272227</v>
      </c>
      <c r="AR852" s="3320">
        <v>276057</v>
      </c>
      <c r="AS852" s="3320">
        <v>274880</v>
      </c>
      <c r="AT852" s="3320">
        <v>279119</v>
      </c>
      <c r="AU852" s="3320">
        <v>282600</v>
      </c>
      <c r="AV852" s="3320">
        <v>282600</v>
      </c>
      <c r="AW852" s="3320">
        <v>284359</v>
      </c>
      <c r="AX852" s="3320">
        <v>285010</v>
      </c>
      <c r="AY852" s="3320">
        <v>288132</v>
      </c>
      <c r="AZ852" s="3320">
        <v>289703</v>
      </c>
      <c r="BA852" s="3320">
        <v>289703</v>
      </c>
      <c r="BB852" s="3320">
        <v>288447</v>
      </c>
      <c r="BC852" s="3320">
        <v>291340</v>
      </c>
      <c r="BD852" s="3320">
        <v>294442</v>
      </c>
      <c r="BE852" s="3320">
        <v>299136</v>
      </c>
      <c r="BF852" s="3320">
        <v>299136</v>
      </c>
      <c r="BG852" s="3320">
        <v>301036</v>
      </c>
      <c r="BH852" s="3320">
        <v>302673</v>
      </c>
      <c r="BI852" s="3320">
        <v>306478</v>
      </c>
      <c r="BJ852" s="3320">
        <v>312479</v>
      </c>
      <c r="BK852" s="3320">
        <v>312479</v>
      </c>
      <c r="BL852" s="3320">
        <v>315540</v>
      </c>
      <c r="BM852" s="3320">
        <v>317586</v>
      </c>
      <c r="BN852" s="3320">
        <v>324262</v>
      </c>
      <c r="BO852" s="3320">
        <v>327329</v>
      </c>
      <c r="BP852" s="3320">
        <v>327329</v>
      </c>
      <c r="BQ852" s="3320">
        <v>332932</v>
      </c>
      <c r="BR852" s="3320">
        <v>335815</v>
      </c>
      <c r="BS852" s="3320">
        <v>337604</v>
      </c>
      <c r="BT852" s="3320">
        <v>338487</v>
      </c>
      <c r="BU852" s="3320">
        <v>338487</v>
      </c>
      <c r="BV852" s="3320">
        <v>338953</v>
      </c>
      <c r="BW852" s="3320">
        <v>341193</v>
      </c>
      <c r="BX852" s="3320">
        <v>344236</v>
      </c>
      <c r="BY852" s="3320">
        <v>346464</v>
      </c>
      <c r="BZ852" s="3321">
        <v>346464</v>
      </c>
      <c r="CA852" s="3320">
        <v>348110</v>
      </c>
      <c r="CB852" s="3320">
        <v>349841</v>
      </c>
      <c r="CC852" s="3320">
        <v>354412</v>
      </c>
      <c r="CD852" s="3320">
        <v>361836</v>
      </c>
      <c r="CE852" s="3321">
        <v>361836</v>
      </c>
      <c r="CF852" s="3320">
        <v>364424</v>
      </c>
      <c r="CG852" s="3320">
        <v>367178</v>
      </c>
      <c r="CH852" s="3320">
        <f>1170367-CH978-CH979-SUM(CH983:CH994)-CH848</f>
        <v>374157</v>
      </c>
      <c r="CI852" s="3068"/>
      <c r="CJ852" s="1442"/>
      <c r="CK852" s="3505"/>
      <c r="CL852" s="938"/>
      <c r="CM852" s="938"/>
      <c r="CN852" s="938"/>
      <c r="CO852" s="1442"/>
      <c r="CP852" s="3505"/>
      <c r="CQ852" s="938"/>
      <c r="CR852" s="938"/>
      <c r="CS852" s="938"/>
      <c r="CT852" s="1442"/>
      <c r="CU852" s="1442"/>
      <c r="CV852" s="1442"/>
      <c r="CW852" s="374"/>
      <c r="CX852" s="374"/>
      <c r="CY852" s="374"/>
      <c r="CZ852" s="374"/>
      <c r="DA852" s="374"/>
      <c r="DB852" s="217"/>
    </row>
    <row r="853" spans="1:256" s="3332" customFormat="1" x14ac:dyDescent="0.2">
      <c r="A853" s="3326" t="s">
        <v>2655</v>
      </c>
      <c r="B853" s="3327"/>
      <c r="C853" s="3328"/>
      <c r="D853" s="3328"/>
      <c r="E853" s="3328"/>
      <c r="F853" s="3328"/>
      <c r="G853" s="3328"/>
      <c r="H853" s="3329"/>
      <c r="I853" s="3329"/>
      <c r="J853" s="3329"/>
      <c r="K853" s="3329"/>
      <c r="L853" s="3329"/>
      <c r="M853" s="3329"/>
      <c r="N853" s="3329"/>
      <c r="O853" s="3329"/>
      <c r="P853" s="3329"/>
      <c r="Q853" s="3329"/>
      <c r="R853" s="3329"/>
      <c r="S853" s="3329"/>
      <c r="T853" s="3329"/>
      <c r="U853" s="3329"/>
      <c r="V853" s="3329"/>
      <c r="W853" s="3329"/>
      <c r="X853" s="3329"/>
      <c r="Y853" s="3329"/>
      <c r="Z853" s="3329"/>
      <c r="AA853" s="3329"/>
      <c r="AB853" s="3329"/>
      <c r="AC853" s="3329">
        <f t="shared" ref="AC853:CG853" si="1311">+AC852+AC848</f>
        <v>698166</v>
      </c>
      <c r="AD853" s="3329">
        <f t="shared" si="1311"/>
        <v>701985</v>
      </c>
      <c r="AE853" s="3329">
        <f t="shared" si="1311"/>
        <v>705017</v>
      </c>
      <c r="AF853" s="3329">
        <f t="shared" si="1311"/>
        <v>741404</v>
      </c>
      <c r="AG853" s="3329">
        <f t="shared" si="1311"/>
        <v>741404</v>
      </c>
      <c r="AH853" s="3329">
        <f t="shared" si="1311"/>
        <v>745738</v>
      </c>
      <c r="AI853" s="3329">
        <f t="shared" si="1311"/>
        <v>751526</v>
      </c>
      <c r="AJ853" s="3329">
        <f t="shared" si="1311"/>
        <v>755667</v>
      </c>
      <c r="AK853" s="3329">
        <f t="shared" si="1311"/>
        <v>762331</v>
      </c>
      <c r="AL853" s="3329">
        <f t="shared" si="1311"/>
        <v>762331</v>
      </c>
      <c r="AM853" s="3329">
        <f t="shared" si="1311"/>
        <v>765172</v>
      </c>
      <c r="AN853" s="3329">
        <f t="shared" si="1311"/>
        <v>778269</v>
      </c>
      <c r="AO853" s="3329">
        <f t="shared" si="1311"/>
        <v>785424</v>
      </c>
      <c r="AP853" s="3329">
        <f t="shared" si="1311"/>
        <v>793428</v>
      </c>
      <c r="AQ853" s="3329">
        <f t="shared" si="1311"/>
        <v>793428</v>
      </c>
      <c r="AR853" s="3329">
        <f t="shared" si="1311"/>
        <v>799587</v>
      </c>
      <c r="AS853" s="3329">
        <f t="shared" si="1311"/>
        <v>805098</v>
      </c>
      <c r="AT853" s="3329">
        <f t="shared" si="1311"/>
        <v>814795</v>
      </c>
      <c r="AU853" s="3329">
        <f t="shared" si="1311"/>
        <v>827901</v>
      </c>
      <c r="AV853" s="3329">
        <f t="shared" si="1311"/>
        <v>827901</v>
      </c>
      <c r="AW853" s="3329">
        <f t="shared" si="1311"/>
        <v>838113</v>
      </c>
      <c r="AX853" s="3329">
        <f t="shared" si="1311"/>
        <v>846304</v>
      </c>
      <c r="AY853" s="3329">
        <f t="shared" si="1311"/>
        <v>859121</v>
      </c>
      <c r="AZ853" s="3329">
        <f t="shared" si="1311"/>
        <v>869567</v>
      </c>
      <c r="BA853" s="3329">
        <f t="shared" si="1311"/>
        <v>869567</v>
      </c>
      <c r="BB853" s="3329">
        <f t="shared" si="1311"/>
        <v>875895</v>
      </c>
      <c r="BC853" s="3329">
        <f t="shared" si="1311"/>
        <v>883051</v>
      </c>
      <c r="BD853" s="3329">
        <f t="shared" si="1311"/>
        <v>890427</v>
      </c>
      <c r="BE853" s="3329">
        <f t="shared" si="1311"/>
        <v>901192</v>
      </c>
      <c r="BF853" s="3329">
        <f t="shared" si="1311"/>
        <v>901192</v>
      </c>
      <c r="BG853" s="3329">
        <f t="shared" si="1311"/>
        <v>908087</v>
      </c>
      <c r="BH853" s="3329">
        <f t="shared" si="1311"/>
        <v>912470</v>
      </c>
      <c r="BI853" s="3329">
        <f t="shared" si="1311"/>
        <v>919908</v>
      </c>
      <c r="BJ853" s="3329">
        <f t="shared" si="1311"/>
        <v>930316</v>
      </c>
      <c r="BK853" s="3329">
        <f t="shared" si="1311"/>
        <v>930316</v>
      </c>
      <c r="BL853" s="3329">
        <f t="shared" si="1311"/>
        <v>934387</v>
      </c>
      <c r="BM853" s="3329">
        <f t="shared" si="1311"/>
        <v>937753</v>
      </c>
      <c r="BN853" s="3329">
        <f t="shared" si="1311"/>
        <v>946202</v>
      </c>
      <c r="BO853" s="3329">
        <f t="shared" si="1311"/>
        <v>961683</v>
      </c>
      <c r="BP853" s="3329">
        <f t="shared" si="1311"/>
        <v>961683</v>
      </c>
      <c r="BQ853" s="3329">
        <f t="shared" si="1311"/>
        <v>969859</v>
      </c>
      <c r="BR853" s="3329">
        <f t="shared" si="1311"/>
        <v>976185</v>
      </c>
      <c r="BS853" s="3329">
        <f t="shared" si="1311"/>
        <v>982349</v>
      </c>
      <c r="BT853" s="3329">
        <f t="shared" si="1311"/>
        <v>988241</v>
      </c>
      <c r="BU853" s="3329">
        <f t="shared" si="1311"/>
        <v>988241</v>
      </c>
      <c r="BV853" s="3329">
        <f t="shared" si="1311"/>
        <v>992468</v>
      </c>
      <c r="BW853" s="3329">
        <f t="shared" si="1311"/>
        <v>1012179</v>
      </c>
      <c r="BX853" s="3329">
        <f t="shared" si="1311"/>
        <v>1020291</v>
      </c>
      <c r="BY853" s="3329">
        <f t="shared" si="1311"/>
        <v>1034226</v>
      </c>
      <c r="BZ853" s="3330">
        <f t="shared" si="1311"/>
        <v>1034226</v>
      </c>
      <c r="CA853" s="3329">
        <f t="shared" si="1311"/>
        <v>1044153</v>
      </c>
      <c r="CB853" s="3329">
        <f t="shared" si="1311"/>
        <v>1064635</v>
      </c>
      <c r="CC853" s="3329">
        <f t="shared" si="1311"/>
        <v>1076561</v>
      </c>
      <c r="CD853" s="3329">
        <f t="shared" si="1311"/>
        <v>1093291</v>
      </c>
      <c r="CE853" s="3330">
        <f t="shared" si="1311"/>
        <v>1093291</v>
      </c>
      <c r="CF853" s="3329">
        <f t="shared" si="1311"/>
        <v>1103454</v>
      </c>
      <c r="CG853" s="3329">
        <f t="shared" si="1311"/>
        <v>1115212</v>
      </c>
      <c r="CH853" s="3329">
        <f>+CH852+CH848</f>
        <v>1131100</v>
      </c>
      <c r="CI853" s="3329"/>
      <c r="CJ853" s="3330"/>
      <c r="CK853" s="3524"/>
      <c r="CL853" s="3329"/>
      <c r="CM853" s="3329"/>
      <c r="CN853" s="3329"/>
      <c r="CO853" s="3330"/>
      <c r="CP853" s="3524"/>
      <c r="CQ853" s="3329"/>
      <c r="CR853" s="3329"/>
      <c r="CS853" s="3329"/>
      <c r="CT853" s="3330"/>
      <c r="CU853" s="3330"/>
      <c r="CV853" s="3330"/>
      <c r="CW853" s="3331"/>
      <c r="CX853" s="3331"/>
      <c r="CY853" s="3331"/>
      <c r="CZ853" s="3331"/>
      <c r="DA853" s="3331"/>
      <c r="DB853" s="217"/>
      <c r="DC853" s="212"/>
    </row>
    <row r="854" spans="1:256" s="374" customFormat="1" x14ac:dyDescent="0.2">
      <c r="A854" s="2392" t="s">
        <v>2654</v>
      </c>
      <c r="B854" s="2618"/>
      <c r="C854" s="2618"/>
      <c r="D854" s="2618"/>
      <c r="E854" s="2618"/>
      <c r="F854" s="2618"/>
      <c r="G854" s="2618"/>
      <c r="H854" s="2618"/>
      <c r="I854" s="2618"/>
      <c r="J854" s="2618"/>
      <c r="K854" s="2618"/>
      <c r="L854" s="2618"/>
      <c r="M854" s="2619"/>
      <c r="N854" s="1716"/>
      <c r="O854" s="1716"/>
      <c r="P854" s="1716"/>
      <c r="Q854" s="1716"/>
      <c r="R854" s="2620"/>
      <c r="S854" s="1716"/>
      <c r="T854" s="1716"/>
      <c r="U854" s="1716"/>
      <c r="V854" s="1716"/>
      <c r="W854" s="2620"/>
      <c r="X854" s="1716"/>
      <c r="Y854" s="1716"/>
      <c r="Z854" s="1716"/>
      <c r="AA854" s="1716"/>
      <c r="AB854" s="2620"/>
      <c r="AC854" s="1716"/>
      <c r="AD854" s="1716"/>
      <c r="AE854" s="1716"/>
      <c r="AF854" s="1716"/>
      <c r="AG854" s="2620"/>
      <c r="AH854" s="1716"/>
      <c r="AI854" s="1716"/>
      <c r="AJ854" s="1716"/>
      <c r="AK854" s="1716"/>
      <c r="AL854" s="2620"/>
      <c r="AM854" s="1716"/>
      <c r="AN854" s="1716"/>
      <c r="AO854" s="1716"/>
      <c r="AP854" s="1716"/>
      <c r="AQ854" s="1716"/>
      <c r="AR854" s="1716"/>
      <c r="AS854" s="1716"/>
      <c r="AT854" s="1716"/>
      <c r="AU854" s="1716"/>
      <c r="AV854" s="2620"/>
      <c r="AW854" s="1716"/>
      <c r="AX854" s="1716"/>
      <c r="AY854" s="1716"/>
      <c r="AZ854" s="1716"/>
      <c r="BA854" s="2620"/>
      <c r="BB854" s="1716"/>
      <c r="BC854" s="1716"/>
      <c r="BD854" s="1716"/>
      <c r="BE854" s="1716"/>
      <c r="BF854" s="2620"/>
      <c r="BG854" s="1716"/>
      <c r="BH854" s="1716"/>
      <c r="BI854" s="1716"/>
      <c r="BJ854" s="1716"/>
      <c r="BK854" s="2620"/>
      <c r="BL854" s="1716"/>
      <c r="BM854" s="1716"/>
      <c r="BN854" s="1716"/>
      <c r="BO854" s="1716"/>
      <c r="BP854" s="2620"/>
      <c r="BQ854" s="1716"/>
      <c r="BR854" s="1716"/>
      <c r="BS854" s="1716"/>
      <c r="BT854" s="1716"/>
      <c r="BU854" s="2620"/>
      <c r="BV854" s="1716"/>
      <c r="BW854" s="1716"/>
      <c r="BX854" s="1716"/>
      <c r="BY854" s="1716"/>
      <c r="BZ854" s="2620"/>
      <c r="CA854" s="1716">
        <f t="shared" ref="CA854:CG854" si="1312">+(CA852+CA848)/(BV852+BV848)-1</f>
        <v>5.2077245815482121E-2</v>
      </c>
      <c r="CB854" s="1716">
        <f t="shared" si="1312"/>
        <v>5.1824825450834222E-2</v>
      </c>
      <c r="CC854" s="1716">
        <f t="shared" si="1312"/>
        <v>5.5150932430061639E-2</v>
      </c>
      <c r="CD854" s="1716">
        <f t="shared" si="1312"/>
        <v>5.7110341453415314E-2</v>
      </c>
      <c r="CE854" s="2620">
        <f t="shared" si="1312"/>
        <v>5.7110341453415314E-2</v>
      </c>
      <c r="CF854" s="1716">
        <f t="shared" si="1312"/>
        <v>5.6793400967099616E-2</v>
      </c>
      <c r="CG854" s="1716">
        <f t="shared" si="1312"/>
        <v>4.750642238889391E-2</v>
      </c>
      <c r="CH854" s="1716">
        <f t="shared" ref="CH854:CO854" si="1313">+(CH852+CH848)/(CC852+CC848)-1</f>
        <v>5.066038988965782E-2</v>
      </c>
      <c r="CI854" s="1716">
        <f t="shared" si="1313"/>
        <v>8.9009239077244784E-2</v>
      </c>
      <c r="CJ854" s="2620">
        <f t="shared" si="1313"/>
        <v>8.9009239077244784E-2</v>
      </c>
      <c r="CK854" s="2393">
        <f t="shared" si="1313"/>
        <v>9.0179563443514743E-2</v>
      </c>
      <c r="CL854" s="1716">
        <f t="shared" ca="1" si="1313"/>
        <v>9.181751989756215E-2</v>
      </c>
      <c r="CM854" s="1716">
        <f t="shared" ca="1" si="1313"/>
        <v>9.5589249403235765E-2</v>
      </c>
      <c r="CN854" s="1716">
        <f t="shared" ca="1" si="1313"/>
        <v>5.6326032837114681E-2</v>
      </c>
      <c r="CO854" s="2620">
        <f t="shared" ca="1" si="1313"/>
        <v>5.6326032837114681E-2</v>
      </c>
      <c r="CP854" s="1716">
        <f>+(CP852+CP848)/(CK852+CK848)-1</f>
        <v>6.0626087419147545E-2</v>
      </c>
      <c r="CQ854" s="1716">
        <f ca="1">+(CQ852+CQ848)/(CL852+CL848)-1</f>
        <v>5.9579651250649013E-2</v>
      </c>
      <c r="CR854" s="1716">
        <f ca="1">+(CR852+CR848)/(CM852+CM848)-1</f>
        <v>5.7617479045303233E-2</v>
      </c>
      <c r="CS854" s="1716">
        <f ca="1">+(CS852+CS848)/(CN852+CN848)-1</f>
        <v>5.5650458865867725E-2</v>
      </c>
      <c r="CT854" s="2620">
        <f ca="1">+(CT852+CT848)/(CO852+CO848)-1</f>
        <v>5.5650458865867725E-2</v>
      </c>
      <c r="CU854" s="2620">
        <f ca="1">+(CU852+CU848)/(CT852+CT848)-1</f>
        <v>5.6009128842734235E-2</v>
      </c>
      <c r="CV854" s="2620">
        <f ca="1">+(CV852+CV848)/(CU852+CU848)-1</f>
        <v>2.4759875212501337E-2</v>
      </c>
      <c r="CW854" s="2702"/>
      <c r="CX854" s="2702"/>
      <c r="CY854" s="2702"/>
      <c r="CZ854" s="2702"/>
      <c r="DA854" s="2702"/>
      <c r="DB854" s="217"/>
      <c r="DC854" s="212"/>
      <c r="DD854" s="212"/>
      <c r="DE854" s="70"/>
      <c r="DF854" s="1193"/>
      <c r="DG854" s="1193"/>
      <c r="DH854" s="1193"/>
      <c r="DI854" s="1193"/>
      <c r="DJ854" s="1193"/>
      <c r="DK854" s="1193"/>
      <c r="DL854" s="1193"/>
      <c r="DM854" s="1193"/>
      <c r="DN854" s="1193"/>
      <c r="DO854" s="1193"/>
      <c r="DP854" s="1193"/>
      <c r="DQ854" s="1193"/>
      <c r="DR854" s="1193"/>
      <c r="DS854" s="1193"/>
      <c r="DT854" s="1193"/>
      <c r="DU854" s="1193"/>
      <c r="DV854" s="1193"/>
      <c r="DW854" s="1193"/>
      <c r="DX854" s="1193"/>
      <c r="DY854" s="1193"/>
      <c r="DZ854" s="1193"/>
      <c r="EA854" s="1193"/>
      <c r="EB854" s="1193"/>
      <c r="EC854" s="1193"/>
      <c r="ED854" s="1193"/>
      <c r="EE854" s="1193"/>
      <c r="EF854" s="1193"/>
      <c r="EG854" s="1193"/>
      <c r="EH854" s="1193"/>
      <c r="EI854" s="1193"/>
      <c r="EJ854" s="1193"/>
      <c r="EK854" s="1193"/>
      <c r="EL854" s="1193"/>
      <c r="EM854" s="1193"/>
      <c r="EN854" s="1193"/>
      <c r="EO854" s="1193"/>
      <c r="EP854" s="1193"/>
      <c r="EQ854" s="1193"/>
      <c r="ER854" s="1193"/>
      <c r="ES854" s="1193"/>
      <c r="ET854" s="1193"/>
      <c r="EU854" s="1193"/>
      <c r="EV854" s="1193"/>
      <c r="EW854" s="1193"/>
      <c r="EX854" s="1193"/>
      <c r="EY854" s="1193"/>
      <c r="EZ854" s="1193"/>
      <c r="FA854" s="1193"/>
      <c r="FB854" s="1193"/>
      <c r="FC854" s="1193"/>
      <c r="FD854" s="1193"/>
      <c r="FE854" s="1193"/>
      <c r="FF854" s="1193"/>
      <c r="FG854" s="1193"/>
      <c r="FH854" s="1193"/>
      <c r="FI854" s="1193"/>
      <c r="FJ854" s="1193"/>
      <c r="FK854" s="1193"/>
      <c r="FL854" s="1193"/>
      <c r="FM854" s="1193"/>
      <c r="FN854" s="1193"/>
      <c r="FO854" s="1193"/>
      <c r="FP854" s="1193"/>
      <c r="FQ854" s="1193"/>
      <c r="FR854" s="1193"/>
      <c r="FS854" s="1193"/>
      <c r="FT854" s="1193"/>
      <c r="FU854" s="1193"/>
      <c r="FV854" s="1193"/>
      <c r="FW854" s="1193"/>
      <c r="FX854" s="1193"/>
      <c r="FY854" s="1193"/>
      <c r="FZ854" s="1193"/>
      <c r="GA854" s="1193"/>
      <c r="GB854" s="1193"/>
      <c r="GC854" s="1193"/>
      <c r="GD854" s="1193"/>
      <c r="GE854" s="1193"/>
      <c r="GF854" s="1193"/>
      <c r="GG854" s="1193"/>
      <c r="GH854" s="1193"/>
      <c r="GI854" s="1193"/>
      <c r="GJ854" s="1193"/>
      <c r="GK854" s="1193"/>
      <c r="GL854" s="1193"/>
      <c r="GM854" s="1193"/>
      <c r="GN854" s="1193"/>
      <c r="GO854" s="1193"/>
      <c r="GP854" s="1193"/>
      <c r="GQ854" s="1193"/>
      <c r="GR854" s="1193"/>
      <c r="GS854" s="1193"/>
      <c r="GT854" s="1193"/>
      <c r="GU854" s="1193"/>
      <c r="GV854" s="1193"/>
      <c r="GW854" s="1193"/>
      <c r="GX854" s="1193"/>
      <c r="GY854" s="1193"/>
      <c r="GZ854" s="1193"/>
      <c r="HA854" s="1193"/>
      <c r="HB854" s="1193"/>
      <c r="HC854" s="1193"/>
      <c r="HD854" s="1193"/>
      <c r="HE854" s="1193"/>
      <c r="HF854" s="1193"/>
      <c r="HG854" s="1193"/>
      <c r="HH854" s="1193"/>
      <c r="HI854" s="1193"/>
      <c r="HJ854" s="1193"/>
      <c r="HK854" s="1193"/>
      <c r="HL854" s="1193"/>
      <c r="HM854" s="1193"/>
      <c r="HN854" s="1193"/>
      <c r="HO854" s="1193"/>
      <c r="HP854" s="1193"/>
      <c r="HQ854" s="1193"/>
      <c r="HR854" s="1193"/>
      <c r="HS854" s="1193"/>
      <c r="HT854" s="1193"/>
      <c r="HU854" s="1193"/>
      <c r="HV854" s="1193"/>
      <c r="HW854" s="1193"/>
      <c r="HX854" s="1193"/>
      <c r="HY854" s="1193"/>
      <c r="HZ854" s="1193"/>
      <c r="IA854" s="1193"/>
      <c r="IB854" s="1193"/>
      <c r="IC854" s="1193"/>
      <c r="ID854" s="1193"/>
      <c r="IE854" s="1193"/>
      <c r="IF854" s="1193"/>
      <c r="IG854" s="1193"/>
      <c r="IH854" s="1193"/>
      <c r="II854" s="1193"/>
      <c r="IJ854" s="1193"/>
      <c r="IK854" s="1193"/>
      <c r="IL854" s="1193"/>
      <c r="IM854" s="1193"/>
      <c r="IN854" s="1193"/>
      <c r="IO854" s="1193"/>
      <c r="IP854" s="1193"/>
      <c r="IQ854" s="1193"/>
      <c r="IR854" s="1193"/>
      <c r="IS854" s="1193"/>
      <c r="IT854" s="1193"/>
      <c r="IU854" s="1193"/>
      <c r="IV854" s="1193"/>
    </row>
    <row r="855" spans="1:256" s="1193" customFormat="1" x14ac:dyDescent="0.2">
      <c r="A855" s="1742"/>
      <c r="B855" s="9"/>
      <c r="C855" s="9"/>
      <c r="D855" s="9"/>
      <c r="E855" s="9"/>
      <c r="F855" s="9"/>
      <c r="G855" s="9"/>
      <c r="H855" s="9"/>
      <c r="I855" s="9"/>
      <c r="J855" s="9"/>
      <c r="K855" s="9"/>
      <c r="L855" s="9"/>
      <c r="M855" s="9"/>
      <c r="N855" s="1655"/>
      <c r="O855" s="1655"/>
      <c r="P855" s="1655"/>
      <c r="Q855" s="1655"/>
      <c r="R855" s="1655"/>
      <c r="S855" s="1655"/>
      <c r="T855" s="1655"/>
      <c r="U855" s="1655"/>
      <c r="V855" s="1655"/>
      <c r="W855" s="1655"/>
      <c r="X855" s="1655"/>
      <c r="Y855" s="1655"/>
      <c r="Z855" s="1655"/>
      <c r="AA855" s="1655"/>
      <c r="AB855" s="1655"/>
      <c r="AC855" s="1655"/>
      <c r="AD855" s="1655"/>
      <c r="AE855" s="1655"/>
      <c r="AF855" s="1655"/>
      <c r="AG855" s="1655"/>
      <c r="AH855" s="1655"/>
      <c r="AI855" s="1655"/>
      <c r="AJ855" s="1655"/>
      <c r="AK855" s="1655"/>
      <c r="AL855" s="1655"/>
      <c r="AM855" s="1655"/>
      <c r="AN855" s="1655"/>
      <c r="AO855" s="1655"/>
      <c r="AP855" s="1655"/>
      <c r="AQ855" s="1655"/>
      <c r="AR855" s="1655"/>
      <c r="AS855" s="1655"/>
      <c r="AT855" s="1655"/>
      <c r="AU855" s="1655"/>
      <c r="AV855" s="1655"/>
      <c r="AW855" s="1655"/>
      <c r="AX855" s="1655"/>
      <c r="AY855" s="1655"/>
      <c r="AZ855" s="1655"/>
      <c r="BA855" s="1655"/>
      <c r="BB855" s="1655"/>
      <c r="BC855" s="1655"/>
      <c r="BD855" s="1655"/>
      <c r="BE855" s="1655"/>
      <c r="BF855" s="1655"/>
      <c r="BG855" s="1655"/>
      <c r="BH855" s="1655"/>
      <c r="BI855" s="1655"/>
      <c r="BJ855" s="1655"/>
      <c r="BK855" s="1655"/>
      <c r="BL855" s="1655"/>
      <c r="BM855" s="1655"/>
      <c r="BN855" s="1655"/>
      <c r="BO855" s="1655"/>
      <c r="BP855" s="1655"/>
      <c r="BQ855" s="1655"/>
      <c r="BR855" s="2604"/>
      <c r="BS855" s="1655"/>
      <c r="BT855" s="1655"/>
      <c r="BU855" s="1655"/>
      <c r="BV855" s="1655"/>
      <c r="BW855" s="2604"/>
      <c r="BX855" s="2604"/>
      <c r="BY855" s="1655"/>
      <c r="BZ855" s="2604"/>
      <c r="CA855" s="1655"/>
      <c r="CB855" s="1655"/>
      <c r="CC855" s="1655"/>
      <c r="CD855" s="1655"/>
      <c r="CE855" s="1655"/>
      <c r="CF855" s="1655"/>
      <c r="CG855" s="1655"/>
      <c r="CH855" s="1655"/>
      <c r="CI855" s="1655"/>
      <c r="CJ855" s="1655"/>
      <c r="CK855" s="3520"/>
      <c r="CL855" s="1655"/>
      <c r="CM855" s="1655"/>
      <c r="CN855" s="1655"/>
      <c r="CO855" s="1655"/>
      <c r="CP855" s="3520"/>
      <c r="CQ855" s="1655"/>
      <c r="CR855" s="1655"/>
      <c r="CS855" s="1655"/>
      <c r="CT855" s="1655"/>
      <c r="CU855" s="1655"/>
      <c r="CV855" s="1655"/>
      <c r="CW855" s="374"/>
      <c r="CX855" s="374"/>
      <c r="CY855" s="374"/>
      <c r="CZ855" s="374"/>
      <c r="DA855" s="374"/>
      <c r="DB855" s="217"/>
      <c r="DC855" s="212"/>
      <c r="DD855" s="212"/>
      <c r="DE855" s="70"/>
      <c r="DF855" s="212"/>
      <c r="DG855" s="212"/>
      <c r="DH855" s="212"/>
      <c r="DI855" s="212"/>
      <c r="DJ855" s="212"/>
      <c r="DK855" s="212"/>
      <c r="DL855" s="212"/>
      <c r="DM855" s="212"/>
      <c r="DN855" s="212"/>
      <c r="DO855" s="212"/>
      <c r="DP855" s="212"/>
      <c r="DQ855" s="212"/>
      <c r="DR855" s="212"/>
      <c r="DS855" s="212"/>
      <c r="DT855" s="212"/>
      <c r="DU855" s="212"/>
      <c r="DV855" s="212"/>
      <c r="DW855" s="212"/>
      <c r="DX855" s="212"/>
      <c r="DY855" s="212"/>
      <c r="DZ855" s="212"/>
      <c r="EA855" s="212"/>
      <c r="EB855" s="212"/>
      <c r="EC855" s="212"/>
      <c r="ED855" s="212"/>
      <c r="EE855" s="212"/>
      <c r="EF855" s="212"/>
      <c r="EG855" s="212"/>
      <c r="EH855" s="212"/>
      <c r="EI855" s="212"/>
      <c r="EJ855" s="212"/>
      <c r="EK855" s="212"/>
      <c r="EL855" s="212"/>
      <c r="EM855" s="212"/>
      <c r="EN855" s="212"/>
      <c r="EO855" s="212"/>
      <c r="EP855" s="212"/>
      <c r="EQ855" s="212"/>
      <c r="ER855" s="212"/>
      <c r="ES855" s="212"/>
      <c r="ET855" s="212"/>
      <c r="EU855" s="212"/>
      <c r="EV855" s="212"/>
      <c r="EW855" s="212"/>
      <c r="EX855" s="212"/>
      <c r="EY855" s="212"/>
      <c r="EZ855" s="212"/>
      <c r="FA855" s="212"/>
      <c r="FB855" s="212"/>
      <c r="FC855" s="212"/>
      <c r="FD855" s="212"/>
      <c r="FE855" s="212"/>
      <c r="FF855" s="212"/>
      <c r="FG855" s="212"/>
      <c r="FH855" s="212"/>
      <c r="FI855" s="212"/>
      <c r="FJ855" s="212"/>
      <c r="FK855" s="212"/>
      <c r="FL855" s="212"/>
      <c r="FM855" s="212"/>
      <c r="FN855" s="212"/>
      <c r="FO855" s="212"/>
      <c r="FP855" s="212"/>
      <c r="FQ855" s="212"/>
      <c r="FR855" s="212"/>
      <c r="FS855" s="212"/>
      <c r="FT855" s="212"/>
      <c r="FU855" s="212"/>
      <c r="FV855" s="212"/>
      <c r="FW855" s="212"/>
      <c r="FX855" s="212"/>
      <c r="FY855" s="212"/>
      <c r="FZ855" s="212"/>
      <c r="GA855" s="212"/>
      <c r="GB855" s="212"/>
      <c r="GC855" s="212"/>
      <c r="GD855" s="212"/>
      <c r="GE855" s="212"/>
      <c r="GF855" s="212"/>
      <c r="GG855" s="212"/>
      <c r="GH855" s="212"/>
      <c r="GI855" s="212"/>
      <c r="GJ855" s="212"/>
      <c r="GK855" s="212"/>
      <c r="GL855" s="212"/>
      <c r="GM855" s="212"/>
      <c r="GN855" s="212"/>
      <c r="GO855" s="212"/>
      <c r="GP855" s="212"/>
      <c r="GQ855" s="212"/>
      <c r="GR855" s="212"/>
      <c r="GS855" s="212"/>
      <c r="GT855" s="212"/>
      <c r="GU855" s="212"/>
      <c r="GV855" s="212"/>
      <c r="GW855" s="212"/>
      <c r="GX855" s="212"/>
      <c r="GY855" s="212"/>
      <c r="GZ855" s="212"/>
      <c r="HA855" s="212"/>
      <c r="HB855" s="212"/>
      <c r="HC855" s="212"/>
      <c r="HD855" s="212"/>
      <c r="HE855" s="212"/>
      <c r="HF855" s="212"/>
      <c r="HG855" s="212"/>
      <c r="HH855" s="212"/>
      <c r="HI855" s="212"/>
      <c r="HJ855" s="212"/>
      <c r="HK855" s="212"/>
      <c r="HL855" s="212"/>
      <c r="HM855" s="212"/>
      <c r="HN855" s="212"/>
      <c r="HO855" s="212"/>
      <c r="HP855" s="212"/>
      <c r="HQ855" s="212"/>
      <c r="HR855" s="212"/>
      <c r="HS855" s="212"/>
      <c r="HT855" s="212"/>
      <c r="HU855" s="212"/>
      <c r="HV855" s="212"/>
      <c r="HW855" s="212"/>
      <c r="HX855" s="212"/>
      <c r="HY855" s="212"/>
      <c r="HZ855" s="212"/>
      <c r="IA855" s="212"/>
      <c r="IB855" s="212"/>
      <c r="IC855" s="212"/>
      <c r="ID855" s="212"/>
      <c r="IE855" s="212"/>
      <c r="IF855" s="212"/>
      <c r="IG855" s="212"/>
      <c r="IH855" s="212"/>
      <c r="II855" s="212"/>
      <c r="IJ855" s="212"/>
      <c r="IK855" s="212"/>
      <c r="IL855" s="212"/>
      <c r="IM855" s="212"/>
      <c r="IN855" s="212"/>
      <c r="IO855" s="212"/>
      <c r="IP855" s="212"/>
      <c r="IQ855" s="212"/>
      <c r="IR855" s="212"/>
      <c r="IS855" s="212"/>
      <c r="IT855" s="212"/>
      <c r="IU855" s="212"/>
      <c r="IV855" s="212"/>
    </row>
    <row r="856" spans="1:256" s="212" customFormat="1" x14ac:dyDescent="0.2">
      <c r="A856" s="1265" t="s">
        <v>678</v>
      </c>
      <c r="B856" s="1053"/>
      <c r="C856" s="1053"/>
      <c r="D856" s="1053" t="str">
        <f>RevPAR!B$5</f>
        <v>1Q00</v>
      </c>
      <c r="E856" s="1053" t="str">
        <f>RevPAR!C$5</f>
        <v>2Q00</v>
      </c>
      <c r="F856" s="1053" t="str">
        <f>RevPAR!D$5</f>
        <v>3Q00</v>
      </c>
      <c r="G856" s="1053" t="str">
        <f>RevPAR!E$5</f>
        <v>4Q00</v>
      </c>
      <c r="H856" s="1054">
        <f>RevPAR!F$5</f>
        <v>2000</v>
      </c>
      <c r="I856" s="1053" t="str">
        <f>RevPAR!G$5</f>
        <v>1Q01</v>
      </c>
      <c r="J856" s="1053" t="str">
        <f>RevPAR!H$5</f>
        <v>2Q01</v>
      </c>
      <c r="K856" s="1053" t="str">
        <f>RevPAR!I$5</f>
        <v>3Q01</v>
      </c>
      <c r="L856" s="1053" t="str">
        <f>RevPAR!J$5</f>
        <v>4Q01</v>
      </c>
      <c r="M856" s="1054">
        <f>RevPAR!K$5</f>
        <v>2001</v>
      </c>
      <c r="N856" s="1053" t="str">
        <f>RevPAR!L$5</f>
        <v>1Q02</v>
      </c>
      <c r="O856" s="1053" t="str">
        <f>RevPAR!M$5</f>
        <v>2Q02</v>
      </c>
      <c r="P856" s="1053" t="str">
        <f>RevPAR!N$5</f>
        <v>3Q02</v>
      </c>
      <c r="Q856" s="1053" t="str">
        <f>RevPAR!O$5</f>
        <v>4Q02</v>
      </c>
      <c r="R856" s="1054">
        <f>RevPAR!P$5</f>
        <v>2002</v>
      </c>
      <c r="S856" s="1053" t="str">
        <f>RevPAR!Q$5</f>
        <v>1Q03</v>
      </c>
      <c r="T856" s="1053" t="str">
        <f>RevPAR!R$5</f>
        <v>2Q03</v>
      </c>
      <c r="U856" s="1053" t="str">
        <f>RevPAR!S$5</f>
        <v>3Q03</v>
      </c>
      <c r="V856" s="1053" t="str">
        <f>RevPAR!T$5</f>
        <v>4Q03</v>
      </c>
      <c r="W856" s="1054">
        <f>RevPAR!U$5</f>
        <v>2003</v>
      </c>
      <c r="X856" s="1053" t="str">
        <f>RevPAR!V$5</f>
        <v>1Q04</v>
      </c>
      <c r="Y856" s="1053" t="str">
        <f>RevPAR!W$5</f>
        <v>2Q04</v>
      </c>
      <c r="Z856" s="1053" t="str">
        <f>RevPAR!X$5</f>
        <v>3Q04</v>
      </c>
      <c r="AA856" s="1053" t="str">
        <f>RevPAR!Y$5</f>
        <v>4Q04</v>
      </c>
      <c r="AB856" s="1054" t="str">
        <f>RevPAR!Z$5</f>
        <v>2004</v>
      </c>
      <c r="AC856" s="1053" t="str">
        <f>RevPAR!AA$5</f>
        <v>1Q05</v>
      </c>
      <c r="AD856" s="1053" t="str">
        <f>RevPAR!AB$5</f>
        <v>2Q05</v>
      </c>
      <c r="AE856" s="1053" t="str">
        <f>RevPAR!AC$5</f>
        <v>3Q05</v>
      </c>
      <c r="AF856" s="1053" t="str">
        <f>RevPAR!AD$5</f>
        <v>4Q05</v>
      </c>
      <c r="AG856" s="1054">
        <f>RevPAR!AE$5</f>
        <v>2005</v>
      </c>
      <c r="AH856" s="1053" t="str">
        <f>RevPAR!AF$5</f>
        <v>1Q06</v>
      </c>
      <c r="AI856" s="1053" t="str">
        <f>RevPAR!AG$5</f>
        <v>2Q06</v>
      </c>
      <c r="AJ856" s="1053" t="str">
        <f>RevPAR!AH$5</f>
        <v>3Q06</v>
      </c>
      <c r="AK856" s="1053" t="str">
        <f>RevPAR!AI$5</f>
        <v>4Q06</v>
      </c>
      <c r="AL856" s="1054">
        <f>RevPAR!AJ$5</f>
        <v>2006</v>
      </c>
      <c r="AM856" s="1053" t="str">
        <f>RevPAR!AK$5</f>
        <v>1Q07</v>
      </c>
      <c r="AN856" s="1053" t="str">
        <f>RevPAR!AL$5</f>
        <v>2Q07</v>
      </c>
      <c r="AO856" s="1053" t="str">
        <f>RevPAR!AM$5</f>
        <v>3Q07</v>
      </c>
      <c r="AP856" s="1053" t="str">
        <f>RevPAR!AN$5</f>
        <v>4Q07</v>
      </c>
      <c r="AQ856" s="1054" t="str">
        <f>RevPAR!AO$5</f>
        <v>2007</v>
      </c>
      <c r="AR856" s="1053" t="str">
        <f>RevPAR!AP$5</f>
        <v>1Q08</v>
      </c>
      <c r="AS856" s="1053" t="str">
        <f>RevPAR!AQ$5</f>
        <v>2Q08</v>
      </c>
      <c r="AT856" s="1053" t="str">
        <f>RevPAR!AR$5</f>
        <v>3Q08</v>
      </c>
      <c r="AU856" s="1053" t="str">
        <f>RevPAR!AS$5</f>
        <v>4Q08</v>
      </c>
      <c r="AV856" s="1054" t="str">
        <f>RevPAR!AT$5</f>
        <v>2008</v>
      </c>
      <c r="AW856" s="1053" t="str">
        <f>RevPAR!AU$5</f>
        <v>1Q09</v>
      </c>
      <c r="AX856" s="1053" t="str">
        <f>RevPAR!AV$5</f>
        <v>2Q09</v>
      </c>
      <c r="AY856" s="1053" t="str">
        <f>RevPAR!AW$5</f>
        <v>3Q09</v>
      </c>
      <c r="AZ856" s="1053" t="str">
        <f>RevPAR!AX$5</f>
        <v>4Q09</v>
      </c>
      <c r="BA856" s="1054" t="str">
        <f>RevPAR!AY$5</f>
        <v>2009</v>
      </c>
      <c r="BB856" s="1053" t="str">
        <f>RevPAR!AZ$5</f>
        <v>1Q10</v>
      </c>
      <c r="BC856" s="1053" t="str">
        <f>RevPAR!BA$5</f>
        <v>2Q10</v>
      </c>
      <c r="BD856" s="1053" t="str">
        <f>RevPAR!BB$5</f>
        <v>3Q10</v>
      </c>
      <c r="BE856" s="1053" t="str">
        <f>RevPAR!BC$5</f>
        <v>4Q10</v>
      </c>
      <c r="BF856" s="1054" t="str">
        <f>RevPAR!BD$5</f>
        <v>2010</v>
      </c>
      <c r="BG856" s="1053" t="str">
        <f>RevPAR!BE$5</f>
        <v>1Q11</v>
      </c>
      <c r="BH856" s="1053" t="str">
        <f>RevPAR!BF$5</f>
        <v>2Q11</v>
      </c>
      <c r="BI856" s="1053" t="str">
        <f>RevPAR!BG$5</f>
        <v>3Q11</v>
      </c>
      <c r="BJ856" s="1053" t="str">
        <f>RevPAR!BH$5</f>
        <v>4Q11</v>
      </c>
      <c r="BK856" s="1054">
        <f>RevPAR!BI$5</f>
        <v>2011</v>
      </c>
      <c r="BL856" s="1053" t="str">
        <f>RevPAR!BJ$5</f>
        <v>1Q12</v>
      </c>
      <c r="BM856" s="1053" t="str">
        <f>RevPAR!BK$5</f>
        <v>2Q12</v>
      </c>
      <c r="BN856" s="1053" t="str">
        <f>RevPAR!BL$5</f>
        <v>3Q12</v>
      </c>
      <c r="BO856" s="1053" t="str">
        <f>RevPAR!BM$5</f>
        <v>4Q12</v>
      </c>
      <c r="BP856" s="1054">
        <f>RevPAR!BN$5</f>
        <v>2012</v>
      </c>
      <c r="BQ856" s="1053" t="str">
        <f>RevPAR!BO$5</f>
        <v>1Q13</v>
      </c>
      <c r="BR856" s="1053" t="str">
        <f>RevPAR!BP$5</f>
        <v>2Q13</v>
      </c>
      <c r="BS856" s="1053" t="str">
        <f>RevPAR!BQ$5</f>
        <v>3Q13</v>
      </c>
      <c r="BT856" s="1053" t="str">
        <f>RevPAR!BR$5</f>
        <v>4Q13</v>
      </c>
      <c r="BU856" s="1054">
        <f>RevPAR!BS$5</f>
        <v>2013</v>
      </c>
      <c r="BV856" s="1053" t="str">
        <f>RevPAR!BT$5</f>
        <v>1Q14</v>
      </c>
      <c r="BW856" s="1053" t="str">
        <f>RevPAR!BU$5</f>
        <v>2Q14</v>
      </c>
      <c r="BX856" s="1053" t="str">
        <f>RevPAR!BV$5</f>
        <v>3Q14</v>
      </c>
      <c r="BY856" s="1053" t="str">
        <f>RevPAR!BW$5</f>
        <v>4Q14</v>
      </c>
      <c r="BZ856" s="1054">
        <f>RevPAR!BX$5</f>
        <v>2014</v>
      </c>
      <c r="CA856" s="1053" t="str">
        <f>RevPAR!BY$5</f>
        <v>1Q15</v>
      </c>
      <c r="CB856" s="1053" t="str">
        <f>RevPAR!BZ$5</f>
        <v>2Q15</v>
      </c>
      <c r="CC856" s="1053" t="str">
        <f>RevPAR!CA$5</f>
        <v>3Q15</v>
      </c>
      <c r="CD856" s="1053" t="str">
        <f>RevPAR!CB$5</f>
        <v>4Q15</v>
      </c>
      <c r="CE856" s="1054">
        <f>RevPAR!CC$5</f>
        <v>2015</v>
      </c>
      <c r="CF856" s="1053" t="str">
        <f>RevPAR!CD$5</f>
        <v>1Q16</v>
      </c>
      <c r="CG856" s="1053" t="str">
        <f>RevPAR!CE$5</f>
        <v>2Q16</v>
      </c>
      <c r="CH856" s="1053" t="str">
        <f>RevPAR!CF$5</f>
        <v>3Q16</v>
      </c>
      <c r="CI856" s="1053" t="str">
        <f>RevPAR!CG$5</f>
        <v>4Q16</v>
      </c>
      <c r="CJ856" s="1054">
        <f>RevPAR!CH$5</f>
        <v>2016</v>
      </c>
      <c r="CK856" s="1053" t="s">
        <v>2974</v>
      </c>
      <c r="CL856" s="1053" t="str">
        <f>RevPAR!CJ$5</f>
        <v>2Q17</v>
      </c>
      <c r="CM856" s="1053" t="str">
        <f>RevPAR!CK$5</f>
        <v>3Q17</v>
      </c>
      <c r="CN856" s="1053" t="str">
        <f>RevPAR!CL$5</f>
        <v>4Q17A</v>
      </c>
      <c r="CO856" s="1054" t="str">
        <f>RevPAR!CM$5</f>
        <v>2017A</v>
      </c>
      <c r="CP856" s="1053" t="str">
        <f>RevPAR!CN$5</f>
        <v>1Q18E</v>
      </c>
      <c r="CQ856" s="1053" t="str">
        <f>RevPAR!CO$5</f>
        <v>2Q18E</v>
      </c>
      <c r="CR856" s="1053" t="str">
        <f>RevPAR!CP$5</f>
        <v>3Q18E</v>
      </c>
      <c r="CS856" s="1053" t="str">
        <f>RevPAR!CQ$5</f>
        <v>4Q18E</v>
      </c>
      <c r="CT856" s="1054" t="str">
        <f>RevPAR!CR$5</f>
        <v>2018E</v>
      </c>
      <c r="CU856" s="1453" t="str">
        <f>RevPAR!CS$5</f>
        <v>2019E</v>
      </c>
      <c r="CV856" s="1453" t="str">
        <f>RevPAR!CT$5</f>
        <v>2020E</v>
      </c>
      <c r="CW856" s="374"/>
      <c r="CX856" s="374"/>
      <c r="CY856" s="374"/>
      <c r="CZ856" s="374"/>
      <c r="DA856" s="374"/>
      <c r="DB856" s="217"/>
      <c r="DE856" s="70"/>
      <c r="DF856" s="70"/>
      <c r="DG856" s="70"/>
      <c r="DH856" s="70"/>
      <c r="DI856" s="70"/>
      <c r="DJ856" s="70"/>
      <c r="DK856" s="70"/>
      <c r="DL856" s="70"/>
      <c r="DM856" s="70"/>
      <c r="DN856" s="70"/>
      <c r="DO856" s="70"/>
      <c r="DP856" s="70"/>
      <c r="DQ856" s="70"/>
      <c r="DR856" s="70"/>
      <c r="DS856" s="70"/>
      <c r="DT856" s="70"/>
      <c r="DU856" s="70"/>
      <c r="DV856" s="70"/>
      <c r="DW856" s="70"/>
      <c r="DX856" s="70"/>
      <c r="DY856" s="70"/>
      <c r="DZ856" s="70"/>
      <c r="EA856" s="70"/>
      <c r="EB856" s="70"/>
      <c r="EC856" s="70"/>
      <c r="ED856" s="70"/>
      <c r="EE856" s="70"/>
      <c r="EF856" s="70"/>
      <c r="EG856" s="70"/>
      <c r="EH856" s="70"/>
      <c r="EI856" s="70"/>
      <c r="EJ856" s="70"/>
      <c r="EK856" s="70"/>
      <c r="EL856" s="70"/>
      <c r="EM856" s="70"/>
      <c r="EN856" s="70"/>
      <c r="EO856" s="70"/>
      <c r="EP856" s="70"/>
      <c r="EQ856" s="70"/>
      <c r="ER856" s="70"/>
      <c r="ES856" s="70"/>
      <c r="ET856" s="70"/>
      <c r="EU856" s="70"/>
      <c r="EV856" s="70"/>
      <c r="EW856" s="70"/>
      <c r="EX856" s="70"/>
      <c r="EY856" s="70"/>
      <c r="EZ856" s="70"/>
      <c r="FA856" s="70"/>
      <c r="FB856" s="70"/>
      <c r="FC856" s="70"/>
      <c r="FD856" s="70"/>
      <c r="FE856" s="70"/>
      <c r="FF856" s="70"/>
      <c r="FG856" s="70"/>
      <c r="FH856" s="70"/>
      <c r="FI856" s="70"/>
      <c r="FJ856" s="70"/>
      <c r="FK856" s="70"/>
      <c r="FL856" s="70"/>
      <c r="FM856" s="70"/>
      <c r="FN856" s="70"/>
      <c r="FO856" s="70"/>
      <c r="FP856" s="70"/>
      <c r="FQ856" s="70"/>
      <c r="FR856" s="70"/>
      <c r="FS856" s="70"/>
      <c r="FT856" s="70"/>
      <c r="FU856" s="70"/>
      <c r="FV856" s="70"/>
      <c r="FW856" s="70"/>
      <c r="FX856" s="70"/>
      <c r="FY856" s="70"/>
      <c r="FZ856" s="70"/>
      <c r="GA856" s="70"/>
      <c r="GB856" s="70"/>
      <c r="GC856" s="70"/>
      <c r="GD856" s="70"/>
      <c r="GE856" s="70"/>
      <c r="GF856" s="70"/>
      <c r="GG856" s="70"/>
      <c r="GH856" s="70"/>
      <c r="GI856" s="70"/>
      <c r="GJ856" s="70"/>
      <c r="GK856" s="70"/>
      <c r="GL856" s="70"/>
      <c r="GM856" s="70"/>
      <c r="GN856" s="70"/>
      <c r="GO856" s="70"/>
      <c r="GP856" s="70"/>
      <c r="GQ856" s="70"/>
      <c r="GR856" s="70"/>
      <c r="GS856" s="70"/>
      <c r="GT856" s="70"/>
      <c r="GU856" s="70"/>
      <c r="GV856" s="70"/>
      <c r="GW856" s="70"/>
      <c r="GX856" s="70"/>
      <c r="GY856" s="70"/>
      <c r="GZ856" s="70"/>
      <c r="HA856" s="70"/>
      <c r="HB856" s="70"/>
      <c r="HC856" s="70"/>
      <c r="HD856" s="70"/>
      <c r="HE856" s="70"/>
      <c r="HF856" s="70"/>
      <c r="HG856" s="70"/>
      <c r="HH856" s="70"/>
      <c r="HI856" s="70"/>
      <c r="HJ856" s="70"/>
      <c r="HK856" s="70"/>
      <c r="HL856" s="70"/>
      <c r="HM856" s="70"/>
      <c r="HN856" s="70"/>
      <c r="HO856" s="70"/>
      <c r="HP856" s="70"/>
      <c r="HQ856" s="70"/>
      <c r="HR856" s="70"/>
      <c r="HS856" s="70"/>
      <c r="HT856" s="70"/>
      <c r="HU856" s="70"/>
      <c r="HV856" s="70"/>
      <c r="HW856" s="70"/>
      <c r="HX856" s="70"/>
      <c r="HY856" s="70"/>
      <c r="HZ856" s="70"/>
      <c r="IA856" s="70"/>
      <c r="IB856" s="70"/>
      <c r="IC856" s="70"/>
      <c r="ID856" s="70"/>
      <c r="IE856" s="70"/>
      <c r="IF856" s="70"/>
      <c r="IG856" s="70"/>
      <c r="IH856" s="70"/>
      <c r="II856" s="70"/>
      <c r="IJ856" s="70"/>
      <c r="IK856" s="70"/>
      <c r="IL856" s="70"/>
      <c r="IM856" s="70"/>
      <c r="IN856" s="70"/>
      <c r="IO856" s="70"/>
      <c r="IP856" s="70"/>
      <c r="IQ856" s="70"/>
      <c r="IR856" s="70"/>
      <c r="IS856" s="70"/>
      <c r="IT856" s="70"/>
      <c r="IU856" s="70"/>
      <c r="IV856" s="70"/>
    </row>
    <row r="857" spans="1:256" s="212" customFormat="1" x14ac:dyDescent="0.2">
      <c r="A857" s="1754"/>
      <c r="H857" s="194"/>
      <c r="M857" s="194"/>
      <c r="R857" s="194"/>
      <c r="W857" s="194"/>
      <c r="AB857" s="194"/>
      <c r="AG857" s="194"/>
      <c r="AL857" s="194"/>
      <c r="AQ857" s="194"/>
      <c r="AV857" s="194"/>
      <c r="BA857" s="194"/>
      <c r="BF857" s="194"/>
      <c r="BK857" s="194"/>
      <c r="BP857" s="194"/>
      <c r="BU857" s="194"/>
      <c r="BZ857" s="194"/>
      <c r="CE857" s="194"/>
      <c r="CJ857" s="194"/>
      <c r="CK857" s="2907"/>
      <c r="CO857" s="197"/>
      <c r="CP857" s="2907"/>
      <c r="CT857" s="197"/>
      <c r="CU857" s="197"/>
      <c r="CV857" s="197"/>
      <c r="CW857" s="374"/>
      <c r="CX857" s="374"/>
      <c r="CY857" s="374"/>
      <c r="CZ857" s="374"/>
      <c r="DA857" s="374"/>
      <c r="DB857" s="217"/>
      <c r="DE857" s="70"/>
      <c r="DF857" s="70"/>
      <c r="DG857" s="70"/>
      <c r="DH857" s="70"/>
      <c r="DI857" s="70"/>
      <c r="DJ857" s="70"/>
      <c r="DK857" s="70"/>
      <c r="DL857" s="70"/>
      <c r="DM857" s="70"/>
      <c r="DN857" s="70"/>
      <c r="DO857" s="70"/>
      <c r="DP857" s="70"/>
      <c r="DQ857" s="70"/>
      <c r="DR857" s="70"/>
      <c r="DS857" s="70"/>
      <c r="DT857" s="70"/>
      <c r="DU857" s="70"/>
      <c r="DV857" s="70"/>
      <c r="DW857" s="70"/>
      <c r="DX857" s="70"/>
      <c r="DY857" s="70"/>
      <c r="DZ857" s="70"/>
      <c r="EA857" s="70"/>
      <c r="EB857" s="70"/>
      <c r="EC857" s="70"/>
      <c r="ED857" s="70"/>
      <c r="EE857" s="70"/>
      <c r="EF857" s="70"/>
      <c r="EG857" s="70"/>
      <c r="EH857" s="70"/>
      <c r="EI857" s="70"/>
      <c r="EJ857" s="70"/>
      <c r="EK857" s="70"/>
      <c r="EL857" s="70"/>
      <c r="EM857" s="70"/>
      <c r="EN857" s="70"/>
      <c r="EO857" s="70"/>
      <c r="EP857" s="70"/>
      <c r="EQ857" s="70"/>
      <c r="ER857" s="70"/>
      <c r="ES857" s="70"/>
      <c r="ET857" s="70"/>
      <c r="EU857" s="70"/>
      <c r="EV857" s="70"/>
      <c r="EW857" s="70"/>
      <c r="EX857" s="70"/>
      <c r="EY857" s="70"/>
      <c r="EZ857" s="70"/>
      <c r="FA857" s="70"/>
      <c r="FB857" s="70"/>
      <c r="FC857" s="70"/>
      <c r="FD857" s="70"/>
      <c r="FE857" s="70"/>
      <c r="FF857" s="70"/>
      <c r="FG857" s="70"/>
      <c r="FH857" s="70"/>
      <c r="FI857" s="70"/>
      <c r="FJ857" s="70"/>
      <c r="FK857" s="70"/>
      <c r="FL857" s="70"/>
      <c r="FM857" s="70"/>
      <c r="FN857" s="70"/>
      <c r="FO857" s="70"/>
      <c r="FP857" s="70"/>
      <c r="FQ857" s="70"/>
      <c r="FR857" s="70"/>
      <c r="FS857" s="70"/>
      <c r="FT857" s="70"/>
      <c r="FU857" s="70"/>
      <c r="FV857" s="70"/>
      <c r="FW857" s="70"/>
      <c r="FX857" s="70"/>
      <c r="FY857" s="70"/>
      <c r="FZ857" s="70"/>
      <c r="GA857" s="70"/>
      <c r="GB857" s="70"/>
      <c r="GC857" s="70"/>
      <c r="GD857" s="70"/>
      <c r="GE857" s="70"/>
      <c r="GF857" s="70"/>
      <c r="GG857" s="70"/>
      <c r="GH857" s="70"/>
      <c r="GI857" s="70"/>
      <c r="GJ857" s="70"/>
      <c r="GK857" s="70"/>
      <c r="GL857" s="70"/>
      <c r="GM857" s="70"/>
      <c r="GN857" s="70"/>
      <c r="GO857" s="70"/>
      <c r="GP857" s="70"/>
      <c r="GQ857" s="70"/>
      <c r="GR857" s="70"/>
      <c r="GS857" s="70"/>
      <c r="GT857" s="70"/>
      <c r="GU857" s="70"/>
      <c r="GV857" s="70"/>
      <c r="GW857" s="70"/>
      <c r="GX857" s="70"/>
      <c r="GY857" s="70"/>
      <c r="GZ857" s="70"/>
      <c r="HA857" s="70"/>
      <c r="HB857" s="70"/>
      <c r="HC857" s="70"/>
      <c r="HD857" s="70"/>
      <c r="HE857" s="70"/>
      <c r="HF857" s="70"/>
      <c r="HG857" s="70"/>
      <c r="HH857" s="70"/>
      <c r="HI857" s="70"/>
      <c r="HJ857" s="70"/>
      <c r="HK857" s="70"/>
      <c r="HL857" s="70"/>
      <c r="HM857" s="70"/>
      <c r="HN857" s="70"/>
      <c r="HO857" s="70"/>
      <c r="HP857" s="70"/>
      <c r="HQ857" s="70"/>
      <c r="HR857" s="70"/>
      <c r="HS857" s="70"/>
      <c r="HT857" s="70"/>
      <c r="HU857" s="70"/>
      <c r="HV857" s="70"/>
      <c r="HW857" s="70"/>
      <c r="HX857" s="70"/>
      <c r="HY857" s="70"/>
      <c r="HZ857" s="70"/>
      <c r="IA857" s="70"/>
      <c r="IB857" s="70"/>
      <c r="IC857" s="70"/>
      <c r="ID857" s="70"/>
      <c r="IE857" s="70"/>
      <c r="IF857" s="70"/>
      <c r="IG857" s="70"/>
      <c r="IH857" s="70"/>
      <c r="II857" s="70"/>
      <c r="IJ857" s="70"/>
      <c r="IK857" s="70"/>
      <c r="IL857" s="70"/>
      <c r="IM857" s="70"/>
      <c r="IN857" s="70"/>
      <c r="IO857" s="70"/>
      <c r="IP857" s="70"/>
      <c r="IQ857" s="70"/>
      <c r="IR857" s="70"/>
      <c r="IS857" s="70"/>
      <c r="IT857" s="70"/>
      <c r="IU857" s="70"/>
      <c r="IV857" s="70"/>
    </row>
    <row r="858" spans="1:256" x14ac:dyDescent="0.2">
      <c r="A858" s="1631" t="s">
        <v>651</v>
      </c>
      <c r="B858" s="212"/>
      <c r="C858" s="212"/>
      <c r="D858" s="212"/>
      <c r="E858" s="212"/>
      <c r="F858" s="212"/>
      <c r="G858" s="212"/>
      <c r="H858" s="194"/>
      <c r="I858" s="212"/>
      <c r="J858" s="212"/>
      <c r="K858" s="212"/>
      <c r="L858" s="212"/>
      <c r="M858" s="194"/>
      <c r="N858" s="212"/>
      <c r="O858" s="212"/>
      <c r="P858" s="212"/>
      <c r="Q858" s="212"/>
      <c r="R858" s="194"/>
      <c r="S858" s="212"/>
      <c r="T858" s="212"/>
      <c r="U858" s="212"/>
      <c r="V858" s="212"/>
      <c r="W858" s="194"/>
      <c r="X858" s="212"/>
      <c r="Y858" s="212"/>
      <c r="Z858" s="212"/>
      <c r="AA858" s="212"/>
      <c r="AB858" s="194"/>
      <c r="AC858" s="212"/>
      <c r="AD858" s="212"/>
      <c r="AE858" s="212"/>
      <c r="AF858" s="212"/>
      <c r="AG858" s="194"/>
      <c r="AH858" s="212"/>
      <c r="AI858" s="212"/>
      <c r="AJ858" s="212"/>
      <c r="AK858" s="212"/>
      <c r="AL858" s="194"/>
      <c r="AM858" s="212"/>
      <c r="AN858" s="212"/>
      <c r="AO858" s="212"/>
      <c r="AP858" s="212"/>
      <c r="AQ858" s="194"/>
      <c r="AR858" s="212"/>
      <c r="AS858" s="212"/>
      <c r="AT858" s="212"/>
      <c r="AU858" s="212"/>
      <c r="AV858" s="194"/>
      <c r="AW858" s="212"/>
      <c r="AX858" s="212"/>
      <c r="AY858" s="212"/>
      <c r="AZ858" s="212"/>
      <c r="BA858" s="194"/>
      <c r="BB858" s="212"/>
      <c r="BC858" s="212"/>
      <c r="BD858" s="212"/>
      <c r="BE858" s="212"/>
      <c r="BF858" s="194"/>
      <c r="BG858" s="212"/>
      <c r="BH858" s="212"/>
      <c r="BI858" s="212"/>
      <c r="BJ858" s="212"/>
      <c r="BK858" s="194"/>
      <c r="BL858" s="212"/>
      <c r="BM858" s="212"/>
      <c r="BN858" s="212"/>
      <c r="BO858" s="212"/>
      <c r="BP858" s="194"/>
      <c r="BQ858" s="1876"/>
      <c r="BR858" s="212"/>
      <c r="BS858" s="212"/>
      <c r="BT858" s="212"/>
      <c r="BU858" s="194"/>
      <c r="BV858" s="212"/>
      <c r="BW858" s="212"/>
      <c r="BX858" s="212"/>
      <c r="BY858" s="212"/>
      <c r="BZ858" s="194"/>
      <c r="CA858" s="212"/>
      <c r="CB858" s="212"/>
      <c r="CC858" s="212"/>
      <c r="CD858" s="212"/>
      <c r="CE858" s="194"/>
      <c r="CF858" s="212"/>
      <c r="CG858" s="212"/>
      <c r="CH858" s="212"/>
      <c r="CI858" s="212"/>
      <c r="CJ858" s="194"/>
      <c r="CK858" s="2907"/>
      <c r="CL858" s="212"/>
      <c r="CM858" s="212"/>
      <c r="CN858" s="212"/>
      <c r="CO858" s="194"/>
      <c r="CP858" s="3509"/>
      <c r="CQ858" s="212"/>
      <c r="CR858" s="212"/>
      <c r="CS858" s="212"/>
      <c r="CT858" s="194"/>
      <c r="CU858" s="194"/>
      <c r="CV858" s="194"/>
      <c r="CW858" s="374"/>
      <c r="CX858" s="374"/>
      <c r="CY858" s="374"/>
      <c r="CZ858" s="374"/>
      <c r="DA858" s="374"/>
      <c r="DB858" s="217"/>
    </row>
    <row r="859" spans="1:256" x14ac:dyDescent="0.2">
      <c r="A859" s="1142" t="s">
        <v>1383</v>
      </c>
      <c r="B859" s="212"/>
      <c r="C859" s="212"/>
      <c r="D859" s="212"/>
      <c r="E859" s="212"/>
      <c r="F859" s="212"/>
      <c r="G859" s="212"/>
      <c r="H859" s="194"/>
      <c r="I859" s="2037">
        <f t="shared" ref="I859:AN859" si="1314">SUM(I461:I462)</f>
        <v>94167</v>
      </c>
      <c r="J859" s="2037">
        <f t="shared" si="1314"/>
        <v>94996</v>
      </c>
      <c r="K859" s="2037">
        <f t="shared" si="1314"/>
        <v>96386</v>
      </c>
      <c r="L859" s="2037">
        <f t="shared" si="1314"/>
        <v>95966</v>
      </c>
      <c r="M859" s="2038">
        <f t="shared" si="1314"/>
        <v>95966</v>
      </c>
      <c r="N859" s="2037">
        <f t="shared" si="1314"/>
        <v>96759</v>
      </c>
      <c r="O859" s="2037">
        <f t="shared" si="1314"/>
        <v>97468</v>
      </c>
      <c r="P859" s="2037">
        <f t="shared" si="1314"/>
        <v>97074</v>
      </c>
      <c r="Q859" s="2037">
        <f t="shared" si="1314"/>
        <v>98139</v>
      </c>
      <c r="R859" s="2038">
        <f t="shared" si="1314"/>
        <v>98139</v>
      </c>
      <c r="S859" s="2037">
        <f t="shared" si="1314"/>
        <v>99057</v>
      </c>
      <c r="T859" s="2037">
        <f t="shared" si="1314"/>
        <v>99436</v>
      </c>
      <c r="U859" s="2037">
        <f t="shared" si="1314"/>
        <v>100460</v>
      </c>
      <c r="V859" s="2037">
        <f t="shared" si="1314"/>
        <v>100398</v>
      </c>
      <c r="W859" s="2038">
        <f t="shared" si="1314"/>
        <v>100398</v>
      </c>
      <c r="X859" s="2037">
        <f t="shared" si="1314"/>
        <v>99443</v>
      </c>
      <c r="Y859" s="2037">
        <f t="shared" si="1314"/>
        <v>100697</v>
      </c>
      <c r="Z859" s="2037">
        <f t="shared" si="1314"/>
        <v>102152</v>
      </c>
      <c r="AA859" s="2037">
        <f t="shared" si="1314"/>
        <v>102650</v>
      </c>
      <c r="AB859" s="2038">
        <f t="shared" si="1314"/>
        <v>102650</v>
      </c>
      <c r="AC859" s="2037">
        <f t="shared" si="1314"/>
        <v>100768</v>
      </c>
      <c r="AD859" s="2037">
        <f t="shared" si="1314"/>
        <v>100487</v>
      </c>
      <c r="AE859" s="2037">
        <f t="shared" si="1314"/>
        <v>96667</v>
      </c>
      <c r="AF859" s="2037">
        <f t="shared" si="1314"/>
        <v>96628</v>
      </c>
      <c r="AG859" s="2038">
        <f t="shared" si="1314"/>
        <v>96628</v>
      </c>
      <c r="AH859" s="2037">
        <f t="shared" si="1314"/>
        <v>96429</v>
      </c>
      <c r="AI859" s="2037">
        <f t="shared" si="1314"/>
        <v>96410</v>
      </c>
      <c r="AJ859" s="2037">
        <f t="shared" si="1314"/>
        <v>97114</v>
      </c>
      <c r="AK859" s="2037">
        <f t="shared" si="1314"/>
        <v>97128</v>
      </c>
      <c r="AL859" s="2038">
        <f t="shared" si="1314"/>
        <v>97128</v>
      </c>
      <c r="AM859" s="2037">
        <f t="shared" si="1314"/>
        <v>96369</v>
      </c>
      <c r="AN859" s="2037">
        <f t="shared" si="1314"/>
        <v>97127</v>
      </c>
      <c r="AO859" s="2037">
        <f t="shared" ref="AO859:BN859" si="1315">SUM(AO461:AO462)</f>
        <v>96505</v>
      </c>
      <c r="AP859" s="2037">
        <f t="shared" si="1315"/>
        <v>97677</v>
      </c>
      <c r="AQ859" s="2038">
        <f t="shared" si="1315"/>
        <v>97677</v>
      </c>
      <c r="AR859" s="2037">
        <f t="shared" si="1315"/>
        <v>98004</v>
      </c>
      <c r="AS859" s="2037">
        <f t="shared" si="1315"/>
        <v>97664</v>
      </c>
      <c r="AT859" s="2037">
        <f t="shared" si="1315"/>
        <v>97472</v>
      </c>
      <c r="AU859" s="2037">
        <f t="shared" si="1315"/>
        <v>97310</v>
      </c>
      <c r="AV859" s="2038">
        <f t="shared" si="1315"/>
        <v>97310</v>
      </c>
      <c r="AW859" s="2037">
        <f t="shared" si="1315"/>
        <v>97691</v>
      </c>
      <c r="AX859" s="2037">
        <f t="shared" si="1315"/>
        <v>97397</v>
      </c>
      <c r="AY859" s="2037">
        <f t="shared" si="1315"/>
        <v>96304</v>
      </c>
      <c r="AZ859" s="2037">
        <f t="shared" si="1315"/>
        <v>96304</v>
      </c>
      <c r="BA859" s="2038">
        <f t="shared" si="1315"/>
        <v>96304</v>
      </c>
      <c r="BB859" s="2037">
        <f t="shared" si="1315"/>
        <v>97839</v>
      </c>
      <c r="BC859" s="2037">
        <f t="shared" si="1315"/>
        <v>98308</v>
      </c>
      <c r="BD859" s="2037">
        <f t="shared" si="1315"/>
        <v>98421</v>
      </c>
      <c r="BE859" s="2037">
        <f t="shared" si="1315"/>
        <v>99436</v>
      </c>
      <c r="BF859" s="2038">
        <f t="shared" si="1315"/>
        <v>99436</v>
      </c>
      <c r="BG859" s="2037">
        <f t="shared" si="1315"/>
        <v>99793</v>
      </c>
      <c r="BH859" s="2037">
        <f t="shared" si="1315"/>
        <v>100123</v>
      </c>
      <c r="BI859" s="2037">
        <f t="shared" si="1315"/>
        <v>99465</v>
      </c>
      <c r="BJ859" s="2037">
        <f t="shared" si="1315"/>
        <v>99344</v>
      </c>
      <c r="BK859" s="2038">
        <f t="shared" si="1315"/>
        <v>99344</v>
      </c>
      <c r="BL859" s="2037">
        <f t="shared" si="1315"/>
        <v>98786</v>
      </c>
      <c r="BM859" s="2037">
        <f t="shared" si="1315"/>
        <v>98093</v>
      </c>
      <c r="BN859" s="2037">
        <f t="shared" si="1315"/>
        <v>96609</v>
      </c>
      <c r="BO859" s="2037">
        <f>SUM(BO461:BO462)+BO463+BO474</f>
        <v>105216</v>
      </c>
      <c r="BP859" s="1243">
        <f>+BO859</f>
        <v>105216</v>
      </c>
      <c r="BQ859" s="2037">
        <f>SUM(BQ461:BQ462)+BQ463+BQ474</f>
        <v>104769</v>
      </c>
      <c r="BR859" s="2037">
        <f>SUM(BR461:BR462)+BR463+BR474</f>
        <v>104397</v>
      </c>
      <c r="BS859" s="2037">
        <f>SUM(BS461:BS462)+BS463+BS474</f>
        <v>102791</v>
      </c>
      <c r="BT859" s="2037">
        <f>SUM(BT461:BT462)+BT463+BT474</f>
        <v>101133</v>
      </c>
      <c r="BU859" s="1243">
        <f>+BT859</f>
        <v>101133</v>
      </c>
      <c r="BV859" s="2037">
        <f>SUM(BV461:BV462)+BV463+BV474</f>
        <v>101133</v>
      </c>
      <c r="BW859" s="2037">
        <f>SUM(BW461:BW462)+BW463+BW474</f>
        <v>101987</v>
      </c>
      <c r="BX859" s="2037">
        <f>SUM(BX461:BX462)+BX463+BX474</f>
        <v>101884</v>
      </c>
      <c r="BY859" s="2037">
        <f>SUM(BY461:BY462)+BY463+BY474</f>
        <v>101538</v>
      </c>
      <c r="BZ859" s="1243">
        <f>+BY859</f>
        <v>101538</v>
      </c>
      <c r="CA859" s="2037">
        <f>SUM(CA461:CA462)+CA463+CA474</f>
        <v>102945</v>
      </c>
      <c r="CB859" s="2037">
        <f>SUM(CB461:CB462)+CB463+CB474+CB477</f>
        <v>109721</v>
      </c>
      <c r="CC859" s="2037">
        <f>SUM(CC461:CC462)+CC463+CC474+CC477</f>
        <v>108275</v>
      </c>
      <c r="CD859" s="2037">
        <f>SUM(CD461:CD462)+CD463+CD474+CD477</f>
        <v>108367</v>
      </c>
      <c r="CE859" s="1243">
        <f>+CD859</f>
        <v>108367</v>
      </c>
      <c r="CF859" s="2037">
        <f>SUM(CF461:CF462)+CF463+CF474+CF477</f>
        <v>107319</v>
      </c>
      <c r="CG859" s="2037">
        <f>SUM(CG461:CG462)+CG463+CG474+CG477</f>
        <v>104660</v>
      </c>
      <c r="CH859" s="2037">
        <f>SUM(CH461:CH462)+CH463+CH474+CH477+CH460</f>
        <v>104674</v>
      </c>
      <c r="CI859" s="2037">
        <f t="shared" ref="CI859:CV859" si="1316">SUM(CI461:CI462)+CI463+CI474+CI477+CI480+CI481+CI486+CI460</f>
        <v>155234</v>
      </c>
      <c r="CJ859" s="2038">
        <f t="shared" si="1316"/>
        <v>155234</v>
      </c>
      <c r="CK859" s="3525">
        <f t="shared" si="1316"/>
        <v>155254</v>
      </c>
      <c r="CL859" s="3525">
        <f>SUM(CL461:CL462)+CL463+CL474+CL477+CL480+CL481+CL486+CL460</f>
        <v>155453</v>
      </c>
      <c r="CM859" s="2037">
        <f t="shared" si="1316"/>
        <v>156335</v>
      </c>
      <c r="CN859" s="2037">
        <f t="shared" si="1316"/>
        <v>157354</v>
      </c>
      <c r="CO859" s="2038">
        <f t="shared" si="1316"/>
        <v>157354</v>
      </c>
      <c r="CP859" s="2037">
        <f t="shared" si="1316"/>
        <v>158359.07999999999</v>
      </c>
      <c r="CQ859" s="2037">
        <f t="shared" si="1316"/>
        <v>158562.06</v>
      </c>
      <c r="CR859" s="2037">
        <f t="shared" si="1316"/>
        <v>159461.70000000001</v>
      </c>
      <c r="CS859" s="2037">
        <f t="shared" si="1316"/>
        <v>160501.07999999999</v>
      </c>
      <c r="CT859" s="2038">
        <f>SUM(CT461:CT462)+CT463+CT474+CT477+CT480+CT481+CT486+CT460</f>
        <v>160501.07999999999</v>
      </c>
      <c r="CU859" s="2038">
        <f t="shared" si="1316"/>
        <v>163711.10160000002</v>
      </c>
      <c r="CV859" s="2038">
        <f t="shared" si="1316"/>
        <v>163711.10160000002</v>
      </c>
      <c r="CW859" s="374"/>
      <c r="CX859" s="374"/>
      <c r="CY859" s="374"/>
      <c r="CZ859" s="374"/>
      <c r="DA859" s="374"/>
      <c r="DB859" s="217"/>
    </row>
    <row r="860" spans="1:256" x14ac:dyDescent="0.2">
      <c r="A860" s="2389" t="s">
        <v>652</v>
      </c>
      <c r="B860" s="1193"/>
      <c r="C860" s="1193"/>
      <c r="D860" s="1193"/>
      <c r="E860" s="1193"/>
      <c r="F860" s="1193"/>
      <c r="G860" s="1193"/>
      <c r="H860" s="1946"/>
      <c r="I860" s="243"/>
      <c r="J860" s="243"/>
      <c r="K860" s="243"/>
      <c r="L860" s="243"/>
      <c r="M860" s="2012"/>
      <c r="N860" s="885">
        <f t="shared" ref="N860:AS860" si="1317">+N859/I859-1</f>
        <v>2.7525566281181302E-2</v>
      </c>
      <c r="O860" s="885">
        <f t="shared" si="1317"/>
        <v>2.6022148300981041E-2</v>
      </c>
      <c r="P860" s="885">
        <f t="shared" si="1317"/>
        <v>7.1379660946611079E-3</v>
      </c>
      <c r="Q860" s="885">
        <f t="shared" si="1317"/>
        <v>2.2643436216993607E-2</v>
      </c>
      <c r="R860" s="1044">
        <f t="shared" si="1317"/>
        <v>2.2643436216993607E-2</v>
      </c>
      <c r="S860" s="885">
        <f t="shared" si="1317"/>
        <v>2.3749728707407103E-2</v>
      </c>
      <c r="T860" s="885">
        <f t="shared" si="1317"/>
        <v>2.0191242253867925E-2</v>
      </c>
      <c r="U860" s="885">
        <f t="shared" si="1317"/>
        <v>3.4880606547582182E-2</v>
      </c>
      <c r="V860" s="885">
        <f t="shared" si="1317"/>
        <v>2.3018371901079027E-2</v>
      </c>
      <c r="W860" s="1044">
        <f t="shared" si="1317"/>
        <v>2.3018371901079027E-2</v>
      </c>
      <c r="X860" s="885">
        <f t="shared" si="1317"/>
        <v>3.8967463177765893E-3</v>
      </c>
      <c r="Y860" s="885">
        <f t="shared" si="1317"/>
        <v>1.268152379419929E-2</v>
      </c>
      <c r="Z860" s="885">
        <f t="shared" si="1317"/>
        <v>1.6842524387816082E-2</v>
      </c>
      <c r="AA860" s="885">
        <f t="shared" si="1317"/>
        <v>2.2430725711667598E-2</v>
      </c>
      <c r="AB860" s="1044">
        <f t="shared" si="1317"/>
        <v>2.2430725711667598E-2</v>
      </c>
      <c r="AC860" s="885">
        <f t="shared" si="1317"/>
        <v>1.3324215882465351E-2</v>
      </c>
      <c r="AD860" s="885">
        <f t="shared" si="1317"/>
        <v>-2.0854643137332429E-3</v>
      </c>
      <c r="AE860" s="885">
        <f t="shared" si="1317"/>
        <v>-5.3694494478815913E-2</v>
      </c>
      <c r="AF860" s="885">
        <f t="shared" si="1317"/>
        <v>-5.8665367754505593E-2</v>
      </c>
      <c r="AG860" s="1044">
        <f t="shared" si="1317"/>
        <v>-5.8665367754505593E-2</v>
      </c>
      <c r="AH860" s="885">
        <f t="shared" si="1317"/>
        <v>-4.3059304541124166E-2</v>
      </c>
      <c r="AI860" s="885">
        <f t="shared" si="1317"/>
        <v>-4.0572412351846499E-2</v>
      </c>
      <c r="AJ860" s="885">
        <f t="shared" si="1317"/>
        <v>4.6241219857863225E-3</v>
      </c>
      <c r="AK860" s="885">
        <f t="shared" si="1317"/>
        <v>5.1744835865381589E-3</v>
      </c>
      <c r="AL860" s="1044">
        <f t="shared" si="1317"/>
        <v>5.1744835865381589E-3</v>
      </c>
      <c r="AM860" s="885">
        <f t="shared" si="1317"/>
        <v>-6.2221945680240864E-4</v>
      </c>
      <c r="AN860" s="885">
        <f t="shared" si="1317"/>
        <v>7.4369878643294474E-3</v>
      </c>
      <c r="AO860" s="885">
        <f t="shared" si="1317"/>
        <v>-6.2709804971476935E-3</v>
      </c>
      <c r="AP860" s="885">
        <f t="shared" si="1317"/>
        <v>5.6523350630095504E-3</v>
      </c>
      <c r="AQ860" s="1044">
        <f t="shared" si="1317"/>
        <v>5.6523350630095504E-3</v>
      </c>
      <c r="AR860" s="885">
        <f t="shared" si="1317"/>
        <v>1.696603679606512E-2</v>
      </c>
      <c r="AS860" s="885">
        <f t="shared" si="1317"/>
        <v>5.5288436788947237E-3</v>
      </c>
      <c r="AT860" s="885">
        <f t="shared" ref="AT860:BP860" si="1318">+AT859/AO859-1</f>
        <v>1.0020206206932336E-2</v>
      </c>
      <c r="AU860" s="885">
        <f t="shared" si="1318"/>
        <v>-3.7572816527944308E-3</v>
      </c>
      <c r="AV860" s="1044">
        <f t="shared" si="1318"/>
        <v>-3.7572816527944308E-3</v>
      </c>
      <c r="AW860" s="885">
        <f t="shared" si="1318"/>
        <v>-3.1937471939921247E-3</v>
      </c>
      <c r="AX860" s="885">
        <f t="shared" si="1318"/>
        <v>-2.7338630406290587E-3</v>
      </c>
      <c r="AY860" s="885">
        <f t="shared" si="1318"/>
        <v>-1.198292843072879E-2</v>
      </c>
      <c r="AZ860" s="885">
        <f t="shared" si="1318"/>
        <v>-1.0338094748741145E-2</v>
      </c>
      <c r="BA860" s="1044">
        <f t="shared" si="1318"/>
        <v>-1.0338094748741145E-2</v>
      </c>
      <c r="BB860" s="885">
        <f t="shared" si="1318"/>
        <v>1.5149809091932198E-3</v>
      </c>
      <c r="BC860" s="885">
        <f t="shared" si="1318"/>
        <v>9.3534708461247007E-3</v>
      </c>
      <c r="BD860" s="885">
        <f t="shared" si="1318"/>
        <v>2.198247217145699E-2</v>
      </c>
      <c r="BE860" s="885">
        <f t="shared" si="1318"/>
        <v>3.2522013623525581E-2</v>
      </c>
      <c r="BF860" s="1044">
        <f t="shared" si="1318"/>
        <v>3.2522013623525581E-2</v>
      </c>
      <c r="BG860" s="885">
        <f t="shared" si="1318"/>
        <v>1.997158597287374E-2</v>
      </c>
      <c r="BH860" s="885">
        <f t="shared" si="1318"/>
        <v>1.8462383529316062E-2</v>
      </c>
      <c r="BI860" s="885">
        <f t="shared" si="1318"/>
        <v>1.0607492303471799E-2</v>
      </c>
      <c r="BJ860" s="885">
        <f t="shared" si="1318"/>
        <v>-9.2521823082181154E-4</v>
      </c>
      <c r="BK860" s="1044">
        <f t="shared" si="1318"/>
        <v>-9.2521823082181154E-4</v>
      </c>
      <c r="BL860" s="885">
        <f t="shared" si="1318"/>
        <v>-1.0090888138446608E-2</v>
      </c>
      <c r="BM860" s="885">
        <f t="shared" si="1318"/>
        <v>-2.0275061674140837E-2</v>
      </c>
      <c r="BN860" s="885">
        <f t="shared" si="1318"/>
        <v>-2.8713617855527063E-2</v>
      </c>
      <c r="BO860" s="885">
        <f t="shared" si="1318"/>
        <v>5.9107746819133444E-2</v>
      </c>
      <c r="BP860" s="1044">
        <f t="shared" si="1318"/>
        <v>5.9107746819133444E-2</v>
      </c>
      <c r="BQ860" s="885">
        <f t="shared" ref="BQ860:CC860" si="1319">+BQ859/BL859-1</f>
        <v>6.0565262284129284E-2</v>
      </c>
      <c r="BR860" s="885">
        <f t="shared" si="1319"/>
        <v>6.4265543922604085E-2</v>
      </c>
      <c r="BS860" s="885">
        <f t="shared" si="1319"/>
        <v>6.3989897421565356E-2</v>
      </c>
      <c r="BT860" s="885">
        <f t="shared" si="1319"/>
        <v>-3.8805885036496401E-2</v>
      </c>
      <c r="BU860" s="1044">
        <f t="shared" si="1319"/>
        <v>-3.8805885036496401E-2</v>
      </c>
      <c r="BV860" s="885">
        <f t="shared" si="1319"/>
        <v>-3.4704922257537962E-2</v>
      </c>
      <c r="BW860" s="885">
        <f t="shared" si="1319"/>
        <v>-2.3084954548502346E-2</v>
      </c>
      <c r="BX860" s="885">
        <f t="shared" si="1319"/>
        <v>-8.8237297039623908E-3</v>
      </c>
      <c r="BY860" s="885">
        <f t="shared" si="1319"/>
        <v>4.0046275696359324E-3</v>
      </c>
      <c r="BZ860" s="1044">
        <f t="shared" si="1319"/>
        <v>4.0046275696359324E-3</v>
      </c>
      <c r="CA860" s="885">
        <f t="shared" si="1319"/>
        <v>1.7917000385630821E-2</v>
      </c>
      <c r="CB860" s="885">
        <f t="shared" si="1319"/>
        <v>7.5833194426740747E-2</v>
      </c>
      <c r="CC860" s="885">
        <f t="shared" si="1319"/>
        <v>6.2728200698833891E-2</v>
      </c>
      <c r="CD860" s="885">
        <f>+CD859/BY859-1</f>
        <v>6.7255608737615491E-2</v>
      </c>
      <c r="CE860" s="1044">
        <f>+CE859/BZ859-1</f>
        <v>6.7255608737615491E-2</v>
      </c>
      <c r="CF860" s="885">
        <f>+CF859/CA859-1</f>
        <v>4.2488707562290617E-2</v>
      </c>
      <c r="CG860" s="885">
        <f>+CG859/CB859-1</f>
        <v>-4.6126083429790077E-2</v>
      </c>
      <c r="CH860" s="885">
        <f>+CH859/CC859-1</f>
        <v>-3.3257908104363909E-2</v>
      </c>
      <c r="CI860" s="885">
        <f t="shared" ref="CI860:CO860" si="1320">+CI859/CD859-1</f>
        <v>0.43248405880018814</v>
      </c>
      <c r="CJ860" s="1044">
        <f t="shared" si="1320"/>
        <v>0.43248405880018814</v>
      </c>
      <c r="CK860" s="1278">
        <f t="shared" si="1320"/>
        <v>0.44665902589476225</v>
      </c>
      <c r="CL860" s="1278">
        <f t="shared" si="1320"/>
        <v>0.48531435123256261</v>
      </c>
      <c r="CM860" s="885">
        <f t="shared" si="1320"/>
        <v>0.49354185375546944</v>
      </c>
      <c r="CN860" s="885">
        <f t="shared" si="1320"/>
        <v>1.3656801989254896E-2</v>
      </c>
      <c r="CO860" s="1044">
        <f t="shared" si="1320"/>
        <v>1.3656801989254896E-2</v>
      </c>
      <c r="CP860" s="3673">
        <v>0.02</v>
      </c>
      <c r="CQ860" s="3673">
        <v>0.02</v>
      </c>
      <c r="CR860" s="3671">
        <v>0.02</v>
      </c>
      <c r="CS860" s="3671">
        <v>0.02</v>
      </c>
      <c r="CT860" s="1044">
        <f>+CT859/CO859-1</f>
        <v>2.0000000000000018E-2</v>
      </c>
      <c r="CU860" s="1046">
        <v>0.02</v>
      </c>
      <c r="CV860" s="1046">
        <v>0</v>
      </c>
      <c r="CW860" s="2702"/>
      <c r="CX860" s="2702"/>
      <c r="CY860" s="2702"/>
      <c r="CZ860" s="2702"/>
      <c r="DA860" s="2702"/>
      <c r="DB860" s="217"/>
      <c r="DF860" s="11"/>
      <c r="DG860" s="11"/>
      <c r="DH860" s="11"/>
      <c r="DI860" s="11"/>
      <c r="DJ860" s="11"/>
      <c r="DK860" s="11"/>
      <c r="DL860" s="11"/>
      <c r="DM860" s="11"/>
      <c r="DN860" s="11"/>
      <c r="DO860" s="11"/>
      <c r="DP860" s="11"/>
      <c r="DQ860" s="11"/>
      <c r="DR860" s="11"/>
      <c r="DS860" s="11"/>
      <c r="DT860" s="11"/>
      <c r="DU860" s="11"/>
      <c r="DV860" s="11"/>
      <c r="DW860" s="11"/>
      <c r="DX860" s="11"/>
      <c r="DY860" s="11"/>
      <c r="DZ860" s="11"/>
      <c r="EA860" s="11"/>
      <c r="EB860" s="11"/>
      <c r="EC860" s="11"/>
      <c r="ED860" s="11"/>
      <c r="EE860" s="11"/>
      <c r="EF860" s="11"/>
      <c r="EG860" s="11"/>
      <c r="EH860" s="11"/>
      <c r="EI860" s="11"/>
      <c r="EJ860" s="11"/>
      <c r="EK860" s="11"/>
      <c r="EL860" s="11"/>
      <c r="EM860" s="11"/>
      <c r="EN860" s="11"/>
      <c r="EO860" s="11"/>
      <c r="EP860" s="11"/>
      <c r="EQ860" s="11"/>
      <c r="ER860" s="11"/>
      <c r="ES860" s="11"/>
      <c r="ET860" s="11"/>
      <c r="EU860" s="11"/>
      <c r="EV860" s="11"/>
      <c r="EW860" s="11"/>
      <c r="EX860" s="11"/>
      <c r="EY860" s="11"/>
      <c r="EZ860" s="11"/>
      <c r="FA860" s="11"/>
      <c r="FB860" s="11"/>
      <c r="FC860" s="11"/>
      <c r="FD860" s="11"/>
      <c r="FE860" s="11"/>
      <c r="FF860" s="11"/>
      <c r="FG860" s="11"/>
      <c r="FH860" s="11"/>
      <c r="FI860" s="11"/>
      <c r="FJ860" s="11"/>
      <c r="FK860" s="11"/>
      <c r="FL860" s="11"/>
      <c r="FM860" s="11"/>
      <c r="FN860" s="11"/>
      <c r="FO860" s="11"/>
      <c r="FP860" s="11"/>
      <c r="FQ860" s="11"/>
      <c r="FR860" s="11"/>
      <c r="FS860" s="11"/>
      <c r="FT860" s="11"/>
      <c r="FU860" s="11"/>
      <c r="FV860" s="11"/>
      <c r="FW860" s="11"/>
      <c r="FX860" s="11"/>
      <c r="FY860" s="11"/>
      <c r="FZ860" s="11"/>
      <c r="GA860" s="11"/>
      <c r="GB860" s="11"/>
      <c r="GC860" s="11"/>
      <c r="GD860" s="11"/>
      <c r="GE860" s="11"/>
      <c r="GF860" s="11"/>
      <c r="GG860" s="11"/>
      <c r="GH860" s="11"/>
      <c r="GI860" s="11"/>
      <c r="GJ860" s="11"/>
      <c r="GK860" s="11"/>
      <c r="GL860" s="11"/>
      <c r="GM860" s="11"/>
      <c r="GN860" s="11"/>
      <c r="GO860" s="11"/>
      <c r="GP860" s="11"/>
      <c r="GQ860" s="11"/>
      <c r="GR860" s="11"/>
      <c r="GS860" s="11"/>
      <c r="GT860" s="11"/>
      <c r="GU860" s="11"/>
      <c r="GV860" s="11"/>
      <c r="GW860" s="11"/>
      <c r="GX860" s="11"/>
      <c r="GY860" s="11"/>
      <c r="GZ860" s="11"/>
      <c r="HA860" s="11"/>
      <c r="HB860" s="11"/>
      <c r="HC860" s="11"/>
      <c r="HD860" s="11"/>
      <c r="HE860" s="11"/>
      <c r="HF860" s="11"/>
      <c r="HG860" s="11"/>
      <c r="HH860" s="11"/>
      <c r="HI860" s="11"/>
      <c r="HJ860" s="11"/>
      <c r="HK860" s="11"/>
      <c r="HL860" s="11"/>
      <c r="HM860" s="11"/>
      <c r="HN860" s="11"/>
      <c r="HO860" s="11"/>
      <c r="HP860" s="11"/>
      <c r="HQ860" s="11"/>
      <c r="HR860" s="11"/>
      <c r="HS860" s="11"/>
      <c r="HT860" s="11"/>
      <c r="HU860" s="11"/>
      <c r="HV860" s="11"/>
      <c r="HW860" s="11"/>
      <c r="HX860" s="11"/>
      <c r="HY860" s="11"/>
      <c r="HZ860" s="11"/>
      <c r="IA860" s="11"/>
      <c r="IB860" s="11"/>
      <c r="IC860" s="11"/>
      <c r="ID860" s="11"/>
      <c r="IE860" s="11"/>
      <c r="IF860" s="11"/>
      <c r="IG860" s="11"/>
      <c r="IH860" s="11"/>
      <c r="II860" s="11"/>
      <c r="IJ860" s="11"/>
      <c r="IK860" s="11"/>
      <c r="IL860" s="11"/>
      <c r="IM860" s="11"/>
      <c r="IN860" s="11"/>
      <c r="IO860" s="11"/>
      <c r="IP860" s="11"/>
      <c r="IQ860" s="11"/>
      <c r="IR860" s="11"/>
      <c r="IS860" s="11"/>
      <c r="IT860" s="11"/>
      <c r="IU860" s="11"/>
      <c r="IV860" s="11"/>
    </row>
    <row r="861" spans="1:256" x14ac:dyDescent="0.2">
      <c r="A861" s="2389" t="s">
        <v>653</v>
      </c>
      <c r="B861" s="1193"/>
      <c r="C861" s="1193"/>
      <c r="D861" s="1193"/>
      <c r="E861" s="1193"/>
      <c r="F861" s="1193"/>
      <c r="G861" s="1193"/>
      <c r="H861" s="1946"/>
      <c r="I861" s="243"/>
      <c r="J861" s="243"/>
      <c r="K861" s="243"/>
      <c r="L861" s="243"/>
      <c r="M861" s="2012"/>
      <c r="N861" s="885"/>
      <c r="O861" s="885"/>
      <c r="P861" s="885"/>
      <c r="Q861" s="885"/>
      <c r="R861" s="1044"/>
      <c r="S861" s="885"/>
      <c r="T861" s="885"/>
      <c r="U861" s="885"/>
      <c r="V861" s="885"/>
      <c r="W861" s="1044"/>
      <c r="X861" s="885"/>
      <c r="Y861" s="885"/>
      <c r="Z861" s="885"/>
      <c r="AA861" s="885"/>
      <c r="AB861" s="1044"/>
      <c r="AC861" s="885"/>
      <c r="AD861" s="885"/>
      <c r="AE861" s="885"/>
      <c r="AF861" s="885"/>
      <c r="AG861" s="1044"/>
      <c r="AH861" s="885"/>
      <c r="AI861" s="885"/>
      <c r="AJ861" s="885"/>
      <c r="AK861" s="885"/>
      <c r="AL861" s="1044"/>
      <c r="AM861" s="885"/>
      <c r="AN861" s="885"/>
      <c r="AO861" s="885"/>
      <c r="AP861" s="885"/>
      <c r="AQ861" s="1044"/>
      <c r="AR861" s="885"/>
      <c r="AS861" s="885"/>
      <c r="AT861" s="885"/>
      <c r="AU861" s="885"/>
      <c r="AV861" s="1044"/>
      <c r="AW861" s="885"/>
      <c r="AX861" s="885"/>
      <c r="AY861" s="885"/>
      <c r="AZ861" s="885"/>
      <c r="BA861" s="1044"/>
      <c r="BB861" s="885">
        <f>+BB859/BA859-1</f>
        <v>1.5939109486625691E-2</v>
      </c>
      <c r="BC861" s="885">
        <f>+BC859/BB859-1</f>
        <v>4.7935894684123515E-3</v>
      </c>
      <c r="BD861" s="885">
        <f>+BD859/BC859-1</f>
        <v>1.1494486715222241E-3</v>
      </c>
      <c r="BE861" s="885">
        <f>+BE859/BD859-1</f>
        <v>1.031283973948649E-2</v>
      </c>
      <c r="BF861" s="1044"/>
      <c r="BG861" s="885">
        <f>+BG859/BF859-1</f>
        <v>3.5902490043846491E-3</v>
      </c>
      <c r="BH861" s="885">
        <f>+BH859/BG859-1</f>
        <v>3.3068451695008605E-3</v>
      </c>
      <c r="BI861" s="885">
        <f>+BI859/BH859-1</f>
        <v>-6.571916542652545E-3</v>
      </c>
      <c r="BJ861" s="885">
        <f>+BJ859/BI859-1</f>
        <v>-1.2165083195093684E-3</v>
      </c>
      <c r="BK861" s="1044"/>
      <c r="BL861" s="885">
        <f>+BL859/BK859-1</f>
        <v>-5.6168465131261058E-3</v>
      </c>
      <c r="BM861" s="885">
        <f>+BM859/BL859-1</f>
        <v>-7.015164092077808E-3</v>
      </c>
      <c r="BN861" s="885">
        <f>+BN859/BM859-1</f>
        <v>-1.512850050462311E-2</v>
      </c>
      <c r="BO861" s="885">
        <f>+BO859/BN859-1</f>
        <v>8.9091078470949991E-2</v>
      </c>
      <c r="BP861" s="1044"/>
      <c r="BQ861" s="885">
        <f>+BQ859/BP859-1</f>
        <v>-4.2484032846715758E-3</v>
      </c>
      <c r="BR861" s="885">
        <f>+BR859/BQ859-1</f>
        <v>-3.5506686138074839E-3</v>
      </c>
      <c r="BS861" s="885">
        <f>+BS859/BR859-1</f>
        <v>-1.5383583819458369E-2</v>
      </c>
      <c r="BT861" s="885">
        <f>+BT859/BS859-1</f>
        <v>-1.6129816812755937E-2</v>
      </c>
      <c r="BU861" s="1044"/>
      <c r="BV861" s="885">
        <f>+BV859/BU859-1</f>
        <v>0</v>
      </c>
      <c r="BW861" s="885">
        <f>+BW859/BV859-1</f>
        <v>8.4443257888127121E-3</v>
      </c>
      <c r="BX861" s="885">
        <f>+BX859/BW859-1</f>
        <v>-1.0099326384734875E-3</v>
      </c>
      <c r="BY861" s="885">
        <f>+BY859/BX859-1</f>
        <v>-3.3960190020022596E-3</v>
      </c>
      <c r="BZ861" s="1044"/>
      <c r="CA861" s="885">
        <f>+CA859/BZ859-1</f>
        <v>1.385688116764161E-2</v>
      </c>
      <c r="CB861" s="885">
        <f>+CB859/CA859-1</f>
        <v>6.5821555199378379E-2</v>
      </c>
      <c r="CC861" s="885">
        <f>+CC859/CB859-1</f>
        <v>-1.3178880979940022E-2</v>
      </c>
      <c r="CD861" s="885">
        <f>+CD859/CC859-1</f>
        <v>8.4968829369658216E-4</v>
      </c>
      <c r="CE861" s="1044"/>
      <c r="CF861" s="885">
        <f>+CF859/CE859-1</f>
        <v>-9.6708407541040708E-3</v>
      </c>
      <c r="CG861" s="885">
        <f>+CG859/CF859-1</f>
        <v>-2.4776600601943755E-2</v>
      </c>
      <c r="CH861" s="885">
        <f>+CH859/CG859-1</f>
        <v>1.3376648194163288E-4</v>
      </c>
      <c r="CI861" s="885">
        <f>+CI859/CH859-1</f>
        <v>0.48302348243116722</v>
      </c>
      <c r="CJ861" s="1044"/>
      <c r="CK861" s="1278">
        <f>+CK859/CJ859-1</f>
        <v>1.28837754615585E-4</v>
      </c>
      <c r="CL861" s="1278">
        <f>+CL859/CK859-1</f>
        <v>1.2817705179899441E-3</v>
      </c>
      <c r="CM861" s="1278">
        <f>+CM859/CL859-1</f>
        <v>5.6737406161346815E-3</v>
      </c>
      <c r="CN861" s="1278">
        <f>+CN859/CM859-1</f>
        <v>6.5180541785267998E-3</v>
      </c>
      <c r="CO861" s="1044"/>
      <c r="CP861" s="3530"/>
      <c r="CQ861" s="1278"/>
      <c r="CR861" s="886"/>
      <c r="CS861" s="886"/>
      <c r="CT861" s="1044"/>
      <c r="CU861" s="1044"/>
      <c r="CV861" s="1044"/>
      <c r="CW861" s="2702"/>
      <c r="CX861" s="2702"/>
      <c r="CY861" s="2702"/>
      <c r="CZ861" s="2702"/>
      <c r="DA861" s="2702"/>
      <c r="DB861" s="217"/>
      <c r="DF861" s="11"/>
      <c r="DG861" s="11"/>
      <c r="DH861" s="11"/>
      <c r="DI861" s="11"/>
      <c r="DJ861" s="11"/>
      <c r="DK861" s="11"/>
      <c r="DL861" s="11"/>
      <c r="DM861" s="11"/>
      <c r="DN861" s="11"/>
      <c r="DO861" s="11"/>
      <c r="DP861" s="11"/>
      <c r="DQ861" s="11"/>
      <c r="DR861" s="11"/>
      <c r="DS861" s="11"/>
      <c r="DT861" s="11"/>
      <c r="DU861" s="11"/>
      <c r="DV861" s="11"/>
      <c r="DW861" s="11"/>
      <c r="DX861" s="11"/>
      <c r="DY861" s="11"/>
      <c r="DZ861" s="11"/>
      <c r="EA861" s="11"/>
      <c r="EB861" s="11"/>
      <c r="EC861" s="11"/>
      <c r="ED861" s="11"/>
      <c r="EE861" s="11"/>
      <c r="EF861" s="11"/>
      <c r="EG861" s="11"/>
      <c r="EH861" s="11"/>
      <c r="EI861" s="11"/>
      <c r="EJ861" s="11"/>
      <c r="EK861" s="11"/>
      <c r="EL861" s="11"/>
      <c r="EM861" s="11"/>
      <c r="EN861" s="11"/>
      <c r="EO861" s="11"/>
      <c r="EP861" s="11"/>
      <c r="EQ861" s="11"/>
      <c r="ER861" s="11"/>
      <c r="ES861" s="11"/>
      <c r="ET861" s="11"/>
      <c r="EU861" s="11"/>
      <c r="EV861" s="11"/>
      <c r="EW861" s="11"/>
      <c r="EX861" s="11"/>
      <c r="EY861" s="11"/>
      <c r="EZ861" s="11"/>
      <c r="FA861" s="11"/>
      <c r="FB861" s="11"/>
      <c r="FC861" s="11"/>
      <c r="FD861" s="11"/>
      <c r="FE861" s="11"/>
      <c r="FF861" s="11"/>
      <c r="FG861" s="11"/>
      <c r="FH861" s="11"/>
      <c r="FI861" s="11"/>
      <c r="FJ861" s="11"/>
      <c r="FK861" s="11"/>
      <c r="FL861" s="11"/>
      <c r="FM861" s="11"/>
      <c r="FN861" s="11"/>
      <c r="FO861" s="11"/>
      <c r="FP861" s="11"/>
      <c r="FQ861" s="11"/>
      <c r="FR861" s="11"/>
      <c r="FS861" s="11"/>
      <c r="FT861" s="11"/>
      <c r="FU861" s="11"/>
      <c r="FV861" s="11"/>
      <c r="FW861" s="11"/>
      <c r="FX861" s="11"/>
      <c r="FY861" s="11"/>
      <c r="FZ861" s="11"/>
      <c r="GA861" s="11"/>
      <c r="GB861" s="11"/>
      <c r="GC861" s="11"/>
      <c r="GD861" s="11"/>
      <c r="GE861" s="11"/>
      <c r="GF861" s="11"/>
      <c r="GG861" s="11"/>
      <c r="GH861" s="11"/>
      <c r="GI861" s="11"/>
      <c r="GJ861" s="11"/>
      <c r="GK861" s="11"/>
      <c r="GL861" s="11"/>
      <c r="GM861" s="11"/>
      <c r="GN861" s="11"/>
      <c r="GO861" s="11"/>
      <c r="GP861" s="11"/>
      <c r="GQ861" s="11"/>
      <c r="GR861" s="11"/>
      <c r="GS861" s="11"/>
      <c r="GT861" s="11"/>
      <c r="GU861" s="11"/>
      <c r="GV861" s="11"/>
      <c r="GW861" s="11"/>
      <c r="GX861" s="11"/>
      <c r="GY861" s="11"/>
      <c r="GZ861" s="11"/>
      <c r="HA861" s="11"/>
      <c r="HB861" s="11"/>
      <c r="HC861" s="11"/>
      <c r="HD861" s="11"/>
      <c r="HE861" s="11"/>
      <c r="HF861" s="11"/>
      <c r="HG861" s="11"/>
      <c r="HH861" s="11"/>
      <c r="HI861" s="11"/>
      <c r="HJ861" s="11"/>
      <c r="HK861" s="11"/>
      <c r="HL861" s="11"/>
      <c r="HM861" s="11"/>
      <c r="HN861" s="11"/>
      <c r="HO861" s="11"/>
      <c r="HP861" s="11"/>
      <c r="HQ861" s="11"/>
      <c r="HR861" s="11"/>
      <c r="HS861" s="11"/>
      <c r="HT861" s="11"/>
      <c r="HU861" s="11"/>
      <c r="HV861" s="11"/>
      <c r="HW861" s="11"/>
      <c r="HX861" s="11"/>
      <c r="HY861" s="11"/>
      <c r="HZ861" s="11"/>
      <c r="IA861" s="11"/>
      <c r="IB861" s="11"/>
      <c r="IC861" s="11"/>
      <c r="ID861" s="11"/>
      <c r="IE861" s="11"/>
      <c r="IF861" s="11"/>
      <c r="IG861" s="11"/>
      <c r="IH861" s="11"/>
      <c r="II861" s="11"/>
      <c r="IJ861" s="11"/>
      <c r="IK861" s="11"/>
      <c r="IL861" s="11"/>
      <c r="IM861" s="11"/>
      <c r="IN861" s="11"/>
      <c r="IO861" s="11"/>
      <c r="IP861" s="11"/>
      <c r="IQ861" s="11"/>
      <c r="IR861" s="11"/>
      <c r="IS861" s="11"/>
      <c r="IT861" s="11"/>
      <c r="IU861" s="11"/>
      <c r="IV861" s="11"/>
    </row>
    <row r="862" spans="1:256" s="11" customFormat="1" x14ac:dyDescent="0.2">
      <c r="A862" s="1142" t="s">
        <v>1417</v>
      </c>
      <c r="B862" s="212"/>
      <c r="C862" s="212"/>
      <c r="D862" s="212"/>
      <c r="E862" s="212"/>
      <c r="F862" s="212"/>
      <c r="G862" s="212"/>
      <c r="H862" s="194"/>
      <c r="I862" s="758">
        <f t="shared" ref="I862:AN862" si="1321">SUM(I465:I467,I474)</f>
        <v>7839</v>
      </c>
      <c r="J862" s="758">
        <f t="shared" si="1321"/>
        <v>8185</v>
      </c>
      <c r="K862" s="758">
        <f t="shared" si="1321"/>
        <v>8668</v>
      </c>
      <c r="L862" s="758">
        <f t="shared" si="1321"/>
        <v>8796</v>
      </c>
      <c r="M862" s="752">
        <f t="shared" si="1321"/>
        <v>8796</v>
      </c>
      <c r="N862" s="758">
        <f t="shared" si="1321"/>
        <v>9389</v>
      </c>
      <c r="O862" s="758">
        <f t="shared" si="1321"/>
        <v>9920</v>
      </c>
      <c r="P862" s="758">
        <f t="shared" si="1321"/>
        <v>9920</v>
      </c>
      <c r="Q862" s="758">
        <f t="shared" si="1321"/>
        <v>10270</v>
      </c>
      <c r="R862" s="752">
        <f t="shared" si="1321"/>
        <v>10270</v>
      </c>
      <c r="S862" s="758">
        <f t="shared" si="1321"/>
        <v>10620</v>
      </c>
      <c r="T862" s="758">
        <f t="shared" si="1321"/>
        <v>10709</v>
      </c>
      <c r="U862" s="758">
        <f t="shared" si="1321"/>
        <v>11293</v>
      </c>
      <c r="V862" s="758">
        <f t="shared" si="1321"/>
        <v>11669</v>
      </c>
      <c r="W862" s="752">
        <f t="shared" si="1321"/>
        <v>11669</v>
      </c>
      <c r="X862" s="758">
        <f t="shared" si="1321"/>
        <v>11664</v>
      </c>
      <c r="Y862" s="758">
        <f t="shared" si="1321"/>
        <v>11664</v>
      </c>
      <c r="Z862" s="758">
        <f t="shared" si="1321"/>
        <v>11633</v>
      </c>
      <c r="AA862" s="758">
        <f t="shared" si="1321"/>
        <v>11629</v>
      </c>
      <c r="AB862" s="752">
        <f t="shared" si="1321"/>
        <v>11629</v>
      </c>
      <c r="AC862" s="758">
        <f t="shared" si="1321"/>
        <v>11616</v>
      </c>
      <c r="AD862" s="758">
        <f t="shared" si="1321"/>
        <v>11616</v>
      </c>
      <c r="AE862" s="758">
        <f t="shared" si="1321"/>
        <v>11616</v>
      </c>
      <c r="AF862" s="758">
        <f t="shared" si="1321"/>
        <v>11616</v>
      </c>
      <c r="AG862" s="752">
        <f t="shared" si="1321"/>
        <v>11616</v>
      </c>
      <c r="AH862" s="758">
        <f t="shared" si="1321"/>
        <v>11616</v>
      </c>
      <c r="AI862" s="758">
        <f t="shared" si="1321"/>
        <v>11616</v>
      </c>
      <c r="AJ862" s="758">
        <f t="shared" si="1321"/>
        <v>11616</v>
      </c>
      <c r="AK862" s="758">
        <f t="shared" si="1321"/>
        <v>11616</v>
      </c>
      <c r="AL862" s="752">
        <f t="shared" si="1321"/>
        <v>11616</v>
      </c>
      <c r="AM862" s="758">
        <f t="shared" si="1321"/>
        <v>11343</v>
      </c>
      <c r="AN862" s="758">
        <f t="shared" si="1321"/>
        <v>11343</v>
      </c>
      <c r="AO862" s="758">
        <f t="shared" ref="AO862:BN862" si="1322">SUM(AO465:AO467,AO474)</f>
        <v>11530</v>
      </c>
      <c r="AP862" s="758">
        <f t="shared" si="1322"/>
        <v>11627</v>
      </c>
      <c r="AQ862" s="752">
        <f t="shared" si="1322"/>
        <v>11627</v>
      </c>
      <c r="AR862" s="758">
        <f t="shared" si="1322"/>
        <v>11437</v>
      </c>
      <c r="AS862" s="758">
        <f t="shared" si="1322"/>
        <v>11437</v>
      </c>
      <c r="AT862" s="758">
        <f t="shared" si="1322"/>
        <v>11603</v>
      </c>
      <c r="AU862" s="758">
        <f t="shared" si="1322"/>
        <v>11629</v>
      </c>
      <c r="AV862" s="752">
        <f t="shared" si="1322"/>
        <v>11629</v>
      </c>
      <c r="AW862" s="758">
        <f t="shared" si="1322"/>
        <v>11652</v>
      </c>
      <c r="AX862" s="758">
        <f t="shared" si="1322"/>
        <v>11549</v>
      </c>
      <c r="AY862" s="758">
        <f t="shared" si="1322"/>
        <v>11549</v>
      </c>
      <c r="AZ862" s="758">
        <f t="shared" si="1322"/>
        <v>12115</v>
      </c>
      <c r="BA862" s="752">
        <f t="shared" si="1322"/>
        <v>12115</v>
      </c>
      <c r="BB862" s="758">
        <f t="shared" si="1322"/>
        <v>12120</v>
      </c>
      <c r="BC862" s="758">
        <f t="shared" si="1322"/>
        <v>11587</v>
      </c>
      <c r="BD862" s="758">
        <f t="shared" si="1322"/>
        <v>11587</v>
      </c>
      <c r="BE862" s="758">
        <f t="shared" si="1322"/>
        <v>11940</v>
      </c>
      <c r="BF862" s="752">
        <f t="shared" si="1322"/>
        <v>11940</v>
      </c>
      <c r="BG862" s="758">
        <f t="shared" si="1322"/>
        <v>11940</v>
      </c>
      <c r="BH862" s="758">
        <f t="shared" si="1322"/>
        <v>11940</v>
      </c>
      <c r="BI862" s="758">
        <f t="shared" si="1322"/>
        <v>11587</v>
      </c>
      <c r="BJ862" s="758">
        <f t="shared" si="1322"/>
        <v>11587</v>
      </c>
      <c r="BK862" s="752">
        <f t="shared" si="1322"/>
        <v>11587</v>
      </c>
      <c r="BL862" s="758">
        <f t="shared" si="1322"/>
        <v>11587</v>
      </c>
      <c r="BM862" s="758">
        <f t="shared" si="1322"/>
        <v>11587</v>
      </c>
      <c r="BN862" s="758">
        <f t="shared" si="1322"/>
        <v>11587</v>
      </c>
      <c r="BO862" s="758">
        <f t="shared" ref="BO862:CH862" si="1323">SUM(BO465:BO467)</f>
        <v>11357</v>
      </c>
      <c r="BP862" s="752">
        <f t="shared" si="1323"/>
        <v>11357</v>
      </c>
      <c r="BQ862" s="758">
        <f t="shared" si="1323"/>
        <v>11357</v>
      </c>
      <c r="BR862" s="758">
        <f t="shared" si="1323"/>
        <v>11356</v>
      </c>
      <c r="BS862" s="758">
        <f t="shared" si="1323"/>
        <v>11048</v>
      </c>
      <c r="BT862" s="758">
        <f t="shared" si="1323"/>
        <v>11040</v>
      </c>
      <c r="BU862" s="752">
        <f t="shared" si="1323"/>
        <v>11040</v>
      </c>
      <c r="BV862" s="758">
        <f t="shared" si="1323"/>
        <v>11040</v>
      </c>
      <c r="BW862" s="758">
        <f t="shared" si="1323"/>
        <v>11300</v>
      </c>
      <c r="BX862" s="758">
        <f t="shared" si="1323"/>
        <v>11300</v>
      </c>
      <c r="BY862" s="758">
        <f t="shared" si="1323"/>
        <v>11424</v>
      </c>
      <c r="BZ862" s="752">
        <f t="shared" si="1323"/>
        <v>11424</v>
      </c>
      <c r="CA862" s="758">
        <f t="shared" si="1323"/>
        <v>11986</v>
      </c>
      <c r="CB862" s="758">
        <f t="shared" si="1323"/>
        <v>12259</v>
      </c>
      <c r="CC862" s="758">
        <f t="shared" si="1323"/>
        <v>11978</v>
      </c>
      <c r="CD862" s="758">
        <f t="shared" si="1323"/>
        <v>11978</v>
      </c>
      <c r="CE862" s="752">
        <f t="shared" si="1323"/>
        <v>11978</v>
      </c>
      <c r="CF862" s="758">
        <f t="shared" si="1323"/>
        <v>11982</v>
      </c>
      <c r="CG862" s="2937">
        <f t="shared" si="1323"/>
        <v>11977</v>
      </c>
      <c r="CH862" s="2937">
        <f t="shared" si="1323"/>
        <v>11977</v>
      </c>
      <c r="CI862" s="2937">
        <f>SUM(CI465:CI467)+CI483+CI484+CI485+CI490</f>
        <v>28483</v>
      </c>
      <c r="CJ862" s="3020">
        <f t="shared" ref="CJ862:CV862" si="1324">SUM(CJ465:CJ467)+CJ483+CJ484+CJ485+CJ490</f>
        <v>28483</v>
      </c>
      <c r="CK862" s="3526">
        <f t="shared" si="1324"/>
        <v>28291</v>
      </c>
      <c r="CL862" s="3526">
        <f>SUM(CL465:CL467)+CL483+CL484+CL485+CL490</f>
        <v>28536</v>
      </c>
      <c r="CM862" s="2937">
        <f t="shared" si="1324"/>
        <v>30738</v>
      </c>
      <c r="CN862" s="2937">
        <f t="shared" si="1324"/>
        <v>30460</v>
      </c>
      <c r="CO862" s="3020">
        <f t="shared" si="1324"/>
        <v>30460</v>
      </c>
      <c r="CP862" s="2937">
        <f t="shared" si="1324"/>
        <v>30043.22</v>
      </c>
      <c r="CQ862" s="2937">
        <f t="shared" si="1324"/>
        <v>30305.370000000003</v>
      </c>
      <c r="CR862" s="2937">
        <f t="shared" si="1324"/>
        <v>32581.01</v>
      </c>
      <c r="CS862" s="2937">
        <f t="shared" si="1324"/>
        <v>32272.050000000003</v>
      </c>
      <c r="CT862" s="3020">
        <f>SUM(CT465:CT467)+CT483+CT484+CT485+CT490</f>
        <v>32272.050000000003</v>
      </c>
      <c r="CU862" s="3020">
        <f t="shared" si="1324"/>
        <v>33146.078099999999</v>
      </c>
      <c r="CV862" s="3020">
        <f t="shared" si="1324"/>
        <v>33283.883465999999</v>
      </c>
      <c r="CW862" s="374"/>
      <c r="CX862" s="374"/>
      <c r="CY862" s="374"/>
      <c r="CZ862" s="374"/>
      <c r="DA862" s="374"/>
      <c r="DB862" s="217"/>
      <c r="DC862" s="212"/>
      <c r="DD862" s="212"/>
      <c r="DE862" s="70"/>
      <c r="DF862" s="70"/>
      <c r="DG862" s="70"/>
      <c r="DH862" s="70"/>
      <c r="DI862" s="70"/>
      <c r="DJ862" s="70"/>
      <c r="DK862" s="70"/>
      <c r="DL862" s="70"/>
      <c r="DM862" s="70"/>
      <c r="DN862" s="70"/>
      <c r="DO862" s="70"/>
      <c r="DP862" s="70"/>
      <c r="DQ862" s="70"/>
      <c r="DR862" s="70"/>
      <c r="DS862" s="70"/>
      <c r="DT862" s="70"/>
      <c r="DU862" s="70"/>
      <c r="DV862" s="70"/>
      <c r="DW862" s="70"/>
      <c r="DX862" s="70"/>
      <c r="DY862" s="70"/>
      <c r="DZ862" s="70"/>
      <c r="EA862" s="70"/>
      <c r="EB862" s="70"/>
      <c r="EC862" s="70"/>
      <c r="ED862" s="70"/>
      <c r="EE862" s="70"/>
      <c r="EF862" s="70"/>
      <c r="EG862" s="70"/>
      <c r="EH862" s="70"/>
      <c r="EI862" s="70"/>
      <c r="EJ862" s="70"/>
      <c r="EK862" s="70"/>
      <c r="EL862" s="70"/>
      <c r="EM862" s="70"/>
      <c r="EN862" s="70"/>
      <c r="EO862" s="70"/>
      <c r="EP862" s="70"/>
      <c r="EQ862" s="70"/>
      <c r="ER862" s="70"/>
      <c r="ES862" s="70"/>
      <c r="ET862" s="70"/>
      <c r="EU862" s="70"/>
      <c r="EV862" s="70"/>
      <c r="EW862" s="70"/>
      <c r="EX862" s="70"/>
      <c r="EY862" s="70"/>
      <c r="EZ862" s="70"/>
      <c r="FA862" s="70"/>
      <c r="FB862" s="70"/>
      <c r="FC862" s="70"/>
      <c r="FD862" s="70"/>
      <c r="FE862" s="70"/>
      <c r="FF862" s="70"/>
      <c r="FG862" s="70"/>
      <c r="FH862" s="70"/>
      <c r="FI862" s="70"/>
      <c r="FJ862" s="70"/>
      <c r="FK862" s="70"/>
      <c r="FL862" s="70"/>
      <c r="FM862" s="70"/>
      <c r="FN862" s="70"/>
      <c r="FO862" s="70"/>
      <c r="FP862" s="70"/>
      <c r="FQ862" s="70"/>
      <c r="FR862" s="70"/>
      <c r="FS862" s="70"/>
      <c r="FT862" s="70"/>
      <c r="FU862" s="70"/>
      <c r="FV862" s="70"/>
      <c r="FW862" s="70"/>
      <c r="FX862" s="70"/>
      <c r="FY862" s="70"/>
      <c r="FZ862" s="70"/>
      <c r="GA862" s="70"/>
      <c r="GB862" s="70"/>
      <c r="GC862" s="70"/>
      <c r="GD862" s="70"/>
      <c r="GE862" s="70"/>
      <c r="GF862" s="70"/>
      <c r="GG862" s="70"/>
      <c r="GH862" s="70"/>
      <c r="GI862" s="70"/>
      <c r="GJ862" s="70"/>
      <c r="GK862" s="70"/>
      <c r="GL862" s="70"/>
      <c r="GM862" s="70"/>
      <c r="GN862" s="70"/>
      <c r="GO862" s="70"/>
      <c r="GP862" s="70"/>
      <c r="GQ862" s="70"/>
      <c r="GR862" s="70"/>
      <c r="GS862" s="70"/>
      <c r="GT862" s="70"/>
      <c r="GU862" s="70"/>
      <c r="GV862" s="70"/>
      <c r="GW862" s="70"/>
      <c r="GX862" s="70"/>
      <c r="GY862" s="70"/>
      <c r="GZ862" s="70"/>
      <c r="HA862" s="70"/>
      <c r="HB862" s="70"/>
      <c r="HC862" s="70"/>
      <c r="HD862" s="70"/>
      <c r="HE862" s="70"/>
      <c r="HF862" s="70"/>
      <c r="HG862" s="70"/>
      <c r="HH862" s="70"/>
      <c r="HI862" s="70"/>
      <c r="HJ862" s="70"/>
      <c r="HK862" s="70"/>
      <c r="HL862" s="70"/>
      <c r="HM862" s="70"/>
      <c r="HN862" s="70"/>
      <c r="HO862" s="70"/>
      <c r="HP862" s="70"/>
      <c r="HQ862" s="70"/>
      <c r="HR862" s="70"/>
      <c r="HS862" s="70"/>
      <c r="HT862" s="70"/>
      <c r="HU862" s="70"/>
      <c r="HV862" s="70"/>
      <c r="HW862" s="70"/>
      <c r="HX862" s="70"/>
      <c r="HY862" s="70"/>
      <c r="HZ862" s="70"/>
      <c r="IA862" s="70"/>
      <c r="IB862" s="70"/>
      <c r="IC862" s="70"/>
      <c r="ID862" s="70"/>
      <c r="IE862" s="70"/>
      <c r="IF862" s="70"/>
      <c r="IG862" s="70"/>
      <c r="IH862" s="70"/>
      <c r="II862" s="70"/>
      <c r="IJ862" s="70"/>
      <c r="IK862" s="70"/>
      <c r="IL862" s="70"/>
      <c r="IM862" s="70"/>
      <c r="IN862" s="70"/>
      <c r="IO862" s="70"/>
      <c r="IP862" s="70"/>
      <c r="IQ862" s="70"/>
      <c r="IR862" s="70"/>
      <c r="IS862" s="70"/>
      <c r="IT862" s="70"/>
      <c r="IU862" s="70"/>
      <c r="IV862" s="70"/>
    </row>
    <row r="863" spans="1:256" s="11" customFormat="1" x14ac:dyDescent="0.2">
      <c r="A863" s="2389" t="s">
        <v>652</v>
      </c>
      <c r="B863" s="1193"/>
      <c r="C863" s="1193"/>
      <c r="D863" s="1193"/>
      <c r="E863" s="1193"/>
      <c r="F863" s="1193"/>
      <c r="G863" s="1193"/>
      <c r="H863" s="1946"/>
      <c r="I863" s="243"/>
      <c r="J863" s="243"/>
      <c r="K863" s="243"/>
      <c r="L863" s="243"/>
      <c r="M863" s="2012"/>
      <c r="N863" s="885"/>
      <c r="O863" s="885"/>
      <c r="P863" s="885"/>
      <c r="Q863" s="885"/>
      <c r="R863" s="1044"/>
      <c r="S863" s="885"/>
      <c r="T863" s="885"/>
      <c r="U863" s="885"/>
      <c r="V863" s="1640"/>
      <c r="W863" s="1640"/>
      <c r="X863" s="885"/>
      <c r="Y863" s="885"/>
      <c r="Z863" s="885"/>
      <c r="AA863" s="885"/>
      <c r="AB863" s="1044"/>
      <c r="AC863" s="885"/>
      <c r="AD863" s="885"/>
      <c r="AE863" s="885"/>
      <c r="AF863" s="885"/>
      <c r="AG863" s="1044"/>
      <c r="AH863" s="885"/>
      <c r="AI863" s="885"/>
      <c r="AJ863" s="885"/>
      <c r="AK863" s="885"/>
      <c r="AL863" s="1044"/>
      <c r="AM863" s="885"/>
      <c r="AN863" s="885"/>
      <c r="AO863" s="885"/>
      <c r="AP863" s="885"/>
      <c r="AQ863" s="1044"/>
      <c r="AR863" s="885"/>
      <c r="AS863" s="885"/>
      <c r="AT863" s="885"/>
      <c r="AU863" s="885"/>
      <c r="AV863" s="1044"/>
      <c r="AW863" s="885"/>
      <c r="AX863" s="885"/>
      <c r="AY863" s="885"/>
      <c r="AZ863" s="885"/>
      <c r="BA863" s="1044"/>
      <c r="BB863" s="885"/>
      <c r="BC863" s="885"/>
      <c r="BD863" s="885"/>
      <c r="BE863" s="885"/>
      <c r="BF863" s="1044"/>
      <c r="BG863" s="885">
        <f t="shared" ref="BG863:CC863" si="1325">+BG862/BB862-1</f>
        <v>-1.4851485148514865E-2</v>
      </c>
      <c r="BH863" s="885">
        <f t="shared" si="1325"/>
        <v>3.0465176490894974E-2</v>
      </c>
      <c r="BI863" s="885">
        <f t="shared" si="1325"/>
        <v>0</v>
      </c>
      <c r="BJ863" s="885">
        <f t="shared" si="1325"/>
        <v>-2.9564489112227754E-2</v>
      </c>
      <c r="BK863" s="1044">
        <f t="shared" si="1325"/>
        <v>-2.9564489112227754E-2</v>
      </c>
      <c r="BL863" s="885">
        <f t="shared" si="1325"/>
        <v>-2.9564489112227754E-2</v>
      </c>
      <c r="BM863" s="885">
        <f t="shared" si="1325"/>
        <v>-2.9564489112227754E-2</v>
      </c>
      <c r="BN863" s="885">
        <f t="shared" si="1325"/>
        <v>0</v>
      </c>
      <c r="BO863" s="885">
        <f t="shared" si="1325"/>
        <v>-1.9849831707948518E-2</v>
      </c>
      <c r="BP863" s="1044">
        <f t="shared" si="1325"/>
        <v>-1.9849831707948518E-2</v>
      </c>
      <c r="BQ863" s="885">
        <f t="shared" ref="BQ863:BV863" si="1326">+BQ862/BL862-1</f>
        <v>-1.9849831707948518E-2</v>
      </c>
      <c r="BR863" s="885">
        <f t="shared" si="1326"/>
        <v>-1.9936135324070126E-2</v>
      </c>
      <c r="BS863" s="885">
        <f t="shared" si="1326"/>
        <v>-4.6517649089496849E-2</v>
      </c>
      <c r="BT863" s="885">
        <f t="shared" si="1326"/>
        <v>-2.7912300783657695E-2</v>
      </c>
      <c r="BU863" s="1044">
        <f t="shared" si="1326"/>
        <v>-2.7912300783657695E-2</v>
      </c>
      <c r="BV863" s="885">
        <f t="shared" si="1326"/>
        <v>-2.7912300783657695E-2</v>
      </c>
      <c r="BW863" s="885">
        <f t="shared" si="1325"/>
        <v>-4.9313138429024628E-3</v>
      </c>
      <c r="BX863" s="885">
        <f t="shared" si="1325"/>
        <v>2.2809558291093435E-2</v>
      </c>
      <c r="BY863" s="885">
        <f t="shared" si="1325"/>
        <v>3.4782608695652195E-2</v>
      </c>
      <c r="BZ863" s="1044">
        <f t="shared" si="1325"/>
        <v>3.4782608695652195E-2</v>
      </c>
      <c r="CA863" s="885">
        <f t="shared" si="1325"/>
        <v>8.5688405797101463E-2</v>
      </c>
      <c r="CB863" s="885">
        <f t="shared" si="1325"/>
        <v>8.4867256637168209E-2</v>
      </c>
      <c r="CC863" s="885">
        <f t="shared" si="1325"/>
        <v>6.0000000000000053E-2</v>
      </c>
      <c r="CD863" s="885">
        <f t="shared" ref="CD863:CJ863" si="1327">+CD862/BY862-1</f>
        <v>4.8494397759103691E-2</v>
      </c>
      <c r="CE863" s="1044">
        <f t="shared" si="1327"/>
        <v>4.8494397759103691E-2</v>
      </c>
      <c r="CF863" s="885">
        <f t="shared" si="1327"/>
        <v>-3.3372267645581655E-4</v>
      </c>
      <c r="CG863" s="885">
        <f t="shared" si="1327"/>
        <v>-2.3003507627049502E-2</v>
      </c>
      <c r="CH863" s="885">
        <f t="shared" si="1327"/>
        <v>-8.3486391718179398E-5</v>
      </c>
      <c r="CI863" s="885">
        <f t="shared" si="1327"/>
        <v>1.3779428953080646</v>
      </c>
      <c r="CJ863" s="1044">
        <f t="shared" si="1327"/>
        <v>1.3779428953080646</v>
      </c>
      <c r="CK863" s="1278">
        <f>+CK862/CF862-1</f>
        <v>1.3611250208646304</v>
      </c>
      <c r="CL863" s="1278">
        <f>+CL862/CG862-1</f>
        <v>1.3825665859564165</v>
      </c>
      <c r="CM863" s="885">
        <f>+CM862/CH862-1</f>
        <v>1.5664189696919095</v>
      </c>
      <c r="CN863" s="885">
        <f>+CN862/CI862-1</f>
        <v>6.9409823403433712E-2</v>
      </c>
      <c r="CO863" s="1044">
        <f>+CO862/CJ862-1</f>
        <v>6.9409823403433712E-2</v>
      </c>
      <c r="CP863" s="3673">
        <v>7.0000000000000007E-2</v>
      </c>
      <c r="CQ863" s="3673">
        <v>7.0000000000000007E-2</v>
      </c>
      <c r="CR863" s="3671">
        <v>7.0000000000000007E-2</v>
      </c>
      <c r="CS863" s="3671">
        <v>7.0000000000000007E-2</v>
      </c>
      <c r="CT863" s="1044">
        <f>+CT862/CO862-1</f>
        <v>5.948949441891016E-2</v>
      </c>
      <c r="CU863" s="1046">
        <v>0.02</v>
      </c>
      <c r="CV863" s="1046">
        <v>0</v>
      </c>
      <c r="CW863" s="2702"/>
      <c r="CX863" s="2702"/>
      <c r="CY863" s="2702"/>
      <c r="CZ863" s="2702"/>
      <c r="DA863" s="2702"/>
      <c r="DB863" s="217"/>
      <c r="DC863" s="212"/>
      <c r="DD863" s="212"/>
      <c r="DE863" s="70"/>
    </row>
    <row r="864" spans="1:256" x14ac:dyDescent="0.2">
      <c r="A864" s="2389" t="s">
        <v>653</v>
      </c>
      <c r="B864" s="1193"/>
      <c r="C864" s="1193"/>
      <c r="D864" s="1193"/>
      <c r="E864" s="1193"/>
      <c r="F864" s="1193"/>
      <c r="G864" s="1193"/>
      <c r="H864" s="1946"/>
      <c r="I864" s="243"/>
      <c r="J864" s="243"/>
      <c r="K864" s="243"/>
      <c r="L864" s="2011"/>
      <c r="M864" s="2011"/>
      <c r="N864" s="885"/>
      <c r="O864" s="885"/>
      <c r="P864" s="885"/>
      <c r="Q864" s="1640"/>
      <c r="R864" s="1640"/>
      <c r="S864" s="885"/>
      <c r="T864" s="885"/>
      <c r="U864" s="885"/>
      <c r="V864" s="1640"/>
      <c r="W864" s="1640"/>
      <c r="X864" s="885"/>
      <c r="Y864" s="885"/>
      <c r="Z864" s="885"/>
      <c r="AA864" s="1640"/>
      <c r="AB864" s="1640"/>
      <c r="AC864" s="885"/>
      <c r="AD864" s="885"/>
      <c r="AE864" s="885"/>
      <c r="AF864" s="1640"/>
      <c r="AG864" s="1640"/>
      <c r="AH864" s="885"/>
      <c r="AI864" s="885"/>
      <c r="AJ864" s="885"/>
      <c r="AK864" s="1640"/>
      <c r="AL864" s="1640"/>
      <c r="AM864" s="885"/>
      <c r="AN864" s="885"/>
      <c r="AO864" s="885"/>
      <c r="AP864" s="1640"/>
      <c r="AQ864" s="1640"/>
      <c r="AR864" s="885"/>
      <c r="AS864" s="885"/>
      <c r="AT864" s="885"/>
      <c r="AU864" s="1640"/>
      <c r="AV864" s="1640"/>
      <c r="AW864" s="885"/>
      <c r="AX864" s="885"/>
      <c r="AY864" s="885"/>
      <c r="AZ864" s="1640"/>
      <c r="BA864" s="1640"/>
      <c r="BB864" s="885">
        <f>+BB862/BA862-1</f>
        <v>4.1271151465127609E-4</v>
      </c>
      <c r="BC864" s="885">
        <f>+BC862/BB862-1</f>
        <v>-4.3976897689768979E-2</v>
      </c>
      <c r="BD864" s="885">
        <f>+BD862/BC862-1</f>
        <v>0</v>
      </c>
      <c r="BE864" s="1640">
        <f>+BE862/BD862-1</f>
        <v>3.0465176490894974E-2</v>
      </c>
      <c r="BF864" s="1640"/>
      <c r="BG864" s="885">
        <f>+BG862/BF862-1</f>
        <v>0</v>
      </c>
      <c r="BH864" s="885">
        <f>+BH862/BG862-1</f>
        <v>0</v>
      </c>
      <c r="BI864" s="885">
        <f>+BI862/BH862-1</f>
        <v>-2.9564489112227754E-2</v>
      </c>
      <c r="BJ864" s="885">
        <f>+BJ862/BI862-1</f>
        <v>0</v>
      </c>
      <c r="BK864" s="1044"/>
      <c r="BL864" s="885">
        <f>+BL862/BK862-1</f>
        <v>0</v>
      </c>
      <c r="BM864" s="885">
        <f>+BM862/BL862-1</f>
        <v>0</v>
      </c>
      <c r="BN864" s="885">
        <f>+BN862/BM862-1</f>
        <v>0</v>
      </c>
      <c r="BO864" s="885">
        <f>+BO862/BN862-1</f>
        <v>-1.9849831707948518E-2</v>
      </c>
      <c r="BP864" s="1044"/>
      <c r="BQ864" s="885">
        <f>+BQ862/BP862-1</f>
        <v>0</v>
      </c>
      <c r="BR864" s="885">
        <f>+BR862/BQ862-1</f>
        <v>-8.8051422030499538E-5</v>
      </c>
      <c r="BS864" s="885">
        <f>+BS862/BR862-1</f>
        <v>-2.7122226135963379E-2</v>
      </c>
      <c r="BT864" s="885">
        <f>+BT862/BS862-1</f>
        <v>-7.2411296162200323E-4</v>
      </c>
      <c r="BU864" s="1044"/>
      <c r="BV864" s="885">
        <f>+BV862/BU862-1</f>
        <v>0</v>
      </c>
      <c r="BW864" s="885">
        <f>+BW862/BV862-1</f>
        <v>2.3550724637681153E-2</v>
      </c>
      <c r="BX864" s="885">
        <f>+BX862/BW862-1</f>
        <v>0</v>
      </c>
      <c r="BY864" s="885">
        <f>+BY862/BX862-1</f>
        <v>1.0973451327433548E-2</v>
      </c>
      <c r="BZ864" s="1044"/>
      <c r="CA864" s="885">
        <f>+CA862/BZ862-1</f>
        <v>4.9194677871148507E-2</v>
      </c>
      <c r="CB864" s="885">
        <f>+CB862/CA862-1</f>
        <v>2.2776572668112838E-2</v>
      </c>
      <c r="CC864" s="885">
        <f>+CC862/CB862-1</f>
        <v>-2.2921934904967745E-2</v>
      </c>
      <c r="CD864" s="885">
        <f>+CD862/CC862-1</f>
        <v>0</v>
      </c>
      <c r="CE864" s="1044"/>
      <c r="CF864" s="885">
        <f>+CF862/CE862-1</f>
        <v>3.3394556687249555E-4</v>
      </c>
      <c r="CG864" s="885">
        <f>+CG862/CF862-1</f>
        <v>-4.1729260557499259E-4</v>
      </c>
      <c r="CH864" s="885">
        <f>+CH862/CG862-1</f>
        <v>0</v>
      </c>
      <c r="CI864" s="885">
        <f>+CI862/CH862-1</f>
        <v>1.3781414377556986</v>
      </c>
      <c r="CJ864" s="1044"/>
      <c r="CK864" s="885">
        <f>+CK862/CJ862-1</f>
        <v>-6.7408629708949341E-3</v>
      </c>
      <c r="CL864" s="885">
        <f>+CL862/CK862-1</f>
        <v>8.6599978791841448E-3</v>
      </c>
      <c r="CM864" s="885">
        <f>+CM862/CL862-1</f>
        <v>7.7165685449958055E-2</v>
      </c>
      <c r="CN864" s="885">
        <f>+CN862/CM862-1</f>
        <v>-9.0441798425401343E-3</v>
      </c>
      <c r="CO864" s="1044"/>
      <c r="CP864" s="1771"/>
      <c r="CQ864" s="885"/>
      <c r="CR864" s="886"/>
      <c r="CS864" s="886"/>
      <c r="CT864" s="1044"/>
      <c r="CU864" s="1044"/>
      <c r="CV864" s="1044"/>
      <c r="CW864" s="2702"/>
      <c r="CX864" s="2702"/>
      <c r="CY864" s="2702"/>
      <c r="CZ864" s="2702"/>
      <c r="DA864" s="2702"/>
      <c r="DB864" s="217"/>
      <c r="DF864" s="11"/>
      <c r="DG864" s="11"/>
      <c r="DH864" s="11"/>
      <c r="DI864" s="11"/>
      <c r="DJ864" s="11"/>
      <c r="DK864" s="11"/>
      <c r="DL864" s="11"/>
      <c r="DM864" s="11"/>
      <c r="DN864" s="11"/>
      <c r="DO864" s="11"/>
      <c r="DP864" s="11"/>
      <c r="DQ864" s="11"/>
      <c r="DR864" s="11"/>
      <c r="DS864" s="11"/>
      <c r="DT864" s="11"/>
      <c r="DU864" s="11"/>
      <c r="DV864" s="11"/>
      <c r="DW864" s="11"/>
      <c r="DX864" s="11"/>
      <c r="DY864" s="11"/>
      <c r="DZ864" s="11"/>
      <c r="EA864" s="11"/>
      <c r="EB864" s="11"/>
      <c r="EC864" s="11"/>
      <c r="ED864" s="11"/>
      <c r="EE864" s="11"/>
      <c r="EF864" s="11"/>
      <c r="EG864" s="11"/>
      <c r="EH864" s="11"/>
      <c r="EI864" s="11"/>
      <c r="EJ864" s="11"/>
      <c r="EK864" s="11"/>
      <c r="EL864" s="11"/>
      <c r="EM864" s="11"/>
      <c r="EN864" s="11"/>
      <c r="EO864" s="11"/>
      <c r="EP864" s="11"/>
      <c r="EQ864" s="11"/>
      <c r="ER864" s="11"/>
      <c r="ES864" s="11"/>
      <c r="ET864" s="11"/>
      <c r="EU864" s="11"/>
      <c r="EV864" s="11"/>
      <c r="EW864" s="11"/>
      <c r="EX864" s="11"/>
      <c r="EY864" s="11"/>
      <c r="EZ864" s="11"/>
      <c r="FA864" s="11"/>
      <c r="FB864" s="11"/>
      <c r="FC864" s="11"/>
      <c r="FD864" s="11"/>
      <c r="FE864" s="11"/>
      <c r="FF864" s="11"/>
      <c r="FG864" s="11"/>
      <c r="FH864" s="11"/>
      <c r="FI864" s="11"/>
      <c r="FJ864" s="11"/>
      <c r="FK864" s="11"/>
      <c r="FL864" s="11"/>
      <c r="FM864" s="11"/>
      <c r="FN864" s="11"/>
      <c r="FO864" s="11"/>
      <c r="FP864" s="11"/>
      <c r="FQ864" s="11"/>
      <c r="FR864" s="11"/>
      <c r="FS864" s="11"/>
      <c r="FT864" s="11"/>
      <c r="FU864" s="11"/>
      <c r="FV864" s="11"/>
      <c r="FW864" s="11"/>
      <c r="FX864" s="11"/>
      <c r="FY864" s="11"/>
      <c r="FZ864" s="11"/>
      <c r="GA864" s="11"/>
      <c r="GB864" s="11"/>
      <c r="GC864" s="11"/>
      <c r="GD864" s="11"/>
      <c r="GE864" s="11"/>
      <c r="GF864" s="11"/>
      <c r="GG864" s="11"/>
      <c r="GH864" s="11"/>
      <c r="GI864" s="11"/>
      <c r="GJ864" s="11"/>
      <c r="GK864" s="11"/>
      <c r="GL864" s="11"/>
      <c r="GM864" s="11"/>
      <c r="GN864" s="11"/>
      <c r="GO864" s="11"/>
      <c r="GP864" s="11"/>
      <c r="GQ864" s="11"/>
      <c r="GR864" s="11"/>
      <c r="GS864" s="11"/>
      <c r="GT864" s="11"/>
      <c r="GU864" s="11"/>
      <c r="GV864" s="11"/>
      <c r="GW864" s="11"/>
      <c r="GX864" s="11"/>
      <c r="GY864" s="11"/>
      <c r="GZ864" s="11"/>
      <c r="HA864" s="11"/>
      <c r="HB864" s="11"/>
      <c r="HC864" s="11"/>
      <c r="HD864" s="11"/>
      <c r="HE864" s="11"/>
      <c r="HF864" s="11"/>
      <c r="HG864" s="11"/>
      <c r="HH864" s="11"/>
      <c r="HI864" s="11"/>
      <c r="HJ864" s="11"/>
      <c r="HK864" s="11"/>
      <c r="HL864" s="11"/>
      <c r="HM864" s="11"/>
      <c r="HN864" s="11"/>
      <c r="HO864" s="11"/>
      <c r="HP864" s="11"/>
      <c r="HQ864" s="11"/>
      <c r="HR864" s="11"/>
      <c r="HS864" s="11"/>
      <c r="HT864" s="11"/>
      <c r="HU864" s="11"/>
      <c r="HV864" s="11"/>
      <c r="HW864" s="11"/>
      <c r="HX864" s="11"/>
      <c r="HY864" s="11"/>
      <c r="HZ864" s="11"/>
      <c r="IA864" s="11"/>
      <c r="IB864" s="11"/>
      <c r="IC864" s="11"/>
      <c r="ID864" s="11"/>
      <c r="IE864" s="11"/>
      <c r="IF864" s="11"/>
      <c r="IG864" s="11"/>
      <c r="IH864" s="11"/>
      <c r="II864" s="11"/>
      <c r="IJ864" s="11"/>
      <c r="IK864" s="11"/>
      <c r="IL864" s="11"/>
      <c r="IM864" s="11"/>
      <c r="IN864" s="11"/>
      <c r="IO864" s="11"/>
      <c r="IP864" s="11"/>
      <c r="IQ864" s="11"/>
      <c r="IR864" s="11"/>
      <c r="IS864" s="11"/>
      <c r="IT864" s="11"/>
      <c r="IU864" s="11"/>
      <c r="IV864" s="11"/>
    </row>
    <row r="865" spans="1:256" s="11" customFormat="1" x14ac:dyDescent="0.2">
      <c r="A865" s="1142" t="s">
        <v>1387</v>
      </c>
      <c r="B865" s="212"/>
      <c r="C865" s="212"/>
      <c r="D865" s="212"/>
      <c r="E865" s="212"/>
      <c r="F865" s="212"/>
      <c r="G865" s="212"/>
      <c r="H865" s="194"/>
      <c r="I865" s="758">
        <f t="shared" ref="I865:AN865" si="1328">SUM(I469:I471)+I468+I475</f>
        <v>51128</v>
      </c>
      <c r="J865" s="758">
        <f t="shared" si="1328"/>
        <v>51849</v>
      </c>
      <c r="K865" s="758">
        <f t="shared" si="1328"/>
        <v>53023</v>
      </c>
      <c r="L865" s="751">
        <f t="shared" si="1328"/>
        <v>53244</v>
      </c>
      <c r="M865" s="751">
        <f t="shared" si="1328"/>
        <v>53244</v>
      </c>
      <c r="N865" s="758">
        <f t="shared" si="1328"/>
        <v>54681</v>
      </c>
      <c r="O865" s="758">
        <f t="shared" si="1328"/>
        <v>54960</v>
      </c>
      <c r="P865" s="758">
        <f t="shared" si="1328"/>
        <v>55494</v>
      </c>
      <c r="Q865" s="751">
        <f t="shared" si="1328"/>
        <v>56274</v>
      </c>
      <c r="R865" s="751">
        <f t="shared" si="1328"/>
        <v>56274</v>
      </c>
      <c r="S865" s="758">
        <f t="shared" si="1328"/>
        <v>55940</v>
      </c>
      <c r="T865" s="758">
        <f t="shared" si="1328"/>
        <v>56222</v>
      </c>
      <c r="U865" s="758">
        <f t="shared" si="1328"/>
        <v>55570</v>
      </c>
      <c r="V865" s="751">
        <f t="shared" si="1328"/>
        <v>56702</v>
      </c>
      <c r="W865" s="751">
        <f t="shared" si="1328"/>
        <v>56702</v>
      </c>
      <c r="X865" s="758">
        <f t="shared" si="1328"/>
        <v>57012</v>
      </c>
      <c r="Y865" s="758">
        <f t="shared" si="1328"/>
        <v>57511</v>
      </c>
      <c r="Z865" s="758">
        <f t="shared" si="1328"/>
        <v>58259</v>
      </c>
      <c r="AA865" s="751">
        <f t="shared" si="1328"/>
        <v>58971</v>
      </c>
      <c r="AB865" s="751">
        <f t="shared" si="1328"/>
        <v>58971</v>
      </c>
      <c r="AC865" s="758">
        <f t="shared" si="1328"/>
        <v>59482</v>
      </c>
      <c r="AD865" s="758">
        <f t="shared" si="1328"/>
        <v>59606</v>
      </c>
      <c r="AE865" s="758">
        <f t="shared" si="1328"/>
        <v>60094</v>
      </c>
      <c r="AF865" s="751">
        <f t="shared" si="1328"/>
        <v>60606</v>
      </c>
      <c r="AG865" s="751">
        <f t="shared" si="1328"/>
        <v>60606</v>
      </c>
      <c r="AH865" s="758">
        <f t="shared" si="1328"/>
        <v>60406</v>
      </c>
      <c r="AI865" s="758">
        <f t="shared" si="1328"/>
        <v>60676</v>
      </c>
      <c r="AJ865" s="758">
        <f t="shared" si="1328"/>
        <v>60838</v>
      </c>
      <c r="AK865" s="751">
        <f t="shared" si="1328"/>
        <v>60372</v>
      </c>
      <c r="AL865" s="751">
        <f t="shared" si="1328"/>
        <v>60372</v>
      </c>
      <c r="AM865" s="758">
        <f t="shared" si="1328"/>
        <v>60492</v>
      </c>
      <c r="AN865" s="758">
        <f t="shared" si="1328"/>
        <v>60300</v>
      </c>
      <c r="AO865" s="758">
        <f t="shared" ref="AO865:BT865" si="1329">SUM(AO469:AO471)+AO468+AO475</f>
        <v>61025</v>
      </c>
      <c r="AP865" s="751">
        <f t="shared" si="1329"/>
        <v>61316</v>
      </c>
      <c r="AQ865" s="751">
        <f t="shared" si="1329"/>
        <v>61316</v>
      </c>
      <c r="AR865" s="758">
        <f t="shared" si="1329"/>
        <v>61215</v>
      </c>
      <c r="AS865" s="758">
        <f t="shared" si="1329"/>
        <v>61406</v>
      </c>
      <c r="AT865" s="758">
        <f t="shared" si="1329"/>
        <v>61543</v>
      </c>
      <c r="AU865" s="751">
        <f t="shared" si="1329"/>
        <v>61955</v>
      </c>
      <c r="AV865" s="751">
        <f t="shared" si="1329"/>
        <v>61955</v>
      </c>
      <c r="AW865" s="758">
        <f t="shared" si="1329"/>
        <v>62278</v>
      </c>
      <c r="AX865" s="758">
        <f t="shared" si="1329"/>
        <v>62812</v>
      </c>
      <c r="AY865" s="758">
        <f t="shared" si="1329"/>
        <v>63929</v>
      </c>
      <c r="AZ865" s="751">
        <f t="shared" si="1329"/>
        <v>64903</v>
      </c>
      <c r="BA865" s="751">
        <f t="shared" si="1329"/>
        <v>64903</v>
      </c>
      <c r="BB865" s="758">
        <f t="shared" si="1329"/>
        <v>64289</v>
      </c>
      <c r="BC865" s="758">
        <f t="shared" si="1329"/>
        <v>64669</v>
      </c>
      <c r="BD865" s="758">
        <f t="shared" si="1329"/>
        <v>64790</v>
      </c>
      <c r="BE865" s="751">
        <f t="shared" si="1329"/>
        <v>64707</v>
      </c>
      <c r="BF865" s="751">
        <f t="shared" si="1329"/>
        <v>64707</v>
      </c>
      <c r="BG865" s="758">
        <f t="shared" si="1329"/>
        <v>65182</v>
      </c>
      <c r="BH865" s="758">
        <f t="shared" si="1329"/>
        <v>65492</v>
      </c>
      <c r="BI865" s="758">
        <f t="shared" si="1329"/>
        <v>65492</v>
      </c>
      <c r="BJ865" s="751">
        <f t="shared" si="1329"/>
        <v>65419</v>
      </c>
      <c r="BK865" s="752">
        <f t="shared" si="1329"/>
        <v>65419</v>
      </c>
      <c r="BL865" s="758">
        <f t="shared" si="1329"/>
        <v>65421</v>
      </c>
      <c r="BM865" s="758">
        <f t="shared" si="1329"/>
        <v>65187</v>
      </c>
      <c r="BN865" s="758">
        <f t="shared" si="1329"/>
        <v>64938</v>
      </c>
      <c r="BO865" s="751">
        <f t="shared" si="1329"/>
        <v>64646</v>
      </c>
      <c r="BP865" s="752">
        <f t="shared" si="1329"/>
        <v>64646</v>
      </c>
      <c r="BQ865" s="758">
        <f t="shared" si="1329"/>
        <v>63953</v>
      </c>
      <c r="BR865" s="758">
        <f t="shared" si="1329"/>
        <v>62628</v>
      </c>
      <c r="BS865" s="758">
        <f t="shared" si="1329"/>
        <v>62658</v>
      </c>
      <c r="BT865" s="751">
        <f t="shared" si="1329"/>
        <v>62427</v>
      </c>
      <c r="BU865" s="752">
        <f t="shared" ref="BU865:CD865" si="1330">SUM(BU469:BU471)+BU468+BU475</f>
        <v>62427</v>
      </c>
      <c r="BV865" s="758">
        <f t="shared" si="1330"/>
        <v>61791</v>
      </c>
      <c r="BW865" s="758">
        <f t="shared" si="1330"/>
        <v>62264</v>
      </c>
      <c r="BX865" s="758">
        <f t="shared" si="1330"/>
        <v>61004</v>
      </c>
      <c r="BY865" s="758">
        <f t="shared" si="1330"/>
        <v>60408</v>
      </c>
      <c r="BZ865" s="752">
        <f t="shared" si="1330"/>
        <v>60408</v>
      </c>
      <c r="CA865" s="758">
        <f t="shared" si="1330"/>
        <v>61190</v>
      </c>
      <c r="CB865" s="758">
        <f t="shared" si="1330"/>
        <v>61190</v>
      </c>
      <c r="CC865" s="758">
        <f t="shared" si="1330"/>
        <v>62321</v>
      </c>
      <c r="CD865" s="751">
        <f t="shared" si="1330"/>
        <v>62321</v>
      </c>
      <c r="CE865" s="752">
        <f>SUM(CE469:CE471)+CE468+CE475+CE477</f>
        <v>69149</v>
      </c>
      <c r="CF865" s="758">
        <f>SUM(CF469:CF471)+CF468+CF475</f>
        <v>62584</v>
      </c>
      <c r="CG865" s="2937">
        <f>SUM(CG469:CG471)+CG468+CG475</f>
        <v>62584</v>
      </c>
      <c r="CH865" s="2937">
        <f>SUM(CH469:CH471)+CH468+CH475</f>
        <v>62949</v>
      </c>
      <c r="CI865" s="2937">
        <f t="shared" ref="CI865:CV865" si="1331">SUM(CI469:CI471)+CI468+CI475+CI482+CI487+CI488</f>
        <v>63474</v>
      </c>
      <c r="CJ865" s="3020">
        <f t="shared" si="1331"/>
        <v>63474</v>
      </c>
      <c r="CK865" s="3526">
        <f t="shared" si="1331"/>
        <v>63357</v>
      </c>
      <c r="CL865" s="3526">
        <f>SUM(CL469:CL471)+CL468+CL475+CL482+CL487+CL488</f>
        <v>63139</v>
      </c>
      <c r="CM865" s="2937">
        <f t="shared" si="1331"/>
        <v>62134</v>
      </c>
      <c r="CN865" s="2937">
        <f t="shared" si="1331"/>
        <v>60534</v>
      </c>
      <c r="CO865" s="3020">
        <f t="shared" si="1331"/>
        <v>60534</v>
      </c>
      <c r="CP865" s="2937">
        <f t="shared" si="1331"/>
        <v>64624.140000000007</v>
      </c>
      <c r="CQ865" s="2937">
        <f t="shared" si="1331"/>
        <v>64401.78</v>
      </c>
      <c r="CR865" s="2937">
        <f t="shared" si="1331"/>
        <v>63376.68</v>
      </c>
      <c r="CS865" s="2937">
        <f t="shared" si="1331"/>
        <v>61744.68</v>
      </c>
      <c r="CT865" s="3020">
        <f>SUM(CT469:CT471)+CT468+CT475+CT482+CT487+CT488</f>
        <v>61744.68</v>
      </c>
      <c r="CU865" s="3020">
        <f t="shared" si="1331"/>
        <v>65140.637399999992</v>
      </c>
      <c r="CV865" s="3020">
        <f t="shared" si="1331"/>
        <v>66443.450148000004</v>
      </c>
      <c r="CW865" s="374"/>
      <c r="CX865" s="374"/>
      <c r="CY865" s="374"/>
      <c r="CZ865" s="374"/>
      <c r="DA865" s="374"/>
      <c r="DB865" s="217"/>
      <c r="DC865" s="212"/>
      <c r="DD865" s="212"/>
      <c r="DE865" s="70"/>
      <c r="DF865" s="70"/>
      <c r="DG865" s="70"/>
      <c r="DH865" s="70"/>
      <c r="DI865" s="70"/>
      <c r="DJ865" s="70"/>
      <c r="DK865" s="70"/>
      <c r="DL865" s="70"/>
      <c r="DM865" s="70"/>
      <c r="DN865" s="70"/>
      <c r="DO865" s="70"/>
      <c r="DP865" s="70"/>
      <c r="DQ865" s="70"/>
      <c r="DR865" s="70"/>
      <c r="DS865" s="70"/>
      <c r="DT865" s="70"/>
      <c r="DU865" s="70"/>
      <c r="DV865" s="70"/>
      <c r="DW865" s="70"/>
      <c r="DX865" s="70"/>
      <c r="DY865" s="70"/>
      <c r="DZ865" s="70"/>
      <c r="EA865" s="70"/>
      <c r="EB865" s="70"/>
      <c r="EC865" s="70"/>
      <c r="ED865" s="70"/>
      <c r="EE865" s="70"/>
      <c r="EF865" s="70"/>
      <c r="EG865" s="70"/>
      <c r="EH865" s="70"/>
      <c r="EI865" s="70"/>
      <c r="EJ865" s="70"/>
      <c r="EK865" s="70"/>
      <c r="EL865" s="70"/>
      <c r="EM865" s="70"/>
      <c r="EN865" s="70"/>
      <c r="EO865" s="70"/>
      <c r="EP865" s="70"/>
      <c r="EQ865" s="70"/>
      <c r="ER865" s="70"/>
      <c r="ES865" s="70"/>
      <c r="ET865" s="70"/>
      <c r="EU865" s="70"/>
      <c r="EV865" s="70"/>
      <c r="EW865" s="70"/>
      <c r="EX865" s="70"/>
      <c r="EY865" s="70"/>
      <c r="EZ865" s="70"/>
      <c r="FA865" s="70"/>
      <c r="FB865" s="70"/>
      <c r="FC865" s="70"/>
      <c r="FD865" s="70"/>
      <c r="FE865" s="70"/>
      <c r="FF865" s="70"/>
      <c r="FG865" s="70"/>
      <c r="FH865" s="70"/>
      <c r="FI865" s="70"/>
      <c r="FJ865" s="70"/>
      <c r="FK865" s="70"/>
      <c r="FL865" s="70"/>
      <c r="FM865" s="70"/>
      <c r="FN865" s="70"/>
      <c r="FO865" s="70"/>
      <c r="FP865" s="70"/>
      <c r="FQ865" s="70"/>
      <c r="FR865" s="70"/>
      <c r="FS865" s="70"/>
      <c r="FT865" s="70"/>
      <c r="FU865" s="70"/>
      <c r="FV865" s="70"/>
      <c r="FW865" s="70"/>
      <c r="FX865" s="70"/>
      <c r="FY865" s="70"/>
      <c r="FZ865" s="70"/>
      <c r="GA865" s="70"/>
      <c r="GB865" s="70"/>
      <c r="GC865" s="70"/>
      <c r="GD865" s="70"/>
      <c r="GE865" s="70"/>
      <c r="GF865" s="70"/>
      <c r="GG865" s="70"/>
      <c r="GH865" s="70"/>
      <c r="GI865" s="70"/>
      <c r="GJ865" s="70"/>
      <c r="GK865" s="70"/>
      <c r="GL865" s="70"/>
      <c r="GM865" s="70"/>
      <c r="GN865" s="70"/>
      <c r="GO865" s="70"/>
      <c r="GP865" s="70"/>
      <c r="GQ865" s="70"/>
      <c r="GR865" s="70"/>
      <c r="GS865" s="70"/>
      <c r="GT865" s="70"/>
      <c r="GU865" s="70"/>
      <c r="GV865" s="70"/>
      <c r="GW865" s="70"/>
      <c r="GX865" s="70"/>
      <c r="GY865" s="70"/>
      <c r="GZ865" s="70"/>
      <c r="HA865" s="70"/>
      <c r="HB865" s="70"/>
      <c r="HC865" s="70"/>
      <c r="HD865" s="70"/>
      <c r="HE865" s="70"/>
      <c r="HF865" s="70"/>
      <c r="HG865" s="70"/>
      <c r="HH865" s="70"/>
      <c r="HI865" s="70"/>
      <c r="HJ865" s="70"/>
      <c r="HK865" s="70"/>
      <c r="HL865" s="70"/>
      <c r="HM865" s="70"/>
      <c r="HN865" s="70"/>
      <c r="HO865" s="70"/>
      <c r="HP865" s="70"/>
      <c r="HQ865" s="70"/>
      <c r="HR865" s="70"/>
      <c r="HS865" s="70"/>
      <c r="HT865" s="70"/>
      <c r="HU865" s="70"/>
      <c r="HV865" s="70"/>
      <c r="HW865" s="70"/>
      <c r="HX865" s="70"/>
      <c r="HY865" s="70"/>
      <c r="HZ865" s="70"/>
      <c r="IA865" s="70"/>
      <c r="IB865" s="70"/>
      <c r="IC865" s="70"/>
      <c r="ID865" s="70"/>
      <c r="IE865" s="70"/>
      <c r="IF865" s="70"/>
      <c r="IG865" s="70"/>
      <c r="IH865" s="70"/>
      <c r="II865" s="70"/>
      <c r="IJ865" s="70"/>
      <c r="IK865" s="70"/>
      <c r="IL865" s="70"/>
      <c r="IM865" s="70"/>
      <c r="IN865" s="70"/>
      <c r="IO865" s="70"/>
      <c r="IP865" s="70"/>
      <c r="IQ865" s="70"/>
      <c r="IR865" s="70"/>
      <c r="IS865" s="70"/>
      <c r="IT865" s="70"/>
      <c r="IU865" s="70"/>
      <c r="IV865" s="70"/>
    </row>
    <row r="866" spans="1:256" s="11" customFormat="1" x14ac:dyDescent="0.2">
      <c r="A866" s="2389" t="s">
        <v>652</v>
      </c>
      <c r="B866" s="1193"/>
      <c r="C866" s="1193"/>
      <c r="D866" s="1193"/>
      <c r="E866" s="1193"/>
      <c r="F866" s="1193"/>
      <c r="G866" s="1193"/>
      <c r="H866" s="1946"/>
      <c r="I866" s="243"/>
      <c r="J866" s="243"/>
      <c r="K866" s="243"/>
      <c r="L866" s="2011"/>
      <c r="M866" s="2011"/>
      <c r="N866" s="885">
        <f t="shared" ref="N866:AS866" si="1332">+N865/I865-1</f>
        <v>6.9492254733218628E-2</v>
      </c>
      <c r="O866" s="885">
        <f t="shared" si="1332"/>
        <v>6.0001157206503564E-2</v>
      </c>
      <c r="P866" s="885">
        <f t="shared" si="1332"/>
        <v>4.6602417818682351E-2</v>
      </c>
      <c r="Q866" s="1640">
        <f t="shared" si="1332"/>
        <v>5.6907820599504166E-2</v>
      </c>
      <c r="R866" s="1640">
        <f t="shared" si="1332"/>
        <v>5.6907820599504166E-2</v>
      </c>
      <c r="S866" s="885">
        <f t="shared" si="1332"/>
        <v>2.3024450906164784E-2</v>
      </c>
      <c r="T866" s="885">
        <f t="shared" si="1332"/>
        <v>2.2962154294031922E-2</v>
      </c>
      <c r="U866" s="885">
        <f t="shared" si="1332"/>
        <v>1.3695174253072206E-3</v>
      </c>
      <c r="V866" s="1640">
        <f t="shared" si="1332"/>
        <v>7.605643814194929E-3</v>
      </c>
      <c r="W866" s="1640">
        <f t="shared" si="1332"/>
        <v>7.605643814194929E-3</v>
      </c>
      <c r="X866" s="885">
        <f t="shared" si="1332"/>
        <v>1.9163389345727477E-2</v>
      </c>
      <c r="Y866" s="885">
        <f t="shared" si="1332"/>
        <v>2.2926968090782873E-2</v>
      </c>
      <c r="Z866" s="885">
        <f t="shared" si="1332"/>
        <v>4.838941875112468E-2</v>
      </c>
      <c r="AA866" s="1640">
        <f t="shared" si="1332"/>
        <v>4.0016225177242459E-2</v>
      </c>
      <c r="AB866" s="1640">
        <f t="shared" si="1332"/>
        <v>4.0016225177242459E-2</v>
      </c>
      <c r="AC866" s="885">
        <f t="shared" si="1332"/>
        <v>4.332421244650253E-2</v>
      </c>
      <c r="AD866" s="885">
        <f t="shared" si="1332"/>
        <v>3.6427813809532195E-2</v>
      </c>
      <c r="AE866" s="885">
        <f t="shared" si="1332"/>
        <v>3.1497279390308774E-2</v>
      </c>
      <c r="AF866" s="1640">
        <f t="shared" si="1332"/>
        <v>2.7725492191077006E-2</v>
      </c>
      <c r="AG866" s="1640">
        <f t="shared" si="1332"/>
        <v>2.7725492191077006E-2</v>
      </c>
      <c r="AH866" s="885">
        <f t="shared" si="1332"/>
        <v>1.553411115967851E-2</v>
      </c>
      <c r="AI866" s="885">
        <f t="shared" si="1332"/>
        <v>1.7951212965137797E-2</v>
      </c>
      <c r="AJ866" s="885">
        <f t="shared" si="1332"/>
        <v>1.238060372083738E-2</v>
      </c>
      <c r="AK866" s="1640">
        <f t="shared" si="1332"/>
        <v>-3.8610038610038533E-3</v>
      </c>
      <c r="AL866" s="1640">
        <f t="shared" si="1332"/>
        <v>-3.8610038610038533E-3</v>
      </c>
      <c r="AM866" s="885">
        <f t="shared" si="1332"/>
        <v>1.4236996324867857E-3</v>
      </c>
      <c r="AN866" s="885">
        <f t="shared" si="1332"/>
        <v>-6.196848836442781E-3</v>
      </c>
      <c r="AO866" s="885">
        <f t="shared" si="1332"/>
        <v>3.0737368092310646E-3</v>
      </c>
      <c r="AP866" s="1640">
        <f t="shared" si="1332"/>
        <v>1.5636387729411005E-2</v>
      </c>
      <c r="AQ866" s="1640">
        <f t="shared" si="1332"/>
        <v>1.5636387729411005E-2</v>
      </c>
      <c r="AR866" s="885">
        <f t="shared" si="1332"/>
        <v>1.1951993652053128E-2</v>
      </c>
      <c r="AS866" s="885">
        <f t="shared" si="1332"/>
        <v>1.8341625207296763E-2</v>
      </c>
      <c r="AT866" s="885">
        <f t="shared" ref="AT866:BP866" si="1333">+AT865/AO865-1</f>
        <v>8.488324457189611E-3</v>
      </c>
      <c r="AU866" s="1640">
        <f t="shared" si="1333"/>
        <v>1.0421423445756473E-2</v>
      </c>
      <c r="AV866" s="1640">
        <f t="shared" si="1333"/>
        <v>1.0421423445756473E-2</v>
      </c>
      <c r="AW866" s="885">
        <f t="shared" si="1333"/>
        <v>1.7365024912194826E-2</v>
      </c>
      <c r="AX866" s="885">
        <f t="shared" si="1333"/>
        <v>2.289678533042383E-2</v>
      </c>
      <c r="AY866" s="885">
        <f t="shared" si="1333"/>
        <v>3.876964073899547E-2</v>
      </c>
      <c r="AZ866" s="1640">
        <f t="shared" si="1333"/>
        <v>4.758292308933898E-2</v>
      </c>
      <c r="BA866" s="1640">
        <f t="shared" si="1333"/>
        <v>4.758292308933898E-2</v>
      </c>
      <c r="BB866" s="885">
        <f t="shared" si="1333"/>
        <v>3.2290696554160281E-2</v>
      </c>
      <c r="BC866" s="885">
        <f t="shared" si="1333"/>
        <v>2.9564414443099984E-2</v>
      </c>
      <c r="BD866" s="885">
        <f t="shared" si="1333"/>
        <v>1.3468066135869483E-2</v>
      </c>
      <c r="BE866" s="1640">
        <f t="shared" si="1333"/>
        <v>-3.0198912222855201E-3</v>
      </c>
      <c r="BF866" s="1640">
        <f t="shared" si="1333"/>
        <v>-3.0198912222855201E-3</v>
      </c>
      <c r="BG866" s="885">
        <f t="shared" si="1333"/>
        <v>1.3890401157274246E-2</v>
      </c>
      <c r="BH866" s="885">
        <f t="shared" si="1333"/>
        <v>1.2726344925698463E-2</v>
      </c>
      <c r="BI866" s="885">
        <f t="shared" si="1333"/>
        <v>1.0835005402068276E-2</v>
      </c>
      <c r="BJ866" s="885">
        <f t="shared" si="1333"/>
        <v>1.1003446304109321E-2</v>
      </c>
      <c r="BK866" s="1044">
        <f t="shared" si="1333"/>
        <v>1.1003446304109321E-2</v>
      </c>
      <c r="BL866" s="885">
        <f t="shared" si="1333"/>
        <v>3.6666564388940781E-3</v>
      </c>
      <c r="BM866" s="885">
        <f t="shared" si="1333"/>
        <v>-4.6570573505161361E-3</v>
      </c>
      <c r="BN866" s="885">
        <f t="shared" si="1333"/>
        <v>-8.4590484333963989E-3</v>
      </c>
      <c r="BO866" s="885">
        <f t="shared" si="1333"/>
        <v>-1.1816139042174267E-2</v>
      </c>
      <c r="BP866" s="1044">
        <f t="shared" si="1333"/>
        <v>-1.1816139042174267E-2</v>
      </c>
      <c r="BQ866" s="885">
        <f t="shared" ref="BQ866:CB866" si="1334">+BQ865/BL865-1</f>
        <v>-2.2439277907705502E-2</v>
      </c>
      <c r="BR866" s="885">
        <f t="shared" si="1334"/>
        <v>-3.925629343273962E-2</v>
      </c>
      <c r="BS866" s="885">
        <f t="shared" si="1334"/>
        <v>-3.5110413009331931E-2</v>
      </c>
      <c r="BT866" s="885">
        <f t="shared" si="1334"/>
        <v>-3.4325402963833795E-2</v>
      </c>
      <c r="BU866" s="1044">
        <f t="shared" si="1334"/>
        <v>-3.4325402963833795E-2</v>
      </c>
      <c r="BV866" s="885">
        <f t="shared" si="1334"/>
        <v>-3.3806076337310254E-2</v>
      </c>
      <c r="BW866" s="885">
        <f t="shared" si="1334"/>
        <v>-5.8120968257009409E-3</v>
      </c>
      <c r="BX866" s="885">
        <f t="shared" si="1334"/>
        <v>-2.6397267707236161E-2</v>
      </c>
      <c r="BY866" s="885">
        <f t="shared" si="1334"/>
        <v>-3.2341775193425959E-2</v>
      </c>
      <c r="BZ866" s="1044">
        <f t="shared" si="1334"/>
        <v>-3.2341775193425959E-2</v>
      </c>
      <c r="CA866" s="885">
        <f t="shared" si="1334"/>
        <v>-9.7263355504847437E-3</v>
      </c>
      <c r="CB866" s="885">
        <f t="shared" si="1334"/>
        <v>-1.7249132725170258E-2</v>
      </c>
      <c r="CC866" s="885">
        <f t="shared" ref="CC866:CJ866" si="1335">+CC865/BX865-1</f>
        <v>2.1588748278801306E-2</v>
      </c>
      <c r="CD866" s="885">
        <f t="shared" si="1335"/>
        <v>3.1667990994570294E-2</v>
      </c>
      <c r="CE866" s="1044">
        <f t="shared" si="1335"/>
        <v>0.14469937756588536</v>
      </c>
      <c r="CF866" s="885">
        <f t="shared" si="1335"/>
        <v>2.2781500245138142E-2</v>
      </c>
      <c r="CG866" s="885">
        <f t="shared" si="1335"/>
        <v>2.2781500245138142E-2</v>
      </c>
      <c r="CH866" s="885">
        <f t="shared" si="1335"/>
        <v>1.007686012740483E-2</v>
      </c>
      <c r="CI866" s="885">
        <f t="shared" si="1335"/>
        <v>1.8500986826270438E-2</v>
      </c>
      <c r="CJ866" s="1044">
        <f t="shared" si="1335"/>
        <v>-8.2069155013087647E-2</v>
      </c>
      <c r="CK866" s="1278">
        <f>+CK865/CF865-1</f>
        <v>1.2351399718777856E-2</v>
      </c>
      <c r="CL866" s="1278">
        <f>+CL865/CG865-1</f>
        <v>8.8680812987345092E-3</v>
      </c>
      <c r="CM866" s="885">
        <f>+CM865/CH865-1</f>
        <v>-1.2946988832229223E-2</v>
      </c>
      <c r="CN866" s="885">
        <f>+CN865/CI865-1</f>
        <v>-4.6318177521504911E-2</v>
      </c>
      <c r="CO866" s="1044">
        <f>+CO865/CJ865-1</f>
        <v>-4.6318177521504911E-2</v>
      </c>
      <c r="CP866" s="3673">
        <v>0.02</v>
      </c>
      <c r="CQ866" s="3673">
        <v>0.02</v>
      </c>
      <c r="CR866" s="3671">
        <v>0.02</v>
      </c>
      <c r="CS866" s="3671">
        <v>0.02</v>
      </c>
      <c r="CT866" s="1044">
        <f>+CT865/CO865-1</f>
        <v>2.0000000000000018E-2</v>
      </c>
      <c r="CU866" s="1046">
        <v>5.5E-2</v>
      </c>
      <c r="CV866" s="1046">
        <v>0.02</v>
      </c>
      <c r="CW866" s="2702"/>
      <c r="CX866" s="2702"/>
      <c r="CY866" s="2702"/>
      <c r="CZ866" s="2702"/>
      <c r="DA866" s="2702"/>
      <c r="DB866" s="217"/>
      <c r="DC866" s="212"/>
      <c r="DD866" s="212"/>
      <c r="DE866" s="70"/>
    </row>
    <row r="867" spans="1:256" x14ac:dyDescent="0.2">
      <c r="A867" s="2389" t="s">
        <v>653</v>
      </c>
      <c r="B867" s="1193"/>
      <c r="C867" s="1193"/>
      <c r="D867" s="1193"/>
      <c r="E867" s="1193"/>
      <c r="F867" s="1193"/>
      <c r="G867" s="1193"/>
      <c r="H867" s="1946"/>
      <c r="I867" s="243"/>
      <c r="J867" s="243"/>
      <c r="K867" s="243"/>
      <c r="L867" s="2011"/>
      <c r="M867" s="2011"/>
      <c r="N867" s="885"/>
      <c r="O867" s="885"/>
      <c r="P867" s="885"/>
      <c r="Q867" s="1640"/>
      <c r="R867" s="1640"/>
      <c r="S867" s="885"/>
      <c r="T867" s="885"/>
      <c r="U867" s="885"/>
      <c r="V867" s="1640"/>
      <c r="W867" s="1640"/>
      <c r="X867" s="885"/>
      <c r="Y867" s="885"/>
      <c r="Z867" s="885"/>
      <c r="AA867" s="1640"/>
      <c r="AB867" s="1640"/>
      <c r="AC867" s="885"/>
      <c r="AD867" s="885"/>
      <c r="AE867" s="885"/>
      <c r="AF867" s="1640"/>
      <c r="AG867" s="1640"/>
      <c r="AH867" s="885"/>
      <c r="AI867" s="885"/>
      <c r="AJ867" s="885"/>
      <c r="AK867" s="1640"/>
      <c r="AL867" s="1640"/>
      <c r="AM867" s="885"/>
      <c r="AN867" s="885"/>
      <c r="AO867" s="885"/>
      <c r="AP867" s="1640"/>
      <c r="AQ867" s="1640"/>
      <c r="AR867" s="885"/>
      <c r="AS867" s="885"/>
      <c r="AT867" s="885"/>
      <c r="AU867" s="1640"/>
      <c r="AV867" s="1640"/>
      <c r="AW867" s="885"/>
      <c r="AX867" s="885"/>
      <c r="AY867" s="885"/>
      <c r="AZ867" s="1640"/>
      <c r="BA867" s="1640"/>
      <c r="BB867" s="885">
        <f>+BB865/BA865-1</f>
        <v>-9.4602714820578582E-3</v>
      </c>
      <c r="BC867" s="885">
        <f>+BC865/BB865-1</f>
        <v>5.9108090030954852E-3</v>
      </c>
      <c r="BD867" s="885">
        <f>+BD865/BC865-1</f>
        <v>1.8710665079095801E-3</v>
      </c>
      <c r="BE867" s="1640">
        <f>+BE865/BD865-1</f>
        <v>-1.2810618922672878E-3</v>
      </c>
      <c r="BF867" s="1640"/>
      <c r="BG867" s="885">
        <f>+BG865/BF865-1</f>
        <v>7.3407822955784408E-3</v>
      </c>
      <c r="BH867" s="885">
        <f>+BH865/BG865-1</f>
        <v>4.755914209444434E-3</v>
      </c>
      <c r="BI867" s="885">
        <f>+BI865/BH865-1</f>
        <v>0</v>
      </c>
      <c r="BJ867" s="885">
        <f>+BJ865/BI865-1</f>
        <v>-1.1146399560251208E-3</v>
      </c>
      <c r="BK867" s="1044"/>
      <c r="BL867" s="885">
        <f>+BL865/BK865-1</f>
        <v>3.0572157935671029E-5</v>
      </c>
      <c r="BM867" s="885">
        <f>+BM865/BL865-1</f>
        <v>-3.5768331269775411E-3</v>
      </c>
      <c r="BN867" s="885">
        <f>+BN865/BM865-1</f>
        <v>-3.8197800174881724E-3</v>
      </c>
      <c r="BO867" s="885">
        <f>+BO865/BN865-1</f>
        <v>-4.4965967538267426E-3</v>
      </c>
      <c r="BP867" s="1044"/>
      <c r="BQ867" s="885">
        <f>+BQ865/BP865-1</f>
        <v>-1.0719920799430738E-2</v>
      </c>
      <c r="BR867" s="885">
        <f>+BR865/BQ865-1</f>
        <v>-2.0718340030960292E-2</v>
      </c>
      <c r="BS867" s="885">
        <f>+BS865/BR865-1</f>
        <v>4.7901896915125697E-4</v>
      </c>
      <c r="BT867" s="885">
        <f>+BT865/BS865-1</f>
        <v>-3.6866800727760607E-3</v>
      </c>
      <c r="BU867" s="1044"/>
      <c r="BV867" s="885">
        <f>+BV865/BU865-1</f>
        <v>-1.0187899466576944E-2</v>
      </c>
      <c r="BW867" s="885">
        <f>+BW865/BV865-1</f>
        <v>7.6548364648574285E-3</v>
      </c>
      <c r="BX867" s="885">
        <f>+BX865/BW865-1</f>
        <v>-2.023641269433385E-2</v>
      </c>
      <c r="BY867" s="885">
        <f>+BY865/BX865-1</f>
        <v>-9.7698511573011126E-3</v>
      </c>
      <c r="BZ867" s="1044"/>
      <c r="CA867" s="885">
        <f>+CA865/BZ865-1</f>
        <v>1.2945305257581863E-2</v>
      </c>
      <c r="CB867" s="885">
        <f>+CB865/CA865-1</f>
        <v>0</v>
      </c>
      <c r="CC867" s="885">
        <f>+CC865/CB865-1</f>
        <v>1.8483412322274795E-2</v>
      </c>
      <c r="CD867" s="885">
        <f>+CD865/CC865-1</f>
        <v>0</v>
      </c>
      <c r="CE867" s="1044"/>
      <c r="CF867" s="885">
        <f>+CF865/CE865-1</f>
        <v>-9.4939912363157797E-2</v>
      </c>
      <c r="CG867" s="885">
        <f>+CG865/CF865-1</f>
        <v>0</v>
      </c>
      <c r="CH867" s="885">
        <f>+CH865/CG865-1</f>
        <v>5.832161574843342E-3</v>
      </c>
      <c r="CI867" s="885">
        <f>+CI865/CH865-1</f>
        <v>8.3400848305772435E-3</v>
      </c>
      <c r="CJ867" s="1044"/>
      <c r="CK867" s="885">
        <f>+CK865/CJ865-1</f>
        <v>-1.8432744115700617E-3</v>
      </c>
      <c r="CL867" s="885">
        <f>+CL865/CK865-1</f>
        <v>-3.4408194832457051E-3</v>
      </c>
      <c r="CM867" s="885">
        <f>+CM865/CL865-1</f>
        <v>-1.5917261914189296E-2</v>
      </c>
      <c r="CN867" s="885">
        <f>+CN865/CM865-1</f>
        <v>-2.5750796665271802E-2</v>
      </c>
      <c r="CO867" s="1044"/>
      <c r="CP867" s="1771"/>
      <c r="CQ867" s="885"/>
      <c r="CR867" s="886"/>
      <c r="CS867" s="886"/>
      <c r="CT867" s="1044"/>
      <c r="CU867" s="1044"/>
      <c r="CV867" s="1044"/>
      <c r="CW867" s="2702"/>
      <c r="CX867" s="2702"/>
      <c r="CY867" s="2702"/>
      <c r="CZ867" s="2702"/>
      <c r="DA867" s="2702"/>
      <c r="DB867" s="217"/>
      <c r="DF867" s="11"/>
      <c r="DG867" s="11"/>
      <c r="DH867" s="11"/>
      <c r="DI867" s="11"/>
      <c r="DJ867" s="11"/>
      <c r="DK867" s="11"/>
      <c r="DL867" s="11"/>
      <c r="DM867" s="11"/>
      <c r="DN867" s="11"/>
      <c r="DO867" s="11"/>
      <c r="DP867" s="11"/>
      <c r="DQ867" s="11"/>
      <c r="DR867" s="11"/>
      <c r="DS867" s="11"/>
      <c r="DT867" s="11"/>
      <c r="DU867" s="11"/>
      <c r="DV867" s="11"/>
      <c r="DW867" s="11"/>
      <c r="DX867" s="11"/>
      <c r="DY867" s="11"/>
      <c r="DZ867" s="11"/>
      <c r="EA867" s="11"/>
      <c r="EB867" s="11"/>
      <c r="EC867" s="11"/>
      <c r="ED867" s="11"/>
      <c r="EE867" s="11"/>
      <c r="EF867" s="11"/>
      <c r="EG867" s="11"/>
      <c r="EH867" s="11"/>
      <c r="EI867" s="11"/>
      <c r="EJ867" s="11"/>
      <c r="EK867" s="11"/>
      <c r="EL867" s="11"/>
      <c r="EM867" s="11"/>
      <c r="EN867" s="11"/>
      <c r="EO867" s="11"/>
      <c r="EP867" s="11"/>
      <c r="EQ867" s="11"/>
      <c r="ER867" s="11"/>
      <c r="ES867" s="11"/>
      <c r="ET867" s="11"/>
      <c r="EU867" s="11"/>
      <c r="EV867" s="11"/>
      <c r="EW867" s="11"/>
      <c r="EX867" s="11"/>
      <c r="EY867" s="11"/>
      <c r="EZ867" s="11"/>
      <c r="FA867" s="11"/>
      <c r="FB867" s="11"/>
      <c r="FC867" s="11"/>
      <c r="FD867" s="11"/>
      <c r="FE867" s="11"/>
      <c r="FF867" s="11"/>
      <c r="FG867" s="11"/>
      <c r="FH867" s="11"/>
      <c r="FI867" s="11"/>
      <c r="FJ867" s="11"/>
      <c r="FK867" s="11"/>
      <c r="FL867" s="11"/>
      <c r="FM867" s="11"/>
      <c r="FN867" s="11"/>
      <c r="FO867" s="11"/>
      <c r="FP867" s="11"/>
      <c r="FQ867" s="11"/>
      <c r="FR867" s="11"/>
      <c r="FS867" s="11"/>
      <c r="FT867" s="11"/>
      <c r="FU867" s="11"/>
      <c r="FV867" s="11"/>
      <c r="FW867" s="11"/>
      <c r="FX867" s="11"/>
      <c r="FY867" s="11"/>
      <c r="FZ867" s="11"/>
      <c r="GA867" s="11"/>
      <c r="GB867" s="11"/>
      <c r="GC867" s="11"/>
      <c r="GD867" s="11"/>
      <c r="GE867" s="11"/>
      <c r="GF867" s="11"/>
      <c r="GG867" s="11"/>
      <c r="GH867" s="11"/>
      <c r="GI867" s="11"/>
      <c r="GJ867" s="11"/>
      <c r="GK867" s="11"/>
      <c r="GL867" s="11"/>
      <c r="GM867" s="11"/>
      <c r="GN867" s="11"/>
      <c r="GO867" s="11"/>
      <c r="GP867" s="11"/>
      <c r="GQ867" s="11"/>
      <c r="GR867" s="11"/>
      <c r="GS867" s="11"/>
      <c r="GT867" s="11"/>
      <c r="GU867" s="11"/>
      <c r="GV867" s="11"/>
      <c r="GW867" s="11"/>
      <c r="GX867" s="11"/>
      <c r="GY867" s="11"/>
      <c r="GZ867" s="11"/>
      <c r="HA867" s="11"/>
      <c r="HB867" s="11"/>
      <c r="HC867" s="11"/>
      <c r="HD867" s="11"/>
      <c r="HE867" s="11"/>
      <c r="HF867" s="11"/>
      <c r="HG867" s="11"/>
      <c r="HH867" s="11"/>
      <c r="HI867" s="11"/>
      <c r="HJ867" s="11"/>
      <c r="HK867" s="11"/>
      <c r="HL867" s="11"/>
      <c r="HM867" s="11"/>
      <c r="HN867" s="11"/>
      <c r="HO867" s="11"/>
      <c r="HP867" s="11"/>
      <c r="HQ867" s="11"/>
      <c r="HR867" s="11"/>
      <c r="HS867" s="11"/>
      <c r="HT867" s="11"/>
      <c r="HU867" s="11"/>
      <c r="HV867" s="11"/>
      <c r="HW867" s="11"/>
      <c r="HX867" s="11"/>
      <c r="HY867" s="11"/>
      <c r="HZ867" s="11"/>
      <c r="IA867" s="11"/>
      <c r="IB867" s="11"/>
      <c r="IC867" s="11"/>
      <c r="ID867" s="11"/>
      <c r="IE867" s="11"/>
      <c r="IF867" s="11"/>
      <c r="IG867" s="11"/>
      <c r="IH867" s="11"/>
      <c r="II867" s="11"/>
      <c r="IJ867" s="11"/>
      <c r="IK867" s="11"/>
      <c r="IL867" s="11"/>
      <c r="IM867" s="11"/>
      <c r="IN867" s="11"/>
      <c r="IO867" s="11"/>
      <c r="IP867" s="11"/>
      <c r="IQ867" s="11"/>
      <c r="IR867" s="11"/>
      <c r="IS867" s="11"/>
      <c r="IT867" s="11"/>
      <c r="IU867" s="11"/>
      <c r="IV867" s="11"/>
    </row>
    <row r="868" spans="1:256" s="11" customFormat="1" x14ac:dyDescent="0.2">
      <c r="A868" s="1142" t="s">
        <v>1255</v>
      </c>
      <c r="B868" s="212"/>
      <c r="C868" s="212"/>
      <c r="D868" s="212"/>
      <c r="E868" s="212"/>
      <c r="F868" s="212"/>
      <c r="G868" s="212"/>
      <c r="H868" s="194"/>
      <c r="I868" s="758">
        <f t="shared" ref="I868:AN868" si="1336">I472+I473</f>
        <v>9746</v>
      </c>
      <c r="J868" s="758">
        <f t="shared" si="1336"/>
        <v>9995</v>
      </c>
      <c r="K868" s="758">
        <f t="shared" si="1336"/>
        <v>9998</v>
      </c>
      <c r="L868" s="751">
        <f t="shared" si="1336"/>
        <v>3065</v>
      </c>
      <c r="M868" s="751">
        <f t="shared" si="1336"/>
        <v>3065</v>
      </c>
      <c r="N868" s="758">
        <f t="shared" si="1336"/>
        <v>3253</v>
      </c>
      <c r="O868" s="758">
        <f t="shared" si="1336"/>
        <v>3252</v>
      </c>
      <c r="P868" s="758">
        <f t="shared" si="1336"/>
        <v>3251</v>
      </c>
      <c r="Q868" s="751">
        <f t="shared" si="1336"/>
        <v>3568</v>
      </c>
      <c r="R868" s="751">
        <f t="shared" si="1336"/>
        <v>3568</v>
      </c>
      <c r="S868" s="758">
        <f t="shared" si="1336"/>
        <v>3523</v>
      </c>
      <c r="T868" s="758">
        <f t="shared" si="1336"/>
        <v>3428</v>
      </c>
      <c r="U868" s="758">
        <f t="shared" si="1336"/>
        <v>3428</v>
      </c>
      <c r="V868" s="751">
        <f t="shared" si="1336"/>
        <v>3524</v>
      </c>
      <c r="W868" s="751">
        <f t="shared" si="1336"/>
        <v>3524</v>
      </c>
      <c r="X868" s="758">
        <f t="shared" si="1336"/>
        <v>3523</v>
      </c>
      <c r="Y868" s="758">
        <f t="shared" si="1336"/>
        <v>4001</v>
      </c>
      <c r="Z868" s="758">
        <f t="shared" si="1336"/>
        <v>4128</v>
      </c>
      <c r="AA868" s="751">
        <f t="shared" si="1336"/>
        <v>4516</v>
      </c>
      <c r="AB868" s="751">
        <f t="shared" si="1336"/>
        <v>4516</v>
      </c>
      <c r="AC868" s="758">
        <f t="shared" si="1336"/>
        <v>4516</v>
      </c>
      <c r="AD868" s="758">
        <f t="shared" si="1336"/>
        <v>4516</v>
      </c>
      <c r="AE868" s="758">
        <f t="shared" si="1336"/>
        <v>4515</v>
      </c>
      <c r="AF868" s="751">
        <f t="shared" si="1336"/>
        <v>4515</v>
      </c>
      <c r="AG868" s="751">
        <f t="shared" si="1336"/>
        <v>4515</v>
      </c>
      <c r="AH868" s="758">
        <f t="shared" si="1336"/>
        <v>4516</v>
      </c>
      <c r="AI868" s="758">
        <f t="shared" si="1336"/>
        <v>4516</v>
      </c>
      <c r="AJ868" s="758">
        <f t="shared" si="1336"/>
        <v>4516</v>
      </c>
      <c r="AK868" s="751">
        <f t="shared" si="1336"/>
        <v>4516</v>
      </c>
      <c r="AL868" s="751">
        <f t="shared" si="1336"/>
        <v>4516</v>
      </c>
      <c r="AM868" s="758">
        <f t="shared" si="1336"/>
        <v>4516</v>
      </c>
      <c r="AN868" s="758">
        <f t="shared" si="1336"/>
        <v>4516</v>
      </c>
      <c r="AO868" s="758">
        <f t="shared" ref="AO868:BT868" si="1337">AO472+AO473</f>
        <v>4516</v>
      </c>
      <c r="AP868" s="751">
        <f t="shared" si="1337"/>
        <v>4516</v>
      </c>
      <c r="AQ868" s="751">
        <f t="shared" si="1337"/>
        <v>4516</v>
      </c>
      <c r="AR868" s="758">
        <f t="shared" si="1337"/>
        <v>4516</v>
      </c>
      <c r="AS868" s="758">
        <f t="shared" si="1337"/>
        <v>4516</v>
      </c>
      <c r="AT868" s="758">
        <f t="shared" si="1337"/>
        <v>4516</v>
      </c>
      <c r="AU868" s="751">
        <f t="shared" si="1337"/>
        <v>4516</v>
      </c>
      <c r="AV868" s="751">
        <f t="shared" si="1337"/>
        <v>4516</v>
      </c>
      <c r="AW868" s="758">
        <f t="shared" si="1337"/>
        <v>4516</v>
      </c>
      <c r="AX868" s="758">
        <f t="shared" si="1337"/>
        <v>4514</v>
      </c>
      <c r="AY868" s="758">
        <f t="shared" si="1337"/>
        <v>4714</v>
      </c>
      <c r="AZ868" s="751">
        <f t="shared" si="1337"/>
        <v>4714</v>
      </c>
      <c r="BA868" s="751">
        <f t="shared" si="1337"/>
        <v>4714</v>
      </c>
      <c r="BB868" s="758">
        <f t="shared" si="1337"/>
        <v>4713</v>
      </c>
      <c r="BC868" s="758">
        <f t="shared" si="1337"/>
        <v>4713</v>
      </c>
      <c r="BD868" s="758">
        <f t="shared" si="1337"/>
        <v>4713</v>
      </c>
      <c r="BE868" s="751">
        <f t="shared" si="1337"/>
        <v>4713</v>
      </c>
      <c r="BF868" s="751">
        <f t="shared" si="1337"/>
        <v>4713</v>
      </c>
      <c r="BG868" s="758">
        <f t="shared" si="1337"/>
        <v>4713</v>
      </c>
      <c r="BH868" s="758">
        <f t="shared" si="1337"/>
        <v>4713</v>
      </c>
      <c r="BI868" s="758">
        <f t="shared" si="1337"/>
        <v>4713</v>
      </c>
      <c r="BJ868" s="751">
        <f t="shared" si="1337"/>
        <v>4141</v>
      </c>
      <c r="BK868" s="752">
        <f t="shared" si="1337"/>
        <v>4141</v>
      </c>
      <c r="BL868" s="758">
        <f t="shared" si="1337"/>
        <v>4141</v>
      </c>
      <c r="BM868" s="758">
        <f t="shared" si="1337"/>
        <v>3495</v>
      </c>
      <c r="BN868" s="758">
        <f t="shared" si="1337"/>
        <v>3495</v>
      </c>
      <c r="BO868" s="751">
        <f t="shared" si="1337"/>
        <v>3495</v>
      </c>
      <c r="BP868" s="752">
        <f t="shared" si="1337"/>
        <v>3495</v>
      </c>
      <c r="BQ868" s="758">
        <f t="shared" si="1337"/>
        <v>3495</v>
      </c>
      <c r="BR868" s="758">
        <f t="shared" si="1337"/>
        <v>3495</v>
      </c>
      <c r="BS868" s="758">
        <f t="shared" si="1337"/>
        <v>3637</v>
      </c>
      <c r="BT868" s="751">
        <f t="shared" si="1337"/>
        <v>3637</v>
      </c>
      <c r="BU868" s="752">
        <f t="shared" ref="BU868:CV868" si="1338">BU472+BU473</f>
        <v>3637</v>
      </c>
      <c r="BV868" s="758">
        <f t="shared" si="1338"/>
        <v>3320</v>
      </c>
      <c r="BW868" s="758">
        <f t="shared" si="1338"/>
        <v>3228</v>
      </c>
      <c r="BX868" s="758">
        <f t="shared" si="1338"/>
        <v>3133</v>
      </c>
      <c r="BY868" s="758">
        <f t="shared" si="1338"/>
        <v>2943</v>
      </c>
      <c r="BZ868" s="752">
        <f t="shared" si="1338"/>
        <v>2943</v>
      </c>
      <c r="CA868" s="758">
        <f t="shared" si="1338"/>
        <v>2941</v>
      </c>
      <c r="CB868" s="758">
        <f t="shared" si="1338"/>
        <v>3065</v>
      </c>
      <c r="CC868" s="758">
        <f t="shared" si="1338"/>
        <v>3064</v>
      </c>
      <c r="CD868" s="751">
        <f t="shared" si="1338"/>
        <v>3064</v>
      </c>
      <c r="CE868" s="752">
        <f t="shared" si="1338"/>
        <v>3064</v>
      </c>
      <c r="CF868" s="758">
        <f t="shared" si="1338"/>
        <v>3064</v>
      </c>
      <c r="CG868" s="758">
        <f t="shared" si="1338"/>
        <v>3064</v>
      </c>
      <c r="CH868" s="758">
        <f t="shared" si="1338"/>
        <v>3064</v>
      </c>
      <c r="CI868" s="751">
        <f t="shared" si="1338"/>
        <v>3172</v>
      </c>
      <c r="CJ868" s="752">
        <f t="shared" si="1338"/>
        <v>3172</v>
      </c>
      <c r="CK868" s="3519">
        <f t="shared" si="1338"/>
        <v>3172</v>
      </c>
      <c r="CL868" s="3519">
        <f>CL472+CL473</f>
        <v>3172</v>
      </c>
      <c r="CM868" s="758">
        <f t="shared" si="1338"/>
        <v>3172</v>
      </c>
      <c r="CN868" s="758">
        <f t="shared" si="1338"/>
        <v>3273</v>
      </c>
      <c r="CO868" s="752">
        <f t="shared" si="1338"/>
        <v>3273</v>
      </c>
      <c r="CP868" s="758">
        <f t="shared" si="1338"/>
        <v>3298.88</v>
      </c>
      <c r="CQ868" s="758">
        <f t="shared" si="1338"/>
        <v>3298.88</v>
      </c>
      <c r="CR868" s="758">
        <f t="shared" si="1338"/>
        <v>3298.88</v>
      </c>
      <c r="CS868" s="758">
        <f t="shared" si="1338"/>
        <v>3403.92</v>
      </c>
      <c r="CT868" s="752">
        <f>CT472+CT473</f>
        <v>3403.92</v>
      </c>
      <c r="CU868" s="752">
        <f t="shared" si="1338"/>
        <v>3676.2336000000005</v>
      </c>
      <c r="CV868" s="752">
        <f t="shared" si="1338"/>
        <v>3749.7582720000005</v>
      </c>
      <c r="CW868" s="374"/>
      <c r="CX868" s="374"/>
      <c r="CY868" s="374"/>
      <c r="CZ868" s="374"/>
      <c r="DA868" s="374"/>
      <c r="DB868" s="217"/>
      <c r="DC868" s="212"/>
      <c r="DD868" s="212"/>
      <c r="DE868" s="70"/>
      <c r="DF868" s="70"/>
      <c r="DG868" s="70"/>
      <c r="DH868" s="70"/>
      <c r="DI868" s="70"/>
      <c r="DJ868" s="70"/>
      <c r="DK868" s="70"/>
      <c r="DL868" s="70"/>
      <c r="DM868" s="70"/>
      <c r="DN868" s="70"/>
      <c r="DO868" s="70"/>
      <c r="DP868" s="70"/>
      <c r="DQ868" s="70"/>
      <c r="DR868" s="70"/>
      <c r="DS868" s="70"/>
      <c r="DT868" s="70"/>
      <c r="DU868" s="70"/>
      <c r="DV868" s="70"/>
      <c r="DW868" s="70"/>
      <c r="DX868" s="70"/>
      <c r="DY868" s="70"/>
      <c r="DZ868" s="70"/>
      <c r="EA868" s="70"/>
      <c r="EB868" s="70"/>
      <c r="EC868" s="70"/>
      <c r="ED868" s="70"/>
      <c r="EE868" s="70"/>
      <c r="EF868" s="70"/>
      <c r="EG868" s="70"/>
      <c r="EH868" s="70"/>
      <c r="EI868" s="70"/>
      <c r="EJ868" s="70"/>
      <c r="EK868" s="70"/>
      <c r="EL868" s="70"/>
      <c r="EM868" s="70"/>
      <c r="EN868" s="70"/>
      <c r="EO868" s="70"/>
      <c r="EP868" s="70"/>
      <c r="EQ868" s="70"/>
      <c r="ER868" s="70"/>
      <c r="ES868" s="70"/>
      <c r="ET868" s="70"/>
      <c r="EU868" s="70"/>
      <c r="EV868" s="70"/>
      <c r="EW868" s="70"/>
      <c r="EX868" s="70"/>
      <c r="EY868" s="70"/>
      <c r="EZ868" s="70"/>
      <c r="FA868" s="70"/>
      <c r="FB868" s="70"/>
      <c r="FC868" s="70"/>
      <c r="FD868" s="70"/>
      <c r="FE868" s="70"/>
      <c r="FF868" s="70"/>
      <c r="FG868" s="70"/>
      <c r="FH868" s="70"/>
      <c r="FI868" s="70"/>
      <c r="FJ868" s="70"/>
      <c r="FK868" s="70"/>
      <c r="FL868" s="70"/>
      <c r="FM868" s="70"/>
      <c r="FN868" s="70"/>
      <c r="FO868" s="70"/>
      <c r="FP868" s="70"/>
      <c r="FQ868" s="70"/>
      <c r="FR868" s="70"/>
      <c r="FS868" s="70"/>
      <c r="FT868" s="70"/>
      <c r="FU868" s="70"/>
      <c r="FV868" s="70"/>
      <c r="FW868" s="70"/>
      <c r="FX868" s="70"/>
      <c r="FY868" s="70"/>
      <c r="FZ868" s="70"/>
      <c r="GA868" s="70"/>
      <c r="GB868" s="70"/>
      <c r="GC868" s="70"/>
      <c r="GD868" s="70"/>
      <c r="GE868" s="70"/>
      <c r="GF868" s="70"/>
      <c r="GG868" s="70"/>
      <c r="GH868" s="70"/>
      <c r="GI868" s="70"/>
      <c r="GJ868" s="70"/>
      <c r="GK868" s="70"/>
      <c r="GL868" s="70"/>
      <c r="GM868" s="70"/>
      <c r="GN868" s="70"/>
      <c r="GO868" s="70"/>
      <c r="GP868" s="70"/>
      <c r="GQ868" s="70"/>
      <c r="GR868" s="70"/>
      <c r="GS868" s="70"/>
      <c r="GT868" s="70"/>
      <c r="GU868" s="70"/>
      <c r="GV868" s="70"/>
      <c r="GW868" s="70"/>
      <c r="GX868" s="70"/>
      <c r="GY868" s="70"/>
      <c r="GZ868" s="70"/>
      <c r="HA868" s="70"/>
      <c r="HB868" s="70"/>
      <c r="HC868" s="70"/>
      <c r="HD868" s="70"/>
      <c r="HE868" s="70"/>
      <c r="HF868" s="70"/>
      <c r="HG868" s="70"/>
      <c r="HH868" s="70"/>
      <c r="HI868" s="70"/>
      <c r="HJ868" s="70"/>
      <c r="HK868" s="70"/>
      <c r="HL868" s="70"/>
      <c r="HM868" s="70"/>
      <c r="HN868" s="70"/>
      <c r="HO868" s="70"/>
      <c r="HP868" s="70"/>
      <c r="HQ868" s="70"/>
      <c r="HR868" s="70"/>
      <c r="HS868" s="70"/>
      <c r="HT868" s="70"/>
      <c r="HU868" s="70"/>
      <c r="HV868" s="70"/>
      <c r="HW868" s="70"/>
      <c r="HX868" s="70"/>
      <c r="HY868" s="70"/>
      <c r="HZ868" s="70"/>
      <c r="IA868" s="70"/>
      <c r="IB868" s="70"/>
      <c r="IC868" s="70"/>
      <c r="ID868" s="70"/>
      <c r="IE868" s="70"/>
      <c r="IF868" s="70"/>
      <c r="IG868" s="70"/>
      <c r="IH868" s="70"/>
      <c r="II868" s="70"/>
      <c r="IJ868" s="70"/>
      <c r="IK868" s="70"/>
      <c r="IL868" s="70"/>
      <c r="IM868" s="70"/>
      <c r="IN868" s="70"/>
      <c r="IO868" s="70"/>
      <c r="IP868" s="70"/>
      <c r="IQ868" s="70"/>
      <c r="IR868" s="70"/>
      <c r="IS868" s="70"/>
      <c r="IT868" s="70"/>
      <c r="IU868" s="70"/>
      <c r="IV868" s="70"/>
    </row>
    <row r="869" spans="1:256" s="11" customFormat="1" x14ac:dyDescent="0.2">
      <c r="A869" s="2389" t="s">
        <v>652</v>
      </c>
      <c r="B869" s="1193"/>
      <c r="C869" s="1193"/>
      <c r="D869" s="1193"/>
      <c r="E869" s="1193"/>
      <c r="F869" s="1193"/>
      <c r="G869" s="1193"/>
      <c r="H869" s="1946"/>
      <c r="I869" s="243"/>
      <c r="J869" s="243"/>
      <c r="K869" s="243"/>
      <c r="L869" s="2011"/>
      <c r="M869" s="2011"/>
      <c r="N869" s="885">
        <f t="shared" ref="N869:AS869" si="1339">+N868/I868-1</f>
        <v>-0.66622203981120465</v>
      </c>
      <c r="O869" s="885">
        <f t="shared" si="1339"/>
        <v>-0.67463731865932974</v>
      </c>
      <c r="P869" s="885">
        <f t="shared" si="1339"/>
        <v>-0.67483496699339862</v>
      </c>
      <c r="Q869" s="885">
        <f t="shared" si="1339"/>
        <v>0.1641109298531811</v>
      </c>
      <c r="R869" s="1044">
        <f t="shared" si="1339"/>
        <v>0.1641109298531811</v>
      </c>
      <c r="S869" s="885">
        <f t="shared" si="1339"/>
        <v>8.3000307408545915E-2</v>
      </c>
      <c r="T869" s="885">
        <f t="shared" si="1339"/>
        <v>5.4120541205411987E-2</v>
      </c>
      <c r="U869" s="885">
        <f t="shared" si="1339"/>
        <v>5.4444786219624675E-2</v>
      </c>
      <c r="V869" s="885">
        <f t="shared" si="1339"/>
        <v>-1.2331838565022402E-2</v>
      </c>
      <c r="W869" s="1044">
        <f t="shared" si="1339"/>
        <v>-1.2331838565022402E-2</v>
      </c>
      <c r="X869" s="885">
        <f t="shared" si="1339"/>
        <v>0</v>
      </c>
      <c r="Y869" s="885">
        <f t="shared" si="1339"/>
        <v>0.16715285880980169</v>
      </c>
      <c r="Z869" s="885">
        <f t="shared" si="1339"/>
        <v>0.20420070011668612</v>
      </c>
      <c r="AA869" s="1640">
        <f t="shared" si="1339"/>
        <v>0.2814982973893303</v>
      </c>
      <c r="AB869" s="1640">
        <f t="shared" si="1339"/>
        <v>0.2814982973893303</v>
      </c>
      <c r="AC869" s="885">
        <f t="shared" si="1339"/>
        <v>0.28186204938972459</v>
      </c>
      <c r="AD869" s="885">
        <f t="shared" si="1339"/>
        <v>0.1287178205448638</v>
      </c>
      <c r="AE869" s="885">
        <f t="shared" si="1339"/>
        <v>9.375E-2</v>
      </c>
      <c r="AF869" s="1640">
        <f t="shared" si="1339"/>
        <v>-2.2143489813997164E-4</v>
      </c>
      <c r="AG869" s="1640">
        <f t="shared" si="1339"/>
        <v>-2.2143489813997164E-4</v>
      </c>
      <c r="AH869" s="885">
        <f t="shared" si="1339"/>
        <v>0</v>
      </c>
      <c r="AI869" s="885">
        <f t="shared" si="1339"/>
        <v>0</v>
      </c>
      <c r="AJ869" s="885">
        <f t="shared" si="1339"/>
        <v>2.2148394241416902E-4</v>
      </c>
      <c r="AK869" s="1640">
        <f t="shared" si="1339"/>
        <v>2.2148394241416902E-4</v>
      </c>
      <c r="AL869" s="1640">
        <f t="shared" si="1339"/>
        <v>2.2148394241416902E-4</v>
      </c>
      <c r="AM869" s="885">
        <f t="shared" si="1339"/>
        <v>0</v>
      </c>
      <c r="AN869" s="885">
        <f t="shared" si="1339"/>
        <v>0</v>
      </c>
      <c r="AO869" s="885">
        <f t="shared" si="1339"/>
        <v>0</v>
      </c>
      <c r="AP869" s="1640">
        <f t="shared" si="1339"/>
        <v>0</v>
      </c>
      <c r="AQ869" s="1640">
        <f t="shared" si="1339"/>
        <v>0</v>
      </c>
      <c r="AR869" s="885">
        <f t="shared" si="1339"/>
        <v>0</v>
      </c>
      <c r="AS869" s="885">
        <f t="shared" si="1339"/>
        <v>0</v>
      </c>
      <c r="AT869" s="885">
        <f t="shared" ref="AT869:BP869" si="1340">+AT868/AO868-1</f>
        <v>0</v>
      </c>
      <c r="AU869" s="1640">
        <f t="shared" si="1340"/>
        <v>0</v>
      </c>
      <c r="AV869" s="1640">
        <f t="shared" si="1340"/>
        <v>0</v>
      </c>
      <c r="AW869" s="885">
        <f t="shared" si="1340"/>
        <v>0</v>
      </c>
      <c r="AX869" s="885">
        <f t="shared" si="1340"/>
        <v>-4.4286979627994327E-4</v>
      </c>
      <c r="AY869" s="885">
        <f t="shared" si="1340"/>
        <v>4.3844109831709499E-2</v>
      </c>
      <c r="AZ869" s="1640">
        <f t="shared" si="1340"/>
        <v>4.3844109831709499E-2</v>
      </c>
      <c r="BA869" s="1640">
        <f t="shared" si="1340"/>
        <v>4.3844109831709499E-2</v>
      </c>
      <c r="BB869" s="885">
        <f t="shared" si="1340"/>
        <v>4.3622674933569527E-2</v>
      </c>
      <c r="BC869" s="885">
        <f t="shared" si="1340"/>
        <v>4.4085068675232542E-2</v>
      </c>
      <c r="BD869" s="885">
        <f t="shared" si="1340"/>
        <v>-2.1213406873143992E-4</v>
      </c>
      <c r="BE869" s="1640">
        <f t="shared" si="1340"/>
        <v>-2.1213406873143992E-4</v>
      </c>
      <c r="BF869" s="1640">
        <f t="shared" si="1340"/>
        <v>-2.1213406873143992E-4</v>
      </c>
      <c r="BG869" s="885">
        <f t="shared" si="1340"/>
        <v>0</v>
      </c>
      <c r="BH869" s="885">
        <f t="shared" si="1340"/>
        <v>0</v>
      </c>
      <c r="BI869" s="885">
        <f t="shared" si="1340"/>
        <v>0</v>
      </c>
      <c r="BJ869" s="885">
        <f t="shared" si="1340"/>
        <v>-0.12136643326967966</v>
      </c>
      <c r="BK869" s="1044">
        <f t="shared" si="1340"/>
        <v>-0.12136643326967966</v>
      </c>
      <c r="BL869" s="885">
        <f t="shared" si="1340"/>
        <v>-0.12136643326967966</v>
      </c>
      <c r="BM869" s="885">
        <f t="shared" si="1340"/>
        <v>-0.25843411839592612</v>
      </c>
      <c r="BN869" s="885">
        <f t="shared" si="1340"/>
        <v>-0.25843411839592612</v>
      </c>
      <c r="BO869" s="885">
        <f>+BO868/BJ868-1</f>
        <v>-0.15600096595025359</v>
      </c>
      <c r="BP869" s="1044">
        <f t="shared" si="1340"/>
        <v>-0.15600096595025359</v>
      </c>
      <c r="BQ869" s="885">
        <f t="shared" ref="BQ869:CC869" si="1341">+BQ868/BL868-1</f>
        <v>-0.15600096595025359</v>
      </c>
      <c r="BR869" s="885">
        <f t="shared" si="1341"/>
        <v>0</v>
      </c>
      <c r="BS869" s="885">
        <f t="shared" si="1341"/>
        <v>4.062947067238909E-2</v>
      </c>
      <c r="BT869" s="885">
        <f t="shared" si="1341"/>
        <v>4.062947067238909E-2</v>
      </c>
      <c r="BU869" s="1044">
        <f t="shared" si="1341"/>
        <v>4.062947067238909E-2</v>
      </c>
      <c r="BV869" s="885">
        <f t="shared" si="1341"/>
        <v>-5.0071530758226013E-2</v>
      </c>
      <c r="BW869" s="885">
        <f t="shared" si="1341"/>
        <v>-7.639484978540767E-2</v>
      </c>
      <c r="BX869" s="885">
        <f t="shared" si="1341"/>
        <v>-0.13857574924388227</v>
      </c>
      <c r="BY869" s="885">
        <f t="shared" si="1341"/>
        <v>-0.19081660709375858</v>
      </c>
      <c r="BZ869" s="1044">
        <f t="shared" si="1341"/>
        <v>-0.19081660709375858</v>
      </c>
      <c r="CA869" s="885">
        <f t="shared" si="1341"/>
        <v>-0.11415662650602409</v>
      </c>
      <c r="CB869" s="885">
        <f t="shared" si="1341"/>
        <v>-5.0495662949194497E-2</v>
      </c>
      <c r="CC869" s="885">
        <f t="shared" si="1341"/>
        <v>-2.2023619533993011E-2</v>
      </c>
      <c r="CD869" s="885">
        <f t="shared" ref="CD869:CJ869" si="1342">+CD868/BY868-1</f>
        <v>4.1114509004417155E-2</v>
      </c>
      <c r="CE869" s="1044">
        <f t="shared" si="1342"/>
        <v>4.1114509004417155E-2</v>
      </c>
      <c r="CF869" s="885">
        <f t="shared" si="1342"/>
        <v>4.1822509350561088E-2</v>
      </c>
      <c r="CG869" s="885">
        <f t="shared" si="1342"/>
        <v>-3.2626427406201586E-4</v>
      </c>
      <c r="CH869" s="885">
        <f t="shared" si="1342"/>
        <v>0</v>
      </c>
      <c r="CI869" s="885">
        <f t="shared" si="1342"/>
        <v>3.5248041775456818E-2</v>
      </c>
      <c r="CJ869" s="1044">
        <f t="shared" si="1342"/>
        <v>3.5248041775456818E-2</v>
      </c>
      <c r="CK869" s="1278">
        <f>+CK868/CF868-1</f>
        <v>3.5248041775456818E-2</v>
      </c>
      <c r="CL869" s="1278">
        <f>+CL868/CG868-1</f>
        <v>3.5248041775456818E-2</v>
      </c>
      <c r="CM869" s="885">
        <f>+CM868/CH868-1</f>
        <v>3.5248041775456818E-2</v>
      </c>
      <c r="CN869" s="885">
        <f>+CN868/CI868-1</f>
        <v>3.1841109709962234E-2</v>
      </c>
      <c r="CO869" s="1044">
        <f>+CO868/CJ868-1</f>
        <v>3.1841109709962234E-2</v>
      </c>
      <c r="CP869" s="3673">
        <v>0.04</v>
      </c>
      <c r="CQ869" s="3673">
        <v>0.04</v>
      </c>
      <c r="CR869" s="3671">
        <v>0.04</v>
      </c>
      <c r="CS869" s="3671">
        <v>0.04</v>
      </c>
      <c r="CT869" s="1044">
        <f>+CT868/CO868-1</f>
        <v>4.0000000000000036E-2</v>
      </c>
      <c r="CU869" s="1046">
        <v>0.08</v>
      </c>
      <c r="CV869" s="1046">
        <v>0.02</v>
      </c>
      <c r="CW869" s="2702"/>
      <c r="CX869" s="2702"/>
      <c r="CY869" s="2702"/>
      <c r="CZ869" s="2702"/>
      <c r="DA869" s="2702"/>
      <c r="DB869" s="217"/>
      <c r="DC869" s="212"/>
      <c r="DD869" s="212"/>
      <c r="DE869" s="70"/>
    </row>
    <row r="870" spans="1:256" x14ac:dyDescent="0.2">
      <c r="A870" s="2389" t="s">
        <v>653</v>
      </c>
      <c r="B870" s="1193"/>
      <c r="C870" s="1193"/>
      <c r="D870" s="1193"/>
      <c r="E870" s="1193"/>
      <c r="F870" s="1193"/>
      <c r="G870" s="1193"/>
      <c r="H870" s="1946"/>
      <c r="I870" s="243"/>
      <c r="J870" s="243"/>
      <c r="K870" s="243"/>
      <c r="L870" s="243"/>
      <c r="M870" s="2616"/>
      <c r="N870" s="885"/>
      <c r="O870" s="885"/>
      <c r="P870" s="885"/>
      <c r="Q870" s="885"/>
      <c r="R870" s="1044"/>
      <c r="S870" s="885"/>
      <c r="T870" s="885"/>
      <c r="U870" s="885"/>
      <c r="V870" s="885"/>
      <c r="W870" s="1044"/>
      <c r="X870" s="885"/>
      <c r="Y870" s="885"/>
      <c r="Z870" s="885"/>
      <c r="AA870" s="885"/>
      <c r="AB870" s="1044"/>
      <c r="AC870" s="885"/>
      <c r="AD870" s="885"/>
      <c r="AE870" s="885"/>
      <c r="AF870" s="885"/>
      <c r="AG870" s="2617"/>
      <c r="AH870" s="885"/>
      <c r="AI870" s="885"/>
      <c r="AJ870" s="885"/>
      <c r="AK870" s="885"/>
      <c r="AL870" s="1044"/>
      <c r="AM870" s="885"/>
      <c r="AN870" s="885"/>
      <c r="AO870" s="885"/>
      <c r="AP870" s="885"/>
      <c r="AQ870" s="1044"/>
      <c r="AR870" s="885"/>
      <c r="AS870" s="885"/>
      <c r="AT870" s="885"/>
      <c r="AU870" s="885"/>
      <c r="AV870" s="1044"/>
      <c r="AW870" s="885"/>
      <c r="AX870" s="885"/>
      <c r="AY870" s="885"/>
      <c r="AZ870" s="885"/>
      <c r="BA870" s="2617"/>
      <c r="BB870" s="885">
        <f>+BB868/BA868-1</f>
        <v>-2.1213406873143992E-4</v>
      </c>
      <c r="BC870" s="885">
        <f>+BC868/BB868-1</f>
        <v>0</v>
      </c>
      <c r="BD870" s="885">
        <f>+BD868/BC868-1</f>
        <v>0</v>
      </c>
      <c r="BE870" s="885">
        <f>+BE868/BD868-1</f>
        <v>0</v>
      </c>
      <c r="BF870" s="1044"/>
      <c r="BG870" s="885">
        <f>+BG868/BF868-1</f>
        <v>0</v>
      </c>
      <c r="BH870" s="885">
        <f>+BH868/BG868-1</f>
        <v>0</v>
      </c>
      <c r="BI870" s="885">
        <f>+BI868/BH868-1</f>
        <v>0</v>
      </c>
      <c r="BJ870" s="885">
        <f>+BJ868/BI868-1</f>
        <v>-0.12136643326967966</v>
      </c>
      <c r="BK870" s="1044"/>
      <c r="BL870" s="885">
        <f>+BL868/BK868-1</f>
        <v>0</v>
      </c>
      <c r="BM870" s="885">
        <f>+BM868/BL868-1</f>
        <v>-0.15600096595025359</v>
      </c>
      <c r="BN870" s="885">
        <f>+BN868/BM868-1</f>
        <v>0</v>
      </c>
      <c r="BO870" s="885">
        <f>+BO868/BN868-1</f>
        <v>0</v>
      </c>
      <c r="BP870" s="1044"/>
      <c r="BQ870" s="885">
        <f>+BQ868/BP868-1</f>
        <v>0</v>
      </c>
      <c r="BR870" s="885">
        <f>+BR868/BQ868-1</f>
        <v>0</v>
      </c>
      <c r="BS870" s="885">
        <f>+BS868/BR868-1</f>
        <v>4.062947067238909E-2</v>
      </c>
      <c r="BT870" s="885">
        <f>+BT868/BS868-1</f>
        <v>0</v>
      </c>
      <c r="BU870" s="1044"/>
      <c r="BV870" s="885">
        <f>+BV868/BU868-1</f>
        <v>-8.7159747044267211E-2</v>
      </c>
      <c r="BW870" s="885">
        <f>+BW868/BV868-1</f>
        <v>-2.7710843373493943E-2</v>
      </c>
      <c r="BX870" s="885">
        <f>+BX868/BW868-1</f>
        <v>-2.94299876084263E-2</v>
      </c>
      <c r="BY870" s="885">
        <f>+BY868/BX868-1</f>
        <v>-6.0644749441429946E-2</v>
      </c>
      <c r="BZ870" s="1044"/>
      <c r="CA870" s="885">
        <f>+CA868/BZ868-1</f>
        <v>-6.7957866123002919E-4</v>
      </c>
      <c r="CB870" s="885">
        <f>+CB868/CA868-1</f>
        <v>4.2162529751785138E-2</v>
      </c>
      <c r="CC870" s="885">
        <f>+CC868/CB868-1</f>
        <v>-3.2626427406201586E-4</v>
      </c>
      <c r="CD870" s="885">
        <f>+CD868/CC868-1</f>
        <v>0</v>
      </c>
      <c r="CE870" s="1044"/>
      <c r="CF870" s="885">
        <f>+CF868/CE868-1</f>
        <v>0</v>
      </c>
      <c r="CG870" s="885">
        <f>+CG868/CF868-1</f>
        <v>0</v>
      </c>
      <c r="CH870" s="885">
        <f>+CH868/CG868-1</f>
        <v>0</v>
      </c>
      <c r="CI870" s="885">
        <f>+CI868/CH868-1</f>
        <v>3.5248041775456818E-2</v>
      </c>
      <c r="CJ870" s="1044"/>
      <c r="CK870" s="885">
        <f>+CK868/CJ868-1</f>
        <v>0</v>
      </c>
      <c r="CL870" s="885">
        <f>+CL868/CK868-1</f>
        <v>0</v>
      </c>
      <c r="CM870" s="885">
        <f>+CM868/CL868-1</f>
        <v>0</v>
      </c>
      <c r="CN870" s="885">
        <f>+CN868/CM868-1</f>
        <v>3.1841109709962234E-2</v>
      </c>
      <c r="CO870" s="1044"/>
      <c r="CP870" s="1771"/>
      <c r="CQ870" s="885"/>
      <c r="CR870" s="886"/>
      <c r="CS870" s="886"/>
      <c r="CT870" s="1044"/>
      <c r="CU870" s="1044"/>
      <c r="CV870" s="1044"/>
      <c r="CW870" s="2702"/>
      <c r="CX870" s="2702"/>
      <c r="CY870" s="2702"/>
      <c r="CZ870" s="2702"/>
      <c r="DA870" s="2702"/>
      <c r="DB870" s="217"/>
      <c r="DF870" s="11"/>
      <c r="DG870" s="11"/>
      <c r="DH870" s="11"/>
      <c r="DI870" s="11"/>
      <c r="DJ870" s="11"/>
      <c r="DK870" s="11"/>
      <c r="DL870" s="11"/>
      <c r="DM870" s="11"/>
      <c r="DN870" s="11"/>
      <c r="DO870" s="11"/>
      <c r="DP870" s="11"/>
      <c r="DQ870" s="11"/>
      <c r="DR870" s="11"/>
      <c r="DS870" s="11"/>
      <c r="DT870" s="11"/>
      <c r="DU870" s="11"/>
      <c r="DV870" s="11"/>
      <c r="DW870" s="11"/>
      <c r="DX870" s="11"/>
      <c r="DY870" s="11"/>
      <c r="DZ870" s="11"/>
      <c r="EA870" s="11"/>
      <c r="EB870" s="11"/>
      <c r="EC870" s="11"/>
      <c r="ED870" s="11"/>
      <c r="EE870" s="11"/>
      <c r="EF870" s="11"/>
      <c r="EG870" s="11"/>
      <c r="EH870" s="11"/>
      <c r="EI870" s="11"/>
      <c r="EJ870" s="11"/>
      <c r="EK870" s="11"/>
      <c r="EL870" s="11"/>
      <c r="EM870" s="11"/>
      <c r="EN870" s="11"/>
      <c r="EO870" s="11"/>
      <c r="EP870" s="11"/>
      <c r="EQ870" s="11"/>
      <c r="ER870" s="11"/>
      <c r="ES870" s="11"/>
      <c r="ET870" s="11"/>
      <c r="EU870" s="11"/>
      <c r="EV870" s="11"/>
      <c r="EW870" s="11"/>
      <c r="EX870" s="11"/>
      <c r="EY870" s="11"/>
      <c r="EZ870" s="11"/>
      <c r="FA870" s="11"/>
      <c r="FB870" s="11"/>
      <c r="FC870" s="11"/>
      <c r="FD870" s="11"/>
      <c r="FE870" s="11"/>
      <c r="FF870" s="11"/>
      <c r="FG870" s="11"/>
      <c r="FH870" s="11"/>
      <c r="FI870" s="11"/>
      <c r="FJ870" s="11"/>
      <c r="FK870" s="11"/>
      <c r="FL870" s="11"/>
      <c r="FM870" s="11"/>
      <c r="FN870" s="11"/>
      <c r="FO870" s="11"/>
      <c r="FP870" s="11"/>
      <c r="FQ870" s="11"/>
      <c r="FR870" s="11"/>
      <c r="FS870" s="11"/>
      <c r="FT870" s="11"/>
      <c r="FU870" s="11"/>
      <c r="FV870" s="11"/>
      <c r="FW870" s="11"/>
      <c r="FX870" s="11"/>
      <c r="FY870" s="11"/>
      <c r="FZ870" s="11"/>
      <c r="GA870" s="11"/>
      <c r="GB870" s="11"/>
      <c r="GC870" s="11"/>
      <c r="GD870" s="11"/>
      <c r="GE870" s="11"/>
      <c r="GF870" s="11"/>
      <c r="GG870" s="11"/>
      <c r="GH870" s="11"/>
      <c r="GI870" s="11"/>
      <c r="GJ870" s="11"/>
      <c r="GK870" s="11"/>
      <c r="GL870" s="11"/>
      <c r="GM870" s="11"/>
      <c r="GN870" s="11"/>
      <c r="GO870" s="11"/>
      <c r="GP870" s="11"/>
      <c r="GQ870" s="11"/>
      <c r="GR870" s="11"/>
      <c r="GS870" s="11"/>
      <c r="GT870" s="11"/>
      <c r="GU870" s="11"/>
      <c r="GV870" s="11"/>
      <c r="GW870" s="11"/>
      <c r="GX870" s="11"/>
      <c r="GY870" s="11"/>
      <c r="GZ870" s="11"/>
      <c r="HA870" s="11"/>
      <c r="HB870" s="11"/>
      <c r="HC870" s="11"/>
      <c r="HD870" s="11"/>
      <c r="HE870" s="11"/>
      <c r="HF870" s="11"/>
      <c r="HG870" s="11"/>
      <c r="HH870" s="11"/>
      <c r="HI870" s="11"/>
      <c r="HJ870" s="11"/>
      <c r="HK870" s="11"/>
      <c r="HL870" s="11"/>
      <c r="HM870" s="11"/>
      <c r="HN870" s="11"/>
      <c r="HO870" s="11"/>
      <c r="HP870" s="11"/>
      <c r="HQ870" s="11"/>
      <c r="HR870" s="11"/>
      <c r="HS870" s="11"/>
      <c r="HT870" s="11"/>
      <c r="HU870" s="11"/>
      <c r="HV870" s="11"/>
      <c r="HW870" s="11"/>
      <c r="HX870" s="11"/>
      <c r="HY870" s="11"/>
      <c r="HZ870" s="11"/>
      <c r="IA870" s="11"/>
      <c r="IB870" s="11"/>
      <c r="IC870" s="11"/>
      <c r="ID870" s="11"/>
      <c r="IE870" s="11"/>
      <c r="IF870" s="11"/>
      <c r="IG870" s="11"/>
      <c r="IH870" s="11"/>
      <c r="II870" s="11"/>
      <c r="IJ870" s="11"/>
      <c r="IK870" s="11"/>
      <c r="IL870" s="11"/>
      <c r="IM870" s="11"/>
      <c r="IN870" s="11"/>
      <c r="IO870" s="11"/>
      <c r="IP870" s="11"/>
      <c r="IQ870" s="11"/>
      <c r="IR870" s="11"/>
      <c r="IS870" s="11"/>
      <c r="IT870" s="11"/>
      <c r="IU870" s="11"/>
      <c r="IV870" s="11"/>
    </row>
    <row r="871" spans="1:256" s="11" customFormat="1" x14ac:dyDescent="0.2">
      <c r="A871" s="302" t="s">
        <v>654</v>
      </c>
      <c r="B871" s="1118"/>
      <c r="C871" s="1118"/>
      <c r="D871" s="1118"/>
      <c r="E871" s="1118"/>
      <c r="F871" s="1118"/>
      <c r="G871" s="1118"/>
      <c r="H871" s="1448"/>
      <c r="I871" s="1269">
        <f t="shared" ref="I871:AN871" si="1343">I868+I865+I862+I859</f>
        <v>162880</v>
      </c>
      <c r="J871" s="1269">
        <f t="shared" si="1343"/>
        <v>165025</v>
      </c>
      <c r="K871" s="1269">
        <f t="shared" si="1343"/>
        <v>168075</v>
      </c>
      <c r="L871" s="1269">
        <f t="shared" si="1343"/>
        <v>161071</v>
      </c>
      <c r="M871" s="1270">
        <f t="shared" si="1343"/>
        <v>161071</v>
      </c>
      <c r="N871" s="1269">
        <f t="shared" si="1343"/>
        <v>164082</v>
      </c>
      <c r="O871" s="1269">
        <f t="shared" si="1343"/>
        <v>165600</v>
      </c>
      <c r="P871" s="1269">
        <f t="shared" si="1343"/>
        <v>165739</v>
      </c>
      <c r="Q871" s="1269">
        <f t="shared" si="1343"/>
        <v>168251</v>
      </c>
      <c r="R871" s="1270">
        <f t="shared" si="1343"/>
        <v>168251</v>
      </c>
      <c r="S871" s="1269">
        <f t="shared" si="1343"/>
        <v>169140</v>
      </c>
      <c r="T871" s="1269">
        <f t="shared" si="1343"/>
        <v>169795</v>
      </c>
      <c r="U871" s="1269">
        <f t="shared" si="1343"/>
        <v>170751</v>
      </c>
      <c r="V871" s="1269">
        <f t="shared" si="1343"/>
        <v>172293</v>
      </c>
      <c r="W871" s="1270">
        <f t="shared" si="1343"/>
        <v>172293</v>
      </c>
      <c r="X871" s="1269">
        <f t="shared" si="1343"/>
        <v>171642</v>
      </c>
      <c r="Y871" s="1269">
        <f t="shared" si="1343"/>
        <v>173873</v>
      </c>
      <c r="Z871" s="1269">
        <f t="shared" si="1343"/>
        <v>176172</v>
      </c>
      <c r="AA871" s="1269">
        <f t="shared" si="1343"/>
        <v>177766</v>
      </c>
      <c r="AB871" s="1270">
        <f t="shared" si="1343"/>
        <v>177766</v>
      </c>
      <c r="AC871" s="1269">
        <f t="shared" si="1343"/>
        <v>176382</v>
      </c>
      <c r="AD871" s="1269">
        <f t="shared" si="1343"/>
        <v>176225</v>
      </c>
      <c r="AE871" s="1269">
        <f t="shared" si="1343"/>
        <v>172892</v>
      </c>
      <c r="AF871" s="1269">
        <f t="shared" si="1343"/>
        <v>173365</v>
      </c>
      <c r="AG871" s="1270">
        <f t="shared" si="1343"/>
        <v>173365</v>
      </c>
      <c r="AH871" s="1269">
        <f t="shared" si="1343"/>
        <v>172967</v>
      </c>
      <c r="AI871" s="1269">
        <f t="shared" si="1343"/>
        <v>173218</v>
      </c>
      <c r="AJ871" s="1269">
        <f t="shared" si="1343"/>
        <v>174084</v>
      </c>
      <c r="AK871" s="1269">
        <f t="shared" si="1343"/>
        <v>173632</v>
      </c>
      <c r="AL871" s="1270">
        <f t="shared" si="1343"/>
        <v>173632</v>
      </c>
      <c r="AM871" s="1269">
        <f t="shared" si="1343"/>
        <v>172720</v>
      </c>
      <c r="AN871" s="1269">
        <f t="shared" si="1343"/>
        <v>173286</v>
      </c>
      <c r="AO871" s="1269">
        <f t="shared" ref="AO871:BT871" si="1344">AO868+AO865+AO862+AO859</f>
        <v>173576</v>
      </c>
      <c r="AP871" s="1269">
        <f t="shared" si="1344"/>
        <v>175136</v>
      </c>
      <c r="AQ871" s="1270">
        <f t="shared" si="1344"/>
        <v>175136</v>
      </c>
      <c r="AR871" s="1269">
        <f t="shared" si="1344"/>
        <v>175172</v>
      </c>
      <c r="AS871" s="1269">
        <f t="shared" si="1344"/>
        <v>175023</v>
      </c>
      <c r="AT871" s="1269">
        <f t="shared" si="1344"/>
        <v>175134</v>
      </c>
      <c r="AU871" s="1269">
        <f t="shared" si="1344"/>
        <v>175410</v>
      </c>
      <c r="AV871" s="1270">
        <f t="shared" si="1344"/>
        <v>175410</v>
      </c>
      <c r="AW871" s="1269">
        <f t="shared" si="1344"/>
        <v>176137</v>
      </c>
      <c r="AX871" s="1269">
        <f t="shared" si="1344"/>
        <v>176272</v>
      </c>
      <c r="AY871" s="1269">
        <f t="shared" si="1344"/>
        <v>176496</v>
      </c>
      <c r="AZ871" s="1269">
        <f t="shared" si="1344"/>
        <v>178036</v>
      </c>
      <c r="BA871" s="1270">
        <f t="shared" si="1344"/>
        <v>178036</v>
      </c>
      <c r="BB871" s="1269">
        <f t="shared" si="1344"/>
        <v>178961</v>
      </c>
      <c r="BC871" s="1269">
        <f t="shared" si="1344"/>
        <v>179277</v>
      </c>
      <c r="BD871" s="1269">
        <f t="shared" si="1344"/>
        <v>179511</v>
      </c>
      <c r="BE871" s="1269">
        <f t="shared" si="1344"/>
        <v>180796</v>
      </c>
      <c r="BF871" s="1270">
        <f t="shared" si="1344"/>
        <v>180796</v>
      </c>
      <c r="BG871" s="1269">
        <f t="shared" si="1344"/>
        <v>181628</v>
      </c>
      <c r="BH871" s="1269">
        <f t="shared" si="1344"/>
        <v>182268</v>
      </c>
      <c r="BI871" s="1269">
        <f t="shared" si="1344"/>
        <v>181257</v>
      </c>
      <c r="BJ871" s="1269">
        <f t="shared" si="1344"/>
        <v>180491</v>
      </c>
      <c r="BK871" s="1270">
        <f t="shared" si="1344"/>
        <v>180491</v>
      </c>
      <c r="BL871" s="1269">
        <f t="shared" si="1344"/>
        <v>179935</v>
      </c>
      <c r="BM871" s="1269">
        <f t="shared" si="1344"/>
        <v>178362</v>
      </c>
      <c r="BN871" s="1269">
        <f t="shared" si="1344"/>
        <v>176629</v>
      </c>
      <c r="BO871" s="1269">
        <f t="shared" si="1344"/>
        <v>184714</v>
      </c>
      <c r="BP871" s="1270">
        <f t="shared" si="1344"/>
        <v>184714</v>
      </c>
      <c r="BQ871" s="1269">
        <f t="shared" si="1344"/>
        <v>183574</v>
      </c>
      <c r="BR871" s="1269">
        <f t="shared" si="1344"/>
        <v>181876</v>
      </c>
      <c r="BS871" s="1269">
        <f t="shared" si="1344"/>
        <v>180134</v>
      </c>
      <c r="BT871" s="1269">
        <f t="shared" si="1344"/>
        <v>178237</v>
      </c>
      <c r="BU871" s="1270">
        <f t="shared" ref="BU871:CV871" si="1345">BU868+BU865+BU862+BU859</f>
        <v>178237</v>
      </c>
      <c r="BV871" s="1269">
        <f t="shared" si="1345"/>
        <v>177284</v>
      </c>
      <c r="BW871" s="1269">
        <f t="shared" si="1345"/>
        <v>178779</v>
      </c>
      <c r="BX871" s="1269">
        <f t="shared" si="1345"/>
        <v>177321</v>
      </c>
      <c r="BY871" s="1269">
        <f t="shared" si="1345"/>
        <v>176313</v>
      </c>
      <c r="BZ871" s="1270">
        <f t="shared" si="1345"/>
        <v>176313</v>
      </c>
      <c r="CA871" s="1269">
        <f t="shared" si="1345"/>
        <v>179062</v>
      </c>
      <c r="CB871" s="1269">
        <f t="shared" si="1345"/>
        <v>186235</v>
      </c>
      <c r="CC871" s="1269">
        <f t="shared" si="1345"/>
        <v>185638</v>
      </c>
      <c r="CD871" s="1269">
        <f t="shared" si="1345"/>
        <v>185730</v>
      </c>
      <c r="CE871" s="1270">
        <f t="shared" si="1345"/>
        <v>192558</v>
      </c>
      <c r="CF871" s="1269">
        <f t="shared" si="1345"/>
        <v>184949</v>
      </c>
      <c r="CG871" s="1269">
        <f t="shared" si="1345"/>
        <v>182285</v>
      </c>
      <c r="CH871" s="1269">
        <f t="shared" si="1345"/>
        <v>182664</v>
      </c>
      <c r="CI871" s="1269">
        <f t="shared" si="1345"/>
        <v>250363</v>
      </c>
      <c r="CJ871" s="1270">
        <f t="shared" si="1345"/>
        <v>250363</v>
      </c>
      <c r="CK871" s="1275">
        <f t="shared" si="1345"/>
        <v>250074</v>
      </c>
      <c r="CL871" s="1275">
        <f>CL868+CL865+CL862+CL859</f>
        <v>250300</v>
      </c>
      <c r="CM871" s="1269">
        <f t="shared" si="1345"/>
        <v>252379</v>
      </c>
      <c r="CN871" s="1269">
        <f t="shared" si="1345"/>
        <v>251621</v>
      </c>
      <c r="CO871" s="1270">
        <f t="shared" si="1345"/>
        <v>251621</v>
      </c>
      <c r="CP871" s="1269">
        <f t="shared" si="1345"/>
        <v>256325.32</v>
      </c>
      <c r="CQ871" s="1269">
        <f t="shared" si="1345"/>
        <v>256568.09</v>
      </c>
      <c r="CR871" s="1269">
        <f t="shared" si="1345"/>
        <v>258718.27000000002</v>
      </c>
      <c r="CS871" s="1269">
        <f t="shared" si="1345"/>
        <v>257921.72999999998</v>
      </c>
      <c r="CT871" s="1270">
        <f>CT868+CT865+CT862+CT859</f>
        <v>257921.72999999998</v>
      </c>
      <c r="CU871" s="1270">
        <f t="shared" si="1345"/>
        <v>265674.05070000002</v>
      </c>
      <c r="CV871" s="1269">
        <f t="shared" si="1345"/>
        <v>267188.19348600006</v>
      </c>
      <c r="CW871" s="2397"/>
      <c r="CX871" s="1248"/>
      <c r="CY871" s="1248"/>
      <c r="CZ871" s="1248"/>
      <c r="DA871" s="1248"/>
      <c r="DB871" s="217"/>
      <c r="DC871" s="212"/>
      <c r="DD871" s="212"/>
      <c r="DE871" s="70"/>
      <c r="DF871" s="70"/>
      <c r="DG871" s="70"/>
      <c r="DH871" s="70"/>
      <c r="DI871" s="70"/>
      <c r="DJ871" s="70"/>
      <c r="DK871" s="70"/>
      <c r="DL871" s="70"/>
      <c r="DM871" s="70"/>
      <c r="DN871" s="70"/>
      <c r="DO871" s="70"/>
      <c r="DP871" s="70"/>
      <c r="DQ871" s="70"/>
      <c r="DR871" s="70"/>
      <c r="DS871" s="70"/>
      <c r="DT871" s="70"/>
      <c r="DU871" s="70"/>
      <c r="DV871" s="70"/>
      <c r="DW871" s="70"/>
      <c r="DX871" s="70"/>
      <c r="DY871" s="70"/>
      <c r="DZ871" s="70"/>
      <c r="EA871" s="70"/>
      <c r="EB871" s="70"/>
      <c r="EC871" s="70"/>
      <c r="ED871" s="70"/>
      <c r="EE871" s="70"/>
      <c r="EF871" s="70"/>
      <c r="EG871" s="70"/>
      <c r="EH871" s="70"/>
      <c r="EI871" s="70"/>
      <c r="EJ871" s="70"/>
      <c r="EK871" s="70"/>
      <c r="EL871" s="70"/>
      <c r="EM871" s="70"/>
      <c r="EN871" s="70"/>
      <c r="EO871" s="70"/>
      <c r="EP871" s="70"/>
      <c r="EQ871" s="70"/>
      <c r="ER871" s="70"/>
      <c r="ES871" s="70"/>
      <c r="ET871" s="70"/>
      <c r="EU871" s="70"/>
      <c r="EV871" s="70"/>
      <c r="EW871" s="70"/>
      <c r="EX871" s="70"/>
      <c r="EY871" s="70"/>
      <c r="EZ871" s="70"/>
      <c r="FA871" s="70"/>
      <c r="FB871" s="70"/>
      <c r="FC871" s="70"/>
      <c r="FD871" s="70"/>
      <c r="FE871" s="70"/>
      <c r="FF871" s="70"/>
      <c r="FG871" s="70"/>
      <c r="FH871" s="70"/>
      <c r="FI871" s="70"/>
      <c r="FJ871" s="70"/>
      <c r="FK871" s="70"/>
      <c r="FL871" s="70"/>
      <c r="FM871" s="70"/>
      <c r="FN871" s="70"/>
      <c r="FO871" s="70"/>
      <c r="FP871" s="70"/>
      <c r="FQ871" s="70"/>
      <c r="FR871" s="70"/>
      <c r="FS871" s="70"/>
      <c r="FT871" s="70"/>
      <c r="FU871" s="70"/>
      <c r="FV871" s="70"/>
      <c r="FW871" s="70"/>
      <c r="FX871" s="70"/>
      <c r="FY871" s="70"/>
      <c r="FZ871" s="70"/>
      <c r="GA871" s="70"/>
      <c r="GB871" s="70"/>
      <c r="GC871" s="70"/>
      <c r="GD871" s="70"/>
      <c r="GE871" s="70"/>
      <c r="GF871" s="70"/>
      <c r="GG871" s="70"/>
      <c r="GH871" s="70"/>
      <c r="GI871" s="70"/>
      <c r="GJ871" s="70"/>
      <c r="GK871" s="70"/>
      <c r="GL871" s="70"/>
      <c r="GM871" s="70"/>
      <c r="GN871" s="70"/>
      <c r="GO871" s="70"/>
      <c r="GP871" s="70"/>
      <c r="GQ871" s="70"/>
      <c r="GR871" s="70"/>
      <c r="GS871" s="70"/>
      <c r="GT871" s="70"/>
      <c r="GU871" s="70"/>
      <c r="GV871" s="70"/>
      <c r="GW871" s="70"/>
      <c r="GX871" s="70"/>
      <c r="GY871" s="70"/>
      <c r="GZ871" s="70"/>
      <c r="HA871" s="70"/>
      <c r="HB871" s="70"/>
      <c r="HC871" s="70"/>
      <c r="HD871" s="70"/>
      <c r="HE871" s="70"/>
      <c r="HF871" s="70"/>
      <c r="HG871" s="70"/>
      <c r="HH871" s="70"/>
      <c r="HI871" s="70"/>
      <c r="HJ871" s="70"/>
      <c r="HK871" s="70"/>
      <c r="HL871" s="70"/>
      <c r="HM871" s="70"/>
      <c r="HN871" s="70"/>
      <c r="HO871" s="70"/>
      <c r="HP871" s="70"/>
      <c r="HQ871" s="70"/>
      <c r="HR871" s="70"/>
      <c r="HS871" s="70"/>
      <c r="HT871" s="70"/>
      <c r="HU871" s="70"/>
      <c r="HV871" s="70"/>
      <c r="HW871" s="70"/>
      <c r="HX871" s="70"/>
      <c r="HY871" s="70"/>
      <c r="HZ871" s="70"/>
      <c r="IA871" s="70"/>
      <c r="IB871" s="70"/>
      <c r="IC871" s="70"/>
      <c r="ID871" s="70"/>
      <c r="IE871" s="70"/>
      <c r="IF871" s="70"/>
      <c r="IG871" s="70"/>
      <c r="IH871" s="70"/>
      <c r="II871" s="70"/>
      <c r="IJ871" s="70"/>
      <c r="IK871" s="70"/>
      <c r="IL871" s="70"/>
      <c r="IM871" s="70"/>
      <c r="IN871" s="70"/>
      <c r="IO871" s="70"/>
      <c r="IP871" s="70"/>
      <c r="IQ871" s="70"/>
      <c r="IR871" s="70"/>
      <c r="IS871" s="70"/>
      <c r="IT871" s="70"/>
      <c r="IU871" s="70"/>
      <c r="IV871" s="70"/>
    </row>
    <row r="872" spans="1:256" s="11" customFormat="1" x14ac:dyDescent="0.2">
      <c r="A872" s="2389" t="s">
        <v>652</v>
      </c>
      <c r="B872" s="1193"/>
      <c r="C872" s="1193"/>
      <c r="D872" s="1193"/>
      <c r="E872" s="1193"/>
      <c r="F872" s="1193"/>
      <c r="G872" s="1193"/>
      <c r="H872" s="1946"/>
      <c r="I872" s="2018"/>
      <c r="J872" s="2018"/>
      <c r="K872" s="2018"/>
      <c r="L872" s="2018"/>
      <c r="M872" s="2019"/>
      <c r="N872" s="885">
        <f t="shared" ref="N872:AS872" si="1346">+N871/I871-1</f>
        <v>7.3796660117877444E-3</v>
      </c>
      <c r="O872" s="885">
        <f t="shared" si="1346"/>
        <v>3.4843205574912606E-3</v>
      </c>
      <c r="P872" s="885">
        <f t="shared" si="1346"/>
        <v>-1.3898557191729832E-2</v>
      </c>
      <c r="Q872" s="885">
        <f t="shared" si="1346"/>
        <v>4.4576615281459731E-2</v>
      </c>
      <c r="R872" s="1044">
        <f t="shared" si="1346"/>
        <v>4.4576615281459731E-2</v>
      </c>
      <c r="S872" s="885">
        <f t="shared" si="1346"/>
        <v>3.082605038943953E-2</v>
      </c>
      <c r="T872" s="885">
        <f t="shared" si="1346"/>
        <v>2.5332125603864775E-2</v>
      </c>
      <c r="U872" s="885">
        <f t="shared" si="1346"/>
        <v>3.024031760780499E-2</v>
      </c>
      <c r="V872" s="885">
        <f t="shared" si="1346"/>
        <v>2.4023631360289066E-2</v>
      </c>
      <c r="W872" s="1044">
        <f t="shared" si="1346"/>
        <v>2.4023631360289066E-2</v>
      </c>
      <c r="X872" s="885">
        <f t="shared" si="1346"/>
        <v>1.4792479602695918E-2</v>
      </c>
      <c r="Y872" s="885">
        <f t="shared" si="1346"/>
        <v>2.4017197208398455E-2</v>
      </c>
      <c r="Z872" s="885">
        <f t="shared" si="1346"/>
        <v>3.1747983906390109E-2</v>
      </c>
      <c r="AA872" s="885">
        <f t="shared" si="1346"/>
        <v>3.1765655017905514E-2</v>
      </c>
      <c r="AB872" s="1044">
        <f t="shared" si="1346"/>
        <v>3.1765655017905514E-2</v>
      </c>
      <c r="AC872" s="885">
        <f t="shared" si="1346"/>
        <v>2.7615618554899246E-2</v>
      </c>
      <c r="AD872" s="885">
        <f t="shared" si="1346"/>
        <v>1.3527114618140823E-2</v>
      </c>
      <c r="AE872" s="885">
        <f t="shared" si="1346"/>
        <v>-1.8618168607951291E-2</v>
      </c>
      <c r="AF872" s="885">
        <f t="shared" si="1346"/>
        <v>-2.4757265168817488E-2</v>
      </c>
      <c r="AG872" s="1044">
        <f t="shared" si="1346"/>
        <v>-2.4757265168817488E-2</v>
      </c>
      <c r="AH872" s="885">
        <f t="shared" si="1346"/>
        <v>-1.9361386082480059E-2</v>
      </c>
      <c r="AI872" s="885">
        <f t="shared" si="1346"/>
        <v>-1.7063413250106407E-2</v>
      </c>
      <c r="AJ872" s="885">
        <f t="shared" si="1346"/>
        <v>6.8944774772690121E-3</v>
      </c>
      <c r="AK872" s="885">
        <f t="shared" si="1346"/>
        <v>1.5401032503676859E-3</v>
      </c>
      <c r="AL872" s="1044">
        <f t="shared" si="1346"/>
        <v>1.5401032503676859E-3</v>
      </c>
      <c r="AM872" s="885">
        <f t="shared" si="1346"/>
        <v>-1.4280180612487037E-3</v>
      </c>
      <c r="AN872" s="885">
        <f t="shared" si="1346"/>
        <v>3.9256890161531999E-4</v>
      </c>
      <c r="AO872" s="885">
        <f t="shared" si="1346"/>
        <v>-2.9181314767583455E-3</v>
      </c>
      <c r="AP872" s="885">
        <f t="shared" si="1346"/>
        <v>8.6619977884261345E-3</v>
      </c>
      <c r="AQ872" s="1044">
        <f t="shared" si="1346"/>
        <v>8.6619977884261345E-3</v>
      </c>
      <c r="AR872" s="885">
        <f t="shared" si="1346"/>
        <v>1.4196387216303785E-2</v>
      </c>
      <c r="AS872" s="885">
        <f t="shared" si="1346"/>
        <v>1.0023891139503416E-2</v>
      </c>
      <c r="AT872" s="885">
        <f t="shared" ref="AT872:BP872" si="1347">+AT871/AO871-1</f>
        <v>8.9758952850624851E-3</v>
      </c>
      <c r="AU872" s="885">
        <f t="shared" si="1347"/>
        <v>1.564498446921192E-3</v>
      </c>
      <c r="AV872" s="1044">
        <f t="shared" si="1347"/>
        <v>1.564498446921192E-3</v>
      </c>
      <c r="AW872" s="885">
        <f t="shared" si="1347"/>
        <v>5.5088712807982443E-3</v>
      </c>
      <c r="AX872" s="885">
        <f t="shared" si="1347"/>
        <v>7.1362049559200447E-3</v>
      </c>
      <c r="AY872" s="885">
        <f t="shared" si="1347"/>
        <v>7.7769022576998914E-3</v>
      </c>
      <c r="AZ872" s="885">
        <f t="shared" si="1347"/>
        <v>1.4970640214355013E-2</v>
      </c>
      <c r="BA872" s="1044">
        <f t="shared" si="1347"/>
        <v>1.4970640214355013E-2</v>
      </c>
      <c r="BB872" s="885">
        <f t="shared" si="1347"/>
        <v>1.6032974332479855E-2</v>
      </c>
      <c r="BC872" s="885">
        <f t="shared" si="1347"/>
        <v>1.7047517472996265E-2</v>
      </c>
      <c r="BD872" s="885">
        <f t="shared" si="1347"/>
        <v>1.708254011422361E-2</v>
      </c>
      <c r="BE872" s="885">
        <f t="shared" si="1347"/>
        <v>1.5502482643959592E-2</v>
      </c>
      <c r="BF872" s="1044">
        <f t="shared" si="1347"/>
        <v>1.5502482643959592E-2</v>
      </c>
      <c r="BG872" s="885">
        <f t="shared" si="1347"/>
        <v>1.4902688295215238E-2</v>
      </c>
      <c r="BH872" s="885">
        <f t="shared" si="1347"/>
        <v>1.6683679445773869E-2</v>
      </c>
      <c r="BI872" s="885">
        <f t="shared" si="1347"/>
        <v>9.7264234503735558E-3</v>
      </c>
      <c r="BJ872" s="885">
        <f t="shared" si="1347"/>
        <v>-1.6869842253147693E-3</v>
      </c>
      <c r="BK872" s="1044">
        <f t="shared" si="1347"/>
        <v>-1.6869842253147693E-3</v>
      </c>
      <c r="BL872" s="885">
        <f t="shared" si="1347"/>
        <v>-9.3212500275288157E-3</v>
      </c>
      <c r="BM872" s="885">
        <f t="shared" si="1347"/>
        <v>-2.142998222397785E-2</v>
      </c>
      <c r="BN872" s="885">
        <f t="shared" si="1347"/>
        <v>-2.5532807008832759E-2</v>
      </c>
      <c r="BO872" s="885">
        <f t="shared" si="1347"/>
        <v>2.3397288507460257E-2</v>
      </c>
      <c r="BP872" s="1044">
        <f t="shared" si="1347"/>
        <v>2.3397288507460257E-2</v>
      </c>
      <c r="BQ872" s="885">
        <f t="shared" ref="BQ872:CB872" si="1348">+BQ871/BL871-1</f>
        <v>2.022396976686025E-2</v>
      </c>
      <c r="BR872" s="885">
        <f t="shared" si="1348"/>
        <v>1.9701505926150276E-2</v>
      </c>
      <c r="BS872" s="885">
        <f t="shared" si="1348"/>
        <v>1.9843853500840725E-2</v>
      </c>
      <c r="BT872" s="885">
        <f t="shared" si="1348"/>
        <v>-3.5065019435451594E-2</v>
      </c>
      <c r="BU872" s="1044">
        <f t="shared" si="1348"/>
        <v>-3.5065019435451594E-2</v>
      </c>
      <c r="BV872" s="885">
        <f t="shared" si="1348"/>
        <v>-3.4264111475481251E-2</v>
      </c>
      <c r="BW872" s="885">
        <f t="shared" si="1348"/>
        <v>-1.702808506894804E-2</v>
      </c>
      <c r="BX872" s="885">
        <f t="shared" si="1348"/>
        <v>-1.5616152419865248E-2</v>
      </c>
      <c r="BY872" s="885">
        <f t="shared" si="1348"/>
        <v>-1.0794616157139059E-2</v>
      </c>
      <c r="BZ872" s="1044">
        <f t="shared" si="1348"/>
        <v>-1.0794616157139059E-2</v>
      </c>
      <c r="CA872" s="885">
        <f t="shared" si="1348"/>
        <v>1.0029105841474761E-2</v>
      </c>
      <c r="CB872" s="885">
        <f t="shared" si="1348"/>
        <v>4.1705121966226555E-2</v>
      </c>
      <c r="CC872" s="885">
        <f t="shared" ref="CC872:CJ872" si="1349">+CC871/BX871-1</f>
        <v>4.6903638034976103E-2</v>
      </c>
      <c r="CD872" s="885">
        <f t="shared" si="1349"/>
        <v>5.3410695751305859E-2</v>
      </c>
      <c r="CE872" s="1044">
        <f t="shared" si="1349"/>
        <v>9.2137278589780713E-2</v>
      </c>
      <c r="CF872" s="885">
        <f t="shared" si="1349"/>
        <v>3.2876880633523564E-2</v>
      </c>
      <c r="CG872" s="885">
        <f>+CG871/CB871-1</f>
        <v>-2.1209761860015552E-2</v>
      </c>
      <c r="CH872" s="885">
        <f t="shared" si="1349"/>
        <v>-1.6020426852260905E-2</v>
      </c>
      <c r="CI872" s="885">
        <f t="shared" si="1349"/>
        <v>0.34799440047380603</v>
      </c>
      <c r="CJ872" s="1044">
        <f t="shared" si="1349"/>
        <v>0.30019526584197997</v>
      </c>
      <c r="CK872" s="1278">
        <f t="shared" ref="CK872:CT872" si="1350">+CK871/CF871-1</f>
        <v>0.35212409907596154</v>
      </c>
      <c r="CL872" s="1278">
        <f t="shared" si="1350"/>
        <v>0.37312450283896093</v>
      </c>
      <c r="CM872" s="885">
        <f t="shared" si="1350"/>
        <v>0.38165703148951069</v>
      </c>
      <c r="CN872" s="885">
        <f t="shared" si="1350"/>
        <v>5.0247041296038741E-3</v>
      </c>
      <c r="CO872" s="1044">
        <f t="shared" si="1350"/>
        <v>5.0247041296038741E-3</v>
      </c>
      <c r="CP872" s="885">
        <f t="shared" si="1350"/>
        <v>2.4997880627334323E-2</v>
      </c>
      <c r="CQ872" s="885">
        <f t="shared" si="1350"/>
        <v>2.5042309228925363E-2</v>
      </c>
      <c r="CR872" s="885">
        <f t="shared" si="1350"/>
        <v>2.5118056573645298E-2</v>
      </c>
      <c r="CS872" s="885">
        <f t="shared" si="1350"/>
        <v>2.5040557028228827E-2</v>
      </c>
      <c r="CT872" s="1044">
        <f t="shared" si="1350"/>
        <v>2.5040557028228827E-2</v>
      </c>
      <c r="CU872" s="1044">
        <f>+CU871/CT871-1</f>
        <v>3.0056873067655143E-2</v>
      </c>
      <c r="CV872" s="1771">
        <f>+CV871/CU871-1</f>
        <v>5.699249821390362E-3</v>
      </c>
      <c r="CW872" s="2615"/>
      <c r="CX872" s="2704"/>
      <c r="CY872" s="2704"/>
      <c r="CZ872" s="2704"/>
      <c r="DA872" s="2704"/>
      <c r="DB872" s="217"/>
      <c r="DC872" s="212"/>
      <c r="DD872" s="212"/>
      <c r="DE872" s="70"/>
    </row>
    <row r="873" spans="1:256" x14ac:dyDescent="0.2">
      <c r="A873" s="2389" t="s">
        <v>653</v>
      </c>
      <c r="B873" s="1193"/>
      <c r="C873" s="1193"/>
      <c r="D873" s="1193"/>
      <c r="E873" s="1193"/>
      <c r="F873" s="1193"/>
      <c r="G873" s="1193"/>
      <c r="H873" s="1946"/>
      <c r="I873" s="1193"/>
      <c r="J873" s="1193"/>
      <c r="K873" s="1193"/>
      <c r="L873" s="1193"/>
      <c r="M873" s="1946"/>
      <c r="N873" s="1193"/>
      <c r="O873" s="1193"/>
      <c r="P873" s="1193"/>
      <c r="Q873" s="1193"/>
      <c r="R873" s="1946"/>
      <c r="S873" s="1193"/>
      <c r="T873" s="1193"/>
      <c r="U873" s="1193"/>
      <c r="V873" s="1193"/>
      <c r="W873" s="1946"/>
      <c r="X873" s="1193"/>
      <c r="Y873" s="1193"/>
      <c r="Z873" s="1193"/>
      <c r="AA873" s="1193"/>
      <c r="AB873" s="1946"/>
      <c r="AC873" s="1193"/>
      <c r="AD873" s="1193"/>
      <c r="AE873" s="1193"/>
      <c r="AF873" s="1193"/>
      <c r="AG873" s="1946"/>
      <c r="AH873" s="1193"/>
      <c r="AI873" s="1193"/>
      <c r="AJ873" s="1193"/>
      <c r="AK873" s="1193"/>
      <c r="AL873" s="1946"/>
      <c r="AM873" s="1193"/>
      <c r="AN873" s="1193"/>
      <c r="AO873" s="1193"/>
      <c r="AP873" s="1193"/>
      <c r="AQ873" s="1946"/>
      <c r="AR873" s="1193"/>
      <c r="AS873" s="1193"/>
      <c r="AT873" s="1193"/>
      <c r="AU873" s="1193"/>
      <c r="AV873" s="1946"/>
      <c r="AW873" s="1193"/>
      <c r="AX873" s="1193"/>
      <c r="AY873" s="1193"/>
      <c r="AZ873" s="1193"/>
      <c r="BA873" s="1946"/>
      <c r="BB873" s="1193"/>
      <c r="BC873" s="1193"/>
      <c r="BD873" s="1193"/>
      <c r="BE873" s="1193"/>
      <c r="BF873" s="1946"/>
      <c r="BG873" s="1193"/>
      <c r="BH873" s="1193"/>
      <c r="BI873" s="1193"/>
      <c r="BJ873" s="1193"/>
      <c r="BK873" s="1946"/>
      <c r="BL873" s="1193"/>
      <c r="BM873" s="1193"/>
      <c r="BN873" s="1193"/>
      <c r="BO873" s="1193"/>
      <c r="BP873" s="1946"/>
      <c r="BQ873" s="1193"/>
      <c r="BR873" s="1193"/>
      <c r="BS873" s="1193"/>
      <c r="BT873" s="1193"/>
      <c r="BU873" s="1946"/>
      <c r="BV873" s="1193"/>
      <c r="BW873" s="1193"/>
      <c r="BX873" s="1193"/>
      <c r="BY873" s="1193"/>
      <c r="BZ873" s="1946"/>
      <c r="CA873" s="1193"/>
      <c r="CB873" s="1193"/>
      <c r="CC873" s="1193"/>
      <c r="CD873" s="1193"/>
      <c r="CE873" s="1946"/>
      <c r="CF873" s="1193"/>
      <c r="CG873" s="1193"/>
      <c r="CH873" s="1193"/>
      <c r="CI873" s="1193"/>
      <c r="CJ873" s="1946"/>
      <c r="CK873" s="3527"/>
      <c r="CL873" s="1193"/>
      <c r="CM873" s="1193"/>
      <c r="CN873" s="1193"/>
      <c r="CO873" s="1946"/>
      <c r="CP873"/>
      <c r="CQ873" s="1193"/>
      <c r="CR873" s="1193"/>
      <c r="CS873"/>
      <c r="CT873" s="1946"/>
      <c r="CU873" s="1946"/>
      <c r="CV873" s="2607"/>
      <c r="CW873" s="2615"/>
      <c r="CX873" s="2704"/>
      <c r="CY873" s="2704"/>
      <c r="CZ873" s="2704"/>
      <c r="DA873" s="2704"/>
      <c r="DB873" s="217"/>
      <c r="DF873" s="11"/>
      <c r="DG873" s="11"/>
      <c r="DH873" s="11"/>
      <c r="DI873" s="11"/>
      <c r="DJ873" s="11"/>
      <c r="DK873" s="11"/>
      <c r="DL873" s="11"/>
      <c r="DM873" s="11"/>
      <c r="DN873" s="11"/>
      <c r="DO873" s="11"/>
      <c r="DP873" s="11"/>
      <c r="DQ873" s="11"/>
      <c r="DR873" s="11"/>
      <c r="DS873" s="11"/>
      <c r="DT873" s="11"/>
      <c r="DU873" s="11"/>
      <c r="DV873" s="11"/>
      <c r="DW873" s="11"/>
      <c r="DX873" s="11"/>
      <c r="DY873" s="11"/>
      <c r="DZ873" s="11"/>
      <c r="EA873" s="11"/>
      <c r="EB873" s="11"/>
      <c r="EC873" s="11"/>
      <c r="ED873" s="11"/>
      <c r="EE873" s="11"/>
      <c r="EF873" s="11"/>
      <c r="EG873" s="11"/>
      <c r="EH873" s="11"/>
      <c r="EI873" s="11"/>
      <c r="EJ873" s="11"/>
      <c r="EK873" s="11"/>
      <c r="EL873" s="11"/>
      <c r="EM873" s="11"/>
      <c r="EN873" s="11"/>
      <c r="EO873" s="11"/>
      <c r="EP873" s="11"/>
      <c r="EQ873" s="11"/>
      <c r="ER873" s="11"/>
      <c r="ES873" s="11"/>
      <c r="ET873" s="11"/>
      <c r="EU873" s="11"/>
      <c r="EV873" s="11"/>
      <c r="EW873" s="11"/>
      <c r="EX873" s="11"/>
      <c r="EY873" s="11"/>
      <c r="EZ873" s="11"/>
      <c r="FA873" s="11"/>
      <c r="FB873" s="11"/>
      <c r="FC873" s="11"/>
      <c r="FD873" s="11"/>
      <c r="FE873" s="11"/>
      <c r="FF873" s="11"/>
      <c r="FG873" s="11"/>
      <c r="FH873" s="11"/>
      <c r="FI873" s="11"/>
      <c r="FJ873" s="11"/>
      <c r="FK873" s="11"/>
      <c r="FL873" s="11"/>
      <c r="FM873" s="11"/>
      <c r="FN873" s="11"/>
      <c r="FO873" s="11"/>
      <c r="FP873" s="11"/>
      <c r="FQ873" s="11"/>
      <c r="FR873" s="11"/>
      <c r="FS873" s="11"/>
      <c r="FT873" s="11"/>
      <c r="FU873" s="11"/>
      <c r="FV873" s="11"/>
      <c r="FW873" s="11"/>
      <c r="FX873" s="11"/>
      <c r="FY873" s="11"/>
      <c r="FZ873" s="11"/>
      <c r="GA873" s="11"/>
      <c r="GB873" s="11"/>
      <c r="GC873" s="11"/>
      <c r="GD873" s="11"/>
      <c r="GE873" s="11"/>
      <c r="GF873" s="11"/>
      <c r="GG873" s="11"/>
      <c r="GH873" s="11"/>
      <c r="GI873" s="11"/>
      <c r="GJ873" s="11"/>
      <c r="GK873" s="11"/>
      <c r="GL873" s="11"/>
      <c r="GM873" s="11"/>
      <c r="GN873" s="11"/>
      <c r="GO873" s="11"/>
      <c r="GP873" s="11"/>
      <c r="GQ873" s="11"/>
      <c r="GR873" s="11"/>
      <c r="GS873" s="11"/>
      <c r="GT873" s="11"/>
      <c r="GU873" s="11"/>
      <c r="GV873" s="11"/>
      <c r="GW873" s="11"/>
      <c r="GX873" s="11"/>
      <c r="GY873" s="11"/>
      <c r="GZ873" s="11"/>
      <c r="HA873" s="11"/>
      <c r="HB873" s="11"/>
      <c r="HC873" s="11"/>
      <c r="HD873" s="11"/>
      <c r="HE873" s="11"/>
      <c r="HF873" s="11"/>
      <c r="HG873" s="11"/>
      <c r="HH873" s="11"/>
      <c r="HI873" s="11"/>
      <c r="HJ873" s="11"/>
      <c r="HK873" s="11"/>
      <c r="HL873" s="11"/>
      <c r="HM873" s="11"/>
      <c r="HN873" s="11"/>
      <c r="HO873" s="11"/>
      <c r="HP873" s="11"/>
      <c r="HQ873" s="11"/>
      <c r="HR873" s="11"/>
      <c r="HS873" s="11"/>
      <c r="HT873" s="11"/>
      <c r="HU873" s="11"/>
      <c r="HV873" s="11"/>
      <c r="HW873" s="11"/>
      <c r="HX873" s="11"/>
      <c r="HY873" s="11"/>
      <c r="HZ873" s="11"/>
      <c r="IA873" s="11"/>
      <c r="IB873" s="11"/>
      <c r="IC873" s="11"/>
      <c r="ID873" s="11"/>
      <c r="IE873" s="11"/>
      <c r="IF873" s="11"/>
      <c r="IG873" s="11"/>
      <c r="IH873" s="11"/>
      <c r="II873" s="11"/>
      <c r="IJ873" s="11"/>
      <c r="IK873" s="11"/>
      <c r="IL873" s="11"/>
      <c r="IM873" s="11"/>
      <c r="IN873" s="11"/>
      <c r="IO873" s="11"/>
      <c r="IP873" s="11"/>
      <c r="IQ873" s="11"/>
      <c r="IR873" s="11"/>
      <c r="IS873" s="11"/>
      <c r="IT873" s="11"/>
      <c r="IU873" s="11"/>
      <c r="IV873" s="11"/>
    </row>
    <row r="874" spans="1:256" s="11" customFormat="1" x14ac:dyDescent="0.2">
      <c r="A874" s="302" t="s">
        <v>655</v>
      </c>
      <c r="B874" s="1449"/>
      <c r="C874" s="1449"/>
      <c r="D874" s="1449"/>
      <c r="E874" s="1449"/>
      <c r="F874" s="1449"/>
      <c r="G874" s="1449"/>
      <c r="H874" s="1454"/>
      <c r="I874" s="2035">
        <f t="shared" ref="I874:AN874" si="1351">SUM(I605:I621)</f>
        <v>52085</v>
      </c>
      <c r="J874" s="2035">
        <f t="shared" si="1351"/>
        <v>53068</v>
      </c>
      <c r="K874" s="2035">
        <f t="shared" si="1351"/>
        <v>53668</v>
      </c>
      <c r="L874" s="2035">
        <f t="shared" si="1351"/>
        <v>55220</v>
      </c>
      <c r="M874" s="2036">
        <f t="shared" si="1351"/>
        <v>55220</v>
      </c>
      <c r="N874" s="2035">
        <f t="shared" si="1351"/>
        <v>55609</v>
      </c>
      <c r="O874" s="2035">
        <f t="shared" si="1351"/>
        <v>55452</v>
      </c>
      <c r="P874" s="2035">
        <f t="shared" si="1351"/>
        <v>56365</v>
      </c>
      <c r="Q874" s="2035">
        <f t="shared" si="1351"/>
        <v>57742</v>
      </c>
      <c r="R874" s="2036">
        <f t="shared" si="1351"/>
        <v>57742</v>
      </c>
      <c r="S874" s="2035">
        <f t="shared" si="1351"/>
        <v>58529</v>
      </c>
      <c r="T874" s="2035">
        <f t="shared" si="1351"/>
        <v>58918</v>
      </c>
      <c r="U874" s="2035">
        <f t="shared" si="1351"/>
        <v>59994</v>
      </c>
      <c r="V874" s="2035">
        <f t="shared" si="1351"/>
        <v>61085</v>
      </c>
      <c r="W874" s="2036">
        <f t="shared" si="1351"/>
        <v>61085</v>
      </c>
      <c r="X874" s="2035">
        <f t="shared" si="1351"/>
        <v>60450</v>
      </c>
      <c r="Y874" s="2035">
        <f t="shared" si="1351"/>
        <v>61246</v>
      </c>
      <c r="Z874" s="2035">
        <f t="shared" si="1351"/>
        <v>61800</v>
      </c>
      <c r="AA874" s="2035">
        <f t="shared" si="1351"/>
        <v>61578</v>
      </c>
      <c r="AB874" s="2036">
        <f t="shared" si="1351"/>
        <v>61578</v>
      </c>
      <c r="AC874" s="2035">
        <f t="shared" si="1351"/>
        <v>62248</v>
      </c>
      <c r="AD874" s="2035">
        <f t="shared" si="1351"/>
        <v>71586</v>
      </c>
      <c r="AE874" s="2035">
        <f t="shared" si="1351"/>
        <v>70066</v>
      </c>
      <c r="AF874" s="2035">
        <f t="shared" si="1351"/>
        <v>70498</v>
      </c>
      <c r="AG874" s="2036">
        <f t="shared" si="1351"/>
        <v>70498</v>
      </c>
      <c r="AH874" s="2035">
        <f t="shared" si="1351"/>
        <v>71249</v>
      </c>
      <c r="AI874" s="2035">
        <f t="shared" si="1351"/>
        <v>73358</v>
      </c>
      <c r="AJ874" s="2035">
        <f t="shared" si="1351"/>
        <v>74500</v>
      </c>
      <c r="AK874" s="2035">
        <f t="shared" si="1351"/>
        <v>74357</v>
      </c>
      <c r="AL874" s="2036">
        <f t="shared" si="1351"/>
        <v>74357</v>
      </c>
      <c r="AM874" s="2035">
        <f t="shared" si="1351"/>
        <v>75269</v>
      </c>
      <c r="AN874" s="2035">
        <f t="shared" si="1351"/>
        <v>75631</v>
      </c>
      <c r="AO874" s="2035">
        <f t="shared" ref="AO874:BO874" si="1352">SUM(AO605:AO621)</f>
        <v>77929</v>
      </c>
      <c r="AP874" s="2035">
        <f t="shared" si="1352"/>
        <v>77723</v>
      </c>
      <c r="AQ874" s="2036">
        <f t="shared" si="1352"/>
        <v>77723</v>
      </c>
      <c r="AR874" s="2035">
        <f t="shared" si="1352"/>
        <v>77070</v>
      </c>
      <c r="AS874" s="2035">
        <f t="shared" si="1352"/>
        <v>77568</v>
      </c>
      <c r="AT874" s="2035">
        <f t="shared" si="1352"/>
        <v>79430</v>
      </c>
      <c r="AU874" s="2035">
        <f t="shared" si="1352"/>
        <v>80549</v>
      </c>
      <c r="AV874" s="2036">
        <f t="shared" si="1352"/>
        <v>80549</v>
      </c>
      <c r="AW874" s="2035">
        <f t="shared" si="1352"/>
        <v>83143</v>
      </c>
      <c r="AX874" s="2035">
        <f t="shared" si="1352"/>
        <v>84417</v>
      </c>
      <c r="AY874" s="2035">
        <f t="shared" si="1352"/>
        <v>84923</v>
      </c>
      <c r="AZ874" s="2035">
        <f t="shared" si="1352"/>
        <v>86497</v>
      </c>
      <c r="BA874" s="2036">
        <f t="shared" si="1352"/>
        <v>86497</v>
      </c>
      <c r="BB874" s="2035">
        <f t="shared" si="1352"/>
        <v>86980</v>
      </c>
      <c r="BC874" s="2035">
        <f t="shared" si="1352"/>
        <v>87443</v>
      </c>
      <c r="BD874" s="2035">
        <f t="shared" si="1352"/>
        <v>88463</v>
      </c>
      <c r="BE874" s="2035">
        <f t="shared" si="1352"/>
        <v>88024</v>
      </c>
      <c r="BF874" s="2036">
        <f t="shared" si="1352"/>
        <v>88024</v>
      </c>
      <c r="BG874" s="2035">
        <f t="shared" si="1352"/>
        <v>89852</v>
      </c>
      <c r="BH874" s="2035">
        <f t="shared" si="1352"/>
        <v>90058</v>
      </c>
      <c r="BI874" s="2035">
        <f t="shared" si="1352"/>
        <v>91117</v>
      </c>
      <c r="BJ874" s="2035">
        <f t="shared" si="1352"/>
        <v>93197</v>
      </c>
      <c r="BK874" s="2036">
        <f t="shared" si="1352"/>
        <v>93197</v>
      </c>
      <c r="BL874" s="2035">
        <f t="shared" si="1352"/>
        <v>92432</v>
      </c>
      <c r="BM874" s="2035">
        <f t="shared" si="1352"/>
        <v>92889</v>
      </c>
      <c r="BN874" s="2035">
        <f t="shared" si="1352"/>
        <v>93926</v>
      </c>
      <c r="BO874" s="2035">
        <f t="shared" si="1352"/>
        <v>95095</v>
      </c>
      <c r="BP874" s="1270">
        <f>+BO874</f>
        <v>95095</v>
      </c>
      <c r="BQ874" s="2035">
        <f>SUM(BQ605:BQ621)</f>
        <v>97375</v>
      </c>
      <c r="BR874" s="2035">
        <f>SUM(BR605:BR621)</f>
        <v>97279</v>
      </c>
      <c r="BS874" s="2035">
        <f>SUM(BS605:BS621)</f>
        <v>98481</v>
      </c>
      <c r="BT874" s="2035">
        <f>SUM(BT605:BT621)</f>
        <v>100619</v>
      </c>
      <c r="BU874" s="1270">
        <f>+BT874</f>
        <v>100619</v>
      </c>
      <c r="BV874" s="2035">
        <f>SUM(BV605:BV621)</f>
        <v>101843</v>
      </c>
      <c r="BW874" s="2035">
        <f>SUM(BW605:BW621)</f>
        <v>108148</v>
      </c>
      <c r="BX874" s="2035">
        <f>SUM(BX605:BX621)</f>
        <v>108274</v>
      </c>
      <c r="BY874" s="2035">
        <f>SUM(BY605:BY621)</f>
        <v>111324</v>
      </c>
      <c r="BZ874" s="1270">
        <f>+BY874</f>
        <v>111324</v>
      </c>
      <c r="CA874" s="2035">
        <f>SUM(CA605:CA621)</f>
        <v>109090</v>
      </c>
      <c r="CB874" s="2035">
        <f>SUM(CB605:CB621)</f>
        <v>111011</v>
      </c>
      <c r="CC874" s="2035">
        <f>SUM(CC605:CC621)</f>
        <v>112616</v>
      </c>
      <c r="CD874" s="2035">
        <f>SUM(CD605:CD621)</f>
        <v>114575</v>
      </c>
      <c r="CE874" s="1270">
        <f>+CD874</f>
        <v>114575</v>
      </c>
      <c r="CF874" s="2035">
        <f>SUM(CF605:CF621)</f>
        <v>115222</v>
      </c>
      <c r="CG874" s="2035">
        <f>SUM(CG605:CG621)</f>
        <v>116956</v>
      </c>
      <c r="CH874" s="2035">
        <f>SUM(CH604:CH621)</f>
        <v>117101</v>
      </c>
      <c r="CI874" s="3069">
        <f t="shared" ref="CI874:CV874" si="1353">SUM(CI604:CI633)</f>
        <v>271189</v>
      </c>
      <c r="CJ874" s="2036">
        <f t="shared" si="1353"/>
        <v>271189</v>
      </c>
      <c r="CK874" s="3528">
        <f t="shared" si="1353"/>
        <v>272843</v>
      </c>
      <c r="CL874" s="3528">
        <f>SUM(CL604:CL633)</f>
        <v>276405</v>
      </c>
      <c r="CM874" s="3528">
        <f>SUM(CM604:CM633)</f>
        <v>279097</v>
      </c>
      <c r="CN874" s="2035">
        <f t="shared" si="1353"/>
        <v>284752</v>
      </c>
      <c r="CO874" s="2036">
        <f t="shared" si="1353"/>
        <v>284752</v>
      </c>
      <c r="CP874" s="2035">
        <f t="shared" si="1353"/>
        <v>286485.15000000008</v>
      </c>
      <c r="CQ874" s="2035">
        <f t="shared" si="1353"/>
        <v>292989.30000000005</v>
      </c>
      <c r="CR874" s="2035">
        <f t="shared" si="1353"/>
        <v>295842.81999999995</v>
      </c>
      <c r="CS874" s="2035">
        <f t="shared" si="1353"/>
        <v>301808.97999999992</v>
      </c>
      <c r="CT874" s="2036">
        <f>SUM(CT604:CT633)</f>
        <v>301808.97999999992</v>
      </c>
      <c r="CU874" s="2036">
        <f t="shared" si="1353"/>
        <v>318382.67889999994</v>
      </c>
      <c r="CV874" s="2035">
        <f t="shared" si="1353"/>
        <v>324740.95247799996</v>
      </c>
      <c r="CW874" s="2398"/>
      <c r="CX874" s="1201"/>
      <c r="CY874" s="1201"/>
      <c r="CZ874" s="1201"/>
      <c r="DA874" s="1201"/>
      <c r="DB874" s="217"/>
      <c r="DC874" s="212"/>
      <c r="DD874" s="212"/>
      <c r="DE874" s="70"/>
      <c r="DF874" s="70"/>
      <c r="DG874" s="70"/>
      <c r="DH874" s="70"/>
      <c r="DI874" s="70"/>
      <c r="DJ874" s="70"/>
      <c r="DK874" s="70"/>
      <c r="DL874" s="70"/>
      <c r="DM874" s="70"/>
      <c r="DN874" s="70"/>
      <c r="DO874" s="70"/>
      <c r="DP874" s="70"/>
      <c r="DQ874" s="70"/>
      <c r="DR874" s="70"/>
      <c r="DS874" s="70"/>
      <c r="DT874" s="70"/>
      <c r="DU874" s="70"/>
      <c r="DV874" s="70"/>
      <c r="DW874" s="70"/>
      <c r="DX874" s="70"/>
      <c r="DY874" s="70"/>
      <c r="DZ874" s="70"/>
      <c r="EA874" s="70"/>
      <c r="EB874" s="70"/>
      <c r="EC874" s="70"/>
      <c r="ED874" s="70"/>
      <c r="EE874" s="70"/>
      <c r="EF874" s="70"/>
      <c r="EG874" s="70"/>
      <c r="EH874" s="70"/>
      <c r="EI874" s="70"/>
      <c r="EJ874" s="70"/>
      <c r="EK874" s="70"/>
      <c r="EL874" s="70"/>
      <c r="EM874" s="70"/>
      <c r="EN874" s="70"/>
      <c r="EO874" s="70"/>
      <c r="EP874" s="70"/>
      <c r="EQ874" s="70"/>
      <c r="ER874" s="70"/>
      <c r="ES874" s="70"/>
      <c r="ET874" s="70"/>
      <c r="EU874" s="70"/>
      <c r="EV874" s="70"/>
      <c r="EW874" s="70"/>
      <c r="EX874" s="70"/>
      <c r="EY874" s="70"/>
      <c r="EZ874" s="70"/>
      <c r="FA874" s="70"/>
      <c r="FB874" s="70"/>
      <c r="FC874" s="70"/>
      <c r="FD874" s="70"/>
      <c r="FE874" s="70"/>
      <c r="FF874" s="70"/>
      <c r="FG874" s="70"/>
      <c r="FH874" s="70"/>
      <c r="FI874" s="70"/>
      <c r="FJ874" s="70"/>
      <c r="FK874" s="70"/>
      <c r="FL874" s="70"/>
      <c r="FM874" s="70"/>
      <c r="FN874" s="70"/>
      <c r="FO874" s="70"/>
      <c r="FP874" s="70"/>
      <c r="FQ874" s="70"/>
      <c r="FR874" s="70"/>
      <c r="FS874" s="70"/>
      <c r="FT874" s="70"/>
      <c r="FU874" s="70"/>
      <c r="FV874" s="70"/>
      <c r="FW874" s="70"/>
      <c r="FX874" s="70"/>
      <c r="FY874" s="70"/>
      <c r="FZ874" s="70"/>
      <c r="GA874" s="70"/>
      <c r="GB874" s="70"/>
      <c r="GC874" s="70"/>
      <c r="GD874" s="70"/>
      <c r="GE874" s="70"/>
      <c r="GF874" s="70"/>
      <c r="GG874" s="70"/>
      <c r="GH874" s="70"/>
      <c r="GI874" s="70"/>
      <c r="GJ874" s="70"/>
      <c r="GK874" s="70"/>
      <c r="GL874" s="70"/>
      <c r="GM874" s="70"/>
      <c r="GN874" s="70"/>
      <c r="GO874" s="70"/>
      <c r="GP874" s="70"/>
      <c r="GQ874" s="70"/>
      <c r="GR874" s="70"/>
      <c r="GS874" s="70"/>
      <c r="GT874" s="70"/>
      <c r="GU874" s="70"/>
      <c r="GV874" s="70"/>
      <c r="GW874" s="70"/>
      <c r="GX874" s="70"/>
      <c r="GY874" s="70"/>
      <c r="GZ874" s="70"/>
      <c r="HA874" s="70"/>
      <c r="HB874" s="70"/>
      <c r="HC874" s="70"/>
      <c r="HD874" s="70"/>
      <c r="HE874" s="70"/>
      <c r="HF874" s="70"/>
      <c r="HG874" s="70"/>
      <c r="HH874" s="70"/>
      <c r="HI874" s="70"/>
      <c r="HJ874" s="70"/>
      <c r="HK874" s="70"/>
      <c r="HL874" s="70"/>
      <c r="HM874" s="70"/>
      <c r="HN874" s="70"/>
      <c r="HO874" s="70"/>
      <c r="HP874" s="70"/>
      <c r="HQ874" s="70"/>
      <c r="HR874" s="70"/>
      <c r="HS874" s="70"/>
      <c r="HT874" s="70"/>
      <c r="HU874" s="70"/>
      <c r="HV874" s="70"/>
      <c r="HW874" s="70"/>
      <c r="HX874" s="70"/>
      <c r="HY874" s="70"/>
      <c r="HZ874" s="70"/>
      <c r="IA874" s="70"/>
      <c r="IB874" s="70"/>
      <c r="IC874" s="70"/>
      <c r="ID874" s="70"/>
      <c r="IE874" s="70"/>
      <c r="IF874" s="70"/>
      <c r="IG874" s="70"/>
      <c r="IH874" s="70"/>
      <c r="II874" s="70"/>
      <c r="IJ874" s="70"/>
      <c r="IK874" s="70"/>
      <c r="IL874" s="70"/>
      <c r="IM874" s="70"/>
      <c r="IN874" s="70"/>
      <c r="IO874" s="70"/>
      <c r="IP874" s="70"/>
      <c r="IQ874" s="70"/>
      <c r="IR874" s="70"/>
      <c r="IS874" s="70"/>
      <c r="IT874" s="70"/>
      <c r="IU874" s="70"/>
      <c r="IV874" s="70"/>
    </row>
    <row r="875" spans="1:256" s="11" customFormat="1" x14ac:dyDescent="0.2">
      <c r="A875" s="2389" t="s">
        <v>652</v>
      </c>
      <c r="B875" s="1193"/>
      <c r="C875" s="1193"/>
      <c r="D875" s="1193"/>
      <c r="E875" s="1193"/>
      <c r="F875" s="1193"/>
      <c r="G875" s="1193"/>
      <c r="H875" s="1946"/>
      <c r="I875" s="243"/>
      <c r="J875" s="243"/>
      <c r="K875" s="243"/>
      <c r="L875" s="243"/>
      <c r="M875" s="2012"/>
      <c r="N875" s="885">
        <f t="shared" ref="N875:AS875" si="1354">+N874/I874-1</f>
        <v>6.7658634923682515E-2</v>
      </c>
      <c r="O875" s="885">
        <f t="shared" si="1354"/>
        <v>4.4923494384563112E-2</v>
      </c>
      <c r="P875" s="885">
        <f t="shared" si="1354"/>
        <v>5.0253409853171283E-2</v>
      </c>
      <c r="Q875" s="885">
        <f t="shared" si="1354"/>
        <v>4.5671858022455547E-2</v>
      </c>
      <c r="R875" s="1044">
        <f t="shared" si="1354"/>
        <v>4.5671858022455547E-2</v>
      </c>
      <c r="S875" s="885">
        <f t="shared" si="1354"/>
        <v>5.2509485874588702E-2</v>
      </c>
      <c r="T875" s="885">
        <f t="shared" si="1354"/>
        <v>6.2504508403664394E-2</v>
      </c>
      <c r="U875" s="885">
        <f t="shared" si="1354"/>
        <v>6.4383926195334062E-2</v>
      </c>
      <c r="V875" s="885">
        <f t="shared" si="1354"/>
        <v>5.789546603858553E-2</v>
      </c>
      <c r="W875" s="1044">
        <f t="shared" si="1354"/>
        <v>5.789546603858553E-2</v>
      </c>
      <c r="X875" s="885">
        <f t="shared" si="1354"/>
        <v>3.2821336431512638E-2</v>
      </c>
      <c r="Y875" s="885">
        <f t="shared" si="1354"/>
        <v>3.9512542856172894E-2</v>
      </c>
      <c r="Z875" s="885">
        <f t="shared" si="1354"/>
        <v>3.010301030103002E-2</v>
      </c>
      <c r="AA875" s="885">
        <f t="shared" si="1354"/>
        <v>8.0707211262993628E-3</v>
      </c>
      <c r="AB875" s="1044">
        <f t="shared" si="1354"/>
        <v>8.0707211262993628E-3</v>
      </c>
      <c r="AC875" s="885">
        <f t="shared" si="1354"/>
        <v>2.9743589743589816E-2</v>
      </c>
      <c r="AD875" s="885">
        <f t="shared" si="1354"/>
        <v>0.16882735199033405</v>
      </c>
      <c r="AE875" s="885">
        <f t="shared" si="1354"/>
        <v>0.13375404530744328</v>
      </c>
      <c r="AF875" s="885">
        <f t="shared" si="1354"/>
        <v>0.14485692942284589</v>
      </c>
      <c r="AG875" s="1044">
        <f t="shared" si="1354"/>
        <v>0.14485692942284589</v>
      </c>
      <c r="AH875" s="885">
        <f t="shared" si="1354"/>
        <v>0.14459902326179153</v>
      </c>
      <c r="AI875" s="885">
        <f t="shared" si="1354"/>
        <v>2.4753443410722831E-2</v>
      </c>
      <c r="AJ875" s="885">
        <f t="shared" si="1354"/>
        <v>6.3283190135015488E-2</v>
      </c>
      <c r="AK875" s="885">
        <f t="shared" si="1354"/>
        <v>5.473914153593018E-2</v>
      </c>
      <c r="AL875" s="1044">
        <f t="shared" si="1354"/>
        <v>5.473914153593018E-2</v>
      </c>
      <c r="AM875" s="885">
        <f t="shared" si="1354"/>
        <v>5.6421844517116071E-2</v>
      </c>
      <c r="AN875" s="885">
        <f t="shared" si="1354"/>
        <v>3.0985032307314864E-2</v>
      </c>
      <c r="AO875" s="885">
        <f t="shared" si="1354"/>
        <v>4.6026845637583857E-2</v>
      </c>
      <c r="AP875" s="885">
        <f t="shared" si="1354"/>
        <v>4.526809849778779E-2</v>
      </c>
      <c r="AQ875" s="1044">
        <f t="shared" si="1354"/>
        <v>4.526809849778779E-2</v>
      </c>
      <c r="AR875" s="885">
        <f t="shared" si="1354"/>
        <v>2.392751331889631E-2</v>
      </c>
      <c r="AS875" s="885">
        <f t="shared" si="1354"/>
        <v>2.5611191178220638E-2</v>
      </c>
      <c r="AT875" s="885">
        <f t="shared" ref="AT875:BP875" si="1355">+AT874/AO874-1</f>
        <v>1.9261122303635414E-2</v>
      </c>
      <c r="AU875" s="885">
        <f t="shared" si="1355"/>
        <v>3.6359893467827975E-2</v>
      </c>
      <c r="AV875" s="1044">
        <f t="shared" si="1355"/>
        <v>3.6359893467827975E-2</v>
      </c>
      <c r="AW875" s="885">
        <f t="shared" si="1355"/>
        <v>7.8798494874789071E-2</v>
      </c>
      <c r="AX875" s="885">
        <f t="shared" si="1355"/>
        <v>8.8296720297029729E-2</v>
      </c>
      <c r="AY875" s="885">
        <f t="shared" si="1355"/>
        <v>6.9155231021024832E-2</v>
      </c>
      <c r="AZ875" s="885">
        <f t="shared" si="1355"/>
        <v>7.3843250692125384E-2</v>
      </c>
      <c r="BA875" s="1044">
        <f t="shared" si="1355"/>
        <v>7.3843250692125384E-2</v>
      </c>
      <c r="BB875" s="885">
        <f t="shared" si="1355"/>
        <v>4.614940524157185E-2</v>
      </c>
      <c r="BC875" s="885">
        <f t="shared" si="1355"/>
        <v>3.5845860430955945E-2</v>
      </c>
      <c r="BD875" s="885">
        <f t="shared" si="1355"/>
        <v>4.1684820366685083E-2</v>
      </c>
      <c r="BE875" s="885">
        <f t="shared" si="1355"/>
        <v>1.7653791460975565E-2</v>
      </c>
      <c r="BF875" s="1044">
        <f t="shared" si="1355"/>
        <v>1.7653791460975565E-2</v>
      </c>
      <c r="BG875" s="885">
        <f t="shared" si="1355"/>
        <v>3.3019084847091262E-2</v>
      </c>
      <c r="BH875" s="885">
        <f t="shared" si="1355"/>
        <v>2.9905195384421823E-2</v>
      </c>
      <c r="BI875" s="885">
        <f t="shared" si="1355"/>
        <v>3.000124345771682E-2</v>
      </c>
      <c r="BJ875" s="885">
        <f t="shared" si="1355"/>
        <v>5.8768063255475678E-2</v>
      </c>
      <c r="BK875" s="1044">
        <f t="shared" si="1355"/>
        <v>5.8768063255475678E-2</v>
      </c>
      <c r="BL875" s="885">
        <f t="shared" si="1355"/>
        <v>2.8713885055424493E-2</v>
      </c>
      <c r="BM875" s="885">
        <f t="shared" si="1355"/>
        <v>3.1435297252881522E-2</v>
      </c>
      <c r="BN875" s="885">
        <f t="shared" si="1355"/>
        <v>3.0828495231405739E-2</v>
      </c>
      <c r="BO875" s="885">
        <f t="shared" si="1355"/>
        <v>2.0365462407588186E-2</v>
      </c>
      <c r="BP875" s="1044">
        <f t="shared" si="1355"/>
        <v>2.0365462407588186E-2</v>
      </c>
      <c r="BQ875" s="885">
        <f t="shared" ref="BQ875:CC875" si="1356">+BQ874/BL874-1</f>
        <v>5.3477150770296022E-2</v>
      </c>
      <c r="BR875" s="885">
        <f t="shared" si="1356"/>
        <v>4.7260709018290603E-2</v>
      </c>
      <c r="BS875" s="885">
        <f t="shared" si="1356"/>
        <v>4.8495624214807354E-2</v>
      </c>
      <c r="BT875" s="885">
        <f t="shared" si="1356"/>
        <v>5.8089279141910755E-2</v>
      </c>
      <c r="BU875" s="1044">
        <f t="shared" si="1356"/>
        <v>5.8089279141910755E-2</v>
      </c>
      <c r="BV875" s="885">
        <f t="shared" si="1356"/>
        <v>4.5884467265725259E-2</v>
      </c>
      <c r="BW875" s="885">
        <f t="shared" si="1356"/>
        <v>0.1117301781473905</v>
      </c>
      <c r="BX875" s="885">
        <f t="shared" si="1356"/>
        <v>9.9440501213432064E-2</v>
      </c>
      <c r="BY875" s="885">
        <f t="shared" si="1356"/>
        <v>0.10639143700493947</v>
      </c>
      <c r="BZ875" s="1044">
        <f t="shared" si="1356"/>
        <v>0.10639143700493947</v>
      </c>
      <c r="CA875" s="885">
        <f t="shared" si="1356"/>
        <v>7.1158547961077234E-2</v>
      </c>
      <c r="CB875" s="885">
        <f t="shared" si="1356"/>
        <v>2.6472981469837675E-2</v>
      </c>
      <c r="CC875" s="885">
        <f t="shared" si="1356"/>
        <v>4.0101963536952612E-2</v>
      </c>
      <c r="CD875" s="885">
        <f t="shared" ref="CD875:CJ875" si="1357">+CD874/BY874-1</f>
        <v>2.9203046962020807E-2</v>
      </c>
      <c r="CE875" s="1044">
        <f t="shared" si="1357"/>
        <v>2.9203046962020807E-2</v>
      </c>
      <c r="CF875" s="885">
        <f t="shared" si="1357"/>
        <v>5.6210468420570203E-2</v>
      </c>
      <c r="CG875" s="885">
        <f t="shared" si="1357"/>
        <v>5.3553251479583119E-2</v>
      </c>
      <c r="CH875" s="885">
        <f t="shared" si="1357"/>
        <v>3.9825602045890474E-2</v>
      </c>
      <c r="CI875" s="885">
        <f t="shared" si="1357"/>
        <v>1.3669125027274709</v>
      </c>
      <c r="CJ875" s="1044">
        <f t="shared" si="1357"/>
        <v>1.3669125027274709</v>
      </c>
      <c r="CK875" s="1278">
        <f>+CK874/CF874-1</f>
        <v>1.3679766016906494</v>
      </c>
      <c r="CL875" s="1278">
        <f>+CL874/CG874-1</f>
        <v>1.3633246691063308</v>
      </c>
      <c r="CM875" s="885">
        <f>+CM874/CH874-1</f>
        <v>1.383386990717415</v>
      </c>
      <c r="CN875" s="885">
        <f>+CN874/CI874-1</f>
        <v>5.0013090501458413E-2</v>
      </c>
      <c r="CO875" s="1044">
        <f>+CO874/CJ874-1</f>
        <v>5.0013090501458413E-2</v>
      </c>
      <c r="CP875" s="3671">
        <v>0.05</v>
      </c>
      <c r="CQ875" s="3671">
        <v>0.06</v>
      </c>
      <c r="CR875" s="3671">
        <v>0.06</v>
      </c>
      <c r="CS875" s="3671">
        <v>0.06</v>
      </c>
      <c r="CT875" s="1044">
        <f>+CT874/CO874-1</f>
        <v>5.9901177164690456E-2</v>
      </c>
      <c r="CU875" s="1046">
        <v>5.5E-2</v>
      </c>
      <c r="CV875" s="1046">
        <v>0.02</v>
      </c>
      <c r="CW875" s="2614"/>
      <c r="CX875" s="2705"/>
      <c r="CY875" s="2705"/>
      <c r="CZ875" s="2705"/>
      <c r="DA875" s="2705"/>
      <c r="DB875" s="217"/>
      <c r="DC875" s="212"/>
      <c r="DD875" s="212"/>
      <c r="DE875" s="70"/>
    </row>
    <row r="876" spans="1:256" x14ac:dyDescent="0.2">
      <c r="A876" s="2389" t="s">
        <v>653</v>
      </c>
      <c r="B876" s="1193"/>
      <c r="C876" s="1193"/>
      <c r="D876" s="1193"/>
      <c r="E876" s="1193"/>
      <c r="F876" s="1193"/>
      <c r="G876" s="1193"/>
      <c r="H876" s="1946"/>
      <c r="I876" s="1193"/>
      <c r="J876" s="1193"/>
      <c r="K876" s="1193"/>
      <c r="L876" s="1193"/>
      <c r="M876" s="1946"/>
      <c r="N876" s="1193"/>
      <c r="O876" s="1193"/>
      <c r="P876" s="1193"/>
      <c r="Q876" s="1193"/>
      <c r="R876" s="1946"/>
      <c r="S876" s="1193"/>
      <c r="T876" s="1193"/>
      <c r="U876" s="1193"/>
      <c r="V876" s="1193"/>
      <c r="W876" s="1946"/>
      <c r="X876" s="1193"/>
      <c r="Y876" s="1193"/>
      <c r="Z876" s="1193"/>
      <c r="AA876" s="1193"/>
      <c r="AB876" s="1946"/>
      <c r="AC876" s="1193"/>
      <c r="AD876" s="1193"/>
      <c r="AE876" s="1193"/>
      <c r="AF876" s="1193"/>
      <c r="AG876" s="1946"/>
      <c r="AH876" s="1193"/>
      <c r="AI876" s="1193"/>
      <c r="AJ876" s="1193"/>
      <c r="AK876" s="1193"/>
      <c r="AL876" s="1946"/>
      <c r="AM876" s="1193"/>
      <c r="AN876" s="1193"/>
      <c r="AO876" s="1193"/>
      <c r="AP876" s="1193"/>
      <c r="AQ876" s="1946"/>
      <c r="AR876" s="1193"/>
      <c r="AS876" s="1193"/>
      <c r="AT876" s="1193"/>
      <c r="AU876" s="1193"/>
      <c r="AV876" s="1946"/>
      <c r="AW876" s="1193"/>
      <c r="AX876" s="1193"/>
      <c r="AY876" s="1193"/>
      <c r="AZ876" s="1193"/>
      <c r="BA876" s="1946"/>
      <c r="BB876" s="885">
        <f>+BB874/BA874-1</f>
        <v>5.5840086939431544E-3</v>
      </c>
      <c r="BC876" s="885">
        <f>+BC874/BB874-1</f>
        <v>5.3230627730511682E-3</v>
      </c>
      <c r="BD876" s="885">
        <f>+BD874/BC874-1</f>
        <v>1.1664741603101492E-2</v>
      </c>
      <c r="BE876" s="885">
        <f>+BE874/BD874-1</f>
        <v>-4.96252670608055E-3</v>
      </c>
      <c r="BF876" s="1946"/>
      <c r="BG876" s="885">
        <f>+BG874/BF874-1</f>
        <v>2.0767063528128737E-2</v>
      </c>
      <c r="BH876" s="885">
        <f>+BH874/BG874-1</f>
        <v>2.2926590393090862E-3</v>
      </c>
      <c r="BI876" s="885">
        <f>+BI874/BH874-1</f>
        <v>1.175908858735486E-2</v>
      </c>
      <c r="BJ876" s="885">
        <f>+BJ874/BI874-1</f>
        <v>2.2827792837780025E-2</v>
      </c>
      <c r="BK876" s="1946"/>
      <c r="BL876" s="885">
        <f>+BL874/BK874-1</f>
        <v>-8.2084187259247043E-3</v>
      </c>
      <c r="BM876" s="885">
        <f>+BM874/BL874-1</f>
        <v>4.9441751774277343E-3</v>
      </c>
      <c r="BN876" s="885">
        <f>+BN874/BM874-1</f>
        <v>1.1163862244183864E-2</v>
      </c>
      <c r="BO876" s="885">
        <f>+BO874/BN874-1</f>
        <v>1.2445968102548832E-2</v>
      </c>
      <c r="BP876" s="1946"/>
      <c r="BQ876" s="885">
        <f>+BQ874/BP874-1</f>
        <v>2.3976023976024052E-2</v>
      </c>
      <c r="BR876" s="885">
        <f>+BR874/BQ874-1</f>
        <v>-9.858793324775128E-4</v>
      </c>
      <c r="BS876" s="885">
        <f>+BS874/BR874-1</f>
        <v>1.2356212543303213E-2</v>
      </c>
      <c r="BT876" s="885">
        <f>+BT874/BS874-1</f>
        <v>2.1709771427991242E-2</v>
      </c>
      <c r="BU876" s="1946"/>
      <c r="BV876" s="885">
        <f>+BV874/BU874-1</f>
        <v>1.2164700503880965E-2</v>
      </c>
      <c r="BW876" s="885">
        <f>+BW874/BV874-1</f>
        <v>6.1909016820007157E-2</v>
      </c>
      <c r="BX876" s="885">
        <f>+BX874/BW874-1</f>
        <v>1.1650700891370214E-3</v>
      </c>
      <c r="BY876" s="885">
        <f>+BY874/BX874-1</f>
        <v>2.8169274248665443E-2</v>
      </c>
      <c r="BZ876" s="1946"/>
      <c r="CA876" s="885">
        <f>+CA874/BZ874-1</f>
        <v>-2.0067550573101944E-2</v>
      </c>
      <c r="CB876" s="885">
        <f>+CB874/CA874-1</f>
        <v>1.7609313410945182E-2</v>
      </c>
      <c r="CC876" s="885">
        <f>+CC874/CB874-1</f>
        <v>1.4458026682040437E-2</v>
      </c>
      <c r="CD876" s="885">
        <f>+CD874/CC874-1</f>
        <v>1.7395396746465952E-2</v>
      </c>
      <c r="CE876" s="1946"/>
      <c r="CF876" s="885">
        <f>+CF874/CE874-1</f>
        <v>5.6469561422649583E-3</v>
      </c>
      <c r="CG876" s="885">
        <f>+CG874/CF874-1</f>
        <v>1.5049209352380633E-2</v>
      </c>
      <c r="CH876" s="885">
        <f>+CH874/CG874-1</f>
        <v>1.239782482300944E-3</v>
      </c>
      <c r="CI876" s="885">
        <f>+CI874/CH874-1</f>
        <v>1.3158555435051791</v>
      </c>
      <c r="CJ876" s="1946"/>
      <c r="CK876" s="885">
        <f>+CK874/CJ874-1</f>
        <v>6.0990674400509537E-3</v>
      </c>
      <c r="CL876" s="885">
        <f>+CL874/CK874-1</f>
        <v>1.3055126941134754E-2</v>
      </c>
      <c r="CM876" s="885">
        <f>+CM874/CL874-1</f>
        <v>9.7393317776450772E-3</v>
      </c>
      <c r="CN876" s="885">
        <f>+CN874/CM874-1</f>
        <v>2.0261772788672028E-2</v>
      </c>
      <c r="CO876" s="1946"/>
      <c r="CP876" s="1771"/>
      <c r="CQ876" s="885"/>
      <c r="CR876" s="886"/>
      <c r="CS876" s="886"/>
      <c r="CT876" s="1946"/>
      <c r="CU876" s="1946"/>
      <c r="CV876" s="2607"/>
      <c r="CW876" s="2614"/>
      <c r="CX876" s="2705"/>
      <c r="CY876" s="2705"/>
      <c r="CZ876" s="2705"/>
      <c r="DA876" s="2705"/>
      <c r="DB876" s="217"/>
      <c r="DF876" s="11"/>
      <c r="DG876" s="11"/>
      <c r="DH876" s="11"/>
      <c r="DI876" s="11"/>
      <c r="DJ876" s="11"/>
      <c r="DK876" s="11"/>
      <c r="DL876" s="11"/>
      <c r="DM876" s="11"/>
      <c r="DN876" s="11"/>
      <c r="DO876" s="11"/>
      <c r="DP876" s="11"/>
      <c r="DQ876" s="11"/>
      <c r="DR876" s="11"/>
      <c r="DS876" s="11"/>
      <c r="DT876" s="11"/>
      <c r="DU876" s="11"/>
      <c r="DV876" s="11"/>
      <c r="DW876" s="11"/>
      <c r="DX876" s="11"/>
      <c r="DY876" s="11"/>
      <c r="DZ876" s="11"/>
      <c r="EA876" s="11"/>
      <c r="EB876" s="11"/>
      <c r="EC876" s="11"/>
      <c r="ED876" s="11"/>
      <c r="EE876" s="11"/>
      <c r="EF876" s="11"/>
      <c r="EG876" s="11"/>
      <c r="EH876" s="11"/>
      <c r="EI876" s="11"/>
      <c r="EJ876" s="11"/>
      <c r="EK876" s="11"/>
      <c r="EL876" s="11"/>
      <c r="EM876" s="11"/>
      <c r="EN876" s="11"/>
      <c r="EO876" s="11"/>
      <c r="EP876" s="11"/>
      <c r="EQ876" s="11"/>
      <c r="ER876" s="11"/>
      <c r="ES876" s="11"/>
      <c r="ET876" s="11"/>
      <c r="EU876" s="11"/>
      <c r="EV876" s="11"/>
      <c r="EW876" s="11"/>
      <c r="EX876" s="11"/>
      <c r="EY876" s="11"/>
      <c r="EZ876" s="11"/>
      <c r="FA876" s="11"/>
      <c r="FB876" s="11"/>
      <c r="FC876" s="11"/>
      <c r="FD876" s="11"/>
      <c r="FE876" s="11"/>
      <c r="FF876" s="11"/>
      <c r="FG876" s="11"/>
      <c r="FH876" s="11"/>
      <c r="FI876" s="11"/>
      <c r="FJ876" s="11"/>
      <c r="FK876" s="11"/>
      <c r="FL876" s="11"/>
      <c r="FM876" s="11"/>
      <c r="FN876" s="11"/>
      <c r="FO876" s="11"/>
      <c r="FP876" s="11"/>
      <c r="FQ876" s="11"/>
      <c r="FR876" s="11"/>
      <c r="FS876" s="11"/>
      <c r="FT876" s="11"/>
      <c r="FU876" s="11"/>
      <c r="FV876" s="11"/>
      <c r="FW876" s="11"/>
      <c r="FX876" s="11"/>
      <c r="FY876" s="11"/>
      <c r="FZ876" s="11"/>
      <c r="GA876" s="11"/>
      <c r="GB876" s="11"/>
      <c r="GC876" s="11"/>
      <c r="GD876" s="11"/>
      <c r="GE876" s="11"/>
      <c r="GF876" s="11"/>
      <c r="GG876" s="11"/>
      <c r="GH876" s="11"/>
      <c r="GI876" s="11"/>
      <c r="GJ876" s="11"/>
      <c r="GK876" s="11"/>
      <c r="GL876" s="11"/>
      <c r="GM876" s="11"/>
      <c r="GN876" s="11"/>
      <c r="GO876" s="11"/>
      <c r="GP876" s="11"/>
      <c r="GQ876" s="11"/>
      <c r="GR876" s="11"/>
      <c r="GS876" s="11"/>
      <c r="GT876" s="11"/>
      <c r="GU876" s="11"/>
      <c r="GV876" s="11"/>
      <c r="GW876" s="11"/>
      <c r="GX876" s="11"/>
      <c r="GY876" s="11"/>
      <c r="GZ876" s="11"/>
      <c r="HA876" s="11"/>
      <c r="HB876" s="11"/>
      <c r="HC876" s="11"/>
      <c r="HD876" s="11"/>
      <c r="HE876" s="11"/>
      <c r="HF876" s="11"/>
      <c r="HG876" s="11"/>
      <c r="HH876" s="11"/>
      <c r="HI876" s="11"/>
      <c r="HJ876" s="11"/>
      <c r="HK876" s="11"/>
      <c r="HL876" s="11"/>
      <c r="HM876" s="11"/>
      <c r="HN876" s="11"/>
      <c r="HO876" s="11"/>
      <c r="HP876" s="11"/>
      <c r="HQ876" s="11"/>
      <c r="HR876" s="11"/>
      <c r="HS876" s="11"/>
      <c r="HT876" s="11"/>
      <c r="HU876" s="11"/>
      <c r="HV876" s="11"/>
      <c r="HW876" s="11"/>
      <c r="HX876" s="11"/>
      <c r="HY876" s="11"/>
      <c r="HZ876" s="11"/>
      <c r="IA876" s="11"/>
      <c r="IB876" s="11"/>
      <c r="IC876" s="11"/>
      <c r="ID876" s="11"/>
      <c r="IE876" s="11"/>
      <c r="IF876" s="11"/>
      <c r="IG876" s="11"/>
      <c r="IH876" s="11"/>
      <c r="II876" s="11"/>
      <c r="IJ876" s="11"/>
      <c r="IK876" s="11"/>
      <c r="IL876" s="11"/>
      <c r="IM876" s="11"/>
      <c r="IN876" s="11"/>
      <c r="IO876" s="11"/>
      <c r="IP876" s="11"/>
      <c r="IQ876" s="11"/>
      <c r="IR876" s="11"/>
      <c r="IS876" s="11"/>
      <c r="IT876" s="11"/>
      <c r="IU876" s="11"/>
      <c r="IV876" s="11"/>
    </row>
    <row r="877" spans="1:256" s="11" customFormat="1" x14ac:dyDescent="0.2">
      <c r="A877" s="1271" t="s">
        <v>471</v>
      </c>
      <c r="B877" s="1272">
        <v>186703</v>
      </c>
      <c r="C877" s="1455">
        <v>199878</v>
      </c>
      <c r="D877" s="1273"/>
      <c r="E877" s="1273"/>
      <c r="F877" s="1273"/>
      <c r="G877" s="1273"/>
      <c r="H877" s="1274">
        <v>210527</v>
      </c>
      <c r="I877" s="1275">
        <f t="shared" ref="I877:AN877" si="1358">I874+I871</f>
        <v>214965</v>
      </c>
      <c r="J877" s="1275">
        <f t="shared" si="1358"/>
        <v>218093</v>
      </c>
      <c r="K877" s="1275">
        <f t="shared" si="1358"/>
        <v>221743</v>
      </c>
      <c r="L877" s="1275">
        <f t="shared" si="1358"/>
        <v>216291</v>
      </c>
      <c r="M877" s="1270">
        <f t="shared" si="1358"/>
        <v>216291</v>
      </c>
      <c r="N877" s="1269">
        <f t="shared" si="1358"/>
        <v>219691</v>
      </c>
      <c r="O877" s="1269">
        <f t="shared" si="1358"/>
        <v>221052</v>
      </c>
      <c r="P877" s="1269">
        <f t="shared" si="1358"/>
        <v>222104</v>
      </c>
      <c r="Q877" s="1269">
        <f t="shared" si="1358"/>
        <v>225993</v>
      </c>
      <c r="R877" s="1270">
        <f t="shared" si="1358"/>
        <v>225993</v>
      </c>
      <c r="S877" s="1269">
        <f t="shared" si="1358"/>
        <v>227669</v>
      </c>
      <c r="T877" s="1269">
        <f t="shared" si="1358"/>
        <v>228713</v>
      </c>
      <c r="U877" s="1269">
        <f t="shared" si="1358"/>
        <v>230745</v>
      </c>
      <c r="V877" s="1269">
        <f t="shared" si="1358"/>
        <v>233378</v>
      </c>
      <c r="W877" s="1270">
        <f t="shared" si="1358"/>
        <v>233378</v>
      </c>
      <c r="X877" s="1269">
        <f t="shared" si="1358"/>
        <v>232092</v>
      </c>
      <c r="Y877" s="1269">
        <f t="shared" si="1358"/>
        <v>235119</v>
      </c>
      <c r="Z877" s="1269">
        <f t="shared" si="1358"/>
        <v>237972</v>
      </c>
      <c r="AA877" s="1269">
        <f t="shared" si="1358"/>
        <v>239344</v>
      </c>
      <c r="AB877" s="1270">
        <f t="shared" si="1358"/>
        <v>239344</v>
      </c>
      <c r="AC877" s="1269">
        <f t="shared" si="1358"/>
        <v>238630</v>
      </c>
      <c r="AD877" s="1269">
        <f t="shared" si="1358"/>
        <v>247811</v>
      </c>
      <c r="AE877" s="1269">
        <f t="shared" si="1358"/>
        <v>242958</v>
      </c>
      <c r="AF877" s="1269">
        <f t="shared" si="1358"/>
        <v>243863</v>
      </c>
      <c r="AG877" s="1270">
        <f t="shared" si="1358"/>
        <v>243863</v>
      </c>
      <c r="AH877" s="1269">
        <f t="shared" si="1358"/>
        <v>244216</v>
      </c>
      <c r="AI877" s="1269">
        <f t="shared" si="1358"/>
        <v>246576</v>
      </c>
      <c r="AJ877" s="1269">
        <f t="shared" si="1358"/>
        <v>248584</v>
      </c>
      <c r="AK877" s="1269">
        <f t="shared" si="1358"/>
        <v>247989</v>
      </c>
      <c r="AL877" s="1270">
        <f t="shared" si="1358"/>
        <v>247989</v>
      </c>
      <c r="AM877" s="1269">
        <f t="shared" si="1358"/>
        <v>247989</v>
      </c>
      <c r="AN877" s="1269">
        <f t="shared" si="1358"/>
        <v>248917</v>
      </c>
      <c r="AO877" s="1269">
        <f t="shared" ref="AO877:BJ877" si="1359">AO874+AO871</f>
        <v>251505</v>
      </c>
      <c r="AP877" s="1269">
        <f t="shared" si="1359"/>
        <v>252859</v>
      </c>
      <c r="AQ877" s="1270">
        <f t="shared" si="1359"/>
        <v>252859</v>
      </c>
      <c r="AR877" s="1269">
        <f t="shared" si="1359"/>
        <v>252242</v>
      </c>
      <c r="AS877" s="1269">
        <f t="shared" si="1359"/>
        <v>252591</v>
      </c>
      <c r="AT877" s="1269">
        <f t="shared" si="1359"/>
        <v>254564</v>
      </c>
      <c r="AU877" s="1269">
        <f t="shared" si="1359"/>
        <v>255959</v>
      </c>
      <c r="AV877" s="1270">
        <f t="shared" si="1359"/>
        <v>255959</v>
      </c>
      <c r="AW877" s="1269">
        <f t="shared" si="1359"/>
        <v>259280</v>
      </c>
      <c r="AX877" s="1269">
        <f t="shared" si="1359"/>
        <v>260689</v>
      </c>
      <c r="AY877" s="1269">
        <f t="shared" si="1359"/>
        <v>261419</v>
      </c>
      <c r="AZ877" s="1269">
        <f t="shared" si="1359"/>
        <v>264533</v>
      </c>
      <c r="BA877" s="1270">
        <f t="shared" si="1359"/>
        <v>264533</v>
      </c>
      <c r="BB877" s="1269">
        <f t="shared" si="1359"/>
        <v>265941</v>
      </c>
      <c r="BC877" s="1269">
        <f t="shared" si="1359"/>
        <v>266720</v>
      </c>
      <c r="BD877" s="1269">
        <f t="shared" si="1359"/>
        <v>267974</v>
      </c>
      <c r="BE877" s="1269">
        <f t="shared" si="1359"/>
        <v>268820</v>
      </c>
      <c r="BF877" s="1270">
        <f t="shared" si="1359"/>
        <v>268820</v>
      </c>
      <c r="BG877" s="1269">
        <f t="shared" si="1359"/>
        <v>271480</v>
      </c>
      <c r="BH877" s="1269">
        <f t="shared" si="1359"/>
        <v>272326</v>
      </c>
      <c r="BI877" s="1269">
        <f t="shared" si="1359"/>
        <v>272374</v>
      </c>
      <c r="BJ877" s="1269">
        <f t="shared" si="1359"/>
        <v>273688</v>
      </c>
      <c r="BK877" s="1270">
        <f>+BJ877</f>
        <v>273688</v>
      </c>
      <c r="BL877" s="1269">
        <f>BL874+BL871</f>
        <v>272367</v>
      </c>
      <c r="BM877" s="1269">
        <f>BM874+BM871</f>
        <v>271251</v>
      </c>
      <c r="BN877" s="1269">
        <f>BN874+BN871</f>
        <v>270555</v>
      </c>
      <c r="BO877" s="1269">
        <f>BO874+BO871</f>
        <v>279809</v>
      </c>
      <c r="BP877" s="1270">
        <f>+BO877</f>
        <v>279809</v>
      </c>
      <c r="BQ877" s="1269">
        <f>BQ874+BQ871</f>
        <v>280949</v>
      </c>
      <c r="BR877" s="1269">
        <f>BR874+BR871</f>
        <v>279155</v>
      </c>
      <c r="BS877" s="1269">
        <f>BS874+BS871</f>
        <v>278615</v>
      </c>
      <c r="BT877" s="1269">
        <f>BT874+BT871</f>
        <v>278856</v>
      </c>
      <c r="BU877" s="1270">
        <f>+BT877</f>
        <v>278856</v>
      </c>
      <c r="BV877" s="1269">
        <f>BV874+BV871</f>
        <v>279127</v>
      </c>
      <c r="BW877" s="1269">
        <f>BW874+BW871</f>
        <v>286927</v>
      </c>
      <c r="BX877" s="1269">
        <f>BX874+BX871</f>
        <v>285595</v>
      </c>
      <c r="BY877" s="1269">
        <f>BY874+BY871</f>
        <v>287637</v>
      </c>
      <c r="BZ877" s="1270">
        <f>+BY877</f>
        <v>287637</v>
      </c>
      <c r="CA877" s="1269">
        <f>CA874+CA871</f>
        <v>288152</v>
      </c>
      <c r="CB877" s="1269">
        <f>CB874+CB871</f>
        <v>297246</v>
      </c>
      <c r="CC877" s="1269">
        <f>CC874+CC871</f>
        <v>298254</v>
      </c>
      <c r="CD877" s="1269">
        <f>CD874+CD871</f>
        <v>300305</v>
      </c>
      <c r="CE877" s="1270">
        <f>+CD877</f>
        <v>300305</v>
      </c>
      <c r="CF877" s="1269">
        <f>CF874+CF871</f>
        <v>300171</v>
      </c>
      <c r="CG877" s="1269">
        <f>CG874+CG871</f>
        <v>299241</v>
      </c>
      <c r="CH877" s="1269">
        <f>CH874+CH871</f>
        <v>299765</v>
      </c>
      <c r="CI877" s="1269">
        <f>CI874+CI871</f>
        <v>521552</v>
      </c>
      <c r="CJ877" s="1270">
        <f>+CI877</f>
        <v>521552</v>
      </c>
      <c r="CK877" s="1275">
        <f>CK874+CK871</f>
        <v>522917</v>
      </c>
      <c r="CL877" s="1275">
        <f>CL874+CL871</f>
        <v>526705</v>
      </c>
      <c r="CM877" s="1269">
        <f>CM874+CM871</f>
        <v>531476</v>
      </c>
      <c r="CN877" s="1269">
        <f>CN874+CN871</f>
        <v>536373</v>
      </c>
      <c r="CO877" s="1270">
        <f>+CN877</f>
        <v>536373</v>
      </c>
      <c r="CP877" s="1269">
        <f t="shared" ref="CP877:CV877" si="1360">CP874+CP871</f>
        <v>542810.47000000009</v>
      </c>
      <c r="CQ877" s="1269">
        <f t="shared" si="1360"/>
        <v>549557.39</v>
      </c>
      <c r="CR877" s="1269">
        <f t="shared" si="1360"/>
        <v>554561.09</v>
      </c>
      <c r="CS877" s="1269">
        <f t="shared" si="1360"/>
        <v>559730.71</v>
      </c>
      <c r="CT877" s="1270">
        <f>+CS877</f>
        <v>559730.71</v>
      </c>
      <c r="CU877" s="1270">
        <f t="shared" si="1360"/>
        <v>584056.72959999996</v>
      </c>
      <c r="CV877" s="2396">
        <f t="shared" si="1360"/>
        <v>591929.14596400002</v>
      </c>
      <c r="CW877" s="2398"/>
      <c r="CX877" s="1201"/>
      <c r="CY877" s="1201"/>
      <c r="CZ877" s="1201"/>
      <c r="DA877" s="1201"/>
      <c r="DB877" s="217"/>
      <c r="DC877" s="212"/>
      <c r="DD877" s="212"/>
      <c r="DE877" s="70"/>
      <c r="DF877" s="70"/>
      <c r="DG877" s="70"/>
      <c r="DH877" s="70"/>
      <c r="DI877" s="70"/>
      <c r="DJ877" s="70"/>
      <c r="DK877" s="70"/>
      <c r="DL877" s="70"/>
      <c r="DM877" s="70"/>
      <c r="DN877" s="70"/>
      <c r="DO877" s="70"/>
      <c r="DP877" s="70"/>
      <c r="DQ877" s="70"/>
      <c r="DR877" s="70"/>
      <c r="DS877" s="70"/>
      <c r="DT877" s="70"/>
      <c r="DU877" s="70"/>
      <c r="DV877" s="70"/>
      <c r="DW877" s="70"/>
      <c r="DX877" s="70"/>
      <c r="DY877" s="70"/>
      <c r="DZ877" s="70"/>
      <c r="EA877" s="70"/>
      <c r="EB877" s="70"/>
      <c r="EC877" s="70"/>
      <c r="ED877" s="70"/>
      <c r="EE877" s="70"/>
      <c r="EF877" s="70"/>
      <c r="EG877" s="70"/>
      <c r="EH877" s="70"/>
      <c r="EI877" s="70"/>
      <c r="EJ877" s="70"/>
      <c r="EK877" s="70"/>
      <c r="EL877" s="70"/>
      <c r="EM877" s="70"/>
      <c r="EN877" s="70"/>
      <c r="EO877" s="70"/>
      <c r="EP877" s="70"/>
      <c r="EQ877" s="70"/>
      <c r="ER877" s="70"/>
      <c r="ES877" s="70"/>
      <c r="ET877" s="70"/>
      <c r="EU877" s="70"/>
      <c r="EV877" s="70"/>
      <c r="EW877" s="70"/>
      <c r="EX877" s="70"/>
      <c r="EY877" s="70"/>
      <c r="EZ877" s="70"/>
      <c r="FA877" s="70"/>
      <c r="FB877" s="70"/>
      <c r="FC877" s="70"/>
      <c r="FD877" s="70"/>
      <c r="FE877" s="70"/>
      <c r="FF877" s="70"/>
      <c r="FG877" s="70"/>
      <c r="FH877" s="70"/>
      <c r="FI877" s="70"/>
      <c r="FJ877" s="70"/>
      <c r="FK877" s="70"/>
      <c r="FL877" s="70"/>
      <c r="FM877" s="70"/>
      <c r="FN877" s="70"/>
      <c r="FO877" s="70"/>
      <c r="FP877" s="70"/>
      <c r="FQ877" s="70"/>
      <c r="FR877" s="70"/>
      <c r="FS877" s="70"/>
      <c r="FT877" s="70"/>
      <c r="FU877" s="70"/>
      <c r="FV877" s="70"/>
      <c r="FW877" s="70"/>
      <c r="FX877" s="70"/>
      <c r="FY877" s="70"/>
      <c r="FZ877" s="70"/>
      <c r="GA877" s="70"/>
      <c r="GB877" s="70"/>
      <c r="GC877" s="70"/>
      <c r="GD877" s="70"/>
      <c r="GE877" s="70"/>
      <c r="GF877" s="70"/>
      <c r="GG877" s="70"/>
      <c r="GH877" s="70"/>
      <c r="GI877" s="70"/>
      <c r="GJ877" s="70"/>
      <c r="GK877" s="70"/>
      <c r="GL877" s="70"/>
      <c r="GM877" s="70"/>
      <c r="GN877" s="70"/>
      <c r="GO877" s="70"/>
      <c r="GP877" s="70"/>
      <c r="GQ877" s="70"/>
      <c r="GR877" s="70"/>
      <c r="GS877" s="70"/>
      <c r="GT877" s="70"/>
      <c r="GU877" s="70"/>
      <c r="GV877" s="70"/>
      <c r="GW877" s="70"/>
      <c r="GX877" s="70"/>
      <c r="GY877" s="70"/>
      <c r="GZ877" s="70"/>
      <c r="HA877" s="70"/>
      <c r="HB877" s="70"/>
      <c r="HC877" s="70"/>
      <c r="HD877" s="70"/>
      <c r="HE877" s="70"/>
      <c r="HF877" s="70"/>
      <c r="HG877" s="70"/>
      <c r="HH877" s="70"/>
      <c r="HI877" s="70"/>
      <c r="HJ877" s="70"/>
      <c r="HK877" s="70"/>
      <c r="HL877" s="70"/>
      <c r="HM877" s="70"/>
      <c r="HN877" s="70"/>
      <c r="HO877" s="70"/>
      <c r="HP877" s="70"/>
      <c r="HQ877" s="70"/>
      <c r="HR877" s="70"/>
      <c r="HS877" s="70"/>
      <c r="HT877" s="70"/>
      <c r="HU877" s="70"/>
      <c r="HV877" s="70"/>
      <c r="HW877" s="70"/>
      <c r="HX877" s="70"/>
      <c r="HY877" s="70"/>
      <c r="HZ877" s="70"/>
      <c r="IA877" s="70"/>
      <c r="IB877" s="70"/>
      <c r="IC877" s="70"/>
      <c r="ID877" s="70"/>
      <c r="IE877" s="70"/>
      <c r="IF877" s="70"/>
      <c r="IG877" s="70"/>
      <c r="IH877" s="70"/>
      <c r="II877" s="70"/>
      <c r="IJ877" s="70"/>
      <c r="IK877" s="70"/>
      <c r="IL877" s="70"/>
      <c r="IM877" s="70"/>
      <c r="IN877" s="70"/>
      <c r="IO877" s="70"/>
      <c r="IP877" s="70"/>
      <c r="IQ877" s="70"/>
      <c r="IR877" s="70"/>
      <c r="IS877" s="70"/>
      <c r="IT877" s="70"/>
      <c r="IU877" s="70"/>
      <c r="IV877" s="70"/>
    </row>
    <row r="878" spans="1:256" s="11" customFormat="1" x14ac:dyDescent="0.2">
      <c r="A878" s="2389" t="s">
        <v>652</v>
      </c>
      <c r="B878" s="2043"/>
      <c r="C878" s="1612"/>
      <c r="D878" s="243"/>
      <c r="E878" s="243"/>
      <c r="F878" s="243"/>
      <c r="G878" s="243"/>
      <c r="H878" s="2012"/>
      <c r="I878" s="243"/>
      <c r="J878" s="243"/>
      <c r="K878" s="243"/>
      <c r="L878" s="243"/>
      <c r="M878" s="2012"/>
      <c r="N878" s="885">
        <f t="shared" ref="N878:AS878" si="1361">+N877/I877-1</f>
        <v>2.1984974298141502E-2</v>
      </c>
      <c r="O878" s="885">
        <f t="shared" si="1361"/>
        <v>1.3567606479804484E-2</v>
      </c>
      <c r="P878" s="885">
        <f t="shared" si="1361"/>
        <v>1.6280108053017273E-3</v>
      </c>
      <c r="Q878" s="885">
        <f t="shared" si="1361"/>
        <v>4.4856235349598483E-2</v>
      </c>
      <c r="R878" s="1044">
        <f t="shared" si="1361"/>
        <v>4.4856235349598483E-2</v>
      </c>
      <c r="S878" s="885">
        <f t="shared" si="1361"/>
        <v>3.6314641928891112E-2</v>
      </c>
      <c r="T878" s="885">
        <f t="shared" si="1361"/>
        <v>3.4657003781915607E-2</v>
      </c>
      <c r="U878" s="885">
        <f t="shared" si="1361"/>
        <v>3.8905197565104688E-2</v>
      </c>
      <c r="V878" s="885">
        <f t="shared" si="1361"/>
        <v>3.2678003300987246E-2</v>
      </c>
      <c r="W878" s="1044">
        <f t="shared" si="1361"/>
        <v>3.2678003300987246E-2</v>
      </c>
      <c r="X878" s="885">
        <f t="shared" si="1361"/>
        <v>1.9427326513490994E-2</v>
      </c>
      <c r="Y878" s="885">
        <f t="shared" si="1361"/>
        <v>2.8008901986332324E-2</v>
      </c>
      <c r="Z878" s="885">
        <f t="shared" si="1361"/>
        <v>3.1320288630306115E-2</v>
      </c>
      <c r="AA878" s="885">
        <f t="shared" si="1361"/>
        <v>2.5563677810247709E-2</v>
      </c>
      <c r="AB878" s="1044">
        <f t="shared" si="1361"/>
        <v>2.5563677810247709E-2</v>
      </c>
      <c r="AC878" s="885">
        <f t="shared" si="1361"/>
        <v>2.8169863674749607E-2</v>
      </c>
      <c r="AD878" s="885">
        <f t="shared" si="1361"/>
        <v>5.3981175489858257E-2</v>
      </c>
      <c r="AE878" s="885">
        <f t="shared" si="1361"/>
        <v>2.095204477837731E-2</v>
      </c>
      <c r="AF878" s="885">
        <f t="shared" si="1361"/>
        <v>1.8880774115916932E-2</v>
      </c>
      <c r="AG878" s="1044">
        <f t="shared" si="1361"/>
        <v>1.8880774115916932E-2</v>
      </c>
      <c r="AH878" s="885">
        <f t="shared" si="1361"/>
        <v>2.3408624229979358E-2</v>
      </c>
      <c r="AI878" s="885">
        <f t="shared" si="1361"/>
        <v>-4.9836367231478329E-3</v>
      </c>
      <c r="AJ878" s="885">
        <f t="shared" si="1361"/>
        <v>2.3156265692012568E-2</v>
      </c>
      <c r="AK878" s="885">
        <f t="shared" si="1361"/>
        <v>1.6919335856607987E-2</v>
      </c>
      <c r="AL878" s="1044">
        <f t="shared" si="1361"/>
        <v>1.6919335856607987E-2</v>
      </c>
      <c r="AM878" s="885">
        <f t="shared" si="1361"/>
        <v>1.5449438202247201E-2</v>
      </c>
      <c r="AN878" s="885">
        <f t="shared" si="1361"/>
        <v>9.4940302381416597E-3</v>
      </c>
      <c r="AO878" s="885">
        <f t="shared" si="1361"/>
        <v>1.1750555144337538E-2</v>
      </c>
      <c r="AP878" s="885">
        <f t="shared" si="1361"/>
        <v>1.9637967813088464E-2</v>
      </c>
      <c r="AQ878" s="1044">
        <f t="shared" si="1361"/>
        <v>1.9637967813088464E-2</v>
      </c>
      <c r="AR878" s="885">
        <f t="shared" si="1361"/>
        <v>1.7149954231840958E-2</v>
      </c>
      <c r="AS878" s="885">
        <f t="shared" si="1361"/>
        <v>1.4759940060341314E-2</v>
      </c>
      <c r="AT878" s="885">
        <f t="shared" ref="AT878:BP878" si="1362">+AT877/AO877-1</f>
        <v>1.2162780064014722E-2</v>
      </c>
      <c r="AU878" s="885">
        <f t="shared" si="1362"/>
        <v>1.2259796961943126E-2</v>
      </c>
      <c r="AV878" s="1044">
        <f t="shared" si="1362"/>
        <v>1.2259796961943126E-2</v>
      </c>
      <c r="AW878" s="885">
        <f t="shared" si="1362"/>
        <v>2.7901776865074002E-2</v>
      </c>
      <c r="AX878" s="885">
        <f t="shared" si="1362"/>
        <v>3.2059732927934848E-2</v>
      </c>
      <c r="AY878" s="885">
        <f t="shared" si="1362"/>
        <v>2.692839521691992E-2</v>
      </c>
      <c r="AZ878" s="885">
        <f t="shared" si="1362"/>
        <v>3.3497552342367287E-2</v>
      </c>
      <c r="BA878" s="1044">
        <f t="shared" si="1362"/>
        <v>3.3497552342367287E-2</v>
      </c>
      <c r="BB878" s="885">
        <f t="shared" si="1362"/>
        <v>2.5690373341561212E-2</v>
      </c>
      <c r="BC878" s="885">
        <f t="shared" si="1362"/>
        <v>2.313484650292108E-2</v>
      </c>
      <c r="BD878" s="885">
        <f t="shared" si="1362"/>
        <v>2.5074688526847799E-2</v>
      </c>
      <c r="BE878" s="885">
        <f t="shared" si="1362"/>
        <v>1.6205917598182351E-2</v>
      </c>
      <c r="BF878" s="1044">
        <f t="shared" si="1362"/>
        <v>1.6205917598182351E-2</v>
      </c>
      <c r="BG878" s="885">
        <f t="shared" si="1362"/>
        <v>2.0827927999067519E-2</v>
      </c>
      <c r="BH878" s="885">
        <f t="shared" si="1362"/>
        <v>2.1018296340731935E-2</v>
      </c>
      <c r="BI878" s="885">
        <f t="shared" si="1362"/>
        <v>1.6419503384656808E-2</v>
      </c>
      <c r="BJ878" s="885">
        <f t="shared" si="1362"/>
        <v>1.810877166877467E-2</v>
      </c>
      <c r="BK878" s="1044">
        <f t="shared" si="1362"/>
        <v>1.810877166877467E-2</v>
      </c>
      <c r="BL878" s="885">
        <f t="shared" si="1362"/>
        <v>3.2672756740828035E-3</v>
      </c>
      <c r="BM878" s="885">
        <f t="shared" si="1362"/>
        <v>-3.9474747178014358E-3</v>
      </c>
      <c r="BN878" s="885">
        <f t="shared" si="1362"/>
        <v>-6.6783173136936158E-3</v>
      </c>
      <c r="BO878" s="885">
        <f t="shared" si="1362"/>
        <v>2.2364882640086625E-2</v>
      </c>
      <c r="BP878" s="1044">
        <f t="shared" si="1362"/>
        <v>2.2364882640086625E-2</v>
      </c>
      <c r="BQ878" s="885">
        <f t="shared" ref="BQ878:CB878" si="1363">+BQ877/BL877-1</f>
        <v>3.1508956665087906E-2</v>
      </c>
      <c r="BR878" s="885">
        <f t="shared" si="1363"/>
        <v>2.9139063081795147E-2</v>
      </c>
      <c r="BS878" s="885">
        <f t="shared" si="1363"/>
        <v>2.9790615586479552E-2</v>
      </c>
      <c r="BT878" s="885">
        <f t="shared" si="1363"/>
        <v>-3.405894735337367E-3</v>
      </c>
      <c r="BU878" s="1044">
        <f t="shared" si="1363"/>
        <v>-3.405894735337367E-3</v>
      </c>
      <c r="BV878" s="885">
        <f t="shared" si="1363"/>
        <v>-6.4851627875521789E-3</v>
      </c>
      <c r="BW878" s="885">
        <f t="shared" si="1363"/>
        <v>2.784116351131094E-2</v>
      </c>
      <c r="BX878" s="885">
        <f t="shared" si="1363"/>
        <v>2.5052491789745668E-2</v>
      </c>
      <c r="BY878" s="885">
        <f t="shared" si="1363"/>
        <v>3.1489370858077237E-2</v>
      </c>
      <c r="BZ878" s="1044">
        <f t="shared" si="1363"/>
        <v>3.1489370858077237E-2</v>
      </c>
      <c r="CA878" s="885">
        <f t="shared" si="1363"/>
        <v>3.2332952383681945E-2</v>
      </c>
      <c r="CB878" s="885">
        <f t="shared" si="1363"/>
        <v>3.5963851432594396E-2</v>
      </c>
      <c r="CC878" s="885">
        <f t="shared" ref="CC878:CJ878" si="1364">+CC877/BX877-1</f>
        <v>4.4325005689875629E-2</v>
      </c>
      <c r="CD878" s="885">
        <f t="shared" si="1364"/>
        <v>4.4041621905387629E-2</v>
      </c>
      <c r="CE878" s="1044">
        <f t="shared" si="1364"/>
        <v>4.4041621905387629E-2</v>
      </c>
      <c r="CF878" s="885">
        <f t="shared" si="1364"/>
        <v>4.1710624947944197E-2</v>
      </c>
      <c r="CG878" s="885">
        <f t="shared" si="1364"/>
        <v>6.7116126037018997E-3</v>
      </c>
      <c r="CH878" s="885">
        <f t="shared" si="1364"/>
        <v>5.0661516693824016E-3</v>
      </c>
      <c r="CI878" s="885">
        <f t="shared" si="1364"/>
        <v>0.73674098000366284</v>
      </c>
      <c r="CJ878" s="1044">
        <f t="shared" si="1364"/>
        <v>0.73674098000366284</v>
      </c>
      <c r="CK878" s="1278">
        <f t="shared" ref="CK878:CT878" si="1365">+CK877/CF877-1</f>
        <v>0.74206369036315967</v>
      </c>
      <c r="CL878" s="1278">
        <f t="shared" si="1365"/>
        <v>0.7601364786242526</v>
      </c>
      <c r="CM878" s="885">
        <f t="shared" si="1365"/>
        <v>0.77297549747302052</v>
      </c>
      <c r="CN878" s="885">
        <f t="shared" si="1365"/>
        <v>2.8417108936405144E-2</v>
      </c>
      <c r="CO878" s="1044">
        <f t="shared" si="1365"/>
        <v>2.8417108936405144E-2</v>
      </c>
      <c r="CP878" s="885">
        <f t="shared" si="1365"/>
        <v>3.804326499234123E-2</v>
      </c>
      <c r="CQ878" s="885">
        <f t="shared" si="1365"/>
        <v>4.3387455976305445E-2</v>
      </c>
      <c r="CR878" s="885">
        <f t="shared" si="1365"/>
        <v>4.3435808954684685E-2</v>
      </c>
      <c r="CS878" s="885">
        <f t="shared" si="1365"/>
        <v>4.3547512645118136E-2</v>
      </c>
      <c r="CT878" s="1044">
        <f t="shared" si="1365"/>
        <v>4.3547512645118136E-2</v>
      </c>
      <c r="CU878" s="1044">
        <f>+CU877/CT877-1</f>
        <v>4.346021964740876E-2</v>
      </c>
      <c r="CV878" s="1771">
        <f>+CV877/CU877-1</f>
        <v>1.3478855674502022E-2</v>
      </c>
      <c r="CW878" s="2615"/>
      <c r="CX878" s="2704"/>
      <c r="CY878" s="2704"/>
      <c r="CZ878" s="2704"/>
      <c r="DA878" s="2704"/>
      <c r="DB878" s="217"/>
      <c r="DC878" s="212"/>
      <c r="DD878" s="212"/>
      <c r="DE878" s="70"/>
    </row>
    <row r="879" spans="1:256" x14ac:dyDescent="0.2">
      <c r="A879" s="1142"/>
      <c r="B879" s="212"/>
      <c r="C879" s="212"/>
      <c r="D879" s="212"/>
      <c r="E879" s="212"/>
      <c r="F879" s="212"/>
      <c r="G879" s="212"/>
      <c r="H879" s="194"/>
      <c r="I879" s="212"/>
      <c r="J879" s="212"/>
      <c r="K879" s="212"/>
      <c r="L879" s="212"/>
      <c r="M879" s="194"/>
      <c r="N879" s="212"/>
      <c r="O879" s="212"/>
      <c r="P879" s="212"/>
      <c r="Q879" s="212"/>
      <c r="R879" s="194"/>
      <c r="S879" s="212"/>
      <c r="T879" s="212"/>
      <c r="U879" s="212"/>
      <c r="V879" s="212"/>
      <c r="W879" s="194"/>
      <c r="X879" s="212"/>
      <c r="Y879" s="212"/>
      <c r="Z879" s="212"/>
      <c r="AA879" s="212"/>
      <c r="AB879" s="194"/>
      <c r="AC879" s="212"/>
      <c r="AD879" s="212"/>
      <c r="AE879" s="212"/>
      <c r="AF879" s="212"/>
      <c r="AG879" s="194"/>
      <c r="AH879" s="212"/>
      <c r="AI879" s="212"/>
      <c r="AJ879" s="212"/>
      <c r="AK879" s="212"/>
      <c r="AL879" s="194"/>
      <c r="AM879" s="212"/>
      <c r="AN879" s="212"/>
      <c r="AO879" s="212"/>
      <c r="AP879" s="212"/>
      <c r="AQ879" s="194"/>
      <c r="AR879" s="212"/>
      <c r="AS879" s="212"/>
      <c r="AT879" s="212"/>
      <c r="AU879" s="212"/>
      <c r="AV879" s="194"/>
      <c r="AW879" s="212"/>
      <c r="AX879" s="212"/>
      <c r="AY879" s="212"/>
      <c r="AZ879" s="212"/>
      <c r="BA879" s="194"/>
      <c r="BB879" s="212"/>
      <c r="BC879" s="212"/>
      <c r="BD879" s="212"/>
      <c r="BE879" s="212"/>
      <c r="BF879" s="194"/>
      <c r="BG879" s="212"/>
      <c r="BH879" s="212"/>
      <c r="BI879" s="212"/>
      <c r="BJ879" s="212"/>
      <c r="BK879" s="194"/>
      <c r="BL879" s="212"/>
      <c r="BM879" s="212"/>
      <c r="BN879" s="212"/>
      <c r="BO879" s="212"/>
      <c r="BP879" s="194"/>
      <c r="BQ879" s="212"/>
      <c r="BR879" s="212"/>
      <c r="BS879" s="212"/>
      <c r="BT879" s="212"/>
      <c r="BU879" s="194"/>
      <c r="BV879" s="212"/>
      <c r="BW879" s="212"/>
      <c r="BX879" s="212"/>
      <c r="BY879" s="212"/>
      <c r="BZ879" s="194"/>
      <c r="CA879" s="212"/>
      <c r="CB879" s="212"/>
      <c r="CC879" s="212"/>
      <c r="CD879" s="212"/>
      <c r="CE879" s="194"/>
      <c r="CF879" s="212"/>
      <c r="CG879" s="212"/>
      <c r="CH879" s="212"/>
      <c r="CI879" s="2679"/>
      <c r="CJ879" s="194"/>
      <c r="CK879" s="2907"/>
      <c r="CL879" s="212"/>
      <c r="CM879" s="212"/>
      <c r="CN879" s="212"/>
      <c r="CO879" s="2403"/>
      <c r="CP879" s="3509"/>
      <c r="CQ879" s="212"/>
      <c r="CR879" s="212"/>
      <c r="CS879" s="212"/>
      <c r="CT879" s="2403"/>
      <c r="CU879" s="194"/>
      <c r="CV879" s="194"/>
      <c r="CW879" s="1201"/>
      <c r="CX879" s="1201"/>
      <c r="CY879" s="1201"/>
      <c r="CZ879" s="1201"/>
      <c r="DA879" s="1201"/>
      <c r="DB879" s="217"/>
    </row>
    <row r="880" spans="1:256" s="11" customFormat="1" x14ac:dyDescent="0.2">
      <c r="A880" s="1631" t="s">
        <v>661</v>
      </c>
      <c r="B880" s="212"/>
      <c r="C880" s="212"/>
      <c r="D880" s="212"/>
      <c r="E880" s="212"/>
      <c r="F880" s="212"/>
      <c r="G880" s="212"/>
      <c r="H880" s="194"/>
      <c r="I880" s="212"/>
      <c r="J880" s="212"/>
      <c r="K880" s="212"/>
      <c r="L880" s="212"/>
      <c r="M880" s="194"/>
      <c r="N880" s="212"/>
      <c r="O880" s="212"/>
      <c r="P880" s="212"/>
      <c r="Q880" s="212"/>
      <c r="R880" s="194"/>
      <c r="S880" s="212"/>
      <c r="T880" s="212"/>
      <c r="U880" s="212"/>
      <c r="V880" s="212"/>
      <c r="W880" s="194"/>
      <c r="X880" s="212"/>
      <c r="Y880" s="212"/>
      <c r="Z880" s="212"/>
      <c r="AA880" s="212"/>
      <c r="AB880" s="194"/>
      <c r="AC880" s="212"/>
      <c r="AD880" s="212"/>
      <c r="AE880" s="212"/>
      <c r="AF880" s="212"/>
      <c r="AG880" s="194"/>
      <c r="AH880" s="212"/>
      <c r="AI880" s="212"/>
      <c r="AJ880" s="212"/>
      <c r="AK880" s="212"/>
      <c r="AL880" s="194"/>
      <c r="AM880" s="212"/>
      <c r="AN880" s="212"/>
      <c r="AO880" s="212"/>
      <c r="AP880" s="212"/>
      <c r="AQ880" s="194"/>
      <c r="AR880" s="212"/>
      <c r="AS880" s="212"/>
      <c r="AT880" s="212"/>
      <c r="AU880" s="212"/>
      <c r="AV880" s="194"/>
      <c r="AW880" s="212"/>
      <c r="AX880" s="212"/>
      <c r="AY880" s="212"/>
      <c r="AZ880" s="212"/>
      <c r="BA880" s="194"/>
      <c r="BB880" s="212"/>
      <c r="BC880" s="212"/>
      <c r="BD880" s="212"/>
      <c r="BE880" s="212"/>
      <c r="BF880" s="194"/>
      <c r="BG880" s="212"/>
      <c r="BH880" s="212"/>
      <c r="BI880" s="212"/>
      <c r="BJ880" s="212"/>
      <c r="BK880" s="194"/>
      <c r="BL880" s="212"/>
      <c r="BM880" s="212"/>
      <c r="BN880" s="212"/>
      <c r="BO880" s="212"/>
      <c r="BP880" s="194"/>
      <c r="BQ880" s="212"/>
      <c r="BR880" s="212"/>
      <c r="BS880" s="212"/>
      <c r="BT880" s="212"/>
      <c r="BU880" s="194"/>
      <c r="BV880" s="212"/>
      <c r="BW880" s="212"/>
      <c r="BX880" s="212"/>
      <c r="BY880" s="212"/>
      <c r="BZ880" s="194"/>
      <c r="CA880" s="212"/>
      <c r="CB880" s="212"/>
      <c r="CC880" s="212"/>
      <c r="CD880" s="212"/>
      <c r="CE880" s="194"/>
      <c r="CF880" s="212"/>
      <c r="CG880" s="212"/>
      <c r="CH880" s="212"/>
      <c r="CI880" s="212"/>
      <c r="CJ880" s="194"/>
      <c r="CK880" s="2907"/>
      <c r="CL880" s="212"/>
      <c r="CM880" s="212"/>
      <c r="CN880" s="212"/>
      <c r="CO880" s="194"/>
      <c r="CP880" s="3509"/>
      <c r="CQ880" s="212"/>
      <c r="CR880" s="212"/>
      <c r="CS880" s="212"/>
      <c r="CT880" s="194"/>
      <c r="CU880" s="194"/>
      <c r="CV880" s="194"/>
      <c r="CW880" s="1201"/>
      <c r="CX880" s="1201"/>
      <c r="CY880" s="1201"/>
      <c r="CZ880" s="1201"/>
      <c r="DA880" s="1201"/>
      <c r="DB880" s="217"/>
      <c r="DC880" s="212"/>
      <c r="DD880" s="212"/>
      <c r="DE880" s="70"/>
      <c r="DF880" s="70"/>
      <c r="DG880" s="70"/>
      <c r="DH880" s="70"/>
      <c r="DI880" s="70"/>
      <c r="DJ880" s="70"/>
      <c r="DK880" s="70"/>
      <c r="DL880" s="70"/>
      <c r="DM880" s="70"/>
      <c r="DN880" s="70"/>
      <c r="DO880" s="70"/>
      <c r="DP880" s="70"/>
      <c r="DQ880" s="70"/>
      <c r="DR880" s="70"/>
      <c r="DS880" s="70"/>
      <c r="DT880" s="70"/>
      <c r="DU880" s="70"/>
      <c r="DV880" s="70"/>
      <c r="DW880" s="70"/>
      <c r="DX880" s="70"/>
      <c r="DY880" s="70"/>
      <c r="DZ880" s="70"/>
      <c r="EA880" s="70"/>
      <c r="EB880" s="70"/>
      <c r="EC880" s="70"/>
      <c r="ED880" s="70"/>
      <c r="EE880" s="70"/>
      <c r="EF880" s="70"/>
      <c r="EG880" s="70"/>
      <c r="EH880" s="70"/>
      <c r="EI880" s="70"/>
      <c r="EJ880" s="70"/>
      <c r="EK880" s="70"/>
      <c r="EL880" s="70"/>
      <c r="EM880" s="70"/>
      <c r="EN880" s="70"/>
      <c r="EO880" s="70"/>
      <c r="EP880" s="70"/>
      <c r="EQ880" s="70"/>
      <c r="ER880" s="70"/>
      <c r="ES880" s="70"/>
      <c r="ET880" s="70"/>
      <c r="EU880" s="70"/>
      <c r="EV880" s="70"/>
      <c r="EW880" s="70"/>
      <c r="EX880" s="70"/>
      <c r="EY880" s="70"/>
      <c r="EZ880" s="70"/>
      <c r="FA880" s="70"/>
      <c r="FB880" s="70"/>
      <c r="FC880" s="70"/>
      <c r="FD880" s="70"/>
      <c r="FE880" s="70"/>
      <c r="FF880" s="70"/>
      <c r="FG880" s="70"/>
      <c r="FH880" s="70"/>
      <c r="FI880" s="70"/>
      <c r="FJ880" s="70"/>
      <c r="FK880" s="70"/>
      <c r="FL880" s="70"/>
      <c r="FM880" s="70"/>
      <c r="FN880" s="70"/>
      <c r="FO880" s="70"/>
      <c r="FP880" s="70"/>
      <c r="FQ880" s="70"/>
      <c r="FR880" s="70"/>
      <c r="FS880" s="70"/>
      <c r="FT880" s="70"/>
      <c r="FU880" s="70"/>
      <c r="FV880" s="70"/>
      <c r="FW880" s="70"/>
      <c r="FX880" s="70"/>
      <c r="FY880" s="70"/>
      <c r="FZ880" s="70"/>
      <c r="GA880" s="70"/>
      <c r="GB880" s="70"/>
      <c r="GC880" s="70"/>
      <c r="GD880" s="70"/>
      <c r="GE880" s="70"/>
      <c r="GF880" s="70"/>
      <c r="GG880" s="70"/>
      <c r="GH880" s="70"/>
      <c r="GI880" s="70"/>
      <c r="GJ880" s="70"/>
      <c r="GK880" s="70"/>
      <c r="GL880" s="70"/>
      <c r="GM880" s="70"/>
      <c r="GN880" s="70"/>
      <c r="GO880" s="70"/>
      <c r="GP880" s="70"/>
      <c r="GQ880" s="70"/>
      <c r="GR880" s="70"/>
      <c r="GS880" s="70"/>
      <c r="GT880" s="70"/>
      <c r="GU880" s="70"/>
      <c r="GV880" s="70"/>
      <c r="GW880" s="70"/>
      <c r="GX880" s="70"/>
      <c r="GY880" s="70"/>
      <c r="GZ880" s="70"/>
      <c r="HA880" s="70"/>
      <c r="HB880" s="70"/>
      <c r="HC880" s="70"/>
      <c r="HD880" s="70"/>
      <c r="HE880" s="70"/>
      <c r="HF880" s="70"/>
      <c r="HG880" s="70"/>
      <c r="HH880" s="70"/>
      <c r="HI880" s="70"/>
      <c r="HJ880" s="70"/>
      <c r="HK880" s="70"/>
      <c r="HL880" s="70"/>
      <c r="HM880" s="70"/>
      <c r="HN880" s="70"/>
      <c r="HO880" s="70"/>
      <c r="HP880" s="70"/>
      <c r="HQ880" s="70"/>
      <c r="HR880" s="70"/>
      <c r="HS880" s="70"/>
      <c r="HT880" s="70"/>
      <c r="HU880" s="70"/>
      <c r="HV880" s="70"/>
      <c r="HW880" s="70"/>
      <c r="HX880" s="70"/>
      <c r="HY880" s="70"/>
      <c r="HZ880" s="70"/>
      <c r="IA880" s="70"/>
      <c r="IB880" s="70"/>
      <c r="IC880" s="70"/>
      <c r="ID880" s="70"/>
      <c r="IE880" s="70"/>
      <c r="IF880" s="70"/>
      <c r="IG880" s="70"/>
      <c r="IH880" s="70"/>
      <c r="II880" s="70"/>
      <c r="IJ880" s="70"/>
      <c r="IK880" s="70"/>
      <c r="IL880" s="70"/>
      <c r="IM880" s="70"/>
      <c r="IN880" s="70"/>
      <c r="IO880" s="70"/>
      <c r="IP880" s="70"/>
      <c r="IQ880" s="70"/>
      <c r="IR880" s="70"/>
      <c r="IS880" s="70"/>
      <c r="IT880" s="70"/>
      <c r="IU880" s="70"/>
      <c r="IV880" s="70"/>
    </row>
    <row r="881" spans="1:256" x14ac:dyDescent="0.2">
      <c r="A881" s="1142" t="s">
        <v>1383</v>
      </c>
      <c r="B881" s="212"/>
      <c r="C881" s="212"/>
      <c r="D881" s="212"/>
      <c r="E881" s="212"/>
      <c r="F881" s="212"/>
      <c r="G881" s="212"/>
      <c r="H881" s="194"/>
      <c r="I881" s="758">
        <f t="shared" ref="I881:AN881" si="1366">SUM(I496:I498)</f>
        <v>37500</v>
      </c>
      <c r="J881" s="758">
        <f t="shared" si="1366"/>
        <v>38542</v>
      </c>
      <c r="K881" s="758">
        <f t="shared" si="1366"/>
        <v>39294</v>
      </c>
      <c r="L881" s="751">
        <f t="shared" si="1366"/>
        <v>41066</v>
      </c>
      <c r="M881" s="752">
        <f t="shared" si="1366"/>
        <v>41066</v>
      </c>
      <c r="N881" s="758">
        <f t="shared" si="1366"/>
        <v>41320</v>
      </c>
      <c r="O881" s="758">
        <f t="shared" si="1366"/>
        <v>41869</v>
      </c>
      <c r="P881" s="758">
        <f t="shared" si="1366"/>
        <v>42727</v>
      </c>
      <c r="Q881" s="751">
        <f t="shared" si="1366"/>
        <v>44748</v>
      </c>
      <c r="R881" s="752">
        <f t="shared" si="1366"/>
        <v>44748</v>
      </c>
      <c r="S881" s="758">
        <f t="shared" si="1366"/>
        <v>47022</v>
      </c>
      <c r="T881" s="758">
        <f t="shared" si="1366"/>
        <v>47978</v>
      </c>
      <c r="U881" s="758">
        <f t="shared" si="1366"/>
        <v>47965</v>
      </c>
      <c r="V881" s="751">
        <f t="shared" si="1366"/>
        <v>49031</v>
      </c>
      <c r="W881" s="752">
        <f t="shared" si="1366"/>
        <v>49031</v>
      </c>
      <c r="X881" s="758">
        <f t="shared" si="1366"/>
        <v>50311</v>
      </c>
      <c r="Y881" s="758">
        <f t="shared" si="1366"/>
        <v>50855</v>
      </c>
      <c r="Z881" s="758">
        <f t="shared" si="1366"/>
        <v>50750</v>
      </c>
      <c r="AA881" s="751">
        <f t="shared" si="1366"/>
        <v>52272</v>
      </c>
      <c r="AB881" s="752">
        <f t="shared" si="1366"/>
        <v>52272</v>
      </c>
      <c r="AC881" s="758">
        <f t="shared" si="1366"/>
        <v>54130</v>
      </c>
      <c r="AD881" s="758">
        <f t="shared" si="1366"/>
        <v>55520</v>
      </c>
      <c r="AE881" s="758">
        <f t="shared" si="1366"/>
        <v>56532</v>
      </c>
      <c r="AF881" s="751">
        <f t="shared" si="1366"/>
        <v>58081</v>
      </c>
      <c r="AG881" s="752">
        <f t="shared" si="1366"/>
        <v>58081</v>
      </c>
      <c r="AH881" s="758">
        <f t="shared" si="1366"/>
        <v>60471</v>
      </c>
      <c r="AI881" s="758">
        <f t="shared" si="1366"/>
        <v>61638</v>
      </c>
      <c r="AJ881" s="758">
        <f t="shared" si="1366"/>
        <v>61168</v>
      </c>
      <c r="AK881" s="751">
        <f t="shared" si="1366"/>
        <v>61490</v>
      </c>
      <c r="AL881" s="752">
        <f t="shared" si="1366"/>
        <v>61490</v>
      </c>
      <c r="AM881" s="758">
        <f t="shared" si="1366"/>
        <v>60936</v>
      </c>
      <c r="AN881" s="758">
        <f t="shared" si="1366"/>
        <v>61457</v>
      </c>
      <c r="AO881" s="758">
        <f t="shared" ref="AO881:BT881" si="1367">SUM(AO496:AO498)</f>
        <v>61459</v>
      </c>
      <c r="AP881" s="751">
        <f t="shared" si="1367"/>
        <v>62118</v>
      </c>
      <c r="AQ881" s="752">
        <f t="shared" si="1367"/>
        <v>62118</v>
      </c>
      <c r="AR881" s="758">
        <f t="shared" si="1367"/>
        <v>63186</v>
      </c>
      <c r="AS881" s="758">
        <f t="shared" si="1367"/>
        <v>63690</v>
      </c>
      <c r="AT881" s="758">
        <f t="shared" si="1367"/>
        <v>64075</v>
      </c>
      <c r="AU881" s="751">
        <f t="shared" si="1367"/>
        <v>65580</v>
      </c>
      <c r="AV881" s="752">
        <f t="shared" si="1367"/>
        <v>65580</v>
      </c>
      <c r="AW881" s="758">
        <f t="shared" si="1367"/>
        <v>65791</v>
      </c>
      <c r="AX881" s="758">
        <f t="shared" si="1367"/>
        <v>66249</v>
      </c>
      <c r="AY881" s="758">
        <f t="shared" si="1367"/>
        <v>67988</v>
      </c>
      <c r="AZ881" s="751">
        <f t="shared" si="1367"/>
        <v>69278</v>
      </c>
      <c r="BA881" s="752">
        <f t="shared" si="1367"/>
        <v>69278</v>
      </c>
      <c r="BB881" s="758">
        <f t="shared" si="1367"/>
        <v>70103</v>
      </c>
      <c r="BC881" s="758">
        <f t="shared" si="1367"/>
        <v>71084</v>
      </c>
      <c r="BD881" s="758">
        <f t="shared" si="1367"/>
        <v>71267</v>
      </c>
      <c r="BE881" s="751">
        <f t="shared" si="1367"/>
        <v>73506</v>
      </c>
      <c r="BF881" s="752">
        <f t="shared" si="1367"/>
        <v>73506</v>
      </c>
      <c r="BG881" s="758">
        <f t="shared" si="1367"/>
        <v>74406</v>
      </c>
      <c r="BH881" s="758">
        <f t="shared" si="1367"/>
        <v>74240</v>
      </c>
      <c r="BI881" s="758">
        <f t="shared" si="1367"/>
        <v>75063</v>
      </c>
      <c r="BJ881" s="751">
        <f t="shared" si="1367"/>
        <v>75999</v>
      </c>
      <c r="BK881" s="752">
        <f t="shared" si="1367"/>
        <v>75999</v>
      </c>
      <c r="BL881" s="758">
        <f t="shared" si="1367"/>
        <v>76362</v>
      </c>
      <c r="BM881" s="758">
        <f t="shared" si="1367"/>
        <v>77194</v>
      </c>
      <c r="BN881" s="758">
        <f t="shared" si="1367"/>
        <v>77490</v>
      </c>
      <c r="BO881" s="751">
        <f t="shared" si="1367"/>
        <v>77791</v>
      </c>
      <c r="BP881" s="751">
        <f t="shared" si="1367"/>
        <v>77791</v>
      </c>
      <c r="BQ881" s="758">
        <f t="shared" si="1367"/>
        <v>77103</v>
      </c>
      <c r="BR881" s="758">
        <f t="shared" si="1367"/>
        <v>77090</v>
      </c>
      <c r="BS881" s="758">
        <f t="shared" si="1367"/>
        <v>78507</v>
      </c>
      <c r="BT881" s="751">
        <f t="shared" si="1367"/>
        <v>79012</v>
      </c>
      <c r="BU881" s="751">
        <f t="shared" ref="BU881:CE881" si="1368">SUM(BU496:BU498)</f>
        <v>79012</v>
      </c>
      <c r="BV881" s="758">
        <f t="shared" si="1368"/>
        <v>79441</v>
      </c>
      <c r="BW881" s="758">
        <f t="shared" si="1368"/>
        <v>80207</v>
      </c>
      <c r="BX881" s="758">
        <f t="shared" si="1368"/>
        <v>81119</v>
      </c>
      <c r="BY881" s="758">
        <f t="shared" si="1368"/>
        <v>82393</v>
      </c>
      <c r="BZ881" s="752">
        <f t="shared" si="1368"/>
        <v>82393</v>
      </c>
      <c r="CA881" s="758">
        <f t="shared" si="1368"/>
        <v>88277</v>
      </c>
      <c r="CB881" s="758">
        <f t="shared" si="1368"/>
        <v>89969</v>
      </c>
      <c r="CC881" s="758">
        <f t="shared" si="1368"/>
        <v>92065</v>
      </c>
      <c r="CD881" s="751">
        <f t="shared" si="1368"/>
        <v>93225</v>
      </c>
      <c r="CE881" s="752">
        <f t="shared" si="1368"/>
        <v>93225</v>
      </c>
      <c r="CF881" s="2937">
        <f>SUM(CF496:CF498)+CF499</f>
        <v>95076</v>
      </c>
      <c r="CG881" s="2937">
        <f>SUM(CG496:CG498)+CG499</f>
        <v>97771</v>
      </c>
      <c r="CH881" s="2937">
        <f>SUM(CH495:CH498)+CH499</f>
        <v>98491</v>
      </c>
      <c r="CI881" s="3070">
        <f t="shared" ref="CI881:CV881" si="1369">SUM(CI495:CI498)+CI499+CI514+CI515+CI520</f>
        <v>175849</v>
      </c>
      <c r="CJ881" s="3020">
        <f t="shared" si="1369"/>
        <v>175849</v>
      </c>
      <c r="CK881" s="3529">
        <f>SUM(CK495:CK498)+CK499+CK514+CK515+CK520</f>
        <v>176772</v>
      </c>
      <c r="CL881" s="2937">
        <f t="shared" si="1369"/>
        <v>178401</v>
      </c>
      <c r="CM881" s="2937">
        <f>SUM(CM495:CM498)+CM499+CM514+CM515+CM520</f>
        <v>181351</v>
      </c>
      <c r="CN881" s="2937">
        <f t="shared" si="1369"/>
        <v>182477</v>
      </c>
      <c r="CO881" s="3020">
        <f t="shared" si="1369"/>
        <v>182477</v>
      </c>
      <c r="CP881" s="2937">
        <f t="shared" si="1369"/>
        <v>189125.46000000002</v>
      </c>
      <c r="CQ881" s="2937">
        <f t="shared" si="1369"/>
        <v>187306.35</v>
      </c>
      <c r="CR881" s="2937">
        <f t="shared" si="1369"/>
        <v>188568.80000000002</v>
      </c>
      <c r="CS881" s="2937">
        <f t="shared" si="1369"/>
        <v>187919.03</v>
      </c>
      <c r="CT881" s="3020">
        <f>SUM(CT495:CT498)+CT499+CT514+CT515+CT520</f>
        <v>187919.03</v>
      </c>
      <c r="CU881" s="3020">
        <f t="shared" si="1369"/>
        <v>199129.61180000001</v>
      </c>
      <c r="CV881" s="3020">
        <f t="shared" si="1369"/>
        <v>205071.22015400004</v>
      </c>
      <c r="CW881" s="1201"/>
      <c r="CX881" s="1201"/>
      <c r="CY881" s="1201"/>
      <c r="CZ881" s="1201"/>
      <c r="DA881" s="1201"/>
      <c r="DB881" s="217"/>
    </row>
    <row r="882" spans="1:256" x14ac:dyDescent="0.2">
      <c r="A882" s="2389" t="s">
        <v>652</v>
      </c>
      <c r="B882" s="1193"/>
      <c r="C882" s="1193"/>
      <c r="D882" s="1193"/>
      <c r="E882" s="1193"/>
      <c r="F882" s="1193"/>
      <c r="G882" s="1193"/>
      <c r="H882" s="1946"/>
      <c r="I882" s="243"/>
      <c r="J882" s="243"/>
      <c r="K882" s="243"/>
      <c r="L882" s="243"/>
      <c r="M882" s="2012"/>
      <c r="N882" s="885">
        <f t="shared" ref="N882:AS882" si="1370">+N881/I881-1</f>
        <v>0.10186666666666677</v>
      </c>
      <c r="O882" s="885">
        <f t="shared" si="1370"/>
        <v>8.6321415598567874E-2</v>
      </c>
      <c r="P882" s="885">
        <f t="shared" si="1370"/>
        <v>8.7367028044994077E-2</v>
      </c>
      <c r="Q882" s="885">
        <f t="shared" si="1370"/>
        <v>8.9660546437442257E-2</v>
      </c>
      <c r="R882" s="1044">
        <f t="shared" si="1370"/>
        <v>8.9660546437442257E-2</v>
      </c>
      <c r="S882" s="885">
        <f t="shared" si="1370"/>
        <v>0.13799612778315584</v>
      </c>
      <c r="T882" s="885">
        <f t="shared" si="1370"/>
        <v>0.14590747330960863</v>
      </c>
      <c r="U882" s="885">
        <f t="shared" si="1370"/>
        <v>0.12259227186556521</v>
      </c>
      <c r="V882" s="885">
        <f t="shared" si="1370"/>
        <v>9.5713774917314698E-2</v>
      </c>
      <c r="W882" s="1044">
        <f t="shared" si="1370"/>
        <v>9.5713774917314698E-2</v>
      </c>
      <c r="X882" s="885">
        <f t="shared" si="1370"/>
        <v>6.9945982731487444E-2</v>
      </c>
      <c r="Y882" s="885">
        <f t="shared" si="1370"/>
        <v>5.9964983950977491E-2</v>
      </c>
      <c r="Z882" s="885">
        <f t="shared" si="1370"/>
        <v>5.8063171062232799E-2</v>
      </c>
      <c r="AA882" s="885">
        <f t="shared" si="1370"/>
        <v>6.610103811874124E-2</v>
      </c>
      <c r="AB882" s="1044">
        <f t="shared" si="1370"/>
        <v>6.610103811874124E-2</v>
      </c>
      <c r="AC882" s="885">
        <f t="shared" si="1370"/>
        <v>7.5907853153385885E-2</v>
      </c>
      <c r="AD882" s="885">
        <f t="shared" si="1370"/>
        <v>9.1731393176678777E-2</v>
      </c>
      <c r="AE882" s="885">
        <f t="shared" si="1370"/>
        <v>0.11393103448275865</v>
      </c>
      <c r="AF882" s="885">
        <f t="shared" si="1370"/>
        <v>0.1111302418120601</v>
      </c>
      <c r="AG882" s="1044">
        <f t="shared" si="1370"/>
        <v>0.1111302418120601</v>
      </c>
      <c r="AH882" s="885">
        <f t="shared" si="1370"/>
        <v>0.11714391280251246</v>
      </c>
      <c r="AI882" s="885">
        <f t="shared" si="1370"/>
        <v>0.11019452449567724</v>
      </c>
      <c r="AJ882" s="885">
        <f t="shared" si="1370"/>
        <v>8.2006651100261729E-2</v>
      </c>
      <c r="AK882" s="885">
        <f t="shared" si="1370"/>
        <v>5.8693893011483977E-2</v>
      </c>
      <c r="AL882" s="1044">
        <f t="shared" si="1370"/>
        <v>5.8693893011483977E-2</v>
      </c>
      <c r="AM882" s="885">
        <f t="shared" si="1370"/>
        <v>7.6896363546161695E-3</v>
      </c>
      <c r="AN882" s="885">
        <f t="shared" si="1370"/>
        <v>-2.9365002109088545E-3</v>
      </c>
      <c r="AO882" s="885">
        <f t="shared" si="1370"/>
        <v>4.7573894846979492E-3</v>
      </c>
      <c r="AP882" s="885">
        <f t="shared" si="1370"/>
        <v>1.0213042771182401E-2</v>
      </c>
      <c r="AQ882" s="1044">
        <f t="shared" si="1370"/>
        <v>1.0213042771182401E-2</v>
      </c>
      <c r="AR882" s="885">
        <f t="shared" si="1370"/>
        <v>3.6923985821189387E-2</v>
      </c>
      <c r="AS882" s="885">
        <f t="shared" si="1370"/>
        <v>3.633434759262566E-2</v>
      </c>
      <c r="AT882" s="885">
        <f t="shared" ref="AT882:BV882" si="1371">+AT881/AO881-1</f>
        <v>4.2564962007191731E-2</v>
      </c>
      <c r="AU882" s="885">
        <f t="shared" si="1371"/>
        <v>5.5732637882739411E-2</v>
      </c>
      <c r="AV882" s="1044">
        <f t="shared" si="1371"/>
        <v>5.5732637882739411E-2</v>
      </c>
      <c r="AW882" s="885">
        <f t="shared" si="1371"/>
        <v>4.1227487101573201E-2</v>
      </c>
      <c r="AX882" s="885">
        <f t="shared" si="1371"/>
        <v>4.0178991992463553E-2</v>
      </c>
      <c r="AY882" s="885">
        <f t="shared" si="1371"/>
        <v>6.1069059695669115E-2</v>
      </c>
      <c r="AZ882" s="885">
        <f t="shared" si="1371"/>
        <v>5.638914303141207E-2</v>
      </c>
      <c r="BA882" s="1044">
        <f t="shared" si="1371"/>
        <v>5.638914303141207E-2</v>
      </c>
      <c r="BB882" s="885">
        <f t="shared" si="1371"/>
        <v>6.5540879451596812E-2</v>
      </c>
      <c r="BC882" s="885">
        <f t="shared" si="1371"/>
        <v>7.2982233694093512E-2</v>
      </c>
      <c r="BD882" s="885">
        <f t="shared" si="1371"/>
        <v>4.8229099252809382E-2</v>
      </c>
      <c r="BE882" s="885">
        <f t="shared" si="1371"/>
        <v>6.1029475446750858E-2</v>
      </c>
      <c r="BF882" s="1044">
        <f t="shared" si="1371"/>
        <v>6.1029475446750858E-2</v>
      </c>
      <c r="BG882" s="885">
        <f t="shared" si="1371"/>
        <v>6.1381110651469895E-2</v>
      </c>
      <c r="BH882" s="885">
        <f t="shared" si="1371"/>
        <v>4.4398176804906875E-2</v>
      </c>
      <c r="BI882" s="885">
        <f t="shared" si="1371"/>
        <v>5.32644842634038E-2</v>
      </c>
      <c r="BJ882" s="885">
        <f t="shared" si="1371"/>
        <v>3.3915598726634633E-2</v>
      </c>
      <c r="BK882" s="1044">
        <f t="shared" si="1371"/>
        <v>3.3915598726634633E-2</v>
      </c>
      <c r="BL882" s="885">
        <f t="shared" si="1371"/>
        <v>2.6288202564309415E-2</v>
      </c>
      <c r="BM882" s="885">
        <f t="shared" si="1371"/>
        <v>3.9789870689655116E-2</v>
      </c>
      <c r="BN882" s="885">
        <f t="shared" si="1371"/>
        <v>3.2332840414052155E-2</v>
      </c>
      <c r="BO882" s="885">
        <f t="shared" si="1371"/>
        <v>2.357925762181079E-2</v>
      </c>
      <c r="BP882" s="1044">
        <f t="shared" si="1371"/>
        <v>2.357925762181079E-2</v>
      </c>
      <c r="BQ882" s="885">
        <f t="shared" si="1371"/>
        <v>9.7037793667007488E-3</v>
      </c>
      <c r="BR882" s="885">
        <f t="shared" si="1371"/>
        <v>-1.347254968002698E-3</v>
      </c>
      <c r="BS882" s="885">
        <f t="shared" si="1371"/>
        <v>1.3124274099883815E-2</v>
      </c>
      <c r="BT882" s="885">
        <f>+BT881/BO881-1</f>
        <v>1.56959031250401E-2</v>
      </c>
      <c r="BU882" s="1044">
        <f>+BU881/BP881-1</f>
        <v>1.56959031250401E-2</v>
      </c>
      <c r="BV882" s="885">
        <f t="shared" si="1371"/>
        <v>3.0323074329144051E-2</v>
      </c>
      <c r="BW882" s="885">
        <f t="shared" ref="BW882:CF882" si="1372">+BW881/BR881-1</f>
        <v>4.0433259826177181E-2</v>
      </c>
      <c r="BX882" s="885">
        <f t="shared" si="1372"/>
        <v>3.3270918516820069E-2</v>
      </c>
      <c r="BY882" s="885">
        <f t="shared" si="1372"/>
        <v>4.2790968460487022E-2</v>
      </c>
      <c r="BZ882" s="1044">
        <f t="shared" si="1372"/>
        <v>4.2790968460487022E-2</v>
      </c>
      <c r="CA882" s="885">
        <f t="shared" si="1372"/>
        <v>0.11122720006042219</v>
      </c>
      <c r="CB882" s="885">
        <f t="shared" si="1372"/>
        <v>0.1217100751804705</v>
      </c>
      <c r="CC882" s="885">
        <f t="shared" si="1372"/>
        <v>0.13493756086736775</v>
      </c>
      <c r="CD882" s="885">
        <f t="shared" si="1372"/>
        <v>0.13146747903341294</v>
      </c>
      <c r="CE882" s="1044">
        <f t="shared" si="1372"/>
        <v>0.13146747903341294</v>
      </c>
      <c r="CF882" s="885">
        <f t="shared" si="1372"/>
        <v>7.7018929052867779E-2</v>
      </c>
      <c r="CG882" s="885">
        <f t="shared" ref="CG882:CO882" si="1373">+CG881/CB881-1</f>
        <v>8.6718758683546504E-2</v>
      </c>
      <c r="CH882" s="885">
        <f t="shared" si="1373"/>
        <v>6.9798511920925455E-2</v>
      </c>
      <c r="CI882" s="885">
        <f t="shared" si="1373"/>
        <v>0.88628586752480554</v>
      </c>
      <c r="CJ882" s="1044">
        <f t="shared" si="1373"/>
        <v>0.88628586752480554</v>
      </c>
      <c r="CK882" s="3530">
        <f t="shared" si="1373"/>
        <v>0.85927047835415871</v>
      </c>
      <c r="CL882" s="885">
        <f t="shared" si="1373"/>
        <v>0.8246821654682881</v>
      </c>
      <c r="CM882" s="885">
        <f t="shared" si="1373"/>
        <v>0.8412951437187155</v>
      </c>
      <c r="CN882" s="885">
        <f t="shared" si="1373"/>
        <v>3.7691428441446906E-2</v>
      </c>
      <c r="CO882" s="1044">
        <f t="shared" si="1373"/>
        <v>3.7691428441446906E-2</v>
      </c>
      <c r="CP882" s="3670">
        <v>7.0000000000000007E-2</v>
      </c>
      <c r="CQ882" s="3671">
        <v>0.05</v>
      </c>
      <c r="CR882" s="3671">
        <v>0.04</v>
      </c>
      <c r="CS882" s="3672">
        <v>0.03</v>
      </c>
      <c r="CT882" s="1044">
        <f>+CT881/CO881-1</f>
        <v>2.98231009935499E-2</v>
      </c>
      <c r="CU882" s="1046">
        <v>0.06</v>
      </c>
      <c r="CV882" s="1046">
        <v>0.03</v>
      </c>
      <c r="CW882" s="2704"/>
      <c r="CX882" s="2704"/>
      <c r="CY882" s="2704"/>
      <c r="CZ882" s="2704"/>
      <c r="DA882" s="2704"/>
      <c r="DB882" s="217"/>
      <c r="DF882" s="11"/>
      <c r="DG882" s="11"/>
      <c r="DH882" s="11"/>
      <c r="DI882" s="11"/>
      <c r="DJ882" s="11"/>
      <c r="DK882" s="11"/>
      <c r="DL882" s="11"/>
      <c r="DM882" s="11"/>
      <c r="DN882" s="11"/>
      <c r="DO882" s="11"/>
      <c r="DP882" s="11"/>
      <c r="DQ882" s="11"/>
      <c r="DR882" s="11"/>
      <c r="DS882" s="11"/>
      <c r="DT882" s="11"/>
      <c r="DU882" s="11"/>
      <c r="DV882" s="11"/>
      <c r="DW882" s="11"/>
      <c r="DX882" s="11"/>
      <c r="DY882" s="11"/>
      <c r="DZ882" s="11"/>
      <c r="EA882" s="11"/>
      <c r="EB882" s="11"/>
      <c r="EC882" s="11"/>
      <c r="ED882" s="11"/>
      <c r="EE882" s="11"/>
      <c r="EF882" s="11"/>
      <c r="EG882" s="11"/>
      <c r="EH882" s="11"/>
      <c r="EI882" s="11"/>
      <c r="EJ882" s="11"/>
      <c r="EK882" s="11"/>
      <c r="EL882" s="11"/>
      <c r="EM882" s="11"/>
      <c r="EN882" s="11"/>
      <c r="EO882" s="11"/>
      <c r="EP882" s="11"/>
      <c r="EQ882" s="11"/>
      <c r="ER882" s="11"/>
      <c r="ES882" s="11"/>
      <c r="ET882" s="11"/>
      <c r="EU882" s="11"/>
      <c r="EV882" s="11"/>
      <c r="EW882" s="11"/>
      <c r="EX882" s="11"/>
      <c r="EY882" s="11"/>
      <c r="EZ882" s="11"/>
      <c r="FA882" s="11"/>
      <c r="FB882" s="11"/>
      <c r="FC882" s="11"/>
      <c r="FD882" s="11"/>
      <c r="FE882" s="11"/>
      <c r="FF882" s="11"/>
      <c r="FG882" s="11"/>
      <c r="FH882" s="11"/>
      <c r="FI882" s="11"/>
      <c r="FJ882" s="11"/>
      <c r="FK882" s="11"/>
      <c r="FL882" s="11"/>
      <c r="FM882" s="11"/>
      <c r="FN882" s="11"/>
      <c r="FO882" s="11"/>
      <c r="FP882" s="11"/>
      <c r="FQ882" s="11"/>
      <c r="FR882" s="11"/>
      <c r="FS882" s="11"/>
      <c r="FT882" s="11"/>
      <c r="FU882" s="11"/>
      <c r="FV882" s="11"/>
      <c r="FW882" s="11"/>
      <c r="FX882" s="11"/>
      <c r="FY882" s="11"/>
      <c r="FZ882" s="11"/>
      <c r="GA882" s="11"/>
      <c r="GB882" s="11"/>
      <c r="GC882" s="11"/>
      <c r="GD882" s="11"/>
      <c r="GE882" s="11"/>
      <c r="GF882" s="11"/>
      <c r="GG882" s="11"/>
      <c r="GH882" s="11"/>
      <c r="GI882" s="11"/>
      <c r="GJ882" s="11"/>
      <c r="GK882" s="11"/>
      <c r="GL882" s="11"/>
      <c r="GM882" s="11"/>
      <c r="GN882" s="11"/>
      <c r="GO882" s="11"/>
      <c r="GP882" s="11"/>
      <c r="GQ882" s="11"/>
      <c r="GR882" s="11"/>
      <c r="GS882" s="11"/>
      <c r="GT882" s="11"/>
      <c r="GU882" s="11"/>
      <c r="GV882" s="11"/>
      <c r="GW882" s="11"/>
      <c r="GX882" s="11"/>
      <c r="GY882" s="11"/>
      <c r="GZ882" s="11"/>
      <c r="HA882" s="11"/>
      <c r="HB882" s="11"/>
      <c r="HC882" s="11"/>
      <c r="HD882" s="11"/>
      <c r="HE882" s="11"/>
      <c r="HF882" s="11"/>
      <c r="HG882" s="11"/>
      <c r="HH882" s="11"/>
      <c r="HI882" s="11"/>
      <c r="HJ882" s="11"/>
      <c r="HK882" s="11"/>
      <c r="HL882" s="11"/>
      <c r="HM882" s="11"/>
      <c r="HN882" s="11"/>
      <c r="HO882" s="11"/>
      <c r="HP882" s="11"/>
      <c r="HQ882" s="11"/>
      <c r="HR882" s="11"/>
      <c r="HS882" s="11"/>
      <c r="HT882" s="11"/>
      <c r="HU882" s="11"/>
      <c r="HV882" s="11"/>
      <c r="HW882" s="11"/>
      <c r="HX882" s="11"/>
      <c r="HY882" s="11"/>
      <c r="HZ882" s="11"/>
      <c r="IA882" s="11"/>
      <c r="IB882" s="11"/>
      <c r="IC882" s="11"/>
      <c r="ID882" s="11"/>
      <c r="IE882" s="11"/>
      <c r="IF882" s="11"/>
      <c r="IG882" s="11"/>
      <c r="IH882" s="11"/>
      <c r="II882" s="11"/>
      <c r="IJ882" s="11"/>
      <c r="IK882" s="11"/>
      <c r="IL882" s="11"/>
      <c r="IM882" s="11"/>
      <c r="IN882" s="11"/>
      <c r="IO882" s="11"/>
      <c r="IP882" s="11"/>
      <c r="IQ882" s="11"/>
      <c r="IR882" s="11"/>
      <c r="IS882" s="11"/>
      <c r="IT882" s="11"/>
      <c r="IU882" s="11"/>
      <c r="IV882" s="11"/>
    </row>
    <row r="883" spans="1:256" x14ac:dyDescent="0.2">
      <c r="A883" s="2389" t="s">
        <v>653</v>
      </c>
      <c r="B883" s="1193"/>
      <c r="C883" s="1193"/>
      <c r="D883" s="1193"/>
      <c r="E883" s="1193"/>
      <c r="F883" s="1193"/>
      <c r="G883" s="1193"/>
      <c r="H883" s="1946"/>
      <c r="I883" s="243"/>
      <c r="J883" s="243"/>
      <c r="K883" s="243"/>
      <c r="L883" s="243"/>
      <c r="M883" s="2012"/>
      <c r="N883" s="885"/>
      <c r="O883" s="885"/>
      <c r="P883" s="885"/>
      <c r="Q883" s="885"/>
      <c r="R883" s="1044"/>
      <c r="S883" s="885"/>
      <c r="T883" s="885"/>
      <c r="U883" s="885"/>
      <c r="V883" s="885"/>
      <c r="W883" s="1044"/>
      <c r="X883" s="885"/>
      <c r="Y883" s="885"/>
      <c r="Z883" s="885"/>
      <c r="AA883" s="885"/>
      <c r="AB883" s="1044"/>
      <c r="AC883" s="885"/>
      <c r="AD883" s="885"/>
      <c r="AE883" s="885"/>
      <c r="AF883" s="885"/>
      <c r="AG883" s="1044"/>
      <c r="AH883" s="885"/>
      <c r="AI883" s="885"/>
      <c r="AJ883" s="885"/>
      <c r="AK883" s="885"/>
      <c r="AL883" s="1044"/>
      <c r="AM883" s="885"/>
      <c r="AN883" s="885"/>
      <c r="AO883" s="885"/>
      <c r="AP883" s="885"/>
      <c r="AQ883" s="1044"/>
      <c r="AR883" s="885"/>
      <c r="AS883" s="885"/>
      <c r="AT883" s="885"/>
      <c r="AU883" s="885"/>
      <c r="AV883" s="1044"/>
      <c r="AW883" s="885"/>
      <c r="AX883" s="885"/>
      <c r="AY883" s="885"/>
      <c r="AZ883" s="885"/>
      <c r="BA883" s="1044"/>
      <c r="BB883" s="885">
        <f>+BB881/BA881-1</f>
        <v>1.190854239441097E-2</v>
      </c>
      <c r="BC883" s="885">
        <f>+BC881/BB881-1</f>
        <v>1.3993694991655037E-2</v>
      </c>
      <c r="BD883" s="885">
        <f>+BD881/BC881-1</f>
        <v>2.5744189972427556E-3</v>
      </c>
      <c r="BE883" s="885">
        <f>+BE881/BD881-1</f>
        <v>3.1417065401939226E-2</v>
      </c>
      <c r="BF883" s="1044"/>
      <c r="BG883" s="885">
        <f>+BG881/BF881-1</f>
        <v>1.2243898457268809E-2</v>
      </c>
      <c r="BH883" s="885">
        <f>+BH881/BG881-1</f>
        <v>-2.2310028761121092E-3</v>
      </c>
      <c r="BI883" s="885">
        <f>+BI881/BH881-1</f>
        <v>1.1085668103448354E-2</v>
      </c>
      <c r="BJ883" s="885">
        <f>+BJ881/BI881-1</f>
        <v>1.2469525598497233E-2</v>
      </c>
      <c r="BK883" s="1044"/>
      <c r="BL883" s="885">
        <f>+BL881/BK881-1</f>
        <v>4.7763786365611072E-3</v>
      </c>
      <c r="BM883" s="885">
        <f>+BM881/BL881-1</f>
        <v>1.0895471569628778E-2</v>
      </c>
      <c r="BN883" s="885">
        <f>+BN881/BM881-1</f>
        <v>3.8344949089308411E-3</v>
      </c>
      <c r="BO883" s="885">
        <f>+BO881/BN881-1</f>
        <v>3.8843721770551731E-3</v>
      </c>
      <c r="BP883" s="1044"/>
      <c r="BQ883" s="885">
        <f>+BQ881/BP881-1</f>
        <v>-8.8442107698833983E-3</v>
      </c>
      <c r="BR883" s="885">
        <f>+BR881/BQ881-1</f>
        <v>-1.6860563142806484E-4</v>
      </c>
      <c r="BS883" s="885">
        <f>+BS881/BR881-1</f>
        <v>1.8381112984823034E-2</v>
      </c>
      <c r="BT883" s="885">
        <f>+BT881/BS881-1</f>
        <v>6.4325474161539553E-3</v>
      </c>
      <c r="BU883" s="1044"/>
      <c r="BV883" s="885">
        <f>+BV881/BU881-1</f>
        <v>5.4295550043030882E-3</v>
      </c>
      <c r="BW883" s="885">
        <f>+BW881/BV881-1</f>
        <v>9.6423761030197674E-3</v>
      </c>
      <c r="BX883" s="885">
        <f>+BX881/BW881-1</f>
        <v>1.1370578627800665E-2</v>
      </c>
      <c r="BY883" s="885">
        <f>+BY881/BX881-1</f>
        <v>1.570532181116624E-2</v>
      </c>
      <c r="BZ883" s="1044"/>
      <c r="CA883" s="885">
        <f>+CA881/BZ881-1</f>
        <v>7.1413833699464746E-2</v>
      </c>
      <c r="CB883" s="885">
        <f>+CB881/CA881-1</f>
        <v>1.9166940426158519E-2</v>
      </c>
      <c r="CC883" s="885">
        <f>+CC881/CB881-1</f>
        <v>2.3296913381275708E-2</v>
      </c>
      <c r="CD883" s="885">
        <f>+CD881/CC881-1</f>
        <v>1.2599793624070044E-2</v>
      </c>
      <c r="CE883" s="1044"/>
      <c r="CF883" s="885">
        <f>+CF881/CE881-1</f>
        <v>1.985518905872885E-2</v>
      </c>
      <c r="CG883" s="885">
        <f>+CG881/CF881-1</f>
        <v>2.8345744457065836E-2</v>
      </c>
      <c r="CH883" s="885">
        <f>+CH881/CG881-1</f>
        <v>7.3641468329055382E-3</v>
      </c>
      <c r="CI883" s="885">
        <f>+CI881/CH881-1</f>
        <v>0.78543217146744371</v>
      </c>
      <c r="CJ883" s="1044"/>
      <c r="CK883" s="3530">
        <f>+CK881/CJ881-1</f>
        <v>5.2488214320240978E-3</v>
      </c>
      <c r="CL883" s="1278">
        <f>+CL881/CK881-1</f>
        <v>9.2152603353472529E-3</v>
      </c>
      <c r="CM883" s="1278">
        <f>+CM881/CL881-1</f>
        <v>1.6535781750102396E-2</v>
      </c>
      <c r="CN883" s="1278">
        <f>+CN881/CM881-1</f>
        <v>6.2089539070642186E-3</v>
      </c>
      <c r="CO883" s="1044"/>
      <c r="CP883" s="3530"/>
      <c r="CQ883" s="1278"/>
      <c r="CR883" s="886"/>
      <c r="CS883" s="1549"/>
      <c r="CT883" s="1640"/>
      <c r="CU883" s="1044"/>
      <c r="CV883" s="1044"/>
      <c r="CW883" s="2704"/>
      <c r="CX883" s="2704"/>
      <c r="CY883" s="2704"/>
      <c r="CZ883" s="2704"/>
      <c r="DA883" s="2704"/>
      <c r="DB883" s="217"/>
      <c r="DF883" s="11"/>
      <c r="DG883" s="11"/>
      <c r="DH883" s="11"/>
      <c r="DI883" s="11"/>
      <c r="DJ883" s="11"/>
      <c r="DK883" s="11"/>
      <c r="DL883" s="11"/>
      <c r="DM883" s="11"/>
      <c r="DN883" s="11"/>
      <c r="DO883" s="11"/>
      <c r="DP883" s="11"/>
      <c r="DQ883" s="11"/>
      <c r="DR883" s="11"/>
      <c r="DS883" s="11"/>
      <c r="DT883" s="11"/>
      <c r="DU883" s="11"/>
      <c r="DV883" s="11"/>
      <c r="DW883" s="11"/>
      <c r="DX883" s="11"/>
      <c r="DY883" s="11"/>
      <c r="DZ883" s="11"/>
      <c r="EA883" s="11"/>
      <c r="EB883" s="11"/>
      <c r="EC883" s="11"/>
      <c r="ED883" s="11"/>
      <c r="EE883" s="11"/>
      <c r="EF883" s="11"/>
      <c r="EG883" s="11"/>
      <c r="EH883" s="11"/>
      <c r="EI883" s="11"/>
      <c r="EJ883" s="11"/>
      <c r="EK883" s="11"/>
      <c r="EL883" s="11"/>
      <c r="EM883" s="11"/>
      <c r="EN883" s="11"/>
      <c r="EO883" s="11"/>
      <c r="EP883" s="11"/>
      <c r="EQ883" s="11"/>
      <c r="ER883" s="11"/>
      <c r="ES883" s="11"/>
      <c r="ET883" s="11"/>
      <c r="EU883" s="11"/>
      <c r="EV883" s="11"/>
      <c r="EW883" s="11"/>
      <c r="EX883" s="11"/>
      <c r="EY883" s="11"/>
      <c r="EZ883" s="11"/>
      <c r="FA883" s="11"/>
      <c r="FB883" s="11"/>
      <c r="FC883" s="11"/>
      <c r="FD883" s="11"/>
      <c r="FE883" s="11"/>
      <c r="FF883" s="11"/>
      <c r="FG883" s="11"/>
      <c r="FH883" s="11"/>
      <c r="FI883" s="11"/>
      <c r="FJ883" s="11"/>
      <c r="FK883" s="11"/>
      <c r="FL883" s="11"/>
      <c r="FM883" s="11"/>
      <c r="FN883" s="11"/>
      <c r="FO883" s="11"/>
      <c r="FP883" s="11"/>
      <c r="FQ883" s="11"/>
      <c r="FR883" s="11"/>
      <c r="FS883" s="11"/>
      <c r="FT883" s="11"/>
      <c r="FU883" s="11"/>
      <c r="FV883" s="11"/>
      <c r="FW883" s="11"/>
      <c r="FX883" s="11"/>
      <c r="FY883" s="11"/>
      <c r="FZ883" s="11"/>
      <c r="GA883" s="11"/>
      <c r="GB883" s="11"/>
      <c r="GC883" s="11"/>
      <c r="GD883" s="11"/>
      <c r="GE883" s="11"/>
      <c r="GF883" s="11"/>
      <c r="GG883" s="11"/>
      <c r="GH883" s="11"/>
      <c r="GI883" s="11"/>
      <c r="GJ883" s="11"/>
      <c r="GK883" s="11"/>
      <c r="GL883" s="11"/>
      <c r="GM883" s="11"/>
      <c r="GN883" s="11"/>
      <c r="GO883" s="11"/>
      <c r="GP883" s="11"/>
      <c r="GQ883" s="11"/>
      <c r="GR883" s="11"/>
      <c r="GS883" s="11"/>
      <c r="GT883" s="11"/>
      <c r="GU883" s="11"/>
      <c r="GV883" s="11"/>
      <c r="GW883" s="11"/>
      <c r="GX883" s="11"/>
      <c r="GY883" s="11"/>
      <c r="GZ883" s="11"/>
      <c r="HA883" s="11"/>
      <c r="HB883" s="11"/>
      <c r="HC883" s="11"/>
      <c r="HD883" s="11"/>
      <c r="HE883" s="11"/>
      <c r="HF883" s="11"/>
      <c r="HG883" s="11"/>
      <c r="HH883" s="11"/>
      <c r="HI883" s="11"/>
      <c r="HJ883" s="11"/>
      <c r="HK883" s="11"/>
      <c r="HL883" s="11"/>
      <c r="HM883" s="11"/>
      <c r="HN883" s="11"/>
      <c r="HO883" s="11"/>
      <c r="HP883" s="11"/>
      <c r="HQ883" s="11"/>
      <c r="HR883" s="11"/>
      <c r="HS883" s="11"/>
      <c r="HT883" s="11"/>
      <c r="HU883" s="11"/>
      <c r="HV883" s="11"/>
      <c r="HW883" s="11"/>
      <c r="HX883" s="11"/>
      <c r="HY883" s="11"/>
      <c r="HZ883" s="11"/>
      <c r="IA883" s="11"/>
      <c r="IB883" s="11"/>
      <c r="IC883" s="11"/>
      <c r="ID883" s="11"/>
      <c r="IE883" s="11"/>
      <c r="IF883" s="11"/>
      <c r="IG883" s="11"/>
      <c r="IH883" s="11"/>
      <c r="II883" s="11"/>
      <c r="IJ883" s="11"/>
      <c r="IK883" s="11"/>
      <c r="IL883" s="11"/>
      <c r="IM883" s="11"/>
      <c r="IN883" s="11"/>
      <c r="IO883" s="11"/>
      <c r="IP883" s="11"/>
      <c r="IQ883" s="11"/>
      <c r="IR883" s="11"/>
      <c r="IS883" s="11"/>
      <c r="IT883" s="11"/>
      <c r="IU883" s="11"/>
      <c r="IV883" s="11"/>
    </row>
    <row r="884" spans="1:256" s="11" customFormat="1" x14ac:dyDescent="0.2">
      <c r="A884" s="1142" t="s">
        <v>1417</v>
      </c>
      <c r="B884" s="212"/>
      <c r="C884" s="212"/>
      <c r="D884" s="212"/>
      <c r="E884" s="212"/>
      <c r="F884" s="212"/>
      <c r="G884" s="212"/>
      <c r="H884" s="194"/>
      <c r="I884" s="758">
        <f t="shared" ref="I884:AN884" si="1374">SUM(I500:I502)</f>
        <v>0</v>
      </c>
      <c r="J884" s="758">
        <f t="shared" si="1374"/>
        <v>0</v>
      </c>
      <c r="K884" s="758">
        <f t="shared" si="1374"/>
        <v>0</v>
      </c>
      <c r="L884" s="751">
        <f t="shared" si="1374"/>
        <v>0</v>
      </c>
      <c r="M884" s="752">
        <f t="shared" si="1374"/>
        <v>0</v>
      </c>
      <c r="N884" s="758">
        <f t="shared" si="1374"/>
        <v>0</v>
      </c>
      <c r="O884" s="758">
        <f t="shared" si="1374"/>
        <v>0</v>
      </c>
      <c r="P884" s="758">
        <f t="shared" si="1374"/>
        <v>0</v>
      </c>
      <c r="Q884" s="751">
        <f t="shared" si="1374"/>
        <v>0</v>
      </c>
      <c r="R884" s="751">
        <f t="shared" si="1374"/>
        <v>0</v>
      </c>
      <c r="S884" s="758">
        <f t="shared" si="1374"/>
        <v>0</v>
      </c>
      <c r="T884" s="758">
        <f t="shared" si="1374"/>
        <v>0</v>
      </c>
      <c r="U884" s="758">
        <f t="shared" si="1374"/>
        <v>0</v>
      </c>
      <c r="V884" s="751">
        <f t="shared" si="1374"/>
        <v>0</v>
      </c>
      <c r="W884" s="752">
        <f t="shared" si="1374"/>
        <v>0</v>
      </c>
      <c r="X884" s="758">
        <f t="shared" si="1374"/>
        <v>0</v>
      </c>
      <c r="Y884" s="758">
        <f t="shared" si="1374"/>
        <v>0</v>
      </c>
      <c r="Z884" s="758">
        <f t="shared" si="1374"/>
        <v>0</v>
      </c>
      <c r="AA884" s="751">
        <f t="shared" si="1374"/>
        <v>0</v>
      </c>
      <c r="AB884" s="752">
        <f t="shared" si="1374"/>
        <v>0</v>
      </c>
      <c r="AC884" s="758">
        <f t="shared" si="1374"/>
        <v>0</v>
      </c>
      <c r="AD884" s="758">
        <f t="shared" si="1374"/>
        <v>0</v>
      </c>
      <c r="AE884" s="758">
        <f t="shared" si="1374"/>
        <v>0</v>
      </c>
      <c r="AF884" s="751">
        <f t="shared" si="1374"/>
        <v>0</v>
      </c>
      <c r="AG884" s="752">
        <f t="shared" si="1374"/>
        <v>0</v>
      </c>
      <c r="AH884" s="758">
        <f t="shared" si="1374"/>
        <v>0</v>
      </c>
      <c r="AI884" s="758">
        <f t="shared" si="1374"/>
        <v>0</v>
      </c>
      <c r="AJ884" s="758">
        <f t="shared" si="1374"/>
        <v>0</v>
      </c>
      <c r="AK884" s="751">
        <f t="shared" si="1374"/>
        <v>0</v>
      </c>
      <c r="AL884" s="752">
        <f t="shared" si="1374"/>
        <v>0</v>
      </c>
      <c r="AM884" s="758">
        <f t="shared" si="1374"/>
        <v>0</v>
      </c>
      <c r="AN884" s="758">
        <f t="shared" si="1374"/>
        <v>0</v>
      </c>
      <c r="AO884" s="758">
        <f t="shared" ref="AO884:BT884" si="1375">SUM(AO500:AO502)</f>
        <v>0</v>
      </c>
      <c r="AP884" s="751">
        <f t="shared" si="1375"/>
        <v>0</v>
      </c>
      <c r="AQ884" s="752">
        <f t="shared" si="1375"/>
        <v>0</v>
      </c>
      <c r="AR884" s="758">
        <f t="shared" si="1375"/>
        <v>0</v>
      </c>
      <c r="AS884" s="758">
        <f t="shared" si="1375"/>
        <v>0</v>
      </c>
      <c r="AT884" s="758">
        <f t="shared" si="1375"/>
        <v>0</v>
      </c>
      <c r="AU884" s="751">
        <f t="shared" si="1375"/>
        <v>0</v>
      </c>
      <c r="AV884" s="751">
        <f t="shared" si="1375"/>
        <v>0</v>
      </c>
      <c r="AW884" s="758">
        <f t="shared" si="1375"/>
        <v>0</v>
      </c>
      <c r="AX884" s="758">
        <f t="shared" si="1375"/>
        <v>0</v>
      </c>
      <c r="AY884" s="758">
        <f t="shared" si="1375"/>
        <v>0</v>
      </c>
      <c r="AZ884" s="751">
        <f t="shared" si="1375"/>
        <v>0</v>
      </c>
      <c r="BA884" s="752">
        <f t="shared" si="1375"/>
        <v>0</v>
      </c>
      <c r="BB884" s="758">
        <f t="shared" si="1375"/>
        <v>0</v>
      </c>
      <c r="BC884" s="758">
        <f t="shared" si="1375"/>
        <v>0</v>
      </c>
      <c r="BD884" s="758">
        <f t="shared" si="1375"/>
        <v>0</v>
      </c>
      <c r="BE884" s="751">
        <f t="shared" si="1375"/>
        <v>0</v>
      </c>
      <c r="BF884" s="752">
        <f t="shared" si="1375"/>
        <v>0</v>
      </c>
      <c r="BG884" s="758">
        <f t="shared" si="1375"/>
        <v>0</v>
      </c>
      <c r="BH884" s="758">
        <f t="shared" si="1375"/>
        <v>0</v>
      </c>
      <c r="BI884" s="758">
        <f t="shared" si="1375"/>
        <v>0</v>
      </c>
      <c r="BJ884" s="751">
        <f t="shared" si="1375"/>
        <v>0</v>
      </c>
      <c r="BK884" s="752">
        <f t="shared" si="1375"/>
        <v>0</v>
      </c>
      <c r="BL884" s="758">
        <f t="shared" si="1375"/>
        <v>0</v>
      </c>
      <c r="BM884" s="758">
        <f t="shared" si="1375"/>
        <v>0</v>
      </c>
      <c r="BN884" s="758">
        <f t="shared" si="1375"/>
        <v>0</v>
      </c>
      <c r="BO884" s="751">
        <f t="shared" si="1375"/>
        <v>0</v>
      </c>
      <c r="BP884" s="752">
        <f t="shared" si="1375"/>
        <v>0</v>
      </c>
      <c r="BQ884" s="758">
        <f t="shared" si="1375"/>
        <v>0</v>
      </c>
      <c r="BR884" s="758">
        <f t="shared" si="1375"/>
        <v>0</v>
      </c>
      <c r="BS884" s="758">
        <f t="shared" si="1375"/>
        <v>0</v>
      </c>
      <c r="BT884" s="751">
        <f t="shared" si="1375"/>
        <v>0</v>
      </c>
      <c r="BU884" s="752">
        <f t="shared" ref="BU884:CF884" si="1376">SUM(BU500:BU502)</f>
        <v>0</v>
      </c>
      <c r="BV884" s="758">
        <f t="shared" si="1376"/>
        <v>0</v>
      </c>
      <c r="BW884" s="758">
        <f t="shared" si="1376"/>
        <v>0</v>
      </c>
      <c r="BX884" s="758">
        <f t="shared" si="1376"/>
        <v>0</v>
      </c>
      <c r="BY884" s="751">
        <f t="shared" si="1376"/>
        <v>0</v>
      </c>
      <c r="BZ884" s="751">
        <f t="shared" si="1376"/>
        <v>0</v>
      </c>
      <c r="CA884" s="758">
        <f t="shared" si="1376"/>
        <v>0</v>
      </c>
      <c r="CB884" s="758">
        <f t="shared" si="1376"/>
        <v>0</v>
      </c>
      <c r="CC884" s="758">
        <f t="shared" si="1376"/>
        <v>429</v>
      </c>
      <c r="CD884" s="751">
        <f t="shared" si="1376"/>
        <v>429</v>
      </c>
      <c r="CE884" s="751">
        <f t="shared" si="1376"/>
        <v>429</v>
      </c>
      <c r="CF884" s="758">
        <f t="shared" si="1376"/>
        <v>429</v>
      </c>
      <c r="CG884" s="2937">
        <f t="shared" ref="CG884:CV884" si="1377">SUM(CG500:CG502)+CG517+CG518+CG519</f>
        <v>2438</v>
      </c>
      <c r="CH884" s="2937">
        <f t="shared" si="1377"/>
        <v>2438</v>
      </c>
      <c r="CI884" s="2937">
        <f t="shared" si="1377"/>
        <v>2292</v>
      </c>
      <c r="CJ884" s="3020">
        <f t="shared" si="1377"/>
        <v>2292</v>
      </c>
      <c r="CK884" s="3531">
        <f>SUM(CK500:CK502)+CK517+CK518+CK519</f>
        <v>2320</v>
      </c>
      <c r="CL884" s="2937">
        <f t="shared" si="1377"/>
        <v>2320</v>
      </c>
      <c r="CM884" s="2937">
        <f>SUM(CM500:CM502)+CM517+CM518+CM519</f>
        <v>2320</v>
      </c>
      <c r="CN884" s="2937">
        <f t="shared" si="1377"/>
        <v>3112</v>
      </c>
      <c r="CO884" s="3020">
        <f t="shared" si="1377"/>
        <v>3112</v>
      </c>
      <c r="CP884" s="2937">
        <f t="shared" si="1377"/>
        <v>3112</v>
      </c>
      <c r="CQ884" s="2937">
        <f t="shared" si="1377"/>
        <v>3112</v>
      </c>
      <c r="CR884" s="2937">
        <f t="shared" si="1377"/>
        <v>3112</v>
      </c>
      <c r="CS884" s="3652">
        <f t="shared" si="1377"/>
        <v>3112</v>
      </c>
      <c r="CT884" s="3652">
        <f>SUM(CT500:CT502)+CT517+CT518+CT519</f>
        <v>3112</v>
      </c>
      <c r="CU884" s="3020">
        <f t="shared" si="1377"/>
        <v>3112</v>
      </c>
      <c r="CV884" s="3020">
        <f t="shared" si="1377"/>
        <v>3112</v>
      </c>
      <c r="CW884" s="1201"/>
      <c r="CX884" s="1201"/>
      <c r="CY884" s="1201"/>
      <c r="CZ884" s="1201"/>
      <c r="DA884" s="1201"/>
      <c r="DB884" s="217"/>
      <c r="DC884" s="212"/>
      <c r="DD884" s="212"/>
      <c r="DE884" s="70"/>
      <c r="DF884" s="70"/>
      <c r="DG884" s="70"/>
      <c r="DH884" s="70"/>
      <c r="DI884" s="70"/>
      <c r="DJ884" s="70"/>
      <c r="DK884" s="70"/>
      <c r="DL884" s="70"/>
      <c r="DM884" s="70"/>
      <c r="DN884" s="70"/>
      <c r="DO884" s="70"/>
      <c r="DP884" s="70"/>
      <c r="DQ884" s="70"/>
      <c r="DR884" s="70"/>
      <c r="DS884" s="70"/>
      <c r="DT884" s="70"/>
      <c r="DU884" s="70"/>
      <c r="DV884" s="70"/>
      <c r="DW884" s="70"/>
      <c r="DX884" s="70"/>
      <c r="DY884" s="70"/>
      <c r="DZ884" s="70"/>
      <c r="EA884" s="70"/>
      <c r="EB884" s="70"/>
      <c r="EC884" s="70"/>
      <c r="ED884" s="70"/>
      <c r="EE884" s="70"/>
      <c r="EF884" s="70"/>
      <c r="EG884" s="70"/>
      <c r="EH884" s="70"/>
      <c r="EI884" s="70"/>
      <c r="EJ884" s="70"/>
      <c r="EK884" s="70"/>
      <c r="EL884" s="70"/>
      <c r="EM884" s="70"/>
      <c r="EN884" s="70"/>
      <c r="EO884" s="70"/>
      <c r="EP884" s="70"/>
      <c r="EQ884" s="70"/>
      <c r="ER884" s="70"/>
      <c r="ES884" s="70"/>
      <c r="ET884" s="70"/>
      <c r="EU884" s="70"/>
      <c r="EV884" s="70"/>
      <c r="EW884" s="70"/>
      <c r="EX884" s="70"/>
      <c r="EY884" s="70"/>
      <c r="EZ884" s="70"/>
      <c r="FA884" s="70"/>
      <c r="FB884" s="70"/>
      <c r="FC884" s="70"/>
      <c r="FD884" s="70"/>
      <c r="FE884" s="70"/>
      <c r="FF884" s="70"/>
      <c r="FG884" s="70"/>
      <c r="FH884" s="70"/>
      <c r="FI884" s="70"/>
      <c r="FJ884" s="70"/>
      <c r="FK884" s="70"/>
      <c r="FL884" s="70"/>
      <c r="FM884" s="70"/>
      <c r="FN884" s="70"/>
      <c r="FO884" s="70"/>
      <c r="FP884" s="70"/>
      <c r="FQ884" s="70"/>
      <c r="FR884" s="70"/>
      <c r="FS884" s="70"/>
      <c r="FT884" s="70"/>
      <c r="FU884" s="70"/>
      <c r="FV884" s="70"/>
      <c r="FW884" s="70"/>
      <c r="FX884" s="70"/>
      <c r="FY884" s="70"/>
      <c r="FZ884" s="70"/>
      <c r="GA884" s="70"/>
      <c r="GB884" s="70"/>
      <c r="GC884" s="70"/>
      <c r="GD884" s="70"/>
      <c r="GE884" s="70"/>
      <c r="GF884" s="70"/>
      <c r="GG884" s="70"/>
      <c r="GH884" s="70"/>
      <c r="GI884" s="70"/>
      <c r="GJ884" s="70"/>
      <c r="GK884" s="70"/>
      <c r="GL884" s="70"/>
      <c r="GM884" s="70"/>
      <c r="GN884" s="70"/>
      <c r="GO884" s="70"/>
      <c r="GP884" s="70"/>
      <c r="GQ884" s="70"/>
      <c r="GR884" s="70"/>
      <c r="GS884" s="70"/>
      <c r="GT884" s="70"/>
      <c r="GU884" s="70"/>
      <c r="GV884" s="70"/>
      <c r="GW884" s="70"/>
      <c r="GX884" s="70"/>
      <c r="GY884" s="70"/>
      <c r="GZ884" s="70"/>
      <c r="HA884" s="70"/>
      <c r="HB884" s="70"/>
      <c r="HC884" s="70"/>
      <c r="HD884" s="70"/>
      <c r="HE884" s="70"/>
      <c r="HF884" s="70"/>
      <c r="HG884" s="70"/>
      <c r="HH884" s="70"/>
      <c r="HI884" s="70"/>
      <c r="HJ884" s="70"/>
      <c r="HK884" s="70"/>
      <c r="HL884" s="70"/>
      <c r="HM884" s="70"/>
      <c r="HN884" s="70"/>
      <c r="HO884" s="70"/>
      <c r="HP884" s="70"/>
      <c r="HQ884" s="70"/>
      <c r="HR884" s="70"/>
      <c r="HS884" s="70"/>
      <c r="HT884" s="70"/>
      <c r="HU884" s="70"/>
      <c r="HV884" s="70"/>
      <c r="HW884" s="70"/>
      <c r="HX884" s="70"/>
      <c r="HY884" s="70"/>
      <c r="HZ884" s="70"/>
      <c r="IA884" s="70"/>
      <c r="IB884" s="70"/>
      <c r="IC884" s="70"/>
      <c r="ID884" s="70"/>
      <c r="IE884" s="70"/>
      <c r="IF884" s="70"/>
      <c r="IG884" s="70"/>
      <c r="IH884" s="70"/>
      <c r="II884" s="70"/>
      <c r="IJ884" s="70"/>
      <c r="IK884" s="70"/>
      <c r="IL884" s="70"/>
      <c r="IM884" s="70"/>
      <c r="IN884" s="70"/>
      <c r="IO884" s="70"/>
      <c r="IP884" s="70"/>
      <c r="IQ884" s="70"/>
      <c r="IR884" s="70"/>
      <c r="IS884" s="70"/>
      <c r="IT884" s="70"/>
      <c r="IU884" s="70"/>
      <c r="IV884" s="70"/>
    </row>
    <row r="885" spans="1:256" s="11" customFormat="1" x14ac:dyDescent="0.2">
      <c r="A885" s="1571" t="s">
        <v>652</v>
      </c>
      <c r="B885" s="212"/>
      <c r="C885" s="212"/>
      <c r="D885" s="212"/>
      <c r="E885" s="212"/>
      <c r="F885" s="212"/>
      <c r="G885" s="212"/>
      <c r="H885" s="194"/>
      <c r="I885" s="758"/>
      <c r="J885" s="758"/>
      <c r="K885" s="758"/>
      <c r="L885" s="758"/>
      <c r="M885" s="752"/>
      <c r="N885" s="899"/>
      <c r="O885" s="899"/>
      <c r="P885" s="899"/>
      <c r="Q885" s="899"/>
      <c r="R885" s="1003"/>
      <c r="S885" s="899"/>
      <c r="T885" s="899"/>
      <c r="U885" s="899"/>
      <c r="V885" s="899"/>
      <c r="W885" s="1003"/>
      <c r="X885" s="899"/>
      <c r="Y885" s="899"/>
      <c r="Z885" s="899"/>
      <c r="AA885" s="899"/>
      <c r="AB885" s="1003"/>
      <c r="AC885" s="899"/>
      <c r="AD885" s="899"/>
      <c r="AE885" s="899"/>
      <c r="AF885" s="899"/>
      <c r="AG885" s="1003"/>
      <c r="AH885" s="899"/>
      <c r="AI885" s="899"/>
      <c r="AJ885" s="899"/>
      <c r="AK885" s="899"/>
      <c r="AL885" s="1003"/>
      <c r="AM885" s="899"/>
      <c r="AN885" s="899"/>
      <c r="AO885" s="899"/>
      <c r="AP885" s="899"/>
      <c r="AQ885" s="1003"/>
      <c r="AR885" s="899"/>
      <c r="AS885" s="899"/>
      <c r="AT885" s="899"/>
      <c r="AU885" s="899"/>
      <c r="AV885" s="1003"/>
      <c r="AW885" s="899"/>
      <c r="AX885" s="899"/>
      <c r="AY885" s="899"/>
      <c r="AZ885" s="899"/>
      <c r="BA885" s="1003"/>
      <c r="BB885" s="899"/>
      <c r="BC885" s="899"/>
      <c r="BD885" s="899"/>
      <c r="BE885" s="899"/>
      <c r="BF885" s="1003"/>
      <c r="BG885" s="899"/>
      <c r="BH885" s="899"/>
      <c r="BI885" s="899"/>
      <c r="BJ885" s="899"/>
      <c r="BK885" s="1003"/>
      <c r="BL885" s="899"/>
      <c r="BM885" s="899"/>
      <c r="BN885" s="899"/>
      <c r="BO885" s="899"/>
      <c r="BP885" s="1003"/>
      <c r="BQ885" s="899"/>
      <c r="BR885" s="899"/>
      <c r="BS885" s="899"/>
      <c r="BT885" s="899"/>
      <c r="BU885" s="1003"/>
      <c r="BV885" s="899"/>
      <c r="BW885" s="899"/>
      <c r="BX885" s="899"/>
      <c r="BY885" s="1268"/>
      <c r="BZ885" s="1268"/>
      <c r="CA885" s="899"/>
      <c r="CB885" s="899"/>
      <c r="CC885" s="899"/>
      <c r="CD885" s="1268"/>
      <c r="CE885" s="1268"/>
      <c r="CF885" s="899"/>
      <c r="CG885" s="899"/>
      <c r="CH885" s="899"/>
      <c r="CI885" s="899"/>
      <c r="CJ885" s="1003"/>
      <c r="CK885" s="3532"/>
      <c r="CL885" s="899"/>
      <c r="CM885" s="899"/>
      <c r="CN885" s="899"/>
      <c r="CO885" s="1003"/>
      <c r="CP885" s="3532"/>
      <c r="CQ885" s="899"/>
      <c r="CR885" s="899"/>
      <c r="CS885" s="1268"/>
      <c r="CT885" s="1268"/>
      <c r="CU885" s="1011"/>
      <c r="CV885" s="1011"/>
      <c r="CW885" s="1201"/>
      <c r="CX885" s="1201"/>
      <c r="CY885" s="1201"/>
      <c r="CZ885" s="1201"/>
      <c r="DA885" s="1201"/>
      <c r="DB885" s="217"/>
      <c r="DC885" s="212"/>
      <c r="DD885" s="212"/>
      <c r="DE885" s="70"/>
      <c r="DF885" s="70"/>
      <c r="DG885" s="70"/>
      <c r="DH885" s="70"/>
      <c r="DI885" s="70"/>
      <c r="DJ885" s="70"/>
      <c r="DK885" s="70"/>
      <c r="DL885" s="70"/>
      <c r="DM885" s="70"/>
      <c r="DN885" s="70"/>
      <c r="DO885" s="70"/>
      <c r="DP885" s="70"/>
      <c r="DQ885" s="70"/>
      <c r="DR885" s="70"/>
      <c r="DS885" s="70"/>
      <c r="DT885" s="70"/>
      <c r="DU885" s="70"/>
      <c r="DV885" s="70"/>
      <c r="DW885" s="70"/>
      <c r="DX885" s="70"/>
      <c r="DY885" s="70"/>
      <c r="DZ885" s="70"/>
      <c r="EA885" s="70"/>
      <c r="EB885" s="70"/>
      <c r="EC885" s="70"/>
      <c r="ED885" s="70"/>
      <c r="EE885" s="70"/>
      <c r="EF885" s="70"/>
      <c r="EG885" s="70"/>
      <c r="EH885" s="70"/>
      <c r="EI885" s="70"/>
      <c r="EJ885" s="70"/>
      <c r="EK885" s="70"/>
      <c r="EL885" s="70"/>
      <c r="EM885" s="70"/>
      <c r="EN885" s="70"/>
      <c r="EO885" s="70"/>
      <c r="EP885" s="70"/>
      <c r="EQ885" s="70"/>
      <c r="ER885" s="70"/>
      <c r="ES885" s="70"/>
      <c r="ET885" s="70"/>
      <c r="EU885" s="70"/>
      <c r="EV885" s="70"/>
      <c r="EW885" s="70"/>
      <c r="EX885" s="70"/>
      <c r="EY885" s="70"/>
      <c r="EZ885" s="70"/>
      <c r="FA885" s="70"/>
      <c r="FB885" s="70"/>
      <c r="FC885" s="70"/>
      <c r="FD885" s="70"/>
      <c r="FE885" s="70"/>
      <c r="FF885" s="70"/>
      <c r="FG885" s="70"/>
      <c r="FH885" s="70"/>
      <c r="FI885" s="70"/>
      <c r="FJ885" s="70"/>
      <c r="FK885" s="70"/>
      <c r="FL885" s="70"/>
      <c r="FM885" s="70"/>
      <c r="FN885" s="70"/>
      <c r="FO885" s="70"/>
      <c r="FP885" s="70"/>
      <c r="FQ885" s="70"/>
      <c r="FR885" s="70"/>
      <c r="FS885" s="70"/>
      <c r="FT885" s="70"/>
      <c r="FU885" s="70"/>
      <c r="FV885" s="70"/>
      <c r="FW885" s="70"/>
      <c r="FX885" s="70"/>
      <c r="FY885" s="70"/>
      <c r="FZ885" s="70"/>
      <c r="GA885" s="70"/>
      <c r="GB885" s="70"/>
      <c r="GC885" s="70"/>
      <c r="GD885" s="70"/>
      <c r="GE885" s="70"/>
      <c r="GF885" s="70"/>
      <c r="GG885" s="70"/>
      <c r="GH885" s="70"/>
      <c r="GI885" s="70"/>
      <c r="GJ885" s="70"/>
      <c r="GK885" s="70"/>
      <c r="GL885" s="70"/>
      <c r="GM885" s="70"/>
      <c r="GN885" s="70"/>
      <c r="GO885" s="70"/>
      <c r="GP885" s="70"/>
      <c r="GQ885" s="70"/>
      <c r="GR885" s="70"/>
      <c r="GS885" s="70"/>
      <c r="GT885" s="70"/>
      <c r="GU885" s="70"/>
      <c r="GV885" s="70"/>
      <c r="GW885" s="70"/>
      <c r="GX885" s="70"/>
      <c r="GY885" s="70"/>
      <c r="GZ885" s="70"/>
      <c r="HA885" s="70"/>
      <c r="HB885" s="70"/>
      <c r="HC885" s="70"/>
      <c r="HD885" s="70"/>
      <c r="HE885" s="70"/>
      <c r="HF885" s="70"/>
      <c r="HG885" s="70"/>
      <c r="HH885" s="70"/>
      <c r="HI885" s="70"/>
      <c r="HJ885" s="70"/>
      <c r="HK885" s="70"/>
      <c r="HL885" s="70"/>
      <c r="HM885" s="70"/>
      <c r="HN885" s="70"/>
      <c r="HO885" s="70"/>
      <c r="HP885" s="70"/>
      <c r="HQ885" s="70"/>
      <c r="HR885" s="70"/>
      <c r="HS885" s="70"/>
      <c r="HT885" s="70"/>
      <c r="HU885" s="70"/>
      <c r="HV885" s="70"/>
      <c r="HW885" s="70"/>
      <c r="HX885" s="70"/>
      <c r="HY885" s="70"/>
      <c r="HZ885" s="70"/>
      <c r="IA885" s="70"/>
      <c r="IB885" s="70"/>
      <c r="IC885" s="70"/>
      <c r="ID885" s="70"/>
      <c r="IE885" s="70"/>
      <c r="IF885" s="70"/>
      <c r="IG885" s="70"/>
      <c r="IH885" s="70"/>
      <c r="II885" s="70"/>
      <c r="IJ885" s="70"/>
      <c r="IK885" s="70"/>
      <c r="IL885" s="70"/>
      <c r="IM885" s="70"/>
      <c r="IN885" s="70"/>
      <c r="IO885" s="70"/>
      <c r="IP885" s="70"/>
      <c r="IQ885" s="70"/>
      <c r="IR885" s="70"/>
      <c r="IS885" s="70"/>
      <c r="IT885" s="70"/>
      <c r="IU885" s="70"/>
      <c r="IV885" s="70"/>
    </row>
    <row r="886" spans="1:256" x14ac:dyDescent="0.2">
      <c r="A886" s="1571" t="s">
        <v>653</v>
      </c>
      <c r="B886" s="212"/>
      <c r="C886" s="212"/>
      <c r="D886" s="212"/>
      <c r="E886" s="212"/>
      <c r="F886" s="212"/>
      <c r="G886" s="212"/>
      <c r="H886" s="194"/>
      <c r="I886" s="758"/>
      <c r="J886" s="758"/>
      <c r="K886" s="758"/>
      <c r="L886" s="758"/>
      <c r="M886" s="752"/>
      <c r="N886" s="899"/>
      <c r="O886" s="899"/>
      <c r="P886" s="899"/>
      <c r="Q886" s="899"/>
      <c r="R886" s="1003"/>
      <c r="S886" s="899"/>
      <c r="T886" s="899"/>
      <c r="U886" s="899"/>
      <c r="V886" s="1268"/>
      <c r="W886" s="1268"/>
      <c r="X886" s="899"/>
      <c r="Y886" s="899"/>
      <c r="Z886" s="899"/>
      <c r="AA886" s="899"/>
      <c r="AB886" s="1003"/>
      <c r="AC886" s="899"/>
      <c r="AD886" s="899"/>
      <c r="AE886" s="899"/>
      <c r="AF886" s="899"/>
      <c r="AG886" s="1003"/>
      <c r="AH886" s="899"/>
      <c r="AI886" s="899"/>
      <c r="AJ886" s="899"/>
      <c r="AK886" s="899"/>
      <c r="AL886" s="1003"/>
      <c r="AM886" s="899"/>
      <c r="AN886" s="899"/>
      <c r="AO886" s="899"/>
      <c r="AP886" s="899"/>
      <c r="AQ886" s="1003"/>
      <c r="AR886" s="899"/>
      <c r="AS886" s="899"/>
      <c r="AT886" s="899"/>
      <c r="AU886" s="1268"/>
      <c r="AV886" s="1268"/>
      <c r="AW886" s="899"/>
      <c r="AX886" s="899"/>
      <c r="AY886" s="899"/>
      <c r="AZ886" s="1268"/>
      <c r="BA886" s="1268"/>
      <c r="BB886" s="899"/>
      <c r="BC886" s="899"/>
      <c r="BD886" s="899"/>
      <c r="BE886" s="1268"/>
      <c r="BF886" s="1268"/>
      <c r="BG886" s="899"/>
      <c r="BH886" s="899"/>
      <c r="BI886" s="899"/>
      <c r="BJ886" s="899"/>
      <c r="BK886" s="1003"/>
      <c r="BL886" s="899"/>
      <c r="BM886" s="899"/>
      <c r="BN886" s="899"/>
      <c r="BO886" s="899"/>
      <c r="BP886" s="1003"/>
      <c r="BQ886" s="899"/>
      <c r="BR886" s="899"/>
      <c r="BS886" s="899"/>
      <c r="BT886" s="899"/>
      <c r="BU886" s="1003"/>
      <c r="BV886" s="899"/>
      <c r="BW886" s="886"/>
      <c r="BX886" s="886"/>
      <c r="BY886" s="1549"/>
      <c r="BZ886" s="1268"/>
      <c r="CA886" s="886"/>
      <c r="CB886" s="886"/>
      <c r="CC886" s="886"/>
      <c r="CD886" s="1549"/>
      <c r="CE886" s="1268"/>
      <c r="CF886" s="886"/>
      <c r="CG886" s="886"/>
      <c r="CH886" s="886"/>
      <c r="CI886" s="886"/>
      <c r="CJ886" s="1003"/>
      <c r="CK886" s="2641"/>
      <c r="CL886" s="886"/>
      <c r="CM886" s="886"/>
      <c r="CN886" s="886"/>
      <c r="CO886" s="1003"/>
      <c r="CP886" s="2641"/>
      <c r="CQ886" s="886"/>
      <c r="CR886" s="886"/>
      <c r="CS886" s="1549"/>
      <c r="CT886" s="1268"/>
      <c r="CU886" s="1003"/>
      <c r="CV886" s="1003"/>
      <c r="CW886" s="1201"/>
      <c r="CX886" s="1201"/>
      <c r="CY886" s="1201"/>
      <c r="CZ886" s="1201"/>
      <c r="DA886" s="1201"/>
      <c r="DB886" s="217"/>
    </row>
    <row r="887" spans="1:256" x14ac:dyDescent="0.2">
      <c r="A887" s="1142" t="s">
        <v>1387</v>
      </c>
      <c r="B887" s="212"/>
      <c r="C887" s="212"/>
      <c r="D887" s="212"/>
      <c r="E887" s="212"/>
      <c r="F887" s="212"/>
      <c r="G887" s="212"/>
      <c r="H887" s="194"/>
      <c r="I887" s="758">
        <f t="shared" ref="I887:AN887" si="1378">SUM(I503:I506)+I509</f>
        <v>57345</v>
      </c>
      <c r="J887" s="758">
        <f t="shared" si="1378"/>
        <v>60160</v>
      </c>
      <c r="K887" s="758">
        <f t="shared" si="1378"/>
        <v>61650</v>
      </c>
      <c r="L887" s="751">
        <f t="shared" si="1378"/>
        <v>64897</v>
      </c>
      <c r="M887" s="751">
        <f t="shared" si="1378"/>
        <v>64897</v>
      </c>
      <c r="N887" s="758">
        <f t="shared" si="1378"/>
        <v>66517</v>
      </c>
      <c r="O887" s="758">
        <f t="shared" si="1378"/>
        <v>68044</v>
      </c>
      <c r="P887" s="758">
        <f t="shared" si="1378"/>
        <v>70118</v>
      </c>
      <c r="Q887" s="751">
        <f t="shared" si="1378"/>
        <v>73428</v>
      </c>
      <c r="R887" s="751">
        <f t="shared" si="1378"/>
        <v>73428</v>
      </c>
      <c r="S887" s="758">
        <f t="shared" si="1378"/>
        <v>75078</v>
      </c>
      <c r="T887" s="758">
        <f t="shared" si="1378"/>
        <v>77315</v>
      </c>
      <c r="U887" s="758">
        <f t="shared" si="1378"/>
        <v>79980</v>
      </c>
      <c r="V887" s="751">
        <f t="shared" si="1378"/>
        <v>80517</v>
      </c>
      <c r="W887" s="751">
        <f t="shared" si="1378"/>
        <v>80517</v>
      </c>
      <c r="X887" s="758">
        <f t="shared" si="1378"/>
        <v>82508</v>
      </c>
      <c r="Y887" s="758">
        <f t="shared" si="1378"/>
        <v>84459</v>
      </c>
      <c r="Z887" s="758">
        <f t="shared" si="1378"/>
        <v>85961</v>
      </c>
      <c r="AA887" s="751">
        <f t="shared" si="1378"/>
        <v>88038</v>
      </c>
      <c r="AB887" s="751">
        <f t="shared" si="1378"/>
        <v>88038</v>
      </c>
      <c r="AC887" s="758">
        <f t="shared" si="1378"/>
        <v>89215</v>
      </c>
      <c r="AD887" s="758">
        <f t="shared" si="1378"/>
        <v>91230</v>
      </c>
      <c r="AE887" s="758">
        <f t="shared" si="1378"/>
        <v>93108</v>
      </c>
      <c r="AF887" s="751">
        <f t="shared" si="1378"/>
        <v>95141</v>
      </c>
      <c r="AG887" s="751">
        <f t="shared" si="1378"/>
        <v>95141</v>
      </c>
      <c r="AH887" s="758">
        <f t="shared" si="1378"/>
        <v>97582</v>
      </c>
      <c r="AI887" s="758">
        <f t="shared" si="1378"/>
        <v>99167</v>
      </c>
      <c r="AJ887" s="758">
        <f t="shared" si="1378"/>
        <v>101620</v>
      </c>
      <c r="AK887" s="751">
        <f t="shared" si="1378"/>
        <v>103637</v>
      </c>
      <c r="AL887" s="751">
        <f t="shared" si="1378"/>
        <v>103637</v>
      </c>
      <c r="AM887" s="758">
        <f t="shared" si="1378"/>
        <v>106069</v>
      </c>
      <c r="AN887" s="758">
        <f t="shared" si="1378"/>
        <v>108322</v>
      </c>
      <c r="AO887" s="758">
        <f t="shared" ref="AO887:BT887" si="1379">SUM(AO503:AO506)+AO509</f>
        <v>111092</v>
      </c>
      <c r="AP887" s="751">
        <f t="shared" si="1379"/>
        <v>115187</v>
      </c>
      <c r="AQ887" s="751">
        <f t="shared" si="1379"/>
        <v>115187</v>
      </c>
      <c r="AR887" s="758">
        <f t="shared" si="1379"/>
        <v>116896</v>
      </c>
      <c r="AS887" s="758">
        <f t="shared" si="1379"/>
        <v>120550</v>
      </c>
      <c r="AT887" s="758">
        <f t="shared" si="1379"/>
        <v>122236</v>
      </c>
      <c r="AU887" s="751">
        <f t="shared" si="1379"/>
        <v>126561</v>
      </c>
      <c r="AV887" s="751">
        <f t="shared" si="1379"/>
        <v>126561</v>
      </c>
      <c r="AW887" s="758">
        <f t="shared" si="1379"/>
        <v>129116</v>
      </c>
      <c r="AX887" s="758">
        <f t="shared" si="1379"/>
        <v>132197</v>
      </c>
      <c r="AY887" s="758">
        <f t="shared" si="1379"/>
        <v>137083</v>
      </c>
      <c r="AZ887" s="751">
        <f t="shared" si="1379"/>
        <v>140072</v>
      </c>
      <c r="BA887" s="751">
        <f t="shared" si="1379"/>
        <v>140072</v>
      </c>
      <c r="BB887" s="758">
        <f t="shared" si="1379"/>
        <v>142270</v>
      </c>
      <c r="BC887" s="758">
        <f t="shared" si="1379"/>
        <v>143767</v>
      </c>
      <c r="BD887" s="758">
        <f t="shared" si="1379"/>
        <v>145081</v>
      </c>
      <c r="BE887" s="751">
        <f t="shared" si="1379"/>
        <v>146953</v>
      </c>
      <c r="BF887" s="751">
        <f t="shared" si="1379"/>
        <v>146953</v>
      </c>
      <c r="BG887" s="758">
        <f t="shared" si="1379"/>
        <v>147344</v>
      </c>
      <c r="BH887" s="758">
        <f t="shared" si="1379"/>
        <v>148272</v>
      </c>
      <c r="BI887" s="758">
        <f t="shared" si="1379"/>
        <v>148881</v>
      </c>
      <c r="BJ887" s="751">
        <f t="shared" si="1379"/>
        <v>150030</v>
      </c>
      <c r="BK887" s="751">
        <f t="shared" si="1379"/>
        <v>150030</v>
      </c>
      <c r="BL887" s="758">
        <f t="shared" si="1379"/>
        <v>150664</v>
      </c>
      <c r="BM887" s="758">
        <f t="shared" si="1379"/>
        <v>151986</v>
      </c>
      <c r="BN887" s="758">
        <f t="shared" si="1379"/>
        <v>153412</v>
      </c>
      <c r="BO887" s="751">
        <f t="shared" si="1379"/>
        <v>154780</v>
      </c>
      <c r="BP887" s="751">
        <f t="shared" si="1379"/>
        <v>154780</v>
      </c>
      <c r="BQ887" s="758">
        <f t="shared" si="1379"/>
        <v>156227</v>
      </c>
      <c r="BR887" s="758">
        <f t="shared" si="1379"/>
        <v>159277</v>
      </c>
      <c r="BS887" s="758">
        <f t="shared" si="1379"/>
        <v>161535</v>
      </c>
      <c r="BT887" s="751">
        <f t="shared" si="1379"/>
        <v>164202</v>
      </c>
      <c r="BU887" s="751">
        <f t="shared" ref="BU887:CB887" si="1380">SUM(BU503:BU506)+BU509</f>
        <v>164202</v>
      </c>
      <c r="BV887" s="758">
        <f t="shared" si="1380"/>
        <v>165387</v>
      </c>
      <c r="BW887" s="758">
        <f t="shared" si="1380"/>
        <v>167249</v>
      </c>
      <c r="BX887" s="758">
        <f t="shared" si="1380"/>
        <v>170742</v>
      </c>
      <c r="BY887" s="751">
        <f t="shared" si="1380"/>
        <v>172964</v>
      </c>
      <c r="BZ887" s="751">
        <f t="shared" si="1380"/>
        <v>172964</v>
      </c>
      <c r="CA887" s="758">
        <f t="shared" si="1380"/>
        <v>182057</v>
      </c>
      <c r="CB887" s="758">
        <f t="shared" si="1380"/>
        <v>184090</v>
      </c>
      <c r="CC887" s="758">
        <f t="shared" ref="CC887:CH887" si="1381">SUM(CC503:CC506)+CC509+CC511</f>
        <v>188410</v>
      </c>
      <c r="CD887" s="751">
        <f t="shared" si="1381"/>
        <v>190431</v>
      </c>
      <c r="CE887" s="751">
        <f t="shared" si="1381"/>
        <v>190431</v>
      </c>
      <c r="CF887" s="758">
        <f t="shared" si="1381"/>
        <v>193413</v>
      </c>
      <c r="CG887" s="758">
        <f t="shared" si="1381"/>
        <v>196660</v>
      </c>
      <c r="CH887" s="758">
        <f t="shared" si="1381"/>
        <v>200368</v>
      </c>
      <c r="CI887" s="3070">
        <f t="shared" ref="CI887:CV887" si="1382">SUM(CI503:CI506)+CI509+CI511+CI516+CI521+CI522+CI523+CI524</f>
        <v>243140</v>
      </c>
      <c r="CJ887" s="3020">
        <f t="shared" si="1382"/>
        <v>243140</v>
      </c>
      <c r="CK887" s="3529">
        <f>SUM(CK503:CK506)+CK509+CK511+CK516+CK521+CK522+CK523+CK524</f>
        <v>247928</v>
      </c>
      <c r="CL887" s="2937">
        <f t="shared" si="1382"/>
        <v>253335</v>
      </c>
      <c r="CM887" s="2937">
        <f>SUM(CM503:CM506)+CM509+CM511+CM516+CM521+CM522+CM523+CM524</f>
        <v>258520</v>
      </c>
      <c r="CN887" s="2937">
        <f t="shared" si="1382"/>
        <v>265256</v>
      </c>
      <c r="CO887" s="3020">
        <f t="shared" si="1382"/>
        <v>265256</v>
      </c>
      <c r="CP887" s="2937">
        <f t="shared" si="1382"/>
        <v>267724.35000000009</v>
      </c>
      <c r="CQ887" s="2937">
        <f t="shared" si="1382"/>
        <v>273461.94000000006</v>
      </c>
      <c r="CR887" s="2937">
        <f t="shared" si="1382"/>
        <v>278990.92</v>
      </c>
      <c r="CS887" s="3652">
        <f t="shared" si="1382"/>
        <v>286196.02999999997</v>
      </c>
      <c r="CT887" s="3652">
        <f>SUM(CT503:CT506)+CT509+CT511+CT516+CT521+CT522+CT523+CT524</f>
        <v>286196.02999999997</v>
      </c>
      <c r="CU887" s="3020">
        <f t="shared" si="1382"/>
        <v>307574.0732000001</v>
      </c>
      <c r="CV887" s="3020">
        <f t="shared" si="1382"/>
        <v>319815.79706600006</v>
      </c>
      <c r="CW887" s="374"/>
      <c r="CX887" s="374"/>
      <c r="CY887" s="374"/>
      <c r="CZ887" s="374"/>
      <c r="DA887" s="374"/>
      <c r="DB887" s="217"/>
    </row>
    <row r="888" spans="1:256" x14ac:dyDescent="0.2">
      <c r="A888" s="2389" t="s">
        <v>652</v>
      </c>
      <c r="B888" s="1193"/>
      <c r="C888" s="1193"/>
      <c r="D888" s="1193"/>
      <c r="E888" s="1193"/>
      <c r="F888" s="1193"/>
      <c r="G888" s="1193"/>
      <c r="H888" s="1946"/>
      <c r="I888" s="243"/>
      <c r="J888" s="243"/>
      <c r="K888" s="243"/>
      <c r="L888" s="2011"/>
      <c r="M888" s="2011"/>
      <c r="N888" s="885">
        <f t="shared" ref="N888:AS888" si="1383">+N887/I887-1</f>
        <v>0.15994419740169152</v>
      </c>
      <c r="O888" s="885">
        <f t="shared" si="1383"/>
        <v>0.13105053191489358</v>
      </c>
      <c r="P888" s="885">
        <f t="shared" si="1383"/>
        <v>0.13735604217356046</v>
      </c>
      <c r="Q888" s="1640">
        <f t="shared" si="1383"/>
        <v>0.13145445860363347</v>
      </c>
      <c r="R888" s="1640">
        <f t="shared" si="1383"/>
        <v>0.13145445860363347</v>
      </c>
      <c r="S888" s="885">
        <f t="shared" si="1383"/>
        <v>0.12870394034607702</v>
      </c>
      <c r="T888" s="885">
        <f t="shared" si="1383"/>
        <v>0.13625007348186458</v>
      </c>
      <c r="U888" s="885">
        <f t="shared" si="1383"/>
        <v>0.14064862089620345</v>
      </c>
      <c r="V888" s="1640">
        <f t="shared" si="1383"/>
        <v>9.6543552868115778E-2</v>
      </c>
      <c r="W888" s="1640">
        <f t="shared" si="1383"/>
        <v>9.6543552868115778E-2</v>
      </c>
      <c r="X888" s="885">
        <f t="shared" si="1383"/>
        <v>9.8963744372519313E-2</v>
      </c>
      <c r="Y888" s="885">
        <f t="shared" si="1383"/>
        <v>9.2401215805471226E-2</v>
      </c>
      <c r="Z888" s="885">
        <f t="shared" si="1383"/>
        <v>7.4781195298824654E-2</v>
      </c>
      <c r="AA888" s="1640">
        <f t="shared" si="1383"/>
        <v>9.3408845337009661E-2</v>
      </c>
      <c r="AB888" s="1640">
        <f t="shared" si="1383"/>
        <v>9.3408845337009661E-2</v>
      </c>
      <c r="AC888" s="885">
        <f t="shared" si="1383"/>
        <v>8.1289087118824765E-2</v>
      </c>
      <c r="AD888" s="885">
        <f t="shared" si="1383"/>
        <v>8.0169076119774196E-2</v>
      </c>
      <c r="AE888" s="885">
        <f t="shared" si="1383"/>
        <v>8.3142355254126832E-2</v>
      </c>
      <c r="AF888" s="1640">
        <f t="shared" si="1383"/>
        <v>8.0681069538153904E-2</v>
      </c>
      <c r="AG888" s="1640">
        <f t="shared" si="1383"/>
        <v>8.0681069538153904E-2</v>
      </c>
      <c r="AH888" s="885">
        <f t="shared" si="1383"/>
        <v>9.378467746455188E-2</v>
      </c>
      <c r="AI888" s="885">
        <f t="shared" si="1383"/>
        <v>8.6999890386934231E-2</v>
      </c>
      <c r="AJ888" s="885">
        <f t="shared" si="1383"/>
        <v>9.1420715727971835E-2</v>
      </c>
      <c r="AK888" s="1640">
        <f t="shared" si="1383"/>
        <v>8.9299040371658922E-2</v>
      </c>
      <c r="AL888" s="1640">
        <f t="shared" si="1383"/>
        <v>8.9299040371658922E-2</v>
      </c>
      <c r="AM888" s="885">
        <f t="shared" si="1383"/>
        <v>8.6973007316923256E-2</v>
      </c>
      <c r="AN888" s="885">
        <f t="shared" si="1383"/>
        <v>9.2319017415067428E-2</v>
      </c>
      <c r="AO888" s="885">
        <f t="shared" si="1383"/>
        <v>9.3209998031883456E-2</v>
      </c>
      <c r="AP888" s="1640">
        <f t="shared" si="1383"/>
        <v>0.11144668409930825</v>
      </c>
      <c r="AQ888" s="1640">
        <f t="shared" si="1383"/>
        <v>0.11144668409930825</v>
      </c>
      <c r="AR888" s="885">
        <f t="shared" si="1383"/>
        <v>0.10207506434490754</v>
      </c>
      <c r="AS888" s="885">
        <f t="shared" si="1383"/>
        <v>0.11288565573013787</v>
      </c>
      <c r="AT888" s="885">
        <f t="shared" ref="AT888:BV888" si="1384">+AT887/AO887-1</f>
        <v>0.10031325387966739</v>
      </c>
      <c r="AU888" s="1640">
        <f t="shared" si="1384"/>
        <v>9.8743781850382462E-2</v>
      </c>
      <c r="AV888" s="1640">
        <f t="shared" si="1384"/>
        <v>9.8743781850382462E-2</v>
      </c>
      <c r="AW888" s="885">
        <f t="shared" si="1384"/>
        <v>0.10453736654804269</v>
      </c>
      <c r="AX888" s="885">
        <f t="shared" si="1384"/>
        <v>9.6615512235586953E-2</v>
      </c>
      <c r="AY888" s="885">
        <f t="shared" si="1384"/>
        <v>0.12146176249222806</v>
      </c>
      <c r="AZ888" s="1640">
        <f t="shared" si="1384"/>
        <v>0.10675484548952685</v>
      </c>
      <c r="BA888" s="1640">
        <f t="shared" si="1384"/>
        <v>0.10675484548952685</v>
      </c>
      <c r="BB888" s="885">
        <f t="shared" si="1384"/>
        <v>0.101877381579355</v>
      </c>
      <c r="BC888" s="885">
        <f t="shared" si="1384"/>
        <v>8.7520896843347407E-2</v>
      </c>
      <c r="BD888" s="885">
        <f t="shared" si="1384"/>
        <v>5.8344214818759399E-2</v>
      </c>
      <c r="BE888" s="1640">
        <f t="shared" si="1384"/>
        <v>4.9124735850134327E-2</v>
      </c>
      <c r="BF888" s="1640">
        <f t="shared" si="1384"/>
        <v>4.9124735850134327E-2</v>
      </c>
      <c r="BG888" s="885">
        <f t="shared" si="1384"/>
        <v>3.5664581429675879E-2</v>
      </c>
      <c r="BH888" s="885">
        <f t="shared" si="1384"/>
        <v>3.1335424680211776E-2</v>
      </c>
      <c r="BI888" s="885">
        <f t="shared" si="1384"/>
        <v>2.6192265010580362E-2</v>
      </c>
      <c r="BJ888" s="1640">
        <f t="shared" si="1384"/>
        <v>2.0938667465107974E-2</v>
      </c>
      <c r="BK888" s="1640">
        <f t="shared" si="1384"/>
        <v>2.0938667465107974E-2</v>
      </c>
      <c r="BL888" s="885">
        <f t="shared" si="1384"/>
        <v>2.2532305353458515E-2</v>
      </c>
      <c r="BM888" s="885">
        <f t="shared" si="1384"/>
        <v>2.5048559404337922E-2</v>
      </c>
      <c r="BN888" s="885">
        <f t="shared" si="1384"/>
        <v>3.043370208421492E-2</v>
      </c>
      <c r="BO888" s="1640">
        <f t="shared" si="1384"/>
        <v>3.166033459974682E-2</v>
      </c>
      <c r="BP888" s="1640">
        <f t="shared" si="1384"/>
        <v>3.166033459974682E-2</v>
      </c>
      <c r="BQ888" s="885">
        <f t="shared" si="1384"/>
        <v>3.6923219879997804E-2</v>
      </c>
      <c r="BR888" s="885">
        <f t="shared" si="1384"/>
        <v>4.797152369297164E-2</v>
      </c>
      <c r="BS888" s="885">
        <f t="shared" si="1384"/>
        <v>5.2948921857481901E-2</v>
      </c>
      <c r="BT888" s="1640">
        <f>+BT887/BO887-1</f>
        <v>6.0873497867941495E-2</v>
      </c>
      <c r="BU888" s="1640">
        <f>+BU887/BP887-1</f>
        <v>6.0873497867941495E-2</v>
      </c>
      <c r="BV888" s="885">
        <f t="shared" si="1384"/>
        <v>5.863263072324254E-2</v>
      </c>
      <c r="BW888" s="885">
        <f t="shared" ref="BW888:CF888" si="1385">+BW887/BR887-1</f>
        <v>5.0051168718647343E-2</v>
      </c>
      <c r="BX888" s="885">
        <f t="shared" si="1385"/>
        <v>5.6996935648621072E-2</v>
      </c>
      <c r="BY888" s="1640">
        <f t="shared" si="1385"/>
        <v>5.3361104006041327E-2</v>
      </c>
      <c r="BZ888" s="1640">
        <f t="shared" si="1385"/>
        <v>5.3361104006041327E-2</v>
      </c>
      <c r="CA888" s="885">
        <f t="shared" si="1385"/>
        <v>0.10079389552987839</v>
      </c>
      <c r="CB888" s="885">
        <f t="shared" si="1385"/>
        <v>0.1006941745541079</v>
      </c>
      <c r="CC888" s="885">
        <f t="shared" si="1385"/>
        <v>0.10347776176921908</v>
      </c>
      <c r="CD888" s="1640">
        <f t="shared" si="1385"/>
        <v>0.10098633241599408</v>
      </c>
      <c r="CE888" s="1640">
        <f t="shared" si="1385"/>
        <v>0.10098633241599408</v>
      </c>
      <c r="CF888" s="885">
        <f t="shared" si="1385"/>
        <v>6.2376069033324821E-2</v>
      </c>
      <c r="CG888" s="885">
        <f t="shared" ref="CG888:CO888" si="1386">+CG887/CB887-1</f>
        <v>6.8281818675647754E-2</v>
      </c>
      <c r="CH888" s="885">
        <f t="shared" si="1386"/>
        <v>6.3467968791465434E-2</v>
      </c>
      <c r="CI888" s="1640">
        <f t="shared" si="1386"/>
        <v>0.27678791793352975</v>
      </c>
      <c r="CJ888" s="1640">
        <f t="shared" si="1386"/>
        <v>0.27678791793352975</v>
      </c>
      <c r="CK888" s="3530">
        <f t="shared" si="1386"/>
        <v>0.28185799299943648</v>
      </c>
      <c r="CL888" s="885">
        <f t="shared" si="1386"/>
        <v>0.28818773517746354</v>
      </c>
      <c r="CM888" s="885">
        <f t="shared" si="1386"/>
        <v>0.29022598418909218</v>
      </c>
      <c r="CN888" s="885">
        <f t="shared" si="1386"/>
        <v>9.0959940774862247E-2</v>
      </c>
      <c r="CO888" s="1044">
        <f t="shared" si="1386"/>
        <v>9.0959940774862247E-2</v>
      </c>
      <c r="CP888" s="3670">
        <v>0.08</v>
      </c>
      <c r="CQ888" s="3671">
        <v>0.08</v>
      </c>
      <c r="CR888" s="3671">
        <v>0.08</v>
      </c>
      <c r="CS888" s="3672">
        <v>0.08</v>
      </c>
      <c r="CT888" s="1640">
        <f>+CT887/CO887-1</f>
        <v>7.8942719486081225E-2</v>
      </c>
      <c r="CU888" s="1549">
        <v>7.4999999999999997E-2</v>
      </c>
      <c r="CV888" s="1549">
        <v>0.04</v>
      </c>
      <c r="CW888" s="2702"/>
      <c r="CX888" s="2702"/>
      <c r="CY888" s="2702"/>
      <c r="CZ888" s="2702"/>
      <c r="DA888" s="2702"/>
      <c r="DB888" s="217"/>
      <c r="DF888" s="11"/>
      <c r="DG888" s="11"/>
      <c r="DH888" s="11"/>
      <c r="DI888" s="11"/>
      <c r="DJ888" s="11"/>
      <c r="DK888" s="11"/>
      <c r="DL888" s="11"/>
      <c r="DM888" s="11"/>
      <c r="DN888" s="11"/>
      <c r="DO888" s="11"/>
      <c r="DP888" s="11"/>
      <c r="DQ888" s="11"/>
      <c r="DR888" s="11"/>
      <c r="DS888" s="11"/>
      <c r="DT888" s="11"/>
      <c r="DU888" s="11"/>
      <c r="DV888" s="11"/>
      <c r="DW888" s="11"/>
      <c r="DX888" s="11"/>
      <c r="DY888" s="11"/>
      <c r="DZ888" s="11"/>
      <c r="EA888" s="11"/>
      <c r="EB888" s="11"/>
      <c r="EC888" s="11"/>
      <c r="ED888" s="11"/>
      <c r="EE888" s="11"/>
      <c r="EF888" s="11"/>
      <c r="EG888" s="11"/>
      <c r="EH888" s="11"/>
      <c r="EI888" s="11"/>
      <c r="EJ888" s="11"/>
      <c r="EK888" s="11"/>
      <c r="EL888" s="11"/>
      <c r="EM888" s="11"/>
      <c r="EN888" s="11"/>
      <c r="EO888" s="11"/>
      <c r="EP888" s="11"/>
      <c r="EQ888" s="11"/>
      <c r="ER888" s="11"/>
      <c r="ES888" s="11"/>
      <c r="ET888" s="11"/>
      <c r="EU888" s="11"/>
      <c r="EV888" s="11"/>
      <c r="EW888" s="11"/>
      <c r="EX888" s="11"/>
      <c r="EY888" s="11"/>
      <c r="EZ888" s="11"/>
      <c r="FA888" s="11"/>
      <c r="FB888" s="11"/>
      <c r="FC888" s="11"/>
      <c r="FD888" s="11"/>
      <c r="FE888" s="11"/>
      <c r="FF888" s="11"/>
      <c r="FG888" s="11"/>
      <c r="FH888" s="11"/>
      <c r="FI888" s="11"/>
      <c r="FJ888" s="11"/>
      <c r="FK888" s="11"/>
      <c r="FL888" s="11"/>
      <c r="FM888" s="11"/>
      <c r="FN888" s="11"/>
      <c r="FO888" s="11"/>
      <c r="FP888" s="11"/>
      <c r="FQ888" s="11"/>
      <c r="FR888" s="11"/>
      <c r="FS888" s="11"/>
      <c r="FT888" s="11"/>
      <c r="FU888" s="11"/>
      <c r="FV888" s="11"/>
      <c r="FW888" s="11"/>
      <c r="FX888" s="11"/>
      <c r="FY888" s="11"/>
      <c r="FZ888" s="11"/>
      <c r="GA888" s="11"/>
      <c r="GB888" s="11"/>
      <c r="GC888" s="11"/>
      <c r="GD888" s="11"/>
      <c r="GE888" s="11"/>
      <c r="GF888" s="11"/>
      <c r="GG888" s="11"/>
      <c r="GH888" s="11"/>
      <c r="GI888" s="11"/>
      <c r="GJ888" s="11"/>
      <c r="GK888" s="11"/>
      <c r="GL888" s="11"/>
      <c r="GM888" s="11"/>
      <c r="GN888" s="11"/>
      <c r="GO888" s="11"/>
      <c r="GP888" s="11"/>
      <c r="GQ888" s="11"/>
      <c r="GR888" s="11"/>
      <c r="GS888" s="11"/>
      <c r="GT888" s="11"/>
      <c r="GU888" s="11"/>
      <c r="GV888" s="11"/>
      <c r="GW888" s="11"/>
      <c r="GX888" s="11"/>
      <c r="GY888" s="11"/>
      <c r="GZ888" s="11"/>
      <c r="HA888" s="11"/>
      <c r="HB888" s="11"/>
      <c r="HC888" s="11"/>
      <c r="HD888" s="11"/>
      <c r="HE888" s="11"/>
      <c r="HF888" s="11"/>
      <c r="HG888" s="11"/>
      <c r="HH888" s="11"/>
      <c r="HI888" s="11"/>
      <c r="HJ888" s="11"/>
      <c r="HK888" s="11"/>
      <c r="HL888" s="11"/>
      <c r="HM888" s="11"/>
      <c r="HN888" s="11"/>
      <c r="HO888" s="11"/>
      <c r="HP888" s="11"/>
      <c r="HQ888" s="11"/>
      <c r="HR888" s="11"/>
      <c r="HS888" s="11"/>
      <c r="HT888" s="11"/>
      <c r="HU888" s="11"/>
      <c r="HV888" s="11"/>
      <c r="HW888" s="11"/>
      <c r="HX888" s="11"/>
      <c r="HY888" s="11"/>
      <c r="HZ888" s="11"/>
      <c r="IA888" s="11"/>
      <c r="IB888" s="11"/>
      <c r="IC888" s="11"/>
      <c r="ID888" s="11"/>
      <c r="IE888" s="11"/>
      <c r="IF888" s="11"/>
      <c r="IG888" s="11"/>
      <c r="IH888" s="11"/>
      <c r="II888" s="11"/>
      <c r="IJ888" s="11"/>
      <c r="IK888" s="11"/>
      <c r="IL888" s="11"/>
      <c r="IM888" s="11"/>
      <c r="IN888" s="11"/>
      <c r="IO888" s="11"/>
      <c r="IP888" s="11"/>
      <c r="IQ888" s="11"/>
      <c r="IR888" s="11"/>
      <c r="IS888" s="11"/>
      <c r="IT888" s="11"/>
      <c r="IU888" s="11"/>
      <c r="IV888" s="11"/>
    </row>
    <row r="889" spans="1:256" x14ac:dyDescent="0.2">
      <c r="A889" s="2389" t="s">
        <v>653</v>
      </c>
      <c r="B889" s="1193"/>
      <c r="C889" s="1193"/>
      <c r="D889" s="1193"/>
      <c r="E889" s="1193"/>
      <c r="F889" s="1193"/>
      <c r="G889" s="1193"/>
      <c r="H889" s="1946"/>
      <c r="I889" s="243"/>
      <c r="J889" s="243"/>
      <c r="K889" s="243"/>
      <c r="L889" s="2011"/>
      <c r="M889" s="2011"/>
      <c r="N889" s="885"/>
      <c r="O889" s="885"/>
      <c r="P889" s="885"/>
      <c r="Q889" s="1640"/>
      <c r="R889" s="1640"/>
      <c r="S889" s="885"/>
      <c r="T889" s="885"/>
      <c r="U889" s="885"/>
      <c r="V889" s="1640"/>
      <c r="W889" s="1640"/>
      <c r="X889" s="885"/>
      <c r="Y889" s="885"/>
      <c r="Z889" s="885"/>
      <c r="AA889" s="1640"/>
      <c r="AB889" s="1640"/>
      <c r="AC889" s="885"/>
      <c r="AD889" s="885"/>
      <c r="AE889" s="885"/>
      <c r="AF889" s="1640"/>
      <c r="AG889" s="1640"/>
      <c r="AH889" s="885"/>
      <c r="AI889" s="885"/>
      <c r="AJ889" s="885"/>
      <c r="AK889" s="1640"/>
      <c r="AL889" s="1640"/>
      <c r="AM889" s="885"/>
      <c r="AN889" s="885"/>
      <c r="AO889" s="885"/>
      <c r="AP889" s="1640"/>
      <c r="AQ889" s="1640"/>
      <c r="AR889" s="885"/>
      <c r="AS889" s="885"/>
      <c r="AT889" s="885"/>
      <c r="AU889" s="1640"/>
      <c r="AV889" s="1640"/>
      <c r="AW889" s="885"/>
      <c r="AX889" s="885"/>
      <c r="AY889" s="885"/>
      <c r="AZ889" s="1640"/>
      <c r="BA889" s="1640"/>
      <c r="BB889" s="885">
        <f>+BB887/BA887-1</f>
        <v>1.5691929864640963E-2</v>
      </c>
      <c r="BC889" s="885">
        <f>+BC887/BB887-1</f>
        <v>1.0522246432838944E-2</v>
      </c>
      <c r="BD889" s="885">
        <f>+BD887/BC887-1</f>
        <v>9.1397886858597399E-3</v>
      </c>
      <c r="BE889" s="1640">
        <f>+BE887/BD887-1</f>
        <v>1.290313686837008E-2</v>
      </c>
      <c r="BF889" s="1640"/>
      <c r="BG889" s="885">
        <f>+BG887/BF887-1</f>
        <v>2.6607146502624079E-3</v>
      </c>
      <c r="BH889" s="885">
        <f>+BH887/BG887-1</f>
        <v>6.2981865566293926E-3</v>
      </c>
      <c r="BI889" s="885">
        <f>+BI887/BH887-1</f>
        <v>4.1073162835869592E-3</v>
      </c>
      <c r="BJ889" s="1640">
        <f>+BJ887/BI887-1</f>
        <v>7.7175730952909749E-3</v>
      </c>
      <c r="BK889" s="1640"/>
      <c r="BL889" s="885">
        <f>+BL887/BK887-1</f>
        <v>4.2258215023662782E-3</v>
      </c>
      <c r="BM889" s="885">
        <f>+BM887/BL887-1</f>
        <v>8.7744915839218507E-3</v>
      </c>
      <c r="BN889" s="885">
        <f>+BN887/BM887-1</f>
        <v>9.382443119761108E-3</v>
      </c>
      <c r="BO889" s="1640">
        <f>+BO887/BN887-1</f>
        <v>8.9171642374781257E-3</v>
      </c>
      <c r="BP889" s="1640"/>
      <c r="BQ889" s="885">
        <f>+BQ887/BP887-1</f>
        <v>9.3487530688718401E-3</v>
      </c>
      <c r="BR889" s="885">
        <f>+BR887/BQ887-1</f>
        <v>1.9522873767018556E-2</v>
      </c>
      <c r="BS889" s="885">
        <f>+BS887/BR887-1</f>
        <v>1.4176560332000321E-2</v>
      </c>
      <c r="BT889" s="1640">
        <f>+BT887/BS887-1</f>
        <v>1.6510353793295574E-2</v>
      </c>
      <c r="BU889" s="1640"/>
      <c r="BV889" s="885">
        <f>+BV887/BU887-1</f>
        <v>7.2167208681990225E-3</v>
      </c>
      <c r="BW889" s="885">
        <f>+BW887/BV887-1</f>
        <v>1.1258442320134066E-2</v>
      </c>
      <c r="BX889" s="885">
        <f>+BX887/BW887-1</f>
        <v>2.0885027713170246E-2</v>
      </c>
      <c r="BY889" s="1640">
        <f>+BY887/BX887-1</f>
        <v>1.3013786883133704E-2</v>
      </c>
      <c r="BZ889" s="1640"/>
      <c r="CA889" s="885">
        <f>+CA887/BZ887-1</f>
        <v>5.2571633403482698E-2</v>
      </c>
      <c r="CB889" s="885">
        <f>+CB887/CA887-1</f>
        <v>1.1166832365687718E-2</v>
      </c>
      <c r="CC889" s="885">
        <f>+CC887/CB887-1</f>
        <v>2.3466782552012511E-2</v>
      </c>
      <c r="CD889" s="885">
        <f>+CD887/CC887-1</f>
        <v>1.0726606868000532E-2</v>
      </c>
      <c r="CE889" s="1044"/>
      <c r="CF889" s="885">
        <f>+CF887/CE887-1</f>
        <v>1.5659215148793981E-2</v>
      </c>
      <c r="CG889" s="885">
        <f>+CG887/CF887-1</f>
        <v>1.678790980957845E-2</v>
      </c>
      <c r="CH889" s="885">
        <f>+CH887/CG887-1</f>
        <v>1.885487643648931E-2</v>
      </c>
      <c r="CI889" s="885">
        <f>+CI887/CH887-1</f>
        <v>0.21346722031462106</v>
      </c>
      <c r="CJ889" s="1044"/>
      <c r="CK889" s="3530">
        <f>+CK887/CJ887-1</f>
        <v>1.9692358312083602E-2</v>
      </c>
      <c r="CL889" s="885">
        <f>+CL887/CK887-1</f>
        <v>2.1808750927688747E-2</v>
      </c>
      <c r="CM889" s="885">
        <f>+CM887/CL887-1</f>
        <v>2.0466970612035507E-2</v>
      </c>
      <c r="CN889" s="885">
        <f>+CN887/CM887-1</f>
        <v>2.6056011140337398E-2</v>
      </c>
      <c r="CO889" s="1044"/>
      <c r="CP889" s="3530"/>
      <c r="CQ889" s="885"/>
      <c r="CR889" s="886"/>
      <c r="CS889" s="1549"/>
      <c r="CT889" s="1640"/>
      <c r="CU889" s="1640"/>
      <c r="CV889" s="1640"/>
      <c r="CW889" s="2702"/>
      <c r="CX889" s="2702"/>
      <c r="CY889" s="2702"/>
      <c r="CZ889" s="2702"/>
      <c r="DA889" s="2702"/>
      <c r="DB889" s="217"/>
      <c r="DF889" s="11"/>
      <c r="DG889" s="11"/>
      <c r="DH889" s="11"/>
      <c r="DI889" s="11"/>
      <c r="DJ889" s="11"/>
      <c r="DK889" s="11"/>
      <c r="DL889" s="11"/>
      <c r="DM889" s="11"/>
      <c r="DN889" s="11"/>
      <c r="DO889" s="11"/>
      <c r="DP889" s="11"/>
      <c r="DQ889" s="11"/>
      <c r="DR889" s="11"/>
      <c r="DS889" s="11"/>
      <c r="DT889" s="11"/>
      <c r="DU889" s="11"/>
      <c r="DV889" s="11"/>
      <c r="DW889" s="11"/>
      <c r="DX889" s="11"/>
      <c r="DY889" s="11"/>
      <c r="DZ889" s="11"/>
      <c r="EA889" s="11"/>
      <c r="EB889" s="11"/>
      <c r="EC889" s="11"/>
      <c r="ED889" s="11"/>
      <c r="EE889" s="11"/>
      <c r="EF889" s="11"/>
      <c r="EG889" s="11"/>
      <c r="EH889" s="11"/>
      <c r="EI889" s="11"/>
      <c r="EJ889" s="11"/>
      <c r="EK889" s="11"/>
      <c r="EL889" s="11"/>
      <c r="EM889" s="11"/>
      <c r="EN889" s="11"/>
      <c r="EO889" s="11"/>
      <c r="EP889" s="11"/>
      <c r="EQ889" s="11"/>
      <c r="ER889" s="11"/>
      <c r="ES889" s="11"/>
      <c r="ET889" s="11"/>
      <c r="EU889" s="11"/>
      <c r="EV889" s="11"/>
      <c r="EW889" s="11"/>
      <c r="EX889" s="11"/>
      <c r="EY889" s="11"/>
      <c r="EZ889" s="11"/>
      <c r="FA889" s="11"/>
      <c r="FB889" s="11"/>
      <c r="FC889" s="11"/>
      <c r="FD889" s="11"/>
      <c r="FE889" s="11"/>
      <c r="FF889" s="11"/>
      <c r="FG889" s="11"/>
      <c r="FH889" s="11"/>
      <c r="FI889" s="11"/>
      <c r="FJ889" s="11"/>
      <c r="FK889" s="11"/>
      <c r="FL889" s="11"/>
      <c r="FM889" s="11"/>
      <c r="FN889" s="11"/>
      <c r="FO889" s="11"/>
      <c r="FP889" s="11"/>
      <c r="FQ889" s="11"/>
      <c r="FR889" s="11"/>
      <c r="FS889" s="11"/>
      <c r="FT889" s="11"/>
      <c r="FU889" s="11"/>
      <c r="FV889" s="11"/>
      <c r="FW889" s="11"/>
      <c r="FX889" s="11"/>
      <c r="FY889" s="11"/>
      <c r="FZ889" s="11"/>
      <c r="GA889" s="11"/>
      <c r="GB889" s="11"/>
      <c r="GC889" s="11"/>
      <c r="GD889" s="11"/>
      <c r="GE889" s="11"/>
      <c r="GF889" s="11"/>
      <c r="GG889" s="11"/>
      <c r="GH889" s="11"/>
      <c r="GI889" s="11"/>
      <c r="GJ889" s="11"/>
      <c r="GK889" s="11"/>
      <c r="GL889" s="11"/>
      <c r="GM889" s="11"/>
      <c r="GN889" s="11"/>
      <c r="GO889" s="11"/>
      <c r="GP889" s="11"/>
      <c r="GQ889" s="11"/>
      <c r="GR889" s="11"/>
      <c r="GS889" s="11"/>
      <c r="GT889" s="11"/>
      <c r="GU889" s="11"/>
      <c r="GV889" s="11"/>
      <c r="GW889" s="11"/>
      <c r="GX889" s="11"/>
      <c r="GY889" s="11"/>
      <c r="GZ889" s="11"/>
      <c r="HA889" s="11"/>
      <c r="HB889" s="11"/>
      <c r="HC889" s="11"/>
      <c r="HD889" s="11"/>
      <c r="HE889" s="11"/>
      <c r="HF889" s="11"/>
      <c r="HG889" s="11"/>
      <c r="HH889" s="11"/>
      <c r="HI889" s="11"/>
      <c r="HJ889" s="11"/>
      <c r="HK889" s="11"/>
      <c r="HL889" s="11"/>
      <c r="HM889" s="11"/>
      <c r="HN889" s="11"/>
      <c r="HO889" s="11"/>
      <c r="HP889" s="11"/>
      <c r="HQ889" s="11"/>
      <c r="HR889" s="11"/>
      <c r="HS889" s="11"/>
      <c r="HT889" s="11"/>
      <c r="HU889" s="11"/>
      <c r="HV889" s="11"/>
      <c r="HW889" s="11"/>
      <c r="HX889" s="11"/>
      <c r="HY889" s="11"/>
      <c r="HZ889" s="11"/>
      <c r="IA889" s="11"/>
      <c r="IB889" s="11"/>
      <c r="IC889" s="11"/>
      <c r="ID889" s="11"/>
      <c r="IE889" s="11"/>
      <c r="IF889" s="11"/>
      <c r="IG889" s="11"/>
      <c r="IH889" s="11"/>
      <c r="II889" s="11"/>
      <c r="IJ889" s="11"/>
      <c r="IK889" s="11"/>
      <c r="IL889" s="11"/>
      <c r="IM889" s="11"/>
      <c r="IN889" s="11"/>
      <c r="IO889" s="11"/>
      <c r="IP889" s="11"/>
      <c r="IQ889" s="11"/>
      <c r="IR889" s="11"/>
      <c r="IS889" s="11"/>
      <c r="IT889" s="11"/>
      <c r="IU889" s="11"/>
      <c r="IV889" s="11"/>
    </row>
    <row r="890" spans="1:256" s="11" customFormat="1" x14ac:dyDescent="0.2">
      <c r="A890" s="1142" t="s">
        <v>1255</v>
      </c>
      <c r="B890" s="212"/>
      <c r="C890" s="212"/>
      <c r="D890" s="212"/>
      <c r="E890" s="212"/>
      <c r="F890" s="212"/>
      <c r="G890" s="212"/>
      <c r="H890" s="194"/>
      <c r="I890" s="758">
        <f t="shared" ref="I890:AN890" si="1387">I508+I507</f>
        <v>40296</v>
      </c>
      <c r="J890" s="758">
        <f t="shared" si="1387"/>
        <v>42569</v>
      </c>
      <c r="K890" s="758">
        <f t="shared" si="1387"/>
        <v>43801</v>
      </c>
      <c r="L890" s="751">
        <f t="shared" si="1387"/>
        <v>51633</v>
      </c>
      <c r="M890" s="751">
        <f t="shared" si="1387"/>
        <v>51633</v>
      </c>
      <c r="N890" s="758">
        <f t="shared" si="1387"/>
        <v>52451</v>
      </c>
      <c r="O890" s="758">
        <f t="shared" si="1387"/>
        <v>53248</v>
      </c>
      <c r="P890" s="758">
        <f t="shared" si="1387"/>
        <v>54025</v>
      </c>
      <c r="Q890" s="751">
        <f t="shared" si="1387"/>
        <v>54363</v>
      </c>
      <c r="R890" s="751">
        <f t="shared" si="1387"/>
        <v>54363</v>
      </c>
      <c r="S890" s="758">
        <f t="shared" si="1387"/>
        <v>54931</v>
      </c>
      <c r="T890" s="758">
        <f t="shared" si="1387"/>
        <v>55931</v>
      </c>
      <c r="U890" s="758">
        <f t="shared" si="1387"/>
        <v>56566</v>
      </c>
      <c r="V890" s="751">
        <f t="shared" si="1387"/>
        <v>57157</v>
      </c>
      <c r="W890" s="751">
        <f t="shared" si="1387"/>
        <v>57157</v>
      </c>
      <c r="X890" s="758">
        <f t="shared" si="1387"/>
        <v>57507</v>
      </c>
      <c r="Y890" s="758">
        <f t="shared" si="1387"/>
        <v>56799</v>
      </c>
      <c r="Z890" s="758">
        <f t="shared" si="1387"/>
        <v>55826</v>
      </c>
      <c r="AA890" s="751">
        <f t="shared" si="1387"/>
        <v>55452</v>
      </c>
      <c r="AB890" s="751">
        <f t="shared" si="1387"/>
        <v>55452</v>
      </c>
      <c r="AC890" s="758">
        <f t="shared" si="1387"/>
        <v>54688</v>
      </c>
      <c r="AD890" s="758">
        <f t="shared" si="1387"/>
        <v>54364</v>
      </c>
      <c r="AE890" s="758">
        <f t="shared" si="1387"/>
        <v>54773</v>
      </c>
      <c r="AF890" s="751">
        <f t="shared" si="1387"/>
        <v>55228</v>
      </c>
      <c r="AG890" s="751">
        <f t="shared" si="1387"/>
        <v>55228</v>
      </c>
      <c r="AH890" s="758">
        <f t="shared" si="1387"/>
        <v>55150</v>
      </c>
      <c r="AI890" s="758">
        <f t="shared" si="1387"/>
        <v>54619</v>
      </c>
      <c r="AJ890" s="758">
        <f t="shared" si="1387"/>
        <v>54239</v>
      </c>
      <c r="AK890" s="751">
        <f t="shared" si="1387"/>
        <v>53882</v>
      </c>
      <c r="AL890" s="751">
        <f t="shared" si="1387"/>
        <v>53882</v>
      </c>
      <c r="AM890" s="758">
        <f t="shared" si="1387"/>
        <v>53076</v>
      </c>
      <c r="AN890" s="758">
        <f t="shared" si="1387"/>
        <v>53933</v>
      </c>
      <c r="AO890" s="758">
        <f t="shared" ref="AO890:BT890" si="1388">AO508+AO507</f>
        <v>55182</v>
      </c>
      <c r="AP890" s="751">
        <f t="shared" si="1388"/>
        <v>56536</v>
      </c>
      <c r="AQ890" s="751">
        <f t="shared" si="1388"/>
        <v>56536</v>
      </c>
      <c r="AR890" s="758">
        <f t="shared" si="1388"/>
        <v>56607</v>
      </c>
      <c r="AS890" s="758">
        <f t="shared" si="1388"/>
        <v>58251</v>
      </c>
      <c r="AT890" s="758">
        <f t="shared" si="1388"/>
        <v>59429</v>
      </c>
      <c r="AU890" s="751">
        <f t="shared" si="1388"/>
        <v>61490</v>
      </c>
      <c r="AV890" s="751">
        <f t="shared" si="1388"/>
        <v>61490</v>
      </c>
      <c r="AW890" s="758">
        <f t="shared" si="1388"/>
        <v>63179</v>
      </c>
      <c r="AX890" s="758">
        <f t="shared" si="1388"/>
        <v>65295</v>
      </c>
      <c r="AY890" s="758">
        <f t="shared" si="1388"/>
        <v>67740</v>
      </c>
      <c r="AZ890" s="751">
        <f t="shared" si="1388"/>
        <v>69359</v>
      </c>
      <c r="BA890" s="751">
        <f t="shared" si="1388"/>
        <v>69359</v>
      </c>
      <c r="BB890" s="758">
        <f t="shared" si="1388"/>
        <v>70994</v>
      </c>
      <c r="BC890" s="758">
        <f t="shared" si="1388"/>
        <v>72130</v>
      </c>
      <c r="BD890" s="758">
        <f t="shared" si="1388"/>
        <v>73005</v>
      </c>
      <c r="BE890" s="751">
        <f t="shared" si="1388"/>
        <v>73117</v>
      </c>
      <c r="BF890" s="751">
        <f t="shared" si="1388"/>
        <v>73117</v>
      </c>
      <c r="BG890" s="758">
        <f t="shared" si="1388"/>
        <v>73238</v>
      </c>
      <c r="BH890" s="758">
        <f t="shared" si="1388"/>
        <v>73884</v>
      </c>
      <c r="BI890" s="758">
        <f t="shared" si="1388"/>
        <v>75067</v>
      </c>
      <c r="BJ890" s="751">
        <f t="shared" si="1388"/>
        <v>76299</v>
      </c>
      <c r="BK890" s="751">
        <f t="shared" si="1388"/>
        <v>76299</v>
      </c>
      <c r="BL890" s="758">
        <f t="shared" si="1388"/>
        <v>76787</v>
      </c>
      <c r="BM890" s="758">
        <f t="shared" si="1388"/>
        <v>77714</v>
      </c>
      <c r="BN890" s="758">
        <f t="shared" si="1388"/>
        <v>78330</v>
      </c>
      <c r="BO890" s="751">
        <f t="shared" si="1388"/>
        <v>78785</v>
      </c>
      <c r="BP890" s="751">
        <f t="shared" si="1388"/>
        <v>78785</v>
      </c>
      <c r="BQ890" s="758">
        <f t="shared" si="1388"/>
        <v>79289</v>
      </c>
      <c r="BR890" s="758">
        <f t="shared" si="1388"/>
        <v>80990</v>
      </c>
      <c r="BS890" s="758">
        <f t="shared" si="1388"/>
        <v>81278</v>
      </c>
      <c r="BT890" s="751">
        <f t="shared" si="1388"/>
        <v>81323</v>
      </c>
      <c r="BU890" s="751">
        <f t="shared" ref="BU890:CA890" si="1389">BU508+BU507</f>
        <v>81323</v>
      </c>
      <c r="BV890" s="758">
        <f t="shared" si="1389"/>
        <v>81986</v>
      </c>
      <c r="BW890" s="758">
        <f t="shared" si="1389"/>
        <v>82943</v>
      </c>
      <c r="BX890" s="758">
        <f t="shared" si="1389"/>
        <v>84410</v>
      </c>
      <c r="BY890" s="751">
        <f t="shared" si="1389"/>
        <v>85392</v>
      </c>
      <c r="BZ890" s="751">
        <f t="shared" si="1389"/>
        <v>85392</v>
      </c>
      <c r="CA890" s="758">
        <f t="shared" si="1389"/>
        <v>89180</v>
      </c>
      <c r="CB890" s="758">
        <f>CB508+CB507+CB511</f>
        <v>93770</v>
      </c>
      <c r="CC890" s="758">
        <f>CC508+CC507+CC511</f>
        <v>95135</v>
      </c>
      <c r="CD890" s="751">
        <f t="shared" ref="CD890:CV890" si="1390">CD508+CD507</f>
        <v>94034</v>
      </c>
      <c r="CE890" s="751">
        <f t="shared" si="1390"/>
        <v>94034</v>
      </c>
      <c r="CF890" s="758">
        <f t="shared" si="1390"/>
        <v>95808</v>
      </c>
      <c r="CG890" s="758">
        <f t="shared" si="1390"/>
        <v>98746</v>
      </c>
      <c r="CH890" s="758">
        <f t="shared" si="1390"/>
        <v>100928</v>
      </c>
      <c r="CI890" s="758">
        <f t="shared" si="1390"/>
        <v>103512</v>
      </c>
      <c r="CJ890" s="752">
        <f t="shared" si="1390"/>
        <v>103512</v>
      </c>
      <c r="CK890" s="3533">
        <f>CK508+CK507</f>
        <v>105937</v>
      </c>
      <c r="CL890" s="758">
        <f t="shared" si="1390"/>
        <v>108213</v>
      </c>
      <c r="CM890" s="758">
        <f>CM508+CM507</f>
        <v>110909</v>
      </c>
      <c r="CN890" s="758">
        <f t="shared" si="1390"/>
        <v>113698</v>
      </c>
      <c r="CO890" s="752">
        <f t="shared" si="1390"/>
        <v>113698</v>
      </c>
      <c r="CP890" s="758">
        <f t="shared" si="1390"/>
        <v>116530.70000000001</v>
      </c>
      <c r="CQ890" s="758">
        <f t="shared" si="1390"/>
        <v>119034.30000000002</v>
      </c>
      <c r="CR890" s="758">
        <f t="shared" si="1390"/>
        <v>121999.90000000001</v>
      </c>
      <c r="CS890" s="751">
        <f t="shared" si="1390"/>
        <v>125067.80000000002</v>
      </c>
      <c r="CT890" s="751">
        <f>CT508+CT507</f>
        <v>125067.80000000002</v>
      </c>
      <c r="CU890" s="751">
        <f t="shared" si="1390"/>
        <v>134447.88500000001</v>
      </c>
      <c r="CV890" s="751">
        <f t="shared" si="1390"/>
        <v>138481.32155000002</v>
      </c>
      <c r="CW890" s="374"/>
      <c r="CX890" s="374"/>
      <c r="CY890" s="374"/>
      <c r="CZ890" s="374"/>
      <c r="DA890" s="374"/>
      <c r="DB890" s="217"/>
      <c r="DC890" s="212"/>
      <c r="DD890" s="212"/>
      <c r="DE890" s="70"/>
      <c r="DF890" s="70"/>
      <c r="DG890" s="70"/>
      <c r="DH890" s="70"/>
      <c r="DI890" s="70"/>
      <c r="DJ890" s="70"/>
      <c r="DK890" s="70"/>
      <c r="DL890" s="70"/>
      <c r="DM890" s="70"/>
      <c r="DN890" s="70"/>
      <c r="DO890" s="70"/>
      <c r="DP890" s="70"/>
      <c r="DQ890" s="70"/>
      <c r="DR890" s="70"/>
      <c r="DS890" s="70"/>
      <c r="DT890" s="70"/>
      <c r="DU890" s="70"/>
      <c r="DV890" s="70"/>
      <c r="DW890" s="70"/>
      <c r="DX890" s="70"/>
      <c r="DY890" s="70"/>
      <c r="DZ890" s="70"/>
      <c r="EA890" s="70"/>
      <c r="EB890" s="70"/>
      <c r="EC890" s="70"/>
      <c r="ED890" s="70"/>
      <c r="EE890" s="70"/>
      <c r="EF890" s="70"/>
      <c r="EG890" s="70"/>
      <c r="EH890" s="70"/>
      <c r="EI890" s="70"/>
      <c r="EJ890" s="70"/>
      <c r="EK890" s="70"/>
      <c r="EL890" s="70"/>
      <c r="EM890" s="70"/>
      <c r="EN890" s="70"/>
      <c r="EO890" s="70"/>
      <c r="EP890" s="70"/>
      <c r="EQ890" s="70"/>
      <c r="ER890" s="70"/>
      <c r="ES890" s="70"/>
      <c r="ET890" s="70"/>
      <c r="EU890" s="70"/>
      <c r="EV890" s="70"/>
      <c r="EW890" s="70"/>
      <c r="EX890" s="70"/>
      <c r="EY890" s="70"/>
      <c r="EZ890" s="70"/>
      <c r="FA890" s="70"/>
      <c r="FB890" s="70"/>
      <c r="FC890" s="70"/>
      <c r="FD890" s="70"/>
      <c r="FE890" s="70"/>
      <c r="FF890" s="70"/>
      <c r="FG890" s="70"/>
      <c r="FH890" s="70"/>
      <c r="FI890" s="70"/>
      <c r="FJ890" s="70"/>
      <c r="FK890" s="70"/>
      <c r="FL890" s="70"/>
      <c r="FM890" s="70"/>
      <c r="FN890" s="70"/>
      <c r="FO890" s="70"/>
      <c r="FP890" s="70"/>
      <c r="FQ890" s="70"/>
      <c r="FR890" s="70"/>
      <c r="FS890" s="70"/>
      <c r="FT890" s="70"/>
      <c r="FU890" s="70"/>
      <c r="FV890" s="70"/>
      <c r="FW890" s="70"/>
      <c r="FX890" s="70"/>
      <c r="FY890" s="70"/>
      <c r="FZ890" s="70"/>
      <c r="GA890" s="70"/>
      <c r="GB890" s="70"/>
      <c r="GC890" s="70"/>
      <c r="GD890" s="70"/>
      <c r="GE890" s="70"/>
      <c r="GF890" s="70"/>
      <c r="GG890" s="70"/>
      <c r="GH890" s="70"/>
      <c r="GI890" s="70"/>
      <c r="GJ890" s="70"/>
      <c r="GK890" s="70"/>
      <c r="GL890" s="70"/>
      <c r="GM890" s="70"/>
      <c r="GN890" s="70"/>
      <c r="GO890" s="70"/>
      <c r="GP890" s="70"/>
      <c r="GQ890" s="70"/>
      <c r="GR890" s="70"/>
      <c r="GS890" s="70"/>
      <c r="GT890" s="70"/>
      <c r="GU890" s="70"/>
      <c r="GV890" s="70"/>
      <c r="GW890" s="70"/>
      <c r="GX890" s="70"/>
      <c r="GY890" s="70"/>
      <c r="GZ890" s="70"/>
      <c r="HA890" s="70"/>
      <c r="HB890" s="70"/>
      <c r="HC890" s="70"/>
      <c r="HD890" s="70"/>
      <c r="HE890" s="70"/>
      <c r="HF890" s="70"/>
      <c r="HG890" s="70"/>
      <c r="HH890" s="70"/>
      <c r="HI890" s="70"/>
      <c r="HJ890" s="70"/>
      <c r="HK890" s="70"/>
      <c r="HL890" s="70"/>
      <c r="HM890" s="70"/>
      <c r="HN890" s="70"/>
      <c r="HO890" s="70"/>
      <c r="HP890" s="70"/>
      <c r="HQ890" s="70"/>
      <c r="HR890" s="70"/>
      <c r="HS890" s="70"/>
      <c r="HT890" s="70"/>
      <c r="HU890" s="70"/>
      <c r="HV890" s="70"/>
      <c r="HW890" s="70"/>
      <c r="HX890" s="70"/>
      <c r="HY890" s="70"/>
      <c r="HZ890" s="70"/>
      <c r="IA890" s="70"/>
      <c r="IB890" s="70"/>
      <c r="IC890" s="70"/>
      <c r="ID890" s="70"/>
      <c r="IE890" s="70"/>
      <c r="IF890" s="70"/>
      <c r="IG890" s="70"/>
      <c r="IH890" s="70"/>
      <c r="II890" s="70"/>
      <c r="IJ890" s="70"/>
      <c r="IK890" s="70"/>
      <c r="IL890" s="70"/>
      <c r="IM890" s="70"/>
      <c r="IN890" s="70"/>
      <c r="IO890" s="70"/>
      <c r="IP890" s="70"/>
      <c r="IQ890" s="70"/>
      <c r="IR890" s="70"/>
      <c r="IS890" s="70"/>
      <c r="IT890" s="70"/>
      <c r="IU890" s="70"/>
      <c r="IV890" s="70"/>
    </row>
    <row r="891" spans="1:256" s="11" customFormat="1" x14ac:dyDescent="0.2">
      <c r="A891" s="2389" t="s">
        <v>652</v>
      </c>
      <c r="B891" s="1193"/>
      <c r="C891" s="1193"/>
      <c r="D891" s="1193"/>
      <c r="E891" s="1193"/>
      <c r="F891" s="1193"/>
      <c r="G891" s="1193"/>
      <c r="H891" s="1946"/>
      <c r="I891" s="243"/>
      <c r="J891" s="243"/>
      <c r="K891" s="243"/>
      <c r="L891" s="243"/>
      <c r="M891" s="2012"/>
      <c r="N891" s="885">
        <f t="shared" ref="N891:AS891" si="1391">+N890/I890-1</f>
        <v>0.30164284296208055</v>
      </c>
      <c r="O891" s="885">
        <f t="shared" si="1391"/>
        <v>0.25086330428245907</v>
      </c>
      <c r="P891" s="885">
        <f t="shared" si="1391"/>
        <v>0.23341932832583723</v>
      </c>
      <c r="Q891" s="1640">
        <f t="shared" si="1391"/>
        <v>5.2873162512346861E-2</v>
      </c>
      <c r="R891" s="1640">
        <f t="shared" si="1391"/>
        <v>5.2873162512346861E-2</v>
      </c>
      <c r="S891" s="885">
        <f t="shared" si="1391"/>
        <v>4.7282225315055992E-2</v>
      </c>
      <c r="T891" s="885">
        <f t="shared" si="1391"/>
        <v>5.0386868990384581E-2</v>
      </c>
      <c r="U891" s="885">
        <f t="shared" si="1391"/>
        <v>4.7033780657103286E-2</v>
      </c>
      <c r="V891" s="1640">
        <f t="shared" si="1391"/>
        <v>5.1395250446075513E-2</v>
      </c>
      <c r="W891" s="1640">
        <f t="shared" si="1391"/>
        <v>5.1395250446075513E-2</v>
      </c>
      <c r="X891" s="885">
        <f t="shared" si="1391"/>
        <v>4.6895195791083255E-2</v>
      </c>
      <c r="Y891" s="885">
        <f t="shared" si="1391"/>
        <v>1.5519121775044331E-2</v>
      </c>
      <c r="Z891" s="885">
        <f t="shared" si="1391"/>
        <v>-1.3082063430329138E-2</v>
      </c>
      <c r="AA891" s="885">
        <f t="shared" si="1391"/>
        <v>-2.9830117046031113E-2</v>
      </c>
      <c r="AB891" s="1044">
        <f t="shared" si="1391"/>
        <v>-2.9830117046031113E-2</v>
      </c>
      <c r="AC891" s="885">
        <f t="shared" si="1391"/>
        <v>-4.9020119289825637E-2</v>
      </c>
      <c r="AD891" s="885">
        <f t="shared" si="1391"/>
        <v>-4.2870473071708992E-2</v>
      </c>
      <c r="AE891" s="885">
        <f t="shared" si="1391"/>
        <v>-1.8862178913051308E-2</v>
      </c>
      <c r="AF891" s="1640">
        <f t="shared" si="1391"/>
        <v>-4.0395296833297678E-3</v>
      </c>
      <c r="AG891" s="1640">
        <f t="shared" si="1391"/>
        <v>-4.0395296833297678E-3</v>
      </c>
      <c r="AH891" s="885">
        <f t="shared" si="1391"/>
        <v>8.4479227618490249E-3</v>
      </c>
      <c r="AI891" s="885">
        <f t="shared" si="1391"/>
        <v>4.6906040762269008E-3</v>
      </c>
      <c r="AJ891" s="885">
        <f t="shared" si="1391"/>
        <v>-9.7493290489839568E-3</v>
      </c>
      <c r="AK891" s="885">
        <f t="shared" si="1391"/>
        <v>-2.4371695516766878E-2</v>
      </c>
      <c r="AL891" s="1044">
        <f t="shared" si="1391"/>
        <v>-2.4371695516766878E-2</v>
      </c>
      <c r="AM891" s="885">
        <f t="shared" si="1391"/>
        <v>-3.7606527651858568E-2</v>
      </c>
      <c r="AN891" s="885">
        <f t="shared" si="1391"/>
        <v>-1.2559731961405363E-2</v>
      </c>
      <c r="AO891" s="885">
        <f t="shared" si="1391"/>
        <v>1.7386013753940999E-2</v>
      </c>
      <c r="AP891" s="885">
        <f t="shared" si="1391"/>
        <v>4.9255781151404943E-2</v>
      </c>
      <c r="AQ891" s="1044">
        <f t="shared" si="1391"/>
        <v>4.9255781151404943E-2</v>
      </c>
      <c r="AR891" s="885">
        <f t="shared" si="1391"/>
        <v>6.6527243952068771E-2</v>
      </c>
      <c r="AS891" s="885">
        <f t="shared" si="1391"/>
        <v>8.0062299519774616E-2</v>
      </c>
      <c r="AT891" s="885">
        <f t="shared" ref="AT891:BV891" si="1392">+AT890/AO890-1</f>
        <v>7.6963502591424815E-2</v>
      </c>
      <c r="AU891" s="1640">
        <f t="shared" si="1392"/>
        <v>8.7625583698882181E-2</v>
      </c>
      <c r="AV891" s="1640">
        <f t="shared" si="1392"/>
        <v>8.7625583698882181E-2</v>
      </c>
      <c r="AW891" s="885">
        <f t="shared" si="1392"/>
        <v>0.11609871570653807</v>
      </c>
      <c r="AX891" s="885">
        <f t="shared" si="1392"/>
        <v>0.12092496266158514</v>
      </c>
      <c r="AY891" s="885">
        <f t="shared" si="1392"/>
        <v>0.13984754917632802</v>
      </c>
      <c r="AZ891" s="1640">
        <f t="shared" si="1392"/>
        <v>0.127972027972028</v>
      </c>
      <c r="BA891" s="1640">
        <f t="shared" si="1392"/>
        <v>0.127972027972028</v>
      </c>
      <c r="BB891" s="885">
        <f t="shared" si="1392"/>
        <v>0.12369616486490775</v>
      </c>
      <c r="BC891" s="885">
        <f t="shared" si="1392"/>
        <v>0.10467876560226674</v>
      </c>
      <c r="BD891" s="885">
        <f t="shared" si="1392"/>
        <v>7.7723649247121385E-2</v>
      </c>
      <c r="BE891" s="1640">
        <f t="shared" si="1392"/>
        <v>5.4181865367147752E-2</v>
      </c>
      <c r="BF891" s="1640">
        <f t="shared" si="1392"/>
        <v>5.4181865367147752E-2</v>
      </c>
      <c r="BG891" s="885">
        <f t="shared" si="1392"/>
        <v>3.1608304927176922E-2</v>
      </c>
      <c r="BH891" s="885">
        <f t="shared" si="1392"/>
        <v>2.4317205046443968E-2</v>
      </c>
      <c r="BI891" s="885">
        <f t="shared" si="1392"/>
        <v>2.8244640778028796E-2</v>
      </c>
      <c r="BJ891" s="885">
        <f t="shared" si="1392"/>
        <v>4.3519290999357141E-2</v>
      </c>
      <c r="BK891" s="1044">
        <f t="shared" si="1392"/>
        <v>4.3519290999357141E-2</v>
      </c>
      <c r="BL891" s="885">
        <f t="shared" si="1392"/>
        <v>4.8458450531144948E-2</v>
      </c>
      <c r="BM891" s="885">
        <f t="shared" si="1392"/>
        <v>5.1838016349953886E-2</v>
      </c>
      <c r="BN891" s="885">
        <f t="shared" si="1392"/>
        <v>4.3467835400375687E-2</v>
      </c>
      <c r="BO891" s="885">
        <f t="shared" si="1392"/>
        <v>3.2582340528709341E-2</v>
      </c>
      <c r="BP891" s="1044">
        <f t="shared" si="1392"/>
        <v>3.2582340528709341E-2</v>
      </c>
      <c r="BQ891" s="885">
        <f t="shared" si="1392"/>
        <v>3.2583640459973751E-2</v>
      </c>
      <c r="BR891" s="885">
        <f t="shared" si="1392"/>
        <v>4.2154566744730726E-2</v>
      </c>
      <c r="BS891" s="885">
        <f t="shared" si="1392"/>
        <v>3.7635644069960339E-2</v>
      </c>
      <c r="BT891" s="885">
        <f>+BT890/BO890-1</f>
        <v>3.2214253982357111E-2</v>
      </c>
      <c r="BU891" s="1044">
        <f>+BU890/BP890-1</f>
        <v>3.2214253982357111E-2</v>
      </c>
      <c r="BV891" s="885">
        <f t="shared" si="1392"/>
        <v>3.4014806593600566E-2</v>
      </c>
      <c r="BW891" s="885">
        <f t="shared" ref="BW891:CF891" si="1393">+BW890/BR890-1</f>
        <v>2.4114088159032043E-2</v>
      </c>
      <c r="BX891" s="885">
        <f t="shared" si="1393"/>
        <v>3.8534412756219494E-2</v>
      </c>
      <c r="BY891" s="1640">
        <f t="shared" si="1393"/>
        <v>5.0035045436100489E-2</v>
      </c>
      <c r="BZ891" s="1640">
        <f t="shared" si="1393"/>
        <v>5.0035045436100489E-2</v>
      </c>
      <c r="CA891" s="885">
        <f t="shared" si="1393"/>
        <v>8.774668845900524E-2</v>
      </c>
      <c r="CB891" s="885">
        <f t="shared" si="1393"/>
        <v>0.13053542794449191</v>
      </c>
      <c r="CC891" s="885">
        <f t="shared" si="1393"/>
        <v>0.12705840540220348</v>
      </c>
      <c r="CD891" s="1640">
        <f t="shared" si="1393"/>
        <v>0.1012038598463556</v>
      </c>
      <c r="CE891" s="1640">
        <f t="shared" si="1393"/>
        <v>0.1012038598463556</v>
      </c>
      <c r="CF891" s="885">
        <f t="shared" si="1393"/>
        <v>7.432159677057637E-2</v>
      </c>
      <c r="CG891" s="885">
        <f t="shared" ref="CG891:CO891" si="1394">+CG890/CB890-1</f>
        <v>5.3066012583982136E-2</v>
      </c>
      <c r="CH891" s="885">
        <f t="shared" si="1394"/>
        <v>6.0892416040363662E-2</v>
      </c>
      <c r="CI891" s="885">
        <f t="shared" si="1394"/>
        <v>0.10079333007210156</v>
      </c>
      <c r="CJ891" s="1044">
        <f t="shared" si="1394"/>
        <v>0.10079333007210156</v>
      </c>
      <c r="CK891" s="3530">
        <f t="shared" si="1394"/>
        <v>0.10572186038744147</v>
      </c>
      <c r="CL891" s="885">
        <f t="shared" si="1394"/>
        <v>9.5872237862799414E-2</v>
      </c>
      <c r="CM891" s="885">
        <f t="shared" si="1394"/>
        <v>9.8892279644895442E-2</v>
      </c>
      <c r="CN891" s="885">
        <f t="shared" si="1394"/>
        <v>9.8404049772007118E-2</v>
      </c>
      <c r="CO891" s="1044">
        <f t="shared" si="1394"/>
        <v>9.8404049772007118E-2</v>
      </c>
      <c r="CP891" s="3670">
        <v>0.1</v>
      </c>
      <c r="CQ891" s="3671">
        <v>0.1</v>
      </c>
      <c r="CR891" s="3671">
        <v>0.1</v>
      </c>
      <c r="CS891" s="3672">
        <v>0.1</v>
      </c>
      <c r="CT891" s="1640">
        <f>+CT890/CO890-1</f>
        <v>0.10000000000000009</v>
      </c>
      <c r="CU891" s="1549">
        <v>7.4999999999999997E-2</v>
      </c>
      <c r="CV891" s="1549">
        <v>0.03</v>
      </c>
      <c r="CW891" s="2702"/>
      <c r="CX891" s="2702"/>
      <c r="CY891" s="2702"/>
      <c r="CZ891" s="2702"/>
      <c r="DA891" s="2702"/>
      <c r="DB891" s="217"/>
      <c r="DC891" s="212"/>
      <c r="DD891" s="212"/>
      <c r="DE891" s="70"/>
    </row>
    <row r="892" spans="1:256" x14ac:dyDescent="0.2">
      <c r="A892" s="2389" t="s">
        <v>653</v>
      </c>
      <c r="B892" s="1193"/>
      <c r="C892" s="1193"/>
      <c r="D892" s="1193"/>
      <c r="E892" s="1193"/>
      <c r="F892" s="1193"/>
      <c r="G892" s="1193"/>
      <c r="H892" s="1946"/>
      <c r="I892" s="243"/>
      <c r="J892" s="243"/>
      <c r="K892" s="243"/>
      <c r="L892" s="243"/>
      <c r="M892" s="2012"/>
      <c r="N892" s="885"/>
      <c r="O892" s="885"/>
      <c r="P892" s="885"/>
      <c r="Q892" s="2606"/>
      <c r="R892" s="2606"/>
      <c r="S892" s="885"/>
      <c r="T892" s="885"/>
      <c r="U892" s="885"/>
      <c r="V892" s="885"/>
      <c r="W892" s="1044"/>
      <c r="X892" s="885"/>
      <c r="Y892" s="885"/>
      <c r="Z892" s="885"/>
      <c r="AA892" s="885"/>
      <c r="AB892" s="1044"/>
      <c r="AC892" s="885"/>
      <c r="AD892" s="885"/>
      <c r="AE892" s="885"/>
      <c r="AF892" s="885"/>
      <c r="AG892" s="1044"/>
      <c r="AH892" s="885"/>
      <c r="AI892" s="885"/>
      <c r="AJ892" s="885"/>
      <c r="AK892" s="885"/>
      <c r="AL892" s="1044"/>
      <c r="AM892" s="885"/>
      <c r="AN892" s="885"/>
      <c r="AO892" s="885"/>
      <c r="AP892" s="885"/>
      <c r="AQ892" s="1044"/>
      <c r="AR892" s="885"/>
      <c r="AS892" s="885"/>
      <c r="AT892" s="885"/>
      <c r="AU892" s="885"/>
      <c r="AV892" s="1044"/>
      <c r="AW892" s="885"/>
      <c r="AX892" s="885"/>
      <c r="AY892" s="885"/>
      <c r="AZ892" s="885"/>
      <c r="BA892" s="1044"/>
      <c r="BB892" s="885">
        <f>+BB890/BA890-1</f>
        <v>2.3573004224397787E-2</v>
      </c>
      <c r="BC892" s="885">
        <f>+BC890/BB890-1</f>
        <v>1.6001352226948651E-2</v>
      </c>
      <c r="BD892" s="885">
        <f>+BD890/BC890-1</f>
        <v>1.2130874809372028E-2</v>
      </c>
      <c r="BE892" s="885">
        <f>+BE890/BD890-1</f>
        <v>1.5341414971576928E-3</v>
      </c>
      <c r="BF892" s="1044"/>
      <c r="BG892" s="885">
        <f>+BG890/BF890-1</f>
        <v>1.6548819016097838E-3</v>
      </c>
      <c r="BH892" s="885">
        <f>+BH890/BG890-1</f>
        <v>8.8205576340152358E-3</v>
      </c>
      <c r="BI892" s="885">
        <f>+BI890/BH890-1</f>
        <v>1.6011585728980648E-2</v>
      </c>
      <c r="BJ892" s="885">
        <f>+BJ890/BI890-1</f>
        <v>1.6412005275287411E-2</v>
      </c>
      <c r="BK892" s="1044"/>
      <c r="BL892" s="885">
        <f>+BL890/BK890-1</f>
        <v>6.3958898543885478E-3</v>
      </c>
      <c r="BM892" s="885">
        <f>+BM890/BL890-1</f>
        <v>1.207235599776002E-2</v>
      </c>
      <c r="BN892" s="885">
        <f>+BN890/BM890-1</f>
        <v>7.9264997297783246E-3</v>
      </c>
      <c r="BO892" s="885">
        <f>+BO890/BN890-1</f>
        <v>5.8087578194816469E-3</v>
      </c>
      <c r="BP892" s="1044"/>
      <c r="BQ892" s="885">
        <f>+BQ890/BP890-1</f>
        <v>6.3971568191913963E-3</v>
      </c>
      <c r="BR892" s="885">
        <f>+BR890/BQ890-1</f>
        <v>2.1453165003972874E-2</v>
      </c>
      <c r="BS892" s="885">
        <f>+BS890/BR890-1</f>
        <v>3.5559945672305471E-3</v>
      </c>
      <c r="BT892" s="885">
        <f>+BT890/BS890-1</f>
        <v>5.5365535569285029E-4</v>
      </c>
      <c r="BU892" s="1044"/>
      <c r="BV892" s="885">
        <f>+BV890/BU890-1</f>
        <v>8.1526751349556559E-3</v>
      </c>
      <c r="BW892" s="885">
        <f>+BW890/BV890-1</f>
        <v>1.1672724611519136E-2</v>
      </c>
      <c r="BX892" s="885">
        <f>+BX890/BW890-1</f>
        <v>1.7686845182836475E-2</v>
      </c>
      <c r="BY892" s="2606">
        <f>+BY890/BX890-1</f>
        <v>1.1633692690439457E-2</v>
      </c>
      <c r="BZ892" s="1640"/>
      <c r="CA892" s="885">
        <f>+CA890/BZ890-1</f>
        <v>4.4360127412403916E-2</v>
      </c>
      <c r="CB892" s="885">
        <f>+CB890/CA890-1</f>
        <v>5.1468939224041277E-2</v>
      </c>
      <c r="CC892" s="885">
        <f>+CC890/CB890-1</f>
        <v>1.4556894529167197E-2</v>
      </c>
      <c r="CD892" s="1640">
        <f>+CD890/CC890-1</f>
        <v>-1.1573027802596281E-2</v>
      </c>
      <c r="CE892" s="1640"/>
      <c r="CF892" s="885">
        <f>+CF890/CE890-1</f>
        <v>1.8865516727992082E-2</v>
      </c>
      <c r="CG892" s="885">
        <f>+CG890/CF890-1</f>
        <v>3.0665497661990671E-2</v>
      </c>
      <c r="CH892" s="885">
        <f>+CH890/CG890-1</f>
        <v>2.2097097603953619E-2</v>
      </c>
      <c r="CI892" s="885">
        <f>+CI890/CH890-1</f>
        <v>2.5602409638554313E-2</v>
      </c>
      <c r="CJ892" s="2617"/>
      <c r="CK892" s="3530">
        <f>+CK890/CJ890-1</f>
        <v>2.3427235489605014E-2</v>
      </c>
      <c r="CL892" s="885">
        <f>+CL890/CK890-1</f>
        <v>2.1484467183325862E-2</v>
      </c>
      <c r="CM892" s="885">
        <f>+CM890/CL890-1</f>
        <v>2.4913827359004825E-2</v>
      </c>
      <c r="CN892" s="885">
        <f>+CN890/CM890-1</f>
        <v>2.5146741923558924E-2</v>
      </c>
      <c r="CO892" s="2617"/>
      <c r="CP892" s="3530"/>
      <c r="CQ892" s="885"/>
      <c r="CR892" s="886"/>
      <c r="CS892" s="1549"/>
      <c r="CT892" s="1640"/>
      <c r="CU892" s="1044"/>
      <c r="CV892" s="1044"/>
      <c r="CW892" s="2702"/>
      <c r="CX892" s="2702"/>
      <c r="CY892" s="2702"/>
      <c r="CZ892" s="2702"/>
      <c r="DA892" s="2702"/>
      <c r="DB892" s="217"/>
      <c r="DF892" s="11"/>
      <c r="DG892" s="11"/>
      <c r="DH892" s="11"/>
      <c r="DI892" s="11"/>
      <c r="DJ892" s="11"/>
      <c r="DK892" s="11"/>
      <c r="DL892" s="11"/>
      <c r="DM892" s="11"/>
      <c r="DN892" s="11"/>
      <c r="DO892" s="11"/>
      <c r="DP892" s="11"/>
      <c r="DQ892" s="11"/>
      <c r="DR892" s="11"/>
      <c r="DS892" s="11"/>
      <c r="DT892" s="11"/>
      <c r="DU892" s="11"/>
      <c r="DV892" s="11"/>
      <c r="DW892" s="11"/>
      <c r="DX892" s="11"/>
      <c r="DY892" s="11"/>
      <c r="DZ892" s="11"/>
      <c r="EA892" s="11"/>
      <c r="EB892" s="11"/>
      <c r="EC892" s="11"/>
      <c r="ED892" s="11"/>
      <c r="EE892" s="11"/>
      <c r="EF892" s="11"/>
      <c r="EG892" s="11"/>
      <c r="EH892" s="11"/>
      <c r="EI892" s="11"/>
      <c r="EJ892" s="11"/>
      <c r="EK892" s="11"/>
      <c r="EL892" s="11"/>
      <c r="EM892" s="11"/>
      <c r="EN892" s="11"/>
      <c r="EO892" s="11"/>
      <c r="EP892" s="11"/>
      <c r="EQ892" s="11"/>
      <c r="ER892" s="11"/>
      <c r="ES892" s="11"/>
      <c r="ET892" s="11"/>
      <c r="EU892" s="11"/>
      <c r="EV892" s="11"/>
      <c r="EW892" s="11"/>
      <c r="EX892" s="11"/>
      <c r="EY892" s="11"/>
      <c r="EZ892" s="11"/>
      <c r="FA892" s="11"/>
      <c r="FB892" s="11"/>
      <c r="FC892" s="11"/>
      <c r="FD892" s="11"/>
      <c r="FE892" s="11"/>
      <c r="FF892" s="11"/>
      <c r="FG892" s="11"/>
      <c r="FH892" s="11"/>
      <c r="FI892" s="11"/>
      <c r="FJ892" s="11"/>
      <c r="FK892" s="11"/>
      <c r="FL892" s="11"/>
      <c r="FM892" s="11"/>
      <c r="FN892" s="11"/>
      <c r="FO892" s="11"/>
      <c r="FP892" s="11"/>
      <c r="FQ892" s="11"/>
      <c r="FR892" s="11"/>
      <c r="FS892" s="11"/>
      <c r="FT892" s="11"/>
      <c r="FU892" s="11"/>
      <c r="FV892" s="11"/>
      <c r="FW892" s="11"/>
      <c r="FX892" s="11"/>
      <c r="FY892" s="11"/>
      <c r="FZ892" s="11"/>
      <c r="GA892" s="11"/>
      <c r="GB892" s="11"/>
      <c r="GC892" s="11"/>
      <c r="GD892" s="11"/>
      <c r="GE892" s="11"/>
      <c r="GF892" s="11"/>
      <c r="GG892" s="11"/>
      <c r="GH892" s="11"/>
      <c r="GI892" s="11"/>
      <c r="GJ892" s="11"/>
      <c r="GK892" s="11"/>
      <c r="GL892" s="11"/>
      <c r="GM892" s="11"/>
      <c r="GN892" s="11"/>
      <c r="GO892" s="11"/>
      <c r="GP892" s="11"/>
      <c r="GQ892" s="11"/>
      <c r="GR892" s="11"/>
      <c r="GS892" s="11"/>
      <c r="GT892" s="11"/>
      <c r="GU892" s="11"/>
      <c r="GV892" s="11"/>
      <c r="GW892" s="11"/>
      <c r="GX892" s="11"/>
      <c r="GY892" s="11"/>
      <c r="GZ892" s="11"/>
      <c r="HA892" s="11"/>
      <c r="HB892" s="11"/>
      <c r="HC892" s="11"/>
      <c r="HD892" s="11"/>
      <c r="HE892" s="11"/>
      <c r="HF892" s="11"/>
      <c r="HG892" s="11"/>
      <c r="HH892" s="11"/>
      <c r="HI892" s="11"/>
      <c r="HJ892" s="11"/>
      <c r="HK892" s="11"/>
      <c r="HL892" s="11"/>
      <c r="HM892" s="11"/>
      <c r="HN892" s="11"/>
      <c r="HO892" s="11"/>
      <c r="HP892" s="11"/>
      <c r="HQ892" s="11"/>
      <c r="HR892" s="11"/>
      <c r="HS892" s="11"/>
      <c r="HT892" s="11"/>
      <c r="HU892" s="11"/>
      <c r="HV892" s="11"/>
      <c r="HW892" s="11"/>
      <c r="HX892" s="11"/>
      <c r="HY892" s="11"/>
      <c r="HZ892" s="11"/>
      <c r="IA892" s="11"/>
      <c r="IB892" s="11"/>
      <c r="IC892" s="11"/>
      <c r="ID892" s="11"/>
      <c r="IE892" s="11"/>
      <c r="IF892" s="11"/>
      <c r="IG892" s="11"/>
      <c r="IH892" s="11"/>
      <c r="II892" s="11"/>
      <c r="IJ892" s="11"/>
      <c r="IK892" s="11"/>
      <c r="IL892" s="11"/>
      <c r="IM892" s="11"/>
      <c r="IN892" s="11"/>
      <c r="IO892" s="11"/>
      <c r="IP892" s="11"/>
      <c r="IQ892" s="11"/>
      <c r="IR892" s="11"/>
      <c r="IS892" s="11"/>
      <c r="IT892" s="11"/>
      <c r="IU892" s="11"/>
      <c r="IV892" s="11"/>
    </row>
    <row r="893" spans="1:256" s="11" customFormat="1" x14ac:dyDescent="0.2">
      <c r="A893" s="302" t="s">
        <v>662</v>
      </c>
      <c r="B893" s="1441"/>
      <c r="C893" s="1441"/>
      <c r="D893" s="1441"/>
      <c r="E893" s="1441"/>
      <c r="F893" s="1441"/>
      <c r="G893" s="1441"/>
      <c r="H893" s="1440"/>
      <c r="I893" s="1269">
        <f t="shared" ref="I893:AN893" si="1395">I890+I887+I881+I884</f>
        <v>135141</v>
      </c>
      <c r="J893" s="1269">
        <f t="shared" si="1395"/>
        <v>141271</v>
      </c>
      <c r="K893" s="1269">
        <f t="shared" si="1395"/>
        <v>144745</v>
      </c>
      <c r="L893" s="1269">
        <f t="shared" si="1395"/>
        <v>157596</v>
      </c>
      <c r="M893" s="1270">
        <f t="shared" si="1395"/>
        <v>157596</v>
      </c>
      <c r="N893" s="1269">
        <f t="shared" si="1395"/>
        <v>160288</v>
      </c>
      <c r="O893" s="1269">
        <f t="shared" si="1395"/>
        <v>163161</v>
      </c>
      <c r="P893" s="1269">
        <f t="shared" si="1395"/>
        <v>166870</v>
      </c>
      <c r="Q893" s="1269">
        <f t="shared" si="1395"/>
        <v>172539</v>
      </c>
      <c r="R893" s="1270">
        <f t="shared" si="1395"/>
        <v>172539</v>
      </c>
      <c r="S893" s="1269">
        <f t="shared" si="1395"/>
        <v>177031</v>
      </c>
      <c r="T893" s="1269">
        <f t="shared" si="1395"/>
        <v>181224</v>
      </c>
      <c r="U893" s="1269">
        <f t="shared" si="1395"/>
        <v>184511</v>
      </c>
      <c r="V893" s="1269">
        <f t="shared" si="1395"/>
        <v>186705</v>
      </c>
      <c r="W893" s="1270">
        <f t="shared" si="1395"/>
        <v>186705</v>
      </c>
      <c r="X893" s="1269">
        <f t="shared" si="1395"/>
        <v>190326</v>
      </c>
      <c r="Y893" s="1269">
        <f t="shared" si="1395"/>
        <v>192113</v>
      </c>
      <c r="Z893" s="1269">
        <f t="shared" si="1395"/>
        <v>192537</v>
      </c>
      <c r="AA893" s="1269">
        <f t="shared" si="1395"/>
        <v>195762</v>
      </c>
      <c r="AB893" s="1270">
        <f t="shared" si="1395"/>
        <v>195762</v>
      </c>
      <c r="AC893" s="1269">
        <f t="shared" si="1395"/>
        <v>198033</v>
      </c>
      <c r="AD893" s="1269">
        <f t="shared" si="1395"/>
        <v>201114</v>
      </c>
      <c r="AE893" s="1269">
        <f t="shared" si="1395"/>
        <v>204413</v>
      </c>
      <c r="AF893" s="1269">
        <f t="shared" si="1395"/>
        <v>208450</v>
      </c>
      <c r="AG893" s="1270">
        <f t="shared" si="1395"/>
        <v>208450</v>
      </c>
      <c r="AH893" s="1269">
        <f t="shared" si="1395"/>
        <v>213203</v>
      </c>
      <c r="AI893" s="1269">
        <f t="shared" si="1395"/>
        <v>215424</v>
      </c>
      <c r="AJ893" s="1269">
        <f t="shared" si="1395"/>
        <v>217027</v>
      </c>
      <c r="AK893" s="1269">
        <f t="shared" si="1395"/>
        <v>219009</v>
      </c>
      <c r="AL893" s="1270">
        <f t="shared" si="1395"/>
        <v>219009</v>
      </c>
      <c r="AM893" s="1269">
        <f t="shared" si="1395"/>
        <v>220081</v>
      </c>
      <c r="AN893" s="1269">
        <f t="shared" si="1395"/>
        <v>223712</v>
      </c>
      <c r="AO893" s="1269">
        <f t="shared" ref="AO893:BJ893" si="1396">AO890+AO887+AO881+AO884</f>
        <v>227733</v>
      </c>
      <c r="AP893" s="1269">
        <f t="shared" si="1396"/>
        <v>233841</v>
      </c>
      <c r="AQ893" s="1270">
        <f t="shared" si="1396"/>
        <v>233841</v>
      </c>
      <c r="AR893" s="1269">
        <f t="shared" si="1396"/>
        <v>236689</v>
      </c>
      <c r="AS893" s="1269">
        <f t="shared" si="1396"/>
        <v>242491</v>
      </c>
      <c r="AT893" s="1269">
        <f t="shared" si="1396"/>
        <v>245740</v>
      </c>
      <c r="AU893" s="1269">
        <f t="shared" si="1396"/>
        <v>253631</v>
      </c>
      <c r="AV893" s="1270">
        <f t="shared" si="1396"/>
        <v>253631</v>
      </c>
      <c r="AW893" s="1269">
        <f t="shared" si="1396"/>
        <v>258086</v>
      </c>
      <c r="AX893" s="1269">
        <f t="shared" si="1396"/>
        <v>263741</v>
      </c>
      <c r="AY893" s="1269">
        <f t="shared" si="1396"/>
        <v>272811</v>
      </c>
      <c r="AZ893" s="1269">
        <f t="shared" si="1396"/>
        <v>278709</v>
      </c>
      <c r="BA893" s="1270">
        <f t="shared" si="1396"/>
        <v>278709</v>
      </c>
      <c r="BB893" s="1269">
        <f t="shared" si="1396"/>
        <v>283367</v>
      </c>
      <c r="BC893" s="1269">
        <f t="shared" si="1396"/>
        <v>286981</v>
      </c>
      <c r="BD893" s="1269">
        <f t="shared" si="1396"/>
        <v>289353</v>
      </c>
      <c r="BE893" s="1269">
        <f t="shared" si="1396"/>
        <v>293576</v>
      </c>
      <c r="BF893" s="1270">
        <f t="shared" si="1396"/>
        <v>293576</v>
      </c>
      <c r="BG893" s="1269">
        <f t="shared" si="1396"/>
        <v>294988</v>
      </c>
      <c r="BH893" s="1269">
        <f t="shared" si="1396"/>
        <v>296396</v>
      </c>
      <c r="BI893" s="1269">
        <f t="shared" si="1396"/>
        <v>299011</v>
      </c>
      <c r="BJ893" s="1269">
        <f t="shared" si="1396"/>
        <v>302328</v>
      </c>
      <c r="BK893" s="1270">
        <f>+BJ893</f>
        <v>302328</v>
      </c>
      <c r="BL893" s="1269">
        <f>BL890+BL887+BL881+BL884</f>
        <v>303813</v>
      </c>
      <c r="BM893" s="1269">
        <f>BM890+BM887+BM881+BM884</f>
        <v>306894</v>
      </c>
      <c r="BN893" s="1269">
        <f>BN890+BN887+BN881+BN884</f>
        <v>309232</v>
      </c>
      <c r="BO893" s="1269">
        <f>BO890+BO887+BO881+BO884</f>
        <v>311356</v>
      </c>
      <c r="BP893" s="1270">
        <f>+BP890+BP887+BP884+BP881</f>
        <v>311356</v>
      </c>
      <c r="BQ893" s="1269">
        <f>+BQ890+BQ887+BQ884+BQ881</f>
        <v>312619</v>
      </c>
      <c r="BR893" s="1269">
        <f>+BR890+BR887+BR884+BR881</f>
        <v>317357</v>
      </c>
      <c r="BS893" s="1269">
        <f>+BS890+BS887+BS884+BS881</f>
        <v>321320</v>
      </c>
      <c r="BT893" s="1269">
        <f>BT890+BT887+BT881+BT884</f>
        <v>324537</v>
      </c>
      <c r="BU893" s="1270">
        <f t="shared" ref="BU893:CV893" si="1397">+BU890+BU887+BU884+BU881</f>
        <v>324537</v>
      </c>
      <c r="BV893" s="1269">
        <f t="shared" si="1397"/>
        <v>326814</v>
      </c>
      <c r="BW893" s="1269">
        <f t="shared" si="1397"/>
        <v>330399</v>
      </c>
      <c r="BX893" s="1269">
        <f t="shared" si="1397"/>
        <v>336271</v>
      </c>
      <c r="BY893" s="1269">
        <f t="shared" si="1397"/>
        <v>340749</v>
      </c>
      <c r="BZ893" s="1270">
        <f t="shared" si="1397"/>
        <v>340749</v>
      </c>
      <c r="CA893" s="1269">
        <f t="shared" si="1397"/>
        <v>359514</v>
      </c>
      <c r="CB893" s="1269">
        <f t="shared" si="1397"/>
        <v>367829</v>
      </c>
      <c r="CC893" s="1269">
        <f t="shared" si="1397"/>
        <v>376039</v>
      </c>
      <c r="CD893" s="1269">
        <f t="shared" si="1397"/>
        <v>378119</v>
      </c>
      <c r="CE893" s="1270">
        <f t="shared" si="1397"/>
        <v>378119</v>
      </c>
      <c r="CF893" s="1269">
        <f t="shared" si="1397"/>
        <v>384726</v>
      </c>
      <c r="CG893" s="1269">
        <f t="shared" si="1397"/>
        <v>395615</v>
      </c>
      <c r="CH893" s="1269">
        <f t="shared" si="1397"/>
        <v>402225</v>
      </c>
      <c r="CI893" s="1269">
        <f t="shared" si="1397"/>
        <v>524793</v>
      </c>
      <c r="CJ893" s="1270">
        <f t="shared" si="1397"/>
        <v>524793</v>
      </c>
      <c r="CK893" s="3534">
        <f>+CK890+CK887+CK884+CK881</f>
        <v>532957</v>
      </c>
      <c r="CL893" s="1269">
        <f t="shared" si="1397"/>
        <v>542269</v>
      </c>
      <c r="CM893" s="1269">
        <f>+CM890+CM887+CM884+CM881</f>
        <v>553100</v>
      </c>
      <c r="CN893" s="1269">
        <f t="shared" si="1397"/>
        <v>564543</v>
      </c>
      <c r="CO893" s="1270">
        <f t="shared" si="1397"/>
        <v>564543</v>
      </c>
      <c r="CP893" s="1269">
        <f t="shared" si="1397"/>
        <v>576492.51000000013</v>
      </c>
      <c r="CQ893" s="1269">
        <f t="shared" si="1397"/>
        <v>582914.59000000008</v>
      </c>
      <c r="CR893" s="1269">
        <f t="shared" si="1397"/>
        <v>592671.62</v>
      </c>
      <c r="CS893" s="1269">
        <f t="shared" si="1397"/>
        <v>602294.86</v>
      </c>
      <c r="CT893" s="1270">
        <f>+CT890+CT887+CT884+CT881</f>
        <v>602294.86</v>
      </c>
      <c r="CU893" s="1270">
        <f t="shared" si="1397"/>
        <v>644263.57000000007</v>
      </c>
      <c r="CV893" s="1270">
        <f t="shared" si="1397"/>
        <v>666480.33877000003</v>
      </c>
      <c r="CW893" s="374"/>
      <c r="CX893" s="374"/>
      <c r="CY893" s="374"/>
      <c r="CZ893" s="374"/>
      <c r="DA893" s="374"/>
      <c r="DB893" s="217"/>
      <c r="DC893" s="212"/>
      <c r="DD893" s="212"/>
      <c r="DE893" s="70"/>
      <c r="DF893" s="70"/>
      <c r="DG893" s="70"/>
      <c r="DH893" s="70"/>
      <c r="DI893" s="70"/>
      <c r="DJ893" s="70"/>
      <c r="DK893" s="70"/>
      <c r="DL893" s="70"/>
      <c r="DM893" s="70"/>
      <c r="DN893" s="70"/>
      <c r="DO893" s="70"/>
      <c r="DP893" s="70"/>
      <c r="DQ893" s="70"/>
      <c r="DR893" s="70"/>
      <c r="DS893" s="70"/>
      <c r="DT893" s="70"/>
      <c r="DU893" s="70"/>
      <c r="DV893" s="70"/>
      <c r="DW893" s="70"/>
      <c r="DX893" s="70"/>
      <c r="DY893" s="70"/>
      <c r="DZ893" s="70"/>
      <c r="EA893" s="70"/>
      <c r="EB893" s="70"/>
      <c r="EC893" s="70"/>
      <c r="ED893" s="70"/>
      <c r="EE893" s="70"/>
      <c r="EF893" s="70"/>
      <c r="EG893" s="70"/>
      <c r="EH893" s="70"/>
      <c r="EI893" s="70"/>
      <c r="EJ893" s="70"/>
      <c r="EK893" s="70"/>
      <c r="EL893" s="70"/>
      <c r="EM893" s="70"/>
      <c r="EN893" s="70"/>
      <c r="EO893" s="70"/>
      <c r="EP893" s="70"/>
      <c r="EQ893" s="70"/>
      <c r="ER893" s="70"/>
      <c r="ES893" s="70"/>
      <c r="ET893" s="70"/>
      <c r="EU893" s="70"/>
      <c r="EV893" s="70"/>
      <c r="EW893" s="70"/>
      <c r="EX893" s="70"/>
      <c r="EY893" s="70"/>
      <c r="EZ893" s="70"/>
      <c r="FA893" s="70"/>
      <c r="FB893" s="70"/>
      <c r="FC893" s="70"/>
      <c r="FD893" s="70"/>
      <c r="FE893" s="70"/>
      <c r="FF893" s="70"/>
      <c r="FG893" s="70"/>
      <c r="FH893" s="70"/>
      <c r="FI893" s="70"/>
      <c r="FJ893" s="70"/>
      <c r="FK893" s="70"/>
      <c r="FL893" s="70"/>
      <c r="FM893" s="70"/>
      <c r="FN893" s="70"/>
      <c r="FO893" s="70"/>
      <c r="FP893" s="70"/>
      <c r="FQ893" s="70"/>
      <c r="FR893" s="70"/>
      <c r="FS893" s="70"/>
      <c r="FT893" s="70"/>
      <c r="FU893" s="70"/>
      <c r="FV893" s="70"/>
      <c r="FW893" s="70"/>
      <c r="FX893" s="70"/>
      <c r="FY893" s="70"/>
      <c r="FZ893" s="70"/>
      <c r="GA893" s="70"/>
      <c r="GB893" s="70"/>
      <c r="GC893" s="70"/>
      <c r="GD893" s="70"/>
      <c r="GE893" s="70"/>
      <c r="GF893" s="70"/>
      <c r="GG893" s="70"/>
      <c r="GH893" s="70"/>
      <c r="GI893" s="70"/>
      <c r="GJ893" s="70"/>
      <c r="GK893" s="70"/>
      <c r="GL893" s="70"/>
      <c r="GM893" s="70"/>
      <c r="GN893" s="70"/>
      <c r="GO893" s="70"/>
      <c r="GP893" s="70"/>
      <c r="GQ893" s="70"/>
      <c r="GR893" s="70"/>
      <c r="GS893" s="70"/>
      <c r="GT893" s="70"/>
      <c r="GU893" s="70"/>
      <c r="GV893" s="70"/>
      <c r="GW893" s="70"/>
      <c r="GX893" s="70"/>
      <c r="GY893" s="70"/>
      <c r="GZ893" s="70"/>
      <c r="HA893" s="70"/>
      <c r="HB893" s="70"/>
      <c r="HC893" s="70"/>
      <c r="HD893" s="70"/>
      <c r="HE893" s="70"/>
      <c r="HF893" s="70"/>
      <c r="HG893" s="70"/>
      <c r="HH893" s="70"/>
      <c r="HI893" s="70"/>
      <c r="HJ893" s="70"/>
      <c r="HK893" s="70"/>
      <c r="HL893" s="70"/>
      <c r="HM893" s="70"/>
      <c r="HN893" s="70"/>
      <c r="HO893" s="70"/>
      <c r="HP893" s="70"/>
      <c r="HQ893" s="70"/>
      <c r="HR893" s="70"/>
      <c r="HS893" s="70"/>
      <c r="HT893" s="70"/>
      <c r="HU893" s="70"/>
      <c r="HV893" s="70"/>
      <c r="HW893" s="70"/>
      <c r="HX893" s="70"/>
      <c r="HY893" s="70"/>
      <c r="HZ893" s="70"/>
      <c r="IA893" s="70"/>
      <c r="IB893" s="70"/>
      <c r="IC893" s="70"/>
      <c r="ID893" s="70"/>
      <c r="IE893" s="70"/>
      <c r="IF893" s="70"/>
      <c r="IG893" s="70"/>
      <c r="IH893" s="70"/>
      <c r="II893" s="70"/>
      <c r="IJ893" s="70"/>
      <c r="IK893" s="70"/>
      <c r="IL893" s="70"/>
      <c r="IM893" s="70"/>
      <c r="IN893" s="70"/>
      <c r="IO893" s="70"/>
      <c r="IP893" s="70"/>
      <c r="IQ893" s="70"/>
      <c r="IR893" s="70"/>
      <c r="IS893" s="70"/>
      <c r="IT893" s="70"/>
      <c r="IU893" s="70"/>
      <c r="IV893" s="70"/>
    </row>
    <row r="894" spans="1:256" s="11" customFormat="1" x14ac:dyDescent="0.2">
      <c r="A894" s="2389" t="s">
        <v>652</v>
      </c>
      <c r="B894" s="1193"/>
      <c r="C894" s="1193"/>
      <c r="D894" s="1193"/>
      <c r="E894" s="1193"/>
      <c r="F894" s="1193"/>
      <c r="G894" s="1193"/>
      <c r="H894" s="1946"/>
      <c r="I894" s="243"/>
      <c r="J894" s="243"/>
      <c r="K894" s="243"/>
      <c r="L894" s="243"/>
      <c r="M894" s="2012"/>
      <c r="N894" s="885">
        <f>+N893/I893-1</f>
        <v>0.18607972413997231</v>
      </c>
      <c r="O894" s="885">
        <f t="shared" ref="O894:BV894" si="1398">+O893/J893-1</f>
        <v>0.15495041445165669</v>
      </c>
      <c r="P894" s="885">
        <f t="shared" si="1398"/>
        <v>0.15285502089882197</v>
      </c>
      <c r="Q894" s="885">
        <f t="shared" si="1398"/>
        <v>9.4818396406000094E-2</v>
      </c>
      <c r="R894" s="1044">
        <f t="shared" si="1398"/>
        <v>9.4818396406000094E-2</v>
      </c>
      <c r="S894" s="885">
        <f t="shared" si="1398"/>
        <v>0.10445572968656425</v>
      </c>
      <c r="T894" s="885">
        <f t="shared" si="1398"/>
        <v>0.11070660268078769</v>
      </c>
      <c r="U894" s="885">
        <f t="shared" si="1398"/>
        <v>0.10571702522922033</v>
      </c>
      <c r="V894" s="885">
        <f t="shared" si="1398"/>
        <v>8.2103176673099965E-2</v>
      </c>
      <c r="W894" s="1044">
        <f t="shared" si="1398"/>
        <v>8.2103176673099965E-2</v>
      </c>
      <c r="X894" s="885">
        <f t="shared" si="1398"/>
        <v>7.5099841270737988E-2</v>
      </c>
      <c r="Y894" s="885">
        <f t="shared" si="1398"/>
        <v>6.0085860592415941E-2</v>
      </c>
      <c r="Z894" s="885">
        <f t="shared" si="1398"/>
        <v>4.3498761591449941E-2</v>
      </c>
      <c r="AA894" s="885">
        <f t="shared" si="1398"/>
        <v>4.8509681047641973E-2</v>
      </c>
      <c r="AB894" s="1044">
        <f t="shared" si="1398"/>
        <v>4.8509681047641973E-2</v>
      </c>
      <c r="AC894" s="885">
        <f t="shared" si="1398"/>
        <v>4.0493679266101257E-2</v>
      </c>
      <c r="AD894" s="885">
        <f t="shared" si="1398"/>
        <v>4.6852633606262906E-2</v>
      </c>
      <c r="AE894" s="885">
        <f t="shared" si="1398"/>
        <v>6.168165079958654E-2</v>
      </c>
      <c r="AF894" s="885">
        <f t="shared" si="1398"/>
        <v>6.4813395858235978E-2</v>
      </c>
      <c r="AG894" s="1044">
        <f t="shared" si="1398"/>
        <v>6.4813395858235978E-2</v>
      </c>
      <c r="AH894" s="885">
        <f t="shared" si="1398"/>
        <v>7.6603394383764289E-2</v>
      </c>
      <c r="AI894" s="885">
        <f t="shared" si="1398"/>
        <v>7.1153674035621561E-2</v>
      </c>
      <c r="AJ894" s="885">
        <f t="shared" si="1398"/>
        <v>6.1708404064320765E-2</v>
      </c>
      <c r="AK894" s="885">
        <f t="shared" si="1398"/>
        <v>5.0654833293355628E-2</v>
      </c>
      <c r="AL894" s="1044">
        <f t="shared" si="1398"/>
        <v>5.0654833293355628E-2</v>
      </c>
      <c r="AM894" s="885">
        <f t="shared" si="1398"/>
        <v>3.226033404783224E-2</v>
      </c>
      <c r="AN894" s="885">
        <f t="shared" si="1398"/>
        <v>3.8472964943553123E-2</v>
      </c>
      <c r="AO894" s="885">
        <f t="shared" si="1398"/>
        <v>4.9330267662548888E-2</v>
      </c>
      <c r="AP894" s="885">
        <f t="shared" si="1398"/>
        <v>6.7723244250236236E-2</v>
      </c>
      <c r="AQ894" s="1044">
        <f t="shared" si="1398"/>
        <v>6.7723244250236236E-2</v>
      </c>
      <c r="AR894" s="885">
        <f t="shared" si="1398"/>
        <v>7.546312494036278E-2</v>
      </c>
      <c r="AS894" s="885">
        <f t="shared" si="1398"/>
        <v>8.3942747818623875E-2</v>
      </c>
      <c r="AT894" s="885">
        <f t="shared" si="1398"/>
        <v>7.9070666087040609E-2</v>
      </c>
      <c r="AU894" s="885">
        <f t="shared" si="1398"/>
        <v>8.4630154677751035E-2</v>
      </c>
      <c r="AV894" s="1044">
        <f t="shared" si="1398"/>
        <v>8.4630154677751035E-2</v>
      </c>
      <c r="AW894" s="885">
        <f t="shared" si="1398"/>
        <v>9.0401328325355301E-2</v>
      </c>
      <c r="AX894" s="885">
        <f t="shared" si="1398"/>
        <v>8.7632118305421614E-2</v>
      </c>
      <c r="AY894" s="885">
        <f t="shared" si="1398"/>
        <v>0.11016114592658899</v>
      </c>
      <c r="AZ894" s="885">
        <f t="shared" si="1398"/>
        <v>9.8875926050049134E-2</v>
      </c>
      <c r="BA894" s="1044">
        <f t="shared" si="1398"/>
        <v>9.8875926050049134E-2</v>
      </c>
      <c r="BB894" s="885">
        <f t="shared" si="1398"/>
        <v>9.7955720186294393E-2</v>
      </c>
      <c r="BC894" s="885">
        <f t="shared" si="1398"/>
        <v>8.8116750903348251E-2</v>
      </c>
      <c r="BD894" s="885">
        <f t="shared" si="1398"/>
        <v>6.063538493682441E-2</v>
      </c>
      <c r="BE894" s="885">
        <f t="shared" si="1398"/>
        <v>5.3342375021976363E-2</v>
      </c>
      <c r="BF894" s="1044">
        <f t="shared" si="1398"/>
        <v>5.3342375021976363E-2</v>
      </c>
      <c r="BG894" s="885">
        <f t="shared" si="1398"/>
        <v>4.1010421114667572E-2</v>
      </c>
      <c r="BH894" s="885">
        <f t="shared" si="1398"/>
        <v>3.2807049944072908E-2</v>
      </c>
      <c r="BI894" s="885">
        <f t="shared" si="1398"/>
        <v>3.3377915556431104E-2</v>
      </c>
      <c r="BJ894" s="885">
        <f t="shared" si="1398"/>
        <v>2.9811701228983356E-2</v>
      </c>
      <c r="BK894" s="1044">
        <f t="shared" si="1398"/>
        <v>2.9811701228983356E-2</v>
      </c>
      <c r="BL894" s="885">
        <f t="shared" si="1398"/>
        <v>2.9916471178488724E-2</v>
      </c>
      <c r="BM894" s="885">
        <f t="shared" si="1398"/>
        <v>3.5418831563178932E-2</v>
      </c>
      <c r="BN894" s="885">
        <f t="shared" si="1398"/>
        <v>3.4182688931176486E-2</v>
      </c>
      <c r="BO894" s="885">
        <f t="shared" si="1398"/>
        <v>2.9861607260988077E-2</v>
      </c>
      <c r="BP894" s="1044">
        <f t="shared" si="1398"/>
        <v>2.9861607260988077E-2</v>
      </c>
      <c r="BQ894" s="885">
        <f t="shared" si="1398"/>
        <v>2.8984934811874474E-2</v>
      </c>
      <c r="BR894" s="885">
        <f t="shared" si="1398"/>
        <v>3.4093204819905187E-2</v>
      </c>
      <c r="BS894" s="885">
        <f t="shared" si="1398"/>
        <v>3.9090391680033143E-2</v>
      </c>
      <c r="BT894" s="885">
        <f>+BT893/BO893-1</f>
        <v>4.2334176954996749E-2</v>
      </c>
      <c r="BU894" s="1044">
        <f>+BU893/BP893-1</f>
        <v>4.2334176954996749E-2</v>
      </c>
      <c r="BV894" s="885">
        <f t="shared" si="1398"/>
        <v>4.540670912516509E-2</v>
      </c>
      <c r="BW894" s="885">
        <f t="shared" ref="BW894:CF894" si="1399">+BW893/BR893-1</f>
        <v>4.1095674587294351E-2</v>
      </c>
      <c r="BX894" s="885">
        <f t="shared" si="1399"/>
        <v>4.6529939001618281E-2</v>
      </c>
      <c r="BY894" s="885">
        <f t="shared" si="1399"/>
        <v>4.9954242505477087E-2</v>
      </c>
      <c r="BZ894" s="1044">
        <f t="shared" si="1399"/>
        <v>4.9954242505477087E-2</v>
      </c>
      <c r="CA894" s="885">
        <f t="shared" si="1399"/>
        <v>0.10005691310653764</v>
      </c>
      <c r="CB894" s="885">
        <f t="shared" si="1399"/>
        <v>0.11328726781860721</v>
      </c>
      <c r="CC894" s="885">
        <f t="shared" si="1399"/>
        <v>0.11826175911690284</v>
      </c>
      <c r="CD894" s="885">
        <f t="shared" si="1399"/>
        <v>0.10967016777745497</v>
      </c>
      <c r="CE894" s="1044">
        <f t="shared" si="1399"/>
        <v>0.10967016777745497</v>
      </c>
      <c r="CF894" s="885">
        <f t="shared" si="1399"/>
        <v>7.012800614162451E-2</v>
      </c>
      <c r="CG894" s="885">
        <f t="shared" ref="CG894:CO894" si="1400">+CG893/CB893-1</f>
        <v>7.5540536499297151E-2</v>
      </c>
      <c r="CH894" s="885">
        <f t="shared" si="1400"/>
        <v>6.9636394097420728E-2</v>
      </c>
      <c r="CI894" s="885">
        <f t="shared" si="1400"/>
        <v>0.38790433699443816</v>
      </c>
      <c r="CJ894" s="1044">
        <f t="shared" si="1400"/>
        <v>0.38790433699443816</v>
      </c>
      <c r="CK894" s="3530">
        <f t="shared" si="1400"/>
        <v>0.38528979065620717</v>
      </c>
      <c r="CL894" s="885">
        <f t="shared" si="1400"/>
        <v>0.37069878543533497</v>
      </c>
      <c r="CM894" s="885">
        <f t="shared" si="1400"/>
        <v>0.37510100068369701</v>
      </c>
      <c r="CN894" s="1640">
        <f t="shared" si="1400"/>
        <v>7.5744150550788536E-2</v>
      </c>
      <c r="CO894" s="1640">
        <f t="shared" si="1400"/>
        <v>7.5744150550788536E-2</v>
      </c>
      <c r="CP894" s="885">
        <f>+CP893/CK893-1</f>
        <v>8.16867214428183E-2</v>
      </c>
      <c r="CQ894" s="885">
        <f>+CQ893/CL893-1</f>
        <v>7.4954662722744869E-2</v>
      </c>
      <c r="CR894" s="885">
        <f>+CR893/CM893-1</f>
        <v>7.1545145543301381E-2</v>
      </c>
      <c r="CS894" s="1640">
        <f>+CS893/CN893-1</f>
        <v>6.6871540343251157E-2</v>
      </c>
      <c r="CT894" s="1640">
        <f>+CT893/CO893-1</f>
        <v>6.6871540343251157E-2</v>
      </c>
      <c r="CU894" s="1044">
        <f>+CU893/CT893-1</f>
        <v>6.9681335152021795E-2</v>
      </c>
      <c r="CV894" s="1044">
        <f>+CV893/CU893-1</f>
        <v>3.4483974889345292E-2</v>
      </c>
      <c r="CW894" s="1771"/>
      <c r="CX894" s="885"/>
      <c r="CY894" s="885"/>
      <c r="CZ894" s="885"/>
      <c r="DA894" s="885"/>
      <c r="DB894" s="217"/>
      <c r="DC894" s="212"/>
      <c r="DD894" s="212"/>
      <c r="DE894" s="70"/>
    </row>
    <row r="895" spans="1:256" x14ac:dyDescent="0.2">
      <c r="A895" s="302" t="s">
        <v>663</v>
      </c>
      <c r="B895" s="1269"/>
      <c r="C895" s="1269"/>
      <c r="D895" s="1269"/>
      <c r="E895" s="1269"/>
      <c r="F895" s="1269"/>
      <c r="G895" s="1269"/>
      <c r="H895" s="1270"/>
      <c r="I895" s="2035">
        <f t="shared" ref="I895:AN895" si="1401">SUM(I639:I654)</f>
        <v>31990</v>
      </c>
      <c r="J895" s="2035">
        <f t="shared" si="1401"/>
        <v>34273</v>
      </c>
      <c r="K895" s="2035">
        <f t="shared" si="1401"/>
        <v>42204</v>
      </c>
      <c r="L895" s="2035">
        <f t="shared" si="1401"/>
        <v>43285</v>
      </c>
      <c r="M895" s="2036">
        <f t="shared" si="1401"/>
        <v>43285</v>
      </c>
      <c r="N895" s="2035">
        <f t="shared" si="1401"/>
        <v>44551</v>
      </c>
      <c r="O895" s="2035">
        <f t="shared" si="1401"/>
        <v>45240</v>
      </c>
      <c r="P895" s="2035">
        <f t="shared" si="1401"/>
        <v>47003</v>
      </c>
      <c r="Q895" s="2035">
        <f t="shared" si="1401"/>
        <v>46845</v>
      </c>
      <c r="R895" s="2036">
        <f t="shared" si="1401"/>
        <v>46845</v>
      </c>
      <c r="S895" s="2035">
        <f t="shared" si="1401"/>
        <v>48050</v>
      </c>
      <c r="T895" s="2035">
        <f t="shared" si="1401"/>
        <v>49505</v>
      </c>
      <c r="U895" s="2035">
        <f t="shared" si="1401"/>
        <v>51564</v>
      </c>
      <c r="V895" s="2035">
        <f t="shared" si="1401"/>
        <v>52943</v>
      </c>
      <c r="W895" s="2036">
        <f t="shared" si="1401"/>
        <v>52943</v>
      </c>
      <c r="X895" s="2035">
        <f t="shared" si="1401"/>
        <v>54696</v>
      </c>
      <c r="Y895" s="2035">
        <f t="shared" si="1401"/>
        <v>56080</v>
      </c>
      <c r="Z895" s="2035">
        <f t="shared" si="1401"/>
        <v>56523</v>
      </c>
      <c r="AA895" s="2035">
        <f t="shared" si="1401"/>
        <v>29953</v>
      </c>
      <c r="AB895" s="2036">
        <f t="shared" si="1401"/>
        <v>29953</v>
      </c>
      <c r="AC895" s="2035">
        <f t="shared" si="1401"/>
        <v>30353</v>
      </c>
      <c r="AD895" s="2035">
        <f t="shared" si="1401"/>
        <v>22608</v>
      </c>
      <c r="AE895" s="2035">
        <f t="shared" si="1401"/>
        <v>23166</v>
      </c>
      <c r="AF895" s="2035">
        <f t="shared" si="1401"/>
        <v>23598</v>
      </c>
      <c r="AG895" s="2036">
        <f t="shared" si="1401"/>
        <v>23598</v>
      </c>
      <c r="AH895" s="2035">
        <f t="shared" si="1401"/>
        <v>23683</v>
      </c>
      <c r="AI895" s="2035">
        <f t="shared" si="1401"/>
        <v>23326</v>
      </c>
      <c r="AJ895" s="2035">
        <f t="shared" si="1401"/>
        <v>23668</v>
      </c>
      <c r="AK895" s="2035">
        <f t="shared" si="1401"/>
        <v>24325</v>
      </c>
      <c r="AL895" s="2036">
        <f t="shared" si="1401"/>
        <v>24325</v>
      </c>
      <c r="AM895" s="2035">
        <f t="shared" si="1401"/>
        <v>24599</v>
      </c>
      <c r="AN895" s="2035">
        <f t="shared" si="1401"/>
        <v>24271</v>
      </c>
      <c r="AO895" s="2035">
        <f t="shared" ref="AO895:BO895" si="1402">SUM(AO639:AO654)</f>
        <v>25124</v>
      </c>
      <c r="AP895" s="2035">
        <f t="shared" si="1402"/>
        <v>25456</v>
      </c>
      <c r="AQ895" s="2036">
        <f t="shared" si="1402"/>
        <v>25456</v>
      </c>
      <c r="AR895" s="2035">
        <f t="shared" si="1402"/>
        <v>25054</v>
      </c>
      <c r="AS895" s="2035">
        <f t="shared" si="1402"/>
        <v>25087</v>
      </c>
      <c r="AT895" s="2035">
        <f t="shared" si="1402"/>
        <v>25183</v>
      </c>
      <c r="AU895" s="2035">
        <f t="shared" si="1402"/>
        <v>25502</v>
      </c>
      <c r="AV895" s="2036">
        <f t="shared" si="1402"/>
        <v>25502</v>
      </c>
      <c r="AW895" s="2035">
        <f t="shared" si="1402"/>
        <v>25663</v>
      </c>
      <c r="AX895" s="2035">
        <f t="shared" si="1402"/>
        <v>25802</v>
      </c>
      <c r="AY895" s="2035">
        <f t="shared" si="1402"/>
        <v>25697</v>
      </c>
      <c r="AZ895" s="2035">
        <f t="shared" si="1402"/>
        <v>25560</v>
      </c>
      <c r="BA895" s="2036">
        <f t="shared" si="1402"/>
        <v>25560</v>
      </c>
      <c r="BB895" s="2035">
        <f t="shared" si="1402"/>
        <v>26577</v>
      </c>
      <c r="BC895" s="2035">
        <f t="shared" si="1402"/>
        <v>26918</v>
      </c>
      <c r="BD895" s="2035">
        <f t="shared" si="1402"/>
        <v>27566</v>
      </c>
      <c r="BE895" s="2035">
        <f t="shared" si="1402"/>
        <v>27717</v>
      </c>
      <c r="BF895" s="2036">
        <f t="shared" si="1402"/>
        <v>27717</v>
      </c>
      <c r="BG895" s="2035">
        <f t="shared" si="1402"/>
        <v>28260</v>
      </c>
      <c r="BH895" s="2035">
        <f t="shared" si="1402"/>
        <v>28918</v>
      </c>
      <c r="BI895" s="2035">
        <f t="shared" si="1402"/>
        <v>29888</v>
      </c>
      <c r="BJ895" s="2035">
        <f t="shared" si="1402"/>
        <v>30308</v>
      </c>
      <c r="BK895" s="2036">
        <f t="shared" si="1402"/>
        <v>30308</v>
      </c>
      <c r="BL895" s="2035">
        <f t="shared" si="1402"/>
        <v>31154</v>
      </c>
      <c r="BM895" s="2035">
        <f t="shared" si="1402"/>
        <v>31100</v>
      </c>
      <c r="BN895" s="2035">
        <f t="shared" si="1402"/>
        <v>31467</v>
      </c>
      <c r="BO895" s="2035">
        <f t="shared" si="1402"/>
        <v>32958</v>
      </c>
      <c r="BP895" s="1270">
        <f>BO895</f>
        <v>32958</v>
      </c>
      <c r="BQ895" s="2035">
        <f>SUM(BQ639:BQ654)</f>
        <v>33128</v>
      </c>
      <c r="BR895" s="2035">
        <f>SUM(BR639:BR654)</f>
        <v>33901</v>
      </c>
      <c r="BS895" s="2035">
        <f>SUM(BS639:BS654)</f>
        <v>34746</v>
      </c>
      <c r="BT895" s="2035">
        <f>SUM(BT639:BT654)</f>
        <v>35859</v>
      </c>
      <c r="BU895" s="1270">
        <f>BT895</f>
        <v>35859</v>
      </c>
      <c r="BV895" s="2035">
        <f>SUM(BV639:BV654)</f>
        <v>37245</v>
      </c>
      <c r="BW895" s="2035">
        <f>SUM(BW639:BW654)</f>
        <v>41941</v>
      </c>
      <c r="BX895" s="2035">
        <f>SUM(BX639:BX654)</f>
        <v>42983</v>
      </c>
      <c r="BY895" s="2035">
        <f>SUM(BY639:BY654)</f>
        <v>47875</v>
      </c>
      <c r="BZ895" s="1270">
        <f>BY895</f>
        <v>47875</v>
      </c>
      <c r="CA895" s="2035">
        <f>SUM(CA639:CA654)</f>
        <v>37339</v>
      </c>
      <c r="CB895" s="2035">
        <f>SUM(CB639:CB654)</f>
        <v>38681</v>
      </c>
      <c r="CC895" s="2035">
        <f>SUM(CC639:CC654)</f>
        <v>39794</v>
      </c>
      <c r="CD895" s="2035">
        <f>SUM(CD639:CD654)</f>
        <v>42388</v>
      </c>
      <c r="CE895" s="1270">
        <f>CD895</f>
        <v>42388</v>
      </c>
      <c r="CF895" s="2035">
        <f>SUM(CF639:CF654)</f>
        <v>43490</v>
      </c>
      <c r="CG895" s="2035">
        <f>SUM(CG639:CG654)</f>
        <v>44544</v>
      </c>
      <c r="CH895" s="2035">
        <f>SUM(CH638:CH654)</f>
        <v>45914</v>
      </c>
      <c r="CI895" s="2035">
        <f>SUM(CI638:CI666)</f>
        <v>89612</v>
      </c>
      <c r="CJ895" s="2036">
        <f t="shared" ref="CJ895:CV895" si="1403">SUM(CJ638:CJ667)</f>
        <v>89612</v>
      </c>
      <c r="CK895" s="3535">
        <f>SUM(CK638:CK666)</f>
        <v>91212</v>
      </c>
      <c r="CL895" s="2035">
        <f t="shared" ca="1" si="1403"/>
        <v>92221</v>
      </c>
      <c r="CM895" s="2035">
        <f ca="1">SUM(CM638:CM667)</f>
        <v>96612</v>
      </c>
      <c r="CN895" s="2035">
        <f t="shared" ca="1" si="1403"/>
        <v>98668</v>
      </c>
      <c r="CO895" s="2036">
        <f t="shared" ca="1" si="1403"/>
        <v>98668</v>
      </c>
      <c r="CP895" s="2035">
        <f>SUM(CP638:CP667)</f>
        <v>98508.959999999992</v>
      </c>
      <c r="CQ895" s="2035">
        <f ca="1">SUM(CQ638:CQ667)</f>
        <v>99598.68</v>
      </c>
      <c r="CR895" s="2035">
        <f ca="1">SUM(CR638:CR667)</f>
        <v>105307.07999999999</v>
      </c>
      <c r="CS895" s="2035">
        <f ca="1">SUM(CS638:CS667)</f>
        <v>107548.12000000001</v>
      </c>
      <c r="CT895" s="2036">
        <f ca="1">SUM(CT638:CT667)</f>
        <v>107548.12000000001</v>
      </c>
      <c r="CU895" s="2036">
        <f t="shared" ca="1" si="1403"/>
        <v>115614.22899999999</v>
      </c>
      <c r="CV895" s="2036">
        <f t="shared" ca="1" si="1403"/>
        <v>120238.79816000001</v>
      </c>
      <c r="CW895" s="374"/>
      <c r="CX895" s="374"/>
      <c r="CY895" s="374"/>
      <c r="CZ895" s="374"/>
      <c r="DA895" s="374"/>
      <c r="DB895" s="217"/>
    </row>
    <row r="896" spans="1:256" s="11" customFormat="1" x14ac:dyDescent="0.2">
      <c r="A896" s="2389" t="s">
        <v>652</v>
      </c>
      <c r="B896" s="243"/>
      <c r="C896" s="243"/>
      <c r="D896" s="243"/>
      <c r="E896" s="243"/>
      <c r="F896" s="243"/>
      <c r="G896" s="243"/>
      <c r="H896" s="2012"/>
      <c r="I896" s="243"/>
      <c r="J896" s="243"/>
      <c r="K896" s="243"/>
      <c r="L896" s="243"/>
      <c r="M896" s="2012"/>
      <c r="N896" s="885">
        <f t="shared" ref="N896:AS896" si="1404">+N895/I895-1</f>
        <v>0.39265395436073769</v>
      </c>
      <c r="O896" s="885">
        <f t="shared" si="1404"/>
        <v>0.31998949610480554</v>
      </c>
      <c r="P896" s="885">
        <f t="shared" si="1404"/>
        <v>0.11370960098568861</v>
      </c>
      <c r="Q896" s="885">
        <f t="shared" si="1404"/>
        <v>8.2245581610257634E-2</v>
      </c>
      <c r="R896" s="1044">
        <f t="shared" si="1404"/>
        <v>8.2245581610257634E-2</v>
      </c>
      <c r="S896" s="885">
        <f t="shared" si="1404"/>
        <v>7.8539202262575492E-2</v>
      </c>
      <c r="T896" s="885">
        <f t="shared" si="1404"/>
        <v>9.4274977895667522E-2</v>
      </c>
      <c r="U896" s="885">
        <f t="shared" si="1404"/>
        <v>9.7036359381316162E-2</v>
      </c>
      <c r="V896" s="885">
        <f t="shared" si="1404"/>
        <v>0.13017397801259478</v>
      </c>
      <c r="W896" s="1044">
        <f t="shared" si="1404"/>
        <v>0.13017397801259478</v>
      </c>
      <c r="X896" s="885">
        <f t="shared" si="1404"/>
        <v>0.13831425598335079</v>
      </c>
      <c r="Y896" s="885">
        <f t="shared" si="1404"/>
        <v>0.1328148671851328</v>
      </c>
      <c r="Z896" s="885">
        <f t="shared" si="1404"/>
        <v>9.6171747730975143E-2</v>
      </c>
      <c r="AA896" s="885">
        <f t="shared" si="1404"/>
        <v>-0.43424059837938911</v>
      </c>
      <c r="AB896" s="1044">
        <f t="shared" si="1404"/>
        <v>-0.43424059837938911</v>
      </c>
      <c r="AC896" s="885">
        <f t="shared" si="1404"/>
        <v>-0.44505996782214419</v>
      </c>
      <c r="AD896" s="885">
        <f t="shared" si="1404"/>
        <v>-0.59686162624821681</v>
      </c>
      <c r="AE896" s="885">
        <f t="shared" si="1404"/>
        <v>-0.59014914282681386</v>
      </c>
      <c r="AF896" s="885">
        <f t="shared" si="1404"/>
        <v>-0.21216572630454378</v>
      </c>
      <c r="AG896" s="1044">
        <f t="shared" si="1404"/>
        <v>-0.21216572630454378</v>
      </c>
      <c r="AH896" s="885">
        <f t="shared" si="1404"/>
        <v>-0.21974763614799198</v>
      </c>
      <c r="AI896" s="885">
        <f t="shared" si="1404"/>
        <v>3.1758669497522929E-2</v>
      </c>
      <c r="AJ896" s="885">
        <f t="shared" si="1404"/>
        <v>2.1669688336354964E-2</v>
      </c>
      <c r="AK896" s="885">
        <f t="shared" si="1404"/>
        <v>3.0807695567421023E-2</v>
      </c>
      <c r="AL896" s="1044">
        <f t="shared" si="1404"/>
        <v>3.0807695567421023E-2</v>
      </c>
      <c r="AM896" s="885">
        <f t="shared" si="1404"/>
        <v>3.8677532407211945E-2</v>
      </c>
      <c r="AN896" s="885">
        <f t="shared" si="1404"/>
        <v>4.0512732573094512E-2</v>
      </c>
      <c r="AO896" s="885">
        <f t="shared" si="1404"/>
        <v>6.1517660976846411E-2</v>
      </c>
      <c r="AP896" s="885">
        <f t="shared" si="1404"/>
        <v>4.6495375128468686E-2</v>
      </c>
      <c r="AQ896" s="1044">
        <f t="shared" si="1404"/>
        <v>4.6495375128468686E-2</v>
      </c>
      <c r="AR896" s="885">
        <f t="shared" si="1404"/>
        <v>1.8496686857189415E-2</v>
      </c>
      <c r="AS896" s="885">
        <f t="shared" si="1404"/>
        <v>3.362036998887552E-2</v>
      </c>
      <c r="AT896" s="885">
        <f t="shared" ref="AT896:BV896" si="1405">+AT895/AO895-1</f>
        <v>2.3483521732208246E-3</v>
      </c>
      <c r="AU896" s="885">
        <f t="shared" si="1405"/>
        <v>1.8070395977372034E-3</v>
      </c>
      <c r="AV896" s="1044">
        <f t="shared" si="1405"/>
        <v>1.8070395977372034E-3</v>
      </c>
      <c r="AW896" s="885">
        <f t="shared" si="1405"/>
        <v>2.4307495809052337E-2</v>
      </c>
      <c r="AX896" s="885">
        <f t="shared" si="1405"/>
        <v>2.8500817156296154E-2</v>
      </c>
      <c r="AY896" s="885">
        <f t="shared" si="1405"/>
        <v>2.041059444863591E-2</v>
      </c>
      <c r="AZ896" s="885">
        <f t="shared" si="1405"/>
        <v>2.2743314249862312E-3</v>
      </c>
      <c r="BA896" s="1044">
        <f t="shared" si="1405"/>
        <v>2.2743314249862312E-3</v>
      </c>
      <c r="BB896" s="885">
        <f t="shared" si="1405"/>
        <v>3.5615477535751783E-2</v>
      </c>
      <c r="BC896" s="885">
        <f t="shared" si="1405"/>
        <v>4.3252461049531066E-2</v>
      </c>
      <c r="BD896" s="885">
        <f t="shared" si="1405"/>
        <v>7.2732225551620733E-2</v>
      </c>
      <c r="BE896" s="885">
        <f t="shared" si="1405"/>
        <v>8.4389671361502439E-2</v>
      </c>
      <c r="BF896" s="1044">
        <f t="shared" si="1405"/>
        <v>8.4389671361502439E-2</v>
      </c>
      <c r="BG896" s="885">
        <f t="shared" si="1405"/>
        <v>6.3325431764307494E-2</v>
      </c>
      <c r="BH896" s="885">
        <f t="shared" si="1405"/>
        <v>7.4299725091017121E-2</v>
      </c>
      <c r="BI896" s="885">
        <f t="shared" si="1405"/>
        <v>8.4234201552637389E-2</v>
      </c>
      <c r="BJ896" s="885">
        <f t="shared" si="1405"/>
        <v>9.348053541148027E-2</v>
      </c>
      <c r="BK896" s="1044">
        <f t="shared" si="1405"/>
        <v>9.348053541148027E-2</v>
      </c>
      <c r="BL896" s="885">
        <f t="shared" si="1405"/>
        <v>0.10240622788393483</v>
      </c>
      <c r="BM896" s="885">
        <f t="shared" si="1405"/>
        <v>7.5454734075662167E-2</v>
      </c>
      <c r="BN896" s="885">
        <f t="shared" si="1405"/>
        <v>5.2830567451820132E-2</v>
      </c>
      <c r="BO896" s="885">
        <f t="shared" si="1405"/>
        <v>8.7435660551669514E-2</v>
      </c>
      <c r="BP896" s="1044">
        <f t="shared" si="1405"/>
        <v>8.7435660551669514E-2</v>
      </c>
      <c r="BQ896" s="885">
        <f t="shared" si="1405"/>
        <v>6.3362650060987402E-2</v>
      </c>
      <c r="BR896" s="885">
        <f t="shared" si="1405"/>
        <v>9.0064308681671923E-2</v>
      </c>
      <c r="BS896" s="885">
        <f t="shared" si="1405"/>
        <v>0.10420440461435798</v>
      </c>
      <c r="BT896" s="885">
        <f>+BT895/BO895-1</f>
        <v>8.8021117786273528E-2</v>
      </c>
      <c r="BU896" s="1044">
        <f>+BU895/BP895-1</f>
        <v>8.8021117786273528E-2</v>
      </c>
      <c r="BV896" s="885">
        <f t="shared" si="1405"/>
        <v>0.12427553730982854</v>
      </c>
      <c r="BW896" s="885">
        <f t="shared" ref="BW896:CF896" si="1406">+BW895/BR895-1</f>
        <v>0.23716114568891777</v>
      </c>
      <c r="BX896" s="885">
        <f t="shared" si="1406"/>
        <v>0.237063259080182</v>
      </c>
      <c r="BY896" s="885">
        <f t="shared" si="1406"/>
        <v>0.33509021445104437</v>
      </c>
      <c r="BZ896" s="1044">
        <f t="shared" si="1406"/>
        <v>0.33509021445104437</v>
      </c>
      <c r="CA896" s="885">
        <f t="shared" si="1406"/>
        <v>2.5238287018392036E-3</v>
      </c>
      <c r="CB896" s="885">
        <f t="shared" si="1406"/>
        <v>-7.7728237285710877E-2</v>
      </c>
      <c r="CC896" s="885">
        <f t="shared" si="1406"/>
        <v>-7.4192122467021893E-2</v>
      </c>
      <c r="CD896" s="885">
        <f t="shared" si="1406"/>
        <v>-0.11461096605744125</v>
      </c>
      <c r="CE896" s="1044">
        <f t="shared" si="1406"/>
        <v>-0.11461096605744125</v>
      </c>
      <c r="CF896" s="885">
        <f t="shared" si="1406"/>
        <v>0.1647339243150594</v>
      </c>
      <c r="CG896" s="885">
        <f t="shared" ref="CG896:CO896" si="1407">+CG895/CB895-1</f>
        <v>0.15157312375584908</v>
      </c>
      <c r="CH896" s="885">
        <f t="shared" si="1407"/>
        <v>0.15379202894908772</v>
      </c>
      <c r="CI896" s="885">
        <f t="shared" si="1407"/>
        <v>1.1140888930829478</v>
      </c>
      <c r="CJ896" s="1044">
        <f t="shared" si="1407"/>
        <v>1.1140888930829478</v>
      </c>
      <c r="CK896" s="3530">
        <f t="shared" si="1407"/>
        <v>1.0973097263738789</v>
      </c>
      <c r="CL896" s="885">
        <f t="shared" ca="1" si="1407"/>
        <v>1.0703349497126435</v>
      </c>
      <c r="CM896" s="885">
        <f t="shared" ca="1" si="1407"/>
        <v>1.1041947989719909</v>
      </c>
      <c r="CN896" s="1640">
        <f t="shared" ca="1" si="1407"/>
        <v>0.10105789403204923</v>
      </c>
      <c r="CO896" s="1640">
        <f t="shared" ca="1" si="1407"/>
        <v>0.10105789403204923</v>
      </c>
      <c r="CP896" s="3670">
        <v>0.08</v>
      </c>
      <c r="CQ896" s="3671">
        <v>0.08</v>
      </c>
      <c r="CR896" s="3671">
        <v>0.09</v>
      </c>
      <c r="CS896" s="3672">
        <v>0.09</v>
      </c>
      <c r="CT896" s="1640">
        <f ca="1">+CT895/CO895-1</f>
        <v>9.000000000000008E-2</v>
      </c>
      <c r="CU896" s="1046">
        <v>7.4999999999999997E-2</v>
      </c>
      <c r="CV896" s="1046">
        <v>0.04</v>
      </c>
      <c r="CW896" s="2702"/>
      <c r="CX896" s="2702"/>
      <c r="CY896" s="2702"/>
      <c r="CZ896" s="2702"/>
      <c r="DA896" s="2702"/>
      <c r="DB896" s="217"/>
      <c r="DC896" s="212"/>
      <c r="DD896" s="212"/>
      <c r="DE896" s="70"/>
    </row>
    <row r="897" spans="1:256" x14ac:dyDescent="0.2">
      <c r="A897" s="2389" t="s">
        <v>653</v>
      </c>
      <c r="B897" s="243"/>
      <c r="C897" s="243"/>
      <c r="D897" s="243"/>
      <c r="E897" s="243"/>
      <c r="F897" s="243"/>
      <c r="G897" s="243"/>
      <c r="H897" s="2012"/>
      <c r="I897" s="243"/>
      <c r="J897" s="243"/>
      <c r="K897" s="243"/>
      <c r="L897" s="243"/>
      <c r="M897" s="2012"/>
      <c r="N897" s="885"/>
      <c r="O897" s="885"/>
      <c r="P897" s="885"/>
      <c r="Q897" s="885"/>
      <c r="R897" s="1044"/>
      <c r="S897" s="885"/>
      <c r="T897" s="885"/>
      <c r="U897" s="885"/>
      <c r="V897" s="885"/>
      <c r="W897" s="1044"/>
      <c r="X897" s="885"/>
      <c r="Y897" s="885"/>
      <c r="Z897" s="885"/>
      <c r="AA897" s="885"/>
      <c r="AB897" s="1044"/>
      <c r="AC897" s="885"/>
      <c r="AD897" s="885"/>
      <c r="AE897" s="885"/>
      <c r="AF897" s="885"/>
      <c r="AG897" s="1044"/>
      <c r="AH897" s="885"/>
      <c r="AI897" s="885"/>
      <c r="AJ897" s="885"/>
      <c r="AK897" s="885"/>
      <c r="AL897" s="1044"/>
      <c r="AM897" s="885"/>
      <c r="AN897" s="885"/>
      <c r="AO897" s="885"/>
      <c r="AP897" s="885"/>
      <c r="AQ897" s="1044"/>
      <c r="AR897" s="885"/>
      <c r="AS897" s="885"/>
      <c r="AT897" s="885"/>
      <c r="AU897" s="885"/>
      <c r="AV897" s="1044"/>
      <c r="AW897" s="885"/>
      <c r="AX897" s="885"/>
      <c r="AY897" s="885"/>
      <c r="AZ897" s="885"/>
      <c r="BA897" s="1044"/>
      <c r="BB897" s="885">
        <f>+BB895/BA895-1</f>
        <v>3.97887323943662E-2</v>
      </c>
      <c r="BC897" s="885">
        <f>+BC895/BB895-1</f>
        <v>1.2830643037212708E-2</v>
      </c>
      <c r="BD897" s="885">
        <f>+BD895/BC895-1</f>
        <v>2.4073110929489605E-2</v>
      </c>
      <c r="BE897" s="885">
        <f>+BE895/BD895-1</f>
        <v>5.4777624610027331E-3</v>
      </c>
      <c r="BF897" s="1044"/>
      <c r="BG897" s="885">
        <f>+BG895/BF895-1</f>
        <v>1.9590864812209174E-2</v>
      </c>
      <c r="BH897" s="885">
        <f>+BH895/BG895-1</f>
        <v>2.3283793347487647E-2</v>
      </c>
      <c r="BI897" s="885">
        <f>+BI895/BH895-1</f>
        <v>3.3543121930977193E-2</v>
      </c>
      <c r="BJ897" s="885">
        <f>+BJ895/BI895-1</f>
        <v>1.4052462526766618E-2</v>
      </c>
      <c r="BK897" s="1044"/>
      <c r="BL897" s="885">
        <f>+BL895/BK895-1</f>
        <v>2.7913422198759363E-2</v>
      </c>
      <c r="BM897" s="885">
        <f>+BM895/BL895-1</f>
        <v>-1.733324773704803E-3</v>
      </c>
      <c r="BN897" s="885">
        <f>+BN895/BM895-1</f>
        <v>1.180064308681672E-2</v>
      </c>
      <c r="BO897" s="885">
        <f>+BO895/BN895-1</f>
        <v>4.738297263800173E-2</v>
      </c>
      <c r="BP897" s="1044"/>
      <c r="BQ897" s="885">
        <f>+BQ895/BP895-1</f>
        <v>5.1580799805812649E-3</v>
      </c>
      <c r="BR897" s="885">
        <f>+BR895/BQ895-1</f>
        <v>2.3333735812605561E-2</v>
      </c>
      <c r="BS897" s="885">
        <f>+BS895/BR895-1</f>
        <v>2.4925518421285542E-2</v>
      </c>
      <c r="BT897" s="885">
        <f>+BT895/BS895-1</f>
        <v>3.2032464168537444E-2</v>
      </c>
      <c r="BU897" s="1044"/>
      <c r="BV897" s="885">
        <f>+BV895/BU895-1</f>
        <v>3.865138458964279E-2</v>
      </c>
      <c r="BW897" s="885">
        <f>+BW895/BV895-1</f>
        <v>0.12608403812592295</v>
      </c>
      <c r="BX897" s="885">
        <f>+BX895/BW895-1</f>
        <v>2.4844424310340729E-2</v>
      </c>
      <c r="BY897" s="885">
        <f>+BY895/BX895-1</f>
        <v>0.11381243747528091</v>
      </c>
      <c r="BZ897" s="1044"/>
      <c r="CA897" s="885">
        <f>+CA895/BZ895-1</f>
        <v>-0.22007310704960836</v>
      </c>
      <c r="CB897" s="885">
        <f>+CB895/CA895-1</f>
        <v>3.5940973245132346E-2</v>
      </c>
      <c r="CC897" s="885">
        <f>+CC895/CB895-1</f>
        <v>2.8773816602466251E-2</v>
      </c>
      <c r="CD897" s="2606">
        <f>+CD895/CC895-1</f>
        <v>6.5185706387897779E-2</v>
      </c>
      <c r="CE897" s="1044"/>
      <c r="CF897" s="885">
        <f>+CF895/CE895-1</f>
        <v>2.5997923940737966E-2</v>
      </c>
      <c r="CG897" s="885">
        <f>+CG895/CF895-1</f>
        <v>2.4235456426764834E-2</v>
      </c>
      <c r="CH897" s="885">
        <f>+CH895/CG895-1</f>
        <v>3.0756106321839116E-2</v>
      </c>
      <c r="CI897" s="885">
        <f>+CI895/CH895-1</f>
        <v>0.9517358539878904</v>
      </c>
      <c r="CJ897" s="1044"/>
      <c r="CK897" s="3530">
        <f>+CK895/CJ895-1</f>
        <v>1.7854751595768326E-2</v>
      </c>
      <c r="CL897" s="3538">
        <f ca="1">+CL895/CK895-1</f>
        <v>1.1062140946366705E-2</v>
      </c>
      <c r="CM897" s="3538">
        <f ca="1">+CM895/CL895-1</f>
        <v>4.7613884039427123E-2</v>
      </c>
      <c r="CN897" s="1278">
        <f ca="1">+CN895/CM895-1</f>
        <v>2.1281000289819163E-2</v>
      </c>
      <c r="CO897" s="1044"/>
      <c r="CP897" s="3530"/>
      <c r="CQ897" s="885"/>
      <c r="CR897" s="886"/>
      <c r="CS897" s="886"/>
      <c r="CT897" s="1044"/>
      <c r="CU897" s="1044"/>
      <c r="CV897" s="1044"/>
      <c r="CW897" s="2702"/>
      <c r="CX897" s="2702"/>
      <c r="CY897" s="2702"/>
      <c r="CZ897" s="2702"/>
      <c r="DA897" s="2702"/>
      <c r="DB897" s="217"/>
      <c r="DF897" s="11"/>
      <c r="DG897" s="11"/>
      <c r="DH897" s="11"/>
      <c r="DI897" s="11"/>
      <c r="DJ897" s="11"/>
      <c r="DK897" s="11"/>
      <c r="DL897" s="11"/>
      <c r="DM897" s="11"/>
      <c r="DN897" s="11"/>
      <c r="DO897" s="11"/>
      <c r="DP897" s="11"/>
      <c r="DQ897" s="11"/>
      <c r="DR897" s="11"/>
      <c r="DS897" s="11"/>
      <c r="DT897" s="11"/>
      <c r="DU897" s="11"/>
      <c r="DV897" s="11"/>
      <c r="DW897" s="11"/>
      <c r="DX897" s="11"/>
      <c r="DY897" s="11"/>
      <c r="DZ897" s="11"/>
      <c r="EA897" s="11"/>
      <c r="EB897" s="11"/>
      <c r="EC897" s="11"/>
      <c r="ED897" s="11"/>
      <c r="EE897" s="11"/>
      <c r="EF897" s="11"/>
      <c r="EG897" s="11"/>
      <c r="EH897" s="11"/>
      <c r="EI897" s="11"/>
      <c r="EJ897" s="11"/>
      <c r="EK897" s="11"/>
      <c r="EL897" s="11"/>
      <c r="EM897" s="11"/>
      <c r="EN897" s="11"/>
      <c r="EO897" s="11"/>
      <c r="EP897" s="11"/>
      <c r="EQ897" s="11"/>
      <c r="ER897" s="11"/>
      <c r="ES897" s="11"/>
      <c r="ET897" s="11"/>
      <c r="EU897" s="11"/>
      <c r="EV897" s="11"/>
      <c r="EW897" s="11"/>
      <c r="EX897" s="11"/>
      <c r="EY897" s="11"/>
      <c r="EZ897" s="11"/>
      <c r="FA897" s="11"/>
      <c r="FB897" s="11"/>
      <c r="FC897" s="11"/>
      <c r="FD897" s="11"/>
      <c r="FE897" s="11"/>
      <c r="FF897" s="11"/>
      <c r="FG897" s="11"/>
      <c r="FH897" s="11"/>
      <c r="FI897" s="11"/>
      <c r="FJ897" s="11"/>
      <c r="FK897" s="11"/>
      <c r="FL897" s="11"/>
      <c r="FM897" s="11"/>
      <c r="FN897" s="11"/>
      <c r="FO897" s="11"/>
      <c r="FP897" s="11"/>
      <c r="FQ897" s="11"/>
      <c r="FR897" s="11"/>
      <c r="FS897" s="11"/>
      <c r="FT897" s="11"/>
      <c r="FU897" s="11"/>
      <c r="FV897" s="11"/>
      <c r="FW897" s="11"/>
      <c r="FX897" s="11"/>
      <c r="FY897" s="11"/>
      <c r="FZ897" s="11"/>
      <c r="GA897" s="11"/>
      <c r="GB897" s="11"/>
      <c r="GC897" s="11"/>
      <c r="GD897" s="11"/>
      <c r="GE897" s="11"/>
      <c r="GF897" s="11"/>
      <c r="GG897" s="11"/>
      <c r="GH897" s="11"/>
      <c r="GI897" s="11"/>
      <c r="GJ897" s="11"/>
      <c r="GK897" s="11"/>
      <c r="GL897" s="11"/>
      <c r="GM897" s="11"/>
      <c r="GN897" s="11"/>
      <c r="GO897" s="11"/>
      <c r="GP897" s="11"/>
      <c r="GQ897" s="11"/>
      <c r="GR897" s="11"/>
      <c r="GS897" s="11"/>
      <c r="GT897" s="11"/>
      <c r="GU897" s="11"/>
      <c r="GV897" s="11"/>
      <c r="GW897" s="11"/>
      <c r="GX897" s="11"/>
      <c r="GY897" s="11"/>
      <c r="GZ897" s="11"/>
      <c r="HA897" s="11"/>
      <c r="HB897" s="11"/>
      <c r="HC897" s="11"/>
      <c r="HD897" s="11"/>
      <c r="HE897" s="11"/>
      <c r="HF897" s="11"/>
      <c r="HG897" s="11"/>
      <c r="HH897" s="11"/>
      <c r="HI897" s="11"/>
      <c r="HJ897" s="11"/>
      <c r="HK897" s="11"/>
      <c r="HL897" s="11"/>
      <c r="HM897" s="11"/>
      <c r="HN897" s="11"/>
      <c r="HO897" s="11"/>
      <c r="HP897" s="11"/>
      <c r="HQ897" s="11"/>
      <c r="HR897" s="11"/>
      <c r="HS897" s="11"/>
      <c r="HT897" s="11"/>
      <c r="HU897" s="11"/>
      <c r="HV897" s="11"/>
      <c r="HW897" s="11"/>
      <c r="HX897" s="11"/>
      <c r="HY897" s="11"/>
      <c r="HZ897" s="11"/>
      <c r="IA897" s="11"/>
      <c r="IB897" s="11"/>
      <c r="IC897" s="11"/>
      <c r="ID897" s="11"/>
      <c r="IE897" s="11"/>
      <c r="IF897" s="11"/>
      <c r="IG897" s="11"/>
      <c r="IH897" s="11"/>
      <c r="II897" s="11"/>
      <c r="IJ897" s="11"/>
      <c r="IK897" s="11"/>
      <c r="IL897" s="11"/>
      <c r="IM897" s="11"/>
      <c r="IN897" s="11"/>
      <c r="IO897" s="11"/>
      <c r="IP897" s="11"/>
      <c r="IQ897" s="11"/>
      <c r="IR897" s="11"/>
      <c r="IS897" s="11"/>
      <c r="IT897" s="11"/>
      <c r="IU897" s="11"/>
      <c r="IV897" s="11"/>
    </row>
    <row r="898" spans="1:256" s="11" customFormat="1" x14ac:dyDescent="0.2">
      <c r="A898" s="331" t="s">
        <v>470</v>
      </c>
      <c r="B898" s="1276">
        <v>124457</v>
      </c>
      <c r="C898" s="1456">
        <v>136003</v>
      </c>
      <c r="D898" s="1269"/>
      <c r="E898" s="1269"/>
      <c r="F898" s="1269"/>
      <c r="G898" s="1269"/>
      <c r="H898" s="1277">
        <v>159053</v>
      </c>
      <c r="I898" s="1269">
        <f t="shared" ref="I898:AN898" si="1408">I895+I893</f>
        <v>167131</v>
      </c>
      <c r="J898" s="1269">
        <f t="shared" si="1408"/>
        <v>175544</v>
      </c>
      <c r="K898" s="1269">
        <f t="shared" si="1408"/>
        <v>186949</v>
      </c>
      <c r="L898" s="1269">
        <f t="shared" si="1408"/>
        <v>200881</v>
      </c>
      <c r="M898" s="1270">
        <f t="shared" si="1408"/>
        <v>200881</v>
      </c>
      <c r="N898" s="1269">
        <f t="shared" si="1408"/>
        <v>204839</v>
      </c>
      <c r="O898" s="1269">
        <f t="shared" si="1408"/>
        <v>208401</v>
      </c>
      <c r="P898" s="1269">
        <f t="shared" si="1408"/>
        <v>213873</v>
      </c>
      <c r="Q898" s="1269">
        <f t="shared" si="1408"/>
        <v>219384</v>
      </c>
      <c r="R898" s="1270">
        <f t="shared" si="1408"/>
        <v>219384</v>
      </c>
      <c r="S898" s="1269">
        <f t="shared" si="1408"/>
        <v>225081</v>
      </c>
      <c r="T898" s="1269">
        <f t="shared" si="1408"/>
        <v>230729</v>
      </c>
      <c r="U898" s="1269">
        <f t="shared" si="1408"/>
        <v>236075</v>
      </c>
      <c r="V898" s="1269">
        <f t="shared" si="1408"/>
        <v>239648</v>
      </c>
      <c r="W898" s="1270">
        <f t="shared" si="1408"/>
        <v>239648</v>
      </c>
      <c r="X898" s="1269">
        <f t="shared" si="1408"/>
        <v>245022</v>
      </c>
      <c r="Y898" s="1269">
        <f t="shared" si="1408"/>
        <v>248193</v>
      </c>
      <c r="Z898" s="1269">
        <f t="shared" si="1408"/>
        <v>249060</v>
      </c>
      <c r="AA898" s="1269">
        <f t="shared" si="1408"/>
        <v>225715</v>
      </c>
      <c r="AB898" s="1270">
        <f t="shared" si="1408"/>
        <v>225715</v>
      </c>
      <c r="AC898" s="1269">
        <f t="shared" si="1408"/>
        <v>228386</v>
      </c>
      <c r="AD898" s="1269">
        <f t="shared" si="1408"/>
        <v>223722</v>
      </c>
      <c r="AE898" s="1269">
        <f t="shared" si="1408"/>
        <v>227579</v>
      </c>
      <c r="AF898" s="1269">
        <f t="shared" si="1408"/>
        <v>232048</v>
      </c>
      <c r="AG898" s="1270">
        <f t="shared" si="1408"/>
        <v>232048</v>
      </c>
      <c r="AH898" s="1269">
        <f t="shared" si="1408"/>
        <v>236886</v>
      </c>
      <c r="AI898" s="1269">
        <f t="shared" si="1408"/>
        <v>238750</v>
      </c>
      <c r="AJ898" s="1269">
        <f t="shared" si="1408"/>
        <v>240695</v>
      </c>
      <c r="AK898" s="1269">
        <f t="shared" si="1408"/>
        <v>243334</v>
      </c>
      <c r="AL898" s="1270">
        <f t="shared" si="1408"/>
        <v>243334</v>
      </c>
      <c r="AM898" s="1269">
        <f t="shared" si="1408"/>
        <v>244680</v>
      </c>
      <c r="AN898" s="1269">
        <f t="shared" si="1408"/>
        <v>247983</v>
      </c>
      <c r="AO898" s="1269">
        <f t="shared" ref="AO898:BK898" si="1409">AO895+AO893</f>
        <v>252857</v>
      </c>
      <c r="AP898" s="1269">
        <f t="shared" si="1409"/>
        <v>259297</v>
      </c>
      <c r="AQ898" s="1270">
        <f t="shared" si="1409"/>
        <v>259297</v>
      </c>
      <c r="AR898" s="1269">
        <f t="shared" si="1409"/>
        <v>261743</v>
      </c>
      <c r="AS898" s="1269">
        <f t="shared" si="1409"/>
        <v>267578</v>
      </c>
      <c r="AT898" s="1269">
        <f t="shared" si="1409"/>
        <v>270923</v>
      </c>
      <c r="AU898" s="1269">
        <f t="shared" si="1409"/>
        <v>279133</v>
      </c>
      <c r="AV898" s="1270">
        <f t="shared" si="1409"/>
        <v>279133</v>
      </c>
      <c r="AW898" s="1269">
        <f t="shared" si="1409"/>
        <v>283749</v>
      </c>
      <c r="AX898" s="1269">
        <f t="shared" si="1409"/>
        <v>289543</v>
      </c>
      <c r="AY898" s="1269">
        <f t="shared" si="1409"/>
        <v>298508</v>
      </c>
      <c r="AZ898" s="1269">
        <f t="shared" si="1409"/>
        <v>304269</v>
      </c>
      <c r="BA898" s="1270">
        <f t="shared" si="1409"/>
        <v>304269</v>
      </c>
      <c r="BB898" s="1269">
        <f t="shared" si="1409"/>
        <v>309944</v>
      </c>
      <c r="BC898" s="1269">
        <f t="shared" si="1409"/>
        <v>313899</v>
      </c>
      <c r="BD898" s="1269">
        <f t="shared" si="1409"/>
        <v>316919</v>
      </c>
      <c r="BE898" s="1269">
        <f t="shared" si="1409"/>
        <v>321293</v>
      </c>
      <c r="BF898" s="1270">
        <f t="shared" si="1409"/>
        <v>321293</v>
      </c>
      <c r="BG898" s="1269">
        <f t="shared" si="1409"/>
        <v>323248</v>
      </c>
      <c r="BH898" s="1269">
        <f t="shared" si="1409"/>
        <v>325314</v>
      </c>
      <c r="BI898" s="1269">
        <f t="shared" si="1409"/>
        <v>328899</v>
      </c>
      <c r="BJ898" s="1269">
        <f t="shared" si="1409"/>
        <v>332636</v>
      </c>
      <c r="BK898" s="1270">
        <f t="shared" si="1409"/>
        <v>332636</v>
      </c>
      <c r="BL898" s="1269">
        <f>BL895+BL893</f>
        <v>334967</v>
      </c>
      <c r="BM898" s="1269">
        <f>BM895+BM893</f>
        <v>337994</v>
      </c>
      <c r="BN898" s="1269">
        <f>BN895+BN893</f>
        <v>340699</v>
      </c>
      <c r="BO898" s="1269">
        <f>+BO895+BO893</f>
        <v>344314</v>
      </c>
      <c r="BP898" s="1270">
        <f>+BO898</f>
        <v>344314</v>
      </c>
      <c r="BQ898" s="1269">
        <f>BQ895+BQ893</f>
        <v>345747</v>
      </c>
      <c r="BR898" s="1269">
        <f>BR895+BR893</f>
        <v>351258</v>
      </c>
      <c r="BS898" s="1269">
        <f>BS895+BS893</f>
        <v>356066</v>
      </c>
      <c r="BT898" s="1269">
        <f>+BT895+BT893</f>
        <v>360396</v>
      </c>
      <c r="BU898" s="1270">
        <f>+BT898</f>
        <v>360396</v>
      </c>
      <c r="BV898" s="1269">
        <f>BV895+BV893</f>
        <v>364059</v>
      </c>
      <c r="BW898" s="1269">
        <f>+BW895+BW893</f>
        <v>372340</v>
      </c>
      <c r="BX898" s="1269">
        <f>+BX895+BX893</f>
        <v>379254</v>
      </c>
      <c r="BY898" s="1269">
        <f>+BY895+BY893</f>
        <v>388624</v>
      </c>
      <c r="BZ898" s="1270">
        <f>+BY898</f>
        <v>388624</v>
      </c>
      <c r="CA898" s="1269">
        <f>+CA895+CA893</f>
        <v>396853</v>
      </c>
      <c r="CB898" s="1269">
        <f>+CB895+CB893</f>
        <v>406510</v>
      </c>
      <c r="CC898" s="1269">
        <f>+CC895+CC893</f>
        <v>415833</v>
      </c>
      <c r="CD898" s="1269">
        <f>+CD895+CD893</f>
        <v>420507</v>
      </c>
      <c r="CE898" s="1270">
        <f>+CD898</f>
        <v>420507</v>
      </c>
      <c r="CF898" s="1269">
        <f>+CF895+CF893</f>
        <v>428216</v>
      </c>
      <c r="CG898" s="1269">
        <f>+CG895+CG893</f>
        <v>440159</v>
      </c>
      <c r="CH898" s="1269">
        <f>+CH895+CH893</f>
        <v>448139</v>
      </c>
      <c r="CI898" s="1269">
        <f>+CI895+CI893</f>
        <v>614405</v>
      </c>
      <c r="CJ898" s="1270">
        <f>+CI898</f>
        <v>614405</v>
      </c>
      <c r="CK898" s="3534">
        <f>+CK895+CK893</f>
        <v>624169</v>
      </c>
      <c r="CL898" s="1269">
        <f ca="1">+CL895+CL893</f>
        <v>634490</v>
      </c>
      <c r="CM898" s="1269">
        <f ca="1">+CM895+CM893</f>
        <v>649712</v>
      </c>
      <c r="CN898" s="1269">
        <f ca="1">+CN895+CN893</f>
        <v>663211</v>
      </c>
      <c r="CO898" s="1270">
        <f ca="1">+CN898</f>
        <v>663211</v>
      </c>
      <c r="CP898" s="1269">
        <f t="shared" ref="CP898:CV898" si="1410">+CP895+CP893</f>
        <v>675001.47000000009</v>
      </c>
      <c r="CQ898" s="1269">
        <f t="shared" ca="1" si="1410"/>
        <v>682513.27</v>
      </c>
      <c r="CR898" s="1269">
        <f t="shared" ca="1" si="1410"/>
        <v>697978.7</v>
      </c>
      <c r="CS898" s="1269">
        <f t="shared" ca="1" si="1410"/>
        <v>709842.98</v>
      </c>
      <c r="CT898" s="1270">
        <f ca="1">+CS898</f>
        <v>709842.98</v>
      </c>
      <c r="CU898" s="1270">
        <f t="shared" ca="1" si="1410"/>
        <v>759877.79900000012</v>
      </c>
      <c r="CV898" s="1270">
        <f t="shared" ca="1" si="1410"/>
        <v>786719.13693000004</v>
      </c>
      <c r="CW898" s="374"/>
      <c r="CX898" s="374"/>
      <c r="CY898" s="374"/>
      <c r="CZ898" s="374"/>
      <c r="DA898" s="374"/>
      <c r="DB898" s="217"/>
      <c r="DC898" s="212"/>
      <c r="DD898" s="212"/>
      <c r="DE898" s="70"/>
      <c r="DF898" s="70"/>
      <c r="DG898" s="70"/>
      <c r="DH898" s="70"/>
      <c r="DI898" s="70"/>
      <c r="DJ898" s="70"/>
      <c r="DK898" s="70"/>
      <c r="DL898" s="70"/>
      <c r="DM898" s="70"/>
      <c r="DN898" s="70"/>
      <c r="DO898" s="70"/>
      <c r="DP898" s="70"/>
      <c r="DQ898" s="70"/>
      <c r="DR898" s="70"/>
      <c r="DS898" s="70"/>
      <c r="DT898" s="70"/>
      <c r="DU898" s="70"/>
      <c r="DV898" s="70"/>
      <c r="DW898" s="70"/>
      <c r="DX898" s="70"/>
      <c r="DY898" s="70"/>
      <c r="DZ898" s="70"/>
      <c r="EA898" s="70"/>
      <c r="EB898" s="70"/>
      <c r="EC898" s="70"/>
      <c r="ED898" s="70"/>
      <c r="EE898" s="70"/>
      <c r="EF898" s="70"/>
      <c r="EG898" s="70"/>
      <c r="EH898" s="70"/>
      <c r="EI898" s="70"/>
      <c r="EJ898" s="70"/>
      <c r="EK898" s="70"/>
      <c r="EL898" s="70"/>
      <c r="EM898" s="70"/>
      <c r="EN898" s="70"/>
      <c r="EO898" s="70"/>
      <c r="EP898" s="70"/>
      <c r="EQ898" s="70"/>
      <c r="ER898" s="70"/>
      <c r="ES898" s="70"/>
      <c r="ET898" s="70"/>
      <c r="EU898" s="70"/>
      <c r="EV898" s="70"/>
      <c r="EW898" s="70"/>
      <c r="EX898" s="70"/>
      <c r="EY898" s="70"/>
      <c r="EZ898" s="70"/>
      <c r="FA898" s="70"/>
      <c r="FB898" s="70"/>
      <c r="FC898" s="70"/>
      <c r="FD898" s="70"/>
      <c r="FE898" s="70"/>
      <c r="FF898" s="70"/>
      <c r="FG898" s="70"/>
      <c r="FH898" s="70"/>
      <c r="FI898" s="70"/>
      <c r="FJ898" s="70"/>
      <c r="FK898" s="70"/>
      <c r="FL898" s="70"/>
      <c r="FM898" s="70"/>
      <c r="FN898" s="70"/>
      <c r="FO898" s="70"/>
      <c r="FP898" s="70"/>
      <c r="FQ898" s="70"/>
      <c r="FR898" s="70"/>
      <c r="FS898" s="70"/>
      <c r="FT898" s="70"/>
      <c r="FU898" s="70"/>
      <c r="FV898" s="70"/>
      <c r="FW898" s="70"/>
      <c r="FX898" s="70"/>
      <c r="FY898" s="70"/>
      <c r="FZ898" s="70"/>
      <c r="GA898" s="70"/>
      <c r="GB898" s="70"/>
      <c r="GC898" s="70"/>
      <c r="GD898" s="70"/>
      <c r="GE898" s="70"/>
      <c r="GF898" s="70"/>
      <c r="GG898" s="70"/>
      <c r="GH898" s="70"/>
      <c r="GI898" s="70"/>
      <c r="GJ898" s="70"/>
      <c r="GK898" s="70"/>
      <c r="GL898" s="70"/>
      <c r="GM898" s="70"/>
      <c r="GN898" s="70"/>
      <c r="GO898" s="70"/>
      <c r="GP898" s="70"/>
      <c r="GQ898" s="70"/>
      <c r="GR898" s="70"/>
      <c r="GS898" s="70"/>
      <c r="GT898" s="70"/>
      <c r="GU898" s="70"/>
      <c r="GV898" s="70"/>
      <c r="GW898" s="70"/>
      <c r="GX898" s="70"/>
      <c r="GY898" s="70"/>
      <c r="GZ898" s="70"/>
      <c r="HA898" s="70"/>
      <c r="HB898" s="70"/>
      <c r="HC898" s="70"/>
      <c r="HD898" s="70"/>
      <c r="HE898" s="70"/>
      <c r="HF898" s="70"/>
      <c r="HG898" s="70"/>
      <c r="HH898" s="70"/>
      <c r="HI898" s="70"/>
      <c r="HJ898" s="70"/>
      <c r="HK898" s="70"/>
      <c r="HL898" s="70"/>
      <c r="HM898" s="70"/>
      <c r="HN898" s="70"/>
      <c r="HO898" s="70"/>
      <c r="HP898" s="70"/>
      <c r="HQ898" s="70"/>
      <c r="HR898" s="70"/>
      <c r="HS898" s="70"/>
      <c r="HT898" s="70"/>
      <c r="HU898" s="70"/>
      <c r="HV898" s="70"/>
      <c r="HW898" s="70"/>
      <c r="HX898" s="70"/>
      <c r="HY898" s="70"/>
      <c r="HZ898" s="70"/>
      <c r="IA898" s="70"/>
      <c r="IB898" s="70"/>
      <c r="IC898" s="70"/>
      <c r="ID898" s="70"/>
      <c r="IE898" s="70"/>
      <c r="IF898" s="70"/>
      <c r="IG898" s="70"/>
      <c r="IH898" s="70"/>
      <c r="II898" s="70"/>
      <c r="IJ898" s="70"/>
      <c r="IK898" s="70"/>
      <c r="IL898" s="70"/>
      <c r="IM898" s="70"/>
      <c r="IN898" s="70"/>
      <c r="IO898" s="70"/>
      <c r="IP898" s="70"/>
      <c r="IQ898" s="70"/>
      <c r="IR898" s="70"/>
      <c r="IS898" s="70"/>
      <c r="IT898" s="70"/>
      <c r="IU898" s="70"/>
      <c r="IV898" s="70"/>
    </row>
    <row r="899" spans="1:256" s="11" customFormat="1" x14ac:dyDescent="0.2">
      <c r="A899" s="2389" t="s">
        <v>652</v>
      </c>
      <c r="B899" s="2015"/>
      <c r="C899" s="2246"/>
      <c r="D899" s="2018"/>
      <c r="E899" s="2018"/>
      <c r="F899" s="2018"/>
      <c r="G899" s="2018"/>
      <c r="H899" s="2016"/>
      <c r="I899" s="2018"/>
      <c r="J899" s="2018"/>
      <c r="K899" s="2018"/>
      <c r="L899" s="2018"/>
      <c r="M899" s="1044">
        <f>+M898/H898-1</f>
        <v>0.26298152188264279</v>
      </c>
      <c r="N899" s="885">
        <f t="shared" ref="N899:BV899" si="1411">+N898/I898-1</f>
        <v>0.22561942428394488</v>
      </c>
      <c r="O899" s="885">
        <f t="shared" si="1411"/>
        <v>0.18717244679396616</v>
      </c>
      <c r="P899" s="885">
        <f t="shared" si="1411"/>
        <v>0.14401788723127695</v>
      </c>
      <c r="Q899" s="885">
        <f t="shared" si="1411"/>
        <v>9.210925871535891E-2</v>
      </c>
      <c r="R899" s="1044">
        <f t="shared" si="1411"/>
        <v>9.210925871535891E-2</v>
      </c>
      <c r="S899" s="885">
        <f t="shared" si="1411"/>
        <v>9.881907253989719E-2</v>
      </c>
      <c r="T899" s="885">
        <f t="shared" si="1411"/>
        <v>0.10713960105757647</v>
      </c>
      <c r="U899" s="885">
        <f t="shared" si="1411"/>
        <v>0.10380926998732898</v>
      </c>
      <c r="V899" s="885">
        <f t="shared" si="1411"/>
        <v>9.2367720526565389E-2</v>
      </c>
      <c r="W899" s="1044">
        <f t="shared" si="1411"/>
        <v>9.2367720526565389E-2</v>
      </c>
      <c r="X899" s="885">
        <f t="shared" si="1411"/>
        <v>8.8594772548549194E-2</v>
      </c>
      <c r="Y899" s="885">
        <f t="shared" si="1411"/>
        <v>7.5690528715506078E-2</v>
      </c>
      <c r="Z899" s="885">
        <f t="shared" si="1411"/>
        <v>5.5003706449221701E-2</v>
      </c>
      <c r="AA899" s="885">
        <f t="shared" si="1411"/>
        <v>-5.8139437842168462E-2</v>
      </c>
      <c r="AB899" s="1044">
        <f t="shared" si="1411"/>
        <v>-5.8139437842168462E-2</v>
      </c>
      <c r="AC899" s="885">
        <f t="shared" si="1411"/>
        <v>-6.7895944037678291E-2</v>
      </c>
      <c r="AD899" s="885">
        <f t="shared" si="1411"/>
        <v>-9.8596656634151625E-2</v>
      </c>
      <c r="AE899" s="885">
        <f t="shared" si="1411"/>
        <v>-8.6248293583875424E-2</v>
      </c>
      <c r="AF899" s="885">
        <f t="shared" si="1411"/>
        <v>2.8057506147132427E-2</v>
      </c>
      <c r="AG899" s="1044">
        <f t="shared" si="1411"/>
        <v>2.8057506147132427E-2</v>
      </c>
      <c r="AH899" s="885">
        <f t="shared" si="1411"/>
        <v>3.7217692853327211E-2</v>
      </c>
      <c r="AI899" s="885">
        <f t="shared" si="1411"/>
        <v>6.7172651773182768E-2</v>
      </c>
      <c r="AJ899" s="885">
        <f t="shared" si="1411"/>
        <v>5.7632734127489815E-2</v>
      </c>
      <c r="AK899" s="885">
        <f t="shared" si="1411"/>
        <v>4.8636489002275463E-2</v>
      </c>
      <c r="AL899" s="1044">
        <f t="shared" si="1411"/>
        <v>4.8636489002275463E-2</v>
      </c>
      <c r="AM899" s="885">
        <f t="shared" si="1411"/>
        <v>3.2901902180795917E-2</v>
      </c>
      <c r="AN899" s="885">
        <f t="shared" si="1411"/>
        <v>3.8672251308900618E-2</v>
      </c>
      <c r="AO899" s="885">
        <f t="shared" si="1411"/>
        <v>5.0528677371777464E-2</v>
      </c>
      <c r="AP899" s="885">
        <f t="shared" si="1411"/>
        <v>6.5601190133725673E-2</v>
      </c>
      <c r="AQ899" s="1044">
        <f t="shared" si="1411"/>
        <v>6.5601190133725673E-2</v>
      </c>
      <c r="AR899" s="885">
        <f t="shared" si="1411"/>
        <v>6.9735981690371096E-2</v>
      </c>
      <c r="AS899" s="885">
        <f t="shared" si="1411"/>
        <v>7.9017513297282571E-2</v>
      </c>
      <c r="AT899" s="885">
        <f t="shared" si="1411"/>
        <v>7.1447497992936704E-2</v>
      </c>
      <c r="AU899" s="885">
        <f t="shared" si="1411"/>
        <v>7.6499149623790563E-2</v>
      </c>
      <c r="AV899" s="1044">
        <f t="shared" si="1411"/>
        <v>7.6499149623790563E-2</v>
      </c>
      <c r="AW899" s="885">
        <f t="shared" si="1411"/>
        <v>8.4074836767363381E-2</v>
      </c>
      <c r="AX899" s="885">
        <f t="shared" si="1411"/>
        <v>8.2088213530260301E-2</v>
      </c>
      <c r="AY899" s="885">
        <f t="shared" si="1411"/>
        <v>0.10181859790420167</v>
      </c>
      <c r="AZ899" s="885">
        <f t="shared" si="1411"/>
        <v>9.0050262777958912E-2</v>
      </c>
      <c r="BA899" s="1044">
        <f t="shared" si="1411"/>
        <v>9.0050262777958912E-2</v>
      </c>
      <c r="BB899" s="885">
        <f t="shared" si="1411"/>
        <v>9.2317505964778723E-2</v>
      </c>
      <c r="BC899" s="885">
        <f t="shared" si="1411"/>
        <v>8.4118766469919892E-2</v>
      </c>
      <c r="BD899" s="885">
        <f t="shared" si="1411"/>
        <v>6.1676738981869761E-2</v>
      </c>
      <c r="BE899" s="885">
        <f t="shared" si="1411"/>
        <v>5.5950491177214845E-2</v>
      </c>
      <c r="BF899" s="1044">
        <f t="shared" si="1411"/>
        <v>5.5950491177214845E-2</v>
      </c>
      <c r="BG899" s="885">
        <f t="shared" si="1411"/>
        <v>4.2923883024030163E-2</v>
      </c>
      <c r="BH899" s="885">
        <f t="shared" si="1411"/>
        <v>3.636520027142498E-2</v>
      </c>
      <c r="BI899" s="885">
        <f t="shared" si="1411"/>
        <v>3.7801457154667206E-2</v>
      </c>
      <c r="BJ899" s="885">
        <f t="shared" si="1411"/>
        <v>3.5304223870423534E-2</v>
      </c>
      <c r="BK899" s="1044">
        <f t="shared" si="1411"/>
        <v>3.5304223870423534E-2</v>
      </c>
      <c r="BL899" s="885">
        <f t="shared" si="1411"/>
        <v>3.625389793595013E-2</v>
      </c>
      <c r="BM899" s="885">
        <f t="shared" si="1411"/>
        <v>3.8977726135364543E-2</v>
      </c>
      <c r="BN899" s="885">
        <f t="shared" si="1411"/>
        <v>3.5877275394573971E-2</v>
      </c>
      <c r="BO899" s="885">
        <f t="shared" si="1411"/>
        <v>3.5107444774468144E-2</v>
      </c>
      <c r="BP899" s="1044">
        <f>+BP898/BK898-1</f>
        <v>3.5107444774468144E-2</v>
      </c>
      <c r="BQ899" s="885">
        <f t="shared" si="1411"/>
        <v>3.2182274671833433E-2</v>
      </c>
      <c r="BR899" s="885">
        <f t="shared" si="1411"/>
        <v>3.9243300176926121E-2</v>
      </c>
      <c r="BS899" s="885">
        <f t="shared" si="1411"/>
        <v>4.5104329628205653E-2</v>
      </c>
      <c r="BT899" s="885">
        <f>+BT898/BO898-1</f>
        <v>4.6707365950847235E-2</v>
      </c>
      <c r="BU899" s="1044">
        <f>+BU898/BP898-1</f>
        <v>4.6707365950847235E-2</v>
      </c>
      <c r="BV899" s="885">
        <f t="shared" si="1411"/>
        <v>5.296358319811878E-2</v>
      </c>
      <c r="BW899" s="885">
        <f t="shared" ref="BW899:CF899" si="1412">+BW898/BR898-1</f>
        <v>6.0018561854819019E-2</v>
      </c>
      <c r="BX899" s="885">
        <f t="shared" si="1412"/>
        <v>6.512275814034485E-2</v>
      </c>
      <c r="BY899" s="885">
        <f t="shared" si="1412"/>
        <v>7.8324953662082919E-2</v>
      </c>
      <c r="BZ899" s="1044">
        <f t="shared" si="1412"/>
        <v>7.8324953662082919E-2</v>
      </c>
      <c r="CA899" s="885">
        <f t="shared" si="1412"/>
        <v>9.0078805907833681E-2</v>
      </c>
      <c r="CB899" s="885">
        <f t="shared" si="1412"/>
        <v>9.1770962023956626E-2</v>
      </c>
      <c r="CC899" s="885">
        <f t="shared" si="1412"/>
        <v>9.6449872644718271E-2</v>
      </c>
      <c r="CD899" s="885">
        <f t="shared" si="1412"/>
        <v>8.2040738605953401E-2</v>
      </c>
      <c r="CE899" s="1044">
        <f t="shared" si="1412"/>
        <v>8.2040738605953401E-2</v>
      </c>
      <c r="CF899" s="885">
        <f t="shared" si="1412"/>
        <v>7.902926272448485E-2</v>
      </c>
      <c r="CG899" s="885">
        <f t="shared" ref="CG899:CO899" si="1413">+CG898/CB898-1</f>
        <v>8.2775331480160474E-2</v>
      </c>
      <c r="CH899" s="885">
        <f t="shared" si="1413"/>
        <v>7.7689841835544504E-2</v>
      </c>
      <c r="CI899" s="885">
        <f t="shared" si="1413"/>
        <v>0.46110528481095447</v>
      </c>
      <c r="CJ899" s="1044">
        <f t="shared" si="1413"/>
        <v>0.46110528481095447</v>
      </c>
      <c r="CK899" s="3530">
        <f t="shared" si="1413"/>
        <v>0.45760317223083669</v>
      </c>
      <c r="CL899" s="885">
        <f t="shared" ca="1" si="1413"/>
        <v>0.44150182093289025</v>
      </c>
      <c r="CM899" s="885">
        <f t="shared" ca="1" si="1413"/>
        <v>0.44980017360684976</v>
      </c>
      <c r="CN899" s="885">
        <f t="shared" ca="1" si="1413"/>
        <v>7.9436202504862496E-2</v>
      </c>
      <c r="CO899" s="1044">
        <f t="shared" ca="1" si="1413"/>
        <v>7.9436202504862496E-2</v>
      </c>
      <c r="CP899" s="885">
        <f>+CP898/CK898-1</f>
        <v>8.1440234936371647E-2</v>
      </c>
      <c r="CQ899" s="885">
        <f ca="1">+CQ898/CL898-1</f>
        <v>7.568798562625112E-2</v>
      </c>
      <c r="CR899" s="885">
        <f ca="1">+CR898/CM898-1</f>
        <v>7.4289377447238181E-2</v>
      </c>
      <c r="CS899" s="885">
        <f ca="1">+CS898/CN898-1</f>
        <v>7.031243450425273E-2</v>
      </c>
      <c r="CT899" s="1044">
        <f ca="1">+CT898/CO898-1</f>
        <v>7.031243450425273E-2</v>
      </c>
      <c r="CU899" s="1044">
        <f ca="1">+CU898/CT898-1</f>
        <v>7.0487164640270272E-2</v>
      </c>
      <c r="CV899" s="1044">
        <f ca="1">+CV898/CU898-1</f>
        <v>3.5323229557862046E-2</v>
      </c>
      <c r="CW899" s="2702"/>
      <c r="CX899" s="2702"/>
      <c r="CY899" s="2702"/>
      <c r="CZ899" s="2702"/>
      <c r="DA899" s="2702"/>
      <c r="DB899" s="217"/>
      <c r="DC899" s="212"/>
      <c r="DD899" s="212"/>
      <c r="DE899" s="70"/>
    </row>
    <row r="900" spans="1:256" x14ac:dyDescent="0.2">
      <c r="A900" s="2392" t="s">
        <v>653</v>
      </c>
      <c r="B900" s="2608"/>
      <c r="C900" s="2609"/>
      <c r="D900" s="2610"/>
      <c r="E900" s="2610"/>
      <c r="F900" s="2610"/>
      <c r="G900" s="2610"/>
      <c r="H900" s="2611"/>
      <c r="I900" s="2610"/>
      <c r="J900" s="2610"/>
      <c r="K900" s="2610"/>
      <c r="L900" s="2610"/>
      <c r="M900" s="2612"/>
      <c r="N900" s="2610"/>
      <c r="O900" s="2610"/>
      <c r="P900" s="2610"/>
      <c r="Q900" s="2610"/>
      <c r="R900" s="2612"/>
      <c r="S900" s="2610"/>
      <c r="T900" s="2610"/>
      <c r="U900" s="2610"/>
      <c r="V900" s="2610"/>
      <c r="W900" s="2612"/>
      <c r="X900" s="2610"/>
      <c r="Y900" s="2610"/>
      <c r="Z900" s="2610"/>
      <c r="AA900" s="2610"/>
      <c r="AB900" s="2612"/>
      <c r="AC900" s="2610"/>
      <c r="AD900" s="2610"/>
      <c r="AE900" s="2610"/>
      <c r="AF900" s="2610"/>
      <c r="AG900" s="2612"/>
      <c r="AH900" s="2610"/>
      <c r="AI900" s="2610"/>
      <c r="AJ900" s="2610"/>
      <c r="AK900" s="2610"/>
      <c r="AL900" s="2612"/>
      <c r="AM900" s="2610"/>
      <c r="AN900" s="2610"/>
      <c r="AO900" s="2610"/>
      <c r="AP900" s="2610"/>
      <c r="AQ900" s="2612"/>
      <c r="AR900" s="2610"/>
      <c r="AS900" s="2610"/>
      <c r="AT900" s="2610"/>
      <c r="AU900" s="2610"/>
      <c r="AV900" s="2612"/>
      <c r="AW900" s="2610"/>
      <c r="AX900" s="2610"/>
      <c r="AY900" s="2610"/>
      <c r="AZ900" s="2610"/>
      <c r="BA900" s="2612"/>
      <c r="BB900" s="2610"/>
      <c r="BC900" s="2610"/>
      <c r="BD900" s="2610"/>
      <c r="BE900" s="2610"/>
      <c r="BF900" s="2612"/>
      <c r="BG900" s="2610"/>
      <c r="BH900" s="2610"/>
      <c r="BI900" s="2610"/>
      <c r="BJ900" s="2610"/>
      <c r="BK900" s="2612"/>
      <c r="BL900" s="1716">
        <f>+BL898/BK898-1</f>
        <v>7.0076600247719334E-3</v>
      </c>
      <c r="BM900" s="1716">
        <f>+BM898/BL898-1</f>
        <v>9.0367110790017247E-3</v>
      </c>
      <c r="BN900" s="1716">
        <f>+BN898/BM898-1</f>
        <v>8.0031006467571331E-3</v>
      </c>
      <c r="BO900" s="1716">
        <f>+BO898/BN898-1</f>
        <v>1.0610538921452584E-2</v>
      </c>
      <c r="BP900" s="2613"/>
      <c r="BQ900" s="1716">
        <f>+BQ898/BP898-1</f>
        <v>4.1618987319713696E-3</v>
      </c>
      <c r="BR900" s="1716">
        <f>+BR898/BQ898-1</f>
        <v>1.5939400775711654E-2</v>
      </c>
      <c r="BS900" s="1716">
        <f>+BS898/BR898-1</f>
        <v>1.3687944473862457E-2</v>
      </c>
      <c r="BT900" s="1716">
        <f>+BT898/BS898-1</f>
        <v>1.2160666842663925E-2</v>
      </c>
      <c r="BU900" s="2613"/>
      <c r="BV900" s="1716">
        <f>+BV898/BU898-1</f>
        <v>1.0163819798221896E-2</v>
      </c>
      <c r="BW900" s="1716">
        <f>+BW898/BV898-1</f>
        <v>2.2746313097602222E-2</v>
      </c>
      <c r="BX900" s="1716">
        <f>+BX898/BW898-1</f>
        <v>1.8569049793199843E-2</v>
      </c>
      <c r="BY900" s="1716">
        <f>+BY898/BX898-1</f>
        <v>2.4706397295743754E-2</v>
      </c>
      <c r="BZ900" s="2613"/>
      <c r="CA900" s="1716">
        <f>+CA898/BZ898-1</f>
        <v>2.1174708715879564E-2</v>
      </c>
      <c r="CB900" s="1716">
        <f>+CB898/CA898-1</f>
        <v>2.4333947330623662E-2</v>
      </c>
      <c r="CC900" s="1716">
        <f>+CC898/CB898-1</f>
        <v>2.2934245160020739E-2</v>
      </c>
      <c r="CD900" s="1716">
        <f>+CD898/CC898-1</f>
        <v>1.1240089170412082E-2</v>
      </c>
      <c r="CE900" s="2613"/>
      <c r="CF900" s="1716">
        <f>+CF898/CE898-1</f>
        <v>1.8332631799232724E-2</v>
      </c>
      <c r="CG900" s="1716">
        <f>+CG898/CF898-1</f>
        <v>2.7890130214657916E-2</v>
      </c>
      <c r="CH900" s="1716">
        <f>+CH898/CG898-1</f>
        <v>1.8129812181507221E-2</v>
      </c>
      <c r="CI900" s="1716">
        <f>+CI898/CH898-1</f>
        <v>0.37101435045822839</v>
      </c>
      <c r="CJ900" s="2613"/>
      <c r="CK900" s="3536">
        <f>+CK898/CJ898-1</f>
        <v>1.5891797755552162E-2</v>
      </c>
      <c r="CL900" s="1716">
        <f ca="1">+CL898/CK898-1</f>
        <v>1.6535585714766432E-2</v>
      </c>
      <c r="CM900" s="1716">
        <f ca="1">+CM898/CL898-1</f>
        <v>2.3990921842739876E-2</v>
      </c>
      <c r="CN900" s="1716">
        <f ca="1">+CN898/CM898-1</f>
        <v>2.0776898071761085E-2</v>
      </c>
      <c r="CO900" s="2613"/>
      <c r="CP900" s="1716">
        <f ca="1">+CP898/CO898-1</f>
        <v>1.7777856519267665E-2</v>
      </c>
      <c r="CQ900" s="1716">
        <f ca="1">+CQ898/CP898-1</f>
        <v>1.1128568357043678E-2</v>
      </c>
      <c r="CR900" s="1716">
        <f ca="1">+CR898/CQ898-1</f>
        <v>2.2659530121663218E-2</v>
      </c>
      <c r="CS900" s="1716">
        <f ca="1">+CS898/CR898-1</f>
        <v>1.6998054525159567E-2</v>
      </c>
      <c r="CT900" s="2613"/>
      <c r="CU900" s="2613"/>
      <c r="CV900" s="2613"/>
      <c r="CW900" s="2702"/>
      <c r="CX900" s="2702"/>
      <c r="CY900" s="2702"/>
      <c r="CZ900" s="2702"/>
      <c r="DA900" s="2702"/>
      <c r="DB900" s="217"/>
      <c r="DF900" s="11"/>
      <c r="DG900" s="11"/>
      <c r="DH900" s="11"/>
      <c r="DI900" s="11"/>
      <c r="DJ900" s="11"/>
      <c r="DK900" s="11"/>
      <c r="DL900" s="11"/>
      <c r="DM900" s="11"/>
      <c r="DN900" s="11"/>
      <c r="DO900" s="11"/>
      <c r="DP900" s="11"/>
      <c r="DQ900" s="11"/>
      <c r="DR900" s="11"/>
      <c r="DS900" s="11"/>
      <c r="DT900" s="11"/>
      <c r="DU900" s="11"/>
      <c r="DV900" s="11"/>
      <c r="DW900" s="11"/>
      <c r="DX900" s="11"/>
      <c r="DY900" s="11"/>
      <c r="DZ900" s="11"/>
      <c r="EA900" s="11"/>
      <c r="EB900" s="11"/>
      <c r="EC900" s="11"/>
      <c r="ED900" s="11"/>
      <c r="EE900" s="11"/>
      <c r="EF900" s="11"/>
      <c r="EG900" s="11"/>
      <c r="EH900" s="11"/>
      <c r="EI900" s="11"/>
      <c r="EJ900" s="11"/>
      <c r="EK900" s="11"/>
      <c r="EL900" s="11"/>
      <c r="EM900" s="11"/>
      <c r="EN900" s="11"/>
      <c r="EO900" s="11"/>
      <c r="EP900" s="11"/>
      <c r="EQ900" s="11"/>
      <c r="ER900" s="11"/>
      <c r="ES900" s="11"/>
      <c r="ET900" s="11"/>
      <c r="EU900" s="11"/>
      <c r="EV900" s="11"/>
      <c r="EW900" s="11"/>
      <c r="EX900" s="11"/>
      <c r="EY900" s="11"/>
      <c r="EZ900" s="11"/>
      <c r="FA900" s="11"/>
      <c r="FB900" s="11"/>
      <c r="FC900" s="11"/>
      <c r="FD900" s="11"/>
      <c r="FE900" s="11"/>
      <c r="FF900" s="11"/>
      <c r="FG900" s="11"/>
      <c r="FH900" s="11"/>
      <c r="FI900" s="11"/>
      <c r="FJ900" s="11"/>
      <c r="FK900" s="11"/>
      <c r="FL900" s="11"/>
      <c r="FM900" s="11"/>
      <c r="FN900" s="11"/>
      <c r="FO900" s="11"/>
      <c r="FP900" s="11"/>
      <c r="FQ900" s="11"/>
      <c r="FR900" s="11"/>
      <c r="FS900" s="11"/>
      <c r="FT900" s="11"/>
      <c r="FU900" s="11"/>
      <c r="FV900" s="11"/>
      <c r="FW900" s="11"/>
      <c r="FX900" s="11"/>
      <c r="FY900" s="11"/>
      <c r="FZ900" s="11"/>
      <c r="GA900" s="11"/>
      <c r="GB900" s="11"/>
      <c r="GC900" s="11"/>
      <c r="GD900" s="11"/>
      <c r="GE900" s="11"/>
      <c r="GF900" s="11"/>
      <c r="GG900" s="11"/>
      <c r="GH900" s="11"/>
      <c r="GI900" s="11"/>
      <c r="GJ900" s="11"/>
      <c r="GK900" s="11"/>
      <c r="GL900" s="11"/>
      <c r="GM900" s="11"/>
      <c r="GN900" s="11"/>
      <c r="GO900" s="11"/>
      <c r="GP900" s="11"/>
      <c r="GQ900" s="11"/>
      <c r="GR900" s="11"/>
      <c r="GS900" s="11"/>
      <c r="GT900" s="11"/>
      <c r="GU900" s="11"/>
      <c r="GV900" s="11"/>
      <c r="GW900" s="11"/>
      <c r="GX900" s="11"/>
      <c r="GY900" s="11"/>
      <c r="GZ900" s="11"/>
      <c r="HA900" s="11"/>
      <c r="HB900" s="11"/>
      <c r="HC900" s="11"/>
      <c r="HD900" s="11"/>
      <c r="HE900" s="11"/>
      <c r="HF900" s="11"/>
      <c r="HG900" s="11"/>
      <c r="HH900" s="11"/>
      <c r="HI900" s="11"/>
      <c r="HJ900" s="11"/>
      <c r="HK900" s="11"/>
      <c r="HL900" s="11"/>
      <c r="HM900" s="11"/>
      <c r="HN900" s="11"/>
      <c r="HO900" s="11"/>
      <c r="HP900" s="11"/>
      <c r="HQ900" s="11"/>
      <c r="HR900" s="11"/>
      <c r="HS900" s="11"/>
      <c r="HT900" s="11"/>
      <c r="HU900" s="11"/>
      <c r="HV900" s="11"/>
      <c r="HW900" s="11"/>
      <c r="HX900" s="11"/>
      <c r="HY900" s="11"/>
      <c r="HZ900" s="11"/>
      <c r="IA900" s="11"/>
      <c r="IB900" s="11"/>
      <c r="IC900" s="11"/>
      <c r="ID900" s="11"/>
      <c r="IE900" s="11"/>
      <c r="IF900" s="11"/>
      <c r="IG900" s="11"/>
      <c r="IH900" s="11"/>
      <c r="II900" s="11"/>
      <c r="IJ900" s="11"/>
      <c r="IK900" s="11"/>
      <c r="IL900" s="11"/>
      <c r="IM900" s="11"/>
      <c r="IN900" s="11"/>
      <c r="IO900" s="11"/>
      <c r="IP900" s="11"/>
      <c r="IQ900" s="11"/>
      <c r="IR900" s="11"/>
      <c r="IS900" s="11"/>
      <c r="IT900" s="11"/>
      <c r="IU900" s="11"/>
      <c r="IV900" s="11"/>
    </row>
    <row r="901" spans="1:256" s="11" customFormat="1" x14ac:dyDescent="0.2">
      <c r="A901" s="2044"/>
      <c r="B901" s="1260"/>
      <c r="C901" s="1250"/>
      <c r="D901" s="1248"/>
      <c r="E901" s="1248"/>
      <c r="F901" s="1248"/>
      <c r="G901" s="1248"/>
      <c r="H901" s="1260"/>
      <c r="I901" s="1248"/>
      <c r="J901" s="1248"/>
      <c r="K901" s="1248"/>
      <c r="L901" s="1248"/>
      <c r="M901" s="1248"/>
      <c r="N901" s="1248"/>
      <c r="O901" s="1248"/>
      <c r="P901" s="1248"/>
      <c r="Q901" s="1248"/>
      <c r="R901" s="1248"/>
      <c r="S901" s="1248"/>
      <c r="T901" s="1248"/>
      <c r="U901" s="1248"/>
      <c r="V901" s="1248"/>
      <c r="W901" s="1248"/>
      <c r="X901" s="1248"/>
      <c r="Y901" s="1248"/>
      <c r="Z901" s="1248"/>
      <c r="AA901" s="1248"/>
      <c r="AB901" s="1248"/>
      <c r="AC901" s="1248"/>
      <c r="AD901" s="1248"/>
      <c r="AE901" s="1248"/>
      <c r="AF901" s="1248"/>
      <c r="AG901" s="1248"/>
      <c r="AH901" s="1248"/>
      <c r="AI901" s="1248"/>
      <c r="AJ901" s="1248"/>
      <c r="AK901" s="1248"/>
      <c r="AL901" s="1248"/>
      <c r="AM901" s="1248"/>
      <c r="AN901" s="1248"/>
      <c r="AO901" s="1248"/>
      <c r="AP901" s="1248"/>
      <c r="AQ901" s="1248"/>
      <c r="AR901" s="1248"/>
      <c r="AS901" s="1248"/>
      <c r="AT901" s="1248"/>
      <c r="AU901" s="1248"/>
      <c r="AV901" s="1248"/>
      <c r="AW901" s="1248"/>
      <c r="AX901" s="1248"/>
      <c r="AY901" s="1248"/>
      <c r="AZ901" s="1248"/>
      <c r="BA901" s="1248"/>
      <c r="BB901" s="1248"/>
      <c r="BC901" s="1248"/>
      <c r="BD901" s="1248"/>
      <c r="BE901" s="1248"/>
      <c r="BF901" s="1248"/>
      <c r="BG901" s="1248"/>
      <c r="BH901" s="1248"/>
      <c r="BI901" s="1248"/>
      <c r="BJ901" s="1248"/>
      <c r="BK901" s="1248"/>
      <c r="BL901" s="874"/>
      <c r="BM901" s="874"/>
      <c r="BN901" s="874"/>
      <c r="BO901" s="874"/>
      <c r="BP901" s="1261"/>
      <c r="BQ901" s="874"/>
      <c r="BR901" s="874"/>
      <c r="BS901" s="874"/>
      <c r="BT901" s="874"/>
      <c r="BU901" s="1261"/>
      <c r="BV901" s="874"/>
      <c r="BW901" s="874"/>
      <c r="BX901" s="874"/>
      <c r="BY901" s="874"/>
      <c r="BZ901" s="1261"/>
      <c r="CA901" s="874"/>
      <c r="CB901" s="874"/>
      <c r="CC901" s="874"/>
      <c r="CD901" s="874"/>
      <c r="CE901" s="1261"/>
      <c r="CF901" s="874"/>
      <c r="CG901" s="874"/>
      <c r="CH901" s="874"/>
      <c r="CI901" s="874"/>
      <c r="CJ901" s="1261"/>
      <c r="CK901" s="1189"/>
      <c r="CL901" s="874"/>
      <c r="CM901" s="874"/>
      <c r="CN901" s="874"/>
      <c r="CO901" s="1261"/>
      <c r="CP901" s="1189"/>
      <c r="CQ901" s="874"/>
      <c r="CR901" s="874"/>
      <c r="CS901" s="874"/>
      <c r="CT901" s="1261"/>
      <c r="CU901" s="1261"/>
      <c r="CV901" s="1261"/>
      <c r="CW901" s="374"/>
      <c r="CX901" s="374"/>
      <c r="CY901" s="374"/>
      <c r="CZ901" s="374"/>
      <c r="DA901" s="374"/>
      <c r="DB901" s="217"/>
      <c r="DC901" s="212"/>
      <c r="DD901" s="212"/>
      <c r="DE901" s="70"/>
      <c r="DF901" s="70"/>
      <c r="DG901" s="70"/>
      <c r="DH901" s="70"/>
      <c r="DI901" s="70"/>
      <c r="DJ901" s="70"/>
      <c r="DK901" s="70"/>
      <c r="DL901" s="70"/>
      <c r="DM901" s="70"/>
      <c r="DN901" s="70"/>
      <c r="DO901" s="70"/>
      <c r="DP901" s="70"/>
      <c r="DQ901" s="70"/>
      <c r="DR901" s="70"/>
      <c r="DS901" s="70"/>
      <c r="DT901" s="70"/>
      <c r="DU901" s="70"/>
      <c r="DV901" s="70"/>
      <c r="DW901" s="70"/>
      <c r="DX901" s="70"/>
      <c r="DY901" s="70"/>
      <c r="DZ901" s="70"/>
      <c r="EA901" s="70"/>
      <c r="EB901" s="70"/>
      <c r="EC901" s="70"/>
      <c r="ED901" s="70"/>
      <c r="EE901" s="70"/>
      <c r="EF901" s="70"/>
      <c r="EG901" s="70"/>
      <c r="EH901" s="70"/>
      <c r="EI901" s="70"/>
      <c r="EJ901" s="70"/>
      <c r="EK901" s="70"/>
      <c r="EL901" s="70"/>
      <c r="EM901" s="70"/>
      <c r="EN901" s="70"/>
      <c r="EO901" s="70"/>
      <c r="EP901" s="70"/>
      <c r="EQ901" s="70"/>
      <c r="ER901" s="70"/>
      <c r="ES901" s="70"/>
      <c r="ET901" s="70"/>
      <c r="EU901" s="70"/>
      <c r="EV901" s="70"/>
      <c r="EW901" s="70"/>
      <c r="EX901" s="70"/>
      <c r="EY901" s="70"/>
      <c r="EZ901" s="70"/>
      <c r="FA901" s="70"/>
      <c r="FB901" s="70"/>
      <c r="FC901" s="70"/>
      <c r="FD901" s="70"/>
      <c r="FE901" s="70"/>
      <c r="FF901" s="70"/>
      <c r="FG901" s="70"/>
      <c r="FH901" s="70"/>
      <c r="FI901" s="70"/>
      <c r="FJ901" s="70"/>
      <c r="FK901" s="70"/>
      <c r="FL901" s="70"/>
      <c r="FM901" s="70"/>
      <c r="FN901" s="70"/>
      <c r="FO901" s="70"/>
      <c r="FP901" s="70"/>
      <c r="FQ901" s="70"/>
      <c r="FR901" s="70"/>
      <c r="FS901" s="70"/>
      <c r="FT901" s="70"/>
      <c r="FU901" s="70"/>
      <c r="FV901" s="70"/>
      <c r="FW901" s="70"/>
      <c r="FX901" s="70"/>
      <c r="FY901" s="70"/>
      <c r="FZ901" s="70"/>
      <c r="GA901" s="70"/>
      <c r="GB901" s="70"/>
      <c r="GC901" s="70"/>
      <c r="GD901" s="70"/>
      <c r="GE901" s="70"/>
      <c r="GF901" s="70"/>
      <c r="GG901" s="70"/>
      <c r="GH901" s="70"/>
      <c r="GI901" s="70"/>
      <c r="GJ901" s="70"/>
      <c r="GK901" s="70"/>
      <c r="GL901" s="70"/>
      <c r="GM901" s="70"/>
      <c r="GN901" s="70"/>
      <c r="GO901" s="70"/>
      <c r="GP901" s="70"/>
      <c r="GQ901" s="70"/>
      <c r="GR901" s="70"/>
      <c r="GS901" s="70"/>
      <c r="GT901" s="70"/>
      <c r="GU901" s="70"/>
      <c r="GV901" s="70"/>
      <c r="GW901" s="70"/>
      <c r="GX901" s="70"/>
      <c r="GY901" s="70"/>
      <c r="GZ901" s="70"/>
      <c r="HA901" s="70"/>
      <c r="HB901" s="70"/>
      <c r="HC901" s="70"/>
      <c r="HD901" s="70"/>
      <c r="HE901" s="70"/>
      <c r="HF901" s="70"/>
      <c r="HG901" s="70"/>
      <c r="HH901" s="70"/>
      <c r="HI901" s="70"/>
      <c r="HJ901" s="70"/>
      <c r="HK901" s="70"/>
      <c r="HL901" s="70"/>
      <c r="HM901" s="70"/>
      <c r="HN901" s="70"/>
      <c r="HO901" s="70"/>
      <c r="HP901" s="70"/>
      <c r="HQ901" s="70"/>
      <c r="HR901" s="70"/>
      <c r="HS901" s="70"/>
      <c r="HT901" s="70"/>
      <c r="HU901" s="70"/>
      <c r="HV901" s="70"/>
      <c r="HW901" s="70"/>
      <c r="HX901" s="70"/>
      <c r="HY901" s="70"/>
      <c r="HZ901" s="70"/>
      <c r="IA901" s="70"/>
      <c r="IB901" s="70"/>
      <c r="IC901" s="70"/>
      <c r="ID901" s="70"/>
      <c r="IE901" s="70"/>
      <c r="IF901" s="70"/>
      <c r="IG901" s="70"/>
      <c r="IH901" s="70"/>
      <c r="II901" s="70"/>
      <c r="IJ901" s="70"/>
      <c r="IK901" s="70"/>
      <c r="IL901" s="70"/>
      <c r="IM901" s="70"/>
      <c r="IN901" s="70"/>
      <c r="IO901" s="70"/>
      <c r="IP901" s="70"/>
      <c r="IQ901" s="70"/>
      <c r="IR901" s="70"/>
      <c r="IS901" s="70"/>
      <c r="IT901" s="70"/>
      <c r="IU901" s="70"/>
      <c r="IV901" s="70"/>
    </row>
    <row r="902" spans="1:256" s="11" customFormat="1" x14ac:dyDescent="0.2">
      <c r="A902" s="302" t="s">
        <v>2191</v>
      </c>
      <c r="B902" s="1441"/>
      <c r="C902" s="1441"/>
      <c r="D902" s="1441"/>
      <c r="E902" s="1441"/>
      <c r="F902" s="1441"/>
      <c r="G902" s="1441"/>
      <c r="H902" s="1440"/>
      <c r="I902" s="1269">
        <f t="shared" ref="I902:AN902" si="1414">+I893+I871</f>
        <v>298021</v>
      </c>
      <c r="J902" s="1269">
        <f t="shared" si="1414"/>
        <v>306296</v>
      </c>
      <c r="K902" s="1269">
        <f t="shared" si="1414"/>
        <v>312820</v>
      </c>
      <c r="L902" s="1269">
        <f t="shared" si="1414"/>
        <v>318667</v>
      </c>
      <c r="M902" s="1270">
        <f t="shared" si="1414"/>
        <v>318667</v>
      </c>
      <c r="N902" s="1269">
        <f t="shared" si="1414"/>
        <v>324370</v>
      </c>
      <c r="O902" s="1269">
        <f t="shared" si="1414"/>
        <v>328761</v>
      </c>
      <c r="P902" s="1269">
        <f t="shared" si="1414"/>
        <v>332609</v>
      </c>
      <c r="Q902" s="1269">
        <f t="shared" si="1414"/>
        <v>340790</v>
      </c>
      <c r="R902" s="1270">
        <f t="shared" si="1414"/>
        <v>340790</v>
      </c>
      <c r="S902" s="1269">
        <f t="shared" si="1414"/>
        <v>346171</v>
      </c>
      <c r="T902" s="1269">
        <f t="shared" si="1414"/>
        <v>351019</v>
      </c>
      <c r="U902" s="1269">
        <f t="shared" si="1414"/>
        <v>355262</v>
      </c>
      <c r="V902" s="1269">
        <f t="shared" si="1414"/>
        <v>358998</v>
      </c>
      <c r="W902" s="1270">
        <f t="shared" si="1414"/>
        <v>358998</v>
      </c>
      <c r="X902" s="1269">
        <f t="shared" si="1414"/>
        <v>361968</v>
      </c>
      <c r="Y902" s="1269">
        <f t="shared" si="1414"/>
        <v>365986</v>
      </c>
      <c r="Z902" s="1269">
        <f t="shared" si="1414"/>
        <v>368709</v>
      </c>
      <c r="AA902" s="1269">
        <f t="shared" si="1414"/>
        <v>373528</v>
      </c>
      <c r="AB902" s="1270">
        <f t="shared" si="1414"/>
        <v>373528</v>
      </c>
      <c r="AC902" s="1269">
        <f t="shared" si="1414"/>
        <v>374415</v>
      </c>
      <c r="AD902" s="1269">
        <f t="shared" si="1414"/>
        <v>377339</v>
      </c>
      <c r="AE902" s="1269">
        <f t="shared" si="1414"/>
        <v>377305</v>
      </c>
      <c r="AF902" s="1269">
        <f t="shared" si="1414"/>
        <v>381815</v>
      </c>
      <c r="AG902" s="1270">
        <f t="shared" si="1414"/>
        <v>381815</v>
      </c>
      <c r="AH902" s="1269">
        <f t="shared" si="1414"/>
        <v>386170</v>
      </c>
      <c r="AI902" s="1269">
        <f t="shared" si="1414"/>
        <v>388642</v>
      </c>
      <c r="AJ902" s="1269">
        <f t="shared" si="1414"/>
        <v>391111</v>
      </c>
      <c r="AK902" s="1269">
        <f t="shared" si="1414"/>
        <v>392641</v>
      </c>
      <c r="AL902" s="1270">
        <f t="shared" si="1414"/>
        <v>392641</v>
      </c>
      <c r="AM902" s="1269">
        <f t="shared" si="1414"/>
        <v>392801</v>
      </c>
      <c r="AN902" s="1269">
        <f t="shared" si="1414"/>
        <v>396998</v>
      </c>
      <c r="AO902" s="1269">
        <f t="shared" ref="AO902:BT902" si="1415">+AO893+AO871</f>
        <v>401309</v>
      </c>
      <c r="AP902" s="1269">
        <f t="shared" si="1415"/>
        <v>408977</v>
      </c>
      <c r="AQ902" s="1270">
        <f t="shared" si="1415"/>
        <v>408977</v>
      </c>
      <c r="AR902" s="1269">
        <f t="shared" si="1415"/>
        <v>411861</v>
      </c>
      <c r="AS902" s="1269">
        <f t="shared" si="1415"/>
        <v>417514</v>
      </c>
      <c r="AT902" s="1269">
        <f t="shared" si="1415"/>
        <v>420874</v>
      </c>
      <c r="AU902" s="1269">
        <f t="shared" si="1415"/>
        <v>429041</v>
      </c>
      <c r="AV902" s="1270">
        <f t="shared" si="1415"/>
        <v>429041</v>
      </c>
      <c r="AW902" s="1269">
        <f t="shared" si="1415"/>
        <v>434223</v>
      </c>
      <c r="AX902" s="1269">
        <f t="shared" si="1415"/>
        <v>440013</v>
      </c>
      <c r="AY902" s="1269">
        <f t="shared" si="1415"/>
        <v>449307</v>
      </c>
      <c r="AZ902" s="1269">
        <f t="shared" si="1415"/>
        <v>456745</v>
      </c>
      <c r="BA902" s="1270">
        <f t="shared" si="1415"/>
        <v>456745</v>
      </c>
      <c r="BB902" s="1269">
        <f t="shared" si="1415"/>
        <v>462328</v>
      </c>
      <c r="BC902" s="1269">
        <f t="shared" si="1415"/>
        <v>466258</v>
      </c>
      <c r="BD902" s="1269">
        <f t="shared" si="1415"/>
        <v>468864</v>
      </c>
      <c r="BE902" s="1269">
        <f t="shared" si="1415"/>
        <v>474372</v>
      </c>
      <c r="BF902" s="1270">
        <f t="shared" si="1415"/>
        <v>474372</v>
      </c>
      <c r="BG902" s="1269">
        <f t="shared" si="1415"/>
        <v>476616</v>
      </c>
      <c r="BH902" s="1269">
        <f t="shared" si="1415"/>
        <v>478664</v>
      </c>
      <c r="BI902" s="1269">
        <f t="shared" si="1415"/>
        <v>480268</v>
      </c>
      <c r="BJ902" s="1269">
        <f t="shared" si="1415"/>
        <v>482819</v>
      </c>
      <c r="BK902" s="1270">
        <f t="shared" si="1415"/>
        <v>482819</v>
      </c>
      <c r="BL902" s="1269">
        <f t="shared" si="1415"/>
        <v>483748</v>
      </c>
      <c r="BM902" s="1269">
        <f t="shared" si="1415"/>
        <v>485256</v>
      </c>
      <c r="BN902" s="1269">
        <f t="shared" si="1415"/>
        <v>485861</v>
      </c>
      <c r="BO902" s="1269">
        <f t="shared" si="1415"/>
        <v>496070</v>
      </c>
      <c r="BP902" s="1270">
        <f t="shared" si="1415"/>
        <v>496070</v>
      </c>
      <c r="BQ902" s="1269">
        <f t="shared" si="1415"/>
        <v>496193</v>
      </c>
      <c r="BR902" s="1269">
        <f t="shared" si="1415"/>
        <v>499233</v>
      </c>
      <c r="BS902" s="1269">
        <f t="shared" si="1415"/>
        <v>501454</v>
      </c>
      <c r="BT902" s="1269">
        <f t="shared" si="1415"/>
        <v>502774</v>
      </c>
      <c r="BU902" s="1270">
        <f t="shared" ref="BU902:CV902" si="1416">+BU893+BU871</f>
        <v>502774</v>
      </c>
      <c r="BV902" s="1269">
        <f t="shared" si="1416"/>
        <v>504098</v>
      </c>
      <c r="BW902" s="1269">
        <f t="shared" si="1416"/>
        <v>509178</v>
      </c>
      <c r="BX902" s="1269">
        <f t="shared" si="1416"/>
        <v>513592</v>
      </c>
      <c r="BY902" s="1269">
        <f t="shared" si="1416"/>
        <v>517062</v>
      </c>
      <c r="BZ902" s="1270">
        <f t="shared" si="1416"/>
        <v>517062</v>
      </c>
      <c r="CA902" s="1269">
        <f t="shared" si="1416"/>
        <v>538576</v>
      </c>
      <c r="CB902" s="1269">
        <f t="shared" si="1416"/>
        <v>554064</v>
      </c>
      <c r="CC902" s="1269">
        <f t="shared" si="1416"/>
        <v>561677</v>
      </c>
      <c r="CD902" s="1269">
        <f t="shared" si="1416"/>
        <v>563849</v>
      </c>
      <c r="CE902" s="1270">
        <f t="shared" si="1416"/>
        <v>570677</v>
      </c>
      <c r="CF902" s="1269">
        <f t="shared" si="1416"/>
        <v>569675</v>
      </c>
      <c r="CG902" s="1269">
        <f t="shared" si="1416"/>
        <v>577900</v>
      </c>
      <c r="CH902" s="1269">
        <f t="shared" si="1416"/>
        <v>584889</v>
      </c>
      <c r="CI902" s="1269">
        <f t="shared" si="1416"/>
        <v>775156</v>
      </c>
      <c r="CJ902" s="1270">
        <f t="shared" si="1416"/>
        <v>775156</v>
      </c>
      <c r="CK902" s="1275">
        <f t="shared" si="1416"/>
        <v>783031</v>
      </c>
      <c r="CL902" s="1269">
        <f t="shared" si="1416"/>
        <v>792569</v>
      </c>
      <c r="CM902" s="1269">
        <f t="shared" si="1416"/>
        <v>805479</v>
      </c>
      <c r="CN902" s="1269">
        <f t="shared" si="1416"/>
        <v>816164</v>
      </c>
      <c r="CO902" s="1270">
        <f t="shared" si="1416"/>
        <v>816164</v>
      </c>
      <c r="CP902" s="1269">
        <f>+CP893+CP871</f>
        <v>832817.83000000007</v>
      </c>
      <c r="CQ902" s="1269">
        <f>+CQ893+CQ871</f>
        <v>839482.68</v>
      </c>
      <c r="CR902" s="1269">
        <f>+CR893+CR871</f>
        <v>851389.89</v>
      </c>
      <c r="CS902" s="1269">
        <f>+CS893+CS871</f>
        <v>860216.59</v>
      </c>
      <c r="CT902" s="1270">
        <f>+CT893+CT871</f>
        <v>860216.59</v>
      </c>
      <c r="CU902" s="1270">
        <f t="shared" si="1416"/>
        <v>909937.62070000009</v>
      </c>
      <c r="CV902" s="1270">
        <f t="shared" si="1416"/>
        <v>933668.53225600009</v>
      </c>
      <c r="CW902" s="374"/>
      <c r="CX902" s="374"/>
      <c r="CY902" s="374"/>
      <c r="CZ902" s="374"/>
      <c r="DA902" s="374"/>
      <c r="DB902" s="217"/>
      <c r="DC902" s="212"/>
      <c r="DD902" s="212"/>
      <c r="DE902" s="70"/>
      <c r="DF902" s="70"/>
      <c r="DG902" s="70"/>
      <c r="DH902" s="70"/>
      <c r="DI902" s="70"/>
      <c r="DJ902" s="70"/>
      <c r="DK902" s="70"/>
      <c r="DL902" s="70"/>
      <c r="DM902" s="70"/>
      <c r="DN902" s="70"/>
      <c r="DO902" s="70"/>
      <c r="DP902" s="70"/>
      <c r="DQ902" s="70"/>
      <c r="DR902" s="70"/>
      <c r="DS902" s="70"/>
      <c r="DT902" s="70"/>
      <c r="DU902" s="70"/>
      <c r="DV902" s="70"/>
      <c r="DW902" s="70"/>
      <c r="DX902" s="70"/>
      <c r="DY902" s="70"/>
      <c r="DZ902" s="70"/>
      <c r="EA902" s="70"/>
      <c r="EB902" s="70"/>
      <c r="EC902" s="70"/>
      <c r="ED902" s="70"/>
      <c r="EE902" s="70"/>
      <c r="EF902" s="70"/>
      <c r="EG902" s="70"/>
      <c r="EH902" s="70"/>
      <c r="EI902" s="70"/>
      <c r="EJ902" s="70"/>
      <c r="EK902" s="70"/>
      <c r="EL902" s="70"/>
      <c r="EM902" s="70"/>
      <c r="EN902" s="70"/>
      <c r="EO902" s="70"/>
      <c r="EP902" s="70"/>
      <c r="EQ902" s="70"/>
      <c r="ER902" s="70"/>
      <c r="ES902" s="70"/>
      <c r="ET902" s="70"/>
      <c r="EU902" s="70"/>
      <c r="EV902" s="70"/>
      <c r="EW902" s="70"/>
      <c r="EX902" s="70"/>
      <c r="EY902" s="70"/>
      <c r="EZ902" s="70"/>
      <c r="FA902" s="70"/>
      <c r="FB902" s="70"/>
      <c r="FC902" s="70"/>
      <c r="FD902" s="70"/>
      <c r="FE902" s="70"/>
      <c r="FF902" s="70"/>
      <c r="FG902" s="70"/>
      <c r="FH902" s="70"/>
      <c r="FI902" s="70"/>
      <c r="FJ902" s="70"/>
      <c r="FK902" s="70"/>
      <c r="FL902" s="70"/>
      <c r="FM902" s="70"/>
      <c r="FN902" s="70"/>
      <c r="FO902" s="70"/>
      <c r="FP902" s="70"/>
      <c r="FQ902" s="70"/>
      <c r="FR902" s="70"/>
      <c r="FS902" s="70"/>
      <c r="FT902" s="70"/>
      <c r="FU902" s="70"/>
      <c r="FV902" s="70"/>
      <c r="FW902" s="70"/>
      <c r="FX902" s="70"/>
      <c r="FY902" s="70"/>
      <c r="FZ902" s="70"/>
      <c r="GA902" s="70"/>
      <c r="GB902" s="70"/>
      <c r="GC902" s="70"/>
      <c r="GD902" s="70"/>
      <c r="GE902" s="70"/>
      <c r="GF902" s="70"/>
      <c r="GG902" s="70"/>
      <c r="GH902" s="70"/>
      <c r="GI902" s="70"/>
      <c r="GJ902" s="70"/>
      <c r="GK902" s="70"/>
      <c r="GL902" s="70"/>
      <c r="GM902" s="70"/>
      <c r="GN902" s="70"/>
      <c r="GO902" s="70"/>
      <c r="GP902" s="70"/>
      <c r="GQ902" s="70"/>
      <c r="GR902" s="70"/>
      <c r="GS902" s="70"/>
      <c r="GT902" s="70"/>
      <c r="GU902" s="70"/>
      <c r="GV902" s="70"/>
      <c r="GW902" s="70"/>
      <c r="GX902" s="70"/>
      <c r="GY902" s="70"/>
      <c r="GZ902" s="70"/>
      <c r="HA902" s="70"/>
      <c r="HB902" s="70"/>
      <c r="HC902" s="70"/>
      <c r="HD902" s="70"/>
      <c r="HE902" s="70"/>
      <c r="HF902" s="70"/>
      <c r="HG902" s="70"/>
      <c r="HH902" s="70"/>
      <c r="HI902" s="70"/>
      <c r="HJ902" s="70"/>
      <c r="HK902" s="70"/>
      <c r="HL902" s="70"/>
      <c r="HM902" s="70"/>
      <c r="HN902" s="70"/>
      <c r="HO902" s="70"/>
      <c r="HP902" s="70"/>
      <c r="HQ902" s="70"/>
      <c r="HR902" s="70"/>
      <c r="HS902" s="70"/>
      <c r="HT902" s="70"/>
      <c r="HU902" s="70"/>
      <c r="HV902" s="70"/>
      <c r="HW902" s="70"/>
      <c r="HX902" s="70"/>
      <c r="HY902" s="70"/>
      <c r="HZ902" s="70"/>
      <c r="IA902" s="70"/>
      <c r="IB902" s="70"/>
      <c r="IC902" s="70"/>
      <c r="ID902" s="70"/>
      <c r="IE902" s="70"/>
      <c r="IF902" s="70"/>
      <c r="IG902" s="70"/>
      <c r="IH902" s="70"/>
      <c r="II902" s="70"/>
      <c r="IJ902" s="70"/>
      <c r="IK902" s="70"/>
      <c r="IL902" s="70"/>
      <c r="IM902" s="70"/>
      <c r="IN902" s="70"/>
      <c r="IO902" s="70"/>
      <c r="IP902" s="70"/>
      <c r="IQ902" s="70"/>
      <c r="IR902" s="70"/>
      <c r="IS902" s="70"/>
      <c r="IT902" s="70"/>
      <c r="IU902" s="70"/>
      <c r="IV902" s="70"/>
    </row>
    <row r="903" spans="1:256" x14ac:dyDescent="0.2">
      <c r="A903" s="2389" t="s">
        <v>652</v>
      </c>
      <c r="B903" s="2015"/>
      <c r="C903" s="2246"/>
      <c r="D903" s="2018"/>
      <c r="E903" s="2018"/>
      <c r="F903" s="2018"/>
      <c r="G903" s="2018"/>
      <c r="H903" s="2016"/>
      <c r="I903" s="2018"/>
      <c r="J903" s="2018"/>
      <c r="K903" s="2018"/>
      <c r="L903" s="2018"/>
      <c r="M903" s="1044"/>
      <c r="N903" s="885">
        <f t="shared" ref="N903:AR903" si="1417">+N902/I902-1</f>
        <v>8.8413232624546589E-2</v>
      </c>
      <c r="O903" s="885">
        <f t="shared" si="1417"/>
        <v>7.3344085459816633E-2</v>
      </c>
      <c r="P903" s="885">
        <f t="shared" si="1417"/>
        <v>6.326002173774059E-2</v>
      </c>
      <c r="Q903" s="885">
        <f t="shared" si="1417"/>
        <v>6.9423567548569487E-2</v>
      </c>
      <c r="R903" s="1044">
        <f t="shared" si="1417"/>
        <v>6.9423567548569487E-2</v>
      </c>
      <c r="S903" s="885">
        <f t="shared" si="1417"/>
        <v>6.7210284551592281E-2</v>
      </c>
      <c r="T903" s="885">
        <f t="shared" si="1417"/>
        <v>6.7702677629037478E-2</v>
      </c>
      <c r="U903" s="885">
        <f t="shared" si="1417"/>
        <v>6.8106996503401795E-2</v>
      </c>
      <c r="V903" s="885">
        <f t="shared" si="1417"/>
        <v>5.3428797793362515E-2</v>
      </c>
      <c r="W903" s="1044">
        <f t="shared" si="1417"/>
        <v>5.3428797793362515E-2</v>
      </c>
      <c r="X903" s="885">
        <f t="shared" si="1417"/>
        <v>4.5633516383521533E-2</v>
      </c>
      <c r="Y903" s="885">
        <f t="shared" si="1417"/>
        <v>4.263871756229709E-2</v>
      </c>
      <c r="Z903" s="885">
        <f t="shared" si="1417"/>
        <v>3.7850938180835625E-2</v>
      </c>
      <c r="AA903" s="885">
        <f t="shared" si="1417"/>
        <v>4.0473763085031145E-2</v>
      </c>
      <c r="AB903" s="1044">
        <f t="shared" si="1417"/>
        <v>4.0473763085031145E-2</v>
      </c>
      <c r="AC903" s="885">
        <f t="shared" si="1417"/>
        <v>3.4387017636918094E-2</v>
      </c>
      <c r="AD903" s="885">
        <f t="shared" si="1417"/>
        <v>3.1020312252381332E-2</v>
      </c>
      <c r="AE903" s="885">
        <f t="shared" si="1417"/>
        <v>2.3313778616741221E-2</v>
      </c>
      <c r="AF903" s="885">
        <f t="shared" si="1417"/>
        <v>2.2185753143004083E-2</v>
      </c>
      <c r="AG903" s="1044">
        <f t="shared" si="1417"/>
        <v>2.2185753143004083E-2</v>
      </c>
      <c r="AH903" s="885">
        <f t="shared" si="1417"/>
        <v>3.1395643871105605E-2</v>
      </c>
      <c r="AI903" s="885">
        <f t="shared" si="1417"/>
        <v>2.9954497149777826E-2</v>
      </c>
      <c r="AJ903" s="885">
        <f t="shared" si="1417"/>
        <v>3.6591086786551985E-2</v>
      </c>
      <c r="AK903" s="885">
        <f t="shared" si="1417"/>
        <v>2.8354045807524653E-2</v>
      </c>
      <c r="AL903" s="1044">
        <f t="shared" si="1417"/>
        <v>2.8354045807524653E-2</v>
      </c>
      <c r="AM903" s="885">
        <f t="shared" si="1417"/>
        <v>1.7171194033715809E-2</v>
      </c>
      <c r="AN903" s="885">
        <f t="shared" si="1417"/>
        <v>2.1500506893233462E-2</v>
      </c>
      <c r="AO903" s="885">
        <f t="shared" si="1417"/>
        <v>2.6074439225692858E-2</v>
      </c>
      <c r="AP903" s="885">
        <f t="shared" si="1417"/>
        <v>4.1605436008975039E-2</v>
      </c>
      <c r="AQ903" s="1044">
        <f t="shared" si="1417"/>
        <v>4.1605436008975039E-2</v>
      </c>
      <c r="AR903" s="885">
        <f t="shared" si="1417"/>
        <v>4.8523298056776909E-2</v>
      </c>
      <c r="AS903" s="885">
        <f t="shared" ref="AS903:CB903" si="1418">+AS902/AN902-1</f>
        <v>5.1677842205754221E-2</v>
      </c>
      <c r="AT903" s="885">
        <f t="shared" si="1418"/>
        <v>4.8752955951648191E-2</v>
      </c>
      <c r="AU903" s="885">
        <f t="shared" si="1418"/>
        <v>4.9058993537533846E-2</v>
      </c>
      <c r="AV903" s="1044">
        <f t="shared" si="1418"/>
        <v>4.9058993537533846E-2</v>
      </c>
      <c r="AW903" s="885">
        <f t="shared" si="1418"/>
        <v>5.4295017008165303E-2</v>
      </c>
      <c r="AX903" s="885">
        <f t="shared" si="1418"/>
        <v>5.3888013336079732E-2</v>
      </c>
      <c r="AY903" s="885">
        <f t="shared" si="1418"/>
        <v>6.75570360725537E-2</v>
      </c>
      <c r="AZ903" s="885">
        <f t="shared" si="1418"/>
        <v>6.4571917369202536E-2</v>
      </c>
      <c r="BA903" s="1044">
        <f t="shared" si="1418"/>
        <v>6.4571917369202536E-2</v>
      </c>
      <c r="BB903" s="885">
        <f t="shared" si="1418"/>
        <v>6.4724807299475051E-2</v>
      </c>
      <c r="BC903" s="885">
        <f t="shared" si="1418"/>
        <v>5.9645965005579393E-2</v>
      </c>
      <c r="BD903" s="885">
        <f t="shared" si="1418"/>
        <v>4.352703162870819E-2</v>
      </c>
      <c r="BE903" s="885">
        <f t="shared" si="1418"/>
        <v>3.8592650165847564E-2</v>
      </c>
      <c r="BF903" s="1044">
        <f t="shared" si="1418"/>
        <v>3.8592650165847564E-2</v>
      </c>
      <c r="BG903" s="885">
        <f t="shared" si="1418"/>
        <v>3.0904466093336413E-2</v>
      </c>
      <c r="BH903" s="885">
        <f t="shared" si="1418"/>
        <v>2.6607586357767499E-2</v>
      </c>
      <c r="BI903" s="885">
        <f t="shared" si="1418"/>
        <v>2.4322618072618152E-2</v>
      </c>
      <c r="BJ903" s="885">
        <f t="shared" si="1418"/>
        <v>1.7806700226826289E-2</v>
      </c>
      <c r="BK903" s="1044">
        <f t="shared" si="1418"/>
        <v>1.7806700226826289E-2</v>
      </c>
      <c r="BL903" s="885">
        <f t="shared" si="1418"/>
        <v>1.4963828323010464E-2</v>
      </c>
      <c r="BM903" s="885">
        <f t="shared" si="1418"/>
        <v>1.3771664466097233E-2</v>
      </c>
      <c r="BN903" s="885">
        <f t="shared" si="1418"/>
        <v>1.1645581217153866E-2</v>
      </c>
      <c r="BO903" s="885">
        <f t="shared" si="1418"/>
        <v>2.7445067406212331E-2</v>
      </c>
      <c r="BP903" s="1044">
        <f t="shared" si="1418"/>
        <v>2.7445067406212331E-2</v>
      </c>
      <c r="BQ903" s="885">
        <f t="shared" si="1418"/>
        <v>2.5726204552783738E-2</v>
      </c>
      <c r="BR903" s="885">
        <f t="shared" si="1418"/>
        <v>2.8803353281566801E-2</v>
      </c>
      <c r="BS903" s="885">
        <f t="shared" si="1418"/>
        <v>3.2093541156832828E-2</v>
      </c>
      <c r="BT903" s="885">
        <f>+BT902/BO902-1</f>
        <v>1.3514221783216041E-2</v>
      </c>
      <c r="BU903" s="1044">
        <f>+BU902/BP902-1</f>
        <v>1.3514221783216041E-2</v>
      </c>
      <c r="BV903" s="885">
        <f t="shared" si="1418"/>
        <v>1.5931300925244862E-2</v>
      </c>
      <c r="BW903" s="885">
        <f t="shared" si="1418"/>
        <v>1.9920558136180988E-2</v>
      </c>
      <c r="BX903" s="885">
        <f t="shared" si="1418"/>
        <v>2.4205610085870299E-2</v>
      </c>
      <c r="BY903" s="885">
        <f t="shared" si="1418"/>
        <v>2.8418335076992873E-2</v>
      </c>
      <c r="BZ903" s="1044">
        <f t="shared" ref="BZ903:CF903" si="1419">+BZ902/BU902-1</f>
        <v>2.8418335076992873E-2</v>
      </c>
      <c r="CA903" s="885">
        <f t="shared" si="1418"/>
        <v>6.8395431047137745E-2</v>
      </c>
      <c r="CB903" s="885">
        <f t="shared" si="1418"/>
        <v>8.8153847966722765E-2</v>
      </c>
      <c r="CC903" s="885">
        <f t="shared" si="1419"/>
        <v>9.3624900699387892E-2</v>
      </c>
      <c r="CD903" s="885">
        <f t="shared" si="1419"/>
        <v>9.0486247297229427E-2</v>
      </c>
      <c r="CE903" s="1044">
        <f t="shared" si="1419"/>
        <v>0.10369162692288358</v>
      </c>
      <c r="CF903" s="885">
        <f t="shared" si="1419"/>
        <v>5.7743011199904881E-2</v>
      </c>
      <c r="CG903" s="885">
        <f t="shared" ref="CG903:CO903" si="1420">+CG902/CB902-1</f>
        <v>4.3020300903866771E-2</v>
      </c>
      <c r="CH903" s="885">
        <f t="shared" si="1420"/>
        <v>4.132624266259799E-2</v>
      </c>
      <c r="CI903" s="885">
        <f t="shared" si="1420"/>
        <v>0.37475813560013416</v>
      </c>
      <c r="CJ903" s="1044">
        <f t="shared" si="1420"/>
        <v>0.35830951659169719</v>
      </c>
      <c r="CK903" s="1278">
        <f t="shared" si="1420"/>
        <v>0.37452231535524638</v>
      </c>
      <c r="CL903" s="885">
        <f t="shared" si="1420"/>
        <v>0.37146392109361481</v>
      </c>
      <c r="CM903" s="885">
        <f t="shared" si="1420"/>
        <v>0.37714848458425454</v>
      </c>
      <c r="CN903" s="885">
        <f t="shared" si="1420"/>
        <v>5.2902899545381743E-2</v>
      </c>
      <c r="CO903" s="1044">
        <f t="shared" si="1420"/>
        <v>5.2902899545381743E-2</v>
      </c>
      <c r="CP903" s="885">
        <f>+CP902/CK902-1</f>
        <v>6.3582195340925241E-2</v>
      </c>
      <c r="CQ903" s="885">
        <f>+CQ902/CL902-1</f>
        <v>5.9191918937026466E-2</v>
      </c>
      <c r="CR903" s="885">
        <f>+CR902/CM902-1</f>
        <v>5.6998245764321664E-2</v>
      </c>
      <c r="CS903" s="885">
        <f>+CS902/CN902-1</f>
        <v>5.3975169206188944E-2</v>
      </c>
      <c r="CT903" s="1044">
        <f>+CT902/CO902-1</f>
        <v>5.3975169206188944E-2</v>
      </c>
      <c r="CU903" s="1044">
        <f>+CU902/CT902-1</f>
        <v>5.7800594964112717E-2</v>
      </c>
      <c r="CV903" s="1044">
        <f>+CV902/CU902-1</f>
        <v>2.607971251671537E-2</v>
      </c>
      <c r="CW903" s="2702"/>
      <c r="CX903" s="2702"/>
      <c r="CY903" s="2702"/>
      <c r="CZ903" s="2702"/>
      <c r="DA903" s="2702"/>
      <c r="DB903" s="217"/>
      <c r="DF903" s="11"/>
      <c r="DG903" s="11"/>
      <c r="DH903" s="11"/>
      <c r="DI903" s="11"/>
      <c r="DJ903" s="11"/>
      <c r="DK903" s="11"/>
      <c r="DL903" s="11"/>
      <c r="DM903" s="11"/>
      <c r="DN903" s="11"/>
      <c r="DO903" s="11"/>
      <c r="DP903" s="11"/>
      <c r="DQ903" s="11"/>
      <c r="DR903" s="11"/>
      <c r="DS903" s="11"/>
      <c r="DT903" s="11"/>
      <c r="DU903" s="11"/>
      <c r="DV903" s="11"/>
      <c r="DW903" s="11"/>
      <c r="DX903" s="11"/>
      <c r="DY903" s="11"/>
      <c r="DZ903" s="11"/>
      <c r="EA903" s="11"/>
      <c r="EB903" s="11"/>
      <c r="EC903" s="11"/>
      <c r="ED903" s="11"/>
      <c r="EE903" s="11"/>
      <c r="EF903" s="11"/>
      <c r="EG903" s="11"/>
      <c r="EH903" s="11"/>
      <c r="EI903" s="11"/>
      <c r="EJ903" s="11"/>
      <c r="EK903" s="11"/>
      <c r="EL903" s="11"/>
      <c r="EM903" s="11"/>
      <c r="EN903" s="11"/>
      <c r="EO903" s="11"/>
      <c r="EP903" s="11"/>
      <c r="EQ903" s="11"/>
      <c r="ER903" s="11"/>
      <c r="ES903" s="11"/>
      <c r="ET903" s="11"/>
      <c r="EU903" s="11"/>
      <c r="EV903" s="11"/>
      <c r="EW903" s="11"/>
      <c r="EX903" s="11"/>
      <c r="EY903" s="11"/>
      <c r="EZ903" s="11"/>
      <c r="FA903" s="11"/>
      <c r="FB903" s="11"/>
      <c r="FC903" s="11"/>
      <c r="FD903" s="11"/>
      <c r="FE903" s="11"/>
      <c r="FF903" s="11"/>
      <c r="FG903" s="11"/>
      <c r="FH903" s="11"/>
      <c r="FI903" s="11"/>
      <c r="FJ903" s="11"/>
      <c r="FK903" s="11"/>
      <c r="FL903" s="11"/>
      <c r="FM903" s="11"/>
      <c r="FN903" s="11"/>
      <c r="FO903" s="11"/>
      <c r="FP903" s="11"/>
      <c r="FQ903" s="11"/>
      <c r="FR903" s="11"/>
      <c r="FS903" s="11"/>
      <c r="FT903" s="11"/>
      <c r="FU903" s="11"/>
      <c r="FV903" s="11"/>
      <c r="FW903" s="11"/>
      <c r="FX903" s="11"/>
      <c r="FY903" s="11"/>
      <c r="FZ903" s="11"/>
      <c r="GA903" s="11"/>
      <c r="GB903" s="11"/>
      <c r="GC903" s="11"/>
      <c r="GD903" s="11"/>
      <c r="GE903" s="11"/>
      <c r="GF903" s="11"/>
      <c r="GG903" s="11"/>
      <c r="GH903" s="11"/>
      <c r="GI903" s="11"/>
      <c r="GJ903" s="11"/>
      <c r="GK903" s="11"/>
      <c r="GL903" s="11"/>
      <c r="GM903" s="11"/>
      <c r="GN903" s="11"/>
      <c r="GO903" s="11"/>
      <c r="GP903" s="11"/>
      <c r="GQ903" s="11"/>
      <c r="GR903" s="11"/>
      <c r="GS903" s="11"/>
      <c r="GT903" s="11"/>
      <c r="GU903" s="11"/>
      <c r="GV903" s="11"/>
      <c r="GW903" s="11"/>
      <c r="GX903" s="11"/>
      <c r="GY903" s="11"/>
      <c r="GZ903" s="11"/>
      <c r="HA903" s="11"/>
      <c r="HB903" s="11"/>
      <c r="HC903" s="11"/>
      <c r="HD903" s="11"/>
      <c r="HE903" s="11"/>
      <c r="HF903" s="11"/>
      <c r="HG903" s="11"/>
      <c r="HH903" s="11"/>
      <c r="HI903" s="11"/>
      <c r="HJ903" s="11"/>
      <c r="HK903" s="11"/>
      <c r="HL903" s="11"/>
      <c r="HM903" s="11"/>
      <c r="HN903" s="11"/>
      <c r="HO903" s="11"/>
      <c r="HP903" s="11"/>
      <c r="HQ903" s="11"/>
      <c r="HR903" s="11"/>
      <c r="HS903" s="11"/>
      <c r="HT903" s="11"/>
      <c r="HU903" s="11"/>
      <c r="HV903" s="11"/>
      <c r="HW903" s="11"/>
      <c r="HX903" s="11"/>
      <c r="HY903" s="11"/>
      <c r="HZ903" s="11"/>
      <c r="IA903" s="11"/>
      <c r="IB903" s="11"/>
      <c r="IC903" s="11"/>
      <c r="ID903" s="11"/>
      <c r="IE903" s="11"/>
      <c r="IF903" s="11"/>
      <c r="IG903" s="11"/>
      <c r="IH903" s="11"/>
      <c r="II903" s="11"/>
      <c r="IJ903" s="11"/>
      <c r="IK903" s="11"/>
      <c r="IL903" s="11"/>
      <c r="IM903" s="11"/>
      <c r="IN903" s="11"/>
      <c r="IO903" s="11"/>
      <c r="IP903" s="11"/>
      <c r="IQ903" s="11"/>
      <c r="IR903" s="11"/>
      <c r="IS903" s="11"/>
      <c r="IT903" s="11"/>
      <c r="IU903" s="11"/>
      <c r="IV903" s="11"/>
    </row>
    <row r="904" spans="1:256" x14ac:dyDescent="0.2">
      <c r="A904" s="302" t="s">
        <v>2096</v>
      </c>
      <c r="B904" s="1441"/>
      <c r="C904" s="1441"/>
      <c r="D904" s="1441"/>
      <c r="E904" s="1441"/>
      <c r="F904" s="1441"/>
      <c r="G904" s="1441"/>
      <c r="H904" s="1440"/>
      <c r="I904" s="1269">
        <f t="shared" ref="I904:AN904" si="1421">+I895+I874</f>
        <v>84075</v>
      </c>
      <c r="J904" s="1269">
        <f t="shared" si="1421"/>
        <v>87341</v>
      </c>
      <c r="K904" s="1269">
        <f t="shared" si="1421"/>
        <v>95872</v>
      </c>
      <c r="L904" s="1269">
        <f t="shared" si="1421"/>
        <v>98505</v>
      </c>
      <c r="M904" s="1270">
        <f t="shared" si="1421"/>
        <v>98505</v>
      </c>
      <c r="N904" s="1269">
        <f t="shared" si="1421"/>
        <v>100160</v>
      </c>
      <c r="O904" s="1269">
        <f t="shared" si="1421"/>
        <v>100692</v>
      </c>
      <c r="P904" s="1269">
        <f t="shared" si="1421"/>
        <v>103368</v>
      </c>
      <c r="Q904" s="1269">
        <f t="shared" si="1421"/>
        <v>104587</v>
      </c>
      <c r="R904" s="1270">
        <f t="shared" si="1421"/>
        <v>104587</v>
      </c>
      <c r="S904" s="1269">
        <f t="shared" si="1421"/>
        <v>106579</v>
      </c>
      <c r="T904" s="1269">
        <f t="shared" si="1421"/>
        <v>108423</v>
      </c>
      <c r="U904" s="1269">
        <f t="shared" si="1421"/>
        <v>111558</v>
      </c>
      <c r="V904" s="1269">
        <f t="shared" si="1421"/>
        <v>114028</v>
      </c>
      <c r="W904" s="1270">
        <f t="shared" si="1421"/>
        <v>114028</v>
      </c>
      <c r="X904" s="1269">
        <f t="shared" si="1421"/>
        <v>115146</v>
      </c>
      <c r="Y904" s="1269">
        <f t="shared" si="1421"/>
        <v>117326</v>
      </c>
      <c r="Z904" s="1269">
        <f t="shared" si="1421"/>
        <v>118323</v>
      </c>
      <c r="AA904" s="1269">
        <f t="shared" si="1421"/>
        <v>91531</v>
      </c>
      <c r="AB904" s="1270">
        <f t="shared" si="1421"/>
        <v>91531</v>
      </c>
      <c r="AC904" s="1269">
        <f t="shared" si="1421"/>
        <v>92601</v>
      </c>
      <c r="AD904" s="1269">
        <f t="shared" si="1421"/>
        <v>94194</v>
      </c>
      <c r="AE904" s="1269">
        <f t="shared" si="1421"/>
        <v>93232</v>
      </c>
      <c r="AF904" s="1269">
        <f t="shared" si="1421"/>
        <v>94096</v>
      </c>
      <c r="AG904" s="1270">
        <f t="shared" si="1421"/>
        <v>94096</v>
      </c>
      <c r="AH904" s="1269">
        <f t="shared" si="1421"/>
        <v>94932</v>
      </c>
      <c r="AI904" s="1269">
        <f t="shared" si="1421"/>
        <v>96684</v>
      </c>
      <c r="AJ904" s="1269">
        <f t="shared" si="1421"/>
        <v>98168</v>
      </c>
      <c r="AK904" s="1269">
        <f t="shared" si="1421"/>
        <v>98682</v>
      </c>
      <c r="AL904" s="1270">
        <f t="shared" si="1421"/>
        <v>98682</v>
      </c>
      <c r="AM904" s="1269">
        <f t="shared" si="1421"/>
        <v>99868</v>
      </c>
      <c r="AN904" s="1269">
        <f t="shared" si="1421"/>
        <v>99902</v>
      </c>
      <c r="AO904" s="1269">
        <f t="shared" ref="AO904:BT904" si="1422">+AO895+AO874</f>
        <v>103053</v>
      </c>
      <c r="AP904" s="1269">
        <f t="shared" si="1422"/>
        <v>103179</v>
      </c>
      <c r="AQ904" s="1270">
        <f t="shared" si="1422"/>
        <v>103179</v>
      </c>
      <c r="AR904" s="1269">
        <f t="shared" si="1422"/>
        <v>102124</v>
      </c>
      <c r="AS904" s="1269">
        <f t="shared" si="1422"/>
        <v>102655</v>
      </c>
      <c r="AT904" s="1269">
        <f t="shared" si="1422"/>
        <v>104613</v>
      </c>
      <c r="AU904" s="1269">
        <f t="shared" si="1422"/>
        <v>106051</v>
      </c>
      <c r="AV904" s="1270">
        <f t="shared" si="1422"/>
        <v>106051</v>
      </c>
      <c r="AW904" s="1269">
        <f t="shared" si="1422"/>
        <v>108806</v>
      </c>
      <c r="AX904" s="1269">
        <f t="shared" si="1422"/>
        <v>110219</v>
      </c>
      <c r="AY904" s="1269">
        <f t="shared" si="1422"/>
        <v>110620</v>
      </c>
      <c r="AZ904" s="1269">
        <f t="shared" si="1422"/>
        <v>112057</v>
      </c>
      <c r="BA904" s="1270">
        <f t="shared" si="1422"/>
        <v>112057</v>
      </c>
      <c r="BB904" s="1269">
        <f t="shared" si="1422"/>
        <v>113557</v>
      </c>
      <c r="BC904" s="1269">
        <f t="shared" si="1422"/>
        <v>114361</v>
      </c>
      <c r="BD904" s="1269">
        <f t="shared" si="1422"/>
        <v>116029</v>
      </c>
      <c r="BE904" s="1269">
        <f t="shared" si="1422"/>
        <v>115741</v>
      </c>
      <c r="BF904" s="1270">
        <f t="shared" si="1422"/>
        <v>115741</v>
      </c>
      <c r="BG904" s="1269">
        <f t="shared" si="1422"/>
        <v>118112</v>
      </c>
      <c r="BH904" s="1269">
        <f t="shared" si="1422"/>
        <v>118976</v>
      </c>
      <c r="BI904" s="1269">
        <f t="shared" si="1422"/>
        <v>121005</v>
      </c>
      <c r="BJ904" s="1269">
        <f t="shared" si="1422"/>
        <v>123505</v>
      </c>
      <c r="BK904" s="1270">
        <f t="shared" si="1422"/>
        <v>123505</v>
      </c>
      <c r="BL904" s="1269">
        <f t="shared" si="1422"/>
        <v>123586</v>
      </c>
      <c r="BM904" s="1269">
        <f t="shared" si="1422"/>
        <v>123989</v>
      </c>
      <c r="BN904" s="1269">
        <f t="shared" si="1422"/>
        <v>125393</v>
      </c>
      <c r="BO904" s="1269">
        <f t="shared" si="1422"/>
        <v>128053</v>
      </c>
      <c r="BP904" s="1270">
        <f t="shared" si="1422"/>
        <v>128053</v>
      </c>
      <c r="BQ904" s="1269">
        <f t="shared" si="1422"/>
        <v>130503</v>
      </c>
      <c r="BR904" s="1269">
        <f t="shared" si="1422"/>
        <v>131180</v>
      </c>
      <c r="BS904" s="1269">
        <f t="shared" si="1422"/>
        <v>133227</v>
      </c>
      <c r="BT904" s="1269">
        <f t="shared" si="1422"/>
        <v>136478</v>
      </c>
      <c r="BU904" s="1270">
        <f t="shared" ref="BU904:CV904" si="1423">+BU895+BU874</f>
        <v>136478</v>
      </c>
      <c r="BV904" s="1269">
        <f t="shared" si="1423"/>
        <v>139088</v>
      </c>
      <c r="BW904" s="1269">
        <f t="shared" si="1423"/>
        <v>150089</v>
      </c>
      <c r="BX904" s="1269">
        <f t="shared" si="1423"/>
        <v>151257</v>
      </c>
      <c r="BY904" s="1269">
        <f t="shared" si="1423"/>
        <v>159199</v>
      </c>
      <c r="BZ904" s="1270">
        <f t="shared" si="1423"/>
        <v>159199</v>
      </c>
      <c r="CA904" s="1269">
        <f t="shared" si="1423"/>
        <v>146429</v>
      </c>
      <c r="CB904" s="1269">
        <f t="shared" si="1423"/>
        <v>149692</v>
      </c>
      <c r="CC904" s="1269">
        <f t="shared" si="1423"/>
        <v>152410</v>
      </c>
      <c r="CD904" s="1269">
        <f t="shared" si="1423"/>
        <v>156963</v>
      </c>
      <c r="CE904" s="1270">
        <f t="shared" si="1423"/>
        <v>156963</v>
      </c>
      <c r="CF904" s="1269">
        <f t="shared" si="1423"/>
        <v>158712</v>
      </c>
      <c r="CG904" s="1269">
        <f t="shared" si="1423"/>
        <v>161500</v>
      </c>
      <c r="CH904" s="1269">
        <f t="shared" si="1423"/>
        <v>163015</v>
      </c>
      <c r="CI904" s="1269">
        <f t="shared" si="1423"/>
        <v>360801</v>
      </c>
      <c r="CJ904" s="1270">
        <f t="shared" si="1423"/>
        <v>360801</v>
      </c>
      <c r="CK904" s="1275">
        <f t="shared" si="1423"/>
        <v>364055</v>
      </c>
      <c r="CL904" s="1269">
        <f t="shared" ca="1" si="1423"/>
        <v>368626</v>
      </c>
      <c r="CM904" s="1269">
        <f t="shared" ca="1" si="1423"/>
        <v>375709</v>
      </c>
      <c r="CN904" s="1269">
        <f t="shared" ca="1" si="1423"/>
        <v>383420</v>
      </c>
      <c r="CO904" s="1270">
        <f t="shared" ca="1" si="1423"/>
        <v>383420</v>
      </c>
      <c r="CP904" s="1269">
        <f>+CP895+CP874</f>
        <v>384994.1100000001</v>
      </c>
      <c r="CQ904" s="1269">
        <f ca="1">+CQ895+CQ874</f>
        <v>392587.98000000004</v>
      </c>
      <c r="CR904" s="1269">
        <f ca="1">+CR895+CR874</f>
        <v>401149.89999999991</v>
      </c>
      <c r="CS904" s="1269">
        <f ca="1">+CS895+CS874</f>
        <v>409357.09999999992</v>
      </c>
      <c r="CT904" s="1270">
        <f ca="1">+CT895+CT874</f>
        <v>409357.09999999992</v>
      </c>
      <c r="CU904" s="1270">
        <f t="shared" ca="1" si="1423"/>
        <v>433996.90789999993</v>
      </c>
      <c r="CV904" s="1270">
        <f t="shared" ca="1" si="1423"/>
        <v>444979.75063799997</v>
      </c>
      <c r="CW904" s="374"/>
      <c r="CX904" s="374"/>
      <c r="CY904" s="374"/>
      <c r="CZ904" s="374"/>
      <c r="DA904" s="374"/>
      <c r="DB904" s="217"/>
    </row>
    <row r="905" spans="1:256" s="11" customFormat="1" x14ac:dyDescent="0.2">
      <c r="A905" s="2389" t="s">
        <v>652</v>
      </c>
      <c r="B905" s="2015"/>
      <c r="C905" s="2246"/>
      <c r="D905" s="2018"/>
      <c r="E905" s="2018"/>
      <c r="F905" s="2018"/>
      <c r="G905" s="2018"/>
      <c r="H905" s="2016"/>
      <c r="I905" s="2018"/>
      <c r="J905" s="2018"/>
      <c r="K905" s="2018"/>
      <c r="L905" s="2018"/>
      <c r="M905" s="1044"/>
      <c r="N905" s="885">
        <f t="shared" ref="N905:AR905" si="1424">+N904/I904-1</f>
        <v>0.19131727624145101</v>
      </c>
      <c r="O905" s="885">
        <f t="shared" si="1424"/>
        <v>0.15286062673887413</v>
      </c>
      <c r="P905" s="885">
        <f t="shared" si="1424"/>
        <v>7.8187583444592867E-2</v>
      </c>
      <c r="Q905" s="885">
        <f t="shared" si="1424"/>
        <v>6.1743058727983247E-2</v>
      </c>
      <c r="R905" s="1044">
        <f t="shared" si="1424"/>
        <v>6.1743058727983247E-2</v>
      </c>
      <c r="S905" s="885">
        <f t="shared" si="1424"/>
        <v>6.4087460063897872E-2</v>
      </c>
      <c r="T905" s="885">
        <f t="shared" si="1424"/>
        <v>7.6778691455130499E-2</v>
      </c>
      <c r="U905" s="885">
        <f t="shared" si="1424"/>
        <v>7.923148363129795E-2</v>
      </c>
      <c r="V905" s="885">
        <f t="shared" si="1424"/>
        <v>9.0269345138497048E-2</v>
      </c>
      <c r="W905" s="1044">
        <f t="shared" si="1424"/>
        <v>9.0269345138497048E-2</v>
      </c>
      <c r="X905" s="885">
        <f t="shared" si="1424"/>
        <v>8.0381688700400744E-2</v>
      </c>
      <c r="Y905" s="885">
        <f t="shared" si="1424"/>
        <v>8.2113573688239683E-2</v>
      </c>
      <c r="Z905" s="885">
        <f t="shared" si="1424"/>
        <v>6.0641101489808058E-2</v>
      </c>
      <c r="AA905" s="885">
        <f t="shared" si="1424"/>
        <v>-0.19729364717437825</v>
      </c>
      <c r="AB905" s="1044">
        <f t="shared" si="1424"/>
        <v>-0.19729364717437825</v>
      </c>
      <c r="AC905" s="885">
        <f t="shared" si="1424"/>
        <v>-0.19579490386118492</v>
      </c>
      <c r="AD905" s="885">
        <f t="shared" si="1424"/>
        <v>-0.19716004977583823</v>
      </c>
      <c r="AE905" s="885">
        <f t="shared" si="1424"/>
        <v>-0.21205513720916469</v>
      </c>
      <c r="AF905" s="885">
        <f t="shared" si="1424"/>
        <v>2.8023292654947518E-2</v>
      </c>
      <c r="AG905" s="1044">
        <f t="shared" si="1424"/>
        <v>2.8023292654947518E-2</v>
      </c>
      <c r="AH905" s="885">
        <f t="shared" si="1424"/>
        <v>2.5172514335698226E-2</v>
      </c>
      <c r="AI905" s="885">
        <f t="shared" si="1424"/>
        <v>2.6434804764634778E-2</v>
      </c>
      <c r="AJ905" s="885">
        <f t="shared" si="1424"/>
        <v>5.2943195469366655E-2</v>
      </c>
      <c r="AK905" s="885">
        <f t="shared" si="1424"/>
        <v>4.873745961571152E-2</v>
      </c>
      <c r="AL905" s="1044">
        <f t="shared" si="1424"/>
        <v>4.873745961571152E-2</v>
      </c>
      <c r="AM905" s="885">
        <f t="shared" si="1424"/>
        <v>5.1995112290903034E-2</v>
      </c>
      <c r="AN905" s="885">
        <f t="shared" si="1424"/>
        <v>3.3283687063009326E-2</v>
      </c>
      <c r="AO905" s="885">
        <f t="shared" si="1424"/>
        <v>4.976163311873516E-2</v>
      </c>
      <c r="AP905" s="885">
        <f t="shared" si="1424"/>
        <v>4.5570620781905546E-2</v>
      </c>
      <c r="AQ905" s="1044">
        <f t="shared" si="1424"/>
        <v>4.5570620781905546E-2</v>
      </c>
      <c r="AR905" s="885">
        <f t="shared" si="1424"/>
        <v>2.2589818560499797E-2</v>
      </c>
      <c r="AS905" s="885">
        <f t="shared" ref="AS905:CB905" si="1425">+AS904/AN904-1</f>
        <v>2.7557005865748385E-2</v>
      </c>
      <c r="AT905" s="885">
        <f t="shared" si="1425"/>
        <v>1.5137841693109388E-2</v>
      </c>
      <c r="AU905" s="885">
        <f t="shared" si="1425"/>
        <v>2.7835121487899572E-2</v>
      </c>
      <c r="AV905" s="1044">
        <f t="shared" si="1425"/>
        <v>2.7835121487899572E-2</v>
      </c>
      <c r="AW905" s="885">
        <f t="shared" si="1425"/>
        <v>6.5430261251028243E-2</v>
      </c>
      <c r="AX905" s="885">
        <f t="shared" si="1425"/>
        <v>7.3683697822804595E-2</v>
      </c>
      <c r="AY905" s="885">
        <f t="shared" si="1425"/>
        <v>5.7421161805894183E-2</v>
      </c>
      <c r="AZ905" s="885">
        <f t="shared" si="1425"/>
        <v>5.6633129343429012E-2</v>
      </c>
      <c r="BA905" s="1044">
        <f t="shared" si="1425"/>
        <v>5.6633129343429012E-2</v>
      </c>
      <c r="BB905" s="885">
        <f t="shared" si="1425"/>
        <v>4.3664871422531837E-2</v>
      </c>
      <c r="BC905" s="885">
        <f t="shared" si="1425"/>
        <v>3.7579727633166637E-2</v>
      </c>
      <c r="BD905" s="885">
        <f t="shared" si="1425"/>
        <v>4.8897125293798638E-2</v>
      </c>
      <c r="BE905" s="885">
        <f t="shared" si="1425"/>
        <v>3.2876125543250367E-2</v>
      </c>
      <c r="BF905" s="1044">
        <f t="shared" si="1425"/>
        <v>3.2876125543250367E-2</v>
      </c>
      <c r="BG905" s="885">
        <f t="shared" si="1425"/>
        <v>4.0112014230738735E-2</v>
      </c>
      <c r="BH905" s="885">
        <f t="shared" si="1425"/>
        <v>4.0354666363533021E-2</v>
      </c>
      <c r="BI905" s="885">
        <f t="shared" si="1425"/>
        <v>4.2885830266571334E-2</v>
      </c>
      <c r="BJ905" s="885">
        <f t="shared" si="1425"/>
        <v>6.7080809738986114E-2</v>
      </c>
      <c r="BK905" s="1044">
        <f t="shared" si="1425"/>
        <v>6.7080809738986114E-2</v>
      </c>
      <c r="BL905" s="885">
        <f t="shared" si="1425"/>
        <v>4.6345841235437613E-2</v>
      </c>
      <c r="BM905" s="885">
        <f t="shared" si="1425"/>
        <v>4.2134548144163508E-2</v>
      </c>
      <c r="BN905" s="885">
        <f t="shared" si="1425"/>
        <v>3.6262964340316506E-2</v>
      </c>
      <c r="BO905" s="885">
        <f t="shared" si="1425"/>
        <v>3.6824420063964913E-2</v>
      </c>
      <c r="BP905" s="1044">
        <f t="shared" si="1425"/>
        <v>3.6824420063964913E-2</v>
      </c>
      <c r="BQ905" s="885">
        <f t="shared" si="1425"/>
        <v>5.5969122716165165E-2</v>
      </c>
      <c r="BR905" s="885">
        <f t="shared" si="1425"/>
        <v>5.7997080386163358E-2</v>
      </c>
      <c r="BS905" s="885">
        <f t="shared" si="1425"/>
        <v>6.2475576786582998E-2</v>
      </c>
      <c r="BT905" s="885">
        <f>+BT904/BO904-1</f>
        <v>6.5793070056929581E-2</v>
      </c>
      <c r="BU905" s="1044">
        <f>+BU904/BP904-1</f>
        <v>6.5793070056929581E-2</v>
      </c>
      <c r="BV905" s="885">
        <f t="shared" si="1425"/>
        <v>6.5783928338812192E-2</v>
      </c>
      <c r="BW905" s="885">
        <f t="shared" si="1425"/>
        <v>0.14414544900137205</v>
      </c>
      <c r="BX905" s="885">
        <f t="shared" si="1425"/>
        <v>0.13533292801008812</v>
      </c>
      <c r="BY905" s="885">
        <f t="shared" si="1425"/>
        <v>0.16648104456395907</v>
      </c>
      <c r="BZ905" s="1044">
        <f t="shared" ref="BZ905:CF905" si="1426">+BZ904/BU904-1</f>
        <v>0.16648104456395907</v>
      </c>
      <c r="CA905" s="885">
        <f t="shared" si="1425"/>
        <v>5.2779535258253851E-2</v>
      </c>
      <c r="CB905" s="885">
        <f t="shared" si="1425"/>
        <v>-2.6450972423028851E-3</v>
      </c>
      <c r="CC905" s="885">
        <f t="shared" si="1426"/>
        <v>7.6227877056929128E-3</v>
      </c>
      <c r="CD905" s="885">
        <f t="shared" si="1426"/>
        <v>-1.404531435498968E-2</v>
      </c>
      <c r="CE905" s="1044">
        <f t="shared" si="1426"/>
        <v>-1.404531435498968E-2</v>
      </c>
      <c r="CF905" s="885">
        <f t="shared" si="1426"/>
        <v>8.3883656925882066E-2</v>
      </c>
      <c r="CG905" s="885">
        <f t="shared" ref="CG905:CO905" si="1427">+CG904/CB904-1</f>
        <v>7.8881970980413163E-2</v>
      </c>
      <c r="CH905" s="885">
        <f t="shared" si="1427"/>
        <v>6.9582048422019538E-2</v>
      </c>
      <c r="CI905" s="885">
        <f t="shared" si="1427"/>
        <v>1.2986372584621853</v>
      </c>
      <c r="CJ905" s="1044">
        <f t="shared" si="1427"/>
        <v>1.2986372584621853</v>
      </c>
      <c r="CK905" s="1278">
        <f t="shared" si="1427"/>
        <v>1.2938089117395029</v>
      </c>
      <c r="CL905" s="885">
        <f t="shared" ca="1" si="1427"/>
        <v>1.2825139318885448</v>
      </c>
      <c r="CM905" s="885">
        <f t="shared" ca="1" si="1427"/>
        <v>1.3047510965248597</v>
      </c>
      <c r="CN905" s="885">
        <f t="shared" ca="1" si="1427"/>
        <v>6.2691067929412592E-2</v>
      </c>
      <c r="CO905" s="1044">
        <f t="shared" ca="1" si="1427"/>
        <v>6.2691067929412592E-2</v>
      </c>
      <c r="CP905" s="885">
        <f>+CP904/CK904-1</f>
        <v>5.7516336817239333E-2</v>
      </c>
      <c r="CQ905" s="885">
        <f ca="1">+CQ904/CL904-1</f>
        <v>6.5003499481859794E-2</v>
      </c>
      <c r="CR905" s="885">
        <f ca="1">+CR904/CM904-1</f>
        <v>6.7714374688921275E-2</v>
      </c>
      <c r="CS905" s="885">
        <f ca="1">+CS904/CN904-1</f>
        <v>6.7646705962130182E-2</v>
      </c>
      <c r="CT905" s="1044">
        <f ca="1">+CT904/CO904-1</f>
        <v>6.7646705962130182E-2</v>
      </c>
      <c r="CU905" s="1044">
        <f ca="1">+CU904/CT904-1</f>
        <v>6.0191475608948775E-2</v>
      </c>
      <c r="CV905" s="1044">
        <f ca="1">+CV904/CU904-1</f>
        <v>2.5306269556488736E-2</v>
      </c>
      <c r="CW905" s="2702"/>
      <c r="CX905" s="2702"/>
      <c r="CY905" s="2702"/>
      <c r="CZ905" s="2702"/>
      <c r="DA905" s="2702"/>
      <c r="DB905" s="217"/>
      <c r="DC905" s="212"/>
      <c r="DD905" s="212"/>
      <c r="DE905" s="70"/>
    </row>
    <row r="906" spans="1:256" x14ac:dyDescent="0.2">
      <c r="A906" s="302" t="s">
        <v>664</v>
      </c>
      <c r="B906" s="1441"/>
      <c r="C906" s="1441"/>
      <c r="D906" s="1441"/>
      <c r="E906" s="1441"/>
      <c r="F906" s="1441"/>
      <c r="G906" s="1441"/>
      <c r="H906" s="1440"/>
      <c r="I906" s="1269">
        <f t="shared" ref="I906:AN906" si="1428">+I898+I877</f>
        <v>382096</v>
      </c>
      <c r="J906" s="1269">
        <f t="shared" si="1428"/>
        <v>393637</v>
      </c>
      <c r="K906" s="1269">
        <f t="shared" si="1428"/>
        <v>408692</v>
      </c>
      <c r="L906" s="1269">
        <f t="shared" si="1428"/>
        <v>417172</v>
      </c>
      <c r="M906" s="1270">
        <f t="shared" si="1428"/>
        <v>417172</v>
      </c>
      <c r="N906" s="1269">
        <f t="shared" si="1428"/>
        <v>424530</v>
      </c>
      <c r="O906" s="1269">
        <f t="shared" si="1428"/>
        <v>429453</v>
      </c>
      <c r="P906" s="1269">
        <f t="shared" si="1428"/>
        <v>435977</v>
      </c>
      <c r="Q906" s="1269">
        <f t="shared" si="1428"/>
        <v>445377</v>
      </c>
      <c r="R906" s="1270">
        <f t="shared" si="1428"/>
        <v>445377</v>
      </c>
      <c r="S906" s="1269">
        <f t="shared" si="1428"/>
        <v>452750</v>
      </c>
      <c r="T906" s="1269">
        <f t="shared" si="1428"/>
        <v>459442</v>
      </c>
      <c r="U906" s="1269">
        <f t="shared" si="1428"/>
        <v>466820</v>
      </c>
      <c r="V906" s="1269">
        <f t="shared" si="1428"/>
        <v>473026</v>
      </c>
      <c r="W906" s="1270">
        <f t="shared" si="1428"/>
        <v>473026</v>
      </c>
      <c r="X906" s="1269">
        <f t="shared" si="1428"/>
        <v>477114</v>
      </c>
      <c r="Y906" s="1269">
        <f t="shared" si="1428"/>
        <v>483312</v>
      </c>
      <c r="Z906" s="1269">
        <f t="shared" si="1428"/>
        <v>487032</v>
      </c>
      <c r="AA906" s="1269">
        <f t="shared" si="1428"/>
        <v>465059</v>
      </c>
      <c r="AB906" s="1270">
        <f t="shared" si="1428"/>
        <v>465059</v>
      </c>
      <c r="AC906" s="1269">
        <f t="shared" si="1428"/>
        <v>467016</v>
      </c>
      <c r="AD906" s="1269">
        <f t="shared" si="1428"/>
        <v>471533</v>
      </c>
      <c r="AE906" s="1269">
        <f t="shared" si="1428"/>
        <v>470537</v>
      </c>
      <c r="AF906" s="1269">
        <f t="shared" si="1428"/>
        <v>475911</v>
      </c>
      <c r="AG906" s="1270">
        <f t="shared" si="1428"/>
        <v>475911</v>
      </c>
      <c r="AH906" s="1269">
        <f t="shared" si="1428"/>
        <v>481102</v>
      </c>
      <c r="AI906" s="1269">
        <f t="shared" si="1428"/>
        <v>485326</v>
      </c>
      <c r="AJ906" s="1269">
        <f t="shared" si="1428"/>
        <v>489279</v>
      </c>
      <c r="AK906" s="1269">
        <f t="shared" si="1428"/>
        <v>491323</v>
      </c>
      <c r="AL906" s="1270">
        <f t="shared" si="1428"/>
        <v>491323</v>
      </c>
      <c r="AM906" s="1269">
        <f t="shared" si="1428"/>
        <v>492669</v>
      </c>
      <c r="AN906" s="1269">
        <f t="shared" si="1428"/>
        <v>496900</v>
      </c>
      <c r="AO906" s="1269">
        <f t="shared" ref="AO906:BT906" si="1429">+AO898+AO877</f>
        <v>504362</v>
      </c>
      <c r="AP906" s="1269">
        <f t="shared" si="1429"/>
        <v>512156</v>
      </c>
      <c r="AQ906" s="1270">
        <f t="shared" si="1429"/>
        <v>512156</v>
      </c>
      <c r="AR906" s="1269">
        <f t="shared" si="1429"/>
        <v>513985</v>
      </c>
      <c r="AS906" s="1269">
        <f t="shared" si="1429"/>
        <v>520169</v>
      </c>
      <c r="AT906" s="1269">
        <f t="shared" si="1429"/>
        <v>525487</v>
      </c>
      <c r="AU906" s="1269">
        <f t="shared" si="1429"/>
        <v>535092</v>
      </c>
      <c r="AV906" s="1270">
        <f t="shared" si="1429"/>
        <v>535092</v>
      </c>
      <c r="AW906" s="1269">
        <f t="shared" si="1429"/>
        <v>543029</v>
      </c>
      <c r="AX906" s="1269">
        <f t="shared" si="1429"/>
        <v>550232</v>
      </c>
      <c r="AY906" s="1269">
        <f t="shared" si="1429"/>
        <v>559927</v>
      </c>
      <c r="AZ906" s="1269">
        <f t="shared" si="1429"/>
        <v>568802</v>
      </c>
      <c r="BA906" s="1270">
        <f t="shared" si="1429"/>
        <v>568802</v>
      </c>
      <c r="BB906" s="1269">
        <f t="shared" si="1429"/>
        <v>575885</v>
      </c>
      <c r="BC906" s="1269">
        <f t="shared" si="1429"/>
        <v>580619</v>
      </c>
      <c r="BD906" s="1269">
        <f t="shared" si="1429"/>
        <v>584893</v>
      </c>
      <c r="BE906" s="1269">
        <f t="shared" si="1429"/>
        <v>590113</v>
      </c>
      <c r="BF906" s="1270">
        <f t="shared" si="1429"/>
        <v>590113</v>
      </c>
      <c r="BG906" s="1269">
        <f t="shared" si="1429"/>
        <v>594728</v>
      </c>
      <c r="BH906" s="1269">
        <f t="shared" si="1429"/>
        <v>597640</v>
      </c>
      <c r="BI906" s="1269">
        <f t="shared" si="1429"/>
        <v>601273</v>
      </c>
      <c r="BJ906" s="1269">
        <f t="shared" si="1429"/>
        <v>606324</v>
      </c>
      <c r="BK906" s="1270">
        <f t="shared" si="1429"/>
        <v>606324</v>
      </c>
      <c r="BL906" s="1269">
        <f t="shared" si="1429"/>
        <v>607334</v>
      </c>
      <c r="BM906" s="1269">
        <f t="shared" si="1429"/>
        <v>609245</v>
      </c>
      <c r="BN906" s="1269">
        <f t="shared" si="1429"/>
        <v>611254</v>
      </c>
      <c r="BO906" s="1269">
        <f t="shared" si="1429"/>
        <v>624123</v>
      </c>
      <c r="BP906" s="1270">
        <f t="shared" si="1429"/>
        <v>624123</v>
      </c>
      <c r="BQ906" s="1269">
        <f t="shared" si="1429"/>
        <v>626696</v>
      </c>
      <c r="BR906" s="1269">
        <f t="shared" si="1429"/>
        <v>630413</v>
      </c>
      <c r="BS906" s="1269">
        <f t="shared" si="1429"/>
        <v>634681</v>
      </c>
      <c r="BT906" s="1269">
        <f t="shared" si="1429"/>
        <v>639252</v>
      </c>
      <c r="BU906" s="1270">
        <f t="shared" ref="BU906:CV906" si="1430">+BU898+BU877</f>
        <v>639252</v>
      </c>
      <c r="BV906" s="1269">
        <f t="shared" si="1430"/>
        <v>643186</v>
      </c>
      <c r="BW906" s="1269">
        <f t="shared" si="1430"/>
        <v>659267</v>
      </c>
      <c r="BX906" s="1269">
        <f t="shared" si="1430"/>
        <v>664849</v>
      </c>
      <c r="BY906" s="1269">
        <f t="shared" si="1430"/>
        <v>676261</v>
      </c>
      <c r="BZ906" s="1270">
        <f t="shared" si="1430"/>
        <v>676261</v>
      </c>
      <c r="CA906" s="1269">
        <f t="shared" si="1430"/>
        <v>685005</v>
      </c>
      <c r="CB906" s="1269">
        <f t="shared" si="1430"/>
        <v>703756</v>
      </c>
      <c r="CC906" s="1269">
        <f t="shared" si="1430"/>
        <v>714087</v>
      </c>
      <c r="CD906" s="1269">
        <f t="shared" si="1430"/>
        <v>720812</v>
      </c>
      <c r="CE906" s="1270">
        <f t="shared" si="1430"/>
        <v>720812</v>
      </c>
      <c r="CF906" s="1269">
        <f t="shared" si="1430"/>
        <v>728387</v>
      </c>
      <c r="CG906" s="1269">
        <f t="shared" si="1430"/>
        <v>739400</v>
      </c>
      <c r="CH906" s="1269">
        <f t="shared" si="1430"/>
        <v>747904</v>
      </c>
      <c r="CI906" s="1269">
        <f>+CI898+CI877</f>
        <v>1135957</v>
      </c>
      <c r="CJ906" s="1270">
        <f t="shared" si="1430"/>
        <v>1135957</v>
      </c>
      <c r="CK906" s="1275">
        <f t="shared" si="1430"/>
        <v>1147086</v>
      </c>
      <c r="CL906" s="1269">
        <f t="shared" ca="1" si="1430"/>
        <v>1161195</v>
      </c>
      <c r="CM906" s="1269">
        <f t="shared" ca="1" si="1430"/>
        <v>1181188</v>
      </c>
      <c r="CN906" s="1269">
        <f t="shared" ca="1" si="1430"/>
        <v>1199584</v>
      </c>
      <c r="CO906" s="1270">
        <f t="shared" ca="1" si="1430"/>
        <v>1199584</v>
      </c>
      <c r="CP906" s="1269">
        <f>+CP898+CP877</f>
        <v>1217811.9400000002</v>
      </c>
      <c r="CQ906" s="1269">
        <f ca="1">+CQ898+CQ877</f>
        <v>1232070.6600000001</v>
      </c>
      <c r="CR906" s="1269">
        <f ca="1">+CR898+CR877</f>
        <v>1252539.79</v>
      </c>
      <c r="CS906" s="1269">
        <f ca="1">+CS898+CS877</f>
        <v>1269573.69</v>
      </c>
      <c r="CT906" s="1270">
        <f ca="1">+CT898+CT877</f>
        <v>1269573.69</v>
      </c>
      <c r="CU906" s="1270">
        <f t="shared" ca="1" si="1430"/>
        <v>1343934.5286000001</v>
      </c>
      <c r="CV906" s="1270">
        <f t="shared" ca="1" si="1430"/>
        <v>1378648.2828939999</v>
      </c>
      <c r="CW906" s="1248"/>
      <c r="CX906" s="374"/>
      <c r="CY906" s="374"/>
      <c r="CZ906" s="374"/>
      <c r="DA906" s="374"/>
      <c r="DB906" s="217"/>
    </row>
    <row r="907" spans="1:256" s="11" customFormat="1" x14ac:dyDescent="0.2">
      <c r="A907" s="3193" t="s">
        <v>652</v>
      </c>
      <c r="B907" s="3194"/>
      <c r="C907" s="3195"/>
      <c r="D907" s="3196"/>
      <c r="E907" s="3196"/>
      <c r="F907" s="3196"/>
      <c r="G907" s="3196"/>
      <c r="H907" s="3197"/>
      <c r="I907" s="3196"/>
      <c r="J907" s="3196"/>
      <c r="K907" s="3196"/>
      <c r="L907" s="3196"/>
      <c r="M907" s="1641"/>
      <c r="N907" s="3198">
        <f t="shared" ref="N907:AR907" si="1431">+N906/I906-1</f>
        <v>0.11105586030735726</v>
      </c>
      <c r="O907" s="3198">
        <f t="shared" si="1431"/>
        <v>9.0987381775595289E-2</v>
      </c>
      <c r="P907" s="3198">
        <f t="shared" si="1431"/>
        <v>6.6761766807277745E-2</v>
      </c>
      <c r="Q907" s="3198">
        <f t="shared" si="1431"/>
        <v>6.7610002588860185E-2</v>
      </c>
      <c r="R907" s="1641">
        <f t="shared" si="1431"/>
        <v>6.7610002588860185E-2</v>
      </c>
      <c r="S907" s="3198">
        <f t="shared" si="1431"/>
        <v>6.6473511883730296E-2</v>
      </c>
      <c r="T907" s="3198">
        <f t="shared" si="1431"/>
        <v>6.9830691600710759E-2</v>
      </c>
      <c r="U907" s="3198">
        <f t="shared" si="1431"/>
        <v>7.0744557625746385E-2</v>
      </c>
      <c r="V907" s="3198">
        <f t="shared" si="1431"/>
        <v>6.2079990659598572E-2</v>
      </c>
      <c r="W907" s="1641">
        <f t="shared" si="1431"/>
        <v>6.2079990659598572E-2</v>
      </c>
      <c r="X907" s="3198">
        <f t="shared" si="1431"/>
        <v>5.3813362782992868E-2</v>
      </c>
      <c r="Y907" s="3198">
        <f t="shared" si="1431"/>
        <v>5.1954327205610218E-2</v>
      </c>
      <c r="Z907" s="3198">
        <f t="shared" si="1431"/>
        <v>4.329720234779999E-2</v>
      </c>
      <c r="AA907" s="3198">
        <f t="shared" si="1431"/>
        <v>-1.6842625986732251E-2</v>
      </c>
      <c r="AB907" s="1641">
        <f t="shared" si="1431"/>
        <v>-1.6842625986732251E-2</v>
      </c>
      <c r="AC907" s="3198">
        <f t="shared" si="1431"/>
        <v>-2.1164753077880794E-2</v>
      </c>
      <c r="AD907" s="3198">
        <f t="shared" si="1431"/>
        <v>-2.4371420531664856E-2</v>
      </c>
      <c r="AE907" s="3198">
        <f t="shared" si="1431"/>
        <v>-3.3868411110563601E-2</v>
      </c>
      <c r="AF907" s="3198">
        <f t="shared" si="1431"/>
        <v>2.3334673665061922E-2</v>
      </c>
      <c r="AG907" s="1641">
        <f t="shared" si="1431"/>
        <v>2.3334673665061922E-2</v>
      </c>
      <c r="AH907" s="3198">
        <f t="shared" si="1431"/>
        <v>3.016170752179792E-2</v>
      </c>
      <c r="AI907" s="3198">
        <f t="shared" si="1431"/>
        <v>2.9251399159761826E-2</v>
      </c>
      <c r="AJ907" s="3198">
        <f t="shared" si="1431"/>
        <v>3.9831086609554589E-2</v>
      </c>
      <c r="AK907" s="3198">
        <f t="shared" si="1431"/>
        <v>3.2384206290672068E-2</v>
      </c>
      <c r="AL907" s="1641">
        <f t="shared" si="1431"/>
        <v>3.2384206290672068E-2</v>
      </c>
      <c r="AM907" s="3198">
        <f t="shared" si="1431"/>
        <v>2.4042718591899437E-2</v>
      </c>
      <c r="AN907" s="3198">
        <f t="shared" si="1431"/>
        <v>2.3847887811491608E-2</v>
      </c>
      <c r="AO907" s="3198">
        <f t="shared" si="1431"/>
        <v>3.0826992370406314E-2</v>
      </c>
      <c r="AP907" s="3198">
        <f t="shared" si="1431"/>
        <v>4.2401841558404652E-2</v>
      </c>
      <c r="AQ907" s="1641">
        <f t="shared" si="1431"/>
        <v>4.2401841558404652E-2</v>
      </c>
      <c r="AR907" s="3198">
        <f t="shared" si="1431"/>
        <v>4.3266371539512294E-2</v>
      </c>
      <c r="AS907" s="3198">
        <f t="shared" ref="AS907:CB907" si="1432">+AS906/AN906-1</f>
        <v>4.6828335681223576E-2</v>
      </c>
      <c r="AT907" s="3198">
        <f t="shared" si="1432"/>
        <v>4.1884598760414171E-2</v>
      </c>
      <c r="AU907" s="3198">
        <f t="shared" si="1432"/>
        <v>4.4783230109576078E-2</v>
      </c>
      <c r="AV907" s="1641">
        <f t="shared" si="1432"/>
        <v>4.4783230109576078E-2</v>
      </c>
      <c r="AW907" s="3198">
        <f t="shared" si="1432"/>
        <v>5.6507485627012466E-2</v>
      </c>
      <c r="AX907" s="3198">
        <f t="shared" si="1432"/>
        <v>5.7794678268024535E-2</v>
      </c>
      <c r="AY907" s="3198">
        <f t="shared" si="1432"/>
        <v>6.5539204585460809E-2</v>
      </c>
      <c r="AZ907" s="3198">
        <f t="shared" si="1432"/>
        <v>6.2998512405343376E-2</v>
      </c>
      <c r="BA907" s="1641">
        <f t="shared" si="1432"/>
        <v>6.2998512405343376E-2</v>
      </c>
      <c r="BB907" s="3198">
        <f t="shared" si="1432"/>
        <v>6.0505055899408688E-2</v>
      </c>
      <c r="BC907" s="3198">
        <f t="shared" si="1432"/>
        <v>5.5225795664374244E-2</v>
      </c>
      <c r="BD907" s="3198">
        <f t="shared" si="1432"/>
        <v>4.4587955215590558E-2</v>
      </c>
      <c r="BE907" s="3198">
        <f t="shared" si="1432"/>
        <v>3.7466464604554828E-2</v>
      </c>
      <c r="BF907" s="1641">
        <f t="shared" si="1432"/>
        <v>3.7466464604554828E-2</v>
      </c>
      <c r="BG907" s="3198">
        <f t="shared" si="1432"/>
        <v>3.2720074320393921E-2</v>
      </c>
      <c r="BH907" s="3198">
        <f t="shared" si="1432"/>
        <v>2.9315265260007051E-2</v>
      </c>
      <c r="BI907" s="3198">
        <f t="shared" si="1432"/>
        <v>2.8005122304421537E-2</v>
      </c>
      <c r="BJ907" s="3198">
        <f t="shared" si="1432"/>
        <v>2.7471009789650447E-2</v>
      </c>
      <c r="BK907" s="1641">
        <f t="shared" si="1432"/>
        <v>2.7471009789650447E-2</v>
      </c>
      <c r="BL907" s="3198">
        <f t="shared" si="1432"/>
        <v>2.1196244333544056E-2</v>
      </c>
      <c r="BM907" s="3198">
        <f t="shared" si="1432"/>
        <v>1.9418044307609961E-2</v>
      </c>
      <c r="BN907" s="3198">
        <f t="shared" si="1432"/>
        <v>1.6599780798405961E-2</v>
      </c>
      <c r="BO907" s="3198">
        <f t="shared" si="1432"/>
        <v>2.9355592059690849E-2</v>
      </c>
      <c r="BP907" s="1641">
        <f t="shared" si="1432"/>
        <v>2.9355592059690849E-2</v>
      </c>
      <c r="BQ907" s="3198">
        <f t="shared" si="1432"/>
        <v>3.1880316267490327E-2</v>
      </c>
      <c r="BR907" s="3198">
        <f t="shared" si="1432"/>
        <v>3.47446429597289E-2</v>
      </c>
      <c r="BS907" s="3198">
        <f t="shared" si="1432"/>
        <v>3.8326129563160283E-2</v>
      </c>
      <c r="BT907" s="3198">
        <f>+BT906/BO906-1</f>
        <v>2.4240414149134137E-2</v>
      </c>
      <c r="BU907" s="1641">
        <f>+BU906/BP906-1</f>
        <v>2.4240414149134137E-2</v>
      </c>
      <c r="BV907" s="3198">
        <f t="shared" si="1432"/>
        <v>2.6312598133704457E-2</v>
      </c>
      <c r="BW907" s="3198">
        <f t="shared" si="1432"/>
        <v>4.57699952253523E-2</v>
      </c>
      <c r="BX907" s="3198">
        <f t="shared" si="1432"/>
        <v>4.7532539968897725E-2</v>
      </c>
      <c r="BY907" s="3198">
        <f t="shared" si="1432"/>
        <v>5.7894226377078306E-2</v>
      </c>
      <c r="BZ907" s="1641">
        <f t="shared" ref="BZ907:CF907" si="1433">+BZ906/BU906-1</f>
        <v>5.7894226377078306E-2</v>
      </c>
      <c r="CA907" s="3198">
        <f t="shared" si="1432"/>
        <v>6.5018517194093128E-2</v>
      </c>
      <c r="CB907" s="3198">
        <f t="shared" si="1432"/>
        <v>6.7482522255777999E-2</v>
      </c>
      <c r="CC907" s="3198">
        <f t="shared" si="1433"/>
        <v>7.4058921649878373E-2</v>
      </c>
      <c r="CD907" s="3198">
        <f t="shared" si="1433"/>
        <v>6.5878410850248592E-2</v>
      </c>
      <c r="CE907" s="1641">
        <f t="shared" si="1433"/>
        <v>6.5878410850248592E-2</v>
      </c>
      <c r="CF907" s="3198">
        <f t="shared" si="1433"/>
        <v>6.3330924591791238E-2</v>
      </c>
      <c r="CG907" s="3198">
        <f t="shared" ref="CG907:CO907" si="1434">+CG906/CB906-1</f>
        <v>5.06482360363536E-2</v>
      </c>
      <c r="CH907" s="3198">
        <f t="shared" si="1434"/>
        <v>4.7356974710364375E-2</v>
      </c>
      <c r="CI907" s="3198">
        <f t="shared" si="1434"/>
        <v>0.5759407446046958</v>
      </c>
      <c r="CJ907" s="1641">
        <f t="shared" si="1434"/>
        <v>0.5759407446046958</v>
      </c>
      <c r="CK907" s="3537">
        <f t="shared" si="1434"/>
        <v>0.57483041295355353</v>
      </c>
      <c r="CL907" s="3198">
        <f t="shared" ca="1" si="1434"/>
        <v>0.57045577495266442</v>
      </c>
      <c r="CM907" s="3198">
        <f t="shared" ca="1" si="1434"/>
        <v>0.57933103713845635</v>
      </c>
      <c r="CN907" s="3198">
        <f t="shared" ca="1" si="1434"/>
        <v>5.6011803263679827E-2</v>
      </c>
      <c r="CO907" s="1641">
        <f t="shared" ca="1" si="1434"/>
        <v>5.6011803263679827E-2</v>
      </c>
      <c r="CP907" s="3198">
        <f>+CP906/CK906-1</f>
        <v>6.1657050997048435E-2</v>
      </c>
      <c r="CQ907" s="3198">
        <f ca="1">+CQ906/CL906-1</f>
        <v>6.1036828439667845E-2</v>
      </c>
      <c r="CR907" s="3198">
        <f ca="1">+CR906/CM906-1</f>
        <v>6.0406802304120877E-2</v>
      </c>
      <c r="CS907" s="3198">
        <f ca="1">+CS906/CN906-1</f>
        <v>5.8344967922212998E-2</v>
      </c>
      <c r="CT907" s="1641">
        <f ca="1">+CT906/CO906-1</f>
        <v>5.8344967922212998E-2</v>
      </c>
      <c r="CU907" s="1641">
        <f ca="1">+CU906/CT906-1</f>
        <v>5.857150253326382E-2</v>
      </c>
      <c r="CV907" s="1641">
        <f ca="1">+CV906/CU906-1</f>
        <v>2.5829944506420066E-2</v>
      </c>
      <c r="CW907" s="2704"/>
      <c r="CX907" s="2702"/>
      <c r="CY907" s="2702"/>
      <c r="CZ907" s="2702"/>
      <c r="DA907" s="2702"/>
      <c r="DB907" s="217"/>
      <c r="DC907" s="212"/>
      <c r="DD907" s="212"/>
      <c r="DE907" s="70"/>
    </row>
    <row r="908" spans="1:256" s="1193" customFormat="1" x14ac:dyDescent="0.2">
      <c r="A908" s="2392" t="s">
        <v>2538</v>
      </c>
      <c r="B908" s="2608"/>
      <c r="C908" s="2609"/>
      <c r="D908" s="2610"/>
      <c r="E908" s="2610"/>
      <c r="F908" s="2610"/>
      <c r="G908" s="2610"/>
      <c r="H908" s="2608"/>
      <c r="I908" s="2610"/>
      <c r="J908" s="2610"/>
      <c r="K908" s="2610"/>
      <c r="L908" s="2610"/>
      <c r="M908" s="3199"/>
      <c r="N908" s="3199"/>
      <c r="O908" s="3199"/>
      <c r="P908" s="3199"/>
      <c r="Q908" s="3199"/>
      <c r="R908" s="3199"/>
      <c r="S908" s="3199"/>
      <c r="T908" s="3199"/>
      <c r="U908" s="3199"/>
      <c r="V908" s="3199"/>
      <c r="W908" s="3199"/>
      <c r="X908" s="3199"/>
      <c r="Y908" s="3199"/>
      <c r="Z908" s="3199"/>
      <c r="AA908" s="3199"/>
      <c r="AB908" s="3199"/>
      <c r="AC908" s="3199"/>
      <c r="AD908" s="3199"/>
      <c r="AE908" s="3199"/>
      <c r="AF908" s="3199"/>
      <c r="AG908" s="3199"/>
      <c r="AH908" s="3199"/>
      <c r="AI908" s="3199"/>
      <c r="AJ908" s="3199"/>
      <c r="AK908" s="3199"/>
      <c r="AL908" s="3199"/>
      <c r="AM908" s="3199"/>
      <c r="AN908" s="3199"/>
      <c r="AO908" s="3199"/>
      <c r="AP908" s="3199"/>
      <c r="AQ908" s="3199"/>
      <c r="AR908" s="3199"/>
      <c r="AS908" s="3199"/>
      <c r="AT908" s="3199"/>
      <c r="AU908" s="3199"/>
      <c r="AV908" s="3199"/>
      <c r="AW908" s="3199"/>
      <c r="AX908" s="3199"/>
      <c r="AY908" s="3199"/>
      <c r="AZ908" s="3199"/>
      <c r="BA908" s="3199"/>
      <c r="BB908" s="3199"/>
      <c r="BC908" s="3199"/>
      <c r="BD908" s="3199"/>
      <c r="BE908" s="3199"/>
      <c r="BF908" s="3199"/>
      <c r="BG908" s="3199"/>
      <c r="BH908" s="3199"/>
      <c r="BI908" s="3199"/>
      <c r="BJ908" s="3199"/>
      <c r="BK908" s="2617"/>
      <c r="BL908" s="3199"/>
      <c r="BM908" s="3199"/>
      <c r="BN908" s="3199"/>
      <c r="BO908" s="3199"/>
      <c r="BP908" s="2617"/>
      <c r="BQ908" s="3199"/>
      <c r="BR908" s="3199"/>
      <c r="BS908" s="3199"/>
      <c r="BT908" s="3199"/>
      <c r="BU908" s="2617"/>
      <c r="BV908" s="3199"/>
      <c r="BW908" s="3199"/>
      <c r="BX908" s="3199"/>
      <c r="BY908" s="3199"/>
      <c r="BZ908" s="2617"/>
      <c r="CA908" s="3199"/>
      <c r="CB908" s="3199"/>
      <c r="CC908" s="3199"/>
      <c r="CD908" s="3199"/>
      <c r="CE908" s="2617"/>
      <c r="CF908" s="3199"/>
      <c r="CG908" s="3199"/>
      <c r="CH908" s="3199"/>
      <c r="CI908" s="3199">
        <f>+CI906/(CD906+199897+150095)-1</f>
        <v>6.0844935207563733E-2</v>
      </c>
      <c r="CJ908" s="2617"/>
      <c r="CK908" s="3538">
        <f>+CK906/(CF906+200054+153046)-1</f>
        <v>6.0656300075728975E-2</v>
      </c>
      <c r="CL908" s="3199">
        <f ca="1">+CL906/(CG906+202637+155203)-1</f>
        <v>5.8287156866319023E-2</v>
      </c>
      <c r="CM908" s="3199">
        <f ca="1">+CM906/(CH906+204778+157948)-1</f>
        <v>6.3529708363721404E-2</v>
      </c>
      <c r="CN908" s="3199"/>
      <c r="CO908" s="2617"/>
      <c r="CP908" s="3538"/>
      <c r="CQ908" s="3199"/>
      <c r="CR908" s="3199"/>
      <c r="CS908" s="3199"/>
      <c r="CT908" s="2617"/>
      <c r="CU908" s="2617"/>
      <c r="CV908" s="2617"/>
      <c r="CW908" s="2702"/>
      <c r="CX908" s="2702"/>
      <c r="CY908" s="2702"/>
      <c r="CZ908" s="2702"/>
      <c r="DA908" s="2702"/>
      <c r="DB908" s="217"/>
      <c r="DC908" s="212"/>
      <c r="DD908" s="212"/>
      <c r="DE908" s="212"/>
    </row>
    <row r="909" spans="1:256" x14ac:dyDescent="0.2">
      <c r="BL909" s="11"/>
      <c r="BM909" s="11"/>
      <c r="BN909" s="11"/>
      <c r="BO909" s="11"/>
      <c r="BQ909" s="11"/>
      <c r="BR909" s="11"/>
      <c r="BS909" s="11"/>
      <c r="BT909" s="11"/>
      <c r="BU909" s="2"/>
      <c r="BV909" s="11"/>
      <c r="BW909" s="11"/>
      <c r="BX909" s="11"/>
      <c r="BY909" s="11"/>
      <c r="BZ909" s="249"/>
      <c r="CA909" s="11"/>
      <c r="CB909" s="11"/>
      <c r="CC909" s="11"/>
      <c r="CD909" s="11"/>
      <c r="CE909" s="249"/>
      <c r="CF909" s="11"/>
      <c r="CG909" s="11"/>
      <c r="CH909" s="11"/>
      <c r="CI909" s="3434"/>
      <c r="CJ909" s="311"/>
      <c r="CK909" s="2948"/>
      <c r="CL909" s="11"/>
      <c r="CM909" s="11"/>
      <c r="CN909" s="11"/>
      <c r="CP909" s="2948"/>
      <c r="CQ909" s="11"/>
      <c r="CR909" s="11"/>
      <c r="CS909" s="11"/>
      <c r="CW909" s="2137"/>
      <c r="CX909" s="2137"/>
      <c r="CY909" s="2137"/>
      <c r="CZ909" s="2137"/>
      <c r="DA909" s="2137"/>
      <c r="DB909" s="217"/>
    </row>
    <row r="910" spans="1:256" s="11" customFormat="1" x14ac:dyDescent="0.2">
      <c r="A910" s="2627" t="s">
        <v>2273</v>
      </c>
      <c r="B910" s="70"/>
      <c r="C910" s="70"/>
      <c r="D910" s="70"/>
      <c r="E910" s="70"/>
      <c r="F910" s="70"/>
      <c r="G910" s="70"/>
      <c r="H910" s="70"/>
      <c r="I910" s="70"/>
      <c r="J910" s="70"/>
      <c r="K910" s="70"/>
      <c r="L910" s="70"/>
      <c r="M910" s="70"/>
      <c r="N910" s="70"/>
      <c r="O910" s="70"/>
      <c r="P910" s="70"/>
      <c r="Q910" s="70"/>
      <c r="R910" s="70"/>
      <c r="S910" s="70"/>
      <c r="T910" s="70"/>
      <c r="U910" s="70"/>
      <c r="V910" s="70"/>
      <c r="W910" s="70"/>
      <c r="X910" s="70"/>
      <c r="Y910" s="70"/>
      <c r="Z910" s="70"/>
      <c r="AA910" s="70"/>
      <c r="AB910" s="70"/>
      <c r="AC910" s="70"/>
      <c r="AD910" s="70"/>
      <c r="AE910" s="70"/>
      <c r="AF910" s="70"/>
      <c r="AG910" s="70"/>
      <c r="AH910" s="70"/>
      <c r="AI910" s="70"/>
      <c r="AJ910" s="70"/>
      <c r="AK910" s="70"/>
      <c r="AL910" s="70"/>
      <c r="AM910" s="70"/>
      <c r="AN910" s="70"/>
      <c r="AO910" s="70"/>
      <c r="AP910" s="70"/>
      <c r="AQ910" s="70"/>
      <c r="AR910" s="70"/>
      <c r="AS910" s="70"/>
      <c r="AT910" s="70"/>
      <c r="AU910" s="70"/>
      <c r="AV910" s="70"/>
      <c r="AW910" s="70"/>
      <c r="AX910" s="70"/>
      <c r="AY910" s="70"/>
      <c r="AZ910" s="70"/>
      <c r="BA910" s="70"/>
      <c r="BB910" s="70"/>
      <c r="BC910" s="70"/>
      <c r="BD910" s="70"/>
      <c r="BE910" s="70"/>
      <c r="BF910" s="70"/>
      <c r="BG910" s="70"/>
      <c r="BH910" s="70"/>
      <c r="BI910" s="70"/>
      <c r="BJ910" s="70"/>
      <c r="BK910" s="70"/>
      <c r="BP910" s="70"/>
      <c r="BU910" s="2"/>
      <c r="BZ910" s="886">
        <v>0.06</v>
      </c>
      <c r="CB910" s="1193"/>
      <c r="CC910" s="1193"/>
      <c r="CD910" s="1193"/>
      <c r="CE910" s="1924" t="s">
        <v>1128</v>
      </c>
      <c r="CF910" s="1193"/>
      <c r="CG910" s="1193"/>
      <c r="CH910" s="1193"/>
      <c r="CI910" s="1193"/>
      <c r="CJ910" s="1924">
        <v>0.05</v>
      </c>
      <c r="CK910" s="3527"/>
      <c r="CL910" s="1193"/>
      <c r="CM910" s="1193"/>
      <c r="CN910" s="1193"/>
      <c r="CO910" s="1924">
        <v>0.06</v>
      </c>
      <c r="CP910" s="3527"/>
      <c r="CQ910" s="1193"/>
      <c r="CR910" s="1193"/>
      <c r="CS910" s="1193"/>
      <c r="CT910" s="1924" t="s">
        <v>2908</v>
      </c>
      <c r="CU910" s="70"/>
      <c r="CV910" s="70"/>
      <c r="CW910" s="2137"/>
      <c r="CX910" s="2137"/>
      <c r="CY910" s="2137"/>
      <c r="CZ910" s="2137"/>
      <c r="DA910" s="2137"/>
      <c r="DB910" s="217"/>
      <c r="DC910" s="212"/>
      <c r="DD910" s="212"/>
      <c r="DE910" s="70"/>
      <c r="DF910" s="70"/>
      <c r="DG910" s="70"/>
      <c r="DH910" s="70"/>
      <c r="DI910" s="70"/>
      <c r="DJ910" s="70"/>
      <c r="DK910" s="70"/>
      <c r="DL910" s="70"/>
      <c r="DM910" s="70"/>
      <c r="DN910" s="70"/>
      <c r="DO910" s="70"/>
      <c r="DP910" s="70"/>
      <c r="DQ910" s="70"/>
      <c r="DR910" s="70"/>
      <c r="DS910" s="70"/>
      <c r="DT910" s="70"/>
      <c r="DU910" s="70"/>
      <c r="DV910" s="70"/>
      <c r="DW910" s="70"/>
      <c r="DX910" s="70"/>
      <c r="DY910" s="70"/>
      <c r="DZ910" s="70"/>
      <c r="EA910" s="70"/>
      <c r="EB910" s="70"/>
      <c r="EC910" s="70"/>
      <c r="ED910" s="70"/>
      <c r="EE910" s="70"/>
      <c r="EF910" s="70"/>
      <c r="EG910" s="70"/>
      <c r="EH910" s="70"/>
      <c r="EI910" s="70"/>
      <c r="EJ910" s="70"/>
      <c r="EK910" s="70"/>
      <c r="EL910" s="70"/>
      <c r="EM910" s="70"/>
      <c r="EN910" s="70"/>
      <c r="EO910" s="70"/>
      <c r="EP910" s="70"/>
      <c r="EQ910" s="70"/>
      <c r="ER910" s="70"/>
      <c r="ES910" s="70"/>
      <c r="ET910" s="70"/>
      <c r="EU910" s="70"/>
      <c r="EV910" s="70"/>
      <c r="EW910" s="70"/>
      <c r="EX910" s="70"/>
      <c r="EY910" s="70"/>
      <c r="EZ910" s="70"/>
      <c r="FA910" s="70"/>
      <c r="FB910" s="70"/>
      <c r="FC910" s="70"/>
      <c r="FD910" s="70"/>
      <c r="FE910" s="70"/>
      <c r="FF910" s="70"/>
      <c r="FG910" s="70"/>
      <c r="FH910" s="70"/>
      <c r="FI910" s="70"/>
      <c r="FJ910" s="70"/>
      <c r="FK910" s="70"/>
      <c r="FL910" s="70"/>
      <c r="FM910" s="70"/>
      <c r="FN910" s="70"/>
      <c r="FO910" s="70"/>
      <c r="FP910" s="70"/>
      <c r="FQ910" s="70"/>
      <c r="FR910" s="70"/>
      <c r="FS910" s="70"/>
      <c r="FT910" s="70"/>
      <c r="FU910" s="70"/>
      <c r="FV910" s="70"/>
      <c r="FW910" s="70"/>
      <c r="FX910" s="70"/>
      <c r="FY910" s="70"/>
      <c r="FZ910" s="70"/>
      <c r="GA910" s="70"/>
      <c r="GB910" s="70"/>
      <c r="GC910" s="70"/>
      <c r="GD910" s="70"/>
      <c r="GE910" s="70"/>
      <c r="GF910" s="70"/>
      <c r="GG910" s="70"/>
      <c r="GH910" s="70"/>
      <c r="GI910" s="70"/>
      <c r="GJ910" s="70"/>
      <c r="GK910" s="70"/>
      <c r="GL910" s="70"/>
      <c r="GM910" s="70"/>
      <c r="GN910" s="70"/>
      <c r="GO910" s="70"/>
      <c r="GP910" s="70"/>
      <c r="GQ910" s="70"/>
      <c r="GR910" s="70"/>
      <c r="GS910" s="70"/>
      <c r="GT910" s="70"/>
      <c r="GU910" s="70"/>
      <c r="GV910" s="70"/>
      <c r="GW910" s="70"/>
      <c r="GX910" s="70"/>
      <c r="GY910" s="70"/>
      <c r="GZ910" s="70"/>
      <c r="HA910" s="70"/>
      <c r="HB910" s="70"/>
      <c r="HC910" s="70"/>
      <c r="HD910" s="70"/>
      <c r="HE910" s="70"/>
      <c r="HF910" s="70"/>
      <c r="HG910" s="70"/>
      <c r="HH910" s="70"/>
      <c r="HI910" s="70"/>
      <c r="HJ910" s="70"/>
      <c r="HK910" s="70"/>
      <c r="HL910" s="70"/>
      <c r="HM910" s="70"/>
      <c r="HN910" s="70"/>
      <c r="HO910" s="70"/>
      <c r="HP910" s="70"/>
      <c r="HQ910" s="70"/>
      <c r="HR910" s="70"/>
      <c r="HS910" s="70"/>
      <c r="HT910" s="70"/>
      <c r="HU910" s="70"/>
      <c r="HV910" s="70"/>
      <c r="HW910" s="70"/>
      <c r="HX910" s="70"/>
      <c r="HY910" s="70"/>
      <c r="HZ910" s="70"/>
      <c r="IA910" s="70"/>
      <c r="IB910" s="70"/>
      <c r="IC910" s="70"/>
      <c r="ID910" s="70"/>
      <c r="IE910" s="70"/>
      <c r="IF910" s="70"/>
      <c r="IG910" s="70"/>
      <c r="IH910" s="70"/>
      <c r="II910" s="70"/>
      <c r="IJ910" s="70"/>
      <c r="IK910" s="70"/>
      <c r="IL910" s="70"/>
      <c r="IM910" s="70"/>
      <c r="IN910" s="70"/>
      <c r="IO910" s="70"/>
      <c r="IP910" s="70"/>
      <c r="IQ910" s="70"/>
      <c r="IR910" s="70"/>
      <c r="IS910" s="70"/>
      <c r="IT910" s="70"/>
      <c r="IU910" s="70"/>
      <c r="IV910" s="70"/>
    </row>
    <row r="911" spans="1:256" x14ac:dyDescent="0.2">
      <c r="A911" s="2627" t="s">
        <v>2394</v>
      </c>
      <c r="BL911" s="11"/>
      <c r="BM911" s="11"/>
      <c r="BN911" s="11"/>
      <c r="BO911" s="11"/>
      <c r="BQ911" s="11"/>
      <c r="BR911" s="11"/>
      <c r="BS911" s="11"/>
      <c r="BT911" s="11"/>
      <c r="BU911" s="2"/>
      <c r="BV911" s="11"/>
      <c r="BW911" s="11"/>
      <c r="BX911" s="11"/>
      <c r="BY911" s="11"/>
      <c r="BZ911" s="249"/>
      <c r="CA911" s="11"/>
      <c r="CB911" s="11"/>
      <c r="CC911" s="11"/>
      <c r="CD911" s="11"/>
      <c r="CE911" s="249"/>
      <c r="CF911" s="11"/>
      <c r="CG911" s="11"/>
      <c r="CH911" s="11"/>
      <c r="CI911" s="11"/>
      <c r="CJ911" s="1924">
        <v>7.3999999999999996E-2</v>
      </c>
      <c r="CK911" s="2948"/>
      <c r="CL911" s="11"/>
      <c r="CM911" s="11"/>
      <c r="CN911" s="11"/>
      <c r="CO911" s="1924">
        <v>8.7999999999999995E-2</v>
      </c>
      <c r="CP911" s="2948"/>
      <c r="CQ911" s="11"/>
      <c r="CR911" s="11"/>
      <c r="CS911" s="11"/>
      <c r="CT911" s="1924">
        <v>8.6999999999999994E-2</v>
      </c>
      <c r="CW911" s="2137"/>
      <c r="CX911" s="2137"/>
      <c r="CY911" s="2137"/>
      <c r="CZ911" s="2137"/>
      <c r="DA911" s="2137"/>
      <c r="DB911" s="217"/>
    </row>
    <row r="912" spans="1:256" x14ac:dyDescent="0.2">
      <c r="A912" s="1265" t="s">
        <v>468</v>
      </c>
      <c r="B912" s="1251"/>
      <c r="C912" s="1252"/>
      <c r="D912" s="1053" t="str">
        <f>RevPAR!B$5</f>
        <v>1Q00</v>
      </c>
      <c r="E912" s="1053" t="str">
        <f>RevPAR!C$5</f>
        <v>2Q00</v>
      </c>
      <c r="F912" s="1053" t="str">
        <f>RevPAR!D$5</f>
        <v>3Q00</v>
      </c>
      <c r="G912" s="1053" t="str">
        <f>RevPAR!E$5</f>
        <v>4Q00</v>
      </c>
      <c r="H912" s="1054">
        <f>RevPAR!F$5</f>
        <v>2000</v>
      </c>
      <c r="I912" s="1053" t="str">
        <f>RevPAR!G$5</f>
        <v>1Q01</v>
      </c>
      <c r="J912" s="1053" t="str">
        <f>RevPAR!H$5</f>
        <v>2Q01</v>
      </c>
      <c r="K912" s="1053" t="str">
        <f>RevPAR!I$5</f>
        <v>3Q01</v>
      </c>
      <c r="L912" s="1053" t="str">
        <f>RevPAR!J$5</f>
        <v>4Q01</v>
      </c>
      <c r="M912" s="1054">
        <f>RevPAR!K$5</f>
        <v>2001</v>
      </c>
      <c r="N912" s="1053" t="str">
        <f>RevPAR!L$5</f>
        <v>1Q02</v>
      </c>
      <c r="O912" s="1053" t="str">
        <f>RevPAR!M$5</f>
        <v>2Q02</v>
      </c>
      <c r="P912" s="1053" t="str">
        <f>RevPAR!N$5</f>
        <v>3Q02</v>
      </c>
      <c r="Q912" s="1053" t="str">
        <f>RevPAR!O$5</f>
        <v>4Q02</v>
      </c>
      <c r="R912" s="1054">
        <f>RevPAR!P$5</f>
        <v>2002</v>
      </c>
      <c r="S912" s="1053" t="str">
        <f>RevPAR!Q$5</f>
        <v>1Q03</v>
      </c>
      <c r="T912" s="1053" t="str">
        <f>RevPAR!R$5</f>
        <v>2Q03</v>
      </c>
      <c r="U912" s="1053" t="str">
        <f>RevPAR!S$5</f>
        <v>3Q03</v>
      </c>
      <c r="V912" s="1053" t="str">
        <f>RevPAR!T$5</f>
        <v>4Q03</v>
      </c>
      <c r="W912" s="1054">
        <f>RevPAR!U$5</f>
        <v>2003</v>
      </c>
      <c r="X912" s="1053" t="str">
        <f>RevPAR!V$5</f>
        <v>1Q04</v>
      </c>
      <c r="Y912" s="1053" t="str">
        <f>RevPAR!W$5</f>
        <v>2Q04</v>
      </c>
      <c r="Z912" s="1053" t="str">
        <f>RevPAR!X$5</f>
        <v>3Q04</v>
      </c>
      <c r="AA912" s="1053" t="str">
        <f>RevPAR!Y$5</f>
        <v>4Q04</v>
      </c>
      <c r="AB912" s="1054" t="str">
        <f>RevPAR!Z$5</f>
        <v>2004</v>
      </c>
      <c r="AC912" s="1053" t="str">
        <f>RevPAR!AA$5</f>
        <v>1Q05</v>
      </c>
      <c r="AD912" s="1053" t="str">
        <f>RevPAR!AB$5</f>
        <v>2Q05</v>
      </c>
      <c r="AE912" s="1053" t="str">
        <f>RevPAR!AC$5</f>
        <v>3Q05</v>
      </c>
      <c r="AF912" s="1053" t="str">
        <f>RevPAR!AD$5</f>
        <v>4Q05</v>
      </c>
      <c r="AG912" s="1054">
        <f>RevPAR!AE$5</f>
        <v>2005</v>
      </c>
      <c r="AH912" s="1053" t="str">
        <f>RevPAR!AF$5</f>
        <v>1Q06</v>
      </c>
      <c r="AI912" s="1053" t="str">
        <f>RevPAR!AG$5</f>
        <v>2Q06</v>
      </c>
      <c r="AJ912" s="1053" t="str">
        <f>RevPAR!AH$5</f>
        <v>3Q06</v>
      </c>
      <c r="AK912" s="1053" t="str">
        <f>RevPAR!AI$5</f>
        <v>4Q06</v>
      </c>
      <c r="AL912" s="1054">
        <f>RevPAR!AJ$5</f>
        <v>2006</v>
      </c>
      <c r="AM912" s="1053" t="str">
        <f>RevPAR!AK$5</f>
        <v>1Q07</v>
      </c>
      <c r="AN912" s="1053" t="str">
        <f>RevPAR!AL$5</f>
        <v>2Q07</v>
      </c>
      <c r="AO912" s="1053" t="str">
        <f>RevPAR!AM$5</f>
        <v>3Q07</v>
      </c>
      <c r="AP912" s="1053" t="str">
        <f>RevPAR!AN$5</f>
        <v>4Q07</v>
      </c>
      <c r="AQ912" s="1054" t="str">
        <f>RevPAR!AO$5</f>
        <v>2007</v>
      </c>
      <c r="AR912" s="1053" t="str">
        <f>RevPAR!AP$5</f>
        <v>1Q08</v>
      </c>
      <c r="AS912" s="1053" t="str">
        <f>RevPAR!AQ$5</f>
        <v>2Q08</v>
      </c>
      <c r="AT912" s="1053" t="str">
        <f>RevPAR!AR$5</f>
        <v>3Q08</v>
      </c>
      <c r="AU912" s="1053" t="str">
        <f>RevPAR!AS$5</f>
        <v>4Q08</v>
      </c>
      <c r="AV912" s="1054" t="str">
        <f>RevPAR!AT$5</f>
        <v>2008</v>
      </c>
      <c r="AW912" s="1053" t="str">
        <f>RevPAR!AU$5</f>
        <v>1Q09</v>
      </c>
      <c r="AX912" s="1053" t="str">
        <f>RevPAR!AV$5</f>
        <v>2Q09</v>
      </c>
      <c r="AY912" s="1053" t="str">
        <f>RevPAR!AW$5</f>
        <v>3Q09</v>
      </c>
      <c r="AZ912" s="1053" t="str">
        <f>RevPAR!AX$5</f>
        <v>4Q09</v>
      </c>
      <c r="BA912" s="1054" t="str">
        <f>RevPAR!AY$5</f>
        <v>2009</v>
      </c>
      <c r="BB912" s="1053" t="str">
        <f>RevPAR!AZ$5</f>
        <v>1Q10</v>
      </c>
      <c r="BC912" s="1053" t="str">
        <f>RevPAR!BA$5</f>
        <v>2Q10</v>
      </c>
      <c r="BD912" s="1053" t="str">
        <f>RevPAR!BB$5</f>
        <v>3Q10</v>
      </c>
      <c r="BE912" s="1053" t="str">
        <f>RevPAR!BC$5</f>
        <v>4Q10</v>
      </c>
      <c r="BF912" s="1054" t="str">
        <f>RevPAR!BD$5</f>
        <v>2010</v>
      </c>
      <c r="BG912" s="1053" t="str">
        <f>RevPAR!BE$5</f>
        <v>1Q11</v>
      </c>
      <c r="BH912" s="1053" t="str">
        <f>RevPAR!BF$5</f>
        <v>2Q11</v>
      </c>
      <c r="BI912" s="1053" t="str">
        <f>RevPAR!BG$5</f>
        <v>3Q11</v>
      </c>
      <c r="BJ912" s="1053" t="str">
        <f>RevPAR!BH$5</f>
        <v>4Q11</v>
      </c>
      <c r="BK912" s="1054">
        <f>RevPAR!BI$5</f>
        <v>2011</v>
      </c>
      <c r="BL912" s="1053" t="str">
        <f>RevPAR!BJ$5</f>
        <v>1Q12</v>
      </c>
      <c r="BM912" s="1053" t="str">
        <f>RevPAR!BK$5</f>
        <v>2Q12</v>
      </c>
      <c r="BN912" s="1053" t="str">
        <f>RevPAR!BL$5</f>
        <v>3Q12</v>
      </c>
      <c r="BO912" s="1053" t="str">
        <f>RevPAR!BM$5</f>
        <v>4Q12</v>
      </c>
      <c r="BP912" s="1054">
        <f>RevPAR!BN$5</f>
        <v>2012</v>
      </c>
      <c r="BQ912" s="1053" t="str">
        <f>RevPAR!BO$5</f>
        <v>1Q13</v>
      </c>
      <c r="BR912" s="1053" t="str">
        <f>RevPAR!BP$5</f>
        <v>2Q13</v>
      </c>
      <c r="BS912" s="1053" t="str">
        <f>RevPAR!BQ$5</f>
        <v>3Q13</v>
      </c>
      <c r="BT912" s="1053" t="str">
        <f>RevPAR!BR$5</f>
        <v>4Q13</v>
      </c>
      <c r="BU912" s="1054">
        <f>RevPAR!BS$5</f>
        <v>2013</v>
      </c>
      <c r="BV912" s="1053" t="str">
        <f>RevPAR!BT$5</f>
        <v>1Q14</v>
      </c>
      <c r="BW912" s="1053" t="str">
        <f>RevPAR!BU$5</f>
        <v>2Q14</v>
      </c>
      <c r="BX912" s="1053" t="str">
        <f>RevPAR!BV$5</f>
        <v>3Q14</v>
      </c>
      <c r="BY912" s="1053" t="str">
        <f>RevPAR!BW$5</f>
        <v>4Q14</v>
      </c>
      <c r="BZ912" s="1054">
        <f>RevPAR!BX$5</f>
        <v>2014</v>
      </c>
      <c r="CA912" s="1053" t="str">
        <f>RevPAR!BY$5</f>
        <v>1Q15</v>
      </c>
      <c r="CB912" s="1053" t="str">
        <f>RevPAR!BZ$5</f>
        <v>2Q15</v>
      </c>
      <c r="CC912" s="1053" t="str">
        <f>RevPAR!CA$5</f>
        <v>3Q15</v>
      </c>
      <c r="CD912" s="1053" t="str">
        <f>RevPAR!CB$5</f>
        <v>4Q15</v>
      </c>
      <c r="CE912" s="1054">
        <f>RevPAR!CC$5</f>
        <v>2015</v>
      </c>
      <c r="CF912" s="1053" t="str">
        <f>RevPAR!CD$5</f>
        <v>1Q16</v>
      </c>
      <c r="CG912" s="1053" t="str">
        <f>RevPAR!CE$5</f>
        <v>2Q16</v>
      </c>
      <c r="CH912" s="1053" t="str">
        <f>RevPAR!CF$5</f>
        <v>3Q16</v>
      </c>
      <c r="CI912" s="1053" t="str">
        <f>RevPAR!CG$5</f>
        <v>4Q16</v>
      </c>
      <c r="CJ912" s="1054">
        <f>RevPAR!CH$5</f>
        <v>2016</v>
      </c>
      <c r="CK912" s="1053" t="s">
        <v>2974</v>
      </c>
      <c r="CL912" s="1053" t="str">
        <f>RevPAR!CJ$5</f>
        <v>2Q17</v>
      </c>
      <c r="CM912" s="1053" t="str">
        <f>RevPAR!CK$5</f>
        <v>3Q17</v>
      </c>
      <c r="CN912" s="1053" t="str">
        <f>RevPAR!CL$5</f>
        <v>4Q17A</v>
      </c>
      <c r="CO912" s="1054" t="str">
        <f>RevPAR!CM$5</f>
        <v>2017A</v>
      </c>
      <c r="CP912" s="1053" t="str">
        <f>RevPAR!CN$5</f>
        <v>1Q18E</v>
      </c>
      <c r="CQ912" s="1053" t="str">
        <f>RevPAR!CO$5</f>
        <v>2Q18E</v>
      </c>
      <c r="CR912" s="1053" t="str">
        <f>RevPAR!CP$5</f>
        <v>3Q18E</v>
      </c>
      <c r="CS912" s="1053" t="str">
        <f>RevPAR!CQ$5</f>
        <v>4Q18E</v>
      </c>
      <c r="CT912" s="1054" t="str">
        <f>RevPAR!CR$5</f>
        <v>2018E</v>
      </c>
      <c r="CU912" s="1054" t="str">
        <f>RevPAR!CS$5</f>
        <v>2019E</v>
      </c>
      <c r="CV912" s="1054" t="str">
        <f>RevPAR!CT$5</f>
        <v>2020E</v>
      </c>
      <c r="CW912" s="374"/>
      <c r="CX912" s="374"/>
      <c r="CY912" s="374"/>
      <c r="CZ912" s="374"/>
      <c r="DA912" s="374"/>
      <c r="DB912" s="217"/>
    </row>
    <row r="913" spans="1:108" x14ac:dyDescent="0.2">
      <c r="A913" s="1263"/>
      <c r="B913" s="1240"/>
      <c r="C913" s="1241"/>
      <c r="D913" s="750"/>
      <c r="E913" s="750"/>
      <c r="F913" s="750"/>
      <c r="G913" s="758"/>
      <c r="H913" s="752"/>
      <c r="I913" s="750"/>
      <c r="J913" s="750"/>
      <c r="K913" s="750"/>
      <c r="L913" s="758"/>
      <c r="M913" s="752"/>
      <c r="N913" s="750"/>
      <c r="O913" s="750"/>
      <c r="P913" s="750"/>
      <c r="Q913" s="758"/>
      <c r="R913" s="752"/>
      <c r="S913" s="750"/>
      <c r="T913" s="750"/>
      <c r="U913" s="750"/>
      <c r="V913" s="751"/>
      <c r="W913" s="752"/>
      <c r="X913" s="750"/>
      <c r="Y913" s="750"/>
      <c r="Z913" s="750"/>
      <c r="AA913" s="751"/>
      <c r="AB913" s="752"/>
      <c r="AC913" s="750"/>
      <c r="AD913" s="750"/>
      <c r="AE913" s="750"/>
      <c r="AF913" s="751"/>
      <c r="AG913" s="752"/>
      <c r="AH913" s="750"/>
      <c r="AI913" s="750"/>
      <c r="AJ913" s="750"/>
      <c r="AK913" s="751"/>
      <c r="AL913" s="752"/>
      <c r="AM913" s="750"/>
      <c r="AN913" s="750"/>
      <c r="AO913" s="750"/>
      <c r="AP913" s="751"/>
      <c r="AQ913" s="752"/>
      <c r="AR913" s="750"/>
      <c r="AS913" s="750"/>
      <c r="AT913" s="750"/>
      <c r="AU913" s="751"/>
      <c r="AV913" s="752"/>
      <c r="AW913" s="750"/>
      <c r="AX913" s="750"/>
      <c r="AY913" s="750"/>
      <c r="AZ913" s="758"/>
      <c r="BA913" s="752"/>
      <c r="BB913" s="750"/>
      <c r="BC913" s="750"/>
      <c r="BD913" s="750"/>
      <c r="BE913" s="751"/>
      <c r="BF913" s="752"/>
      <c r="BG913" s="750"/>
      <c r="BH913" s="750"/>
      <c r="BI913" s="750"/>
      <c r="BJ913" s="751"/>
      <c r="BK913" s="752"/>
      <c r="BL913" s="1242"/>
      <c r="BM913" s="1242"/>
      <c r="BN913" s="1242"/>
      <c r="BO913" s="1242"/>
      <c r="BP913" s="1243"/>
      <c r="BQ913" s="1242"/>
      <c r="BR913" s="1242"/>
      <c r="BS913" s="1242"/>
      <c r="BT913" s="1242"/>
      <c r="BU913" s="1243"/>
      <c r="BV913" s="1242"/>
      <c r="BW913" s="1242"/>
      <c r="BX913" s="1242"/>
      <c r="BY913" s="1242"/>
      <c r="BZ913" s="1243"/>
      <c r="CA913" s="1242"/>
      <c r="CB913" s="1242"/>
      <c r="CC913" s="1242"/>
      <c r="CD913" s="1242"/>
      <c r="CE913" s="1243"/>
      <c r="CF913" s="1242"/>
      <c r="CG913" s="1242"/>
      <c r="CH913" s="1242"/>
      <c r="CI913" s="1242"/>
      <c r="CJ913" s="1243"/>
      <c r="CK913" s="3539"/>
      <c r="CL913" s="1242"/>
      <c r="CM913" s="1242"/>
      <c r="CN913" s="1242"/>
      <c r="CO913" s="1243"/>
      <c r="CP913" s="3539"/>
      <c r="CQ913" s="1242"/>
      <c r="CR913" s="1242"/>
      <c r="CS913" s="1242"/>
      <c r="CT913" s="1243"/>
      <c r="CU913" s="1243"/>
      <c r="CV913" s="1243"/>
      <c r="DB913" s="217"/>
    </row>
    <row r="914" spans="1:108" s="207" customFormat="1" hidden="1" outlineLevel="1" x14ac:dyDescent="0.2">
      <c r="A914" s="1263" t="s">
        <v>1617</v>
      </c>
      <c r="B914" s="1240"/>
      <c r="C914" s="1241"/>
      <c r="D914" s="750"/>
      <c r="E914" s="750"/>
      <c r="F914" s="750"/>
      <c r="G914" s="758"/>
      <c r="H914" s="752"/>
      <c r="I914" s="750"/>
      <c r="J914" s="750"/>
      <c r="K914" s="750"/>
      <c r="L914" s="758"/>
      <c r="M914" s="752"/>
      <c r="N914" s="750"/>
      <c r="O914" s="750"/>
      <c r="P914" s="750"/>
      <c r="Q914" s="758"/>
      <c r="R914" s="752"/>
      <c r="S914" s="750"/>
      <c r="T914" s="750"/>
      <c r="U914" s="750"/>
      <c r="V914" s="751"/>
      <c r="W914" s="752"/>
      <c r="X914" s="750"/>
      <c r="Y914" s="750"/>
      <c r="Z914" s="750"/>
      <c r="AA914" s="751"/>
      <c r="AB914" s="752"/>
      <c r="AC914" s="750"/>
      <c r="AD914" s="750"/>
      <c r="AE914" s="750"/>
      <c r="AF914" s="751"/>
      <c r="AG914" s="752"/>
      <c r="AH914" s="750"/>
      <c r="AI914" s="750"/>
      <c r="AJ914" s="750"/>
      <c r="AK914" s="751"/>
      <c r="AL914" s="752"/>
      <c r="AM914" s="750"/>
      <c r="AN914" s="750"/>
      <c r="AO914" s="750"/>
      <c r="AP914" s="751"/>
      <c r="AQ914" s="752"/>
      <c r="AR914" s="750"/>
      <c r="AS914" s="750"/>
      <c r="AT914" s="750"/>
      <c r="AU914" s="751"/>
      <c r="AV914" s="752"/>
      <c r="AW914" s="750"/>
      <c r="AX914" s="750"/>
      <c r="AY914" s="750"/>
      <c r="AZ914" s="758"/>
      <c r="BA914" s="752"/>
      <c r="BB914" s="750"/>
      <c r="BC914" s="750"/>
      <c r="BD914" s="750"/>
      <c r="BE914" s="751"/>
      <c r="BF914" s="752"/>
      <c r="BG914" s="750"/>
      <c r="BH914" s="750"/>
      <c r="BI914" s="750"/>
      <c r="BJ914" s="751"/>
      <c r="BK914" s="752"/>
      <c r="BL914" s="750"/>
      <c r="BM914" s="750"/>
      <c r="BN914" s="750"/>
      <c r="BO914" s="750"/>
      <c r="BP914" s="752"/>
      <c r="BQ914" s="750"/>
      <c r="BR914" s="750"/>
      <c r="BS914" s="750"/>
      <c r="BT914" s="750"/>
      <c r="BU914" s="752"/>
      <c r="BV914" s="750"/>
      <c r="BW914" s="750"/>
      <c r="BX914" s="750"/>
      <c r="BY914" s="750"/>
      <c r="BZ914" s="752"/>
      <c r="CA914" s="750"/>
      <c r="CB914" s="750"/>
      <c r="CC914" s="750"/>
      <c r="CD914" s="750"/>
      <c r="CE914" s="752"/>
      <c r="CF914" s="750"/>
      <c r="CG914" s="750"/>
      <c r="CH914" s="750"/>
      <c r="CI914" s="750"/>
      <c r="CJ914" s="752"/>
      <c r="CK914" s="3540"/>
      <c r="CL914" s="750"/>
      <c r="CM914" s="750"/>
      <c r="CN914" s="750"/>
      <c r="CO914" s="752"/>
      <c r="CP914" s="3540"/>
      <c r="CQ914" s="750"/>
      <c r="CR914" s="750"/>
      <c r="CS914" s="750"/>
      <c r="CT914" s="752"/>
      <c r="CU914" s="752"/>
      <c r="CV914" s="752"/>
      <c r="CW914" s="234"/>
      <c r="CX914" s="234"/>
      <c r="CY914" s="234"/>
      <c r="CZ914" s="234"/>
      <c r="DA914" s="234"/>
      <c r="DB914" s="217"/>
      <c r="DC914" s="212"/>
      <c r="DD914" s="234"/>
    </row>
    <row r="915" spans="1:108" s="207" customFormat="1" hidden="1" outlineLevel="1" x14ac:dyDescent="0.2">
      <c r="A915" s="1264" t="s">
        <v>1710</v>
      </c>
      <c r="B915" s="1240"/>
      <c r="C915" s="1241"/>
      <c r="D915" s="750"/>
      <c r="E915" s="750"/>
      <c r="F915" s="750"/>
      <c r="G915" s="758"/>
      <c r="H915" s="752"/>
      <c r="I915" s="756">
        <f>230-I916+160</f>
        <v>269</v>
      </c>
      <c r="J915" s="753">
        <f>234-J916+168</f>
        <v>273</v>
      </c>
      <c r="K915" s="753">
        <f>236-K916+176</f>
        <v>277</v>
      </c>
      <c r="L915" s="756">
        <f>235-L916+179</f>
        <v>276</v>
      </c>
      <c r="M915" s="752">
        <f t="shared" ref="M915:M933" si="1435">L915</f>
        <v>276</v>
      </c>
      <c r="N915" s="753">
        <f>237-N916+181</f>
        <v>279</v>
      </c>
      <c r="O915" s="753">
        <f>242+181-O916</f>
        <v>282</v>
      </c>
      <c r="P915" s="1253">
        <f>+P76+P42</f>
        <v>284</v>
      </c>
      <c r="Q915" s="1254">
        <f>+Q76+Q42</f>
        <v>290</v>
      </c>
      <c r="R915" s="752">
        <f t="shared" ref="R915:R933" si="1436">Q915</f>
        <v>290</v>
      </c>
      <c r="S915" s="1253">
        <f>+S76+S42</f>
        <v>295</v>
      </c>
      <c r="T915" s="1253">
        <f>+T76+T42</f>
        <v>301</v>
      </c>
      <c r="U915" s="1253">
        <f>+U76+U42</f>
        <v>301</v>
      </c>
      <c r="V915" s="1255">
        <f>+V76+V42</f>
        <v>304</v>
      </c>
      <c r="W915" s="752">
        <f t="shared" ref="W915:W933" si="1437">V915</f>
        <v>304</v>
      </c>
      <c r="X915" s="1253">
        <f>+X76+X42</f>
        <v>306</v>
      </c>
      <c r="Y915" s="1253">
        <f>+Y76+Y42</f>
        <v>310</v>
      </c>
      <c r="Z915" s="1253">
        <f>+Z76+Z42</f>
        <v>313</v>
      </c>
      <c r="AA915" s="1253">
        <f>+AA76+AA42</f>
        <v>317</v>
      </c>
      <c r="AB915" s="752">
        <f t="shared" ref="AB915:AB934" si="1438">+AA915</f>
        <v>317</v>
      </c>
      <c r="AC915" s="750">
        <f>+AC76+AC42</f>
        <v>319</v>
      </c>
      <c r="AD915" s="750">
        <f>+AD76+AD42</f>
        <v>324</v>
      </c>
      <c r="AE915" s="750">
        <f>+AE76+AE42</f>
        <v>326</v>
      </c>
      <c r="AF915" s="751">
        <f>+AF76+AF42</f>
        <v>330</v>
      </c>
      <c r="AG915" s="752">
        <f t="shared" ref="AG915:AG934" si="1439">+AF915</f>
        <v>330</v>
      </c>
      <c r="AH915" s="750">
        <f>+AH76+AH42</f>
        <v>335</v>
      </c>
      <c r="AI915" s="750">
        <f>+AI76+AI42</f>
        <v>338</v>
      </c>
      <c r="AJ915" s="750">
        <f>+AJ76+AJ42</f>
        <v>338</v>
      </c>
      <c r="AK915" s="751">
        <f>+AK76+AK42</f>
        <v>337</v>
      </c>
      <c r="AL915" s="752">
        <f t="shared" ref="AL915:AL934" si="1440">+AK915</f>
        <v>337</v>
      </c>
      <c r="AM915" s="750">
        <f>+AM76+AM42</f>
        <v>337</v>
      </c>
      <c r="AN915" s="750">
        <f>+AN76+AN42</f>
        <v>338</v>
      </c>
      <c r="AO915" s="750">
        <f>+AO76+AO42</f>
        <v>337</v>
      </c>
      <c r="AP915" s="751">
        <f>+AP76+AP42</f>
        <v>339</v>
      </c>
      <c r="AQ915" s="752">
        <f t="shared" ref="AQ915:AQ934" si="1441">+AP915</f>
        <v>339</v>
      </c>
      <c r="AR915" s="750">
        <f>+AR76+AR42</f>
        <v>340</v>
      </c>
      <c r="AS915" s="750">
        <f>+AS76+AS42</f>
        <v>340</v>
      </c>
      <c r="AT915" s="750">
        <f>+AT76+AT42</f>
        <v>341</v>
      </c>
      <c r="AU915" s="751">
        <f>+AU76+AU42</f>
        <v>344</v>
      </c>
      <c r="AV915" s="752">
        <f t="shared" ref="AV915:AV934" si="1442">+AU915</f>
        <v>344</v>
      </c>
      <c r="AW915" s="750">
        <f>+AW76+AW42</f>
        <v>345</v>
      </c>
      <c r="AX915" s="750">
        <f>+AX76+AX42</f>
        <v>345</v>
      </c>
      <c r="AY915" s="750">
        <f>+AY76+AY42</f>
        <v>346</v>
      </c>
      <c r="AZ915" s="758">
        <f>+AZ76+AZ42</f>
        <v>349</v>
      </c>
      <c r="BA915" s="752">
        <f t="shared" ref="BA915:BA934" si="1443">+AZ915</f>
        <v>349</v>
      </c>
      <c r="BB915" s="750">
        <f>+BB76+BB42</f>
        <v>352</v>
      </c>
      <c r="BC915" s="750">
        <f>+BC76+BC42</f>
        <v>350</v>
      </c>
      <c r="BD915" s="750">
        <f>+BD76+BD42</f>
        <v>351</v>
      </c>
      <c r="BE915" s="751">
        <f>+BE76+BE42</f>
        <v>353</v>
      </c>
      <c r="BF915" s="752">
        <f t="shared" ref="BF915:BF934" si="1444">+BE915</f>
        <v>353</v>
      </c>
      <c r="BG915" s="750">
        <f>+BG76+BG42</f>
        <v>352</v>
      </c>
      <c r="BH915" s="750">
        <f>+BH76+BH42</f>
        <v>352</v>
      </c>
      <c r="BI915" s="750">
        <f>+BI76+BI42</f>
        <v>351</v>
      </c>
      <c r="BJ915" s="751">
        <f>+BJ76+BJ42</f>
        <v>350</v>
      </c>
      <c r="BK915" s="752">
        <f t="shared" ref="BK915:BK934" si="1445">+BJ915</f>
        <v>350</v>
      </c>
      <c r="BL915" s="750">
        <f>+BL76+BL42</f>
        <v>348</v>
      </c>
      <c r="BM915" s="750">
        <f>+BM76+BM42</f>
        <v>348</v>
      </c>
      <c r="BN915" s="750">
        <f>+BN76+BN42</f>
        <v>347</v>
      </c>
      <c r="BO915" s="750">
        <f>+BO76+BO42</f>
        <v>349</v>
      </c>
      <c r="BP915" s="752">
        <f t="shared" ref="BP915:BP934" si="1446">+BO915</f>
        <v>349</v>
      </c>
      <c r="BQ915" s="750"/>
      <c r="BR915" s="750"/>
      <c r="BS915" s="750"/>
      <c r="BT915" s="750"/>
      <c r="BU915" s="752"/>
      <c r="BV915" s="750"/>
      <c r="BW915" s="750"/>
      <c r="BX915" s="750"/>
      <c r="BY915" s="750"/>
      <c r="BZ915" s="752"/>
      <c r="CA915" s="750"/>
      <c r="CB915" s="750"/>
      <c r="CC915" s="750"/>
      <c r="CD915" s="750"/>
      <c r="CE915" s="752"/>
      <c r="CF915" s="750"/>
      <c r="CG915" s="750"/>
      <c r="CH915" s="750"/>
      <c r="CI915" s="750"/>
      <c r="CJ915" s="752"/>
      <c r="CK915" s="3540"/>
      <c r="CL915" s="750"/>
      <c r="CM915" s="750"/>
      <c r="CN915" s="750"/>
      <c r="CO915" s="752"/>
      <c r="CP915" s="3540"/>
      <c r="CQ915" s="750"/>
      <c r="CR915" s="750"/>
      <c r="CS915" s="750"/>
      <c r="CT915" s="752"/>
      <c r="CU915" s="752"/>
      <c r="CV915" s="752"/>
      <c r="CW915" s="234"/>
      <c r="CX915" s="234"/>
      <c r="CY915" s="234"/>
      <c r="CZ915" s="234"/>
      <c r="DA915" s="234"/>
      <c r="DB915" s="217"/>
      <c r="DC915" s="212"/>
      <c r="DD915" s="234"/>
    </row>
    <row r="916" spans="1:108" s="207" customFormat="1" hidden="1" outlineLevel="1" x14ac:dyDescent="0.2">
      <c r="A916" s="1264" t="s">
        <v>2037</v>
      </c>
      <c r="B916" s="1240"/>
      <c r="C916" s="1241"/>
      <c r="D916" s="750"/>
      <c r="E916" s="750"/>
      <c r="F916" s="750"/>
      <c r="G916" s="758"/>
      <c r="H916" s="752"/>
      <c r="I916" s="756">
        <f>62+59</f>
        <v>121</v>
      </c>
      <c r="J916" s="753">
        <f>64+65</f>
        <v>129</v>
      </c>
      <c r="K916" s="753">
        <f>65+70</f>
        <v>135</v>
      </c>
      <c r="L916" s="756">
        <f>68+70</f>
        <v>138</v>
      </c>
      <c r="M916" s="752">
        <f t="shared" si="1435"/>
        <v>138</v>
      </c>
      <c r="N916" s="753">
        <f>68+71</f>
        <v>139</v>
      </c>
      <c r="O916" s="753">
        <f>71+70</f>
        <v>141</v>
      </c>
      <c r="P916" s="1253">
        <f>+P214+P181</f>
        <v>146</v>
      </c>
      <c r="Q916" s="1254">
        <f>+Q214+Q181</f>
        <v>152</v>
      </c>
      <c r="R916" s="752">
        <f t="shared" si="1436"/>
        <v>152</v>
      </c>
      <c r="S916" s="1253">
        <f>+S214+S181</f>
        <v>155</v>
      </c>
      <c r="T916" s="1253">
        <f>+T214+T181</f>
        <v>156</v>
      </c>
      <c r="U916" s="1253">
        <f>+U214+U181</f>
        <v>160</v>
      </c>
      <c r="V916" s="1255">
        <f>+V214+V181</f>
        <v>161</v>
      </c>
      <c r="W916" s="752">
        <f t="shared" si="1437"/>
        <v>161</v>
      </c>
      <c r="X916" s="1253">
        <f>+X214+X181</f>
        <v>160</v>
      </c>
      <c r="Y916" s="1253">
        <f>+Y214+Y181</f>
        <v>163</v>
      </c>
      <c r="Z916" s="1253">
        <f>+Z214+Z181</f>
        <v>165</v>
      </c>
      <c r="AA916" s="1253">
        <f>+AA214+AA181</f>
        <v>165</v>
      </c>
      <c r="AB916" s="752">
        <f t="shared" si="1438"/>
        <v>165</v>
      </c>
      <c r="AC916" s="750">
        <f>+AC214+AC181</f>
        <v>165</v>
      </c>
      <c r="AD916" s="750">
        <f>+AD214+AD181</f>
        <v>167</v>
      </c>
      <c r="AE916" s="750">
        <f>+AE214+AE181</f>
        <v>168</v>
      </c>
      <c r="AF916" s="751">
        <f>+AF214+AF181</f>
        <v>168</v>
      </c>
      <c r="AG916" s="752">
        <f t="shared" si="1439"/>
        <v>168</v>
      </c>
      <c r="AH916" s="750">
        <f>+AH214+AH181</f>
        <v>170</v>
      </c>
      <c r="AI916" s="750">
        <f>+AI214+AI181</f>
        <v>170</v>
      </c>
      <c r="AJ916" s="750">
        <f>+AJ214+AJ181</f>
        <v>169</v>
      </c>
      <c r="AK916" s="751">
        <f>+AK214+AK181</f>
        <v>170</v>
      </c>
      <c r="AL916" s="752">
        <f t="shared" si="1440"/>
        <v>170</v>
      </c>
      <c r="AM916" s="750">
        <f>+AM214+AM181</f>
        <v>170</v>
      </c>
      <c r="AN916" s="750">
        <f>+AN214+AN181</f>
        <v>172</v>
      </c>
      <c r="AO916" s="750">
        <f>+AO214+AO181</f>
        <v>175</v>
      </c>
      <c r="AP916" s="751">
        <f>+AP214+AP181</f>
        <v>173</v>
      </c>
      <c r="AQ916" s="752">
        <f t="shared" si="1441"/>
        <v>173</v>
      </c>
      <c r="AR916" s="750">
        <f>+AR214+AR181</f>
        <v>173</v>
      </c>
      <c r="AS916" s="750">
        <f>+AS214+AS181</f>
        <v>173</v>
      </c>
      <c r="AT916" s="750">
        <f>+AT214+AT181</f>
        <v>173</v>
      </c>
      <c r="AU916" s="751">
        <f>+AU214+AU181</f>
        <v>177</v>
      </c>
      <c r="AV916" s="752">
        <f t="shared" si="1442"/>
        <v>177</v>
      </c>
      <c r="AW916" s="750">
        <f>+AW214+AW181</f>
        <v>179</v>
      </c>
      <c r="AX916" s="750">
        <f>+AX214+AX181</f>
        <v>181</v>
      </c>
      <c r="AY916" s="750">
        <f>+AY214+AY181</f>
        <v>182</v>
      </c>
      <c r="AZ916" s="758">
        <f>+AZ214+AZ181</f>
        <v>186</v>
      </c>
      <c r="BA916" s="752">
        <f t="shared" si="1443"/>
        <v>186</v>
      </c>
      <c r="BB916" s="750">
        <f>+BB214+BB181</f>
        <v>186</v>
      </c>
      <c r="BC916" s="750">
        <f>+BC214+BC181</f>
        <v>186</v>
      </c>
      <c r="BD916" s="750">
        <f>+BD214+BD181</f>
        <v>187</v>
      </c>
      <c r="BE916" s="751">
        <f>+BE214+BE181</f>
        <v>189</v>
      </c>
      <c r="BF916" s="752">
        <f t="shared" si="1444"/>
        <v>189</v>
      </c>
      <c r="BG916" s="750">
        <f>+BG214+BG181</f>
        <v>191</v>
      </c>
      <c r="BH916" s="750">
        <f>+BH214+BH181</f>
        <v>193</v>
      </c>
      <c r="BI916" s="750">
        <f>+BI214+BI181</f>
        <v>194</v>
      </c>
      <c r="BJ916" s="751">
        <f>+BJ214+BJ181</f>
        <v>194</v>
      </c>
      <c r="BK916" s="752">
        <f t="shared" si="1445"/>
        <v>194</v>
      </c>
      <c r="BL916" s="750">
        <f>+BL214+BL181</f>
        <v>194</v>
      </c>
      <c r="BM916" s="750">
        <f>+BM214+BM181</f>
        <v>194</v>
      </c>
      <c r="BN916" s="750">
        <f>+BN214+BN181</f>
        <v>194</v>
      </c>
      <c r="BO916" s="750">
        <f>+BO214+BO181</f>
        <v>199</v>
      </c>
      <c r="BP916" s="752">
        <f t="shared" si="1446"/>
        <v>199</v>
      </c>
      <c r="BQ916" s="750"/>
      <c r="BR916" s="750"/>
      <c r="BS916" s="750"/>
      <c r="BT916" s="750"/>
      <c r="BU916" s="752"/>
      <c r="BV916" s="750"/>
      <c r="BW916" s="750"/>
      <c r="BX916" s="750"/>
      <c r="BY916" s="750"/>
      <c r="BZ916" s="752"/>
      <c r="CA916" s="750"/>
      <c r="CB916" s="750"/>
      <c r="CC916" s="750"/>
      <c r="CD916" s="750"/>
      <c r="CE916" s="752"/>
      <c r="CF916" s="750"/>
      <c r="CG916" s="750"/>
      <c r="CH916" s="750"/>
      <c r="CI916" s="750"/>
      <c r="CJ916" s="752"/>
      <c r="CK916" s="3540"/>
      <c r="CL916" s="750"/>
      <c r="CM916" s="750"/>
      <c r="CN916" s="750"/>
      <c r="CO916" s="752"/>
      <c r="CP916" s="3540"/>
      <c r="CQ916" s="750"/>
      <c r="CR916" s="750"/>
      <c r="CS916" s="750"/>
      <c r="CT916" s="752"/>
      <c r="CU916" s="752"/>
      <c r="CV916" s="752"/>
      <c r="CW916" s="234"/>
      <c r="CX916" s="234"/>
      <c r="CY916" s="234"/>
      <c r="CZ916" s="234"/>
      <c r="DA916" s="234"/>
      <c r="DB916" s="217"/>
      <c r="DC916" s="212"/>
      <c r="DD916" s="234"/>
    </row>
    <row r="917" spans="1:108" s="207" customFormat="1" hidden="1" outlineLevel="1" x14ac:dyDescent="0.2">
      <c r="A917" s="1264" t="s">
        <v>2038</v>
      </c>
      <c r="B917" s="1240"/>
      <c r="C917" s="1241"/>
      <c r="D917" s="750"/>
      <c r="E917" s="750"/>
      <c r="F917" s="750"/>
      <c r="G917" s="758"/>
      <c r="H917" s="752"/>
      <c r="I917" s="756">
        <f>38-I918</f>
        <v>22</v>
      </c>
      <c r="J917" s="753">
        <f>40-J918</f>
        <v>24</v>
      </c>
      <c r="K917" s="753">
        <f>42-K918</f>
        <v>26</v>
      </c>
      <c r="L917" s="756">
        <f>44-L918</f>
        <v>26</v>
      </c>
      <c r="M917" s="752">
        <f t="shared" si="1435"/>
        <v>26</v>
      </c>
      <c r="N917" s="753">
        <f>45-N918</f>
        <v>28</v>
      </c>
      <c r="O917" s="753">
        <f>47-O918</f>
        <v>30</v>
      </c>
      <c r="P917" s="1253">
        <f>+P80+P47</f>
        <v>30</v>
      </c>
      <c r="Q917" s="1254">
        <f>+Q80+Q47</f>
        <v>32</v>
      </c>
      <c r="R917" s="752">
        <f t="shared" si="1436"/>
        <v>32</v>
      </c>
      <c r="S917" s="1253">
        <f>+S80+S47</f>
        <v>33</v>
      </c>
      <c r="T917" s="1253">
        <f>+T80+T47</f>
        <v>34</v>
      </c>
      <c r="U917" s="1253">
        <f>+U80+U47</f>
        <v>35</v>
      </c>
      <c r="V917" s="1255">
        <f>+V80+V47</f>
        <v>35</v>
      </c>
      <c r="W917" s="752">
        <f t="shared" si="1437"/>
        <v>35</v>
      </c>
      <c r="X917" s="1253">
        <f>+X80+X47</f>
        <v>35</v>
      </c>
      <c r="Y917" s="1253">
        <f>+Y80+Y47</f>
        <v>35</v>
      </c>
      <c r="Z917" s="1253">
        <f>+Z80+Z47</f>
        <v>35</v>
      </c>
      <c r="AA917" s="1253">
        <f>+AA80+AA47</f>
        <v>35</v>
      </c>
      <c r="AB917" s="752">
        <f t="shared" si="1438"/>
        <v>35</v>
      </c>
      <c r="AC917" s="750">
        <f>+AC80+AC47</f>
        <v>35</v>
      </c>
      <c r="AD917" s="750">
        <f>+AD80+AD47</f>
        <v>35</v>
      </c>
      <c r="AE917" s="750">
        <f>+AE80+AE47</f>
        <v>35</v>
      </c>
      <c r="AF917" s="751">
        <f>+AF80+AF47</f>
        <v>35</v>
      </c>
      <c r="AG917" s="752">
        <f t="shared" si="1439"/>
        <v>35</v>
      </c>
      <c r="AH917" s="750">
        <f>+AH80+AH47</f>
        <v>35</v>
      </c>
      <c r="AI917" s="750">
        <f>+AI80+AI47</f>
        <v>35</v>
      </c>
      <c r="AJ917" s="750">
        <f>+AJ80+AJ47</f>
        <v>35</v>
      </c>
      <c r="AK917" s="751">
        <f>+AK80+AK47</f>
        <v>35</v>
      </c>
      <c r="AL917" s="752">
        <f t="shared" si="1440"/>
        <v>35</v>
      </c>
      <c r="AM917" s="750">
        <f>+AM80+AM47</f>
        <v>34</v>
      </c>
      <c r="AN917" s="750">
        <f>+AN80+AN47</f>
        <v>34</v>
      </c>
      <c r="AO917" s="750">
        <f>+AO80+AO47</f>
        <v>35</v>
      </c>
      <c r="AP917" s="751">
        <f>+AP80+AP47</f>
        <v>36</v>
      </c>
      <c r="AQ917" s="752">
        <f t="shared" si="1441"/>
        <v>36</v>
      </c>
      <c r="AR917" s="750">
        <f>+AR80+AR47</f>
        <v>36</v>
      </c>
      <c r="AS917" s="750">
        <f>+AS80+AS47</f>
        <v>36</v>
      </c>
      <c r="AT917" s="750">
        <f>+AT80+AT47</f>
        <v>37</v>
      </c>
      <c r="AU917" s="751">
        <f>+AU80+AU47</f>
        <v>37</v>
      </c>
      <c r="AV917" s="752">
        <f t="shared" si="1442"/>
        <v>37</v>
      </c>
      <c r="AW917" s="750">
        <f>+AW80+AW47</f>
        <v>37</v>
      </c>
      <c r="AX917" s="750">
        <f>+AX80+AX47</f>
        <v>37</v>
      </c>
      <c r="AY917" s="750">
        <f>+AY80+AY47</f>
        <v>37</v>
      </c>
      <c r="AZ917" s="758">
        <f>+AZ80+AZ47</f>
        <v>40</v>
      </c>
      <c r="BA917" s="752">
        <f t="shared" si="1443"/>
        <v>40</v>
      </c>
      <c r="BB917" s="750">
        <f>+BB80+BB47</f>
        <v>40</v>
      </c>
      <c r="BC917" s="750">
        <f>+BC80+BC47</f>
        <v>39</v>
      </c>
      <c r="BD917" s="750">
        <f>+BD80+BD47</f>
        <v>39</v>
      </c>
      <c r="BE917" s="751">
        <f>+BE80+BE47</f>
        <v>39</v>
      </c>
      <c r="BF917" s="752">
        <f t="shared" si="1444"/>
        <v>39</v>
      </c>
      <c r="BG917" s="750">
        <f>+BG80+BG47</f>
        <v>39</v>
      </c>
      <c r="BH917" s="750">
        <f>+BH80+BH47</f>
        <v>39</v>
      </c>
      <c r="BI917" s="750">
        <f>+BI80+BI47</f>
        <v>39</v>
      </c>
      <c r="BJ917" s="751">
        <f>+BJ80+BJ47</f>
        <v>39</v>
      </c>
      <c r="BK917" s="752">
        <f t="shared" si="1445"/>
        <v>39</v>
      </c>
      <c r="BL917" s="750">
        <f>+BL80+BL47</f>
        <v>39</v>
      </c>
      <c r="BM917" s="750">
        <f>+BM80+BM47</f>
        <v>39</v>
      </c>
      <c r="BN917" s="750">
        <f>+BN80+BN47</f>
        <v>39</v>
      </c>
      <c r="BO917" s="750">
        <f>+BO80+BO47</f>
        <v>38</v>
      </c>
      <c r="BP917" s="752">
        <f t="shared" si="1446"/>
        <v>38</v>
      </c>
      <c r="BQ917" s="750"/>
      <c r="BR917" s="750"/>
      <c r="BS917" s="750"/>
      <c r="BT917" s="750"/>
      <c r="BU917" s="752"/>
      <c r="BV917" s="750"/>
      <c r="BW917" s="750"/>
      <c r="BX917" s="750"/>
      <c r="BY917" s="750"/>
      <c r="BZ917" s="752"/>
      <c r="CA917" s="750"/>
      <c r="CB917" s="750"/>
      <c r="CC917" s="750"/>
      <c r="CD917" s="750"/>
      <c r="CE917" s="752"/>
      <c r="CF917" s="750"/>
      <c r="CG917" s="750"/>
      <c r="CH917" s="750"/>
      <c r="CI917" s="750"/>
      <c r="CJ917" s="752"/>
      <c r="CK917" s="3540"/>
      <c r="CL917" s="750"/>
      <c r="CM917" s="750"/>
      <c r="CN917" s="750"/>
      <c r="CO917" s="752"/>
      <c r="CP917" s="3540"/>
      <c r="CQ917" s="750"/>
      <c r="CR917" s="750"/>
      <c r="CS917" s="750"/>
      <c r="CT917" s="752"/>
      <c r="CU917" s="752"/>
      <c r="CV917" s="752"/>
      <c r="CW917" s="234"/>
      <c r="CX917" s="234"/>
      <c r="CY917" s="234"/>
      <c r="CZ917" s="234"/>
      <c r="DA917" s="234"/>
      <c r="DB917" s="217"/>
      <c r="DC917" s="212"/>
      <c r="DD917" s="234"/>
    </row>
    <row r="918" spans="1:108" s="207" customFormat="1" hidden="1" outlineLevel="1" x14ac:dyDescent="0.2">
      <c r="A918" s="1264" t="s">
        <v>508</v>
      </c>
      <c r="B918" s="1240"/>
      <c r="C918" s="1241"/>
      <c r="D918" s="750"/>
      <c r="E918" s="750"/>
      <c r="F918" s="750"/>
      <c r="G918" s="758"/>
      <c r="H918" s="752"/>
      <c r="I918" s="756">
        <v>16</v>
      </c>
      <c r="J918" s="753">
        <v>16</v>
      </c>
      <c r="K918" s="753">
        <v>16</v>
      </c>
      <c r="L918" s="756">
        <v>18</v>
      </c>
      <c r="M918" s="752">
        <f t="shared" si="1435"/>
        <v>18</v>
      </c>
      <c r="N918" s="753">
        <v>17</v>
      </c>
      <c r="O918" s="753">
        <v>17</v>
      </c>
      <c r="P918" s="1253">
        <f>+P218+P185</f>
        <v>17</v>
      </c>
      <c r="Q918" s="1254">
        <f>+Q218+Q185</f>
        <v>18</v>
      </c>
      <c r="R918" s="752">
        <f t="shared" si="1436"/>
        <v>18</v>
      </c>
      <c r="S918" s="1253">
        <f>+S218+S185</f>
        <v>18</v>
      </c>
      <c r="T918" s="1253">
        <f>+T218+T185</f>
        <v>19</v>
      </c>
      <c r="U918" s="1253">
        <f>+U218+U185</f>
        <v>19</v>
      </c>
      <c r="V918" s="1255">
        <f>+V218+V185</f>
        <v>20</v>
      </c>
      <c r="W918" s="752">
        <f t="shared" si="1437"/>
        <v>20</v>
      </c>
      <c r="X918" s="1253">
        <f>+X218+X185</f>
        <v>20</v>
      </c>
      <c r="Y918" s="1253">
        <f>+Y218+Y185</f>
        <v>20</v>
      </c>
      <c r="Z918" s="1253">
        <f>+Z218+Z185</f>
        <v>20</v>
      </c>
      <c r="AA918" s="1253">
        <f>+AA218+AA185</f>
        <v>20</v>
      </c>
      <c r="AB918" s="752">
        <f t="shared" si="1438"/>
        <v>20</v>
      </c>
      <c r="AC918" s="750">
        <f>+AC218+AC185</f>
        <v>20</v>
      </c>
      <c r="AD918" s="750">
        <f>+AD218+AD185</f>
        <v>21</v>
      </c>
      <c r="AE918" s="750">
        <f>+AE218+AE185</f>
        <v>21</v>
      </c>
      <c r="AF918" s="751">
        <f>+AF218+AF185</f>
        <v>22</v>
      </c>
      <c r="AG918" s="752">
        <f t="shared" si="1439"/>
        <v>22</v>
      </c>
      <c r="AH918" s="750">
        <f>+AH218+AH185</f>
        <v>23</v>
      </c>
      <c r="AI918" s="750">
        <f>+AI218+AI185</f>
        <v>23</v>
      </c>
      <c r="AJ918" s="750">
        <f>+AJ218+AJ185</f>
        <v>23</v>
      </c>
      <c r="AK918" s="751">
        <f>+AK218+AK185</f>
        <v>23</v>
      </c>
      <c r="AL918" s="752">
        <f t="shared" si="1440"/>
        <v>23</v>
      </c>
      <c r="AM918" s="750">
        <f>+AM218+AM185</f>
        <v>25</v>
      </c>
      <c r="AN918" s="750">
        <f>+AN218+AN185</f>
        <v>26</v>
      </c>
      <c r="AO918" s="750">
        <f>+AO218+AO185</f>
        <v>28</v>
      </c>
      <c r="AP918" s="751">
        <f>+AP218+AP185</f>
        <v>31</v>
      </c>
      <c r="AQ918" s="752">
        <f t="shared" si="1441"/>
        <v>31</v>
      </c>
      <c r="AR918" s="750">
        <f>+AR218+AR185</f>
        <v>31</v>
      </c>
      <c r="AS918" s="750">
        <f>+AS218+AS185</f>
        <v>32</v>
      </c>
      <c r="AT918" s="750">
        <f>+AT218+AT185</f>
        <v>32</v>
      </c>
      <c r="AU918" s="751">
        <f>+AU218+AU185</f>
        <v>33</v>
      </c>
      <c r="AV918" s="752">
        <f t="shared" si="1442"/>
        <v>33</v>
      </c>
      <c r="AW918" s="750">
        <f>+AW218+AW185</f>
        <v>34</v>
      </c>
      <c r="AX918" s="750">
        <f>+AX218+AX185</f>
        <v>33</v>
      </c>
      <c r="AY918" s="750">
        <f>+AY218+AY185</f>
        <v>33</v>
      </c>
      <c r="AZ918" s="758">
        <f>+AZ218+AZ185</f>
        <v>34</v>
      </c>
      <c r="BA918" s="752">
        <f t="shared" si="1443"/>
        <v>34</v>
      </c>
      <c r="BB918" s="750">
        <f>+BB218+BB185</f>
        <v>34</v>
      </c>
      <c r="BC918" s="750">
        <f>+BC218+BC185</f>
        <v>34</v>
      </c>
      <c r="BD918" s="750">
        <f>+BD218+BD185</f>
        <v>35</v>
      </c>
      <c r="BE918" s="751">
        <f>+BE218+BE185</f>
        <v>35</v>
      </c>
      <c r="BF918" s="752">
        <f t="shared" si="1444"/>
        <v>35</v>
      </c>
      <c r="BG918" s="750">
        <f>+BG218+BG185</f>
        <v>37</v>
      </c>
      <c r="BH918" s="750">
        <f>+BH218+BH185</f>
        <v>38</v>
      </c>
      <c r="BI918" s="750">
        <f>+BI218+BI185</f>
        <v>39</v>
      </c>
      <c r="BJ918" s="751">
        <f>+BJ218+BJ185</f>
        <v>40</v>
      </c>
      <c r="BK918" s="752">
        <f t="shared" si="1445"/>
        <v>40</v>
      </c>
      <c r="BL918" s="750">
        <f>+BL218+BL185</f>
        <v>40</v>
      </c>
      <c r="BM918" s="750">
        <f>+BM218+BM185</f>
        <v>41</v>
      </c>
      <c r="BN918" s="750">
        <f>+BN218+BN185</f>
        <v>42</v>
      </c>
      <c r="BO918" s="750">
        <f>+BO218+BO185</f>
        <v>43</v>
      </c>
      <c r="BP918" s="752">
        <f t="shared" si="1446"/>
        <v>43</v>
      </c>
      <c r="BQ918" s="750"/>
      <c r="BR918" s="750"/>
      <c r="BS918" s="750"/>
      <c r="BT918" s="750"/>
      <c r="BU918" s="752"/>
      <c r="BV918" s="750"/>
      <c r="BW918" s="750"/>
      <c r="BX918" s="750"/>
      <c r="BY918" s="750"/>
      <c r="BZ918" s="752"/>
      <c r="CA918" s="750"/>
      <c r="CB918" s="750"/>
      <c r="CC918" s="750"/>
      <c r="CD918" s="750"/>
      <c r="CE918" s="752"/>
      <c r="CF918" s="750"/>
      <c r="CG918" s="750"/>
      <c r="CH918" s="750"/>
      <c r="CI918" s="750"/>
      <c r="CJ918" s="752"/>
      <c r="CK918" s="3540"/>
      <c r="CL918" s="750"/>
      <c r="CM918" s="750"/>
      <c r="CN918" s="750"/>
      <c r="CO918" s="752"/>
      <c r="CP918" s="3540"/>
      <c r="CQ918" s="750"/>
      <c r="CR918" s="750"/>
      <c r="CS918" s="750"/>
      <c r="CT918" s="752"/>
      <c r="CU918" s="752"/>
      <c r="CV918" s="752"/>
      <c r="CW918" s="234"/>
      <c r="CX918" s="234"/>
      <c r="CY918" s="234"/>
      <c r="CZ918" s="234"/>
      <c r="DA918" s="234"/>
      <c r="DB918" s="217"/>
      <c r="DC918" s="212"/>
      <c r="DD918" s="234"/>
    </row>
    <row r="919" spans="1:108" s="207" customFormat="1" hidden="1" outlineLevel="1" x14ac:dyDescent="0.2">
      <c r="A919" s="1264" t="s">
        <v>322</v>
      </c>
      <c r="B919" s="1240"/>
      <c r="C919" s="1241"/>
      <c r="D919" s="750"/>
      <c r="E919" s="750"/>
      <c r="F919" s="750"/>
      <c r="G919" s="758"/>
      <c r="H919" s="752"/>
      <c r="I919" s="756">
        <f>81-I920+32</f>
        <v>52</v>
      </c>
      <c r="J919" s="753">
        <f>81-J920+33</f>
        <v>53</v>
      </c>
      <c r="K919" s="753">
        <f>82-K920+36</f>
        <v>53</v>
      </c>
      <c r="L919" s="756">
        <f>85-L920+38</f>
        <v>58</v>
      </c>
      <c r="M919" s="752">
        <f t="shared" si="1435"/>
        <v>58</v>
      </c>
      <c r="N919" s="753">
        <f>86-N920+38</f>
        <v>58</v>
      </c>
      <c r="O919" s="753">
        <f>86+38-O920</f>
        <v>59</v>
      </c>
      <c r="P919" s="1253">
        <f>+P77+P43</f>
        <v>59</v>
      </c>
      <c r="Q919" s="1254">
        <f>+Q77+Q43</f>
        <v>63</v>
      </c>
      <c r="R919" s="752">
        <f t="shared" si="1436"/>
        <v>63</v>
      </c>
      <c r="S919" s="1253">
        <f>+S77+S43</f>
        <v>65</v>
      </c>
      <c r="T919" s="1253">
        <f>+T77+T43</f>
        <v>64</v>
      </c>
      <c r="U919" s="1253">
        <f>+U77+U43</f>
        <v>64</v>
      </c>
      <c r="V919" s="1255">
        <f>+V77+V43</f>
        <v>64</v>
      </c>
      <c r="W919" s="752">
        <f t="shared" si="1437"/>
        <v>64</v>
      </c>
      <c r="X919" s="1253">
        <f>+X77+X43</f>
        <v>63</v>
      </c>
      <c r="Y919" s="1253">
        <f>+Y77+Y43</f>
        <v>63</v>
      </c>
      <c r="Z919" s="1253">
        <f>+Z77+Z43</f>
        <v>65</v>
      </c>
      <c r="AA919" s="1253">
        <f>+AA77+AA43</f>
        <v>67</v>
      </c>
      <c r="AB919" s="752">
        <f t="shared" si="1438"/>
        <v>67</v>
      </c>
      <c r="AC919" s="750">
        <f>+AC77+AC43</f>
        <v>68</v>
      </c>
      <c r="AD919" s="750">
        <f>+AD77+AD43</f>
        <v>68</v>
      </c>
      <c r="AE919" s="750">
        <f>+AE77+AE43</f>
        <v>60</v>
      </c>
      <c r="AF919" s="751">
        <f>+AF77+AF43</f>
        <v>60</v>
      </c>
      <c r="AG919" s="752">
        <f t="shared" si="1439"/>
        <v>60</v>
      </c>
      <c r="AH919" s="750">
        <f>+AH77+AH43</f>
        <v>62</v>
      </c>
      <c r="AI919" s="750">
        <f>+AI77+AI43</f>
        <v>63</v>
      </c>
      <c r="AJ919" s="750">
        <f>+AJ77+AJ43</f>
        <v>63</v>
      </c>
      <c r="AK919" s="751">
        <f>+AK77+AK43</f>
        <v>62</v>
      </c>
      <c r="AL919" s="752">
        <f t="shared" si="1440"/>
        <v>62</v>
      </c>
      <c r="AM919" s="750">
        <f>+AM77+AM43</f>
        <v>62</v>
      </c>
      <c r="AN919" s="750">
        <f>+AN77+AN43</f>
        <v>66</v>
      </c>
      <c r="AO919" s="750">
        <f>+AO77+AO43</f>
        <v>65</v>
      </c>
      <c r="AP919" s="751">
        <f>+AP77+AP43</f>
        <v>68</v>
      </c>
      <c r="AQ919" s="752">
        <f t="shared" si="1441"/>
        <v>68</v>
      </c>
      <c r="AR919" s="750">
        <f>+AR77+AR43</f>
        <v>71</v>
      </c>
      <c r="AS919" s="750">
        <f>+AS77+AS43</f>
        <v>72</v>
      </c>
      <c r="AT919" s="750">
        <f>+AT77+AT43</f>
        <v>71</v>
      </c>
      <c r="AU919" s="751">
        <f>+AU77+AU43</f>
        <v>72</v>
      </c>
      <c r="AV919" s="752">
        <f t="shared" si="1442"/>
        <v>72</v>
      </c>
      <c r="AW919" s="750">
        <f>+AW77+AW43</f>
        <v>72</v>
      </c>
      <c r="AX919" s="750">
        <f>+AX77+AX43</f>
        <v>73</v>
      </c>
      <c r="AY919" s="750">
        <f>+AY77+AY43</f>
        <v>74</v>
      </c>
      <c r="AZ919" s="758">
        <f>+AZ77+AZ43</f>
        <v>75</v>
      </c>
      <c r="BA919" s="752">
        <f t="shared" si="1443"/>
        <v>75</v>
      </c>
      <c r="BB919" s="750">
        <f>+BB77+BB43</f>
        <v>75</v>
      </c>
      <c r="BC919" s="750">
        <f>+BC77+BC43</f>
        <v>77</v>
      </c>
      <c r="BD919" s="750">
        <f>+BD77+BD43</f>
        <v>76</v>
      </c>
      <c r="BE919" s="751">
        <f>+BE77+BE43</f>
        <v>76</v>
      </c>
      <c r="BF919" s="752">
        <f t="shared" si="1444"/>
        <v>76</v>
      </c>
      <c r="BG919" s="750">
        <f>+BG77+BG43</f>
        <v>78</v>
      </c>
      <c r="BH919" s="750">
        <f>+BH77+BH43</f>
        <v>78</v>
      </c>
      <c r="BI919" s="750">
        <f>+BI77+BI43</f>
        <v>77</v>
      </c>
      <c r="BJ919" s="751">
        <f>+BJ77+BJ43</f>
        <v>79</v>
      </c>
      <c r="BK919" s="752">
        <f t="shared" si="1445"/>
        <v>79</v>
      </c>
      <c r="BL919" s="750">
        <f>+BL77+BL43</f>
        <v>79</v>
      </c>
      <c r="BM919" s="750">
        <f>+BM77+BM43</f>
        <v>79</v>
      </c>
      <c r="BN919" s="750">
        <f>+BN77+BN43</f>
        <v>78</v>
      </c>
      <c r="BO919" s="750">
        <f>+BO77+BO43</f>
        <v>78</v>
      </c>
      <c r="BP919" s="752">
        <f t="shared" si="1446"/>
        <v>78</v>
      </c>
      <c r="BQ919" s="750"/>
      <c r="BR919" s="750"/>
      <c r="BS919" s="750"/>
      <c r="BT919" s="750"/>
      <c r="BU919" s="752"/>
      <c r="BV919" s="750"/>
      <c r="BW919" s="750"/>
      <c r="BX919" s="750"/>
      <c r="BY919" s="750"/>
      <c r="BZ919" s="752"/>
      <c r="CA919" s="750"/>
      <c r="CB919" s="750"/>
      <c r="CC919" s="750"/>
      <c r="CD919" s="750"/>
      <c r="CE919" s="752"/>
      <c r="CF919" s="750"/>
      <c r="CG919" s="750"/>
      <c r="CH919" s="750"/>
      <c r="CI919" s="750"/>
      <c r="CJ919" s="752"/>
      <c r="CK919" s="3540"/>
      <c r="CL919" s="750"/>
      <c r="CM919" s="750"/>
      <c r="CN919" s="750"/>
      <c r="CO919" s="752"/>
      <c r="CP919" s="3540"/>
      <c r="CQ919" s="750"/>
      <c r="CR919" s="750"/>
      <c r="CS919" s="750"/>
      <c r="CT919" s="752"/>
      <c r="CU919" s="752"/>
      <c r="CV919" s="752"/>
      <c r="CW919" s="234"/>
      <c r="CX919" s="234"/>
      <c r="CY919" s="234"/>
      <c r="CZ919" s="234"/>
      <c r="DA919" s="234"/>
      <c r="DB919" s="217"/>
      <c r="DC919" s="212"/>
      <c r="DD919" s="234"/>
    </row>
    <row r="920" spans="1:108" s="207" customFormat="1" hidden="1" outlineLevel="1" x14ac:dyDescent="0.2">
      <c r="A920" s="1264" t="s">
        <v>323</v>
      </c>
      <c r="B920" s="1240"/>
      <c r="C920" s="1241"/>
      <c r="D920" s="750"/>
      <c r="E920" s="750"/>
      <c r="F920" s="750"/>
      <c r="G920" s="758"/>
      <c r="H920" s="752"/>
      <c r="I920" s="756">
        <f>47+14</f>
        <v>61</v>
      </c>
      <c r="J920" s="753">
        <f>47+14</f>
        <v>61</v>
      </c>
      <c r="K920" s="753">
        <f>48+17</f>
        <v>65</v>
      </c>
      <c r="L920" s="756">
        <f>48+17</f>
        <v>65</v>
      </c>
      <c r="M920" s="752">
        <f t="shared" si="1435"/>
        <v>65</v>
      </c>
      <c r="N920" s="753">
        <f>49+17</f>
        <v>66</v>
      </c>
      <c r="O920" s="753">
        <f>48+17</f>
        <v>65</v>
      </c>
      <c r="P920" s="1253">
        <f>+P215+P182</f>
        <v>64</v>
      </c>
      <c r="Q920" s="1254">
        <f>+Q215+Q182</f>
        <v>63</v>
      </c>
      <c r="R920" s="752">
        <f t="shared" si="1436"/>
        <v>63</v>
      </c>
      <c r="S920" s="1253">
        <f>+S215+S182</f>
        <v>64</v>
      </c>
      <c r="T920" s="1253">
        <f>+T215+T182</f>
        <v>62</v>
      </c>
      <c r="U920" s="1253">
        <f>+U215+U182</f>
        <v>62</v>
      </c>
      <c r="V920" s="1255">
        <f>+V215+V182</f>
        <v>62</v>
      </c>
      <c r="W920" s="752">
        <f t="shared" si="1437"/>
        <v>62</v>
      </c>
      <c r="X920" s="1253">
        <f>+X215+X182</f>
        <v>62</v>
      </c>
      <c r="Y920" s="1253">
        <f>+Y215+Y182</f>
        <v>65</v>
      </c>
      <c r="Z920" s="1253">
        <f>+Z215+Z182</f>
        <v>65</v>
      </c>
      <c r="AA920" s="1253">
        <f>+AA215+AA182</f>
        <v>65</v>
      </c>
      <c r="AB920" s="752">
        <f t="shared" si="1438"/>
        <v>65</v>
      </c>
      <c r="AC920" s="750">
        <f>+AC215+AC182</f>
        <v>66</v>
      </c>
      <c r="AD920" s="750">
        <f>+AD215+AD182</f>
        <v>67</v>
      </c>
      <c r="AE920" s="750">
        <f>+AE215+AE182</f>
        <v>64</v>
      </c>
      <c r="AF920" s="751">
        <f>+AF215+AF182</f>
        <v>64</v>
      </c>
      <c r="AG920" s="752">
        <f t="shared" si="1439"/>
        <v>64</v>
      </c>
      <c r="AH920" s="750">
        <f>+AH215+AH182</f>
        <v>63</v>
      </c>
      <c r="AI920" s="750">
        <f>+AI215+AI182</f>
        <v>66</v>
      </c>
      <c r="AJ920" s="750">
        <f>+AJ215+AJ182</f>
        <v>69</v>
      </c>
      <c r="AK920" s="751">
        <f>+AK215+AK182</f>
        <v>68</v>
      </c>
      <c r="AL920" s="752">
        <f t="shared" si="1440"/>
        <v>68</v>
      </c>
      <c r="AM920" s="750">
        <f>+AM215+AM182</f>
        <v>70</v>
      </c>
      <c r="AN920" s="750">
        <f>+AN215+AN182</f>
        <v>69</v>
      </c>
      <c r="AO920" s="750">
        <f>+AO215+AO182</f>
        <v>72</v>
      </c>
      <c r="AP920" s="751">
        <f>+AP215+AP182</f>
        <v>68</v>
      </c>
      <c r="AQ920" s="752">
        <f t="shared" si="1441"/>
        <v>68</v>
      </c>
      <c r="AR920" s="750">
        <f>+AR215+AR182</f>
        <v>66</v>
      </c>
      <c r="AS920" s="750">
        <f>+AS215+AS182</f>
        <v>62</v>
      </c>
      <c r="AT920" s="750">
        <f>+AT215+AT182</f>
        <v>63</v>
      </c>
      <c r="AU920" s="751">
        <f>+AU215+AU182</f>
        <v>63</v>
      </c>
      <c r="AV920" s="752">
        <f t="shared" si="1442"/>
        <v>63</v>
      </c>
      <c r="AW920" s="750">
        <f>+AW215+AW182</f>
        <v>64</v>
      </c>
      <c r="AX920" s="750">
        <f>+AX215+AX182</f>
        <v>65</v>
      </c>
      <c r="AY920" s="750">
        <f>+AY215+AY182</f>
        <v>63</v>
      </c>
      <c r="AZ920" s="758">
        <f>+AZ215+AZ182</f>
        <v>62</v>
      </c>
      <c r="BA920" s="752">
        <f t="shared" si="1443"/>
        <v>62</v>
      </c>
      <c r="BB920" s="750">
        <f>+BB215+BB182</f>
        <v>64</v>
      </c>
      <c r="BC920" s="750">
        <f>+BC215+BC182</f>
        <v>64</v>
      </c>
      <c r="BD920" s="750">
        <f>+BD215+BD182</f>
        <v>65</v>
      </c>
      <c r="BE920" s="751">
        <f>+BE215+BE182</f>
        <v>59</v>
      </c>
      <c r="BF920" s="752">
        <f t="shared" si="1444"/>
        <v>59</v>
      </c>
      <c r="BG920" s="750">
        <f>+BG215+BG182</f>
        <v>61</v>
      </c>
      <c r="BH920" s="750">
        <f>+BH215+BH182</f>
        <v>62</v>
      </c>
      <c r="BI920" s="750">
        <f>+BI215+BI182</f>
        <v>64</v>
      </c>
      <c r="BJ920" s="751">
        <f>+BJ215+BJ182</f>
        <v>65</v>
      </c>
      <c r="BK920" s="752">
        <f t="shared" si="1445"/>
        <v>65</v>
      </c>
      <c r="BL920" s="750">
        <f>+BL215+BL182</f>
        <v>65</v>
      </c>
      <c r="BM920" s="750">
        <f>+BM215+BM182</f>
        <v>66</v>
      </c>
      <c r="BN920" s="750">
        <f>+BN215+BN182</f>
        <v>68</v>
      </c>
      <c r="BO920" s="750">
        <f>+BO215+BO182</f>
        <v>69</v>
      </c>
      <c r="BP920" s="752">
        <f t="shared" si="1446"/>
        <v>69</v>
      </c>
      <c r="BQ920" s="750"/>
      <c r="BR920" s="750"/>
      <c r="BS920" s="750"/>
      <c r="BT920" s="750"/>
      <c r="BU920" s="752"/>
      <c r="BV920" s="750"/>
      <c r="BW920" s="750"/>
      <c r="BX920" s="750"/>
      <c r="BY920" s="750"/>
      <c r="BZ920" s="752"/>
      <c r="CA920" s="750"/>
      <c r="CB920" s="750"/>
      <c r="CC920" s="750"/>
      <c r="CD920" s="750"/>
      <c r="CE920" s="752"/>
      <c r="CF920" s="750"/>
      <c r="CG920" s="750"/>
      <c r="CH920" s="750"/>
      <c r="CI920" s="750"/>
      <c r="CJ920" s="752"/>
      <c r="CK920" s="3540"/>
      <c r="CL920" s="750"/>
      <c r="CM920" s="750"/>
      <c r="CN920" s="750"/>
      <c r="CO920" s="752"/>
      <c r="CP920" s="3540"/>
      <c r="CQ920" s="750"/>
      <c r="CR920" s="750"/>
      <c r="CS920" s="750"/>
      <c r="CT920" s="752"/>
      <c r="CU920" s="752"/>
      <c r="CV920" s="752"/>
      <c r="CW920" s="234"/>
      <c r="CX920" s="234"/>
      <c r="CY920" s="234"/>
      <c r="CZ920" s="234"/>
      <c r="DA920" s="234"/>
      <c r="DB920" s="217"/>
      <c r="DC920" s="212"/>
      <c r="DD920" s="234"/>
    </row>
    <row r="921" spans="1:108" s="207" customFormat="1" hidden="1" outlineLevel="1" x14ac:dyDescent="0.2">
      <c r="A921" s="1264" t="s">
        <v>324</v>
      </c>
      <c r="B921" s="1240"/>
      <c r="C921" s="1241"/>
      <c r="D921" s="750"/>
      <c r="E921" s="750"/>
      <c r="F921" s="750"/>
      <c r="G921" s="758"/>
      <c r="H921" s="752"/>
      <c r="I921" s="750"/>
      <c r="J921" s="750"/>
      <c r="K921" s="750"/>
      <c r="L921" s="750"/>
      <c r="M921" s="752">
        <f t="shared" si="1435"/>
        <v>0</v>
      </c>
      <c r="N921" s="753">
        <f>49+17</f>
        <v>66</v>
      </c>
      <c r="O921" s="753">
        <f>48+17</f>
        <v>65</v>
      </c>
      <c r="P921" s="1253">
        <v>0</v>
      </c>
      <c r="Q921" s="1254">
        <v>0</v>
      </c>
      <c r="R921" s="752">
        <f t="shared" si="1436"/>
        <v>0</v>
      </c>
      <c r="S921" s="1254">
        <v>0</v>
      </c>
      <c r="T921" s="1254">
        <v>0</v>
      </c>
      <c r="U921" s="1254">
        <v>0</v>
      </c>
      <c r="V921" s="1254">
        <v>0</v>
      </c>
      <c r="W921" s="752">
        <f t="shared" si="1437"/>
        <v>0</v>
      </c>
      <c r="X921" s="1254">
        <v>0</v>
      </c>
      <c r="Y921" s="1254">
        <v>0</v>
      </c>
      <c r="Z921" s="1254">
        <v>0</v>
      </c>
      <c r="AA921" s="1254">
        <v>0</v>
      </c>
      <c r="AB921" s="752">
        <f t="shared" si="1438"/>
        <v>0</v>
      </c>
      <c r="AC921" s="1254">
        <v>0</v>
      </c>
      <c r="AD921" s="1254">
        <v>0</v>
      </c>
      <c r="AE921" s="1254">
        <v>0</v>
      </c>
      <c r="AF921" s="1254">
        <v>0</v>
      </c>
      <c r="AG921" s="752">
        <f t="shared" si="1439"/>
        <v>0</v>
      </c>
      <c r="AH921" s="1254">
        <v>0</v>
      </c>
      <c r="AI921" s="1254">
        <v>0</v>
      </c>
      <c r="AJ921" s="1254">
        <v>0</v>
      </c>
      <c r="AK921" s="1254">
        <v>0</v>
      </c>
      <c r="AL921" s="752">
        <f t="shared" si="1440"/>
        <v>0</v>
      </c>
      <c r="AM921" s="1254">
        <v>0</v>
      </c>
      <c r="AN921" s="1254">
        <v>0</v>
      </c>
      <c r="AO921" s="1254">
        <v>0</v>
      </c>
      <c r="AP921" s="1254">
        <v>0</v>
      </c>
      <c r="AQ921" s="752">
        <f t="shared" si="1441"/>
        <v>0</v>
      </c>
      <c r="AR921" s="1254">
        <v>0</v>
      </c>
      <c r="AS921" s="1254">
        <v>0</v>
      </c>
      <c r="AT921" s="1254">
        <v>0</v>
      </c>
      <c r="AU921" s="1254">
        <v>0</v>
      </c>
      <c r="AV921" s="752">
        <f t="shared" si="1442"/>
        <v>0</v>
      </c>
      <c r="AW921" s="1254">
        <v>0</v>
      </c>
      <c r="AX921" s="1254">
        <v>0</v>
      </c>
      <c r="AY921" s="1254">
        <v>0</v>
      </c>
      <c r="AZ921" s="1254">
        <v>0</v>
      </c>
      <c r="BA921" s="752">
        <f t="shared" si="1443"/>
        <v>0</v>
      </c>
      <c r="BB921" s="1254">
        <v>0</v>
      </c>
      <c r="BC921" s="1254">
        <v>0</v>
      </c>
      <c r="BD921" s="1254">
        <v>0</v>
      </c>
      <c r="BE921" s="1254">
        <v>0</v>
      </c>
      <c r="BF921" s="752">
        <f t="shared" si="1444"/>
        <v>0</v>
      </c>
      <c r="BG921" s="1254">
        <v>0</v>
      </c>
      <c r="BH921" s="1254">
        <v>0</v>
      </c>
      <c r="BI921" s="1254">
        <v>0</v>
      </c>
      <c r="BJ921" s="1254">
        <v>0</v>
      </c>
      <c r="BK921" s="752">
        <f t="shared" si="1445"/>
        <v>0</v>
      </c>
      <c r="BL921" s="1254">
        <v>0</v>
      </c>
      <c r="BM921" s="1254">
        <v>0</v>
      </c>
      <c r="BN921" s="1254">
        <v>0</v>
      </c>
      <c r="BO921" s="1254">
        <v>0</v>
      </c>
      <c r="BP921" s="752">
        <f t="shared" si="1446"/>
        <v>0</v>
      </c>
      <c r="BQ921" s="750"/>
      <c r="BR921" s="750"/>
      <c r="BS921" s="750"/>
      <c r="BT921" s="750"/>
      <c r="BU921" s="752"/>
      <c r="BV921" s="750"/>
      <c r="BW921" s="750"/>
      <c r="BX921" s="750"/>
      <c r="BY921" s="750"/>
      <c r="BZ921" s="752"/>
      <c r="CA921" s="750"/>
      <c r="CB921" s="750"/>
      <c r="CC921" s="750"/>
      <c r="CD921" s="750"/>
      <c r="CE921" s="752"/>
      <c r="CF921" s="750"/>
      <c r="CG921" s="750"/>
      <c r="CH921" s="750"/>
      <c r="CI921" s="750"/>
      <c r="CJ921" s="752"/>
      <c r="CK921" s="3540"/>
      <c r="CL921" s="750"/>
      <c r="CM921" s="750"/>
      <c r="CN921" s="750"/>
      <c r="CO921" s="752"/>
      <c r="CP921" s="3540"/>
      <c r="CQ921" s="750"/>
      <c r="CR921" s="750"/>
      <c r="CS921" s="750"/>
      <c r="CT921" s="752"/>
      <c r="CU921" s="752"/>
      <c r="CV921" s="752"/>
      <c r="CW921" s="234"/>
      <c r="CX921" s="234"/>
      <c r="CY921" s="234"/>
      <c r="CZ921" s="234"/>
      <c r="DA921" s="234"/>
      <c r="DB921" s="217"/>
      <c r="DC921" s="212"/>
      <c r="DD921" s="234"/>
    </row>
    <row r="922" spans="1:108" s="207" customFormat="1" hidden="1" outlineLevel="1" x14ac:dyDescent="0.2">
      <c r="A922" s="1264" t="s">
        <v>325</v>
      </c>
      <c r="B922" s="1240"/>
      <c r="C922" s="1241"/>
      <c r="D922" s="750"/>
      <c r="E922" s="750"/>
      <c r="F922" s="750"/>
      <c r="G922" s="758"/>
      <c r="H922" s="752"/>
      <c r="I922" s="750"/>
      <c r="J922" s="750"/>
      <c r="K922" s="750"/>
      <c r="L922" s="750"/>
      <c r="M922" s="752">
        <f t="shared" si="1435"/>
        <v>0</v>
      </c>
      <c r="N922" s="753">
        <f>49+17</f>
        <v>66</v>
      </c>
      <c r="O922" s="753">
        <f>48+17</f>
        <v>65</v>
      </c>
      <c r="P922" s="1253">
        <f>+P82+P49</f>
        <v>0</v>
      </c>
      <c r="Q922" s="1254">
        <f>+Q82+Q49</f>
        <v>0</v>
      </c>
      <c r="R922" s="752">
        <f t="shared" si="1436"/>
        <v>0</v>
      </c>
      <c r="S922" s="1253">
        <f>+S82+S49</f>
        <v>0</v>
      </c>
      <c r="T922" s="1253">
        <f>+T82+T49</f>
        <v>0</v>
      </c>
      <c r="U922" s="1253">
        <f>+U82+U49</f>
        <v>0</v>
      </c>
      <c r="V922" s="1255">
        <f>+V82+V49</f>
        <v>0</v>
      </c>
      <c r="W922" s="752">
        <f t="shared" si="1437"/>
        <v>0</v>
      </c>
      <c r="X922" s="1253">
        <f>+X82+X49</f>
        <v>0</v>
      </c>
      <c r="Y922" s="1253">
        <f>+Y82+Y49</f>
        <v>0</v>
      </c>
      <c r="Z922" s="1253">
        <f>+Z82+Z49</f>
        <v>0</v>
      </c>
      <c r="AA922" s="1253">
        <f>+AA82+AA49</f>
        <v>0</v>
      </c>
      <c r="AB922" s="752">
        <f t="shared" si="1438"/>
        <v>0</v>
      </c>
      <c r="AC922" s="750">
        <f>+AC82+AC49</f>
        <v>0</v>
      </c>
      <c r="AD922" s="750">
        <f>+AD82+AD49</f>
        <v>0</v>
      </c>
      <c r="AE922" s="750">
        <f>+AE82+AE49</f>
        <v>0</v>
      </c>
      <c r="AF922" s="751">
        <f>+AF82+AF49</f>
        <v>0</v>
      </c>
      <c r="AG922" s="752">
        <f t="shared" si="1439"/>
        <v>0</v>
      </c>
      <c r="AH922" s="750">
        <f>+AH82+AH49</f>
        <v>0</v>
      </c>
      <c r="AI922" s="750">
        <f>+AI82+AI49</f>
        <v>0</v>
      </c>
      <c r="AJ922" s="750">
        <f>+AJ82+AJ49</f>
        <v>0</v>
      </c>
      <c r="AK922" s="751">
        <f>+AK82+AK49</f>
        <v>0</v>
      </c>
      <c r="AL922" s="752">
        <f t="shared" si="1440"/>
        <v>0</v>
      </c>
      <c r="AM922" s="750">
        <f>+AM82+AM49</f>
        <v>0</v>
      </c>
      <c r="AN922" s="750">
        <f>+AN82+AN49</f>
        <v>0</v>
      </c>
      <c r="AO922" s="750">
        <f>+AO82+AO49</f>
        <v>0</v>
      </c>
      <c r="AP922" s="751">
        <f>+AP82+AP49</f>
        <v>0</v>
      </c>
      <c r="AQ922" s="752">
        <f t="shared" si="1441"/>
        <v>0</v>
      </c>
      <c r="AR922" s="750">
        <f>+AR82+AR49</f>
        <v>0</v>
      </c>
      <c r="AS922" s="750">
        <f>+AS82+AS49</f>
        <v>0</v>
      </c>
      <c r="AT922" s="750">
        <f>+AT82+AT49</f>
        <v>0</v>
      </c>
      <c r="AU922" s="751">
        <f>+AU82+AU49</f>
        <v>0</v>
      </c>
      <c r="AV922" s="752">
        <f t="shared" si="1442"/>
        <v>0</v>
      </c>
      <c r="AW922" s="750">
        <f>+AW82+AW49</f>
        <v>0</v>
      </c>
      <c r="AX922" s="750">
        <f>+AX82+AX49</f>
        <v>0</v>
      </c>
      <c r="AY922" s="750">
        <f>+AY82+AY49</f>
        <v>0</v>
      </c>
      <c r="AZ922" s="758">
        <f>+AZ82+AZ49</f>
        <v>0</v>
      </c>
      <c r="BA922" s="752">
        <f t="shared" si="1443"/>
        <v>0</v>
      </c>
      <c r="BB922" s="750">
        <f>+BB82+BB49</f>
        <v>0</v>
      </c>
      <c r="BC922" s="750">
        <f>+BC82+BC49</f>
        <v>0</v>
      </c>
      <c r="BD922" s="750">
        <f>+BD82+BD49</f>
        <v>0</v>
      </c>
      <c r="BE922" s="751">
        <f>+BE82+BE49</f>
        <v>1</v>
      </c>
      <c r="BF922" s="752">
        <f t="shared" si="1444"/>
        <v>1</v>
      </c>
      <c r="BG922" s="750">
        <f>+BG82+BG49</f>
        <v>1</v>
      </c>
      <c r="BH922" s="750">
        <f>+BH82+BH49</f>
        <v>1</v>
      </c>
      <c r="BI922" s="750">
        <f>+BI82+BI49</f>
        <v>0</v>
      </c>
      <c r="BJ922" s="751">
        <f>+BJ82+BJ49</f>
        <v>0</v>
      </c>
      <c r="BK922" s="752">
        <f t="shared" si="1445"/>
        <v>0</v>
      </c>
      <c r="BL922" s="750">
        <f>+BL82+BL49</f>
        <v>0</v>
      </c>
      <c r="BM922" s="750">
        <f>+BM82+BM49</f>
        <v>0</v>
      </c>
      <c r="BN922" s="750">
        <f>+BN82+BN49</f>
        <v>0</v>
      </c>
      <c r="BO922" s="750">
        <f>+BO82+BO49</f>
        <v>0</v>
      </c>
      <c r="BP922" s="752">
        <f t="shared" si="1446"/>
        <v>0</v>
      </c>
      <c r="BQ922" s="750"/>
      <c r="BR922" s="750"/>
      <c r="BS922" s="750"/>
      <c r="BT922" s="750"/>
      <c r="BU922" s="752"/>
      <c r="BV922" s="750"/>
      <c r="BW922" s="750"/>
      <c r="BX922" s="750"/>
      <c r="BY922" s="750"/>
      <c r="BZ922" s="752"/>
      <c r="CA922" s="750"/>
      <c r="CB922" s="750"/>
      <c r="CC922" s="750"/>
      <c r="CD922" s="750"/>
      <c r="CE922" s="752"/>
      <c r="CF922" s="750"/>
      <c r="CG922" s="750"/>
      <c r="CH922" s="750"/>
      <c r="CI922" s="750"/>
      <c r="CJ922" s="752"/>
      <c r="CK922" s="3540"/>
      <c r="CL922" s="750"/>
      <c r="CM922" s="750"/>
      <c r="CN922" s="750"/>
      <c r="CO922" s="752"/>
      <c r="CP922" s="3540"/>
      <c r="CQ922" s="750"/>
      <c r="CR922" s="750"/>
      <c r="CS922" s="750"/>
      <c r="CT922" s="752"/>
      <c r="CU922" s="752"/>
      <c r="CV922" s="752"/>
      <c r="CW922" s="234"/>
      <c r="CX922" s="234"/>
      <c r="CY922" s="234"/>
      <c r="CZ922" s="234"/>
      <c r="DA922" s="234"/>
      <c r="DB922" s="217"/>
      <c r="DC922" s="212"/>
      <c r="DD922" s="234"/>
    </row>
    <row r="923" spans="1:108" s="207" customFormat="1" hidden="1" outlineLevel="1" x14ac:dyDescent="0.2">
      <c r="A923" s="1264" t="s">
        <v>132</v>
      </c>
      <c r="B923" s="1240"/>
      <c r="C923" s="1241"/>
      <c r="D923" s="750"/>
      <c r="E923" s="750"/>
      <c r="F923" s="750"/>
      <c r="G923" s="758"/>
      <c r="H923" s="752"/>
      <c r="I923" s="756">
        <f>5+57</f>
        <v>62</v>
      </c>
      <c r="J923" s="753">
        <f>5+65</f>
        <v>70</v>
      </c>
      <c r="K923" s="753">
        <f>5+124</f>
        <v>129</v>
      </c>
      <c r="L923" s="756">
        <f>5+128</f>
        <v>133</v>
      </c>
      <c r="M923" s="752">
        <f t="shared" si="1435"/>
        <v>133</v>
      </c>
      <c r="N923" s="753">
        <f>5+132</f>
        <v>137</v>
      </c>
      <c r="O923" s="753">
        <f>4+134</f>
        <v>138</v>
      </c>
      <c r="P923" s="1253">
        <f>+P228+P195</f>
        <v>143</v>
      </c>
      <c r="Q923" s="1254">
        <f>+Q228+Q195</f>
        <v>146</v>
      </c>
      <c r="R923" s="752">
        <f t="shared" si="1436"/>
        <v>146</v>
      </c>
      <c r="S923" s="1253">
        <f>+S228+S195</f>
        <v>150</v>
      </c>
      <c r="T923" s="1253">
        <f>+T228+T195</f>
        <v>171</v>
      </c>
      <c r="U923" s="1253">
        <f>+U228+U195</f>
        <v>180</v>
      </c>
      <c r="V923" s="1255">
        <f>+V228+V195</f>
        <v>192</v>
      </c>
      <c r="W923" s="752">
        <f t="shared" si="1437"/>
        <v>192</v>
      </c>
      <c r="X923" s="1253">
        <f>+X228+X195</f>
        <v>202</v>
      </c>
      <c r="Y923" s="1253">
        <f>+Y228+Y195</f>
        <v>206</v>
      </c>
      <c r="Z923" s="1253">
        <f>+Z228+Z195</f>
        <v>203</v>
      </c>
      <c r="AA923" s="1253">
        <f>+AA228+AA195</f>
        <v>4</v>
      </c>
      <c r="AB923" s="752">
        <f t="shared" si="1438"/>
        <v>4</v>
      </c>
      <c r="AC923" s="750">
        <f>+AC228+AC195</f>
        <v>4</v>
      </c>
      <c r="AD923" s="750">
        <f>+AD228+AD195</f>
        <v>4</v>
      </c>
      <c r="AE923" s="750">
        <f>+AE228+AE195</f>
        <v>4</v>
      </c>
      <c r="AF923" s="751">
        <f>+AF228+AF195</f>
        <v>3</v>
      </c>
      <c r="AG923" s="752">
        <f t="shared" si="1439"/>
        <v>3</v>
      </c>
      <c r="AH923" s="750">
        <f>+AH228+AH195</f>
        <v>2</v>
      </c>
      <c r="AI923" s="750">
        <f>+AI228+AI195</f>
        <v>2</v>
      </c>
      <c r="AJ923" s="750">
        <f>+AJ228+AJ195</f>
        <v>2</v>
      </c>
      <c r="AK923" s="751">
        <f>+AK228+AK195</f>
        <v>2</v>
      </c>
      <c r="AL923" s="752">
        <f t="shared" si="1440"/>
        <v>2</v>
      </c>
      <c r="AM923" s="750">
        <f>+AM228+AM195</f>
        <v>2</v>
      </c>
      <c r="AN923" s="750">
        <f>+AN228+AN195</f>
        <v>2</v>
      </c>
      <c r="AO923" s="750">
        <f>+AO228+AO195</f>
        <v>2</v>
      </c>
      <c r="AP923" s="751">
        <f>+AP228+AP195</f>
        <v>2</v>
      </c>
      <c r="AQ923" s="752">
        <f t="shared" si="1441"/>
        <v>2</v>
      </c>
      <c r="AR923" s="750">
        <f>+AR228+AR195</f>
        <v>0</v>
      </c>
      <c r="AS923" s="750">
        <f>+AS228+AS195</f>
        <v>0</v>
      </c>
      <c r="AT923" s="750">
        <f>+AT228+AT195</f>
        <v>0</v>
      </c>
      <c r="AU923" s="751">
        <f>+AU228+AU195</f>
        <v>0</v>
      </c>
      <c r="AV923" s="752">
        <f t="shared" si="1442"/>
        <v>0</v>
      </c>
      <c r="AW923" s="750">
        <f>+AW228+AW195</f>
        <v>0</v>
      </c>
      <c r="AX923" s="750">
        <f>+AX228+AX195</f>
        <v>0</v>
      </c>
      <c r="AY923" s="750">
        <f>+AY228+AY195</f>
        <v>0</v>
      </c>
      <c r="AZ923" s="758">
        <f>+AZ228+AZ195</f>
        <v>0</v>
      </c>
      <c r="BA923" s="752">
        <f t="shared" si="1443"/>
        <v>0</v>
      </c>
      <c r="BB923" s="750">
        <f>+BB228+BB195</f>
        <v>0</v>
      </c>
      <c r="BC923" s="750">
        <f>+BC228+BC195</f>
        <v>0</v>
      </c>
      <c r="BD923" s="750">
        <f>+BD228+BD195</f>
        <v>0</v>
      </c>
      <c r="BE923" s="751">
        <f>+BE228+BE195</f>
        <v>0</v>
      </c>
      <c r="BF923" s="752">
        <f t="shared" si="1444"/>
        <v>0</v>
      </c>
      <c r="BG923" s="750">
        <f>+BG228+BG195</f>
        <v>0</v>
      </c>
      <c r="BH923" s="750">
        <f>+BH228+BH195</f>
        <v>0</v>
      </c>
      <c r="BI923" s="750">
        <f>+BI228+BI195</f>
        <v>0</v>
      </c>
      <c r="BJ923" s="751">
        <f>+BJ228+BJ195</f>
        <v>0</v>
      </c>
      <c r="BK923" s="752">
        <f t="shared" si="1445"/>
        <v>0</v>
      </c>
      <c r="BL923" s="750">
        <f>+BL228+BL195</f>
        <v>0</v>
      </c>
      <c r="BM923" s="750">
        <f>+BM228+BM195</f>
        <v>0</v>
      </c>
      <c r="BN923" s="750">
        <f>+BN228+BN195</f>
        <v>0</v>
      </c>
      <c r="BO923" s="750">
        <f>+BO228+BO195</f>
        <v>0</v>
      </c>
      <c r="BP923" s="752">
        <f t="shared" si="1446"/>
        <v>0</v>
      </c>
      <c r="BQ923" s="750"/>
      <c r="BR923" s="750"/>
      <c r="BS923" s="750"/>
      <c r="BT923" s="750"/>
      <c r="BU923" s="752"/>
      <c r="BV923" s="750"/>
      <c r="BW923" s="750"/>
      <c r="BX923" s="750"/>
      <c r="BY923" s="750"/>
      <c r="BZ923" s="752"/>
      <c r="CA923" s="750"/>
      <c r="CB923" s="750"/>
      <c r="CC923" s="750"/>
      <c r="CD923" s="750"/>
      <c r="CE923" s="752"/>
      <c r="CF923" s="750"/>
      <c r="CG923" s="750"/>
      <c r="CH923" s="750"/>
      <c r="CI923" s="750"/>
      <c r="CJ923" s="752"/>
      <c r="CK923" s="3540"/>
      <c r="CL923" s="750"/>
      <c r="CM923" s="750"/>
      <c r="CN923" s="750"/>
      <c r="CO923" s="752"/>
      <c r="CP923" s="3540"/>
      <c r="CQ923" s="750"/>
      <c r="CR923" s="750"/>
      <c r="CS923" s="750"/>
      <c r="CT923" s="752"/>
      <c r="CU923" s="752"/>
      <c r="CV923" s="752"/>
      <c r="CW923" s="234"/>
      <c r="CX923" s="234"/>
      <c r="CY923" s="234"/>
      <c r="CZ923" s="234"/>
      <c r="DA923" s="234"/>
      <c r="DB923" s="217"/>
      <c r="DC923" s="212"/>
      <c r="DD923" s="234"/>
    </row>
    <row r="924" spans="1:108" s="207" customFormat="1" hidden="1" outlineLevel="1" x14ac:dyDescent="0.2">
      <c r="A924" s="1264" t="s">
        <v>133</v>
      </c>
      <c r="B924" s="1240"/>
      <c r="C924" s="1241"/>
      <c r="D924" s="750"/>
      <c r="E924" s="750"/>
      <c r="F924" s="750"/>
      <c r="G924" s="758"/>
      <c r="H924" s="752"/>
      <c r="I924" s="756">
        <f>254-I925+245</f>
        <v>457</v>
      </c>
      <c r="J924" s="753">
        <f>256-J925+253</f>
        <v>465</v>
      </c>
      <c r="K924" s="753">
        <f>261-K925+259</f>
        <v>475</v>
      </c>
      <c r="L924" s="756">
        <f>261-L925+267</f>
        <v>483</v>
      </c>
      <c r="M924" s="752">
        <f t="shared" si="1435"/>
        <v>483</v>
      </c>
      <c r="N924" s="753">
        <f>263-N925+275</f>
        <v>493</v>
      </c>
      <c r="O924" s="753">
        <f>264+280-O925</f>
        <v>498</v>
      </c>
      <c r="P924" s="1253">
        <f>+P84+P51</f>
        <v>504</v>
      </c>
      <c r="Q924" s="1254">
        <f>+Q84+Q51</f>
        <v>515</v>
      </c>
      <c r="R924" s="752">
        <f t="shared" si="1436"/>
        <v>515</v>
      </c>
      <c r="S924" s="1253">
        <f>+S84+S51</f>
        <v>520</v>
      </c>
      <c r="T924" s="1253">
        <f>+T84+T51</f>
        <v>527</v>
      </c>
      <c r="U924" s="1253">
        <f>+U84+U51</f>
        <v>534</v>
      </c>
      <c r="V924" s="1255">
        <f>+V84+V51</f>
        <v>539</v>
      </c>
      <c r="W924" s="752">
        <f t="shared" si="1437"/>
        <v>539</v>
      </c>
      <c r="X924" s="1253">
        <f>+X84+X51</f>
        <v>551</v>
      </c>
      <c r="Y924" s="1253">
        <f>+Y84+Y51</f>
        <v>560</v>
      </c>
      <c r="Z924" s="1253">
        <f>+Z84+Z51</f>
        <v>566</v>
      </c>
      <c r="AA924" s="1253">
        <f>+AA84+AA51</f>
        <v>574</v>
      </c>
      <c r="AB924" s="752">
        <f t="shared" si="1438"/>
        <v>574</v>
      </c>
      <c r="AC924" s="750">
        <f>+AC84+AC51</f>
        <v>579</v>
      </c>
      <c r="AD924" s="750">
        <f>+AD84+AD51</f>
        <v>583</v>
      </c>
      <c r="AE924" s="750">
        <f>+AE84+AE51</f>
        <v>593</v>
      </c>
      <c r="AF924" s="751">
        <f>+AF84+AF51</f>
        <v>602</v>
      </c>
      <c r="AG924" s="752">
        <f t="shared" si="1439"/>
        <v>602</v>
      </c>
      <c r="AH924" s="750">
        <f>+AH84+AH51</f>
        <v>606</v>
      </c>
      <c r="AI924" s="750">
        <f>+AI84+AI51</f>
        <v>613</v>
      </c>
      <c r="AJ924" s="750">
        <f>+AJ84+AJ51</f>
        <v>620</v>
      </c>
      <c r="AK924" s="751">
        <f>+AK84+AK51</f>
        <v>629</v>
      </c>
      <c r="AL924" s="752">
        <f t="shared" si="1440"/>
        <v>629</v>
      </c>
      <c r="AM924" s="750">
        <f>+AM84+AM51</f>
        <v>636</v>
      </c>
      <c r="AN924" s="750">
        <f>+AN84+AN51</f>
        <v>647</v>
      </c>
      <c r="AO924" s="750">
        <f>+AO84+AO51</f>
        <v>659</v>
      </c>
      <c r="AP924" s="751">
        <f>+AP84+AP51</f>
        <v>673</v>
      </c>
      <c r="AQ924" s="752">
        <f t="shared" si="1441"/>
        <v>673</v>
      </c>
      <c r="AR924" s="750">
        <f>+AR84+AR51</f>
        <v>677</v>
      </c>
      <c r="AS924" s="750">
        <f>+AS84+AS51</f>
        <v>688</v>
      </c>
      <c r="AT924" s="750">
        <f>+AT84+AT51</f>
        <v>695</v>
      </c>
      <c r="AU924" s="751">
        <f>+AU84+AU51</f>
        <v>708</v>
      </c>
      <c r="AV924" s="752">
        <f t="shared" si="1442"/>
        <v>708</v>
      </c>
      <c r="AW924" s="750">
        <f>+AW84+AW51</f>
        <v>718</v>
      </c>
      <c r="AX924" s="750">
        <f>+AX84+AX51</f>
        <v>727</v>
      </c>
      <c r="AY924" s="750">
        <f>+AY84+AY51</f>
        <v>741</v>
      </c>
      <c r="AZ924" s="758">
        <f>+AZ84+AZ51</f>
        <v>748</v>
      </c>
      <c r="BA924" s="752">
        <f t="shared" si="1443"/>
        <v>748</v>
      </c>
      <c r="BB924" s="750">
        <f>+BB84+BB51</f>
        <v>755</v>
      </c>
      <c r="BC924" s="750">
        <f>+BC84+BC51</f>
        <v>760</v>
      </c>
      <c r="BD924" s="750">
        <f>+BD84+BD51</f>
        <v>765</v>
      </c>
      <c r="BE924" s="751">
        <f>+BE84+BE51</f>
        <v>775</v>
      </c>
      <c r="BF924" s="752">
        <f t="shared" si="1444"/>
        <v>775</v>
      </c>
      <c r="BG924" s="750">
        <f>+BG84+BG51</f>
        <v>778</v>
      </c>
      <c r="BH924" s="750">
        <f>+BH84+BH51</f>
        <v>781</v>
      </c>
      <c r="BI924" s="750">
        <f>+BI84+BI51</f>
        <v>782</v>
      </c>
      <c r="BJ924" s="751">
        <f>+BJ84+BJ51</f>
        <v>785</v>
      </c>
      <c r="BK924" s="752">
        <f t="shared" si="1445"/>
        <v>785</v>
      </c>
      <c r="BL924" s="750">
        <f>+BL84+BL51</f>
        <v>787</v>
      </c>
      <c r="BM924" s="750">
        <f>+BM84+BM51</f>
        <v>789</v>
      </c>
      <c r="BN924" s="750">
        <f>+BN84+BN51</f>
        <v>793</v>
      </c>
      <c r="BO924" s="750">
        <f>+BO84+BO51</f>
        <v>798</v>
      </c>
      <c r="BP924" s="752">
        <f t="shared" si="1446"/>
        <v>798</v>
      </c>
      <c r="BQ924" s="750"/>
      <c r="BR924" s="750"/>
      <c r="BS924" s="750"/>
      <c r="BT924" s="750"/>
      <c r="BU924" s="752"/>
      <c r="BV924" s="750"/>
      <c r="BW924" s="750"/>
      <c r="BX924" s="750"/>
      <c r="BY924" s="750"/>
      <c r="BZ924" s="752"/>
      <c r="CA924" s="750"/>
      <c r="CB924" s="750"/>
      <c r="CC924" s="750"/>
      <c r="CD924" s="750"/>
      <c r="CE924" s="752"/>
      <c r="CF924" s="750"/>
      <c r="CG924" s="750"/>
      <c r="CH924" s="750"/>
      <c r="CI924" s="750"/>
      <c r="CJ924" s="752"/>
      <c r="CK924" s="3540"/>
      <c r="CL924" s="750"/>
      <c r="CM924" s="750"/>
      <c r="CN924" s="750"/>
      <c r="CO924" s="752"/>
      <c r="CP924" s="3540"/>
      <c r="CQ924" s="750"/>
      <c r="CR924" s="750"/>
      <c r="CS924" s="750"/>
      <c r="CT924" s="752"/>
      <c r="CU924" s="752"/>
      <c r="CV924" s="752"/>
      <c r="CW924" s="234"/>
      <c r="CX924" s="234"/>
      <c r="CY924" s="234"/>
      <c r="CZ924" s="234"/>
      <c r="DA924" s="234"/>
      <c r="DB924" s="217"/>
      <c r="DC924" s="212"/>
      <c r="DD924" s="234"/>
    </row>
    <row r="925" spans="1:108" s="207" customFormat="1" hidden="1" outlineLevel="1" x14ac:dyDescent="0.2">
      <c r="A925" s="1264" t="s">
        <v>134</v>
      </c>
      <c r="B925" s="1240"/>
      <c r="C925" s="1241"/>
      <c r="D925" s="750"/>
      <c r="E925" s="750"/>
      <c r="F925" s="750"/>
      <c r="G925" s="758"/>
      <c r="H925" s="752"/>
      <c r="I925" s="756">
        <f>25+17</f>
        <v>42</v>
      </c>
      <c r="J925" s="753">
        <f>25+19</f>
        <v>44</v>
      </c>
      <c r="K925" s="753">
        <f>25+20</f>
        <v>45</v>
      </c>
      <c r="L925" s="756">
        <f>25+20</f>
        <v>45</v>
      </c>
      <c r="M925" s="752">
        <f t="shared" si="1435"/>
        <v>45</v>
      </c>
      <c r="N925" s="753">
        <f>25+20</f>
        <v>45</v>
      </c>
      <c r="O925" s="753">
        <f>25+21</f>
        <v>46</v>
      </c>
      <c r="P925" s="1253">
        <f>+P222+P189</f>
        <v>49</v>
      </c>
      <c r="Q925" s="1254">
        <f>+Q222+Q189</f>
        <v>48</v>
      </c>
      <c r="R925" s="752">
        <f t="shared" si="1436"/>
        <v>48</v>
      </c>
      <c r="S925" s="1253">
        <f>+S222+S189</f>
        <v>49</v>
      </c>
      <c r="T925" s="1253">
        <f>+T222+T189</f>
        <v>48</v>
      </c>
      <c r="U925" s="1253">
        <f>+U222+U189</f>
        <v>50</v>
      </c>
      <c r="V925" s="1255">
        <f>+V222+V189</f>
        <v>53</v>
      </c>
      <c r="W925" s="752">
        <f t="shared" si="1437"/>
        <v>53</v>
      </c>
      <c r="X925" s="1253">
        <f>+X222+X189</f>
        <v>55</v>
      </c>
      <c r="Y925" s="1253">
        <f>+Y222+Y189</f>
        <v>55</v>
      </c>
      <c r="Z925" s="1253">
        <f>+Z222+Z189</f>
        <v>58</v>
      </c>
      <c r="AA925" s="1253">
        <f>+AA222+AA189</f>
        <v>61</v>
      </c>
      <c r="AB925" s="752">
        <f t="shared" si="1438"/>
        <v>61</v>
      </c>
      <c r="AC925" s="750">
        <f>+AC222+AC189</f>
        <v>63</v>
      </c>
      <c r="AD925" s="750">
        <f>+AD222+AD189</f>
        <v>64</v>
      </c>
      <c r="AE925" s="750">
        <f>+AE222+AE189</f>
        <v>65</v>
      </c>
      <c r="AF925" s="751">
        <f>+AF222+AF189</f>
        <v>68</v>
      </c>
      <c r="AG925" s="752">
        <f t="shared" si="1439"/>
        <v>68</v>
      </c>
      <c r="AH925" s="750">
        <f>+AH222+AH189</f>
        <v>71</v>
      </c>
      <c r="AI925" s="750">
        <f>+AI222+AI189</f>
        <v>77</v>
      </c>
      <c r="AJ925" s="750">
        <f>+AJ222+AJ189</f>
        <v>81</v>
      </c>
      <c r="AK925" s="751">
        <f>+AK222+AK189</f>
        <v>83</v>
      </c>
      <c r="AL925" s="752">
        <f t="shared" si="1440"/>
        <v>83</v>
      </c>
      <c r="AM925" s="750">
        <f>+AM222+AM189</f>
        <v>82</v>
      </c>
      <c r="AN925" s="750">
        <f>+AN222+AN189</f>
        <v>72</v>
      </c>
      <c r="AO925" s="750">
        <f>+AO222+AO189</f>
        <v>72</v>
      </c>
      <c r="AP925" s="751">
        <f>+AP222+AP189</f>
        <v>74</v>
      </c>
      <c r="AQ925" s="752">
        <f t="shared" si="1441"/>
        <v>74</v>
      </c>
      <c r="AR925" s="750">
        <f>+AR222+AR189</f>
        <v>73</v>
      </c>
      <c r="AS925" s="750">
        <f>+AS222+AS189</f>
        <v>77</v>
      </c>
      <c r="AT925" s="750">
        <f>+AT222+AT189</f>
        <v>78</v>
      </c>
      <c r="AU925" s="751">
        <f>+AU222+AU189</f>
        <v>79</v>
      </c>
      <c r="AV925" s="752">
        <f t="shared" si="1442"/>
        <v>79</v>
      </c>
      <c r="AW925" s="750">
        <f>+AW222+AW189</f>
        <v>82</v>
      </c>
      <c r="AX925" s="750">
        <f>+AX222+AX189</f>
        <v>84</v>
      </c>
      <c r="AY925" s="750">
        <f>+AY222+AY189</f>
        <v>85</v>
      </c>
      <c r="AZ925" s="758">
        <f>+AZ222+AZ189</f>
        <v>87</v>
      </c>
      <c r="BA925" s="752">
        <f t="shared" si="1443"/>
        <v>87</v>
      </c>
      <c r="BB925" s="750">
        <f>+BB222+BB189</f>
        <v>90</v>
      </c>
      <c r="BC925" s="750">
        <f>+BC222+BC189</f>
        <v>93</v>
      </c>
      <c r="BD925" s="750">
        <f>+BD222+BD189</f>
        <v>94</v>
      </c>
      <c r="BE925" s="751">
        <f>+BE222+BE189</f>
        <v>94</v>
      </c>
      <c r="BF925" s="752">
        <f t="shared" si="1444"/>
        <v>94</v>
      </c>
      <c r="BG925" s="750">
        <f>+BG222+BG189</f>
        <v>98</v>
      </c>
      <c r="BH925" s="750">
        <f>+BH222+BH189</f>
        <v>99</v>
      </c>
      <c r="BI925" s="750">
        <f>+BI222+BI189</f>
        <v>100</v>
      </c>
      <c r="BJ925" s="751">
        <f>+BJ222+BJ189</f>
        <v>104</v>
      </c>
      <c r="BK925" s="752">
        <f t="shared" si="1445"/>
        <v>104</v>
      </c>
      <c r="BL925" s="750">
        <f>+BL222+BL189</f>
        <v>107</v>
      </c>
      <c r="BM925" s="750">
        <f>+BM222+BM189</f>
        <v>105</v>
      </c>
      <c r="BN925" s="750">
        <f>+BN222+BN189</f>
        <v>106</v>
      </c>
      <c r="BO925" s="750">
        <f>+BO222+BO189</f>
        <v>109</v>
      </c>
      <c r="BP925" s="752">
        <f t="shared" si="1446"/>
        <v>109</v>
      </c>
      <c r="BQ925" s="750"/>
      <c r="BR925" s="750"/>
      <c r="BS925" s="750"/>
      <c r="BT925" s="750"/>
      <c r="BU925" s="752"/>
      <c r="BV925" s="750"/>
      <c r="BW925" s="750"/>
      <c r="BX925" s="750"/>
      <c r="BY925" s="750"/>
      <c r="BZ925" s="752"/>
      <c r="CA925" s="750"/>
      <c r="CB925" s="750"/>
      <c r="CC925" s="750"/>
      <c r="CD925" s="750"/>
      <c r="CE925" s="752"/>
      <c r="CF925" s="750"/>
      <c r="CG925" s="750"/>
      <c r="CH925" s="750"/>
      <c r="CI925" s="750"/>
      <c r="CJ925" s="752"/>
      <c r="CK925" s="3540"/>
      <c r="CL925" s="750"/>
      <c r="CM925" s="750"/>
      <c r="CN925" s="750"/>
      <c r="CO925" s="752"/>
      <c r="CP925" s="3540"/>
      <c r="CQ925" s="750"/>
      <c r="CR925" s="750"/>
      <c r="CS925" s="750"/>
      <c r="CT925" s="752"/>
      <c r="CU925" s="752"/>
      <c r="CV925" s="752"/>
      <c r="CW925" s="234"/>
      <c r="CX925" s="234"/>
      <c r="CY925" s="234"/>
      <c r="CZ925" s="234"/>
      <c r="DA925" s="234"/>
      <c r="DB925" s="217"/>
      <c r="DC925" s="212"/>
      <c r="DD925" s="234"/>
    </row>
    <row r="926" spans="1:108" s="207" customFormat="1" hidden="1" outlineLevel="1" x14ac:dyDescent="0.2">
      <c r="A926" s="1264" t="s">
        <v>135</v>
      </c>
      <c r="B926" s="1240"/>
      <c r="C926" s="1241"/>
      <c r="D926" s="750"/>
      <c r="E926" s="750"/>
      <c r="F926" s="750"/>
      <c r="G926" s="758"/>
      <c r="H926" s="752"/>
      <c r="I926" s="756">
        <f>52+395</f>
        <v>447</v>
      </c>
      <c r="J926" s="753">
        <f>52+412</f>
        <v>464</v>
      </c>
      <c r="K926" s="753">
        <f>52+419</f>
        <v>471</v>
      </c>
      <c r="L926" s="756">
        <f>1+478</f>
        <v>479</v>
      </c>
      <c r="M926" s="752">
        <f t="shared" si="1435"/>
        <v>479</v>
      </c>
      <c r="N926" s="753">
        <f>1+485</f>
        <v>486</v>
      </c>
      <c r="O926" s="753">
        <f>1+492</f>
        <v>493</v>
      </c>
      <c r="P926" s="1253">
        <f>+P85+P54</f>
        <v>499</v>
      </c>
      <c r="Q926" s="1254">
        <f>+Q85+Q54</f>
        <v>502</v>
      </c>
      <c r="R926" s="752">
        <f t="shared" si="1436"/>
        <v>502</v>
      </c>
      <c r="S926" s="1253">
        <f>+S85+S54</f>
        <v>506</v>
      </c>
      <c r="T926" s="1253">
        <f>+T85+T54</f>
        <v>514</v>
      </c>
      <c r="U926" s="1253">
        <f>+U85+U54</f>
        <v>517</v>
      </c>
      <c r="V926" s="1255">
        <f>+V85+V54</f>
        <v>522</v>
      </c>
      <c r="W926" s="752">
        <f t="shared" si="1437"/>
        <v>522</v>
      </c>
      <c r="X926" s="1253">
        <f>+X85+X54</f>
        <v>525</v>
      </c>
      <c r="Y926" s="1253">
        <f>+Y85+Y54</f>
        <v>526</v>
      </c>
      <c r="Z926" s="1253">
        <f>+Z85+Z54</f>
        <v>520</v>
      </c>
      <c r="AA926" s="1253">
        <f>+AA85+AA54</f>
        <v>519</v>
      </c>
      <c r="AB926" s="752">
        <f t="shared" si="1438"/>
        <v>519</v>
      </c>
      <c r="AC926" s="750">
        <f>+AC85+AC54</f>
        <v>513</v>
      </c>
      <c r="AD926" s="750">
        <f>+AD85+AD54</f>
        <v>511</v>
      </c>
      <c r="AE926" s="750">
        <f>+AE85+AE54</f>
        <v>516</v>
      </c>
      <c r="AF926" s="751">
        <f>+AF85+AF54</f>
        <v>519</v>
      </c>
      <c r="AG926" s="752">
        <f t="shared" si="1439"/>
        <v>519</v>
      </c>
      <c r="AH926" s="750">
        <f>+AH85+AH54</f>
        <v>519</v>
      </c>
      <c r="AI926" s="750">
        <f>+AI85+AI54</f>
        <v>516</v>
      </c>
      <c r="AJ926" s="750">
        <f>+AJ85+AJ54</f>
        <v>515</v>
      </c>
      <c r="AK926" s="751">
        <f>+AK85+AK54</f>
        <v>513</v>
      </c>
      <c r="AL926" s="752">
        <f t="shared" si="1440"/>
        <v>513</v>
      </c>
      <c r="AM926" s="750">
        <f>+AM85+AM54</f>
        <v>508</v>
      </c>
      <c r="AN926" s="750">
        <f>+AN85+AN54</f>
        <v>513</v>
      </c>
      <c r="AO926" s="750">
        <f>+AO85+AO54</f>
        <v>521</v>
      </c>
      <c r="AP926" s="751">
        <f>+AP85+AP54</f>
        <v>529</v>
      </c>
      <c r="AQ926" s="752">
        <f t="shared" si="1441"/>
        <v>529</v>
      </c>
      <c r="AR926" s="750">
        <f>+AR85+AR54</f>
        <v>527</v>
      </c>
      <c r="AS926" s="750">
        <f>+AS85+AS54</f>
        <v>536</v>
      </c>
      <c r="AT926" s="750">
        <f>+AT85+AT54</f>
        <v>547</v>
      </c>
      <c r="AU926" s="751">
        <f>+AU85+AU54</f>
        <v>560</v>
      </c>
      <c r="AV926" s="752">
        <f t="shared" si="1442"/>
        <v>560</v>
      </c>
      <c r="AW926" s="750">
        <f>+AW85+AW54</f>
        <v>574</v>
      </c>
      <c r="AX926" s="750">
        <f>+AX85+AX54</f>
        <v>589</v>
      </c>
      <c r="AY926" s="750">
        <f>+AY85+AY54</f>
        <v>609</v>
      </c>
      <c r="AZ926" s="758">
        <f>+AZ85+AZ54</f>
        <v>620</v>
      </c>
      <c r="BA926" s="752">
        <f t="shared" si="1443"/>
        <v>620</v>
      </c>
      <c r="BB926" s="750">
        <f>+BB85+BB54</f>
        <v>632</v>
      </c>
      <c r="BC926" s="750">
        <f>+BC85+BC54</f>
        <v>641</v>
      </c>
      <c r="BD926" s="750">
        <f>+BD85+BD54</f>
        <v>647</v>
      </c>
      <c r="BE926" s="751">
        <f>+BE85+BE54</f>
        <v>648</v>
      </c>
      <c r="BF926" s="752">
        <f t="shared" si="1444"/>
        <v>648</v>
      </c>
      <c r="BG926" s="750">
        <f>+BG85+BG54</f>
        <v>648</v>
      </c>
      <c r="BH926" s="750">
        <f>+BH85+BH54</f>
        <v>652</v>
      </c>
      <c r="BI926" s="750">
        <f>+BI85+BI54</f>
        <v>663</v>
      </c>
      <c r="BJ926" s="751">
        <f>+BJ85+BJ54</f>
        <v>667</v>
      </c>
      <c r="BK926" s="752">
        <f t="shared" si="1445"/>
        <v>667</v>
      </c>
      <c r="BL926" s="750">
        <f>+BL85+BL54</f>
        <v>670</v>
      </c>
      <c r="BM926" s="750">
        <f>+BM85+BM54</f>
        <v>673</v>
      </c>
      <c r="BN926" s="750">
        <f>+BN85+BN54</f>
        <v>677</v>
      </c>
      <c r="BO926" s="750">
        <f>+BO85+BO54</f>
        <v>678</v>
      </c>
      <c r="BP926" s="752">
        <f t="shared" si="1446"/>
        <v>678</v>
      </c>
      <c r="BQ926" s="750"/>
      <c r="BR926" s="750"/>
      <c r="BS926" s="750"/>
      <c r="BT926" s="750"/>
      <c r="BU926" s="752"/>
      <c r="BV926" s="750"/>
      <c r="BW926" s="750"/>
      <c r="BX926" s="750"/>
      <c r="BY926" s="750"/>
      <c r="BZ926" s="752"/>
      <c r="CA926" s="750"/>
      <c r="CB926" s="750"/>
      <c r="CC926" s="750"/>
      <c r="CD926" s="750"/>
      <c r="CE926" s="752"/>
      <c r="CF926" s="750"/>
      <c r="CG926" s="750"/>
      <c r="CH926" s="750"/>
      <c r="CI926" s="750"/>
      <c r="CJ926" s="752"/>
      <c r="CK926" s="3540"/>
      <c r="CL926" s="750"/>
      <c r="CM926" s="750"/>
      <c r="CN926" s="750"/>
      <c r="CO926" s="752"/>
      <c r="CP926" s="3533"/>
      <c r="CQ926" s="758"/>
      <c r="CR926" s="758"/>
      <c r="CS926" s="751"/>
      <c r="CT926" s="752"/>
      <c r="CU926" s="752"/>
      <c r="CV926" s="752"/>
      <c r="CW926" s="234"/>
      <c r="CX926" s="234"/>
      <c r="CY926" s="234"/>
      <c r="CZ926" s="234"/>
      <c r="DA926" s="234"/>
      <c r="DB926" s="217"/>
      <c r="DC926" s="212"/>
      <c r="DD926" s="234"/>
    </row>
    <row r="927" spans="1:108" s="207" customFormat="1" hidden="1" outlineLevel="1" x14ac:dyDescent="0.2">
      <c r="A927" s="1264" t="s">
        <v>1933</v>
      </c>
      <c r="B927" s="1240"/>
      <c r="C927" s="1241"/>
      <c r="D927" s="750"/>
      <c r="E927" s="750"/>
      <c r="F927" s="750"/>
      <c r="G927" s="758"/>
      <c r="H927" s="752"/>
      <c r="I927" s="756">
        <f>10+52</f>
        <v>62</v>
      </c>
      <c r="J927" s="753">
        <f>10+56</f>
        <v>66</v>
      </c>
      <c r="K927" s="753">
        <f>11+61</f>
        <v>72</v>
      </c>
      <c r="L927" s="756">
        <f>14+66</f>
        <v>80</v>
      </c>
      <c r="M927" s="752">
        <f t="shared" si="1435"/>
        <v>80</v>
      </c>
      <c r="N927" s="753">
        <f>17+68</f>
        <v>85</v>
      </c>
      <c r="O927" s="753">
        <f>19+75</f>
        <v>94</v>
      </c>
      <c r="P927" s="1253">
        <f>+P88+P55</f>
        <v>93</v>
      </c>
      <c r="Q927" s="1254">
        <f>+Q88+Q55</f>
        <v>95</v>
      </c>
      <c r="R927" s="752">
        <f t="shared" si="1436"/>
        <v>95</v>
      </c>
      <c r="S927" s="1253">
        <f>+S88+S55</f>
        <v>95</v>
      </c>
      <c r="T927" s="1253">
        <f>+T88+T55</f>
        <v>99</v>
      </c>
      <c r="U927" s="1253">
        <f>+U88+U55</f>
        <v>102</v>
      </c>
      <c r="V927" s="1255">
        <f>+V88+V55</f>
        <v>106</v>
      </c>
      <c r="W927" s="752">
        <f t="shared" si="1437"/>
        <v>106</v>
      </c>
      <c r="X927" s="1253">
        <f>+X88+X55</f>
        <v>108</v>
      </c>
      <c r="Y927" s="1253">
        <f>+Y88+Y55</f>
        <v>112</v>
      </c>
      <c r="Z927" s="1253">
        <f>+Z88+Z55</f>
        <v>118</v>
      </c>
      <c r="AA927" s="1253">
        <f>+AA88+AA55</f>
        <v>123</v>
      </c>
      <c r="AB927" s="752">
        <f t="shared" si="1438"/>
        <v>123</v>
      </c>
      <c r="AC927" s="750">
        <f>+AC88+AC55</f>
        <v>124</v>
      </c>
      <c r="AD927" s="750">
        <f>+AD88+AD55</f>
        <v>132</v>
      </c>
      <c r="AE927" s="750">
        <f>+AE88+AE55</f>
        <v>133</v>
      </c>
      <c r="AF927" s="751">
        <f>+AF88+AF55</f>
        <v>135</v>
      </c>
      <c r="AG927" s="752">
        <f t="shared" si="1439"/>
        <v>135</v>
      </c>
      <c r="AH927" s="750">
        <f>+AH88+AH55</f>
        <v>140</v>
      </c>
      <c r="AI927" s="750">
        <f>+AI88+AI55</f>
        <v>143</v>
      </c>
      <c r="AJ927" s="750">
        <f>+AJ88+AJ55</f>
        <v>147</v>
      </c>
      <c r="AK927" s="751">
        <f>+AK88+AK55</f>
        <v>151</v>
      </c>
      <c r="AL927" s="752">
        <f t="shared" si="1440"/>
        <v>151</v>
      </c>
      <c r="AM927" s="750">
        <f>+AM88+AM55</f>
        <v>155</v>
      </c>
      <c r="AN927" s="750">
        <f>+AN88+AN55</f>
        <v>161</v>
      </c>
      <c r="AO927" s="750">
        <f>+AO88+AO55</f>
        <v>166</v>
      </c>
      <c r="AP927" s="751">
        <f>+AP88+AP55</f>
        <v>176</v>
      </c>
      <c r="AQ927" s="752">
        <f t="shared" si="1441"/>
        <v>176</v>
      </c>
      <c r="AR927" s="750">
        <f>+AR88+AR55</f>
        <v>186</v>
      </c>
      <c r="AS927" s="750">
        <f>+AS88+AS55</f>
        <v>195</v>
      </c>
      <c r="AT927" s="750">
        <f>+AT88+AT55</f>
        <v>198</v>
      </c>
      <c r="AU927" s="751">
        <f>+AU88+AU55</f>
        <v>207</v>
      </c>
      <c r="AV927" s="752">
        <f t="shared" si="1442"/>
        <v>207</v>
      </c>
      <c r="AW927" s="750">
        <f>+AW88+AW55</f>
        <v>217</v>
      </c>
      <c r="AX927" s="750">
        <f>+AX88+AX55</f>
        <v>226</v>
      </c>
      <c r="AY927" s="750">
        <f>+AY88+AY55</f>
        <v>241</v>
      </c>
      <c r="AZ927" s="758">
        <f>+AZ88+AZ55</f>
        <v>255</v>
      </c>
      <c r="BA927" s="752">
        <f t="shared" si="1443"/>
        <v>255</v>
      </c>
      <c r="BB927" s="750">
        <f>+BB88+BB55</f>
        <v>260</v>
      </c>
      <c r="BC927" s="750">
        <f>+BC88+BC55</f>
        <v>267</v>
      </c>
      <c r="BD927" s="750">
        <f>+BD88+BD55</f>
        <v>271</v>
      </c>
      <c r="BE927" s="751">
        <f>+BE88+BE55</f>
        <v>273</v>
      </c>
      <c r="BF927" s="752">
        <f t="shared" si="1444"/>
        <v>273</v>
      </c>
      <c r="BG927" s="750">
        <f>+BG88+BG55</f>
        <v>273</v>
      </c>
      <c r="BH927" s="750">
        <f>+BH88+BH55</f>
        <v>279</v>
      </c>
      <c r="BI927" s="750">
        <f>+BI88+BI55</f>
        <v>283</v>
      </c>
      <c r="BJ927" s="751">
        <f>+BJ88+BJ55</f>
        <v>285</v>
      </c>
      <c r="BK927" s="752">
        <f t="shared" si="1445"/>
        <v>285</v>
      </c>
      <c r="BL927" s="750">
        <f>+BL88+BL55</f>
        <v>288</v>
      </c>
      <c r="BM927" s="750">
        <f>+BM88+BM55</f>
        <v>291</v>
      </c>
      <c r="BN927" s="750">
        <f>+BN88+BN55</f>
        <v>296</v>
      </c>
      <c r="BO927" s="750">
        <f>+BO88+BO55</f>
        <v>297</v>
      </c>
      <c r="BP927" s="752">
        <f t="shared" si="1446"/>
        <v>297</v>
      </c>
      <c r="BQ927" s="750"/>
      <c r="BR927" s="750"/>
      <c r="BS927" s="750"/>
      <c r="BT927" s="750"/>
      <c r="BU927" s="752"/>
      <c r="BV927" s="750"/>
      <c r="BW927" s="750"/>
      <c r="BX927" s="750"/>
      <c r="BY927" s="750"/>
      <c r="BZ927" s="752"/>
      <c r="CA927" s="750"/>
      <c r="CB927" s="750"/>
      <c r="CC927" s="750"/>
      <c r="CD927" s="750"/>
      <c r="CE927" s="752"/>
      <c r="CF927" s="750"/>
      <c r="CG927" s="750"/>
      <c r="CH927" s="750"/>
      <c r="CI927" s="750"/>
      <c r="CJ927" s="752"/>
      <c r="CK927" s="3540"/>
      <c r="CL927" s="750"/>
      <c r="CM927" s="750"/>
      <c r="CN927" s="750"/>
      <c r="CO927" s="752"/>
      <c r="CP927" s="3533"/>
      <c r="CQ927" s="758"/>
      <c r="CR927" s="758"/>
      <c r="CS927" s="751"/>
      <c r="CT927" s="752"/>
      <c r="CU927" s="752"/>
      <c r="CV927" s="752"/>
      <c r="CW927" s="234"/>
      <c r="CX927" s="234"/>
      <c r="CY927" s="234"/>
      <c r="CZ927" s="234"/>
      <c r="DA927" s="234"/>
      <c r="DB927" s="217"/>
      <c r="DC927" s="212"/>
      <c r="DD927" s="234"/>
    </row>
    <row r="928" spans="1:108" s="207" customFormat="1" hidden="1" outlineLevel="1" x14ac:dyDescent="0.2">
      <c r="A928" s="1264" t="s">
        <v>1934</v>
      </c>
      <c r="B928" s="1240"/>
      <c r="C928" s="1241"/>
      <c r="D928" s="750"/>
      <c r="E928" s="750"/>
      <c r="F928" s="750"/>
      <c r="G928" s="758"/>
      <c r="H928" s="752"/>
      <c r="I928" s="756">
        <v>0</v>
      </c>
      <c r="J928" s="753">
        <v>0</v>
      </c>
      <c r="K928" s="753">
        <v>0</v>
      </c>
      <c r="L928" s="756">
        <v>0</v>
      </c>
      <c r="M928" s="752">
        <f t="shared" si="1435"/>
        <v>0</v>
      </c>
      <c r="N928" s="753">
        <v>1</v>
      </c>
      <c r="O928" s="753">
        <v>1</v>
      </c>
      <c r="P928" s="1253">
        <f>+P227+P194</f>
        <v>1</v>
      </c>
      <c r="Q928" s="1254">
        <f>+Q227+Q194</f>
        <v>1</v>
      </c>
      <c r="R928" s="752">
        <f t="shared" si="1436"/>
        <v>1</v>
      </c>
      <c r="S928" s="1253">
        <f>+S227+S194</f>
        <v>1</v>
      </c>
      <c r="T928" s="1253">
        <f>+T227+T194</f>
        <v>1</v>
      </c>
      <c r="U928" s="1253">
        <f>+U227+U194</f>
        <v>1</v>
      </c>
      <c r="V928" s="1255">
        <f>+V227+V194</f>
        <v>1</v>
      </c>
      <c r="W928" s="752">
        <f t="shared" si="1437"/>
        <v>1</v>
      </c>
      <c r="X928" s="1253">
        <f>+X227+X194</f>
        <v>1</v>
      </c>
      <c r="Y928" s="1253">
        <f>+Y227+Y194</f>
        <v>1</v>
      </c>
      <c r="Z928" s="1253">
        <f>+Z227+Z194</f>
        <v>1</v>
      </c>
      <c r="AA928" s="1253">
        <f>+AA227+AA194</f>
        <v>1</v>
      </c>
      <c r="AB928" s="752">
        <f t="shared" si="1438"/>
        <v>1</v>
      </c>
      <c r="AC928" s="750">
        <f>+AC227+AC194</f>
        <v>1</v>
      </c>
      <c r="AD928" s="750">
        <f>+AD227+AD194</f>
        <v>1</v>
      </c>
      <c r="AE928" s="750">
        <f>+AE227+AE194</f>
        <v>1</v>
      </c>
      <c r="AF928" s="751">
        <f>+AF227+AF194</f>
        <v>1</v>
      </c>
      <c r="AG928" s="752">
        <f t="shared" si="1439"/>
        <v>1</v>
      </c>
      <c r="AH928" s="750">
        <f>+AH227+AH194</f>
        <v>1</v>
      </c>
      <c r="AI928" s="750">
        <f>+AI227+AI194</f>
        <v>1</v>
      </c>
      <c r="AJ928" s="750">
        <f>+AJ227+AJ194</f>
        <v>1</v>
      </c>
      <c r="AK928" s="751">
        <f>+AK227+AK194</f>
        <v>1</v>
      </c>
      <c r="AL928" s="752">
        <f t="shared" si="1440"/>
        <v>1</v>
      </c>
      <c r="AM928" s="750">
        <f>+AM227+AM194</f>
        <v>1</v>
      </c>
      <c r="AN928" s="750">
        <f>+AN227+AN194</f>
        <v>1</v>
      </c>
      <c r="AO928" s="750">
        <f>+AO227+AO194</f>
        <v>1</v>
      </c>
      <c r="AP928" s="751">
        <f>+AP227+AP194</f>
        <v>1</v>
      </c>
      <c r="AQ928" s="752">
        <f t="shared" si="1441"/>
        <v>1</v>
      </c>
      <c r="AR928" s="750">
        <f>+AR227+AR194</f>
        <v>1</v>
      </c>
      <c r="AS928" s="750">
        <f>+AS227+AS194</f>
        <v>1</v>
      </c>
      <c r="AT928" s="750">
        <f>+AT227+AT194</f>
        <v>1</v>
      </c>
      <c r="AU928" s="751">
        <f>+AU227+AU194</f>
        <v>1</v>
      </c>
      <c r="AV928" s="752">
        <f t="shared" si="1442"/>
        <v>1</v>
      </c>
      <c r="AW928" s="750">
        <f>+AW227+AW194</f>
        <v>1</v>
      </c>
      <c r="AX928" s="750">
        <f>+AX227+AX194</f>
        <v>1</v>
      </c>
      <c r="AY928" s="750">
        <f>+AY227+AY194</f>
        <v>1</v>
      </c>
      <c r="AZ928" s="758">
        <f>+AZ227+AZ194</f>
        <v>1</v>
      </c>
      <c r="BA928" s="752">
        <f t="shared" si="1443"/>
        <v>1</v>
      </c>
      <c r="BB928" s="750">
        <f>+BB227+BB194</f>
        <v>1</v>
      </c>
      <c r="BC928" s="750">
        <f>+BC227+BC194</f>
        <v>1</v>
      </c>
      <c r="BD928" s="750">
        <f>+BD227+BD194</f>
        <v>1</v>
      </c>
      <c r="BE928" s="751">
        <f>+BE227+BE194</f>
        <v>1</v>
      </c>
      <c r="BF928" s="752">
        <f t="shared" si="1444"/>
        <v>1</v>
      </c>
      <c r="BG928" s="750">
        <f>+BG227+BG194</f>
        <v>1</v>
      </c>
      <c r="BH928" s="750">
        <f>+BH227+BH194</f>
        <v>1</v>
      </c>
      <c r="BI928" s="750">
        <f>+BI227+BI194</f>
        <v>2</v>
      </c>
      <c r="BJ928" s="751">
        <f>+BJ227+BJ194</f>
        <v>2</v>
      </c>
      <c r="BK928" s="752">
        <f t="shared" si="1445"/>
        <v>2</v>
      </c>
      <c r="BL928" s="750">
        <f>+BL227+BL194</f>
        <v>2</v>
      </c>
      <c r="BM928" s="750">
        <f>+BM227+BM194</f>
        <v>2</v>
      </c>
      <c r="BN928" s="750">
        <f>+BN227+BN194</f>
        <v>2</v>
      </c>
      <c r="BO928" s="750">
        <f>+BO227+BO194</f>
        <v>2</v>
      </c>
      <c r="BP928" s="752">
        <f t="shared" si="1446"/>
        <v>2</v>
      </c>
      <c r="BQ928" s="750"/>
      <c r="BR928" s="750"/>
      <c r="BS928" s="750"/>
      <c r="BT928" s="750"/>
      <c r="BU928" s="752"/>
      <c r="BV928" s="750"/>
      <c r="BW928" s="750"/>
      <c r="BX928" s="750"/>
      <c r="BY928" s="750"/>
      <c r="BZ928" s="752"/>
      <c r="CA928" s="750"/>
      <c r="CB928" s="750"/>
      <c r="CC928" s="750"/>
      <c r="CD928" s="750"/>
      <c r="CE928" s="752"/>
      <c r="CF928" s="750"/>
      <c r="CG928" s="750"/>
      <c r="CH928" s="750"/>
      <c r="CI928" s="750"/>
      <c r="CJ928" s="752"/>
      <c r="CK928" s="3540"/>
      <c r="CL928" s="750"/>
      <c r="CM928" s="750"/>
      <c r="CN928" s="750"/>
      <c r="CO928" s="752"/>
      <c r="CP928" s="3533"/>
      <c r="CQ928" s="758"/>
      <c r="CR928" s="758"/>
      <c r="CS928" s="751"/>
      <c r="CT928" s="752"/>
      <c r="CU928" s="752"/>
      <c r="CV928" s="752"/>
      <c r="CW928" s="234"/>
      <c r="CX928" s="234"/>
      <c r="CY928" s="234"/>
      <c r="CZ928" s="234"/>
      <c r="DA928" s="234"/>
      <c r="DB928" s="217"/>
      <c r="DC928" s="212"/>
      <c r="DD928" s="234"/>
    </row>
    <row r="929" spans="1:108" s="207" customFormat="1" hidden="1" outlineLevel="1" x14ac:dyDescent="0.2">
      <c r="A929" s="1264" t="s">
        <v>1935</v>
      </c>
      <c r="B929" s="1240"/>
      <c r="C929" s="1241"/>
      <c r="D929" s="750"/>
      <c r="E929" s="750"/>
      <c r="F929" s="750"/>
      <c r="G929" s="758"/>
      <c r="H929" s="752"/>
      <c r="I929" s="756">
        <f>114+223</f>
        <v>337</v>
      </c>
      <c r="J929" s="753">
        <f>116+232</f>
        <v>348</v>
      </c>
      <c r="K929" s="753">
        <f>119+238</f>
        <v>357</v>
      </c>
      <c r="L929" s="756">
        <f>119+250</f>
        <v>369</v>
      </c>
      <c r="M929" s="752">
        <f t="shared" si="1435"/>
        <v>369</v>
      </c>
      <c r="N929" s="753">
        <f>120+252</f>
        <v>372</v>
      </c>
      <c r="O929" s="753">
        <f>119+255</f>
        <v>374</v>
      </c>
      <c r="P929" s="1253">
        <f>+P86+P52</f>
        <v>387</v>
      </c>
      <c r="Q929" s="1254">
        <f>+Q86+Q52</f>
        <v>404</v>
      </c>
      <c r="R929" s="752">
        <f t="shared" si="1436"/>
        <v>404</v>
      </c>
      <c r="S929" s="1253">
        <f>+S86+S52</f>
        <v>407</v>
      </c>
      <c r="T929" s="1253">
        <f>+T86+T52</f>
        <v>411</v>
      </c>
      <c r="U929" s="1253">
        <f>+U86+U52</f>
        <v>422</v>
      </c>
      <c r="V929" s="1255">
        <f>+V86+V52</f>
        <v>430</v>
      </c>
      <c r="W929" s="752">
        <f t="shared" si="1437"/>
        <v>430</v>
      </c>
      <c r="X929" s="1253">
        <f>+X86+X52</f>
        <v>430</v>
      </c>
      <c r="Y929" s="1253">
        <f>+Y86+Y52</f>
        <v>437</v>
      </c>
      <c r="Z929" s="1253">
        <f>+Z86+Z52</f>
        <v>442</v>
      </c>
      <c r="AA929" s="1253">
        <f>+AA86+AA52</f>
        <v>448</v>
      </c>
      <c r="AB929" s="752">
        <f t="shared" si="1438"/>
        <v>448</v>
      </c>
      <c r="AC929" s="750">
        <f>+AC86+AC52</f>
        <v>452</v>
      </c>
      <c r="AD929" s="750">
        <f>+AD86+AD52</f>
        <v>458</v>
      </c>
      <c r="AE929" s="750">
        <f>+AE86+AE52</f>
        <v>464</v>
      </c>
      <c r="AF929" s="751">
        <f>+AF86+AF52</f>
        <v>472</v>
      </c>
      <c r="AG929" s="752">
        <f t="shared" si="1439"/>
        <v>472</v>
      </c>
      <c r="AH929" s="750">
        <f>+AH86+AH52</f>
        <v>478</v>
      </c>
      <c r="AI929" s="750">
        <f>+AI86+AI52</f>
        <v>482</v>
      </c>
      <c r="AJ929" s="750">
        <f>+AJ86+AJ52</f>
        <v>492</v>
      </c>
      <c r="AK929" s="751">
        <f>+AK86+AK52</f>
        <v>493</v>
      </c>
      <c r="AL929" s="752">
        <f t="shared" si="1440"/>
        <v>493</v>
      </c>
      <c r="AM929" s="750">
        <f>+AM86+AM52</f>
        <v>503</v>
      </c>
      <c r="AN929" s="750">
        <f>+AN86+AN52</f>
        <v>506</v>
      </c>
      <c r="AO929" s="750">
        <f>+AO86+AO52</f>
        <v>515</v>
      </c>
      <c r="AP929" s="751">
        <f>+AP86+AP52</f>
        <v>527</v>
      </c>
      <c r="AQ929" s="752">
        <f t="shared" si="1441"/>
        <v>527</v>
      </c>
      <c r="AR929" s="750">
        <f>+AR86+AR52</f>
        <v>528</v>
      </c>
      <c r="AS929" s="750">
        <f>+AS86+AS52</f>
        <v>533</v>
      </c>
      <c r="AT929" s="750">
        <f>+AT86+AT52</f>
        <v>540</v>
      </c>
      <c r="AU929" s="751">
        <f>+AU86+AU52</f>
        <v>554</v>
      </c>
      <c r="AV929" s="752">
        <f t="shared" si="1442"/>
        <v>554</v>
      </c>
      <c r="AW929" s="750">
        <f>+AW86+AW52</f>
        <v>557</v>
      </c>
      <c r="AX929" s="750">
        <f>+AX86+AX52</f>
        <v>566</v>
      </c>
      <c r="AY929" s="750">
        <f>+AY86+AY52</f>
        <v>582</v>
      </c>
      <c r="AZ929" s="758">
        <f>+AZ86+AZ52</f>
        <v>590</v>
      </c>
      <c r="BA929" s="752">
        <f t="shared" si="1443"/>
        <v>590</v>
      </c>
      <c r="BB929" s="750">
        <f>+BB86+BB52</f>
        <v>587</v>
      </c>
      <c r="BC929" s="750">
        <f>+BC86+BC52</f>
        <v>588</v>
      </c>
      <c r="BD929" s="750">
        <f>+BD86+BD52</f>
        <v>591</v>
      </c>
      <c r="BE929" s="751">
        <f>+BE86+BE52</f>
        <v>594</v>
      </c>
      <c r="BF929" s="752">
        <f t="shared" si="1444"/>
        <v>594</v>
      </c>
      <c r="BG929" s="750">
        <f>+BG86+BG52</f>
        <v>596</v>
      </c>
      <c r="BH929" s="750">
        <f>+BH86+BH52</f>
        <v>596</v>
      </c>
      <c r="BI929" s="750">
        <f>+BI86+BI52</f>
        <v>596</v>
      </c>
      <c r="BJ929" s="751">
        <f>+BJ86+BJ52</f>
        <v>596</v>
      </c>
      <c r="BK929" s="752">
        <f t="shared" si="1445"/>
        <v>596</v>
      </c>
      <c r="BL929" s="750">
        <f>+BL86+BL52</f>
        <v>596</v>
      </c>
      <c r="BM929" s="750">
        <f>+BM86+BM52</f>
        <v>598</v>
      </c>
      <c r="BN929" s="750">
        <f>+BN86+BN52</f>
        <v>600</v>
      </c>
      <c r="BO929" s="750">
        <f>+BO86+BO52</f>
        <v>601</v>
      </c>
      <c r="BP929" s="752">
        <f t="shared" si="1446"/>
        <v>601</v>
      </c>
      <c r="BQ929" s="750"/>
      <c r="BR929" s="750"/>
      <c r="BS929" s="750"/>
      <c r="BT929" s="750"/>
      <c r="BU929" s="752"/>
      <c r="BV929" s="750"/>
      <c r="BW929" s="750"/>
      <c r="BX929" s="750"/>
      <c r="BY929" s="750"/>
      <c r="BZ929" s="752"/>
      <c r="CA929" s="750"/>
      <c r="CB929" s="750"/>
      <c r="CC929" s="750"/>
      <c r="CD929" s="750"/>
      <c r="CE929" s="752"/>
      <c r="CF929" s="750"/>
      <c r="CG929" s="750"/>
      <c r="CH929" s="750"/>
      <c r="CI929" s="750"/>
      <c r="CJ929" s="752"/>
      <c r="CK929" s="3540"/>
      <c r="CL929" s="750"/>
      <c r="CM929" s="750"/>
      <c r="CN929" s="750"/>
      <c r="CO929" s="752"/>
      <c r="CP929" s="3533"/>
      <c r="CQ929" s="758"/>
      <c r="CR929" s="758"/>
      <c r="CS929" s="751"/>
      <c r="CT929" s="752"/>
      <c r="CU929" s="752"/>
      <c r="CV929" s="752"/>
      <c r="CW929" s="234"/>
      <c r="CX929" s="234"/>
      <c r="CY929" s="234"/>
      <c r="CZ929" s="234"/>
      <c r="DA929" s="234"/>
      <c r="DB929" s="217"/>
      <c r="DC929" s="212"/>
      <c r="DD929" s="234"/>
    </row>
    <row r="930" spans="1:108" s="207" customFormat="1" hidden="1" outlineLevel="1" x14ac:dyDescent="0.2">
      <c r="A930" s="1264" t="s">
        <v>1763</v>
      </c>
      <c r="B930" s="1240"/>
      <c r="C930" s="1241"/>
      <c r="D930" s="750"/>
      <c r="E930" s="750"/>
      <c r="F930" s="750"/>
      <c r="G930" s="758"/>
      <c r="H930" s="752"/>
      <c r="I930" s="756">
        <v>9</v>
      </c>
      <c r="J930" s="753">
        <v>10</v>
      </c>
      <c r="K930" s="753">
        <v>10</v>
      </c>
      <c r="L930" s="756">
        <v>10</v>
      </c>
      <c r="M930" s="752">
        <f t="shared" si="1435"/>
        <v>10</v>
      </c>
      <c r="N930" s="753">
        <v>10</v>
      </c>
      <c r="O930" s="753">
        <v>11</v>
      </c>
      <c r="P930" s="1253">
        <f>+P224+P191</f>
        <v>12</v>
      </c>
      <c r="Q930" s="1254">
        <f>+Q224+Q191</f>
        <v>12</v>
      </c>
      <c r="R930" s="752">
        <f t="shared" si="1436"/>
        <v>12</v>
      </c>
      <c r="S930" s="1253">
        <f>+S224+S191</f>
        <v>12</v>
      </c>
      <c r="T930" s="1253">
        <f>+T224+T191</f>
        <v>13</v>
      </c>
      <c r="U930" s="1253">
        <f>+U224+U191</f>
        <v>13</v>
      </c>
      <c r="V930" s="1255">
        <f>+V224+V191</f>
        <v>13</v>
      </c>
      <c r="W930" s="752">
        <f t="shared" si="1437"/>
        <v>13</v>
      </c>
      <c r="X930" s="1253">
        <f>+X224+X191</f>
        <v>13</v>
      </c>
      <c r="Y930" s="1253">
        <f>+Y224+Y191</f>
        <v>13</v>
      </c>
      <c r="Z930" s="1253">
        <f>+Z224+Z191</f>
        <v>14</v>
      </c>
      <c r="AA930" s="1253">
        <f>+AA224+AA191</f>
        <v>14</v>
      </c>
      <c r="AB930" s="752">
        <f t="shared" si="1438"/>
        <v>14</v>
      </c>
      <c r="AC930" s="750">
        <f>+AC224+AC191</f>
        <v>16</v>
      </c>
      <c r="AD930" s="750">
        <f>+AD224+AD191</f>
        <v>16</v>
      </c>
      <c r="AE930" s="750">
        <f>+AE224+AE191</f>
        <v>17</v>
      </c>
      <c r="AF930" s="751">
        <f>+AF224+AF191</f>
        <v>17</v>
      </c>
      <c r="AG930" s="752">
        <f t="shared" si="1439"/>
        <v>17</v>
      </c>
      <c r="AH930" s="750">
        <f>+AH224+AH191</f>
        <v>17</v>
      </c>
      <c r="AI930" s="750">
        <f>+AI224+AI191</f>
        <v>17</v>
      </c>
      <c r="AJ930" s="750">
        <f>+AJ224+AJ191</f>
        <v>18</v>
      </c>
      <c r="AK930" s="751">
        <f>+AK224+AK191</f>
        <v>17</v>
      </c>
      <c r="AL930" s="752">
        <f t="shared" si="1440"/>
        <v>17</v>
      </c>
      <c r="AM930" s="750">
        <f>+AM224+AM191</f>
        <v>17</v>
      </c>
      <c r="AN930" s="750">
        <f>+AN224+AN191</f>
        <v>18</v>
      </c>
      <c r="AO930" s="750">
        <f>+AO224+AO191</f>
        <v>18</v>
      </c>
      <c r="AP930" s="751">
        <f>+AP224+AP191</f>
        <v>18</v>
      </c>
      <c r="AQ930" s="752">
        <f t="shared" si="1441"/>
        <v>18</v>
      </c>
      <c r="AR930" s="750">
        <f>+AR224+AR191</f>
        <v>18</v>
      </c>
      <c r="AS930" s="750">
        <f>+AS224+AS191</f>
        <v>18</v>
      </c>
      <c r="AT930" s="750">
        <f>+AT224+AT191</f>
        <v>18</v>
      </c>
      <c r="AU930" s="751">
        <f>+AU224+AU191</f>
        <v>18</v>
      </c>
      <c r="AV930" s="752">
        <f t="shared" si="1442"/>
        <v>18</v>
      </c>
      <c r="AW930" s="750">
        <f>+AW224+AW191</f>
        <v>16</v>
      </c>
      <c r="AX930" s="750">
        <f>+AX224+AX191</f>
        <v>18</v>
      </c>
      <c r="AY930" s="750">
        <f>+AY224+AY191</f>
        <v>18</v>
      </c>
      <c r="AZ930" s="758">
        <f>+AZ224+AZ191</f>
        <v>17</v>
      </c>
      <c r="BA930" s="752">
        <f t="shared" si="1443"/>
        <v>17</v>
      </c>
      <c r="BB930" s="750">
        <f>+BB224+BB191</f>
        <v>17</v>
      </c>
      <c r="BC930" s="750">
        <f>+BC224+BC191</f>
        <v>17</v>
      </c>
      <c r="BD930" s="750">
        <f>+BD224+BD191</f>
        <v>18</v>
      </c>
      <c r="BE930" s="751">
        <f>+BE224+BE191</f>
        <v>18</v>
      </c>
      <c r="BF930" s="752">
        <f t="shared" si="1444"/>
        <v>18</v>
      </c>
      <c r="BG930" s="750">
        <f>+BG224+BG191</f>
        <v>18</v>
      </c>
      <c r="BH930" s="750">
        <f>+BH224+BH191</f>
        <v>18</v>
      </c>
      <c r="BI930" s="750">
        <f>+BI224+BI191</f>
        <v>18</v>
      </c>
      <c r="BJ930" s="751">
        <f>+BJ224+BJ191</f>
        <v>20</v>
      </c>
      <c r="BK930" s="752">
        <f t="shared" si="1445"/>
        <v>20</v>
      </c>
      <c r="BL930" s="750">
        <f>+BL224+BL191</f>
        <v>22</v>
      </c>
      <c r="BM930" s="750">
        <f>+BM224+BM191</f>
        <v>22</v>
      </c>
      <c r="BN930" s="750">
        <f>+BN224+BN191</f>
        <v>23</v>
      </c>
      <c r="BO930" s="750">
        <f>+BO224+BO191</f>
        <v>23</v>
      </c>
      <c r="BP930" s="752">
        <f t="shared" si="1446"/>
        <v>23</v>
      </c>
      <c r="BQ930" s="750"/>
      <c r="BR930" s="750"/>
      <c r="BS930" s="750"/>
      <c r="BT930" s="750"/>
      <c r="BU930" s="752"/>
      <c r="BV930" s="750"/>
      <c r="BW930" s="750"/>
      <c r="BX930" s="750"/>
      <c r="BY930" s="750"/>
      <c r="BZ930" s="752"/>
      <c r="CA930" s="750"/>
      <c r="CB930" s="750"/>
      <c r="CC930" s="750"/>
      <c r="CD930" s="750"/>
      <c r="CE930" s="752"/>
      <c r="CF930" s="750"/>
      <c r="CG930" s="750"/>
      <c r="CH930" s="750"/>
      <c r="CI930" s="750"/>
      <c r="CJ930" s="752"/>
      <c r="CK930" s="3540"/>
      <c r="CL930" s="750"/>
      <c r="CM930" s="750"/>
      <c r="CN930" s="750"/>
      <c r="CO930" s="752"/>
      <c r="CP930" s="3533"/>
      <c r="CQ930" s="758"/>
      <c r="CR930" s="758"/>
      <c r="CS930" s="751"/>
      <c r="CT930" s="752"/>
      <c r="CU930" s="752"/>
      <c r="CV930" s="752"/>
      <c r="CW930" s="234"/>
      <c r="CX930" s="234"/>
      <c r="CY930" s="234"/>
      <c r="CZ930" s="234"/>
      <c r="DA930" s="234"/>
      <c r="DB930" s="217"/>
      <c r="DC930" s="212"/>
      <c r="DD930" s="234"/>
    </row>
    <row r="931" spans="1:108" s="207" customFormat="1" hidden="1" outlineLevel="1" x14ac:dyDescent="0.2">
      <c r="A931" s="1264" t="s">
        <v>390</v>
      </c>
      <c r="B931" s="1240"/>
      <c r="C931" s="1241"/>
      <c r="D931" s="750"/>
      <c r="E931" s="750"/>
      <c r="F931" s="750"/>
      <c r="G931" s="758"/>
      <c r="H931" s="752"/>
      <c r="I931" s="756">
        <f>21+55</f>
        <v>76</v>
      </c>
      <c r="J931" s="753">
        <f>23+58</f>
        <v>81</v>
      </c>
      <c r="K931" s="753">
        <f>23+63</f>
        <v>86</v>
      </c>
      <c r="L931" s="756">
        <f>24+65</f>
        <v>89</v>
      </c>
      <c r="M931" s="752">
        <f t="shared" si="1435"/>
        <v>89</v>
      </c>
      <c r="N931" s="753">
        <f>25+65</f>
        <v>90</v>
      </c>
      <c r="O931" s="753">
        <f>25+67</f>
        <v>92</v>
      </c>
      <c r="P931" s="1253">
        <f>+P87+P53</f>
        <v>94</v>
      </c>
      <c r="Q931" s="1254">
        <f>+Q87+Q53</f>
        <v>98</v>
      </c>
      <c r="R931" s="752">
        <f t="shared" si="1436"/>
        <v>98</v>
      </c>
      <c r="S931" s="1253">
        <f>+S87+S53</f>
        <v>99</v>
      </c>
      <c r="T931" s="1253">
        <f>+T87+T53</f>
        <v>102</v>
      </c>
      <c r="U931" s="1253">
        <f>+U87+U53</f>
        <v>105</v>
      </c>
      <c r="V931" s="1255">
        <f>+V87+V53</f>
        <v>107</v>
      </c>
      <c r="W931" s="752">
        <f t="shared" si="1437"/>
        <v>107</v>
      </c>
      <c r="X931" s="1253">
        <f>+X87+X53</f>
        <v>108</v>
      </c>
      <c r="Y931" s="1253">
        <f>+Y87+Y53</f>
        <v>111</v>
      </c>
      <c r="Z931" s="1253">
        <f>+Z87+Z53</f>
        <v>113</v>
      </c>
      <c r="AA931" s="1253">
        <f>+AA87+AA53</f>
        <v>115</v>
      </c>
      <c r="AB931" s="752">
        <f t="shared" si="1438"/>
        <v>115</v>
      </c>
      <c r="AC931" s="750">
        <f>+AC87+AC53</f>
        <v>117</v>
      </c>
      <c r="AD931" s="750">
        <f>+AD87+AD53</f>
        <v>118</v>
      </c>
      <c r="AE931" s="750">
        <f>+AE87+AE53</f>
        <v>119</v>
      </c>
      <c r="AF931" s="751">
        <f>+AF87+AF53</f>
        <v>122</v>
      </c>
      <c r="AG931" s="752">
        <f t="shared" si="1439"/>
        <v>122</v>
      </c>
      <c r="AH931" s="750">
        <f>+AH87+AH53</f>
        <v>122</v>
      </c>
      <c r="AI931" s="750">
        <f>+AI87+AI53</f>
        <v>123</v>
      </c>
      <c r="AJ931" s="750">
        <f>+AJ87+AJ53</f>
        <v>122</v>
      </c>
      <c r="AK931" s="751">
        <f>+AK87+AK53</f>
        <v>123</v>
      </c>
      <c r="AL931" s="752">
        <f t="shared" si="1440"/>
        <v>123</v>
      </c>
      <c r="AM931" s="750">
        <f>+AM87+AM53</f>
        <v>123</v>
      </c>
      <c r="AN931" s="750">
        <f>+AN87+AN53</f>
        <v>128</v>
      </c>
      <c r="AO931" s="750">
        <f>+AO87+AO53</f>
        <v>134</v>
      </c>
      <c r="AP931" s="751">
        <f>+AP87+AP53</f>
        <v>141</v>
      </c>
      <c r="AQ931" s="752">
        <f t="shared" si="1441"/>
        <v>141</v>
      </c>
      <c r="AR931" s="750">
        <f>+AR87+AR53</f>
        <v>145</v>
      </c>
      <c r="AS931" s="750">
        <f>+AS87+AS53</f>
        <v>152</v>
      </c>
      <c r="AT931" s="750">
        <f>+AT87+AT53</f>
        <v>154</v>
      </c>
      <c r="AU931" s="751">
        <f>+AU87+AU53</f>
        <v>163</v>
      </c>
      <c r="AV931" s="752">
        <f t="shared" si="1442"/>
        <v>163</v>
      </c>
      <c r="AW931" s="750">
        <f>+AW87+AW53</f>
        <v>166</v>
      </c>
      <c r="AX931" s="750">
        <f>+AX87+AX53</f>
        <v>173</v>
      </c>
      <c r="AY931" s="750">
        <f>+AY87+AY53</f>
        <v>179</v>
      </c>
      <c r="AZ931" s="758">
        <f>+AZ87+AZ53</f>
        <v>184</v>
      </c>
      <c r="BA931" s="752">
        <f t="shared" si="1443"/>
        <v>184</v>
      </c>
      <c r="BB931" s="750">
        <f>+BB87+BB53</f>
        <v>187</v>
      </c>
      <c r="BC931" s="750">
        <f>+BC87+BC53</f>
        <v>190</v>
      </c>
      <c r="BD931" s="750">
        <f>+BD87+BD53</f>
        <v>192</v>
      </c>
      <c r="BE931" s="751">
        <f>+BE87+BE53</f>
        <v>192</v>
      </c>
      <c r="BF931" s="752">
        <f t="shared" si="1444"/>
        <v>192</v>
      </c>
      <c r="BG931" s="750">
        <f>+BG87+BG53</f>
        <v>193</v>
      </c>
      <c r="BH931" s="750">
        <f>+BH87+BH53</f>
        <v>195</v>
      </c>
      <c r="BI931" s="750">
        <f>+BI87+BI53</f>
        <v>197</v>
      </c>
      <c r="BJ931" s="751">
        <f>+BJ87+BJ53</f>
        <v>200</v>
      </c>
      <c r="BK931" s="752">
        <f t="shared" si="1445"/>
        <v>200</v>
      </c>
      <c r="BL931" s="750">
        <f>+BL87+BL53</f>
        <v>202</v>
      </c>
      <c r="BM931" s="750">
        <f>+BM87+BM53</f>
        <v>202</v>
      </c>
      <c r="BN931" s="750">
        <f>+BN87+BN53</f>
        <v>205</v>
      </c>
      <c r="BO931" s="750">
        <f>+BO87+BO53</f>
        <v>208</v>
      </c>
      <c r="BP931" s="752">
        <f t="shared" si="1446"/>
        <v>208</v>
      </c>
      <c r="BQ931" s="750"/>
      <c r="BR931" s="750"/>
      <c r="BS931" s="750"/>
      <c r="BT931" s="750"/>
      <c r="BU931" s="752"/>
      <c r="BV931" s="750"/>
      <c r="BW931" s="750"/>
      <c r="BX931" s="750"/>
      <c r="BY931" s="750"/>
      <c r="BZ931" s="752"/>
      <c r="CA931" s="750"/>
      <c r="CB931" s="750"/>
      <c r="CC931" s="750"/>
      <c r="CD931" s="750"/>
      <c r="CE931" s="752"/>
      <c r="CF931" s="750"/>
      <c r="CG931" s="750"/>
      <c r="CH931" s="750"/>
      <c r="CI931" s="750"/>
      <c r="CJ931" s="752"/>
      <c r="CK931" s="3540"/>
      <c r="CL931" s="750"/>
      <c r="CM931" s="750"/>
      <c r="CN931" s="750"/>
      <c r="CO931" s="752"/>
      <c r="CP931" s="3533"/>
      <c r="CQ931" s="758"/>
      <c r="CR931" s="758"/>
      <c r="CS931" s="751"/>
      <c r="CT931" s="752"/>
      <c r="CU931" s="752"/>
      <c r="CV931" s="752"/>
      <c r="CW931" s="234"/>
      <c r="CX931" s="234"/>
      <c r="CY931" s="234"/>
      <c r="CZ931" s="234"/>
      <c r="DA931" s="234"/>
      <c r="DB931" s="217"/>
      <c r="DC931" s="212"/>
      <c r="DD931" s="234"/>
    </row>
    <row r="932" spans="1:108" s="207" customFormat="1" hidden="1" outlineLevel="1" x14ac:dyDescent="0.2">
      <c r="A932" s="1264" t="s">
        <v>391</v>
      </c>
      <c r="B932" s="1240"/>
      <c r="C932" s="1241"/>
      <c r="D932" s="750"/>
      <c r="E932" s="750"/>
      <c r="F932" s="750"/>
      <c r="G932" s="758"/>
      <c r="H932" s="752"/>
      <c r="I932" s="756">
        <f>21+55</f>
        <v>76</v>
      </c>
      <c r="J932" s="753">
        <f>23+58</f>
        <v>81</v>
      </c>
      <c r="K932" s="753">
        <f>23+63</f>
        <v>86</v>
      </c>
      <c r="L932" s="756">
        <f>24+65</f>
        <v>89</v>
      </c>
      <c r="M932" s="752">
        <f t="shared" si="1435"/>
        <v>89</v>
      </c>
      <c r="N932" s="753">
        <f>25+65</f>
        <v>90</v>
      </c>
      <c r="O932" s="753">
        <f>25+67</f>
        <v>92</v>
      </c>
      <c r="P932" s="1253">
        <f>+P225+P192</f>
        <v>0</v>
      </c>
      <c r="Q932" s="1254">
        <f>+Q225+Q192</f>
        <v>0</v>
      </c>
      <c r="R932" s="752">
        <f t="shared" si="1436"/>
        <v>0</v>
      </c>
      <c r="S932" s="1253">
        <f>+S225+S192</f>
        <v>0</v>
      </c>
      <c r="T932" s="1253">
        <f>+T225+T192</f>
        <v>0</v>
      </c>
      <c r="U932" s="1253">
        <f>+U225+U192</f>
        <v>0</v>
      </c>
      <c r="V932" s="1255">
        <f>+V225+V192</f>
        <v>0</v>
      </c>
      <c r="W932" s="752">
        <f t="shared" si="1437"/>
        <v>0</v>
      </c>
      <c r="X932" s="1253">
        <f>+X225+X192</f>
        <v>0</v>
      </c>
      <c r="Y932" s="1253">
        <f>+Y225+Y192</f>
        <v>0</v>
      </c>
      <c r="Z932" s="1253">
        <f>+Z225+Z192</f>
        <v>0</v>
      </c>
      <c r="AA932" s="1253">
        <f>+AA225+AA192</f>
        <v>0</v>
      </c>
      <c r="AB932" s="752">
        <f t="shared" si="1438"/>
        <v>0</v>
      </c>
      <c r="AC932" s="750">
        <f>+AC225+AC192</f>
        <v>0</v>
      </c>
      <c r="AD932" s="750">
        <f>+AD225+AD192</f>
        <v>0</v>
      </c>
      <c r="AE932" s="750">
        <f>+AE225+AE192</f>
        <v>0</v>
      </c>
      <c r="AF932" s="751">
        <f>+AF225+AF192</f>
        <v>0</v>
      </c>
      <c r="AG932" s="752">
        <f t="shared" si="1439"/>
        <v>0</v>
      </c>
      <c r="AH932" s="750">
        <f>+AH225+AH192</f>
        <v>0</v>
      </c>
      <c r="AI932" s="750">
        <f>+AI225+AI192</f>
        <v>0</v>
      </c>
      <c r="AJ932" s="750">
        <f>+AJ225+AJ192</f>
        <v>0</v>
      </c>
      <c r="AK932" s="751">
        <f>+AK225+AK192</f>
        <v>0</v>
      </c>
      <c r="AL932" s="752">
        <f t="shared" si="1440"/>
        <v>0</v>
      </c>
      <c r="AM932" s="750">
        <f>+AM225+AM192</f>
        <v>0</v>
      </c>
      <c r="AN932" s="750">
        <f>+AN225+AN192</f>
        <v>0</v>
      </c>
      <c r="AO932" s="750">
        <f>+AO225+AO192</f>
        <v>0</v>
      </c>
      <c r="AP932" s="751">
        <f>+AP225+AP192</f>
        <v>0</v>
      </c>
      <c r="AQ932" s="752">
        <f t="shared" si="1441"/>
        <v>0</v>
      </c>
      <c r="AR932" s="750">
        <f>+AR225+AR192</f>
        <v>0</v>
      </c>
      <c r="AS932" s="750">
        <f>+AS225+AS192</f>
        <v>0</v>
      </c>
      <c r="AT932" s="750">
        <f>+AT225+AT192</f>
        <v>0</v>
      </c>
      <c r="AU932" s="751">
        <f>+AU225+AU192</f>
        <v>0</v>
      </c>
      <c r="AV932" s="752">
        <f t="shared" si="1442"/>
        <v>0</v>
      </c>
      <c r="AW932" s="750">
        <f>+AW225+AW192</f>
        <v>0</v>
      </c>
      <c r="AX932" s="750">
        <f>+AX225+AX192</f>
        <v>0</v>
      </c>
      <c r="AY932" s="750">
        <f>+AY225+AY192</f>
        <v>0</v>
      </c>
      <c r="AZ932" s="758">
        <f>+AZ225+AZ192</f>
        <v>0</v>
      </c>
      <c r="BA932" s="752">
        <f t="shared" si="1443"/>
        <v>0</v>
      </c>
      <c r="BB932" s="750">
        <f>+BB225+BB192</f>
        <v>0</v>
      </c>
      <c r="BC932" s="750">
        <f>+BC225+BC192</f>
        <v>0</v>
      </c>
      <c r="BD932" s="750">
        <f>+BD225+BD192</f>
        <v>0</v>
      </c>
      <c r="BE932" s="751">
        <f>+BE225+BE192</f>
        <v>1</v>
      </c>
      <c r="BF932" s="752">
        <f t="shared" si="1444"/>
        <v>1</v>
      </c>
      <c r="BG932" s="750">
        <f>+BG225+BG192</f>
        <v>1</v>
      </c>
      <c r="BH932" s="750">
        <f>+BH225+BH192</f>
        <v>1</v>
      </c>
      <c r="BI932" s="750">
        <f>+BI225+BI192</f>
        <v>1</v>
      </c>
      <c r="BJ932" s="751">
        <f>+BJ225+BJ192</f>
        <v>1</v>
      </c>
      <c r="BK932" s="752">
        <f t="shared" si="1445"/>
        <v>1</v>
      </c>
      <c r="BL932" s="750">
        <f>+BL225+BL192</f>
        <v>1</v>
      </c>
      <c r="BM932" s="750">
        <f>+BM225+BM192</f>
        <v>1</v>
      </c>
      <c r="BN932" s="750">
        <f>+BN225+BN192</f>
        <v>2</v>
      </c>
      <c r="BO932" s="750">
        <f>+BO225+BO192</f>
        <v>2</v>
      </c>
      <c r="BP932" s="752">
        <f t="shared" si="1446"/>
        <v>2</v>
      </c>
      <c r="BQ932" s="750"/>
      <c r="BR932" s="750"/>
      <c r="BS932" s="750"/>
      <c r="BT932" s="750"/>
      <c r="BU932" s="752"/>
      <c r="BV932" s="750"/>
      <c r="BW932" s="750"/>
      <c r="BX932" s="750"/>
      <c r="BY932" s="750"/>
      <c r="BZ932" s="752"/>
      <c r="CA932" s="750"/>
      <c r="CB932" s="750"/>
      <c r="CC932" s="750"/>
      <c r="CD932" s="750"/>
      <c r="CE932" s="752"/>
      <c r="CF932" s="750"/>
      <c r="CG932" s="750"/>
      <c r="CH932" s="750"/>
      <c r="CI932" s="750"/>
      <c r="CJ932" s="752"/>
      <c r="CK932" s="3540"/>
      <c r="CL932" s="750"/>
      <c r="CM932" s="750"/>
      <c r="CN932" s="750"/>
      <c r="CO932" s="752"/>
      <c r="CP932" s="3533"/>
      <c r="CQ932" s="758"/>
      <c r="CR932" s="758"/>
      <c r="CS932" s="751"/>
      <c r="CT932" s="752"/>
      <c r="CU932" s="752"/>
      <c r="CV932" s="752"/>
      <c r="CW932" s="234"/>
      <c r="CX932" s="234"/>
      <c r="CY932" s="234"/>
      <c r="CZ932" s="234"/>
      <c r="DA932" s="234"/>
      <c r="DB932" s="217"/>
      <c r="DC932" s="212"/>
      <c r="DD932" s="234"/>
    </row>
    <row r="933" spans="1:108" s="207" customFormat="1" hidden="1" outlineLevel="1" x14ac:dyDescent="0.2">
      <c r="A933" s="1264" t="s">
        <v>1738</v>
      </c>
      <c r="B933" s="1244"/>
      <c r="C933" s="1245"/>
      <c r="D933" s="759"/>
      <c r="E933" s="759"/>
      <c r="F933" s="759"/>
      <c r="G933" s="774"/>
      <c r="H933" s="761"/>
      <c r="I933" s="775">
        <v>9</v>
      </c>
      <c r="J933" s="762">
        <v>9</v>
      </c>
      <c r="K933" s="762">
        <v>10</v>
      </c>
      <c r="L933" s="775">
        <f>10+1</f>
        <v>11</v>
      </c>
      <c r="M933" s="761">
        <f t="shared" si="1435"/>
        <v>11</v>
      </c>
      <c r="N933" s="762">
        <f>11+1</f>
        <v>12</v>
      </c>
      <c r="O933" s="762">
        <f>11+1</f>
        <v>12</v>
      </c>
      <c r="P933" s="1256">
        <f>+P229+P196</f>
        <v>11</v>
      </c>
      <c r="Q933" s="1257">
        <f>+Q229+Q196</f>
        <v>11</v>
      </c>
      <c r="R933" s="761">
        <f t="shared" si="1436"/>
        <v>11</v>
      </c>
      <c r="S933" s="1256">
        <f>+S229+S196</f>
        <v>12</v>
      </c>
      <c r="T933" s="1256">
        <f>+T229+T196</f>
        <v>12</v>
      </c>
      <c r="U933" s="1256">
        <f>+U229+U196</f>
        <v>12</v>
      </c>
      <c r="V933" s="1258">
        <f>+V229+V196</f>
        <v>13</v>
      </c>
      <c r="W933" s="761">
        <f t="shared" si="1437"/>
        <v>13</v>
      </c>
      <c r="X933" s="1256">
        <f>+X229+X196</f>
        <v>13</v>
      </c>
      <c r="Y933" s="1256">
        <f>+Y229+Y196</f>
        <v>14</v>
      </c>
      <c r="Z933" s="1256">
        <f>+Z229+Z196</f>
        <v>14</v>
      </c>
      <c r="AA933" s="1256">
        <f>+AA229+AA196</f>
        <v>14</v>
      </c>
      <c r="AB933" s="761">
        <f t="shared" si="1438"/>
        <v>14</v>
      </c>
      <c r="AC933" s="759">
        <f>+AC229+AC196</f>
        <v>15</v>
      </c>
      <c r="AD933" s="759">
        <f>+AD229+AD196</f>
        <v>16</v>
      </c>
      <c r="AE933" s="759">
        <f>+AE229+AE196</f>
        <v>16</v>
      </c>
      <c r="AF933" s="760">
        <f>+AF229+AF196</f>
        <v>17</v>
      </c>
      <c r="AG933" s="761">
        <f t="shared" si="1439"/>
        <v>17</v>
      </c>
      <c r="AH933" s="759">
        <f>+AH229+AH196</f>
        <v>17</v>
      </c>
      <c r="AI933" s="759">
        <f>+AI229+AI196</f>
        <v>17</v>
      </c>
      <c r="AJ933" s="759">
        <f>+AJ229+AJ196</f>
        <v>18</v>
      </c>
      <c r="AK933" s="760">
        <f>+AK229+AK196</f>
        <v>17</v>
      </c>
      <c r="AL933" s="761">
        <f t="shared" si="1440"/>
        <v>17</v>
      </c>
      <c r="AM933" s="759">
        <f>+AM229+AM196</f>
        <v>18</v>
      </c>
      <c r="AN933" s="759">
        <f>+AN229+AN196</f>
        <v>17</v>
      </c>
      <c r="AO933" s="759">
        <f>+AO229+AO196</f>
        <v>18</v>
      </c>
      <c r="AP933" s="760">
        <f>+AP229+AP196</f>
        <v>18</v>
      </c>
      <c r="AQ933" s="761">
        <f t="shared" si="1441"/>
        <v>18</v>
      </c>
      <c r="AR933" s="759">
        <f>+AR229+AR196</f>
        <v>18</v>
      </c>
      <c r="AS933" s="759">
        <f>+AS229+AS196</f>
        <v>19</v>
      </c>
      <c r="AT933" s="759">
        <f>+AT229+AT196</f>
        <v>19</v>
      </c>
      <c r="AU933" s="760">
        <f>+AU229+AU196</f>
        <v>20</v>
      </c>
      <c r="AV933" s="761">
        <f t="shared" si="1442"/>
        <v>20</v>
      </c>
      <c r="AW933" s="759">
        <f>+AW229+AW196</f>
        <v>21</v>
      </c>
      <c r="AX933" s="759">
        <f>+AX229+AX196</f>
        <v>21</v>
      </c>
      <c r="AY933" s="759">
        <f>+AY229+AY196</f>
        <v>22</v>
      </c>
      <c r="AZ933" s="774">
        <f>+AZ229+AZ196</f>
        <v>23</v>
      </c>
      <c r="BA933" s="761">
        <f t="shared" si="1443"/>
        <v>23</v>
      </c>
      <c r="BB933" s="759">
        <f>+BB229+BB196</f>
        <v>23</v>
      </c>
      <c r="BC933" s="759">
        <f>+BC229+BC196</f>
        <v>22</v>
      </c>
      <c r="BD933" s="759">
        <f>+BD229+BD196</f>
        <v>23</v>
      </c>
      <c r="BE933" s="760">
        <f>+BE229+BE196</f>
        <v>23</v>
      </c>
      <c r="BF933" s="761">
        <f t="shared" si="1444"/>
        <v>23</v>
      </c>
      <c r="BG933" s="759">
        <f>+BG229+BG196</f>
        <v>23</v>
      </c>
      <c r="BH933" s="759">
        <f>+BH229+BH196</f>
        <v>22</v>
      </c>
      <c r="BI933" s="759">
        <f>+BI229+BI196</f>
        <v>22</v>
      </c>
      <c r="BJ933" s="760">
        <f>+BJ229+BJ196</f>
        <v>23</v>
      </c>
      <c r="BK933" s="761">
        <f t="shared" si="1445"/>
        <v>23</v>
      </c>
      <c r="BL933" s="759">
        <f>+BL229+BL196</f>
        <v>24</v>
      </c>
      <c r="BM933" s="759">
        <f>+BM229+BM196</f>
        <v>24</v>
      </c>
      <c r="BN933" s="759">
        <f>+BN229+BN196</f>
        <v>24</v>
      </c>
      <c r="BO933" s="759">
        <f>+BO229+BO196</f>
        <v>25</v>
      </c>
      <c r="BP933" s="761">
        <f t="shared" si="1446"/>
        <v>25</v>
      </c>
      <c r="BQ933" s="750"/>
      <c r="BR933" s="750"/>
      <c r="BS933" s="750"/>
      <c r="BT933" s="750"/>
      <c r="BU933" s="752"/>
      <c r="BV933" s="750"/>
      <c r="BW933" s="750"/>
      <c r="BX933" s="750"/>
      <c r="BY933" s="750"/>
      <c r="BZ933" s="752"/>
      <c r="CA933" s="750"/>
      <c r="CB933" s="750"/>
      <c r="CC933" s="750"/>
      <c r="CD933" s="750"/>
      <c r="CE933" s="752"/>
      <c r="CF933" s="750"/>
      <c r="CG933" s="750"/>
      <c r="CH933" s="750"/>
      <c r="CI933" s="750"/>
      <c r="CJ933" s="752"/>
      <c r="CK933" s="3540"/>
      <c r="CL933" s="750"/>
      <c r="CM933" s="750"/>
      <c r="CN933" s="750"/>
      <c r="CO933" s="752"/>
      <c r="CP933" s="3533"/>
      <c r="CQ933" s="758"/>
      <c r="CR933" s="758"/>
      <c r="CS933" s="758"/>
      <c r="CT933" s="752"/>
      <c r="CU933" s="752"/>
      <c r="CV933" s="752"/>
      <c r="CW933" s="234"/>
      <c r="CX933" s="234"/>
      <c r="CY933" s="234"/>
      <c r="CZ933" s="234"/>
      <c r="DA933" s="234"/>
      <c r="DB933" s="217"/>
      <c r="DC933" s="212"/>
      <c r="DD933" s="234"/>
    </row>
    <row r="934" spans="1:108" s="207" customFormat="1" hidden="1" outlineLevel="1" x14ac:dyDescent="0.2">
      <c r="A934" s="1263" t="s">
        <v>469</v>
      </c>
      <c r="B934" s="1246"/>
      <c r="C934" s="1247"/>
      <c r="D934" s="757"/>
      <c r="E934" s="757"/>
      <c r="F934" s="757"/>
      <c r="G934" s="1248"/>
      <c r="H934" s="763"/>
      <c r="I934" s="1248">
        <f t="shared" ref="I934:AA934" si="1447">SUM(I915:I933)</f>
        <v>2118</v>
      </c>
      <c r="J934" s="757">
        <f t="shared" si="1447"/>
        <v>2194</v>
      </c>
      <c r="K934" s="757">
        <f t="shared" si="1447"/>
        <v>2313</v>
      </c>
      <c r="L934" s="1248">
        <f t="shared" si="1447"/>
        <v>2369</v>
      </c>
      <c r="M934" s="763">
        <f t="shared" si="1447"/>
        <v>2369</v>
      </c>
      <c r="N934" s="757">
        <f t="shared" si="1447"/>
        <v>2540</v>
      </c>
      <c r="O934" s="757">
        <f t="shared" si="1447"/>
        <v>2575</v>
      </c>
      <c r="P934" s="757">
        <f t="shared" si="1447"/>
        <v>2393</v>
      </c>
      <c r="Q934" s="1248">
        <f t="shared" si="1447"/>
        <v>2450</v>
      </c>
      <c r="R934" s="763">
        <f t="shared" si="1447"/>
        <v>2450</v>
      </c>
      <c r="S934" s="757">
        <f t="shared" si="1447"/>
        <v>2481</v>
      </c>
      <c r="T934" s="757">
        <f t="shared" si="1447"/>
        <v>2534</v>
      </c>
      <c r="U934" s="757">
        <f t="shared" si="1447"/>
        <v>2577</v>
      </c>
      <c r="V934" s="1249">
        <f t="shared" si="1447"/>
        <v>2622</v>
      </c>
      <c r="W934" s="763">
        <f t="shared" si="1447"/>
        <v>2622</v>
      </c>
      <c r="X934" s="757">
        <f t="shared" si="1447"/>
        <v>2652</v>
      </c>
      <c r="Y934" s="757">
        <f t="shared" si="1447"/>
        <v>2691</v>
      </c>
      <c r="Z934" s="757">
        <f t="shared" si="1447"/>
        <v>2712</v>
      </c>
      <c r="AA934" s="1249">
        <f t="shared" si="1447"/>
        <v>2542</v>
      </c>
      <c r="AB934" s="763">
        <f t="shared" si="1438"/>
        <v>2542</v>
      </c>
      <c r="AC934" s="757">
        <f>SUM(AC915:AC933)</f>
        <v>2557</v>
      </c>
      <c r="AD934" s="757">
        <f>SUM(AD915:AD933)</f>
        <v>2585</v>
      </c>
      <c r="AE934" s="757">
        <f>SUM(AE915:AE933)</f>
        <v>2602</v>
      </c>
      <c r="AF934" s="1249">
        <f>SUM(AF915:AF933)</f>
        <v>2635</v>
      </c>
      <c r="AG934" s="763">
        <f t="shared" si="1439"/>
        <v>2635</v>
      </c>
      <c r="AH934" s="757">
        <f>SUM(AH915:AH933)</f>
        <v>2661</v>
      </c>
      <c r="AI934" s="757">
        <f>SUM(AI915:AI933)</f>
        <v>2686</v>
      </c>
      <c r="AJ934" s="757">
        <f>SUM(AJ915:AJ933)</f>
        <v>2713</v>
      </c>
      <c r="AK934" s="1249">
        <f>SUM(AK915:AK933)</f>
        <v>2724</v>
      </c>
      <c r="AL934" s="763">
        <f t="shared" si="1440"/>
        <v>2724</v>
      </c>
      <c r="AM934" s="757">
        <f>SUM(AM915:AM933)</f>
        <v>2743</v>
      </c>
      <c r="AN934" s="757">
        <f>SUM(AN915:AN933)</f>
        <v>2770</v>
      </c>
      <c r="AO934" s="757">
        <f>SUM(AO915:AO933)</f>
        <v>2818</v>
      </c>
      <c r="AP934" s="1249">
        <f>SUM(AP915:AP933)</f>
        <v>2874</v>
      </c>
      <c r="AQ934" s="763">
        <f t="shared" si="1441"/>
        <v>2874</v>
      </c>
      <c r="AR934" s="757">
        <f>SUM(AR915:AR933)</f>
        <v>2890</v>
      </c>
      <c r="AS934" s="757">
        <f>SUM(AS915:AS933)</f>
        <v>2934</v>
      </c>
      <c r="AT934" s="757">
        <f>SUM(AT915:AT933)</f>
        <v>2967</v>
      </c>
      <c r="AU934" s="1249">
        <f>SUM(AU915:AU933)</f>
        <v>3036</v>
      </c>
      <c r="AV934" s="763">
        <f t="shared" si="1442"/>
        <v>3036</v>
      </c>
      <c r="AW934" s="757">
        <f>SUM(AW915:AW933)</f>
        <v>3083</v>
      </c>
      <c r="AX934" s="757">
        <f>SUM(AX915:AX933)</f>
        <v>3139</v>
      </c>
      <c r="AY934" s="757">
        <f>SUM(AY915:AY933)</f>
        <v>3213</v>
      </c>
      <c r="AZ934" s="1248">
        <f>SUM(AZ915:AZ933)</f>
        <v>3271</v>
      </c>
      <c r="BA934" s="763">
        <f t="shared" si="1443"/>
        <v>3271</v>
      </c>
      <c r="BB934" s="757">
        <f>SUM(BB915:BB933)</f>
        <v>3303</v>
      </c>
      <c r="BC934" s="757">
        <f>SUM(BC915:BC933)</f>
        <v>3329</v>
      </c>
      <c r="BD934" s="757">
        <f>SUM(BD915:BD933)</f>
        <v>3355</v>
      </c>
      <c r="BE934" s="1249">
        <f>SUM(BE915:BE933)</f>
        <v>3371</v>
      </c>
      <c r="BF934" s="763">
        <f t="shared" si="1444"/>
        <v>3371</v>
      </c>
      <c r="BG934" s="757">
        <f>SUM(BG915:BG933)</f>
        <v>3388</v>
      </c>
      <c r="BH934" s="757">
        <f>SUM(BH915:BH933)</f>
        <v>3407</v>
      </c>
      <c r="BI934" s="757">
        <f>SUM(BI915:BI933)</f>
        <v>3428</v>
      </c>
      <c r="BJ934" s="1249">
        <f>SUM(BJ915:BJ933)</f>
        <v>3450</v>
      </c>
      <c r="BK934" s="763">
        <f t="shared" si="1445"/>
        <v>3450</v>
      </c>
      <c r="BL934" s="757">
        <f>SUM(BL915:BL933)</f>
        <v>3464</v>
      </c>
      <c r="BM934" s="757">
        <f>SUM(BM915:BM933)</f>
        <v>3474</v>
      </c>
      <c r="BN934" s="757">
        <f>SUM(BN915:BN933)</f>
        <v>3496</v>
      </c>
      <c r="BO934" s="757">
        <f>SUM(BO915:BO933)</f>
        <v>3519</v>
      </c>
      <c r="BP934" s="763">
        <f t="shared" si="1446"/>
        <v>3519</v>
      </c>
      <c r="BQ934" s="750"/>
      <c r="BR934" s="750"/>
      <c r="BS934" s="750"/>
      <c r="BT934" s="750"/>
      <c r="BU934" s="752"/>
      <c r="BV934" s="750"/>
      <c r="BW934" s="750"/>
      <c r="BX934" s="750"/>
      <c r="BY934" s="750"/>
      <c r="BZ934" s="752"/>
      <c r="CA934" s="750"/>
      <c r="CB934" s="750"/>
      <c r="CC934" s="750"/>
      <c r="CD934" s="750"/>
      <c r="CE934" s="752"/>
      <c r="CF934" s="750"/>
      <c r="CG934" s="750"/>
      <c r="CH934" s="750"/>
      <c r="CI934" s="750"/>
      <c r="CJ934" s="752"/>
      <c r="CK934" s="3540"/>
      <c r="CL934" s="750"/>
      <c r="CM934" s="750"/>
      <c r="CN934" s="750"/>
      <c r="CO934" s="752"/>
      <c r="CP934" s="3533"/>
      <c r="CQ934" s="758"/>
      <c r="CR934" s="758"/>
      <c r="CS934" s="758"/>
      <c r="CT934" s="752"/>
      <c r="CU934" s="752"/>
      <c r="CV934" s="752"/>
      <c r="CW934" s="234"/>
      <c r="CX934" s="234"/>
      <c r="CY934" s="234"/>
      <c r="CZ934" s="234"/>
      <c r="DA934" s="234"/>
      <c r="DB934" s="217"/>
      <c r="DC934" s="212"/>
      <c r="DD934" s="234"/>
    </row>
    <row r="935" spans="1:108" s="207" customFormat="1" hidden="1" outlineLevel="1" x14ac:dyDescent="0.2">
      <c r="A935" s="1264"/>
      <c r="B935" s="1240"/>
      <c r="C935" s="1241"/>
      <c r="D935" s="750"/>
      <c r="E935" s="750"/>
      <c r="F935" s="750"/>
      <c r="G935" s="758"/>
      <c r="H935" s="752"/>
      <c r="I935" s="750"/>
      <c r="J935" s="750"/>
      <c r="K935" s="750"/>
      <c r="L935" s="758"/>
      <c r="M935" s="752"/>
      <c r="N935" s="750"/>
      <c r="O935" s="750"/>
      <c r="P935" s="750"/>
      <c r="Q935" s="758"/>
      <c r="R935" s="752"/>
      <c r="S935" s="750"/>
      <c r="T935" s="750"/>
      <c r="U935" s="750"/>
      <c r="V935" s="751"/>
      <c r="W935" s="752"/>
      <c r="X935" s="750"/>
      <c r="Y935" s="750"/>
      <c r="Z935" s="750"/>
      <c r="AA935" s="751"/>
      <c r="AB935" s="752"/>
      <c r="AC935" s="750"/>
      <c r="AD935" s="750"/>
      <c r="AE935" s="750"/>
      <c r="AF935" s="751"/>
      <c r="AG935" s="752"/>
      <c r="AH935" s="750"/>
      <c r="AI935" s="750"/>
      <c r="AJ935" s="750"/>
      <c r="AK935" s="751"/>
      <c r="AL935" s="752"/>
      <c r="AM935" s="750"/>
      <c r="AN935" s="750"/>
      <c r="AO935" s="750"/>
      <c r="AP935" s="751"/>
      <c r="AQ935" s="752"/>
      <c r="AR935" s="750"/>
      <c r="AS935" s="750"/>
      <c r="AT935" s="750"/>
      <c r="AU935" s="751"/>
      <c r="AV935" s="752"/>
      <c r="AW935" s="750"/>
      <c r="AX935" s="750"/>
      <c r="AY935" s="750"/>
      <c r="AZ935" s="758"/>
      <c r="BA935" s="752"/>
      <c r="BB935" s="750"/>
      <c r="BC935" s="750"/>
      <c r="BD935" s="750"/>
      <c r="BE935" s="751"/>
      <c r="BF935" s="752"/>
      <c r="BG935" s="750"/>
      <c r="BH935" s="750"/>
      <c r="BI935" s="750"/>
      <c r="BJ935" s="751"/>
      <c r="BK935" s="752"/>
      <c r="BL935" s="750"/>
      <c r="BM935" s="750"/>
      <c r="BN935" s="750"/>
      <c r="BO935" s="750"/>
      <c r="BP935" s="752"/>
      <c r="BQ935" s="750"/>
      <c r="BR935" s="750"/>
      <c r="BS935" s="750"/>
      <c r="BT935" s="750"/>
      <c r="BU935" s="752"/>
      <c r="BV935" s="750"/>
      <c r="BW935" s="750"/>
      <c r="BX935" s="750"/>
      <c r="BY935" s="750"/>
      <c r="BZ935" s="752"/>
      <c r="CA935" s="750"/>
      <c r="CB935" s="750"/>
      <c r="CC935" s="750"/>
      <c r="CD935" s="750"/>
      <c r="CE935" s="752"/>
      <c r="CF935" s="750"/>
      <c r="CG935" s="750"/>
      <c r="CH935" s="750"/>
      <c r="CI935" s="750"/>
      <c r="CJ935" s="752"/>
      <c r="CK935" s="3540"/>
      <c r="CL935" s="750"/>
      <c r="CM935" s="750"/>
      <c r="CN935" s="750"/>
      <c r="CO935" s="752"/>
      <c r="CP935" s="3533"/>
      <c r="CQ935" s="758"/>
      <c r="CR935" s="758"/>
      <c r="CS935" s="758"/>
      <c r="CT935" s="752"/>
      <c r="CU935" s="752"/>
      <c r="CV935" s="752"/>
      <c r="CW935" s="234"/>
      <c r="CX935" s="234"/>
      <c r="CY935" s="234"/>
      <c r="CZ935" s="234"/>
      <c r="DA935" s="234"/>
      <c r="DB935" s="217"/>
      <c r="DC935" s="212"/>
      <c r="DD935" s="234"/>
    </row>
    <row r="936" spans="1:108" s="207" customFormat="1" hidden="1" outlineLevel="1" x14ac:dyDescent="0.2">
      <c r="A936" s="1263" t="s">
        <v>1619</v>
      </c>
      <c r="B936" s="1240"/>
      <c r="C936" s="1241"/>
      <c r="D936" s="750"/>
      <c r="E936" s="750"/>
      <c r="F936" s="750"/>
      <c r="G936" s="758"/>
      <c r="H936" s="752"/>
      <c r="I936" s="750"/>
      <c r="J936" s="750"/>
      <c r="K936" s="750"/>
      <c r="L936" s="758"/>
      <c r="M936" s="752"/>
      <c r="N936" s="750"/>
      <c r="O936" s="750"/>
      <c r="P936" s="750"/>
      <c r="Q936" s="758"/>
      <c r="R936" s="752"/>
      <c r="S936" s="750"/>
      <c r="T936" s="750"/>
      <c r="U936" s="750"/>
      <c r="V936" s="751"/>
      <c r="W936" s="752"/>
      <c r="X936" s="750"/>
      <c r="Y936" s="750"/>
      <c r="Z936" s="750"/>
      <c r="AA936" s="751"/>
      <c r="AB936" s="752"/>
      <c r="AC936" s="750"/>
      <c r="AD936" s="750"/>
      <c r="AE936" s="750"/>
      <c r="AF936" s="751"/>
      <c r="AG936" s="752"/>
      <c r="AH936" s="750"/>
      <c r="AI936" s="750"/>
      <c r="AJ936" s="750"/>
      <c r="AK936" s="751"/>
      <c r="AL936" s="752"/>
      <c r="AM936" s="750"/>
      <c r="AN936" s="750"/>
      <c r="AO936" s="750"/>
      <c r="AP936" s="751"/>
      <c r="AQ936" s="752"/>
      <c r="AR936" s="750"/>
      <c r="AS936" s="750"/>
      <c r="AT936" s="750"/>
      <c r="AU936" s="751"/>
      <c r="AV936" s="752"/>
      <c r="AW936" s="750"/>
      <c r="AX936" s="750"/>
      <c r="AY936" s="750"/>
      <c r="AZ936" s="758"/>
      <c r="BA936" s="752"/>
      <c r="BB936" s="750"/>
      <c r="BC936" s="750"/>
      <c r="BD936" s="750"/>
      <c r="BE936" s="751"/>
      <c r="BF936" s="752"/>
      <c r="BG936" s="750"/>
      <c r="BH936" s="750"/>
      <c r="BI936" s="750"/>
      <c r="BJ936" s="751"/>
      <c r="BK936" s="752"/>
      <c r="BL936" s="750"/>
      <c r="BM936" s="750"/>
      <c r="BN936" s="750"/>
      <c r="BO936" s="750"/>
      <c r="BP936" s="752"/>
      <c r="BQ936" s="750"/>
      <c r="BR936" s="750"/>
      <c r="BS936" s="750"/>
      <c r="BT936" s="750"/>
      <c r="BU936" s="752"/>
      <c r="BV936" s="750"/>
      <c r="BW936" s="750"/>
      <c r="BX936" s="750"/>
      <c r="BY936" s="750"/>
      <c r="BZ936" s="752"/>
      <c r="CA936" s="750"/>
      <c r="CB936" s="750"/>
      <c r="CC936" s="750"/>
      <c r="CD936" s="750"/>
      <c r="CE936" s="752"/>
      <c r="CF936" s="750"/>
      <c r="CG936" s="750"/>
      <c r="CH936" s="750"/>
      <c r="CI936" s="750"/>
      <c r="CJ936" s="752"/>
      <c r="CK936" s="3540"/>
      <c r="CL936" s="750"/>
      <c r="CM936" s="750"/>
      <c r="CN936" s="750"/>
      <c r="CO936" s="752"/>
      <c r="CP936" s="3533"/>
      <c r="CQ936" s="758"/>
      <c r="CR936" s="758"/>
      <c r="CS936" s="758"/>
      <c r="CT936" s="752"/>
      <c r="CU936" s="752"/>
      <c r="CV936" s="752"/>
      <c r="CW936" s="234"/>
      <c r="CX936" s="234"/>
      <c r="CY936" s="234"/>
      <c r="CZ936" s="234"/>
      <c r="DA936" s="234"/>
      <c r="DB936" s="217"/>
      <c r="DC936" s="212"/>
      <c r="DD936" s="234"/>
    </row>
    <row r="937" spans="1:108" s="207" customFormat="1" hidden="1" outlineLevel="1" x14ac:dyDescent="0.2">
      <c r="A937" s="2632" t="s">
        <v>2702</v>
      </c>
      <c r="B937" s="1240"/>
      <c r="C937" s="1241"/>
      <c r="D937" s="750"/>
      <c r="E937" s="750"/>
      <c r="F937" s="750"/>
      <c r="G937" s="758"/>
      <c r="H937" s="752"/>
      <c r="I937" s="750"/>
      <c r="J937" s="750"/>
      <c r="K937" s="750"/>
      <c r="L937" s="758"/>
      <c r="M937" s="752"/>
      <c r="N937" s="750"/>
      <c r="O937" s="750"/>
      <c r="P937" s="750"/>
      <c r="Q937" s="758"/>
      <c r="R937" s="752"/>
      <c r="S937" s="750"/>
      <c r="T937" s="750"/>
      <c r="U937" s="750"/>
      <c r="V937" s="751"/>
      <c r="W937" s="752"/>
      <c r="X937" s="750"/>
      <c r="Y937" s="750"/>
      <c r="Z937" s="750"/>
      <c r="AA937" s="758"/>
      <c r="AB937" s="752"/>
      <c r="AC937" s="750"/>
      <c r="AD937" s="750"/>
      <c r="AE937" s="750"/>
      <c r="AF937" s="751"/>
      <c r="AG937" s="752"/>
      <c r="AH937" s="750"/>
      <c r="AI937" s="750"/>
      <c r="AJ937" s="750"/>
      <c r="AK937" s="751"/>
      <c r="AL937" s="752"/>
      <c r="AM937" s="750"/>
      <c r="AN937" s="750"/>
      <c r="AO937" s="750"/>
      <c r="AP937" s="751"/>
      <c r="AQ937" s="752"/>
      <c r="AR937" s="750"/>
      <c r="AS937" s="750"/>
      <c r="AT937" s="750"/>
      <c r="AU937" s="751"/>
      <c r="AV937" s="752"/>
      <c r="AW937" s="750"/>
      <c r="AX937" s="750"/>
      <c r="AY937" s="750"/>
      <c r="AZ937" s="758"/>
      <c r="BA937" s="752"/>
      <c r="BB937" s="750"/>
      <c r="BC937" s="750"/>
      <c r="BD937" s="750"/>
      <c r="BE937" s="751"/>
      <c r="BF937" s="752"/>
      <c r="BG937" s="750"/>
      <c r="BH937" s="750"/>
      <c r="BI937" s="750"/>
      <c r="BJ937" s="758"/>
      <c r="BK937" s="752"/>
      <c r="BL937" s="750"/>
      <c r="BM937" s="750"/>
      <c r="BN937" s="750"/>
      <c r="BO937" s="750"/>
      <c r="BP937" s="752"/>
      <c r="BQ937" s="750"/>
      <c r="BR937" s="750"/>
      <c r="BS937" s="750"/>
      <c r="BT937" s="750"/>
      <c r="BU937" s="752"/>
      <c r="BV937" s="750"/>
      <c r="BW937" s="750"/>
      <c r="BX937" s="750"/>
      <c r="BY937" s="750"/>
      <c r="BZ937" s="752"/>
      <c r="CA937" s="750"/>
      <c r="CB937" s="750"/>
      <c r="CC937" s="750"/>
      <c r="CD937" s="750"/>
      <c r="CE937" s="752"/>
      <c r="CF937" s="750">
        <f>+CF495+CF460</f>
        <v>0</v>
      </c>
      <c r="CG937" s="750">
        <f>+CG495+CG460</f>
        <v>0</v>
      </c>
      <c r="CH937" s="750">
        <f>+CH495+CH460</f>
        <v>14164</v>
      </c>
      <c r="CI937" s="750">
        <f>+CI495+CI460</f>
        <v>14164</v>
      </c>
      <c r="CJ937" s="752">
        <f>+CI937</f>
        <v>14164</v>
      </c>
      <c r="CK937" s="3540">
        <f>+CK495+CK460</f>
        <v>14164</v>
      </c>
      <c r="CL937" s="750">
        <f t="shared" ref="CL937:CV937" si="1448">+CL495+CL460</f>
        <v>14168</v>
      </c>
      <c r="CM937" s="750">
        <f t="shared" si="1448"/>
        <v>14134</v>
      </c>
      <c r="CN937" s="750">
        <f t="shared" si="1448"/>
        <v>14484</v>
      </c>
      <c r="CO937" s="752">
        <f t="shared" si="1448"/>
        <v>14484</v>
      </c>
      <c r="CP937" s="750">
        <f>+CP495+CP460</f>
        <v>14670.73</v>
      </c>
      <c r="CQ937" s="750">
        <f>+CQ495+CQ460</f>
        <v>14585.43</v>
      </c>
      <c r="CR937" s="750">
        <f>+CR495+CR460</f>
        <v>14505.18</v>
      </c>
      <c r="CS937" s="750">
        <f>+CS495+CS460</f>
        <v>14817.93</v>
      </c>
      <c r="CT937" s="752">
        <f>+CT495+CT460</f>
        <v>14817.93</v>
      </c>
      <c r="CU937" s="752">
        <f t="shared" si="1448"/>
        <v>15296.598600000001</v>
      </c>
      <c r="CV937" s="752">
        <f t="shared" si="1448"/>
        <v>15441.535050000002</v>
      </c>
      <c r="CW937" s="234"/>
      <c r="CX937" s="234"/>
      <c r="CY937" s="234"/>
      <c r="CZ937" s="234"/>
      <c r="DA937" s="234"/>
      <c r="DB937" s="217"/>
      <c r="DC937" s="212"/>
      <c r="DD937" s="234"/>
    </row>
    <row r="938" spans="1:108" s="207" customFormat="1" hidden="1" outlineLevel="1" x14ac:dyDescent="0.2">
      <c r="A938" s="2632" t="s">
        <v>2703</v>
      </c>
      <c r="B938" s="1240"/>
      <c r="C938" s="1241"/>
      <c r="D938" s="750"/>
      <c r="E938" s="750"/>
      <c r="F938" s="750"/>
      <c r="G938" s="758"/>
      <c r="H938" s="752"/>
      <c r="I938" s="750"/>
      <c r="J938" s="750"/>
      <c r="K938" s="750"/>
      <c r="L938" s="758"/>
      <c r="M938" s="752"/>
      <c r="N938" s="750"/>
      <c r="O938" s="750"/>
      <c r="P938" s="750"/>
      <c r="Q938" s="758"/>
      <c r="R938" s="752"/>
      <c r="S938" s="750"/>
      <c r="T938" s="750"/>
      <c r="U938" s="750"/>
      <c r="V938" s="751"/>
      <c r="W938" s="752"/>
      <c r="X938" s="750"/>
      <c r="Y938" s="750"/>
      <c r="Z938" s="750"/>
      <c r="AA938" s="758"/>
      <c r="AB938" s="752"/>
      <c r="AC938" s="750"/>
      <c r="AD938" s="750"/>
      <c r="AE938" s="750"/>
      <c r="AF938" s="751"/>
      <c r="AG938" s="752"/>
      <c r="AH938" s="750"/>
      <c r="AI938" s="750"/>
      <c r="AJ938" s="750"/>
      <c r="AK938" s="751"/>
      <c r="AL938" s="752"/>
      <c r="AM938" s="750"/>
      <c r="AN938" s="750"/>
      <c r="AO938" s="750"/>
      <c r="AP938" s="751"/>
      <c r="AQ938" s="752"/>
      <c r="AR938" s="750"/>
      <c r="AS938" s="750"/>
      <c r="AT938" s="750"/>
      <c r="AU938" s="751"/>
      <c r="AV938" s="752"/>
      <c r="AW938" s="750"/>
      <c r="AX938" s="750"/>
      <c r="AY938" s="750"/>
      <c r="AZ938" s="758"/>
      <c r="BA938" s="752"/>
      <c r="BB938" s="750"/>
      <c r="BC938" s="750"/>
      <c r="BD938" s="750"/>
      <c r="BE938" s="751"/>
      <c r="BF938" s="752"/>
      <c r="BG938" s="750"/>
      <c r="BH938" s="750"/>
      <c r="BI938" s="750"/>
      <c r="BJ938" s="758"/>
      <c r="BK938" s="752"/>
      <c r="BL938" s="750"/>
      <c r="BM938" s="750"/>
      <c r="BN938" s="750"/>
      <c r="BO938" s="750"/>
      <c r="BP938" s="752"/>
      <c r="BQ938" s="750"/>
      <c r="BR938" s="750"/>
      <c r="BS938" s="750"/>
      <c r="BT938" s="750"/>
      <c r="BU938" s="752"/>
      <c r="BV938" s="750"/>
      <c r="BW938" s="750"/>
      <c r="BX938" s="750"/>
      <c r="BY938" s="750"/>
      <c r="BZ938" s="752"/>
      <c r="CA938" s="750"/>
      <c r="CB938" s="750"/>
      <c r="CC938" s="750"/>
      <c r="CD938" s="750"/>
      <c r="CE938" s="752"/>
      <c r="CF938" s="750">
        <f>+CF638+CF604</f>
        <v>0</v>
      </c>
      <c r="CG938" s="750">
        <f>+CG638+CG604</f>
        <v>0</v>
      </c>
      <c r="CH938" s="750">
        <f>+CH638+CH604</f>
        <v>19407</v>
      </c>
      <c r="CI938" s="750">
        <f>+CI638+CI604</f>
        <v>20667</v>
      </c>
      <c r="CJ938" s="752">
        <f>+CI938</f>
        <v>20667</v>
      </c>
      <c r="CK938" s="3540">
        <f>+CK638+CK604</f>
        <v>20667</v>
      </c>
      <c r="CL938" s="750">
        <f t="shared" ref="CL938:CV938" si="1449">+CL638+CL604</f>
        <v>20667</v>
      </c>
      <c r="CM938" s="750">
        <f t="shared" si="1449"/>
        <v>20549</v>
      </c>
      <c r="CN938" s="750">
        <f t="shared" si="1449"/>
        <v>20749</v>
      </c>
      <c r="CO938" s="752">
        <f t="shared" si="1449"/>
        <v>20749</v>
      </c>
      <c r="CP938" s="750">
        <f>+CP638+CP604</f>
        <v>21752.61</v>
      </c>
      <c r="CQ938" s="750">
        <f>+CQ638+CQ604</f>
        <v>21941.86</v>
      </c>
      <c r="CR938" s="750">
        <f>+CR638+CR604</f>
        <v>21830.66</v>
      </c>
      <c r="CS938" s="750">
        <f>+CS638+CS604</f>
        <v>22042.66</v>
      </c>
      <c r="CT938" s="752">
        <f>+CT638+CT604</f>
        <v>22042.66</v>
      </c>
      <c r="CU938" s="752">
        <f t="shared" si="1449"/>
        <v>23290.409499999998</v>
      </c>
      <c r="CV938" s="752">
        <f t="shared" si="1449"/>
        <v>23794.276129999998</v>
      </c>
      <c r="CW938" s="234"/>
      <c r="CX938" s="234"/>
      <c r="CY938" s="234"/>
      <c r="CZ938" s="234"/>
      <c r="DA938" s="234"/>
      <c r="DB938" s="217"/>
      <c r="DC938" s="212"/>
      <c r="DD938" s="234"/>
    </row>
    <row r="939" spans="1:108" s="207" customFormat="1" hidden="1" outlineLevel="1" x14ac:dyDescent="0.2">
      <c r="A939" s="1264" t="s">
        <v>311</v>
      </c>
      <c r="B939" s="1240"/>
      <c r="C939" s="1241"/>
      <c r="D939" s="750"/>
      <c r="E939" s="750"/>
      <c r="F939" s="750"/>
      <c r="G939" s="758"/>
      <c r="H939" s="752"/>
      <c r="I939" s="756">
        <f>102440+31244+13758-I940</f>
        <v>111203</v>
      </c>
      <c r="J939" s="753">
        <f>104008+31818+14898-J940</f>
        <v>112628</v>
      </c>
      <c r="K939" s="753">
        <f>105891+32571+15930-K940</f>
        <v>114771</v>
      </c>
      <c r="L939" s="756">
        <f>104714+33768+16205-L940</f>
        <v>114103</v>
      </c>
      <c r="M939" s="752">
        <f t="shared" ref="M939:M960" si="1450">L939</f>
        <v>114103</v>
      </c>
      <c r="N939" s="753">
        <f>105359+34033+16504-N940</f>
        <v>115162</v>
      </c>
      <c r="O939" s="753">
        <f>106290+50826-O940</f>
        <v>116255</v>
      </c>
      <c r="P939" s="1253">
        <f>+P496+P461</f>
        <v>116719</v>
      </c>
      <c r="Q939" s="1254">
        <f>+Q496+Q461</f>
        <v>118926</v>
      </c>
      <c r="R939" s="752">
        <f t="shared" ref="R939:R960" si="1451">Q939</f>
        <v>118926</v>
      </c>
      <c r="S939" s="1253">
        <f>+S496+S461</f>
        <v>120901</v>
      </c>
      <c r="T939" s="1253">
        <f>+T496+T461</f>
        <v>122904</v>
      </c>
      <c r="U939" s="1253">
        <f>+U496+U461</f>
        <v>123834</v>
      </c>
      <c r="V939" s="1255">
        <f>+V496+V461</f>
        <v>125130</v>
      </c>
      <c r="W939" s="752">
        <f t="shared" ref="W939:W960" si="1452">V939</f>
        <v>125130</v>
      </c>
      <c r="X939" s="1253">
        <f>+X496+X461</f>
        <v>125745</v>
      </c>
      <c r="Y939" s="1253">
        <f>+Y496+Y461</f>
        <v>127308</v>
      </c>
      <c r="Z939" s="1253">
        <f>+Z496+Z461</f>
        <v>128156</v>
      </c>
      <c r="AA939" s="1253">
        <f>+AA496+AA461</f>
        <v>129448</v>
      </c>
      <c r="AB939" s="752">
        <f t="shared" ref="AB939:AB973" si="1453">+AA939</f>
        <v>129448</v>
      </c>
      <c r="AC939" s="750">
        <f>+AC496+AC461</f>
        <v>129060</v>
      </c>
      <c r="AD939" s="750">
        <f>+AD496+AD461</f>
        <v>130252</v>
      </c>
      <c r="AE939" s="750">
        <f>+AE496+AE461</f>
        <v>130609</v>
      </c>
      <c r="AF939" s="751">
        <f>+AF496+AF461</f>
        <v>132120</v>
      </c>
      <c r="AG939" s="752">
        <f t="shared" ref="AG939:AG973" si="1454">+AF939</f>
        <v>132120</v>
      </c>
      <c r="AH939" s="750">
        <f>+AH496+AH461</f>
        <v>133294</v>
      </c>
      <c r="AI939" s="750">
        <f>+AI496+AI461</f>
        <v>134049</v>
      </c>
      <c r="AJ939" s="750">
        <f>+AJ496+AJ461</f>
        <v>134176</v>
      </c>
      <c r="AK939" s="751">
        <f>+AK496+AK461</f>
        <v>134490</v>
      </c>
      <c r="AL939" s="752">
        <f t="shared" ref="AL939:AL973" si="1455">+AK939</f>
        <v>134490</v>
      </c>
      <c r="AM939" s="750">
        <f>+AM496+AM461</f>
        <v>133911</v>
      </c>
      <c r="AN939" s="750">
        <f>+AN496+AN461</f>
        <v>134193</v>
      </c>
      <c r="AO939" s="750">
        <f>+AO496+AO461</f>
        <v>133919</v>
      </c>
      <c r="AP939" s="751">
        <f>+AP496+AP461</f>
        <v>134656</v>
      </c>
      <c r="AQ939" s="752">
        <f t="shared" ref="AQ939:AQ973" si="1456">+AP939</f>
        <v>134656</v>
      </c>
      <c r="AR939" s="750">
        <f>+AR496+AR461</f>
        <v>135183</v>
      </c>
      <c r="AS939" s="750">
        <f>+AS496+AS461</f>
        <v>135082</v>
      </c>
      <c r="AT939" s="750">
        <f>+AT496+AT461</f>
        <v>135450</v>
      </c>
      <c r="AU939" s="751">
        <f>+AU496+AU461</f>
        <v>136565</v>
      </c>
      <c r="AV939" s="752">
        <f t="shared" ref="AV939:AV973" si="1457">+AU939</f>
        <v>136565</v>
      </c>
      <c r="AW939" s="750">
        <f>+AW496+AW461</f>
        <v>136884</v>
      </c>
      <c r="AX939" s="750">
        <f>+AX496+AX461</f>
        <v>136898</v>
      </c>
      <c r="AY939" s="750">
        <f>+AY496+AY461</f>
        <v>137233</v>
      </c>
      <c r="AZ939" s="758">
        <f>+AZ496+AZ461</f>
        <v>138113</v>
      </c>
      <c r="BA939" s="752">
        <f t="shared" ref="BA939:BA973" si="1458">+AZ939</f>
        <v>138113</v>
      </c>
      <c r="BB939" s="750">
        <f>+BB496+BB461</f>
        <v>140235</v>
      </c>
      <c r="BC939" s="750">
        <f>+BC496+BC461</f>
        <v>139772</v>
      </c>
      <c r="BD939" s="750">
        <f>+BD496+BD461</f>
        <v>140230</v>
      </c>
      <c r="BE939" s="751">
        <f>+BE496+BE461</f>
        <v>141302</v>
      </c>
      <c r="BF939" s="752">
        <f t="shared" ref="BF939:BF973" si="1459">+BE939</f>
        <v>141302</v>
      </c>
      <c r="BG939" s="750">
        <f>+BG496+BG461</f>
        <v>141829</v>
      </c>
      <c r="BH939" s="750">
        <f>+BH496+BH461</f>
        <v>141829</v>
      </c>
      <c r="BI939" s="750">
        <f>+BI496+BI461</f>
        <v>141532</v>
      </c>
      <c r="BJ939" s="750">
        <f>+BJ496+BJ461</f>
        <v>141217</v>
      </c>
      <c r="BK939" s="752">
        <f>BJ939</f>
        <v>141217</v>
      </c>
      <c r="BL939" s="750">
        <f>+BL496+BL461</f>
        <v>140414</v>
      </c>
      <c r="BM939" s="750">
        <f>+BM496+BM461</f>
        <v>140145</v>
      </c>
      <c r="BN939" s="750">
        <f>+BN496+BN461</f>
        <v>139514</v>
      </c>
      <c r="BO939" s="750">
        <f>+BO496+BO461</f>
        <v>140013</v>
      </c>
      <c r="BP939" s="752">
        <f>+BO939</f>
        <v>140013</v>
      </c>
      <c r="BQ939" s="750">
        <f>+BQ496+BQ461</f>
        <v>138965</v>
      </c>
      <c r="BR939" s="750">
        <f>+BR496+BR461</f>
        <v>138962</v>
      </c>
      <c r="BS939" s="750">
        <f>+BS496+BS461</f>
        <v>138262</v>
      </c>
      <c r="BT939" s="750">
        <f>+BT496+BT461</f>
        <v>136758</v>
      </c>
      <c r="BU939" s="752">
        <f>+BT939</f>
        <v>136758</v>
      </c>
      <c r="BV939" s="750">
        <f>+BV496+BV461</f>
        <v>136755</v>
      </c>
      <c r="BW939" s="750">
        <f>+BW496+BW461</f>
        <v>138145</v>
      </c>
      <c r="BX939" s="750">
        <f>+BX496+BX461</f>
        <v>138473</v>
      </c>
      <c r="BY939" s="750">
        <f>+BY496+BY461</f>
        <v>138473</v>
      </c>
      <c r="BZ939" s="752">
        <f>+BY939</f>
        <v>138473</v>
      </c>
      <c r="CA939" s="750">
        <f>+CA496+CA461</f>
        <v>144512</v>
      </c>
      <c r="CB939" s="750">
        <f>+CB496+CB461</f>
        <v>144772</v>
      </c>
      <c r="CC939" s="750">
        <f>+CC496+CC461</f>
        <v>146133</v>
      </c>
      <c r="CD939" s="750">
        <f>+CD496+CD461</f>
        <v>146482</v>
      </c>
      <c r="CE939" s="752">
        <f t="shared" ref="CE939:CE973" si="1460">+CD939</f>
        <v>146482</v>
      </c>
      <c r="CF939" s="750">
        <f>+CF496+CF461</f>
        <v>146104</v>
      </c>
      <c r="CG939" s="750">
        <f>+CG496+CG461</f>
        <v>145833</v>
      </c>
      <c r="CH939" s="750">
        <f>+CH496+CH461</f>
        <v>132248</v>
      </c>
      <c r="CI939" s="750">
        <f>+CI496+CI461</f>
        <v>133711</v>
      </c>
      <c r="CJ939" s="752">
        <f>+CI939</f>
        <v>133711</v>
      </c>
      <c r="CK939" s="3540">
        <f>+CK496+CK461</f>
        <v>132907</v>
      </c>
      <c r="CL939" s="750">
        <f>+CL496+CL461</f>
        <v>133552</v>
      </c>
      <c r="CM939" s="750">
        <f>+CM496+CM461</f>
        <v>135713</v>
      </c>
      <c r="CN939" s="750">
        <f>+CN496+CN461</f>
        <v>135669</v>
      </c>
      <c r="CO939" s="752">
        <f>+CN939</f>
        <v>135669</v>
      </c>
      <c r="CP939" s="750">
        <f t="shared" ref="CP939:CS946" si="1461">+CK939</f>
        <v>132907</v>
      </c>
      <c r="CQ939" s="750">
        <f t="shared" si="1461"/>
        <v>133552</v>
      </c>
      <c r="CR939" s="750">
        <f t="shared" si="1461"/>
        <v>135713</v>
      </c>
      <c r="CS939" s="750">
        <f t="shared" si="1461"/>
        <v>135669</v>
      </c>
      <c r="CT939" s="752">
        <f>+CS939</f>
        <v>135669</v>
      </c>
      <c r="CU939" s="752">
        <f>+CT939</f>
        <v>135669</v>
      </c>
      <c r="CV939" s="752">
        <f>+CU939</f>
        <v>135669</v>
      </c>
      <c r="CW939" s="1201"/>
      <c r="CX939" s="1201"/>
      <c r="CY939" s="1201"/>
      <c r="CZ939" s="1201"/>
      <c r="DA939" s="1201"/>
      <c r="DB939" s="217"/>
      <c r="DC939" s="212"/>
      <c r="DD939" s="234"/>
    </row>
    <row r="940" spans="1:108" s="207" customFormat="1" hidden="1" outlineLevel="1" x14ac:dyDescent="0.2">
      <c r="A940" s="1264" t="s">
        <v>312</v>
      </c>
      <c r="B940" s="1240"/>
      <c r="C940" s="1241"/>
      <c r="D940" s="750"/>
      <c r="E940" s="750"/>
      <c r="F940" s="750"/>
      <c r="G940" s="758"/>
      <c r="H940" s="752"/>
      <c r="I940" s="756">
        <f>22481+13758</f>
        <v>36239</v>
      </c>
      <c r="J940" s="753">
        <f>23198+14898</f>
        <v>38096</v>
      </c>
      <c r="K940" s="753">
        <f>23691+15930</f>
        <v>39621</v>
      </c>
      <c r="L940" s="756">
        <f>24379+16205</f>
        <v>40584</v>
      </c>
      <c r="M940" s="752">
        <f t="shared" si="1450"/>
        <v>40584</v>
      </c>
      <c r="N940" s="753">
        <f>24230+16504</f>
        <v>40734</v>
      </c>
      <c r="O940" s="753">
        <f>24617+16244</f>
        <v>40861</v>
      </c>
      <c r="P940" s="1253">
        <f>+P639+P605</f>
        <v>42530</v>
      </c>
      <c r="Q940" s="1254">
        <f>+Q639+Q605</f>
        <v>43270</v>
      </c>
      <c r="R940" s="752">
        <f t="shared" si="1451"/>
        <v>43270</v>
      </c>
      <c r="S940" s="1253">
        <f>+S639+S605</f>
        <v>44202</v>
      </c>
      <c r="T940" s="1253">
        <f>+T639+T605</f>
        <v>44629</v>
      </c>
      <c r="U940" s="1253">
        <f>+U639+U605</f>
        <v>46105</v>
      </c>
      <c r="V940" s="1255">
        <f>+V639+V605</f>
        <v>46363</v>
      </c>
      <c r="W940" s="752">
        <f t="shared" si="1452"/>
        <v>46363</v>
      </c>
      <c r="X940" s="1253">
        <f>+X639+X605</f>
        <v>45671</v>
      </c>
      <c r="Y940" s="1253">
        <f>+Y639+Y605</f>
        <v>46355</v>
      </c>
      <c r="Z940" s="1253">
        <f>+Z639+Z605</f>
        <v>46857</v>
      </c>
      <c r="AA940" s="1253">
        <f>+AA639+AA605</f>
        <v>46905</v>
      </c>
      <c r="AB940" s="752">
        <f t="shared" si="1453"/>
        <v>46905</v>
      </c>
      <c r="AC940" s="750">
        <f>+AC639+AC605</f>
        <v>46921</v>
      </c>
      <c r="AD940" s="750">
        <f>+AD639+AD605</f>
        <v>47517</v>
      </c>
      <c r="AE940" s="750">
        <f>+AE639+AE605</f>
        <v>47575</v>
      </c>
      <c r="AF940" s="751">
        <f>+AF639+AF605</f>
        <v>47572</v>
      </c>
      <c r="AG940" s="752">
        <f t="shared" si="1454"/>
        <v>47572</v>
      </c>
      <c r="AH940" s="750">
        <f>+AH639+AH605</f>
        <v>48171</v>
      </c>
      <c r="AI940" s="750">
        <f>+AI639+AI605</f>
        <v>48022</v>
      </c>
      <c r="AJ940" s="750">
        <f>+AJ639+AJ605</f>
        <v>47790</v>
      </c>
      <c r="AK940" s="751">
        <f>+AK639+AK605</f>
        <v>48269</v>
      </c>
      <c r="AL940" s="752">
        <f t="shared" si="1455"/>
        <v>48269</v>
      </c>
      <c r="AM940" s="750">
        <f>+AM639+AM605</f>
        <v>48891</v>
      </c>
      <c r="AN940" s="750">
        <f>+AN639+AN605</f>
        <v>49001</v>
      </c>
      <c r="AO940" s="750">
        <f>+AO639+AO605</f>
        <v>50317</v>
      </c>
      <c r="AP940" s="751">
        <f>+AP639+AP605</f>
        <v>50534</v>
      </c>
      <c r="AQ940" s="752">
        <f t="shared" si="1456"/>
        <v>50534</v>
      </c>
      <c r="AR940" s="750">
        <f>+AR639+AR605</f>
        <v>50303</v>
      </c>
      <c r="AS940" s="750">
        <f>+AS639+AS605</f>
        <v>50646</v>
      </c>
      <c r="AT940" s="750">
        <f>+AT639+AT605</f>
        <v>51854</v>
      </c>
      <c r="AU940" s="751">
        <f>+AU639+AU605</f>
        <v>52646</v>
      </c>
      <c r="AV940" s="752">
        <f t="shared" si="1457"/>
        <v>52646</v>
      </c>
      <c r="AW940" s="750">
        <f>+AW639+AW605</f>
        <v>53656</v>
      </c>
      <c r="AX940" s="750">
        <f>+AX639+AX605</f>
        <v>54430</v>
      </c>
      <c r="AY940" s="750">
        <f>+AY639+AY605</f>
        <v>54926</v>
      </c>
      <c r="AZ940" s="758">
        <f>+AZ639+AZ605</f>
        <v>56511</v>
      </c>
      <c r="BA940" s="752">
        <f t="shared" si="1458"/>
        <v>56511</v>
      </c>
      <c r="BB940" s="750">
        <f>+BB639+BB605</f>
        <v>57056</v>
      </c>
      <c r="BC940" s="750">
        <f>+BC639+BC605</f>
        <v>57031</v>
      </c>
      <c r="BD940" s="750">
        <f>+BD639+BD605</f>
        <v>57351</v>
      </c>
      <c r="BE940" s="751">
        <f>+BE639+BE605</f>
        <v>58070</v>
      </c>
      <c r="BF940" s="752">
        <f t="shared" si="1459"/>
        <v>58070</v>
      </c>
      <c r="BG940" s="750">
        <f>+BG639+BG605</f>
        <v>58738</v>
      </c>
      <c r="BH940" s="750">
        <f>+BH639+BH605</f>
        <v>59398</v>
      </c>
      <c r="BI940" s="750">
        <f>+BI639+BI605</f>
        <v>59804</v>
      </c>
      <c r="BJ940" s="750">
        <f>+BJ639+BJ605</f>
        <v>60114</v>
      </c>
      <c r="BK940" s="752">
        <f t="shared" ref="BK940:BK973" si="1462">BJ940</f>
        <v>60114</v>
      </c>
      <c r="BL940" s="750">
        <f>+BL639+BL605</f>
        <v>59368</v>
      </c>
      <c r="BM940" s="750">
        <f>+BM639+BM605</f>
        <v>59433</v>
      </c>
      <c r="BN940" s="750">
        <f>+BN639+BN605</f>
        <v>59533</v>
      </c>
      <c r="BO940" s="750">
        <f>+BO639+BO605</f>
        <v>60892</v>
      </c>
      <c r="BP940" s="752">
        <f t="shared" ref="BP940:BP973" si="1463">+BO940</f>
        <v>60892</v>
      </c>
      <c r="BQ940" s="750">
        <f>+BQ639+BQ605</f>
        <v>62044</v>
      </c>
      <c r="BR940" s="750">
        <f>+BR639+BR605</f>
        <v>61723</v>
      </c>
      <c r="BS940" s="750">
        <f>+BS639+BS605</f>
        <v>62714</v>
      </c>
      <c r="BT940" s="750">
        <f>+BT639+BT605</f>
        <v>64102</v>
      </c>
      <c r="BU940" s="752">
        <f t="shared" ref="BU940:BU973" si="1464">+BT940</f>
        <v>64102</v>
      </c>
      <c r="BV940" s="750">
        <f>+BV639+BV605</f>
        <v>65674</v>
      </c>
      <c r="BW940" s="750">
        <f>+BW639+BW605</f>
        <v>66103</v>
      </c>
      <c r="BX940" s="750">
        <f>+BX639+BX605</f>
        <v>66709</v>
      </c>
      <c r="BY940" s="750">
        <f>+BY639+BY605</f>
        <v>69489</v>
      </c>
      <c r="BZ940" s="752">
        <f t="shared" ref="BZ940:BZ973" si="1465">+BY940</f>
        <v>69489</v>
      </c>
      <c r="CA940" s="750">
        <f>+CA639+CA605</f>
        <v>65895</v>
      </c>
      <c r="CB940" s="750">
        <f>+CB639+CB605</f>
        <v>67951</v>
      </c>
      <c r="CC940" s="750">
        <f>+CC639+CC605</f>
        <v>68802</v>
      </c>
      <c r="CD940" s="750">
        <f>+CD639+CD605</f>
        <v>70794</v>
      </c>
      <c r="CE940" s="752">
        <f t="shared" si="1460"/>
        <v>70794</v>
      </c>
      <c r="CF940" s="750">
        <f>+CF639+CF605</f>
        <v>72057</v>
      </c>
      <c r="CG940" s="750">
        <f>+CG639+CG605</f>
        <v>73743</v>
      </c>
      <c r="CH940" s="750">
        <f>+CH639+CH605</f>
        <v>54766</v>
      </c>
      <c r="CI940" s="750">
        <f>+CI639+CI605</f>
        <v>57038</v>
      </c>
      <c r="CJ940" s="752">
        <f t="shared" ref="CJ940:CJ949" si="1466">+CI940</f>
        <v>57038</v>
      </c>
      <c r="CK940" s="3540">
        <f>+CK639+CK605</f>
        <v>57561</v>
      </c>
      <c r="CL940" s="750">
        <f>+CL639+CL605</f>
        <v>58567</v>
      </c>
      <c r="CM940" s="750">
        <f>+CM639+CM605</f>
        <v>59610</v>
      </c>
      <c r="CN940" s="750">
        <f>+CN639+CN605</f>
        <v>61322</v>
      </c>
      <c r="CO940" s="752">
        <f t="shared" ref="CO940:CO949" si="1467">+CN940</f>
        <v>61322</v>
      </c>
      <c r="CP940" s="750">
        <f t="shared" si="1461"/>
        <v>57561</v>
      </c>
      <c r="CQ940" s="750">
        <f t="shared" si="1461"/>
        <v>58567</v>
      </c>
      <c r="CR940" s="750">
        <f t="shared" si="1461"/>
        <v>59610</v>
      </c>
      <c r="CS940" s="750">
        <f t="shared" si="1461"/>
        <v>61322</v>
      </c>
      <c r="CT940" s="752">
        <f t="shared" ref="CT940:CT949" si="1468">+CS940</f>
        <v>61322</v>
      </c>
      <c r="CU940" s="752">
        <f t="shared" ref="CU940:CV949" si="1469">+CT940</f>
        <v>61322</v>
      </c>
      <c r="CV940" s="752">
        <f t="shared" si="1469"/>
        <v>61322</v>
      </c>
      <c r="CW940" s="1201"/>
      <c r="CX940" s="1201"/>
      <c r="CY940" s="1201"/>
      <c r="CZ940" s="1201"/>
      <c r="DA940" s="1201"/>
      <c r="DB940" s="217"/>
      <c r="DC940" s="212"/>
      <c r="DD940" s="234"/>
    </row>
    <row r="941" spans="1:108" s="207" customFormat="1" hidden="1" outlineLevel="1" x14ac:dyDescent="0.2">
      <c r="A941" s="1264" t="s">
        <v>313</v>
      </c>
      <c r="B941" s="1240"/>
      <c r="C941" s="1241"/>
      <c r="D941" s="750"/>
      <c r="E941" s="750"/>
      <c r="F941" s="750"/>
      <c r="G941" s="758"/>
      <c r="H941" s="752"/>
      <c r="I941" s="756">
        <f>13094-I942</f>
        <v>7839</v>
      </c>
      <c r="J941" s="753">
        <f>13440-J942</f>
        <v>8185</v>
      </c>
      <c r="K941" s="753">
        <f>13921-K942</f>
        <v>8668</v>
      </c>
      <c r="L941" s="756">
        <f>14674-L942</f>
        <v>8796</v>
      </c>
      <c r="M941" s="752">
        <f t="shared" si="1450"/>
        <v>8796</v>
      </c>
      <c r="N941" s="753">
        <f>15213-N942</f>
        <v>9389</v>
      </c>
      <c r="O941" s="753">
        <f>15752-O942</f>
        <v>9920</v>
      </c>
      <c r="P941" s="1253">
        <f>+P500+P465</f>
        <v>9920</v>
      </c>
      <c r="Q941" s="1254">
        <f>+Q500+Q465</f>
        <v>10270</v>
      </c>
      <c r="R941" s="752">
        <f t="shared" si="1451"/>
        <v>10270</v>
      </c>
      <c r="S941" s="1253">
        <f>+S500+S465</f>
        <v>10620</v>
      </c>
      <c r="T941" s="1253">
        <f>+T500+T465</f>
        <v>10709</v>
      </c>
      <c r="U941" s="1253">
        <f>+U500+U465</f>
        <v>11293</v>
      </c>
      <c r="V941" s="1255">
        <f>+V500+V465</f>
        <v>11669</v>
      </c>
      <c r="W941" s="752">
        <f t="shared" si="1452"/>
        <v>11669</v>
      </c>
      <c r="X941" s="1253">
        <f>+X500+X465</f>
        <v>11664</v>
      </c>
      <c r="Y941" s="1253">
        <f>+Y500+Y465</f>
        <v>11664</v>
      </c>
      <c r="Z941" s="1253">
        <f>+Z500+Z465</f>
        <v>11633</v>
      </c>
      <c r="AA941" s="1253">
        <f>+AA500+AA465</f>
        <v>11629</v>
      </c>
      <c r="AB941" s="752">
        <f t="shared" si="1453"/>
        <v>11629</v>
      </c>
      <c r="AC941" s="750">
        <f>+AC500+AC465</f>
        <v>11616</v>
      </c>
      <c r="AD941" s="750">
        <f>+AD500+AD465</f>
        <v>11616</v>
      </c>
      <c r="AE941" s="750">
        <f>+AE500+AE465</f>
        <v>11616</v>
      </c>
      <c r="AF941" s="751">
        <f>+AF500+AF465</f>
        <v>11616</v>
      </c>
      <c r="AG941" s="752">
        <f t="shared" si="1454"/>
        <v>11616</v>
      </c>
      <c r="AH941" s="750">
        <f>+AH500+AH465</f>
        <v>11616</v>
      </c>
      <c r="AI941" s="750">
        <f>+AI500+AI465</f>
        <v>11616</v>
      </c>
      <c r="AJ941" s="750">
        <f>+AJ500+AJ465</f>
        <v>11616</v>
      </c>
      <c r="AK941" s="751">
        <f>+AK500+AK465</f>
        <v>11616</v>
      </c>
      <c r="AL941" s="752">
        <f t="shared" si="1455"/>
        <v>11616</v>
      </c>
      <c r="AM941" s="750">
        <f>+AM500+AM465</f>
        <v>11343</v>
      </c>
      <c r="AN941" s="750">
        <f>+AN500+AN465</f>
        <v>11343</v>
      </c>
      <c r="AO941" s="750">
        <f>+AO500+AO465</f>
        <v>11530</v>
      </c>
      <c r="AP941" s="751">
        <f>+AP500+AP465</f>
        <v>11627</v>
      </c>
      <c r="AQ941" s="752">
        <f t="shared" si="1456"/>
        <v>11627</v>
      </c>
      <c r="AR941" s="750">
        <f>+AR500+AR465</f>
        <v>11437</v>
      </c>
      <c r="AS941" s="750">
        <f>+AS500+AS465</f>
        <v>11437</v>
      </c>
      <c r="AT941" s="750">
        <f>+AT500+AT465</f>
        <v>11603</v>
      </c>
      <c r="AU941" s="751">
        <f>+AU500+AU465</f>
        <v>11629</v>
      </c>
      <c r="AV941" s="752">
        <f t="shared" si="1457"/>
        <v>11629</v>
      </c>
      <c r="AW941" s="750">
        <f>+AW500+AW465</f>
        <v>11652</v>
      </c>
      <c r="AX941" s="750">
        <f>+AX500+AX465</f>
        <v>11549</v>
      </c>
      <c r="AY941" s="750">
        <f>+AY500+AY465</f>
        <v>11549</v>
      </c>
      <c r="AZ941" s="758">
        <f>+AZ500+AZ465</f>
        <v>12115</v>
      </c>
      <c r="BA941" s="752">
        <f t="shared" si="1458"/>
        <v>12115</v>
      </c>
      <c r="BB941" s="750">
        <f>+BB500+BB465</f>
        <v>12120</v>
      </c>
      <c r="BC941" s="750">
        <f>+BC500+BC465</f>
        <v>11587</v>
      </c>
      <c r="BD941" s="750">
        <f>+BD500+BD465</f>
        <v>11587</v>
      </c>
      <c r="BE941" s="751">
        <f>+BE500+BE465</f>
        <v>11587</v>
      </c>
      <c r="BF941" s="752">
        <f t="shared" si="1459"/>
        <v>11587</v>
      </c>
      <c r="BG941" s="750">
        <f>+BG500+BG465</f>
        <v>11587</v>
      </c>
      <c r="BH941" s="750">
        <f>+BH500+BH465</f>
        <v>11587</v>
      </c>
      <c r="BI941" s="750">
        <f>+BI500+BI465</f>
        <v>11587</v>
      </c>
      <c r="BJ941" s="750">
        <f>+BJ500+BJ465</f>
        <v>11587</v>
      </c>
      <c r="BK941" s="752">
        <f t="shared" si="1462"/>
        <v>11587</v>
      </c>
      <c r="BL941" s="750">
        <f>+BL500+BL465</f>
        <v>11587</v>
      </c>
      <c r="BM941" s="750">
        <f>+BM500+BM465</f>
        <v>11587</v>
      </c>
      <c r="BN941" s="750">
        <f>+BN500+BN465</f>
        <v>11587</v>
      </c>
      <c r="BO941" s="750">
        <f>+BO500+BO465</f>
        <v>11357</v>
      </c>
      <c r="BP941" s="752">
        <f t="shared" si="1463"/>
        <v>11357</v>
      </c>
      <c r="BQ941" s="750">
        <f>+BQ500+BQ465</f>
        <v>11357</v>
      </c>
      <c r="BR941" s="750">
        <f>+BR500+BR465</f>
        <v>11356</v>
      </c>
      <c r="BS941" s="750">
        <f>+BS500+BS465</f>
        <v>11048</v>
      </c>
      <c r="BT941" s="750">
        <f>+BT500+BT465</f>
        <v>11040</v>
      </c>
      <c r="BU941" s="752">
        <f t="shared" si="1464"/>
        <v>11040</v>
      </c>
      <c r="BV941" s="750">
        <f>+BV500+BV465</f>
        <v>11040</v>
      </c>
      <c r="BW941" s="750">
        <f>+BW500+BW465</f>
        <v>11300</v>
      </c>
      <c r="BX941" s="750">
        <f>+BX500+BX465</f>
        <v>11300</v>
      </c>
      <c r="BY941" s="750">
        <f>+BY500+BY465</f>
        <v>11424</v>
      </c>
      <c r="BZ941" s="752">
        <f t="shared" si="1465"/>
        <v>11424</v>
      </c>
      <c r="CA941" s="750">
        <f>+CA500+CA465</f>
        <v>11691</v>
      </c>
      <c r="CB941" s="750">
        <f>+CB500+CB465</f>
        <v>11691</v>
      </c>
      <c r="CC941" s="750">
        <f>+CC500+CC465</f>
        <v>11839</v>
      </c>
      <c r="CD941" s="750">
        <f>+CD500+CD465</f>
        <v>11839</v>
      </c>
      <c r="CE941" s="752">
        <f t="shared" si="1460"/>
        <v>11839</v>
      </c>
      <c r="CF941" s="750">
        <f>+CF500+CF465</f>
        <v>11843</v>
      </c>
      <c r="CG941" s="750">
        <f>+CG500+CG465</f>
        <v>11839</v>
      </c>
      <c r="CH941" s="750">
        <f>+CH500+CH465</f>
        <v>11839</v>
      </c>
      <c r="CI941" s="750">
        <f>+CI500+CI465</f>
        <v>11839</v>
      </c>
      <c r="CJ941" s="752">
        <f t="shared" si="1466"/>
        <v>11839</v>
      </c>
      <c r="CK941" s="3540">
        <f>+CK500+CK465</f>
        <v>11842</v>
      </c>
      <c r="CL941" s="750">
        <f>+CL500+CL465</f>
        <v>11842</v>
      </c>
      <c r="CM941" s="750">
        <f>+CM500+CM465</f>
        <v>12193</v>
      </c>
      <c r="CN941" s="750">
        <f>+CN500+CN465</f>
        <v>11685</v>
      </c>
      <c r="CO941" s="752">
        <f t="shared" si="1467"/>
        <v>11685</v>
      </c>
      <c r="CP941" s="750">
        <f t="shared" si="1461"/>
        <v>11842</v>
      </c>
      <c r="CQ941" s="750">
        <f t="shared" si="1461"/>
        <v>11842</v>
      </c>
      <c r="CR941" s="750">
        <f t="shared" si="1461"/>
        <v>12193</v>
      </c>
      <c r="CS941" s="750">
        <f t="shared" si="1461"/>
        <v>11685</v>
      </c>
      <c r="CT941" s="752">
        <f t="shared" si="1468"/>
        <v>11685</v>
      </c>
      <c r="CU941" s="752">
        <f t="shared" si="1469"/>
        <v>11685</v>
      </c>
      <c r="CV941" s="752">
        <f t="shared" si="1469"/>
        <v>11685</v>
      </c>
      <c r="CW941" s="1201"/>
      <c r="CX941" s="1201"/>
      <c r="CY941" s="1201"/>
      <c r="CZ941" s="1201"/>
      <c r="DA941" s="1201"/>
      <c r="DB941" s="217"/>
      <c r="DC941" s="212"/>
      <c r="DD941" s="234"/>
    </row>
    <row r="942" spans="1:108" s="207" customFormat="1" hidden="1" outlineLevel="1" x14ac:dyDescent="0.2">
      <c r="A942" s="1264" t="s">
        <v>314</v>
      </c>
      <c r="B942" s="1240"/>
      <c r="C942" s="1241"/>
      <c r="D942" s="750"/>
      <c r="E942" s="750"/>
      <c r="F942" s="750"/>
      <c r="G942" s="758"/>
      <c r="H942" s="752"/>
      <c r="I942" s="756">
        <v>5255</v>
      </c>
      <c r="J942" s="753">
        <v>5255</v>
      </c>
      <c r="K942" s="753">
        <v>5253</v>
      </c>
      <c r="L942" s="756">
        <v>5878</v>
      </c>
      <c r="M942" s="752">
        <f t="shared" si="1450"/>
        <v>5878</v>
      </c>
      <c r="N942" s="753">
        <v>5824</v>
      </c>
      <c r="O942" s="753">
        <v>5832</v>
      </c>
      <c r="P942" s="1253">
        <f>+P643+P609</f>
        <v>5832</v>
      </c>
      <c r="Q942" s="1254">
        <f>+Q643+Q609</f>
        <v>6096</v>
      </c>
      <c r="R942" s="752">
        <f t="shared" si="1451"/>
        <v>6096</v>
      </c>
      <c r="S942" s="1253">
        <f>+S643+S609</f>
        <v>6096</v>
      </c>
      <c r="T942" s="1253">
        <f>+T643+T609</f>
        <v>6301</v>
      </c>
      <c r="U942" s="1253">
        <f>+U643+U609</f>
        <v>6301</v>
      </c>
      <c r="V942" s="1255">
        <f>+V643+V609</f>
        <v>6478</v>
      </c>
      <c r="W942" s="752">
        <f t="shared" si="1452"/>
        <v>6478</v>
      </c>
      <c r="X942" s="1253">
        <f>+X643+X609</f>
        <v>6478</v>
      </c>
      <c r="Y942" s="1253">
        <f>+Y643+Y609</f>
        <v>6478</v>
      </c>
      <c r="Z942" s="1253">
        <f>+Z643+Z609</f>
        <v>6478</v>
      </c>
      <c r="AA942" s="1253">
        <f>+AA643+AA609</f>
        <v>6480</v>
      </c>
      <c r="AB942" s="752">
        <f t="shared" si="1453"/>
        <v>6480</v>
      </c>
      <c r="AC942" s="750">
        <f>+AC643+AC609</f>
        <v>6480</v>
      </c>
      <c r="AD942" s="750">
        <f>+AD643+AD609</f>
        <v>6813</v>
      </c>
      <c r="AE942" s="750">
        <f>+AE643+AE609</f>
        <v>6813</v>
      </c>
      <c r="AF942" s="751">
        <f>+AF643+AF609</f>
        <v>7215</v>
      </c>
      <c r="AG942" s="752">
        <f t="shared" si="1454"/>
        <v>7215</v>
      </c>
      <c r="AH942" s="750">
        <f>+AH643+AH609</f>
        <v>7312</v>
      </c>
      <c r="AI942" s="750">
        <f>+AI643+AI609</f>
        <v>7312</v>
      </c>
      <c r="AJ942" s="750">
        <f>+AJ643+AJ609</f>
        <v>7312</v>
      </c>
      <c r="AK942" s="751">
        <f>+AK643+AK609</f>
        <v>7336</v>
      </c>
      <c r="AL942" s="752">
        <f t="shared" si="1455"/>
        <v>7336</v>
      </c>
      <c r="AM942" s="750">
        <f>+AM643+AM609</f>
        <v>7538</v>
      </c>
      <c r="AN942" s="750">
        <f>+AN643+AN609</f>
        <v>7783</v>
      </c>
      <c r="AO942" s="750">
        <f>+AO643+AO609</f>
        <v>8596</v>
      </c>
      <c r="AP942" s="751">
        <f>+AP643+AP609</f>
        <v>9274</v>
      </c>
      <c r="AQ942" s="752">
        <f t="shared" si="1456"/>
        <v>9274</v>
      </c>
      <c r="AR942" s="750">
        <f>+AR643+AR609</f>
        <v>9409</v>
      </c>
      <c r="AS942" s="750">
        <f>+AS643+AS609</f>
        <v>9826</v>
      </c>
      <c r="AT942" s="750">
        <f>+AT643+AT609</f>
        <v>9826</v>
      </c>
      <c r="AU942" s="751">
        <f>+AU643+AU609</f>
        <v>9950</v>
      </c>
      <c r="AV942" s="752">
        <f t="shared" si="1457"/>
        <v>9950</v>
      </c>
      <c r="AW942" s="750">
        <f>+AW643+AW609</f>
        <v>10223</v>
      </c>
      <c r="AX942" s="750">
        <f>+AX643+AX609</f>
        <v>9859</v>
      </c>
      <c r="AY942" s="750">
        <f>+AY643+AY609</f>
        <v>9859</v>
      </c>
      <c r="AZ942" s="758">
        <f>+AZ643+AZ609</f>
        <v>9913</v>
      </c>
      <c r="BA942" s="752">
        <f t="shared" si="1458"/>
        <v>9913</v>
      </c>
      <c r="BB942" s="750">
        <f>+BB643+BB609</f>
        <v>9897</v>
      </c>
      <c r="BC942" s="750">
        <f>+BC643+BC609</f>
        <v>9897</v>
      </c>
      <c r="BD942" s="750">
        <f>+BD643+BD609</f>
        <v>10183</v>
      </c>
      <c r="BE942" s="751">
        <f>+BE643+BE609</f>
        <v>10183</v>
      </c>
      <c r="BF942" s="752">
        <f t="shared" si="1459"/>
        <v>10183</v>
      </c>
      <c r="BG942" s="750">
        <f>+BG643+BG609</f>
        <v>10788</v>
      </c>
      <c r="BH942" s="750">
        <f>+BH643+BH609</f>
        <v>11100</v>
      </c>
      <c r="BI942" s="750">
        <f>+BI643+BI609</f>
        <v>11350</v>
      </c>
      <c r="BJ942" s="750">
        <f>+BJ643+BJ609</f>
        <v>11843</v>
      </c>
      <c r="BK942" s="752">
        <f t="shared" si="1462"/>
        <v>11843</v>
      </c>
      <c r="BL942" s="750">
        <f>+BL643+BL609</f>
        <v>11843</v>
      </c>
      <c r="BM942" s="750">
        <f>+BM643+BM609</f>
        <v>11940</v>
      </c>
      <c r="BN942" s="750">
        <f>+BN643+BN609</f>
        <v>12142</v>
      </c>
      <c r="BO942" s="750">
        <f>+BO643+BO609</f>
        <v>12257</v>
      </c>
      <c r="BP942" s="752">
        <f t="shared" si="1463"/>
        <v>12257</v>
      </c>
      <c r="BQ942" s="750">
        <f>+BQ643+BQ609</f>
        <v>12967</v>
      </c>
      <c r="BR942" s="750">
        <f>+BR643+BR609</f>
        <v>12502</v>
      </c>
      <c r="BS942" s="750">
        <f>+BS643+BS609</f>
        <v>12507</v>
      </c>
      <c r="BT942" s="750">
        <f>+BT643+BT609</f>
        <v>13797</v>
      </c>
      <c r="BU942" s="752">
        <f t="shared" si="1464"/>
        <v>13797</v>
      </c>
      <c r="BV942" s="750">
        <f>+BV643+BV609</f>
        <v>13624</v>
      </c>
      <c r="BW942" s="750">
        <f>+BW643+BW609</f>
        <v>13624</v>
      </c>
      <c r="BX942" s="750">
        <f>+BX643+BX609</f>
        <v>13624</v>
      </c>
      <c r="BY942" s="750">
        <f>+BY643+BY609</f>
        <v>13937</v>
      </c>
      <c r="BZ942" s="752">
        <f t="shared" si="1465"/>
        <v>13937</v>
      </c>
      <c r="CA942" s="750">
        <f>+CA643+CA609</f>
        <v>13660</v>
      </c>
      <c r="CB942" s="750">
        <f>+CB643+CB609</f>
        <v>13904</v>
      </c>
      <c r="CC942" s="750">
        <f>+CC643+CC609</f>
        <v>14158</v>
      </c>
      <c r="CD942" s="750">
        <f>+CD643+CD609</f>
        <v>14740</v>
      </c>
      <c r="CE942" s="752">
        <f t="shared" si="1460"/>
        <v>14740</v>
      </c>
      <c r="CF942" s="750">
        <f>+CF643+CF609</f>
        <v>14713</v>
      </c>
      <c r="CG942" s="750">
        <f>+CG643+CG609</f>
        <v>14713</v>
      </c>
      <c r="CH942" s="750">
        <f>+CH643+CH609</f>
        <v>14135</v>
      </c>
      <c r="CI942" s="750">
        <f>+CI643+CI609</f>
        <v>14474</v>
      </c>
      <c r="CJ942" s="752">
        <f t="shared" si="1466"/>
        <v>14474</v>
      </c>
      <c r="CK942" s="3540">
        <f>+CK643+CK609</f>
        <v>14675</v>
      </c>
      <c r="CL942" s="750">
        <f ca="1">+CL643+CL609</f>
        <v>14832</v>
      </c>
      <c r="CM942" s="750">
        <f ca="1">+CM643+CM609</f>
        <v>14947</v>
      </c>
      <c r="CN942" s="750">
        <f ca="1">+CN643+CN609</f>
        <v>15134</v>
      </c>
      <c r="CO942" s="752">
        <f t="shared" ca="1" si="1467"/>
        <v>15134</v>
      </c>
      <c r="CP942" s="750">
        <f t="shared" si="1461"/>
        <v>14675</v>
      </c>
      <c r="CQ942" s="750">
        <f t="shared" ca="1" si="1461"/>
        <v>14832</v>
      </c>
      <c r="CR942" s="750">
        <f t="shared" ca="1" si="1461"/>
        <v>14947</v>
      </c>
      <c r="CS942" s="750">
        <f t="shared" ca="1" si="1461"/>
        <v>15134</v>
      </c>
      <c r="CT942" s="752">
        <f t="shared" ca="1" si="1468"/>
        <v>15134</v>
      </c>
      <c r="CU942" s="752">
        <f t="shared" ca="1" si="1469"/>
        <v>15134</v>
      </c>
      <c r="CV942" s="752">
        <f t="shared" ca="1" si="1469"/>
        <v>15134</v>
      </c>
      <c r="CW942" s="1201"/>
      <c r="CX942" s="1201"/>
      <c r="CY942" s="1201"/>
      <c r="CZ942" s="1201"/>
      <c r="DA942" s="1201"/>
      <c r="DB942" s="217"/>
      <c r="DC942" s="212"/>
      <c r="DD942" s="234"/>
    </row>
    <row r="943" spans="1:108" s="207" customFormat="1" hidden="1" outlineLevel="1" x14ac:dyDescent="0.2">
      <c r="A943" s="1264" t="s">
        <v>315</v>
      </c>
      <c r="B943" s="1240"/>
      <c r="C943" s="1241"/>
      <c r="D943" s="750"/>
      <c r="E943" s="750"/>
      <c r="F943" s="750"/>
      <c r="G943" s="758"/>
      <c r="H943" s="752"/>
      <c r="I943" s="756">
        <f>30856+6256+4380-I944</f>
        <v>20464</v>
      </c>
      <c r="J943" s="753">
        <f>31100+6724+4380-J944</f>
        <v>20910</v>
      </c>
      <c r="K943" s="753">
        <f>31159+6723+4763-K944</f>
        <v>20909</v>
      </c>
      <c r="L943" s="756">
        <f>32713+7298+4762-L944</f>
        <v>22929</v>
      </c>
      <c r="M943" s="752">
        <f t="shared" si="1450"/>
        <v>22929</v>
      </c>
      <c r="N943" s="753">
        <f>33081+7287+4762-N944</f>
        <v>22917</v>
      </c>
      <c r="O943" s="753">
        <f>33035+12254-O944</f>
        <v>23082</v>
      </c>
      <c r="P943" s="1253">
        <f>+P497+P462</f>
        <v>23082</v>
      </c>
      <c r="Q943" s="1254">
        <f>+Q497+Q462</f>
        <v>23961</v>
      </c>
      <c r="R943" s="752">
        <f t="shared" si="1451"/>
        <v>23961</v>
      </c>
      <c r="S943" s="1253">
        <f>+S497+S462</f>
        <v>25178</v>
      </c>
      <c r="T943" s="1253">
        <f>+T497+T462</f>
        <v>24510</v>
      </c>
      <c r="U943" s="1253">
        <f>+U497+U462</f>
        <v>24591</v>
      </c>
      <c r="V943" s="1255">
        <f>+V497+V462</f>
        <v>24299</v>
      </c>
      <c r="W943" s="752">
        <f t="shared" si="1452"/>
        <v>24299</v>
      </c>
      <c r="X943" s="1253">
        <f>+X497+X462</f>
        <v>24009</v>
      </c>
      <c r="Y943" s="1253">
        <f>+Y497+Y462</f>
        <v>24244</v>
      </c>
      <c r="Z943" s="1253">
        <f>+Z497+Z462</f>
        <v>24746</v>
      </c>
      <c r="AA943" s="1253">
        <f>+AA497+AA462</f>
        <v>25474</v>
      </c>
      <c r="AB943" s="752">
        <f t="shared" si="1453"/>
        <v>25474</v>
      </c>
      <c r="AC943" s="750">
        <f>+AC497+AC462</f>
        <v>25838</v>
      </c>
      <c r="AD943" s="750">
        <f>+AD497+AD462</f>
        <v>25755</v>
      </c>
      <c r="AE943" s="750">
        <f>+AE497+AE462</f>
        <v>22590</v>
      </c>
      <c r="AF943" s="751">
        <f>+AF497+AF462</f>
        <v>22589</v>
      </c>
      <c r="AG943" s="752">
        <f t="shared" si="1454"/>
        <v>22589</v>
      </c>
      <c r="AH943" s="750">
        <f>+AH497+AH462</f>
        <v>23606</v>
      </c>
      <c r="AI943" s="750">
        <f>+AI497+AI462</f>
        <v>23999</v>
      </c>
      <c r="AJ943" s="750">
        <f>+AJ497+AJ462</f>
        <v>24106</v>
      </c>
      <c r="AK943" s="751">
        <f>+AK497+AK462</f>
        <v>24128</v>
      </c>
      <c r="AL943" s="752">
        <f t="shared" si="1455"/>
        <v>24128</v>
      </c>
      <c r="AM943" s="750">
        <f>+AM497+AM462</f>
        <v>23394</v>
      </c>
      <c r="AN943" s="750">
        <f>+AN497+AN462</f>
        <v>24391</v>
      </c>
      <c r="AO943" s="750">
        <f>+AO497+AO462</f>
        <v>24045</v>
      </c>
      <c r="AP943" s="751">
        <f>+AP497+AP462</f>
        <v>25139</v>
      </c>
      <c r="AQ943" s="752">
        <f t="shared" si="1456"/>
        <v>25139</v>
      </c>
      <c r="AR943" s="750">
        <f>+AR497+AR462</f>
        <v>26007</v>
      </c>
      <c r="AS943" s="750">
        <f>+AS497+AS462</f>
        <v>26272</v>
      </c>
      <c r="AT943" s="750">
        <f>+AT497+AT462</f>
        <v>26097</v>
      </c>
      <c r="AU943" s="751">
        <f>+AU497+AU462</f>
        <v>26325</v>
      </c>
      <c r="AV943" s="752">
        <f t="shared" si="1457"/>
        <v>26325</v>
      </c>
      <c r="AW943" s="750">
        <f>+AW497+AW462</f>
        <v>26598</v>
      </c>
      <c r="AX943" s="750">
        <f>+AX497+AX462</f>
        <v>26748</v>
      </c>
      <c r="AY943" s="750">
        <f>+AY497+AY462</f>
        <v>27059</v>
      </c>
      <c r="AZ943" s="758">
        <f>+AZ497+AZ462</f>
        <v>27469</v>
      </c>
      <c r="BA943" s="752">
        <f t="shared" si="1458"/>
        <v>27469</v>
      </c>
      <c r="BB943" s="750">
        <f>+BB497+BB462</f>
        <v>27465</v>
      </c>
      <c r="BC943" s="750">
        <f>+BC497+BC462</f>
        <v>28091</v>
      </c>
      <c r="BD943" s="750">
        <f>+BD497+BD462</f>
        <v>27812</v>
      </c>
      <c r="BE943" s="751">
        <f>+BE497+BE462</f>
        <v>27812</v>
      </c>
      <c r="BF943" s="752">
        <f t="shared" si="1459"/>
        <v>27812</v>
      </c>
      <c r="BG943" s="750">
        <f>+BG497+BG462</f>
        <v>28416</v>
      </c>
      <c r="BH943" s="750">
        <f>+BH497+BH462</f>
        <v>28416</v>
      </c>
      <c r="BI943" s="750">
        <f>+BI497+BI462</f>
        <v>28136</v>
      </c>
      <c r="BJ943" s="750">
        <f>+BJ497+BJ462</f>
        <v>28919</v>
      </c>
      <c r="BK943" s="752">
        <f t="shared" si="1462"/>
        <v>28919</v>
      </c>
      <c r="BL943" s="750">
        <f>+BL497+BL462</f>
        <v>28919</v>
      </c>
      <c r="BM943" s="750">
        <f>+BM497+BM462</f>
        <v>28919</v>
      </c>
      <c r="BN943" s="750">
        <f>+BN497+BN462</f>
        <v>28287</v>
      </c>
      <c r="BO943" s="750">
        <f>+BO497+BO462</f>
        <v>28287</v>
      </c>
      <c r="BP943" s="752">
        <f t="shared" si="1463"/>
        <v>28287</v>
      </c>
      <c r="BQ943" s="750">
        <f>+BQ497+BQ462</f>
        <v>27899</v>
      </c>
      <c r="BR943" s="750">
        <f>+BR497+BR462</f>
        <v>27510</v>
      </c>
      <c r="BS943" s="750">
        <f>+BS497+BS462</f>
        <v>26879</v>
      </c>
      <c r="BT943" s="750">
        <f>+BT497+BT462</f>
        <v>26879</v>
      </c>
      <c r="BU943" s="752">
        <f t="shared" si="1464"/>
        <v>26879</v>
      </c>
      <c r="BV943" s="750">
        <f>+BV497+BV462</f>
        <v>26879</v>
      </c>
      <c r="BW943" s="750">
        <f>+BW497+BW462</f>
        <v>27109</v>
      </c>
      <c r="BX943" s="750">
        <f>+BX497+BX462</f>
        <v>27434</v>
      </c>
      <c r="BY943" s="750">
        <f>+BY497+BY462</f>
        <v>27278</v>
      </c>
      <c r="BZ943" s="752">
        <f t="shared" si="1465"/>
        <v>27278</v>
      </c>
      <c r="CA943" s="750">
        <f>+CA497+CA462</f>
        <v>28012</v>
      </c>
      <c r="CB943" s="750">
        <f>+CB497+CB462</f>
        <v>28012</v>
      </c>
      <c r="CC943" s="750">
        <f>+CC497+CC462</f>
        <v>26438</v>
      </c>
      <c r="CD943" s="750">
        <f>+CD497+CD462</f>
        <v>27049</v>
      </c>
      <c r="CE943" s="752">
        <f t="shared" si="1460"/>
        <v>27049</v>
      </c>
      <c r="CF943" s="750">
        <f>+CF497+CF462</f>
        <v>27735</v>
      </c>
      <c r="CG943" s="750">
        <f>+CG497+CG462</f>
        <v>27728</v>
      </c>
      <c r="CH943" s="750">
        <f>+CH497+CH462</f>
        <v>27728</v>
      </c>
      <c r="CI943" s="750">
        <f>+CI497+CI462</f>
        <v>27728</v>
      </c>
      <c r="CJ943" s="752">
        <f t="shared" si="1466"/>
        <v>27728</v>
      </c>
      <c r="CK943" s="3540">
        <f>+CK497+CK462</f>
        <v>28173</v>
      </c>
      <c r="CL943" s="750">
        <f>+CL497+CL462</f>
        <v>28259</v>
      </c>
      <c r="CM943" s="750">
        <f>+CM497+CM462</f>
        <v>28457</v>
      </c>
      <c r="CN943" s="750">
        <f>+CN497+CN462</f>
        <v>28193</v>
      </c>
      <c r="CO943" s="752">
        <f t="shared" si="1467"/>
        <v>28193</v>
      </c>
      <c r="CP943" s="750">
        <f t="shared" si="1461"/>
        <v>28173</v>
      </c>
      <c r="CQ943" s="750">
        <f t="shared" si="1461"/>
        <v>28259</v>
      </c>
      <c r="CR943" s="750">
        <f t="shared" si="1461"/>
        <v>28457</v>
      </c>
      <c r="CS943" s="750">
        <f t="shared" si="1461"/>
        <v>28193</v>
      </c>
      <c r="CT943" s="752">
        <f t="shared" si="1468"/>
        <v>28193</v>
      </c>
      <c r="CU943" s="752">
        <f t="shared" si="1469"/>
        <v>28193</v>
      </c>
      <c r="CV943" s="752">
        <f t="shared" si="1469"/>
        <v>28193</v>
      </c>
      <c r="CW943" s="1201"/>
      <c r="CX943" s="1201"/>
      <c r="CY943" s="1201"/>
      <c r="CZ943" s="1201"/>
      <c r="DA943" s="1201"/>
      <c r="DB943" s="217"/>
      <c r="DC943" s="212"/>
      <c r="DD943" s="234"/>
    </row>
    <row r="944" spans="1:108" s="207" customFormat="1" hidden="1" outlineLevel="1" x14ac:dyDescent="0.2">
      <c r="A944" s="1264" t="s">
        <v>316</v>
      </c>
      <c r="B944" s="1240"/>
      <c r="C944" s="1241"/>
      <c r="D944" s="750"/>
      <c r="E944" s="750"/>
      <c r="F944" s="750"/>
      <c r="G944" s="758"/>
      <c r="H944" s="752"/>
      <c r="I944" s="756">
        <f>16648+4380</f>
        <v>21028</v>
      </c>
      <c r="J944" s="753">
        <f>16914+4380</f>
        <v>21294</v>
      </c>
      <c r="K944" s="753">
        <f>16973+4763</f>
        <v>21736</v>
      </c>
      <c r="L944" s="756">
        <f>17082+4762</f>
        <v>21844</v>
      </c>
      <c r="M944" s="752">
        <f t="shared" si="1450"/>
        <v>21844</v>
      </c>
      <c r="N944" s="753">
        <f>17451+4762</f>
        <v>22213</v>
      </c>
      <c r="O944" s="753">
        <f>17240+4967</f>
        <v>22207</v>
      </c>
      <c r="P944" s="1253">
        <f>+P640+P606</f>
        <v>21914</v>
      </c>
      <c r="Q944" s="1254">
        <f>+Q640+Q606</f>
        <v>21838</v>
      </c>
      <c r="R944" s="752">
        <f t="shared" si="1451"/>
        <v>21838</v>
      </c>
      <c r="S944" s="1253">
        <f>+S640+S606</f>
        <v>21729</v>
      </c>
      <c r="T944" s="1253">
        <f>+T640+T606</f>
        <v>21074</v>
      </c>
      <c r="U944" s="1253">
        <f>+U640+U606</f>
        <v>21082</v>
      </c>
      <c r="V944" s="1255">
        <f>+V640+V606</f>
        <v>21315</v>
      </c>
      <c r="W944" s="752">
        <f t="shared" si="1452"/>
        <v>21315</v>
      </c>
      <c r="X944" s="1253">
        <f>+X640+X606</f>
        <v>21312</v>
      </c>
      <c r="Y944" s="1253">
        <f>+Y640+Y606</f>
        <v>22125</v>
      </c>
      <c r="Z944" s="1253">
        <f>+Z640+Z606</f>
        <v>22068</v>
      </c>
      <c r="AA944" s="1253">
        <f>+AA640+AA606</f>
        <v>21709</v>
      </c>
      <c r="AB944" s="752">
        <f t="shared" si="1453"/>
        <v>21709</v>
      </c>
      <c r="AC944" s="750">
        <f>+AC640+AC606</f>
        <v>22107</v>
      </c>
      <c r="AD944" s="750">
        <f>+AD640+AD606</f>
        <v>22277</v>
      </c>
      <c r="AE944" s="750">
        <f>+AE640+AE606</f>
        <v>20885</v>
      </c>
      <c r="AF944" s="751">
        <f>+AF640+AF606</f>
        <v>21035</v>
      </c>
      <c r="AG944" s="752">
        <f t="shared" si="1454"/>
        <v>21035</v>
      </c>
      <c r="AH944" s="750">
        <f>+AH640+AH606</f>
        <v>20844</v>
      </c>
      <c r="AI944" s="750">
        <f>+AI640+AI606</f>
        <v>21909</v>
      </c>
      <c r="AJ944" s="750">
        <f>+AJ640+AJ606</f>
        <v>22641</v>
      </c>
      <c r="AK944" s="751">
        <f>+AK640+AK606</f>
        <v>22355</v>
      </c>
      <c r="AL944" s="752">
        <f t="shared" si="1455"/>
        <v>22355</v>
      </c>
      <c r="AM944" s="750">
        <f>+AM640+AM606</f>
        <v>22723</v>
      </c>
      <c r="AN944" s="750">
        <f>+AN640+AN606</f>
        <v>22658</v>
      </c>
      <c r="AO944" s="750">
        <f>+AO640+AO606</f>
        <v>23455</v>
      </c>
      <c r="AP944" s="751">
        <f>+AP640+AP606</f>
        <v>22314</v>
      </c>
      <c r="AQ944" s="752">
        <f t="shared" si="1456"/>
        <v>22314</v>
      </c>
      <c r="AR944" s="750">
        <f>+AR640+AR606</f>
        <v>21897</v>
      </c>
      <c r="AS944" s="750">
        <f>+AS640+AS606</f>
        <v>20615</v>
      </c>
      <c r="AT944" s="750">
        <f>+AT640+AT606</f>
        <v>21181</v>
      </c>
      <c r="AU944" s="751">
        <f>+AU640+AU606</f>
        <v>21112</v>
      </c>
      <c r="AV944" s="752">
        <f t="shared" si="1457"/>
        <v>21112</v>
      </c>
      <c r="AW944" s="750">
        <f>+AW640+AW606</f>
        <v>22033</v>
      </c>
      <c r="AX944" s="750">
        <f>+AX640+AX606</f>
        <v>22195</v>
      </c>
      <c r="AY944" s="750">
        <f>+AY640+AY606</f>
        <v>21788</v>
      </c>
      <c r="AZ944" s="758">
        <f>+AZ640+AZ606</f>
        <v>21161</v>
      </c>
      <c r="BA944" s="752">
        <f t="shared" si="1458"/>
        <v>21161</v>
      </c>
      <c r="BB944" s="750">
        <f>+BB640+BB606</f>
        <v>21489</v>
      </c>
      <c r="BC944" s="750">
        <f>+BC640+BC606</f>
        <v>21752</v>
      </c>
      <c r="BD944" s="750">
        <f>+BD640+BD606</f>
        <v>22119</v>
      </c>
      <c r="BE944" s="751">
        <f>+BE640+BE606</f>
        <v>20543</v>
      </c>
      <c r="BF944" s="752">
        <f t="shared" si="1459"/>
        <v>20543</v>
      </c>
      <c r="BG944" s="750">
        <f>+BG640+BG606</f>
        <v>20909</v>
      </c>
      <c r="BH944" s="750">
        <f>+BH640+BH606</f>
        <v>20827</v>
      </c>
      <c r="BI944" s="750">
        <f>+BI640+BI606</f>
        <v>21352</v>
      </c>
      <c r="BJ944" s="750">
        <f>+BJ640+BJ606</f>
        <v>21610</v>
      </c>
      <c r="BK944" s="752">
        <f t="shared" si="1462"/>
        <v>21610</v>
      </c>
      <c r="BL944" s="750">
        <f>+BL640+BL606</f>
        <v>21603</v>
      </c>
      <c r="BM944" s="750">
        <f>+BM640+BM606</f>
        <v>22104</v>
      </c>
      <c r="BN944" s="750">
        <f>+BN640+BN606</f>
        <v>22705</v>
      </c>
      <c r="BO944" s="750">
        <f>+BO640+BO606</f>
        <v>23004</v>
      </c>
      <c r="BP944" s="752">
        <f t="shared" si="1463"/>
        <v>23004</v>
      </c>
      <c r="BQ944" s="750">
        <f>+BQ640+BQ606</f>
        <v>22712</v>
      </c>
      <c r="BR944" s="750">
        <f>+BR640+BR606</f>
        <v>23402</v>
      </c>
      <c r="BS944" s="750">
        <f>+BS640+BS606</f>
        <v>23515</v>
      </c>
      <c r="BT944" s="750">
        <f>+BT640+BT606</f>
        <v>23023</v>
      </c>
      <c r="BU944" s="752">
        <f t="shared" si="1464"/>
        <v>23023</v>
      </c>
      <c r="BV944" s="750">
        <f>+BV640+BV606</f>
        <v>23121</v>
      </c>
      <c r="BW944" s="750">
        <f>+BW640+BW606</f>
        <v>24268</v>
      </c>
      <c r="BX944" s="750">
        <f>+BX640+BX606</f>
        <v>24404</v>
      </c>
      <c r="BY944" s="750">
        <f>+BY640+BY606</f>
        <v>24404</v>
      </c>
      <c r="BZ944" s="752">
        <f t="shared" si="1465"/>
        <v>24404</v>
      </c>
      <c r="CA944" s="750">
        <f>+CA640+CA606</f>
        <v>23402</v>
      </c>
      <c r="CB944" s="750">
        <f>+CB640+CB606</f>
        <v>23397</v>
      </c>
      <c r="CC944" s="750">
        <f>+CC640+CC606</f>
        <v>23808</v>
      </c>
      <c r="CD944" s="750">
        <f>+CD640+CD606</f>
        <v>23485</v>
      </c>
      <c r="CE944" s="752">
        <f t="shared" si="1460"/>
        <v>23485</v>
      </c>
      <c r="CF944" s="750">
        <f>+CF640+CF606</f>
        <v>23038</v>
      </c>
      <c r="CG944" s="750">
        <f>+CG640+CG606</f>
        <v>23164</v>
      </c>
      <c r="CH944" s="750">
        <f>+CH640+CH606</f>
        <v>23163</v>
      </c>
      <c r="CI944" s="750">
        <f>+CI640+CI606</f>
        <v>23339</v>
      </c>
      <c r="CJ944" s="752">
        <f t="shared" si="1466"/>
        <v>23339</v>
      </c>
      <c r="CK944" s="3540">
        <f>+CK640+CK606</f>
        <v>23069</v>
      </c>
      <c r="CL944" s="750">
        <f>+CL640+CL606</f>
        <v>23356</v>
      </c>
      <c r="CM944" s="750">
        <f>+CM640+CM606</f>
        <v>23629</v>
      </c>
      <c r="CN944" s="750">
        <f>+CN640+CN606</f>
        <v>24038</v>
      </c>
      <c r="CO944" s="752">
        <f t="shared" si="1467"/>
        <v>24038</v>
      </c>
      <c r="CP944" s="750">
        <f t="shared" si="1461"/>
        <v>23069</v>
      </c>
      <c r="CQ944" s="750">
        <f t="shared" si="1461"/>
        <v>23356</v>
      </c>
      <c r="CR944" s="750">
        <f t="shared" si="1461"/>
        <v>23629</v>
      </c>
      <c r="CS944" s="750">
        <f t="shared" si="1461"/>
        <v>24038</v>
      </c>
      <c r="CT944" s="752">
        <f t="shared" si="1468"/>
        <v>24038</v>
      </c>
      <c r="CU944" s="752">
        <f t="shared" si="1469"/>
        <v>24038</v>
      </c>
      <c r="CV944" s="752">
        <f t="shared" si="1469"/>
        <v>24038</v>
      </c>
      <c r="CW944" s="1201"/>
      <c r="CX944" s="1201"/>
      <c r="CY944" s="1201"/>
      <c r="CZ944" s="1201"/>
      <c r="DA944" s="1201"/>
      <c r="DB944" s="217"/>
      <c r="DC944" s="212"/>
      <c r="DD944" s="234"/>
    </row>
    <row r="945" spans="1:108" s="207" customFormat="1" hidden="1" outlineLevel="1" x14ac:dyDescent="0.2">
      <c r="A945" s="1264" t="s">
        <v>317</v>
      </c>
      <c r="B945" s="1240"/>
      <c r="C945" s="1241"/>
      <c r="D945" s="750"/>
      <c r="E945" s="750"/>
      <c r="F945" s="750"/>
      <c r="G945" s="758"/>
      <c r="H945" s="752"/>
      <c r="I945" s="756">
        <f>16648+4380</f>
        <v>21028</v>
      </c>
      <c r="J945" s="753">
        <f>16914+4380</f>
        <v>21294</v>
      </c>
      <c r="K945" s="753">
        <f>16973+4763</f>
        <v>21736</v>
      </c>
      <c r="L945" s="756">
        <f>17082+4762</f>
        <v>21844</v>
      </c>
      <c r="M945" s="752">
        <f t="shared" si="1450"/>
        <v>21844</v>
      </c>
      <c r="N945" s="753">
        <f>17451+4762</f>
        <v>22213</v>
      </c>
      <c r="O945" s="753">
        <f>17240+4967</f>
        <v>22207</v>
      </c>
      <c r="P945" s="1253">
        <f>+P498+P466</f>
        <v>0</v>
      </c>
      <c r="Q945" s="1254">
        <f>+Q498+Q466</f>
        <v>0</v>
      </c>
      <c r="R945" s="752">
        <f t="shared" si="1451"/>
        <v>0</v>
      </c>
      <c r="S945" s="1253">
        <f>+S498+S466</f>
        <v>0</v>
      </c>
      <c r="T945" s="1253">
        <f>+T498+T466</f>
        <v>0</v>
      </c>
      <c r="U945" s="1253">
        <f>+U498+U466</f>
        <v>0</v>
      </c>
      <c r="V945" s="1255">
        <f>+V498+V466</f>
        <v>0</v>
      </c>
      <c r="W945" s="752">
        <f t="shared" si="1452"/>
        <v>0</v>
      </c>
      <c r="X945" s="1253">
        <f>+X498+X466</f>
        <v>0</v>
      </c>
      <c r="Y945" s="1253">
        <f>+Y498+Y466</f>
        <v>0</v>
      </c>
      <c r="Z945" s="1253">
        <f>+Z498+Z466</f>
        <v>0</v>
      </c>
      <c r="AA945" s="1253">
        <f>+AA498+AA466</f>
        <v>0</v>
      </c>
      <c r="AB945" s="752">
        <f t="shared" si="1453"/>
        <v>0</v>
      </c>
      <c r="AC945" s="750">
        <f>+AC498+AC466</f>
        <v>0</v>
      </c>
      <c r="AD945" s="750">
        <f>+AD498+AD466</f>
        <v>0</v>
      </c>
      <c r="AE945" s="750">
        <f>+AE498+AE466</f>
        <v>0</v>
      </c>
      <c r="AF945" s="751">
        <f>+AF498+AF466</f>
        <v>0</v>
      </c>
      <c r="AG945" s="752">
        <f t="shared" si="1454"/>
        <v>0</v>
      </c>
      <c r="AH945" s="750">
        <f>+AH498+AH466</f>
        <v>0</v>
      </c>
      <c r="AI945" s="750">
        <f>+AI498+AI466</f>
        <v>0</v>
      </c>
      <c r="AJ945" s="750">
        <f>+AJ498+AJ466</f>
        <v>0</v>
      </c>
      <c r="AK945" s="751">
        <f>+AK498+AK466</f>
        <v>0</v>
      </c>
      <c r="AL945" s="752">
        <f t="shared" si="1455"/>
        <v>0</v>
      </c>
      <c r="AM945" s="750">
        <f>+AM498+AM466</f>
        <v>0</v>
      </c>
      <c r="AN945" s="750">
        <f>+AN498+AN466</f>
        <v>0</v>
      </c>
      <c r="AO945" s="750">
        <f>+AO498+AO466</f>
        <v>0</v>
      </c>
      <c r="AP945" s="751">
        <f>+AP498+AP466</f>
        <v>0</v>
      </c>
      <c r="AQ945" s="752">
        <f t="shared" si="1456"/>
        <v>0</v>
      </c>
      <c r="AR945" s="750">
        <f>+AR498+AR466</f>
        <v>0</v>
      </c>
      <c r="AS945" s="750">
        <f>+AS498+AS466</f>
        <v>0</v>
      </c>
      <c r="AT945" s="750">
        <f>+AT498+AT466</f>
        <v>0</v>
      </c>
      <c r="AU945" s="751">
        <f>+AU498+AU466</f>
        <v>0</v>
      </c>
      <c r="AV945" s="752">
        <f t="shared" si="1457"/>
        <v>0</v>
      </c>
      <c r="AW945" s="750">
        <f>+AW498+AW466</f>
        <v>0</v>
      </c>
      <c r="AX945" s="750">
        <f>+AX498+AX466</f>
        <v>0</v>
      </c>
      <c r="AY945" s="750">
        <f>+AY498+AY466</f>
        <v>0</v>
      </c>
      <c r="AZ945" s="758">
        <f>+AZ498+AZ466</f>
        <v>0</v>
      </c>
      <c r="BA945" s="752">
        <f t="shared" si="1458"/>
        <v>0</v>
      </c>
      <c r="BB945" s="750">
        <f>+BB498+BB466</f>
        <v>242</v>
      </c>
      <c r="BC945" s="750">
        <f>+BC498+BC466</f>
        <v>1529</v>
      </c>
      <c r="BD945" s="750">
        <f>+BD498+BD466</f>
        <v>1646</v>
      </c>
      <c r="BE945" s="751">
        <f>+BE498+BE466</f>
        <v>3828</v>
      </c>
      <c r="BF945" s="752">
        <f t="shared" si="1459"/>
        <v>3828</v>
      </c>
      <c r="BG945" s="750">
        <f>+BG498+BG466</f>
        <v>3954</v>
      </c>
      <c r="BH945" s="750">
        <f>+BH498+BH466</f>
        <v>4118</v>
      </c>
      <c r="BI945" s="750">
        <f>+BI498+BI466</f>
        <v>4860</v>
      </c>
      <c r="BJ945" s="750">
        <f>+BJ498+BJ466</f>
        <v>5207</v>
      </c>
      <c r="BK945" s="752">
        <f t="shared" si="1462"/>
        <v>5207</v>
      </c>
      <c r="BL945" s="750">
        <f>+BL498+BL466</f>
        <v>5815</v>
      </c>
      <c r="BM945" s="750">
        <f>+BM498+BM466</f>
        <v>6223</v>
      </c>
      <c r="BN945" s="750">
        <f>+BN498+BN466</f>
        <v>6298</v>
      </c>
      <c r="BO945" s="750">
        <f>+BO498+BO466</f>
        <v>6609</v>
      </c>
      <c r="BP945" s="752">
        <f t="shared" si="1463"/>
        <v>6609</v>
      </c>
      <c r="BQ945" s="750">
        <f>+BQ498+BQ466</f>
        <v>6910</v>
      </c>
      <c r="BR945" s="750">
        <f>+BR498+BR466</f>
        <v>6917</v>
      </c>
      <c r="BS945" s="750">
        <f>+BS498+BS466</f>
        <v>8059</v>
      </c>
      <c r="BT945" s="750">
        <f>+BT498+BT466</f>
        <v>8410</v>
      </c>
      <c r="BU945" s="752">
        <f t="shared" si="1464"/>
        <v>8410</v>
      </c>
      <c r="BV945" s="750">
        <f>+BV498+BV466</f>
        <v>8842</v>
      </c>
      <c r="BW945" s="750">
        <f>+BW498+BW466</f>
        <v>8842</v>
      </c>
      <c r="BX945" s="750">
        <f>+BX498+BX466</f>
        <v>8817</v>
      </c>
      <c r="BY945" s="750">
        <f>+BY498+BY466</f>
        <v>9901</v>
      </c>
      <c r="BZ945" s="752">
        <f t="shared" si="1465"/>
        <v>9901</v>
      </c>
      <c r="CA945" s="750">
        <f>+CA498+CA466</f>
        <v>10419</v>
      </c>
      <c r="CB945" s="750">
        <f>+CB498+CB466</f>
        <v>11381</v>
      </c>
      <c r="CC945" s="750">
        <f>+CC498+CC466</f>
        <v>11777</v>
      </c>
      <c r="CD945" s="750">
        <f>+CD498+CD466</f>
        <v>12070</v>
      </c>
      <c r="CE945" s="752">
        <f t="shared" si="1460"/>
        <v>12070</v>
      </c>
      <c r="CF945" s="750">
        <f>+CF498+CF466</f>
        <v>12443</v>
      </c>
      <c r="CG945" s="750">
        <f>+CG498+CG466</f>
        <v>12649</v>
      </c>
      <c r="CH945" s="750">
        <f>+CH498+CH466</f>
        <v>12804</v>
      </c>
      <c r="CI945" s="750">
        <f>+CI498+CI466</f>
        <v>13234</v>
      </c>
      <c r="CJ945" s="752">
        <f t="shared" si="1466"/>
        <v>13234</v>
      </c>
      <c r="CK945" s="3540">
        <f>+CK498+CK466</f>
        <v>14655</v>
      </c>
      <c r="CL945" s="750">
        <f>+CL498+CL466</f>
        <v>15008</v>
      </c>
      <c r="CM945" s="750">
        <f>+CM498+CM466</f>
        <v>15247</v>
      </c>
      <c r="CN945" s="750">
        <f>+CN498+CN466</f>
        <v>15903</v>
      </c>
      <c r="CO945" s="752">
        <f t="shared" si="1467"/>
        <v>15903</v>
      </c>
      <c r="CP945" s="750">
        <f t="shared" si="1461"/>
        <v>14655</v>
      </c>
      <c r="CQ945" s="750">
        <f t="shared" si="1461"/>
        <v>15008</v>
      </c>
      <c r="CR945" s="750">
        <f t="shared" si="1461"/>
        <v>15247</v>
      </c>
      <c r="CS945" s="750">
        <f t="shared" si="1461"/>
        <v>15903</v>
      </c>
      <c r="CT945" s="752">
        <f t="shared" si="1468"/>
        <v>15903</v>
      </c>
      <c r="CU945" s="752">
        <f t="shared" si="1469"/>
        <v>15903</v>
      </c>
      <c r="CV945" s="752">
        <f t="shared" si="1469"/>
        <v>15903</v>
      </c>
      <c r="CW945" s="1201"/>
      <c r="CX945" s="1201"/>
      <c r="CY945" s="1201"/>
      <c r="CZ945" s="1201"/>
      <c r="DA945" s="1201"/>
      <c r="DB945" s="217"/>
      <c r="DC945" s="212"/>
      <c r="DD945" s="234"/>
    </row>
    <row r="946" spans="1:108" s="207" customFormat="1" hidden="1" outlineLevel="1" x14ac:dyDescent="0.2">
      <c r="A946" s="1264" t="s">
        <v>318</v>
      </c>
      <c r="B946" s="1240"/>
      <c r="C946" s="1241"/>
      <c r="D946" s="750"/>
      <c r="E946" s="750"/>
      <c r="F946" s="750"/>
      <c r="G946" s="758"/>
      <c r="H946" s="752"/>
      <c r="I946" s="750"/>
      <c r="J946" s="750"/>
      <c r="K946" s="750"/>
      <c r="L946" s="750"/>
      <c r="M946" s="752">
        <f t="shared" si="1450"/>
        <v>0</v>
      </c>
      <c r="N946" s="753">
        <f>17451+4762</f>
        <v>22213</v>
      </c>
      <c r="O946" s="753">
        <f>17240+4967</f>
        <v>22207</v>
      </c>
      <c r="P946" s="1253">
        <f>+P502+P467</f>
        <v>0</v>
      </c>
      <c r="Q946" s="1254">
        <f>+Q502+Q467</f>
        <v>0</v>
      </c>
      <c r="R946" s="752">
        <f t="shared" si="1451"/>
        <v>0</v>
      </c>
      <c r="S946" s="1253">
        <f>+S502+S467</f>
        <v>0</v>
      </c>
      <c r="T946" s="1253">
        <f>+T502+T467</f>
        <v>0</v>
      </c>
      <c r="U946" s="1253">
        <f>+U502+U467</f>
        <v>0</v>
      </c>
      <c r="V946" s="1255">
        <f>+V502+V467</f>
        <v>0</v>
      </c>
      <c r="W946" s="752">
        <f t="shared" si="1452"/>
        <v>0</v>
      </c>
      <c r="X946" s="1253">
        <f>+X502+X467</f>
        <v>0</v>
      </c>
      <c r="Y946" s="1253">
        <f>+Y502+Y467</f>
        <v>0</v>
      </c>
      <c r="Z946" s="1253">
        <f>+Z502+Z467</f>
        <v>0</v>
      </c>
      <c r="AA946" s="1253">
        <f>+AA502+AA467</f>
        <v>0</v>
      </c>
      <c r="AB946" s="752">
        <f t="shared" si="1453"/>
        <v>0</v>
      </c>
      <c r="AC946" s="750">
        <f>+AC502+AC467</f>
        <v>0</v>
      </c>
      <c r="AD946" s="750">
        <f>+AD502+AD467</f>
        <v>0</v>
      </c>
      <c r="AE946" s="750">
        <f>+AE502+AE467</f>
        <v>0</v>
      </c>
      <c r="AF946" s="751">
        <f>+AF502+AF467</f>
        <v>0</v>
      </c>
      <c r="AG946" s="752">
        <f t="shared" si="1454"/>
        <v>0</v>
      </c>
      <c r="AH946" s="750">
        <f>+AH502+AH467</f>
        <v>0</v>
      </c>
      <c r="AI946" s="750">
        <f>+AI502+AI467</f>
        <v>0</v>
      </c>
      <c r="AJ946" s="750">
        <f>+AJ502+AJ467</f>
        <v>0</v>
      </c>
      <c r="AK946" s="751">
        <f>+AK502+AK467</f>
        <v>0</v>
      </c>
      <c r="AL946" s="752">
        <f t="shared" si="1455"/>
        <v>0</v>
      </c>
      <c r="AM946" s="750">
        <f>+AM502+AM467</f>
        <v>0</v>
      </c>
      <c r="AN946" s="750">
        <f>+AN502+AN467</f>
        <v>0</v>
      </c>
      <c r="AO946" s="750">
        <f>+AO502+AO467</f>
        <v>0</v>
      </c>
      <c r="AP946" s="751">
        <f>+AP502+AP467</f>
        <v>0</v>
      </c>
      <c r="AQ946" s="752">
        <f t="shared" si="1456"/>
        <v>0</v>
      </c>
      <c r="AR946" s="750">
        <f>+AR502+AR467</f>
        <v>0</v>
      </c>
      <c r="AS946" s="750">
        <f>+AS502+AS467</f>
        <v>0</v>
      </c>
      <c r="AT946" s="750">
        <f>+AT502+AT467</f>
        <v>0</v>
      </c>
      <c r="AU946" s="751">
        <f>+AU502+AU467</f>
        <v>0</v>
      </c>
      <c r="AV946" s="752">
        <f t="shared" si="1457"/>
        <v>0</v>
      </c>
      <c r="AW946" s="750">
        <f>+AW502+AW467</f>
        <v>0</v>
      </c>
      <c r="AX946" s="750">
        <f>+AX502+AX467</f>
        <v>0</v>
      </c>
      <c r="AY946" s="750">
        <f>+AY502+AY467</f>
        <v>0</v>
      </c>
      <c r="AZ946" s="758">
        <f>+AZ502+AZ467</f>
        <v>0</v>
      </c>
      <c r="BA946" s="752">
        <f t="shared" si="1458"/>
        <v>0</v>
      </c>
      <c r="BB946" s="750">
        <f>+BB502+BB467</f>
        <v>0</v>
      </c>
      <c r="BC946" s="750">
        <f>+BC502+BC467</f>
        <v>0</v>
      </c>
      <c r="BD946" s="750">
        <f>+BD502+BD467</f>
        <v>0</v>
      </c>
      <c r="BE946" s="751">
        <f>+BE502+BE467</f>
        <v>353</v>
      </c>
      <c r="BF946" s="752">
        <f t="shared" si="1459"/>
        <v>353</v>
      </c>
      <c r="BG946" s="750">
        <f>+BG502+BG467</f>
        <v>353</v>
      </c>
      <c r="BH946" s="750">
        <f>+BH502+BH467</f>
        <v>353</v>
      </c>
      <c r="BI946" s="750">
        <f>+BI502+BI467</f>
        <v>0</v>
      </c>
      <c r="BJ946" s="750">
        <f>+BJ502+BJ467</f>
        <v>0</v>
      </c>
      <c r="BK946" s="752">
        <f t="shared" si="1462"/>
        <v>0</v>
      </c>
      <c r="BL946" s="750">
        <f>+BL502+BL467</f>
        <v>0</v>
      </c>
      <c r="BM946" s="750">
        <f>+BM502+BM467</f>
        <v>0</v>
      </c>
      <c r="BN946" s="750">
        <f>+BN502+BN467</f>
        <v>0</v>
      </c>
      <c r="BO946" s="750">
        <f>+BO502+BO467</f>
        <v>0</v>
      </c>
      <c r="BP946" s="752">
        <f t="shared" si="1463"/>
        <v>0</v>
      </c>
      <c r="BQ946" s="750">
        <f>+BQ502+BQ467</f>
        <v>0</v>
      </c>
      <c r="BR946" s="750">
        <f>+BR502+BR467</f>
        <v>0</v>
      </c>
      <c r="BS946" s="750">
        <f>+BS502+BS467</f>
        <v>0</v>
      </c>
      <c r="BT946" s="750">
        <f>+BT502+BT467</f>
        <v>0</v>
      </c>
      <c r="BU946" s="752">
        <f t="shared" si="1464"/>
        <v>0</v>
      </c>
      <c r="BV946" s="750">
        <f>+BV502+BV467</f>
        <v>0</v>
      </c>
      <c r="BW946" s="750">
        <f>+BW502+BW467</f>
        <v>0</v>
      </c>
      <c r="BX946" s="750">
        <f>+BX502+BX467</f>
        <v>0</v>
      </c>
      <c r="BY946" s="750">
        <f>+BY502+BY467</f>
        <v>0</v>
      </c>
      <c r="BZ946" s="752">
        <f t="shared" si="1465"/>
        <v>0</v>
      </c>
      <c r="CA946" s="750">
        <f>+CA502+CA467</f>
        <v>295</v>
      </c>
      <c r="CB946" s="750">
        <f>+CB502+CB467</f>
        <v>568</v>
      </c>
      <c r="CC946" s="750">
        <f>+CC502+CC467</f>
        <v>568</v>
      </c>
      <c r="CD946" s="750">
        <f>+CD502+CD467</f>
        <v>568</v>
      </c>
      <c r="CE946" s="752">
        <f t="shared" si="1460"/>
        <v>568</v>
      </c>
      <c r="CF946" s="750">
        <f>+CF502+CF467</f>
        <v>568</v>
      </c>
      <c r="CG946" s="750">
        <f>+CG502+CG467</f>
        <v>567</v>
      </c>
      <c r="CH946" s="750">
        <f>+CH502+CH467</f>
        <v>567</v>
      </c>
      <c r="CI946" s="750">
        <f>+CI502+CI467</f>
        <v>567</v>
      </c>
      <c r="CJ946" s="752">
        <f t="shared" si="1466"/>
        <v>567</v>
      </c>
      <c r="CK946" s="3540">
        <f>+CK502+CK467</f>
        <v>567</v>
      </c>
      <c r="CL946" s="750">
        <f>+CL502+CL467</f>
        <v>567</v>
      </c>
      <c r="CM946" s="750">
        <f>+CM502+CM467</f>
        <v>567</v>
      </c>
      <c r="CN946" s="750">
        <f>+CN502+CN467</f>
        <v>567</v>
      </c>
      <c r="CO946" s="752">
        <f t="shared" si="1467"/>
        <v>567</v>
      </c>
      <c r="CP946" s="750">
        <f t="shared" si="1461"/>
        <v>567</v>
      </c>
      <c r="CQ946" s="750">
        <f t="shared" si="1461"/>
        <v>567</v>
      </c>
      <c r="CR946" s="750">
        <f t="shared" si="1461"/>
        <v>567</v>
      </c>
      <c r="CS946" s="750">
        <f t="shared" si="1461"/>
        <v>567</v>
      </c>
      <c r="CT946" s="752">
        <f t="shared" si="1468"/>
        <v>567</v>
      </c>
      <c r="CU946" s="752">
        <f t="shared" si="1469"/>
        <v>567</v>
      </c>
      <c r="CV946" s="752">
        <f t="shared" si="1469"/>
        <v>567</v>
      </c>
      <c r="CW946" s="1201"/>
      <c r="CX946" s="1201"/>
      <c r="CY946" s="1201"/>
      <c r="CZ946" s="1201"/>
      <c r="DA946" s="1201"/>
      <c r="DB946" s="217"/>
      <c r="DC946" s="212"/>
      <c r="DD946" s="234"/>
    </row>
    <row r="947" spans="1:108" s="207" customFormat="1" hidden="1" outlineLevel="1" x14ac:dyDescent="0.2">
      <c r="A947" s="1264" t="s">
        <v>319</v>
      </c>
      <c r="B947" s="1240"/>
      <c r="C947" s="1241"/>
      <c r="D947" s="750"/>
      <c r="E947" s="750"/>
      <c r="F947" s="750"/>
      <c r="G947" s="758"/>
      <c r="H947" s="752"/>
      <c r="I947" s="756">
        <f>1068+10289</f>
        <v>11357</v>
      </c>
      <c r="J947" s="753">
        <f>1068+11261</f>
        <v>12329</v>
      </c>
      <c r="K947" s="753">
        <f>1068+17405</f>
        <v>18473</v>
      </c>
      <c r="L947" s="756">
        <f>1068+18114</f>
        <v>19182</v>
      </c>
      <c r="M947" s="752">
        <f t="shared" si="1450"/>
        <v>19182</v>
      </c>
      <c r="N947" s="753">
        <f>1068+18822</f>
        <v>19890</v>
      </c>
      <c r="O947" s="753">
        <f>727+19353</f>
        <v>20080</v>
      </c>
      <c r="P947" s="1253">
        <f>+P653+P619</f>
        <v>20894</v>
      </c>
      <c r="Q947" s="1254">
        <f>+Q653+Q619</f>
        <v>21230</v>
      </c>
      <c r="R947" s="752">
        <f t="shared" si="1451"/>
        <v>21230</v>
      </c>
      <c r="S947" s="1253">
        <f>+S653+S619</f>
        <v>21874</v>
      </c>
      <c r="T947" s="1253">
        <f>+T653+T619</f>
        <v>23769</v>
      </c>
      <c r="U947" s="1253">
        <f>+U653+U619</f>
        <v>25202</v>
      </c>
      <c r="V947" s="1255">
        <f>+V653+V619</f>
        <v>26150</v>
      </c>
      <c r="W947" s="752">
        <f t="shared" si="1452"/>
        <v>26150</v>
      </c>
      <c r="X947" s="1253">
        <f>+X653+X619</f>
        <v>27522</v>
      </c>
      <c r="Y947" s="1253">
        <f>+Y653+Y619</f>
        <v>27863</v>
      </c>
      <c r="Z947" s="1253">
        <f>+Z653+Z619</f>
        <v>27758</v>
      </c>
      <c r="AA947" s="1253">
        <f>+AA653+AA619</f>
        <v>727</v>
      </c>
      <c r="AB947" s="752">
        <f t="shared" si="1453"/>
        <v>727</v>
      </c>
      <c r="AC947" s="750">
        <f>+AC653+AC619</f>
        <v>726</v>
      </c>
      <c r="AD947" s="750">
        <f>+AD653+AD619</f>
        <v>724</v>
      </c>
      <c r="AE947" s="750">
        <f>+AE653+AE619</f>
        <v>724</v>
      </c>
      <c r="AF947" s="751">
        <f>+AF653+AF619</f>
        <v>532</v>
      </c>
      <c r="AG947" s="752">
        <f t="shared" si="1454"/>
        <v>532</v>
      </c>
      <c r="AH947" s="750">
        <f>+AH653+AH619</f>
        <v>332</v>
      </c>
      <c r="AI947" s="750">
        <f>+AI653+AI619</f>
        <v>332</v>
      </c>
      <c r="AJ947" s="750">
        <f>+AJ653+AJ619</f>
        <v>332</v>
      </c>
      <c r="AK947" s="751">
        <f>+AK653+AK619</f>
        <v>332</v>
      </c>
      <c r="AL947" s="752">
        <f t="shared" si="1455"/>
        <v>332</v>
      </c>
      <c r="AM947" s="750">
        <f>+AM653+AM619</f>
        <v>332</v>
      </c>
      <c r="AN947" s="750">
        <f>+AN653+AN619</f>
        <v>332</v>
      </c>
      <c r="AO947" s="750">
        <f>+AO653+AO619</f>
        <v>332</v>
      </c>
      <c r="AP947" s="751">
        <f>+AP653+AP619</f>
        <v>332</v>
      </c>
      <c r="AQ947" s="752">
        <f t="shared" si="1456"/>
        <v>332</v>
      </c>
      <c r="AR947" s="750">
        <f>+AR653+AR619</f>
        <v>0</v>
      </c>
      <c r="AS947" s="750">
        <f>+AS653+AS619</f>
        <v>0</v>
      </c>
      <c r="AT947" s="750">
        <f>+AT653+AT619</f>
        <v>0</v>
      </c>
      <c r="AU947" s="751">
        <f>+AU653+AU619</f>
        <v>0</v>
      </c>
      <c r="AV947" s="752">
        <f t="shared" si="1457"/>
        <v>0</v>
      </c>
      <c r="AW947" s="750">
        <f>+AW653+AW619</f>
        <v>0</v>
      </c>
      <c r="AX947" s="750">
        <f>+AX653+AX619</f>
        <v>0</v>
      </c>
      <c r="AY947" s="750">
        <f>+AY653+AY619</f>
        <v>0</v>
      </c>
      <c r="AZ947" s="758">
        <f>+AZ653+AZ619</f>
        <v>0</v>
      </c>
      <c r="BA947" s="752">
        <f t="shared" si="1458"/>
        <v>0</v>
      </c>
      <c r="BB947" s="750">
        <f>+BB653+BB619</f>
        <v>0</v>
      </c>
      <c r="BC947" s="750">
        <f>+BC653+BC619</f>
        <v>0</v>
      </c>
      <c r="BD947" s="750">
        <f>+BD653+BD619</f>
        <v>0</v>
      </c>
      <c r="BE947" s="751">
        <f>+BE653+BE619</f>
        <v>0</v>
      </c>
      <c r="BF947" s="752">
        <f t="shared" si="1459"/>
        <v>0</v>
      </c>
      <c r="BG947" s="750">
        <f>+BG653+BG619</f>
        <v>0</v>
      </c>
      <c r="BH947" s="750">
        <f>+BH653+BH619</f>
        <v>0</v>
      </c>
      <c r="BI947" s="750">
        <f>+BI653+BI619</f>
        <v>0</v>
      </c>
      <c r="BJ947" s="750">
        <f>+BJ653+BJ619</f>
        <v>0</v>
      </c>
      <c r="BK947" s="752">
        <f t="shared" si="1462"/>
        <v>0</v>
      </c>
      <c r="BL947" s="750">
        <f>+BL653+BL619</f>
        <v>0</v>
      </c>
      <c r="BM947" s="750">
        <f>+BM653+BM619</f>
        <v>0</v>
      </c>
      <c r="BN947" s="750">
        <f>+BN653+BN619</f>
        <v>0</v>
      </c>
      <c r="BO947" s="750">
        <f>+BO653+BO619</f>
        <v>0</v>
      </c>
      <c r="BP947" s="752">
        <f t="shared" si="1463"/>
        <v>0</v>
      </c>
      <c r="BQ947" s="750">
        <f>+BQ653+BQ619</f>
        <v>0</v>
      </c>
      <c r="BR947" s="750">
        <f>+BR653+BR619</f>
        <v>0</v>
      </c>
      <c r="BS947" s="750">
        <f>+BS653+BS619</f>
        <v>0</v>
      </c>
      <c r="BT947" s="750">
        <f>+BT653+BT619</f>
        <v>0</v>
      </c>
      <c r="BU947" s="752">
        <f t="shared" si="1464"/>
        <v>0</v>
      </c>
      <c r="BV947" s="750">
        <f>+BV653+BV619</f>
        <v>0</v>
      </c>
      <c r="BW947" s="750">
        <f>+BW653+BW619</f>
        <v>0</v>
      </c>
      <c r="BX947" s="750">
        <f>+BX653+BX619</f>
        <v>0</v>
      </c>
      <c r="BY947" s="750">
        <f>+BY653+BY619</f>
        <v>0</v>
      </c>
      <c r="BZ947" s="752">
        <f t="shared" si="1465"/>
        <v>0</v>
      </c>
      <c r="CA947" s="750">
        <f>+CA653+CA619</f>
        <v>0</v>
      </c>
      <c r="CB947" s="750">
        <f>+CB653+CB619</f>
        <v>0</v>
      </c>
      <c r="CC947" s="750">
        <f>+CC653+CC619</f>
        <v>0</v>
      </c>
      <c r="CD947" s="750">
        <f>+CD653+CD619</f>
        <v>0</v>
      </c>
      <c r="CE947" s="752">
        <f t="shared" si="1460"/>
        <v>0</v>
      </c>
      <c r="CF947" s="750">
        <f>+CF653+CF619</f>
        <v>0</v>
      </c>
      <c r="CG947" s="750">
        <f>+CG653+CG619</f>
        <v>0</v>
      </c>
      <c r="CH947" s="750">
        <f>+CH653+CH619</f>
        <v>0</v>
      </c>
      <c r="CI947" s="750">
        <f>+CI653+CI619</f>
        <v>0</v>
      </c>
      <c r="CJ947" s="752">
        <f t="shared" si="1466"/>
        <v>0</v>
      </c>
      <c r="CK947" s="3540">
        <f>+CK653+CK619</f>
        <v>0</v>
      </c>
      <c r="CL947" s="750">
        <f ca="1">+CL653+CL619</f>
        <v>0</v>
      </c>
      <c r="CM947" s="750">
        <f ca="1">+CM653+CM619</f>
        <v>0</v>
      </c>
      <c r="CN947" s="750">
        <f ca="1">+CN653+CN619</f>
        <v>0</v>
      </c>
      <c r="CO947" s="752">
        <f t="shared" ca="1" si="1467"/>
        <v>0</v>
      </c>
      <c r="CP947" s="750">
        <f ca="1">CO947</f>
        <v>0</v>
      </c>
      <c r="CQ947" s="750">
        <f t="shared" ref="CQ947:CS948" ca="1" si="1470">CP947</f>
        <v>0</v>
      </c>
      <c r="CR947" s="750">
        <f t="shared" ca="1" si="1470"/>
        <v>0</v>
      </c>
      <c r="CS947" s="750">
        <f t="shared" ca="1" si="1470"/>
        <v>0</v>
      </c>
      <c r="CT947" s="752">
        <f t="shared" ca="1" si="1468"/>
        <v>0</v>
      </c>
      <c r="CU947" s="752">
        <f t="shared" ca="1" si="1469"/>
        <v>0</v>
      </c>
      <c r="CV947" s="752">
        <f t="shared" ca="1" si="1469"/>
        <v>0</v>
      </c>
      <c r="CW947" s="1201"/>
      <c r="CX947" s="1201"/>
      <c r="CY947" s="1201"/>
      <c r="CZ947" s="1201"/>
      <c r="DA947" s="1201"/>
      <c r="DB947" s="217"/>
      <c r="DC947" s="212"/>
      <c r="DD947" s="234"/>
    </row>
    <row r="948" spans="1:108" s="207" customFormat="1" hidden="1" outlineLevel="1" x14ac:dyDescent="0.2">
      <c r="A948" s="1264" t="s">
        <v>320</v>
      </c>
      <c r="B948" s="1240"/>
      <c r="C948" s="1241"/>
      <c r="D948" s="750"/>
      <c r="E948" s="750"/>
      <c r="F948" s="750"/>
      <c r="G948" s="758"/>
      <c r="H948" s="752"/>
      <c r="I948" s="756">
        <f>39660+28431+2328-I949</f>
        <v>63191</v>
      </c>
      <c r="J948" s="753">
        <f>40111+29163+2635-J949</f>
        <v>64644</v>
      </c>
      <c r="K948" s="753">
        <f>40745+29856+2735-K949</f>
        <v>65701</v>
      </c>
      <c r="L948" s="756">
        <f>40504+33739-L949</f>
        <v>66493</v>
      </c>
      <c r="M948" s="752">
        <f t="shared" si="1450"/>
        <v>66493</v>
      </c>
      <c r="N948" s="753">
        <f>41122+32356+2749-N949</f>
        <v>68411</v>
      </c>
      <c r="O948" s="753">
        <f>41527+35714-O949</f>
        <v>69292</v>
      </c>
      <c r="P948" s="1253">
        <f>+P504+P469</f>
        <v>69997</v>
      </c>
      <c r="Q948" s="1254">
        <f>+Q504+Q469</f>
        <v>71797</v>
      </c>
      <c r="R948" s="752">
        <f t="shared" si="1451"/>
        <v>71797</v>
      </c>
      <c r="S948" s="1253">
        <f>+S504+S469</f>
        <v>72533</v>
      </c>
      <c r="T948" s="1253">
        <f>+T504+T469</f>
        <v>73389</v>
      </c>
      <c r="U948" s="1253">
        <f>+U504+U469</f>
        <v>74248</v>
      </c>
      <c r="V948" s="1255">
        <f>+V504+V469</f>
        <v>74728</v>
      </c>
      <c r="W948" s="752">
        <f t="shared" si="1452"/>
        <v>74728</v>
      </c>
      <c r="X948" s="1253">
        <f>+X504+X469</f>
        <v>76700</v>
      </c>
      <c r="Y948" s="1253">
        <f>+Y504+Y469</f>
        <v>77743</v>
      </c>
      <c r="Z948" s="1253">
        <f>+Z504+Z469</f>
        <v>78549</v>
      </c>
      <c r="AA948" s="1253">
        <f>+AA504+AA469</f>
        <v>79768</v>
      </c>
      <c r="AB948" s="752">
        <f t="shared" si="1453"/>
        <v>79768</v>
      </c>
      <c r="AC948" s="750">
        <f>+AC504+AC469</f>
        <v>80871</v>
      </c>
      <c r="AD948" s="750">
        <f>+AD504+AD469</f>
        <v>81409</v>
      </c>
      <c r="AE948" s="750">
        <f>+AE504+AE469</f>
        <v>82860</v>
      </c>
      <c r="AF948" s="751">
        <f>+AF504+AF469</f>
        <v>84022</v>
      </c>
      <c r="AG948" s="752">
        <f t="shared" si="1454"/>
        <v>84022</v>
      </c>
      <c r="AH948" s="750">
        <f>+AH504+AH469</f>
        <v>84663</v>
      </c>
      <c r="AI948" s="750">
        <f>+AI504+AI469</f>
        <v>85561</v>
      </c>
      <c r="AJ948" s="750">
        <f>+AJ504+AJ469</f>
        <v>86649</v>
      </c>
      <c r="AK948" s="751">
        <f>+AK504+AK469</f>
        <v>87709</v>
      </c>
      <c r="AL948" s="752">
        <f t="shared" si="1455"/>
        <v>87709</v>
      </c>
      <c r="AM948" s="750">
        <f>+AM504+AM469</f>
        <v>88702</v>
      </c>
      <c r="AN948" s="750">
        <f>+AN504+AN469</f>
        <v>89811</v>
      </c>
      <c r="AO948" s="750">
        <f>+AO504+AO469</f>
        <v>91516</v>
      </c>
      <c r="AP948" s="751">
        <f>+AP504+AP469</f>
        <v>93445</v>
      </c>
      <c r="AQ948" s="752">
        <f t="shared" si="1456"/>
        <v>93445</v>
      </c>
      <c r="AR948" s="750">
        <f>+AR504+AR469</f>
        <v>93827</v>
      </c>
      <c r="AS948" s="750">
        <f>+AS504+AS469</f>
        <v>95587</v>
      </c>
      <c r="AT948" s="750">
        <f>+AT504+AT469</f>
        <v>96362</v>
      </c>
      <c r="AU948" s="751">
        <f>+AU504+AU469</f>
        <v>98429</v>
      </c>
      <c r="AV948" s="752">
        <f t="shared" si="1457"/>
        <v>98429</v>
      </c>
      <c r="AW948" s="750">
        <f>+AW504+AW469</f>
        <v>99728</v>
      </c>
      <c r="AX948" s="750">
        <f>+AX504+AX469</f>
        <v>101343</v>
      </c>
      <c r="AY948" s="750">
        <f>+AY504+AY469</f>
        <v>103521</v>
      </c>
      <c r="AZ948" s="758">
        <f>+AZ504+AZ469</f>
        <v>104326</v>
      </c>
      <c r="BA948" s="752">
        <f t="shared" si="1458"/>
        <v>104326</v>
      </c>
      <c r="BB948" s="750">
        <f>+BB504+BB469</f>
        <v>105544</v>
      </c>
      <c r="BC948" s="750">
        <f>+BC504+BC469</f>
        <v>106335</v>
      </c>
      <c r="BD948" s="750">
        <f>+BD504+BD469</f>
        <v>107011</v>
      </c>
      <c r="BE948" s="751">
        <f>+BE504+BE469</f>
        <v>108320</v>
      </c>
      <c r="BF948" s="752">
        <f t="shared" si="1459"/>
        <v>108320</v>
      </c>
      <c r="BG948" s="750">
        <f>+BG504+BG469</f>
        <v>108727</v>
      </c>
      <c r="BH948" s="750">
        <f>+BH504+BH469</f>
        <v>109125</v>
      </c>
      <c r="BI948" s="750">
        <f>+BI504+BI469</f>
        <v>109264</v>
      </c>
      <c r="BJ948" s="750">
        <f>+BJ504+BJ469</f>
        <v>110099</v>
      </c>
      <c r="BK948" s="752">
        <f t="shared" si="1462"/>
        <v>110099</v>
      </c>
      <c r="BL948" s="750">
        <f>+BL504+BL469</f>
        <v>110378</v>
      </c>
      <c r="BM948" s="750">
        <f>+BM504+BM469</f>
        <v>110927</v>
      </c>
      <c r="BN948" s="750">
        <f>+BN504+BN469</f>
        <v>111357</v>
      </c>
      <c r="BO948" s="750">
        <f>+BO504+BO469</f>
        <v>112132</v>
      </c>
      <c r="BP948" s="752">
        <f t="shared" si="1463"/>
        <v>112132</v>
      </c>
      <c r="BQ948" s="750">
        <f>+BQ504+BQ469</f>
        <v>112279</v>
      </c>
      <c r="BR948" s="750">
        <f>+BR504+BR469</f>
        <v>112917</v>
      </c>
      <c r="BS948" s="750">
        <f>+BS504+BS469</f>
        <v>113733</v>
      </c>
      <c r="BT948" s="750">
        <f>+BT504+BT469</f>
        <v>114877</v>
      </c>
      <c r="BU948" s="752">
        <f t="shared" si="1464"/>
        <v>114877</v>
      </c>
      <c r="BV948" s="750">
        <f>+BV504+BV469</f>
        <v>115302</v>
      </c>
      <c r="BW948" s="750">
        <f>+BW504+BW469</f>
        <v>116256</v>
      </c>
      <c r="BX948" s="750">
        <f>+BX504+BX469</f>
        <v>117773</v>
      </c>
      <c r="BY948" s="750">
        <f>+BY504+BY469</f>
        <v>118078</v>
      </c>
      <c r="BZ948" s="752">
        <f t="shared" si="1465"/>
        <v>118078</v>
      </c>
      <c r="CA948" s="750">
        <f>+CA504+CA469</f>
        <v>123032</v>
      </c>
      <c r="CB948" s="750">
        <f>+CB504+CB469</f>
        <v>123593</v>
      </c>
      <c r="CC948" s="750">
        <f>+CC504+CC469</f>
        <v>125136</v>
      </c>
      <c r="CD948" s="750">
        <f>+CD504+CD469</f>
        <v>126225</v>
      </c>
      <c r="CE948" s="752">
        <f t="shared" si="1460"/>
        <v>126225</v>
      </c>
      <c r="CF948" s="750">
        <f>+CF504+CF469</f>
        <v>127262</v>
      </c>
      <c r="CG948" s="750">
        <f>+CG504+CG469</f>
        <v>128831</v>
      </c>
      <c r="CH948" s="750">
        <f>+CH504+CH469</f>
        <v>130607</v>
      </c>
      <c r="CI948" s="750">
        <f>+CI504+CI469</f>
        <v>132380</v>
      </c>
      <c r="CJ948" s="752">
        <f t="shared" si="1466"/>
        <v>132380</v>
      </c>
      <c r="CK948" s="3540">
        <f>+CK504+CK469</f>
        <v>133753</v>
      </c>
      <c r="CL948" s="750">
        <f>+CL504+CL469</f>
        <v>134611</v>
      </c>
      <c r="CM948" s="750">
        <f>+CM504+CM469</f>
        <v>135539</v>
      </c>
      <c r="CN948" s="750">
        <f>+CN504+CN469</f>
        <v>136512</v>
      </c>
      <c r="CO948" s="752">
        <f t="shared" si="1467"/>
        <v>136512</v>
      </c>
      <c r="CP948" s="750">
        <f>CO948</f>
        <v>136512</v>
      </c>
      <c r="CQ948" s="750">
        <f t="shared" si="1470"/>
        <v>136512</v>
      </c>
      <c r="CR948" s="750">
        <f t="shared" si="1470"/>
        <v>136512</v>
      </c>
      <c r="CS948" s="750">
        <f t="shared" si="1470"/>
        <v>136512</v>
      </c>
      <c r="CT948" s="752">
        <f t="shared" si="1468"/>
        <v>136512</v>
      </c>
      <c r="CU948" s="752">
        <f t="shared" si="1469"/>
        <v>136512</v>
      </c>
      <c r="CV948" s="752">
        <f t="shared" si="1469"/>
        <v>136512</v>
      </c>
      <c r="CW948" s="1201"/>
      <c r="CX948" s="1201"/>
      <c r="CY948" s="1201"/>
      <c r="CZ948" s="1201"/>
      <c r="DA948" s="1201"/>
      <c r="DB948" s="217"/>
      <c r="DC948" s="212"/>
      <c r="DD948" s="234"/>
    </row>
    <row r="949" spans="1:108" s="207" customFormat="1" hidden="1" outlineLevel="1" x14ac:dyDescent="0.2">
      <c r="A949" s="1264" t="s">
        <v>321</v>
      </c>
      <c r="B949" s="1240"/>
      <c r="C949" s="1241"/>
      <c r="D949" s="750"/>
      <c r="E949" s="750"/>
      <c r="F949" s="750"/>
      <c r="G949" s="758"/>
      <c r="H949" s="752"/>
      <c r="I949" s="756">
        <f>4900+2328</f>
        <v>7228</v>
      </c>
      <c r="J949" s="753">
        <f>4900+2365</f>
        <v>7265</v>
      </c>
      <c r="K949" s="753">
        <f>4900+2735</f>
        <v>7635</v>
      </c>
      <c r="L949" s="756">
        <f>5016+2734</f>
        <v>7750</v>
      </c>
      <c r="M949" s="752">
        <f t="shared" si="1450"/>
        <v>7750</v>
      </c>
      <c r="N949" s="753">
        <f>5067+2749</f>
        <v>7816</v>
      </c>
      <c r="O949" s="753">
        <f>5067+2882</f>
        <v>7949</v>
      </c>
      <c r="P949" s="1253">
        <f>+P647+P613</f>
        <v>8495</v>
      </c>
      <c r="Q949" s="1254">
        <f>+Q647+Q613</f>
        <v>8451</v>
      </c>
      <c r="R949" s="752">
        <f t="shared" si="1451"/>
        <v>8451</v>
      </c>
      <c r="S949" s="1253">
        <f>+S647+S613</f>
        <v>8711</v>
      </c>
      <c r="T949" s="1253">
        <f>+T647+T613</f>
        <v>8467</v>
      </c>
      <c r="U949" s="1253">
        <f>+U647+U613</f>
        <v>8685</v>
      </c>
      <c r="V949" s="1255">
        <f>+V647+V613</f>
        <v>9378</v>
      </c>
      <c r="W949" s="752">
        <f t="shared" si="1452"/>
        <v>9378</v>
      </c>
      <c r="X949" s="1253">
        <f>+X647+X613</f>
        <v>9719</v>
      </c>
      <c r="Y949" s="1253">
        <f>+Y647+Y613</f>
        <v>9719</v>
      </c>
      <c r="Z949" s="1253">
        <f>+Z647+Z613</f>
        <v>10284</v>
      </c>
      <c r="AA949" s="1253">
        <f>+AA647+AA613</f>
        <v>10718</v>
      </c>
      <c r="AB949" s="752">
        <f t="shared" si="1453"/>
        <v>10718</v>
      </c>
      <c r="AC949" s="750">
        <f>+AC647+AC613</f>
        <v>11041</v>
      </c>
      <c r="AD949" s="750">
        <f>+AD647+AD613</f>
        <v>11313</v>
      </c>
      <c r="AE949" s="750">
        <f>+AE647+AE613</f>
        <v>11445</v>
      </c>
      <c r="AF949" s="751">
        <f>+AF647+AF613</f>
        <v>11909</v>
      </c>
      <c r="AG949" s="752">
        <f t="shared" si="1454"/>
        <v>11909</v>
      </c>
      <c r="AH949" s="750">
        <f>+AH647+AH613</f>
        <v>12440</v>
      </c>
      <c r="AI949" s="750">
        <f>+AI647+AI613</f>
        <v>13324</v>
      </c>
      <c r="AJ949" s="750">
        <f>+AJ647+AJ613</f>
        <v>13916</v>
      </c>
      <c r="AK949" s="751">
        <f>+AK647+AK613</f>
        <v>14300</v>
      </c>
      <c r="AL949" s="752">
        <f t="shared" si="1455"/>
        <v>14300</v>
      </c>
      <c r="AM949" s="750">
        <f>+AM647+AM613</f>
        <v>14148</v>
      </c>
      <c r="AN949" s="750">
        <f>+AN647+AN613</f>
        <v>13620</v>
      </c>
      <c r="AO949" s="750">
        <f>+AO647+AO613</f>
        <v>13605</v>
      </c>
      <c r="AP949" s="751">
        <f>+AP647+AP613</f>
        <v>14021</v>
      </c>
      <c r="AQ949" s="752">
        <f t="shared" si="1456"/>
        <v>14021</v>
      </c>
      <c r="AR949" s="750">
        <f>+AR647+AR613</f>
        <v>13827</v>
      </c>
      <c r="AS949" s="750">
        <f>+AS647+AS613</f>
        <v>14576</v>
      </c>
      <c r="AT949" s="750">
        <f>+AT647+AT613</f>
        <v>14708</v>
      </c>
      <c r="AU949" s="751">
        <f>+AU647+AU613</f>
        <v>15111</v>
      </c>
      <c r="AV949" s="752">
        <f t="shared" si="1457"/>
        <v>15111</v>
      </c>
      <c r="AW949" s="750">
        <f>+AW647+AW613</f>
        <v>15818</v>
      </c>
      <c r="AX949" s="750">
        <f>+AX647+AX613</f>
        <v>16369</v>
      </c>
      <c r="AY949" s="750">
        <f>+AY647+AY613</f>
        <v>16513</v>
      </c>
      <c r="AZ949" s="758">
        <f>+AZ647+AZ613</f>
        <v>16825</v>
      </c>
      <c r="BA949" s="752">
        <f t="shared" si="1458"/>
        <v>16825</v>
      </c>
      <c r="BB949" s="750">
        <f>+BB647+BB613</f>
        <v>17444</v>
      </c>
      <c r="BC949" s="750">
        <f>+BC647+BC613</f>
        <v>18190</v>
      </c>
      <c r="BD949" s="750">
        <f>+BD647+BD613</f>
        <v>18566</v>
      </c>
      <c r="BE949" s="751">
        <f>+BE647+BE613</f>
        <v>19030</v>
      </c>
      <c r="BF949" s="752">
        <f t="shared" si="1459"/>
        <v>19030</v>
      </c>
      <c r="BG949" s="750">
        <f>+BG647+BG613</f>
        <v>19684</v>
      </c>
      <c r="BH949" s="750">
        <f>+BH647+BH613</f>
        <v>19745</v>
      </c>
      <c r="BI949" s="750">
        <f>+BI647+BI613</f>
        <v>19922</v>
      </c>
      <c r="BJ949" s="750">
        <f>+BJ647+BJ613</f>
        <v>20732</v>
      </c>
      <c r="BK949" s="752">
        <f t="shared" si="1462"/>
        <v>20732</v>
      </c>
      <c r="BL949" s="750">
        <f>+BL647+BL613</f>
        <v>21203</v>
      </c>
      <c r="BM949" s="750">
        <f>+BM647+BM613</f>
        <v>20710</v>
      </c>
      <c r="BN949" s="750">
        <f>+BN647+BN613</f>
        <v>20837</v>
      </c>
      <c r="BO949" s="750">
        <f>+BO647+BO613</f>
        <v>21124</v>
      </c>
      <c r="BP949" s="752">
        <f t="shared" si="1463"/>
        <v>21124</v>
      </c>
      <c r="BQ949" s="750">
        <f>+BQ647+BQ613</f>
        <v>21763</v>
      </c>
      <c r="BR949" s="750">
        <f>+BR647+BR613</f>
        <v>21763</v>
      </c>
      <c r="BS949" s="750">
        <f>+BS647+BS613</f>
        <v>22177</v>
      </c>
      <c r="BT949" s="750">
        <f>+BT647+BT613</f>
        <v>22306</v>
      </c>
      <c r="BU949" s="752">
        <f t="shared" si="1464"/>
        <v>22306</v>
      </c>
      <c r="BV949" s="750">
        <f>+BV647+BV613</f>
        <v>22648</v>
      </c>
      <c r="BW949" s="750">
        <f>+BW647+BW613</f>
        <v>23490</v>
      </c>
      <c r="BX949" s="750">
        <f>+BX647+BX613</f>
        <v>23686</v>
      </c>
      <c r="BY949" s="750">
        <f>+BY647+BY613</f>
        <v>24356</v>
      </c>
      <c r="BZ949" s="752">
        <f>+BY949</f>
        <v>24356</v>
      </c>
      <c r="CA949" s="750">
        <f>+CA647+CA613</f>
        <v>20619</v>
      </c>
      <c r="CB949" s="750">
        <f>+CB647+CB613</f>
        <v>20994</v>
      </c>
      <c r="CC949" s="750">
        <f>+CC647+CC613</f>
        <v>22289</v>
      </c>
      <c r="CD949" s="750">
        <f>+CD647+CD613</f>
        <v>23996</v>
      </c>
      <c r="CE949" s="752">
        <f>+CD949</f>
        <v>23996</v>
      </c>
      <c r="CF949" s="750">
        <f>+CF647+CF613</f>
        <v>24356</v>
      </c>
      <c r="CG949" s="750">
        <f>+CG647+CG613</f>
        <v>25373</v>
      </c>
      <c r="CH949" s="750">
        <f>+CH647+CH613</f>
        <v>26303</v>
      </c>
      <c r="CI949" s="750">
        <f>+CI647+CI613</f>
        <v>27215</v>
      </c>
      <c r="CJ949" s="752">
        <f t="shared" si="1466"/>
        <v>27215</v>
      </c>
      <c r="CK949" s="3540">
        <f>+CK647+CK613</f>
        <v>27435</v>
      </c>
      <c r="CL949" s="750">
        <f>+CL647+CL613</f>
        <v>27304</v>
      </c>
      <c r="CM949" s="750">
        <f>+CM647+CM613</f>
        <v>27709</v>
      </c>
      <c r="CN949" s="750">
        <f>+CN647+CN613</f>
        <v>29435</v>
      </c>
      <c r="CO949" s="752">
        <f t="shared" si="1467"/>
        <v>29435</v>
      </c>
      <c r="CP949" s="750">
        <f>CO949</f>
        <v>29435</v>
      </c>
      <c r="CQ949" s="750">
        <f t="shared" ref="CQ949:CS950" si="1471">CP949</f>
        <v>29435</v>
      </c>
      <c r="CR949" s="750">
        <f t="shared" si="1471"/>
        <v>29435</v>
      </c>
      <c r="CS949" s="750">
        <f t="shared" si="1471"/>
        <v>29435</v>
      </c>
      <c r="CT949" s="752">
        <f t="shared" si="1468"/>
        <v>29435</v>
      </c>
      <c r="CU949" s="752">
        <f>+CT949</f>
        <v>29435</v>
      </c>
      <c r="CV949" s="752">
        <f t="shared" si="1469"/>
        <v>29435</v>
      </c>
      <c r="CW949" s="1201"/>
      <c r="CX949" s="1201"/>
      <c r="CY949" s="1201"/>
      <c r="CZ949" s="1201"/>
      <c r="DA949" s="1201"/>
      <c r="DB949" s="217"/>
      <c r="DC949" s="212"/>
      <c r="DD949" s="234"/>
    </row>
    <row r="950" spans="1:108" s="207" customFormat="1" hidden="1" outlineLevel="1" x14ac:dyDescent="0.2">
      <c r="A950" s="1264" t="s">
        <v>48</v>
      </c>
      <c r="B950" s="1240"/>
      <c r="C950" s="1241"/>
      <c r="D950" s="750"/>
      <c r="E950" s="750"/>
      <c r="F950" s="750"/>
      <c r="G950" s="758"/>
      <c r="H950" s="752"/>
      <c r="I950" s="2404">
        <f t="shared" ref="I950:AN950" si="1472">+I505+I470</f>
        <v>0</v>
      </c>
      <c r="J950" s="2405">
        <f t="shared" si="1472"/>
        <v>0</v>
      </c>
      <c r="K950" s="2405">
        <f t="shared" si="1472"/>
        <v>0</v>
      </c>
      <c r="L950" s="2404">
        <f t="shared" si="1472"/>
        <v>0</v>
      </c>
      <c r="M950" s="2406">
        <f t="shared" si="1472"/>
        <v>0</v>
      </c>
      <c r="N950" s="2404">
        <f t="shared" si="1472"/>
        <v>0</v>
      </c>
      <c r="O950" s="2405">
        <f t="shared" si="1472"/>
        <v>0</v>
      </c>
      <c r="P950" s="2405">
        <f t="shared" si="1472"/>
        <v>0</v>
      </c>
      <c r="Q950" s="2404">
        <f t="shared" si="1472"/>
        <v>0</v>
      </c>
      <c r="R950" s="2406">
        <f t="shared" si="1472"/>
        <v>0</v>
      </c>
      <c r="S950" s="2404">
        <f t="shared" si="1472"/>
        <v>0</v>
      </c>
      <c r="T950" s="2405">
        <f t="shared" si="1472"/>
        <v>0</v>
      </c>
      <c r="U950" s="2405">
        <f t="shared" si="1472"/>
        <v>0</v>
      </c>
      <c r="V950" s="2404">
        <f t="shared" si="1472"/>
        <v>0</v>
      </c>
      <c r="W950" s="2406">
        <f t="shared" si="1472"/>
        <v>0</v>
      </c>
      <c r="X950" s="2404">
        <f t="shared" si="1472"/>
        <v>0</v>
      </c>
      <c r="Y950" s="2405">
        <f t="shared" si="1472"/>
        <v>0</v>
      </c>
      <c r="Z950" s="2405">
        <f t="shared" si="1472"/>
        <v>0</v>
      </c>
      <c r="AA950" s="2404">
        <f t="shared" si="1472"/>
        <v>0</v>
      </c>
      <c r="AB950" s="2406">
        <f t="shared" si="1472"/>
        <v>0</v>
      </c>
      <c r="AC950" s="2404">
        <f t="shared" si="1472"/>
        <v>0</v>
      </c>
      <c r="AD950" s="2405">
        <f t="shared" si="1472"/>
        <v>0</v>
      </c>
      <c r="AE950" s="2405">
        <f t="shared" si="1472"/>
        <v>0</v>
      </c>
      <c r="AF950" s="2404">
        <f t="shared" si="1472"/>
        <v>0</v>
      </c>
      <c r="AG950" s="2406">
        <f t="shared" si="1472"/>
        <v>0</v>
      </c>
      <c r="AH950" s="2404">
        <f t="shared" si="1472"/>
        <v>0</v>
      </c>
      <c r="AI950" s="2405">
        <f t="shared" si="1472"/>
        <v>0</v>
      </c>
      <c r="AJ950" s="2405">
        <f t="shared" si="1472"/>
        <v>0</v>
      </c>
      <c r="AK950" s="2404">
        <f t="shared" si="1472"/>
        <v>0</v>
      </c>
      <c r="AL950" s="2406">
        <f t="shared" si="1472"/>
        <v>0</v>
      </c>
      <c r="AM950" s="2404">
        <f t="shared" si="1472"/>
        <v>0</v>
      </c>
      <c r="AN950" s="2405">
        <f t="shared" si="1472"/>
        <v>0</v>
      </c>
      <c r="AO950" s="2405">
        <f t="shared" ref="AO950:BT950" si="1473">+AO505+AO470</f>
        <v>0</v>
      </c>
      <c r="AP950" s="2404">
        <f t="shared" si="1473"/>
        <v>0</v>
      </c>
      <c r="AQ950" s="2406">
        <f t="shared" si="1473"/>
        <v>0</v>
      </c>
      <c r="AR950" s="2404">
        <f t="shared" si="1473"/>
        <v>0</v>
      </c>
      <c r="AS950" s="2405">
        <f t="shared" si="1473"/>
        <v>0</v>
      </c>
      <c r="AT950" s="2405">
        <f t="shared" si="1473"/>
        <v>0</v>
      </c>
      <c r="AU950" s="2404">
        <f t="shared" si="1473"/>
        <v>0</v>
      </c>
      <c r="AV950" s="2406">
        <f t="shared" si="1473"/>
        <v>0</v>
      </c>
      <c r="AW950" s="2404">
        <f t="shared" si="1473"/>
        <v>0</v>
      </c>
      <c r="AX950" s="2405">
        <f t="shared" si="1473"/>
        <v>0</v>
      </c>
      <c r="AY950" s="2405">
        <f t="shared" si="1473"/>
        <v>0</v>
      </c>
      <c r="AZ950" s="2404">
        <f t="shared" si="1473"/>
        <v>0</v>
      </c>
      <c r="BA950" s="2406">
        <f t="shared" si="1473"/>
        <v>0</v>
      </c>
      <c r="BB950" s="2404">
        <f t="shared" si="1473"/>
        <v>0</v>
      </c>
      <c r="BC950" s="2405">
        <f t="shared" si="1473"/>
        <v>0</v>
      </c>
      <c r="BD950" s="2405">
        <f t="shared" si="1473"/>
        <v>0</v>
      </c>
      <c r="BE950" s="2404">
        <f t="shared" si="1473"/>
        <v>0</v>
      </c>
      <c r="BF950" s="2406">
        <f t="shared" si="1473"/>
        <v>0</v>
      </c>
      <c r="BG950" s="2404">
        <f t="shared" si="1473"/>
        <v>0</v>
      </c>
      <c r="BH950" s="2405">
        <f t="shared" si="1473"/>
        <v>0</v>
      </c>
      <c r="BI950" s="2405">
        <f t="shared" si="1473"/>
        <v>0</v>
      </c>
      <c r="BJ950" s="2404">
        <f t="shared" si="1473"/>
        <v>0</v>
      </c>
      <c r="BK950" s="2406">
        <f t="shared" si="1473"/>
        <v>0</v>
      </c>
      <c r="BL950" s="2404">
        <f t="shared" si="1473"/>
        <v>0</v>
      </c>
      <c r="BM950" s="2405">
        <f t="shared" si="1473"/>
        <v>0</v>
      </c>
      <c r="BN950" s="2405">
        <f t="shared" si="1473"/>
        <v>0</v>
      </c>
      <c r="BO950" s="2404">
        <f t="shared" si="1473"/>
        <v>0</v>
      </c>
      <c r="BP950" s="2406">
        <f t="shared" si="1473"/>
        <v>0</v>
      </c>
      <c r="BQ950" s="2404">
        <f t="shared" si="1473"/>
        <v>0</v>
      </c>
      <c r="BR950" s="2405">
        <f t="shared" si="1473"/>
        <v>0</v>
      </c>
      <c r="BS950" s="2405">
        <f t="shared" si="1473"/>
        <v>0</v>
      </c>
      <c r="BT950" s="2404">
        <f t="shared" si="1473"/>
        <v>0</v>
      </c>
      <c r="BU950" s="2406">
        <f t="shared" ref="BU950:CO950" si="1474">+BU505+BU470</f>
        <v>0</v>
      </c>
      <c r="BV950" s="2404">
        <f t="shared" si="1474"/>
        <v>0</v>
      </c>
      <c r="BW950" s="2405">
        <f t="shared" si="1474"/>
        <v>0</v>
      </c>
      <c r="BX950" s="2405">
        <f t="shared" si="1474"/>
        <v>0</v>
      </c>
      <c r="BY950" s="2405">
        <f t="shared" si="1474"/>
        <v>0</v>
      </c>
      <c r="BZ950" s="2406">
        <f t="shared" si="1474"/>
        <v>0</v>
      </c>
      <c r="CA950" s="2404">
        <f t="shared" si="1474"/>
        <v>0</v>
      </c>
      <c r="CB950" s="2405">
        <f t="shared" si="1474"/>
        <v>0</v>
      </c>
      <c r="CC950" s="2405">
        <f t="shared" si="1474"/>
        <v>0</v>
      </c>
      <c r="CD950" s="2404">
        <f t="shared" si="1474"/>
        <v>0</v>
      </c>
      <c r="CE950" s="2406">
        <f t="shared" si="1474"/>
        <v>0</v>
      </c>
      <c r="CF950" s="2404">
        <f t="shared" si="1474"/>
        <v>0</v>
      </c>
      <c r="CG950" s="2405">
        <f t="shared" si="1474"/>
        <v>0</v>
      </c>
      <c r="CH950" s="2405">
        <f t="shared" si="1474"/>
        <v>0</v>
      </c>
      <c r="CI950" s="2404">
        <f t="shared" si="1474"/>
        <v>0</v>
      </c>
      <c r="CJ950" s="2406">
        <f t="shared" si="1474"/>
        <v>0</v>
      </c>
      <c r="CK950" s="3540">
        <f t="shared" si="1474"/>
        <v>0</v>
      </c>
      <c r="CL950" s="2405">
        <f t="shared" si="1474"/>
        <v>0</v>
      </c>
      <c r="CM950" s="2405">
        <f t="shared" si="1474"/>
        <v>0</v>
      </c>
      <c r="CN950" s="2405">
        <f t="shared" si="1474"/>
        <v>0</v>
      </c>
      <c r="CO950" s="2406">
        <f t="shared" si="1474"/>
        <v>0</v>
      </c>
      <c r="CP950" s="750">
        <f>CO950</f>
        <v>0</v>
      </c>
      <c r="CQ950" s="750">
        <f t="shared" si="1471"/>
        <v>0</v>
      </c>
      <c r="CR950" s="750">
        <f t="shared" si="1471"/>
        <v>0</v>
      </c>
      <c r="CS950" s="750">
        <f t="shared" si="1471"/>
        <v>0</v>
      </c>
      <c r="CT950" s="2406">
        <f>+CT505+CT470</f>
        <v>0</v>
      </c>
      <c r="CU950" s="752">
        <f>+CT950</f>
        <v>0</v>
      </c>
      <c r="CV950" s="752">
        <f t="shared" ref="CV950:CV960" si="1475">+CU950</f>
        <v>0</v>
      </c>
      <c r="CW950" s="1201"/>
      <c r="CX950" s="1201"/>
      <c r="CY950" s="1201"/>
      <c r="CZ950" s="1201"/>
      <c r="DA950" s="1201"/>
      <c r="DB950" s="217"/>
      <c r="DC950" s="212"/>
      <c r="DD950" s="234"/>
    </row>
    <row r="951" spans="1:108" s="207" customFormat="1" hidden="1" outlineLevel="1" x14ac:dyDescent="0.2">
      <c r="A951" s="1264" t="s">
        <v>49</v>
      </c>
      <c r="B951" s="1240"/>
      <c r="C951" s="1241"/>
      <c r="D951" s="750"/>
      <c r="E951" s="750"/>
      <c r="F951" s="750"/>
      <c r="G951" s="758"/>
      <c r="H951" s="752"/>
      <c r="I951" s="2404">
        <f t="shared" ref="I951:AN951" si="1476">I648+I614</f>
        <v>0</v>
      </c>
      <c r="J951" s="2405">
        <f t="shared" si="1476"/>
        <v>0</v>
      </c>
      <c r="K951" s="2405">
        <f t="shared" si="1476"/>
        <v>0</v>
      </c>
      <c r="L951" s="2404">
        <f t="shared" si="1476"/>
        <v>0</v>
      </c>
      <c r="M951" s="2406">
        <f t="shared" si="1476"/>
        <v>0</v>
      </c>
      <c r="N951" s="2404">
        <f t="shared" si="1476"/>
        <v>0</v>
      </c>
      <c r="O951" s="2405">
        <f t="shared" si="1476"/>
        <v>0</v>
      </c>
      <c r="P951" s="2405">
        <f t="shared" si="1476"/>
        <v>0</v>
      </c>
      <c r="Q951" s="2404">
        <f t="shared" si="1476"/>
        <v>0</v>
      </c>
      <c r="R951" s="2406">
        <f t="shared" si="1476"/>
        <v>0</v>
      </c>
      <c r="S951" s="2404">
        <f t="shared" si="1476"/>
        <v>0</v>
      </c>
      <c r="T951" s="2405">
        <f t="shared" si="1476"/>
        <v>0</v>
      </c>
      <c r="U951" s="2405">
        <f t="shared" si="1476"/>
        <v>0</v>
      </c>
      <c r="V951" s="2404">
        <f t="shared" si="1476"/>
        <v>0</v>
      </c>
      <c r="W951" s="2406">
        <f t="shared" si="1476"/>
        <v>0</v>
      </c>
      <c r="X951" s="2404">
        <f t="shared" si="1476"/>
        <v>0</v>
      </c>
      <c r="Y951" s="2405">
        <f t="shared" si="1476"/>
        <v>0</v>
      </c>
      <c r="Z951" s="2405">
        <f t="shared" si="1476"/>
        <v>0</v>
      </c>
      <c r="AA951" s="2404">
        <f t="shared" si="1476"/>
        <v>0</v>
      </c>
      <c r="AB951" s="2406">
        <f t="shared" si="1476"/>
        <v>0</v>
      </c>
      <c r="AC951" s="2404">
        <f t="shared" si="1476"/>
        <v>0</v>
      </c>
      <c r="AD951" s="2405">
        <f t="shared" si="1476"/>
        <v>0</v>
      </c>
      <c r="AE951" s="2405">
        <f t="shared" si="1476"/>
        <v>0</v>
      </c>
      <c r="AF951" s="2404">
        <f t="shared" si="1476"/>
        <v>0</v>
      </c>
      <c r="AG951" s="2406">
        <f t="shared" si="1476"/>
        <v>0</v>
      </c>
      <c r="AH951" s="2404">
        <f t="shared" si="1476"/>
        <v>0</v>
      </c>
      <c r="AI951" s="2405">
        <f t="shared" si="1476"/>
        <v>0</v>
      </c>
      <c r="AJ951" s="2405">
        <f t="shared" si="1476"/>
        <v>0</v>
      </c>
      <c r="AK951" s="2404">
        <f t="shared" si="1476"/>
        <v>0</v>
      </c>
      <c r="AL951" s="2406">
        <f t="shared" si="1476"/>
        <v>0</v>
      </c>
      <c r="AM951" s="2404">
        <f t="shared" si="1476"/>
        <v>0</v>
      </c>
      <c r="AN951" s="2405">
        <f t="shared" si="1476"/>
        <v>0</v>
      </c>
      <c r="AO951" s="2405">
        <f t="shared" ref="AO951:BT951" si="1477">AO648+AO614</f>
        <v>0</v>
      </c>
      <c r="AP951" s="2404">
        <f t="shared" si="1477"/>
        <v>0</v>
      </c>
      <c r="AQ951" s="2406">
        <f t="shared" si="1477"/>
        <v>0</v>
      </c>
      <c r="AR951" s="2404">
        <f t="shared" si="1477"/>
        <v>0</v>
      </c>
      <c r="AS951" s="2405">
        <f t="shared" si="1477"/>
        <v>0</v>
      </c>
      <c r="AT951" s="2405">
        <f t="shared" si="1477"/>
        <v>0</v>
      </c>
      <c r="AU951" s="2404">
        <f t="shared" si="1477"/>
        <v>0</v>
      </c>
      <c r="AV951" s="2406">
        <f t="shared" si="1477"/>
        <v>0</v>
      </c>
      <c r="AW951" s="2404">
        <f t="shared" si="1477"/>
        <v>0</v>
      </c>
      <c r="AX951" s="2405">
        <f t="shared" si="1477"/>
        <v>0</v>
      </c>
      <c r="AY951" s="2405">
        <f t="shared" si="1477"/>
        <v>0</v>
      </c>
      <c r="AZ951" s="2404">
        <f t="shared" si="1477"/>
        <v>0</v>
      </c>
      <c r="BA951" s="2406">
        <f t="shared" si="1477"/>
        <v>0</v>
      </c>
      <c r="BB951" s="2404">
        <f t="shared" si="1477"/>
        <v>0</v>
      </c>
      <c r="BC951" s="2405">
        <f t="shared" si="1477"/>
        <v>0</v>
      </c>
      <c r="BD951" s="2405">
        <f t="shared" si="1477"/>
        <v>0</v>
      </c>
      <c r="BE951" s="2404">
        <f t="shared" si="1477"/>
        <v>0</v>
      </c>
      <c r="BF951" s="2406">
        <f t="shared" si="1477"/>
        <v>0</v>
      </c>
      <c r="BG951" s="2404">
        <f t="shared" si="1477"/>
        <v>0</v>
      </c>
      <c r="BH951" s="2405">
        <f t="shared" si="1477"/>
        <v>0</v>
      </c>
      <c r="BI951" s="2405">
        <f t="shared" si="1477"/>
        <v>0</v>
      </c>
      <c r="BJ951" s="2404">
        <f t="shared" si="1477"/>
        <v>0</v>
      </c>
      <c r="BK951" s="2406">
        <f t="shared" si="1477"/>
        <v>0</v>
      </c>
      <c r="BL951" s="2404">
        <f t="shared" si="1477"/>
        <v>0</v>
      </c>
      <c r="BM951" s="2405">
        <f t="shared" si="1477"/>
        <v>0</v>
      </c>
      <c r="BN951" s="2405">
        <f t="shared" si="1477"/>
        <v>0</v>
      </c>
      <c r="BO951" s="2404">
        <f t="shared" si="1477"/>
        <v>0</v>
      </c>
      <c r="BP951" s="2406">
        <f t="shared" si="1477"/>
        <v>0</v>
      </c>
      <c r="BQ951" s="2404">
        <f t="shared" si="1477"/>
        <v>0</v>
      </c>
      <c r="BR951" s="2405">
        <f t="shared" si="1477"/>
        <v>0</v>
      </c>
      <c r="BS951" s="2405">
        <f t="shared" si="1477"/>
        <v>0</v>
      </c>
      <c r="BT951" s="2404">
        <f t="shared" si="1477"/>
        <v>0</v>
      </c>
      <c r="BU951" s="2406">
        <f t="shared" ref="BU951:CO951" si="1478">BU648+BU614</f>
        <v>0</v>
      </c>
      <c r="BV951" s="2404">
        <f t="shared" si="1478"/>
        <v>0</v>
      </c>
      <c r="BW951" s="2405">
        <f t="shared" si="1478"/>
        <v>8394</v>
      </c>
      <c r="BX951" s="2405">
        <f t="shared" si="1478"/>
        <v>8506</v>
      </c>
      <c r="BY951" s="2405">
        <f t="shared" si="1478"/>
        <v>8506</v>
      </c>
      <c r="BZ951" s="2406">
        <f t="shared" si="1478"/>
        <v>8506</v>
      </c>
      <c r="CA951" s="2404">
        <f t="shared" si="1478"/>
        <v>8749</v>
      </c>
      <c r="CB951" s="2405">
        <f t="shared" si="1478"/>
        <v>8263</v>
      </c>
      <c r="CC951" s="2405">
        <f t="shared" si="1478"/>
        <v>8011</v>
      </c>
      <c r="CD951" s="2404">
        <f t="shared" si="1478"/>
        <v>8008</v>
      </c>
      <c r="CE951" s="2406">
        <f t="shared" si="1478"/>
        <v>8008</v>
      </c>
      <c r="CF951" s="2404">
        <f t="shared" si="1478"/>
        <v>7779</v>
      </c>
      <c r="CG951" s="2405">
        <f t="shared" si="1478"/>
        <v>7683</v>
      </c>
      <c r="CH951" s="2405">
        <f t="shared" si="1478"/>
        <v>7641</v>
      </c>
      <c r="CI951" s="2404">
        <f t="shared" si="1478"/>
        <v>7751</v>
      </c>
      <c r="CJ951" s="2406">
        <f t="shared" si="1478"/>
        <v>7751</v>
      </c>
      <c r="CK951" s="3540">
        <f t="shared" si="1478"/>
        <v>7722</v>
      </c>
      <c r="CL951" s="2405">
        <f t="shared" si="1478"/>
        <v>7657</v>
      </c>
      <c r="CM951" s="2405">
        <f t="shared" si="1478"/>
        <v>7608</v>
      </c>
      <c r="CN951" s="2405">
        <f t="shared" si="1478"/>
        <v>7618</v>
      </c>
      <c r="CO951" s="2406">
        <f t="shared" si="1478"/>
        <v>7618</v>
      </c>
      <c r="CP951" s="750">
        <f t="shared" ref="CP951:CS952" si="1479">CO951</f>
        <v>7618</v>
      </c>
      <c r="CQ951" s="750">
        <f t="shared" si="1479"/>
        <v>7618</v>
      </c>
      <c r="CR951" s="750">
        <f t="shared" si="1479"/>
        <v>7618</v>
      </c>
      <c r="CS951" s="750">
        <f t="shared" si="1479"/>
        <v>7618</v>
      </c>
      <c r="CT951" s="2406">
        <f>CT648+CT614</f>
        <v>8175.670000000001</v>
      </c>
      <c r="CU951" s="752">
        <f>+CT951</f>
        <v>8175.670000000001</v>
      </c>
      <c r="CV951" s="752">
        <f t="shared" si="1475"/>
        <v>8175.670000000001</v>
      </c>
      <c r="CW951" s="1201"/>
      <c r="CX951" s="1201"/>
      <c r="CY951" s="1201"/>
      <c r="CZ951" s="1201"/>
      <c r="DA951" s="1201"/>
      <c r="DB951" s="217"/>
      <c r="DC951" s="212"/>
      <c r="DD951" s="234"/>
    </row>
    <row r="952" spans="1:108" s="207" customFormat="1" hidden="1" outlineLevel="1" x14ac:dyDescent="0.2">
      <c r="A952" s="1264" t="s">
        <v>1478</v>
      </c>
      <c r="B952" s="1240"/>
      <c r="C952" s="1241"/>
      <c r="D952" s="750"/>
      <c r="E952" s="750"/>
      <c r="F952" s="750"/>
      <c r="G952" s="758"/>
      <c r="H952" s="752"/>
      <c r="I952" s="756">
        <f>7526+34834</f>
        <v>42360</v>
      </c>
      <c r="J952" s="753">
        <f>7526+36758</f>
        <v>44284</v>
      </c>
      <c r="K952" s="753">
        <f>7526+37389</f>
        <v>44915</v>
      </c>
      <c r="L952" s="756">
        <f>467+45040</f>
        <v>45507</v>
      </c>
      <c r="M952" s="752">
        <f t="shared" si="1450"/>
        <v>45507</v>
      </c>
      <c r="N952" s="753">
        <f>512+45858</f>
        <v>46370</v>
      </c>
      <c r="O952" s="753">
        <f>512+46474</f>
        <v>46986</v>
      </c>
      <c r="P952" s="1253">
        <f>+P508+P473</f>
        <v>47593</v>
      </c>
      <c r="Q952" s="1254">
        <f>+Q508+Q473</f>
        <v>47836</v>
      </c>
      <c r="R952" s="752">
        <f t="shared" si="1451"/>
        <v>47836</v>
      </c>
      <c r="S952" s="1253">
        <f>+S508+S473</f>
        <v>48257</v>
      </c>
      <c r="T952" s="1253">
        <f>+T508+T473</f>
        <v>48875</v>
      </c>
      <c r="U952" s="1253">
        <f>+U508+U473</f>
        <v>49185</v>
      </c>
      <c r="V952" s="1255">
        <f>+V508+V473</f>
        <v>49715</v>
      </c>
      <c r="W952" s="752">
        <f t="shared" si="1452"/>
        <v>49715</v>
      </c>
      <c r="X952" s="1253">
        <f>+X508+X473</f>
        <v>49983</v>
      </c>
      <c r="Y952" s="1253">
        <f>+Y508+Y473</f>
        <v>49465</v>
      </c>
      <c r="Z952" s="1253">
        <f>+Z508+Z473</f>
        <v>48399</v>
      </c>
      <c r="AA952" s="1253">
        <f>+AA508+AA473</f>
        <v>48258</v>
      </c>
      <c r="AB952" s="752">
        <f t="shared" si="1453"/>
        <v>48258</v>
      </c>
      <c r="AC952" s="750">
        <f>+AC508+AC473</f>
        <v>47388</v>
      </c>
      <c r="AD952" s="750">
        <f>+AD508+AD473</f>
        <v>46945</v>
      </c>
      <c r="AE952" s="750">
        <f>+AE508+AE473</f>
        <v>47267</v>
      </c>
      <c r="AF952" s="751">
        <f>+AF508+AF473</f>
        <v>47440</v>
      </c>
      <c r="AG952" s="752">
        <f t="shared" si="1454"/>
        <v>47440</v>
      </c>
      <c r="AH952" s="750">
        <f>+AH508+AH473</f>
        <v>47362</v>
      </c>
      <c r="AI952" s="750">
        <f>+AI508+AI473</f>
        <v>46746</v>
      </c>
      <c r="AJ952" s="750">
        <f>+AJ508+AJ473</f>
        <v>46460</v>
      </c>
      <c r="AK952" s="751">
        <f>+AK508+AK473</f>
        <v>46030</v>
      </c>
      <c r="AL952" s="752">
        <f t="shared" si="1455"/>
        <v>46030</v>
      </c>
      <c r="AM952" s="750">
        <f>+AM508+AM473</f>
        <v>45226</v>
      </c>
      <c r="AN952" s="750">
        <f>+AN508+AN473</f>
        <v>45592</v>
      </c>
      <c r="AO952" s="750">
        <f>+AO508+AO473</f>
        <v>46231</v>
      </c>
      <c r="AP952" s="751">
        <f>+AP508+AP473</f>
        <v>46930</v>
      </c>
      <c r="AQ952" s="752">
        <f t="shared" si="1456"/>
        <v>46930</v>
      </c>
      <c r="AR952" s="750">
        <f>+AR508+AR473</f>
        <v>46601</v>
      </c>
      <c r="AS952" s="750">
        <f>+AS508+AS473</f>
        <v>47572</v>
      </c>
      <c r="AT952" s="750">
        <f>+AT508+AT473</f>
        <v>48542</v>
      </c>
      <c r="AU952" s="751">
        <f>+AU508+AU473</f>
        <v>49678</v>
      </c>
      <c r="AV952" s="752">
        <f t="shared" si="1457"/>
        <v>49678</v>
      </c>
      <c r="AW952" s="750">
        <f>+AW508+AW473</f>
        <v>51052</v>
      </c>
      <c r="AX952" s="750">
        <f>+AX508+AX473</f>
        <v>52450</v>
      </c>
      <c r="AY952" s="750">
        <f>+AY508+AY473</f>
        <v>54537</v>
      </c>
      <c r="AZ952" s="758">
        <f>+AZ508+AZ473</f>
        <v>55622</v>
      </c>
      <c r="BA952" s="752">
        <f t="shared" si="1458"/>
        <v>55622</v>
      </c>
      <c r="BB952" s="750">
        <f>+BB508+BB473</f>
        <v>56948</v>
      </c>
      <c r="BC952" s="750">
        <f>+BC508+BC473</f>
        <v>57780</v>
      </c>
      <c r="BD952" s="750">
        <f>+BD508+BD473</f>
        <v>58398</v>
      </c>
      <c r="BE952" s="751">
        <f>+BE508+BE473</f>
        <v>58510</v>
      </c>
      <c r="BF952" s="752">
        <f t="shared" si="1459"/>
        <v>58510</v>
      </c>
      <c r="BG952" s="750">
        <f>+BG508+BG473</f>
        <v>58542</v>
      </c>
      <c r="BH952" s="750">
        <f>+BH508+BH473</f>
        <v>59000</v>
      </c>
      <c r="BI952" s="750">
        <f>+BI508+BI473</f>
        <v>60010</v>
      </c>
      <c r="BJ952" s="750">
        <f>+BJ508+BJ473</f>
        <v>60392</v>
      </c>
      <c r="BK952" s="752">
        <f t="shared" si="1462"/>
        <v>60392</v>
      </c>
      <c r="BL952" s="750">
        <f>+BL508+BL473</f>
        <v>60680</v>
      </c>
      <c r="BM952" s="750">
        <f>+BM508+BM473</f>
        <v>60981</v>
      </c>
      <c r="BN952" s="750">
        <f>+BN508+BN473</f>
        <v>61326</v>
      </c>
      <c r="BO952" s="750">
        <f>+BO508+BO473</f>
        <v>61477</v>
      </c>
      <c r="BP952" s="752">
        <f t="shared" si="1463"/>
        <v>61477</v>
      </c>
      <c r="BQ952" s="750">
        <f>+BQ508+BQ473</f>
        <v>61666</v>
      </c>
      <c r="BR952" s="750">
        <f>+BR508+BR473</f>
        <v>62855</v>
      </c>
      <c r="BS952" s="750">
        <f>+BS508+BS473</f>
        <v>63285</v>
      </c>
      <c r="BT952" s="750">
        <f>+BT508+BT473</f>
        <v>62921</v>
      </c>
      <c r="BU952" s="752">
        <f t="shared" si="1464"/>
        <v>62921</v>
      </c>
      <c r="BV952" s="750">
        <f>+BV508+BV473</f>
        <v>63219</v>
      </c>
      <c r="BW952" s="750">
        <f>+BW508+BW473</f>
        <v>63488</v>
      </c>
      <c r="BX952" s="750">
        <f>+BX508+BX473</f>
        <v>64413</v>
      </c>
      <c r="BY952" s="750">
        <f>+BY508+BY473</f>
        <v>64362</v>
      </c>
      <c r="BZ952" s="752">
        <f t="shared" si="1465"/>
        <v>64362</v>
      </c>
      <c r="CA952" s="750">
        <f>+CA508+CA473</f>
        <v>66668</v>
      </c>
      <c r="CB952" s="750">
        <f>+CB508+CB473</f>
        <v>68375</v>
      </c>
      <c r="CC952" s="750">
        <f>+CC508+CC473</f>
        <v>68930</v>
      </c>
      <c r="CD952" s="750">
        <f>+CD508+CD473</f>
        <v>69970</v>
      </c>
      <c r="CE952" s="752">
        <f t="shared" si="1460"/>
        <v>69970</v>
      </c>
      <c r="CF952" s="750">
        <f>+CF508+CF473</f>
        <v>70757</v>
      </c>
      <c r="CG952" s="750">
        <f>+CG508+CG473</f>
        <v>72856</v>
      </c>
      <c r="CH952" s="750">
        <f>+CH508+CH473</f>
        <v>74543</v>
      </c>
      <c r="CI952" s="750">
        <f>+CI508+CI473</f>
        <v>76432</v>
      </c>
      <c r="CJ952" s="752">
        <f t="shared" ref="CJ952:CJ960" si="1480">+CI952</f>
        <v>76432</v>
      </c>
      <c r="CK952" s="3540">
        <f>+CK508+CK473</f>
        <v>77725</v>
      </c>
      <c r="CL952" s="750">
        <f>+CL508+CL473</f>
        <v>79169</v>
      </c>
      <c r="CM952" s="750">
        <f>+CM508+CM473</f>
        <v>80831</v>
      </c>
      <c r="CN952" s="750">
        <f>+CN508+CN473</f>
        <v>82699</v>
      </c>
      <c r="CO952" s="752">
        <f t="shared" ref="CO952:CO960" si="1481">+CN952</f>
        <v>82699</v>
      </c>
      <c r="CP952" s="750">
        <f t="shared" si="1479"/>
        <v>82699</v>
      </c>
      <c r="CQ952" s="750">
        <f t="shared" si="1479"/>
        <v>82699</v>
      </c>
      <c r="CR952" s="750">
        <f t="shared" si="1479"/>
        <v>82699</v>
      </c>
      <c r="CS952" s="750">
        <f t="shared" si="1479"/>
        <v>82699</v>
      </c>
      <c r="CT952" s="752">
        <f t="shared" ref="CT952:CT960" si="1482">+CS952</f>
        <v>82699</v>
      </c>
      <c r="CU952" s="752">
        <f t="shared" ref="CU952:CU960" si="1483">+CT952</f>
        <v>82699</v>
      </c>
      <c r="CV952" s="752">
        <f t="shared" si="1475"/>
        <v>82699</v>
      </c>
      <c r="CW952" s="1201"/>
      <c r="CX952" s="1201"/>
      <c r="CY952" s="1201"/>
      <c r="CZ952" s="1201"/>
      <c r="DA952" s="1201"/>
      <c r="DB952" s="217"/>
      <c r="DC952" s="212"/>
      <c r="DD952" s="234"/>
    </row>
    <row r="953" spans="1:108" s="207" customFormat="1" hidden="1" outlineLevel="1" x14ac:dyDescent="0.2">
      <c r="A953" s="2632" t="s">
        <v>2704</v>
      </c>
      <c r="B953" s="1240"/>
      <c r="C953" s="1241"/>
      <c r="D953" s="750"/>
      <c r="E953" s="750"/>
      <c r="F953" s="750"/>
      <c r="G953" s="758"/>
      <c r="H953" s="752"/>
      <c r="I953" s="756"/>
      <c r="J953" s="753"/>
      <c r="K953" s="753"/>
      <c r="L953" s="756"/>
      <c r="M953" s="752"/>
      <c r="N953" s="753"/>
      <c r="O953" s="753"/>
      <c r="P953" s="1253"/>
      <c r="Q953" s="1254"/>
      <c r="R953" s="752"/>
      <c r="S953" s="1253"/>
      <c r="T953" s="1253"/>
      <c r="U953" s="1253"/>
      <c r="V953" s="1255"/>
      <c r="W953" s="752"/>
      <c r="X953" s="1253"/>
      <c r="Y953" s="1253"/>
      <c r="Z953" s="1253"/>
      <c r="AA953" s="1253"/>
      <c r="AB953" s="752"/>
      <c r="AC953" s="750"/>
      <c r="AD953" s="750"/>
      <c r="AE953" s="750"/>
      <c r="AF953" s="751"/>
      <c r="AG953" s="752"/>
      <c r="AH953" s="750"/>
      <c r="AI953" s="750"/>
      <c r="AJ953" s="750"/>
      <c r="AK953" s="751"/>
      <c r="AL953" s="752"/>
      <c r="AM953" s="750"/>
      <c r="AN953" s="750"/>
      <c r="AO953" s="750"/>
      <c r="AP953" s="751"/>
      <c r="AQ953" s="752"/>
      <c r="AR953" s="750"/>
      <c r="AS953" s="750"/>
      <c r="AT953" s="750"/>
      <c r="AU953" s="751"/>
      <c r="AV953" s="752"/>
      <c r="AW953" s="750"/>
      <c r="AX953" s="750"/>
      <c r="AY953" s="750"/>
      <c r="AZ953" s="758"/>
      <c r="BA953" s="752"/>
      <c r="BB953" s="750"/>
      <c r="BC953" s="750"/>
      <c r="BD953" s="750"/>
      <c r="BE953" s="751"/>
      <c r="BF953" s="752">
        <f>+BF651+BF617</f>
        <v>1235</v>
      </c>
      <c r="BG953" s="750"/>
      <c r="BH953" s="750"/>
      <c r="BI953" s="750"/>
      <c r="BJ953" s="750"/>
      <c r="BK953" s="752">
        <f t="shared" ref="BK953:BZ953" si="1484">+BK651+BK617</f>
        <v>1568</v>
      </c>
      <c r="BL953" s="750">
        <f t="shared" si="1484"/>
        <v>1568</v>
      </c>
      <c r="BM953" s="750">
        <f t="shared" si="1484"/>
        <v>1568</v>
      </c>
      <c r="BN953" s="750">
        <f t="shared" si="1484"/>
        <v>1568</v>
      </c>
      <c r="BO953" s="750">
        <f t="shared" si="1484"/>
        <v>1568</v>
      </c>
      <c r="BP953" s="752">
        <f t="shared" si="1484"/>
        <v>1568</v>
      </c>
      <c r="BQ953" s="750">
        <f t="shared" si="1484"/>
        <v>1568</v>
      </c>
      <c r="BR953" s="750">
        <f t="shared" si="1484"/>
        <v>1716</v>
      </c>
      <c r="BS953" s="750">
        <f t="shared" si="1484"/>
        <v>1896</v>
      </c>
      <c r="BT953" s="750">
        <f t="shared" si="1484"/>
        <v>2044</v>
      </c>
      <c r="BU953" s="752">
        <f t="shared" si="1484"/>
        <v>2044</v>
      </c>
      <c r="BV953" s="750">
        <f t="shared" si="1484"/>
        <v>2092</v>
      </c>
      <c r="BW953" s="750">
        <f t="shared" si="1484"/>
        <v>2092</v>
      </c>
      <c r="BX953" s="750">
        <f t="shared" si="1484"/>
        <v>2089</v>
      </c>
      <c r="BY953" s="750">
        <f t="shared" si="1484"/>
        <v>2089</v>
      </c>
      <c r="BZ953" s="752">
        <f t="shared" si="1484"/>
        <v>2089</v>
      </c>
      <c r="CA953" s="750">
        <f t="shared" ref="CA953:CI953" si="1485">+CA651+CA617</f>
        <v>622</v>
      </c>
      <c r="CB953" s="750">
        <f t="shared" si="1485"/>
        <v>622</v>
      </c>
      <c r="CC953" s="750">
        <f t="shared" si="1485"/>
        <v>622</v>
      </c>
      <c r="CD953" s="750">
        <f t="shared" si="1485"/>
        <v>1102</v>
      </c>
      <c r="CE953" s="752">
        <f t="shared" si="1485"/>
        <v>1102</v>
      </c>
      <c r="CF953" s="750">
        <f t="shared" si="1485"/>
        <v>1234</v>
      </c>
      <c r="CG953" s="750">
        <f t="shared" si="1485"/>
        <v>1234</v>
      </c>
      <c r="CH953" s="750">
        <f t="shared" si="1485"/>
        <v>1456</v>
      </c>
      <c r="CI953" s="750">
        <f t="shared" si="1485"/>
        <v>1974</v>
      </c>
      <c r="CJ953" s="752">
        <f t="shared" ref="CJ953:CV953" si="1486">+CJ651+CJ617</f>
        <v>1974</v>
      </c>
      <c r="CK953" s="3540">
        <f t="shared" si="1486"/>
        <v>2202</v>
      </c>
      <c r="CL953" s="750">
        <f t="shared" si="1486"/>
        <v>2419</v>
      </c>
      <c r="CM953" s="750">
        <f t="shared" si="1486"/>
        <v>3099</v>
      </c>
      <c r="CN953" s="750">
        <f t="shared" si="1486"/>
        <v>3735</v>
      </c>
      <c r="CO953" s="752">
        <f t="shared" si="1486"/>
        <v>3735</v>
      </c>
      <c r="CP953" s="750">
        <f t="shared" si="1486"/>
        <v>2323.6800000000003</v>
      </c>
      <c r="CQ953" s="750">
        <f t="shared" si="1486"/>
        <v>2576.04</v>
      </c>
      <c r="CR953" s="750">
        <f t="shared" si="1486"/>
        <v>3307.59</v>
      </c>
      <c r="CS953" s="750">
        <f t="shared" si="1486"/>
        <v>3993.8100000000004</v>
      </c>
      <c r="CT953" s="752">
        <f>+CT651+CT617</f>
        <v>3993.8100000000004</v>
      </c>
      <c r="CU953" s="752">
        <f t="shared" si="1486"/>
        <v>4238.6921500000008</v>
      </c>
      <c r="CV953" s="752">
        <f t="shared" si="1486"/>
        <v>4350.5802880000001</v>
      </c>
      <c r="CW953" s="1201"/>
      <c r="CX953" s="1201"/>
      <c r="CY953" s="1201"/>
      <c r="CZ953" s="1201"/>
      <c r="DA953" s="1201"/>
      <c r="DB953" s="217"/>
      <c r="DC953" s="212"/>
      <c r="DD953" s="234"/>
    </row>
    <row r="954" spans="1:108" s="207" customFormat="1" hidden="1" outlineLevel="1" x14ac:dyDescent="0.2">
      <c r="A954" s="1264" t="s">
        <v>1479</v>
      </c>
      <c r="B954" s="1240"/>
      <c r="C954" s="1241"/>
      <c r="D954" s="750"/>
      <c r="E954" s="750"/>
      <c r="F954" s="750"/>
      <c r="G954" s="758"/>
      <c r="H954" s="752"/>
      <c r="I954" s="756">
        <f>1196+5084</f>
        <v>6280</v>
      </c>
      <c r="J954" s="753">
        <f>1227+5553</f>
        <v>6780</v>
      </c>
      <c r="K954" s="753">
        <f>1363+6097</f>
        <v>7460</v>
      </c>
      <c r="L954" s="756">
        <v>8665</v>
      </c>
      <c r="M954" s="752">
        <f t="shared" si="1450"/>
        <v>8665</v>
      </c>
      <c r="N954" s="753">
        <f>9413-N955</f>
        <v>9289</v>
      </c>
      <c r="O954" s="753">
        <f>10746-O955-562</f>
        <v>10060</v>
      </c>
      <c r="P954" s="1253">
        <f>+P509+P475</f>
        <v>10341</v>
      </c>
      <c r="Q954" s="1254">
        <f>+Q509+Q475</f>
        <v>10523</v>
      </c>
      <c r="R954" s="752">
        <f t="shared" si="1451"/>
        <v>10523</v>
      </c>
      <c r="S954" s="1253">
        <f>+S509+S475</f>
        <v>10523</v>
      </c>
      <c r="T954" s="1253">
        <f>+T509+T475</f>
        <v>11157</v>
      </c>
      <c r="U954" s="1253">
        <f>+U509+U475</f>
        <v>11409</v>
      </c>
      <c r="V954" s="1255">
        <f>+V509+V475</f>
        <v>11837</v>
      </c>
      <c r="W954" s="752">
        <f t="shared" si="1452"/>
        <v>11837</v>
      </c>
      <c r="X954" s="1253">
        <f>+X509+X475</f>
        <v>12058</v>
      </c>
      <c r="Y954" s="1253">
        <f>+Y509+Y475</f>
        <v>12640</v>
      </c>
      <c r="Z954" s="1253">
        <f>+Z509+Z475</f>
        <v>13387</v>
      </c>
      <c r="AA954" s="1253">
        <f>+AA509+AA475</f>
        <v>14267</v>
      </c>
      <c r="AB954" s="752">
        <f t="shared" si="1453"/>
        <v>14267</v>
      </c>
      <c r="AC954" s="750">
        <f>+AC509+AC475</f>
        <v>14361</v>
      </c>
      <c r="AD954" s="750">
        <f>+AD509+AD475</f>
        <v>15274</v>
      </c>
      <c r="AE954" s="750">
        <f>+AE509+AE475</f>
        <v>15484</v>
      </c>
      <c r="AF954" s="751">
        <f>+AF509+AF475</f>
        <v>15719</v>
      </c>
      <c r="AG954" s="752">
        <f t="shared" si="1454"/>
        <v>15719</v>
      </c>
      <c r="AH954" s="750">
        <f>+AH509+AH475</f>
        <v>16361</v>
      </c>
      <c r="AI954" s="750">
        <f>+AI509+AI475</f>
        <v>16670</v>
      </c>
      <c r="AJ954" s="750">
        <f>+AJ509+AJ475</f>
        <v>17087</v>
      </c>
      <c r="AK954" s="751">
        <f>+AK509+AK475</f>
        <v>17525</v>
      </c>
      <c r="AL954" s="752">
        <f t="shared" si="1455"/>
        <v>17525</v>
      </c>
      <c r="AM954" s="750">
        <f>+AM509+AM475</f>
        <v>18001</v>
      </c>
      <c r="AN954" s="750">
        <f>+AN509+AN475</f>
        <v>18739</v>
      </c>
      <c r="AO954" s="750">
        <f>+AO509+AO475</f>
        <v>19372</v>
      </c>
      <c r="AP954" s="751">
        <f>+AP509+AP475</f>
        <v>20445</v>
      </c>
      <c r="AQ954" s="752">
        <f t="shared" si="1456"/>
        <v>20445</v>
      </c>
      <c r="AR954" s="750">
        <f>+AR509+AR475</f>
        <v>21457</v>
      </c>
      <c r="AS954" s="750">
        <f>+AS509+AS475</f>
        <v>22718</v>
      </c>
      <c r="AT954" s="750">
        <f>+AT509+AT475</f>
        <v>23057</v>
      </c>
      <c r="AU954" s="751">
        <f>+AU509+AU475</f>
        <v>24027</v>
      </c>
      <c r="AV954" s="752">
        <f t="shared" si="1457"/>
        <v>24027</v>
      </c>
      <c r="AW954" s="750">
        <f>+AW509+AW475</f>
        <v>25128</v>
      </c>
      <c r="AX954" s="750">
        <f>+AX509+AX475</f>
        <v>26044</v>
      </c>
      <c r="AY954" s="750">
        <f>+AY509+AY475</f>
        <v>27818</v>
      </c>
      <c r="AZ954" s="758">
        <f>+AZ509+AZ475</f>
        <v>29846</v>
      </c>
      <c r="BA954" s="752">
        <f t="shared" si="1458"/>
        <v>29846</v>
      </c>
      <c r="BB954" s="750">
        <f>+BB509+BB475</f>
        <v>30484</v>
      </c>
      <c r="BC954" s="750">
        <f>+BC509+BC475</f>
        <v>31295</v>
      </c>
      <c r="BD954" s="750">
        <f>+BD509+BD475</f>
        <v>31772</v>
      </c>
      <c r="BE954" s="751">
        <f>+BE509+BE475</f>
        <v>31961</v>
      </c>
      <c r="BF954" s="752">
        <f t="shared" si="1459"/>
        <v>31961</v>
      </c>
      <c r="BG954" s="750">
        <f>+BG509+BG475</f>
        <v>31961</v>
      </c>
      <c r="BH954" s="750">
        <f>+BH509+BH475</f>
        <v>32764</v>
      </c>
      <c r="BI954" s="750">
        <f>+BI509+BI475</f>
        <v>33234</v>
      </c>
      <c r="BJ954" s="750">
        <f>+BJ509+BJ475</f>
        <v>33466</v>
      </c>
      <c r="BK954" s="752">
        <f t="shared" si="1462"/>
        <v>33466</v>
      </c>
      <c r="BL954" s="750">
        <f>+BL509+BL475</f>
        <v>33821</v>
      </c>
      <c r="BM954" s="750">
        <f>+BM509+BM475</f>
        <v>34144</v>
      </c>
      <c r="BN954" s="750">
        <f>+BN509+BN475</f>
        <v>34671</v>
      </c>
      <c r="BO954" s="750">
        <f>+BO509+BO475</f>
        <v>34844</v>
      </c>
      <c r="BP954" s="752">
        <f t="shared" si="1463"/>
        <v>34844</v>
      </c>
      <c r="BQ954" s="750">
        <f>+BQ509+BQ475</f>
        <v>34844</v>
      </c>
      <c r="BR954" s="750">
        <f>+BR509+BR475</f>
        <v>35329</v>
      </c>
      <c r="BS954" s="750">
        <f>+BS509+BS475</f>
        <v>35553</v>
      </c>
      <c r="BT954" s="750">
        <f>+BT509+BT475</f>
        <v>35888</v>
      </c>
      <c r="BU954" s="752">
        <f t="shared" si="1464"/>
        <v>35888</v>
      </c>
      <c r="BV954" s="750">
        <f>+BV509+BV475</f>
        <v>36434</v>
      </c>
      <c r="BW954" s="750">
        <f>+BW509+BW475</f>
        <v>36537</v>
      </c>
      <c r="BX954" s="750">
        <f>+BX509+BX475</f>
        <v>36588</v>
      </c>
      <c r="BY954" s="750">
        <f>+BY509+BY475</f>
        <v>36968</v>
      </c>
      <c r="BZ954" s="752">
        <f t="shared" si="1465"/>
        <v>36968</v>
      </c>
      <c r="CA954" s="750">
        <f>+CA509+CA475</f>
        <v>37991</v>
      </c>
      <c r="CB954" s="750">
        <f>+CB509+CB475</f>
        <v>38652</v>
      </c>
      <c r="CC954" s="750">
        <f>+CC509+CC475</f>
        <v>39408</v>
      </c>
      <c r="CD954" s="750">
        <f>+CD509+CD475</f>
        <v>39750</v>
      </c>
      <c r="CE954" s="752">
        <f t="shared" si="1460"/>
        <v>39750</v>
      </c>
      <c r="CF954" s="750">
        <f>+CF509+CF475</f>
        <v>40822</v>
      </c>
      <c r="CG954" s="750">
        <f>+CG509+CG475</f>
        <v>41497</v>
      </c>
      <c r="CH954" s="750">
        <f>+CH509+CH475</f>
        <v>41965</v>
      </c>
      <c r="CI954" s="750">
        <f>+CI509+CI475</f>
        <v>42526</v>
      </c>
      <c r="CJ954" s="752">
        <f t="shared" si="1480"/>
        <v>42526</v>
      </c>
      <c r="CK954" s="3540">
        <f>+CK509+CK475</f>
        <v>42982</v>
      </c>
      <c r="CL954" s="750">
        <f>+CL509+CL475</f>
        <v>44221</v>
      </c>
      <c r="CM954" s="750">
        <f>+CM509+CM475</f>
        <v>45318</v>
      </c>
      <c r="CN954" s="750">
        <f>+CN509+CN475</f>
        <v>45946</v>
      </c>
      <c r="CO954" s="752">
        <f t="shared" si="1481"/>
        <v>45946</v>
      </c>
      <c r="CP954" s="750">
        <f t="shared" ref="CP954:CS960" si="1487">CO954</f>
        <v>45946</v>
      </c>
      <c r="CQ954" s="750">
        <f t="shared" si="1487"/>
        <v>45946</v>
      </c>
      <c r="CR954" s="750">
        <f t="shared" si="1487"/>
        <v>45946</v>
      </c>
      <c r="CS954" s="750">
        <f t="shared" si="1487"/>
        <v>45946</v>
      </c>
      <c r="CT954" s="752">
        <f t="shared" si="1482"/>
        <v>45946</v>
      </c>
      <c r="CU954" s="752">
        <f t="shared" si="1483"/>
        <v>45946</v>
      </c>
      <c r="CV954" s="752">
        <f t="shared" si="1475"/>
        <v>45946</v>
      </c>
      <c r="CW954" s="1201"/>
      <c r="CX954" s="1201"/>
      <c r="CY954" s="1201"/>
      <c r="CZ954" s="1201"/>
      <c r="DA954" s="1201"/>
      <c r="DB954" s="217"/>
      <c r="DC954" s="212"/>
      <c r="DD954" s="234"/>
    </row>
    <row r="955" spans="1:108" s="207" customFormat="1" hidden="1" outlineLevel="1" x14ac:dyDescent="0.2">
      <c r="A955" s="1264" t="s">
        <v>1480</v>
      </c>
      <c r="B955" s="1240"/>
      <c r="C955" s="1241"/>
      <c r="D955" s="750"/>
      <c r="E955" s="750"/>
      <c r="F955" s="750"/>
      <c r="G955" s="758"/>
      <c r="H955" s="752"/>
      <c r="I955" s="756">
        <v>0</v>
      </c>
      <c r="J955" s="753">
        <v>0</v>
      </c>
      <c r="K955" s="753">
        <v>0</v>
      </c>
      <c r="L955" s="756">
        <v>0</v>
      </c>
      <c r="M955" s="752">
        <f t="shared" si="1450"/>
        <v>0</v>
      </c>
      <c r="N955" s="753">
        <v>124</v>
      </c>
      <c r="O955" s="753">
        <v>124</v>
      </c>
      <c r="P955" s="1253">
        <f>+P652+P618</f>
        <v>124</v>
      </c>
      <c r="Q955" s="1254">
        <f>+Q652+Q618</f>
        <v>124</v>
      </c>
      <c r="R955" s="752">
        <f t="shared" si="1451"/>
        <v>124</v>
      </c>
      <c r="S955" s="1253">
        <f>+S652+S618</f>
        <v>124</v>
      </c>
      <c r="T955" s="1253">
        <f>+T652+T618</f>
        <v>124</v>
      </c>
      <c r="U955" s="1253">
        <f>+U652+U618</f>
        <v>124</v>
      </c>
      <c r="V955" s="1255">
        <f>+V652+V618</f>
        <v>124</v>
      </c>
      <c r="W955" s="752">
        <f t="shared" si="1452"/>
        <v>124</v>
      </c>
      <c r="X955" s="1253">
        <f>+X652+X618</f>
        <v>124</v>
      </c>
      <c r="Y955" s="1253">
        <f>+Y652+Y618</f>
        <v>124</v>
      </c>
      <c r="Z955" s="1253">
        <f>+Z652+Z618</f>
        <v>124</v>
      </c>
      <c r="AA955" s="1253">
        <f>+AA652+AA618</f>
        <v>124</v>
      </c>
      <c r="AB955" s="752">
        <f t="shared" si="1453"/>
        <v>124</v>
      </c>
      <c r="AC955" s="750">
        <f>+AC652+AC618</f>
        <v>124</v>
      </c>
      <c r="AD955" s="750">
        <f>+AD652+AD618</f>
        <v>124</v>
      </c>
      <c r="AE955" s="750">
        <f>+AE652+AE618</f>
        <v>124</v>
      </c>
      <c r="AF955" s="751">
        <f>+AF652+AF618</f>
        <v>124</v>
      </c>
      <c r="AG955" s="752">
        <f t="shared" si="1454"/>
        <v>124</v>
      </c>
      <c r="AH955" s="750">
        <f>+AH652+AH618</f>
        <v>124</v>
      </c>
      <c r="AI955" s="750">
        <f>+AI652+AI618</f>
        <v>124</v>
      </c>
      <c r="AJ955" s="750">
        <f>+AJ652+AJ618</f>
        <v>124</v>
      </c>
      <c r="AK955" s="751">
        <f>+AK652+AK618</f>
        <v>124</v>
      </c>
      <c r="AL955" s="752">
        <f t="shared" si="1455"/>
        <v>124</v>
      </c>
      <c r="AM955" s="750">
        <f>+AM652+AM618</f>
        <v>124</v>
      </c>
      <c r="AN955" s="750">
        <f>+AN652+AN618</f>
        <v>124</v>
      </c>
      <c r="AO955" s="750">
        <f>+AO652+AO618</f>
        <v>124</v>
      </c>
      <c r="AP955" s="751">
        <f>+AP652+AP618</f>
        <v>124</v>
      </c>
      <c r="AQ955" s="752">
        <f t="shared" si="1456"/>
        <v>124</v>
      </c>
      <c r="AR955" s="750">
        <f>+AR652+AR618</f>
        <v>124</v>
      </c>
      <c r="AS955" s="750">
        <f>+AS652+AS618</f>
        <v>124</v>
      </c>
      <c r="AT955" s="750">
        <f>+AT652+AT618</f>
        <v>124</v>
      </c>
      <c r="AU955" s="751">
        <f>+AU652+AU618</f>
        <v>124</v>
      </c>
      <c r="AV955" s="752">
        <f t="shared" si="1457"/>
        <v>124</v>
      </c>
      <c r="AW955" s="750">
        <f>+AW652+AW618</f>
        <v>124</v>
      </c>
      <c r="AX955" s="750">
        <f>+AX652+AX618</f>
        <v>124</v>
      </c>
      <c r="AY955" s="750">
        <f>+AY652+AY618</f>
        <v>124</v>
      </c>
      <c r="AZ955" s="758">
        <f>+AZ652+AZ618</f>
        <v>124</v>
      </c>
      <c r="BA955" s="752">
        <f t="shared" si="1458"/>
        <v>124</v>
      </c>
      <c r="BB955" s="750">
        <f>+BB652+BB618</f>
        <v>124</v>
      </c>
      <c r="BC955" s="750">
        <f>+BC652+BC618</f>
        <v>124</v>
      </c>
      <c r="BD955" s="750">
        <f>+BD652+BD618</f>
        <v>124</v>
      </c>
      <c r="BE955" s="751">
        <f>+BE652+BE618</f>
        <v>124</v>
      </c>
      <c r="BF955" s="752">
        <f t="shared" si="1459"/>
        <v>124</v>
      </c>
      <c r="BG955" s="750">
        <f>+BG652+BG618</f>
        <v>124</v>
      </c>
      <c r="BH955" s="750">
        <f>+BH652+BH618</f>
        <v>124</v>
      </c>
      <c r="BI955" s="750">
        <f>+BI652+BI618</f>
        <v>299</v>
      </c>
      <c r="BJ955" s="750">
        <f>+BJ652+BJ618</f>
        <v>299</v>
      </c>
      <c r="BK955" s="752">
        <f t="shared" si="1462"/>
        <v>299</v>
      </c>
      <c r="BL955" s="750">
        <f>+BL652+BL618</f>
        <v>299</v>
      </c>
      <c r="BM955" s="750">
        <f>+BM652+BM618</f>
        <v>299</v>
      </c>
      <c r="BN955" s="750">
        <f>+BN652+BN618</f>
        <v>299</v>
      </c>
      <c r="BO955" s="750">
        <f>+BO652+BO618</f>
        <v>299</v>
      </c>
      <c r="BP955" s="752">
        <f t="shared" si="1463"/>
        <v>299</v>
      </c>
      <c r="BQ955" s="750">
        <f>+BQ652+BQ618</f>
        <v>299</v>
      </c>
      <c r="BR955" s="750">
        <f>+BR652+BR618</f>
        <v>299</v>
      </c>
      <c r="BS955" s="750">
        <f>+BS652+BS618</f>
        <v>299</v>
      </c>
      <c r="BT955" s="750">
        <f>+BT652+BT618</f>
        <v>299</v>
      </c>
      <c r="BU955" s="752">
        <f t="shared" si="1464"/>
        <v>299</v>
      </c>
      <c r="BV955" s="750">
        <f>+BV652+BV618</f>
        <v>299</v>
      </c>
      <c r="BW955" s="750">
        <f>+BW652+BW618</f>
        <v>299</v>
      </c>
      <c r="BX955" s="750">
        <f>+BX652+BX618</f>
        <v>299</v>
      </c>
      <c r="BY955" s="750">
        <f>+BY652+BY618</f>
        <v>299</v>
      </c>
      <c r="BZ955" s="752">
        <f t="shared" si="1465"/>
        <v>299</v>
      </c>
      <c r="CA955" s="750">
        <f>+CA652+CA618</f>
        <v>0</v>
      </c>
      <c r="CB955" s="750">
        <f>+CB652+CB618</f>
        <v>0</v>
      </c>
      <c r="CC955" s="750">
        <f>+CC652+CC618</f>
        <v>0</v>
      </c>
      <c r="CD955" s="750">
        <f>+CD652+CD618</f>
        <v>0</v>
      </c>
      <c r="CE955" s="752">
        <f t="shared" si="1460"/>
        <v>0</v>
      </c>
      <c r="CF955" s="750">
        <f>+CF652+CF618</f>
        <v>0</v>
      </c>
      <c r="CG955" s="750">
        <f>+CG652+CG618</f>
        <v>0</v>
      </c>
      <c r="CH955" s="750">
        <f>+CH652+CH618</f>
        <v>0</v>
      </c>
      <c r="CI955" s="750">
        <f>+CI652+CI618</f>
        <v>0</v>
      </c>
      <c r="CJ955" s="752">
        <f t="shared" si="1480"/>
        <v>0</v>
      </c>
      <c r="CK955" s="3540">
        <f>+CK652+CK618</f>
        <v>0</v>
      </c>
      <c r="CL955" s="750">
        <f ca="1">+CL652+CL618</f>
        <v>0</v>
      </c>
      <c r="CM955" s="750">
        <f ca="1">+CM652+CM618</f>
        <v>0</v>
      </c>
      <c r="CN955" s="750">
        <f ca="1">+CN652+CN618</f>
        <v>0</v>
      </c>
      <c r="CO955" s="752">
        <f t="shared" ca="1" si="1481"/>
        <v>0</v>
      </c>
      <c r="CP955" s="750">
        <f t="shared" ca="1" si="1487"/>
        <v>0</v>
      </c>
      <c r="CQ955" s="750">
        <f t="shared" ca="1" si="1487"/>
        <v>0</v>
      </c>
      <c r="CR955" s="750">
        <f t="shared" ca="1" si="1487"/>
        <v>0</v>
      </c>
      <c r="CS955" s="750">
        <f t="shared" ca="1" si="1487"/>
        <v>0</v>
      </c>
      <c r="CT955" s="752">
        <f t="shared" ca="1" si="1482"/>
        <v>0</v>
      </c>
      <c r="CU955" s="752">
        <f t="shared" ca="1" si="1483"/>
        <v>0</v>
      </c>
      <c r="CV955" s="752">
        <f t="shared" ca="1" si="1475"/>
        <v>0</v>
      </c>
      <c r="CW955" s="1201"/>
      <c r="CX955" s="1201"/>
      <c r="CY955" s="1201"/>
      <c r="CZ955" s="1201"/>
      <c r="DA955" s="1201"/>
      <c r="DB955" s="217"/>
      <c r="DC955" s="212"/>
      <c r="DD955" s="234"/>
    </row>
    <row r="956" spans="1:108" s="207" customFormat="1" hidden="1" outlineLevel="1" x14ac:dyDescent="0.2">
      <c r="A956" s="1264" t="s">
        <v>1481</v>
      </c>
      <c r="B956" s="1240"/>
      <c r="C956" s="1241"/>
      <c r="D956" s="750"/>
      <c r="E956" s="750"/>
      <c r="F956" s="750"/>
      <c r="G956" s="758"/>
      <c r="H956" s="752"/>
      <c r="I956" s="756">
        <f>15172+23830</f>
        <v>39002</v>
      </c>
      <c r="J956" s="753">
        <f>15411+25174</f>
        <v>40585</v>
      </c>
      <c r="K956" s="753">
        <f>15815+25697</f>
        <v>41512</v>
      </c>
      <c r="L956" s="756">
        <f>15815+27168</f>
        <v>42983</v>
      </c>
      <c r="M956" s="752">
        <f t="shared" si="1450"/>
        <v>42983</v>
      </c>
      <c r="N956" s="753">
        <f>16165+27333</f>
        <v>43498</v>
      </c>
      <c r="O956" s="753">
        <f>16039+29184-O957</f>
        <v>43652</v>
      </c>
      <c r="P956" s="1253">
        <f>+P506+P471</f>
        <v>45274</v>
      </c>
      <c r="Q956" s="1254">
        <f>+Q506+Q471</f>
        <v>47382</v>
      </c>
      <c r="R956" s="752">
        <f t="shared" si="1451"/>
        <v>47382</v>
      </c>
      <c r="S956" s="1253">
        <f>+S506+S471</f>
        <v>47962</v>
      </c>
      <c r="T956" s="1253">
        <f>+T506+T471</f>
        <v>48991</v>
      </c>
      <c r="U956" s="1253">
        <f>+U506+U471</f>
        <v>49893</v>
      </c>
      <c r="V956" s="1255">
        <f>+V506+V471</f>
        <v>50654</v>
      </c>
      <c r="W956" s="752">
        <f t="shared" si="1452"/>
        <v>50654</v>
      </c>
      <c r="X956" s="1253">
        <f>+X506+X471</f>
        <v>50762</v>
      </c>
      <c r="Y956" s="1253">
        <f>+Y506+Y471</f>
        <v>51587</v>
      </c>
      <c r="Z956" s="1253">
        <f>+Z506+Z471</f>
        <v>52284</v>
      </c>
      <c r="AA956" s="1253">
        <f>+AA506+AA471</f>
        <v>52974</v>
      </c>
      <c r="AB956" s="752">
        <f t="shared" si="1453"/>
        <v>52974</v>
      </c>
      <c r="AC956" s="750">
        <f>+AC506+AC471</f>
        <v>53465</v>
      </c>
      <c r="AD956" s="750">
        <f>+AD506+AD471</f>
        <v>54153</v>
      </c>
      <c r="AE956" s="750">
        <f>+AE506+AE471</f>
        <v>54858</v>
      </c>
      <c r="AF956" s="751">
        <f>+AF506+AF471</f>
        <v>56006</v>
      </c>
      <c r="AG956" s="752">
        <f t="shared" si="1454"/>
        <v>56006</v>
      </c>
      <c r="AH956" s="750">
        <f>+AH506+AH471</f>
        <v>56964</v>
      </c>
      <c r="AI956" s="750">
        <f>+AI506+AI471</f>
        <v>57612</v>
      </c>
      <c r="AJ956" s="750">
        <f>+AJ506+AJ471</f>
        <v>58722</v>
      </c>
      <c r="AK956" s="751">
        <f>+AK506+AK471</f>
        <v>58775</v>
      </c>
      <c r="AL956" s="752">
        <f t="shared" si="1455"/>
        <v>58775</v>
      </c>
      <c r="AM956" s="750">
        <f>+AM506+AM471</f>
        <v>59858</v>
      </c>
      <c r="AN956" s="750">
        <f>+AN506+AN471</f>
        <v>60072</v>
      </c>
      <c r="AO956" s="750">
        <f>+AO506+AO471</f>
        <v>61229</v>
      </c>
      <c r="AP956" s="751">
        <f>+AP506+AP471</f>
        <v>62613</v>
      </c>
      <c r="AQ956" s="752">
        <f t="shared" si="1456"/>
        <v>62613</v>
      </c>
      <c r="AR956" s="750">
        <f>+AR506+AR471</f>
        <v>62827</v>
      </c>
      <c r="AS956" s="750">
        <f>+AS506+AS471</f>
        <v>63651</v>
      </c>
      <c r="AT956" s="750">
        <f>+AT506+AT471</f>
        <v>64360</v>
      </c>
      <c r="AU956" s="751">
        <f>+AU506+AU471</f>
        <v>66060</v>
      </c>
      <c r="AV956" s="752">
        <f t="shared" si="1457"/>
        <v>66060</v>
      </c>
      <c r="AW956" s="750">
        <f>+AW506+AW471</f>
        <v>66538</v>
      </c>
      <c r="AX956" s="750">
        <f>+AX506+AX471</f>
        <v>67622</v>
      </c>
      <c r="AY956" s="750">
        <f>+AY506+AY471</f>
        <v>69673</v>
      </c>
      <c r="AZ956" s="758">
        <f>+AZ506+AZ471</f>
        <v>70803</v>
      </c>
      <c r="BA956" s="752">
        <f t="shared" si="1458"/>
        <v>70803</v>
      </c>
      <c r="BB956" s="750">
        <f>+BB506+BB471</f>
        <v>70531</v>
      </c>
      <c r="BC956" s="750">
        <f>+BC506+BC471</f>
        <v>70806</v>
      </c>
      <c r="BD956" s="750">
        <f>+BD506+BD471</f>
        <v>71088</v>
      </c>
      <c r="BE956" s="751">
        <f>+BE506+BE471</f>
        <v>71379</v>
      </c>
      <c r="BF956" s="752">
        <f t="shared" si="1459"/>
        <v>71379</v>
      </c>
      <c r="BG956" s="750">
        <f>+BG506+BG471</f>
        <v>71838</v>
      </c>
      <c r="BH956" s="750">
        <f>+BH506+BH471</f>
        <v>71875</v>
      </c>
      <c r="BI956" s="750">
        <f>+BI506+BI471</f>
        <v>71875</v>
      </c>
      <c r="BJ956" s="750">
        <f>+BJ506+BJ471</f>
        <v>71884</v>
      </c>
      <c r="BK956" s="752">
        <f t="shared" si="1462"/>
        <v>71884</v>
      </c>
      <c r="BL956" s="750">
        <f>+BL506+BL471</f>
        <v>71886</v>
      </c>
      <c r="BM956" s="750">
        <f>+BM506+BM471</f>
        <v>72102</v>
      </c>
      <c r="BN956" s="750">
        <f>+BN506+BN471</f>
        <v>72322</v>
      </c>
      <c r="BO956" s="750">
        <f>+BO506+BO471</f>
        <v>72450</v>
      </c>
      <c r="BP956" s="752">
        <f t="shared" si="1463"/>
        <v>72450</v>
      </c>
      <c r="BQ956" s="750">
        <f>+BQ506+BQ471</f>
        <v>73057</v>
      </c>
      <c r="BR956" s="750">
        <f>+BR506+BR471</f>
        <v>73659</v>
      </c>
      <c r="BS956" s="750">
        <f>+BS506+BS471</f>
        <v>74907</v>
      </c>
      <c r="BT956" s="750">
        <f>+BT506+BT471</f>
        <v>75864</v>
      </c>
      <c r="BU956" s="752">
        <f t="shared" si="1464"/>
        <v>75864</v>
      </c>
      <c r="BV956" s="750">
        <f>+BV506+BV471</f>
        <v>75442</v>
      </c>
      <c r="BW956" s="750">
        <f>+BW506+BW471</f>
        <v>76720</v>
      </c>
      <c r="BX956" s="750">
        <f>+BX506+BX471</f>
        <v>77385</v>
      </c>
      <c r="BY956" s="750">
        <f>+BY506+BY471</f>
        <v>78326</v>
      </c>
      <c r="BZ956" s="752">
        <f t="shared" si="1465"/>
        <v>78326</v>
      </c>
      <c r="CA956" s="750">
        <f>+CA506+CA471</f>
        <v>82224</v>
      </c>
      <c r="CB956" s="750">
        <f>+CB506+CB471</f>
        <v>83035</v>
      </c>
      <c r="CC956" s="750">
        <f>+CC506+CC471</f>
        <v>83426</v>
      </c>
      <c r="CD956" s="750">
        <f>+CD506+CD471</f>
        <v>84220</v>
      </c>
      <c r="CE956" s="752">
        <f t="shared" si="1460"/>
        <v>84220</v>
      </c>
      <c r="CF956" s="750">
        <f>+CF506+CF471</f>
        <v>84893</v>
      </c>
      <c r="CG956" s="750">
        <f>+CG506+CG471</f>
        <v>85896</v>
      </c>
      <c r="CH956" s="750">
        <f>+CH506+CH471</f>
        <v>87725</v>
      </c>
      <c r="CI956" s="750">
        <f>+CI506+CI471</f>
        <v>88873</v>
      </c>
      <c r="CJ956" s="752">
        <f t="shared" si="1480"/>
        <v>88873</v>
      </c>
      <c r="CK956" s="3540">
        <f>+CK506+CK471</f>
        <v>89677</v>
      </c>
      <c r="CL956" s="750">
        <f>+CL506+CL471</f>
        <v>90266</v>
      </c>
      <c r="CM956" s="750">
        <f>+CM506+CM471</f>
        <v>90090</v>
      </c>
      <c r="CN956" s="750">
        <f>+CN506+CN471</f>
        <v>92445</v>
      </c>
      <c r="CO956" s="752">
        <f t="shared" si="1481"/>
        <v>92445</v>
      </c>
      <c r="CP956" s="750">
        <f t="shared" si="1487"/>
        <v>92445</v>
      </c>
      <c r="CQ956" s="750">
        <f t="shared" si="1487"/>
        <v>92445</v>
      </c>
      <c r="CR956" s="750">
        <f t="shared" si="1487"/>
        <v>92445</v>
      </c>
      <c r="CS956" s="750">
        <f t="shared" si="1487"/>
        <v>92445</v>
      </c>
      <c r="CT956" s="752">
        <f t="shared" si="1482"/>
        <v>92445</v>
      </c>
      <c r="CU956" s="752">
        <f t="shared" si="1483"/>
        <v>92445</v>
      </c>
      <c r="CV956" s="752">
        <f t="shared" si="1475"/>
        <v>92445</v>
      </c>
      <c r="CW956" s="1201"/>
      <c r="CX956" s="1201"/>
      <c r="CY956" s="1201"/>
      <c r="CZ956" s="1201"/>
      <c r="DA956" s="1201"/>
      <c r="DB956" s="217"/>
      <c r="DC956" s="212"/>
      <c r="DD956" s="234"/>
    </row>
    <row r="957" spans="1:108" s="207" customFormat="1" hidden="1" outlineLevel="1" x14ac:dyDescent="0.2">
      <c r="A957" s="1264" t="s">
        <v>378</v>
      </c>
      <c r="B957" s="1240"/>
      <c r="C957" s="1241"/>
      <c r="D957" s="750"/>
      <c r="E957" s="750"/>
      <c r="F957" s="750"/>
      <c r="G957" s="758"/>
      <c r="H957" s="752"/>
      <c r="I957" s="756">
        <v>1235</v>
      </c>
      <c r="J957" s="753">
        <v>1369</v>
      </c>
      <c r="K957" s="753">
        <v>1371</v>
      </c>
      <c r="L957" s="756">
        <v>1371</v>
      </c>
      <c r="M957" s="752">
        <f t="shared" si="1450"/>
        <v>1371</v>
      </c>
      <c r="N957" s="753">
        <v>1491</v>
      </c>
      <c r="O957" s="753">
        <v>1571</v>
      </c>
      <c r="P957" s="1253">
        <f>+P649+P615</f>
        <v>1571</v>
      </c>
      <c r="Q957" s="1254">
        <f>+Q649+Q615</f>
        <v>1571</v>
      </c>
      <c r="R957" s="752">
        <f t="shared" si="1451"/>
        <v>1571</v>
      </c>
      <c r="S957" s="1253">
        <f>+S649+S615</f>
        <v>1571</v>
      </c>
      <c r="T957" s="1253">
        <f>+T649+T615</f>
        <v>1789</v>
      </c>
      <c r="U957" s="1253">
        <f>+U649+U615</f>
        <v>1789</v>
      </c>
      <c r="V957" s="1255">
        <f>+V649+V615</f>
        <v>1795</v>
      </c>
      <c r="W957" s="752">
        <f t="shared" si="1452"/>
        <v>1795</v>
      </c>
      <c r="X957" s="1253">
        <f>+X649+X615</f>
        <v>1795</v>
      </c>
      <c r="Y957" s="1253">
        <f>+Y649+Y615</f>
        <v>1795</v>
      </c>
      <c r="Z957" s="1253">
        <f>+Z649+Z615</f>
        <v>1887</v>
      </c>
      <c r="AA957" s="1253">
        <f>+AA649+AA615</f>
        <v>1887</v>
      </c>
      <c r="AB957" s="752">
        <f t="shared" si="1453"/>
        <v>1887</v>
      </c>
      <c r="AC957" s="750">
        <f>+AC649+AC615</f>
        <v>2107</v>
      </c>
      <c r="AD957" s="750">
        <f>+AD649+AD615</f>
        <v>2107</v>
      </c>
      <c r="AE957" s="750">
        <f>+AE649+AE615</f>
        <v>2240</v>
      </c>
      <c r="AF957" s="751">
        <f>+AF649+AF615</f>
        <v>2240</v>
      </c>
      <c r="AG957" s="752">
        <f t="shared" si="1454"/>
        <v>2240</v>
      </c>
      <c r="AH957" s="750">
        <f>+AH649+AH615</f>
        <v>2240</v>
      </c>
      <c r="AI957" s="750">
        <f>+AI649+AI615</f>
        <v>2240</v>
      </c>
      <c r="AJ957" s="750">
        <f>+AJ649+AJ615</f>
        <v>2409</v>
      </c>
      <c r="AK957" s="751">
        <f>+AK649+AK615</f>
        <v>2313</v>
      </c>
      <c r="AL957" s="752">
        <f t="shared" si="1455"/>
        <v>2313</v>
      </c>
      <c r="AM957" s="750">
        <f>+AM649+AM615</f>
        <v>2313</v>
      </c>
      <c r="AN957" s="750">
        <f>+AN649+AN615</f>
        <v>2563</v>
      </c>
      <c r="AO957" s="750">
        <f>+AO649+AO615</f>
        <v>2612</v>
      </c>
      <c r="AP957" s="751">
        <f>+AP649+AP615</f>
        <v>2611</v>
      </c>
      <c r="AQ957" s="752">
        <f t="shared" si="1456"/>
        <v>2611</v>
      </c>
      <c r="AR957" s="750">
        <f>+AR649+AR615</f>
        <v>2611</v>
      </c>
      <c r="AS957" s="750">
        <f>+AS649+AS615</f>
        <v>2611</v>
      </c>
      <c r="AT957" s="750">
        <f>+AT649+AT615</f>
        <v>2665</v>
      </c>
      <c r="AU957" s="751">
        <f>+AU649+AU615</f>
        <v>2665</v>
      </c>
      <c r="AV957" s="752">
        <f t="shared" si="1457"/>
        <v>2665</v>
      </c>
      <c r="AW957" s="750">
        <f>+AW649+AW615</f>
        <v>2389</v>
      </c>
      <c r="AX957" s="750">
        <f>+AX649+AX615</f>
        <v>2604</v>
      </c>
      <c r="AY957" s="750">
        <f>+AY649+AY615</f>
        <v>2604</v>
      </c>
      <c r="AZ957" s="758">
        <f>+AZ649+AZ615</f>
        <v>2417</v>
      </c>
      <c r="BA957" s="752">
        <f t="shared" si="1458"/>
        <v>2417</v>
      </c>
      <c r="BB957" s="750">
        <f>+BB649+BB615</f>
        <v>2418</v>
      </c>
      <c r="BC957" s="750">
        <f>+BC649+BC615</f>
        <v>2418</v>
      </c>
      <c r="BD957" s="750">
        <f>+BD649+BD615</f>
        <v>2559</v>
      </c>
      <c r="BE957" s="751">
        <f>+BE649+BE615</f>
        <v>2559</v>
      </c>
      <c r="BF957" s="752">
        <f t="shared" si="1459"/>
        <v>2559</v>
      </c>
      <c r="BG957" s="750">
        <f>+BG649+BG615</f>
        <v>2559</v>
      </c>
      <c r="BH957" s="750">
        <f>+BH649+BH615</f>
        <v>2559</v>
      </c>
      <c r="BI957" s="750">
        <f>+BI649+BI615</f>
        <v>2559</v>
      </c>
      <c r="BJ957" s="750">
        <f>+BJ649+BJ615</f>
        <v>2791</v>
      </c>
      <c r="BK957" s="752">
        <f t="shared" si="1462"/>
        <v>2791</v>
      </c>
      <c r="BL957" s="750">
        <f>+BL649+BL615</f>
        <v>3028</v>
      </c>
      <c r="BM957" s="750">
        <f>+BM649+BM615</f>
        <v>3028</v>
      </c>
      <c r="BN957" s="750">
        <f>+BN649+BN615</f>
        <v>3229</v>
      </c>
      <c r="BO957" s="750">
        <f>+BO649+BO615</f>
        <v>3229</v>
      </c>
      <c r="BP957" s="752">
        <f t="shared" si="1463"/>
        <v>3229</v>
      </c>
      <c r="BQ957" s="750">
        <f>+BQ649+BQ615</f>
        <v>3229</v>
      </c>
      <c r="BR957" s="750">
        <f>+BR649+BR615</f>
        <v>3229</v>
      </c>
      <c r="BS957" s="750">
        <f>+BS649+BS615</f>
        <v>3229</v>
      </c>
      <c r="BT957" s="750">
        <f>+BT649+BT615</f>
        <v>3349</v>
      </c>
      <c r="BU957" s="752">
        <f t="shared" si="1464"/>
        <v>3349</v>
      </c>
      <c r="BV957" s="750">
        <f>+BV649+BV615</f>
        <v>3349</v>
      </c>
      <c r="BW957" s="750">
        <f>+BW649+BW615</f>
        <v>3349</v>
      </c>
      <c r="BX957" s="750">
        <f>+BX649+BX615</f>
        <v>3349</v>
      </c>
      <c r="BY957" s="750">
        <f>+BY649+BY615</f>
        <v>3645</v>
      </c>
      <c r="BZ957" s="752">
        <f t="shared" si="1465"/>
        <v>3645</v>
      </c>
      <c r="CA957" s="750">
        <f>+CA649+CA615</f>
        <v>717</v>
      </c>
      <c r="CB957" s="750">
        <f>+CB649+CB615</f>
        <v>717</v>
      </c>
      <c r="CC957" s="750">
        <f>+CC649+CC615</f>
        <v>717</v>
      </c>
      <c r="CD957" s="750">
        <f>+CD649+CD615</f>
        <v>717</v>
      </c>
      <c r="CE957" s="752">
        <f t="shared" si="1460"/>
        <v>717</v>
      </c>
      <c r="CF957" s="750">
        <f>+CF649+CF615</f>
        <v>717</v>
      </c>
      <c r="CG957" s="750">
        <f>+CG649+CG615</f>
        <v>717</v>
      </c>
      <c r="CH957" s="750">
        <f>+CH649+CH615</f>
        <v>717</v>
      </c>
      <c r="CI957" s="750">
        <f>+CI649+CI615</f>
        <v>717</v>
      </c>
      <c r="CJ957" s="752">
        <f t="shared" si="1480"/>
        <v>717</v>
      </c>
      <c r="CK957" s="3540">
        <f>+CK649+CK615</f>
        <v>717</v>
      </c>
      <c r="CL957" s="750">
        <f>+CL649+CL615</f>
        <v>717</v>
      </c>
      <c r="CM957" s="750">
        <f>+CM649+CM615</f>
        <v>804</v>
      </c>
      <c r="CN957" s="750">
        <f>+CN649+CN615</f>
        <v>930</v>
      </c>
      <c r="CO957" s="752">
        <f t="shared" si="1481"/>
        <v>930</v>
      </c>
      <c r="CP957" s="750">
        <f t="shared" si="1487"/>
        <v>930</v>
      </c>
      <c r="CQ957" s="750">
        <f t="shared" si="1487"/>
        <v>930</v>
      </c>
      <c r="CR957" s="750">
        <f t="shared" si="1487"/>
        <v>930</v>
      </c>
      <c r="CS957" s="750">
        <f t="shared" si="1487"/>
        <v>930</v>
      </c>
      <c r="CT957" s="752">
        <f t="shared" si="1482"/>
        <v>930</v>
      </c>
      <c r="CU957" s="752">
        <f t="shared" si="1483"/>
        <v>930</v>
      </c>
      <c r="CV957" s="752">
        <f t="shared" si="1475"/>
        <v>930</v>
      </c>
      <c r="CW957" s="1201"/>
      <c r="CX957" s="1201"/>
      <c r="CY957" s="1201"/>
      <c r="CZ957" s="1201"/>
      <c r="DA957" s="1201"/>
      <c r="DB957" s="217"/>
      <c r="DC957" s="212"/>
      <c r="DD957" s="234"/>
    </row>
    <row r="958" spans="1:108" s="207" customFormat="1" hidden="1" outlineLevel="1" x14ac:dyDescent="0.2">
      <c r="A958" s="1264" t="s">
        <v>379</v>
      </c>
      <c r="B958" s="1240"/>
      <c r="C958" s="1241"/>
      <c r="D958" s="750"/>
      <c r="E958" s="750"/>
      <c r="F958" s="750"/>
      <c r="G958" s="758"/>
      <c r="H958" s="752"/>
      <c r="I958" s="756">
        <f>2220+5462</f>
        <v>7682</v>
      </c>
      <c r="J958" s="753">
        <f>2469+5811</f>
        <v>8280</v>
      </c>
      <c r="K958" s="753">
        <f>2472+6412</f>
        <v>8884</v>
      </c>
      <c r="L958" s="756">
        <f>2598+6593</f>
        <v>9191</v>
      </c>
      <c r="M958" s="752">
        <f t="shared" si="1450"/>
        <v>9191</v>
      </c>
      <c r="N958" s="753">
        <f>2741+6593</f>
        <v>9334</v>
      </c>
      <c r="O958" s="753">
        <f>2740+6774</f>
        <v>9514</v>
      </c>
      <c r="P958" s="1253">
        <f>+P507+P472</f>
        <v>9683</v>
      </c>
      <c r="Q958" s="1254">
        <f>+Q507+Q472</f>
        <v>10095</v>
      </c>
      <c r="R958" s="752">
        <f t="shared" si="1451"/>
        <v>10095</v>
      </c>
      <c r="S958" s="1253">
        <f>+S507+S472</f>
        <v>10197</v>
      </c>
      <c r="T958" s="1253">
        <f>+T507+T472</f>
        <v>10484</v>
      </c>
      <c r="U958" s="1253">
        <f>+U507+U472</f>
        <v>10809</v>
      </c>
      <c r="V958" s="1255">
        <f>+V507+V472</f>
        <v>10966</v>
      </c>
      <c r="W958" s="752">
        <f t="shared" si="1452"/>
        <v>10966</v>
      </c>
      <c r="X958" s="1253">
        <f>+X507+X472</f>
        <v>11047</v>
      </c>
      <c r="Y958" s="1253">
        <f>+Y507+Y472</f>
        <v>11335</v>
      </c>
      <c r="Z958" s="1253">
        <f>+Z507+Z472</f>
        <v>11555</v>
      </c>
      <c r="AA958" s="1253">
        <f>+AA507+AA472</f>
        <v>11710</v>
      </c>
      <c r="AB958" s="752">
        <f t="shared" si="1453"/>
        <v>11710</v>
      </c>
      <c r="AC958" s="750">
        <f>+AC507+AC472</f>
        <v>11816</v>
      </c>
      <c r="AD958" s="750">
        <f>+AD507+AD472</f>
        <v>11935</v>
      </c>
      <c r="AE958" s="750">
        <f>+AE507+AE472</f>
        <v>12021</v>
      </c>
      <c r="AF958" s="751">
        <f>+AF507+AF472</f>
        <v>12303</v>
      </c>
      <c r="AG958" s="752">
        <f t="shared" si="1454"/>
        <v>12303</v>
      </c>
      <c r="AH958" s="750">
        <f>+AH507+AH472</f>
        <v>12304</v>
      </c>
      <c r="AI958" s="750">
        <f>+AI507+AI472</f>
        <v>12389</v>
      </c>
      <c r="AJ958" s="750">
        <f>+AJ507+AJ472</f>
        <v>12295</v>
      </c>
      <c r="AK958" s="751">
        <f>+AK507+AK472</f>
        <v>12368</v>
      </c>
      <c r="AL958" s="752">
        <f t="shared" si="1455"/>
        <v>12368</v>
      </c>
      <c r="AM958" s="750">
        <f>+AM507+AM472</f>
        <v>12366</v>
      </c>
      <c r="AN958" s="750">
        <f>+AN507+AN472</f>
        <v>12857</v>
      </c>
      <c r="AO958" s="750">
        <f>+AO507+AO472</f>
        <v>13467</v>
      </c>
      <c r="AP958" s="751">
        <f>+AP507+AP472</f>
        <v>14122</v>
      </c>
      <c r="AQ958" s="752">
        <f t="shared" si="1456"/>
        <v>14122</v>
      </c>
      <c r="AR958" s="750">
        <f>+AR507+AR472</f>
        <v>14522</v>
      </c>
      <c r="AS958" s="750">
        <f>+AS507+AS472</f>
        <v>15195</v>
      </c>
      <c r="AT958" s="750">
        <f>+AT507+AT472</f>
        <v>15403</v>
      </c>
      <c r="AU958" s="751">
        <f>+AU507+AU472</f>
        <v>16328</v>
      </c>
      <c r="AV958" s="752">
        <f t="shared" si="1457"/>
        <v>16328</v>
      </c>
      <c r="AW958" s="750">
        <f>+AW507+AW472</f>
        <v>16643</v>
      </c>
      <c r="AX958" s="750">
        <f>+AX507+AX472</f>
        <v>17359</v>
      </c>
      <c r="AY958" s="750">
        <f>+AY507+AY472</f>
        <v>17917</v>
      </c>
      <c r="AZ958" s="758">
        <f>+AZ507+AZ472</f>
        <v>18451</v>
      </c>
      <c r="BA958" s="752">
        <f t="shared" si="1458"/>
        <v>18451</v>
      </c>
      <c r="BB958" s="750">
        <f>+BB507+BB472</f>
        <v>18759</v>
      </c>
      <c r="BC958" s="750">
        <f>+BC507+BC472</f>
        <v>19063</v>
      </c>
      <c r="BD958" s="750">
        <f>+BD507+BD472</f>
        <v>19320</v>
      </c>
      <c r="BE958" s="751">
        <f>+BE507+BE472</f>
        <v>19320</v>
      </c>
      <c r="BF958" s="752">
        <f t="shared" si="1459"/>
        <v>19320</v>
      </c>
      <c r="BG958" s="750">
        <f>+BG507+BG472</f>
        <v>19409</v>
      </c>
      <c r="BH958" s="750">
        <f>+BH507+BH472</f>
        <v>19597</v>
      </c>
      <c r="BI958" s="750">
        <f>+BI507+BI472</f>
        <v>19770</v>
      </c>
      <c r="BJ958" s="750">
        <f>+BJ507+BJ472</f>
        <v>20048</v>
      </c>
      <c r="BK958" s="752">
        <f t="shared" si="1462"/>
        <v>20048</v>
      </c>
      <c r="BL958" s="750">
        <f>+BL507+BL472</f>
        <v>20248</v>
      </c>
      <c r="BM958" s="750">
        <f>+BM507+BM472</f>
        <v>20228</v>
      </c>
      <c r="BN958" s="750">
        <f>+BN507+BN472</f>
        <v>20499</v>
      </c>
      <c r="BO958" s="750">
        <f>+BO507+BO472</f>
        <v>20803</v>
      </c>
      <c r="BP958" s="752">
        <f t="shared" si="1463"/>
        <v>20803</v>
      </c>
      <c r="BQ958" s="750">
        <f>+BQ507+BQ472</f>
        <v>21118</v>
      </c>
      <c r="BR958" s="750">
        <f>+BR507+BR472</f>
        <v>21630</v>
      </c>
      <c r="BS958" s="750">
        <f>+BS507+BS472</f>
        <v>21630</v>
      </c>
      <c r="BT958" s="750">
        <f>+BT507+BT472</f>
        <v>22039</v>
      </c>
      <c r="BU958" s="752">
        <f t="shared" si="1464"/>
        <v>22039</v>
      </c>
      <c r="BV958" s="750">
        <f>+BV507+BV472</f>
        <v>22087</v>
      </c>
      <c r="BW958" s="750">
        <f>+BW507+BW472</f>
        <v>22683</v>
      </c>
      <c r="BX958" s="750">
        <f>+BX507+BX472</f>
        <v>23130</v>
      </c>
      <c r="BY958" s="750">
        <f>+BY507+BY472</f>
        <v>23973</v>
      </c>
      <c r="BZ958" s="752">
        <f t="shared" si="1465"/>
        <v>23973</v>
      </c>
      <c r="CA958" s="750">
        <f>+CA507+CA472</f>
        <v>25453</v>
      </c>
      <c r="CB958" s="750">
        <f>+CB507+CB472</f>
        <v>26111</v>
      </c>
      <c r="CC958" s="750">
        <f>+CC507+CC472</f>
        <v>26508</v>
      </c>
      <c r="CD958" s="750">
        <f>+CD507+CD472</f>
        <v>27128</v>
      </c>
      <c r="CE958" s="752">
        <f t="shared" si="1460"/>
        <v>27128</v>
      </c>
      <c r="CF958" s="750">
        <f>+CF507+CF472</f>
        <v>28115</v>
      </c>
      <c r="CG958" s="750">
        <f>+CG507+CG472</f>
        <v>28954</v>
      </c>
      <c r="CH958" s="750">
        <f>+CH507+CH472</f>
        <v>29449</v>
      </c>
      <c r="CI958" s="750">
        <f>+CI507+CI472</f>
        <v>30252</v>
      </c>
      <c r="CJ958" s="752">
        <f t="shared" si="1480"/>
        <v>30252</v>
      </c>
      <c r="CK958" s="3540">
        <f>+CK507+CK472</f>
        <v>31384</v>
      </c>
      <c r="CL958" s="750">
        <f>+CL507+CL472</f>
        <v>32216</v>
      </c>
      <c r="CM958" s="750">
        <f>+CM507+CM472</f>
        <v>33250</v>
      </c>
      <c r="CN958" s="750">
        <f>+CN507+CN472</f>
        <v>34272</v>
      </c>
      <c r="CO958" s="752">
        <f t="shared" si="1481"/>
        <v>34272</v>
      </c>
      <c r="CP958" s="750">
        <f t="shared" si="1487"/>
        <v>34272</v>
      </c>
      <c r="CQ958" s="750">
        <f t="shared" si="1487"/>
        <v>34272</v>
      </c>
      <c r="CR958" s="750">
        <f t="shared" si="1487"/>
        <v>34272</v>
      </c>
      <c r="CS958" s="750">
        <f t="shared" si="1487"/>
        <v>34272</v>
      </c>
      <c r="CT958" s="752">
        <f t="shared" si="1482"/>
        <v>34272</v>
      </c>
      <c r="CU958" s="752">
        <f t="shared" si="1483"/>
        <v>34272</v>
      </c>
      <c r="CV958" s="752">
        <f t="shared" si="1475"/>
        <v>34272</v>
      </c>
      <c r="CW958" s="1201"/>
      <c r="CX958" s="1201"/>
      <c r="CY958" s="1201"/>
      <c r="CZ958" s="1201"/>
      <c r="DA958" s="1201"/>
      <c r="DB958" s="217"/>
      <c r="DC958" s="212"/>
      <c r="DD958" s="234"/>
    </row>
    <row r="959" spans="1:108" s="207" customFormat="1" hidden="1" outlineLevel="1" x14ac:dyDescent="0.2">
      <c r="A959" s="1264" t="s">
        <v>380</v>
      </c>
      <c r="B959" s="1240"/>
      <c r="C959" s="1241"/>
      <c r="D959" s="750"/>
      <c r="E959" s="750"/>
      <c r="F959" s="750"/>
      <c r="G959" s="758"/>
      <c r="H959" s="752"/>
      <c r="I959" s="756">
        <f>2220+5462</f>
        <v>7682</v>
      </c>
      <c r="J959" s="753">
        <f>2469+5811</f>
        <v>8280</v>
      </c>
      <c r="K959" s="753">
        <f>2472+6412</f>
        <v>8884</v>
      </c>
      <c r="L959" s="756">
        <f>2598+6593</f>
        <v>9191</v>
      </c>
      <c r="M959" s="752">
        <f t="shared" si="1450"/>
        <v>9191</v>
      </c>
      <c r="N959" s="753">
        <f>2741+6593</f>
        <v>9334</v>
      </c>
      <c r="O959" s="753">
        <f>2740+6774</f>
        <v>9514</v>
      </c>
      <c r="P959" s="1253">
        <f>+P650+P616</f>
        <v>0</v>
      </c>
      <c r="Q959" s="1254">
        <f>+Q650+Q616</f>
        <v>0</v>
      </c>
      <c r="R959" s="752">
        <f t="shared" si="1451"/>
        <v>0</v>
      </c>
      <c r="S959" s="1253">
        <f>+S650+S616</f>
        <v>0</v>
      </c>
      <c r="T959" s="1253">
        <f>+T650+T616</f>
        <v>0</v>
      </c>
      <c r="U959" s="1253">
        <f>+U650+U616</f>
        <v>0</v>
      </c>
      <c r="V959" s="1255">
        <f>+V650+V616</f>
        <v>0</v>
      </c>
      <c r="W959" s="752">
        <f t="shared" si="1452"/>
        <v>0</v>
      </c>
      <c r="X959" s="1253">
        <f>+X650+X616</f>
        <v>0</v>
      </c>
      <c r="Y959" s="1253">
        <f>+Y650+Y616</f>
        <v>0</v>
      </c>
      <c r="Z959" s="1253">
        <f>+Z650+Z616</f>
        <v>0</v>
      </c>
      <c r="AA959" s="1253">
        <f>+AA650+AA616</f>
        <v>0</v>
      </c>
      <c r="AB959" s="752">
        <f t="shared" si="1453"/>
        <v>0</v>
      </c>
      <c r="AC959" s="750">
        <f>+AC650+AC616</f>
        <v>0</v>
      </c>
      <c r="AD959" s="750">
        <f>+AD650+AD616</f>
        <v>0</v>
      </c>
      <c r="AE959" s="750">
        <f>+AE650+AE616</f>
        <v>0</v>
      </c>
      <c r="AF959" s="751">
        <f>+AF650+AF616</f>
        <v>0</v>
      </c>
      <c r="AG959" s="752">
        <f t="shared" si="1454"/>
        <v>0</v>
      </c>
      <c r="AH959" s="750">
        <f>+AH650+AH616</f>
        <v>0</v>
      </c>
      <c r="AI959" s="750">
        <f>+AI650+AI616</f>
        <v>0</v>
      </c>
      <c r="AJ959" s="750">
        <f>+AJ650+AJ616</f>
        <v>0</v>
      </c>
      <c r="AK959" s="751">
        <f>+AK650+AK616</f>
        <v>0</v>
      </c>
      <c r="AL959" s="752">
        <f t="shared" si="1455"/>
        <v>0</v>
      </c>
      <c r="AM959" s="750">
        <f>+AM650+AM616</f>
        <v>0</v>
      </c>
      <c r="AN959" s="750">
        <f>+AN650+AN616</f>
        <v>0</v>
      </c>
      <c r="AO959" s="750">
        <f>+AO650+AO616</f>
        <v>0</v>
      </c>
      <c r="AP959" s="751">
        <f>+AP650+AP616</f>
        <v>0</v>
      </c>
      <c r="AQ959" s="752">
        <f t="shared" si="1456"/>
        <v>0</v>
      </c>
      <c r="AR959" s="750">
        <f>+AR650+AR616</f>
        <v>0</v>
      </c>
      <c r="AS959" s="750">
        <f>+AS650+AS616</f>
        <v>0</v>
      </c>
      <c r="AT959" s="750">
        <f>+AT650+AT616</f>
        <v>0</v>
      </c>
      <c r="AU959" s="751">
        <f>+AU650+AU616</f>
        <v>0</v>
      </c>
      <c r="AV959" s="752">
        <f t="shared" si="1457"/>
        <v>0</v>
      </c>
      <c r="AW959" s="750">
        <f>+AW650+AW616</f>
        <v>0</v>
      </c>
      <c r="AX959" s="750">
        <f>+AX650+AX616</f>
        <v>0</v>
      </c>
      <c r="AY959" s="750">
        <f>+AY650+AY616</f>
        <v>0</v>
      </c>
      <c r="AZ959" s="758">
        <f>+AZ650+AZ616</f>
        <v>0</v>
      </c>
      <c r="BA959" s="752">
        <f t="shared" si="1458"/>
        <v>0</v>
      </c>
      <c r="BB959" s="750">
        <f>+BB650+BB616</f>
        <v>0</v>
      </c>
      <c r="BC959" s="750">
        <f>+BC650+BC616</f>
        <v>0</v>
      </c>
      <c r="BD959" s="750">
        <f>+BD650+BD616</f>
        <v>0</v>
      </c>
      <c r="BE959" s="751">
        <f>+BE650+BE616</f>
        <v>105</v>
      </c>
      <c r="BF959" s="752">
        <f t="shared" si="1459"/>
        <v>105</v>
      </c>
      <c r="BG959" s="750">
        <f>+BG650+BG616</f>
        <v>105</v>
      </c>
      <c r="BH959" s="750">
        <f>+BH650+BH616</f>
        <v>105</v>
      </c>
      <c r="BI959" s="750">
        <f>+BI650+BI616</f>
        <v>105</v>
      </c>
      <c r="BJ959" s="750">
        <f>+BJ650+BJ616</f>
        <v>105</v>
      </c>
      <c r="BK959" s="752">
        <f t="shared" si="1462"/>
        <v>105</v>
      </c>
      <c r="BL959" s="750">
        <f>+BL650+BL616</f>
        <v>105</v>
      </c>
      <c r="BM959" s="750">
        <f>+BM650+BM616</f>
        <v>105</v>
      </c>
      <c r="BN959" s="750">
        <f>+BN650+BN616</f>
        <v>278</v>
      </c>
      <c r="BO959" s="750">
        <f>+BO650+BO616</f>
        <v>278</v>
      </c>
      <c r="BP959" s="752">
        <f t="shared" si="1463"/>
        <v>278</v>
      </c>
      <c r="BQ959" s="750">
        <f>+BQ650+BQ616</f>
        <v>278</v>
      </c>
      <c r="BR959" s="750">
        <f>+BR650+BR616</f>
        <v>278</v>
      </c>
      <c r="BS959" s="750">
        <f>+BS650+BS616</f>
        <v>278</v>
      </c>
      <c r="BT959" s="750">
        <f>+BT650+BT616</f>
        <v>278</v>
      </c>
      <c r="BU959" s="752">
        <f t="shared" si="1464"/>
        <v>278</v>
      </c>
      <c r="BV959" s="750">
        <f>+BV650+BV616</f>
        <v>278</v>
      </c>
      <c r="BW959" s="750">
        <f>+BW650+BW616</f>
        <v>426</v>
      </c>
      <c r="BX959" s="750">
        <f>+BX650+BX616</f>
        <v>518</v>
      </c>
      <c r="BY959" s="750">
        <f>+BY650+BY616</f>
        <v>518</v>
      </c>
      <c r="BZ959" s="752">
        <f t="shared" si="1465"/>
        <v>518</v>
      </c>
      <c r="CA959" s="750">
        <f>+CA650+CA616</f>
        <v>0</v>
      </c>
      <c r="CB959" s="750">
        <f>+CB650+CB616</f>
        <v>0</v>
      </c>
      <c r="CC959" s="750">
        <f>+CC650+CC616</f>
        <v>0</v>
      </c>
      <c r="CD959" s="750">
        <f>+CD650+CD616</f>
        <v>0</v>
      </c>
      <c r="CE959" s="752">
        <f t="shared" si="1460"/>
        <v>0</v>
      </c>
      <c r="CF959" s="750">
        <f>+CF650+CF616</f>
        <v>0</v>
      </c>
      <c r="CG959" s="750">
        <f>+CG650+CG616</f>
        <v>0</v>
      </c>
      <c r="CH959" s="750">
        <f>+CH650+CH616</f>
        <v>0</v>
      </c>
      <c r="CI959" s="750">
        <f>+CI650+CI616</f>
        <v>0</v>
      </c>
      <c r="CJ959" s="752">
        <f t="shared" si="1480"/>
        <v>0</v>
      </c>
      <c r="CK959" s="3540">
        <f>+CK650+CK616</f>
        <v>0</v>
      </c>
      <c r="CL959" s="750">
        <f ca="1">+CL650+CL616</f>
        <v>0</v>
      </c>
      <c r="CM959" s="750">
        <f ca="1">+CM650+CM616</f>
        <v>0</v>
      </c>
      <c r="CN959" s="750">
        <f ca="1">+CN650+CN616</f>
        <v>0</v>
      </c>
      <c r="CO959" s="752">
        <f t="shared" ca="1" si="1481"/>
        <v>0</v>
      </c>
      <c r="CP959" s="750">
        <f t="shared" ca="1" si="1487"/>
        <v>0</v>
      </c>
      <c r="CQ959" s="750">
        <f t="shared" ca="1" si="1487"/>
        <v>0</v>
      </c>
      <c r="CR959" s="750">
        <f t="shared" ca="1" si="1487"/>
        <v>0</v>
      </c>
      <c r="CS959" s="750">
        <f t="shared" ca="1" si="1487"/>
        <v>0</v>
      </c>
      <c r="CT959" s="752">
        <f t="shared" ca="1" si="1482"/>
        <v>0</v>
      </c>
      <c r="CU959" s="752">
        <f t="shared" ca="1" si="1483"/>
        <v>0</v>
      </c>
      <c r="CV959" s="752">
        <f t="shared" ca="1" si="1475"/>
        <v>0</v>
      </c>
      <c r="CW959" s="1201"/>
      <c r="CX959" s="1201"/>
      <c r="CY959" s="1201"/>
      <c r="CZ959" s="1201"/>
      <c r="DA959" s="1201"/>
      <c r="DB959" s="217"/>
      <c r="DC959" s="212"/>
      <c r="DD959" s="234"/>
    </row>
    <row r="960" spans="1:108" s="207" customFormat="1" hidden="1" outlineLevel="1" x14ac:dyDescent="0.2">
      <c r="A960" s="1264" t="s">
        <v>381</v>
      </c>
      <c r="B960" s="1240"/>
      <c r="C960" s="1241"/>
      <c r="D960" s="750"/>
      <c r="E960" s="750"/>
      <c r="F960" s="750"/>
      <c r="G960" s="758"/>
      <c r="H960" s="752"/>
      <c r="I960" s="756">
        <v>1733</v>
      </c>
      <c r="J960" s="753">
        <v>1733</v>
      </c>
      <c r="K960" s="753">
        <v>1783</v>
      </c>
      <c r="L960" s="756">
        <f>1797+99</f>
        <v>1896</v>
      </c>
      <c r="M960" s="752">
        <f t="shared" si="1450"/>
        <v>1896</v>
      </c>
      <c r="N960" s="753">
        <f>1969+99</f>
        <v>2068</v>
      </c>
      <c r="O960" s="753">
        <f>1969+99</f>
        <v>2068</v>
      </c>
      <c r="P960" s="1253">
        <f>+P654+P621</f>
        <v>2008</v>
      </c>
      <c r="Q960" s="1254">
        <f>+Q654+Q621</f>
        <v>2007</v>
      </c>
      <c r="R960" s="752">
        <f t="shared" si="1451"/>
        <v>2007</v>
      </c>
      <c r="S960" s="1253">
        <f>+S654+S621</f>
        <v>2167</v>
      </c>
      <c r="T960" s="1253">
        <f>+T654+T621</f>
        <v>2167</v>
      </c>
      <c r="U960" s="1253">
        <f>+U654+U621</f>
        <v>2167</v>
      </c>
      <c r="V960" s="1255">
        <f>+V654+V621</f>
        <v>2322</v>
      </c>
      <c r="W960" s="752">
        <f t="shared" si="1452"/>
        <v>2322</v>
      </c>
      <c r="X960" s="1253">
        <f>+X654+X621</f>
        <v>2422</v>
      </c>
      <c r="Y960" s="1253">
        <f>+Y654+Y621</f>
        <v>2471</v>
      </c>
      <c r="Z960" s="1253">
        <f>+Z654+Z621</f>
        <v>2471</v>
      </c>
      <c r="AA960" s="1253">
        <f>+AA654+AA621</f>
        <v>2471</v>
      </c>
      <c r="AB960" s="752">
        <f t="shared" si="1453"/>
        <v>2471</v>
      </c>
      <c r="AC960" s="750">
        <f>+AC654+AC621</f>
        <v>2585</v>
      </c>
      <c r="AD960" s="750">
        <f>+AD654+AD621</f>
        <v>2809</v>
      </c>
      <c r="AE960" s="750">
        <f>+AE654+AE621</f>
        <v>2809</v>
      </c>
      <c r="AF960" s="751">
        <f>+AF654+AF621</f>
        <v>2852</v>
      </c>
      <c r="AG960" s="752">
        <f t="shared" si="1454"/>
        <v>2852</v>
      </c>
      <c r="AH960" s="750">
        <f>+AH654+AH621</f>
        <v>2852</v>
      </c>
      <c r="AI960" s="750">
        <f>+AI654+AI621</f>
        <v>2804</v>
      </c>
      <c r="AJ960" s="750">
        <f>+AJ654+AJ621</f>
        <v>3027</v>
      </c>
      <c r="AK960" s="751">
        <f>+AK654+AK621</f>
        <v>2977</v>
      </c>
      <c r="AL960" s="752">
        <f t="shared" si="1455"/>
        <v>2977</v>
      </c>
      <c r="AM960" s="750">
        <f>+AM654+AM621</f>
        <v>3042</v>
      </c>
      <c r="AN960" s="750">
        <f>+AN654+AN621</f>
        <v>2948</v>
      </c>
      <c r="AO960" s="750">
        <f>+AO654+AO621</f>
        <v>3036</v>
      </c>
      <c r="AP960" s="751">
        <f>+AP654+AP621</f>
        <v>2905</v>
      </c>
      <c r="AQ960" s="752">
        <f t="shared" si="1456"/>
        <v>2905</v>
      </c>
      <c r="AR960" s="750">
        <f>+AR654+AR621</f>
        <v>2887</v>
      </c>
      <c r="AS960" s="750">
        <f>+AS654+AS621</f>
        <v>3029</v>
      </c>
      <c r="AT960" s="750">
        <f>+AT654+AT621</f>
        <v>3029</v>
      </c>
      <c r="AU960" s="751">
        <f>+AU654+AU621</f>
        <v>3217</v>
      </c>
      <c r="AV960" s="752">
        <f t="shared" si="1457"/>
        <v>3217</v>
      </c>
      <c r="AW960" s="750">
        <f>+AW654+AW621</f>
        <v>3337</v>
      </c>
      <c r="AX960" s="750">
        <f>+AX654+AX621</f>
        <v>3412</v>
      </c>
      <c r="AY960" s="750">
        <f>+AY654+AY621</f>
        <v>3580</v>
      </c>
      <c r="AZ960" s="758">
        <f>+AZ654+AZ621</f>
        <v>3880</v>
      </c>
      <c r="BA960" s="752">
        <f t="shared" si="1458"/>
        <v>3880</v>
      </c>
      <c r="BB960" s="750">
        <f>+BB654+BB621</f>
        <v>3903</v>
      </c>
      <c r="BC960" s="750">
        <f>+BC654+BC621</f>
        <v>3679</v>
      </c>
      <c r="BD960" s="750">
        <f>+BD654+BD621</f>
        <v>3775</v>
      </c>
      <c r="BE960" s="751">
        <f>+BE654+BE621</f>
        <v>3775</v>
      </c>
      <c r="BF960" s="752">
        <f t="shared" si="1459"/>
        <v>3775</v>
      </c>
      <c r="BG960" s="750">
        <f>+BG654+BG621</f>
        <v>3775</v>
      </c>
      <c r="BH960" s="750">
        <f>+BH654+BH621</f>
        <v>3562</v>
      </c>
      <c r="BI960" s="750">
        <f>+BI654+BI621</f>
        <v>3562</v>
      </c>
      <c r="BJ960" s="750">
        <f>+BJ654+BJ621</f>
        <v>3700</v>
      </c>
      <c r="BK960" s="752">
        <f t="shared" si="1462"/>
        <v>3700</v>
      </c>
      <c r="BL960" s="750">
        <f>+BL654+BL621</f>
        <v>3826</v>
      </c>
      <c r="BM960" s="750">
        <f>+BM654+BM621</f>
        <v>3846</v>
      </c>
      <c r="BN960" s="750">
        <f>+BN654+BN621</f>
        <v>3846</v>
      </c>
      <c r="BO960" s="750">
        <f>+BO654+BO621</f>
        <v>4066</v>
      </c>
      <c r="BP960" s="752">
        <f t="shared" si="1463"/>
        <v>4066</v>
      </c>
      <c r="BQ960" s="750">
        <f>+BQ654+BQ621</f>
        <v>4140</v>
      </c>
      <c r="BR960" s="750">
        <f>+BR654+BR621</f>
        <v>4295</v>
      </c>
      <c r="BS960" s="750">
        <f>+BS654+BS621</f>
        <v>4295</v>
      </c>
      <c r="BT960" s="750">
        <f>+BT654+BT621</f>
        <v>4295</v>
      </c>
      <c r="BU960" s="752">
        <f t="shared" si="1464"/>
        <v>4295</v>
      </c>
      <c r="BV960" s="750">
        <f>+BV654+BV621</f>
        <v>4423</v>
      </c>
      <c r="BW960" s="750">
        <f>+BW654+BW621</f>
        <v>4423</v>
      </c>
      <c r="BX960" s="750">
        <f>+BX654+BX621</f>
        <v>4285</v>
      </c>
      <c r="BY960" s="750">
        <f>+BY654+BY621</f>
        <v>4261</v>
      </c>
      <c r="BZ960" s="752">
        <f t="shared" si="1465"/>
        <v>4261</v>
      </c>
      <c r="CA960" s="750">
        <f>+CA654+CA621</f>
        <v>4038</v>
      </c>
      <c r="CB960" s="750">
        <f>+CB654+CB621</f>
        <v>4149</v>
      </c>
      <c r="CC960" s="750">
        <f>+CC654+CC621</f>
        <v>4181</v>
      </c>
      <c r="CD960" s="750">
        <f>+CD654+CD621</f>
        <v>4181</v>
      </c>
      <c r="CE960" s="752">
        <f t="shared" si="1460"/>
        <v>4181</v>
      </c>
      <c r="CF960" s="750">
        <f>+CF654+CF621</f>
        <v>4131</v>
      </c>
      <c r="CG960" s="750">
        <f>+CG654+CG621</f>
        <v>4131</v>
      </c>
      <c r="CH960" s="750">
        <f>+CH654+CH621</f>
        <v>4195</v>
      </c>
      <c r="CI960" s="750">
        <f>+CI654+CI621</f>
        <v>4195</v>
      </c>
      <c r="CJ960" s="752">
        <f t="shared" si="1480"/>
        <v>4195</v>
      </c>
      <c r="CK960" s="3540">
        <f>+CK654+CK621</f>
        <v>4195</v>
      </c>
      <c r="CL960" s="750">
        <f ca="1">+CL654+CL621</f>
        <v>4195</v>
      </c>
      <c r="CM960" s="750">
        <f ca="1">+CM654+CM621</f>
        <v>4195</v>
      </c>
      <c r="CN960" s="750">
        <f ca="1">+CN654+CN621</f>
        <v>4270</v>
      </c>
      <c r="CO960" s="752">
        <f t="shared" ca="1" si="1481"/>
        <v>4270</v>
      </c>
      <c r="CP960" s="750">
        <f t="shared" ca="1" si="1487"/>
        <v>4270</v>
      </c>
      <c r="CQ960" s="750">
        <f t="shared" ca="1" si="1487"/>
        <v>4270</v>
      </c>
      <c r="CR960" s="750">
        <f t="shared" ca="1" si="1487"/>
        <v>4270</v>
      </c>
      <c r="CS960" s="750">
        <f t="shared" ca="1" si="1487"/>
        <v>4270</v>
      </c>
      <c r="CT960" s="752">
        <f t="shared" ca="1" si="1482"/>
        <v>4270</v>
      </c>
      <c r="CU960" s="752">
        <f t="shared" ca="1" si="1483"/>
        <v>4270</v>
      </c>
      <c r="CV960" s="752">
        <f t="shared" ca="1" si="1475"/>
        <v>4270</v>
      </c>
      <c r="CW960" s="1201"/>
      <c r="CX960" s="1201"/>
      <c r="CY960" s="1201"/>
      <c r="CZ960" s="1201"/>
      <c r="DA960" s="1201"/>
      <c r="DB960" s="217"/>
      <c r="DC960" s="212"/>
      <c r="DD960" s="234"/>
    </row>
    <row r="961" spans="1:108" s="207" customFormat="1" ht="4.5" hidden="1" customHeight="1" outlineLevel="1" x14ac:dyDescent="0.2">
      <c r="A961" s="1264"/>
      <c r="B961" s="1240"/>
      <c r="C961" s="1241"/>
      <c r="D961" s="750"/>
      <c r="E961" s="750"/>
      <c r="F961" s="750"/>
      <c r="G961" s="758"/>
      <c r="H961" s="752"/>
      <c r="I961" s="756"/>
      <c r="J961" s="753"/>
      <c r="K961" s="753"/>
      <c r="L961" s="756"/>
      <c r="M961" s="752"/>
      <c r="N961" s="753"/>
      <c r="O961" s="753"/>
      <c r="P961" s="1253"/>
      <c r="Q961" s="1254"/>
      <c r="R961" s="752"/>
      <c r="S961" s="1253"/>
      <c r="T961" s="1253"/>
      <c r="U961" s="1253"/>
      <c r="V961" s="1255"/>
      <c r="W961" s="752"/>
      <c r="X961" s="1253"/>
      <c r="Y961" s="1253"/>
      <c r="Z961" s="1253"/>
      <c r="AA961" s="1253"/>
      <c r="AB961" s="752"/>
      <c r="AC961" s="750"/>
      <c r="AD961" s="750"/>
      <c r="AE961" s="750"/>
      <c r="AF961" s="751"/>
      <c r="AG961" s="752"/>
      <c r="AH961" s="750"/>
      <c r="AI961" s="750"/>
      <c r="AJ961" s="750"/>
      <c r="AK961" s="751"/>
      <c r="AL961" s="752"/>
      <c r="AM961" s="750"/>
      <c r="AN961" s="750"/>
      <c r="AO961" s="750"/>
      <c r="AP961" s="751"/>
      <c r="AQ961" s="752"/>
      <c r="AR961" s="750"/>
      <c r="AS961" s="750"/>
      <c r="AT961" s="750"/>
      <c r="AU961" s="751"/>
      <c r="AV961" s="752"/>
      <c r="AW961" s="750"/>
      <c r="AX961" s="750"/>
      <c r="AY961" s="750"/>
      <c r="AZ961" s="758"/>
      <c r="BA961" s="752"/>
      <c r="BB961" s="750"/>
      <c r="BC961" s="750"/>
      <c r="BD961" s="750"/>
      <c r="BE961" s="751"/>
      <c r="BF961" s="752"/>
      <c r="BG961" s="750"/>
      <c r="BH961" s="750"/>
      <c r="BI961" s="750"/>
      <c r="BJ961" s="750"/>
      <c r="BK961" s="752"/>
      <c r="BL961" s="750"/>
      <c r="BM961" s="750"/>
      <c r="BN961" s="750"/>
      <c r="BO961" s="750"/>
      <c r="BP961" s="752"/>
      <c r="BQ961" s="750"/>
      <c r="BR961" s="750"/>
      <c r="BS961" s="750"/>
      <c r="BT961" s="750"/>
      <c r="BU961" s="752"/>
      <c r="BV961" s="750"/>
      <c r="BW961" s="750"/>
      <c r="BX961" s="750"/>
      <c r="BY961" s="750"/>
      <c r="BZ961" s="752"/>
      <c r="CA961" s="750"/>
      <c r="CB961" s="750"/>
      <c r="CC961" s="750"/>
      <c r="CD961" s="750"/>
      <c r="CE961" s="752"/>
      <c r="CF961" s="750"/>
      <c r="CG961" s="750"/>
      <c r="CH961" s="750"/>
      <c r="CI961" s="750"/>
      <c r="CJ961" s="752"/>
      <c r="CK961" s="3540"/>
      <c r="CL961" s="750"/>
      <c r="CM961" s="750"/>
      <c r="CN961" s="750"/>
      <c r="CO961" s="752"/>
      <c r="CP961" s="3533"/>
      <c r="CQ961" s="758"/>
      <c r="CR961" s="758"/>
      <c r="CS961" s="758"/>
      <c r="CT961" s="752"/>
      <c r="CU961" s="752"/>
      <c r="CV961" s="752"/>
      <c r="CW961" s="1201"/>
      <c r="CX961" s="1201"/>
      <c r="CY961" s="1201"/>
      <c r="CZ961" s="1201"/>
      <c r="DA961" s="1201"/>
      <c r="DB961" s="217"/>
      <c r="DC961" s="212"/>
      <c r="DD961" s="234"/>
    </row>
    <row r="962" spans="1:108" s="207" customFormat="1" hidden="1" outlineLevel="1" x14ac:dyDescent="0.2">
      <c r="A962" s="2644" t="s">
        <v>2454</v>
      </c>
      <c r="B962" s="1240"/>
      <c r="C962" s="1241"/>
      <c r="D962" s="750"/>
      <c r="E962" s="750"/>
      <c r="F962" s="750"/>
      <c r="G962" s="758"/>
      <c r="H962" s="752"/>
      <c r="I962" s="756"/>
      <c r="J962" s="753"/>
      <c r="K962" s="753"/>
      <c r="L962" s="756"/>
      <c r="M962" s="752"/>
      <c r="N962" s="753"/>
      <c r="O962" s="753"/>
      <c r="P962" s="1253"/>
      <c r="Q962" s="1254"/>
      <c r="R962" s="752"/>
      <c r="S962" s="1253"/>
      <c r="T962" s="1253"/>
      <c r="U962" s="1253"/>
      <c r="V962" s="1255"/>
      <c r="W962" s="752"/>
      <c r="X962" s="1253"/>
      <c r="Y962" s="1253"/>
      <c r="Z962" s="1253"/>
      <c r="AA962" s="1253"/>
      <c r="AB962" s="752"/>
      <c r="AC962" s="750"/>
      <c r="AD962" s="750"/>
      <c r="AE962" s="750"/>
      <c r="AF962" s="751"/>
      <c r="AG962" s="752"/>
      <c r="AH962" s="750"/>
      <c r="AI962" s="750"/>
      <c r="AJ962" s="750"/>
      <c r="AK962" s="751"/>
      <c r="AL962" s="752"/>
      <c r="AM962" s="750"/>
      <c r="AN962" s="750"/>
      <c r="AO962" s="750"/>
      <c r="AP962" s="751"/>
      <c r="AQ962" s="752"/>
      <c r="AR962" s="750"/>
      <c r="AS962" s="750"/>
      <c r="AT962" s="750"/>
      <c r="AU962" s="751"/>
      <c r="AV962" s="752"/>
      <c r="AW962" s="750"/>
      <c r="AX962" s="750"/>
      <c r="AY962" s="750"/>
      <c r="AZ962" s="758"/>
      <c r="BA962" s="752"/>
      <c r="BB962" s="750"/>
      <c r="BC962" s="750"/>
      <c r="BD962" s="750"/>
      <c r="BE962" s="751"/>
      <c r="BF962" s="752"/>
      <c r="BG962" s="750"/>
      <c r="BH962" s="750"/>
      <c r="BI962" s="750"/>
      <c r="BJ962" s="750"/>
      <c r="BK962" s="752"/>
      <c r="BL962" s="750"/>
      <c r="BM962" s="750"/>
      <c r="BN962" s="750"/>
      <c r="BO962" s="750"/>
      <c r="BP962" s="752"/>
      <c r="BQ962" s="750"/>
      <c r="BR962" s="750"/>
      <c r="BS962" s="750"/>
      <c r="BT962" s="750"/>
      <c r="BU962" s="752"/>
      <c r="BV962" s="750"/>
      <c r="BW962" s="750"/>
      <c r="BX962" s="750"/>
      <c r="BY962" s="750"/>
      <c r="BZ962" s="752"/>
      <c r="CA962" s="750"/>
      <c r="CB962" s="750"/>
      <c r="CC962" s="750"/>
      <c r="CD962" s="750"/>
      <c r="CE962" s="752"/>
      <c r="CF962" s="750"/>
      <c r="CG962" s="3050">
        <f t="shared" ref="CG962:CV962" si="1488">+CG656+CG623+CG514+CG480</f>
        <v>149664</v>
      </c>
      <c r="CH962" s="3050">
        <f t="shared" si="1488"/>
        <v>151707</v>
      </c>
      <c r="CI962" s="3050">
        <f t="shared" si="1488"/>
        <v>153286</v>
      </c>
      <c r="CJ962" s="3020">
        <f t="shared" si="1488"/>
        <v>153286</v>
      </c>
      <c r="CK962" s="3541">
        <f t="shared" si="1488"/>
        <v>152451</v>
      </c>
      <c r="CL962" s="3050">
        <f t="shared" si="1488"/>
        <v>152101</v>
      </c>
      <c r="CM962" s="3050">
        <f t="shared" si="1488"/>
        <v>151203</v>
      </c>
      <c r="CN962" s="3050">
        <f t="shared" si="1488"/>
        <v>151585</v>
      </c>
      <c r="CO962" s="3020">
        <f t="shared" si="1488"/>
        <v>151585</v>
      </c>
      <c r="CP962" s="3531">
        <f t="shared" ref="CP962:CT972" si="1489">+CP656+CP623+CP514+CP480</f>
        <v>160828.49</v>
      </c>
      <c r="CQ962" s="2937">
        <f t="shared" si="1489"/>
        <v>160140.27000000002</v>
      </c>
      <c r="CR962" s="2937">
        <f t="shared" si="1489"/>
        <v>158903.81</v>
      </c>
      <c r="CS962" s="2937">
        <f t="shared" si="1489"/>
        <v>158790.72000000003</v>
      </c>
      <c r="CT962" s="3020">
        <f t="shared" si="1489"/>
        <v>158790.72000000003</v>
      </c>
      <c r="CU962" s="3020">
        <f t="shared" si="1488"/>
        <v>167279.26055000001</v>
      </c>
      <c r="CV962" s="3020">
        <f t="shared" si="1488"/>
        <v>171040.42851600004</v>
      </c>
      <c r="CW962" s="1201"/>
      <c r="CX962" s="1201"/>
      <c r="CY962" s="1201"/>
      <c r="CZ962" s="1201"/>
      <c r="DA962" s="1201"/>
      <c r="DB962" s="217"/>
      <c r="DC962" s="212"/>
      <c r="DD962" s="234"/>
    </row>
    <row r="963" spans="1:108" s="207" customFormat="1" hidden="1" outlineLevel="1" x14ac:dyDescent="0.2">
      <c r="A963" s="2644" t="s">
        <v>2455</v>
      </c>
      <c r="B963" s="1240"/>
      <c r="C963" s="1241"/>
      <c r="D963" s="750"/>
      <c r="E963" s="750"/>
      <c r="F963" s="750"/>
      <c r="G963" s="758"/>
      <c r="H963" s="752"/>
      <c r="I963" s="756"/>
      <c r="J963" s="753"/>
      <c r="K963" s="753"/>
      <c r="L963" s="756"/>
      <c r="M963" s="752"/>
      <c r="N963" s="753"/>
      <c r="O963" s="753"/>
      <c r="P963" s="1253"/>
      <c r="Q963" s="1254"/>
      <c r="R963" s="752"/>
      <c r="S963" s="1253"/>
      <c r="T963" s="1253"/>
      <c r="U963" s="1253"/>
      <c r="V963" s="1255"/>
      <c r="W963" s="752"/>
      <c r="X963" s="1253"/>
      <c r="Y963" s="1253"/>
      <c r="Z963" s="1253"/>
      <c r="AA963" s="1253"/>
      <c r="AB963" s="752"/>
      <c r="AC963" s="750"/>
      <c r="AD963" s="750"/>
      <c r="AE963" s="750"/>
      <c r="AF963" s="751"/>
      <c r="AG963" s="752"/>
      <c r="AH963" s="750"/>
      <c r="AI963" s="750"/>
      <c r="AJ963" s="750"/>
      <c r="AK963" s="751"/>
      <c r="AL963" s="752"/>
      <c r="AM963" s="750"/>
      <c r="AN963" s="750"/>
      <c r="AO963" s="750"/>
      <c r="AP963" s="751"/>
      <c r="AQ963" s="752"/>
      <c r="AR963" s="750"/>
      <c r="AS963" s="750"/>
      <c r="AT963" s="750"/>
      <c r="AU963" s="751"/>
      <c r="AV963" s="752"/>
      <c r="AW963" s="750"/>
      <c r="AX963" s="750"/>
      <c r="AY963" s="750"/>
      <c r="AZ963" s="758"/>
      <c r="BA963" s="752"/>
      <c r="BB963" s="750"/>
      <c r="BC963" s="750"/>
      <c r="BD963" s="750"/>
      <c r="BE963" s="751"/>
      <c r="BF963" s="752"/>
      <c r="BG963" s="750"/>
      <c r="BH963" s="750"/>
      <c r="BI963" s="750"/>
      <c r="BJ963" s="750"/>
      <c r="BK963" s="752"/>
      <c r="BL963" s="750"/>
      <c r="BM963" s="750"/>
      <c r="BN963" s="750"/>
      <c r="BO963" s="750"/>
      <c r="BP963" s="752"/>
      <c r="BQ963" s="750"/>
      <c r="BR963" s="750"/>
      <c r="BS963" s="750"/>
      <c r="BT963" s="750"/>
      <c r="BU963" s="752"/>
      <c r="BV963" s="750"/>
      <c r="BW963" s="750"/>
      <c r="BX963" s="750"/>
      <c r="BY963" s="750"/>
      <c r="BZ963" s="752"/>
      <c r="CA963" s="750"/>
      <c r="CB963" s="750"/>
      <c r="CC963" s="750"/>
      <c r="CD963" s="750"/>
      <c r="CE963" s="752"/>
      <c r="CF963" s="750"/>
      <c r="CG963" s="3050">
        <f t="shared" ref="CG963:CV963" si="1490">+CG657+CG624+CG515+CG481</f>
        <v>76828</v>
      </c>
      <c r="CH963" s="3050">
        <f t="shared" si="1490"/>
        <v>78352</v>
      </c>
      <c r="CI963" s="3050">
        <f t="shared" si="1490"/>
        <v>79171</v>
      </c>
      <c r="CJ963" s="3020">
        <f t="shared" si="1490"/>
        <v>79171</v>
      </c>
      <c r="CK963" s="3541">
        <f t="shared" ref="CK963:CK972" si="1491">+CK657+CK624+CK515+CK481</f>
        <v>79108</v>
      </c>
      <c r="CL963" s="3050">
        <f t="shared" si="1490"/>
        <v>80070</v>
      </c>
      <c r="CM963" s="3050">
        <f t="shared" si="1490"/>
        <v>80665</v>
      </c>
      <c r="CN963" s="3050">
        <f t="shared" si="1490"/>
        <v>80869</v>
      </c>
      <c r="CO963" s="3020">
        <f t="shared" si="1490"/>
        <v>80869</v>
      </c>
      <c r="CP963" s="3531">
        <f t="shared" si="1489"/>
        <v>83028.180000000008</v>
      </c>
      <c r="CQ963" s="2937">
        <f t="shared" si="1489"/>
        <v>83761.3</v>
      </c>
      <c r="CR963" s="2937">
        <f t="shared" si="1489"/>
        <v>84197.540000000008</v>
      </c>
      <c r="CS963" s="2937">
        <f t="shared" si="1489"/>
        <v>84143.360000000015</v>
      </c>
      <c r="CT963" s="3020">
        <f t="shared" si="1489"/>
        <v>84143.360000000015</v>
      </c>
      <c r="CU963" s="3020">
        <f t="shared" si="1490"/>
        <v>88172.816800000001</v>
      </c>
      <c r="CV963" s="3020">
        <f t="shared" si="1490"/>
        <v>89877.166636000009</v>
      </c>
      <c r="CW963" s="1201"/>
      <c r="CX963" s="1201"/>
      <c r="CY963" s="1201"/>
      <c r="CZ963" s="1201"/>
      <c r="DA963" s="1201"/>
      <c r="DB963" s="217"/>
      <c r="DC963" s="212"/>
      <c r="DD963" s="234"/>
    </row>
    <row r="964" spans="1:108" s="207" customFormat="1" hidden="1" outlineLevel="1" x14ac:dyDescent="0.2">
      <c r="A964" s="2644" t="s">
        <v>2456</v>
      </c>
      <c r="B964" s="1240"/>
      <c r="C964" s="1241"/>
      <c r="D964" s="750"/>
      <c r="E964" s="750"/>
      <c r="F964" s="750"/>
      <c r="G964" s="758"/>
      <c r="H964" s="752"/>
      <c r="I964" s="756"/>
      <c r="J964" s="753"/>
      <c r="K964" s="753"/>
      <c r="L964" s="756"/>
      <c r="M964" s="752"/>
      <c r="N964" s="753"/>
      <c r="O964" s="753"/>
      <c r="P964" s="1253"/>
      <c r="Q964" s="1254"/>
      <c r="R964" s="752"/>
      <c r="S964" s="1253"/>
      <c r="T964" s="1253"/>
      <c r="U964" s="1253"/>
      <c r="V964" s="1255"/>
      <c r="W964" s="752"/>
      <c r="X964" s="1253"/>
      <c r="Y964" s="1253"/>
      <c r="Z964" s="1253"/>
      <c r="AA964" s="1253"/>
      <c r="AB964" s="752"/>
      <c r="AC964" s="750"/>
      <c r="AD964" s="750"/>
      <c r="AE964" s="750"/>
      <c r="AF964" s="751"/>
      <c r="AG964" s="752"/>
      <c r="AH964" s="750"/>
      <c r="AI964" s="750"/>
      <c r="AJ964" s="750"/>
      <c r="AK964" s="751"/>
      <c r="AL964" s="752"/>
      <c r="AM964" s="750"/>
      <c r="AN964" s="750"/>
      <c r="AO964" s="750"/>
      <c r="AP964" s="751"/>
      <c r="AQ964" s="752"/>
      <c r="AR964" s="750"/>
      <c r="AS964" s="750"/>
      <c r="AT964" s="750"/>
      <c r="AU964" s="751"/>
      <c r="AV964" s="752"/>
      <c r="AW964" s="750"/>
      <c r="AX964" s="750"/>
      <c r="AY964" s="750"/>
      <c r="AZ964" s="758"/>
      <c r="BA964" s="752"/>
      <c r="BB964" s="750"/>
      <c r="BC964" s="750"/>
      <c r="BD964" s="750"/>
      <c r="BE964" s="751"/>
      <c r="BF964" s="752"/>
      <c r="BG964" s="750"/>
      <c r="BH964" s="750"/>
      <c r="BI964" s="750"/>
      <c r="BJ964" s="750"/>
      <c r="BK964" s="752"/>
      <c r="BL964" s="750"/>
      <c r="BM964" s="750"/>
      <c r="BN964" s="750"/>
      <c r="BO964" s="750"/>
      <c r="BP964" s="752"/>
      <c r="BQ964" s="750"/>
      <c r="BR964" s="750"/>
      <c r="BS964" s="750"/>
      <c r="BT964" s="750"/>
      <c r="BU964" s="752"/>
      <c r="BV964" s="750"/>
      <c r="BW964" s="750"/>
      <c r="BX964" s="750"/>
      <c r="BY964" s="750"/>
      <c r="BZ964" s="752"/>
      <c r="CA964" s="750"/>
      <c r="CB964" s="750"/>
      <c r="CC964" s="750"/>
      <c r="CD964" s="750"/>
      <c r="CE964" s="752"/>
      <c r="CF964" s="750"/>
      <c r="CG964" s="3050">
        <f t="shared" ref="CG964:CV964" si="1492">+CG658+CG625+CG516+CG482</f>
        <v>38459</v>
      </c>
      <c r="CH964" s="3050">
        <f t="shared" si="1492"/>
        <v>40037</v>
      </c>
      <c r="CI964" s="3050">
        <f t="shared" si="1492"/>
        <v>40673</v>
      </c>
      <c r="CJ964" s="3020">
        <f t="shared" si="1492"/>
        <v>40673</v>
      </c>
      <c r="CK964" s="3541">
        <f t="shared" si="1491"/>
        <v>40808</v>
      </c>
      <c r="CL964" s="3050">
        <f t="shared" si="1492"/>
        <v>41864</v>
      </c>
      <c r="CM964" s="3050">
        <f t="shared" si="1492"/>
        <v>42698</v>
      </c>
      <c r="CN964" s="3050">
        <f t="shared" si="1492"/>
        <v>43980</v>
      </c>
      <c r="CO964" s="3020">
        <f t="shared" si="1492"/>
        <v>43980</v>
      </c>
      <c r="CP964" s="3531">
        <f t="shared" si="1489"/>
        <v>43633.26</v>
      </c>
      <c r="CQ964" s="2937">
        <f t="shared" si="1489"/>
        <v>44913.120000000003</v>
      </c>
      <c r="CR964" s="2937">
        <f t="shared" si="1489"/>
        <v>45874.810000000005</v>
      </c>
      <c r="CS964" s="3652">
        <f t="shared" si="1489"/>
        <v>47258.01</v>
      </c>
      <c r="CT964" s="3020">
        <f t="shared" si="1489"/>
        <v>47258.01</v>
      </c>
      <c r="CU964" s="3020">
        <f t="shared" si="1492"/>
        <v>50477.365949999999</v>
      </c>
      <c r="CV964" s="3020">
        <f t="shared" si="1492"/>
        <v>52153.591074000004</v>
      </c>
      <c r="CW964" s="1201"/>
      <c r="CX964" s="1201"/>
      <c r="CY964" s="1201"/>
      <c r="CZ964" s="1201"/>
      <c r="DA964" s="1201"/>
      <c r="DB964" s="217"/>
      <c r="DC964" s="212"/>
      <c r="DD964" s="234"/>
    </row>
    <row r="965" spans="1:108" s="207" customFormat="1" hidden="1" outlineLevel="1" x14ac:dyDescent="0.2">
      <c r="A965" s="2644" t="s">
        <v>2457</v>
      </c>
      <c r="B965" s="1240"/>
      <c r="C965" s="1241"/>
      <c r="D965" s="750"/>
      <c r="E965" s="750"/>
      <c r="F965" s="750"/>
      <c r="G965" s="758"/>
      <c r="H965" s="752"/>
      <c r="I965" s="756"/>
      <c r="J965" s="753"/>
      <c r="K965" s="753"/>
      <c r="L965" s="756"/>
      <c r="M965" s="752"/>
      <c r="N965" s="753"/>
      <c r="O965" s="753"/>
      <c r="P965" s="1253"/>
      <c r="Q965" s="1254"/>
      <c r="R965" s="752"/>
      <c r="S965" s="1253"/>
      <c r="T965" s="1253"/>
      <c r="U965" s="1253"/>
      <c r="V965" s="1255"/>
      <c r="W965" s="752"/>
      <c r="X965" s="1253"/>
      <c r="Y965" s="1253"/>
      <c r="Z965" s="1253"/>
      <c r="AA965" s="1253"/>
      <c r="AB965" s="752"/>
      <c r="AC965" s="750"/>
      <c r="AD965" s="750"/>
      <c r="AE965" s="750"/>
      <c r="AF965" s="751"/>
      <c r="AG965" s="752"/>
      <c r="AH965" s="750"/>
      <c r="AI965" s="750"/>
      <c r="AJ965" s="750"/>
      <c r="AK965" s="751"/>
      <c r="AL965" s="752"/>
      <c r="AM965" s="750"/>
      <c r="AN965" s="750"/>
      <c r="AO965" s="750"/>
      <c r="AP965" s="751"/>
      <c r="AQ965" s="752"/>
      <c r="AR965" s="750"/>
      <c r="AS965" s="750"/>
      <c r="AT965" s="750"/>
      <c r="AU965" s="751"/>
      <c r="AV965" s="752"/>
      <c r="AW965" s="750"/>
      <c r="AX965" s="750"/>
      <c r="AY965" s="750"/>
      <c r="AZ965" s="758"/>
      <c r="BA965" s="752"/>
      <c r="BB965" s="750"/>
      <c r="BC965" s="750"/>
      <c r="BD965" s="750"/>
      <c r="BE965" s="751"/>
      <c r="BF965" s="752"/>
      <c r="BG965" s="750"/>
      <c r="BH965" s="750"/>
      <c r="BI965" s="750"/>
      <c r="BJ965" s="750"/>
      <c r="BK965" s="752"/>
      <c r="BL965" s="750"/>
      <c r="BM965" s="750"/>
      <c r="BN965" s="750"/>
      <c r="BO965" s="750"/>
      <c r="BP965" s="752"/>
      <c r="BQ965" s="750"/>
      <c r="BR965" s="750"/>
      <c r="BS965" s="750"/>
      <c r="BT965" s="750"/>
      <c r="BU965" s="752"/>
      <c r="BV965" s="750"/>
      <c r="BW965" s="750"/>
      <c r="BX965" s="750"/>
      <c r="BY965" s="750"/>
      <c r="BZ965" s="752"/>
      <c r="CA965" s="750"/>
      <c r="CB965" s="750"/>
      <c r="CC965" s="750"/>
      <c r="CD965" s="750"/>
      <c r="CE965" s="752"/>
      <c r="CF965" s="750"/>
      <c r="CG965" s="3050">
        <f t="shared" ref="CG965:CV965" si="1493">+CG659+CG626+CG517+CG483</f>
        <v>12593</v>
      </c>
      <c r="CH965" s="3050">
        <f t="shared" si="1493"/>
        <v>12589</v>
      </c>
      <c r="CI965" s="3050">
        <f t="shared" si="1493"/>
        <v>12971</v>
      </c>
      <c r="CJ965" s="3020">
        <f t="shared" si="1493"/>
        <v>12971</v>
      </c>
      <c r="CK965" s="3541">
        <f t="shared" si="1491"/>
        <v>12718</v>
      </c>
      <c r="CL965" s="3050">
        <f t="shared" si="1493"/>
        <v>13337</v>
      </c>
      <c r="CM965" s="3050">
        <f t="shared" si="1493"/>
        <v>13611</v>
      </c>
      <c r="CN965" s="3050">
        <f t="shared" si="1493"/>
        <v>13611</v>
      </c>
      <c r="CO965" s="3020">
        <f t="shared" si="1493"/>
        <v>13611</v>
      </c>
      <c r="CP965" s="3531">
        <f t="shared" si="1489"/>
        <v>13508.48</v>
      </c>
      <c r="CQ965" s="2937">
        <f t="shared" si="1489"/>
        <v>14216.960000000001</v>
      </c>
      <c r="CR965" s="2937">
        <f t="shared" si="1489"/>
        <v>14507.16</v>
      </c>
      <c r="CS965" s="3652">
        <f t="shared" si="1489"/>
        <v>14507.16</v>
      </c>
      <c r="CT965" s="3020">
        <f t="shared" si="1489"/>
        <v>14507.16</v>
      </c>
      <c r="CU965" s="3020">
        <f t="shared" si="1493"/>
        <v>15007.326300000001</v>
      </c>
      <c r="CV965" s="3020">
        <f t="shared" si="1493"/>
        <v>15133.940226000001</v>
      </c>
      <c r="CW965" s="1201"/>
      <c r="CX965" s="1201"/>
      <c r="CY965" s="1201"/>
      <c r="CZ965" s="1201"/>
      <c r="DA965" s="1201"/>
      <c r="DB965" s="217"/>
      <c r="DC965" s="212"/>
      <c r="DD965" s="234"/>
    </row>
    <row r="966" spans="1:108" s="207" customFormat="1" hidden="1" outlineLevel="1" x14ac:dyDescent="0.2">
      <c r="A966" s="2644" t="s">
        <v>2458</v>
      </c>
      <c r="B966" s="1240"/>
      <c r="C966" s="1241"/>
      <c r="D966" s="750"/>
      <c r="E966" s="750"/>
      <c r="F966" s="750"/>
      <c r="G966" s="758"/>
      <c r="H966" s="752"/>
      <c r="I966" s="756"/>
      <c r="J966" s="753"/>
      <c r="K966" s="753"/>
      <c r="L966" s="756"/>
      <c r="M966" s="752"/>
      <c r="N966" s="753"/>
      <c r="O966" s="753"/>
      <c r="P966" s="1253"/>
      <c r="Q966" s="1254"/>
      <c r="R966" s="752"/>
      <c r="S966" s="1253"/>
      <c r="T966" s="1253"/>
      <c r="U966" s="1253"/>
      <c r="V966" s="1255"/>
      <c r="W966" s="752"/>
      <c r="X966" s="1253"/>
      <c r="Y966" s="1253"/>
      <c r="Z966" s="1253"/>
      <c r="AA966" s="1253"/>
      <c r="AB966" s="752"/>
      <c r="AC966" s="750"/>
      <c r="AD966" s="750"/>
      <c r="AE966" s="750"/>
      <c r="AF966" s="751"/>
      <c r="AG966" s="752"/>
      <c r="AH966" s="750"/>
      <c r="AI966" s="750"/>
      <c r="AJ966" s="750"/>
      <c r="AK966" s="751"/>
      <c r="AL966" s="752"/>
      <c r="AM966" s="750"/>
      <c r="AN966" s="750"/>
      <c r="AO966" s="750"/>
      <c r="AP966" s="751"/>
      <c r="AQ966" s="752"/>
      <c r="AR966" s="750"/>
      <c r="AS966" s="750"/>
      <c r="AT966" s="750"/>
      <c r="AU966" s="751"/>
      <c r="AV966" s="752"/>
      <c r="AW966" s="750"/>
      <c r="AX966" s="750"/>
      <c r="AY966" s="750"/>
      <c r="AZ966" s="758"/>
      <c r="BA966" s="752"/>
      <c r="BB966" s="750"/>
      <c r="BC966" s="750"/>
      <c r="BD966" s="750"/>
      <c r="BE966" s="751"/>
      <c r="BF966" s="752"/>
      <c r="BG966" s="750"/>
      <c r="BH966" s="750"/>
      <c r="BI966" s="750"/>
      <c r="BJ966" s="750"/>
      <c r="BK966" s="752"/>
      <c r="BL966" s="750"/>
      <c r="BM966" s="750"/>
      <c r="BN966" s="750"/>
      <c r="BO966" s="750"/>
      <c r="BP966" s="752"/>
      <c r="BQ966" s="750"/>
      <c r="BR966" s="750"/>
      <c r="BS966" s="750"/>
      <c r="BT966" s="750"/>
      <c r="BU966" s="752"/>
      <c r="BV966" s="750"/>
      <c r="BW966" s="750"/>
      <c r="BX966" s="750"/>
      <c r="BY966" s="750"/>
      <c r="BZ966" s="752"/>
      <c r="CA966" s="750"/>
      <c r="CB966" s="750"/>
      <c r="CC966" s="750"/>
      <c r="CD966" s="750"/>
      <c r="CE966" s="752"/>
      <c r="CF966" s="750"/>
      <c r="CG966" s="3050">
        <f t="shared" ref="CG966:CV966" si="1494">+CG660+CG627+CG518+CG484</f>
        <v>18588</v>
      </c>
      <c r="CH966" s="3050">
        <f t="shared" si="1494"/>
        <v>18834</v>
      </c>
      <c r="CI966" s="3050">
        <f t="shared" si="1494"/>
        <v>18816</v>
      </c>
      <c r="CJ966" s="3020">
        <f t="shared" si="1494"/>
        <v>18816</v>
      </c>
      <c r="CK966" s="3541">
        <f t="shared" si="1491"/>
        <v>18844</v>
      </c>
      <c r="CL966" s="3050">
        <f t="shared" si="1494"/>
        <v>19214</v>
      </c>
      <c r="CM966" s="3050">
        <f t="shared" si="1494"/>
        <v>19283</v>
      </c>
      <c r="CN966" s="3050">
        <f t="shared" si="1494"/>
        <v>20455</v>
      </c>
      <c r="CO966" s="3020">
        <f t="shared" si="1494"/>
        <v>20455</v>
      </c>
      <c r="CP966" s="3531">
        <f t="shared" si="1489"/>
        <v>20721.14</v>
      </c>
      <c r="CQ966" s="2937">
        <f t="shared" si="1489"/>
        <v>21203.46</v>
      </c>
      <c r="CR966" s="2937">
        <f t="shared" si="1489"/>
        <v>21347.5</v>
      </c>
      <c r="CS966" s="3652">
        <f t="shared" si="1489"/>
        <v>21750.090000000004</v>
      </c>
      <c r="CT966" s="3020">
        <f t="shared" si="1489"/>
        <v>21750.090000000004</v>
      </c>
      <c r="CU966" s="3020">
        <f t="shared" si="1494"/>
        <v>22862.439450000002</v>
      </c>
      <c r="CV966" s="3020">
        <f t="shared" si="1494"/>
        <v>23376.742342000005</v>
      </c>
      <c r="CW966" s="1201"/>
      <c r="CX966" s="1201"/>
      <c r="CY966" s="1201"/>
      <c r="CZ966" s="1201"/>
      <c r="DA966" s="1201"/>
      <c r="DB966" s="217"/>
      <c r="DC966" s="212"/>
      <c r="DD966" s="234"/>
    </row>
    <row r="967" spans="1:108" s="207" customFormat="1" hidden="1" outlineLevel="1" x14ac:dyDescent="0.2">
      <c r="A967" s="2644" t="s">
        <v>2459</v>
      </c>
      <c r="B967" s="1240"/>
      <c r="C967" s="1241"/>
      <c r="D967" s="750"/>
      <c r="E967" s="750"/>
      <c r="F967" s="750"/>
      <c r="G967" s="758"/>
      <c r="H967" s="752"/>
      <c r="I967" s="756"/>
      <c r="J967" s="753"/>
      <c r="K967" s="753"/>
      <c r="L967" s="756"/>
      <c r="M967" s="752"/>
      <c r="N967" s="753"/>
      <c r="O967" s="753"/>
      <c r="P967" s="1253"/>
      <c r="Q967" s="1254"/>
      <c r="R967" s="752"/>
      <c r="S967" s="1253"/>
      <c r="T967" s="1253"/>
      <c r="U967" s="1253"/>
      <c r="V967" s="1255"/>
      <c r="W967" s="752"/>
      <c r="X967" s="1253"/>
      <c r="Y967" s="1253"/>
      <c r="Z967" s="1253"/>
      <c r="AA967" s="1253"/>
      <c r="AB967" s="752"/>
      <c r="AC967" s="750"/>
      <c r="AD967" s="750"/>
      <c r="AE967" s="750"/>
      <c r="AF967" s="751"/>
      <c r="AG967" s="752"/>
      <c r="AH967" s="750"/>
      <c r="AI967" s="750"/>
      <c r="AJ967" s="750"/>
      <c r="AK967" s="751"/>
      <c r="AL967" s="752"/>
      <c r="AM967" s="750"/>
      <c r="AN967" s="750"/>
      <c r="AO967" s="750"/>
      <c r="AP967" s="751"/>
      <c r="AQ967" s="752"/>
      <c r="AR967" s="750"/>
      <c r="AS967" s="750"/>
      <c r="AT967" s="750"/>
      <c r="AU967" s="751"/>
      <c r="AV967" s="752"/>
      <c r="AW967" s="750"/>
      <c r="AX967" s="750"/>
      <c r="AY967" s="750"/>
      <c r="AZ967" s="758"/>
      <c r="BA967" s="752"/>
      <c r="BB967" s="750"/>
      <c r="BC967" s="750"/>
      <c r="BD967" s="750"/>
      <c r="BE967" s="751"/>
      <c r="BF967" s="752"/>
      <c r="BG967" s="750"/>
      <c r="BH967" s="750"/>
      <c r="BI967" s="750"/>
      <c r="BJ967" s="750"/>
      <c r="BK967" s="752"/>
      <c r="BL967" s="750"/>
      <c r="BM967" s="750"/>
      <c r="BN967" s="750"/>
      <c r="BO967" s="750"/>
      <c r="BP967" s="752"/>
      <c r="BQ967" s="750"/>
      <c r="BR967" s="750"/>
      <c r="BS967" s="750"/>
      <c r="BT967" s="750"/>
      <c r="BU967" s="752"/>
      <c r="BV967" s="750"/>
      <c r="BW967" s="750"/>
      <c r="BX967" s="750"/>
      <c r="BY967" s="750"/>
      <c r="BZ967" s="752"/>
      <c r="CA967" s="750"/>
      <c r="CB967" s="750"/>
      <c r="CC967" s="750"/>
      <c r="CD967" s="750"/>
      <c r="CE967" s="752"/>
      <c r="CF967" s="750"/>
      <c r="CG967" s="3050">
        <f t="shared" ref="CG967:CV967" si="1495">+CG661+CG628+CG519+CG485</f>
        <v>7419</v>
      </c>
      <c r="CH967" s="3050">
        <f t="shared" si="1495"/>
        <v>7428</v>
      </c>
      <c r="CI967" s="3050">
        <f t="shared" si="1495"/>
        <v>7774</v>
      </c>
      <c r="CJ967" s="3020">
        <f t="shared" si="1495"/>
        <v>7774</v>
      </c>
      <c r="CK967" s="3541">
        <f t="shared" si="1491"/>
        <v>7962</v>
      </c>
      <c r="CL967" s="3050">
        <f t="shared" si="1495"/>
        <v>8656</v>
      </c>
      <c r="CM967" s="3050">
        <f t="shared" si="1495"/>
        <v>9039</v>
      </c>
      <c r="CN967" s="3050">
        <f t="shared" si="1495"/>
        <v>9038</v>
      </c>
      <c r="CO967" s="3020">
        <f t="shared" si="1495"/>
        <v>9038</v>
      </c>
      <c r="CP967" s="3531">
        <f t="shared" si="1489"/>
        <v>8394.6</v>
      </c>
      <c r="CQ967" s="2937">
        <f t="shared" si="1489"/>
        <v>9192.61</v>
      </c>
      <c r="CR967" s="2937">
        <f t="shared" si="1489"/>
        <v>9601.2400000000016</v>
      </c>
      <c r="CS967" s="3652">
        <f t="shared" si="1489"/>
        <v>9600.18</v>
      </c>
      <c r="CT967" s="3020">
        <f t="shared" si="1489"/>
        <v>9600.18</v>
      </c>
      <c r="CU967" s="3020">
        <f t="shared" si="1495"/>
        <v>10053.6644</v>
      </c>
      <c r="CV967" s="3020">
        <f t="shared" si="1495"/>
        <v>10211.299967999999</v>
      </c>
      <c r="CW967" s="1201"/>
      <c r="CX967" s="1201"/>
      <c r="CY967" s="1201"/>
      <c r="CZ967" s="1201"/>
      <c r="DA967" s="1201"/>
      <c r="DB967" s="217"/>
      <c r="DC967" s="212"/>
      <c r="DD967" s="234"/>
    </row>
    <row r="968" spans="1:108" s="207" customFormat="1" hidden="1" outlineLevel="1" x14ac:dyDescent="0.2">
      <c r="A968" s="2644" t="s">
        <v>2460</v>
      </c>
      <c r="B968" s="1240"/>
      <c r="C968" s="1241"/>
      <c r="D968" s="750"/>
      <c r="E968" s="750"/>
      <c r="F968" s="750"/>
      <c r="G968" s="758"/>
      <c r="H968" s="752"/>
      <c r="I968" s="756"/>
      <c r="J968" s="753"/>
      <c r="K968" s="753"/>
      <c r="L968" s="756"/>
      <c r="M968" s="752"/>
      <c r="N968" s="753"/>
      <c r="O968" s="753"/>
      <c r="P968" s="1253"/>
      <c r="Q968" s="1254"/>
      <c r="R968" s="752"/>
      <c r="S968" s="1253"/>
      <c r="T968" s="1253"/>
      <c r="U968" s="1253"/>
      <c r="V968" s="1255"/>
      <c r="W968" s="752"/>
      <c r="X968" s="1253"/>
      <c r="Y968" s="1253"/>
      <c r="Z968" s="1253"/>
      <c r="AA968" s="1253"/>
      <c r="AB968" s="752"/>
      <c r="AC968" s="750"/>
      <c r="AD968" s="750"/>
      <c r="AE968" s="750"/>
      <c r="AF968" s="751"/>
      <c r="AG968" s="752"/>
      <c r="AH968" s="750"/>
      <c r="AI968" s="750"/>
      <c r="AJ968" s="750"/>
      <c r="AK968" s="751"/>
      <c r="AL968" s="752"/>
      <c r="AM968" s="750"/>
      <c r="AN968" s="750"/>
      <c r="AO968" s="750"/>
      <c r="AP968" s="751"/>
      <c r="AQ968" s="752"/>
      <c r="AR968" s="750"/>
      <c r="AS968" s="750"/>
      <c r="AT968" s="750"/>
      <c r="AU968" s="751"/>
      <c r="AV968" s="752"/>
      <c r="AW968" s="750"/>
      <c r="AX968" s="750"/>
      <c r="AY968" s="750"/>
      <c r="AZ968" s="758"/>
      <c r="BA968" s="752"/>
      <c r="BB968" s="750"/>
      <c r="BC968" s="750"/>
      <c r="BD968" s="750"/>
      <c r="BE968" s="751"/>
      <c r="BF968" s="752"/>
      <c r="BG968" s="750"/>
      <c r="BH968" s="750"/>
      <c r="BI968" s="750"/>
      <c r="BJ968" s="750"/>
      <c r="BK968" s="752"/>
      <c r="BL968" s="750"/>
      <c r="BM968" s="750"/>
      <c r="BN968" s="750"/>
      <c r="BO968" s="750"/>
      <c r="BP968" s="752"/>
      <c r="BQ968" s="750"/>
      <c r="BR968" s="750"/>
      <c r="BS968" s="750"/>
      <c r="BT968" s="750"/>
      <c r="BU968" s="752"/>
      <c r="BV968" s="750"/>
      <c r="BW968" s="750"/>
      <c r="BX968" s="750"/>
      <c r="BY968" s="750"/>
      <c r="BZ968" s="752"/>
      <c r="CA968" s="750"/>
      <c r="CB968" s="750"/>
      <c r="CC968" s="750"/>
      <c r="CD968" s="750"/>
      <c r="CE968" s="752"/>
      <c r="CF968" s="750"/>
      <c r="CG968" s="3050">
        <f t="shared" ref="CG968:CV968" si="1496">+CG662+CG629+CG520+CG486</f>
        <v>27508</v>
      </c>
      <c r="CH968" s="3050">
        <f t="shared" si="1496"/>
        <v>28380</v>
      </c>
      <c r="CI968" s="3050">
        <f t="shared" si="1496"/>
        <v>28298</v>
      </c>
      <c r="CJ968" s="3020">
        <f t="shared" si="1496"/>
        <v>28298</v>
      </c>
      <c r="CK968" s="3541">
        <f t="shared" si="1491"/>
        <v>28538</v>
      </c>
      <c r="CL968" s="3050">
        <f t="shared" si="1496"/>
        <v>28544</v>
      </c>
      <c r="CM968" s="3050">
        <f t="shared" si="1496"/>
        <v>29228</v>
      </c>
      <c r="CN968" s="3050">
        <f t="shared" si="1496"/>
        <v>29729</v>
      </c>
      <c r="CO968" s="3020">
        <f t="shared" si="1496"/>
        <v>29729</v>
      </c>
      <c r="CP968" s="3531">
        <f t="shared" si="1489"/>
        <v>30111.750000000004</v>
      </c>
      <c r="CQ968" s="2937">
        <f t="shared" si="1489"/>
        <v>30256.350000000006</v>
      </c>
      <c r="CR968" s="2937">
        <f t="shared" si="1489"/>
        <v>30987.82</v>
      </c>
      <c r="CS968" s="3652">
        <f t="shared" si="1489"/>
        <v>31476.020000000004</v>
      </c>
      <c r="CT968" s="3020">
        <f t="shared" si="1489"/>
        <v>31476.020000000004</v>
      </c>
      <c r="CU968" s="3020">
        <f t="shared" si="1496"/>
        <v>33291.249600000003</v>
      </c>
      <c r="CV968" s="3020">
        <f t="shared" si="1496"/>
        <v>34083.142950000009</v>
      </c>
      <c r="CW968" s="1201"/>
      <c r="CX968" s="1201"/>
      <c r="CY968" s="1201"/>
      <c r="CZ968" s="1201"/>
      <c r="DA968" s="1201"/>
      <c r="DB968" s="217"/>
      <c r="DC968" s="212"/>
      <c r="DD968" s="234"/>
    </row>
    <row r="969" spans="1:108" s="207" customFormat="1" hidden="1" outlineLevel="1" x14ac:dyDescent="0.2">
      <c r="A969" s="2644" t="s">
        <v>2464</v>
      </c>
      <c r="B969" s="1240"/>
      <c r="C969" s="1241"/>
      <c r="D969" s="750"/>
      <c r="E969" s="750"/>
      <c r="F969" s="750"/>
      <c r="G969" s="758"/>
      <c r="H969" s="752"/>
      <c r="I969" s="756"/>
      <c r="J969" s="753"/>
      <c r="K969" s="753"/>
      <c r="L969" s="756"/>
      <c r="M969" s="752"/>
      <c r="N969" s="753"/>
      <c r="O969" s="753"/>
      <c r="P969" s="1253"/>
      <c r="Q969" s="1254"/>
      <c r="R969" s="752"/>
      <c r="S969" s="1253"/>
      <c r="T969" s="1253"/>
      <c r="U969" s="1253"/>
      <c r="V969" s="1255"/>
      <c r="W969" s="752"/>
      <c r="X969" s="1253"/>
      <c r="Y969" s="1253"/>
      <c r="Z969" s="1253"/>
      <c r="AA969" s="1253"/>
      <c r="AB969" s="752"/>
      <c r="AC969" s="750"/>
      <c r="AD969" s="750"/>
      <c r="AE969" s="750"/>
      <c r="AF969" s="751"/>
      <c r="AG969" s="752"/>
      <c r="AH969" s="750"/>
      <c r="AI969" s="750"/>
      <c r="AJ969" s="750"/>
      <c r="AK969" s="751"/>
      <c r="AL969" s="752"/>
      <c r="AM969" s="750"/>
      <c r="AN969" s="750"/>
      <c r="AO969" s="750"/>
      <c r="AP969" s="751"/>
      <c r="AQ969" s="752"/>
      <c r="AR969" s="750"/>
      <c r="AS969" s="750"/>
      <c r="AT969" s="750"/>
      <c r="AU969" s="751"/>
      <c r="AV969" s="752"/>
      <c r="AW969" s="750"/>
      <c r="AX969" s="750"/>
      <c r="AY969" s="750"/>
      <c r="AZ969" s="758"/>
      <c r="BA969" s="752"/>
      <c r="BB969" s="750"/>
      <c r="BC969" s="750"/>
      <c r="BD969" s="750"/>
      <c r="BE969" s="751"/>
      <c r="BF969" s="752"/>
      <c r="BG969" s="750"/>
      <c r="BH969" s="750"/>
      <c r="BI969" s="750"/>
      <c r="BJ969" s="750"/>
      <c r="BK969" s="752"/>
      <c r="BL969" s="750"/>
      <c r="BM969" s="750"/>
      <c r="BN969" s="750"/>
      <c r="BO969" s="750"/>
      <c r="BP969" s="752"/>
      <c r="BQ969" s="750"/>
      <c r="BR969" s="750"/>
      <c r="BS969" s="750"/>
      <c r="BT969" s="750"/>
      <c r="BU969" s="752"/>
      <c r="BV969" s="750"/>
      <c r="BW969" s="750"/>
      <c r="BX969" s="750"/>
      <c r="BY969" s="750"/>
      <c r="BZ969" s="752"/>
      <c r="CA969" s="750"/>
      <c r="CB969" s="750"/>
      <c r="CC969" s="750"/>
      <c r="CD969" s="750"/>
      <c r="CE969" s="752"/>
      <c r="CF969" s="750"/>
      <c r="CG969" s="3050">
        <f t="shared" ref="CG969:CV969" si="1497">+CG663+CG630+CG521+CG487</f>
        <v>19308</v>
      </c>
      <c r="CH969" s="3050">
        <f t="shared" si="1497"/>
        <v>19433</v>
      </c>
      <c r="CI969" s="3050">
        <f t="shared" si="1497"/>
        <v>19715</v>
      </c>
      <c r="CJ969" s="3020">
        <f t="shared" si="1497"/>
        <v>19715</v>
      </c>
      <c r="CK969" s="3541">
        <f t="shared" si="1491"/>
        <v>21337</v>
      </c>
      <c r="CL969" s="3050">
        <f t="shared" si="1497"/>
        <v>22036</v>
      </c>
      <c r="CM969" s="3050">
        <f t="shared" si="1497"/>
        <v>23219</v>
      </c>
      <c r="CN969" s="3050">
        <f t="shared" si="1497"/>
        <v>23399</v>
      </c>
      <c r="CO969" s="3020">
        <f t="shared" si="1497"/>
        <v>23399</v>
      </c>
      <c r="CP969" s="3531">
        <f t="shared" si="1489"/>
        <v>22837.89</v>
      </c>
      <c r="CQ969" s="2937">
        <f t="shared" si="1489"/>
        <v>23646.720000000001</v>
      </c>
      <c r="CR969" s="2937">
        <f t="shared" si="1489"/>
        <v>24941.48</v>
      </c>
      <c r="CS969" s="3652">
        <f t="shared" si="1489"/>
        <v>25132.28</v>
      </c>
      <c r="CT969" s="3020">
        <f t="shared" si="1489"/>
        <v>25132.28</v>
      </c>
      <c r="CU969" s="3020">
        <f t="shared" si="1497"/>
        <v>26864.061799999999</v>
      </c>
      <c r="CV969" s="3020">
        <f t="shared" si="1497"/>
        <v>27777.062416000001</v>
      </c>
      <c r="CW969" s="1201"/>
      <c r="CX969" s="1201"/>
      <c r="CY969" s="1201"/>
      <c r="CZ969" s="1201"/>
      <c r="DA969" s="1201"/>
      <c r="DB969" s="217"/>
      <c r="DC969" s="212"/>
      <c r="DD969" s="234"/>
    </row>
    <row r="970" spans="1:108" s="207" customFormat="1" hidden="1" outlineLevel="1" x14ac:dyDescent="0.2">
      <c r="A970" s="2644" t="s">
        <v>2462</v>
      </c>
      <c r="B970" s="1240"/>
      <c r="C970" s="1241"/>
      <c r="D970" s="750"/>
      <c r="E970" s="750"/>
      <c r="F970" s="750"/>
      <c r="G970" s="758"/>
      <c r="H970" s="752"/>
      <c r="I970" s="756"/>
      <c r="J970" s="753"/>
      <c r="K970" s="753"/>
      <c r="L970" s="756"/>
      <c r="M970" s="752"/>
      <c r="N970" s="753"/>
      <c r="O970" s="753"/>
      <c r="P970" s="1253"/>
      <c r="Q970" s="1254"/>
      <c r="R970" s="752"/>
      <c r="S970" s="1253"/>
      <c r="T970" s="1253"/>
      <c r="U970" s="1253"/>
      <c r="V970" s="1255"/>
      <c r="W970" s="752"/>
      <c r="X970" s="1253"/>
      <c r="Y970" s="1253"/>
      <c r="Z970" s="1253"/>
      <c r="AA970" s="1253"/>
      <c r="AB970" s="752"/>
      <c r="AC970" s="750"/>
      <c r="AD970" s="750"/>
      <c r="AE970" s="750"/>
      <c r="AF970" s="751"/>
      <c r="AG970" s="752"/>
      <c r="AH970" s="750"/>
      <c r="AI970" s="750"/>
      <c r="AJ970" s="750"/>
      <c r="AK970" s="751"/>
      <c r="AL970" s="752"/>
      <c r="AM970" s="750"/>
      <c r="AN970" s="750"/>
      <c r="AO970" s="750"/>
      <c r="AP970" s="751"/>
      <c r="AQ970" s="752"/>
      <c r="AR970" s="750"/>
      <c r="AS970" s="750"/>
      <c r="AT970" s="750"/>
      <c r="AU970" s="751"/>
      <c r="AV970" s="752"/>
      <c r="AW970" s="750"/>
      <c r="AX970" s="750"/>
      <c r="AY970" s="750"/>
      <c r="AZ970" s="758"/>
      <c r="BA970" s="752"/>
      <c r="BB970" s="750"/>
      <c r="BC970" s="750"/>
      <c r="BD970" s="750"/>
      <c r="BE970" s="751"/>
      <c r="BF970" s="752"/>
      <c r="BG970" s="750"/>
      <c r="BH970" s="750"/>
      <c r="BI970" s="750"/>
      <c r="BJ970" s="750"/>
      <c r="BK970" s="752"/>
      <c r="BL970" s="750"/>
      <c r="BM970" s="750"/>
      <c r="BN970" s="750"/>
      <c r="BO970" s="750"/>
      <c r="BP970" s="752"/>
      <c r="BQ970" s="750"/>
      <c r="BR970" s="750"/>
      <c r="BS970" s="750"/>
      <c r="BT970" s="750"/>
      <c r="BU970" s="752"/>
      <c r="BV970" s="750"/>
      <c r="BW970" s="750"/>
      <c r="BX970" s="750"/>
      <c r="BY970" s="750"/>
      <c r="BZ970" s="752"/>
      <c r="CA970" s="750"/>
      <c r="CB970" s="750"/>
      <c r="CC970" s="750"/>
      <c r="CD970" s="750"/>
      <c r="CE970" s="752"/>
      <c r="CF970" s="750"/>
      <c r="CG970" s="3050">
        <f t="shared" ref="CG970:CV970" si="1498">+CG664+CG631+CG522+CG488</f>
        <v>3367</v>
      </c>
      <c r="CH970" s="3050">
        <f t="shared" si="1498"/>
        <v>3367</v>
      </c>
      <c r="CI970" s="3050">
        <f t="shared" si="1498"/>
        <v>3474</v>
      </c>
      <c r="CJ970" s="3020">
        <f t="shared" si="1498"/>
        <v>3474</v>
      </c>
      <c r="CK970" s="3541">
        <f t="shared" si="1491"/>
        <v>3565</v>
      </c>
      <c r="CL970" s="3050">
        <f t="shared" si="1498"/>
        <v>4679</v>
      </c>
      <c r="CM970" s="3050">
        <f t="shared" si="1498"/>
        <v>4987</v>
      </c>
      <c r="CN970" s="3050">
        <f t="shared" si="1498"/>
        <v>5253</v>
      </c>
      <c r="CO970" s="3020">
        <f t="shared" si="1498"/>
        <v>5253</v>
      </c>
      <c r="CP970" s="3531">
        <f t="shared" si="1489"/>
        <v>3833.76</v>
      </c>
      <c r="CQ970" s="2937">
        <f t="shared" si="1489"/>
        <v>5027.1400000000003</v>
      </c>
      <c r="CR970" s="2937">
        <f t="shared" si="1489"/>
        <v>5359.43</v>
      </c>
      <c r="CS970" s="3652">
        <f t="shared" si="1489"/>
        <v>5646.7100000000009</v>
      </c>
      <c r="CT970" s="3020">
        <f t="shared" si="1489"/>
        <v>5646.7100000000009</v>
      </c>
      <c r="CU970" s="3020">
        <f t="shared" si="1498"/>
        <v>6046.7616500000004</v>
      </c>
      <c r="CV970" s="3020">
        <f t="shared" si="1498"/>
        <v>6263.8906780000007</v>
      </c>
      <c r="CW970" s="1201"/>
      <c r="CX970" s="1201"/>
      <c r="CY970" s="1201"/>
      <c r="CZ970" s="1201"/>
      <c r="DA970" s="1201"/>
      <c r="DB970" s="217"/>
      <c r="DC970" s="212"/>
      <c r="DD970" s="234"/>
    </row>
    <row r="971" spans="1:108" s="207" customFormat="1" hidden="1" outlineLevel="1" x14ac:dyDescent="0.2">
      <c r="A971" s="2644" t="s">
        <v>2463</v>
      </c>
      <c r="B971" s="1240"/>
      <c r="C971" s="1241"/>
      <c r="D971" s="750"/>
      <c r="E971" s="750"/>
      <c r="F971" s="750"/>
      <c r="G971" s="758"/>
      <c r="H971" s="752"/>
      <c r="I971" s="756"/>
      <c r="J971" s="753"/>
      <c r="K971" s="753"/>
      <c r="L971" s="756"/>
      <c r="M971" s="752"/>
      <c r="N971" s="753"/>
      <c r="O971" s="753"/>
      <c r="P971" s="1253"/>
      <c r="Q971" s="1254"/>
      <c r="R971" s="752"/>
      <c r="S971" s="1253"/>
      <c r="T971" s="1253"/>
      <c r="U971" s="1253"/>
      <c r="V971" s="1255"/>
      <c r="W971" s="752"/>
      <c r="X971" s="1253"/>
      <c r="Y971" s="1253"/>
      <c r="Z971" s="1253"/>
      <c r="AA971" s="1253"/>
      <c r="AB971" s="752"/>
      <c r="AC971" s="750"/>
      <c r="AD971" s="750"/>
      <c r="AE971" s="750"/>
      <c r="AF971" s="751"/>
      <c r="AG971" s="752"/>
      <c r="AH971" s="750"/>
      <c r="AI971" s="750"/>
      <c r="AJ971" s="750"/>
      <c r="AK971" s="751"/>
      <c r="AL971" s="752"/>
      <c r="AM971" s="750"/>
      <c r="AN971" s="750"/>
      <c r="AO971" s="750"/>
      <c r="AP971" s="751"/>
      <c r="AQ971" s="752"/>
      <c r="AR971" s="750"/>
      <c r="AS971" s="750"/>
      <c r="AT971" s="750"/>
      <c r="AU971" s="751"/>
      <c r="AV971" s="752"/>
      <c r="AW971" s="750"/>
      <c r="AX971" s="750"/>
      <c r="AY971" s="750"/>
      <c r="AZ971" s="758"/>
      <c r="BA971" s="752"/>
      <c r="BB971" s="750"/>
      <c r="BC971" s="750"/>
      <c r="BD971" s="750"/>
      <c r="BE971" s="751"/>
      <c r="BF971" s="752"/>
      <c r="BG971" s="750"/>
      <c r="BH971" s="750"/>
      <c r="BI971" s="750"/>
      <c r="BJ971" s="750"/>
      <c r="BK971" s="752"/>
      <c r="BL971" s="750"/>
      <c r="BM971" s="750"/>
      <c r="BN971" s="750"/>
      <c r="BO971" s="750"/>
      <c r="BP971" s="752"/>
      <c r="BQ971" s="750"/>
      <c r="BR971" s="750"/>
      <c r="BS971" s="750"/>
      <c r="BT971" s="750"/>
      <c r="BU971" s="752"/>
      <c r="BV971" s="750"/>
      <c r="BW971" s="750"/>
      <c r="BX971" s="750"/>
      <c r="BY971" s="750"/>
      <c r="BZ971" s="752"/>
      <c r="CA971" s="750"/>
      <c r="CB971" s="750"/>
      <c r="CC971" s="750"/>
      <c r="CD971" s="750"/>
      <c r="CE971" s="752"/>
      <c r="CF971" s="750"/>
      <c r="CG971" s="3050">
        <f t="shared" ref="CG971:CV971" si="1499">+CG665+CG632+CG523+CG489</f>
        <v>3206</v>
      </c>
      <c r="CH971" s="3050">
        <f t="shared" si="1499"/>
        <v>3979</v>
      </c>
      <c r="CI971" s="3050">
        <f t="shared" si="1499"/>
        <v>5338</v>
      </c>
      <c r="CJ971" s="3020">
        <f t="shared" si="1499"/>
        <v>5338</v>
      </c>
      <c r="CK971" s="3541">
        <f t="shared" si="1491"/>
        <v>5598</v>
      </c>
      <c r="CL971" s="3050">
        <f t="shared" si="1499"/>
        <v>5671</v>
      </c>
      <c r="CM971" s="3050">
        <f t="shared" si="1499"/>
        <v>6089</v>
      </c>
      <c r="CN971" s="3050">
        <f t="shared" si="1499"/>
        <v>6073</v>
      </c>
      <c r="CO971" s="3020">
        <f t="shared" si="1499"/>
        <v>6073</v>
      </c>
      <c r="CP971" s="3531">
        <f t="shared" si="1489"/>
        <v>6030.39</v>
      </c>
      <c r="CQ971" s="2937">
        <f t="shared" si="1489"/>
        <v>6114.380000000001</v>
      </c>
      <c r="CR971" s="2937">
        <f t="shared" si="1489"/>
        <v>6572.91</v>
      </c>
      <c r="CS971" s="3652">
        <f t="shared" si="1489"/>
        <v>6555.5300000000007</v>
      </c>
      <c r="CT971" s="3020">
        <f t="shared" si="1489"/>
        <v>6555.5300000000007</v>
      </c>
      <c r="CU971" s="3020">
        <f t="shared" si="1499"/>
        <v>7035.3439500000004</v>
      </c>
      <c r="CV971" s="3020">
        <f t="shared" si="1499"/>
        <v>7304.2551140000014</v>
      </c>
      <c r="CW971" s="1201"/>
      <c r="CX971" s="1201"/>
      <c r="CY971" s="1201"/>
      <c r="CZ971" s="1201"/>
      <c r="DA971" s="1201"/>
      <c r="DB971" s="217"/>
      <c r="DC971" s="212"/>
      <c r="DD971" s="234"/>
    </row>
    <row r="972" spans="1:108" s="207" customFormat="1" hidden="1" outlineLevel="1" x14ac:dyDescent="0.2">
      <c r="A972" s="3435" t="s">
        <v>1931</v>
      </c>
      <c r="B972" s="1240"/>
      <c r="C972" s="1241"/>
      <c r="D972" s="750"/>
      <c r="E972" s="750"/>
      <c r="F972" s="750"/>
      <c r="G972" s="758"/>
      <c r="H972" s="752"/>
      <c r="I972" s="756"/>
      <c r="J972" s="753"/>
      <c r="K972" s="753"/>
      <c r="L972" s="756"/>
      <c r="M972" s="752"/>
      <c r="N972" s="753"/>
      <c r="O972" s="753"/>
      <c r="P972" s="1253"/>
      <c r="Q972" s="1254"/>
      <c r="R972" s="752"/>
      <c r="S972" s="1253"/>
      <c r="T972" s="1253"/>
      <c r="U972" s="1253"/>
      <c r="V972" s="1255"/>
      <c r="W972" s="752"/>
      <c r="X972" s="1253"/>
      <c r="Y972" s="1253"/>
      <c r="Z972" s="1253"/>
      <c r="AA972" s="1253"/>
      <c r="AB972" s="752"/>
      <c r="AC972" s="750"/>
      <c r="AD972" s="750"/>
      <c r="AE972" s="750"/>
      <c r="AF972" s="751"/>
      <c r="AG972" s="752"/>
      <c r="AH972" s="750"/>
      <c r="AI972" s="750"/>
      <c r="AJ972" s="750"/>
      <c r="AK972" s="751"/>
      <c r="AL972" s="752"/>
      <c r="AM972" s="750"/>
      <c r="AN972" s="750"/>
      <c r="AO972" s="750"/>
      <c r="AP972" s="751"/>
      <c r="AQ972" s="752"/>
      <c r="AR972" s="750"/>
      <c r="AS972" s="750"/>
      <c r="AT972" s="750"/>
      <c r="AU972" s="751"/>
      <c r="AV972" s="752"/>
      <c r="AW972" s="750"/>
      <c r="AX972" s="750"/>
      <c r="AY972" s="750"/>
      <c r="AZ972" s="758"/>
      <c r="BA972" s="752"/>
      <c r="BB972" s="750"/>
      <c r="BC972" s="750"/>
      <c r="BD972" s="750"/>
      <c r="BE972" s="751"/>
      <c r="BF972" s="752"/>
      <c r="BG972" s="750"/>
      <c r="BH972" s="750"/>
      <c r="BI972" s="750"/>
      <c r="BJ972" s="750"/>
      <c r="BK972" s="752"/>
      <c r="BL972" s="750"/>
      <c r="BM972" s="750"/>
      <c r="BN972" s="750"/>
      <c r="BO972" s="750"/>
      <c r="BP972" s="752"/>
      <c r="BQ972" s="750"/>
      <c r="BR972" s="750"/>
      <c r="BS972" s="750"/>
      <c r="BT972" s="750"/>
      <c r="BU972" s="752"/>
      <c r="BV972" s="750"/>
      <c r="BW972" s="750"/>
      <c r="BX972" s="750"/>
      <c r="BY972" s="750"/>
      <c r="BZ972" s="752"/>
      <c r="CA972" s="750"/>
      <c r="CB972" s="750"/>
      <c r="CC972" s="750"/>
      <c r="CD972" s="750"/>
      <c r="CE972" s="752"/>
      <c r="CF972" s="750"/>
      <c r="CG972" s="3050">
        <f>+CG666+CG633+CG524+CG490+CG466+CG474+CG477+CG501+CG511+CG610+CG620+CG644</f>
        <v>18984</v>
      </c>
      <c r="CH972" s="3050">
        <f>+CH666+CH633+CH524+CH490+CH466+CH474+CH477+CH501+CH511+CH610+CH620+CH644</f>
        <v>18084</v>
      </c>
      <c r="CI972" s="3050">
        <f>+CI666+CI633+CI524+CI490+CI466+CI474+CI477+CI501+CI511+CI610+CI620+CI644</f>
        <v>24015</v>
      </c>
      <c r="CJ972" s="3020">
        <f t="shared" ref="CJ972:CV972" si="1500">+CJ666+CJ633+CJ524+CJ490</f>
        <v>5931</v>
      </c>
      <c r="CK972" s="3541">
        <f t="shared" si="1491"/>
        <v>5736</v>
      </c>
      <c r="CL972" s="3050">
        <f t="shared" si="1500"/>
        <v>6054</v>
      </c>
      <c r="CM972" s="3050">
        <f t="shared" si="1500"/>
        <v>9594</v>
      </c>
      <c r="CN972" s="3050">
        <f t="shared" si="1500"/>
        <v>10293</v>
      </c>
      <c r="CO972" s="3020">
        <f t="shared" si="1500"/>
        <v>10293</v>
      </c>
      <c r="CP972" s="3531">
        <f t="shared" si="1489"/>
        <v>5887.56</v>
      </c>
      <c r="CQ972" s="2937">
        <f t="shared" si="1489"/>
        <v>6235.8200000000006</v>
      </c>
      <c r="CR972" s="2937">
        <f t="shared" si="1489"/>
        <v>9931.5800000000017</v>
      </c>
      <c r="CS972" s="3652">
        <f t="shared" si="1489"/>
        <v>10673.490000000002</v>
      </c>
      <c r="CT972" s="3020">
        <f t="shared" si="1489"/>
        <v>10673.490000000002</v>
      </c>
      <c r="CU972" s="3020">
        <f t="shared" si="1500"/>
        <v>11276.812549999999</v>
      </c>
      <c r="CV972" s="3020">
        <f t="shared" si="1500"/>
        <v>11519.850446</v>
      </c>
      <c r="CW972" s="1201"/>
      <c r="CX972" s="1201"/>
      <c r="CY972" s="1201"/>
      <c r="CZ972" s="1201"/>
      <c r="DA972" s="1201"/>
      <c r="DB972" s="217"/>
      <c r="DC972" s="212"/>
      <c r="DD972" s="234"/>
    </row>
    <row r="973" spans="1:108" s="207" customFormat="1" hidden="1" outlineLevel="1" x14ac:dyDescent="0.2">
      <c r="A973" s="3051" t="s">
        <v>664</v>
      </c>
      <c r="B973" s="3052"/>
      <c r="C973" s="3053"/>
      <c r="D973" s="3054"/>
      <c r="E973" s="3054"/>
      <c r="F973" s="3054"/>
      <c r="G973" s="3054"/>
      <c r="H973" s="3055"/>
      <c r="I973" s="3054">
        <f t="shared" ref="I973:AA973" si="1501">SUM(I939:I960)</f>
        <v>410806</v>
      </c>
      <c r="J973" s="3054">
        <f t="shared" si="1501"/>
        <v>423211</v>
      </c>
      <c r="K973" s="3054">
        <f t="shared" si="1501"/>
        <v>439312</v>
      </c>
      <c r="L973" s="3054">
        <f t="shared" si="1501"/>
        <v>448207</v>
      </c>
      <c r="M973" s="3055">
        <f t="shared" si="1501"/>
        <v>448207</v>
      </c>
      <c r="N973" s="3054">
        <f t="shared" si="1501"/>
        <v>478290</v>
      </c>
      <c r="O973" s="3054">
        <f t="shared" si="1501"/>
        <v>483381</v>
      </c>
      <c r="P973" s="3054">
        <f t="shared" si="1501"/>
        <v>435977</v>
      </c>
      <c r="Q973" s="3054">
        <f t="shared" si="1501"/>
        <v>445377</v>
      </c>
      <c r="R973" s="3055">
        <f t="shared" si="1501"/>
        <v>445377</v>
      </c>
      <c r="S973" s="3054">
        <f t="shared" si="1501"/>
        <v>452645</v>
      </c>
      <c r="T973" s="3054">
        <f t="shared" si="1501"/>
        <v>459339</v>
      </c>
      <c r="U973" s="3054">
        <f t="shared" si="1501"/>
        <v>466717</v>
      </c>
      <c r="V973" s="3056">
        <f t="shared" si="1501"/>
        <v>472923</v>
      </c>
      <c r="W973" s="3055">
        <f t="shared" si="1501"/>
        <v>472923</v>
      </c>
      <c r="X973" s="3054">
        <f t="shared" si="1501"/>
        <v>477011</v>
      </c>
      <c r="Y973" s="3054">
        <f t="shared" si="1501"/>
        <v>482916</v>
      </c>
      <c r="Z973" s="3054">
        <f t="shared" si="1501"/>
        <v>486636</v>
      </c>
      <c r="AA973" s="3056">
        <f t="shared" si="1501"/>
        <v>464549</v>
      </c>
      <c r="AB973" s="3055">
        <f t="shared" si="1453"/>
        <v>464549</v>
      </c>
      <c r="AC973" s="3057">
        <f>SUM(AC939:AC960)</f>
        <v>466506</v>
      </c>
      <c r="AD973" s="3057">
        <f>SUM(AD939:AD960)</f>
        <v>471023</v>
      </c>
      <c r="AE973" s="3057">
        <f>SUM(AE939:AE960)</f>
        <v>469920</v>
      </c>
      <c r="AF973" s="3058">
        <f>SUM(AF939:AF960)</f>
        <v>475294</v>
      </c>
      <c r="AG973" s="3055">
        <f t="shared" si="1454"/>
        <v>475294</v>
      </c>
      <c r="AH973" s="3057">
        <f>SUM(AH939:AH960)</f>
        <v>480485</v>
      </c>
      <c r="AI973" s="3057">
        <f>SUM(AI939:AI960)</f>
        <v>484709</v>
      </c>
      <c r="AJ973" s="3057">
        <f>SUM(AJ939:AJ960)</f>
        <v>488662</v>
      </c>
      <c r="AK973" s="3058">
        <f>SUM(AK939:AK960)</f>
        <v>490647</v>
      </c>
      <c r="AL973" s="3055">
        <f t="shared" si="1455"/>
        <v>490647</v>
      </c>
      <c r="AM973" s="3057">
        <f>SUM(AM939:AM960)</f>
        <v>491912</v>
      </c>
      <c r="AN973" s="3057">
        <f>SUM(AN939:AN960)</f>
        <v>496027</v>
      </c>
      <c r="AO973" s="3057">
        <f>SUM(AO939:AO960)</f>
        <v>503386</v>
      </c>
      <c r="AP973" s="3058">
        <f>SUM(AP939:AP960)</f>
        <v>511092</v>
      </c>
      <c r="AQ973" s="3055">
        <f t="shared" si="1456"/>
        <v>511092</v>
      </c>
      <c r="AR973" s="3057">
        <f>SUM(AR939:AR960)</f>
        <v>512919</v>
      </c>
      <c r="AS973" s="3057">
        <f>SUM(AS939:AS960)</f>
        <v>518941</v>
      </c>
      <c r="AT973" s="3057">
        <f>SUM(AT939:AT960)</f>
        <v>524261</v>
      </c>
      <c r="AU973" s="3058">
        <f>SUM(AU939:AU960)</f>
        <v>533866</v>
      </c>
      <c r="AV973" s="3055">
        <f t="shared" si="1457"/>
        <v>533866</v>
      </c>
      <c r="AW973" s="3057">
        <f>SUM(AW939:AW960)</f>
        <v>541803</v>
      </c>
      <c r="AX973" s="3057">
        <f>SUM(AX939:AX960)</f>
        <v>549006</v>
      </c>
      <c r="AY973" s="3057">
        <f>SUM(AY939:AY960)</f>
        <v>558701</v>
      </c>
      <c r="AZ973" s="3057">
        <f>SUM(AZ939:AZ960)</f>
        <v>567576</v>
      </c>
      <c r="BA973" s="3055">
        <f t="shared" si="1458"/>
        <v>567576</v>
      </c>
      <c r="BB973" s="3057">
        <f>SUM(BB939:BB960)</f>
        <v>574659</v>
      </c>
      <c r="BC973" s="3057">
        <f>SUM(BC939:BC960)</f>
        <v>579349</v>
      </c>
      <c r="BD973" s="3057">
        <f>SUM(BD939:BD960)</f>
        <v>583541</v>
      </c>
      <c r="BE973" s="3058">
        <f>SUM(BE939:BE960)</f>
        <v>588761</v>
      </c>
      <c r="BF973" s="3055">
        <f t="shared" si="1459"/>
        <v>588761</v>
      </c>
      <c r="BG973" s="3057">
        <f>SUM(BG939:BG960)</f>
        <v>593298</v>
      </c>
      <c r="BH973" s="3057">
        <f>SUM(BH939:BH960)</f>
        <v>596084</v>
      </c>
      <c r="BI973" s="3057">
        <f>SUM(BI939:BI960)</f>
        <v>599221</v>
      </c>
      <c r="BJ973" s="3057">
        <f>SUM(BJ939:BJ960)</f>
        <v>604013</v>
      </c>
      <c r="BK973" s="3055">
        <f t="shared" si="1462"/>
        <v>604013</v>
      </c>
      <c r="BL973" s="3057">
        <f>SUM(BL939:BL960)</f>
        <v>606591</v>
      </c>
      <c r="BM973" s="3057">
        <f>SUM(BM939:BM960)</f>
        <v>608289</v>
      </c>
      <c r="BN973" s="3057">
        <f>SUM(BN939:BN960)</f>
        <v>610298</v>
      </c>
      <c r="BO973" s="3057">
        <f>SUM(BO939:BO960)</f>
        <v>614689</v>
      </c>
      <c r="BP973" s="3055">
        <f t="shared" si="1463"/>
        <v>614689</v>
      </c>
      <c r="BQ973" s="3057">
        <f>SUM(BQ939:BQ960)</f>
        <v>617095</v>
      </c>
      <c r="BR973" s="3057">
        <f>SUM(BR939:BR960)</f>
        <v>620342</v>
      </c>
      <c r="BS973" s="3057">
        <f>SUM(BS939:BS960)</f>
        <v>624266</v>
      </c>
      <c r="BT973" s="3057">
        <f>SUM(BT939:BT960)</f>
        <v>628169</v>
      </c>
      <c r="BU973" s="3055">
        <f t="shared" si="1464"/>
        <v>628169</v>
      </c>
      <c r="BV973" s="3057">
        <f>SUM(BV939:BV960)</f>
        <v>631508</v>
      </c>
      <c r="BW973" s="3057">
        <f>SUM(BW939:BW960)</f>
        <v>647548</v>
      </c>
      <c r="BX973" s="3057">
        <f>SUM(BX939:BX960)</f>
        <v>652782</v>
      </c>
      <c r="BY973" s="3057">
        <f>SUM(BY939:BY960)</f>
        <v>660287</v>
      </c>
      <c r="BZ973" s="3055">
        <f t="shared" si="1465"/>
        <v>660287</v>
      </c>
      <c r="CA973" s="3057">
        <f>SUM(CA939:CA960)</f>
        <v>667999</v>
      </c>
      <c r="CB973" s="3057">
        <f>SUM(CB939:CB960)</f>
        <v>676187</v>
      </c>
      <c r="CC973" s="3057">
        <f>SUM(CC939:CC960)</f>
        <v>682751</v>
      </c>
      <c r="CD973" s="3057">
        <f>SUM(CD939:CD960)</f>
        <v>692324</v>
      </c>
      <c r="CE973" s="3055">
        <f t="shared" si="1460"/>
        <v>692324</v>
      </c>
      <c r="CF973" s="3057">
        <f>SUM(CF939:CF960)</f>
        <v>698567</v>
      </c>
      <c r="CG973" s="3057">
        <f>SUM(CG939:CG960)</f>
        <v>707408</v>
      </c>
      <c r="CH973" s="3057">
        <f>SUM(CH937:CH960)</f>
        <v>715422</v>
      </c>
      <c r="CI973" s="3057">
        <f>SUM(CI937:CI972)</f>
        <v>1122607</v>
      </c>
      <c r="CJ973" s="3055">
        <f t="shared" ref="CJ973:CV973" si="1502">SUM(CJ937:CJ972)</f>
        <v>1104523</v>
      </c>
      <c r="CK973" s="3054">
        <f t="shared" si="1502"/>
        <v>1112737</v>
      </c>
      <c r="CL973" s="3057">
        <f t="shared" ca="1" si="1502"/>
        <v>1125819</v>
      </c>
      <c r="CM973" s="3057">
        <f t="shared" ca="1" si="1502"/>
        <v>1143105</v>
      </c>
      <c r="CN973" s="3057">
        <f t="shared" ca="1" si="1502"/>
        <v>1159891</v>
      </c>
      <c r="CO973" s="3055">
        <f t="shared" ca="1" si="1502"/>
        <v>1159891</v>
      </c>
      <c r="CP973" s="3057">
        <f t="shared" ca="1" si="1502"/>
        <v>1155138.52</v>
      </c>
      <c r="CQ973" s="3057">
        <f ca="1">SUM(CQ937:CQ972)</f>
        <v>1163921.4600000002</v>
      </c>
      <c r="CR973" s="3057">
        <f ca="1">SUM(CR937:CR972)</f>
        <v>1176358.71</v>
      </c>
      <c r="CS973" s="3057">
        <f t="shared" ca="1" si="1502"/>
        <v>1183025.95</v>
      </c>
      <c r="CT973" s="3055">
        <f ca="1">SUM(CT937:CT972)</f>
        <v>1183583.6199999999</v>
      </c>
      <c r="CU973" s="3055">
        <f t="shared" ca="1" si="1502"/>
        <v>1208388.4732499996</v>
      </c>
      <c r="CV973" s="3055">
        <f t="shared" ca="1" si="1502"/>
        <v>1219523.4318340002</v>
      </c>
      <c r="CW973" s="1201"/>
      <c r="CX973" s="1201"/>
      <c r="CY973" s="1201"/>
      <c r="CZ973" s="1201"/>
      <c r="DA973" s="1201"/>
      <c r="DB973" s="217"/>
      <c r="DC973" s="212"/>
      <c r="DD973" s="234"/>
    </row>
    <row r="974" spans="1:108" s="207" customFormat="1" hidden="1" outlineLevel="1" x14ac:dyDescent="0.2">
      <c r="A974" s="1236"/>
      <c r="CK974" s="3542"/>
      <c r="CP974" s="3542"/>
      <c r="CW974" s="234"/>
      <c r="CX974" s="234"/>
      <c r="CY974" s="234"/>
      <c r="CZ974" s="234"/>
      <c r="DA974" s="234"/>
      <c r="DB974" s="217"/>
      <c r="DC974" s="212"/>
      <c r="DD974" s="234"/>
    </row>
    <row r="975" spans="1:108" s="207" customFormat="1" hidden="1" outlineLevel="1" x14ac:dyDescent="0.2">
      <c r="A975" s="1236"/>
      <c r="BZ975" s="537"/>
      <c r="CE975" s="537"/>
      <c r="CJ975" s="537"/>
      <c r="CK975" s="3542"/>
      <c r="CO975" s="2404"/>
      <c r="CP975" s="3542"/>
      <c r="CT975" s="2404"/>
      <c r="CW975" s="234"/>
      <c r="CX975" s="234"/>
      <c r="CY975" s="234"/>
      <c r="CZ975" s="234"/>
      <c r="DA975" s="234"/>
      <c r="DB975" s="217"/>
      <c r="DC975" s="212"/>
      <c r="DD975" s="234"/>
    </row>
    <row r="976" spans="1:108" s="207" customFormat="1" hidden="1" outlineLevel="1" x14ac:dyDescent="0.2">
      <c r="A976" s="3051" t="s">
        <v>473</v>
      </c>
      <c r="B976" s="3059"/>
      <c r="C976" s="3113"/>
      <c r="D976" s="3062" t="str">
        <f>RevPAR!B$5</f>
        <v>1Q00</v>
      </c>
      <c r="E976" s="3062" t="str">
        <f>RevPAR!C$5</f>
        <v>2Q00</v>
      </c>
      <c r="F976" s="3062" t="str">
        <f>RevPAR!D$5</f>
        <v>3Q00</v>
      </c>
      <c r="G976" s="3062" t="str">
        <f>RevPAR!E$5</f>
        <v>4Q00</v>
      </c>
      <c r="H976" s="3063">
        <f>RevPAR!F$5</f>
        <v>2000</v>
      </c>
      <c r="I976" s="3062" t="str">
        <f>RevPAR!G$5</f>
        <v>1Q01</v>
      </c>
      <c r="J976" s="3062" t="str">
        <f>RevPAR!H$5</f>
        <v>2Q01</v>
      </c>
      <c r="K976" s="3062" t="str">
        <f>RevPAR!I$5</f>
        <v>3Q01</v>
      </c>
      <c r="L976" s="3062" t="str">
        <f>RevPAR!J$5</f>
        <v>4Q01</v>
      </c>
      <c r="M976" s="3063">
        <f>RevPAR!K$5</f>
        <v>2001</v>
      </c>
      <c r="N976" s="3062" t="str">
        <f>RevPAR!L$5</f>
        <v>1Q02</v>
      </c>
      <c r="O976" s="3062" t="str">
        <f>RevPAR!M$5</f>
        <v>2Q02</v>
      </c>
      <c r="P976" s="3062" t="str">
        <f>RevPAR!N$5</f>
        <v>3Q02</v>
      </c>
      <c r="Q976" s="3062" t="str">
        <f>RevPAR!O$5</f>
        <v>4Q02</v>
      </c>
      <c r="R976" s="3063">
        <f>RevPAR!P$5</f>
        <v>2002</v>
      </c>
      <c r="S976" s="3062" t="str">
        <f>RevPAR!Q$5</f>
        <v>1Q03</v>
      </c>
      <c r="T976" s="3062" t="str">
        <f>RevPAR!R$5</f>
        <v>2Q03</v>
      </c>
      <c r="U976" s="3062" t="str">
        <f>RevPAR!S$5</f>
        <v>3Q03</v>
      </c>
      <c r="V976" s="3062" t="str">
        <f>RevPAR!T$5</f>
        <v>4Q03</v>
      </c>
      <c r="W976" s="3063">
        <f>RevPAR!U$5</f>
        <v>2003</v>
      </c>
      <c r="X976" s="3062" t="str">
        <f>RevPAR!V$5</f>
        <v>1Q04</v>
      </c>
      <c r="Y976" s="3062" t="str">
        <f>RevPAR!W$5</f>
        <v>2Q04</v>
      </c>
      <c r="Z976" s="3062" t="str">
        <f>RevPAR!X$5</f>
        <v>3Q04</v>
      </c>
      <c r="AA976" s="3062" t="str">
        <f>RevPAR!Y$5</f>
        <v>4Q04</v>
      </c>
      <c r="AB976" s="3063" t="str">
        <f>RevPAR!Z$5</f>
        <v>2004</v>
      </c>
      <c r="AC976" s="3062" t="str">
        <f>RevPAR!AA$5</f>
        <v>1Q05</v>
      </c>
      <c r="AD976" s="3062" t="str">
        <f>RevPAR!AB$5</f>
        <v>2Q05</v>
      </c>
      <c r="AE976" s="3062" t="str">
        <f>RevPAR!AC$5</f>
        <v>3Q05</v>
      </c>
      <c r="AF976" s="3062" t="str">
        <f>RevPAR!AD$5</f>
        <v>4Q05</v>
      </c>
      <c r="AG976" s="3063">
        <f>RevPAR!AE$5</f>
        <v>2005</v>
      </c>
      <c r="AH976" s="3062" t="str">
        <f>RevPAR!AF$5</f>
        <v>1Q06</v>
      </c>
      <c r="AI976" s="3062" t="str">
        <f>RevPAR!AG$5</f>
        <v>2Q06</v>
      </c>
      <c r="AJ976" s="3062" t="str">
        <f>RevPAR!AH$5</f>
        <v>3Q06</v>
      </c>
      <c r="AK976" s="3062" t="str">
        <f>RevPAR!AI$5</f>
        <v>4Q06</v>
      </c>
      <c r="AL976" s="3063">
        <f>RevPAR!AJ$5</f>
        <v>2006</v>
      </c>
      <c r="AM976" s="3062" t="str">
        <f>RevPAR!AK$5</f>
        <v>1Q07</v>
      </c>
      <c r="AN976" s="3062" t="str">
        <f>RevPAR!AL$5</f>
        <v>2Q07</v>
      </c>
      <c r="AO976" s="3062" t="str">
        <f>RevPAR!AM$5</f>
        <v>3Q07</v>
      </c>
      <c r="AP976" s="3062" t="str">
        <f>RevPAR!AN$5</f>
        <v>4Q07</v>
      </c>
      <c r="AQ976" s="3063" t="str">
        <f>RevPAR!AO$5</f>
        <v>2007</v>
      </c>
      <c r="AR976" s="3062" t="str">
        <f>RevPAR!AP$5</f>
        <v>1Q08</v>
      </c>
      <c r="AS976" s="3062" t="str">
        <f>RevPAR!AQ$5</f>
        <v>2Q08</v>
      </c>
      <c r="AT976" s="3062" t="str">
        <f>RevPAR!AR$5</f>
        <v>3Q08</v>
      </c>
      <c r="AU976" s="3062" t="str">
        <f>RevPAR!AS$5</f>
        <v>4Q08</v>
      </c>
      <c r="AV976" s="3063" t="str">
        <f>RevPAR!AT$5</f>
        <v>2008</v>
      </c>
      <c r="AW976" s="3062" t="str">
        <f>RevPAR!AU$5</f>
        <v>1Q09</v>
      </c>
      <c r="AX976" s="3062" t="str">
        <f>RevPAR!AV$5</f>
        <v>2Q09</v>
      </c>
      <c r="AY976" s="3062" t="str">
        <f>RevPAR!AW$5</f>
        <v>3Q09</v>
      </c>
      <c r="AZ976" s="3062" t="str">
        <f>RevPAR!AX$5</f>
        <v>4Q09</v>
      </c>
      <c r="BA976" s="3063" t="str">
        <f>RevPAR!AY$5</f>
        <v>2009</v>
      </c>
      <c r="BB976" s="3062" t="str">
        <f>RevPAR!AZ$5</f>
        <v>1Q10</v>
      </c>
      <c r="BC976" s="3062" t="str">
        <f>RevPAR!BA$5</f>
        <v>2Q10</v>
      </c>
      <c r="BD976" s="3062" t="str">
        <f>RevPAR!BB$5</f>
        <v>3Q10</v>
      </c>
      <c r="BE976" s="3062" t="str">
        <f>RevPAR!BC$5</f>
        <v>4Q10</v>
      </c>
      <c r="BF976" s="3063" t="str">
        <f>RevPAR!BD$5</f>
        <v>2010</v>
      </c>
      <c r="BG976" s="3062" t="str">
        <f>RevPAR!BE$5</f>
        <v>1Q11</v>
      </c>
      <c r="BH976" s="3062" t="str">
        <f>RevPAR!BF$5</f>
        <v>2Q11</v>
      </c>
      <c r="BI976" s="3062" t="str">
        <f>RevPAR!BG$5</f>
        <v>3Q11</v>
      </c>
      <c r="BJ976" s="3062" t="str">
        <f>RevPAR!BH$5</f>
        <v>4Q11</v>
      </c>
      <c r="BK976" s="3063">
        <f>RevPAR!BI$5</f>
        <v>2011</v>
      </c>
      <c r="BL976" s="3062" t="str">
        <f>RevPAR!BJ$5</f>
        <v>1Q12</v>
      </c>
      <c r="BM976" s="3062" t="str">
        <f>RevPAR!BK$5</f>
        <v>2Q12</v>
      </c>
      <c r="BN976" s="3062" t="str">
        <f>RevPAR!BL$5</f>
        <v>3Q12</v>
      </c>
      <c r="BO976" s="3062" t="str">
        <f>RevPAR!BM$5</f>
        <v>4Q12</v>
      </c>
      <c r="BP976" s="3063">
        <f>RevPAR!BN$5</f>
        <v>2012</v>
      </c>
      <c r="BQ976" s="3062" t="str">
        <f>RevPAR!BO$5</f>
        <v>1Q13</v>
      </c>
      <c r="BR976" s="3062" t="str">
        <f>RevPAR!BP$5</f>
        <v>2Q13</v>
      </c>
      <c r="BS976" s="3062" t="str">
        <f>RevPAR!BQ$5</f>
        <v>3Q13</v>
      </c>
      <c r="BT976" s="3062" t="str">
        <f>RevPAR!BR$5</f>
        <v>4Q13</v>
      </c>
      <c r="BU976" s="3063">
        <f>RevPAR!BS$5</f>
        <v>2013</v>
      </c>
      <c r="BV976" s="3062" t="str">
        <f>RevPAR!BT$5</f>
        <v>1Q14</v>
      </c>
      <c r="BW976" s="3062" t="str">
        <f>RevPAR!BU$5</f>
        <v>2Q14</v>
      </c>
      <c r="BX976" s="3062" t="str">
        <f>RevPAR!BV$5</f>
        <v>3Q14</v>
      </c>
      <c r="BY976" s="3062" t="str">
        <f>RevPAR!BW$5</f>
        <v>4Q14</v>
      </c>
      <c r="BZ976" s="3063">
        <f>RevPAR!BX$5</f>
        <v>2014</v>
      </c>
      <c r="CA976" s="3062" t="str">
        <f>RevPAR!BY$5</f>
        <v>1Q15</v>
      </c>
      <c r="CB976" s="3062" t="str">
        <f>RevPAR!BZ$5</f>
        <v>2Q15</v>
      </c>
      <c r="CC976" s="3062" t="str">
        <f>RevPAR!CA$5</f>
        <v>3Q15</v>
      </c>
      <c r="CD976" s="3062" t="str">
        <f>RevPAR!CB$5</f>
        <v>4Q15</v>
      </c>
      <c r="CE976" s="3063">
        <f>RevPAR!CC$5</f>
        <v>2015</v>
      </c>
      <c r="CF976" s="3062" t="str">
        <f>RevPAR!CD$5</f>
        <v>1Q16</v>
      </c>
      <c r="CG976" s="3062" t="str">
        <f>RevPAR!CE$5</f>
        <v>2Q16</v>
      </c>
      <c r="CH976" s="3062" t="str">
        <f>RevPAR!CF$5</f>
        <v>3Q16</v>
      </c>
      <c r="CI976" s="3062" t="str">
        <f>RevPAR!CG$5</f>
        <v>4Q16</v>
      </c>
      <c r="CJ976" s="3063">
        <f>RevPAR!CH$5</f>
        <v>2016</v>
      </c>
      <c r="CK976" s="3062" t="s">
        <v>2974</v>
      </c>
      <c r="CL976" s="3062" t="str">
        <f>RevPAR!CJ$5</f>
        <v>2Q17</v>
      </c>
      <c r="CM976" s="3062" t="str">
        <f>RevPAR!CK$5</f>
        <v>3Q17</v>
      </c>
      <c r="CN976" s="3062" t="str">
        <f>RevPAR!CL$5</f>
        <v>4Q17A</v>
      </c>
      <c r="CO976" s="3063" t="str">
        <f>RevPAR!CM$5</f>
        <v>2017A</v>
      </c>
      <c r="CP976" s="3062" t="str">
        <f>RevPAR!CN$5</f>
        <v>1Q18E</v>
      </c>
      <c r="CQ976" s="3062" t="str">
        <f>RevPAR!CO$5</f>
        <v>2Q18E</v>
      </c>
      <c r="CR976" s="3062" t="str">
        <f>RevPAR!CP$5</f>
        <v>3Q18E</v>
      </c>
      <c r="CS976" s="3062" t="str">
        <f>RevPAR!CQ$5</f>
        <v>4Q18E</v>
      </c>
      <c r="CT976" s="3063" t="str">
        <f>RevPAR!CR$5</f>
        <v>2018E</v>
      </c>
      <c r="CU976" s="3114" t="str">
        <f>RevPAR!CS$5</f>
        <v>2019E</v>
      </c>
      <c r="CV976" s="3114" t="str">
        <f>RevPAR!CT$5</f>
        <v>2020E</v>
      </c>
      <c r="CW976" s="234"/>
      <c r="CX976" s="234"/>
      <c r="CY976" s="234"/>
      <c r="CZ976" s="234"/>
      <c r="DA976" s="234"/>
      <c r="DB976" s="217"/>
      <c r="DC976" s="212"/>
      <c r="DD976" s="234"/>
    </row>
    <row r="977" spans="1:108" s="207" customFormat="1" collapsed="1" x14ac:dyDescent="0.2">
      <c r="A977" s="902"/>
      <c r="B977" s="758"/>
      <c r="C977" s="1241"/>
      <c r="D977" s="758"/>
      <c r="E977" s="758"/>
      <c r="F977" s="758"/>
      <c r="G977" s="758"/>
      <c r="H977" s="1241"/>
      <c r="I977" s="776"/>
      <c r="J977" s="776"/>
      <c r="K977" s="776"/>
      <c r="L977" s="776"/>
      <c r="M977" s="752"/>
      <c r="N977" s="776"/>
      <c r="O977" s="776"/>
      <c r="P977" s="776"/>
      <c r="Q977" s="758"/>
      <c r="R977" s="752"/>
      <c r="S977" s="758"/>
      <c r="T977" s="758"/>
      <c r="U977" s="758"/>
      <c r="V977" s="751"/>
      <c r="W977" s="752"/>
      <c r="X977" s="758"/>
      <c r="Y977" s="758"/>
      <c r="Z977" s="758"/>
      <c r="AA977" s="758"/>
      <c r="AB977" s="752"/>
      <c r="AC977" s="758"/>
      <c r="AD977" s="758"/>
      <c r="AE977" s="758"/>
      <c r="AF977" s="758"/>
      <c r="AG977" s="752"/>
      <c r="AH977" s="758"/>
      <c r="AI977" s="758"/>
      <c r="AJ977" s="758"/>
      <c r="AK977" s="751"/>
      <c r="AL977" s="752"/>
      <c r="AM977" s="758"/>
      <c r="AN977" s="758"/>
      <c r="AO977" s="758"/>
      <c r="AP977" s="751"/>
      <c r="AQ977" s="752"/>
      <c r="AR977" s="758"/>
      <c r="AS977" s="758"/>
      <c r="AT977" s="758"/>
      <c r="AU977" s="751"/>
      <c r="AV977" s="752"/>
      <c r="AW977" s="758"/>
      <c r="AX977" s="758"/>
      <c r="AY977" s="758"/>
      <c r="AZ977" s="758"/>
      <c r="BA977" s="752"/>
      <c r="BB977" s="758"/>
      <c r="BC977" s="758"/>
      <c r="BD977" s="758"/>
      <c r="BE977" s="758"/>
      <c r="BF977" s="752"/>
      <c r="BG977" s="758"/>
      <c r="BH977" s="758"/>
      <c r="BI977" s="758"/>
      <c r="BJ977" s="758"/>
      <c r="BK977" s="752"/>
      <c r="BL977" s="750"/>
      <c r="BM977" s="750"/>
      <c r="BN977" s="750"/>
      <c r="BO977" s="750"/>
      <c r="BP977" s="752"/>
      <c r="BQ977" s="750"/>
      <c r="BR977" s="750"/>
      <c r="BS977" s="750"/>
      <c r="BT977" s="750"/>
      <c r="BU977" s="752"/>
      <c r="BV977" s="750"/>
      <c r="BW977" s="750"/>
      <c r="BX977" s="750"/>
      <c r="BY977" s="750"/>
      <c r="BZ977" s="3115"/>
      <c r="CA977" s="750"/>
      <c r="CB977" s="750"/>
      <c r="CC977" s="750"/>
      <c r="CD977" s="750"/>
      <c r="CE977" s="3115"/>
      <c r="CF977" s="750"/>
      <c r="CG977" s="750"/>
      <c r="CH977" s="750"/>
      <c r="CI977" s="750"/>
      <c r="CJ977" s="3115"/>
      <c r="CK977" s="3540"/>
      <c r="CL977" s="750"/>
      <c r="CM977" s="750"/>
      <c r="CN977" s="750"/>
      <c r="CO977" s="752"/>
      <c r="CP977" s="3540"/>
      <c r="CQ977" s="750"/>
      <c r="CR977" s="750"/>
      <c r="CS977" s="750"/>
      <c r="CT977" s="752"/>
      <c r="CU977" s="752"/>
      <c r="CV977" s="752"/>
      <c r="CW977" s="234"/>
      <c r="CX977" s="234"/>
      <c r="CY977" s="234"/>
      <c r="CZ977" s="234"/>
      <c r="DA977" s="234"/>
      <c r="DB977" s="217"/>
      <c r="DC977" s="212"/>
      <c r="DD977" s="234"/>
    </row>
    <row r="978" spans="1:108" s="207" customFormat="1" x14ac:dyDescent="0.2">
      <c r="A978" s="2632" t="s">
        <v>656</v>
      </c>
      <c r="B978" s="1240"/>
      <c r="C978" s="1241"/>
      <c r="D978" s="750"/>
      <c r="E978" s="750"/>
      <c r="F978" s="750"/>
      <c r="G978" s="758"/>
      <c r="H978" s="752"/>
      <c r="I978" s="750"/>
      <c r="J978" s="750"/>
      <c r="K978" s="750"/>
      <c r="L978" s="758"/>
      <c r="M978" s="752"/>
      <c r="N978" s="750"/>
      <c r="O978" s="750"/>
      <c r="P978" s="750"/>
      <c r="Q978" s="758"/>
      <c r="R978" s="752"/>
      <c r="S978" s="750"/>
      <c r="T978" s="750"/>
      <c r="U978" s="750"/>
      <c r="V978" s="751"/>
      <c r="W978" s="752"/>
      <c r="X978" s="750"/>
      <c r="Y978" s="750"/>
      <c r="Z978" s="750"/>
      <c r="AA978" s="758"/>
      <c r="AB978" s="752"/>
      <c r="AC978" s="750"/>
      <c r="AD978" s="750"/>
      <c r="AE978" s="750"/>
      <c r="AF978" s="758"/>
      <c r="AG978" s="752"/>
      <c r="AH978" s="750"/>
      <c r="AI978" s="750"/>
      <c r="AJ978" s="750"/>
      <c r="AK978" s="751"/>
      <c r="AL978" s="752"/>
      <c r="AM978" s="750"/>
      <c r="AN978" s="750"/>
      <c r="AO978" s="750"/>
      <c r="AP978" s="751"/>
      <c r="AQ978" s="752"/>
      <c r="AR978" s="750"/>
      <c r="AS978" s="750"/>
      <c r="AT978" s="750"/>
      <c r="AU978" s="751"/>
      <c r="AV978" s="752"/>
      <c r="AW978" s="750"/>
      <c r="AX978" s="750"/>
      <c r="AY978" s="750"/>
      <c r="AZ978" s="758"/>
      <c r="BA978" s="752"/>
      <c r="BB978" s="756"/>
      <c r="BC978" s="753"/>
      <c r="BD978" s="753"/>
      <c r="BE978" s="756"/>
      <c r="BF978" s="752"/>
      <c r="BG978" s="755">
        <v>7143</v>
      </c>
      <c r="BH978" s="753">
        <v>7143</v>
      </c>
      <c r="BI978" s="753">
        <v>7944</v>
      </c>
      <c r="BJ978" s="753">
        <v>8371</v>
      </c>
      <c r="BK978" s="752">
        <f>+BJ978</f>
        <v>8371</v>
      </c>
      <c r="BL978" s="753">
        <v>7976</v>
      </c>
      <c r="BM978" s="753">
        <v>8736</v>
      </c>
      <c r="BN978" s="753">
        <v>8736</v>
      </c>
      <c r="BO978" s="753">
        <v>8736</v>
      </c>
      <c r="BP978" s="752">
        <f>+BO978</f>
        <v>8736</v>
      </c>
      <c r="BQ978" s="753">
        <v>8819</v>
      </c>
      <c r="BR978" s="753">
        <v>8491</v>
      </c>
      <c r="BS978" s="753">
        <v>8491</v>
      </c>
      <c r="BT978" s="753">
        <v>8491</v>
      </c>
      <c r="BU978" s="752">
        <f>+BT978</f>
        <v>8491</v>
      </c>
      <c r="BV978" s="753">
        <v>8329</v>
      </c>
      <c r="BW978" s="753">
        <v>8310</v>
      </c>
      <c r="BX978" s="753">
        <v>8499</v>
      </c>
      <c r="BY978" s="753">
        <v>9531</v>
      </c>
      <c r="BZ978" s="752">
        <f>+BY978</f>
        <v>9531</v>
      </c>
      <c r="CA978" s="753">
        <f>9433+343</f>
        <v>9776</v>
      </c>
      <c r="CB978" s="753">
        <f>9448+911</f>
        <v>10359</v>
      </c>
      <c r="CC978" s="753">
        <f>9448+911</f>
        <v>10359</v>
      </c>
      <c r="CD978" s="753">
        <v>10462</v>
      </c>
      <c r="CE978" s="752">
        <f>+CD978</f>
        <v>10462</v>
      </c>
      <c r="CF978" s="753">
        <f>1193+9852</f>
        <v>11045</v>
      </c>
      <c r="CG978" s="753">
        <v>11629</v>
      </c>
      <c r="CH978" s="753">
        <v>12404</v>
      </c>
      <c r="CI978" s="753">
        <v>12758</v>
      </c>
      <c r="CJ978" s="752">
        <f>+CI978</f>
        <v>12758</v>
      </c>
      <c r="CK978" s="3543">
        <v>13740</v>
      </c>
      <c r="CL978" s="3543">
        <v>14711</v>
      </c>
      <c r="CM978" s="3543">
        <v>16090</v>
      </c>
      <c r="CN978" s="3543">
        <v>17240</v>
      </c>
      <c r="CO978" s="752">
        <f t="shared" ref="CN978:CO979" si="1503">+CN978</f>
        <v>17240</v>
      </c>
      <c r="CP978" s="750">
        <f>CO978</f>
        <v>17240</v>
      </c>
      <c r="CQ978" s="750">
        <f t="shared" ref="CQ978:CS980" si="1504">CP978</f>
        <v>17240</v>
      </c>
      <c r="CR978" s="750">
        <f t="shared" si="1504"/>
        <v>17240</v>
      </c>
      <c r="CS978" s="750">
        <f t="shared" si="1504"/>
        <v>17240</v>
      </c>
      <c r="CT978" s="752">
        <f>+CS978</f>
        <v>17240</v>
      </c>
      <c r="CU978" s="752">
        <f t="shared" ref="CU978:CV980" si="1505">+CT978</f>
        <v>17240</v>
      </c>
      <c r="CV978" s="752">
        <f t="shared" si="1505"/>
        <v>17240</v>
      </c>
      <c r="CW978" s="234"/>
      <c r="CX978" s="234"/>
      <c r="CY978" s="234"/>
      <c r="CZ978" s="234"/>
      <c r="DA978" s="234"/>
      <c r="DB978" s="217"/>
      <c r="DC978" s="212"/>
      <c r="DD978" s="234"/>
    </row>
    <row r="979" spans="1:108" s="207" customFormat="1" x14ac:dyDescent="0.2">
      <c r="A979" s="1264" t="s">
        <v>762</v>
      </c>
      <c r="B979" s="750"/>
      <c r="C979" s="1241"/>
      <c r="D979" s="750"/>
      <c r="E979" s="750"/>
      <c r="F979" s="750"/>
      <c r="G979" s="758"/>
      <c r="H979" s="1241"/>
      <c r="I979" s="3116"/>
      <c r="J979" s="3116"/>
      <c r="K979" s="3116"/>
      <c r="L979" s="776"/>
      <c r="M979" s="752"/>
      <c r="N979" s="3116"/>
      <c r="O979" s="3116"/>
      <c r="P979" s="3116"/>
      <c r="Q979" s="758"/>
      <c r="R979" s="752"/>
      <c r="S979" s="750"/>
      <c r="T979" s="750"/>
      <c r="U979" s="750"/>
      <c r="V979" s="751"/>
      <c r="W979" s="752"/>
      <c r="X979" s="750"/>
      <c r="Y979" s="750"/>
      <c r="Z979" s="750"/>
      <c r="AA979" s="758"/>
      <c r="AB979" s="752"/>
      <c r="AC979" s="750"/>
      <c r="AD979" s="750"/>
      <c r="AE979" s="750"/>
      <c r="AF979" s="758"/>
      <c r="AG979" s="752"/>
      <c r="AH979" s="750"/>
      <c r="AI979" s="750"/>
      <c r="AJ979" s="750"/>
      <c r="AK979" s="751"/>
      <c r="AL979" s="752"/>
      <c r="AM979" s="750"/>
      <c r="AN979" s="750"/>
      <c r="AO979" s="750"/>
      <c r="AP979" s="751"/>
      <c r="AQ979" s="752"/>
      <c r="AR979" s="750"/>
      <c r="AS979" s="750"/>
      <c r="AT979" s="750"/>
      <c r="AU979" s="751"/>
      <c r="AV979" s="752"/>
      <c r="AW979" s="750"/>
      <c r="AX979" s="750"/>
      <c r="AY979" s="750"/>
      <c r="AZ979" s="758"/>
      <c r="BA979" s="752"/>
      <c r="BB979" s="750"/>
      <c r="BC979" s="750"/>
      <c r="BD979" s="750"/>
      <c r="BE979" s="751"/>
      <c r="BF979" s="752"/>
      <c r="BG979" s="3117">
        <v>278</v>
      </c>
      <c r="BH979" s="762">
        <v>278</v>
      </c>
      <c r="BI979" s="762">
        <v>277</v>
      </c>
      <c r="BJ979" s="762">
        <v>350</v>
      </c>
      <c r="BK979" s="761">
        <f>+BJ979</f>
        <v>350</v>
      </c>
      <c r="BL979" s="762">
        <v>350</v>
      </c>
      <c r="BM979" s="762">
        <v>348</v>
      </c>
      <c r="BN979" s="762">
        <v>348</v>
      </c>
      <c r="BO979" s="762">
        <v>348</v>
      </c>
      <c r="BP979" s="761">
        <f>+BO979</f>
        <v>348</v>
      </c>
      <c r="BQ979" s="762">
        <v>348</v>
      </c>
      <c r="BR979" s="762">
        <v>348</v>
      </c>
      <c r="BS979" s="762">
        <v>348</v>
      </c>
      <c r="BT979" s="762">
        <v>348</v>
      </c>
      <c r="BU979" s="761">
        <f>+BT979</f>
        <v>348</v>
      </c>
      <c r="BV979" s="762">
        <v>348</v>
      </c>
      <c r="BW979" s="762">
        <v>348</v>
      </c>
      <c r="BX979" s="762">
        <v>348</v>
      </c>
      <c r="BY979" s="762">
        <v>348</v>
      </c>
      <c r="BZ979" s="761">
        <f>+BY979</f>
        <v>348</v>
      </c>
      <c r="CA979" s="762">
        <v>348</v>
      </c>
      <c r="CB979" s="762">
        <v>348</v>
      </c>
      <c r="CC979" s="762">
        <v>348</v>
      </c>
      <c r="CD979" s="762">
        <v>348</v>
      </c>
      <c r="CE979" s="761">
        <f>+CD979</f>
        <v>348</v>
      </c>
      <c r="CF979" s="762">
        <v>348</v>
      </c>
      <c r="CG979" s="762">
        <v>348</v>
      </c>
      <c r="CH979" s="762">
        <v>348</v>
      </c>
      <c r="CI979" s="762">
        <v>348</v>
      </c>
      <c r="CJ979" s="761">
        <f>+CI979</f>
        <v>348</v>
      </c>
      <c r="CK979" s="3544">
        <v>348</v>
      </c>
      <c r="CL979" s="3544">
        <v>348</v>
      </c>
      <c r="CM979" s="3544">
        <v>419</v>
      </c>
      <c r="CN979" s="774">
        <f t="shared" si="1503"/>
        <v>419</v>
      </c>
      <c r="CO979" s="761">
        <f t="shared" si="1503"/>
        <v>419</v>
      </c>
      <c r="CP979" s="774">
        <f>+CO979</f>
        <v>419</v>
      </c>
      <c r="CQ979" s="774">
        <f>+CP979</f>
        <v>419</v>
      </c>
      <c r="CR979" s="774">
        <f>+CQ979</f>
        <v>419</v>
      </c>
      <c r="CS979" s="774">
        <f>+CR979</f>
        <v>419</v>
      </c>
      <c r="CT979" s="761">
        <f>+CS979</f>
        <v>419</v>
      </c>
      <c r="CU979" s="761">
        <f t="shared" si="1505"/>
        <v>419</v>
      </c>
      <c r="CV979" s="761">
        <f t="shared" si="1505"/>
        <v>419</v>
      </c>
      <c r="CW979" s="234"/>
      <c r="CX979" s="234"/>
      <c r="CY979" s="234"/>
      <c r="CZ979" s="234"/>
      <c r="DA979" s="234"/>
      <c r="DB979" s="217"/>
      <c r="DC979" s="212"/>
      <c r="DD979" s="234"/>
    </row>
    <row r="980" spans="1:108" s="207" customFormat="1" x14ac:dyDescent="0.2">
      <c r="A980" s="1263" t="s">
        <v>1735</v>
      </c>
      <c r="B980" s="750"/>
      <c r="C980" s="1241"/>
      <c r="D980" s="750"/>
      <c r="E980" s="750"/>
      <c r="F980" s="750"/>
      <c r="G980" s="758"/>
      <c r="H980" s="1241"/>
      <c r="I980" s="3116"/>
      <c r="J980" s="3116"/>
      <c r="K980" s="3116"/>
      <c r="L980" s="776"/>
      <c r="M980" s="752"/>
      <c r="N980" s="3116"/>
      <c r="O980" s="3116"/>
      <c r="P980" s="3116"/>
      <c r="Q980" s="758"/>
      <c r="R980" s="752"/>
      <c r="S980" s="750"/>
      <c r="T980" s="750"/>
      <c r="U980" s="750"/>
      <c r="V980" s="751"/>
      <c r="W980" s="752"/>
      <c r="X980" s="750"/>
      <c r="Y980" s="750"/>
      <c r="Z980" s="750"/>
      <c r="AA980" s="758"/>
      <c r="AB980" s="752"/>
      <c r="AC980" s="750"/>
      <c r="AD980" s="750"/>
      <c r="AE980" s="750"/>
      <c r="AF980" s="758"/>
      <c r="AG980" s="752"/>
      <c r="AH980" s="750"/>
      <c r="AI980" s="750"/>
      <c r="AJ980" s="750"/>
      <c r="AK980" s="751"/>
      <c r="AL980" s="752"/>
      <c r="AM980" s="750"/>
      <c r="AN980" s="750"/>
      <c r="AO980" s="750"/>
      <c r="AP980" s="751"/>
      <c r="AQ980" s="752"/>
      <c r="AR980" s="750"/>
      <c r="AS980" s="750"/>
      <c r="AT980" s="750"/>
      <c r="AU980" s="751"/>
      <c r="AV980" s="752"/>
      <c r="AW980" s="750"/>
      <c r="AX980" s="750"/>
      <c r="AY980" s="750"/>
      <c r="AZ980" s="758"/>
      <c r="BA980" s="752"/>
      <c r="BB980" s="750"/>
      <c r="BC980" s="750"/>
      <c r="BD980" s="750"/>
      <c r="BE980" s="751"/>
      <c r="BF980" s="752"/>
      <c r="BG980" s="750">
        <f>SUM(BG978:BG979)</f>
        <v>7421</v>
      </c>
      <c r="BH980" s="750">
        <f>SUM(BH978:BH979)</f>
        <v>7421</v>
      </c>
      <c r="BI980" s="750">
        <f>SUM(BI978:BI979)</f>
        <v>8221</v>
      </c>
      <c r="BJ980" s="750">
        <f>SUM(BJ978:BJ979)</f>
        <v>8721</v>
      </c>
      <c r="BK980" s="752">
        <f>+BJ980</f>
        <v>8721</v>
      </c>
      <c r="BL980" s="750">
        <f>SUM(BL978:BL979)</f>
        <v>8326</v>
      </c>
      <c r="BM980" s="750">
        <f>SUM(BM978:BM979)</f>
        <v>9084</v>
      </c>
      <c r="BN980" s="750">
        <f>SUM(BN978:BN979)</f>
        <v>9084</v>
      </c>
      <c r="BO980" s="750">
        <f>SUM(BO978:BO979)</f>
        <v>9084</v>
      </c>
      <c r="BP980" s="752">
        <f>+BO980</f>
        <v>9084</v>
      </c>
      <c r="BQ980" s="750">
        <f>SUM(BQ978:BQ979)</f>
        <v>9167</v>
      </c>
      <c r="BR980" s="750">
        <f>SUM(BR978:BR979)</f>
        <v>8839</v>
      </c>
      <c r="BS980" s="750">
        <f>SUM(BS978:BS979)</f>
        <v>8839</v>
      </c>
      <c r="BT980" s="750">
        <f>SUM(BT978:BT979)</f>
        <v>8839</v>
      </c>
      <c r="BU980" s="752">
        <f>+BT980</f>
        <v>8839</v>
      </c>
      <c r="BV980" s="750">
        <f>SUM(BV978:BV979)</f>
        <v>8677</v>
      </c>
      <c r="BW980" s="750">
        <f>SUM(BW978:BW979)</f>
        <v>8658</v>
      </c>
      <c r="BX980" s="750">
        <f>SUM(BX978:BX979)</f>
        <v>8847</v>
      </c>
      <c r="BY980" s="750">
        <f>SUM(BY978:BY979)</f>
        <v>9879</v>
      </c>
      <c r="BZ980" s="752">
        <f>+BY980</f>
        <v>9879</v>
      </c>
      <c r="CA980" s="2405">
        <f>SUM(CA978:CA979)</f>
        <v>10124</v>
      </c>
      <c r="CB980" s="2405">
        <f>SUM(CB978:CB979)</f>
        <v>10707</v>
      </c>
      <c r="CC980" s="2405">
        <f>SUM(CC978:CC979)</f>
        <v>10707</v>
      </c>
      <c r="CD980" s="2405">
        <f>SUM(CD978:CD979)</f>
        <v>10810</v>
      </c>
      <c r="CE980" s="752">
        <f>+CD980</f>
        <v>10810</v>
      </c>
      <c r="CF980" s="2405">
        <f>SUM(CF978:CF979)</f>
        <v>11393</v>
      </c>
      <c r="CG980" s="2405">
        <f>SUM(CG978:CG979)</f>
        <v>11977</v>
      </c>
      <c r="CH980" s="2405">
        <f>SUM(CH978:CH979)</f>
        <v>12752</v>
      </c>
      <c r="CI980" s="2405">
        <f>SUM(CI978:CI979)</f>
        <v>13106</v>
      </c>
      <c r="CJ980" s="752">
        <f>+CI980</f>
        <v>13106</v>
      </c>
      <c r="CK980" s="3540">
        <f>SUM(CK978:CK979)</f>
        <v>14088</v>
      </c>
      <c r="CL980" s="2405">
        <f>SUM(CL978:CL979)</f>
        <v>15059</v>
      </c>
      <c r="CM980" s="2405">
        <f>SUM(CM978:CM979)</f>
        <v>16509</v>
      </c>
      <c r="CN980" s="2405">
        <f>SUM(CN978:CN979)</f>
        <v>17659</v>
      </c>
      <c r="CO980" s="752">
        <f>+CN980</f>
        <v>17659</v>
      </c>
      <c r="CP980" s="2405">
        <f>CO980</f>
        <v>17659</v>
      </c>
      <c r="CQ980" s="2405">
        <f t="shared" si="1504"/>
        <v>17659</v>
      </c>
      <c r="CR980" s="2405">
        <f t="shared" si="1504"/>
        <v>17659</v>
      </c>
      <c r="CS980" s="2405">
        <f t="shared" si="1504"/>
        <v>17659</v>
      </c>
      <c r="CT980" s="752">
        <f>+CS980</f>
        <v>17659</v>
      </c>
      <c r="CU980" s="752">
        <f t="shared" si="1505"/>
        <v>17659</v>
      </c>
      <c r="CV980" s="752">
        <f t="shared" si="1505"/>
        <v>17659</v>
      </c>
      <c r="CW980" s="234"/>
      <c r="CX980" s="234"/>
      <c r="CY980" s="234"/>
      <c r="CZ980" s="234"/>
      <c r="DA980" s="234"/>
      <c r="DB980" s="217"/>
      <c r="DC980" s="212"/>
      <c r="DD980" s="234"/>
    </row>
    <row r="981" spans="1:108" s="207" customFormat="1" x14ac:dyDescent="0.2">
      <c r="A981" s="1264"/>
      <c r="B981" s="750"/>
      <c r="C981" s="1241"/>
      <c r="D981" s="750"/>
      <c r="E981" s="750"/>
      <c r="F981" s="750"/>
      <c r="G981" s="758"/>
      <c r="H981" s="1241"/>
      <c r="I981" s="3116"/>
      <c r="J981" s="3116"/>
      <c r="K981" s="3116"/>
      <c r="L981" s="776"/>
      <c r="M981" s="752"/>
      <c r="N981" s="3116"/>
      <c r="O981" s="3116"/>
      <c r="P981" s="3116"/>
      <c r="Q981" s="758"/>
      <c r="R981" s="752"/>
      <c r="S981" s="750"/>
      <c r="T981" s="750"/>
      <c r="U981" s="750"/>
      <c r="V981" s="751"/>
      <c r="W981" s="752"/>
      <c r="X981" s="750"/>
      <c r="Y981" s="750"/>
      <c r="Z981" s="750"/>
      <c r="AA981" s="758"/>
      <c r="AB981" s="752"/>
      <c r="AC981" s="750"/>
      <c r="AD981" s="750"/>
      <c r="AE981" s="750"/>
      <c r="AF981" s="758"/>
      <c r="AG981" s="752"/>
      <c r="AH981" s="750"/>
      <c r="AI981" s="750"/>
      <c r="AJ981" s="750"/>
      <c r="AK981" s="751"/>
      <c r="AL981" s="752"/>
      <c r="AM981" s="750"/>
      <c r="AN981" s="750"/>
      <c r="AO981" s="750"/>
      <c r="AP981" s="751"/>
      <c r="AQ981" s="752"/>
      <c r="AR981" s="750"/>
      <c r="AS981" s="750"/>
      <c r="AT981" s="750"/>
      <c r="AU981" s="751"/>
      <c r="AV981" s="752"/>
      <c r="AW981" s="750"/>
      <c r="AX981" s="750"/>
      <c r="AY981" s="750"/>
      <c r="AZ981" s="758"/>
      <c r="BA981" s="752"/>
      <c r="BB981" s="750"/>
      <c r="BC981" s="750"/>
      <c r="BD981" s="750"/>
      <c r="BE981" s="751"/>
      <c r="BF981" s="752"/>
      <c r="BG981" s="750"/>
      <c r="BH981" s="750"/>
      <c r="BI981" s="750"/>
      <c r="BJ981" s="751"/>
      <c r="BK981" s="752"/>
      <c r="BL981" s="750"/>
      <c r="BM981" s="750"/>
      <c r="BN981" s="750"/>
      <c r="BO981" s="750"/>
      <c r="BP981" s="752"/>
      <c r="BQ981" s="750"/>
      <c r="BR981" s="750"/>
      <c r="BS981" s="750"/>
      <c r="BT981" s="750"/>
      <c r="BU981" s="752"/>
      <c r="BV981" s="750"/>
      <c r="BW981" s="750"/>
      <c r="BX981" s="750"/>
      <c r="BY981" s="750"/>
      <c r="BZ981" s="752"/>
      <c r="CA981" s="2405"/>
      <c r="CB981" s="750"/>
      <c r="CC981" s="750"/>
      <c r="CD981" s="750"/>
      <c r="CE981" s="752"/>
      <c r="CF981" s="750"/>
      <c r="CG981" s="750"/>
      <c r="CH981" s="750"/>
      <c r="CI981" s="750"/>
      <c r="CJ981" s="752"/>
      <c r="CK981" s="3540"/>
      <c r="CL981" s="750"/>
      <c r="CM981" s="750"/>
      <c r="CN981" s="750"/>
      <c r="CO981" s="752"/>
      <c r="CP981" s="750"/>
      <c r="CQ981" s="750"/>
      <c r="CR981" s="750"/>
      <c r="CS981" s="750"/>
      <c r="CT981" s="752"/>
      <c r="CU981" s="752"/>
      <c r="CV981" s="752"/>
      <c r="CW981" s="234"/>
      <c r="CX981" s="234"/>
      <c r="CY981" s="234"/>
      <c r="CZ981" s="234"/>
      <c r="DA981" s="234"/>
      <c r="DB981" s="217"/>
      <c r="DC981" s="212"/>
      <c r="DD981" s="234"/>
    </row>
    <row r="982" spans="1:108" s="207" customFormat="1" x14ac:dyDescent="0.2">
      <c r="A982" s="3118" t="s">
        <v>1931</v>
      </c>
      <c r="B982" s="750"/>
      <c r="C982" s="1241"/>
      <c r="D982" s="750"/>
      <c r="E982" s="750"/>
      <c r="F982" s="750"/>
      <c r="G982" s="758"/>
      <c r="H982" s="1241"/>
      <c r="I982" s="3116"/>
      <c r="J982" s="3116"/>
      <c r="K982" s="3116"/>
      <c r="L982" s="776"/>
      <c r="M982" s="752"/>
      <c r="N982" s="3116"/>
      <c r="O982" s="3116"/>
      <c r="P982" s="3116"/>
      <c r="Q982" s="758"/>
      <c r="R982" s="752"/>
      <c r="S982" s="750"/>
      <c r="T982" s="750"/>
      <c r="U982" s="750"/>
      <c r="V982" s="751"/>
      <c r="W982" s="752"/>
      <c r="X982" s="750"/>
      <c r="Y982" s="750"/>
      <c r="Z982" s="750"/>
      <c r="AA982" s="758"/>
      <c r="AB982" s="752"/>
      <c r="AC982" s="750"/>
      <c r="AD982" s="750"/>
      <c r="AE982" s="750"/>
      <c r="AF982" s="758"/>
      <c r="AG982" s="752"/>
      <c r="AH982" s="750"/>
      <c r="AI982" s="750"/>
      <c r="AJ982" s="750"/>
      <c r="AK982" s="751"/>
      <c r="AL982" s="752"/>
      <c r="AM982" s="750"/>
      <c r="AN982" s="750"/>
      <c r="AO982" s="750"/>
      <c r="AP982" s="751"/>
      <c r="AQ982" s="752"/>
      <c r="AR982" s="750"/>
      <c r="AS982" s="750"/>
      <c r="AT982" s="750"/>
      <c r="AU982" s="751"/>
      <c r="AV982" s="752"/>
      <c r="AW982" s="750"/>
      <c r="AX982" s="750"/>
      <c r="AY982" s="750"/>
      <c r="AZ982" s="758"/>
      <c r="BA982" s="752"/>
      <c r="BB982" s="750"/>
      <c r="BC982" s="750"/>
      <c r="BD982" s="750"/>
      <c r="BE982" s="751"/>
      <c r="BF982" s="752"/>
      <c r="BG982" s="750"/>
      <c r="BH982" s="750"/>
      <c r="BI982" s="750"/>
      <c r="BJ982" s="751"/>
      <c r="BK982" s="752"/>
      <c r="BL982" s="750"/>
      <c r="BM982" s="750"/>
      <c r="BN982" s="750"/>
      <c r="BO982" s="750"/>
      <c r="BP982" s="752"/>
      <c r="BQ982" s="750"/>
      <c r="BR982" s="750"/>
      <c r="BS982" s="750"/>
      <c r="BT982" s="750"/>
      <c r="BU982" s="752"/>
      <c r="BV982" s="750"/>
      <c r="BW982" s="750"/>
      <c r="BX982" s="750"/>
      <c r="BY982" s="750"/>
      <c r="BZ982" s="752"/>
      <c r="CA982" s="2405"/>
      <c r="CB982" s="750"/>
      <c r="CC982" s="750"/>
      <c r="CD982" s="750"/>
      <c r="CE982" s="752"/>
      <c r="CF982" s="750"/>
      <c r="CG982" s="750"/>
      <c r="CH982" s="750"/>
      <c r="CI982" s="750"/>
      <c r="CJ982" s="752"/>
      <c r="CK982" s="3540"/>
      <c r="CL982" s="750"/>
      <c r="CM982" s="750"/>
      <c r="CN982" s="750"/>
      <c r="CO982" s="752"/>
      <c r="CP982" s="750"/>
      <c r="CQ982" s="750"/>
      <c r="CR982" s="750"/>
      <c r="CS982" s="750"/>
      <c r="CT982" s="752"/>
      <c r="CU982" s="752"/>
      <c r="CV982" s="752"/>
      <c r="CW982" s="234"/>
      <c r="CX982" s="234"/>
      <c r="CY982" s="234"/>
      <c r="CZ982" s="234"/>
      <c r="DA982" s="234"/>
      <c r="DB982" s="217"/>
      <c r="DC982" s="212"/>
      <c r="DD982" s="234"/>
    </row>
    <row r="983" spans="1:108" s="207" customFormat="1" x14ac:dyDescent="0.2">
      <c r="A983" s="1264" t="s">
        <v>768</v>
      </c>
      <c r="B983" s="750"/>
      <c r="C983" s="1241"/>
      <c r="D983" s="750"/>
      <c r="E983" s="750"/>
      <c r="F983" s="750"/>
      <c r="G983" s="758"/>
      <c r="H983" s="1241"/>
      <c r="I983" s="3116"/>
      <c r="J983" s="3116"/>
      <c r="K983" s="3116"/>
      <c r="L983" s="776"/>
      <c r="M983" s="752"/>
      <c r="N983" s="3116"/>
      <c r="O983" s="3116"/>
      <c r="P983" s="3116"/>
      <c r="Q983" s="758"/>
      <c r="R983" s="752"/>
      <c r="S983" s="750"/>
      <c r="T983" s="750"/>
      <c r="U983" s="750"/>
      <c r="V983" s="751"/>
      <c r="W983" s="752"/>
      <c r="X983" s="750"/>
      <c r="Y983" s="750"/>
      <c r="Z983" s="750"/>
      <c r="AA983" s="758"/>
      <c r="AB983" s="752"/>
      <c r="AC983" s="750"/>
      <c r="AD983" s="750"/>
      <c r="AE983" s="750"/>
      <c r="AF983" s="758"/>
      <c r="AG983" s="752"/>
      <c r="AH983" s="750"/>
      <c r="AI983" s="750"/>
      <c r="AJ983" s="750"/>
      <c r="AK983" s="751"/>
      <c r="AL983" s="752"/>
      <c r="AM983" s="750"/>
      <c r="AN983" s="750"/>
      <c r="AO983" s="750"/>
      <c r="AP983" s="751"/>
      <c r="AQ983" s="752"/>
      <c r="AR983" s="750"/>
      <c r="AS983" s="750"/>
      <c r="AT983" s="750"/>
      <c r="AU983" s="751"/>
      <c r="AV983" s="752"/>
      <c r="AW983" s="750"/>
      <c r="AX983" s="750"/>
      <c r="AY983" s="750"/>
      <c r="AZ983" s="758"/>
      <c r="BA983" s="752"/>
      <c r="BB983" s="750"/>
      <c r="BC983" s="750"/>
      <c r="BD983" s="750"/>
      <c r="BE983" s="751"/>
      <c r="BF983" s="752"/>
      <c r="BG983" s="753">
        <v>9882</v>
      </c>
      <c r="BH983" s="753">
        <v>9882</v>
      </c>
      <c r="BI983" s="753">
        <v>9882</v>
      </c>
      <c r="BJ983" s="754">
        <v>10496</v>
      </c>
      <c r="BK983" s="752"/>
      <c r="BL983" s="753">
        <v>10628</v>
      </c>
      <c r="BM983" s="753">
        <v>10628</v>
      </c>
      <c r="BN983" s="753">
        <v>10628</v>
      </c>
      <c r="BO983" s="753">
        <v>10706</v>
      </c>
      <c r="BP983" s="752">
        <f>+BO983</f>
        <v>10706</v>
      </c>
      <c r="BQ983" s="753">
        <v>10706</v>
      </c>
      <c r="BR983" s="753">
        <v>10560</v>
      </c>
      <c r="BS983" s="753">
        <v>10560</v>
      </c>
      <c r="BT983" s="753">
        <v>10506</v>
      </c>
      <c r="BU983" s="752">
        <f>+BT983</f>
        <v>10506</v>
      </c>
      <c r="BV983" s="753">
        <v>10578</v>
      </c>
      <c r="BW983" s="753">
        <v>10731</v>
      </c>
      <c r="BX983" s="753">
        <v>10801</v>
      </c>
      <c r="BY983" s="753">
        <v>10605</v>
      </c>
      <c r="BZ983" s="752">
        <f>+BY983</f>
        <v>10605</v>
      </c>
      <c r="CA983" s="753">
        <v>10609</v>
      </c>
      <c r="CB983" s="753">
        <v>10609</v>
      </c>
      <c r="CC983" s="753">
        <v>10609</v>
      </c>
      <c r="CD983" s="3119">
        <v>10609</v>
      </c>
      <c r="CE983" s="752">
        <f>+CD983</f>
        <v>10609</v>
      </c>
      <c r="CF983" s="753">
        <v>10611</v>
      </c>
      <c r="CG983" s="753">
        <v>10611</v>
      </c>
      <c r="CH983" s="753">
        <v>10665</v>
      </c>
      <c r="CI983" s="753">
        <v>10665</v>
      </c>
      <c r="CJ983" s="752">
        <f>+CI983</f>
        <v>10665</v>
      </c>
      <c r="CK983" s="3543">
        <v>10963</v>
      </c>
      <c r="CL983" s="3543">
        <v>11101</v>
      </c>
      <c r="CM983" s="3543">
        <v>13604</v>
      </c>
      <c r="CN983" s="3543">
        <v>11249</v>
      </c>
      <c r="CO983" s="752">
        <f t="shared" ref="CO983:CO984" si="1506">+CN983</f>
        <v>11249</v>
      </c>
      <c r="CP983" s="750">
        <f t="shared" ref="CP983:CS985" si="1507">CO983</f>
        <v>11249</v>
      </c>
      <c r="CQ983" s="750">
        <f t="shared" si="1507"/>
        <v>11249</v>
      </c>
      <c r="CR983" s="750">
        <f t="shared" si="1507"/>
        <v>11249</v>
      </c>
      <c r="CS983" s="750">
        <f t="shared" si="1507"/>
        <v>11249</v>
      </c>
      <c r="CT983" s="752">
        <f t="shared" ref="CT983:CV984" si="1508">+CS983</f>
        <v>11249</v>
      </c>
      <c r="CU983" s="752">
        <f t="shared" si="1508"/>
        <v>11249</v>
      </c>
      <c r="CV983" s="752">
        <f t="shared" si="1508"/>
        <v>11249</v>
      </c>
      <c r="CW983" s="234"/>
      <c r="CX983" s="234"/>
      <c r="CY983" s="234"/>
      <c r="CZ983" s="234"/>
      <c r="DA983" s="234"/>
      <c r="DB983" s="217"/>
      <c r="DC983" s="212"/>
      <c r="DD983" s="234"/>
    </row>
    <row r="984" spans="1:108" s="207" customFormat="1" x14ac:dyDescent="0.2">
      <c r="A984" s="1264" t="s">
        <v>767</v>
      </c>
      <c r="B984" s="750"/>
      <c r="C984" s="1241"/>
      <c r="D984" s="750"/>
      <c r="E984" s="750"/>
      <c r="F984" s="750"/>
      <c r="G984" s="758"/>
      <c r="H984" s="1241"/>
      <c r="I984" s="3116"/>
      <c r="J984" s="3116"/>
      <c r="K984" s="3116"/>
      <c r="L984" s="776"/>
      <c r="M984" s="752"/>
      <c r="N984" s="3116"/>
      <c r="O984" s="3116"/>
      <c r="P984" s="3116"/>
      <c r="Q984" s="758"/>
      <c r="R984" s="752"/>
      <c r="S984" s="750"/>
      <c r="T984" s="750"/>
      <c r="U984" s="750"/>
      <c r="V984" s="751"/>
      <c r="W984" s="752"/>
      <c r="X984" s="750"/>
      <c r="Y984" s="750"/>
      <c r="Z984" s="750"/>
      <c r="AA984" s="758"/>
      <c r="AB984" s="752"/>
      <c r="AC984" s="750"/>
      <c r="AD984" s="750"/>
      <c r="AE984" s="750"/>
      <c r="AF984" s="758"/>
      <c r="AG984" s="752"/>
      <c r="AH984" s="750"/>
      <c r="AI984" s="750"/>
      <c r="AJ984" s="750"/>
      <c r="AK984" s="751"/>
      <c r="AL984" s="752"/>
      <c r="AM984" s="750"/>
      <c r="AN984" s="750"/>
      <c r="AO984" s="750"/>
      <c r="AP984" s="751"/>
      <c r="AQ984" s="752"/>
      <c r="AR984" s="750"/>
      <c r="AS984" s="750"/>
      <c r="AT984" s="750"/>
      <c r="AU984" s="751"/>
      <c r="AV984" s="752"/>
      <c r="AW984" s="750"/>
      <c r="AX984" s="750"/>
      <c r="AY984" s="750"/>
      <c r="AZ984" s="758"/>
      <c r="BA984" s="752"/>
      <c r="BB984" s="750"/>
      <c r="BC984" s="750"/>
      <c r="BD984" s="750"/>
      <c r="BE984" s="751"/>
      <c r="BF984" s="752"/>
      <c r="BG984" s="753">
        <v>2118</v>
      </c>
      <c r="BH984" s="753">
        <v>2106</v>
      </c>
      <c r="BI984" s="753">
        <v>2106</v>
      </c>
      <c r="BJ984" s="754">
        <v>2304</v>
      </c>
      <c r="BK984" s="752"/>
      <c r="BL984" s="753">
        <v>2304</v>
      </c>
      <c r="BM984" s="753">
        <v>2304</v>
      </c>
      <c r="BN984" s="753">
        <v>2304</v>
      </c>
      <c r="BO984" s="753">
        <v>2323</v>
      </c>
      <c r="BP984" s="752">
        <f>+BO984</f>
        <v>2323</v>
      </c>
      <c r="BQ984" s="753">
        <v>2296</v>
      </c>
      <c r="BR984" s="753">
        <v>2296</v>
      </c>
      <c r="BS984" s="753">
        <v>2296</v>
      </c>
      <c r="BT984" s="753">
        <v>2296</v>
      </c>
      <c r="BU984" s="752">
        <f>+BT984</f>
        <v>2296</v>
      </c>
      <c r="BV984" s="753">
        <v>2323</v>
      </c>
      <c r="BW984" s="753">
        <v>2323</v>
      </c>
      <c r="BX984" s="753">
        <v>2323</v>
      </c>
      <c r="BY984" s="753">
        <v>2261</v>
      </c>
      <c r="BZ984" s="752">
        <f>+BY984</f>
        <v>2261</v>
      </c>
      <c r="CA984" s="753">
        <v>2267</v>
      </c>
      <c r="CB984" s="753">
        <v>2267</v>
      </c>
      <c r="CC984" s="753">
        <v>2267</v>
      </c>
      <c r="CD984" s="3119">
        <v>2267</v>
      </c>
      <c r="CE984" s="752">
        <f>+CD984</f>
        <v>2267</v>
      </c>
      <c r="CF984" s="753">
        <v>2278</v>
      </c>
      <c r="CG984" s="753">
        <v>2278</v>
      </c>
      <c r="CH984" s="753">
        <v>2355</v>
      </c>
      <c r="CI984" s="753">
        <v>2355</v>
      </c>
      <c r="CJ984" s="752">
        <f>+CI984</f>
        <v>2355</v>
      </c>
      <c r="CK984" s="3543">
        <v>2355</v>
      </c>
      <c r="CL984" s="3543">
        <v>2355</v>
      </c>
      <c r="CM984" s="3543">
        <v>2355</v>
      </c>
      <c r="CN984" s="3543">
        <v>2406</v>
      </c>
      <c r="CO984" s="752">
        <f t="shared" si="1506"/>
        <v>2406</v>
      </c>
      <c r="CP984" s="750">
        <f t="shared" si="1507"/>
        <v>2406</v>
      </c>
      <c r="CQ984" s="750">
        <f t="shared" si="1507"/>
        <v>2406</v>
      </c>
      <c r="CR984" s="750">
        <f t="shared" si="1507"/>
        <v>2406</v>
      </c>
      <c r="CS984" s="750">
        <f t="shared" si="1507"/>
        <v>2406</v>
      </c>
      <c r="CT984" s="752">
        <f t="shared" si="1508"/>
        <v>2406</v>
      </c>
      <c r="CU984" s="752">
        <f t="shared" si="1508"/>
        <v>2406</v>
      </c>
      <c r="CV984" s="752">
        <f t="shared" si="1508"/>
        <v>2406</v>
      </c>
      <c r="CW984" s="234"/>
      <c r="CX984" s="234"/>
      <c r="CY984" s="234"/>
      <c r="CZ984" s="234"/>
      <c r="DA984" s="234"/>
      <c r="DB984" s="217"/>
      <c r="DC984" s="212"/>
      <c r="DD984" s="234"/>
    </row>
    <row r="985" spans="1:108" s="207" customFormat="1" x14ac:dyDescent="0.2">
      <c r="A985" s="2632" t="s">
        <v>2383</v>
      </c>
      <c r="B985" s="750"/>
      <c r="C985" s="1241"/>
      <c r="D985" s="750"/>
      <c r="E985" s="750"/>
      <c r="F985" s="750"/>
      <c r="G985" s="758"/>
      <c r="H985" s="1241"/>
      <c r="I985" s="3116"/>
      <c r="J985" s="3116"/>
      <c r="K985" s="3116"/>
      <c r="L985" s="776"/>
      <c r="M985" s="752"/>
      <c r="N985" s="3116"/>
      <c r="O985" s="3116"/>
      <c r="P985" s="3116"/>
      <c r="Q985" s="758"/>
      <c r="R985" s="752"/>
      <c r="S985" s="750"/>
      <c r="T985" s="750"/>
      <c r="U985" s="750"/>
      <c r="V985" s="751"/>
      <c r="W985" s="752"/>
      <c r="X985" s="750"/>
      <c r="Y985" s="750"/>
      <c r="Z985" s="750"/>
      <c r="AA985" s="758"/>
      <c r="AB985" s="752"/>
      <c r="AC985" s="750"/>
      <c r="AD985" s="750"/>
      <c r="AE985" s="750"/>
      <c r="AF985" s="758"/>
      <c r="AG985" s="752"/>
      <c r="AH985" s="750"/>
      <c r="AI985" s="750"/>
      <c r="AJ985" s="750"/>
      <c r="AK985" s="751"/>
      <c r="AL985" s="752"/>
      <c r="AM985" s="750"/>
      <c r="AN985" s="750"/>
      <c r="AO985" s="750"/>
      <c r="AP985" s="751"/>
      <c r="AQ985" s="752"/>
      <c r="AR985" s="750"/>
      <c r="AS985" s="750"/>
      <c r="AT985" s="750"/>
      <c r="AU985" s="751"/>
      <c r="AV985" s="752"/>
      <c r="AW985" s="750"/>
      <c r="AX985" s="750"/>
      <c r="AY985" s="750"/>
      <c r="AZ985" s="758"/>
      <c r="BA985" s="752"/>
      <c r="BB985" s="750"/>
      <c r="BC985" s="750"/>
      <c r="BD985" s="750"/>
      <c r="BE985" s="751"/>
      <c r="BF985" s="752"/>
      <c r="BG985" s="753"/>
      <c r="BH985" s="753"/>
      <c r="BI985" s="753"/>
      <c r="BJ985" s="754"/>
      <c r="BK985" s="752"/>
      <c r="BL985" s="753"/>
      <c r="BM985" s="753"/>
      <c r="BN985" s="753"/>
      <c r="BO985" s="753"/>
      <c r="BP985" s="752"/>
      <c r="BQ985" s="753"/>
      <c r="BR985" s="753"/>
      <c r="BS985" s="753"/>
      <c r="BT985" s="753"/>
      <c r="BU985" s="752"/>
      <c r="BV985" s="753"/>
      <c r="BW985" s="753"/>
      <c r="BX985" s="753"/>
      <c r="BY985" s="753"/>
      <c r="BZ985" s="752"/>
      <c r="CA985" s="753"/>
      <c r="CB985" s="753"/>
      <c r="CC985" s="753"/>
      <c r="CD985" s="3119"/>
      <c r="CE985" s="752"/>
      <c r="CF985" s="753"/>
      <c r="CG985" s="753"/>
      <c r="CH985" s="753">
        <v>7682</v>
      </c>
      <c r="CI985" s="753">
        <v>7682</v>
      </c>
      <c r="CJ985" s="752">
        <f t="shared" ref="CJ985:CV985" si="1509">+CI985</f>
        <v>7682</v>
      </c>
      <c r="CK985" s="3543">
        <v>7634</v>
      </c>
      <c r="CL985" s="3543">
        <v>8267</v>
      </c>
      <c r="CM985" s="3543">
        <v>8283</v>
      </c>
      <c r="CN985" s="3543">
        <v>8499</v>
      </c>
      <c r="CO985" s="752">
        <f t="shared" si="1509"/>
        <v>8499</v>
      </c>
      <c r="CP985" s="750">
        <f t="shared" si="1507"/>
        <v>8499</v>
      </c>
      <c r="CQ985" s="750">
        <f t="shared" si="1507"/>
        <v>8499</v>
      </c>
      <c r="CR985" s="750">
        <f t="shared" si="1507"/>
        <v>8499</v>
      </c>
      <c r="CS985" s="750">
        <f t="shared" si="1507"/>
        <v>8499</v>
      </c>
      <c r="CT985" s="752">
        <f t="shared" si="1509"/>
        <v>8499</v>
      </c>
      <c r="CU985" s="752">
        <f t="shared" si="1509"/>
        <v>8499</v>
      </c>
      <c r="CV985" s="752">
        <f t="shared" si="1509"/>
        <v>8499</v>
      </c>
      <c r="CW985" s="234"/>
      <c r="CX985" s="234"/>
      <c r="CY985" s="234"/>
      <c r="CZ985" s="234"/>
      <c r="DA985" s="234"/>
      <c r="DB985" s="217"/>
      <c r="DC985" s="212"/>
      <c r="DD985" s="234"/>
    </row>
    <row r="986" spans="1:108" s="207" customFormat="1" x14ac:dyDescent="0.2">
      <c r="A986" s="1264" t="s">
        <v>760</v>
      </c>
      <c r="B986" s="750"/>
      <c r="C986" s="1241"/>
      <c r="D986" s="750"/>
      <c r="E986" s="750"/>
      <c r="F986" s="750"/>
      <c r="G986" s="758"/>
      <c r="H986" s="1241"/>
      <c r="I986" s="3116"/>
      <c r="J986" s="3116"/>
      <c r="K986" s="3116"/>
      <c r="L986" s="776"/>
      <c r="M986" s="752"/>
      <c r="N986" s="3116"/>
      <c r="O986" s="3116"/>
      <c r="P986" s="3116"/>
      <c r="Q986" s="758"/>
      <c r="R986" s="752"/>
      <c r="S986" s="750"/>
      <c r="T986" s="750"/>
      <c r="U986" s="750"/>
      <c r="V986" s="751"/>
      <c r="W986" s="752"/>
      <c r="X986" s="750"/>
      <c r="Y986" s="750"/>
      <c r="Z986" s="750"/>
      <c r="AA986" s="758"/>
      <c r="AB986" s="752"/>
      <c r="AC986" s="750"/>
      <c r="AD986" s="750"/>
      <c r="AE986" s="750"/>
      <c r="AF986" s="758"/>
      <c r="AG986" s="752"/>
      <c r="AH986" s="750"/>
      <c r="AI986" s="750"/>
      <c r="AJ986" s="750"/>
      <c r="AK986" s="751"/>
      <c r="AL986" s="752"/>
      <c r="AM986" s="750"/>
      <c r="AN986" s="750"/>
      <c r="AO986" s="750"/>
      <c r="AP986" s="751"/>
      <c r="AQ986" s="752"/>
      <c r="AR986" s="750"/>
      <c r="AS986" s="750"/>
      <c r="AT986" s="750"/>
      <c r="AU986" s="751"/>
      <c r="AV986" s="752"/>
      <c r="AW986" s="750"/>
      <c r="AX986" s="750"/>
      <c r="AY986" s="750"/>
      <c r="AZ986" s="758"/>
      <c r="BA986" s="752"/>
      <c r="BB986" s="750"/>
      <c r="BC986" s="750"/>
      <c r="BD986" s="750"/>
      <c r="BE986" s="751"/>
      <c r="BF986" s="752"/>
      <c r="BG986" s="753">
        <v>581</v>
      </c>
      <c r="BH986" s="753">
        <v>581</v>
      </c>
      <c r="BI986" s="753">
        <v>581</v>
      </c>
      <c r="BJ986" s="754"/>
      <c r="BK986" s="752"/>
      <c r="BL986" s="753"/>
      <c r="BM986" s="753"/>
      <c r="BN986" s="750"/>
      <c r="BO986" s="750"/>
      <c r="BP986" s="752"/>
      <c r="BQ986" s="753"/>
      <c r="BR986" s="750"/>
      <c r="BS986" s="750"/>
      <c r="BT986" s="750"/>
      <c r="BU986" s="752"/>
      <c r="BV986" s="753"/>
      <c r="BW986" s="750"/>
      <c r="BX986" s="750"/>
      <c r="BY986" s="750"/>
      <c r="BZ986" s="752"/>
      <c r="CA986" s="2405"/>
      <c r="CB986" s="750"/>
      <c r="CC986" s="750"/>
      <c r="CD986" s="750"/>
      <c r="CE986" s="752"/>
      <c r="CF986" s="750"/>
      <c r="CG986" s="750"/>
      <c r="CH986" s="750"/>
      <c r="CI986" s="750"/>
      <c r="CJ986" s="752"/>
      <c r="CK986" s="3540"/>
      <c r="CL986" s="750"/>
      <c r="CM986" s="750"/>
      <c r="CN986" s="750"/>
      <c r="CO986" s="752"/>
      <c r="CP986" s="750"/>
      <c r="CQ986" s="750"/>
      <c r="CR986" s="750"/>
      <c r="CS986" s="750"/>
      <c r="CT986" s="752"/>
      <c r="CU986" s="752"/>
      <c r="CV986" s="752"/>
      <c r="CW986" s="234"/>
      <c r="CX986" s="234"/>
      <c r="CY986" s="234"/>
      <c r="CZ986" s="234"/>
      <c r="DA986" s="234"/>
      <c r="DB986" s="217"/>
      <c r="DC986" s="212"/>
      <c r="DD986" s="234"/>
    </row>
    <row r="987" spans="1:108" s="207" customFormat="1" x14ac:dyDescent="0.2">
      <c r="A987" s="1264" t="s">
        <v>763</v>
      </c>
      <c r="B987" s="750"/>
      <c r="C987" s="1241"/>
      <c r="D987" s="750"/>
      <c r="E987" s="750"/>
      <c r="F987" s="750"/>
      <c r="G987" s="758"/>
      <c r="H987" s="1241"/>
      <c r="I987" s="3116"/>
      <c r="J987" s="3116"/>
      <c r="K987" s="3116"/>
      <c r="L987" s="776"/>
      <c r="M987" s="752"/>
      <c r="N987" s="3116"/>
      <c r="O987" s="3116"/>
      <c r="P987" s="3116"/>
      <c r="Q987" s="758"/>
      <c r="R987" s="752"/>
      <c r="S987" s="750"/>
      <c r="T987" s="750"/>
      <c r="U987" s="750"/>
      <c r="V987" s="751"/>
      <c r="W987" s="752"/>
      <c r="X987" s="750"/>
      <c r="Y987" s="750"/>
      <c r="Z987" s="750"/>
      <c r="AA987" s="758"/>
      <c r="AB987" s="752"/>
      <c r="AC987" s="750"/>
      <c r="AD987" s="750"/>
      <c r="AE987" s="750"/>
      <c r="AF987" s="758"/>
      <c r="AG987" s="752"/>
      <c r="AH987" s="750"/>
      <c r="AI987" s="750"/>
      <c r="AJ987" s="750"/>
      <c r="AK987" s="751"/>
      <c r="AL987" s="752"/>
      <c r="AM987" s="750"/>
      <c r="AN987" s="750"/>
      <c r="AO987" s="750"/>
      <c r="AP987" s="751"/>
      <c r="AQ987" s="752"/>
      <c r="AR987" s="750"/>
      <c r="AS987" s="750"/>
      <c r="AT987" s="750"/>
      <c r="AU987" s="751"/>
      <c r="AV987" s="752"/>
      <c r="AW987" s="750"/>
      <c r="AX987" s="750"/>
      <c r="AY987" s="750"/>
      <c r="AZ987" s="758"/>
      <c r="BA987" s="752"/>
      <c r="BB987" s="750"/>
      <c r="BC987" s="750"/>
      <c r="BD987" s="750"/>
      <c r="BE987" s="751"/>
      <c r="BF987" s="752"/>
      <c r="BG987" s="753">
        <v>148</v>
      </c>
      <c r="BH987" s="753">
        <v>133</v>
      </c>
      <c r="BI987" s="753">
        <v>133</v>
      </c>
      <c r="BJ987" s="754"/>
      <c r="BK987" s="752"/>
      <c r="BL987" s="753"/>
      <c r="BM987" s="753"/>
      <c r="BN987" s="750"/>
      <c r="BO987" s="750"/>
      <c r="BP987" s="752"/>
      <c r="BQ987" s="750"/>
      <c r="BR987" s="750"/>
      <c r="BS987" s="750"/>
      <c r="BT987" s="750"/>
      <c r="BU987" s="752"/>
      <c r="BV987" s="750"/>
      <c r="BW987" s="750"/>
      <c r="BX987" s="750"/>
      <c r="BY987" s="750"/>
      <c r="BZ987" s="752"/>
      <c r="CA987" s="2405"/>
      <c r="CB987" s="750"/>
      <c r="CC987" s="750"/>
      <c r="CD987" s="750"/>
      <c r="CE987" s="752"/>
      <c r="CF987" s="750"/>
      <c r="CG987" s="750"/>
      <c r="CH987" s="750"/>
      <c r="CI987" s="750"/>
      <c r="CJ987" s="752"/>
      <c r="CK987" s="3540"/>
      <c r="CL987" s="750"/>
      <c r="CM987" s="750"/>
      <c r="CN987" s="750"/>
      <c r="CO987" s="752"/>
      <c r="CP987" s="750"/>
      <c r="CQ987" s="750"/>
      <c r="CR987" s="750"/>
      <c r="CS987" s="750"/>
      <c r="CT987" s="752"/>
      <c r="CU987" s="752"/>
      <c r="CV987" s="752"/>
      <c r="CW987" s="234"/>
      <c r="CX987" s="234"/>
      <c r="CY987" s="234"/>
      <c r="CZ987" s="234"/>
      <c r="DA987" s="234"/>
      <c r="DB987" s="217"/>
      <c r="DC987" s="212"/>
      <c r="DD987" s="234"/>
    </row>
    <row r="988" spans="1:108" s="207" customFormat="1" x14ac:dyDescent="0.2">
      <c r="A988" s="1264" t="s">
        <v>761</v>
      </c>
      <c r="B988" s="750"/>
      <c r="C988" s="1241"/>
      <c r="D988" s="750"/>
      <c r="E988" s="750"/>
      <c r="F988" s="750"/>
      <c r="G988" s="758"/>
      <c r="H988" s="1241"/>
      <c r="I988" s="3116"/>
      <c r="J988" s="3116"/>
      <c r="K988" s="3116"/>
      <c r="L988" s="776"/>
      <c r="M988" s="752"/>
      <c r="N988" s="3116"/>
      <c r="O988" s="3116"/>
      <c r="P988" s="3116"/>
      <c r="Q988" s="758"/>
      <c r="R988" s="752"/>
      <c r="S988" s="750"/>
      <c r="T988" s="750"/>
      <c r="U988" s="750"/>
      <c r="V988" s="751"/>
      <c r="W988" s="752"/>
      <c r="X988" s="750"/>
      <c r="Y988" s="750"/>
      <c r="Z988" s="750"/>
      <c r="AA988" s="758"/>
      <c r="AB988" s="752"/>
      <c r="AC988" s="750"/>
      <c r="AD988" s="750"/>
      <c r="AE988" s="750"/>
      <c r="AF988" s="758"/>
      <c r="AG988" s="752"/>
      <c r="AH988" s="750"/>
      <c r="AI988" s="750"/>
      <c r="AJ988" s="750"/>
      <c r="AK988" s="751"/>
      <c r="AL988" s="752"/>
      <c r="AM988" s="750"/>
      <c r="AN988" s="750"/>
      <c r="AO988" s="750"/>
      <c r="AP988" s="751"/>
      <c r="AQ988" s="752"/>
      <c r="AR988" s="750"/>
      <c r="AS988" s="750"/>
      <c r="AT988" s="750"/>
      <c r="AU988" s="751"/>
      <c r="AV988" s="752"/>
      <c r="AW988" s="750"/>
      <c r="AX988" s="750"/>
      <c r="AY988" s="750"/>
      <c r="AZ988" s="758"/>
      <c r="BA988" s="752"/>
      <c r="BB988" s="750"/>
      <c r="BC988" s="750"/>
      <c r="BD988" s="750"/>
      <c r="BE988" s="751"/>
      <c r="BF988" s="752"/>
      <c r="BG988" s="753">
        <v>267</v>
      </c>
      <c r="BH988" s="753">
        <v>267</v>
      </c>
      <c r="BI988" s="753">
        <v>267</v>
      </c>
      <c r="BJ988" s="754"/>
      <c r="BK988" s="752"/>
      <c r="BL988" s="753"/>
      <c r="BM988" s="753"/>
      <c r="BN988" s="750"/>
      <c r="BO988" s="750"/>
      <c r="BP988" s="752"/>
      <c r="BQ988" s="750"/>
      <c r="BR988" s="750"/>
      <c r="BS988" s="750"/>
      <c r="BT988" s="750"/>
      <c r="BU988" s="752"/>
      <c r="BV988" s="750"/>
      <c r="BW988" s="750"/>
      <c r="BX988" s="750"/>
      <c r="BY988" s="750"/>
      <c r="BZ988" s="752"/>
      <c r="CA988" s="2405"/>
      <c r="CB988" s="750"/>
      <c r="CC988" s="750"/>
      <c r="CD988" s="750"/>
      <c r="CE988" s="752"/>
      <c r="CF988" s="750"/>
      <c r="CG988" s="750"/>
      <c r="CH988" s="750"/>
      <c r="CI988" s="750"/>
      <c r="CJ988" s="752"/>
      <c r="CK988" s="3540"/>
      <c r="CL988" s="750"/>
      <c r="CM988" s="750"/>
      <c r="CN988" s="750"/>
      <c r="CO988" s="752"/>
      <c r="CP988" s="750"/>
      <c r="CQ988" s="750"/>
      <c r="CR988" s="750"/>
      <c r="CS988" s="750"/>
      <c r="CT988" s="752"/>
      <c r="CU988" s="752"/>
      <c r="CV988" s="752"/>
      <c r="CW988" s="234"/>
      <c r="CX988" s="234"/>
      <c r="CY988" s="234"/>
      <c r="CZ988" s="234"/>
      <c r="DA988" s="234"/>
      <c r="DB988" s="217"/>
      <c r="DC988" s="212"/>
      <c r="DD988" s="234"/>
    </row>
    <row r="989" spans="1:108" s="207" customFormat="1" x14ac:dyDescent="0.2">
      <c r="A989" s="1264" t="s">
        <v>764</v>
      </c>
      <c r="B989" s="750"/>
      <c r="C989" s="1241"/>
      <c r="D989" s="750"/>
      <c r="E989" s="750"/>
      <c r="F989" s="750"/>
      <c r="G989" s="758"/>
      <c r="H989" s="1241"/>
      <c r="I989" s="3116"/>
      <c r="J989" s="3116"/>
      <c r="K989" s="3116"/>
      <c r="L989" s="776"/>
      <c r="M989" s="752"/>
      <c r="N989" s="3116"/>
      <c r="O989" s="3116"/>
      <c r="P989" s="3116"/>
      <c r="Q989" s="758"/>
      <c r="R989" s="752"/>
      <c r="S989" s="750"/>
      <c r="T989" s="750"/>
      <c r="U989" s="750"/>
      <c r="V989" s="751"/>
      <c r="W989" s="752"/>
      <c r="X989" s="750"/>
      <c r="Y989" s="750"/>
      <c r="Z989" s="750"/>
      <c r="AA989" s="758"/>
      <c r="AB989" s="752"/>
      <c r="AC989" s="750"/>
      <c r="AD989" s="750"/>
      <c r="AE989" s="750"/>
      <c r="AF989" s="758"/>
      <c r="AG989" s="752"/>
      <c r="AH989" s="750"/>
      <c r="AI989" s="750"/>
      <c r="AJ989" s="750"/>
      <c r="AK989" s="751"/>
      <c r="AL989" s="752"/>
      <c r="AM989" s="750"/>
      <c r="AN989" s="750"/>
      <c r="AO989" s="750"/>
      <c r="AP989" s="751"/>
      <c r="AQ989" s="752"/>
      <c r="AR989" s="750"/>
      <c r="AS989" s="750"/>
      <c r="AT989" s="750"/>
      <c r="AU989" s="751"/>
      <c r="AV989" s="752"/>
      <c r="AW989" s="750"/>
      <c r="AX989" s="750"/>
      <c r="AY989" s="750"/>
      <c r="AZ989" s="758"/>
      <c r="BA989" s="752"/>
      <c r="BB989" s="750"/>
      <c r="BC989" s="750"/>
      <c r="BD989" s="750"/>
      <c r="BE989" s="751"/>
      <c r="BF989" s="752"/>
      <c r="BG989" s="753">
        <v>49</v>
      </c>
      <c r="BH989" s="753">
        <v>49</v>
      </c>
      <c r="BI989" s="753">
        <v>49</v>
      </c>
      <c r="BJ989" s="754"/>
      <c r="BK989" s="752"/>
      <c r="BL989" s="753"/>
      <c r="BM989" s="753"/>
      <c r="BN989" s="750"/>
      <c r="BO989" s="750"/>
      <c r="BP989" s="752"/>
      <c r="BQ989" s="750"/>
      <c r="BR989" s="750"/>
      <c r="BS989" s="750"/>
      <c r="BT989" s="750"/>
      <c r="BU989" s="752"/>
      <c r="BV989" s="750"/>
      <c r="BW989" s="750"/>
      <c r="BX989" s="750"/>
      <c r="BY989" s="750"/>
      <c r="BZ989" s="752"/>
      <c r="CA989" s="2405"/>
      <c r="CB989" s="750"/>
      <c r="CC989" s="750"/>
      <c r="CD989" s="750"/>
      <c r="CE989" s="752"/>
      <c r="CF989" s="750"/>
      <c r="CG989" s="750"/>
      <c r="CH989" s="750"/>
      <c r="CI989" s="750"/>
      <c r="CJ989" s="752"/>
      <c r="CK989" s="3540"/>
      <c r="CL989" s="750"/>
      <c r="CM989" s="750"/>
      <c r="CN989" s="750"/>
      <c r="CO989" s="752"/>
      <c r="CP989" s="750"/>
      <c r="CQ989" s="750"/>
      <c r="CR989" s="750"/>
      <c r="CS989" s="750"/>
      <c r="CT989" s="752"/>
      <c r="CU989" s="752"/>
      <c r="CV989" s="752"/>
      <c r="CW989" s="234"/>
      <c r="CX989" s="234"/>
      <c r="CY989" s="234"/>
      <c r="CZ989" s="234"/>
      <c r="DA989" s="234"/>
      <c r="DB989" s="217"/>
      <c r="DC989" s="212"/>
      <c r="DD989" s="234"/>
    </row>
    <row r="990" spans="1:108" s="207" customFormat="1" x14ac:dyDescent="0.2">
      <c r="A990" s="2632" t="s">
        <v>2656</v>
      </c>
      <c r="B990" s="750"/>
      <c r="C990" s="1241"/>
      <c r="D990" s="750"/>
      <c r="E990" s="750"/>
      <c r="F990" s="750"/>
      <c r="G990" s="758"/>
      <c r="H990" s="1241"/>
      <c r="I990" s="3116"/>
      <c r="J990" s="3116"/>
      <c r="K990" s="3116"/>
      <c r="L990" s="776"/>
      <c r="M990" s="752"/>
      <c r="N990" s="3116"/>
      <c r="O990" s="3116"/>
      <c r="P990" s="3116"/>
      <c r="Q990" s="758"/>
      <c r="R990" s="752"/>
      <c r="S990" s="750"/>
      <c r="T990" s="750"/>
      <c r="U990" s="750"/>
      <c r="V990" s="751"/>
      <c r="W990" s="752"/>
      <c r="X990" s="750"/>
      <c r="Y990" s="750"/>
      <c r="Z990" s="750"/>
      <c r="AA990" s="758"/>
      <c r="AB990" s="752"/>
      <c r="AC990" s="750"/>
      <c r="AD990" s="750"/>
      <c r="AE990" s="750"/>
      <c r="AF990" s="758"/>
      <c r="AG990" s="752"/>
      <c r="AH990" s="750"/>
      <c r="AI990" s="750"/>
      <c r="AJ990" s="750"/>
      <c r="AK990" s="751"/>
      <c r="AL990" s="752"/>
      <c r="AM990" s="750"/>
      <c r="AN990" s="750"/>
      <c r="AO990" s="750"/>
      <c r="AP990" s="751"/>
      <c r="AQ990" s="752"/>
      <c r="AR990" s="750"/>
      <c r="AS990" s="750"/>
      <c r="AT990" s="750"/>
      <c r="AU990" s="751"/>
      <c r="AV990" s="752"/>
      <c r="AW990" s="750"/>
      <c r="AX990" s="750"/>
      <c r="AY990" s="750"/>
      <c r="AZ990" s="758"/>
      <c r="BA990" s="752"/>
      <c r="BB990" s="750"/>
      <c r="BC990" s="750"/>
      <c r="BD990" s="750"/>
      <c r="BE990" s="751"/>
      <c r="BF990" s="752"/>
      <c r="BG990" s="753"/>
      <c r="BH990" s="753"/>
      <c r="BI990" s="753"/>
      <c r="BJ990" s="754"/>
      <c r="BK990" s="752"/>
      <c r="BL990" s="753"/>
      <c r="BM990" s="753"/>
      <c r="BN990" s="750"/>
      <c r="BO990" s="750"/>
      <c r="BP990" s="752"/>
      <c r="BQ990" s="750"/>
      <c r="BR990" s="750"/>
      <c r="BS990" s="750"/>
      <c r="BT990" s="750"/>
      <c r="BU990" s="752"/>
      <c r="BV990" s="750"/>
      <c r="BW990" s="750"/>
      <c r="BX990" s="750"/>
      <c r="BY990" s="750"/>
      <c r="BZ990" s="752"/>
      <c r="CA990" s="2405"/>
      <c r="CB990" s="750"/>
      <c r="CC990" s="750"/>
      <c r="CD990" s="750"/>
      <c r="CE990" s="752"/>
      <c r="CF990" s="750"/>
      <c r="CG990" s="750"/>
      <c r="CH990" s="3119">
        <v>25</v>
      </c>
      <c r="CI990" s="3119">
        <v>25</v>
      </c>
      <c r="CJ990" s="752">
        <f t="shared" ref="CJ990:CV990" si="1510">+CI990</f>
        <v>25</v>
      </c>
      <c r="CK990" s="3543">
        <v>25</v>
      </c>
      <c r="CL990" s="3543">
        <v>25</v>
      </c>
      <c r="CM990" s="3543">
        <v>25</v>
      </c>
      <c r="CN990" s="3543">
        <v>25</v>
      </c>
      <c r="CO990" s="752">
        <f t="shared" si="1510"/>
        <v>25</v>
      </c>
      <c r="CP990" s="750">
        <f t="shared" ref="CP990:CS993" si="1511">CO990</f>
        <v>25</v>
      </c>
      <c r="CQ990" s="750">
        <f t="shared" si="1511"/>
        <v>25</v>
      </c>
      <c r="CR990" s="750">
        <f t="shared" si="1511"/>
        <v>25</v>
      </c>
      <c r="CS990" s="750">
        <f t="shared" si="1511"/>
        <v>25</v>
      </c>
      <c r="CT990" s="752">
        <f t="shared" si="1510"/>
        <v>25</v>
      </c>
      <c r="CU990" s="752">
        <f t="shared" si="1510"/>
        <v>25</v>
      </c>
      <c r="CV990" s="752">
        <f t="shared" si="1510"/>
        <v>25</v>
      </c>
      <c r="CW990" s="234"/>
      <c r="CX990" s="234"/>
      <c r="CY990" s="234"/>
      <c r="CZ990" s="234"/>
      <c r="DA990" s="234"/>
      <c r="DB990" s="217"/>
      <c r="DC990" s="212"/>
      <c r="DD990" s="234"/>
    </row>
    <row r="991" spans="1:108" s="207" customFormat="1" x14ac:dyDescent="0.2">
      <c r="A991" s="2632" t="s">
        <v>2657</v>
      </c>
      <c r="B991" s="750"/>
      <c r="C991" s="1241"/>
      <c r="D991" s="750"/>
      <c r="E991" s="750"/>
      <c r="F991" s="750"/>
      <c r="G991" s="758"/>
      <c r="H991" s="1241"/>
      <c r="I991" s="3116"/>
      <c r="J991" s="3116"/>
      <c r="K991" s="3116"/>
      <c r="L991" s="776"/>
      <c r="M991" s="752"/>
      <c r="N991" s="3116"/>
      <c r="O991" s="3116"/>
      <c r="P991" s="3116"/>
      <c r="Q991" s="758"/>
      <c r="R991" s="752"/>
      <c r="S991" s="750"/>
      <c r="T991" s="750"/>
      <c r="U991" s="750"/>
      <c r="V991" s="751"/>
      <c r="W991" s="752"/>
      <c r="X991" s="750"/>
      <c r="Y991" s="750"/>
      <c r="Z991" s="750"/>
      <c r="AA991" s="758"/>
      <c r="AB991" s="752"/>
      <c r="AC991" s="750"/>
      <c r="AD991" s="750"/>
      <c r="AE991" s="750"/>
      <c r="AF991" s="758"/>
      <c r="AG991" s="752"/>
      <c r="AH991" s="750"/>
      <c r="AI991" s="750"/>
      <c r="AJ991" s="750"/>
      <c r="AK991" s="751"/>
      <c r="AL991" s="752"/>
      <c r="AM991" s="750"/>
      <c r="AN991" s="750"/>
      <c r="AO991" s="750"/>
      <c r="AP991" s="751"/>
      <c r="AQ991" s="752"/>
      <c r="AR991" s="750"/>
      <c r="AS991" s="750"/>
      <c r="AT991" s="750"/>
      <c r="AU991" s="751"/>
      <c r="AV991" s="752"/>
      <c r="AW991" s="750"/>
      <c r="AX991" s="750"/>
      <c r="AY991" s="750"/>
      <c r="AZ991" s="758"/>
      <c r="BA991" s="752"/>
      <c r="BB991" s="750"/>
      <c r="BC991" s="750"/>
      <c r="BD991" s="750"/>
      <c r="BE991" s="751"/>
      <c r="BF991" s="752"/>
      <c r="BG991" s="753"/>
      <c r="BH991" s="753"/>
      <c r="BI991" s="753"/>
      <c r="BJ991" s="754"/>
      <c r="BK991" s="752"/>
      <c r="BL991" s="753"/>
      <c r="BM991" s="753"/>
      <c r="BN991" s="750"/>
      <c r="BO991" s="750"/>
      <c r="BP991" s="752"/>
      <c r="BQ991" s="750"/>
      <c r="BR991" s="750"/>
      <c r="BS991" s="750"/>
      <c r="BT991" s="750"/>
      <c r="BU991" s="752"/>
      <c r="BV991" s="750"/>
      <c r="BW991" s="750"/>
      <c r="BX991" s="750"/>
      <c r="BY991" s="750"/>
      <c r="BZ991" s="752"/>
      <c r="CA991" s="2405"/>
      <c r="CB991" s="750"/>
      <c r="CC991" s="750"/>
      <c r="CD991" s="750"/>
      <c r="CE991" s="752"/>
      <c r="CF991" s="750"/>
      <c r="CG991" s="750"/>
      <c r="CH991" s="3119">
        <v>5</v>
      </c>
      <c r="CI991" s="3119">
        <v>5</v>
      </c>
      <c r="CJ991" s="752">
        <f t="shared" ref="CJ991:CV991" si="1512">+CI991</f>
        <v>5</v>
      </c>
      <c r="CK991" s="3543">
        <v>5</v>
      </c>
      <c r="CL991" s="3543">
        <v>5</v>
      </c>
      <c r="CM991" s="3543">
        <v>5</v>
      </c>
      <c r="CN991" s="3543">
        <v>5</v>
      </c>
      <c r="CO991" s="752">
        <f t="shared" si="1512"/>
        <v>5</v>
      </c>
      <c r="CP991" s="750">
        <f t="shared" si="1511"/>
        <v>5</v>
      </c>
      <c r="CQ991" s="750">
        <f t="shared" si="1511"/>
        <v>5</v>
      </c>
      <c r="CR991" s="750">
        <f t="shared" si="1511"/>
        <v>5</v>
      </c>
      <c r="CS991" s="750">
        <f t="shared" si="1511"/>
        <v>5</v>
      </c>
      <c r="CT991" s="752">
        <f t="shared" si="1512"/>
        <v>5</v>
      </c>
      <c r="CU991" s="752">
        <f t="shared" si="1512"/>
        <v>5</v>
      </c>
      <c r="CV991" s="752">
        <f t="shared" si="1512"/>
        <v>5</v>
      </c>
      <c r="CW991" s="234"/>
      <c r="CX991" s="234"/>
      <c r="CY991" s="234"/>
      <c r="CZ991" s="234"/>
      <c r="DA991" s="234"/>
      <c r="DB991" s="217"/>
      <c r="DC991" s="212"/>
      <c r="DD991" s="234"/>
    </row>
    <row r="992" spans="1:108" s="207" customFormat="1" x14ac:dyDescent="0.2">
      <c r="A992" s="2632" t="s">
        <v>2658</v>
      </c>
      <c r="B992" s="750"/>
      <c r="C992" s="1241"/>
      <c r="D992" s="750"/>
      <c r="E992" s="750"/>
      <c r="F992" s="750"/>
      <c r="G992" s="758"/>
      <c r="H992" s="1241"/>
      <c r="I992" s="3116"/>
      <c r="J992" s="3116"/>
      <c r="K992" s="3116"/>
      <c r="L992" s="776"/>
      <c r="M992" s="752"/>
      <c r="N992" s="3116"/>
      <c r="O992" s="3116"/>
      <c r="P992" s="3116"/>
      <c r="Q992" s="758"/>
      <c r="R992" s="752"/>
      <c r="S992" s="750"/>
      <c r="T992" s="750"/>
      <c r="U992" s="750"/>
      <c r="V992" s="751"/>
      <c r="W992" s="752"/>
      <c r="X992" s="750"/>
      <c r="Y992" s="750"/>
      <c r="Z992" s="750"/>
      <c r="AA992" s="758"/>
      <c r="AB992" s="752"/>
      <c r="AC992" s="750"/>
      <c r="AD992" s="750"/>
      <c r="AE992" s="750"/>
      <c r="AF992" s="758"/>
      <c r="AG992" s="752"/>
      <c r="AH992" s="750"/>
      <c r="AI992" s="750"/>
      <c r="AJ992" s="750"/>
      <c r="AK992" s="751"/>
      <c r="AL992" s="752"/>
      <c r="AM992" s="750"/>
      <c r="AN992" s="750"/>
      <c r="AO992" s="750"/>
      <c r="AP992" s="751"/>
      <c r="AQ992" s="752"/>
      <c r="AR992" s="750"/>
      <c r="AS992" s="750"/>
      <c r="AT992" s="750"/>
      <c r="AU992" s="751"/>
      <c r="AV992" s="752"/>
      <c r="AW992" s="750"/>
      <c r="AX992" s="750"/>
      <c r="AY992" s="750"/>
      <c r="AZ992" s="758"/>
      <c r="BA992" s="752"/>
      <c r="BB992" s="750"/>
      <c r="BC992" s="750"/>
      <c r="BD992" s="750"/>
      <c r="BE992" s="751"/>
      <c r="BF992" s="752"/>
      <c r="BG992" s="753"/>
      <c r="BH992" s="753"/>
      <c r="BI992" s="753"/>
      <c r="BJ992" s="754"/>
      <c r="BK992" s="752"/>
      <c r="BL992" s="753"/>
      <c r="BM992" s="753"/>
      <c r="BN992" s="750"/>
      <c r="BO992" s="750"/>
      <c r="BP992" s="752"/>
      <c r="BQ992" s="750"/>
      <c r="BR992" s="750"/>
      <c r="BS992" s="750"/>
      <c r="BT992" s="750"/>
      <c r="BU992" s="752"/>
      <c r="BV992" s="750"/>
      <c r="BW992" s="750"/>
      <c r="BX992" s="750"/>
      <c r="BY992" s="750"/>
      <c r="BZ992" s="752"/>
      <c r="CA992" s="2405"/>
      <c r="CB992" s="750"/>
      <c r="CC992" s="750"/>
      <c r="CD992" s="750"/>
      <c r="CE992" s="752"/>
      <c r="CF992" s="750"/>
      <c r="CG992" s="750"/>
      <c r="CH992" s="3119">
        <v>579</v>
      </c>
      <c r="CI992" s="3119">
        <v>697</v>
      </c>
      <c r="CJ992" s="752">
        <f t="shared" ref="CJ992:CV992" si="1513">+CI992</f>
        <v>697</v>
      </c>
      <c r="CK992" s="3543">
        <v>697</v>
      </c>
      <c r="CL992" s="3543">
        <v>697</v>
      </c>
      <c r="CM992" s="3543">
        <v>697</v>
      </c>
      <c r="CN992" s="3543">
        <v>697</v>
      </c>
      <c r="CO992" s="752">
        <f t="shared" si="1513"/>
        <v>697</v>
      </c>
      <c r="CP992" s="750">
        <f t="shared" si="1511"/>
        <v>697</v>
      </c>
      <c r="CQ992" s="750">
        <f t="shared" si="1511"/>
        <v>697</v>
      </c>
      <c r="CR992" s="750">
        <f t="shared" si="1511"/>
        <v>697</v>
      </c>
      <c r="CS992" s="750">
        <f t="shared" si="1511"/>
        <v>697</v>
      </c>
      <c r="CT992" s="752">
        <f t="shared" si="1513"/>
        <v>697</v>
      </c>
      <c r="CU992" s="752">
        <f t="shared" si="1513"/>
        <v>697</v>
      </c>
      <c r="CV992" s="752">
        <f t="shared" si="1513"/>
        <v>697</v>
      </c>
      <c r="CW992" s="234"/>
      <c r="CX992" s="234"/>
      <c r="CY992" s="234"/>
      <c r="CZ992" s="234"/>
      <c r="DA992" s="234"/>
      <c r="DB992" s="217"/>
      <c r="DC992" s="212"/>
      <c r="DD992" s="234"/>
    </row>
    <row r="993" spans="1:256" s="207" customFormat="1" x14ac:dyDescent="0.2">
      <c r="A993" s="1264" t="s">
        <v>766</v>
      </c>
      <c r="B993" s="750"/>
      <c r="C993" s="1241"/>
      <c r="D993" s="750"/>
      <c r="E993" s="750"/>
      <c r="F993" s="750"/>
      <c r="G993" s="758"/>
      <c r="H993" s="1241"/>
      <c r="I993" s="3116"/>
      <c r="J993" s="3116"/>
      <c r="K993" s="3116"/>
      <c r="L993" s="776"/>
      <c r="M993" s="752"/>
      <c r="N993" s="3116"/>
      <c r="O993" s="3116"/>
      <c r="P993" s="3116"/>
      <c r="Q993" s="758"/>
      <c r="R993" s="752"/>
      <c r="S993" s="750"/>
      <c r="T993" s="750"/>
      <c r="U993" s="750"/>
      <c r="V993" s="751"/>
      <c r="W993" s="752"/>
      <c r="X993" s="750"/>
      <c r="Y993" s="750"/>
      <c r="Z993" s="750"/>
      <c r="AA993" s="758"/>
      <c r="AB993" s="752"/>
      <c r="AC993" s="750"/>
      <c r="AD993" s="750"/>
      <c r="AE993" s="750"/>
      <c r="AF993" s="758"/>
      <c r="AG993" s="752"/>
      <c r="AH993" s="750"/>
      <c r="AI993" s="750"/>
      <c r="AJ993" s="750"/>
      <c r="AK993" s="751"/>
      <c r="AL993" s="752"/>
      <c r="AM993" s="750"/>
      <c r="AN993" s="750"/>
      <c r="AO993" s="750"/>
      <c r="AP993" s="751"/>
      <c r="AQ993" s="752"/>
      <c r="AR993" s="750"/>
      <c r="AS993" s="750"/>
      <c r="AT993" s="750"/>
      <c r="AU993" s="751"/>
      <c r="AV993" s="752"/>
      <c r="AW993" s="750"/>
      <c r="AX993" s="750"/>
      <c r="AY993" s="750"/>
      <c r="AZ993" s="758"/>
      <c r="BA993" s="752"/>
      <c r="BB993" s="750"/>
      <c r="BC993" s="750"/>
      <c r="BD993" s="750"/>
      <c r="BE993" s="751"/>
      <c r="BF993" s="752"/>
      <c r="BG993" s="753">
        <v>112</v>
      </c>
      <c r="BH993" s="753">
        <v>271</v>
      </c>
      <c r="BI993" s="753">
        <v>271</v>
      </c>
      <c r="BJ993" s="754">
        <v>329</v>
      </c>
      <c r="BK993" s="752"/>
      <c r="BL993" s="753">
        <v>329</v>
      </c>
      <c r="BM993" s="753">
        <v>329</v>
      </c>
      <c r="BN993" s="753">
        <v>329</v>
      </c>
      <c r="BO993" s="753">
        <v>329</v>
      </c>
      <c r="BP993" s="752">
        <f>+BO993</f>
        <v>329</v>
      </c>
      <c r="BQ993" s="753">
        <v>469</v>
      </c>
      <c r="BR993" s="753">
        <v>469</v>
      </c>
      <c r="BS993" s="753">
        <v>469</v>
      </c>
      <c r="BT993" s="753">
        <v>630</v>
      </c>
      <c r="BU993" s="752">
        <f>+BT993</f>
        <v>630</v>
      </c>
      <c r="BV993" s="753">
        <v>630</v>
      </c>
      <c r="BW993" s="753">
        <v>630</v>
      </c>
      <c r="BX993" s="753">
        <v>630</v>
      </c>
      <c r="BY993" s="753">
        <f>630+5</f>
        <v>635</v>
      </c>
      <c r="BZ993" s="752">
        <f>+BY993</f>
        <v>635</v>
      </c>
      <c r="CA993" s="753">
        <f>416+5</f>
        <v>421</v>
      </c>
      <c r="CB993" s="753">
        <v>421</v>
      </c>
      <c r="CC993" s="753">
        <v>421</v>
      </c>
      <c r="CD993" s="753">
        <v>421</v>
      </c>
      <c r="CE993" s="752">
        <f>+CD993</f>
        <v>421</v>
      </c>
      <c r="CF993" s="753">
        <f>416+5</f>
        <v>421</v>
      </c>
      <c r="CG993" s="753">
        <f>416+5</f>
        <v>421</v>
      </c>
      <c r="CH993" s="3119">
        <v>416</v>
      </c>
      <c r="CI993" s="3119">
        <v>416</v>
      </c>
      <c r="CJ993" s="752">
        <f>+CI993</f>
        <v>416</v>
      </c>
      <c r="CK993" s="3543">
        <v>416</v>
      </c>
      <c r="CL993" s="3543">
        <v>625</v>
      </c>
      <c r="CM993" s="3543">
        <v>625</v>
      </c>
      <c r="CN993" s="3543">
        <v>697</v>
      </c>
      <c r="CO993" s="752">
        <f t="shared" ref="CO993:CO994" si="1514">+CN993</f>
        <v>697</v>
      </c>
      <c r="CP993" s="750">
        <f t="shared" si="1511"/>
        <v>697</v>
      </c>
      <c r="CQ993" s="750">
        <f t="shared" si="1511"/>
        <v>697</v>
      </c>
      <c r="CR993" s="750">
        <f t="shared" si="1511"/>
        <v>697</v>
      </c>
      <c r="CS993" s="750">
        <f t="shared" si="1511"/>
        <v>697</v>
      </c>
      <c r="CT993" s="752">
        <f t="shared" ref="CT993:CV994" si="1515">+CS993</f>
        <v>697</v>
      </c>
      <c r="CU993" s="752">
        <f t="shared" si="1515"/>
        <v>697</v>
      </c>
      <c r="CV993" s="752">
        <f t="shared" si="1515"/>
        <v>697</v>
      </c>
      <c r="CW993" s="234"/>
      <c r="CX993" s="234"/>
      <c r="CY993" s="234"/>
      <c r="CZ993" s="234"/>
      <c r="DA993" s="234"/>
      <c r="DB993" s="217"/>
      <c r="DC993" s="212"/>
      <c r="DD993" s="234"/>
    </row>
    <row r="994" spans="1:256" s="207" customFormat="1" ht="15" x14ac:dyDescent="0.35">
      <c r="A994" s="1264" t="s">
        <v>765</v>
      </c>
      <c r="B994" s="750"/>
      <c r="C994" s="1241"/>
      <c r="D994" s="750"/>
      <c r="E994" s="750"/>
      <c r="F994" s="750"/>
      <c r="G994" s="758"/>
      <c r="H994" s="1241"/>
      <c r="I994" s="3116"/>
      <c r="J994" s="3116"/>
      <c r="K994" s="3116"/>
      <c r="L994" s="776"/>
      <c r="M994" s="752"/>
      <c r="N994" s="3116"/>
      <c r="O994" s="3116"/>
      <c r="P994" s="3116"/>
      <c r="Q994" s="758"/>
      <c r="R994" s="752"/>
      <c r="S994" s="750"/>
      <c r="T994" s="750"/>
      <c r="U994" s="750"/>
      <c r="V994" s="751"/>
      <c r="W994" s="752"/>
      <c r="X994" s="750"/>
      <c r="Y994" s="750"/>
      <c r="Z994" s="750"/>
      <c r="AA994" s="758"/>
      <c r="AB994" s="752"/>
      <c r="AC994" s="750"/>
      <c r="AD994" s="750"/>
      <c r="AE994" s="750"/>
      <c r="AF994" s="758"/>
      <c r="AG994" s="752"/>
      <c r="AH994" s="750"/>
      <c r="AI994" s="750"/>
      <c r="AJ994" s="750"/>
      <c r="AK994" s="751"/>
      <c r="AL994" s="752"/>
      <c r="AM994" s="750"/>
      <c r="AN994" s="750"/>
      <c r="AO994" s="750"/>
      <c r="AP994" s="751"/>
      <c r="AQ994" s="752"/>
      <c r="AR994" s="750"/>
      <c r="AS994" s="750"/>
      <c r="AT994" s="750"/>
      <c r="AU994" s="751"/>
      <c r="AV994" s="752"/>
      <c r="AW994" s="750"/>
      <c r="AX994" s="750"/>
      <c r="AY994" s="750"/>
      <c r="AZ994" s="758"/>
      <c r="BA994" s="752"/>
      <c r="BB994" s="750"/>
      <c r="BC994" s="750"/>
      <c r="BD994" s="750"/>
      <c r="BE994" s="751"/>
      <c r="BF994" s="752"/>
      <c r="BG994" s="762">
        <v>3197</v>
      </c>
      <c r="BH994" s="762">
        <v>3197</v>
      </c>
      <c r="BI994" s="762">
        <v>3509</v>
      </c>
      <c r="BJ994" s="3120">
        <v>3509</v>
      </c>
      <c r="BK994" s="752"/>
      <c r="BL994" s="762">
        <v>3509</v>
      </c>
      <c r="BM994" s="762">
        <v>3598</v>
      </c>
      <c r="BN994" s="762">
        <v>3598</v>
      </c>
      <c r="BO994" s="762">
        <v>3598</v>
      </c>
      <c r="BP994" s="761">
        <f>+BO994</f>
        <v>3598</v>
      </c>
      <c r="BQ994" s="762">
        <v>3598</v>
      </c>
      <c r="BR994" s="762">
        <v>3598</v>
      </c>
      <c r="BS994" s="762">
        <v>3598</v>
      </c>
      <c r="BT994" s="762">
        <v>3598</v>
      </c>
      <c r="BU994" s="761">
        <f>+BT994</f>
        <v>3598</v>
      </c>
      <c r="BV994" s="762">
        <v>3598</v>
      </c>
      <c r="BW994" s="762">
        <v>3598</v>
      </c>
      <c r="BX994" s="762">
        <v>3598</v>
      </c>
      <c r="BY994" s="762">
        <f>3598+25</f>
        <v>3623</v>
      </c>
      <c r="BZ994" s="761">
        <f>+BY994</f>
        <v>3623</v>
      </c>
      <c r="CA994" s="762">
        <f>3812+25</f>
        <v>3837</v>
      </c>
      <c r="CB994" s="762">
        <v>3837</v>
      </c>
      <c r="CC994" s="762">
        <v>3837</v>
      </c>
      <c r="CD994" s="762">
        <v>3837</v>
      </c>
      <c r="CE994" s="761">
        <f>+CD994</f>
        <v>3837</v>
      </c>
      <c r="CF994" s="762">
        <f>3812+25</f>
        <v>3837</v>
      </c>
      <c r="CG994" s="762">
        <v>4081</v>
      </c>
      <c r="CH994" s="762">
        <v>4788</v>
      </c>
      <c r="CI994" s="762">
        <f>4733+55</f>
        <v>4788</v>
      </c>
      <c r="CJ994" s="761">
        <f>+CI994</f>
        <v>4788</v>
      </c>
      <c r="CK994" s="3544">
        <v>4538</v>
      </c>
      <c r="CL994" s="3544">
        <v>5218</v>
      </c>
      <c r="CM994" s="3544">
        <f>5163+55</f>
        <v>5218</v>
      </c>
      <c r="CN994" s="3544">
        <v>5630</v>
      </c>
      <c r="CO994" s="761">
        <f t="shared" si="1514"/>
        <v>5630</v>
      </c>
      <c r="CP994" s="774">
        <f>+CO994</f>
        <v>5630</v>
      </c>
      <c r="CQ994" s="774">
        <f>+CP994</f>
        <v>5630</v>
      </c>
      <c r="CR994" s="774">
        <f>+CQ994</f>
        <v>5630</v>
      </c>
      <c r="CS994" s="774">
        <f>+CR994</f>
        <v>5630</v>
      </c>
      <c r="CT994" s="761">
        <f t="shared" si="1515"/>
        <v>5630</v>
      </c>
      <c r="CU994" s="761">
        <f t="shared" si="1515"/>
        <v>5630</v>
      </c>
      <c r="CV994" s="761">
        <f t="shared" si="1515"/>
        <v>5630</v>
      </c>
      <c r="CW994" s="234"/>
      <c r="CX994" s="234"/>
      <c r="CY994" s="234"/>
      <c r="CZ994" s="234"/>
      <c r="DA994" s="234"/>
      <c r="DB994" s="217"/>
      <c r="DC994" s="212"/>
      <c r="DD994" s="234"/>
    </row>
    <row r="995" spans="1:256" s="207" customFormat="1" x14ac:dyDescent="0.2">
      <c r="A995" s="1264" t="s">
        <v>76</v>
      </c>
      <c r="B995" s="750"/>
      <c r="C995" s="1241"/>
      <c r="D995" s="750"/>
      <c r="E995" s="750"/>
      <c r="F995" s="750"/>
      <c r="G995" s="758"/>
      <c r="H995" s="1241"/>
      <c r="I995" s="3116"/>
      <c r="J995" s="3116"/>
      <c r="K995" s="3116"/>
      <c r="L995" s="776"/>
      <c r="M995" s="752"/>
      <c r="N995" s="3116"/>
      <c r="O995" s="3116"/>
      <c r="P995" s="3116"/>
      <c r="Q995" s="758"/>
      <c r="R995" s="752"/>
      <c r="S995" s="750"/>
      <c r="T995" s="750"/>
      <c r="U995" s="750"/>
      <c r="V995" s="751"/>
      <c r="W995" s="752"/>
      <c r="X995" s="750"/>
      <c r="Y995" s="750"/>
      <c r="Z995" s="750"/>
      <c r="AA995" s="758"/>
      <c r="AB995" s="752"/>
      <c r="AC995" s="750"/>
      <c r="AD995" s="750"/>
      <c r="AE995" s="750"/>
      <c r="AF995" s="758"/>
      <c r="AG995" s="752"/>
      <c r="AH995" s="750"/>
      <c r="AI995" s="750"/>
      <c r="AJ995" s="750"/>
      <c r="AK995" s="751"/>
      <c r="AL995" s="752"/>
      <c r="AM995" s="750"/>
      <c r="AN995" s="750"/>
      <c r="AO995" s="750"/>
      <c r="AP995" s="751"/>
      <c r="AQ995" s="752"/>
      <c r="AR995" s="750"/>
      <c r="AS995" s="750"/>
      <c r="AT995" s="750"/>
      <c r="AU995" s="751"/>
      <c r="AV995" s="752"/>
      <c r="AW995" s="750"/>
      <c r="AX995" s="750"/>
      <c r="AY995" s="750"/>
      <c r="AZ995" s="758"/>
      <c r="BA995" s="752"/>
      <c r="BB995" s="750"/>
      <c r="BC995" s="750"/>
      <c r="BD995" s="750"/>
      <c r="BE995" s="751"/>
      <c r="BF995" s="752"/>
      <c r="BG995" s="750">
        <f>SUM(BG983:BG994)</f>
        <v>16354</v>
      </c>
      <c r="BH995" s="750">
        <f>SUM(BH983:BH994)</f>
        <v>16486</v>
      </c>
      <c r="BI995" s="750">
        <f>SUM(BI983:BI994)</f>
        <v>16798</v>
      </c>
      <c r="BJ995" s="750">
        <f>SUM(BJ983:BJ994)</f>
        <v>16638</v>
      </c>
      <c r="BK995" s="752"/>
      <c r="BL995" s="750">
        <f>SUM(BL983:BL994)</f>
        <v>16770</v>
      </c>
      <c r="BM995" s="750">
        <f>SUM(BM983:BM994)</f>
        <v>16859</v>
      </c>
      <c r="BN995" s="750">
        <f>SUM(BN983:BN994)</f>
        <v>16859</v>
      </c>
      <c r="BO995" s="750">
        <f>SUM(BO983:BO994)</f>
        <v>16956</v>
      </c>
      <c r="BP995" s="752">
        <f>+BO995</f>
        <v>16956</v>
      </c>
      <c r="BQ995" s="750">
        <f>SUM(BQ983:BQ994)</f>
        <v>17069</v>
      </c>
      <c r="BR995" s="750">
        <f>SUM(BR983:BR994)</f>
        <v>16923</v>
      </c>
      <c r="BS995" s="750">
        <f>SUM(BS983:BS994)</f>
        <v>16923</v>
      </c>
      <c r="BT995" s="750">
        <f>SUM(BT983:BT994)</f>
        <v>17030</v>
      </c>
      <c r="BU995" s="752">
        <f>+BT995</f>
        <v>17030</v>
      </c>
      <c r="BV995" s="750">
        <f>SUM(BV983:BV994)</f>
        <v>17129</v>
      </c>
      <c r="BW995" s="750">
        <f>SUM(BW983:BW994)</f>
        <v>17282</v>
      </c>
      <c r="BX995" s="750">
        <f>SUM(BX983:BX994)</f>
        <v>17352</v>
      </c>
      <c r="BY995" s="750">
        <f>SUM(BY983:BY994)</f>
        <v>17124</v>
      </c>
      <c r="BZ995" s="752">
        <f>+BY995</f>
        <v>17124</v>
      </c>
      <c r="CA995" s="2405">
        <f>SUM(CA983:CA994)</f>
        <v>17134</v>
      </c>
      <c r="CB995" s="2405">
        <f>SUM(CB983:CB994)</f>
        <v>17134</v>
      </c>
      <c r="CC995" s="2405">
        <f>SUM(CC983:CC994)</f>
        <v>17134</v>
      </c>
      <c r="CD995" s="2405">
        <f>SUM(CD983:CD994)</f>
        <v>17134</v>
      </c>
      <c r="CE995" s="752">
        <f>+CD995</f>
        <v>17134</v>
      </c>
      <c r="CF995" s="2405">
        <f>SUM(CF983:CF994)</f>
        <v>17147</v>
      </c>
      <c r="CG995" s="2405">
        <f>SUM(CG983:CG994)</f>
        <v>17391</v>
      </c>
      <c r="CH995" s="2405">
        <f>SUM(CH983:CH994)</f>
        <v>26515</v>
      </c>
      <c r="CI995" s="2405">
        <f>SUM(CI983:CI994)</f>
        <v>26633</v>
      </c>
      <c r="CJ995" s="752">
        <f>SUM(CJ983:CJ994)</f>
        <v>26633</v>
      </c>
      <c r="CK995" s="3540">
        <f t="shared" ref="CK995:CT995" si="1516">SUM(CK983:CK994)</f>
        <v>26633</v>
      </c>
      <c r="CL995" s="3540">
        <f t="shared" si="1516"/>
        <v>28293</v>
      </c>
      <c r="CM995" s="3540">
        <f>SUM(CM983:CM994)</f>
        <v>30812</v>
      </c>
      <c r="CN995" s="2405">
        <f t="shared" si="1516"/>
        <v>29208</v>
      </c>
      <c r="CO995" s="752">
        <f t="shared" si="1516"/>
        <v>29208</v>
      </c>
      <c r="CP995" s="2405">
        <f t="shared" si="1516"/>
        <v>29208</v>
      </c>
      <c r="CQ995" s="2405">
        <f t="shared" si="1516"/>
        <v>29208</v>
      </c>
      <c r="CR995" s="2405">
        <f t="shared" si="1516"/>
        <v>29208</v>
      </c>
      <c r="CS995" s="2405">
        <f t="shared" si="1516"/>
        <v>29208</v>
      </c>
      <c r="CT995" s="752">
        <f t="shared" si="1516"/>
        <v>29208</v>
      </c>
      <c r="CU995" s="752">
        <f>SUM(CU983:CU994)</f>
        <v>29208</v>
      </c>
      <c r="CV995" s="752">
        <f>SUM(CV983:CV994)</f>
        <v>29208</v>
      </c>
      <c r="CW995" s="234"/>
      <c r="CX995" s="234"/>
      <c r="CY995" s="234"/>
      <c r="CZ995" s="234"/>
      <c r="DA995" s="234"/>
      <c r="DB995" s="217"/>
      <c r="DC995" s="212"/>
      <c r="DD995" s="234"/>
    </row>
    <row r="996" spans="1:256" s="207" customFormat="1" x14ac:dyDescent="0.2">
      <c r="A996" s="1264"/>
      <c r="B996" s="750"/>
      <c r="C996" s="1241"/>
      <c r="D996" s="750"/>
      <c r="E996" s="750"/>
      <c r="F996" s="750"/>
      <c r="G996" s="758"/>
      <c r="H996" s="1241"/>
      <c r="I996" s="3116"/>
      <c r="J996" s="3116"/>
      <c r="K996" s="3116"/>
      <c r="L996" s="776"/>
      <c r="M996" s="752"/>
      <c r="N996" s="3116"/>
      <c r="O996" s="3116"/>
      <c r="P996" s="3116"/>
      <c r="Q996" s="758"/>
      <c r="R996" s="752"/>
      <c r="S996" s="750"/>
      <c r="T996" s="750"/>
      <c r="U996" s="750"/>
      <c r="V996" s="751"/>
      <c r="W996" s="752"/>
      <c r="X996" s="750"/>
      <c r="Y996" s="750"/>
      <c r="Z996" s="750"/>
      <c r="AA996" s="758"/>
      <c r="AB996" s="752"/>
      <c r="AC996" s="750"/>
      <c r="AD996" s="750"/>
      <c r="AE996" s="750"/>
      <c r="AF996" s="758"/>
      <c r="AG996" s="752"/>
      <c r="AH996" s="750"/>
      <c r="AI996" s="750"/>
      <c r="AJ996" s="750"/>
      <c r="AK996" s="751"/>
      <c r="AL996" s="752"/>
      <c r="AM996" s="750"/>
      <c r="AN996" s="750"/>
      <c r="AO996" s="750"/>
      <c r="AP996" s="751"/>
      <c r="AQ996" s="752"/>
      <c r="AR996" s="750"/>
      <c r="AS996" s="750"/>
      <c r="AT996" s="750"/>
      <c r="AU996" s="751"/>
      <c r="AV996" s="752"/>
      <c r="AW996" s="750"/>
      <c r="AX996" s="750"/>
      <c r="AY996" s="750"/>
      <c r="AZ996" s="758"/>
      <c r="BA996" s="752"/>
      <c r="BB996" s="750"/>
      <c r="BC996" s="750"/>
      <c r="BD996" s="750"/>
      <c r="BE996" s="751"/>
      <c r="BF996" s="752"/>
      <c r="BG996" s="750"/>
      <c r="BH996" s="750"/>
      <c r="BI996" s="750"/>
      <c r="BJ996" s="751"/>
      <c r="BK996" s="752"/>
      <c r="BL996" s="750"/>
      <c r="BM996" s="750"/>
      <c r="BN996" s="750"/>
      <c r="BO996" s="750"/>
      <c r="BP996" s="752"/>
      <c r="BQ996" s="750"/>
      <c r="BR996" s="750"/>
      <c r="BS996" s="750"/>
      <c r="BT996" s="750"/>
      <c r="BU996" s="752"/>
      <c r="BV996" s="750"/>
      <c r="BW996" s="750"/>
      <c r="BX996" s="750"/>
      <c r="BY996" s="750"/>
      <c r="BZ996" s="752"/>
      <c r="CA996" s="750"/>
      <c r="CB996" s="750"/>
      <c r="CC996" s="750"/>
      <c r="CD996" s="750"/>
      <c r="CE996" s="752"/>
      <c r="CF996" s="750"/>
      <c r="CG996" s="750"/>
      <c r="CH996" s="750"/>
      <c r="CI996" s="750"/>
      <c r="CJ996" s="752"/>
      <c r="CK996" s="3540"/>
      <c r="CL996" s="750"/>
      <c r="CM996" s="750"/>
      <c r="CN996" s="750"/>
      <c r="CO996" s="752"/>
      <c r="CP996" s="3540"/>
      <c r="CQ996" s="750"/>
      <c r="CR996" s="750"/>
      <c r="CS996" s="750"/>
      <c r="CT996" s="752"/>
      <c r="CU996" s="752"/>
      <c r="CV996" s="752"/>
      <c r="CW996" s="234"/>
      <c r="CX996" s="234"/>
      <c r="CY996" s="234"/>
      <c r="CZ996" s="234"/>
      <c r="DA996" s="234"/>
      <c r="DB996" s="217"/>
      <c r="DC996" s="212"/>
      <c r="DD996" s="234"/>
    </row>
    <row r="997" spans="1:256" s="207" customFormat="1" x14ac:dyDescent="0.2">
      <c r="A997" s="3051" t="s">
        <v>1641</v>
      </c>
      <c r="B997" s="3057"/>
      <c r="C997" s="3053"/>
      <c r="D997" s="3057"/>
      <c r="E997" s="3057"/>
      <c r="F997" s="3057"/>
      <c r="G997" s="3057"/>
      <c r="H997" s="3053"/>
      <c r="I997" s="3054">
        <f t="shared" ref="I997:AN997" si="1517">I848+I980+I995</f>
        <v>395855</v>
      </c>
      <c r="J997" s="3054">
        <f t="shared" si="1517"/>
        <v>406147</v>
      </c>
      <c r="K997" s="3054">
        <f t="shared" si="1517"/>
        <v>419656</v>
      </c>
      <c r="L997" s="3056">
        <f t="shared" si="1517"/>
        <v>429385</v>
      </c>
      <c r="M997" s="3053">
        <f t="shared" si="1517"/>
        <v>429385</v>
      </c>
      <c r="N997" s="3054">
        <f t="shared" si="1517"/>
        <v>435991</v>
      </c>
      <c r="O997" s="3054">
        <f t="shared" si="1517"/>
        <v>440990</v>
      </c>
      <c r="P997" s="3054">
        <f t="shared" si="1517"/>
        <v>447370</v>
      </c>
      <c r="Q997" s="3056">
        <f t="shared" si="1517"/>
        <v>455858</v>
      </c>
      <c r="R997" s="3053">
        <f t="shared" si="1517"/>
        <v>455858</v>
      </c>
      <c r="S997" s="3054">
        <f t="shared" si="1517"/>
        <v>463400</v>
      </c>
      <c r="T997" s="3054">
        <f t="shared" si="1517"/>
        <v>469377</v>
      </c>
      <c r="U997" s="3054">
        <f t="shared" si="1517"/>
        <v>476833</v>
      </c>
      <c r="V997" s="3056">
        <f t="shared" si="1517"/>
        <v>482204</v>
      </c>
      <c r="W997" s="3053">
        <f t="shared" si="1517"/>
        <v>482204</v>
      </c>
      <c r="X997" s="3054">
        <f t="shared" si="1517"/>
        <v>488104</v>
      </c>
      <c r="Y997" s="3054">
        <f t="shared" si="1517"/>
        <v>493445</v>
      </c>
      <c r="Z997" s="3054">
        <f t="shared" si="1517"/>
        <v>496284</v>
      </c>
      <c r="AA997" s="3056">
        <f t="shared" si="1517"/>
        <v>472517</v>
      </c>
      <c r="AB997" s="3053">
        <f t="shared" si="1517"/>
        <v>472517</v>
      </c>
      <c r="AC997" s="3054">
        <f t="shared" si="1517"/>
        <v>475172</v>
      </c>
      <c r="AD997" s="3054">
        <f t="shared" si="1517"/>
        <v>479421</v>
      </c>
      <c r="AE997" s="3054">
        <f t="shared" si="1517"/>
        <v>483187</v>
      </c>
      <c r="AF997" s="3056">
        <f t="shared" si="1517"/>
        <v>488831</v>
      </c>
      <c r="AG997" s="3053">
        <f t="shared" si="1517"/>
        <v>488831</v>
      </c>
      <c r="AH997" s="3054">
        <f t="shared" si="1517"/>
        <v>494135</v>
      </c>
      <c r="AI997" s="3054">
        <f t="shared" si="1517"/>
        <v>496122</v>
      </c>
      <c r="AJ997" s="3054">
        <f t="shared" si="1517"/>
        <v>499276</v>
      </c>
      <c r="AK997" s="3056">
        <f t="shared" si="1517"/>
        <v>502039</v>
      </c>
      <c r="AL997" s="3053">
        <f t="shared" si="1517"/>
        <v>502039</v>
      </c>
      <c r="AM997" s="3054">
        <f t="shared" si="1517"/>
        <v>504100</v>
      </c>
      <c r="AN997" s="3054">
        <f t="shared" si="1517"/>
        <v>508016</v>
      </c>
      <c r="AO997" s="3054">
        <f t="shared" ref="AO997:BT997" si="1518">AO848+AO980+AO995</f>
        <v>513752</v>
      </c>
      <c r="AP997" s="3056">
        <f t="shared" si="1518"/>
        <v>521201</v>
      </c>
      <c r="AQ997" s="3053">
        <f t="shared" si="1518"/>
        <v>521201</v>
      </c>
      <c r="AR997" s="3054">
        <f t="shared" si="1518"/>
        <v>523530</v>
      </c>
      <c r="AS997" s="3054">
        <f t="shared" si="1518"/>
        <v>530218</v>
      </c>
      <c r="AT997" s="3054">
        <f t="shared" si="1518"/>
        <v>535676</v>
      </c>
      <c r="AU997" s="3056">
        <f t="shared" si="1518"/>
        <v>545301</v>
      </c>
      <c r="AV997" s="3053">
        <f t="shared" si="1518"/>
        <v>545301</v>
      </c>
      <c r="AW997" s="3054">
        <f t="shared" si="1518"/>
        <v>553754</v>
      </c>
      <c r="AX997" s="3054">
        <f t="shared" si="1518"/>
        <v>561294</v>
      </c>
      <c r="AY997" s="3054">
        <f t="shared" si="1518"/>
        <v>570989</v>
      </c>
      <c r="AZ997" s="3056">
        <f t="shared" si="1518"/>
        <v>579864</v>
      </c>
      <c r="BA997" s="3053">
        <f t="shared" si="1518"/>
        <v>579864</v>
      </c>
      <c r="BB997" s="3054">
        <f t="shared" si="1518"/>
        <v>587448</v>
      </c>
      <c r="BC997" s="3054">
        <f t="shared" si="1518"/>
        <v>591711</v>
      </c>
      <c r="BD997" s="3054">
        <f t="shared" si="1518"/>
        <v>595985</v>
      </c>
      <c r="BE997" s="3056">
        <f t="shared" si="1518"/>
        <v>602056</v>
      </c>
      <c r="BF997" s="3053">
        <f t="shared" si="1518"/>
        <v>602056</v>
      </c>
      <c r="BG997" s="3054">
        <f t="shared" si="1518"/>
        <v>630826</v>
      </c>
      <c r="BH997" s="3054">
        <f t="shared" si="1518"/>
        <v>633704</v>
      </c>
      <c r="BI997" s="3054">
        <f t="shared" si="1518"/>
        <v>638449</v>
      </c>
      <c r="BJ997" s="3056">
        <f t="shared" si="1518"/>
        <v>643196</v>
      </c>
      <c r="BK997" s="3053">
        <f t="shared" si="1518"/>
        <v>626558</v>
      </c>
      <c r="BL997" s="3054">
        <f t="shared" si="1518"/>
        <v>643943</v>
      </c>
      <c r="BM997" s="3054">
        <f t="shared" si="1518"/>
        <v>646110</v>
      </c>
      <c r="BN997" s="3054">
        <f t="shared" si="1518"/>
        <v>647883</v>
      </c>
      <c r="BO997" s="3056">
        <f t="shared" si="1518"/>
        <v>660394</v>
      </c>
      <c r="BP997" s="3053">
        <f t="shared" si="1518"/>
        <v>660394</v>
      </c>
      <c r="BQ997" s="3054">
        <f t="shared" si="1518"/>
        <v>663163</v>
      </c>
      <c r="BR997" s="3054">
        <f t="shared" si="1518"/>
        <v>666132</v>
      </c>
      <c r="BS997" s="3054">
        <f t="shared" si="1518"/>
        <v>670507</v>
      </c>
      <c r="BT997" s="3057">
        <f t="shared" si="1518"/>
        <v>675623</v>
      </c>
      <c r="BU997" s="3055">
        <f t="shared" ref="BU997:CG997" si="1519">BU848+BU980+BU995</f>
        <v>675623</v>
      </c>
      <c r="BV997" s="3054">
        <f t="shared" si="1519"/>
        <v>679321</v>
      </c>
      <c r="BW997" s="3054">
        <f t="shared" si="1519"/>
        <v>696926</v>
      </c>
      <c r="BX997" s="3054">
        <f t="shared" si="1519"/>
        <v>702254</v>
      </c>
      <c r="BY997" s="3054">
        <f t="shared" si="1519"/>
        <v>714765</v>
      </c>
      <c r="BZ997" s="3055">
        <f t="shared" si="1519"/>
        <v>714765</v>
      </c>
      <c r="CA997" s="3054">
        <f t="shared" si="1519"/>
        <v>723301</v>
      </c>
      <c r="CB997" s="3054">
        <f t="shared" si="1519"/>
        <v>742635</v>
      </c>
      <c r="CC997" s="3054">
        <f t="shared" si="1519"/>
        <v>749990</v>
      </c>
      <c r="CD997" s="3054">
        <f t="shared" si="1519"/>
        <v>759399</v>
      </c>
      <c r="CE997" s="3053">
        <f t="shared" si="1519"/>
        <v>759399</v>
      </c>
      <c r="CF997" s="3054">
        <f t="shared" si="1519"/>
        <v>767570</v>
      </c>
      <c r="CG997" s="3054">
        <f t="shared" si="1519"/>
        <v>777402</v>
      </c>
      <c r="CH997" s="3333">
        <f>CH853+CH980+CH995</f>
        <v>1170367</v>
      </c>
      <c r="CI997" s="3054">
        <f>+CI906+CI743+CI980+SUM(CI983:CI985)</f>
        <v>1190604</v>
      </c>
      <c r="CJ997" s="3053">
        <f t="shared" ref="CJ997:CV997" si="1520">+CJ906+CJ743+CJ980+SUM(CJ983:CJ985)</f>
        <v>1190604</v>
      </c>
      <c r="CK997" s="3054">
        <f t="shared" si="1520"/>
        <v>1202963</v>
      </c>
      <c r="CL997" s="3054">
        <f t="shared" ca="1" si="1520"/>
        <v>1217608</v>
      </c>
      <c r="CM997" s="3054">
        <f t="shared" ca="1" si="1520"/>
        <v>1241576</v>
      </c>
      <c r="CN997" s="3054">
        <f t="shared" ca="1" si="1520"/>
        <v>1257666</v>
      </c>
      <c r="CO997" s="3053">
        <f t="shared" ca="1" si="1520"/>
        <v>1257666</v>
      </c>
      <c r="CP997" s="3054">
        <f t="shared" si="1520"/>
        <v>1275893.9400000002</v>
      </c>
      <c r="CQ997" s="3054">
        <f t="shared" ca="1" si="1520"/>
        <v>1290152.6600000001</v>
      </c>
      <c r="CR997" s="3054">
        <f t="shared" ca="1" si="1520"/>
        <v>1310621.79</v>
      </c>
      <c r="CS997" s="3054">
        <f t="shared" ca="1" si="1520"/>
        <v>1327655.69</v>
      </c>
      <c r="CT997" s="3053">
        <f ca="1">+CT906+CT743+CT980+SUM(CT983:CT985)</f>
        <v>1327655.69</v>
      </c>
      <c r="CU997" s="3053">
        <f t="shared" ca="1" si="1520"/>
        <v>1402016.5286000001</v>
      </c>
      <c r="CV997" s="3053">
        <f t="shared" ca="1" si="1520"/>
        <v>1436730.2828939999</v>
      </c>
      <c r="CW997" s="3349"/>
      <c r="CX997" s="257"/>
      <c r="CY997" s="257"/>
      <c r="CZ997" s="257"/>
      <c r="DA997" s="257"/>
      <c r="DB997" s="217"/>
      <c r="DC997" s="212"/>
      <c r="DD997" s="234"/>
      <c r="DF997" s="310"/>
      <c r="DG997" s="310"/>
      <c r="DH997" s="310"/>
      <c r="DI997" s="310"/>
      <c r="DJ997" s="310"/>
      <c r="DK997" s="310"/>
      <c r="DL997" s="310"/>
      <c r="DM997" s="310"/>
      <c r="DN997" s="310"/>
      <c r="DO997" s="310"/>
      <c r="DP997" s="310"/>
      <c r="DQ997" s="310"/>
      <c r="DR997" s="310"/>
      <c r="DS997" s="310"/>
      <c r="DT997" s="310"/>
      <c r="DU997" s="310"/>
      <c r="DV997" s="310"/>
      <c r="DW997" s="310"/>
      <c r="DX997" s="310"/>
      <c r="DY997" s="310"/>
      <c r="DZ997" s="310"/>
      <c r="EA997" s="310"/>
      <c r="EB997" s="310"/>
      <c r="EC997" s="310"/>
      <c r="ED997" s="310"/>
      <c r="EE997" s="310"/>
      <c r="EF997" s="310"/>
      <c r="EG997" s="310"/>
      <c r="EH997" s="310"/>
      <c r="EI997" s="310"/>
      <c r="EJ997" s="310"/>
      <c r="EK997" s="310"/>
      <c r="EL997" s="310"/>
      <c r="EM997" s="310"/>
      <c r="EN997" s="310"/>
      <c r="EO997" s="310"/>
      <c r="EP997" s="310"/>
      <c r="EQ997" s="310"/>
      <c r="ER997" s="310"/>
      <c r="ES997" s="310"/>
      <c r="ET997" s="310"/>
      <c r="EU997" s="310"/>
      <c r="EV997" s="310"/>
      <c r="EW997" s="310"/>
      <c r="EX997" s="310"/>
      <c r="EY997" s="310"/>
      <c r="EZ997" s="310"/>
      <c r="FA997" s="310"/>
      <c r="FB997" s="310"/>
      <c r="FC997" s="310"/>
      <c r="FD997" s="310"/>
      <c r="FE997" s="310"/>
      <c r="FF997" s="310"/>
      <c r="FG997" s="310"/>
      <c r="FH997" s="310"/>
      <c r="FI997" s="310"/>
      <c r="FJ997" s="310"/>
      <c r="FK997" s="310"/>
      <c r="FL997" s="310"/>
      <c r="FM997" s="310"/>
      <c r="FN997" s="310"/>
      <c r="FO997" s="310"/>
      <c r="FP997" s="310"/>
      <c r="FQ997" s="310"/>
      <c r="FR997" s="310"/>
      <c r="FS997" s="310"/>
      <c r="FT997" s="310"/>
      <c r="FU997" s="310"/>
      <c r="FV997" s="310"/>
      <c r="FW997" s="310"/>
      <c r="FX997" s="310"/>
      <c r="FY997" s="310"/>
      <c r="FZ997" s="310"/>
      <c r="GA997" s="310"/>
      <c r="GB997" s="310"/>
      <c r="GC997" s="310"/>
      <c r="GD997" s="310"/>
      <c r="GE997" s="310"/>
      <c r="GF997" s="310"/>
      <c r="GG997" s="310"/>
      <c r="GH997" s="310"/>
      <c r="GI997" s="310"/>
      <c r="GJ997" s="310"/>
      <c r="GK997" s="310"/>
      <c r="GL997" s="310"/>
      <c r="GM997" s="310"/>
      <c r="GN997" s="310"/>
      <c r="GO997" s="310"/>
      <c r="GP997" s="310"/>
      <c r="GQ997" s="310"/>
      <c r="GR997" s="310"/>
      <c r="GS997" s="310"/>
      <c r="GT997" s="310"/>
      <c r="GU997" s="310"/>
      <c r="GV997" s="310"/>
      <c r="GW997" s="310"/>
      <c r="GX997" s="310"/>
      <c r="GY997" s="310"/>
      <c r="GZ997" s="310"/>
      <c r="HA997" s="310"/>
      <c r="HB997" s="310"/>
      <c r="HC997" s="310"/>
      <c r="HD997" s="310"/>
      <c r="HE997" s="310"/>
      <c r="HF997" s="310"/>
      <c r="HG997" s="310"/>
      <c r="HH997" s="310"/>
      <c r="HI997" s="310"/>
      <c r="HJ997" s="310"/>
      <c r="HK997" s="310"/>
      <c r="HL997" s="310"/>
      <c r="HM997" s="310"/>
      <c r="HN997" s="310"/>
      <c r="HO997" s="310"/>
      <c r="HP997" s="310"/>
      <c r="HQ997" s="310"/>
      <c r="HR997" s="310"/>
      <c r="HS997" s="310"/>
      <c r="HT997" s="310"/>
      <c r="HU997" s="310"/>
      <c r="HV997" s="310"/>
      <c r="HW997" s="310"/>
      <c r="HX997" s="310"/>
      <c r="HY997" s="310"/>
      <c r="HZ997" s="310"/>
      <c r="IA997" s="310"/>
      <c r="IB997" s="310"/>
      <c r="IC997" s="310"/>
      <c r="ID997" s="310"/>
      <c r="IE997" s="310"/>
      <c r="IF997" s="310"/>
      <c r="IG997" s="310"/>
      <c r="IH997" s="310"/>
      <c r="II997" s="310"/>
      <c r="IJ997" s="310"/>
      <c r="IK997" s="310"/>
      <c r="IL997" s="310"/>
      <c r="IM997" s="310"/>
      <c r="IN997" s="310"/>
      <c r="IO997" s="310"/>
      <c r="IP997" s="310"/>
      <c r="IQ997" s="310"/>
      <c r="IR997" s="310"/>
      <c r="IS997" s="310"/>
      <c r="IT997" s="310"/>
      <c r="IU997" s="310"/>
      <c r="IV997" s="310"/>
    </row>
    <row r="998" spans="1:256" s="207" customFormat="1" x14ac:dyDescent="0.2">
      <c r="A998" s="2645" t="s">
        <v>2155</v>
      </c>
      <c r="BZ998" s="732">
        <f>BZ997-BU997</f>
        <v>39142</v>
      </c>
      <c r="CE998" s="732">
        <f>CE997-BZ997</f>
        <v>44634</v>
      </c>
      <c r="CJ998" s="732">
        <f>CJ997-CE997</f>
        <v>431205</v>
      </c>
      <c r="CK998" s="3542"/>
      <c r="CO998" s="732">
        <f ca="1">CO997-CJ997</f>
        <v>67062</v>
      </c>
      <c r="CP998" s="3542"/>
      <c r="CT998" s="732"/>
      <c r="CW998" s="234"/>
      <c r="CX998" s="234"/>
      <c r="CY998" s="234"/>
      <c r="CZ998" s="234"/>
      <c r="DA998" s="234"/>
      <c r="DB998" s="217"/>
      <c r="DC998" s="212"/>
      <c r="DD998" s="234"/>
    </row>
    <row r="999" spans="1:256" s="310" customFormat="1" x14ac:dyDescent="0.2">
      <c r="A999" s="2645" t="s">
        <v>2160</v>
      </c>
      <c r="B999" s="207"/>
      <c r="C999" s="207"/>
      <c r="D999" s="207"/>
      <c r="E999" s="207"/>
      <c r="F999" s="207"/>
      <c r="G999" s="207"/>
      <c r="H999" s="207"/>
      <c r="I999" s="207"/>
      <c r="J999" s="207"/>
      <c r="K999" s="207"/>
      <c r="L999" s="207"/>
      <c r="M999" s="207"/>
      <c r="N999" s="207"/>
      <c r="O999" s="207"/>
      <c r="P999" s="207"/>
      <c r="Q999" s="207"/>
      <c r="R999" s="207"/>
      <c r="S999" s="207"/>
      <c r="T999" s="207"/>
      <c r="U999" s="207"/>
      <c r="V999" s="207"/>
      <c r="W999" s="207"/>
      <c r="X999" s="207"/>
      <c r="Y999" s="207"/>
      <c r="Z999" s="207"/>
      <c r="AA999" s="207"/>
      <c r="AB999" s="207"/>
      <c r="AC999" s="207"/>
      <c r="AD999" s="207"/>
      <c r="AE999" s="207"/>
      <c r="AF999" s="207"/>
      <c r="AG999" s="207"/>
      <c r="AH999" s="207"/>
      <c r="AI999" s="207"/>
      <c r="AJ999" s="207"/>
      <c r="AK999" s="207"/>
      <c r="AL999" s="207"/>
      <c r="AM999" s="207"/>
      <c r="AN999" s="207"/>
      <c r="AO999" s="207"/>
      <c r="AP999" s="207"/>
      <c r="AQ999" s="207"/>
      <c r="AR999" s="207"/>
      <c r="AS999" s="207"/>
      <c r="AT999" s="207"/>
      <c r="AU999" s="207"/>
      <c r="AV999" s="207"/>
      <c r="AW999" s="207"/>
      <c r="AX999" s="207"/>
      <c r="AY999" s="207"/>
      <c r="AZ999" s="207"/>
      <c r="BA999" s="207"/>
      <c r="BB999" s="207"/>
      <c r="BC999" s="207"/>
      <c r="BD999" s="207"/>
      <c r="BE999" s="207"/>
      <c r="BF999" s="207"/>
      <c r="BG999" s="207"/>
      <c r="BH999" s="207"/>
      <c r="BI999" s="207"/>
      <c r="BJ999" s="207"/>
      <c r="BK999" s="207"/>
      <c r="BL999" s="207"/>
      <c r="BM999" s="207"/>
      <c r="BN999" s="207"/>
      <c r="BO999" s="207"/>
      <c r="BP999" s="207"/>
      <c r="BQ999" s="207"/>
      <c r="BR999" s="207"/>
      <c r="BS999" s="207"/>
      <c r="BT999" s="207"/>
      <c r="BU999" s="207"/>
      <c r="BV999" s="207"/>
      <c r="BW999" s="207"/>
      <c r="BX999" s="207"/>
      <c r="BY999" s="207"/>
      <c r="BZ999" s="732"/>
      <c r="CA999" s="207"/>
      <c r="CB999" s="207"/>
      <c r="CC999" s="207"/>
      <c r="CD999" s="207"/>
      <c r="CE999" s="732"/>
      <c r="CF999" s="207"/>
      <c r="CG999" s="207"/>
      <c r="CH999" s="207"/>
      <c r="CI999" s="207"/>
      <c r="CJ999" s="732"/>
      <c r="CK999" s="3542"/>
      <c r="CL999" s="207"/>
      <c r="CM999" s="207"/>
      <c r="CN999" s="207"/>
      <c r="CO999" s="3064" t="s">
        <v>2156</v>
      </c>
      <c r="CP999" s="3542"/>
      <c r="CQ999" s="207"/>
      <c r="CR999" s="207"/>
      <c r="CS999" s="207"/>
      <c r="CT999" s="3064"/>
      <c r="CU999" s="207"/>
      <c r="CV999" s="207"/>
      <c r="CW999" s="234"/>
      <c r="CX999" s="234"/>
      <c r="CY999" s="234"/>
      <c r="CZ999" s="234"/>
      <c r="DA999" s="234"/>
      <c r="DB999" s="217"/>
      <c r="DC999" s="212"/>
      <c r="DD999" s="234"/>
      <c r="DE999" s="207"/>
      <c r="DF999" s="207"/>
      <c r="DG999" s="207"/>
      <c r="DH999" s="207"/>
      <c r="DI999" s="207"/>
      <c r="DJ999" s="207"/>
      <c r="DK999" s="207"/>
      <c r="DL999" s="207"/>
      <c r="DM999" s="207"/>
      <c r="DN999" s="207"/>
      <c r="DO999" s="207"/>
      <c r="DP999" s="207"/>
      <c r="DQ999" s="207"/>
      <c r="DR999" s="207"/>
      <c r="DS999" s="207"/>
      <c r="DT999" s="207"/>
      <c r="DU999" s="207"/>
      <c r="DV999" s="207"/>
      <c r="DW999" s="207"/>
      <c r="DX999" s="207"/>
      <c r="DY999" s="207"/>
      <c r="DZ999" s="207"/>
      <c r="EA999" s="207"/>
      <c r="EB999" s="207"/>
      <c r="EC999" s="207"/>
      <c r="ED999" s="207"/>
      <c r="EE999" s="207"/>
      <c r="EF999" s="207"/>
      <c r="EG999" s="207"/>
      <c r="EH999" s="207"/>
      <c r="EI999" s="207"/>
      <c r="EJ999" s="207"/>
      <c r="EK999" s="207"/>
      <c r="EL999" s="207"/>
      <c r="EM999" s="207"/>
      <c r="EN999" s="207"/>
      <c r="EO999" s="207"/>
      <c r="EP999" s="207"/>
      <c r="EQ999" s="207"/>
      <c r="ER999" s="207"/>
      <c r="ES999" s="207"/>
      <c r="ET999" s="207"/>
      <c r="EU999" s="207"/>
      <c r="EV999" s="207"/>
      <c r="EW999" s="207"/>
      <c r="EX999" s="207"/>
      <c r="EY999" s="207"/>
      <c r="EZ999" s="207"/>
      <c r="FA999" s="207"/>
      <c r="FB999" s="207"/>
      <c r="FC999" s="207"/>
      <c r="FD999" s="207"/>
      <c r="FE999" s="207"/>
      <c r="FF999" s="207"/>
      <c r="FG999" s="207"/>
      <c r="FH999" s="207"/>
      <c r="FI999" s="207"/>
      <c r="FJ999" s="207"/>
      <c r="FK999" s="207"/>
      <c r="FL999" s="207"/>
      <c r="FM999" s="207"/>
      <c r="FN999" s="207"/>
      <c r="FO999" s="207"/>
      <c r="FP999" s="207"/>
      <c r="FQ999" s="207"/>
      <c r="FR999" s="207"/>
      <c r="FS999" s="207"/>
      <c r="FT999" s="207"/>
      <c r="FU999" s="207"/>
      <c r="FV999" s="207"/>
      <c r="FW999" s="207"/>
      <c r="FX999" s="207"/>
      <c r="FY999" s="207"/>
      <c r="FZ999" s="207"/>
      <c r="GA999" s="207"/>
      <c r="GB999" s="207"/>
      <c r="GC999" s="207"/>
      <c r="GD999" s="207"/>
      <c r="GE999" s="207"/>
      <c r="GF999" s="207"/>
      <c r="GG999" s="207"/>
      <c r="GH999" s="207"/>
      <c r="GI999" s="207"/>
      <c r="GJ999" s="207"/>
      <c r="GK999" s="207"/>
      <c r="GL999" s="207"/>
      <c r="GM999" s="207"/>
      <c r="GN999" s="207"/>
      <c r="GO999" s="207"/>
      <c r="GP999" s="207"/>
      <c r="GQ999" s="207"/>
      <c r="GR999" s="207"/>
      <c r="GS999" s="207"/>
      <c r="GT999" s="207"/>
      <c r="GU999" s="207"/>
      <c r="GV999" s="207"/>
      <c r="GW999" s="207"/>
      <c r="GX999" s="207"/>
      <c r="GY999" s="207"/>
      <c r="GZ999" s="207"/>
      <c r="HA999" s="207"/>
      <c r="HB999" s="207"/>
      <c r="HC999" s="207"/>
      <c r="HD999" s="207"/>
      <c r="HE999" s="207"/>
      <c r="HF999" s="207"/>
      <c r="HG999" s="207"/>
      <c r="HH999" s="207"/>
      <c r="HI999" s="207"/>
      <c r="HJ999" s="207"/>
      <c r="HK999" s="207"/>
      <c r="HL999" s="207"/>
      <c r="HM999" s="207"/>
      <c r="HN999" s="207"/>
      <c r="HO999" s="207"/>
      <c r="HP999" s="207"/>
      <c r="HQ999" s="207"/>
      <c r="HR999" s="207"/>
      <c r="HS999" s="207"/>
      <c r="HT999" s="207"/>
      <c r="HU999" s="207"/>
      <c r="HV999" s="207"/>
      <c r="HW999" s="207"/>
      <c r="HX999" s="207"/>
      <c r="HY999" s="207"/>
      <c r="HZ999" s="207"/>
      <c r="IA999" s="207"/>
      <c r="IB999" s="207"/>
      <c r="IC999" s="207"/>
      <c r="ID999" s="207"/>
      <c r="IE999" s="207"/>
      <c r="IF999" s="207"/>
      <c r="IG999" s="207"/>
      <c r="IH999" s="207"/>
      <c r="II999" s="207"/>
      <c r="IJ999" s="207"/>
      <c r="IK999" s="207"/>
      <c r="IL999" s="207"/>
      <c r="IM999" s="207"/>
      <c r="IN999" s="207"/>
      <c r="IO999" s="207"/>
      <c r="IP999" s="207"/>
      <c r="IQ999" s="207"/>
      <c r="IR999" s="207"/>
      <c r="IS999" s="207"/>
      <c r="IT999" s="207"/>
      <c r="IU999" s="207"/>
      <c r="IV999" s="207"/>
    </row>
    <row r="1000" spans="1:256" s="207" customFormat="1" x14ac:dyDescent="0.2">
      <c r="A1000" s="387"/>
      <c r="BZ1000" s="732"/>
      <c r="CE1000" s="732"/>
      <c r="CJ1000" s="732"/>
      <c r="CK1000" s="3542"/>
      <c r="CO1000" s="885">
        <f ca="1">+CO997/CJ997-1</f>
        <v>5.6326032837114681E-2</v>
      </c>
      <c r="CP1000" s="3542"/>
      <c r="CT1000" s="885">
        <f ca="1">+CT997/CO997-1</f>
        <v>5.5650458865867281E-2</v>
      </c>
      <c r="CU1000" s="885">
        <f ca="1">+CU997/CT997-1</f>
        <v>5.6009128842734901E-2</v>
      </c>
      <c r="CW1000" s="234"/>
      <c r="CX1000" s="234"/>
      <c r="CY1000" s="234"/>
      <c r="CZ1000" s="234"/>
      <c r="DA1000" s="234"/>
      <c r="DB1000" s="217"/>
      <c r="DC1000" s="212"/>
      <c r="DD1000" s="234"/>
    </row>
    <row r="1001" spans="1:256" s="207" customFormat="1" x14ac:dyDescent="0.2">
      <c r="A1001" s="2645" t="s">
        <v>2159</v>
      </c>
      <c r="BZ1001" s="732">
        <f>BZ1002-BZ1003</f>
        <v>35375</v>
      </c>
      <c r="CE1001" s="732">
        <f>CE1002-CE1003</f>
        <v>34375</v>
      </c>
      <c r="CJ1001" s="732">
        <f>CJ1002-CJ1003</f>
        <v>49375</v>
      </c>
      <c r="CK1001" s="3542"/>
      <c r="CO1001" s="732">
        <f>CO1002-CO1003</f>
        <v>54375</v>
      </c>
      <c r="CP1001" s="3542"/>
      <c r="CT1001" s="732"/>
      <c r="CW1001" s="234"/>
      <c r="CX1001" s="234"/>
      <c r="CY1001" s="234"/>
      <c r="CZ1001" s="234"/>
      <c r="DA1001" s="234"/>
      <c r="DB1001" s="217"/>
      <c r="DC1001" s="212"/>
      <c r="DD1001" s="234"/>
    </row>
    <row r="1002" spans="1:256" s="207" customFormat="1" x14ac:dyDescent="0.2">
      <c r="A1002" s="2645" t="s">
        <v>2158</v>
      </c>
      <c r="BZ1002" s="3429">
        <v>46000</v>
      </c>
      <c r="CA1002" s="3430"/>
      <c r="CB1002" s="3430"/>
      <c r="CC1002" s="3430"/>
      <c r="CD1002" s="3430"/>
      <c r="CE1002" s="3429">
        <v>45000</v>
      </c>
      <c r="CJ1002" s="3429">
        <v>60000</v>
      </c>
      <c r="CK1002"/>
      <c r="CL1002" s="3430"/>
      <c r="CM1002" s="3430"/>
      <c r="CN1002" s="3430"/>
      <c r="CO1002" s="3429">
        <v>65000</v>
      </c>
      <c r="CP1002"/>
      <c r="CQ1002" s="3430"/>
      <c r="CR1002" s="3430"/>
      <c r="CS1002" s="3430"/>
      <c r="CT1002" s="3429"/>
      <c r="CW1002" s="234"/>
      <c r="CX1002" s="234"/>
      <c r="CY1002" s="234"/>
      <c r="CZ1002" s="234"/>
      <c r="DA1002" s="234"/>
      <c r="DB1002" s="217"/>
      <c r="DC1002" s="212"/>
      <c r="DD1002" s="234"/>
    </row>
    <row r="1003" spans="1:256" s="207" customFormat="1" x14ac:dyDescent="0.2">
      <c r="A1003" s="2645" t="s">
        <v>2157</v>
      </c>
      <c r="BZ1003" s="3431">
        <f>42.5/4*1000</f>
        <v>10625</v>
      </c>
      <c r="CA1003" s="3430"/>
      <c r="CB1003" s="3430"/>
      <c r="CC1003" s="3430"/>
      <c r="CD1003" s="3430"/>
      <c r="CE1003" s="3431">
        <f>42.5/4*1000</f>
        <v>10625</v>
      </c>
      <c r="CJ1003" s="3431">
        <f>42.5/4*1000</f>
        <v>10625</v>
      </c>
      <c r="CK1003"/>
      <c r="CL1003" s="3430"/>
      <c r="CM1003" s="3430"/>
      <c r="CN1003" s="3430"/>
      <c r="CO1003" s="3431">
        <f>42.5/4*1000</f>
        <v>10625</v>
      </c>
      <c r="CP1003"/>
      <c r="CQ1003" s="3430"/>
      <c r="CR1003" s="3430"/>
      <c r="CS1003" s="3430"/>
      <c r="CT1003" s="3431"/>
      <c r="CW1003" s="234"/>
      <c r="CX1003" s="234"/>
      <c r="CY1003" s="234"/>
      <c r="CZ1003" s="234"/>
      <c r="DA1003" s="234"/>
      <c r="DB1003" s="217"/>
      <c r="DC1003" s="212"/>
      <c r="DD1003" s="234"/>
    </row>
    <row r="1004" spans="1:256" s="207" customFormat="1" x14ac:dyDescent="0.2">
      <c r="A1004" s="1236"/>
      <c r="BZ1004" s="537"/>
      <c r="CE1004" s="537"/>
      <c r="CJ1004" s="537"/>
      <c r="CK1004" s="3542"/>
      <c r="CO1004" s="537"/>
      <c r="CP1004" s="3542"/>
      <c r="CT1004" s="537"/>
      <c r="CW1004" s="234"/>
      <c r="CX1004" s="234"/>
      <c r="CY1004" s="234"/>
      <c r="CZ1004" s="234"/>
      <c r="DA1004" s="234"/>
      <c r="DB1004" s="217"/>
      <c r="DC1004" s="212"/>
      <c r="DD1004" s="234"/>
    </row>
    <row r="1005" spans="1:256" s="207" customFormat="1" x14ac:dyDescent="0.2">
      <c r="A1005" s="3051" t="s">
        <v>1263</v>
      </c>
      <c r="B1005" s="3059"/>
      <c r="C1005" s="3060"/>
      <c r="D1005" s="3061" t="str">
        <f>RevPAR!B$5</f>
        <v>1Q00</v>
      </c>
      <c r="E1005" s="3062" t="str">
        <f>RevPAR!C$5</f>
        <v>2Q00</v>
      </c>
      <c r="F1005" s="3062" t="str">
        <f>RevPAR!D$5</f>
        <v>3Q00</v>
      </c>
      <c r="G1005" s="3062" t="str">
        <f>RevPAR!E$5</f>
        <v>4Q00</v>
      </c>
      <c r="H1005" s="3063">
        <f>RevPAR!F$5</f>
        <v>2000</v>
      </c>
      <c r="I1005" s="3062" t="str">
        <f>RevPAR!G$5</f>
        <v>1Q01</v>
      </c>
      <c r="J1005" s="3062" t="str">
        <f>RevPAR!H$5</f>
        <v>2Q01</v>
      </c>
      <c r="K1005" s="3062" t="str">
        <f>RevPAR!I$5</f>
        <v>3Q01</v>
      </c>
      <c r="L1005" s="3062" t="str">
        <f>RevPAR!J$5</f>
        <v>4Q01</v>
      </c>
      <c r="M1005" s="3063">
        <f>RevPAR!K$5</f>
        <v>2001</v>
      </c>
      <c r="N1005" s="3062" t="str">
        <f>RevPAR!L$5</f>
        <v>1Q02</v>
      </c>
      <c r="O1005" s="3062" t="str">
        <f>RevPAR!M$5</f>
        <v>2Q02</v>
      </c>
      <c r="P1005" s="3062" t="str">
        <f>RevPAR!N$5</f>
        <v>3Q02</v>
      </c>
      <c r="Q1005" s="3062" t="str">
        <f>RevPAR!O$5</f>
        <v>4Q02</v>
      </c>
      <c r="R1005" s="3063">
        <f>RevPAR!P$5</f>
        <v>2002</v>
      </c>
      <c r="S1005" s="3062" t="str">
        <f>RevPAR!Q$5</f>
        <v>1Q03</v>
      </c>
      <c r="T1005" s="3062" t="str">
        <f>RevPAR!R$5</f>
        <v>2Q03</v>
      </c>
      <c r="U1005" s="3062" t="str">
        <f>RevPAR!S$5</f>
        <v>3Q03</v>
      </c>
      <c r="V1005" s="3062" t="str">
        <f>RevPAR!T$5</f>
        <v>4Q03</v>
      </c>
      <c r="W1005" s="3063">
        <f>RevPAR!U$5</f>
        <v>2003</v>
      </c>
      <c r="X1005" s="3062" t="str">
        <f>RevPAR!V$5</f>
        <v>1Q04</v>
      </c>
      <c r="Y1005" s="3062" t="str">
        <f>RevPAR!W$5</f>
        <v>2Q04</v>
      </c>
      <c r="Z1005" s="3062" t="str">
        <f>RevPAR!X$5</f>
        <v>3Q04</v>
      </c>
      <c r="AA1005" s="3062" t="str">
        <f>RevPAR!Y$5</f>
        <v>4Q04</v>
      </c>
      <c r="AB1005" s="3063" t="str">
        <f>RevPAR!Z$5</f>
        <v>2004</v>
      </c>
      <c r="AC1005" s="3062" t="str">
        <f>RevPAR!AA$5</f>
        <v>1Q05</v>
      </c>
      <c r="AD1005" s="3062" t="str">
        <f>RevPAR!AB$5</f>
        <v>2Q05</v>
      </c>
      <c r="AE1005" s="3062" t="str">
        <f>RevPAR!AC$5</f>
        <v>3Q05</v>
      </c>
      <c r="AF1005" s="3062" t="str">
        <f>RevPAR!AD$5</f>
        <v>4Q05</v>
      </c>
      <c r="AG1005" s="3063">
        <f>RevPAR!AE$5</f>
        <v>2005</v>
      </c>
      <c r="AH1005" s="3062" t="str">
        <f>RevPAR!AF$5</f>
        <v>1Q06</v>
      </c>
      <c r="AI1005" s="3062" t="str">
        <f>RevPAR!AG$5</f>
        <v>2Q06</v>
      </c>
      <c r="AJ1005" s="3062" t="str">
        <f>RevPAR!AH$5</f>
        <v>3Q06</v>
      </c>
      <c r="AK1005" s="3062" t="str">
        <f>RevPAR!AI$5</f>
        <v>4Q06</v>
      </c>
      <c r="AL1005" s="3063">
        <f>RevPAR!AJ$5</f>
        <v>2006</v>
      </c>
      <c r="AM1005" s="3062" t="str">
        <f>RevPAR!AK$5</f>
        <v>1Q07</v>
      </c>
      <c r="AN1005" s="3062" t="str">
        <f>RevPAR!AL$5</f>
        <v>2Q07</v>
      </c>
      <c r="AO1005" s="3062" t="str">
        <f>RevPAR!AM$5</f>
        <v>3Q07</v>
      </c>
      <c r="AP1005" s="3062" t="str">
        <f>RevPAR!AN$5</f>
        <v>4Q07</v>
      </c>
      <c r="AQ1005" s="3063" t="str">
        <f>RevPAR!AO$5</f>
        <v>2007</v>
      </c>
      <c r="AR1005" s="3062" t="str">
        <f>RevPAR!AP$5</f>
        <v>1Q08</v>
      </c>
      <c r="AS1005" s="3062" t="str">
        <f>RevPAR!AQ$5</f>
        <v>2Q08</v>
      </c>
      <c r="AT1005" s="3062" t="str">
        <f>RevPAR!AR$5</f>
        <v>3Q08</v>
      </c>
      <c r="AU1005" s="3062" t="str">
        <f>RevPAR!AS$5</f>
        <v>4Q08</v>
      </c>
      <c r="AV1005" s="3063" t="str">
        <f>RevPAR!AT$5</f>
        <v>2008</v>
      </c>
      <c r="AW1005" s="3061" t="str">
        <f>RevPAR!AU$5</f>
        <v>1Q09</v>
      </c>
      <c r="AX1005" s="3062" t="str">
        <f>RevPAR!AV$5</f>
        <v>2Q09</v>
      </c>
      <c r="AY1005" s="3062" t="str">
        <f>RevPAR!AW$5</f>
        <v>3Q09</v>
      </c>
      <c r="AZ1005" s="3062" t="str">
        <f>RevPAR!AX$5</f>
        <v>4Q09</v>
      </c>
      <c r="BA1005" s="3063" t="str">
        <f>RevPAR!AY$5</f>
        <v>2009</v>
      </c>
      <c r="BB1005" s="3062" t="str">
        <f>RevPAR!AZ$5</f>
        <v>1Q10</v>
      </c>
      <c r="BC1005" s="3062" t="str">
        <f>RevPAR!BA$5</f>
        <v>2Q10</v>
      </c>
      <c r="BD1005" s="3062" t="str">
        <f>RevPAR!BB$5</f>
        <v>3Q10</v>
      </c>
      <c r="BE1005" s="3062" t="str">
        <f>RevPAR!BC$5</f>
        <v>4Q10</v>
      </c>
      <c r="BF1005" s="3063" t="str">
        <f>RevPAR!BD$5</f>
        <v>2010</v>
      </c>
      <c r="BG1005" s="3062" t="str">
        <f>RevPAR!BE$5</f>
        <v>1Q11</v>
      </c>
      <c r="BH1005" s="3062" t="str">
        <f>RevPAR!BF$5</f>
        <v>2Q11</v>
      </c>
      <c r="BI1005" s="3062" t="str">
        <f>RevPAR!BG$5</f>
        <v>3Q11</v>
      </c>
      <c r="BJ1005" s="3062" t="str">
        <f>RevPAR!BH$5</f>
        <v>4Q11</v>
      </c>
      <c r="BK1005" s="3063">
        <f>RevPAR!BI$5</f>
        <v>2011</v>
      </c>
      <c r="BL1005" s="3062" t="str">
        <f>RevPAR!BJ$5</f>
        <v>1Q12</v>
      </c>
      <c r="BM1005" s="3062" t="str">
        <f>RevPAR!BK$5</f>
        <v>2Q12</v>
      </c>
      <c r="BN1005" s="3062" t="str">
        <f>RevPAR!BL$5</f>
        <v>3Q12</v>
      </c>
      <c r="BO1005" s="3062" t="str">
        <f>RevPAR!BM$5</f>
        <v>4Q12</v>
      </c>
      <c r="BP1005" s="3063">
        <f>RevPAR!BN$5</f>
        <v>2012</v>
      </c>
      <c r="BQ1005" s="3062" t="str">
        <f>RevPAR!BO$5</f>
        <v>1Q13</v>
      </c>
      <c r="BR1005" s="3062" t="str">
        <f>RevPAR!BP$5</f>
        <v>2Q13</v>
      </c>
      <c r="BS1005" s="3062" t="str">
        <f>RevPAR!BQ$5</f>
        <v>3Q13</v>
      </c>
      <c r="BT1005" s="3062" t="str">
        <f>RevPAR!BR$5</f>
        <v>4Q13</v>
      </c>
      <c r="BU1005" s="3063">
        <f>RevPAR!BS$5</f>
        <v>2013</v>
      </c>
      <c r="BV1005" s="3062" t="str">
        <f>RevPAR!BT$5</f>
        <v>1Q14</v>
      </c>
      <c r="BW1005" s="3062" t="str">
        <f>RevPAR!BU$5</f>
        <v>2Q14</v>
      </c>
      <c r="BX1005" s="3062" t="str">
        <f>RevPAR!BV$5</f>
        <v>3Q14</v>
      </c>
      <c r="BY1005" s="3062" t="str">
        <f>RevPAR!BW$5</f>
        <v>4Q14</v>
      </c>
      <c r="BZ1005" s="3063">
        <f>RevPAR!BX$5</f>
        <v>2014</v>
      </c>
      <c r="CA1005" s="3062" t="str">
        <f>RevPAR!BY$5</f>
        <v>1Q15</v>
      </c>
      <c r="CB1005" s="3062" t="str">
        <f>RevPAR!BZ$5</f>
        <v>2Q15</v>
      </c>
      <c r="CC1005" s="3062" t="str">
        <f>RevPAR!CA$5</f>
        <v>3Q15</v>
      </c>
      <c r="CD1005" s="3062" t="str">
        <f>RevPAR!CB$5</f>
        <v>4Q15</v>
      </c>
      <c r="CE1005" s="3063">
        <f>RevPAR!CC$5</f>
        <v>2015</v>
      </c>
      <c r="CF1005" s="3062" t="str">
        <f>RevPAR!CD$5</f>
        <v>1Q16</v>
      </c>
      <c r="CG1005" s="3062" t="str">
        <f>RevPAR!CE$5</f>
        <v>2Q16</v>
      </c>
      <c r="CH1005" s="3062" t="str">
        <f>RevPAR!CF$5</f>
        <v>3Q16</v>
      </c>
      <c r="CI1005" s="3062" t="str">
        <f>RevPAR!CG$5</f>
        <v>4Q16</v>
      </c>
      <c r="CJ1005" s="3063">
        <f>RevPAR!CH$5</f>
        <v>2016</v>
      </c>
      <c r="CK1005" s="3062" t="s">
        <v>2974</v>
      </c>
      <c r="CL1005" s="3062" t="str">
        <f>RevPAR!CJ$5</f>
        <v>2Q17</v>
      </c>
      <c r="CM1005" s="3062" t="str">
        <f>RevPAR!CK$5</f>
        <v>3Q17</v>
      </c>
      <c r="CN1005" s="3062" t="str">
        <f>RevPAR!CL$5</f>
        <v>4Q17A</v>
      </c>
      <c r="CO1005" s="3063" t="str">
        <f>RevPAR!CM$5</f>
        <v>2017A</v>
      </c>
      <c r="CP1005" s="3062" t="str">
        <f>RevPAR!CN$5</f>
        <v>1Q18E</v>
      </c>
      <c r="CQ1005" s="3062" t="str">
        <f>RevPAR!CO$5</f>
        <v>2Q18E</v>
      </c>
      <c r="CR1005" s="3062" t="str">
        <f>RevPAR!CP$5</f>
        <v>3Q18E</v>
      </c>
      <c r="CS1005" s="3062" t="str">
        <f>RevPAR!CQ$5</f>
        <v>4Q18E</v>
      </c>
      <c r="CT1005" s="3063" t="str">
        <f>RevPAR!CR$5</f>
        <v>2018E</v>
      </c>
      <c r="CU1005" s="3063" t="str">
        <f>RevPAR!CS$5</f>
        <v>2019E</v>
      </c>
      <c r="CV1005" s="3063" t="str">
        <f>RevPAR!CT$5</f>
        <v>2020E</v>
      </c>
      <c r="CW1005" s="234"/>
      <c r="CX1005" s="234"/>
      <c r="CY1005" s="234"/>
      <c r="CZ1005" s="234"/>
      <c r="DA1005" s="234"/>
      <c r="DB1005" s="217"/>
      <c r="DC1005" s="212"/>
      <c r="DD1005" s="234"/>
    </row>
    <row r="1006" spans="1:256" s="207" customFormat="1" x14ac:dyDescent="0.2">
      <c r="A1006" s="1435"/>
      <c r="B1006" s="758"/>
      <c r="C1006" s="776"/>
      <c r="D1006" s="1259"/>
      <c r="E1006" s="1259"/>
      <c r="F1006" s="1259"/>
      <c r="G1006" s="1259"/>
      <c r="H1006" s="1259"/>
      <c r="I1006" s="1259"/>
      <c r="J1006" s="1259"/>
      <c r="K1006" s="1259"/>
      <c r="L1006" s="1259"/>
      <c r="M1006" s="1259"/>
      <c r="N1006" s="1259"/>
      <c r="O1006" s="1259"/>
      <c r="P1006" s="1259"/>
      <c r="Q1006" s="1259"/>
      <c r="R1006" s="1259"/>
      <c r="S1006" s="1259"/>
      <c r="T1006" s="1259"/>
      <c r="U1006" s="1259"/>
      <c r="V1006" s="1259"/>
      <c r="W1006" s="1259"/>
      <c r="X1006" s="1259"/>
      <c r="Y1006" s="1259"/>
      <c r="Z1006" s="1259"/>
      <c r="AA1006" s="1259"/>
      <c r="AB1006" s="1259"/>
      <c r="AC1006" s="1259"/>
      <c r="AD1006" s="1259"/>
      <c r="AE1006" s="1259"/>
      <c r="AF1006" s="1259"/>
      <c r="AG1006" s="1259"/>
      <c r="AH1006" s="1259"/>
      <c r="AI1006" s="1259"/>
      <c r="AJ1006" s="1259"/>
      <c r="AK1006" s="1259"/>
      <c r="AL1006" s="1259"/>
      <c r="AM1006" s="1259"/>
      <c r="AN1006" s="1259"/>
      <c r="AO1006" s="1259"/>
      <c r="AP1006" s="1259"/>
      <c r="AQ1006" s="1259"/>
      <c r="AR1006" s="1259"/>
      <c r="AS1006" s="1259"/>
      <c r="AT1006" s="1259"/>
      <c r="AU1006" s="1259"/>
      <c r="AV1006" s="1259"/>
      <c r="AW1006" s="1259"/>
      <c r="AX1006" s="1259"/>
      <c r="AY1006" s="1259"/>
      <c r="AZ1006" s="1259"/>
      <c r="BA1006" s="1259"/>
      <c r="BB1006" s="1259"/>
      <c r="BC1006" s="1259"/>
      <c r="BD1006" s="1259"/>
      <c r="BE1006" s="1259"/>
      <c r="BF1006" s="1247"/>
      <c r="BG1006" s="1259"/>
      <c r="BH1006" s="1259"/>
      <c r="BI1006" s="1259"/>
      <c r="BJ1006" s="1259"/>
      <c r="BK1006" s="1247"/>
      <c r="BL1006" s="758"/>
      <c r="BM1006" s="758"/>
      <c r="BN1006" s="758"/>
      <c r="BO1006" s="758"/>
      <c r="BP1006" s="752"/>
      <c r="BQ1006" s="758"/>
      <c r="BR1006" s="758"/>
      <c r="BS1006" s="758"/>
      <c r="BT1006" s="758"/>
      <c r="BU1006" s="752"/>
      <c r="BV1006" s="758"/>
      <c r="BW1006" s="758"/>
      <c r="BX1006" s="758"/>
      <c r="BY1006" s="758"/>
      <c r="BZ1006" s="752"/>
      <c r="CA1006" s="758"/>
      <c r="CB1006" s="758"/>
      <c r="CC1006" s="758"/>
      <c r="CD1006" s="758"/>
      <c r="CE1006" s="752"/>
      <c r="CF1006" s="758"/>
      <c r="CG1006" s="723"/>
      <c r="CH1006" s="758"/>
      <c r="CI1006" s="758"/>
      <c r="CJ1006" s="752"/>
      <c r="CK1006" s="3519"/>
      <c r="CL1006" s="758"/>
      <c r="CM1006" s="758"/>
      <c r="CN1006" s="758"/>
      <c r="CO1006" s="752"/>
      <c r="CP1006" s="3519"/>
      <c r="CQ1006" s="758"/>
      <c r="CR1006" s="758"/>
      <c r="CS1006" s="758"/>
      <c r="CT1006" s="752"/>
      <c r="CU1006" s="752"/>
      <c r="CV1006" s="752"/>
      <c r="CW1006" s="234"/>
      <c r="CX1006" s="234"/>
      <c r="CY1006" s="234"/>
      <c r="CZ1006" s="234"/>
      <c r="DA1006" s="234"/>
      <c r="DB1006" s="217"/>
      <c r="DC1006" s="212"/>
      <c r="DD1006" s="234"/>
      <c r="DF1006" s="234"/>
      <c r="DG1006" s="234"/>
      <c r="DH1006" s="234"/>
      <c r="DI1006" s="234"/>
      <c r="DJ1006" s="234"/>
      <c r="DK1006" s="234"/>
      <c r="DL1006" s="234"/>
      <c r="DM1006" s="234"/>
      <c r="DN1006" s="234"/>
      <c r="DO1006" s="234"/>
      <c r="DP1006" s="234"/>
      <c r="DQ1006" s="234"/>
      <c r="DR1006" s="234"/>
      <c r="DS1006" s="234"/>
      <c r="DT1006" s="234"/>
      <c r="DU1006" s="234"/>
      <c r="DV1006" s="234"/>
      <c r="DW1006" s="234"/>
      <c r="DX1006" s="234"/>
      <c r="DY1006" s="234"/>
      <c r="DZ1006" s="234"/>
      <c r="EA1006" s="234"/>
      <c r="EB1006" s="234"/>
      <c r="EC1006" s="234"/>
      <c r="ED1006" s="234"/>
      <c r="EE1006" s="234"/>
      <c r="EF1006" s="234"/>
      <c r="EG1006" s="234"/>
      <c r="EH1006" s="234"/>
      <c r="EI1006" s="234"/>
      <c r="EJ1006" s="234"/>
      <c r="EK1006" s="234"/>
      <c r="EL1006" s="234"/>
      <c r="EM1006" s="234"/>
      <c r="EN1006" s="234"/>
      <c r="EO1006" s="234"/>
      <c r="EP1006" s="234"/>
      <c r="EQ1006" s="234"/>
      <c r="ER1006" s="234"/>
      <c r="ES1006" s="234"/>
      <c r="ET1006" s="234"/>
      <c r="EU1006" s="234"/>
      <c r="EV1006" s="234"/>
      <c r="EW1006" s="234"/>
      <c r="EX1006" s="234"/>
      <c r="EY1006" s="234"/>
      <c r="EZ1006" s="234"/>
      <c r="FA1006" s="234"/>
      <c r="FB1006" s="234"/>
      <c r="FC1006" s="234"/>
      <c r="FD1006" s="234"/>
      <c r="FE1006" s="234"/>
      <c r="FF1006" s="234"/>
      <c r="FG1006" s="234"/>
      <c r="FH1006" s="234"/>
      <c r="FI1006" s="234"/>
      <c r="FJ1006" s="234"/>
      <c r="FK1006" s="234"/>
      <c r="FL1006" s="234"/>
      <c r="FM1006" s="234"/>
      <c r="FN1006" s="234"/>
      <c r="FO1006" s="234"/>
      <c r="FP1006" s="234"/>
      <c r="FQ1006" s="234"/>
      <c r="FR1006" s="234"/>
      <c r="FS1006" s="234"/>
      <c r="FT1006" s="234"/>
      <c r="FU1006" s="234"/>
      <c r="FV1006" s="234"/>
      <c r="FW1006" s="234"/>
      <c r="FX1006" s="234"/>
      <c r="FY1006" s="234"/>
      <c r="FZ1006" s="234"/>
      <c r="GA1006" s="234"/>
      <c r="GB1006" s="234"/>
      <c r="GC1006" s="234"/>
      <c r="GD1006" s="234"/>
      <c r="GE1006" s="234"/>
      <c r="GF1006" s="234"/>
      <c r="GG1006" s="234"/>
      <c r="GH1006" s="234"/>
      <c r="GI1006" s="234"/>
      <c r="GJ1006" s="234"/>
      <c r="GK1006" s="234"/>
      <c r="GL1006" s="234"/>
      <c r="GM1006" s="234"/>
      <c r="GN1006" s="234"/>
      <c r="GO1006" s="234"/>
      <c r="GP1006" s="234"/>
      <c r="GQ1006" s="234"/>
      <c r="GR1006" s="234"/>
      <c r="GS1006" s="234"/>
      <c r="GT1006" s="234"/>
      <c r="GU1006" s="234"/>
      <c r="GV1006" s="234"/>
      <c r="GW1006" s="234"/>
      <c r="GX1006" s="234"/>
      <c r="GY1006" s="234"/>
      <c r="GZ1006" s="234"/>
      <c r="HA1006" s="234"/>
      <c r="HB1006" s="234"/>
      <c r="HC1006" s="234"/>
      <c r="HD1006" s="234"/>
      <c r="HE1006" s="234"/>
      <c r="HF1006" s="234"/>
      <c r="HG1006" s="234"/>
      <c r="HH1006" s="234"/>
      <c r="HI1006" s="234"/>
      <c r="HJ1006" s="234"/>
      <c r="HK1006" s="234"/>
      <c r="HL1006" s="234"/>
      <c r="HM1006" s="234"/>
      <c r="HN1006" s="234"/>
      <c r="HO1006" s="234"/>
      <c r="HP1006" s="234"/>
      <c r="HQ1006" s="234"/>
      <c r="HR1006" s="234"/>
      <c r="HS1006" s="234"/>
      <c r="HT1006" s="234"/>
      <c r="HU1006" s="234"/>
      <c r="HV1006" s="234"/>
      <c r="HW1006" s="234"/>
      <c r="HX1006" s="234"/>
      <c r="HY1006" s="234"/>
      <c r="HZ1006" s="234"/>
      <c r="IA1006" s="234"/>
      <c r="IB1006" s="234"/>
      <c r="IC1006" s="234"/>
      <c r="ID1006" s="234"/>
      <c r="IE1006" s="234"/>
      <c r="IF1006" s="234"/>
      <c r="IG1006" s="234"/>
      <c r="IH1006" s="234"/>
      <c r="II1006" s="234"/>
      <c r="IJ1006" s="234"/>
      <c r="IK1006" s="234"/>
      <c r="IL1006" s="234"/>
      <c r="IM1006" s="234"/>
      <c r="IN1006" s="234"/>
      <c r="IO1006" s="234"/>
      <c r="IP1006" s="234"/>
      <c r="IQ1006" s="234"/>
      <c r="IR1006" s="234"/>
      <c r="IS1006" s="234"/>
      <c r="IT1006" s="234"/>
      <c r="IU1006" s="234"/>
      <c r="IV1006" s="234"/>
    </row>
    <row r="1007" spans="1:256" s="207" customFormat="1" x14ac:dyDescent="0.2">
      <c r="A1007" s="1434" t="s">
        <v>128</v>
      </c>
      <c r="B1007" s="758"/>
      <c r="C1007" s="758"/>
      <c r="D1007" s="758"/>
      <c r="E1007" s="758"/>
      <c r="F1007" s="758"/>
      <c r="G1007" s="758"/>
      <c r="H1007" s="758"/>
      <c r="I1007" s="758"/>
      <c r="J1007" s="758"/>
      <c r="K1007" s="758"/>
      <c r="L1007" s="758"/>
      <c r="M1007" s="758"/>
      <c r="N1007" s="758"/>
      <c r="O1007" s="758"/>
      <c r="P1007" s="758"/>
      <c r="Q1007" s="758"/>
      <c r="R1007" s="758"/>
      <c r="S1007" s="758"/>
      <c r="T1007" s="758"/>
      <c r="U1007" s="758"/>
      <c r="V1007" s="758"/>
      <c r="W1007" s="758"/>
      <c r="X1007" s="758"/>
      <c r="Y1007" s="758"/>
      <c r="Z1007" s="758"/>
      <c r="AA1007" s="758"/>
      <c r="AB1007" s="758"/>
      <c r="AC1007" s="756">
        <v>0.35</v>
      </c>
      <c r="AD1007" s="758"/>
      <c r="AE1007" s="756">
        <v>0.4</v>
      </c>
      <c r="AF1007" s="758"/>
      <c r="AG1007" s="758"/>
      <c r="AH1007" s="756">
        <v>0.3</v>
      </c>
      <c r="AI1007" s="758"/>
      <c r="AJ1007" s="758"/>
      <c r="AK1007" s="756">
        <v>0.3</v>
      </c>
      <c r="AL1007" s="758"/>
      <c r="AM1007" s="758"/>
      <c r="AN1007" s="758"/>
      <c r="AO1007" s="758"/>
      <c r="AP1007" s="758"/>
      <c r="AQ1007" s="758"/>
      <c r="AR1007" s="758"/>
      <c r="AS1007" s="758"/>
      <c r="AT1007" s="758"/>
      <c r="AU1007" s="758"/>
      <c r="AV1007" s="758"/>
      <c r="AW1007" s="758"/>
      <c r="AX1007" s="758"/>
      <c r="AY1007" s="758"/>
      <c r="AZ1007" s="758"/>
      <c r="BA1007" s="758"/>
      <c r="BB1007" s="758"/>
      <c r="BC1007" s="758"/>
      <c r="BD1007" s="758"/>
      <c r="BE1007" s="758"/>
      <c r="BF1007" s="752"/>
      <c r="BG1007" s="758"/>
      <c r="BH1007" s="758"/>
      <c r="BI1007" s="758"/>
      <c r="BJ1007" s="758"/>
      <c r="BK1007" s="752"/>
      <c r="BL1007" s="758"/>
      <c r="BM1007" s="758"/>
      <c r="BN1007" s="758"/>
      <c r="BO1007" s="758"/>
      <c r="BP1007" s="752"/>
      <c r="BQ1007" s="758"/>
      <c r="BR1007" s="758"/>
      <c r="BS1007" s="758"/>
      <c r="BT1007" s="758"/>
      <c r="BU1007" s="752"/>
      <c r="BV1007" s="758"/>
      <c r="BW1007" s="758"/>
      <c r="BX1007" s="758"/>
      <c r="BY1007" s="758"/>
      <c r="BZ1007" s="752"/>
      <c r="CA1007" s="758"/>
      <c r="CB1007" s="758"/>
      <c r="CC1007" s="758"/>
      <c r="CD1007" s="758"/>
      <c r="CE1007" s="752"/>
      <c r="CF1007" s="758"/>
      <c r="CG1007" s="884"/>
      <c r="CH1007" s="758"/>
      <c r="CI1007" s="758"/>
      <c r="CJ1007" s="752"/>
      <c r="CK1007" s="3519"/>
      <c r="CL1007" s="758"/>
      <c r="CM1007" s="758"/>
      <c r="CN1007" s="758"/>
      <c r="CO1007" s="752"/>
      <c r="CP1007" s="3519"/>
      <c r="CQ1007" s="758"/>
      <c r="CR1007" s="758"/>
      <c r="CS1007" s="758"/>
      <c r="CT1007" s="752"/>
      <c r="CU1007" s="752"/>
      <c r="CV1007" s="752"/>
      <c r="CW1007" s="234"/>
      <c r="CX1007" s="234"/>
      <c r="CY1007" s="234"/>
      <c r="CZ1007" s="234"/>
      <c r="DA1007" s="234"/>
      <c r="DB1007" s="217"/>
      <c r="DC1007" s="212"/>
      <c r="DD1007" s="234"/>
      <c r="DF1007" s="234"/>
      <c r="DG1007" s="234"/>
      <c r="DH1007" s="234"/>
      <c r="DI1007" s="234"/>
      <c r="DJ1007" s="234"/>
      <c r="DK1007" s="234"/>
      <c r="DL1007" s="234"/>
      <c r="DM1007" s="234"/>
      <c r="DN1007" s="234"/>
      <c r="DO1007" s="234"/>
      <c r="DP1007" s="234"/>
      <c r="DQ1007" s="234"/>
      <c r="DR1007" s="234"/>
      <c r="DS1007" s="234"/>
      <c r="DT1007" s="234"/>
      <c r="DU1007" s="234"/>
      <c r="DV1007" s="234"/>
      <c r="DW1007" s="234"/>
      <c r="DX1007" s="234"/>
      <c r="DY1007" s="234"/>
      <c r="DZ1007" s="234"/>
      <c r="EA1007" s="234"/>
      <c r="EB1007" s="234"/>
      <c r="EC1007" s="234"/>
      <c r="ED1007" s="234"/>
      <c r="EE1007" s="234"/>
      <c r="EF1007" s="234"/>
      <c r="EG1007" s="234"/>
      <c r="EH1007" s="234"/>
      <c r="EI1007" s="234"/>
      <c r="EJ1007" s="234"/>
      <c r="EK1007" s="234"/>
      <c r="EL1007" s="234"/>
      <c r="EM1007" s="234"/>
      <c r="EN1007" s="234"/>
      <c r="EO1007" s="234"/>
      <c r="EP1007" s="234"/>
      <c r="EQ1007" s="234"/>
      <c r="ER1007" s="234"/>
      <c r="ES1007" s="234"/>
      <c r="ET1007" s="234"/>
      <c r="EU1007" s="234"/>
      <c r="EV1007" s="234"/>
      <c r="EW1007" s="234"/>
      <c r="EX1007" s="234"/>
      <c r="EY1007" s="234"/>
      <c r="EZ1007" s="234"/>
      <c r="FA1007" s="234"/>
      <c r="FB1007" s="234"/>
      <c r="FC1007" s="234"/>
      <c r="FD1007" s="234"/>
      <c r="FE1007" s="234"/>
      <c r="FF1007" s="234"/>
      <c r="FG1007" s="234"/>
      <c r="FH1007" s="234"/>
      <c r="FI1007" s="234"/>
      <c r="FJ1007" s="234"/>
      <c r="FK1007" s="234"/>
      <c r="FL1007" s="234"/>
      <c r="FM1007" s="234"/>
      <c r="FN1007" s="234"/>
      <c r="FO1007" s="234"/>
      <c r="FP1007" s="234"/>
      <c r="FQ1007" s="234"/>
      <c r="FR1007" s="234"/>
      <c r="FS1007" s="234"/>
      <c r="FT1007" s="234"/>
      <c r="FU1007" s="234"/>
      <c r="FV1007" s="234"/>
      <c r="FW1007" s="234"/>
      <c r="FX1007" s="234"/>
      <c r="FY1007" s="234"/>
      <c r="FZ1007" s="234"/>
      <c r="GA1007" s="234"/>
      <c r="GB1007" s="234"/>
      <c r="GC1007" s="234"/>
      <c r="GD1007" s="234"/>
      <c r="GE1007" s="234"/>
      <c r="GF1007" s="234"/>
      <c r="GG1007" s="234"/>
      <c r="GH1007" s="234"/>
      <c r="GI1007" s="234"/>
      <c r="GJ1007" s="234"/>
      <c r="GK1007" s="234"/>
      <c r="GL1007" s="234"/>
      <c r="GM1007" s="234"/>
      <c r="GN1007" s="234"/>
      <c r="GO1007" s="234"/>
      <c r="GP1007" s="234"/>
      <c r="GQ1007" s="234"/>
      <c r="GR1007" s="234"/>
      <c r="GS1007" s="234"/>
      <c r="GT1007" s="234"/>
      <c r="GU1007" s="234"/>
      <c r="GV1007" s="234"/>
      <c r="GW1007" s="234"/>
      <c r="GX1007" s="234"/>
      <c r="GY1007" s="234"/>
      <c r="GZ1007" s="234"/>
      <c r="HA1007" s="234"/>
      <c r="HB1007" s="234"/>
      <c r="HC1007" s="234"/>
      <c r="HD1007" s="234"/>
      <c r="HE1007" s="234"/>
      <c r="HF1007" s="234"/>
      <c r="HG1007" s="234"/>
      <c r="HH1007" s="234"/>
      <c r="HI1007" s="234"/>
      <c r="HJ1007" s="234"/>
      <c r="HK1007" s="234"/>
      <c r="HL1007" s="234"/>
      <c r="HM1007" s="234"/>
      <c r="HN1007" s="234"/>
      <c r="HO1007" s="234"/>
      <c r="HP1007" s="234"/>
      <c r="HQ1007" s="234"/>
      <c r="HR1007" s="234"/>
      <c r="HS1007" s="234"/>
      <c r="HT1007" s="234"/>
      <c r="HU1007" s="234"/>
      <c r="HV1007" s="234"/>
      <c r="HW1007" s="234"/>
      <c r="HX1007" s="234"/>
      <c r="HY1007" s="234"/>
      <c r="HZ1007" s="234"/>
      <c r="IA1007" s="234"/>
      <c r="IB1007" s="234"/>
      <c r="IC1007" s="234"/>
      <c r="ID1007" s="234"/>
      <c r="IE1007" s="234"/>
      <c r="IF1007" s="234"/>
      <c r="IG1007" s="234"/>
      <c r="IH1007" s="234"/>
      <c r="II1007" s="234"/>
      <c r="IJ1007" s="234"/>
      <c r="IK1007" s="234"/>
      <c r="IL1007" s="234"/>
      <c r="IM1007" s="234"/>
      <c r="IN1007" s="234"/>
      <c r="IO1007" s="234"/>
      <c r="IP1007" s="234"/>
      <c r="IQ1007" s="234"/>
      <c r="IR1007" s="234"/>
      <c r="IS1007" s="234"/>
      <c r="IT1007" s="234"/>
      <c r="IU1007" s="234"/>
      <c r="IV1007" s="234"/>
    </row>
    <row r="1008" spans="1:256" s="234" customFormat="1" x14ac:dyDescent="0.2">
      <c r="A1008" s="1434" t="s">
        <v>129</v>
      </c>
      <c r="B1008" s="758"/>
      <c r="C1008" s="758"/>
      <c r="D1008" s="758"/>
      <c r="E1008" s="758"/>
      <c r="F1008" s="758"/>
      <c r="G1008" s="758"/>
      <c r="H1008" s="758"/>
      <c r="I1008" s="758"/>
      <c r="J1008" s="758"/>
      <c r="K1008" s="758"/>
      <c r="L1008" s="758"/>
      <c r="M1008" s="758"/>
      <c r="N1008" s="758"/>
      <c r="O1008" s="758"/>
      <c r="P1008" s="758"/>
      <c r="Q1008" s="758"/>
      <c r="R1008" s="758"/>
      <c r="S1008" s="758"/>
      <c r="T1008" s="758"/>
      <c r="U1008" s="758"/>
      <c r="V1008" s="758"/>
      <c r="W1008" s="758"/>
      <c r="X1008" s="758"/>
      <c r="Y1008" s="758"/>
      <c r="Z1008" s="758"/>
      <c r="AA1008" s="758"/>
      <c r="AB1008" s="758"/>
      <c r="AC1008" s="756">
        <v>55000</v>
      </c>
      <c r="AD1008" s="756">
        <v>60000</v>
      </c>
      <c r="AE1008" s="756">
        <v>60000</v>
      </c>
      <c r="AF1008" s="756">
        <v>70000</v>
      </c>
      <c r="AG1008" s="1254">
        <f>+AF1008</f>
        <v>70000</v>
      </c>
      <c r="AH1008" s="756">
        <v>75000</v>
      </c>
      <c r="AI1008" s="756">
        <v>80000</v>
      </c>
      <c r="AJ1008" s="756">
        <v>85000</v>
      </c>
      <c r="AK1008" s="756">
        <v>100000</v>
      </c>
      <c r="AL1008" s="1254">
        <f>+AK1008</f>
        <v>100000</v>
      </c>
      <c r="AM1008" s="756">
        <v>100000</v>
      </c>
      <c r="AN1008" s="756">
        <v>110000</v>
      </c>
      <c r="AO1008" s="756">
        <v>115000</v>
      </c>
      <c r="AP1008" s="756">
        <v>125000</v>
      </c>
      <c r="AQ1008" s="1254">
        <f>+AP1008</f>
        <v>125000</v>
      </c>
      <c r="AR1008" s="756">
        <v>130000</v>
      </c>
      <c r="AS1008" s="756">
        <v>130000</v>
      </c>
      <c r="AT1008" s="756">
        <v>130000</v>
      </c>
      <c r="AU1008" s="756">
        <v>125000</v>
      </c>
      <c r="AV1008" s="1254">
        <f>+AU1008</f>
        <v>125000</v>
      </c>
      <c r="AW1008" s="756">
        <v>115000</v>
      </c>
      <c r="AX1008" s="756">
        <v>110000</v>
      </c>
      <c r="AY1008" s="756">
        <v>110000</v>
      </c>
      <c r="AZ1008" s="756">
        <v>100000</v>
      </c>
      <c r="BA1008" s="1254">
        <f>+AZ1008</f>
        <v>100000</v>
      </c>
      <c r="BB1008" s="756">
        <v>95000</v>
      </c>
      <c r="BC1008" s="756">
        <v>95000</v>
      </c>
      <c r="BD1008" s="756">
        <v>95000</v>
      </c>
      <c r="BE1008" s="756">
        <v>105000</v>
      </c>
      <c r="BF1008" s="1262">
        <f>+BE1008</f>
        <v>105000</v>
      </c>
      <c r="BG1008" s="756">
        <v>95000</v>
      </c>
      <c r="BH1008" s="756">
        <v>100000</v>
      </c>
      <c r="BI1008" s="756">
        <v>105000</v>
      </c>
      <c r="BJ1008" s="756">
        <v>110000</v>
      </c>
      <c r="BK1008" s="1262">
        <f>+BJ1008</f>
        <v>110000</v>
      </c>
      <c r="BL1008" s="756">
        <v>115000</v>
      </c>
      <c r="BM1008" s="756">
        <v>115000</v>
      </c>
      <c r="BN1008" s="756">
        <v>120000</v>
      </c>
      <c r="BO1008" s="756">
        <v>130000</v>
      </c>
      <c r="BP1008" s="752">
        <f>+BO1008</f>
        <v>130000</v>
      </c>
      <c r="BQ1008" s="756">
        <v>135000</v>
      </c>
      <c r="BR1008" s="756">
        <v>140000</v>
      </c>
      <c r="BS1008" s="756">
        <v>144000</v>
      </c>
      <c r="BT1008" s="2407">
        <v>195000</v>
      </c>
      <c r="BU1008" s="752">
        <f>+BT1008</f>
        <v>195000</v>
      </c>
      <c r="BV1008" s="756">
        <v>200000</v>
      </c>
      <c r="BW1008" s="756">
        <v>215000</v>
      </c>
      <c r="BX1008" s="756">
        <v>225000</v>
      </c>
      <c r="BY1008" s="756">
        <v>240000</v>
      </c>
      <c r="BZ1008" s="752">
        <f>+BY1008</f>
        <v>240000</v>
      </c>
      <c r="CA1008" s="756">
        <v>240000</v>
      </c>
      <c r="CB1008" s="756">
        <v>250000</v>
      </c>
      <c r="CC1008" s="756">
        <v>260000</v>
      </c>
      <c r="CD1008" s="756">
        <v>270000</v>
      </c>
      <c r="CE1008" s="752">
        <f>+CD1008</f>
        <v>270000</v>
      </c>
      <c r="CF1008" s="756">
        <v>275000</v>
      </c>
      <c r="CG1008" s="756">
        <v>285000</v>
      </c>
      <c r="CH1008" s="756">
        <v>420000</v>
      </c>
      <c r="CI1008" s="756">
        <v>420000</v>
      </c>
      <c r="CJ1008" s="752">
        <f>+CI1008</f>
        <v>420000</v>
      </c>
      <c r="CK1008" s="3518">
        <v>430000</v>
      </c>
      <c r="CL1008" s="3518">
        <v>440000</v>
      </c>
      <c r="CM1008" s="3518">
        <v>450000</v>
      </c>
      <c r="CN1008" s="3518">
        <v>460000</v>
      </c>
      <c r="CO1008" s="752"/>
      <c r="CP1008" s="3518"/>
      <c r="CQ1008" s="3518"/>
      <c r="CR1008" s="758"/>
      <c r="CS1008" s="758"/>
      <c r="CT1008" s="752"/>
      <c r="CU1008" s="752"/>
      <c r="CV1008" s="752"/>
      <c r="DB1008" s="217"/>
      <c r="DC1008" s="212"/>
      <c r="DE1008" s="207"/>
    </row>
    <row r="1009" spans="1:256" s="234" customFormat="1" x14ac:dyDescent="0.2">
      <c r="A1009" s="1434" t="s">
        <v>130</v>
      </c>
      <c r="B1009" s="758"/>
      <c r="C1009" s="758"/>
      <c r="D1009" s="758"/>
      <c r="E1009" s="758"/>
      <c r="F1009" s="758"/>
      <c r="G1009" s="758"/>
      <c r="H1009" s="758"/>
      <c r="I1009" s="758"/>
      <c r="J1009" s="758"/>
      <c r="K1009" s="758"/>
      <c r="L1009" s="758"/>
      <c r="M1009" s="758"/>
      <c r="N1009" s="758"/>
      <c r="O1009" s="758"/>
      <c r="P1009" s="758"/>
      <c r="Q1009" s="758"/>
      <c r="R1009" s="758"/>
      <c r="S1009" s="758"/>
      <c r="T1009" s="758"/>
      <c r="U1009" s="758"/>
      <c r="V1009" s="758"/>
      <c r="W1009" s="758"/>
      <c r="X1009" s="758"/>
      <c r="Y1009" s="758"/>
      <c r="Z1009" s="758"/>
      <c r="AA1009" s="758"/>
      <c r="AB1009" s="758"/>
      <c r="AC1009" s="756">
        <v>350</v>
      </c>
      <c r="AD1009" s="756">
        <v>370</v>
      </c>
      <c r="AE1009" s="756">
        <v>400</v>
      </c>
      <c r="AF1009" s="758"/>
      <c r="AG1009" s="758"/>
      <c r="AH1009" s="758"/>
      <c r="AI1009" s="758"/>
      <c r="AJ1009" s="758"/>
      <c r="AK1009" s="758"/>
      <c r="AL1009" s="758"/>
      <c r="AM1009" s="758"/>
      <c r="AN1009" s="758"/>
      <c r="AO1009" s="758"/>
      <c r="AP1009" s="758"/>
      <c r="AQ1009" s="758"/>
      <c r="AR1009" s="758"/>
      <c r="AS1009" s="758"/>
      <c r="AT1009" s="758"/>
      <c r="AU1009" s="758"/>
      <c r="AV1009" s="758"/>
      <c r="AW1009" s="758"/>
      <c r="AX1009" s="758"/>
      <c r="AY1009" s="758"/>
      <c r="AZ1009" s="758"/>
      <c r="BA1009" s="758"/>
      <c r="BB1009" s="758"/>
      <c r="BC1009" s="758"/>
      <c r="BD1009" s="758"/>
      <c r="BE1009" s="758"/>
      <c r="BF1009" s="752"/>
      <c r="BG1009" s="758"/>
      <c r="BH1009" s="758"/>
      <c r="BI1009" s="758"/>
      <c r="BJ1009" s="758"/>
      <c r="BK1009" s="752"/>
      <c r="BL1009" s="756">
        <v>700</v>
      </c>
      <c r="BM1009" s="756">
        <v>700</v>
      </c>
      <c r="BN1009" s="756">
        <v>730</v>
      </c>
      <c r="BO1009" s="756">
        <v>800</v>
      </c>
      <c r="BP1009" s="752">
        <f>+BO1009</f>
        <v>800</v>
      </c>
      <c r="BQ1009" s="756">
        <v>800</v>
      </c>
      <c r="BR1009" s="756">
        <v>850</v>
      </c>
      <c r="BS1009" s="756">
        <v>850</v>
      </c>
      <c r="BT1009" s="756">
        <v>1165</v>
      </c>
      <c r="BU1009" s="752">
        <f>+BT1009</f>
        <v>1165</v>
      </c>
      <c r="BV1009" s="758"/>
      <c r="BW1009" s="758"/>
      <c r="BX1009" s="758"/>
      <c r="BY1009" s="758"/>
      <c r="BZ1009" s="752"/>
      <c r="CA1009" s="758"/>
      <c r="CB1009" s="758"/>
      <c r="CC1009" s="758"/>
      <c r="CD1009" s="758"/>
      <c r="CE1009" s="752"/>
      <c r="CF1009" s="758"/>
      <c r="CG1009" s="758"/>
      <c r="CH1009" s="758"/>
      <c r="CI1009" s="758"/>
      <c r="CJ1009" s="752"/>
      <c r="CK1009" s="3519"/>
      <c r="CL1009" s="758"/>
      <c r="CM1009" s="758"/>
      <c r="CN1009" s="758"/>
      <c r="CO1009" s="752"/>
      <c r="CP1009" s="3519"/>
      <c r="CQ1009" s="758"/>
      <c r="CR1009" s="758"/>
      <c r="CS1009" s="758"/>
      <c r="CT1009" s="752"/>
      <c r="CU1009" s="752"/>
      <c r="CV1009" s="752"/>
      <c r="DB1009" s="217"/>
      <c r="DC1009" s="212"/>
      <c r="DE1009" s="207"/>
    </row>
    <row r="1010" spans="1:256" s="234" customFormat="1" x14ac:dyDescent="0.2">
      <c r="A1010" s="1434" t="s">
        <v>571</v>
      </c>
      <c r="B1010" s="758"/>
      <c r="C1010" s="758"/>
      <c r="D1010" s="758"/>
      <c r="E1010" s="758"/>
      <c r="F1010" s="758"/>
      <c r="G1010" s="758"/>
      <c r="H1010" s="758"/>
      <c r="I1010" s="758"/>
      <c r="J1010" s="758"/>
      <c r="K1010" s="758"/>
      <c r="L1010" s="758"/>
      <c r="M1010" s="758"/>
      <c r="N1010" s="758"/>
      <c r="O1010" s="758"/>
      <c r="P1010" s="758"/>
      <c r="Q1010" s="758"/>
      <c r="R1010" s="758"/>
      <c r="S1010" s="758"/>
      <c r="T1010" s="758"/>
      <c r="U1010" s="758"/>
      <c r="V1010" s="758"/>
      <c r="W1010" s="758"/>
      <c r="X1010" s="758"/>
      <c r="Y1010" s="758"/>
      <c r="Z1010" s="758"/>
      <c r="AA1010" s="758"/>
      <c r="AB1010" s="758"/>
      <c r="AC1010" s="756">
        <v>0.4</v>
      </c>
      <c r="AD1010" s="758"/>
      <c r="AE1010" s="758"/>
      <c r="AF1010" s="758"/>
      <c r="AG1010" s="758"/>
      <c r="AH1010" s="758"/>
      <c r="AI1010" s="758"/>
      <c r="AJ1010" s="758"/>
      <c r="AK1010" s="756">
        <v>0.4</v>
      </c>
      <c r="AL1010" s="758"/>
      <c r="AM1010" s="758"/>
      <c r="AN1010" s="758"/>
      <c r="AO1010" s="756">
        <v>0.5</v>
      </c>
      <c r="AP1010" s="758"/>
      <c r="AQ1010" s="758"/>
      <c r="AR1010" s="756">
        <v>0.5</v>
      </c>
      <c r="AS1010" s="758"/>
      <c r="AT1010" s="758"/>
      <c r="AU1010" s="756">
        <v>0.3</v>
      </c>
      <c r="AV1010" s="758"/>
      <c r="AW1010" s="758"/>
      <c r="AX1010" s="758"/>
      <c r="AY1010" s="758"/>
      <c r="AZ1010" s="756">
        <v>0.35</v>
      </c>
      <c r="BA1010" s="758"/>
      <c r="BB1010" s="758"/>
      <c r="BC1010" s="758"/>
      <c r="BD1010" s="758"/>
      <c r="BE1010" s="758"/>
      <c r="BF1010" s="752"/>
      <c r="BG1010" s="758"/>
      <c r="BH1010" s="758"/>
      <c r="BI1010" s="758"/>
      <c r="BJ1010" s="758"/>
      <c r="BK1010" s="752"/>
      <c r="BL1010" s="758"/>
      <c r="BM1010" s="758"/>
      <c r="BN1010" s="758"/>
      <c r="BO1010" s="758"/>
      <c r="BP1010" s="752"/>
      <c r="BQ1010" s="758"/>
      <c r="BR1010" s="758"/>
      <c r="BS1010" s="758"/>
      <c r="BT1010" s="758"/>
      <c r="BU1010" s="752"/>
      <c r="BV1010" s="758"/>
      <c r="BW1010" s="243"/>
      <c r="BX1010" s="243"/>
      <c r="BY1010" s="243"/>
      <c r="BZ1010" s="752"/>
      <c r="CA1010" s="758"/>
      <c r="CB1010" s="758"/>
      <c r="CC1010" s="758"/>
      <c r="CD1010" s="758"/>
      <c r="CE1010" s="752"/>
      <c r="CF1010" s="758"/>
      <c r="CG1010" s="758"/>
      <c r="CH1010" s="758"/>
      <c r="CI1010" s="758"/>
      <c r="CJ1010" s="752"/>
      <c r="CK1010" s="3519"/>
      <c r="CL1010" s="758"/>
      <c r="CM1010" s="758"/>
      <c r="CN1010" s="758"/>
      <c r="CO1010" s="752"/>
      <c r="CP1010" s="3519"/>
      <c r="CQ1010" s="758"/>
      <c r="CR1010" s="758"/>
      <c r="CS1010" s="758"/>
      <c r="CT1010" s="752"/>
      <c r="CU1010" s="752"/>
      <c r="CV1010" s="752"/>
      <c r="DB1010" s="217"/>
      <c r="DC1010" s="212"/>
      <c r="DE1010" s="207"/>
    </row>
    <row r="1011" spans="1:256" s="234" customFormat="1" x14ac:dyDescent="0.2">
      <c r="A1011" s="1434" t="s">
        <v>572</v>
      </c>
      <c r="B1011" s="758"/>
      <c r="C1011" s="758"/>
      <c r="D1011" s="758"/>
      <c r="E1011" s="758"/>
      <c r="F1011" s="758"/>
      <c r="G1011" s="758"/>
      <c r="H1011" s="758"/>
      <c r="I1011" s="758"/>
      <c r="J1011" s="758"/>
      <c r="K1011" s="758"/>
      <c r="L1011" s="758"/>
      <c r="M1011" s="758"/>
      <c r="N1011" s="758"/>
      <c r="O1011" s="758"/>
      <c r="P1011" s="758"/>
      <c r="Q1011" s="758"/>
      <c r="R1011" s="758"/>
      <c r="S1011" s="758"/>
      <c r="T1011" s="758"/>
      <c r="U1011" s="758"/>
      <c r="V1011" s="758"/>
      <c r="W1011" s="758"/>
      <c r="X1011" s="758"/>
      <c r="Y1011" s="758"/>
      <c r="Z1011" s="758"/>
      <c r="AA1011" s="758"/>
      <c r="AB1011" s="758"/>
      <c r="AC1011" s="758"/>
      <c r="AD1011" s="758"/>
      <c r="AE1011" s="758"/>
      <c r="AF1011" s="758"/>
      <c r="AG1011" s="758"/>
      <c r="AH1011" s="758"/>
      <c r="AI1011" s="758"/>
      <c r="AJ1011" s="758"/>
      <c r="AK1011" s="758"/>
      <c r="AL1011" s="758"/>
      <c r="AM1011" s="758"/>
      <c r="AN1011" s="758"/>
      <c r="AO1011" s="758"/>
      <c r="AP1011" s="758"/>
      <c r="AQ1011" s="758"/>
      <c r="AR1011" s="758"/>
      <c r="AS1011" s="758"/>
      <c r="AT1011" s="758"/>
      <c r="AU1011" s="756">
        <v>0.7</v>
      </c>
      <c r="AV1011" s="758"/>
      <c r="AW1011" s="758"/>
      <c r="AX1011" s="758"/>
      <c r="AY1011" s="758"/>
      <c r="AZ1011" s="756">
        <v>0.75</v>
      </c>
      <c r="BA1011" s="758"/>
      <c r="BB1011" s="758"/>
      <c r="BC1011" s="756">
        <f>36000/BC1008</f>
        <v>0.37894736842105264</v>
      </c>
      <c r="BD1011" s="756">
        <v>0.35</v>
      </c>
      <c r="BE1011" s="758"/>
      <c r="BF1011" s="752"/>
      <c r="BG1011" s="1452">
        <f>39/95</f>
        <v>0.41052631578947368</v>
      </c>
      <c r="BH1011" s="758"/>
      <c r="BI1011" s="758"/>
      <c r="BJ1011" s="758"/>
      <c r="BK1011" s="752"/>
      <c r="BL1011" s="733">
        <f>51000/115000</f>
        <v>0.44347826086956521</v>
      </c>
      <c r="BM1011" s="758"/>
      <c r="BN1011" s="758"/>
      <c r="BO1011" s="758"/>
      <c r="BP1011" s="752"/>
      <c r="BQ1011" s="884">
        <f>64/135</f>
        <v>0.47407407407407409</v>
      </c>
      <c r="BR1011" s="884">
        <f>68000/BR1008</f>
        <v>0.48571428571428571</v>
      </c>
      <c r="BS1011" s="1539">
        <v>0.5</v>
      </c>
      <c r="BT1011" s="758"/>
      <c r="BU1011" s="752"/>
      <c r="BV1011" s="758"/>
      <c r="BW1011" s="758"/>
      <c r="BX1011" s="758"/>
      <c r="BY1011" s="758"/>
      <c r="BZ1011" s="752"/>
      <c r="CA1011" s="758"/>
      <c r="CB1011" s="758"/>
      <c r="CC1011" s="758"/>
      <c r="CD1011" s="758"/>
      <c r="CE1011" s="752"/>
      <c r="CF1011" s="758"/>
      <c r="CG1011" s="758"/>
      <c r="CH1011" s="758"/>
      <c r="CI1011" s="758"/>
      <c r="CJ1011" s="752"/>
      <c r="CK1011" s="3519"/>
      <c r="CL1011" s="758"/>
      <c r="CM1011" s="758"/>
      <c r="CN1011" s="758"/>
      <c r="CO1011" s="752"/>
      <c r="CP1011" s="3519"/>
      <c r="CQ1011" s="758"/>
      <c r="CR1011" s="758"/>
      <c r="CS1011" s="758"/>
      <c r="CT1011" s="752"/>
      <c r="CU1011" s="752"/>
      <c r="CV1011" s="752"/>
      <c r="DB1011" s="217"/>
      <c r="DC1011" s="212"/>
      <c r="DE1011" s="207"/>
    </row>
    <row r="1012" spans="1:256" s="234" customFormat="1" x14ac:dyDescent="0.2">
      <c r="A1012" s="1977"/>
      <c r="BF1012" s="236"/>
      <c r="BK1012" s="236"/>
      <c r="BP1012" s="236"/>
      <c r="BU1012" s="236"/>
      <c r="BZ1012" s="236"/>
      <c r="CE1012" s="236"/>
      <c r="CJ1012" s="236"/>
      <c r="CK1012" s="3515"/>
      <c r="CO1012" s="236"/>
      <c r="CP1012" s="3515"/>
      <c r="CT1012" s="236"/>
      <c r="CU1012" s="236"/>
      <c r="CV1012" s="236"/>
      <c r="DB1012" s="217"/>
      <c r="DC1012" s="212"/>
      <c r="DE1012" s="207"/>
      <c r="DF1012" s="207"/>
      <c r="DG1012" s="207"/>
      <c r="DH1012" s="207"/>
      <c r="DI1012" s="207"/>
      <c r="DJ1012" s="207"/>
      <c r="DK1012" s="207"/>
      <c r="DL1012" s="207"/>
      <c r="DM1012" s="207"/>
      <c r="DN1012" s="207"/>
      <c r="DO1012" s="207"/>
      <c r="DP1012" s="207"/>
      <c r="DQ1012" s="207"/>
      <c r="DR1012" s="207"/>
      <c r="DS1012" s="207"/>
      <c r="DT1012" s="207"/>
      <c r="DU1012" s="207"/>
      <c r="DV1012" s="207"/>
      <c r="DW1012" s="207"/>
      <c r="DX1012" s="207"/>
      <c r="DY1012" s="207"/>
      <c r="DZ1012" s="207"/>
      <c r="EA1012" s="207"/>
      <c r="EB1012" s="207"/>
      <c r="EC1012" s="207"/>
      <c r="ED1012" s="207"/>
      <c r="EE1012" s="207"/>
      <c r="EF1012" s="207"/>
      <c r="EG1012" s="207"/>
      <c r="EH1012" s="207"/>
      <c r="EI1012" s="207"/>
      <c r="EJ1012" s="207"/>
      <c r="EK1012" s="207"/>
      <c r="EL1012" s="207"/>
      <c r="EM1012" s="207"/>
      <c r="EN1012" s="207"/>
      <c r="EO1012" s="207"/>
      <c r="EP1012" s="207"/>
      <c r="EQ1012" s="207"/>
      <c r="ER1012" s="207"/>
      <c r="ES1012" s="207"/>
      <c r="ET1012" s="207"/>
      <c r="EU1012" s="207"/>
      <c r="EV1012" s="207"/>
      <c r="EW1012" s="207"/>
      <c r="EX1012" s="207"/>
      <c r="EY1012" s="207"/>
      <c r="EZ1012" s="207"/>
      <c r="FA1012" s="207"/>
      <c r="FB1012" s="207"/>
      <c r="FC1012" s="207"/>
      <c r="FD1012" s="207"/>
      <c r="FE1012" s="207"/>
      <c r="FF1012" s="207"/>
      <c r="FG1012" s="207"/>
      <c r="FH1012" s="207"/>
      <c r="FI1012" s="207"/>
      <c r="FJ1012" s="207"/>
      <c r="FK1012" s="207"/>
      <c r="FL1012" s="207"/>
      <c r="FM1012" s="207"/>
      <c r="FN1012" s="207"/>
      <c r="FO1012" s="207"/>
      <c r="FP1012" s="207"/>
      <c r="FQ1012" s="207"/>
      <c r="FR1012" s="207"/>
      <c r="FS1012" s="207"/>
      <c r="FT1012" s="207"/>
      <c r="FU1012" s="207"/>
      <c r="FV1012" s="207"/>
      <c r="FW1012" s="207"/>
      <c r="FX1012" s="207"/>
      <c r="FY1012" s="207"/>
      <c r="FZ1012" s="207"/>
      <c r="GA1012" s="207"/>
      <c r="GB1012" s="207"/>
      <c r="GC1012" s="207"/>
      <c r="GD1012" s="207"/>
      <c r="GE1012" s="207"/>
      <c r="GF1012" s="207"/>
      <c r="GG1012" s="207"/>
      <c r="GH1012" s="207"/>
      <c r="GI1012" s="207"/>
      <c r="GJ1012" s="207"/>
      <c r="GK1012" s="207"/>
      <c r="GL1012" s="207"/>
      <c r="GM1012" s="207"/>
      <c r="GN1012" s="207"/>
      <c r="GO1012" s="207"/>
      <c r="GP1012" s="207"/>
      <c r="GQ1012" s="207"/>
      <c r="GR1012" s="207"/>
      <c r="GS1012" s="207"/>
      <c r="GT1012" s="207"/>
      <c r="GU1012" s="207"/>
      <c r="GV1012" s="207"/>
      <c r="GW1012" s="207"/>
      <c r="GX1012" s="207"/>
      <c r="GY1012" s="207"/>
      <c r="GZ1012" s="207"/>
      <c r="HA1012" s="207"/>
      <c r="HB1012" s="207"/>
      <c r="HC1012" s="207"/>
      <c r="HD1012" s="207"/>
      <c r="HE1012" s="207"/>
      <c r="HF1012" s="207"/>
      <c r="HG1012" s="207"/>
      <c r="HH1012" s="207"/>
      <c r="HI1012" s="207"/>
      <c r="HJ1012" s="207"/>
      <c r="HK1012" s="207"/>
      <c r="HL1012" s="207"/>
      <c r="HM1012" s="207"/>
      <c r="HN1012" s="207"/>
      <c r="HO1012" s="207"/>
      <c r="HP1012" s="207"/>
      <c r="HQ1012" s="207"/>
      <c r="HR1012" s="207"/>
      <c r="HS1012" s="207"/>
      <c r="HT1012" s="207"/>
      <c r="HU1012" s="207"/>
      <c r="HV1012" s="207"/>
      <c r="HW1012" s="207"/>
      <c r="HX1012" s="207"/>
      <c r="HY1012" s="207"/>
      <c r="HZ1012" s="207"/>
      <c r="IA1012" s="207"/>
      <c r="IB1012" s="207"/>
      <c r="IC1012" s="207"/>
      <c r="ID1012" s="207"/>
      <c r="IE1012" s="207"/>
      <c r="IF1012" s="207"/>
      <c r="IG1012" s="207"/>
      <c r="IH1012" s="207"/>
      <c r="II1012" s="207"/>
      <c r="IJ1012" s="207"/>
      <c r="IK1012" s="207"/>
      <c r="IL1012" s="207"/>
      <c r="IM1012" s="207"/>
      <c r="IN1012" s="207"/>
      <c r="IO1012" s="207"/>
      <c r="IP1012" s="207"/>
      <c r="IQ1012" s="207"/>
      <c r="IR1012" s="207"/>
      <c r="IS1012" s="207"/>
      <c r="IT1012" s="207"/>
      <c r="IU1012" s="207"/>
      <c r="IV1012" s="207"/>
    </row>
    <row r="1013" spans="1:256" s="234" customFormat="1" x14ac:dyDescent="0.2">
      <c r="A1013" s="1977" t="s">
        <v>676</v>
      </c>
      <c r="N1013" s="1537">
        <v>25000</v>
      </c>
      <c r="O1013" s="1537"/>
      <c r="P1013" s="1537" t="s">
        <v>1125</v>
      </c>
      <c r="Q1013" s="1537"/>
      <c r="S1013" s="1537"/>
      <c r="T1013" s="1537"/>
      <c r="U1013" s="1537"/>
      <c r="V1013" s="1537"/>
      <c r="X1013" s="1537"/>
      <c r="Y1013" s="1537"/>
      <c r="Z1013" s="1537"/>
      <c r="AA1013" s="1537"/>
      <c r="AC1013" s="1537"/>
      <c r="AD1013" s="1537"/>
      <c r="AE1013" s="1537"/>
      <c r="AF1013" s="1537"/>
      <c r="AH1013" s="1537"/>
      <c r="AI1013" s="1537"/>
      <c r="AJ1013" s="1537"/>
      <c r="AK1013" s="1537"/>
      <c r="AM1013" s="1537"/>
      <c r="AN1013" s="1537"/>
      <c r="AO1013" s="1537"/>
      <c r="AP1013" s="1537"/>
      <c r="AR1013" s="1537"/>
      <c r="AS1013" s="1537"/>
      <c r="AT1013" s="1537"/>
      <c r="AU1013" s="1537"/>
      <c r="BB1013" s="1537"/>
      <c r="BC1013" s="1537"/>
      <c r="BD1013" s="1537"/>
      <c r="BE1013" s="1537"/>
      <c r="BF1013" s="236"/>
      <c r="BK1013" s="236"/>
      <c r="BP1013" s="236"/>
      <c r="BU1013" s="236"/>
      <c r="BZ1013" s="236"/>
      <c r="CE1013" s="236"/>
      <c r="CJ1013" s="236"/>
      <c r="CK1013" s="3515"/>
      <c r="CO1013" s="236"/>
      <c r="CP1013" s="3515"/>
      <c r="CT1013" s="236"/>
      <c r="CU1013" s="236"/>
      <c r="CV1013" s="236"/>
      <c r="DB1013" s="217"/>
      <c r="DC1013" s="212"/>
      <c r="DE1013" s="207"/>
      <c r="DF1013" s="207"/>
      <c r="DG1013" s="207"/>
      <c r="DH1013" s="207"/>
      <c r="DI1013" s="207"/>
      <c r="DJ1013" s="207"/>
      <c r="DK1013" s="207"/>
      <c r="DL1013" s="207"/>
      <c r="DM1013" s="207"/>
      <c r="DN1013" s="207"/>
      <c r="DO1013" s="207"/>
      <c r="DP1013" s="207"/>
      <c r="DQ1013" s="207"/>
      <c r="DR1013" s="207"/>
      <c r="DS1013" s="207"/>
      <c r="DT1013" s="207"/>
      <c r="DU1013" s="207"/>
      <c r="DV1013" s="207"/>
      <c r="DW1013" s="207"/>
      <c r="DX1013" s="207"/>
      <c r="DY1013" s="207"/>
      <c r="DZ1013" s="207"/>
      <c r="EA1013" s="207"/>
      <c r="EB1013" s="207"/>
      <c r="EC1013" s="207"/>
      <c r="ED1013" s="207"/>
      <c r="EE1013" s="207"/>
      <c r="EF1013" s="207"/>
      <c r="EG1013" s="207"/>
      <c r="EH1013" s="207"/>
      <c r="EI1013" s="207"/>
      <c r="EJ1013" s="207"/>
      <c r="EK1013" s="207"/>
      <c r="EL1013" s="207"/>
      <c r="EM1013" s="207"/>
      <c r="EN1013" s="207"/>
      <c r="EO1013" s="207"/>
      <c r="EP1013" s="207"/>
      <c r="EQ1013" s="207"/>
      <c r="ER1013" s="207"/>
      <c r="ES1013" s="207"/>
      <c r="ET1013" s="207"/>
      <c r="EU1013" s="207"/>
      <c r="EV1013" s="207"/>
      <c r="EW1013" s="207"/>
      <c r="EX1013" s="207"/>
      <c r="EY1013" s="207"/>
      <c r="EZ1013" s="207"/>
      <c r="FA1013" s="207"/>
      <c r="FB1013" s="207"/>
      <c r="FC1013" s="207"/>
      <c r="FD1013" s="207"/>
      <c r="FE1013" s="207"/>
      <c r="FF1013" s="207"/>
      <c r="FG1013" s="207"/>
      <c r="FH1013" s="207"/>
      <c r="FI1013" s="207"/>
      <c r="FJ1013" s="207"/>
      <c r="FK1013" s="207"/>
      <c r="FL1013" s="207"/>
      <c r="FM1013" s="207"/>
      <c r="FN1013" s="207"/>
      <c r="FO1013" s="207"/>
      <c r="FP1013" s="207"/>
      <c r="FQ1013" s="207"/>
      <c r="FR1013" s="207"/>
      <c r="FS1013" s="207"/>
      <c r="FT1013" s="207"/>
      <c r="FU1013" s="207"/>
      <c r="FV1013" s="207"/>
      <c r="FW1013" s="207"/>
      <c r="FX1013" s="207"/>
      <c r="FY1013" s="207"/>
      <c r="FZ1013" s="207"/>
      <c r="GA1013" s="207"/>
      <c r="GB1013" s="207"/>
      <c r="GC1013" s="207"/>
      <c r="GD1013" s="207"/>
      <c r="GE1013" s="207"/>
      <c r="GF1013" s="207"/>
      <c r="GG1013" s="207"/>
      <c r="GH1013" s="207"/>
      <c r="GI1013" s="207"/>
      <c r="GJ1013" s="207"/>
      <c r="GK1013" s="207"/>
      <c r="GL1013" s="207"/>
      <c r="GM1013" s="207"/>
      <c r="GN1013" s="207"/>
      <c r="GO1013" s="207"/>
      <c r="GP1013" s="207"/>
      <c r="GQ1013" s="207"/>
      <c r="GR1013" s="207"/>
      <c r="GS1013" s="207"/>
      <c r="GT1013" s="207"/>
      <c r="GU1013" s="207"/>
      <c r="GV1013" s="207"/>
      <c r="GW1013" s="207"/>
      <c r="GX1013" s="207"/>
      <c r="GY1013" s="207"/>
      <c r="GZ1013" s="207"/>
      <c r="HA1013" s="207"/>
      <c r="HB1013" s="207"/>
      <c r="HC1013" s="207"/>
      <c r="HD1013" s="207"/>
      <c r="HE1013" s="207"/>
      <c r="HF1013" s="207"/>
      <c r="HG1013" s="207"/>
      <c r="HH1013" s="207"/>
      <c r="HI1013" s="207"/>
      <c r="HJ1013" s="207"/>
      <c r="HK1013" s="207"/>
      <c r="HL1013" s="207"/>
      <c r="HM1013" s="207"/>
      <c r="HN1013" s="207"/>
      <c r="HO1013" s="207"/>
      <c r="HP1013" s="207"/>
      <c r="HQ1013" s="207"/>
      <c r="HR1013" s="207"/>
      <c r="HS1013" s="207"/>
      <c r="HT1013" s="207"/>
      <c r="HU1013" s="207"/>
      <c r="HV1013" s="207"/>
      <c r="HW1013" s="207"/>
      <c r="HX1013" s="207"/>
      <c r="HY1013" s="207"/>
      <c r="HZ1013" s="207"/>
      <c r="IA1013" s="207"/>
      <c r="IB1013" s="207"/>
      <c r="IC1013" s="207"/>
      <c r="ID1013" s="207"/>
      <c r="IE1013" s="207"/>
      <c r="IF1013" s="207"/>
      <c r="IG1013" s="207"/>
      <c r="IH1013" s="207"/>
      <c r="II1013" s="207"/>
      <c r="IJ1013" s="207"/>
      <c r="IK1013" s="207"/>
      <c r="IL1013" s="207"/>
      <c r="IM1013" s="207"/>
      <c r="IN1013" s="207"/>
      <c r="IO1013" s="207"/>
      <c r="IP1013" s="207"/>
      <c r="IQ1013" s="207"/>
      <c r="IR1013" s="207"/>
      <c r="IS1013" s="207"/>
      <c r="IT1013" s="207"/>
      <c r="IU1013" s="207"/>
      <c r="IV1013" s="207"/>
    </row>
    <row r="1014" spans="1:256" s="207" customFormat="1" x14ac:dyDescent="0.2">
      <c r="A1014" s="1977" t="s">
        <v>675</v>
      </c>
      <c r="B1014" s="234"/>
      <c r="C1014" s="234"/>
      <c r="D1014" s="234"/>
      <c r="E1014" s="234"/>
      <c r="F1014" s="234"/>
      <c r="G1014" s="234"/>
      <c r="H1014" s="234"/>
      <c r="I1014" s="234"/>
      <c r="J1014" s="234"/>
      <c r="K1014" s="234"/>
      <c r="L1014" s="234"/>
      <c r="M1014" s="234"/>
      <c r="N1014" s="1537">
        <v>25000</v>
      </c>
      <c r="O1014" s="1537"/>
      <c r="P1014" s="1537" t="s">
        <v>1125</v>
      </c>
      <c r="Q1014" s="1537" t="s">
        <v>1125</v>
      </c>
      <c r="R1014" s="234"/>
      <c r="S1014" s="1537" t="s">
        <v>1125</v>
      </c>
      <c r="T1014" s="1537">
        <v>30000</v>
      </c>
      <c r="U1014" s="1537"/>
      <c r="V1014" s="1537"/>
      <c r="W1014" s="234"/>
      <c r="X1014" s="1537"/>
      <c r="Y1014" s="1537"/>
      <c r="Z1014" s="1537"/>
      <c r="AA1014" s="1537"/>
      <c r="AB1014" s="234"/>
      <c r="AC1014" s="1537"/>
      <c r="AD1014" s="1537"/>
      <c r="AE1014" s="1537"/>
      <c r="AF1014" s="1537"/>
      <c r="AG1014" s="234"/>
      <c r="AH1014" s="1537"/>
      <c r="AI1014" s="1537"/>
      <c r="AJ1014" s="1537"/>
      <c r="AK1014" s="1537"/>
      <c r="AL1014" s="234"/>
      <c r="AM1014" s="1537"/>
      <c r="AN1014" s="1537"/>
      <c r="AO1014" s="1537"/>
      <c r="AP1014" s="1537"/>
      <c r="AQ1014" s="234"/>
      <c r="AR1014" s="1537"/>
      <c r="AS1014" s="1537"/>
      <c r="AT1014" s="1537"/>
      <c r="AU1014" s="1537"/>
      <c r="AV1014" s="234"/>
      <c r="AW1014" s="234"/>
      <c r="AX1014" s="234"/>
      <c r="AY1014" s="234"/>
      <c r="AZ1014" s="234"/>
      <c r="BA1014" s="234"/>
      <c r="BB1014" s="1537"/>
      <c r="BC1014" s="1537"/>
      <c r="BD1014" s="1537"/>
      <c r="BE1014" s="1537"/>
      <c r="BF1014" s="236"/>
      <c r="BG1014" s="234"/>
      <c r="BH1014" s="234"/>
      <c r="BI1014" s="234"/>
      <c r="BJ1014" s="234"/>
      <c r="BK1014" s="236"/>
      <c r="BL1014" s="234"/>
      <c r="BM1014" s="234"/>
      <c r="BN1014" s="234"/>
      <c r="BO1014" s="234"/>
      <c r="BP1014" s="236"/>
      <c r="BQ1014" s="234"/>
      <c r="BR1014" s="234"/>
      <c r="BS1014" s="234"/>
      <c r="BT1014" s="234"/>
      <c r="BU1014" s="236"/>
      <c r="BV1014" s="234"/>
      <c r="BW1014" s="234"/>
      <c r="BX1014" s="234"/>
      <c r="BY1014" s="234"/>
      <c r="BZ1014" s="236"/>
      <c r="CA1014" s="234"/>
      <c r="CB1014" s="234"/>
      <c r="CC1014" s="234"/>
      <c r="CD1014" s="234"/>
      <c r="CE1014" s="236"/>
      <c r="CF1014" s="234"/>
      <c r="CG1014" s="234"/>
      <c r="CH1014" s="234"/>
      <c r="CI1014" s="234"/>
      <c r="CJ1014" s="236"/>
      <c r="CK1014" s="3515"/>
      <c r="CL1014" s="234"/>
      <c r="CM1014" s="234"/>
      <c r="CN1014" s="234"/>
      <c r="CO1014" s="236"/>
      <c r="CP1014" s="3515"/>
      <c r="CQ1014" s="234"/>
      <c r="CR1014" s="234"/>
      <c r="CS1014" s="234"/>
      <c r="CT1014" s="236"/>
      <c r="CU1014" s="236"/>
      <c r="CV1014" s="236"/>
      <c r="CW1014" s="234"/>
      <c r="CX1014" s="234"/>
      <c r="CY1014" s="234"/>
      <c r="CZ1014" s="234"/>
      <c r="DA1014" s="234"/>
      <c r="DB1014" s="217"/>
      <c r="DC1014" s="212"/>
      <c r="DD1014" s="234"/>
    </row>
    <row r="1015" spans="1:256" s="207" customFormat="1" x14ac:dyDescent="0.2">
      <c r="A1015" s="1977" t="s">
        <v>674</v>
      </c>
      <c r="B1015" s="234"/>
      <c r="C1015" s="234"/>
      <c r="D1015" s="234"/>
      <c r="E1015" s="234"/>
      <c r="F1015" s="234"/>
      <c r="G1015" s="234"/>
      <c r="H1015" s="234"/>
      <c r="I1015" s="234"/>
      <c r="J1015" s="234"/>
      <c r="K1015" s="234"/>
      <c r="L1015" s="234"/>
      <c r="M1015" s="234"/>
      <c r="N1015" s="1537"/>
      <c r="O1015" s="1537"/>
      <c r="P1015" s="1537" t="s">
        <v>1125</v>
      </c>
      <c r="Q1015" s="1537" t="s">
        <v>1125</v>
      </c>
      <c r="R1015" s="234"/>
      <c r="S1015" s="1537" t="s">
        <v>1125</v>
      </c>
      <c r="T1015" s="1537" t="s">
        <v>1125</v>
      </c>
      <c r="U1015" s="1537" t="s">
        <v>1125</v>
      </c>
      <c r="V1015" s="1537" t="s">
        <v>1125</v>
      </c>
      <c r="W1015" s="234"/>
      <c r="X1015" s="1537" t="s">
        <v>1125</v>
      </c>
      <c r="Y1015" s="1537" t="s">
        <v>1125</v>
      </c>
      <c r="Z1015" s="1537">
        <v>25000</v>
      </c>
      <c r="AA1015" s="1537"/>
      <c r="AB1015" s="234"/>
      <c r="AC1015" s="1537"/>
      <c r="AD1015" s="1537"/>
      <c r="AE1015" s="1537"/>
      <c r="AF1015" s="1537"/>
      <c r="AG1015" s="234"/>
      <c r="AH1015" s="1537"/>
      <c r="AI1015" s="1537"/>
      <c r="AJ1015" s="1537"/>
      <c r="AK1015" s="1537"/>
      <c r="AL1015" s="234"/>
      <c r="AM1015" s="1537"/>
      <c r="AN1015" s="1537"/>
      <c r="AO1015" s="1537"/>
      <c r="AP1015" s="1537"/>
      <c r="AQ1015" s="234"/>
      <c r="AR1015" s="1537"/>
      <c r="AS1015" s="1537"/>
      <c r="AT1015" s="1537"/>
      <c r="AU1015" s="1537"/>
      <c r="AV1015" s="234"/>
      <c r="AW1015" s="234"/>
      <c r="AX1015" s="234"/>
      <c r="AY1015" s="234"/>
      <c r="AZ1015" s="234"/>
      <c r="BA1015" s="234"/>
      <c r="BB1015" s="1537"/>
      <c r="BC1015" s="1537"/>
      <c r="BD1015" s="1537"/>
      <c r="BE1015" s="1537"/>
      <c r="BF1015" s="236"/>
      <c r="BG1015" s="234"/>
      <c r="BH1015" s="234"/>
      <c r="BI1015" s="234"/>
      <c r="BJ1015" s="234"/>
      <c r="BK1015" s="236"/>
      <c r="BL1015" s="234"/>
      <c r="BM1015" s="234"/>
      <c r="BN1015" s="234"/>
      <c r="BO1015" s="234"/>
      <c r="BP1015" s="236"/>
      <c r="BQ1015" s="234"/>
      <c r="BR1015" s="234"/>
      <c r="BS1015" s="234"/>
      <c r="BT1015" s="234"/>
      <c r="BU1015" s="236"/>
      <c r="BV1015" s="234"/>
      <c r="BW1015" s="234"/>
      <c r="BX1015" s="234"/>
      <c r="BY1015" s="234"/>
      <c r="BZ1015" s="236"/>
      <c r="CA1015" s="234"/>
      <c r="CB1015" s="234"/>
      <c r="CC1015" s="234"/>
      <c r="CD1015" s="234"/>
      <c r="CE1015" s="236"/>
      <c r="CF1015" s="234"/>
      <c r="CG1015" s="234"/>
      <c r="CH1015" s="234"/>
      <c r="CI1015" s="234"/>
      <c r="CJ1015" s="236"/>
      <c r="CK1015" s="3515"/>
      <c r="CL1015" s="234"/>
      <c r="CM1015" s="234"/>
      <c r="CN1015" s="234"/>
      <c r="CO1015" s="236"/>
      <c r="CP1015" s="3515"/>
      <c r="CQ1015" s="234"/>
      <c r="CR1015" s="234"/>
      <c r="CS1015" s="234"/>
      <c r="CT1015" s="236"/>
      <c r="CU1015" s="236"/>
      <c r="CV1015" s="236"/>
      <c r="CW1015" s="234"/>
      <c r="CX1015" s="234"/>
      <c r="CY1015" s="234"/>
      <c r="CZ1015" s="234"/>
      <c r="DA1015" s="234"/>
      <c r="DB1015" s="217"/>
      <c r="DC1015" s="212"/>
      <c r="DD1015" s="234"/>
    </row>
    <row r="1016" spans="1:256" s="207" customFormat="1" x14ac:dyDescent="0.2">
      <c r="A1016" s="1977" t="s">
        <v>672</v>
      </c>
      <c r="B1016" s="234"/>
      <c r="C1016" s="234"/>
      <c r="D1016" s="234"/>
      <c r="E1016" s="234"/>
      <c r="F1016" s="234"/>
      <c r="G1016" s="234"/>
      <c r="H1016" s="234"/>
      <c r="I1016" s="234"/>
      <c r="J1016" s="234"/>
      <c r="K1016" s="234"/>
      <c r="L1016" s="234"/>
      <c r="M1016" s="234"/>
      <c r="N1016" s="1537"/>
      <c r="O1016" s="1537"/>
      <c r="P1016" s="1537"/>
      <c r="Q1016" s="1537"/>
      <c r="R1016" s="234"/>
      <c r="S1016" s="1537"/>
      <c r="T1016" s="1537"/>
      <c r="U1016" s="1537"/>
      <c r="V1016" s="1537"/>
      <c r="W1016" s="234"/>
      <c r="X1016" s="1537"/>
      <c r="Y1016" s="1537"/>
      <c r="Z1016" s="1537" t="s">
        <v>1125</v>
      </c>
      <c r="AA1016" s="1537" t="s">
        <v>1125</v>
      </c>
      <c r="AB1016" s="234"/>
      <c r="AC1016" s="1537" t="s">
        <v>1125</v>
      </c>
      <c r="AD1016" s="1537" t="s">
        <v>1125</v>
      </c>
      <c r="AE1016" s="1537">
        <v>25000</v>
      </c>
      <c r="AF1016" s="1537"/>
      <c r="AG1016" s="234"/>
      <c r="AH1016" s="1537"/>
      <c r="AI1016" s="1537"/>
      <c r="AJ1016" s="1537"/>
      <c r="AK1016" s="1537"/>
      <c r="AL1016" s="234"/>
      <c r="AM1016" s="1537"/>
      <c r="AN1016" s="1537"/>
      <c r="AO1016" s="1537"/>
      <c r="AP1016" s="1537"/>
      <c r="AQ1016" s="234"/>
      <c r="AR1016" s="1537"/>
      <c r="AS1016" s="1537"/>
      <c r="AT1016" s="1537"/>
      <c r="AU1016" s="1537"/>
      <c r="AV1016" s="234"/>
      <c r="AW1016" s="234"/>
      <c r="AX1016" s="234"/>
      <c r="AY1016" s="234"/>
      <c r="AZ1016" s="234"/>
      <c r="BA1016" s="234"/>
      <c r="BB1016" s="1537"/>
      <c r="BC1016" s="1537"/>
      <c r="BD1016" s="1537"/>
      <c r="BE1016" s="1537"/>
      <c r="BF1016" s="236"/>
      <c r="BG1016" s="234"/>
      <c r="BH1016" s="234"/>
      <c r="BI1016" s="234"/>
      <c r="BJ1016" s="234"/>
      <c r="BK1016" s="236"/>
      <c r="BL1016" s="234"/>
      <c r="BM1016" s="234"/>
      <c r="BN1016" s="234"/>
      <c r="BO1016" s="234"/>
      <c r="BP1016" s="236"/>
      <c r="BQ1016" s="234"/>
      <c r="BR1016" s="234"/>
      <c r="BS1016" s="234"/>
      <c r="BT1016" s="234"/>
      <c r="BU1016" s="236"/>
      <c r="BV1016" s="234"/>
      <c r="BW1016" s="234"/>
      <c r="BX1016" s="234"/>
      <c r="BY1016" s="234"/>
      <c r="BZ1016" s="236"/>
      <c r="CA1016" s="234"/>
      <c r="CB1016" s="234"/>
      <c r="CC1016" s="234"/>
      <c r="CD1016" s="234"/>
      <c r="CE1016" s="236"/>
      <c r="CF1016" s="234"/>
      <c r="CG1016" s="234"/>
      <c r="CH1016" s="234"/>
      <c r="CI1016" s="234"/>
      <c r="CJ1016" s="236"/>
      <c r="CK1016" s="3515"/>
      <c r="CL1016" s="234"/>
      <c r="CM1016" s="234"/>
      <c r="CN1016" s="234"/>
      <c r="CO1016" s="236"/>
      <c r="CP1016" s="3515"/>
      <c r="CQ1016" s="234"/>
      <c r="CR1016" s="234"/>
      <c r="CS1016" s="234"/>
      <c r="CT1016" s="236"/>
      <c r="CU1016" s="236"/>
      <c r="CV1016" s="236"/>
      <c r="CW1016" s="234"/>
      <c r="CX1016" s="234"/>
      <c r="CY1016" s="234"/>
      <c r="CZ1016" s="234"/>
      <c r="DA1016" s="234"/>
      <c r="DB1016" s="217"/>
      <c r="DC1016" s="212"/>
      <c r="DD1016" s="234"/>
    </row>
    <row r="1017" spans="1:256" s="207" customFormat="1" x14ac:dyDescent="0.2">
      <c r="A1017" s="1977" t="s">
        <v>671</v>
      </c>
      <c r="B1017" s="234"/>
      <c r="C1017" s="234"/>
      <c r="D1017" s="234"/>
      <c r="E1017" s="234"/>
      <c r="F1017" s="234"/>
      <c r="G1017" s="234"/>
      <c r="H1017" s="234"/>
      <c r="I1017" s="234"/>
      <c r="J1017" s="234"/>
      <c r="K1017" s="234"/>
      <c r="L1017" s="234"/>
      <c r="M1017" s="234"/>
      <c r="N1017" s="1537"/>
      <c r="O1017" s="1537"/>
      <c r="P1017" s="1537"/>
      <c r="Q1017" s="1537"/>
      <c r="R1017" s="234"/>
      <c r="S1017" s="1537"/>
      <c r="T1017" s="1537"/>
      <c r="U1017" s="1537"/>
      <c r="V1017" s="1537"/>
      <c r="W1017" s="234"/>
      <c r="X1017" s="1537"/>
      <c r="Y1017" s="1537"/>
      <c r="Z1017" s="1537"/>
      <c r="AA1017" s="1537"/>
      <c r="AB1017" s="234"/>
      <c r="AC1017" s="1537"/>
      <c r="AD1017" s="1537"/>
      <c r="AE1017" s="1537" t="s">
        <v>1125</v>
      </c>
      <c r="AF1017" s="1537">
        <v>25000</v>
      </c>
      <c r="AG1017" s="234"/>
      <c r="AH1017" s="1537">
        <v>25000</v>
      </c>
      <c r="AI1017" s="1537">
        <v>25000</v>
      </c>
      <c r="AJ1017" s="1537"/>
      <c r="AK1017" s="1537"/>
      <c r="AL1017" s="234"/>
      <c r="AM1017" s="1537"/>
      <c r="AN1017" s="1537"/>
      <c r="AO1017" s="1537"/>
      <c r="AP1017" s="1537"/>
      <c r="AQ1017" s="234"/>
      <c r="AR1017" s="1537"/>
      <c r="AS1017" s="1537"/>
      <c r="AT1017" s="1537"/>
      <c r="AU1017" s="1537"/>
      <c r="AV1017" s="234"/>
      <c r="AW1017" s="234"/>
      <c r="AX1017" s="234"/>
      <c r="AY1017" s="234"/>
      <c r="AZ1017" s="234"/>
      <c r="BA1017" s="234"/>
      <c r="BB1017" s="1537"/>
      <c r="BC1017" s="1537"/>
      <c r="BD1017" s="1537"/>
      <c r="BE1017" s="1537"/>
      <c r="BF1017" s="236"/>
      <c r="BG1017" s="234"/>
      <c r="BH1017" s="234"/>
      <c r="BI1017" s="234"/>
      <c r="BJ1017" s="234"/>
      <c r="BK1017" s="236"/>
      <c r="BL1017" s="234"/>
      <c r="BM1017" s="234"/>
      <c r="BN1017" s="234"/>
      <c r="BO1017" s="234"/>
      <c r="BP1017" s="236"/>
      <c r="BQ1017" s="234"/>
      <c r="BR1017" s="234"/>
      <c r="BS1017" s="234"/>
      <c r="BT1017" s="234"/>
      <c r="BU1017" s="236"/>
      <c r="BV1017" s="234"/>
      <c r="BW1017" s="234"/>
      <c r="BX1017" s="1831"/>
      <c r="BY1017" s="1831"/>
      <c r="BZ1017" s="236"/>
      <c r="CA1017" s="234"/>
      <c r="CB1017" s="234"/>
      <c r="CC1017" s="234"/>
      <c r="CD1017" s="234"/>
      <c r="CE1017" s="236"/>
      <c r="CF1017" s="234"/>
      <c r="CG1017" s="234"/>
      <c r="CH1017" s="234"/>
      <c r="CI1017" s="234"/>
      <c r="CJ1017" s="236"/>
      <c r="CK1017" s="3515"/>
      <c r="CL1017" s="234"/>
      <c r="CM1017" s="234"/>
      <c r="CN1017" s="234"/>
      <c r="CO1017" s="236"/>
      <c r="CP1017" s="3515"/>
      <c r="CQ1017" s="234"/>
      <c r="CR1017" s="234"/>
      <c r="CS1017" s="234"/>
      <c r="CT1017" s="236"/>
      <c r="CU1017" s="236"/>
      <c r="CV1017" s="236"/>
      <c r="CW1017" s="234"/>
      <c r="CX1017" s="234"/>
      <c r="CY1017" s="234"/>
      <c r="CZ1017" s="234"/>
      <c r="DA1017" s="234"/>
      <c r="DB1017" s="217"/>
      <c r="DC1017" s="212"/>
      <c r="DD1017" s="234"/>
    </row>
    <row r="1018" spans="1:256" s="207" customFormat="1" x14ac:dyDescent="0.2">
      <c r="A1018" s="1977" t="s">
        <v>670</v>
      </c>
      <c r="B1018" s="234"/>
      <c r="C1018" s="234"/>
      <c r="D1018" s="234"/>
      <c r="E1018" s="234"/>
      <c r="F1018" s="234"/>
      <c r="G1018" s="234"/>
      <c r="H1018" s="234"/>
      <c r="I1018" s="234"/>
      <c r="J1018" s="234"/>
      <c r="K1018" s="234"/>
      <c r="L1018" s="234"/>
      <c r="M1018" s="234"/>
      <c r="N1018" s="1537"/>
      <c r="O1018" s="1537"/>
      <c r="P1018" s="1920"/>
      <c r="Q1018" s="1537"/>
      <c r="R1018" s="234"/>
      <c r="S1018" s="1537"/>
      <c r="T1018" s="1537"/>
      <c r="U1018" s="1920"/>
      <c r="V1018" s="1537"/>
      <c r="W1018" s="234"/>
      <c r="X1018" s="1537"/>
      <c r="Y1018" s="1537"/>
      <c r="Z1018" s="1920"/>
      <c r="AA1018" s="1537"/>
      <c r="AB1018" s="234"/>
      <c r="AC1018" s="1537"/>
      <c r="AD1018" s="1537"/>
      <c r="AE1018" s="1920"/>
      <c r="AF1018" s="1537"/>
      <c r="AG1018" s="234"/>
      <c r="AH1018" s="1537"/>
      <c r="AI1018" s="1537"/>
      <c r="AJ1018" s="1920" t="s">
        <v>673</v>
      </c>
      <c r="AK1018" s="1537">
        <v>30000</v>
      </c>
      <c r="AL1018" s="234"/>
      <c r="AM1018" s="1537">
        <v>30000</v>
      </c>
      <c r="AN1018" s="1537">
        <v>30000</v>
      </c>
      <c r="AO1018" s="1537"/>
      <c r="AP1018" s="1537"/>
      <c r="AQ1018" s="234"/>
      <c r="AR1018" s="1537"/>
      <c r="AS1018" s="1537"/>
      <c r="AT1018" s="1537"/>
      <c r="AU1018" s="1537"/>
      <c r="AV1018" s="234"/>
      <c r="AW1018" s="234"/>
      <c r="AX1018" s="234"/>
      <c r="AY1018" s="234"/>
      <c r="AZ1018" s="234"/>
      <c r="BA1018" s="234"/>
      <c r="BB1018" s="1537"/>
      <c r="BC1018" s="1537"/>
      <c r="BD1018" s="1537"/>
      <c r="BE1018" s="1537"/>
      <c r="BF1018" s="236"/>
      <c r="BG1018" s="234"/>
      <c r="BH1018" s="234"/>
      <c r="BI1018" s="234"/>
      <c r="BJ1018" s="234"/>
      <c r="BK1018" s="236"/>
      <c r="BL1018" s="234"/>
      <c r="BM1018" s="234"/>
      <c r="BN1018" s="234"/>
      <c r="BO1018" s="234"/>
      <c r="BP1018" s="236"/>
      <c r="BQ1018" s="234"/>
      <c r="BR1018" s="234"/>
      <c r="BS1018" s="234"/>
      <c r="BT1018" s="234"/>
      <c r="BU1018" s="236"/>
      <c r="BV1018" s="234"/>
      <c r="BW1018" s="234"/>
      <c r="BX1018" s="234"/>
      <c r="BY1018" s="234"/>
      <c r="BZ1018" s="236"/>
      <c r="CA1018" s="234"/>
      <c r="CB1018" s="234"/>
      <c r="CC1018" s="234"/>
      <c r="CD1018" s="234"/>
      <c r="CE1018" s="236"/>
      <c r="CF1018" s="234"/>
      <c r="CG1018" s="234"/>
      <c r="CH1018" s="234"/>
      <c r="CI1018" s="234"/>
      <c r="CJ1018" s="236"/>
      <c r="CK1018" s="3515"/>
      <c r="CL1018" s="234"/>
      <c r="CM1018" s="234"/>
      <c r="CN1018" s="234"/>
      <c r="CO1018" s="236"/>
      <c r="CP1018" s="3515"/>
      <c r="CQ1018" s="234"/>
      <c r="CR1018" s="234"/>
      <c r="CS1018" s="234"/>
      <c r="CT1018" s="236"/>
      <c r="CU1018" s="236"/>
      <c r="CV1018" s="236"/>
      <c r="CW1018" s="234"/>
      <c r="CX1018" s="234"/>
      <c r="CY1018" s="234"/>
      <c r="CZ1018" s="234"/>
      <c r="DA1018" s="234"/>
      <c r="DB1018" s="217"/>
      <c r="DC1018" s="212"/>
      <c r="DD1018" s="234"/>
    </row>
    <row r="1019" spans="1:256" s="207" customFormat="1" x14ac:dyDescent="0.2">
      <c r="A1019" s="1977" t="s">
        <v>669</v>
      </c>
      <c r="B1019" s="234"/>
      <c r="C1019" s="234"/>
      <c r="D1019" s="234"/>
      <c r="E1019" s="234"/>
      <c r="F1019" s="234"/>
      <c r="G1019" s="234"/>
      <c r="H1019" s="234"/>
      <c r="I1019" s="234"/>
      <c r="J1019" s="234"/>
      <c r="K1019" s="234"/>
      <c r="L1019" s="234"/>
      <c r="M1019" s="234"/>
      <c r="N1019" s="1537"/>
      <c r="O1019" s="1537"/>
      <c r="P1019" s="1537"/>
      <c r="Q1019" s="1537"/>
      <c r="R1019" s="234"/>
      <c r="S1019" s="1537"/>
      <c r="T1019" s="1537"/>
      <c r="U1019" s="1537"/>
      <c r="V1019" s="1537"/>
      <c r="W1019" s="234"/>
      <c r="X1019" s="1537"/>
      <c r="Y1019" s="1537"/>
      <c r="Z1019" s="1537"/>
      <c r="AA1019" s="1537"/>
      <c r="AB1019" s="234"/>
      <c r="AC1019" s="1537"/>
      <c r="AD1019" s="1537"/>
      <c r="AE1019" s="1537"/>
      <c r="AF1019" s="1537"/>
      <c r="AG1019" s="234"/>
      <c r="AH1019" s="1537"/>
      <c r="AI1019" s="1537"/>
      <c r="AJ1019" s="1537"/>
      <c r="AK1019" s="1537"/>
      <c r="AL1019" s="234"/>
      <c r="AM1019" s="1537"/>
      <c r="AN1019" s="1537"/>
      <c r="AO1019" s="1537">
        <v>30000</v>
      </c>
      <c r="AP1019" s="1537">
        <v>30000</v>
      </c>
      <c r="AQ1019" s="234"/>
      <c r="AR1019" s="1537">
        <v>30000</v>
      </c>
      <c r="AS1019" s="1537">
        <v>30000</v>
      </c>
      <c r="AT1019" s="1537">
        <v>30000</v>
      </c>
      <c r="AU1019" s="1537"/>
      <c r="AV1019" s="234"/>
      <c r="AW1019" s="234"/>
      <c r="AX1019" s="234"/>
      <c r="AY1019" s="234"/>
      <c r="AZ1019" s="234"/>
      <c r="BA1019" s="234"/>
      <c r="BB1019" s="1537"/>
      <c r="BC1019" s="1537"/>
      <c r="BD1019" s="1537"/>
      <c r="BE1019" s="1537"/>
      <c r="BF1019" s="236"/>
      <c r="BG1019" s="234"/>
      <c r="BH1019" s="234"/>
      <c r="BI1019" s="234"/>
      <c r="BJ1019" s="234"/>
      <c r="BK1019" s="236"/>
      <c r="BL1019" s="234"/>
      <c r="BM1019" s="234"/>
      <c r="BN1019" s="234"/>
      <c r="BO1019" s="234"/>
      <c r="BP1019" s="236"/>
      <c r="BQ1019" s="234"/>
      <c r="BR1019" s="234"/>
      <c r="BS1019" s="234"/>
      <c r="BT1019" s="234"/>
      <c r="BU1019" s="236"/>
      <c r="BV1019" s="234"/>
      <c r="BW1019" s="234"/>
      <c r="BX1019" s="234"/>
      <c r="BY1019" s="234"/>
      <c r="BZ1019" s="236"/>
      <c r="CA1019" s="234"/>
      <c r="CB1019" s="234"/>
      <c r="CC1019" s="234"/>
      <c r="CD1019" s="234"/>
      <c r="CE1019" s="236"/>
      <c r="CF1019" s="234"/>
      <c r="CG1019" s="234"/>
      <c r="CH1019" s="234"/>
      <c r="CI1019" s="234"/>
      <c r="CJ1019" s="236"/>
      <c r="CK1019" s="3515"/>
      <c r="CL1019" s="234"/>
      <c r="CM1019" s="234"/>
      <c r="CN1019" s="234"/>
      <c r="CO1019" s="236"/>
      <c r="CP1019" s="3515"/>
      <c r="CQ1019" s="234"/>
      <c r="CR1019" s="234"/>
      <c r="CS1019" s="234"/>
      <c r="CT1019" s="236"/>
      <c r="CU1019" s="236"/>
      <c r="CV1019" s="236"/>
      <c r="CW1019" s="234"/>
      <c r="CX1019" s="234"/>
      <c r="CY1019" s="234"/>
      <c r="CZ1019" s="234"/>
      <c r="DA1019" s="234"/>
      <c r="DB1019" s="217"/>
      <c r="DC1019" s="212"/>
      <c r="DD1019" s="234"/>
    </row>
    <row r="1020" spans="1:256" s="207" customFormat="1" x14ac:dyDescent="0.2">
      <c r="A1020" s="1977" t="s">
        <v>668</v>
      </c>
      <c r="B1020" s="234"/>
      <c r="C1020" s="234"/>
      <c r="D1020" s="234"/>
      <c r="E1020" s="234"/>
      <c r="F1020" s="234"/>
      <c r="G1020" s="234"/>
      <c r="H1020" s="234"/>
      <c r="I1020" s="234"/>
      <c r="J1020" s="234"/>
      <c r="K1020" s="234"/>
      <c r="L1020" s="234"/>
      <c r="M1020" s="234"/>
      <c r="N1020" s="1537"/>
      <c r="O1020" s="1537"/>
      <c r="P1020" s="1537"/>
      <c r="Q1020" s="1537"/>
      <c r="R1020" s="234"/>
      <c r="S1020" s="1537"/>
      <c r="T1020" s="1537"/>
      <c r="U1020" s="1537"/>
      <c r="V1020" s="1537"/>
      <c r="W1020" s="234"/>
      <c r="X1020" s="1537"/>
      <c r="Y1020" s="1537"/>
      <c r="Z1020" s="1537"/>
      <c r="AA1020" s="1537"/>
      <c r="AB1020" s="234"/>
      <c r="AC1020" s="1537"/>
      <c r="AD1020" s="1537"/>
      <c r="AE1020" s="1537"/>
      <c r="AF1020" s="1537"/>
      <c r="AG1020" s="234"/>
      <c r="AH1020" s="1537"/>
      <c r="AI1020" s="1537"/>
      <c r="AJ1020" s="1537"/>
      <c r="AK1020" s="1537"/>
      <c r="AL1020" s="234"/>
      <c r="AM1020" s="1537"/>
      <c r="AN1020" s="1537"/>
      <c r="AO1020" s="1537"/>
      <c r="AP1020" s="1537"/>
      <c r="AQ1020" s="234"/>
      <c r="AR1020" s="1537"/>
      <c r="AS1020" s="1537"/>
      <c r="AT1020" s="1537" t="s">
        <v>1126</v>
      </c>
      <c r="AU1020" s="1537">
        <v>30000</v>
      </c>
      <c r="AV1020" s="234"/>
      <c r="AW1020" s="1537">
        <v>30000</v>
      </c>
      <c r="AX1020" s="1537">
        <v>30000</v>
      </c>
      <c r="AY1020" s="1537"/>
      <c r="AZ1020" s="1537"/>
      <c r="BA1020" s="234"/>
      <c r="BB1020" s="1537"/>
      <c r="BC1020" s="1537"/>
      <c r="BD1020" s="1537"/>
      <c r="BE1020" s="1537"/>
      <c r="BF1020" s="236"/>
      <c r="BG1020" s="234"/>
      <c r="BH1020" s="234"/>
      <c r="BI1020" s="234"/>
      <c r="BJ1020" s="234"/>
      <c r="BK1020" s="236"/>
      <c r="BL1020" s="234"/>
      <c r="BM1020" s="234"/>
      <c r="BN1020" s="234"/>
      <c r="BO1020" s="234"/>
      <c r="BP1020" s="236"/>
      <c r="BQ1020" s="234"/>
      <c r="BR1020" s="234"/>
      <c r="BS1020" s="234"/>
      <c r="BT1020" s="234"/>
      <c r="BU1020" s="236"/>
      <c r="BV1020" s="234"/>
      <c r="BW1020" s="234"/>
      <c r="BX1020" s="234"/>
      <c r="BY1020" s="234"/>
      <c r="BZ1020" s="236"/>
      <c r="CA1020" s="234"/>
      <c r="CB1020" s="234"/>
      <c r="CC1020" s="234"/>
      <c r="CD1020" s="234"/>
      <c r="CE1020" s="236"/>
      <c r="CF1020" s="234"/>
      <c r="CG1020" s="234"/>
      <c r="CH1020" s="234"/>
      <c r="CI1020" s="234"/>
      <c r="CJ1020" s="236"/>
      <c r="CK1020" s="3515"/>
      <c r="CL1020" s="234"/>
      <c r="CM1020" s="234"/>
      <c r="CN1020" s="234"/>
      <c r="CO1020" s="236"/>
      <c r="CP1020" s="3515"/>
      <c r="CQ1020" s="234"/>
      <c r="CR1020" s="234"/>
      <c r="CS1020" s="234"/>
      <c r="CT1020" s="236"/>
      <c r="CU1020" s="236"/>
      <c r="CV1020" s="236"/>
      <c r="CW1020" s="234"/>
      <c r="CX1020" s="234"/>
      <c r="CY1020" s="234"/>
      <c r="CZ1020" s="234"/>
      <c r="DA1020" s="234"/>
      <c r="DB1020" s="217"/>
      <c r="DC1020" s="212"/>
      <c r="DD1020" s="234"/>
    </row>
    <row r="1021" spans="1:256" s="207" customFormat="1" x14ac:dyDescent="0.2">
      <c r="A1021" s="1977" t="s">
        <v>1784</v>
      </c>
      <c r="B1021" s="234"/>
      <c r="C1021" s="234"/>
      <c r="D1021" s="234"/>
      <c r="E1021" s="234"/>
      <c r="F1021" s="234"/>
      <c r="G1021" s="234"/>
      <c r="H1021" s="234"/>
      <c r="I1021" s="234"/>
      <c r="J1021" s="234"/>
      <c r="K1021" s="234"/>
      <c r="L1021" s="234"/>
      <c r="M1021" s="234"/>
      <c r="N1021" s="1537"/>
      <c r="O1021" s="1537"/>
      <c r="P1021" s="1537"/>
      <c r="Q1021" s="1537"/>
      <c r="R1021" s="234"/>
      <c r="S1021" s="1537"/>
      <c r="T1021" s="1537"/>
      <c r="U1021" s="1537"/>
      <c r="V1021" s="1537"/>
      <c r="W1021" s="234"/>
      <c r="X1021" s="1537"/>
      <c r="Y1021" s="1537"/>
      <c r="Z1021" s="1537"/>
      <c r="AA1021" s="1537"/>
      <c r="AB1021" s="234"/>
      <c r="AC1021" s="1537"/>
      <c r="AD1021" s="1537"/>
      <c r="AE1021" s="1537"/>
      <c r="AF1021" s="1537"/>
      <c r="AG1021" s="234"/>
      <c r="AH1021" s="1537"/>
      <c r="AI1021" s="1537"/>
      <c r="AJ1021" s="1537"/>
      <c r="AK1021" s="1537"/>
      <c r="AL1021" s="234"/>
      <c r="AM1021" s="1537"/>
      <c r="AN1021" s="1537"/>
      <c r="AO1021" s="1537"/>
      <c r="AP1021" s="1537"/>
      <c r="AQ1021" s="234"/>
      <c r="AR1021" s="1537"/>
      <c r="AS1021" s="1537"/>
      <c r="AT1021" s="1537"/>
      <c r="AU1021" s="1537"/>
      <c r="AV1021" s="234"/>
      <c r="AW1021" s="1537"/>
      <c r="AX1021" s="1537"/>
      <c r="AY1021" s="1537" t="s">
        <v>1125</v>
      </c>
      <c r="AZ1021" s="1537" t="s">
        <v>1125</v>
      </c>
      <c r="BA1021" s="234"/>
      <c r="BB1021" s="1537" t="s">
        <v>1125</v>
      </c>
      <c r="BC1021" s="1537">
        <v>30000</v>
      </c>
      <c r="BD1021" s="1537"/>
      <c r="BE1021" s="1537"/>
      <c r="BF1021" s="236"/>
      <c r="BG1021" s="234"/>
      <c r="BH1021" s="234"/>
      <c r="BI1021" s="234"/>
      <c r="BJ1021" s="234"/>
      <c r="BK1021" s="236"/>
      <c r="BL1021" s="234"/>
      <c r="BM1021" s="234"/>
      <c r="BN1021" s="234"/>
      <c r="BO1021" s="234"/>
      <c r="BP1021" s="236"/>
      <c r="BQ1021" s="234"/>
      <c r="BR1021" s="234"/>
      <c r="BS1021" s="234"/>
      <c r="BT1021" s="234"/>
      <c r="BU1021" s="236"/>
      <c r="BV1021" s="234"/>
      <c r="BW1021" s="234"/>
      <c r="BX1021" s="234"/>
      <c r="BY1021" s="234"/>
      <c r="BZ1021" s="236"/>
      <c r="CA1021" s="234"/>
      <c r="CB1021" s="234"/>
      <c r="CC1021" s="234"/>
      <c r="CD1021" s="234"/>
      <c r="CE1021" s="236"/>
      <c r="CF1021" s="234"/>
      <c r="CG1021" s="234"/>
      <c r="CH1021" s="234"/>
      <c r="CI1021" s="234"/>
      <c r="CJ1021" s="236"/>
      <c r="CK1021" s="3515"/>
      <c r="CL1021" s="234"/>
      <c r="CM1021" s="234"/>
      <c r="CN1021" s="234"/>
      <c r="CO1021" s="236"/>
      <c r="CP1021" s="3515"/>
      <c r="CQ1021" s="234"/>
      <c r="CR1021" s="234"/>
      <c r="CS1021" s="234"/>
      <c r="CT1021" s="236"/>
      <c r="CU1021" s="236"/>
      <c r="CV1021" s="236"/>
      <c r="CW1021" s="234"/>
      <c r="CX1021" s="234"/>
      <c r="CY1021" s="234"/>
      <c r="CZ1021" s="234"/>
      <c r="DA1021" s="234"/>
      <c r="DB1021" s="217"/>
      <c r="DC1021" s="212"/>
      <c r="DD1021" s="234"/>
    </row>
    <row r="1022" spans="1:256" s="207" customFormat="1" x14ac:dyDescent="0.2">
      <c r="A1022" s="1977" t="s">
        <v>1783</v>
      </c>
      <c r="B1022" s="234"/>
      <c r="C1022" s="234"/>
      <c r="D1022" s="234"/>
      <c r="E1022" s="234"/>
      <c r="F1022" s="234"/>
      <c r="G1022" s="234"/>
      <c r="H1022" s="234"/>
      <c r="I1022" s="234"/>
      <c r="J1022" s="234"/>
      <c r="K1022" s="234"/>
      <c r="L1022" s="234"/>
      <c r="M1022" s="234"/>
      <c r="N1022" s="1537"/>
      <c r="O1022" s="1537"/>
      <c r="P1022" s="1537"/>
      <c r="Q1022" s="1537"/>
      <c r="R1022" s="234"/>
      <c r="S1022" s="1537"/>
      <c r="T1022" s="1537"/>
      <c r="U1022" s="1537"/>
      <c r="V1022" s="1537"/>
      <c r="W1022" s="234"/>
      <c r="X1022" s="1537"/>
      <c r="Y1022" s="1537"/>
      <c r="Z1022" s="1537"/>
      <c r="AA1022" s="1537"/>
      <c r="AB1022" s="234"/>
      <c r="AC1022" s="1537"/>
      <c r="AD1022" s="1537"/>
      <c r="AE1022" s="1537"/>
      <c r="AF1022" s="1537"/>
      <c r="AG1022" s="234"/>
      <c r="AH1022" s="1537"/>
      <c r="AI1022" s="1537"/>
      <c r="AJ1022" s="1537"/>
      <c r="AK1022" s="1537"/>
      <c r="AL1022" s="234"/>
      <c r="AM1022" s="1537"/>
      <c r="AN1022" s="1537"/>
      <c r="AO1022" s="1537"/>
      <c r="AP1022" s="1537"/>
      <c r="AQ1022" s="234"/>
      <c r="AR1022" s="1537"/>
      <c r="AS1022" s="1537"/>
      <c r="AT1022" s="1537"/>
      <c r="AU1022" s="1537"/>
      <c r="AV1022" s="234"/>
      <c r="AW1022" s="1537"/>
      <c r="AX1022" s="1537"/>
      <c r="AY1022" s="1537"/>
      <c r="AZ1022" s="1537"/>
      <c r="BA1022" s="234"/>
      <c r="BB1022" s="1537"/>
      <c r="BC1022" s="1537"/>
      <c r="BD1022" s="1537" t="s">
        <v>1125</v>
      </c>
      <c r="BE1022" s="1537">
        <v>35000</v>
      </c>
      <c r="BF1022" s="236"/>
      <c r="BG1022" s="1537">
        <v>35000</v>
      </c>
      <c r="BH1022" s="1537">
        <v>35000</v>
      </c>
      <c r="BI1022" s="1537">
        <v>30000</v>
      </c>
      <c r="BJ1022" s="1537"/>
      <c r="BK1022" s="1922"/>
      <c r="BL1022" s="1537"/>
      <c r="BM1022" s="1537"/>
      <c r="BN1022" s="1537"/>
      <c r="BO1022" s="234"/>
      <c r="BP1022" s="236"/>
      <c r="BQ1022" s="234"/>
      <c r="BR1022" s="234"/>
      <c r="BS1022" s="234"/>
      <c r="BT1022" s="234"/>
      <c r="BU1022" s="236"/>
      <c r="BV1022" s="234"/>
      <c r="BW1022" s="234"/>
      <c r="BX1022" s="234"/>
      <c r="BY1022" s="234"/>
      <c r="BZ1022" s="236"/>
      <c r="CA1022" s="234"/>
      <c r="CB1022" s="234"/>
      <c r="CC1022" s="234"/>
      <c r="CD1022" s="234"/>
      <c r="CE1022" s="236"/>
      <c r="CF1022" s="234"/>
      <c r="CG1022" s="234"/>
      <c r="CH1022" s="234"/>
      <c r="CI1022" s="234"/>
      <c r="CJ1022" s="236"/>
      <c r="CK1022" s="3515"/>
      <c r="CL1022" s="234"/>
      <c r="CM1022" s="234"/>
      <c r="CN1022" s="234"/>
      <c r="CO1022" s="236"/>
      <c r="CP1022" s="3515"/>
      <c r="CQ1022" s="234"/>
      <c r="CR1022" s="234"/>
      <c r="CS1022" s="234"/>
      <c r="CT1022" s="236"/>
      <c r="CU1022" s="236"/>
      <c r="CV1022" s="236"/>
      <c r="CW1022" s="234"/>
      <c r="CX1022" s="234"/>
      <c r="CY1022" s="234"/>
      <c r="CZ1022" s="234"/>
      <c r="DA1022" s="234"/>
      <c r="DB1022" s="217"/>
      <c r="DC1022" s="212"/>
      <c r="DD1022" s="234"/>
    </row>
    <row r="1023" spans="1:256" s="207" customFormat="1" x14ac:dyDescent="0.2">
      <c r="A1023" s="1977" t="s">
        <v>1774</v>
      </c>
      <c r="B1023" s="234"/>
      <c r="C1023" s="234"/>
      <c r="D1023" s="234"/>
      <c r="E1023" s="234"/>
      <c r="F1023" s="234"/>
      <c r="G1023" s="234"/>
      <c r="H1023" s="234"/>
      <c r="I1023" s="234"/>
      <c r="J1023" s="234"/>
      <c r="K1023" s="234"/>
      <c r="L1023" s="234"/>
      <c r="M1023" s="234"/>
      <c r="N1023" s="1537"/>
      <c r="O1023" s="1537"/>
      <c r="P1023" s="1537"/>
      <c r="Q1023" s="1537"/>
      <c r="R1023" s="234"/>
      <c r="S1023" s="1537"/>
      <c r="T1023" s="1537"/>
      <c r="U1023" s="1537"/>
      <c r="V1023" s="1537"/>
      <c r="W1023" s="234"/>
      <c r="X1023" s="1537"/>
      <c r="Y1023" s="1537"/>
      <c r="Z1023" s="1537"/>
      <c r="AA1023" s="1537"/>
      <c r="AB1023" s="234"/>
      <c r="AC1023" s="1537"/>
      <c r="AD1023" s="1537"/>
      <c r="AE1023" s="1537"/>
      <c r="AF1023" s="1537"/>
      <c r="AG1023" s="234"/>
      <c r="AH1023" s="1537"/>
      <c r="AI1023" s="1537"/>
      <c r="AJ1023" s="1537"/>
      <c r="AK1023" s="1537"/>
      <c r="AL1023" s="234"/>
      <c r="AM1023" s="1537"/>
      <c r="AN1023" s="1537"/>
      <c r="AO1023" s="1537"/>
      <c r="AP1023" s="1537"/>
      <c r="AQ1023" s="234"/>
      <c r="AR1023" s="1537"/>
      <c r="AS1023" s="1537"/>
      <c r="AT1023" s="1537"/>
      <c r="AU1023" s="1537"/>
      <c r="AV1023" s="234"/>
      <c r="AW1023" s="1537"/>
      <c r="AX1023" s="1537"/>
      <c r="AY1023" s="1537"/>
      <c r="AZ1023" s="1537"/>
      <c r="BA1023" s="234"/>
      <c r="BB1023" s="1537"/>
      <c r="BC1023" s="1537"/>
      <c r="BD1023" s="1537"/>
      <c r="BE1023" s="1537"/>
      <c r="BF1023" s="236"/>
      <c r="BG1023" s="1537"/>
      <c r="BH1023" s="1537"/>
      <c r="BI1023" s="1537">
        <v>30000</v>
      </c>
      <c r="BJ1023" s="1537">
        <v>30000</v>
      </c>
      <c r="BK1023" s="1922"/>
      <c r="BL1023" s="1537" t="s">
        <v>1125</v>
      </c>
      <c r="BM1023" s="1537" t="s">
        <v>1124</v>
      </c>
      <c r="BN1023" s="1537">
        <v>28000</v>
      </c>
      <c r="BO1023" s="234"/>
      <c r="BP1023" s="236"/>
      <c r="BQ1023" s="234"/>
      <c r="BR1023" s="234"/>
      <c r="BS1023" s="234"/>
      <c r="BT1023" s="234"/>
      <c r="BU1023" s="236"/>
      <c r="BV1023" s="234"/>
      <c r="BW1023" s="234"/>
      <c r="BX1023" s="234"/>
      <c r="BY1023" s="234"/>
      <c r="BZ1023" s="236"/>
      <c r="CA1023" s="234"/>
      <c r="CB1023" s="234"/>
      <c r="CC1023" s="234"/>
      <c r="CD1023" s="234"/>
      <c r="CE1023" s="236"/>
      <c r="CF1023" s="234"/>
      <c r="CG1023" s="234"/>
      <c r="CH1023" s="234"/>
      <c r="CI1023" s="234"/>
      <c r="CJ1023" s="236"/>
      <c r="CK1023" s="3515"/>
      <c r="CL1023" s="234"/>
      <c r="CM1023" s="234"/>
      <c r="CN1023" s="234"/>
      <c r="CO1023" s="236"/>
      <c r="CP1023" s="3515"/>
      <c r="CQ1023" s="234"/>
      <c r="CR1023" s="234"/>
      <c r="CS1023" s="234"/>
      <c r="CT1023" s="236"/>
      <c r="CU1023" s="236"/>
      <c r="CV1023" s="236"/>
      <c r="CW1023" s="234"/>
      <c r="CX1023" s="234"/>
      <c r="CY1023" s="234"/>
      <c r="CZ1023" s="234"/>
      <c r="DA1023" s="234"/>
      <c r="DB1023" s="217"/>
      <c r="DC1023" s="212"/>
      <c r="DD1023" s="234"/>
    </row>
    <row r="1024" spans="1:256" s="207" customFormat="1" x14ac:dyDescent="0.2">
      <c r="A1024" s="1977" t="s">
        <v>1775</v>
      </c>
      <c r="B1024" s="234"/>
      <c r="C1024" s="234"/>
      <c r="D1024" s="234"/>
      <c r="E1024" s="234"/>
      <c r="F1024" s="234"/>
      <c r="G1024" s="234"/>
      <c r="H1024" s="234"/>
      <c r="I1024" s="234"/>
      <c r="J1024" s="234"/>
      <c r="K1024" s="234"/>
      <c r="L1024" s="234"/>
      <c r="M1024" s="234"/>
      <c r="N1024" s="1537"/>
      <c r="O1024" s="1537"/>
      <c r="P1024" s="1537"/>
      <c r="Q1024" s="1537"/>
      <c r="R1024" s="234"/>
      <c r="S1024" s="1537"/>
      <c r="T1024" s="1537"/>
      <c r="U1024" s="1537"/>
      <c r="V1024" s="1537"/>
      <c r="W1024" s="234"/>
      <c r="X1024" s="1537"/>
      <c r="Y1024" s="1537"/>
      <c r="Z1024" s="1537"/>
      <c r="AA1024" s="1537"/>
      <c r="AB1024" s="234"/>
      <c r="AC1024" s="1537"/>
      <c r="AD1024" s="1537"/>
      <c r="AE1024" s="1537"/>
      <c r="AF1024" s="1537"/>
      <c r="AG1024" s="234"/>
      <c r="AH1024" s="1537"/>
      <c r="AI1024" s="1537"/>
      <c r="AJ1024" s="1537"/>
      <c r="AK1024" s="1537"/>
      <c r="AL1024" s="234"/>
      <c r="AM1024" s="1537"/>
      <c r="AN1024" s="1537"/>
      <c r="AO1024" s="1537"/>
      <c r="AP1024" s="1537"/>
      <c r="AQ1024" s="234"/>
      <c r="AR1024" s="1537"/>
      <c r="AS1024" s="1537"/>
      <c r="AT1024" s="1537"/>
      <c r="AU1024" s="1537"/>
      <c r="AV1024" s="234"/>
      <c r="AW1024" s="1537"/>
      <c r="AX1024" s="1537"/>
      <c r="AY1024" s="1537"/>
      <c r="AZ1024" s="1537"/>
      <c r="BA1024" s="234"/>
      <c r="BB1024" s="1537"/>
      <c r="BC1024" s="1537"/>
      <c r="BD1024" s="1537"/>
      <c r="BE1024" s="1537"/>
      <c r="BF1024" s="236"/>
      <c r="BG1024" s="1537"/>
      <c r="BH1024" s="1537"/>
      <c r="BI1024" s="1537"/>
      <c r="BJ1024" s="1537"/>
      <c r="BK1024" s="1922"/>
      <c r="BL1024" s="1537"/>
      <c r="BM1024" s="1537"/>
      <c r="BN1024" s="1537" t="s">
        <v>1777</v>
      </c>
      <c r="BO1024" s="1537" t="s">
        <v>1777</v>
      </c>
      <c r="BP1024" s="236"/>
      <c r="BQ1024" s="1537" t="s">
        <v>1777</v>
      </c>
      <c r="BR1024" s="1537">
        <v>30000</v>
      </c>
      <c r="BS1024" s="1537">
        <v>30000</v>
      </c>
      <c r="BT1024" s="234"/>
      <c r="BU1024" s="236"/>
      <c r="BV1024" s="234"/>
      <c r="BW1024" s="234"/>
      <c r="BX1024" s="234"/>
      <c r="BY1024" s="234"/>
      <c r="BZ1024" s="236"/>
      <c r="CA1024" s="234"/>
      <c r="CB1024" s="234"/>
      <c r="CC1024" s="234"/>
      <c r="CD1024" s="234"/>
      <c r="CE1024" s="236"/>
      <c r="CF1024" s="234"/>
      <c r="CG1024" s="234"/>
      <c r="CH1024" s="234"/>
      <c r="CI1024" s="234"/>
      <c r="CJ1024" s="236"/>
      <c r="CK1024" s="3515"/>
      <c r="CL1024" s="234"/>
      <c r="CM1024" s="234"/>
      <c r="CN1024" s="234"/>
      <c r="CO1024" s="236"/>
      <c r="CP1024" s="3515"/>
      <c r="CQ1024" s="234"/>
      <c r="CR1024" s="234"/>
      <c r="CS1024" s="234"/>
      <c r="CT1024" s="236"/>
      <c r="CU1024" s="236"/>
      <c r="CV1024" s="236"/>
      <c r="CW1024" s="234"/>
      <c r="CX1024" s="234"/>
      <c r="CY1024" s="234"/>
      <c r="CZ1024" s="234"/>
      <c r="DA1024" s="234"/>
      <c r="DB1024" s="217"/>
      <c r="DC1024" s="212"/>
      <c r="DD1024" s="234"/>
    </row>
    <row r="1025" spans="1:108" s="207" customFormat="1" x14ac:dyDescent="0.2">
      <c r="A1025" s="1977" t="s">
        <v>1776</v>
      </c>
      <c r="B1025" s="234"/>
      <c r="C1025" s="234"/>
      <c r="D1025" s="234"/>
      <c r="E1025" s="234"/>
      <c r="F1025" s="234"/>
      <c r="G1025" s="234"/>
      <c r="H1025" s="234"/>
      <c r="I1025" s="234"/>
      <c r="J1025" s="234"/>
      <c r="K1025" s="234"/>
      <c r="L1025" s="234"/>
      <c r="M1025" s="234"/>
      <c r="N1025" s="1537"/>
      <c r="O1025" s="1537"/>
      <c r="P1025" s="1537"/>
      <c r="Q1025" s="1537"/>
      <c r="R1025" s="234"/>
      <c r="S1025" s="1537"/>
      <c r="T1025" s="1537"/>
      <c r="U1025" s="1537"/>
      <c r="V1025" s="1537"/>
      <c r="W1025" s="234"/>
      <c r="X1025" s="1537"/>
      <c r="Y1025" s="1537"/>
      <c r="Z1025" s="1537"/>
      <c r="AA1025" s="1537"/>
      <c r="AB1025" s="234"/>
      <c r="AC1025" s="1537"/>
      <c r="AD1025" s="1537"/>
      <c r="AE1025" s="1537"/>
      <c r="AF1025" s="1537"/>
      <c r="AG1025" s="234"/>
      <c r="AH1025" s="1537"/>
      <c r="AI1025" s="1537"/>
      <c r="AJ1025" s="1537"/>
      <c r="AK1025" s="1537"/>
      <c r="AL1025" s="234"/>
      <c r="AM1025" s="1537"/>
      <c r="AN1025" s="1537"/>
      <c r="AO1025" s="1537"/>
      <c r="AP1025" s="1537"/>
      <c r="AQ1025" s="234"/>
      <c r="AR1025" s="1537"/>
      <c r="AS1025" s="1537"/>
      <c r="AT1025" s="1537"/>
      <c r="AU1025" s="1537"/>
      <c r="AV1025" s="234"/>
      <c r="AW1025" s="1537"/>
      <c r="AX1025" s="1537"/>
      <c r="AY1025" s="1537"/>
      <c r="AZ1025" s="1537"/>
      <c r="BA1025" s="234"/>
      <c r="BB1025" s="1537"/>
      <c r="BC1025" s="1537"/>
      <c r="BD1025" s="1537"/>
      <c r="BE1025" s="1537"/>
      <c r="BF1025" s="236"/>
      <c r="BG1025" s="1537"/>
      <c r="BH1025" s="1537"/>
      <c r="BI1025" s="1537"/>
      <c r="BJ1025" s="1537"/>
      <c r="BK1025" s="1922"/>
      <c r="BL1025" s="1537"/>
      <c r="BM1025" s="1537"/>
      <c r="BN1025" s="1537" t="s">
        <v>1778</v>
      </c>
      <c r="BO1025" s="234"/>
      <c r="BP1025" s="236"/>
      <c r="BQ1025" s="234"/>
      <c r="BR1025" s="234"/>
      <c r="BS1025" s="234"/>
      <c r="BT1025" s="234"/>
      <c r="BU1025" s="236"/>
      <c r="BV1025" s="234"/>
      <c r="BW1025" s="234"/>
      <c r="BX1025" s="234"/>
      <c r="BY1025" s="234"/>
      <c r="BZ1025" s="236"/>
      <c r="CA1025" s="234"/>
      <c r="CB1025" s="234"/>
      <c r="CC1025" s="234"/>
      <c r="CD1025" s="234"/>
      <c r="CE1025" s="236"/>
      <c r="CF1025" s="234"/>
      <c r="CG1025" s="234"/>
      <c r="CH1025" s="234"/>
      <c r="CI1025" s="234"/>
      <c r="CJ1025" s="236"/>
      <c r="CK1025" s="3515"/>
      <c r="CL1025" s="234"/>
      <c r="CM1025" s="234"/>
      <c r="CN1025" s="234"/>
      <c r="CO1025" s="236"/>
      <c r="CP1025" s="3515"/>
      <c r="CQ1025" s="234"/>
      <c r="CR1025" s="234"/>
      <c r="CS1025" s="234"/>
      <c r="CT1025" s="236"/>
      <c r="CU1025" s="236"/>
      <c r="CV1025" s="236"/>
      <c r="CW1025" s="234"/>
      <c r="CX1025" s="234"/>
      <c r="CY1025" s="234"/>
      <c r="CZ1025" s="234"/>
      <c r="DA1025" s="234"/>
      <c r="DB1025" s="217"/>
      <c r="DC1025" s="212"/>
      <c r="DD1025" s="234"/>
    </row>
    <row r="1026" spans="1:108" s="207" customFormat="1" x14ac:dyDescent="0.2">
      <c r="A1026" s="1977"/>
      <c r="B1026" s="234"/>
      <c r="C1026" s="234"/>
      <c r="D1026" s="234"/>
      <c r="E1026" s="234"/>
      <c r="F1026" s="234"/>
      <c r="G1026" s="234"/>
      <c r="H1026" s="234"/>
      <c r="I1026" s="234"/>
      <c r="J1026" s="234"/>
      <c r="K1026" s="234"/>
      <c r="L1026" s="234"/>
      <c r="M1026" s="234"/>
      <c r="N1026" s="1537"/>
      <c r="O1026" s="1537"/>
      <c r="P1026" s="1537"/>
      <c r="Q1026" s="1537"/>
      <c r="R1026" s="234"/>
      <c r="S1026" s="1537"/>
      <c r="T1026" s="1537"/>
      <c r="U1026" s="1537"/>
      <c r="V1026" s="1537"/>
      <c r="W1026" s="234"/>
      <c r="X1026" s="1537"/>
      <c r="Y1026" s="1537"/>
      <c r="Z1026" s="1537"/>
      <c r="AA1026" s="1537"/>
      <c r="AB1026" s="234"/>
      <c r="AC1026" s="1537"/>
      <c r="AD1026" s="1537"/>
      <c r="AE1026" s="1537"/>
      <c r="AF1026" s="1537"/>
      <c r="AG1026" s="234"/>
      <c r="AH1026" s="1537"/>
      <c r="AI1026" s="1537"/>
      <c r="AJ1026" s="1537"/>
      <c r="AK1026" s="1537"/>
      <c r="AL1026" s="234"/>
      <c r="AM1026" s="1537"/>
      <c r="AN1026" s="1537"/>
      <c r="AO1026" s="1537"/>
      <c r="AP1026" s="1537"/>
      <c r="AQ1026" s="234"/>
      <c r="AR1026" s="1537"/>
      <c r="AS1026" s="1537"/>
      <c r="AT1026" s="1537"/>
      <c r="AU1026" s="1537"/>
      <c r="AV1026" s="234"/>
      <c r="AW1026" s="1537"/>
      <c r="AX1026" s="1537"/>
      <c r="AY1026" s="1537"/>
      <c r="AZ1026" s="1537"/>
      <c r="BA1026" s="234"/>
      <c r="BB1026" s="1537"/>
      <c r="BC1026" s="1537"/>
      <c r="BD1026" s="1537"/>
      <c r="BE1026" s="1537"/>
      <c r="BF1026" s="236"/>
      <c r="BG1026" s="1537"/>
      <c r="BH1026" s="1537"/>
      <c r="BI1026" s="1537"/>
      <c r="BJ1026" s="1537"/>
      <c r="BK1026" s="1922"/>
      <c r="BL1026" s="1537"/>
      <c r="BM1026" s="1537"/>
      <c r="BN1026" s="1537"/>
      <c r="BO1026" s="234"/>
      <c r="BP1026" s="236"/>
      <c r="BQ1026" s="234"/>
      <c r="BR1026" s="234"/>
      <c r="BS1026" s="234"/>
      <c r="BT1026" s="234"/>
      <c r="BU1026" s="236"/>
      <c r="BV1026" s="234"/>
      <c r="BW1026" s="234"/>
      <c r="BX1026" s="234"/>
      <c r="BY1026" s="234"/>
      <c r="BZ1026" s="236"/>
      <c r="CA1026" s="234"/>
      <c r="CB1026" s="234"/>
      <c r="CC1026" s="234"/>
      <c r="CD1026" s="234"/>
      <c r="CE1026" s="236"/>
      <c r="CF1026" s="234"/>
      <c r="CG1026" s="234"/>
      <c r="CH1026" s="234"/>
      <c r="CI1026" s="234"/>
      <c r="CJ1026" s="236"/>
      <c r="CK1026" s="3515"/>
      <c r="CL1026" s="234"/>
      <c r="CM1026" s="234"/>
      <c r="CN1026" s="234"/>
      <c r="CO1026" s="236"/>
      <c r="CP1026" s="3515"/>
      <c r="CQ1026" s="234"/>
      <c r="CR1026" s="234"/>
      <c r="CS1026" s="234"/>
      <c r="CT1026" s="236"/>
      <c r="CU1026" s="236"/>
      <c r="CV1026" s="236"/>
      <c r="CW1026" s="234"/>
      <c r="CX1026" s="234"/>
      <c r="CY1026" s="234"/>
      <c r="CZ1026" s="234"/>
      <c r="DA1026" s="234"/>
      <c r="DB1026" s="217"/>
      <c r="DC1026" s="212"/>
      <c r="DD1026" s="234"/>
    </row>
    <row r="1027" spans="1:108" s="207" customFormat="1" x14ac:dyDescent="0.2">
      <c r="A1027" s="1977" t="s">
        <v>1785</v>
      </c>
      <c r="B1027" s="234"/>
      <c r="C1027" s="234"/>
      <c r="D1027" s="1537">
        <v>46</v>
      </c>
      <c r="E1027" s="1537">
        <v>47</v>
      </c>
      <c r="F1027" s="1537">
        <v>53</v>
      </c>
      <c r="G1027" s="234">
        <f>+H1027-SUM(D1027:F1027)</f>
        <v>92</v>
      </c>
      <c r="H1027" s="1537">
        <v>238</v>
      </c>
      <c r="I1027" s="1537">
        <v>66</v>
      </c>
      <c r="J1027" s="1537">
        <v>67</v>
      </c>
      <c r="K1027" s="1537">
        <v>118</v>
      </c>
      <c r="L1027" s="234">
        <f>+M1027-SUM(I1027:K1027)</f>
        <v>62</v>
      </c>
      <c r="M1027" s="1537">
        <v>313</v>
      </c>
      <c r="N1027" s="1537">
        <v>34</v>
      </c>
      <c r="O1027" s="1537">
        <v>43</v>
      </c>
      <c r="P1027" s="1537">
        <v>46</v>
      </c>
      <c r="Q1027" s="234">
        <f>+R1027-SUM(N1027:P1027)</f>
        <v>65</v>
      </c>
      <c r="R1027" s="1537">
        <v>188</v>
      </c>
      <c r="S1027" s="1537">
        <v>35</v>
      </c>
      <c r="T1027" s="1537">
        <v>55</v>
      </c>
      <c r="U1027" s="1537">
        <v>46</v>
      </c>
      <c r="V1027" s="1537">
        <v>50</v>
      </c>
      <c r="W1027" s="234">
        <f>+SUM(S1027:V1027)</f>
        <v>186</v>
      </c>
      <c r="X1027" s="1537">
        <v>38</v>
      </c>
      <c r="Y1027" s="1537">
        <v>53</v>
      </c>
      <c r="Z1027" s="1537">
        <v>36</v>
      </c>
      <c r="AA1027" s="1537">
        <v>39</v>
      </c>
      <c r="AB1027" s="234">
        <f>+SUM(X1027:AA1027)</f>
        <v>166</v>
      </c>
      <c r="AC1027" s="1537">
        <v>27</v>
      </c>
      <c r="AD1027" s="1537">
        <v>34</v>
      </c>
      <c r="AE1027" s="1537">
        <v>35</v>
      </c>
      <c r="AF1027" s="1537">
        <v>38</v>
      </c>
      <c r="AG1027" s="234">
        <f>+SUM(AC1027:AF1027)</f>
        <v>134</v>
      </c>
      <c r="AH1027" s="1537">
        <v>33</v>
      </c>
      <c r="AI1027" s="1537">
        <v>33</v>
      </c>
      <c r="AJ1027" s="1537">
        <v>38</v>
      </c>
      <c r="AK1027" s="1537">
        <v>32</v>
      </c>
      <c r="AL1027" s="234">
        <f>+SUM(AH1027:AK1027)</f>
        <v>136</v>
      </c>
      <c r="AM1027" s="1537">
        <v>35</v>
      </c>
      <c r="AN1027" s="1537">
        <v>52</v>
      </c>
      <c r="AO1027" s="1537">
        <v>50</v>
      </c>
      <c r="AP1027" s="1537">
        <v>70</v>
      </c>
      <c r="AQ1027" s="234">
        <f>+SUM(AM1027:AP1027)</f>
        <v>207</v>
      </c>
      <c r="AR1027" s="1537">
        <v>40</v>
      </c>
      <c r="AS1027" s="1537">
        <v>61</v>
      </c>
      <c r="AT1027" s="1537">
        <v>42</v>
      </c>
      <c r="AU1027" s="1537">
        <v>78</v>
      </c>
      <c r="AV1027" s="234">
        <f>+SUM(AR1027:AU1027)</f>
        <v>221</v>
      </c>
      <c r="AW1027" s="1537">
        <v>53</v>
      </c>
      <c r="AX1027" s="1537">
        <v>62</v>
      </c>
      <c r="AY1027" s="1537">
        <v>79</v>
      </c>
      <c r="AZ1027" s="1537">
        <v>65</v>
      </c>
      <c r="BA1027" s="234">
        <f>+SUM(AW1027:AZ1027)</f>
        <v>259</v>
      </c>
      <c r="BB1027" s="1537">
        <v>44</v>
      </c>
      <c r="BC1027" s="1537">
        <v>46</v>
      </c>
      <c r="BD1027" s="1537">
        <v>32</v>
      </c>
      <c r="BE1027" s="1537">
        <v>35</v>
      </c>
      <c r="BF1027" s="236">
        <f>+SUM(BB1027:BE1027)</f>
        <v>157</v>
      </c>
      <c r="BG1027" s="1537">
        <v>100</v>
      </c>
      <c r="BH1027" s="1537">
        <v>32</v>
      </c>
      <c r="BI1027" s="1537">
        <v>38</v>
      </c>
      <c r="BJ1027" s="1537">
        <v>40</v>
      </c>
      <c r="BK1027" s="236">
        <f>+SUM(BG1027:BJ1027)</f>
        <v>210</v>
      </c>
      <c r="BL1027" s="1537">
        <v>24</v>
      </c>
      <c r="BM1027" s="1537">
        <v>29</v>
      </c>
      <c r="BN1027" s="1537">
        <v>35</v>
      </c>
      <c r="BO1027" s="1537">
        <v>37</v>
      </c>
      <c r="BP1027" s="236">
        <f>+SUM(BL1027:BO1027)</f>
        <v>125</v>
      </c>
      <c r="BQ1027" s="1537">
        <v>32</v>
      </c>
      <c r="BR1027" s="234"/>
      <c r="BS1027" s="1537">
        <v>44</v>
      </c>
      <c r="BT1027" s="234"/>
      <c r="BU1027" s="236"/>
      <c r="BV1027" s="234"/>
      <c r="BW1027" s="234"/>
      <c r="BX1027" s="1537"/>
      <c r="BY1027" s="1537"/>
      <c r="BZ1027" s="1922"/>
      <c r="CA1027" s="234"/>
      <c r="CB1027" s="1537"/>
      <c r="CC1027" s="1537"/>
      <c r="CD1027" s="234"/>
      <c r="CE1027" s="1922"/>
      <c r="CF1027" s="1537"/>
      <c r="CG1027" s="1537"/>
      <c r="CH1027" s="1537"/>
      <c r="CI1027" s="234"/>
      <c r="CJ1027" s="1922"/>
      <c r="CK1027" s="1920"/>
      <c r="CL1027" s="1537"/>
      <c r="CM1027" s="1537"/>
      <c r="CN1027" s="1537"/>
      <c r="CO1027" s="236"/>
      <c r="CP1027" s="1920"/>
      <c r="CQ1027" s="1537"/>
      <c r="CR1027" s="1537"/>
      <c r="CS1027" s="1537"/>
      <c r="CT1027" s="236"/>
      <c r="CU1027" s="236"/>
      <c r="CV1027" s="236"/>
      <c r="CW1027" s="234"/>
      <c r="CX1027" s="234"/>
      <c r="CY1027" s="234"/>
      <c r="CZ1027" s="234"/>
      <c r="DA1027" s="234"/>
      <c r="DB1027" s="217"/>
      <c r="DC1027" s="212"/>
      <c r="DD1027" s="234"/>
    </row>
    <row r="1028" spans="1:108" s="207" customFormat="1" x14ac:dyDescent="0.2">
      <c r="A1028" s="1977" t="s">
        <v>352</v>
      </c>
      <c r="B1028" s="234"/>
      <c r="C1028" s="234"/>
      <c r="D1028" s="1537">
        <v>7300</v>
      </c>
      <c r="E1028" s="1537">
        <v>6200</v>
      </c>
      <c r="F1028" s="1537">
        <v>8600</v>
      </c>
      <c r="G1028" s="234">
        <f>+H1028-SUM(D1028:F1028)</f>
        <v>17900</v>
      </c>
      <c r="H1028" s="1537">
        <v>40000</v>
      </c>
      <c r="I1028" s="1537">
        <v>11500</v>
      </c>
      <c r="J1028" s="1537">
        <v>10700</v>
      </c>
      <c r="K1028" s="1537">
        <v>14862</v>
      </c>
      <c r="L1028" s="234">
        <f>+M1028-SUM(I1028:K1028)</f>
        <v>12938</v>
      </c>
      <c r="M1028" s="1537">
        <v>50000</v>
      </c>
      <c r="N1028" s="1537">
        <v>7000</v>
      </c>
      <c r="O1028" s="1537">
        <v>6662</v>
      </c>
      <c r="P1028" s="1537">
        <v>7072</v>
      </c>
      <c r="Q1028" s="234">
        <f>+R1028-SUM(N1028:P1028)</f>
        <v>10266</v>
      </c>
      <c r="R1028" s="1537">
        <v>31000</v>
      </c>
      <c r="S1028" s="1537">
        <v>8028</v>
      </c>
      <c r="T1028" s="1537">
        <v>7449</v>
      </c>
      <c r="U1028" s="1537">
        <v>8578</v>
      </c>
      <c r="V1028" s="1537">
        <v>7206</v>
      </c>
      <c r="W1028" s="234">
        <f>+SUM(S1028:V1028)</f>
        <v>31261</v>
      </c>
      <c r="X1028" s="1537">
        <v>7380</v>
      </c>
      <c r="Y1028" s="1537">
        <v>7745</v>
      </c>
      <c r="Z1028" s="1537">
        <v>6045</v>
      </c>
      <c r="AA1028" s="1537">
        <v>5868</v>
      </c>
      <c r="AB1028" s="234">
        <f>+SUM(X1028:AA1028)</f>
        <v>27038</v>
      </c>
      <c r="AC1028" s="1537">
        <v>4525</v>
      </c>
      <c r="AD1028" s="1537">
        <v>5932</v>
      </c>
      <c r="AE1028" s="1537">
        <v>5174</v>
      </c>
      <c r="AF1028" s="1537">
        <v>5980</v>
      </c>
      <c r="AG1028" s="234">
        <f>+SUM(AC1028:AF1028)</f>
        <v>21611</v>
      </c>
      <c r="AH1028" s="1537">
        <v>6827</v>
      </c>
      <c r="AI1028" s="1537">
        <v>4853</v>
      </c>
      <c r="AJ1028" s="1537">
        <v>6281</v>
      </c>
      <c r="AK1028" s="1537">
        <v>5505</v>
      </c>
      <c r="AL1028" s="234">
        <f>+SUM(AH1028:AK1028)</f>
        <v>23466</v>
      </c>
      <c r="AM1028" s="1537">
        <v>4783</v>
      </c>
      <c r="AN1028" s="1537">
        <v>6976</v>
      </c>
      <c r="AO1028" s="1537">
        <v>7163</v>
      </c>
      <c r="AP1028" s="1537">
        <v>10787</v>
      </c>
      <c r="AQ1028" s="234">
        <f>+SUM(AM1028:AP1028)</f>
        <v>29709</v>
      </c>
      <c r="AR1028" s="1537">
        <v>5948</v>
      </c>
      <c r="AS1028" s="1537">
        <v>9482</v>
      </c>
      <c r="AT1028" s="1537">
        <v>6528</v>
      </c>
      <c r="AU1028" s="1537">
        <v>11451</v>
      </c>
      <c r="AV1028" s="234">
        <f>+SUM(AR1028:AU1028)</f>
        <v>33409</v>
      </c>
      <c r="AW1028" s="1537">
        <v>8814</v>
      </c>
      <c r="AX1028" s="1537">
        <v>8462</v>
      </c>
      <c r="AY1028" s="1537">
        <v>10380</v>
      </c>
      <c r="AZ1028" s="1537">
        <v>10626</v>
      </c>
      <c r="BA1028" s="234">
        <f>+SUM(AW1028:AZ1028)</f>
        <v>38282</v>
      </c>
      <c r="BB1028" s="1537">
        <v>8361</v>
      </c>
      <c r="BC1028" s="1537">
        <v>6568</v>
      </c>
      <c r="BD1028" s="1537">
        <v>5056</v>
      </c>
      <c r="BE1028" s="1537">
        <v>8571</v>
      </c>
      <c r="BF1028" s="236">
        <f>+SUM(BB1028:BE1028)</f>
        <v>28556</v>
      </c>
      <c r="BG1028" s="1537">
        <v>14203</v>
      </c>
      <c r="BH1028" s="1537">
        <v>4512</v>
      </c>
      <c r="BI1028" s="1537">
        <v>5969</v>
      </c>
      <c r="BJ1028" s="1537">
        <v>6925</v>
      </c>
      <c r="BK1028" s="236">
        <f>+SUM(BG1028:BJ1028)</f>
        <v>31609</v>
      </c>
      <c r="BL1028" s="1537">
        <v>3234</v>
      </c>
      <c r="BM1028" s="1537">
        <v>5058</v>
      </c>
      <c r="BN1028" s="1537">
        <v>4874</v>
      </c>
      <c r="BO1028" s="1537">
        <v>13982</v>
      </c>
      <c r="BP1028" s="1922">
        <v>27000</v>
      </c>
      <c r="BQ1028" s="1537">
        <v>5257</v>
      </c>
      <c r="BR1028" s="234"/>
      <c r="BS1028" s="1537">
        <v>6580</v>
      </c>
      <c r="BT1028" s="234"/>
      <c r="BU1028" s="236"/>
      <c r="BV1028" s="234"/>
      <c r="BW1028" s="1537"/>
      <c r="BX1028" s="234"/>
      <c r="BY1028" s="234"/>
      <c r="BZ1028" s="236"/>
      <c r="CA1028" s="234"/>
      <c r="CB1028" s="234"/>
      <c r="CC1028" s="234"/>
      <c r="CD1028" s="234"/>
      <c r="CE1028" s="236"/>
      <c r="CF1028" s="234"/>
      <c r="CG1028" s="234"/>
      <c r="CH1028" s="234"/>
      <c r="CI1028" s="234"/>
      <c r="CJ1028" s="236"/>
      <c r="CK1028" s="3515"/>
      <c r="CL1028" s="234"/>
      <c r="CM1028" s="234"/>
      <c r="CN1028" s="234"/>
      <c r="CO1028" s="236"/>
      <c r="CP1028" s="3515"/>
      <c r="CQ1028" s="234"/>
      <c r="CR1028" s="234"/>
      <c r="CS1028" s="234"/>
      <c r="CT1028" s="236"/>
      <c r="CU1028" s="236"/>
      <c r="CV1028" s="236"/>
      <c r="CW1028" s="234"/>
      <c r="CX1028" s="234"/>
      <c r="CY1028" s="234"/>
      <c r="CZ1028" s="234"/>
      <c r="DA1028" s="234"/>
      <c r="DB1028" s="217"/>
      <c r="DC1028" s="212"/>
      <c r="DD1028" s="234"/>
    </row>
    <row r="1029" spans="1:108" s="207" customFormat="1" x14ac:dyDescent="0.2">
      <c r="A1029" s="1977" t="s">
        <v>353</v>
      </c>
      <c r="B1029" s="234"/>
      <c r="C1029" s="234"/>
      <c r="D1029" s="1537">
        <v>6</v>
      </c>
      <c r="E1029" s="1537">
        <v>5</v>
      </c>
      <c r="F1029" s="1537">
        <v>5</v>
      </c>
      <c r="G1029" s="234">
        <f>+H1029-SUM(D1029:F1029)</f>
        <v>3</v>
      </c>
      <c r="H1029" s="1537">
        <v>19</v>
      </c>
      <c r="I1029" s="1537">
        <v>2</v>
      </c>
      <c r="J1029" s="1537">
        <v>2</v>
      </c>
      <c r="K1029" s="1537">
        <v>4</v>
      </c>
      <c r="L1029" s="234">
        <f>+M1029-SUM(I1029:K1029)</f>
        <v>6</v>
      </c>
      <c r="M1029" s="1537">
        <v>14</v>
      </c>
      <c r="N1029" s="1537">
        <v>4</v>
      </c>
      <c r="O1029" s="1537">
        <v>8</v>
      </c>
      <c r="P1029" s="1537">
        <v>4</v>
      </c>
      <c r="Q1029" s="234">
        <f>+R1029-SUM(N1029:P1029)</f>
        <v>9</v>
      </c>
      <c r="R1029" s="1537">
        <v>25</v>
      </c>
      <c r="S1029" s="1537">
        <f>1+2</f>
        <v>3</v>
      </c>
      <c r="T1029" s="1537">
        <v>4</v>
      </c>
      <c r="U1029" s="1537">
        <v>8</v>
      </c>
      <c r="V1029" s="1537">
        <v>9</v>
      </c>
      <c r="W1029" s="234">
        <f>+SUM(S1029:V1029)</f>
        <v>24</v>
      </c>
      <c r="X1029" s="1537">
        <v>3</v>
      </c>
      <c r="Y1029" s="1537">
        <v>15</v>
      </c>
      <c r="Z1029" s="1537">
        <v>21</v>
      </c>
      <c r="AA1029" s="1537">
        <v>11</v>
      </c>
      <c r="AB1029" s="234">
        <f>+SUM(X1029:AA1029)</f>
        <v>50</v>
      </c>
      <c r="AC1029" s="1537">
        <v>11</v>
      </c>
      <c r="AD1029" s="1537">
        <v>5</v>
      </c>
      <c r="AE1029" s="1537">
        <v>4</v>
      </c>
      <c r="AF1029" s="1537">
        <v>4</v>
      </c>
      <c r="AG1029" s="234">
        <f>+SUM(AC1029:AF1029)</f>
        <v>24</v>
      </c>
      <c r="AH1029" s="1537">
        <v>7</v>
      </c>
      <c r="AI1029" s="1537">
        <v>11</v>
      </c>
      <c r="AJ1029" s="1537">
        <v>12</v>
      </c>
      <c r="AK1029" s="1537">
        <v>15</v>
      </c>
      <c r="AL1029" s="234">
        <f>+SUM(AH1029:AK1029)</f>
        <v>45</v>
      </c>
      <c r="AM1029" s="1537">
        <v>15</v>
      </c>
      <c r="AN1029" s="1537">
        <v>22</v>
      </c>
      <c r="AO1029" s="1537">
        <v>6</v>
      </c>
      <c r="AP1029" s="1537">
        <v>13</v>
      </c>
      <c r="AQ1029" s="234">
        <f>+SUM(AM1029:AP1029)</f>
        <v>56</v>
      </c>
      <c r="AR1029" s="1537">
        <v>20</v>
      </c>
      <c r="AS1029" s="1537">
        <v>11</v>
      </c>
      <c r="AT1029" s="1537">
        <v>6</v>
      </c>
      <c r="AU1029" s="1537">
        <v>5</v>
      </c>
      <c r="AV1029" s="234">
        <f>+SUM(AR1029:AU1029)</f>
        <v>42</v>
      </c>
      <c r="AW1029" s="1537">
        <v>5</v>
      </c>
      <c r="AX1029" s="1537">
        <v>3</v>
      </c>
      <c r="AY1029" s="1537">
        <v>3</v>
      </c>
      <c r="AZ1029" s="1537">
        <v>7</v>
      </c>
      <c r="BA1029" s="234">
        <f>+SUM(AW1029:AZ1029)</f>
        <v>18</v>
      </c>
      <c r="BB1029" s="1537">
        <v>7</v>
      </c>
      <c r="BC1029" s="1537">
        <v>14</v>
      </c>
      <c r="BD1029" s="1537">
        <v>3</v>
      </c>
      <c r="BE1029" s="1537">
        <v>8</v>
      </c>
      <c r="BF1029" s="236">
        <f>+SUM(BB1029:BE1029)</f>
        <v>32</v>
      </c>
      <c r="BG1029" s="1537">
        <v>6</v>
      </c>
      <c r="BH1029" s="1537">
        <v>10</v>
      </c>
      <c r="BI1029" s="1537">
        <v>5</v>
      </c>
      <c r="BJ1029" s="1537">
        <v>9</v>
      </c>
      <c r="BK1029" s="236">
        <f>+SUM(BG1029:BJ1029)</f>
        <v>30</v>
      </c>
      <c r="BL1029" s="1537">
        <v>10</v>
      </c>
      <c r="BM1029" s="1537">
        <v>13</v>
      </c>
      <c r="BN1029" s="1537">
        <v>13</v>
      </c>
      <c r="BO1029" s="1537">
        <v>6</v>
      </c>
      <c r="BP1029" s="236">
        <f>+SUM(BL1029:BO1029)</f>
        <v>42</v>
      </c>
      <c r="BQ1029" s="1537">
        <v>11</v>
      </c>
      <c r="BR1029" s="1537">
        <v>18</v>
      </c>
      <c r="BS1029" s="1537">
        <v>8</v>
      </c>
      <c r="BT1029" s="234"/>
      <c r="BU1029" s="236"/>
      <c r="BV1029" s="234"/>
      <c r="BW1029" s="234"/>
      <c r="BX1029" s="234"/>
      <c r="BY1029" s="234"/>
      <c r="BZ1029" s="236"/>
      <c r="CA1029" s="234"/>
      <c r="CB1029" s="234"/>
      <c r="CC1029" s="234"/>
      <c r="CD1029" s="234"/>
      <c r="CE1029" s="236"/>
      <c r="CF1029" s="234"/>
      <c r="CG1029" s="234"/>
      <c r="CH1029" s="234"/>
      <c r="CI1029" s="234"/>
      <c r="CJ1029" s="236"/>
      <c r="CK1029" s="3515"/>
      <c r="CL1029" s="234"/>
      <c r="CM1029" s="234"/>
      <c r="CN1029" s="234"/>
      <c r="CO1029" s="236"/>
      <c r="CP1029" s="3515"/>
      <c r="CQ1029" s="234"/>
      <c r="CR1029" s="234"/>
      <c r="CS1029" s="234"/>
      <c r="CT1029" s="236"/>
      <c r="CU1029" s="236"/>
      <c r="CV1029" s="236"/>
      <c r="CW1029" s="234"/>
      <c r="CX1029" s="234"/>
      <c r="CY1029" s="234"/>
      <c r="CZ1029" s="234"/>
      <c r="DA1029" s="234"/>
      <c r="DB1029" s="217"/>
      <c r="DC1029" s="212"/>
      <c r="DD1029" s="234"/>
    </row>
    <row r="1030" spans="1:108" s="207" customFormat="1" x14ac:dyDescent="0.2">
      <c r="A1030" s="1977" t="s">
        <v>354</v>
      </c>
      <c r="B1030" s="234"/>
      <c r="C1030" s="234"/>
      <c r="D1030" s="1537">
        <v>1400</v>
      </c>
      <c r="E1030" s="1537">
        <v>700</v>
      </c>
      <c r="F1030" s="1537">
        <v>2300</v>
      </c>
      <c r="G1030" s="234">
        <f>+H1030-SUM(D1030:F1030)</f>
        <v>1000</v>
      </c>
      <c r="H1030" s="1537">
        <v>5400</v>
      </c>
      <c r="I1030" s="1537">
        <v>500</v>
      </c>
      <c r="J1030" s="1537">
        <v>221</v>
      </c>
      <c r="K1030" s="1537">
        <v>938</v>
      </c>
      <c r="L1030" s="234">
        <f>+M1030-SUM(I1030:K1030)</f>
        <v>2041</v>
      </c>
      <c r="M1030" s="1537">
        <v>3700</v>
      </c>
      <c r="N1030" s="1537">
        <v>216</v>
      </c>
      <c r="O1030" s="1537">
        <v>1425</v>
      </c>
      <c r="P1030" s="1537">
        <v>489</v>
      </c>
      <c r="Q1030" s="234">
        <f>+R1030-SUM(N1030:P1030)</f>
        <v>2570</v>
      </c>
      <c r="R1030" s="1537">
        <v>4700</v>
      </c>
      <c r="S1030" s="1537">
        <f>104+78</f>
        <v>182</v>
      </c>
      <c r="T1030" s="1537">
        <v>1327</v>
      </c>
      <c r="U1030" s="1537">
        <v>1018</v>
      </c>
      <c r="V1030" s="1537">
        <v>1599</v>
      </c>
      <c r="W1030" s="234">
        <f>+SUM(S1030:V1030)</f>
        <v>4126</v>
      </c>
      <c r="X1030" s="1537">
        <v>1024</v>
      </c>
      <c r="Y1030" s="1537">
        <v>2090</v>
      </c>
      <c r="Z1030" s="1537">
        <v>2962</v>
      </c>
      <c r="AA1030" s="1537">
        <v>1990</v>
      </c>
      <c r="AB1030" s="234">
        <f>+SUM(X1030:AA1030)</f>
        <v>8066</v>
      </c>
      <c r="AC1030" s="1537">
        <v>1466</v>
      </c>
      <c r="AD1030" s="1537">
        <v>670</v>
      </c>
      <c r="AE1030" s="1537">
        <v>1664</v>
      </c>
      <c r="AF1030" s="1537">
        <v>679</v>
      </c>
      <c r="AG1030" s="234">
        <f>+SUM(AC1030:AF1030)</f>
        <v>4479</v>
      </c>
      <c r="AH1030" s="1537">
        <v>1373</v>
      </c>
      <c r="AI1030" s="1537">
        <v>2170</v>
      </c>
      <c r="AJ1030" s="1537">
        <v>2792</v>
      </c>
      <c r="AK1030" s="1537">
        <v>2281</v>
      </c>
      <c r="AL1030" s="234">
        <f>+SUM(AH1030:AK1030)</f>
        <v>8616</v>
      </c>
      <c r="AM1030" s="1537">
        <v>3054</v>
      </c>
      <c r="AN1030" s="1537">
        <v>3158</v>
      </c>
      <c r="AO1030" s="1537">
        <v>1046</v>
      </c>
      <c r="AP1030" s="1537">
        <v>2832</v>
      </c>
      <c r="AQ1030" s="234">
        <f>+SUM(AM1030:AP1030)</f>
        <v>10090</v>
      </c>
      <c r="AR1030" s="1537">
        <v>3101</v>
      </c>
      <c r="AS1030" s="1537">
        <v>2392</v>
      </c>
      <c r="AT1030" s="1537">
        <v>838</v>
      </c>
      <c r="AU1030" s="1537">
        <v>1194</v>
      </c>
      <c r="AV1030" s="234">
        <f>+SUM(AR1030:AU1030)</f>
        <v>7525</v>
      </c>
      <c r="AW1030" s="1537">
        <v>805</v>
      </c>
      <c r="AX1030" s="1537">
        <v>861</v>
      </c>
      <c r="AY1030" s="1537">
        <v>503</v>
      </c>
      <c r="AZ1030" s="1537">
        <v>1635</v>
      </c>
      <c r="BA1030" s="234">
        <f>+SUM(AW1030:AZ1030)</f>
        <v>3804</v>
      </c>
      <c r="BB1030" s="1537">
        <v>1146</v>
      </c>
      <c r="BC1030" s="1537">
        <v>2311</v>
      </c>
      <c r="BD1030" s="1537">
        <v>667</v>
      </c>
      <c r="BE1030" s="1537">
        <v>1973</v>
      </c>
      <c r="BF1030" s="236">
        <f>+SUM(BB1030:BE1030)</f>
        <v>6097</v>
      </c>
      <c r="BG1030" s="1537">
        <v>1479</v>
      </c>
      <c r="BH1030" s="1537">
        <v>1603</v>
      </c>
      <c r="BI1030" s="1537">
        <v>1234</v>
      </c>
      <c r="BJ1030" s="1537">
        <v>1946</v>
      </c>
      <c r="BK1030" s="236">
        <f>+SUM(BG1030:BJ1030)</f>
        <v>6262</v>
      </c>
      <c r="BL1030" s="1537">
        <v>2487</v>
      </c>
      <c r="BM1030" s="1537">
        <v>2914</v>
      </c>
      <c r="BN1030" s="1537">
        <v>3103</v>
      </c>
      <c r="BO1030" s="1537">
        <v>1398</v>
      </c>
      <c r="BP1030" s="236">
        <f>+SUM(BL1030:BO1030)</f>
        <v>9902</v>
      </c>
      <c r="BQ1030" s="1537">
        <v>2322</v>
      </c>
      <c r="BR1030" s="1537">
        <v>3225</v>
      </c>
      <c r="BS1030" s="1537">
        <v>2220</v>
      </c>
      <c r="BT1030" s="234"/>
      <c r="BU1030" s="236"/>
      <c r="BV1030" s="234"/>
      <c r="BW1030" s="234"/>
      <c r="BX1030" s="234"/>
      <c r="BY1030" s="234"/>
      <c r="BZ1030" s="236"/>
      <c r="CA1030" s="234"/>
      <c r="CB1030" s="234"/>
      <c r="CC1030" s="234"/>
      <c r="CD1030" s="234"/>
      <c r="CE1030" s="236"/>
      <c r="CF1030" s="234"/>
      <c r="CG1030" s="234"/>
      <c r="CH1030" s="234"/>
      <c r="CI1030" s="234"/>
      <c r="CJ1030" s="236"/>
      <c r="CK1030" s="3515"/>
      <c r="CL1030" s="234"/>
      <c r="CM1030" s="234"/>
      <c r="CN1030" s="234"/>
      <c r="CO1030" s="236"/>
      <c r="CP1030" s="3515"/>
      <c r="CQ1030" s="234"/>
      <c r="CR1030" s="234"/>
      <c r="CS1030" s="234"/>
      <c r="CT1030" s="236"/>
      <c r="CU1030" s="236"/>
      <c r="CV1030" s="236"/>
      <c r="CW1030" s="234"/>
      <c r="CX1030" s="234"/>
      <c r="CY1030" s="234"/>
      <c r="CZ1030" s="234"/>
      <c r="DA1030" s="234"/>
      <c r="DB1030" s="217"/>
      <c r="DC1030" s="212"/>
      <c r="DD1030" s="234"/>
    </row>
    <row r="1031" spans="1:108" s="207" customFormat="1" x14ac:dyDescent="0.2">
      <c r="A1031" s="1977"/>
      <c r="B1031" s="234"/>
      <c r="C1031" s="234"/>
      <c r="D1031" s="234"/>
      <c r="E1031" s="234"/>
      <c r="F1031" s="234"/>
      <c r="G1031" s="234"/>
      <c r="H1031" s="234"/>
      <c r="I1031" s="234"/>
      <c r="J1031" s="234"/>
      <c r="K1031" s="234"/>
      <c r="L1031" s="234"/>
      <c r="M1031" s="234"/>
      <c r="N1031" s="234"/>
      <c r="O1031" s="234"/>
      <c r="P1031" s="234"/>
      <c r="Q1031" s="234"/>
      <c r="R1031" s="234"/>
      <c r="S1031" s="234"/>
      <c r="T1031" s="234"/>
      <c r="U1031" s="234"/>
      <c r="V1031" s="234"/>
      <c r="W1031" s="234"/>
      <c r="X1031" s="234"/>
      <c r="Y1031" s="234"/>
      <c r="Z1031" s="234"/>
      <c r="AA1031" s="234"/>
      <c r="AB1031" s="234"/>
      <c r="AC1031" s="234"/>
      <c r="AD1031" s="234"/>
      <c r="AE1031" s="234"/>
      <c r="AF1031" s="234"/>
      <c r="AG1031" s="234"/>
      <c r="AH1031" s="234"/>
      <c r="AI1031" s="234"/>
      <c r="AJ1031" s="234"/>
      <c r="AK1031" s="234"/>
      <c r="AL1031" s="234"/>
      <c r="AM1031" s="1537"/>
      <c r="AN1031" s="1537"/>
      <c r="AO1031" s="1537"/>
      <c r="AP1031" s="1537"/>
      <c r="AQ1031" s="234"/>
      <c r="AR1031" s="1537"/>
      <c r="AS1031" s="1537"/>
      <c r="AT1031" s="1537"/>
      <c r="AU1031" s="1537"/>
      <c r="AV1031" s="234"/>
      <c r="AW1031" s="1537"/>
      <c r="AX1031" s="1537"/>
      <c r="AY1031" s="1537"/>
      <c r="AZ1031" s="1537"/>
      <c r="BA1031" s="234"/>
      <c r="BB1031" s="1537"/>
      <c r="BC1031" s="1537"/>
      <c r="BD1031" s="1537"/>
      <c r="BE1031" s="1537"/>
      <c r="BF1031" s="236"/>
      <c r="BG1031" s="234"/>
      <c r="BH1031" s="234"/>
      <c r="BI1031" s="234"/>
      <c r="BJ1031" s="234"/>
      <c r="BK1031" s="236"/>
      <c r="BL1031" s="234"/>
      <c r="BM1031" s="234"/>
      <c r="BN1031" s="234"/>
      <c r="BO1031" s="234"/>
      <c r="BP1031" s="236"/>
      <c r="BQ1031" s="234"/>
      <c r="BR1031" s="234"/>
      <c r="BS1031" s="234"/>
      <c r="BT1031" s="234"/>
      <c r="BU1031" s="236"/>
      <c r="BV1031" s="234"/>
      <c r="BW1031" s="234"/>
      <c r="BX1031" s="234"/>
      <c r="BY1031" s="234"/>
      <c r="BZ1031" s="236"/>
      <c r="CA1031" s="234"/>
      <c r="CB1031" s="234"/>
      <c r="CC1031" s="234"/>
      <c r="CD1031" s="234"/>
      <c r="CE1031" s="236"/>
      <c r="CF1031" s="234"/>
      <c r="CG1031" s="234"/>
      <c r="CH1031" s="234"/>
      <c r="CI1031" s="234"/>
      <c r="CJ1031" s="236"/>
      <c r="CK1031" s="3515"/>
      <c r="CL1031" s="234"/>
      <c r="CM1031" s="234"/>
      <c r="CN1031" s="234"/>
      <c r="CO1031" s="236"/>
      <c r="CP1031" s="3515"/>
      <c r="CQ1031" s="234"/>
      <c r="CR1031" s="234"/>
      <c r="CS1031" s="234"/>
      <c r="CT1031" s="236"/>
      <c r="CU1031" s="236"/>
      <c r="CV1031" s="236"/>
      <c r="CW1031" s="234"/>
      <c r="CX1031" s="234"/>
      <c r="CY1031" s="234"/>
      <c r="CZ1031" s="234"/>
      <c r="DA1031" s="234"/>
      <c r="DB1031" s="217"/>
      <c r="DC1031" s="212"/>
      <c r="DD1031" s="234"/>
    </row>
    <row r="1032" spans="1:108" s="207" customFormat="1" x14ac:dyDescent="0.2">
      <c r="A1032" s="1978" t="s">
        <v>360</v>
      </c>
      <c r="B1032" s="1203"/>
      <c r="C1032" s="1203"/>
      <c r="D1032" s="1203"/>
      <c r="E1032" s="1203"/>
      <c r="F1032" s="1203"/>
      <c r="G1032" s="1203"/>
      <c r="H1032" s="1203"/>
      <c r="I1032" s="1203"/>
      <c r="J1032" s="1203"/>
      <c r="K1032" s="1203"/>
      <c r="L1032" s="1203"/>
      <c r="M1032" s="1203"/>
      <c r="N1032" s="1203"/>
      <c r="O1032" s="1203"/>
      <c r="P1032" s="1203"/>
      <c r="Q1032" s="1203"/>
      <c r="R1032" s="1203"/>
      <c r="S1032" s="1203"/>
      <c r="T1032" s="1203"/>
      <c r="U1032" s="1203"/>
      <c r="V1032" s="1203"/>
      <c r="W1032" s="1203"/>
      <c r="X1032" s="1203"/>
      <c r="Y1032" s="1203"/>
      <c r="Z1032" s="1203"/>
      <c r="AA1032" s="1203"/>
      <c r="AB1032" s="1203"/>
      <c r="AC1032" s="1203"/>
      <c r="AD1032" s="1203"/>
      <c r="AE1032" s="1203"/>
      <c r="AF1032" s="1203"/>
      <c r="AG1032" s="1203"/>
      <c r="AH1032" s="1203"/>
      <c r="AI1032" s="1203"/>
      <c r="AJ1032" s="1203"/>
      <c r="AK1032" s="1203"/>
      <c r="AL1032" s="1203"/>
      <c r="AM1032" s="1979"/>
      <c r="AN1032" s="1979"/>
      <c r="AO1032" s="1979"/>
      <c r="AP1032" s="1979"/>
      <c r="AQ1032" s="1203"/>
      <c r="AR1032" s="1979"/>
      <c r="AS1032" s="1979"/>
      <c r="AT1032" s="1979"/>
      <c r="AU1032" s="1979"/>
      <c r="AV1032" s="1203"/>
      <c r="AW1032" s="1203"/>
      <c r="AX1032" s="1203"/>
      <c r="AY1032" s="1203"/>
      <c r="AZ1032" s="1203"/>
      <c r="BA1032" s="1203"/>
      <c r="BB1032" s="1979"/>
      <c r="BC1032" s="1979"/>
      <c r="BD1032" s="1979"/>
      <c r="BE1032" s="1979"/>
      <c r="BF1032" s="1925"/>
      <c r="BG1032" s="1203"/>
      <c r="BH1032" s="1203"/>
      <c r="BI1032" s="1203"/>
      <c r="BJ1032" s="1203"/>
      <c r="BK1032" s="1925"/>
      <c r="BL1032" s="1203"/>
      <c r="BM1032" s="1203"/>
      <c r="BN1032" s="1979">
        <v>13000</v>
      </c>
      <c r="BO1032" s="1203"/>
      <c r="BP1032" s="1976">
        <v>57000</v>
      </c>
      <c r="BQ1032" s="1203"/>
      <c r="BR1032" s="1203"/>
      <c r="BS1032" s="1203"/>
      <c r="BT1032" s="1203"/>
      <c r="BU1032" s="1976">
        <v>67000</v>
      </c>
      <c r="BV1032" s="1203"/>
      <c r="BW1032" s="1203"/>
      <c r="BX1032" s="1203"/>
      <c r="BY1032" s="2675"/>
      <c r="BZ1032" s="1976">
        <v>100000</v>
      </c>
      <c r="CA1032" s="1203"/>
      <c r="CB1032" s="1203"/>
      <c r="CC1032" s="1203"/>
      <c r="CD1032" s="1203"/>
      <c r="CE1032" s="1925"/>
      <c r="CF1032" s="1203"/>
      <c r="CG1032" s="1203"/>
      <c r="CH1032" s="1203"/>
      <c r="CI1032" s="1203"/>
      <c r="CJ1032" s="1925"/>
      <c r="CK1032" s="2665"/>
      <c r="CL1032" s="1203"/>
      <c r="CM1032" s="1203"/>
      <c r="CN1032" s="1203"/>
      <c r="CO1032" s="1925"/>
      <c r="CP1032" s="2665"/>
      <c r="CQ1032" s="1203"/>
      <c r="CR1032" s="1203"/>
      <c r="CS1032" s="1203"/>
      <c r="CT1032" s="1925"/>
      <c r="CU1032" s="1925"/>
      <c r="CV1032" s="1925"/>
      <c r="CW1032" s="234"/>
      <c r="CX1032" s="234"/>
      <c r="CY1032" s="234"/>
      <c r="CZ1032" s="234"/>
      <c r="DA1032" s="234"/>
      <c r="DB1032" s="217"/>
      <c r="DC1032" s="212"/>
      <c r="DD1032" s="234"/>
    </row>
    <row r="1033" spans="1:108" s="207" customFormat="1" x14ac:dyDescent="0.2">
      <c r="A1033" s="1236"/>
      <c r="CK1033" s="3542"/>
      <c r="CP1033" s="3542"/>
      <c r="CW1033" s="234"/>
      <c r="CX1033" s="234"/>
      <c r="CY1033" s="234"/>
      <c r="CZ1033" s="234"/>
      <c r="DA1033" s="234"/>
      <c r="DB1033" s="217"/>
      <c r="DC1033" s="212"/>
      <c r="DD1033" s="234"/>
    </row>
    <row r="1034" spans="1:108" s="207" customFormat="1" x14ac:dyDescent="0.2">
      <c r="A1034" s="1236"/>
      <c r="CK1034" s="3542"/>
      <c r="CP1034" s="3542"/>
      <c r="CW1034" s="234"/>
      <c r="CX1034" s="234"/>
      <c r="CY1034" s="234"/>
      <c r="CZ1034" s="234"/>
      <c r="DA1034" s="234"/>
      <c r="DB1034" s="217"/>
      <c r="DC1034" s="212"/>
      <c r="DD1034" s="234"/>
    </row>
    <row r="1035" spans="1:108" s="207" customFormat="1" x14ac:dyDescent="0.2">
      <c r="A1035" s="207" t="s">
        <v>1417</v>
      </c>
      <c r="BF1035" s="2638">
        <f t="shared" ref="BF1035:BQ1035" si="1521">BF$820+BF$821+BF$822</f>
        <v>22972</v>
      </c>
      <c r="BG1035" s="207">
        <f t="shared" si="1521"/>
        <v>23655</v>
      </c>
      <c r="BH1035" s="207">
        <f t="shared" si="1521"/>
        <v>23967</v>
      </c>
      <c r="BI1035" s="207">
        <f t="shared" si="1521"/>
        <v>23864</v>
      </c>
      <c r="BJ1035" s="207">
        <f t="shared" si="1521"/>
        <v>24357</v>
      </c>
      <c r="BK1035" s="236">
        <f t="shared" si="1521"/>
        <v>24357</v>
      </c>
      <c r="BL1035" s="207">
        <f t="shared" si="1521"/>
        <v>24357</v>
      </c>
      <c r="BM1035" s="207">
        <f t="shared" si="1521"/>
        <v>24539</v>
      </c>
      <c r="BN1035" s="207">
        <f t="shared" si="1521"/>
        <v>24741</v>
      </c>
      <c r="BO1035" s="207">
        <f t="shared" si="1521"/>
        <v>24626</v>
      </c>
      <c r="BP1035" s="236">
        <f t="shared" si="1521"/>
        <v>24626</v>
      </c>
      <c r="BQ1035" s="207">
        <f t="shared" si="1521"/>
        <v>25336</v>
      </c>
      <c r="BR1035" s="207">
        <f t="shared" ref="BR1035:CF1035" si="1522">BR$820+BR$821+BR$822</f>
        <v>24870</v>
      </c>
      <c r="BS1035" s="207">
        <f t="shared" si="1522"/>
        <v>24740</v>
      </c>
      <c r="BT1035" s="207">
        <f t="shared" si="1522"/>
        <v>26022</v>
      </c>
      <c r="BU1035" s="236">
        <f t="shared" si="1522"/>
        <v>26022</v>
      </c>
      <c r="BV1035" s="207">
        <f t="shared" si="1522"/>
        <v>25849</v>
      </c>
      <c r="BW1035" s="207">
        <f t="shared" si="1522"/>
        <v>26109</v>
      </c>
      <c r="BX1035" s="207">
        <f t="shared" si="1522"/>
        <v>26109</v>
      </c>
      <c r="BY1035" s="207">
        <f t="shared" si="1522"/>
        <v>26841</v>
      </c>
      <c r="BZ1035" s="236">
        <f t="shared" si="1522"/>
        <v>26841</v>
      </c>
      <c r="CA1035" s="207">
        <f t="shared" si="1522"/>
        <v>26831</v>
      </c>
      <c r="CB1035" s="207">
        <f t="shared" si="1522"/>
        <v>27348</v>
      </c>
      <c r="CC1035" s="207">
        <f t="shared" si="1522"/>
        <v>27750</v>
      </c>
      <c r="CD1035" s="207">
        <f t="shared" si="1522"/>
        <v>28152</v>
      </c>
      <c r="CE1035" s="236">
        <f t="shared" si="1522"/>
        <v>28152</v>
      </c>
      <c r="CF1035" s="207">
        <f t="shared" si="1522"/>
        <v>28129</v>
      </c>
      <c r="CG1035" s="207">
        <f t="shared" ref="CG1035:CV1035" si="1523">CG$820+CG$821+CG$822+CG$838+CG$839+CG$840</f>
        <v>28124</v>
      </c>
      <c r="CH1035" s="207">
        <f t="shared" si="1523"/>
        <v>68619</v>
      </c>
      <c r="CI1035" s="207">
        <f t="shared" si="1523"/>
        <v>69935</v>
      </c>
      <c r="CJ1035" s="236">
        <f t="shared" si="1523"/>
        <v>69935</v>
      </c>
      <c r="CK1035" s="207">
        <f t="shared" si="1523"/>
        <v>70102</v>
      </c>
      <c r="CL1035" s="207">
        <f t="shared" ca="1" si="1523"/>
        <v>71939</v>
      </c>
      <c r="CM1035" s="207">
        <f t="shared" ca="1" si="1523"/>
        <v>73251</v>
      </c>
      <c r="CN1035" s="207">
        <f t="shared" ca="1" si="1523"/>
        <v>74224</v>
      </c>
      <c r="CO1035" s="236">
        <f t="shared" ca="1" si="1523"/>
        <v>74224</v>
      </c>
      <c r="CP1035" s="207">
        <f t="shared" si="1523"/>
        <v>74822.170000000013</v>
      </c>
      <c r="CQ1035" s="207">
        <f t="shared" ca="1" si="1523"/>
        <v>77132.310000000012</v>
      </c>
      <c r="CR1035" s="207">
        <f t="shared" ca="1" si="1523"/>
        <v>78600.700000000012</v>
      </c>
      <c r="CS1035" s="207">
        <f t="shared" ca="1" si="1523"/>
        <v>78784.09</v>
      </c>
      <c r="CT1035" s="236">
        <f t="shared" ca="1" si="1523"/>
        <v>78784.09</v>
      </c>
      <c r="CU1035" s="236">
        <f t="shared" ca="1" si="1523"/>
        <v>82053.928100000005</v>
      </c>
      <c r="CV1035" s="236">
        <f t="shared" ca="1" si="1523"/>
        <v>83218.569975999999</v>
      </c>
      <c r="CW1035" s="234"/>
      <c r="CX1035" s="234"/>
      <c r="CY1035" s="234"/>
      <c r="CZ1035" s="234"/>
      <c r="DA1035" s="234"/>
      <c r="DB1035" s="217"/>
      <c r="DC1035" s="212"/>
      <c r="DD1035" s="234"/>
    </row>
    <row r="1036" spans="1:108" s="207" customFormat="1" x14ac:dyDescent="0.2">
      <c r="A1036" s="207" t="s">
        <v>1383</v>
      </c>
      <c r="BF1036" s="2638">
        <f t="shared" ref="BF1036:BQ1036" si="1524">BF$816+BF$817+BF$818+BF$831+BF$833</f>
        <v>262630</v>
      </c>
      <c r="BG1036" s="207">
        <f t="shared" si="1524"/>
        <v>265132</v>
      </c>
      <c r="BH1036" s="207">
        <f t="shared" si="1524"/>
        <v>265495</v>
      </c>
      <c r="BI1036" s="207">
        <f t="shared" si="1524"/>
        <v>267087</v>
      </c>
      <c r="BJ1036" s="207">
        <f t="shared" si="1524"/>
        <v>268016</v>
      </c>
      <c r="BK1036" s="236">
        <f t="shared" si="1524"/>
        <v>268016</v>
      </c>
      <c r="BL1036" s="207">
        <f t="shared" si="1524"/>
        <v>267194</v>
      </c>
      <c r="BM1036" s="207">
        <f t="shared" si="1524"/>
        <v>268047</v>
      </c>
      <c r="BN1036" s="207">
        <f t="shared" si="1524"/>
        <v>267324</v>
      </c>
      <c r="BO1036" s="207">
        <f t="shared" si="1524"/>
        <v>278035</v>
      </c>
      <c r="BP1036" s="236">
        <f t="shared" si="1524"/>
        <v>278035</v>
      </c>
      <c r="BQ1036" s="207">
        <f t="shared" si="1524"/>
        <v>278001</v>
      </c>
      <c r="BR1036" s="207">
        <f t="shared" ref="BR1036:CF1036" si="1525">BR$816+BR$817+BR$818+BR$831+BR$833</f>
        <v>278461</v>
      </c>
      <c r="BS1036" s="207">
        <f t="shared" si="1525"/>
        <v>279460</v>
      </c>
      <c r="BT1036" s="207">
        <f t="shared" si="1525"/>
        <v>280309</v>
      </c>
      <c r="BU1036" s="236">
        <f t="shared" si="1525"/>
        <v>280309</v>
      </c>
      <c r="BV1036" s="207">
        <f t="shared" si="1525"/>
        <v>282958</v>
      </c>
      <c r="BW1036" s="207">
        <f t="shared" si="1525"/>
        <v>285984</v>
      </c>
      <c r="BX1036" s="207">
        <f t="shared" si="1525"/>
        <v>286889</v>
      </c>
      <c r="BY1036" s="207">
        <f t="shared" si="1525"/>
        <v>294480</v>
      </c>
      <c r="BZ1036" s="236">
        <f t="shared" si="1525"/>
        <v>294480</v>
      </c>
      <c r="CA1036" s="207">
        <f t="shared" si="1525"/>
        <v>297986</v>
      </c>
      <c r="CB1036" s="207">
        <f t="shared" si="1525"/>
        <v>302338</v>
      </c>
      <c r="CC1036" s="207">
        <f t="shared" si="1525"/>
        <v>304611</v>
      </c>
      <c r="CD1036" s="207">
        <f t="shared" si="1525"/>
        <v>307651</v>
      </c>
      <c r="CE1036" s="236">
        <f t="shared" si="1525"/>
        <v>307651</v>
      </c>
      <c r="CF1036" s="207">
        <f t="shared" si="1525"/>
        <v>309593</v>
      </c>
      <c r="CG1036" s="207">
        <f t="shared" ref="CG1036:CV1036" si="1526">CG$816+CG$817+CG$818+CG$831+CG$833+CG$835+CG$836+CG$841</f>
        <v>311388</v>
      </c>
      <c r="CH1036" s="207">
        <f t="shared" si="1526"/>
        <v>544786</v>
      </c>
      <c r="CI1036" s="207">
        <f t="shared" si="1526"/>
        <v>551677</v>
      </c>
      <c r="CJ1036" s="236">
        <f t="shared" si="1526"/>
        <v>551677</v>
      </c>
      <c r="CK1036" s="207">
        <f t="shared" si="1526"/>
        <v>553786</v>
      </c>
      <c r="CL1036" s="207">
        <f t="shared" ca="1" si="1526"/>
        <v>555738</v>
      </c>
      <c r="CM1036" s="207">
        <f t="shared" ca="1" si="1526"/>
        <v>560549</v>
      </c>
      <c r="CN1036" s="207">
        <f t="shared" ca="1" si="1526"/>
        <v>563023</v>
      </c>
      <c r="CO1036" s="236">
        <f t="shared" ca="1" si="1526"/>
        <v>563023</v>
      </c>
      <c r="CP1036" s="207">
        <f t="shared" si="1526"/>
        <v>579284.82999999996</v>
      </c>
      <c r="CQ1036" s="207">
        <f t="shared" ca="1" si="1526"/>
        <v>580899.98</v>
      </c>
      <c r="CR1036" s="207">
        <f t="shared" ca="1" si="1526"/>
        <v>584825.54999999993</v>
      </c>
      <c r="CS1036" s="207">
        <f t="shared" ca="1" si="1526"/>
        <v>587092.64000000013</v>
      </c>
      <c r="CT1036" s="236">
        <f t="shared" ca="1" si="1526"/>
        <v>587092.64000000013</v>
      </c>
      <c r="CU1036" s="236">
        <f t="shared" ca="1" si="1526"/>
        <v>616050.68709999998</v>
      </c>
      <c r="CV1036" s="236">
        <f t="shared" ca="1" si="1526"/>
        <v>628596.20000200009</v>
      </c>
      <c r="CW1036" s="234"/>
      <c r="CX1036" s="234"/>
      <c r="CY1036" s="234"/>
      <c r="CZ1036" s="234"/>
      <c r="DA1036" s="234"/>
      <c r="DB1036" s="217"/>
      <c r="DC1036" s="212"/>
      <c r="DD1036" s="234"/>
    </row>
    <row r="1037" spans="1:108" s="207" customFormat="1" x14ac:dyDescent="0.2">
      <c r="A1037" s="207" t="s">
        <v>1387</v>
      </c>
      <c r="BF1037" s="2638">
        <f t="shared" ref="BF1037:BQ1037" si="1527">BF$824+BF$826+BF$829</f>
        <v>237284</v>
      </c>
      <c r="BG1037" s="207">
        <f t="shared" si="1527"/>
        <v>238973</v>
      </c>
      <c r="BH1037" s="207">
        <f t="shared" si="1527"/>
        <v>240272</v>
      </c>
      <c r="BI1037" s="207">
        <f t="shared" si="1527"/>
        <v>241233</v>
      </c>
      <c r="BJ1037" s="207">
        <f t="shared" si="1527"/>
        <v>243351</v>
      </c>
      <c r="BK1037" s="236">
        <f t="shared" si="1527"/>
        <v>243351</v>
      </c>
      <c r="BL1037" s="207">
        <f t="shared" si="1527"/>
        <v>244695</v>
      </c>
      <c r="BM1037" s="207">
        <f t="shared" si="1527"/>
        <v>244699</v>
      </c>
      <c r="BN1037" s="207">
        <f t="shared" si="1527"/>
        <v>246204</v>
      </c>
      <c r="BO1037" s="207">
        <f t="shared" si="1527"/>
        <v>247567</v>
      </c>
      <c r="BP1037" s="236">
        <f t="shared" si="1527"/>
        <v>247567</v>
      </c>
      <c r="BQ1037" s="207">
        <f t="shared" si="1527"/>
        <v>248960</v>
      </c>
      <c r="BR1037" s="207">
        <f t="shared" ref="BR1037:CF1037" si="1528">BR$824+BR$826+BR$829</f>
        <v>250560</v>
      </c>
      <c r="BS1037" s="207">
        <f t="shared" si="1528"/>
        <v>253456</v>
      </c>
      <c r="BT1037" s="207">
        <f t="shared" si="1528"/>
        <v>256141</v>
      </c>
      <c r="BU1037" s="236">
        <f t="shared" si="1528"/>
        <v>256141</v>
      </c>
      <c r="BV1037" s="207">
        <f t="shared" si="1528"/>
        <v>257032</v>
      </c>
      <c r="BW1037" s="207">
        <f t="shared" si="1528"/>
        <v>260209</v>
      </c>
      <c r="BX1037" s="207">
        <f t="shared" si="1528"/>
        <v>262638</v>
      </c>
      <c r="BY1037" s="207">
        <f t="shared" si="1528"/>
        <v>265230</v>
      </c>
      <c r="BZ1037" s="236">
        <f t="shared" si="1528"/>
        <v>265230</v>
      </c>
      <c r="CA1037" s="207">
        <f t="shared" si="1528"/>
        <v>267971</v>
      </c>
      <c r="CB1037" s="207">
        <f t="shared" si="1528"/>
        <v>270379</v>
      </c>
      <c r="CC1037" s="207">
        <f t="shared" si="1528"/>
        <v>274364</v>
      </c>
      <c r="CD1037" s="207">
        <f t="shared" si="1528"/>
        <v>278296</v>
      </c>
      <c r="CE1037" s="236">
        <f t="shared" si="1528"/>
        <v>278296</v>
      </c>
      <c r="CF1037" s="207">
        <f t="shared" si="1528"/>
        <v>281438</v>
      </c>
      <c r="CG1037" s="207">
        <f t="shared" ref="CG1037:CV1037" si="1529">CG$824+CG$826+CG$829+CG$837+CG$842+CG$843</f>
        <v>285702</v>
      </c>
      <c r="CH1037" s="207">
        <f t="shared" si="1529"/>
        <v>353946</v>
      </c>
      <c r="CI1037" s="207">
        <f t="shared" si="1529"/>
        <v>359365</v>
      </c>
      <c r="CJ1037" s="236">
        <f t="shared" si="1529"/>
        <v>359365</v>
      </c>
      <c r="CK1037" s="207">
        <f t="shared" si="1529"/>
        <v>364064</v>
      </c>
      <c r="CL1037" s="207">
        <f t="shared" ca="1" si="1529"/>
        <v>369488</v>
      </c>
      <c r="CM1037" s="207">
        <f t="shared" ca="1" si="1529"/>
        <v>374154</v>
      </c>
      <c r="CN1037" s="207">
        <f t="shared" ca="1" si="1529"/>
        <v>381691</v>
      </c>
      <c r="CO1037" s="236">
        <f t="shared" ca="1" si="1529"/>
        <v>381691</v>
      </c>
      <c r="CP1037" s="207">
        <f t="shared" si="1529"/>
        <v>387948.89000000007</v>
      </c>
      <c r="CQ1037" s="207">
        <f t="shared" ca="1" si="1529"/>
        <v>394177.20000000007</v>
      </c>
      <c r="CR1037" s="207">
        <f t="shared" ca="1" si="1529"/>
        <v>399462.05</v>
      </c>
      <c r="CS1037" s="207">
        <f t="shared" ca="1" si="1529"/>
        <v>407667.08000000007</v>
      </c>
      <c r="CT1037" s="236">
        <f t="shared" ca="1" si="1529"/>
        <v>407667.08000000007</v>
      </c>
      <c r="CU1037" s="236">
        <f t="shared" ca="1" si="1529"/>
        <v>435838.28000000009</v>
      </c>
      <c r="CV1037" s="236">
        <f t="shared" ca="1" si="1529"/>
        <v>450884.09236999997</v>
      </c>
      <c r="CW1037" s="234"/>
      <c r="CX1037" s="234"/>
      <c r="CY1037" s="234"/>
      <c r="CZ1037" s="234"/>
      <c r="DA1037" s="234"/>
      <c r="DB1037" s="217"/>
      <c r="DC1037" s="212"/>
      <c r="DD1037" s="234"/>
    </row>
    <row r="1038" spans="1:108" s="207" customFormat="1" x14ac:dyDescent="0.2">
      <c r="A1038" s="1203" t="s">
        <v>1255</v>
      </c>
      <c r="BF1038" s="1766">
        <f t="shared" ref="BF1038:BQ1038" si="1530">BF$828+BF$827</f>
        <v>79170</v>
      </c>
      <c r="BG1038" s="1203">
        <f t="shared" si="1530"/>
        <v>79291</v>
      </c>
      <c r="BH1038" s="1203">
        <f t="shared" si="1530"/>
        <v>80063</v>
      </c>
      <c r="BI1038" s="1203">
        <f t="shared" si="1530"/>
        <v>81246</v>
      </c>
      <c r="BJ1038" s="1203">
        <f t="shared" si="1530"/>
        <v>82113</v>
      </c>
      <c r="BK1038" s="1925">
        <f t="shared" si="1530"/>
        <v>82113</v>
      </c>
      <c r="BL1038" s="1203">
        <f t="shared" si="1530"/>
        <v>82601</v>
      </c>
      <c r="BM1038" s="1203">
        <f t="shared" si="1530"/>
        <v>82882</v>
      </c>
      <c r="BN1038" s="1203">
        <f t="shared" si="1530"/>
        <v>83671</v>
      </c>
      <c r="BO1038" s="1203">
        <f t="shared" si="1530"/>
        <v>84126</v>
      </c>
      <c r="BP1038" s="1925">
        <f t="shared" si="1530"/>
        <v>84126</v>
      </c>
      <c r="BQ1038" s="1203">
        <f t="shared" si="1530"/>
        <v>84630</v>
      </c>
      <c r="BR1038" s="1203">
        <f t="shared" ref="BR1038:CF1038" si="1531">BR$828+BR$827</f>
        <v>86479</v>
      </c>
      <c r="BS1038" s="1203">
        <f t="shared" si="1531"/>
        <v>87089</v>
      </c>
      <c r="BT1038" s="1203">
        <f t="shared" si="1531"/>
        <v>87282</v>
      </c>
      <c r="BU1038" s="1925">
        <f t="shared" si="1531"/>
        <v>87282</v>
      </c>
      <c r="BV1038" s="1203">
        <f t="shared" si="1531"/>
        <v>87676</v>
      </c>
      <c r="BW1038" s="1203">
        <f t="shared" si="1531"/>
        <v>88689</v>
      </c>
      <c r="BX1038" s="1203">
        <f t="shared" si="1531"/>
        <v>90150</v>
      </c>
      <c r="BY1038" s="1203">
        <f t="shared" si="1531"/>
        <v>90942</v>
      </c>
      <c r="BZ1038" s="1925">
        <f t="shared" si="1531"/>
        <v>90942</v>
      </c>
      <c r="CA1038" s="1203">
        <f t="shared" si="1531"/>
        <v>92743</v>
      </c>
      <c r="CB1038" s="1203">
        <f t="shared" si="1531"/>
        <v>95108</v>
      </c>
      <c r="CC1038" s="1203">
        <f t="shared" si="1531"/>
        <v>96060</v>
      </c>
      <c r="CD1038" s="1203">
        <f t="shared" si="1531"/>
        <v>98200</v>
      </c>
      <c r="CE1038" s="1925">
        <f t="shared" si="1531"/>
        <v>98200</v>
      </c>
      <c r="CF1038" s="1203">
        <f t="shared" si="1531"/>
        <v>100106</v>
      </c>
      <c r="CG1038" s="1203">
        <f t="shared" ref="CG1038:CV1038" si="1532">CG$828+CG$827+CG844+CG846</f>
        <v>103044</v>
      </c>
      <c r="CH1038" s="1203">
        <f t="shared" si="1532"/>
        <v>109562</v>
      </c>
      <c r="CI1038" s="1203">
        <f t="shared" si="1532"/>
        <v>120062</v>
      </c>
      <c r="CJ1038" s="1925">
        <f t="shared" si="1532"/>
        <v>120062</v>
      </c>
      <c r="CK1038" s="1203">
        <f t="shared" si="1532"/>
        <v>122780</v>
      </c>
      <c r="CL1038" s="1203">
        <f t="shared" ca="1" si="1532"/>
        <v>125664</v>
      </c>
      <c r="CM1038" s="1203">
        <f t="shared" ca="1" si="1532"/>
        <v>132998</v>
      </c>
      <c r="CN1038" s="1203">
        <f t="shared" ca="1" si="1532"/>
        <v>137207</v>
      </c>
      <c r="CO1038" s="1925">
        <f t="shared" ca="1" si="1532"/>
        <v>137207</v>
      </c>
      <c r="CP1038" s="1203">
        <f>CP$828+CP$827+CP844+CP846</f>
        <v>134206.21000000002</v>
      </c>
      <c r="CQ1038" s="1203">
        <f ca="1">CQ$828+CQ$827+CQ844+CQ846</f>
        <v>137394.42000000001</v>
      </c>
      <c r="CR1038" s="1203">
        <f ca="1">CR$828+CR$827+CR844+CR846</f>
        <v>145245.85999999999</v>
      </c>
      <c r="CS1038" s="1203">
        <f ca="1">CS$828+CS$827+CS844+CS846</f>
        <v>149829.55000000002</v>
      </c>
      <c r="CT1038" s="1925">
        <f ca="1">CT$828+CT$827+CT844+CT846</f>
        <v>149829.55000000002</v>
      </c>
      <c r="CU1038" s="1925">
        <f t="shared" ca="1" si="1532"/>
        <v>160809.96725000002</v>
      </c>
      <c r="CV1038" s="1925">
        <f t="shared" ca="1" si="1532"/>
        <v>165540.76567000002</v>
      </c>
      <c r="CW1038" s="234"/>
      <c r="CX1038" s="234"/>
      <c r="CY1038" s="234"/>
      <c r="CZ1038" s="234"/>
      <c r="DA1038" s="234"/>
      <c r="DB1038" s="217"/>
      <c r="DC1038" s="212"/>
      <c r="DD1038" s="234"/>
    </row>
    <row r="1039" spans="1:108" s="207" customFormat="1" x14ac:dyDescent="0.2">
      <c r="A1039" s="207" t="s">
        <v>1735</v>
      </c>
      <c r="BF1039" s="2638">
        <f t="shared" ref="BF1039:BQ1039" si="1533">SUM(BF1035:BF1038)</f>
        <v>602056</v>
      </c>
      <c r="BG1039" s="207">
        <f t="shared" si="1533"/>
        <v>607051</v>
      </c>
      <c r="BH1039" s="207">
        <f t="shared" si="1533"/>
        <v>609797</v>
      </c>
      <c r="BI1039" s="207">
        <f t="shared" si="1533"/>
        <v>613430</v>
      </c>
      <c r="BJ1039" s="207">
        <f t="shared" si="1533"/>
        <v>617837</v>
      </c>
      <c r="BK1039" s="236">
        <f t="shared" si="1533"/>
        <v>617837</v>
      </c>
      <c r="BL1039" s="207">
        <f t="shared" si="1533"/>
        <v>618847</v>
      </c>
      <c r="BM1039" s="207">
        <f t="shared" si="1533"/>
        <v>620167</v>
      </c>
      <c r="BN1039" s="207">
        <f t="shared" si="1533"/>
        <v>621940</v>
      </c>
      <c r="BO1039" s="207">
        <f t="shared" si="1533"/>
        <v>634354</v>
      </c>
      <c r="BP1039" s="236">
        <f t="shared" si="1533"/>
        <v>634354</v>
      </c>
      <c r="BQ1039" s="207">
        <f t="shared" si="1533"/>
        <v>636927</v>
      </c>
      <c r="BR1039" s="207">
        <f t="shared" ref="BR1039:BW1039" si="1534">SUM(BR1035:BR1038)</f>
        <v>640370</v>
      </c>
      <c r="BS1039" s="207">
        <f t="shared" si="1534"/>
        <v>644745</v>
      </c>
      <c r="BT1039" s="207">
        <f t="shared" si="1534"/>
        <v>649754</v>
      </c>
      <c r="BU1039" s="236">
        <f t="shared" si="1534"/>
        <v>649754</v>
      </c>
      <c r="BV1039" s="207">
        <f t="shared" si="1534"/>
        <v>653515</v>
      </c>
      <c r="BW1039" s="207">
        <f t="shared" si="1534"/>
        <v>660991</v>
      </c>
      <c r="BX1039" s="207">
        <f t="shared" ref="BX1039:CC1039" si="1535">SUM(BX1035:BX1038)</f>
        <v>665786</v>
      </c>
      <c r="BY1039" s="207">
        <f t="shared" si="1535"/>
        <v>677493</v>
      </c>
      <c r="BZ1039" s="236">
        <f t="shared" si="1535"/>
        <v>677493</v>
      </c>
      <c r="CA1039" s="207">
        <f t="shared" si="1535"/>
        <v>685531</v>
      </c>
      <c r="CB1039" s="207">
        <f t="shared" si="1535"/>
        <v>695173</v>
      </c>
      <c r="CC1039" s="207">
        <f t="shared" si="1535"/>
        <v>702785</v>
      </c>
      <c r="CD1039" s="207">
        <f t="shared" ref="CD1039:CV1039" si="1536">SUM(CD1035:CD1038)</f>
        <v>712299</v>
      </c>
      <c r="CE1039" s="236">
        <f t="shared" si="1536"/>
        <v>712299</v>
      </c>
      <c r="CF1039" s="207">
        <f t="shared" si="1536"/>
        <v>719266</v>
      </c>
      <c r="CG1039" s="207">
        <f t="shared" si="1536"/>
        <v>728258</v>
      </c>
      <c r="CH1039" s="207">
        <f t="shared" si="1536"/>
        <v>1076913</v>
      </c>
      <c r="CI1039" s="207">
        <f t="shared" si="1536"/>
        <v>1101039</v>
      </c>
      <c r="CJ1039" s="236">
        <f t="shared" si="1536"/>
        <v>1101039</v>
      </c>
      <c r="CK1039" s="207">
        <f t="shared" si="1536"/>
        <v>1110732</v>
      </c>
      <c r="CL1039" s="207">
        <f t="shared" ca="1" si="1536"/>
        <v>1122829</v>
      </c>
      <c r="CM1039" s="207">
        <f t="shared" ca="1" si="1536"/>
        <v>1140952</v>
      </c>
      <c r="CN1039" s="207">
        <f t="shared" ca="1" si="1536"/>
        <v>1156145</v>
      </c>
      <c r="CO1039" s="236">
        <f t="shared" ca="1" si="1536"/>
        <v>1156145</v>
      </c>
      <c r="CP1039" s="207">
        <f>SUM(CP1035:CP1038)</f>
        <v>1176262.1000000001</v>
      </c>
      <c r="CQ1039" s="207">
        <f ca="1">SUM(CQ1035:CQ1038)</f>
        <v>1189603.9100000001</v>
      </c>
      <c r="CR1039" s="207">
        <f ca="1">SUM(CR1035:CR1038)</f>
        <v>1208134.1600000001</v>
      </c>
      <c r="CS1039" s="207">
        <f ca="1">SUM(CS1035:CS1038)</f>
        <v>1223373.3600000001</v>
      </c>
      <c r="CT1039" s="236">
        <f ca="1">SUM(CT1035:CT1038)</f>
        <v>1223373.3600000001</v>
      </c>
      <c r="CU1039" s="236">
        <f t="shared" ca="1" si="1536"/>
        <v>1294752.8624500001</v>
      </c>
      <c r="CV1039" s="236">
        <f t="shared" ca="1" si="1536"/>
        <v>1328239.6280180002</v>
      </c>
      <c r="CW1039" s="234"/>
      <c r="CX1039" s="234"/>
      <c r="CY1039" s="234"/>
      <c r="CZ1039" s="234"/>
      <c r="DA1039" s="234"/>
      <c r="DB1039" s="217"/>
      <c r="DC1039" s="212"/>
      <c r="DD1039" s="234"/>
    </row>
    <row r="1040" spans="1:108" s="207" customFormat="1" x14ac:dyDescent="0.2">
      <c r="A1040" s="1236"/>
      <c r="CK1040" s="3542"/>
      <c r="CP1040" s="3542"/>
      <c r="CW1040" s="234"/>
      <c r="CX1040" s="234"/>
      <c r="CY1040" s="234"/>
      <c r="CZ1040" s="234"/>
      <c r="DA1040" s="234"/>
      <c r="DB1040" s="217"/>
      <c r="DC1040" s="212"/>
      <c r="DD1040" s="234"/>
    </row>
    <row r="1041" spans="1:108" s="207" customFormat="1" x14ac:dyDescent="0.2">
      <c r="A1041" s="1236"/>
      <c r="CK1041" s="3542"/>
      <c r="CP1041" s="3542"/>
      <c r="CW1041" s="234"/>
      <c r="CX1041" s="234"/>
      <c r="CY1041" s="234"/>
      <c r="CZ1041" s="234"/>
      <c r="DA1041" s="234"/>
      <c r="DB1041" s="217"/>
      <c r="DC1041" s="212"/>
      <c r="DD1041" s="234"/>
    </row>
    <row r="1042" spans="1:108" s="207" customFormat="1" x14ac:dyDescent="0.2">
      <c r="A1042" s="207" t="s">
        <v>1417</v>
      </c>
      <c r="BF1042" s="3200">
        <f t="shared" ref="BF1042:BR1042" si="1537">BF1035/BF$1039</f>
        <v>3.8155919050719536E-2</v>
      </c>
      <c r="BG1042" s="3201">
        <f t="shared" si="1537"/>
        <v>3.8967071959357613E-2</v>
      </c>
      <c r="BH1042" s="3201">
        <f t="shared" si="1537"/>
        <v>3.9303243538423439E-2</v>
      </c>
      <c r="BI1042" s="3201">
        <f t="shared" si="1537"/>
        <v>3.8902564269761832E-2</v>
      </c>
      <c r="BJ1042" s="3201">
        <f t="shared" si="1537"/>
        <v>3.9423019340052476E-2</v>
      </c>
      <c r="BK1042" s="1512">
        <f t="shared" si="1537"/>
        <v>3.9423019340052476E-2</v>
      </c>
      <c r="BL1042" s="3201">
        <f t="shared" si="1537"/>
        <v>3.9358678316288191E-2</v>
      </c>
      <c r="BM1042" s="3201">
        <f t="shared" si="1537"/>
        <v>3.9568374324980206E-2</v>
      </c>
      <c r="BN1042" s="3201">
        <f t="shared" si="1537"/>
        <v>3.9780364665401809E-2</v>
      </c>
      <c r="BO1042" s="3201">
        <f t="shared" si="1537"/>
        <v>3.8820595440400785E-2</v>
      </c>
      <c r="BP1042" s="1512">
        <f t="shared" si="1537"/>
        <v>3.8820595440400785E-2</v>
      </c>
      <c r="BQ1042" s="3201">
        <f t="shared" si="1537"/>
        <v>3.9778498948859133E-2</v>
      </c>
      <c r="BR1042" s="3201">
        <f t="shared" si="1537"/>
        <v>3.8836922404235051E-2</v>
      </c>
      <c r="BS1042" s="3201">
        <f t="shared" ref="BS1042:BV1045" si="1538">BS1035/BS$1039</f>
        <v>3.8371759377738485E-2</v>
      </c>
      <c r="BT1042" s="3201">
        <f t="shared" si="1538"/>
        <v>4.0049003161196389E-2</v>
      </c>
      <c r="BU1042" s="1512">
        <f t="shared" si="1538"/>
        <v>4.0049003161196389E-2</v>
      </c>
      <c r="BV1042" s="3201">
        <f t="shared" si="1538"/>
        <v>3.955379754098988E-2</v>
      </c>
      <c r="BW1042" s="3201">
        <f t="shared" ref="BW1042:BX1045" si="1539">BW1035/BW$1039</f>
        <v>3.9499781388854009E-2</v>
      </c>
      <c r="BX1042" s="3201">
        <f t="shared" si="1539"/>
        <v>3.9215303415812287E-2</v>
      </c>
      <c r="BY1042" s="3201">
        <f t="shared" ref="BY1042:CA1045" si="1540">BY1035/BY$1039</f>
        <v>3.9618121515646657E-2</v>
      </c>
      <c r="BZ1042" s="1512">
        <f t="shared" si="1540"/>
        <v>3.9618121515646657E-2</v>
      </c>
      <c r="CA1042" s="3201">
        <f t="shared" si="1540"/>
        <v>3.9139003196062616E-2</v>
      </c>
      <c r="CB1042" s="3201">
        <f t="shared" ref="CB1042:CC1045" si="1541">CB1035/CB$1039</f>
        <v>3.93398477788982E-2</v>
      </c>
      <c r="CC1042" s="3201">
        <f t="shared" si="1541"/>
        <v>3.9485760225388987E-2</v>
      </c>
      <c r="CD1042" s="3201">
        <f t="shared" ref="CD1042:CF1045" si="1542">CD1035/CD$1039</f>
        <v>3.9522728517097455E-2</v>
      </c>
      <c r="CE1042" s="1512">
        <f t="shared" si="1542"/>
        <v>3.9522728517097455E-2</v>
      </c>
      <c r="CF1042" s="3201">
        <f t="shared" si="1542"/>
        <v>3.9107923911320709E-2</v>
      </c>
      <c r="CG1042" s="3201">
        <f t="shared" ref="CG1042:CH1045" si="1543">CG1035/CG$1039</f>
        <v>3.8618182017911236E-2</v>
      </c>
      <c r="CH1042" s="3201">
        <f t="shared" si="1543"/>
        <v>6.3718239077808519E-2</v>
      </c>
      <c r="CI1042" s="3201">
        <f t="shared" ref="CI1042:CV1042" si="1544">CI1035/CI$1039</f>
        <v>6.3517277771268768E-2</v>
      </c>
      <c r="CJ1042" s="1512">
        <f t="shared" si="1544"/>
        <v>6.3517277771268768E-2</v>
      </c>
      <c r="CK1042" s="3201">
        <f t="shared" si="1544"/>
        <v>6.3113334269652807E-2</v>
      </c>
      <c r="CL1042" s="3201">
        <f t="shared" ca="1" si="1544"/>
        <v>6.4069417515935201E-2</v>
      </c>
      <c r="CM1042" s="3201">
        <f t="shared" ca="1" si="1544"/>
        <v>6.4201649149131595E-2</v>
      </c>
      <c r="CN1042" s="3201">
        <f t="shared" ca="1" si="1544"/>
        <v>6.4199559743803758E-2</v>
      </c>
      <c r="CO1042" s="1512">
        <f t="shared" ca="1" si="1544"/>
        <v>6.4199559743803758E-2</v>
      </c>
      <c r="CP1042" s="3201">
        <f t="shared" ref="CP1042:CT1045" si="1545">CP1035/CP$1039</f>
        <v>6.3610117166913741E-2</v>
      </c>
      <c r="CQ1042" s="3201">
        <f t="shared" ca="1" si="1545"/>
        <v>6.4838648689377623E-2</v>
      </c>
      <c r="CR1042" s="3201">
        <f t="shared" ca="1" si="1545"/>
        <v>6.5059579144753257E-2</v>
      </c>
      <c r="CS1042" s="3201">
        <f t="shared" ca="1" si="1545"/>
        <v>6.4399056392727069E-2</v>
      </c>
      <c r="CT1042" s="1512">
        <f t="shared" ca="1" si="1545"/>
        <v>6.4399056392727069E-2</v>
      </c>
      <c r="CU1042" s="1512">
        <f t="shared" ca="1" si="1544"/>
        <v>6.3374200961203678E-2</v>
      </c>
      <c r="CV1042" s="1512">
        <f t="shared" ca="1" si="1544"/>
        <v>6.2653280492902322E-2</v>
      </c>
      <c r="CW1042" s="234"/>
      <c r="CX1042" s="234"/>
      <c r="CY1042" s="234"/>
      <c r="CZ1042" s="234"/>
      <c r="DA1042" s="234"/>
      <c r="DB1042" s="217"/>
      <c r="DC1042" s="212"/>
      <c r="DD1042" s="234"/>
    </row>
    <row r="1043" spans="1:108" s="207" customFormat="1" x14ac:dyDescent="0.2">
      <c r="A1043" s="207" t="s">
        <v>1383</v>
      </c>
      <c r="BF1043" s="3200">
        <f t="shared" ref="BF1043:BR1043" si="1546">BF1036/BF$1039</f>
        <v>0.43622187969225457</v>
      </c>
      <c r="BG1043" s="3201">
        <f t="shared" si="1546"/>
        <v>0.43675407832290863</v>
      </c>
      <c r="BH1043" s="3201">
        <f t="shared" si="1546"/>
        <v>0.43538259453555855</v>
      </c>
      <c r="BI1043" s="3201">
        <f t="shared" si="1546"/>
        <v>0.43539931206494631</v>
      </c>
      <c r="BJ1043" s="3201">
        <f t="shared" si="1546"/>
        <v>0.43379726367957894</v>
      </c>
      <c r="BK1043" s="1512">
        <f t="shared" si="1546"/>
        <v>0.43379726367957894</v>
      </c>
      <c r="BL1043" s="3201">
        <f t="shared" si="1546"/>
        <v>0.43176100069968831</v>
      </c>
      <c r="BM1043" s="3201">
        <f t="shared" si="1546"/>
        <v>0.43221745110591181</v>
      </c>
      <c r="BN1043" s="3201">
        <f t="shared" si="1546"/>
        <v>0.4298228124899508</v>
      </c>
      <c r="BO1043" s="3201">
        <f t="shared" si="1546"/>
        <v>0.4382962825173326</v>
      </c>
      <c r="BP1043" s="1512">
        <f t="shared" si="1546"/>
        <v>0.4382962825173326</v>
      </c>
      <c r="BQ1043" s="3201">
        <f t="shared" si="1546"/>
        <v>0.43647231158358807</v>
      </c>
      <c r="BR1043" s="3201">
        <f t="shared" si="1546"/>
        <v>0.43484391835969832</v>
      </c>
      <c r="BS1043" s="3201">
        <f t="shared" si="1538"/>
        <v>0.43344267888855281</v>
      </c>
      <c r="BT1043" s="3201">
        <f t="shared" si="1538"/>
        <v>0.43140788667711166</v>
      </c>
      <c r="BU1043" s="1512">
        <f t="shared" si="1538"/>
        <v>0.43140788667711166</v>
      </c>
      <c r="BV1043" s="3201">
        <f t="shared" si="1538"/>
        <v>0.43297858503630365</v>
      </c>
      <c r="BW1043" s="3201">
        <f t="shared" si="1539"/>
        <v>0.43265944619518271</v>
      </c>
      <c r="BX1043" s="3201">
        <f t="shared" si="1539"/>
        <v>0.43090272249641776</v>
      </c>
      <c r="BY1043" s="3201">
        <f t="shared" si="1540"/>
        <v>0.43466131753390808</v>
      </c>
      <c r="BZ1043" s="1512">
        <f t="shared" si="1540"/>
        <v>0.43466131753390808</v>
      </c>
      <c r="CA1043" s="3201">
        <f t="shared" si="1540"/>
        <v>0.43467910276851085</v>
      </c>
      <c r="CB1043" s="3201">
        <f t="shared" si="1541"/>
        <v>0.43491044675210344</v>
      </c>
      <c r="CC1043" s="3201">
        <f t="shared" si="1541"/>
        <v>0.4334341228113861</v>
      </c>
      <c r="CD1043" s="3201">
        <f t="shared" si="1542"/>
        <v>0.43191272204509623</v>
      </c>
      <c r="CE1043" s="1512">
        <f t="shared" si="1542"/>
        <v>0.43191272204509623</v>
      </c>
      <c r="CF1043" s="3201">
        <f t="shared" si="1542"/>
        <v>0.4304290763083477</v>
      </c>
      <c r="CG1043" s="3201">
        <f t="shared" si="1543"/>
        <v>0.42757923702863548</v>
      </c>
      <c r="CH1043" s="3201">
        <f t="shared" si="1543"/>
        <v>0.50587744785326205</v>
      </c>
      <c r="CI1043" s="3201">
        <f t="shared" ref="CI1043:CV1043" si="1547">CI1036/CI$1039</f>
        <v>0.50105127974576735</v>
      </c>
      <c r="CJ1043" s="1512">
        <f t="shared" si="1547"/>
        <v>0.50105127974576735</v>
      </c>
      <c r="CK1043" s="3201">
        <f>CK1036/CK$1039</f>
        <v>0.49857751464799788</v>
      </c>
      <c r="CL1043" s="3201">
        <f t="shared" ca="1" si="1547"/>
        <v>0.49494446616537335</v>
      </c>
      <c r="CM1043" s="3201">
        <f t="shared" ca="1" si="1547"/>
        <v>0.49129937105154292</v>
      </c>
      <c r="CN1043" s="3201">
        <f t="shared" ca="1" si="1547"/>
        <v>0.48698303413499172</v>
      </c>
      <c r="CO1043" s="1512">
        <f t="shared" ca="1" si="1547"/>
        <v>0.48698303413499172</v>
      </c>
      <c r="CP1043" s="3201">
        <f t="shared" si="1545"/>
        <v>0.49247938023336796</v>
      </c>
      <c r="CQ1043" s="3201">
        <f t="shared" ca="1" si="1545"/>
        <v>0.48831377832307216</v>
      </c>
      <c r="CR1043" s="3201">
        <f t="shared" ca="1" si="1545"/>
        <v>0.48407334993325563</v>
      </c>
      <c r="CS1043" s="3201">
        <f t="shared" ca="1" si="1545"/>
        <v>0.47989653788112574</v>
      </c>
      <c r="CT1043" s="1512">
        <f t="shared" ca="1" si="1545"/>
        <v>0.47989653788112574</v>
      </c>
      <c r="CU1043" s="1512">
        <f t="shared" ca="1" si="1547"/>
        <v>0.47580561894590151</v>
      </c>
      <c r="CV1043" s="1512">
        <f t="shared" ca="1" si="1547"/>
        <v>0.47325511657861891</v>
      </c>
      <c r="CW1043" s="234"/>
      <c r="CX1043" s="234"/>
      <c r="CY1043" s="234"/>
      <c r="CZ1043" s="234"/>
      <c r="DA1043" s="234"/>
      <c r="DB1043" s="217"/>
      <c r="DC1043" s="212"/>
      <c r="DD1043" s="234"/>
    </row>
    <row r="1044" spans="1:108" s="207" customFormat="1" x14ac:dyDescent="0.2">
      <c r="A1044" s="207" t="s">
        <v>1387</v>
      </c>
      <c r="BF1044" s="3200">
        <f t="shared" ref="BF1044:BR1044" si="1548">BF1037/BF$1039</f>
        <v>0.39412280585194731</v>
      </c>
      <c r="BG1044" s="3201">
        <f t="shared" si="1548"/>
        <v>0.39366214700247593</v>
      </c>
      <c r="BH1044" s="3201">
        <f t="shared" si="1548"/>
        <v>0.39401964916193422</v>
      </c>
      <c r="BI1044" s="3201">
        <f t="shared" si="1548"/>
        <v>0.3932526938689011</v>
      </c>
      <c r="BJ1044" s="3201">
        <f t="shared" si="1548"/>
        <v>0.39387573097758793</v>
      </c>
      <c r="BK1044" s="1512">
        <f t="shared" si="1548"/>
        <v>0.39387573097758793</v>
      </c>
      <c r="BL1044" s="3201">
        <f t="shared" si="1548"/>
        <v>0.39540467999360102</v>
      </c>
      <c r="BM1044" s="3201">
        <f t="shared" si="1548"/>
        <v>0.39456952724024336</v>
      </c>
      <c r="BN1044" s="3201">
        <f t="shared" si="1548"/>
        <v>0.39586455285075733</v>
      </c>
      <c r="BO1044" s="3201">
        <f t="shared" si="1548"/>
        <v>0.39026631817565588</v>
      </c>
      <c r="BP1044" s="1512">
        <f t="shared" si="1548"/>
        <v>0.39026631817565588</v>
      </c>
      <c r="BQ1044" s="3201">
        <f t="shared" si="1548"/>
        <v>0.39087681947852737</v>
      </c>
      <c r="BR1044" s="3201">
        <f t="shared" si="1548"/>
        <v>0.39127379483735963</v>
      </c>
      <c r="BS1044" s="3201">
        <f t="shared" si="1538"/>
        <v>0.39311045452077953</v>
      </c>
      <c r="BT1044" s="3201">
        <f t="shared" si="1538"/>
        <v>0.39421227110568002</v>
      </c>
      <c r="BU1044" s="1512">
        <f t="shared" si="1538"/>
        <v>0.39421227110568002</v>
      </c>
      <c r="BV1044" s="3201">
        <f t="shared" si="1538"/>
        <v>0.39330696311484814</v>
      </c>
      <c r="BW1044" s="3201">
        <f t="shared" si="1539"/>
        <v>0.39366496669394896</v>
      </c>
      <c r="BX1044" s="3201">
        <f t="shared" si="1539"/>
        <v>0.39447810557746782</v>
      </c>
      <c r="BY1044" s="3201">
        <f t="shared" si="1540"/>
        <v>0.39148743972262445</v>
      </c>
      <c r="BZ1044" s="1512">
        <f t="shared" si="1540"/>
        <v>0.39148743972262445</v>
      </c>
      <c r="CA1044" s="3201">
        <f t="shared" si="1540"/>
        <v>0.39089552478297845</v>
      </c>
      <c r="CB1044" s="3201">
        <f t="shared" si="1541"/>
        <v>0.38893771766164681</v>
      </c>
      <c r="CC1044" s="3201">
        <f t="shared" si="1541"/>
        <v>0.39039535562085131</v>
      </c>
      <c r="CD1044" s="3201">
        <f t="shared" si="1542"/>
        <v>0.39070109602849368</v>
      </c>
      <c r="CE1044" s="1512">
        <f t="shared" si="1542"/>
        <v>0.39070109602849368</v>
      </c>
      <c r="CF1044" s="3201">
        <f t="shared" si="1542"/>
        <v>0.39128500443507686</v>
      </c>
      <c r="CG1044" s="3201">
        <f t="shared" si="1543"/>
        <v>0.39230876969425671</v>
      </c>
      <c r="CH1044" s="3201">
        <f t="shared" si="1543"/>
        <v>0.3286672182432564</v>
      </c>
      <c r="CI1044" s="3201">
        <f t="shared" ref="CI1044:CV1044" si="1549">CI1037/CI$1039</f>
        <v>0.32638716703041398</v>
      </c>
      <c r="CJ1044" s="1512">
        <f t="shared" si="1549"/>
        <v>0.32638716703041398</v>
      </c>
      <c r="CK1044" s="3201">
        <f>CK1037/CK$1039</f>
        <v>0.32776943493119853</v>
      </c>
      <c r="CL1044" s="3201">
        <f t="shared" ca="1" si="1549"/>
        <v>0.32906880744975414</v>
      </c>
      <c r="CM1044" s="3201">
        <f t="shared" ca="1" si="1549"/>
        <v>0.32793141166324263</v>
      </c>
      <c r="CN1044" s="3201">
        <f t="shared" ca="1" si="1549"/>
        <v>0.33014111551751729</v>
      </c>
      <c r="CO1044" s="1512">
        <f t="shared" ca="1" si="1549"/>
        <v>0.33014111551751729</v>
      </c>
      <c r="CP1044" s="3201">
        <f t="shared" si="1545"/>
        <v>0.3298150046660519</v>
      </c>
      <c r="CQ1044" s="3201">
        <f t="shared" ca="1" si="1545"/>
        <v>0.33135163451169225</v>
      </c>
      <c r="CR1044" s="3201">
        <f t="shared" ca="1" si="1545"/>
        <v>0.33064378379964021</v>
      </c>
      <c r="CS1044" s="3201">
        <f t="shared" ca="1" si="1545"/>
        <v>0.33323194155543817</v>
      </c>
      <c r="CT1044" s="1512">
        <f t="shared" ca="1" si="1545"/>
        <v>0.33323194155543817</v>
      </c>
      <c r="CU1044" s="1512">
        <f t="shared" ca="1" si="1549"/>
        <v>0.33661889665590988</v>
      </c>
      <c r="CV1044" s="1512">
        <f t="shared" ca="1" si="1549"/>
        <v>0.33945990080329813</v>
      </c>
      <c r="CW1044" s="234"/>
      <c r="CX1044" s="234"/>
      <c r="CY1044" s="234"/>
      <c r="CZ1044" s="234"/>
      <c r="DA1044" s="234"/>
      <c r="DB1044" s="217"/>
      <c r="DC1044" s="212"/>
      <c r="DD1044" s="234"/>
    </row>
    <row r="1045" spans="1:108" s="207" customFormat="1" x14ac:dyDescent="0.2">
      <c r="A1045" s="1203" t="s">
        <v>1255</v>
      </c>
      <c r="B1045" s="1203"/>
      <c r="C1045" s="1203"/>
      <c r="D1045" s="1203"/>
      <c r="E1045" s="1203"/>
      <c r="F1045" s="1203"/>
      <c r="G1045" s="1203"/>
      <c r="H1045" s="1203"/>
      <c r="I1045" s="1203"/>
      <c r="J1045" s="1203"/>
      <c r="K1045" s="1203"/>
      <c r="L1045" s="1203"/>
      <c r="M1045" s="1203"/>
      <c r="N1045" s="1203"/>
      <c r="O1045" s="1203"/>
      <c r="P1045" s="1203"/>
      <c r="Q1045" s="1203"/>
      <c r="R1045" s="1203"/>
      <c r="S1045" s="1203"/>
      <c r="T1045" s="1203"/>
      <c r="U1045" s="1203"/>
      <c r="V1045" s="1203"/>
      <c r="W1045" s="1203"/>
      <c r="X1045" s="1203"/>
      <c r="Y1045" s="1203"/>
      <c r="Z1045" s="1203"/>
      <c r="AA1045" s="1203"/>
      <c r="AB1045" s="1203"/>
      <c r="AC1045" s="1203"/>
      <c r="AD1045" s="1203"/>
      <c r="AE1045" s="1203"/>
      <c r="AF1045" s="1203"/>
      <c r="AG1045" s="1203"/>
      <c r="AH1045" s="1203"/>
      <c r="AI1045" s="1203"/>
      <c r="AJ1045" s="1203"/>
      <c r="AK1045" s="1203"/>
      <c r="AL1045" s="1203"/>
      <c r="AM1045" s="1203"/>
      <c r="AN1045" s="1203"/>
      <c r="AO1045" s="1203"/>
      <c r="AP1045" s="1203"/>
      <c r="AQ1045" s="1203"/>
      <c r="AR1045" s="1203"/>
      <c r="AS1045" s="1203"/>
      <c r="AT1045" s="1203"/>
      <c r="AU1045" s="1203"/>
      <c r="AV1045" s="1203"/>
      <c r="AW1045" s="1203"/>
      <c r="AX1045" s="1203"/>
      <c r="AY1045" s="1203"/>
      <c r="AZ1045" s="1203"/>
      <c r="BA1045" s="1203"/>
      <c r="BB1045" s="1203"/>
      <c r="BC1045" s="1203"/>
      <c r="BD1045" s="1203"/>
      <c r="BE1045" s="1203"/>
      <c r="BF1045" s="3202">
        <f t="shared" ref="BF1045:BR1045" si="1550">BF1038/BF$1039</f>
        <v>0.1314993954050786</v>
      </c>
      <c r="BG1045" s="3203">
        <f t="shared" si="1550"/>
        <v>0.13061670271525785</v>
      </c>
      <c r="BH1045" s="3203">
        <f t="shared" si="1550"/>
        <v>0.1312945127640838</v>
      </c>
      <c r="BI1045" s="3203">
        <f t="shared" si="1550"/>
        <v>0.13244542979639079</v>
      </c>
      <c r="BJ1045" s="3203">
        <f t="shared" si="1550"/>
        <v>0.13290398600278067</v>
      </c>
      <c r="BK1045" s="2629">
        <f t="shared" si="1550"/>
        <v>0.13290398600278067</v>
      </c>
      <c r="BL1045" s="3203">
        <f t="shared" si="1550"/>
        <v>0.1334756409904225</v>
      </c>
      <c r="BM1045" s="3203">
        <f t="shared" si="1550"/>
        <v>0.13364464732886464</v>
      </c>
      <c r="BN1045" s="3203">
        <f t="shared" si="1550"/>
        <v>0.13453226999389009</v>
      </c>
      <c r="BO1045" s="3203">
        <f t="shared" si="1550"/>
        <v>0.13261680386661076</v>
      </c>
      <c r="BP1045" s="2629">
        <f t="shared" si="1550"/>
        <v>0.13261680386661076</v>
      </c>
      <c r="BQ1045" s="3203">
        <f t="shared" si="1550"/>
        <v>0.13287236998902544</v>
      </c>
      <c r="BR1045" s="3203">
        <f t="shared" si="1550"/>
        <v>0.13504536439870699</v>
      </c>
      <c r="BS1045" s="3203">
        <f t="shared" si="1538"/>
        <v>0.13507510721292915</v>
      </c>
      <c r="BT1045" s="3203">
        <f t="shared" si="1538"/>
        <v>0.13433083905601198</v>
      </c>
      <c r="BU1045" s="2629">
        <f t="shared" si="1538"/>
        <v>0.13433083905601198</v>
      </c>
      <c r="BV1045" s="3203">
        <f t="shared" si="1538"/>
        <v>0.13416065430785828</v>
      </c>
      <c r="BW1045" s="3203">
        <f t="shared" si="1539"/>
        <v>0.13417580572201437</v>
      </c>
      <c r="BX1045" s="3203">
        <f t="shared" si="1539"/>
        <v>0.13540386851030212</v>
      </c>
      <c r="BY1045" s="3203">
        <f t="shared" si="1540"/>
        <v>0.1342331212278208</v>
      </c>
      <c r="BZ1045" s="2629">
        <f t="shared" si="1540"/>
        <v>0.1342331212278208</v>
      </c>
      <c r="CA1045" s="3203">
        <f t="shared" si="1540"/>
        <v>0.13528636925244811</v>
      </c>
      <c r="CB1045" s="3203">
        <f t="shared" si="1541"/>
        <v>0.13681198780735154</v>
      </c>
      <c r="CC1045" s="3203">
        <f t="shared" si="1541"/>
        <v>0.13668476134237356</v>
      </c>
      <c r="CD1045" s="3203">
        <f t="shared" si="1542"/>
        <v>0.13786345340931266</v>
      </c>
      <c r="CE1045" s="2629">
        <f t="shared" si="1542"/>
        <v>0.13786345340931266</v>
      </c>
      <c r="CF1045" s="3203">
        <f t="shared" si="1542"/>
        <v>0.13917799534525474</v>
      </c>
      <c r="CG1045" s="3203">
        <f t="shared" si="1543"/>
        <v>0.14149381125919661</v>
      </c>
      <c r="CH1045" s="3203">
        <f t="shared" si="1543"/>
        <v>0.10173709482567302</v>
      </c>
      <c r="CI1045" s="3203">
        <f t="shared" ref="CI1045:CV1045" si="1551">CI1038/CI$1039</f>
        <v>0.10904427545254981</v>
      </c>
      <c r="CJ1045" s="2629">
        <f t="shared" si="1551"/>
        <v>0.10904427545254981</v>
      </c>
      <c r="CK1045" s="3203">
        <f>CK1038/CK$1039</f>
        <v>0.11053971615115077</v>
      </c>
      <c r="CL1045" s="3203">
        <f t="shared" ca="1" si="1551"/>
        <v>0.1119173088689373</v>
      </c>
      <c r="CM1045" s="3203">
        <f t="shared" ca="1" si="1551"/>
        <v>0.11656756813608285</v>
      </c>
      <c r="CN1045" s="3203">
        <f t="shared" ca="1" si="1551"/>
        <v>0.11867629060368726</v>
      </c>
      <c r="CO1045" s="2629">
        <f t="shared" ca="1" si="1551"/>
        <v>0.11867629060368726</v>
      </c>
      <c r="CP1045" s="3203">
        <f t="shared" si="1545"/>
        <v>0.11409549793366633</v>
      </c>
      <c r="CQ1045" s="3203">
        <f t="shared" ca="1" si="1545"/>
        <v>0.1154959384758579</v>
      </c>
      <c r="CR1045" s="3203">
        <f t="shared" ca="1" si="1545"/>
        <v>0.12022328712235068</v>
      </c>
      <c r="CS1045" s="3203">
        <f t="shared" ca="1" si="1545"/>
        <v>0.1224724641707091</v>
      </c>
      <c r="CT1045" s="2629">
        <f t="shared" ca="1" si="1545"/>
        <v>0.1224724641707091</v>
      </c>
      <c r="CU1045" s="2629">
        <f t="shared" ca="1" si="1551"/>
        <v>0.12420128343698492</v>
      </c>
      <c r="CV1045" s="2629">
        <f t="shared" ca="1" si="1551"/>
        <v>0.12463170212518056</v>
      </c>
      <c r="CW1045" s="234"/>
      <c r="CX1045" s="234"/>
      <c r="CY1045" s="234"/>
      <c r="CZ1045" s="234"/>
      <c r="DA1045" s="234"/>
      <c r="DB1045" s="217"/>
      <c r="DC1045" s="212"/>
      <c r="DD1045" s="234"/>
    </row>
    <row r="1046" spans="1:108" s="207" customFormat="1" x14ac:dyDescent="0.2">
      <c r="A1046" s="207" t="s">
        <v>1735</v>
      </c>
      <c r="BF1046" s="3200">
        <f t="shared" ref="BF1046:BR1046" si="1552">SUM(BF1042:BF1045)</f>
        <v>1</v>
      </c>
      <c r="BG1046" s="3201">
        <f t="shared" si="1552"/>
        <v>1</v>
      </c>
      <c r="BH1046" s="3201">
        <f t="shared" si="1552"/>
        <v>1</v>
      </c>
      <c r="BI1046" s="3201">
        <f t="shared" si="1552"/>
        <v>1</v>
      </c>
      <c r="BJ1046" s="3201">
        <f t="shared" si="1552"/>
        <v>1</v>
      </c>
      <c r="BK1046" s="1512">
        <f t="shared" si="1552"/>
        <v>1</v>
      </c>
      <c r="BL1046" s="3201">
        <f t="shared" si="1552"/>
        <v>1</v>
      </c>
      <c r="BM1046" s="3201">
        <f t="shared" si="1552"/>
        <v>1</v>
      </c>
      <c r="BN1046" s="3201">
        <f t="shared" si="1552"/>
        <v>1</v>
      </c>
      <c r="BO1046" s="3201">
        <f t="shared" si="1552"/>
        <v>1</v>
      </c>
      <c r="BP1046" s="1512">
        <f t="shared" si="1552"/>
        <v>1</v>
      </c>
      <c r="BQ1046" s="3201">
        <f t="shared" si="1552"/>
        <v>1</v>
      </c>
      <c r="BR1046" s="3201">
        <f t="shared" si="1552"/>
        <v>0.99999999999999989</v>
      </c>
      <c r="BS1046" s="3201">
        <f t="shared" ref="BS1046:BX1046" si="1553">SUM(BS1042:BS1045)</f>
        <v>1</v>
      </c>
      <c r="BT1046" s="3201">
        <f t="shared" si="1553"/>
        <v>1</v>
      </c>
      <c r="BU1046" s="1512">
        <f t="shared" si="1553"/>
        <v>1</v>
      </c>
      <c r="BV1046" s="3201">
        <f t="shared" si="1553"/>
        <v>0.99999999999999989</v>
      </c>
      <c r="BW1046" s="3201">
        <f t="shared" si="1553"/>
        <v>1</v>
      </c>
      <c r="BX1046" s="3201">
        <f t="shared" si="1553"/>
        <v>1</v>
      </c>
      <c r="BY1046" s="3201">
        <f t="shared" ref="BY1046:CE1046" si="1554">SUM(BY1042:BY1045)</f>
        <v>1</v>
      </c>
      <c r="BZ1046" s="1512">
        <f t="shared" si="1554"/>
        <v>1</v>
      </c>
      <c r="CA1046" s="3201">
        <f t="shared" si="1554"/>
        <v>1</v>
      </c>
      <c r="CB1046" s="3201">
        <f t="shared" si="1554"/>
        <v>1</v>
      </c>
      <c r="CC1046" s="3201">
        <f t="shared" si="1554"/>
        <v>1</v>
      </c>
      <c r="CD1046" s="3201">
        <f t="shared" si="1554"/>
        <v>1</v>
      </c>
      <c r="CE1046" s="1512">
        <f t="shared" si="1554"/>
        <v>1</v>
      </c>
      <c r="CF1046" s="3201">
        <f t="shared" ref="CF1046:CV1046" si="1555">SUM(CF1042:CF1045)</f>
        <v>1</v>
      </c>
      <c r="CG1046" s="3201">
        <f t="shared" si="1555"/>
        <v>1</v>
      </c>
      <c r="CH1046" s="3201">
        <f t="shared" si="1555"/>
        <v>1</v>
      </c>
      <c r="CI1046" s="3201">
        <f t="shared" si="1555"/>
        <v>1</v>
      </c>
      <c r="CJ1046" s="1512">
        <f t="shared" si="1555"/>
        <v>1</v>
      </c>
      <c r="CK1046" s="3201">
        <f t="shared" si="1555"/>
        <v>1</v>
      </c>
      <c r="CL1046" s="3201">
        <f t="shared" ca="1" si="1555"/>
        <v>1</v>
      </c>
      <c r="CM1046" s="3201">
        <f t="shared" ca="1" si="1555"/>
        <v>0.99999999999999989</v>
      </c>
      <c r="CN1046" s="3201">
        <f t="shared" ca="1" si="1555"/>
        <v>1.0000000000000002</v>
      </c>
      <c r="CO1046" s="1512">
        <f t="shared" ca="1" si="1555"/>
        <v>1.0000000000000002</v>
      </c>
      <c r="CP1046" s="3201">
        <f>SUM(CP1042:CP1045)</f>
        <v>1</v>
      </c>
      <c r="CQ1046" s="3201">
        <f ca="1">SUM(CQ1042:CQ1045)</f>
        <v>1</v>
      </c>
      <c r="CR1046" s="3201">
        <f ca="1">SUM(CR1042:CR1045)</f>
        <v>0.99999999999999978</v>
      </c>
      <c r="CS1046" s="3201">
        <f ca="1">SUM(CS1042:CS1045)</f>
        <v>1</v>
      </c>
      <c r="CT1046" s="1512">
        <f ca="1">SUM(CT1042:CT1045)</f>
        <v>1</v>
      </c>
      <c r="CU1046" s="1512">
        <f t="shared" ca="1" si="1555"/>
        <v>0.99999999999999989</v>
      </c>
      <c r="CV1046" s="1512">
        <f t="shared" ca="1" si="1555"/>
        <v>1</v>
      </c>
      <c r="CW1046" s="234"/>
      <c r="CX1046" s="234"/>
      <c r="CY1046" s="234"/>
      <c r="CZ1046" s="234"/>
      <c r="DA1046" s="234"/>
      <c r="DB1046" s="217"/>
      <c r="DC1046" s="212"/>
      <c r="DD1046" s="234"/>
    </row>
    <row r="1047" spans="1:108" s="207" customFormat="1" x14ac:dyDescent="0.2">
      <c r="A1047" s="1236"/>
      <c r="CK1047" s="3542"/>
      <c r="CP1047" s="3542"/>
      <c r="CW1047" s="234"/>
      <c r="CX1047" s="234"/>
      <c r="CY1047" s="234"/>
      <c r="CZ1047" s="234"/>
      <c r="DA1047" s="234"/>
      <c r="DB1047" s="234"/>
      <c r="DC1047" s="234"/>
      <c r="DD1047" s="234"/>
    </row>
    <row r="1048" spans="1:108" s="207" customFormat="1" x14ac:dyDescent="0.2">
      <c r="A1048" s="1236"/>
      <c r="CK1048" s="3542"/>
      <c r="CP1048" s="3542"/>
      <c r="CW1048" s="234"/>
      <c r="CX1048" s="234"/>
      <c r="CY1048" s="234"/>
      <c r="CZ1048" s="234"/>
      <c r="DA1048" s="234"/>
      <c r="DB1048" s="234"/>
      <c r="DC1048" s="234"/>
      <c r="DD1048" s="234"/>
    </row>
    <row r="1049" spans="1:108" x14ac:dyDescent="0.2">
      <c r="A1049" s="1031" t="s">
        <v>1929</v>
      </c>
      <c r="BS1049" s="70">
        <f>BS563</f>
        <v>506436</v>
      </c>
    </row>
    <row r="1050" spans="1:108" x14ac:dyDescent="0.2">
      <c r="A1050" s="1031" t="s">
        <v>1930</v>
      </c>
    </row>
    <row r="1051" spans="1:108" x14ac:dyDescent="0.2">
      <c r="A1051" s="1031" t="s">
        <v>808</v>
      </c>
    </row>
    <row r="1052" spans="1:108" x14ac:dyDescent="0.2">
      <c r="A1052" s="1031" t="s">
        <v>1949</v>
      </c>
    </row>
    <row r="1053" spans="1:108" x14ac:dyDescent="0.2">
      <c r="A1053" s="1031" t="s">
        <v>1950</v>
      </c>
    </row>
  </sheetData>
  <phoneticPr fontId="0" type="noConversion"/>
  <pageMargins left="0.75" right="0.75" top="1" bottom="1" header="0.5" footer="0.5"/>
  <pageSetup orientation="portrait" r:id="rId1"/>
  <headerFooter alignWithMargins="0"/>
  <ignoredErrors>
    <ignoredError sqref="BM881:BR884 BM859:BP861 BQ862:BQ863 BQ859:BQ860 BR859:BR860 BR862:BR863 BS881:BS884 BL881:BL884 BM863:BP863 BM862:BO862" formulaRange="1"/>
  </ignoredError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E47"/>
  <sheetViews>
    <sheetView showGridLines="0" zoomScale="85" zoomScaleNormal="85" workbookViewId="0">
      <pane xSplit="1" ySplit="2" topLeftCell="B3" activePane="bottomRight" state="frozen"/>
      <selection pane="topRight" activeCell="B1" sqref="B1"/>
      <selection pane="bottomLeft" activeCell="A3" sqref="A3"/>
      <selection pane="bottomRight" activeCell="B3" sqref="B3"/>
    </sheetView>
  </sheetViews>
  <sheetFormatPr defaultRowHeight="12.75" x14ac:dyDescent="0.2"/>
  <cols>
    <col min="1" max="1" width="30" style="2434" customWidth="1"/>
    <col min="2" max="5" width="11" style="2434" bestFit="1" customWidth="1"/>
    <col min="6" max="16384" width="9.33203125" style="2434"/>
  </cols>
  <sheetData>
    <row r="1" spans="1:5" x14ac:dyDescent="0.2">
      <c r="A1" s="199" t="s">
        <v>2517</v>
      </c>
    </row>
    <row r="2" spans="1:5" x14ac:dyDescent="0.2">
      <c r="A2" s="3276"/>
      <c r="B2" s="3277" t="s">
        <v>2404</v>
      </c>
      <c r="C2" s="3277" t="s">
        <v>2428</v>
      </c>
      <c r="D2" s="3277" t="s">
        <v>2451</v>
      </c>
      <c r="E2" s="3277" t="s">
        <v>2518</v>
      </c>
    </row>
    <row r="3" spans="1:5" x14ac:dyDescent="0.2">
      <c r="A3" s="3278" t="s">
        <v>2519</v>
      </c>
    </row>
    <row r="4" spans="1:5" x14ac:dyDescent="0.2">
      <c r="A4" s="2434" t="s">
        <v>2520</v>
      </c>
      <c r="B4" s="3279">
        <v>23552.696114519425</v>
      </c>
      <c r="C4" s="3279">
        <v>23830.027870289217</v>
      </c>
      <c r="D4" s="3279">
        <v>24259.822720253746</v>
      </c>
      <c r="E4" s="3279">
        <v>24779.353431826716</v>
      </c>
    </row>
    <row r="5" spans="1:5" x14ac:dyDescent="0.2">
      <c r="A5" s="2434" t="s">
        <v>2521</v>
      </c>
      <c r="B5" s="3280">
        <v>140.65995999999998</v>
      </c>
      <c r="C5" s="3280">
        <v>170.85791999999998</v>
      </c>
      <c r="D5" s="3280">
        <v>144.93248</v>
      </c>
      <c r="E5" s="3280">
        <v>123.89105225</v>
      </c>
    </row>
    <row r="6" spans="1:5" x14ac:dyDescent="0.2">
      <c r="B6" s="3281"/>
      <c r="C6" s="3281"/>
      <c r="D6" s="3281"/>
      <c r="E6" s="3281"/>
    </row>
    <row r="7" spans="1:5" x14ac:dyDescent="0.2">
      <c r="A7" s="2434" t="s">
        <v>2522</v>
      </c>
      <c r="B7" s="3279">
        <v>20918</v>
      </c>
      <c r="C7" s="3279">
        <v>20972</v>
      </c>
      <c r="D7" s="3279">
        <v>21021</v>
      </c>
      <c r="E7" s="3279">
        <v>21359.414999999997</v>
      </c>
    </row>
    <row r="8" spans="1:5" x14ac:dyDescent="0.2">
      <c r="A8" s="2434" t="s">
        <v>2523</v>
      </c>
      <c r="B8" s="3280">
        <v>96.27</v>
      </c>
      <c r="C8" s="3280">
        <v>106.54</v>
      </c>
      <c r="D8" s="3280">
        <v>84.23</v>
      </c>
      <c r="E8" s="3280">
        <v>78.825600000000009</v>
      </c>
    </row>
    <row r="10" spans="1:5" x14ac:dyDescent="0.2">
      <c r="A10" s="2434" t="s">
        <v>2524</v>
      </c>
      <c r="B10" s="3282">
        <f>+B4+B7</f>
        <v>44470.696114519422</v>
      </c>
      <c r="C10" s="3282">
        <f>+C4+C7</f>
        <v>44802.027870289217</v>
      </c>
      <c r="D10" s="3282">
        <f>+D4+D7</f>
        <v>45280.822720253746</v>
      </c>
      <c r="E10" s="3282">
        <f>+E4+E7</f>
        <v>46138.768431826713</v>
      </c>
    </row>
    <row r="11" spans="1:5" x14ac:dyDescent="0.2">
      <c r="A11" s="3276" t="s">
        <v>2525</v>
      </c>
      <c r="B11" s="3283">
        <f>(B5*(B4/B10))+(B8*(B7/B10))</f>
        <v>119.77993642472626</v>
      </c>
      <c r="C11" s="3283">
        <f>(C5*(C4/C10))+(C8*(C7/C10))</f>
        <v>140.75045651318499</v>
      </c>
      <c r="D11" s="3283">
        <f>(D5*(D4/D10))+(D8*(D7/D10))</f>
        <v>116.7521874297141</v>
      </c>
      <c r="E11" s="3283">
        <f>(E5*(E4/E10))+(E8*(E7/E10))</f>
        <v>103.02851669722077</v>
      </c>
    </row>
    <row r="14" spans="1:5" x14ac:dyDescent="0.2">
      <c r="A14" s="3278" t="s">
        <v>1930</v>
      </c>
    </row>
    <row r="15" spans="1:5" x14ac:dyDescent="0.2">
      <c r="A15" s="2434" t="s">
        <v>2520</v>
      </c>
      <c r="B15" s="3279">
        <v>56024.530061349695</v>
      </c>
      <c r="C15" s="3279">
        <v>56684.215950920247</v>
      </c>
      <c r="D15" s="3279">
        <v>57706.56406660824</v>
      </c>
      <c r="E15" s="3279">
        <v>58942.365854513577</v>
      </c>
    </row>
    <row r="16" spans="1:5" x14ac:dyDescent="0.2">
      <c r="A16" s="2434" t="s">
        <v>2521</v>
      </c>
      <c r="B16" s="3280">
        <v>123.81846</v>
      </c>
      <c r="C16" s="3280">
        <v>83.856700000000004</v>
      </c>
      <c r="D16" s="3280">
        <v>114.24738000000001</v>
      </c>
      <c r="E16" s="3280">
        <v>140.00845949999999</v>
      </c>
    </row>
    <row r="17" spans="1:5" x14ac:dyDescent="0.2">
      <c r="B17" s="3281"/>
      <c r="C17" s="3281"/>
      <c r="D17" s="3281"/>
      <c r="E17" s="3281"/>
    </row>
    <row r="18" spans="1:5" x14ac:dyDescent="0.2">
      <c r="A18" s="2434" t="s">
        <v>2522</v>
      </c>
      <c r="B18" s="3279">
        <v>40155</v>
      </c>
      <c r="C18" s="3279">
        <v>40322</v>
      </c>
      <c r="D18" s="3279">
        <v>40699</v>
      </c>
      <c r="E18" s="3279">
        <v>41397.122499999998</v>
      </c>
    </row>
    <row r="19" spans="1:5" x14ac:dyDescent="0.2">
      <c r="A19" s="2434" t="s">
        <v>2523</v>
      </c>
      <c r="B19" s="3280">
        <v>119.59</v>
      </c>
      <c r="C19" s="3280">
        <v>99.52</v>
      </c>
      <c r="D19" s="3280">
        <v>152.55000000000001</v>
      </c>
      <c r="E19" s="3280">
        <v>178.80029999999999</v>
      </c>
    </row>
    <row r="21" spans="1:5" x14ac:dyDescent="0.2">
      <c r="A21" s="2434" t="s">
        <v>2524</v>
      </c>
      <c r="B21" s="3282">
        <f>+B15+B18</f>
        <v>96179.530061349695</v>
      </c>
      <c r="C21" s="3282">
        <f>+C15+C18</f>
        <v>97006.215950920247</v>
      </c>
      <c r="D21" s="3282">
        <f>+D15+D18</f>
        <v>98405.564066608233</v>
      </c>
      <c r="E21" s="3282">
        <f>+E15+E18</f>
        <v>100339.48835451357</v>
      </c>
    </row>
    <row r="22" spans="1:5" x14ac:dyDescent="0.2">
      <c r="A22" s="3276" t="s">
        <v>2525</v>
      </c>
      <c r="B22" s="3283">
        <f>(B16*(B15/B21))+(B19*(B18/B21))</f>
        <v>122.05307591887907</v>
      </c>
      <c r="C22" s="3283">
        <f>(C16*(C15/C21))+(C19*(C18/C21))</f>
        <v>90.367371263783156</v>
      </c>
      <c r="D22" s="3283">
        <f>(D16*(D15/D21))+(D19*(D18/D21))</f>
        <v>130.08874370911747</v>
      </c>
      <c r="E22" s="3283">
        <f>(E16*(E15/E21))+(E19*(E18/E21))</f>
        <v>156.01283225009013</v>
      </c>
    </row>
    <row r="25" spans="1:5" x14ac:dyDescent="0.2">
      <c r="A25" s="3278" t="s">
        <v>2526</v>
      </c>
    </row>
    <row r="26" spans="1:5" x14ac:dyDescent="0.2">
      <c r="A26" s="2434" t="s">
        <v>2520</v>
      </c>
      <c r="B26" s="3284">
        <v>13557.24253578732</v>
      </c>
      <c r="C26" s="3284">
        <v>13716.878352322523</v>
      </c>
      <c r="D26" s="3284">
        <v>13964.273936813988</v>
      </c>
      <c r="E26" s="3284">
        <v>14263.322666833601</v>
      </c>
    </row>
    <row r="27" spans="1:5" x14ac:dyDescent="0.2">
      <c r="A27" s="2434" t="s">
        <v>2521</v>
      </c>
      <c r="B27" s="3285">
        <v>113.95292999999999</v>
      </c>
      <c r="C27" s="3285">
        <v>100.96640000000001</v>
      </c>
      <c r="D27" s="3285">
        <v>81.681049999999999</v>
      </c>
      <c r="E27" s="3285">
        <v>86.088470780000009</v>
      </c>
    </row>
    <row r="28" spans="1:5" x14ac:dyDescent="0.2">
      <c r="B28" s="2644"/>
      <c r="C28" s="2644"/>
      <c r="D28" s="2644"/>
      <c r="E28" s="2644"/>
    </row>
    <row r="29" spans="1:5" x14ac:dyDescent="0.2">
      <c r="A29" s="2434" t="s">
        <v>2522</v>
      </c>
      <c r="B29" s="3284">
        <v>24406</v>
      </c>
      <c r="C29" s="3284">
        <v>24824</v>
      </c>
      <c r="D29" s="3284">
        <v>24450</v>
      </c>
      <c r="E29" s="3284">
        <v>24823.627499999999</v>
      </c>
    </row>
    <row r="30" spans="1:5" x14ac:dyDescent="0.2">
      <c r="A30" s="2434" t="s">
        <v>2523</v>
      </c>
      <c r="B30" s="3285">
        <v>134.54</v>
      </c>
      <c r="C30" s="3285">
        <v>133.93</v>
      </c>
      <c r="D30" s="3285">
        <v>100.11</v>
      </c>
      <c r="E30" s="3285">
        <v>87.857099999999988</v>
      </c>
    </row>
    <row r="32" spans="1:5" x14ac:dyDescent="0.2">
      <c r="A32" s="2434" t="s">
        <v>2524</v>
      </c>
      <c r="B32" s="3282">
        <f>+B26+B29</f>
        <v>37963.242535787322</v>
      </c>
      <c r="C32" s="3282">
        <f>+C26+C29</f>
        <v>38540.878352322521</v>
      </c>
      <c r="D32" s="3282">
        <f>+D26+D29</f>
        <v>38414.273936813988</v>
      </c>
      <c r="E32" s="3282">
        <f>+E26+E29</f>
        <v>39086.950166833602</v>
      </c>
    </row>
    <row r="33" spans="1:5" x14ac:dyDescent="0.2">
      <c r="A33" s="3276" t="s">
        <v>2525</v>
      </c>
      <c r="B33" s="3283">
        <f>(B27*(B26/B32))+(B30*(B29/B32))</f>
        <v>127.18804894291827</v>
      </c>
      <c r="C33" s="3283">
        <f>(C27*(C26/C32))+(C30*(C29/C32))</f>
        <v>122.19810102454838</v>
      </c>
      <c r="D33" s="3283">
        <f>(D27*(D26/D32))+(D30*(D29/D32))</f>
        <v>93.410747878480095</v>
      </c>
      <c r="E33" s="3283">
        <f>(E27*(E26/E32))+(E30*(E29/E32))</f>
        <v>87.211704819890599</v>
      </c>
    </row>
    <row r="36" spans="1:5" x14ac:dyDescent="0.2">
      <c r="A36" s="3278" t="s">
        <v>808</v>
      </c>
    </row>
    <row r="37" spans="1:5" x14ac:dyDescent="0.2">
      <c r="A37" s="2434" t="s">
        <v>2520</v>
      </c>
      <c r="B37" s="3284">
        <v>57948.890797546024</v>
      </c>
      <c r="C37" s="3284">
        <v>58631.235933391778</v>
      </c>
      <c r="D37" s="3284">
        <v>59688.700212845892</v>
      </c>
      <c r="E37" s="3284">
        <v>60966.949986227628</v>
      </c>
    </row>
    <row r="38" spans="1:5" x14ac:dyDescent="0.2">
      <c r="A38" s="2434" t="s">
        <v>2521</v>
      </c>
      <c r="B38" s="3285">
        <v>120.2688</v>
      </c>
      <c r="C38" s="3285">
        <v>113.25732000000001</v>
      </c>
      <c r="D38" s="3285">
        <v>113.2047</v>
      </c>
      <c r="E38" s="3285">
        <v>115.07129999999999</v>
      </c>
    </row>
    <row r="39" spans="1:5" x14ac:dyDescent="0.2">
      <c r="B39" s="2644"/>
      <c r="C39" s="2644"/>
      <c r="D39" s="2644"/>
      <c r="E39" s="2644"/>
    </row>
    <row r="40" spans="1:5" x14ac:dyDescent="0.2">
      <c r="A40" s="2434" t="s">
        <v>2527</v>
      </c>
      <c r="B40" s="3284">
        <v>41067</v>
      </c>
      <c r="C40" s="3284">
        <v>41181</v>
      </c>
      <c r="D40" s="3284">
        <v>42037</v>
      </c>
      <c r="E40" s="3284">
        <v>42754.074999999997</v>
      </c>
    </row>
    <row r="41" spans="1:5" x14ac:dyDescent="0.2">
      <c r="A41" s="2434" t="s">
        <v>2528</v>
      </c>
      <c r="B41" s="3285">
        <v>112.01</v>
      </c>
      <c r="C41" s="3285">
        <v>112.47</v>
      </c>
      <c r="D41" s="3285">
        <v>102.25</v>
      </c>
      <c r="E41" s="3285">
        <v>110.46424999999999</v>
      </c>
    </row>
    <row r="42" spans="1:5" x14ac:dyDescent="0.2">
      <c r="B42" s="3285"/>
      <c r="C42" s="3285"/>
      <c r="D42" s="3285"/>
      <c r="E42" s="3285"/>
    </row>
    <row r="43" spans="1:5" x14ac:dyDescent="0.2">
      <c r="A43" s="2434" t="s">
        <v>2529</v>
      </c>
      <c r="B43" s="3284">
        <v>57283</v>
      </c>
      <c r="C43" s="3284">
        <v>57509</v>
      </c>
      <c r="D43" s="3284">
        <v>58761</v>
      </c>
      <c r="E43" s="3284">
        <v>58761</v>
      </c>
    </row>
    <row r="44" spans="1:5" x14ac:dyDescent="0.2">
      <c r="A44" s="2434" t="s">
        <v>2530</v>
      </c>
      <c r="B44" s="3285">
        <v>87.89</v>
      </c>
      <c r="C44" s="3285">
        <v>79.099999999999994</v>
      </c>
      <c r="D44" s="3285">
        <v>79.02</v>
      </c>
      <c r="E44" s="3285">
        <v>88.576999999999998</v>
      </c>
    </row>
    <row r="46" spans="1:5" x14ac:dyDescent="0.2">
      <c r="A46" s="2434" t="s">
        <v>2524</v>
      </c>
      <c r="B46" s="3282">
        <f>+B37+B40+B43</f>
        <v>156298.89079754602</v>
      </c>
      <c r="C46" s="3282">
        <f>+C37+C40+C43</f>
        <v>157321.23593339178</v>
      </c>
      <c r="D46" s="3282">
        <f>+D37+D40+D43</f>
        <v>160486.7002128459</v>
      </c>
      <c r="E46" s="3282">
        <f>+E37+E40+E43</f>
        <v>162482.02498622763</v>
      </c>
    </row>
    <row r="47" spans="1:5" x14ac:dyDescent="0.2">
      <c r="A47" s="3276" t="s">
        <v>2525</v>
      </c>
      <c r="B47" s="3283">
        <f>(B38*(B37/B46))+(B41*(B40/B46))+(B44*(B43/B46))</f>
        <v>106.23211087952643</v>
      </c>
      <c r="C47" s="3283">
        <f>(C38*(C37/C46))+(C41*(C40/C46))+(C44*(C43/C46))</f>
        <v>100.56497157702285</v>
      </c>
      <c r="D47" s="3283">
        <f>(D38*(D37/D46))+(D41*(D40/D46))+(D44*(D43/D46))</f>
        <v>97.818815205028343</v>
      </c>
      <c r="E47" s="3283">
        <f>(E38*(E37/E46))+(E41*(E40/E46))+(E44*(E43/E46))</f>
        <v>104.27748004559331</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M13"/>
  <sheetViews>
    <sheetView zoomScale="85" workbookViewId="0">
      <pane xSplit="1" ySplit="2" topLeftCell="B3" activePane="bottomRight" state="frozen"/>
      <selection pane="topRight" activeCell="B1" sqref="B1"/>
      <selection pane="bottomLeft" activeCell="A3" sqref="A3"/>
      <selection pane="bottomRight" activeCell="B3" sqref="B3"/>
    </sheetView>
  </sheetViews>
  <sheetFormatPr defaultColWidth="10.6640625" defaultRowHeight="12.75" x14ac:dyDescent="0.2"/>
  <cols>
    <col min="1" max="1" width="24.1640625" style="2231" customWidth="1"/>
    <col min="2" max="16384" width="10.6640625" style="2231"/>
  </cols>
  <sheetData>
    <row r="1" spans="1:13" x14ac:dyDescent="0.2">
      <c r="B1" s="2232"/>
    </row>
    <row r="2" spans="1:13" x14ac:dyDescent="0.2">
      <c r="A2" s="2233"/>
      <c r="B2" s="2234" t="s">
        <v>644</v>
      </c>
      <c r="C2" s="2234" t="s">
        <v>1542</v>
      </c>
      <c r="D2" s="2234" t="s">
        <v>1543</v>
      </c>
      <c r="E2" s="2234" t="s">
        <v>1544</v>
      </c>
      <c r="F2" s="2234" t="s">
        <v>287</v>
      </c>
      <c r="G2" s="2234" t="s">
        <v>288</v>
      </c>
      <c r="H2" s="2234" t="s">
        <v>289</v>
      </c>
      <c r="I2" s="2234" t="s">
        <v>290</v>
      </c>
      <c r="J2" s="2234" t="s">
        <v>142</v>
      </c>
      <c r="K2" s="2234" t="s">
        <v>1724</v>
      </c>
      <c r="L2" s="2234" t="s">
        <v>1725</v>
      </c>
      <c r="M2" s="2234" t="s">
        <v>46</v>
      </c>
    </row>
    <row r="3" spans="1:13" x14ac:dyDescent="0.2">
      <c r="A3" s="2235" t="s">
        <v>1189</v>
      </c>
    </row>
    <row r="4" spans="1:13" x14ac:dyDescent="0.2">
      <c r="A4" s="2231" t="s">
        <v>1083</v>
      </c>
      <c r="B4" s="1882" t="s">
        <v>958</v>
      </c>
      <c r="C4" s="1214">
        <v>0.02</v>
      </c>
      <c r="D4" s="1214">
        <v>0.02</v>
      </c>
      <c r="E4" s="1214">
        <v>0.04</v>
      </c>
      <c r="F4" s="1882" t="s">
        <v>958</v>
      </c>
      <c r="G4" s="1882" t="s">
        <v>958</v>
      </c>
      <c r="H4" s="1214">
        <v>0.08</v>
      </c>
      <c r="I4" s="1214">
        <v>0.06</v>
      </c>
      <c r="J4" s="1214">
        <v>0.01</v>
      </c>
      <c r="K4" s="1214">
        <v>0.04</v>
      </c>
      <c r="L4" s="1214">
        <v>0.03</v>
      </c>
      <c r="M4" s="1214">
        <v>0.04</v>
      </c>
    </row>
    <row r="5" spans="1:13" x14ac:dyDescent="0.2">
      <c r="A5" s="2231" t="s">
        <v>1190</v>
      </c>
      <c r="F5" s="2236">
        <v>0.09</v>
      </c>
      <c r="G5" s="2236">
        <v>0.06</v>
      </c>
      <c r="H5" s="2237">
        <v>6.0000000000000001E-3</v>
      </c>
      <c r="I5" s="2237">
        <v>3.3000000000000002E-2</v>
      </c>
      <c r="J5" s="2237">
        <v>5.8000000000000003E-2</v>
      </c>
      <c r="K5" s="2237">
        <v>5.1999999999999998E-2</v>
      </c>
      <c r="L5" s="2237">
        <v>6.9000000000000006E-2</v>
      </c>
      <c r="M5" s="2237">
        <v>6.3E-2</v>
      </c>
    </row>
    <row r="6" spans="1:13" ht="3.95" customHeight="1" x14ac:dyDescent="0.2">
      <c r="B6" s="2238" t="s">
        <v>1191</v>
      </c>
      <c r="C6" s="2238" t="s">
        <v>1191</v>
      </c>
      <c r="D6" s="2238" t="s">
        <v>1191</v>
      </c>
      <c r="E6" s="2238" t="s">
        <v>1191</v>
      </c>
      <c r="F6" s="2238" t="s">
        <v>1191</v>
      </c>
      <c r="G6" s="2238" t="s">
        <v>1191</v>
      </c>
      <c r="H6" s="2238" t="s">
        <v>1191</v>
      </c>
      <c r="I6" s="2238" t="s">
        <v>1191</v>
      </c>
      <c r="J6" s="2238" t="s">
        <v>1191</v>
      </c>
      <c r="K6" s="2238" t="s">
        <v>1191</v>
      </c>
      <c r="L6" s="2238" t="s">
        <v>1191</v>
      </c>
      <c r="M6" s="2238" t="s">
        <v>1191</v>
      </c>
    </row>
    <row r="7" spans="1:13" s="2232" customFormat="1" x14ac:dyDescent="0.2">
      <c r="A7" s="2232" t="s">
        <v>1493</v>
      </c>
      <c r="H7" s="2239">
        <f t="shared" ref="H7:M7" si="0">+H4-H5</f>
        <v>7.3999999999999996E-2</v>
      </c>
      <c r="I7" s="2239">
        <f t="shared" si="0"/>
        <v>2.6999999999999996E-2</v>
      </c>
      <c r="J7" s="2239">
        <f t="shared" si="0"/>
        <v>-4.8000000000000001E-2</v>
      </c>
      <c r="K7" s="2239">
        <f t="shared" si="0"/>
        <v>-1.1999999999999997E-2</v>
      </c>
      <c r="L7" s="2239">
        <f t="shared" si="0"/>
        <v>-3.9000000000000007E-2</v>
      </c>
      <c r="M7" s="2239">
        <f t="shared" si="0"/>
        <v>-2.3E-2</v>
      </c>
    </row>
    <row r="9" spans="1:13" x14ac:dyDescent="0.2">
      <c r="A9" s="2235" t="s">
        <v>1192</v>
      </c>
    </row>
    <row r="10" spans="1:13" x14ac:dyDescent="0.2">
      <c r="A10" s="2231" t="s">
        <v>1083</v>
      </c>
      <c r="B10" s="1882" t="s">
        <v>958</v>
      </c>
      <c r="C10" s="1214">
        <v>7.0000000000000007E-2</v>
      </c>
      <c r="D10" s="1882" t="s">
        <v>958</v>
      </c>
      <c r="E10" s="1882" t="s">
        <v>958</v>
      </c>
      <c r="F10" s="1882" t="s">
        <v>958</v>
      </c>
      <c r="G10" s="1882" t="s">
        <v>958</v>
      </c>
      <c r="H10" s="1214">
        <v>0.06</v>
      </c>
      <c r="I10" s="1882" t="s">
        <v>958</v>
      </c>
      <c r="J10" s="1214">
        <v>0.08</v>
      </c>
      <c r="K10" s="1214">
        <v>0.06</v>
      </c>
      <c r="L10" s="2237">
        <v>7.0000000000000007E-2</v>
      </c>
      <c r="M10" s="2237">
        <v>7.0000000000000007E-2</v>
      </c>
    </row>
    <row r="11" spans="1:13" x14ac:dyDescent="0.2">
      <c r="A11" s="2231" t="s">
        <v>1190</v>
      </c>
      <c r="F11" s="2236">
        <v>0.09</v>
      </c>
      <c r="G11" s="2236">
        <v>0.1</v>
      </c>
      <c r="H11" s="2237">
        <v>5.8000000000000003E-2</v>
      </c>
      <c r="I11" s="2237">
        <v>6.9000000000000006E-2</v>
      </c>
      <c r="J11" s="2237">
        <v>0.08</v>
      </c>
      <c r="K11" s="2237">
        <v>6.9000000000000006E-2</v>
      </c>
      <c r="L11" s="2237">
        <v>8.6999999999999994E-2</v>
      </c>
      <c r="M11" s="2237">
        <v>7.5999999999999998E-2</v>
      </c>
    </row>
    <row r="12" spans="1:13" ht="3.95" customHeight="1" x14ac:dyDescent="0.2">
      <c r="B12" s="2238" t="s">
        <v>1191</v>
      </c>
      <c r="C12" s="2238" t="s">
        <v>1191</v>
      </c>
      <c r="D12" s="2238" t="s">
        <v>1191</v>
      </c>
      <c r="E12" s="2238" t="s">
        <v>1191</v>
      </c>
      <c r="F12" s="2238" t="s">
        <v>1191</v>
      </c>
      <c r="G12" s="2238" t="s">
        <v>1191</v>
      </c>
      <c r="H12" s="2238" t="s">
        <v>1191</v>
      </c>
      <c r="I12" s="2238" t="s">
        <v>1191</v>
      </c>
      <c r="J12" s="2238" t="s">
        <v>1191</v>
      </c>
      <c r="K12" s="2238" t="s">
        <v>1191</v>
      </c>
      <c r="L12" s="2238" t="s">
        <v>1191</v>
      </c>
      <c r="M12" s="2238" t="s">
        <v>1191</v>
      </c>
    </row>
    <row r="13" spans="1:13" s="2232" customFormat="1" x14ac:dyDescent="0.2">
      <c r="A13" s="2232" t="s">
        <v>1493</v>
      </c>
      <c r="H13" s="2239">
        <f>+H10-H11</f>
        <v>1.9999999999999948E-3</v>
      </c>
      <c r="I13" s="2239"/>
      <c r="J13" s="2239">
        <f>+J10-J11</f>
        <v>0</v>
      </c>
      <c r="K13" s="2239">
        <f>+K10-K11</f>
        <v>-9.000000000000008E-3</v>
      </c>
      <c r="L13" s="2239">
        <f>+L10-L11</f>
        <v>-1.6999999999999987E-2</v>
      </c>
      <c r="M13" s="2239">
        <f>+M10-M11</f>
        <v>-5.9999999999999915E-3</v>
      </c>
    </row>
  </sheetData>
  <phoneticPr fontId="1"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37"/>
  <sheetViews>
    <sheetView zoomScale="85" workbookViewId="0"/>
  </sheetViews>
  <sheetFormatPr defaultRowHeight="12.75" x14ac:dyDescent="0.2"/>
  <cols>
    <col min="1" max="1" width="28" style="70" customWidth="1"/>
    <col min="2" max="2" width="9.33203125" style="70"/>
    <col min="3" max="3" width="2.83203125" style="70" customWidth="1"/>
    <col min="4" max="9" width="9.33203125" style="70"/>
    <col min="11" max="16384" width="9.33203125" style="70"/>
  </cols>
  <sheetData>
    <row r="1" spans="1:13" x14ac:dyDescent="0.2">
      <c r="A1" s="863" t="s">
        <v>1037</v>
      </c>
    </row>
    <row r="2" spans="1:13" x14ac:dyDescent="0.2">
      <c r="A2" s="876" t="s">
        <v>1301</v>
      </c>
    </row>
    <row r="4" spans="1:13" x14ac:dyDescent="0.2">
      <c r="A4" s="2066" t="s">
        <v>1179</v>
      </c>
    </row>
    <row r="7" spans="1:13" x14ac:dyDescent="0.2">
      <c r="A7" s="609" t="s">
        <v>85</v>
      </c>
      <c r="B7" s="2068" t="s">
        <v>2308</v>
      </c>
      <c r="C7" s="335"/>
      <c r="D7" s="2067" t="s">
        <v>1180</v>
      </c>
      <c r="E7" s="2067" t="s">
        <v>1181</v>
      </c>
      <c r="F7" s="2067" t="s">
        <v>2284</v>
      </c>
      <c r="G7" s="2067" t="s">
        <v>2301</v>
      </c>
      <c r="H7" s="2067" t="s">
        <v>1182</v>
      </c>
      <c r="I7" s="2067" t="s">
        <v>726</v>
      </c>
      <c r="J7" s="2067" t="s">
        <v>727</v>
      </c>
      <c r="K7" s="2067" t="s">
        <v>728</v>
      </c>
      <c r="L7" s="2067" t="s">
        <v>729</v>
      </c>
      <c r="M7" s="2067" t="s">
        <v>730</v>
      </c>
    </row>
    <row r="8" spans="1:13" x14ac:dyDescent="0.2">
      <c r="A8" s="70" t="s">
        <v>81</v>
      </c>
      <c r="D8" s="70">
        <f>MAR!BP98</f>
        <v>992</v>
      </c>
      <c r="E8" s="70">
        <f>MAR!BU98</f>
        <v>1258</v>
      </c>
      <c r="F8" s="70">
        <f>MAR!BZ98</f>
        <v>1325</v>
      </c>
      <c r="G8" s="70">
        <f>MAR!CE98</f>
        <v>1524</v>
      </c>
      <c r="H8" s="70">
        <f>MAR!CJ98</f>
        <v>1718</v>
      </c>
      <c r="I8" s="70">
        <f>MAR!CO98</f>
        <v>2136</v>
      </c>
      <c r="J8" s="70">
        <f>MAR!CT98</f>
        <v>3223</v>
      </c>
      <c r="K8" s="70">
        <f ca="1">MAR!CY98</f>
        <v>3408.5199569809874</v>
      </c>
      <c r="L8" s="70">
        <f ca="1">MAR!CZ98</f>
        <v>3806.4767640867026</v>
      </c>
      <c r="M8" s="70">
        <f ca="1">MAR!DA98</f>
        <v>3781.9263870850614</v>
      </c>
    </row>
    <row r="9" spans="1:13" x14ac:dyDescent="0.2">
      <c r="A9" s="247" t="s">
        <v>1183</v>
      </c>
      <c r="D9" s="247"/>
      <c r="E9" s="1112">
        <f t="shared" ref="E9:M9" si="0">E8/D8-1</f>
        <v>0.26814516129032251</v>
      </c>
      <c r="F9" s="1112">
        <f t="shared" si="0"/>
        <v>5.3259141494435669E-2</v>
      </c>
      <c r="G9" s="1112">
        <f t="shared" si="0"/>
        <v>0.15018867924528312</v>
      </c>
      <c r="H9" s="1112">
        <f t="shared" si="0"/>
        <v>0.12729658792650911</v>
      </c>
      <c r="I9" s="1112">
        <f t="shared" si="0"/>
        <v>0.24330616996507559</v>
      </c>
      <c r="J9" s="1112">
        <f t="shared" si="0"/>
        <v>0.50889513108614226</v>
      </c>
      <c r="K9" s="1112">
        <f t="shared" ca="1" si="0"/>
        <v>5.7561264964625325E-2</v>
      </c>
      <c r="L9" s="1112">
        <f t="shared" ca="1" si="0"/>
        <v>0.11675355055224479</v>
      </c>
      <c r="M9" s="1112">
        <f t="shared" ca="1" si="0"/>
        <v>-6.4496326979501806E-3</v>
      </c>
    </row>
    <row r="10" spans="1:13" x14ac:dyDescent="0.2">
      <c r="A10" s="247" t="s">
        <v>1517</v>
      </c>
      <c r="D10" s="247"/>
      <c r="E10" s="1112"/>
      <c r="F10" s="1112"/>
      <c r="G10" s="1112"/>
      <c r="H10" s="1112">
        <f t="shared" ref="H10:M10" si="1">(H8/E8)^(1/3)-1</f>
        <v>0.10946644741970313</v>
      </c>
      <c r="I10" s="1112">
        <f t="shared" si="1"/>
        <v>0.1725421316698148</v>
      </c>
      <c r="J10" s="1112">
        <f t="shared" si="1"/>
        <v>0.28358641736244539</v>
      </c>
      <c r="K10" s="1112">
        <f t="shared" ca="1" si="1"/>
        <v>0.25655323873949887</v>
      </c>
      <c r="L10" s="1112">
        <f t="shared" ca="1" si="1"/>
        <v>0.2123852523633516</v>
      </c>
      <c r="M10" s="1112">
        <f t="shared" ca="1" si="1"/>
        <v>5.4753370680123759E-2</v>
      </c>
    </row>
    <row r="11" spans="1:13" x14ac:dyDescent="0.2">
      <c r="J11" s="70"/>
    </row>
    <row r="12" spans="1:13" ht="12" customHeight="1" x14ac:dyDescent="0.2">
      <c r="A12" s="70" t="s">
        <v>1253</v>
      </c>
      <c r="D12" s="1311">
        <f>MAR!BP60</f>
        <v>1.3060214462469066</v>
      </c>
      <c r="E12" s="1311">
        <f>MAR!BU60</f>
        <v>1.71522979873836</v>
      </c>
      <c r="F12" s="1311">
        <f>MAR!BZ60</f>
        <v>2</v>
      </c>
      <c r="G12" s="1311">
        <f>MAR!CE60</f>
        <v>2.6078167115902966</v>
      </c>
      <c r="H12" s="1311">
        <f>MAR!CJ60</f>
        <v>3.104838709677419</v>
      </c>
      <c r="I12" s="1311">
        <f>MAR!CO60</f>
        <v>3.3173734610123122</v>
      </c>
      <c r="J12" s="1311">
        <f>MAR!CT60</f>
        <v>4.3566962816716028</v>
      </c>
      <c r="K12" s="1311">
        <f ca="1">MAR!CY60</f>
        <v>5.3180405857587729</v>
      </c>
      <c r="L12" s="1311">
        <f ca="1">MAR!CZ60</f>
        <v>6.2152045518202783</v>
      </c>
      <c r="M12" s="1311">
        <f ca="1">MAR!DA60</f>
        <v>6.2949386934559239</v>
      </c>
    </row>
    <row r="13" spans="1:13" ht="12" customHeight="1" x14ac:dyDescent="0.2">
      <c r="A13" s="247" t="s">
        <v>1183</v>
      </c>
      <c r="D13" s="247"/>
      <c r="E13" s="1112">
        <f t="shared" ref="E13:M13" si="2">E12/D12-1</f>
        <v>0.31332437431819282</v>
      </c>
      <c r="F13" s="1112">
        <f t="shared" si="2"/>
        <v>0.1660245183887914</v>
      </c>
      <c r="G13" s="1112">
        <f t="shared" si="2"/>
        <v>0.3039083557951483</v>
      </c>
      <c r="H13" s="1112">
        <f t="shared" si="2"/>
        <v>0.19058931399516532</v>
      </c>
      <c r="I13" s="1112">
        <f t="shared" si="2"/>
        <v>6.8452751079290275E-2</v>
      </c>
      <c r="J13" s="1112">
        <f t="shared" si="2"/>
        <v>0.31329689975337782</v>
      </c>
      <c r="K13" s="1112">
        <f t="shared" ca="1" si="2"/>
        <v>0.22065901360429829</v>
      </c>
      <c r="L13" s="1112">
        <f t="shared" ca="1" si="2"/>
        <v>0.16870197803003406</v>
      </c>
      <c r="M13" s="1112">
        <f t="shared" ca="1" si="2"/>
        <v>1.2828884547700703E-2</v>
      </c>
    </row>
    <row r="14" spans="1:13" ht="12" customHeight="1" x14ac:dyDescent="0.2">
      <c r="A14" s="247" t="s">
        <v>1517</v>
      </c>
      <c r="D14" s="247"/>
      <c r="E14" s="1112"/>
      <c r="F14" s="1112"/>
      <c r="G14" s="1112"/>
      <c r="H14" s="1112">
        <f t="shared" ref="H14:M14" si="3">(H12/E12)^(1/3)-1</f>
        <v>0.21872459892200191</v>
      </c>
      <c r="I14" s="1112">
        <f t="shared" si="3"/>
        <v>0.18373582132762944</v>
      </c>
      <c r="J14" s="1112">
        <f t="shared" si="3"/>
        <v>0.18657011773424625</v>
      </c>
      <c r="K14" s="1112">
        <f t="shared" ca="1" si="3"/>
        <v>0.19647657705917032</v>
      </c>
      <c r="L14" s="1112">
        <f t="shared" ca="1" si="3"/>
        <v>0.23278408807766948</v>
      </c>
      <c r="M14" s="1112">
        <f t="shared" ca="1" si="3"/>
        <v>0.13051954038665325</v>
      </c>
    </row>
    <row r="15" spans="1:13" x14ac:dyDescent="0.2">
      <c r="J15" s="70"/>
    </row>
    <row r="16" spans="1:13" x14ac:dyDescent="0.2">
      <c r="A16" s="70" t="s">
        <v>349</v>
      </c>
      <c r="B16" s="70">
        <f>MAR!CG58</f>
        <v>277.3</v>
      </c>
      <c r="D16" s="70">
        <f>MAR!BP58</f>
        <v>363.70000000000005</v>
      </c>
      <c r="E16" s="70">
        <f>MAR!BU58</f>
        <v>332.9</v>
      </c>
      <c r="F16" s="70">
        <f>MAR!BZ58</f>
        <v>313</v>
      </c>
      <c r="G16" s="70">
        <f>MAR!CE58</f>
        <v>296.8</v>
      </c>
      <c r="H16" s="70">
        <f>MAR!CJ58</f>
        <v>272.8</v>
      </c>
      <c r="I16" s="70">
        <f>MAR!CO58</f>
        <v>292.39999999999998</v>
      </c>
      <c r="J16" s="70">
        <f>MAR!CT58</f>
        <v>379.875</v>
      </c>
      <c r="K16" s="70">
        <f>MAR!CY58</f>
        <v>364.10799491964929</v>
      </c>
      <c r="L16" s="70">
        <f>MAR!CZ58</f>
        <v>351.50972501070453</v>
      </c>
      <c r="M16" s="70">
        <f>MAR!DA58</f>
        <v>340.7153867612667</v>
      </c>
    </row>
    <row r="17" spans="1:13" x14ac:dyDescent="0.2">
      <c r="A17" s="247" t="s">
        <v>1183</v>
      </c>
      <c r="D17" s="247"/>
      <c r="E17" s="1112">
        <f t="shared" ref="E17:M17" si="4">E16/D16-1</f>
        <v>-8.4685180093483803E-2</v>
      </c>
      <c r="F17" s="1112">
        <f t="shared" si="4"/>
        <v>-5.9777711024331603E-2</v>
      </c>
      <c r="G17" s="1112">
        <f t="shared" si="4"/>
        <v>-5.1757188498402495E-2</v>
      </c>
      <c r="H17" s="1112">
        <f t="shared" si="4"/>
        <v>-8.0862533692722338E-2</v>
      </c>
      <c r="I17" s="1112">
        <f t="shared" si="4"/>
        <v>7.1847507331378235E-2</v>
      </c>
      <c r="J17" s="1112">
        <f t="shared" si="4"/>
        <v>0.29916210670314647</v>
      </c>
      <c r="K17" s="1112">
        <f t="shared" si="4"/>
        <v>-4.1505771846925166E-2</v>
      </c>
      <c r="L17" s="1112">
        <f t="shared" si="4"/>
        <v>-3.4600366058221033E-2</v>
      </c>
      <c r="M17" s="1112">
        <f t="shared" si="4"/>
        <v>-3.070850528846425E-2</v>
      </c>
    </row>
    <row r="18" spans="1:13" x14ac:dyDescent="0.2">
      <c r="J18" s="70"/>
    </row>
    <row r="19" spans="1:13" x14ac:dyDescent="0.2">
      <c r="A19" s="70" t="s">
        <v>1178</v>
      </c>
      <c r="B19" s="1311">
        <f>MAR!CG70*4</f>
        <v>1</v>
      </c>
      <c r="C19" s="1311"/>
      <c r="D19" s="1311">
        <f>MAR!BP70</f>
        <v>0.38749999999999996</v>
      </c>
      <c r="E19" s="1311">
        <f>MAR!BU70</f>
        <v>0.46</v>
      </c>
      <c r="F19" s="1311">
        <f>MAR!BZ70</f>
        <v>0.64000000000000012</v>
      </c>
      <c r="G19" s="1311">
        <f>MAR!CE70</f>
        <v>0.77</v>
      </c>
      <c r="H19" s="1311">
        <f>MAR!CJ70</f>
        <v>0.95</v>
      </c>
      <c r="I19" s="1311">
        <f>MAR!CO70</f>
        <v>1.1500000000000001</v>
      </c>
      <c r="J19" s="1311">
        <f>MAR!CT70</f>
        <v>1.29</v>
      </c>
      <c r="K19" s="1311">
        <f>MAR!CY70</f>
        <v>1.419</v>
      </c>
      <c r="L19" s="1311">
        <f>MAR!CZ70</f>
        <v>1.4899500000000001</v>
      </c>
      <c r="M19" s="1311">
        <f>MAR!DA70</f>
        <v>1.4899500000000001</v>
      </c>
    </row>
    <row r="20" spans="1:13" x14ac:dyDescent="0.2">
      <c r="A20" s="247" t="s">
        <v>1183</v>
      </c>
      <c r="D20" s="247"/>
      <c r="E20" s="1112">
        <f t="shared" ref="E20:M20" si="5">E19/D19-1</f>
        <v>0.18709677419354853</v>
      </c>
      <c r="F20" s="1112">
        <f t="shared" si="5"/>
        <v>0.39130434782608714</v>
      </c>
      <c r="G20" s="1112">
        <f t="shared" si="5"/>
        <v>0.20312499999999978</v>
      </c>
      <c r="H20" s="1112">
        <f t="shared" si="5"/>
        <v>0.23376623376623362</v>
      </c>
      <c r="I20" s="1112">
        <f t="shared" si="5"/>
        <v>0.21052631578947389</v>
      </c>
      <c r="J20" s="1112">
        <f t="shared" si="5"/>
        <v>0.12173913043478257</v>
      </c>
      <c r="K20" s="1112">
        <f t="shared" si="5"/>
        <v>0.10000000000000009</v>
      </c>
      <c r="L20" s="1112">
        <f t="shared" si="5"/>
        <v>5.0000000000000044E-2</v>
      </c>
      <c r="M20" s="1112">
        <f t="shared" si="5"/>
        <v>0</v>
      </c>
    </row>
    <row r="21" spans="1:13" x14ac:dyDescent="0.2">
      <c r="A21" s="247"/>
      <c r="D21" s="247"/>
      <c r="E21" s="1112"/>
      <c r="F21" s="1112"/>
      <c r="G21" s="1112"/>
      <c r="H21" s="1112"/>
      <c r="I21" s="1112"/>
      <c r="J21" s="1112"/>
      <c r="K21" s="1112"/>
      <c r="L21" s="1112"/>
      <c r="M21" s="1112"/>
    </row>
    <row r="22" spans="1:13" x14ac:dyDescent="0.2">
      <c r="A22" s="199" t="s">
        <v>521</v>
      </c>
      <c r="J22" s="70"/>
    </row>
    <row r="23" spans="1:13" x14ac:dyDescent="0.2">
      <c r="A23" s="70" t="s">
        <v>1703</v>
      </c>
      <c r="B23" s="70">
        <f>MAR!CG798</f>
        <v>3917</v>
      </c>
      <c r="D23" s="70">
        <f>MAR!BP798</f>
        <v>2171</v>
      </c>
      <c r="E23" s="70">
        <f>MAR!BU798</f>
        <v>2935</v>
      </c>
      <c r="F23" s="70">
        <f>MAR!BZ798</f>
        <v>3199</v>
      </c>
      <c r="G23" s="70">
        <f>MAR!CE798</f>
        <v>3781</v>
      </c>
      <c r="H23" s="70">
        <f>MAR!CJ798</f>
        <v>4107</v>
      </c>
      <c r="I23" s="70">
        <f>MAR!CO798</f>
        <v>8506</v>
      </c>
      <c r="J23" s="70">
        <f>MAR!CT798</f>
        <v>8238</v>
      </c>
      <c r="K23" s="70">
        <f>MAR!CY798</f>
        <v>9038</v>
      </c>
      <c r="L23" s="70">
        <f>MAR!CZ798</f>
        <v>9688</v>
      </c>
      <c r="M23" s="70">
        <f>MAR!DA798</f>
        <v>9688</v>
      </c>
    </row>
    <row r="24" spans="1:13" x14ac:dyDescent="0.2">
      <c r="A24" s="195" t="s">
        <v>791</v>
      </c>
      <c r="B24" s="195">
        <f>MAR!CG799</f>
        <v>140</v>
      </c>
      <c r="C24" s="195"/>
      <c r="D24" s="195">
        <f>MAR!BP799</f>
        <v>102</v>
      </c>
      <c r="E24" s="195">
        <f>MAR!BU799</f>
        <v>88</v>
      </c>
      <c r="F24" s="195">
        <f>MAR!BZ799</f>
        <v>126</v>
      </c>
      <c r="G24" s="195">
        <f>MAR!CE799</f>
        <v>104</v>
      </c>
      <c r="H24" s="195">
        <f>MAR!CJ799</f>
        <v>96</v>
      </c>
      <c r="I24" s="195">
        <f>MAR!CO799</f>
        <v>858</v>
      </c>
      <c r="J24" s="195">
        <f>MAR!CT799</f>
        <v>383</v>
      </c>
      <c r="K24" s="195">
        <f ca="1">MAR!CY799</f>
        <v>82.730912775479766</v>
      </c>
      <c r="L24" s="195">
        <f ca="1">MAR!CZ799</f>
        <v>123.85407152597512</v>
      </c>
      <c r="M24" s="195">
        <f ca="1">MAR!DA799</f>
        <v>252.27718455050447</v>
      </c>
    </row>
    <row r="25" spans="1:13" x14ac:dyDescent="0.2">
      <c r="A25" s="70" t="s">
        <v>1038</v>
      </c>
      <c r="B25" s="70">
        <f>B23-B24</f>
        <v>3777</v>
      </c>
      <c r="D25" s="70">
        <f t="shared" ref="D25:M25" si="6">D23-D24</f>
        <v>2069</v>
      </c>
      <c r="E25" s="70">
        <f t="shared" si="6"/>
        <v>2847</v>
      </c>
      <c r="F25" s="70">
        <f t="shared" si="6"/>
        <v>3073</v>
      </c>
      <c r="G25" s="70">
        <f t="shared" si="6"/>
        <v>3677</v>
      </c>
      <c r="H25" s="70">
        <f t="shared" si="6"/>
        <v>4011</v>
      </c>
      <c r="I25" s="70">
        <f t="shared" si="6"/>
        <v>7648</v>
      </c>
      <c r="J25" s="70">
        <f t="shared" si="6"/>
        <v>7855</v>
      </c>
      <c r="K25" s="70">
        <f t="shared" ca="1" si="6"/>
        <v>8955.2690872245203</v>
      </c>
      <c r="L25" s="70">
        <f t="shared" ca="1" si="6"/>
        <v>9564.1459284740249</v>
      </c>
      <c r="M25" s="70">
        <f t="shared" ca="1" si="6"/>
        <v>9435.7228154494951</v>
      </c>
    </row>
    <row r="26" spans="1:13" x14ac:dyDescent="0.2">
      <c r="J26" s="70"/>
    </row>
    <row r="27" spans="1:13" x14ac:dyDescent="0.2">
      <c r="A27" s="70" t="s">
        <v>1079</v>
      </c>
      <c r="D27" s="1111">
        <f t="shared" ref="D27:M27" si="7">D25/D8</f>
        <v>2.0856854838709675</v>
      </c>
      <c r="E27" s="1111">
        <f t="shared" si="7"/>
        <v>2.2631160572337041</v>
      </c>
      <c r="F27" s="1111">
        <f t="shared" si="7"/>
        <v>2.3192452830188679</v>
      </c>
      <c r="G27" s="1111">
        <f t="shared" si="7"/>
        <v>2.4127296587926508</v>
      </c>
      <c r="H27" s="1111">
        <f t="shared" si="7"/>
        <v>2.3346915017462164</v>
      </c>
      <c r="I27" s="1111">
        <f t="shared" si="7"/>
        <v>3.5805243445692883</v>
      </c>
      <c r="J27" s="1111">
        <f t="shared" si="7"/>
        <v>2.4371703381942291</v>
      </c>
      <c r="K27" s="1111">
        <f t="shared" ca="1" si="7"/>
        <v>2.6273189537538837</v>
      </c>
      <c r="L27" s="1111">
        <f t="shared" ca="1" si="7"/>
        <v>2.512598006300657</v>
      </c>
      <c r="M27" s="1111">
        <f t="shared" ca="1" si="7"/>
        <v>2.4949514743786767</v>
      </c>
    </row>
    <row r="28" spans="1:13" x14ac:dyDescent="0.2">
      <c r="J28" s="70"/>
    </row>
    <row r="29" spans="1:13" x14ac:dyDescent="0.2">
      <c r="A29" s="70" t="s">
        <v>89</v>
      </c>
      <c r="D29" s="70">
        <f>-MAR!BP39-MAR!BP40</f>
        <v>111</v>
      </c>
      <c r="E29" s="70">
        <f>-MAR!BU39-MAR!BU40</f>
        <v>120</v>
      </c>
      <c r="F29" s="70">
        <f>-MAR!BZ39-MAR!BZ40</f>
        <v>97</v>
      </c>
      <c r="G29" s="70">
        <f>-MAR!CE39-MAR!CE40</f>
        <v>85</v>
      </c>
      <c r="H29" s="70">
        <f>-MAR!CJ39-MAR!CJ40</f>
        <v>138</v>
      </c>
      <c r="I29" s="70">
        <f>-MAR!CO39-MAR!CO40</f>
        <v>189</v>
      </c>
      <c r="J29" s="70">
        <f>-MAR!CT39-MAR!CT40</f>
        <v>250</v>
      </c>
      <c r="K29" s="70">
        <f ca="1">-MAR!CY39-MAR!CY40</f>
        <v>308.86315391234677</v>
      </c>
      <c r="L29" s="70">
        <f ca="1">-MAR!CZ39-MAR!CZ40</f>
        <v>334.20046478484454</v>
      </c>
      <c r="M29" s="70">
        <f ca="1">-MAR!DA39-MAR!DA40</f>
        <v>346.14602589341735</v>
      </c>
    </row>
    <row r="30" spans="1:13" x14ac:dyDescent="0.2">
      <c r="A30" s="70" t="s">
        <v>84</v>
      </c>
      <c r="D30" s="1111">
        <f t="shared" ref="D30:M30" si="8">D8/D29</f>
        <v>8.9369369369369362</v>
      </c>
      <c r="E30" s="1111">
        <f t="shared" si="8"/>
        <v>10.483333333333333</v>
      </c>
      <c r="F30" s="1111">
        <f t="shared" si="8"/>
        <v>13.659793814432989</v>
      </c>
      <c r="G30" s="1111">
        <f t="shared" si="8"/>
        <v>17.929411764705883</v>
      </c>
      <c r="H30" s="1111">
        <f t="shared" si="8"/>
        <v>12.44927536231884</v>
      </c>
      <c r="I30" s="1111">
        <f t="shared" si="8"/>
        <v>11.301587301587302</v>
      </c>
      <c r="J30" s="1111">
        <f t="shared" si="8"/>
        <v>12.891999999999999</v>
      </c>
      <c r="K30" s="1111">
        <f t="shared" ca="1" si="8"/>
        <v>11.035696274565343</v>
      </c>
      <c r="L30" s="1111">
        <f t="shared" ca="1" si="8"/>
        <v>11.38980092842564</v>
      </c>
      <c r="M30" s="1111">
        <f t="shared" ca="1" si="8"/>
        <v>10.925811952697568</v>
      </c>
    </row>
    <row r="31" spans="1:13" x14ac:dyDescent="0.2">
      <c r="A31" s="1311"/>
      <c r="J31" s="70"/>
    </row>
    <row r="32" spans="1:13" x14ac:dyDescent="0.2">
      <c r="A32" s="199" t="s">
        <v>810</v>
      </c>
      <c r="J32" s="70"/>
    </row>
    <row r="33" spans="1:13" x14ac:dyDescent="0.2">
      <c r="A33" s="70" t="s">
        <v>86</v>
      </c>
      <c r="D33" s="70">
        <f>MAR!BP117</f>
        <v>1044</v>
      </c>
      <c r="E33" s="70">
        <f>MAR!BU117</f>
        <v>648.75</v>
      </c>
      <c r="F33" s="70">
        <f>MAR!BZ117</f>
        <v>976</v>
      </c>
      <c r="G33" s="70">
        <f>MAR!CE117</f>
        <v>1051.8800000000001</v>
      </c>
      <c r="H33" s="70">
        <f>MAR!CJ117</f>
        <v>1182.5983999999999</v>
      </c>
      <c r="I33" s="70">
        <f>MAR!CO117</f>
        <v>1385.17056</v>
      </c>
      <c r="J33" s="70">
        <f>MAR!CT117</f>
        <v>2335.7588400000004</v>
      </c>
      <c r="K33" s="70">
        <f ca="1">MAR!CY117</f>
        <v>1996.9222489819413</v>
      </c>
      <c r="L33" s="70">
        <f ca="1">MAR!CZ117</f>
        <v>2515.8057086956251</v>
      </c>
      <c r="M33" s="70">
        <f ca="1">MAR!DA117</f>
        <v>2541.3308440892979</v>
      </c>
    </row>
    <row r="34" spans="1:13" x14ac:dyDescent="0.2">
      <c r="A34" s="70" t="s">
        <v>87</v>
      </c>
      <c r="D34" s="70">
        <f>MAR!BP123</f>
        <v>1215</v>
      </c>
      <c r="E34" s="70">
        <f>MAR!BU123</f>
        <v>502</v>
      </c>
      <c r="F34" s="70">
        <f>MAR!BZ123</f>
        <v>745</v>
      </c>
      <c r="G34" s="70">
        <f>MAR!CE123</f>
        <v>1114</v>
      </c>
      <c r="H34" s="70">
        <f>MAR!CJ123</f>
        <v>1703</v>
      </c>
      <c r="I34" s="70">
        <f>MAR!CO123</f>
        <v>1556</v>
      </c>
      <c r="J34" s="70">
        <f>MAR!CT123</f>
        <v>3397.5088400000004</v>
      </c>
      <c r="K34" s="70">
        <f ca="1">MAR!CY123</f>
        <v>1422.0722489819414</v>
      </c>
      <c r="L34" s="70">
        <f ca="1">MAR!CZ123</f>
        <v>2412.2457086956251</v>
      </c>
      <c r="M34" s="70">
        <f ca="1">MAR!DA123</f>
        <v>2372.6988440892978</v>
      </c>
    </row>
    <row r="35" spans="1:13" x14ac:dyDescent="0.2">
      <c r="A35" s="70" t="s">
        <v>88</v>
      </c>
      <c r="D35" s="70">
        <f>MAR!BP126</f>
        <v>-344</v>
      </c>
      <c r="E35" s="70">
        <f>MAR!BU126</f>
        <v>-834</v>
      </c>
      <c r="F35" s="70">
        <f>MAR!BZ126</f>
        <v>-285</v>
      </c>
      <c r="G35" s="70">
        <f>MAR!CE126</f>
        <v>-619</v>
      </c>
      <c r="H35" s="70">
        <f>MAR!CJ126</f>
        <v>-467</v>
      </c>
      <c r="I35" s="70">
        <f>MAR!CO126</f>
        <v>614</v>
      </c>
      <c r="J35" s="70">
        <f>MAR!CT126</f>
        <v>-114.97415999999959</v>
      </c>
      <c r="K35" s="70">
        <f ca="1">MAR!CY126</f>
        <v>-1085.269087224523</v>
      </c>
      <c r="L35" s="70">
        <f ca="1">MAR!CZ126</f>
        <v>-593.87684124950465</v>
      </c>
      <c r="M35" s="70">
        <f ca="1">MAR!DA126</f>
        <v>128.42311302452907</v>
      </c>
    </row>
    <row r="37" spans="1:13" x14ac:dyDescent="0.2">
      <c r="A37" s="2434" t="s">
        <v>1998</v>
      </c>
      <c r="B37" s="70">
        <f>+'EBITDA Val'!G23*CompSheetOutput!B16+CompSheetOutput!B25</f>
        <v>42876.3</v>
      </c>
      <c r="G37" s="2240">
        <f>+$B$37/MAR!CE107</f>
        <v>31.736713545521837</v>
      </c>
      <c r="H37" s="2240">
        <f>+$B$37/MAR!CJ107</f>
        <v>27.932442996742672</v>
      </c>
    </row>
  </sheetData>
  <phoneticPr fontId="66"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E190"/>
  <sheetViews>
    <sheetView showGridLines="0" zoomScale="85" zoomScaleNormal="85" workbookViewId="0"/>
  </sheetViews>
  <sheetFormatPr defaultColWidth="12" defaultRowHeight="11.25" x14ac:dyDescent="0.2"/>
  <cols>
    <col min="1" max="1" width="43.33203125" customWidth="1"/>
    <col min="2" max="2" width="2" customWidth="1"/>
    <col min="3" max="4" width="12" customWidth="1"/>
    <col min="5" max="5" width="2" customWidth="1"/>
    <col min="6" max="7" width="10" customWidth="1"/>
    <col min="8" max="8" width="1.83203125" customWidth="1"/>
    <col min="9" max="9" width="12" customWidth="1"/>
    <col min="10" max="10" width="2" customWidth="1"/>
    <col min="11" max="12" width="10" customWidth="1"/>
    <col min="13" max="13" width="2.33203125" customWidth="1"/>
    <col min="14" max="14" width="12" customWidth="1"/>
    <col min="15" max="15" width="2.83203125" customWidth="1"/>
    <col min="16" max="16" width="26.83203125" customWidth="1"/>
    <col min="17" max="18" width="13.6640625" customWidth="1"/>
    <col min="19" max="19" width="1.83203125" customWidth="1"/>
    <col min="20" max="20" width="13.6640625" customWidth="1"/>
    <col min="21" max="21" width="2.33203125" customWidth="1"/>
    <col min="22" max="22" width="34.5" customWidth="1"/>
    <col min="23" max="23" width="9.6640625" hidden="1" customWidth="1"/>
    <col min="24" max="24" width="2.1640625" hidden="1" customWidth="1"/>
    <col min="25" max="25" width="9.6640625" hidden="1" customWidth="1"/>
    <col min="26" max="26" width="2" hidden="1" customWidth="1"/>
    <col min="27" max="27" width="9.6640625" hidden="1" customWidth="1"/>
    <col min="28" max="28" width="1.5" hidden="1" customWidth="1"/>
    <col min="29" max="29" width="9.6640625" hidden="1" customWidth="1"/>
    <col min="30" max="30" width="2" hidden="1" customWidth="1"/>
    <col min="31" max="31" width="9.6640625" customWidth="1"/>
    <col min="32" max="32" width="1.5" customWidth="1"/>
    <col min="33" max="33" width="9.6640625" customWidth="1"/>
    <col min="34" max="34" width="2" customWidth="1"/>
    <col min="35" max="35" width="9.6640625" customWidth="1"/>
    <col min="36" max="36" width="1.5" customWidth="1"/>
    <col min="37" max="37" width="9.6640625" customWidth="1"/>
    <col min="38" max="38" width="2" customWidth="1"/>
    <col min="39" max="39" width="9.6640625" customWidth="1"/>
    <col min="40" max="40" width="1.5" customWidth="1"/>
    <col min="41" max="41" width="9.6640625" customWidth="1"/>
    <col min="42" max="42" width="13.1640625" customWidth="1"/>
    <col min="43" max="43" width="28" customWidth="1"/>
    <col min="44" max="44" width="12" bestFit="1" customWidth="1"/>
    <col min="45" max="45" width="1.83203125" customWidth="1"/>
    <col min="46" max="46" width="12.5" bestFit="1" customWidth="1"/>
    <col min="47" max="47" width="1.5" customWidth="1"/>
    <col min="48" max="57" width="12.5" customWidth="1"/>
  </cols>
  <sheetData>
    <row r="1" spans="1:47" ht="13.5" customHeight="1" x14ac:dyDescent="0.2">
      <c r="A1" s="362" t="s">
        <v>1490</v>
      </c>
      <c r="B1" s="346"/>
      <c r="C1" s="2539" t="s">
        <v>2117</v>
      </c>
      <c r="D1" s="345"/>
      <c r="E1" s="345"/>
      <c r="F1" s="345"/>
      <c r="G1" s="345"/>
      <c r="I1" s="345"/>
      <c r="J1" s="345"/>
      <c r="K1" s="345"/>
      <c r="L1" s="345"/>
      <c r="M1" s="345"/>
      <c r="N1" s="345"/>
      <c r="O1" s="345"/>
      <c r="P1" s="345"/>
      <c r="Q1" s="345"/>
      <c r="R1" s="345"/>
      <c r="S1" s="345"/>
      <c r="T1" s="345"/>
      <c r="U1" s="345"/>
      <c r="V1" s="345"/>
      <c r="W1" s="345"/>
      <c r="X1" s="345"/>
      <c r="Y1" s="345"/>
      <c r="Z1" s="345"/>
      <c r="AA1" s="345"/>
      <c r="AB1" s="345"/>
      <c r="AC1" s="345"/>
      <c r="AD1" s="345"/>
      <c r="AE1" s="345"/>
      <c r="AF1" s="345"/>
      <c r="AG1" s="345"/>
      <c r="AH1" s="345"/>
      <c r="AI1" s="345"/>
      <c r="AJ1" s="345"/>
      <c r="AK1" s="345"/>
      <c r="AL1" s="345"/>
      <c r="AM1" s="345"/>
      <c r="AN1" s="345"/>
      <c r="AO1" s="345"/>
      <c r="AP1" s="345"/>
      <c r="AQ1" s="345"/>
      <c r="AR1" s="345"/>
      <c r="AS1" s="345"/>
      <c r="AT1" s="345"/>
      <c r="AU1" s="345"/>
    </row>
    <row r="2" spans="1:47" ht="13.5" customHeight="1" x14ac:dyDescent="0.2">
      <c r="A2" s="362" t="s">
        <v>1639</v>
      </c>
      <c r="B2" s="346"/>
      <c r="C2" s="619"/>
      <c r="D2" s="345"/>
      <c r="E2" s="345"/>
      <c r="F2" s="345"/>
      <c r="G2" s="345"/>
      <c r="I2" s="619"/>
      <c r="J2" s="345"/>
      <c r="K2" s="345"/>
      <c r="L2" s="345"/>
      <c r="M2" s="345"/>
      <c r="N2" s="345"/>
      <c r="O2" s="345"/>
      <c r="P2" s="345"/>
      <c r="Q2" s="345"/>
      <c r="R2" s="345"/>
      <c r="S2" s="345"/>
      <c r="T2" s="345"/>
      <c r="U2" s="346"/>
      <c r="V2" s="345"/>
      <c r="W2" s="345"/>
      <c r="X2" s="345"/>
      <c r="Y2" s="345"/>
      <c r="Z2" s="345"/>
      <c r="AA2" s="345"/>
      <c r="AB2" s="345"/>
      <c r="AC2" s="345"/>
      <c r="AD2" s="345"/>
      <c r="AE2" s="345"/>
      <c r="AF2" s="345"/>
      <c r="AG2" s="345"/>
      <c r="AH2" s="345"/>
      <c r="AI2" s="345"/>
      <c r="AJ2" s="345"/>
      <c r="AK2" s="345"/>
      <c r="AL2" s="345"/>
      <c r="AM2" s="345"/>
      <c r="AN2" s="345"/>
      <c r="AO2" s="345"/>
      <c r="AP2" s="345"/>
      <c r="AQ2" s="345"/>
      <c r="AR2" s="345"/>
      <c r="AS2" s="345"/>
      <c r="AT2" s="345"/>
      <c r="AU2" s="345"/>
    </row>
    <row r="3" spans="1:47" ht="13.5" customHeight="1" x14ac:dyDescent="0.2">
      <c r="A3" s="346"/>
      <c r="B3" s="346"/>
      <c r="C3" s="346"/>
      <c r="D3" s="346"/>
      <c r="E3" s="346"/>
      <c r="F3" s="346"/>
      <c r="G3" s="346"/>
      <c r="I3" s="346"/>
      <c r="J3" s="346"/>
      <c r="K3" s="346"/>
      <c r="L3" s="346"/>
      <c r="M3" s="346"/>
      <c r="N3" s="345"/>
      <c r="O3" s="345"/>
      <c r="P3" s="345"/>
      <c r="Q3" s="345"/>
      <c r="R3" s="345"/>
      <c r="S3" s="345"/>
      <c r="T3" s="345"/>
      <c r="U3" s="346"/>
      <c r="V3" s="345"/>
      <c r="W3" s="345"/>
      <c r="X3" s="345"/>
      <c r="Y3" s="345"/>
      <c r="Z3" s="345"/>
      <c r="AA3" s="345"/>
      <c r="AB3" s="345"/>
      <c r="AC3" s="345"/>
      <c r="AD3" s="345"/>
      <c r="AE3" s="345"/>
      <c r="AF3" s="345"/>
      <c r="AG3" s="345"/>
      <c r="AH3" s="345"/>
      <c r="AI3" s="345"/>
      <c r="AJ3" s="345"/>
      <c r="AK3" s="345"/>
      <c r="AL3" s="345"/>
      <c r="AM3" s="345"/>
      <c r="AN3" s="345"/>
      <c r="AO3" s="345"/>
      <c r="AP3" s="345"/>
      <c r="AQ3" s="345"/>
      <c r="AR3" s="345"/>
      <c r="AS3" s="345"/>
      <c r="AT3" s="345"/>
      <c r="AU3" s="345"/>
    </row>
    <row r="4" spans="1:47" ht="13.5" customHeight="1" thickBot="1" x14ac:dyDescent="0.25">
      <c r="A4" s="275" t="s">
        <v>91</v>
      </c>
      <c r="B4" s="346"/>
      <c r="C4" s="346"/>
      <c r="D4" s="346"/>
      <c r="E4" s="346"/>
      <c r="F4" s="346"/>
      <c r="G4" s="346"/>
      <c r="I4" s="346"/>
      <c r="J4" s="346"/>
      <c r="K4" s="346"/>
      <c r="L4" s="346"/>
      <c r="M4" s="346"/>
      <c r="N4" s="345"/>
      <c r="O4" s="345"/>
      <c r="P4" s="345"/>
      <c r="Q4" s="345"/>
      <c r="R4" s="345"/>
      <c r="S4" s="345"/>
      <c r="T4" s="345"/>
      <c r="U4" s="346"/>
      <c r="V4" s="345"/>
      <c r="W4" s="345"/>
      <c r="X4" s="345"/>
      <c r="Y4" s="345"/>
      <c r="Z4" s="345"/>
      <c r="AA4" s="345"/>
      <c r="AB4" s="345"/>
      <c r="AC4" s="345"/>
      <c r="AD4" s="345"/>
      <c r="AE4" s="345"/>
      <c r="AF4" s="345"/>
      <c r="AG4" s="345"/>
      <c r="AH4" s="345"/>
      <c r="AI4" s="345"/>
      <c r="AJ4" s="345"/>
      <c r="AK4" s="345"/>
      <c r="AL4" s="345"/>
      <c r="AM4" s="345"/>
      <c r="AN4" s="345"/>
      <c r="AO4" s="345"/>
      <c r="AP4" s="345"/>
      <c r="AQ4" s="345"/>
      <c r="AR4" s="345"/>
      <c r="AS4" s="345"/>
      <c r="AT4" s="345"/>
      <c r="AU4" s="345"/>
    </row>
    <row r="5" spans="1:47" ht="13.5" customHeight="1" x14ac:dyDescent="0.2">
      <c r="A5" s="2493"/>
      <c r="B5" s="2494"/>
      <c r="C5" s="3939" t="s">
        <v>2116</v>
      </c>
      <c r="D5" s="3940"/>
      <c r="E5" s="3940"/>
      <c r="F5" s="3940"/>
      <c r="G5" s="3941"/>
      <c r="I5" s="3942" t="s">
        <v>1755</v>
      </c>
      <c r="J5" s="3940"/>
      <c r="K5" s="3940"/>
      <c r="L5" s="3943"/>
      <c r="M5" s="346"/>
      <c r="N5" s="1143" t="s">
        <v>1141</v>
      </c>
      <c r="O5" s="347"/>
      <c r="P5" s="345"/>
      <c r="Q5" s="345"/>
      <c r="R5" s="345"/>
      <c r="S5" s="345"/>
      <c r="T5" s="345"/>
      <c r="U5" s="346"/>
      <c r="V5" s="345"/>
      <c r="W5" s="345"/>
      <c r="X5" s="345"/>
      <c r="Y5" s="345"/>
      <c r="Z5" s="345"/>
      <c r="AA5" s="345"/>
      <c r="AB5" s="345"/>
      <c r="AC5" s="345"/>
      <c r="AD5" s="345"/>
      <c r="AE5" s="345"/>
      <c r="AF5" s="345"/>
      <c r="AG5" s="345"/>
      <c r="AH5" s="345"/>
      <c r="AI5" s="345"/>
      <c r="AJ5" s="345"/>
      <c r="AK5" s="345"/>
      <c r="AL5" s="345"/>
      <c r="AM5" s="345"/>
      <c r="AN5" s="345"/>
      <c r="AO5" s="345"/>
      <c r="AP5" s="345"/>
      <c r="AQ5" s="345"/>
      <c r="AR5" s="345"/>
      <c r="AS5" s="345"/>
      <c r="AT5" s="345"/>
      <c r="AU5" s="345"/>
    </row>
    <row r="6" spans="1:47" ht="13.5" customHeight="1" x14ac:dyDescent="0.2">
      <c r="A6" s="2495"/>
      <c r="B6" s="2491"/>
      <c r="C6" s="2489"/>
      <c r="D6" s="2490"/>
      <c r="E6" s="2491"/>
      <c r="F6" s="2550" t="s">
        <v>241</v>
      </c>
      <c r="G6" s="2551"/>
      <c r="I6" s="2552"/>
      <c r="J6" s="2490"/>
      <c r="K6" s="2550" t="s">
        <v>241</v>
      </c>
      <c r="L6" s="2551"/>
      <c r="M6" s="346"/>
      <c r="N6" s="345"/>
      <c r="O6" s="345"/>
      <c r="P6" s="345"/>
      <c r="Q6" s="345"/>
      <c r="R6" s="345"/>
      <c r="S6" s="345"/>
      <c r="T6" s="345"/>
      <c r="U6" s="346"/>
      <c r="V6" s="345"/>
      <c r="W6" s="345"/>
      <c r="X6" s="345"/>
      <c r="Y6" s="345"/>
      <c r="Z6" s="345"/>
      <c r="AA6" s="345"/>
      <c r="AB6" s="345"/>
      <c r="AC6" s="345"/>
      <c r="AD6" s="345"/>
      <c r="AE6" s="345"/>
      <c r="AF6" s="345"/>
      <c r="AG6" s="345"/>
      <c r="AH6" s="345"/>
      <c r="AI6" s="345"/>
      <c r="AJ6" s="345"/>
      <c r="AK6" s="345"/>
      <c r="AL6" s="345"/>
      <c r="AM6" s="345"/>
      <c r="AN6" s="345"/>
      <c r="AO6" s="345"/>
      <c r="AP6" s="345"/>
      <c r="AQ6" s="345"/>
      <c r="AR6" s="345"/>
      <c r="AS6" s="345"/>
      <c r="AT6" s="345"/>
      <c r="AU6" s="345"/>
    </row>
    <row r="7" spans="1:47" ht="13.5" customHeight="1" thickBot="1" x14ac:dyDescent="0.25">
      <c r="A7" s="2496"/>
      <c r="B7" s="2497"/>
      <c r="C7" s="2492" t="s">
        <v>2105</v>
      </c>
      <c r="D7" s="519" t="s">
        <v>2106</v>
      </c>
      <c r="E7" s="519"/>
      <c r="F7" s="519" t="s">
        <v>1756</v>
      </c>
      <c r="G7" s="520" t="s">
        <v>575</v>
      </c>
      <c r="I7" s="2553" t="s">
        <v>494</v>
      </c>
      <c r="J7" s="519"/>
      <c r="K7" s="519" t="s">
        <v>1756</v>
      </c>
      <c r="L7" s="520" t="s">
        <v>575</v>
      </c>
      <c r="M7" s="347"/>
      <c r="N7" s="347"/>
      <c r="O7" s="347"/>
      <c r="P7" s="347"/>
      <c r="Q7" s="347"/>
      <c r="R7" s="347"/>
      <c r="S7" s="347"/>
      <c r="T7" s="347"/>
      <c r="U7" s="346"/>
      <c r="V7" s="345"/>
      <c r="W7" s="345"/>
      <c r="X7" s="345"/>
      <c r="Y7" s="345"/>
      <c r="Z7" s="345"/>
      <c r="AA7" s="345"/>
      <c r="AB7" s="345"/>
      <c r="AC7" s="345"/>
      <c r="AD7" s="345"/>
      <c r="AE7" s="345"/>
      <c r="AF7" s="345"/>
      <c r="AG7" s="345"/>
      <c r="AH7" s="345"/>
      <c r="AI7" s="345"/>
      <c r="AJ7" s="345"/>
      <c r="AK7" s="345"/>
      <c r="AL7" s="345"/>
      <c r="AM7" s="345"/>
      <c r="AN7" s="345"/>
      <c r="AO7" s="345"/>
      <c r="AP7" s="345"/>
      <c r="AQ7" s="345"/>
      <c r="AR7" s="345"/>
      <c r="AS7" s="345"/>
      <c r="AT7" s="345"/>
      <c r="AU7" s="345"/>
    </row>
    <row r="8" spans="1:47" ht="15" customHeight="1" x14ac:dyDescent="0.2">
      <c r="A8" s="2554" t="s">
        <v>125</v>
      </c>
      <c r="B8" s="346"/>
      <c r="C8" s="2510"/>
      <c r="D8" s="346"/>
      <c r="E8" s="346"/>
      <c r="F8" s="346"/>
      <c r="G8" s="2502"/>
      <c r="I8" s="2510"/>
      <c r="J8" s="346"/>
      <c r="K8" s="346"/>
      <c r="L8" s="2502"/>
      <c r="M8" s="346"/>
      <c r="N8" s="345"/>
      <c r="O8" s="345"/>
      <c r="P8" s="345"/>
      <c r="Q8" s="345"/>
      <c r="R8" s="345"/>
      <c r="S8" s="345"/>
      <c r="T8" s="345"/>
      <c r="U8" s="346"/>
      <c r="V8" s="345"/>
      <c r="W8" s="345"/>
      <c r="X8" s="345"/>
      <c r="Y8" s="345"/>
      <c r="Z8" s="345"/>
      <c r="AA8" s="345"/>
      <c r="AB8" s="345"/>
      <c r="AC8" s="345"/>
      <c r="AD8" s="345"/>
      <c r="AE8" s="345"/>
      <c r="AF8" s="345"/>
      <c r="AG8" s="345"/>
      <c r="AH8" s="345"/>
      <c r="AI8" s="345"/>
      <c r="AJ8" s="345"/>
      <c r="AK8" s="345"/>
      <c r="AL8" s="345"/>
      <c r="AM8" s="345"/>
      <c r="AN8" s="345"/>
      <c r="AO8" s="345"/>
      <c r="AP8" s="345"/>
      <c r="AQ8" s="345"/>
      <c r="AR8" s="345"/>
      <c r="AS8" s="345"/>
      <c r="AT8" s="345"/>
      <c r="AU8" s="345"/>
    </row>
    <row r="9" spans="1:47" ht="15" customHeight="1" x14ac:dyDescent="0.2">
      <c r="A9" s="2285" t="s">
        <v>165</v>
      </c>
      <c r="B9" s="346"/>
      <c r="C9" s="2513">
        <f>C54</f>
        <v>452</v>
      </c>
      <c r="D9" s="2526">
        <f>D54</f>
        <v>407</v>
      </c>
      <c r="E9" s="532"/>
      <c r="F9" s="2526">
        <f>C9-D9</f>
        <v>45</v>
      </c>
      <c r="G9" s="1151">
        <f>IF(D9=0,0,C9/D9-1)</f>
        <v>0.11056511056511065</v>
      </c>
      <c r="I9" s="2540">
        <v>452.79493394240933</v>
      </c>
      <c r="J9" s="532"/>
      <c r="K9" s="2526">
        <f>C9-I9</f>
        <v>-0.79493394240932957</v>
      </c>
      <c r="L9" s="1151">
        <f>IF(I9=0,"NM",C9/I9-1)</f>
        <v>-1.7556158049030213E-3</v>
      </c>
      <c r="M9" s="346"/>
      <c r="N9" s="345"/>
      <c r="O9" s="345"/>
      <c r="P9" s="345"/>
      <c r="Q9" s="345"/>
      <c r="R9" s="345"/>
      <c r="S9" s="345"/>
      <c r="T9" s="345"/>
      <c r="U9" s="346"/>
      <c r="V9" s="345"/>
      <c r="W9" s="345"/>
      <c r="X9" s="345"/>
      <c r="Y9" s="345"/>
      <c r="Z9" s="345"/>
      <c r="AA9" s="345"/>
      <c r="AB9" s="345"/>
      <c r="AC9" s="345"/>
      <c r="AD9" s="345"/>
      <c r="AE9" s="345"/>
      <c r="AF9" s="345"/>
      <c r="AG9" s="345"/>
      <c r="AH9" s="345"/>
      <c r="AI9" s="345"/>
      <c r="AJ9" s="345"/>
      <c r="AK9" s="345"/>
      <c r="AL9" s="345"/>
      <c r="AM9" s="345"/>
      <c r="AN9" s="345"/>
      <c r="AO9" s="345"/>
      <c r="AP9" s="345"/>
      <c r="AQ9" s="345"/>
      <c r="AR9" s="345"/>
      <c r="AS9" s="345"/>
      <c r="AT9" s="345"/>
      <c r="AU9" s="345"/>
    </row>
    <row r="10" spans="1:47" ht="15" customHeight="1" x14ac:dyDescent="0.2">
      <c r="A10" s="2285" t="s">
        <v>2121</v>
      </c>
      <c r="B10" s="346"/>
      <c r="C10" s="2511">
        <f>+MAR!CB11</f>
        <v>269</v>
      </c>
      <c r="D10" s="2527">
        <f>+MAR!BW11</f>
        <v>246</v>
      </c>
      <c r="E10" s="2139"/>
      <c r="F10" s="2527">
        <f>C10-D10</f>
        <v>23</v>
      </c>
      <c r="G10" s="1151">
        <f>IF(D10=0,0,C10/D10-1)</f>
        <v>9.3495934959349603E-2</v>
      </c>
      <c r="I10" s="2541">
        <v>275.52000000000004</v>
      </c>
      <c r="J10" s="1404"/>
      <c r="K10" s="2527">
        <f>C10-I10</f>
        <v>-6.5200000000000387</v>
      </c>
      <c r="L10" s="1151">
        <f>IF(I10=0,"NM",C10/I10-1)</f>
        <v>-2.3664343786295117E-2</v>
      </c>
      <c r="M10" s="346"/>
      <c r="N10" s="345"/>
      <c r="O10" s="345"/>
      <c r="P10" s="345"/>
      <c r="Q10" s="345"/>
      <c r="R10" s="345"/>
      <c r="S10" s="345"/>
      <c r="T10" s="345"/>
      <c r="U10" s="346"/>
      <c r="V10" s="345"/>
      <c r="W10" s="345"/>
      <c r="X10" s="345"/>
      <c r="Y10" s="345"/>
      <c r="Z10" s="345"/>
      <c r="AA10" s="345"/>
      <c r="AB10" s="345"/>
      <c r="AC10" s="345"/>
      <c r="AD10" s="345"/>
      <c r="AE10" s="345"/>
      <c r="AF10" s="345"/>
      <c r="AG10" s="345"/>
      <c r="AH10" s="345"/>
      <c r="AI10" s="345"/>
      <c r="AJ10" s="345"/>
      <c r="AK10" s="345"/>
      <c r="AL10" s="345"/>
      <c r="AM10" s="345"/>
      <c r="AN10" s="345"/>
      <c r="AO10" s="345"/>
      <c r="AP10" s="345"/>
      <c r="AQ10" s="345"/>
      <c r="AR10" s="345"/>
      <c r="AS10" s="345"/>
      <c r="AT10" s="345"/>
      <c r="AU10" s="345"/>
    </row>
    <row r="11" spans="1:47" ht="15" customHeight="1" x14ac:dyDescent="0.2">
      <c r="A11" s="355" t="s">
        <v>1614</v>
      </c>
      <c r="B11" s="356"/>
      <c r="C11" s="2514">
        <f>SUM(C9:C10)</f>
        <v>721</v>
      </c>
      <c r="D11" s="2528">
        <f>SUM(D9:D10)</f>
        <v>653</v>
      </c>
      <c r="E11" s="2528"/>
      <c r="F11" s="2528">
        <f>SUM(F9:F10)</f>
        <v>68</v>
      </c>
      <c r="G11" s="2503">
        <f>IF(D11=0,0,C11/D11-1)</f>
        <v>0.10413476263399701</v>
      </c>
      <c r="I11" s="2514">
        <f>SUM(I9:I10)</f>
        <v>728.31493394240943</v>
      </c>
      <c r="J11" s="488"/>
      <c r="K11" s="2528">
        <f>SUM(K9:K10)</f>
        <v>-7.3149339424093682</v>
      </c>
      <c r="L11" s="2503">
        <f>C11/I11-1</f>
        <v>-1.0043641289645522E-2</v>
      </c>
      <c r="M11" s="346"/>
      <c r="N11" s="346"/>
      <c r="O11" s="346"/>
      <c r="P11" s="346"/>
      <c r="Q11" s="346"/>
      <c r="R11" s="346"/>
      <c r="S11" s="346"/>
      <c r="T11" s="346"/>
      <c r="U11" s="346"/>
      <c r="V11" s="345"/>
      <c r="W11" s="345"/>
      <c r="X11" s="345"/>
      <c r="Y11" s="345"/>
      <c r="Z11" s="345"/>
      <c r="AA11" s="345"/>
      <c r="AB11" s="345"/>
      <c r="AC11" s="345"/>
      <c r="AD11" s="345"/>
      <c r="AE11" s="345"/>
      <c r="AF11" s="345"/>
      <c r="AG11" s="345"/>
      <c r="AH11" s="345"/>
      <c r="AI11" s="345"/>
      <c r="AJ11" s="345"/>
      <c r="AK11" s="345"/>
      <c r="AL11" s="345"/>
      <c r="AM11" s="345"/>
      <c r="AN11" s="345"/>
      <c r="AO11" s="345"/>
      <c r="AP11" s="345"/>
      <c r="AQ11" s="345"/>
      <c r="AR11" s="345"/>
      <c r="AS11" s="345"/>
      <c r="AT11" s="345"/>
      <c r="AU11" s="345"/>
    </row>
    <row r="12" spans="1:47" ht="13.5" customHeight="1" x14ac:dyDescent="0.2">
      <c r="A12" s="501"/>
      <c r="B12" s="346"/>
      <c r="C12" s="2513"/>
      <c r="D12" s="2526"/>
      <c r="E12" s="532"/>
      <c r="F12" s="2526"/>
      <c r="G12" s="2504"/>
      <c r="I12" s="2513"/>
      <c r="J12" s="532"/>
      <c r="K12" s="2526"/>
      <c r="L12" s="2504"/>
      <c r="M12" s="346"/>
      <c r="N12" s="346"/>
      <c r="O12" s="346"/>
      <c r="P12" s="346"/>
      <c r="Q12" s="346"/>
      <c r="R12" s="346"/>
      <c r="S12" s="346"/>
      <c r="T12" s="346"/>
      <c r="U12" s="346"/>
      <c r="V12" s="345"/>
      <c r="W12" s="345"/>
      <c r="X12" s="345"/>
      <c r="Y12" s="345"/>
      <c r="Z12" s="345"/>
      <c r="AA12" s="345"/>
      <c r="AB12" s="345"/>
      <c r="AC12" s="345"/>
      <c r="AD12" s="345"/>
      <c r="AE12" s="345"/>
      <c r="AF12" s="345"/>
      <c r="AG12" s="345"/>
      <c r="AH12" s="345"/>
      <c r="AI12" s="345"/>
      <c r="AJ12" s="345"/>
      <c r="AK12" s="345"/>
      <c r="AL12" s="345"/>
      <c r="AM12" s="345"/>
      <c r="AN12" s="345"/>
      <c r="AO12" s="345"/>
      <c r="AP12" s="345"/>
      <c r="AQ12" s="345"/>
      <c r="AR12" s="345"/>
      <c r="AS12" s="345"/>
      <c r="AT12" s="345"/>
      <c r="AU12" s="345"/>
    </row>
    <row r="13" spans="1:47" ht="15" customHeight="1" x14ac:dyDescent="0.2">
      <c r="A13" s="502" t="s">
        <v>1913</v>
      </c>
      <c r="B13" s="346"/>
      <c r="C13" s="2513"/>
      <c r="D13" s="2526"/>
      <c r="E13" s="532"/>
      <c r="F13" s="2526"/>
      <c r="G13" s="2504"/>
      <c r="I13" s="2513"/>
      <c r="J13" s="532"/>
      <c r="K13" s="2526"/>
      <c r="L13" s="2504"/>
      <c r="M13" s="346"/>
      <c r="N13" s="346"/>
      <c r="O13" s="346"/>
      <c r="P13" s="346"/>
      <c r="Q13" s="346"/>
      <c r="R13" s="346"/>
      <c r="S13" s="346"/>
      <c r="T13" s="346"/>
      <c r="U13" s="346"/>
      <c r="V13" s="345"/>
      <c r="W13" s="345"/>
      <c r="X13" s="345"/>
      <c r="Y13" s="345"/>
      <c r="Z13" s="345"/>
      <c r="AA13" s="345"/>
      <c r="AB13" s="345"/>
      <c r="AC13" s="345"/>
      <c r="AD13" s="345"/>
      <c r="AE13" s="345"/>
      <c r="AF13" s="345"/>
      <c r="AG13" s="345"/>
      <c r="AH13" s="345"/>
      <c r="AI13" s="345"/>
      <c r="AJ13" s="345"/>
      <c r="AK13" s="345"/>
      <c r="AL13" s="345"/>
      <c r="AM13" s="345"/>
      <c r="AN13" s="345"/>
      <c r="AO13" s="345"/>
      <c r="AP13" s="345"/>
      <c r="AQ13" s="345"/>
      <c r="AR13" s="345"/>
      <c r="AS13" s="345"/>
      <c r="AT13" s="345"/>
      <c r="AU13" s="345"/>
    </row>
    <row r="14" spans="1:47" ht="15" customHeight="1" x14ac:dyDescent="0.2">
      <c r="A14" s="2295" t="s">
        <v>2119</v>
      </c>
      <c r="B14" s="346"/>
      <c r="C14" s="2511">
        <f>+MAR!CB26</f>
        <v>199</v>
      </c>
      <c r="D14" s="2531">
        <f>+MAR!BW26</f>
        <v>181</v>
      </c>
      <c r="E14" s="528"/>
      <c r="F14" s="2531">
        <f>C14-D14</f>
        <v>18</v>
      </c>
      <c r="G14" s="1151">
        <f>IF(D14=0,0,C14/D14-1)</f>
        <v>9.9447513812154664E-2</v>
      </c>
      <c r="I14" s="2541">
        <v>209.95999999999998</v>
      </c>
      <c r="J14" s="532"/>
      <c r="K14" s="2527">
        <f>C14-I14</f>
        <v>-10.95999999999998</v>
      </c>
      <c r="L14" s="1151">
        <f>IF(I14=0,"NM",C14/I14-1)</f>
        <v>-5.2200419127452768E-2</v>
      </c>
      <c r="M14" s="346"/>
      <c r="N14" s="346"/>
      <c r="O14" s="346"/>
      <c r="P14" s="346"/>
      <c r="Q14" s="346"/>
      <c r="R14" s="346"/>
      <c r="S14" s="346"/>
      <c r="T14" s="346"/>
      <c r="U14" s="346"/>
      <c r="V14" s="345"/>
      <c r="W14" s="345"/>
      <c r="X14" s="345"/>
      <c r="Y14" s="345"/>
      <c r="Z14" s="345"/>
      <c r="AA14" s="345"/>
      <c r="AB14" s="345"/>
      <c r="AC14" s="345"/>
      <c r="AD14" s="345"/>
      <c r="AE14" s="345"/>
      <c r="AF14" s="345"/>
      <c r="AG14" s="345"/>
      <c r="AH14" s="345"/>
      <c r="AI14" s="345"/>
      <c r="AJ14" s="345"/>
      <c r="AK14" s="345"/>
      <c r="AL14" s="345"/>
      <c r="AM14" s="345"/>
      <c r="AN14" s="345"/>
      <c r="AO14" s="345"/>
      <c r="AP14" s="345"/>
      <c r="AQ14" s="345"/>
      <c r="AR14" s="345"/>
      <c r="AS14" s="345"/>
      <c r="AT14" s="345"/>
      <c r="AU14" s="345"/>
    </row>
    <row r="15" spans="1:47" ht="15" customHeight="1" x14ac:dyDescent="0.2">
      <c r="A15" s="2295" t="s">
        <v>2120</v>
      </c>
      <c r="B15" s="346"/>
      <c r="C15" s="2511">
        <f>+MAR!CB29</f>
        <v>159</v>
      </c>
      <c r="D15" s="2527">
        <f>+MAR!BW29</f>
        <v>160</v>
      </c>
      <c r="E15" s="532"/>
      <c r="F15" s="2527">
        <f>C15-D15</f>
        <v>-1</v>
      </c>
      <c r="G15" s="1151">
        <f>IF(D15=0,0,C15/D15-1)</f>
        <v>-6.2499999999999778E-3</v>
      </c>
      <c r="I15" s="2541">
        <v>168</v>
      </c>
      <c r="J15" s="532"/>
      <c r="K15" s="2527">
        <f>C15-I15</f>
        <v>-9</v>
      </c>
      <c r="L15" s="1151">
        <f>IF(I15=0,"NM",C15/I15-1)</f>
        <v>-5.3571428571428603E-2</v>
      </c>
      <c r="M15" s="346"/>
      <c r="N15" s="346"/>
      <c r="O15" s="346"/>
      <c r="P15" s="346"/>
      <c r="Q15" s="346"/>
      <c r="R15" s="346"/>
      <c r="S15" s="346"/>
      <c r="T15" s="346"/>
      <c r="U15" s="346"/>
      <c r="V15" s="345"/>
      <c r="W15" s="345"/>
      <c r="X15" s="345"/>
      <c r="Y15" s="345"/>
      <c r="Z15" s="345"/>
      <c r="AA15" s="345"/>
      <c r="AB15" s="345"/>
      <c r="AC15" s="345"/>
      <c r="AD15" s="345"/>
      <c r="AE15" s="345"/>
      <c r="AF15" s="345"/>
      <c r="AG15" s="345"/>
      <c r="AH15" s="345"/>
      <c r="AI15" s="345"/>
      <c r="AJ15" s="345"/>
      <c r="AK15" s="345"/>
      <c r="AL15" s="345"/>
      <c r="AM15" s="345"/>
      <c r="AN15" s="345"/>
      <c r="AO15" s="345"/>
      <c r="AP15" s="345"/>
      <c r="AQ15" s="345"/>
      <c r="AR15" s="345"/>
      <c r="AS15" s="345"/>
      <c r="AT15" s="345"/>
      <c r="AU15" s="345"/>
    </row>
    <row r="16" spans="1:47" ht="15" customHeight="1" x14ac:dyDescent="0.2">
      <c r="A16" s="507" t="s">
        <v>2247</v>
      </c>
      <c r="B16" s="346"/>
      <c r="C16" s="2511">
        <f>+MAR!CB30</f>
        <v>47</v>
      </c>
      <c r="D16" s="2527">
        <f>+MAR!BW30</f>
        <v>33</v>
      </c>
      <c r="E16" s="532"/>
      <c r="F16" s="2527">
        <f>C16-D16</f>
        <v>14</v>
      </c>
      <c r="G16" s="1151">
        <f>IF(D16=0,0,C16/D16-1)</f>
        <v>0.42424242424242431</v>
      </c>
      <c r="I16" s="2541">
        <v>30</v>
      </c>
      <c r="J16" s="532"/>
      <c r="K16" s="2527">
        <f>C16-I16</f>
        <v>17</v>
      </c>
      <c r="L16" s="505">
        <f>IF(I16=0,"NM",C16/I16-1)</f>
        <v>0.56666666666666665</v>
      </c>
      <c r="M16" s="346"/>
      <c r="N16" s="346"/>
      <c r="O16" s="346"/>
      <c r="P16" s="346"/>
      <c r="Q16" s="346"/>
      <c r="R16" s="346"/>
      <c r="S16" s="346"/>
      <c r="T16" s="346"/>
      <c r="U16" s="346"/>
      <c r="V16" s="345"/>
      <c r="W16" s="345"/>
      <c r="X16" s="345"/>
      <c r="Y16" s="345"/>
      <c r="Z16" s="345"/>
      <c r="AA16" s="345"/>
      <c r="AB16" s="345"/>
      <c r="AC16" s="345"/>
      <c r="AD16" s="345"/>
      <c r="AE16" s="345"/>
      <c r="AF16" s="345"/>
      <c r="AG16" s="345"/>
      <c r="AH16" s="345"/>
      <c r="AI16" s="345"/>
      <c r="AJ16" s="345"/>
      <c r="AK16" s="345"/>
      <c r="AL16" s="345"/>
      <c r="AM16" s="345"/>
      <c r="AN16" s="345"/>
      <c r="AO16" s="345"/>
      <c r="AP16" s="345"/>
      <c r="AQ16" s="345"/>
      <c r="AR16" s="345"/>
      <c r="AS16" s="345"/>
      <c r="AT16" s="345"/>
      <c r="AU16" s="345"/>
    </row>
    <row r="17" spans="1:47" ht="15" customHeight="1" x14ac:dyDescent="0.2">
      <c r="A17" s="2486" t="s">
        <v>1913</v>
      </c>
      <c r="B17" s="2487"/>
      <c r="C17" s="2525">
        <f>SUM(C14:C16)</f>
        <v>405</v>
      </c>
      <c r="D17" s="2529">
        <f>SUM(D14:D16)</f>
        <v>374</v>
      </c>
      <c r="E17" s="2529"/>
      <c r="F17" s="2560">
        <f>SUM(F14:F16)</f>
        <v>31</v>
      </c>
      <c r="G17" s="2543">
        <f>IF(D17=0,0,C17/D17-1)</f>
        <v>8.2887700534759468E-2</v>
      </c>
      <c r="I17" s="2525">
        <f>SUM(I14:I16)</f>
        <v>407.96</v>
      </c>
      <c r="J17" s="2488"/>
      <c r="K17" s="2529">
        <f>SUM(K14:K16)</f>
        <v>-2.9599999999999795</v>
      </c>
      <c r="L17" s="2543">
        <f>IF(I17=0,"NM",C17/I17-1)</f>
        <v>-7.2556132954210151E-3</v>
      </c>
      <c r="M17" s="346"/>
      <c r="N17" s="346"/>
      <c r="O17" s="346"/>
      <c r="P17" s="346"/>
      <c r="Q17" s="346"/>
      <c r="R17" s="346"/>
      <c r="S17" s="346"/>
      <c r="T17" s="346"/>
      <c r="U17" s="346"/>
      <c r="V17" s="345"/>
      <c r="W17" s="345"/>
      <c r="X17" s="345"/>
      <c r="Y17" s="345"/>
      <c r="Z17" s="345"/>
      <c r="AA17" s="345"/>
      <c r="AB17" s="345"/>
      <c r="AC17" s="345"/>
      <c r="AD17" s="345"/>
      <c r="AE17" s="345"/>
      <c r="AF17" s="345"/>
      <c r="AG17" s="345"/>
      <c r="AH17" s="345"/>
      <c r="AI17" s="345"/>
      <c r="AJ17" s="345"/>
      <c r="AK17" s="345"/>
      <c r="AL17" s="345"/>
      <c r="AM17" s="345"/>
      <c r="AN17" s="345"/>
      <c r="AO17" s="345"/>
      <c r="AP17" s="345"/>
      <c r="AQ17" s="345"/>
      <c r="AR17" s="345"/>
      <c r="AS17" s="345"/>
      <c r="AT17" s="345"/>
      <c r="AU17" s="345"/>
    </row>
    <row r="18" spans="1:47" ht="13.5" customHeight="1" x14ac:dyDescent="0.2">
      <c r="A18" s="507"/>
      <c r="B18" s="346"/>
      <c r="C18" s="2513"/>
      <c r="D18" s="2526"/>
      <c r="E18" s="532"/>
      <c r="F18" s="2526"/>
      <c r="G18" s="2504"/>
      <c r="I18" s="2513"/>
      <c r="J18" s="532"/>
      <c r="K18" s="2526"/>
      <c r="L18" s="2504"/>
      <c r="M18" s="346"/>
      <c r="N18" s="346"/>
      <c r="O18" s="346"/>
      <c r="P18" s="346"/>
      <c r="Q18" s="346"/>
      <c r="R18" s="346"/>
      <c r="S18" s="346"/>
      <c r="T18" s="346"/>
      <c r="U18" s="346"/>
      <c r="V18" s="345"/>
      <c r="W18" s="345"/>
      <c r="X18" s="345"/>
      <c r="Y18" s="345"/>
      <c r="Z18" s="345"/>
      <c r="AA18" s="345"/>
      <c r="AB18" s="345"/>
      <c r="AC18" s="345"/>
      <c r="AD18" s="345"/>
      <c r="AE18" s="345"/>
      <c r="AF18" s="345"/>
      <c r="AG18" s="345"/>
      <c r="AH18" s="345"/>
      <c r="AI18" s="345"/>
      <c r="AJ18" s="345"/>
      <c r="AK18" s="345"/>
      <c r="AL18" s="345"/>
      <c r="AM18" s="345"/>
      <c r="AN18" s="345"/>
      <c r="AO18" s="345"/>
      <c r="AP18" s="345"/>
      <c r="AQ18" s="345"/>
      <c r="AR18" s="345"/>
      <c r="AS18" s="345"/>
      <c r="AT18" s="345"/>
      <c r="AU18" s="345"/>
    </row>
    <row r="19" spans="1:47" ht="15" customHeight="1" x14ac:dyDescent="0.2">
      <c r="A19" s="508" t="s">
        <v>1343</v>
      </c>
      <c r="B19" s="362"/>
      <c r="C19" s="2515">
        <f>C11-C17</f>
        <v>316</v>
      </c>
      <c r="D19" s="2530">
        <f>D11-D17</f>
        <v>279</v>
      </c>
      <c r="E19" s="364"/>
      <c r="F19" s="2530">
        <f>C19-D19</f>
        <v>37</v>
      </c>
      <c r="G19" s="2505">
        <f>IF(D19=0,0,C19/D19-1)</f>
        <v>0.13261648745519716</v>
      </c>
      <c r="I19" s="2515">
        <f>I11-I17</f>
        <v>320.35493394240945</v>
      </c>
      <c r="J19" s="2530"/>
      <c r="K19" s="2530">
        <f>C19-I19</f>
        <v>-4.3549339424094455</v>
      </c>
      <c r="L19" s="2505">
        <f>IF(I19=0,"NM",C19/I19-1)</f>
        <v>-1.3594090432183958E-2</v>
      </c>
      <c r="M19" s="362"/>
      <c r="N19" s="1144">
        <v>229.36</v>
      </c>
      <c r="O19" s="1144"/>
      <c r="P19" s="362"/>
      <c r="Q19" s="362"/>
      <c r="R19" s="362"/>
      <c r="S19" s="362"/>
      <c r="T19" s="362"/>
      <c r="U19" s="362"/>
      <c r="V19" s="344"/>
      <c r="W19" s="344"/>
      <c r="X19" s="344"/>
      <c r="Y19" s="344"/>
      <c r="Z19" s="344"/>
      <c r="AA19" s="344"/>
      <c r="AB19" s="344"/>
      <c r="AC19" s="344"/>
      <c r="AD19" s="344"/>
      <c r="AE19" s="344"/>
      <c r="AF19" s="344"/>
      <c r="AG19" s="344"/>
      <c r="AH19" s="344"/>
      <c r="AI19" s="344"/>
      <c r="AJ19" s="344"/>
      <c r="AK19" s="344"/>
      <c r="AL19" s="344"/>
      <c r="AM19" s="344"/>
      <c r="AN19" s="344"/>
      <c r="AO19" s="344"/>
      <c r="AP19" s="344"/>
      <c r="AQ19" s="344"/>
      <c r="AR19" s="344"/>
      <c r="AS19" s="344"/>
      <c r="AT19" s="344"/>
      <c r="AU19" s="344"/>
    </row>
    <row r="20" spans="1:47" ht="13.5" customHeight="1" x14ac:dyDescent="0.2">
      <c r="A20" s="508"/>
      <c r="B20" s="346"/>
      <c r="C20" s="2515"/>
      <c r="D20" s="2530"/>
      <c r="E20" s="532"/>
      <c r="F20" s="2530"/>
      <c r="G20" s="2504"/>
      <c r="I20" s="2515"/>
      <c r="J20" s="532"/>
      <c r="K20" s="2530"/>
      <c r="L20" s="2504"/>
      <c r="M20" s="346"/>
      <c r="N20" s="346"/>
      <c r="O20" s="346"/>
      <c r="P20" s="346"/>
      <c r="Q20" s="346"/>
      <c r="R20" s="346"/>
      <c r="S20" s="346"/>
      <c r="T20" s="346"/>
      <c r="U20" s="346"/>
      <c r="V20" s="345"/>
      <c r="W20" s="345"/>
      <c r="X20" s="345"/>
      <c r="Y20" s="345"/>
      <c r="Z20" s="345"/>
      <c r="AA20" s="345"/>
      <c r="AB20" s="345"/>
      <c r="AC20" s="345"/>
      <c r="AD20" s="345"/>
      <c r="AE20" s="345"/>
      <c r="AF20" s="345"/>
      <c r="AG20" s="345"/>
      <c r="AH20" s="345"/>
      <c r="AI20" s="345"/>
      <c r="AJ20" s="345"/>
      <c r="AK20" s="345"/>
      <c r="AL20" s="345"/>
      <c r="AM20" s="345"/>
      <c r="AN20" s="345"/>
      <c r="AO20" s="345"/>
      <c r="AP20" s="345"/>
      <c r="AQ20" s="345"/>
      <c r="AR20" s="345"/>
      <c r="AS20" s="345"/>
      <c r="AT20" s="345"/>
      <c r="AU20" s="345"/>
    </row>
    <row r="21" spans="1:47" ht="15" customHeight="1" x14ac:dyDescent="0.2">
      <c r="A21" s="2295" t="s">
        <v>70</v>
      </c>
      <c r="B21" s="346"/>
      <c r="C21" s="2511">
        <f>+MAR!CB39</f>
        <v>-30</v>
      </c>
      <c r="D21" s="2527">
        <f>+MAR!BW39</f>
        <v>-29</v>
      </c>
      <c r="E21" s="532"/>
      <c r="F21" s="2527">
        <f>C21-D21</f>
        <v>-1</v>
      </c>
      <c r="G21" s="1151">
        <f>IF(D21=0,0,C21/D21-1)</f>
        <v>3.4482758620689724E-2</v>
      </c>
      <c r="I21" s="2541">
        <v>-29.23805709127457</v>
      </c>
      <c r="J21" s="532"/>
      <c r="K21" s="2527">
        <f>C21-I21</f>
        <v>-0.76194290872543036</v>
      </c>
      <c r="L21" s="1151">
        <f>IF(I21=0,"NM",C21/I21-1)</f>
        <v>2.6059970617979822E-2</v>
      </c>
      <c r="M21" s="346"/>
      <c r="N21" s="346"/>
      <c r="O21" s="346"/>
      <c r="P21" s="346"/>
      <c r="Q21" s="346"/>
      <c r="R21" s="346"/>
      <c r="S21" s="346"/>
      <c r="T21" s="346"/>
      <c r="U21" s="346"/>
      <c r="V21" s="345"/>
      <c r="W21" s="345"/>
      <c r="X21" s="345"/>
      <c r="Y21" s="345"/>
      <c r="Z21" s="345"/>
      <c r="AA21" s="345"/>
      <c r="AB21" s="345"/>
      <c r="AC21" s="345"/>
      <c r="AD21" s="345"/>
      <c r="AE21" s="345"/>
      <c r="AF21" s="345"/>
      <c r="AG21" s="345"/>
      <c r="AH21" s="345"/>
      <c r="AI21" s="345"/>
      <c r="AJ21" s="345"/>
      <c r="AK21" s="345"/>
      <c r="AL21" s="345"/>
      <c r="AM21" s="345"/>
      <c r="AN21" s="345"/>
      <c r="AO21" s="345"/>
      <c r="AP21" s="345"/>
      <c r="AQ21" s="345"/>
      <c r="AR21" s="345"/>
      <c r="AS21" s="345"/>
      <c r="AT21" s="345"/>
      <c r="AU21" s="345"/>
    </row>
    <row r="22" spans="1:47" ht="15" customHeight="1" x14ac:dyDescent="0.2">
      <c r="A22" s="2295" t="s">
        <v>1555</v>
      </c>
      <c r="B22" s="346"/>
      <c r="C22" s="2511">
        <f>+MAR!CB40</f>
        <v>4</v>
      </c>
      <c r="D22" s="2527">
        <f>+MAR!BW40</f>
        <v>5</v>
      </c>
      <c r="E22" s="532"/>
      <c r="F22" s="2527">
        <f>C22-D22</f>
        <v>-1</v>
      </c>
      <c r="G22" s="1151">
        <f>IF(D22=0,0,C22/D22-1)</f>
        <v>-0.19999999999999996</v>
      </c>
      <c r="I22" s="2541">
        <v>4.641698630136986</v>
      </c>
      <c r="J22" s="532"/>
      <c r="K22" s="2527">
        <f>C22-I22</f>
        <v>-0.64169863013698603</v>
      </c>
      <c r="L22" s="1151">
        <f>IF(I22=0,"NM",C22/I22-1)</f>
        <v>-0.13824650871787603</v>
      </c>
      <c r="M22" s="346"/>
      <c r="N22" s="346"/>
      <c r="O22" s="346"/>
      <c r="P22" s="346"/>
      <c r="Q22" s="346"/>
      <c r="R22" s="346"/>
      <c r="S22" s="346"/>
      <c r="T22" s="346"/>
      <c r="U22" s="346"/>
      <c r="V22" s="345"/>
      <c r="W22" s="345"/>
      <c r="X22" s="345"/>
      <c r="Y22" s="345"/>
      <c r="Z22" s="345"/>
      <c r="AA22" s="345"/>
      <c r="AB22" s="345"/>
      <c r="AC22" s="345"/>
      <c r="AD22" s="345"/>
      <c r="AE22" s="345"/>
      <c r="AF22" s="345"/>
      <c r="AG22" s="345"/>
      <c r="AH22" s="345"/>
      <c r="AI22" s="345"/>
      <c r="AJ22" s="345"/>
      <c r="AK22" s="345"/>
      <c r="AL22" s="345"/>
      <c r="AM22" s="345"/>
      <c r="AN22" s="345"/>
      <c r="AO22" s="345"/>
      <c r="AP22" s="345"/>
      <c r="AQ22" s="345"/>
      <c r="AR22" s="345"/>
      <c r="AS22" s="345"/>
      <c r="AT22" s="345"/>
      <c r="AU22" s="345"/>
    </row>
    <row r="23" spans="1:47" ht="15" customHeight="1" x14ac:dyDescent="0.2">
      <c r="A23" s="2295" t="s">
        <v>1293</v>
      </c>
      <c r="B23" s="346"/>
      <c r="C23" s="2511">
        <f>+MAR!CB38</f>
        <v>3</v>
      </c>
      <c r="D23" s="2527">
        <f>+MAR!BW38</f>
        <v>10</v>
      </c>
      <c r="E23" s="532"/>
      <c r="F23" s="2527">
        <f>C23-D23</f>
        <v>-7</v>
      </c>
      <c r="G23" s="1151">
        <f>IF(D23=0,0,C23/D23-1)</f>
        <v>-0.7</v>
      </c>
      <c r="I23" s="2541">
        <v>0</v>
      </c>
      <c r="J23" s="532"/>
      <c r="K23" s="2527">
        <f>C23-I23</f>
        <v>3</v>
      </c>
      <c r="L23" s="505" t="str">
        <f>IF(I23=0,"NM",C23/I23-1)</f>
        <v>NM</v>
      </c>
      <c r="M23" s="346"/>
      <c r="N23" s="346"/>
      <c r="O23" s="346"/>
      <c r="P23" s="346"/>
      <c r="Q23" s="346"/>
      <c r="R23" s="346"/>
      <c r="S23" s="346"/>
      <c r="T23" s="346"/>
      <c r="U23" s="346"/>
      <c r="V23" s="345"/>
      <c r="W23" s="345"/>
      <c r="X23" s="345"/>
      <c r="Y23" s="345"/>
      <c r="Z23" s="345"/>
      <c r="AA23" s="345"/>
      <c r="AB23" s="345"/>
      <c r="AC23" s="345"/>
      <c r="AD23" s="345"/>
      <c r="AE23" s="345"/>
      <c r="AF23" s="345"/>
      <c r="AG23" s="345"/>
      <c r="AH23" s="345"/>
      <c r="AI23" s="345"/>
      <c r="AJ23" s="345"/>
      <c r="AK23" s="345"/>
      <c r="AL23" s="345"/>
      <c r="AM23" s="345"/>
      <c r="AN23" s="345"/>
      <c r="AO23" s="345"/>
      <c r="AP23" s="345"/>
      <c r="AQ23" s="345"/>
      <c r="AR23" s="345"/>
      <c r="AS23" s="345"/>
      <c r="AT23" s="345"/>
      <c r="AU23" s="345"/>
    </row>
    <row r="24" spans="1:47" ht="15" customHeight="1" x14ac:dyDescent="0.2">
      <c r="A24" s="2295" t="s">
        <v>1294</v>
      </c>
      <c r="B24" s="1132"/>
      <c r="C24" s="2511">
        <f>+MAR!CB42</f>
        <v>-8</v>
      </c>
      <c r="D24" s="2527">
        <f>+MAR!BW42</f>
        <v>-2</v>
      </c>
      <c r="E24" s="532"/>
      <c r="F24" s="2527">
        <f>C24-D24</f>
        <v>-6</v>
      </c>
      <c r="G24" s="1151">
        <f>IF(D24=0,0,C24/D24-1)</f>
        <v>3</v>
      </c>
      <c r="I24" s="2541">
        <v>0</v>
      </c>
      <c r="J24" s="532"/>
      <c r="K24" s="2527">
        <f>C24-I24</f>
        <v>-8</v>
      </c>
      <c r="L24" s="505" t="str">
        <f>IF(I24=0,"NM",C24/I24-1)</f>
        <v>NM</v>
      </c>
      <c r="M24" s="346"/>
      <c r="N24" s="346"/>
      <c r="O24" s="346"/>
      <c r="P24" s="346"/>
      <c r="Q24" s="346"/>
      <c r="R24" s="346"/>
      <c r="S24" s="346"/>
      <c r="T24" s="346"/>
      <c r="U24" s="346"/>
      <c r="V24" s="345"/>
      <c r="W24" s="345"/>
      <c r="X24" s="345"/>
      <c r="Y24" s="345"/>
      <c r="Z24" s="345"/>
      <c r="AA24" s="345"/>
      <c r="AB24" s="345"/>
      <c r="AC24" s="345"/>
      <c r="AD24" s="345"/>
      <c r="AE24" s="345"/>
      <c r="AF24" s="345"/>
      <c r="AG24" s="345"/>
      <c r="AH24" s="345"/>
      <c r="AI24" s="345"/>
      <c r="AJ24" s="345"/>
      <c r="AK24" s="345"/>
      <c r="AL24" s="345"/>
      <c r="AM24" s="345"/>
      <c r="AN24" s="345"/>
      <c r="AO24" s="345"/>
      <c r="AP24" s="345"/>
      <c r="AQ24" s="345"/>
      <c r="AR24" s="345"/>
      <c r="AS24" s="345"/>
      <c r="AT24" s="345"/>
      <c r="AU24" s="345"/>
    </row>
    <row r="25" spans="1:47" ht="15" customHeight="1" x14ac:dyDescent="0.2">
      <c r="A25" s="502" t="s">
        <v>2107</v>
      </c>
      <c r="B25" s="362"/>
      <c r="C25" s="2515">
        <f>C19+SUM(C21:C24)</f>
        <v>285</v>
      </c>
      <c r="D25" s="2530">
        <f>D19+SUM(D21:D24)</f>
        <v>263</v>
      </c>
      <c r="E25" s="364"/>
      <c r="F25" s="2530">
        <f>C25-D25</f>
        <v>22</v>
      </c>
      <c r="G25" s="2505">
        <f>IF(D25=0,0,C25/D25-1)</f>
        <v>8.365019011406849E-2</v>
      </c>
      <c r="I25" s="2515">
        <f>I19+SUM(I21:I24)</f>
        <v>295.75857548127186</v>
      </c>
      <c r="J25" s="364"/>
      <c r="K25" s="2530">
        <f>C25-I25</f>
        <v>-10.758575481271862</v>
      </c>
      <c r="L25" s="2505">
        <f>IF(I25=0,"NM",C25/I25-1)</f>
        <v>-3.6376208073645944E-2</v>
      </c>
      <c r="M25" s="362"/>
      <c r="N25" s="362"/>
      <c r="O25" s="362"/>
      <c r="P25" s="362"/>
      <c r="Q25" s="362"/>
      <c r="R25" s="362"/>
      <c r="S25" s="362"/>
      <c r="T25" s="362"/>
      <c r="U25" s="362"/>
      <c r="V25" s="344"/>
      <c r="W25" s="344"/>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row>
    <row r="26" spans="1:47" ht="13.5" customHeight="1" x14ac:dyDescent="0.2">
      <c r="A26" s="2555"/>
      <c r="B26" s="362"/>
      <c r="C26" s="2516"/>
      <c r="D26" s="996"/>
      <c r="E26" s="2157"/>
      <c r="F26" s="996"/>
      <c r="G26" s="2506"/>
      <c r="I26" s="2516"/>
      <c r="J26" s="364"/>
      <c r="K26" s="996"/>
      <c r="L26" s="2506"/>
      <c r="M26" s="362"/>
      <c r="N26" s="362"/>
      <c r="O26" s="362"/>
      <c r="P26" s="362"/>
      <c r="Q26" s="362"/>
      <c r="R26" s="362"/>
      <c r="S26" s="362"/>
      <c r="T26" s="362"/>
      <c r="U26" s="362"/>
      <c r="V26" s="344"/>
      <c r="W26" s="344"/>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row>
    <row r="27" spans="1:47" ht="15" customHeight="1" x14ac:dyDescent="0.2">
      <c r="A27" s="2295" t="s">
        <v>643</v>
      </c>
      <c r="B27" s="1132"/>
      <c r="C27" s="2517">
        <f>+MAR!CB48</f>
        <v>-93</v>
      </c>
      <c r="D27" s="2531">
        <f>+MAR!BW48</f>
        <v>-84</v>
      </c>
      <c r="E27" s="2155"/>
      <c r="F27" s="2531">
        <f>C27-D27</f>
        <v>-9</v>
      </c>
      <c r="G27" s="1151">
        <f t="shared" ref="G27:G34" si="0">IF(D27=0,0,C27/D27-1)</f>
        <v>0.10714285714285721</v>
      </c>
      <c r="I27" s="2541">
        <v>-94.642744154006976</v>
      </c>
      <c r="J27" s="2145"/>
      <c r="K27" s="2531">
        <f>C27-I27</f>
        <v>1.6427441540069765</v>
      </c>
      <c r="L27" s="1151">
        <f>IF(I27=0,"NM",C27/I27-1)</f>
        <v>-1.7357317443520315E-2</v>
      </c>
      <c r="M27" s="346"/>
      <c r="N27" s="346"/>
      <c r="O27" s="346"/>
      <c r="P27" s="1406"/>
      <c r="Q27" s="346"/>
      <c r="R27" s="346"/>
      <c r="S27" s="346"/>
      <c r="T27" s="346"/>
      <c r="U27" s="346"/>
      <c r="V27" s="345"/>
      <c r="W27" s="345"/>
      <c r="X27" s="345"/>
      <c r="Y27" s="345"/>
      <c r="Z27" s="345"/>
      <c r="AA27" s="345"/>
      <c r="AB27" s="345"/>
      <c r="AC27" s="345"/>
      <c r="AD27" s="345"/>
      <c r="AE27" s="345"/>
      <c r="AF27" s="345"/>
      <c r="AG27" s="345"/>
      <c r="AH27" s="345"/>
      <c r="AI27" s="345"/>
      <c r="AJ27" s="345"/>
      <c r="AK27" s="345"/>
      <c r="AL27" s="345"/>
      <c r="AM27" s="345"/>
      <c r="AN27" s="345"/>
      <c r="AO27" s="345"/>
      <c r="AP27" s="345"/>
      <c r="AQ27" s="345"/>
      <c r="AR27" s="345"/>
      <c r="AS27" s="345"/>
      <c r="AT27" s="345"/>
      <c r="AU27" s="345"/>
    </row>
    <row r="28" spans="1:47" ht="15" customHeight="1" x14ac:dyDescent="0.2">
      <c r="A28" s="2486" t="s">
        <v>2115</v>
      </c>
      <c r="B28" s="2487"/>
      <c r="C28" s="2525">
        <f>C25+C27</f>
        <v>192</v>
      </c>
      <c r="D28" s="2529">
        <f>D25+D27</f>
        <v>179</v>
      </c>
      <c r="E28" s="2529"/>
      <c r="F28" s="2560">
        <f>SUM(F25:F27)</f>
        <v>13</v>
      </c>
      <c r="G28" s="2543">
        <f t="shared" si="0"/>
        <v>7.2625698324022325E-2</v>
      </c>
      <c r="I28" s="2525">
        <f>I25+I27</f>
        <v>201.11583132726489</v>
      </c>
      <c r="J28" s="2488"/>
      <c r="K28" s="2529">
        <f>C28-I28</f>
        <v>-9.1158313272648854</v>
      </c>
      <c r="L28" s="2543">
        <f>IF(I28=0,"NM",C28/I28-1)</f>
        <v>-4.5326274252528553E-2</v>
      </c>
      <c r="M28" s="362"/>
      <c r="N28" s="362"/>
      <c r="O28" s="362"/>
      <c r="P28" s="2156"/>
      <c r="Q28" s="2156"/>
      <c r="R28" s="362"/>
      <c r="S28" s="362"/>
      <c r="T28" s="362"/>
      <c r="U28" s="362"/>
      <c r="V28" s="344"/>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344"/>
    </row>
    <row r="29" spans="1:47" ht="13.5" customHeight="1" x14ac:dyDescent="0.2">
      <c r="A29" s="502"/>
      <c r="B29" s="362"/>
      <c r="C29" s="2515"/>
      <c r="D29" s="2530"/>
      <c r="E29" s="2146"/>
      <c r="F29" s="2530"/>
      <c r="G29" s="2505"/>
      <c r="I29" s="2515"/>
      <c r="J29" s="2146"/>
      <c r="K29" s="2530"/>
      <c r="L29" s="2505"/>
      <c r="M29" s="362"/>
      <c r="N29" s="362"/>
      <c r="O29" s="362"/>
      <c r="P29" s="2156"/>
      <c r="Q29" s="2156"/>
      <c r="R29" s="362"/>
      <c r="S29" s="362"/>
      <c r="T29" s="362"/>
      <c r="U29" s="362"/>
      <c r="V29" s="344"/>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344"/>
    </row>
    <row r="30" spans="1:47" ht="15" customHeight="1" x14ac:dyDescent="0.2">
      <c r="A30" s="2556" t="s">
        <v>2109</v>
      </c>
      <c r="B30" s="346"/>
      <c r="C30" s="2511">
        <f>+MAR!CB52</f>
        <v>21</v>
      </c>
      <c r="D30" s="2527">
        <f>+MAR!BW52</f>
        <v>0</v>
      </c>
      <c r="E30" s="2139"/>
      <c r="F30" s="2527">
        <f>C30-D30</f>
        <v>21</v>
      </c>
      <c r="G30" s="1151">
        <f t="shared" si="0"/>
        <v>0</v>
      </c>
      <c r="I30" s="2511">
        <v>0</v>
      </c>
      <c r="J30" s="2139"/>
      <c r="K30" s="2527">
        <f>C30-I30</f>
        <v>21</v>
      </c>
      <c r="L30" s="505" t="str">
        <f>IF(I30=0,"NM",C30/I30-1)</f>
        <v>NM</v>
      </c>
      <c r="M30" s="346"/>
      <c r="N30" s="346"/>
      <c r="O30" s="346"/>
      <c r="P30" s="346"/>
      <c r="Q30" s="346"/>
      <c r="R30" s="346"/>
      <c r="S30" s="346"/>
      <c r="T30" s="346"/>
      <c r="U30" s="346"/>
      <c r="V30" s="345"/>
      <c r="W30" s="345"/>
      <c r="X30" s="345"/>
      <c r="Y30" s="345"/>
      <c r="Z30" s="345"/>
      <c r="AA30" s="345"/>
      <c r="AB30" s="345"/>
      <c r="AC30" s="345"/>
      <c r="AD30" s="345"/>
      <c r="AE30" s="345"/>
      <c r="AF30" s="345"/>
      <c r="AG30" s="345"/>
      <c r="AH30" s="345"/>
      <c r="AI30" s="345"/>
      <c r="AJ30" s="345"/>
      <c r="AK30" s="345"/>
      <c r="AL30" s="345"/>
      <c r="AM30" s="345"/>
      <c r="AN30" s="345"/>
      <c r="AO30" s="345"/>
      <c r="AP30" s="345"/>
      <c r="AQ30" s="345"/>
      <c r="AR30" s="345"/>
      <c r="AS30" s="345"/>
      <c r="AT30" s="345"/>
      <c r="AU30" s="345"/>
    </row>
    <row r="31" spans="1:47" ht="15" customHeight="1" x14ac:dyDescent="0.2">
      <c r="A31" s="355" t="s">
        <v>1298</v>
      </c>
      <c r="B31" s="356"/>
      <c r="C31" s="2514">
        <f>C28+C30</f>
        <v>213</v>
      </c>
      <c r="D31" s="2528">
        <f>D28-D30</f>
        <v>179</v>
      </c>
      <c r="E31" s="488"/>
      <c r="F31" s="2528">
        <f>C31-D31</f>
        <v>34</v>
      </c>
      <c r="G31" s="2503">
        <f t="shared" si="0"/>
        <v>0.1899441340782122</v>
      </c>
      <c r="I31" s="2514">
        <f>I28-I30</f>
        <v>201.11583132726489</v>
      </c>
      <c r="J31" s="488"/>
      <c r="K31" s="2528">
        <f>C31-I31</f>
        <v>11.884168672735115</v>
      </c>
      <c r="L31" s="2503">
        <f>IF(I31=0,"NM",C31/I31-1)</f>
        <v>5.909116450110119E-2</v>
      </c>
      <c r="M31" s="346"/>
      <c r="N31" s="1144">
        <v>138.63</v>
      </c>
      <c r="O31" s="1144"/>
      <c r="P31" s="346"/>
      <c r="Q31" s="346"/>
      <c r="R31" s="346"/>
      <c r="S31" s="346"/>
      <c r="T31" s="346"/>
      <c r="U31" s="346"/>
      <c r="V31" s="345"/>
      <c r="W31" s="345"/>
      <c r="X31" s="345"/>
      <c r="Y31" s="345"/>
      <c r="Z31" s="345"/>
      <c r="AA31" s="345"/>
      <c r="AB31" s="345"/>
      <c r="AC31" s="345"/>
      <c r="AD31" s="345"/>
      <c r="AE31" s="345"/>
      <c r="AF31" s="345"/>
      <c r="AG31" s="345"/>
      <c r="AH31" s="345"/>
      <c r="AI31" s="345"/>
      <c r="AJ31" s="345"/>
      <c r="AK31" s="345"/>
      <c r="AL31" s="345"/>
      <c r="AM31" s="345"/>
      <c r="AN31" s="345"/>
      <c r="AO31" s="345"/>
      <c r="AP31" s="345"/>
      <c r="AQ31" s="345"/>
      <c r="AR31" s="345"/>
      <c r="AS31" s="345"/>
      <c r="AT31" s="345"/>
      <c r="AU31" s="345"/>
    </row>
    <row r="32" spans="1:47" s="2501" customFormat="1" ht="13.5" customHeight="1" x14ac:dyDescent="0.2">
      <c r="A32" s="2559"/>
      <c r="B32" s="2558"/>
      <c r="C32"/>
      <c r="D32"/>
      <c r="E32"/>
      <c r="F32"/>
      <c r="G32"/>
      <c r="H32" s="1616"/>
      <c r="I32"/>
      <c r="J32"/>
      <c r="K32"/>
      <c r="L32" s="2558"/>
      <c r="M32"/>
      <c r="N32" s="2499"/>
      <c r="O32" s="2499"/>
      <c r="P32" s="2498"/>
      <c r="Q32" s="2498"/>
      <c r="R32" s="2498"/>
      <c r="S32" s="2498"/>
      <c r="T32" s="2498"/>
      <c r="U32" s="2498"/>
      <c r="V32" s="2500"/>
      <c r="W32" s="2500"/>
      <c r="X32" s="2500"/>
      <c r="Y32" s="2500"/>
      <c r="Z32" s="2500"/>
      <c r="AA32" s="2500"/>
      <c r="AB32" s="2500"/>
      <c r="AC32" s="2500"/>
      <c r="AD32" s="2500"/>
      <c r="AE32" s="2500"/>
      <c r="AF32" s="2500"/>
      <c r="AG32" s="2500"/>
      <c r="AH32" s="2500"/>
      <c r="AI32" s="2500"/>
      <c r="AJ32" s="2500"/>
      <c r="AK32" s="2500"/>
      <c r="AL32" s="2500"/>
      <c r="AM32" s="2500"/>
      <c r="AN32" s="2500"/>
      <c r="AO32" s="2500"/>
      <c r="AP32" s="2500"/>
      <c r="AQ32" s="2500"/>
      <c r="AR32" s="2500"/>
      <c r="AS32" s="2500"/>
      <c r="AT32" s="2500"/>
      <c r="AU32" s="2500"/>
    </row>
    <row r="33" spans="1:47" ht="15" customHeight="1" x14ac:dyDescent="0.2">
      <c r="A33" s="2556" t="s">
        <v>2110</v>
      </c>
      <c r="B33" s="346"/>
      <c r="C33" s="2517">
        <f>+MAR!CB58</f>
        <v>298.7</v>
      </c>
      <c r="D33" s="2531">
        <f>+MAR!BW58</f>
        <v>314</v>
      </c>
      <c r="E33" s="2155"/>
      <c r="F33" s="2531">
        <f>C33-D33</f>
        <v>-15.300000000000011</v>
      </c>
      <c r="G33" s="1151">
        <f t="shared" si="0"/>
        <v>-4.8726114649681573E-2</v>
      </c>
      <c r="I33" s="2541">
        <v>298.4340850434487</v>
      </c>
      <c r="J33" s="2139"/>
      <c r="K33" s="2527">
        <f>C33-I33</f>
        <v>0.26591495655128483</v>
      </c>
      <c r="L33" s="1151">
        <f>IF(I33=0,"NM",C33/I33-1)</f>
        <v>8.9103413409552523E-4</v>
      </c>
      <c r="M33" s="346"/>
      <c r="N33" s="346"/>
      <c r="O33" s="346"/>
      <c r="P33" s="346"/>
      <c r="Q33" s="1282"/>
      <c r="R33" s="2106"/>
      <c r="S33" s="346"/>
      <c r="T33" s="346"/>
      <c r="U33" s="346"/>
      <c r="V33" s="345"/>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row>
    <row r="34" spans="1:47" ht="15" customHeight="1" x14ac:dyDescent="0.2">
      <c r="A34" s="355" t="s">
        <v>1595</v>
      </c>
      <c r="B34" s="356"/>
      <c r="C34" s="2518">
        <f>C31/C33</f>
        <v>0.71309005691329097</v>
      </c>
      <c r="D34" s="2532">
        <f>D31/D33</f>
        <v>0.57006369426751591</v>
      </c>
      <c r="E34" s="357"/>
      <c r="F34" s="2532">
        <f>C34-D34</f>
        <v>0.14302636264577506</v>
      </c>
      <c r="G34" s="2503">
        <f t="shared" si="0"/>
        <v>0.25089540709929259</v>
      </c>
      <c r="I34" s="2518">
        <f>I31/I33</f>
        <v>0.67390369065244216</v>
      </c>
      <c r="J34" s="357"/>
      <c r="K34" s="2532">
        <f>C34-I34</f>
        <v>3.9186366260848815E-2</v>
      </c>
      <c r="L34" s="2503">
        <f>IF(I34=0,"NM",C34/I34-1)</f>
        <v>5.8148318230621943E-2</v>
      </c>
      <c r="M34" s="346"/>
      <c r="N34" s="1145">
        <v>0.45</v>
      </c>
      <c r="O34" s="1145"/>
      <c r="P34" s="1406"/>
      <c r="Q34" s="346"/>
      <c r="R34" s="346"/>
      <c r="S34" s="346"/>
      <c r="T34" s="346"/>
      <c r="U34" s="346"/>
      <c r="V34" s="345"/>
      <c r="W34" s="345"/>
      <c r="X34" s="345"/>
      <c r="Y34" s="345"/>
      <c r="Z34" s="345"/>
      <c r="AA34" s="345"/>
      <c r="AB34" s="345"/>
      <c r="AC34" s="345"/>
      <c r="AD34" s="345"/>
      <c r="AE34" s="345"/>
      <c r="AF34" s="345"/>
      <c r="AG34" s="345"/>
      <c r="AH34" s="345"/>
      <c r="AI34" s="345"/>
      <c r="AJ34" s="345"/>
      <c r="AK34" s="345"/>
      <c r="AL34" s="345"/>
      <c r="AM34" s="345"/>
      <c r="AN34" s="345"/>
      <c r="AO34" s="345"/>
      <c r="AP34" s="345"/>
      <c r="AQ34" s="345"/>
      <c r="AR34" s="345"/>
      <c r="AS34" s="345"/>
      <c r="AT34" s="345"/>
      <c r="AU34" s="345"/>
    </row>
    <row r="35" spans="1:47" ht="13.5" customHeight="1" x14ac:dyDescent="0.2">
      <c r="A35" s="501"/>
      <c r="B35" s="346"/>
      <c r="C35" s="2519"/>
      <c r="D35" s="2533"/>
      <c r="E35" s="353"/>
      <c r="F35" s="2533"/>
      <c r="G35" s="1151"/>
      <c r="I35" s="2519"/>
      <c r="J35" s="353"/>
      <c r="K35" s="2533"/>
      <c r="L35" s="1151"/>
      <c r="M35" s="346"/>
      <c r="N35" s="346"/>
      <c r="O35" s="346"/>
      <c r="P35" s="346"/>
      <c r="Q35" s="346"/>
      <c r="R35" s="346"/>
      <c r="S35" s="346"/>
      <c r="T35" s="346"/>
      <c r="U35" s="346"/>
      <c r="V35" s="345"/>
      <c r="W35" s="345"/>
      <c r="X35" s="345"/>
      <c r="Y35" s="345"/>
      <c r="Z35" s="345"/>
      <c r="AA35" s="345"/>
      <c r="AB35" s="345"/>
      <c r="AC35" s="345"/>
      <c r="AD35" s="345"/>
      <c r="AE35" s="345"/>
      <c r="AF35" s="345"/>
      <c r="AG35" s="345"/>
      <c r="AH35" s="345"/>
      <c r="AI35" s="345"/>
      <c r="AJ35" s="345"/>
      <c r="AK35" s="345"/>
      <c r="AL35" s="345"/>
      <c r="AM35" s="345"/>
      <c r="AN35" s="345"/>
      <c r="AO35" s="345"/>
      <c r="AP35" s="345"/>
      <c r="AQ35" s="345"/>
      <c r="AR35" s="345"/>
      <c r="AS35" s="345"/>
      <c r="AT35" s="345"/>
      <c r="AU35" s="345"/>
    </row>
    <row r="36" spans="1:47" ht="15" customHeight="1" x14ac:dyDescent="0.2">
      <c r="A36" s="1141" t="s">
        <v>220</v>
      </c>
      <c r="B36" s="418"/>
      <c r="C36" s="2520"/>
      <c r="D36" s="2534"/>
      <c r="E36" s="464"/>
      <c r="F36" s="2534"/>
      <c r="G36" s="2507"/>
      <c r="I36" s="2520"/>
      <c r="J36" s="464"/>
      <c r="K36" s="2534"/>
      <c r="L36" s="2507"/>
      <c r="M36" s="346"/>
      <c r="N36" s="345"/>
      <c r="O36" s="345"/>
      <c r="P36" s="345"/>
      <c r="Q36" s="345"/>
      <c r="R36" s="345"/>
      <c r="S36" s="345"/>
      <c r="T36" s="345"/>
      <c r="U36" s="346"/>
      <c r="V36" s="345"/>
      <c r="W36" s="345"/>
      <c r="X36" s="345"/>
      <c r="Y36" s="345"/>
      <c r="Z36" s="345"/>
      <c r="AA36" s="345"/>
      <c r="AB36" s="345"/>
      <c r="AC36" s="345"/>
      <c r="AD36" s="345"/>
      <c r="AE36" s="345"/>
      <c r="AF36" s="345"/>
      <c r="AG36" s="345"/>
      <c r="AH36" s="345"/>
      <c r="AI36" s="345"/>
      <c r="AJ36" s="345"/>
      <c r="AK36" s="345"/>
      <c r="AL36" s="345"/>
      <c r="AM36" s="345"/>
      <c r="AN36" s="345"/>
      <c r="AO36" s="345"/>
      <c r="AP36" s="345"/>
      <c r="AQ36" s="345"/>
      <c r="AR36" s="345"/>
      <c r="AS36" s="345"/>
      <c r="AT36" s="345"/>
      <c r="AU36" s="345"/>
    </row>
    <row r="37" spans="1:47" ht="15" customHeight="1" x14ac:dyDescent="0.2">
      <c r="A37" s="1436" t="s">
        <v>1296</v>
      </c>
      <c r="B37" s="421"/>
      <c r="C37" s="2521">
        <f>+C28</f>
        <v>192</v>
      </c>
      <c r="D37" s="2535">
        <f>+D28</f>
        <v>179</v>
      </c>
      <c r="E37" s="468"/>
      <c r="F37" s="2535">
        <f t="shared" ref="F37:F45" si="1">C37-D37</f>
        <v>13</v>
      </c>
      <c r="G37" s="2508">
        <f t="shared" ref="G37:G46" si="2">IF(D37=0,0,C37/D37-1)</f>
        <v>7.2625698324022325E-2</v>
      </c>
      <c r="I37" s="2540">
        <v>201.11583132726483</v>
      </c>
      <c r="J37" s="468"/>
      <c r="K37" s="2535">
        <f t="shared" ref="K37:K46" si="3">C37-I37</f>
        <v>-9.1158313272648286</v>
      </c>
      <c r="L37" s="2508">
        <f t="shared" ref="L37:L46" si="4">IF(I37=0,"NM",C37/I37-1)</f>
        <v>-4.5326274252528331E-2</v>
      </c>
      <c r="M37" s="346"/>
      <c r="N37" s="345"/>
      <c r="O37" s="345"/>
      <c r="P37" s="2158"/>
      <c r="Q37" s="345"/>
      <c r="R37" s="345"/>
      <c r="S37" s="345"/>
      <c r="T37" s="345"/>
      <c r="U37" s="346"/>
      <c r="V37" s="345"/>
      <c r="W37" s="345"/>
      <c r="X37" s="345"/>
      <c r="Y37" s="345"/>
      <c r="Z37" s="345"/>
      <c r="AA37" s="345"/>
      <c r="AB37" s="345"/>
      <c r="AC37" s="345"/>
      <c r="AD37" s="345"/>
      <c r="AE37" s="345"/>
      <c r="AF37" s="345"/>
      <c r="AG37" s="345"/>
      <c r="AH37" s="345"/>
      <c r="AI37" s="345"/>
      <c r="AJ37" s="345"/>
      <c r="AK37" s="345"/>
      <c r="AL37" s="345"/>
      <c r="AM37" s="345"/>
      <c r="AN37" s="345"/>
      <c r="AO37" s="345"/>
      <c r="AP37" s="345"/>
      <c r="AQ37" s="345"/>
      <c r="AR37" s="345"/>
      <c r="AS37" s="345"/>
      <c r="AT37" s="345"/>
      <c r="AU37" s="345"/>
    </row>
    <row r="38" spans="1:47" ht="15" customHeight="1" x14ac:dyDescent="0.2">
      <c r="A38" s="2308" t="s">
        <v>2111</v>
      </c>
      <c r="B38" s="418"/>
      <c r="C38" s="2522">
        <f>+MAR!CB89</f>
        <v>30</v>
      </c>
      <c r="D38" s="2536">
        <f>+MAR!BW89</f>
        <v>29</v>
      </c>
      <c r="E38" s="468"/>
      <c r="F38" s="2536">
        <f t="shared" si="1"/>
        <v>1</v>
      </c>
      <c r="G38" s="1151">
        <f t="shared" si="2"/>
        <v>3.4482758620689724E-2</v>
      </c>
      <c r="I38" s="2541">
        <v>29.23805709127457</v>
      </c>
      <c r="J38" s="468"/>
      <c r="K38" s="2536">
        <f t="shared" si="3"/>
        <v>0.76194290872543036</v>
      </c>
      <c r="L38" s="1151">
        <f t="shared" si="4"/>
        <v>2.6059970617979822E-2</v>
      </c>
      <c r="M38" s="346"/>
      <c r="N38" s="345"/>
      <c r="O38" s="345"/>
      <c r="P38" s="345"/>
      <c r="Q38" s="345"/>
      <c r="R38" s="345"/>
      <c r="S38" s="345"/>
      <c r="T38" s="345"/>
      <c r="U38" s="346"/>
      <c r="V38" s="345"/>
      <c r="W38" s="345"/>
      <c r="X38" s="345"/>
      <c r="Y38" s="345"/>
      <c r="Z38" s="345"/>
      <c r="AA38" s="345"/>
      <c r="AB38" s="345"/>
      <c r="AC38" s="345"/>
      <c r="AD38" s="345"/>
      <c r="AE38" s="345"/>
      <c r="AF38" s="345"/>
      <c r="AG38" s="345"/>
      <c r="AH38" s="345"/>
      <c r="AI38" s="345"/>
      <c r="AJ38" s="345"/>
      <c r="AK38" s="345"/>
      <c r="AL38" s="345"/>
      <c r="AM38" s="345"/>
      <c r="AN38" s="345"/>
      <c r="AO38" s="345"/>
      <c r="AP38" s="345"/>
      <c r="AQ38" s="345"/>
      <c r="AR38" s="345"/>
      <c r="AS38" s="345"/>
      <c r="AT38" s="345"/>
      <c r="AU38" s="345"/>
    </row>
    <row r="39" spans="1:47" ht="15" customHeight="1" x14ac:dyDescent="0.2">
      <c r="A39" s="2308" t="s">
        <v>2122</v>
      </c>
      <c r="B39" s="418"/>
      <c r="C39" s="2522">
        <f>+MAR!CB90</f>
        <v>93</v>
      </c>
      <c r="D39" s="2536">
        <f>+MAR!BW90</f>
        <v>84</v>
      </c>
      <c r="E39" s="468"/>
      <c r="F39" s="2536">
        <f t="shared" si="1"/>
        <v>9</v>
      </c>
      <c r="G39" s="1151">
        <f t="shared" si="2"/>
        <v>0.10714285714285721</v>
      </c>
      <c r="I39" s="2541">
        <v>94.642744154006976</v>
      </c>
      <c r="J39" s="468"/>
      <c r="K39" s="2536">
        <f t="shared" si="3"/>
        <v>-1.6427441540069765</v>
      </c>
      <c r="L39" s="1151">
        <f t="shared" si="4"/>
        <v>-1.7357317443520315E-2</v>
      </c>
      <c r="M39" s="346"/>
      <c r="N39" s="345"/>
      <c r="O39" s="345"/>
      <c r="P39" s="345"/>
      <c r="Q39" s="345"/>
      <c r="R39" s="345"/>
      <c r="S39" s="345"/>
      <c r="T39" s="345"/>
      <c r="U39" s="346"/>
      <c r="V39" s="345"/>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row>
    <row r="40" spans="1:47" ht="15" customHeight="1" x14ac:dyDescent="0.2">
      <c r="A40" s="2308" t="s">
        <v>1798</v>
      </c>
      <c r="B40" s="418"/>
      <c r="C40" s="2522">
        <f>+MAR!CB91</f>
        <v>32</v>
      </c>
      <c r="D40" s="2536">
        <f>+MAR!BW91</f>
        <v>33</v>
      </c>
      <c r="E40" s="1165"/>
      <c r="F40" s="2536">
        <f t="shared" si="1"/>
        <v>-1</v>
      </c>
      <c r="G40" s="1151">
        <f t="shared" si="2"/>
        <v>-3.0303030303030276E-2</v>
      </c>
      <c r="I40" s="2541">
        <v>30</v>
      </c>
      <c r="J40" s="1165"/>
      <c r="K40" s="2536">
        <f t="shared" si="3"/>
        <v>2</v>
      </c>
      <c r="L40" s="1151">
        <f t="shared" si="4"/>
        <v>6.6666666666666652E-2</v>
      </c>
      <c r="M40" s="346"/>
      <c r="N40" s="345"/>
      <c r="O40" s="345"/>
      <c r="P40" s="345"/>
      <c r="Q40" s="345"/>
      <c r="R40" s="345"/>
      <c r="S40" s="345"/>
      <c r="T40" s="345"/>
      <c r="U40" s="346"/>
      <c r="V40" s="345"/>
      <c r="W40" s="345"/>
      <c r="X40" s="345"/>
      <c r="Y40" s="345"/>
      <c r="Z40" s="345"/>
      <c r="AA40" s="345"/>
      <c r="AB40" s="345"/>
      <c r="AC40" s="345"/>
      <c r="AD40" s="345"/>
      <c r="AE40" s="345"/>
      <c r="AF40" s="345"/>
      <c r="AG40" s="345"/>
      <c r="AH40" s="345"/>
      <c r="AI40" s="345"/>
      <c r="AJ40" s="345"/>
      <c r="AK40" s="345"/>
      <c r="AL40" s="345"/>
      <c r="AM40" s="345"/>
      <c r="AN40" s="345"/>
      <c r="AO40" s="345"/>
      <c r="AP40" s="345"/>
      <c r="AQ40" s="345"/>
      <c r="AR40" s="345"/>
      <c r="AS40" s="345"/>
      <c r="AT40" s="345"/>
      <c r="AU40" s="345"/>
    </row>
    <row r="41" spans="1:47" ht="15" customHeight="1" x14ac:dyDescent="0.2">
      <c r="A41" s="2308" t="s">
        <v>2112</v>
      </c>
      <c r="B41" s="418"/>
      <c r="C41" s="2522">
        <f>+MAR!CB92</f>
        <v>13</v>
      </c>
      <c r="D41" s="2536">
        <f>+MAR!BW92</f>
        <v>12</v>
      </c>
      <c r="E41" s="468"/>
      <c r="F41" s="2536">
        <f t="shared" si="1"/>
        <v>1</v>
      </c>
      <c r="G41" s="1151">
        <f t="shared" si="2"/>
        <v>8.3333333333333259E-2</v>
      </c>
      <c r="I41" s="2541">
        <v>13</v>
      </c>
      <c r="J41" s="468"/>
      <c r="K41" s="2536">
        <f t="shared" si="3"/>
        <v>0</v>
      </c>
      <c r="L41" s="1151">
        <f t="shared" si="4"/>
        <v>0</v>
      </c>
      <c r="M41" s="346"/>
      <c r="N41" s="345"/>
      <c r="O41" s="345"/>
      <c r="P41" s="345"/>
      <c r="Q41" s="345"/>
      <c r="R41" s="345"/>
      <c r="S41" s="345"/>
      <c r="T41" s="345"/>
      <c r="U41" s="346"/>
      <c r="V41" s="345"/>
      <c r="W41" s="345"/>
      <c r="X41" s="345"/>
      <c r="Y41" s="345"/>
      <c r="Z41" s="345"/>
      <c r="AA41" s="345"/>
      <c r="AB41" s="345"/>
      <c r="AC41" s="345"/>
      <c r="AD41" s="345"/>
      <c r="AE41" s="345"/>
      <c r="AF41" s="345"/>
      <c r="AG41" s="345"/>
      <c r="AH41" s="345"/>
      <c r="AI41" s="345"/>
      <c r="AJ41" s="345"/>
      <c r="AK41" s="345"/>
      <c r="AL41" s="345"/>
      <c r="AM41" s="345"/>
      <c r="AN41" s="345"/>
      <c r="AO41" s="345"/>
      <c r="AP41" s="345"/>
      <c r="AQ41" s="345"/>
      <c r="AR41" s="345"/>
      <c r="AS41" s="345"/>
      <c r="AT41" s="345"/>
      <c r="AU41" s="345"/>
    </row>
    <row r="42" spans="1:47" ht="15" customHeight="1" x14ac:dyDescent="0.2">
      <c r="A42" s="2295" t="s">
        <v>2113</v>
      </c>
      <c r="B42" s="418"/>
      <c r="C42" s="2522">
        <f>+MAR!CB93</f>
        <v>1</v>
      </c>
      <c r="D42" s="2536">
        <f>+MAR!BW93</f>
        <v>1</v>
      </c>
      <c r="E42" s="468"/>
      <c r="F42" s="2536">
        <f t="shared" si="1"/>
        <v>0</v>
      </c>
      <c r="G42" s="1151">
        <f t="shared" si="2"/>
        <v>0</v>
      </c>
      <c r="I42" s="2541">
        <v>1</v>
      </c>
      <c r="J42" s="468"/>
      <c r="K42" s="2536">
        <f t="shared" si="3"/>
        <v>0</v>
      </c>
      <c r="L42" s="1151">
        <f t="shared" si="4"/>
        <v>0</v>
      </c>
      <c r="M42" s="346"/>
      <c r="N42" s="345"/>
      <c r="O42" s="345"/>
      <c r="P42" s="345"/>
      <c r="Q42" s="345"/>
      <c r="R42" s="345"/>
      <c r="S42" s="345"/>
      <c r="T42" s="345"/>
      <c r="U42" s="346"/>
      <c r="V42" s="345"/>
      <c r="W42" s="345"/>
      <c r="X42" s="345"/>
      <c r="Y42" s="345"/>
      <c r="Z42" s="345"/>
      <c r="AA42" s="345"/>
      <c r="AB42" s="345"/>
      <c r="AC42" s="345"/>
      <c r="AD42" s="345"/>
      <c r="AE42" s="345"/>
      <c r="AF42" s="345"/>
      <c r="AG42" s="345"/>
      <c r="AH42" s="345"/>
      <c r="AI42" s="345"/>
      <c r="AJ42" s="345"/>
      <c r="AK42" s="345"/>
      <c r="AL42" s="345"/>
      <c r="AM42" s="345"/>
      <c r="AN42" s="345"/>
      <c r="AO42" s="345"/>
      <c r="AP42" s="345"/>
      <c r="AQ42" s="345"/>
      <c r="AR42" s="345"/>
      <c r="AS42" s="345"/>
      <c r="AT42" s="345"/>
      <c r="AU42" s="345"/>
    </row>
    <row r="43" spans="1:47" ht="15" customHeight="1" x14ac:dyDescent="0.2">
      <c r="A43" s="2295" t="s">
        <v>2114</v>
      </c>
      <c r="B43" s="418"/>
      <c r="C43" s="2522">
        <f>+MAR!CB94</f>
        <v>3</v>
      </c>
      <c r="D43" s="2536">
        <f>+MAR!BW94</f>
        <v>3</v>
      </c>
      <c r="E43" s="1165"/>
      <c r="F43" s="2536">
        <f t="shared" si="1"/>
        <v>0</v>
      </c>
      <c r="G43" s="1151">
        <f t="shared" si="2"/>
        <v>0</v>
      </c>
      <c r="I43" s="2541">
        <v>4</v>
      </c>
      <c r="J43" s="1165"/>
      <c r="K43" s="2536">
        <f t="shared" si="3"/>
        <v>-1</v>
      </c>
      <c r="L43" s="1151">
        <f t="shared" si="4"/>
        <v>-0.25</v>
      </c>
      <c r="M43" s="346"/>
      <c r="N43" s="345"/>
      <c r="O43" s="345"/>
      <c r="P43" s="345"/>
      <c r="Q43" s="345"/>
      <c r="R43" s="345"/>
      <c r="S43" s="345"/>
      <c r="T43" s="345"/>
      <c r="U43" s="346"/>
      <c r="V43" s="345"/>
      <c r="W43" s="345"/>
      <c r="X43" s="345"/>
      <c r="Y43" s="345"/>
      <c r="Z43" s="345"/>
      <c r="AA43" s="345"/>
      <c r="AB43" s="345"/>
      <c r="AC43" s="345"/>
      <c r="AD43" s="345"/>
      <c r="AE43" s="345"/>
      <c r="AF43" s="345"/>
      <c r="AG43" s="345"/>
      <c r="AH43" s="345"/>
      <c r="AI43" s="345"/>
      <c r="AJ43" s="345"/>
      <c r="AK43" s="345"/>
      <c r="AL43" s="345"/>
      <c r="AM43" s="345"/>
      <c r="AN43" s="345"/>
      <c r="AO43" s="345"/>
      <c r="AP43" s="345"/>
      <c r="AQ43" s="345"/>
      <c r="AR43" s="345"/>
      <c r="AS43" s="345"/>
      <c r="AT43" s="345"/>
      <c r="AU43" s="345"/>
    </row>
    <row r="44" spans="1:47" ht="15" customHeight="1" x14ac:dyDescent="0.2">
      <c r="A44" s="2295" t="s">
        <v>2108</v>
      </c>
      <c r="B44" s="418"/>
      <c r="C44" s="2522">
        <f>+MAR!CB95</f>
        <v>29</v>
      </c>
      <c r="D44" s="2536">
        <f>+MAR!BW95</f>
        <v>31</v>
      </c>
      <c r="E44" s="1165"/>
      <c r="F44" s="2536">
        <f t="shared" si="1"/>
        <v>-2</v>
      </c>
      <c r="G44" s="1151">
        <f t="shared" si="2"/>
        <v>-6.4516129032258118E-2</v>
      </c>
      <c r="I44" s="2541">
        <v>27.5</v>
      </c>
      <c r="J44" s="1165"/>
      <c r="K44" s="2536">
        <f t="shared" si="3"/>
        <v>1.5</v>
      </c>
      <c r="L44" s="505">
        <f t="shared" si="4"/>
        <v>5.4545454545454453E-2</v>
      </c>
      <c r="M44" s="346"/>
      <c r="N44" s="345"/>
      <c r="O44" s="345"/>
      <c r="P44" s="345"/>
      <c r="Q44" s="345"/>
      <c r="R44" s="345"/>
      <c r="S44" s="345"/>
      <c r="T44" s="345"/>
      <c r="U44" s="346"/>
      <c r="V44" s="345"/>
      <c r="W44" s="345"/>
      <c r="X44" s="345"/>
      <c r="Y44" s="345"/>
      <c r="Z44" s="345"/>
      <c r="AA44" s="345"/>
      <c r="AB44" s="345"/>
      <c r="AC44" s="345"/>
      <c r="AD44" s="345"/>
      <c r="AE44" s="345"/>
      <c r="AF44" s="345"/>
      <c r="AG44" s="345"/>
      <c r="AH44" s="345"/>
      <c r="AI44" s="345"/>
      <c r="AJ44" s="345"/>
      <c r="AK44" s="345"/>
      <c r="AL44" s="345"/>
      <c r="AM44" s="345"/>
      <c r="AN44" s="345"/>
      <c r="AO44" s="345"/>
      <c r="AP44" s="345"/>
      <c r="AQ44" s="345"/>
      <c r="AR44" s="345"/>
      <c r="AS44" s="345"/>
      <c r="AT44" s="345"/>
      <c r="AU44" s="345"/>
    </row>
    <row r="45" spans="1:47" ht="15" customHeight="1" x14ac:dyDescent="0.2">
      <c r="A45" s="2557" t="s">
        <v>230</v>
      </c>
      <c r="B45" s="418"/>
      <c r="C45" s="2522">
        <f>+MAR!CB97</f>
        <v>15</v>
      </c>
      <c r="D45" s="2536">
        <f>+MAR!BW97</f>
        <v>0</v>
      </c>
      <c r="E45" s="468"/>
      <c r="F45" s="2536">
        <f t="shared" si="1"/>
        <v>15</v>
      </c>
      <c r="G45" s="1151">
        <f t="shared" si="2"/>
        <v>0</v>
      </c>
      <c r="I45" s="2541">
        <v>0</v>
      </c>
      <c r="J45" s="468"/>
      <c r="K45" s="2536">
        <f t="shared" si="3"/>
        <v>15</v>
      </c>
      <c r="L45" s="505" t="str">
        <f t="shared" si="4"/>
        <v>NM</v>
      </c>
      <c r="M45" s="346"/>
      <c r="N45" s="345"/>
      <c r="O45" s="345"/>
      <c r="P45" s="345"/>
      <c r="Q45" s="345"/>
      <c r="R45" s="345"/>
      <c r="S45" s="345"/>
      <c r="T45" s="345"/>
      <c r="U45" s="346"/>
      <c r="V45" s="345"/>
      <c r="W45" s="345"/>
      <c r="X45" s="345"/>
      <c r="Y45" s="345"/>
      <c r="Z45" s="345"/>
      <c r="AA45" s="345"/>
      <c r="AB45" s="345"/>
      <c r="AC45" s="345"/>
      <c r="AD45" s="345"/>
      <c r="AE45" s="345"/>
      <c r="AF45" s="345"/>
      <c r="AG45" s="345"/>
      <c r="AH45" s="345"/>
      <c r="AI45" s="345"/>
      <c r="AJ45" s="345"/>
      <c r="AK45" s="345"/>
      <c r="AL45" s="345"/>
      <c r="AM45" s="345"/>
      <c r="AN45" s="345"/>
      <c r="AO45" s="345"/>
      <c r="AP45" s="345"/>
      <c r="AQ45" s="345"/>
      <c r="AR45" s="345"/>
      <c r="AS45" s="345"/>
      <c r="AT45" s="345"/>
      <c r="AU45" s="345"/>
    </row>
    <row r="46" spans="1:47" ht="15" customHeight="1" x14ac:dyDescent="0.2">
      <c r="A46" s="355" t="s">
        <v>2118</v>
      </c>
      <c r="B46" s="356"/>
      <c r="C46" s="2514">
        <f>SUM(C37:C45)</f>
        <v>408</v>
      </c>
      <c r="D46" s="2528">
        <f>SUM(D37:D45)</f>
        <v>372</v>
      </c>
      <c r="E46" s="488"/>
      <c r="F46" s="2528">
        <f>SUM(F37:F45)</f>
        <v>36</v>
      </c>
      <c r="G46" s="2503">
        <f t="shared" si="2"/>
        <v>9.6774193548387011E-2</v>
      </c>
      <c r="I46" s="2514">
        <f>SUM(I37:I45)</f>
        <v>400.49663257254633</v>
      </c>
      <c r="J46" s="488"/>
      <c r="K46" s="2528">
        <f t="shared" si="3"/>
        <v>7.5033674274536679</v>
      </c>
      <c r="L46" s="2503">
        <f t="shared" si="4"/>
        <v>1.8735157345160625E-2</v>
      </c>
      <c r="M46" s="346"/>
      <c r="N46" s="1144">
        <v>273</v>
      </c>
      <c r="O46" s="1144"/>
      <c r="P46" s="345"/>
      <c r="Q46" s="345"/>
      <c r="R46" s="345"/>
      <c r="S46" s="345"/>
      <c r="T46" s="345"/>
      <c r="U46" s="346"/>
      <c r="V46" s="345"/>
      <c r="W46" s="345"/>
      <c r="X46" s="345"/>
      <c r="Y46" s="345"/>
      <c r="Z46" s="345"/>
      <c r="AA46" s="345"/>
      <c r="AB46" s="345"/>
      <c r="AC46" s="345"/>
      <c r="AD46" s="345"/>
      <c r="AE46" s="345"/>
      <c r="AF46" s="345"/>
      <c r="AG46" s="345"/>
      <c r="AH46" s="345"/>
      <c r="AI46" s="345"/>
      <c r="AJ46" s="345"/>
      <c r="AK46" s="345"/>
      <c r="AL46" s="345"/>
      <c r="AM46" s="345"/>
      <c r="AN46" s="345"/>
      <c r="AO46" s="345"/>
      <c r="AP46" s="345"/>
      <c r="AQ46" s="345"/>
      <c r="AR46" s="345"/>
      <c r="AS46" s="345"/>
      <c r="AT46" s="345"/>
      <c r="AU46" s="345"/>
    </row>
    <row r="47" spans="1:47" ht="13.5" customHeight="1" x14ac:dyDescent="0.2"/>
    <row r="48" spans="1:47" ht="13.5" customHeight="1" x14ac:dyDescent="0.2">
      <c r="D48" s="374"/>
      <c r="F48" s="374"/>
      <c r="N48" s="345"/>
      <c r="O48" s="345"/>
      <c r="P48" s="344"/>
      <c r="Q48" s="345"/>
      <c r="R48" s="345"/>
      <c r="S48" s="345"/>
      <c r="T48" s="345"/>
      <c r="U48" s="346"/>
      <c r="V48" s="345"/>
      <c r="W48" s="345"/>
      <c r="X48" s="345"/>
      <c r="Y48" s="345"/>
      <c r="Z48" s="345"/>
      <c r="AA48" s="345"/>
      <c r="AB48" s="345"/>
      <c r="AC48" s="345"/>
      <c r="AD48" s="345"/>
      <c r="AE48" s="345"/>
      <c r="AF48" s="345"/>
      <c r="AG48" s="345"/>
      <c r="AH48" s="345"/>
      <c r="AI48" s="345"/>
      <c r="AJ48" s="345"/>
      <c r="AK48" s="345"/>
      <c r="AL48" s="345"/>
      <c r="AM48" s="345"/>
      <c r="AN48" s="345"/>
      <c r="AO48" s="345"/>
      <c r="AP48" s="345"/>
      <c r="AQ48" s="345"/>
      <c r="AR48" s="345"/>
      <c r="AS48" s="345"/>
      <c r="AT48" s="345"/>
      <c r="AU48" s="345"/>
    </row>
    <row r="49" spans="1:47" ht="13.5" customHeight="1" x14ac:dyDescent="0.2">
      <c r="D49" s="374"/>
      <c r="F49" s="374"/>
      <c r="N49" s="345"/>
      <c r="O49" s="345"/>
      <c r="P49" s="344"/>
      <c r="Q49" s="345"/>
      <c r="R49" s="345"/>
      <c r="S49" s="345"/>
      <c r="T49" s="345"/>
      <c r="U49" s="346"/>
      <c r="V49" s="345"/>
      <c r="W49" s="345"/>
      <c r="X49" s="345"/>
      <c r="Y49" s="345"/>
      <c r="Z49" s="345"/>
      <c r="AA49" s="345"/>
      <c r="AB49" s="345"/>
      <c r="AC49" s="345"/>
      <c r="AD49" s="345"/>
      <c r="AE49" s="345"/>
      <c r="AF49" s="345"/>
      <c r="AG49" s="345"/>
      <c r="AH49" s="345"/>
      <c r="AI49" s="345"/>
      <c r="AJ49" s="345"/>
      <c r="AK49" s="345"/>
      <c r="AL49" s="345"/>
      <c r="AM49" s="345"/>
      <c r="AN49" s="345"/>
      <c r="AO49" s="345"/>
      <c r="AP49" s="345"/>
      <c r="AQ49" s="345"/>
      <c r="AR49" s="345"/>
      <c r="AS49" s="345"/>
      <c r="AT49" s="345"/>
      <c r="AU49" s="345"/>
    </row>
    <row r="50" spans="1:47" ht="13.5" customHeight="1" x14ac:dyDescent="0.2">
      <c r="A50" s="1164" t="s">
        <v>2244</v>
      </c>
      <c r="B50" s="1147"/>
      <c r="C50" s="2523"/>
      <c r="D50" s="2537"/>
      <c r="E50" s="1147"/>
      <c r="F50" s="2537"/>
      <c r="G50" s="2509"/>
      <c r="I50" s="2512"/>
      <c r="J50" s="1147"/>
      <c r="K50" s="1147"/>
      <c r="L50" s="1149"/>
      <c r="M50" s="346"/>
      <c r="N50" s="345"/>
      <c r="O50" s="345"/>
      <c r="U50" s="346"/>
      <c r="V50" s="345"/>
      <c r="W50" s="345"/>
      <c r="X50" s="345"/>
      <c r="Y50" s="345"/>
      <c r="Z50" s="345"/>
      <c r="AA50" s="345"/>
      <c r="AB50" s="345"/>
      <c r="AC50" s="345"/>
      <c r="AD50" s="345"/>
      <c r="AE50" s="345"/>
      <c r="AF50" s="345"/>
      <c r="AG50" s="345"/>
      <c r="AH50" s="345"/>
      <c r="AI50" s="345"/>
      <c r="AJ50" s="345"/>
      <c r="AK50" s="345"/>
      <c r="AL50" s="345"/>
      <c r="AM50" s="345"/>
      <c r="AN50" s="345"/>
      <c r="AO50" s="345"/>
      <c r="AP50" s="345"/>
      <c r="AQ50" s="345"/>
      <c r="AR50" s="345"/>
      <c r="AS50" s="345"/>
      <c r="AT50" s="345"/>
      <c r="AU50" s="345"/>
    </row>
    <row r="51" spans="1:47" ht="13.5" customHeight="1" x14ac:dyDescent="0.2">
      <c r="A51" s="1150" t="s">
        <v>1512</v>
      </c>
      <c r="B51" s="418"/>
      <c r="C51" s="2521">
        <f>+MAR!CB7</f>
        <v>176</v>
      </c>
      <c r="D51" s="2535">
        <f>+MAR!BW7</f>
        <v>166</v>
      </c>
      <c r="E51" s="418"/>
      <c r="F51" s="2535">
        <f>C51-D51</f>
        <v>10</v>
      </c>
      <c r="G51" s="1151">
        <f>IF(D51=0,0,C51/D51-1)</f>
        <v>6.024096385542177E-2</v>
      </c>
      <c r="I51" s="2540">
        <v>186.78721846422832</v>
      </c>
      <c r="J51" s="418"/>
      <c r="K51" s="532">
        <f>C51-I51</f>
        <v>-10.787218464228317</v>
      </c>
      <c r="L51" s="1151">
        <f>IF(I51=0,"NM",C51/I51-1)</f>
        <v>-5.7751373744527323E-2</v>
      </c>
      <c r="M51" s="346"/>
      <c r="N51" s="345"/>
      <c r="O51" s="345"/>
      <c r="U51" s="346"/>
      <c r="V51" s="345"/>
      <c r="W51" s="345"/>
      <c r="X51" s="345"/>
      <c r="Y51" s="345"/>
      <c r="Z51" s="345"/>
      <c r="AA51" s="345"/>
      <c r="AB51" s="345"/>
      <c r="AC51" s="345"/>
      <c r="AD51" s="345"/>
      <c r="AE51" s="345"/>
      <c r="AF51" s="345"/>
      <c r="AG51" s="345"/>
      <c r="AH51" s="345"/>
      <c r="AI51" s="345"/>
      <c r="AJ51" s="345"/>
      <c r="AK51" s="345"/>
      <c r="AL51" s="345"/>
      <c r="AM51" s="345"/>
      <c r="AN51" s="345"/>
      <c r="AO51" s="345"/>
      <c r="AP51" s="345"/>
      <c r="AQ51" s="345"/>
      <c r="AR51" s="345"/>
      <c r="AS51" s="345"/>
      <c r="AT51" s="345"/>
      <c r="AU51" s="345"/>
    </row>
    <row r="52" spans="1:47" ht="13.5" customHeight="1" x14ac:dyDescent="0.2">
      <c r="A52" s="1150" t="s">
        <v>2163</v>
      </c>
      <c r="B52" s="418"/>
      <c r="C52" s="2524">
        <f>+MAR!CB8</f>
        <v>194</v>
      </c>
      <c r="D52" s="2538">
        <f>+MAR!BW8</f>
        <v>177</v>
      </c>
      <c r="E52" s="418"/>
      <c r="F52" s="2538">
        <f>C52-D52</f>
        <v>17</v>
      </c>
      <c r="G52" s="1151">
        <f>IF(D52=0,0,C52/D52-1)</f>
        <v>9.6045197740112886E-2</v>
      </c>
      <c r="I52" s="2541">
        <v>196.24771547818102</v>
      </c>
      <c r="J52" s="418"/>
      <c r="K52" s="2536">
        <f>C52-I52</f>
        <v>-2.2477154781810214</v>
      </c>
      <c r="L52" s="1151">
        <f>IF(I52=0,"NM",C52/I52-1)</f>
        <v>-1.1453460605664545E-2</v>
      </c>
      <c r="M52" s="346"/>
      <c r="N52" s="345"/>
      <c r="O52" s="345"/>
      <c r="P52" s="563"/>
      <c r="Q52" s="564"/>
      <c r="R52" s="345"/>
      <c r="S52" s="345"/>
      <c r="U52" s="346"/>
      <c r="V52" s="345"/>
      <c r="W52" s="345"/>
      <c r="X52" s="345"/>
      <c r="Y52" s="345"/>
      <c r="Z52" s="345"/>
      <c r="AA52" s="345"/>
      <c r="AB52" s="345"/>
      <c r="AC52" s="345"/>
      <c r="AD52" s="345"/>
      <c r="AE52" s="345"/>
      <c r="AF52" s="345"/>
      <c r="AG52" s="345"/>
      <c r="AH52" s="345"/>
      <c r="AI52" s="345"/>
      <c r="AJ52" s="345"/>
      <c r="AK52" s="345"/>
      <c r="AL52" s="345"/>
      <c r="AM52" s="345"/>
      <c r="AN52" s="345"/>
      <c r="AO52" s="345"/>
      <c r="AP52" s="345"/>
      <c r="AQ52" s="345"/>
      <c r="AR52" s="345"/>
      <c r="AS52" s="345"/>
      <c r="AT52" s="345"/>
      <c r="AU52" s="345"/>
    </row>
    <row r="53" spans="1:47" ht="13.5" customHeight="1" x14ac:dyDescent="0.2">
      <c r="A53" s="1150" t="s">
        <v>126</v>
      </c>
      <c r="B53" s="418"/>
      <c r="C53" s="2524">
        <f>+MAR!CB9</f>
        <v>82</v>
      </c>
      <c r="D53" s="2538">
        <f>+MAR!BW9</f>
        <v>64</v>
      </c>
      <c r="E53" s="418"/>
      <c r="F53" s="2538">
        <f>C53-D53</f>
        <v>18</v>
      </c>
      <c r="G53" s="1151">
        <f>IF(D53=0,0,C53/D53-1)</f>
        <v>0.28125</v>
      </c>
      <c r="I53" s="2541">
        <v>69.760000000000005</v>
      </c>
      <c r="J53" s="1402"/>
      <c r="K53" s="2536">
        <f>C53-I53</f>
        <v>12.239999999999995</v>
      </c>
      <c r="L53" s="1151">
        <f>IF(I53=0,"NM",C53/I53-1)</f>
        <v>0.17545871559633008</v>
      </c>
      <c r="M53" s="1404"/>
      <c r="N53" s="345"/>
      <c r="O53" s="345"/>
      <c r="U53" s="346"/>
      <c r="V53" s="345"/>
      <c r="W53" s="345"/>
      <c r="X53" s="345"/>
      <c r="Y53" s="345"/>
      <c r="Z53" s="345"/>
      <c r="AA53" s="345"/>
      <c r="AB53" s="345"/>
      <c r="AC53" s="345"/>
      <c r="AD53" s="345"/>
      <c r="AE53" s="345"/>
      <c r="AF53" s="345"/>
      <c r="AG53" s="345"/>
      <c r="AH53" s="345"/>
      <c r="AI53" s="345"/>
      <c r="AJ53" s="345"/>
      <c r="AK53" s="345"/>
      <c r="AL53" s="345"/>
      <c r="AM53" s="345"/>
      <c r="AN53" s="345"/>
      <c r="AO53" s="345"/>
      <c r="AP53" s="345"/>
      <c r="AQ53" s="345"/>
      <c r="AR53" s="345"/>
      <c r="AS53" s="345"/>
      <c r="AT53" s="345"/>
      <c r="AU53" s="345"/>
    </row>
    <row r="54" spans="1:47" ht="13.5" customHeight="1" x14ac:dyDescent="0.2">
      <c r="A54" s="2544" t="s">
        <v>1735</v>
      </c>
      <c r="B54" s="1372"/>
      <c r="C54" s="2545">
        <f>SUM(C51:C53)</f>
        <v>452</v>
      </c>
      <c r="D54" s="2546">
        <f>SUM(D51:D53)</f>
        <v>407</v>
      </c>
      <c r="E54" s="2547"/>
      <c r="F54" s="2546">
        <f>C54-D54</f>
        <v>45</v>
      </c>
      <c r="G54" s="2543">
        <f>IF(D54=0,0,C54/D54-1)</f>
        <v>0.11056511056511065</v>
      </c>
      <c r="I54" s="2548">
        <f>SUM(I51:I53)</f>
        <v>452.79493394240933</v>
      </c>
      <c r="J54" s="2547"/>
      <c r="K54" s="2542">
        <f>C54-I54</f>
        <v>-0.79493394240932957</v>
      </c>
      <c r="L54" s="2549">
        <f>IF(I54=0,"NM",C54/I54-1)</f>
        <v>-1.7556158049030213E-3</v>
      </c>
      <c r="M54" s="346"/>
      <c r="N54" s="345"/>
      <c r="O54" s="345"/>
      <c r="P54" s="565"/>
      <c r="Q54" s="371"/>
      <c r="R54" s="345"/>
      <c r="S54" s="345"/>
      <c r="T54" s="345"/>
      <c r="U54" s="346"/>
      <c r="V54" s="345"/>
      <c r="W54" s="345"/>
      <c r="X54" s="345"/>
      <c r="Y54" s="345"/>
      <c r="Z54" s="345"/>
      <c r="AA54" s="345"/>
      <c r="AB54" s="345"/>
      <c r="AC54" s="345"/>
      <c r="AD54" s="345"/>
      <c r="AE54" s="345"/>
      <c r="AF54" s="345"/>
      <c r="AG54" s="345"/>
      <c r="AH54" s="345"/>
      <c r="AI54" s="345"/>
      <c r="AJ54" s="345"/>
      <c r="AK54" s="345"/>
      <c r="AL54" s="345"/>
      <c r="AM54" s="345"/>
      <c r="AN54" s="345"/>
      <c r="AO54" s="345"/>
      <c r="AP54" s="345"/>
      <c r="AQ54" s="345"/>
      <c r="AR54" s="345"/>
      <c r="AS54" s="345"/>
      <c r="AT54" s="345"/>
      <c r="AU54" s="345"/>
    </row>
    <row r="55" spans="1:47" ht="5.25" customHeight="1" x14ac:dyDescent="0.2">
      <c r="A55" s="418"/>
      <c r="B55" s="418"/>
      <c r="C55" s="458"/>
      <c r="D55" s="1165"/>
      <c r="E55" s="458"/>
      <c r="F55" s="532"/>
      <c r="G55" s="482"/>
      <c r="I55" s="1165"/>
      <c r="J55" s="458"/>
      <c r="K55" s="364"/>
      <c r="L55" s="482"/>
      <c r="M55" s="345"/>
      <c r="N55" s="345"/>
      <c r="O55" s="345"/>
      <c r="P55" s="565"/>
      <c r="Q55" s="371"/>
      <c r="R55" s="345"/>
      <c r="S55" s="345"/>
      <c r="T55" s="345"/>
      <c r="U55" s="346"/>
      <c r="V55" s="345"/>
      <c r="W55" s="345"/>
      <c r="X55" s="345"/>
      <c r="Y55" s="345"/>
      <c r="Z55" s="345"/>
      <c r="AA55" s="345"/>
      <c r="AB55" s="345"/>
      <c r="AC55" s="345"/>
      <c r="AD55" s="345"/>
      <c r="AE55" s="345"/>
      <c r="AF55" s="345"/>
      <c r="AG55" s="345"/>
      <c r="AH55" s="345"/>
      <c r="AI55" s="345"/>
      <c r="AJ55" s="345"/>
      <c r="AK55" s="345"/>
      <c r="AL55" s="345"/>
      <c r="AM55" s="345"/>
      <c r="AN55" s="345"/>
      <c r="AO55" s="345"/>
      <c r="AP55" s="345"/>
      <c r="AQ55" s="345"/>
      <c r="AR55" s="345"/>
      <c r="AS55" s="345"/>
      <c r="AT55" s="345"/>
      <c r="AU55" s="345"/>
    </row>
    <row r="56" spans="1:47" ht="13.5" customHeight="1" x14ac:dyDescent="0.2">
      <c r="A56" s="421"/>
      <c r="B56" s="418"/>
      <c r="C56" s="1165"/>
      <c r="D56" s="1165"/>
      <c r="E56" s="458"/>
      <c r="F56" s="364"/>
      <c r="G56" s="482"/>
      <c r="I56" s="1165"/>
      <c r="J56" s="458"/>
      <c r="K56" s="364"/>
      <c r="L56" s="482"/>
      <c r="M56" s="345"/>
      <c r="N56" s="345"/>
      <c r="O56" s="345"/>
      <c r="P56" s="1293" t="s">
        <v>566</v>
      </c>
      <c r="Q56" s="371"/>
      <c r="R56" s="345"/>
      <c r="S56" s="345"/>
      <c r="T56" s="345"/>
      <c r="U56" s="346"/>
      <c r="V56" s="345"/>
      <c r="W56" s="345"/>
      <c r="X56" s="345"/>
      <c r="Y56" s="345"/>
      <c r="Z56" s="345"/>
      <c r="AA56" s="345"/>
      <c r="AB56" s="345"/>
      <c r="AC56" s="345"/>
      <c r="AD56" s="345"/>
      <c r="AE56" s="345"/>
      <c r="AF56" s="345"/>
      <c r="AG56" s="345"/>
      <c r="AH56" s="345"/>
      <c r="AI56" s="345"/>
      <c r="AJ56" s="345"/>
      <c r="AK56" s="345"/>
      <c r="AL56" s="345"/>
      <c r="AM56" s="345"/>
      <c r="AN56" s="345"/>
      <c r="AO56" s="345"/>
      <c r="AP56" s="345"/>
      <c r="AQ56" s="345"/>
      <c r="AR56" s="345"/>
      <c r="AS56" s="345"/>
      <c r="AT56" s="345"/>
      <c r="AU56" s="345"/>
    </row>
    <row r="57" spans="1:47" ht="13.5" customHeight="1" x14ac:dyDescent="0.2">
      <c r="A57" s="1146"/>
      <c r="B57" s="418"/>
      <c r="C57" s="418"/>
      <c r="D57" s="418"/>
      <c r="E57" s="418"/>
      <c r="F57" s="418"/>
      <c r="G57" s="462"/>
      <c r="I57" s="418"/>
      <c r="J57" s="418"/>
      <c r="K57" s="418"/>
      <c r="L57" s="478"/>
      <c r="M57" s="345"/>
      <c r="N57" s="345"/>
      <c r="O57" s="345"/>
      <c r="Q57" s="371"/>
      <c r="R57" s="345"/>
      <c r="S57" s="345"/>
      <c r="T57" s="345"/>
      <c r="U57" s="346"/>
      <c r="V57" s="345"/>
      <c r="W57" s="345"/>
      <c r="X57" s="345"/>
      <c r="Y57" s="345"/>
      <c r="Z57" s="345"/>
      <c r="AA57" s="345"/>
      <c r="AB57" s="345"/>
      <c r="AC57" s="345"/>
      <c r="AD57" s="345"/>
      <c r="AE57" s="345"/>
      <c r="AF57" s="345"/>
      <c r="AG57" s="345"/>
      <c r="AH57" s="345"/>
      <c r="AI57" s="345"/>
      <c r="AJ57" s="345"/>
      <c r="AK57" s="345"/>
      <c r="AL57" s="345"/>
      <c r="AM57" s="345"/>
      <c r="AN57" s="345"/>
      <c r="AO57" s="345"/>
      <c r="AP57" s="345"/>
      <c r="AQ57" s="345"/>
      <c r="AR57" s="345"/>
      <c r="AS57" s="345"/>
      <c r="AT57" s="345"/>
      <c r="AU57" s="345"/>
    </row>
    <row r="58" spans="1:47" ht="13.5" customHeight="1" x14ac:dyDescent="0.2">
      <c r="A58" s="1146"/>
      <c r="B58" s="418"/>
      <c r="C58" s="418"/>
      <c r="D58" s="418"/>
      <c r="E58" s="418"/>
      <c r="F58" s="418"/>
      <c r="G58" s="462"/>
      <c r="I58" s="418"/>
      <c r="J58" s="418"/>
      <c r="K58" s="418"/>
      <c r="L58" s="478"/>
      <c r="M58" s="345"/>
      <c r="N58" s="345"/>
      <c r="O58" s="345"/>
      <c r="P58" s="275" t="s">
        <v>91</v>
      </c>
      <c r="Q58" s="371"/>
      <c r="R58" s="345"/>
      <c r="S58" s="345"/>
      <c r="T58" s="345"/>
      <c r="U58" s="346"/>
      <c r="V58" s="345"/>
      <c r="W58" s="345"/>
      <c r="X58" s="345"/>
      <c r="Y58" s="345"/>
      <c r="Z58" s="345"/>
      <c r="AA58" s="345"/>
      <c r="AB58" s="345"/>
      <c r="AC58" s="345"/>
      <c r="AD58" s="345"/>
      <c r="AE58" s="345"/>
      <c r="AF58" s="345"/>
      <c r="AG58" s="345"/>
      <c r="AH58" s="345"/>
      <c r="AI58" s="345"/>
      <c r="AJ58" s="345"/>
      <c r="AK58" s="345"/>
      <c r="AL58" s="345"/>
      <c r="AM58" s="345"/>
      <c r="AN58" s="345"/>
      <c r="AO58" s="345"/>
      <c r="AP58" s="345"/>
      <c r="AQ58" s="345"/>
      <c r="AR58" s="345"/>
      <c r="AS58" s="345"/>
      <c r="AT58" s="345"/>
      <c r="AU58" s="345"/>
    </row>
    <row r="59" spans="1:47" ht="6.75" customHeight="1" x14ac:dyDescent="0.2">
      <c r="A59" s="1146"/>
      <c r="B59" s="418"/>
      <c r="C59" s="418"/>
      <c r="D59" s="418"/>
      <c r="E59" s="418"/>
      <c r="F59" s="418"/>
      <c r="G59" s="462"/>
      <c r="I59" s="418"/>
      <c r="J59" s="418"/>
      <c r="K59" s="418"/>
      <c r="L59" s="478"/>
      <c r="M59" s="345"/>
      <c r="N59" s="345"/>
      <c r="O59" s="345"/>
      <c r="P59" s="275"/>
      <c r="Q59" s="371"/>
      <c r="R59" s="345"/>
      <c r="S59" s="345"/>
      <c r="T59" s="345"/>
      <c r="U59" s="346"/>
      <c r="V59" s="345"/>
      <c r="W59" s="345"/>
      <c r="X59" s="345"/>
      <c r="Y59" s="345"/>
      <c r="Z59" s="345"/>
      <c r="AA59" s="345"/>
      <c r="AB59" s="345"/>
      <c r="AC59" s="345"/>
      <c r="AD59" s="345"/>
      <c r="AE59" s="345"/>
      <c r="AF59" s="345"/>
      <c r="AG59" s="345"/>
      <c r="AH59" s="345"/>
      <c r="AI59" s="345"/>
      <c r="AJ59" s="345"/>
      <c r="AK59" s="345"/>
      <c r="AL59" s="345"/>
      <c r="AM59" s="345"/>
      <c r="AN59" s="345"/>
      <c r="AO59" s="345"/>
      <c r="AP59" s="345"/>
      <c r="AQ59" s="345"/>
      <c r="AR59" s="345"/>
      <c r="AS59" s="345"/>
      <c r="AT59" s="345"/>
      <c r="AU59" s="345"/>
    </row>
    <row r="60" spans="1:47" ht="13.5" customHeight="1" x14ac:dyDescent="0.2">
      <c r="B60" s="418"/>
      <c r="C60" s="418"/>
      <c r="D60" s="418"/>
      <c r="E60" s="418"/>
      <c r="F60" s="418"/>
      <c r="G60" s="462"/>
      <c r="I60" s="418"/>
      <c r="J60" s="418"/>
      <c r="K60" s="418"/>
      <c r="L60" s="478"/>
      <c r="M60" s="345"/>
      <c r="N60" s="345"/>
      <c r="O60" s="345"/>
      <c r="P60" s="1294"/>
      <c r="Q60" s="1296" t="s">
        <v>1782</v>
      </c>
      <c r="R60" s="1143" t="s">
        <v>1938</v>
      </c>
      <c r="S60" s="1143"/>
      <c r="T60" s="1297" t="s">
        <v>424</v>
      </c>
      <c r="U60" s="346"/>
      <c r="V60" s="345"/>
      <c r="W60" s="345"/>
      <c r="X60" s="345"/>
      <c r="Y60" s="345"/>
      <c r="Z60" s="345"/>
      <c r="AA60" s="345"/>
      <c r="AB60" s="345"/>
      <c r="AC60" s="345"/>
      <c r="AD60" s="345"/>
      <c r="AE60" s="345"/>
      <c r="AF60" s="345"/>
      <c r="AG60" s="345"/>
      <c r="AH60" s="345"/>
      <c r="AI60" s="345"/>
      <c r="AJ60" s="345"/>
      <c r="AK60" s="345"/>
      <c r="AL60" s="345"/>
      <c r="AM60" s="345"/>
      <c r="AN60" s="345"/>
      <c r="AO60" s="345"/>
      <c r="AP60" s="345"/>
      <c r="AQ60" s="345"/>
      <c r="AR60" s="345"/>
      <c r="AS60" s="345"/>
      <c r="AT60" s="345"/>
      <c r="AU60" s="345"/>
    </row>
    <row r="61" spans="1:47" ht="13.5" customHeight="1" x14ac:dyDescent="0.2">
      <c r="A61" s="421"/>
      <c r="B61" s="418"/>
      <c r="C61" s="418"/>
      <c r="D61" s="418"/>
      <c r="E61" s="418"/>
      <c r="F61" s="418"/>
      <c r="G61" s="462"/>
      <c r="I61" s="418"/>
      <c r="J61" s="418"/>
      <c r="K61" s="418"/>
      <c r="L61" s="478"/>
      <c r="M61" s="345"/>
      <c r="N61" s="345"/>
      <c r="O61" s="345"/>
      <c r="Q61" s="8"/>
      <c r="R61" s="8"/>
      <c r="S61" s="8"/>
      <c r="T61" s="1298"/>
      <c r="U61" s="346"/>
      <c r="V61" s="345"/>
      <c r="W61" s="345"/>
      <c r="X61" s="345"/>
      <c r="Y61" s="345"/>
      <c r="Z61" s="345"/>
      <c r="AA61" s="345"/>
      <c r="AB61" s="345"/>
      <c r="AC61" s="345"/>
      <c r="AD61" s="345"/>
      <c r="AE61" s="345"/>
      <c r="AF61" s="345"/>
      <c r="AG61" s="345"/>
      <c r="AH61" s="345"/>
      <c r="AI61" s="345"/>
      <c r="AJ61" s="345"/>
      <c r="AK61" s="345"/>
      <c r="AL61" s="345"/>
      <c r="AM61" s="345"/>
      <c r="AN61" s="345"/>
      <c r="AO61" s="345"/>
      <c r="AP61" s="345"/>
      <c r="AQ61" s="345"/>
      <c r="AR61" s="345"/>
      <c r="AS61" s="345"/>
      <c r="AT61" s="345"/>
      <c r="AU61" s="345"/>
    </row>
    <row r="62" spans="1:47" ht="13.5" customHeight="1" x14ac:dyDescent="0.2">
      <c r="A62" s="421"/>
      <c r="B62" s="418"/>
      <c r="C62" s="418"/>
      <c r="D62" s="418"/>
      <c r="E62" s="418"/>
      <c r="F62" s="418"/>
      <c r="G62" s="462"/>
      <c r="I62" s="418"/>
      <c r="J62" s="418"/>
      <c r="K62" s="418"/>
      <c r="L62" s="478"/>
      <c r="M62" s="345"/>
      <c r="N62" s="345"/>
      <c r="O62" s="345"/>
      <c r="P62" s="369" t="s">
        <v>338</v>
      </c>
      <c r="Q62" s="1303" t="s">
        <v>567</v>
      </c>
      <c r="R62" s="1308">
        <f>C34</f>
        <v>0.71309005691329097</v>
      </c>
      <c r="S62" s="1307"/>
      <c r="T62" s="1915"/>
      <c r="U62" s="346"/>
      <c r="V62" s="345"/>
      <c r="W62" s="345"/>
      <c r="X62" s="345"/>
      <c r="Y62" s="345"/>
      <c r="Z62" s="345"/>
      <c r="AA62" s="345"/>
      <c r="AB62" s="345"/>
      <c r="AC62" s="345"/>
      <c r="AD62" s="345"/>
      <c r="AE62" s="345"/>
      <c r="AF62" s="345"/>
      <c r="AG62" s="345"/>
      <c r="AH62" s="345"/>
      <c r="AI62" s="345"/>
      <c r="AJ62" s="345"/>
      <c r="AK62" s="345"/>
      <c r="AL62" s="345"/>
      <c r="AM62" s="345"/>
      <c r="AN62" s="345"/>
      <c r="AO62" s="345"/>
      <c r="AP62" s="345"/>
      <c r="AQ62" s="345"/>
      <c r="AR62" s="345"/>
      <c r="AS62" s="345"/>
      <c r="AT62" s="345"/>
      <c r="AU62" s="345"/>
    </row>
    <row r="63" spans="1:47" ht="13.5" customHeight="1" x14ac:dyDescent="0.2">
      <c r="A63" s="421"/>
      <c r="B63" s="418"/>
      <c r="C63" s="418"/>
      <c r="D63" s="418"/>
      <c r="E63" s="418"/>
      <c r="F63" s="418"/>
      <c r="G63" s="462"/>
      <c r="I63" s="418"/>
      <c r="J63" s="418"/>
      <c r="K63" s="418"/>
      <c r="L63" s="478"/>
      <c r="M63" s="345"/>
      <c r="N63" s="345"/>
      <c r="O63" s="345"/>
      <c r="Q63" s="2071"/>
      <c r="R63" s="8"/>
      <c r="S63" s="8"/>
      <c r="T63" s="1298"/>
      <c r="U63" s="346"/>
      <c r="V63" s="363"/>
      <c r="W63" s="345"/>
      <c r="X63" s="345"/>
      <c r="Y63" s="345"/>
      <c r="Z63" s="345"/>
      <c r="AA63" s="345"/>
      <c r="AB63" s="345"/>
      <c r="AC63" s="345"/>
      <c r="AD63" s="345"/>
      <c r="AE63" s="345"/>
      <c r="AF63" s="345"/>
      <c r="AG63" s="345"/>
      <c r="AH63" s="345"/>
      <c r="AI63" s="345"/>
      <c r="AJ63" s="345"/>
      <c r="AK63" s="345"/>
      <c r="AL63" s="345"/>
      <c r="AM63" s="345"/>
      <c r="AN63" s="345"/>
      <c r="AO63" s="345"/>
      <c r="AP63" s="345"/>
      <c r="AQ63" s="345"/>
      <c r="AR63" s="345"/>
      <c r="AS63" s="345"/>
      <c r="AT63" s="345"/>
      <c r="AU63" s="345"/>
    </row>
    <row r="64" spans="1:47" ht="13.5" customHeight="1" x14ac:dyDescent="0.2">
      <c r="A64" s="421"/>
      <c r="B64" s="418"/>
      <c r="C64" s="418"/>
      <c r="D64" s="418"/>
      <c r="E64" s="418"/>
      <c r="F64" s="418"/>
      <c r="G64" s="462"/>
      <c r="I64" s="418"/>
      <c r="J64" s="418"/>
      <c r="K64" s="418"/>
      <c r="L64" s="478"/>
      <c r="M64" s="345"/>
      <c r="N64" s="345"/>
      <c r="O64" s="345"/>
      <c r="P64" s="563" t="s">
        <v>137</v>
      </c>
      <c r="Q64" s="2072"/>
      <c r="R64" s="1300"/>
      <c r="S64" s="1300"/>
      <c r="T64" s="1298"/>
      <c r="U64" s="346"/>
      <c r="V64" s="345"/>
      <c r="W64" s="345"/>
      <c r="X64" s="345"/>
      <c r="Y64" s="345"/>
      <c r="Z64" s="345"/>
      <c r="AA64" s="345"/>
      <c r="AB64" s="345"/>
      <c r="AC64" s="345"/>
      <c r="AD64" s="345"/>
      <c r="AE64" s="345"/>
      <c r="AF64" s="345"/>
      <c r="AG64" s="345"/>
      <c r="AH64" s="345"/>
      <c r="AI64" s="345"/>
      <c r="AJ64" s="345"/>
      <c r="AK64" s="345"/>
      <c r="AL64" s="345"/>
      <c r="AM64" s="345"/>
      <c r="AN64" s="345"/>
      <c r="AO64" s="345"/>
      <c r="AP64" s="345"/>
      <c r="AQ64" s="345"/>
      <c r="AR64" s="345"/>
      <c r="AS64" s="345"/>
      <c r="AT64" s="345"/>
      <c r="AU64" s="345"/>
    </row>
    <row r="65" spans="1:47" ht="13.5" customHeight="1" x14ac:dyDescent="0.2">
      <c r="A65" s="421"/>
      <c r="B65" s="418"/>
      <c r="C65" s="418"/>
      <c r="D65" s="418"/>
      <c r="E65" s="418"/>
      <c r="F65" s="418"/>
      <c r="G65" s="462"/>
      <c r="I65" s="418"/>
      <c r="J65" s="418"/>
      <c r="K65" s="418"/>
      <c r="L65" s="478"/>
      <c r="M65" s="345"/>
      <c r="N65" s="345"/>
      <c r="O65" s="345"/>
      <c r="P65" s="213" t="s">
        <v>1143</v>
      </c>
      <c r="Q65" s="1301" t="s">
        <v>428</v>
      </c>
      <c r="R65" s="1302"/>
      <c r="S65" s="1302"/>
      <c r="T65" s="1408"/>
      <c r="U65" s="346"/>
      <c r="V65" s="345"/>
      <c r="W65" s="345"/>
      <c r="X65" s="345"/>
      <c r="Y65" s="345"/>
      <c r="Z65" s="345"/>
      <c r="AA65" s="345"/>
      <c r="AB65" s="345"/>
      <c r="AC65" s="345"/>
      <c r="AD65" s="345"/>
      <c r="AE65" s="345"/>
      <c r="AF65" s="345"/>
      <c r="AG65" s="345"/>
      <c r="AH65" s="345"/>
      <c r="AI65" s="345"/>
      <c r="AJ65" s="345"/>
      <c r="AK65" s="345"/>
      <c r="AL65" s="345"/>
      <c r="AM65" s="345"/>
      <c r="AN65" s="345"/>
      <c r="AO65" s="345"/>
      <c r="AP65" s="345"/>
      <c r="AQ65" s="345"/>
      <c r="AR65" s="345"/>
      <c r="AS65" s="345"/>
      <c r="AT65" s="345"/>
      <c r="AU65" s="345"/>
    </row>
    <row r="66" spans="1:47" ht="13.5" customHeight="1" x14ac:dyDescent="0.2">
      <c r="A66" s="421"/>
      <c r="B66" s="418"/>
      <c r="C66" s="418"/>
      <c r="D66" s="418"/>
      <c r="E66" s="418"/>
      <c r="F66" s="418"/>
      <c r="G66" s="462"/>
      <c r="I66" s="418"/>
      <c r="J66" s="418"/>
      <c r="K66" s="418"/>
      <c r="L66" s="478"/>
      <c r="M66" s="345"/>
      <c r="N66" s="345"/>
      <c r="O66" s="345"/>
      <c r="P66" s="369" t="s">
        <v>1309</v>
      </c>
      <c r="Q66" s="1301" t="s">
        <v>1571</v>
      </c>
      <c r="R66" s="1302"/>
      <c r="S66" s="1302"/>
      <c r="T66" s="1408"/>
      <c r="U66" s="346"/>
      <c r="V66" s="345"/>
      <c r="W66" s="345"/>
      <c r="X66" s="345"/>
      <c r="Y66" s="345"/>
      <c r="Z66" s="345"/>
      <c r="AA66" s="345"/>
      <c r="AB66" s="345"/>
      <c r="AC66" s="345"/>
      <c r="AD66" s="345"/>
      <c r="AE66" s="345"/>
      <c r="AF66" s="345"/>
      <c r="AG66" s="345"/>
      <c r="AH66" s="345"/>
      <c r="AI66" s="345"/>
      <c r="AJ66" s="345"/>
      <c r="AK66" s="345"/>
      <c r="AL66" s="345"/>
      <c r="AM66" s="345"/>
      <c r="AN66" s="345"/>
      <c r="AO66" s="345"/>
      <c r="AP66" s="345"/>
      <c r="AQ66" s="345"/>
      <c r="AR66" s="345"/>
      <c r="AS66" s="345"/>
      <c r="AT66" s="345"/>
      <c r="AU66" s="345"/>
    </row>
    <row r="67" spans="1:47" ht="13.5" customHeight="1" x14ac:dyDescent="0.2">
      <c r="A67" s="418"/>
      <c r="B67" s="418"/>
      <c r="C67" s="418"/>
      <c r="D67" s="418"/>
      <c r="E67" s="418"/>
      <c r="F67" s="418"/>
      <c r="G67" s="462"/>
      <c r="I67" s="418"/>
      <c r="J67" s="418"/>
      <c r="K67" s="418"/>
      <c r="L67" s="478"/>
      <c r="M67" s="345"/>
      <c r="N67" s="345"/>
      <c r="O67" s="345"/>
      <c r="P67" s="369" t="s">
        <v>2036</v>
      </c>
      <c r="Q67" s="1301" t="s">
        <v>1992</v>
      </c>
      <c r="R67" s="1302"/>
      <c r="S67" s="1302"/>
      <c r="T67" s="1408"/>
      <c r="U67" s="346"/>
      <c r="V67" s="345"/>
      <c r="W67" s="345"/>
      <c r="X67" s="345"/>
      <c r="Y67" s="345"/>
      <c r="Z67" s="345"/>
      <c r="AA67" s="345"/>
      <c r="AB67" s="345"/>
      <c r="AC67" s="345"/>
      <c r="AD67" s="345"/>
      <c r="AE67" s="345"/>
      <c r="AF67" s="345"/>
      <c r="AG67" s="345"/>
      <c r="AH67" s="345"/>
      <c r="AI67" s="345"/>
      <c r="AJ67" s="345"/>
      <c r="AK67" s="345"/>
      <c r="AL67" s="345"/>
      <c r="AM67" s="345"/>
      <c r="AN67" s="345"/>
      <c r="AO67" s="345"/>
      <c r="AP67" s="345"/>
      <c r="AQ67" s="345"/>
      <c r="AR67" s="345"/>
      <c r="AS67" s="345"/>
      <c r="AT67" s="345"/>
      <c r="AU67" s="345"/>
    </row>
    <row r="68" spans="1:47" ht="13.5" customHeight="1" x14ac:dyDescent="0.2">
      <c r="A68" s="418"/>
      <c r="B68" s="418"/>
      <c r="C68" s="418"/>
      <c r="D68" s="418"/>
      <c r="E68" s="418"/>
      <c r="F68" s="418"/>
      <c r="G68" s="462"/>
      <c r="I68" s="418"/>
      <c r="J68" s="418"/>
      <c r="K68" s="418"/>
      <c r="L68" s="478"/>
      <c r="M68" s="345"/>
      <c r="N68" s="345"/>
      <c r="O68" s="345"/>
      <c r="P68" s="392"/>
      <c r="Q68" s="2073"/>
      <c r="R68" s="1300"/>
      <c r="S68" s="1300"/>
      <c r="T68" s="1298"/>
      <c r="U68" s="346"/>
      <c r="V68" s="345"/>
      <c r="W68" s="345"/>
      <c r="X68" s="345"/>
      <c r="Y68" s="345"/>
      <c r="Z68" s="345"/>
      <c r="AA68" s="345"/>
      <c r="AB68" s="345"/>
      <c r="AC68" s="345"/>
      <c r="AD68" s="345"/>
      <c r="AE68" s="345"/>
      <c r="AF68" s="345"/>
      <c r="AG68" s="345"/>
      <c r="AH68" s="345"/>
      <c r="AI68" s="345"/>
      <c r="AJ68" s="345"/>
      <c r="AK68" s="345"/>
      <c r="AL68" s="345"/>
      <c r="AM68" s="345"/>
      <c r="AN68" s="345"/>
      <c r="AO68" s="345"/>
      <c r="AP68" s="345"/>
      <c r="AQ68" s="345"/>
      <c r="AR68" s="345"/>
      <c r="AS68" s="345"/>
      <c r="AT68" s="345"/>
      <c r="AU68" s="345"/>
    </row>
    <row r="69" spans="1:47" ht="13.5" customHeight="1" x14ac:dyDescent="0.2">
      <c r="A69" s="418"/>
      <c r="B69" s="418"/>
      <c r="C69" s="418"/>
      <c r="D69" s="418"/>
      <c r="E69" s="418"/>
      <c r="F69" s="418"/>
      <c r="G69" s="462"/>
      <c r="I69" s="418"/>
      <c r="J69" s="418"/>
      <c r="K69" s="418"/>
      <c r="L69" s="478"/>
      <c r="M69" s="345"/>
      <c r="N69" s="345"/>
      <c r="O69" s="345"/>
      <c r="P69" s="1295" t="s">
        <v>125</v>
      </c>
      <c r="Q69" s="2073"/>
      <c r="R69" s="1300"/>
      <c r="S69" s="1300"/>
      <c r="T69" s="1298"/>
      <c r="U69" s="346"/>
      <c r="V69" s="345"/>
      <c r="W69" s="345"/>
      <c r="X69" s="345"/>
      <c r="Y69" s="345"/>
      <c r="Z69" s="345"/>
      <c r="AA69" s="345"/>
      <c r="AB69" s="345"/>
      <c r="AC69" s="345"/>
      <c r="AD69" s="345"/>
      <c r="AE69" s="345"/>
      <c r="AF69" s="345"/>
      <c r="AG69" s="345"/>
      <c r="AH69" s="345"/>
      <c r="AI69" s="345"/>
      <c r="AJ69" s="345"/>
      <c r="AK69" s="345"/>
      <c r="AL69" s="345"/>
      <c r="AM69" s="345"/>
      <c r="AN69" s="345"/>
      <c r="AO69" s="345"/>
      <c r="AP69" s="345"/>
      <c r="AQ69" s="345"/>
      <c r="AR69" s="345"/>
      <c r="AS69" s="345"/>
      <c r="AT69" s="345"/>
      <c r="AU69" s="345"/>
    </row>
    <row r="70" spans="1:47" ht="13.5" customHeight="1" x14ac:dyDescent="0.2">
      <c r="A70" s="418"/>
      <c r="B70" s="418"/>
      <c r="C70" s="418"/>
      <c r="D70" s="418"/>
      <c r="E70" s="418"/>
      <c r="F70" s="418"/>
      <c r="G70" s="462"/>
      <c r="I70" s="418"/>
      <c r="J70" s="418"/>
      <c r="K70" s="418"/>
      <c r="L70" s="478"/>
      <c r="M70" s="345"/>
      <c r="N70" s="345"/>
      <c r="O70" s="345"/>
      <c r="P70" s="213" t="s">
        <v>139</v>
      </c>
      <c r="Q70" s="1304" t="s">
        <v>1994</v>
      </c>
      <c r="R70" s="1421">
        <f>C9</f>
        <v>452</v>
      </c>
      <c r="S70" s="1303"/>
      <c r="T70" s="1409"/>
      <c r="U70" s="346"/>
      <c r="V70" s="345"/>
      <c r="W70" s="345"/>
      <c r="X70" s="345"/>
      <c r="Y70" s="345"/>
      <c r="Z70" s="345"/>
      <c r="AA70" s="345"/>
      <c r="AB70" s="345"/>
      <c r="AC70" s="345"/>
      <c r="AD70" s="345"/>
      <c r="AE70" s="345"/>
      <c r="AF70" s="345"/>
      <c r="AG70" s="345"/>
      <c r="AH70" s="345"/>
      <c r="AI70" s="345"/>
      <c r="AJ70" s="345"/>
      <c r="AK70" s="345"/>
      <c r="AL70" s="345"/>
      <c r="AM70" s="345"/>
      <c r="AN70" s="345"/>
      <c r="AO70" s="345"/>
      <c r="AP70" s="345"/>
      <c r="AQ70" s="345"/>
      <c r="AR70" s="345"/>
      <c r="AS70" s="345"/>
      <c r="AT70" s="345"/>
      <c r="AU70" s="345"/>
    </row>
    <row r="71" spans="1:47" ht="13.5" customHeight="1" x14ac:dyDescent="0.2">
      <c r="A71" s="418"/>
      <c r="B71" s="418"/>
      <c r="C71" s="418"/>
      <c r="D71" s="418"/>
      <c r="E71" s="418"/>
      <c r="F71" s="418"/>
      <c r="G71" s="462"/>
      <c r="I71" s="418"/>
      <c r="J71" s="418"/>
      <c r="K71" s="418"/>
      <c r="L71" s="478"/>
      <c r="M71" s="345"/>
      <c r="N71" s="345"/>
      <c r="O71" s="345"/>
      <c r="P71" s="369" t="s">
        <v>138</v>
      </c>
      <c r="Q71" s="1303">
        <v>20</v>
      </c>
      <c r="R71" s="1389">
        <f>C10-C14</f>
        <v>70</v>
      </c>
      <c r="S71" s="1305"/>
      <c r="T71" s="1298"/>
      <c r="U71" s="346"/>
      <c r="V71" s="1166"/>
      <c r="W71" s="345"/>
      <c r="X71" s="345"/>
      <c r="Y71" s="345"/>
      <c r="Z71" s="345"/>
      <c r="AA71" s="345"/>
      <c r="AB71" s="345"/>
      <c r="AC71" s="345"/>
      <c r="AD71" s="345"/>
      <c r="AE71" s="345"/>
      <c r="AF71" s="345"/>
      <c r="AG71" s="345"/>
      <c r="AH71" s="345"/>
      <c r="AI71" s="345"/>
      <c r="AJ71" s="345"/>
      <c r="AK71" s="345"/>
      <c r="AL71" s="345"/>
      <c r="AM71" s="345"/>
      <c r="AN71" s="345"/>
      <c r="AO71" s="345"/>
      <c r="AP71" s="345"/>
      <c r="AQ71" s="345"/>
      <c r="AR71" s="345"/>
      <c r="AS71" s="345"/>
      <c r="AT71" s="345"/>
      <c r="AU71" s="345"/>
    </row>
    <row r="72" spans="1:47" ht="13.5" customHeight="1" x14ac:dyDescent="0.2">
      <c r="A72" s="418"/>
      <c r="B72" s="418"/>
      <c r="C72" s="418"/>
      <c r="D72" s="418"/>
      <c r="E72" s="418"/>
      <c r="F72" s="418"/>
      <c r="G72" s="462"/>
      <c r="I72" s="418"/>
      <c r="J72" s="418"/>
      <c r="K72" s="418"/>
      <c r="L72" s="478"/>
      <c r="M72" s="345"/>
      <c r="N72" s="345"/>
      <c r="O72" s="345"/>
      <c r="Q72" s="783"/>
      <c r="S72" s="1300"/>
      <c r="T72" s="1298"/>
      <c r="U72" s="346"/>
      <c r="V72" s="345"/>
      <c r="W72" s="345"/>
      <c r="X72" s="345"/>
      <c r="Y72" s="345"/>
      <c r="Z72" s="345"/>
      <c r="AA72" s="345"/>
      <c r="AB72" s="345"/>
      <c r="AC72" s="345"/>
      <c r="AD72" s="345"/>
      <c r="AE72" s="345"/>
      <c r="AF72" s="345"/>
      <c r="AG72" s="345"/>
      <c r="AH72" s="345"/>
      <c r="AI72" s="345"/>
      <c r="AJ72" s="345"/>
      <c r="AK72" s="345"/>
      <c r="AL72" s="345"/>
      <c r="AM72" s="345"/>
      <c r="AN72" s="345"/>
      <c r="AO72" s="345"/>
      <c r="AP72" s="345"/>
      <c r="AQ72" s="311">
        <f>79/222</f>
        <v>0.35585585585585583</v>
      </c>
      <c r="AR72" s="345"/>
      <c r="AS72" s="345"/>
      <c r="AT72" s="345"/>
      <c r="AU72" s="345"/>
    </row>
    <row r="73" spans="1:47" ht="13.5" customHeight="1" x14ac:dyDescent="0.2">
      <c r="A73" s="418"/>
      <c r="B73" s="418"/>
      <c r="C73" s="418"/>
      <c r="D73" s="418"/>
      <c r="E73" s="418"/>
      <c r="F73" s="418"/>
      <c r="G73" s="462"/>
      <c r="I73" s="418"/>
      <c r="J73" s="418"/>
      <c r="K73" s="418"/>
      <c r="L73" s="478"/>
      <c r="M73" s="345"/>
      <c r="N73" s="345"/>
      <c r="O73" s="345"/>
      <c r="P73" s="1295" t="s">
        <v>1931</v>
      </c>
      <c r="Q73" s="2070"/>
      <c r="R73" s="1300"/>
      <c r="S73" s="1300"/>
      <c r="T73" s="1298"/>
      <c r="U73" s="346"/>
      <c r="V73" s="345"/>
      <c r="W73" s="345"/>
      <c r="X73" s="345"/>
      <c r="Y73" s="345"/>
      <c r="Z73" s="345"/>
      <c r="AA73" s="345"/>
      <c r="AB73" s="345"/>
      <c r="AC73" s="345"/>
      <c r="AD73" s="345"/>
      <c r="AE73" s="345"/>
      <c r="AF73" s="345"/>
      <c r="AG73" s="345"/>
      <c r="AH73" s="345"/>
      <c r="AI73" s="345"/>
      <c r="AJ73" s="345"/>
      <c r="AK73" s="345"/>
      <c r="AL73" s="345"/>
      <c r="AM73" s="345"/>
      <c r="AN73" s="345"/>
      <c r="AO73" s="345"/>
      <c r="AP73" s="345"/>
      <c r="AR73" s="345"/>
      <c r="AS73" s="345"/>
      <c r="AT73" s="345"/>
      <c r="AU73" s="345"/>
    </row>
    <row r="74" spans="1:47" ht="13.5" customHeight="1" x14ac:dyDescent="0.2">
      <c r="A74" s="418"/>
      <c r="B74" s="418"/>
      <c r="C74" s="418"/>
      <c r="D74" s="418"/>
      <c r="E74" s="418"/>
      <c r="F74" s="418"/>
      <c r="G74" s="462"/>
      <c r="I74" s="418"/>
      <c r="J74" s="418"/>
      <c r="K74" s="418"/>
      <c r="L74" s="478"/>
      <c r="M74" s="345"/>
      <c r="N74" s="345"/>
      <c r="O74" s="345"/>
      <c r="P74" s="369" t="s">
        <v>140</v>
      </c>
      <c r="Q74" s="1305" t="s">
        <v>568</v>
      </c>
      <c r="R74" s="1407">
        <f>C15</f>
        <v>159</v>
      </c>
      <c r="S74" s="1300"/>
      <c r="T74" s="1409"/>
      <c r="U74" s="346"/>
      <c r="V74" s="1767"/>
      <c r="W74" s="345"/>
      <c r="X74" s="345"/>
      <c r="Y74" s="345"/>
      <c r="Z74" s="345"/>
      <c r="AA74" s="345"/>
      <c r="AB74" s="345"/>
      <c r="AC74" s="345"/>
      <c r="AD74" s="345"/>
      <c r="AE74" s="345"/>
      <c r="AF74" s="345"/>
      <c r="AG74" s="345"/>
      <c r="AH74" s="345"/>
      <c r="AI74" s="345"/>
      <c r="AJ74" s="345"/>
      <c r="AK74" s="345"/>
      <c r="AL74" s="345"/>
      <c r="AM74" s="345"/>
      <c r="AN74" s="345"/>
      <c r="AO74" s="345"/>
      <c r="AP74" s="345"/>
      <c r="AQ74" s="345"/>
      <c r="AR74" s="345"/>
      <c r="AS74" s="345"/>
      <c r="AT74" s="345"/>
      <c r="AU74" s="345"/>
    </row>
    <row r="75" spans="1:47" ht="13.5" customHeight="1" x14ac:dyDescent="0.2">
      <c r="A75" s="418"/>
      <c r="B75" s="418"/>
      <c r="C75" s="418"/>
      <c r="D75" s="418"/>
      <c r="E75" s="418"/>
      <c r="F75" s="418"/>
      <c r="G75" s="462"/>
      <c r="I75" s="418"/>
      <c r="J75" s="418"/>
      <c r="K75" s="418"/>
      <c r="L75" s="478"/>
      <c r="M75" s="345"/>
      <c r="N75" s="345"/>
      <c r="O75" s="345"/>
      <c r="P75" s="213" t="s">
        <v>141</v>
      </c>
      <c r="Q75" s="1304" t="s">
        <v>569</v>
      </c>
      <c r="R75" s="1300">
        <f>C19</f>
        <v>316</v>
      </c>
      <c r="S75" s="1300"/>
      <c r="T75" s="1298"/>
      <c r="U75" s="346"/>
      <c r="V75" s="345"/>
      <c r="W75" s="345"/>
      <c r="X75" s="345"/>
      <c r="Y75" s="345"/>
      <c r="Z75" s="345"/>
      <c r="AA75" s="345"/>
      <c r="AB75" s="345"/>
      <c r="AC75" s="345"/>
      <c r="AD75" s="345"/>
      <c r="AE75" s="345"/>
      <c r="AF75" s="345"/>
      <c r="AG75" s="345"/>
      <c r="AH75" s="345"/>
      <c r="AI75" s="345"/>
      <c r="AJ75" s="345"/>
      <c r="AK75" s="345"/>
      <c r="AL75" s="345"/>
      <c r="AM75" s="345"/>
      <c r="AN75" s="345"/>
      <c r="AO75" s="345"/>
      <c r="AP75" s="345"/>
      <c r="AQ75" s="345"/>
      <c r="AR75" s="345"/>
      <c r="AS75" s="345"/>
      <c r="AT75" s="345"/>
      <c r="AU75" s="345"/>
    </row>
    <row r="76" spans="1:47" ht="13.5" customHeight="1" x14ac:dyDescent="0.2">
      <c r="A76" s="418"/>
      <c r="B76" s="418"/>
      <c r="C76" s="418"/>
      <c r="D76" s="418"/>
      <c r="E76" s="418"/>
      <c r="F76" s="418"/>
      <c r="G76" s="462"/>
      <c r="I76" s="418"/>
      <c r="J76" s="418"/>
      <c r="K76" s="418"/>
      <c r="L76" s="478"/>
      <c r="M76" s="345"/>
      <c r="N76" s="345"/>
      <c r="O76" s="345"/>
      <c r="P76" s="213" t="s">
        <v>89</v>
      </c>
      <c r="Q76" s="1303">
        <v>-25</v>
      </c>
      <c r="R76" s="1300">
        <f>C21</f>
        <v>-30</v>
      </c>
      <c r="S76" s="1300"/>
      <c r="T76" s="1298"/>
      <c r="U76" s="346"/>
      <c r="V76" s="345"/>
      <c r="W76" s="345"/>
      <c r="X76" s="345"/>
      <c r="Y76" s="345"/>
      <c r="Z76" s="345"/>
      <c r="AA76" s="345"/>
      <c r="AB76" s="345"/>
      <c r="AC76" s="345"/>
      <c r="AD76" s="345"/>
      <c r="AE76" s="345"/>
      <c r="AF76" s="345"/>
      <c r="AG76" s="345"/>
      <c r="AH76" s="345"/>
      <c r="AI76" s="345"/>
      <c r="AJ76" s="345"/>
      <c r="AK76" s="345"/>
      <c r="AL76" s="345"/>
      <c r="AM76" s="345"/>
      <c r="AN76" s="345"/>
      <c r="AO76" s="345"/>
      <c r="AP76" s="345"/>
      <c r="AQ76" s="345"/>
      <c r="AR76" s="345"/>
      <c r="AS76" s="345"/>
      <c r="AT76" s="345"/>
      <c r="AU76" s="345"/>
    </row>
    <row r="77" spans="1:47" ht="13.5" customHeight="1" x14ac:dyDescent="0.2">
      <c r="A77" s="421"/>
      <c r="B77" s="418"/>
      <c r="C77" s="424"/>
      <c r="D77" s="424"/>
      <c r="E77" s="424"/>
      <c r="F77" s="424"/>
      <c r="G77" s="457"/>
      <c r="I77" s="424"/>
      <c r="J77" s="424"/>
      <c r="K77" s="424"/>
      <c r="L77" s="465"/>
      <c r="M77" s="345"/>
      <c r="N77" s="345"/>
      <c r="O77" s="345"/>
      <c r="P77" s="213" t="s">
        <v>1294</v>
      </c>
      <c r="Q77" s="1303">
        <v>0</v>
      </c>
      <c r="R77" s="1300">
        <f>C24</f>
        <v>-8</v>
      </c>
      <c r="S77" s="1300"/>
      <c r="T77" s="1298"/>
      <c r="U77" s="346"/>
      <c r="V77" s="345"/>
      <c r="W77" s="345"/>
      <c r="X77" s="345"/>
      <c r="Y77" s="345"/>
      <c r="Z77" s="345"/>
      <c r="AA77" s="345"/>
      <c r="AB77" s="345"/>
      <c r="AC77" s="345"/>
      <c r="AD77" s="345"/>
      <c r="AE77" s="345"/>
      <c r="AF77" s="345"/>
      <c r="AG77" s="345"/>
      <c r="AH77" s="345"/>
      <c r="AI77" s="345"/>
      <c r="AJ77" s="345"/>
      <c r="AK77" s="345"/>
      <c r="AL77" s="345"/>
      <c r="AM77" s="345"/>
      <c r="AN77" s="345"/>
      <c r="AO77" s="345"/>
      <c r="AP77" s="345"/>
      <c r="AQ77" s="345"/>
      <c r="AR77" s="345"/>
      <c r="AS77" s="345"/>
      <c r="AT77" s="345"/>
      <c r="AU77" s="345"/>
    </row>
    <row r="78" spans="1:47" ht="5.25" customHeight="1" x14ac:dyDescent="0.2">
      <c r="A78" s="418"/>
      <c r="B78" s="418"/>
      <c r="C78" s="418"/>
      <c r="D78" s="418"/>
      <c r="E78" s="418"/>
      <c r="F78" s="418"/>
      <c r="G78" s="462"/>
      <c r="I78" s="418"/>
      <c r="J78" s="418"/>
      <c r="K78" s="418"/>
      <c r="L78" s="478"/>
      <c r="M78" s="345"/>
      <c r="N78" s="345"/>
      <c r="O78" s="345"/>
      <c r="T78" s="1306"/>
      <c r="U78" s="346"/>
      <c r="V78" s="345"/>
      <c r="W78" s="345"/>
      <c r="X78" s="345"/>
      <c r="Y78" s="345"/>
      <c r="Z78" s="345"/>
      <c r="AA78" s="345"/>
      <c r="AB78" s="345"/>
      <c r="AC78" s="345"/>
      <c r="AD78" s="345"/>
      <c r="AE78" s="345"/>
      <c r="AF78" s="345"/>
      <c r="AG78" s="345"/>
      <c r="AH78" s="345"/>
      <c r="AI78" s="345"/>
      <c r="AJ78" s="345"/>
      <c r="AK78" s="345"/>
      <c r="AL78" s="345"/>
      <c r="AM78" s="345"/>
      <c r="AN78" s="345"/>
      <c r="AO78" s="345"/>
      <c r="AP78" s="345"/>
      <c r="AQ78" s="345"/>
      <c r="AR78" s="345"/>
      <c r="AS78" s="345"/>
      <c r="AT78" s="345"/>
      <c r="AU78" s="345"/>
    </row>
    <row r="79" spans="1:47" ht="6.75" customHeight="1" x14ac:dyDescent="0.2">
      <c r="A79" s="418"/>
      <c r="B79" s="418"/>
      <c r="C79" s="459"/>
      <c r="D79" s="459"/>
      <c r="E79" s="459"/>
      <c r="F79" s="418"/>
      <c r="G79" s="467"/>
      <c r="I79" s="470"/>
      <c r="J79" s="459"/>
      <c r="K79" s="418"/>
      <c r="L79" s="467"/>
      <c r="M79" s="418"/>
      <c r="N79" s="418"/>
      <c r="O79" s="418"/>
      <c r="P79" s="418"/>
      <c r="Q79" s="418"/>
      <c r="R79" s="418"/>
      <c r="S79" s="418"/>
      <c r="T79" s="418"/>
      <c r="U79" s="418"/>
      <c r="V79" s="418"/>
      <c r="W79" s="418"/>
      <c r="X79" s="418"/>
      <c r="Y79" s="418"/>
      <c r="Z79" s="418"/>
      <c r="AA79" s="418"/>
      <c r="AB79" s="418"/>
      <c r="AC79" s="418"/>
      <c r="AD79" s="418"/>
      <c r="AE79" s="418"/>
      <c r="AF79" s="418"/>
      <c r="AG79" s="418"/>
      <c r="AH79" s="418"/>
      <c r="AI79" s="418"/>
      <c r="AJ79" s="418"/>
      <c r="AK79" s="418"/>
      <c r="AL79" s="418"/>
      <c r="AM79" s="418"/>
      <c r="AN79" s="418"/>
      <c r="AO79" s="418"/>
      <c r="AP79" s="418"/>
      <c r="AQ79" s="418"/>
      <c r="AR79" s="418"/>
      <c r="AS79" s="418"/>
      <c r="AT79" s="418"/>
      <c r="AU79" s="418"/>
    </row>
    <row r="80" spans="1:47" s="70" customFormat="1" ht="13.5" customHeight="1" x14ac:dyDescent="0.2">
      <c r="A80" s="418"/>
      <c r="B80" s="418"/>
      <c r="C80" s="460"/>
      <c r="D80" s="460"/>
      <c r="E80" s="423"/>
      <c r="F80" s="460"/>
      <c r="G80" s="467"/>
      <c r="H80"/>
      <c r="I80" s="471"/>
      <c r="J80" s="460"/>
      <c r="K80" s="423"/>
      <c r="L80" s="469"/>
      <c r="M80" s="418"/>
      <c r="N80" s="418"/>
      <c r="O80" s="418"/>
      <c r="P80" s="418"/>
      <c r="Q80" s="418"/>
      <c r="R80" s="418"/>
      <c r="S80" s="418"/>
      <c r="T80" s="418"/>
      <c r="U80" s="418"/>
      <c r="V80" s="248" t="s">
        <v>92</v>
      </c>
    </row>
    <row r="81" spans="1:49" s="70" customFormat="1" ht="13.5" customHeight="1" x14ac:dyDescent="0.2">
      <c r="A81" s="418"/>
      <c r="B81" s="418"/>
      <c r="C81" s="460"/>
      <c r="D81" s="460"/>
      <c r="E81" s="423"/>
      <c r="F81" s="460"/>
      <c r="G81" s="467"/>
      <c r="H81"/>
      <c r="I81" s="471"/>
      <c r="J81" s="460"/>
      <c r="K81" s="423"/>
      <c r="L81" s="469"/>
      <c r="M81" s="418"/>
      <c r="N81" s="418"/>
      <c r="O81" s="418"/>
      <c r="P81" s="418"/>
      <c r="Q81" s="418"/>
      <c r="R81" s="1422"/>
      <c r="S81" s="418"/>
      <c r="T81" s="418"/>
      <c r="U81" s="418"/>
      <c r="V81" s="275" t="s">
        <v>91</v>
      </c>
    </row>
    <row r="82" spans="1:49" s="70" customFormat="1" ht="13.5" customHeight="1" x14ac:dyDescent="0.2">
      <c r="A82" s="418"/>
      <c r="B82" s="418"/>
      <c r="C82" s="460"/>
      <c r="D82" s="460"/>
      <c r="E82" s="423"/>
      <c r="F82" s="460"/>
      <c r="G82" s="467"/>
      <c r="H82"/>
      <c r="I82" s="471"/>
      <c r="J82" s="460"/>
      <c r="K82" s="423"/>
      <c r="L82" s="469"/>
      <c r="M82" s="418"/>
      <c r="N82" s="418"/>
      <c r="O82" s="418"/>
      <c r="P82" s="418"/>
      <c r="Q82" s="418"/>
      <c r="R82" s="418"/>
      <c r="S82" s="418"/>
      <c r="T82" s="418"/>
      <c r="U82" s="418"/>
      <c r="X82" s="2110"/>
      <c r="Y82" s="2110"/>
      <c r="Z82" s="2110"/>
      <c r="AE82" s="212"/>
      <c r="AF82" s="212"/>
      <c r="AG82" s="212"/>
      <c r="AH82" s="621"/>
      <c r="AI82" s="621"/>
      <c r="AJ82" s="621"/>
      <c r="AK82" s="621"/>
      <c r="AL82" s="395"/>
      <c r="AM82" s="212"/>
      <c r="AN82" s="212"/>
      <c r="AO82" s="212"/>
      <c r="AP82" s="390"/>
      <c r="AQ82" s="390"/>
      <c r="AR82" s="390"/>
      <c r="AS82" s="390"/>
      <c r="AT82" s="390"/>
      <c r="AU82" s="390"/>
    </row>
    <row r="83" spans="1:49" s="70" customFormat="1" ht="13.5" customHeight="1" x14ac:dyDescent="0.2">
      <c r="A83" s="418"/>
      <c r="B83" s="418"/>
      <c r="C83" s="460"/>
      <c r="D83" s="460"/>
      <c r="E83" s="423"/>
      <c r="F83" s="460"/>
      <c r="G83" s="467"/>
      <c r="H83"/>
      <c r="I83" s="471"/>
      <c r="J83" s="460"/>
      <c r="K83" s="423"/>
      <c r="L83" s="469"/>
      <c r="M83" s="418"/>
      <c r="N83" s="418"/>
      <c r="O83" s="418"/>
      <c r="P83" s="418"/>
      <c r="Q83" s="418"/>
      <c r="R83" s="418"/>
      <c r="S83" s="418"/>
      <c r="T83" s="418"/>
      <c r="U83" s="418"/>
      <c r="V83" s="2131" t="s">
        <v>1723</v>
      </c>
      <c r="W83" s="2110"/>
      <c r="X83" s="2110"/>
      <c r="Y83" s="2110"/>
      <c r="Z83" s="2110"/>
      <c r="AA83" s="3944" t="s">
        <v>142</v>
      </c>
      <c r="AB83" s="3944"/>
      <c r="AC83" s="3944"/>
      <c r="AD83" s="537"/>
      <c r="AE83" s="1309" t="s">
        <v>1724</v>
      </c>
      <c r="AF83" s="1309"/>
      <c r="AG83" s="1309"/>
      <c r="AH83" s="390"/>
      <c r="AI83" s="1309" t="s">
        <v>1725</v>
      </c>
      <c r="AJ83" s="1309"/>
      <c r="AK83" s="1309"/>
      <c r="AL83" s="390"/>
      <c r="AM83" s="3944" t="s">
        <v>1142</v>
      </c>
      <c r="AN83" s="3944"/>
      <c r="AO83" s="3944"/>
      <c r="AP83" s="390"/>
      <c r="AU83" s="390"/>
    </row>
    <row r="84" spans="1:49" s="70" customFormat="1" ht="13.5" customHeight="1" x14ac:dyDescent="0.2">
      <c r="A84" s="418"/>
      <c r="B84" s="418"/>
      <c r="C84" s="460"/>
      <c r="D84" s="460"/>
      <c r="E84" s="423"/>
      <c r="F84" s="460"/>
      <c r="G84" s="467"/>
      <c r="H84"/>
      <c r="I84" s="471"/>
      <c r="J84" s="460"/>
      <c r="K84" s="423"/>
      <c r="L84" s="469"/>
      <c r="M84" s="418"/>
      <c r="N84" s="418"/>
      <c r="O84" s="418"/>
      <c r="P84" s="418"/>
      <c r="Q84" s="418"/>
      <c r="R84" s="418"/>
      <c r="S84" s="418"/>
      <c r="T84" s="418"/>
      <c r="U84" s="418"/>
      <c r="V84" s="394"/>
      <c r="W84" s="1312" t="s">
        <v>573</v>
      </c>
      <c r="X84" s="1312"/>
      <c r="Y84" s="1312" t="s">
        <v>574</v>
      </c>
      <c r="Z84" s="390"/>
      <c r="AA84" s="1312" t="s">
        <v>573</v>
      </c>
      <c r="AB84" s="1312"/>
      <c r="AC84" s="1312" t="s">
        <v>574</v>
      </c>
      <c r="AD84" s="537"/>
      <c r="AE84" s="1312" t="s">
        <v>573</v>
      </c>
      <c r="AF84" s="1312"/>
      <c r="AG84" s="1312" t="s">
        <v>574</v>
      </c>
      <c r="AH84" s="390"/>
      <c r="AI84" s="1312" t="s">
        <v>573</v>
      </c>
      <c r="AJ84" s="1312"/>
      <c r="AK84" s="1312" t="s">
        <v>574</v>
      </c>
      <c r="AL84" s="390"/>
      <c r="AM84" s="1312" t="s">
        <v>573</v>
      </c>
      <c r="AN84" s="1312"/>
      <c r="AO84" s="1312" t="s">
        <v>574</v>
      </c>
      <c r="AP84" s="390"/>
      <c r="AU84" s="390"/>
    </row>
    <row r="85" spans="1:49" s="70" customFormat="1" ht="13.5" customHeight="1" x14ac:dyDescent="0.2">
      <c r="A85" s="418"/>
      <c r="B85" s="418"/>
      <c r="C85" s="460"/>
      <c r="D85" s="460"/>
      <c r="E85" s="423"/>
      <c r="F85" s="460"/>
      <c r="G85" s="467"/>
      <c r="H85"/>
      <c r="I85" s="471"/>
      <c r="J85" s="460"/>
      <c r="K85" s="423"/>
      <c r="L85" s="469"/>
      <c r="M85" s="418"/>
      <c r="N85" s="418"/>
      <c r="O85" s="418"/>
      <c r="P85" s="418"/>
      <c r="Q85" s="418"/>
      <c r="R85" s="418"/>
      <c r="S85" s="418"/>
      <c r="T85" s="418"/>
      <c r="U85" s="418"/>
      <c r="V85" s="394"/>
      <c r="W85" s="1312"/>
      <c r="X85" s="1312"/>
      <c r="Y85" s="1312"/>
      <c r="Z85" s="390"/>
      <c r="AA85" s="1312"/>
      <c r="AB85" s="1312"/>
      <c r="AC85" s="1312"/>
      <c r="AD85" s="537"/>
      <c r="AE85" s="1312"/>
      <c r="AF85" s="1312"/>
      <c r="AG85" s="1312"/>
      <c r="AH85" s="390"/>
      <c r="AI85" s="1312"/>
      <c r="AJ85" s="1312"/>
      <c r="AK85" s="1312"/>
      <c r="AL85" s="390"/>
      <c r="AM85" s="1312"/>
      <c r="AN85" s="1312"/>
      <c r="AO85" s="1312"/>
      <c r="AP85" s="390"/>
      <c r="AU85" s="390"/>
    </row>
    <row r="86" spans="1:49" s="70" customFormat="1" ht="13.5" customHeight="1" x14ac:dyDescent="0.2">
      <c r="A86" s="418"/>
      <c r="B86" s="418"/>
      <c r="C86" s="460"/>
      <c r="D86" s="460"/>
      <c r="E86" s="423"/>
      <c r="F86" s="460"/>
      <c r="G86" s="467"/>
      <c r="H86"/>
      <c r="I86" s="471"/>
      <c r="J86" s="460"/>
      <c r="K86" s="423"/>
      <c r="L86" s="469"/>
      <c r="M86" s="418"/>
      <c r="N86" s="418"/>
      <c r="O86" s="418"/>
      <c r="P86" s="418"/>
      <c r="Q86" s="418"/>
      <c r="R86" s="418"/>
      <c r="S86" s="418"/>
      <c r="T86" s="418"/>
      <c r="U86" s="418"/>
      <c r="V86" s="1348" t="s">
        <v>95</v>
      </c>
      <c r="W86" s="1667">
        <v>1525</v>
      </c>
      <c r="X86" s="2112" t="s">
        <v>2067</v>
      </c>
      <c r="Y86" s="1667">
        <v>1575</v>
      </c>
      <c r="Z86" s="2113"/>
      <c r="AA86" s="1667">
        <v>1535</v>
      </c>
      <c r="AB86" s="2112" t="s">
        <v>2067</v>
      </c>
      <c r="AC86" s="1667">
        <v>1585</v>
      </c>
      <c r="AD86" s="2113"/>
      <c r="AE86" s="1667">
        <v>1525</v>
      </c>
      <c r="AF86" s="2112" t="s">
        <v>2067</v>
      </c>
      <c r="AG86" s="1667">
        <v>1555</v>
      </c>
      <c r="AH86" s="2113"/>
      <c r="AI86" s="1667">
        <v>1525</v>
      </c>
      <c r="AJ86" s="2112" t="s">
        <v>2067</v>
      </c>
      <c r="AK86" s="1667">
        <v>1535</v>
      </c>
      <c r="AL86" s="2113"/>
      <c r="AM86" s="1667">
        <f t="shared" ref="AM86:AM91" si="5">AI86-AE86</f>
        <v>0</v>
      </c>
      <c r="AN86" s="2112"/>
      <c r="AO86" s="1667">
        <f t="shared" ref="AO86:AO91" si="6">AK86-AG86</f>
        <v>-20</v>
      </c>
      <c r="AP86" s="390"/>
      <c r="AU86" s="390"/>
    </row>
    <row r="87" spans="1:49" s="70" customFormat="1" ht="13.5" customHeight="1" x14ac:dyDescent="0.2">
      <c r="A87" s="418"/>
      <c r="B87" s="418"/>
      <c r="C87" s="460"/>
      <c r="D87" s="460"/>
      <c r="E87" s="423"/>
      <c r="F87" s="460"/>
      <c r="G87" s="467"/>
      <c r="H87"/>
      <c r="I87" s="471"/>
      <c r="J87" s="460"/>
      <c r="K87" s="423"/>
      <c r="L87" s="469"/>
      <c r="M87" s="418"/>
      <c r="N87" s="418"/>
      <c r="O87" s="418"/>
      <c r="P87" s="418"/>
      <c r="Q87" s="418"/>
      <c r="R87" s="418"/>
      <c r="S87" s="418"/>
      <c r="T87" s="418"/>
      <c r="U87" s="418"/>
      <c r="V87" s="369" t="s">
        <v>1584</v>
      </c>
      <c r="W87" s="1657">
        <v>135</v>
      </c>
      <c r="X87" s="2114" t="s">
        <v>2067</v>
      </c>
      <c r="Y87" s="1657">
        <v>145</v>
      </c>
      <c r="Z87" s="1657"/>
      <c r="AA87" s="1657">
        <v>140</v>
      </c>
      <c r="AB87" s="2114" t="s">
        <v>2067</v>
      </c>
      <c r="AC87" s="1657">
        <v>150</v>
      </c>
      <c r="AD87" s="1657"/>
      <c r="AE87" s="1657">
        <v>150</v>
      </c>
      <c r="AF87" s="2114" t="s">
        <v>2067</v>
      </c>
      <c r="AG87" s="1657">
        <v>160</v>
      </c>
      <c r="AH87" s="1657"/>
      <c r="AI87" s="1657">
        <v>161</v>
      </c>
      <c r="AJ87" s="2114" t="s">
        <v>2067</v>
      </c>
      <c r="AK87" s="1657">
        <v>161</v>
      </c>
      <c r="AL87" s="1657"/>
      <c r="AM87" s="1657">
        <f t="shared" si="5"/>
        <v>11</v>
      </c>
      <c r="AN87" s="2114"/>
      <c r="AO87" s="1657">
        <f t="shared" si="6"/>
        <v>1</v>
      </c>
      <c r="AP87" s="390"/>
      <c r="AU87" s="390"/>
    </row>
    <row r="88" spans="1:49" s="70" customFormat="1" ht="13.5" customHeight="1" x14ac:dyDescent="0.2">
      <c r="A88" s="418"/>
      <c r="B88" s="418"/>
      <c r="C88" s="460"/>
      <c r="D88" s="460"/>
      <c r="E88" s="423"/>
      <c r="F88" s="460"/>
      <c r="G88" s="467"/>
      <c r="H88"/>
      <c r="I88" s="471"/>
      <c r="J88" s="460"/>
      <c r="K88" s="423"/>
      <c r="L88" s="469"/>
      <c r="M88" s="418"/>
      <c r="N88" s="418"/>
      <c r="O88" s="418"/>
      <c r="P88" s="418"/>
      <c r="Q88" s="418"/>
      <c r="R88" s="418"/>
      <c r="S88" s="418"/>
      <c r="T88" s="418"/>
      <c r="U88" s="418"/>
      <c r="V88" s="1348" t="s">
        <v>1863</v>
      </c>
      <c r="W88" s="1667">
        <v>1185</v>
      </c>
      <c r="X88" s="2112" t="s">
        <v>2067</v>
      </c>
      <c r="Y88" s="1667">
        <v>1255</v>
      </c>
      <c r="Z88" s="1344"/>
      <c r="AA88" s="1667">
        <v>1185</v>
      </c>
      <c r="AB88" s="2112" t="s">
        <v>2067</v>
      </c>
      <c r="AC88" s="1667">
        <v>1255</v>
      </c>
      <c r="AD88" s="2113"/>
      <c r="AE88" s="2113">
        <v>1160</v>
      </c>
      <c r="AF88" s="2112" t="s">
        <v>2067</v>
      </c>
      <c r="AG88" s="2113">
        <v>1210</v>
      </c>
      <c r="AH88" s="1344"/>
      <c r="AI88" s="2113">
        <v>1173</v>
      </c>
      <c r="AJ88" s="2112" t="s">
        <v>2067</v>
      </c>
      <c r="AK88" s="2113">
        <v>1188</v>
      </c>
      <c r="AL88" s="1344"/>
      <c r="AM88" s="1667">
        <f t="shared" si="5"/>
        <v>13</v>
      </c>
      <c r="AN88" s="2112"/>
      <c r="AO88" s="1667">
        <f t="shared" si="6"/>
        <v>-22</v>
      </c>
      <c r="AP88" s="390"/>
      <c r="AU88" s="390"/>
    </row>
    <row r="89" spans="1:49" s="70" customFormat="1" ht="13.5" customHeight="1" x14ac:dyDescent="0.2">
      <c r="A89" s="418"/>
      <c r="B89" s="418"/>
      <c r="C89" s="460"/>
      <c r="D89" s="460"/>
      <c r="E89" s="423"/>
      <c r="F89" s="460"/>
      <c r="G89" s="467"/>
      <c r="H89"/>
      <c r="I89" s="471"/>
      <c r="J89" s="460"/>
      <c r="K89" s="423"/>
      <c r="L89" s="469"/>
      <c r="M89" s="418"/>
      <c r="N89" s="418"/>
      <c r="O89" s="418"/>
      <c r="P89" s="418"/>
      <c r="Q89" s="418"/>
      <c r="R89" s="418"/>
      <c r="S89" s="418"/>
      <c r="T89" s="418"/>
      <c r="U89" s="418"/>
      <c r="V89" s="369" t="s">
        <v>140</v>
      </c>
      <c r="W89" s="1657">
        <v>665</v>
      </c>
      <c r="X89" s="2114" t="s">
        <v>2067</v>
      </c>
      <c r="Y89" s="1657">
        <v>675</v>
      </c>
      <c r="Z89" s="1657"/>
      <c r="AA89" s="1657">
        <v>675</v>
      </c>
      <c r="AB89" s="2114" t="s">
        <v>2067</v>
      </c>
      <c r="AC89" s="1657">
        <v>685</v>
      </c>
      <c r="AD89" s="1657"/>
      <c r="AE89" s="1657">
        <v>690</v>
      </c>
      <c r="AF89" s="2114" t="s">
        <v>2067</v>
      </c>
      <c r="AG89" s="1657">
        <v>700</v>
      </c>
      <c r="AH89" s="1657"/>
      <c r="AI89" s="1657">
        <v>696</v>
      </c>
      <c r="AJ89" s="2114" t="s">
        <v>2067</v>
      </c>
      <c r="AK89" s="1657">
        <v>701</v>
      </c>
      <c r="AL89" s="1657"/>
      <c r="AM89" s="1657">
        <f t="shared" si="5"/>
        <v>6</v>
      </c>
      <c r="AN89" s="2114"/>
      <c r="AO89" s="1657">
        <f t="shared" si="6"/>
        <v>1</v>
      </c>
      <c r="AP89" s="390"/>
      <c r="AQ89" s="70">
        <f>AE88+AG88</f>
        <v>2370</v>
      </c>
      <c r="AU89" s="390"/>
      <c r="AV89" s="199"/>
    </row>
    <row r="90" spans="1:49" s="70" customFormat="1" ht="13.5" customHeight="1" x14ac:dyDescent="0.2">
      <c r="A90" s="418"/>
      <c r="B90" s="418"/>
      <c r="C90" s="460"/>
      <c r="D90" s="460"/>
      <c r="E90" s="423"/>
      <c r="F90" s="460"/>
      <c r="G90" s="467"/>
      <c r="H90"/>
      <c r="I90" s="471"/>
      <c r="J90" s="460"/>
      <c r="K90" s="423"/>
      <c r="L90" s="469"/>
      <c r="M90" s="418"/>
      <c r="N90" s="418"/>
      <c r="O90" s="418"/>
      <c r="P90" s="418"/>
      <c r="Q90" s="418"/>
      <c r="R90" s="418"/>
      <c r="S90" s="418"/>
      <c r="T90" s="418"/>
      <c r="U90" s="418"/>
      <c r="V90" s="213" t="s">
        <v>141</v>
      </c>
      <c r="W90" s="1657">
        <v>985</v>
      </c>
      <c r="X90" s="2114" t="s">
        <v>2067</v>
      </c>
      <c r="Y90" s="1657">
        <v>1055</v>
      </c>
      <c r="Z90" s="1657"/>
      <c r="AA90" s="1657">
        <v>990</v>
      </c>
      <c r="AB90" s="2114" t="s">
        <v>2067</v>
      </c>
      <c r="AC90" s="1657">
        <v>1060</v>
      </c>
      <c r="AD90" s="1657"/>
      <c r="AE90" s="1657">
        <v>975</v>
      </c>
      <c r="AF90" s="2114" t="s">
        <v>2067</v>
      </c>
      <c r="AG90" s="1657">
        <v>1025</v>
      </c>
      <c r="AH90" s="1657"/>
      <c r="AI90" s="1657">
        <v>985</v>
      </c>
      <c r="AJ90" s="2114" t="s">
        <v>2067</v>
      </c>
      <c r="AK90" s="1657">
        <v>1000</v>
      </c>
      <c r="AL90" s="1657"/>
      <c r="AM90" s="1657">
        <f t="shared" si="5"/>
        <v>10</v>
      </c>
      <c r="AN90" s="2114"/>
      <c r="AO90" s="1657">
        <f t="shared" si="6"/>
        <v>-25</v>
      </c>
      <c r="AP90" s="390"/>
      <c r="AQ90" s="2240">
        <f>AQ89/2</f>
        <v>1185</v>
      </c>
      <c r="AU90" s="390"/>
      <c r="AW90" s="149"/>
    </row>
    <row r="91" spans="1:49" s="70" customFormat="1" ht="13.5" customHeight="1" x14ac:dyDescent="0.2">
      <c r="A91" s="418"/>
      <c r="B91" s="418"/>
      <c r="C91" s="460"/>
      <c r="D91" s="460"/>
      <c r="E91" s="423"/>
      <c r="F91" s="460"/>
      <c r="G91" s="467"/>
      <c r="H91"/>
      <c r="I91" s="471"/>
      <c r="J91" s="460"/>
      <c r="K91" s="423"/>
      <c r="L91" s="469"/>
      <c r="M91" s="418"/>
      <c r="N91" s="418"/>
      <c r="O91" s="418"/>
      <c r="P91" s="418"/>
      <c r="Q91" s="418"/>
      <c r="R91" s="418"/>
      <c r="S91" s="418"/>
      <c r="T91" s="418"/>
      <c r="U91" s="418"/>
      <c r="V91" s="1341" t="s">
        <v>1859</v>
      </c>
      <c r="W91" s="2115">
        <v>1.9</v>
      </c>
      <c r="X91" s="2112" t="s">
        <v>2067</v>
      </c>
      <c r="Y91" s="2115">
        <v>2.0499999999999998</v>
      </c>
      <c r="Z91" s="1344"/>
      <c r="AA91" s="2115">
        <v>1.93</v>
      </c>
      <c r="AB91" s="2112" t="s">
        <v>2067</v>
      </c>
      <c r="AC91" s="2115">
        <v>2.08</v>
      </c>
      <c r="AD91" s="2116"/>
      <c r="AE91" s="2115">
        <v>1.92</v>
      </c>
      <c r="AF91" s="2112" t="s">
        <v>2067</v>
      </c>
      <c r="AG91" s="2115">
        <v>2.0299999999999998</v>
      </c>
      <c r="AH91" s="1344"/>
      <c r="AI91" s="2115">
        <v>1.98</v>
      </c>
      <c r="AJ91" s="2112" t="s">
        <v>2067</v>
      </c>
      <c r="AK91" s="2115">
        <v>2.0099999999999998</v>
      </c>
      <c r="AL91" s="1344"/>
      <c r="AM91" s="2115">
        <f t="shared" si="5"/>
        <v>6.0000000000000053E-2</v>
      </c>
      <c r="AN91" s="2112"/>
      <c r="AO91" s="2115">
        <f t="shared" si="6"/>
        <v>-2.0000000000000018E-2</v>
      </c>
      <c r="AP91" s="390"/>
      <c r="AU91" s="390"/>
    </row>
    <row r="92" spans="1:49" s="70" customFormat="1" ht="13.5" customHeight="1" x14ac:dyDescent="0.2">
      <c r="A92" s="418"/>
      <c r="B92" s="418"/>
      <c r="C92" s="460"/>
      <c r="D92" s="460"/>
      <c r="E92" s="423"/>
      <c r="F92" s="460"/>
      <c r="G92" s="467"/>
      <c r="H92"/>
      <c r="I92" s="471"/>
      <c r="J92" s="460"/>
      <c r="K92" s="423"/>
      <c r="L92" s="469"/>
      <c r="M92" s="418"/>
      <c r="N92" s="418"/>
      <c r="O92" s="418"/>
      <c r="P92" s="418"/>
      <c r="Q92" s="418"/>
      <c r="R92" s="418"/>
      <c r="S92" s="418"/>
      <c r="T92" s="418"/>
      <c r="U92" s="418"/>
      <c r="V92" s="394"/>
      <c r="W92" s="1318"/>
      <c r="X92" s="1318"/>
      <c r="Y92" s="1318"/>
      <c r="Z92" s="1317"/>
      <c r="AA92" s="1318"/>
      <c r="AB92" s="1318"/>
      <c r="AC92" s="1318"/>
      <c r="AD92" s="2225"/>
      <c r="AE92" s="1318"/>
      <c r="AF92" s="1318"/>
      <c r="AG92" s="1318"/>
      <c r="AH92" s="1317"/>
      <c r="AI92" s="1318"/>
      <c r="AJ92" s="1318"/>
      <c r="AK92" s="1318"/>
      <c r="AL92" s="1317"/>
      <c r="AM92" s="1318"/>
      <c r="AN92" s="1318"/>
      <c r="AO92" s="1318"/>
      <c r="AP92" s="390"/>
      <c r="AQ92" s="70">
        <f>AI88+AK88</f>
        <v>2361</v>
      </c>
      <c r="AU92" s="390"/>
    </row>
    <row r="93" spans="1:49" s="70" customFormat="1" ht="13.5" customHeight="1" x14ac:dyDescent="0.2">
      <c r="A93" s="418"/>
      <c r="B93" s="418"/>
      <c r="C93" s="460"/>
      <c r="D93" s="460"/>
      <c r="E93" s="423"/>
      <c r="F93" s="460"/>
      <c r="G93" s="467"/>
      <c r="H93"/>
      <c r="I93" s="471"/>
      <c r="J93" s="460"/>
      <c r="K93" s="423"/>
      <c r="L93" s="469"/>
      <c r="M93" s="418"/>
      <c r="N93" s="418"/>
      <c r="O93" s="418"/>
      <c r="P93" s="418"/>
      <c r="Q93" s="418"/>
      <c r="R93" s="418"/>
      <c r="S93" s="418"/>
      <c r="T93" s="418"/>
      <c r="U93" s="418"/>
      <c r="V93" s="563" t="s">
        <v>373</v>
      </c>
      <c r="W93" s="1317"/>
      <c r="X93" s="1317"/>
      <c r="Y93" s="1317"/>
      <c r="Z93" s="1317"/>
      <c r="AA93" s="1317"/>
      <c r="AB93" s="1317"/>
      <c r="AC93" s="1317"/>
      <c r="AD93" s="1317"/>
      <c r="AE93" s="1317"/>
      <c r="AF93" s="1317"/>
      <c r="AG93" s="1317"/>
      <c r="AH93" s="1317"/>
      <c r="AI93" s="1317"/>
      <c r="AJ93" s="1317"/>
      <c r="AK93" s="1317"/>
      <c r="AL93" s="1317"/>
      <c r="AM93" s="1317"/>
      <c r="AN93" s="1317"/>
      <c r="AO93" s="1317"/>
      <c r="AP93" s="390"/>
      <c r="AQ93" s="149">
        <f>AQ92/2</f>
        <v>1180.5</v>
      </c>
      <c r="AU93" s="390"/>
    </row>
    <row r="94" spans="1:49" s="70" customFormat="1" ht="13.5" customHeight="1" x14ac:dyDescent="0.2">
      <c r="A94" s="418"/>
      <c r="B94" s="418"/>
      <c r="C94" s="460"/>
      <c r="D94" s="460"/>
      <c r="E94" s="423"/>
      <c r="F94" s="460"/>
      <c r="G94" s="467"/>
      <c r="H94"/>
      <c r="I94" s="471"/>
      <c r="J94" s="460"/>
      <c r="K94" s="423"/>
      <c r="L94" s="469"/>
      <c r="M94" s="418"/>
      <c r="N94" s="418"/>
      <c r="O94" s="418"/>
      <c r="P94" s="418"/>
      <c r="Q94" s="418"/>
      <c r="R94" s="418"/>
      <c r="S94" s="418"/>
      <c r="T94" s="418"/>
      <c r="U94" s="418"/>
      <c r="V94" s="213" t="s">
        <v>94</v>
      </c>
      <c r="W94" s="2118">
        <v>0.03</v>
      </c>
      <c r="X94" s="2119" t="s">
        <v>2067</v>
      </c>
      <c r="Y94" s="2118">
        <v>7.0000000000000007E-2</v>
      </c>
      <c r="Z94" s="2118"/>
      <c r="AA94" s="2118">
        <v>0.04</v>
      </c>
      <c r="AB94" s="2119" t="s">
        <v>2067</v>
      </c>
      <c r="AC94" s="2118">
        <v>7.0000000000000007E-2</v>
      </c>
      <c r="AD94" s="2118"/>
      <c r="AE94" s="2118">
        <v>0.04</v>
      </c>
      <c r="AF94" s="2119" t="s">
        <v>2067</v>
      </c>
      <c r="AG94" s="2118">
        <v>0.06</v>
      </c>
      <c r="AH94" s="2118"/>
      <c r="AI94" s="2118" t="s">
        <v>1979</v>
      </c>
      <c r="AJ94" s="2119" t="s">
        <v>2067</v>
      </c>
      <c r="AK94" s="2118" t="s">
        <v>1979</v>
      </c>
      <c r="AL94" s="2118"/>
      <c r="AM94" s="2118" t="s">
        <v>1979</v>
      </c>
      <c r="AN94" s="2119"/>
      <c r="AO94" s="2118" t="s">
        <v>1979</v>
      </c>
      <c r="AP94" s="406"/>
      <c r="AQ94" s="149">
        <f>AQ90-AQ93</f>
        <v>4.5</v>
      </c>
      <c r="AU94" s="406"/>
    </row>
    <row r="95" spans="1:49" s="70" customFormat="1" ht="13.5" customHeight="1" x14ac:dyDescent="0.2">
      <c r="A95" s="418"/>
      <c r="B95" s="418"/>
      <c r="C95" s="460"/>
      <c r="D95" s="460"/>
      <c r="E95" s="423"/>
      <c r="F95" s="460"/>
      <c r="G95" s="467"/>
      <c r="H95"/>
      <c r="I95" s="471"/>
      <c r="J95" s="460"/>
      <c r="K95" s="423"/>
      <c r="L95" s="469"/>
      <c r="M95" s="418"/>
      <c r="N95" s="418"/>
      <c r="O95" s="418"/>
      <c r="P95" s="418"/>
      <c r="Q95" s="418"/>
      <c r="R95" s="418"/>
      <c r="S95" s="418"/>
      <c r="T95" s="418"/>
      <c r="U95" s="418"/>
      <c r="V95" s="394" t="s">
        <v>1309</v>
      </c>
      <c r="W95" s="2120">
        <v>0.03</v>
      </c>
      <c r="X95" s="2121" t="s">
        <v>2067</v>
      </c>
      <c r="Y95" s="2120">
        <v>7.0000000000000007E-2</v>
      </c>
      <c r="Z95" s="2120"/>
      <c r="AA95" s="2122">
        <v>4.4999999999999998E-2</v>
      </c>
      <c r="AB95" s="2121" t="s">
        <v>2067</v>
      </c>
      <c r="AC95" s="2120">
        <v>7.0000000000000007E-2</v>
      </c>
      <c r="AD95" s="2120"/>
      <c r="AE95" s="2136">
        <v>4.4999999999999998E-2</v>
      </c>
      <c r="AF95" s="2121" t="s">
        <v>2067</v>
      </c>
      <c r="AG95" s="2123">
        <v>0.06</v>
      </c>
      <c r="AH95" s="2120"/>
      <c r="AI95" s="2136" t="s">
        <v>1979</v>
      </c>
      <c r="AJ95" s="2121" t="s">
        <v>2067</v>
      </c>
      <c r="AK95" s="2123" t="s">
        <v>1979</v>
      </c>
      <c r="AL95" s="2120"/>
      <c r="AM95" s="2118" t="s">
        <v>1979</v>
      </c>
      <c r="AN95" s="2119"/>
      <c r="AO95" s="2118" t="s">
        <v>1979</v>
      </c>
      <c r="AP95" s="406"/>
      <c r="AQ95" s="149"/>
      <c r="AU95" s="406"/>
    </row>
    <row r="96" spans="1:49" s="70" customFormat="1" ht="13.5" customHeight="1" x14ac:dyDescent="0.2">
      <c r="A96" s="418"/>
      <c r="B96" s="418"/>
      <c r="C96" s="460"/>
      <c r="D96" s="460"/>
      <c r="E96" s="423"/>
      <c r="F96" s="460"/>
      <c r="G96" s="467"/>
      <c r="H96"/>
      <c r="I96" s="471"/>
      <c r="J96" s="460"/>
      <c r="K96" s="423"/>
      <c r="L96" s="469"/>
      <c r="M96" s="418"/>
      <c r="N96" s="418"/>
      <c r="O96" s="418"/>
      <c r="P96" s="418"/>
      <c r="Q96" s="418"/>
      <c r="R96" s="418"/>
      <c r="S96" s="418"/>
      <c r="T96" s="418"/>
      <c r="U96" s="418"/>
      <c r="V96" s="369" t="s">
        <v>2036</v>
      </c>
      <c r="W96" s="2118">
        <v>0.03</v>
      </c>
      <c r="X96" s="2119" t="s">
        <v>2067</v>
      </c>
      <c r="Y96" s="2118">
        <v>7.0000000000000007E-2</v>
      </c>
      <c r="Z96" s="2118"/>
      <c r="AA96" s="2118">
        <v>0.03</v>
      </c>
      <c r="AB96" s="2119" t="s">
        <v>2067</v>
      </c>
      <c r="AC96" s="2118">
        <v>0.05</v>
      </c>
      <c r="AD96" s="2118"/>
      <c r="AE96" s="2118">
        <v>0.02</v>
      </c>
      <c r="AF96" s="2119" t="s">
        <v>2067</v>
      </c>
      <c r="AG96" s="2118">
        <v>0.04</v>
      </c>
      <c r="AH96" s="2118"/>
      <c r="AI96" s="2118" t="s">
        <v>1979</v>
      </c>
      <c r="AJ96" s="2119" t="s">
        <v>2067</v>
      </c>
      <c r="AK96" s="2118" t="s">
        <v>1979</v>
      </c>
      <c r="AL96" s="2118"/>
      <c r="AM96" s="2118" t="s">
        <v>1979</v>
      </c>
      <c r="AN96" s="2119"/>
      <c r="AO96" s="2118" t="s">
        <v>1979</v>
      </c>
      <c r="AP96" s="406"/>
      <c r="AU96" s="406"/>
    </row>
    <row r="97" spans="1:51" s="70" customFormat="1" ht="13.5" customHeight="1" x14ac:dyDescent="0.2">
      <c r="A97" s="418"/>
      <c r="B97" s="418"/>
      <c r="C97" s="460"/>
      <c r="D97" s="460"/>
      <c r="E97" s="423"/>
      <c r="F97" s="460"/>
      <c r="G97" s="467"/>
      <c r="H97"/>
      <c r="I97" s="471"/>
      <c r="J97" s="460"/>
      <c r="K97" s="423"/>
      <c r="L97" s="469"/>
      <c r="M97" s="418"/>
      <c r="N97" s="418"/>
      <c r="O97" s="418"/>
      <c r="P97" s="418"/>
      <c r="Q97" s="418"/>
      <c r="R97" s="418"/>
      <c r="S97" s="418"/>
      <c r="T97" s="418"/>
      <c r="U97" s="418"/>
      <c r="V97" s="392"/>
      <c r="W97" s="2125"/>
      <c r="X97" s="771"/>
      <c r="Y97" s="2125"/>
      <c r="Z97" s="2125"/>
      <c r="AA97" s="771"/>
      <c r="AB97" s="771"/>
      <c r="AC97" s="771"/>
      <c r="AD97" s="771"/>
      <c r="AE97" s="771"/>
      <c r="AF97" s="771"/>
      <c r="AG97" s="771"/>
      <c r="AH97" s="2125"/>
      <c r="AI97" s="771"/>
      <c r="AJ97" s="771"/>
      <c r="AK97" s="771"/>
      <c r="AL97" s="2125"/>
      <c r="AM97" s="771"/>
      <c r="AN97" s="771"/>
      <c r="AO97" s="771"/>
      <c r="AP97" s="390"/>
      <c r="AU97" s="390"/>
    </row>
    <row r="98" spans="1:51" s="70" customFormat="1" ht="13.5" customHeight="1" x14ac:dyDescent="0.2">
      <c r="A98" s="418"/>
      <c r="B98" s="418"/>
      <c r="C98" s="460"/>
      <c r="D98" s="460"/>
      <c r="E98" s="423"/>
      <c r="F98" s="460"/>
      <c r="G98" s="467"/>
      <c r="H98"/>
      <c r="I98" s="471"/>
      <c r="J98" s="460"/>
      <c r="K98" s="423"/>
      <c r="L98" s="469"/>
      <c r="M98" s="418"/>
      <c r="N98" s="418"/>
      <c r="O98" s="418"/>
      <c r="P98" s="418"/>
      <c r="Q98" s="418"/>
      <c r="R98" s="418"/>
      <c r="S98" s="418"/>
      <c r="T98" s="418"/>
      <c r="U98" s="418"/>
      <c r="V98" s="1314" t="s">
        <v>1931</v>
      </c>
      <c r="W98" s="1322"/>
      <c r="X98" s="2127"/>
      <c r="Y98" s="1322"/>
      <c r="Z98" s="1322"/>
      <c r="AA98" s="771"/>
      <c r="AB98" s="2127"/>
      <c r="AC98" s="2127"/>
      <c r="AD98" s="2127"/>
      <c r="AE98" s="2127"/>
      <c r="AF98" s="2127"/>
      <c r="AG98" s="2127"/>
      <c r="AH98" s="1322"/>
      <c r="AI98" s="2127"/>
      <c r="AJ98" s="2127"/>
      <c r="AK98" s="2127"/>
      <c r="AL98" s="1322"/>
      <c r="AM98" s="2127"/>
      <c r="AN98" s="2127"/>
      <c r="AO98" s="2127"/>
      <c r="AP98" s="390"/>
      <c r="AQ98" s="390"/>
      <c r="AR98" s="390"/>
      <c r="AS98" s="390"/>
      <c r="AT98" s="390"/>
      <c r="AU98" s="390"/>
    </row>
    <row r="99" spans="1:51" s="70" customFormat="1" ht="13.5" customHeight="1" x14ac:dyDescent="0.2">
      <c r="A99" s="418"/>
      <c r="B99" s="418"/>
      <c r="C99" s="460"/>
      <c r="D99" s="460"/>
      <c r="E99" s="423"/>
      <c r="F99" s="460"/>
      <c r="G99" s="467"/>
      <c r="H99"/>
      <c r="I99" s="471"/>
      <c r="J99" s="460"/>
      <c r="K99" s="423"/>
      <c r="L99" s="469"/>
      <c r="M99" s="418"/>
      <c r="N99" s="418"/>
      <c r="O99" s="418"/>
      <c r="P99" s="418"/>
      <c r="Q99" s="418"/>
      <c r="R99" s="418"/>
      <c r="S99" s="418"/>
      <c r="T99" s="418"/>
      <c r="U99" s="418"/>
      <c r="V99" s="213" t="s">
        <v>97</v>
      </c>
      <c r="W99" s="1657">
        <v>30000</v>
      </c>
      <c r="X99" s="1414"/>
      <c r="Y99" s="1657"/>
      <c r="Z99" s="1657"/>
      <c r="AA99" s="1657">
        <v>30000</v>
      </c>
      <c r="AB99" s="2119" t="s">
        <v>2067</v>
      </c>
      <c r="AC99" s="1657">
        <v>35000</v>
      </c>
      <c r="AD99" s="1657"/>
      <c r="AE99" s="1657">
        <v>30000</v>
      </c>
      <c r="AF99" s="2119" t="s">
        <v>2067</v>
      </c>
      <c r="AG99" s="1657">
        <v>30000</v>
      </c>
      <c r="AH99" s="1657"/>
      <c r="AI99" s="1657">
        <v>30000</v>
      </c>
      <c r="AJ99" s="2119" t="s">
        <v>2067</v>
      </c>
      <c r="AK99" s="1657">
        <v>30000</v>
      </c>
      <c r="AL99" s="1657"/>
      <c r="AM99" s="1657">
        <f>AI99-AE99</f>
        <v>0</v>
      </c>
      <c r="AN99" s="2119"/>
      <c r="AO99" s="1657">
        <f>AK99-AG99</f>
        <v>0</v>
      </c>
      <c r="AP99" s="390"/>
      <c r="AQ99" s="390"/>
      <c r="AR99" s="390"/>
      <c r="AS99" s="390"/>
      <c r="AT99" s="390"/>
      <c r="AU99" s="390"/>
      <c r="AY99" s="149"/>
    </row>
    <row r="100" spans="1:51" s="70" customFormat="1" ht="4.5" customHeight="1" x14ac:dyDescent="0.2">
      <c r="A100" s="418"/>
      <c r="B100" s="418"/>
      <c r="C100" s="460"/>
      <c r="D100" s="460"/>
      <c r="E100" s="423"/>
      <c r="F100" s="460"/>
      <c r="G100" s="467"/>
      <c r="H100"/>
      <c r="I100" s="471"/>
      <c r="J100" s="460"/>
      <c r="K100" s="423"/>
      <c r="L100" s="469"/>
      <c r="M100" s="418"/>
      <c r="N100" s="418"/>
      <c r="O100" s="418"/>
      <c r="P100" s="418"/>
      <c r="Q100" s="418"/>
      <c r="R100" s="418"/>
      <c r="S100" s="418"/>
      <c r="T100" s="418"/>
      <c r="U100" s="418"/>
      <c r="AE100" s="212"/>
      <c r="AG100" s="212"/>
      <c r="AI100" s="212"/>
      <c r="AK100" s="212"/>
      <c r="AM100" s="212"/>
      <c r="AN100" s="212"/>
      <c r="AO100" s="212"/>
    </row>
    <row r="101" spans="1:51" s="70" customFormat="1" ht="4.5" customHeight="1" x14ac:dyDescent="0.2">
      <c r="A101" s="418"/>
      <c r="B101" s="418"/>
      <c r="C101" s="460"/>
      <c r="D101" s="460"/>
      <c r="E101" s="423"/>
      <c r="F101" s="460"/>
      <c r="G101" s="467"/>
      <c r="H101"/>
      <c r="I101" s="471"/>
      <c r="J101" s="460"/>
      <c r="K101" s="423"/>
      <c r="L101" s="469"/>
      <c r="M101" s="418"/>
      <c r="N101" s="418"/>
      <c r="O101" s="418"/>
      <c r="P101" s="418"/>
      <c r="Q101" s="418"/>
      <c r="R101" s="418"/>
      <c r="S101" s="418"/>
      <c r="T101" s="418"/>
      <c r="U101" s="418"/>
      <c r="AE101" s="212"/>
      <c r="AG101" s="212"/>
      <c r="AI101" s="212"/>
      <c r="AK101" s="212"/>
      <c r="AM101" s="212"/>
      <c r="AN101" s="212"/>
      <c r="AO101" s="212"/>
    </row>
    <row r="102" spans="1:51" s="70" customFormat="1" ht="13.5" customHeight="1" x14ac:dyDescent="0.2">
      <c r="A102" s="418"/>
      <c r="B102" s="418"/>
      <c r="C102" s="460"/>
      <c r="D102" s="460"/>
      <c r="E102" s="423"/>
      <c r="F102" s="460"/>
      <c r="G102" s="467"/>
      <c r="H102"/>
      <c r="I102" s="471"/>
      <c r="J102" s="460"/>
      <c r="K102" s="423"/>
      <c r="L102" s="469"/>
      <c r="M102" s="418"/>
      <c r="N102" s="418"/>
      <c r="O102" s="418"/>
      <c r="P102" s="418"/>
      <c r="Q102" s="418"/>
      <c r="R102" s="418"/>
      <c r="S102" s="418"/>
      <c r="T102" s="418"/>
      <c r="U102" s="418"/>
      <c r="V102" s="369" t="s">
        <v>96</v>
      </c>
      <c r="W102" s="1657">
        <v>10</v>
      </c>
      <c r="X102" s="2119" t="s">
        <v>2067</v>
      </c>
      <c r="Y102" s="1657">
        <v>10</v>
      </c>
      <c r="Z102" s="1657"/>
      <c r="AA102" s="1657">
        <v>10</v>
      </c>
      <c r="AB102" s="2119" t="s">
        <v>2067</v>
      </c>
      <c r="AC102" s="1657">
        <v>10</v>
      </c>
      <c r="AE102" s="70">
        <v>15</v>
      </c>
      <c r="AF102" s="2119" t="s">
        <v>2067</v>
      </c>
      <c r="AG102" s="70">
        <v>15</v>
      </c>
      <c r="AH102" s="1657"/>
      <c r="AI102" s="70">
        <v>15</v>
      </c>
      <c r="AJ102" s="2119" t="s">
        <v>2067</v>
      </c>
      <c r="AK102" s="70">
        <v>15</v>
      </c>
      <c r="AL102" s="1657"/>
      <c r="AM102" s="1657">
        <f>AI102-AE102</f>
        <v>0</v>
      </c>
      <c r="AN102" s="2119"/>
      <c r="AO102" s="1657">
        <f>AK102-AG102</f>
        <v>0</v>
      </c>
    </row>
    <row r="103" spans="1:51" s="70" customFormat="1" ht="13.5" customHeight="1" x14ac:dyDescent="0.2">
      <c r="A103" s="418"/>
      <c r="B103" s="418"/>
      <c r="C103" s="460"/>
      <c r="D103" s="460"/>
      <c r="E103" s="423"/>
      <c r="F103" s="460"/>
      <c r="G103" s="467"/>
      <c r="H103"/>
      <c r="I103" s="471"/>
      <c r="J103" s="460"/>
      <c r="K103" s="423"/>
      <c r="L103" s="469"/>
      <c r="M103" s="418"/>
      <c r="N103" s="418"/>
      <c r="O103" s="418"/>
      <c r="P103" s="418"/>
      <c r="Q103" s="418"/>
      <c r="R103" s="418"/>
      <c r="S103" s="418"/>
      <c r="T103" s="418"/>
      <c r="U103" s="418"/>
      <c r="V103" s="369" t="s">
        <v>89</v>
      </c>
      <c r="W103" s="1657">
        <v>105</v>
      </c>
      <c r="X103" s="2119" t="s">
        <v>2067</v>
      </c>
      <c r="Y103" s="1657">
        <v>105</v>
      </c>
      <c r="Z103" s="1657"/>
      <c r="AA103" s="1657">
        <v>100</v>
      </c>
      <c r="AB103" s="2119" t="s">
        <v>2067</v>
      </c>
      <c r="AC103" s="1657">
        <v>100</v>
      </c>
      <c r="AE103" s="70">
        <v>100</v>
      </c>
      <c r="AF103" s="2119" t="s">
        <v>2067</v>
      </c>
      <c r="AG103" s="70">
        <v>100</v>
      </c>
      <c r="AH103" s="1657"/>
      <c r="AI103" s="70">
        <v>100</v>
      </c>
      <c r="AJ103" s="2119" t="s">
        <v>2067</v>
      </c>
      <c r="AK103" s="70">
        <v>100</v>
      </c>
      <c r="AL103" s="1657"/>
      <c r="AM103" s="1657">
        <f>AI103-AE103</f>
        <v>0</v>
      </c>
      <c r="AN103" s="2119"/>
      <c r="AO103" s="1657">
        <f>AK103-AG103</f>
        <v>0</v>
      </c>
    </row>
    <row r="104" spans="1:51" s="70" customFormat="1" ht="13.5" customHeight="1" x14ac:dyDescent="0.2">
      <c r="A104" s="418"/>
      <c r="B104" s="418"/>
      <c r="C104" s="460"/>
      <c r="D104" s="460"/>
      <c r="E104" s="423"/>
      <c r="F104" s="460"/>
      <c r="G104" s="467"/>
      <c r="H104"/>
      <c r="I104" s="471"/>
      <c r="J104" s="460"/>
      <c r="K104" s="423"/>
      <c r="L104" s="469"/>
      <c r="M104" s="418"/>
      <c r="N104" s="418"/>
      <c r="O104" s="418"/>
      <c r="P104" s="418"/>
      <c r="Q104" s="418"/>
      <c r="R104" s="418"/>
      <c r="S104" s="418"/>
      <c r="T104" s="418"/>
      <c r="U104" s="418"/>
      <c r="V104" s="1170" t="s">
        <v>712</v>
      </c>
      <c r="W104" s="1657">
        <v>0</v>
      </c>
      <c r="X104" s="2119" t="s">
        <v>2067</v>
      </c>
      <c r="Y104" s="1657">
        <v>0</v>
      </c>
      <c r="Z104" s="1414"/>
      <c r="AA104" s="1657">
        <v>0</v>
      </c>
      <c r="AB104" s="2119" t="s">
        <v>2067</v>
      </c>
      <c r="AC104" s="1657">
        <v>0</v>
      </c>
      <c r="AE104" s="70">
        <v>-5</v>
      </c>
      <c r="AF104" s="2119" t="s">
        <v>2067</v>
      </c>
      <c r="AG104" s="70">
        <v>-5</v>
      </c>
      <c r="AH104" s="1414"/>
      <c r="AI104" s="70">
        <v>-2</v>
      </c>
      <c r="AJ104" s="2119" t="s">
        <v>2067</v>
      </c>
      <c r="AK104" s="70">
        <v>-2</v>
      </c>
      <c r="AL104" s="1414"/>
      <c r="AM104" s="1657">
        <f>AI104-AE104</f>
        <v>3</v>
      </c>
      <c r="AN104" s="2119"/>
      <c r="AO104" s="1657">
        <f>AK104-AG104</f>
        <v>3</v>
      </c>
    </row>
    <row r="105" spans="1:51" s="70" customFormat="1" ht="4.5" customHeight="1" x14ac:dyDescent="0.2">
      <c r="A105" s="418"/>
      <c r="B105" s="418"/>
      <c r="C105" s="460"/>
      <c r="D105" s="460"/>
      <c r="E105" s="423"/>
      <c r="F105" s="460"/>
      <c r="G105" s="467"/>
      <c r="H105"/>
      <c r="I105" s="471"/>
      <c r="J105" s="460"/>
      <c r="K105" s="423"/>
      <c r="L105" s="469"/>
      <c r="M105" s="418"/>
      <c r="N105" s="418"/>
      <c r="O105" s="418"/>
      <c r="P105" s="418"/>
      <c r="Q105" s="418"/>
      <c r="R105" s="418"/>
      <c r="S105" s="418"/>
      <c r="T105" s="418"/>
      <c r="U105" s="418"/>
      <c r="V105" s="369"/>
      <c r="W105" s="1657"/>
      <c r="X105" s="1414"/>
      <c r="Y105" s="1657"/>
      <c r="Z105" s="1657"/>
      <c r="AA105" s="1657"/>
      <c r="AH105" s="1657"/>
      <c r="AL105" s="1657"/>
    </row>
    <row r="106" spans="1:51" s="70" customFormat="1" ht="13.5" customHeight="1" x14ac:dyDescent="0.2">
      <c r="A106" s="418"/>
      <c r="B106" s="418"/>
      <c r="C106" s="460"/>
      <c r="D106" s="460"/>
      <c r="E106" s="423"/>
      <c r="F106" s="460"/>
      <c r="G106" s="467"/>
      <c r="H106"/>
      <c r="I106" s="471"/>
      <c r="J106" s="460"/>
      <c r="K106" s="423"/>
      <c r="L106" s="469"/>
      <c r="M106" s="418"/>
      <c r="N106" s="418"/>
      <c r="O106" s="418"/>
      <c r="P106" s="418"/>
      <c r="Q106" s="418"/>
      <c r="R106" s="418"/>
      <c r="S106" s="418"/>
      <c r="T106" s="418"/>
      <c r="U106" s="418"/>
      <c r="V106" s="2077" t="s">
        <v>90</v>
      </c>
      <c r="W106" s="2128">
        <v>0.33</v>
      </c>
      <c r="X106" s="2226"/>
      <c r="Y106" s="2128">
        <v>0.33</v>
      </c>
      <c r="Z106" s="2130"/>
      <c r="AA106" s="2128">
        <v>0.33</v>
      </c>
      <c r="AB106" s="2226"/>
      <c r="AC106" s="2128">
        <v>0.33</v>
      </c>
      <c r="AD106" s="195"/>
      <c r="AE106" s="1599">
        <v>0.32</v>
      </c>
      <c r="AF106" s="2226"/>
      <c r="AG106" s="1599">
        <v>0.32</v>
      </c>
      <c r="AH106" s="2130"/>
      <c r="AI106" s="1599">
        <v>0.311</v>
      </c>
      <c r="AJ106" s="2226"/>
      <c r="AK106" s="1599">
        <v>0.311</v>
      </c>
      <c r="AL106" s="2130"/>
      <c r="AM106" s="1599">
        <f>AI106-AE106</f>
        <v>-9.000000000000008E-3</v>
      </c>
      <c r="AN106" s="1599"/>
      <c r="AO106" s="1599">
        <f>AK106-AG106</f>
        <v>-9.000000000000008E-3</v>
      </c>
    </row>
    <row r="107" spans="1:51" s="70" customFormat="1" ht="13.5" customHeight="1" x14ac:dyDescent="0.2">
      <c r="A107" s="418"/>
      <c r="B107" s="418"/>
      <c r="C107" s="460"/>
      <c r="D107" s="460"/>
      <c r="E107" s="423"/>
      <c r="F107" s="460"/>
      <c r="G107" s="467"/>
      <c r="H107"/>
      <c r="I107" s="471"/>
      <c r="J107" s="460"/>
      <c r="K107" s="423"/>
      <c r="L107" s="469"/>
      <c r="M107" s="418"/>
      <c r="N107" s="418"/>
      <c r="O107" s="418"/>
      <c r="P107" s="418"/>
      <c r="Q107" s="418"/>
      <c r="R107" s="418"/>
      <c r="S107" s="418"/>
      <c r="T107" s="418"/>
      <c r="U107" s="418"/>
      <c r="V107" s="369"/>
      <c r="W107" s="1321"/>
      <c r="X107" s="2108"/>
      <c r="Y107" s="1321"/>
      <c r="Z107" s="1316"/>
      <c r="AA107" s="1316"/>
      <c r="AB107" s="212"/>
      <c r="AC107" s="212"/>
      <c r="AD107" s="212"/>
      <c r="AE107" s="212"/>
      <c r="AF107" s="212"/>
      <c r="AG107" s="212"/>
      <c r="AH107" s="1316"/>
      <c r="AI107" s="212"/>
      <c r="AJ107" s="212"/>
      <c r="AK107" s="212"/>
      <c r="AL107" s="1316"/>
      <c r="AM107" s="212"/>
      <c r="AN107" s="212"/>
      <c r="AO107" s="212"/>
    </row>
    <row r="108" spans="1:51" s="70" customFormat="1" ht="13.5" customHeight="1" x14ac:dyDescent="0.2">
      <c r="A108" s="418"/>
      <c r="B108" s="418"/>
      <c r="C108" s="460"/>
      <c r="D108" s="460"/>
      <c r="E108" s="423"/>
      <c r="F108" s="460"/>
      <c r="G108" s="467"/>
      <c r="H108"/>
      <c r="I108" s="471"/>
      <c r="J108" s="460"/>
      <c r="K108" s="423"/>
      <c r="L108" s="469"/>
      <c r="M108" s="418"/>
      <c r="N108" s="418"/>
      <c r="O108" s="418"/>
      <c r="P108" s="418"/>
      <c r="Q108" s="418"/>
      <c r="R108" s="418"/>
      <c r="S108" s="418"/>
      <c r="T108" s="418"/>
      <c r="U108" s="418"/>
      <c r="V108" s="369"/>
      <c r="W108" s="1316"/>
      <c r="X108" s="8"/>
      <c r="Y108" s="1316"/>
      <c r="Z108" s="1316"/>
      <c r="AA108" s="1316"/>
      <c r="AH108" s="1316"/>
      <c r="AI108" s="1316"/>
      <c r="AL108" s="1316"/>
      <c r="AQ108" s="248" t="s">
        <v>570</v>
      </c>
    </row>
    <row r="109" spans="1:51" s="70" customFormat="1" ht="13.5" customHeight="1" x14ac:dyDescent="0.2">
      <c r="A109" s="418"/>
      <c r="B109" s="418"/>
      <c r="C109" s="460"/>
      <c r="D109" s="460"/>
      <c r="E109" s="423"/>
      <c r="F109" s="460"/>
      <c r="G109" s="467"/>
      <c r="H109"/>
      <c r="I109" s="471"/>
      <c r="J109" s="460"/>
      <c r="K109" s="423"/>
      <c r="L109" s="469"/>
      <c r="M109" s="418"/>
      <c r="N109" s="418"/>
      <c r="O109" s="418"/>
      <c r="P109" s="418"/>
      <c r="Q109" s="418"/>
      <c r="R109" s="418"/>
      <c r="S109" s="418"/>
      <c r="T109" s="418"/>
      <c r="U109" s="418"/>
      <c r="V109" s="369"/>
      <c r="W109" s="1316"/>
      <c r="X109" s="8"/>
      <c r="Y109" s="1316"/>
      <c r="Z109" s="1316"/>
      <c r="AA109" s="1316"/>
      <c r="AH109" s="1316"/>
      <c r="AI109" s="1316"/>
      <c r="AL109" s="1316"/>
      <c r="AQ109" s="275" t="s">
        <v>91</v>
      </c>
    </row>
    <row r="110" spans="1:51" s="70" customFormat="1" ht="13.5" customHeight="1" x14ac:dyDescent="0.2">
      <c r="A110" s="418"/>
      <c r="B110" s="418"/>
      <c r="C110" s="460"/>
      <c r="D110" s="460"/>
      <c r="E110" s="423"/>
      <c r="F110" s="460"/>
      <c r="G110" s="467"/>
      <c r="H110"/>
      <c r="I110" s="471"/>
      <c r="J110" s="460"/>
      <c r="K110" s="423"/>
      <c r="L110" s="469"/>
      <c r="M110" s="418"/>
      <c r="N110" s="418"/>
      <c r="O110" s="418"/>
      <c r="P110" s="418"/>
      <c r="Q110" s="418"/>
      <c r="R110" s="418"/>
      <c r="S110" s="418"/>
      <c r="T110" s="418"/>
      <c r="U110" s="418"/>
      <c r="V110" s="369"/>
      <c r="W110" s="1316"/>
      <c r="X110" s="8"/>
      <c r="Y110" s="1316"/>
      <c r="Z110" s="1316"/>
      <c r="AA110" s="1316"/>
      <c r="AH110" s="1316"/>
      <c r="AI110" s="1316"/>
      <c r="AL110" s="1316"/>
      <c r="AT110" s="1359" t="s">
        <v>1591</v>
      </c>
      <c r="AY110" s="149"/>
    </row>
    <row r="111" spans="1:51" s="70" customFormat="1" ht="13.5" customHeight="1" x14ac:dyDescent="0.2">
      <c r="A111" s="418"/>
      <c r="B111" s="418"/>
      <c r="C111" s="460"/>
      <c r="D111" s="460"/>
      <c r="E111" s="423"/>
      <c r="F111" s="460"/>
      <c r="G111" s="467"/>
      <c r="H111"/>
      <c r="I111" s="471"/>
      <c r="J111" s="460"/>
      <c r="K111" s="423"/>
      <c r="L111" s="469"/>
      <c r="M111" s="418"/>
      <c r="N111" s="418"/>
      <c r="O111" s="418"/>
      <c r="P111" s="418"/>
      <c r="Q111" s="418"/>
      <c r="R111" s="418"/>
      <c r="S111" s="418"/>
      <c r="T111" s="418"/>
      <c r="U111" s="418"/>
      <c r="V111" s="369"/>
      <c r="W111" s="1316"/>
      <c r="X111" s="8"/>
      <c r="Y111" s="1316"/>
      <c r="Z111" s="1316"/>
      <c r="AA111" s="1316"/>
      <c r="AH111" s="1316"/>
      <c r="AI111" s="1316"/>
      <c r="AL111" s="1316"/>
      <c r="AQ111" s="195"/>
      <c r="AR111" s="335" t="s">
        <v>1782</v>
      </c>
      <c r="AS111" s="195"/>
      <c r="AT111" s="335" t="s">
        <v>1592</v>
      </c>
    </row>
    <row r="112" spans="1:51" s="70" customFormat="1" ht="13.5" customHeight="1" x14ac:dyDescent="0.2">
      <c r="A112" s="418"/>
      <c r="B112" s="418"/>
      <c r="C112" s="460"/>
      <c r="D112" s="460"/>
      <c r="E112" s="423"/>
      <c r="F112" s="460"/>
      <c r="G112" s="467"/>
      <c r="H112"/>
      <c r="I112" s="471"/>
      <c r="J112" s="460"/>
      <c r="K112" s="423"/>
      <c r="L112" s="469"/>
      <c r="M112" s="418"/>
      <c r="N112" s="418"/>
      <c r="O112" s="418"/>
      <c r="P112" s="418"/>
      <c r="Q112" s="418"/>
      <c r="R112" s="418"/>
      <c r="S112" s="418"/>
      <c r="T112" s="418"/>
      <c r="U112" s="418"/>
      <c r="V112" s="369"/>
      <c r="W112" s="1316"/>
      <c r="X112" s="8"/>
      <c r="Y112" s="1316"/>
      <c r="Z112" s="1316"/>
      <c r="AA112" s="1316"/>
      <c r="AH112" s="1316"/>
      <c r="AI112" s="1316"/>
      <c r="AL112" s="1316"/>
    </row>
    <row r="113" spans="1:57" s="70" customFormat="1" ht="13.5" customHeight="1" x14ac:dyDescent="0.2">
      <c r="A113" s="418"/>
      <c r="B113" s="418"/>
      <c r="C113" s="460"/>
      <c r="D113" s="460"/>
      <c r="E113" s="423"/>
      <c r="F113" s="460"/>
      <c r="G113" s="467"/>
      <c r="H113"/>
      <c r="I113" s="471"/>
      <c r="J113" s="460"/>
      <c r="K113" s="423"/>
      <c r="L113" s="469"/>
      <c r="M113" s="418"/>
      <c r="N113" s="418"/>
      <c r="O113" s="418"/>
      <c r="P113" s="418"/>
      <c r="Q113" s="418"/>
      <c r="R113" s="418"/>
      <c r="S113" s="418"/>
      <c r="T113" s="418"/>
      <c r="U113" s="418"/>
      <c r="V113" s="369"/>
      <c r="W113" s="1316"/>
      <c r="X113" s="8"/>
      <c r="Y113" s="1316"/>
      <c r="Z113" s="1316"/>
      <c r="AA113" s="1316"/>
      <c r="AH113" s="1316"/>
      <c r="AI113" s="1316"/>
      <c r="AL113" s="1316"/>
      <c r="AQ113" s="275" t="s">
        <v>1587</v>
      </c>
      <c r="AR113" s="1304"/>
      <c r="AT113" s="70">
        <v>398.51</v>
      </c>
      <c r="AV113" s="311"/>
    </row>
    <row r="114" spans="1:57" s="70" customFormat="1" ht="13.5" customHeight="1" x14ac:dyDescent="0.2">
      <c r="A114" s="418"/>
      <c r="B114" s="418"/>
      <c r="C114" s="460"/>
      <c r="D114" s="460"/>
      <c r="E114" s="423"/>
      <c r="F114" s="460"/>
      <c r="G114" s="467"/>
      <c r="H114"/>
      <c r="I114" s="471"/>
      <c r="J114" s="460"/>
      <c r="K114" s="423"/>
      <c r="L114" s="469"/>
      <c r="M114" s="418"/>
      <c r="N114" s="418"/>
      <c r="O114" s="418"/>
      <c r="P114" s="418"/>
      <c r="Q114" s="418"/>
      <c r="R114" s="418"/>
      <c r="S114" s="418"/>
      <c r="T114" s="418"/>
      <c r="U114" s="418"/>
      <c r="V114" s="369"/>
      <c r="W114" s="1316"/>
      <c r="X114" s="8"/>
      <c r="Y114" s="1316"/>
      <c r="Z114" s="1316"/>
      <c r="AA114" s="1316"/>
      <c r="AH114" s="1316"/>
      <c r="AI114" s="1316"/>
      <c r="AL114" s="1316"/>
      <c r="AQ114" s="1170" t="s">
        <v>1584</v>
      </c>
      <c r="AR114" s="1401"/>
      <c r="AT114" s="70">
        <v>276.77999999999997</v>
      </c>
    </row>
    <row r="115" spans="1:57" s="70" customFormat="1" ht="13.5" customHeight="1" x14ac:dyDescent="0.2">
      <c r="A115" s="418"/>
      <c r="B115" s="418"/>
      <c r="C115" s="460"/>
      <c r="D115" s="460"/>
      <c r="E115" s="423"/>
      <c r="F115" s="460"/>
      <c r="G115" s="467"/>
      <c r="H115"/>
      <c r="I115" s="471"/>
      <c r="J115" s="460"/>
      <c r="K115" s="423"/>
      <c r="L115" s="469"/>
      <c r="M115" s="418"/>
      <c r="N115" s="418"/>
      <c r="O115" s="418"/>
      <c r="P115" s="418"/>
      <c r="Q115" s="418"/>
      <c r="R115" s="418"/>
      <c r="S115" s="418"/>
      <c r="T115" s="418"/>
      <c r="U115" s="418"/>
      <c r="V115" s="369"/>
      <c r="W115" s="1316"/>
      <c r="X115" s="8"/>
      <c r="Y115" s="1316"/>
      <c r="Z115" s="1316"/>
      <c r="AA115" s="1316"/>
      <c r="AH115" s="1316"/>
      <c r="AI115" s="1316"/>
      <c r="AL115" s="1316"/>
      <c r="AQ115" s="1170" t="s">
        <v>140</v>
      </c>
      <c r="AR115" s="1401"/>
      <c r="AT115" s="70">
        <v>167.62</v>
      </c>
    </row>
    <row r="116" spans="1:57" s="70" customFormat="1" ht="13.5" customHeight="1" x14ac:dyDescent="0.2">
      <c r="A116" s="418"/>
      <c r="B116" s="418"/>
      <c r="C116" s="460"/>
      <c r="D116" s="460"/>
      <c r="E116" s="423"/>
      <c r="F116" s="460"/>
      <c r="G116" s="467"/>
      <c r="H116"/>
      <c r="I116" s="471"/>
      <c r="J116" s="460"/>
      <c r="K116" s="423"/>
      <c r="L116" s="469"/>
      <c r="M116" s="418"/>
      <c r="N116" s="418"/>
      <c r="O116" s="418"/>
      <c r="P116" s="418"/>
      <c r="Q116" s="418"/>
      <c r="R116" s="418"/>
      <c r="S116" s="418"/>
      <c r="T116" s="418"/>
      <c r="U116" s="418"/>
      <c r="V116" s="369"/>
      <c r="W116" s="1316"/>
      <c r="X116" s="8"/>
      <c r="Y116" s="1316"/>
      <c r="Z116" s="1316"/>
      <c r="AA116" s="1316"/>
      <c r="AH116" s="1316"/>
      <c r="AI116" s="1316"/>
      <c r="AL116" s="1316"/>
      <c r="AQ116" s="275" t="s">
        <v>141</v>
      </c>
      <c r="AR116" s="1401"/>
      <c r="AT116" s="70">
        <v>277.33999999999997</v>
      </c>
    </row>
    <row r="117" spans="1:57" s="70" customFormat="1" ht="13.5" customHeight="1" x14ac:dyDescent="0.2">
      <c r="A117" s="418"/>
      <c r="B117" s="418"/>
      <c r="C117" s="460"/>
      <c r="D117" s="460"/>
      <c r="E117" s="423"/>
      <c r="F117" s="460"/>
      <c r="G117" s="467"/>
      <c r="H117"/>
      <c r="I117" s="471"/>
      <c r="J117" s="460"/>
      <c r="K117" s="423"/>
      <c r="L117" s="469"/>
      <c r="M117" s="418"/>
      <c r="N117" s="418"/>
      <c r="O117" s="418"/>
      <c r="P117" s="418"/>
      <c r="Q117" s="418"/>
      <c r="R117" s="418"/>
      <c r="S117" s="418"/>
      <c r="T117" s="418"/>
      <c r="U117" s="418"/>
      <c r="V117" s="369"/>
      <c r="W117" s="1316"/>
      <c r="X117" s="8"/>
      <c r="Y117" s="1316"/>
      <c r="Z117" s="1316"/>
      <c r="AA117" s="1316"/>
      <c r="AH117" s="1316"/>
      <c r="AI117" s="1316"/>
      <c r="AL117" s="1316"/>
      <c r="AQ117" s="1360" t="s">
        <v>1577</v>
      </c>
      <c r="AR117" s="1361"/>
      <c r="AS117" s="1084"/>
      <c r="AT117" s="2111">
        <v>0.55000000000000004</v>
      </c>
    </row>
    <row r="118" spans="1:57" s="70" customFormat="1" ht="13.5" customHeight="1" x14ac:dyDescent="0.2">
      <c r="A118" s="418"/>
      <c r="B118" s="418"/>
      <c r="C118" s="460"/>
      <c r="D118" s="460"/>
      <c r="E118" s="423"/>
      <c r="F118" s="460"/>
      <c r="G118" s="467"/>
      <c r="H118"/>
      <c r="I118" s="471"/>
      <c r="J118" s="460"/>
      <c r="K118" s="423"/>
      <c r="L118" s="469"/>
      <c r="M118" s="418"/>
      <c r="N118" s="418"/>
      <c r="O118" s="418"/>
      <c r="P118" s="418"/>
      <c r="Q118" s="418"/>
      <c r="R118" s="418"/>
      <c r="S118" s="418"/>
      <c r="T118" s="418"/>
      <c r="U118" s="418"/>
      <c r="V118" s="369"/>
      <c r="W118" s="1316"/>
      <c r="X118" s="8"/>
      <c r="Y118" s="1316"/>
      <c r="Z118" s="1316"/>
      <c r="AA118" s="1316"/>
      <c r="AH118" s="1316"/>
      <c r="AI118" s="1316"/>
      <c r="AL118" s="1316"/>
      <c r="AQ118" s="207"/>
      <c r="AR118" s="1757"/>
      <c r="AT118" s="2230"/>
    </row>
    <row r="119" spans="1:57" s="70" customFormat="1" ht="13.5" customHeight="1" x14ac:dyDescent="0.2">
      <c r="A119" s="418"/>
      <c r="B119" s="418"/>
      <c r="C119" s="460"/>
      <c r="D119" s="460"/>
      <c r="E119" s="423"/>
      <c r="F119" s="460"/>
      <c r="G119" s="467"/>
      <c r="H119"/>
      <c r="I119" s="471"/>
      <c r="J119" s="460"/>
      <c r="K119" s="423"/>
      <c r="L119" s="469"/>
      <c r="M119" s="418"/>
      <c r="N119" s="418"/>
      <c r="O119" s="418"/>
      <c r="P119" s="418"/>
      <c r="Q119" s="418"/>
      <c r="R119" s="418"/>
      <c r="S119" s="418"/>
      <c r="T119" s="418"/>
      <c r="U119" s="418"/>
      <c r="V119" s="369"/>
      <c r="W119" s="1316"/>
      <c r="X119" s="8"/>
      <c r="Y119" s="1316"/>
      <c r="Z119" s="1316"/>
      <c r="AA119" s="1316"/>
      <c r="AH119" s="1316"/>
      <c r="AI119" s="1316"/>
      <c r="AL119" s="1316"/>
      <c r="AQ119" s="563" t="s">
        <v>137</v>
      </c>
      <c r="AR119" s="1299"/>
      <c r="AT119" s="2230"/>
    </row>
    <row r="120" spans="1:57" s="70" customFormat="1" ht="13.5" customHeight="1" x14ac:dyDescent="0.2">
      <c r="A120" s="418"/>
      <c r="B120" s="418"/>
      <c r="C120" s="460"/>
      <c r="D120" s="460"/>
      <c r="E120" s="423"/>
      <c r="F120" s="460"/>
      <c r="G120" s="467"/>
      <c r="H120"/>
      <c r="I120" s="471"/>
      <c r="J120" s="460"/>
      <c r="K120" s="423"/>
      <c r="L120" s="469"/>
      <c r="M120" s="418"/>
      <c r="N120" s="418"/>
      <c r="O120" s="418"/>
      <c r="P120" s="418"/>
      <c r="Q120" s="418"/>
      <c r="R120" s="418"/>
      <c r="S120" s="418"/>
      <c r="T120" s="418"/>
      <c r="U120" s="418"/>
      <c r="V120" s="369"/>
      <c r="W120" s="1316"/>
      <c r="X120" s="8"/>
      <c r="Y120" s="1316"/>
      <c r="Z120" s="1316"/>
      <c r="AA120" s="1316"/>
      <c r="AH120" s="1316"/>
      <c r="AI120" s="1316"/>
      <c r="AL120" s="1316"/>
      <c r="AQ120" s="275" t="s">
        <v>382</v>
      </c>
      <c r="AR120" s="1301"/>
      <c r="AT120" s="259">
        <v>5.4199999999999998E-2</v>
      </c>
    </row>
    <row r="121" spans="1:57" s="70" customFormat="1" ht="13.5" customHeight="1" x14ac:dyDescent="0.2">
      <c r="A121" s="418"/>
      <c r="B121" s="418"/>
      <c r="C121" s="460"/>
      <c r="D121" s="460"/>
      <c r="E121" s="423"/>
      <c r="F121" s="460"/>
      <c r="G121" s="467"/>
      <c r="H121"/>
      <c r="I121" s="471"/>
      <c r="J121" s="460"/>
      <c r="K121" s="423"/>
      <c r="L121" s="469"/>
      <c r="M121" s="418"/>
      <c r="N121" s="418"/>
      <c r="O121" s="418"/>
      <c r="P121" s="418"/>
      <c r="Q121" s="418"/>
      <c r="R121" s="418"/>
      <c r="S121" s="418"/>
      <c r="T121" s="418"/>
      <c r="U121" s="418"/>
      <c r="V121" s="369"/>
      <c r="W121" s="1316"/>
      <c r="X121" s="8"/>
      <c r="Y121" s="1316"/>
      <c r="Z121" s="1316"/>
      <c r="AA121" s="1316"/>
      <c r="AH121" s="1316"/>
      <c r="AI121" s="1316"/>
      <c r="AL121" s="1316"/>
      <c r="AQ121" s="1170" t="s">
        <v>1309</v>
      </c>
      <c r="AR121" s="1301"/>
      <c r="AT121" s="259">
        <v>5.16E-2</v>
      </c>
    </row>
    <row r="122" spans="1:57" s="70" customFormat="1" ht="13.5" customHeight="1" x14ac:dyDescent="0.2">
      <c r="A122" s="418"/>
      <c r="B122" s="418"/>
      <c r="C122" s="460"/>
      <c r="D122" s="460"/>
      <c r="E122" s="423"/>
      <c r="F122" s="460"/>
      <c r="G122" s="467"/>
      <c r="H122"/>
      <c r="I122" s="471"/>
      <c r="J122" s="460"/>
      <c r="K122" s="423"/>
      <c r="L122" s="469"/>
      <c r="M122" s="418"/>
      <c r="N122" s="418"/>
      <c r="O122" s="418"/>
      <c r="P122" s="418"/>
      <c r="Q122" s="418"/>
      <c r="R122" s="418"/>
      <c r="S122" s="418"/>
      <c r="T122" s="418"/>
      <c r="U122" s="418"/>
      <c r="V122" s="369"/>
      <c r="W122" s="1316"/>
      <c r="X122" s="8"/>
      <c r="Y122" s="1316"/>
      <c r="Z122" s="1316"/>
      <c r="AA122" s="1316"/>
      <c r="AH122" s="1316"/>
      <c r="AI122" s="1316"/>
      <c r="AL122" s="1316"/>
      <c r="AQ122" s="1170" t="s">
        <v>2036</v>
      </c>
      <c r="AR122" s="1301"/>
      <c r="AT122" s="259">
        <v>2.6499999999999999E-2</v>
      </c>
    </row>
    <row r="123" spans="1:57" s="70" customFormat="1" ht="3.75" customHeight="1" x14ac:dyDescent="0.2">
      <c r="A123" s="418"/>
      <c r="B123" s="418"/>
      <c r="C123" s="460"/>
      <c r="D123" s="460"/>
      <c r="E123" s="423"/>
      <c r="F123" s="460"/>
      <c r="G123" s="467"/>
      <c r="H123"/>
      <c r="I123" s="471"/>
      <c r="J123" s="460"/>
      <c r="K123" s="423"/>
      <c r="L123" s="469"/>
      <c r="M123" s="418"/>
      <c r="N123" s="418"/>
      <c r="O123" s="418"/>
      <c r="P123" s="418"/>
      <c r="Q123" s="418"/>
      <c r="R123" s="418"/>
      <c r="S123" s="418"/>
      <c r="T123" s="418"/>
      <c r="U123" s="418"/>
      <c r="V123" s="369"/>
      <c r="W123" s="1316"/>
      <c r="X123" s="8"/>
      <c r="Y123" s="1316"/>
      <c r="Z123" s="1316"/>
      <c r="AA123" s="1316"/>
      <c r="AH123" s="1316"/>
      <c r="AI123" s="1316"/>
      <c r="AL123" s="1316"/>
      <c r="AQ123" s="1758"/>
      <c r="AR123" s="1301"/>
    </row>
    <row r="124" spans="1:57" s="70" customFormat="1" ht="3" customHeight="1" x14ac:dyDescent="0.2">
      <c r="A124" s="418"/>
      <c r="B124" s="418"/>
      <c r="C124" s="460"/>
      <c r="D124" s="460"/>
      <c r="E124" s="423"/>
      <c r="F124" s="460"/>
      <c r="G124" s="467"/>
      <c r="H124"/>
      <c r="I124" s="471"/>
      <c r="J124" s="460"/>
      <c r="K124" s="423"/>
      <c r="L124" s="469"/>
      <c r="M124" s="418"/>
      <c r="N124" s="418"/>
      <c r="O124" s="418"/>
      <c r="P124" s="418"/>
      <c r="Q124" s="418"/>
      <c r="R124" s="418"/>
      <c r="S124" s="418"/>
      <c r="T124" s="418"/>
      <c r="U124" s="418"/>
      <c r="V124" s="369"/>
      <c r="W124" s="1316"/>
      <c r="X124" s="8"/>
      <c r="Y124" s="1316"/>
      <c r="Z124" s="1316"/>
      <c r="AA124" s="1316"/>
      <c r="AH124" s="1316"/>
      <c r="AI124" s="1316"/>
      <c r="AL124" s="1316"/>
      <c r="AQ124" s="207"/>
      <c r="AR124" s="207"/>
    </row>
    <row r="125" spans="1:57" ht="13.5" customHeight="1" x14ac:dyDescent="0.2">
      <c r="A125" s="418"/>
      <c r="B125" s="418"/>
      <c r="C125" s="418"/>
      <c r="D125" s="418"/>
      <c r="E125" s="418"/>
      <c r="F125" s="460"/>
      <c r="G125" s="467"/>
      <c r="I125" s="463"/>
      <c r="J125" s="418"/>
      <c r="K125" s="460"/>
      <c r="L125" s="469"/>
      <c r="M125" s="418"/>
      <c r="N125" s="418"/>
      <c r="O125" s="418"/>
      <c r="P125" s="418"/>
      <c r="Q125" s="418"/>
      <c r="R125" s="418"/>
      <c r="S125" s="418"/>
      <c r="T125" s="418"/>
      <c r="U125" s="418"/>
      <c r="AP125" s="421"/>
      <c r="AQ125" s="1424"/>
      <c r="AR125" s="421"/>
      <c r="AS125" s="421"/>
      <c r="AT125" s="421"/>
      <c r="AU125" s="421"/>
    </row>
    <row r="126" spans="1:57" ht="13.5" customHeight="1" x14ac:dyDescent="0.2">
      <c r="A126" s="418"/>
      <c r="B126" s="418"/>
      <c r="C126" s="418"/>
      <c r="D126" s="418"/>
      <c r="E126" s="418"/>
      <c r="F126" s="460"/>
      <c r="G126" s="467"/>
      <c r="I126" s="463"/>
      <c r="J126" s="418"/>
      <c r="K126" s="460"/>
      <c r="L126" s="469"/>
      <c r="M126" s="418"/>
      <c r="N126" s="418"/>
      <c r="O126" s="418"/>
      <c r="P126" s="418"/>
      <c r="Q126" s="418"/>
      <c r="R126" s="418"/>
      <c r="S126" s="418"/>
      <c r="T126" s="418"/>
      <c r="U126" s="418"/>
    </row>
    <row r="127" spans="1:57" ht="13.5" customHeight="1" x14ac:dyDescent="0.2">
      <c r="A127" s="418"/>
      <c r="B127" s="418"/>
      <c r="C127" s="418"/>
      <c r="D127" s="418"/>
      <c r="E127" s="418"/>
      <c r="F127" s="460"/>
      <c r="G127" s="467"/>
      <c r="I127" s="463"/>
      <c r="J127" s="418"/>
      <c r="K127" s="460"/>
      <c r="L127" s="469"/>
      <c r="M127" s="418"/>
      <c r="N127" s="418"/>
      <c r="O127" s="418"/>
      <c r="P127" s="418"/>
      <c r="Q127" s="418"/>
      <c r="R127" s="418"/>
      <c r="S127" s="418"/>
      <c r="T127" s="418"/>
      <c r="U127" s="418"/>
      <c r="AV127" s="85"/>
      <c r="AW127" s="3945" t="s">
        <v>2254</v>
      </c>
      <c r="AX127" s="3945"/>
      <c r="AY127" s="3946"/>
      <c r="AZ127" s="3947" t="s">
        <v>2255</v>
      </c>
      <c r="BA127" s="3945"/>
      <c r="BB127" s="3946"/>
      <c r="BC127" s="3936">
        <v>2013</v>
      </c>
      <c r="BD127" s="3937"/>
      <c r="BE127" s="3938"/>
    </row>
    <row r="128" spans="1:57" ht="13.5" customHeight="1" x14ac:dyDescent="0.2">
      <c r="A128" s="418"/>
      <c r="B128" s="418"/>
      <c r="C128" s="418"/>
      <c r="D128" s="418"/>
      <c r="E128" s="418"/>
      <c r="F128" s="418"/>
      <c r="G128" s="462"/>
      <c r="I128" s="463"/>
      <c r="J128" s="418"/>
      <c r="K128" s="418"/>
      <c r="L128" s="462"/>
      <c r="M128" s="418"/>
      <c r="N128" s="418"/>
      <c r="O128" s="418"/>
      <c r="P128" s="418"/>
      <c r="Q128" s="418"/>
      <c r="R128" s="418"/>
      <c r="S128" s="418"/>
      <c r="T128" s="418"/>
      <c r="U128" s="418"/>
      <c r="AV128" s="2095"/>
      <c r="AW128" s="2100" t="s">
        <v>1253</v>
      </c>
      <c r="AX128" s="2100" t="s">
        <v>1863</v>
      </c>
      <c r="AY128" s="2101" t="s">
        <v>487</v>
      </c>
      <c r="AZ128" s="2102" t="s">
        <v>1253</v>
      </c>
      <c r="BA128" s="2100" t="s">
        <v>1863</v>
      </c>
      <c r="BB128" s="2101" t="s">
        <v>487</v>
      </c>
      <c r="BC128" s="2102" t="s">
        <v>1253</v>
      </c>
      <c r="BD128" s="2100" t="s">
        <v>1863</v>
      </c>
      <c r="BE128" s="2101" t="s">
        <v>487</v>
      </c>
    </row>
    <row r="129" spans="1:57" ht="13.5" customHeight="1" x14ac:dyDescent="0.2">
      <c r="A129" s="418"/>
      <c r="B129" s="418"/>
      <c r="C129" s="418"/>
      <c r="D129" s="418"/>
      <c r="E129" s="418"/>
      <c r="F129" s="418"/>
      <c r="G129" s="462"/>
      <c r="I129" s="463"/>
      <c r="J129" s="418"/>
      <c r="K129" s="418"/>
      <c r="L129" s="462"/>
      <c r="M129" s="418"/>
      <c r="N129" s="418"/>
      <c r="O129" s="418"/>
      <c r="P129" s="418"/>
      <c r="Q129" s="418"/>
      <c r="R129" s="418"/>
      <c r="S129" s="418"/>
      <c r="T129" s="418"/>
      <c r="U129" s="418"/>
      <c r="AV129" s="550" t="s">
        <v>1938</v>
      </c>
      <c r="AW129" s="1691">
        <v>0.43</v>
      </c>
      <c r="AX129" s="1657">
        <v>268</v>
      </c>
      <c r="AY129" s="2099">
        <v>4.5999999999999999E-2</v>
      </c>
      <c r="AZ129" s="1691"/>
      <c r="BA129" s="1657"/>
      <c r="BB129" s="2096"/>
      <c r="BC129" s="1691"/>
      <c r="BD129" s="1657"/>
      <c r="BE129" s="2099"/>
    </row>
    <row r="130" spans="1:57" ht="13.5" customHeight="1" x14ac:dyDescent="0.2">
      <c r="A130" s="418"/>
      <c r="B130" s="418"/>
      <c r="C130" s="458"/>
      <c r="D130" s="458"/>
      <c r="E130" s="423"/>
      <c r="F130" s="460"/>
      <c r="G130" s="467"/>
      <c r="I130" s="468"/>
      <c r="J130" s="460"/>
      <c r="K130" s="423"/>
      <c r="L130" s="469"/>
      <c r="M130" s="418"/>
      <c r="N130" s="418"/>
      <c r="O130" s="418"/>
      <c r="P130" s="418"/>
      <c r="Q130" s="418"/>
      <c r="R130" s="418"/>
      <c r="S130" s="418"/>
      <c r="T130" s="418"/>
      <c r="U130" s="418"/>
      <c r="AV130" s="2097" t="s">
        <v>2256</v>
      </c>
      <c r="AW130" s="1691">
        <v>0.4</v>
      </c>
      <c r="AX130" s="2098">
        <v>261</v>
      </c>
      <c r="AY130" s="2099">
        <v>5.5E-2</v>
      </c>
      <c r="AZ130" s="1691">
        <v>0.52</v>
      </c>
      <c r="BA130" s="2098">
        <v>323</v>
      </c>
      <c r="BB130" s="2099">
        <v>5.5E-2</v>
      </c>
      <c r="BC130" s="1691">
        <v>2</v>
      </c>
      <c r="BD130" s="2098">
        <v>1236</v>
      </c>
      <c r="BE130" s="2099">
        <v>0.06</v>
      </c>
    </row>
    <row r="131" spans="1:57" s="546" customFormat="1" ht="13.5" customHeight="1" x14ac:dyDescent="0.2">
      <c r="A131" s="418"/>
      <c r="B131" s="418"/>
      <c r="C131" s="458"/>
      <c r="D131" s="458"/>
      <c r="E131" s="423"/>
      <c r="F131" s="460"/>
      <c r="G131" s="467"/>
      <c r="H131"/>
      <c r="I131" s="468"/>
      <c r="J131" s="460"/>
      <c r="K131" s="423"/>
      <c r="L131" s="469"/>
      <c r="M131" s="418"/>
      <c r="N131" s="418"/>
      <c r="O131" s="418"/>
      <c r="P131" s="418"/>
      <c r="Q131" s="418"/>
      <c r="R131" s="418"/>
      <c r="S131" s="418"/>
      <c r="T131" s="418"/>
      <c r="U131" s="418"/>
      <c r="AP131"/>
      <c r="AQ131"/>
      <c r="AR131"/>
      <c r="AS131"/>
      <c r="AT131"/>
      <c r="AU131"/>
      <c r="AV131" s="2097" t="s">
        <v>2257</v>
      </c>
      <c r="AW131" s="1691"/>
      <c r="AX131" s="2098"/>
      <c r="AY131" s="2099"/>
      <c r="AZ131" s="1691">
        <v>0.56999999999999995</v>
      </c>
      <c r="BA131" s="2098">
        <v>343</v>
      </c>
      <c r="BB131" s="2099">
        <v>5.6000000000000001E-2</v>
      </c>
      <c r="BC131" s="1691">
        <v>2.06</v>
      </c>
      <c r="BD131" s="2098">
        <v>1249</v>
      </c>
      <c r="BE131" s="2099">
        <v>5.6000000000000001E-2</v>
      </c>
    </row>
    <row r="132" spans="1:57" ht="13.5" customHeight="1" x14ac:dyDescent="0.2">
      <c r="A132" s="418"/>
      <c r="B132" s="418"/>
      <c r="C132" s="458"/>
      <c r="D132" s="458"/>
      <c r="E132" s="423"/>
      <c r="F132" s="460"/>
      <c r="G132" s="467"/>
      <c r="I132" s="468"/>
      <c r="J132" s="460"/>
      <c r="K132" s="423"/>
      <c r="L132" s="469"/>
      <c r="M132" s="418"/>
      <c r="N132" s="418"/>
      <c r="O132" s="418"/>
      <c r="P132" s="418"/>
      <c r="Q132" s="418"/>
      <c r="R132" s="418"/>
      <c r="S132" s="418"/>
      <c r="T132" s="418"/>
      <c r="U132" s="418"/>
      <c r="AV132" s="550" t="s">
        <v>2258</v>
      </c>
      <c r="AW132" s="1691">
        <v>0.4</v>
      </c>
      <c r="AX132" s="1657">
        <v>267</v>
      </c>
      <c r="AY132" s="2099">
        <v>5.0999999999999997E-2</v>
      </c>
      <c r="AZ132" s="1691">
        <v>0.55000000000000004</v>
      </c>
      <c r="BA132" s="1657">
        <v>334</v>
      </c>
      <c r="BB132" s="2099">
        <v>5.3999999999999999E-2</v>
      </c>
      <c r="BC132" s="1691">
        <v>2.0099999999999998</v>
      </c>
      <c r="BD132" s="1657">
        <v>1234</v>
      </c>
      <c r="BE132" s="2099">
        <v>5.3999999999999999E-2</v>
      </c>
    </row>
    <row r="133" spans="1:57" ht="13.5" customHeight="1" x14ac:dyDescent="0.2">
      <c r="A133" s="418"/>
      <c r="B133" s="418"/>
      <c r="C133" s="459"/>
      <c r="D133" s="459"/>
      <c r="E133" s="459"/>
      <c r="F133" s="418"/>
      <c r="G133" s="467"/>
      <c r="I133" s="470"/>
      <c r="J133" s="459"/>
      <c r="K133" s="418"/>
      <c r="L133" s="467"/>
      <c r="M133" s="418"/>
      <c r="N133" s="418"/>
      <c r="O133" s="418"/>
      <c r="P133" s="418"/>
      <c r="Q133" s="418"/>
      <c r="R133" s="418"/>
      <c r="S133" s="418"/>
      <c r="T133" s="418"/>
      <c r="U133" s="418"/>
      <c r="AV133" s="550" t="s">
        <v>2259</v>
      </c>
      <c r="AW133" s="1691"/>
      <c r="AX133" s="1657"/>
      <c r="AY133" s="2099"/>
      <c r="AZ133" s="1691">
        <v>0.56999999999999995</v>
      </c>
      <c r="BA133" s="1657">
        <v>338</v>
      </c>
      <c r="BB133" s="2096"/>
      <c r="BC133" s="1691">
        <v>2.04</v>
      </c>
      <c r="BD133" s="1657">
        <v>1239</v>
      </c>
      <c r="BE133" s="2099"/>
    </row>
    <row r="134" spans="1:57" ht="13.5" customHeight="1" x14ac:dyDescent="0.2">
      <c r="A134" s="418"/>
      <c r="B134" s="418"/>
      <c r="C134" s="460"/>
      <c r="D134" s="460"/>
      <c r="E134" s="423"/>
      <c r="F134" s="460"/>
      <c r="G134" s="467"/>
      <c r="I134" s="471"/>
      <c r="J134" s="460"/>
      <c r="K134" s="423"/>
      <c r="L134" s="469"/>
      <c r="M134" s="418"/>
      <c r="N134" s="418"/>
      <c r="O134" s="418"/>
      <c r="P134" s="418"/>
      <c r="Q134" s="418"/>
      <c r="R134" s="418"/>
      <c r="S134" s="418"/>
      <c r="T134" s="418"/>
      <c r="U134" s="418"/>
      <c r="AV134" s="2103" t="s">
        <v>1782</v>
      </c>
      <c r="AW134" s="2104" t="s">
        <v>144</v>
      </c>
      <c r="AX134" s="2104" t="s">
        <v>1979</v>
      </c>
      <c r="AY134" s="2105" t="s">
        <v>2261</v>
      </c>
      <c r="AZ134" s="2104" t="s">
        <v>828</v>
      </c>
      <c r="BA134" s="2104" t="s">
        <v>1979</v>
      </c>
      <c r="BB134" s="2105" t="s">
        <v>2260</v>
      </c>
      <c r="BC134" s="2104" t="s">
        <v>829</v>
      </c>
      <c r="BD134" s="2104" t="s">
        <v>830</v>
      </c>
      <c r="BE134" s="2105" t="s">
        <v>827</v>
      </c>
    </row>
    <row r="135" spans="1:57" ht="13.5" customHeight="1" x14ac:dyDescent="0.2">
      <c r="A135" s="418"/>
      <c r="B135" s="418"/>
      <c r="C135" s="418"/>
      <c r="D135" s="418"/>
      <c r="E135" s="418"/>
      <c r="F135" s="460"/>
      <c r="G135" s="467"/>
      <c r="I135" s="463"/>
      <c r="J135" s="418"/>
      <c r="K135" s="460"/>
      <c r="L135" s="469"/>
      <c r="M135" s="418"/>
      <c r="N135" s="418"/>
      <c r="O135" s="418"/>
      <c r="P135" s="418"/>
      <c r="Q135" s="418"/>
      <c r="R135" s="418"/>
      <c r="S135" s="418"/>
      <c r="T135" s="418"/>
      <c r="U135" s="418"/>
    </row>
    <row r="136" spans="1:57" ht="13.5" customHeight="1" x14ac:dyDescent="0.2">
      <c r="A136" s="418"/>
      <c r="B136" s="418"/>
      <c r="C136" s="418"/>
      <c r="D136" s="418"/>
      <c r="E136" s="418"/>
      <c r="F136" s="460"/>
      <c r="G136" s="467"/>
      <c r="I136" s="463"/>
      <c r="J136" s="418"/>
      <c r="K136" s="460"/>
      <c r="L136" s="469"/>
      <c r="M136" s="418"/>
      <c r="N136" s="418"/>
      <c r="O136" s="418"/>
      <c r="P136" s="418"/>
      <c r="Q136" s="418"/>
      <c r="R136" s="418"/>
      <c r="S136" s="418"/>
      <c r="T136" s="418"/>
      <c r="U136" s="418"/>
    </row>
    <row r="137" spans="1:57" ht="13.5" customHeight="1" x14ac:dyDescent="0.2">
      <c r="A137" s="418"/>
      <c r="B137" s="418"/>
      <c r="C137" s="418"/>
      <c r="D137" s="418"/>
      <c r="E137" s="418"/>
      <c r="F137" s="460"/>
      <c r="G137" s="467"/>
      <c r="I137" s="463"/>
      <c r="J137" s="418"/>
      <c r="K137" s="460"/>
      <c r="L137" s="469"/>
      <c r="M137" s="418"/>
      <c r="N137" s="418"/>
      <c r="O137" s="418"/>
      <c r="P137" s="418"/>
      <c r="Q137" s="418"/>
      <c r="R137" s="418"/>
      <c r="S137" s="418"/>
      <c r="T137" s="418"/>
      <c r="U137" s="418"/>
    </row>
    <row r="138" spans="1:57" ht="13.5" customHeight="1" x14ac:dyDescent="0.2">
      <c r="A138" s="418"/>
      <c r="B138" s="418"/>
      <c r="C138" s="458"/>
      <c r="D138" s="458"/>
      <c r="E138" s="423"/>
      <c r="F138" s="460"/>
      <c r="G138" s="467"/>
      <c r="I138" s="468"/>
      <c r="J138" s="460"/>
      <c r="K138" s="423"/>
      <c r="L138" s="469"/>
      <c r="M138" s="418"/>
      <c r="N138" s="418"/>
      <c r="O138" s="418"/>
      <c r="P138" s="418"/>
      <c r="Q138" s="418"/>
      <c r="R138" s="418"/>
      <c r="S138" s="418"/>
      <c r="T138" s="418"/>
      <c r="U138" s="418"/>
    </row>
    <row r="139" spans="1:57" ht="13.5" customHeight="1" x14ac:dyDescent="0.2">
      <c r="A139" s="418"/>
      <c r="B139" s="418"/>
      <c r="C139" s="459"/>
      <c r="D139" s="459"/>
      <c r="E139" s="459"/>
      <c r="F139" s="418"/>
      <c r="G139" s="467"/>
      <c r="I139" s="470"/>
      <c r="J139" s="459"/>
      <c r="K139" s="418"/>
      <c r="L139" s="467"/>
      <c r="M139" s="418"/>
      <c r="N139" s="418"/>
      <c r="O139" s="418"/>
      <c r="P139" s="418"/>
      <c r="Q139" s="418"/>
      <c r="R139" s="418"/>
      <c r="S139" s="418"/>
      <c r="T139" s="418"/>
      <c r="U139" s="418"/>
    </row>
    <row r="140" spans="1:57" ht="13.5" customHeight="1" x14ac:dyDescent="0.2">
      <c r="A140" s="418"/>
      <c r="B140" s="418"/>
      <c r="C140" s="460"/>
      <c r="D140" s="460"/>
      <c r="E140" s="423"/>
      <c r="F140" s="460"/>
      <c r="G140" s="467"/>
      <c r="I140" s="471"/>
      <c r="J140" s="460"/>
      <c r="K140" s="423"/>
      <c r="L140" s="469"/>
      <c r="M140" s="418"/>
      <c r="N140" s="418"/>
      <c r="O140" s="418"/>
      <c r="P140" s="418"/>
      <c r="Q140" s="418"/>
      <c r="R140" s="418"/>
      <c r="S140" s="418"/>
      <c r="T140" s="418"/>
      <c r="U140" s="418"/>
      <c r="V140" s="418"/>
      <c r="W140" s="418"/>
      <c r="X140" s="418"/>
      <c r="Y140" s="418"/>
      <c r="Z140" s="418"/>
      <c r="AA140" s="418"/>
      <c r="AB140" s="418"/>
      <c r="AC140" s="418"/>
      <c r="AD140" s="418"/>
      <c r="AE140" s="418"/>
      <c r="AF140" s="418"/>
      <c r="AG140" s="418"/>
      <c r="AH140" s="418"/>
      <c r="AI140" s="418"/>
      <c r="AJ140" s="418"/>
      <c r="AK140" s="418"/>
      <c r="AL140" s="418"/>
      <c r="AM140" s="418"/>
      <c r="AN140" s="418"/>
      <c r="AO140" s="418"/>
    </row>
    <row r="141" spans="1:57" ht="13.5" customHeight="1" x14ac:dyDescent="0.2"/>
    <row r="142" spans="1:57" ht="13.5" customHeight="1" x14ac:dyDescent="0.2"/>
    <row r="143" spans="1:57" ht="13.5" customHeight="1" x14ac:dyDescent="0.2"/>
    <row r="144" spans="1:57" ht="13.5" customHeight="1" x14ac:dyDescent="0.2"/>
    <row r="145" ht="13.5" customHeight="1" x14ac:dyDescent="0.2"/>
    <row r="146" ht="13.5" customHeight="1" x14ac:dyDescent="0.2"/>
    <row r="147" ht="13.5" customHeight="1" x14ac:dyDescent="0.2"/>
    <row r="148" ht="13.5" customHeight="1" x14ac:dyDescent="0.2"/>
    <row r="149" ht="13.5" customHeight="1" x14ac:dyDescent="0.2"/>
    <row r="150" ht="13.5" customHeight="1" x14ac:dyDescent="0.2"/>
    <row r="151" ht="13.5" customHeight="1" x14ac:dyDescent="0.2"/>
    <row r="152" ht="13.5" customHeight="1" x14ac:dyDescent="0.2"/>
    <row r="153" ht="13.5" customHeight="1" x14ac:dyDescent="0.2"/>
    <row r="154" ht="13.5" customHeight="1" x14ac:dyDescent="0.2"/>
    <row r="155" ht="13.5" customHeight="1" x14ac:dyDescent="0.2"/>
    <row r="156" ht="13.5" customHeight="1" x14ac:dyDescent="0.2"/>
    <row r="157" ht="13.5" customHeight="1" x14ac:dyDescent="0.2"/>
    <row r="158" ht="13.5" customHeight="1" x14ac:dyDescent="0.2"/>
    <row r="159" ht="13.5" customHeight="1" x14ac:dyDescent="0.2"/>
    <row r="160" ht="13.5" customHeight="1" x14ac:dyDescent="0.2"/>
    <row r="161" ht="13.5" customHeight="1" x14ac:dyDescent="0.2"/>
    <row r="162" ht="13.5" customHeight="1" x14ac:dyDescent="0.2"/>
    <row r="163" ht="13.5" customHeight="1" x14ac:dyDescent="0.2"/>
    <row r="164" ht="13.5" customHeight="1" x14ac:dyDescent="0.2"/>
    <row r="165" ht="13.5" customHeight="1" x14ac:dyDescent="0.2"/>
    <row r="166" ht="13.5" customHeight="1" x14ac:dyDescent="0.2"/>
    <row r="167" ht="13.5" customHeight="1" x14ac:dyDescent="0.2"/>
    <row r="168" ht="13.5" customHeight="1" x14ac:dyDescent="0.2"/>
    <row r="169" ht="13.5" customHeight="1" x14ac:dyDescent="0.2"/>
    <row r="170" ht="13.5" customHeight="1" x14ac:dyDescent="0.2"/>
    <row r="171" ht="13.5" customHeight="1" x14ac:dyDescent="0.2"/>
    <row r="172" ht="13.5" customHeight="1" x14ac:dyDescent="0.2"/>
    <row r="173" ht="13.5" customHeight="1" x14ac:dyDescent="0.2"/>
    <row r="174" ht="13.5" customHeight="1" x14ac:dyDescent="0.2"/>
    <row r="175" ht="5.25" customHeight="1" x14ac:dyDescent="0.2"/>
    <row r="176" ht="13.5" customHeight="1" x14ac:dyDescent="0.2"/>
    <row r="177" ht="13.5" customHeight="1" x14ac:dyDescent="0.2"/>
    <row r="178" ht="5.25" customHeight="1" x14ac:dyDescent="0.2"/>
    <row r="179" ht="13.5" customHeight="1" x14ac:dyDescent="0.2"/>
    <row r="180" ht="13.5" customHeight="1" x14ac:dyDescent="0.2"/>
    <row r="181" ht="13.5" customHeight="1" x14ac:dyDescent="0.2"/>
    <row r="182" ht="13.5" customHeight="1" x14ac:dyDescent="0.2"/>
    <row r="183" ht="13.5" customHeight="1" x14ac:dyDescent="0.2"/>
    <row r="184" ht="5.25" customHeight="1" x14ac:dyDescent="0.2"/>
    <row r="185" ht="13.5" customHeight="1" x14ac:dyDescent="0.2"/>
    <row r="186" ht="13.5" customHeight="1" x14ac:dyDescent="0.2"/>
    <row r="187" ht="13.5" customHeight="1" x14ac:dyDescent="0.2"/>
    <row r="188" ht="13.5" customHeight="1" x14ac:dyDescent="0.2"/>
    <row r="189" ht="13.5" customHeight="1" x14ac:dyDescent="0.2"/>
    <row r="190" ht="4.5" customHeight="1" x14ac:dyDescent="0.2"/>
  </sheetData>
  <mergeCells count="7">
    <mergeCell ref="BC127:BE127"/>
    <mergeCell ref="C5:G5"/>
    <mergeCell ref="I5:L5"/>
    <mergeCell ref="AA83:AC83"/>
    <mergeCell ref="AM83:AO83"/>
    <mergeCell ref="AW127:AY127"/>
    <mergeCell ref="AZ127:BB127"/>
  </mergeCells>
  <phoneticPr fontId="66"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autoPageBreaks="0"/>
  </sheetPr>
  <dimension ref="A1:BE188"/>
  <sheetViews>
    <sheetView showGridLines="0" zoomScale="85" zoomScaleNormal="85" zoomScaleSheetLayoutView="85" workbookViewId="0"/>
  </sheetViews>
  <sheetFormatPr defaultColWidth="12" defaultRowHeight="13.5" customHeight="1" x14ac:dyDescent="0.2"/>
  <cols>
    <col min="1" max="1" width="36.1640625" customWidth="1"/>
    <col min="2" max="2" width="2" customWidth="1"/>
    <col min="3" max="4" width="12" customWidth="1"/>
    <col min="5" max="5" width="2" customWidth="1"/>
    <col min="6" max="7" width="10" customWidth="1"/>
    <col min="8" max="8" width="5.33203125" customWidth="1"/>
    <col min="9" max="9" width="12" customWidth="1"/>
    <col min="10" max="10" width="2" customWidth="1"/>
    <col min="11" max="12" width="10" customWidth="1"/>
    <col min="13" max="13" width="2.33203125" customWidth="1"/>
    <col min="14" max="14" width="12" customWidth="1"/>
    <col min="15" max="15" width="2.83203125" customWidth="1"/>
    <col min="16" max="16" width="26.83203125" customWidth="1"/>
    <col min="17" max="18" width="13.6640625" customWidth="1"/>
    <col min="19" max="19" width="1.83203125" customWidth="1"/>
    <col min="20" max="20" width="13.6640625" customWidth="1"/>
    <col min="21" max="21" width="2.33203125" customWidth="1"/>
    <col min="22" max="22" width="34.5" customWidth="1"/>
    <col min="23" max="23" width="9.6640625" hidden="1" customWidth="1"/>
    <col min="24" max="24" width="2.1640625" hidden="1" customWidth="1"/>
    <col min="25" max="25" width="9.6640625" hidden="1" customWidth="1"/>
    <col min="26" max="26" width="2" hidden="1" customWidth="1"/>
    <col min="27" max="27" width="9.6640625" hidden="1" customWidth="1"/>
    <col min="28" max="28" width="1.5" hidden="1" customWidth="1"/>
    <col min="29" max="29" width="9.6640625" hidden="1" customWidth="1"/>
    <col min="30" max="30" width="2" hidden="1" customWidth="1"/>
    <col min="31" max="31" width="9.6640625" customWidth="1"/>
    <col min="32" max="32" width="1.5" customWidth="1"/>
    <col min="33" max="33" width="9.6640625" customWidth="1"/>
    <col min="34" max="34" width="2" customWidth="1"/>
    <col min="35" max="35" width="9.6640625" customWidth="1"/>
    <col min="36" max="36" width="1.5" customWidth="1"/>
    <col min="37" max="37" width="9.6640625" customWidth="1"/>
    <col min="38" max="38" width="2" customWidth="1"/>
    <col min="39" max="39" width="9.6640625" customWidth="1"/>
    <col min="40" max="40" width="1.5" customWidth="1"/>
    <col min="41" max="41" width="9.6640625" customWidth="1"/>
    <col min="42" max="42" width="13.1640625" customWidth="1"/>
    <col min="43" max="43" width="28" customWidth="1"/>
    <col min="44" max="44" width="12" bestFit="1" customWidth="1"/>
    <col min="45" max="45" width="1.83203125" customWidth="1"/>
    <col min="46" max="46" width="12.5" bestFit="1" customWidth="1"/>
    <col min="47" max="47" width="1.5" customWidth="1"/>
    <col min="48" max="57" width="12.5" customWidth="1"/>
  </cols>
  <sheetData>
    <row r="1" spans="1:47" ht="13.5" customHeight="1" x14ac:dyDescent="0.2">
      <c r="A1" s="362" t="s">
        <v>1490</v>
      </c>
      <c r="B1" s="346"/>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345"/>
      <c r="AG1" s="345"/>
      <c r="AH1" s="345"/>
      <c r="AI1" s="345"/>
      <c r="AJ1" s="345"/>
      <c r="AK1" s="345"/>
      <c r="AL1" s="345"/>
      <c r="AM1" s="345"/>
      <c r="AN1" s="345"/>
      <c r="AO1" s="345"/>
      <c r="AP1" s="345"/>
      <c r="AQ1" s="345"/>
      <c r="AR1" s="345"/>
      <c r="AS1" s="345"/>
      <c r="AT1" s="345"/>
      <c r="AU1" s="345"/>
    </row>
    <row r="2" spans="1:47" ht="13.5" customHeight="1" x14ac:dyDescent="0.2">
      <c r="A2" s="362" t="s">
        <v>1639</v>
      </c>
      <c r="B2" s="346"/>
      <c r="C2" s="619"/>
      <c r="D2" s="345"/>
      <c r="E2" s="345"/>
      <c r="F2" s="345"/>
      <c r="G2" s="345"/>
      <c r="H2" s="345"/>
      <c r="I2" s="619"/>
      <c r="J2" s="345"/>
      <c r="K2" s="345"/>
      <c r="L2" s="345"/>
      <c r="M2" s="345"/>
      <c r="N2" s="345"/>
      <c r="O2" s="345"/>
      <c r="P2" s="345"/>
      <c r="Q2" s="345"/>
      <c r="R2" s="345"/>
      <c r="S2" s="345"/>
      <c r="T2" s="345"/>
      <c r="U2" s="346"/>
      <c r="V2" s="345"/>
      <c r="W2" s="345"/>
      <c r="X2" s="345"/>
      <c r="Y2" s="345"/>
      <c r="Z2" s="345"/>
      <c r="AA2" s="345"/>
      <c r="AB2" s="345"/>
      <c r="AC2" s="345"/>
      <c r="AD2" s="345"/>
      <c r="AE2" s="345"/>
      <c r="AF2" s="345"/>
      <c r="AG2" s="345"/>
      <c r="AH2" s="345"/>
      <c r="AI2" s="345"/>
      <c r="AJ2" s="345"/>
      <c r="AK2" s="345"/>
      <c r="AL2" s="345"/>
      <c r="AM2" s="345"/>
      <c r="AN2" s="345"/>
      <c r="AO2" s="345"/>
      <c r="AP2" s="345"/>
      <c r="AQ2" s="345"/>
      <c r="AR2" s="345"/>
      <c r="AS2" s="345"/>
      <c r="AT2" s="345"/>
      <c r="AU2" s="345"/>
    </row>
    <row r="3" spans="1:47" ht="13.5" customHeight="1" x14ac:dyDescent="0.2">
      <c r="A3" s="346"/>
      <c r="B3" s="346"/>
      <c r="C3" s="346"/>
      <c r="D3" s="346"/>
      <c r="E3" s="346"/>
      <c r="F3" s="346"/>
      <c r="G3" s="346"/>
      <c r="H3" s="346"/>
      <c r="I3" s="346"/>
      <c r="J3" s="346"/>
      <c r="K3" s="346"/>
      <c r="L3" s="346"/>
      <c r="M3" s="346"/>
      <c r="N3" s="345"/>
      <c r="O3" s="345"/>
      <c r="P3" s="345"/>
      <c r="Q3" s="345"/>
      <c r="R3" s="345"/>
      <c r="S3" s="345"/>
      <c r="T3" s="345"/>
      <c r="U3" s="346"/>
      <c r="V3" s="345"/>
      <c r="W3" s="345"/>
      <c r="X3" s="345"/>
      <c r="Y3" s="345"/>
      <c r="Z3" s="345"/>
      <c r="AA3" s="345"/>
      <c r="AB3" s="345"/>
      <c r="AC3" s="345"/>
      <c r="AD3" s="345"/>
      <c r="AE3" s="345"/>
      <c r="AF3" s="345"/>
      <c r="AG3" s="345"/>
      <c r="AH3" s="345"/>
      <c r="AI3" s="345"/>
      <c r="AJ3" s="345"/>
      <c r="AK3" s="345"/>
      <c r="AL3" s="345"/>
      <c r="AM3" s="345"/>
      <c r="AN3" s="345"/>
      <c r="AO3" s="345"/>
      <c r="AP3" s="345"/>
      <c r="AQ3" s="345"/>
      <c r="AR3" s="345"/>
      <c r="AS3" s="345"/>
      <c r="AT3" s="345"/>
      <c r="AU3" s="345"/>
    </row>
    <row r="4" spans="1:47" ht="13.5" customHeight="1" x14ac:dyDescent="0.2">
      <c r="A4" s="275" t="s">
        <v>91</v>
      </c>
      <c r="B4" s="346"/>
      <c r="C4" s="346"/>
      <c r="D4" s="346"/>
      <c r="E4" s="346"/>
      <c r="F4" s="346"/>
      <c r="G4" s="346"/>
      <c r="H4" s="346"/>
      <c r="I4" s="346"/>
      <c r="J4" s="346"/>
      <c r="K4" s="346"/>
      <c r="L4" s="346"/>
      <c r="M4" s="346"/>
      <c r="N4" s="345"/>
      <c r="O4" s="345"/>
      <c r="P4" s="345"/>
      <c r="Q4" s="345"/>
      <c r="R4" s="345"/>
      <c r="S4" s="345"/>
      <c r="T4" s="345"/>
      <c r="U4" s="346"/>
      <c r="V4" s="345"/>
      <c r="W4" s="345"/>
      <c r="X4" s="345"/>
      <c r="Y4" s="345"/>
      <c r="Z4" s="345"/>
      <c r="AA4" s="345"/>
      <c r="AB4" s="345"/>
      <c r="AC4" s="345"/>
      <c r="AD4" s="345"/>
      <c r="AE4" s="345"/>
      <c r="AF4" s="345"/>
      <c r="AG4" s="345"/>
      <c r="AH4" s="345"/>
      <c r="AI4" s="345"/>
      <c r="AJ4" s="345"/>
      <c r="AK4" s="345"/>
      <c r="AL4" s="345"/>
      <c r="AM4" s="345"/>
      <c r="AN4" s="345"/>
      <c r="AO4" s="345"/>
      <c r="AP4" s="345"/>
      <c r="AQ4" s="345"/>
      <c r="AR4" s="345"/>
      <c r="AS4" s="345"/>
      <c r="AT4" s="345"/>
      <c r="AU4" s="345"/>
    </row>
    <row r="5" spans="1:47" ht="13.5" customHeight="1" x14ac:dyDescent="0.2">
      <c r="A5" s="418"/>
      <c r="B5" s="418"/>
      <c r="C5" s="815" t="s">
        <v>1149</v>
      </c>
      <c r="D5" s="815"/>
      <c r="E5" s="815"/>
      <c r="F5" s="815"/>
      <c r="G5" s="815"/>
      <c r="H5" s="374"/>
      <c r="I5" s="815" t="s">
        <v>1755</v>
      </c>
      <c r="J5" s="815"/>
      <c r="K5" s="815"/>
      <c r="L5" s="815"/>
      <c r="M5" s="346"/>
      <c r="N5" s="1143" t="s">
        <v>1141</v>
      </c>
      <c r="O5" s="347"/>
      <c r="P5" s="345"/>
      <c r="Q5" s="345"/>
      <c r="R5" s="345"/>
      <c r="S5" s="345"/>
      <c r="T5" s="345"/>
      <c r="U5" s="346"/>
      <c r="V5" s="345"/>
      <c r="W5" s="345"/>
      <c r="X5" s="345"/>
      <c r="Y5" s="345"/>
      <c r="Z5" s="345"/>
      <c r="AA5" s="345"/>
      <c r="AB5" s="345"/>
      <c r="AC5" s="345"/>
      <c r="AD5" s="345"/>
      <c r="AE5" s="345"/>
      <c r="AF5" s="345"/>
      <c r="AG5" s="345"/>
      <c r="AH5" s="345"/>
      <c r="AI5" s="345"/>
      <c r="AJ5" s="345"/>
      <c r="AK5" s="345"/>
      <c r="AL5" s="345"/>
      <c r="AM5" s="345"/>
      <c r="AN5" s="345"/>
      <c r="AO5" s="345"/>
      <c r="AP5" s="345"/>
      <c r="AQ5" s="345"/>
      <c r="AR5" s="345"/>
      <c r="AS5" s="345"/>
      <c r="AT5" s="345"/>
      <c r="AU5" s="345"/>
    </row>
    <row r="6" spans="1:47" ht="13.5" customHeight="1" x14ac:dyDescent="0.2">
      <c r="A6" s="418"/>
      <c r="B6" s="418"/>
      <c r="C6" s="822"/>
      <c r="D6" s="418"/>
      <c r="E6" s="418"/>
      <c r="F6" s="815" t="s">
        <v>241</v>
      </c>
      <c r="G6" s="815"/>
      <c r="H6" s="418"/>
      <c r="I6" s="822"/>
      <c r="J6" s="418"/>
      <c r="K6" s="1376" t="s">
        <v>241</v>
      </c>
      <c r="L6" s="1376"/>
      <c r="M6" s="346"/>
      <c r="N6" s="345"/>
      <c r="O6" s="345"/>
      <c r="P6" s="345"/>
      <c r="Q6" s="345"/>
      <c r="R6" s="345"/>
      <c r="S6" s="345"/>
      <c r="T6" s="345"/>
      <c r="U6" s="346"/>
      <c r="V6" s="345"/>
      <c r="W6" s="345"/>
      <c r="X6" s="345"/>
      <c r="Y6" s="345"/>
      <c r="Z6" s="345"/>
      <c r="AA6" s="345"/>
      <c r="AB6" s="345"/>
      <c r="AC6" s="345"/>
      <c r="AD6" s="345"/>
      <c r="AE6" s="345"/>
      <c r="AF6" s="345"/>
      <c r="AG6" s="345"/>
      <c r="AH6" s="345"/>
      <c r="AI6" s="345"/>
      <c r="AJ6" s="345"/>
      <c r="AK6" s="345"/>
      <c r="AL6" s="345"/>
      <c r="AM6" s="345"/>
      <c r="AN6" s="345"/>
      <c r="AO6" s="345"/>
      <c r="AP6" s="345"/>
      <c r="AQ6" s="345"/>
      <c r="AR6" s="345"/>
      <c r="AS6" s="345"/>
      <c r="AT6" s="345"/>
      <c r="AU6" s="345"/>
    </row>
    <row r="7" spans="1:47" ht="13.5" customHeight="1" x14ac:dyDescent="0.2">
      <c r="A7" s="418"/>
      <c r="B7" s="418"/>
      <c r="C7" s="1127" t="s">
        <v>1725</v>
      </c>
      <c r="D7" s="1126" t="s">
        <v>289</v>
      </c>
      <c r="E7" s="456"/>
      <c r="F7" s="1126" t="s">
        <v>1756</v>
      </c>
      <c r="G7" s="1126" t="s">
        <v>575</v>
      </c>
      <c r="H7" s="418"/>
      <c r="I7" s="1127" t="s">
        <v>493</v>
      </c>
      <c r="J7" s="456"/>
      <c r="K7" s="1126" t="s">
        <v>1756</v>
      </c>
      <c r="L7" s="1126" t="s">
        <v>575</v>
      </c>
      <c r="M7" s="347"/>
      <c r="N7" s="347"/>
      <c r="O7" s="347"/>
      <c r="P7" s="347"/>
      <c r="Q7" s="347"/>
      <c r="R7" s="347"/>
      <c r="S7" s="347"/>
      <c r="T7" s="347"/>
      <c r="U7" s="346"/>
      <c r="V7" s="345"/>
      <c r="W7" s="345"/>
      <c r="X7" s="345"/>
      <c r="Y7" s="345"/>
      <c r="Z7" s="345"/>
      <c r="AA7" s="345"/>
      <c r="AB7" s="345"/>
      <c r="AC7" s="345"/>
      <c r="AD7" s="345"/>
      <c r="AE7" s="345"/>
      <c r="AF7" s="345"/>
      <c r="AG7" s="345"/>
      <c r="AH7" s="345"/>
      <c r="AI7" s="345"/>
      <c r="AJ7" s="345"/>
      <c r="AK7" s="345"/>
      <c r="AL7" s="345"/>
      <c r="AM7" s="345"/>
      <c r="AN7" s="345"/>
      <c r="AO7" s="345"/>
      <c r="AP7" s="345"/>
      <c r="AQ7" s="345"/>
      <c r="AR7" s="345"/>
      <c r="AS7" s="345"/>
      <c r="AT7" s="345"/>
      <c r="AU7" s="345"/>
    </row>
    <row r="8" spans="1:47" ht="13.5" customHeight="1" x14ac:dyDescent="0.2">
      <c r="A8" s="362" t="s">
        <v>125</v>
      </c>
      <c r="B8" s="346"/>
      <c r="C8" s="348"/>
      <c r="D8" s="346"/>
      <c r="E8" s="346"/>
      <c r="F8" s="346"/>
      <c r="G8" s="346"/>
      <c r="H8" s="346"/>
      <c r="I8" s="348"/>
      <c r="J8" s="346"/>
      <c r="K8" s="346"/>
      <c r="L8" s="346"/>
      <c r="M8" s="346"/>
      <c r="N8" s="345"/>
      <c r="O8" s="345"/>
      <c r="P8" s="345"/>
      <c r="Q8" s="345"/>
      <c r="R8" s="345"/>
      <c r="S8" s="345"/>
      <c r="T8" s="345"/>
      <c r="U8" s="346"/>
      <c r="V8" s="345"/>
      <c r="W8" s="345"/>
      <c r="X8" s="345"/>
      <c r="Y8" s="345"/>
      <c r="Z8" s="345"/>
      <c r="AA8" s="345"/>
      <c r="AB8" s="345"/>
      <c r="AC8" s="345"/>
      <c r="AD8" s="345"/>
      <c r="AE8" s="345"/>
      <c r="AF8" s="345"/>
      <c r="AG8" s="345"/>
      <c r="AH8" s="345"/>
      <c r="AI8" s="345"/>
      <c r="AJ8" s="345"/>
      <c r="AK8" s="345"/>
      <c r="AL8" s="345"/>
      <c r="AM8" s="345"/>
      <c r="AN8" s="345"/>
      <c r="AO8" s="345"/>
      <c r="AP8" s="345"/>
      <c r="AQ8" s="345"/>
      <c r="AR8" s="345"/>
      <c r="AS8" s="345"/>
      <c r="AT8" s="345"/>
      <c r="AU8" s="345"/>
    </row>
    <row r="9" spans="1:47" ht="13.5" customHeight="1" x14ac:dyDescent="0.2">
      <c r="A9" s="865" t="s">
        <v>1594</v>
      </c>
      <c r="B9" s="346"/>
      <c r="C9" s="2138">
        <f>C52</f>
        <v>378</v>
      </c>
      <c r="D9" s="532">
        <f>D52</f>
        <v>319</v>
      </c>
      <c r="E9" s="532"/>
      <c r="F9" s="532">
        <f>C9-D9</f>
        <v>59</v>
      </c>
      <c r="G9" s="354">
        <f>IF(D9=0,0,C9/D9-1)</f>
        <v>0.1849529780564263</v>
      </c>
      <c r="H9" s="346"/>
      <c r="I9" s="2148">
        <v>379.14789141027717</v>
      </c>
      <c r="J9" s="532"/>
      <c r="K9" s="532">
        <f>C9-I9</f>
        <v>-1.1478914102771682</v>
      </c>
      <c r="L9" s="1289">
        <f>IF(I9=0,"NM",C9/I9-1)</f>
        <v>-3.0275558331802621E-3</v>
      </c>
      <c r="M9" s="346"/>
      <c r="N9" s="345"/>
      <c r="O9" s="345"/>
      <c r="P9" s="345"/>
      <c r="Q9" s="345"/>
      <c r="R9" s="345"/>
      <c r="S9" s="345"/>
      <c r="T9" s="345"/>
      <c r="U9" s="346"/>
      <c r="V9" s="345"/>
      <c r="W9" s="345"/>
      <c r="X9" s="345"/>
      <c r="Y9" s="345"/>
      <c r="Z9" s="345"/>
      <c r="AA9" s="345"/>
      <c r="AB9" s="345"/>
      <c r="AC9" s="345"/>
      <c r="AD9" s="345"/>
      <c r="AE9" s="345"/>
      <c r="AF9" s="345"/>
      <c r="AG9" s="345"/>
      <c r="AH9" s="345"/>
      <c r="AI9" s="345"/>
      <c r="AJ9" s="345"/>
      <c r="AK9" s="345"/>
      <c r="AL9" s="345"/>
      <c r="AM9" s="345"/>
      <c r="AN9" s="345"/>
      <c r="AO9" s="345"/>
      <c r="AP9" s="345"/>
      <c r="AQ9" s="345"/>
      <c r="AR9" s="345"/>
      <c r="AS9" s="345"/>
      <c r="AT9" s="345"/>
      <c r="AU9" s="345"/>
    </row>
    <row r="10" spans="1:47" ht="13.5" customHeight="1" x14ac:dyDescent="0.2">
      <c r="A10" s="865" t="s">
        <v>734</v>
      </c>
      <c r="B10" s="346"/>
      <c r="C10" s="2227">
        <f>+MAR!BX11</f>
        <v>220</v>
      </c>
      <c r="D10" s="1404">
        <f>+MAR!BS11</f>
        <v>200</v>
      </c>
      <c r="E10" s="2139"/>
      <c r="F10" s="1404">
        <f>C10-D10</f>
        <v>20</v>
      </c>
      <c r="G10" s="354">
        <f>IF(D10=0,0,C10/D10-1)</f>
        <v>0.10000000000000009</v>
      </c>
      <c r="H10" s="349"/>
      <c r="I10" s="2148">
        <v>187</v>
      </c>
      <c r="J10" s="2139"/>
      <c r="K10" s="532">
        <f>C10-I10</f>
        <v>33</v>
      </c>
      <c r="L10" s="1289">
        <f>IF(I10=0,"NM",C10/I10-1)</f>
        <v>0.17647058823529416</v>
      </c>
      <c r="M10" s="346"/>
      <c r="N10" s="345"/>
      <c r="O10" s="345"/>
      <c r="P10" s="345"/>
      <c r="Q10" s="345"/>
      <c r="R10" s="345"/>
      <c r="S10" s="345"/>
      <c r="T10" s="345"/>
      <c r="U10" s="346"/>
      <c r="V10" s="345"/>
      <c r="W10" s="345"/>
      <c r="X10" s="345"/>
      <c r="Y10" s="345"/>
      <c r="Z10" s="345"/>
      <c r="AA10" s="345"/>
      <c r="AB10" s="345"/>
      <c r="AC10" s="345"/>
      <c r="AD10" s="345"/>
      <c r="AE10" s="345"/>
      <c r="AF10" s="345"/>
      <c r="AG10" s="345"/>
      <c r="AH10" s="345"/>
      <c r="AI10" s="345"/>
      <c r="AJ10" s="345"/>
      <c r="AK10" s="345"/>
      <c r="AL10" s="345"/>
      <c r="AM10" s="345"/>
      <c r="AN10" s="345"/>
      <c r="AO10" s="345"/>
      <c r="AP10" s="345"/>
      <c r="AQ10" s="345"/>
      <c r="AR10" s="345"/>
      <c r="AS10" s="345"/>
      <c r="AT10" s="345"/>
      <c r="AU10" s="345"/>
    </row>
    <row r="11" spans="1:47" ht="13.5" customHeight="1" x14ac:dyDescent="0.2">
      <c r="A11" s="355" t="s">
        <v>732</v>
      </c>
      <c r="B11" s="356"/>
      <c r="C11" s="2140">
        <f>SUM(C9:C10)</f>
        <v>598</v>
      </c>
      <c r="D11" s="488">
        <f>SUM(D9:D10)</f>
        <v>519</v>
      </c>
      <c r="E11" s="488"/>
      <c r="F11" s="488">
        <f>SUM(F10:F10)</f>
        <v>20</v>
      </c>
      <c r="G11" s="358">
        <f>IF(D11=0,0,C11/D11-1)</f>
        <v>0.1522157996146436</v>
      </c>
      <c r="H11" s="359"/>
      <c r="I11" s="2149">
        <v>566.14789141027723</v>
      </c>
      <c r="J11" s="488"/>
      <c r="K11" s="488">
        <f>SUM(K9:K10)</f>
        <v>31.852108589722832</v>
      </c>
      <c r="L11" s="360">
        <f>C11/I11-1</f>
        <v>5.6261109637587792E-2</v>
      </c>
      <c r="M11" s="346"/>
      <c r="N11" s="346"/>
      <c r="O11" s="346"/>
      <c r="P11" s="346"/>
      <c r="Q11" s="346"/>
      <c r="R11" s="346"/>
      <c r="S11" s="346"/>
      <c r="T11" s="346"/>
      <c r="U11" s="346"/>
      <c r="V11" s="345"/>
      <c r="W11" s="345"/>
      <c r="X11" s="345"/>
      <c r="Y11" s="345"/>
      <c r="Z11" s="345"/>
      <c r="AA11" s="345"/>
      <c r="AB11" s="345"/>
      <c r="AC11" s="345"/>
      <c r="AD11" s="345"/>
      <c r="AE11" s="345"/>
      <c r="AF11" s="345"/>
      <c r="AG11" s="345"/>
      <c r="AH11" s="345"/>
      <c r="AI11" s="345"/>
      <c r="AJ11" s="345"/>
      <c r="AK11" s="345"/>
      <c r="AL11" s="345"/>
      <c r="AM11" s="345"/>
      <c r="AN11" s="345"/>
      <c r="AO11" s="345"/>
      <c r="AP11" s="345"/>
      <c r="AQ11" s="345"/>
      <c r="AR11" s="345"/>
      <c r="AS11" s="345"/>
      <c r="AT11" s="345"/>
      <c r="AU11" s="345"/>
    </row>
    <row r="12" spans="1:47" ht="13.5" customHeight="1" x14ac:dyDescent="0.2">
      <c r="A12" s="346"/>
      <c r="B12" s="346"/>
      <c r="C12" s="2138"/>
      <c r="D12" s="532"/>
      <c r="E12" s="532"/>
      <c r="F12" s="532"/>
      <c r="G12" s="361"/>
      <c r="H12" s="346"/>
      <c r="I12" s="2148"/>
      <c r="J12" s="532"/>
      <c r="K12" s="532"/>
      <c r="L12" s="1290"/>
      <c r="M12" s="346"/>
      <c r="N12" s="346"/>
      <c r="O12" s="346"/>
      <c r="P12" s="346"/>
      <c r="Q12" s="346"/>
      <c r="R12" s="346"/>
      <c r="S12" s="346"/>
      <c r="T12" s="346"/>
      <c r="U12" s="346"/>
      <c r="V12" s="345"/>
      <c r="W12" s="345"/>
      <c r="X12" s="345"/>
      <c r="Y12" s="345"/>
      <c r="Z12" s="345"/>
      <c r="AA12" s="345"/>
      <c r="AB12" s="345"/>
      <c r="AC12" s="345"/>
      <c r="AD12" s="345"/>
      <c r="AE12" s="345"/>
      <c r="AF12" s="345"/>
      <c r="AG12" s="345"/>
      <c r="AH12" s="345"/>
      <c r="AI12" s="345"/>
      <c r="AJ12" s="345"/>
      <c r="AK12" s="345"/>
      <c r="AL12" s="345"/>
      <c r="AM12" s="345"/>
      <c r="AN12" s="345"/>
      <c r="AO12" s="345"/>
      <c r="AP12" s="345"/>
      <c r="AQ12" s="345"/>
      <c r="AR12" s="345"/>
      <c r="AS12" s="345"/>
      <c r="AT12" s="345"/>
      <c r="AU12" s="345"/>
    </row>
    <row r="13" spans="1:47" ht="13.5" customHeight="1" x14ac:dyDescent="0.2">
      <c r="A13" s="362" t="s">
        <v>1913</v>
      </c>
      <c r="B13" s="346"/>
      <c r="C13" s="2138"/>
      <c r="D13" s="532"/>
      <c r="E13" s="532"/>
      <c r="F13" s="532"/>
      <c r="G13" s="361"/>
      <c r="H13" s="346"/>
      <c r="I13" s="2148"/>
      <c r="J13" s="532"/>
      <c r="K13" s="532"/>
      <c r="L13" s="1290"/>
      <c r="M13" s="346"/>
      <c r="N13" s="346"/>
      <c r="O13" s="346"/>
      <c r="P13" s="346"/>
      <c r="Q13" s="346"/>
      <c r="R13" s="346"/>
      <c r="S13" s="346"/>
      <c r="T13" s="346"/>
      <c r="U13" s="346"/>
      <c r="V13" s="345"/>
      <c r="W13" s="345"/>
      <c r="X13" s="345"/>
      <c r="Y13" s="345"/>
      <c r="Z13" s="345"/>
      <c r="AA13" s="345"/>
      <c r="AB13" s="345"/>
      <c r="AC13" s="345"/>
      <c r="AD13" s="345"/>
      <c r="AE13" s="345"/>
      <c r="AF13" s="345"/>
      <c r="AG13" s="345"/>
      <c r="AH13" s="345"/>
      <c r="AI13" s="345"/>
      <c r="AJ13" s="345"/>
      <c r="AK13" s="345"/>
      <c r="AL13" s="345"/>
      <c r="AM13" s="345"/>
      <c r="AN13" s="345"/>
      <c r="AO13" s="345"/>
      <c r="AP13" s="345"/>
      <c r="AQ13" s="345"/>
      <c r="AR13" s="345"/>
      <c r="AS13" s="345"/>
      <c r="AT13" s="345"/>
      <c r="AU13" s="345"/>
    </row>
    <row r="14" spans="1:47" ht="13.5" customHeight="1" x14ac:dyDescent="0.2">
      <c r="A14" s="896" t="s">
        <v>733</v>
      </c>
      <c r="B14" s="346"/>
      <c r="C14" s="2138">
        <f>+MAR!BX26</f>
        <v>172</v>
      </c>
      <c r="D14" s="532">
        <f>+MAR!BS26</f>
        <v>174</v>
      </c>
      <c r="E14" s="532"/>
      <c r="F14" s="532">
        <f>C14-D14</f>
        <v>-2</v>
      </c>
      <c r="G14" s="354">
        <f>IF(D14=0,0,C14/D14-1)</f>
        <v>-1.1494252873563204E-2</v>
      </c>
      <c r="H14" s="346"/>
      <c r="I14" s="2148">
        <v>167.04</v>
      </c>
      <c r="J14" s="532"/>
      <c r="K14" s="532">
        <f>C14-I14</f>
        <v>4.960000000000008</v>
      </c>
      <c r="L14" s="1289">
        <f>IF(I14=0,"NM",C14/I14-1)</f>
        <v>2.9693486590038454E-2</v>
      </c>
      <c r="M14" s="346"/>
      <c r="N14" s="346"/>
      <c r="O14" s="346"/>
      <c r="P14" s="346"/>
      <c r="Q14" s="346"/>
      <c r="R14" s="346"/>
      <c r="S14" s="346"/>
      <c r="T14" s="346"/>
      <c r="U14" s="346"/>
      <c r="V14" s="345"/>
      <c r="W14" s="345"/>
      <c r="X14" s="345"/>
      <c r="Y14" s="345"/>
      <c r="Z14" s="345"/>
      <c r="AA14" s="345"/>
      <c r="AB14" s="345"/>
      <c r="AC14" s="345"/>
      <c r="AD14" s="345"/>
      <c r="AE14" s="345"/>
      <c r="AF14" s="345"/>
      <c r="AG14" s="345"/>
      <c r="AH14" s="345"/>
      <c r="AI14" s="345"/>
      <c r="AJ14" s="345"/>
      <c r="AK14" s="345"/>
      <c r="AL14" s="345"/>
      <c r="AM14" s="345"/>
      <c r="AN14" s="345"/>
      <c r="AO14" s="345"/>
      <c r="AP14" s="345"/>
      <c r="AQ14" s="345"/>
      <c r="AR14" s="345"/>
      <c r="AS14" s="345"/>
      <c r="AT14" s="345"/>
      <c r="AU14" s="345"/>
    </row>
    <row r="15" spans="1:47" ht="13.5" customHeight="1" x14ac:dyDescent="0.2">
      <c r="A15" s="896" t="s">
        <v>736</v>
      </c>
      <c r="B15" s="346"/>
      <c r="C15" s="2227">
        <f>+MAR!BX29</f>
        <v>147</v>
      </c>
      <c r="D15" s="1404">
        <f>+MAR!BS29</f>
        <v>132</v>
      </c>
      <c r="E15" s="532"/>
      <c r="F15" s="532">
        <f>C15-D15</f>
        <v>15</v>
      </c>
      <c r="G15" s="354">
        <f>IF(D15=0,0,C15/D15-1)</f>
        <v>0.11363636363636354</v>
      </c>
      <c r="H15" s="346"/>
      <c r="I15" s="2148">
        <v>171.6</v>
      </c>
      <c r="J15" s="532"/>
      <c r="K15" s="532">
        <f>C15-I15</f>
        <v>-24.599999999999994</v>
      </c>
      <c r="L15" s="1289">
        <f>IF(I15=0,"NM",C15/I15-1)</f>
        <v>-0.14335664335664333</v>
      </c>
      <c r="M15" s="346"/>
      <c r="N15" s="346"/>
      <c r="O15" s="346"/>
      <c r="P15" s="346"/>
      <c r="Q15" s="346"/>
      <c r="R15" s="346"/>
      <c r="S15" s="346"/>
      <c r="T15" s="346"/>
      <c r="U15" s="346"/>
      <c r="V15" s="345"/>
      <c r="W15" s="345"/>
      <c r="X15" s="345"/>
      <c r="Y15" s="345"/>
      <c r="Z15" s="345"/>
      <c r="AA15" s="345"/>
      <c r="AB15" s="345"/>
      <c r="AC15" s="345"/>
      <c r="AD15" s="345"/>
      <c r="AE15" s="345"/>
      <c r="AF15" s="345"/>
      <c r="AG15" s="345"/>
      <c r="AH15" s="345"/>
      <c r="AI15" s="345"/>
      <c r="AJ15" s="345"/>
      <c r="AK15" s="345"/>
      <c r="AL15" s="345"/>
      <c r="AM15" s="345"/>
      <c r="AN15" s="345"/>
      <c r="AO15" s="345"/>
      <c r="AP15" s="345"/>
      <c r="AQ15" s="345"/>
      <c r="AR15" s="345"/>
      <c r="AS15" s="345"/>
      <c r="AT15" s="345"/>
      <c r="AU15" s="345"/>
    </row>
    <row r="16" spans="1:47" ht="13.5" customHeight="1" x14ac:dyDescent="0.2">
      <c r="A16" s="896" t="s">
        <v>2247</v>
      </c>
      <c r="B16" s="346"/>
      <c r="C16" s="2227"/>
      <c r="D16" s="1404"/>
      <c r="E16" s="532"/>
      <c r="F16" s="532"/>
      <c r="G16" s="354"/>
      <c r="H16" s="346"/>
      <c r="I16" s="2148"/>
      <c r="J16" s="532"/>
      <c r="K16" s="532"/>
      <c r="L16" s="1289"/>
      <c r="M16" s="346"/>
      <c r="N16" s="346"/>
      <c r="O16" s="346"/>
      <c r="P16" s="346"/>
      <c r="Q16" s="346"/>
      <c r="R16" s="346"/>
      <c r="S16" s="346"/>
      <c r="T16" s="346"/>
      <c r="U16" s="346"/>
      <c r="V16" s="345"/>
      <c r="W16" s="345"/>
      <c r="X16" s="345"/>
      <c r="Y16" s="345"/>
      <c r="Z16" s="345"/>
      <c r="AA16" s="345"/>
      <c r="AB16" s="345"/>
      <c r="AC16" s="345"/>
      <c r="AD16" s="345"/>
      <c r="AE16" s="345"/>
      <c r="AF16" s="345"/>
      <c r="AG16" s="345"/>
      <c r="AH16" s="345"/>
      <c r="AI16" s="345"/>
      <c r="AJ16" s="345"/>
      <c r="AK16" s="345"/>
      <c r="AL16" s="345"/>
      <c r="AM16" s="345"/>
      <c r="AN16" s="345"/>
      <c r="AO16" s="345"/>
      <c r="AP16" s="345"/>
      <c r="AQ16" s="345"/>
      <c r="AR16" s="345"/>
      <c r="AS16" s="345"/>
      <c r="AT16" s="345"/>
      <c r="AU16" s="345"/>
    </row>
    <row r="17" spans="1:47" ht="13.5" customHeight="1" x14ac:dyDescent="0.2">
      <c r="A17" s="355" t="s">
        <v>1913</v>
      </c>
      <c r="B17" s="356"/>
      <c r="C17" s="2140">
        <f>SUM(C14:C16)</f>
        <v>319</v>
      </c>
      <c r="D17" s="488"/>
      <c r="E17" s="488"/>
      <c r="F17" s="488"/>
      <c r="G17" s="358"/>
      <c r="H17" s="359"/>
      <c r="I17" s="2149"/>
      <c r="J17" s="488"/>
      <c r="K17" s="488"/>
      <c r="L17" s="360"/>
      <c r="M17" s="346"/>
      <c r="N17" s="346"/>
      <c r="O17" s="346"/>
      <c r="P17" s="346"/>
      <c r="Q17" s="346"/>
      <c r="R17" s="346"/>
      <c r="S17" s="346"/>
      <c r="T17" s="346"/>
      <c r="U17" s="346"/>
      <c r="V17" s="345"/>
      <c r="W17" s="345"/>
      <c r="X17" s="345"/>
      <c r="Y17" s="345"/>
      <c r="Z17" s="345"/>
      <c r="AA17" s="345"/>
      <c r="AB17" s="345"/>
      <c r="AC17" s="345"/>
      <c r="AD17" s="345"/>
      <c r="AE17" s="345"/>
      <c r="AF17" s="345"/>
      <c r="AG17" s="345"/>
      <c r="AH17" s="345"/>
      <c r="AI17" s="345"/>
      <c r="AJ17" s="345"/>
      <c r="AK17" s="345"/>
      <c r="AL17" s="345"/>
      <c r="AM17" s="345"/>
      <c r="AN17" s="345"/>
      <c r="AO17" s="345"/>
      <c r="AP17" s="345"/>
      <c r="AQ17" s="345"/>
      <c r="AR17" s="345"/>
      <c r="AS17" s="345"/>
      <c r="AT17" s="345"/>
      <c r="AU17" s="345"/>
    </row>
    <row r="18" spans="1:47" ht="13.5" customHeight="1" x14ac:dyDescent="0.2">
      <c r="A18" s="896"/>
      <c r="B18" s="346"/>
      <c r="C18" s="2138"/>
      <c r="D18" s="532"/>
      <c r="E18" s="532"/>
      <c r="F18" s="532"/>
      <c r="G18" s="361"/>
      <c r="H18" s="346"/>
      <c r="I18" s="2148"/>
      <c r="J18" s="532"/>
      <c r="K18" s="532"/>
      <c r="L18" s="1290"/>
      <c r="M18" s="346"/>
      <c r="N18" s="346"/>
      <c r="O18" s="346"/>
      <c r="P18" s="346"/>
      <c r="Q18" s="346"/>
      <c r="R18" s="346"/>
      <c r="S18" s="346"/>
      <c r="T18" s="346"/>
      <c r="U18" s="346"/>
      <c r="V18" s="345"/>
      <c r="W18" s="345"/>
      <c r="X18" s="345"/>
      <c r="Y18" s="345"/>
      <c r="Z18" s="345"/>
      <c r="AA18" s="345"/>
      <c r="AB18" s="345"/>
      <c r="AC18" s="345"/>
      <c r="AD18" s="345"/>
      <c r="AE18" s="345"/>
      <c r="AF18" s="345"/>
      <c r="AG18" s="345"/>
      <c r="AH18" s="345"/>
      <c r="AI18" s="345"/>
      <c r="AJ18" s="345"/>
      <c r="AK18" s="345"/>
      <c r="AL18" s="345"/>
      <c r="AM18" s="345"/>
      <c r="AN18" s="345"/>
      <c r="AO18" s="345"/>
      <c r="AP18" s="345"/>
      <c r="AQ18" s="345"/>
      <c r="AR18" s="345"/>
      <c r="AS18" s="345"/>
      <c r="AT18" s="345"/>
      <c r="AU18" s="345"/>
    </row>
    <row r="19" spans="1:47" ht="13.5" customHeight="1" x14ac:dyDescent="0.2">
      <c r="A19" s="331" t="s">
        <v>1863</v>
      </c>
      <c r="B19" s="1130"/>
      <c r="C19" s="2140"/>
      <c r="D19" s="488"/>
      <c r="E19" s="488"/>
      <c r="F19" s="488"/>
      <c r="G19" s="358"/>
      <c r="H19" s="1130"/>
      <c r="I19" s="2149"/>
      <c r="J19" s="488"/>
      <c r="K19" s="488"/>
      <c r="L19" s="360"/>
      <c r="M19" s="362"/>
      <c r="N19" s="362"/>
      <c r="O19" s="362"/>
      <c r="P19" s="362"/>
      <c r="Q19" s="362"/>
      <c r="R19" s="362"/>
      <c r="S19" s="362"/>
      <c r="T19" s="362"/>
      <c r="U19" s="362"/>
      <c r="V19" s="344"/>
      <c r="W19" s="344"/>
      <c r="X19" s="344"/>
      <c r="Y19" s="344"/>
      <c r="Z19" s="344"/>
      <c r="AA19" s="344"/>
      <c r="AB19" s="344"/>
      <c r="AC19" s="344"/>
      <c r="AD19" s="344"/>
      <c r="AE19" s="344"/>
      <c r="AF19" s="344"/>
      <c r="AG19" s="344"/>
      <c r="AH19" s="344"/>
      <c r="AI19" s="344"/>
      <c r="AJ19" s="344"/>
      <c r="AK19" s="344"/>
      <c r="AL19" s="344"/>
      <c r="AM19" s="344"/>
      <c r="AN19" s="344"/>
      <c r="AO19" s="344"/>
      <c r="AP19" s="344"/>
      <c r="AQ19" s="344"/>
      <c r="AR19" s="344"/>
      <c r="AS19" s="344"/>
      <c r="AT19" s="344"/>
      <c r="AU19" s="344"/>
    </row>
    <row r="20" spans="1:47" ht="13.5" customHeight="1" x14ac:dyDescent="0.2">
      <c r="A20" s="1224" t="s">
        <v>2248</v>
      </c>
      <c r="B20" s="1132"/>
      <c r="C20" s="2069"/>
      <c r="D20" s="2141"/>
      <c r="E20" s="2141"/>
      <c r="F20" s="2141"/>
      <c r="G20" s="1135"/>
      <c r="H20" s="1132"/>
      <c r="I20" s="2150"/>
      <c r="J20" s="2141"/>
      <c r="K20" s="2141"/>
      <c r="L20" s="1291"/>
      <c r="M20" s="346"/>
      <c r="N20" s="346"/>
      <c r="O20" s="346"/>
      <c r="P20" s="346"/>
      <c r="Q20" s="346"/>
      <c r="R20" s="346"/>
      <c r="S20" s="346"/>
      <c r="T20" s="346"/>
      <c r="U20" s="346"/>
      <c r="V20" s="345"/>
      <c r="W20" s="345"/>
      <c r="X20" s="345"/>
      <c r="Y20" s="345"/>
      <c r="Z20" s="345"/>
      <c r="AA20" s="345"/>
      <c r="AB20" s="345"/>
      <c r="AC20" s="345"/>
      <c r="AD20" s="345"/>
      <c r="AE20" s="345"/>
      <c r="AF20" s="345"/>
      <c r="AG20" s="345"/>
      <c r="AH20" s="345"/>
      <c r="AI20" s="345"/>
      <c r="AJ20" s="345"/>
      <c r="AK20" s="345"/>
      <c r="AL20" s="345"/>
      <c r="AM20" s="345"/>
      <c r="AN20" s="345"/>
      <c r="AO20" s="345"/>
      <c r="AP20" s="345"/>
      <c r="AQ20" s="345"/>
      <c r="AR20" s="345"/>
      <c r="AS20" s="345"/>
      <c r="AT20" s="345"/>
      <c r="AU20" s="345"/>
    </row>
    <row r="21" spans="1:47" ht="13.5" customHeight="1" x14ac:dyDescent="0.2">
      <c r="A21" s="897" t="s">
        <v>1343</v>
      </c>
      <c r="B21" s="362"/>
      <c r="C21" s="2142"/>
      <c r="D21" s="364"/>
      <c r="E21" s="364"/>
      <c r="F21" s="364"/>
      <c r="G21" s="482"/>
      <c r="H21" s="362"/>
      <c r="I21" s="2151"/>
      <c r="J21" s="364"/>
      <c r="K21" s="364"/>
      <c r="L21" s="1292"/>
      <c r="M21" s="362"/>
      <c r="N21" s="1144">
        <v>229.36</v>
      </c>
      <c r="O21" s="1144"/>
      <c r="P21" s="362"/>
      <c r="Q21" s="362"/>
      <c r="R21" s="362"/>
      <c r="S21" s="362"/>
      <c r="T21" s="362"/>
      <c r="U21" s="362"/>
      <c r="V21" s="344"/>
      <c r="W21" s="344"/>
      <c r="X21" s="344"/>
      <c r="Y21" s="344"/>
      <c r="Z21" s="344"/>
      <c r="AA21" s="344"/>
      <c r="AB21" s="344"/>
      <c r="AC21" s="344"/>
      <c r="AD21" s="344"/>
      <c r="AE21" s="344"/>
      <c r="AF21" s="344"/>
      <c r="AG21" s="344"/>
      <c r="AH21" s="344"/>
      <c r="AI21" s="344"/>
      <c r="AJ21" s="344"/>
      <c r="AK21" s="344"/>
      <c r="AL21" s="344"/>
      <c r="AM21" s="344"/>
      <c r="AN21" s="344"/>
      <c r="AO21" s="344"/>
      <c r="AP21" s="344"/>
      <c r="AQ21" s="344"/>
      <c r="AR21" s="344"/>
      <c r="AS21" s="344"/>
      <c r="AT21" s="344"/>
      <c r="AU21" s="344"/>
    </row>
    <row r="22" spans="1:47" ht="13.5" customHeight="1" x14ac:dyDescent="0.2">
      <c r="A22" s="897"/>
      <c r="B22" s="346"/>
      <c r="C22" s="2142"/>
      <c r="D22" s="364"/>
      <c r="E22" s="532"/>
      <c r="F22" s="532"/>
      <c r="G22" s="361"/>
      <c r="H22" s="346"/>
      <c r="I22" s="2151"/>
      <c r="J22" s="532"/>
      <c r="K22" s="532"/>
      <c r="L22" s="1290"/>
      <c r="M22" s="346"/>
      <c r="N22" s="346"/>
      <c r="O22" s="346"/>
      <c r="P22" s="346"/>
      <c r="Q22" s="346"/>
      <c r="R22" s="346"/>
      <c r="S22" s="346"/>
      <c r="T22" s="346"/>
      <c r="U22" s="346"/>
      <c r="V22" s="345"/>
      <c r="W22" s="345"/>
      <c r="X22" s="345"/>
      <c r="Y22" s="345"/>
      <c r="Z22" s="345"/>
      <c r="AA22" s="345"/>
      <c r="AB22" s="345"/>
      <c r="AC22" s="345"/>
      <c r="AD22" s="345"/>
      <c r="AE22" s="345"/>
      <c r="AF22" s="345"/>
      <c r="AG22" s="345"/>
      <c r="AH22" s="345"/>
      <c r="AI22" s="345"/>
      <c r="AJ22" s="345"/>
      <c r="AK22" s="345"/>
      <c r="AL22" s="345"/>
      <c r="AM22" s="345"/>
      <c r="AN22" s="345"/>
      <c r="AO22" s="345"/>
      <c r="AP22" s="345"/>
      <c r="AQ22" s="345"/>
      <c r="AR22" s="345"/>
      <c r="AS22" s="345"/>
      <c r="AT22" s="345"/>
      <c r="AU22" s="345"/>
    </row>
    <row r="23" spans="1:47" ht="13.5" customHeight="1" x14ac:dyDescent="0.2">
      <c r="A23" s="896" t="s">
        <v>2249</v>
      </c>
      <c r="B23" s="346"/>
      <c r="C23" s="2227">
        <f>+MAR!BX39</f>
        <v>-28</v>
      </c>
      <c r="D23" s="1404">
        <f>+MAR!BS39</f>
        <v>-29</v>
      </c>
      <c r="E23" s="532"/>
      <c r="F23" s="532">
        <f>C23-D23</f>
        <v>1</v>
      </c>
      <c r="G23" s="354">
        <f>IF(D23=0,0,C23/D23-1)</f>
        <v>-3.4482758620689613E-2</v>
      </c>
      <c r="H23" s="346"/>
      <c r="I23" s="2148">
        <v>-30.262467032967031</v>
      </c>
      <c r="J23" s="532"/>
      <c r="K23" s="532">
        <f>C23-I23</f>
        <v>2.2624670329670309</v>
      </c>
      <c r="L23" s="1289">
        <f>IF(I23=0,"NM",C23/I23-1)</f>
        <v>-7.4761486910580266E-2</v>
      </c>
      <c r="M23" s="346"/>
      <c r="N23" s="346"/>
      <c r="O23" s="346"/>
      <c r="P23" s="346"/>
      <c r="Q23" s="346"/>
      <c r="R23" s="346"/>
      <c r="S23" s="346"/>
      <c r="T23" s="346"/>
      <c r="U23" s="346"/>
      <c r="V23" s="345"/>
      <c r="W23" s="345"/>
      <c r="X23" s="345"/>
      <c r="Y23" s="345"/>
      <c r="Z23" s="345"/>
      <c r="AA23" s="345"/>
      <c r="AB23" s="345"/>
      <c r="AC23" s="345"/>
      <c r="AD23" s="345"/>
      <c r="AE23" s="345"/>
      <c r="AF23" s="345"/>
      <c r="AG23" s="345"/>
      <c r="AH23" s="345"/>
      <c r="AI23" s="345"/>
      <c r="AJ23" s="345"/>
      <c r="AK23" s="345"/>
      <c r="AL23" s="345"/>
      <c r="AM23" s="345"/>
      <c r="AN23" s="345"/>
      <c r="AO23" s="345"/>
      <c r="AP23" s="345"/>
      <c r="AQ23" s="345"/>
      <c r="AR23" s="345"/>
      <c r="AS23" s="345"/>
      <c r="AT23" s="345"/>
      <c r="AU23" s="345"/>
    </row>
    <row r="24" spans="1:47" ht="13.5" customHeight="1" x14ac:dyDescent="0.2">
      <c r="A24" s="896" t="s">
        <v>2250</v>
      </c>
      <c r="B24" s="346"/>
      <c r="C24" s="2227">
        <f>+MAR!BX40</f>
        <v>5</v>
      </c>
      <c r="D24" s="1404">
        <f>+MAR!BS40</f>
        <v>3</v>
      </c>
      <c r="E24" s="532"/>
      <c r="F24" s="532">
        <f>C24-D24</f>
        <v>2</v>
      </c>
      <c r="G24" s="354">
        <f>IF(D24=0,0,C24/D24-1)</f>
        <v>0.66666666666666674</v>
      </c>
      <c r="H24" s="346"/>
      <c r="I24" s="2148">
        <v>6.0493956043956043</v>
      </c>
      <c r="J24" s="532"/>
      <c r="K24" s="532">
        <f>C24-I24</f>
        <v>-1.0493956043956043</v>
      </c>
      <c r="L24" s="1289">
        <f>IF(I24=0,"NM",C24/I24-1)</f>
        <v>-0.1734711486934486</v>
      </c>
      <c r="M24" s="346"/>
      <c r="N24" s="346"/>
      <c r="O24" s="346"/>
      <c r="P24" s="346"/>
      <c r="Q24" s="346"/>
      <c r="R24" s="346"/>
      <c r="S24" s="346"/>
      <c r="T24" s="346"/>
      <c r="U24" s="346"/>
      <c r="V24" s="345"/>
      <c r="W24" s="345"/>
      <c r="X24" s="345"/>
      <c r="Y24" s="345"/>
      <c r="Z24" s="345"/>
      <c r="AA24" s="345"/>
      <c r="AB24" s="345"/>
      <c r="AC24" s="345"/>
      <c r="AD24" s="345"/>
      <c r="AE24" s="345"/>
      <c r="AF24" s="345"/>
      <c r="AG24" s="345"/>
      <c r="AH24" s="345"/>
      <c r="AI24" s="345"/>
      <c r="AJ24" s="345"/>
      <c r="AK24" s="345"/>
      <c r="AL24" s="345"/>
      <c r="AM24" s="345"/>
      <c r="AN24" s="345"/>
      <c r="AO24" s="345"/>
      <c r="AP24" s="345"/>
      <c r="AQ24" s="345"/>
      <c r="AR24" s="345"/>
      <c r="AS24" s="345"/>
      <c r="AT24" s="345"/>
      <c r="AU24" s="345"/>
    </row>
    <row r="25" spans="1:47" ht="13.5" customHeight="1" x14ac:dyDescent="0.2">
      <c r="A25" s="896" t="s">
        <v>2251</v>
      </c>
      <c r="B25" s="346"/>
      <c r="C25" s="2227">
        <f>+MAR!BX38</f>
        <v>1</v>
      </c>
      <c r="D25" s="1404">
        <f>+MAR!BS38</f>
        <v>36</v>
      </c>
      <c r="E25" s="532"/>
      <c r="F25" s="532">
        <f>C25-D25</f>
        <v>-35</v>
      </c>
      <c r="G25" s="354">
        <f>IF(D25=0,0,C25/D25-1)</f>
        <v>-0.97222222222222221</v>
      </c>
      <c r="H25" s="346"/>
      <c r="I25" s="2148">
        <v>0</v>
      </c>
      <c r="J25" s="532"/>
      <c r="K25" s="532">
        <f>C25-I25</f>
        <v>1</v>
      </c>
      <c r="L25" s="1289" t="str">
        <f>IF(I25=0,"NM",C25/I25-1)</f>
        <v>NM</v>
      </c>
      <c r="M25" s="346"/>
      <c r="N25" s="346"/>
      <c r="O25" s="346"/>
      <c r="P25" s="346"/>
      <c r="Q25" s="346"/>
      <c r="R25" s="346"/>
      <c r="S25" s="346"/>
      <c r="T25" s="346"/>
      <c r="U25" s="346"/>
      <c r="V25" s="345"/>
      <c r="W25" s="345"/>
      <c r="X25" s="345"/>
      <c r="Y25" s="345"/>
      <c r="Z25" s="345"/>
      <c r="AA25" s="345"/>
      <c r="AB25" s="345"/>
      <c r="AC25" s="345"/>
      <c r="AD25" s="345"/>
      <c r="AE25" s="345"/>
      <c r="AF25" s="345"/>
      <c r="AG25" s="345"/>
      <c r="AH25" s="345"/>
      <c r="AI25" s="345"/>
      <c r="AJ25" s="345"/>
      <c r="AK25" s="345"/>
      <c r="AL25" s="345"/>
      <c r="AM25" s="345"/>
      <c r="AN25" s="345"/>
      <c r="AO25" s="345"/>
      <c r="AP25" s="345"/>
      <c r="AQ25" s="345"/>
      <c r="AR25" s="345"/>
      <c r="AS25" s="345"/>
      <c r="AT25" s="345"/>
      <c r="AU25" s="345"/>
    </row>
    <row r="26" spans="1:47" ht="13.5" customHeight="1" x14ac:dyDescent="0.2">
      <c r="A26" s="1224" t="s">
        <v>712</v>
      </c>
      <c r="B26" s="1132"/>
      <c r="C26" s="1232">
        <f>+MAR!BX42</f>
        <v>0</v>
      </c>
      <c r="D26" s="221">
        <f>+MAR!BS42</f>
        <v>-1</v>
      </c>
      <c r="E26" s="2141"/>
      <c r="F26" s="2144">
        <f>C26-D26</f>
        <v>1</v>
      </c>
      <c r="G26" s="1135">
        <f>IF(D26=0,0,C26/D26-1)</f>
        <v>-1</v>
      </c>
      <c r="H26" s="1132"/>
      <c r="I26" s="2152">
        <v>0</v>
      </c>
      <c r="J26" s="2141"/>
      <c r="K26" s="2144">
        <f>C26-I26</f>
        <v>0</v>
      </c>
      <c r="L26" s="1291" t="str">
        <f>IF(I26=0,"NM",C26/I26-1)</f>
        <v>NM</v>
      </c>
      <c r="M26" s="346"/>
      <c r="N26" s="346"/>
      <c r="O26" s="346"/>
      <c r="P26" s="346"/>
      <c r="Q26" s="346"/>
      <c r="R26" s="346"/>
      <c r="S26" s="346"/>
      <c r="T26" s="346"/>
      <c r="U26" s="346"/>
      <c r="V26" s="345"/>
      <c r="W26" s="345"/>
      <c r="X26" s="345"/>
      <c r="Y26" s="345"/>
      <c r="Z26" s="345"/>
      <c r="AA26" s="345"/>
      <c r="AB26" s="345"/>
      <c r="AC26" s="345"/>
      <c r="AD26" s="345"/>
      <c r="AE26" s="345"/>
      <c r="AF26" s="345"/>
      <c r="AG26" s="345"/>
      <c r="AH26" s="345"/>
      <c r="AI26" s="345"/>
      <c r="AJ26" s="345"/>
      <c r="AK26" s="345"/>
      <c r="AL26" s="345"/>
      <c r="AM26" s="345"/>
      <c r="AN26" s="345"/>
      <c r="AO26" s="345"/>
      <c r="AP26" s="345"/>
      <c r="AQ26" s="345"/>
      <c r="AR26" s="345"/>
      <c r="AS26" s="345"/>
      <c r="AT26" s="345"/>
      <c r="AU26" s="345"/>
    </row>
    <row r="27" spans="1:47" ht="13.5" customHeight="1" x14ac:dyDescent="0.2">
      <c r="A27" s="362" t="s">
        <v>642</v>
      </c>
      <c r="B27" s="362"/>
      <c r="C27" s="2142">
        <f>C21+SUM(C23:C26)</f>
        <v>-22</v>
      </c>
      <c r="D27" s="364">
        <f>D21+SUM(D23:D26)</f>
        <v>9</v>
      </c>
      <c r="E27" s="364"/>
      <c r="F27" s="364">
        <f>C27-D27</f>
        <v>-31</v>
      </c>
      <c r="G27" s="482">
        <f>IF(D27=0,0,C27/D27-1)</f>
        <v>-3.4444444444444446</v>
      </c>
      <c r="H27" s="362"/>
      <c r="I27" s="2151">
        <v>203.29481998170581</v>
      </c>
      <c r="J27" s="364"/>
      <c r="K27" s="364">
        <f>C27-I27</f>
        <v>-225.29481998170581</v>
      </c>
      <c r="L27" s="1292">
        <f>IF(I27=0,"NM",C27/I27-1)</f>
        <v>-1.1082172187268704</v>
      </c>
      <c r="M27" s="362"/>
      <c r="N27" s="362"/>
      <c r="O27" s="362"/>
      <c r="P27" s="362"/>
      <c r="Q27" s="362"/>
      <c r="R27" s="362"/>
      <c r="S27" s="362"/>
      <c r="T27" s="362"/>
      <c r="U27" s="362"/>
      <c r="V27" s="344"/>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344"/>
    </row>
    <row r="28" spans="1:47" ht="13.5" customHeight="1" x14ac:dyDescent="0.2">
      <c r="A28" s="1383" t="s">
        <v>90</v>
      </c>
      <c r="B28" s="362"/>
      <c r="C28" s="999">
        <f>-C29/C27</f>
        <v>-2.8636363636363638</v>
      </c>
      <c r="D28" s="1384">
        <f>-D29/D27</f>
        <v>8.7777777777777786</v>
      </c>
      <c r="E28" s="2157"/>
      <c r="F28" s="2157"/>
      <c r="G28" s="2157"/>
      <c r="H28" s="2157"/>
      <c r="I28" s="1001">
        <v>0.32</v>
      </c>
      <c r="J28" s="364"/>
      <c r="K28" s="364"/>
      <c r="L28" s="1292"/>
      <c r="M28" s="362"/>
      <c r="N28" s="362"/>
      <c r="O28" s="362"/>
      <c r="P28" s="362"/>
      <c r="Q28" s="362"/>
      <c r="R28" s="362"/>
      <c r="S28" s="362"/>
      <c r="T28" s="362"/>
      <c r="U28" s="362"/>
      <c r="V28" s="344"/>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344"/>
    </row>
    <row r="29" spans="1:47" ht="13.5" customHeight="1" x14ac:dyDescent="0.2">
      <c r="A29" s="1132" t="s">
        <v>713</v>
      </c>
      <c r="B29" s="1132"/>
      <c r="C29" s="1232">
        <f>+MAR!BX48</f>
        <v>-63</v>
      </c>
      <c r="D29" s="221">
        <f>+MAR!BS48</f>
        <v>-79</v>
      </c>
      <c r="E29" s="2145"/>
      <c r="F29" s="2144">
        <f>C29-D29</f>
        <v>16</v>
      </c>
      <c r="G29" s="1135">
        <f t="shared" ref="G29:G34" si="0">IF(D29=0,0,C29/D29-1)</f>
        <v>-0.20253164556962022</v>
      </c>
      <c r="H29" s="1132"/>
      <c r="I29" s="2152">
        <v>-65.054342394145891</v>
      </c>
      <c r="J29" s="2145"/>
      <c r="K29" s="2144">
        <f>C29-I29</f>
        <v>2.0543423941458911</v>
      </c>
      <c r="L29" s="1291">
        <f>IF(I29=0,"NM",C29/I29-1)</f>
        <v>-3.1578866506700054E-2</v>
      </c>
      <c r="M29" s="346"/>
      <c r="N29" s="346"/>
      <c r="O29" s="346"/>
      <c r="P29" s="1406"/>
      <c r="Q29" s="346"/>
      <c r="R29" s="346"/>
      <c r="S29" s="346"/>
      <c r="T29" s="346"/>
      <c r="U29" s="346"/>
      <c r="V29" s="345"/>
      <c r="W29" s="345"/>
      <c r="X29" s="345"/>
      <c r="Y29" s="345"/>
      <c r="Z29" s="345"/>
      <c r="AA29" s="345"/>
      <c r="AB29" s="345"/>
      <c r="AC29" s="345"/>
      <c r="AD29" s="345"/>
      <c r="AE29" s="345"/>
      <c r="AF29" s="345"/>
      <c r="AG29" s="345"/>
      <c r="AH29" s="345"/>
      <c r="AI29" s="345"/>
      <c r="AJ29" s="345"/>
      <c r="AK29" s="345"/>
      <c r="AL29" s="345"/>
      <c r="AM29" s="345"/>
      <c r="AN29" s="345"/>
      <c r="AO29" s="345"/>
      <c r="AP29" s="345"/>
      <c r="AQ29" s="345"/>
      <c r="AR29" s="345"/>
      <c r="AS29" s="345"/>
      <c r="AT29" s="345"/>
      <c r="AU29" s="345"/>
    </row>
    <row r="30" spans="1:47" ht="13.5" customHeight="1" x14ac:dyDescent="0.2">
      <c r="A30" s="362" t="s">
        <v>1296</v>
      </c>
      <c r="B30" s="362"/>
      <c r="C30" s="2142">
        <f>C27+C29</f>
        <v>-85</v>
      </c>
      <c r="D30" s="364">
        <f>D27+D29</f>
        <v>-70</v>
      </c>
      <c r="E30" s="2146"/>
      <c r="F30" s="364">
        <f>SUM(F27:F29)</f>
        <v>-15</v>
      </c>
      <c r="G30" s="482">
        <f t="shared" si="0"/>
        <v>0.21428571428571419</v>
      </c>
      <c r="H30" s="362"/>
      <c r="I30" s="2151">
        <v>138.24047758755992</v>
      </c>
      <c r="J30" s="2146"/>
      <c r="K30" s="364">
        <f>C30-I30</f>
        <v>-223.24047758755992</v>
      </c>
      <c r="L30" s="1292">
        <f>IF(I30=0,"NM",C30/I30-1)</f>
        <v>-1.6148705609481273</v>
      </c>
      <c r="M30" s="362"/>
      <c r="N30" s="362"/>
      <c r="O30" s="362"/>
      <c r="P30" s="2156"/>
      <c r="Q30" s="2156"/>
      <c r="R30" s="362"/>
      <c r="S30" s="362"/>
      <c r="T30" s="362"/>
      <c r="U30" s="362"/>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344"/>
      <c r="AU30" s="344"/>
    </row>
    <row r="31" spans="1:47" ht="13.5" customHeight="1" x14ac:dyDescent="0.2">
      <c r="A31" s="346" t="s">
        <v>714</v>
      </c>
      <c r="B31" s="346"/>
      <c r="C31" s="2227">
        <f>+MAR!BX52</f>
        <v>0</v>
      </c>
      <c r="D31" s="1404">
        <f>+MAR!BS52</f>
        <v>0</v>
      </c>
      <c r="E31" s="2139"/>
      <c r="F31" s="532">
        <f>C31-D31</f>
        <v>0</v>
      </c>
      <c r="G31" s="354">
        <f t="shared" si="0"/>
        <v>0</v>
      </c>
      <c r="H31" s="346"/>
      <c r="I31" s="2148">
        <v>0</v>
      </c>
      <c r="J31" s="2139"/>
      <c r="K31" s="532">
        <f>C31-I31</f>
        <v>0</v>
      </c>
      <c r="L31" s="1289" t="str">
        <f>IF(I31=0,"NM",C31/I31-1)</f>
        <v>NM</v>
      </c>
      <c r="M31" s="346"/>
      <c r="N31" s="346"/>
      <c r="O31" s="346"/>
      <c r="P31" s="346"/>
      <c r="Q31" s="346"/>
      <c r="R31" s="346"/>
      <c r="S31" s="346"/>
      <c r="T31" s="346"/>
      <c r="U31" s="346"/>
      <c r="V31" s="345"/>
      <c r="W31" s="345"/>
      <c r="X31" s="345"/>
      <c r="Y31" s="345"/>
      <c r="Z31" s="345"/>
      <c r="AA31" s="345"/>
      <c r="AB31" s="345"/>
      <c r="AC31" s="345"/>
      <c r="AD31" s="345"/>
      <c r="AE31" s="345"/>
      <c r="AF31" s="345"/>
      <c r="AG31" s="345"/>
      <c r="AH31" s="345"/>
      <c r="AI31" s="345"/>
      <c r="AJ31" s="345"/>
      <c r="AK31" s="345"/>
      <c r="AL31" s="345"/>
      <c r="AM31" s="345"/>
      <c r="AN31" s="345"/>
      <c r="AO31" s="345"/>
      <c r="AP31" s="345"/>
      <c r="AQ31" s="345"/>
      <c r="AR31" s="345"/>
      <c r="AS31" s="345"/>
      <c r="AT31" s="345"/>
      <c r="AU31" s="345"/>
    </row>
    <row r="32" spans="1:47" ht="13.5" customHeight="1" x14ac:dyDescent="0.2">
      <c r="A32" s="355" t="s">
        <v>1298</v>
      </c>
      <c r="B32" s="356"/>
      <c r="C32" s="2140">
        <f>C30-C31</f>
        <v>-85</v>
      </c>
      <c r="D32" s="488">
        <f>D30-D31</f>
        <v>-70</v>
      </c>
      <c r="E32" s="488"/>
      <c r="F32" s="488">
        <f>C32-D32</f>
        <v>-15</v>
      </c>
      <c r="G32" s="358">
        <f t="shared" si="0"/>
        <v>0.21428571428571419</v>
      </c>
      <c r="H32" s="359"/>
      <c r="I32" s="2149">
        <v>138.24047758755992</v>
      </c>
      <c r="J32" s="488"/>
      <c r="K32" s="488">
        <f>C32-I32</f>
        <v>-223.24047758755992</v>
      </c>
      <c r="L32" s="360">
        <f>IF(I32=0,"NM",C32/I32-1)</f>
        <v>-1.6148705609481273</v>
      </c>
      <c r="M32" s="346"/>
      <c r="N32" s="1144">
        <v>138.63</v>
      </c>
      <c r="O32" s="1144"/>
      <c r="P32" s="346"/>
      <c r="Q32" s="346"/>
      <c r="R32" s="346"/>
      <c r="S32" s="346"/>
      <c r="T32" s="346"/>
      <c r="U32" s="346"/>
      <c r="V32" s="345"/>
      <c r="W32" s="345"/>
      <c r="X32" s="345"/>
      <c r="Y32" s="345"/>
      <c r="Z32" s="345"/>
      <c r="AA32" s="345"/>
      <c r="AB32" s="345"/>
      <c r="AC32" s="345"/>
      <c r="AD32" s="345"/>
      <c r="AE32" s="345"/>
      <c r="AF32" s="345"/>
      <c r="AG32" s="345"/>
      <c r="AH32" s="345"/>
      <c r="AI32" s="345"/>
      <c r="AJ32" s="345"/>
      <c r="AK32" s="345"/>
      <c r="AL32" s="345"/>
      <c r="AM32" s="345"/>
      <c r="AN32" s="345"/>
      <c r="AO32" s="345"/>
      <c r="AP32" s="345"/>
      <c r="AQ32" s="345"/>
      <c r="AR32" s="345"/>
      <c r="AS32" s="345"/>
      <c r="AT32" s="345"/>
      <c r="AU32" s="345"/>
    </row>
    <row r="33" spans="1:47" ht="13.5" customHeight="1" x14ac:dyDescent="0.2">
      <c r="A33" s="346" t="s">
        <v>715</v>
      </c>
      <c r="B33" s="346"/>
      <c r="C33" s="2154">
        <f>+MAR!BX58</f>
        <v>309.5</v>
      </c>
      <c r="D33" s="528">
        <f>+MAR!BS58</f>
        <v>329.3</v>
      </c>
      <c r="E33" s="2155"/>
      <c r="F33" s="528">
        <f>C33-D33</f>
        <v>-19.800000000000011</v>
      </c>
      <c r="G33" s="354">
        <f t="shared" si="0"/>
        <v>-6.0127543273610695E-2</v>
      </c>
      <c r="H33" s="346"/>
      <c r="I33" s="525">
        <v>309.55028124673282</v>
      </c>
      <c r="J33" s="2139"/>
      <c r="K33" s="532"/>
      <c r="L33" s="1289"/>
      <c r="M33" s="346"/>
      <c r="N33" s="346"/>
      <c r="O33" s="346"/>
      <c r="P33" s="346"/>
      <c r="Q33" s="1282"/>
      <c r="R33" s="2106"/>
      <c r="S33" s="346"/>
      <c r="T33" s="346"/>
      <c r="U33" s="346"/>
      <c r="V33" s="345"/>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row>
    <row r="34" spans="1:47" ht="13.5" customHeight="1" x14ac:dyDescent="0.2">
      <c r="A34" s="355" t="s">
        <v>1595</v>
      </c>
      <c r="B34" s="356"/>
      <c r="C34" s="1900">
        <f>C32/C33</f>
        <v>-0.27463651050080773</v>
      </c>
      <c r="D34" s="484">
        <f>D32/D33</f>
        <v>-0.21257212268448222</v>
      </c>
      <c r="E34" s="357"/>
      <c r="F34" s="484">
        <f>C34-D34</f>
        <v>-6.2064387816325506E-2</v>
      </c>
      <c r="G34" s="358">
        <f t="shared" si="0"/>
        <v>0.29196861297022836</v>
      </c>
      <c r="H34" s="359"/>
      <c r="I34" s="483">
        <v>0.44658488769833415</v>
      </c>
      <c r="J34" s="357"/>
      <c r="K34" s="484">
        <f>C34-I34</f>
        <v>-0.72122139819914188</v>
      </c>
      <c r="L34" s="360">
        <f>IF(I34=0,"NM",C34/I34-1)</f>
        <v>-1.6149704525745694</v>
      </c>
      <c r="M34" s="346"/>
      <c r="N34" s="1145">
        <v>0.45</v>
      </c>
      <c r="O34" s="1145"/>
      <c r="P34" s="1406"/>
      <c r="Q34" s="346"/>
      <c r="R34" s="346"/>
      <c r="S34" s="346"/>
      <c r="T34" s="346"/>
      <c r="U34" s="346"/>
      <c r="V34" s="345"/>
      <c r="W34" s="345"/>
      <c r="X34" s="345"/>
      <c r="Y34" s="345"/>
      <c r="Z34" s="345"/>
      <c r="AA34" s="345"/>
      <c r="AB34" s="345"/>
      <c r="AC34" s="345"/>
      <c r="AD34" s="345"/>
      <c r="AE34" s="345"/>
      <c r="AF34" s="345"/>
      <c r="AG34" s="345"/>
      <c r="AH34" s="345"/>
      <c r="AI34" s="345"/>
      <c r="AJ34" s="345"/>
      <c r="AK34" s="345"/>
      <c r="AL34" s="345"/>
      <c r="AM34" s="345"/>
      <c r="AN34" s="345"/>
      <c r="AO34" s="345"/>
      <c r="AP34" s="345"/>
      <c r="AQ34" s="345"/>
      <c r="AR34" s="345"/>
      <c r="AS34" s="345"/>
      <c r="AT34" s="345"/>
      <c r="AU34" s="345"/>
    </row>
    <row r="35" spans="1:47" ht="13.5" customHeight="1" x14ac:dyDescent="0.2">
      <c r="A35" s="346"/>
      <c r="B35" s="346"/>
      <c r="C35" s="1896"/>
      <c r="D35" s="352"/>
      <c r="E35" s="353"/>
      <c r="F35" s="352"/>
      <c r="G35" s="354"/>
      <c r="H35" s="346"/>
      <c r="I35" s="351"/>
      <c r="J35" s="353"/>
      <c r="K35" s="352"/>
      <c r="L35" s="1289"/>
      <c r="M35" s="346"/>
      <c r="N35" s="346"/>
      <c r="O35" s="346"/>
      <c r="P35" s="346"/>
      <c r="Q35" s="346"/>
      <c r="R35" s="346"/>
      <c r="S35" s="346"/>
      <c r="T35" s="346"/>
      <c r="U35" s="346"/>
      <c r="V35" s="345"/>
      <c r="W35" s="345"/>
      <c r="X35" s="345"/>
      <c r="Y35" s="345"/>
      <c r="Z35" s="345"/>
      <c r="AA35" s="345"/>
      <c r="AB35" s="345"/>
      <c r="AC35" s="345"/>
      <c r="AD35" s="345"/>
      <c r="AE35" s="345"/>
      <c r="AF35" s="345"/>
      <c r="AG35" s="345"/>
      <c r="AH35" s="345"/>
      <c r="AI35" s="345"/>
      <c r="AJ35" s="345"/>
      <c r="AK35" s="345"/>
      <c r="AL35" s="345"/>
      <c r="AM35" s="345"/>
      <c r="AN35" s="345"/>
      <c r="AO35" s="345"/>
      <c r="AP35" s="345"/>
      <c r="AQ35" s="345"/>
      <c r="AR35" s="345"/>
      <c r="AS35" s="345"/>
      <c r="AT35" s="345"/>
      <c r="AU35" s="345"/>
    </row>
    <row r="36" spans="1:47" ht="13.5" customHeight="1" x14ac:dyDescent="0.2">
      <c r="A36" s="1295" t="s">
        <v>220</v>
      </c>
      <c r="B36" s="418"/>
      <c r="C36" s="1901"/>
      <c r="D36" s="424"/>
      <c r="E36" s="464"/>
      <c r="F36" s="464"/>
      <c r="G36" s="457"/>
      <c r="H36" s="477"/>
      <c r="I36" s="617"/>
      <c r="J36" s="464"/>
      <c r="K36" s="464"/>
      <c r="L36" s="465"/>
      <c r="M36" s="346"/>
      <c r="N36" s="345"/>
      <c r="O36" s="345"/>
      <c r="P36" s="345"/>
      <c r="Q36" s="345"/>
      <c r="R36" s="345"/>
      <c r="S36" s="345"/>
      <c r="T36" s="345"/>
      <c r="U36" s="346"/>
      <c r="V36" s="345"/>
      <c r="W36" s="345"/>
      <c r="X36" s="345"/>
      <c r="Y36" s="345"/>
      <c r="Z36" s="345"/>
      <c r="AA36" s="345"/>
      <c r="AB36" s="345"/>
      <c r="AC36" s="345"/>
      <c r="AD36" s="345"/>
      <c r="AE36" s="345"/>
      <c r="AF36" s="345"/>
      <c r="AG36" s="345"/>
      <c r="AH36" s="345"/>
      <c r="AI36" s="345"/>
      <c r="AJ36" s="345"/>
      <c r="AK36" s="345"/>
      <c r="AL36" s="345"/>
      <c r="AM36" s="345"/>
      <c r="AN36" s="345"/>
      <c r="AO36" s="345"/>
      <c r="AP36" s="345"/>
      <c r="AQ36" s="345"/>
      <c r="AR36" s="345"/>
      <c r="AS36" s="345"/>
      <c r="AT36" s="345"/>
      <c r="AU36" s="345"/>
    </row>
    <row r="37" spans="1:47" ht="13.5" customHeight="1" x14ac:dyDescent="0.2">
      <c r="A37" s="1436" t="s">
        <v>1296</v>
      </c>
      <c r="B37" s="421"/>
      <c r="C37" s="2147">
        <f>+C30</f>
        <v>-85</v>
      </c>
      <c r="D37" s="1165">
        <f>+D30</f>
        <v>-70</v>
      </c>
      <c r="E37" s="1364"/>
      <c r="F37" s="364">
        <f t="shared" ref="F37:F44" si="1">C37-D37</f>
        <v>-15</v>
      </c>
      <c r="G37" s="482">
        <f t="shared" ref="G37:G45" si="2">IF(D37=0,0,C37/D37-1)</f>
        <v>0.21428571428571419</v>
      </c>
      <c r="H37" s="421"/>
      <c r="I37" s="2153">
        <v>138.24047758755992</v>
      </c>
      <c r="J37" s="1364"/>
      <c r="K37" s="364">
        <f t="shared" ref="K37:K45" si="3">C37-I37</f>
        <v>-223.24047758755992</v>
      </c>
      <c r="L37" s="1292">
        <f t="shared" ref="L37:L45" si="4">IF(I37=0,"NM",C37/I37-1)</f>
        <v>-1.6148705609481273</v>
      </c>
      <c r="M37" s="346"/>
      <c r="N37" s="345"/>
      <c r="O37" s="345"/>
      <c r="P37" s="2158"/>
      <c r="Q37" s="345"/>
      <c r="R37" s="345"/>
      <c r="S37" s="345"/>
      <c r="T37" s="345"/>
      <c r="U37" s="346"/>
      <c r="V37" s="345"/>
      <c r="W37" s="345"/>
      <c r="X37" s="345"/>
      <c r="Y37" s="345"/>
      <c r="Z37" s="345"/>
      <c r="AA37" s="345"/>
      <c r="AB37" s="345"/>
      <c r="AC37" s="345"/>
      <c r="AD37" s="345"/>
      <c r="AE37" s="345"/>
      <c r="AF37" s="345"/>
      <c r="AG37" s="345"/>
      <c r="AH37" s="345"/>
      <c r="AI37" s="345"/>
      <c r="AJ37" s="345"/>
      <c r="AK37" s="345"/>
      <c r="AL37" s="345"/>
      <c r="AM37" s="345"/>
      <c r="AN37" s="345"/>
      <c r="AO37" s="345"/>
      <c r="AP37" s="345"/>
      <c r="AQ37" s="345"/>
      <c r="AR37" s="345"/>
      <c r="AS37" s="345"/>
      <c r="AT37" s="345"/>
      <c r="AU37" s="345"/>
    </row>
    <row r="38" spans="1:47" ht="13.5" customHeight="1" x14ac:dyDescent="0.2">
      <c r="A38" s="900" t="s">
        <v>1628</v>
      </c>
      <c r="B38" s="418"/>
      <c r="C38" s="2228">
        <f>+MAR!BX89</f>
        <v>28</v>
      </c>
      <c r="D38" s="2229">
        <f>+MAR!BS89</f>
        <v>29</v>
      </c>
      <c r="E38" s="468"/>
      <c r="F38" s="532">
        <f t="shared" si="1"/>
        <v>-1</v>
      </c>
      <c r="G38" s="354">
        <f t="shared" si="2"/>
        <v>-3.4482758620689613E-2</v>
      </c>
      <c r="H38" s="418"/>
      <c r="I38" s="1162">
        <v>30.262467032967031</v>
      </c>
      <c r="J38" s="468"/>
      <c r="K38" s="532">
        <f t="shared" si="3"/>
        <v>-2.2624670329670309</v>
      </c>
      <c r="L38" s="1289">
        <f t="shared" si="4"/>
        <v>-7.4761486910580266E-2</v>
      </c>
      <c r="M38" s="346"/>
      <c r="N38" s="345"/>
      <c r="O38" s="345"/>
      <c r="P38" s="345"/>
      <c r="Q38" s="345"/>
      <c r="R38" s="345"/>
      <c r="S38" s="345"/>
      <c r="T38" s="345"/>
      <c r="U38" s="346"/>
      <c r="V38" s="345"/>
      <c r="W38" s="345"/>
      <c r="X38" s="345"/>
      <c r="Y38" s="345"/>
      <c r="Z38" s="345"/>
      <c r="AA38" s="345"/>
      <c r="AB38" s="345"/>
      <c r="AC38" s="345"/>
      <c r="AD38" s="345"/>
      <c r="AE38" s="345"/>
      <c r="AF38" s="345"/>
      <c r="AG38" s="345"/>
      <c r="AH38" s="345"/>
      <c r="AI38" s="345"/>
      <c r="AJ38" s="345"/>
      <c r="AK38" s="345"/>
      <c r="AL38" s="345"/>
      <c r="AM38" s="345"/>
      <c r="AN38" s="345"/>
      <c r="AO38" s="345"/>
      <c r="AP38" s="345"/>
      <c r="AQ38" s="345"/>
      <c r="AR38" s="345"/>
      <c r="AS38" s="345"/>
      <c r="AT38" s="345"/>
      <c r="AU38" s="345"/>
    </row>
    <row r="39" spans="1:47" ht="13.5" customHeight="1" x14ac:dyDescent="0.2">
      <c r="A39" s="900" t="s">
        <v>1629</v>
      </c>
      <c r="B39" s="418"/>
      <c r="C39" s="2228">
        <f>+MAR!BX90</f>
        <v>63</v>
      </c>
      <c r="D39" s="2229">
        <f>+MAR!BS90</f>
        <v>79</v>
      </c>
      <c r="E39" s="468"/>
      <c r="F39" s="532">
        <f t="shared" si="1"/>
        <v>-16</v>
      </c>
      <c r="G39" s="354">
        <f t="shared" si="2"/>
        <v>-0.20253164556962022</v>
      </c>
      <c r="H39" s="418"/>
      <c r="I39" s="1162">
        <v>65.054342394145891</v>
      </c>
      <c r="J39" s="468"/>
      <c r="K39" s="532">
        <f t="shared" si="3"/>
        <v>-2.0543423941458911</v>
      </c>
      <c r="L39" s="1289">
        <f t="shared" si="4"/>
        <v>-3.1578866506700054E-2</v>
      </c>
      <c r="M39" s="346"/>
      <c r="N39" s="345"/>
      <c r="O39" s="345"/>
      <c r="P39" s="345"/>
      <c r="Q39" s="345"/>
      <c r="R39" s="345"/>
      <c r="S39" s="345"/>
      <c r="T39" s="345"/>
      <c r="U39" s="346"/>
      <c r="V39" s="345"/>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row>
    <row r="40" spans="1:47" ht="13.5" customHeight="1" x14ac:dyDescent="0.2">
      <c r="A40" s="900" t="s">
        <v>685</v>
      </c>
      <c r="B40" s="418"/>
      <c r="C40" s="2228">
        <f>+MAR!BX91</f>
        <v>34</v>
      </c>
      <c r="D40" s="2229">
        <f>+MAR!BS91</f>
        <v>33</v>
      </c>
      <c r="E40" s="1165"/>
      <c r="F40" s="532">
        <f t="shared" si="1"/>
        <v>1</v>
      </c>
      <c r="G40" s="354">
        <f t="shared" si="2"/>
        <v>3.0303030303030276E-2</v>
      </c>
      <c r="H40" s="477"/>
      <c r="I40" s="1162">
        <v>36.299999999999997</v>
      </c>
      <c r="J40" s="1165"/>
      <c r="K40" s="532">
        <f t="shared" si="3"/>
        <v>-2.2999999999999972</v>
      </c>
      <c r="L40" s="1289">
        <f t="shared" si="4"/>
        <v>-6.3360881542699699E-2</v>
      </c>
      <c r="M40" s="346"/>
      <c r="N40" s="345"/>
      <c r="O40" s="345"/>
      <c r="P40" s="345"/>
      <c r="Q40" s="345"/>
      <c r="R40" s="345"/>
      <c r="S40" s="345"/>
      <c r="T40" s="345"/>
      <c r="U40" s="346"/>
      <c r="V40" s="345"/>
      <c r="W40" s="345"/>
      <c r="X40" s="345"/>
      <c r="Y40" s="345"/>
      <c r="Z40" s="345"/>
      <c r="AA40" s="345"/>
      <c r="AB40" s="345"/>
      <c r="AC40" s="345"/>
      <c r="AD40" s="345"/>
      <c r="AE40" s="345"/>
      <c r="AF40" s="345"/>
      <c r="AG40" s="345"/>
      <c r="AH40" s="345"/>
      <c r="AI40" s="345"/>
      <c r="AJ40" s="345"/>
      <c r="AK40" s="345"/>
      <c r="AL40" s="345"/>
      <c r="AM40" s="345"/>
      <c r="AN40" s="345"/>
      <c r="AO40" s="345"/>
      <c r="AP40" s="345"/>
      <c r="AQ40" s="345"/>
      <c r="AR40" s="345"/>
      <c r="AS40" s="345"/>
      <c r="AT40" s="345"/>
      <c r="AU40" s="345"/>
    </row>
    <row r="41" spans="1:47" ht="13.5" customHeight="1" x14ac:dyDescent="0.2">
      <c r="A41" s="900" t="s">
        <v>720</v>
      </c>
      <c r="B41" s="418"/>
      <c r="C41" s="2228">
        <f>+MAR!BX92</f>
        <v>12</v>
      </c>
      <c r="D41" s="2229">
        <f>+MAR!BS92</f>
        <v>0</v>
      </c>
      <c r="E41" s="468"/>
      <c r="F41" s="532">
        <f t="shared" si="1"/>
        <v>12</v>
      </c>
      <c r="G41" s="354">
        <f t="shared" si="2"/>
        <v>0</v>
      </c>
      <c r="H41" s="418"/>
      <c r="I41" s="1162">
        <v>-5</v>
      </c>
      <c r="J41" s="468"/>
      <c r="K41" s="532">
        <f t="shared" si="3"/>
        <v>17</v>
      </c>
      <c r="L41" s="1289">
        <f t="shared" si="4"/>
        <v>-3.4</v>
      </c>
      <c r="M41" s="346"/>
      <c r="N41" s="345"/>
      <c r="O41" s="345"/>
      <c r="P41" s="345"/>
      <c r="Q41" s="345"/>
      <c r="R41" s="345"/>
      <c r="S41" s="345"/>
      <c r="T41" s="345"/>
      <c r="U41" s="346"/>
      <c r="V41" s="345"/>
      <c r="W41" s="345"/>
      <c r="X41" s="345"/>
      <c r="Y41" s="345"/>
      <c r="Z41" s="345"/>
      <c r="AA41" s="345"/>
      <c r="AB41" s="345"/>
      <c r="AC41" s="345"/>
      <c r="AD41" s="345"/>
      <c r="AE41" s="345"/>
      <c r="AF41" s="345"/>
      <c r="AG41" s="345"/>
      <c r="AH41" s="345"/>
      <c r="AI41" s="345"/>
      <c r="AJ41" s="345"/>
      <c r="AK41" s="345"/>
      <c r="AL41" s="345"/>
      <c r="AM41" s="345"/>
      <c r="AN41" s="345"/>
      <c r="AO41" s="345"/>
      <c r="AP41" s="345"/>
      <c r="AQ41" s="345"/>
      <c r="AR41" s="345"/>
      <c r="AS41" s="345"/>
      <c r="AT41" s="345"/>
      <c r="AU41" s="345"/>
    </row>
    <row r="42" spans="1:47" ht="13.5" customHeight="1" x14ac:dyDescent="0.2">
      <c r="A42" s="896" t="s">
        <v>697</v>
      </c>
      <c r="B42" s="418"/>
      <c r="C42" s="2228">
        <f>+MAR!BX93</f>
        <v>1</v>
      </c>
      <c r="D42" s="2229">
        <f>+MAR!BS93</f>
        <v>1</v>
      </c>
      <c r="E42" s="468"/>
      <c r="F42" s="532">
        <f t="shared" si="1"/>
        <v>0</v>
      </c>
      <c r="G42" s="354">
        <f t="shared" si="2"/>
        <v>0</v>
      </c>
      <c r="H42" s="418"/>
      <c r="I42" s="1162">
        <v>1</v>
      </c>
      <c r="J42" s="468"/>
      <c r="K42" s="532">
        <f t="shared" si="3"/>
        <v>0</v>
      </c>
      <c r="L42" s="1289">
        <f t="shared" si="4"/>
        <v>0</v>
      </c>
      <c r="M42" s="346"/>
      <c r="N42" s="345"/>
      <c r="O42" s="345"/>
      <c r="P42" s="345"/>
      <c r="Q42" s="345"/>
      <c r="R42" s="345"/>
      <c r="S42" s="345"/>
      <c r="T42" s="345"/>
      <c r="U42" s="346"/>
      <c r="V42" s="345"/>
      <c r="W42" s="345"/>
      <c r="X42" s="345"/>
      <c r="Y42" s="345"/>
      <c r="Z42" s="345"/>
      <c r="AA42" s="345"/>
      <c r="AB42" s="345"/>
      <c r="AC42" s="345"/>
      <c r="AD42" s="345"/>
      <c r="AE42" s="345"/>
      <c r="AF42" s="345"/>
      <c r="AG42" s="345"/>
      <c r="AH42" s="345"/>
      <c r="AI42" s="345"/>
      <c r="AJ42" s="345"/>
      <c r="AK42" s="345"/>
      <c r="AL42" s="345"/>
      <c r="AM42" s="345"/>
      <c r="AN42" s="345"/>
      <c r="AO42" s="345"/>
      <c r="AP42" s="345"/>
      <c r="AQ42" s="345"/>
      <c r="AR42" s="345"/>
      <c r="AS42" s="345"/>
      <c r="AT42" s="345"/>
      <c r="AU42" s="345"/>
    </row>
    <row r="43" spans="1:47" ht="13.5" customHeight="1" x14ac:dyDescent="0.2">
      <c r="A43" s="896" t="s">
        <v>698</v>
      </c>
      <c r="B43" s="418"/>
      <c r="C43" s="2228">
        <f>+MAR!BX94</f>
        <v>3</v>
      </c>
      <c r="D43" s="2229">
        <f>+MAR!BS94</f>
        <v>2</v>
      </c>
      <c r="E43" s="1165"/>
      <c r="F43" s="532">
        <f t="shared" si="1"/>
        <v>1</v>
      </c>
      <c r="G43" s="354">
        <f t="shared" si="2"/>
        <v>0.5</v>
      </c>
      <c r="H43" s="477"/>
      <c r="I43" s="1162">
        <v>4</v>
      </c>
      <c r="J43" s="1165"/>
      <c r="K43" s="532">
        <f t="shared" si="3"/>
        <v>-1</v>
      </c>
      <c r="L43" s="1289">
        <f t="shared" si="4"/>
        <v>-0.25</v>
      </c>
      <c r="M43" s="346"/>
      <c r="N43" s="345"/>
      <c r="O43" s="345"/>
      <c r="P43" s="345"/>
      <c r="Q43" s="345"/>
      <c r="R43" s="345"/>
      <c r="S43" s="345"/>
      <c r="T43" s="345"/>
      <c r="U43" s="346"/>
      <c r="V43" s="345"/>
      <c r="W43" s="345"/>
      <c r="X43" s="345"/>
      <c r="Y43" s="345"/>
      <c r="Z43" s="345"/>
      <c r="AA43" s="345"/>
      <c r="AB43" s="345"/>
      <c r="AC43" s="345"/>
      <c r="AD43" s="345"/>
      <c r="AE43" s="345"/>
      <c r="AF43" s="345"/>
      <c r="AG43" s="345"/>
      <c r="AH43" s="345"/>
      <c r="AI43" s="345"/>
      <c r="AJ43" s="345"/>
      <c r="AK43" s="345"/>
      <c r="AL43" s="345"/>
      <c r="AM43" s="345"/>
      <c r="AN43" s="345"/>
      <c r="AO43" s="345"/>
      <c r="AP43" s="345"/>
      <c r="AQ43" s="345"/>
      <c r="AR43" s="345"/>
      <c r="AS43" s="345"/>
      <c r="AT43" s="345"/>
      <c r="AU43" s="345"/>
    </row>
    <row r="44" spans="1:47" ht="13.5" customHeight="1" x14ac:dyDescent="0.2">
      <c r="A44" s="900" t="s">
        <v>230</v>
      </c>
      <c r="B44" s="418"/>
      <c r="C44" s="2228">
        <f>+MAR!BX97</f>
        <v>0</v>
      </c>
      <c r="D44" s="2229">
        <f>+MAR!BS97</f>
        <v>0</v>
      </c>
      <c r="E44" s="468"/>
      <c r="F44" s="532">
        <f t="shared" si="1"/>
        <v>0</v>
      </c>
      <c r="G44" s="354">
        <f t="shared" si="2"/>
        <v>0</v>
      </c>
      <c r="H44" s="418"/>
      <c r="I44" s="1162">
        <v>0</v>
      </c>
      <c r="J44" s="468"/>
      <c r="K44" s="532">
        <f t="shared" si="3"/>
        <v>0</v>
      </c>
      <c r="L44" s="1289" t="str">
        <f t="shared" si="4"/>
        <v>NM</v>
      </c>
      <c r="M44" s="346"/>
      <c r="N44" s="345"/>
      <c r="O44" s="345"/>
      <c r="P44" s="345"/>
      <c r="Q44" s="345"/>
      <c r="R44" s="345"/>
      <c r="S44" s="345"/>
      <c r="T44" s="345"/>
      <c r="U44" s="346"/>
      <c r="V44" s="345"/>
      <c r="W44" s="345"/>
      <c r="X44" s="345"/>
      <c r="Y44" s="345"/>
      <c r="Z44" s="345"/>
      <c r="AA44" s="345"/>
      <c r="AB44" s="345"/>
      <c r="AC44" s="345"/>
      <c r="AD44" s="345"/>
      <c r="AE44" s="345"/>
      <c r="AF44" s="345"/>
      <c r="AG44" s="345"/>
      <c r="AH44" s="345"/>
      <c r="AI44" s="345"/>
      <c r="AJ44" s="345"/>
      <c r="AK44" s="345"/>
      <c r="AL44" s="345"/>
      <c r="AM44" s="345"/>
      <c r="AN44" s="345"/>
      <c r="AO44" s="345"/>
      <c r="AP44" s="345"/>
      <c r="AQ44" s="345"/>
      <c r="AR44" s="345"/>
      <c r="AS44" s="345"/>
      <c r="AT44" s="345"/>
      <c r="AU44" s="345"/>
    </row>
    <row r="45" spans="1:47" ht="13.5" customHeight="1" x14ac:dyDescent="0.2">
      <c r="A45" s="355" t="s">
        <v>1197</v>
      </c>
      <c r="B45" s="356"/>
      <c r="C45" s="2140">
        <f>SUM(C37:C44)</f>
        <v>56</v>
      </c>
      <c r="D45" s="488">
        <f>SUM(D37:D44)</f>
        <v>74</v>
      </c>
      <c r="E45" s="488"/>
      <c r="F45" s="488">
        <f>SUM(F37:F44)</f>
        <v>-18</v>
      </c>
      <c r="G45" s="358">
        <f t="shared" si="2"/>
        <v>-0.2432432432432432</v>
      </c>
      <c r="H45" s="359"/>
      <c r="I45" s="2149">
        <v>269.85728701467286</v>
      </c>
      <c r="J45" s="488"/>
      <c r="K45" s="488">
        <f t="shared" si="3"/>
        <v>-213.85728701467286</v>
      </c>
      <c r="L45" s="360">
        <f t="shared" si="4"/>
        <v>-0.7924829059852101</v>
      </c>
      <c r="M45" s="346"/>
      <c r="N45" s="1144">
        <v>273</v>
      </c>
      <c r="O45" s="1144"/>
      <c r="P45" s="345"/>
      <c r="Q45" s="345"/>
      <c r="R45" s="345"/>
      <c r="S45" s="345"/>
      <c r="T45" s="345"/>
      <c r="U45" s="346"/>
      <c r="V45" s="345"/>
      <c r="W45" s="345"/>
      <c r="X45" s="345"/>
      <c r="Y45" s="345"/>
      <c r="Z45" s="345"/>
      <c r="AA45" s="345"/>
      <c r="AB45" s="345"/>
      <c r="AC45" s="345"/>
      <c r="AD45" s="345"/>
      <c r="AE45" s="345"/>
      <c r="AF45" s="345"/>
      <c r="AG45" s="345"/>
      <c r="AH45" s="345"/>
      <c r="AI45" s="345"/>
      <c r="AJ45" s="345"/>
      <c r="AK45" s="345"/>
      <c r="AL45" s="345"/>
      <c r="AM45" s="345"/>
      <c r="AN45" s="345"/>
      <c r="AO45" s="345"/>
      <c r="AP45" s="345"/>
      <c r="AQ45" s="345"/>
      <c r="AR45" s="345"/>
      <c r="AS45" s="345"/>
      <c r="AT45" s="345"/>
      <c r="AU45" s="345"/>
    </row>
    <row r="46" spans="1:47" ht="13.5" customHeight="1" x14ac:dyDescent="0.2">
      <c r="A46" s="418"/>
      <c r="B46" s="418"/>
      <c r="C46" s="1893"/>
      <c r="D46" s="418"/>
      <c r="E46" s="418"/>
      <c r="F46" s="418"/>
      <c r="G46" s="462"/>
      <c r="H46" s="418"/>
      <c r="I46" s="1368"/>
      <c r="J46" s="418"/>
      <c r="K46" s="418"/>
      <c r="L46" s="478"/>
      <c r="M46" s="346"/>
      <c r="N46" s="345"/>
      <c r="O46" s="345"/>
      <c r="P46" s="344"/>
      <c r="Q46" s="345"/>
      <c r="R46" s="345"/>
      <c r="S46" s="345"/>
      <c r="T46" s="345"/>
      <c r="U46" s="346"/>
      <c r="V46" s="345"/>
      <c r="W46" s="345"/>
      <c r="X46" s="345"/>
      <c r="Y46" s="345"/>
      <c r="Z46" s="345"/>
      <c r="AA46" s="345"/>
      <c r="AB46" s="345"/>
      <c r="AC46" s="345"/>
      <c r="AD46" s="345"/>
      <c r="AE46" s="345"/>
      <c r="AF46" s="345"/>
      <c r="AG46" s="345"/>
      <c r="AH46" s="345"/>
      <c r="AI46" s="345"/>
      <c r="AJ46" s="345"/>
      <c r="AK46" s="345"/>
      <c r="AL46" s="345"/>
      <c r="AM46" s="345"/>
      <c r="AN46" s="345"/>
      <c r="AO46" s="345"/>
      <c r="AP46" s="345"/>
      <c r="AQ46" s="345"/>
      <c r="AR46" s="345"/>
      <c r="AS46" s="345"/>
      <c r="AT46" s="345"/>
      <c r="AU46" s="345"/>
    </row>
    <row r="47" spans="1:47" ht="13.5" customHeight="1" x14ac:dyDescent="0.2">
      <c r="A47" s="418"/>
      <c r="B47" s="418"/>
      <c r="C47" s="1893"/>
      <c r="D47" s="418"/>
      <c r="E47" s="418"/>
      <c r="F47" s="418"/>
      <c r="G47" s="462"/>
      <c r="H47" s="418"/>
      <c r="I47" s="1368"/>
      <c r="J47" s="418"/>
      <c r="K47" s="418"/>
      <c r="L47" s="478"/>
      <c r="M47" s="346"/>
      <c r="N47" s="345"/>
      <c r="O47" s="345"/>
      <c r="P47" s="344"/>
      <c r="Q47" s="345"/>
      <c r="R47" s="345"/>
      <c r="S47" s="345"/>
      <c r="T47" s="345"/>
      <c r="U47" s="346"/>
      <c r="V47" s="345"/>
      <c r="W47" s="345"/>
      <c r="X47" s="345"/>
      <c r="Y47" s="345"/>
      <c r="Z47" s="345"/>
      <c r="AA47" s="345"/>
      <c r="AB47" s="345"/>
      <c r="AC47" s="345"/>
      <c r="AD47" s="345"/>
      <c r="AE47" s="345"/>
      <c r="AF47" s="345"/>
      <c r="AG47" s="345"/>
      <c r="AH47" s="345"/>
      <c r="AI47" s="345"/>
      <c r="AJ47" s="345"/>
      <c r="AK47" s="345"/>
      <c r="AL47" s="345"/>
      <c r="AM47" s="345"/>
      <c r="AN47" s="345"/>
      <c r="AO47" s="345"/>
      <c r="AP47" s="345"/>
      <c r="AQ47" s="345"/>
      <c r="AR47" s="345"/>
      <c r="AS47" s="345"/>
      <c r="AT47" s="345"/>
      <c r="AU47" s="345"/>
    </row>
    <row r="48" spans="1:47" ht="13.5" customHeight="1" x14ac:dyDescent="0.2">
      <c r="A48" s="1164" t="s">
        <v>2244</v>
      </c>
      <c r="B48" s="1147"/>
      <c r="C48" s="1904"/>
      <c r="D48" s="1147"/>
      <c r="E48" s="1147"/>
      <c r="F48" s="1147"/>
      <c r="G48" s="1148"/>
      <c r="H48" s="1147"/>
      <c r="I48" s="1912"/>
      <c r="J48" s="1147"/>
      <c r="K48" s="1147"/>
      <c r="L48" s="1149"/>
      <c r="M48" s="346"/>
      <c r="N48" s="345"/>
      <c r="O48" s="345"/>
      <c r="U48" s="346"/>
      <c r="V48" s="345"/>
      <c r="W48" s="345"/>
      <c r="X48" s="345"/>
      <c r="Y48" s="345"/>
      <c r="Z48" s="345"/>
      <c r="AA48" s="345"/>
      <c r="AB48" s="345"/>
      <c r="AC48" s="345"/>
      <c r="AD48" s="345"/>
      <c r="AE48" s="345"/>
      <c r="AF48" s="345"/>
      <c r="AG48" s="345"/>
      <c r="AH48" s="345"/>
      <c r="AI48" s="345"/>
      <c r="AJ48" s="345"/>
      <c r="AK48" s="345"/>
      <c r="AL48" s="345"/>
      <c r="AM48" s="345"/>
      <c r="AN48" s="345"/>
      <c r="AO48" s="345"/>
      <c r="AP48" s="345"/>
      <c r="AQ48" s="345"/>
      <c r="AR48" s="345"/>
      <c r="AS48" s="345"/>
      <c r="AT48" s="345"/>
      <c r="AU48" s="345"/>
    </row>
    <row r="49" spans="1:47" ht="13.5" customHeight="1" x14ac:dyDescent="0.2">
      <c r="A49" s="1150" t="s">
        <v>1512</v>
      </c>
      <c r="B49" s="418"/>
      <c r="C49" s="1892">
        <f>+MAR!BX7</f>
        <v>150</v>
      </c>
      <c r="D49" s="458">
        <f>+MAR!BS7</f>
        <v>134</v>
      </c>
      <c r="E49" s="418"/>
      <c r="F49" s="532">
        <f>C49-D49</f>
        <v>16</v>
      </c>
      <c r="G49" s="354">
        <f>IF(D49=0,0,C49/D49-1)</f>
        <v>0.11940298507462677</v>
      </c>
      <c r="H49" s="418"/>
      <c r="I49" s="1162">
        <v>152.85988399197879</v>
      </c>
      <c r="J49" s="418"/>
      <c r="K49" s="532">
        <f>C49-I49</f>
        <v>-2.8598839919787906</v>
      </c>
      <c r="L49" s="1151">
        <f>IF(I49=0,"NM",C49/I49-1)</f>
        <v>-1.8709185937422657E-2</v>
      </c>
      <c r="M49" s="346"/>
      <c r="N49" s="345"/>
      <c r="O49" s="345"/>
      <c r="U49" s="346"/>
      <c r="V49" s="345"/>
      <c r="W49" s="345"/>
      <c r="X49" s="345"/>
      <c r="Y49" s="345"/>
      <c r="Z49" s="345"/>
      <c r="AA49" s="345"/>
      <c r="AB49" s="345"/>
      <c r="AC49" s="345"/>
      <c r="AD49" s="345"/>
      <c r="AE49" s="345"/>
      <c r="AF49" s="345"/>
      <c r="AG49" s="345"/>
      <c r="AH49" s="345"/>
      <c r="AI49" s="345"/>
      <c r="AJ49" s="345"/>
      <c r="AK49" s="345"/>
      <c r="AL49" s="345"/>
      <c r="AM49" s="345"/>
      <c r="AN49" s="345"/>
      <c r="AO49" s="345"/>
      <c r="AP49" s="345"/>
      <c r="AQ49" s="345"/>
      <c r="AR49" s="345"/>
      <c r="AS49" s="345"/>
      <c r="AT49" s="345"/>
      <c r="AU49" s="345"/>
    </row>
    <row r="50" spans="1:47" ht="13.5" customHeight="1" x14ac:dyDescent="0.2">
      <c r="A50" s="1150" t="s">
        <v>2163</v>
      </c>
      <c r="B50" s="418"/>
      <c r="C50" s="536">
        <f>+MAR!BX8</f>
        <v>175</v>
      </c>
      <c r="D50" s="418">
        <f>+MAR!BS8</f>
        <v>149</v>
      </c>
      <c r="E50" s="418"/>
      <c r="F50" s="528">
        <f>C50-D50</f>
        <v>26</v>
      </c>
      <c r="G50" s="354">
        <f>IF(D50=0,0,C50/D50-1)</f>
        <v>0.17449664429530198</v>
      </c>
      <c r="H50" s="418"/>
      <c r="I50" s="1377">
        <v>175.8880074182984</v>
      </c>
      <c r="J50" s="418"/>
      <c r="K50" s="528">
        <f>C50-I50</f>
        <v>-0.88800741829840035</v>
      </c>
      <c r="L50" s="1151">
        <f>IF(I50=0,"NM",C50/I50-1)</f>
        <v>-5.0487092970843417E-3</v>
      </c>
      <c r="M50" s="346"/>
      <c r="N50" s="345"/>
      <c r="O50" s="345"/>
      <c r="P50" s="563"/>
      <c r="Q50" s="564"/>
      <c r="R50" s="345"/>
      <c r="S50" s="345"/>
      <c r="U50" s="346"/>
      <c r="V50" s="345"/>
      <c r="W50" s="345"/>
      <c r="X50" s="345"/>
      <c r="Y50" s="345"/>
      <c r="Z50" s="345"/>
      <c r="AA50" s="345"/>
      <c r="AB50" s="345"/>
      <c r="AC50" s="345"/>
      <c r="AD50" s="345"/>
      <c r="AE50" s="345"/>
      <c r="AF50" s="345"/>
      <c r="AG50" s="345"/>
      <c r="AH50" s="345"/>
      <c r="AI50" s="345"/>
      <c r="AJ50" s="345"/>
      <c r="AK50" s="345"/>
      <c r="AL50" s="345"/>
      <c r="AM50" s="345"/>
      <c r="AN50" s="345"/>
      <c r="AO50" s="345"/>
      <c r="AP50" s="345"/>
      <c r="AQ50" s="345"/>
      <c r="AR50" s="345"/>
      <c r="AS50" s="345"/>
      <c r="AT50" s="345"/>
      <c r="AU50" s="345"/>
    </row>
    <row r="51" spans="1:47" ht="13.5" customHeight="1" x14ac:dyDescent="0.2">
      <c r="A51" s="1150" t="s">
        <v>126</v>
      </c>
      <c r="B51" s="418"/>
      <c r="C51" s="2109">
        <f>+MAR!BX9</f>
        <v>53</v>
      </c>
      <c r="D51" s="221">
        <f>+MAR!BS9</f>
        <v>36</v>
      </c>
      <c r="E51" s="1402"/>
      <c r="F51" s="221">
        <f>C51-D51</f>
        <v>17</v>
      </c>
      <c r="G51" s="1135">
        <f>IF(D51=0,0,C51/D51-1)</f>
        <v>0.47222222222222232</v>
      </c>
      <c r="H51" s="1403"/>
      <c r="I51" s="966">
        <v>50.4</v>
      </c>
      <c r="J51" s="1402"/>
      <c r="K51" s="221">
        <f>C51-I51</f>
        <v>2.6000000000000014</v>
      </c>
      <c r="L51" s="1405">
        <f>IF(I51=0,"NM",C51/I51-1)</f>
        <v>5.1587301587301626E-2</v>
      </c>
      <c r="M51" s="1404"/>
      <c r="N51" s="345"/>
      <c r="O51" s="345"/>
      <c r="U51" s="346"/>
      <c r="V51" s="345"/>
      <c r="W51" s="345"/>
      <c r="X51" s="345"/>
      <c r="Y51" s="345"/>
      <c r="Z51" s="345"/>
      <c r="AA51" s="345"/>
      <c r="AB51" s="345"/>
      <c r="AC51" s="345"/>
      <c r="AD51" s="345"/>
      <c r="AE51" s="345"/>
      <c r="AF51" s="345"/>
      <c r="AG51" s="345"/>
      <c r="AH51" s="345"/>
      <c r="AI51" s="345"/>
      <c r="AJ51" s="345"/>
      <c r="AK51" s="345"/>
      <c r="AL51" s="345"/>
      <c r="AM51" s="345"/>
      <c r="AN51" s="345"/>
      <c r="AO51" s="345"/>
      <c r="AP51" s="345"/>
      <c r="AQ51" s="345"/>
      <c r="AR51" s="345"/>
      <c r="AS51" s="345"/>
      <c r="AT51" s="345"/>
      <c r="AU51" s="345"/>
    </row>
    <row r="52" spans="1:47" ht="13.5" customHeight="1" x14ac:dyDescent="0.2">
      <c r="A52" s="1152" t="s">
        <v>1735</v>
      </c>
      <c r="B52" s="820"/>
      <c r="C52" s="1905">
        <f>SUM(C49:C51)</f>
        <v>378</v>
      </c>
      <c r="D52" s="1157">
        <f>SUM(D49:D51)</f>
        <v>319</v>
      </c>
      <c r="E52" s="1158"/>
      <c r="F52" s="1159">
        <f>C52-D52</f>
        <v>59</v>
      </c>
      <c r="G52" s="1153">
        <f>IF(D52=0,0,C52/D52-1)</f>
        <v>0.1849529780564263</v>
      </c>
      <c r="H52" s="820"/>
      <c r="I52" s="1163">
        <v>379.14789141027717</v>
      </c>
      <c r="J52" s="1158"/>
      <c r="K52" s="1159">
        <f>C52-I52</f>
        <v>-1.1478914102771682</v>
      </c>
      <c r="L52" s="1385">
        <f>IF(I52=0,"NM",C52/I52-1)</f>
        <v>-3.0275558331802621E-3</v>
      </c>
      <c r="M52" s="346"/>
      <c r="N52" s="345"/>
      <c r="O52" s="345"/>
      <c r="P52" s="565"/>
      <c r="Q52" s="371"/>
      <c r="R52" s="345"/>
      <c r="S52" s="345"/>
      <c r="T52" s="345"/>
      <c r="U52" s="346"/>
      <c r="V52" s="345"/>
      <c r="W52" s="345"/>
      <c r="X52" s="345"/>
      <c r="Y52" s="345"/>
      <c r="Z52" s="345"/>
      <c r="AA52" s="345"/>
      <c r="AB52" s="345"/>
      <c r="AC52" s="345"/>
      <c r="AD52" s="345"/>
      <c r="AE52" s="345"/>
      <c r="AF52" s="345"/>
      <c r="AG52" s="345"/>
      <c r="AH52" s="345"/>
      <c r="AI52" s="345"/>
      <c r="AJ52" s="345"/>
      <c r="AK52" s="345"/>
      <c r="AL52" s="345"/>
      <c r="AM52" s="345"/>
      <c r="AN52" s="345"/>
      <c r="AO52" s="345"/>
      <c r="AP52" s="345"/>
      <c r="AQ52" s="345"/>
      <c r="AR52" s="345"/>
      <c r="AS52" s="345"/>
      <c r="AT52" s="345"/>
      <c r="AU52" s="345"/>
    </row>
    <row r="53" spans="1:47" ht="5.25" customHeight="1" x14ac:dyDescent="0.2">
      <c r="A53" s="418"/>
      <c r="B53" s="418"/>
      <c r="C53" s="458"/>
      <c r="D53" s="1165"/>
      <c r="E53" s="458"/>
      <c r="F53" s="532"/>
      <c r="G53" s="482"/>
      <c r="H53" s="418"/>
      <c r="I53" s="1165"/>
      <c r="J53" s="458"/>
      <c r="K53" s="364"/>
      <c r="L53" s="482"/>
      <c r="M53" s="345"/>
      <c r="N53" s="345"/>
      <c r="O53" s="345"/>
      <c r="P53" s="565"/>
      <c r="Q53" s="371"/>
      <c r="R53" s="345"/>
      <c r="S53" s="345"/>
      <c r="T53" s="345"/>
      <c r="U53" s="346"/>
      <c r="V53" s="345"/>
      <c r="W53" s="345"/>
      <c r="X53" s="345"/>
      <c r="Y53" s="345"/>
      <c r="Z53" s="345"/>
      <c r="AA53" s="345"/>
      <c r="AB53" s="345"/>
      <c r="AC53" s="345"/>
      <c r="AD53" s="345"/>
      <c r="AE53" s="345"/>
      <c r="AF53" s="345"/>
      <c r="AG53" s="345"/>
      <c r="AH53" s="345"/>
      <c r="AI53" s="345"/>
      <c r="AJ53" s="345"/>
      <c r="AK53" s="345"/>
      <c r="AL53" s="345"/>
      <c r="AM53" s="345"/>
      <c r="AN53" s="345"/>
      <c r="AO53" s="345"/>
      <c r="AP53" s="345"/>
      <c r="AQ53" s="345"/>
      <c r="AR53" s="345"/>
      <c r="AS53" s="345"/>
      <c r="AT53" s="345"/>
      <c r="AU53" s="345"/>
    </row>
    <row r="54" spans="1:47" ht="13.5" customHeight="1" x14ac:dyDescent="0.2">
      <c r="A54" s="421"/>
      <c r="B54" s="418"/>
      <c r="C54" s="1165"/>
      <c r="D54" s="1165"/>
      <c r="E54" s="458"/>
      <c r="F54" s="364"/>
      <c r="G54" s="482"/>
      <c r="H54" s="418"/>
      <c r="I54" s="1165"/>
      <c r="J54" s="458"/>
      <c r="K54" s="364"/>
      <c r="L54" s="482"/>
      <c r="M54" s="345"/>
      <c r="N54" s="345"/>
      <c r="O54" s="345"/>
      <c r="P54" s="1293" t="s">
        <v>566</v>
      </c>
      <c r="Q54" s="371"/>
      <c r="R54" s="345"/>
      <c r="S54" s="345"/>
      <c r="T54" s="345"/>
      <c r="U54" s="346"/>
      <c r="V54" s="345"/>
      <c r="W54" s="345"/>
      <c r="X54" s="345"/>
      <c r="Y54" s="345"/>
      <c r="Z54" s="345"/>
      <c r="AA54" s="345"/>
      <c r="AB54" s="345"/>
      <c r="AC54" s="345"/>
      <c r="AD54" s="345"/>
      <c r="AE54" s="345"/>
      <c r="AF54" s="345"/>
      <c r="AG54" s="345"/>
      <c r="AH54" s="345"/>
      <c r="AI54" s="345"/>
      <c r="AJ54" s="345"/>
      <c r="AK54" s="345"/>
      <c r="AL54" s="345"/>
      <c r="AM54" s="345"/>
      <c r="AN54" s="345"/>
      <c r="AO54" s="345"/>
      <c r="AP54" s="345"/>
      <c r="AQ54" s="345"/>
      <c r="AR54" s="345"/>
      <c r="AS54" s="345"/>
      <c r="AT54" s="345"/>
      <c r="AU54" s="345"/>
    </row>
    <row r="55" spans="1:47" ht="13.5" customHeight="1" x14ac:dyDescent="0.2">
      <c r="A55" s="1146"/>
      <c r="B55" s="418"/>
      <c r="C55" s="418"/>
      <c r="D55" s="418"/>
      <c r="E55" s="418"/>
      <c r="F55" s="418"/>
      <c r="G55" s="462"/>
      <c r="H55" s="418"/>
      <c r="I55" s="418"/>
      <c r="J55" s="418"/>
      <c r="K55" s="418"/>
      <c r="L55" s="478"/>
      <c r="M55" s="345"/>
      <c r="N55" s="345"/>
      <c r="O55" s="345"/>
      <c r="Q55" s="371"/>
      <c r="R55" s="345"/>
      <c r="S55" s="345"/>
      <c r="T55" s="345"/>
      <c r="U55" s="346"/>
      <c r="V55" s="345"/>
      <c r="W55" s="345"/>
      <c r="X55" s="345"/>
      <c r="Y55" s="345"/>
      <c r="Z55" s="345"/>
      <c r="AA55" s="345"/>
      <c r="AB55" s="345"/>
      <c r="AC55" s="345"/>
      <c r="AD55" s="345"/>
      <c r="AE55" s="345"/>
      <c r="AF55" s="345"/>
      <c r="AG55" s="345"/>
      <c r="AH55" s="345"/>
      <c r="AI55" s="345"/>
      <c r="AJ55" s="345"/>
      <c r="AK55" s="345"/>
      <c r="AL55" s="345"/>
      <c r="AM55" s="345"/>
      <c r="AN55" s="345"/>
      <c r="AO55" s="345"/>
      <c r="AP55" s="345"/>
      <c r="AQ55" s="345"/>
      <c r="AR55" s="345"/>
      <c r="AS55" s="345"/>
      <c r="AT55" s="345"/>
      <c r="AU55" s="345"/>
    </row>
    <row r="56" spans="1:47" ht="13.5" customHeight="1" x14ac:dyDescent="0.2">
      <c r="A56" s="1146"/>
      <c r="B56" s="418"/>
      <c r="C56" s="418"/>
      <c r="D56" s="418"/>
      <c r="E56" s="418"/>
      <c r="F56" s="418"/>
      <c r="G56" s="462"/>
      <c r="H56" s="418"/>
      <c r="I56" s="418"/>
      <c r="J56" s="418"/>
      <c r="K56" s="418"/>
      <c r="L56" s="478"/>
      <c r="M56" s="345"/>
      <c r="N56" s="345"/>
      <c r="O56" s="345"/>
      <c r="P56" s="275" t="s">
        <v>91</v>
      </c>
      <c r="Q56" s="371"/>
      <c r="R56" s="345"/>
      <c r="S56" s="345"/>
      <c r="T56" s="345"/>
      <c r="U56" s="346"/>
      <c r="V56" s="345"/>
      <c r="W56" s="345"/>
      <c r="X56" s="345"/>
      <c r="Y56" s="345"/>
      <c r="Z56" s="345"/>
      <c r="AA56" s="345"/>
      <c r="AB56" s="345"/>
      <c r="AC56" s="345"/>
      <c r="AD56" s="345"/>
      <c r="AE56" s="345"/>
      <c r="AF56" s="345"/>
      <c r="AG56" s="345"/>
      <c r="AH56" s="345"/>
      <c r="AI56" s="345"/>
      <c r="AJ56" s="345"/>
      <c r="AK56" s="345"/>
      <c r="AL56" s="345"/>
      <c r="AM56" s="345"/>
      <c r="AN56" s="345"/>
      <c r="AO56" s="345"/>
      <c r="AP56" s="345"/>
      <c r="AQ56" s="345"/>
      <c r="AR56" s="345"/>
      <c r="AS56" s="345"/>
      <c r="AT56" s="345"/>
      <c r="AU56" s="345"/>
    </row>
    <row r="57" spans="1:47" ht="6.75" customHeight="1" x14ac:dyDescent="0.2">
      <c r="A57" s="1146"/>
      <c r="B57" s="418"/>
      <c r="C57" s="418"/>
      <c r="D57" s="418"/>
      <c r="E57" s="418"/>
      <c r="F57" s="418"/>
      <c r="G57" s="462"/>
      <c r="H57" s="418"/>
      <c r="I57" s="418"/>
      <c r="J57" s="418"/>
      <c r="K57" s="418"/>
      <c r="L57" s="478"/>
      <c r="M57" s="345"/>
      <c r="N57" s="345"/>
      <c r="O57" s="345"/>
      <c r="P57" s="275"/>
      <c r="Q57" s="371"/>
      <c r="R57" s="345"/>
      <c r="S57" s="345"/>
      <c r="T57" s="345"/>
      <c r="U57" s="346"/>
      <c r="V57" s="345"/>
      <c r="W57" s="345"/>
      <c r="X57" s="345"/>
      <c r="Y57" s="345"/>
      <c r="Z57" s="345"/>
      <c r="AA57" s="345"/>
      <c r="AB57" s="345"/>
      <c r="AC57" s="345"/>
      <c r="AD57" s="345"/>
      <c r="AE57" s="345"/>
      <c r="AF57" s="345"/>
      <c r="AG57" s="345"/>
      <c r="AH57" s="345"/>
      <c r="AI57" s="345"/>
      <c r="AJ57" s="345"/>
      <c r="AK57" s="345"/>
      <c r="AL57" s="345"/>
      <c r="AM57" s="345"/>
      <c r="AN57" s="345"/>
      <c r="AO57" s="345"/>
      <c r="AP57" s="345"/>
      <c r="AQ57" s="345"/>
      <c r="AR57" s="345"/>
      <c r="AS57" s="345"/>
      <c r="AT57" s="345"/>
      <c r="AU57" s="345"/>
    </row>
    <row r="58" spans="1:47" ht="13.5" customHeight="1" x14ac:dyDescent="0.2">
      <c r="B58" s="418"/>
      <c r="C58" s="418"/>
      <c r="D58" s="418"/>
      <c r="E58" s="418"/>
      <c r="F58" s="418"/>
      <c r="G58" s="462"/>
      <c r="H58" s="418"/>
      <c r="I58" s="418"/>
      <c r="J58" s="418"/>
      <c r="K58" s="418"/>
      <c r="L58" s="478"/>
      <c r="M58" s="345"/>
      <c r="N58" s="345"/>
      <c r="O58" s="345"/>
      <c r="P58" s="1294"/>
      <c r="Q58" s="1296" t="s">
        <v>1782</v>
      </c>
      <c r="R58" s="1143" t="s">
        <v>1938</v>
      </c>
      <c r="S58" s="1143"/>
      <c r="T58" s="1297" t="s">
        <v>424</v>
      </c>
      <c r="U58" s="346"/>
      <c r="V58" s="345"/>
      <c r="W58" s="345"/>
      <c r="X58" s="345"/>
      <c r="Y58" s="345"/>
      <c r="Z58" s="345"/>
      <c r="AA58" s="345"/>
      <c r="AB58" s="345"/>
      <c r="AC58" s="345"/>
      <c r="AD58" s="345"/>
      <c r="AE58" s="345"/>
      <c r="AF58" s="345"/>
      <c r="AG58" s="345"/>
      <c r="AH58" s="345"/>
      <c r="AI58" s="345"/>
      <c r="AJ58" s="345"/>
      <c r="AK58" s="345"/>
      <c r="AL58" s="345"/>
      <c r="AM58" s="345"/>
      <c r="AN58" s="345"/>
      <c r="AO58" s="345"/>
      <c r="AP58" s="345"/>
      <c r="AQ58" s="345"/>
      <c r="AR58" s="345"/>
      <c r="AS58" s="345"/>
      <c r="AT58" s="345"/>
      <c r="AU58" s="345"/>
    </row>
    <row r="59" spans="1:47" ht="13.5" customHeight="1" x14ac:dyDescent="0.2">
      <c r="A59" s="421"/>
      <c r="B59" s="418"/>
      <c r="C59" s="418"/>
      <c r="D59" s="418"/>
      <c r="E59" s="418"/>
      <c r="F59" s="418"/>
      <c r="G59" s="462"/>
      <c r="H59" s="418"/>
      <c r="I59" s="418"/>
      <c r="J59" s="418"/>
      <c r="K59" s="418"/>
      <c r="L59" s="478"/>
      <c r="M59" s="345"/>
      <c r="N59" s="345"/>
      <c r="O59" s="345"/>
      <c r="Q59" s="8"/>
      <c r="R59" s="8"/>
      <c r="S59" s="8"/>
      <c r="T59" s="1298"/>
      <c r="U59" s="346"/>
      <c r="V59" s="345"/>
      <c r="W59" s="345"/>
      <c r="X59" s="345"/>
      <c r="Y59" s="345"/>
      <c r="Z59" s="345"/>
      <c r="AA59" s="345"/>
      <c r="AB59" s="345"/>
      <c r="AC59" s="345"/>
      <c r="AD59" s="345"/>
      <c r="AE59" s="345"/>
      <c r="AF59" s="345"/>
      <c r="AG59" s="345"/>
      <c r="AH59" s="345"/>
      <c r="AI59" s="345"/>
      <c r="AJ59" s="345"/>
      <c r="AK59" s="345"/>
      <c r="AL59" s="345"/>
      <c r="AM59" s="345"/>
      <c r="AN59" s="345"/>
      <c r="AO59" s="345"/>
      <c r="AP59" s="345"/>
      <c r="AQ59" s="345"/>
      <c r="AR59" s="345"/>
      <c r="AS59" s="345"/>
      <c r="AT59" s="345"/>
      <c r="AU59" s="345"/>
    </row>
    <row r="60" spans="1:47" ht="13.5" customHeight="1" x14ac:dyDescent="0.2">
      <c r="A60" s="421"/>
      <c r="B60" s="418"/>
      <c r="C60" s="418"/>
      <c r="D60" s="418"/>
      <c r="E60" s="418"/>
      <c r="F60" s="418"/>
      <c r="G60" s="462"/>
      <c r="H60" s="418"/>
      <c r="I60" s="418"/>
      <c r="J60" s="418"/>
      <c r="K60" s="418"/>
      <c r="L60" s="478"/>
      <c r="M60" s="345"/>
      <c r="N60" s="345"/>
      <c r="O60" s="345"/>
      <c r="P60" s="369" t="s">
        <v>338</v>
      </c>
      <c r="Q60" s="1303" t="s">
        <v>567</v>
      </c>
      <c r="R60" s="1308">
        <f>C34</f>
        <v>-0.27463651050080773</v>
      </c>
      <c r="S60" s="1307"/>
      <c r="T60" s="1915"/>
      <c r="U60" s="346"/>
      <c r="V60" s="345"/>
      <c r="W60" s="345"/>
      <c r="X60" s="345"/>
      <c r="Y60" s="345"/>
      <c r="Z60" s="345"/>
      <c r="AA60" s="345"/>
      <c r="AB60" s="345"/>
      <c r="AC60" s="345"/>
      <c r="AD60" s="345"/>
      <c r="AE60" s="345"/>
      <c r="AF60" s="345"/>
      <c r="AG60" s="345"/>
      <c r="AH60" s="345"/>
      <c r="AI60" s="345"/>
      <c r="AJ60" s="345"/>
      <c r="AK60" s="345"/>
      <c r="AL60" s="345"/>
      <c r="AM60" s="345"/>
      <c r="AN60" s="345"/>
      <c r="AO60" s="345"/>
      <c r="AP60" s="345"/>
      <c r="AQ60" s="345"/>
      <c r="AR60" s="345"/>
      <c r="AS60" s="345"/>
      <c r="AT60" s="345"/>
      <c r="AU60" s="345"/>
    </row>
    <row r="61" spans="1:47" ht="13.5" customHeight="1" x14ac:dyDescent="0.2">
      <c r="A61" s="421"/>
      <c r="B61" s="418"/>
      <c r="C61" s="418"/>
      <c r="D61" s="418"/>
      <c r="E61" s="418"/>
      <c r="F61" s="418"/>
      <c r="G61" s="462"/>
      <c r="H61" s="418"/>
      <c r="I61" s="418"/>
      <c r="J61" s="418"/>
      <c r="K61" s="418"/>
      <c r="L61" s="478"/>
      <c r="M61" s="345"/>
      <c r="N61" s="345"/>
      <c r="O61" s="345"/>
      <c r="Q61" s="2071"/>
      <c r="R61" s="8"/>
      <c r="S61" s="8"/>
      <c r="T61" s="1298"/>
      <c r="U61" s="346"/>
      <c r="V61" s="363"/>
      <c r="W61" s="345"/>
      <c r="X61" s="345"/>
      <c r="Y61" s="345"/>
      <c r="Z61" s="345"/>
      <c r="AA61" s="345"/>
      <c r="AB61" s="345"/>
      <c r="AC61" s="345"/>
      <c r="AD61" s="345"/>
      <c r="AE61" s="345"/>
      <c r="AF61" s="345"/>
      <c r="AG61" s="345"/>
      <c r="AH61" s="345"/>
      <c r="AI61" s="345"/>
      <c r="AJ61" s="345"/>
      <c r="AK61" s="345"/>
      <c r="AL61" s="345"/>
      <c r="AM61" s="345"/>
      <c r="AN61" s="345"/>
      <c r="AO61" s="345"/>
      <c r="AP61" s="345"/>
      <c r="AQ61" s="345"/>
      <c r="AR61" s="345"/>
      <c r="AS61" s="345"/>
      <c r="AT61" s="345"/>
      <c r="AU61" s="345"/>
    </row>
    <row r="62" spans="1:47" ht="13.5" customHeight="1" x14ac:dyDescent="0.2">
      <c r="A62" s="421"/>
      <c r="B62" s="418"/>
      <c r="C62" s="418"/>
      <c r="D62" s="418"/>
      <c r="E62" s="418"/>
      <c r="F62" s="418"/>
      <c r="G62" s="462"/>
      <c r="H62" s="418"/>
      <c r="I62" s="418"/>
      <c r="J62" s="418"/>
      <c r="K62" s="418"/>
      <c r="L62" s="478"/>
      <c r="M62" s="345"/>
      <c r="N62" s="345"/>
      <c r="O62" s="345"/>
      <c r="P62" s="563" t="s">
        <v>137</v>
      </c>
      <c r="Q62" s="2072"/>
      <c r="R62" s="1300"/>
      <c r="S62" s="1300"/>
      <c r="T62" s="1298"/>
      <c r="U62" s="346"/>
      <c r="V62" s="345"/>
      <c r="W62" s="345"/>
      <c r="X62" s="345"/>
      <c r="Y62" s="345"/>
      <c r="Z62" s="345"/>
      <c r="AA62" s="345"/>
      <c r="AB62" s="345"/>
      <c r="AC62" s="345"/>
      <c r="AD62" s="345"/>
      <c r="AE62" s="345"/>
      <c r="AF62" s="345"/>
      <c r="AG62" s="345"/>
      <c r="AH62" s="345"/>
      <c r="AI62" s="345"/>
      <c r="AJ62" s="345"/>
      <c r="AK62" s="345"/>
      <c r="AL62" s="345"/>
      <c r="AM62" s="345"/>
      <c r="AN62" s="345"/>
      <c r="AO62" s="345"/>
      <c r="AP62" s="345"/>
      <c r="AQ62" s="345"/>
      <c r="AR62" s="345"/>
      <c r="AS62" s="345"/>
      <c r="AT62" s="345"/>
      <c r="AU62" s="345"/>
    </row>
    <row r="63" spans="1:47" ht="13.5" customHeight="1" x14ac:dyDescent="0.2">
      <c r="A63" s="421"/>
      <c r="B63" s="418"/>
      <c r="C63" s="418"/>
      <c r="D63" s="418"/>
      <c r="E63" s="418"/>
      <c r="F63" s="418"/>
      <c r="G63" s="462"/>
      <c r="H63" s="418"/>
      <c r="I63" s="418"/>
      <c r="J63" s="418"/>
      <c r="K63" s="418"/>
      <c r="L63" s="478"/>
      <c r="M63" s="345"/>
      <c r="N63" s="345"/>
      <c r="O63" s="345"/>
      <c r="P63" s="213" t="s">
        <v>1143</v>
      </c>
      <c r="Q63" s="1301" t="s">
        <v>428</v>
      </c>
      <c r="R63" s="1302"/>
      <c r="S63" s="1302"/>
      <c r="T63" s="1408"/>
      <c r="U63" s="346"/>
      <c r="V63" s="345"/>
      <c r="W63" s="345"/>
      <c r="X63" s="345"/>
      <c r="Y63" s="345"/>
      <c r="Z63" s="345"/>
      <c r="AA63" s="345"/>
      <c r="AB63" s="345"/>
      <c r="AC63" s="345"/>
      <c r="AD63" s="345"/>
      <c r="AE63" s="345"/>
      <c r="AF63" s="345"/>
      <c r="AG63" s="345"/>
      <c r="AH63" s="345"/>
      <c r="AI63" s="345"/>
      <c r="AJ63" s="345"/>
      <c r="AK63" s="345"/>
      <c r="AL63" s="345"/>
      <c r="AM63" s="345"/>
      <c r="AN63" s="345"/>
      <c r="AO63" s="345"/>
      <c r="AP63" s="345"/>
      <c r="AQ63" s="345"/>
      <c r="AR63" s="345"/>
      <c r="AS63" s="345"/>
      <c r="AT63" s="345"/>
      <c r="AU63" s="345"/>
    </row>
    <row r="64" spans="1:47" ht="13.5" customHeight="1" x14ac:dyDescent="0.2">
      <c r="A64" s="421"/>
      <c r="B64" s="418"/>
      <c r="C64" s="418"/>
      <c r="D64" s="418"/>
      <c r="E64" s="418"/>
      <c r="F64" s="418"/>
      <c r="G64" s="462"/>
      <c r="H64" s="418"/>
      <c r="I64" s="418"/>
      <c r="J64" s="418"/>
      <c r="K64" s="418"/>
      <c r="L64" s="478"/>
      <c r="M64" s="345"/>
      <c r="N64" s="345"/>
      <c r="O64" s="345"/>
      <c r="P64" s="369" t="s">
        <v>1309</v>
      </c>
      <c r="Q64" s="1301" t="s">
        <v>1571</v>
      </c>
      <c r="R64" s="1302"/>
      <c r="S64" s="1302"/>
      <c r="T64" s="1408"/>
      <c r="U64" s="346"/>
      <c r="V64" s="345"/>
      <c r="W64" s="345"/>
      <c r="X64" s="345"/>
      <c r="Y64" s="345"/>
      <c r="Z64" s="345"/>
      <c r="AA64" s="345"/>
      <c r="AB64" s="345"/>
      <c r="AC64" s="345"/>
      <c r="AD64" s="345"/>
      <c r="AE64" s="345"/>
      <c r="AF64" s="345"/>
      <c r="AG64" s="345"/>
      <c r="AH64" s="345"/>
      <c r="AI64" s="345"/>
      <c r="AJ64" s="345"/>
      <c r="AK64" s="345"/>
      <c r="AL64" s="345"/>
      <c r="AM64" s="345"/>
      <c r="AN64" s="345"/>
      <c r="AO64" s="345"/>
      <c r="AP64" s="345"/>
      <c r="AQ64" s="345"/>
      <c r="AR64" s="345"/>
      <c r="AS64" s="345"/>
      <c r="AT64" s="345"/>
      <c r="AU64" s="345"/>
    </row>
    <row r="65" spans="1:47" ht="13.5" customHeight="1" x14ac:dyDescent="0.2">
      <c r="A65" s="418"/>
      <c r="B65" s="418"/>
      <c r="C65" s="418"/>
      <c r="D65" s="418"/>
      <c r="E65" s="418"/>
      <c r="F65" s="418"/>
      <c r="G65" s="462"/>
      <c r="H65" s="418"/>
      <c r="I65" s="418"/>
      <c r="J65" s="418"/>
      <c r="K65" s="418"/>
      <c r="L65" s="478"/>
      <c r="M65" s="345"/>
      <c r="N65" s="345"/>
      <c r="O65" s="345"/>
      <c r="P65" s="369" t="s">
        <v>2036</v>
      </c>
      <c r="Q65" s="1301" t="s">
        <v>1992</v>
      </c>
      <c r="R65" s="1302"/>
      <c r="S65" s="1302"/>
      <c r="T65" s="1408"/>
      <c r="U65" s="346"/>
      <c r="V65" s="345"/>
      <c r="W65" s="345"/>
      <c r="X65" s="345"/>
      <c r="Y65" s="345"/>
      <c r="Z65" s="345"/>
      <c r="AA65" s="345"/>
      <c r="AB65" s="345"/>
      <c r="AC65" s="345"/>
      <c r="AD65" s="345"/>
      <c r="AE65" s="345"/>
      <c r="AF65" s="345"/>
      <c r="AG65" s="345"/>
      <c r="AH65" s="345"/>
      <c r="AI65" s="345"/>
      <c r="AJ65" s="345"/>
      <c r="AK65" s="345"/>
      <c r="AL65" s="345"/>
      <c r="AM65" s="345"/>
      <c r="AN65" s="345"/>
      <c r="AO65" s="345"/>
      <c r="AP65" s="345"/>
      <c r="AQ65" s="345"/>
      <c r="AR65" s="345"/>
      <c r="AS65" s="345"/>
      <c r="AT65" s="345"/>
      <c r="AU65" s="345"/>
    </row>
    <row r="66" spans="1:47" ht="13.5" customHeight="1" x14ac:dyDescent="0.2">
      <c r="A66" s="418"/>
      <c r="B66" s="418"/>
      <c r="C66" s="418"/>
      <c r="D66" s="418"/>
      <c r="E66" s="418"/>
      <c r="F66" s="418"/>
      <c r="G66" s="462"/>
      <c r="H66" s="418"/>
      <c r="I66" s="418"/>
      <c r="J66" s="418"/>
      <c r="K66" s="418"/>
      <c r="L66" s="478"/>
      <c r="M66" s="345"/>
      <c r="N66" s="345"/>
      <c r="O66" s="345"/>
      <c r="P66" s="392"/>
      <c r="Q66" s="2073"/>
      <c r="R66" s="1300"/>
      <c r="S66" s="1300"/>
      <c r="T66" s="1298"/>
      <c r="U66" s="346"/>
      <c r="V66" s="345"/>
      <c r="W66" s="345"/>
      <c r="X66" s="345"/>
      <c r="Y66" s="345"/>
      <c r="Z66" s="345"/>
      <c r="AA66" s="345"/>
      <c r="AB66" s="345"/>
      <c r="AC66" s="345"/>
      <c r="AD66" s="345"/>
      <c r="AE66" s="345"/>
      <c r="AF66" s="345"/>
      <c r="AG66" s="345"/>
      <c r="AH66" s="345"/>
      <c r="AI66" s="345"/>
      <c r="AJ66" s="345"/>
      <c r="AK66" s="345"/>
      <c r="AL66" s="345"/>
      <c r="AM66" s="345"/>
      <c r="AN66" s="345"/>
      <c r="AO66" s="345"/>
      <c r="AP66" s="345"/>
      <c r="AQ66" s="345"/>
      <c r="AR66" s="345"/>
      <c r="AS66" s="345"/>
      <c r="AT66" s="345"/>
      <c r="AU66" s="345"/>
    </row>
    <row r="67" spans="1:47" ht="13.5" customHeight="1" x14ac:dyDescent="0.2">
      <c r="A67" s="418"/>
      <c r="B67" s="418"/>
      <c r="C67" s="418"/>
      <c r="D67" s="418"/>
      <c r="E67" s="418"/>
      <c r="F67" s="418"/>
      <c r="G67" s="462"/>
      <c r="H67" s="418"/>
      <c r="I67" s="418"/>
      <c r="J67" s="418"/>
      <c r="K67" s="418"/>
      <c r="L67" s="478"/>
      <c r="M67" s="345"/>
      <c r="N67" s="345"/>
      <c r="O67" s="345"/>
      <c r="P67" s="1295" t="s">
        <v>125</v>
      </c>
      <c r="Q67" s="2073"/>
      <c r="R67" s="1300"/>
      <c r="S67" s="1300"/>
      <c r="T67" s="1298"/>
      <c r="U67" s="346"/>
      <c r="V67" s="345"/>
      <c r="W67" s="345"/>
      <c r="X67" s="345"/>
      <c r="Y67" s="345"/>
      <c r="Z67" s="345"/>
      <c r="AA67" s="345"/>
      <c r="AB67" s="345"/>
      <c r="AC67" s="345"/>
      <c r="AD67" s="345"/>
      <c r="AE67" s="345"/>
      <c r="AF67" s="345"/>
      <c r="AG67" s="345"/>
      <c r="AH67" s="345"/>
      <c r="AI67" s="345"/>
      <c r="AJ67" s="345"/>
      <c r="AK67" s="345"/>
      <c r="AL67" s="345"/>
      <c r="AM67" s="345"/>
      <c r="AN67" s="345"/>
      <c r="AO67" s="345"/>
      <c r="AP67" s="345"/>
      <c r="AQ67" s="345"/>
      <c r="AR67" s="345"/>
      <c r="AS67" s="345"/>
      <c r="AT67" s="345"/>
      <c r="AU67" s="345"/>
    </row>
    <row r="68" spans="1:47" ht="13.5" customHeight="1" x14ac:dyDescent="0.2">
      <c r="A68" s="418"/>
      <c r="B68" s="418"/>
      <c r="C68" s="418"/>
      <c r="D68" s="418"/>
      <c r="E68" s="418"/>
      <c r="F68" s="418"/>
      <c r="G68" s="462"/>
      <c r="H68" s="418"/>
      <c r="I68" s="418"/>
      <c r="J68" s="418"/>
      <c r="K68" s="418"/>
      <c r="L68" s="478"/>
      <c r="M68" s="345"/>
      <c r="N68" s="345"/>
      <c r="O68" s="345"/>
      <c r="P68" s="213" t="s">
        <v>139</v>
      </c>
      <c r="Q68" s="1304" t="s">
        <v>1994</v>
      </c>
      <c r="R68" s="1421">
        <f>C9</f>
        <v>378</v>
      </c>
      <c r="S68" s="1303"/>
      <c r="T68" s="1409"/>
      <c r="U68" s="346"/>
      <c r="V68" s="345"/>
      <c r="W68" s="345"/>
      <c r="X68" s="345"/>
      <c r="Y68" s="345"/>
      <c r="Z68" s="345"/>
      <c r="AA68" s="345"/>
      <c r="AB68" s="345"/>
      <c r="AC68" s="345"/>
      <c r="AD68" s="345"/>
      <c r="AE68" s="345"/>
      <c r="AF68" s="345"/>
      <c r="AG68" s="345"/>
      <c r="AH68" s="345"/>
      <c r="AI68" s="345"/>
      <c r="AJ68" s="345"/>
      <c r="AK68" s="345"/>
      <c r="AL68" s="345"/>
      <c r="AM68" s="345"/>
      <c r="AN68" s="345"/>
      <c r="AO68" s="345"/>
      <c r="AP68" s="345"/>
      <c r="AQ68" s="345"/>
      <c r="AR68" s="345"/>
      <c r="AS68" s="345"/>
      <c r="AT68" s="345"/>
      <c r="AU68" s="345"/>
    </row>
    <row r="69" spans="1:47" ht="13.5" customHeight="1" x14ac:dyDescent="0.2">
      <c r="A69" s="418"/>
      <c r="B69" s="418"/>
      <c r="C69" s="418"/>
      <c r="D69" s="418"/>
      <c r="E69" s="418"/>
      <c r="F69" s="418"/>
      <c r="G69" s="462"/>
      <c r="H69" s="418"/>
      <c r="I69" s="418"/>
      <c r="J69" s="418"/>
      <c r="K69" s="418"/>
      <c r="L69" s="478"/>
      <c r="M69" s="345"/>
      <c r="N69" s="345"/>
      <c r="O69" s="345"/>
      <c r="P69" s="369" t="s">
        <v>138</v>
      </c>
      <c r="Q69" s="1303">
        <v>20</v>
      </c>
      <c r="R69" s="1389">
        <f>C10-C14</f>
        <v>48</v>
      </c>
      <c r="S69" s="1305"/>
      <c r="T69" s="1298"/>
      <c r="U69" s="346"/>
      <c r="V69" s="1166"/>
      <c r="W69" s="345"/>
      <c r="X69" s="345"/>
      <c r="Y69" s="345"/>
      <c r="Z69" s="345"/>
      <c r="AA69" s="345"/>
      <c r="AB69" s="345"/>
      <c r="AC69" s="345"/>
      <c r="AD69" s="345"/>
      <c r="AE69" s="345"/>
      <c r="AF69" s="345"/>
      <c r="AG69" s="345"/>
      <c r="AH69" s="345"/>
      <c r="AI69" s="345"/>
      <c r="AJ69" s="345"/>
      <c r="AK69" s="345"/>
      <c r="AL69" s="345"/>
      <c r="AM69" s="345"/>
      <c r="AN69" s="345"/>
      <c r="AO69" s="345"/>
      <c r="AP69" s="345"/>
      <c r="AQ69" s="345"/>
      <c r="AR69" s="345"/>
      <c r="AS69" s="345"/>
      <c r="AT69" s="345"/>
      <c r="AU69" s="345"/>
    </row>
    <row r="70" spans="1:47" ht="13.5" customHeight="1" x14ac:dyDescent="0.2">
      <c r="A70" s="418"/>
      <c r="B70" s="418"/>
      <c r="C70" s="418"/>
      <c r="D70" s="418"/>
      <c r="E70" s="418"/>
      <c r="F70" s="418"/>
      <c r="G70" s="462"/>
      <c r="H70" s="418"/>
      <c r="I70" s="418"/>
      <c r="J70" s="418"/>
      <c r="K70" s="418"/>
      <c r="L70" s="478"/>
      <c r="M70" s="345"/>
      <c r="N70" s="345"/>
      <c r="O70" s="345"/>
      <c r="Q70" s="783"/>
      <c r="S70" s="1300"/>
      <c r="T70" s="1298"/>
      <c r="U70" s="346"/>
      <c r="V70" s="345"/>
      <c r="W70" s="345"/>
      <c r="X70" s="345"/>
      <c r="Y70" s="345"/>
      <c r="Z70" s="345"/>
      <c r="AA70" s="345"/>
      <c r="AB70" s="345"/>
      <c r="AC70" s="345"/>
      <c r="AD70" s="345"/>
      <c r="AE70" s="345"/>
      <c r="AF70" s="345"/>
      <c r="AG70" s="345"/>
      <c r="AH70" s="345"/>
      <c r="AI70" s="345"/>
      <c r="AJ70" s="345"/>
      <c r="AK70" s="345"/>
      <c r="AL70" s="345"/>
      <c r="AM70" s="345"/>
      <c r="AN70" s="345"/>
      <c r="AO70" s="345"/>
      <c r="AP70" s="345"/>
      <c r="AQ70" s="311">
        <f>79/222</f>
        <v>0.35585585585585583</v>
      </c>
      <c r="AR70" s="345"/>
      <c r="AS70" s="345"/>
      <c r="AT70" s="345"/>
      <c r="AU70" s="345"/>
    </row>
    <row r="71" spans="1:47" ht="13.5" customHeight="1" x14ac:dyDescent="0.2">
      <c r="A71" s="418"/>
      <c r="B71" s="418"/>
      <c r="C71" s="418"/>
      <c r="D71" s="418"/>
      <c r="E71" s="418"/>
      <c r="F71" s="418"/>
      <c r="G71" s="462"/>
      <c r="H71" s="418"/>
      <c r="I71" s="418"/>
      <c r="J71" s="418"/>
      <c r="K71" s="418"/>
      <c r="L71" s="478"/>
      <c r="M71" s="345"/>
      <c r="N71" s="345"/>
      <c r="O71" s="345"/>
      <c r="P71" s="1295" t="s">
        <v>1931</v>
      </c>
      <c r="Q71" s="2070"/>
      <c r="R71" s="1300"/>
      <c r="S71" s="1300"/>
      <c r="T71" s="1298"/>
      <c r="U71" s="346"/>
      <c r="V71" s="345"/>
      <c r="W71" s="345"/>
      <c r="X71" s="345"/>
      <c r="Y71" s="345"/>
      <c r="Z71" s="345"/>
      <c r="AA71" s="345"/>
      <c r="AB71" s="345"/>
      <c r="AC71" s="345"/>
      <c r="AD71" s="345"/>
      <c r="AE71" s="345"/>
      <c r="AF71" s="345"/>
      <c r="AG71" s="345"/>
      <c r="AH71" s="345"/>
      <c r="AI71" s="345"/>
      <c r="AJ71" s="345"/>
      <c r="AK71" s="345"/>
      <c r="AL71" s="345"/>
      <c r="AM71" s="345"/>
      <c r="AN71" s="345"/>
      <c r="AO71" s="345"/>
      <c r="AP71" s="345"/>
      <c r="AR71" s="345"/>
      <c r="AS71" s="345"/>
      <c r="AT71" s="345"/>
      <c r="AU71" s="345"/>
    </row>
    <row r="72" spans="1:47" ht="13.5" customHeight="1" x14ac:dyDescent="0.2">
      <c r="A72" s="418"/>
      <c r="B72" s="418"/>
      <c r="C72" s="418"/>
      <c r="D72" s="418"/>
      <c r="E72" s="418"/>
      <c r="F72" s="418"/>
      <c r="G72" s="462"/>
      <c r="H72" s="418"/>
      <c r="I72" s="418"/>
      <c r="J72" s="418"/>
      <c r="K72" s="418"/>
      <c r="L72" s="478"/>
      <c r="M72" s="345"/>
      <c r="N72" s="345"/>
      <c r="O72" s="345"/>
      <c r="P72" s="369" t="s">
        <v>140</v>
      </c>
      <c r="Q72" s="1305" t="s">
        <v>568</v>
      </c>
      <c r="R72" s="1407">
        <f>C15</f>
        <v>147</v>
      </c>
      <c r="S72" s="1300"/>
      <c r="T72" s="1409"/>
      <c r="U72" s="346"/>
      <c r="V72" s="1767"/>
      <c r="W72" s="345"/>
      <c r="X72" s="345"/>
      <c r="Y72" s="345"/>
      <c r="Z72" s="345"/>
      <c r="AA72" s="345"/>
      <c r="AB72" s="345"/>
      <c r="AC72" s="345"/>
      <c r="AD72" s="345"/>
      <c r="AE72" s="345"/>
      <c r="AF72" s="345"/>
      <c r="AG72" s="345"/>
      <c r="AH72" s="345"/>
      <c r="AI72" s="345"/>
      <c r="AJ72" s="345"/>
      <c r="AK72" s="345"/>
      <c r="AL72" s="345"/>
      <c r="AM72" s="345"/>
      <c r="AN72" s="345"/>
      <c r="AO72" s="345"/>
      <c r="AP72" s="345"/>
      <c r="AQ72" s="345"/>
      <c r="AR72" s="345"/>
      <c r="AS72" s="345"/>
      <c r="AT72" s="345"/>
      <c r="AU72" s="345"/>
    </row>
    <row r="73" spans="1:47" ht="13.5" customHeight="1" x14ac:dyDescent="0.2">
      <c r="A73" s="418"/>
      <c r="B73" s="418"/>
      <c r="C73" s="418"/>
      <c r="D73" s="418"/>
      <c r="E73" s="418"/>
      <c r="F73" s="418"/>
      <c r="G73" s="462"/>
      <c r="H73" s="418"/>
      <c r="I73" s="418"/>
      <c r="J73" s="418"/>
      <c r="K73" s="418"/>
      <c r="L73" s="478"/>
      <c r="M73" s="345"/>
      <c r="N73" s="345"/>
      <c r="O73" s="345"/>
      <c r="P73" s="213" t="s">
        <v>141</v>
      </c>
      <c r="Q73" s="1304" t="s">
        <v>569</v>
      </c>
      <c r="R73" s="1300">
        <f>C21</f>
        <v>0</v>
      </c>
      <c r="S73" s="1300"/>
      <c r="T73" s="1298"/>
      <c r="U73" s="346"/>
      <c r="V73" s="345"/>
      <c r="W73" s="345"/>
      <c r="X73" s="345"/>
      <c r="Y73" s="345"/>
      <c r="Z73" s="345"/>
      <c r="AA73" s="345"/>
      <c r="AB73" s="345"/>
      <c r="AC73" s="345"/>
      <c r="AD73" s="345"/>
      <c r="AE73" s="345"/>
      <c r="AF73" s="345"/>
      <c r="AG73" s="345"/>
      <c r="AH73" s="345"/>
      <c r="AI73" s="345"/>
      <c r="AJ73" s="345"/>
      <c r="AK73" s="345"/>
      <c r="AL73" s="345"/>
      <c r="AM73" s="345"/>
      <c r="AN73" s="345"/>
      <c r="AO73" s="345"/>
      <c r="AP73" s="345"/>
      <c r="AQ73" s="345"/>
      <c r="AR73" s="345"/>
      <c r="AS73" s="345"/>
      <c r="AT73" s="345"/>
      <c r="AU73" s="345"/>
    </row>
    <row r="74" spans="1:47" ht="13.5" customHeight="1" x14ac:dyDescent="0.2">
      <c r="A74" s="418"/>
      <c r="B74" s="418"/>
      <c r="C74" s="418"/>
      <c r="D74" s="418"/>
      <c r="E74" s="418"/>
      <c r="F74" s="418"/>
      <c r="G74" s="462"/>
      <c r="H74" s="418"/>
      <c r="I74" s="418"/>
      <c r="J74" s="418"/>
      <c r="K74" s="418"/>
      <c r="L74" s="478"/>
      <c r="M74" s="345"/>
      <c r="N74" s="345"/>
      <c r="O74" s="345"/>
      <c r="P74" s="213" t="s">
        <v>89</v>
      </c>
      <c r="Q74" s="1303">
        <v>-25</v>
      </c>
      <c r="R74" s="1300">
        <f>C23</f>
        <v>-28</v>
      </c>
      <c r="S74" s="1300"/>
      <c r="T74" s="1298"/>
      <c r="U74" s="346"/>
      <c r="V74" s="345"/>
      <c r="W74" s="345"/>
      <c r="X74" s="345"/>
      <c r="Y74" s="345"/>
      <c r="Z74" s="345"/>
      <c r="AA74" s="345"/>
      <c r="AB74" s="345"/>
      <c r="AC74" s="345"/>
      <c r="AD74" s="345"/>
      <c r="AE74" s="345"/>
      <c r="AF74" s="345"/>
      <c r="AG74" s="345"/>
      <c r="AH74" s="345"/>
      <c r="AI74" s="345"/>
      <c r="AJ74" s="345"/>
      <c r="AK74" s="345"/>
      <c r="AL74" s="345"/>
      <c r="AM74" s="345"/>
      <c r="AN74" s="345"/>
      <c r="AO74" s="345"/>
      <c r="AP74" s="345"/>
      <c r="AQ74" s="345"/>
      <c r="AR74" s="345"/>
      <c r="AS74" s="345"/>
      <c r="AT74" s="345"/>
      <c r="AU74" s="345"/>
    </row>
    <row r="75" spans="1:47" ht="13.5" customHeight="1" x14ac:dyDescent="0.2">
      <c r="A75" s="421"/>
      <c r="B75" s="418"/>
      <c r="C75" s="424"/>
      <c r="D75" s="424"/>
      <c r="E75" s="424"/>
      <c r="F75" s="424"/>
      <c r="G75" s="457"/>
      <c r="H75" s="477"/>
      <c r="I75" s="424"/>
      <c r="J75" s="424"/>
      <c r="K75" s="424"/>
      <c r="L75" s="465"/>
      <c r="M75" s="345"/>
      <c r="N75" s="345"/>
      <c r="O75" s="345"/>
      <c r="P75" s="213" t="s">
        <v>1294</v>
      </c>
      <c r="Q75" s="1303">
        <v>0</v>
      </c>
      <c r="R75" s="1300">
        <f>C26</f>
        <v>0</v>
      </c>
      <c r="S75" s="1300"/>
      <c r="T75" s="1298"/>
      <c r="U75" s="346"/>
      <c r="V75" s="345"/>
      <c r="W75" s="345"/>
      <c r="X75" s="345"/>
      <c r="Y75" s="345"/>
      <c r="Z75" s="345"/>
      <c r="AA75" s="345"/>
      <c r="AB75" s="345"/>
      <c r="AC75" s="345"/>
      <c r="AD75" s="345"/>
      <c r="AE75" s="345"/>
      <c r="AF75" s="345"/>
      <c r="AG75" s="345"/>
      <c r="AH75" s="345"/>
      <c r="AI75" s="345"/>
      <c r="AJ75" s="345"/>
      <c r="AK75" s="345"/>
      <c r="AL75" s="345"/>
      <c r="AM75" s="345"/>
      <c r="AN75" s="345"/>
      <c r="AO75" s="345"/>
      <c r="AP75" s="345"/>
      <c r="AQ75" s="345"/>
      <c r="AR75" s="345"/>
      <c r="AS75" s="345"/>
      <c r="AT75" s="345"/>
      <c r="AU75" s="345"/>
    </row>
    <row r="76" spans="1:47" ht="5.25" customHeight="1" x14ac:dyDescent="0.2">
      <c r="A76" s="418"/>
      <c r="B76" s="418"/>
      <c r="C76" s="418"/>
      <c r="D76" s="418"/>
      <c r="E76" s="418"/>
      <c r="F76" s="418"/>
      <c r="G76" s="462"/>
      <c r="H76" s="418"/>
      <c r="I76" s="418"/>
      <c r="J76" s="418"/>
      <c r="K76" s="418"/>
      <c r="L76" s="478"/>
      <c r="M76" s="345"/>
      <c r="N76" s="345"/>
      <c r="O76" s="345"/>
      <c r="T76" s="1306"/>
      <c r="U76" s="346"/>
      <c r="V76" s="345"/>
      <c r="W76" s="345"/>
      <c r="X76" s="345"/>
      <c r="Y76" s="345"/>
      <c r="Z76" s="345"/>
      <c r="AA76" s="345"/>
      <c r="AB76" s="345"/>
      <c r="AC76" s="345"/>
      <c r="AD76" s="345"/>
      <c r="AE76" s="345"/>
      <c r="AF76" s="345"/>
      <c r="AG76" s="345"/>
      <c r="AH76" s="345"/>
      <c r="AI76" s="345"/>
      <c r="AJ76" s="345"/>
      <c r="AK76" s="345"/>
      <c r="AL76" s="345"/>
      <c r="AM76" s="345"/>
      <c r="AN76" s="345"/>
      <c r="AO76" s="345"/>
      <c r="AP76" s="345"/>
      <c r="AQ76" s="345"/>
      <c r="AR76" s="345"/>
      <c r="AS76" s="345"/>
      <c r="AT76" s="345"/>
      <c r="AU76" s="345"/>
    </row>
    <row r="77" spans="1:47" ht="6.75" customHeight="1" x14ac:dyDescent="0.2">
      <c r="A77" s="418"/>
      <c r="B77" s="418"/>
      <c r="C77" s="459"/>
      <c r="D77" s="459"/>
      <c r="E77" s="459"/>
      <c r="F77" s="418"/>
      <c r="G77" s="467"/>
      <c r="H77" s="418"/>
      <c r="I77" s="470"/>
      <c r="J77" s="459"/>
      <c r="K77" s="418"/>
      <c r="L77" s="467"/>
      <c r="M77" s="418"/>
      <c r="N77" s="418"/>
      <c r="O77" s="418"/>
      <c r="P77" s="418"/>
      <c r="Q77" s="418"/>
      <c r="R77" s="418"/>
      <c r="S77" s="418"/>
      <c r="T77" s="418"/>
      <c r="U77" s="418"/>
      <c r="V77" s="418"/>
      <c r="W77" s="418"/>
      <c r="X77" s="418"/>
      <c r="Y77" s="418"/>
      <c r="Z77" s="418"/>
      <c r="AA77" s="418"/>
      <c r="AB77" s="418"/>
      <c r="AC77" s="418"/>
      <c r="AD77" s="418"/>
      <c r="AE77" s="418"/>
      <c r="AF77" s="418"/>
      <c r="AG77" s="418"/>
      <c r="AH77" s="418"/>
      <c r="AI77" s="418"/>
      <c r="AJ77" s="418"/>
      <c r="AK77" s="418"/>
      <c r="AL77" s="418"/>
      <c r="AM77" s="418"/>
      <c r="AN77" s="418"/>
      <c r="AO77" s="418"/>
      <c r="AP77" s="418"/>
      <c r="AQ77" s="418"/>
      <c r="AR77" s="418"/>
      <c r="AS77" s="418"/>
      <c r="AT77" s="418"/>
      <c r="AU77" s="418"/>
    </row>
    <row r="78" spans="1:47" s="70" customFormat="1" ht="13.5" customHeight="1" x14ac:dyDescent="0.2">
      <c r="A78" s="418"/>
      <c r="B78" s="418"/>
      <c r="C78" s="460"/>
      <c r="D78" s="460"/>
      <c r="E78" s="423"/>
      <c r="F78" s="460"/>
      <c r="G78" s="467"/>
      <c r="H78" s="418"/>
      <c r="I78" s="471"/>
      <c r="J78" s="460"/>
      <c r="K78" s="423"/>
      <c r="L78" s="469"/>
      <c r="M78" s="418"/>
      <c r="N78" s="418"/>
      <c r="O78" s="418"/>
      <c r="P78" s="418"/>
      <c r="Q78" s="418"/>
      <c r="R78" s="418"/>
      <c r="S78" s="418"/>
      <c r="T78" s="418"/>
      <c r="U78" s="418"/>
      <c r="V78" s="248" t="s">
        <v>92</v>
      </c>
    </row>
    <row r="79" spans="1:47" s="70" customFormat="1" ht="13.5" customHeight="1" x14ac:dyDescent="0.2">
      <c r="A79" s="418"/>
      <c r="B79" s="418"/>
      <c r="C79" s="460"/>
      <c r="D79" s="460"/>
      <c r="E79" s="423"/>
      <c r="F79" s="460"/>
      <c r="G79" s="467"/>
      <c r="H79" s="418"/>
      <c r="I79" s="471"/>
      <c r="J79" s="460"/>
      <c r="K79" s="423"/>
      <c r="L79" s="469"/>
      <c r="M79" s="418"/>
      <c r="N79" s="418"/>
      <c r="O79" s="418"/>
      <c r="P79" s="418"/>
      <c r="Q79" s="418"/>
      <c r="R79" s="1422"/>
      <c r="S79" s="418"/>
      <c r="T79" s="418"/>
      <c r="U79" s="418"/>
      <c r="V79" s="275" t="s">
        <v>91</v>
      </c>
    </row>
    <row r="80" spans="1:47" s="70" customFormat="1" ht="13.5" customHeight="1" x14ac:dyDescent="0.2">
      <c r="A80" s="418"/>
      <c r="B80" s="418"/>
      <c r="C80" s="460"/>
      <c r="D80" s="460"/>
      <c r="E80" s="423"/>
      <c r="F80" s="460"/>
      <c r="G80" s="467"/>
      <c r="H80" s="418"/>
      <c r="I80" s="471"/>
      <c r="J80" s="460"/>
      <c r="K80" s="423"/>
      <c r="L80" s="469"/>
      <c r="M80" s="418"/>
      <c r="N80" s="418"/>
      <c r="O80" s="418"/>
      <c r="P80" s="418"/>
      <c r="Q80" s="418"/>
      <c r="R80" s="418"/>
      <c r="S80" s="418"/>
      <c r="T80" s="418"/>
      <c r="U80" s="418"/>
      <c r="X80" s="2110"/>
      <c r="Y80" s="2110"/>
      <c r="Z80" s="2110"/>
      <c r="AE80" s="212"/>
      <c r="AF80" s="212"/>
      <c r="AG80" s="212"/>
      <c r="AH80" s="621"/>
      <c r="AI80" s="621"/>
      <c r="AJ80" s="621"/>
      <c r="AK80" s="621"/>
      <c r="AL80" s="395"/>
      <c r="AM80" s="212"/>
      <c r="AN80" s="212"/>
      <c r="AO80" s="212"/>
      <c r="AP80" s="390"/>
      <c r="AQ80" s="390"/>
      <c r="AR80" s="390"/>
      <c r="AS80" s="390"/>
      <c r="AT80" s="390"/>
      <c r="AU80" s="390"/>
    </row>
    <row r="81" spans="1:49" s="70" customFormat="1" ht="13.5" customHeight="1" x14ac:dyDescent="0.2">
      <c r="A81" s="418"/>
      <c r="B81" s="418"/>
      <c r="C81" s="460"/>
      <c r="D81" s="460"/>
      <c r="E81" s="423"/>
      <c r="F81" s="460"/>
      <c r="G81" s="467"/>
      <c r="H81" s="418"/>
      <c r="I81" s="471"/>
      <c r="J81" s="460"/>
      <c r="K81" s="423"/>
      <c r="L81" s="469"/>
      <c r="M81" s="418"/>
      <c r="N81" s="418"/>
      <c r="O81" s="418"/>
      <c r="P81" s="418"/>
      <c r="Q81" s="418"/>
      <c r="R81" s="418"/>
      <c r="S81" s="418"/>
      <c r="T81" s="418"/>
      <c r="U81" s="418"/>
      <c r="V81" s="2131" t="s">
        <v>1723</v>
      </c>
      <c r="W81" s="2110"/>
      <c r="X81" s="2110"/>
      <c r="Y81" s="2110"/>
      <c r="Z81" s="2110"/>
      <c r="AA81" s="3944" t="s">
        <v>142</v>
      </c>
      <c r="AB81" s="3944"/>
      <c r="AC81" s="3944"/>
      <c r="AD81" s="537"/>
      <c r="AE81" s="1309" t="s">
        <v>1724</v>
      </c>
      <c r="AF81" s="1309"/>
      <c r="AG81" s="1309"/>
      <c r="AH81" s="390"/>
      <c r="AI81" s="1309" t="s">
        <v>1725</v>
      </c>
      <c r="AJ81" s="1309"/>
      <c r="AK81" s="1309"/>
      <c r="AL81" s="390"/>
      <c r="AM81" s="3944" t="s">
        <v>1142</v>
      </c>
      <c r="AN81" s="3944"/>
      <c r="AO81" s="3944"/>
      <c r="AP81" s="390"/>
      <c r="AU81" s="390"/>
    </row>
    <row r="82" spans="1:49" s="70" customFormat="1" ht="13.5" customHeight="1" x14ac:dyDescent="0.2">
      <c r="A82" s="418"/>
      <c r="B82" s="418"/>
      <c r="C82" s="460"/>
      <c r="D82" s="460"/>
      <c r="E82" s="423"/>
      <c r="F82" s="460"/>
      <c r="G82" s="467"/>
      <c r="H82" s="418"/>
      <c r="I82" s="471"/>
      <c r="J82" s="460"/>
      <c r="K82" s="423"/>
      <c r="L82" s="469"/>
      <c r="M82" s="418"/>
      <c r="N82" s="418"/>
      <c r="O82" s="418"/>
      <c r="P82" s="418"/>
      <c r="Q82" s="418"/>
      <c r="R82" s="418"/>
      <c r="S82" s="418"/>
      <c r="T82" s="418"/>
      <c r="U82" s="418"/>
      <c r="V82" s="394"/>
      <c r="W82" s="1312" t="s">
        <v>573</v>
      </c>
      <c r="X82" s="1312"/>
      <c r="Y82" s="1312" t="s">
        <v>574</v>
      </c>
      <c r="Z82" s="390"/>
      <c r="AA82" s="1312" t="s">
        <v>573</v>
      </c>
      <c r="AB82" s="1312"/>
      <c r="AC82" s="1312" t="s">
        <v>574</v>
      </c>
      <c r="AD82" s="537"/>
      <c r="AE82" s="1312" t="s">
        <v>573</v>
      </c>
      <c r="AF82" s="1312"/>
      <c r="AG82" s="1312" t="s">
        <v>574</v>
      </c>
      <c r="AH82" s="390"/>
      <c r="AI82" s="1312" t="s">
        <v>573</v>
      </c>
      <c r="AJ82" s="1312"/>
      <c r="AK82" s="1312" t="s">
        <v>574</v>
      </c>
      <c r="AL82" s="390"/>
      <c r="AM82" s="1312" t="s">
        <v>573</v>
      </c>
      <c r="AN82" s="1312"/>
      <c r="AO82" s="1312" t="s">
        <v>574</v>
      </c>
      <c r="AP82" s="390"/>
      <c r="AU82" s="390"/>
    </row>
    <row r="83" spans="1:49" s="70" customFormat="1" ht="13.5" customHeight="1" x14ac:dyDescent="0.2">
      <c r="A83" s="418"/>
      <c r="B83" s="418"/>
      <c r="C83" s="460"/>
      <c r="D83" s="460"/>
      <c r="E83" s="423"/>
      <c r="F83" s="460"/>
      <c r="G83" s="467"/>
      <c r="H83" s="418"/>
      <c r="I83" s="471"/>
      <c r="J83" s="460"/>
      <c r="K83" s="423"/>
      <c r="L83" s="469"/>
      <c r="M83" s="418"/>
      <c r="N83" s="418"/>
      <c r="O83" s="418"/>
      <c r="P83" s="418"/>
      <c r="Q83" s="418"/>
      <c r="R83" s="418"/>
      <c r="S83" s="418"/>
      <c r="T83" s="418"/>
      <c r="U83" s="418"/>
      <c r="V83" s="394"/>
      <c r="W83" s="1312"/>
      <c r="X83" s="1312"/>
      <c r="Y83" s="1312"/>
      <c r="Z83" s="390"/>
      <c r="AA83" s="1312"/>
      <c r="AB83" s="1312"/>
      <c r="AC83" s="1312"/>
      <c r="AD83" s="537"/>
      <c r="AE83" s="1312"/>
      <c r="AF83" s="1312"/>
      <c r="AG83" s="1312"/>
      <c r="AH83" s="390"/>
      <c r="AI83" s="1312"/>
      <c r="AJ83" s="1312"/>
      <c r="AK83" s="1312"/>
      <c r="AL83" s="390"/>
      <c r="AM83" s="1312"/>
      <c r="AN83" s="1312"/>
      <c r="AO83" s="1312"/>
      <c r="AP83" s="390"/>
      <c r="AU83" s="390"/>
    </row>
    <row r="84" spans="1:49" s="70" customFormat="1" ht="13.5" customHeight="1" x14ac:dyDescent="0.2">
      <c r="A84" s="418"/>
      <c r="B84" s="418"/>
      <c r="C84" s="460"/>
      <c r="D84" s="460"/>
      <c r="E84" s="423"/>
      <c r="F84" s="460"/>
      <c r="G84" s="467"/>
      <c r="H84" s="418"/>
      <c r="I84" s="471"/>
      <c r="J84" s="460"/>
      <c r="K84" s="423"/>
      <c r="L84" s="469"/>
      <c r="M84" s="418"/>
      <c r="N84" s="418"/>
      <c r="O84" s="418"/>
      <c r="P84" s="418"/>
      <c r="Q84" s="418"/>
      <c r="R84" s="418"/>
      <c r="S84" s="418"/>
      <c r="T84" s="418"/>
      <c r="U84" s="418"/>
      <c r="V84" s="1348" t="s">
        <v>95</v>
      </c>
      <c r="W84" s="1667">
        <v>1525</v>
      </c>
      <c r="X84" s="2112" t="s">
        <v>2067</v>
      </c>
      <c r="Y84" s="1667">
        <v>1575</v>
      </c>
      <c r="Z84" s="2113"/>
      <c r="AA84" s="1667">
        <v>1535</v>
      </c>
      <c r="AB84" s="2112" t="s">
        <v>2067</v>
      </c>
      <c r="AC84" s="1667">
        <v>1585</v>
      </c>
      <c r="AD84" s="2113"/>
      <c r="AE84" s="1667">
        <v>1525</v>
      </c>
      <c r="AF84" s="2112" t="s">
        <v>2067</v>
      </c>
      <c r="AG84" s="1667">
        <v>1555</v>
      </c>
      <c r="AH84" s="2113"/>
      <c r="AI84" s="1667">
        <v>1525</v>
      </c>
      <c r="AJ84" s="2112" t="s">
        <v>2067</v>
      </c>
      <c r="AK84" s="1667">
        <v>1535</v>
      </c>
      <c r="AL84" s="2113"/>
      <c r="AM84" s="1667">
        <f t="shared" ref="AM84:AM89" si="5">AI84-AE84</f>
        <v>0</v>
      </c>
      <c r="AN84" s="2112"/>
      <c r="AO84" s="1667">
        <f t="shared" ref="AO84:AO89" si="6">AK84-AG84</f>
        <v>-20</v>
      </c>
      <c r="AP84" s="390"/>
      <c r="AU84" s="390"/>
    </row>
    <row r="85" spans="1:49" s="70" customFormat="1" ht="13.5" customHeight="1" x14ac:dyDescent="0.2">
      <c r="A85" s="418"/>
      <c r="B85" s="418"/>
      <c r="C85" s="460"/>
      <c r="D85" s="460"/>
      <c r="E85" s="423"/>
      <c r="F85" s="460"/>
      <c r="G85" s="467"/>
      <c r="H85" s="418"/>
      <c r="I85" s="471"/>
      <c r="J85" s="460"/>
      <c r="K85" s="423"/>
      <c r="L85" s="469"/>
      <c r="M85" s="418"/>
      <c r="N85" s="418"/>
      <c r="O85" s="418"/>
      <c r="P85" s="418"/>
      <c r="Q85" s="418"/>
      <c r="R85" s="418"/>
      <c r="S85" s="418"/>
      <c r="T85" s="418"/>
      <c r="U85" s="418"/>
      <c r="V85" s="369" t="s">
        <v>1584</v>
      </c>
      <c r="W85" s="1657">
        <v>135</v>
      </c>
      <c r="X85" s="2114" t="s">
        <v>2067</v>
      </c>
      <c r="Y85" s="1657">
        <v>145</v>
      </c>
      <c r="Z85" s="1657"/>
      <c r="AA85" s="1657">
        <v>140</v>
      </c>
      <c r="AB85" s="2114" t="s">
        <v>2067</v>
      </c>
      <c r="AC85" s="1657">
        <v>150</v>
      </c>
      <c r="AD85" s="1657"/>
      <c r="AE85" s="1657">
        <v>150</v>
      </c>
      <c r="AF85" s="2114" t="s">
        <v>2067</v>
      </c>
      <c r="AG85" s="1657">
        <v>160</v>
      </c>
      <c r="AH85" s="1657"/>
      <c r="AI85" s="1657">
        <v>161</v>
      </c>
      <c r="AJ85" s="2114" t="s">
        <v>2067</v>
      </c>
      <c r="AK85" s="1657">
        <v>161</v>
      </c>
      <c r="AL85" s="1657"/>
      <c r="AM85" s="1657">
        <f t="shared" si="5"/>
        <v>11</v>
      </c>
      <c r="AN85" s="2114"/>
      <c r="AO85" s="1657">
        <f t="shared" si="6"/>
        <v>1</v>
      </c>
      <c r="AP85" s="390"/>
      <c r="AU85" s="390"/>
    </row>
    <row r="86" spans="1:49" s="70" customFormat="1" ht="13.5" customHeight="1" x14ac:dyDescent="0.2">
      <c r="A86" s="418"/>
      <c r="B86" s="418"/>
      <c r="C86" s="460"/>
      <c r="D86" s="460"/>
      <c r="E86" s="423"/>
      <c r="F86" s="460"/>
      <c r="G86" s="467"/>
      <c r="H86" s="418"/>
      <c r="I86" s="471"/>
      <c r="J86" s="460"/>
      <c r="K86" s="423"/>
      <c r="L86" s="469"/>
      <c r="M86" s="418"/>
      <c r="N86" s="418"/>
      <c r="O86" s="418"/>
      <c r="P86" s="418"/>
      <c r="Q86" s="418"/>
      <c r="R86" s="418"/>
      <c r="S86" s="418"/>
      <c r="T86" s="418"/>
      <c r="U86" s="418"/>
      <c r="V86" s="1348" t="s">
        <v>1863</v>
      </c>
      <c r="W86" s="1667">
        <v>1185</v>
      </c>
      <c r="X86" s="2112" t="s">
        <v>2067</v>
      </c>
      <c r="Y86" s="1667">
        <v>1255</v>
      </c>
      <c r="Z86" s="1344"/>
      <c r="AA86" s="1667">
        <v>1185</v>
      </c>
      <c r="AB86" s="2112" t="s">
        <v>2067</v>
      </c>
      <c r="AC86" s="1667">
        <v>1255</v>
      </c>
      <c r="AD86" s="2113"/>
      <c r="AE86" s="2113">
        <v>1160</v>
      </c>
      <c r="AF86" s="2112" t="s">
        <v>2067</v>
      </c>
      <c r="AG86" s="2113">
        <v>1210</v>
      </c>
      <c r="AH86" s="1344"/>
      <c r="AI86" s="2113">
        <v>1173</v>
      </c>
      <c r="AJ86" s="2112" t="s">
        <v>2067</v>
      </c>
      <c r="AK86" s="2113">
        <v>1188</v>
      </c>
      <c r="AL86" s="1344"/>
      <c r="AM86" s="1667">
        <f t="shared" si="5"/>
        <v>13</v>
      </c>
      <c r="AN86" s="2112"/>
      <c r="AO86" s="1667">
        <f t="shared" si="6"/>
        <v>-22</v>
      </c>
      <c r="AP86" s="390"/>
      <c r="AU86" s="390"/>
    </row>
    <row r="87" spans="1:49" s="70" customFormat="1" ht="13.5" customHeight="1" x14ac:dyDescent="0.2">
      <c r="A87" s="418"/>
      <c r="B87" s="418"/>
      <c r="C87" s="460"/>
      <c r="D87" s="460"/>
      <c r="E87" s="423"/>
      <c r="F87" s="460"/>
      <c r="G87" s="467"/>
      <c r="H87" s="418"/>
      <c r="I87" s="471"/>
      <c r="J87" s="460"/>
      <c r="K87" s="423"/>
      <c r="L87" s="469"/>
      <c r="M87" s="418"/>
      <c r="N87" s="418"/>
      <c r="O87" s="418"/>
      <c r="P87" s="418"/>
      <c r="Q87" s="418"/>
      <c r="R87" s="418"/>
      <c r="S87" s="418"/>
      <c r="T87" s="418"/>
      <c r="U87" s="418"/>
      <c r="V87" s="369" t="s">
        <v>140</v>
      </c>
      <c r="W87" s="1657">
        <v>665</v>
      </c>
      <c r="X87" s="2114" t="s">
        <v>2067</v>
      </c>
      <c r="Y87" s="1657">
        <v>675</v>
      </c>
      <c r="Z87" s="1657"/>
      <c r="AA87" s="1657">
        <v>675</v>
      </c>
      <c r="AB87" s="2114" t="s">
        <v>2067</v>
      </c>
      <c r="AC87" s="1657">
        <v>685</v>
      </c>
      <c r="AD87" s="1657"/>
      <c r="AE87" s="1657">
        <v>690</v>
      </c>
      <c r="AF87" s="2114" t="s">
        <v>2067</v>
      </c>
      <c r="AG87" s="1657">
        <v>700</v>
      </c>
      <c r="AH87" s="1657"/>
      <c r="AI87" s="1657">
        <v>696</v>
      </c>
      <c r="AJ87" s="2114" t="s">
        <v>2067</v>
      </c>
      <c r="AK87" s="1657">
        <v>701</v>
      </c>
      <c r="AL87" s="1657"/>
      <c r="AM87" s="1657">
        <f t="shared" si="5"/>
        <v>6</v>
      </c>
      <c r="AN87" s="2114"/>
      <c r="AO87" s="1657">
        <f t="shared" si="6"/>
        <v>1</v>
      </c>
      <c r="AP87" s="390"/>
      <c r="AQ87" s="70">
        <f>AE86+AG86</f>
        <v>2370</v>
      </c>
      <c r="AU87" s="390"/>
      <c r="AV87" s="199"/>
    </row>
    <row r="88" spans="1:49" s="70" customFormat="1" ht="13.5" customHeight="1" x14ac:dyDescent="0.2">
      <c r="A88" s="418"/>
      <c r="B88" s="418"/>
      <c r="C88" s="460"/>
      <c r="D88" s="460"/>
      <c r="E88" s="423"/>
      <c r="F88" s="460"/>
      <c r="G88" s="467"/>
      <c r="H88" s="418"/>
      <c r="I88" s="471"/>
      <c r="J88" s="460"/>
      <c r="K88" s="423"/>
      <c r="L88" s="469"/>
      <c r="M88" s="418"/>
      <c r="N88" s="418"/>
      <c r="O88" s="418"/>
      <c r="P88" s="418"/>
      <c r="Q88" s="418"/>
      <c r="R88" s="418"/>
      <c r="S88" s="418"/>
      <c r="T88" s="418"/>
      <c r="U88" s="418"/>
      <c r="V88" s="213" t="s">
        <v>141</v>
      </c>
      <c r="W88" s="1657">
        <v>985</v>
      </c>
      <c r="X88" s="2114" t="s">
        <v>2067</v>
      </c>
      <c r="Y88" s="1657">
        <v>1055</v>
      </c>
      <c r="Z88" s="1657"/>
      <c r="AA88" s="1657">
        <v>990</v>
      </c>
      <c r="AB88" s="2114" t="s">
        <v>2067</v>
      </c>
      <c r="AC88" s="1657">
        <v>1060</v>
      </c>
      <c r="AD88" s="1657"/>
      <c r="AE88" s="1657">
        <v>975</v>
      </c>
      <c r="AF88" s="2114" t="s">
        <v>2067</v>
      </c>
      <c r="AG88" s="1657">
        <v>1025</v>
      </c>
      <c r="AH88" s="1657"/>
      <c r="AI88" s="1657">
        <v>985</v>
      </c>
      <c r="AJ88" s="2114" t="s">
        <v>2067</v>
      </c>
      <c r="AK88" s="1657">
        <v>1000</v>
      </c>
      <c r="AL88" s="1657"/>
      <c r="AM88" s="1657">
        <f t="shared" si="5"/>
        <v>10</v>
      </c>
      <c r="AN88" s="2114"/>
      <c r="AO88" s="1657">
        <f t="shared" si="6"/>
        <v>-25</v>
      </c>
      <c r="AP88" s="390"/>
      <c r="AQ88" s="2240">
        <f>AQ87/2</f>
        <v>1185</v>
      </c>
      <c r="AU88" s="390"/>
      <c r="AW88" s="149"/>
    </row>
    <row r="89" spans="1:49" s="70" customFormat="1" ht="13.5" customHeight="1" x14ac:dyDescent="0.2">
      <c r="A89" s="418"/>
      <c r="B89" s="418"/>
      <c r="C89" s="460"/>
      <c r="D89" s="460"/>
      <c r="E89" s="423"/>
      <c r="F89" s="460"/>
      <c r="G89" s="467"/>
      <c r="H89" s="418"/>
      <c r="I89" s="471"/>
      <c r="J89" s="460"/>
      <c r="K89" s="423"/>
      <c r="L89" s="469"/>
      <c r="M89" s="418"/>
      <c r="N89" s="418"/>
      <c r="O89" s="418"/>
      <c r="P89" s="418"/>
      <c r="Q89" s="418"/>
      <c r="R89" s="418"/>
      <c r="S89" s="418"/>
      <c r="T89" s="418"/>
      <c r="U89" s="418"/>
      <c r="V89" s="1341" t="s">
        <v>1859</v>
      </c>
      <c r="W89" s="2115">
        <v>1.9</v>
      </c>
      <c r="X89" s="2112" t="s">
        <v>2067</v>
      </c>
      <c r="Y89" s="2115">
        <v>2.0499999999999998</v>
      </c>
      <c r="Z89" s="1344"/>
      <c r="AA89" s="2115">
        <v>1.93</v>
      </c>
      <c r="AB89" s="2112" t="s">
        <v>2067</v>
      </c>
      <c r="AC89" s="2115">
        <v>2.08</v>
      </c>
      <c r="AD89" s="2116"/>
      <c r="AE89" s="2115">
        <v>1.92</v>
      </c>
      <c r="AF89" s="2112" t="s">
        <v>2067</v>
      </c>
      <c r="AG89" s="2115">
        <v>2.0299999999999998</v>
      </c>
      <c r="AH89" s="1344"/>
      <c r="AI89" s="2115">
        <v>1.98</v>
      </c>
      <c r="AJ89" s="2112" t="s">
        <v>2067</v>
      </c>
      <c r="AK89" s="2115">
        <v>2.0099999999999998</v>
      </c>
      <c r="AL89" s="1344"/>
      <c r="AM89" s="2115">
        <f t="shared" si="5"/>
        <v>6.0000000000000053E-2</v>
      </c>
      <c r="AN89" s="2112"/>
      <c r="AO89" s="2115">
        <f t="shared" si="6"/>
        <v>-2.0000000000000018E-2</v>
      </c>
      <c r="AP89" s="390"/>
      <c r="AU89" s="390"/>
    </row>
    <row r="90" spans="1:49" s="70" customFormat="1" ht="13.5" customHeight="1" x14ac:dyDescent="0.2">
      <c r="A90" s="418"/>
      <c r="B90" s="418"/>
      <c r="C90" s="460"/>
      <c r="D90" s="460"/>
      <c r="E90" s="423"/>
      <c r="F90" s="460"/>
      <c r="G90" s="467"/>
      <c r="H90" s="418"/>
      <c r="I90" s="471"/>
      <c r="J90" s="460"/>
      <c r="K90" s="423"/>
      <c r="L90" s="469"/>
      <c r="M90" s="418"/>
      <c r="N90" s="418"/>
      <c r="O90" s="418"/>
      <c r="P90" s="418"/>
      <c r="Q90" s="418"/>
      <c r="R90" s="418"/>
      <c r="S90" s="418"/>
      <c r="T90" s="418"/>
      <c r="U90" s="418"/>
      <c r="V90" s="394"/>
      <c r="W90" s="1318"/>
      <c r="X90" s="1318"/>
      <c r="Y90" s="1318"/>
      <c r="Z90" s="1317"/>
      <c r="AA90" s="1318"/>
      <c r="AB90" s="1318"/>
      <c r="AC90" s="1318"/>
      <c r="AD90" s="2225"/>
      <c r="AE90" s="1318"/>
      <c r="AF90" s="1318"/>
      <c r="AG90" s="1318"/>
      <c r="AH90" s="1317"/>
      <c r="AI90" s="1318"/>
      <c r="AJ90" s="1318"/>
      <c r="AK90" s="1318"/>
      <c r="AL90" s="1317"/>
      <c r="AM90" s="1318"/>
      <c r="AN90" s="1318"/>
      <c r="AO90" s="1318"/>
      <c r="AP90" s="390"/>
      <c r="AQ90" s="70">
        <f>AI86+AK86</f>
        <v>2361</v>
      </c>
      <c r="AU90" s="390"/>
    </row>
    <row r="91" spans="1:49" s="70" customFormat="1" ht="13.5" customHeight="1" x14ac:dyDescent="0.2">
      <c r="A91" s="418"/>
      <c r="B91" s="418"/>
      <c r="C91" s="460"/>
      <c r="D91" s="460"/>
      <c r="E91" s="423"/>
      <c r="F91" s="460"/>
      <c r="G91" s="467"/>
      <c r="H91" s="418"/>
      <c r="I91" s="471"/>
      <c r="J91" s="460"/>
      <c r="K91" s="423"/>
      <c r="L91" s="469"/>
      <c r="M91" s="418"/>
      <c r="N91" s="418"/>
      <c r="O91" s="418"/>
      <c r="P91" s="418"/>
      <c r="Q91" s="418"/>
      <c r="R91" s="418"/>
      <c r="S91" s="418"/>
      <c r="T91" s="418"/>
      <c r="U91" s="418"/>
      <c r="V91" s="563" t="s">
        <v>373</v>
      </c>
      <c r="W91" s="1317"/>
      <c r="X91" s="1317"/>
      <c r="Y91" s="1317"/>
      <c r="Z91" s="1317"/>
      <c r="AA91" s="1317"/>
      <c r="AB91" s="1317"/>
      <c r="AC91" s="1317"/>
      <c r="AD91" s="1317"/>
      <c r="AE91" s="1317"/>
      <c r="AF91" s="1317"/>
      <c r="AG91" s="1317"/>
      <c r="AH91" s="1317"/>
      <c r="AI91" s="1317"/>
      <c r="AJ91" s="1317"/>
      <c r="AK91" s="1317"/>
      <c r="AL91" s="1317"/>
      <c r="AM91" s="1317"/>
      <c r="AN91" s="1317"/>
      <c r="AO91" s="1317"/>
      <c r="AP91" s="390"/>
      <c r="AQ91" s="149">
        <f>AQ90/2</f>
        <v>1180.5</v>
      </c>
      <c r="AU91" s="390"/>
    </row>
    <row r="92" spans="1:49" s="70" customFormat="1" ht="13.5" customHeight="1" x14ac:dyDescent="0.2">
      <c r="A92" s="418"/>
      <c r="B92" s="418"/>
      <c r="C92" s="460"/>
      <c r="D92" s="460"/>
      <c r="E92" s="423"/>
      <c r="F92" s="460"/>
      <c r="G92" s="467"/>
      <c r="H92" s="418"/>
      <c r="I92" s="471"/>
      <c r="J92" s="460"/>
      <c r="K92" s="423"/>
      <c r="L92" s="469"/>
      <c r="M92" s="418"/>
      <c r="N92" s="418"/>
      <c r="O92" s="418"/>
      <c r="P92" s="418"/>
      <c r="Q92" s="418"/>
      <c r="R92" s="418"/>
      <c r="S92" s="418"/>
      <c r="T92" s="418"/>
      <c r="U92" s="418"/>
      <c r="V92" s="213" t="s">
        <v>94</v>
      </c>
      <c r="W92" s="2118">
        <v>0.03</v>
      </c>
      <c r="X92" s="2119" t="s">
        <v>2067</v>
      </c>
      <c r="Y92" s="2118">
        <v>7.0000000000000007E-2</v>
      </c>
      <c r="Z92" s="2118"/>
      <c r="AA92" s="2118">
        <v>0.04</v>
      </c>
      <c r="AB92" s="2119" t="s">
        <v>2067</v>
      </c>
      <c r="AC92" s="2118">
        <v>7.0000000000000007E-2</v>
      </c>
      <c r="AD92" s="2118"/>
      <c r="AE92" s="2118">
        <v>0.04</v>
      </c>
      <c r="AF92" s="2119" t="s">
        <v>2067</v>
      </c>
      <c r="AG92" s="2118">
        <v>0.06</v>
      </c>
      <c r="AH92" s="2118"/>
      <c r="AI92" s="2118" t="s">
        <v>1979</v>
      </c>
      <c r="AJ92" s="2119" t="s">
        <v>2067</v>
      </c>
      <c r="AK92" s="2118" t="s">
        <v>1979</v>
      </c>
      <c r="AL92" s="2118"/>
      <c r="AM92" s="2118" t="s">
        <v>1979</v>
      </c>
      <c r="AN92" s="2119"/>
      <c r="AO92" s="2118" t="s">
        <v>1979</v>
      </c>
      <c r="AP92" s="406"/>
      <c r="AQ92" s="149">
        <f>AQ88-AQ91</f>
        <v>4.5</v>
      </c>
      <c r="AU92" s="406"/>
    </row>
    <row r="93" spans="1:49" s="70" customFormat="1" ht="13.5" customHeight="1" x14ac:dyDescent="0.2">
      <c r="A93" s="418"/>
      <c r="B93" s="418"/>
      <c r="C93" s="460"/>
      <c r="D93" s="460"/>
      <c r="E93" s="423"/>
      <c r="F93" s="460"/>
      <c r="G93" s="467"/>
      <c r="H93" s="418"/>
      <c r="I93" s="471"/>
      <c r="J93" s="460"/>
      <c r="K93" s="423"/>
      <c r="L93" s="469"/>
      <c r="M93" s="418"/>
      <c r="N93" s="418"/>
      <c r="O93" s="418"/>
      <c r="P93" s="418"/>
      <c r="Q93" s="418"/>
      <c r="R93" s="418"/>
      <c r="S93" s="418"/>
      <c r="T93" s="418"/>
      <c r="U93" s="418"/>
      <c r="V93" s="394" t="s">
        <v>1309</v>
      </c>
      <c r="W93" s="2120">
        <v>0.03</v>
      </c>
      <c r="X93" s="2121" t="s">
        <v>2067</v>
      </c>
      <c r="Y93" s="2120">
        <v>7.0000000000000007E-2</v>
      </c>
      <c r="Z93" s="2120"/>
      <c r="AA93" s="2122">
        <v>4.4999999999999998E-2</v>
      </c>
      <c r="AB93" s="2121" t="s">
        <v>2067</v>
      </c>
      <c r="AC93" s="2120">
        <v>7.0000000000000007E-2</v>
      </c>
      <c r="AD93" s="2120"/>
      <c r="AE93" s="2136">
        <v>4.4999999999999998E-2</v>
      </c>
      <c r="AF93" s="2121" t="s">
        <v>2067</v>
      </c>
      <c r="AG93" s="2123">
        <v>0.06</v>
      </c>
      <c r="AH93" s="2120"/>
      <c r="AI93" s="2136" t="s">
        <v>1979</v>
      </c>
      <c r="AJ93" s="2121" t="s">
        <v>2067</v>
      </c>
      <c r="AK93" s="2123" t="s">
        <v>1979</v>
      </c>
      <c r="AL93" s="2120"/>
      <c r="AM93" s="2118" t="s">
        <v>1979</v>
      </c>
      <c r="AN93" s="2119"/>
      <c r="AO93" s="2118" t="s">
        <v>1979</v>
      </c>
      <c r="AP93" s="406"/>
      <c r="AQ93" s="149"/>
      <c r="AU93" s="406"/>
    </row>
    <row r="94" spans="1:49" s="70" customFormat="1" ht="13.5" customHeight="1" x14ac:dyDescent="0.2">
      <c r="A94" s="418"/>
      <c r="B94" s="418"/>
      <c r="C94" s="460"/>
      <c r="D94" s="460"/>
      <c r="E94" s="423"/>
      <c r="F94" s="460"/>
      <c r="G94" s="467"/>
      <c r="H94" s="418"/>
      <c r="I94" s="471"/>
      <c r="J94" s="460"/>
      <c r="K94" s="423"/>
      <c r="L94" s="469"/>
      <c r="M94" s="418"/>
      <c r="N94" s="418"/>
      <c r="O94" s="418"/>
      <c r="P94" s="418"/>
      <c r="Q94" s="418"/>
      <c r="R94" s="418"/>
      <c r="S94" s="418"/>
      <c r="T94" s="418"/>
      <c r="U94" s="418"/>
      <c r="V94" s="369" t="s">
        <v>2036</v>
      </c>
      <c r="W94" s="2118">
        <v>0.03</v>
      </c>
      <c r="X94" s="2119" t="s">
        <v>2067</v>
      </c>
      <c r="Y94" s="2118">
        <v>7.0000000000000007E-2</v>
      </c>
      <c r="Z94" s="2118"/>
      <c r="AA94" s="2118">
        <v>0.03</v>
      </c>
      <c r="AB94" s="2119" t="s">
        <v>2067</v>
      </c>
      <c r="AC94" s="2118">
        <v>0.05</v>
      </c>
      <c r="AD94" s="2118"/>
      <c r="AE94" s="2118">
        <v>0.02</v>
      </c>
      <c r="AF94" s="2119" t="s">
        <v>2067</v>
      </c>
      <c r="AG94" s="2118">
        <v>0.04</v>
      </c>
      <c r="AH94" s="2118"/>
      <c r="AI94" s="2118" t="s">
        <v>1979</v>
      </c>
      <c r="AJ94" s="2119" t="s">
        <v>2067</v>
      </c>
      <c r="AK94" s="2118" t="s">
        <v>1979</v>
      </c>
      <c r="AL94" s="2118"/>
      <c r="AM94" s="2118" t="s">
        <v>1979</v>
      </c>
      <c r="AN94" s="2119"/>
      <c r="AO94" s="2118" t="s">
        <v>1979</v>
      </c>
      <c r="AP94" s="406"/>
      <c r="AU94" s="406"/>
    </row>
    <row r="95" spans="1:49" s="70" customFormat="1" ht="13.5" customHeight="1" x14ac:dyDescent="0.2">
      <c r="A95" s="418"/>
      <c r="B95" s="418"/>
      <c r="C95" s="460"/>
      <c r="D95" s="460"/>
      <c r="E95" s="423"/>
      <c r="F95" s="460"/>
      <c r="G95" s="467"/>
      <c r="H95" s="418"/>
      <c r="I95" s="471"/>
      <c r="J95" s="460"/>
      <c r="K95" s="423"/>
      <c r="L95" s="469"/>
      <c r="M95" s="418"/>
      <c r="N95" s="418"/>
      <c r="O95" s="418"/>
      <c r="P95" s="418"/>
      <c r="Q95" s="418"/>
      <c r="R95" s="418"/>
      <c r="S95" s="418"/>
      <c r="T95" s="418"/>
      <c r="U95" s="418"/>
      <c r="V95" s="392"/>
      <c r="W95" s="2125"/>
      <c r="X95" s="771"/>
      <c r="Y95" s="2125"/>
      <c r="Z95" s="2125"/>
      <c r="AA95" s="771"/>
      <c r="AB95" s="771"/>
      <c r="AC95" s="771"/>
      <c r="AD95" s="771"/>
      <c r="AE95" s="771"/>
      <c r="AF95" s="771"/>
      <c r="AG95" s="771"/>
      <c r="AH95" s="2125"/>
      <c r="AI95" s="771"/>
      <c r="AJ95" s="771"/>
      <c r="AK95" s="771"/>
      <c r="AL95" s="2125"/>
      <c r="AM95" s="771"/>
      <c r="AN95" s="771"/>
      <c r="AO95" s="771"/>
      <c r="AP95" s="390"/>
      <c r="AU95" s="390"/>
    </row>
    <row r="96" spans="1:49" s="70" customFormat="1" ht="13.5" customHeight="1" x14ac:dyDescent="0.2">
      <c r="A96" s="418"/>
      <c r="B96" s="418"/>
      <c r="C96" s="460"/>
      <c r="D96" s="460"/>
      <c r="E96" s="423"/>
      <c r="F96" s="460"/>
      <c r="G96" s="467"/>
      <c r="H96" s="418"/>
      <c r="I96" s="471"/>
      <c r="J96" s="460"/>
      <c r="K96" s="423"/>
      <c r="L96" s="469"/>
      <c r="M96" s="418"/>
      <c r="N96" s="418"/>
      <c r="O96" s="418"/>
      <c r="P96" s="418"/>
      <c r="Q96" s="418"/>
      <c r="R96" s="418"/>
      <c r="S96" s="418"/>
      <c r="T96" s="418"/>
      <c r="U96" s="418"/>
      <c r="V96" s="1314" t="s">
        <v>1931</v>
      </c>
      <c r="W96" s="1322"/>
      <c r="X96" s="2127"/>
      <c r="Y96" s="1322"/>
      <c r="Z96" s="1322"/>
      <c r="AA96" s="771"/>
      <c r="AB96" s="2127"/>
      <c r="AC96" s="2127"/>
      <c r="AD96" s="2127"/>
      <c r="AE96" s="2127"/>
      <c r="AF96" s="2127"/>
      <c r="AG96" s="2127"/>
      <c r="AH96" s="1322"/>
      <c r="AI96" s="2127"/>
      <c r="AJ96" s="2127"/>
      <c r="AK96" s="2127"/>
      <c r="AL96" s="1322"/>
      <c r="AM96" s="2127"/>
      <c r="AN96" s="2127"/>
      <c r="AO96" s="2127"/>
      <c r="AP96" s="390"/>
      <c r="AQ96" s="390"/>
      <c r="AR96" s="390"/>
      <c r="AS96" s="390"/>
      <c r="AT96" s="390"/>
      <c r="AU96" s="390"/>
    </row>
    <row r="97" spans="1:51" s="70" customFormat="1" ht="13.5" customHeight="1" x14ac:dyDescent="0.2">
      <c r="A97" s="418"/>
      <c r="B97" s="418"/>
      <c r="C97" s="460"/>
      <c r="D97" s="460"/>
      <c r="E97" s="423"/>
      <c r="F97" s="460"/>
      <c r="G97" s="467"/>
      <c r="H97" s="418"/>
      <c r="I97" s="471"/>
      <c r="J97" s="460"/>
      <c r="K97" s="423"/>
      <c r="L97" s="469"/>
      <c r="M97" s="418"/>
      <c r="N97" s="418"/>
      <c r="O97" s="418"/>
      <c r="P97" s="418"/>
      <c r="Q97" s="418"/>
      <c r="R97" s="418"/>
      <c r="S97" s="418"/>
      <c r="T97" s="418"/>
      <c r="U97" s="418"/>
      <c r="V97" s="213" t="s">
        <v>97</v>
      </c>
      <c r="W97" s="1657">
        <v>30000</v>
      </c>
      <c r="X97" s="1414"/>
      <c r="Y97" s="1657"/>
      <c r="Z97" s="1657"/>
      <c r="AA97" s="1657">
        <v>30000</v>
      </c>
      <c r="AB97" s="2119" t="s">
        <v>2067</v>
      </c>
      <c r="AC97" s="1657">
        <v>35000</v>
      </c>
      <c r="AD97" s="1657"/>
      <c r="AE97" s="1657">
        <v>30000</v>
      </c>
      <c r="AF97" s="2119" t="s">
        <v>2067</v>
      </c>
      <c r="AG97" s="1657">
        <v>30000</v>
      </c>
      <c r="AH97" s="1657"/>
      <c r="AI97" s="1657">
        <v>30000</v>
      </c>
      <c r="AJ97" s="2119" t="s">
        <v>2067</v>
      </c>
      <c r="AK97" s="1657">
        <v>30000</v>
      </c>
      <c r="AL97" s="1657"/>
      <c r="AM97" s="1657">
        <f>AI97-AE97</f>
        <v>0</v>
      </c>
      <c r="AN97" s="2119"/>
      <c r="AO97" s="1657">
        <f>AK97-AG97</f>
        <v>0</v>
      </c>
      <c r="AP97" s="390"/>
      <c r="AQ97" s="390"/>
      <c r="AR97" s="390"/>
      <c r="AS97" s="390"/>
      <c r="AT97" s="390"/>
      <c r="AU97" s="390"/>
      <c r="AY97" s="149"/>
    </row>
    <row r="98" spans="1:51" s="70" customFormat="1" ht="4.5" customHeight="1" x14ac:dyDescent="0.2">
      <c r="A98" s="418"/>
      <c r="B98" s="418"/>
      <c r="C98" s="460"/>
      <c r="D98" s="460"/>
      <c r="E98" s="423"/>
      <c r="F98" s="460"/>
      <c r="G98" s="467"/>
      <c r="H98" s="418"/>
      <c r="I98" s="471"/>
      <c r="J98" s="460"/>
      <c r="K98" s="423"/>
      <c r="L98" s="469"/>
      <c r="M98" s="418"/>
      <c r="N98" s="418"/>
      <c r="O98" s="418"/>
      <c r="P98" s="418"/>
      <c r="Q98" s="418"/>
      <c r="R98" s="418"/>
      <c r="S98" s="418"/>
      <c r="T98" s="418"/>
      <c r="U98" s="418"/>
      <c r="AE98" s="212"/>
      <c r="AG98" s="212"/>
      <c r="AI98" s="212"/>
      <c r="AK98" s="212"/>
      <c r="AM98" s="212"/>
      <c r="AN98" s="212"/>
      <c r="AO98" s="212"/>
    </row>
    <row r="99" spans="1:51" s="70" customFormat="1" ht="4.5" customHeight="1" x14ac:dyDescent="0.2">
      <c r="A99" s="418"/>
      <c r="B99" s="418"/>
      <c r="C99" s="460"/>
      <c r="D99" s="460"/>
      <c r="E99" s="423"/>
      <c r="F99" s="460"/>
      <c r="G99" s="467"/>
      <c r="H99" s="418"/>
      <c r="I99" s="471"/>
      <c r="J99" s="460"/>
      <c r="K99" s="423"/>
      <c r="L99" s="469"/>
      <c r="M99" s="418"/>
      <c r="N99" s="418"/>
      <c r="O99" s="418"/>
      <c r="P99" s="418"/>
      <c r="Q99" s="418"/>
      <c r="R99" s="418"/>
      <c r="S99" s="418"/>
      <c r="T99" s="418"/>
      <c r="U99" s="418"/>
      <c r="AE99" s="212"/>
      <c r="AG99" s="212"/>
      <c r="AI99" s="212"/>
      <c r="AK99" s="212"/>
      <c r="AM99" s="212"/>
      <c r="AN99" s="212"/>
      <c r="AO99" s="212"/>
    </row>
    <row r="100" spans="1:51" s="70" customFormat="1" ht="13.5" customHeight="1" x14ac:dyDescent="0.2">
      <c r="A100" s="418"/>
      <c r="B100" s="418"/>
      <c r="C100" s="460"/>
      <c r="D100" s="460"/>
      <c r="E100" s="423"/>
      <c r="F100" s="460"/>
      <c r="G100" s="467"/>
      <c r="H100" s="418"/>
      <c r="I100" s="471"/>
      <c r="J100" s="460"/>
      <c r="K100" s="423"/>
      <c r="L100" s="469"/>
      <c r="M100" s="418"/>
      <c r="N100" s="418"/>
      <c r="O100" s="418"/>
      <c r="P100" s="418"/>
      <c r="Q100" s="418"/>
      <c r="R100" s="418"/>
      <c r="S100" s="418"/>
      <c r="T100" s="418"/>
      <c r="U100" s="418"/>
      <c r="V100" s="369" t="s">
        <v>96</v>
      </c>
      <c r="W100" s="1657">
        <v>10</v>
      </c>
      <c r="X100" s="2119" t="s">
        <v>2067</v>
      </c>
      <c r="Y100" s="1657">
        <v>10</v>
      </c>
      <c r="Z100" s="1657"/>
      <c r="AA100" s="1657">
        <v>10</v>
      </c>
      <c r="AB100" s="2119" t="s">
        <v>2067</v>
      </c>
      <c r="AC100" s="1657">
        <v>10</v>
      </c>
      <c r="AE100" s="70">
        <v>15</v>
      </c>
      <c r="AF100" s="2119" t="s">
        <v>2067</v>
      </c>
      <c r="AG100" s="70">
        <v>15</v>
      </c>
      <c r="AH100" s="1657"/>
      <c r="AI100" s="70">
        <v>15</v>
      </c>
      <c r="AJ100" s="2119" t="s">
        <v>2067</v>
      </c>
      <c r="AK100" s="70">
        <v>15</v>
      </c>
      <c r="AL100" s="1657"/>
      <c r="AM100" s="1657">
        <f>AI100-AE100</f>
        <v>0</v>
      </c>
      <c r="AN100" s="2119"/>
      <c r="AO100" s="1657">
        <f>AK100-AG100</f>
        <v>0</v>
      </c>
    </row>
    <row r="101" spans="1:51" s="70" customFormat="1" ht="13.5" customHeight="1" x14ac:dyDescent="0.2">
      <c r="A101" s="418"/>
      <c r="B101" s="418"/>
      <c r="C101" s="460"/>
      <c r="D101" s="460"/>
      <c r="E101" s="423"/>
      <c r="F101" s="460"/>
      <c r="G101" s="467"/>
      <c r="H101" s="418"/>
      <c r="I101" s="471"/>
      <c r="J101" s="460"/>
      <c r="K101" s="423"/>
      <c r="L101" s="469"/>
      <c r="M101" s="418"/>
      <c r="N101" s="418"/>
      <c r="O101" s="418"/>
      <c r="P101" s="418"/>
      <c r="Q101" s="418"/>
      <c r="R101" s="418"/>
      <c r="S101" s="418"/>
      <c r="T101" s="418"/>
      <c r="U101" s="418"/>
      <c r="V101" s="369" t="s">
        <v>89</v>
      </c>
      <c r="W101" s="1657">
        <v>105</v>
      </c>
      <c r="X101" s="2119" t="s">
        <v>2067</v>
      </c>
      <c r="Y101" s="1657">
        <v>105</v>
      </c>
      <c r="Z101" s="1657"/>
      <c r="AA101" s="1657">
        <v>100</v>
      </c>
      <c r="AB101" s="2119" t="s">
        <v>2067</v>
      </c>
      <c r="AC101" s="1657">
        <v>100</v>
      </c>
      <c r="AE101" s="70">
        <v>100</v>
      </c>
      <c r="AF101" s="2119" t="s">
        <v>2067</v>
      </c>
      <c r="AG101" s="70">
        <v>100</v>
      </c>
      <c r="AH101" s="1657"/>
      <c r="AI101" s="70">
        <v>100</v>
      </c>
      <c r="AJ101" s="2119" t="s">
        <v>2067</v>
      </c>
      <c r="AK101" s="70">
        <v>100</v>
      </c>
      <c r="AL101" s="1657"/>
      <c r="AM101" s="1657">
        <f>AI101-AE101</f>
        <v>0</v>
      </c>
      <c r="AN101" s="2119"/>
      <c r="AO101" s="1657">
        <f>AK101-AG101</f>
        <v>0</v>
      </c>
    </row>
    <row r="102" spans="1:51" s="70" customFormat="1" ht="13.5" customHeight="1" x14ac:dyDescent="0.2">
      <c r="A102" s="418"/>
      <c r="B102" s="418"/>
      <c r="C102" s="460"/>
      <c r="D102" s="460"/>
      <c r="E102" s="423"/>
      <c r="F102" s="460"/>
      <c r="G102" s="467"/>
      <c r="H102" s="418"/>
      <c r="I102" s="471"/>
      <c r="J102" s="460"/>
      <c r="K102" s="423"/>
      <c r="L102" s="469"/>
      <c r="M102" s="418"/>
      <c r="N102" s="418"/>
      <c r="O102" s="418"/>
      <c r="P102" s="418"/>
      <c r="Q102" s="418"/>
      <c r="R102" s="418"/>
      <c r="S102" s="418"/>
      <c r="T102" s="418"/>
      <c r="U102" s="418"/>
      <c r="V102" s="1170" t="s">
        <v>712</v>
      </c>
      <c r="W102" s="1657">
        <v>0</v>
      </c>
      <c r="X102" s="2119" t="s">
        <v>2067</v>
      </c>
      <c r="Y102" s="1657">
        <v>0</v>
      </c>
      <c r="Z102" s="1414"/>
      <c r="AA102" s="1657">
        <v>0</v>
      </c>
      <c r="AB102" s="2119" t="s">
        <v>2067</v>
      </c>
      <c r="AC102" s="1657">
        <v>0</v>
      </c>
      <c r="AE102" s="70">
        <v>-5</v>
      </c>
      <c r="AF102" s="2119" t="s">
        <v>2067</v>
      </c>
      <c r="AG102" s="70">
        <v>-5</v>
      </c>
      <c r="AH102" s="1414"/>
      <c r="AI102" s="70">
        <v>-2</v>
      </c>
      <c r="AJ102" s="2119" t="s">
        <v>2067</v>
      </c>
      <c r="AK102" s="70">
        <v>-2</v>
      </c>
      <c r="AL102" s="1414"/>
      <c r="AM102" s="1657">
        <f>AI102-AE102</f>
        <v>3</v>
      </c>
      <c r="AN102" s="2119"/>
      <c r="AO102" s="1657">
        <f>AK102-AG102</f>
        <v>3</v>
      </c>
    </row>
    <row r="103" spans="1:51" s="70" customFormat="1" ht="4.5" customHeight="1" x14ac:dyDescent="0.2">
      <c r="A103" s="418"/>
      <c r="B103" s="418"/>
      <c r="C103" s="460"/>
      <c r="D103" s="460"/>
      <c r="E103" s="423"/>
      <c r="F103" s="460"/>
      <c r="G103" s="467"/>
      <c r="H103" s="418"/>
      <c r="I103" s="471"/>
      <c r="J103" s="460"/>
      <c r="K103" s="423"/>
      <c r="L103" s="469"/>
      <c r="M103" s="418"/>
      <c r="N103" s="418"/>
      <c r="O103" s="418"/>
      <c r="P103" s="418"/>
      <c r="Q103" s="418"/>
      <c r="R103" s="418"/>
      <c r="S103" s="418"/>
      <c r="T103" s="418"/>
      <c r="U103" s="418"/>
      <c r="V103" s="369"/>
      <c r="W103" s="1657"/>
      <c r="X103" s="1414"/>
      <c r="Y103" s="1657"/>
      <c r="Z103" s="1657"/>
      <c r="AA103" s="1657"/>
      <c r="AH103" s="1657"/>
      <c r="AL103" s="1657"/>
    </row>
    <row r="104" spans="1:51" s="70" customFormat="1" ht="13.5" customHeight="1" x14ac:dyDescent="0.2">
      <c r="A104" s="418"/>
      <c r="B104" s="418"/>
      <c r="C104" s="460"/>
      <c r="D104" s="460"/>
      <c r="E104" s="423"/>
      <c r="F104" s="460"/>
      <c r="G104" s="467"/>
      <c r="H104" s="418"/>
      <c r="I104" s="471"/>
      <c r="J104" s="460"/>
      <c r="K104" s="423"/>
      <c r="L104" s="469"/>
      <c r="M104" s="418"/>
      <c r="N104" s="418"/>
      <c r="O104" s="418"/>
      <c r="P104" s="418"/>
      <c r="Q104" s="418"/>
      <c r="R104" s="418"/>
      <c r="S104" s="418"/>
      <c r="T104" s="418"/>
      <c r="U104" s="418"/>
      <c r="V104" s="2077" t="s">
        <v>90</v>
      </c>
      <c r="W104" s="2128">
        <v>0.33</v>
      </c>
      <c r="X104" s="2226"/>
      <c r="Y104" s="2128">
        <v>0.33</v>
      </c>
      <c r="Z104" s="2130"/>
      <c r="AA104" s="2128">
        <v>0.33</v>
      </c>
      <c r="AB104" s="2226"/>
      <c r="AC104" s="2128">
        <v>0.33</v>
      </c>
      <c r="AD104" s="195"/>
      <c r="AE104" s="1599">
        <v>0.32</v>
      </c>
      <c r="AF104" s="2226"/>
      <c r="AG104" s="1599">
        <v>0.32</v>
      </c>
      <c r="AH104" s="2130"/>
      <c r="AI104" s="1599">
        <v>0.311</v>
      </c>
      <c r="AJ104" s="2226"/>
      <c r="AK104" s="1599">
        <v>0.311</v>
      </c>
      <c r="AL104" s="2130"/>
      <c r="AM104" s="1599">
        <f>AI104-AE104</f>
        <v>-9.000000000000008E-3</v>
      </c>
      <c r="AN104" s="1599"/>
      <c r="AO104" s="1599">
        <f>AK104-AG104</f>
        <v>-9.000000000000008E-3</v>
      </c>
    </row>
    <row r="105" spans="1:51" s="70" customFormat="1" ht="13.5" customHeight="1" x14ac:dyDescent="0.2">
      <c r="A105" s="418"/>
      <c r="B105" s="418"/>
      <c r="C105" s="460"/>
      <c r="D105" s="460"/>
      <c r="E105" s="423"/>
      <c r="F105" s="460"/>
      <c r="G105" s="467"/>
      <c r="H105" s="418"/>
      <c r="I105" s="471"/>
      <c r="J105" s="460"/>
      <c r="K105" s="423"/>
      <c r="L105" s="469"/>
      <c r="M105" s="418"/>
      <c r="N105" s="418"/>
      <c r="O105" s="418"/>
      <c r="P105" s="418"/>
      <c r="Q105" s="418"/>
      <c r="R105" s="418"/>
      <c r="S105" s="418"/>
      <c r="T105" s="418"/>
      <c r="U105" s="418"/>
      <c r="V105" s="369"/>
      <c r="W105" s="1321"/>
      <c r="X105" s="2108"/>
      <c r="Y105" s="1321"/>
      <c r="Z105" s="1316"/>
      <c r="AA105" s="1316"/>
      <c r="AB105" s="212"/>
      <c r="AC105" s="212"/>
      <c r="AD105" s="212"/>
      <c r="AE105" s="212"/>
      <c r="AF105" s="212"/>
      <c r="AG105" s="212"/>
      <c r="AH105" s="1316"/>
      <c r="AI105" s="212"/>
      <c r="AJ105" s="212"/>
      <c r="AK105" s="212"/>
      <c r="AL105" s="1316"/>
      <c r="AM105" s="212"/>
      <c r="AN105" s="212"/>
      <c r="AO105" s="212"/>
    </row>
    <row r="106" spans="1:51" s="70" customFormat="1" ht="13.5" customHeight="1" x14ac:dyDescent="0.2">
      <c r="A106" s="418"/>
      <c r="B106" s="418"/>
      <c r="C106" s="460"/>
      <c r="D106" s="460"/>
      <c r="E106" s="423"/>
      <c r="F106" s="460"/>
      <c r="G106" s="467"/>
      <c r="H106" s="418"/>
      <c r="I106" s="471"/>
      <c r="J106" s="460"/>
      <c r="K106" s="423"/>
      <c r="L106" s="469"/>
      <c r="M106" s="418"/>
      <c r="N106" s="418"/>
      <c r="O106" s="418"/>
      <c r="P106" s="418"/>
      <c r="Q106" s="418"/>
      <c r="R106" s="418"/>
      <c r="S106" s="418"/>
      <c r="T106" s="418"/>
      <c r="U106" s="418"/>
      <c r="V106" s="369"/>
      <c r="W106" s="1316"/>
      <c r="X106" s="8"/>
      <c r="Y106" s="1316"/>
      <c r="Z106" s="1316"/>
      <c r="AA106" s="1316"/>
      <c r="AH106" s="1316"/>
      <c r="AI106" s="1316"/>
      <c r="AL106" s="1316"/>
      <c r="AQ106" s="248" t="s">
        <v>570</v>
      </c>
    </row>
    <row r="107" spans="1:51" s="70" customFormat="1" ht="13.5" customHeight="1" x14ac:dyDescent="0.2">
      <c r="A107" s="418"/>
      <c r="B107" s="418"/>
      <c r="C107" s="460"/>
      <c r="D107" s="460"/>
      <c r="E107" s="423"/>
      <c r="F107" s="460"/>
      <c r="G107" s="467"/>
      <c r="H107" s="418"/>
      <c r="I107" s="471"/>
      <c r="J107" s="460"/>
      <c r="K107" s="423"/>
      <c r="L107" s="469"/>
      <c r="M107" s="418"/>
      <c r="N107" s="418"/>
      <c r="O107" s="418"/>
      <c r="P107" s="418"/>
      <c r="Q107" s="418"/>
      <c r="R107" s="418"/>
      <c r="S107" s="418"/>
      <c r="T107" s="418"/>
      <c r="U107" s="418"/>
      <c r="V107" s="369"/>
      <c r="W107" s="1316"/>
      <c r="X107" s="8"/>
      <c r="Y107" s="1316"/>
      <c r="Z107" s="1316"/>
      <c r="AA107" s="1316"/>
      <c r="AH107" s="1316"/>
      <c r="AI107" s="1316"/>
      <c r="AL107" s="1316"/>
      <c r="AQ107" s="275" t="s">
        <v>91</v>
      </c>
    </row>
    <row r="108" spans="1:51" s="70" customFormat="1" ht="13.5" customHeight="1" x14ac:dyDescent="0.2">
      <c r="A108" s="418"/>
      <c r="B108" s="418"/>
      <c r="C108" s="460"/>
      <c r="D108" s="460"/>
      <c r="E108" s="423"/>
      <c r="F108" s="460"/>
      <c r="G108" s="467"/>
      <c r="H108" s="418"/>
      <c r="I108" s="471"/>
      <c r="J108" s="460"/>
      <c r="K108" s="423"/>
      <c r="L108" s="469"/>
      <c r="M108" s="418"/>
      <c r="N108" s="418"/>
      <c r="O108" s="418"/>
      <c r="P108" s="418"/>
      <c r="Q108" s="418"/>
      <c r="R108" s="418"/>
      <c r="S108" s="418"/>
      <c r="T108" s="418"/>
      <c r="U108" s="418"/>
      <c r="V108" s="369"/>
      <c r="W108" s="1316"/>
      <c r="X108" s="8"/>
      <c r="Y108" s="1316"/>
      <c r="Z108" s="1316"/>
      <c r="AA108" s="1316"/>
      <c r="AH108" s="1316"/>
      <c r="AI108" s="1316"/>
      <c r="AL108" s="1316"/>
      <c r="AT108" s="1359" t="s">
        <v>1591</v>
      </c>
      <c r="AY108" s="149"/>
    </row>
    <row r="109" spans="1:51" s="70" customFormat="1" ht="13.5" customHeight="1" x14ac:dyDescent="0.2">
      <c r="A109" s="418"/>
      <c r="B109" s="418"/>
      <c r="C109" s="460"/>
      <c r="D109" s="460"/>
      <c r="E109" s="423"/>
      <c r="F109" s="460"/>
      <c r="G109" s="467"/>
      <c r="H109" s="418"/>
      <c r="I109" s="471"/>
      <c r="J109" s="460"/>
      <c r="K109" s="423"/>
      <c r="L109" s="469"/>
      <c r="M109" s="418"/>
      <c r="N109" s="418"/>
      <c r="O109" s="418"/>
      <c r="P109" s="418"/>
      <c r="Q109" s="418"/>
      <c r="R109" s="418"/>
      <c r="S109" s="418"/>
      <c r="T109" s="418"/>
      <c r="U109" s="418"/>
      <c r="V109" s="369"/>
      <c r="W109" s="1316"/>
      <c r="X109" s="8"/>
      <c r="Y109" s="1316"/>
      <c r="Z109" s="1316"/>
      <c r="AA109" s="1316"/>
      <c r="AH109" s="1316"/>
      <c r="AI109" s="1316"/>
      <c r="AL109" s="1316"/>
      <c r="AQ109" s="195"/>
      <c r="AR109" s="335" t="s">
        <v>1782</v>
      </c>
      <c r="AS109" s="195"/>
      <c r="AT109" s="335" t="s">
        <v>1592</v>
      </c>
    </row>
    <row r="110" spans="1:51" s="70" customFormat="1" ht="13.5" customHeight="1" x14ac:dyDescent="0.2">
      <c r="A110" s="418"/>
      <c r="B110" s="418"/>
      <c r="C110" s="460"/>
      <c r="D110" s="460"/>
      <c r="E110" s="423"/>
      <c r="F110" s="460"/>
      <c r="G110" s="467"/>
      <c r="H110" s="418"/>
      <c r="I110" s="471"/>
      <c r="J110" s="460"/>
      <c r="K110" s="423"/>
      <c r="L110" s="469"/>
      <c r="M110" s="418"/>
      <c r="N110" s="418"/>
      <c r="O110" s="418"/>
      <c r="P110" s="418"/>
      <c r="Q110" s="418"/>
      <c r="R110" s="418"/>
      <c r="S110" s="418"/>
      <c r="T110" s="418"/>
      <c r="U110" s="418"/>
      <c r="V110" s="369"/>
      <c r="W110" s="1316"/>
      <c r="X110" s="8"/>
      <c r="Y110" s="1316"/>
      <c r="Z110" s="1316"/>
      <c r="AA110" s="1316"/>
      <c r="AH110" s="1316"/>
      <c r="AI110" s="1316"/>
      <c r="AL110" s="1316"/>
    </row>
    <row r="111" spans="1:51" s="70" customFormat="1" ht="13.5" customHeight="1" x14ac:dyDescent="0.2">
      <c r="A111" s="418"/>
      <c r="B111" s="418"/>
      <c r="C111" s="460"/>
      <c r="D111" s="460"/>
      <c r="E111" s="423"/>
      <c r="F111" s="460"/>
      <c r="G111" s="467"/>
      <c r="H111" s="418"/>
      <c r="I111" s="471"/>
      <c r="J111" s="460"/>
      <c r="K111" s="423"/>
      <c r="L111" s="469"/>
      <c r="M111" s="418"/>
      <c r="N111" s="418"/>
      <c r="O111" s="418"/>
      <c r="P111" s="418"/>
      <c r="Q111" s="418"/>
      <c r="R111" s="418"/>
      <c r="S111" s="418"/>
      <c r="T111" s="418"/>
      <c r="U111" s="418"/>
      <c r="V111" s="369"/>
      <c r="W111" s="1316"/>
      <c r="X111" s="8"/>
      <c r="Y111" s="1316"/>
      <c r="Z111" s="1316"/>
      <c r="AA111" s="1316"/>
      <c r="AH111" s="1316"/>
      <c r="AI111" s="1316"/>
      <c r="AL111" s="1316"/>
      <c r="AQ111" s="275" t="s">
        <v>1587</v>
      </c>
      <c r="AR111" s="1304"/>
      <c r="AT111" s="70">
        <v>398.51</v>
      </c>
      <c r="AV111" s="311"/>
    </row>
    <row r="112" spans="1:51" s="70" customFormat="1" ht="13.5" customHeight="1" x14ac:dyDescent="0.2">
      <c r="A112" s="418"/>
      <c r="B112" s="418"/>
      <c r="C112" s="460"/>
      <c r="D112" s="460"/>
      <c r="E112" s="423"/>
      <c r="F112" s="460"/>
      <c r="G112" s="467"/>
      <c r="H112" s="418"/>
      <c r="I112" s="471"/>
      <c r="J112" s="460"/>
      <c r="K112" s="423"/>
      <c r="L112" s="469"/>
      <c r="M112" s="418"/>
      <c r="N112" s="418"/>
      <c r="O112" s="418"/>
      <c r="P112" s="418"/>
      <c r="Q112" s="418"/>
      <c r="R112" s="418"/>
      <c r="S112" s="418"/>
      <c r="T112" s="418"/>
      <c r="U112" s="418"/>
      <c r="V112" s="369"/>
      <c r="W112" s="1316"/>
      <c r="X112" s="8"/>
      <c r="Y112" s="1316"/>
      <c r="Z112" s="1316"/>
      <c r="AA112" s="1316"/>
      <c r="AH112" s="1316"/>
      <c r="AI112" s="1316"/>
      <c r="AL112" s="1316"/>
      <c r="AQ112" s="1170" t="s">
        <v>1584</v>
      </c>
      <c r="AR112" s="1401"/>
      <c r="AT112" s="70">
        <v>276.77999999999997</v>
      </c>
    </row>
    <row r="113" spans="1:57" s="70" customFormat="1" ht="13.5" customHeight="1" x14ac:dyDescent="0.2">
      <c r="A113" s="418"/>
      <c r="B113" s="418"/>
      <c r="C113" s="460"/>
      <c r="D113" s="460"/>
      <c r="E113" s="423"/>
      <c r="F113" s="460"/>
      <c r="G113" s="467"/>
      <c r="H113" s="418"/>
      <c r="I113" s="471"/>
      <c r="J113" s="460"/>
      <c r="K113" s="423"/>
      <c r="L113" s="469"/>
      <c r="M113" s="418"/>
      <c r="N113" s="418"/>
      <c r="O113" s="418"/>
      <c r="P113" s="418"/>
      <c r="Q113" s="418"/>
      <c r="R113" s="418"/>
      <c r="S113" s="418"/>
      <c r="T113" s="418"/>
      <c r="U113" s="418"/>
      <c r="V113" s="369"/>
      <c r="W113" s="1316"/>
      <c r="X113" s="8"/>
      <c r="Y113" s="1316"/>
      <c r="Z113" s="1316"/>
      <c r="AA113" s="1316"/>
      <c r="AH113" s="1316"/>
      <c r="AI113" s="1316"/>
      <c r="AL113" s="1316"/>
      <c r="AQ113" s="1170" t="s">
        <v>140</v>
      </c>
      <c r="AR113" s="1401"/>
      <c r="AT113" s="70">
        <v>167.62</v>
      </c>
    </row>
    <row r="114" spans="1:57" s="70" customFormat="1" ht="13.5" customHeight="1" x14ac:dyDescent="0.2">
      <c r="A114" s="418"/>
      <c r="B114" s="418"/>
      <c r="C114" s="460"/>
      <c r="D114" s="460"/>
      <c r="E114" s="423"/>
      <c r="F114" s="460"/>
      <c r="G114" s="467"/>
      <c r="H114" s="418"/>
      <c r="I114" s="471"/>
      <c r="J114" s="460"/>
      <c r="K114" s="423"/>
      <c r="L114" s="469"/>
      <c r="M114" s="418"/>
      <c r="N114" s="418"/>
      <c r="O114" s="418"/>
      <c r="P114" s="418"/>
      <c r="Q114" s="418"/>
      <c r="R114" s="418"/>
      <c r="S114" s="418"/>
      <c r="T114" s="418"/>
      <c r="U114" s="418"/>
      <c r="V114" s="369"/>
      <c r="W114" s="1316"/>
      <c r="X114" s="8"/>
      <c r="Y114" s="1316"/>
      <c r="Z114" s="1316"/>
      <c r="AA114" s="1316"/>
      <c r="AH114" s="1316"/>
      <c r="AI114" s="1316"/>
      <c r="AL114" s="1316"/>
      <c r="AQ114" s="275" t="s">
        <v>141</v>
      </c>
      <c r="AR114" s="1401"/>
      <c r="AT114" s="70">
        <v>277.33999999999997</v>
      </c>
    </row>
    <row r="115" spans="1:57" s="70" customFormat="1" ht="13.5" customHeight="1" x14ac:dyDescent="0.2">
      <c r="A115" s="418"/>
      <c r="B115" s="418"/>
      <c r="C115" s="460"/>
      <c r="D115" s="460"/>
      <c r="E115" s="423"/>
      <c r="F115" s="460"/>
      <c r="G115" s="467"/>
      <c r="H115" s="418"/>
      <c r="I115" s="471"/>
      <c r="J115" s="460"/>
      <c r="K115" s="423"/>
      <c r="L115" s="469"/>
      <c r="M115" s="418"/>
      <c r="N115" s="418"/>
      <c r="O115" s="418"/>
      <c r="P115" s="418"/>
      <c r="Q115" s="418"/>
      <c r="R115" s="418"/>
      <c r="S115" s="418"/>
      <c r="T115" s="418"/>
      <c r="U115" s="418"/>
      <c r="V115" s="369"/>
      <c r="W115" s="1316"/>
      <c r="X115" s="8"/>
      <c r="Y115" s="1316"/>
      <c r="Z115" s="1316"/>
      <c r="AA115" s="1316"/>
      <c r="AH115" s="1316"/>
      <c r="AI115" s="1316"/>
      <c r="AL115" s="1316"/>
      <c r="AQ115" s="1360" t="s">
        <v>1577</v>
      </c>
      <c r="AR115" s="1361"/>
      <c r="AS115" s="1084"/>
      <c r="AT115" s="2111">
        <v>0.55000000000000004</v>
      </c>
    </row>
    <row r="116" spans="1:57" s="70" customFormat="1" ht="13.5" customHeight="1" x14ac:dyDescent="0.2">
      <c r="A116" s="418"/>
      <c r="B116" s="418"/>
      <c r="C116" s="460"/>
      <c r="D116" s="460"/>
      <c r="E116" s="423"/>
      <c r="F116" s="460"/>
      <c r="G116" s="467"/>
      <c r="H116" s="418"/>
      <c r="I116" s="471"/>
      <c r="J116" s="460"/>
      <c r="K116" s="423"/>
      <c r="L116" s="469"/>
      <c r="M116" s="418"/>
      <c r="N116" s="418"/>
      <c r="O116" s="418"/>
      <c r="P116" s="418"/>
      <c r="Q116" s="418"/>
      <c r="R116" s="418"/>
      <c r="S116" s="418"/>
      <c r="T116" s="418"/>
      <c r="U116" s="418"/>
      <c r="V116" s="369"/>
      <c r="W116" s="1316"/>
      <c r="X116" s="8"/>
      <c r="Y116" s="1316"/>
      <c r="Z116" s="1316"/>
      <c r="AA116" s="1316"/>
      <c r="AH116" s="1316"/>
      <c r="AI116" s="1316"/>
      <c r="AL116" s="1316"/>
      <c r="AQ116" s="207"/>
      <c r="AR116" s="1757"/>
      <c r="AT116" s="2230"/>
    </row>
    <row r="117" spans="1:57" s="70" customFormat="1" ht="13.5" customHeight="1" x14ac:dyDescent="0.2">
      <c r="A117" s="418"/>
      <c r="B117" s="418"/>
      <c r="C117" s="460"/>
      <c r="D117" s="460"/>
      <c r="E117" s="423"/>
      <c r="F117" s="460"/>
      <c r="G117" s="467"/>
      <c r="H117" s="418"/>
      <c r="I117" s="471"/>
      <c r="J117" s="460"/>
      <c r="K117" s="423"/>
      <c r="L117" s="469"/>
      <c r="M117" s="418"/>
      <c r="N117" s="418"/>
      <c r="O117" s="418"/>
      <c r="P117" s="418"/>
      <c r="Q117" s="418"/>
      <c r="R117" s="418"/>
      <c r="S117" s="418"/>
      <c r="T117" s="418"/>
      <c r="U117" s="418"/>
      <c r="V117" s="369"/>
      <c r="W117" s="1316"/>
      <c r="X117" s="8"/>
      <c r="Y117" s="1316"/>
      <c r="Z117" s="1316"/>
      <c r="AA117" s="1316"/>
      <c r="AH117" s="1316"/>
      <c r="AI117" s="1316"/>
      <c r="AL117" s="1316"/>
      <c r="AQ117" s="563" t="s">
        <v>137</v>
      </c>
      <c r="AR117" s="1299"/>
      <c r="AT117" s="2230"/>
    </row>
    <row r="118" spans="1:57" s="70" customFormat="1" ht="13.5" customHeight="1" x14ac:dyDescent="0.2">
      <c r="A118" s="418"/>
      <c r="B118" s="418"/>
      <c r="C118" s="460"/>
      <c r="D118" s="460"/>
      <c r="E118" s="423"/>
      <c r="F118" s="460"/>
      <c r="G118" s="467"/>
      <c r="H118" s="418"/>
      <c r="I118" s="471"/>
      <c r="J118" s="460"/>
      <c r="K118" s="423"/>
      <c r="L118" s="469"/>
      <c r="M118" s="418"/>
      <c r="N118" s="418"/>
      <c r="O118" s="418"/>
      <c r="P118" s="418"/>
      <c r="Q118" s="418"/>
      <c r="R118" s="418"/>
      <c r="S118" s="418"/>
      <c r="T118" s="418"/>
      <c r="U118" s="418"/>
      <c r="V118" s="369"/>
      <c r="W118" s="1316"/>
      <c r="X118" s="8"/>
      <c r="Y118" s="1316"/>
      <c r="Z118" s="1316"/>
      <c r="AA118" s="1316"/>
      <c r="AH118" s="1316"/>
      <c r="AI118" s="1316"/>
      <c r="AL118" s="1316"/>
      <c r="AQ118" s="275" t="s">
        <v>382</v>
      </c>
      <c r="AR118" s="1301"/>
      <c r="AT118" s="259">
        <v>5.4199999999999998E-2</v>
      </c>
    </row>
    <row r="119" spans="1:57" s="70" customFormat="1" ht="13.5" customHeight="1" x14ac:dyDescent="0.2">
      <c r="A119" s="418"/>
      <c r="B119" s="418"/>
      <c r="C119" s="460"/>
      <c r="D119" s="460"/>
      <c r="E119" s="423"/>
      <c r="F119" s="460"/>
      <c r="G119" s="467"/>
      <c r="H119" s="418"/>
      <c r="I119" s="471"/>
      <c r="J119" s="460"/>
      <c r="K119" s="423"/>
      <c r="L119" s="469"/>
      <c r="M119" s="418"/>
      <c r="N119" s="418"/>
      <c r="O119" s="418"/>
      <c r="P119" s="418"/>
      <c r="Q119" s="418"/>
      <c r="R119" s="418"/>
      <c r="S119" s="418"/>
      <c r="T119" s="418"/>
      <c r="U119" s="418"/>
      <c r="V119" s="369"/>
      <c r="W119" s="1316"/>
      <c r="X119" s="8"/>
      <c r="Y119" s="1316"/>
      <c r="Z119" s="1316"/>
      <c r="AA119" s="1316"/>
      <c r="AH119" s="1316"/>
      <c r="AI119" s="1316"/>
      <c r="AL119" s="1316"/>
      <c r="AQ119" s="1170" t="s">
        <v>1309</v>
      </c>
      <c r="AR119" s="1301"/>
      <c r="AT119" s="259">
        <v>5.16E-2</v>
      </c>
    </row>
    <row r="120" spans="1:57" s="70" customFormat="1" ht="13.5" customHeight="1" x14ac:dyDescent="0.2">
      <c r="A120" s="418"/>
      <c r="B120" s="418"/>
      <c r="C120" s="460"/>
      <c r="D120" s="460"/>
      <c r="E120" s="423"/>
      <c r="F120" s="460"/>
      <c r="G120" s="467"/>
      <c r="H120" s="418"/>
      <c r="I120" s="471"/>
      <c r="J120" s="460"/>
      <c r="K120" s="423"/>
      <c r="L120" s="469"/>
      <c r="M120" s="418"/>
      <c r="N120" s="418"/>
      <c r="O120" s="418"/>
      <c r="P120" s="418"/>
      <c r="Q120" s="418"/>
      <c r="R120" s="418"/>
      <c r="S120" s="418"/>
      <c r="T120" s="418"/>
      <c r="U120" s="418"/>
      <c r="V120" s="369"/>
      <c r="W120" s="1316"/>
      <c r="X120" s="8"/>
      <c r="Y120" s="1316"/>
      <c r="Z120" s="1316"/>
      <c r="AA120" s="1316"/>
      <c r="AH120" s="1316"/>
      <c r="AI120" s="1316"/>
      <c r="AL120" s="1316"/>
      <c r="AQ120" s="1170" t="s">
        <v>2036</v>
      </c>
      <c r="AR120" s="1301"/>
      <c r="AT120" s="259">
        <v>2.6499999999999999E-2</v>
      </c>
    </row>
    <row r="121" spans="1:57" s="70" customFormat="1" ht="3.75" customHeight="1" x14ac:dyDescent="0.2">
      <c r="A121" s="418"/>
      <c r="B121" s="418"/>
      <c r="C121" s="460"/>
      <c r="D121" s="460"/>
      <c r="E121" s="423"/>
      <c r="F121" s="460"/>
      <c r="G121" s="467"/>
      <c r="H121" s="418"/>
      <c r="I121" s="471"/>
      <c r="J121" s="460"/>
      <c r="K121" s="423"/>
      <c r="L121" s="469"/>
      <c r="M121" s="418"/>
      <c r="N121" s="418"/>
      <c r="O121" s="418"/>
      <c r="P121" s="418"/>
      <c r="Q121" s="418"/>
      <c r="R121" s="418"/>
      <c r="S121" s="418"/>
      <c r="T121" s="418"/>
      <c r="U121" s="418"/>
      <c r="V121" s="369"/>
      <c r="W121" s="1316"/>
      <c r="X121" s="8"/>
      <c r="Y121" s="1316"/>
      <c r="Z121" s="1316"/>
      <c r="AA121" s="1316"/>
      <c r="AH121" s="1316"/>
      <c r="AI121" s="1316"/>
      <c r="AL121" s="1316"/>
      <c r="AQ121" s="1758"/>
      <c r="AR121" s="1301"/>
    </row>
    <row r="122" spans="1:57" s="70" customFormat="1" ht="3" customHeight="1" x14ac:dyDescent="0.2">
      <c r="A122" s="418"/>
      <c r="B122" s="418"/>
      <c r="C122" s="460"/>
      <c r="D122" s="460"/>
      <c r="E122" s="423"/>
      <c r="F122" s="460"/>
      <c r="G122" s="467"/>
      <c r="H122" s="418"/>
      <c r="I122" s="471"/>
      <c r="J122" s="460"/>
      <c r="K122" s="423"/>
      <c r="L122" s="469"/>
      <c r="M122" s="418"/>
      <c r="N122" s="418"/>
      <c r="O122" s="418"/>
      <c r="P122" s="418"/>
      <c r="Q122" s="418"/>
      <c r="R122" s="418"/>
      <c r="S122" s="418"/>
      <c r="T122" s="418"/>
      <c r="U122" s="418"/>
      <c r="V122" s="369"/>
      <c r="W122" s="1316"/>
      <c r="X122" s="8"/>
      <c r="Y122" s="1316"/>
      <c r="Z122" s="1316"/>
      <c r="AA122" s="1316"/>
      <c r="AH122" s="1316"/>
      <c r="AI122" s="1316"/>
      <c r="AL122" s="1316"/>
      <c r="AQ122" s="207"/>
      <c r="AR122" s="207"/>
    </row>
    <row r="123" spans="1:57" ht="13.5" customHeight="1" x14ac:dyDescent="0.2">
      <c r="A123" s="418"/>
      <c r="B123" s="418"/>
      <c r="C123" s="418"/>
      <c r="D123" s="418"/>
      <c r="E123" s="418"/>
      <c r="F123" s="460"/>
      <c r="G123" s="467"/>
      <c r="H123" s="418"/>
      <c r="I123" s="463"/>
      <c r="J123" s="418"/>
      <c r="K123" s="460"/>
      <c r="L123" s="469"/>
      <c r="M123" s="418"/>
      <c r="N123" s="418"/>
      <c r="O123" s="418"/>
      <c r="P123" s="418"/>
      <c r="Q123" s="418"/>
      <c r="R123" s="418"/>
      <c r="S123" s="418"/>
      <c r="T123" s="418"/>
      <c r="U123" s="418"/>
      <c r="AP123" s="421"/>
      <c r="AQ123" s="1424"/>
      <c r="AR123" s="421"/>
      <c r="AS123" s="421"/>
      <c r="AT123" s="421"/>
      <c r="AU123" s="421"/>
    </row>
    <row r="124" spans="1:57" ht="13.5" customHeight="1" x14ac:dyDescent="0.2">
      <c r="A124" s="418"/>
      <c r="B124" s="418"/>
      <c r="C124" s="418"/>
      <c r="D124" s="418"/>
      <c r="E124" s="418"/>
      <c r="F124" s="460"/>
      <c r="G124" s="467"/>
      <c r="H124" s="418"/>
      <c r="I124" s="463"/>
      <c r="J124" s="418"/>
      <c r="K124" s="460"/>
      <c r="L124" s="469"/>
      <c r="M124" s="418"/>
      <c r="N124" s="418"/>
      <c r="O124" s="418"/>
      <c r="P124" s="418"/>
      <c r="Q124" s="418"/>
      <c r="R124" s="418"/>
      <c r="S124" s="418"/>
      <c r="T124" s="418"/>
      <c r="U124" s="418"/>
    </row>
    <row r="125" spans="1:57" ht="13.5" customHeight="1" x14ac:dyDescent="0.2">
      <c r="A125" s="418"/>
      <c r="B125" s="418"/>
      <c r="C125" s="418"/>
      <c r="D125" s="418"/>
      <c r="E125" s="418"/>
      <c r="F125" s="460"/>
      <c r="G125" s="467"/>
      <c r="H125" s="418"/>
      <c r="I125" s="463"/>
      <c r="J125" s="418"/>
      <c r="K125" s="460"/>
      <c r="L125" s="469"/>
      <c r="M125" s="418"/>
      <c r="N125" s="418"/>
      <c r="O125" s="418"/>
      <c r="P125" s="418"/>
      <c r="Q125" s="418"/>
      <c r="R125" s="418"/>
      <c r="S125" s="418"/>
      <c r="T125" s="418"/>
      <c r="U125" s="418"/>
      <c r="AV125" s="85"/>
      <c r="AW125" s="3945" t="s">
        <v>2254</v>
      </c>
      <c r="AX125" s="3945"/>
      <c r="AY125" s="3946"/>
      <c r="AZ125" s="3947" t="s">
        <v>2255</v>
      </c>
      <c r="BA125" s="3945"/>
      <c r="BB125" s="3946"/>
      <c r="BC125" s="3936">
        <v>2013</v>
      </c>
      <c r="BD125" s="3937"/>
      <c r="BE125" s="3938"/>
    </row>
    <row r="126" spans="1:57" ht="13.5" customHeight="1" x14ac:dyDescent="0.2">
      <c r="A126" s="418"/>
      <c r="B126" s="418"/>
      <c r="C126" s="418"/>
      <c r="D126" s="418"/>
      <c r="E126" s="418"/>
      <c r="F126" s="418"/>
      <c r="G126" s="462"/>
      <c r="H126" s="418"/>
      <c r="I126" s="463"/>
      <c r="J126" s="418"/>
      <c r="K126" s="418"/>
      <c r="L126" s="462"/>
      <c r="M126" s="418"/>
      <c r="N126" s="418"/>
      <c r="O126" s="418"/>
      <c r="P126" s="418"/>
      <c r="Q126" s="418"/>
      <c r="R126" s="418"/>
      <c r="S126" s="418"/>
      <c r="T126" s="418"/>
      <c r="U126" s="418"/>
      <c r="AV126" s="2095"/>
      <c r="AW126" s="2100" t="s">
        <v>1253</v>
      </c>
      <c r="AX126" s="2100" t="s">
        <v>1863</v>
      </c>
      <c r="AY126" s="2101" t="s">
        <v>487</v>
      </c>
      <c r="AZ126" s="2102" t="s">
        <v>1253</v>
      </c>
      <c r="BA126" s="2100" t="s">
        <v>1863</v>
      </c>
      <c r="BB126" s="2101" t="s">
        <v>487</v>
      </c>
      <c r="BC126" s="2102" t="s">
        <v>1253</v>
      </c>
      <c r="BD126" s="2100" t="s">
        <v>1863</v>
      </c>
      <c r="BE126" s="2101" t="s">
        <v>487</v>
      </c>
    </row>
    <row r="127" spans="1:57" ht="13.5" customHeight="1" x14ac:dyDescent="0.2">
      <c r="A127" s="418"/>
      <c r="B127" s="418"/>
      <c r="C127" s="418"/>
      <c r="D127" s="418"/>
      <c r="E127" s="418"/>
      <c r="F127" s="418"/>
      <c r="G127" s="462"/>
      <c r="H127" s="418"/>
      <c r="I127" s="463"/>
      <c r="J127" s="418"/>
      <c r="K127" s="418"/>
      <c r="L127" s="462"/>
      <c r="M127" s="418"/>
      <c r="N127" s="418"/>
      <c r="O127" s="418"/>
      <c r="P127" s="418"/>
      <c r="Q127" s="418"/>
      <c r="R127" s="418"/>
      <c r="S127" s="418"/>
      <c r="T127" s="418"/>
      <c r="U127" s="418"/>
      <c r="AV127" s="550" t="s">
        <v>1938</v>
      </c>
      <c r="AW127" s="1691">
        <v>0.43</v>
      </c>
      <c r="AX127" s="1657">
        <v>268</v>
      </c>
      <c r="AY127" s="2099">
        <v>4.5999999999999999E-2</v>
      </c>
      <c r="AZ127" s="1691"/>
      <c r="BA127" s="1657"/>
      <c r="BB127" s="2096"/>
      <c r="BC127" s="1691"/>
      <c r="BD127" s="1657"/>
      <c r="BE127" s="2099"/>
    </row>
    <row r="128" spans="1:57" ht="13.5" customHeight="1" x14ac:dyDescent="0.2">
      <c r="A128" s="418"/>
      <c r="B128" s="418"/>
      <c r="C128" s="458"/>
      <c r="D128" s="458"/>
      <c r="E128" s="423"/>
      <c r="F128" s="460"/>
      <c r="G128" s="467"/>
      <c r="H128" s="418"/>
      <c r="I128" s="468"/>
      <c r="J128" s="460"/>
      <c r="K128" s="423"/>
      <c r="L128" s="469"/>
      <c r="M128" s="418"/>
      <c r="N128" s="418"/>
      <c r="O128" s="418"/>
      <c r="P128" s="418"/>
      <c r="Q128" s="418"/>
      <c r="R128" s="418"/>
      <c r="S128" s="418"/>
      <c r="T128" s="418"/>
      <c r="U128" s="418"/>
      <c r="AV128" s="2097" t="s">
        <v>2256</v>
      </c>
      <c r="AW128" s="1691">
        <v>0.4</v>
      </c>
      <c r="AX128" s="2098">
        <v>261</v>
      </c>
      <c r="AY128" s="2099">
        <v>5.5E-2</v>
      </c>
      <c r="AZ128" s="1691">
        <v>0.52</v>
      </c>
      <c r="BA128" s="2098">
        <v>323</v>
      </c>
      <c r="BB128" s="2099">
        <v>5.5E-2</v>
      </c>
      <c r="BC128" s="1691">
        <v>2</v>
      </c>
      <c r="BD128" s="2098">
        <v>1236</v>
      </c>
      <c r="BE128" s="2099">
        <v>0.06</v>
      </c>
    </row>
    <row r="129" spans="1:57" s="546" customFormat="1" ht="13.5" customHeight="1" x14ac:dyDescent="0.2">
      <c r="A129" s="418"/>
      <c r="B129" s="418"/>
      <c r="C129" s="458"/>
      <c r="D129" s="458"/>
      <c r="E129" s="423"/>
      <c r="F129" s="460"/>
      <c r="G129" s="467"/>
      <c r="H129" s="418"/>
      <c r="I129" s="468"/>
      <c r="J129" s="460"/>
      <c r="K129" s="423"/>
      <c r="L129" s="469"/>
      <c r="M129" s="418"/>
      <c r="N129" s="418"/>
      <c r="O129" s="418"/>
      <c r="P129" s="418"/>
      <c r="Q129" s="418"/>
      <c r="R129" s="418"/>
      <c r="S129" s="418"/>
      <c r="T129" s="418"/>
      <c r="U129" s="418"/>
      <c r="AP129"/>
      <c r="AQ129"/>
      <c r="AR129"/>
      <c r="AS129"/>
      <c r="AT129"/>
      <c r="AU129"/>
      <c r="AV129" s="2097" t="s">
        <v>2257</v>
      </c>
      <c r="AW129" s="1691"/>
      <c r="AX129" s="2098"/>
      <c r="AY129" s="2099"/>
      <c r="AZ129" s="1691">
        <v>0.56999999999999995</v>
      </c>
      <c r="BA129" s="2098">
        <v>343</v>
      </c>
      <c r="BB129" s="2099">
        <v>5.6000000000000001E-2</v>
      </c>
      <c r="BC129" s="1691">
        <v>2.06</v>
      </c>
      <c r="BD129" s="2098">
        <v>1249</v>
      </c>
      <c r="BE129" s="2099">
        <v>5.6000000000000001E-2</v>
      </c>
    </row>
    <row r="130" spans="1:57" ht="13.5" customHeight="1" x14ac:dyDescent="0.2">
      <c r="A130" s="418"/>
      <c r="B130" s="418"/>
      <c r="C130" s="458"/>
      <c r="D130" s="458"/>
      <c r="E130" s="423"/>
      <c r="F130" s="460"/>
      <c r="G130" s="467"/>
      <c r="H130" s="418"/>
      <c r="I130" s="468"/>
      <c r="J130" s="460"/>
      <c r="K130" s="423"/>
      <c r="L130" s="469"/>
      <c r="M130" s="418"/>
      <c r="N130" s="418"/>
      <c r="O130" s="418"/>
      <c r="P130" s="418"/>
      <c r="Q130" s="418"/>
      <c r="R130" s="418"/>
      <c r="S130" s="418"/>
      <c r="T130" s="418"/>
      <c r="U130" s="418"/>
      <c r="AV130" s="550" t="s">
        <v>2258</v>
      </c>
      <c r="AW130" s="1691">
        <v>0.4</v>
      </c>
      <c r="AX130" s="1657">
        <v>267</v>
      </c>
      <c r="AY130" s="2099">
        <v>5.0999999999999997E-2</v>
      </c>
      <c r="AZ130" s="1691">
        <v>0.55000000000000004</v>
      </c>
      <c r="BA130" s="1657">
        <v>334</v>
      </c>
      <c r="BB130" s="2099">
        <v>5.3999999999999999E-2</v>
      </c>
      <c r="BC130" s="1691">
        <v>2.0099999999999998</v>
      </c>
      <c r="BD130" s="1657">
        <v>1234</v>
      </c>
      <c r="BE130" s="2099">
        <v>5.3999999999999999E-2</v>
      </c>
    </row>
    <row r="131" spans="1:57" ht="13.5" customHeight="1" x14ac:dyDescent="0.2">
      <c r="A131" s="418"/>
      <c r="B131" s="418"/>
      <c r="C131" s="459"/>
      <c r="D131" s="459"/>
      <c r="E131" s="459"/>
      <c r="F131" s="418"/>
      <c r="G131" s="467"/>
      <c r="H131" s="418"/>
      <c r="I131" s="470"/>
      <c r="J131" s="459"/>
      <c r="K131" s="418"/>
      <c r="L131" s="467"/>
      <c r="M131" s="418"/>
      <c r="N131" s="418"/>
      <c r="O131" s="418"/>
      <c r="P131" s="418"/>
      <c r="Q131" s="418"/>
      <c r="R131" s="418"/>
      <c r="S131" s="418"/>
      <c r="T131" s="418"/>
      <c r="U131" s="418"/>
      <c r="AV131" s="550" t="s">
        <v>2259</v>
      </c>
      <c r="AW131" s="1691"/>
      <c r="AX131" s="1657"/>
      <c r="AY131" s="2099"/>
      <c r="AZ131" s="1691">
        <v>0.56999999999999995</v>
      </c>
      <c r="BA131" s="1657">
        <v>338</v>
      </c>
      <c r="BB131" s="2096"/>
      <c r="BC131" s="1691">
        <v>2.04</v>
      </c>
      <c r="BD131" s="1657">
        <v>1239</v>
      </c>
      <c r="BE131" s="2099"/>
    </row>
    <row r="132" spans="1:57" ht="13.5" customHeight="1" x14ac:dyDescent="0.2">
      <c r="A132" s="418"/>
      <c r="B132" s="418"/>
      <c r="C132" s="460"/>
      <c r="D132" s="460"/>
      <c r="E132" s="423"/>
      <c r="F132" s="460"/>
      <c r="G132" s="467"/>
      <c r="H132" s="418"/>
      <c r="I132" s="471"/>
      <c r="J132" s="460"/>
      <c r="K132" s="423"/>
      <c r="L132" s="469"/>
      <c r="M132" s="418"/>
      <c r="N132" s="418"/>
      <c r="O132" s="418"/>
      <c r="P132" s="418"/>
      <c r="Q132" s="418"/>
      <c r="R132" s="418"/>
      <c r="S132" s="418"/>
      <c r="T132" s="418"/>
      <c r="U132" s="418"/>
      <c r="AV132" s="2103" t="s">
        <v>1782</v>
      </c>
      <c r="AW132" s="2104" t="s">
        <v>144</v>
      </c>
      <c r="AX132" s="2104" t="s">
        <v>1979</v>
      </c>
      <c r="AY132" s="2105" t="s">
        <v>2261</v>
      </c>
      <c r="AZ132" s="2104" t="s">
        <v>828</v>
      </c>
      <c r="BA132" s="2104" t="s">
        <v>1979</v>
      </c>
      <c r="BB132" s="2105" t="s">
        <v>2260</v>
      </c>
      <c r="BC132" s="2104" t="s">
        <v>829</v>
      </c>
      <c r="BD132" s="2104" t="s">
        <v>830</v>
      </c>
      <c r="BE132" s="2105" t="s">
        <v>827</v>
      </c>
    </row>
    <row r="133" spans="1:57" ht="13.5" customHeight="1" x14ac:dyDescent="0.2">
      <c r="A133" s="418"/>
      <c r="B133" s="418"/>
      <c r="C133" s="418"/>
      <c r="D133" s="418"/>
      <c r="E133" s="418"/>
      <c r="F133" s="460"/>
      <c r="G133" s="467"/>
      <c r="H133" s="418"/>
      <c r="I133" s="463"/>
      <c r="J133" s="418"/>
      <c r="K133" s="460"/>
      <c r="L133" s="469"/>
      <c r="M133" s="418"/>
      <c r="N133" s="418"/>
      <c r="O133" s="418"/>
      <c r="P133" s="418"/>
      <c r="Q133" s="418"/>
      <c r="R133" s="418"/>
      <c r="S133" s="418"/>
      <c r="T133" s="418"/>
      <c r="U133" s="418"/>
    </row>
    <row r="134" spans="1:57" ht="13.5" customHeight="1" x14ac:dyDescent="0.2">
      <c r="A134" s="418"/>
      <c r="B134" s="418"/>
      <c r="C134" s="418"/>
      <c r="D134" s="418"/>
      <c r="E134" s="418"/>
      <c r="F134" s="460"/>
      <c r="G134" s="467"/>
      <c r="H134" s="418"/>
      <c r="I134" s="463"/>
      <c r="J134" s="418"/>
      <c r="K134" s="460"/>
      <c r="L134" s="469"/>
      <c r="M134" s="418"/>
      <c r="N134" s="418"/>
      <c r="O134" s="418"/>
      <c r="P134" s="418"/>
      <c r="Q134" s="418"/>
      <c r="R134" s="418"/>
      <c r="S134" s="418"/>
      <c r="T134" s="418"/>
      <c r="U134" s="418"/>
    </row>
    <row r="135" spans="1:57" ht="13.5" customHeight="1" x14ac:dyDescent="0.2">
      <c r="A135" s="418"/>
      <c r="B135" s="418"/>
      <c r="C135" s="418"/>
      <c r="D135" s="418"/>
      <c r="E135" s="418"/>
      <c r="F135" s="460"/>
      <c r="G135" s="467"/>
      <c r="H135" s="418"/>
      <c r="I135" s="463"/>
      <c r="J135" s="418"/>
      <c r="K135" s="460"/>
      <c r="L135" s="469"/>
      <c r="M135" s="418"/>
      <c r="N135" s="418"/>
      <c r="O135" s="418"/>
      <c r="P135" s="418"/>
      <c r="Q135" s="418"/>
      <c r="R135" s="418"/>
      <c r="S135" s="418"/>
      <c r="T135" s="418"/>
      <c r="U135" s="418"/>
    </row>
    <row r="136" spans="1:57" ht="13.5" customHeight="1" x14ac:dyDescent="0.2">
      <c r="A136" s="418"/>
      <c r="B136" s="418"/>
      <c r="C136" s="458"/>
      <c r="D136" s="458"/>
      <c r="E136" s="423"/>
      <c r="F136" s="460"/>
      <c r="G136" s="467"/>
      <c r="H136" s="418"/>
      <c r="I136" s="468"/>
      <c r="J136" s="460"/>
      <c r="K136" s="423"/>
      <c r="L136" s="469"/>
      <c r="M136" s="418"/>
      <c r="N136" s="418"/>
      <c r="O136" s="418"/>
      <c r="P136" s="418"/>
      <c r="Q136" s="418"/>
      <c r="R136" s="418"/>
      <c r="S136" s="418"/>
      <c r="T136" s="418"/>
      <c r="U136" s="418"/>
    </row>
    <row r="137" spans="1:57" ht="13.5" customHeight="1" x14ac:dyDescent="0.2">
      <c r="A137" s="418"/>
      <c r="B137" s="418"/>
      <c r="C137" s="459"/>
      <c r="D137" s="459"/>
      <c r="E137" s="459"/>
      <c r="F137" s="418"/>
      <c r="G137" s="467"/>
      <c r="H137" s="418"/>
      <c r="I137" s="470"/>
      <c r="J137" s="459"/>
      <c r="K137" s="418"/>
      <c r="L137" s="467"/>
      <c r="M137" s="418"/>
      <c r="N137" s="418"/>
      <c r="O137" s="418"/>
      <c r="P137" s="418"/>
      <c r="Q137" s="418"/>
      <c r="R137" s="418"/>
      <c r="S137" s="418"/>
      <c r="T137" s="418"/>
      <c r="U137" s="418"/>
    </row>
    <row r="138" spans="1:57" ht="13.5" customHeight="1" x14ac:dyDescent="0.2">
      <c r="A138" s="418"/>
      <c r="B138" s="418"/>
      <c r="C138" s="460"/>
      <c r="D138" s="460"/>
      <c r="E138" s="423"/>
      <c r="F138" s="460"/>
      <c r="G138" s="467"/>
      <c r="H138" s="418"/>
      <c r="I138" s="471"/>
      <c r="J138" s="460"/>
      <c r="K138" s="423"/>
      <c r="L138" s="469"/>
      <c r="M138" s="418"/>
      <c r="N138" s="418"/>
      <c r="O138" s="418"/>
      <c r="P138" s="418"/>
      <c r="Q138" s="418"/>
      <c r="R138" s="418"/>
      <c r="S138" s="418"/>
      <c r="T138" s="418"/>
      <c r="U138" s="418"/>
      <c r="V138" s="418"/>
      <c r="W138" s="418"/>
      <c r="X138" s="418"/>
      <c r="Y138" s="418"/>
      <c r="Z138" s="418"/>
      <c r="AA138" s="418"/>
      <c r="AB138" s="418"/>
      <c r="AC138" s="418"/>
      <c r="AD138" s="418"/>
      <c r="AE138" s="418"/>
      <c r="AF138" s="418"/>
      <c r="AG138" s="418"/>
      <c r="AH138" s="418"/>
      <c r="AI138" s="418"/>
      <c r="AJ138" s="418"/>
      <c r="AK138" s="418"/>
      <c r="AL138" s="418"/>
      <c r="AM138" s="418"/>
      <c r="AN138" s="418"/>
      <c r="AO138" s="418"/>
    </row>
    <row r="173" ht="5.25" customHeight="1" x14ac:dyDescent="0.2"/>
    <row r="176" ht="5.25" customHeight="1" x14ac:dyDescent="0.2"/>
    <row r="182" ht="5.25" customHeight="1" x14ac:dyDescent="0.2"/>
    <row r="188" ht="4.5" customHeight="1" x14ac:dyDescent="0.2"/>
  </sheetData>
  <mergeCells count="5">
    <mergeCell ref="BC125:BE125"/>
    <mergeCell ref="AA81:AC81"/>
    <mergeCell ref="AM81:AO81"/>
    <mergeCell ref="AW125:AY125"/>
    <mergeCell ref="AZ125:BB125"/>
  </mergeCells>
  <phoneticPr fontId="57" type="noConversion"/>
  <pageMargins left="0.5" right="0.5" top="0.5" bottom="0.5" header="0.5" footer="0.5"/>
  <pageSetup scale="74" orientation="portrait" horizontalDpi="1200" verticalDpi="1200" r:id="rId1"/>
  <headerFooter alignWithMargins="0"/>
  <rowBreaks count="1" manualBreakCount="1">
    <brk id="53" max="16383" man="1"/>
  </rowBreak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24"/>
    <pageSetUpPr autoPageBreaks="0"/>
  </sheetPr>
  <dimension ref="A1:F12"/>
  <sheetViews>
    <sheetView showGridLines="0" showZeros="0" zoomScale="160" workbookViewId="0"/>
  </sheetViews>
  <sheetFormatPr defaultRowHeight="11.25" x14ac:dyDescent="0.2"/>
  <cols>
    <col min="1" max="1" width="25.83203125" customWidth="1"/>
    <col min="2" max="6" width="14.83203125" customWidth="1"/>
    <col min="7" max="7" width="10.6640625" bestFit="1" customWidth="1"/>
    <col min="8" max="20" width="6.6640625" customWidth="1"/>
  </cols>
  <sheetData>
    <row r="1" spans="1:6" x14ac:dyDescent="0.2">
      <c r="A1" s="566"/>
      <c r="B1" s="566"/>
      <c r="C1" s="3948" t="s">
        <v>1250</v>
      </c>
      <c r="D1" s="566"/>
      <c r="E1" s="567"/>
      <c r="F1" s="567"/>
    </row>
    <row r="2" spans="1:6" x14ac:dyDescent="0.2">
      <c r="A2" s="568"/>
      <c r="B2" s="568"/>
      <c r="C2" s="3948"/>
      <c r="D2" s="568"/>
      <c r="E2" s="567"/>
      <c r="F2" s="567"/>
    </row>
    <row r="3" spans="1:6" x14ac:dyDescent="0.2">
      <c r="A3" s="569"/>
      <c r="B3" s="570"/>
      <c r="C3" s="3948"/>
      <c r="D3" s="570"/>
      <c r="E3" s="567"/>
      <c r="F3" s="567"/>
    </row>
    <row r="4" spans="1:6" x14ac:dyDescent="0.2">
      <c r="A4" s="566"/>
      <c r="B4" s="566"/>
      <c r="C4" s="3948"/>
      <c r="D4" s="566"/>
      <c r="E4" s="567"/>
      <c r="F4" s="567"/>
    </row>
    <row r="5" spans="1:6" ht="22.5" x14ac:dyDescent="0.2">
      <c r="A5" s="571" t="s">
        <v>2068</v>
      </c>
      <c r="B5" s="572" t="s">
        <v>2069</v>
      </c>
      <c r="C5" s="573" t="s">
        <v>2070</v>
      </c>
      <c r="D5" s="572" t="s">
        <v>498</v>
      </c>
      <c r="E5" s="572" t="s">
        <v>2071</v>
      </c>
      <c r="F5" s="574" t="s">
        <v>2072</v>
      </c>
    </row>
    <row r="6" spans="1:6" ht="22.5" x14ac:dyDescent="0.2">
      <c r="A6" s="575" t="s">
        <v>2073</v>
      </c>
      <c r="B6" s="576">
        <f ca="1">ROUND((+B9-C8-C7),0)</f>
        <v>69</v>
      </c>
      <c r="C6" s="577">
        <f ca="1">B6</f>
        <v>69</v>
      </c>
      <c r="D6" s="578">
        <f ca="1">+D9</f>
        <v>126</v>
      </c>
      <c r="E6" s="579"/>
      <c r="F6" s="580"/>
    </row>
    <row r="7" spans="1:6" ht="22.5" x14ac:dyDescent="0.2">
      <c r="A7" s="581" t="s">
        <v>2392</v>
      </c>
      <c r="B7" s="582"/>
      <c r="C7" s="583">
        <f ca="1">-'PT Impact'!H41</f>
        <v>45.485262679509148</v>
      </c>
      <c r="D7" s="584">
        <f t="shared" ref="D7:D12" ca="1" si="0">$D$6</f>
        <v>126</v>
      </c>
      <c r="E7" s="584">
        <f ca="1">SUM(OFFSET(E7,-1,0,1,1),OFFSET(E7,-1,-2,1,1))</f>
        <v>69</v>
      </c>
      <c r="F7" s="585">
        <f ca="1">C7</f>
        <v>45.485262679509148</v>
      </c>
    </row>
    <row r="8" spans="1:6" ht="22.5" x14ac:dyDescent="0.2">
      <c r="A8" s="581" t="s">
        <v>2401</v>
      </c>
      <c r="B8" s="586"/>
      <c r="C8" s="583">
        <f ca="1">-('PT Impact'!H31+'PT Impact'!H36+'PT Impact'!H39)</f>
        <v>11.641680982342473</v>
      </c>
      <c r="D8" s="584">
        <f t="shared" ca="1" si="0"/>
        <v>126</v>
      </c>
      <c r="E8" s="584">
        <f ca="1">SUM(OFFSET(E8,-1,0,1,1),OFFSET(E8,-1,-2,1,1))</f>
        <v>114.48526267950915</v>
      </c>
      <c r="F8" s="585">
        <f ca="1">C8</f>
        <v>11.641680982342473</v>
      </c>
    </row>
    <row r="9" spans="1:6" ht="22.5" x14ac:dyDescent="0.2">
      <c r="A9" s="587" t="s">
        <v>2074</v>
      </c>
      <c r="B9" s="588">
        <f ca="1">ROUND('EBITDA Val'!G22,0)</f>
        <v>126</v>
      </c>
      <c r="C9" s="589"/>
      <c r="D9" s="588">
        <f ca="1">B9</f>
        <v>126</v>
      </c>
      <c r="E9" s="590"/>
      <c r="F9" s="591"/>
    </row>
    <row r="10" spans="1:6" ht="22.5" x14ac:dyDescent="0.2">
      <c r="A10" s="581" t="s">
        <v>2400</v>
      </c>
      <c r="B10" s="592"/>
      <c r="C10" s="593">
        <f ca="1">+'PT Impact'!H12+'PT Impact'!H17+'PT Impact'!H20</f>
        <v>23.473700867933857</v>
      </c>
      <c r="D10" s="588">
        <f ca="1">$D$6</f>
        <v>126</v>
      </c>
      <c r="E10" s="588">
        <f ca="1">SUM(OFFSET(E10,-1,-3,1,1))</f>
        <v>126</v>
      </c>
      <c r="F10" s="591">
        <f ca="1">C10</f>
        <v>23.473700867933857</v>
      </c>
    </row>
    <row r="11" spans="1:6" ht="22.5" x14ac:dyDescent="0.2">
      <c r="A11" s="581" t="s">
        <v>2393</v>
      </c>
      <c r="B11" s="592"/>
      <c r="C11" s="593">
        <f ca="1">+'PT Impact'!H22</f>
        <v>26.94797888232717</v>
      </c>
      <c r="D11" s="588">
        <f t="shared" ca="1" si="0"/>
        <v>126</v>
      </c>
      <c r="E11" s="588">
        <f ca="1">SUM(OFFSET(E11,-1,0,1,1),OFFSET(E11,-1,-2,1,1))</f>
        <v>149.47370086793387</v>
      </c>
      <c r="F11" s="591">
        <f ca="1">C11</f>
        <v>26.94797888232717</v>
      </c>
    </row>
    <row r="12" spans="1:6" ht="22.5" x14ac:dyDescent="0.2">
      <c r="A12" s="594" t="s">
        <v>2075</v>
      </c>
      <c r="B12" s="595">
        <f ca="1">ROUND((+B9+SUM(C10:C11)),0)</f>
        <v>176</v>
      </c>
      <c r="C12" s="596"/>
      <c r="D12" s="596">
        <f t="shared" ca="1" si="0"/>
        <v>126</v>
      </c>
      <c r="E12" s="597"/>
      <c r="F12" s="598"/>
    </row>
  </sheetData>
  <mergeCells count="1">
    <mergeCell ref="C1:C4"/>
  </mergeCells>
  <phoneticPr fontId="18" type="noConversion"/>
  <pageMargins left="0.75" right="0.75" top="1" bottom="1" header="0.5" footer="0.5"/>
  <pageSetup orientation="landscape" horizontalDpi="1200" verticalDpi="1200" r:id="rId1"/>
  <headerFooter alignWithMargins="0"/>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autoPageBreaks="0"/>
  </sheetPr>
  <dimension ref="A1:BE188"/>
  <sheetViews>
    <sheetView zoomScale="85" zoomScaleNormal="85" zoomScaleSheetLayoutView="85" workbookViewId="0"/>
  </sheetViews>
  <sheetFormatPr defaultColWidth="12" defaultRowHeight="13.5" customHeight="1" x14ac:dyDescent="0.2"/>
  <cols>
    <col min="1" max="1" width="36.1640625" customWidth="1"/>
    <col min="2" max="2" width="2" customWidth="1"/>
    <col min="3" max="4" width="12" customWidth="1"/>
    <col min="5" max="5" width="2" customWidth="1"/>
    <col min="6" max="7" width="10" customWidth="1"/>
    <col min="8" max="8" width="5.33203125" customWidth="1"/>
    <col min="9" max="9" width="12" customWidth="1"/>
    <col min="10" max="10" width="2" customWidth="1"/>
    <col min="11" max="12" width="10" customWidth="1"/>
    <col min="13" max="13" width="2.33203125" customWidth="1"/>
    <col min="14" max="14" width="12" customWidth="1"/>
    <col min="15" max="15" width="2.83203125" customWidth="1"/>
    <col min="16" max="16" width="26.83203125" customWidth="1"/>
    <col min="17" max="18" width="13.6640625" customWidth="1"/>
    <col min="19" max="19" width="1.83203125" customWidth="1"/>
    <col min="20" max="20" width="13.6640625" customWidth="1"/>
    <col min="21" max="21" width="2.33203125" customWidth="1"/>
    <col min="22" max="22" width="34.5" customWidth="1"/>
    <col min="23" max="23" width="9.6640625" hidden="1" customWidth="1"/>
    <col min="24" max="24" width="2.1640625" hidden="1" customWidth="1"/>
    <col min="25" max="25" width="9.6640625" hidden="1" customWidth="1"/>
    <col min="26" max="26" width="2" hidden="1" customWidth="1"/>
    <col min="27" max="27" width="9.6640625" customWidth="1"/>
    <col min="28" max="28" width="1.5" customWidth="1"/>
    <col min="29" max="29" width="9.6640625" customWidth="1"/>
    <col min="30" max="30" width="2" customWidth="1"/>
    <col min="31" max="31" width="9.6640625" customWidth="1"/>
    <col min="32" max="32" width="1.5" customWidth="1"/>
    <col min="33" max="33" width="9.6640625" customWidth="1"/>
    <col min="34" max="34" width="2" customWidth="1"/>
    <col min="35" max="35" width="9.6640625" hidden="1" customWidth="1"/>
    <col min="36" max="36" width="1.5" hidden="1" customWidth="1"/>
    <col min="37" max="37" width="9.6640625" hidden="1" customWidth="1"/>
    <col min="38" max="38" width="2" hidden="1" customWidth="1"/>
    <col min="39" max="39" width="9.6640625" customWidth="1"/>
    <col min="40" max="40" width="1.5" customWidth="1"/>
    <col min="41" max="41" width="9.6640625" customWidth="1"/>
    <col min="42" max="42" width="13.1640625" customWidth="1"/>
    <col min="43" max="43" width="28" customWidth="1"/>
    <col min="44" max="44" width="12" bestFit="1" customWidth="1"/>
    <col min="45" max="45" width="1.83203125" customWidth="1"/>
    <col min="46" max="46" width="12.5" bestFit="1" customWidth="1"/>
    <col min="47" max="47" width="1.5" customWidth="1"/>
    <col min="48" max="57" width="12.5" customWidth="1"/>
  </cols>
  <sheetData>
    <row r="1" spans="1:47" ht="13.5" customHeight="1" x14ac:dyDescent="0.2">
      <c r="A1" s="362" t="s">
        <v>1490</v>
      </c>
      <c r="B1" s="346"/>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345"/>
      <c r="AG1" s="345"/>
      <c r="AH1" s="345"/>
      <c r="AI1" s="345"/>
      <c r="AJ1" s="345"/>
      <c r="AK1" s="345"/>
      <c r="AL1" s="345"/>
      <c r="AM1" s="345"/>
      <c r="AN1" s="345"/>
      <c r="AO1" s="345"/>
      <c r="AP1" s="345"/>
      <c r="AQ1" s="345"/>
      <c r="AR1" s="345"/>
      <c r="AS1" s="345"/>
      <c r="AT1" s="345"/>
      <c r="AU1" s="345"/>
    </row>
    <row r="2" spans="1:47" ht="13.5" customHeight="1" x14ac:dyDescent="0.2">
      <c r="A2" s="362" t="s">
        <v>1639</v>
      </c>
      <c r="B2" s="346"/>
      <c r="C2" s="619"/>
      <c r="D2" s="345"/>
      <c r="E2" s="345"/>
      <c r="F2" s="345"/>
      <c r="G2" s="345"/>
      <c r="H2" s="345"/>
      <c r="I2" s="619"/>
      <c r="J2" s="345"/>
      <c r="K2" s="345"/>
      <c r="L2" s="345"/>
      <c r="M2" s="345"/>
      <c r="N2" s="345"/>
      <c r="O2" s="345"/>
      <c r="P2" s="345"/>
      <c r="Q2" s="345"/>
      <c r="R2" s="345"/>
      <c r="S2" s="345"/>
      <c r="T2" s="345"/>
      <c r="U2" s="346"/>
      <c r="V2" s="345"/>
      <c r="W2" s="345"/>
      <c r="X2" s="345"/>
      <c r="Y2" s="345"/>
      <c r="Z2" s="345"/>
      <c r="AA2" s="345"/>
      <c r="AB2" s="345"/>
      <c r="AC2" s="345"/>
      <c r="AD2" s="345"/>
      <c r="AE2" s="345"/>
      <c r="AF2" s="345"/>
      <c r="AG2" s="345"/>
      <c r="AH2" s="345"/>
      <c r="AI2" s="345"/>
      <c r="AJ2" s="345"/>
      <c r="AK2" s="345"/>
      <c r="AL2" s="345"/>
      <c r="AM2" s="345"/>
      <c r="AN2" s="345"/>
      <c r="AO2" s="345"/>
      <c r="AP2" s="345"/>
      <c r="AQ2" s="345"/>
      <c r="AR2" s="345"/>
      <c r="AS2" s="345"/>
      <c r="AT2" s="345"/>
      <c r="AU2" s="345"/>
    </row>
    <row r="3" spans="1:47" ht="13.5" customHeight="1" x14ac:dyDescent="0.2">
      <c r="A3" s="346"/>
      <c r="B3" s="346"/>
      <c r="C3" s="346"/>
      <c r="D3" s="346"/>
      <c r="E3" s="346"/>
      <c r="F3" s="346"/>
      <c r="G3" s="346"/>
      <c r="H3" s="346"/>
      <c r="I3" s="346"/>
      <c r="J3" s="346"/>
      <c r="K3" s="346"/>
      <c r="L3" s="346"/>
      <c r="M3" s="346"/>
      <c r="N3" s="345"/>
      <c r="O3" s="345"/>
      <c r="P3" s="345"/>
      <c r="Q3" s="345"/>
      <c r="R3" s="345"/>
      <c r="S3" s="345"/>
      <c r="T3" s="345"/>
      <c r="U3" s="346"/>
      <c r="V3" s="345"/>
      <c r="W3" s="345"/>
      <c r="X3" s="345"/>
      <c r="Y3" s="345"/>
      <c r="Z3" s="345"/>
      <c r="AA3" s="345"/>
      <c r="AB3" s="345"/>
      <c r="AC3" s="345"/>
      <c r="AD3" s="345"/>
      <c r="AE3" s="345"/>
      <c r="AF3" s="345"/>
      <c r="AG3" s="345"/>
      <c r="AH3" s="345"/>
      <c r="AI3" s="345"/>
      <c r="AJ3" s="345"/>
      <c r="AK3" s="345"/>
      <c r="AL3" s="345"/>
      <c r="AM3" s="345"/>
      <c r="AN3" s="345"/>
      <c r="AO3" s="345"/>
      <c r="AP3" s="345"/>
      <c r="AQ3" s="345"/>
      <c r="AR3" s="345"/>
      <c r="AS3" s="345"/>
      <c r="AT3" s="345"/>
      <c r="AU3" s="345"/>
    </row>
    <row r="4" spans="1:47" ht="13.5" customHeight="1" x14ac:dyDescent="0.2">
      <c r="A4" s="275" t="s">
        <v>91</v>
      </c>
      <c r="B4" s="346"/>
      <c r="C4" s="346"/>
      <c r="D4" s="346"/>
      <c r="E4" s="346"/>
      <c r="F4" s="346"/>
      <c r="G4" s="346"/>
      <c r="H4" s="346"/>
      <c r="I4" s="346"/>
      <c r="J4" s="346"/>
      <c r="K4" s="346"/>
      <c r="L4" s="346"/>
      <c r="M4" s="346"/>
      <c r="N4" s="345"/>
      <c r="O4" s="345"/>
      <c r="P4" s="345"/>
      <c r="Q4" s="345"/>
      <c r="R4" s="345"/>
      <c r="S4" s="345"/>
      <c r="T4" s="345"/>
      <c r="U4" s="346"/>
      <c r="V4" s="345"/>
      <c r="W4" s="345"/>
      <c r="X4" s="345"/>
      <c r="Y4" s="345"/>
      <c r="Z4" s="345"/>
      <c r="AA4" s="345"/>
      <c r="AB4" s="345"/>
      <c r="AC4" s="345"/>
      <c r="AD4" s="345"/>
      <c r="AE4" s="345"/>
      <c r="AF4" s="345"/>
      <c r="AG4" s="345"/>
      <c r="AH4" s="345"/>
      <c r="AI4" s="345"/>
      <c r="AJ4" s="345"/>
      <c r="AK4" s="345"/>
      <c r="AL4" s="345"/>
      <c r="AM4" s="345"/>
      <c r="AN4" s="345"/>
      <c r="AO4" s="345"/>
      <c r="AP4" s="345"/>
      <c r="AQ4" s="345"/>
      <c r="AR4" s="345"/>
      <c r="AS4" s="345"/>
      <c r="AT4" s="345"/>
      <c r="AU4" s="345"/>
    </row>
    <row r="5" spans="1:47" ht="13.5" customHeight="1" x14ac:dyDescent="0.2">
      <c r="A5" s="418"/>
      <c r="B5" s="418"/>
      <c r="C5" s="815" t="s">
        <v>1149</v>
      </c>
      <c r="D5" s="815"/>
      <c r="E5" s="815"/>
      <c r="F5" s="815"/>
      <c r="G5" s="815"/>
      <c r="H5" s="374"/>
      <c r="I5" s="815" t="s">
        <v>1755</v>
      </c>
      <c r="J5" s="815"/>
      <c r="K5" s="815"/>
      <c r="L5" s="815"/>
      <c r="M5" s="346"/>
      <c r="N5" s="1143" t="s">
        <v>1141</v>
      </c>
      <c r="O5" s="347"/>
      <c r="P5" s="345"/>
      <c r="Q5" s="345"/>
      <c r="R5" s="345"/>
      <c r="S5" s="345"/>
      <c r="T5" s="345"/>
      <c r="U5" s="346"/>
      <c r="V5" s="345"/>
      <c r="W5" s="345"/>
      <c r="X5" s="345"/>
      <c r="Y5" s="345"/>
      <c r="Z5" s="345"/>
      <c r="AA5" s="345"/>
      <c r="AB5" s="345"/>
      <c r="AC5" s="345"/>
      <c r="AD5" s="345"/>
      <c r="AE5" s="345"/>
      <c r="AF5" s="345"/>
      <c r="AG5" s="345"/>
      <c r="AH5" s="345"/>
      <c r="AI5" s="345"/>
      <c r="AJ5" s="345"/>
      <c r="AK5" s="345"/>
      <c r="AL5" s="345"/>
      <c r="AM5" s="345"/>
      <c r="AN5" s="345"/>
      <c r="AO5" s="345"/>
      <c r="AP5" s="345"/>
      <c r="AQ5" s="345"/>
      <c r="AR5" s="345"/>
      <c r="AS5" s="345"/>
      <c r="AT5" s="345"/>
      <c r="AU5" s="345"/>
    </row>
    <row r="6" spans="1:47" ht="13.5" customHeight="1" x14ac:dyDescent="0.2">
      <c r="A6" s="418"/>
      <c r="B6" s="418"/>
      <c r="C6" s="822"/>
      <c r="D6" s="418"/>
      <c r="E6" s="418"/>
      <c r="F6" s="815" t="s">
        <v>241</v>
      </c>
      <c r="G6" s="815"/>
      <c r="H6" s="418"/>
      <c r="I6" s="822"/>
      <c r="J6" s="418"/>
      <c r="K6" s="1376" t="s">
        <v>241</v>
      </c>
      <c r="L6" s="1376"/>
      <c r="M6" s="346"/>
      <c r="N6" s="345"/>
      <c r="O6" s="345"/>
      <c r="P6" s="345"/>
      <c r="Q6" s="345"/>
      <c r="R6" s="345"/>
      <c r="S6" s="345"/>
      <c r="T6" s="345"/>
      <c r="U6" s="346"/>
      <c r="V6" s="345"/>
      <c r="W6" s="345"/>
      <c r="X6" s="345"/>
      <c r="Y6" s="345"/>
      <c r="Z6" s="345"/>
      <c r="AA6" s="345"/>
      <c r="AB6" s="345"/>
      <c r="AC6" s="345"/>
      <c r="AD6" s="345"/>
      <c r="AE6" s="345"/>
      <c r="AF6" s="345"/>
      <c r="AG6" s="345"/>
      <c r="AH6" s="345"/>
      <c r="AI6" s="345"/>
      <c r="AJ6" s="345"/>
      <c r="AK6" s="345"/>
      <c r="AL6" s="345"/>
      <c r="AM6" s="345"/>
      <c r="AN6" s="345"/>
      <c r="AO6" s="345"/>
      <c r="AP6" s="345"/>
      <c r="AQ6" s="345"/>
      <c r="AR6" s="345"/>
      <c r="AS6" s="345"/>
      <c r="AT6" s="345"/>
      <c r="AU6" s="345"/>
    </row>
    <row r="7" spans="1:47" ht="13.5" customHeight="1" x14ac:dyDescent="0.2">
      <c r="A7" s="418"/>
      <c r="B7" s="418"/>
      <c r="C7" s="1127" t="s">
        <v>1724</v>
      </c>
      <c r="D7" s="1126" t="s">
        <v>288</v>
      </c>
      <c r="E7" s="456"/>
      <c r="F7" s="1126" t="s">
        <v>1756</v>
      </c>
      <c r="G7" s="1126" t="s">
        <v>575</v>
      </c>
      <c r="H7" s="418"/>
      <c r="I7" s="1127" t="s">
        <v>492</v>
      </c>
      <c r="J7" s="456"/>
      <c r="K7" s="1126" t="s">
        <v>1756</v>
      </c>
      <c r="L7" s="1126" t="s">
        <v>575</v>
      </c>
      <c r="M7" s="347"/>
      <c r="N7" s="347"/>
      <c r="O7" s="347"/>
      <c r="P7" s="347"/>
      <c r="Q7" s="347"/>
      <c r="R7" s="347"/>
      <c r="S7" s="347"/>
      <c r="T7" s="347"/>
      <c r="U7" s="346"/>
      <c r="V7" s="345"/>
      <c r="W7" s="345"/>
      <c r="X7" s="345"/>
      <c r="Y7" s="345"/>
      <c r="Z7" s="345"/>
      <c r="AA7" s="345"/>
      <c r="AB7" s="345"/>
      <c r="AC7" s="345"/>
      <c r="AD7" s="345"/>
      <c r="AE7" s="345"/>
      <c r="AF7" s="345"/>
      <c r="AG7" s="345"/>
      <c r="AH7" s="345"/>
      <c r="AI7" s="345"/>
      <c r="AJ7" s="345"/>
      <c r="AK7" s="345"/>
      <c r="AL7" s="345"/>
      <c r="AM7" s="345"/>
      <c r="AN7" s="345"/>
      <c r="AO7" s="345"/>
      <c r="AP7" s="345"/>
      <c r="AQ7" s="345"/>
      <c r="AR7" s="345"/>
      <c r="AS7" s="345"/>
      <c r="AT7" s="345"/>
      <c r="AU7" s="345"/>
    </row>
    <row r="8" spans="1:47" ht="13.5" customHeight="1" x14ac:dyDescent="0.2">
      <c r="A8" s="362" t="s">
        <v>125</v>
      </c>
      <c r="B8" s="346"/>
      <c r="C8" s="348"/>
      <c r="D8" s="346"/>
      <c r="E8" s="346"/>
      <c r="F8" s="346"/>
      <c r="G8" s="346"/>
      <c r="H8" s="346"/>
      <c r="I8" s="348"/>
      <c r="J8" s="346"/>
      <c r="K8" s="346"/>
      <c r="L8" s="346"/>
      <c r="M8" s="346"/>
      <c r="N8" s="345"/>
      <c r="O8" s="345"/>
      <c r="P8" s="345"/>
      <c r="Q8" s="345"/>
      <c r="R8" s="345"/>
      <c r="S8" s="345"/>
      <c r="T8" s="345"/>
      <c r="U8" s="346"/>
      <c r="V8" s="345"/>
      <c r="W8" s="345"/>
      <c r="X8" s="345"/>
      <c r="Y8" s="345"/>
      <c r="Z8" s="345"/>
      <c r="AA8" s="345"/>
      <c r="AB8" s="345"/>
      <c r="AC8" s="345"/>
      <c r="AD8" s="345"/>
      <c r="AE8" s="345"/>
      <c r="AF8" s="345"/>
      <c r="AG8" s="345"/>
      <c r="AH8" s="345"/>
      <c r="AI8" s="345"/>
      <c r="AJ8" s="345"/>
      <c r="AK8" s="345"/>
      <c r="AL8" s="345"/>
      <c r="AM8" s="345"/>
      <c r="AN8" s="345"/>
      <c r="AO8" s="345"/>
      <c r="AP8" s="345"/>
      <c r="AQ8" s="345"/>
      <c r="AR8" s="345"/>
      <c r="AS8" s="345"/>
      <c r="AT8" s="345"/>
      <c r="AU8" s="345"/>
    </row>
    <row r="9" spans="1:47" ht="13.5" customHeight="1" x14ac:dyDescent="0.2">
      <c r="A9" s="865" t="s">
        <v>1594</v>
      </c>
      <c r="B9" s="346"/>
      <c r="C9" s="2138">
        <f>C52</f>
        <v>407</v>
      </c>
      <c r="D9" s="532">
        <f>D52</f>
        <v>342</v>
      </c>
      <c r="E9" s="532"/>
      <c r="F9" s="532">
        <f>C9-D9</f>
        <v>65</v>
      </c>
      <c r="G9" s="354">
        <f>IF(D9=0,0,C9/D9-1)</f>
        <v>0.19005847953216382</v>
      </c>
      <c r="H9" s="346"/>
      <c r="I9" s="2148">
        <v>413.07225280431072</v>
      </c>
      <c r="J9" s="532"/>
      <c r="K9" s="532">
        <f>C9-I9</f>
        <v>-6.0722528043107218</v>
      </c>
      <c r="L9" s="1289">
        <f>IF(I9=0,"NM",C9/I9-1)</f>
        <v>-1.4700219545337956E-2</v>
      </c>
      <c r="M9" s="346"/>
      <c r="N9" s="345"/>
      <c r="O9" s="345"/>
      <c r="P9" s="345"/>
      <c r="Q9" s="345"/>
      <c r="R9" s="345"/>
      <c r="S9" s="345"/>
      <c r="T9" s="345"/>
      <c r="U9" s="346"/>
      <c r="V9" s="345"/>
      <c r="W9" s="345"/>
      <c r="X9" s="345"/>
      <c r="Y9" s="345"/>
      <c r="Z9" s="345"/>
      <c r="AA9" s="345"/>
      <c r="AB9" s="345"/>
      <c r="AC9" s="345"/>
      <c r="AD9" s="345"/>
      <c r="AE9" s="345"/>
      <c r="AF9" s="345"/>
      <c r="AG9" s="345"/>
      <c r="AH9" s="345"/>
      <c r="AI9" s="345"/>
      <c r="AJ9" s="345"/>
      <c r="AK9" s="345"/>
      <c r="AL9" s="345"/>
      <c r="AM9" s="345"/>
      <c r="AN9" s="345"/>
      <c r="AO9" s="345"/>
      <c r="AP9" s="345"/>
      <c r="AQ9" s="345"/>
      <c r="AR9" s="345"/>
      <c r="AS9" s="345"/>
      <c r="AT9" s="345"/>
      <c r="AU9" s="345"/>
    </row>
    <row r="10" spans="1:47" ht="13.5" customHeight="1" x14ac:dyDescent="0.2">
      <c r="A10" s="865" t="s">
        <v>734</v>
      </c>
      <c r="B10" s="346"/>
      <c r="C10" s="2138">
        <f>+MAR!BW11</f>
        <v>246</v>
      </c>
      <c r="D10" s="532">
        <f>+MAR!BR11</f>
        <v>264</v>
      </c>
      <c r="E10" s="2139"/>
      <c r="F10" s="532">
        <f>C10-D10</f>
        <v>-18</v>
      </c>
      <c r="G10" s="354">
        <f>IF(D10=0,0,C10/D10-1)</f>
        <v>-6.8181818181818232E-2</v>
      </c>
      <c r="H10" s="349"/>
      <c r="I10" s="2148">
        <v>242.88</v>
      </c>
      <c r="J10" s="2139"/>
      <c r="K10" s="532">
        <f>C10-I10</f>
        <v>3.1200000000000045</v>
      </c>
      <c r="L10" s="1289">
        <f>IF(I10=0,"NM",C10/I10-1)</f>
        <v>1.2845849802371578E-2</v>
      </c>
      <c r="M10" s="346"/>
      <c r="N10" s="345"/>
      <c r="O10" s="345"/>
      <c r="P10" s="345"/>
      <c r="Q10" s="345"/>
      <c r="R10" s="345"/>
      <c r="S10" s="345"/>
      <c r="T10" s="345"/>
      <c r="U10" s="346"/>
      <c r="V10" s="345"/>
      <c r="W10" s="345"/>
      <c r="X10" s="345"/>
      <c r="Y10" s="345"/>
      <c r="Z10" s="345"/>
      <c r="AA10" s="345"/>
      <c r="AB10" s="345"/>
      <c r="AC10" s="345"/>
      <c r="AD10" s="345"/>
      <c r="AE10" s="345"/>
      <c r="AF10" s="345"/>
      <c r="AG10" s="345"/>
      <c r="AH10" s="345"/>
      <c r="AI10" s="345"/>
      <c r="AJ10" s="345"/>
      <c r="AK10" s="345"/>
      <c r="AL10" s="345"/>
      <c r="AM10" s="345"/>
      <c r="AN10" s="345"/>
      <c r="AO10" s="345"/>
      <c r="AP10" s="345"/>
      <c r="AQ10" s="345"/>
      <c r="AR10" s="345"/>
      <c r="AS10" s="345"/>
      <c r="AT10" s="345"/>
      <c r="AU10" s="345"/>
    </row>
    <row r="11" spans="1:47" ht="13.5" customHeight="1" x14ac:dyDescent="0.2">
      <c r="A11" s="355" t="s">
        <v>732</v>
      </c>
      <c r="B11" s="356"/>
      <c r="C11" s="2140">
        <f>SUM(C9:C10)</f>
        <v>653</v>
      </c>
      <c r="D11" s="488">
        <f>SUM(D9:D10)</f>
        <v>606</v>
      </c>
      <c r="E11" s="488"/>
      <c r="F11" s="488">
        <f>SUM(F10:F10)</f>
        <v>-18</v>
      </c>
      <c r="G11" s="358">
        <f>IF(D11=0,0,C11/D11-1)</f>
        <v>7.7557755775577553E-2</v>
      </c>
      <c r="H11" s="359"/>
      <c r="I11" s="2149">
        <v>655.95225280431077</v>
      </c>
      <c r="J11" s="488"/>
      <c r="K11" s="488">
        <f>SUM(K9:K10)</f>
        <v>-2.9522528043107172</v>
      </c>
      <c r="L11" s="360">
        <f>C11/I11-1</f>
        <v>-4.5007129584346828E-3</v>
      </c>
      <c r="M11" s="346"/>
      <c r="N11" s="346"/>
      <c r="O11" s="346"/>
      <c r="P11" s="346"/>
      <c r="Q11" s="346"/>
      <c r="R11" s="346"/>
      <c r="S11" s="346"/>
      <c r="T11" s="346"/>
      <c r="U11" s="346"/>
      <c r="V11" s="345"/>
      <c r="W11" s="345"/>
      <c r="X11" s="345"/>
      <c r="Y11" s="345"/>
      <c r="Z11" s="345"/>
      <c r="AA11" s="345"/>
      <c r="AB11" s="345"/>
      <c r="AC11" s="345"/>
      <c r="AD11" s="345"/>
      <c r="AE11" s="345"/>
      <c r="AF11" s="345"/>
      <c r="AG11" s="345"/>
      <c r="AH11" s="345"/>
      <c r="AI11" s="345"/>
      <c r="AJ11" s="345"/>
      <c r="AK11" s="345"/>
      <c r="AL11" s="345"/>
      <c r="AM11" s="345"/>
      <c r="AN11" s="345"/>
      <c r="AO11" s="345"/>
      <c r="AP11" s="345"/>
      <c r="AQ11" s="345"/>
      <c r="AR11" s="345"/>
      <c r="AS11" s="345"/>
      <c r="AT11" s="345"/>
      <c r="AU11" s="345"/>
    </row>
    <row r="12" spans="1:47" ht="13.5" customHeight="1" x14ac:dyDescent="0.2">
      <c r="A12" s="346"/>
      <c r="B12" s="346"/>
      <c r="C12" s="2138"/>
      <c r="D12" s="532"/>
      <c r="E12" s="532"/>
      <c r="F12" s="532"/>
      <c r="G12" s="361"/>
      <c r="H12" s="346"/>
      <c r="I12" s="2148"/>
      <c r="J12" s="532"/>
      <c r="K12" s="532"/>
      <c r="L12" s="1290"/>
      <c r="M12" s="346"/>
      <c r="N12" s="346"/>
      <c r="O12" s="346"/>
      <c r="P12" s="346"/>
      <c r="Q12" s="346"/>
      <c r="R12" s="346"/>
      <c r="S12" s="346"/>
      <c r="T12" s="346"/>
      <c r="U12" s="346"/>
      <c r="V12" s="345"/>
      <c r="W12" s="345"/>
      <c r="X12" s="345"/>
      <c r="Y12" s="345"/>
      <c r="Z12" s="345"/>
      <c r="AA12" s="345"/>
      <c r="AB12" s="345"/>
      <c r="AC12" s="345"/>
      <c r="AD12" s="345"/>
      <c r="AE12" s="345"/>
      <c r="AF12" s="345"/>
      <c r="AG12" s="345"/>
      <c r="AH12" s="345"/>
      <c r="AI12" s="345"/>
      <c r="AJ12" s="345"/>
      <c r="AK12" s="345"/>
      <c r="AL12" s="345"/>
      <c r="AM12" s="345"/>
      <c r="AN12" s="345"/>
      <c r="AO12" s="345"/>
      <c r="AP12" s="345"/>
      <c r="AQ12" s="345"/>
      <c r="AR12" s="345"/>
      <c r="AS12" s="345"/>
      <c r="AT12" s="345"/>
      <c r="AU12" s="345"/>
    </row>
    <row r="13" spans="1:47" ht="13.5" customHeight="1" x14ac:dyDescent="0.2">
      <c r="A13" s="362" t="s">
        <v>1913</v>
      </c>
      <c r="B13" s="346"/>
      <c r="C13" s="2138"/>
      <c r="D13" s="532"/>
      <c r="E13" s="532"/>
      <c r="F13" s="532"/>
      <c r="G13" s="361"/>
      <c r="H13" s="346"/>
      <c r="I13" s="2148"/>
      <c r="J13" s="532"/>
      <c r="K13" s="532"/>
      <c r="L13" s="1290"/>
      <c r="M13" s="346"/>
      <c r="N13" s="346"/>
      <c r="O13" s="346"/>
      <c r="P13" s="346"/>
      <c r="Q13" s="346"/>
      <c r="R13" s="346"/>
      <c r="S13" s="346"/>
      <c r="T13" s="346"/>
      <c r="U13" s="346"/>
      <c r="V13" s="345"/>
      <c r="W13" s="345"/>
      <c r="X13" s="345"/>
      <c r="Y13" s="345"/>
      <c r="Z13" s="345"/>
      <c r="AA13" s="345"/>
      <c r="AB13" s="345"/>
      <c r="AC13" s="345"/>
      <c r="AD13" s="345"/>
      <c r="AE13" s="345"/>
      <c r="AF13" s="345"/>
      <c r="AG13" s="345"/>
      <c r="AH13" s="345"/>
      <c r="AI13" s="345"/>
      <c r="AJ13" s="345"/>
      <c r="AK13" s="345"/>
      <c r="AL13" s="345"/>
      <c r="AM13" s="345"/>
      <c r="AN13" s="345"/>
      <c r="AO13" s="345"/>
      <c r="AP13" s="345"/>
      <c r="AQ13" s="345"/>
      <c r="AR13" s="345"/>
      <c r="AS13" s="345"/>
      <c r="AT13" s="345"/>
      <c r="AU13" s="345"/>
    </row>
    <row r="14" spans="1:47" ht="13.5" customHeight="1" x14ac:dyDescent="0.2">
      <c r="A14" s="896" t="s">
        <v>733</v>
      </c>
      <c r="B14" s="346"/>
      <c r="C14" s="2138">
        <f>+MAR!BW26</f>
        <v>181</v>
      </c>
      <c r="D14" s="532">
        <f>+MAR!BR26</f>
        <v>203</v>
      </c>
      <c r="E14" s="532"/>
      <c r="F14" s="532">
        <f>C14-D14</f>
        <v>-22</v>
      </c>
      <c r="G14" s="354">
        <f>IF(D14=0,0,C14/D14-1)</f>
        <v>-0.10837438423645318</v>
      </c>
      <c r="H14" s="346"/>
      <c r="I14" s="2148">
        <v>199.95500000000001</v>
      </c>
      <c r="J14" s="532"/>
      <c r="K14" s="532">
        <f>C14-I14</f>
        <v>-18.955000000000013</v>
      </c>
      <c r="L14" s="1289">
        <f>IF(I14=0,"NM",C14/I14-1)</f>
        <v>-9.479632917406422E-2</v>
      </c>
      <c r="M14" s="346"/>
      <c r="N14" s="346"/>
      <c r="O14" s="346"/>
      <c r="P14" s="346"/>
      <c r="Q14" s="346"/>
      <c r="R14" s="346"/>
      <c r="S14" s="346"/>
      <c r="T14" s="346"/>
      <c r="U14" s="346"/>
      <c r="V14" s="345"/>
      <c r="W14" s="345"/>
      <c r="X14" s="345"/>
      <c r="Y14" s="345"/>
      <c r="Z14" s="345"/>
      <c r="AA14" s="345"/>
      <c r="AB14" s="345"/>
      <c r="AC14" s="345"/>
      <c r="AD14" s="345"/>
      <c r="AE14" s="345"/>
      <c r="AF14" s="345"/>
      <c r="AG14" s="345"/>
      <c r="AH14" s="345"/>
      <c r="AI14" s="345"/>
      <c r="AJ14" s="345"/>
      <c r="AK14" s="345"/>
      <c r="AL14" s="345"/>
      <c r="AM14" s="345"/>
      <c r="AN14" s="345"/>
      <c r="AO14" s="345"/>
      <c r="AP14" s="345"/>
      <c r="AQ14" s="345"/>
      <c r="AR14" s="345"/>
      <c r="AS14" s="345"/>
      <c r="AT14" s="345"/>
      <c r="AU14" s="345"/>
    </row>
    <row r="15" spans="1:47" ht="13.5" customHeight="1" x14ac:dyDescent="0.2">
      <c r="A15" s="896" t="s">
        <v>736</v>
      </c>
      <c r="B15" s="346"/>
      <c r="C15" s="2138">
        <f>+MAR!BW29</f>
        <v>160</v>
      </c>
      <c r="D15" s="532">
        <f>+MAR!BR29</f>
        <v>160</v>
      </c>
      <c r="E15" s="532"/>
      <c r="F15" s="532">
        <f>C15-D15</f>
        <v>0</v>
      </c>
      <c r="G15" s="354">
        <f>IF(D15=0,0,C15/D15-1)</f>
        <v>0</v>
      </c>
      <c r="H15" s="346"/>
      <c r="I15" s="2148">
        <v>166.4</v>
      </c>
      <c r="J15" s="532"/>
      <c r="K15" s="532">
        <f>C15-I15</f>
        <v>-6.4000000000000057</v>
      </c>
      <c r="L15" s="1289">
        <f>IF(I15=0,"NM",C15/I15-1)</f>
        <v>-3.8461538461538547E-2</v>
      </c>
      <c r="M15" s="346"/>
      <c r="N15" s="346"/>
      <c r="O15" s="346"/>
      <c r="P15" s="346"/>
      <c r="Q15" s="346"/>
      <c r="R15" s="346"/>
      <c r="S15" s="346"/>
      <c r="T15" s="346"/>
      <c r="U15" s="346"/>
      <c r="V15" s="345"/>
      <c r="W15" s="345"/>
      <c r="X15" s="345"/>
      <c r="Y15" s="345"/>
      <c r="Z15" s="345"/>
      <c r="AA15" s="345"/>
      <c r="AB15" s="345"/>
      <c r="AC15" s="345"/>
      <c r="AD15" s="345"/>
      <c r="AE15" s="345"/>
      <c r="AF15" s="345"/>
      <c r="AG15" s="345"/>
      <c r="AH15" s="345"/>
      <c r="AI15" s="345"/>
      <c r="AJ15" s="345"/>
      <c r="AK15" s="345"/>
      <c r="AL15" s="345"/>
      <c r="AM15" s="345"/>
      <c r="AN15" s="345"/>
      <c r="AO15" s="345"/>
      <c r="AP15" s="345"/>
      <c r="AQ15" s="345"/>
      <c r="AR15" s="345"/>
      <c r="AS15" s="345"/>
      <c r="AT15" s="345"/>
      <c r="AU15" s="345"/>
    </row>
    <row r="16" spans="1:47" ht="13.5" customHeight="1" x14ac:dyDescent="0.2">
      <c r="A16" s="896" t="s">
        <v>2247</v>
      </c>
      <c r="B16" s="346"/>
      <c r="C16" s="2138"/>
      <c r="D16" s="532"/>
      <c r="E16" s="532"/>
      <c r="F16" s="532"/>
      <c r="G16" s="354"/>
      <c r="H16" s="346"/>
      <c r="I16" s="2148"/>
      <c r="J16" s="532"/>
      <c r="K16" s="532"/>
      <c r="L16" s="1289"/>
      <c r="M16" s="346"/>
      <c r="N16" s="346"/>
      <c r="O16" s="346"/>
      <c r="P16" s="346"/>
      <c r="Q16" s="346"/>
      <c r="R16" s="346"/>
      <c r="S16" s="346"/>
      <c r="T16" s="346"/>
      <c r="U16" s="346"/>
      <c r="V16" s="345"/>
      <c r="W16" s="345"/>
      <c r="X16" s="345"/>
      <c r="Y16" s="345"/>
      <c r="Z16" s="345"/>
      <c r="AA16" s="345"/>
      <c r="AB16" s="345"/>
      <c r="AC16" s="345"/>
      <c r="AD16" s="345"/>
      <c r="AE16" s="345"/>
      <c r="AF16" s="345"/>
      <c r="AG16" s="345"/>
      <c r="AH16" s="345"/>
      <c r="AI16" s="345"/>
      <c r="AJ16" s="345"/>
      <c r="AK16" s="345"/>
      <c r="AL16" s="345"/>
      <c r="AM16" s="345"/>
      <c r="AN16" s="345"/>
      <c r="AO16" s="345"/>
      <c r="AP16" s="345"/>
      <c r="AQ16" s="345"/>
      <c r="AR16" s="345"/>
      <c r="AS16" s="345"/>
      <c r="AT16" s="345"/>
      <c r="AU16" s="345"/>
    </row>
    <row r="17" spans="1:47" ht="13.5" customHeight="1" x14ac:dyDescent="0.2">
      <c r="A17" s="355" t="s">
        <v>1913</v>
      </c>
      <c r="B17" s="356"/>
      <c r="C17" s="2140"/>
      <c r="D17" s="488"/>
      <c r="E17" s="488"/>
      <c r="F17" s="488"/>
      <c r="G17" s="358"/>
      <c r="H17" s="359"/>
      <c r="I17" s="2149"/>
      <c r="J17" s="488"/>
      <c r="K17" s="488"/>
      <c r="L17" s="360"/>
      <c r="M17" s="346"/>
      <c r="N17" s="346"/>
      <c r="O17" s="346"/>
      <c r="P17" s="346"/>
      <c r="Q17" s="346"/>
      <c r="R17" s="346"/>
      <c r="S17" s="346"/>
      <c r="T17" s="346"/>
      <c r="U17" s="346"/>
      <c r="V17" s="345"/>
      <c r="W17" s="345"/>
      <c r="X17" s="345"/>
      <c r="Y17" s="345"/>
      <c r="Z17" s="345"/>
      <c r="AA17" s="345"/>
      <c r="AB17" s="345"/>
      <c r="AC17" s="345"/>
      <c r="AD17" s="345"/>
      <c r="AE17" s="345"/>
      <c r="AF17" s="345"/>
      <c r="AG17" s="345"/>
      <c r="AH17" s="345"/>
      <c r="AI17" s="345"/>
      <c r="AJ17" s="345"/>
      <c r="AK17" s="345"/>
      <c r="AL17" s="345"/>
      <c r="AM17" s="345"/>
      <c r="AN17" s="345"/>
      <c r="AO17" s="345"/>
      <c r="AP17" s="345"/>
      <c r="AQ17" s="345"/>
      <c r="AR17" s="345"/>
      <c r="AS17" s="345"/>
      <c r="AT17" s="345"/>
      <c r="AU17" s="345"/>
    </row>
    <row r="18" spans="1:47" ht="13.5" customHeight="1" x14ac:dyDescent="0.2">
      <c r="A18" s="896"/>
      <c r="B18" s="346"/>
      <c r="C18" s="2138"/>
      <c r="D18" s="532"/>
      <c r="E18" s="532"/>
      <c r="F18" s="532"/>
      <c r="G18" s="361"/>
      <c r="H18" s="346"/>
      <c r="I18" s="2148"/>
      <c r="J18" s="532"/>
      <c r="K18" s="532"/>
      <c r="L18" s="1290"/>
      <c r="M18" s="346"/>
      <c r="N18" s="346"/>
      <c r="O18" s="346"/>
      <c r="P18" s="346"/>
      <c r="Q18" s="346"/>
      <c r="R18" s="346"/>
      <c r="S18" s="346"/>
      <c r="T18" s="346"/>
      <c r="U18" s="346"/>
      <c r="V18" s="345"/>
      <c r="W18" s="345"/>
      <c r="X18" s="345"/>
      <c r="Y18" s="345"/>
      <c r="Z18" s="345"/>
      <c r="AA18" s="345"/>
      <c r="AB18" s="345"/>
      <c r="AC18" s="345"/>
      <c r="AD18" s="345"/>
      <c r="AE18" s="345"/>
      <c r="AF18" s="345"/>
      <c r="AG18" s="345"/>
      <c r="AH18" s="345"/>
      <c r="AI18" s="345"/>
      <c r="AJ18" s="345"/>
      <c r="AK18" s="345"/>
      <c r="AL18" s="345"/>
      <c r="AM18" s="345"/>
      <c r="AN18" s="345"/>
      <c r="AO18" s="345"/>
      <c r="AP18" s="345"/>
      <c r="AQ18" s="345"/>
      <c r="AR18" s="345"/>
      <c r="AS18" s="345"/>
      <c r="AT18" s="345"/>
      <c r="AU18" s="345"/>
    </row>
    <row r="19" spans="1:47" ht="13.5" customHeight="1" x14ac:dyDescent="0.2">
      <c r="A19" s="331" t="s">
        <v>1863</v>
      </c>
      <c r="B19" s="1130"/>
      <c r="C19" s="2140">
        <f>C11-C17</f>
        <v>653</v>
      </c>
      <c r="D19" s="488">
        <f>D11-D17</f>
        <v>606</v>
      </c>
      <c r="E19" s="488"/>
      <c r="F19" s="488">
        <f>C19-D19</f>
        <v>47</v>
      </c>
      <c r="G19" s="358">
        <f>IF(D19=0,0,C19/D19-1)</f>
        <v>7.7557755775577553E-2</v>
      </c>
      <c r="H19" s="1130"/>
      <c r="I19" s="2149">
        <v>331.39725280431077</v>
      </c>
      <c r="J19" s="488"/>
      <c r="K19" s="488">
        <f>C19-I19</f>
        <v>321.60274719568923</v>
      </c>
      <c r="L19" s="360">
        <f>IF(I19=0,"NM",C19/I19-1)</f>
        <v>0.97044481954590855</v>
      </c>
      <c r="M19" s="362"/>
      <c r="N19" s="362"/>
      <c r="O19" s="362"/>
      <c r="P19" s="362"/>
      <c r="Q19" s="362"/>
      <c r="R19" s="362"/>
      <c r="S19" s="362"/>
      <c r="T19" s="362"/>
      <c r="U19" s="362"/>
      <c r="V19" s="344"/>
      <c r="W19" s="344"/>
      <c r="X19" s="344"/>
      <c r="Y19" s="344"/>
      <c r="Z19" s="344"/>
      <c r="AA19" s="344"/>
      <c r="AB19" s="344"/>
      <c r="AC19" s="344"/>
      <c r="AD19" s="344"/>
      <c r="AE19" s="344"/>
      <c r="AF19" s="344"/>
      <c r="AG19" s="344"/>
      <c r="AH19" s="344"/>
      <c r="AI19" s="344"/>
      <c r="AJ19" s="344"/>
      <c r="AK19" s="344"/>
      <c r="AL19" s="344"/>
      <c r="AM19" s="344"/>
      <c r="AN19" s="344"/>
      <c r="AO19" s="344"/>
      <c r="AP19" s="344"/>
      <c r="AQ19" s="344"/>
      <c r="AR19" s="344"/>
      <c r="AS19" s="344"/>
      <c r="AT19" s="344"/>
      <c r="AU19" s="344"/>
    </row>
    <row r="20" spans="1:47" ht="13.5" customHeight="1" x14ac:dyDescent="0.2">
      <c r="A20" s="1224" t="s">
        <v>2248</v>
      </c>
      <c r="B20" s="1132"/>
      <c r="C20" s="2069">
        <f>-C16</f>
        <v>0</v>
      </c>
      <c r="D20" s="2141">
        <f>-D16</f>
        <v>0</v>
      </c>
      <c r="E20" s="2141"/>
      <c r="F20" s="2141">
        <f>C20-D20</f>
        <v>0</v>
      </c>
      <c r="G20" s="1135">
        <f>IF(D20=0,0,C20/D20-1)</f>
        <v>0</v>
      </c>
      <c r="H20" s="1132"/>
      <c r="I20" s="2150">
        <v>41.8</v>
      </c>
      <c r="J20" s="2141"/>
      <c r="K20" s="2141">
        <f>C20-I20</f>
        <v>-41.8</v>
      </c>
      <c r="L20" s="1291">
        <f>IF(I20=0,"NM",C20/I20-1)</f>
        <v>-1</v>
      </c>
      <c r="M20" s="346"/>
      <c r="N20" s="346"/>
      <c r="O20" s="346"/>
      <c r="P20" s="346"/>
      <c r="Q20" s="346"/>
      <c r="R20" s="346"/>
      <c r="S20" s="346"/>
      <c r="T20" s="346"/>
      <c r="U20" s="346"/>
      <c r="V20" s="345"/>
      <c r="W20" s="345"/>
      <c r="X20" s="345"/>
      <c r="Y20" s="345"/>
      <c r="Z20" s="345"/>
      <c r="AA20" s="345"/>
      <c r="AB20" s="345"/>
      <c r="AC20" s="345"/>
      <c r="AD20" s="345"/>
      <c r="AE20" s="345"/>
      <c r="AF20" s="345"/>
      <c r="AG20" s="345"/>
      <c r="AH20" s="345"/>
      <c r="AI20" s="345"/>
      <c r="AJ20" s="345"/>
      <c r="AK20" s="345"/>
      <c r="AL20" s="345"/>
      <c r="AM20" s="345"/>
      <c r="AN20" s="345"/>
      <c r="AO20" s="345"/>
      <c r="AP20" s="345"/>
      <c r="AQ20" s="345"/>
      <c r="AR20" s="345"/>
      <c r="AS20" s="345"/>
      <c r="AT20" s="345"/>
      <c r="AU20" s="345"/>
    </row>
    <row r="21" spans="1:47" ht="13.5" customHeight="1" x14ac:dyDescent="0.2">
      <c r="A21" s="897" t="s">
        <v>1343</v>
      </c>
      <c r="B21" s="362"/>
      <c r="C21" s="2142">
        <f>C19-C20</f>
        <v>653</v>
      </c>
      <c r="D21" s="364">
        <f>D19-D20</f>
        <v>606</v>
      </c>
      <c r="E21" s="364"/>
      <c r="F21" s="364">
        <f>C21-D21</f>
        <v>47</v>
      </c>
      <c r="G21" s="482">
        <f>IF(D21=0,0,C21/D21-1)</f>
        <v>7.7557755775577553E-2</v>
      </c>
      <c r="H21" s="362"/>
      <c r="I21" s="2151">
        <v>289.59725280431076</v>
      </c>
      <c r="J21" s="364"/>
      <c r="K21" s="364">
        <f>C21-I21</f>
        <v>363.40274719568924</v>
      </c>
      <c r="L21" s="1292">
        <f>IF(I21=0,"NM",C21/I21-1)</f>
        <v>1.2548556440942864</v>
      </c>
      <c r="M21" s="362"/>
      <c r="N21" s="1144">
        <v>287.68400000000003</v>
      </c>
      <c r="O21" s="1144"/>
      <c r="P21" s="362"/>
      <c r="Q21" s="362"/>
      <c r="R21" s="362"/>
      <c r="S21" s="362"/>
      <c r="T21" s="362"/>
      <c r="U21" s="362"/>
      <c r="V21" s="344"/>
      <c r="W21" s="344"/>
      <c r="X21" s="344"/>
      <c r="Y21" s="344"/>
      <c r="Z21" s="344"/>
      <c r="AA21" s="344"/>
      <c r="AB21" s="344"/>
      <c r="AC21" s="344"/>
      <c r="AD21" s="344"/>
      <c r="AE21" s="344"/>
      <c r="AF21" s="344"/>
      <c r="AG21" s="344"/>
      <c r="AH21" s="344"/>
      <c r="AI21" s="344"/>
      <c r="AJ21" s="344"/>
      <c r="AK21" s="344"/>
      <c r="AL21" s="344"/>
      <c r="AM21" s="344"/>
      <c r="AN21" s="344"/>
      <c r="AO21" s="344"/>
      <c r="AP21" s="344"/>
      <c r="AQ21" s="344"/>
      <c r="AR21" s="344"/>
      <c r="AS21" s="344"/>
      <c r="AT21" s="344"/>
      <c r="AU21" s="344"/>
    </row>
    <row r="22" spans="1:47" ht="13.5" customHeight="1" x14ac:dyDescent="0.2">
      <c r="A22" s="897"/>
      <c r="B22" s="346"/>
      <c r="C22" s="2142"/>
      <c r="D22" s="364"/>
      <c r="E22" s="532"/>
      <c r="F22" s="532"/>
      <c r="G22" s="361"/>
      <c r="H22" s="346"/>
      <c r="I22" s="2151"/>
      <c r="J22" s="532"/>
      <c r="K22" s="532"/>
      <c r="L22" s="1290"/>
      <c r="M22" s="346"/>
      <c r="N22" s="346"/>
      <c r="O22" s="346"/>
      <c r="P22" s="346"/>
      <c r="Q22" s="346"/>
      <c r="R22" s="346"/>
      <c r="S22" s="346"/>
      <c r="T22" s="346"/>
      <c r="U22" s="346"/>
      <c r="V22" s="345"/>
      <c r="W22" s="345"/>
      <c r="X22" s="345"/>
      <c r="Y22" s="345"/>
      <c r="Z22" s="345"/>
      <c r="AA22" s="345"/>
      <c r="AB22" s="345"/>
      <c r="AC22" s="345"/>
      <c r="AD22" s="345"/>
      <c r="AE22" s="345"/>
      <c r="AF22" s="345"/>
      <c r="AG22" s="345"/>
      <c r="AH22" s="345"/>
      <c r="AI22" s="345"/>
      <c r="AJ22" s="345"/>
      <c r="AK22" s="345"/>
      <c r="AL22" s="345"/>
      <c r="AM22" s="345"/>
      <c r="AN22" s="345"/>
      <c r="AO22" s="345"/>
      <c r="AP22" s="345"/>
      <c r="AQ22" s="345"/>
      <c r="AR22" s="345"/>
      <c r="AS22" s="345"/>
      <c r="AT22" s="345"/>
      <c r="AU22" s="345"/>
    </row>
    <row r="23" spans="1:47" ht="13.5" customHeight="1" x14ac:dyDescent="0.2">
      <c r="A23" s="896" t="s">
        <v>2249</v>
      </c>
      <c r="B23" s="346"/>
      <c r="C23" s="2138">
        <f>+MAR!BW39</f>
        <v>-29</v>
      </c>
      <c r="D23" s="532">
        <f>+MAR!BR39</f>
        <v>-34</v>
      </c>
      <c r="E23" s="532"/>
      <c r="F23" s="532">
        <f>C23-D23</f>
        <v>5</v>
      </c>
      <c r="G23" s="354">
        <f>IF(D23=0,0,C23/D23-1)</f>
        <v>-0.1470588235294118</v>
      </c>
      <c r="H23" s="346"/>
      <c r="I23" s="2148">
        <v>-30.303812499999999</v>
      </c>
      <c r="J23" s="532"/>
      <c r="K23" s="532">
        <f>C23-I23</f>
        <v>1.3038124999999994</v>
      </c>
      <c r="L23" s="1289">
        <f>IF(I23=0,"NM",C23/I23-1)</f>
        <v>-4.3024701924881503E-2</v>
      </c>
      <c r="M23" s="346"/>
      <c r="N23" s="346"/>
      <c r="O23" s="346"/>
      <c r="P23" s="346"/>
      <c r="Q23" s="346"/>
      <c r="R23" s="346"/>
      <c r="S23" s="346"/>
      <c r="T23" s="346"/>
      <c r="U23" s="346"/>
      <c r="V23" s="345"/>
      <c r="W23" s="345"/>
      <c r="X23" s="345"/>
      <c r="Y23" s="345"/>
      <c r="Z23" s="345"/>
      <c r="AA23" s="345"/>
      <c r="AB23" s="345"/>
      <c r="AC23" s="345"/>
      <c r="AD23" s="345"/>
      <c r="AE23" s="345"/>
      <c r="AF23" s="345"/>
      <c r="AG23" s="345"/>
      <c r="AH23" s="345"/>
      <c r="AI23" s="345"/>
      <c r="AJ23" s="345"/>
      <c r="AK23" s="345"/>
      <c r="AL23" s="345"/>
      <c r="AM23" s="345"/>
      <c r="AN23" s="345"/>
      <c r="AO23" s="345"/>
      <c r="AP23" s="345"/>
      <c r="AQ23" s="345"/>
      <c r="AR23" s="345"/>
      <c r="AS23" s="345"/>
      <c r="AT23" s="345"/>
      <c r="AU23" s="345"/>
    </row>
    <row r="24" spans="1:47" ht="13.5" customHeight="1" x14ac:dyDescent="0.2">
      <c r="A24" s="896" t="s">
        <v>2250</v>
      </c>
      <c r="B24" s="346"/>
      <c r="C24" s="2138">
        <f>+MAR!BW40</f>
        <v>5</v>
      </c>
      <c r="D24" s="532">
        <f>+MAR!BR40</f>
        <v>3</v>
      </c>
      <c r="E24" s="532"/>
      <c r="F24" s="532">
        <f>C24-D24</f>
        <v>2</v>
      </c>
      <c r="G24" s="354">
        <f>IF(D24=0,0,C24/D24-1)</f>
        <v>0.66666666666666674</v>
      </c>
      <c r="H24" s="346"/>
      <c r="I24" s="2148">
        <v>5.0949999999999998</v>
      </c>
      <c r="J24" s="532"/>
      <c r="K24" s="532">
        <f>C24-I24</f>
        <v>-9.4999999999999751E-2</v>
      </c>
      <c r="L24" s="1289">
        <f>IF(I24=0,"NM",C24/I24-1)</f>
        <v>-1.8645731108930308E-2</v>
      </c>
      <c r="M24" s="346"/>
      <c r="N24" s="346"/>
      <c r="O24" s="346"/>
      <c r="P24" s="346"/>
      <c r="Q24" s="346"/>
      <c r="R24" s="346"/>
      <c r="S24" s="346"/>
      <c r="T24" s="346"/>
      <c r="U24" s="346"/>
      <c r="V24" s="345"/>
      <c r="W24" s="345"/>
      <c r="X24" s="345"/>
      <c r="Y24" s="345"/>
      <c r="Z24" s="345"/>
      <c r="AA24" s="345"/>
      <c r="AB24" s="345"/>
      <c r="AC24" s="345"/>
      <c r="AD24" s="345"/>
      <c r="AE24" s="345"/>
      <c r="AF24" s="345"/>
      <c r="AG24" s="345"/>
      <c r="AH24" s="345"/>
      <c r="AI24" s="345"/>
      <c r="AJ24" s="345"/>
      <c r="AK24" s="345"/>
      <c r="AL24" s="345"/>
      <c r="AM24" s="345"/>
      <c r="AN24" s="345"/>
      <c r="AO24" s="345"/>
      <c r="AP24" s="345"/>
      <c r="AQ24" s="345"/>
      <c r="AR24" s="345"/>
      <c r="AS24" s="345"/>
      <c r="AT24" s="345"/>
      <c r="AU24" s="345"/>
    </row>
    <row r="25" spans="1:47" ht="13.5" customHeight="1" x14ac:dyDescent="0.2">
      <c r="A25" s="896" t="s">
        <v>2251</v>
      </c>
      <c r="B25" s="346"/>
      <c r="C25" s="2138">
        <f>+MAR!BW38</f>
        <v>10</v>
      </c>
      <c r="D25" s="532">
        <f>+MAR!BR38</f>
        <v>5</v>
      </c>
      <c r="E25" s="532"/>
      <c r="F25" s="532">
        <f>C25-D25</f>
        <v>5</v>
      </c>
      <c r="G25" s="354">
        <f>IF(D25=0,0,C25/D25-1)</f>
        <v>1</v>
      </c>
      <c r="H25" s="346"/>
      <c r="I25" s="2148">
        <v>2.5</v>
      </c>
      <c r="J25" s="532"/>
      <c r="K25" s="532">
        <f>C25-I25</f>
        <v>7.5</v>
      </c>
      <c r="L25" s="1289">
        <f>IF(I25=0,"NM",C25/I25-1)</f>
        <v>3</v>
      </c>
      <c r="M25" s="346"/>
      <c r="N25" s="346"/>
      <c r="O25" s="346"/>
      <c r="P25" s="346"/>
      <c r="Q25" s="346"/>
      <c r="R25" s="346"/>
      <c r="S25" s="346"/>
      <c r="T25" s="346"/>
      <c r="U25" s="346"/>
      <c r="V25" s="345"/>
      <c r="W25" s="345"/>
      <c r="X25" s="345"/>
      <c r="Y25" s="345"/>
      <c r="Z25" s="345"/>
      <c r="AA25" s="345"/>
      <c r="AB25" s="345"/>
      <c r="AC25" s="345"/>
      <c r="AD25" s="345"/>
      <c r="AE25" s="345"/>
      <c r="AF25" s="345"/>
      <c r="AG25" s="345"/>
      <c r="AH25" s="345"/>
      <c r="AI25" s="345"/>
      <c r="AJ25" s="345"/>
      <c r="AK25" s="345"/>
      <c r="AL25" s="345"/>
      <c r="AM25" s="345"/>
      <c r="AN25" s="345"/>
      <c r="AO25" s="345"/>
      <c r="AP25" s="345"/>
      <c r="AQ25" s="345"/>
      <c r="AR25" s="345"/>
      <c r="AS25" s="345"/>
      <c r="AT25" s="345"/>
      <c r="AU25" s="345"/>
    </row>
    <row r="26" spans="1:47" ht="13.5" customHeight="1" x14ac:dyDescent="0.2">
      <c r="A26" s="1224" t="s">
        <v>712</v>
      </c>
      <c r="B26" s="1132"/>
      <c r="C26" s="2143">
        <f>+MAR!BW42</f>
        <v>-2</v>
      </c>
      <c r="D26" s="2144">
        <f>+MAR!BR42</f>
        <v>-8</v>
      </c>
      <c r="E26" s="2141"/>
      <c r="F26" s="2144">
        <f>C26-D26</f>
        <v>6</v>
      </c>
      <c r="G26" s="1135">
        <f>IF(D26=0,0,C26/D26-1)</f>
        <v>-0.75</v>
      </c>
      <c r="H26" s="1132"/>
      <c r="I26" s="2152">
        <v>3</v>
      </c>
      <c r="J26" s="2141"/>
      <c r="K26" s="2144">
        <f>C26-I26</f>
        <v>-5</v>
      </c>
      <c r="L26" s="1291">
        <f>IF(I26=0,"NM",C26/I26-1)</f>
        <v>-1.6666666666666665</v>
      </c>
      <c r="M26" s="346"/>
      <c r="N26" s="346"/>
      <c r="O26" s="346"/>
      <c r="P26" s="346"/>
      <c r="Q26" s="346"/>
      <c r="R26" s="346"/>
      <c r="S26" s="346"/>
      <c r="T26" s="346"/>
      <c r="U26" s="346"/>
      <c r="V26" s="345"/>
      <c r="W26" s="345"/>
      <c r="X26" s="345"/>
      <c r="Y26" s="345"/>
      <c r="Z26" s="345"/>
      <c r="AA26" s="345"/>
      <c r="AB26" s="345"/>
      <c r="AC26" s="345"/>
      <c r="AD26" s="345"/>
      <c r="AE26" s="345"/>
      <c r="AF26" s="345"/>
      <c r="AG26" s="345"/>
      <c r="AH26" s="345"/>
      <c r="AI26" s="345"/>
      <c r="AJ26" s="345"/>
      <c r="AK26" s="345"/>
      <c r="AL26" s="345"/>
      <c r="AM26" s="345"/>
      <c r="AN26" s="345"/>
      <c r="AO26" s="345"/>
      <c r="AP26" s="345"/>
      <c r="AQ26" s="345"/>
      <c r="AR26" s="345"/>
      <c r="AS26" s="345"/>
      <c r="AT26" s="345"/>
      <c r="AU26" s="345"/>
    </row>
    <row r="27" spans="1:47" ht="13.5" customHeight="1" x14ac:dyDescent="0.2">
      <c r="A27" s="362" t="s">
        <v>642</v>
      </c>
      <c r="B27" s="362"/>
      <c r="C27" s="2142">
        <f>C21+SUM(C23:C26)</f>
        <v>637</v>
      </c>
      <c r="D27" s="364">
        <f>D21+SUM(D23:D26)</f>
        <v>572</v>
      </c>
      <c r="E27" s="364"/>
      <c r="F27" s="364">
        <f>C27-D27</f>
        <v>65</v>
      </c>
      <c r="G27" s="482">
        <f>IF(D27=0,0,C27/D27-1)</f>
        <v>0.11363636363636354</v>
      </c>
      <c r="H27" s="362"/>
      <c r="I27" s="2151">
        <v>269.88844030431073</v>
      </c>
      <c r="J27" s="364"/>
      <c r="K27" s="364">
        <f>C27-I27</f>
        <v>367.11155969568927</v>
      </c>
      <c r="L27" s="1292">
        <f>IF(I27=0,"NM",C27/I27-1)</f>
        <v>1.3602344705158744</v>
      </c>
      <c r="M27" s="362"/>
      <c r="N27" s="362"/>
      <c r="O27" s="362"/>
      <c r="P27" s="362"/>
      <c r="Q27" s="362"/>
      <c r="R27" s="362"/>
      <c r="S27" s="362"/>
      <c r="T27" s="362"/>
      <c r="U27" s="362"/>
      <c r="V27" s="344"/>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344"/>
    </row>
    <row r="28" spans="1:47" ht="13.5" customHeight="1" x14ac:dyDescent="0.2">
      <c r="A28" s="1383" t="s">
        <v>90</v>
      </c>
      <c r="B28" s="362"/>
      <c r="C28" s="999">
        <f>-C29/C27</f>
        <v>0.13186813186813187</v>
      </c>
      <c r="D28" s="1384">
        <f>-D29/D27</f>
        <v>0.11538461538461539</v>
      </c>
      <c r="E28" s="2157"/>
      <c r="F28" s="2157"/>
      <c r="G28" s="2157"/>
      <c r="H28" s="2157"/>
      <c r="I28" s="1001">
        <v>0.33</v>
      </c>
      <c r="J28" s="364"/>
      <c r="K28" s="364"/>
      <c r="L28" s="1292"/>
      <c r="M28" s="362"/>
      <c r="N28" s="362"/>
      <c r="O28" s="362"/>
      <c r="P28" s="362"/>
      <c r="Q28" s="362"/>
      <c r="R28" s="362"/>
      <c r="S28" s="362"/>
      <c r="T28" s="362"/>
      <c r="U28" s="362"/>
      <c r="V28" s="344"/>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344"/>
    </row>
    <row r="29" spans="1:47" ht="13.5" customHeight="1" x14ac:dyDescent="0.2">
      <c r="A29" s="1132" t="s">
        <v>713</v>
      </c>
      <c r="B29" s="1132"/>
      <c r="C29" s="2143">
        <f>+MAR!BW48</f>
        <v>-84</v>
      </c>
      <c r="D29" s="2144">
        <f>+MAR!BR48</f>
        <v>-66</v>
      </c>
      <c r="E29" s="2145"/>
      <c r="F29" s="2144">
        <f>C29-D29</f>
        <v>-18</v>
      </c>
      <c r="G29" s="1135">
        <f t="shared" ref="G29:G34" si="0">IF(D29=0,0,C29/D29-1)</f>
        <v>0.27272727272727271</v>
      </c>
      <c r="H29" s="1132"/>
      <c r="I29" s="2152">
        <v>-89.063185300422546</v>
      </c>
      <c r="J29" s="2145"/>
      <c r="K29" s="2144">
        <f>C29-I29</f>
        <v>5.0631853004225462</v>
      </c>
      <c r="L29" s="1291">
        <f>IF(I29=0,"NM",C29/I29-1)</f>
        <v>-5.6849362431219075E-2</v>
      </c>
      <c r="M29" s="346"/>
      <c r="N29" s="346"/>
      <c r="O29" s="346"/>
      <c r="P29" s="1406"/>
      <c r="Q29" s="346"/>
      <c r="R29" s="346"/>
      <c r="S29" s="346"/>
      <c r="T29" s="346"/>
      <c r="U29" s="346"/>
      <c r="V29" s="345"/>
      <c r="W29" s="345"/>
      <c r="X29" s="345"/>
      <c r="Y29" s="345"/>
      <c r="Z29" s="345"/>
      <c r="AA29" s="345"/>
      <c r="AB29" s="345"/>
      <c r="AC29" s="345"/>
      <c r="AD29" s="345"/>
      <c r="AE29" s="345"/>
      <c r="AF29" s="345"/>
      <c r="AG29" s="345"/>
      <c r="AH29" s="345"/>
      <c r="AI29" s="345"/>
      <c r="AJ29" s="345"/>
      <c r="AK29" s="345"/>
      <c r="AL29" s="345"/>
      <c r="AM29" s="345"/>
      <c r="AN29" s="345"/>
      <c r="AO29" s="345"/>
      <c r="AP29" s="345"/>
      <c r="AQ29" s="345"/>
      <c r="AR29" s="345"/>
      <c r="AS29" s="345"/>
      <c r="AT29" s="345"/>
      <c r="AU29" s="345"/>
    </row>
    <row r="30" spans="1:47" ht="13.5" customHeight="1" x14ac:dyDescent="0.2">
      <c r="A30" s="362" t="s">
        <v>1296</v>
      </c>
      <c r="B30" s="362"/>
      <c r="C30" s="2142">
        <f>C27+C29</f>
        <v>553</v>
      </c>
      <c r="D30" s="364">
        <f>D27+D29</f>
        <v>506</v>
      </c>
      <c r="E30" s="2146"/>
      <c r="F30" s="364">
        <f>SUM(F27:F29)</f>
        <v>47</v>
      </c>
      <c r="G30" s="482">
        <f t="shared" si="0"/>
        <v>9.2885375494071054E-2</v>
      </c>
      <c r="H30" s="362"/>
      <c r="I30" s="2151">
        <v>180.82525500388817</v>
      </c>
      <c r="J30" s="2146"/>
      <c r="K30" s="364">
        <f>C30-I30</f>
        <v>372.17474499611183</v>
      </c>
      <c r="L30" s="1292">
        <f>IF(I30=0,"NM",C30/I30-1)</f>
        <v>2.0582011345047415</v>
      </c>
      <c r="M30" s="362"/>
      <c r="N30" s="362"/>
      <c r="O30" s="362"/>
      <c r="P30" s="2156">
        <f>-C29/C27</f>
        <v>0.13186813186813187</v>
      </c>
      <c r="Q30" s="2156">
        <f>-I29/I27</f>
        <v>0.33</v>
      </c>
      <c r="R30" s="362"/>
      <c r="S30" s="362"/>
      <c r="T30" s="362"/>
      <c r="U30" s="362"/>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344"/>
      <c r="AU30" s="344"/>
    </row>
    <row r="31" spans="1:47" ht="13.5" customHeight="1" x14ac:dyDescent="0.2">
      <c r="A31" s="346" t="s">
        <v>714</v>
      </c>
      <c r="B31" s="346"/>
      <c r="C31" s="2138">
        <f>+MAR!BW52</f>
        <v>0</v>
      </c>
      <c r="D31" s="532">
        <f>+MAR!BR52</f>
        <v>0</v>
      </c>
      <c r="E31" s="2139"/>
      <c r="F31" s="532">
        <f>C31-D31</f>
        <v>0</v>
      </c>
      <c r="G31" s="354">
        <f t="shared" si="0"/>
        <v>0</v>
      </c>
      <c r="H31" s="346"/>
      <c r="I31" s="2148">
        <v>0</v>
      </c>
      <c r="J31" s="2139"/>
      <c r="K31" s="532">
        <f>C31-I31</f>
        <v>0</v>
      </c>
      <c r="L31" s="1289" t="str">
        <f>IF(I31=0,"NM",C31/I31-1)</f>
        <v>NM</v>
      </c>
      <c r="M31" s="346"/>
      <c r="N31" s="346"/>
      <c r="O31" s="346"/>
      <c r="P31" s="346"/>
      <c r="Q31" s="346"/>
      <c r="R31" s="346"/>
      <c r="S31" s="346"/>
      <c r="T31" s="346"/>
      <c r="U31" s="346"/>
      <c r="V31" s="345"/>
      <c r="W31" s="345"/>
      <c r="X31" s="345"/>
      <c r="Y31" s="345"/>
      <c r="Z31" s="345"/>
      <c r="AA31" s="345"/>
      <c r="AB31" s="345"/>
      <c r="AC31" s="345"/>
      <c r="AD31" s="345"/>
      <c r="AE31" s="345"/>
      <c r="AF31" s="345"/>
      <c r="AG31" s="345"/>
      <c r="AH31" s="345"/>
      <c r="AI31" s="345"/>
      <c r="AJ31" s="345"/>
      <c r="AK31" s="345"/>
      <c r="AL31" s="345"/>
      <c r="AM31" s="345"/>
      <c r="AN31" s="345"/>
      <c r="AO31" s="345"/>
      <c r="AP31" s="345"/>
      <c r="AQ31" s="345"/>
      <c r="AR31" s="345"/>
      <c r="AS31" s="345"/>
      <c r="AT31" s="345"/>
      <c r="AU31" s="345"/>
    </row>
    <row r="32" spans="1:47" ht="13.5" customHeight="1" x14ac:dyDescent="0.2">
      <c r="A32" s="355" t="s">
        <v>1298</v>
      </c>
      <c r="B32" s="356"/>
      <c r="C32" s="2140">
        <f>C30-C31</f>
        <v>553</v>
      </c>
      <c r="D32" s="488">
        <f>D30-D31</f>
        <v>506</v>
      </c>
      <c r="E32" s="488"/>
      <c r="F32" s="488">
        <f>C32-D32</f>
        <v>47</v>
      </c>
      <c r="G32" s="358">
        <f t="shared" si="0"/>
        <v>9.2885375494071054E-2</v>
      </c>
      <c r="H32" s="359"/>
      <c r="I32" s="2149">
        <v>180.82525500388817</v>
      </c>
      <c r="J32" s="488"/>
      <c r="K32" s="488">
        <f>C32-I32</f>
        <v>372.17474499611183</v>
      </c>
      <c r="L32" s="360">
        <f>IF(I32=0,"NM",C32/I32-1)</f>
        <v>2.0582011345047415</v>
      </c>
      <c r="M32" s="346"/>
      <c r="N32" s="1144">
        <v>179.22200000000001</v>
      </c>
      <c r="O32" s="1144"/>
      <c r="P32" s="346">
        <f>C27*I28</f>
        <v>210.21</v>
      </c>
      <c r="Q32" s="346"/>
      <c r="R32" s="346"/>
      <c r="S32" s="346"/>
      <c r="T32" s="346"/>
      <c r="U32" s="346"/>
      <c r="V32" s="345"/>
      <c r="W32" s="345"/>
      <c r="X32" s="345"/>
      <c r="Y32" s="345"/>
      <c r="Z32" s="345"/>
      <c r="AA32" s="345"/>
      <c r="AB32" s="345"/>
      <c r="AC32" s="345"/>
      <c r="AD32" s="345"/>
      <c r="AE32" s="345"/>
      <c r="AF32" s="345"/>
      <c r="AG32" s="345"/>
      <c r="AH32" s="345"/>
      <c r="AI32" s="345"/>
      <c r="AJ32" s="345"/>
      <c r="AK32" s="345"/>
      <c r="AL32" s="345"/>
      <c r="AM32" s="345"/>
      <c r="AN32" s="345"/>
      <c r="AO32" s="345"/>
      <c r="AP32" s="345"/>
      <c r="AQ32" s="345"/>
      <c r="AR32" s="345"/>
      <c r="AS32" s="345"/>
      <c r="AT32" s="345"/>
      <c r="AU32" s="345"/>
    </row>
    <row r="33" spans="1:47" ht="13.5" customHeight="1" x14ac:dyDescent="0.2">
      <c r="A33" s="346" t="s">
        <v>715</v>
      </c>
      <c r="B33" s="346"/>
      <c r="C33" s="2154">
        <f>+MAR!BW58</f>
        <v>314</v>
      </c>
      <c r="D33" s="528">
        <f>+MAR!BR58</f>
        <v>338</v>
      </c>
      <c r="E33" s="2155"/>
      <c r="F33" s="528">
        <f>C33-D33</f>
        <v>-24</v>
      </c>
      <c r="G33" s="354">
        <f t="shared" si="0"/>
        <v>-7.1005917159763343E-2</v>
      </c>
      <c r="H33" s="346"/>
      <c r="I33" s="525">
        <v>315.53994713174217</v>
      </c>
      <c r="J33" s="2139"/>
      <c r="K33" s="532"/>
      <c r="L33" s="1289"/>
      <c r="M33" s="346"/>
      <c r="N33" s="346"/>
      <c r="O33" s="346"/>
      <c r="P33" s="346">
        <f>C27-P32</f>
        <v>426.78999999999996</v>
      </c>
      <c r="Q33" s="1282"/>
      <c r="R33" s="2106"/>
      <c r="S33" s="346"/>
      <c r="T33" s="346"/>
      <c r="U33" s="346"/>
      <c r="V33" s="345"/>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row>
    <row r="34" spans="1:47" ht="13.5" customHeight="1" x14ac:dyDescent="0.2">
      <c r="A34" s="355" t="s">
        <v>1595</v>
      </c>
      <c r="B34" s="356"/>
      <c r="C34" s="1900">
        <f>C32/C33</f>
        <v>1.7611464968152866</v>
      </c>
      <c r="D34" s="484">
        <f>D32/D33</f>
        <v>1.4970414201183433</v>
      </c>
      <c r="E34" s="357"/>
      <c r="F34" s="484">
        <f>C34-D34</f>
        <v>0.26410507669694328</v>
      </c>
      <c r="G34" s="358">
        <f t="shared" si="0"/>
        <v>0.17641801565922299</v>
      </c>
      <c r="H34" s="359"/>
      <c r="I34" s="483">
        <v>0.57306612569213367</v>
      </c>
      <c r="J34" s="357"/>
      <c r="K34" s="484">
        <f>C34-I34</f>
        <v>1.1880803711231529</v>
      </c>
      <c r="L34" s="360">
        <f>IF(I34=0,"NM",C34/I34-1)</f>
        <v>2.0731994404454142</v>
      </c>
      <c r="M34" s="346"/>
      <c r="N34" s="1145">
        <v>0.56999999999999995</v>
      </c>
      <c r="O34" s="1145"/>
      <c r="P34" s="1406">
        <f>P33/C33</f>
        <v>1.3592038216560509</v>
      </c>
      <c r="Q34" s="346"/>
      <c r="R34" s="346"/>
      <c r="S34" s="346"/>
      <c r="T34" s="346"/>
      <c r="U34" s="346"/>
      <c r="V34" s="345"/>
      <c r="W34" s="345"/>
      <c r="X34" s="345"/>
      <c r="Y34" s="345"/>
      <c r="Z34" s="345"/>
      <c r="AA34" s="345"/>
      <c r="AB34" s="345"/>
      <c r="AC34" s="345"/>
      <c r="AD34" s="345"/>
      <c r="AE34" s="345"/>
      <c r="AF34" s="345"/>
      <c r="AG34" s="345"/>
      <c r="AH34" s="345"/>
      <c r="AI34" s="345"/>
      <c r="AJ34" s="345"/>
      <c r="AK34" s="345"/>
      <c r="AL34" s="345"/>
      <c r="AM34" s="345"/>
      <c r="AN34" s="345"/>
      <c r="AO34" s="345"/>
      <c r="AP34" s="345"/>
      <c r="AQ34" s="345"/>
      <c r="AR34" s="345"/>
      <c r="AS34" s="345"/>
      <c r="AT34" s="345"/>
      <c r="AU34" s="345"/>
    </row>
    <row r="35" spans="1:47" ht="13.5" customHeight="1" x14ac:dyDescent="0.2">
      <c r="A35" s="346"/>
      <c r="B35" s="346"/>
      <c r="C35" s="1896"/>
      <c r="D35" s="352"/>
      <c r="E35" s="353"/>
      <c r="F35" s="352"/>
      <c r="G35" s="354"/>
      <c r="H35" s="346"/>
      <c r="I35" s="351"/>
      <c r="J35" s="353"/>
      <c r="K35" s="352"/>
      <c r="L35" s="1289"/>
      <c r="M35" s="346"/>
      <c r="N35" s="346"/>
      <c r="O35" s="346"/>
      <c r="P35" s="346"/>
      <c r="Q35" s="346"/>
      <c r="R35" s="346"/>
      <c r="S35" s="346"/>
      <c r="T35" s="346"/>
      <c r="U35" s="346"/>
      <c r="V35" s="345"/>
      <c r="W35" s="345"/>
      <c r="X35" s="345"/>
      <c r="Y35" s="345"/>
      <c r="Z35" s="345"/>
      <c r="AA35" s="345"/>
      <c r="AB35" s="345"/>
      <c r="AC35" s="345"/>
      <c r="AD35" s="345"/>
      <c r="AE35" s="345"/>
      <c r="AF35" s="345"/>
      <c r="AG35" s="345"/>
      <c r="AH35" s="345"/>
      <c r="AI35" s="345"/>
      <c r="AJ35" s="345"/>
      <c r="AK35" s="345"/>
      <c r="AL35" s="345"/>
      <c r="AM35" s="345"/>
      <c r="AN35" s="345"/>
      <c r="AO35" s="345"/>
      <c r="AP35" s="345"/>
      <c r="AQ35" s="345"/>
      <c r="AR35" s="345"/>
      <c r="AS35" s="345"/>
      <c r="AT35" s="345"/>
      <c r="AU35" s="345"/>
    </row>
    <row r="36" spans="1:47" ht="13.5" customHeight="1" x14ac:dyDescent="0.2">
      <c r="A36" s="1295" t="s">
        <v>220</v>
      </c>
      <c r="B36" s="418"/>
      <c r="C36" s="1901"/>
      <c r="D36" s="424"/>
      <c r="E36" s="464"/>
      <c r="F36" s="464"/>
      <c r="G36" s="457"/>
      <c r="H36" s="477"/>
      <c r="I36" s="617"/>
      <c r="J36" s="464"/>
      <c r="K36" s="464"/>
      <c r="L36" s="465"/>
      <c r="M36" s="346"/>
      <c r="N36" s="345"/>
      <c r="O36" s="345"/>
      <c r="P36" s="345"/>
      <c r="Q36" s="345"/>
      <c r="R36" s="345"/>
      <c r="S36" s="345"/>
      <c r="T36" s="345"/>
      <c r="U36" s="346"/>
      <c r="V36" s="345"/>
      <c r="W36" s="345"/>
      <c r="X36" s="345"/>
      <c r="Y36" s="345"/>
      <c r="Z36" s="345"/>
      <c r="AA36" s="345"/>
      <c r="AB36" s="345"/>
      <c r="AC36" s="345"/>
      <c r="AD36" s="345"/>
      <c r="AE36" s="345"/>
      <c r="AF36" s="345"/>
      <c r="AG36" s="345"/>
      <c r="AH36" s="345"/>
      <c r="AI36" s="345"/>
      <c r="AJ36" s="345"/>
      <c r="AK36" s="345"/>
      <c r="AL36" s="345"/>
      <c r="AM36" s="345"/>
      <c r="AN36" s="345"/>
      <c r="AO36" s="345"/>
      <c r="AP36" s="345"/>
      <c r="AQ36" s="345"/>
      <c r="AR36" s="345"/>
      <c r="AS36" s="345"/>
      <c r="AT36" s="345"/>
      <c r="AU36" s="345"/>
    </row>
    <row r="37" spans="1:47" ht="13.5" customHeight="1" x14ac:dyDescent="0.2">
      <c r="A37" s="1436" t="s">
        <v>1296</v>
      </c>
      <c r="B37" s="421"/>
      <c r="C37" s="2147">
        <f>+C30</f>
        <v>553</v>
      </c>
      <c r="D37" s="1165">
        <f>+D30</f>
        <v>506</v>
      </c>
      <c r="E37" s="1364"/>
      <c r="F37" s="364">
        <f t="shared" ref="F37:F44" si="1">C37-D37</f>
        <v>47</v>
      </c>
      <c r="G37" s="482">
        <f t="shared" ref="G37:G45" si="2">IF(D37=0,0,C37/D37-1)</f>
        <v>9.2885375494071054E-2</v>
      </c>
      <c r="H37" s="421"/>
      <c r="I37" s="2153">
        <v>180.82525500388817</v>
      </c>
      <c r="J37" s="1364"/>
      <c r="K37" s="364">
        <f t="shared" ref="K37:K45" si="3">C37-I37</f>
        <v>372.17474499611183</v>
      </c>
      <c r="L37" s="1292">
        <f t="shared" ref="L37:L45" si="4">IF(I37=0,"NM",C37/I37-1)</f>
        <v>2.0582011345047415</v>
      </c>
      <c r="M37" s="346"/>
      <c r="N37" s="345"/>
      <c r="O37" s="345"/>
      <c r="P37" s="2158">
        <f>329-343</f>
        <v>-14</v>
      </c>
      <c r="Q37" s="345"/>
      <c r="R37" s="345"/>
      <c r="S37" s="345"/>
      <c r="T37" s="345"/>
      <c r="U37" s="346"/>
      <c r="V37" s="345"/>
      <c r="W37" s="345"/>
      <c r="X37" s="345"/>
      <c r="Y37" s="345"/>
      <c r="Z37" s="345"/>
      <c r="AA37" s="345"/>
      <c r="AB37" s="345"/>
      <c r="AC37" s="345"/>
      <c r="AD37" s="345"/>
      <c r="AE37" s="345"/>
      <c r="AF37" s="345"/>
      <c r="AG37" s="345"/>
      <c r="AH37" s="345"/>
      <c r="AI37" s="345"/>
      <c r="AJ37" s="345"/>
      <c r="AK37" s="345"/>
      <c r="AL37" s="345"/>
      <c r="AM37" s="345"/>
      <c r="AN37" s="345"/>
      <c r="AO37" s="345"/>
      <c r="AP37" s="345"/>
      <c r="AQ37" s="345"/>
      <c r="AR37" s="345"/>
      <c r="AS37" s="345"/>
      <c r="AT37" s="345"/>
      <c r="AU37" s="345"/>
    </row>
    <row r="38" spans="1:47" ht="13.5" customHeight="1" x14ac:dyDescent="0.2">
      <c r="A38" s="900" t="s">
        <v>1628</v>
      </c>
      <c r="B38" s="418"/>
      <c r="C38" s="1892">
        <f>+MAR!BW89</f>
        <v>29</v>
      </c>
      <c r="D38" s="458">
        <f>+MAR!BR89</f>
        <v>34</v>
      </c>
      <c r="E38" s="468"/>
      <c r="F38" s="532">
        <f t="shared" si="1"/>
        <v>-5</v>
      </c>
      <c r="G38" s="354">
        <f t="shared" si="2"/>
        <v>-0.1470588235294118</v>
      </c>
      <c r="H38" s="418"/>
      <c r="I38" s="1162">
        <v>30.303812499999999</v>
      </c>
      <c r="J38" s="468"/>
      <c r="K38" s="532">
        <f t="shared" si="3"/>
        <v>-1.3038124999999994</v>
      </c>
      <c r="L38" s="1289">
        <f t="shared" si="4"/>
        <v>-4.3024701924881503E-2</v>
      </c>
      <c r="M38" s="346"/>
      <c r="N38" s="345"/>
      <c r="O38" s="345"/>
      <c r="P38" s="345">
        <v>1</v>
      </c>
      <c r="Q38" s="345"/>
      <c r="R38" s="345"/>
      <c r="S38" s="345"/>
      <c r="T38" s="345"/>
      <c r="U38" s="346"/>
      <c r="V38" s="345"/>
      <c r="W38" s="345"/>
      <c r="X38" s="345"/>
      <c r="Y38" s="345"/>
      <c r="Z38" s="345"/>
      <c r="AA38" s="345"/>
      <c r="AB38" s="345"/>
      <c r="AC38" s="345"/>
      <c r="AD38" s="345"/>
      <c r="AE38" s="345"/>
      <c r="AF38" s="345"/>
      <c r="AG38" s="345"/>
      <c r="AH38" s="345"/>
      <c r="AI38" s="345"/>
      <c r="AJ38" s="345"/>
      <c r="AK38" s="345"/>
      <c r="AL38" s="345"/>
      <c r="AM38" s="345"/>
      <c r="AN38" s="345"/>
      <c r="AO38" s="345"/>
      <c r="AP38" s="345"/>
      <c r="AQ38" s="345"/>
      <c r="AR38" s="345"/>
      <c r="AS38" s="345"/>
      <c r="AT38" s="345"/>
      <c r="AU38" s="345"/>
    </row>
    <row r="39" spans="1:47" ht="13.5" customHeight="1" x14ac:dyDescent="0.2">
      <c r="A39" s="900" t="s">
        <v>1629</v>
      </c>
      <c r="B39" s="418"/>
      <c r="C39" s="1892">
        <f>+MAR!BW90</f>
        <v>84</v>
      </c>
      <c r="D39" s="458">
        <f>+MAR!BR90</f>
        <v>66</v>
      </c>
      <c r="E39" s="468"/>
      <c r="F39" s="532">
        <f t="shared" si="1"/>
        <v>18</v>
      </c>
      <c r="G39" s="354">
        <f t="shared" si="2"/>
        <v>0.27272727272727271</v>
      </c>
      <c r="H39" s="418"/>
      <c r="I39" s="1162">
        <v>89.063185300422546</v>
      </c>
      <c r="J39" s="468"/>
      <c r="K39" s="532">
        <f t="shared" si="3"/>
        <v>-5.0631853004225462</v>
      </c>
      <c r="L39" s="1289">
        <f t="shared" si="4"/>
        <v>-5.6849362431219075E-2</v>
      </c>
      <c r="M39" s="346"/>
      <c r="N39" s="345"/>
      <c r="O39" s="345"/>
      <c r="P39" s="345">
        <v>8</v>
      </c>
      <c r="Q39" s="345"/>
      <c r="R39" s="345"/>
      <c r="S39" s="345"/>
      <c r="T39" s="345"/>
      <c r="U39" s="346"/>
      <c r="V39" s="345"/>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row>
    <row r="40" spans="1:47" ht="13.5" customHeight="1" x14ac:dyDescent="0.2">
      <c r="A40" s="900" t="s">
        <v>685</v>
      </c>
      <c r="B40" s="418"/>
      <c r="C40" s="1892">
        <f>+MAR!BW91</f>
        <v>33</v>
      </c>
      <c r="D40" s="458">
        <f>+MAR!BR91</f>
        <v>38</v>
      </c>
      <c r="E40" s="1165"/>
      <c r="F40" s="532">
        <f t="shared" si="1"/>
        <v>-5</v>
      </c>
      <c r="G40" s="354">
        <f t="shared" si="2"/>
        <v>-0.13157894736842102</v>
      </c>
      <c r="H40" s="477"/>
      <c r="I40" s="1162">
        <v>41.8</v>
      </c>
      <c r="J40" s="1165"/>
      <c r="K40" s="532">
        <f t="shared" si="3"/>
        <v>-8.7999999999999972</v>
      </c>
      <c r="L40" s="1289">
        <f t="shared" si="4"/>
        <v>-0.21052631578947367</v>
      </c>
      <c r="M40" s="346"/>
      <c r="N40" s="345"/>
      <c r="O40" s="345"/>
      <c r="P40" s="345">
        <v>3</v>
      </c>
      <c r="Q40" s="345"/>
      <c r="R40" s="345"/>
      <c r="S40" s="345"/>
      <c r="T40" s="345"/>
      <c r="U40" s="346"/>
      <c r="V40" s="345"/>
      <c r="W40" s="345"/>
      <c r="X40" s="345"/>
      <c r="Y40" s="345"/>
      <c r="Z40" s="345"/>
      <c r="AA40" s="345"/>
      <c r="AB40" s="345"/>
      <c r="AC40" s="345"/>
      <c r="AD40" s="345"/>
      <c r="AE40" s="345"/>
      <c r="AF40" s="345"/>
      <c r="AG40" s="345"/>
      <c r="AH40" s="345"/>
      <c r="AI40" s="345"/>
      <c r="AJ40" s="345"/>
      <c r="AK40" s="345"/>
      <c r="AL40" s="345"/>
      <c r="AM40" s="345"/>
      <c r="AN40" s="345"/>
      <c r="AO40" s="345"/>
      <c r="AP40" s="345"/>
      <c r="AQ40" s="345"/>
      <c r="AR40" s="345"/>
      <c r="AS40" s="345"/>
      <c r="AT40" s="345"/>
      <c r="AU40" s="345"/>
    </row>
    <row r="41" spans="1:47" ht="13.5" customHeight="1" x14ac:dyDescent="0.2">
      <c r="A41" s="900" t="s">
        <v>720</v>
      </c>
      <c r="B41" s="418"/>
      <c r="C41" s="1892">
        <f>+MAR!BW92</f>
        <v>12</v>
      </c>
      <c r="D41" s="458">
        <f>+MAR!BR92</f>
        <v>0</v>
      </c>
      <c r="E41" s="468"/>
      <c r="F41" s="532">
        <f t="shared" si="1"/>
        <v>12</v>
      </c>
      <c r="G41" s="354">
        <f t="shared" si="2"/>
        <v>0</v>
      </c>
      <c r="H41" s="418"/>
      <c r="I41" s="1162">
        <v>-5</v>
      </c>
      <c r="J41" s="468"/>
      <c r="K41" s="532">
        <f t="shared" si="3"/>
        <v>17</v>
      </c>
      <c r="L41" s="1289">
        <f t="shared" si="4"/>
        <v>-3.4</v>
      </c>
      <c r="M41" s="346"/>
      <c r="N41" s="345"/>
      <c r="O41" s="345"/>
      <c r="P41" s="345">
        <f>P40+P39+P38</f>
        <v>12</v>
      </c>
      <c r="Q41" s="345"/>
      <c r="R41" s="345"/>
      <c r="S41" s="345"/>
      <c r="T41" s="345"/>
      <c r="U41" s="346"/>
      <c r="V41" s="345"/>
      <c r="W41" s="345"/>
      <c r="X41" s="345"/>
      <c r="Y41" s="345"/>
      <c r="Z41" s="345"/>
      <c r="AA41" s="345"/>
      <c r="AB41" s="345"/>
      <c r="AC41" s="345"/>
      <c r="AD41" s="345"/>
      <c r="AE41" s="345"/>
      <c r="AF41" s="345"/>
      <c r="AG41" s="345"/>
      <c r="AH41" s="345"/>
      <c r="AI41" s="345"/>
      <c r="AJ41" s="345"/>
      <c r="AK41" s="345"/>
      <c r="AL41" s="345"/>
      <c r="AM41" s="345"/>
      <c r="AN41" s="345"/>
      <c r="AO41" s="345"/>
      <c r="AP41" s="345"/>
      <c r="AQ41" s="345"/>
      <c r="AR41" s="345"/>
      <c r="AS41" s="345"/>
      <c r="AT41" s="345"/>
      <c r="AU41" s="345"/>
    </row>
    <row r="42" spans="1:47" ht="13.5" customHeight="1" x14ac:dyDescent="0.2">
      <c r="A42" s="896" t="s">
        <v>697</v>
      </c>
      <c r="B42" s="418"/>
      <c r="C42" s="1892">
        <f>+MAR!BW93</f>
        <v>1</v>
      </c>
      <c r="D42" s="458">
        <f>+MAR!BR93</f>
        <v>4</v>
      </c>
      <c r="E42" s="468"/>
      <c r="F42" s="532">
        <f t="shared" si="1"/>
        <v>-3</v>
      </c>
      <c r="G42" s="354">
        <f t="shared" si="2"/>
        <v>-0.75</v>
      </c>
      <c r="H42" s="418"/>
      <c r="I42" s="1162">
        <v>2.5</v>
      </c>
      <c r="J42" s="468"/>
      <c r="K42" s="532">
        <f t="shared" si="3"/>
        <v>-1.5</v>
      </c>
      <c r="L42" s="1289">
        <f t="shared" si="4"/>
        <v>-0.6</v>
      </c>
      <c r="M42" s="346"/>
      <c r="N42" s="345"/>
      <c r="O42" s="345"/>
      <c r="P42" s="345"/>
      <c r="Q42" s="345"/>
      <c r="R42" s="345"/>
      <c r="S42" s="345"/>
      <c r="T42" s="345"/>
      <c r="U42" s="346"/>
      <c r="V42" s="345"/>
      <c r="W42" s="345"/>
      <c r="X42" s="345"/>
      <c r="Y42" s="345"/>
      <c r="Z42" s="345"/>
      <c r="AA42" s="345"/>
      <c r="AB42" s="345"/>
      <c r="AC42" s="345"/>
      <c r="AD42" s="345"/>
      <c r="AE42" s="345"/>
      <c r="AF42" s="345"/>
      <c r="AG42" s="345"/>
      <c r="AH42" s="345"/>
      <c r="AI42" s="345"/>
      <c r="AJ42" s="345"/>
      <c r="AK42" s="345"/>
      <c r="AL42" s="345"/>
      <c r="AM42" s="345"/>
      <c r="AN42" s="345"/>
      <c r="AO42" s="345"/>
      <c r="AP42" s="345"/>
      <c r="AQ42" s="345"/>
      <c r="AR42" s="345"/>
      <c r="AS42" s="345"/>
      <c r="AT42" s="345"/>
      <c r="AU42" s="345"/>
    </row>
    <row r="43" spans="1:47" ht="13.5" customHeight="1" x14ac:dyDescent="0.2">
      <c r="A43" s="896" t="s">
        <v>698</v>
      </c>
      <c r="B43" s="418"/>
      <c r="C43" s="1892">
        <f>+MAR!BW94</f>
        <v>3</v>
      </c>
      <c r="D43" s="458">
        <f>+MAR!BR94</f>
        <v>8</v>
      </c>
      <c r="E43" s="1165"/>
      <c r="F43" s="532">
        <f t="shared" si="1"/>
        <v>-5</v>
      </c>
      <c r="G43" s="354">
        <f t="shared" si="2"/>
        <v>-0.625</v>
      </c>
      <c r="H43" s="477"/>
      <c r="I43" s="1162">
        <v>3</v>
      </c>
      <c r="J43" s="1165"/>
      <c r="K43" s="532">
        <f t="shared" si="3"/>
        <v>0</v>
      </c>
      <c r="L43" s="1289">
        <f t="shared" si="4"/>
        <v>0</v>
      </c>
      <c r="M43" s="346"/>
      <c r="N43" s="345"/>
      <c r="O43" s="345"/>
      <c r="P43" s="345"/>
      <c r="Q43" s="345"/>
      <c r="R43" s="345"/>
      <c r="S43" s="345"/>
      <c r="T43" s="345"/>
      <c r="U43" s="346"/>
      <c r="V43" s="345"/>
      <c r="W43" s="345"/>
      <c r="X43" s="345"/>
      <c r="Y43" s="345"/>
      <c r="Z43" s="345"/>
      <c r="AA43" s="345"/>
      <c r="AB43" s="345"/>
      <c r="AC43" s="345"/>
      <c r="AD43" s="345"/>
      <c r="AE43" s="345"/>
      <c r="AF43" s="345"/>
      <c r="AG43" s="345"/>
      <c r="AH43" s="345"/>
      <c r="AI43" s="345"/>
      <c r="AJ43" s="345"/>
      <c r="AK43" s="345"/>
      <c r="AL43" s="345"/>
      <c r="AM43" s="345"/>
      <c r="AN43" s="345"/>
      <c r="AO43" s="345"/>
      <c r="AP43" s="345"/>
      <c r="AQ43" s="345"/>
      <c r="AR43" s="345"/>
      <c r="AS43" s="345"/>
      <c r="AT43" s="345"/>
      <c r="AU43" s="345"/>
    </row>
    <row r="44" spans="1:47" ht="13.5" customHeight="1" x14ac:dyDescent="0.2">
      <c r="A44" s="900" t="s">
        <v>230</v>
      </c>
      <c r="B44" s="418"/>
      <c r="C44" s="1892">
        <f>+MAR!BW97</f>
        <v>0</v>
      </c>
      <c r="D44" s="458">
        <f>+MAR!BR97</f>
        <v>0</v>
      </c>
      <c r="E44" s="468"/>
      <c r="F44" s="532">
        <f t="shared" si="1"/>
        <v>0</v>
      </c>
      <c r="G44" s="354">
        <f t="shared" si="2"/>
        <v>0</v>
      </c>
      <c r="H44" s="418"/>
      <c r="I44" s="1162">
        <v>0</v>
      </c>
      <c r="J44" s="468"/>
      <c r="K44" s="532">
        <f t="shared" si="3"/>
        <v>0</v>
      </c>
      <c r="L44" s="1289" t="str">
        <f t="shared" si="4"/>
        <v>NM</v>
      </c>
      <c r="M44" s="346"/>
      <c r="N44" s="345"/>
      <c r="O44" s="345"/>
      <c r="P44" s="345"/>
      <c r="Q44" s="345"/>
      <c r="R44" s="345"/>
      <c r="S44" s="345"/>
      <c r="T44" s="345"/>
      <c r="U44" s="346"/>
      <c r="V44" s="345"/>
      <c r="W44" s="345"/>
      <c r="X44" s="345"/>
      <c r="Y44" s="345"/>
      <c r="Z44" s="345"/>
      <c r="AA44" s="345"/>
      <c r="AB44" s="345"/>
      <c r="AC44" s="345"/>
      <c r="AD44" s="345"/>
      <c r="AE44" s="345"/>
      <c r="AF44" s="345"/>
      <c r="AG44" s="345"/>
      <c r="AH44" s="345"/>
      <c r="AI44" s="345"/>
      <c r="AJ44" s="345"/>
      <c r="AK44" s="345"/>
      <c r="AL44" s="345"/>
      <c r="AM44" s="345"/>
      <c r="AN44" s="345"/>
      <c r="AO44" s="345"/>
      <c r="AP44" s="345"/>
      <c r="AQ44" s="345"/>
      <c r="AR44" s="345"/>
      <c r="AS44" s="345"/>
      <c r="AT44" s="345"/>
      <c r="AU44" s="345"/>
    </row>
    <row r="45" spans="1:47" ht="13.5" customHeight="1" x14ac:dyDescent="0.2">
      <c r="A45" s="355" t="s">
        <v>1197</v>
      </c>
      <c r="B45" s="356"/>
      <c r="C45" s="2140">
        <f>SUM(C37:C44)</f>
        <v>715</v>
      </c>
      <c r="D45" s="488">
        <f>SUM(D37:D44)</f>
        <v>656</v>
      </c>
      <c r="E45" s="488"/>
      <c r="F45" s="488">
        <f>SUM(F37:F44)</f>
        <v>59</v>
      </c>
      <c r="G45" s="358">
        <f t="shared" si="2"/>
        <v>8.9939024390243816E-2</v>
      </c>
      <c r="H45" s="359"/>
      <c r="I45" s="2149">
        <v>342.55105643800698</v>
      </c>
      <c r="J45" s="488"/>
      <c r="K45" s="488">
        <f t="shared" si="3"/>
        <v>372.44894356199302</v>
      </c>
      <c r="L45" s="360">
        <f t="shared" si="4"/>
        <v>1.0872800902583024</v>
      </c>
      <c r="M45" s="346"/>
      <c r="N45" s="1144">
        <v>338.45</v>
      </c>
      <c r="O45" s="1144"/>
      <c r="P45" s="345"/>
      <c r="Q45" s="345"/>
      <c r="R45" s="345"/>
      <c r="S45" s="345"/>
      <c r="T45" s="345"/>
      <c r="U45" s="346"/>
      <c r="V45" s="345"/>
      <c r="W45" s="345"/>
      <c r="X45" s="345"/>
      <c r="Y45" s="345"/>
      <c r="Z45" s="345"/>
      <c r="AA45" s="345"/>
      <c r="AB45" s="345"/>
      <c r="AC45" s="345"/>
      <c r="AD45" s="345"/>
      <c r="AE45" s="345"/>
      <c r="AF45" s="345"/>
      <c r="AG45" s="345"/>
      <c r="AH45" s="345"/>
      <c r="AI45" s="345"/>
      <c r="AJ45" s="345"/>
      <c r="AK45" s="345"/>
      <c r="AL45" s="345"/>
      <c r="AM45" s="345"/>
      <c r="AN45" s="345"/>
      <c r="AO45" s="345"/>
      <c r="AP45" s="345"/>
      <c r="AQ45" s="345"/>
      <c r="AR45" s="345"/>
      <c r="AS45" s="345"/>
      <c r="AT45" s="345"/>
      <c r="AU45" s="345"/>
    </row>
    <row r="46" spans="1:47" ht="13.5" customHeight="1" x14ac:dyDescent="0.2">
      <c r="A46" s="418"/>
      <c r="B46" s="418"/>
      <c r="C46" s="1893"/>
      <c r="D46" s="418"/>
      <c r="E46" s="418"/>
      <c r="F46" s="418"/>
      <c r="G46" s="462"/>
      <c r="H46" s="418"/>
      <c r="I46" s="1368"/>
      <c r="J46" s="418"/>
      <c r="K46" s="418"/>
      <c r="L46" s="478"/>
      <c r="M46" s="346"/>
      <c r="N46" s="345"/>
      <c r="O46" s="345"/>
      <c r="P46" s="344"/>
      <c r="Q46" s="345"/>
      <c r="R46" s="345"/>
      <c r="S46" s="345"/>
      <c r="T46" s="345"/>
      <c r="U46" s="346"/>
      <c r="V46" s="345"/>
      <c r="W46" s="345"/>
      <c r="X46" s="345"/>
      <c r="Y46" s="345"/>
      <c r="Z46" s="345"/>
      <c r="AA46" s="345"/>
      <c r="AB46" s="345"/>
      <c r="AC46" s="345"/>
      <c r="AD46" s="345"/>
      <c r="AE46" s="345"/>
      <c r="AF46" s="345"/>
      <c r="AG46" s="345"/>
      <c r="AH46" s="345"/>
      <c r="AI46" s="345"/>
      <c r="AJ46" s="345"/>
      <c r="AK46" s="345"/>
      <c r="AL46" s="345"/>
      <c r="AM46" s="345"/>
      <c r="AN46" s="345"/>
      <c r="AO46" s="345"/>
      <c r="AP46" s="345"/>
      <c r="AQ46" s="345"/>
      <c r="AR46" s="345"/>
      <c r="AS46" s="345"/>
      <c r="AT46" s="345"/>
      <c r="AU46" s="345"/>
    </row>
    <row r="47" spans="1:47" ht="13.5" customHeight="1" x14ac:dyDescent="0.2">
      <c r="A47" s="418"/>
      <c r="B47" s="418"/>
      <c r="C47" s="1893"/>
      <c r="D47" s="418"/>
      <c r="E47" s="418"/>
      <c r="F47" s="418"/>
      <c r="G47" s="462"/>
      <c r="H47" s="418"/>
      <c r="I47" s="1368"/>
      <c r="J47" s="418"/>
      <c r="K47" s="418"/>
      <c r="L47" s="478"/>
      <c r="M47" s="346"/>
      <c r="N47" s="345"/>
      <c r="O47" s="345"/>
      <c r="P47" s="344"/>
      <c r="Q47" s="345"/>
      <c r="R47" s="345"/>
      <c r="S47" s="345"/>
      <c r="T47" s="345"/>
      <c r="U47" s="346"/>
      <c r="V47" s="345"/>
      <c r="W47" s="345"/>
      <c r="X47" s="345"/>
      <c r="Y47" s="345"/>
      <c r="Z47" s="345"/>
      <c r="AA47" s="345"/>
      <c r="AB47" s="345"/>
      <c r="AC47" s="345"/>
      <c r="AD47" s="345"/>
      <c r="AE47" s="345"/>
      <c r="AF47" s="345"/>
      <c r="AG47" s="345"/>
      <c r="AH47" s="345"/>
      <c r="AI47" s="345"/>
      <c r="AJ47" s="345"/>
      <c r="AK47" s="345"/>
      <c r="AL47" s="345"/>
      <c r="AM47" s="345"/>
      <c r="AN47" s="345"/>
      <c r="AO47" s="345"/>
      <c r="AP47" s="345"/>
      <c r="AQ47" s="345"/>
      <c r="AR47" s="345"/>
      <c r="AS47" s="345"/>
      <c r="AT47" s="345"/>
      <c r="AU47" s="345"/>
    </row>
    <row r="48" spans="1:47" ht="13.5" customHeight="1" x14ac:dyDescent="0.2">
      <c r="A48" s="1164" t="s">
        <v>2244</v>
      </c>
      <c r="B48" s="1147"/>
      <c r="C48" s="1904"/>
      <c r="D48" s="1147"/>
      <c r="E48" s="1147"/>
      <c r="F48" s="1147"/>
      <c r="G48" s="1148"/>
      <c r="H48" s="1147"/>
      <c r="I48" s="1912"/>
      <c r="J48" s="1147"/>
      <c r="K48" s="1147"/>
      <c r="L48" s="1149"/>
      <c r="M48" s="346"/>
      <c r="N48" s="345"/>
      <c r="O48" s="345"/>
      <c r="U48" s="346"/>
      <c r="V48" s="345"/>
      <c r="W48" s="345"/>
      <c r="X48" s="345"/>
      <c r="Y48" s="345"/>
      <c r="Z48" s="345"/>
      <c r="AA48" s="345"/>
      <c r="AB48" s="345"/>
      <c r="AC48" s="345"/>
      <c r="AD48" s="345"/>
      <c r="AE48" s="345"/>
      <c r="AF48" s="345"/>
      <c r="AG48" s="345"/>
      <c r="AH48" s="345"/>
      <c r="AI48" s="345"/>
      <c r="AJ48" s="345"/>
      <c r="AK48" s="345"/>
      <c r="AL48" s="345"/>
      <c r="AM48" s="345"/>
      <c r="AN48" s="345"/>
      <c r="AO48" s="345"/>
      <c r="AP48" s="345"/>
      <c r="AQ48" s="345"/>
      <c r="AR48" s="345"/>
      <c r="AS48" s="345"/>
      <c r="AT48" s="345"/>
      <c r="AU48" s="345"/>
    </row>
    <row r="49" spans="1:47" ht="13.5" customHeight="1" x14ac:dyDescent="0.2">
      <c r="A49" s="1150" t="s">
        <v>1512</v>
      </c>
      <c r="B49" s="418"/>
      <c r="C49" s="1892">
        <f>+MAR!BW7</f>
        <v>166</v>
      </c>
      <c r="D49" s="458">
        <f>+MAR!BR7</f>
        <v>141</v>
      </c>
      <c r="E49" s="418"/>
      <c r="F49" s="532">
        <f>C49-D49</f>
        <v>25</v>
      </c>
      <c r="G49" s="354">
        <f>IF(D49=0,0,C49/D49-1)</f>
        <v>0.17730496453900702</v>
      </c>
      <c r="H49" s="418"/>
      <c r="I49" s="1162">
        <v>163.79134249699558</v>
      </c>
      <c r="J49" s="418"/>
      <c r="K49" s="532">
        <f>C49-I49</f>
        <v>2.2086575030044173</v>
      </c>
      <c r="L49" s="1151">
        <f>IF(I49=0,"NM",C49/I49-1)</f>
        <v>1.3484580255179957E-2</v>
      </c>
      <c r="M49" s="346"/>
      <c r="N49" s="345"/>
      <c r="O49" s="345"/>
      <c r="U49" s="346"/>
      <c r="V49" s="345"/>
      <c r="W49" s="345"/>
      <c r="X49" s="345"/>
      <c r="Y49" s="345"/>
      <c r="Z49" s="345"/>
      <c r="AA49" s="345"/>
      <c r="AB49" s="345"/>
      <c r="AC49" s="345"/>
      <c r="AD49" s="345"/>
      <c r="AE49" s="345"/>
      <c r="AF49" s="345"/>
      <c r="AG49" s="345"/>
      <c r="AH49" s="345"/>
      <c r="AI49" s="345"/>
      <c r="AJ49" s="345"/>
      <c r="AK49" s="345"/>
      <c r="AL49" s="345"/>
      <c r="AM49" s="345"/>
      <c r="AN49" s="345"/>
      <c r="AO49" s="345"/>
      <c r="AP49" s="345"/>
      <c r="AQ49" s="345"/>
      <c r="AR49" s="345"/>
      <c r="AS49" s="345"/>
      <c r="AT49" s="345"/>
      <c r="AU49" s="345"/>
    </row>
    <row r="50" spans="1:47" ht="13.5" customHeight="1" x14ac:dyDescent="0.2">
      <c r="A50" s="1150" t="s">
        <v>2163</v>
      </c>
      <c r="B50" s="418"/>
      <c r="C50" s="1892">
        <f>+MAR!BW8</f>
        <v>177</v>
      </c>
      <c r="D50" s="418">
        <f>+MAR!BR8</f>
        <v>145</v>
      </c>
      <c r="E50" s="418"/>
      <c r="F50" s="528">
        <f>C50-D50</f>
        <v>32</v>
      </c>
      <c r="G50" s="354">
        <f>IF(D50=0,0,C50/D50-1)</f>
        <v>0.22068965517241379</v>
      </c>
      <c r="H50" s="418"/>
      <c r="I50" s="1377">
        <v>170.88091030731516</v>
      </c>
      <c r="J50" s="418"/>
      <c r="K50" s="528">
        <f>C50-I50</f>
        <v>6.1190896926848382</v>
      </c>
      <c r="L50" s="1151">
        <f>IF(I50=0,"NM",C50/I50-1)</f>
        <v>3.5809088807404965E-2</v>
      </c>
      <c r="M50" s="346"/>
      <c r="N50" s="345"/>
      <c r="O50" s="345"/>
      <c r="P50" s="563"/>
      <c r="Q50" s="564"/>
      <c r="R50" s="345"/>
      <c r="S50" s="345"/>
      <c r="U50" s="346"/>
      <c r="V50" s="345"/>
      <c r="W50" s="345"/>
      <c r="X50" s="345"/>
      <c r="Y50" s="345"/>
      <c r="Z50" s="345"/>
      <c r="AA50" s="345"/>
      <c r="AB50" s="345"/>
      <c r="AC50" s="345"/>
      <c r="AD50" s="345"/>
      <c r="AE50" s="345"/>
      <c r="AF50" s="345"/>
      <c r="AG50" s="345"/>
      <c r="AH50" s="345"/>
      <c r="AI50" s="345"/>
      <c r="AJ50" s="345"/>
      <c r="AK50" s="345"/>
      <c r="AL50" s="345"/>
      <c r="AM50" s="345"/>
      <c r="AN50" s="345"/>
      <c r="AO50" s="345"/>
      <c r="AP50" s="345"/>
      <c r="AQ50" s="345"/>
      <c r="AR50" s="345"/>
      <c r="AS50" s="345"/>
      <c r="AT50" s="345"/>
      <c r="AU50" s="345"/>
    </row>
    <row r="51" spans="1:47" ht="13.5" customHeight="1" x14ac:dyDescent="0.2">
      <c r="A51" s="1150" t="s">
        <v>126</v>
      </c>
      <c r="B51" s="418"/>
      <c r="C51" s="2109">
        <f>+MAR!BW9</f>
        <v>64</v>
      </c>
      <c r="D51" s="221">
        <f>+MAR!BR9</f>
        <v>56</v>
      </c>
      <c r="E51" s="1402"/>
      <c r="F51" s="221">
        <f>C51-D51</f>
        <v>8</v>
      </c>
      <c r="G51" s="1135">
        <f>IF(D51=0,0,C51/D51-1)</f>
        <v>0.14285714285714279</v>
      </c>
      <c r="H51" s="1403"/>
      <c r="I51" s="966">
        <v>78.400000000000006</v>
      </c>
      <c r="J51" s="1402"/>
      <c r="K51" s="221">
        <f>C51-I51</f>
        <v>-14.400000000000006</v>
      </c>
      <c r="L51" s="1405">
        <f>IF(I51=0,"NM",C51/I51-1)</f>
        <v>-0.18367346938775519</v>
      </c>
      <c r="M51" s="1404"/>
      <c r="N51" s="345"/>
      <c r="O51" s="345"/>
      <c r="U51" s="346"/>
      <c r="V51" s="345"/>
      <c r="W51" s="345"/>
      <c r="X51" s="345"/>
      <c r="Y51" s="345"/>
      <c r="Z51" s="345"/>
      <c r="AA51" s="345"/>
      <c r="AB51" s="345"/>
      <c r="AC51" s="345"/>
      <c r="AD51" s="345"/>
      <c r="AE51" s="345"/>
      <c r="AF51" s="345"/>
      <c r="AG51" s="345"/>
      <c r="AH51" s="345"/>
      <c r="AI51" s="345"/>
      <c r="AJ51" s="345"/>
      <c r="AK51" s="345"/>
      <c r="AL51" s="345"/>
      <c r="AM51" s="345"/>
      <c r="AN51" s="345"/>
      <c r="AO51" s="345"/>
      <c r="AP51" s="345"/>
      <c r="AQ51" s="345"/>
      <c r="AR51" s="345"/>
      <c r="AS51" s="345"/>
      <c r="AT51" s="345"/>
      <c r="AU51" s="345"/>
    </row>
    <row r="52" spans="1:47" ht="13.5" customHeight="1" x14ac:dyDescent="0.2">
      <c r="A52" s="1152" t="s">
        <v>1735</v>
      </c>
      <c r="B52" s="820"/>
      <c r="C52" s="1905">
        <f>SUM(C49:C51)</f>
        <v>407</v>
      </c>
      <c r="D52" s="1157">
        <f>SUM(D49:D51)</f>
        <v>342</v>
      </c>
      <c r="E52" s="1158"/>
      <c r="F52" s="1159">
        <f>C52-D52</f>
        <v>65</v>
      </c>
      <c r="G52" s="1153">
        <f>IF(D52=0,0,C52/D52-1)</f>
        <v>0.19005847953216382</v>
      </c>
      <c r="H52" s="820"/>
      <c r="I52" s="1163">
        <v>413.07225280431072</v>
      </c>
      <c r="J52" s="1158"/>
      <c r="K52" s="1159">
        <f>C52-I52</f>
        <v>-6.0722528043107218</v>
      </c>
      <c r="L52" s="1385">
        <f>IF(I52=0,"NM",C52/I52-1)</f>
        <v>-1.4700219545337956E-2</v>
      </c>
      <c r="M52" s="346"/>
      <c r="N52" s="345"/>
      <c r="O52" s="345"/>
      <c r="P52" s="565"/>
      <c r="Q52" s="371"/>
      <c r="R52" s="345"/>
      <c r="S52" s="345"/>
      <c r="T52" s="345"/>
      <c r="U52" s="346"/>
      <c r="V52" s="345"/>
      <c r="W52" s="345"/>
      <c r="X52" s="345"/>
      <c r="Y52" s="345"/>
      <c r="Z52" s="345"/>
      <c r="AA52" s="345"/>
      <c r="AB52" s="345"/>
      <c r="AC52" s="345"/>
      <c r="AD52" s="345"/>
      <c r="AE52" s="345"/>
      <c r="AF52" s="345"/>
      <c r="AG52" s="345"/>
      <c r="AH52" s="345"/>
      <c r="AI52" s="345"/>
      <c r="AJ52" s="345"/>
      <c r="AK52" s="345"/>
      <c r="AL52" s="345"/>
      <c r="AM52" s="345"/>
      <c r="AN52" s="345"/>
      <c r="AO52" s="345"/>
      <c r="AP52" s="345"/>
      <c r="AQ52" s="345"/>
      <c r="AR52" s="345"/>
      <c r="AS52" s="345"/>
      <c r="AT52" s="345"/>
      <c r="AU52" s="345"/>
    </row>
    <row r="53" spans="1:47" ht="5.25" customHeight="1" x14ac:dyDescent="0.2">
      <c r="A53" s="418"/>
      <c r="B53" s="418"/>
      <c r="C53" s="458"/>
      <c r="D53" s="1165"/>
      <c r="E53" s="458"/>
      <c r="F53" s="532"/>
      <c r="G53" s="482"/>
      <c r="H53" s="418"/>
      <c r="I53" s="1165"/>
      <c r="J53" s="458"/>
      <c r="K53" s="364"/>
      <c r="L53" s="482"/>
      <c r="M53" s="345"/>
      <c r="N53" s="345"/>
      <c r="O53" s="345"/>
      <c r="P53" s="565"/>
      <c r="Q53" s="371"/>
      <c r="R53" s="345"/>
      <c r="S53" s="345"/>
      <c r="T53" s="345"/>
      <c r="U53" s="346"/>
      <c r="V53" s="345"/>
      <c r="W53" s="345"/>
      <c r="X53" s="345"/>
      <c r="Y53" s="345"/>
      <c r="Z53" s="345"/>
      <c r="AA53" s="345"/>
      <c r="AB53" s="345"/>
      <c r="AC53" s="345"/>
      <c r="AD53" s="345"/>
      <c r="AE53" s="345"/>
      <c r="AF53" s="345"/>
      <c r="AG53" s="345"/>
      <c r="AH53" s="345"/>
      <c r="AI53" s="345"/>
      <c r="AJ53" s="345"/>
      <c r="AK53" s="345"/>
      <c r="AL53" s="345"/>
      <c r="AM53" s="345"/>
      <c r="AN53" s="345"/>
      <c r="AO53" s="345"/>
      <c r="AP53" s="345"/>
      <c r="AQ53" s="345"/>
      <c r="AR53" s="345"/>
      <c r="AS53" s="345"/>
      <c r="AT53" s="345"/>
      <c r="AU53" s="345"/>
    </row>
    <row r="54" spans="1:47" ht="13.5" customHeight="1" x14ac:dyDescent="0.2">
      <c r="A54" s="421"/>
      <c r="B54" s="418"/>
      <c r="C54" s="1165"/>
      <c r="D54" s="1165"/>
      <c r="E54" s="458"/>
      <c r="F54" s="364"/>
      <c r="G54" s="482"/>
      <c r="H54" s="418"/>
      <c r="I54" s="1165"/>
      <c r="J54" s="458"/>
      <c r="K54" s="364"/>
      <c r="L54" s="482"/>
      <c r="M54" s="345"/>
      <c r="N54" s="345"/>
      <c r="O54" s="345"/>
      <c r="P54" s="1293" t="s">
        <v>222</v>
      </c>
      <c r="Q54" s="371"/>
      <c r="R54" s="345"/>
      <c r="S54" s="345"/>
      <c r="T54" s="345"/>
      <c r="U54" s="346"/>
      <c r="V54" s="345"/>
      <c r="W54" s="345"/>
      <c r="X54" s="345"/>
      <c r="Y54" s="345"/>
      <c r="Z54" s="345"/>
      <c r="AA54" s="345"/>
      <c r="AB54" s="345"/>
      <c r="AC54" s="345"/>
      <c r="AD54" s="345"/>
      <c r="AE54" s="345"/>
      <c r="AF54" s="345"/>
      <c r="AG54" s="345"/>
      <c r="AH54" s="345"/>
      <c r="AI54" s="345"/>
      <c r="AJ54" s="345"/>
      <c r="AK54" s="345"/>
      <c r="AL54" s="345"/>
      <c r="AM54" s="345"/>
      <c r="AN54" s="345"/>
      <c r="AO54" s="345"/>
      <c r="AP54" s="345"/>
      <c r="AQ54" s="345"/>
      <c r="AR54" s="345"/>
      <c r="AS54" s="345"/>
      <c r="AT54" s="345"/>
      <c r="AU54" s="345"/>
    </row>
    <row r="55" spans="1:47" ht="13.5" customHeight="1" x14ac:dyDescent="0.2">
      <c r="A55" s="1146"/>
      <c r="B55" s="418"/>
      <c r="C55" s="418"/>
      <c r="D55" s="418"/>
      <c r="E55" s="418"/>
      <c r="F55" s="418"/>
      <c r="G55" s="462"/>
      <c r="H55" s="418"/>
      <c r="I55" s="418"/>
      <c r="J55" s="418"/>
      <c r="K55" s="418"/>
      <c r="L55" s="478"/>
      <c r="M55" s="345"/>
      <c r="N55" s="345"/>
      <c r="O55" s="345"/>
      <c r="Q55" s="371"/>
      <c r="R55" s="345"/>
      <c r="S55" s="345"/>
      <c r="T55" s="345"/>
      <c r="U55" s="346"/>
      <c r="V55" s="345"/>
      <c r="W55" s="345"/>
      <c r="X55" s="345"/>
      <c r="Y55" s="345"/>
      <c r="Z55" s="345"/>
      <c r="AA55" s="345"/>
      <c r="AB55" s="345"/>
      <c r="AC55" s="345"/>
      <c r="AD55" s="345"/>
      <c r="AE55" s="345"/>
      <c r="AF55" s="345"/>
      <c r="AG55" s="345"/>
      <c r="AH55" s="345"/>
      <c r="AI55" s="345"/>
      <c r="AJ55" s="345"/>
      <c r="AK55" s="345"/>
      <c r="AL55" s="345"/>
      <c r="AM55" s="345"/>
      <c r="AN55" s="345"/>
      <c r="AO55" s="345"/>
      <c r="AP55" s="345"/>
      <c r="AQ55" s="345"/>
      <c r="AR55" s="345"/>
      <c r="AS55" s="345"/>
      <c r="AT55" s="345"/>
      <c r="AU55" s="345"/>
    </row>
    <row r="56" spans="1:47" ht="13.5" customHeight="1" x14ac:dyDescent="0.2">
      <c r="A56" s="1146"/>
      <c r="B56" s="418"/>
      <c r="C56" s="418"/>
      <c r="D56" s="418"/>
      <c r="E56" s="418"/>
      <c r="F56" s="418"/>
      <c r="G56" s="462"/>
      <c r="H56" s="418"/>
      <c r="I56" s="418"/>
      <c r="J56" s="418"/>
      <c r="K56" s="418"/>
      <c r="L56" s="478"/>
      <c r="M56" s="345"/>
      <c r="N56" s="345"/>
      <c r="O56" s="345"/>
      <c r="P56" s="275" t="s">
        <v>91</v>
      </c>
      <c r="Q56" s="371"/>
      <c r="R56" s="345"/>
      <c r="S56" s="345"/>
      <c r="T56" s="345"/>
      <c r="U56" s="346"/>
      <c r="V56" s="345"/>
      <c r="W56" s="345"/>
      <c r="X56" s="345"/>
      <c r="Y56" s="345"/>
      <c r="Z56" s="345"/>
      <c r="AA56" s="345"/>
      <c r="AB56" s="345"/>
      <c r="AC56" s="345"/>
      <c r="AD56" s="345"/>
      <c r="AE56" s="345"/>
      <c r="AF56" s="345"/>
      <c r="AG56" s="345"/>
      <c r="AH56" s="345"/>
      <c r="AI56" s="345"/>
      <c r="AJ56" s="345"/>
      <c r="AK56" s="345"/>
      <c r="AL56" s="345"/>
      <c r="AM56" s="345"/>
      <c r="AN56" s="345"/>
      <c r="AO56" s="345"/>
      <c r="AP56" s="345"/>
      <c r="AQ56" s="345"/>
      <c r="AR56" s="345"/>
      <c r="AS56" s="345"/>
      <c r="AT56" s="345"/>
      <c r="AU56" s="345"/>
    </row>
    <row r="57" spans="1:47" ht="6.75" customHeight="1" x14ac:dyDescent="0.2">
      <c r="A57" s="1146"/>
      <c r="B57" s="418"/>
      <c r="C57" s="418"/>
      <c r="D57" s="418"/>
      <c r="E57" s="418"/>
      <c r="F57" s="418"/>
      <c r="G57" s="462"/>
      <c r="H57" s="418"/>
      <c r="I57" s="418"/>
      <c r="J57" s="418"/>
      <c r="K57" s="418"/>
      <c r="L57" s="478"/>
      <c r="M57" s="345"/>
      <c r="N57" s="345"/>
      <c r="O57" s="345"/>
      <c r="P57" s="275"/>
      <c r="Q57" s="371"/>
      <c r="R57" s="345"/>
      <c r="S57" s="345"/>
      <c r="T57" s="345"/>
      <c r="U57" s="346"/>
      <c r="V57" s="345"/>
      <c r="W57" s="345"/>
      <c r="X57" s="345"/>
      <c r="Y57" s="345"/>
      <c r="Z57" s="345"/>
      <c r="AA57" s="345"/>
      <c r="AB57" s="345"/>
      <c r="AC57" s="345"/>
      <c r="AD57" s="345"/>
      <c r="AE57" s="345"/>
      <c r="AF57" s="345"/>
      <c r="AG57" s="345"/>
      <c r="AH57" s="345"/>
      <c r="AI57" s="345"/>
      <c r="AJ57" s="345"/>
      <c r="AK57" s="345"/>
      <c r="AL57" s="345"/>
      <c r="AM57" s="345"/>
      <c r="AN57" s="345"/>
      <c r="AO57" s="345"/>
      <c r="AP57" s="345"/>
      <c r="AQ57" s="345"/>
      <c r="AR57" s="345"/>
      <c r="AS57" s="345"/>
      <c r="AT57" s="345"/>
      <c r="AU57" s="345"/>
    </row>
    <row r="58" spans="1:47" ht="13.5" customHeight="1" x14ac:dyDescent="0.2">
      <c r="B58" s="418"/>
      <c r="C58" s="418"/>
      <c r="D58" s="418"/>
      <c r="E58" s="418"/>
      <c r="F58" s="418"/>
      <c r="G58" s="462"/>
      <c r="H58" s="418"/>
      <c r="I58" s="418"/>
      <c r="J58" s="418"/>
      <c r="K58" s="418"/>
      <c r="L58" s="478"/>
      <c r="M58" s="345"/>
      <c r="N58" s="345"/>
      <c r="O58" s="345"/>
      <c r="P58" s="1294"/>
      <c r="Q58" s="1296" t="s">
        <v>1782</v>
      </c>
      <c r="R58" s="1143" t="s">
        <v>1938</v>
      </c>
      <c r="S58" s="1143"/>
      <c r="T58" s="1297" t="s">
        <v>424</v>
      </c>
      <c r="U58" s="346"/>
      <c r="V58" s="345"/>
      <c r="W58" s="345"/>
      <c r="X58" s="345"/>
      <c r="Y58" s="345"/>
      <c r="Z58" s="345"/>
      <c r="AA58" s="345"/>
      <c r="AB58" s="345"/>
      <c r="AC58" s="345"/>
      <c r="AD58" s="345"/>
      <c r="AE58" s="345"/>
      <c r="AF58" s="345"/>
      <c r="AG58" s="345"/>
      <c r="AH58" s="345"/>
      <c r="AI58" s="345"/>
      <c r="AJ58" s="345"/>
      <c r="AK58" s="345"/>
      <c r="AL58" s="345"/>
      <c r="AM58" s="345"/>
      <c r="AN58" s="345"/>
      <c r="AO58" s="345"/>
      <c r="AP58" s="345"/>
      <c r="AQ58" s="345"/>
      <c r="AR58" s="345"/>
      <c r="AS58" s="345"/>
      <c r="AT58" s="345"/>
      <c r="AU58" s="345"/>
    </row>
    <row r="59" spans="1:47" ht="13.5" customHeight="1" x14ac:dyDescent="0.2">
      <c r="A59" s="421"/>
      <c r="B59" s="418"/>
      <c r="C59" s="418"/>
      <c r="D59" s="418"/>
      <c r="E59" s="418"/>
      <c r="F59" s="418"/>
      <c r="G59" s="462"/>
      <c r="H59" s="418"/>
      <c r="I59" s="418"/>
      <c r="J59" s="418"/>
      <c r="K59" s="418"/>
      <c r="L59" s="478"/>
      <c r="M59" s="345"/>
      <c r="N59" s="345"/>
      <c r="O59" s="345"/>
      <c r="Q59" s="8"/>
      <c r="R59" s="8"/>
      <c r="S59" s="8"/>
      <c r="T59" s="1298"/>
      <c r="U59" s="346"/>
      <c r="V59" s="345"/>
      <c r="W59" s="345"/>
      <c r="X59" s="345"/>
      <c r="Y59" s="345"/>
      <c r="Z59" s="345"/>
      <c r="AA59" s="345"/>
      <c r="AB59" s="345"/>
      <c r="AC59" s="345"/>
      <c r="AD59" s="345"/>
      <c r="AE59" s="345"/>
      <c r="AF59" s="345"/>
      <c r="AG59" s="345"/>
      <c r="AH59" s="345"/>
      <c r="AI59" s="345"/>
      <c r="AJ59" s="345"/>
      <c r="AK59" s="345"/>
      <c r="AL59" s="345"/>
      <c r="AM59" s="345"/>
      <c r="AN59" s="345"/>
      <c r="AO59" s="345"/>
      <c r="AP59" s="345"/>
      <c r="AQ59" s="345"/>
      <c r="AR59" s="345"/>
      <c r="AS59" s="345"/>
      <c r="AT59" s="345"/>
      <c r="AU59" s="345"/>
    </row>
    <row r="60" spans="1:47" ht="13.5" customHeight="1" x14ac:dyDescent="0.2">
      <c r="A60" s="421"/>
      <c r="B60" s="418"/>
      <c r="C60" s="418"/>
      <c r="D60" s="418"/>
      <c r="E60" s="418"/>
      <c r="F60" s="418"/>
      <c r="G60" s="462"/>
      <c r="H60" s="418"/>
      <c r="I60" s="418"/>
      <c r="J60" s="418"/>
      <c r="K60" s="418"/>
      <c r="L60" s="478"/>
      <c r="M60" s="345"/>
      <c r="N60" s="345"/>
      <c r="O60" s="345"/>
      <c r="P60" s="369" t="s">
        <v>338</v>
      </c>
      <c r="Q60" s="1303" t="s">
        <v>828</v>
      </c>
      <c r="R60" s="1308">
        <f>C34</f>
        <v>1.7611464968152866</v>
      </c>
      <c r="S60" s="1307"/>
      <c r="T60" s="1915"/>
      <c r="U60" s="346"/>
      <c r="V60" s="345"/>
      <c r="W60" s="345"/>
      <c r="X60" s="345"/>
      <c r="Y60" s="345"/>
      <c r="Z60" s="345"/>
      <c r="AA60" s="345"/>
      <c r="AB60" s="345"/>
      <c r="AC60" s="345"/>
      <c r="AD60" s="345"/>
      <c r="AE60" s="345"/>
      <c r="AF60" s="345"/>
      <c r="AG60" s="345"/>
      <c r="AH60" s="345"/>
      <c r="AI60" s="345"/>
      <c r="AJ60" s="345"/>
      <c r="AK60" s="345"/>
      <c r="AL60" s="345"/>
      <c r="AM60" s="345"/>
      <c r="AN60" s="345"/>
      <c r="AO60" s="345"/>
      <c r="AP60" s="345"/>
      <c r="AQ60" s="345"/>
      <c r="AR60" s="345"/>
      <c r="AS60" s="345"/>
      <c r="AT60" s="345"/>
      <c r="AU60" s="345"/>
    </row>
    <row r="61" spans="1:47" ht="13.5" customHeight="1" x14ac:dyDescent="0.2">
      <c r="A61" s="421"/>
      <c r="B61" s="418"/>
      <c r="C61" s="418"/>
      <c r="D61" s="418"/>
      <c r="E61" s="418"/>
      <c r="F61" s="418"/>
      <c r="G61" s="462"/>
      <c r="H61" s="418"/>
      <c r="I61" s="418"/>
      <c r="J61" s="418"/>
      <c r="K61" s="418"/>
      <c r="L61" s="478"/>
      <c r="M61" s="345"/>
      <c r="N61" s="345"/>
      <c r="O61" s="345"/>
      <c r="Q61" s="2071"/>
      <c r="R61" s="8"/>
      <c r="S61" s="8"/>
      <c r="T61" s="1298"/>
      <c r="U61" s="346"/>
      <c r="V61" s="363"/>
      <c r="W61" s="345"/>
      <c r="X61" s="345"/>
      <c r="Y61" s="345"/>
      <c r="Z61" s="345"/>
      <c r="AA61" s="345"/>
      <c r="AB61" s="345"/>
      <c r="AC61" s="345"/>
      <c r="AD61" s="345"/>
      <c r="AE61" s="345"/>
      <c r="AF61" s="345"/>
      <c r="AG61" s="345"/>
      <c r="AH61" s="345"/>
      <c r="AI61" s="345"/>
      <c r="AJ61" s="345"/>
      <c r="AK61" s="345"/>
      <c r="AL61" s="345"/>
      <c r="AM61" s="345"/>
      <c r="AN61" s="345"/>
      <c r="AO61" s="345"/>
      <c r="AP61" s="345"/>
      <c r="AQ61" s="345"/>
      <c r="AR61" s="345"/>
      <c r="AS61" s="345"/>
      <c r="AT61" s="345"/>
      <c r="AU61" s="345"/>
    </row>
    <row r="62" spans="1:47" ht="13.5" customHeight="1" x14ac:dyDescent="0.2">
      <c r="A62" s="421"/>
      <c r="B62" s="418"/>
      <c r="C62" s="418"/>
      <c r="D62" s="418"/>
      <c r="E62" s="418"/>
      <c r="F62" s="418"/>
      <c r="G62" s="462"/>
      <c r="H62" s="418"/>
      <c r="I62" s="418"/>
      <c r="J62" s="418"/>
      <c r="K62" s="418"/>
      <c r="L62" s="478"/>
      <c r="M62" s="345"/>
      <c r="N62" s="345"/>
      <c r="O62" s="345"/>
      <c r="P62" s="563" t="s">
        <v>137</v>
      </c>
      <c r="Q62" s="2072"/>
      <c r="R62" s="1300"/>
      <c r="S62" s="1300"/>
      <c r="T62" s="1298"/>
      <c r="U62" s="346"/>
      <c r="V62" s="345"/>
      <c r="W62" s="345"/>
      <c r="X62" s="345"/>
      <c r="Y62" s="345"/>
      <c r="Z62" s="345"/>
      <c r="AA62" s="345"/>
      <c r="AB62" s="345"/>
      <c r="AC62" s="345"/>
      <c r="AD62" s="345"/>
      <c r="AE62" s="345"/>
      <c r="AF62" s="345"/>
      <c r="AG62" s="345"/>
      <c r="AH62" s="345"/>
      <c r="AI62" s="345"/>
      <c r="AJ62" s="345"/>
      <c r="AK62" s="345"/>
      <c r="AL62" s="345"/>
      <c r="AM62" s="345"/>
      <c r="AN62" s="345"/>
      <c r="AO62" s="345"/>
      <c r="AP62" s="345"/>
      <c r="AQ62" s="345"/>
      <c r="AR62" s="345"/>
      <c r="AS62" s="345"/>
      <c r="AT62" s="345"/>
      <c r="AU62" s="345"/>
    </row>
    <row r="63" spans="1:47" ht="13.5" customHeight="1" x14ac:dyDescent="0.2">
      <c r="A63" s="421"/>
      <c r="B63" s="418"/>
      <c r="C63" s="418"/>
      <c r="D63" s="418"/>
      <c r="E63" s="418"/>
      <c r="F63" s="418"/>
      <c r="G63" s="462"/>
      <c r="H63" s="418"/>
      <c r="I63" s="418"/>
      <c r="J63" s="418"/>
      <c r="K63" s="418"/>
      <c r="L63" s="478"/>
      <c r="M63" s="345"/>
      <c r="N63" s="345"/>
      <c r="O63" s="345"/>
      <c r="P63" s="213" t="s">
        <v>1143</v>
      </c>
      <c r="Q63" s="1301" t="s">
        <v>1571</v>
      </c>
      <c r="R63" s="1302">
        <v>4.7E-2</v>
      </c>
      <c r="S63" s="1302"/>
      <c r="T63" s="1408"/>
      <c r="U63" s="346"/>
      <c r="V63" s="345"/>
      <c r="W63" s="345"/>
      <c r="X63" s="345"/>
      <c r="Y63" s="345"/>
      <c r="Z63" s="345"/>
      <c r="AA63" s="345"/>
      <c r="AB63" s="345"/>
      <c r="AC63" s="345"/>
      <c r="AD63" s="345"/>
      <c r="AE63" s="345"/>
      <c r="AF63" s="345"/>
      <c r="AG63" s="345"/>
      <c r="AH63" s="345"/>
      <c r="AI63" s="345"/>
      <c r="AJ63" s="345"/>
      <c r="AK63" s="345"/>
      <c r="AL63" s="345"/>
      <c r="AM63" s="345"/>
      <c r="AN63" s="345"/>
      <c r="AO63" s="345"/>
      <c r="AP63" s="345"/>
      <c r="AQ63" s="345"/>
      <c r="AR63" s="345"/>
      <c r="AS63" s="345"/>
      <c r="AT63" s="345"/>
      <c r="AU63" s="345"/>
    </row>
    <row r="64" spans="1:47" ht="13.5" customHeight="1" x14ac:dyDescent="0.2">
      <c r="A64" s="421"/>
      <c r="B64" s="418"/>
      <c r="C64" s="418"/>
      <c r="D64" s="418"/>
      <c r="E64" s="418"/>
      <c r="F64" s="418"/>
      <c r="G64" s="462"/>
      <c r="H64" s="418"/>
      <c r="I64" s="418"/>
      <c r="J64" s="418"/>
      <c r="K64" s="418"/>
      <c r="L64" s="478"/>
      <c r="M64" s="345"/>
      <c r="N64" s="345"/>
      <c r="O64" s="345"/>
      <c r="P64" s="369" t="s">
        <v>1309</v>
      </c>
      <c r="Q64" s="1301" t="s">
        <v>2220</v>
      </c>
      <c r="R64" s="1302">
        <v>5.1999999999999998E-2</v>
      </c>
      <c r="S64" s="1302"/>
      <c r="T64" s="1408"/>
      <c r="U64" s="346"/>
      <c r="V64" s="345"/>
      <c r="W64" s="345"/>
      <c r="X64" s="345"/>
      <c r="Y64" s="345"/>
      <c r="Z64" s="345"/>
      <c r="AA64" s="345"/>
      <c r="AB64" s="345"/>
      <c r="AC64" s="345"/>
      <c r="AD64" s="345"/>
      <c r="AE64" s="345"/>
      <c r="AF64" s="345"/>
      <c r="AG64" s="345"/>
      <c r="AH64" s="345"/>
      <c r="AI64" s="345"/>
      <c r="AJ64" s="345"/>
      <c r="AK64" s="345"/>
      <c r="AL64" s="345"/>
      <c r="AM64" s="345"/>
      <c r="AN64" s="345"/>
      <c r="AO64" s="345"/>
      <c r="AP64" s="345"/>
      <c r="AQ64" s="345"/>
      <c r="AR64" s="345"/>
      <c r="AS64" s="345"/>
      <c r="AT64" s="345"/>
      <c r="AU64" s="345"/>
    </row>
    <row r="65" spans="1:47" ht="13.5" customHeight="1" x14ac:dyDescent="0.2">
      <c r="A65" s="418"/>
      <c r="B65" s="418"/>
      <c r="C65" s="418"/>
      <c r="D65" s="418"/>
      <c r="E65" s="418"/>
      <c r="F65" s="418"/>
      <c r="G65" s="462"/>
      <c r="H65" s="418"/>
      <c r="I65" s="418"/>
      <c r="J65" s="418"/>
      <c r="K65" s="418"/>
      <c r="L65" s="478"/>
      <c r="M65" s="345"/>
      <c r="N65" s="345"/>
      <c r="O65" s="345"/>
      <c r="P65" s="369" t="s">
        <v>2036</v>
      </c>
      <c r="Q65" s="1301" t="s">
        <v>1127</v>
      </c>
      <c r="R65" s="1302">
        <v>2.8000000000000001E-2</v>
      </c>
      <c r="S65" s="1302"/>
      <c r="T65" s="1408"/>
      <c r="U65" s="346"/>
      <c r="V65" s="345"/>
      <c r="W65" s="345"/>
      <c r="X65" s="345"/>
      <c r="Y65" s="345"/>
      <c r="Z65" s="345"/>
      <c r="AA65" s="345"/>
      <c r="AB65" s="345"/>
      <c r="AC65" s="345"/>
      <c r="AD65" s="345"/>
      <c r="AE65" s="345"/>
      <c r="AF65" s="345"/>
      <c r="AG65" s="345"/>
      <c r="AH65" s="345"/>
      <c r="AI65" s="345"/>
      <c r="AJ65" s="345"/>
      <c r="AK65" s="345"/>
      <c r="AL65" s="345"/>
      <c r="AM65" s="345"/>
      <c r="AN65" s="345"/>
      <c r="AO65" s="345"/>
      <c r="AP65" s="345"/>
      <c r="AQ65" s="345"/>
      <c r="AR65" s="345"/>
      <c r="AS65" s="345"/>
      <c r="AT65" s="345"/>
      <c r="AU65" s="345"/>
    </row>
    <row r="66" spans="1:47" ht="13.5" customHeight="1" x14ac:dyDescent="0.2">
      <c r="A66" s="418"/>
      <c r="B66" s="418"/>
      <c r="C66" s="418"/>
      <c r="D66" s="418"/>
      <c r="E66" s="418"/>
      <c r="F66" s="418"/>
      <c r="G66" s="462"/>
      <c r="H66" s="418"/>
      <c r="I66" s="418"/>
      <c r="J66" s="418"/>
      <c r="K66" s="418"/>
      <c r="L66" s="478"/>
      <c r="M66" s="345"/>
      <c r="N66" s="345"/>
      <c r="O66" s="345"/>
      <c r="P66" s="392"/>
      <c r="Q66" s="2073"/>
      <c r="R66" s="1300"/>
      <c r="S66" s="1300"/>
      <c r="T66" s="1298"/>
      <c r="U66" s="346"/>
      <c r="V66" s="345"/>
      <c r="W66" s="345"/>
      <c r="X66" s="345"/>
      <c r="Y66" s="345"/>
      <c r="Z66" s="345"/>
      <c r="AA66" s="345"/>
      <c r="AB66" s="345"/>
      <c r="AC66" s="345"/>
      <c r="AD66" s="345"/>
      <c r="AE66" s="345"/>
      <c r="AF66" s="345"/>
      <c r="AG66" s="345"/>
      <c r="AH66" s="345"/>
      <c r="AI66" s="345"/>
      <c r="AJ66" s="345"/>
      <c r="AK66" s="345"/>
      <c r="AL66" s="345"/>
      <c r="AM66" s="345"/>
      <c r="AN66" s="345"/>
      <c r="AO66" s="345"/>
      <c r="AP66" s="345"/>
      <c r="AQ66" s="345"/>
      <c r="AR66" s="345"/>
      <c r="AS66" s="345"/>
      <c r="AT66" s="345"/>
      <c r="AU66" s="345"/>
    </row>
    <row r="67" spans="1:47" ht="13.5" customHeight="1" x14ac:dyDescent="0.2">
      <c r="A67" s="418"/>
      <c r="B67" s="418"/>
      <c r="C67" s="418"/>
      <c r="D67" s="418"/>
      <c r="E67" s="418"/>
      <c r="F67" s="418"/>
      <c r="G67" s="462"/>
      <c r="H67" s="418"/>
      <c r="I67" s="418"/>
      <c r="J67" s="418"/>
      <c r="K67" s="418"/>
      <c r="L67" s="478"/>
      <c r="M67" s="345"/>
      <c r="N67" s="345"/>
      <c r="O67" s="345"/>
      <c r="P67" s="1295" t="s">
        <v>125</v>
      </c>
      <c r="Q67" s="2073"/>
      <c r="R67" s="1300"/>
      <c r="S67" s="1300"/>
      <c r="T67" s="1298"/>
      <c r="U67" s="346"/>
      <c r="V67" s="345"/>
      <c r="W67" s="345"/>
      <c r="X67" s="345"/>
      <c r="Y67" s="345"/>
      <c r="Z67" s="345"/>
      <c r="AA67" s="345"/>
      <c r="AB67" s="345"/>
      <c r="AC67" s="345"/>
      <c r="AD67" s="345"/>
      <c r="AE67" s="345"/>
      <c r="AF67" s="345"/>
      <c r="AG67" s="345"/>
      <c r="AH67" s="345"/>
      <c r="AI67" s="345"/>
      <c r="AJ67" s="345"/>
      <c r="AK67" s="345"/>
      <c r="AL67" s="345"/>
      <c r="AM67" s="345"/>
      <c r="AN67" s="345"/>
      <c r="AO67" s="345"/>
      <c r="AP67" s="345"/>
      <c r="AQ67" s="345"/>
      <c r="AR67" s="345"/>
      <c r="AS67" s="345"/>
      <c r="AT67" s="345"/>
      <c r="AU67" s="345"/>
    </row>
    <row r="68" spans="1:47" ht="13.5" customHeight="1" x14ac:dyDescent="0.2">
      <c r="A68" s="418"/>
      <c r="B68" s="418"/>
      <c r="C68" s="418"/>
      <c r="D68" s="418"/>
      <c r="E68" s="418"/>
      <c r="F68" s="418"/>
      <c r="G68" s="462"/>
      <c r="H68" s="418"/>
      <c r="I68" s="418"/>
      <c r="J68" s="418"/>
      <c r="K68" s="418"/>
      <c r="L68" s="478"/>
      <c r="M68" s="345"/>
      <c r="N68" s="345"/>
      <c r="O68" s="345"/>
      <c r="P68" s="213" t="s">
        <v>139</v>
      </c>
      <c r="Q68" s="1304" t="s">
        <v>225</v>
      </c>
      <c r="R68" s="1421">
        <f>C9</f>
        <v>407</v>
      </c>
      <c r="S68" s="1303"/>
      <c r="T68" s="1409"/>
      <c r="U68" s="346"/>
      <c r="V68" s="345"/>
      <c r="W68" s="345"/>
      <c r="X68" s="345"/>
      <c r="Y68" s="345"/>
      <c r="Z68" s="345"/>
      <c r="AA68" s="345"/>
      <c r="AB68" s="345"/>
      <c r="AC68" s="345"/>
      <c r="AD68" s="345"/>
      <c r="AE68" s="345"/>
      <c r="AF68" s="345"/>
      <c r="AG68" s="345"/>
      <c r="AH68" s="345"/>
      <c r="AI68" s="345"/>
      <c r="AJ68" s="345"/>
      <c r="AK68" s="345"/>
      <c r="AL68" s="345"/>
      <c r="AM68" s="345"/>
      <c r="AN68" s="345"/>
      <c r="AO68" s="345"/>
      <c r="AP68" s="345"/>
      <c r="AQ68" s="345"/>
      <c r="AR68" s="345"/>
      <c r="AS68" s="345"/>
      <c r="AT68" s="345"/>
      <c r="AU68" s="345"/>
    </row>
    <row r="69" spans="1:47" ht="13.5" customHeight="1" x14ac:dyDescent="0.2">
      <c r="A69" s="418"/>
      <c r="B69" s="418"/>
      <c r="C69" s="418"/>
      <c r="D69" s="418"/>
      <c r="E69" s="418"/>
      <c r="F69" s="418"/>
      <c r="G69" s="462"/>
      <c r="H69" s="418"/>
      <c r="I69" s="418"/>
      <c r="J69" s="418"/>
      <c r="K69" s="418"/>
      <c r="L69" s="478"/>
      <c r="M69" s="345"/>
      <c r="N69" s="345"/>
      <c r="O69" s="345"/>
      <c r="P69" s="369" t="s">
        <v>138</v>
      </c>
      <c r="Q69" s="1303" t="s">
        <v>226</v>
      </c>
      <c r="R69" s="1389">
        <f>C10-C14</f>
        <v>65</v>
      </c>
      <c r="S69" s="1305"/>
      <c r="T69" s="1298"/>
      <c r="U69" s="346"/>
      <c r="V69" s="1166"/>
      <c r="W69" s="345"/>
      <c r="X69" s="345"/>
      <c r="Y69" s="345"/>
      <c r="Z69" s="345"/>
      <c r="AA69" s="345"/>
      <c r="AB69" s="345"/>
      <c r="AC69" s="345"/>
      <c r="AD69" s="345"/>
      <c r="AE69" s="345"/>
      <c r="AF69" s="345"/>
      <c r="AG69" s="345"/>
      <c r="AH69" s="345"/>
      <c r="AI69" s="345"/>
      <c r="AJ69" s="345"/>
      <c r="AK69" s="345"/>
      <c r="AL69" s="345"/>
      <c r="AM69" s="345"/>
      <c r="AN69" s="345"/>
      <c r="AO69" s="345"/>
      <c r="AP69" s="345"/>
      <c r="AQ69" s="345"/>
      <c r="AR69" s="345"/>
      <c r="AS69" s="345"/>
      <c r="AT69" s="345"/>
      <c r="AU69" s="345"/>
    </row>
    <row r="70" spans="1:47" ht="13.5" customHeight="1" x14ac:dyDescent="0.2">
      <c r="A70" s="418"/>
      <c r="B70" s="418"/>
      <c r="C70" s="418"/>
      <c r="D70" s="418"/>
      <c r="E70" s="418"/>
      <c r="F70" s="418"/>
      <c r="G70" s="462"/>
      <c r="H70" s="418"/>
      <c r="I70" s="418"/>
      <c r="J70" s="418"/>
      <c r="K70" s="418"/>
      <c r="L70" s="478"/>
      <c r="M70" s="345"/>
      <c r="N70" s="345"/>
      <c r="O70" s="345"/>
      <c r="Q70" s="783"/>
      <c r="S70" s="1300"/>
      <c r="T70" s="1298"/>
      <c r="U70" s="346"/>
      <c r="V70" s="345"/>
      <c r="W70" s="345"/>
      <c r="X70" s="345"/>
      <c r="Y70" s="345"/>
      <c r="Z70" s="345"/>
      <c r="AA70" s="345"/>
      <c r="AB70" s="345"/>
      <c r="AC70" s="345"/>
      <c r="AD70" s="345"/>
      <c r="AE70" s="345"/>
      <c r="AF70" s="345"/>
      <c r="AG70" s="345"/>
      <c r="AH70" s="345"/>
      <c r="AI70" s="345"/>
      <c r="AJ70" s="345"/>
      <c r="AK70" s="345"/>
      <c r="AL70" s="345"/>
      <c r="AM70" s="345"/>
      <c r="AN70" s="345"/>
      <c r="AO70" s="345"/>
      <c r="AP70" s="345"/>
      <c r="AQ70" s="311">
        <f>79/222</f>
        <v>0.35585585585585583</v>
      </c>
      <c r="AR70" s="345"/>
      <c r="AS70" s="345"/>
      <c r="AT70" s="345"/>
      <c r="AU70" s="345"/>
    </row>
    <row r="71" spans="1:47" ht="13.5" customHeight="1" x14ac:dyDescent="0.2">
      <c r="A71" s="418"/>
      <c r="B71" s="418"/>
      <c r="C71" s="418"/>
      <c r="D71" s="418"/>
      <c r="E71" s="418"/>
      <c r="F71" s="418"/>
      <c r="G71" s="462"/>
      <c r="H71" s="418"/>
      <c r="I71" s="418"/>
      <c r="J71" s="418"/>
      <c r="K71" s="418"/>
      <c r="L71" s="478"/>
      <c r="M71" s="345"/>
      <c r="N71" s="345"/>
      <c r="O71" s="345"/>
      <c r="P71" s="1295" t="s">
        <v>1931</v>
      </c>
      <c r="Q71" s="2070"/>
      <c r="R71" s="1300"/>
      <c r="S71" s="1300"/>
      <c r="T71" s="1298"/>
      <c r="U71" s="346"/>
      <c r="V71" s="345"/>
      <c r="W71" s="345"/>
      <c r="X71" s="345"/>
      <c r="Y71" s="345"/>
      <c r="Z71" s="345"/>
      <c r="AA71" s="345"/>
      <c r="AB71" s="345"/>
      <c r="AC71" s="345"/>
      <c r="AD71" s="345"/>
      <c r="AE71" s="345"/>
      <c r="AF71" s="345"/>
      <c r="AG71" s="345"/>
      <c r="AH71" s="345"/>
      <c r="AI71" s="345"/>
      <c r="AJ71" s="345"/>
      <c r="AK71" s="345"/>
      <c r="AL71" s="345"/>
      <c r="AM71" s="345"/>
      <c r="AN71" s="345"/>
      <c r="AO71" s="345"/>
      <c r="AP71" s="345"/>
      <c r="AR71" s="345"/>
      <c r="AS71" s="345"/>
      <c r="AT71" s="345"/>
      <c r="AU71" s="345"/>
    </row>
    <row r="72" spans="1:47" ht="13.5" customHeight="1" x14ac:dyDescent="0.2">
      <c r="A72" s="418"/>
      <c r="B72" s="418"/>
      <c r="C72" s="418"/>
      <c r="D72" s="418"/>
      <c r="E72" s="418"/>
      <c r="F72" s="418"/>
      <c r="G72" s="462"/>
      <c r="H72" s="418"/>
      <c r="I72" s="418"/>
      <c r="J72" s="418"/>
      <c r="K72" s="418"/>
      <c r="L72" s="478"/>
      <c r="M72" s="345"/>
      <c r="N72" s="345"/>
      <c r="O72" s="345"/>
      <c r="P72" s="369" t="s">
        <v>140</v>
      </c>
      <c r="Q72" s="1305" t="s">
        <v>224</v>
      </c>
      <c r="R72" s="1407">
        <f>C15</f>
        <v>160</v>
      </c>
      <c r="S72" s="1300"/>
      <c r="T72" s="1409"/>
      <c r="U72" s="346"/>
      <c r="V72" s="1767"/>
      <c r="W72" s="345"/>
      <c r="X72" s="345"/>
      <c r="Y72" s="345"/>
      <c r="Z72" s="345"/>
      <c r="AA72" s="345"/>
      <c r="AB72" s="345"/>
      <c r="AC72" s="345"/>
      <c r="AD72" s="345"/>
      <c r="AE72" s="345"/>
      <c r="AF72" s="345"/>
      <c r="AG72" s="345"/>
      <c r="AH72" s="345"/>
      <c r="AI72" s="345"/>
      <c r="AJ72" s="345"/>
      <c r="AK72" s="345"/>
      <c r="AL72" s="345"/>
      <c r="AM72" s="345"/>
      <c r="AN72" s="345"/>
      <c r="AO72" s="345"/>
      <c r="AP72" s="345"/>
      <c r="AQ72" s="345"/>
      <c r="AR72" s="345"/>
      <c r="AS72" s="345"/>
      <c r="AT72" s="345"/>
      <c r="AU72" s="345"/>
    </row>
    <row r="73" spans="1:47" ht="13.5" customHeight="1" x14ac:dyDescent="0.2">
      <c r="A73" s="418"/>
      <c r="B73" s="418"/>
      <c r="C73" s="418"/>
      <c r="D73" s="418"/>
      <c r="E73" s="418"/>
      <c r="F73" s="418"/>
      <c r="G73" s="462"/>
      <c r="H73" s="418"/>
      <c r="I73" s="418"/>
      <c r="J73" s="418"/>
      <c r="K73" s="418"/>
      <c r="L73" s="478"/>
      <c r="M73" s="345"/>
      <c r="N73" s="345"/>
      <c r="O73" s="345"/>
      <c r="P73" s="213" t="s">
        <v>141</v>
      </c>
      <c r="Q73" s="1304" t="s">
        <v>223</v>
      </c>
      <c r="R73" s="1300">
        <f>C21</f>
        <v>653</v>
      </c>
      <c r="S73" s="1300"/>
      <c r="T73" s="1298"/>
      <c r="U73" s="346"/>
      <c r="V73" s="345"/>
      <c r="W73" s="345"/>
      <c r="X73" s="345"/>
      <c r="Y73" s="345"/>
      <c r="Z73" s="345"/>
      <c r="AA73" s="345"/>
      <c r="AB73" s="345"/>
      <c r="AC73" s="345"/>
      <c r="AD73" s="345"/>
      <c r="AE73" s="345"/>
      <c r="AF73" s="345"/>
      <c r="AG73" s="345"/>
      <c r="AH73" s="345"/>
      <c r="AI73" s="345"/>
      <c r="AJ73" s="345"/>
      <c r="AK73" s="345"/>
      <c r="AL73" s="345"/>
      <c r="AM73" s="345"/>
      <c r="AN73" s="345"/>
      <c r="AO73" s="345"/>
      <c r="AP73" s="345"/>
      <c r="AQ73" s="345"/>
      <c r="AR73" s="345"/>
      <c r="AS73" s="345"/>
      <c r="AT73" s="345"/>
      <c r="AU73" s="345"/>
    </row>
    <row r="74" spans="1:47" ht="13.5" customHeight="1" x14ac:dyDescent="0.2">
      <c r="A74" s="418"/>
      <c r="B74" s="418"/>
      <c r="C74" s="418"/>
      <c r="D74" s="418"/>
      <c r="E74" s="418"/>
      <c r="F74" s="418"/>
      <c r="G74" s="462"/>
      <c r="H74" s="418"/>
      <c r="I74" s="418"/>
      <c r="J74" s="418"/>
      <c r="K74" s="418"/>
      <c r="L74" s="478"/>
      <c r="M74" s="345"/>
      <c r="N74" s="345"/>
      <c r="O74" s="345"/>
      <c r="P74" s="213" t="s">
        <v>89</v>
      </c>
      <c r="Q74" s="1303">
        <v>-25</v>
      </c>
      <c r="R74" s="1300">
        <f>C23</f>
        <v>-29</v>
      </c>
      <c r="S74" s="1300"/>
      <c r="T74" s="1298"/>
      <c r="U74" s="346"/>
      <c r="V74" s="345"/>
      <c r="W74" s="345"/>
      <c r="X74" s="345"/>
      <c r="Y74" s="345"/>
      <c r="Z74" s="345"/>
      <c r="AA74" s="345"/>
      <c r="AB74" s="345"/>
      <c r="AC74" s="345"/>
      <c r="AD74" s="345"/>
      <c r="AE74" s="345"/>
      <c r="AF74" s="345"/>
      <c r="AG74" s="345"/>
      <c r="AH74" s="345"/>
      <c r="AI74" s="345"/>
      <c r="AJ74" s="345"/>
      <c r="AK74" s="345"/>
      <c r="AL74" s="345"/>
      <c r="AM74" s="345"/>
      <c r="AN74" s="345"/>
      <c r="AO74" s="345"/>
      <c r="AP74" s="345"/>
      <c r="AQ74" s="345"/>
      <c r="AR74" s="345"/>
      <c r="AS74" s="345"/>
      <c r="AT74" s="345"/>
      <c r="AU74" s="345"/>
    </row>
    <row r="75" spans="1:47" ht="13.5" customHeight="1" x14ac:dyDescent="0.2">
      <c r="A75" s="421"/>
      <c r="B75" s="418"/>
      <c r="C75" s="424"/>
      <c r="D75" s="424"/>
      <c r="E75" s="424"/>
      <c r="F75" s="424"/>
      <c r="G75" s="457"/>
      <c r="H75" s="477"/>
      <c r="I75" s="424"/>
      <c r="J75" s="424"/>
      <c r="K75" s="424"/>
      <c r="L75" s="465"/>
      <c r="M75" s="345"/>
      <c r="N75" s="345"/>
      <c r="O75" s="345"/>
      <c r="P75" s="213" t="s">
        <v>1294</v>
      </c>
      <c r="Q75" s="1303">
        <v>-3</v>
      </c>
      <c r="R75" s="1300">
        <f>C26</f>
        <v>-2</v>
      </c>
      <c r="S75" s="1300"/>
      <c r="T75" s="1298"/>
      <c r="U75" s="346"/>
      <c r="V75" s="345"/>
      <c r="W75" s="345"/>
      <c r="X75" s="345"/>
      <c r="Y75" s="345"/>
      <c r="Z75" s="345"/>
      <c r="AA75" s="345"/>
      <c r="AB75" s="345"/>
      <c r="AC75" s="345"/>
      <c r="AD75" s="345"/>
      <c r="AE75" s="345"/>
      <c r="AF75" s="345"/>
      <c r="AG75" s="345"/>
      <c r="AH75" s="345"/>
      <c r="AI75" s="345"/>
      <c r="AJ75" s="345"/>
      <c r="AK75" s="345"/>
      <c r="AL75" s="345"/>
      <c r="AM75" s="345"/>
      <c r="AN75" s="345"/>
      <c r="AO75" s="345"/>
      <c r="AP75" s="345"/>
      <c r="AQ75" s="345"/>
      <c r="AR75" s="345"/>
      <c r="AS75" s="345"/>
      <c r="AT75" s="345"/>
      <c r="AU75" s="345"/>
    </row>
    <row r="76" spans="1:47" ht="5.25" customHeight="1" x14ac:dyDescent="0.2">
      <c r="A76" s="418"/>
      <c r="B76" s="418"/>
      <c r="C76" s="418"/>
      <c r="D76" s="418"/>
      <c r="E76" s="418"/>
      <c r="F76" s="418"/>
      <c r="G76" s="462"/>
      <c r="H76" s="418"/>
      <c r="I76" s="418"/>
      <c r="J76" s="418"/>
      <c r="K76" s="418"/>
      <c r="L76" s="478"/>
      <c r="M76" s="345"/>
      <c r="N76" s="345"/>
      <c r="O76" s="345"/>
      <c r="T76" s="1306"/>
      <c r="U76" s="346"/>
      <c r="V76" s="345"/>
      <c r="W76" s="345"/>
      <c r="X76" s="345"/>
      <c r="Y76" s="345"/>
      <c r="Z76" s="345"/>
      <c r="AA76" s="345"/>
      <c r="AB76" s="345"/>
      <c r="AC76" s="345"/>
      <c r="AD76" s="345"/>
      <c r="AE76" s="345"/>
      <c r="AF76" s="345"/>
      <c r="AG76" s="345"/>
      <c r="AH76" s="345"/>
      <c r="AI76" s="345"/>
      <c r="AJ76" s="345"/>
      <c r="AK76" s="345"/>
      <c r="AL76" s="345"/>
      <c r="AM76" s="345"/>
      <c r="AN76" s="345"/>
      <c r="AO76" s="345"/>
      <c r="AP76" s="345"/>
      <c r="AQ76" s="345"/>
      <c r="AR76" s="345"/>
      <c r="AS76" s="345"/>
      <c r="AT76" s="345"/>
      <c r="AU76" s="345"/>
    </row>
    <row r="77" spans="1:47" ht="6.75" customHeight="1" x14ac:dyDescent="0.2">
      <c r="A77" s="418"/>
      <c r="B77" s="418"/>
      <c r="C77" s="459"/>
      <c r="D77" s="459"/>
      <c r="E77" s="459"/>
      <c r="F77" s="418"/>
      <c r="G77" s="467"/>
      <c r="H77" s="418"/>
      <c r="I77" s="470"/>
      <c r="J77" s="459"/>
      <c r="K77" s="418"/>
      <c r="L77" s="467"/>
      <c r="M77" s="418"/>
      <c r="N77" s="418"/>
      <c r="O77" s="418"/>
      <c r="P77" s="418"/>
      <c r="Q77" s="418"/>
      <c r="R77" s="418"/>
      <c r="S77" s="418"/>
      <c r="T77" s="418"/>
      <c r="U77" s="418"/>
      <c r="V77" s="418"/>
      <c r="W77" s="418"/>
      <c r="X77" s="418"/>
      <c r="Y77" s="418"/>
      <c r="Z77" s="418"/>
      <c r="AA77" s="418"/>
      <c r="AB77" s="418"/>
      <c r="AC77" s="418"/>
      <c r="AD77" s="418"/>
      <c r="AE77" s="418"/>
      <c r="AF77" s="418"/>
      <c r="AG77" s="418"/>
      <c r="AH77" s="418"/>
      <c r="AI77" s="418"/>
      <c r="AJ77" s="418"/>
      <c r="AK77" s="418"/>
      <c r="AL77" s="418"/>
      <c r="AM77" s="418"/>
      <c r="AN77" s="418"/>
      <c r="AO77" s="418"/>
      <c r="AP77" s="418"/>
      <c r="AQ77" s="418"/>
      <c r="AR77" s="418"/>
      <c r="AS77" s="418"/>
      <c r="AT77" s="418"/>
      <c r="AU77" s="418"/>
    </row>
    <row r="78" spans="1:47" s="70" customFormat="1" ht="13.5" customHeight="1" x14ac:dyDescent="0.2">
      <c r="A78" s="418"/>
      <c r="B78" s="418"/>
      <c r="C78" s="460"/>
      <c r="D78" s="460"/>
      <c r="E78" s="423"/>
      <c r="F78" s="460"/>
      <c r="G78" s="467"/>
      <c r="H78" s="418"/>
      <c r="I78" s="471"/>
      <c r="J78" s="460"/>
      <c r="K78" s="423"/>
      <c r="L78" s="469"/>
      <c r="M78" s="418"/>
      <c r="N78" s="418"/>
      <c r="O78" s="418"/>
      <c r="P78" s="418"/>
      <c r="Q78" s="418"/>
      <c r="R78" s="418"/>
      <c r="S78" s="418"/>
      <c r="T78" s="418"/>
      <c r="U78" s="418"/>
      <c r="V78" s="248" t="s">
        <v>92</v>
      </c>
    </row>
    <row r="79" spans="1:47" s="70" customFormat="1" ht="13.5" customHeight="1" x14ac:dyDescent="0.2">
      <c r="A79" s="418"/>
      <c r="B79" s="418"/>
      <c r="C79" s="460"/>
      <c r="D79" s="460"/>
      <c r="E79" s="423"/>
      <c r="F79" s="460"/>
      <c r="G79" s="467"/>
      <c r="H79" s="418"/>
      <c r="I79" s="471"/>
      <c r="J79" s="460"/>
      <c r="K79" s="423"/>
      <c r="L79" s="469"/>
      <c r="M79" s="418"/>
      <c r="N79" s="418"/>
      <c r="O79" s="418"/>
      <c r="P79" s="418"/>
      <c r="Q79" s="418"/>
      <c r="R79" s="1422"/>
      <c r="S79" s="418"/>
      <c r="T79" s="418"/>
      <c r="U79" s="418"/>
      <c r="V79" s="275" t="s">
        <v>91</v>
      </c>
    </row>
    <row r="80" spans="1:47" s="70" customFormat="1" ht="13.5" customHeight="1" x14ac:dyDescent="0.2">
      <c r="A80" s="418"/>
      <c r="B80" s="418"/>
      <c r="C80" s="460"/>
      <c r="D80" s="460"/>
      <c r="E80" s="423"/>
      <c r="F80" s="460"/>
      <c r="G80" s="467"/>
      <c r="H80" s="418"/>
      <c r="I80" s="471"/>
      <c r="J80" s="460"/>
      <c r="K80" s="423"/>
      <c r="L80" s="469"/>
      <c r="M80" s="418"/>
      <c r="N80" s="418"/>
      <c r="O80" s="418"/>
      <c r="P80" s="418"/>
      <c r="Q80" s="418"/>
      <c r="R80" s="418"/>
      <c r="S80" s="418"/>
      <c r="T80" s="418"/>
      <c r="U80" s="418"/>
      <c r="X80" s="2110"/>
      <c r="Y80" s="2110"/>
      <c r="Z80" s="2110"/>
      <c r="AE80" s="212"/>
      <c r="AF80" s="212"/>
      <c r="AG80" s="212"/>
      <c r="AH80" s="621"/>
      <c r="AI80" s="621"/>
      <c r="AJ80" s="621"/>
      <c r="AK80" s="621"/>
      <c r="AL80" s="395"/>
      <c r="AM80" s="212"/>
      <c r="AN80" s="212"/>
      <c r="AO80" s="212"/>
      <c r="AP80" s="390"/>
      <c r="AQ80" s="390"/>
      <c r="AR80" s="390"/>
      <c r="AS80" s="390"/>
      <c r="AT80" s="390"/>
      <c r="AU80" s="390"/>
    </row>
    <row r="81" spans="1:49" s="70" customFormat="1" ht="13.5" customHeight="1" x14ac:dyDescent="0.2">
      <c r="A81" s="418"/>
      <c r="B81" s="418"/>
      <c r="C81" s="460"/>
      <c r="D81" s="460"/>
      <c r="E81" s="423"/>
      <c r="F81" s="460"/>
      <c r="G81" s="467"/>
      <c r="H81" s="418"/>
      <c r="I81" s="471"/>
      <c r="J81" s="460"/>
      <c r="K81" s="423"/>
      <c r="L81" s="469"/>
      <c r="M81" s="418"/>
      <c r="N81" s="418"/>
      <c r="O81" s="418"/>
      <c r="P81" s="418"/>
      <c r="Q81" s="418"/>
      <c r="R81" s="418"/>
      <c r="S81" s="418"/>
      <c r="T81" s="418"/>
      <c r="U81" s="418"/>
      <c r="V81" s="2131" t="s">
        <v>1723</v>
      </c>
      <c r="W81" s="2110"/>
      <c r="X81" s="2110"/>
      <c r="Y81" s="2110"/>
      <c r="Z81" s="2110"/>
      <c r="AA81" s="3944" t="s">
        <v>142</v>
      </c>
      <c r="AB81" s="3944"/>
      <c r="AC81" s="3944"/>
      <c r="AD81" s="537"/>
      <c r="AE81" s="1309" t="s">
        <v>1724</v>
      </c>
      <c r="AF81" s="1309"/>
      <c r="AG81" s="1309"/>
      <c r="AH81" s="390"/>
      <c r="AI81" s="1309" t="s">
        <v>1725</v>
      </c>
      <c r="AJ81" s="1309"/>
      <c r="AK81" s="1309"/>
      <c r="AL81" s="390"/>
      <c r="AM81" s="3944" t="s">
        <v>1142</v>
      </c>
      <c r="AN81" s="3944"/>
      <c r="AO81" s="3944"/>
      <c r="AP81" s="390"/>
      <c r="AU81" s="390"/>
    </row>
    <row r="82" spans="1:49" s="70" customFormat="1" ht="13.5" customHeight="1" x14ac:dyDescent="0.2">
      <c r="A82" s="418"/>
      <c r="B82" s="418"/>
      <c r="C82" s="460"/>
      <c r="D82" s="460"/>
      <c r="E82" s="423"/>
      <c r="F82" s="460"/>
      <c r="G82" s="467"/>
      <c r="H82" s="418"/>
      <c r="I82" s="471"/>
      <c r="J82" s="460"/>
      <c r="K82" s="423"/>
      <c r="L82" s="469"/>
      <c r="M82" s="418"/>
      <c r="N82" s="418"/>
      <c r="O82" s="418"/>
      <c r="P82" s="418"/>
      <c r="Q82" s="418"/>
      <c r="R82" s="418"/>
      <c r="S82" s="418"/>
      <c r="T82" s="418"/>
      <c r="U82" s="418"/>
      <c r="V82" s="394"/>
      <c r="W82" s="1312" t="s">
        <v>573</v>
      </c>
      <c r="X82" s="1312"/>
      <c r="Y82" s="1312" t="s">
        <v>574</v>
      </c>
      <c r="Z82" s="390"/>
      <c r="AA82" s="1312" t="s">
        <v>573</v>
      </c>
      <c r="AB82" s="1312"/>
      <c r="AC82" s="1312" t="s">
        <v>574</v>
      </c>
      <c r="AD82" s="537"/>
      <c r="AE82" s="1312" t="s">
        <v>573</v>
      </c>
      <c r="AF82" s="1312"/>
      <c r="AG82" s="1312" t="s">
        <v>574</v>
      </c>
      <c r="AH82" s="390"/>
      <c r="AI82" s="1312" t="s">
        <v>573</v>
      </c>
      <c r="AJ82" s="1312"/>
      <c r="AK82" s="1312" t="s">
        <v>574</v>
      </c>
      <c r="AL82" s="390"/>
      <c r="AM82" s="1312" t="s">
        <v>573</v>
      </c>
      <c r="AN82" s="1312"/>
      <c r="AO82" s="1312" t="s">
        <v>574</v>
      </c>
      <c r="AP82" s="390"/>
      <c r="AU82" s="390"/>
    </row>
    <row r="83" spans="1:49" s="70" customFormat="1" ht="13.5" customHeight="1" x14ac:dyDescent="0.2">
      <c r="A83" s="418"/>
      <c r="B83" s="418"/>
      <c r="C83" s="460"/>
      <c r="D83" s="460"/>
      <c r="E83" s="423"/>
      <c r="F83" s="460"/>
      <c r="G83" s="467"/>
      <c r="H83" s="418"/>
      <c r="I83" s="471"/>
      <c r="J83" s="460"/>
      <c r="K83" s="423"/>
      <c r="L83" s="469"/>
      <c r="M83" s="418"/>
      <c r="N83" s="418"/>
      <c r="O83" s="418"/>
      <c r="P83" s="418"/>
      <c r="Q83" s="418"/>
      <c r="R83" s="418"/>
      <c r="S83" s="418"/>
      <c r="T83" s="418"/>
      <c r="U83" s="418"/>
      <c r="V83" s="394"/>
      <c r="W83" s="1312"/>
      <c r="X83" s="1312"/>
      <c r="Y83" s="1312"/>
      <c r="Z83" s="390"/>
      <c r="AA83" s="1312"/>
      <c r="AB83" s="1312"/>
      <c r="AC83" s="1312"/>
      <c r="AD83" s="537"/>
      <c r="AE83" s="1312"/>
      <c r="AF83" s="1312"/>
      <c r="AG83" s="1312"/>
      <c r="AH83" s="390"/>
      <c r="AI83" s="1312"/>
      <c r="AJ83" s="1312"/>
      <c r="AK83" s="1312"/>
      <c r="AL83" s="390"/>
      <c r="AM83" s="1312"/>
      <c r="AN83" s="1312"/>
      <c r="AO83" s="1312"/>
      <c r="AP83" s="390"/>
      <c r="AU83" s="390"/>
    </row>
    <row r="84" spans="1:49" s="70" customFormat="1" ht="13.5" customHeight="1" x14ac:dyDescent="0.2">
      <c r="A84" s="418"/>
      <c r="B84" s="418"/>
      <c r="C84" s="460"/>
      <c r="D84" s="460"/>
      <c r="E84" s="423"/>
      <c r="F84" s="460"/>
      <c r="G84" s="467"/>
      <c r="H84" s="418"/>
      <c r="I84" s="471"/>
      <c r="J84" s="460"/>
      <c r="K84" s="423"/>
      <c r="L84" s="469"/>
      <c r="M84" s="418"/>
      <c r="N84" s="418"/>
      <c r="O84" s="418"/>
      <c r="P84" s="418"/>
      <c r="Q84" s="418"/>
      <c r="R84" s="418"/>
      <c r="S84" s="418"/>
      <c r="T84" s="418"/>
      <c r="U84" s="418"/>
      <c r="V84" s="1348" t="s">
        <v>95</v>
      </c>
      <c r="W84" s="1667">
        <v>1525</v>
      </c>
      <c r="X84" s="2112" t="s">
        <v>2067</v>
      </c>
      <c r="Y84" s="1667">
        <v>1575</v>
      </c>
      <c r="Z84" s="2113"/>
      <c r="AA84" s="1667">
        <v>1535</v>
      </c>
      <c r="AB84" s="2112" t="s">
        <v>2067</v>
      </c>
      <c r="AC84" s="1667">
        <v>1585</v>
      </c>
      <c r="AD84" s="2113"/>
      <c r="AE84" s="1667">
        <v>1525</v>
      </c>
      <c r="AF84" s="2112" t="s">
        <v>2067</v>
      </c>
      <c r="AG84" s="1667">
        <v>1555</v>
      </c>
      <c r="AH84" s="2113"/>
      <c r="AI84" s="1667"/>
      <c r="AJ84" s="2112"/>
      <c r="AK84" s="1667"/>
      <c r="AL84" s="2113"/>
      <c r="AM84" s="1667">
        <f t="shared" ref="AM84:AM89" si="5">AE84-AA84</f>
        <v>-10</v>
      </c>
      <c r="AN84" s="2112"/>
      <c r="AO84" s="1667">
        <f t="shared" ref="AO84:AO89" si="6">AG84-AC84</f>
        <v>-30</v>
      </c>
      <c r="AP84" s="390"/>
      <c r="AU84" s="390"/>
    </row>
    <row r="85" spans="1:49" s="70" customFormat="1" ht="13.5" customHeight="1" x14ac:dyDescent="0.2">
      <c r="A85" s="418"/>
      <c r="B85" s="418"/>
      <c r="C85" s="460"/>
      <c r="D85" s="460"/>
      <c r="E85" s="423"/>
      <c r="F85" s="460"/>
      <c r="G85" s="467"/>
      <c r="H85" s="418"/>
      <c r="I85" s="471"/>
      <c r="J85" s="460"/>
      <c r="K85" s="423"/>
      <c r="L85" s="469"/>
      <c r="M85" s="418"/>
      <c r="N85" s="418"/>
      <c r="O85" s="418"/>
      <c r="P85" s="418"/>
      <c r="Q85" s="418"/>
      <c r="R85" s="418"/>
      <c r="S85" s="418"/>
      <c r="T85" s="418"/>
      <c r="U85" s="418"/>
      <c r="V85" s="369" t="s">
        <v>1584</v>
      </c>
      <c r="W85" s="1657">
        <v>135</v>
      </c>
      <c r="X85" s="2114" t="s">
        <v>2067</v>
      </c>
      <c r="Y85" s="1657">
        <v>145</v>
      </c>
      <c r="Z85" s="1657"/>
      <c r="AA85" s="1657">
        <v>140</v>
      </c>
      <c r="AB85" s="2114" t="s">
        <v>2067</v>
      </c>
      <c r="AC85" s="1657">
        <v>150</v>
      </c>
      <c r="AD85" s="1657"/>
      <c r="AE85" s="1657">
        <v>150</v>
      </c>
      <c r="AF85" s="2114" t="s">
        <v>2067</v>
      </c>
      <c r="AG85" s="1657">
        <v>160</v>
      </c>
      <c r="AH85" s="1657"/>
      <c r="AI85" s="1657"/>
      <c r="AJ85" s="2114"/>
      <c r="AK85" s="1657"/>
      <c r="AL85" s="1657"/>
      <c r="AM85" s="1657">
        <f t="shared" si="5"/>
        <v>10</v>
      </c>
      <c r="AN85" s="2114"/>
      <c r="AO85" s="1657">
        <f t="shared" si="6"/>
        <v>10</v>
      </c>
      <c r="AP85" s="390"/>
      <c r="AU85" s="390"/>
    </row>
    <row r="86" spans="1:49" s="70" customFormat="1" ht="13.5" customHeight="1" x14ac:dyDescent="0.2">
      <c r="A86" s="418"/>
      <c r="B86" s="418"/>
      <c r="C86" s="460"/>
      <c r="D86" s="460"/>
      <c r="E86" s="423"/>
      <c r="F86" s="460"/>
      <c r="G86" s="467"/>
      <c r="H86" s="418"/>
      <c r="I86" s="471"/>
      <c r="J86" s="460"/>
      <c r="K86" s="423"/>
      <c r="L86" s="469"/>
      <c r="M86" s="418"/>
      <c r="N86" s="418"/>
      <c r="O86" s="418"/>
      <c r="P86" s="418"/>
      <c r="Q86" s="418"/>
      <c r="R86" s="418"/>
      <c r="S86" s="418"/>
      <c r="T86" s="418"/>
      <c r="U86" s="418"/>
      <c r="V86" s="1348" t="s">
        <v>1863</v>
      </c>
      <c r="W86" s="1667">
        <v>1185</v>
      </c>
      <c r="X86" s="2112" t="s">
        <v>2067</v>
      </c>
      <c r="Y86" s="1667">
        <v>1255</v>
      </c>
      <c r="Z86" s="1344"/>
      <c r="AA86" s="1667">
        <v>1185</v>
      </c>
      <c r="AB86" s="2112" t="s">
        <v>2067</v>
      </c>
      <c r="AC86" s="1667">
        <v>1255</v>
      </c>
      <c r="AD86" s="2113"/>
      <c r="AE86" s="2113">
        <v>1160</v>
      </c>
      <c r="AF86" s="2112" t="s">
        <v>2067</v>
      </c>
      <c r="AG86" s="2113">
        <v>1210</v>
      </c>
      <c r="AH86" s="1344"/>
      <c r="AI86" s="2113"/>
      <c r="AJ86" s="2112"/>
      <c r="AK86" s="2113"/>
      <c r="AL86" s="1344"/>
      <c r="AM86" s="1667">
        <f t="shared" si="5"/>
        <v>-25</v>
      </c>
      <c r="AN86" s="2112"/>
      <c r="AO86" s="1667">
        <f t="shared" si="6"/>
        <v>-45</v>
      </c>
      <c r="AP86" s="390">
        <f>AA86+AC86</f>
        <v>2440</v>
      </c>
      <c r="AQ86" s="70">
        <f>AE86+AG86</f>
        <v>2370</v>
      </c>
      <c r="AU86" s="390"/>
    </row>
    <row r="87" spans="1:49" s="70" customFormat="1" ht="13.5" customHeight="1" x14ac:dyDescent="0.2">
      <c r="A87" s="418"/>
      <c r="B87" s="418"/>
      <c r="C87" s="460"/>
      <c r="D87" s="460"/>
      <c r="E87" s="423"/>
      <c r="F87" s="460"/>
      <c r="G87" s="467"/>
      <c r="H87" s="418"/>
      <c r="I87" s="471"/>
      <c r="J87" s="460"/>
      <c r="K87" s="423"/>
      <c r="L87" s="469"/>
      <c r="M87" s="418"/>
      <c r="N87" s="418"/>
      <c r="O87" s="418"/>
      <c r="P87" s="418"/>
      <c r="Q87" s="418"/>
      <c r="R87" s="418"/>
      <c r="S87" s="418"/>
      <c r="T87" s="418"/>
      <c r="U87" s="418"/>
      <c r="V87" s="369" t="s">
        <v>140</v>
      </c>
      <c r="W87" s="1657">
        <v>665</v>
      </c>
      <c r="X87" s="2114" t="s">
        <v>2067</v>
      </c>
      <c r="Y87" s="1657">
        <v>675</v>
      </c>
      <c r="Z87" s="1657"/>
      <c r="AA87" s="1657">
        <v>675</v>
      </c>
      <c r="AB87" s="2114" t="s">
        <v>2067</v>
      </c>
      <c r="AC87" s="1657">
        <v>685</v>
      </c>
      <c r="AD87" s="1657"/>
      <c r="AE87" s="1657">
        <v>690</v>
      </c>
      <c r="AF87" s="2114" t="s">
        <v>2067</v>
      </c>
      <c r="AG87" s="1657">
        <v>700</v>
      </c>
      <c r="AH87" s="1657"/>
      <c r="AI87" s="1657"/>
      <c r="AJ87" s="2114"/>
      <c r="AK87" s="1657"/>
      <c r="AL87" s="1657"/>
      <c r="AM87" s="1657">
        <f t="shared" si="5"/>
        <v>15</v>
      </c>
      <c r="AN87" s="2114"/>
      <c r="AO87" s="1657">
        <f t="shared" si="6"/>
        <v>15</v>
      </c>
      <c r="AP87" s="390">
        <f>AP86/2</f>
        <v>1220</v>
      </c>
      <c r="AQ87" s="70">
        <f>AQ86/2</f>
        <v>1185</v>
      </c>
      <c r="AU87" s="390"/>
      <c r="AV87" s="199"/>
    </row>
    <row r="88" spans="1:49" s="70" customFormat="1" ht="13.5" customHeight="1" x14ac:dyDescent="0.2">
      <c r="A88" s="418"/>
      <c r="B88" s="418"/>
      <c r="C88" s="460"/>
      <c r="D88" s="460"/>
      <c r="E88" s="423"/>
      <c r="F88" s="460"/>
      <c r="G88" s="467"/>
      <c r="H88" s="418"/>
      <c r="I88" s="471"/>
      <c r="J88" s="460"/>
      <c r="K88" s="423"/>
      <c r="L88" s="469"/>
      <c r="M88" s="418"/>
      <c r="N88" s="418"/>
      <c r="O88" s="418"/>
      <c r="P88" s="418"/>
      <c r="Q88" s="418"/>
      <c r="R88" s="418"/>
      <c r="S88" s="418"/>
      <c r="T88" s="418"/>
      <c r="U88" s="418"/>
      <c r="V88" s="213" t="s">
        <v>141</v>
      </c>
      <c r="W88" s="1657">
        <v>985</v>
      </c>
      <c r="X88" s="2114" t="s">
        <v>2067</v>
      </c>
      <c r="Y88" s="1657">
        <v>1055</v>
      </c>
      <c r="Z88" s="1657"/>
      <c r="AA88" s="1657">
        <v>990</v>
      </c>
      <c r="AB88" s="2114" t="s">
        <v>2067</v>
      </c>
      <c r="AC88" s="1657">
        <v>1060</v>
      </c>
      <c r="AD88" s="1657"/>
      <c r="AE88" s="1657">
        <v>975</v>
      </c>
      <c r="AF88" s="2114" t="s">
        <v>2067</v>
      </c>
      <c r="AG88" s="1657">
        <v>1025</v>
      </c>
      <c r="AH88" s="1657"/>
      <c r="AI88" s="1657"/>
      <c r="AJ88" s="2114"/>
      <c r="AK88" s="1657"/>
      <c r="AL88" s="1657"/>
      <c r="AM88" s="1657">
        <f t="shared" si="5"/>
        <v>-15</v>
      </c>
      <c r="AN88" s="2114"/>
      <c r="AO88" s="1657">
        <f t="shared" si="6"/>
        <v>-35</v>
      </c>
      <c r="AP88" s="390"/>
      <c r="AQ88" s="70">
        <f>AQ87-AP87</f>
        <v>-35</v>
      </c>
      <c r="AU88" s="390"/>
      <c r="AW88" s="149"/>
    </row>
    <row r="89" spans="1:49" s="70" customFormat="1" ht="13.5" customHeight="1" x14ac:dyDescent="0.2">
      <c r="A89" s="418"/>
      <c r="B89" s="418"/>
      <c r="C89" s="460"/>
      <c r="D89" s="460"/>
      <c r="E89" s="423"/>
      <c r="F89" s="460"/>
      <c r="G89" s="467"/>
      <c r="H89" s="418"/>
      <c r="I89" s="471"/>
      <c r="J89" s="460"/>
      <c r="K89" s="423"/>
      <c r="L89" s="469"/>
      <c r="M89" s="418"/>
      <c r="N89" s="418"/>
      <c r="O89" s="418"/>
      <c r="P89" s="418"/>
      <c r="Q89" s="418"/>
      <c r="R89" s="418"/>
      <c r="S89" s="418"/>
      <c r="T89" s="418"/>
      <c r="U89" s="418"/>
      <c r="V89" s="1341" t="s">
        <v>1859</v>
      </c>
      <c r="W89" s="2115">
        <v>1.9</v>
      </c>
      <c r="X89" s="2112" t="s">
        <v>2067</v>
      </c>
      <c r="Y89" s="2115">
        <v>2.0499999999999998</v>
      </c>
      <c r="Z89" s="1344"/>
      <c r="AA89" s="2115">
        <v>1.93</v>
      </c>
      <c r="AB89" s="2112" t="s">
        <v>2067</v>
      </c>
      <c r="AC89" s="2115">
        <v>2.08</v>
      </c>
      <c r="AD89" s="2116"/>
      <c r="AE89" s="2115">
        <v>1.92</v>
      </c>
      <c r="AF89" s="2112" t="s">
        <v>2067</v>
      </c>
      <c r="AG89" s="2115">
        <v>2.0299999999999998</v>
      </c>
      <c r="AH89" s="1344"/>
      <c r="AI89" s="2115"/>
      <c r="AJ89" s="2112"/>
      <c r="AK89" s="2115"/>
      <c r="AL89" s="1344"/>
      <c r="AM89" s="2115">
        <f t="shared" si="5"/>
        <v>-1.0000000000000009E-2</v>
      </c>
      <c r="AN89" s="2112"/>
      <c r="AO89" s="2115">
        <f t="shared" si="6"/>
        <v>-5.0000000000000266E-2</v>
      </c>
      <c r="AP89" s="390"/>
      <c r="AU89" s="390"/>
    </row>
    <row r="90" spans="1:49" s="70" customFormat="1" ht="13.5" customHeight="1" x14ac:dyDescent="0.2">
      <c r="A90" s="418"/>
      <c r="B90" s="418"/>
      <c r="C90" s="460"/>
      <c r="D90" s="460"/>
      <c r="E90" s="423"/>
      <c r="F90" s="460"/>
      <c r="G90" s="467"/>
      <c r="H90" s="418"/>
      <c r="I90" s="471"/>
      <c r="J90" s="460"/>
      <c r="K90" s="423"/>
      <c r="L90" s="469"/>
      <c r="M90" s="418"/>
      <c r="N90" s="418"/>
      <c r="O90" s="418"/>
      <c r="P90" s="418"/>
      <c r="Q90" s="418"/>
      <c r="R90" s="418"/>
      <c r="S90" s="418"/>
      <c r="T90" s="418"/>
      <c r="U90" s="418"/>
      <c r="V90" s="394"/>
      <c r="W90" s="1318"/>
      <c r="X90" s="1318"/>
      <c r="Y90" s="1318"/>
      <c r="Z90" s="1317"/>
      <c r="AA90" s="1318"/>
      <c r="AB90" s="1318"/>
      <c r="AC90" s="1318"/>
      <c r="AD90" s="2117"/>
      <c r="AE90" s="1318"/>
      <c r="AF90" s="1318"/>
      <c r="AG90" s="1318"/>
      <c r="AH90" s="1317"/>
      <c r="AI90" s="1318"/>
      <c r="AJ90" s="1318"/>
      <c r="AK90" s="1318"/>
      <c r="AL90" s="1317"/>
      <c r="AM90" s="1318"/>
      <c r="AN90" s="1318"/>
      <c r="AO90" s="1318"/>
      <c r="AP90" s="390"/>
      <c r="AU90" s="390"/>
    </row>
    <row r="91" spans="1:49" s="70" customFormat="1" ht="13.5" customHeight="1" x14ac:dyDescent="0.2">
      <c r="A91" s="418"/>
      <c r="B91" s="418"/>
      <c r="C91" s="460"/>
      <c r="D91" s="460"/>
      <c r="E91" s="423"/>
      <c r="F91" s="460"/>
      <c r="G91" s="467"/>
      <c r="H91" s="418"/>
      <c r="I91" s="471"/>
      <c r="J91" s="460"/>
      <c r="K91" s="423"/>
      <c r="L91" s="469"/>
      <c r="M91" s="418"/>
      <c r="N91" s="418"/>
      <c r="O91" s="418"/>
      <c r="P91" s="418"/>
      <c r="Q91" s="418"/>
      <c r="R91" s="418"/>
      <c r="S91" s="418"/>
      <c r="T91" s="418"/>
      <c r="U91" s="418"/>
      <c r="V91" s="563" t="s">
        <v>373</v>
      </c>
      <c r="W91" s="1317"/>
      <c r="X91" s="1317"/>
      <c r="Y91" s="1317"/>
      <c r="Z91" s="1317"/>
      <c r="AA91" s="1317"/>
      <c r="AB91" s="1317"/>
      <c r="AC91" s="1317"/>
      <c r="AD91" s="1317"/>
      <c r="AE91" s="1317"/>
      <c r="AF91" s="1317"/>
      <c r="AG91" s="1317"/>
      <c r="AH91" s="1317"/>
      <c r="AI91" s="1317"/>
      <c r="AJ91" s="1317"/>
      <c r="AK91" s="1317"/>
      <c r="AL91" s="1317"/>
      <c r="AM91" s="1317"/>
      <c r="AN91" s="1317"/>
      <c r="AO91" s="1317"/>
      <c r="AP91" s="390"/>
      <c r="AU91" s="390"/>
    </row>
    <row r="92" spans="1:49" s="70" customFormat="1" ht="13.5" customHeight="1" x14ac:dyDescent="0.2">
      <c r="A92" s="418"/>
      <c r="B92" s="418"/>
      <c r="C92" s="460"/>
      <c r="D92" s="460"/>
      <c r="E92" s="423"/>
      <c r="F92" s="460"/>
      <c r="G92" s="467"/>
      <c r="H92" s="418"/>
      <c r="I92" s="471"/>
      <c r="J92" s="460"/>
      <c r="K92" s="423"/>
      <c r="L92" s="469"/>
      <c r="M92" s="418"/>
      <c r="N92" s="418"/>
      <c r="O92" s="418"/>
      <c r="P92" s="418"/>
      <c r="Q92" s="418"/>
      <c r="R92" s="418"/>
      <c r="S92" s="418"/>
      <c r="T92" s="418"/>
      <c r="U92" s="418"/>
      <c r="V92" s="213" t="s">
        <v>94</v>
      </c>
      <c r="W92" s="2118">
        <v>0.03</v>
      </c>
      <c r="X92" s="2119" t="s">
        <v>2067</v>
      </c>
      <c r="Y92" s="2118">
        <v>7.0000000000000007E-2</v>
      </c>
      <c r="Z92" s="2118"/>
      <c r="AA92" s="2118">
        <v>0.04</v>
      </c>
      <c r="AB92" s="2119" t="s">
        <v>2067</v>
      </c>
      <c r="AC92" s="2118">
        <v>7.0000000000000007E-2</v>
      </c>
      <c r="AD92" s="2118"/>
      <c r="AE92" s="2118">
        <v>0.04</v>
      </c>
      <c r="AF92" s="2119" t="s">
        <v>2067</v>
      </c>
      <c r="AG92" s="2118">
        <v>0.06</v>
      </c>
      <c r="AH92" s="2118"/>
      <c r="AI92" s="2118"/>
      <c r="AJ92" s="2119"/>
      <c r="AK92" s="2118"/>
      <c r="AL92" s="2118"/>
      <c r="AM92" s="2118">
        <f>AE92-AA92</f>
        <v>0</v>
      </c>
      <c r="AN92" s="2119"/>
      <c r="AO92" s="2118">
        <f>AG92-AC92</f>
        <v>-1.0000000000000009E-2</v>
      </c>
      <c r="AP92" s="406"/>
      <c r="AU92" s="406"/>
    </row>
    <row r="93" spans="1:49" s="70" customFormat="1" ht="13.5" customHeight="1" x14ac:dyDescent="0.2">
      <c r="A93" s="418"/>
      <c r="B93" s="418"/>
      <c r="C93" s="460"/>
      <c r="D93" s="460"/>
      <c r="E93" s="423"/>
      <c r="F93" s="460"/>
      <c r="G93" s="467"/>
      <c r="H93" s="418"/>
      <c r="I93" s="471"/>
      <c r="J93" s="460"/>
      <c r="K93" s="423"/>
      <c r="L93" s="469"/>
      <c r="M93" s="418"/>
      <c r="N93" s="418"/>
      <c r="O93" s="418"/>
      <c r="P93" s="418"/>
      <c r="Q93" s="418"/>
      <c r="R93" s="418"/>
      <c r="S93" s="418"/>
      <c r="T93" s="418"/>
      <c r="U93" s="418"/>
      <c r="V93" s="394" t="s">
        <v>1309</v>
      </c>
      <c r="W93" s="2120">
        <v>0.03</v>
      </c>
      <c r="X93" s="2121" t="s">
        <v>2067</v>
      </c>
      <c r="Y93" s="2120">
        <v>7.0000000000000007E-2</v>
      </c>
      <c r="Z93" s="2120"/>
      <c r="AA93" s="2122">
        <v>4.4999999999999998E-2</v>
      </c>
      <c r="AB93" s="2121" t="s">
        <v>2067</v>
      </c>
      <c r="AC93" s="2120">
        <v>7.0000000000000007E-2</v>
      </c>
      <c r="AD93" s="2120"/>
      <c r="AE93" s="2136">
        <v>4.4999999999999998E-2</v>
      </c>
      <c r="AF93" s="2121" t="s">
        <v>2067</v>
      </c>
      <c r="AG93" s="2123">
        <v>0.06</v>
      </c>
      <c r="AH93" s="2120"/>
      <c r="AI93" s="2120"/>
      <c r="AJ93" s="2124"/>
      <c r="AK93" s="2120"/>
      <c r="AL93" s="2120"/>
      <c r="AM93" s="2118">
        <f>AE93-AA93</f>
        <v>0</v>
      </c>
      <c r="AN93" s="2119"/>
      <c r="AO93" s="2118">
        <f>AG93-AC93</f>
        <v>-1.0000000000000009E-2</v>
      </c>
      <c r="AP93" s="406"/>
      <c r="AU93" s="406"/>
    </row>
    <row r="94" spans="1:49" s="70" customFormat="1" ht="13.5" customHeight="1" x14ac:dyDescent="0.2">
      <c r="A94" s="418"/>
      <c r="B94" s="418"/>
      <c r="C94" s="460"/>
      <c r="D94" s="460"/>
      <c r="E94" s="423"/>
      <c r="F94" s="460"/>
      <c r="G94" s="467"/>
      <c r="H94" s="418"/>
      <c r="I94" s="471"/>
      <c r="J94" s="460"/>
      <c r="K94" s="423"/>
      <c r="L94" s="469"/>
      <c r="M94" s="418"/>
      <c r="N94" s="418"/>
      <c r="O94" s="418"/>
      <c r="P94" s="418"/>
      <c r="Q94" s="418"/>
      <c r="R94" s="418"/>
      <c r="S94" s="418"/>
      <c r="T94" s="418"/>
      <c r="U94" s="418"/>
      <c r="V94" s="369" t="s">
        <v>2036</v>
      </c>
      <c r="W94" s="2118">
        <v>0.03</v>
      </c>
      <c r="X94" s="2119" t="s">
        <v>2067</v>
      </c>
      <c r="Y94" s="2118">
        <v>7.0000000000000007E-2</v>
      </c>
      <c r="Z94" s="2118"/>
      <c r="AA94" s="2118">
        <v>0.03</v>
      </c>
      <c r="AB94" s="2119" t="s">
        <v>2067</v>
      </c>
      <c r="AC94" s="2118">
        <v>0.05</v>
      </c>
      <c r="AD94" s="2118"/>
      <c r="AE94" s="2118">
        <v>0.02</v>
      </c>
      <c r="AF94" s="2119" t="s">
        <v>2067</v>
      </c>
      <c r="AG94" s="2118">
        <v>0.04</v>
      </c>
      <c r="AH94" s="2118"/>
      <c r="AI94" s="2118"/>
      <c r="AJ94" s="2119"/>
      <c r="AK94" s="2118"/>
      <c r="AL94" s="2118"/>
      <c r="AM94" s="2118">
        <f>AE94-AA94</f>
        <v>-9.9999999999999985E-3</v>
      </c>
      <c r="AN94" s="2119"/>
      <c r="AO94" s="2118">
        <f>AG94-AC94</f>
        <v>-1.0000000000000002E-2</v>
      </c>
      <c r="AP94" s="406"/>
      <c r="AU94" s="406"/>
    </row>
    <row r="95" spans="1:49" s="70" customFormat="1" ht="13.5" customHeight="1" x14ac:dyDescent="0.2">
      <c r="A95" s="418"/>
      <c r="B95" s="418"/>
      <c r="C95" s="460"/>
      <c r="D95" s="460"/>
      <c r="E95" s="423"/>
      <c r="F95" s="460"/>
      <c r="G95" s="467"/>
      <c r="H95" s="418"/>
      <c r="I95" s="471"/>
      <c r="J95" s="460"/>
      <c r="K95" s="423"/>
      <c r="L95" s="469"/>
      <c r="M95" s="418"/>
      <c r="N95" s="418"/>
      <c r="O95" s="418"/>
      <c r="P95" s="418"/>
      <c r="Q95" s="418"/>
      <c r="R95" s="418"/>
      <c r="S95" s="418"/>
      <c r="T95" s="418"/>
      <c r="U95" s="418"/>
      <c r="V95" s="392"/>
      <c r="W95" s="2125"/>
      <c r="X95" s="771"/>
      <c r="Y95" s="2125"/>
      <c r="Z95" s="2125"/>
      <c r="AA95" s="771"/>
      <c r="AB95" s="771"/>
      <c r="AC95" s="771"/>
      <c r="AD95" s="771"/>
      <c r="AE95" s="771"/>
      <c r="AF95" s="771"/>
      <c r="AG95" s="771"/>
      <c r="AH95" s="2125"/>
      <c r="AI95" s="771"/>
      <c r="AJ95" s="771"/>
      <c r="AK95" s="771"/>
      <c r="AL95" s="2125"/>
      <c r="AM95" s="771"/>
      <c r="AN95" s="771"/>
      <c r="AO95" s="771"/>
      <c r="AP95" s="390"/>
      <c r="AU95" s="390"/>
    </row>
    <row r="96" spans="1:49" s="70" customFormat="1" ht="13.5" customHeight="1" x14ac:dyDescent="0.2">
      <c r="A96" s="418"/>
      <c r="B96" s="418"/>
      <c r="C96" s="460"/>
      <c r="D96" s="460"/>
      <c r="E96" s="423"/>
      <c r="F96" s="460"/>
      <c r="G96" s="467"/>
      <c r="H96" s="418"/>
      <c r="I96" s="471"/>
      <c r="J96" s="460"/>
      <c r="K96" s="423"/>
      <c r="L96" s="469"/>
      <c r="M96" s="418"/>
      <c r="N96" s="418"/>
      <c r="O96" s="418"/>
      <c r="P96" s="418"/>
      <c r="Q96" s="418"/>
      <c r="R96" s="418"/>
      <c r="S96" s="418"/>
      <c r="T96" s="418"/>
      <c r="U96" s="418"/>
      <c r="V96" s="1314" t="s">
        <v>1931</v>
      </c>
      <c r="W96" s="2126"/>
      <c r="X96" s="2127"/>
      <c r="Y96" s="2126"/>
      <c r="Z96" s="2126"/>
      <c r="AA96" s="771"/>
      <c r="AB96" s="2127"/>
      <c r="AC96" s="2127"/>
      <c r="AD96" s="2127"/>
      <c r="AE96" s="2127"/>
      <c r="AF96" s="2127"/>
      <c r="AG96" s="2127"/>
      <c r="AH96" s="2126"/>
      <c r="AI96" s="771"/>
      <c r="AJ96" s="2127"/>
      <c r="AK96" s="2127"/>
      <c r="AL96" s="2126"/>
      <c r="AM96" s="2127"/>
      <c r="AN96" s="2127"/>
      <c r="AO96" s="2127"/>
      <c r="AP96" s="390"/>
      <c r="AQ96" s="390"/>
      <c r="AR96" s="390"/>
      <c r="AS96" s="390"/>
      <c r="AT96" s="390"/>
      <c r="AU96" s="390"/>
    </row>
    <row r="97" spans="1:51" s="70" customFormat="1" ht="13.5" customHeight="1" x14ac:dyDescent="0.2">
      <c r="A97" s="418"/>
      <c r="B97" s="418"/>
      <c r="C97" s="460"/>
      <c r="D97" s="460"/>
      <c r="E97" s="423"/>
      <c r="F97" s="460"/>
      <c r="G97" s="467"/>
      <c r="H97" s="418"/>
      <c r="I97" s="471"/>
      <c r="J97" s="460"/>
      <c r="K97" s="423"/>
      <c r="L97" s="469"/>
      <c r="M97" s="418"/>
      <c r="N97" s="418"/>
      <c r="O97" s="418"/>
      <c r="P97" s="418"/>
      <c r="Q97" s="418"/>
      <c r="R97" s="418"/>
      <c r="S97" s="418"/>
      <c r="T97" s="418"/>
      <c r="U97" s="418"/>
      <c r="V97" s="213" t="s">
        <v>97</v>
      </c>
      <c r="W97" s="1657">
        <v>30000</v>
      </c>
      <c r="X97" s="1356"/>
      <c r="Y97" s="1657"/>
      <c r="Z97" s="1657"/>
      <c r="AA97" s="1657">
        <v>30000</v>
      </c>
      <c r="AB97" s="2119" t="s">
        <v>2067</v>
      </c>
      <c r="AC97" s="1657">
        <v>35000</v>
      </c>
      <c r="AD97" s="1657"/>
      <c r="AE97" s="1657">
        <v>30000</v>
      </c>
      <c r="AF97" s="2119" t="s">
        <v>2067</v>
      </c>
      <c r="AG97" s="1657">
        <v>30000</v>
      </c>
      <c r="AH97" s="1657"/>
      <c r="AI97" s="1657"/>
      <c r="AJ97" s="2119"/>
      <c r="AK97" s="1657"/>
      <c r="AL97" s="1657"/>
      <c r="AM97" s="1657">
        <f>AE97-AA97</f>
        <v>0</v>
      </c>
      <c r="AN97" s="2119"/>
      <c r="AO97" s="1657">
        <f>AG97-AC97</f>
        <v>-5000</v>
      </c>
      <c r="AP97" s="390"/>
      <c r="AQ97" s="390"/>
      <c r="AR97" s="390"/>
      <c r="AS97" s="390"/>
      <c r="AT97" s="390"/>
      <c r="AU97" s="390"/>
      <c r="AY97" s="149"/>
    </row>
    <row r="98" spans="1:51" s="70" customFormat="1" ht="4.5" customHeight="1" x14ac:dyDescent="0.2">
      <c r="A98" s="418"/>
      <c r="B98" s="418"/>
      <c r="C98" s="460"/>
      <c r="D98" s="460"/>
      <c r="E98" s="423"/>
      <c r="F98" s="460"/>
      <c r="G98" s="467"/>
      <c r="H98" s="418"/>
      <c r="I98" s="471"/>
      <c r="J98" s="460"/>
      <c r="K98" s="423"/>
      <c r="L98" s="469"/>
      <c r="M98" s="418"/>
      <c r="N98" s="418"/>
      <c r="O98" s="418"/>
      <c r="P98" s="418"/>
      <c r="Q98" s="418"/>
      <c r="R98" s="418"/>
      <c r="S98" s="418"/>
      <c r="T98" s="418"/>
      <c r="U98" s="418"/>
      <c r="AE98" s="212"/>
      <c r="AG98" s="212"/>
      <c r="AI98" s="212"/>
      <c r="AJ98" s="212"/>
      <c r="AK98" s="212"/>
      <c r="AM98" s="212"/>
      <c r="AN98" s="212"/>
      <c r="AO98" s="212"/>
    </row>
    <row r="99" spans="1:51" s="70" customFormat="1" ht="4.5" customHeight="1" x14ac:dyDescent="0.2">
      <c r="A99" s="418"/>
      <c r="B99" s="418"/>
      <c r="C99" s="460"/>
      <c r="D99" s="460"/>
      <c r="E99" s="423"/>
      <c r="F99" s="460"/>
      <c r="G99" s="467"/>
      <c r="H99" s="418"/>
      <c r="I99" s="471"/>
      <c r="J99" s="460"/>
      <c r="K99" s="423"/>
      <c r="L99" s="469"/>
      <c r="M99" s="418"/>
      <c r="N99" s="418"/>
      <c r="O99" s="418"/>
      <c r="P99" s="418"/>
      <c r="Q99" s="418"/>
      <c r="R99" s="418"/>
      <c r="S99" s="418"/>
      <c r="T99" s="418"/>
      <c r="U99" s="418"/>
      <c r="AE99" s="212"/>
      <c r="AG99" s="212"/>
      <c r="AM99" s="212"/>
      <c r="AN99" s="212"/>
      <c r="AO99" s="212"/>
    </row>
    <row r="100" spans="1:51" s="70" customFormat="1" ht="13.5" customHeight="1" x14ac:dyDescent="0.2">
      <c r="A100" s="418"/>
      <c r="B100" s="418"/>
      <c r="C100" s="460"/>
      <c r="D100" s="460"/>
      <c r="E100" s="423"/>
      <c r="F100" s="460"/>
      <c r="G100" s="467"/>
      <c r="H100" s="418"/>
      <c r="I100" s="471"/>
      <c r="J100" s="460"/>
      <c r="K100" s="423"/>
      <c r="L100" s="469"/>
      <c r="M100" s="418"/>
      <c r="N100" s="418"/>
      <c r="O100" s="418"/>
      <c r="P100" s="418"/>
      <c r="Q100" s="418"/>
      <c r="R100" s="418"/>
      <c r="S100" s="418"/>
      <c r="T100" s="418"/>
      <c r="U100" s="418"/>
      <c r="V100" s="369" t="s">
        <v>96</v>
      </c>
      <c r="W100" s="1657">
        <v>10</v>
      </c>
      <c r="X100" s="2119" t="s">
        <v>2067</v>
      </c>
      <c r="Y100" s="1657">
        <v>10</v>
      </c>
      <c r="Z100" s="1657"/>
      <c r="AA100" s="1657">
        <v>10</v>
      </c>
      <c r="AB100" s="2119" t="s">
        <v>2067</v>
      </c>
      <c r="AC100" s="1657">
        <v>10</v>
      </c>
      <c r="AE100" s="70">
        <v>15</v>
      </c>
      <c r="AF100" s="2119" t="s">
        <v>2067</v>
      </c>
      <c r="AG100" s="70">
        <v>15</v>
      </c>
      <c r="AH100" s="1657"/>
      <c r="AI100" s="1378"/>
      <c r="AL100" s="1657"/>
      <c r="AM100" s="1657">
        <f>AE100-AA100</f>
        <v>5</v>
      </c>
      <c r="AN100" s="2119"/>
      <c r="AO100" s="1657">
        <f>AG100-AC100</f>
        <v>5</v>
      </c>
    </row>
    <row r="101" spans="1:51" s="70" customFormat="1" ht="13.5" customHeight="1" x14ac:dyDescent="0.2">
      <c r="A101" s="418"/>
      <c r="B101" s="418"/>
      <c r="C101" s="460"/>
      <c r="D101" s="460"/>
      <c r="E101" s="423"/>
      <c r="F101" s="460"/>
      <c r="G101" s="467"/>
      <c r="H101" s="418"/>
      <c r="I101" s="471"/>
      <c r="J101" s="460"/>
      <c r="K101" s="423"/>
      <c r="L101" s="469"/>
      <c r="M101" s="418"/>
      <c r="N101" s="418"/>
      <c r="O101" s="418"/>
      <c r="P101" s="418"/>
      <c r="Q101" s="418"/>
      <c r="R101" s="418"/>
      <c r="S101" s="418"/>
      <c r="T101" s="418"/>
      <c r="U101" s="418"/>
      <c r="V101" s="369" t="s">
        <v>89</v>
      </c>
      <c r="W101" s="1657">
        <v>105</v>
      </c>
      <c r="X101" s="2119" t="s">
        <v>2067</v>
      </c>
      <c r="Y101" s="1657">
        <v>105</v>
      </c>
      <c r="Z101" s="1657"/>
      <c r="AA101" s="1657">
        <v>100</v>
      </c>
      <c r="AB101" s="2119" t="s">
        <v>2067</v>
      </c>
      <c r="AC101" s="1657">
        <v>100</v>
      </c>
      <c r="AE101" s="70">
        <v>100</v>
      </c>
      <c r="AF101" s="2119" t="s">
        <v>2067</v>
      </c>
      <c r="AG101" s="70">
        <v>100</v>
      </c>
      <c r="AH101" s="1657"/>
      <c r="AI101" s="1657"/>
      <c r="AL101" s="1657"/>
      <c r="AM101" s="1657">
        <f>AE101-AA101</f>
        <v>0</v>
      </c>
      <c r="AN101" s="2119"/>
      <c r="AO101" s="1657">
        <f>AG101-AC101</f>
        <v>0</v>
      </c>
    </row>
    <row r="102" spans="1:51" s="70" customFormat="1" ht="13.5" customHeight="1" x14ac:dyDescent="0.2">
      <c r="A102" s="418"/>
      <c r="B102" s="418"/>
      <c r="C102" s="460"/>
      <c r="D102" s="460"/>
      <c r="E102" s="423"/>
      <c r="F102" s="460"/>
      <c r="G102" s="467"/>
      <c r="H102" s="418"/>
      <c r="I102" s="471"/>
      <c r="J102" s="460"/>
      <c r="K102" s="423"/>
      <c r="L102" s="469"/>
      <c r="M102" s="418"/>
      <c r="N102" s="418"/>
      <c r="O102" s="418"/>
      <c r="P102" s="418"/>
      <c r="Q102" s="418"/>
      <c r="R102" s="418"/>
      <c r="S102" s="418"/>
      <c r="T102" s="418"/>
      <c r="U102" s="418"/>
      <c r="V102" s="1170" t="s">
        <v>712</v>
      </c>
      <c r="W102" s="1657">
        <v>0</v>
      </c>
      <c r="X102" s="2119" t="s">
        <v>2067</v>
      </c>
      <c r="Y102" s="1657">
        <v>0</v>
      </c>
      <c r="Z102" s="1356"/>
      <c r="AA102" s="1657">
        <v>0</v>
      </c>
      <c r="AB102" s="2119" t="s">
        <v>2067</v>
      </c>
      <c r="AC102" s="1657">
        <v>0</v>
      </c>
      <c r="AE102" s="70">
        <v>-5</v>
      </c>
      <c r="AF102" s="2119" t="s">
        <v>2067</v>
      </c>
      <c r="AG102" s="70">
        <v>-5</v>
      </c>
      <c r="AH102" s="1356"/>
      <c r="AI102" s="1657"/>
      <c r="AL102" s="1356"/>
      <c r="AM102" s="1657">
        <f>AE102-AA102</f>
        <v>-5</v>
      </c>
      <c r="AN102" s="2119"/>
      <c r="AO102" s="1657">
        <f>AG102-AC102</f>
        <v>-5</v>
      </c>
    </row>
    <row r="103" spans="1:51" s="70" customFormat="1" ht="4.5" customHeight="1" x14ac:dyDescent="0.2">
      <c r="A103" s="418"/>
      <c r="B103" s="418"/>
      <c r="C103" s="460"/>
      <c r="D103" s="460"/>
      <c r="E103" s="423"/>
      <c r="F103" s="460"/>
      <c r="G103" s="467"/>
      <c r="H103" s="418"/>
      <c r="I103" s="471"/>
      <c r="J103" s="460"/>
      <c r="K103" s="423"/>
      <c r="L103" s="469"/>
      <c r="M103" s="418"/>
      <c r="N103" s="418"/>
      <c r="O103" s="418"/>
      <c r="P103" s="418"/>
      <c r="Q103" s="418"/>
      <c r="R103" s="418"/>
      <c r="S103" s="418"/>
      <c r="T103" s="418"/>
      <c r="U103" s="418"/>
      <c r="V103" s="369"/>
      <c r="W103" s="1657"/>
      <c r="X103" s="1356"/>
      <c r="Y103" s="1657"/>
      <c r="Z103" s="1657"/>
      <c r="AA103" s="1657"/>
      <c r="AH103" s="1657"/>
      <c r="AI103" s="1657"/>
      <c r="AL103" s="1657"/>
    </row>
    <row r="104" spans="1:51" s="70" customFormat="1" ht="13.5" customHeight="1" x14ac:dyDescent="0.2">
      <c r="A104" s="418"/>
      <c r="B104" s="418"/>
      <c r="C104" s="460"/>
      <c r="D104" s="460"/>
      <c r="E104" s="423"/>
      <c r="F104" s="460"/>
      <c r="G104" s="467"/>
      <c r="H104" s="418"/>
      <c r="I104" s="471"/>
      <c r="J104" s="460"/>
      <c r="K104" s="423"/>
      <c r="L104" s="469"/>
      <c r="M104" s="418"/>
      <c r="N104" s="418"/>
      <c r="O104" s="418"/>
      <c r="P104" s="418"/>
      <c r="Q104" s="418"/>
      <c r="R104" s="418"/>
      <c r="S104" s="418"/>
      <c r="T104" s="418"/>
      <c r="U104" s="418"/>
      <c r="V104" s="2077" t="s">
        <v>90</v>
      </c>
      <c r="W104" s="2128">
        <v>0.33</v>
      </c>
      <c r="X104" s="2129"/>
      <c r="Y104" s="2128">
        <v>0.33</v>
      </c>
      <c r="Z104" s="2130"/>
      <c r="AA104" s="2128">
        <v>0.33</v>
      </c>
      <c r="AB104" s="2129"/>
      <c r="AC104" s="2128">
        <v>0.33</v>
      </c>
      <c r="AD104" s="195"/>
      <c r="AE104" s="1599">
        <v>0.32</v>
      </c>
      <c r="AF104" s="2129"/>
      <c r="AG104" s="1599">
        <v>0.32</v>
      </c>
      <c r="AH104" s="2130"/>
      <c r="AI104" s="2130"/>
      <c r="AJ104" s="195"/>
      <c r="AK104" s="195"/>
      <c r="AL104" s="2130"/>
      <c r="AM104" s="1599">
        <f>AE104-AA104</f>
        <v>-1.0000000000000009E-2</v>
      </c>
      <c r="AN104" s="1599"/>
      <c r="AO104" s="1599">
        <f>AG104-AC104</f>
        <v>-1.0000000000000009E-2</v>
      </c>
    </row>
    <row r="105" spans="1:51" s="70" customFormat="1" ht="13.5" customHeight="1" x14ac:dyDescent="0.2">
      <c r="A105" s="418"/>
      <c r="B105" s="418"/>
      <c r="C105" s="460"/>
      <c r="D105" s="460"/>
      <c r="E105" s="423"/>
      <c r="F105" s="460"/>
      <c r="G105" s="467"/>
      <c r="H105" s="418"/>
      <c r="I105" s="471"/>
      <c r="J105" s="460"/>
      <c r="K105" s="423"/>
      <c r="L105" s="469"/>
      <c r="M105" s="418"/>
      <c r="N105" s="418"/>
      <c r="O105" s="418"/>
      <c r="P105" s="418"/>
      <c r="Q105" s="418"/>
      <c r="R105" s="418"/>
      <c r="S105" s="418"/>
      <c r="T105" s="418"/>
      <c r="U105" s="418"/>
      <c r="V105" s="369"/>
      <c r="W105" s="1321"/>
      <c r="X105" s="2108"/>
      <c r="Y105" s="1321"/>
      <c r="Z105" s="1316"/>
      <c r="AA105" s="1316"/>
      <c r="AB105" s="212"/>
      <c r="AC105" s="212"/>
      <c r="AD105" s="212"/>
      <c r="AE105" s="212"/>
      <c r="AF105" s="212"/>
      <c r="AG105" s="212"/>
      <c r="AH105" s="1316"/>
      <c r="AI105" s="1316"/>
      <c r="AJ105" s="212"/>
      <c r="AK105" s="212"/>
      <c r="AL105" s="1316"/>
      <c r="AM105" s="212"/>
      <c r="AN105" s="212"/>
      <c r="AO105" s="212"/>
    </row>
    <row r="106" spans="1:51" s="70" customFormat="1" ht="13.5" customHeight="1" x14ac:dyDescent="0.2">
      <c r="A106" s="418"/>
      <c r="B106" s="418"/>
      <c r="C106" s="460"/>
      <c r="D106" s="460"/>
      <c r="E106" s="423"/>
      <c r="F106" s="460"/>
      <c r="G106" s="467"/>
      <c r="H106" s="418"/>
      <c r="I106" s="471"/>
      <c r="J106" s="460"/>
      <c r="K106" s="423"/>
      <c r="L106" s="469"/>
      <c r="M106" s="418"/>
      <c r="N106" s="418"/>
      <c r="O106" s="418"/>
      <c r="P106" s="418"/>
      <c r="Q106" s="418"/>
      <c r="R106" s="418"/>
      <c r="S106" s="418"/>
      <c r="T106" s="418"/>
      <c r="U106" s="418"/>
      <c r="V106" s="369"/>
      <c r="W106" s="1316"/>
      <c r="X106" s="8"/>
      <c r="Y106" s="1316"/>
      <c r="Z106" s="1316"/>
      <c r="AA106" s="1316"/>
      <c r="AH106" s="1316"/>
      <c r="AI106" s="1316"/>
      <c r="AL106" s="1316"/>
      <c r="AQ106" s="248" t="s">
        <v>227</v>
      </c>
    </row>
    <row r="107" spans="1:51" s="70" customFormat="1" ht="13.5" customHeight="1" x14ac:dyDescent="0.2">
      <c r="A107" s="418"/>
      <c r="B107" s="418"/>
      <c r="C107" s="460"/>
      <c r="D107" s="460"/>
      <c r="E107" s="423"/>
      <c r="F107" s="460"/>
      <c r="G107" s="467"/>
      <c r="H107" s="418"/>
      <c r="I107" s="471"/>
      <c r="J107" s="460"/>
      <c r="K107" s="423"/>
      <c r="L107" s="469"/>
      <c r="M107" s="418"/>
      <c r="N107" s="418"/>
      <c r="O107" s="418"/>
      <c r="P107" s="418"/>
      <c r="Q107" s="418"/>
      <c r="R107" s="418"/>
      <c r="S107" s="418"/>
      <c r="T107" s="418"/>
      <c r="U107" s="418"/>
      <c r="V107" s="369"/>
      <c r="W107" s="1316"/>
      <c r="X107" s="8"/>
      <c r="Y107" s="1316"/>
      <c r="Z107" s="1316"/>
      <c r="AA107" s="1316"/>
      <c r="AH107" s="1316"/>
      <c r="AI107" s="1316"/>
      <c r="AL107" s="1316"/>
      <c r="AQ107" s="275" t="s">
        <v>91</v>
      </c>
    </row>
    <row r="108" spans="1:51" s="70" customFormat="1" ht="13.5" customHeight="1" x14ac:dyDescent="0.2">
      <c r="A108" s="418"/>
      <c r="B108" s="418"/>
      <c r="C108" s="460"/>
      <c r="D108" s="460"/>
      <c r="E108" s="423"/>
      <c r="F108" s="460"/>
      <c r="G108" s="467"/>
      <c r="H108" s="418"/>
      <c r="I108" s="471"/>
      <c r="J108" s="460"/>
      <c r="K108" s="423"/>
      <c r="L108" s="469"/>
      <c r="M108" s="418"/>
      <c r="N108" s="418"/>
      <c r="O108" s="418"/>
      <c r="P108" s="418"/>
      <c r="Q108" s="418"/>
      <c r="R108" s="418"/>
      <c r="S108" s="418"/>
      <c r="T108" s="418"/>
      <c r="U108" s="418"/>
      <c r="V108" s="369"/>
      <c r="W108" s="1316"/>
      <c r="X108" s="8"/>
      <c r="Y108" s="1316"/>
      <c r="Z108" s="1316"/>
      <c r="AA108" s="1316"/>
      <c r="AH108" s="1316"/>
      <c r="AI108" s="1316"/>
      <c r="AL108" s="1316"/>
      <c r="AT108" s="1359" t="s">
        <v>1591</v>
      </c>
      <c r="AY108" s="149"/>
    </row>
    <row r="109" spans="1:51" s="70" customFormat="1" ht="13.5" customHeight="1" x14ac:dyDescent="0.2">
      <c r="A109" s="418"/>
      <c r="B109" s="418"/>
      <c r="C109" s="460"/>
      <c r="D109" s="460"/>
      <c r="E109" s="423"/>
      <c r="F109" s="460"/>
      <c r="G109" s="467"/>
      <c r="H109" s="418"/>
      <c r="I109" s="471"/>
      <c r="J109" s="460"/>
      <c r="K109" s="423"/>
      <c r="L109" s="469"/>
      <c r="M109" s="418"/>
      <c r="N109" s="418"/>
      <c r="O109" s="418"/>
      <c r="P109" s="418"/>
      <c r="Q109" s="418"/>
      <c r="R109" s="418"/>
      <c r="S109" s="418"/>
      <c r="T109" s="418"/>
      <c r="U109" s="418"/>
      <c r="V109" s="369"/>
      <c r="W109" s="1316"/>
      <c r="X109" s="8"/>
      <c r="Y109" s="1316"/>
      <c r="Z109" s="1316"/>
      <c r="AA109" s="1316"/>
      <c r="AH109" s="1316"/>
      <c r="AI109" s="1316"/>
      <c r="AL109" s="1316"/>
      <c r="AQ109" s="195"/>
      <c r="AR109" s="335" t="s">
        <v>1782</v>
      </c>
      <c r="AS109" s="195"/>
      <c r="AT109" s="335" t="s">
        <v>1592</v>
      </c>
    </row>
    <row r="110" spans="1:51" s="70" customFormat="1" ht="13.5" customHeight="1" x14ac:dyDescent="0.2">
      <c r="A110" s="418"/>
      <c r="B110" s="418"/>
      <c r="C110" s="460"/>
      <c r="D110" s="460"/>
      <c r="E110" s="423"/>
      <c r="F110" s="460"/>
      <c r="G110" s="467"/>
      <c r="H110" s="418"/>
      <c r="I110" s="471"/>
      <c r="J110" s="460"/>
      <c r="K110" s="423"/>
      <c r="L110" s="469"/>
      <c r="M110" s="418"/>
      <c r="N110" s="418"/>
      <c r="O110" s="418"/>
      <c r="P110" s="418"/>
      <c r="Q110" s="418"/>
      <c r="R110" s="418"/>
      <c r="S110" s="418"/>
      <c r="T110" s="418"/>
      <c r="U110" s="418"/>
      <c r="V110" s="369"/>
      <c r="W110" s="1316"/>
      <c r="X110" s="8"/>
      <c r="Y110" s="1316"/>
      <c r="Z110" s="1316"/>
      <c r="AA110" s="1316"/>
      <c r="AH110" s="1316"/>
      <c r="AI110" s="1316"/>
      <c r="AL110" s="1316"/>
    </row>
    <row r="111" spans="1:51" s="70" customFormat="1" ht="13.5" customHeight="1" x14ac:dyDescent="0.2">
      <c r="A111" s="418"/>
      <c r="B111" s="418"/>
      <c r="C111" s="460"/>
      <c r="D111" s="460"/>
      <c r="E111" s="423"/>
      <c r="F111" s="460"/>
      <c r="G111" s="467"/>
      <c r="H111" s="418"/>
      <c r="I111" s="471"/>
      <c r="J111" s="460"/>
      <c r="K111" s="423"/>
      <c r="L111" s="469"/>
      <c r="M111" s="418"/>
      <c r="N111" s="418"/>
      <c r="O111" s="418"/>
      <c r="P111" s="418"/>
      <c r="Q111" s="418"/>
      <c r="R111" s="418"/>
      <c r="S111" s="418"/>
      <c r="T111" s="418"/>
      <c r="U111" s="418"/>
      <c r="V111" s="369"/>
      <c r="W111" s="1316"/>
      <c r="X111" s="8"/>
      <c r="Y111" s="1316"/>
      <c r="Z111" s="1316"/>
      <c r="AA111" s="1316"/>
      <c r="AH111" s="1316"/>
      <c r="AI111" s="1316"/>
      <c r="AL111" s="1316"/>
      <c r="AQ111" s="275" t="s">
        <v>1587</v>
      </c>
      <c r="AR111" s="1304"/>
      <c r="AT111" s="70">
        <v>382.75</v>
      </c>
      <c r="AV111" s="311"/>
    </row>
    <row r="112" spans="1:51" s="70" customFormat="1" ht="13.5" customHeight="1" x14ac:dyDescent="0.2">
      <c r="A112" s="418"/>
      <c r="B112" s="418"/>
      <c r="C112" s="460"/>
      <c r="D112" s="460"/>
      <c r="E112" s="423"/>
      <c r="F112" s="460"/>
      <c r="G112" s="467"/>
      <c r="H112" s="418"/>
      <c r="I112" s="471"/>
      <c r="J112" s="460"/>
      <c r="K112" s="423"/>
      <c r="L112" s="469"/>
      <c r="M112" s="418"/>
      <c r="N112" s="418"/>
      <c r="O112" s="418"/>
      <c r="P112" s="418"/>
      <c r="Q112" s="418"/>
      <c r="R112" s="418"/>
      <c r="S112" s="418"/>
      <c r="T112" s="418"/>
      <c r="U112" s="418"/>
      <c r="V112" s="369"/>
      <c r="W112" s="1316"/>
      <c r="X112" s="8"/>
      <c r="Y112" s="1316"/>
      <c r="Z112" s="1316"/>
      <c r="AA112" s="1316"/>
      <c r="AH112" s="1316"/>
      <c r="AI112" s="1316"/>
      <c r="AL112" s="1316"/>
      <c r="AQ112" s="1170" t="s">
        <v>1584</v>
      </c>
      <c r="AR112" s="1401"/>
      <c r="AT112" s="70">
        <v>206.34</v>
      </c>
    </row>
    <row r="113" spans="1:57" s="70" customFormat="1" ht="13.5" customHeight="1" x14ac:dyDescent="0.2">
      <c r="A113" s="418"/>
      <c r="B113" s="418"/>
      <c r="C113" s="460"/>
      <c r="D113" s="460"/>
      <c r="E113" s="423"/>
      <c r="F113" s="460"/>
      <c r="G113" s="467"/>
      <c r="H113" s="418"/>
      <c r="I113" s="471"/>
      <c r="J113" s="460"/>
      <c r="K113" s="423"/>
      <c r="L113" s="469"/>
      <c r="M113" s="418"/>
      <c r="N113" s="418"/>
      <c r="O113" s="418"/>
      <c r="P113" s="418"/>
      <c r="Q113" s="418"/>
      <c r="R113" s="418"/>
      <c r="S113" s="418"/>
      <c r="T113" s="418"/>
      <c r="U113" s="418"/>
      <c r="V113" s="369"/>
      <c r="W113" s="1316"/>
      <c r="X113" s="8"/>
      <c r="Y113" s="1316"/>
      <c r="Z113" s="1316"/>
      <c r="AA113" s="1316"/>
      <c r="AH113" s="1316"/>
      <c r="AI113" s="1316"/>
      <c r="AL113" s="1316"/>
      <c r="AQ113" s="1170" t="s">
        <v>140</v>
      </c>
      <c r="AR113" s="1401"/>
      <c r="AT113" s="70">
        <v>155.37</v>
      </c>
    </row>
    <row r="114" spans="1:57" s="70" customFormat="1" ht="13.5" customHeight="1" x14ac:dyDescent="0.2">
      <c r="A114" s="418"/>
      <c r="B114" s="418"/>
      <c r="C114" s="460"/>
      <c r="D114" s="460"/>
      <c r="E114" s="423"/>
      <c r="F114" s="460"/>
      <c r="G114" s="467"/>
      <c r="H114" s="418"/>
      <c r="I114" s="471"/>
      <c r="J114" s="460"/>
      <c r="K114" s="423"/>
      <c r="L114" s="469"/>
      <c r="M114" s="418"/>
      <c r="N114" s="418"/>
      <c r="O114" s="418"/>
      <c r="P114" s="418"/>
      <c r="Q114" s="418"/>
      <c r="R114" s="418"/>
      <c r="S114" s="418"/>
      <c r="T114" s="418"/>
      <c r="U114" s="418"/>
      <c r="V114" s="369"/>
      <c r="W114" s="1316"/>
      <c r="X114" s="8"/>
      <c r="Y114" s="1316"/>
      <c r="Z114" s="1316"/>
      <c r="AA114" s="1316"/>
      <c r="AH114" s="1316"/>
      <c r="AI114" s="1316"/>
      <c r="AL114" s="1316"/>
      <c r="AQ114" s="275" t="s">
        <v>141</v>
      </c>
      <c r="AR114" s="1401"/>
      <c r="AT114" s="70">
        <v>254.11</v>
      </c>
    </row>
    <row r="115" spans="1:57" s="70" customFormat="1" ht="13.5" customHeight="1" x14ac:dyDescent="0.2">
      <c r="A115" s="418"/>
      <c r="B115" s="418"/>
      <c r="C115" s="460"/>
      <c r="D115" s="460"/>
      <c r="E115" s="423"/>
      <c r="F115" s="460"/>
      <c r="G115" s="467"/>
      <c r="H115" s="418"/>
      <c r="I115" s="471"/>
      <c r="J115" s="460"/>
      <c r="K115" s="423"/>
      <c r="L115" s="469"/>
      <c r="M115" s="418"/>
      <c r="N115" s="418"/>
      <c r="O115" s="418"/>
      <c r="P115" s="418"/>
      <c r="Q115" s="418"/>
      <c r="R115" s="418"/>
      <c r="S115" s="418"/>
      <c r="T115" s="418"/>
      <c r="U115" s="418"/>
      <c r="V115" s="369"/>
      <c r="W115" s="1316"/>
      <c r="X115" s="8"/>
      <c r="Y115" s="1316"/>
      <c r="Z115" s="1316"/>
      <c r="AA115" s="1316"/>
      <c r="AH115" s="1316"/>
      <c r="AI115" s="1316"/>
      <c r="AL115" s="1316"/>
      <c r="AQ115" s="1360" t="s">
        <v>1577</v>
      </c>
      <c r="AR115" s="1361"/>
      <c r="AS115" s="1084"/>
      <c r="AT115" s="2111">
        <v>0.49</v>
      </c>
    </row>
    <row r="116" spans="1:57" s="70" customFormat="1" ht="13.5" customHeight="1" x14ac:dyDescent="0.2">
      <c r="A116" s="418"/>
      <c r="B116" s="418"/>
      <c r="C116" s="460"/>
      <c r="D116" s="460"/>
      <c r="E116" s="423"/>
      <c r="F116" s="460"/>
      <c r="G116" s="467"/>
      <c r="H116" s="418"/>
      <c r="I116" s="471"/>
      <c r="J116" s="460"/>
      <c r="K116" s="423"/>
      <c r="L116" s="469"/>
      <c r="M116" s="418"/>
      <c r="N116" s="418"/>
      <c r="O116" s="418"/>
      <c r="P116" s="418"/>
      <c r="Q116" s="418"/>
      <c r="R116" s="418"/>
      <c r="S116" s="418"/>
      <c r="T116" s="418"/>
      <c r="U116" s="418"/>
      <c r="V116" s="369"/>
      <c r="W116" s="1316"/>
      <c r="X116" s="8"/>
      <c r="Y116" s="1316"/>
      <c r="Z116" s="1316"/>
      <c r="AA116" s="1316"/>
      <c r="AH116" s="1316"/>
      <c r="AI116" s="1316"/>
      <c r="AL116" s="1316"/>
      <c r="AQ116" s="207"/>
      <c r="AR116" s="1757"/>
    </row>
    <row r="117" spans="1:57" s="70" customFormat="1" ht="13.5" customHeight="1" x14ac:dyDescent="0.2">
      <c r="A117" s="418"/>
      <c r="B117" s="418"/>
      <c r="C117" s="460"/>
      <c r="D117" s="460"/>
      <c r="E117" s="423"/>
      <c r="F117" s="460"/>
      <c r="G117" s="467"/>
      <c r="H117" s="418"/>
      <c r="I117" s="471"/>
      <c r="J117" s="460"/>
      <c r="K117" s="423"/>
      <c r="L117" s="469"/>
      <c r="M117" s="418"/>
      <c r="N117" s="418"/>
      <c r="O117" s="418"/>
      <c r="P117" s="418"/>
      <c r="Q117" s="418"/>
      <c r="R117" s="418"/>
      <c r="S117" s="418"/>
      <c r="T117" s="418"/>
      <c r="U117" s="418"/>
      <c r="V117" s="369"/>
      <c r="W117" s="1316"/>
      <c r="X117" s="8"/>
      <c r="Y117" s="1316"/>
      <c r="Z117" s="1316"/>
      <c r="AA117" s="1316"/>
      <c r="AH117" s="1316"/>
      <c r="AI117" s="1316"/>
      <c r="AL117" s="1316"/>
      <c r="AQ117" s="563" t="s">
        <v>137</v>
      </c>
      <c r="AR117" s="1299"/>
    </row>
    <row r="118" spans="1:57" s="70" customFormat="1" ht="13.5" customHeight="1" x14ac:dyDescent="0.2">
      <c r="A118" s="418"/>
      <c r="B118" s="418"/>
      <c r="C118" s="460"/>
      <c r="D118" s="460"/>
      <c r="E118" s="423"/>
      <c r="F118" s="460"/>
      <c r="G118" s="467"/>
      <c r="H118" s="418"/>
      <c r="I118" s="471"/>
      <c r="J118" s="460"/>
      <c r="K118" s="423"/>
      <c r="L118" s="469"/>
      <c r="M118" s="418"/>
      <c r="N118" s="418"/>
      <c r="O118" s="418"/>
      <c r="P118" s="418"/>
      <c r="Q118" s="418"/>
      <c r="R118" s="418"/>
      <c r="S118" s="418"/>
      <c r="T118" s="418"/>
      <c r="U118" s="418"/>
      <c r="V118" s="369"/>
      <c r="W118" s="1316"/>
      <c r="X118" s="8"/>
      <c r="Y118" s="1316"/>
      <c r="Z118" s="1316"/>
      <c r="AA118" s="1316"/>
      <c r="AH118" s="1316"/>
      <c r="AI118" s="1316"/>
      <c r="AL118" s="1316"/>
      <c r="AQ118" s="275" t="s">
        <v>382</v>
      </c>
      <c r="AR118" s="1301"/>
      <c r="AT118" s="259">
        <v>5.8000000000000003E-2</v>
      </c>
    </row>
    <row r="119" spans="1:57" s="70" customFormat="1" ht="13.5" customHeight="1" x14ac:dyDescent="0.2">
      <c r="A119" s="418"/>
      <c r="B119" s="418"/>
      <c r="C119" s="460"/>
      <c r="D119" s="460"/>
      <c r="E119" s="423"/>
      <c r="F119" s="460"/>
      <c r="G119" s="467"/>
      <c r="H119" s="418"/>
      <c r="I119" s="471"/>
      <c r="J119" s="460"/>
      <c r="K119" s="423"/>
      <c r="L119" s="469"/>
      <c r="M119" s="418"/>
      <c r="N119" s="418"/>
      <c r="O119" s="418"/>
      <c r="P119" s="418"/>
      <c r="Q119" s="418"/>
      <c r="R119" s="418"/>
      <c r="S119" s="418"/>
      <c r="T119" s="418"/>
      <c r="U119" s="418"/>
      <c r="V119" s="369"/>
      <c r="W119" s="1316"/>
      <c r="X119" s="8"/>
      <c r="Y119" s="1316"/>
      <c r="Z119" s="1316"/>
      <c r="AA119" s="1316"/>
      <c r="AH119" s="1316"/>
      <c r="AI119" s="1316"/>
      <c r="AL119" s="1316"/>
      <c r="AQ119" s="1170" t="s">
        <v>1309</v>
      </c>
      <c r="AR119" s="1301"/>
      <c r="AT119" s="259">
        <v>0.06</v>
      </c>
    </row>
    <row r="120" spans="1:57" s="70" customFormat="1" ht="13.5" customHeight="1" x14ac:dyDescent="0.2">
      <c r="A120" s="418"/>
      <c r="B120" s="418"/>
      <c r="C120" s="460"/>
      <c r="D120" s="460"/>
      <c r="E120" s="423"/>
      <c r="F120" s="460"/>
      <c r="G120" s="467"/>
      <c r="H120" s="418"/>
      <c r="I120" s="471"/>
      <c r="J120" s="460"/>
      <c r="K120" s="423"/>
      <c r="L120" s="469"/>
      <c r="M120" s="418"/>
      <c r="N120" s="418"/>
      <c r="O120" s="418"/>
      <c r="P120" s="418"/>
      <c r="Q120" s="418"/>
      <c r="R120" s="418"/>
      <c r="S120" s="418"/>
      <c r="T120" s="418"/>
      <c r="U120" s="418"/>
      <c r="V120" s="369"/>
      <c r="W120" s="1316"/>
      <c r="X120" s="8"/>
      <c r="Y120" s="1316"/>
      <c r="Z120" s="1316"/>
      <c r="AA120" s="1316"/>
      <c r="AH120" s="1316"/>
      <c r="AI120" s="1316"/>
      <c r="AL120" s="1316"/>
      <c r="AQ120" s="1170" t="s">
        <v>2036</v>
      </c>
      <c r="AR120" s="1301"/>
      <c r="AT120" s="259">
        <v>0.04</v>
      </c>
    </row>
    <row r="121" spans="1:57" s="70" customFormat="1" ht="3.75" customHeight="1" x14ac:dyDescent="0.2">
      <c r="A121" s="418"/>
      <c r="B121" s="418"/>
      <c r="C121" s="460"/>
      <c r="D121" s="460"/>
      <c r="E121" s="423"/>
      <c r="F121" s="460"/>
      <c r="G121" s="467"/>
      <c r="H121" s="418"/>
      <c r="I121" s="471"/>
      <c r="J121" s="460"/>
      <c r="K121" s="423"/>
      <c r="L121" s="469"/>
      <c r="M121" s="418"/>
      <c r="N121" s="418"/>
      <c r="O121" s="418"/>
      <c r="P121" s="418"/>
      <c r="Q121" s="418"/>
      <c r="R121" s="418"/>
      <c r="S121" s="418"/>
      <c r="T121" s="418"/>
      <c r="U121" s="418"/>
      <c r="V121" s="369"/>
      <c r="W121" s="1316"/>
      <c r="X121" s="8"/>
      <c r="Y121" s="1316"/>
      <c r="Z121" s="1316"/>
      <c r="AA121" s="1316"/>
      <c r="AH121" s="1316"/>
      <c r="AI121" s="1316"/>
      <c r="AL121" s="1316"/>
      <c r="AQ121" s="1758"/>
      <c r="AR121" s="1301"/>
    </row>
    <row r="122" spans="1:57" s="70" customFormat="1" ht="3" customHeight="1" x14ac:dyDescent="0.2">
      <c r="A122" s="418"/>
      <c r="B122" s="418"/>
      <c r="C122" s="460"/>
      <c r="D122" s="460"/>
      <c r="E122" s="423"/>
      <c r="F122" s="460"/>
      <c r="G122" s="467"/>
      <c r="H122" s="418"/>
      <c r="I122" s="471"/>
      <c r="J122" s="460"/>
      <c r="K122" s="423"/>
      <c r="L122" s="469"/>
      <c r="M122" s="418"/>
      <c r="N122" s="418"/>
      <c r="O122" s="418"/>
      <c r="P122" s="418"/>
      <c r="Q122" s="418"/>
      <c r="R122" s="418"/>
      <c r="S122" s="418"/>
      <c r="T122" s="418"/>
      <c r="U122" s="418"/>
      <c r="V122" s="369"/>
      <c r="W122" s="1316"/>
      <c r="X122" s="8"/>
      <c r="Y122" s="1316"/>
      <c r="Z122" s="1316"/>
      <c r="AA122" s="1316"/>
      <c r="AH122" s="1316"/>
      <c r="AI122" s="1316"/>
      <c r="AL122" s="1316"/>
      <c r="AQ122" s="207"/>
      <c r="AR122" s="207"/>
    </row>
    <row r="123" spans="1:57" ht="13.5" customHeight="1" x14ac:dyDescent="0.2">
      <c r="A123" s="418"/>
      <c r="B123" s="418"/>
      <c r="C123" s="418"/>
      <c r="D123" s="418"/>
      <c r="E123" s="418"/>
      <c r="F123" s="460"/>
      <c r="G123" s="467"/>
      <c r="H123" s="418"/>
      <c r="I123" s="463"/>
      <c r="J123" s="418"/>
      <c r="K123" s="460"/>
      <c r="L123" s="469"/>
      <c r="M123" s="418"/>
      <c r="N123" s="418"/>
      <c r="O123" s="418"/>
      <c r="P123" s="418"/>
      <c r="Q123" s="418"/>
      <c r="R123" s="418"/>
      <c r="S123" s="418"/>
      <c r="T123" s="418"/>
      <c r="U123" s="418"/>
      <c r="AP123" s="421"/>
      <c r="AQ123" s="1424"/>
      <c r="AR123" s="421"/>
      <c r="AS123" s="421"/>
      <c r="AT123" s="421"/>
      <c r="AU123" s="421"/>
    </row>
    <row r="124" spans="1:57" ht="13.5" customHeight="1" x14ac:dyDescent="0.2">
      <c r="A124" s="418"/>
      <c r="B124" s="418"/>
      <c r="C124" s="418"/>
      <c r="D124" s="418"/>
      <c r="E124" s="418"/>
      <c r="F124" s="460"/>
      <c r="G124" s="467"/>
      <c r="H124" s="418"/>
      <c r="I124" s="463"/>
      <c r="J124" s="418"/>
      <c r="K124" s="460"/>
      <c r="L124" s="469"/>
      <c r="M124" s="418"/>
      <c r="N124" s="418"/>
      <c r="O124" s="418"/>
      <c r="P124" s="418"/>
      <c r="Q124" s="418"/>
      <c r="R124" s="418"/>
      <c r="S124" s="418"/>
      <c r="T124" s="418"/>
      <c r="U124" s="418"/>
    </row>
    <row r="125" spans="1:57" ht="13.5" customHeight="1" x14ac:dyDescent="0.2">
      <c r="A125" s="418"/>
      <c r="B125" s="418"/>
      <c r="C125" s="418"/>
      <c r="D125" s="418"/>
      <c r="E125" s="418"/>
      <c r="F125" s="460"/>
      <c r="G125" s="467"/>
      <c r="H125" s="418"/>
      <c r="I125" s="463"/>
      <c r="J125" s="418"/>
      <c r="K125" s="460"/>
      <c r="L125" s="469"/>
      <c r="M125" s="418"/>
      <c r="N125" s="418"/>
      <c r="O125" s="418"/>
      <c r="P125" s="418"/>
      <c r="Q125" s="418"/>
      <c r="R125" s="418"/>
      <c r="S125" s="418"/>
      <c r="T125" s="418"/>
      <c r="U125" s="418"/>
      <c r="AV125" s="85"/>
      <c r="AW125" s="3945" t="s">
        <v>2254</v>
      </c>
      <c r="AX125" s="3945"/>
      <c r="AY125" s="3946"/>
      <c r="AZ125" s="3947" t="s">
        <v>2255</v>
      </c>
      <c r="BA125" s="3945"/>
      <c r="BB125" s="3946"/>
      <c r="BC125" s="3936">
        <v>2013</v>
      </c>
      <c r="BD125" s="3937"/>
      <c r="BE125" s="3938"/>
    </row>
    <row r="126" spans="1:57" ht="13.5" customHeight="1" x14ac:dyDescent="0.2">
      <c r="A126" s="418"/>
      <c r="B126" s="418"/>
      <c r="C126" s="418"/>
      <c r="D126" s="418"/>
      <c r="E126" s="418"/>
      <c r="F126" s="418"/>
      <c r="G126" s="462"/>
      <c r="H126" s="418"/>
      <c r="I126" s="463"/>
      <c r="J126" s="418"/>
      <c r="K126" s="418"/>
      <c r="L126" s="462"/>
      <c r="M126" s="418"/>
      <c r="N126" s="418"/>
      <c r="O126" s="418"/>
      <c r="P126" s="418"/>
      <c r="Q126" s="418"/>
      <c r="R126" s="418"/>
      <c r="S126" s="418"/>
      <c r="T126" s="418"/>
      <c r="U126" s="418"/>
      <c r="AV126" s="2095"/>
      <c r="AW126" s="2100" t="s">
        <v>1253</v>
      </c>
      <c r="AX126" s="2100" t="s">
        <v>1863</v>
      </c>
      <c r="AY126" s="2101" t="s">
        <v>487</v>
      </c>
      <c r="AZ126" s="2102" t="s">
        <v>1253</v>
      </c>
      <c r="BA126" s="2100" t="s">
        <v>1863</v>
      </c>
      <c r="BB126" s="2101" t="s">
        <v>487</v>
      </c>
      <c r="BC126" s="2102" t="s">
        <v>1253</v>
      </c>
      <c r="BD126" s="2100" t="s">
        <v>1863</v>
      </c>
      <c r="BE126" s="2101" t="s">
        <v>487</v>
      </c>
    </row>
    <row r="127" spans="1:57" ht="13.5" customHeight="1" x14ac:dyDescent="0.2">
      <c r="A127" s="418"/>
      <c r="B127" s="418"/>
      <c r="C127" s="418"/>
      <c r="D127" s="418"/>
      <c r="E127" s="418"/>
      <c r="F127" s="418"/>
      <c r="G127" s="462"/>
      <c r="H127" s="418"/>
      <c r="I127" s="463"/>
      <c r="J127" s="418"/>
      <c r="K127" s="418"/>
      <c r="L127" s="462"/>
      <c r="M127" s="418"/>
      <c r="N127" s="418"/>
      <c r="O127" s="418"/>
      <c r="P127" s="418"/>
      <c r="Q127" s="418"/>
      <c r="R127" s="418"/>
      <c r="S127" s="418"/>
      <c r="T127" s="418"/>
      <c r="U127" s="418"/>
      <c r="AV127" s="550" t="s">
        <v>1938</v>
      </c>
      <c r="AW127" s="1691">
        <v>0.43</v>
      </c>
      <c r="AX127" s="1657">
        <v>268</v>
      </c>
      <c r="AY127" s="2099">
        <v>4.5999999999999999E-2</v>
      </c>
      <c r="AZ127" s="1691"/>
      <c r="BA127" s="1657"/>
      <c r="BB127" s="2096"/>
      <c r="BC127" s="1691"/>
      <c r="BD127" s="1657"/>
      <c r="BE127" s="2099"/>
    </row>
    <row r="128" spans="1:57" ht="13.5" customHeight="1" x14ac:dyDescent="0.2">
      <c r="A128" s="418"/>
      <c r="B128" s="418"/>
      <c r="C128" s="458"/>
      <c r="D128" s="458"/>
      <c r="E128" s="423"/>
      <c r="F128" s="460"/>
      <c r="G128" s="467"/>
      <c r="H128" s="418"/>
      <c r="I128" s="468"/>
      <c r="J128" s="460"/>
      <c r="K128" s="423"/>
      <c r="L128" s="469"/>
      <c r="M128" s="418"/>
      <c r="N128" s="418"/>
      <c r="O128" s="418"/>
      <c r="P128" s="418"/>
      <c r="Q128" s="418"/>
      <c r="R128" s="418"/>
      <c r="S128" s="418"/>
      <c r="T128" s="418"/>
      <c r="U128" s="418"/>
      <c r="AV128" s="2097" t="s">
        <v>2256</v>
      </c>
      <c r="AW128" s="1691">
        <v>0.4</v>
      </c>
      <c r="AX128" s="2098">
        <v>261</v>
      </c>
      <c r="AY128" s="2099">
        <v>5.5E-2</v>
      </c>
      <c r="AZ128" s="1691">
        <v>0.52</v>
      </c>
      <c r="BA128" s="2098">
        <v>323</v>
      </c>
      <c r="BB128" s="2099">
        <v>5.5E-2</v>
      </c>
      <c r="BC128" s="1691">
        <v>2</v>
      </c>
      <c r="BD128" s="2098">
        <v>1236</v>
      </c>
      <c r="BE128" s="2099">
        <v>0.06</v>
      </c>
    </row>
    <row r="129" spans="1:57" s="546" customFormat="1" ht="13.5" customHeight="1" x14ac:dyDescent="0.2">
      <c r="A129" s="418"/>
      <c r="B129" s="418"/>
      <c r="C129" s="458"/>
      <c r="D129" s="458"/>
      <c r="E129" s="423"/>
      <c r="F129" s="460"/>
      <c r="G129" s="467"/>
      <c r="H129" s="418"/>
      <c r="I129" s="468"/>
      <c r="J129" s="460"/>
      <c r="K129" s="423"/>
      <c r="L129" s="469"/>
      <c r="M129" s="418"/>
      <c r="N129" s="418"/>
      <c r="O129" s="418"/>
      <c r="P129" s="418"/>
      <c r="Q129" s="418"/>
      <c r="R129" s="418"/>
      <c r="S129" s="418"/>
      <c r="T129" s="418"/>
      <c r="U129" s="418"/>
      <c r="AP129"/>
      <c r="AQ129"/>
      <c r="AR129"/>
      <c r="AS129"/>
      <c r="AT129"/>
      <c r="AU129"/>
      <c r="AV129" s="2097" t="s">
        <v>2257</v>
      </c>
      <c r="AW129" s="1691"/>
      <c r="AX129" s="2098"/>
      <c r="AY129" s="2099"/>
      <c r="AZ129" s="1691">
        <v>0.56999999999999995</v>
      </c>
      <c r="BA129" s="2098">
        <v>343</v>
      </c>
      <c r="BB129" s="2099">
        <v>5.6000000000000001E-2</v>
      </c>
      <c r="BC129" s="1691">
        <v>2.06</v>
      </c>
      <c r="BD129" s="2098">
        <v>1249</v>
      </c>
      <c r="BE129" s="2099">
        <v>5.6000000000000001E-2</v>
      </c>
    </row>
    <row r="130" spans="1:57" ht="13.5" customHeight="1" x14ac:dyDescent="0.2">
      <c r="A130" s="418"/>
      <c r="B130" s="418"/>
      <c r="C130" s="458"/>
      <c r="D130" s="458"/>
      <c r="E130" s="423"/>
      <c r="F130" s="460"/>
      <c r="G130" s="467"/>
      <c r="H130" s="418"/>
      <c r="I130" s="468"/>
      <c r="J130" s="460"/>
      <c r="K130" s="423"/>
      <c r="L130" s="469"/>
      <c r="M130" s="418"/>
      <c r="N130" s="418"/>
      <c r="O130" s="418"/>
      <c r="P130" s="418"/>
      <c r="Q130" s="418"/>
      <c r="R130" s="418"/>
      <c r="S130" s="418"/>
      <c r="T130" s="418"/>
      <c r="U130" s="418"/>
      <c r="AV130" s="550" t="s">
        <v>2258</v>
      </c>
      <c r="AW130" s="1691">
        <v>0.4</v>
      </c>
      <c r="AX130" s="1657">
        <v>267</v>
      </c>
      <c r="AY130" s="2099">
        <v>5.0999999999999997E-2</v>
      </c>
      <c r="AZ130" s="1691">
        <v>0.55000000000000004</v>
      </c>
      <c r="BA130" s="1657">
        <v>334</v>
      </c>
      <c r="BB130" s="2099">
        <v>5.3999999999999999E-2</v>
      </c>
      <c r="BC130" s="1691">
        <v>2.0099999999999998</v>
      </c>
      <c r="BD130" s="1657">
        <v>1234</v>
      </c>
      <c r="BE130" s="2099">
        <v>5.3999999999999999E-2</v>
      </c>
    </row>
    <row r="131" spans="1:57" ht="13.5" customHeight="1" x14ac:dyDescent="0.2">
      <c r="A131" s="418"/>
      <c r="B131" s="418"/>
      <c r="C131" s="459"/>
      <c r="D131" s="459"/>
      <c r="E131" s="459"/>
      <c r="F131" s="418"/>
      <c r="G131" s="467"/>
      <c r="H131" s="418"/>
      <c r="I131" s="470"/>
      <c r="J131" s="459"/>
      <c r="K131" s="418"/>
      <c r="L131" s="467"/>
      <c r="M131" s="418"/>
      <c r="N131" s="418"/>
      <c r="O131" s="418"/>
      <c r="P131" s="418"/>
      <c r="Q131" s="418"/>
      <c r="R131" s="418"/>
      <c r="S131" s="418"/>
      <c r="T131" s="418"/>
      <c r="U131" s="418"/>
      <c r="AV131" s="550" t="s">
        <v>2259</v>
      </c>
      <c r="AW131" s="1691"/>
      <c r="AX131" s="1657"/>
      <c r="AY131" s="2099"/>
      <c r="AZ131" s="1691">
        <v>0.56999999999999995</v>
      </c>
      <c r="BA131" s="1657">
        <v>338</v>
      </c>
      <c r="BB131" s="2096"/>
      <c r="BC131" s="1691">
        <v>2.04</v>
      </c>
      <c r="BD131" s="1657">
        <v>1239</v>
      </c>
      <c r="BE131" s="2099"/>
    </row>
    <row r="132" spans="1:57" ht="13.5" customHeight="1" x14ac:dyDescent="0.2">
      <c r="A132" s="418"/>
      <c r="B132" s="418"/>
      <c r="C132" s="460"/>
      <c r="D132" s="460"/>
      <c r="E132" s="423"/>
      <c r="F132" s="460"/>
      <c r="G132" s="467"/>
      <c r="H132" s="418"/>
      <c r="I132" s="471"/>
      <c r="J132" s="460"/>
      <c r="K132" s="423"/>
      <c r="L132" s="469"/>
      <c r="M132" s="418"/>
      <c r="N132" s="418"/>
      <c r="O132" s="418"/>
      <c r="P132" s="418"/>
      <c r="Q132" s="418"/>
      <c r="R132" s="418"/>
      <c r="S132" s="418"/>
      <c r="T132" s="418"/>
      <c r="U132" s="418"/>
      <c r="AV132" s="2103" t="s">
        <v>1782</v>
      </c>
      <c r="AW132" s="2104" t="s">
        <v>144</v>
      </c>
      <c r="AX132" s="2104" t="s">
        <v>1979</v>
      </c>
      <c r="AY132" s="2105" t="s">
        <v>2261</v>
      </c>
      <c r="AZ132" s="2104" t="s">
        <v>828</v>
      </c>
      <c r="BA132" s="2104" t="s">
        <v>1979</v>
      </c>
      <c r="BB132" s="2105" t="s">
        <v>2260</v>
      </c>
      <c r="BC132" s="2104" t="s">
        <v>829</v>
      </c>
      <c r="BD132" s="2104" t="s">
        <v>830</v>
      </c>
      <c r="BE132" s="2105" t="s">
        <v>827</v>
      </c>
    </row>
    <row r="133" spans="1:57" ht="13.5" customHeight="1" x14ac:dyDescent="0.2">
      <c r="A133" s="418"/>
      <c r="B133" s="418"/>
      <c r="C133" s="418"/>
      <c r="D133" s="418"/>
      <c r="E133" s="418"/>
      <c r="F133" s="460"/>
      <c r="G133" s="467"/>
      <c r="H133" s="418"/>
      <c r="I133" s="463"/>
      <c r="J133" s="418"/>
      <c r="K133" s="460"/>
      <c r="L133" s="469"/>
      <c r="M133" s="418"/>
      <c r="N133" s="418"/>
      <c r="O133" s="418"/>
      <c r="P133" s="418"/>
      <c r="Q133" s="418"/>
      <c r="R133" s="418"/>
      <c r="S133" s="418"/>
      <c r="T133" s="418"/>
      <c r="U133" s="418"/>
    </row>
    <row r="134" spans="1:57" ht="13.5" customHeight="1" x14ac:dyDescent="0.2">
      <c r="A134" s="418"/>
      <c r="B134" s="418"/>
      <c r="C134" s="418"/>
      <c r="D134" s="418"/>
      <c r="E134" s="418"/>
      <c r="F134" s="460"/>
      <c r="G134" s="467"/>
      <c r="H134" s="418"/>
      <c r="I134" s="463"/>
      <c r="J134" s="418"/>
      <c r="K134" s="460"/>
      <c r="L134" s="469"/>
      <c r="M134" s="418"/>
      <c r="N134" s="418"/>
      <c r="O134" s="418"/>
      <c r="P134" s="418"/>
      <c r="Q134" s="418"/>
      <c r="R134" s="418"/>
      <c r="S134" s="418"/>
      <c r="T134" s="418"/>
      <c r="U134" s="418"/>
    </row>
    <row r="135" spans="1:57" ht="13.5" customHeight="1" x14ac:dyDescent="0.2">
      <c r="A135" s="418"/>
      <c r="B135" s="418"/>
      <c r="C135" s="418"/>
      <c r="D135" s="418"/>
      <c r="E135" s="418"/>
      <c r="F135" s="460"/>
      <c r="G135" s="467"/>
      <c r="H135" s="418"/>
      <c r="I135" s="463"/>
      <c r="J135" s="418"/>
      <c r="K135" s="460"/>
      <c r="L135" s="469"/>
      <c r="M135" s="418"/>
      <c r="N135" s="418"/>
      <c r="O135" s="418"/>
      <c r="P135" s="418"/>
      <c r="Q135" s="418"/>
      <c r="R135" s="418"/>
      <c r="S135" s="418"/>
      <c r="T135" s="418"/>
      <c r="U135" s="418"/>
    </row>
    <row r="136" spans="1:57" ht="13.5" customHeight="1" x14ac:dyDescent="0.2">
      <c r="A136" s="418"/>
      <c r="B136" s="418"/>
      <c r="C136" s="458"/>
      <c r="D136" s="458"/>
      <c r="E136" s="423"/>
      <c r="F136" s="460"/>
      <c r="G136" s="467"/>
      <c r="H136" s="418"/>
      <c r="I136" s="468"/>
      <c r="J136" s="460"/>
      <c r="K136" s="423"/>
      <c r="L136" s="469"/>
      <c r="M136" s="418"/>
      <c r="N136" s="418"/>
      <c r="O136" s="418"/>
      <c r="P136" s="418"/>
      <c r="Q136" s="418"/>
      <c r="R136" s="418"/>
      <c r="S136" s="418"/>
      <c r="T136" s="418"/>
      <c r="U136" s="418"/>
    </row>
    <row r="137" spans="1:57" ht="13.5" customHeight="1" x14ac:dyDescent="0.2">
      <c r="A137" s="418"/>
      <c r="B137" s="418"/>
      <c r="C137" s="459"/>
      <c r="D137" s="459"/>
      <c r="E137" s="459"/>
      <c r="F137" s="418"/>
      <c r="G137" s="467"/>
      <c r="H137" s="418"/>
      <c r="I137" s="470"/>
      <c r="J137" s="459"/>
      <c r="K137" s="418"/>
      <c r="L137" s="467"/>
      <c r="M137" s="418"/>
      <c r="N137" s="418"/>
      <c r="O137" s="418"/>
      <c r="P137" s="418"/>
      <c r="Q137" s="418"/>
      <c r="R137" s="418"/>
      <c r="S137" s="418"/>
      <c r="T137" s="418"/>
      <c r="U137" s="418"/>
    </row>
    <row r="138" spans="1:57" ht="13.5" customHeight="1" x14ac:dyDescent="0.2">
      <c r="A138" s="418"/>
      <c r="B138" s="418"/>
      <c r="C138" s="460"/>
      <c r="D138" s="460"/>
      <c r="E138" s="423"/>
      <c r="F138" s="460"/>
      <c r="G138" s="467"/>
      <c r="H138" s="418"/>
      <c r="I138" s="471"/>
      <c r="J138" s="460"/>
      <c r="K138" s="423"/>
      <c r="L138" s="469"/>
      <c r="M138" s="418"/>
      <c r="N138" s="418"/>
      <c r="O138" s="418"/>
      <c r="P138" s="418"/>
      <c r="Q138" s="418"/>
      <c r="R138" s="418"/>
      <c r="S138" s="418"/>
      <c r="T138" s="418"/>
      <c r="U138" s="418"/>
      <c r="V138" s="418"/>
      <c r="W138" s="418"/>
      <c r="X138" s="418"/>
      <c r="Y138" s="418"/>
      <c r="Z138" s="418"/>
      <c r="AA138" s="418"/>
      <c r="AB138" s="418"/>
      <c r="AC138" s="418"/>
      <c r="AD138" s="418"/>
      <c r="AE138" s="418"/>
      <c r="AF138" s="418"/>
      <c r="AG138" s="418"/>
      <c r="AH138" s="418"/>
      <c r="AI138" s="418"/>
      <c r="AJ138" s="418"/>
      <c r="AK138" s="418"/>
      <c r="AL138" s="418"/>
      <c r="AM138" s="418"/>
      <c r="AN138" s="418"/>
      <c r="AO138" s="418"/>
    </row>
    <row r="173" ht="5.25" customHeight="1" x14ac:dyDescent="0.2"/>
    <row r="176" ht="5.25" customHeight="1" x14ac:dyDescent="0.2"/>
    <row r="182" ht="5.25" customHeight="1" x14ac:dyDescent="0.2"/>
    <row r="188" ht="4.5" customHeight="1" x14ac:dyDescent="0.2"/>
  </sheetData>
  <mergeCells count="5">
    <mergeCell ref="BC125:BE125"/>
    <mergeCell ref="AA81:AC81"/>
    <mergeCell ref="AM81:AO81"/>
    <mergeCell ref="AW125:AY125"/>
    <mergeCell ref="AZ125:BB125"/>
  </mergeCells>
  <phoneticPr fontId="57" type="noConversion"/>
  <pageMargins left="0.5" right="0.5" top="0.5" bottom="0.5" header="0.5" footer="0.5"/>
  <pageSetup scale="74" orientation="portrait" horizontalDpi="1200" verticalDpi="1200" r:id="rId1"/>
  <headerFooter alignWithMargins="0"/>
  <rowBreaks count="1" manualBreakCount="1">
    <brk id="53" max="16383" man="1"/>
  </rowBreaks>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autoPageBreaks="0"/>
  </sheetPr>
  <dimension ref="A1:BC188"/>
  <sheetViews>
    <sheetView zoomScale="85" zoomScaleNormal="85" zoomScaleSheetLayoutView="85" workbookViewId="0"/>
  </sheetViews>
  <sheetFormatPr defaultColWidth="12" defaultRowHeight="13.5" customHeight="1" x14ac:dyDescent="0.2"/>
  <cols>
    <col min="1" max="1" width="36.1640625" customWidth="1"/>
    <col min="2" max="2" width="2" customWidth="1"/>
    <col min="3" max="4" width="12" customWidth="1"/>
    <col min="5" max="5" width="2" customWidth="1"/>
    <col min="6" max="7" width="10" customWidth="1"/>
    <col min="8" max="8" width="5.33203125" customWidth="1"/>
    <col min="9" max="9" width="12" customWidth="1"/>
    <col min="10" max="10" width="2" customWidth="1"/>
    <col min="11" max="12" width="10" customWidth="1"/>
    <col min="13" max="13" width="2.33203125" customWidth="1"/>
    <col min="14" max="14" width="12" customWidth="1"/>
    <col min="15" max="15" width="2.83203125" customWidth="1"/>
    <col min="16" max="16" width="26.83203125" customWidth="1"/>
    <col min="17" max="18" width="13.6640625" customWidth="1"/>
    <col min="19" max="19" width="1.83203125" customWidth="1"/>
    <col min="20" max="20" width="13.6640625" customWidth="1"/>
    <col min="21" max="21" width="2.33203125" customWidth="1"/>
    <col min="22" max="22" width="22" customWidth="1"/>
    <col min="23" max="23" width="9.6640625" customWidth="1"/>
    <col min="24" max="24" width="2.1640625" customWidth="1"/>
    <col min="25" max="25" width="9.6640625" customWidth="1"/>
    <col min="26" max="26" width="2" customWidth="1"/>
    <col min="27" max="27" width="9.6640625" customWidth="1"/>
    <col min="28" max="28" width="1.5" customWidth="1"/>
    <col min="29" max="29" width="9.6640625" customWidth="1"/>
    <col min="30" max="30" width="2" customWidth="1"/>
    <col min="31" max="31" width="9.6640625" customWidth="1"/>
    <col min="32" max="32" width="1.5" customWidth="1"/>
    <col min="33" max="33" width="9.6640625" customWidth="1"/>
    <col min="34" max="34" width="2" customWidth="1"/>
    <col min="35" max="35" width="9.6640625" customWidth="1"/>
    <col min="36" max="36" width="1.5" customWidth="1"/>
    <col min="37" max="37" width="9.6640625" customWidth="1"/>
    <col min="38" max="38" width="2" customWidth="1"/>
    <col min="39" max="39" width="9.6640625" customWidth="1"/>
    <col min="40" max="40" width="1.5" customWidth="1"/>
    <col min="41" max="41" width="28" customWidth="1"/>
    <col min="42" max="42" width="12" bestFit="1" customWidth="1"/>
    <col min="43" max="43" width="1.83203125" customWidth="1"/>
    <col min="44" max="44" width="12.5" bestFit="1" customWidth="1"/>
    <col min="45" max="45" width="1.5" customWidth="1"/>
    <col min="46" max="55" width="12.5" customWidth="1"/>
  </cols>
  <sheetData>
    <row r="1" spans="1:45" ht="13.5" customHeight="1" x14ac:dyDescent="0.2">
      <c r="A1" s="362" t="s">
        <v>1490</v>
      </c>
      <c r="B1" s="346"/>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345"/>
      <c r="AG1" s="345"/>
      <c r="AH1" s="345"/>
      <c r="AI1" s="345"/>
      <c r="AJ1" s="345"/>
      <c r="AK1" s="345"/>
      <c r="AL1" s="345"/>
      <c r="AM1" s="345"/>
      <c r="AN1" s="345"/>
      <c r="AO1" s="345"/>
      <c r="AP1" s="345"/>
      <c r="AQ1" s="345"/>
      <c r="AR1" s="345"/>
      <c r="AS1" s="345"/>
    </row>
    <row r="2" spans="1:45" ht="13.5" customHeight="1" x14ac:dyDescent="0.2">
      <c r="A2" s="362" t="s">
        <v>1639</v>
      </c>
      <c r="B2" s="346"/>
      <c r="C2" s="619"/>
      <c r="D2" s="345"/>
      <c r="E2" s="345"/>
      <c r="F2" s="345"/>
      <c r="G2" s="345"/>
      <c r="H2" s="345"/>
      <c r="I2" s="619"/>
      <c r="J2" s="345"/>
      <c r="K2" s="345"/>
      <c r="L2" s="345"/>
      <c r="M2" s="345"/>
      <c r="N2" s="345"/>
      <c r="O2" s="345"/>
      <c r="P2" s="345"/>
      <c r="Q2" s="345"/>
      <c r="R2" s="345"/>
      <c r="S2" s="345"/>
      <c r="T2" s="345"/>
      <c r="U2" s="346"/>
      <c r="V2" s="345"/>
      <c r="W2" s="345"/>
      <c r="X2" s="345"/>
      <c r="Y2" s="345"/>
      <c r="Z2" s="345"/>
      <c r="AA2" s="345"/>
      <c r="AB2" s="345"/>
      <c r="AC2" s="345"/>
      <c r="AD2" s="345"/>
      <c r="AE2" s="345"/>
      <c r="AF2" s="345"/>
      <c r="AG2" s="345"/>
      <c r="AH2" s="345"/>
      <c r="AI2" s="345"/>
      <c r="AJ2" s="345"/>
      <c r="AK2" s="345"/>
      <c r="AL2" s="345"/>
      <c r="AM2" s="345"/>
      <c r="AN2" s="345"/>
      <c r="AO2" s="345"/>
      <c r="AP2" s="345"/>
      <c r="AQ2" s="345"/>
      <c r="AR2" s="345"/>
      <c r="AS2" s="345"/>
    </row>
    <row r="3" spans="1:45" ht="13.5" customHeight="1" x14ac:dyDescent="0.2">
      <c r="A3" s="346"/>
      <c r="B3" s="346"/>
      <c r="C3" s="346"/>
      <c r="D3" s="346"/>
      <c r="E3" s="346"/>
      <c r="F3" s="346"/>
      <c r="G3" s="346"/>
      <c r="H3" s="346"/>
      <c r="I3" s="346"/>
      <c r="J3" s="346"/>
      <c r="K3" s="346"/>
      <c r="L3" s="346"/>
      <c r="M3" s="346"/>
      <c r="N3" s="345"/>
      <c r="O3" s="345"/>
      <c r="P3" s="345"/>
      <c r="Q3" s="345"/>
      <c r="R3" s="345"/>
      <c r="S3" s="345"/>
      <c r="T3" s="345"/>
      <c r="U3" s="346"/>
      <c r="V3" s="345"/>
      <c r="W3" s="345"/>
      <c r="X3" s="345"/>
      <c r="Y3" s="345"/>
      <c r="Z3" s="345"/>
      <c r="AA3" s="345"/>
      <c r="AB3" s="345"/>
      <c r="AC3" s="345"/>
      <c r="AD3" s="345"/>
      <c r="AE3" s="345"/>
      <c r="AF3" s="345"/>
      <c r="AG3" s="345"/>
      <c r="AH3" s="345"/>
      <c r="AI3" s="345"/>
      <c r="AJ3" s="345"/>
      <c r="AK3" s="345"/>
      <c r="AL3" s="345"/>
      <c r="AM3" s="345"/>
      <c r="AN3" s="345"/>
      <c r="AO3" s="345"/>
      <c r="AP3" s="345"/>
      <c r="AQ3" s="345"/>
      <c r="AR3" s="345"/>
      <c r="AS3" s="345"/>
    </row>
    <row r="4" spans="1:45" ht="13.5" customHeight="1" x14ac:dyDescent="0.2">
      <c r="A4" s="275" t="s">
        <v>91</v>
      </c>
      <c r="B4" s="346"/>
      <c r="C4" s="346"/>
      <c r="D4" s="346"/>
      <c r="E4" s="346"/>
      <c r="F4" s="346"/>
      <c r="G4" s="346"/>
      <c r="H4" s="346"/>
      <c r="I4" s="346"/>
      <c r="J4" s="346"/>
      <c r="K4" s="346"/>
      <c r="L4" s="346"/>
      <c r="M4" s="346"/>
      <c r="N4" s="345"/>
      <c r="O4" s="345"/>
      <c r="P4" s="345"/>
      <c r="Q4" s="345"/>
      <c r="R4" s="345"/>
      <c r="S4" s="345"/>
      <c r="T4" s="345"/>
      <c r="U4" s="346"/>
      <c r="V4" s="345"/>
      <c r="W4" s="345"/>
      <c r="X4" s="345"/>
      <c r="Y4" s="345"/>
      <c r="Z4" s="345"/>
      <c r="AA4" s="345"/>
      <c r="AB4" s="345"/>
      <c r="AC4" s="345"/>
      <c r="AD4" s="345"/>
      <c r="AE4" s="345"/>
      <c r="AF4" s="345"/>
      <c r="AG4" s="345"/>
      <c r="AH4" s="345"/>
      <c r="AI4" s="345"/>
      <c r="AJ4" s="345"/>
      <c r="AK4" s="345"/>
      <c r="AL4" s="345"/>
      <c r="AM4" s="345"/>
      <c r="AN4" s="345"/>
      <c r="AO4" s="345"/>
      <c r="AP4" s="345"/>
      <c r="AQ4" s="345"/>
      <c r="AR4" s="345"/>
      <c r="AS4" s="345"/>
    </row>
    <row r="5" spans="1:45" ht="13.5" customHeight="1" x14ac:dyDescent="0.2">
      <c r="A5" s="418"/>
      <c r="B5" s="418"/>
      <c r="C5" s="815" t="s">
        <v>1149</v>
      </c>
      <c r="D5" s="815"/>
      <c r="E5" s="815"/>
      <c r="F5" s="815"/>
      <c r="G5" s="815"/>
      <c r="H5" s="374"/>
      <c r="I5" s="815" t="s">
        <v>1755</v>
      </c>
      <c r="J5" s="815"/>
      <c r="K5" s="815"/>
      <c r="L5" s="815"/>
      <c r="M5" s="346"/>
      <c r="N5" s="1143" t="s">
        <v>1141</v>
      </c>
      <c r="O5" s="347"/>
      <c r="P5" s="345"/>
      <c r="Q5" s="345"/>
      <c r="R5" s="345"/>
      <c r="S5" s="345"/>
      <c r="T5" s="345"/>
      <c r="U5" s="346"/>
      <c r="V5" s="345"/>
      <c r="W5" s="345"/>
      <c r="X5" s="345"/>
      <c r="Y5" s="345"/>
      <c r="Z5" s="345"/>
      <c r="AA5" s="345"/>
      <c r="AB5" s="345"/>
      <c r="AC5" s="345"/>
      <c r="AD5" s="345"/>
      <c r="AE5" s="345"/>
      <c r="AF5" s="345"/>
      <c r="AG5" s="345"/>
      <c r="AH5" s="345"/>
      <c r="AI5" s="345"/>
      <c r="AJ5" s="345"/>
      <c r="AK5" s="345"/>
      <c r="AL5" s="345"/>
      <c r="AM5" s="345"/>
      <c r="AN5" s="345"/>
      <c r="AO5" s="345"/>
      <c r="AP5" s="345"/>
      <c r="AQ5" s="345"/>
      <c r="AR5" s="345"/>
      <c r="AS5" s="345"/>
    </row>
    <row r="6" spans="1:45" ht="13.5" customHeight="1" x14ac:dyDescent="0.2">
      <c r="A6" s="418"/>
      <c r="B6" s="418"/>
      <c r="C6" s="822"/>
      <c r="D6" s="418"/>
      <c r="E6" s="418"/>
      <c r="F6" s="815" t="s">
        <v>241</v>
      </c>
      <c r="G6" s="815"/>
      <c r="H6" s="418"/>
      <c r="I6" s="822"/>
      <c r="J6" s="418"/>
      <c r="K6" s="1376" t="s">
        <v>241</v>
      </c>
      <c r="L6" s="1376"/>
      <c r="M6" s="346"/>
      <c r="N6" s="345"/>
      <c r="O6" s="345"/>
      <c r="P6" s="345"/>
      <c r="Q6" s="345"/>
      <c r="R6" s="345"/>
      <c r="S6" s="345"/>
      <c r="T6" s="345"/>
      <c r="U6" s="346"/>
      <c r="V6" s="345"/>
      <c r="W6" s="345"/>
      <c r="X6" s="345"/>
      <c r="Y6" s="345"/>
      <c r="Z6" s="345"/>
      <c r="AA6" s="345"/>
      <c r="AB6" s="345"/>
      <c r="AC6" s="345"/>
      <c r="AD6" s="345"/>
      <c r="AE6" s="345"/>
      <c r="AF6" s="345"/>
      <c r="AG6" s="345"/>
      <c r="AH6" s="345"/>
      <c r="AI6" s="345"/>
      <c r="AJ6" s="345"/>
      <c r="AK6" s="345"/>
      <c r="AL6" s="345"/>
      <c r="AM6" s="345"/>
      <c r="AN6" s="345"/>
      <c r="AO6" s="345"/>
      <c r="AP6" s="345"/>
      <c r="AQ6" s="345"/>
      <c r="AR6" s="345"/>
      <c r="AS6" s="345"/>
    </row>
    <row r="7" spans="1:45" ht="13.5" customHeight="1" x14ac:dyDescent="0.2">
      <c r="A7" s="418"/>
      <c r="B7" s="418"/>
      <c r="C7" s="1127" t="s">
        <v>142</v>
      </c>
      <c r="D7" s="1126" t="s">
        <v>287</v>
      </c>
      <c r="E7" s="456"/>
      <c r="F7" s="1126" t="s">
        <v>1756</v>
      </c>
      <c r="G7" s="1126" t="s">
        <v>575</v>
      </c>
      <c r="H7" s="418"/>
      <c r="I7" s="1127" t="s">
        <v>491</v>
      </c>
      <c r="J7" s="456"/>
      <c r="K7" s="1126" t="s">
        <v>1756</v>
      </c>
      <c r="L7" s="1126" t="s">
        <v>575</v>
      </c>
      <c r="M7" s="347"/>
      <c r="N7" s="347"/>
      <c r="O7" s="347"/>
      <c r="P7" s="347"/>
      <c r="Q7" s="347"/>
      <c r="R7" s="347"/>
      <c r="S7" s="347"/>
      <c r="T7" s="347"/>
      <c r="U7" s="346"/>
      <c r="V7" s="345"/>
      <c r="W7" s="345"/>
      <c r="X7" s="345"/>
      <c r="Y7" s="345"/>
      <c r="Z7" s="345"/>
      <c r="AA7" s="345"/>
      <c r="AB7" s="345"/>
      <c r="AC7" s="345"/>
      <c r="AD7" s="345"/>
      <c r="AE7" s="345"/>
      <c r="AF7" s="345"/>
      <c r="AG7" s="345"/>
      <c r="AH7" s="345"/>
      <c r="AI7" s="345"/>
      <c r="AJ7" s="345"/>
      <c r="AK7" s="345"/>
      <c r="AL7" s="345"/>
      <c r="AM7" s="345"/>
      <c r="AN7" s="345"/>
      <c r="AO7" s="345"/>
      <c r="AP7" s="345"/>
      <c r="AQ7" s="345"/>
      <c r="AR7" s="345"/>
      <c r="AS7" s="345"/>
    </row>
    <row r="8" spans="1:45" ht="13.5" customHeight="1" x14ac:dyDescent="0.2">
      <c r="A8" s="362" t="s">
        <v>125</v>
      </c>
      <c r="B8" s="346"/>
      <c r="C8" s="348"/>
      <c r="D8" s="346"/>
      <c r="E8" s="346"/>
      <c r="F8" s="346"/>
      <c r="G8" s="346"/>
      <c r="H8" s="346"/>
      <c r="I8" s="348"/>
      <c r="J8" s="346"/>
      <c r="K8" s="346"/>
      <c r="L8" s="346"/>
      <c r="M8" s="346"/>
      <c r="N8" s="345"/>
      <c r="O8" s="345"/>
      <c r="P8" s="345"/>
      <c r="Q8" s="345"/>
      <c r="R8" s="345"/>
      <c r="S8" s="345"/>
      <c r="T8" s="345"/>
      <c r="U8" s="346"/>
      <c r="V8" s="345"/>
      <c r="W8" s="345"/>
      <c r="X8" s="345"/>
      <c r="Y8" s="345"/>
      <c r="Z8" s="345"/>
      <c r="AA8" s="345"/>
      <c r="AB8" s="345"/>
      <c r="AC8" s="345"/>
      <c r="AD8" s="345"/>
      <c r="AE8" s="345"/>
      <c r="AF8" s="345"/>
      <c r="AG8" s="345"/>
      <c r="AH8" s="345"/>
      <c r="AI8" s="345"/>
      <c r="AJ8" s="345"/>
      <c r="AK8" s="345"/>
      <c r="AL8" s="345"/>
      <c r="AM8" s="345"/>
      <c r="AN8" s="345"/>
      <c r="AO8" s="345"/>
      <c r="AP8" s="345"/>
      <c r="AQ8" s="345"/>
      <c r="AR8" s="345"/>
      <c r="AS8" s="345"/>
    </row>
    <row r="9" spans="1:45" ht="13.5" customHeight="1" x14ac:dyDescent="0.2">
      <c r="A9" s="865" t="s">
        <v>1594</v>
      </c>
      <c r="B9" s="346"/>
      <c r="C9" s="1895">
        <f>C52</f>
        <v>370</v>
      </c>
      <c r="D9" s="349">
        <f>D52</f>
        <v>300</v>
      </c>
      <c r="E9" s="349"/>
      <c r="F9" s="349">
        <f>C9-D9</f>
        <v>70</v>
      </c>
      <c r="G9" s="354">
        <f>IF(D9=0,0,C9/D9-1)</f>
        <v>0.23333333333333339</v>
      </c>
      <c r="H9" s="346"/>
      <c r="I9" s="1167">
        <v>362.61916351106356</v>
      </c>
      <c r="J9" s="349"/>
      <c r="K9" s="349">
        <f>C9-I9</f>
        <v>7.3808364889364384</v>
      </c>
      <c r="L9" s="1289">
        <f>IF(I9=0,"NM",C9/I9-1)</f>
        <v>2.0354237259474717E-2</v>
      </c>
      <c r="M9" s="346"/>
      <c r="N9" s="345"/>
      <c r="O9" s="345"/>
      <c r="P9" s="345"/>
      <c r="Q9" s="345"/>
      <c r="R9" s="345"/>
      <c r="S9" s="345"/>
      <c r="T9" s="345"/>
      <c r="U9" s="346"/>
      <c r="V9" s="345"/>
      <c r="W9" s="345"/>
      <c r="X9" s="345"/>
      <c r="Y9" s="345"/>
      <c r="Z9" s="345"/>
      <c r="AA9" s="345"/>
      <c r="AB9" s="345"/>
      <c r="AC9" s="345"/>
      <c r="AD9" s="345"/>
      <c r="AE9" s="345"/>
      <c r="AF9" s="345"/>
      <c r="AG9" s="345"/>
      <c r="AH9" s="345"/>
      <c r="AI9" s="345"/>
      <c r="AJ9" s="345"/>
      <c r="AK9" s="345"/>
      <c r="AL9" s="345"/>
      <c r="AM9" s="345"/>
      <c r="AN9" s="345"/>
      <c r="AO9" s="345"/>
      <c r="AP9" s="345"/>
      <c r="AQ9" s="345"/>
      <c r="AR9" s="345"/>
      <c r="AS9" s="345"/>
    </row>
    <row r="10" spans="1:45" ht="13.5" customHeight="1" x14ac:dyDescent="0.2">
      <c r="A10" s="865" t="s">
        <v>734</v>
      </c>
      <c r="B10" s="346"/>
      <c r="C10" s="1896">
        <f>+MAR!BV11</f>
        <v>224</v>
      </c>
      <c r="D10" s="352">
        <f>+MAR!BQ11</f>
        <v>217</v>
      </c>
      <c r="E10" s="353"/>
      <c r="F10" s="352">
        <f>C10-D10</f>
        <v>7</v>
      </c>
      <c r="G10" s="354">
        <f>IF(D10=0,0,C10/D10-1)</f>
        <v>3.2258064516129004E-2</v>
      </c>
      <c r="H10" s="349"/>
      <c r="I10" s="1167">
        <v>208.32</v>
      </c>
      <c r="J10" s="350"/>
      <c r="K10" s="352">
        <f>C10-I10</f>
        <v>15.680000000000007</v>
      </c>
      <c r="L10" s="1289">
        <f>IF(I10=0,"NM",C10/I10-1)</f>
        <v>7.5268817204301008E-2</v>
      </c>
      <c r="M10" s="346"/>
      <c r="N10" s="345"/>
      <c r="O10" s="345"/>
      <c r="P10" s="345"/>
      <c r="Q10" s="345"/>
      <c r="R10" s="345"/>
      <c r="S10" s="345"/>
      <c r="T10" s="345"/>
      <c r="U10" s="346"/>
      <c r="V10" s="345"/>
      <c r="W10" s="345"/>
      <c r="X10" s="345"/>
      <c r="Y10" s="345"/>
      <c r="Z10" s="345"/>
      <c r="AA10" s="345"/>
      <c r="AB10" s="345"/>
      <c r="AC10" s="345"/>
      <c r="AD10" s="345"/>
      <c r="AE10" s="345"/>
      <c r="AF10" s="345"/>
      <c r="AG10" s="345"/>
      <c r="AH10" s="345"/>
      <c r="AI10" s="345"/>
      <c r="AJ10" s="345"/>
      <c r="AK10" s="345"/>
      <c r="AL10" s="345"/>
      <c r="AM10" s="345"/>
      <c r="AN10" s="345"/>
      <c r="AO10" s="345"/>
      <c r="AP10" s="345"/>
      <c r="AQ10" s="345"/>
      <c r="AR10" s="345"/>
      <c r="AS10" s="345"/>
    </row>
    <row r="11" spans="1:45" ht="13.5" customHeight="1" x14ac:dyDescent="0.2">
      <c r="A11" s="355" t="s">
        <v>732</v>
      </c>
      <c r="B11" s="356"/>
      <c r="C11" s="1897">
        <f>SUM(C9:C10)</f>
        <v>594</v>
      </c>
      <c r="D11" s="489">
        <f>SUM(D9:D10)</f>
        <v>517</v>
      </c>
      <c r="E11" s="489"/>
      <c r="F11" s="489">
        <f>SUM(F10:F10)</f>
        <v>7</v>
      </c>
      <c r="G11" s="358">
        <f>IF(D11=0,0,C11/D11-1)</f>
        <v>0.14893617021276606</v>
      </c>
      <c r="H11" s="359"/>
      <c r="I11" s="1906">
        <v>570.9391635110635</v>
      </c>
      <c r="J11" s="357"/>
      <c r="K11" s="489">
        <f>SUM(K9:K10)</f>
        <v>23.060836488936445</v>
      </c>
      <c r="L11" s="360">
        <f>C11/I11-1</f>
        <v>4.039105733633841E-2</v>
      </c>
      <c r="M11" s="346"/>
      <c r="N11" s="346"/>
      <c r="O11" s="346"/>
      <c r="P11" s="346"/>
      <c r="Q11" s="346"/>
      <c r="R11" s="346"/>
      <c r="S11" s="346"/>
      <c r="T11" s="346"/>
      <c r="U11" s="346"/>
      <c r="V11" s="345"/>
      <c r="W11" s="345"/>
      <c r="X11" s="345"/>
      <c r="Y11" s="345"/>
      <c r="Z11" s="345"/>
      <c r="AA11" s="345"/>
      <c r="AB11" s="345"/>
      <c r="AC11" s="345"/>
      <c r="AD11" s="345"/>
      <c r="AE11" s="345"/>
      <c r="AF11" s="345"/>
      <c r="AG11" s="345"/>
      <c r="AH11" s="345"/>
      <c r="AI11" s="345"/>
      <c r="AJ11" s="345"/>
      <c r="AK11" s="345"/>
      <c r="AL11" s="345"/>
      <c r="AM11" s="345"/>
      <c r="AN11" s="345"/>
      <c r="AO11" s="345"/>
      <c r="AP11" s="345"/>
      <c r="AQ11" s="345"/>
      <c r="AR11" s="345"/>
      <c r="AS11" s="345"/>
    </row>
    <row r="12" spans="1:45" ht="13.5" customHeight="1" x14ac:dyDescent="0.2">
      <c r="A12" s="346"/>
      <c r="B12" s="346"/>
      <c r="C12" s="1896"/>
      <c r="D12" s="352"/>
      <c r="E12" s="352"/>
      <c r="F12" s="352"/>
      <c r="G12" s="361"/>
      <c r="H12" s="346"/>
      <c r="I12" s="510"/>
      <c r="J12" s="346"/>
      <c r="K12" s="352"/>
      <c r="L12" s="1290"/>
      <c r="M12" s="346"/>
      <c r="N12" s="346"/>
      <c r="O12" s="346"/>
      <c r="P12" s="346"/>
      <c r="Q12" s="346"/>
      <c r="R12" s="346"/>
      <c r="S12" s="346"/>
      <c r="T12" s="346"/>
      <c r="U12" s="346"/>
      <c r="V12" s="345"/>
      <c r="W12" s="345"/>
      <c r="X12" s="345"/>
      <c r="Y12" s="345"/>
      <c r="Z12" s="345"/>
      <c r="AA12" s="345"/>
      <c r="AB12" s="345"/>
      <c r="AC12" s="345"/>
      <c r="AD12" s="345"/>
      <c r="AE12" s="345"/>
      <c r="AF12" s="345"/>
      <c r="AG12" s="345"/>
      <c r="AH12" s="345"/>
      <c r="AI12" s="345"/>
      <c r="AJ12" s="345"/>
      <c r="AK12" s="345"/>
      <c r="AL12" s="345"/>
      <c r="AM12" s="345"/>
      <c r="AN12" s="345"/>
      <c r="AO12" s="345"/>
      <c r="AP12" s="345"/>
      <c r="AQ12" s="345"/>
      <c r="AR12" s="345"/>
      <c r="AS12" s="345"/>
    </row>
    <row r="13" spans="1:45" ht="13.5" customHeight="1" x14ac:dyDescent="0.2">
      <c r="A13" s="362" t="s">
        <v>1913</v>
      </c>
      <c r="B13" s="346"/>
      <c r="C13" s="1896"/>
      <c r="D13" s="352"/>
      <c r="E13" s="352"/>
      <c r="F13" s="352"/>
      <c r="G13" s="361"/>
      <c r="H13" s="346"/>
      <c r="I13" s="510"/>
      <c r="J13" s="346"/>
      <c r="K13" s="352"/>
      <c r="L13" s="1290"/>
      <c r="M13" s="346"/>
      <c r="N13" s="346"/>
      <c r="O13" s="346"/>
      <c r="P13" s="346"/>
      <c r="Q13" s="346"/>
      <c r="R13" s="346"/>
      <c r="S13" s="346"/>
      <c r="T13" s="346"/>
      <c r="U13" s="346"/>
      <c r="V13" s="345"/>
      <c r="W13" s="345"/>
      <c r="X13" s="345"/>
      <c r="Y13" s="345"/>
      <c r="Z13" s="345"/>
      <c r="AA13" s="345"/>
      <c r="AB13" s="345"/>
      <c r="AC13" s="345"/>
      <c r="AD13" s="345"/>
      <c r="AE13" s="345"/>
      <c r="AF13" s="345"/>
      <c r="AG13" s="345"/>
      <c r="AH13" s="345"/>
      <c r="AI13" s="345"/>
      <c r="AJ13" s="345"/>
      <c r="AK13" s="345"/>
      <c r="AL13" s="345"/>
      <c r="AM13" s="345"/>
      <c r="AN13" s="345"/>
      <c r="AO13" s="345"/>
      <c r="AP13" s="345"/>
      <c r="AQ13" s="345"/>
      <c r="AR13" s="345"/>
      <c r="AS13" s="345"/>
    </row>
    <row r="14" spans="1:45" ht="13.5" customHeight="1" x14ac:dyDescent="0.2">
      <c r="A14" s="896" t="s">
        <v>733</v>
      </c>
      <c r="B14" s="346"/>
      <c r="C14" s="1896">
        <f>+MAR!BV26</f>
        <v>179</v>
      </c>
      <c r="D14" s="352">
        <f>+MAR!BQ26</f>
        <v>195</v>
      </c>
      <c r="E14" s="352"/>
      <c r="F14" s="352">
        <f>C14-D14</f>
        <v>-16</v>
      </c>
      <c r="G14" s="354">
        <f>IF(D14=0,0,C14/D14-1)</f>
        <v>-8.2051282051282093E-2</v>
      </c>
      <c r="H14" s="346"/>
      <c r="I14" s="510">
        <v>180.375</v>
      </c>
      <c r="J14" s="346"/>
      <c r="K14" s="352">
        <f>C14-I14</f>
        <v>-1.375</v>
      </c>
      <c r="L14" s="1289">
        <f>IF(I14=0,"NM",C14/I14-1)</f>
        <v>-7.6230076230076049E-3</v>
      </c>
      <c r="M14" s="346"/>
      <c r="N14" s="346"/>
      <c r="O14" s="346"/>
      <c r="P14" s="346"/>
      <c r="Q14" s="346"/>
      <c r="R14" s="346"/>
      <c r="S14" s="346"/>
      <c r="T14" s="346"/>
      <c r="U14" s="346"/>
      <c r="V14" s="345"/>
      <c r="W14" s="345"/>
      <c r="X14" s="345"/>
      <c r="Y14" s="345"/>
      <c r="Z14" s="345"/>
      <c r="AA14" s="345"/>
      <c r="AB14" s="345"/>
      <c r="AC14" s="345"/>
      <c r="AD14" s="345"/>
      <c r="AE14" s="345"/>
      <c r="AF14" s="345"/>
      <c r="AG14" s="345"/>
      <c r="AH14" s="345"/>
      <c r="AI14" s="345"/>
      <c r="AJ14" s="345"/>
      <c r="AK14" s="345"/>
      <c r="AL14" s="345"/>
      <c r="AM14" s="345"/>
      <c r="AN14" s="345"/>
      <c r="AO14" s="345"/>
      <c r="AP14" s="345"/>
      <c r="AQ14" s="345"/>
      <c r="AR14" s="345"/>
      <c r="AS14" s="345"/>
    </row>
    <row r="15" spans="1:45" ht="13.5" customHeight="1" x14ac:dyDescent="0.2">
      <c r="A15" s="896" t="s">
        <v>736</v>
      </c>
      <c r="B15" s="346"/>
      <c r="C15" s="1896">
        <f>+MAR!BV29</f>
        <v>164</v>
      </c>
      <c r="D15" s="352">
        <f>+MAR!BQ29</f>
        <v>147</v>
      </c>
      <c r="E15" s="352"/>
      <c r="F15" s="352">
        <f>C15-D15</f>
        <v>17</v>
      </c>
      <c r="G15" s="354">
        <f>IF(D15=0,0,C15/D15-1)</f>
        <v>0.11564625850340127</v>
      </c>
      <c r="H15" s="346"/>
      <c r="I15" s="510">
        <v>170.52</v>
      </c>
      <c r="J15" s="346"/>
      <c r="K15" s="352">
        <f>C15-I15</f>
        <v>-6.5200000000000102</v>
      </c>
      <c r="L15" s="1289">
        <f>IF(I15=0,"NM",C15/I15-1)</f>
        <v>-3.8235984048792027E-2</v>
      </c>
      <c r="M15" s="346"/>
      <c r="N15" s="346"/>
      <c r="O15" s="346"/>
      <c r="P15" s="346"/>
      <c r="Q15" s="346"/>
      <c r="R15" s="346"/>
      <c r="S15" s="346"/>
      <c r="T15" s="346"/>
      <c r="U15" s="346"/>
      <c r="V15" s="345"/>
      <c r="W15" s="345"/>
      <c r="X15" s="345"/>
      <c r="Y15" s="345"/>
      <c r="Z15" s="345"/>
      <c r="AA15" s="345"/>
      <c r="AB15" s="345"/>
      <c r="AC15" s="345"/>
      <c r="AD15" s="345"/>
      <c r="AE15" s="345"/>
      <c r="AF15" s="345"/>
      <c r="AG15" s="345"/>
      <c r="AH15" s="345"/>
      <c r="AI15" s="345"/>
      <c r="AJ15" s="345"/>
      <c r="AK15" s="345"/>
      <c r="AL15" s="345"/>
      <c r="AM15" s="345"/>
      <c r="AN15" s="345"/>
      <c r="AO15" s="345"/>
      <c r="AP15" s="345"/>
      <c r="AQ15" s="345"/>
      <c r="AR15" s="345"/>
      <c r="AS15" s="345"/>
    </row>
    <row r="16" spans="1:45" ht="13.5" customHeight="1" x14ac:dyDescent="0.2">
      <c r="A16" s="896" t="s">
        <v>2247</v>
      </c>
      <c r="B16" s="346"/>
      <c r="C16" s="1896"/>
      <c r="D16" s="352"/>
      <c r="E16" s="352"/>
      <c r="F16" s="352"/>
      <c r="G16" s="354"/>
      <c r="H16" s="346"/>
      <c r="I16" s="510"/>
      <c r="J16" s="346"/>
      <c r="K16" s="352"/>
      <c r="L16" s="1289"/>
      <c r="M16" s="346"/>
      <c r="N16" s="346"/>
      <c r="O16" s="346"/>
      <c r="P16" s="346"/>
      <c r="Q16" s="346"/>
      <c r="R16" s="346"/>
      <c r="S16" s="346"/>
      <c r="T16" s="346"/>
      <c r="U16" s="346"/>
      <c r="V16" s="345"/>
      <c r="W16" s="345"/>
      <c r="X16" s="345"/>
      <c r="Y16" s="345"/>
      <c r="Z16" s="345"/>
      <c r="AA16" s="345"/>
      <c r="AB16" s="345"/>
      <c r="AC16" s="345"/>
      <c r="AD16" s="345"/>
      <c r="AE16" s="345"/>
      <c r="AF16" s="345"/>
      <c r="AG16" s="345"/>
      <c r="AH16" s="345"/>
      <c r="AI16" s="345"/>
      <c r="AJ16" s="345"/>
      <c r="AK16" s="345"/>
      <c r="AL16" s="345"/>
      <c r="AM16" s="345"/>
      <c r="AN16" s="345"/>
      <c r="AO16" s="345"/>
      <c r="AP16" s="345"/>
      <c r="AQ16" s="345"/>
      <c r="AR16" s="345"/>
      <c r="AS16" s="345"/>
    </row>
    <row r="17" spans="1:45" ht="13.5" customHeight="1" x14ac:dyDescent="0.2">
      <c r="A17" s="355" t="s">
        <v>1913</v>
      </c>
      <c r="B17" s="356"/>
      <c r="C17" s="1897"/>
      <c r="D17" s="489"/>
      <c r="E17" s="488"/>
      <c r="F17" s="357"/>
      <c r="G17" s="358"/>
      <c r="H17" s="359"/>
      <c r="I17" s="1906"/>
      <c r="J17" s="357"/>
      <c r="K17" s="357"/>
      <c r="L17" s="360"/>
      <c r="M17" s="346"/>
      <c r="N17" s="346"/>
      <c r="O17" s="346"/>
      <c r="P17" s="346"/>
      <c r="Q17" s="346"/>
      <c r="R17" s="346"/>
      <c r="S17" s="346"/>
      <c r="T17" s="346"/>
      <c r="U17" s="346"/>
      <c r="V17" s="345"/>
      <c r="W17" s="345"/>
      <c r="X17" s="345"/>
      <c r="Y17" s="345"/>
      <c r="Z17" s="345"/>
      <c r="AA17" s="345"/>
      <c r="AB17" s="345"/>
      <c r="AC17" s="345"/>
      <c r="AD17" s="345"/>
      <c r="AE17" s="345"/>
      <c r="AF17" s="345"/>
      <c r="AG17" s="345"/>
      <c r="AH17" s="345"/>
      <c r="AI17" s="345"/>
      <c r="AJ17" s="345"/>
      <c r="AK17" s="345"/>
      <c r="AL17" s="345"/>
      <c r="AM17" s="345"/>
      <c r="AN17" s="345"/>
      <c r="AO17" s="345"/>
      <c r="AP17" s="345"/>
      <c r="AQ17" s="345"/>
      <c r="AR17" s="345"/>
      <c r="AS17" s="345"/>
    </row>
    <row r="18" spans="1:45" ht="13.5" customHeight="1" x14ac:dyDescent="0.2">
      <c r="A18" s="896"/>
      <c r="B18" s="346"/>
      <c r="C18" s="1896"/>
      <c r="D18" s="352"/>
      <c r="E18" s="346"/>
      <c r="F18" s="346"/>
      <c r="G18" s="361"/>
      <c r="H18" s="346"/>
      <c r="I18" s="510"/>
      <c r="J18" s="346"/>
      <c r="K18" s="346"/>
      <c r="L18" s="1290"/>
      <c r="M18" s="346"/>
      <c r="N18" s="346"/>
      <c r="O18" s="346"/>
      <c r="P18" s="346"/>
      <c r="Q18" s="346"/>
      <c r="R18" s="346"/>
      <c r="S18" s="346"/>
      <c r="T18" s="346"/>
      <c r="U18" s="346"/>
      <c r="V18" s="345"/>
      <c r="W18" s="345"/>
      <c r="X18" s="345"/>
      <c r="Y18" s="345"/>
      <c r="Z18" s="345"/>
      <c r="AA18" s="345"/>
      <c r="AB18" s="345"/>
      <c r="AC18" s="345"/>
      <c r="AD18" s="345"/>
      <c r="AE18" s="345"/>
      <c r="AF18" s="345"/>
      <c r="AG18" s="345"/>
      <c r="AH18" s="345"/>
      <c r="AI18" s="345"/>
      <c r="AJ18" s="345"/>
      <c r="AK18" s="345"/>
      <c r="AL18" s="345"/>
      <c r="AM18" s="345"/>
      <c r="AN18" s="345"/>
      <c r="AO18" s="345"/>
      <c r="AP18" s="345"/>
      <c r="AQ18" s="345"/>
      <c r="AR18" s="345"/>
      <c r="AS18" s="345"/>
    </row>
    <row r="19" spans="1:45" ht="13.5" customHeight="1" x14ac:dyDescent="0.2">
      <c r="A19" s="331" t="s">
        <v>1863</v>
      </c>
      <c r="B19" s="1130"/>
      <c r="C19" s="1897">
        <f>C11-C17</f>
        <v>594</v>
      </c>
      <c r="D19" s="489">
        <f>D11-D17</f>
        <v>517</v>
      </c>
      <c r="E19" s="1130"/>
      <c r="F19" s="489">
        <f>C19-D19</f>
        <v>77</v>
      </c>
      <c r="G19" s="358">
        <f>IF(D19=0,0,C19/D19-1)</f>
        <v>0.14893617021276606</v>
      </c>
      <c r="H19" s="1130"/>
      <c r="I19" s="1906">
        <v>251.94416351106349</v>
      </c>
      <c r="J19" s="1130"/>
      <c r="K19" s="489">
        <f>C19-I19</f>
        <v>342.05583648893651</v>
      </c>
      <c r="L19" s="360">
        <f>IF(I19=0,"NM",C19/I19-1)</f>
        <v>1.3576652529754516</v>
      </c>
      <c r="M19" s="362"/>
      <c r="N19" s="362"/>
      <c r="O19" s="362"/>
      <c r="P19" s="362"/>
      <c r="Q19" s="362"/>
      <c r="R19" s="362"/>
      <c r="S19" s="362"/>
      <c r="T19" s="362"/>
      <c r="U19" s="362"/>
      <c r="V19" s="344"/>
      <c r="W19" s="344"/>
      <c r="X19" s="344"/>
      <c r="Y19" s="344"/>
      <c r="Z19" s="344"/>
      <c r="AA19" s="344"/>
      <c r="AB19" s="344"/>
      <c r="AC19" s="344"/>
      <c r="AD19" s="344"/>
      <c r="AE19" s="344"/>
      <c r="AF19" s="344"/>
      <c r="AG19" s="344"/>
      <c r="AH19" s="344"/>
      <c r="AI19" s="344"/>
      <c r="AJ19" s="344"/>
      <c r="AK19" s="344"/>
      <c r="AL19" s="344"/>
      <c r="AM19" s="344"/>
      <c r="AN19" s="344"/>
      <c r="AO19" s="344"/>
      <c r="AP19" s="344"/>
      <c r="AQ19" s="344"/>
      <c r="AR19" s="344"/>
      <c r="AS19" s="344"/>
    </row>
    <row r="20" spans="1:45" ht="13.5" customHeight="1" x14ac:dyDescent="0.2">
      <c r="A20" s="1224" t="s">
        <v>2248</v>
      </c>
      <c r="B20" s="1132"/>
      <c r="C20" s="1894">
        <f>-C16</f>
        <v>0</v>
      </c>
      <c r="D20" s="1134">
        <f>-D16</f>
        <v>0</v>
      </c>
      <c r="E20" s="1132"/>
      <c r="F20" s="1134">
        <f>C20-D20</f>
        <v>0</v>
      </c>
      <c r="G20" s="1135">
        <f>IF(D20=0,0,C20/D20-1)</f>
        <v>0</v>
      </c>
      <c r="H20" s="1132"/>
      <c r="I20" s="1168">
        <v>31.9</v>
      </c>
      <c r="J20" s="1132"/>
      <c r="K20" s="1134">
        <f>C20-I20</f>
        <v>-31.9</v>
      </c>
      <c r="L20" s="1291">
        <f>IF(I20=0,"NM",C20/I20-1)</f>
        <v>-1</v>
      </c>
      <c r="M20" s="346"/>
      <c r="N20" s="346"/>
      <c r="O20" s="346"/>
      <c r="P20" s="346"/>
      <c r="Q20" s="346"/>
      <c r="R20" s="346"/>
      <c r="S20" s="346"/>
      <c r="T20" s="346"/>
      <c r="U20" s="346"/>
      <c r="V20" s="345"/>
      <c r="W20" s="345"/>
      <c r="X20" s="345"/>
      <c r="Y20" s="345"/>
      <c r="Z20" s="345"/>
      <c r="AA20" s="345"/>
      <c r="AB20" s="345"/>
      <c r="AC20" s="345"/>
      <c r="AD20" s="345"/>
      <c r="AE20" s="345"/>
      <c r="AF20" s="345"/>
      <c r="AG20" s="345"/>
      <c r="AH20" s="345"/>
      <c r="AI20" s="345"/>
      <c r="AJ20" s="345"/>
      <c r="AK20" s="345"/>
      <c r="AL20" s="345"/>
      <c r="AM20" s="345"/>
      <c r="AN20" s="345"/>
      <c r="AO20" s="345"/>
      <c r="AP20" s="345"/>
      <c r="AQ20" s="345"/>
      <c r="AR20" s="345"/>
      <c r="AS20" s="345"/>
    </row>
    <row r="21" spans="1:45" ht="13.5" customHeight="1" x14ac:dyDescent="0.2">
      <c r="A21" s="897" t="s">
        <v>1343</v>
      </c>
      <c r="B21" s="362"/>
      <c r="C21" s="1898">
        <f>C19-C20</f>
        <v>594</v>
      </c>
      <c r="D21" s="485">
        <f>D19-D20</f>
        <v>517</v>
      </c>
      <c r="E21" s="362"/>
      <c r="F21" s="485">
        <f>C21-D21</f>
        <v>77</v>
      </c>
      <c r="G21" s="482">
        <f>IF(D21=0,0,C21/D21-1)</f>
        <v>0.14893617021276606</v>
      </c>
      <c r="H21" s="362"/>
      <c r="I21" s="1907">
        <v>220.04416351106349</v>
      </c>
      <c r="J21" s="362"/>
      <c r="K21" s="485">
        <f>C21-I21</f>
        <v>373.95583648893648</v>
      </c>
      <c r="L21" s="1292">
        <f>IF(I21=0,"NM",C21/I21-1)</f>
        <v>1.6994581020556567</v>
      </c>
      <c r="M21" s="362"/>
      <c r="N21" s="1144">
        <v>218.70599999999999</v>
      </c>
      <c r="O21" s="1144"/>
      <c r="P21" s="362"/>
      <c r="Q21" s="362"/>
      <c r="R21" s="362"/>
      <c r="S21" s="362"/>
      <c r="T21" s="362"/>
      <c r="U21" s="362"/>
      <c r="V21" s="344"/>
      <c r="W21" s="344"/>
      <c r="X21" s="344"/>
      <c r="Y21" s="344"/>
      <c r="Z21" s="344"/>
      <c r="AA21" s="344"/>
      <c r="AB21" s="344"/>
      <c r="AC21" s="344"/>
      <c r="AD21" s="344"/>
      <c r="AE21" s="344"/>
      <c r="AF21" s="344"/>
      <c r="AG21" s="344"/>
      <c r="AH21" s="344"/>
      <c r="AI21" s="344"/>
      <c r="AJ21" s="344"/>
      <c r="AK21" s="344"/>
      <c r="AL21" s="344"/>
      <c r="AM21" s="344"/>
      <c r="AN21" s="344"/>
      <c r="AO21" s="344"/>
      <c r="AP21" s="344"/>
      <c r="AQ21" s="344"/>
      <c r="AR21" s="344"/>
      <c r="AS21" s="344"/>
    </row>
    <row r="22" spans="1:45" ht="13.5" customHeight="1" x14ac:dyDescent="0.2">
      <c r="A22" s="897"/>
      <c r="B22" s="346"/>
      <c r="C22" s="1898"/>
      <c r="D22" s="485"/>
      <c r="E22" s="346"/>
      <c r="F22" s="352"/>
      <c r="G22" s="361"/>
      <c r="H22" s="346"/>
      <c r="I22" s="1907"/>
      <c r="J22" s="346"/>
      <c r="K22" s="352"/>
      <c r="L22" s="1290"/>
      <c r="M22" s="346"/>
      <c r="N22" s="346"/>
      <c r="O22" s="346"/>
      <c r="P22" s="346"/>
      <c r="Q22" s="346"/>
      <c r="R22" s="346"/>
      <c r="S22" s="346"/>
      <c r="T22" s="346"/>
      <c r="U22" s="346"/>
      <c r="V22" s="345"/>
      <c r="W22" s="345"/>
      <c r="X22" s="345"/>
      <c r="Y22" s="345"/>
      <c r="Z22" s="345"/>
      <c r="AA22" s="345"/>
      <c r="AB22" s="345"/>
      <c r="AC22" s="345"/>
      <c r="AD22" s="345"/>
      <c r="AE22" s="345"/>
      <c r="AF22" s="345"/>
      <c r="AG22" s="345"/>
      <c r="AH22" s="345"/>
      <c r="AI22" s="345"/>
      <c r="AJ22" s="345"/>
      <c r="AK22" s="345"/>
      <c r="AL22" s="345"/>
      <c r="AM22" s="345"/>
      <c r="AN22" s="345"/>
      <c r="AO22" s="345"/>
      <c r="AP22" s="345"/>
      <c r="AQ22" s="345"/>
      <c r="AR22" s="345"/>
      <c r="AS22" s="345"/>
    </row>
    <row r="23" spans="1:45" ht="13.5" customHeight="1" x14ac:dyDescent="0.2">
      <c r="A23" s="896" t="s">
        <v>2249</v>
      </c>
      <c r="B23" s="346"/>
      <c r="C23" s="1896">
        <f>+MAR!BV39</f>
        <v>-31</v>
      </c>
      <c r="D23" s="352">
        <f>+MAR!BQ39</f>
        <v>-33</v>
      </c>
      <c r="E23" s="346"/>
      <c r="F23" s="352">
        <f>C23-D23</f>
        <v>2</v>
      </c>
      <c r="G23" s="354">
        <f>IF(D23=0,0,C23/D23-1)</f>
        <v>-6.0606060606060552E-2</v>
      </c>
      <c r="H23" s="346"/>
      <c r="I23" s="510">
        <v>-33.736016346153839</v>
      </c>
      <c r="J23" s="346"/>
      <c r="K23" s="352">
        <f>C23-I23</f>
        <v>2.7360163461538392</v>
      </c>
      <c r="L23" s="1289">
        <f>IF(I23=0,"NM",C23/I23-1)</f>
        <v>-8.1100753511632817E-2</v>
      </c>
      <c r="M23" s="346"/>
      <c r="N23" s="346"/>
      <c r="O23" s="346"/>
      <c r="P23" s="346"/>
      <c r="Q23" s="346"/>
      <c r="R23" s="346"/>
      <c r="S23" s="346"/>
      <c r="T23" s="346"/>
      <c r="U23" s="346"/>
      <c r="V23" s="345"/>
      <c r="W23" s="345"/>
      <c r="X23" s="345"/>
      <c r="Y23" s="345"/>
      <c r="Z23" s="345"/>
      <c r="AA23" s="345"/>
      <c r="AB23" s="345"/>
      <c r="AC23" s="345"/>
      <c r="AD23" s="345"/>
      <c r="AE23" s="345"/>
      <c r="AF23" s="345"/>
      <c r="AG23" s="345"/>
      <c r="AH23" s="345"/>
      <c r="AI23" s="345"/>
      <c r="AJ23" s="345"/>
      <c r="AK23" s="345"/>
      <c r="AL23" s="345"/>
      <c r="AM23" s="345"/>
      <c r="AN23" s="345"/>
      <c r="AO23" s="345"/>
      <c r="AP23" s="345"/>
      <c r="AQ23" s="345"/>
      <c r="AR23" s="345"/>
      <c r="AS23" s="345"/>
    </row>
    <row r="24" spans="1:45" ht="13.5" customHeight="1" x14ac:dyDescent="0.2">
      <c r="A24" s="896" t="s">
        <v>2250</v>
      </c>
      <c r="B24" s="346"/>
      <c r="C24" s="1896">
        <f>+MAR!BV40</f>
        <v>3</v>
      </c>
      <c r="D24" s="352">
        <f>+MAR!BQ40</f>
        <v>4</v>
      </c>
      <c r="E24" s="346"/>
      <c r="F24" s="352">
        <f>C24-D24</f>
        <v>-1</v>
      </c>
      <c r="G24" s="354">
        <f>IF(D24=0,0,C24/D24-1)</f>
        <v>-0.25</v>
      </c>
      <c r="H24" s="346"/>
      <c r="I24" s="510">
        <v>3.2358379120879119</v>
      </c>
      <c r="J24" s="346"/>
      <c r="K24" s="352">
        <f>C24-I24</f>
        <v>-0.23583791208791194</v>
      </c>
      <c r="L24" s="1289">
        <f>IF(I24=0,"NM",C24/I24-1)</f>
        <v>-7.2883104313385849E-2</v>
      </c>
      <c r="M24" s="346"/>
      <c r="N24" s="346"/>
      <c r="O24" s="346"/>
      <c r="P24" s="346"/>
      <c r="Q24" s="346"/>
      <c r="R24" s="346"/>
      <c r="S24" s="346"/>
      <c r="T24" s="346"/>
      <c r="U24" s="346"/>
      <c r="V24" s="345"/>
      <c r="W24" s="345"/>
      <c r="X24" s="345"/>
      <c r="Y24" s="345"/>
      <c r="Z24" s="345"/>
      <c r="AA24" s="345"/>
      <c r="AB24" s="345"/>
      <c r="AC24" s="345"/>
      <c r="AD24" s="345"/>
      <c r="AE24" s="345"/>
      <c r="AF24" s="345"/>
      <c r="AG24" s="345"/>
      <c r="AH24" s="345"/>
      <c r="AI24" s="345"/>
      <c r="AJ24" s="345"/>
      <c r="AK24" s="345"/>
      <c r="AL24" s="345"/>
      <c r="AM24" s="345"/>
      <c r="AN24" s="345"/>
      <c r="AO24" s="345"/>
      <c r="AP24" s="345"/>
      <c r="AQ24" s="345"/>
      <c r="AR24" s="345"/>
      <c r="AS24" s="345"/>
    </row>
    <row r="25" spans="1:45" ht="13.5" customHeight="1" x14ac:dyDescent="0.2">
      <c r="A25" s="896" t="s">
        <v>2251</v>
      </c>
      <c r="B25" s="346"/>
      <c r="C25" s="1896">
        <f>+MAR!BV38</f>
        <v>3</v>
      </c>
      <c r="D25" s="352">
        <f>+MAR!BQ38</f>
        <v>2</v>
      </c>
      <c r="E25" s="346"/>
      <c r="F25" s="352">
        <f>C25-D25</f>
        <v>1</v>
      </c>
      <c r="G25" s="354">
        <f>IF(D25=0,0,C25/D25-1)</f>
        <v>0.5</v>
      </c>
      <c r="H25" s="346"/>
      <c r="I25" s="510">
        <v>2</v>
      </c>
      <c r="J25" s="346"/>
      <c r="K25" s="352">
        <f>C25-I25</f>
        <v>1</v>
      </c>
      <c r="L25" s="1289">
        <f>IF(I25=0,"NM",C25/I25-1)</f>
        <v>0.5</v>
      </c>
      <c r="M25" s="346"/>
      <c r="N25" s="346"/>
      <c r="O25" s="346"/>
      <c r="P25" s="346"/>
      <c r="Q25" s="346"/>
      <c r="R25" s="346"/>
      <c r="S25" s="346"/>
      <c r="T25" s="346"/>
      <c r="U25" s="346"/>
      <c r="V25" s="345"/>
      <c r="W25" s="345"/>
      <c r="X25" s="345"/>
      <c r="Y25" s="345"/>
      <c r="Z25" s="345"/>
      <c r="AA25" s="345"/>
      <c r="AB25" s="345"/>
      <c r="AC25" s="345"/>
      <c r="AD25" s="345"/>
      <c r="AE25" s="345"/>
      <c r="AF25" s="345"/>
      <c r="AG25" s="345"/>
      <c r="AH25" s="345"/>
      <c r="AI25" s="345"/>
      <c r="AJ25" s="345"/>
      <c r="AK25" s="345"/>
      <c r="AL25" s="345"/>
      <c r="AM25" s="345"/>
      <c r="AN25" s="345"/>
      <c r="AO25" s="345"/>
      <c r="AP25" s="345"/>
      <c r="AQ25" s="345"/>
      <c r="AR25" s="345"/>
      <c r="AS25" s="345"/>
    </row>
    <row r="26" spans="1:45" ht="13.5" customHeight="1" x14ac:dyDescent="0.2">
      <c r="A26" s="1224" t="s">
        <v>712</v>
      </c>
      <c r="B26" s="1132"/>
      <c r="C26" s="1899">
        <f>+MAR!BV42</f>
        <v>0</v>
      </c>
      <c r="D26" s="1155">
        <f>+MAR!BQ42</f>
        <v>-1</v>
      </c>
      <c r="E26" s="1132"/>
      <c r="F26" s="1155">
        <f>C26-D26</f>
        <v>1</v>
      </c>
      <c r="G26" s="1135">
        <f>IF(D26=0,0,C26/D26-1)</f>
        <v>-1</v>
      </c>
      <c r="H26" s="1132"/>
      <c r="I26" s="1169">
        <v>0</v>
      </c>
      <c r="J26" s="1132"/>
      <c r="K26" s="1155">
        <f>C26-I26</f>
        <v>0</v>
      </c>
      <c r="L26" s="1291" t="str">
        <f>IF(I26=0,"NM",C26/I26-1)</f>
        <v>NM</v>
      </c>
      <c r="M26" s="346"/>
      <c r="N26" s="346"/>
      <c r="O26" s="346"/>
      <c r="P26" s="346"/>
      <c r="Q26" s="346"/>
      <c r="R26" s="346"/>
      <c r="S26" s="346"/>
      <c r="T26" s="346"/>
      <c r="U26" s="346"/>
      <c r="V26" s="345"/>
      <c r="W26" s="345"/>
      <c r="X26" s="345"/>
      <c r="Y26" s="345"/>
      <c r="Z26" s="345"/>
      <c r="AA26" s="345"/>
      <c r="AB26" s="345"/>
      <c r="AC26" s="345"/>
      <c r="AD26" s="345"/>
      <c r="AE26" s="345"/>
      <c r="AF26" s="345"/>
      <c r="AG26" s="345"/>
      <c r="AH26" s="345"/>
      <c r="AI26" s="345"/>
      <c r="AJ26" s="345"/>
      <c r="AK26" s="345"/>
      <c r="AL26" s="345"/>
      <c r="AM26" s="345"/>
      <c r="AN26" s="345"/>
      <c r="AO26" s="345"/>
      <c r="AP26" s="345"/>
      <c r="AQ26" s="345"/>
      <c r="AR26" s="345"/>
      <c r="AS26" s="345"/>
    </row>
    <row r="27" spans="1:45" ht="13.5" customHeight="1" x14ac:dyDescent="0.2">
      <c r="A27" s="362" t="s">
        <v>642</v>
      </c>
      <c r="B27" s="362"/>
      <c r="C27" s="1898">
        <f>C21+SUM(C23:C26)</f>
        <v>569</v>
      </c>
      <c r="D27" s="485">
        <f>D21+SUM(D23:D26)</f>
        <v>489</v>
      </c>
      <c r="E27" s="362"/>
      <c r="F27" s="485">
        <f>C27-D27</f>
        <v>80</v>
      </c>
      <c r="G27" s="482">
        <f>IF(D27=0,0,C27/D27-1)</f>
        <v>0.16359918200409007</v>
      </c>
      <c r="H27" s="362"/>
      <c r="I27" s="1907">
        <v>191.54398507699756</v>
      </c>
      <c r="J27" s="362"/>
      <c r="K27" s="485">
        <f>C27-I27</f>
        <v>377.45601492300244</v>
      </c>
      <c r="L27" s="1292">
        <f>IF(I27=0,"NM",C27/I27-1)</f>
        <v>1.970597065584029</v>
      </c>
      <c r="M27" s="362"/>
      <c r="N27" s="362"/>
      <c r="O27" s="362"/>
      <c r="P27" s="362"/>
      <c r="Q27" s="362"/>
      <c r="R27" s="362"/>
      <c r="S27" s="362"/>
      <c r="T27" s="362"/>
      <c r="U27" s="362"/>
      <c r="V27" s="344"/>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row>
    <row r="28" spans="1:45" ht="13.5" customHeight="1" x14ac:dyDescent="0.2">
      <c r="A28" s="1383" t="s">
        <v>90</v>
      </c>
      <c r="B28" s="362"/>
      <c r="C28" s="999">
        <f>-C29/C27</f>
        <v>0.11423550087873462</v>
      </c>
      <c r="D28" s="1384">
        <f>-D29/D27</f>
        <v>8.7934560327198361E-2</v>
      </c>
      <c r="E28" s="362"/>
      <c r="F28" s="485"/>
      <c r="G28" s="482"/>
      <c r="H28" s="362"/>
      <c r="I28" s="998">
        <v>0.33</v>
      </c>
      <c r="J28" s="362"/>
      <c r="K28" s="485"/>
      <c r="L28" s="1292"/>
      <c r="M28" s="362"/>
      <c r="N28" s="362"/>
      <c r="O28" s="362"/>
      <c r="P28" s="362"/>
      <c r="Q28" s="362"/>
      <c r="R28" s="362"/>
      <c r="S28" s="362"/>
      <c r="T28" s="362"/>
      <c r="U28" s="362"/>
      <c r="V28" s="344"/>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row>
    <row r="29" spans="1:45" ht="13.5" customHeight="1" x14ac:dyDescent="0.2">
      <c r="A29" s="1132" t="s">
        <v>713</v>
      </c>
      <c r="B29" s="1132"/>
      <c r="C29" s="1899">
        <f>+MAR!BV48</f>
        <v>-65</v>
      </c>
      <c r="D29" s="1155">
        <f>+MAR!BQ48</f>
        <v>-43</v>
      </c>
      <c r="E29" s="1138"/>
      <c r="F29" s="1155">
        <f>C29-D29</f>
        <v>-22</v>
      </c>
      <c r="G29" s="1135">
        <f t="shared" ref="G29:G34" si="0">IF(D29=0,0,C29/D29-1)</f>
        <v>0.51162790697674421</v>
      </c>
      <c r="H29" s="1132"/>
      <c r="I29" s="1169">
        <v>-63.209515075409129</v>
      </c>
      <c r="J29" s="1138"/>
      <c r="K29" s="1155">
        <f>C29-I29</f>
        <v>-1.7904849245908707</v>
      </c>
      <c r="L29" s="1291">
        <f>IF(I29=0,"NM",C29/I29-1)</f>
        <v>2.8326193017851997E-2</v>
      </c>
      <c r="M29" s="346"/>
      <c r="N29" s="346"/>
      <c r="O29" s="346"/>
      <c r="P29" s="1406"/>
      <c r="Q29" s="346"/>
      <c r="R29" s="346"/>
      <c r="S29" s="346"/>
      <c r="T29" s="346"/>
      <c r="U29" s="346"/>
      <c r="V29" s="345"/>
      <c r="W29" s="345"/>
      <c r="X29" s="345"/>
      <c r="Y29" s="345"/>
      <c r="Z29" s="345"/>
      <c r="AA29" s="345"/>
      <c r="AB29" s="345"/>
      <c r="AC29" s="345"/>
      <c r="AD29" s="345"/>
      <c r="AE29" s="345"/>
      <c r="AF29" s="345"/>
      <c r="AG29" s="345"/>
      <c r="AH29" s="345"/>
      <c r="AI29" s="345"/>
      <c r="AJ29" s="345"/>
      <c r="AK29" s="345"/>
      <c r="AL29" s="345"/>
      <c r="AM29" s="345"/>
      <c r="AN29" s="345"/>
      <c r="AO29" s="345"/>
      <c r="AP29" s="345"/>
      <c r="AQ29" s="345"/>
      <c r="AR29" s="345"/>
      <c r="AS29" s="345"/>
    </row>
    <row r="30" spans="1:45" ht="13.5" customHeight="1" x14ac:dyDescent="0.2">
      <c r="A30" s="362" t="s">
        <v>1296</v>
      </c>
      <c r="B30" s="362"/>
      <c r="C30" s="1898">
        <f>C27+C29</f>
        <v>504</v>
      </c>
      <c r="D30" s="485">
        <f>D27+D29</f>
        <v>446</v>
      </c>
      <c r="E30" s="486"/>
      <c r="F30" s="485">
        <f>SUM(F27:F29)</f>
        <v>58</v>
      </c>
      <c r="G30" s="482">
        <f t="shared" si="0"/>
        <v>0.13004484304932729</v>
      </c>
      <c r="H30" s="362"/>
      <c r="I30" s="1907">
        <v>128.33447000158844</v>
      </c>
      <c r="J30" s="486"/>
      <c r="K30" s="485">
        <f>C30-I30</f>
        <v>375.66552999841156</v>
      </c>
      <c r="L30" s="1292">
        <f>IF(I30=0,"NM",C30/I30-1)</f>
        <v>2.927237943116622</v>
      </c>
      <c r="M30" s="362"/>
      <c r="N30" s="362"/>
      <c r="O30" s="362"/>
      <c r="P30" s="362"/>
      <c r="Q30" s="362"/>
      <c r="R30" s="362"/>
      <c r="S30" s="362"/>
      <c r="T30" s="362"/>
      <c r="U30" s="362"/>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row>
    <row r="31" spans="1:45" ht="13.5" customHeight="1" x14ac:dyDescent="0.2">
      <c r="A31" s="346" t="s">
        <v>714</v>
      </c>
      <c r="B31" s="346"/>
      <c r="C31" s="1896">
        <f>+MAR!BV52</f>
        <v>0</v>
      </c>
      <c r="D31" s="352">
        <f>+MAR!BQ52</f>
        <v>0</v>
      </c>
      <c r="E31" s="353"/>
      <c r="F31" s="352">
        <f>C31-D31</f>
        <v>0</v>
      </c>
      <c r="G31" s="354">
        <f t="shared" si="0"/>
        <v>0</v>
      </c>
      <c r="H31" s="346"/>
      <c r="I31" s="510">
        <v>0</v>
      </c>
      <c r="J31" s="353"/>
      <c r="K31" s="352">
        <f>C31-I31</f>
        <v>0</v>
      </c>
      <c r="L31" s="1289" t="str">
        <f>IF(I31=0,"NM",C31/I31-1)</f>
        <v>NM</v>
      </c>
      <c r="M31" s="346"/>
      <c r="N31" s="346"/>
      <c r="O31" s="346"/>
      <c r="P31" s="346"/>
      <c r="Q31" s="346"/>
      <c r="R31" s="346"/>
      <c r="S31" s="346"/>
      <c r="T31" s="346"/>
      <c r="U31" s="346"/>
      <c r="V31" s="345"/>
      <c r="W31" s="345"/>
      <c r="X31" s="345"/>
      <c r="Y31" s="345"/>
      <c r="Z31" s="345"/>
      <c r="AA31" s="345"/>
      <c r="AB31" s="345"/>
      <c r="AC31" s="345"/>
      <c r="AD31" s="345"/>
      <c r="AE31" s="345"/>
      <c r="AF31" s="345"/>
      <c r="AG31" s="345"/>
      <c r="AH31" s="345"/>
      <c r="AI31" s="345"/>
      <c r="AJ31" s="345"/>
      <c r="AK31" s="345"/>
      <c r="AL31" s="345"/>
      <c r="AM31" s="345"/>
      <c r="AN31" s="345"/>
      <c r="AO31" s="345"/>
      <c r="AP31" s="345"/>
      <c r="AQ31" s="345"/>
      <c r="AR31" s="345"/>
      <c r="AS31" s="345"/>
    </row>
    <row r="32" spans="1:45" ht="13.5" customHeight="1" x14ac:dyDescent="0.2">
      <c r="A32" s="355" t="s">
        <v>1298</v>
      </c>
      <c r="B32" s="356"/>
      <c r="C32" s="1897">
        <f>C30-C31</f>
        <v>504</v>
      </c>
      <c r="D32" s="489">
        <f>D30-D31</f>
        <v>446</v>
      </c>
      <c r="E32" s="357"/>
      <c r="F32" s="357">
        <f>C32-D32</f>
        <v>58</v>
      </c>
      <c r="G32" s="358">
        <f t="shared" si="0"/>
        <v>0.13004484304932729</v>
      </c>
      <c r="H32" s="359"/>
      <c r="I32" s="1906">
        <v>128.33447000158844</v>
      </c>
      <c r="J32" s="357"/>
      <c r="K32" s="357">
        <f>C32-I32</f>
        <v>375.66552999841156</v>
      </c>
      <c r="L32" s="360">
        <f>IF(I32=0,"NM",C32/I32-1)</f>
        <v>2.927237943116622</v>
      </c>
      <c r="M32" s="346"/>
      <c r="N32" s="1144">
        <v>129.27799999999999</v>
      </c>
      <c r="O32" s="1144"/>
      <c r="P32" s="346"/>
      <c r="Q32" s="346">
        <f>0.17*4</f>
        <v>0.68</v>
      </c>
      <c r="R32" s="346">
        <f>0.13*4</f>
        <v>0.52</v>
      </c>
      <c r="S32" s="346"/>
      <c r="T32" s="346"/>
      <c r="U32" s="346"/>
      <c r="V32" s="345"/>
      <c r="W32" s="345"/>
      <c r="X32" s="345"/>
      <c r="Y32" s="345"/>
      <c r="Z32" s="345"/>
      <c r="AA32" s="345"/>
      <c r="AB32" s="345"/>
      <c r="AC32" s="345"/>
      <c r="AD32" s="345"/>
      <c r="AE32" s="345"/>
      <c r="AF32" s="345"/>
      <c r="AG32" s="345"/>
      <c r="AH32" s="345"/>
      <c r="AI32" s="345"/>
      <c r="AJ32" s="345"/>
      <c r="AK32" s="345"/>
      <c r="AL32" s="345"/>
      <c r="AM32" s="345"/>
      <c r="AN32" s="345"/>
      <c r="AO32" s="345"/>
      <c r="AP32" s="345"/>
      <c r="AQ32" s="345"/>
      <c r="AR32" s="345"/>
      <c r="AS32" s="345"/>
    </row>
    <row r="33" spans="1:45" ht="13.5" customHeight="1" x14ac:dyDescent="0.2">
      <c r="A33" s="346" t="s">
        <v>715</v>
      </c>
      <c r="B33" s="346"/>
      <c r="C33" s="1896">
        <f>+MAR!BV58</f>
        <v>320</v>
      </c>
      <c r="D33" s="352">
        <f>+MAR!BQ58</f>
        <v>344.6</v>
      </c>
      <c r="E33" s="353"/>
      <c r="F33" s="352">
        <f>C33-D33</f>
        <v>-24.600000000000023</v>
      </c>
      <c r="G33" s="354">
        <f t="shared" si="0"/>
        <v>-7.138711549622756E-2</v>
      </c>
      <c r="H33" s="346"/>
      <c r="I33" s="510">
        <v>319.49303357435053</v>
      </c>
      <c r="J33" s="353"/>
      <c r="K33" s="352"/>
      <c r="L33" s="1289"/>
      <c r="M33" s="346"/>
      <c r="N33" s="346"/>
      <c r="O33" s="346"/>
      <c r="P33" s="346"/>
      <c r="Q33" s="1282">
        <f>Q32/43.5</f>
        <v>1.563218390804598E-2</v>
      </c>
      <c r="R33" s="2106">
        <f>R32/43.5</f>
        <v>1.1954022988505748E-2</v>
      </c>
      <c r="S33" s="346"/>
      <c r="T33" s="346"/>
      <c r="U33" s="346"/>
      <c r="V33" s="345"/>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row>
    <row r="34" spans="1:45" ht="13.5" customHeight="1" x14ac:dyDescent="0.2">
      <c r="A34" s="355" t="s">
        <v>1595</v>
      </c>
      <c r="B34" s="356"/>
      <c r="C34" s="1900">
        <f>C32/C33</f>
        <v>1.575</v>
      </c>
      <c r="D34" s="484">
        <f>D32/D33</f>
        <v>1.2942542077771328</v>
      </c>
      <c r="E34" s="357"/>
      <c r="F34" s="484">
        <f>C34-D34</f>
        <v>0.28074579222286711</v>
      </c>
      <c r="G34" s="358">
        <f t="shared" si="0"/>
        <v>0.21691704035874437</v>
      </c>
      <c r="H34" s="359"/>
      <c r="I34" s="1908">
        <v>0.4016815908811458</v>
      </c>
      <c r="J34" s="357"/>
      <c r="K34" s="484">
        <f>C34-I34</f>
        <v>1.1733184091188542</v>
      </c>
      <c r="L34" s="360">
        <f>IF(I34=0,"NM",C34/I34-1)</f>
        <v>2.9210161375456938</v>
      </c>
      <c r="M34" s="346"/>
      <c r="N34" s="1145">
        <v>0.40400000000000003</v>
      </c>
      <c r="O34" s="1145"/>
      <c r="P34" s="346"/>
      <c r="Q34" s="346"/>
      <c r="R34" s="346"/>
      <c r="S34" s="346"/>
      <c r="T34" s="346"/>
      <c r="U34" s="346"/>
      <c r="V34" s="345"/>
      <c r="W34" s="345"/>
      <c r="X34" s="345"/>
      <c r="Y34" s="345"/>
      <c r="Z34" s="345"/>
      <c r="AA34" s="345"/>
      <c r="AB34" s="345"/>
      <c r="AC34" s="345"/>
      <c r="AD34" s="345"/>
      <c r="AE34" s="345"/>
      <c r="AF34" s="345"/>
      <c r="AG34" s="345"/>
      <c r="AH34" s="345"/>
      <c r="AI34" s="345"/>
      <c r="AJ34" s="345"/>
      <c r="AK34" s="345"/>
      <c r="AL34" s="345"/>
      <c r="AM34" s="345"/>
      <c r="AN34" s="345"/>
      <c r="AO34" s="345"/>
      <c r="AP34" s="345"/>
      <c r="AQ34" s="345"/>
      <c r="AR34" s="345"/>
      <c r="AS34" s="345"/>
    </row>
    <row r="35" spans="1:45" ht="13.5" customHeight="1" x14ac:dyDescent="0.2">
      <c r="A35" s="346"/>
      <c r="B35" s="346"/>
      <c r="C35" s="1896"/>
      <c r="D35" s="352"/>
      <c r="E35" s="353"/>
      <c r="F35" s="352"/>
      <c r="G35" s="354"/>
      <c r="H35" s="346"/>
      <c r="I35" s="510"/>
      <c r="J35" s="353"/>
      <c r="K35" s="352"/>
      <c r="L35" s="1289"/>
      <c r="M35" s="346"/>
      <c r="N35" s="346"/>
      <c r="O35" s="346"/>
      <c r="P35" s="346"/>
      <c r="Q35" s="346"/>
      <c r="R35" s="346"/>
      <c r="S35" s="346"/>
      <c r="T35" s="346"/>
      <c r="U35" s="346"/>
      <c r="V35" s="345"/>
      <c r="W35" s="345"/>
      <c r="X35" s="345"/>
      <c r="Y35" s="345"/>
      <c r="Z35" s="345"/>
      <c r="AA35" s="345"/>
      <c r="AB35" s="345"/>
      <c r="AC35" s="345"/>
      <c r="AD35" s="345"/>
      <c r="AE35" s="345"/>
      <c r="AF35" s="345"/>
      <c r="AG35" s="345"/>
      <c r="AH35" s="345"/>
      <c r="AI35" s="345"/>
      <c r="AJ35" s="345"/>
      <c r="AK35" s="345"/>
      <c r="AL35" s="345"/>
      <c r="AM35" s="345"/>
      <c r="AN35" s="345"/>
      <c r="AO35" s="345"/>
      <c r="AP35" s="345"/>
      <c r="AQ35" s="345"/>
      <c r="AR35" s="345"/>
      <c r="AS35" s="345"/>
    </row>
    <row r="36" spans="1:45" ht="13.5" customHeight="1" x14ac:dyDescent="0.2">
      <c r="A36" s="1295" t="s">
        <v>220</v>
      </c>
      <c r="B36" s="418"/>
      <c r="C36" s="1901"/>
      <c r="D36" s="424"/>
      <c r="E36" s="464"/>
      <c r="F36" s="464"/>
      <c r="G36" s="457"/>
      <c r="H36" s="477"/>
      <c r="I36" s="1909"/>
      <c r="J36" s="464"/>
      <c r="K36" s="464"/>
      <c r="L36" s="465"/>
      <c r="M36" s="346"/>
      <c r="N36" s="345"/>
      <c r="O36" s="345"/>
      <c r="P36" s="345"/>
      <c r="Q36" s="345"/>
      <c r="R36" s="345"/>
      <c r="S36" s="345"/>
      <c r="T36" s="345"/>
      <c r="U36" s="346"/>
      <c r="V36" s="345"/>
      <c r="W36" s="345"/>
      <c r="X36" s="345"/>
      <c r="Y36" s="345"/>
      <c r="Z36" s="345"/>
      <c r="AA36" s="345"/>
      <c r="AB36" s="345"/>
      <c r="AC36" s="345"/>
      <c r="AD36" s="345"/>
      <c r="AE36" s="345"/>
      <c r="AF36" s="345"/>
      <c r="AG36" s="345"/>
      <c r="AH36" s="345"/>
      <c r="AI36" s="345"/>
      <c r="AJ36" s="345"/>
      <c r="AK36" s="345"/>
      <c r="AL36" s="345"/>
      <c r="AM36" s="345"/>
      <c r="AN36" s="345"/>
      <c r="AO36" s="345"/>
      <c r="AP36" s="345"/>
      <c r="AQ36" s="345"/>
      <c r="AR36" s="345"/>
      <c r="AS36" s="345"/>
    </row>
    <row r="37" spans="1:45" ht="13.5" customHeight="1" x14ac:dyDescent="0.2">
      <c r="A37" s="1436" t="s">
        <v>1296</v>
      </c>
      <c r="B37" s="421"/>
      <c r="C37" s="1902">
        <f>+C30</f>
        <v>504</v>
      </c>
      <c r="D37" s="464">
        <f>+D30</f>
        <v>446</v>
      </c>
      <c r="E37" s="1139"/>
      <c r="F37" s="1140">
        <f t="shared" ref="F37:F44" si="1">C37-D37</f>
        <v>58</v>
      </c>
      <c r="G37" s="482">
        <f t="shared" ref="G37:G45" si="2">IF(D37=0,0,C37/D37-1)</f>
        <v>0.13004484304932729</v>
      </c>
      <c r="H37" s="421"/>
      <c r="I37" s="1910">
        <v>128.33447000158844</v>
      </c>
      <c r="J37" s="534"/>
      <c r="K37" s="1140">
        <f t="shared" ref="K37:K45" si="3">C37-I37</f>
        <v>375.66552999841156</v>
      </c>
      <c r="L37" s="1292">
        <f t="shared" ref="L37:L45" si="4">IF(I37=0,"NM",C37/I37-1)</f>
        <v>2.927237943116622</v>
      </c>
      <c r="M37" s="346"/>
      <c r="N37" s="345"/>
      <c r="O37" s="345"/>
      <c r="P37" s="345"/>
      <c r="Q37" s="345"/>
      <c r="R37" s="345"/>
      <c r="S37" s="345"/>
      <c r="T37" s="345"/>
      <c r="U37" s="346"/>
      <c r="V37" s="345"/>
      <c r="W37" s="345"/>
      <c r="X37" s="345"/>
      <c r="Y37" s="345"/>
      <c r="Z37" s="345"/>
      <c r="AA37" s="345"/>
      <c r="AB37" s="345"/>
      <c r="AC37" s="345"/>
      <c r="AD37" s="345"/>
      <c r="AE37" s="345"/>
      <c r="AF37" s="345"/>
      <c r="AG37" s="345"/>
      <c r="AH37" s="345"/>
      <c r="AI37" s="345"/>
      <c r="AJ37" s="345"/>
      <c r="AK37" s="345"/>
      <c r="AL37" s="345"/>
      <c r="AM37" s="345"/>
      <c r="AN37" s="345"/>
      <c r="AO37" s="345"/>
      <c r="AP37" s="345"/>
      <c r="AQ37" s="345"/>
      <c r="AR37" s="345"/>
      <c r="AS37" s="345"/>
    </row>
    <row r="38" spans="1:45" ht="13.5" customHeight="1" x14ac:dyDescent="0.2">
      <c r="A38" s="900" t="s">
        <v>1628</v>
      </c>
      <c r="B38" s="418"/>
      <c r="C38" s="640">
        <f>+MAR!BV89</f>
        <v>31</v>
      </c>
      <c r="D38" s="423">
        <f>+MAR!BQ89</f>
        <v>33</v>
      </c>
      <c r="E38" s="472"/>
      <c r="F38" s="352">
        <f t="shared" si="1"/>
        <v>-2</v>
      </c>
      <c r="G38" s="354">
        <f t="shared" si="2"/>
        <v>-6.0606060606060552E-2</v>
      </c>
      <c r="H38" s="418"/>
      <c r="I38" s="644">
        <v>33.736016346153839</v>
      </c>
      <c r="J38" s="471"/>
      <c r="K38" s="352">
        <f t="shared" si="3"/>
        <v>-2.7360163461538392</v>
      </c>
      <c r="L38" s="1289">
        <f t="shared" si="4"/>
        <v>-8.1100753511632817E-2</v>
      </c>
      <c r="M38" s="346"/>
      <c r="N38" s="345"/>
      <c r="O38" s="345"/>
      <c r="P38" s="345"/>
      <c r="Q38" s="345"/>
      <c r="R38" s="345"/>
      <c r="S38" s="345"/>
      <c r="T38" s="345"/>
      <c r="U38" s="346"/>
      <c r="V38" s="345"/>
      <c r="W38" s="345"/>
      <c r="X38" s="345"/>
      <c r="Y38" s="345"/>
      <c r="Z38" s="345"/>
      <c r="AA38" s="345"/>
      <c r="AB38" s="345"/>
      <c r="AC38" s="345"/>
      <c r="AD38" s="345"/>
      <c r="AE38" s="345"/>
      <c r="AF38" s="345"/>
      <c r="AG38" s="345"/>
      <c r="AH38" s="345"/>
      <c r="AI38" s="345"/>
      <c r="AJ38" s="345"/>
      <c r="AK38" s="345"/>
      <c r="AL38" s="345"/>
      <c r="AM38" s="345"/>
      <c r="AN38" s="345"/>
      <c r="AO38" s="345"/>
      <c r="AP38" s="345"/>
      <c r="AQ38" s="345"/>
      <c r="AR38" s="345"/>
      <c r="AS38" s="345"/>
    </row>
    <row r="39" spans="1:45" ht="13.5" customHeight="1" x14ac:dyDescent="0.2">
      <c r="A39" s="900" t="s">
        <v>1629</v>
      </c>
      <c r="B39" s="418"/>
      <c r="C39" s="640">
        <f>+MAR!BV90</f>
        <v>65</v>
      </c>
      <c r="D39" s="423">
        <f>+MAR!BQ90</f>
        <v>43</v>
      </c>
      <c r="E39" s="472"/>
      <c r="F39" s="352">
        <f t="shared" si="1"/>
        <v>22</v>
      </c>
      <c r="G39" s="354">
        <f t="shared" si="2"/>
        <v>0.51162790697674421</v>
      </c>
      <c r="H39" s="418"/>
      <c r="I39" s="644">
        <v>63.209515075409129</v>
      </c>
      <c r="J39" s="471"/>
      <c r="K39" s="352">
        <f t="shared" si="3"/>
        <v>1.7904849245908707</v>
      </c>
      <c r="L39" s="1289">
        <f t="shared" si="4"/>
        <v>2.8326193017851997E-2</v>
      </c>
      <c r="M39" s="346"/>
      <c r="N39" s="345"/>
      <c r="O39" s="345"/>
      <c r="P39" s="345"/>
      <c r="Q39" s="345"/>
      <c r="R39" s="345"/>
      <c r="S39" s="345"/>
      <c r="T39" s="345"/>
      <c r="U39" s="346"/>
      <c r="V39" s="345"/>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row>
    <row r="40" spans="1:45" ht="13.5" customHeight="1" x14ac:dyDescent="0.2">
      <c r="A40" s="900" t="s">
        <v>685</v>
      </c>
      <c r="B40" s="418"/>
      <c r="C40" s="640">
        <f>+MAR!BV91</f>
        <v>25</v>
      </c>
      <c r="D40" s="423">
        <f>+MAR!BQ91</f>
        <v>29</v>
      </c>
      <c r="E40" s="424"/>
      <c r="F40" s="352">
        <f t="shared" si="1"/>
        <v>-4</v>
      </c>
      <c r="G40" s="354">
        <f t="shared" si="2"/>
        <v>-0.13793103448275867</v>
      </c>
      <c r="H40" s="477"/>
      <c r="I40" s="644">
        <v>31.9</v>
      </c>
      <c r="J40" s="365"/>
      <c r="K40" s="352">
        <f t="shared" si="3"/>
        <v>-6.8999999999999986</v>
      </c>
      <c r="L40" s="1289">
        <f t="shared" si="4"/>
        <v>-0.21630094043887149</v>
      </c>
      <c r="M40" s="346"/>
      <c r="N40" s="345"/>
      <c r="O40" s="345"/>
      <c r="P40" s="345"/>
      <c r="Q40" s="345"/>
      <c r="R40" s="345"/>
      <c r="S40" s="345"/>
      <c r="T40" s="345"/>
      <c r="U40" s="346"/>
      <c r="V40" s="345"/>
      <c r="W40" s="345"/>
      <c r="X40" s="345"/>
      <c r="Y40" s="345"/>
      <c r="Z40" s="345"/>
      <c r="AA40" s="345"/>
      <c r="AB40" s="345"/>
      <c r="AC40" s="345"/>
      <c r="AD40" s="345"/>
      <c r="AE40" s="345"/>
      <c r="AF40" s="345"/>
      <c r="AG40" s="345"/>
      <c r="AH40" s="345"/>
      <c r="AI40" s="345"/>
      <c r="AJ40" s="345"/>
      <c r="AK40" s="345"/>
      <c r="AL40" s="345"/>
      <c r="AM40" s="345"/>
      <c r="AN40" s="345"/>
      <c r="AO40" s="345"/>
      <c r="AP40" s="345"/>
      <c r="AQ40" s="345"/>
      <c r="AR40" s="345"/>
      <c r="AS40" s="345"/>
    </row>
    <row r="41" spans="1:45" ht="13.5" customHeight="1" x14ac:dyDescent="0.2">
      <c r="A41" s="900" t="s">
        <v>720</v>
      </c>
      <c r="B41" s="418"/>
      <c r="C41" s="640">
        <f>+MAR!BV92</f>
        <v>12</v>
      </c>
      <c r="D41" s="423">
        <f>+MAR!BQ92</f>
        <v>0</v>
      </c>
      <c r="E41" s="472"/>
      <c r="F41" s="352">
        <f t="shared" si="1"/>
        <v>12</v>
      </c>
      <c r="G41" s="354">
        <f t="shared" si="2"/>
        <v>0</v>
      </c>
      <c r="H41" s="418"/>
      <c r="I41" s="644">
        <v>-5</v>
      </c>
      <c r="J41" s="471"/>
      <c r="K41" s="352">
        <f t="shared" si="3"/>
        <v>17</v>
      </c>
      <c r="L41" s="1289">
        <f t="shared" si="4"/>
        <v>-3.4</v>
      </c>
      <c r="M41" s="346"/>
      <c r="N41" s="345"/>
      <c r="O41" s="345"/>
      <c r="P41" s="345"/>
      <c r="Q41" s="345"/>
      <c r="R41" s="345"/>
      <c r="S41" s="345"/>
      <c r="T41" s="345"/>
      <c r="U41" s="346"/>
      <c r="V41" s="345"/>
      <c r="W41" s="345"/>
      <c r="X41" s="345"/>
      <c r="Y41" s="345"/>
      <c r="Z41" s="345"/>
      <c r="AA41" s="345"/>
      <c r="AB41" s="345"/>
      <c r="AC41" s="345"/>
      <c r="AD41" s="345"/>
      <c r="AE41" s="345"/>
      <c r="AF41" s="345"/>
      <c r="AG41" s="345"/>
      <c r="AH41" s="345"/>
      <c r="AI41" s="345"/>
      <c r="AJ41" s="345"/>
      <c r="AK41" s="345"/>
      <c r="AL41" s="345"/>
      <c r="AM41" s="345"/>
      <c r="AN41" s="345"/>
      <c r="AO41" s="345"/>
      <c r="AP41" s="345"/>
      <c r="AQ41" s="345"/>
      <c r="AR41" s="345"/>
      <c r="AS41" s="345"/>
    </row>
    <row r="42" spans="1:45" ht="13.5" customHeight="1" x14ac:dyDescent="0.2">
      <c r="A42" s="896" t="s">
        <v>697</v>
      </c>
      <c r="B42" s="418"/>
      <c r="C42" s="640">
        <f>+MAR!BV93</f>
        <v>1</v>
      </c>
      <c r="D42" s="423">
        <f>+MAR!BQ93</f>
        <v>4</v>
      </c>
      <c r="E42" s="472"/>
      <c r="F42" s="352">
        <f t="shared" si="1"/>
        <v>-3</v>
      </c>
      <c r="G42" s="354">
        <f t="shared" si="2"/>
        <v>-0.75</v>
      </c>
      <c r="H42" s="418"/>
      <c r="I42" s="644">
        <v>2.5</v>
      </c>
      <c r="J42" s="471"/>
      <c r="K42" s="352">
        <f t="shared" si="3"/>
        <v>-1.5</v>
      </c>
      <c r="L42" s="1289">
        <f t="shared" si="4"/>
        <v>-0.6</v>
      </c>
      <c r="M42" s="346"/>
      <c r="N42" s="345"/>
      <c r="O42" s="345"/>
      <c r="P42" s="345"/>
      <c r="Q42" s="345"/>
      <c r="R42" s="345"/>
      <c r="S42" s="345"/>
      <c r="T42" s="345"/>
      <c r="U42" s="346"/>
      <c r="V42" s="345"/>
      <c r="W42" s="345"/>
      <c r="X42" s="345"/>
      <c r="Y42" s="345"/>
      <c r="Z42" s="345"/>
      <c r="AA42" s="345"/>
      <c r="AB42" s="345"/>
      <c r="AC42" s="345"/>
      <c r="AD42" s="345"/>
      <c r="AE42" s="345"/>
      <c r="AF42" s="345"/>
      <c r="AG42" s="345"/>
      <c r="AH42" s="345"/>
      <c r="AI42" s="345"/>
      <c r="AJ42" s="345"/>
      <c r="AK42" s="345"/>
      <c r="AL42" s="345"/>
      <c r="AM42" s="345"/>
      <c r="AN42" s="345"/>
      <c r="AO42" s="345"/>
      <c r="AP42" s="345"/>
      <c r="AQ42" s="345"/>
      <c r="AR42" s="345"/>
      <c r="AS42" s="345"/>
    </row>
    <row r="43" spans="1:45" ht="13.5" customHeight="1" x14ac:dyDescent="0.2">
      <c r="A43" s="896" t="s">
        <v>698</v>
      </c>
      <c r="B43" s="418"/>
      <c r="C43" s="640">
        <f>+MAR!BV94</f>
        <v>3</v>
      </c>
      <c r="D43" s="423">
        <f>+MAR!BQ94</f>
        <v>6</v>
      </c>
      <c r="E43" s="424"/>
      <c r="F43" s="352">
        <f t="shared" si="1"/>
        <v>-3</v>
      </c>
      <c r="G43" s="354">
        <f t="shared" si="2"/>
        <v>-0.5</v>
      </c>
      <c r="H43" s="477"/>
      <c r="I43" s="644">
        <v>5</v>
      </c>
      <c r="J43" s="365"/>
      <c r="K43" s="352">
        <f t="shared" si="3"/>
        <v>-2</v>
      </c>
      <c r="L43" s="1289">
        <f t="shared" si="4"/>
        <v>-0.4</v>
      </c>
      <c r="M43" s="346"/>
      <c r="N43" s="345"/>
      <c r="O43" s="345"/>
      <c r="P43" s="345"/>
      <c r="Q43" s="345"/>
      <c r="R43" s="345"/>
      <c r="S43" s="345"/>
      <c r="T43" s="345"/>
      <c r="U43" s="346"/>
      <c r="V43" s="345"/>
      <c r="W43" s="345"/>
      <c r="X43" s="345"/>
      <c r="Y43" s="345"/>
      <c r="Z43" s="345"/>
      <c r="AA43" s="345"/>
      <c r="AB43" s="345"/>
      <c r="AC43" s="345"/>
      <c r="AD43" s="345"/>
      <c r="AE43" s="345"/>
      <c r="AF43" s="345"/>
      <c r="AG43" s="345"/>
      <c r="AH43" s="345"/>
      <c r="AI43" s="345"/>
      <c r="AJ43" s="345"/>
      <c r="AK43" s="345"/>
      <c r="AL43" s="345"/>
      <c r="AM43" s="345"/>
      <c r="AN43" s="345"/>
      <c r="AO43" s="345"/>
      <c r="AP43" s="345"/>
      <c r="AQ43" s="345"/>
      <c r="AR43" s="345"/>
      <c r="AS43" s="345"/>
    </row>
    <row r="44" spans="1:45" ht="13.5" customHeight="1" x14ac:dyDescent="0.2">
      <c r="A44" s="900" t="s">
        <v>230</v>
      </c>
      <c r="B44" s="418"/>
      <c r="C44" s="640">
        <f>+MAR!BV97</f>
        <v>0</v>
      </c>
      <c r="D44" s="423">
        <f>+MAR!BQ97</f>
        <v>0</v>
      </c>
      <c r="E44" s="472"/>
      <c r="F44" s="352">
        <f t="shared" si="1"/>
        <v>0</v>
      </c>
      <c r="G44" s="354">
        <f t="shared" si="2"/>
        <v>0</v>
      </c>
      <c r="H44" s="418"/>
      <c r="I44" s="644">
        <v>0</v>
      </c>
      <c r="J44" s="471"/>
      <c r="K44" s="352">
        <f t="shared" si="3"/>
        <v>0</v>
      </c>
      <c r="L44" s="1289" t="str">
        <f t="shared" si="4"/>
        <v>NM</v>
      </c>
      <c r="M44" s="346"/>
      <c r="N44" s="345"/>
      <c r="O44" s="345"/>
      <c r="P44" s="345"/>
      <c r="Q44" s="345"/>
      <c r="R44" s="345"/>
      <c r="S44" s="345"/>
      <c r="T44" s="345"/>
      <c r="U44" s="346"/>
      <c r="V44" s="345"/>
      <c r="W44" s="345"/>
      <c r="X44" s="345"/>
      <c r="Y44" s="345"/>
      <c r="Z44" s="345"/>
      <c r="AA44" s="345"/>
      <c r="AB44" s="345"/>
      <c r="AC44" s="345"/>
      <c r="AD44" s="345"/>
      <c r="AE44" s="345"/>
      <c r="AF44" s="345"/>
      <c r="AG44" s="345"/>
      <c r="AH44" s="345"/>
      <c r="AI44" s="345"/>
      <c r="AJ44" s="345"/>
      <c r="AK44" s="345"/>
      <c r="AL44" s="345"/>
      <c r="AM44" s="345"/>
      <c r="AN44" s="345"/>
      <c r="AO44" s="345"/>
      <c r="AP44" s="345"/>
      <c r="AQ44" s="345"/>
      <c r="AR44" s="345"/>
      <c r="AS44" s="345"/>
    </row>
    <row r="45" spans="1:45" ht="13.5" customHeight="1" x14ac:dyDescent="0.2">
      <c r="A45" s="355" t="s">
        <v>1197</v>
      </c>
      <c r="B45" s="356"/>
      <c r="C45" s="1903">
        <f>SUM(C37:C44)</f>
        <v>641</v>
      </c>
      <c r="D45" s="357">
        <f>SUM(D37:D44)</f>
        <v>561</v>
      </c>
      <c r="E45" s="357"/>
      <c r="F45" s="357">
        <f>SUM(F37:F44)</f>
        <v>80</v>
      </c>
      <c r="G45" s="358">
        <f t="shared" si="2"/>
        <v>0.14260249554367199</v>
      </c>
      <c r="H45" s="359"/>
      <c r="I45" s="1911">
        <v>259.6800014231514</v>
      </c>
      <c r="J45" s="357"/>
      <c r="K45" s="357">
        <f t="shared" si="3"/>
        <v>381.3199985768486</v>
      </c>
      <c r="L45" s="360">
        <f t="shared" si="4"/>
        <v>1.4684226605324278</v>
      </c>
      <c r="M45" s="346"/>
      <c r="N45" s="1144">
        <v>267.16699999999997</v>
      </c>
      <c r="O45" s="1144"/>
      <c r="P45" s="345"/>
      <c r="Q45" s="345"/>
      <c r="R45" s="345"/>
      <c r="S45" s="345"/>
      <c r="T45" s="345"/>
      <c r="U45" s="346"/>
      <c r="V45" s="345"/>
      <c r="W45" s="345"/>
      <c r="X45" s="345"/>
      <c r="Y45" s="345"/>
      <c r="Z45" s="345"/>
      <c r="AA45" s="345"/>
      <c r="AB45" s="345"/>
      <c r="AC45" s="345"/>
      <c r="AD45" s="345"/>
      <c r="AE45" s="345"/>
      <c r="AF45" s="345"/>
      <c r="AG45" s="345"/>
      <c r="AH45" s="345"/>
      <c r="AI45" s="345"/>
      <c r="AJ45" s="345"/>
      <c r="AK45" s="345"/>
      <c r="AL45" s="345"/>
      <c r="AM45" s="345"/>
      <c r="AN45" s="345"/>
      <c r="AO45" s="345"/>
      <c r="AP45" s="345"/>
      <c r="AQ45" s="345"/>
      <c r="AR45" s="345"/>
      <c r="AS45" s="345"/>
    </row>
    <row r="46" spans="1:45" ht="13.5" customHeight="1" x14ac:dyDescent="0.2">
      <c r="A46" s="418"/>
      <c r="B46" s="418"/>
      <c r="C46" s="1893"/>
      <c r="D46" s="418"/>
      <c r="E46" s="418"/>
      <c r="F46" s="418"/>
      <c r="G46" s="462"/>
      <c r="H46" s="418"/>
      <c r="I46" s="1368"/>
      <c r="J46" s="418"/>
      <c r="K46" s="418"/>
      <c r="L46" s="478"/>
      <c r="M46" s="346"/>
      <c r="N46" s="345"/>
      <c r="O46" s="345"/>
      <c r="P46" s="344"/>
      <c r="Q46" s="345"/>
      <c r="R46" s="345"/>
      <c r="S46" s="345"/>
      <c r="T46" s="345"/>
      <c r="U46" s="346"/>
      <c r="V46" s="345"/>
      <c r="W46" s="345"/>
      <c r="X46" s="345"/>
      <c r="Y46" s="345"/>
      <c r="Z46" s="345"/>
      <c r="AA46" s="345"/>
      <c r="AB46" s="345"/>
      <c r="AC46" s="345"/>
      <c r="AD46" s="345"/>
      <c r="AE46" s="345"/>
      <c r="AF46" s="345"/>
      <c r="AG46" s="345"/>
      <c r="AH46" s="345"/>
      <c r="AI46" s="345"/>
      <c r="AJ46" s="345"/>
      <c r="AK46" s="345"/>
      <c r="AL46" s="345"/>
      <c r="AM46" s="345"/>
      <c r="AN46" s="345"/>
      <c r="AO46" s="345"/>
      <c r="AP46" s="345"/>
      <c r="AQ46" s="345"/>
      <c r="AR46" s="345"/>
      <c r="AS46" s="345"/>
    </row>
    <row r="47" spans="1:45" ht="13.5" customHeight="1" x14ac:dyDescent="0.2">
      <c r="A47" s="418"/>
      <c r="B47" s="418"/>
      <c r="C47" s="1893"/>
      <c r="D47" s="418"/>
      <c r="E47" s="418"/>
      <c r="F47" s="418"/>
      <c r="G47" s="462"/>
      <c r="H47" s="418"/>
      <c r="I47" s="1368"/>
      <c r="J47" s="418"/>
      <c r="K47" s="418"/>
      <c r="L47" s="478"/>
      <c r="M47" s="346"/>
      <c r="N47" s="345"/>
      <c r="O47" s="345"/>
      <c r="P47" s="344"/>
      <c r="Q47" s="345"/>
      <c r="R47" s="345"/>
      <c r="S47" s="345"/>
      <c r="T47" s="345"/>
      <c r="U47" s="346"/>
      <c r="V47" s="345"/>
      <c r="W47" s="345"/>
      <c r="X47" s="345"/>
      <c r="Y47" s="345"/>
      <c r="Z47" s="345"/>
      <c r="AA47" s="345"/>
      <c r="AB47" s="345"/>
      <c r="AC47" s="345"/>
      <c r="AD47" s="345"/>
      <c r="AE47" s="345"/>
      <c r="AF47" s="345"/>
      <c r="AG47" s="345"/>
      <c r="AH47" s="345"/>
      <c r="AI47" s="345"/>
      <c r="AJ47" s="345"/>
      <c r="AK47" s="345"/>
      <c r="AL47" s="345"/>
      <c r="AM47" s="345"/>
      <c r="AN47" s="345"/>
      <c r="AO47" s="345"/>
      <c r="AP47" s="345"/>
      <c r="AQ47" s="345"/>
      <c r="AR47" s="345"/>
      <c r="AS47" s="345"/>
    </row>
    <row r="48" spans="1:45" ht="13.5" customHeight="1" x14ac:dyDescent="0.2">
      <c r="A48" s="1164" t="s">
        <v>2244</v>
      </c>
      <c r="B48" s="1147"/>
      <c r="C48" s="1904"/>
      <c r="D48" s="1147"/>
      <c r="E48" s="1147"/>
      <c r="F48" s="1147"/>
      <c r="G48" s="1148"/>
      <c r="H48" s="1147"/>
      <c r="I48" s="1912"/>
      <c r="J48" s="1147"/>
      <c r="K48" s="1147"/>
      <c r="L48" s="1149"/>
      <c r="M48" s="346"/>
      <c r="N48" s="345"/>
      <c r="O48" s="345"/>
      <c r="U48" s="346"/>
      <c r="V48" s="345"/>
      <c r="W48" s="345"/>
      <c r="X48" s="345"/>
      <c r="Y48" s="345"/>
      <c r="Z48" s="345"/>
      <c r="AA48" s="345"/>
      <c r="AB48" s="345"/>
      <c r="AC48" s="345"/>
      <c r="AD48" s="345"/>
      <c r="AE48" s="345"/>
      <c r="AF48" s="345"/>
      <c r="AG48" s="345"/>
      <c r="AH48" s="345"/>
      <c r="AI48" s="345"/>
      <c r="AJ48" s="345"/>
      <c r="AK48" s="345"/>
      <c r="AL48" s="345"/>
      <c r="AM48" s="345"/>
      <c r="AN48" s="345"/>
      <c r="AO48" s="345"/>
      <c r="AP48" s="345"/>
      <c r="AQ48" s="345"/>
      <c r="AR48" s="345"/>
      <c r="AS48" s="345"/>
    </row>
    <row r="49" spans="1:45" ht="13.5" customHeight="1" x14ac:dyDescent="0.2">
      <c r="A49" s="1150" t="s">
        <v>1512</v>
      </c>
      <c r="B49" s="418"/>
      <c r="C49" s="1892">
        <f>+MAR!BV7</f>
        <v>153</v>
      </c>
      <c r="D49" s="458">
        <f>+MAR!BQ7</f>
        <v>124</v>
      </c>
      <c r="E49" s="418"/>
      <c r="F49" s="532">
        <f>C49-D49</f>
        <v>29</v>
      </c>
      <c r="G49" s="354">
        <f>IF(D49=0,0,C49/D49-1)</f>
        <v>0.2338709677419355</v>
      </c>
      <c r="H49" s="418"/>
      <c r="I49" s="1395">
        <v>146.07294336562842</v>
      </c>
      <c r="J49" s="418"/>
      <c r="K49" s="532">
        <f>C49-I49</f>
        <v>6.9270566343715814</v>
      </c>
      <c r="L49" s="1151">
        <f>IF(I49=0,"NM",C49/I49-1)</f>
        <v>4.7421900830962205E-2</v>
      </c>
      <c r="M49" s="346"/>
      <c r="N49" s="345"/>
      <c r="O49" s="345"/>
      <c r="U49" s="346"/>
      <c r="V49" s="345"/>
      <c r="W49" s="345"/>
      <c r="X49" s="345"/>
      <c r="Y49" s="345"/>
      <c r="Z49" s="345"/>
      <c r="AA49" s="345"/>
      <c r="AB49" s="345"/>
      <c r="AC49" s="345"/>
      <c r="AD49" s="345"/>
      <c r="AE49" s="345"/>
      <c r="AF49" s="345"/>
      <c r="AG49" s="345"/>
      <c r="AH49" s="345"/>
      <c r="AI49" s="345"/>
      <c r="AJ49" s="345"/>
      <c r="AK49" s="345"/>
      <c r="AL49" s="345"/>
      <c r="AM49" s="345"/>
      <c r="AN49" s="345"/>
      <c r="AO49" s="345"/>
      <c r="AP49" s="345"/>
      <c r="AQ49" s="345"/>
      <c r="AR49" s="345"/>
      <c r="AS49" s="345"/>
    </row>
    <row r="50" spans="1:45" ht="13.5" customHeight="1" x14ac:dyDescent="0.2">
      <c r="A50" s="1150" t="s">
        <v>2163</v>
      </c>
      <c r="B50" s="418"/>
      <c r="C50" s="1892">
        <f>+MAR!BV8</f>
        <v>151</v>
      </c>
      <c r="D50" s="418">
        <f>+MAR!BQ8</f>
        <v>126</v>
      </c>
      <c r="E50" s="418"/>
      <c r="F50" s="528">
        <f>C50-D50</f>
        <v>25</v>
      </c>
      <c r="G50" s="354">
        <f>IF(D50=0,0,C50/D50-1)</f>
        <v>0.19841269841269837</v>
      </c>
      <c r="H50" s="418"/>
      <c r="I50" s="1913">
        <v>151.04622014543514</v>
      </c>
      <c r="J50" s="418"/>
      <c r="K50" s="528">
        <f>C50-I50</f>
        <v>-4.6220145435142967E-2</v>
      </c>
      <c r="L50" s="1151">
        <f>IF(I50=0,"NM",C50/I50-1)</f>
        <v>-3.0600001370861829E-4</v>
      </c>
      <c r="M50" s="346"/>
      <c r="N50" s="345"/>
      <c r="O50" s="345"/>
      <c r="P50" s="563"/>
      <c r="Q50" s="564"/>
      <c r="R50" s="345"/>
      <c r="S50" s="345"/>
      <c r="U50" s="346"/>
      <c r="V50" s="345"/>
      <c r="W50" s="345"/>
      <c r="X50" s="345"/>
      <c r="Y50" s="345"/>
      <c r="Z50" s="345"/>
      <c r="AA50" s="345"/>
      <c r="AB50" s="345"/>
      <c r="AC50" s="345"/>
      <c r="AD50" s="345"/>
      <c r="AE50" s="345"/>
      <c r="AF50" s="345"/>
      <c r="AG50" s="345"/>
      <c r="AH50" s="345"/>
      <c r="AI50" s="345"/>
      <c r="AJ50" s="345"/>
      <c r="AK50" s="345"/>
      <c r="AL50" s="345"/>
      <c r="AM50" s="345"/>
      <c r="AN50" s="345"/>
      <c r="AO50" s="345"/>
      <c r="AP50" s="345"/>
      <c r="AQ50" s="345"/>
      <c r="AR50" s="345"/>
      <c r="AS50" s="345"/>
    </row>
    <row r="51" spans="1:45" ht="13.5" customHeight="1" x14ac:dyDescent="0.2">
      <c r="A51" s="1150" t="s">
        <v>126</v>
      </c>
      <c r="B51" s="418"/>
      <c r="C51" s="2069">
        <f>+MAR!BV9</f>
        <v>66</v>
      </c>
      <c r="D51" s="221">
        <f>+MAR!BQ9</f>
        <v>50</v>
      </c>
      <c r="E51" s="1402"/>
      <c r="F51" s="221">
        <f>C51-D51</f>
        <v>16</v>
      </c>
      <c r="G51" s="1135">
        <f>IF(D51=0,0,C51/D51-1)</f>
        <v>0.32000000000000006</v>
      </c>
      <c r="H51" s="1403"/>
      <c r="I51" s="978">
        <v>65.5</v>
      </c>
      <c r="J51" s="1402"/>
      <c r="K51" s="221">
        <f>C51-I51</f>
        <v>0.5</v>
      </c>
      <c r="L51" s="1405">
        <f>IF(I51=0,"NM",C51/I51-1)</f>
        <v>7.6335877862594437E-3</v>
      </c>
      <c r="M51" s="1404"/>
      <c r="N51" s="345"/>
      <c r="O51" s="345"/>
      <c r="U51" s="346"/>
      <c r="V51" s="345"/>
      <c r="W51" s="345"/>
      <c r="X51" s="345"/>
      <c r="Y51" s="345"/>
      <c r="Z51" s="345"/>
      <c r="AA51" s="345"/>
      <c r="AB51" s="345"/>
      <c r="AC51" s="345"/>
      <c r="AD51" s="345"/>
      <c r="AE51" s="345"/>
      <c r="AF51" s="345"/>
      <c r="AG51" s="345"/>
      <c r="AH51" s="345"/>
      <c r="AI51" s="345"/>
      <c r="AJ51" s="345"/>
      <c r="AK51" s="345"/>
      <c r="AL51" s="345"/>
      <c r="AM51" s="345"/>
      <c r="AN51" s="345"/>
      <c r="AO51" s="345"/>
      <c r="AP51" s="345"/>
      <c r="AQ51" s="345"/>
      <c r="AR51" s="345"/>
      <c r="AS51" s="345"/>
    </row>
    <row r="52" spans="1:45" ht="13.5" customHeight="1" x14ac:dyDescent="0.2">
      <c r="A52" s="1152" t="s">
        <v>1735</v>
      </c>
      <c r="B52" s="820"/>
      <c r="C52" s="1905">
        <f>SUM(C49:C51)</f>
        <v>370</v>
      </c>
      <c r="D52" s="1157">
        <f>SUM(D49:D51)</f>
        <v>300</v>
      </c>
      <c r="E52" s="1158"/>
      <c r="F52" s="1159">
        <f>C52-D52</f>
        <v>70</v>
      </c>
      <c r="G52" s="1153">
        <f>IF(D52=0,0,C52/D52-1)</f>
        <v>0.23333333333333339</v>
      </c>
      <c r="H52" s="820"/>
      <c r="I52" s="1914">
        <v>362.61916351106356</v>
      </c>
      <c r="J52" s="1158"/>
      <c r="K52" s="1159">
        <f>C52-I52</f>
        <v>7.3808364889364384</v>
      </c>
      <c r="L52" s="1385">
        <f>IF(I52=0,"NM",C52/I52-1)</f>
        <v>2.0354237259474717E-2</v>
      </c>
      <c r="M52" s="346"/>
      <c r="N52" s="345"/>
      <c r="O52" s="345"/>
      <c r="P52" s="565"/>
      <c r="Q52" s="371"/>
      <c r="R52" s="345"/>
      <c r="S52" s="345"/>
      <c r="T52" s="345"/>
      <c r="U52" s="346"/>
      <c r="V52" s="345"/>
      <c r="W52" s="345"/>
      <c r="X52" s="345"/>
      <c r="Y52" s="345"/>
      <c r="Z52" s="345"/>
      <c r="AA52" s="345"/>
      <c r="AB52" s="345"/>
      <c r="AC52" s="345"/>
      <c r="AD52" s="345"/>
      <c r="AE52" s="345"/>
      <c r="AF52" s="345"/>
      <c r="AG52" s="345"/>
      <c r="AH52" s="345"/>
      <c r="AI52" s="345"/>
      <c r="AJ52" s="345"/>
      <c r="AK52" s="345"/>
      <c r="AL52" s="345"/>
      <c r="AM52" s="345"/>
      <c r="AN52" s="345"/>
      <c r="AO52" s="345"/>
      <c r="AP52" s="345"/>
      <c r="AQ52" s="345"/>
      <c r="AR52" s="345"/>
      <c r="AS52" s="345"/>
    </row>
    <row r="53" spans="1:45" ht="5.25" customHeight="1" x14ac:dyDescent="0.2">
      <c r="A53" s="418"/>
      <c r="B53" s="418"/>
      <c r="C53" s="458"/>
      <c r="D53" s="1165"/>
      <c r="E53" s="458"/>
      <c r="F53" s="532"/>
      <c r="G53" s="482"/>
      <c r="H53" s="418"/>
      <c r="I53" s="1165"/>
      <c r="J53" s="458"/>
      <c r="K53" s="364"/>
      <c r="L53" s="482"/>
      <c r="M53" s="345"/>
      <c r="N53" s="345"/>
      <c r="O53" s="345"/>
      <c r="P53" s="565"/>
      <c r="Q53" s="371"/>
      <c r="R53" s="345"/>
      <c r="S53" s="345"/>
      <c r="T53" s="345"/>
      <c r="U53" s="346"/>
      <c r="V53" s="345"/>
      <c r="W53" s="345"/>
      <c r="X53" s="345"/>
      <c r="Y53" s="345"/>
      <c r="Z53" s="345"/>
      <c r="AA53" s="345"/>
      <c r="AB53" s="345"/>
      <c r="AC53" s="345"/>
      <c r="AD53" s="345"/>
      <c r="AE53" s="345"/>
      <c r="AF53" s="345"/>
      <c r="AG53" s="345"/>
      <c r="AH53" s="345"/>
      <c r="AI53" s="345"/>
      <c r="AJ53" s="345"/>
      <c r="AK53" s="345"/>
      <c r="AL53" s="345"/>
      <c r="AM53" s="345"/>
      <c r="AN53" s="345"/>
      <c r="AO53" s="345"/>
      <c r="AP53" s="345"/>
      <c r="AQ53" s="345"/>
      <c r="AR53" s="345"/>
      <c r="AS53" s="345"/>
    </row>
    <row r="54" spans="1:45" ht="13.5" customHeight="1" x14ac:dyDescent="0.2">
      <c r="A54" s="421"/>
      <c r="B54" s="418"/>
      <c r="C54" s="1165"/>
      <c r="D54" s="1165"/>
      <c r="E54" s="458"/>
      <c r="F54" s="364"/>
      <c r="G54" s="482"/>
      <c r="H54" s="418"/>
      <c r="I54" s="1165"/>
      <c r="J54" s="458"/>
      <c r="K54" s="364"/>
      <c r="L54" s="482"/>
      <c r="M54" s="345"/>
      <c r="N54" s="345"/>
      <c r="O54" s="345"/>
      <c r="P54" s="1293" t="s">
        <v>143</v>
      </c>
      <c r="Q54" s="371"/>
      <c r="R54" s="345"/>
      <c r="S54" s="345"/>
      <c r="T54" s="345"/>
      <c r="U54" s="346"/>
      <c r="V54" s="345"/>
      <c r="W54" s="345"/>
      <c r="X54" s="345"/>
      <c r="Y54" s="345"/>
      <c r="Z54" s="345"/>
      <c r="AA54" s="345"/>
      <c r="AB54" s="345"/>
      <c r="AC54" s="345"/>
      <c r="AD54" s="345"/>
      <c r="AE54" s="345"/>
      <c r="AF54" s="345"/>
      <c r="AG54" s="345"/>
      <c r="AH54" s="345"/>
      <c r="AI54" s="345"/>
      <c r="AJ54" s="345"/>
      <c r="AK54" s="345"/>
      <c r="AL54" s="345"/>
      <c r="AM54" s="345"/>
      <c r="AN54" s="345"/>
      <c r="AO54" s="345"/>
      <c r="AP54" s="345"/>
      <c r="AQ54" s="345"/>
      <c r="AR54" s="345"/>
      <c r="AS54" s="345"/>
    </row>
    <row r="55" spans="1:45" ht="13.5" customHeight="1" x14ac:dyDescent="0.2">
      <c r="A55" s="1146"/>
      <c r="B55" s="418"/>
      <c r="C55" s="418"/>
      <c r="D55" s="418"/>
      <c r="E55" s="418"/>
      <c r="F55" s="418"/>
      <c r="G55" s="462"/>
      <c r="H55" s="418"/>
      <c r="I55" s="418"/>
      <c r="J55" s="418"/>
      <c r="K55" s="418"/>
      <c r="L55" s="478"/>
      <c r="M55" s="345"/>
      <c r="N55" s="345"/>
      <c r="O55" s="345"/>
      <c r="Q55" s="371"/>
      <c r="R55" s="345"/>
      <c r="S55" s="345"/>
      <c r="T55" s="345"/>
      <c r="U55" s="346"/>
      <c r="V55" s="345"/>
      <c r="W55" s="345"/>
      <c r="X55" s="345"/>
      <c r="Y55" s="345"/>
      <c r="Z55" s="345"/>
      <c r="AA55" s="345"/>
      <c r="AB55" s="345"/>
      <c r="AC55" s="345"/>
      <c r="AD55" s="345"/>
      <c r="AE55" s="345"/>
      <c r="AF55" s="345"/>
      <c r="AG55" s="345"/>
      <c r="AH55" s="345"/>
      <c r="AI55" s="345"/>
      <c r="AJ55" s="345"/>
      <c r="AK55" s="345"/>
      <c r="AL55" s="345"/>
      <c r="AM55" s="345"/>
      <c r="AN55" s="345"/>
      <c r="AO55" s="345"/>
      <c r="AP55" s="345"/>
      <c r="AQ55" s="345"/>
      <c r="AR55" s="345"/>
      <c r="AS55" s="345"/>
    </row>
    <row r="56" spans="1:45" ht="13.5" customHeight="1" x14ac:dyDescent="0.2">
      <c r="A56" s="1146"/>
      <c r="B56" s="418"/>
      <c r="C56" s="418"/>
      <c r="D56" s="418"/>
      <c r="E56" s="418"/>
      <c r="F56" s="418"/>
      <c r="G56" s="462"/>
      <c r="H56" s="418"/>
      <c r="I56" s="418"/>
      <c r="J56" s="418"/>
      <c r="K56" s="418"/>
      <c r="L56" s="478"/>
      <c r="M56" s="345"/>
      <c r="N56" s="345"/>
      <c r="O56" s="345"/>
      <c r="P56" s="275" t="s">
        <v>91</v>
      </c>
      <c r="Q56" s="371"/>
      <c r="R56" s="345"/>
      <c r="S56" s="345"/>
      <c r="T56" s="345"/>
      <c r="U56" s="346"/>
      <c r="V56" s="345"/>
      <c r="W56" s="345"/>
      <c r="X56" s="345"/>
      <c r="Y56" s="345"/>
      <c r="Z56" s="345"/>
      <c r="AA56" s="345"/>
      <c r="AB56" s="345"/>
      <c r="AC56" s="345"/>
      <c r="AD56" s="345"/>
      <c r="AE56" s="345"/>
      <c r="AF56" s="345"/>
      <c r="AG56" s="345"/>
      <c r="AH56" s="345"/>
      <c r="AI56" s="345"/>
      <c r="AJ56" s="345"/>
      <c r="AK56" s="345"/>
      <c r="AL56" s="345"/>
      <c r="AM56" s="345"/>
      <c r="AN56" s="345"/>
      <c r="AO56" s="345"/>
      <c r="AP56" s="345"/>
      <c r="AQ56" s="345"/>
      <c r="AR56" s="345"/>
      <c r="AS56" s="345"/>
    </row>
    <row r="57" spans="1:45" ht="6.75" customHeight="1" x14ac:dyDescent="0.2">
      <c r="A57" s="1146"/>
      <c r="B57" s="418"/>
      <c r="C57" s="418"/>
      <c r="D57" s="418"/>
      <c r="E57" s="418"/>
      <c r="F57" s="418"/>
      <c r="G57" s="462"/>
      <c r="H57" s="418"/>
      <c r="I57" s="418"/>
      <c r="J57" s="418"/>
      <c r="K57" s="418"/>
      <c r="L57" s="478"/>
      <c r="M57" s="345"/>
      <c r="N57" s="345"/>
      <c r="O57" s="345"/>
      <c r="P57" s="275"/>
      <c r="Q57" s="371"/>
      <c r="R57" s="345"/>
      <c r="S57" s="345"/>
      <c r="T57" s="345"/>
      <c r="U57" s="346"/>
      <c r="V57" s="345"/>
      <c r="W57" s="345"/>
      <c r="X57" s="345"/>
      <c r="Y57" s="345"/>
      <c r="Z57" s="345"/>
      <c r="AA57" s="345"/>
      <c r="AB57" s="345"/>
      <c r="AC57" s="345"/>
      <c r="AD57" s="345"/>
      <c r="AE57" s="345"/>
      <c r="AF57" s="345"/>
      <c r="AG57" s="345"/>
      <c r="AH57" s="345"/>
      <c r="AI57" s="345"/>
      <c r="AJ57" s="345"/>
      <c r="AK57" s="345"/>
      <c r="AL57" s="345"/>
      <c r="AM57" s="345"/>
      <c r="AN57" s="345"/>
      <c r="AO57" s="345"/>
      <c r="AP57" s="345"/>
      <c r="AQ57" s="345"/>
      <c r="AR57" s="345"/>
      <c r="AS57" s="345"/>
    </row>
    <row r="58" spans="1:45" ht="13.5" customHeight="1" x14ac:dyDescent="0.2">
      <c r="B58" s="418"/>
      <c r="C58" s="418"/>
      <c r="D58" s="418"/>
      <c r="E58" s="418"/>
      <c r="F58" s="418"/>
      <c r="G58" s="462"/>
      <c r="H58" s="418"/>
      <c r="I58" s="418"/>
      <c r="J58" s="418"/>
      <c r="K58" s="418"/>
      <c r="L58" s="478"/>
      <c r="M58" s="345"/>
      <c r="N58" s="345"/>
      <c r="O58" s="345"/>
      <c r="P58" s="1294"/>
      <c r="Q58" s="1296" t="s">
        <v>1782</v>
      </c>
      <c r="R58" s="1143" t="s">
        <v>1938</v>
      </c>
      <c r="S58" s="1143"/>
      <c r="T58" s="1297" t="s">
        <v>231</v>
      </c>
      <c r="U58" s="346"/>
      <c r="V58" s="345"/>
      <c r="W58" s="345"/>
      <c r="X58" s="345"/>
      <c r="Y58" s="345"/>
      <c r="Z58" s="345"/>
      <c r="AA58" s="345"/>
      <c r="AB58" s="345"/>
      <c r="AC58" s="345"/>
      <c r="AD58" s="345"/>
      <c r="AE58" s="345"/>
      <c r="AF58" s="345"/>
      <c r="AG58" s="345"/>
      <c r="AH58" s="345"/>
      <c r="AI58" s="345"/>
      <c r="AJ58" s="345"/>
      <c r="AK58" s="345"/>
      <c r="AL58" s="345"/>
      <c r="AM58" s="345"/>
      <c r="AN58" s="345"/>
      <c r="AO58" s="345"/>
      <c r="AP58" s="345"/>
      <c r="AQ58" s="345"/>
      <c r="AR58" s="345"/>
      <c r="AS58" s="345"/>
    </row>
    <row r="59" spans="1:45" ht="13.5" customHeight="1" x14ac:dyDescent="0.2">
      <c r="A59" s="421"/>
      <c r="B59" s="418"/>
      <c r="C59" s="418"/>
      <c r="D59" s="418"/>
      <c r="E59" s="418"/>
      <c r="F59" s="418"/>
      <c r="G59" s="462"/>
      <c r="H59" s="418"/>
      <c r="I59" s="418"/>
      <c r="J59" s="418"/>
      <c r="K59" s="418"/>
      <c r="L59" s="478"/>
      <c r="M59" s="345"/>
      <c r="N59" s="345"/>
      <c r="O59" s="345"/>
      <c r="Q59" s="8"/>
      <c r="R59" s="8"/>
      <c r="S59" s="8"/>
      <c r="T59" s="1298"/>
      <c r="U59" s="346"/>
      <c r="V59" s="345"/>
      <c r="W59" s="345"/>
      <c r="X59" s="345"/>
      <c r="Y59" s="345"/>
      <c r="Z59" s="345"/>
      <c r="AA59" s="345"/>
      <c r="AB59" s="345"/>
      <c r="AC59" s="345"/>
      <c r="AD59" s="345"/>
      <c r="AE59" s="345"/>
      <c r="AF59" s="345"/>
      <c r="AG59" s="345"/>
      <c r="AH59" s="345"/>
      <c r="AI59" s="345"/>
      <c r="AJ59" s="345"/>
      <c r="AK59" s="345"/>
      <c r="AL59" s="345"/>
      <c r="AM59" s="345"/>
      <c r="AN59" s="345"/>
      <c r="AO59" s="345"/>
      <c r="AP59" s="345"/>
      <c r="AQ59" s="345"/>
      <c r="AR59" s="345"/>
      <c r="AS59" s="345"/>
    </row>
    <row r="60" spans="1:45" ht="13.5" customHeight="1" x14ac:dyDescent="0.2">
      <c r="A60" s="421"/>
      <c r="B60" s="418"/>
      <c r="C60" s="418"/>
      <c r="D60" s="418"/>
      <c r="E60" s="418"/>
      <c r="F60" s="418"/>
      <c r="G60" s="462"/>
      <c r="H60" s="418"/>
      <c r="I60" s="418"/>
      <c r="J60" s="418"/>
      <c r="K60" s="418"/>
      <c r="L60" s="478"/>
      <c r="M60" s="345"/>
      <c r="N60" s="345"/>
      <c r="O60" s="345"/>
      <c r="P60" s="369" t="s">
        <v>338</v>
      </c>
      <c r="Q60" s="1303" t="s">
        <v>144</v>
      </c>
      <c r="R60" s="1308"/>
      <c r="S60" s="1307"/>
      <c r="T60" s="1915">
        <f>R60-0.4</f>
        <v>-0.4</v>
      </c>
      <c r="U60" s="346"/>
      <c r="V60" s="345"/>
      <c r="W60" s="345"/>
      <c r="X60" s="345"/>
      <c r="Y60" s="345"/>
      <c r="Z60" s="345"/>
      <c r="AA60" s="345"/>
      <c r="AB60" s="345"/>
      <c r="AC60" s="345"/>
      <c r="AD60" s="345"/>
      <c r="AE60" s="345"/>
      <c r="AF60" s="345"/>
      <c r="AG60" s="345"/>
      <c r="AH60" s="345"/>
      <c r="AI60" s="345"/>
      <c r="AJ60" s="345"/>
      <c r="AK60" s="345"/>
      <c r="AL60" s="345"/>
      <c r="AM60" s="345"/>
      <c r="AN60" s="345"/>
      <c r="AO60" s="345"/>
      <c r="AP60" s="345"/>
      <c r="AQ60" s="345"/>
      <c r="AR60" s="345"/>
      <c r="AS60" s="345"/>
    </row>
    <row r="61" spans="1:45" ht="13.5" customHeight="1" x14ac:dyDescent="0.2">
      <c r="A61" s="421"/>
      <c r="B61" s="418"/>
      <c r="C61" s="418"/>
      <c r="D61" s="418"/>
      <c r="E61" s="418"/>
      <c r="F61" s="418"/>
      <c r="G61" s="462"/>
      <c r="H61" s="418"/>
      <c r="I61" s="418"/>
      <c r="J61" s="418"/>
      <c r="K61" s="418"/>
      <c r="L61" s="478"/>
      <c r="M61" s="345"/>
      <c r="N61" s="345"/>
      <c r="O61" s="345"/>
      <c r="Q61" s="2071"/>
      <c r="R61" s="8"/>
      <c r="S61" s="8"/>
      <c r="T61" s="1298"/>
      <c r="U61" s="346"/>
      <c r="V61" s="363"/>
      <c r="W61" s="345"/>
      <c r="X61" s="345"/>
      <c r="Y61" s="345"/>
      <c r="Z61" s="345"/>
      <c r="AA61" s="345"/>
      <c r="AB61" s="345"/>
      <c r="AC61" s="345"/>
      <c r="AD61" s="345"/>
      <c r="AE61" s="345"/>
      <c r="AF61" s="345"/>
      <c r="AG61" s="345"/>
      <c r="AH61" s="345"/>
      <c r="AI61" s="345"/>
      <c r="AJ61" s="345"/>
      <c r="AK61" s="345"/>
      <c r="AL61" s="345"/>
      <c r="AM61" s="345"/>
      <c r="AN61" s="345"/>
      <c r="AO61" s="345"/>
      <c r="AP61" s="345"/>
      <c r="AQ61" s="345"/>
      <c r="AR61" s="345"/>
      <c r="AS61" s="345"/>
    </row>
    <row r="62" spans="1:45" ht="13.5" customHeight="1" x14ac:dyDescent="0.2">
      <c r="A62" s="421"/>
      <c r="B62" s="418"/>
      <c r="C62" s="418"/>
      <c r="D62" s="418"/>
      <c r="E62" s="418"/>
      <c r="F62" s="418"/>
      <c r="G62" s="462"/>
      <c r="H62" s="418"/>
      <c r="I62" s="418"/>
      <c r="J62" s="418"/>
      <c r="K62" s="418"/>
      <c r="L62" s="478"/>
      <c r="M62" s="345"/>
      <c r="N62" s="345"/>
      <c r="O62" s="345"/>
      <c r="P62" s="563" t="s">
        <v>137</v>
      </c>
      <c r="Q62" s="2072"/>
      <c r="R62" s="1300"/>
      <c r="S62" s="1300"/>
      <c r="T62" s="1298"/>
      <c r="U62" s="346"/>
      <c r="V62" s="345"/>
      <c r="W62" s="345"/>
      <c r="X62" s="345"/>
      <c r="Y62" s="345"/>
      <c r="Z62" s="345"/>
      <c r="AA62" s="345"/>
      <c r="AB62" s="345"/>
      <c r="AC62" s="345"/>
      <c r="AD62" s="345"/>
      <c r="AE62" s="345"/>
      <c r="AF62" s="345"/>
      <c r="AG62" s="345"/>
      <c r="AH62" s="345"/>
      <c r="AI62" s="345"/>
      <c r="AJ62" s="345"/>
      <c r="AK62" s="345"/>
      <c r="AL62" s="345"/>
      <c r="AM62" s="345"/>
      <c r="AN62" s="345"/>
      <c r="AO62" s="345"/>
      <c r="AP62" s="345"/>
      <c r="AQ62" s="345"/>
      <c r="AR62" s="345"/>
      <c r="AS62" s="345"/>
    </row>
    <row r="63" spans="1:45" ht="13.5" customHeight="1" x14ac:dyDescent="0.2">
      <c r="A63" s="421"/>
      <c r="B63" s="418"/>
      <c r="C63" s="418"/>
      <c r="D63" s="418"/>
      <c r="E63" s="418"/>
      <c r="F63" s="418"/>
      <c r="G63" s="462"/>
      <c r="H63" s="418"/>
      <c r="I63" s="418"/>
      <c r="J63" s="418"/>
      <c r="K63" s="418"/>
      <c r="L63" s="478"/>
      <c r="M63" s="345"/>
      <c r="N63" s="345"/>
      <c r="O63" s="345"/>
      <c r="P63" s="213" t="s">
        <v>1143</v>
      </c>
      <c r="Q63" s="1301" t="s">
        <v>953</v>
      </c>
      <c r="R63" s="1302"/>
      <c r="S63" s="1302"/>
      <c r="T63" s="1408">
        <f>R63-0.045</f>
        <v>-4.4999999999999998E-2</v>
      </c>
      <c r="U63" s="346"/>
      <c r="V63" s="345"/>
      <c r="W63" s="345"/>
      <c r="X63" s="345"/>
      <c r="Y63" s="345"/>
      <c r="Z63" s="345"/>
      <c r="AA63" s="345"/>
      <c r="AB63" s="345"/>
      <c r="AC63" s="345"/>
      <c r="AD63" s="345"/>
      <c r="AE63" s="345"/>
      <c r="AF63" s="345"/>
      <c r="AG63" s="345"/>
      <c r="AH63" s="345"/>
      <c r="AI63" s="345"/>
      <c r="AJ63" s="345"/>
      <c r="AK63" s="345"/>
      <c r="AL63" s="345"/>
      <c r="AM63" s="345"/>
      <c r="AN63" s="345"/>
      <c r="AO63" s="345"/>
      <c r="AP63" s="345"/>
      <c r="AQ63" s="345"/>
      <c r="AR63" s="345"/>
      <c r="AS63" s="345"/>
    </row>
    <row r="64" spans="1:45" ht="13.5" customHeight="1" x14ac:dyDescent="0.2">
      <c r="A64" s="421"/>
      <c r="B64" s="418"/>
      <c r="C64" s="418"/>
      <c r="D64" s="418"/>
      <c r="E64" s="418"/>
      <c r="F64" s="418"/>
      <c r="G64" s="462"/>
      <c r="H64" s="418"/>
      <c r="I64" s="418"/>
      <c r="J64" s="418"/>
      <c r="K64" s="418"/>
      <c r="L64" s="478"/>
      <c r="M64" s="345"/>
      <c r="N64" s="345"/>
      <c r="O64" s="345"/>
      <c r="P64" s="369" t="s">
        <v>1309</v>
      </c>
      <c r="Q64" s="1301" t="s">
        <v>957</v>
      </c>
      <c r="R64" s="1301"/>
      <c r="S64" s="1302"/>
      <c r="T64" s="1408">
        <f>R64-0.055</f>
        <v>-5.5E-2</v>
      </c>
      <c r="U64" s="346"/>
      <c r="V64" s="345"/>
      <c r="W64" s="345"/>
      <c r="X64" s="345"/>
      <c r="Y64" s="345"/>
      <c r="Z64" s="345"/>
      <c r="AA64" s="345"/>
      <c r="AB64" s="345"/>
      <c r="AC64" s="345"/>
      <c r="AD64" s="345"/>
      <c r="AE64" s="345"/>
      <c r="AF64" s="345"/>
      <c r="AG64" s="345"/>
      <c r="AH64" s="345"/>
      <c r="AI64" s="345"/>
      <c r="AJ64" s="345"/>
      <c r="AK64" s="345"/>
      <c r="AL64" s="345"/>
      <c r="AM64" s="345"/>
      <c r="AN64" s="345"/>
      <c r="AO64" s="345"/>
      <c r="AP64" s="345"/>
      <c r="AQ64" s="345"/>
      <c r="AR64" s="345"/>
      <c r="AS64" s="345"/>
    </row>
    <row r="65" spans="1:45" ht="13.5" customHeight="1" x14ac:dyDescent="0.2">
      <c r="A65" s="418"/>
      <c r="B65" s="418"/>
      <c r="C65" s="418"/>
      <c r="D65" s="418"/>
      <c r="E65" s="418"/>
      <c r="F65" s="418"/>
      <c r="G65" s="462"/>
      <c r="H65" s="418"/>
      <c r="I65" s="418"/>
      <c r="J65" s="418"/>
      <c r="K65" s="418"/>
      <c r="L65" s="478"/>
      <c r="M65" s="345"/>
      <c r="N65" s="345"/>
      <c r="O65" s="345"/>
      <c r="P65" s="369" t="s">
        <v>2036</v>
      </c>
      <c r="Q65" s="1301" t="s">
        <v>1127</v>
      </c>
      <c r="R65" s="1302"/>
      <c r="S65" s="1302"/>
      <c r="T65" s="1408">
        <f>R65-0.03</f>
        <v>-0.03</v>
      </c>
      <c r="U65" s="346"/>
      <c r="V65" s="345"/>
      <c r="W65" s="345"/>
      <c r="X65" s="345"/>
      <c r="Y65" s="345"/>
      <c r="Z65" s="345"/>
      <c r="AA65" s="345"/>
      <c r="AB65" s="345"/>
      <c r="AC65" s="345"/>
      <c r="AD65" s="345"/>
      <c r="AE65" s="345"/>
      <c r="AF65" s="345"/>
      <c r="AG65" s="345"/>
      <c r="AH65" s="345"/>
      <c r="AI65" s="345"/>
      <c r="AJ65" s="345"/>
      <c r="AK65" s="345"/>
      <c r="AL65" s="345"/>
      <c r="AM65" s="345"/>
      <c r="AN65" s="345"/>
      <c r="AO65" s="345"/>
      <c r="AP65" s="345"/>
      <c r="AQ65" s="345"/>
      <c r="AR65" s="345"/>
      <c r="AS65" s="345"/>
    </row>
    <row r="66" spans="1:45" ht="13.5" customHeight="1" x14ac:dyDescent="0.2">
      <c r="A66" s="418"/>
      <c r="B66" s="418"/>
      <c r="C66" s="418"/>
      <c r="D66" s="418"/>
      <c r="E66" s="418"/>
      <c r="F66" s="418"/>
      <c r="G66" s="462"/>
      <c r="H66" s="418"/>
      <c r="I66" s="418"/>
      <c r="J66" s="418"/>
      <c r="K66" s="418"/>
      <c r="L66" s="478"/>
      <c r="M66" s="345"/>
      <c r="N66" s="345"/>
      <c r="O66" s="345"/>
      <c r="P66" s="392"/>
      <c r="Q66" s="2073"/>
      <c r="R66" s="1300"/>
      <c r="S66" s="1300"/>
      <c r="T66" s="1298"/>
      <c r="U66" s="346"/>
      <c r="V66" s="345"/>
      <c r="W66" s="345"/>
      <c r="X66" s="345"/>
      <c r="Y66" s="345"/>
      <c r="Z66" s="345"/>
      <c r="AA66" s="345"/>
      <c r="AB66" s="345"/>
      <c r="AC66" s="345"/>
      <c r="AD66" s="345"/>
      <c r="AE66" s="345"/>
      <c r="AF66" s="345"/>
      <c r="AG66" s="345"/>
      <c r="AH66" s="345"/>
      <c r="AI66" s="345"/>
      <c r="AJ66" s="345"/>
      <c r="AK66" s="345"/>
      <c r="AL66" s="345"/>
      <c r="AM66" s="345"/>
      <c r="AN66" s="345"/>
      <c r="AO66" s="345"/>
      <c r="AP66" s="345"/>
      <c r="AQ66" s="345"/>
      <c r="AR66" s="345"/>
      <c r="AS66" s="345"/>
    </row>
    <row r="67" spans="1:45" ht="13.5" customHeight="1" x14ac:dyDescent="0.2">
      <c r="A67" s="418"/>
      <c r="B67" s="418"/>
      <c r="C67" s="418"/>
      <c r="D67" s="418"/>
      <c r="E67" s="418"/>
      <c r="F67" s="418"/>
      <c r="G67" s="462"/>
      <c r="H67" s="418"/>
      <c r="I67" s="418"/>
      <c r="J67" s="418"/>
      <c r="K67" s="418"/>
      <c r="L67" s="478"/>
      <c r="M67" s="345"/>
      <c r="N67" s="345"/>
      <c r="O67" s="345"/>
      <c r="P67" s="1295" t="s">
        <v>125</v>
      </c>
      <c r="Q67" s="2073"/>
      <c r="R67" s="1300"/>
      <c r="S67" s="1300"/>
      <c r="T67" s="1298"/>
      <c r="U67" s="346"/>
      <c r="V67" s="345"/>
      <c r="W67" s="345"/>
      <c r="X67" s="345"/>
      <c r="Y67" s="345"/>
      <c r="Z67" s="345"/>
      <c r="AA67" s="345"/>
      <c r="AB67" s="345"/>
      <c r="AC67" s="345"/>
      <c r="AD67" s="345"/>
      <c r="AE67" s="345"/>
      <c r="AF67" s="345"/>
      <c r="AG67" s="345"/>
      <c r="AH67" s="345"/>
      <c r="AI67" s="345"/>
      <c r="AJ67" s="345"/>
      <c r="AK67" s="345"/>
      <c r="AL67" s="345"/>
      <c r="AM67" s="345"/>
      <c r="AN67" s="345"/>
      <c r="AO67" s="345"/>
      <c r="AP67" s="345"/>
      <c r="AQ67" s="345"/>
      <c r="AR67" s="345"/>
      <c r="AS67" s="345"/>
    </row>
    <row r="68" spans="1:45" ht="13.5" customHeight="1" x14ac:dyDescent="0.2">
      <c r="A68" s="418"/>
      <c r="B68" s="418"/>
      <c r="C68" s="418"/>
      <c r="D68" s="418"/>
      <c r="E68" s="418"/>
      <c r="F68" s="418"/>
      <c r="G68" s="462"/>
      <c r="H68" s="418"/>
      <c r="I68" s="418"/>
      <c r="J68" s="418"/>
      <c r="K68" s="418"/>
      <c r="L68" s="478"/>
      <c r="M68" s="345"/>
      <c r="N68" s="345"/>
      <c r="O68" s="345"/>
      <c r="P68" s="213" t="s">
        <v>139</v>
      </c>
      <c r="Q68" s="1304" t="s">
        <v>1760</v>
      </c>
      <c r="R68" s="1421"/>
      <c r="S68" s="1303"/>
      <c r="T68" s="1409">
        <f>R68-363</f>
        <v>-363</v>
      </c>
      <c r="U68" s="346"/>
      <c r="V68" s="345"/>
      <c r="W68" s="345"/>
      <c r="X68" s="345"/>
      <c r="Y68" s="345"/>
      <c r="Z68" s="345"/>
      <c r="AA68" s="345"/>
      <c r="AB68" s="345"/>
      <c r="AC68" s="345"/>
      <c r="AD68" s="345"/>
      <c r="AE68" s="345"/>
      <c r="AF68" s="345"/>
      <c r="AG68" s="345"/>
      <c r="AH68" s="345"/>
      <c r="AI68" s="345"/>
      <c r="AJ68" s="345"/>
      <c r="AK68" s="345"/>
      <c r="AL68" s="345"/>
      <c r="AM68" s="345"/>
      <c r="AN68" s="345"/>
      <c r="AO68" s="345"/>
      <c r="AP68" s="345"/>
      <c r="AQ68" s="345"/>
      <c r="AR68" s="345"/>
      <c r="AS68" s="345"/>
    </row>
    <row r="69" spans="1:45" ht="13.5" customHeight="1" x14ac:dyDescent="0.2">
      <c r="A69" s="418"/>
      <c r="B69" s="418"/>
      <c r="C69" s="418"/>
      <c r="D69" s="418"/>
      <c r="E69" s="418"/>
      <c r="F69" s="418"/>
      <c r="G69" s="462"/>
      <c r="H69" s="418"/>
      <c r="I69" s="418"/>
      <c r="J69" s="418"/>
      <c r="K69" s="418"/>
      <c r="L69" s="478"/>
      <c r="M69" s="345"/>
      <c r="N69" s="345"/>
      <c r="O69" s="345"/>
      <c r="P69" s="369" t="s">
        <v>138</v>
      </c>
      <c r="Q69" s="1303" t="s">
        <v>2168</v>
      </c>
      <c r="R69" s="1389"/>
      <c r="S69" s="1305"/>
      <c r="T69" s="1298">
        <f>R69-27.5</f>
        <v>-27.5</v>
      </c>
      <c r="U69" s="346"/>
      <c r="V69" s="1166"/>
      <c r="W69" s="345"/>
      <c r="X69" s="345"/>
      <c r="Y69" s="345"/>
      <c r="Z69" s="345"/>
      <c r="AA69" s="345"/>
      <c r="AB69" s="345"/>
      <c r="AC69" s="345"/>
      <c r="AD69" s="345"/>
      <c r="AE69" s="345"/>
      <c r="AF69" s="345"/>
      <c r="AG69" s="345"/>
      <c r="AH69" s="345"/>
      <c r="AI69" s="345"/>
      <c r="AJ69" s="345"/>
      <c r="AK69" s="345"/>
      <c r="AL69" s="345"/>
      <c r="AM69" s="345"/>
      <c r="AN69" s="345"/>
      <c r="AO69" s="345"/>
      <c r="AP69" s="345"/>
      <c r="AQ69" s="345"/>
      <c r="AR69" s="345"/>
      <c r="AS69" s="345"/>
    </row>
    <row r="70" spans="1:45" ht="13.5" customHeight="1" x14ac:dyDescent="0.2">
      <c r="A70" s="418"/>
      <c r="B70" s="418"/>
      <c r="C70" s="418"/>
      <c r="D70" s="418"/>
      <c r="E70" s="418"/>
      <c r="F70" s="418"/>
      <c r="G70" s="462"/>
      <c r="H70" s="418"/>
      <c r="I70" s="418"/>
      <c r="J70" s="418"/>
      <c r="K70" s="418"/>
      <c r="L70" s="478"/>
      <c r="M70" s="345"/>
      <c r="N70" s="345"/>
      <c r="O70" s="345"/>
      <c r="Q70" s="783"/>
      <c r="S70" s="1300"/>
      <c r="T70" s="1298"/>
      <c r="U70" s="346"/>
      <c r="V70" s="345"/>
      <c r="W70" s="345"/>
      <c r="X70" s="345"/>
      <c r="Y70" s="345"/>
      <c r="Z70" s="345"/>
      <c r="AA70" s="345"/>
      <c r="AB70" s="345"/>
      <c r="AC70" s="345"/>
      <c r="AD70" s="345"/>
      <c r="AE70" s="345"/>
      <c r="AF70" s="345"/>
      <c r="AG70" s="345"/>
      <c r="AH70" s="345"/>
      <c r="AI70" s="345"/>
      <c r="AJ70" s="345"/>
      <c r="AK70" s="345"/>
      <c r="AL70" s="345"/>
      <c r="AM70" s="345"/>
      <c r="AN70" s="345"/>
      <c r="AO70" s="311">
        <f>79/222</f>
        <v>0.35585585585585583</v>
      </c>
      <c r="AP70" s="345"/>
      <c r="AQ70" s="345"/>
      <c r="AR70" s="345"/>
      <c r="AS70" s="345"/>
    </row>
    <row r="71" spans="1:45" ht="13.5" customHeight="1" x14ac:dyDescent="0.2">
      <c r="A71" s="418"/>
      <c r="B71" s="418"/>
      <c r="C71" s="418"/>
      <c r="D71" s="418"/>
      <c r="E71" s="418"/>
      <c r="F71" s="418"/>
      <c r="G71" s="462"/>
      <c r="H71" s="418"/>
      <c r="I71" s="418"/>
      <c r="J71" s="418"/>
      <c r="K71" s="418"/>
      <c r="L71" s="478"/>
      <c r="M71" s="345"/>
      <c r="N71" s="345"/>
      <c r="O71" s="345"/>
      <c r="P71" s="1295" t="s">
        <v>1931</v>
      </c>
      <c r="Q71" s="2070"/>
      <c r="R71" s="1300"/>
      <c r="S71" s="1300"/>
      <c r="T71" s="1298"/>
      <c r="U71" s="346"/>
      <c r="V71" s="345"/>
      <c r="W71" s="345"/>
      <c r="X71" s="345"/>
      <c r="Y71" s="345"/>
      <c r="Z71" s="345"/>
      <c r="AA71" s="345"/>
      <c r="AB71" s="345"/>
      <c r="AC71" s="345"/>
      <c r="AD71" s="345"/>
      <c r="AE71" s="345"/>
      <c r="AF71" s="345"/>
      <c r="AG71" s="345"/>
      <c r="AH71" s="345"/>
      <c r="AI71" s="345"/>
      <c r="AJ71" s="345"/>
      <c r="AK71" s="345"/>
      <c r="AL71" s="345"/>
      <c r="AM71" s="345"/>
      <c r="AN71" s="345"/>
      <c r="AP71" s="345"/>
      <c r="AQ71" s="345"/>
      <c r="AR71" s="345"/>
      <c r="AS71" s="345"/>
    </row>
    <row r="72" spans="1:45" ht="13.5" customHeight="1" x14ac:dyDescent="0.2">
      <c r="A72" s="418"/>
      <c r="B72" s="418"/>
      <c r="C72" s="418"/>
      <c r="D72" s="418"/>
      <c r="E72" s="418"/>
      <c r="F72" s="418"/>
      <c r="G72" s="462"/>
      <c r="H72" s="418"/>
      <c r="I72" s="418"/>
      <c r="J72" s="418"/>
      <c r="K72" s="418"/>
      <c r="L72" s="478"/>
      <c r="M72" s="345"/>
      <c r="N72" s="345"/>
      <c r="O72" s="345"/>
      <c r="P72" s="369" t="s">
        <v>140</v>
      </c>
      <c r="Q72" s="1305" t="s">
        <v>145</v>
      </c>
      <c r="R72" s="1407"/>
      <c r="S72" s="1300"/>
      <c r="T72" s="1409">
        <f>R72-172.5</f>
        <v>-172.5</v>
      </c>
      <c r="U72" s="346"/>
      <c r="V72" s="1767"/>
      <c r="W72" s="345"/>
      <c r="X72" s="345"/>
      <c r="Y72" s="345"/>
      <c r="Z72" s="345"/>
      <c r="AA72" s="345"/>
      <c r="AB72" s="345"/>
      <c r="AC72" s="345"/>
      <c r="AD72" s="345"/>
      <c r="AE72" s="345"/>
      <c r="AF72" s="345"/>
      <c r="AG72" s="345"/>
      <c r="AH72" s="345"/>
      <c r="AI72" s="345"/>
      <c r="AJ72" s="345"/>
      <c r="AK72" s="345"/>
      <c r="AL72" s="345"/>
      <c r="AM72" s="345"/>
      <c r="AN72" s="345"/>
      <c r="AO72" s="345"/>
      <c r="AP72" s="345"/>
      <c r="AQ72" s="345"/>
      <c r="AR72" s="345"/>
      <c r="AS72" s="345"/>
    </row>
    <row r="73" spans="1:45" ht="13.5" customHeight="1" x14ac:dyDescent="0.2">
      <c r="A73" s="418"/>
      <c r="B73" s="418"/>
      <c r="C73" s="418"/>
      <c r="D73" s="418"/>
      <c r="E73" s="418"/>
      <c r="F73" s="418"/>
      <c r="G73" s="462"/>
      <c r="H73" s="418"/>
      <c r="I73" s="418"/>
      <c r="J73" s="418"/>
      <c r="K73" s="418"/>
      <c r="L73" s="478"/>
      <c r="M73" s="345"/>
      <c r="N73" s="345"/>
      <c r="O73" s="345"/>
      <c r="P73" s="213" t="s">
        <v>141</v>
      </c>
      <c r="Q73" s="1304" t="s">
        <v>146</v>
      </c>
      <c r="R73" s="1300"/>
      <c r="S73" s="1300"/>
      <c r="T73" s="1298">
        <f>R73-218</f>
        <v>-218</v>
      </c>
      <c r="U73" s="346"/>
      <c r="V73" s="345"/>
      <c r="W73" s="345"/>
      <c r="X73" s="345"/>
      <c r="Y73" s="345"/>
      <c r="Z73" s="345"/>
      <c r="AA73" s="345"/>
      <c r="AB73" s="345"/>
      <c r="AC73" s="345"/>
      <c r="AD73" s="345"/>
      <c r="AE73" s="345"/>
      <c r="AF73" s="345"/>
      <c r="AG73" s="345"/>
      <c r="AH73" s="345"/>
      <c r="AI73" s="345"/>
      <c r="AJ73" s="345"/>
      <c r="AK73" s="345"/>
      <c r="AL73" s="345"/>
      <c r="AM73" s="345"/>
      <c r="AN73" s="345"/>
      <c r="AO73" s="345"/>
      <c r="AP73" s="345"/>
      <c r="AQ73" s="345"/>
      <c r="AR73" s="345"/>
      <c r="AS73" s="345"/>
    </row>
    <row r="74" spans="1:45" ht="13.5" customHeight="1" x14ac:dyDescent="0.2">
      <c r="A74" s="418"/>
      <c r="B74" s="418"/>
      <c r="C74" s="418"/>
      <c r="D74" s="418"/>
      <c r="E74" s="418"/>
      <c r="F74" s="418"/>
      <c r="G74" s="462"/>
      <c r="H74" s="418"/>
      <c r="I74" s="418"/>
      <c r="J74" s="418"/>
      <c r="K74" s="418"/>
      <c r="L74" s="478"/>
      <c r="M74" s="345"/>
      <c r="N74" s="345"/>
      <c r="O74" s="345"/>
      <c r="P74" s="213" t="s">
        <v>89</v>
      </c>
      <c r="Q74" s="1303">
        <v>30</v>
      </c>
      <c r="R74" s="1300"/>
      <c r="S74" s="1300"/>
      <c r="T74" s="1298">
        <f>-(R74-Q74)</f>
        <v>30</v>
      </c>
      <c r="U74" s="346"/>
      <c r="V74" s="345"/>
      <c r="W74" s="345"/>
      <c r="X74" s="345"/>
      <c r="Y74" s="345"/>
      <c r="Z74" s="345"/>
      <c r="AA74" s="345"/>
      <c r="AB74" s="345"/>
      <c r="AC74" s="345"/>
      <c r="AD74" s="345"/>
      <c r="AE74" s="345"/>
      <c r="AF74" s="345"/>
      <c r="AG74" s="345"/>
      <c r="AH74" s="345"/>
      <c r="AI74" s="345"/>
      <c r="AJ74" s="345"/>
      <c r="AK74" s="345"/>
      <c r="AL74" s="345"/>
      <c r="AM74" s="345"/>
      <c r="AN74" s="345"/>
      <c r="AO74" s="345"/>
      <c r="AP74" s="345"/>
      <c r="AQ74" s="345"/>
      <c r="AR74" s="345"/>
      <c r="AS74" s="345"/>
    </row>
    <row r="75" spans="1:45" ht="13.5" customHeight="1" x14ac:dyDescent="0.2">
      <c r="A75" s="421"/>
      <c r="B75" s="418"/>
      <c r="C75" s="424"/>
      <c r="D75" s="424"/>
      <c r="E75" s="424"/>
      <c r="F75" s="424"/>
      <c r="G75" s="457"/>
      <c r="H75" s="477"/>
      <c r="I75" s="424"/>
      <c r="J75" s="424"/>
      <c r="K75" s="424"/>
      <c r="L75" s="465"/>
      <c r="M75" s="345"/>
      <c r="N75" s="345"/>
      <c r="O75" s="345"/>
      <c r="P75" s="213" t="s">
        <v>1294</v>
      </c>
      <c r="Q75" s="1303">
        <v>0</v>
      </c>
      <c r="R75" s="1300"/>
      <c r="S75" s="1300"/>
      <c r="T75" s="1298">
        <f>R75-Q75</f>
        <v>0</v>
      </c>
      <c r="U75" s="346"/>
      <c r="V75" s="345"/>
      <c r="W75" s="345"/>
      <c r="X75" s="345"/>
      <c r="Y75" s="345"/>
      <c r="Z75" s="345"/>
      <c r="AA75" s="345"/>
      <c r="AB75" s="345"/>
      <c r="AC75" s="345"/>
      <c r="AD75" s="345"/>
      <c r="AE75" s="345"/>
      <c r="AF75" s="345"/>
      <c r="AG75" s="345"/>
      <c r="AH75" s="345"/>
      <c r="AI75" s="345"/>
      <c r="AJ75" s="345"/>
      <c r="AK75" s="345"/>
      <c r="AL75" s="345"/>
      <c r="AM75" s="345"/>
      <c r="AN75" s="345"/>
      <c r="AO75" s="345"/>
      <c r="AP75" s="345"/>
      <c r="AQ75" s="345"/>
      <c r="AR75" s="345"/>
      <c r="AS75" s="345"/>
    </row>
    <row r="76" spans="1:45" ht="5.25" customHeight="1" x14ac:dyDescent="0.2">
      <c r="A76" s="418"/>
      <c r="B76" s="418"/>
      <c r="C76" s="418"/>
      <c r="D76" s="418"/>
      <c r="E76" s="418"/>
      <c r="F76" s="418"/>
      <c r="G76" s="462"/>
      <c r="H76" s="418"/>
      <c r="I76" s="418"/>
      <c r="J76" s="418"/>
      <c r="K76" s="418"/>
      <c r="L76" s="478"/>
      <c r="M76" s="345"/>
      <c r="N76" s="345"/>
      <c r="O76" s="345"/>
      <c r="T76" s="1306"/>
      <c r="U76" s="346"/>
      <c r="V76" s="345"/>
      <c r="W76" s="345"/>
      <c r="X76" s="345"/>
      <c r="Y76" s="345"/>
      <c r="Z76" s="345"/>
      <c r="AA76" s="345"/>
      <c r="AB76" s="345"/>
      <c r="AC76" s="345"/>
      <c r="AD76" s="345"/>
      <c r="AE76" s="345"/>
      <c r="AF76" s="345"/>
      <c r="AG76" s="345"/>
      <c r="AH76" s="345"/>
      <c r="AI76" s="345"/>
      <c r="AJ76" s="345"/>
      <c r="AK76" s="345"/>
      <c r="AL76" s="345"/>
      <c r="AM76" s="345"/>
      <c r="AN76" s="345"/>
      <c r="AO76" s="345"/>
      <c r="AP76" s="345"/>
      <c r="AQ76" s="345"/>
      <c r="AR76" s="345"/>
      <c r="AS76" s="345"/>
    </row>
    <row r="77" spans="1:45" ht="6.75" customHeight="1" x14ac:dyDescent="0.2">
      <c r="A77" s="418"/>
      <c r="B77" s="418"/>
      <c r="C77" s="459"/>
      <c r="D77" s="459"/>
      <c r="E77" s="459"/>
      <c r="F77" s="418"/>
      <c r="G77" s="467"/>
      <c r="H77" s="418"/>
      <c r="I77" s="470"/>
      <c r="J77" s="459"/>
      <c r="K77" s="418"/>
      <c r="L77" s="467"/>
      <c r="M77" s="418"/>
      <c r="N77" s="418"/>
      <c r="O77" s="418"/>
      <c r="P77" s="418"/>
      <c r="Q77" s="418"/>
      <c r="R77" s="418"/>
      <c r="S77" s="418"/>
      <c r="T77" s="418"/>
      <c r="U77" s="418"/>
      <c r="V77" s="418"/>
      <c r="W77" s="418"/>
      <c r="X77" s="418"/>
      <c r="Y77" s="418"/>
      <c r="Z77" s="418"/>
      <c r="AA77" s="418"/>
      <c r="AB77" s="418"/>
      <c r="AC77" s="418"/>
      <c r="AD77" s="418"/>
      <c r="AE77" s="418"/>
      <c r="AF77" s="418"/>
      <c r="AG77" s="418"/>
      <c r="AH77" s="418"/>
      <c r="AI77" s="418"/>
      <c r="AJ77" s="418"/>
      <c r="AK77" s="418"/>
      <c r="AL77" s="418"/>
      <c r="AM77" s="418"/>
      <c r="AN77" s="418"/>
      <c r="AO77" s="418"/>
      <c r="AP77" s="418"/>
      <c r="AQ77" s="418"/>
      <c r="AR77" s="418"/>
      <c r="AS77" s="418"/>
    </row>
    <row r="78" spans="1:45" s="70" customFormat="1" ht="13.5" customHeight="1" x14ac:dyDescent="0.2">
      <c r="A78" s="418"/>
      <c r="B78" s="418"/>
      <c r="C78" s="460"/>
      <c r="D78" s="460"/>
      <c r="E78" s="423"/>
      <c r="F78" s="460"/>
      <c r="G78" s="467"/>
      <c r="H78" s="418"/>
      <c r="I78" s="471"/>
      <c r="J78" s="460"/>
      <c r="K78" s="423"/>
      <c r="L78" s="469"/>
      <c r="M78" s="418"/>
      <c r="N78" s="418"/>
      <c r="O78" s="418"/>
      <c r="P78" s="418"/>
      <c r="Q78" s="418"/>
      <c r="R78" s="418"/>
      <c r="S78" s="418"/>
      <c r="T78" s="418"/>
      <c r="U78" s="418"/>
      <c r="V78" s="248" t="s">
        <v>92</v>
      </c>
    </row>
    <row r="79" spans="1:45" s="70" customFormat="1" ht="13.5" customHeight="1" x14ac:dyDescent="0.2">
      <c r="A79" s="418"/>
      <c r="B79" s="418"/>
      <c r="C79" s="460"/>
      <c r="D79" s="460"/>
      <c r="E79" s="423"/>
      <c r="F79" s="460"/>
      <c r="G79" s="467"/>
      <c r="H79" s="418"/>
      <c r="I79" s="471"/>
      <c r="J79" s="460"/>
      <c r="K79" s="423"/>
      <c r="L79" s="469"/>
      <c r="M79" s="418"/>
      <c r="N79" s="418"/>
      <c r="O79" s="418"/>
      <c r="P79" s="418"/>
      <c r="Q79" s="418"/>
      <c r="R79" s="1422"/>
      <c r="S79" s="418"/>
      <c r="T79" s="418"/>
      <c r="U79" s="418"/>
      <c r="V79" s="275" t="s">
        <v>91</v>
      </c>
    </row>
    <row r="80" spans="1:45" s="70" customFormat="1" ht="13.5" customHeight="1" x14ac:dyDescent="0.2">
      <c r="A80" s="418"/>
      <c r="B80" s="418"/>
      <c r="C80" s="460"/>
      <c r="D80" s="460"/>
      <c r="E80" s="423"/>
      <c r="F80" s="460"/>
      <c r="G80" s="467"/>
      <c r="H80" s="418"/>
      <c r="I80" s="471"/>
      <c r="J80" s="460"/>
      <c r="K80" s="423"/>
      <c r="L80" s="469"/>
      <c r="M80" s="418"/>
      <c r="N80" s="418"/>
      <c r="O80" s="418"/>
      <c r="P80" s="418"/>
      <c r="Q80" s="418"/>
      <c r="R80" s="418"/>
      <c r="S80" s="418"/>
      <c r="T80" s="418"/>
      <c r="U80" s="418"/>
      <c r="W80" s="3944" t="s">
        <v>1723</v>
      </c>
      <c r="X80" s="3944"/>
      <c r="Y80" s="3944"/>
      <c r="Z80" s="3944"/>
      <c r="AA80" s="3944"/>
      <c r="AB80" s="3944"/>
      <c r="AC80" s="3944"/>
      <c r="AD80" s="3944"/>
      <c r="AE80" s="3944"/>
      <c r="AF80" s="3944"/>
      <c r="AG80" s="3944"/>
      <c r="AH80" s="3944"/>
      <c r="AI80" s="3944"/>
      <c r="AJ80" s="3944"/>
      <c r="AK80" s="3944"/>
      <c r="AL80" s="1309"/>
      <c r="AM80" s="1"/>
      <c r="AN80" s="390"/>
      <c r="AO80" s="390"/>
      <c r="AP80" s="390"/>
      <c r="AQ80" s="390"/>
      <c r="AR80" s="390"/>
      <c r="AS80" s="390"/>
    </row>
    <row r="81" spans="1:47" s="70" customFormat="1" ht="13.5" customHeight="1" x14ac:dyDescent="0.2">
      <c r="A81" s="418"/>
      <c r="B81" s="418"/>
      <c r="C81" s="460"/>
      <c r="D81" s="460"/>
      <c r="E81" s="423"/>
      <c r="F81" s="460"/>
      <c r="G81" s="467"/>
      <c r="H81" s="418"/>
      <c r="I81" s="471"/>
      <c r="J81" s="460"/>
      <c r="K81" s="423"/>
      <c r="L81" s="469"/>
      <c r="M81" s="418"/>
      <c r="N81" s="418"/>
      <c r="O81" s="418"/>
      <c r="P81" s="418"/>
      <c r="Q81" s="418"/>
      <c r="R81" s="418"/>
      <c r="S81" s="418"/>
      <c r="T81" s="418"/>
      <c r="U81" s="418"/>
      <c r="V81" s="394"/>
      <c r="W81" s="1309" t="s">
        <v>290</v>
      </c>
      <c r="X81" s="1309"/>
      <c r="Y81" s="1309"/>
      <c r="Z81" s="390"/>
      <c r="AA81" s="1309" t="s">
        <v>142</v>
      </c>
      <c r="AB81" s="1309"/>
      <c r="AC81" s="1309"/>
      <c r="AD81" s="537"/>
      <c r="AE81" s="1325" t="s">
        <v>1724</v>
      </c>
      <c r="AF81" s="1325"/>
      <c r="AG81" s="1325"/>
      <c r="AH81" s="390"/>
      <c r="AI81" s="1325" t="s">
        <v>1725</v>
      </c>
      <c r="AJ81" s="1325"/>
      <c r="AK81" s="1325"/>
      <c r="AL81" s="390"/>
      <c r="AM81" s="2074" t="s">
        <v>98</v>
      </c>
      <c r="AN81" s="390"/>
      <c r="AS81" s="390"/>
    </row>
    <row r="82" spans="1:47" s="70" customFormat="1" ht="13.5" customHeight="1" x14ac:dyDescent="0.2">
      <c r="A82" s="418"/>
      <c r="B82" s="418"/>
      <c r="C82" s="460"/>
      <c r="D82" s="460"/>
      <c r="E82" s="423"/>
      <c r="F82" s="460"/>
      <c r="G82" s="467"/>
      <c r="H82" s="418"/>
      <c r="I82" s="471"/>
      <c r="J82" s="460"/>
      <c r="K82" s="423"/>
      <c r="L82" s="469"/>
      <c r="M82" s="418"/>
      <c r="N82" s="418"/>
      <c r="O82" s="418"/>
      <c r="P82" s="418"/>
      <c r="Q82" s="418"/>
      <c r="R82" s="418"/>
      <c r="S82" s="418"/>
      <c r="T82" s="418"/>
      <c r="U82" s="418"/>
      <c r="V82" s="394"/>
      <c r="W82" s="1312" t="s">
        <v>573</v>
      </c>
      <c r="X82" s="1312"/>
      <c r="Y82" s="1312" t="s">
        <v>574</v>
      </c>
      <c r="Z82" s="390"/>
      <c r="AA82" s="1312" t="s">
        <v>573</v>
      </c>
      <c r="AB82" s="1312"/>
      <c r="AC82" s="1312" t="s">
        <v>574</v>
      </c>
      <c r="AD82" s="537"/>
      <c r="AE82" s="1312" t="s">
        <v>573</v>
      </c>
      <c r="AF82" s="1312"/>
      <c r="AG82" s="1312" t="s">
        <v>574</v>
      </c>
      <c r="AH82" s="390"/>
      <c r="AI82" s="1312" t="s">
        <v>573</v>
      </c>
      <c r="AJ82" s="1312"/>
      <c r="AK82" s="1312" t="s">
        <v>574</v>
      </c>
      <c r="AL82" s="390"/>
      <c r="AM82" s="2074" t="s">
        <v>1142</v>
      </c>
      <c r="AN82" s="390"/>
      <c r="AS82" s="390"/>
    </row>
    <row r="83" spans="1:47" s="70" customFormat="1" ht="13.5" customHeight="1" x14ac:dyDescent="0.2">
      <c r="A83" s="418"/>
      <c r="B83" s="418"/>
      <c r="C83" s="460"/>
      <c r="D83" s="460"/>
      <c r="E83" s="423"/>
      <c r="F83" s="460"/>
      <c r="G83" s="467"/>
      <c r="H83" s="418"/>
      <c r="I83" s="471"/>
      <c r="J83" s="460"/>
      <c r="K83" s="423"/>
      <c r="L83" s="469"/>
      <c r="M83" s="418"/>
      <c r="N83" s="418"/>
      <c r="O83" s="418"/>
      <c r="P83" s="418"/>
      <c r="Q83" s="418"/>
      <c r="R83" s="418"/>
      <c r="S83" s="418"/>
      <c r="T83" s="418"/>
      <c r="U83" s="418"/>
      <c r="V83" s="394"/>
      <c r="W83" s="1312"/>
      <c r="X83" s="1312"/>
      <c r="Y83" s="1312"/>
      <c r="Z83" s="390"/>
      <c r="AA83" s="1312"/>
      <c r="AB83" s="1312"/>
      <c r="AC83" s="1312"/>
      <c r="AD83" s="537"/>
      <c r="AE83" s="1312"/>
      <c r="AF83" s="1312"/>
      <c r="AG83" s="1312"/>
      <c r="AH83" s="390"/>
      <c r="AI83" s="1312"/>
      <c r="AJ83" s="1312"/>
      <c r="AK83" s="1312"/>
      <c r="AL83" s="390"/>
      <c r="AM83" s="2075"/>
      <c r="AN83" s="390"/>
      <c r="AS83" s="390"/>
    </row>
    <row r="84" spans="1:47" s="70" customFormat="1" ht="13.5" customHeight="1" x14ac:dyDescent="0.2">
      <c r="A84" s="418"/>
      <c r="B84" s="418"/>
      <c r="C84" s="460"/>
      <c r="D84" s="460"/>
      <c r="E84" s="423"/>
      <c r="F84" s="460"/>
      <c r="G84" s="467"/>
      <c r="H84" s="418"/>
      <c r="I84" s="471"/>
      <c r="J84" s="460"/>
      <c r="K84" s="423"/>
      <c r="L84" s="469"/>
      <c r="M84" s="418"/>
      <c r="N84" s="418"/>
      <c r="O84" s="418"/>
      <c r="P84" s="418"/>
      <c r="Q84" s="418"/>
      <c r="R84" s="418"/>
      <c r="S84" s="418"/>
      <c r="T84" s="418"/>
      <c r="U84" s="418"/>
      <c r="V84" s="1348" t="s">
        <v>95</v>
      </c>
      <c r="W84" s="1352">
        <v>1525</v>
      </c>
      <c r="X84" s="1343" t="s">
        <v>2067</v>
      </c>
      <c r="Y84" s="1352">
        <v>1575</v>
      </c>
      <c r="Z84" s="1349"/>
      <c r="AA84" s="1352"/>
      <c r="AB84" s="1343"/>
      <c r="AC84" s="1352"/>
      <c r="AD84" s="1349"/>
      <c r="AE84" s="1352"/>
      <c r="AF84" s="1343"/>
      <c r="AG84" s="1352"/>
      <c r="AH84" s="1349"/>
      <c r="AI84" s="1352"/>
      <c r="AJ84" s="1343"/>
      <c r="AK84" s="1352"/>
      <c r="AL84" s="1349"/>
      <c r="AM84" s="2090"/>
      <c r="AN84" s="390"/>
      <c r="AS84" s="390"/>
    </row>
    <row r="85" spans="1:47" s="70" customFormat="1" ht="13.5" customHeight="1" x14ac:dyDescent="0.2">
      <c r="A85" s="418"/>
      <c r="B85" s="418"/>
      <c r="C85" s="460"/>
      <c r="D85" s="460"/>
      <c r="E85" s="423"/>
      <c r="F85" s="460"/>
      <c r="G85" s="467"/>
      <c r="H85" s="418"/>
      <c r="I85" s="471"/>
      <c r="J85" s="460"/>
      <c r="K85" s="423"/>
      <c r="L85" s="469"/>
      <c r="M85" s="418"/>
      <c r="N85" s="418"/>
      <c r="O85" s="418"/>
      <c r="P85" s="418"/>
      <c r="Q85" s="418"/>
      <c r="R85" s="418"/>
      <c r="S85" s="418"/>
      <c r="T85" s="418"/>
      <c r="U85" s="418"/>
      <c r="V85" s="369" t="s">
        <v>1584</v>
      </c>
      <c r="W85" s="1316">
        <v>135</v>
      </c>
      <c r="X85" s="1315" t="s">
        <v>2067</v>
      </c>
      <c r="Y85" s="1316">
        <v>145</v>
      </c>
      <c r="Z85" s="1316"/>
      <c r="AA85" s="1316"/>
      <c r="AB85" s="1315"/>
      <c r="AC85" s="1316"/>
      <c r="AD85" s="1316"/>
      <c r="AE85" s="1316"/>
      <c r="AF85" s="1315"/>
      <c r="AG85" s="1316"/>
      <c r="AH85" s="1316"/>
      <c r="AI85" s="1316"/>
      <c r="AJ85" s="1315"/>
      <c r="AK85" s="1316"/>
      <c r="AL85" s="1316"/>
      <c r="AM85" s="2082"/>
      <c r="AN85" s="390"/>
      <c r="AS85" s="390"/>
    </row>
    <row r="86" spans="1:47" s="70" customFormat="1" ht="13.5" customHeight="1" x14ac:dyDescent="0.2">
      <c r="A86" s="418"/>
      <c r="B86" s="418"/>
      <c r="C86" s="460"/>
      <c r="D86" s="460"/>
      <c r="E86" s="423"/>
      <c r="F86" s="460"/>
      <c r="G86" s="467"/>
      <c r="H86" s="418"/>
      <c r="I86" s="471"/>
      <c r="J86" s="460"/>
      <c r="K86" s="423"/>
      <c r="L86" s="469"/>
      <c r="M86" s="418"/>
      <c r="N86" s="418"/>
      <c r="O86" s="418"/>
      <c r="P86" s="418"/>
      <c r="Q86" s="418"/>
      <c r="R86" s="418"/>
      <c r="S86" s="418"/>
      <c r="T86" s="418"/>
      <c r="U86" s="418"/>
      <c r="V86" s="1348" t="s">
        <v>1863</v>
      </c>
      <c r="W86" s="1344"/>
      <c r="X86" s="1343" t="s">
        <v>2067</v>
      </c>
      <c r="Y86" s="1344"/>
      <c r="Z86" s="1344"/>
      <c r="AA86" s="1349"/>
      <c r="AB86" s="1343"/>
      <c r="AC86" s="1349"/>
      <c r="AD86" s="1349"/>
      <c r="AE86" s="1349"/>
      <c r="AF86" s="1343"/>
      <c r="AG86" s="1349"/>
      <c r="AH86" s="1344"/>
      <c r="AI86" s="1349"/>
      <c r="AJ86" s="1343"/>
      <c r="AK86" s="1349"/>
      <c r="AL86" s="1344"/>
      <c r="AM86" s="2083"/>
      <c r="AN86" s="390"/>
      <c r="AS86" s="390"/>
    </row>
    <row r="87" spans="1:47" s="70" customFormat="1" ht="13.5" customHeight="1" x14ac:dyDescent="0.2">
      <c r="A87" s="418"/>
      <c r="B87" s="418"/>
      <c r="C87" s="460"/>
      <c r="D87" s="460"/>
      <c r="E87" s="423"/>
      <c r="F87" s="460"/>
      <c r="G87" s="467"/>
      <c r="H87" s="418"/>
      <c r="I87" s="471"/>
      <c r="J87" s="460"/>
      <c r="K87" s="423"/>
      <c r="L87" s="469"/>
      <c r="M87" s="418"/>
      <c r="N87" s="418"/>
      <c r="O87" s="418"/>
      <c r="P87" s="418"/>
      <c r="Q87" s="418"/>
      <c r="R87" s="418"/>
      <c r="S87" s="418"/>
      <c r="T87" s="418"/>
      <c r="U87" s="418"/>
      <c r="V87" s="369" t="s">
        <v>140</v>
      </c>
      <c r="W87" s="1316">
        <v>665</v>
      </c>
      <c r="X87" s="1315" t="s">
        <v>2067</v>
      </c>
      <c r="Y87" s="1316">
        <v>675</v>
      </c>
      <c r="Z87" s="1316"/>
      <c r="AA87" s="1316"/>
      <c r="AB87" s="1315"/>
      <c r="AC87" s="1316"/>
      <c r="AD87" s="1316"/>
      <c r="AE87" s="1316"/>
      <c r="AF87" s="1315"/>
      <c r="AG87" s="1316"/>
      <c r="AH87" s="1316"/>
      <c r="AI87" s="1316"/>
      <c r="AJ87" s="1315"/>
      <c r="AK87" s="1316"/>
      <c r="AL87" s="1316"/>
      <c r="AM87" s="2082"/>
      <c r="AN87" s="390"/>
      <c r="AS87" s="390"/>
      <c r="AT87" s="199"/>
    </row>
    <row r="88" spans="1:47" s="70" customFormat="1" ht="13.5" customHeight="1" x14ac:dyDescent="0.2">
      <c r="A88" s="418"/>
      <c r="B88" s="418"/>
      <c r="C88" s="460"/>
      <c r="D88" s="460"/>
      <c r="E88" s="423"/>
      <c r="F88" s="460"/>
      <c r="G88" s="467"/>
      <c r="H88" s="418"/>
      <c r="I88" s="471"/>
      <c r="J88" s="460"/>
      <c r="K88" s="423"/>
      <c r="L88" s="469"/>
      <c r="M88" s="418"/>
      <c r="N88" s="418"/>
      <c r="O88" s="418"/>
      <c r="P88" s="418"/>
      <c r="Q88" s="418"/>
      <c r="R88" s="418"/>
      <c r="S88" s="418"/>
      <c r="T88" s="418"/>
      <c r="U88" s="418"/>
      <c r="V88" s="213" t="s">
        <v>141</v>
      </c>
      <c r="W88" s="1316">
        <v>985</v>
      </c>
      <c r="X88" s="1315" t="s">
        <v>2067</v>
      </c>
      <c r="Y88" s="1316">
        <v>1055</v>
      </c>
      <c r="Z88" s="1316"/>
      <c r="AA88" s="1316"/>
      <c r="AB88" s="1315"/>
      <c r="AC88" s="1316"/>
      <c r="AD88" s="1316"/>
      <c r="AE88" s="1316"/>
      <c r="AF88" s="1315"/>
      <c r="AG88" s="1316"/>
      <c r="AH88" s="1316"/>
      <c r="AI88" s="1316"/>
      <c r="AJ88" s="1315"/>
      <c r="AK88" s="1316"/>
      <c r="AL88" s="1316"/>
      <c r="AM88" s="2082"/>
      <c r="AN88" s="390"/>
      <c r="AS88" s="390"/>
      <c r="AU88" s="149"/>
    </row>
    <row r="89" spans="1:47" s="70" customFormat="1" ht="13.5" customHeight="1" x14ac:dyDescent="0.2">
      <c r="A89" s="418"/>
      <c r="B89" s="418"/>
      <c r="C89" s="460"/>
      <c r="D89" s="460"/>
      <c r="E89" s="423"/>
      <c r="F89" s="460"/>
      <c r="G89" s="467"/>
      <c r="H89" s="418"/>
      <c r="I89" s="471"/>
      <c r="J89" s="460"/>
      <c r="K89" s="423"/>
      <c r="L89" s="469"/>
      <c r="M89" s="418"/>
      <c r="N89" s="418"/>
      <c r="O89" s="418"/>
      <c r="P89" s="418"/>
      <c r="Q89" s="418"/>
      <c r="R89" s="418"/>
      <c r="S89" s="418"/>
      <c r="T89" s="418"/>
      <c r="U89" s="418"/>
      <c r="V89" s="1341" t="s">
        <v>1859</v>
      </c>
      <c r="W89" s="1342">
        <v>1.9</v>
      </c>
      <c r="X89" s="1343" t="s">
        <v>2067</v>
      </c>
      <c r="Y89" s="1342">
        <v>2.0499999999999998</v>
      </c>
      <c r="Z89" s="1344"/>
      <c r="AA89" s="1342"/>
      <c r="AB89" s="1343"/>
      <c r="AC89" s="1342"/>
      <c r="AD89" s="1345"/>
      <c r="AE89" s="1342"/>
      <c r="AF89" s="1343"/>
      <c r="AG89" s="1342"/>
      <c r="AH89" s="1344"/>
      <c r="AI89" s="1342"/>
      <c r="AJ89" s="1343"/>
      <c r="AK89" s="1342"/>
      <c r="AL89" s="1344"/>
      <c r="AM89" s="2084"/>
      <c r="AN89" s="390"/>
      <c r="AS89" s="390"/>
    </row>
    <row r="90" spans="1:47" s="70" customFormat="1" ht="13.5" customHeight="1" x14ac:dyDescent="0.2">
      <c r="A90" s="418"/>
      <c r="B90" s="418"/>
      <c r="C90" s="460"/>
      <c r="D90" s="460"/>
      <c r="E90" s="423"/>
      <c r="F90" s="460"/>
      <c r="G90" s="467"/>
      <c r="H90" s="418"/>
      <c r="I90" s="471"/>
      <c r="J90" s="460"/>
      <c r="K90" s="423"/>
      <c r="L90" s="469"/>
      <c r="M90" s="418"/>
      <c r="N90" s="418"/>
      <c r="O90" s="418"/>
      <c r="P90" s="418"/>
      <c r="Q90" s="418"/>
      <c r="R90" s="418"/>
      <c r="S90" s="418"/>
      <c r="T90" s="418"/>
      <c r="U90" s="418"/>
      <c r="V90" s="394"/>
      <c r="W90" s="1318"/>
      <c r="X90" s="1318"/>
      <c r="Y90" s="1318"/>
      <c r="Z90" s="1317"/>
      <c r="AA90" s="1318"/>
      <c r="AB90" s="1318"/>
      <c r="AC90" s="1318"/>
      <c r="AD90" s="1319"/>
      <c r="AE90" s="1318"/>
      <c r="AF90" s="1318"/>
      <c r="AG90" s="1318"/>
      <c r="AH90" s="1317"/>
      <c r="AI90" s="1318"/>
      <c r="AJ90" s="1318"/>
      <c r="AK90" s="1318"/>
      <c r="AL90" s="1317"/>
      <c r="AM90" s="2085"/>
      <c r="AN90" s="390"/>
      <c r="AS90" s="390"/>
    </row>
    <row r="91" spans="1:47" s="70" customFormat="1" ht="13.5" customHeight="1" x14ac:dyDescent="0.2">
      <c r="A91" s="418"/>
      <c r="B91" s="418"/>
      <c r="C91" s="460"/>
      <c r="D91" s="460"/>
      <c r="E91" s="423"/>
      <c r="F91" s="460"/>
      <c r="G91" s="467"/>
      <c r="H91" s="418"/>
      <c r="I91" s="471"/>
      <c r="J91" s="460"/>
      <c r="K91" s="423"/>
      <c r="L91" s="469"/>
      <c r="M91" s="418"/>
      <c r="N91" s="418"/>
      <c r="O91" s="418"/>
      <c r="P91" s="418"/>
      <c r="Q91" s="418"/>
      <c r="R91" s="418"/>
      <c r="S91" s="418"/>
      <c r="T91" s="418"/>
      <c r="U91" s="418"/>
      <c r="V91" s="563" t="s">
        <v>373</v>
      </c>
      <c r="W91" s="1317"/>
      <c r="X91" s="1317"/>
      <c r="Y91" s="1317"/>
      <c r="Z91" s="1317"/>
      <c r="AA91" s="1317"/>
      <c r="AB91" s="1317"/>
      <c r="AC91" s="1317"/>
      <c r="AD91" s="1317"/>
      <c r="AE91" s="1317"/>
      <c r="AF91" s="1317"/>
      <c r="AG91" s="1317"/>
      <c r="AH91" s="1317"/>
      <c r="AI91" s="1317"/>
      <c r="AJ91" s="1317"/>
      <c r="AK91" s="1317"/>
      <c r="AL91" s="1317"/>
      <c r="AM91" s="2076"/>
      <c r="AN91" s="390"/>
      <c r="AS91" s="390"/>
    </row>
    <row r="92" spans="1:47" s="70" customFormat="1" ht="13.5" customHeight="1" x14ac:dyDescent="0.2">
      <c r="A92" s="418"/>
      <c r="B92" s="418"/>
      <c r="C92" s="460"/>
      <c r="D92" s="460"/>
      <c r="E92" s="423"/>
      <c r="F92" s="460"/>
      <c r="G92" s="467"/>
      <c r="H92" s="418"/>
      <c r="I92" s="471"/>
      <c r="J92" s="460"/>
      <c r="K92" s="423"/>
      <c r="L92" s="469"/>
      <c r="M92" s="418"/>
      <c r="N92" s="418"/>
      <c r="O92" s="418"/>
      <c r="P92" s="418"/>
      <c r="Q92" s="418"/>
      <c r="R92" s="418"/>
      <c r="S92" s="418"/>
      <c r="T92" s="418"/>
      <c r="U92" s="418"/>
      <c r="V92" s="213" t="s">
        <v>94</v>
      </c>
      <c r="W92" s="231">
        <v>0.03</v>
      </c>
      <c r="X92" s="1313" t="s">
        <v>2067</v>
      </c>
      <c r="Y92" s="231">
        <v>7.0000000000000007E-2</v>
      </c>
      <c r="Z92" s="231"/>
      <c r="AA92" s="231"/>
      <c r="AB92" s="1313"/>
      <c r="AC92" s="231"/>
      <c r="AD92" s="231"/>
      <c r="AE92" s="231"/>
      <c r="AF92" s="1313"/>
      <c r="AG92" s="231"/>
      <c r="AH92" s="231"/>
      <c r="AI92" s="231"/>
      <c r="AJ92" s="1313"/>
      <c r="AK92" s="231"/>
      <c r="AL92" s="231"/>
      <c r="AM92" s="2086"/>
      <c r="AN92" s="406"/>
      <c r="AS92" s="406"/>
    </row>
    <row r="93" spans="1:47" s="70" customFormat="1" ht="13.5" customHeight="1" x14ac:dyDescent="0.2">
      <c r="A93" s="418"/>
      <c r="B93" s="418"/>
      <c r="C93" s="460"/>
      <c r="D93" s="460"/>
      <c r="E93" s="423"/>
      <c r="F93" s="460"/>
      <c r="G93" s="467"/>
      <c r="H93" s="418"/>
      <c r="I93" s="471"/>
      <c r="J93" s="460"/>
      <c r="K93" s="423"/>
      <c r="L93" s="469"/>
      <c r="M93" s="418"/>
      <c r="N93" s="418"/>
      <c r="O93" s="418"/>
      <c r="P93" s="418"/>
      <c r="Q93" s="418"/>
      <c r="R93" s="418"/>
      <c r="S93" s="418"/>
      <c r="T93" s="418"/>
      <c r="U93" s="418"/>
      <c r="V93" s="394" t="s">
        <v>1309</v>
      </c>
      <c r="W93" s="1393">
        <v>0.03</v>
      </c>
      <c r="X93" s="1394" t="s">
        <v>2067</v>
      </c>
      <c r="Y93" s="1393">
        <v>7.0000000000000007E-2</v>
      </c>
      <c r="Z93" s="1393"/>
      <c r="AA93" s="1393"/>
      <c r="AB93" s="1394"/>
      <c r="AC93" s="1393"/>
      <c r="AD93" s="1393"/>
      <c r="AE93" s="1415"/>
      <c r="AF93" s="1399"/>
      <c r="AG93" s="1415"/>
      <c r="AH93" s="1393"/>
      <c r="AI93" s="1393"/>
      <c r="AJ93" s="1399"/>
      <c r="AK93" s="1393"/>
      <c r="AL93" s="1393"/>
      <c r="AM93" s="2087"/>
      <c r="AN93" s="406"/>
      <c r="AS93" s="406"/>
    </row>
    <row r="94" spans="1:47" s="70" customFormat="1" ht="13.5" customHeight="1" x14ac:dyDescent="0.2">
      <c r="A94" s="418"/>
      <c r="B94" s="418"/>
      <c r="C94" s="460"/>
      <c r="D94" s="460"/>
      <c r="E94" s="423"/>
      <c r="F94" s="460"/>
      <c r="G94" s="467"/>
      <c r="H94" s="418"/>
      <c r="I94" s="471"/>
      <c r="J94" s="460"/>
      <c r="K94" s="423"/>
      <c r="L94" s="469"/>
      <c r="M94" s="418"/>
      <c r="N94" s="418"/>
      <c r="O94" s="418"/>
      <c r="P94" s="418"/>
      <c r="Q94" s="418"/>
      <c r="R94" s="418"/>
      <c r="S94" s="418"/>
      <c r="T94" s="418"/>
      <c r="U94" s="418"/>
      <c r="V94" s="369" t="s">
        <v>2036</v>
      </c>
      <c r="W94" s="231">
        <v>0.03</v>
      </c>
      <c r="X94" s="1313" t="s">
        <v>2067</v>
      </c>
      <c r="Y94" s="231">
        <v>7.0000000000000007E-2</v>
      </c>
      <c r="Z94" s="231"/>
      <c r="AA94" s="231"/>
      <c r="AB94" s="1313"/>
      <c r="AC94" s="231"/>
      <c r="AD94" s="231"/>
      <c r="AE94" s="231"/>
      <c r="AF94" s="1313"/>
      <c r="AG94" s="231"/>
      <c r="AH94" s="231"/>
      <c r="AI94" s="231"/>
      <c r="AJ94" s="1313"/>
      <c r="AK94" s="231"/>
      <c r="AL94" s="231"/>
      <c r="AM94" s="2086"/>
      <c r="AN94" s="406"/>
      <c r="AS94" s="406"/>
    </row>
    <row r="95" spans="1:47" s="70" customFormat="1" ht="13.5" customHeight="1" x14ac:dyDescent="0.2">
      <c r="A95" s="418"/>
      <c r="B95" s="418"/>
      <c r="C95" s="460"/>
      <c r="D95" s="460"/>
      <c r="E95" s="423"/>
      <c r="F95" s="460"/>
      <c r="G95" s="467"/>
      <c r="H95" s="418"/>
      <c r="I95" s="471"/>
      <c r="J95" s="460"/>
      <c r="K95" s="423"/>
      <c r="L95" s="469"/>
      <c r="M95" s="418"/>
      <c r="N95" s="418"/>
      <c r="O95" s="418"/>
      <c r="P95" s="418"/>
      <c r="Q95" s="418"/>
      <c r="R95" s="418"/>
      <c r="S95" s="418"/>
      <c r="T95" s="418"/>
      <c r="U95" s="418"/>
      <c r="V95" s="392"/>
      <c r="W95" s="1320"/>
      <c r="X95" s="1321"/>
      <c r="Y95" s="1320"/>
      <c r="Z95" s="1320"/>
      <c r="AA95" s="1321"/>
      <c r="AB95" s="1321"/>
      <c r="AC95" s="1321"/>
      <c r="AD95" s="1321"/>
      <c r="AE95" s="1321"/>
      <c r="AF95" s="1321"/>
      <c r="AG95" s="1321"/>
      <c r="AH95" s="1320"/>
      <c r="AI95" s="1321"/>
      <c r="AJ95" s="1321"/>
      <c r="AK95" s="1321"/>
      <c r="AL95" s="1320"/>
      <c r="AM95" s="2088"/>
      <c r="AN95" s="390"/>
      <c r="AS95" s="390"/>
    </row>
    <row r="96" spans="1:47" s="70" customFormat="1" ht="13.5" customHeight="1" x14ac:dyDescent="0.2">
      <c r="A96" s="418"/>
      <c r="B96" s="418"/>
      <c r="C96" s="460"/>
      <c r="D96" s="460"/>
      <c r="E96" s="423"/>
      <c r="F96" s="460"/>
      <c r="G96" s="467"/>
      <c r="H96" s="418"/>
      <c r="I96" s="471"/>
      <c r="J96" s="460"/>
      <c r="K96" s="423"/>
      <c r="L96" s="469"/>
      <c r="M96" s="418"/>
      <c r="N96" s="418"/>
      <c r="O96" s="418"/>
      <c r="P96" s="418"/>
      <c r="Q96" s="418"/>
      <c r="R96" s="418"/>
      <c r="S96" s="418"/>
      <c r="T96" s="418"/>
      <c r="U96" s="418"/>
      <c r="V96" s="1314" t="s">
        <v>1931</v>
      </c>
      <c r="W96" s="1322"/>
      <c r="X96" s="1323"/>
      <c r="Y96" s="1322"/>
      <c r="Z96" s="1322"/>
      <c r="AA96" s="1321"/>
      <c r="AB96" s="1323"/>
      <c r="AC96" s="1323"/>
      <c r="AD96" s="1323"/>
      <c r="AE96" s="1323"/>
      <c r="AF96" s="1323"/>
      <c r="AG96" s="1323"/>
      <c r="AH96" s="1322"/>
      <c r="AI96" s="1321"/>
      <c r="AJ96" s="1323"/>
      <c r="AK96" s="1323"/>
      <c r="AL96" s="1322"/>
      <c r="AM96" s="2089"/>
      <c r="AN96" s="390"/>
      <c r="AO96" s="390"/>
      <c r="AP96" s="390"/>
      <c r="AQ96" s="390"/>
      <c r="AR96" s="390"/>
      <c r="AS96" s="390"/>
    </row>
    <row r="97" spans="1:49" s="70" customFormat="1" ht="13.5" customHeight="1" x14ac:dyDescent="0.2">
      <c r="A97" s="418"/>
      <c r="B97" s="418"/>
      <c r="C97" s="460"/>
      <c r="D97" s="460"/>
      <c r="E97" s="423"/>
      <c r="F97" s="460"/>
      <c r="G97" s="467"/>
      <c r="H97" s="418"/>
      <c r="I97" s="471"/>
      <c r="J97" s="460"/>
      <c r="K97" s="423"/>
      <c r="L97" s="469"/>
      <c r="M97" s="418"/>
      <c r="N97" s="418"/>
      <c r="O97" s="418"/>
      <c r="P97" s="418"/>
      <c r="Q97" s="418"/>
      <c r="R97" s="418"/>
      <c r="S97" s="418"/>
      <c r="T97" s="418"/>
      <c r="U97" s="418"/>
      <c r="V97" s="213" t="s">
        <v>97</v>
      </c>
      <c r="W97" s="1316">
        <v>30000</v>
      </c>
      <c r="X97" s="1414"/>
      <c r="Y97" s="1316"/>
      <c r="Z97" s="1316"/>
      <c r="AA97" s="1316"/>
      <c r="AB97" s="1414"/>
      <c r="AC97" s="1316"/>
      <c r="AD97" s="1316"/>
      <c r="AE97" s="1316"/>
      <c r="AF97" s="1313"/>
      <c r="AG97" s="1316"/>
      <c r="AH97" s="1316"/>
      <c r="AI97" s="1316"/>
      <c r="AJ97" s="1313"/>
      <c r="AK97" s="1316"/>
      <c r="AL97" s="1316"/>
      <c r="AM97" s="2082"/>
      <c r="AN97" s="390"/>
      <c r="AO97" s="390"/>
      <c r="AP97" s="390"/>
      <c r="AQ97" s="390"/>
      <c r="AR97" s="390"/>
      <c r="AS97" s="390"/>
      <c r="AW97" s="149"/>
    </row>
    <row r="98" spans="1:49" s="70" customFormat="1" ht="4.5" customHeight="1" x14ac:dyDescent="0.2">
      <c r="A98" s="418"/>
      <c r="B98" s="418"/>
      <c r="C98" s="460"/>
      <c r="D98" s="460"/>
      <c r="E98" s="423"/>
      <c r="F98" s="460"/>
      <c r="G98" s="467"/>
      <c r="H98" s="418"/>
      <c r="I98" s="471"/>
      <c r="J98" s="460"/>
      <c r="K98" s="423"/>
      <c r="L98" s="469"/>
      <c r="M98" s="418"/>
      <c r="N98" s="418"/>
      <c r="O98" s="418"/>
      <c r="P98" s="418"/>
      <c r="Q98" s="418"/>
      <c r="R98" s="418"/>
      <c r="S98" s="418"/>
      <c r="T98" s="418"/>
      <c r="U98" s="418"/>
      <c r="AE98" s="212"/>
      <c r="AF98" s="212"/>
      <c r="AG98" s="212"/>
      <c r="AI98" s="212"/>
      <c r="AJ98" s="212"/>
      <c r="AK98" s="212"/>
      <c r="AM98" s="194"/>
    </row>
    <row r="99" spans="1:49" s="70" customFormat="1" ht="4.5" customHeight="1" x14ac:dyDescent="0.2">
      <c r="A99" s="418"/>
      <c r="B99" s="418"/>
      <c r="C99" s="460"/>
      <c r="D99" s="460"/>
      <c r="E99" s="423"/>
      <c r="F99" s="460"/>
      <c r="G99" s="467"/>
      <c r="H99" s="418"/>
      <c r="I99" s="471"/>
      <c r="J99" s="460"/>
      <c r="K99" s="423"/>
      <c r="L99" s="469"/>
      <c r="M99" s="418"/>
      <c r="N99" s="418"/>
      <c r="O99" s="418"/>
      <c r="P99" s="418"/>
      <c r="Q99" s="418"/>
      <c r="R99" s="418"/>
      <c r="S99" s="418"/>
      <c r="T99" s="418"/>
      <c r="U99" s="418"/>
      <c r="AE99" s="212"/>
      <c r="AF99" s="212"/>
      <c r="AG99" s="212"/>
      <c r="AM99" s="194"/>
    </row>
    <row r="100" spans="1:49" s="70" customFormat="1" ht="13.5" customHeight="1" x14ac:dyDescent="0.2">
      <c r="A100" s="418"/>
      <c r="B100" s="418"/>
      <c r="C100" s="460"/>
      <c r="D100" s="460"/>
      <c r="E100" s="423"/>
      <c r="F100" s="460"/>
      <c r="G100" s="467"/>
      <c r="H100" s="418"/>
      <c r="I100" s="471"/>
      <c r="J100" s="460"/>
      <c r="K100" s="423"/>
      <c r="L100" s="469"/>
      <c r="M100" s="418"/>
      <c r="N100" s="418"/>
      <c r="O100" s="418"/>
      <c r="P100" s="418"/>
      <c r="Q100" s="418"/>
      <c r="R100" s="418"/>
      <c r="S100" s="418"/>
      <c r="T100" s="418"/>
      <c r="U100" s="418"/>
      <c r="V100" s="369" t="s">
        <v>96</v>
      </c>
      <c r="W100" s="1316">
        <v>10</v>
      </c>
      <c r="X100" s="1313" t="s">
        <v>2067</v>
      </c>
      <c r="Y100" s="1316">
        <v>10</v>
      </c>
      <c r="Z100" s="1316"/>
      <c r="AA100" s="1355"/>
      <c r="AH100" s="1316"/>
      <c r="AI100" s="1355"/>
      <c r="AL100" s="1316"/>
      <c r="AM100" s="194"/>
    </row>
    <row r="101" spans="1:49" s="70" customFormat="1" ht="13.5" customHeight="1" x14ac:dyDescent="0.2">
      <c r="A101" s="418"/>
      <c r="B101" s="418"/>
      <c r="C101" s="460"/>
      <c r="D101" s="460"/>
      <c r="E101" s="423"/>
      <c r="F101" s="460"/>
      <c r="G101" s="467"/>
      <c r="H101" s="418"/>
      <c r="I101" s="471"/>
      <c r="J101" s="460"/>
      <c r="K101" s="423"/>
      <c r="L101" s="469"/>
      <c r="M101" s="418"/>
      <c r="N101" s="418"/>
      <c r="O101" s="418"/>
      <c r="P101" s="418"/>
      <c r="Q101" s="418"/>
      <c r="R101" s="418"/>
      <c r="S101" s="418"/>
      <c r="T101" s="418"/>
      <c r="U101" s="418"/>
      <c r="V101" s="369" t="s">
        <v>89</v>
      </c>
      <c r="W101" s="1316">
        <v>105</v>
      </c>
      <c r="X101" s="1313" t="s">
        <v>2067</v>
      </c>
      <c r="Y101" s="1316">
        <v>105</v>
      </c>
      <c r="Z101" s="1316"/>
      <c r="AA101" s="1316"/>
      <c r="AH101" s="1316"/>
      <c r="AI101" s="1316"/>
      <c r="AL101" s="1316"/>
      <c r="AM101" s="194"/>
    </row>
    <row r="102" spans="1:49" s="70" customFormat="1" ht="13.5" customHeight="1" x14ac:dyDescent="0.2">
      <c r="A102" s="418"/>
      <c r="B102" s="418"/>
      <c r="C102" s="460"/>
      <c r="D102" s="460"/>
      <c r="E102" s="423"/>
      <c r="F102" s="460"/>
      <c r="G102" s="467"/>
      <c r="H102" s="418"/>
      <c r="I102" s="471"/>
      <c r="J102" s="460"/>
      <c r="K102" s="423"/>
      <c r="L102" s="469"/>
      <c r="M102" s="418"/>
      <c r="N102" s="418"/>
      <c r="O102" s="418"/>
      <c r="P102" s="418"/>
      <c r="Q102" s="418"/>
      <c r="R102" s="418"/>
      <c r="S102" s="418"/>
      <c r="T102" s="418"/>
      <c r="U102" s="418"/>
      <c r="V102" s="1170" t="s">
        <v>712</v>
      </c>
      <c r="W102" s="1316">
        <v>0</v>
      </c>
      <c r="X102" s="1313" t="s">
        <v>2067</v>
      </c>
      <c r="Y102" s="1316">
        <v>0</v>
      </c>
      <c r="Z102" s="8"/>
      <c r="AA102" s="1316"/>
      <c r="AH102" s="8"/>
      <c r="AI102" s="1316"/>
      <c r="AL102" s="8"/>
      <c r="AM102" s="194"/>
    </row>
    <row r="103" spans="1:49" s="70" customFormat="1" ht="4.5" customHeight="1" x14ac:dyDescent="0.2">
      <c r="A103" s="418"/>
      <c r="B103" s="418"/>
      <c r="C103" s="460"/>
      <c r="D103" s="460"/>
      <c r="E103" s="423"/>
      <c r="F103" s="460"/>
      <c r="G103" s="467"/>
      <c r="H103" s="418"/>
      <c r="I103" s="471"/>
      <c r="J103" s="460"/>
      <c r="K103" s="423"/>
      <c r="L103" s="469"/>
      <c r="M103" s="418"/>
      <c r="N103" s="418"/>
      <c r="O103" s="418"/>
      <c r="P103" s="418"/>
      <c r="Q103" s="418"/>
      <c r="R103" s="418"/>
      <c r="S103" s="418"/>
      <c r="T103" s="418"/>
      <c r="U103" s="418"/>
      <c r="V103" s="369"/>
      <c r="W103" s="1316"/>
      <c r="X103" s="8"/>
      <c r="Y103" s="1316"/>
      <c r="Z103" s="1316"/>
      <c r="AA103" s="1316"/>
      <c r="AH103" s="1316"/>
      <c r="AI103" s="1316"/>
      <c r="AL103" s="1316"/>
      <c r="AM103" s="194"/>
    </row>
    <row r="104" spans="1:49" s="70" customFormat="1" ht="13.5" customHeight="1" x14ac:dyDescent="0.2">
      <c r="A104" s="418"/>
      <c r="B104" s="418"/>
      <c r="C104" s="460"/>
      <c r="D104" s="460"/>
      <c r="E104" s="423"/>
      <c r="F104" s="460"/>
      <c r="G104" s="467"/>
      <c r="H104" s="418"/>
      <c r="I104" s="471"/>
      <c r="J104" s="460"/>
      <c r="K104" s="423"/>
      <c r="L104" s="469"/>
      <c r="M104" s="418"/>
      <c r="N104" s="418"/>
      <c r="O104" s="418"/>
      <c r="P104" s="418"/>
      <c r="Q104" s="418"/>
      <c r="R104" s="418"/>
      <c r="S104" s="418"/>
      <c r="T104" s="418"/>
      <c r="U104" s="418"/>
      <c r="V104" s="2077" t="s">
        <v>90</v>
      </c>
      <c r="W104" s="2078">
        <v>0.33</v>
      </c>
      <c r="X104" s="2079"/>
      <c r="Y104" s="2078">
        <v>0.33</v>
      </c>
      <c r="Z104" s="2080"/>
      <c r="AA104" s="2080"/>
      <c r="AB104" s="195"/>
      <c r="AC104" s="195"/>
      <c r="AD104" s="195"/>
      <c r="AE104" s="195"/>
      <c r="AF104" s="195"/>
      <c r="AG104" s="195"/>
      <c r="AH104" s="2080"/>
      <c r="AI104" s="2080"/>
      <c r="AJ104" s="195"/>
      <c r="AK104" s="195"/>
      <c r="AL104" s="2080"/>
      <c r="AM104" s="196"/>
    </row>
    <row r="105" spans="1:49" s="70" customFormat="1" ht="13.5" customHeight="1" x14ac:dyDescent="0.2">
      <c r="A105" s="418"/>
      <c r="B105" s="418"/>
      <c r="C105" s="460"/>
      <c r="D105" s="460"/>
      <c r="E105" s="423"/>
      <c r="F105" s="460"/>
      <c r="G105" s="467"/>
      <c r="H105" s="418"/>
      <c r="I105" s="471"/>
      <c r="J105" s="460"/>
      <c r="K105" s="423"/>
      <c r="L105" s="469"/>
      <c r="M105" s="418"/>
      <c r="N105" s="418"/>
      <c r="O105" s="418"/>
      <c r="P105" s="418"/>
      <c r="Q105" s="418"/>
      <c r="R105" s="418"/>
      <c r="S105" s="418"/>
      <c r="T105" s="418"/>
      <c r="U105" s="418"/>
      <c r="V105" s="369"/>
      <c r="W105" s="1321"/>
      <c r="X105" s="2081"/>
      <c r="Y105" s="1321"/>
      <c r="Z105" s="1316"/>
      <c r="AA105" s="1316"/>
      <c r="AB105" s="212"/>
      <c r="AC105" s="212"/>
      <c r="AD105" s="212"/>
      <c r="AE105" s="212"/>
      <c r="AF105" s="212"/>
      <c r="AG105" s="212"/>
      <c r="AH105" s="1316"/>
      <c r="AI105" s="1316"/>
      <c r="AJ105" s="212"/>
      <c r="AK105" s="212"/>
      <c r="AL105" s="1316"/>
      <c r="AM105" s="212"/>
    </row>
    <row r="106" spans="1:49" s="70" customFormat="1" ht="13.5" customHeight="1" x14ac:dyDescent="0.2">
      <c r="A106" s="418"/>
      <c r="B106" s="418"/>
      <c r="C106" s="460"/>
      <c r="D106" s="460"/>
      <c r="E106" s="423"/>
      <c r="F106" s="460"/>
      <c r="G106" s="467"/>
      <c r="H106" s="418"/>
      <c r="I106" s="471"/>
      <c r="J106" s="460"/>
      <c r="K106" s="423"/>
      <c r="L106" s="469"/>
      <c r="M106" s="418"/>
      <c r="N106" s="418"/>
      <c r="O106" s="418"/>
      <c r="P106" s="418"/>
      <c r="Q106" s="418"/>
      <c r="R106" s="418"/>
      <c r="S106" s="418"/>
      <c r="T106" s="418"/>
      <c r="U106" s="418"/>
      <c r="V106" s="369"/>
      <c r="W106" s="1316"/>
      <c r="X106" s="8"/>
      <c r="Y106" s="1316"/>
      <c r="Z106" s="1316"/>
      <c r="AA106" s="1316"/>
      <c r="AH106" s="1316"/>
      <c r="AI106" s="1316"/>
      <c r="AL106" s="1316"/>
      <c r="AO106" s="248" t="s">
        <v>1722</v>
      </c>
    </row>
    <row r="107" spans="1:49" s="70" customFormat="1" ht="13.5" customHeight="1" x14ac:dyDescent="0.2">
      <c r="A107" s="418"/>
      <c r="B107" s="418"/>
      <c r="C107" s="460"/>
      <c r="D107" s="460"/>
      <c r="E107" s="423"/>
      <c r="F107" s="460"/>
      <c r="G107" s="467"/>
      <c r="H107" s="418"/>
      <c r="I107" s="471"/>
      <c r="J107" s="460"/>
      <c r="K107" s="423"/>
      <c r="L107" s="469"/>
      <c r="M107" s="418"/>
      <c r="N107" s="418"/>
      <c r="O107" s="418"/>
      <c r="P107" s="418"/>
      <c r="Q107" s="418"/>
      <c r="R107" s="418"/>
      <c r="S107" s="418"/>
      <c r="T107" s="418"/>
      <c r="U107" s="418"/>
      <c r="V107" s="369"/>
      <c r="W107" s="1316"/>
      <c r="X107" s="8"/>
      <c r="Y107" s="1316"/>
      <c r="Z107" s="1316"/>
      <c r="AA107" s="1316"/>
      <c r="AH107" s="1316"/>
      <c r="AI107" s="1316"/>
      <c r="AL107" s="1316"/>
      <c r="AO107" s="275" t="s">
        <v>91</v>
      </c>
    </row>
    <row r="108" spans="1:49" s="70" customFormat="1" ht="13.5" customHeight="1" x14ac:dyDescent="0.2">
      <c r="A108" s="418"/>
      <c r="B108" s="418"/>
      <c r="C108" s="460"/>
      <c r="D108" s="460"/>
      <c r="E108" s="423"/>
      <c r="F108" s="460"/>
      <c r="G108" s="467"/>
      <c r="H108" s="418"/>
      <c r="I108" s="471"/>
      <c r="J108" s="460"/>
      <c r="K108" s="423"/>
      <c r="L108" s="469"/>
      <c r="M108" s="418"/>
      <c r="N108" s="418"/>
      <c r="O108" s="418"/>
      <c r="P108" s="418"/>
      <c r="Q108" s="418"/>
      <c r="R108" s="418"/>
      <c r="S108" s="418"/>
      <c r="T108" s="418"/>
      <c r="U108" s="418"/>
      <c r="V108" s="369"/>
      <c r="W108" s="1316"/>
      <c r="X108" s="8"/>
      <c r="Y108" s="1316"/>
      <c r="Z108" s="1316"/>
      <c r="AA108" s="1316"/>
      <c r="AH108" s="1316"/>
      <c r="AI108" s="1316"/>
      <c r="AL108" s="1316"/>
      <c r="AR108" s="1359" t="s">
        <v>1591</v>
      </c>
      <c r="AW108" s="149"/>
    </row>
    <row r="109" spans="1:49" s="70" customFormat="1" ht="13.5" customHeight="1" x14ac:dyDescent="0.2">
      <c r="A109" s="418"/>
      <c r="B109" s="418"/>
      <c r="C109" s="460"/>
      <c r="D109" s="460"/>
      <c r="E109" s="423"/>
      <c r="F109" s="460"/>
      <c r="G109" s="467"/>
      <c r="H109" s="418"/>
      <c r="I109" s="471"/>
      <c r="J109" s="460"/>
      <c r="K109" s="423"/>
      <c r="L109" s="469"/>
      <c r="M109" s="418"/>
      <c r="N109" s="418"/>
      <c r="O109" s="418"/>
      <c r="P109" s="418"/>
      <c r="Q109" s="418"/>
      <c r="R109" s="418"/>
      <c r="S109" s="418"/>
      <c r="T109" s="418"/>
      <c r="U109" s="418"/>
      <c r="V109" s="369"/>
      <c r="W109" s="1316"/>
      <c r="X109" s="8"/>
      <c r="Y109" s="1316"/>
      <c r="Z109" s="1316"/>
      <c r="AA109" s="1316"/>
      <c r="AH109" s="1316"/>
      <c r="AI109" s="1316"/>
      <c r="AL109" s="1316"/>
      <c r="AO109" s="195"/>
      <c r="AP109" s="335" t="s">
        <v>1782</v>
      </c>
      <c r="AQ109" s="195"/>
      <c r="AR109" s="335" t="s">
        <v>1592</v>
      </c>
    </row>
    <row r="110" spans="1:49" s="70" customFormat="1" ht="13.5" customHeight="1" x14ac:dyDescent="0.2">
      <c r="A110" s="418"/>
      <c r="B110" s="418"/>
      <c r="C110" s="460"/>
      <c r="D110" s="460"/>
      <c r="E110" s="423"/>
      <c r="F110" s="460"/>
      <c r="G110" s="467"/>
      <c r="H110" s="418"/>
      <c r="I110" s="471"/>
      <c r="J110" s="460"/>
      <c r="K110" s="423"/>
      <c r="L110" s="469"/>
      <c r="M110" s="418"/>
      <c r="N110" s="418"/>
      <c r="O110" s="418"/>
      <c r="P110" s="418"/>
      <c r="Q110" s="418"/>
      <c r="R110" s="418"/>
      <c r="S110" s="418"/>
      <c r="T110" s="418"/>
      <c r="U110" s="418"/>
      <c r="V110" s="369"/>
      <c r="W110" s="1316"/>
      <c r="X110" s="8"/>
      <c r="Y110" s="1316"/>
      <c r="Z110" s="1316"/>
      <c r="AA110" s="1316"/>
      <c r="AH110" s="1316"/>
      <c r="AI110" s="1316"/>
      <c r="AL110" s="1316"/>
    </row>
    <row r="111" spans="1:49" s="70" customFormat="1" ht="13.5" customHeight="1" x14ac:dyDescent="0.2">
      <c r="A111" s="418"/>
      <c r="B111" s="418"/>
      <c r="C111" s="460"/>
      <c r="D111" s="460"/>
      <c r="E111" s="423"/>
      <c r="F111" s="460"/>
      <c r="G111" s="467"/>
      <c r="H111" s="418"/>
      <c r="I111" s="471"/>
      <c r="J111" s="460"/>
      <c r="K111" s="423"/>
      <c r="L111" s="469"/>
      <c r="M111" s="418"/>
      <c r="N111" s="418"/>
      <c r="O111" s="418"/>
      <c r="P111" s="418"/>
      <c r="Q111" s="418"/>
      <c r="R111" s="418"/>
      <c r="S111" s="418"/>
      <c r="T111" s="418"/>
      <c r="U111" s="418"/>
      <c r="V111" s="369"/>
      <c r="W111" s="1316"/>
      <c r="X111" s="8"/>
      <c r="Y111" s="1316"/>
      <c r="Z111" s="1316"/>
      <c r="AA111" s="1316"/>
      <c r="AH111" s="1316"/>
      <c r="AI111" s="1316"/>
      <c r="AL111" s="1316"/>
      <c r="AO111" s="275" t="s">
        <v>1587</v>
      </c>
      <c r="AP111" s="1304"/>
      <c r="AT111" s="311"/>
    </row>
    <row r="112" spans="1:49" s="70" customFormat="1" ht="13.5" customHeight="1" x14ac:dyDescent="0.2">
      <c r="A112" s="418"/>
      <c r="B112" s="418"/>
      <c r="C112" s="460"/>
      <c r="D112" s="460"/>
      <c r="E112" s="423"/>
      <c r="F112" s="460"/>
      <c r="G112" s="467"/>
      <c r="H112" s="418"/>
      <c r="I112" s="471"/>
      <c r="J112" s="460"/>
      <c r="K112" s="423"/>
      <c r="L112" s="469"/>
      <c r="M112" s="418"/>
      <c r="N112" s="418"/>
      <c r="O112" s="418"/>
      <c r="P112" s="418"/>
      <c r="Q112" s="418"/>
      <c r="R112" s="418"/>
      <c r="S112" s="418"/>
      <c r="T112" s="418"/>
      <c r="U112" s="418"/>
      <c r="V112" s="369"/>
      <c r="W112" s="1316"/>
      <c r="X112" s="8"/>
      <c r="Y112" s="1316"/>
      <c r="Z112" s="1316"/>
      <c r="AA112" s="1316"/>
      <c r="AH112" s="1316"/>
      <c r="AI112" s="1316"/>
      <c r="AL112" s="1316"/>
      <c r="AO112" s="1170" t="s">
        <v>1584</v>
      </c>
      <c r="AP112" s="1401"/>
    </row>
    <row r="113" spans="1:55" s="70" customFormat="1" ht="13.5" customHeight="1" x14ac:dyDescent="0.2">
      <c r="A113" s="418"/>
      <c r="B113" s="418"/>
      <c r="C113" s="460"/>
      <c r="D113" s="460"/>
      <c r="E113" s="423"/>
      <c r="F113" s="460"/>
      <c r="G113" s="467"/>
      <c r="H113" s="418"/>
      <c r="I113" s="471"/>
      <c r="J113" s="460"/>
      <c r="K113" s="423"/>
      <c r="L113" s="469"/>
      <c r="M113" s="418"/>
      <c r="N113" s="418"/>
      <c r="O113" s="418"/>
      <c r="P113" s="418"/>
      <c r="Q113" s="418"/>
      <c r="R113" s="418"/>
      <c r="S113" s="418"/>
      <c r="T113" s="418"/>
      <c r="U113" s="418"/>
      <c r="V113" s="369"/>
      <c r="W113" s="1316"/>
      <c r="X113" s="8"/>
      <c r="Y113" s="1316"/>
      <c r="Z113" s="1316"/>
      <c r="AA113" s="1316"/>
      <c r="AH113" s="1316"/>
      <c r="AI113" s="1316"/>
      <c r="AL113" s="1316"/>
      <c r="AO113" s="1170" t="s">
        <v>140</v>
      </c>
      <c r="AP113" s="1401"/>
    </row>
    <row r="114" spans="1:55" s="70" customFormat="1" ht="13.5" customHeight="1" x14ac:dyDescent="0.2">
      <c r="A114" s="418"/>
      <c r="B114" s="418"/>
      <c r="C114" s="460"/>
      <c r="D114" s="460"/>
      <c r="E114" s="423"/>
      <c r="F114" s="460"/>
      <c r="G114" s="467"/>
      <c r="H114" s="418"/>
      <c r="I114" s="471"/>
      <c r="J114" s="460"/>
      <c r="K114" s="423"/>
      <c r="L114" s="469"/>
      <c r="M114" s="418"/>
      <c r="N114" s="418"/>
      <c r="O114" s="418"/>
      <c r="P114" s="418"/>
      <c r="Q114" s="418"/>
      <c r="R114" s="418"/>
      <c r="S114" s="418"/>
      <c r="T114" s="418"/>
      <c r="U114" s="418"/>
      <c r="V114" s="369"/>
      <c r="W114" s="1316"/>
      <c r="X114" s="8"/>
      <c r="Y114" s="1316"/>
      <c r="Z114" s="1316"/>
      <c r="AA114" s="1316"/>
      <c r="AH114" s="1316"/>
      <c r="AI114" s="1316"/>
      <c r="AL114" s="1316"/>
      <c r="AO114" s="275" t="s">
        <v>141</v>
      </c>
      <c r="AP114" s="1401"/>
      <c r="AR114" s="85">
        <v>279.76499999999999</v>
      </c>
    </row>
    <row r="115" spans="1:55" s="70" customFormat="1" ht="13.5" customHeight="1" x14ac:dyDescent="0.2">
      <c r="A115" s="418"/>
      <c r="B115" s="418"/>
      <c r="C115" s="460"/>
      <c r="D115" s="460"/>
      <c r="E115" s="423"/>
      <c r="F115" s="460"/>
      <c r="G115" s="467"/>
      <c r="H115" s="418"/>
      <c r="I115" s="471"/>
      <c r="J115" s="460"/>
      <c r="K115" s="423"/>
      <c r="L115" s="469"/>
      <c r="M115" s="418"/>
      <c r="N115" s="418"/>
      <c r="O115" s="418"/>
      <c r="P115" s="418"/>
      <c r="Q115" s="418"/>
      <c r="R115" s="418"/>
      <c r="S115" s="418"/>
      <c r="T115" s="418"/>
      <c r="U115" s="418"/>
      <c r="V115" s="369"/>
      <c r="W115" s="1316"/>
      <c r="X115" s="8"/>
      <c r="Y115" s="1316"/>
      <c r="Z115" s="1316"/>
      <c r="AA115" s="1316"/>
      <c r="AH115" s="1316"/>
      <c r="AI115" s="1316"/>
      <c r="AL115" s="1316"/>
      <c r="AO115" s="1360" t="s">
        <v>1577</v>
      </c>
      <c r="AP115" s="1361"/>
      <c r="AQ115" s="1084"/>
      <c r="AR115" s="1362">
        <v>0.55100000000000005</v>
      </c>
    </row>
    <row r="116" spans="1:55" s="70" customFormat="1" ht="13.5" customHeight="1" x14ac:dyDescent="0.2">
      <c r="A116" s="418"/>
      <c r="B116" s="418"/>
      <c r="C116" s="460"/>
      <c r="D116" s="460"/>
      <c r="E116" s="423"/>
      <c r="F116" s="460"/>
      <c r="G116" s="467"/>
      <c r="H116" s="418"/>
      <c r="I116" s="471"/>
      <c r="J116" s="460"/>
      <c r="K116" s="423"/>
      <c r="L116" s="469"/>
      <c r="M116" s="418"/>
      <c r="N116" s="418"/>
      <c r="O116" s="418"/>
      <c r="P116" s="418"/>
      <c r="Q116" s="418"/>
      <c r="R116" s="418"/>
      <c r="S116" s="418"/>
      <c r="T116" s="418"/>
      <c r="U116" s="418"/>
      <c r="V116" s="369"/>
      <c r="W116" s="1316"/>
      <c r="X116" s="8"/>
      <c r="Y116" s="1316"/>
      <c r="Z116" s="1316"/>
      <c r="AA116" s="1316"/>
      <c r="AH116" s="1316"/>
      <c r="AI116" s="1316"/>
      <c r="AL116" s="1316"/>
      <c r="AO116" s="207"/>
      <c r="AP116" s="1757"/>
    </row>
    <row r="117" spans="1:55" s="70" customFormat="1" ht="13.5" customHeight="1" x14ac:dyDescent="0.2">
      <c r="A117" s="418"/>
      <c r="B117" s="418"/>
      <c r="C117" s="460"/>
      <c r="D117" s="460"/>
      <c r="E117" s="423"/>
      <c r="F117" s="460"/>
      <c r="G117" s="467"/>
      <c r="H117" s="418"/>
      <c r="I117" s="471"/>
      <c r="J117" s="460"/>
      <c r="K117" s="423"/>
      <c r="L117" s="469"/>
      <c r="M117" s="418"/>
      <c r="N117" s="418"/>
      <c r="O117" s="418"/>
      <c r="P117" s="418"/>
      <c r="Q117" s="418"/>
      <c r="R117" s="418"/>
      <c r="S117" s="418"/>
      <c r="T117" s="418"/>
      <c r="U117" s="418"/>
      <c r="V117" s="369"/>
      <c r="W117" s="1316"/>
      <c r="X117" s="8"/>
      <c r="Y117" s="1316"/>
      <c r="Z117" s="1316"/>
      <c r="AA117" s="1316"/>
      <c r="AH117" s="1316"/>
      <c r="AI117" s="1316"/>
      <c r="AL117" s="1316"/>
      <c r="AO117" s="563" t="s">
        <v>137</v>
      </c>
      <c r="AP117" s="1299"/>
    </row>
    <row r="118" spans="1:55" s="70" customFormat="1" ht="13.5" customHeight="1" x14ac:dyDescent="0.2">
      <c r="A118" s="418"/>
      <c r="B118" s="418"/>
      <c r="C118" s="460"/>
      <c r="D118" s="460"/>
      <c r="E118" s="423"/>
      <c r="F118" s="460"/>
      <c r="G118" s="467"/>
      <c r="H118" s="418"/>
      <c r="I118" s="471"/>
      <c r="J118" s="460"/>
      <c r="K118" s="423"/>
      <c r="L118" s="469"/>
      <c r="M118" s="418"/>
      <c r="N118" s="418"/>
      <c r="O118" s="418"/>
      <c r="P118" s="418"/>
      <c r="Q118" s="418"/>
      <c r="R118" s="418"/>
      <c r="S118" s="418"/>
      <c r="T118" s="418"/>
      <c r="U118" s="418"/>
      <c r="V118" s="369"/>
      <c r="W118" s="1316"/>
      <c r="X118" s="8"/>
      <c r="Y118" s="1316"/>
      <c r="Z118" s="1316"/>
      <c r="AA118" s="1316"/>
      <c r="AH118" s="1316"/>
      <c r="AI118" s="1316"/>
      <c r="AL118" s="1316"/>
      <c r="AO118" s="275" t="s">
        <v>382</v>
      </c>
      <c r="AP118" s="1301"/>
    </row>
    <row r="119" spans="1:55" s="70" customFormat="1" ht="13.5" customHeight="1" x14ac:dyDescent="0.2">
      <c r="A119" s="418"/>
      <c r="B119" s="418"/>
      <c r="C119" s="460"/>
      <c r="D119" s="460"/>
      <c r="E119" s="423"/>
      <c r="F119" s="460"/>
      <c r="G119" s="467"/>
      <c r="H119" s="418"/>
      <c r="I119" s="471"/>
      <c r="J119" s="460"/>
      <c r="K119" s="423"/>
      <c r="L119" s="469"/>
      <c r="M119" s="418"/>
      <c r="N119" s="418"/>
      <c r="O119" s="418"/>
      <c r="P119" s="418"/>
      <c r="Q119" s="418"/>
      <c r="R119" s="418"/>
      <c r="S119" s="418"/>
      <c r="T119" s="418"/>
      <c r="U119" s="418"/>
      <c r="V119" s="369"/>
      <c r="W119" s="1316"/>
      <c r="X119" s="8"/>
      <c r="Y119" s="1316"/>
      <c r="Z119" s="1316"/>
      <c r="AA119" s="1316"/>
      <c r="AH119" s="1316"/>
      <c r="AI119" s="1316"/>
      <c r="AL119" s="1316"/>
      <c r="AO119" s="1170" t="s">
        <v>1309</v>
      </c>
      <c r="AP119" s="1301"/>
    </row>
    <row r="120" spans="1:55" s="70" customFormat="1" ht="13.5" customHeight="1" x14ac:dyDescent="0.2">
      <c r="A120" s="418"/>
      <c r="B120" s="418"/>
      <c r="C120" s="460"/>
      <c r="D120" s="460"/>
      <c r="E120" s="423"/>
      <c r="F120" s="460"/>
      <c r="G120" s="467"/>
      <c r="H120" s="418"/>
      <c r="I120" s="471"/>
      <c r="J120" s="460"/>
      <c r="K120" s="423"/>
      <c r="L120" s="469"/>
      <c r="M120" s="418"/>
      <c r="N120" s="418"/>
      <c r="O120" s="418"/>
      <c r="P120" s="418"/>
      <c r="Q120" s="418"/>
      <c r="R120" s="418"/>
      <c r="S120" s="418"/>
      <c r="T120" s="418"/>
      <c r="U120" s="418"/>
      <c r="V120" s="369"/>
      <c r="W120" s="1316"/>
      <c r="X120" s="8"/>
      <c r="Y120" s="1316"/>
      <c r="Z120" s="1316"/>
      <c r="AA120" s="1316"/>
      <c r="AH120" s="1316"/>
      <c r="AI120" s="1316"/>
      <c r="AL120" s="1316"/>
      <c r="AO120" s="1170" t="s">
        <v>2036</v>
      </c>
      <c r="AP120" s="1301"/>
    </row>
    <row r="121" spans="1:55" s="70" customFormat="1" ht="3.75" customHeight="1" x14ac:dyDescent="0.2">
      <c r="A121" s="418"/>
      <c r="B121" s="418"/>
      <c r="C121" s="460"/>
      <c r="D121" s="460"/>
      <c r="E121" s="423"/>
      <c r="F121" s="460"/>
      <c r="G121" s="467"/>
      <c r="H121" s="418"/>
      <c r="I121" s="471"/>
      <c r="J121" s="460"/>
      <c r="K121" s="423"/>
      <c r="L121" s="469"/>
      <c r="M121" s="418"/>
      <c r="N121" s="418"/>
      <c r="O121" s="418"/>
      <c r="P121" s="418"/>
      <c r="Q121" s="418"/>
      <c r="R121" s="418"/>
      <c r="S121" s="418"/>
      <c r="T121" s="418"/>
      <c r="U121" s="418"/>
      <c r="V121" s="369"/>
      <c r="W121" s="1316"/>
      <c r="X121" s="8"/>
      <c r="Y121" s="1316"/>
      <c r="Z121" s="1316"/>
      <c r="AA121" s="1316"/>
      <c r="AH121" s="1316"/>
      <c r="AI121" s="1316"/>
      <c r="AL121" s="1316"/>
      <c r="AO121" s="1758"/>
      <c r="AP121" s="1301"/>
    </row>
    <row r="122" spans="1:55" s="70" customFormat="1" ht="3" customHeight="1" x14ac:dyDescent="0.2">
      <c r="A122" s="418"/>
      <c r="B122" s="418"/>
      <c r="C122" s="460"/>
      <c r="D122" s="460"/>
      <c r="E122" s="423"/>
      <c r="F122" s="460"/>
      <c r="G122" s="467"/>
      <c r="H122" s="418"/>
      <c r="I122" s="471"/>
      <c r="J122" s="460"/>
      <c r="K122" s="423"/>
      <c r="L122" s="469"/>
      <c r="M122" s="418"/>
      <c r="N122" s="418"/>
      <c r="O122" s="418"/>
      <c r="P122" s="418"/>
      <c r="Q122" s="418"/>
      <c r="R122" s="418"/>
      <c r="S122" s="418"/>
      <c r="T122" s="418"/>
      <c r="U122" s="418"/>
      <c r="V122" s="369"/>
      <c r="W122" s="1316"/>
      <c r="X122" s="8"/>
      <c r="Y122" s="1316"/>
      <c r="Z122" s="1316"/>
      <c r="AA122" s="1316"/>
      <c r="AH122" s="1316"/>
      <c r="AI122" s="1316"/>
      <c r="AL122" s="1316"/>
      <c r="AO122" s="207"/>
      <c r="AP122" s="207"/>
    </row>
    <row r="123" spans="1:55" ht="13.5" customHeight="1" x14ac:dyDescent="0.2">
      <c r="A123" s="418"/>
      <c r="B123" s="418"/>
      <c r="C123" s="418"/>
      <c r="D123" s="418"/>
      <c r="E123" s="418"/>
      <c r="F123" s="460"/>
      <c r="G123" s="467"/>
      <c r="H123" s="418"/>
      <c r="I123" s="463"/>
      <c r="J123" s="418"/>
      <c r="K123" s="460"/>
      <c r="L123" s="469"/>
      <c r="M123" s="418"/>
      <c r="N123" s="418"/>
      <c r="O123" s="418"/>
      <c r="P123" s="418"/>
      <c r="Q123" s="418"/>
      <c r="R123" s="418"/>
      <c r="S123" s="418"/>
      <c r="T123" s="418"/>
      <c r="U123" s="418"/>
      <c r="AN123" s="421"/>
      <c r="AO123" s="1424"/>
      <c r="AP123" s="421"/>
      <c r="AQ123" s="421"/>
      <c r="AR123" s="421"/>
      <c r="AS123" s="421"/>
    </row>
    <row r="124" spans="1:55" ht="13.5" customHeight="1" x14ac:dyDescent="0.2">
      <c r="A124" s="418"/>
      <c r="B124" s="418"/>
      <c r="C124" s="418"/>
      <c r="D124" s="418"/>
      <c r="E124" s="418"/>
      <c r="F124" s="460"/>
      <c r="G124" s="467"/>
      <c r="H124" s="418"/>
      <c r="I124" s="463"/>
      <c r="J124" s="418"/>
      <c r="K124" s="460"/>
      <c r="L124" s="469"/>
      <c r="M124" s="418"/>
      <c r="N124" s="418"/>
      <c r="O124" s="418"/>
      <c r="P124" s="418"/>
      <c r="Q124" s="418"/>
      <c r="R124" s="418"/>
      <c r="S124" s="418"/>
      <c r="T124" s="418"/>
      <c r="U124" s="418"/>
    </row>
    <row r="125" spans="1:55" ht="13.5" customHeight="1" x14ac:dyDescent="0.2">
      <c r="A125" s="418"/>
      <c r="B125" s="418"/>
      <c r="C125" s="418"/>
      <c r="D125" s="418"/>
      <c r="E125" s="418"/>
      <c r="F125" s="460"/>
      <c r="G125" s="467"/>
      <c r="H125" s="418"/>
      <c r="I125" s="463"/>
      <c r="J125" s="418"/>
      <c r="K125" s="460"/>
      <c r="L125" s="469"/>
      <c r="M125" s="418"/>
      <c r="N125" s="418"/>
      <c r="O125" s="418"/>
      <c r="P125" s="418"/>
      <c r="Q125" s="418"/>
      <c r="R125" s="418"/>
      <c r="S125" s="418"/>
      <c r="T125" s="418"/>
      <c r="U125" s="418"/>
      <c r="AT125" s="85"/>
      <c r="AU125" s="3945" t="s">
        <v>2254</v>
      </c>
      <c r="AV125" s="3945"/>
      <c r="AW125" s="3946"/>
      <c r="AX125" s="3947" t="s">
        <v>2255</v>
      </c>
      <c r="AY125" s="3945"/>
      <c r="AZ125" s="3946"/>
      <c r="BA125" s="3936">
        <v>2013</v>
      </c>
      <c r="BB125" s="3937"/>
      <c r="BC125" s="3938"/>
    </row>
    <row r="126" spans="1:55" ht="13.5" customHeight="1" x14ac:dyDescent="0.2">
      <c r="A126" s="418"/>
      <c r="B126" s="418"/>
      <c r="C126" s="418"/>
      <c r="D126" s="418"/>
      <c r="E126" s="418"/>
      <c r="F126" s="418"/>
      <c r="G126" s="462"/>
      <c r="H126" s="418"/>
      <c r="I126" s="463"/>
      <c r="J126" s="418"/>
      <c r="K126" s="418"/>
      <c r="L126" s="462"/>
      <c r="M126" s="418"/>
      <c r="N126" s="418"/>
      <c r="O126" s="418"/>
      <c r="P126" s="418"/>
      <c r="Q126" s="418"/>
      <c r="R126" s="418"/>
      <c r="S126" s="418"/>
      <c r="T126" s="418"/>
      <c r="U126" s="418"/>
      <c r="AT126" s="2095"/>
      <c r="AU126" s="2100" t="s">
        <v>1253</v>
      </c>
      <c r="AV126" s="2100" t="s">
        <v>1863</v>
      </c>
      <c r="AW126" s="2101" t="s">
        <v>487</v>
      </c>
      <c r="AX126" s="2102" t="s">
        <v>1253</v>
      </c>
      <c r="AY126" s="2100" t="s">
        <v>1863</v>
      </c>
      <c r="AZ126" s="2101" t="s">
        <v>487</v>
      </c>
      <c r="BA126" s="2102" t="s">
        <v>1253</v>
      </c>
      <c r="BB126" s="2100" t="s">
        <v>1863</v>
      </c>
      <c r="BC126" s="2101" t="s">
        <v>487</v>
      </c>
    </row>
    <row r="127" spans="1:55" ht="13.5" customHeight="1" x14ac:dyDescent="0.2">
      <c r="A127" s="418"/>
      <c r="B127" s="418"/>
      <c r="C127" s="418"/>
      <c r="D127" s="418"/>
      <c r="E127" s="418"/>
      <c r="F127" s="418"/>
      <c r="G127" s="462"/>
      <c r="H127" s="418"/>
      <c r="I127" s="463"/>
      <c r="J127" s="418"/>
      <c r="K127" s="418"/>
      <c r="L127" s="462"/>
      <c r="M127" s="418"/>
      <c r="N127" s="418"/>
      <c r="O127" s="418"/>
      <c r="P127" s="418"/>
      <c r="Q127" s="418"/>
      <c r="R127" s="418"/>
      <c r="S127" s="418"/>
      <c r="T127" s="418"/>
      <c r="U127" s="418"/>
      <c r="AT127" s="550" t="s">
        <v>1938</v>
      </c>
      <c r="AU127" s="1691">
        <v>0.43</v>
      </c>
      <c r="AV127" s="1657">
        <v>268</v>
      </c>
      <c r="AW127" s="2099">
        <v>4.5999999999999999E-2</v>
      </c>
      <c r="AX127" s="1691"/>
      <c r="AY127" s="1657"/>
      <c r="AZ127" s="2096"/>
      <c r="BA127" s="1691"/>
      <c r="BB127" s="1657"/>
      <c r="BC127" s="2099"/>
    </row>
    <row r="128" spans="1:55" ht="13.5" customHeight="1" x14ac:dyDescent="0.2">
      <c r="A128" s="418"/>
      <c r="B128" s="418"/>
      <c r="C128" s="458"/>
      <c r="D128" s="458"/>
      <c r="E128" s="423"/>
      <c r="F128" s="460"/>
      <c r="G128" s="467"/>
      <c r="H128" s="418"/>
      <c r="I128" s="468"/>
      <c r="J128" s="460"/>
      <c r="K128" s="423"/>
      <c r="L128" s="469"/>
      <c r="M128" s="418"/>
      <c r="N128" s="418"/>
      <c r="O128" s="418"/>
      <c r="P128" s="418"/>
      <c r="Q128" s="418"/>
      <c r="R128" s="418"/>
      <c r="S128" s="418"/>
      <c r="T128" s="418"/>
      <c r="U128" s="418"/>
      <c r="AT128" s="2097" t="s">
        <v>2256</v>
      </c>
      <c r="AU128" s="1691">
        <v>0.4</v>
      </c>
      <c r="AV128" s="2098">
        <v>261</v>
      </c>
      <c r="AW128" s="2099">
        <v>5.5E-2</v>
      </c>
      <c r="AX128" s="1691">
        <v>0.52</v>
      </c>
      <c r="AY128" s="2098">
        <v>323</v>
      </c>
      <c r="AZ128" s="2099">
        <v>5.5E-2</v>
      </c>
      <c r="BA128" s="1691">
        <v>2</v>
      </c>
      <c r="BB128" s="2098">
        <v>1236</v>
      </c>
      <c r="BC128" s="2099">
        <v>0.06</v>
      </c>
    </row>
    <row r="129" spans="1:55" s="546" customFormat="1" ht="13.5" customHeight="1" x14ac:dyDescent="0.2">
      <c r="A129" s="418"/>
      <c r="B129" s="418"/>
      <c r="C129" s="458"/>
      <c r="D129" s="458"/>
      <c r="E129" s="423"/>
      <c r="F129" s="460"/>
      <c r="G129" s="467"/>
      <c r="H129" s="418"/>
      <c r="I129" s="468"/>
      <c r="J129" s="460"/>
      <c r="K129" s="423"/>
      <c r="L129" s="469"/>
      <c r="M129" s="418"/>
      <c r="N129" s="418"/>
      <c r="O129" s="418"/>
      <c r="P129" s="418"/>
      <c r="Q129" s="418"/>
      <c r="R129" s="418"/>
      <c r="S129" s="418"/>
      <c r="T129" s="418"/>
      <c r="U129" s="418"/>
      <c r="AN129"/>
      <c r="AO129"/>
      <c r="AP129"/>
      <c r="AQ129"/>
      <c r="AR129"/>
      <c r="AS129"/>
      <c r="AT129" s="2097" t="s">
        <v>2257</v>
      </c>
      <c r="AU129" s="1691"/>
      <c r="AV129" s="2098"/>
      <c r="AW129" s="2099"/>
      <c r="AX129" s="1691">
        <v>0.56999999999999995</v>
      </c>
      <c r="AY129" s="2098">
        <v>343</v>
      </c>
      <c r="AZ129" s="2099">
        <v>5.6000000000000001E-2</v>
      </c>
      <c r="BA129" s="1691">
        <v>2.06</v>
      </c>
      <c r="BB129" s="2098">
        <v>1249</v>
      </c>
      <c r="BC129" s="2099">
        <v>5.6000000000000001E-2</v>
      </c>
    </row>
    <row r="130" spans="1:55" ht="13.5" customHeight="1" x14ac:dyDescent="0.2">
      <c r="A130" s="418"/>
      <c r="B130" s="418"/>
      <c r="C130" s="458"/>
      <c r="D130" s="458"/>
      <c r="E130" s="423"/>
      <c r="F130" s="460"/>
      <c r="G130" s="467"/>
      <c r="H130" s="418"/>
      <c r="I130" s="468"/>
      <c r="J130" s="460"/>
      <c r="K130" s="423"/>
      <c r="L130" s="469"/>
      <c r="M130" s="418"/>
      <c r="N130" s="418"/>
      <c r="O130" s="418"/>
      <c r="P130" s="418"/>
      <c r="Q130" s="418"/>
      <c r="R130" s="418"/>
      <c r="S130" s="418"/>
      <c r="T130" s="418"/>
      <c r="U130" s="418"/>
      <c r="AT130" s="550" t="s">
        <v>2258</v>
      </c>
      <c r="AU130" s="1691">
        <v>0.4</v>
      </c>
      <c r="AV130" s="1657">
        <v>267</v>
      </c>
      <c r="AW130" s="2099">
        <v>5.0999999999999997E-2</v>
      </c>
      <c r="AX130" s="1691">
        <v>0.55000000000000004</v>
      </c>
      <c r="AY130" s="1657">
        <v>334</v>
      </c>
      <c r="AZ130" s="2099">
        <v>5.3999999999999999E-2</v>
      </c>
      <c r="BA130" s="1691">
        <v>2.0099999999999998</v>
      </c>
      <c r="BB130" s="1657">
        <v>1234</v>
      </c>
      <c r="BC130" s="2099">
        <v>5.3999999999999999E-2</v>
      </c>
    </row>
    <row r="131" spans="1:55" ht="13.5" customHeight="1" x14ac:dyDescent="0.2">
      <c r="A131" s="418"/>
      <c r="B131" s="418"/>
      <c r="C131" s="459"/>
      <c r="D131" s="459"/>
      <c r="E131" s="459"/>
      <c r="F131" s="418"/>
      <c r="G131" s="467"/>
      <c r="H131" s="418"/>
      <c r="I131" s="470"/>
      <c r="J131" s="459"/>
      <c r="K131" s="418"/>
      <c r="L131" s="467"/>
      <c r="M131" s="418"/>
      <c r="N131" s="418"/>
      <c r="O131" s="418"/>
      <c r="P131" s="418"/>
      <c r="Q131" s="418"/>
      <c r="R131" s="418"/>
      <c r="S131" s="418"/>
      <c r="T131" s="418"/>
      <c r="U131" s="418"/>
      <c r="AT131" s="550" t="s">
        <v>2259</v>
      </c>
      <c r="AU131" s="1691"/>
      <c r="AV131" s="1657"/>
      <c r="AW131" s="2099"/>
      <c r="AX131" s="1691">
        <v>0.56999999999999995</v>
      </c>
      <c r="AY131" s="1657">
        <v>338</v>
      </c>
      <c r="AZ131" s="2096"/>
      <c r="BA131" s="1691">
        <v>2.04</v>
      </c>
      <c r="BB131" s="1657">
        <v>1239</v>
      </c>
      <c r="BC131" s="2099"/>
    </row>
    <row r="132" spans="1:55" ht="13.5" customHeight="1" x14ac:dyDescent="0.2">
      <c r="A132" s="418"/>
      <c r="B132" s="418"/>
      <c r="C132" s="460"/>
      <c r="D132" s="460"/>
      <c r="E132" s="423"/>
      <c r="F132" s="460"/>
      <c r="G132" s="467"/>
      <c r="H132" s="418"/>
      <c r="I132" s="471"/>
      <c r="J132" s="460"/>
      <c r="K132" s="423"/>
      <c r="L132" s="469"/>
      <c r="M132" s="418"/>
      <c r="N132" s="418"/>
      <c r="O132" s="418"/>
      <c r="P132" s="418"/>
      <c r="Q132" s="418"/>
      <c r="R132" s="418"/>
      <c r="S132" s="418"/>
      <c r="T132" s="418"/>
      <c r="U132" s="418"/>
      <c r="AT132" s="2103" t="s">
        <v>1782</v>
      </c>
      <c r="AU132" s="2104" t="s">
        <v>144</v>
      </c>
      <c r="AV132" s="2104" t="s">
        <v>1979</v>
      </c>
      <c r="AW132" s="2105" t="s">
        <v>2261</v>
      </c>
      <c r="AX132" s="2104" t="s">
        <v>828</v>
      </c>
      <c r="AY132" s="2104" t="s">
        <v>1979</v>
      </c>
      <c r="AZ132" s="2105" t="s">
        <v>2260</v>
      </c>
      <c r="BA132" s="2104" t="s">
        <v>829</v>
      </c>
      <c r="BB132" s="2104" t="s">
        <v>830</v>
      </c>
      <c r="BC132" s="2105" t="s">
        <v>827</v>
      </c>
    </row>
    <row r="133" spans="1:55" ht="13.5" customHeight="1" x14ac:dyDescent="0.2">
      <c r="A133" s="418"/>
      <c r="B133" s="418"/>
      <c r="C133" s="418"/>
      <c r="D133" s="418"/>
      <c r="E133" s="418"/>
      <c r="F133" s="460"/>
      <c r="G133" s="467"/>
      <c r="H133" s="418"/>
      <c r="I133" s="463"/>
      <c r="J133" s="418"/>
      <c r="K133" s="460"/>
      <c r="L133" s="469"/>
      <c r="M133" s="418"/>
      <c r="N133" s="418"/>
      <c r="O133" s="418"/>
      <c r="P133" s="418"/>
      <c r="Q133" s="418"/>
      <c r="R133" s="418"/>
      <c r="S133" s="418"/>
      <c r="T133" s="418"/>
      <c r="U133" s="418"/>
    </row>
    <row r="134" spans="1:55" ht="13.5" customHeight="1" x14ac:dyDescent="0.2">
      <c r="A134" s="418"/>
      <c r="B134" s="418"/>
      <c r="C134" s="418"/>
      <c r="D134" s="418"/>
      <c r="E134" s="418"/>
      <c r="F134" s="460"/>
      <c r="G134" s="467"/>
      <c r="H134" s="418"/>
      <c r="I134" s="463"/>
      <c r="J134" s="418"/>
      <c r="K134" s="460"/>
      <c r="L134" s="469"/>
      <c r="M134" s="418"/>
      <c r="N134" s="418"/>
      <c r="O134" s="418"/>
      <c r="P134" s="418"/>
      <c r="Q134" s="418"/>
      <c r="R134" s="418"/>
      <c r="S134" s="418"/>
      <c r="T134" s="418"/>
      <c r="U134" s="418"/>
    </row>
    <row r="135" spans="1:55" ht="13.5" customHeight="1" x14ac:dyDescent="0.2">
      <c r="A135" s="418"/>
      <c r="B135" s="418"/>
      <c r="C135" s="418"/>
      <c r="D135" s="418"/>
      <c r="E135" s="418"/>
      <c r="F135" s="460"/>
      <c r="G135" s="467"/>
      <c r="H135" s="418"/>
      <c r="I135" s="463"/>
      <c r="J135" s="418"/>
      <c r="K135" s="460"/>
      <c r="L135" s="469"/>
      <c r="M135" s="418"/>
      <c r="N135" s="418"/>
      <c r="O135" s="418"/>
      <c r="P135" s="418"/>
      <c r="Q135" s="418"/>
      <c r="R135" s="418"/>
      <c r="S135" s="418"/>
      <c r="T135" s="418"/>
      <c r="U135" s="418"/>
    </row>
    <row r="136" spans="1:55" ht="13.5" customHeight="1" x14ac:dyDescent="0.2">
      <c r="A136" s="418"/>
      <c r="B136" s="418"/>
      <c r="C136" s="458"/>
      <c r="D136" s="458"/>
      <c r="E136" s="423"/>
      <c r="F136" s="460"/>
      <c r="G136" s="467"/>
      <c r="H136" s="418"/>
      <c r="I136" s="468"/>
      <c r="J136" s="460"/>
      <c r="K136" s="423"/>
      <c r="L136" s="469"/>
      <c r="M136" s="418"/>
      <c r="N136" s="418"/>
      <c r="O136" s="418"/>
      <c r="P136" s="418"/>
      <c r="Q136" s="418"/>
      <c r="R136" s="418"/>
      <c r="S136" s="418"/>
      <c r="T136" s="418"/>
      <c r="U136" s="418"/>
    </row>
    <row r="137" spans="1:55" ht="13.5" customHeight="1" x14ac:dyDescent="0.2">
      <c r="A137" s="418"/>
      <c r="B137" s="418"/>
      <c r="C137" s="459"/>
      <c r="D137" s="459"/>
      <c r="E137" s="459"/>
      <c r="F137" s="418"/>
      <c r="G137" s="467"/>
      <c r="H137" s="418"/>
      <c r="I137" s="470"/>
      <c r="J137" s="459"/>
      <c r="K137" s="418"/>
      <c r="L137" s="467"/>
      <c r="M137" s="418"/>
      <c r="N137" s="418"/>
      <c r="O137" s="418"/>
      <c r="P137" s="418"/>
      <c r="Q137" s="418"/>
      <c r="R137" s="418"/>
      <c r="S137" s="418"/>
      <c r="T137" s="418"/>
      <c r="U137" s="418"/>
    </row>
    <row r="138" spans="1:55" ht="13.5" customHeight="1" x14ac:dyDescent="0.2">
      <c r="A138" s="418"/>
      <c r="B138" s="418"/>
      <c r="C138" s="460"/>
      <c r="D138" s="460"/>
      <c r="E138" s="423"/>
      <c r="F138" s="460"/>
      <c r="G138" s="467"/>
      <c r="H138" s="418"/>
      <c r="I138" s="471"/>
      <c r="J138" s="460"/>
      <c r="K138" s="423"/>
      <c r="L138" s="469"/>
      <c r="M138" s="418"/>
      <c r="N138" s="418"/>
      <c r="O138" s="418"/>
      <c r="P138" s="418"/>
      <c r="Q138" s="418"/>
      <c r="R138" s="418"/>
      <c r="S138" s="418"/>
      <c r="T138" s="418"/>
      <c r="U138" s="418"/>
      <c r="V138" s="418"/>
      <c r="W138" s="418"/>
      <c r="X138" s="418"/>
      <c r="Y138" s="418"/>
      <c r="Z138" s="418"/>
      <c r="AA138" s="418"/>
      <c r="AB138" s="418"/>
      <c r="AC138" s="418"/>
      <c r="AD138" s="418"/>
      <c r="AE138" s="418"/>
      <c r="AF138" s="418"/>
      <c r="AG138" s="418"/>
      <c r="AH138" s="418"/>
      <c r="AI138" s="418"/>
      <c r="AJ138" s="418"/>
      <c r="AK138" s="418"/>
      <c r="AL138" s="418"/>
      <c r="AM138" s="418"/>
    </row>
    <row r="173" ht="5.25" customHeight="1" x14ac:dyDescent="0.2"/>
    <row r="176" ht="5.25" customHeight="1" x14ac:dyDescent="0.2"/>
    <row r="182" ht="5.25" customHeight="1" x14ac:dyDescent="0.2"/>
    <row r="188" ht="4.5" customHeight="1" x14ac:dyDescent="0.2"/>
  </sheetData>
  <mergeCells count="4">
    <mergeCell ref="W80:AK80"/>
    <mergeCell ref="AU125:AW125"/>
    <mergeCell ref="AX125:AZ125"/>
    <mergeCell ref="BA125:BC125"/>
  </mergeCells>
  <phoneticPr fontId="57" type="noConversion"/>
  <pageMargins left="0.5" right="0.5" top="0.5" bottom="0.5" header="0.5" footer="0.5"/>
  <pageSetup scale="74" orientation="portrait" horizontalDpi="1200" verticalDpi="1200" r:id="rId1"/>
  <headerFooter alignWithMargins="0"/>
  <rowBreaks count="1" manualBreakCount="1">
    <brk id="53" max="16383" man="1"/>
  </rowBreaks>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autoPageBreaks="0"/>
  </sheetPr>
  <dimension ref="A1:BA187"/>
  <sheetViews>
    <sheetView zoomScale="85" zoomScaleNormal="85" zoomScaleSheetLayoutView="85" workbookViewId="0"/>
  </sheetViews>
  <sheetFormatPr defaultColWidth="12" defaultRowHeight="13.5" customHeight="1" outlineLevelCol="1" x14ac:dyDescent="0.2"/>
  <cols>
    <col min="1" max="1" width="36.1640625" customWidth="1"/>
    <col min="2" max="2" width="2" customWidth="1"/>
    <col min="3" max="4" width="12" customWidth="1"/>
    <col min="5" max="5" width="2" customWidth="1"/>
    <col min="6" max="7" width="10" customWidth="1"/>
    <col min="8" max="8" width="5.33203125" customWidth="1"/>
    <col min="9" max="9" width="12" customWidth="1"/>
    <col min="10" max="10" width="2" customWidth="1"/>
    <col min="11" max="12" width="10" customWidth="1"/>
    <col min="13" max="13" width="2.33203125" customWidth="1"/>
    <col min="14" max="14" width="12" customWidth="1"/>
    <col min="15" max="15" width="2.83203125" customWidth="1"/>
    <col min="16" max="16" width="26.83203125" customWidth="1"/>
    <col min="17" max="18" width="13.6640625" customWidth="1"/>
    <col min="19" max="19" width="1.83203125" customWidth="1"/>
    <col min="20" max="20" width="13.6640625" customWidth="1"/>
    <col min="21" max="21" width="2.33203125" customWidth="1"/>
    <col min="22" max="22" width="22" customWidth="1"/>
    <col min="23" max="23" width="9.6640625" hidden="1" customWidth="1" outlineLevel="1"/>
    <col min="24" max="24" width="2.1640625" hidden="1" customWidth="1" outlineLevel="1"/>
    <col min="25" max="25" width="9.6640625" hidden="1" customWidth="1" outlineLevel="1"/>
    <col min="26" max="26" width="2" hidden="1" customWidth="1" outlineLevel="1"/>
    <col min="27" max="27" width="9.6640625" customWidth="1" collapsed="1"/>
    <col min="28" max="28" width="1.5" customWidth="1"/>
    <col min="29" max="29" width="9.6640625" customWidth="1"/>
    <col min="30" max="30" width="2" customWidth="1"/>
    <col min="31" max="31" width="9.6640625" customWidth="1"/>
    <col min="32" max="32" width="1.5" customWidth="1"/>
    <col min="33" max="33" width="9.6640625" customWidth="1"/>
    <col min="34" max="34" width="2" customWidth="1"/>
    <col min="35" max="35" width="9.6640625" customWidth="1"/>
    <col min="36" max="36" width="1.5" customWidth="1"/>
    <col min="37" max="37" width="9.6640625" customWidth="1"/>
    <col min="38" max="38" width="2" customWidth="1"/>
    <col min="39" max="39" width="9.6640625" customWidth="1"/>
    <col min="40" max="40" width="1.5" customWidth="1"/>
    <col min="41" max="41" width="9.6640625" customWidth="1"/>
    <col min="42" max="42" width="2" customWidth="1"/>
    <col min="43" max="43" width="9.6640625" customWidth="1"/>
    <col min="44" max="44" width="1.5" customWidth="1"/>
    <col min="45" max="45" width="28" customWidth="1"/>
    <col min="46" max="46" width="12" bestFit="1" customWidth="1"/>
    <col min="47" max="47" width="1.83203125" customWidth="1"/>
    <col min="48" max="48" width="12.5" bestFit="1" customWidth="1"/>
    <col min="49" max="49" width="1.5" customWidth="1"/>
    <col min="50" max="57" width="12" customWidth="1"/>
    <col min="58" max="58" width="5.33203125" customWidth="1"/>
    <col min="59" max="59" width="18.5" customWidth="1"/>
  </cols>
  <sheetData>
    <row r="1" spans="1:49" ht="13.5" customHeight="1" x14ac:dyDescent="0.2">
      <c r="A1" s="362" t="s">
        <v>1490</v>
      </c>
      <c r="B1" s="346"/>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345"/>
      <c r="AG1" s="345"/>
      <c r="AH1" s="345"/>
      <c r="AI1" s="345"/>
      <c r="AJ1" s="345"/>
      <c r="AK1" s="345"/>
      <c r="AL1" s="345"/>
      <c r="AM1" s="345"/>
      <c r="AN1" s="345"/>
      <c r="AO1" s="345"/>
      <c r="AP1" s="345"/>
      <c r="AQ1" s="345"/>
      <c r="AR1" s="345"/>
      <c r="AS1" s="345"/>
      <c r="AT1" s="345"/>
      <c r="AU1" s="345"/>
      <c r="AV1" s="345"/>
      <c r="AW1" s="345"/>
    </row>
    <row r="2" spans="1:49" ht="13.5" customHeight="1" x14ac:dyDescent="0.2">
      <c r="A2" s="362" t="s">
        <v>1639</v>
      </c>
      <c r="B2" s="346"/>
      <c r="C2" s="619"/>
      <c r="D2" s="345"/>
      <c r="E2" s="345"/>
      <c r="F2" s="345"/>
      <c r="G2" s="345"/>
      <c r="H2" s="345"/>
      <c r="I2" s="619"/>
      <c r="J2" s="345"/>
      <c r="K2" s="345"/>
      <c r="L2" s="345"/>
      <c r="M2" s="345"/>
      <c r="N2" s="345"/>
      <c r="O2" s="345"/>
      <c r="P2" s="345"/>
      <c r="Q2" s="345"/>
      <c r="R2" s="345"/>
      <c r="S2" s="345"/>
      <c r="T2" s="345"/>
      <c r="U2" s="346"/>
      <c r="V2" s="345"/>
      <c r="W2" s="345"/>
      <c r="X2" s="345"/>
      <c r="Y2" s="345"/>
      <c r="Z2" s="345"/>
      <c r="AA2" s="345"/>
      <c r="AB2" s="345"/>
      <c r="AC2" s="345"/>
      <c r="AD2" s="345"/>
      <c r="AE2" s="345"/>
      <c r="AF2" s="345"/>
      <c r="AG2" s="345"/>
      <c r="AH2" s="345"/>
      <c r="AI2" s="345"/>
      <c r="AJ2" s="345"/>
      <c r="AK2" s="345"/>
      <c r="AL2" s="345"/>
      <c r="AM2" s="345"/>
      <c r="AN2" s="345"/>
      <c r="AO2" s="345"/>
      <c r="AP2" s="345"/>
      <c r="AQ2" s="345"/>
      <c r="AR2" s="345"/>
      <c r="AS2" s="345"/>
      <c r="AT2" s="345"/>
      <c r="AU2" s="345"/>
      <c r="AV2" s="345"/>
      <c r="AW2" s="345"/>
    </row>
    <row r="3" spans="1:49" ht="13.5" customHeight="1" x14ac:dyDescent="0.2">
      <c r="A3" s="346"/>
      <c r="B3" s="346"/>
      <c r="C3" s="346"/>
      <c r="D3" s="346"/>
      <c r="E3" s="346"/>
      <c r="F3" s="346"/>
      <c r="G3" s="346"/>
      <c r="H3" s="346"/>
      <c r="I3" s="346"/>
      <c r="J3" s="346"/>
      <c r="K3" s="346"/>
      <c r="L3" s="346"/>
      <c r="M3" s="346"/>
      <c r="N3" s="345"/>
      <c r="O3" s="345"/>
      <c r="P3" s="345"/>
      <c r="Q3" s="345"/>
      <c r="R3" s="345"/>
      <c r="S3" s="345"/>
      <c r="T3" s="345"/>
      <c r="U3" s="346"/>
      <c r="V3" s="345"/>
      <c r="W3" s="345"/>
      <c r="X3" s="345"/>
      <c r="Y3" s="345"/>
      <c r="Z3" s="345"/>
      <c r="AA3" s="345"/>
      <c r="AB3" s="345"/>
      <c r="AC3" s="345"/>
      <c r="AD3" s="345"/>
      <c r="AE3" s="345"/>
      <c r="AF3" s="345"/>
      <c r="AG3" s="345"/>
      <c r="AH3" s="345"/>
      <c r="AI3" s="345"/>
      <c r="AJ3" s="345"/>
      <c r="AK3" s="345"/>
      <c r="AL3" s="345"/>
      <c r="AM3" s="345"/>
      <c r="AN3" s="345"/>
      <c r="AO3" s="345"/>
      <c r="AP3" s="345"/>
      <c r="AQ3" s="345"/>
      <c r="AR3" s="345"/>
      <c r="AS3" s="345"/>
      <c r="AT3" s="345"/>
      <c r="AU3" s="345"/>
      <c r="AV3" s="345"/>
      <c r="AW3" s="345"/>
    </row>
    <row r="4" spans="1:49" ht="13.5" customHeight="1" x14ac:dyDescent="0.2">
      <c r="A4" s="275" t="s">
        <v>91</v>
      </c>
      <c r="B4" s="346"/>
      <c r="C4" s="346"/>
      <c r="D4" s="346"/>
      <c r="E4" s="346"/>
      <c r="F4" s="346"/>
      <c r="G4" s="346"/>
      <c r="H4" s="346"/>
      <c r="I4" s="346"/>
      <c r="J4" s="346"/>
      <c r="K4" s="346"/>
      <c r="L4" s="346"/>
      <c r="M4" s="346"/>
      <c r="N4" s="345"/>
      <c r="O4" s="345"/>
      <c r="P4" s="345"/>
      <c r="Q4" s="345"/>
      <c r="R4" s="345"/>
      <c r="S4" s="345"/>
      <c r="T4" s="345"/>
      <c r="U4" s="346"/>
      <c r="V4" s="345"/>
      <c r="W4" s="345"/>
      <c r="X4" s="345"/>
      <c r="Y4" s="345"/>
      <c r="Z4" s="345"/>
      <c r="AA4" s="345"/>
      <c r="AB4" s="345"/>
      <c r="AC4" s="345"/>
      <c r="AD4" s="345"/>
      <c r="AE4" s="345"/>
      <c r="AF4" s="345"/>
      <c r="AG4" s="345"/>
      <c r="AH4" s="345"/>
      <c r="AI4" s="345"/>
      <c r="AJ4" s="345"/>
      <c r="AK4" s="345"/>
      <c r="AL4" s="345"/>
      <c r="AM4" s="345"/>
      <c r="AN4" s="345"/>
      <c r="AO4" s="345"/>
      <c r="AP4" s="345"/>
      <c r="AQ4" s="345"/>
      <c r="AR4" s="345"/>
      <c r="AS4" s="345"/>
      <c r="AT4" s="345"/>
      <c r="AU4" s="345"/>
      <c r="AV4" s="345"/>
      <c r="AW4" s="345"/>
    </row>
    <row r="5" spans="1:49" ht="13.5" customHeight="1" x14ac:dyDescent="0.2">
      <c r="A5" s="418"/>
      <c r="B5" s="418"/>
      <c r="C5" s="815" t="s">
        <v>1149</v>
      </c>
      <c r="D5" s="815"/>
      <c r="E5" s="815"/>
      <c r="F5" s="815"/>
      <c r="G5" s="815"/>
      <c r="H5" s="374"/>
      <c r="I5" s="815" t="s">
        <v>1755</v>
      </c>
      <c r="J5" s="815"/>
      <c r="K5" s="815"/>
      <c r="L5" s="815"/>
      <c r="M5" s="346"/>
      <c r="N5" s="1143" t="s">
        <v>1141</v>
      </c>
      <c r="O5" s="347"/>
      <c r="P5" s="345"/>
      <c r="Q5" s="345"/>
      <c r="R5" s="345"/>
      <c r="S5" s="345"/>
      <c r="T5" s="345"/>
      <c r="U5" s="346"/>
      <c r="V5" s="345"/>
      <c r="W5" s="345"/>
      <c r="X5" s="345"/>
      <c r="Y5" s="345"/>
      <c r="Z5" s="345"/>
      <c r="AA5" s="345"/>
      <c r="AB5" s="345"/>
      <c r="AC5" s="345"/>
      <c r="AD5" s="345"/>
      <c r="AE5" s="345"/>
      <c r="AF5" s="345"/>
      <c r="AG5" s="345"/>
      <c r="AH5" s="345"/>
      <c r="AI5" s="345"/>
      <c r="AJ5" s="345"/>
      <c r="AK5" s="345"/>
      <c r="AL5" s="345"/>
      <c r="AM5" s="345"/>
      <c r="AN5" s="345"/>
      <c r="AO5" s="345"/>
      <c r="AP5" s="345"/>
      <c r="AQ5" s="345"/>
      <c r="AR5" s="345"/>
      <c r="AS5" s="345"/>
      <c r="AT5" s="345"/>
      <c r="AU5" s="345"/>
      <c r="AV5" s="345"/>
      <c r="AW5" s="345"/>
    </row>
    <row r="6" spans="1:49" ht="13.5" customHeight="1" x14ac:dyDescent="0.2">
      <c r="A6" s="418"/>
      <c r="B6" s="418"/>
      <c r="C6" s="822"/>
      <c r="D6" s="418"/>
      <c r="E6" s="418"/>
      <c r="F6" s="815" t="s">
        <v>241</v>
      </c>
      <c r="G6" s="815"/>
      <c r="H6" s="418"/>
      <c r="I6" s="822"/>
      <c r="J6" s="418"/>
      <c r="K6" s="1376" t="s">
        <v>241</v>
      </c>
      <c r="L6" s="1376"/>
      <c r="M6" s="346"/>
      <c r="N6" s="345"/>
      <c r="O6" s="345"/>
      <c r="P6" s="345"/>
      <c r="Q6" s="345"/>
      <c r="R6" s="345"/>
      <c r="S6" s="345"/>
      <c r="T6" s="345"/>
      <c r="U6" s="346"/>
      <c r="V6" s="345"/>
      <c r="W6" s="345"/>
      <c r="X6" s="345"/>
      <c r="Y6" s="345"/>
      <c r="Z6" s="345"/>
      <c r="AA6" s="345"/>
      <c r="AB6" s="345"/>
      <c r="AC6" s="345"/>
      <c r="AD6" s="345"/>
      <c r="AE6" s="345"/>
      <c r="AF6" s="345"/>
      <c r="AG6" s="345"/>
      <c r="AH6" s="345"/>
      <c r="AI6" s="345"/>
      <c r="AJ6" s="345"/>
      <c r="AK6" s="345"/>
      <c r="AL6" s="345"/>
      <c r="AM6" s="345"/>
      <c r="AN6" s="345"/>
      <c r="AO6" s="345"/>
      <c r="AP6" s="345"/>
      <c r="AQ6" s="345"/>
      <c r="AR6" s="345"/>
      <c r="AS6" s="345"/>
      <c r="AT6" s="345"/>
      <c r="AU6" s="345"/>
      <c r="AV6" s="345"/>
      <c r="AW6" s="345"/>
    </row>
    <row r="7" spans="1:49" ht="13.5" customHeight="1" x14ac:dyDescent="0.2">
      <c r="A7" s="418"/>
      <c r="B7" s="418"/>
      <c r="C7" s="1127" t="s">
        <v>290</v>
      </c>
      <c r="D7" s="1126" t="s">
        <v>1544</v>
      </c>
      <c r="E7" s="456"/>
      <c r="F7" s="1126" t="s">
        <v>1756</v>
      </c>
      <c r="G7" s="1126" t="s">
        <v>575</v>
      </c>
      <c r="H7" s="418"/>
      <c r="I7" s="1127" t="s">
        <v>38</v>
      </c>
      <c r="J7" s="456"/>
      <c r="K7" s="1126" t="s">
        <v>1756</v>
      </c>
      <c r="L7" s="1126" t="s">
        <v>575</v>
      </c>
      <c r="M7" s="347"/>
      <c r="N7" s="347"/>
      <c r="O7" s="347"/>
      <c r="P7" s="347"/>
      <c r="Q7" s="347"/>
      <c r="R7" s="347"/>
      <c r="S7" s="347"/>
      <c r="T7" s="347"/>
      <c r="U7" s="346"/>
      <c r="V7" s="345"/>
      <c r="W7" s="345"/>
      <c r="X7" s="345"/>
      <c r="Y7" s="345"/>
      <c r="Z7" s="345"/>
      <c r="AA7" s="345"/>
      <c r="AB7" s="345"/>
      <c r="AC7" s="345"/>
      <c r="AD7" s="345"/>
      <c r="AE7" s="345"/>
      <c r="AF7" s="345"/>
      <c r="AG7" s="345"/>
      <c r="AH7" s="345"/>
      <c r="AI7" s="345"/>
      <c r="AJ7" s="345"/>
      <c r="AK7" s="345"/>
      <c r="AL7" s="345"/>
      <c r="AM7" s="345"/>
      <c r="AN7" s="345"/>
      <c r="AO7" s="345"/>
      <c r="AP7" s="345"/>
      <c r="AQ7" s="345"/>
      <c r="AR7" s="345"/>
      <c r="AS7" s="345"/>
      <c r="AT7" s="345"/>
      <c r="AU7" s="345"/>
      <c r="AV7" s="345"/>
      <c r="AW7" s="345"/>
    </row>
    <row r="8" spans="1:49" ht="13.5" customHeight="1" x14ac:dyDescent="0.2">
      <c r="A8" s="362" t="s">
        <v>125</v>
      </c>
      <c r="B8" s="346"/>
      <c r="C8" s="348"/>
      <c r="D8" s="346"/>
      <c r="E8" s="346"/>
      <c r="F8" s="346"/>
      <c r="G8" s="346"/>
      <c r="H8" s="346"/>
      <c r="I8" s="348"/>
      <c r="J8" s="346"/>
      <c r="K8" s="346"/>
      <c r="L8" s="346"/>
      <c r="M8" s="346"/>
      <c r="N8" s="345"/>
      <c r="O8" s="345"/>
      <c r="P8" s="345"/>
      <c r="Q8" s="345"/>
      <c r="R8" s="345"/>
      <c r="S8" s="345"/>
      <c r="T8" s="345"/>
      <c r="U8" s="346"/>
      <c r="V8" s="345"/>
      <c r="W8" s="345"/>
      <c r="X8" s="345"/>
      <c r="Y8" s="345"/>
      <c r="Z8" s="345"/>
      <c r="AA8" s="345"/>
      <c r="AB8" s="345"/>
      <c r="AC8" s="345"/>
      <c r="AD8" s="345"/>
      <c r="AE8" s="345"/>
      <c r="AF8" s="345"/>
      <c r="AG8" s="345"/>
      <c r="AH8" s="345"/>
      <c r="AI8" s="345"/>
      <c r="AJ8" s="345"/>
      <c r="AK8" s="345"/>
      <c r="AL8" s="345"/>
      <c r="AM8" s="345"/>
      <c r="AN8" s="345"/>
      <c r="AO8" s="345"/>
      <c r="AP8" s="345"/>
      <c r="AQ8" s="345"/>
      <c r="AR8" s="345"/>
      <c r="AS8" s="345"/>
      <c r="AT8" s="345"/>
      <c r="AU8" s="345"/>
      <c r="AV8" s="345"/>
      <c r="AW8" s="345"/>
    </row>
    <row r="9" spans="1:49" ht="13.5" customHeight="1" x14ac:dyDescent="0.2">
      <c r="A9" s="865" t="s">
        <v>1594</v>
      </c>
      <c r="B9" s="346"/>
      <c r="C9" s="1895">
        <f>C52</f>
        <v>459</v>
      </c>
      <c r="D9" s="349">
        <f>D52</f>
        <v>420</v>
      </c>
      <c r="E9" s="349"/>
      <c r="F9" s="349">
        <f>C9-D9</f>
        <v>39</v>
      </c>
      <c r="G9" s="354">
        <f>IF(D9=0,0,C9/D9-1)</f>
        <v>9.2857142857142749E-2</v>
      </c>
      <c r="H9" s="346"/>
      <c r="I9" s="1167">
        <v>462.28156397911636</v>
      </c>
      <c r="J9" s="349"/>
      <c r="K9" s="349">
        <f>C9-I9</f>
        <v>-3.2815639791163562</v>
      </c>
      <c r="L9" s="1289">
        <f>IF(I9=0,"NM",C9/I9-1)</f>
        <v>-7.0986261075828283E-3</v>
      </c>
      <c r="M9" s="346"/>
      <c r="N9" s="345"/>
      <c r="O9" s="345"/>
      <c r="P9" s="345"/>
      <c r="Q9" s="345"/>
      <c r="R9" s="345"/>
      <c r="S9" s="345"/>
      <c r="T9" s="345"/>
      <c r="U9" s="346"/>
      <c r="V9" s="345"/>
      <c r="W9" s="345"/>
      <c r="X9" s="345"/>
      <c r="Y9" s="345"/>
      <c r="Z9" s="345"/>
      <c r="AA9" s="345"/>
      <c r="AB9" s="345"/>
      <c r="AC9" s="345"/>
      <c r="AD9" s="345"/>
      <c r="AE9" s="345"/>
      <c r="AF9" s="345"/>
      <c r="AG9" s="345"/>
      <c r="AH9" s="345"/>
      <c r="AI9" s="345"/>
      <c r="AJ9" s="345"/>
      <c r="AK9" s="345"/>
      <c r="AL9" s="345"/>
      <c r="AM9" s="345"/>
      <c r="AN9" s="345"/>
      <c r="AO9" s="345"/>
      <c r="AP9" s="345"/>
      <c r="AQ9" s="345"/>
      <c r="AR9" s="345"/>
      <c r="AS9" s="345"/>
      <c r="AT9" s="345"/>
      <c r="AU9" s="345"/>
      <c r="AV9" s="345"/>
      <c r="AW9" s="345"/>
    </row>
    <row r="10" spans="1:49" ht="13.5" customHeight="1" x14ac:dyDescent="0.2">
      <c r="A10" s="865" t="s">
        <v>734</v>
      </c>
      <c r="B10" s="346"/>
      <c r="C10" s="1896">
        <f>+MAR!BT11</f>
        <v>308</v>
      </c>
      <c r="D10" s="352">
        <f>+MAR!BO11</f>
        <v>356</v>
      </c>
      <c r="E10" s="353"/>
      <c r="F10" s="352">
        <f>C10-D10</f>
        <v>-48</v>
      </c>
      <c r="G10" s="354">
        <f>IF(D10=0,0,C10/D10-1)</f>
        <v>-0.1348314606741573</v>
      </c>
      <c r="H10" s="349"/>
      <c r="I10" s="510">
        <v>366.68</v>
      </c>
      <c r="J10" s="350"/>
      <c r="K10" s="352">
        <f>C10-I10</f>
        <v>-58.680000000000007</v>
      </c>
      <c r="L10" s="1289">
        <f>IF(I10=0,"NM",C10/I10-1)</f>
        <v>-0.16003054434384201</v>
      </c>
      <c r="M10" s="346"/>
      <c r="N10" s="345"/>
      <c r="O10" s="345"/>
      <c r="P10" s="345"/>
      <c r="Q10" s="345"/>
      <c r="R10" s="345"/>
      <c r="S10" s="345"/>
      <c r="T10" s="345"/>
      <c r="U10" s="346"/>
      <c r="V10" s="345"/>
      <c r="W10" s="345"/>
      <c r="X10" s="345"/>
      <c r="Y10" s="345"/>
      <c r="Z10" s="345"/>
      <c r="AA10" s="345"/>
      <c r="AB10" s="345"/>
      <c r="AC10" s="345"/>
      <c r="AD10" s="345"/>
      <c r="AE10" s="345"/>
      <c r="AF10" s="345"/>
      <c r="AG10" s="345"/>
      <c r="AH10" s="345"/>
      <c r="AI10" s="345"/>
      <c r="AJ10" s="345"/>
      <c r="AK10" s="345"/>
      <c r="AL10" s="345"/>
      <c r="AM10" s="345"/>
      <c r="AN10" s="345"/>
      <c r="AO10" s="345"/>
      <c r="AP10" s="345"/>
      <c r="AQ10" s="345"/>
      <c r="AR10" s="345"/>
      <c r="AS10" s="345"/>
      <c r="AT10" s="345"/>
      <c r="AU10" s="345"/>
      <c r="AV10" s="345"/>
      <c r="AW10" s="345"/>
    </row>
    <row r="11" spans="1:49" ht="13.5" customHeight="1" x14ac:dyDescent="0.2">
      <c r="A11" s="355" t="s">
        <v>732</v>
      </c>
      <c r="B11" s="356"/>
      <c r="C11" s="1897">
        <f>SUM(C9:C10)</f>
        <v>767</v>
      </c>
      <c r="D11" s="489">
        <f>SUM(D9:D10)</f>
        <v>776</v>
      </c>
      <c r="E11" s="489"/>
      <c r="F11" s="489">
        <f>SUM(F10:F10)</f>
        <v>-48</v>
      </c>
      <c r="G11" s="358">
        <f>IF(D11=0,0,C11/D11-1)</f>
        <v>-1.1597938144329856E-2</v>
      </c>
      <c r="H11" s="359"/>
      <c r="I11" s="1906">
        <v>828.96156397911636</v>
      </c>
      <c r="J11" s="357"/>
      <c r="K11" s="489">
        <f>SUM(K9:K10)</f>
        <v>-61.961563979116363</v>
      </c>
      <c r="L11" s="360">
        <f>C11/I11-1</f>
        <v>-7.4746003519986282E-2</v>
      </c>
      <c r="M11" s="346"/>
      <c r="N11" s="346"/>
      <c r="O11" s="346"/>
      <c r="P11" s="346"/>
      <c r="Q11" s="346"/>
      <c r="R11" s="346"/>
      <c r="S11" s="346"/>
      <c r="T11" s="346"/>
      <c r="U11" s="346"/>
      <c r="V11" s="345"/>
      <c r="W11" s="345"/>
      <c r="X11" s="345"/>
      <c r="Y11" s="345"/>
      <c r="Z11" s="345"/>
      <c r="AA11" s="345"/>
      <c r="AB11" s="345"/>
      <c r="AC11" s="345"/>
      <c r="AD11" s="345"/>
      <c r="AE11" s="345"/>
      <c r="AF11" s="345"/>
      <c r="AG11" s="345"/>
      <c r="AH11" s="345"/>
      <c r="AI11" s="345"/>
      <c r="AJ11" s="345"/>
      <c r="AK11" s="345"/>
      <c r="AL11" s="345"/>
      <c r="AM11" s="345"/>
      <c r="AN11" s="345"/>
      <c r="AO11" s="345"/>
      <c r="AP11" s="345"/>
      <c r="AQ11" s="345"/>
      <c r="AR11" s="345"/>
      <c r="AS11" s="345"/>
      <c r="AT11" s="345"/>
      <c r="AU11" s="345"/>
      <c r="AV11" s="345"/>
      <c r="AW11" s="345"/>
    </row>
    <row r="12" spans="1:49" ht="13.5" customHeight="1" x14ac:dyDescent="0.2">
      <c r="A12" s="346"/>
      <c r="B12" s="346"/>
      <c r="C12" s="1896"/>
      <c r="D12" s="352"/>
      <c r="E12" s="352"/>
      <c r="F12" s="352"/>
      <c r="G12" s="361"/>
      <c r="H12" s="346"/>
      <c r="I12" s="510"/>
      <c r="J12" s="346"/>
      <c r="K12" s="352"/>
      <c r="L12" s="1290"/>
      <c r="M12" s="346"/>
      <c r="N12" s="346"/>
      <c r="O12" s="346"/>
      <c r="P12" s="346"/>
      <c r="Q12" s="346"/>
      <c r="R12" s="346"/>
      <c r="S12" s="346"/>
      <c r="T12" s="346"/>
      <c r="U12" s="346"/>
      <c r="V12" s="345"/>
      <c r="W12" s="345"/>
      <c r="X12" s="345"/>
      <c r="Y12" s="345"/>
      <c r="Z12" s="345"/>
      <c r="AA12" s="345"/>
      <c r="AB12" s="345"/>
      <c r="AC12" s="345"/>
      <c r="AD12" s="345"/>
      <c r="AE12" s="345"/>
      <c r="AF12" s="345"/>
      <c r="AG12" s="345"/>
      <c r="AH12" s="345"/>
      <c r="AI12" s="345"/>
      <c r="AJ12" s="345"/>
      <c r="AK12" s="345"/>
      <c r="AL12" s="345"/>
      <c r="AM12" s="345"/>
      <c r="AN12" s="345"/>
      <c r="AO12" s="345"/>
      <c r="AP12" s="345"/>
      <c r="AQ12" s="345"/>
      <c r="AR12" s="345"/>
      <c r="AS12" s="345"/>
      <c r="AT12" s="345"/>
      <c r="AU12" s="345"/>
      <c r="AV12" s="345"/>
      <c r="AW12" s="345"/>
    </row>
    <row r="13" spans="1:49" ht="13.5" customHeight="1" x14ac:dyDescent="0.2">
      <c r="A13" s="362" t="s">
        <v>1913</v>
      </c>
      <c r="B13" s="346"/>
      <c r="C13" s="1896"/>
      <c r="D13" s="352"/>
      <c r="E13" s="352"/>
      <c r="F13" s="352"/>
      <c r="G13" s="361"/>
      <c r="H13" s="346"/>
      <c r="I13" s="510"/>
      <c r="J13" s="346"/>
      <c r="K13" s="352"/>
      <c r="L13" s="1290"/>
      <c r="M13" s="346"/>
      <c r="N13" s="346"/>
      <c r="O13" s="346"/>
      <c r="P13" s="346"/>
      <c r="Q13" s="346"/>
      <c r="R13" s="346"/>
      <c r="S13" s="346"/>
      <c r="T13" s="346"/>
      <c r="U13" s="346"/>
      <c r="V13" s="345"/>
      <c r="W13" s="345"/>
      <c r="X13" s="345"/>
      <c r="Y13" s="345"/>
      <c r="Z13" s="345"/>
      <c r="AA13" s="345"/>
      <c r="AB13" s="345"/>
      <c r="AC13" s="345"/>
      <c r="AD13" s="345"/>
      <c r="AE13" s="345"/>
      <c r="AF13" s="345"/>
      <c r="AG13" s="345"/>
      <c r="AH13" s="345"/>
      <c r="AI13" s="345"/>
      <c r="AJ13" s="345"/>
      <c r="AK13" s="345"/>
      <c r="AL13" s="345"/>
      <c r="AM13" s="345"/>
      <c r="AN13" s="345"/>
      <c r="AO13" s="345"/>
      <c r="AP13" s="345"/>
      <c r="AQ13" s="345"/>
      <c r="AR13" s="345"/>
      <c r="AS13" s="345"/>
      <c r="AT13" s="345"/>
      <c r="AU13" s="345"/>
      <c r="AV13" s="345"/>
      <c r="AW13" s="345"/>
    </row>
    <row r="14" spans="1:49" ht="13.5" customHeight="1" x14ac:dyDescent="0.2">
      <c r="A14" s="896" t="s">
        <v>733</v>
      </c>
      <c r="B14" s="346"/>
      <c r="C14" s="1896">
        <f>+MAR!BT26</f>
        <v>252</v>
      </c>
      <c r="D14" s="352">
        <f>+MAR!BO26</f>
        <v>300</v>
      </c>
      <c r="E14" s="352"/>
      <c r="F14" s="352">
        <f>C14-D14</f>
        <v>-48</v>
      </c>
      <c r="G14" s="354">
        <f>IF(D14=0,0,C14/D14-1)</f>
        <v>-0.16000000000000003</v>
      </c>
      <c r="H14" s="346"/>
      <c r="I14" s="510">
        <v>310.2</v>
      </c>
      <c r="J14" s="346"/>
      <c r="K14" s="352">
        <f>C14-I14</f>
        <v>-58.199999999999989</v>
      </c>
      <c r="L14" s="1289">
        <f>IF(I14=0,"NM",C14/I14-1)</f>
        <v>-0.18762088974854929</v>
      </c>
      <c r="M14" s="346"/>
      <c r="N14" s="346"/>
      <c r="O14" s="346"/>
      <c r="P14" s="346"/>
      <c r="Q14" s="346"/>
      <c r="R14" s="346"/>
      <c r="S14" s="346"/>
      <c r="T14" s="346"/>
      <c r="U14" s="346"/>
      <c r="V14" s="345"/>
      <c r="W14" s="345"/>
      <c r="X14" s="345"/>
      <c r="Y14" s="345"/>
      <c r="Z14" s="345"/>
      <c r="AA14" s="345"/>
      <c r="AB14" s="345"/>
      <c r="AC14" s="345"/>
      <c r="AD14" s="345"/>
      <c r="AE14" s="345"/>
      <c r="AF14" s="345"/>
      <c r="AG14" s="345"/>
      <c r="AH14" s="345"/>
      <c r="AI14" s="345"/>
      <c r="AJ14" s="345"/>
      <c r="AK14" s="345"/>
      <c r="AL14" s="345"/>
      <c r="AM14" s="345"/>
      <c r="AN14" s="345"/>
      <c r="AO14" s="345"/>
      <c r="AP14" s="345"/>
      <c r="AQ14" s="345"/>
      <c r="AR14" s="345"/>
      <c r="AS14" s="345"/>
      <c r="AT14" s="345"/>
      <c r="AU14" s="345"/>
      <c r="AV14" s="345"/>
      <c r="AW14" s="345"/>
    </row>
    <row r="15" spans="1:49" ht="13.5" customHeight="1" x14ac:dyDescent="0.2">
      <c r="A15" s="896" t="s">
        <v>736</v>
      </c>
      <c r="B15" s="346"/>
      <c r="C15" s="1896">
        <f>+MAR!BT29</f>
        <v>206</v>
      </c>
      <c r="D15" s="352">
        <f>+MAR!BO29</f>
        <v>219</v>
      </c>
      <c r="E15" s="352"/>
      <c r="F15" s="352">
        <f>C15-D15</f>
        <v>-13</v>
      </c>
      <c r="G15" s="354">
        <f>IF(D15=0,0,C15/D15-1)</f>
        <v>-5.9360730593607358E-2</v>
      </c>
      <c r="H15" s="346"/>
      <c r="I15" s="510">
        <v>204.61538461538461</v>
      </c>
      <c r="J15" s="346"/>
      <c r="K15" s="352">
        <f>C15-I15</f>
        <v>1.3846153846153868</v>
      </c>
      <c r="L15" s="1289">
        <f>IF(I15=0,"NM",C15/I15-1)</f>
        <v>6.7669172932331989E-3</v>
      </c>
      <c r="M15" s="346"/>
      <c r="N15" s="346"/>
      <c r="O15" s="346"/>
      <c r="P15" s="346"/>
      <c r="Q15" s="346"/>
      <c r="R15" s="346"/>
      <c r="S15" s="346"/>
      <c r="T15" s="346"/>
      <c r="U15" s="346"/>
      <c r="V15" s="345"/>
      <c r="W15" s="345"/>
      <c r="X15" s="345"/>
      <c r="Y15" s="345"/>
      <c r="Z15" s="345"/>
      <c r="AA15" s="345"/>
      <c r="AB15" s="345"/>
      <c r="AC15" s="345"/>
      <c r="AD15" s="345"/>
      <c r="AE15" s="345"/>
      <c r="AF15" s="345"/>
      <c r="AG15" s="345"/>
      <c r="AH15" s="345"/>
      <c r="AI15" s="345"/>
      <c r="AJ15" s="345"/>
      <c r="AK15" s="345"/>
      <c r="AL15" s="345"/>
      <c r="AM15" s="345"/>
      <c r="AN15" s="345"/>
      <c r="AO15" s="345"/>
      <c r="AP15" s="345"/>
      <c r="AQ15" s="345"/>
      <c r="AR15" s="345"/>
      <c r="AS15" s="345"/>
      <c r="AT15" s="345"/>
      <c r="AU15" s="345"/>
      <c r="AV15" s="345"/>
      <c r="AW15" s="345"/>
    </row>
    <row r="16" spans="1:49" ht="13.5" customHeight="1" x14ac:dyDescent="0.2">
      <c r="A16" s="896" t="s">
        <v>2247</v>
      </c>
      <c r="B16" s="346"/>
      <c r="C16" s="1896"/>
      <c r="D16" s="352"/>
      <c r="E16" s="352"/>
      <c r="F16" s="352"/>
      <c r="G16" s="354"/>
      <c r="H16" s="346"/>
      <c r="I16" s="510"/>
      <c r="J16" s="346"/>
      <c r="K16" s="352"/>
      <c r="L16" s="1289"/>
      <c r="M16" s="346"/>
      <c r="N16" s="346"/>
      <c r="O16" s="346"/>
      <c r="P16" s="346"/>
      <c r="Q16" s="346"/>
      <c r="R16" s="346"/>
      <c r="S16" s="346"/>
      <c r="T16" s="346"/>
      <c r="U16" s="346"/>
      <c r="V16" s="345"/>
      <c r="W16" s="345"/>
      <c r="X16" s="345"/>
      <c r="Y16" s="345"/>
      <c r="Z16" s="345"/>
      <c r="AA16" s="345"/>
      <c r="AB16" s="345"/>
      <c r="AC16" s="345"/>
      <c r="AD16" s="345"/>
      <c r="AE16" s="345"/>
      <c r="AF16" s="345"/>
      <c r="AG16" s="345"/>
      <c r="AH16" s="345"/>
      <c r="AI16" s="345"/>
      <c r="AJ16" s="345"/>
      <c r="AK16" s="345"/>
      <c r="AL16" s="345"/>
      <c r="AM16" s="345"/>
      <c r="AN16" s="345"/>
      <c r="AO16" s="345"/>
      <c r="AP16" s="345"/>
      <c r="AQ16" s="345"/>
      <c r="AR16" s="345"/>
      <c r="AS16" s="345"/>
      <c r="AT16" s="345"/>
      <c r="AU16" s="345"/>
      <c r="AV16" s="345"/>
      <c r="AW16" s="345"/>
    </row>
    <row r="17" spans="1:49" ht="13.5" customHeight="1" x14ac:dyDescent="0.2">
      <c r="A17" s="355" t="s">
        <v>1913</v>
      </c>
      <c r="B17" s="356"/>
      <c r="C17" s="1897"/>
      <c r="D17" s="489"/>
      <c r="E17" s="488"/>
      <c r="F17" s="357"/>
      <c r="G17" s="358"/>
      <c r="H17" s="359"/>
      <c r="I17" s="1906"/>
      <c r="J17" s="357"/>
      <c r="K17" s="357"/>
      <c r="L17" s="360"/>
      <c r="M17" s="346"/>
      <c r="N17" s="346"/>
      <c r="O17" s="346"/>
      <c r="P17" s="346"/>
      <c r="Q17" s="346"/>
      <c r="R17" s="346"/>
      <c r="S17" s="346"/>
      <c r="T17" s="346"/>
      <c r="U17" s="346"/>
      <c r="V17" s="345"/>
      <c r="W17" s="345"/>
      <c r="X17" s="345"/>
      <c r="Y17" s="345"/>
      <c r="Z17" s="345"/>
      <c r="AA17" s="345"/>
      <c r="AB17" s="345"/>
      <c r="AC17" s="345"/>
      <c r="AD17" s="345"/>
      <c r="AE17" s="345"/>
      <c r="AF17" s="345"/>
      <c r="AG17" s="345"/>
      <c r="AH17" s="345"/>
      <c r="AI17" s="345"/>
      <c r="AJ17" s="345"/>
      <c r="AK17" s="345"/>
      <c r="AL17" s="345"/>
      <c r="AM17" s="345"/>
      <c r="AN17" s="345"/>
      <c r="AO17" s="345"/>
      <c r="AP17" s="345"/>
      <c r="AQ17" s="345"/>
      <c r="AR17" s="345"/>
      <c r="AS17" s="345"/>
      <c r="AT17" s="345"/>
      <c r="AU17" s="345"/>
      <c r="AV17" s="345"/>
      <c r="AW17" s="345"/>
    </row>
    <row r="18" spans="1:49" ht="13.5" customHeight="1" x14ac:dyDescent="0.2">
      <c r="A18" s="896"/>
      <c r="B18" s="346"/>
      <c r="C18" s="1896"/>
      <c r="D18" s="352"/>
      <c r="E18" s="346"/>
      <c r="F18" s="346"/>
      <c r="G18" s="361"/>
      <c r="H18" s="346"/>
      <c r="I18" s="510"/>
      <c r="J18" s="346"/>
      <c r="K18" s="346"/>
      <c r="L18" s="1290"/>
      <c r="M18" s="346"/>
      <c r="N18" s="346"/>
      <c r="O18" s="346"/>
      <c r="P18" s="346"/>
      <c r="Q18" s="346"/>
      <c r="R18" s="346"/>
      <c r="S18" s="346"/>
      <c r="T18" s="346"/>
      <c r="U18" s="346"/>
      <c r="V18" s="345"/>
      <c r="W18" s="345"/>
      <c r="X18" s="345"/>
      <c r="Y18" s="345"/>
      <c r="Z18" s="345"/>
      <c r="AA18" s="345"/>
      <c r="AB18" s="345"/>
      <c r="AC18" s="345"/>
      <c r="AD18" s="345"/>
      <c r="AE18" s="345"/>
      <c r="AF18" s="345"/>
      <c r="AG18" s="345"/>
      <c r="AH18" s="345"/>
      <c r="AI18" s="345"/>
      <c r="AJ18" s="345"/>
      <c r="AK18" s="345"/>
      <c r="AL18" s="345"/>
      <c r="AM18" s="345"/>
      <c r="AN18" s="345"/>
      <c r="AO18" s="345"/>
      <c r="AP18" s="345"/>
      <c r="AQ18" s="345"/>
      <c r="AR18" s="345"/>
      <c r="AS18" s="345"/>
      <c r="AT18" s="345"/>
      <c r="AU18" s="345"/>
      <c r="AV18" s="345"/>
      <c r="AW18" s="345"/>
    </row>
    <row r="19" spans="1:49" ht="13.5" customHeight="1" x14ac:dyDescent="0.2">
      <c r="A19" s="331" t="s">
        <v>1863</v>
      </c>
      <c r="B19" s="1130"/>
      <c r="C19" s="1897">
        <f>C11-C17</f>
        <v>767</v>
      </c>
      <c r="D19" s="489">
        <f>D11-D17</f>
        <v>776</v>
      </c>
      <c r="E19" s="1130"/>
      <c r="F19" s="489">
        <f>C19-D19</f>
        <v>-9</v>
      </c>
      <c r="G19" s="358">
        <f>IF(D19=0,0,C19/D19-1)</f>
        <v>-1.1597938144329856E-2</v>
      </c>
      <c r="H19" s="1130"/>
      <c r="I19" s="1906">
        <v>361.14617936373179</v>
      </c>
      <c r="J19" s="1130"/>
      <c r="K19" s="489">
        <f>C19-I19</f>
        <v>405.85382063626821</v>
      </c>
      <c r="L19" s="360">
        <f>IF(I19=0,"NM",C19/I19-1)</f>
        <v>1.1237937539621834</v>
      </c>
      <c r="M19" s="362"/>
      <c r="N19" s="362"/>
      <c r="O19" s="362"/>
      <c r="P19" s="362"/>
      <c r="Q19" s="362"/>
      <c r="R19" s="362"/>
      <c r="S19" s="362"/>
      <c r="T19" s="362"/>
      <c r="U19" s="362"/>
      <c r="V19" s="344"/>
      <c r="W19" s="344"/>
      <c r="X19" s="344"/>
      <c r="Y19" s="344"/>
      <c r="Z19" s="344"/>
      <c r="AA19" s="344"/>
      <c r="AB19" s="344"/>
      <c r="AC19" s="344"/>
      <c r="AD19" s="344"/>
      <c r="AE19" s="344"/>
      <c r="AF19" s="344"/>
      <c r="AG19" s="344"/>
      <c r="AH19" s="344"/>
      <c r="AI19" s="344"/>
      <c r="AJ19" s="344"/>
      <c r="AK19" s="344"/>
      <c r="AL19" s="344"/>
      <c r="AM19" s="344"/>
      <c r="AN19" s="344"/>
      <c r="AO19" s="344"/>
      <c r="AP19" s="344"/>
      <c r="AQ19" s="344"/>
      <c r="AR19" s="344"/>
      <c r="AS19" s="344"/>
      <c r="AT19" s="344"/>
      <c r="AU19" s="344"/>
      <c r="AV19" s="344"/>
      <c r="AW19" s="344"/>
    </row>
    <row r="20" spans="1:49" ht="13.5" customHeight="1" x14ac:dyDescent="0.2">
      <c r="A20" s="1224" t="s">
        <v>2248</v>
      </c>
      <c r="B20" s="1132"/>
      <c r="C20" s="1894">
        <f>-C16</f>
        <v>0</v>
      </c>
      <c r="D20" s="1134">
        <f>-D16</f>
        <v>0</v>
      </c>
      <c r="E20" s="1132"/>
      <c r="F20" s="1134">
        <f>C20-D20</f>
        <v>0</v>
      </c>
      <c r="G20" s="1135">
        <f>IF(D20=0,0,C20/D20-1)</f>
        <v>0</v>
      </c>
      <c r="H20" s="1132"/>
      <c r="I20" s="1168">
        <v>47</v>
      </c>
      <c r="J20" s="1132"/>
      <c r="K20" s="1134">
        <f>C20-I20</f>
        <v>-47</v>
      </c>
      <c r="L20" s="1291">
        <f>IF(I20=0,"NM",C20/I20-1)</f>
        <v>-1</v>
      </c>
      <c r="M20" s="346"/>
      <c r="N20" s="346"/>
      <c r="O20" s="346"/>
      <c r="P20" s="346"/>
      <c r="Q20" s="346"/>
      <c r="R20" s="346"/>
      <c r="S20" s="346"/>
      <c r="T20" s="346"/>
      <c r="U20" s="346"/>
      <c r="V20" s="345"/>
      <c r="W20" s="345"/>
      <c r="X20" s="345"/>
      <c r="Y20" s="345"/>
      <c r="Z20" s="345"/>
      <c r="AA20" s="345"/>
      <c r="AB20" s="345"/>
      <c r="AC20" s="345"/>
      <c r="AD20" s="345"/>
      <c r="AE20" s="345"/>
      <c r="AF20" s="345"/>
      <c r="AG20" s="345"/>
      <c r="AH20" s="345"/>
      <c r="AI20" s="345"/>
      <c r="AJ20" s="345"/>
      <c r="AK20" s="345"/>
      <c r="AL20" s="345"/>
      <c r="AM20" s="345"/>
      <c r="AN20" s="345"/>
      <c r="AO20" s="345"/>
      <c r="AP20" s="345"/>
      <c r="AQ20" s="345"/>
      <c r="AR20" s="345"/>
      <c r="AS20" s="345"/>
      <c r="AT20" s="345"/>
      <c r="AU20" s="345"/>
      <c r="AV20" s="345"/>
      <c r="AW20" s="345"/>
    </row>
    <row r="21" spans="1:49" ht="13.5" customHeight="1" x14ac:dyDescent="0.2">
      <c r="A21" s="897" t="s">
        <v>1343</v>
      </c>
      <c r="B21" s="362"/>
      <c r="C21" s="1898">
        <f>C19-C20</f>
        <v>767</v>
      </c>
      <c r="D21" s="485">
        <f>D19-D20</f>
        <v>776</v>
      </c>
      <c r="E21" s="362"/>
      <c r="F21" s="485">
        <f>C21-D21</f>
        <v>-9</v>
      </c>
      <c r="G21" s="482">
        <f>IF(D21=0,0,C21/D21-1)</f>
        <v>-1.1597938144329856E-2</v>
      </c>
      <c r="H21" s="362"/>
      <c r="I21" s="1907">
        <v>314.14617936373179</v>
      </c>
      <c r="J21" s="362"/>
      <c r="K21" s="485">
        <f>C21-I21</f>
        <v>452.85382063626821</v>
      </c>
      <c r="L21" s="1292">
        <f>IF(I21=0,"NM",C21/I21-1)</f>
        <v>1.4415385269159513</v>
      </c>
      <c r="M21" s="362"/>
      <c r="N21" s="1144">
        <v>303.5</v>
      </c>
      <c r="O21" s="1144"/>
      <c r="P21" s="362"/>
      <c r="Q21" s="362"/>
      <c r="R21" s="362"/>
      <c r="S21" s="362"/>
      <c r="T21" s="362"/>
      <c r="U21" s="362"/>
      <c r="V21" s="344"/>
      <c r="W21" s="344"/>
      <c r="X21" s="344"/>
      <c r="Y21" s="344"/>
      <c r="Z21" s="344"/>
      <c r="AA21" s="344"/>
      <c r="AB21" s="344"/>
      <c r="AC21" s="344"/>
      <c r="AD21" s="344"/>
      <c r="AE21" s="344"/>
      <c r="AF21" s="344"/>
      <c r="AG21" s="344"/>
      <c r="AH21" s="344"/>
      <c r="AI21" s="344"/>
      <c r="AJ21" s="344"/>
      <c r="AK21" s="344"/>
      <c r="AL21" s="344"/>
      <c r="AM21" s="344"/>
      <c r="AN21" s="344"/>
      <c r="AO21" s="344"/>
      <c r="AP21" s="344"/>
      <c r="AQ21" s="344"/>
      <c r="AR21" s="344"/>
      <c r="AS21" s="344"/>
      <c r="AT21" s="344"/>
      <c r="AU21" s="344"/>
      <c r="AV21" s="344"/>
      <c r="AW21" s="344"/>
    </row>
    <row r="22" spans="1:49" ht="13.5" customHeight="1" x14ac:dyDescent="0.2">
      <c r="A22" s="897"/>
      <c r="B22" s="346"/>
      <c r="C22" s="1898"/>
      <c r="D22" s="485"/>
      <c r="E22" s="346"/>
      <c r="F22" s="352"/>
      <c r="G22" s="361"/>
      <c r="H22" s="346"/>
      <c r="I22" s="1907"/>
      <c r="J22" s="346"/>
      <c r="K22" s="352"/>
      <c r="L22" s="1290"/>
      <c r="M22" s="346"/>
      <c r="N22" s="346"/>
      <c r="O22" s="346"/>
      <c r="P22" s="346"/>
      <c r="Q22" s="346"/>
      <c r="R22" s="346"/>
      <c r="S22" s="346"/>
      <c r="T22" s="346"/>
      <c r="U22" s="346"/>
      <c r="V22" s="345"/>
      <c r="W22" s="345"/>
      <c r="X22" s="345"/>
      <c r="Y22" s="345"/>
      <c r="Z22" s="345"/>
      <c r="AA22" s="345"/>
      <c r="AB22" s="345"/>
      <c r="AC22" s="345"/>
      <c r="AD22" s="345"/>
      <c r="AE22" s="345"/>
      <c r="AF22" s="345"/>
      <c r="AG22" s="345"/>
      <c r="AH22" s="345"/>
      <c r="AI22" s="345"/>
      <c r="AJ22" s="345"/>
      <c r="AK22" s="345"/>
      <c r="AL22" s="345"/>
      <c r="AM22" s="345"/>
      <c r="AN22" s="345"/>
      <c r="AO22" s="345"/>
      <c r="AP22" s="345"/>
      <c r="AQ22" s="345"/>
      <c r="AR22" s="345"/>
      <c r="AS22" s="345"/>
      <c r="AT22" s="345"/>
      <c r="AU22" s="345"/>
      <c r="AV22" s="345"/>
      <c r="AW22" s="345"/>
    </row>
    <row r="23" spans="1:49" ht="13.5" customHeight="1" x14ac:dyDescent="0.2">
      <c r="A23" s="896" t="s">
        <v>2249</v>
      </c>
      <c r="B23" s="346"/>
      <c r="C23" s="1896">
        <f>+MAR!BT39</f>
        <v>-41</v>
      </c>
      <c r="D23" s="352">
        <f>+MAR!BO39</f>
        <v>-42</v>
      </c>
      <c r="E23" s="346"/>
      <c r="F23" s="352">
        <f>C23-D23</f>
        <v>1</v>
      </c>
      <c r="G23" s="354">
        <f>IF(D23=0,0,C23/D23-1)</f>
        <v>-2.3809523809523836E-2</v>
      </c>
      <c r="H23" s="346"/>
      <c r="I23" s="510">
        <v>-36.174429251844046</v>
      </c>
      <c r="J23" s="346"/>
      <c r="K23" s="352">
        <f>C23-I23</f>
        <v>-4.825570748155954</v>
      </c>
      <c r="L23" s="1289">
        <f>IF(I23=0,"NM",C23/I23-1)</f>
        <v>0.13339728775153969</v>
      </c>
      <c r="M23" s="346"/>
      <c r="N23" s="346"/>
      <c r="O23" s="346"/>
      <c r="P23" s="346"/>
      <c r="Q23" s="346"/>
      <c r="R23" s="346"/>
      <c r="S23" s="346"/>
      <c r="T23" s="346"/>
      <c r="U23" s="346"/>
      <c r="V23" s="345"/>
      <c r="W23" s="345"/>
      <c r="X23" s="345"/>
      <c r="Y23" s="345"/>
      <c r="Z23" s="345"/>
      <c r="AA23" s="345"/>
      <c r="AB23" s="345"/>
      <c r="AC23" s="345"/>
      <c r="AD23" s="345"/>
      <c r="AE23" s="345"/>
      <c r="AF23" s="345"/>
      <c r="AG23" s="345"/>
      <c r="AH23" s="345"/>
      <c r="AI23" s="345"/>
      <c r="AJ23" s="345"/>
      <c r="AK23" s="345"/>
      <c r="AL23" s="345"/>
      <c r="AM23" s="345"/>
      <c r="AN23" s="345"/>
      <c r="AO23" s="345"/>
      <c r="AP23" s="345"/>
      <c r="AQ23" s="345"/>
      <c r="AR23" s="345"/>
      <c r="AS23" s="345"/>
      <c r="AT23" s="345"/>
      <c r="AU23" s="345"/>
      <c r="AV23" s="345"/>
      <c r="AW23" s="345"/>
    </row>
    <row r="24" spans="1:49" ht="13.5" customHeight="1" x14ac:dyDescent="0.2">
      <c r="A24" s="896" t="s">
        <v>2250</v>
      </c>
      <c r="B24" s="346"/>
      <c r="C24" s="1896">
        <f>+MAR!BT40</f>
        <v>7</v>
      </c>
      <c r="D24" s="352">
        <f>+MAR!BO40</f>
        <v>7</v>
      </c>
      <c r="E24" s="346"/>
      <c r="F24" s="352">
        <f>C24-D24</f>
        <v>0</v>
      </c>
      <c r="G24" s="354">
        <f>IF(D24=0,0,C24/D24-1)</f>
        <v>0</v>
      </c>
      <c r="H24" s="346"/>
      <c r="I24" s="510">
        <v>4.2042781875658592</v>
      </c>
      <c r="J24" s="346"/>
      <c r="K24" s="352">
        <f>C24-I24</f>
        <v>2.7957218124341408</v>
      </c>
      <c r="L24" s="1289">
        <f>IF(I24=0,"NM",C24/I24-1)</f>
        <v>0.66497070072634101</v>
      </c>
      <c r="M24" s="346"/>
      <c r="N24" s="346"/>
      <c r="O24" s="346"/>
      <c r="P24" s="346"/>
      <c r="Q24" s="346"/>
      <c r="R24" s="346"/>
      <c r="S24" s="346"/>
      <c r="T24" s="346"/>
      <c r="U24" s="346"/>
      <c r="V24" s="345"/>
      <c r="W24" s="345"/>
      <c r="X24" s="345"/>
      <c r="Y24" s="345"/>
      <c r="Z24" s="345"/>
      <c r="AA24" s="345"/>
      <c r="AB24" s="345"/>
      <c r="AC24" s="345"/>
      <c r="AD24" s="345"/>
      <c r="AE24" s="345"/>
      <c r="AF24" s="345"/>
      <c r="AG24" s="345"/>
      <c r="AH24" s="345"/>
      <c r="AI24" s="345"/>
      <c r="AJ24" s="345"/>
      <c r="AK24" s="345"/>
      <c r="AL24" s="345"/>
      <c r="AM24" s="345"/>
      <c r="AN24" s="345"/>
      <c r="AO24" s="345"/>
      <c r="AP24" s="345"/>
      <c r="AQ24" s="345"/>
      <c r="AR24" s="345"/>
      <c r="AS24" s="345"/>
      <c r="AT24" s="345"/>
      <c r="AU24" s="345"/>
      <c r="AV24" s="345"/>
      <c r="AW24" s="345"/>
    </row>
    <row r="25" spans="1:49" ht="13.5" customHeight="1" x14ac:dyDescent="0.2">
      <c r="A25" s="896" t="s">
        <v>2251</v>
      </c>
      <c r="B25" s="346"/>
      <c r="C25" s="1896">
        <f>+MAR!BT38</f>
        <v>-1</v>
      </c>
      <c r="D25" s="352">
        <f>+MAR!BO38</f>
        <v>1</v>
      </c>
      <c r="E25" s="346"/>
      <c r="F25" s="352">
        <f>C25-D25</f>
        <v>-2</v>
      </c>
      <c r="G25" s="354">
        <f>IF(D25=0,0,C25/D25-1)</f>
        <v>-2</v>
      </c>
      <c r="H25" s="346"/>
      <c r="I25" s="510">
        <v>4</v>
      </c>
      <c r="J25" s="346"/>
      <c r="K25" s="352">
        <f>C25-I25</f>
        <v>-5</v>
      </c>
      <c r="L25" s="1289">
        <f>IF(I25=0,"NM",C25/I25-1)</f>
        <v>-1.25</v>
      </c>
      <c r="M25" s="346"/>
      <c r="N25" s="346"/>
      <c r="O25" s="346"/>
      <c r="P25" s="346"/>
      <c r="Q25" s="346"/>
      <c r="R25" s="346"/>
      <c r="S25" s="346"/>
      <c r="T25" s="346"/>
      <c r="U25" s="346"/>
      <c r="V25" s="345"/>
      <c r="W25" s="345"/>
      <c r="X25" s="345"/>
      <c r="Y25" s="345"/>
      <c r="Z25" s="345"/>
      <c r="AA25" s="345"/>
      <c r="AB25" s="345"/>
      <c r="AC25" s="345"/>
      <c r="AD25" s="345"/>
      <c r="AE25" s="345"/>
      <c r="AF25" s="345"/>
      <c r="AG25" s="345"/>
      <c r="AH25" s="345"/>
      <c r="AI25" s="345"/>
      <c r="AJ25" s="345"/>
      <c r="AK25" s="345"/>
      <c r="AL25" s="345"/>
      <c r="AM25" s="345"/>
      <c r="AN25" s="345"/>
      <c r="AO25" s="345"/>
      <c r="AP25" s="345"/>
      <c r="AQ25" s="345"/>
      <c r="AR25" s="345"/>
      <c r="AS25" s="345"/>
      <c r="AT25" s="345"/>
      <c r="AU25" s="345"/>
      <c r="AV25" s="345"/>
      <c r="AW25" s="345"/>
    </row>
    <row r="26" spans="1:49" ht="13.5" customHeight="1" x14ac:dyDescent="0.2">
      <c r="A26" s="1224" t="s">
        <v>712</v>
      </c>
      <c r="B26" s="1132"/>
      <c r="C26" s="1899">
        <f>+MAR!BT42</f>
        <v>-3</v>
      </c>
      <c r="D26" s="1155">
        <f>+MAR!BO42</f>
        <v>-7</v>
      </c>
      <c r="E26" s="1132"/>
      <c r="F26" s="1155">
        <f>C26-D26</f>
        <v>4</v>
      </c>
      <c r="G26" s="1135">
        <f>IF(D26=0,0,C26/D26-1)</f>
        <v>-0.5714285714285714</v>
      </c>
      <c r="H26" s="1132"/>
      <c r="I26" s="1169">
        <v>0</v>
      </c>
      <c r="J26" s="1132"/>
      <c r="K26" s="1155">
        <f>C26-I26</f>
        <v>-3</v>
      </c>
      <c r="L26" s="1291" t="str">
        <f>IF(I26=0,"NM",C26/I26-1)</f>
        <v>NM</v>
      </c>
      <c r="M26" s="346"/>
      <c r="N26" s="346"/>
      <c r="O26" s="346"/>
      <c r="P26" s="346"/>
      <c r="Q26" s="346"/>
      <c r="R26" s="346"/>
      <c r="S26" s="346"/>
      <c r="T26" s="346"/>
      <c r="U26" s="346"/>
      <c r="V26" s="345"/>
      <c r="W26" s="345"/>
      <c r="X26" s="345"/>
      <c r="Y26" s="345"/>
      <c r="Z26" s="345"/>
      <c r="AA26" s="345"/>
      <c r="AB26" s="345"/>
      <c r="AC26" s="345"/>
      <c r="AD26" s="345"/>
      <c r="AE26" s="345"/>
      <c r="AF26" s="345"/>
      <c r="AG26" s="345"/>
      <c r="AH26" s="345"/>
      <c r="AI26" s="345"/>
      <c r="AJ26" s="345"/>
      <c r="AK26" s="345"/>
      <c r="AL26" s="345"/>
      <c r="AM26" s="345"/>
      <c r="AN26" s="345"/>
      <c r="AO26" s="345"/>
      <c r="AP26" s="345"/>
      <c r="AQ26" s="345"/>
      <c r="AR26" s="345"/>
      <c r="AS26" s="345"/>
      <c r="AT26" s="345"/>
      <c r="AU26" s="345"/>
      <c r="AV26" s="345"/>
      <c r="AW26" s="345"/>
    </row>
    <row r="27" spans="1:49" ht="13.5" customHeight="1" x14ac:dyDescent="0.2">
      <c r="A27" s="362" t="s">
        <v>642</v>
      </c>
      <c r="B27" s="362"/>
      <c r="C27" s="1898">
        <f>C21+SUM(C23:C26)</f>
        <v>729</v>
      </c>
      <c r="D27" s="485">
        <f>D21+SUM(D23:D26)</f>
        <v>735</v>
      </c>
      <c r="E27" s="362"/>
      <c r="F27" s="485">
        <f>C27-D27</f>
        <v>-6</v>
      </c>
      <c r="G27" s="482">
        <f>IF(D27=0,0,C27/D27-1)</f>
        <v>-8.1632653061224358E-3</v>
      </c>
      <c r="H27" s="362"/>
      <c r="I27" s="1907">
        <v>286.17602829945361</v>
      </c>
      <c r="J27" s="362"/>
      <c r="K27" s="485">
        <f>C27-I27</f>
        <v>442.82397170054639</v>
      </c>
      <c r="L27" s="1292">
        <f>IF(I27=0,"NM",C27/I27-1)</f>
        <v>1.547383176473387</v>
      </c>
      <c r="M27" s="362"/>
      <c r="N27" s="362"/>
      <c r="O27" s="362"/>
      <c r="P27" s="362"/>
      <c r="Q27" s="362"/>
      <c r="R27" s="362"/>
      <c r="S27" s="362"/>
      <c r="T27" s="362"/>
      <c r="U27" s="362"/>
      <c r="V27" s="344"/>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344"/>
      <c r="AV27" s="344"/>
      <c r="AW27" s="344"/>
    </row>
    <row r="28" spans="1:49" ht="13.5" customHeight="1" x14ac:dyDescent="0.2">
      <c r="A28" s="1383" t="s">
        <v>90</v>
      </c>
      <c r="B28" s="362"/>
      <c r="C28" s="999">
        <f>-C29/C27</f>
        <v>0.12345679012345678</v>
      </c>
      <c r="D28" s="1384">
        <f>-D29/D27</f>
        <v>7.7551020408163265E-2</v>
      </c>
      <c r="E28" s="362"/>
      <c r="F28" s="485"/>
      <c r="G28" s="482"/>
      <c r="H28" s="362"/>
      <c r="I28" s="998">
        <v>0.34</v>
      </c>
      <c r="J28" s="362"/>
      <c r="K28" s="485"/>
      <c r="L28" s="1292"/>
      <c r="M28" s="362"/>
      <c r="N28" s="362"/>
      <c r="O28" s="362"/>
      <c r="P28" s="362"/>
      <c r="Q28" s="362"/>
      <c r="R28" s="362"/>
      <c r="S28" s="362"/>
      <c r="T28" s="362"/>
      <c r="U28" s="362"/>
      <c r="V28" s="344"/>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344"/>
      <c r="AV28" s="344"/>
      <c r="AW28" s="344"/>
    </row>
    <row r="29" spans="1:49" ht="13.5" customHeight="1" x14ac:dyDescent="0.2">
      <c r="A29" s="1132" t="s">
        <v>713</v>
      </c>
      <c r="B29" s="1132"/>
      <c r="C29" s="1899">
        <f>+MAR!BT48</f>
        <v>-90</v>
      </c>
      <c r="D29" s="1155">
        <f>+MAR!BO48</f>
        <v>-57</v>
      </c>
      <c r="E29" s="1138"/>
      <c r="F29" s="1155">
        <f>C29-D29</f>
        <v>-33</v>
      </c>
      <c r="G29" s="1135">
        <f t="shared" ref="G29:G34" si="0">IF(D29=0,0,C29/D29-1)</f>
        <v>0.57894736842105265</v>
      </c>
      <c r="H29" s="1132"/>
      <c r="I29" s="1169">
        <v>-97.299849621814232</v>
      </c>
      <c r="J29" s="1138"/>
      <c r="K29" s="1155">
        <f>C29-I29</f>
        <v>7.2998496218142321</v>
      </c>
      <c r="L29" s="1291">
        <f>IF(I29=0,"NM",C29/I29-1)</f>
        <v>-7.5024264170883481E-2</v>
      </c>
      <c r="M29" s="346"/>
      <c r="N29" s="346"/>
      <c r="O29" s="346"/>
      <c r="P29" s="1406"/>
      <c r="Q29" s="346"/>
      <c r="R29" s="346"/>
      <c r="S29" s="346"/>
      <c r="T29" s="346"/>
      <c r="U29" s="346"/>
      <c r="V29" s="345"/>
      <c r="W29" s="345"/>
      <c r="X29" s="345"/>
      <c r="Y29" s="345"/>
      <c r="Z29" s="345"/>
      <c r="AA29" s="345"/>
      <c r="AB29" s="345"/>
      <c r="AC29" s="345"/>
      <c r="AD29" s="345"/>
      <c r="AE29" s="345"/>
      <c r="AF29" s="345"/>
      <c r="AG29" s="345"/>
      <c r="AH29" s="345"/>
      <c r="AI29" s="345"/>
      <c r="AJ29" s="345"/>
      <c r="AK29" s="345"/>
      <c r="AL29" s="345"/>
      <c r="AM29" s="345"/>
      <c r="AN29" s="345"/>
      <c r="AO29" s="345"/>
      <c r="AP29" s="345"/>
      <c r="AQ29" s="345"/>
      <c r="AR29" s="345"/>
      <c r="AS29" s="345"/>
      <c r="AT29" s="345"/>
      <c r="AU29" s="345"/>
      <c r="AV29" s="345"/>
      <c r="AW29" s="345"/>
    </row>
    <row r="30" spans="1:49" ht="13.5" customHeight="1" x14ac:dyDescent="0.2">
      <c r="A30" s="362" t="s">
        <v>1296</v>
      </c>
      <c r="B30" s="362"/>
      <c r="C30" s="1898">
        <f>C27+C29</f>
        <v>639</v>
      </c>
      <c r="D30" s="485">
        <f>D27+D29</f>
        <v>678</v>
      </c>
      <c r="E30" s="486"/>
      <c r="F30" s="485">
        <f>SUM(F27:F29)</f>
        <v>-39</v>
      </c>
      <c r="G30" s="482">
        <f t="shared" si="0"/>
        <v>-5.7522123893805288E-2</v>
      </c>
      <c r="H30" s="362"/>
      <c r="I30" s="1907">
        <v>188.87617867763936</v>
      </c>
      <c r="J30" s="486"/>
      <c r="K30" s="485">
        <f>C30-I30</f>
        <v>450.12382132236064</v>
      </c>
      <c r="L30" s="1292">
        <f>IF(I30=0,"NM",C30/I30-1)</f>
        <v>2.3831688277143752</v>
      </c>
      <c r="M30" s="362"/>
      <c r="N30" s="362"/>
      <c r="O30" s="362"/>
      <c r="P30" s="362"/>
      <c r="Q30" s="362"/>
      <c r="R30" s="362"/>
      <c r="S30" s="362"/>
      <c r="T30" s="362"/>
      <c r="U30" s="362"/>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344"/>
      <c r="AU30" s="344"/>
      <c r="AV30" s="344"/>
      <c r="AW30" s="344"/>
    </row>
    <row r="31" spans="1:49" ht="13.5" customHeight="1" x14ac:dyDescent="0.2">
      <c r="A31" s="346" t="s">
        <v>714</v>
      </c>
      <c r="B31" s="346"/>
      <c r="C31" s="1896">
        <f>+MAR!BT52</f>
        <v>0</v>
      </c>
      <c r="D31" s="352">
        <f>+MAR!BO52</f>
        <v>0</v>
      </c>
      <c r="E31" s="353"/>
      <c r="F31" s="352">
        <f>C31-D31</f>
        <v>0</v>
      </c>
      <c r="G31" s="354">
        <f t="shared" si="0"/>
        <v>0</v>
      </c>
      <c r="H31" s="346"/>
      <c r="I31" s="510">
        <v>0</v>
      </c>
      <c r="J31" s="353"/>
      <c r="K31" s="352">
        <f>C31-I31</f>
        <v>0</v>
      </c>
      <c r="L31" s="1289" t="str">
        <f>IF(I31=0,"NM",C31/I31-1)</f>
        <v>NM</v>
      </c>
      <c r="M31" s="346"/>
      <c r="N31" s="346"/>
      <c r="O31" s="346"/>
      <c r="P31" s="346"/>
      <c r="Q31" s="346"/>
      <c r="R31" s="346"/>
      <c r="S31" s="346"/>
      <c r="T31" s="346"/>
      <c r="U31" s="346"/>
      <c r="V31" s="345"/>
      <c r="W31" s="345"/>
      <c r="X31" s="345"/>
      <c r="Y31" s="345"/>
      <c r="Z31" s="345"/>
      <c r="AA31" s="345"/>
      <c r="AB31" s="345"/>
      <c r="AC31" s="345"/>
      <c r="AD31" s="345"/>
      <c r="AE31" s="345"/>
      <c r="AF31" s="345"/>
      <c r="AG31" s="345"/>
      <c r="AH31" s="345"/>
      <c r="AI31" s="345"/>
      <c r="AJ31" s="345"/>
      <c r="AK31" s="345"/>
      <c r="AL31" s="345"/>
      <c r="AM31" s="345"/>
      <c r="AN31" s="345"/>
      <c r="AO31" s="345"/>
      <c r="AP31" s="345"/>
      <c r="AQ31" s="345"/>
      <c r="AR31" s="345"/>
      <c r="AS31" s="345"/>
      <c r="AT31" s="345"/>
      <c r="AU31" s="345"/>
      <c r="AV31" s="345"/>
      <c r="AW31" s="345"/>
    </row>
    <row r="32" spans="1:49" ht="13.5" customHeight="1" x14ac:dyDescent="0.2">
      <c r="A32" s="355" t="s">
        <v>1298</v>
      </c>
      <c r="B32" s="356"/>
      <c r="C32" s="1897">
        <f>C30-C31</f>
        <v>639</v>
      </c>
      <c r="D32" s="489">
        <f>D30-D31</f>
        <v>678</v>
      </c>
      <c r="E32" s="357"/>
      <c r="F32" s="357">
        <f>C32-D32</f>
        <v>-39</v>
      </c>
      <c r="G32" s="358">
        <f t="shared" si="0"/>
        <v>-5.7522123893805288E-2</v>
      </c>
      <c r="H32" s="359"/>
      <c r="I32" s="1906">
        <v>188.87617867763936</v>
      </c>
      <c r="J32" s="357"/>
      <c r="K32" s="357">
        <f>C32-I32</f>
        <v>450.12382132236064</v>
      </c>
      <c r="L32" s="360">
        <f>IF(I32=0,"NM",C32/I32-1)</f>
        <v>2.3831688277143752</v>
      </c>
      <c r="M32" s="346"/>
      <c r="N32" s="1144">
        <v>179.88</v>
      </c>
      <c r="O32" s="1144"/>
      <c r="P32" s="346"/>
      <c r="Q32" s="346"/>
      <c r="R32" s="346"/>
      <c r="S32" s="346"/>
      <c r="T32" s="346"/>
      <c r="U32" s="346"/>
      <c r="V32" s="345"/>
      <c r="W32" s="345"/>
      <c r="X32" s="345"/>
      <c r="Y32" s="345"/>
      <c r="Z32" s="345"/>
      <c r="AA32" s="345"/>
      <c r="AB32" s="345"/>
      <c r="AC32" s="345"/>
      <c r="AD32" s="345"/>
      <c r="AE32" s="345"/>
      <c r="AF32" s="345"/>
      <c r="AG32" s="345"/>
      <c r="AH32" s="345"/>
      <c r="AI32" s="345"/>
      <c r="AJ32" s="345"/>
      <c r="AK32" s="345"/>
      <c r="AL32" s="345"/>
      <c r="AM32" s="345"/>
      <c r="AN32" s="345"/>
      <c r="AO32" s="345"/>
      <c r="AP32" s="345"/>
      <c r="AQ32" s="345"/>
      <c r="AR32" s="345"/>
      <c r="AS32" s="345"/>
      <c r="AT32" s="345"/>
      <c r="AU32" s="345"/>
      <c r="AV32" s="345"/>
      <c r="AW32" s="345"/>
    </row>
    <row r="33" spans="1:49" ht="13.5" customHeight="1" x14ac:dyDescent="0.2">
      <c r="A33" s="346" t="s">
        <v>715</v>
      </c>
      <c r="B33" s="346"/>
      <c r="C33" s="1896">
        <f>+MAR!BT58</f>
        <v>322.2</v>
      </c>
      <c r="D33" s="352">
        <f>+MAR!BO58</f>
        <v>346.4</v>
      </c>
      <c r="E33" s="353"/>
      <c r="F33" s="352">
        <f>C33-D33</f>
        <v>-24.199999999999989</v>
      </c>
      <c r="G33" s="354">
        <f t="shared" si="0"/>
        <v>-6.9861431870669732E-2</v>
      </c>
      <c r="H33" s="346"/>
      <c r="I33" s="510">
        <v>329.3</v>
      </c>
      <c r="J33" s="353"/>
      <c r="K33" s="352"/>
      <c r="L33" s="1289"/>
      <c r="M33" s="346"/>
      <c r="N33" s="346"/>
      <c r="O33" s="346"/>
      <c r="P33" s="346"/>
      <c r="Q33" s="346"/>
      <c r="R33" s="346"/>
      <c r="S33" s="346"/>
      <c r="T33" s="346"/>
      <c r="U33" s="346"/>
      <c r="V33" s="345"/>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c r="AV33" s="345"/>
      <c r="AW33" s="345"/>
    </row>
    <row r="34" spans="1:49" ht="13.5" customHeight="1" x14ac:dyDescent="0.2">
      <c r="A34" s="355" t="s">
        <v>1595</v>
      </c>
      <c r="B34" s="356"/>
      <c r="C34" s="1900">
        <f>C32/C33</f>
        <v>1.9832402234636872</v>
      </c>
      <c r="D34" s="484">
        <f>D32/D33</f>
        <v>1.9572748267898386</v>
      </c>
      <c r="E34" s="357"/>
      <c r="F34" s="484">
        <f>C34-D34</f>
        <v>2.5965396673848673E-2</v>
      </c>
      <c r="G34" s="358">
        <f t="shared" si="0"/>
        <v>1.3266096471712618E-2</v>
      </c>
      <c r="H34" s="359"/>
      <c r="I34" s="1908">
        <v>0.57356871751484773</v>
      </c>
      <c r="J34" s="357"/>
      <c r="K34" s="484">
        <f>C34-I34</f>
        <v>1.4096715059488396</v>
      </c>
      <c r="L34" s="360">
        <f>IF(I34=0,"NM",C34/I34-1)</f>
        <v>2.4577203444020603</v>
      </c>
      <c r="M34" s="346"/>
      <c r="N34" s="1145">
        <v>0.55000000000000004</v>
      </c>
      <c r="O34" s="1145"/>
      <c r="P34" s="346"/>
      <c r="Q34" s="346"/>
      <c r="R34" s="346"/>
      <c r="S34" s="346"/>
      <c r="T34" s="346"/>
      <c r="U34" s="346"/>
      <c r="V34" s="345"/>
      <c r="W34" s="345"/>
      <c r="X34" s="345"/>
      <c r="Y34" s="345"/>
      <c r="Z34" s="345"/>
      <c r="AA34" s="345"/>
      <c r="AB34" s="345"/>
      <c r="AC34" s="345"/>
      <c r="AD34" s="345"/>
      <c r="AE34" s="345"/>
      <c r="AF34" s="345"/>
      <c r="AG34" s="345"/>
      <c r="AH34" s="345"/>
      <c r="AI34" s="345"/>
      <c r="AJ34" s="345"/>
      <c r="AK34" s="345"/>
      <c r="AL34" s="345"/>
      <c r="AM34" s="345"/>
      <c r="AN34" s="345"/>
      <c r="AO34" s="345"/>
      <c r="AP34" s="345"/>
      <c r="AQ34" s="345"/>
      <c r="AR34" s="345"/>
      <c r="AS34" s="345"/>
      <c r="AT34" s="345"/>
      <c r="AU34" s="345"/>
      <c r="AV34" s="345"/>
      <c r="AW34" s="345"/>
    </row>
    <row r="35" spans="1:49" ht="13.5" customHeight="1" x14ac:dyDescent="0.2">
      <c r="A35" s="346"/>
      <c r="B35" s="346"/>
      <c r="C35" s="1896"/>
      <c r="D35" s="352"/>
      <c r="E35" s="353"/>
      <c r="F35" s="352"/>
      <c r="G35" s="354"/>
      <c r="H35" s="346"/>
      <c r="I35" s="510"/>
      <c r="J35" s="353"/>
      <c r="K35" s="352"/>
      <c r="L35" s="1289"/>
      <c r="M35" s="346"/>
      <c r="N35" s="346"/>
      <c r="O35" s="346"/>
      <c r="P35" s="346"/>
      <c r="Q35" s="346"/>
      <c r="R35" s="346"/>
      <c r="S35" s="346"/>
      <c r="T35" s="346"/>
      <c r="U35" s="346"/>
      <c r="V35" s="345"/>
      <c r="W35" s="345"/>
      <c r="X35" s="345"/>
      <c r="Y35" s="345"/>
      <c r="Z35" s="345"/>
      <c r="AA35" s="345"/>
      <c r="AB35" s="345"/>
      <c r="AC35" s="345"/>
      <c r="AD35" s="345"/>
      <c r="AE35" s="345"/>
      <c r="AF35" s="345"/>
      <c r="AG35" s="345"/>
      <c r="AH35" s="345"/>
      <c r="AI35" s="345"/>
      <c r="AJ35" s="345"/>
      <c r="AK35" s="345"/>
      <c r="AL35" s="345"/>
      <c r="AM35" s="345"/>
      <c r="AN35" s="345"/>
      <c r="AO35" s="345"/>
      <c r="AP35" s="345"/>
      <c r="AQ35" s="345"/>
      <c r="AR35" s="345"/>
      <c r="AS35" s="345"/>
      <c r="AT35" s="345"/>
      <c r="AU35" s="345"/>
      <c r="AV35" s="345"/>
      <c r="AW35" s="345"/>
    </row>
    <row r="36" spans="1:49" ht="13.5" customHeight="1" x14ac:dyDescent="0.2">
      <c r="A36" s="1295" t="s">
        <v>220</v>
      </c>
      <c r="B36" s="418"/>
      <c r="C36" s="1901"/>
      <c r="D36" s="424"/>
      <c r="E36" s="464"/>
      <c r="F36" s="464"/>
      <c r="G36" s="457"/>
      <c r="H36" s="477"/>
      <c r="I36" s="1909"/>
      <c r="J36" s="464"/>
      <c r="K36" s="464"/>
      <c r="L36" s="465"/>
      <c r="M36" s="346"/>
      <c r="N36" s="345"/>
      <c r="O36" s="345"/>
      <c r="P36" s="345"/>
      <c r="Q36" s="345"/>
      <c r="R36" s="345"/>
      <c r="S36" s="345"/>
      <c r="T36" s="345"/>
      <c r="U36" s="346"/>
      <c r="V36" s="345"/>
      <c r="W36" s="345"/>
      <c r="X36" s="345"/>
      <c r="Y36" s="345"/>
      <c r="Z36" s="345"/>
      <c r="AA36" s="345"/>
      <c r="AB36" s="345"/>
      <c r="AC36" s="345"/>
      <c r="AD36" s="345"/>
      <c r="AE36" s="345"/>
      <c r="AF36" s="345"/>
      <c r="AG36" s="345"/>
      <c r="AH36" s="345"/>
      <c r="AI36" s="345"/>
      <c r="AJ36" s="345"/>
      <c r="AK36" s="345"/>
      <c r="AL36" s="345"/>
      <c r="AM36" s="345"/>
      <c r="AN36" s="345"/>
      <c r="AO36" s="345"/>
      <c r="AP36" s="345"/>
      <c r="AQ36" s="345"/>
      <c r="AR36" s="345"/>
      <c r="AS36" s="345"/>
      <c r="AT36" s="345"/>
      <c r="AU36" s="345"/>
      <c r="AV36" s="345"/>
      <c r="AW36" s="345"/>
    </row>
    <row r="37" spans="1:49" ht="13.5" customHeight="1" x14ac:dyDescent="0.2">
      <c r="A37" s="1436" t="s">
        <v>1296</v>
      </c>
      <c r="B37" s="421"/>
      <c r="C37" s="1902">
        <f>+C30</f>
        <v>639</v>
      </c>
      <c r="D37" s="464">
        <f>+D30</f>
        <v>678</v>
      </c>
      <c r="E37" s="1139"/>
      <c r="F37" s="1140">
        <f t="shared" ref="F37:F44" si="1">C37-D37</f>
        <v>-39</v>
      </c>
      <c r="G37" s="482">
        <f t="shared" ref="G37:G45" si="2">IF(D37=0,0,C37/D37-1)</f>
        <v>-5.7522123893805288E-2</v>
      </c>
      <c r="H37" s="421"/>
      <c r="I37" s="1910">
        <v>188.87617867763936</v>
      </c>
      <c r="J37" s="534"/>
      <c r="K37" s="1140">
        <f t="shared" ref="K37:K45" si="3">C37-I37</f>
        <v>450.12382132236064</v>
      </c>
      <c r="L37" s="1292">
        <f t="shared" ref="L37:L45" si="4">IF(I37=0,"NM",C37/I37-1)</f>
        <v>2.3831688277143752</v>
      </c>
      <c r="M37" s="346"/>
      <c r="N37" s="345"/>
      <c r="O37" s="345"/>
      <c r="P37" s="345"/>
      <c r="Q37" s="345"/>
      <c r="R37" s="345"/>
      <c r="S37" s="345"/>
      <c r="T37" s="345"/>
      <c r="U37" s="346"/>
      <c r="V37" s="345"/>
      <c r="W37" s="345"/>
      <c r="X37" s="345"/>
      <c r="Y37" s="345"/>
      <c r="Z37" s="345"/>
      <c r="AA37" s="345"/>
      <c r="AB37" s="345"/>
      <c r="AC37" s="345"/>
      <c r="AD37" s="345"/>
      <c r="AE37" s="345"/>
      <c r="AF37" s="345"/>
      <c r="AG37" s="345"/>
      <c r="AH37" s="345"/>
      <c r="AI37" s="345"/>
      <c r="AJ37" s="345"/>
      <c r="AK37" s="345"/>
      <c r="AL37" s="345"/>
      <c r="AM37" s="345"/>
      <c r="AN37" s="345"/>
      <c r="AO37" s="345"/>
      <c r="AP37" s="345"/>
      <c r="AQ37" s="345"/>
      <c r="AR37" s="345"/>
      <c r="AS37" s="345"/>
      <c r="AT37" s="345"/>
      <c r="AU37" s="345"/>
      <c r="AV37" s="345"/>
      <c r="AW37" s="345"/>
    </row>
    <row r="38" spans="1:49" ht="13.5" customHeight="1" x14ac:dyDescent="0.2">
      <c r="A38" s="900" t="s">
        <v>1628</v>
      </c>
      <c r="B38" s="418"/>
      <c r="C38" s="640">
        <f>+MAR!BT89</f>
        <v>41</v>
      </c>
      <c r="D38" s="423">
        <f>+MAR!BO89</f>
        <v>42</v>
      </c>
      <c r="E38" s="472"/>
      <c r="F38" s="352">
        <f t="shared" si="1"/>
        <v>-1</v>
      </c>
      <c r="G38" s="354">
        <f t="shared" si="2"/>
        <v>-2.3809523809523836E-2</v>
      </c>
      <c r="H38" s="418"/>
      <c r="I38" s="644">
        <v>36.174429251844046</v>
      </c>
      <c r="J38" s="471"/>
      <c r="K38" s="352">
        <f t="shared" si="3"/>
        <v>4.825570748155954</v>
      </c>
      <c r="L38" s="1289">
        <f t="shared" si="4"/>
        <v>0.13339728775153969</v>
      </c>
      <c r="M38" s="346"/>
      <c r="N38" s="345"/>
      <c r="O38" s="345"/>
      <c r="P38" s="345"/>
      <c r="Q38" s="345"/>
      <c r="R38" s="345"/>
      <c r="S38" s="345"/>
      <c r="T38" s="345"/>
      <c r="U38" s="346"/>
      <c r="V38" s="345"/>
      <c r="W38" s="345"/>
      <c r="X38" s="345"/>
      <c r="Y38" s="345"/>
      <c r="Z38" s="345"/>
      <c r="AA38" s="345"/>
      <c r="AB38" s="345"/>
      <c r="AC38" s="345"/>
      <c r="AD38" s="345"/>
      <c r="AE38" s="345"/>
      <c r="AF38" s="345"/>
      <c r="AG38" s="345"/>
      <c r="AH38" s="345"/>
      <c r="AI38" s="345"/>
      <c r="AJ38" s="345"/>
      <c r="AK38" s="345"/>
      <c r="AL38" s="345"/>
      <c r="AM38" s="345"/>
      <c r="AN38" s="345"/>
      <c r="AO38" s="345"/>
      <c r="AP38" s="345"/>
      <c r="AQ38" s="345"/>
      <c r="AR38" s="345"/>
      <c r="AS38" s="345"/>
      <c r="AT38" s="345"/>
      <c r="AU38" s="345"/>
      <c r="AV38" s="345"/>
      <c r="AW38" s="345"/>
    </row>
    <row r="39" spans="1:49" ht="13.5" customHeight="1" x14ac:dyDescent="0.2">
      <c r="A39" s="900" t="s">
        <v>1629</v>
      </c>
      <c r="B39" s="418"/>
      <c r="C39" s="640">
        <f>+MAR!BT90</f>
        <v>90</v>
      </c>
      <c r="D39" s="423">
        <f>+MAR!BO90</f>
        <v>57</v>
      </c>
      <c r="E39" s="472"/>
      <c r="F39" s="352">
        <f t="shared" si="1"/>
        <v>33</v>
      </c>
      <c r="G39" s="354">
        <f t="shared" si="2"/>
        <v>0.57894736842105265</v>
      </c>
      <c r="H39" s="418"/>
      <c r="I39" s="644">
        <v>97.299849621814232</v>
      </c>
      <c r="J39" s="471"/>
      <c r="K39" s="352">
        <f t="shared" si="3"/>
        <v>-7.2998496218142321</v>
      </c>
      <c r="L39" s="1289">
        <f t="shared" si="4"/>
        <v>-7.5024264170883481E-2</v>
      </c>
      <c r="M39" s="346"/>
      <c r="N39" s="345"/>
      <c r="O39" s="345"/>
      <c r="P39" s="345"/>
      <c r="Q39" s="345"/>
      <c r="R39" s="345"/>
      <c r="S39" s="345"/>
      <c r="T39" s="345"/>
      <c r="U39" s="346"/>
      <c r="V39" s="345"/>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c r="AV39" s="345"/>
      <c r="AW39" s="345"/>
    </row>
    <row r="40" spans="1:49" ht="13.5" customHeight="1" x14ac:dyDescent="0.2">
      <c r="A40" s="900" t="s">
        <v>685</v>
      </c>
      <c r="B40" s="418"/>
      <c r="C40" s="640">
        <f>+MAR!BT91</f>
        <v>45</v>
      </c>
      <c r="D40" s="423">
        <f>+MAR!BO91</f>
        <v>47</v>
      </c>
      <c r="E40" s="424"/>
      <c r="F40" s="352">
        <f t="shared" si="1"/>
        <v>-2</v>
      </c>
      <c r="G40" s="354">
        <f t="shared" si="2"/>
        <v>-4.2553191489361653E-2</v>
      </c>
      <c r="H40" s="477"/>
      <c r="I40" s="644">
        <v>47</v>
      </c>
      <c r="J40" s="365"/>
      <c r="K40" s="352">
        <f t="shared" si="3"/>
        <v>-2</v>
      </c>
      <c r="L40" s="1289">
        <f t="shared" si="4"/>
        <v>-4.2553191489361653E-2</v>
      </c>
      <c r="M40" s="346"/>
      <c r="N40" s="345"/>
      <c r="O40" s="345"/>
      <c r="P40" s="345"/>
      <c r="Q40" s="345"/>
      <c r="R40" s="345"/>
      <c r="S40" s="345"/>
      <c r="T40" s="345"/>
      <c r="U40" s="346"/>
      <c r="V40" s="345"/>
      <c r="W40" s="345"/>
      <c r="X40" s="345"/>
      <c r="Y40" s="345"/>
      <c r="Z40" s="345"/>
      <c r="AA40" s="345"/>
      <c r="AB40" s="345"/>
      <c r="AC40" s="345"/>
      <c r="AD40" s="345"/>
      <c r="AE40" s="345"/>
      <c r="AF40" s="345"/>
      <c r="AG40" s="345"/>
      <c r="AH40" s="345"/>
      <c r="AI40" s="345"/>
      <c r="AJ40" s="345"/>
      <c r="AK40" s="345"/>
      <c r="AL40" s="345"/>
      <c r="AM40" s="345"/>
      <c r="AN40" s="345"/>
      <c r="AO40" s="345"/>
      <c r="AP40" s="345"/>
      <c r="AQ40" s="345"/>
      <c r="AR40" s="345"/>
      <c r="AS40" s="345"/>
      <c r="AT40" s="345"/>
      <c r="AU40" s="345"/>
      <c r="AV40" s="345"/>
      <c r="AW40" s="345"/>
    </row>
    <row r="41" spans="1:49" ht="13.5" customHeight="1" x14ac:dyDescent="0.2">
      <c r="A41" s="900" t="s">
        <v>720</v>
      </c>
      <c r="B41" s="418"/>
      <c r="C41" s="640">
        <f>+MAR!BT92</f>
        <v>2</v>
      </c>
      <c r="D41" s="423">
        <f>+MAR!BO92</f>
        <v>-4</v>
      </c>
      <c r="E41" s="472"/>
      <c r="F41" s="352">
        <f t="shared" si="1"/>
        <v>6</v>
      </c>
      <c r="G41" s="354">
        <f t="shared" si="2"/>
        <v>-1.5</v>
      </c>
      <c r="H41" s="418"/>
      <c r="I41" s="644">
        <v>-4</v>
      </c>
      <c r="J41" s="471"/>
      <c r="K41" s="352">
        <f t="shared" si="3"/>
        <v>6</v>
      </c>
      <c r="L41" s="1289">
        <f t="shared" si="4"/>
        <v>-1.5</v>
      </c>
      <c r="M41" s="346"/>
      <c r="N41" s="345"/>
      <c r="O41" s="345"/>
      <c r="P41" s="345"/>
      <c r="Q41" s="345"/>
      <c r="R41" s="345"/>
      <c r="S41" s="345"/>
      <c r="T41" s="345"/>
      <c r="U41" s="346"/>
      <c r="V41" s="345"/>
      <c r="W41" s="345"/>
      <c r="X41" s="345"/>
      <c r="Y41" s="345"/>
      <c r="Z41" s="345"/>
      <c r="AA41" s="345"/>
      <c r="AB41" s="345"/>
      <c r="AC41" s="345"/>
      <c r="AD41" s="345"/>
      <c r="AE41" s="345"/>
      <c r="AF41" s="345"/>
      <c r="AG41" s="345"/>
      <c r="AH41" s="345"/>
      <c r="AI41" s="345"/>
      <c r="AJ41" s="345"/>
      <c r="AK41" s="345"/>
      <c r="AL41" s="345"/>
      <c r="AM41" s="345"/>
      <c r="AN41" s="345"/>
      <c r="AO41" s="345"/>
      <c r="AP41" s="345"/>
      <c r="AQ41" s="345"/>
      <c r="AR41" s="345"/>
      <c r="AS41" s="345"/>
      <c r="AT41" s="345"/>
      <c r="AU41" s="345"/>
      <c r="AV41" s="345"/>
      <c r="AW41" s="345"/>
    </row>
    <row r="42" spans="1:49" ht="13.5" customHeight="1" x14ac:dyDescent="0.2">
      <c r="A42" s="896" t="s">
        <v>697</v>
      </c>
      <c r="B42" s="418"/>
      <c r="C42" s="640">
        <f>+MAR!BT93</f>
        <v>2</v>
      </c>
      <c r="D42" s="423">
        <f>+MAR!BO93</f>
        <v>5</v>
      </c>
      <c r="E42" s="472"/>
      <c r="F42" s="352">
        <f t="shared" si="1"/>
        <v>-3</v>
      </c>
      <c r="G42" s="354">
        <f t="shared" si="2"/>
        <v>-0.6</v>
      </c>
      <c r="H42" s="418"/>
      <c r="I42" s="644">
        <v>5</v>
      </c>
      <c r="J42" s="471"/>
      <c r="K42" s="352">
        <f t="shared" si="3"/>
        <v>-3</v>
      </c>
      <c r="L42" s="1289">
        <f t="shared" si="4"/>
        <v>-0.6</v>
      </c>
      <c r="M42" s="346"/>
      <c r="N42" s="345"/>
      <c r="O42" s="345"/>
      <c r="P42" s="345"/>
      <c r="Q42" s="345"/>
      <c r="R42" s="345"/>
      <c r="S42" s="345"/>
      <c r="T42" s="345"/>
      <c r="U42" s="346"/>
      <c r="V42" s="345"/>
      <c r="W42" s="345"/>
      <c r="X42" s="345"/>
      <c r="Y42" s="345"/>
      <c r="Z42" s="345"/>
      <c r="AA42" s="345"/>
      <c r="AB42" s="345"/>
      <c r="AC42" s="345"/>
      <c r="AD42" s="345"/>
      <c r="AE42" s="345"/>
      <c r="AF42" s="345"/>
      <c r="AG42" s="345"/>
      <c r="AH42" s="345"/>
      <c r="AI42" s="345"/>
      <c r="AJ42" s="345"/>
      <c r="AK42" s="345"/>
      <c r="AL42" s="345"/>
      <c r="AM42" s="345"/>
      <c r="AN42" s="345"/>
      <c r="AO42" s="345"/>
      <c r="AP42" s="345"/>
      <c r="AQ42" s="345"/>
      <c r="AR42" s="345"/>
      <c r="AS42" s="345"/>
      <c r="AT42" s="345"/>
      <c r="AU42" s="345"/>
      <c r="AV42" s="345"/>
      <c r="AW42" s="345"/>
    </row>
    <row r="43" spans="1:49" ht="13.5" customHeight="1" x14ac:dyDescent="0.2">
      <c r="A43" s="896" t="s">
        <v>698</v>
      </c>
      <c r="B43" s="418"/>
      <c r="C43" s="640">
        <f>+MAR!BT94</f>
        <v>4</v>
      </c>
      <c r="D43" s="423">
        <f>+MAR!BO94</f>
        <v>10</v>
      </c>
      <c r="E43" s="424"/>
      <c r="F43" s="352">
        <f t="shared" si="1"/>
        <v>-6</v>
      </c>
      <c r="G43" s="354">
        <f t="shared" si="2"/>
        <v>-0.6</v>
      </c>
      <c r="H43" s="477"/>
      <c r="I43" s="644">
        <v>10</v>
      </c>
      <c r="J43" s="365"/>
      <c r="K43" s="352">
        <f t="shared" si="3"/>
        <v>-6</v>
      </c>
      <c r="L43" s="1289">
        <f t="shared" si="4"/>
        <v>-0.6</v>
      </c>
      <c r="M43" s="346"/>
      <c r="N43" s="345"/>
      <c r="O43" s="345"/>
      <c r="P43" s="345"/>
      <c r="Q43" s="345"/>
      <c r="R43" s="345"/>
      <c r="S43" s="345"/>
      <c r="T43" s="345"/>
      <c r="U43" s="346"/>
      <c r="V43" s="345"/>
      <c r="W43" s="345"/>
      <c r="X43" s="345"/>
      <c r="Y43" s="345"/>
      <c r="Z43" s="345"/>
      <c r="AA43" s="345"/>
      <c r="AB43" s="345"/>
      <c r="AC43" s="345"/>
      <c r="AD43" s="345"/>
      <c r="AE43" s="345"/>
      <c r="AF43" s="345"/>
      <c r="AG43" s="345"/>
      <c r="AH43" s="345"/>
      <c r="AI43" s="345"/>
      <c r="AJ43" s="345"/>
      <c r="AK43" s="345"/>
      <c r="AL43" s="345"/>
      <c r="AM43" s="345"/>
      <c r="AN43" s="345"/>
      <c r="AO43" s="345"/>
      <c r="AP43" s="345"/>
      <c r="AQ43" s="345"/>
      <c r="AR43" s="345"/>
      <c r="AS43" s="345"/>
      <c r="AT43" s="345"/>
      <c r="AU43" s="345"/>
      <c r="AV43" s="345"/>
      <c r="AW43" s="345"/>
    </row>
    <row r="44" spans="1:49" ht="13.5" customHeight="1" x14ac:dyDescent="0.2">
      <c r="A44" s="900" t="s">
        <v>230</v>
      </c>
      <c r="B44" s="418"/>
      <c r="C44" s="640">
        <f>+MAR!BT97</f>
        <v>0</v>
      </c>
      <c r="D44" s="423">
        <f>+MAR!BO97</f>
        <v>0</v>
      </c>
      <c r="E44" s="472"/>
      <c r="F44" s="352">
        <f t="shared" si="1"/>
        <v>0</v>
      </c>
      <c r="G44" s="354">
        <f t="shared" si="2"/>
        <v>0</v>
      </c>
      <c r="H44" s="418"/>
      <c r="I44" s="644">
        <v>0</v>
      </c>
      <c r="J44" s="471"/>
      <c r="K44" s="352">
        <f t="shared" si="3"/>
        <v>0</v>
      </c>
      <c r="L44" s="1289" t="str">
        <f t="shared" si="4"/>
        <v>NM</v>
      </c>
      <c r="M44" s="346"/>
      <c r="N44" s="345"/>
      <c r="O44" s="345"/>
      <c r="P44" s="345"/>
      <c r="Q44" s="345"/>
      <c r="R44" s="345"/>
      <c r="S44" s="345"/>
      <c r="T44" s="345"/>
      <c r="U44" s="346"/>
      <c r="V44" s="345"/>
      <c r="W44" s="345"/>
      <c r="X44" s="345"/>
      <c r="Y44" s="345"/>
      <c r="Z44" s="345"/>
      <c r="AA44" s="345"/>
      <c r="AB44" s="345"/>
      <c r="AC44" s="345"/>
      <c r="AD44" s="345"/>
      <c r="AE44" s="345"/>
      <c r="AF44" s="345"/>
      <c r="AG44" s="345"/>
      <c r="AH44" s="345"/>
      <c r="AI44" s="345"/>
      <c r="AJ44" s="345"/>
      <c r="AK44" s="345"/>
      <c r="AL44" s="345"/>
      <c r="AM44" s="345"/>
      <c r="AN44" s="345"/>
      <c r="AO44" s="345"/>
      <c r="AP44" s="345"/>
      <c r="AQ44" s="345"/>
      <c r="AR44" s="345"/>
      <c r="AS44" s="345"/>
      <c r="AT44" s="345"/>
      <c r="AU44" s="345"/>
      <c r="AV44" s="345"/>
      <c r="AW44" s="345"/>
    </row>
    <row r="45" spans="1:49" ht="13.5" customHeight="1" x14ac:dyDescent="0.2">
      <c r="A45" s="355" t="s">
        <v>1197</v>
      </c>
      <c r="B45" s="356"/>
      <c r="C45" s="1903">
        <f>SUM(C37:C44)</f>
        <v>823</v>
      </c>
      <c r="D45" s="357">
        <f>SUM(D37:D44)</f>
        <v>835</v>
      </c>
      <c r="E45" s="357"/>
      <c r="F45" s="357">
        <f>SUM(F37:F44)</f>
        <v>-12</v>
      </c>
      <c r="G45" s="358">
        <f t="shared" si="2"/>
        <v>-1.4371257485029987E-2</v>
      </c>
      <c r="H45" s="359"/>
      <c r="I45" s="1911">
        <v>380.35045755129767</v>
      </c>
      <c r="J45" s="357"/>
      <c r="K45" s="357">
        <f t="shared" si="3"/>
        <v>442.64954244870233</v>
      </c>
      <c r="L45" s="360">
        <f t="shared" si="4"/>
        <v>1.1637939002321365</v>
      </c>
      <c r="M45" s="346"/>
      <c r="N45" s="1144">
        <v>352.93</v>
      </c>
      <c r="O45" s="1144"/>
      <c r="P45" s="345"/>
      <c r="Q45" s="345"/>
      <c r="R45" s="345"/>
      <c r="S45" s="345"/>
      <c r="T45" s="345"/>
      <c r="U45" s="346"/>
      <c r="V45" s="345"/>
      <c r="W45" s="345"/>
      <c r="X45" s="345"/>
      <c r="Y45" s="345"/>
      <c r="Z45" s="345"/>
      <c r="AA45" s="345"/>
      <c r="AB45" s="345"/>
      <c r="AC45" s="345"/>
      <c r="AD45" s="345"/>
      <c r="AE45" s="345"/>
      <c r="AF45" s="345"/>
      <c r="AG45" s="345"/>
      <c r="AH45" s="345"/>
      <c r="AI45" s="345"/>
      <c r="AJ45" s="345"/>
      <c r="AK45" s="345"/>
      <c r="AL45" s="345"/>
      <c r="AM45" s="345"/>
      <c r="AN45" s="345"/>
      <c r="AO45" s="345"/>
      <c r="AP45" s="345"/>
      <c r="AQ45" s="345"/>
      <c r="AR45" s="345"/>
      <c r="AS45" s="345"/>
      <c r="AT45" s="345"/>
      <c r="AU45" s="345"/>
      <c r="AV45" s="345"/>
      <c r="AW45" s="345"/>
    </row>
    <row r="46" spans="1:49" ht="13.5" customHeight="1" x14ac:dyDescent="0.2">
      <c r="A46" s="418"/>
      <c r="B46" s="418"/>
      <c r="C46" s="1893"/>
      <c r="D46" s="418"/>
      <c r="E46" s="418"/>
      <c r="F46" s="418"/>
      <c r="G46" s="462"/>
      <c r="H46" s="418"/>
      <c r="I46" s="1368"/>
      <c r="J46" s="418"/>
      <c r="K46" s="418"/>
      <c r="L46" s="478"/>
      <c r="M46" s="346"/>
      <c r="N46" s="345"/>
      <c r="O46" s="345"/>
      <c r="P46" s="344"/>
      <c r="Q46" s="345"/>
      <c r="R46" s="345"/>
      <c r="S46" s="345"/>
      <c r="T46" s="345"/>
      <c r="U46" s="346"/>
      <c r="V46" s="345"/>
      <c r="W46" s="345"/>
      <c r="X46" s="345"/>
      <c r="Y46" s="345"/>
      <c r="Z46" s="345"/>
      <c r="AA46" s="345"/>
      <c r="AB46" s="345"/>
      <c r="AC46" s="345"/>
      <c r="AD46" s="345"/>
      <c r="AE46" s="345"/>
      <c r="AF46" s="345"/>
      <c r="AG46" s="345"/>
      <c r="AH46" s="345"/>
      <c r="AI46" s="345"/>
      <c r="AJ46" s="345"/>
      <c r="AK46" s="345"/>
      <c r="AL46" s="345"/>
      <c r="AM46" s="345"/>
      <c r="AN46" s="345"/>
      <c r="AO46" s="345"/>
      <c r="AP46" s="345"/>
      <c r="AQ46" s="345"/>
      <c r="AR46" s="345"/>
      <c r="AS46" s="345"/>
      <c r="AT46" s="345"/>
      <c r="AU46" s="345"/>
      <c r="AV46" s="345"/>
      <c r="AW46" s="345"/>
    </row>
    <row r="47" spans="1:49" ht="13.5" customHeight="1" x14ac:dyDescent="0.2">
      <c r="A47" s="418"/>
      <c r="B47" s="418"/>
      <c r="C47" s="1893"/>
      <c r="D47" s="418"/>
      <c r="E47" s="418"/>
      <c r="F47" s="418"/>
      <c r="G47" s="462"/>
      <c r="H47" s="418"/>
      <c r="I47" s="1368"/>
      <c r="J47" s="418"/>
      <c r="K47" s="418"/>
      <c r="L47" s="478"/>
      <c r="M47" s="346"/>
      <c r="N47" s="345"/>
      <c r="O47" s="345"/>
      <c r="P47" s="344"/>
      <c r="Q47" s="345"/>
      <c r="R47" s="345"/>
      <c r="S47" s="345"/>
      <c r="T47" s="345"/>
      <c r="U47" s="346"/>
      <c r="V47" s="345"/>
      <c r="W47" s="345"/>
      <c r="X47" s="345"/>
      <c r="Y47" s="345"/>
      <c r="Z47" s="345"/>
      <c r="AA47" s="345"/>
      <c r="AB47" s="345"/>
      <c r="AC47" s="345"/>
      <c r="AD47" s="345"/>
      <c r="AE47" s="345"/>
      <c r="AF47" s="345"/>
      <c r="AG47" s="345"/>
      <c r="AH47" s="345"/>
      <c r="AI47" s="345"/>
      <c r="AJ47" s="345"/>
      <c r="AK47" s="345"/>
      <c r="AL47" s="345"/>
      <c r="AM47" s="345"/>
      <c r="AN47" s="345"/>
      <c r="AO47" s="345"/>
      <c r="AP47" s="345"/>
      <c r="AQ47" s="345"/>
      <c r="AR47" s="345"/>
      <c r="AS47" s="345"/>
      <c r="AT47" s="345"/>
      <c r="AU47" s="345"/>
      <c r="AV47" s="345"/>
      <c r="AW47" s="345"/>
    </row>
    <row r="48" spans="1:49" ht="13.5" customHeight="1" x14ac:dyDescent="0.2">
      <c r="A48" s="1164" t="s">
        <v>2244</v>
      </c>
      <c r="B48" s="1147"/>
      <c r="C48" s="1904"/>
      <c r="D48" s="1147"/>
      <c r="E48" s="1147"/>
      <c r="F48" s="1147"/>
      <c r="G48" s="1148"/>
      <c r="H48" s="1147"/>
      <c r="I48" s="1912"/>
      <c r="J48" s="1147"/>
      <c r="K48" s="1147"/>
      <c r="L48" s="1149"/>
      <c r="M48" s="346"/>
      <c r="N48" s="345"/>
      <c r="O48" s="345"/>
      <c r="U48" s="346"/>
      <c r="V48" s="345"/>
      <c r="W48" s="345"/>
      <c r="X48" s="345"/>
      <c r="Y48" s="345"/>
      <c r="Z48" s="345"/>
      <c r="AA48" s="345"/>
      <c r="AB48" s="345"/>
      <c r="AC48" s="345"/>
      <c r="AD48" s="345"/>
      <c r="AE48" s="345"/>
      <c r="AF48" s="345"/>
      <c r="AG48" s="345"/>
      <c r="AH48" s="345"/>
      <c r="AI48" s="345"/>
      <c r="AJ48" s="345"/>
      <c r="AK48" s="345"/>
      <c r="AL48" s="345"/>
      <c r="AM48" s="345"/>
      <c r="AN48" s="345"/>
      <c r="AO48" s="345"/>
      <c r="AP48" s="345"/>
      <c r="AQ48" s="345"/>
      <c r="AR48" s="345"/>
      <c r="AS48" s="345"/>
      <c r="AT48" s="345"/>
      <c r="AU48" s="345"/>
      <c r="AV48" s="345"/>
      <c r="AW48" s="345"/>
    </row>
    <row r="49" spans="1:49" ht="13.5" customHeight="1" x14ac:dyDescent="0.2">
      <c r="A49" s="1150" t="s">
        <v>1512</v>
      </c>
      <c r="B49" s="418"/>
      <c r="C49" s="1892">
        <f>+MAR!BT7</f>
        <v>182</v>
      </c>
      <c r="D49" s="458">
        <f>+MAR!BO7</f>
        <v>171</v>
      </c>
      <c r="E49" s="418"/>
      <c r="F49" s="532">
        <f>C49-D49</f>
        <v>11</v>
      </c>
      <c r="G49" s="354">
        <f>IF(D49=0,0,C49/D49-1)</f>
        <v>6.4327485380117011E-2</v>
      </c>
      <c r="H49" s="418"/>
      <c r="I49" s="1395">
        <v>181.00976133932636</v>
      </c>
      <c r="J49" s="418"/>
      <c r="K49" s="532">
        <f>C49-I49</f>
        <v>0.99023866067363997</v>
      </c>
      <c r="L49" s="1151">
        <f>IF(I49=0,"NM",C49/I49-1)</f>
        <v>5.4706367952019885E-3</v>
      </c>
      <c r="M49" s="346"/>
      <c r="N49" s="345"/>
      <c r="O49" s="345"/>
      <c r="U49" s="346"/>
      <c r="V49" s="345"/>
      <c r="W49" s="345"/>
      <c r="X49" s="345"/>
      <c r="Y49" s="345"/>
      <c r="Z49" s="345"/>
      <c r="AA49" s="345"/>
      <c r="AB49" s="345"/>
      <c r="AC49" s="345"/>
      <c r="AD49" s="345"/>
      <c r="AE49" s="345"/>
      <c r="AF49" s="345"/>
      <c r="AG49" s="345"/>
      <c r="AH49" s="345"/>
      <c r="AI49" s="345"/>
      <c r="AJ49" s="345"/>
      <c r="AK49" s="345"/>
      <c r="AL49" s="345"/>
      <c r="AM49" s="345"/>
      <c r="AN49" s="345"/>
      <c r="AO49" s="345"/>
      <c r="AP49" s="345"/>
      <c r="AQ49" s="345"/>
      <c r="AR49" s="345"/>
      <c r="AS49" s="345"/>
      <c r="AT49" s="345"/>
      <c r="AU49" s="345"/>
      <c r="AV49" s="345"/>
      <c r="AW49" s="345"/>
    </row>
    <row r="50" spans="1:49" ht="13.5" customHeight="1" x14ac:dyDescent="0.2">
      <c r="A50" s="1150" t="s">
        <v>2163</v>
      </c>
      <c r="B50" s="418"/>
      <c r="C50" s="1893">
        <f>+MAR!BT8</f>
        <v>187</v>
      </c>
      <c r="D50" s="418">
        <f>+MAR!BO8</f>
        <v>175</v>
      </c>
      <c r="E50" s="418"/>
      <c r="F50" s="528">
        <f>C50-D50</f>
        <v>12</v>
      </c>
      <c r="G50" s="354">
        <f>IF(D50=0,0,C50/D50-1)</f>
        <v>6.8571428571428505E-2</v>
      </c>
      <c r="H50" s="418"/>
      <c r="I50" s="1913">
        <v>192.47180263979001</v>
      </c>
      <c r="J50" s="418"/>
      <c r="K50" s="528">
        <f>C50-I50</f>
        <v>-5.4718026397900132</v>
      </c>
      <c r="L50" s="1151">
        <f>IF(I50=0,"NM",C50/I50-1)</f>
        <v>-2.8429113068735856E-2</v>
      </c>
      <c r="M50" s="346"/>
      <c r="N50" s="345"/>
      <c r="O50" s="345"/>
      <c r="P50" s="563"/>
      <c r="Q50" s="564"/>
      <c r="R50" s="345"/>
      <c r="S50" s="345"/>
      <c r="U50" s="346"/>
      <c r="V50" s="345"/>
      <c r="W50" s="345"/>
      <c r="X50" s="345"/>
      <c r="Y50" s="345"/>
      <c r="Z50" s="345"/>
      <c r="AA50" s="345"/>
      <c r="AB50" s="345"/>
      <c r="AC50" s="345"/>
      <c r="AD50" s="345"/>
      <c r="AE50" s="345"/>
      <c r="AF50" s="345"/>
      <c r="AG50" s="345"/>
      <c r="AH50" s="345"/>
      <c r="AI50" s="345"/>
      <c r="AJ50" s="345"/>
      <c r="AK50" s="345"/>
      <c r="AL50" s="345"/>
      <c r="AM50" s="345"/>
      <c r="AN50" s="345"/>
      <c r="AO50" s="345"/>
      <c r="AP50" s="345"/>
      <c r="AQ50" s="345"/>
      <c r="AR50" s="345"/>
      <c r="AS50" s="345"/>
      <c r="AT50" s="345"/>
      <c r="AU50" s="345"/>
      <c r="AV50" s="345"/>
      <c r="AW50" s="345"/>
    </row>
    <row r="51" spans="1:49" ht="13.5" customHeight="1" x14ac:dyDescent="0.2">
      <c r="A51" s="1150" t="s">
        <v>126</v>
      </c>
      <c r="B51" s="418"/>
      <c r="C51" s="1232">
        <f>+MAR!BT9</f>
        <v>90</v>
      </c>
      <c r="D51" s="221">
        <f>+MAR!BO9</f>
        <v>74</v>
      </c>
      <c r="E51" s="1402"/>
      <c r="F51" s="221">
        <f>C51-D51</f>
        <v>16</v>
      </c>
      <c r="G51" s="1135">
        <f>IF(D51=0,0,C51/D51-1)</f>
        <v>0.21621621621621623</v>
      </c>
      <c r="H51" s="1403"/>
      <c r="I51" s="978">
        <v>88.8</v>
      </c>
      <c r="J51" s="1402"/>
      <c r="K51" s="221">
        <f>C51-I51</f>
        <v>1.2000000000000028</v>
      </c>
      <c r="L51" s="1405">
        <f>IF(I51=0,"NM",C51/I51-1)</f>
        <v>1.3513513513513598E-2</v>
      </c>
      <c r="M51" s="1404"/>
      <c r="N51" s="345"/>
      <c r="O51" s="345"/>
      <c r="U51" s="346"/>
      <c r="V51" s="345"/>
      <c r="W51" s="345"/>
      <c r="X51" s="345"/>
      <c r="Y51" s="345"/>
      <c r="Z51" s="345"/>
      <c r="AA51" s="345"/>
      <c r="AB51" s="345"/>
      <c r="AC51" s="345"/>
      <c r="AD51" s="345"/>
      <c r="AE51" s="345"/>
      <c r="AF51" s="345"/>
      <c r="AG51" s="345"/>
      <c r="AH51" s="345"/>
      <c r="AI51" s="345"/>
      <c r="AJ51" s="345"/>
      <c r="AK51" s="345"/>
      <c r="AL51" s="345"/>
      <c r="AM51" s="345"/>
      <c r="AN51" s="345"/>
      <c r="AO51" s="345"/>
      <c r="AP51" s="345"/>
      <c r="AQ51" s="345"/>
      <c r="AR51" s="345"/>
      <c r="AS51" s="345"/>
      <c r="AT51" s="345"/>
      <c r="AU51" s="345"/>
      <c r="AV51" s="345"/>
      <c r="AW51" s="345"/>
    </row>
    <row r="52" spans="1:49" ht="13.5" customHeight="1" x14ac:dyDescent="0.2">
      <c r="A52" s="1152" t="s">
        <v>1735</v>
      </c>
      <c r="B52" s="820"/>
      <c r="C52" s="1905">
        <f>SUM(C49:C51)</f>
        <v>459</v>
      </c>
      <c r="D52" s="1157">
        <f>SUM(D49:D51)</f>
        <v>420</v>
      </c>
      <c r="E52" s="1158"/>
      <c r="F52" s="1159">
        <f>C52-D52</f>
        <v>39</v>
      </c>
      <c r="G52" s="1153">
        <f>IF(D52=0,0,C52/D52-1)</f>
        <v>9.2857142857142749E-2</v>
      </c>
      <c r="H52" s="820"/>
      <c r="I52" s="1914">
        <v>462.28156397911636</v>
      </c>
      <c r="J52" s="1158"/>
      <c r="K52" s="1159">
        <f>C52-I52</f>
        <v>-3.2815639791163562</v>
      </c>
      <c r="L52" s="1385">
        <f>IF(I52=0,"NM",C52/I52-1)</f>
        <v>-7.0986261075828283E-3</v>
      </c>
      <c r="M52" s="346"/>
      <c r="N52" s="345"/>
      <c r="O52" s="345"/>
      <c r="P52" s="565"/>
      <c r="Q52" s="371"/>
      <c r="R52" s="345"/>
      <c r="S52" s="345"/>
      <c r="T52" s="345"/>
      <c r="U52" s="346"/>
      <c r="V52" s="345"/>
      <c r="W52" s="345"/>
      <c r="X52" s="345"/>
      <c r="Y52" s="345"/>
      <c r="Z52" s="345"/>
      <c r="AA52" s="345"/>
      <c r="AB52" s="345"/>
      <c r="AC52" s="345"/>
      <c r="AD52" s="345"/>
      <c r="AE52" s="345"/>
      <c r="AF52" s="345"/>
      <c r="AG52" s="345"/>
      <c r="AH52" s="345"/>
      <c r="AI52" s="345"/>
      <c r="AJ52" s="345"/>
      <c r="AK52" s="345"/>
      <c r="AL52" s="345"/>
      <c r="AM52" s="345"/>
      <c r="AN52" s="345"/>
      <c r="AO52" s="345"/>
      <c r="AP52" s="345"/>
      <c r="AQ52" s="345"/>
      <c r="AR52" s="345"/>
      <c r="AS52" s="345"/>
      <c r="AT52" s="345"/>
      <c r="AU52" s="345"/>
      <c r="AV52" s="345"/>
      <c r="AW52" s="345"/>
    </row>
    <row r="53" spans="1:49" ht="5.25" customHeight="1" x14ac:dyDescent="0.2">
      <c r="A53" s="418"/>
      <c r="B53" s="418"/>
      <c r="C53" s="458"/>
      <c r="D53" s="1165"/>
      <c r="E53" s="458"/>
      <c r="F53" s="532"/>
      <c r="G53" s="482"/>
      <c r="H53" s="418"/>
      <c r="I53" s="1165"/>
      <c r="J53" s="458"/>
      <c r="K53" s="364"/>
      <c r="L53" s="482"/>
      <c r="M53" s="345"/>
      <c r="N53" s="345"/>
      <c r="O53" s="345"/>
      <c r="P53" s="565"/>
      <c r="Q53" s="371"/>
      <c r="R53" s="345"/>
      <c r="S53" s="345"/>
      <c r="T53" s="345"/>
      <c r="U53" s="346"/>
      <c r="V53" s="345"/>
      <c r="W53" s="345"/>
      <c r="X53" s="345"/>
      <c r="Y53" s="345"/>
      <c r="Z53" s="345"/>
      <c r="AA53" s="345"/>
      <c r="AB53" s="345"/>
      <c r="AC53" s="345"/>
      <c r="AD53" s="345"/>
      <c r="AE53" s="345"/>
      <c r="AF53" s="345"/>
      <c r="AG53" s="345"/>
      <c r="AH53" s="345"/>
      <c r="AI53" s="345"/>
      <c r="AJ53" s="345"/>
      <c r="AK53" s="345"/>
      <c r="AL53" s="345"/>
      <c r="AM53" s="345"/>
      <c r="AN53" s="345"/>
      <c r="AO53" s="345"/>
      <c r="AP53" s="345"/>
      <c r="AQ53" s="345"/>
      <c r="AR53" s="345"/>
      <c r="AS53" s="345"/>
      <c r="AT53" s="345"/>
      <c r="AU53" s="345"/>
      <c r="AV53" s="345"/>
      <c r="AW53" s="345"/>
    </row>
    <row r="54" spans="1:49" ht="13.5" customHeight="1" x14ac:dyDescent="0.2">
      <c r="A54" s="421"/>
      <c r="B54" s="418"/>
      <c r="C54" s="1165"/>
      <c r="D54" s="1165"/>
      <c r="E54" s="458"/>
      <c r="F54" s="364"/>
      <c r="G54" s="482"/>
      <c r="H54" s="418"/>
      <c r="I54" s="1165"/>
      <c r="J54" s="458"/>
      <c r="K54" s="364"/>
      <c r="L54" s="482"/>
      <c r="M54" s="345"/>
      <c r="N54" s="345"/>
      <c r="O54" s="345"/>
      <c r="P54" s="1293" t="s">
        <v>1562</v>
      </c>
      <c r="Q54" s="371"/>
      <c r="R54" s="345"/>
      <c r="S54" s="345"/>
      <c r="T54" s="345"/>
      <c r="U54" s="346"/>
      <c r="V54" s="345"/>
      <c r="W54" s="345"/>
      <c r="X54" s="345"/>
      <c r="Y54" s="345"/>
      <c r="Z54" s="345"/>
      <c r="AA54" s="345"/>
      <c r="AB54" s="345"/>
      <c r="AC54" s="345"/>
      <c r="AD54" s="345"/>
      <c r="AE54" s="345"/>
      <c r="AF54" s="345"/>
      <c r="AG54" s="345"/>
      <c r="AH54" s="345"/>
      <c r="AI54" s="345"/>
      <c r="AJ54" s="345"/>
      <c r="AK54" s="345"/>
      <c r="AL54" s="345"/>
      <c r="AM54" s="345"/>
      <c r="AN54" s="345"/>
      <c r="AO54" s="345"/>
      <c r="AP54" s="345"/>
      <c r="AQ54" s="345"/>
      <c r="AR54" s="345"/>
      <c r="AS54" s="345"/>
      <c r="AT54" s="345"/>
      <c r="AU54" s="345"/>
      <c r="AV54" s="345"/>
      <c r="AW54" s="345"/>
    </row>
    <row r="55" spans="1:49" ht="13.5" customHeight="1" x14ac:dyDescent="0.2">
      <c r="A55" s="1146"/>
      <c r="B55" s="418"/>
      <c r="C55" s="418"/>
      <c r="D55" s="418"/>
      <c r="E55" s="418"/>
      <c r="F55" s="418"/>
      <c r="G55" s="462"/>
      <c r="H55" s="418"/>
      <c r="I55" s="418"/>
      <c r="J55" s="418"/>
      <c r="K55" s="418"/>
      <c r="L55" s="478"/>
      <c r="M55" s="345"/>
      <c r="N55" s="345"/>
      <c r="O55" s="345"/>
      <c r="Q55" s="371"/>
      <c r="R55" s="345"/>
      <c r="S55" s="345"/>
      <c r="T55" s="345"/>
      <c r="U55" s="346"/>
      <c r="V55" s="345"/>
      <c r="W55" s="345"/>
      <c r="X55" s="345"/>
      <c r="Y55" s="345"/>
      <c r="Z55" s="345"/>
      <c r="AA55" s="345"/>
      <c r="AB55" s="345"/>
      <c r="AC55" s="345"/>
      <c r="AD55" s="345"/>
      <c r="AE55" s="345"/>
      <c r="AF55" s="345"/>
      <c r="AG55" s="345"/>
      <c r="AH55" s="345"/>
      <c r="AI55" s="345"/>
      <c r="AJ55" s="345"/>
      <c r="AK55" s="345"/>
      <c r="AL55" s="345"/>
      <c r="AM55" s="345"/>
      <c r="AN55" s="345"/>
      <c r="AO55" s="345"/>
      <c r="AP55" s="345"/>
      <c r="AQ55" s="345"/>
      <c r="AR55" s="345"/>
      <c r="AS55" s="345"/>
      <c r="AT55" s="345"/>
      <c r="AU55" s="345"/>
      <c r="AV55" s="345"/>
      <c r="AW55" s="345"/>
    </row>
    <row r="56" spans="1:49" ht="13.5" customHeight="1" x14ac:dyDescent="0.2">
      <c r="A56" s="1146"/>
      <c r="B56" s="418"/>
      <c r="C56" s="418"/>
      <c r="D56" s="418"/>
      <c r="E56" s="418"/>
      <c r="F56" s="418"/>
      <c r="G56" s="462"/>
      <c r="H56" s="418"/>
      <c r="I56" s="418"/>
      <c r="J56" s="418"/>
      <c r="K56" s="418"/>
      <c r="L56" s="478"/>
      <c r="M56" s="345"/>
      <c r="N56" s="345"/>
      <c r="O56" s="345"/>
      <c r="P56" s="275" t="s">
        <v>91</v>
      </c>
      <c r="Q56" s="371"/>
      <c r="R56" s="345"/>
      <c r="S56" s="345"/>
      <c r="T56" s="345"/>
      <c r="U56" s="346"/>
      <c r="V56" s="345"/>
      <c r="W56" s="345"/>
      <c r="X56" s="345"/>
      <c r="Y56" s="345"/>
      <c r="Z56" s="345"/>
      <c r="AA56" s="345"/>
      <c r="AB56" s="345"/>
      <c r="AC56" s="345"/>
      <c r="AD56" s="345"/>
      <c r="AE56" s="345"/>
      <c r="AF56" s="345"/>
      <c r="AG56" s="345"/>
      <c r="AH56" s="345"/>
      <c r="AI56" s="345"/>
      <c r="AJ56" s="345"/>
      <c r="AK56" s="345"/>
      <c r="AL56" s="345"/>
      <c r="AM56" s="345"/>
      <c r="AN56" s="345"/>
      <c r="AO56" s="345"/>
      <c r="AP56" s="345"/>
      <c r="AQ56" s="345"/>
      <c r="AR56" s="345"/>
      <c r="AS56" s="345"/>
      <c r="AT56" s="345"/>
      <c r="AU56" s="345"/>
      <c r="AV56" s="345"/>
      <c r="AW56" s="345"/>
    </row>
    <row r="57" spans="1:49" ht="6.75" customHeight="1" x14ac:dyDescent="0.2">
      <c r="A57" s="1146"/>
      <c r="B57" s="418"/>
      <c r="C57" s="418"/>
      <c r="D57" s="418"/>
      <c r="E57" s="418"/>
      <c r="F57" s="418"/>
      <c r="G57" s="462"/>
      <c r="H57" s="418"/>
      <c r="I57" s="418"/>
      <c r="J57" s="418"/>
      <c r="K57" s="418"/>
      <c r="L57" s="478"/>
      <c r="M57" s="345"/>
      <c r="N57" s="345"/>
      <c r="O57" s="345"/>
      <c r="P57" s="275"/>
      <c r="Q57" s="371"/>
      <c r="R57" s="345"/>
      <c r="S57" s="345"/>
      <c r="T57" s="345"/>
      <c r="U57" s="346"/>
      <c r="V57" s="345"/>
      <c r="W57" s="345"/>
      <c r="X57" s="345"/>
      <c r="Y57" s="345"/>
      <c r="Z57" s="345"/>
      <c r="AA57" s="345"/>
      <c r="AB57" s="345"/>
      <c r="AC57" s="345"/>
      <c r="AD57" s="345"/>
      <c r="AE57" s="345"/>
      <c r="AF57" s="345"/>
      <c r="AG57" s="345"/>
      <c r="AH57" s="345"/>
      <c r="AI57" s="345"/>
      <c r="AJ57" s="345"/>
      <c r="AK57" s="345"/>
      <c r="AL57" s="345"/>
      <c r="AM57" s="345"/>
      <c r="AN57" s="345"/>
      <c r="AO57" s="345"/>
      <c r="AP57" s="345"/>
      <c r="AQ57" s="345"/>
      <c r="AR57" s="345"/>
      <c r="AS57" s="345"/>
      <c r="AT57" s="345"/>
      <c r="AU57" s="345"/>
      <c r="AV57" s="345"/>
      <c r="AW57" s="345"/>
    </row>
    <row r="58" spans="1:49" ht="13.5" customHeight="1" x14ac:dyDescent="0.2">
      <c r="B58" s="418"/>
      <c r="C58" s="418"/>
      <c r="D58" s="418"/>
      <c r="E58" s="418"/>
      <c r="F58" s="418"/>
      <c r="G58" s="462"/>
      <c r="H58" s="418"/>
      <c r="I58" s="418"/>
      <c r="J58" s="418"/>
      <c r="K58" s="418"/>
      <c r="L58" s="478"/>
      <c r="M58" s="345"/>
      <c r="N58" s="345"/>
      <c r="O58" s="345"/>
      <c r="P58" s="1294"/>
      <c r="Q58" s="1296" t="s">
        <v>1782</v>
      </c>
      <c r="R58" s="1143" t="s">
        <v>1938</v>
      </c>
      <c r="S58" s="1143"/>
      <c r="T58" s="1297" t="s">
        <v>231</v>
      </c>
      <c r="U58" s="346"/>
      <c r="V58" s="345"/>
      <c r="W58" s="345"/>
      <c r="X58" s="345"/>
      <c r="Y58" s="345"/>
      <c r="Z58" s="345"/>
      <c r="AA58" s="345"/>
      <c r="AB58" s="345"/>
      <c r="AC58" s="345"/>
      <c r="AD58" s="345"/>
      <c r="AE58" s="345"/>
      <c r="AF58" s="345"/>
      <c r="AG58" s="345"/>
      <c r="AH58" s="345"/>
      <c r="AI58" s="345"/>
      <c r="AJ58" s="345"/>
      <c r="AK58" s="345"/>
      <c r="AL58" s="345"/>
      <c r="AM58" s="345"/>
      <c r="AN58" s="345"/>
      <c r="AO58" s="345"/>
      <c r="AP58" s="345"/>
      <c r="AQ58" s="345"/>
      <c r="AR58" s="345"/>
      <c r="AS58" s="345"/>
      <c r="AT58" s="345"/>
      <c r="AU58" s="345"/>
      <c r="AV58" s="345"/>
      <c r="AW58" s="345"/>
    </row>
    <row r="59" spans="1:49" ht="13.5" customHeight="1" x14ac:dyDescent="0.2">
      <c r="A59" s="421"/>
      <c r="B59" s="418"/>
      <c r="C59" s="418"/>
      <c r="D59" s="418"/>
      <c r="E59" s="418"/>
      <c r="F59" s="418"/>
      <c r="G59" s="462"/>
      <c r="H59" s="418"/>
      <c r="I59" s="418"/>
      <c r="J59" s="418"/>
      <c r="K59" s="418"/>
      <c r="L59" s="478"/>
      <c r="M59" s="345"/>
      <c r="N59" s="345"/>
      <c r="O59" s="345"/>
      <c r="Q59" s="8"/>
      <c r="R59" s="8"/>
      <c r="S59" s="8"/>
      <c r="T59" s="1298"/>
      <c r="U59" s="346"/>
      <c r="V59" s="345"/>
      <c r="W59" s="345"/>
      <c r="X59" s="345"/>
      <c r="Y59" s="345"/>
      <c r="Z59" s="345"/>
      <c r="AA59" s="345"/>
      <c r="AB59" s="345"/>
      <c r="AC59" s="345"/>
      <c r="AD59" s="345"/>
      <c r="AE59" s="345"/>
      <c r="AF59" s="345"/>
      <c r="AG59" s="345"/>
      <c r="AH59" s="345"/>
      <c r="AI59" s="345"/>
      <c r="AJ59" s="345"/>
      <c r="AK59" s="345"/>
      <c r="AL59" s="345"/>
      <c r="AM59" s="345"/>
      <c r="AN59" s="345"/>
      <c r="AO59" s="345"/>
      <c r="AP59" s="345"/>
      <c r="AQ59" s="345"/>
      <c r="AR59" s="345"/>
      <c r="AS59" s="345"/>
      <c r="AT59" s="345"/>
      <c r="AU59" s="345"/>
      <c r="AV59" s="345"/>
      <c r="AW59" s="345"/>
    </row>
    <row r="60" spans="1:49" ht="13.5" customHeight="1" x14ac:dyDescent="0.2">
      <c r="A60" s="421"/>
      <c r="B60" s="418"/>
      <c r="C60" s="418"/>
      <c r="D60" s="418"/>
      <c r="E60" s="418"/>
      <c r="F60" s="418"/>
      <c r="G60" s="462"/>
      <c r="H60" s="418"/>
      <c r="I60" s="418"/>
      <c r="J60" s="418"/>
      <c r="K60" s="418"/>
      <c r="L60" s="478"/>
      <c r="M60" s="345"/>
      <c r="N60" s="345"/>
      <c r="O60" s="345"/>
      <c r="P60" s="369" t="s">
        <v>338</v>
      </c>
      <c r="Q60" s="1303" t="s">
        <v>1576</v>
      </c>
      <c r="R60" s="1308"/>
      <c r="S60" s="1307"/>
      <c r="T60" s="1915">
        <f>R60-0.54</f>
        <v>-0.54</v>
      </c>
      <c r="U60" s="346"/>
      <c r="V60" s="345"/>
      <c r="W60" s="345"/>
      <c r="X60" s="345"/>
      <c r="Y60" s="345"/>
      <c r="Z60" s="345"/>
      <c r="AA60" s="345"/>
      <c r="AB60" s="345"/>
      <c r="AC60" s="345"/>
      <c r="AD60" s="345"/>
      <c r="AE60" s="345"/>
      <c r="AF60" s="345"/>
      <c r="AG60" s="345"/>
      <c r="AH60" s="345"/>
      <c r="AI60" s="345"/>
      <c r="AJ60" s="345"/>
      <c r="AK60" s="345"/>
      <c r="AL60" s="345"/>
      <c r="AM60" s="345"/>
      <c r="AN60" s="345"/>
      <c r="AO60" s="345"/>
      <c r="AP60" s="345"/>
      <c r="AQ60" s="345"/>
      <c r="AR60" s="345"/>
      <c r="AS60" s="345"/>
      <c r="AT60" s="345"/>
      <c r="AU60" s="345"/>
      <c r="AV60" s="345"/>
      <c r="AW60" s="345"/>
    </row>
    <row r="61" spans="1:49" ht="13.5" customHeight="1" x14ac:dyDescent="0.2">
      <c r="A61" s="421"/>
      <c r="B61" s="418"/>
      <c r="C61" s="418"/>
      <c r="D61" s="418"/>
      <c r="E61" s="418"/>
      <c r="F61" s="418"/>
      <c r="G61" s="462"/>
      <c r="H61" s="418"/>
      <c r="I61" s="418"/>
      <c r="J61" s="418"/>
      <c r="K61" s="418"/>
      <c r="L61" s="478"/>
      <c r="M61" s="345"/>
      <c r="N61" s="345"/>
      <c r="O61" s="345"/>
      <c r="Q61" s="8"/>
      <c r="R61" s="8"/>
      <c r="S61" s="8"/>
      <c r="T61" s="1298"/>
      <c r="U61" s="346"/>
      <c r="V61" s="345"/>
      <c r="W61" s="345"/>
      <c r="X61" s="345"/>
      <c r="Y61" s="345"/>
      <c r="Z61" s="345"/>
      <c r="AA61" s="345"/>
      <c r="AB61" s="345"/>
      <c r="AC61" s="345"/>
      <c r="AD61" s="345"/>
      <c r="AE61" s="345"/>
      <c r="AF61" s="345"/>
      <c r="AG61" s="345"/>
      <c r="AH61" s="345"/>
      <c r="AI61" s="345"/>
      <c r="AJ61" s="345"/>
      <c r="AK61" s="345"/>
      <c r="AL61" s="345"/>
      <c r="AM61" s="345"/>
      <c r="AN61" s="345"/>
      <c r="AO61" s="345"/>
      <c r="AP61" s="345"/>
      <c r="AQ61" s="345"/>
      <c r="AR61" s="345"/>
      <c r="AS61" s="345"/>
      <c r="AT61" s="345"/>
      <c r="AU61" s="345"/>
      <c r="AV61" s="345"/>
      <c r="AW61" s="345"/>
    </row>
    <row r="62" spans="1:49" ht="13.5" customHeight="1" x14ac:dyDescent="0.2">
      <c r="A62" s="421"/>
      <c r="B62" s="418"/>
      <c r="C62" s="418"/>
      <c r="D62" s="418"/>
      <c r="E62" s="418"/>
      <c r="F62" s="418"/>
      <c r="G62" s="462"/>
      <c r="H62" s="418"/>
      <c r="I62" s="418"/>
      <c r="J62" s="418"/>
      <c r="K62" s="418"/>
      <c r="L62" s="478"/>
      <c r="M62" s="345"/>
      <c r="N62" s="345"/>
      <c r="O62" s="345"/>
      <c r="P62" s="563" t="s">
        <v>137</v>
      </c>
      <c r="Q62" s="1299"/>
      <c r="R62" s="1300"/>
      <c r="S62" s="1300"/>
      <c r="T62" s="1298"/>
      <c r="U62" s="346"/>
      <c r="V62" s="345"/>
      <c r="W62" s="345"/>
      <c r="X62" s="345"/>
      <c r="Y62" s="345"/>
      <c r="Z62" s="345"/>
      <c r="AA62" s="345"/>
      <c r="AB62" s="345"/>
      <c r="AC62" s="345"/>
      <c r="AD62" s="345"/>
      <c r="AE62" s="345"/>
      <c r="AF62" s="345"/>
      <c r="AG62" s="345"/>
      <c r="AH62" s="345"/>
      <c r="AI62" s="345"/>
      <c r="AJ62" s="345"/>
      <c r="AK62" s="345"/>
      <c r="AL62" s="345"/>
      <c r="AM62" s="345"/>
      <c r="AN62" s="345"/>
      <c r="AO62" s="345"/>
      <c r="AP62" s="345"/>
      <c r="AQ62" s="345"/>
      <c r="AR62" s="345"/>
      <c r="AS62" s="345"/>
      <c r="AT62" s="345"/>
      <c r="AU62" s="345"/>
      <c r="AV62" s="345"/>
      <c r="AW62" s="345"/>
    </row>
    <row r="63" spans="1:49" ht="13.5" customHeight="1" x14ac:dyDescent="0.2">
      <c r="A63" s="421"/>
      <c r="B63" s="418"/>
      <c r="C63" s="418"/>
      <c r="D63" s="418"/>
      <c r="E63" s="418"/>
      <c r="F63" s="418"/>
      <c r="G63" s="462"/>
      <c r="H63" s="418"/>
      <c r="I63" s="418"/>
      <c r="J63" s="418"/>
      <c r="K63" s="418"/>
      <c r="L63" s="478"/>
      <c r="M63" s="345"/>
      <c r="N63" s="345"/>
      <c r="O63" s="345"/>
      <c r="P63" s="213" t="s">
        <v>1143</v>
      </c>
      <c r="Q63" s="1301" t="s">
        <v>1571</v>
      </c>
      <c r="R63" s="1302"/>
      <c r="S63" s="1302"/>
      <c r="T63" s="1408">
        <f>R63-0.05</f>
        <v>-0.05</v>
      </c>
      <c r="U63" s="346"/>
      <c r="V63" s="345"/>
      <c r="W63" s="345"/>
      <c r="X63" s="345"/>
      <c r="Y63" s="345"/>
      <c r="Z63" s="345"/>
      <c r="AA63" s="345"/>
      <c r="AB63" s="345"/>
      <c r="AC63" s="345"/>
      <c r="AD63" s="345"/>
      <c r="AE63" s="345"/>
      <c r="AF63" s="345"/>
      <c r="AG63" s="345"/>
      <c r="AH63" s="345"/>
      <c r="AI63" s="345"/>
      <c r="AJ63" s="345"/>
      <c r="AK63" s="345"/>
      <c r="AL63" s="345"/>
      <c r="AM63" s="345"/>
      <c r="AN63" s="345"/>
      <c r="AO63" s="345"/>
      <c r="AP63" s="345"/>
      <c r="AQ63" s="345"/>
      <c r="AR63" s="345"/>
      <c r="AS63" s="345"/>
      <c r="AT63" s="345"/>
      <c r="AU63" s="345"/>
      <c r="AV63" s="345"/>
      <c r="AW63" s="345"/>
    </row>
    <row r="64" spans="1:49" ht="13.5" customHeight="1" x14ac:dyDescent="0.2">
      <c r="A64" s="421"/>
      <c r="B64" s="418"/>
      <c r="C64" s="418"/>
      <c r="D64" s="418"/>
      <c r="E64" s="418"/>
      <c r="F64" s="418"/>
      <c r="G64" s="462"/>
      <c r="H64" s="418"/>
      <c r="I64" s="418"/>
      <c r="J64" s="418"/>
      <c r="K64" s="418"/>
      <c r="L64" s="478"/>
      <c r="M64" s="345"/>
      <c r="N64" s="345"/>
      <c r="O64" s="345"/>
      <c r="P64" s="369" t="s">
        <v>1309</v>
      </c>
      <c r="Q64" s="1301" t="s">
        <v>2220</v>
      </c>
      <c r="R64" s="1301"/>
      <c r="S64" s="1302"/>
      <c r="T64" s="1408">
        <f>R64-0.06</f>
        <v>-0.06</v>
      </c>
      <c r="U64" s="346"/>
      <c r="V64" s="345"/>
      <c r="W64" s="345"/>
      <c r="X64" s="345"/>
      <c r="Y64" s="345"/>
      <c r="Z64" s="345"/>
      <c r="AA64" s="345"/>
      <c r="AB64" s="345"/>
      <c r="AC64" s="345"/>
      <c r="AD64" s="345"/>
      <c r="AE64" s="345"/>
      <c r="AF64" s="345"/>
      <c r="AG64" s="345"/>
      <c r="AH64" s="345"/>
      <c r="AI64" s="345"/>
      <c r="AJ64" s="345"/>
      <c r="AK64" s="345"/>
      <c r="AL64" s="345"/>
      <c r="AM64" s="345"/>
      <c r="AN64" s="345"/>
      <c r="AO64" s="345"/>
      <c r="AP64" s="345"/>
      <c r="AQ64" s="345"/>
      <c r="AR64" s="345"/>
      <c r="AS64" s="345"/>
      <c r="AT64" s="345"/>
      <c r="AU64" s="345"/>
      <c r="AV64" s="345"/>
      <c r="AW64" s="345"/>
    </row>
    <row r="65" spans="1:49" ht="13.5" customHeight="1" x14ac:dyDescent="0.2">
      <c r="A65" s="418"/>
      <c r="B65" s="418"/>
      <c r="C65" s="418"/>
      <c r="D65" s="418"/>
      <c r="E65" s="418"/>
      <c r="F65" s="418"/>
      <c r="G65" s="462"/>
      <c r="H65" s="418"/>
      <c r="I65" s="418"/>
      <c r="J65" s="418"/>
      <c r="K65" s="418"/>
      <c r="L65" s="478"/>
      <c r="M65" s="345"/>
      <c r="N65" s="345"/>
      <c r="O65" s="345"/>
      <c r="P65" s="369" t="s">
        <v>2036</v>
      </c>
      <c r="Q65" s="1301">
        <v>0.03</v>
      </c>
      <c r="R65" s="1302"/>
      <c r="S65" s="1302"/>
      <c r="T65" s="1408">
        <f>R65-0.03</f>
        <v>-0.03</v>
      </c>
      <c r="U65" s="346"/>
      <c r="V65" s="345"/>
      <c r="W65" s="345"/>
      <c r="X65" s="345"/>
      <c r="Y65" s="345"/>
      <c r="Z65" s="345"/>
      <c r="AA65" s="345"/>
      <c r="AB65" s="345"/>
      <c r="AC65" s="345"/>
      <c r="AD65" s="345"/>
      <c r="AE65" s="345"/>
      <c r="AF65" s="345"/>
      <c r="AG65" s="345"/>
      <c r="AH65" s="345"/>
      <c r="AI65" s="345"/>
      <c r="AJ65" s="345"/>
      <c r="AK65" s="345"/>
      <c r="AL65" s="345"/>
      <c r="AM65" s="345"/>
      <c r="AN65" s="345"/>
      <c r="AO65" s="345"/>
      <c r="AP65" s="345"/>
      <c r="AQ65" s="345"/>
      <c r="AR65" s="345"/>
      <c r="AS65" s="345"/>
      <c r="AT65" s="345"/>
      <c r="AU65" s="345"/>
      <c r="AV65" s="345"/>
      <c r="AW65" s="345"/>
    </row>
    <row r="66" spans="1:49" ht="13.5" customHeight="1" x14ac:dyDescent="0.2">
      <c r="A66" s="418"/>
      <c r="B66" s="418"/>
      <c r="C66" s="418"/>
      <c r="D66" s="418"/>
      <c r="E66" s="418"/>
      <c r="F66" s="418"/>
      <c r="G66" s="462"/>
      <c r="H66" s="418"/>
      <c r="I66" s="418"/>
      <c r="J66" s="418"/>
      <c r="K66" s="418"/>
      <c r="L66" s="478"/>
      <c r="M66" s="345"/>
      <c r="N66" s="345"/>
      <c r="O66" s="345"/>
      <c r="P66" s="392"/>
      <c r="Q66" s="1301"/>
      <c r="R66" s="1300"/>
      <c r="S66" s="1300"/>
      <c r="T66" s="1298"/>
      <c r="U66" s="346"/>
      <c r="V66" s="345"/>
      <c r="W66" s="345"/>
      <c r="X66" s="345"/>
      <c r="Y66" s="345"/>
      <c r="Z66" s="345"/>
      <c r="AA66" s="345"/>
      <c r="AB66" s="345"/>
      <c r="AC66" s="345"/>
      <c r="AD66" s="345"/>
      <c r="AE66" s="345"/>
      <c r="AF66" s="345"/>
      <c r="AG66" s="345"/>
      <c r="AH66" s="345"/>
      <c r="AI66" s="345"/>
      <c r="AJ66" s="345"/>
      <c r="AK66" s="345"/>
      <c r="AL66" s="345"/>
      <c r="AM66" s="345"/>
      <c r="AN66" s="345"/>
      <c r="AO66" s="345"/>
      <c r="AP66" s="345"/>
      <c r="AQ66" s="345"/>
      <c r="AR66" s="345"/>
      <c r="AS66" s="345"/>
      <c r="AT66" s="345"/>
      <c r="AU66" s="345"/>
      <c r="AV66" s="345"/>
      <c r="AW66" s="345"/>
    </row>
    <row r="67" spans="1:49" ht="13.5" customHeight="1" x14ac:dyDescent="0.2">
      <c r="A67" s="418"/>
      <c r="B67" s="418"/>
      <c r="C67" s="418"/>
      <c r="D67" s="418"/>
      <c r="E67" s="418"/>
      <c r="F67" s="418"/>
      <c r="G67" s="462"/>
      <c r="H67" s="418"/>
      <c r="I67" s="418"/>
      <c r="J67" s="418"/>
      <c r="K67" s="418"/>
      <c r="L67" s="478"/>
      <c r="M67" s="345"/>
      <c r="N67" s="345"/>
      <c r="O67" s="345"/>
      <c r="P67" s="1295" t="s">
        <v>125</v>
      </c>
      <c r="Q67" s="1301"/>
      <c r="R67" s="1300"/>
      <c r="S67" s="1300"/>
      <c r="T67" s="1298"/>
      <c r="U67" s="346"/>
      <c r="V67" s="345"/>
      <c r="W67" s="345"/>
      <c r="X67" s="345"/>
      <c r="Y67" s="345"/>
      <c r="Z67" s="345"/>
      <c r="AA67" s="345"/>
      <c r="AB67" s="345"/>
      <c r="AC67" s="345"/>
      <c r="AD67" s="345"/>
      <c r="AE67" s="345"/>
      <c r="AF67" s="345"/>
      <c r="AG67" s="345"/>
      <c r="AH67" s="345"/>
      <c r="AI67" s="345"/>
      <c r="AJ67" s="345"/>
      <c r="AK67" s="345"/>
      <c r="AL67" s="345"/>
      <c r="AM67" s="345"/>
      <c r="AN67" s="345"/>
      <c r="AO67" s="345"/>
      <c r="AP67" s="345"/>
      <c r="AQ67" s="345"/>
      <c r="AR67" s="345"/>
      <c r="AS67" s="345"/>
      <c r="AT67" s="345"/>
      <c r="AU67" s="345"/>
      <c r="AV67" s="345"/>
      <c r="AW67" s="345"/>
    </row>
    <row r="68" spans="1:49" ht="13.5" customHeight="1" x14ac:dyDescent="0.2">
      <c r="A68" s="418"/>
      <c r="B68" s="418"/>
      <c r="C68" s="418"/>
      <c r="D68" s="418"/>
      <c r="E68" s="418"/>
      <c r="F68" s="418"/>
      <c r="G68" s="462"/>
      <c r="H68" s="418"/>
      <c r="I68" s="418"/>
      <c r="J68" s="418"/>
      <c r="K68" s="418"/>
      <c r="L68" s="478"/>
      <c r="M68" s="345"/>
      <c r="N68" s="345"/>
      <c r="O68" s="345"/>
      <c r="P68" s="213" t="s">
        <v>139</v>
      </c>
      <c r="Q68" s="1304" t="s">
        <v>1572</v>
      </c>
      <c r="R68" s="1421"/>
      <c r="S68" s="1303"/>
      <c r="T68" s="1409">
        <f>R68-450</f>
        <v>-450</v>
      </c>
      <c r="U68" s="346"/>
      <c r="V68" s="345">
        <f>134+149+36</f>
        <v>319</v>
      </c>
      <c r="W68" s="345"/>
      <c r="X68" s="345"/>
      <c r="Y68" s="345"/>
      <c r="Z68" s="345"/>
      <c r="AA68" s="345"/>
      <c r="AB68" s="345"/>
      <c r="AC68" s="345"/>
      <c r="AD68" s="345"/>
      <c r="AE68" s="345"/>
      <c r="AF68" s="345"/>
      <c r="AG68" s="345"/>
      <c r="AH68" s="345"/>
      <c r="AI68" s="345"/>
      <c r="AJ68" s="345"/>
      <c r="AK68" s="345"/>
      <c r="AL68" s="345"/>
      <c r="AM68" s="345"/>
      <c r="AN68" s="345"/>
      <c r="AO68" s="345"/>
      <c r="AP68" s="345"/>
      <c r="AQ68" s="345"/>
      <c r="AR68" s="345"/>
      <c r="AS68" s="345"/>
      <c r="AT68" s="345"/>
      <c r="AU68" s="345"/>
      <c r="AV68" s="345"/>
      <c r="AW68" s="345"/>
    </row>
    <row r="69" spans="1:49" ht="13.5" customHeight="1" x14ac:dyDescent="0.2">
      <c r="A69" s="418"/>
      <c r="B69" s="418"/>
      <c r="C69" s="418"/>
      <c r="D69" s="418"/>
      <c r="E69" s="418"/>
      <c r="F69" s="418"/>
      <c r="G69" s="462"/>
      <c r="H69" s="418"/>
      <c r="I69" s="418"/>
      <c r="J69" s="418"/>
      <c r="K69" s="418"/>
      <c r="L69" s="478"/>
      <c r="M69" s="345"/>
      <c r="N69" s="345"/>
      <c r="O69" s="345"/>
      <c r="P69" s="369" t="s">
        <v>138</v>
      </c>
      <c r="Q69" s="1303">
        <v>55</v>
      </c>
      <c r="R69" s="1389"/>
      <c r="S69" s="1305"/>
      <c r="T69" s="1298">
        <f>R69-Q69</f>
        <v>-55</v>
      </c>
      <c r="U69" s="346"/>
      <c r="V69" s="345"/>
      <c r="W69" s="345"/>
      <c r="X69" s="345"/>
      <c r="Y69" s="345"/>
      <c r="Z69" s="345"/>
      <c r="AA69" s="345"/>
      <c r="AB69" s="345"/>
      <c r="AC69" s="345"/>
      <c r="AD69" s="345"/>
      <c r="AE69" s="345"/>
      <c r="AF69" s="345"/>
      <c r="AG69" s="345"/>
      <c r="AH69" s="345"/>
      <c r="AI69" s="345"/>
      <c r="AJ69" s="345"/>
      <c r="AK69" s="345"/>
      <c r="AL69" s="345"/>
      <c r="AM69" s="345"/>
      <c r="AN69" s="345"/>
      <c r="AO69" s="345"/>
      <c r="AP69" s="345"/>
      <c r="AQ69" s="345"/>
      <c r="AR69" s="345"/>
      <c r="AS69" s="345"/>
      <c r="AT69" s="345"/>
      <c r="AU69" s="345"/>
      <c r="AV69" s="345"/>
      <c r="AW69" s="345"/>
    </row>
    <row r="70" spans="1:49" ht="13.5" customHeight="1" x14ac:dyDescent="0.2">
      <c r="A70" s="418"/>
      <c r="B70" s="418"/>
      <c r="C70" s="418"/>
      <c r="D70" s="418"/>
      <c r="E70" s="418"/>
      <c r="F70" s="418"/>
      <c r="G70" s="462"/>
      <c r="H70" s="418"/>
      <c r="I70" s="418"/>
      <c r="J70" s="418"/>
      <c r="K70" s="418"/>
      <c r="L70" s="478"/>
      <c r="M70" s="345"/>
      <c r="N70" s="345"/>
      <c r="O70" s="345"/>
      <c r="S70" s="1300"/>
      <c r="T70" s="1298"/>
      <c r="U70" s="346"/>
      <c r="V70" s="345"/>
      <c r="W70" s="345"/>
      <c r="X70" s="345"/>
      <c r="Y70" s="345"/>
      <c r="Z70" s="345"/>
      <c r="AA70" s="345"/>
      <c r="AB70" s="345"/>
      <c r="AC70" s="345"/>
      <c r="AD70" s="345"/>
      <c r="AE70" s="345"/>
      <c r="AF70" s="345"/>
      <c r="AG70" s="345"/>
      <c r="AH70" s="345"/>
      <c r="AI70" s="345"/>
      <c r="AJ70" s="345"/>
      <c r="AK70" s="345"/>
      <c r="AL70" s="345"/>
      <c r="AM70" s="345"/>
      <c r="AN70" s="345"/>
      <c r="AO70" s="345"/>
      <c r="AP70" s="345"/>
      <c r="AQ70" s="345"/>
      <c r="AR70" s="345"/>
      <c r="AS70" s="311">
        <f>79/222</f>
        <v>0.35585585585585583</v>
      </c>
      <c r="AT70" s="345"/>
      <c r="AU70" s="345"/>
      <c r="AV70" s="345"/>
      <c r="AW70" s="345"/>
    </row>
    <row r="71" spans="1:49" ht="13.5" customHeight="1" x14ac:dyDescent="0.2">
      <c r="A71" s="418"/>
      <c r="B71" s="418"/>
      <c r="C71" s="418"/>
      <c r="D71" s="418"/>
      <c r="E71" s="418"/>
      <c r="F71" s="418"/>
      <c r="G71" s="462"/>
      <c r="H71" s="418"/>
      <c r="I71" s="418"/>
      <c r="J71" s="418"/>
      <c r="K71" s="418"/>
      <c r="L71" s="478"/>
      <c r="M71" s="345"/>
      <c r="N71" s="345"/>
      <c r="O71" s="345"/>
      <c r="P71" s="1295" t="s">
        <v>1931</v>
      </c>
      <c r="Q71" s="1303"/>
      <c r="R71" s="1300"/>
      <c r="S71" s="1300"/>
      <c r="T71" s="1298"/>
      <c r="U71" s="346"/>
      <c r="V71" s="345"/>
      <c r="W71" s="345"/>
      <c r="X71" s="345"/>
      <c r="Y71" s="345"/>
      <c r="Z71" s="345"/>
      <c r="AA71" s="345"/>
      <c r="AB71" s="345"/>
      <c r="AC71" s="345"/>
      <c r="AD71" s="345"/>
      <c r="AE71" s="345"/>
      <c r="AF71" s="345"/>
      <c r="AG71" s="345"/>
      <c r="AH71" s="345"/>
      <c r="AI71" s="345"/>
      <c r="AJ71" s="345"/>
      <c r="AK71" s="345"/>
      <c r="AL71" s="345"/>
      <c r="AM71" s="345"/>
      <c r="AN71" s="345"/>
      <c r="AO71" s="345"/>
      <c r="AP71" s="345"/>
      <c r="AQ71" s="345"/>
      <c r="AR71" s="345"/>
      <c r="AT71" s="345"/>
      <c r="AU71" s="345"/>
      <c r="AV71" s="345"/>
      <c r="AW71" s="345"/>
    </row>
    <row r="72" spans="1:49" ht="13.5" customHeight="1" x14ac:dyDescent="0.2">
      <c r="A72" s="418"/>
      <c r="B72" s="418"/>
      <c r="C72" s="418"/>
      <c r="D72" s="418"/>
      <c r="E72" s="418"/>
      <c r="F72" s="418"/>
      <c r="G72" s="462"/>
      <c r="H72" s="418"/>
      <c r="I72" s="418"/>
      <c r="J72" s="418"/>
      <c r="K72" s="418"/>
      <c r="L72" s="478"/>
      <c r="M72" s="345"/>
      <c r="N72" s="345"/>
      <c r="O72" s="345"/>
      <c r="P72" s="369" t="s">
        <v>140</v>
      </c>
      <c r="Q72" s="1305" t="s">
        <v>1573</v>
      </c>
      <c r="R72" s="1407"/>
      <c r="S72" s="1300"/>
      <c r="T72" s="1409">
        <f>R72-205</f>
        <v>-205</v>
      </c>
      <c r="U72" s="346"/>
      <c r="V72" s="1767" t="s">
        <v>1575</v>
      </c>
      <c r="W72" s="345"/>
      <c r="X72" s="345"/>
      <c r="Y72" s="345"/>
      <c r="Z72" s="345"/>
      <c r="AA72" s="345"/>
      <c r="AB72" s="345"/>
      <c r="AC72" s="345"/>
      <c r="AD72" s="345"/>
      <c r="AE72" s="345"/>
      <c r="AF72" s="345"/>
      <c r="AG72" s="345"/>
      <c r="AH72" s="345"/>
      <c r="AI72" s="345"/>
      <c r="AJ72" s="345"/>
      <c r="AK72" s="345"/>
      <c r="AL72" s="345"/>
      <c r="AM72" s="345"/>
      <c r="AN72" s="345"/>
      <c r="AO72" s="345"/>
      <c r="AP72" s="345"/>
      <c r="AQ72" s="345"/>
      <c r="AR72" s="345"/>
      <c r="AS72" s="345"/>
      <c r="AT72" s="345"/>
      <c r="AU72" s="345"/>
      <c r="AV72" s="345"/>
      <c r="AW72" s="345"/>
    </row>
    <row r="73" spans="1:49" ht="13.5" customHeight="1" x14ac:dyDescent="0.2">
      <c r="A73" s="418"/>
      <c r="B73" s="418"/>
      <c r="C73" s="418"/>
      <c r="D73" s="418"/>
      <c r="E73" s="418"/>
      <c r="F73" s="418"/>
      <c r="G73" s="462"/>
      <c r="H73" s="418"/>
      <c r="I73" s="418"/>
      <c r="J73" s="418"/>
      <c r="K73" s="418"/>
      <c r="L73" s="478"/>
      <c r="M73" s="345"/>
      <c r="N73" s="345"/>
      <c r="O73" s="345"/>
      <c r="P73" s="213" t="s">
        <v>141</v>
      </c>
      <c r="Q73" s="1304" t="s">
        <v>1574</v>
      </c>
      <c r="R73" s="1300"/>
      <c r="S73" s="1300"/>
      <c r="T73" s="1298">
        <f>R73-300</f>
        <v>-300</v>
      </c>
      <c r="U73" s="346"/>
      <c r="V73" s="345"/>
      <c r="W73" s="345"/>
      <c r="X73" s="345"/>
      <c r="Y73" s="345"/>
      <c r="Z73" s="345"/>
      <c r="AA73" s="345"/>
      <c r="AB73" s="345"/>
      <c r="AC73" s="345"/>
      <c r="AD73" s="345"/>
      <c r="AE73" s="345"/>
      <c r="AF73" s="345"/>
      <c r="AG73" s="345"/>
      <c r="AH73" s="345"/>
      <c r="AI73" s="345"/>
      <c r="AJ73" s="345"/>
      <c r="AK73" s="345"/>
      <c r="AL73" s="345"/>
      <c r="AM73" s="345"/>
      <c r="AN73" s="345"/>
      <c r="AO73" s="345"/>
      <c r="AP73" s="345"/>
      <c r="AQ73" s="345"/>
      <c r="AR73" s="345"/>
      <c r="AS73" s="345"/>
      <c r="AT73" s="345"/>
      <c r="AU73" s="345"/>
      <c r="AV73" s="345"/>
      <c r="AW73" s="345"/>
    </row>
    <row r="74" spans="1:49" ht="13.5" customHeight="1" x14ac:dyDescent="0.2">
      <c r="A74" s="418"/>
      <c r="B74" s="418"/>
      <c r="C74" s="418"/>
      <c r="D74" s="418"/>
      <c r="E74" s="418"/>
      <c r="F74" s="418"/>
      <c r="G74" s="462"/>
      <c r="H74" s="418"/>
      <c r="I74" s="418"/>
      <c r="J74" s="418"/>
      <c r="K74" s="418"/>
      <c r="L74" s="478"/>
      <c r="M74" s="345"/>
      <c r="N74" s="345"/>
      <c r="O74" s="345"/>
      <c r="P74" s="213" t="s">
        <v>89</v>
      </c>
      <c r="Q74" s="1303">
        <v>30</v>
      </c>
      <c r="R74" s="1300"/>
      <c r="S74" s="1300"/>
      <c r="T74" s="1298">
        <f>-(R74-Q74)</f>
        <v>30</v>
      </c>
      <c r="U74" s="346"/>
      <c r="V74" s="345"/>
      <c r="W74" s="345"/>
      <c r="X74" s="345"/>
      <c r="Y74" s="345"/>
      <c r="Z74" s="345"/>
      <c r="AA74" s="345"/>
      <c r="AB74" s="345"/>
      <c r="AC74" s="345"/>
      <c r="AD74" s="345"/>
      <c r="AE74" s="345"/>
      <c r="AF74" s="345"/>
      <c r="AG74" s="345"/>
      <c r="AH74" s="345"/>
      <c r="AI74" s="345"/>
      <c r="AJ74" s="345"/>
      <c r="AK74" s="345"/>
      <c r="AL74" s="345"/>
      <c r="AM74" s="345"/>
      <c r="AN74" s="345"/>
      <c r="AO74" s="345"/>
      <c r="AP74" s="345"/>
      <c r="AQ74" s="345"/>
      <c r="AR74" s="345"/>
      <c r="AS74" s="345"/>
      <c r="AT74" s="345"/>
      <c r="AU74" s="345"/>
      <c r="AV74" s="345"/>
      <c r="AW74" s="345"/>
    </row>
    <row r="75" spans="1:49" ht="13.5" customHeight="1" x14ac:dyDescent="0.2">
      <c r="A75" s="421"/>
      <c r="B75" s="418"/>
      <c r="C75" s="424"/>
      <c r="D75" s="424"/>
      <c r="E75" s="424"/>
      <c r="F75" s="424"/>
      <c r="G75" s="457"/>
      <c r="H75" s="477"/>
      <c r="I75" s="424"/>
      <c r="J75" s="424"/>
      <c r="K75" s="424"/>
      <c r="L75" s="465"/>
      <c r="M75" s="345"/>
      <c r="N75" s="345"/>
      <c r="O75" s="345"/>
      <c r="P75" s="213" t="s">
        <v>1294</v>
      </c>
      <c r="Q75" s="1303">
        <v>-5</v>
      </c>
      <c r="R75" s="1300"/>
      <c r="S75" s="1300"/>
      <c r="T75" s="1298">
        <f>R75-Q75</f>
        <v>5</v>
      </c>
      <c r="U75" s="346"/>
      <c r="V75" s="345"/>
      <c r="W75" s="345"/>
      <c r="X75" s="345"/>
      <c r="Y75" s="345"/>
      <c r="Z75" s="345"/>
      <c r="AA75" s="345"/>
      <c r="AB75" s="345"/>
      <c r="AC75" s="345"/>
      <c r="AD75" s="345"/>
      <c r="AE75" s="345"/>
      <c r="AF75" s="345"/>
      <c r="AG75" s="345"/>
      <c r="AH75" s="345"/>
      <c r="AI75" s="345"/>
      <c r="AJ75" s="345"/>
      <c r="AK75" s="345"/>
      <c r="AL75" s="345"/>
      <c r="AM75" s="345"/>
      <c r="AN75" s="345"/>
      <c r="AO75" s="345"/>
      <c r="AP75" s="345"/>
      <c r="AQ75" s="345"/>
      <c r="AR75" s="345"/>
      <c r="AS75" s="345"/>
      <c r="AT75" s="345"/>
      <c r="AU75" s="345"/>
      <c r="AV75" s="345"/>
      <c r="AW75" s="345"/>
    </row>
    <row r="76" spans="1:49" ht="5.25" customHeight="1" x14ac:dyDescent="0.2">
      <c r="A76" s="418"/>
      <c r="B76" s="418"/>
      <c r="C76" s="418"/>
      <c r="D76" s="418"/>
      <c r="E76" s="418"/>
      <c r="F76" s="418"/>
      <c r="G76" s="462"/>
      <c r="H76" s="418"/>
      <c r="I76" s="418"/>
      <c r="J76" s="418"/>
      <c r="K76" s="418"/>
      <c r="L76" s="478"/>
      <c r="M76" s="345"/>
      <c r="N76" s="345"/>
      <c r="O76" s="345"/>
      <c r="T76" s="1306"/>
      <c r="U76" s="346"/>
      <c r="V76" s="345"/>
      <c r="W76" s="345"/>
      <c r="X76" s="345"/>
      <c r="Y76" s="345"/>
      <c r="Z76" s="345"/>
      <c r="AA76" s="345"/>
      <c r="AB76" s="345"/>
      <c r="AC76" s="345"/>
      <c r="AD76" s="345"/>
      <c r="AE76" s="345"/>
      <c r="AF76" s="345"/>
      <c r="AG76" s="345"/>
      <c r="AH76" s="345"/>
      <c r="AI76" s="345"/>
      <c r="AJ76" s="345"/>
      <c r="AK76" s="345"/>
      <c r="AL76" s="345"/>
      <c r="AM76" s="345"/>
      <c r="AN76" s="345"/>
      <c r="AO76" s="345"/>
      <c r="AP76" s="345"/>
      <c r="AQ76" s="345"/>
      <c r="AR76" s="345"/>
      <c r="AS76" s="345"/>
      <c r="AT76" s="345"/>
      <c r="AU76" s="345"/>
      <c r="AV76" s="345"/>
      <c r="AW76" s="345"/>
    </row>
    <row r="77" spans="1:49" ht="6.75" customHeight="1" x14ac:dyDescent="0.2">
      <c r="A77" s="418"/>
      <c r="B77" s="418"/>
      <c r="C77" s="459"/>
      <c r="D77" s="459"/>
      <c r="E77" s="459"/>
      <c r="F77" s="418"/>
      <c r="G77" s="467"/>
      <c r="H77" s="418"/>
      <c r="I77" s="470"/>
      <c r="J77" s="459"/>
      <c r="K77" s="418"/>
      <c r="L77" s="467"/>
      <c r="M77" s="418"/>
      <c r="N77" s="418"/>
      <c r="O77" s="418"/>
      <c r="P77" s="418"/>
      <c r="Q77" s="418"/>
      <c r="R77" s="418"/>
      <c r="S77" s="418"/>
      <c r="T77" s="418"/>
      <c r="U77" s="418"/>
      <c r="V77" s="418"/>
      <c r="W77" s="418"/>
      <c r="X77" s="418"/>
      <c r="Y77" s="418"/>
      <c r="Z77" s="418"/>
      <c r="AA77" s="418"/>
      <c r="AB77" s="418"/>
      <c r="AC77" s="418"/>
      <c r="AD77" s="418"/>
      <c r="AE77" s="418"/>
      <c r="AF77" s="418"/>
      <c r="AG77" s="418"/>
      <c r="AH77" s="418"/>
      <c r="AI77" s="418"/>
      <c r="AJ77" s="418"/>
      <c r="AK77" s="418"/>
      <c r="AL77" s="418"/>
      <c r="AM77" s="418"/>
      <c r="AN77" s="418"/>
      <c r="AO77" s="418"/>
      <c r="AP77" s="418"/>
      <c r="AQ77" s="418"/>
      <c r="AR77" s="418"/>
      <c r="AS77" s="418"/>
      <c r="AT77" s="418"/>
      <c r="AU77" s="418"/>
      <c r="AV77" s="418"/>
      <c r="AW77" s="418"/>
    </row>
    <row r="78" spans="1:49" s="70" customFormat="1" ht="13.5" customHeight="1" x14ac:dyDescent="0.2">
      <c r="A78" s="418"/>
      <c r="B78" s="418"/>
      <c r="C78" s="460"/>
      <c r="D78" s="460"/>
      <c r="E78" s="423"/>
      <c r="F78" s="460"/>
      <c r="G78" s="467"/>
      <c r="H78" s="418"/>
      <c r="I78" s="471"/>
      <c r="J78" s="460"/>
      <c r="K78" s="423"/>
      <c r="L78" s="469"/>
      <c r="M78" s="418"/>
      <c r="N78" s="418"/>
      <c r="O78" s="418"/>
      <c r="P78" s="418"/>
      <c r="Q78" s="418"/>
      <c r="R78" s="418"/>
      <c r="S78" s="418"/>
      <c r="T78" s="418"/>
      <c r="U78" s="418"/>
      <c r="V78" s="248" t="s">
        <v>92</v>
      </c>
    </row>
    <row r="79" spans="1:49" s="70" customFormat="1" ht="13.5" customHeight="1" x14ac:dyDescent="0.2">
      <c r="A79" s="418"/>
      <c r="B79" s="418"/>
      <c r="C79" s="460"/>
      <c r="D79" s="460"/>
      <c r="E79" s="423"/>
      <c r="F79" s="460"/>
      <c r="G79" s="467"/>
      <c r="H79" s="418"/>
      <c r="I79" s="471"/>
      <c r="J79" s="460"/>
      <c r="K79" s="423"/>
      <c r="L79" s="469"/>
      <c r="M79" s="418"/>
      <c r="N79" s="418"/>
      <c r="O79" s="418"/>
      <c r="P79" s="418"/>
      <c r="Q79" s="418"/>
      <c r="R79" s="1422"/>
      <c r="S79" s="418"/>
      <c r="T79" s="418"/>
      <c r="U79" s="418"/>
      <c r="V79" s="275" t="s">
        <v>91</v>
      </c>
    </row>
    <row r="80" spans="1:49" s="70" customFormat="1" ht="13.5" customHeight="1" x14ac:dyDescent="0.2">
      <c r="A80" s="418"/>
      <c r="B80" s="418"/>
      <c r="C80" s="460"/>
      <c r="D80" s="460"/>
      <c r="E80" s="423"/>
      <c r="F80" s="460"/>
      <c r="G80" s="467"/>
      <c r="H80" s="418"/>
      <c r="I80" s="471"/>
      <c r="J80" s="460"/>
      <c r="K80" s="423"/>
      <c r="L80" s="469"/>
      <c r="M80" s="418"/>
      <c r="N80" s="418"/>
      <c r="O80" s="418"/>
      <c r="P80" s="418"/>
      <c r="Q80" s="418"/>
      <c r="R80" s="418"/>
      <c r="S80" s="418"/>
      <c r="T80" s="418"/>
      <c r="U80" s="418"/>
      <c r="W80" s="1309" t="s">
        <v>731</v>
      </c>
      <c r="X80" s="1310"/>
      <c r="Y80" s="1309"/>
      <c r="Z80" s="1309"/>
      <c r="AA80" s="1309" t="s">
        <v>731</v>
      </c>
      <c r="AB80" s="1310"/>
      <c r="AC80" s="1309"/>
      <c r="AD80" s="1310"/>
      <c r="AE80" s="1310"/>
      <c r="AF80" s="1310"/>
      <c r="AG80" s="1310"/>
      <c r="AH80" s="1309"/>
      <c r="AI80" s="1309"/>
      <c r="AJ80" s="1310"/>
      <c r="AK80" s="1309"/>
      <c r="AL80" s="1309"/>
      <c r="AM80" s="1309"/>
      <c r="AN80" s="1310"/>
      <c r="AO80" s="1309"/>
      <c r="AP80"/>
      <c r="AQ80" s="390"/>
      <c r="AR80" s="390"/>
      <c r="AS80" s="390"/>
      <c r="AT80" s="390"/>
      <c r="AU80" s="390"/>
      <c r="AV80" s="390"/>
      <c r="AW80" s="390"/>
    </row>
    <row r="81" spans="1:53" s="70" customFormat="1" ht="13.5" customHeight="1" x14ac:dyDescent="0.2">
      <c r="A81" s="418"/>
      <c r="B81" s="418"/>
      <c r="C81" s="460"/>
      <c r="D81" s="460"/>
      <c r="E81" s="423"/>
      <c r="F81" s="460"/>
      <c r="G81" s="467"/>
      <c r="H81" s="418"/>
      <c r="I81" s="471"/>
      <c r="J81" s="460"/>
      <c r="K81" s="423"/>
      <c r="L81" s="469"/>
      <c r="M81" s="418"/>
      <c r="N81" s="418"/>
      <c r="O81" s="418"/>
      <c r="P81" s="418"/>
      <c r="Q81" s="418"/>
      <c r="R81" s="418"/>
      <c r="S81" s="418"/>
      <c r="T81" s="418"/>
      <c r="U81" s="418"/>
      <c r="V81" s="394"/>
      <c r="W81" s="1309" t="s">
        <v>1543</v>
      </c>
      <c r="X81" s="1309"/>
      <c r="Y81" s="1309"/>
      <c r="Z81" s="390"/>
      <c r="AA81" s="1309" t="s">
        <v>1544</v>
      </c>
      <c r="AB81" s="1309"/>
      <c r="AC81" s="1309"/>
      <c r="AD81" s="537"/>
      <c r="AE81" s="1325" t="s">
        <v>287</v>
      </c>
      <c r="AF81" s="1325"/>
      <c r="AG81" s="1325"/>
      <c r="AH81" s="390"/>
      <c r="AI81" s="1325" t="s">
        <v>288</v>
      </c>
      <c r="AJ81" s="1325"/>
      <c r="AK81" s="1325"/>
      <c r="AL81" s="390"/>
      <c r="AM81" s="1324" t="s">
        <v>289</v>
      </c>
      <c r="AN81" s="1325"/>
      <c r="AO81" s="1326"/>
      <c r="AP81" s="537"/>
      <c r="AQ81" s="390" t="s">
        <v>98</v>
      </c>
      <c r="AR81" s="390"/>
      <c r="AS81" s="390"/>
      <c r="AT81" s="390"/>
      <c r="AU81" s="390"/>
      <c r="AV81" s="390"/>
      <c r="AW81" s="390"/>
    </row>
    <row r="82" spans="1:53" s="70" customFormat="1" ht="13.5" customHeight="1" x14ac:dyDescent="0.2">
      <c r="A82" s="418"/>
      <c r="B82" s="418"/>
      <c r="C82" s="460"/>
      <c r="D82" s="460"/>
      <c r="E82" s="423"/>
      <c r="F82" s="460"/>
      <c r="G82" s="467"/>
      <c r="H82" s="418"/>
      <c r="I82" s="471"/>
      <c r="J82" s="460"/>
      <c r="K82" s="423"/>
      <c r="L82" s="469"/>
      <c r="M82" s="418"/>
      <c r="N82" s="418"/>
      <c r="O82" s="418"/>
      <c r="P82" s="418"/>
      <c r="Q82" s="418"/>
      <c r="R82" s="418"/>
      <c r="S82" s="418"/>
      <c r="T82" s="418"/>
      <c r="U82" s="418"/>
      <c r="V82" s="394"/>
      <c r="W82" s="1312" t="s">
        <v>573</v>
      </c>
      <c r="X82" s="1312"/>
      <c r="Y82" s="1312" t="s">
        <v>574</v>
      </c>
      <c r="Z82" s="390"/>
      <c r="AA82" s="1312" t="s">
        <v>573</v>
      </c>
      <c r="AB82" s="1312"/>
      <c r="AC82" s="1312" t="s">
        <v>574</v>
      </c>
      <c r="AD82" s="537"/>
      <c r="AE82" s="1312" t="s">
        <v>573</v>
      </c>
      <c r="AF82" s="1312"/>
      <c r="AG82" s="1312" t="s">
        <v>574</v>
      </c>
      <c r="AH82" s="390"/>
      <c r="AI82" s="1312" t="s">
        <v>573</v>
      </c>
      <c r="AJ82" s="1312"/>
      <c r="AK82" s="1312" t="s">
        <v>574</v>
      </c>
      <c r="AL82" s="390"/>
      <c r="AM82" s="1327" t="s">
        <v>573</v>
      </c>
      <c r="AN82" s="1312"/>
      <c r="AO82" s="1328" t="s">
        <v>574</v>
      </c>
      <c r="AP82" s="537"/>
      <c r="AQ82" s="1" t="s">
        <v>1142</v>
      </c>
      <c r="AR82" s="390"/>
      <c r="AS82" s="390"/>
      <c r="AT82" s="390"/>
      <c r="AU82" s="390"/>
      <c r="AV82" s="390"/>
      <c r="AW82" s="390"/>
    </row>
    <row r="83" spans="1:53" s="70" customFormat="1" ht="13.5" customHeight="1" x14ac:dyDescent="0.2">
      <c r="A83" s="418"/>
      <c r="B83" s="418"/>
      <c r="C83" s="460"/>
      <c r="D83" s="460"/>
      <c r="E83" s="423"/>
      <c r="F83" s="460"/>
      <c r="G83" s="467"/>
      <c r="H83" s="418"/>
      <c r="I83" s="471"/>
      <c r="J83" s="460"/>
      <c r="K83" s="423"/>
      <c r="L83" s="469"/>
      <c r="M83" s="418"/>
      <c r="N83" s="418"/>
      <c r="O83" s="418"/>
      <c r="P83" s="418"/>
      <c r="Q83" s="418"/>
      <c r="R83" s="418"/>
      <c r="S83" s="418"/>
      <c r="T83" s="418"/>
      <c r="U83" s="418"/>
      <c r="V83" s="394"/>
      <c r="W83" s="1312"/>
      <c r="X83" s="1312"/>
      <c r="Y83" s="1312"/>
      <c r="Z83" s="390"/>
      <c r="AA83" s="1312"/>
      <c r="AB83" s="1312"/>
      <c r="AC83" s="1312"/>
      <c r="AD83" s="537"/>
      <c r="AE83" s="1312"/>
      <c r="AF83" s="1312"/>
      <c r="AG83" s="1312"/>
      <c r="AH83" s="390"/>
      <c r="AI83" s="1312"/>
      <c r="AJ83" s="1312"/>
      <c r="AK83" s="1312"/>
      <c r="AL83" s="390"/>
      <c r="AM83" s="1327"/>
      <c r="AN83" s="1312"/>
      <c r="AO83" s="1328"/>
      <c r="AP83" s="537"/>
      <c r="AQ83" s="390"/>
      <c r="AR83" s="390"/>
      <c r="AS83" s="390"/>
      <c r="AT83" s="390"/>
      <c r="AU83" s="390"/>
      <c r="AV83" s="390"/>
      <c r="AW83" s="390"/>
    </row>
    <row r="84" spans="1:53" s="70" customFormat="1" ht="13.5" customHeight="1" x14ac:dyDescent="0.2">
      <c r="A84" s="418"/>
      <c r="B84" s="418"/>
      <c r="C84" s="460"/>
      <c r="D84" s="460"/>
      <c r="E84" s="423"/>
      <c r="F84" s="460"/>
      <c r="G84" s="467"/>
      <c r="H84" s="418"/>
      <c r="I84" s="471"/>
      <c r="J84" s="460"/>
      <c r="K84" s="423"/>
      <c r="L84" s="469"/>
      <c r="M84" s="418"/>
      <c r="N84" s="418"/>
      <c r="O84" s="418"/>
      <c r="P84" s="418"/>
      <c r="Q84" s="418"/>
      <c r="R84" s="418"/>
      <c r="S84" s="418"/>
      <c r="T84" s="418"/>
      <c r="U84" s="418"/>
      <c r="V84" s="1348" t="s">
        <v>95</v>
      </c>
      <c r="W84" s="1352">
        <v>1420</v>
      </c>
      <c r="X84" s="1343" t="s">
        <v>2067</v>
      </c>
      <c r="Y84" s="1352">
        <v>1490</v>
      </c>
      <c r="Z84" s="1349"/>
      <c r="AA84" s="1352">
        <v>1410</v>
      </c>
      <c r="AB84" s="1343" t="s">
        <v>2067</v>
      </c>
      <c r="AC84" s="1352">
        <v>1450</v>
      </c>
      <c r="AD84" s="1349"/>
      <c r="AE84" s="1352">
        <v>1425</v>
      </c>
      <c r="AF84" s="1343" t="s">
        <v>2067</v>
      </c>
      <c r="AG84" s="1352">
        <v>1465</v>
      </c>
      <c r="AH84" s="1349"/>
      <c r="AI84" s="1352">
        <v>1410</v>
      </c>
      <c r="AJ84" s="1343" t="s">
        <v>2067</v>
      </c>
      <c r="AK84" s="1352">
        <v>1440</v>
      </c>
      <c r="AL84" s="1349"/>
      <c r="AM84" s="1353">
        <v>1406</v>
      </c>
      <c r="AN84" s="1343" t="s">
        <v>2067</v>
      </c>
      <c r="AO84" s="1354">
        <v>1416</v>
      </c>
      <c r="AP84" s="1349"/>
      <c r="AQ84" s="1411">
        <f t="shared" ref="AQ84:AQ89" si="5">AVERAGE(AM84,AO84)-AVERAGE(AI84,AK84)</f>
        <v>-14</v>
      </c>
      <c r="AR84" s="390"/>
      <c r="AS84" s="311"/>
      <c r="AT84" s="390"/>
      <c r="AU84" s="390"/>
      <c r="AV84" s="390"/>
      <c r="AW84" s="390"/>
    </row>
    <row r="85" spans="1:53" s="70" customFormat="1" ht="13.5" customHeight="1" x14ac:dyDescent="0.2">
      <c r="A85" s="418"/>
      <c r="B85" s="418"/>
      <c r="C85" s="460"/>
      <c r="D85" s="460"/>
      <c r="E85" s="423"/>
      <c r="F85" s="460"/>
      <c r="G85" s="467"/>
      <c r="H85" s="418"/>
      <c r="I85" s="471"/>
      <c r="J85" s="460"/>
      <c r="K85" s="423"/>
      <c r="L85" s="469"/>
      <c r="M85" s="418"/>
      <c r="N85" s="418"/>
      <c r="O85" s="418"/>
      <c r="P85" s="418"/>
      <c r="Q85" s="418"/>
      <c r="R85" s="418"/>
      <c r="S85" s="418"/>
      <c r="T85" s="418"/>
      <c r="U85" s="418"/>
      <c r="V85" s="369" t="s">
        <v>1584</v>
      </c>
      <c r="W85" s="1316">
        <v>130</v>
      </c>
      <c r="X85" s="1315" t="s">
        <v>2067</v>
      </c>
      <c r="Y85" s="1316">
        <v>150</v>
      </c>
      <c r="Z85" s="1316"/>
      <c r="AA85" s="1316">
        <v>130</v>
      </c>
      <c r="AB85" s="1315" t="s">
        <v>2067</v>
      </c>
      <c r="AC85" s="1316">
        <v>140</v>
      </c>
      <c r="AD85" s="1316"/>
      <c r="AE85" s="1316">
        <v>140</v>
      </c>
      <c r="AF85" s="1315" t="s">
        <v>2067</v>
      </c>
      <c r="AG85" s="1316">
        <v>145</v>
      </c>
      <c r="AH85" s="1316"/>
      <c r="AI85" s="1316">
        <v>155</v>
      </c>
      <c r="AJ85" s="1315" t="s">
        <v>2067</v>
      </c>
      <c r="AK85" s="1316">
        <v>165</v>
      </c>
      <c r="AL85" s="1316"/>
      <c r="AM85" s="1759">
        <v>164</v>
      </c>
      <c r="AN85" s="1315" t="s">
        <v>2067</v>
      </c>
      <c r="AO85" s="1760">
        <v>164</v>
      </c>
      <c r="AP85" s="1316"/>
      <c r="AQ85" s="1358">
        <f t="shared" si="5"/>
        <v>4</v>
      </c>
      <c r="AR85" s="390"/>
      <c r="AS85" s="1420">
        <f>353/9.6</f>
        <v>36.770833333333336</v>
      </c>
      <c r="AT85" s="390"/>
      <c r="AU85" s="390"/>
      <c r="AV85" s="390"/>
      <c r="AW85" s="390"/>
    </row>
    <row r="86" spans="1:53" s="70" customFormat="1" ht="13.5" customHeight="1" x14ac:dyDescent="0.2">
      <c r="A86" s="418"/>
      <c r="B86" s="418"/>
      <c r="C86" s="460"/>
      <c r="D86" s="460"/>
      <c r="E86" s="423"/>
      <c r="F86" s="460"/>
      <c r="G86" s="467"/>
      <c r="H86" s="418"/>
      <c r="I86" s="471"/>
      <c r="J86" s="460"/>
      <c r="K86" s="423"/>
      <c r="L86" s="469"/>
      <c r="M86" s="418"/>
      <c r="N86" s="418"/>
      <c r="O86" s="418"/>
      <c r="P86" s="418"/>
      <c r="Q86" s="418"/>
      <c r="R86" s="418"/>
      <c r="S86" s="418"/>
      <c r="T86" s="418"/>
      <c r="U86" s="418"/>
      <c r="V86" s="1348" t="s">
        <v>1863</v>
      </c>
      <c r="W86" s="1344"/>
      <c r="X86" s="1343" t="s">
        <v>2067</v>
      </c>
      <c r="Y86" s="1344"/>
      <c r="Z86" s="1344"/>
      <c r="AA86" s="1349">
        <v>1090</v>
      </c>
      <c r="AB86" s="1343" t="s">
        <v>2067</v>
      </c>
      <c r="AC86" s="1349">
        <v>1150</v>
      </c>
      <c r="AD86" s="1349"/>
      <c r="AE86" s="1349">
        <v>1105</v>
      </c>
      <c r="AF86" s="1343" t="s">
        <v>2067</v>
      </c>
      <c r="AG86" s="1349">
        <v>1160</v>
      </c>
      <c r="AH86" s="1344"/>
      <c r="AI86" s="1349">
        <v>1115</v>
      </c>
      <c r="AJ86" s="1343" t="s">
        <v>2067</v>
      </c>
      <c r="AK86" s="1349">
        <v>1165</v>
      </c>
      <c r="AL86" s="1344"/>
      <c r="AM86" s="1350">
        <v>1129</v>
      </c>
      <c r="AN86" s="1343" t="s">
        <v>2067</v>
      </c>
      <c r="AO86" s="1351">
        <v>1149</v>
      </c>
      <c r="AP86" s="1349"/>
      <c r="AQ86" s="1357">
        <f t="shared" si="5"/>
        <v>-1</v>
      </c>
      <c r="AR86" s="390"/>
      <c r="AS86" s="390"/>
      <c r="AT86" s="390"/>
      <c r="AU86" s="390"/>
      <c r="AV86" s="390"/>
      <c r="AW86" s="390"/>
    </row>
    <row r="87" spans="1:53" s="70" customFormat="1" ht="13.5" customHeight="1" x14ac:dyDescent="0.2">
      <c r="A87" s="418"/>
      <c r="B87" s="418"/>
      <c r="C87" s="460"/>
      <c r="D87" s="460"/>
      <c r="E87" s="423"/>
      <c r="F87" s="460"/>
      <c r="G87" s="467"/>
      <c r="H87" s="418"/>
      <c r="I87" s="471"/>
      <c r="J87" s="460"/>
      <c r="K87" s="423"/>
      <c r="L87" s="469"/>
      <c r="M87" s="418"/>
      <c r="N87" s="418"/>
      <c r="O87" s="418"/>
      <c r="P87" s="418"/>
      <c r="Q87" s="418"/>
      <c r="R87" s="418"/>
      <c r="S87" s="418"/>
      <c r="T87" s="418"/>
      <c r="U87" s="418"/>
      <c r="V87" s="369" t="s">
        <v>140</v>
      </c>
      <c r="W87" s="1316">
        <v>660</v>
      </c>
      <c r="X87" s="1315" t="s">
        <v>2067</v>
      </c>
      <c r="Y87" s="1316">
        <v>675</v>
      </c>
      <c r="Z87" s="1316"/>
      <c r="AA87" s="1316">
        <v>660</v>
      </c>
      <c r="AB87" s="1315" t="s">
        <v>2067</v>
      </c>
      <c r="AC87" s="1316">
        <v>670</v>
      </c>
      <c r="AD87" s="1316"/>
      <c r="AE87" s="1316">
        <v>660</v>
      </c>
      <c r="AF87" s="1315" t="s">
        <v>2067</v>
      </c>
      <c r="AG87" s="1316">
        <v>670</v>
      </c>
      <c r="AH87" s="1316"/>
      <c r="AI87" s="1316">
        <v>660</v>
      </c>
      <c r="AJ87" s="1315" t="s">
        <v>2067</v>
      </c>
      <c r="AK87" s="1316">
        <v>670</v>
      </c>
      <c r="AL87" s="1316"/>
      <c r="AM87" s="1759">
        <v>639</v>
      </c>
      <c r="AN87" s="1315" t="s">
        <v>2067</v>
      </c>
      <c r="AO87" s="1760">
        <v>649</v>
      </c>
      <c r="AP87" s="1316"/>
      <c r="AQ87" s="1358">
        <f t="shared" si="5"/>
        <v>-21</v>
      </c>
      <c r="AR87" s="390"/>
      <c r="AS87" s="390"/>
      <c r="AT87" s="390"/>
      <c r="AU87" s="390"/>
      <c r="AV87" s="390"/>
      <c r="AW87" s="390"/>
      <c r="AX87" s="199" t="s">
        <v>1848</v>
      </c>
    </row>
    <row r="88" spans="1:53" s="70" customFormat="1" ht="13.5" customHeight="1" x14ac:dyDescent="0.2">
      <c r="A88" s="418"/>
      <c r="B88" s="418"/>
      <c r="C88" s="460"/>
      <c r="D88" s="460"/>
      <c r="E88" s="423"/>
      <c r="F88" s="460"/>
      <c r="G88" s="467"/>
      <c r="H88" s="418"/>
      <c r="I88" s="471"/>
      <c r="J88" s="460"/>
      <c r="K88" s="423"/>
      <c r="L88" s="469"/>
      <c r="M88" s="418"/>
      <c r="N88" s="418"/>
      <c r="O88" s="418"/>
      <c r="P88" s="418"/>
      <c r="Q88" s="418"/>
      <c r="R88" s="418"/>
      <c r="S88" s="418"/>
      <c r="T88" s="418"/>
      <c r="U88" s="418"/>
      <c r="V88" s="213" t="s">
        <v>141</v>
      </c>
      <c r="W88" s="1316"/>
      <c r="X88" s="1315" t="s">
        <v>2067</v>
      </c>
      <c r="Y88" s="1316"/>
      <c r="Z88" s="1316"/>
      <c r="AA88" s="1316">
        <v>870</v>
      </c>
      <c r="AB88" s="1315" t="s">
        <v>2067</v>
      </c>
      <c r="AC88" s="1316">
        <v>930</v>
      </c>
      <c r="AD88" s="1316"/>
      <c r="AE88" s="1316">
        <v>895</v>
      </c>
      <c r="AF88" s="1315" t="s">
        <v>2067</v>
      </c>
      <c r="AG88" s="1316">
        <v>950</v>
      </c>
      <c r="AH88" s="1316"/>
      <c r="AI88" s="1316">
        <v>895</v>
      </c>
      <c r="AJ88" s="1315" t="s">
        <v>2067</v>
      </c>
      <c r="AK88" s="1316">
        <v>945</v>
      </c>
      <c r="AL88" s="1316"/>
      <c r="AM88" s="1759">
        <v>921</v>
      </c>
      <c r="AN88" s="1315" t="s">
        <v>2067</v>
      </c>
      <c r="AO88" s="1760">
        <v>941</v>
      </c>
      <c r="AP88" s="1316"/>
      <c r="AQ88" s="1358">
        <f t="shared" si="5"/>
        <v>11</v>
      </c>
      <c r="AR88" s="390"/>
      <c r="AS88" s="390"/>
      <c r="AT88" s="390"/>
      <c r="AU88" s="390"/>
      <c r="AV88" s="390"/>
      <c r="AW88" s="390"/>
      <c r="AX88" s="70" t="s">
        <v>1253</v>
      </c>
      <c r="AY88" s="149">
        <v>0.42</v>
      </c>
    </row>
    <row r="89" spans="1:53" s="70" customFormat="1" ht="13.5" customHeight="1" x14ac:dyDescent="0.2">
      <c r="A89" s="418"/>
      <c r="B89" s="418"/>
      <c r="C89" s="460"/>
      <c r="D89" s="460"/>
      <c r="E89" s="423"/>
      <c r="F89" s="460"/>
      <c r="G89" s="467"/>
      <c r="H89" s="418"/>
      <c r="I89" s="471"/>
      <c r="J89" s="460"/>
      <c r="K89" s="423"/>
      <c r="L89" s="469"/>
      <c r="M89" s="418"/>
      <c r="N89" s="418"/>
      <c r="O89" s="418"/>
      <c r="P89" s="418"/>
      <c r="Q89" s="418"/>
      <c r="R89" s="418"/>
      <c r="S89" s="418"/>
      <c r="T89" s="418"/>
      <c r="U89" s="418"/>
      <c r="V89" s="1341" t="s">
        <v>1859</v>
      </c>
      <c r="W89" s="1342">
        <v>1.48</v>
      </c>
      <c r="X89" s="1343" t="s">
        <v>2067</v>
      </c>
      <c r="Y89" s="1342">
        <v>1.68</v>
      </c>
      <c r="Z89" s="1344"/>
      <c r="AA89" s="1342">
        <v>1.52</v>
      </c>
      <c r="AB89" s="1343" t="s">
        <v>2067</v>
      </c>
      <c r="AC89" s="1342">
        <v>1.64</v>
      </c>
      <c r="AD89" s="1345"/>
      <c r="AE89" s="1342">
        <v>1.58</v>
      </c>
      <c r="AF89" s="1343" t="s">
        <v>2067</v>
      </c>
      <c r="AG89" s="1342">
        <v>1.69</v>
      </c>
      <c r="AH89" s="1344"/>
      <c r="AI89" s="1342">
        <f>1.65</f>
        <v>1.65</v>
      </c>
      <c r="AJ89" s="1343" t="s">
        <v>2067</v>
      </c>
      <c r="AK89" s="1342">
        <f>1.75</f>
        <v>1.75</v>
      </c>
      <c r="AL89" s="1344"/>
      <c r="AM89" s="1416">
        <f>1.68</f>
        <v>1.68</v>
      </c>
      <c r="AN89" s="1343" t="s">
        <v>2067</v>
      </c>
      <c r="AO89" s="1417">
        <f>1.72</f>
        <v>1.72</v>
      </c>
      <c r="AP89" s="1345"/>
      <c r="AQ89" s="1412">
        <f t="shared" si="5"/>
        <v>0</v>
      </c>
      <c r="AR89" s="390"/>
      <c r="AS89" s="390"/>
      <c r="AT89" s="390"/>
      <c r="AU89" s="390"/>
      <c r="AV89" s="390"/>
      <c r="AW89" s="390"/>
      <c r="AX89" s="70" t="s">
        <v>1863</v>
      </c>
      <c r="AY89" s="70">
        <v>287</v>
      </c>
    </row>
    <row r="90" spans="1:53" s="70" customFormat="1" ht="13.5" customHeight="1" x14ac:dyDescent="0.2">
      <c r="A90" s="418"/>
      <c r="B90" s="418"/>
      <c r="C90" s="460"/>
      <c r="D90" s="460"/>
      <c r="E90" s="423"/>
      <c r="F90" s="460"/>
      <c r="G90" s="467"/>
      <c r="H90" s="418"/>
      <c r="I90" s="471"/>
      <c r="J90" s="460"/>
      <c r="K90" s="423"/>
      <c r="L90" s="469"/>
      <c r="M90" s="418"/>
      <c r="N90" s="418"/>
      <c r="O90" s="418"/>
      <c r="P90" s="418"/>
      <c r="Q90" s="418"/>
      <c r="R90" s="418"/>
      <c r="S90" s="418"/>
      <c r="T90" s="418"/>
      <c r="U90" s="418"/>
      <c r="V90" s="394"/>
      <c r="W90" s="1318"/>
      <c r="X90" s="1318"/>
      <c r="Y90" s="1318"/>
      <c r="Z90" s="1317"/>
      <c r="AA90" s="1318"/>
      <c r="AB90" s="1318"/>
      <c r="AC90" s="1318"/>
      <c r="AD90" s="1319"/>
      <c r="AE90" s="1318"/>
      <c r="AF90" s="1318"/>
      <c r="AG90" s="1318"/>
      <c r="AH90" s="1317"/>
      <c r="AI90" s="1318"/>
      <c r="AJ90" s="1318"/>
      <c r="AK90" s="1318"/>
      <c r="AL90" s="1317"/>
      <c r="AM90" s="1331"/>
      <c r="AN90" s="1318"/>
      <c r="AO90" s="1332"/>
      <c r="AP90" s="1319"/>
      <c r="AQ90" s="1317"/>
      <c r="AR90" s="390"/>
      <c r="AS90" s="390"/>
      <c r="AT90" s="390"/>
      <c r="AU90" s="390"/>
      <c r="AV90" s="390"/>
      <c r="AW90" s="390"/>
    </row>
    <row r="91" spans="1:53" s="70" customFormat="1" ht="13.5" customHeight="1" x14ac:dyDescent="0.2">
      <c r="A91" s="418"/>
      <c r="B91" s="418"/>
      <c r="C91" s="460"/>
      <c r="D91" s="460"/>
      <c r="E91" s="423"/>
      <c r="F91" s="460"/>
      <c r="G91" s="467"/>
      <c r="H91" s="418"/>
      <c r="I91" s="471"/>
      <c r="J91" s="460"/>
      <c r="K91" s="423"/>
      <c r="L91" s="469"/>
      <c r="M91" s="418"/>
      <c r="N91" s="418"/>
      <c r="O91" s="418"/>
      <c r="P91" s="418"/>
      <c r="Q91" s="418"/>
      <c r="R91" s="418"/>
      <c r="S91" s="418"/>
      <c r="T91" s="418"/>
      <c r="U91" s="418"/>
      <c r="V91" s="563" t="s">
        <v>373</v>
      </c>
      <c r="W91" s="1317"/>
      <c r="X91" s="1317"/>
      <c r="Y91" s="1317"/>
      <c r="Z91" s="1317"/>
      <c r="AA91" s="1317"/>
      <c r="AB91" s="1317"/>
      <c r="AC91" s="1317"/>
      <c r="AD91" s="1317"/>
      <c r="AE91" s="1317"/>
      <c r="AF91" s="1317"/>
      <c r="AG91" s="1317"/>
      <c r="AH91" s="1317"/>
      <c r="AI91" s="1317"/>
      <c r="AJ91" s="1317"/>
      <c r="AK91" s="1317"/>
      <c r="AL91" s="1317"/>
      <c r="AM91" s="1333"/>
      <c r="AN91" s="1317"/>
      <c r="AO91" s="1334"/>
      <c r="AP91" s="1317"/>
      <c r="AQ91" s="1317"/>
      <c r="AR91" s="390"/>
      <c r="AS91" s="390"/>
      <c r="AT91" s="390"/>
      <c r="AU91" s="390"/>
      <c r="AV91" s="1420"/>
      <c r="AW91" s="390"/>
    </row>
    <row r="92" spans="1:53" s="70" customFormat="1" ht="13.5" customHeight="1" x14ac:dyDescent="0.2">
      <c r="A92" s="418"/>
      <c r="B92" s="418"/>
      <c r="C92" s="460"/>
      <c r="D92" s="460"/>
      <c r="E92" s="423"/>
      <c r="F92" s="460"/>
      <c r="G92" s="467"/>
      <c r="H92" s="418"/>
      <c r="I92" s="471"/>
      <c r="J92" s="460"/>
      <c r="K92" s="423"/>
      <c r="L92" s="469"/>
      <c r="M92" s="418"/>
      <c r="N92" s="418"/>
      <c r="O92" s="418"/>
      <c r="P92" s="418"/>
      <c r="Q92" s="418"/>
      <c r="R92" s="418"/>
      <c r="S92" s="418"/>
      <c r="T92" s="418"/>
      <c r="U92" s="418"/>
      <c r="V92" s="213" t="s">
        <v>94</v>
      </c>
      <c r="W92" s="231">
        <v>0.03</v>
      </c>
      <c r="X92" s="1313" t="s">
        <v>2067</v>
      </c>
      <c r="Y92" s="231">
        <v>7.0000000000000007E-2</v>
      </c>
      <c r="Z92" s="231"/>
      <c r="AA92" s="231">
        <v>0.05</v>
      </c>
      <c r="AB92" s="1313" t="s">
        <v>2067</v>
      </c>
      <c r="AC92" s="231">
        <v>7.0000000000000007E-2</v>
      </c>
      <c r="AD92" s="231"/>
      <c r="AE92" s="231">
        <v>0.06</v>
      </c>
      <c r="AF92" s="1313" t="s">
        <v>2067</v>
      </c>
      <c r="AG92" s="231">
        <v>0.08</v>
      </c>
      <c r="AH92" s="231"/>
      <c r="AI92" s="231">
        <v>0.06</v>
      </c>
      <c r="AJ92" s="1313" t="s">
        <v>2067</v>
      </c>
      <c r="AK92" s="231">
        <v>0.08</v>
      </c>
      <c r="AL92" s="231"/>
      <c r="AM92" s="1761" t="s">
        <v>1979</v>
      </c>
      <c r="AN92" s="1313" t="s">
        <v>2067</v>
      </c>
      <c r="AO92" s="1762" t="s">
        <v>1979</v>
      </c>
      <c r="AP92" s="1320"/>
      <c r="AQ92" s="962" t="s">
        <v>1979</v>
      </c>
      <c r="AR92" s="406"/>
      <c r="AS92" s="406"/>
      <c r="AT92" s="406"/>
      <c r="AU92" s="406"/>
      <c r="AV92" s="406"/>
      <c r="AW92" s="406"/>
    </row>
    <row r="93" spans="1:53" s="70" customFormat="1" ht="13.5" customHeight="1" x14ac:dyDescent="0.2">
      <c r="A93" s="418"/>
      <c r="B93" s="418"/>
      <c r="C93" s="460"/>
      <c r="D93" s="460"/>
      <c r="E93" s="423"/>
      <c r="F93" s="460"/>
      <c r="G93" s="467"/>
      <c r="H93" s="418"/>
      <c r="I93" s="471"/>
      <c r="J93" s="460"/>
      <c r="K93" s="423"/>
      <c r="L93" s="469"/>
      <c r="M93" s="418"/>
      <c r="N93" s="418"/>
      <c r="O93" s="418"/>
      <c r="P93" s="418"/>
      <c r="Q93" s="418"/>
      <c r="R93" s="418"/>
      <c r="S93" s="418"/>
      <c r="T93" s="418"/>
      <c r="U93" s="418"/>
      <c r="V93" s="394" t="s">
        <v>1309</v>
      </c>
      <c r="W93" s="1393">
        <v>0.03</v>
      </c>
      <c r="X93" s="1394" t="s">
        <v>2067</v>
      </c>
      <c r="Y93" s="1393">
        <v>7.0000000000000007E-2</v>
      </c>
      <c r="Z93" s="1393"/>
      <c r="AA93" s="1393">
        <v>0.05</v>
      </c>
      <c r="AB93" s="1394" t="s">
        <v>2067</v>
      </c>
      <c r="AC93" s="1393">
        <v>7.0000000000000007E-2</v>
      </c>
      <c r="AD93" s="1393"/>
      <c r="AE93" s="1415">
        <v>0.06</v>
      </c>
      <c r="AF93" s="1399" t="s">
        <v>2067</v>
      </c>
      <c r="AG93" s="1415">
        <v>0.08</v>
      </c>
      <c r="AH93" s="1393"/>
      <c r="AI93" s="1393">
        <v>0.06</v>
      </c>
      <c r="AJ93" s="1399" t="s">
        <v>2067</v>
      </c>
      <c r="AK93" s="1393">
        <v>0.08</v>
      </c>
      <c r="AL93" s="1393"/>
      <c r="AM93" s="1761" t="s">
        <v>1979</v>
      </c>
      <c r="AN93" s="1399" t="s">
        <v>2067</v>
      </c>
      <c r="AO93" s="1762" t="s">
        <v>1979</v>
      </c>
      <c r="AP93" s="1363"/>
      <c r="AQ93" s="962" t="s">
        <v>1979</v>
      </c>
      <c r="AR93" s="406"/>
      <c r="AS93" s="406"/>
      <c r="AT93" s="406"/>
      <c r="AU93" s="406"/>
      <c r="AV93" s="406"/>
      <c r="AW93" s="406"/>
    </row>
    <row r="94" spans="1:53" s="70" customFormat="1" ht="13.5" customHeight="1" x14ac:dyDescent="0.2">
      <c r="A94" s="418"/>
      <c r="B94" s="418"/>
      <c r="C94" s="460"/>
      <c r="D94" s="460"/>
      <c r="E94" s="423"/>
      <c r="F94" s="460"/>
      <c r="G94" s="467"/>
      <c r="H94" s="418"/>
      <c r="I94" s="471"/>
      <c r="J94" s="460"/>
      <c r="K94" s="423"/>
      <c r="L94" s="469"/>
      <c r="M94" s="418"/>
      <c r="N94" s="418"/>
      <c r="O94" s="418"/>
      <c r="P94" s="418"/>
      <c r="Q94" s="418"/>
      <c r="R94" s="418"/>
      <c r="S94" s="418"/>
      <c r="T94" s="418"/>
      <c r="U94" s="418"/>
      <c r="V94" s="369" t="s">
        <v>2036</v>
      </c>
      <c r="W94" s="231">
        <v>0.03</v>
      </c>
      <c r="X94" s="1313" t="s">
        <v>2067</v>
      </c>
      <c r="Y94" s="231">
        <v>7.0000000000000007E-2</v>
      </c>
      <c r="Z94" s="231"/>
      <c r="AA94" s="231">
        <v>0.05</v>
      </c>
      <c r="AB94" s="1313" t="s">
        <v>2067</v>
      </c>
      <c r="AC94" s="231">
        <v>7.0000000000000007E-2</v>
      </c>
      <c r="AD94" s="231"/>
      <c r="AE94" s="231">
        <v>0.06</v>
      </c>
      <c r="AF94" s="1313" t="s">
        <v>2067</v>
      </c>
      <c r="AG94" s="231">
        <v>0.08</v>
      </c>
      <c r="AH94" s="231"/>
      <c r="AI94" s="231">
        <v>0.05</v>
      </c>
      <c r="AJ94" s="1313" t="s">
        <v>2067</v>
      </c>
      <c r="AK94" s="231">
        <v>7.0000000000000007E-2</v>
      </c>
      <c r="AL94" s="231"/>
      <c r="AM94" s="1761" t="s">
        <v>1979</v>
      </c>
      <c r="AN94" s="1313" t="s">
        <v>2067</v>
      </c>
      <c r="AO94" s="1762" t="s">
        <v>1979</v>
      </c>
      <c r="AP94" s="1320"/>
      <c r="AQ94" s="962" t="s">
        <v>1979</v>
      </c>
      <c r="AR94" s="406"/>
      <c r="AS94" s="406"/>
      <c r="AT94" s="406"/>
      <c r="AU94" s="406"/>
      <c r="AV94" s="406"/>
      <c r="AW94" s="406"/>
    </row>
    <row r="95" spans="1:53" s="70" customFormat="1" ht="13.5" customHeight="1" x14ac:dyDescent="0.2">
      <c r="A95" s="418"/>
      <c r="B95" s="418"/>
      <c r="C95" s="460"/>
      <c r="D95" s="460"/>
      <c r="E95" s="423"/>
      <c r="F95" s="460"/>
      <c r="G95" s="467"/>
      <c r="H95" s="418"/>
      <c r="I95" s="471"/>
      <c r="J95" s="460"/>
      <c r="K95" s="423"/>
      <c r="L95" s="469"/>
      <c r="M95" s="418"/>
      <c r="N95" s="418"/>
      <c r="O95" s="418"/>
      <c r="P95" s="418"/>
      <c r="Q95" s="418"/>
      <c r="R95" s="418"/>
      <c r="S95" s="418"/>
      <c r="T95" s="418"/>
      <c r="U95" s="418"/>
      <c r="V95" s="392"/>
      <c r="W95" s="1320"/>
      <c r="X95" s="1321"/>
      <c r="Y95" s="1320"/>
      <c r="Z95" s="1320"/>
      <c r="AA95" s="1321"/>
      <c r="AB95" s="1321"/>
      <c r="AC95" s="1321"/>
      <c r="AD95" s="1321"/>
      <c r="AE95" s="1321"/>
      <c r="AF95" s="1321"/>
      <c r="AG95" s="1321"/>
      <c r="AH95" s="1320"/>
      <c r="AI95" s="1321"/>
      <c r="AJ95" s="1321"/>
      <c r="AK95" s="1321"/>
      <c r="AL95" s="1320"/>
      <c r="AM95" s="1763"/>
      <c r="AN95" s="1321"/>
      <c r="AO95" s="1764"/>
      <c r="AP95" s="1321"/>
      <c r="AQ95" s="1317"/>
      <c r="AR95" s="390"/>
      <c r="AS95" s="390"/>
      <c r="AT95" s="390"/>
      <c r="AU95" s="390"/>
      <c r="AV95" s="390"/>
      <c r="AW95" s="390"/>
    </row>
    <row r="96" spans="1:53" s="70" customFormat="1" ht="13.5" customHeight="1" x14ac:dyDescent="0.2">
      <c r="A96" s="418"/>
      <c r="B96" s="418"/>
      <c r="C96" s="460"/>
      <c r="D96" s="460"/>
      <c r="E96" s="423"/>
      <c r="F96" s="460"/>
      <c r="G96" s="467"/>
      <c r="H96" s="418"/>
      <c r="I96" s="471"/>
      <c r="J96" s="460"/>
      <c r="K96" s="423"/>
      <c r="L96" s="469"/>
      <c r="M96" s="418"/>
      <c r="N96" s="418"/>
      <c r="O96" s="418"/>
      <c r="P96" s="418"/>
      <c r="Q96" s="418"/>
      <c r="R96" s="418"/>
      <c r="S96" s="418"/>
      <c r="T96" s="418"/>
      <c r="U96" s="418"/>
      <c r="V96" s="1314" t="s">
        <v>1931</v>
      </c>
      <c r="W96" s="1322"/>
      <c r="X96" s="1323"/>
      <c r="Y96" s="1322"/>
      <c r="Z96" s="1322"/>
      <c r="AA96" s="1321"/>
      <c r="AB96" s="1323"/>
      <c r="AC96" s="1323"/>
      <c r="AD96" s="1323"/>
      <c r="AE96" s="1323"/>
      <c r="AF96" s="1323"/>
      <c r="AG96" s="1323"/>
      <c r="AH96" s="1322"/>
      <c r="AI96" s="1321"/>
      <c r="AJ96" s="1323"/>
      <c r="AK96" s="1323"/>
      <c r="AL96" s="1322"/>
      <c r="AM96" s="1763"/>
      <c r="AN96" s="1323"/>
      <c r="AO96" s="1765"/>
      <c r="AP96" s="1323"/>
      <c r="AQ96" s="1317"/>
      <c r="AR96" s="390"/>
      <c r="AS96" s="390"/>
      <c r="AT96" s="390"/>
      <c r="AU96" s="390"/>
      <c r="AV96" s="390"/>
      <c r="AW96" s="390"/>
      <c r="BA96" s="70">
        <f>45*0.6</f>
        <v>27</v>
      </c>
    </row>
    <row r="97" spans="1:53" s="70" customFormat="1" ht="13.5" customHeight="1" x14ac:dyDescent="0.2">
      <c r="A97" s="418"/>
      <c r="B97" s="418"/>
      <c r="C97" s="460"/>
      <c r="D97" s="460"/>
      <c r="E97" s="423"/>
      <c r="F97" s="460"/>
      <c r="G97" s="467"/>
      <c r="H97" s="418"/>
      <c r="I97" s="471"/>
      <c r="J97" s="460"/>
      <c r="K97" s="423"/>
      <c r="L97" s="469"/>
      <c r="M97" s="418"/>
      <c r="N97" s="418"/>
      <c r="O97" s="418"/>
      <c r="P97" s="418"/>
      <c r="Q97" s="418"/>
      <c r="R97" s="418"/>
      <c r="S97" s="418"/>
      <c r="T97" s="418"/>
      <c r="U97" s="418"/>
      <c r="V97" s="213" t="s">
        <v>97</v>
      </c>
      <c r="W97" s="1316">
        <v>30000</v>
      </c>
      <c r="X97" s="1414"/>
      <c r="Y97" s="1316"/>
      <c r="Z97" s="1316"/>
      <c r="AA97" s="1316">
        <v>30000</v>
      </c>
      <c r="AB97" s="1414"/>
      <c r="AC97" s="1316"/>
      <c r="AD97" s="1316"/>
      <c r="AE97" s="1316">
        <v>25000</v>
      </c>
      <c r="AF97" s="1313" t="s">
        <v>2067</v>
      </c>
      <c r="AG97" s="1316">
        <v>30000</v>
      </c>
      <c r="AH97" s="1316"/>
      <c r="AI97" s="1316">
        <v>20000</v>
      </c>
      <c r="AJ97" s="1313" t="s">
        <v>2067</v>
      </c>
      <c r="AK97" s="1316">
        <v>25000</v>
      </c>
      <c r="AL97" s="1316"/>
      <c r="AM97" s="1759">
        <v>28000</v>
      </c>
      <c r="AN97" s="1313" t="s">
        <v>2067</v>
      </c>
      <c r="AO97" s="1760">
        <v>28000</v>
      </c>
      <c r="AP97" s="1316"/>
      <c r="AQ97" s="1358">
        <f>AVERAGE(AM97,AO97)-AVERAGE(AI97,AK97)</f>
        <v>5500</v>
      </c>
      <c r="AR97" s="390"/>
      <c r="AS97" s="390"/>
      <c r="AT97" s="390"/>
      <c r="AU97" s="390"/>
      <c r="AV97" s="390"/>
      <c r="AW97" s="390"/>
      <c r="BA97" s="149" t="s">
        <v>1849</v>
      </c>
    </row>
    <row r="98" spans="1:53" s="70" customFormat="1" ht="4.5" customHeight="1" x14ac:dyDescent="0.2">
      <c r="A98" s="418"/>
      <c r="B98" s="418"/>
      <c r="C98" s="460"/>
      <c r="D98" s="460"/>
      <c r="E98" s="423"/>
      <c r="F98" s="460"/>
      <c r="G98" s="467"/>
      <c r="H98" s="418"/>
      <c r="I98" s="471"/>
      <c r="J98" s="460"/>
      <c r="K98" s="423"/>
      <c r="L98" s="469"/>
      <c r="M98" s="418"/>
      <c r="N98" s="418"/>
      <c r="O98" s="418"/>
      <c r="P98" s="418"/>
      <c r="Q98" s="418"/>
      <c r="R98" s="418"/>
      <c r="S98" s="418"/>
      <c r="T98" s="418"/>
      <c r="U98" s="418"/>
      <c r="AE98" s="212"/>
      <c r="AF98" s="212"/>
      <c r="AG98" s="212"/>
      <c r="AI98" s="212"/>
      <c r="AJ98" s="212"/>
      <c r="AK98" s="212"/>
      <c r="AM98" s="1766"/>
      <c r="AN98" s="1203"/>
      <c r="AO98" s="1653"/>
      <c r="AQ98" s="212"/>
    </row>
    <row r="99" spans="1:53" s="70" customFormat="1" ht="4.5" customHeight="1" x14ac:dyDescent="0.2">
      <c r="A99" s="418"/>
      <c r="B99" s="418"/>
      <c r="C99" s="460"/>
      <c r="D99" s="460"/>
      <c r="E99" s="423"/>
      <c r="F99" s="460"/>
      <c r="G99" s="467"/>
      <c r="H99" s="418"/>
      <c r="I99" s="471"/>
      <c r="J99" s="460"/>
      <c r="K99" s="423"/>
      <c r="L99" s="469"/>
      <c r="M99" s="418"/>
      <c r="N99" s="418"/>
      <c r="O99" s="418"/>
      <c r="P99" s="418"/>
      <c r="Q99" s="418"/>
      <c r="R99" s="418"/>
      <c r="S99" s="418"/>
      <c r="T99" s="418"/>
      <c r="U99" s="418"/>
      <c r="AE99" s="212"/>
      <c r="AF99" s="212"/>
      <c r="AG99" s="212"/>
    </row>
    <row r="100" spans="1:53" s="70" customFormat="1" ht="13.5" customHeight="1" x14ac:dyDescent="0.2">
      <c r="A100" s="418"/>
      <c r="B100" s="418"/>
      <c r="C100" s="460"/>
      <c r="D100" s="460"/>
      <c r="E100" s="423"/>
      <c r="F100" s="460"/>
      <c r="G100" s="467"/>
      <c r="H100" s="418"/>
      <c r="I100" s="471"/>
      <c r="J100" s="460"/>
      <c r="K100" s="423"/>
      <c r="L100" s="469"/>
      <c r="M100" s="418"/>
      <c r="N100" s="418"/>
      <c r="O100" s="418"/>
      <c r="P100" s="418"/>
      <c r="Q100" s="418"/>
      <c r="R100" s="418"/>
      <c r="S100" s="418"/>
      <c r="T100" s="418"/>
      <c r="U100" s="418"/>
      <c r="V100" s="369" t="s">
        <v>96</v>
      </c>
      <c r="W100" s="1316"/>
      <c r="X100" s="8"/>
      <c r="Y100" s="1316"/>
      <c r="Z100" s="1316"/>
      <c r="AA100" s="1355">
        <v>10</v>
      </c>
      <c r="AH100" s="1316"/>
      <c r="AI100" s="1355"/>
      <c r="AL100" s="1316"/>
      <c r="AM100" s="1355"/>
      <c r="AQ100" s="70">
        <f>AE100-AA100</f>
        <v>-10</v>
      </c>
    </row>
    <row r="101" spans="1:53" s="70" customFormat="1" ht="13.5" customHeight="1" x14ac:dyDescent="0.2">
      <c r="A101" s="418"/>
      <c r="B101" s="418"/>
      <c r="C101" s="460"/>
      <c r="D101" s="460"/>
      <c r="E101" s="423"/>
      <c r="F101" s="460"/>
      <c r="G101" s="467"/>
      <c r="H101" s="418"/>
      <c r="I101" s="471"/>
      <c r="J101" s="460"/>
      <c r="K101" s="423"/>
      <c r="L101" s="469"/>
      <c r="M101" s="418"/>
      <c r="N101" s="418"/>
      <c r="O101" s="418"/>
      <c r="P101" s="418"/>
      <c r="Q101" s="418"/>
      <c r="R101" s="418"/>
      <c r="S101" s="418"/>
      <c r="T101" s="418"/>
      <c r="U101" s="418"/>
      <c r="V101" s="369" t="s">
        <v>89</v>
      </c>
      <c r="W101" s="1316"/>
      <c r="X101" s="8"/>
      <c r="Y101" s="1316"/>
      <c r="Z101" s="1316"/>
      <c r="AA101" s="1316">
        <v>105</v>
      </c>
      <c r="AH101" s="1316"/>
      <c r="AI101" s="1316"/>
      <c r="AL101" s="1316"/>
      <c r="AM101" s="1316"/>
      <c r="AQ101" s="70">
        <f>AE101-AA101</f>
        <v>-105</v>
      </c>
    </row>
    <row r="102" spans="1:53" s="70" customFormat="1" ht="13.5" customHeight="1" x14ac:dyDescent="0.2">
      <c r="A102" s="418"/>
      <c r="B102" s="418"/>
      <c r="C102" s="460"/>
      <c r="D102" s="460"/>
      <c r="E102" s="423"/>
      <c r="F102" s="460"/>
      <c r="G102" s="467"/>
      <c r="H102" s="418"/>
      <c r="I102" s="471"/>
      <c r="J102" s="460"/>
      <c r="K102" s="423"/>
      <c r="L102" s="469"/>
      <c r="M102" s="418"/>
      <c r="N102" s="418"/>
      <c r="O102" s="418"/>
      <c r="P102" s="418"/>
      <c r="Q102" s="418"/>
      <c r="R102" s="418"/>
      <c r="S102" s="418"/>
      <c r="T102" s="418"/>
      <c r="U102" s="418"/>
      <c r="V102" s="1170" t="s">
        <v>712</v>
      </c>
      <c r="W102" s="8"/>
      <c r="X102" s="8"/>
      <c r="Y102" s="8"/>
      <c r="Z102" s="8"/>
      <c r="AA102" s="1316">
        <v>-5</v>
      </c>
      <c r="AH102" s="8"/>
      <c r="AI102" s="1316"/>
      <c r="AL102" s="8"/>
      <c r="AM102" s="1316"/>
      <c r="AQ102" s="70">
        <f>AE102-AA102</f>
        <v>5</v>
      </c>
    </row>
    <row r="103" spans="1:53" s="70" customFormat="1" ht="4.5" customHeight="1" x14ac:dyDescent="0.2">
      <c r="A103" s="418"/>
      <c r="B103" s="418"/>
      <c r="C103" s="460"/>
      <c r="D103" s="460"/>
      <c r="E103" s="423"/>
      <c r="F103" s="460"/>
      <c r="G103" s="467"/>
      <c r="H103" s="418"/>
      <c r="I103" s="471"/>
      <c r="J103" s="460"/>
      <c r="K103" s="423"/>
      <c r="L103" s="469"/>
      <c r="M103" s="418"/>
      <c r="N103" s="418"/>
      <c r="O103" s="418"/>
      <c r="P103" s="418"/>
      <c r="Q103" s="418"/>
      <c r="R103" s="418"/>
      <c r="S103" s="418"/>
      <c r="T103" s="418"/>
      <c r="U103" s="418"/>
      <c r="V103" s="369"/>
      <c r="W103" s="1316"/>
      <c r="X103" s="8"/>
      <c r="Y103" s="1316"/>
      <c r="Z103" s="1316"/>
      <c r="AA103" s="1316"/>
      <c r="AH103" s="1316"/>
      <c r="AI103" s="1316"/>
      <c r="AL103" s="1316"/>
      <c r="AM103" s="1316"/>
    </row>
    <row r="104" spans="1:53" s="70" customFormat="1" ht="13.5" customHeight="1" x14ac:dyDescent="0.2">
      <c r="A104" s="418"/>
      <c r="B104" s="418"/>
      <c r="C104" s="460"/>
      <c r="D104" s="460"/>
      <c r="E104" s="423"/>
      <c r="F104" s="460"/>
      <c r="G104" s="467"/>
      <c r="H104" s="418"/>
      <c r="I104" s="471"/>
      <c r="J104" s="460"/>
      <c r="K104" s="423"/>
      <c r="L104" s="469"/>
      <c r="M104" s="418"/>
      <c r="N104" s="418"/>
      <c r="O104" s="418"/>
      <c r="P104" s="418"/>
      <c r="Q104" s="418"/>
      <c r="R104" s="418"/>
      <c r="S104" s="418"/>
      <c r="T104" s="418"/>
      <c r="U104" s="418"/>
      <c r="V104" s="369"/>
      <c r="W104" s="1316"/>
      <c r="X104" s="8"/>
      <c r="Y104" s="1316"/>
      <c r="Z104" s="1316"/>
      <c r="AA104" s="1316"/>
      <c r="AH104" s="1316"/>
      <c r="AI104" s="1316"/>
      <c r="AL104" s="1316"/>
      <c r="AM104" s="1316"/>
    </row>
    <row r="105" spans="1:53" s="70" customFormat="1" ht="13.5" customHeight="1" x14ac:dyDescent="0.2">
      <c r="A105" s="418"/>
      <c r="B105" s="418"/>
      <c r="C105" s="460"/>
      <c r="D105" s="460"/>
      <c r="E105" s="423"/>
      <c r="F105" s="460"/>
      <c r="G105" s="467"/>
      <c r="H105" s="418"/>
      <c r="I105" s="471"/>
      <c r="J105" s="460"/>
      <c r="K105" s="423"/>
      <c r="L105" s="469"/>
      <c r="M105" s="418"/>
      <c r="N105" s="418"/>
      <c r="O105" s="418"/>
      <c r="P105" s="418"/>
      <c r="Q105" s="418"/>
      <c r="R105" s="418"/>
      <c r="S105" s="418"/>
      <c r="T105" s="418"/>
      <c r="U105" s="418"/>
      <c r="V105" s="369"/>
      <c r="W105" s="1316"/>
      <c r="X105" s="8"/>
      <c r="Y105" s="1316"/>
      <c r="Z105" s="1316"/>
      <c r="AA105" s="1316"/>
      <c r="AH105" s="1316"/>
      <c r="AI105" s="1316"/>
      <c r="AL105" s="1316"/>
      <c r="AM105" s="1316"/>
      <c r="AS105" s="248" t="s">
        <v>1563</v>
      </c>
    </row>
    <row r="106" spans="1:53" s="70" customFormat="1" ht="13.5" customHeight="1" x14ac:dyDescent="0.2">
      <c r="A106" s="418"/>
      <c r="B106" s="418"/>
      <c r="C106" s="460"/>
      <c r="D106" s="460"/>
      <c r="E106" s="423"/>
      <c r="F106" s="460"/>
      <c r="G106" s="467"/>
      <c r="H106" s="418"/>
      <c r="I106" s="471"/>
      <c r="J106" s="460"/>
      <c r="K106" s="423"/>
      <c r="L106" s="469"/>
      <c r="M106" s="418"/>
      <c r="N106" s="418"/>
      <c r="O106" s="418"/>
      <c r="P106" s="418"/>
      <c r="Q106" s="418"/>
      <c r="R106" s="418"/>
      <c r="S106" s="418"/>
      <c r="T106" s="418"/>
      <c r="U106" s="418"/>
      <c r="V106" s="369"/>
      <c r="W106" s="1316"/>
      <c r="X106" s="8"/>
      <c r="Y106" s="1316"/>
      <c r="Z106" s="1316"/>
      <c r="AA106" s="1316"/>
      <c r="AH106" s="1316"/>
      <c r="AI106" s="1316"/>
      <c r="AL106" s="1316"/>
      <c r="AM106" s="1316"/>
      <c r="AS106" s="275" t="s">
        <v>91</v>
      </c>
      <c r="BA106" s="70">
        <f>40*0.67</f>
        <v>26.8</v>
      </c>
    </row>
    <row r="107" spans="1:53" s="70" customFormat="1" ht="13.5" customHeight="1" x14ac:dyDescent="0.2">
      <c r="A107" s="418"/>
      <c r="B107" s="418"/>
      <c r="C107" s="460"/>
      <c r="D107" s="460"/>
      <c r="E107" s="423"/>
      <c r="F107" s="460"/>
      <c r="G107" s="467"/>
      <c r="H107" s="418"/>
      <c r="I107" s="471"/>
      <c r="J107" s="460"/>
      <c r="K107" s="423"/>
      <c r="L107" s="469"/>
      <c r="M107" s="418"/>
      <c r="N107" s="418"/>
      <c r="O107" s="418"/>
      <c r="P107" s="418"/>
      <c r="Q107" s="418"/>
      <c r="R107" s="418"/>
      <c r="S107" s="418"/>
      <c r="T107" s="418"/>
      <c r="U107" s="418"/>
      <c r="V107" s="369"/>
      <c r="W107" s="1316"/>
      <c r="X107" s="8"/>
      <c r="Y107" s="1316"/>
      <c r="Z107" s="1316"/>
      <c r="AA107" s="1316"/>
      <c r="AH107" s="1316"/>
      <c r="AI107" s="1316"/>
      <c r="AL107" s="1316"/>
      <c r="AM107" s="1316"/>
      <c r="AV107" s="1359" t="s">
        <v>1591</v>
      </c>
      <c r="BA107" s="149">
        <f>BA106/338</f>
        <v>7.9289940828402364E-2</v>
      </c>
    </row>
    <row r="108" spans="1:53" s="70" customFormat="1" ht="13.5" customHeight="1" x14ac:dyDescent="0.2">
      <c r="A108" s="418"/>
      <c r="B108" s="418"/>
      <c r="C108" s="460"/>
      <c r="D108" s="460"/>
      <c r="E108" s="423"/>
      <c r="F108" s="460"/>
      <c r="G108" s="467"/>
      <c r="H108" s="418"/>
      <c r="I108" s="471"/>
      <c r="J108" s="460"/>
      <c r="K108" s="423"/>
      <c r="L108" s="469"/>
      <c r="M108" s="418"/>
      <c r="N108" s="418"/>
      <c r="O108" s="418"/>
      <c r="P108" s="418"/>
      <c r="Q108" s="418"/>
      <c r="R108" s="418"/>
      <c r="S108" s="418"/>
      <c r="T108" s="418"/>
      <c r="U108" s="418"/>
      <c r="V108" s="369"/>
      <c r="W108" s="1316"/>
      <c r="X108" s="8"/>
      <c r="Y108" s="1316"/>
      <c r="Z108" s="1316"/>
      <c r="AA108" s="1316"/>
      <c r="AH108" s="1316"/>
      <c r="AI108" s="1316"/>
      <c r="AL108" s="1316"/>
      <c r="AM108" s="1316"/>
      <c r="AS108" s="195"/>
      <c r="AT108" s="335" t="s">
        <v>1782</v>
      </c>
      <c r="AU108" s="195"/>
      <c r="AV108" s="335" t="s">
        <v>1592</v>
      </c>
    </row>
    <row r="109" spans="1:53" s="70" customFormat="1" ht="13.5" customHeight="1" x14ac:dyDescent="0.2">
      <c r="A109" s="418"/>
      <c r="B109" s="418"/>
      <c r="C109" s="460"/>
      <c r="D109" s="460"/>
      <c r="E109" s="423"/>
      <c r="F109" s="460"/>
      <c r="G109" s="467"/>
      <c r="H109" s="418"/>
      <c r="I109" s="471"/>
      <c r="J109" s="460"/>
      <c r="K109" s="423"/>
      <c r="L109" s="469"/>
      <c r="M109" s="418"/>
      <c r="N109" s="418"/>
      <c r="O109" s="418"/>
      <c r="P109" s="418"/>
      <c r="Q109" s="418"/>
      <c r="R109" s="418"/>
      <c r="S109" s="418"/>
      <c r="T109" s="418"/>
      <c r="U109" s="418"/>
      <c r="V109" s="369"/>
      <c r="W109" s="1316"/>
      <c r="X109" s="8"/>
      <c r="Y109" s="1316"/>
      <c r="Z109" s="1316"/>
      <c r="AA109" s="1316"/>
      <c r="AH109" s="1316"/>
      <c r="AI109" s="1316"/>
      <c r="AL109" s="1316"/>
      <c r="AM109" s="1316"/>
    </row>
    <row r="110" spans="1:53" s="70" customFormat="1" ht="13.5" customHeight="1" x14ac:dyDescent="0.2">
      <c r="A110" s="418"/>
      <c r="B110" s="418"/>
      <c r="C110" s="460"/>
      <c r="D110" s="460"/>
      <c r="E110" s="423"/>
      <c r="F110" s="460"/>
      <c r="G110" s="467"/>
      <c r="H110" s="418"/>
      <c r="I110" s="471"/>
      <c r="J110" s="460"/>
      <c r="K110" s="423"/>
      <c r="L110" s="469"/>
      <c r="M110" s="418"/>
      <c r="N110" s="418"/>
      <c r="O110" s="418"/>
      <c r="P110" s="418"/>
      <c r="Q110" s="418"/>
      <c r="R110" s="418"/>
      <c r="S110" s="418"/>
      <c r="T110" s="418"/>
      <c r="U110" s="418"/>
      <c r="V110" s="369"/>
      <c r="W110" s="1316"/>
      <c r="X110" s="8"/>
      <c r="Y110" s="1316"/>
      <c r="Z110" s="1316"/>
      <c r="AA110" s="1316"/>
      <c r="AH110" s="1316"/>
      <c r="AI110" s="1316"/>
      <c r="AL110" s="1316"/>
      <c r="AM110" s="1316"/>
      <c r="AS110" s="275" t="s">
        <v>1587</v>
      </c>
      <c r="AT110" s="1304"/>
      <c r="AX110" s="311"/>
    </row>
    <row r="111" spans="1:53" s="70" customFormat="1" ht="13.5" customHeight="1" x14ac:dyDescent="0.2">
      <c r="A111" s="418"/>
      <c r="B111" s="418"/>
      <c r="C111" s="460"/>
      <c r="D111" s="460"/>
      <c r="E111" s="423"/>
      <c r="F111" s="460"/>
      <c r="G111" s="467"/>
      <c r="H111" s="418"/>
      <c r="I111" s="471"/>
      <c r="J111" s="460"/>
      <c r="K111" s="423"/>
      <c r="L111" s="469"/>
      <c r="M111" s="418"/>
      <c r="N111" s="418"/>
      <c r="O111" s="418"/>
      <c r="P111" s="418"/>
      <c r="Q111" s="418"/>
      <c r="R111" s="418"/>
      <c r="S111" s="418"/>
      <c r="T111" s="418"/>
      <c r="U111" s="418"/>
      <c r="V111" s="369"/>
      <c r="W111" s="1316"/>
      <c r="X111" s="8"/>
      <c r="Y111" s="1316"/>
      <c r="Z111" s="1316"/>
      <c r="AA111" s="1316"/>
      <c r="AH111" s="1316"/>
      <c r="AI111" s="1316"/>
      <c r="AL111" s="1316"/>
      <c r="AM111" s="1316"/>
      <c r="AS111" s="1170" t="s">
        <v>1584</v>
      </c>
      <c r="AT111" s="1401"/>
    </row>
    <row r="112" spans="1:53" s="70" customFormat="1" ht="13.5" customHeight="1" x14ac:dyDescent="0.2">
      <c r="A112" s="418"/>
      <c r="B112" s="418"/>
      <c r="C112" s="460"/>
      <c r="D112" s="460"/>
      <c r="E112" s="423"/>
      <c r="F112" s="460"/>
      <c r="G112" s="467"/>
      <c r="H112" s="418"/>
      <c r="I112" s="471"/>
      <c r="J112" s="460"/>
      <c r="K112" s="423"/>
      <c r="L112" s="469"/>
      <c r="M112" s="418"/>
      <c r="N112" s="418"/>
      <c r="O112" s="418"/>
      <c r="P112" s="418"/>
      <c r="Q112" s="418"/>
      <c r="R112" s="418"/>
      <c r="S112" s="418"/>
      <c r="T112" s="418"/>
      <c r="U112" s="418"/>
      <c r="V112" s="369"/>
      <c r="W112" s="1316"/>
      <c r="X112" s="8"/>
      <c r="Y112" s="1316"/>
      <c r="Z112" s="1316"/>
      <c r="AA112" s="1316"/>
      <c r="AH112" s="1316"/>
      <c r="AI112" s="1316"/>
      <c r="AL112" s="1316"/>
      <c r="AM112" s="1316"/>
      <c r="AS112" s="1170" t="s">
        <v>140</v>
      </c>
      <c r="AT112" s="1401"/>
    </row>
    <row r="113" spans="1:49" s="70" customFormat="1" ht="13.5" customHeight="1" x14ac:dyDescent="0.2">
      <c r="A113" s="418"/>
      <c r="B113" s="418"/>
      <c r="C113" s="460"/>
      <c r="D113" s="460"/>
      <c r="E113" s="423"/>
      <c r="F113" s="460"/>
      <c r="G113" s="467"/>
      <c r="H113" s="418"/>
      <c r="I113" s="471"/>
      <c r="J113" s="460"/>
      <c r="K113" s="423"/>
      <c r="L113" s="469"/>
      <c r="M113" s="418"/>
      <c r="N113" s="418"/>
      <c r="O113" s="418"/>
      <c r="P113" s="418"/>
      <c r="Q113" s="418"/>
      <c r="R113" s="418"/>
      <c r="S113" s="418"/>
      <c r="T113" s="418"/>
      <c r="U113" s="418"/>
      <c r="V113" s="369"/>
      <c r="W113" s="1316"/>
      <c r="X113" s="8"/>
      <c r="Y113" s="1316"/>
      <c r="Z113" s="1316"/>
      <c r="AA113" s="1316"/>
      <c r="AH113" s="1316"/>
      <c r="AI113" s="1316"/>
      <c r="AL113" s="1316"/>
      <c r="AM113" s="1316"/>
      <c r="AS113" s="275" t="s">
        <v>141</v>
      </c>
      <c r="AT113" s="1401"/>
      <c r="AV113" s="85"/>
    </row>
    <row r="114" spans="1:49" s="70" customFormat="1" ht="13.5" customHeight="1" x14ac:dyDescent="0.2">
      <c r="A114" s="418"/>
      <c r="B114" s="418"/>
      <c r="C114" s="460"/>
      <c r="D114" s="460"/>
      <c r="E114" s="423"/>
      <c r="F114" s="460"/>
      <c r="G114" s="467"/>
      <c r="H114" s="418"/>
      <c r="I114" s="471"/>
      <c r="J114" s="460"/>
      <c r="K114" s="423"/>
      <c r="L114" s="469"/>
      <c r="M114" s="418"/>
      <c r="N114" s="418"/>
      <c r="O114" s="418"/>
      <c r="P114" s="418"/>
      <c r="Q114" s="418"/>
      <c r="R114" s="418"/>
      <c r="S114" s="418"/>
      <c r="T114" s="418"/>
      <c r="U114" s="418"/>
      <c r="V114" s="369"/>
      <c r="W114" s="1316"/>
      <c r="X114" s="8"/>
      <c r="Y114" s="1316"/>
      <c r="Z114" s="1316"/>
      <c r="AA114" s="1316"/>
      <c r="AH114" s="1316"/>
      <c r="AI114" s="1316"/>
      <c r="AL114" s="1316"/>
      <c r="AM114" s="1316"/>
      <c r="AS114" s="1360" t="s">
        <v>1577</v>
      </c>
      <c r="AT114" s="1361"/>
      <c r="AU114" s="1084"/>
      <c r="AV114" s="1362">
        <v>0.4</v>
      </c>
    </row>
    <row r="115" spans="1:49" s="70" customFormat="1" ht="13.5" customHeight="1" x14ac:dyDescent="0.2">
      <c r="A115" s="418"/>
      <c r="B115" s="418"/>
      <c r="C115" s="460"/>
      <c r="D115" s="460"/>
      <c r="E115" s="423"/>
      <c r="F115" s="460"/>
      <c r="G115" s="467"/>
      <c r="H115" s="418"/>
      <c r="I115" s="471"/>
      <c r="J115" s="460"/>
      <c r="K115" s="423"/>
      <c r="L115" s="469"/>
      <c r="M115" s="418"/>
      <c r="N115" s="418"/>
      <c r="O115" s="418"/>
      <c r="P115" s="418"/>
      <c r="Q115" s="418"/>
      <c r="R115" s="418"/>
      <c r="S115" s="418"/>
      <c r="T115" s="418"/>
      <c r="U115" s="418"/>
      <c r="V115" s="369"/>
      <c r="W115" s="1316"/>
      <c r="X115" s="8"/>
      <c r="Y115" s="1316"/>
      <c r="Z115" s="1316"/>
      <c r="AA115" s="1316"/>
      <c r="AH115" s="1316"/>
      <c r="AI115" s="1316"/>
      <c r="AL115" s="1316"/>
      <c r="AM115" s="1316"/>
      <c r="AS115" s="207"/>
      <c r="AT115" s="1757"/>
    </row>
    <row r="116" spans="1:49" s="70" customFormat="1" ht="13.5" customHeight="1" x14ac:dyDescent="0.2">
      <c r="A116" s="418"/>
      <c r="B116" s="418"/>
      <c r="C116" s="460"/>
      <c r="D116" s="460"/>
      <c r="E116" s="423"/>
      <c r="F116" s="460"/>
      <c r="G116" s="467"/>
      <c r="H116" s="418"/>
      <c r="I116" s="471"/>
      <c r="J116" s="460"/>
      <c r="K116" s="423"/>
      <c r="L116" s="469"/>
      <c r="M116" s="418"/>
      <c r="N116" s="418"/>
      <c r="O116" s="418"/>
      <c r="P116" s="418"/>
      <c r="Q116" s="418"/>
      <c r="R116" s="418"/>
      <c r="S116" s="418"/>
      <c r="T116" s="418"/>
      <c r="U116" s="418"/>
      <c r="V116" s="369"/>
      <c r="W116" s="1316"/>
      <c r="X116" s="8"/>
      <c r="Y116" s="1316"/>
      <c r="Z116" s="1316"/>
      <c r="AA116" s="1316"/>
      <c r="AH116" s="1316"/>
      <c r="AI116" s="1316"/>
      <c r="AL116" s="1316"/>
      <c r="AM116" s="1316"/>
      <c r="AS116" s="563" t="s">
        <v>137</v>
      </c>
      <c r="AT116" s="1299"/>
    </row>
    <row r="117" spans="1:49" s="70" customFormat="1" ht="13.5" customHeight="1" x14ac:dyDescent="0.2">
      <c r="A117" s="418"/>
      <c r="B117" s="418"/>
      <c r="C117" s="460"/>
      <c r="D117" s="460"/>
      <c r="E117" s="423"/>
      <c r="F117" s="460"/>
      <c r="G117" s="467"/>
      <c r="H117" s="418"/>
      <c r="I117" s="471"/>
      <c r="J117" s="460"/>
      <c r="K117" s="423"/>
      <c r="L117" s="469"/>
      <c r="M117" s="418"/>
      <c r="N117" s="418"/>
      <c r="O117" s="418"/>
      <c r="P117" s="418"/>
      <c r="Q117" s="418"/>
      <c r="R117" s="418"/>
      <c r="S117" s="418"/>
      <c r="T117" s="418"/>
      <c r="U117" s="418"/>
      <c r="V117" s="369"/>
      <c r="W117" s="1316"/>
      <c r="X117" s="8"/>
      <c r="Y117" s="1316"/>
      <c r="Z117" s="1316"/>
      <c r="AA117" s="1316"/>
      <c r="AH117" s="1316"/>
      <c r="AI117" s="1316"/>
      <c r="AL117" s="1316"/>
      <c r="AM117" s="1316"/>
      <c r="AS117" s="275" t="s">
        <v>382</v>
      </c>
      <c r="AT117" s="1301"/>
    </row>
    <row r="118" spans="1:49" s="70" customFormat="1" ht="13.5" customHeight="1" x14ac:dyDescent="0.2">
      <c r="A118" s="418"/>
      <c r="B118" s="418"/>
      <c r="C118" s="460"/>
      <c r="D118" s="460"/>
      <c r="E118" s="423"/>
      <c r="F118" s="460"/>
      <c r="G118" s="467"/>
      <c r="H118" s="418"/>
      <c r="I118" s="471"/>
      <c r="J118" s="460"/>
      <c r="K118" s="423"/>
      <c r="L118" s="469"/>
      <c r="M118" s="418"/>
      <c r="N118" s="418"/>
      <c r="O118" s="418"/>
      <c r="P118" s="418"/>
      <c r="Q118" s="418"/>
      <c r="R118" s="418"/>
      <c r="S118" s="418"/>
      <c r="T118" s="418"/>
      <c r="U118" s="418"/>
      <c r="V118" s="369"/>
      <c r="W118" s="1316"/>
      <c r="X118" s="8"/>
      <c r="Y118" s="1316"/>
      <c r="Z118" s="1316"/>
      <c r="AA118" s="1316"/>
      <c r="AH118" s="1316"/>
      <c r="AI118" s="1316"/>
      <c r="AL118" s="1316"/>
      <c r="AM118" s="1316"/>
      <c r="AS118" s="1170" t="s">
        <v>1309</v>
      </c>
      <c r="AT118" s="1301"/>
    </row>
    <row r="119" spans="1:49" s="70" customFormat="1" ht="13.5" customHeight="1" x14ac:dyDescent="0.2">
      <c r="A119" s="418"/>
      <c r="B119" s="418"/>
      <c r="C119" s="460"/>
      <c r="D119" s="460"/>
      <c r="E119" s="423"/>
      <c r="F119" s="460"/>
      <c r="G119" s="467"/>
      <c r="H119" s="418"/>
      <c r="I119" s="471"/>
      <c r="J119" s="460"/>
      <c r="K119" s="423"/>
      <c r="L119" s="469"/>
      <c r="M119" s="418"/>
      <c r="N119" s="418"/>
      <c r="O119" s="418"/>
      <c r="P119" s="418"/>
      <c r="Q119" s="418"/>
      <c r="R119" s="418"/>
      <c r="S119" s="418"/>
      <c r="T119" s="418"/>
      <c r="U119" s="418"/>
      <c r="V119" s="369"/>
      <c r="W119" s="1316"/>
      <c r="X119" s="8"/>
      <c r="Y119" s="1316"/>
      <c r="Z119" s="1316"/>
      <c r="AA119" s="1316"/>
      <c r="AH119" s="1316"/>
      <c r="AI119" s="1316"/>
      <c r="AL119" s="1316"/>
      <c r="AM119" s="1316"/>
      <c r="AS119" s="1170" t="s">
        <v>2036</v>
      </c>
      <c r="AT119" s="1301"/>
    </row>
    <row r="120" spans="1:49" s="70" customFormat="1" ht="3.75" customHeight="1" x14ac:dyDescent="0.2">
      <c r="A120" s="418"/>
      <c r="B120" s="418"/>
      <c r="C120" s="460"/>
      <c r="D120" s="460"/>
      <c r="E120" s="423"/>
      <c r="F120" s="460"/>
      <c r="G120" s="467"/>
      <c r="H120" s="418"/>
      <c r="I120" s="471"/>
      <c r="J120" s="460"/>
      <c r="K120" s="423"/>
      <c r="L120" s="469"/>
      <c r="M120" s="418"/>
      <c r="N120" s="418"/>
      <c r="O120" s="418"/>
      <c r="P120" s="418"/>
      <c r="Q120" s="418"/>
      <c r="R120" s="418"/>
      <c r="S120" s="418"/>
      <c r="T120" s="418"/>
      <c r="U120" s="418"/>
      <c r="V120" s="369"/>
      <c r="W120" s="1316"/>
      <c r="X120" s="8"/>
      <c r="Y120" s="1316"/>
      <c r="Z120" s="1316"/>
      <c r="AA120" s="1316"/>
      <c r="AH120" s="1316"/>
      <c r="AI120" s="1316"/>
      <c r="AL120" s="1316"/>
      <c r="AM120" s="1316"/>
      <c r="AS120" s="1758"/>
      <c r="AT120" s="1301"/>
    </row>
    <row r="121" spans="1:49" s="70" customFormat="1" ht="3" customHeight="1" x14ac:dyDescent="0.2">
      <c r="A121" s="418"/>
      <c r="B121" s="418"/>
      <c r="C121" s="460"/>
      <c r="D121" s="460"/>
      <c r="E121" s="423"/>
      <c r="F121" s="460"/>
      <c r="G121" s="467"/>
      <c r="H121" s="418"/>
      <c r="I121" s="471"/>
      <c r="J121" s="460"/>
      <c r="K121" s="423"/>
      <c r="L121" s="469"/>
      <c r="M121" s="418"/>
      <c r="N121" s="418"/>
      <c r="O121" s="418"/>
      <c r="P121" s="418"/>
      <c r="Q121" s="418"/>
      <c r="R121" s="418"/>
      <c r="S121" s="418"/>
      <c r="T121" s="418"/>
      <c r="U121" s="418"/>
      <c r="V121" s="369"/>
      <c r="W121" s="1316"/>
      <c r="X121" s="8"/>
      <c r="Y121" s="1316"/>
      <c r="Z121" s="1316"/>
      <c r="AA121" s="1316"/>
      <c r="AH121" s="1316"/>
      <c r="AI121" s="1316"/>
      <c r="AL121" s="1316"/>
      <c r="AM121" s="1316"/>
      <c r="AS121" s="207"/>
      <c r="AT121" s="207"/>
    </row>
    <row r="122" spans="1:49" ht="13.5" customHeight="1" x14ac:dyDescent="0.2">
      <c r="A122" s="418"/>
      <c r="B122" s="418"/>
      <c r="C122" s="418"/>
      <c r="D122" s="418"/>
      <c r="E122" s="418"/>
      <c r="F122" s="460"/>
      <c r="G122" s="467"/>
      <c r="H122" s="418"/>
      <c r="I122" s="463"/>
      <c r="J122" s="418"/>
      <c r="K122" s="460"/>
      <c r="L122" s="469"/>
      <c r="M122" s="418"/>
      <c r="N122" s="418"/>
      <c r="O122" s="418"/>
      <c r="P122" s="418"/>
      <c r="Q122" s="418"/>
      <c r="R122" s="418"/>
      <c r="S122" s="418"/>
      <c r="T122" s="418"/>
      <c r="U122" s="418"/>
      <c r="AR122" s="421"/>
      <c r="AS122" s="1424"/>
      <c r="AT122" s="421"/>
      <c r="AU122" s="421"/>
      <c r="AV122" s="421"/>
      <c r="AW122" s="421"/>
    </row>
    <row r="123" spans="1:49" ht="13.5" customHeight="1" x14ac:dyDescent="0.2">
      <c r="A123" s="418"/>
      <c r="B123" s="418"/>
      <c r="C123" s="418"/>
      <c r="D123" s="418"/>
      <c r="E123" s="418"/>
      <c r="F123" s="460"/>
      <c r="G123" s="467"/>
      <c r="H123" s="418"/>
      <c r="I123" s="463"/>
      <c r="J123" s="418"/>
      <c r="K123" s="460"/>
      <c r="L123" s="469"/>
      <c r="M123" s="418"/>
      <c r="N123" s="418"/>
      <c r="O123" s="418"/>
      <c r="P123" s="418"/>
      <c r="Q123" s="418"/>
      <c r="R123" s="418"/>
      <c r="S123" s="418"/>
      <c r="T123" s="418"/>
      <c r="U123" s="418"/>
    </row>
    <row r="124" spans="1:49" ht="4.5" customHeight="1" x14ac:dyDescent="0.2">
      <c r="A124" s="418"/>
      <c r="B124" s="418"/>
      <c r="C124" s="418"/>
      <c r="D124" s="418"/>
      <c r="E124" s="418"/>
      <c r="F124" s="460"/>
      <c r="G124" s="467"/>
      <c r="H124" s="418"/>
      <c r="I124" s="463"/>
      <c r="J124" s="418"/>
      <c r="K124" s="460"/>
      <c r="L124" s="469"/>
      <c r="M124" s="418"/>
      <c r="N124" s="418"/>
      <c r="O124" s="418"/>
      <c r="P124" s="418"/>
      <c r="Q124" s="418"/>
      <c r="R124" s="418"/>
      <c r="S124" s="418"/>
      <c r="T124" s="418"/>
      <c r="U124" s="418"/>
    </row>
    <row r="125" spans="1:49" ht="13.5" customHeight="1" x14ac:dyDescent="0.2">
      <c r="A125" s="418"/>
      <c r="B125" s="418"/>
      <c r="C125" s="418"/>
      <c r="D125" s="418"/>
      <c r="E125" s="418"/>
      <c r="F125" s="418"/>
      <c r="G125" s="462"/>
      <c r="H125" s="418"/>
      <c r="I125" s="463"/>
      <c r="J125" s="418"/>
      <c r="K125" s="418"/>
      <c r="L125" s="462"/>
      <c r="M125" s="418"/>
      <c r="N125" s="418"/>
      <c r="O125" s="418"/>
      <c r="P125" s="418"/>
      <c r="Q125" s="418"/>
      <c r="R125" s="418"/>
      <c r="S125" s="418"/>
      <c r="T125" s="418"/>
      <c r="U125" s="418"/>
    </row>
    <row r="126" spans="1:49" ht="6" customHeight="1" x14ac:dyDescent="0.2">
      <c r="A126" s="418"/>
      <c r="B126" s="418"/>
      <c r="C126" s="418"/>
      <c r="D126" s="418"/>
      <c r="E126" s="418"/>
      <c r="F126" s="418"/>
      <c r="G126" s="462"/>
      <c r="H126" s="418"/>
      <c r="I126" s="463"/>
      <c r="J126" s="418"/>
      <c r="K126" s="418"/>
      <c r="L126" s="462"/>
      <c r="M126" s="418"/>
      <c r="N126" s="418"/>
      <c r="O126" s="418"/>
      <c r="P126" s="418"/>
      <c r="Q126" s="418"/>
      <c r="R126" s="418"/>
      <c r="S126" s="418"/>
      <c r="T126" s="418"/>
      <c r="U126" s="418"/>
    </row>
    <row r="127" spans="1:49" ht="13.5" customHeight="1" x14ac:dyDescent="0.2">
      <c r="A127" s="418"/>
      <c r="B127" s="418"/>
      <c r="C127" s="458"/>
      <c r="D127" s="458"/>
      <c r="E127" s="423"/>
      <c r="F127" s="460"/>
      <c r="G127" s="467"/>
      <c r="H127" s="418"/>
      <c r="I127" s="468"/>
      <c r="J127" s="460"/>
      <c r="K127" s="423"/>
      <c r="L127" s="469"/>
      <c r="M127" s="418"/>
      <c r="N127" s="418"/>
      <c r="O127" s="418"/>
      <c r="P127" s="418"/>
      <c r="Q127" s="418"/>
      <c r="R127" s="418"/>
      <c r="S127" s="418"/>
      <c r="T127" s="418"/>
      <c r="U127" s="418"/>
    </row>
    <row r="128" spans="1:49" s="546" customFormat="1" ht="13.5" customHeight="1" x14ac:dyDescent="0.2">
      <c r="A128" s="418"/>
      <c r="B128" s="418"/>
      <c r="C128" s="458"/>
      <c r="D128" s="458"/>
      <c r="E128" s="423"/>
      <c r="F128" s="460"/>
      <c r="G128" s="467"/>
      <c r="H128" s="418"/>
      <c r="I128" s="468"/>
      <c r="J128" s="460"/>
      <c r="K128" s="423"/>
      <c r="L128" s="469"/>
      <c r="M128" s="418"/>
      <c r="N128" s="418"/>
      <c r="O128" s="418"/>
      <c r="P128" s="418"/>
      <c r="Q128" s="418"/>
      <c r="R128" s="418"/>
      <c r="S128" s="418"/>
      <c r="T128" s="418"/>
      <c r="U128" s="418"/>
      <c r="AR128"/>
      <c r="AS128"/>
      <c r="AT128"/>
      <c r="AU128"/>
      <c r="AV128"/>
      <c r="AW128"/>
    </row>
    <row r="129" spans="1:43" ht="13.5" customHeight="1" x14ac:dyDescent="0.2">
      <c r="A129" s="418"/>
      <c r="B129" s="418"/>
      <c r="C129" s="458"/>
      <c r="D129" s="458"/>
      <c r="E129" s="423"/>
      <c r="F129" s="460"/>
      <c r="G129" s="467"/>
      <c r="H129" s="418"/>
      <c r="I129" s="468"/>
      <c r="J129" s="460"/>
      <c r="K129" s="423"/>
      <c r="L129" s="469"/>
      <c r="M129" s="418"/>
      <c r="N129" s="418"/>
      <c r="O129" s="418"/>
      <c r="P129" s="418"/>
      <c r="Q129" s="418"/>
      <c r="R129" s="418"/>
      <c r="S129" s="418"/>
      <c r="T129" s="418"/>
      <c r="U129" s="418"/>
    </row>
    <row r="130" spans="1:43" ht="13.5" customHeight="1" x14ac:dyDescent="0.2">
      <c r="A130" s="418"/>
      <c r="B130" s="418"/>
      <c r="C130" s="459"/>
      <c r="D130" s="459"/>
      <c r="E130" s="459"/>
      <c r="F130" s="418"/>
      <c r="G130" s="467"/>
      <c r="H130" s="418"/>
      <c r="I130" s="470"/>
      <c r="J130" s="459"/>
      <c r="K130" s="418"/>
      <c r="L130" s="467"/>
      <c r="M130" s="418"/>
      <c r="N130" s="418"/>
      <c r="O130" s="418"/>
      <c r="P130" s="418"/>
      <c r="Q130" s="418"/>
      <c r="R130" s="418"/>
      <c r="S130" s="418"/>
      <c r="T130" s="418"/>
      <c r="U130" s="418"/>
    </row>
    <row r="131" spans="1:43" ht="13.5" customHeight="1" x14ac:dyDescent="0.2">
      <c r="A131" s="418"/>
      <c r="B131" s="418"/>
      <c r="C131" s="460"/>
      <c r="D131" s="460"/>
      <c r="E131" s="423"/>
      <c r="F131" s="460"/>
      <c r="G131" s="467"/>
      <c r="H131" s="418"/>
      <c r="I131" s="471"/>
      <c r="J131" s="460"/>
      <c r="K131" s="423"/>
      <c r="L131" s="469"/>
      <c r="M131" s="418"/>
      <c r="N131" s="418"/>
      <c r="O131" s="418"/>
      <c r="P131" s="418"/>
      <c r="Q131" s="418"/>
      <c r="R131" s="418"/>
      <c r="S131" s="418"/>
      <c r="T131" s="418"/>
      <c r="U131" s="418"/>
    </row>
    <row r="132" spans="1:43" ht="13.5" customHeight="1" x14ac:dyDescent="0.2">
      <c r="A132" s="418"/>
      <c r="B132" s="418"/>
      <c r="C132" s="418"/>
      <c r="D132" s="418"/>
      <c r="E132" s="418"/>
      <c r="F132" s="460"/>
      <c r="G132" s="467"/>
      <c r="H132" s="418"/>
      <c r="I132" s="463"/>
      <c r="J132" s="418"/>
      <c r="K132" s="460"/>
      <c r="L132" s="469"/>
      <c r="M132" s="418"/>
      <c r="N132" s="418"/>
      <c r="O132" s="418"/>
      <c r="P132" s="418"/>
      <c r="Q132" s="418"/>
      <c r="R132" s="418"/>
      <c r="S132" s="418"/>
      <c r="T132" s="418"/>
      <c r="U132" s="418"/>
    </row>
    <row r="133" spans="1:43" ht="13.5" customHeight="1" x14ac:dyDescent="0.2">
      <c r="A133" s="418"/>
      <c r="B133" s="418"/>
      <c r="C133" s="418"/>
      <c r="D133" s="418"/>
      <c r="E133" s="418"/>
      <c r="F133" s="460"/>
      <c r="G133" s="467"/>
      <c r="H133" s="418"/>
      <c r="I133" s="463"/>
      <c r="J133" s="418"/>
      <c r="K133" s="460"/>
      <c r="L133" s="469"/>
      <c r="M133" s="418"/>
      <c r="N133" s="418"/>
      <c r="O133" s="418"/>
      <c r="P133" s="418"/>
      <c r="Q133" s="418"/>
      <c r="R133" s="418"/>
      <c r="S133" s="418"/>
      <c r="T133" s="418"/>
      <c r="U133" s="418"/>
    </row>
    <row r="134" spans="1:43" ht="13.5" customHeight="1" x14ac:dyDescent="0.2">
      <c r="A134" s="418"/>
      <c r="B134" s="418"/>
      <c r="C134" s="418"/>
      <c r="D134" s="418"/>
      <c r="E134" s="418"/>
      <c r="F134" s="460"/>
      <c r="G134" s="467"/>
      <c r="H134" s="418"/>
      <c r="I134" s="463"/>
      <c r="J134" s="418"/>
      <c r="K134" s="460"/>
      <c r="L134" s="469"/>
      <c r="M134" s="418"/>
      <c r="N134" s="418"/>
      <c r="O134" s="418"/>
      <c r="P134" s="418"/>
      <c r="Q134" s="418"/>
      <c r="R134" s="418"/>
      <c r="S134" s="418"/>
      <c r="T134" s="418"/>
      <c r="U134" s="418"/>
    </row>
    <row r="135" spans="1:43" ht="13.5" customHeight="1" x14ac:dyDescent="0.2">
      <c r="A135" s="418"/>
      <c r="B135" s="418"/>
      <c r="C135" s="458"/>
      <c r="D135" s="458"/>
      <c r="E135" s="423"/>
      <c r="F135" s="460"/>
      <c r="G135" s="467"/>
      <c r="H135" s="418"/>
      <c r="I135" s="468"/>
      <c r="J135" s="460"/>
      <c r="K135" s="423"/>
      <c r="L135" s="469"/>
      <c r="M135" s="418"/>
      <c r="N135" s="418"/>
      <c r="O135" s="418"/>
      <c r="P135" s="418"/>
      <c r="Q135" s="418"/>
      <c r="R135" s="418"/>
      <c r="S135" s="418"/>
      <c r="T135" s="418"/>
      <c r="U135" s="418"/>
    </row>
    <row r="136" spans="1:43" ht="13.5" customHeight="1" x14ac:dyDescent="0.2">
      <c r="A136" s="418"/>
      <c r="B136" s="418"/>
      <c r="C136" s="459"/>
      <c r="D136" s="459"/>
      <c r="E136" s="459"/>
      <c r="F136" s="418"/>
      <c r="G136" s="467"/>
      <c r="H136" s="418"/>
      <c r="I136" s="470"/>
      <c r="J136" s="459"/>
      <c r="K136" s="418"/>
      <c r="L136" s="467"/>
      <c r="M136" s="418"/>
      <c r="N136" s="418"/>
      <c r="O136" s="418"/>
      <c r="P136" s="418"/>
      <c r="Q136" s="418"/>
      <c r="R136" s="418"/>
      <c r="S136" s="418"/>
      <c r="T136" s="418"/>
      <c r="U136" s="418"/>
    </row>
    <row r="137" spans="1:43" ht="4.5" customHeight="1" x14ac:dyDescent="0.2">
      <c r="A137" s="418"/>
      <c r="B137" s="418"/>
      <c r="C137" s="460"/>
      <c r="D137" s="460"/>
      <c r="E137" s="423"/>
      <c r="F137" s="460"/>
      <c r="G137" s="467"/>
      <c r="H137" s="418"/>
      <c r="I137" s="471"/>
      <c r="J137" s="460"/>
      <c r="K137" s="423"/>
      <c r="L137" s="469"/>
      <c r="M137" s="418"/>
      <c r="N137" s="418"/>
      <c r="O137" s="418"/>
      <c r="P137" s="418"/>
      <c r="Q137" s="418"/>
      <c r="R137" s="418"/>
      <c r="S137" s="418"/>
      <c r="T137" s="418"/>
      <c r="U137" s="418"/>
      <c r="V137" s="418"/>
      <c r="W137" s="418"/>
      <c r="X137" s="418"/>
      <c r="Y137" s="418"/>
      <c r="Z137" s="418"/>
      <c r="AA137" s="418"/>
      <c r="AB137" s="418"/>
      <c r="AC137" s="418"/>
      <c r="AD137" s="418"/>
      <c r="AE137" s="418"/>
      <c r="AF137" s="418"/>
      <c r="AG137" s="418"/>
      <c r="AH137" s="418"/>
      <c r="AI137" s="418"/>
      <c r="AJ137" s="418"/>
      <c r="AK137" s="418"/>
      <c r="AL137" s="418"/>
      <c r="AM137" s="418"/>
      <c r="AN137" s="418"/>
      <c r="AO137" s="418"/>
      <c r="AP137" s="418"/>
      <c r="AQ137" s="418"/>
    </row>
    <row r="140" spans="1:43" ht="5.25" customHeight="1" x14ac:dyDescent="0.2"/>
    <row r="143" spans="1:43" ht="3.95" customHeight="1" x14ac:dyDescent="0.2"/>
    <row r="151" ht="2.1" customHeight="1" x14ac:dyDescent="0.2"/>
    <row r="172" ht="5.25" customHeight="1" x14ac:dyDescent="0.2"/>
    <row r="175" ht="5.25" customHeight="1" x14ac:dyDescent="0.2"/>
    <row r="181" ht="5.25" customHeight="1" x14ac:dyDescent="0.2"/>
    <row r="187" ht="4.5" customHeight="1" x14ac:dyDescent="0.2"/>
  </sheetData>
  <phoneticPr fontId="57" type="noConversion"/>
  <pageMargins left="0.5" right="0.5" top="0.5" bottom="0.5" header="0.5" footer="0.5"/>
  <pageSetup scale="74" orientation="portrait" horizontalDpi="1200" verticalDpi="1200"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autoPageBreaks="0"/>
  </sheetPr>
  <dimension ref="A1:BA187"/>
  <sheetViews>
    <sheetView zoomScale="85" zoomScaleNormal="85" zoomScaleSheetLayoutView="85" workbookViewId="0"/>
  </sheetViews>
  <sheetFormatPr defaultColWidth="12" defaultRowHeight="13.5" customHeight="1" outlineLevelCol="1" x14ac:dyDescent="0.2"/>
  <cols>
    <col min="1" max="1" width="36.1640625" customWidth="1"/>
    <col min="2" max="2" width="2" customWidth="1"/>
    <col min="3" max="4" width="12" customWidth="1"/>
    <col min="5" max="5" width="2" customWidth="1"/>
    <col min="6" max="7" width="10" customWidth="1"/>
    <col min="8" max="8" width="5.33203125" customWidth="1"/>
    <col min="9" max="9" width="12" customWidth="1"/>
    <col min="10" max="10" width="2" customWidth="1"/>
    <col min="11" max="12" width="10" customWidth="1"/>
    <col min="13" max="13" width="2.33203125" customWidth="1"/>
    <col min="14" max="14" width="12" customWidth="1"/>
    <col min="15" max="15" width="2.83203125" customWidth="1"/>
    <col min="16" max="16" width="26.83203125" customWidth="1"/>
    <col min="17" max="18" width="13.6640625" customWidth="1"/>
    <col min="19" max="19" width="1.83203125" customWidth="1"/>
    <col min="20" max="20" width="13.6640625" customWidth="1"/>
    <col min="21" max="21" width="2.33203125" customWidth="1"/>
    <col min="22" max="22" width="22" customWidth="1"/>
    <col min="23" max="23" width="9.6640625" hidden="1" customWidth="1" outlineLevel="1"/>
    <col min="24" max="24" width="2.1640625" hidden="1" customWidth="1" outlineLevel="1"/>
    <col min="25" max="25" width="9.6640625" hidden="1" customWidth="1" outlineLevel="1"/>
    <col min="26" max="26" width="2" hidden="1" customWidth="1" outlineLevel="1"/>
    <col min="27" max="27" width="9.6640625" customWidth="1" collapsed="1"/>
    <col min="28" max="28" width="1.5" customWidth="1"/>
    <col min="29" max="29" width="9.6640625" customWidth="1"/>
    <col min="30" max="30" width="2" customWidth="1"/>
    <col min="31" max="31" width="9.6640625" customWidth="1"/>
    <col min="32" max="32" width="1.5" customWidth="1"/>
    <col min="33" max="33" width="9.6640625" customWidth="1"/>
    <col min="34" max="34" width="2" customWidth="1"/>
    <col min="35" max="35" width="9.6640625" customWidth="1"/>
    <col min="36" max="36" width="1.5" customWidth="1"/>
    <col min="37" max="37" width="9.6640625" customWidth="1"/>
    <col min="38" max="38" width="2" customWidth="1"/>
    <col min="39" max="39" width="9.6640625" customWidth="1"/>
    <col min="40" max="40" width="1.5" customWidth="1"/>
    <col min="41" max="41" width="9.6640625" customWidth="1"/>
    <col min="42" max="42" width="2" customWidth="1"/>
    <col min="43" max="43" width="9.6640625" customWidth="1"/>
    <col min="44" max="44" width="1.5" customWidth="1"/>
    <col min="45" max="45" width="28" customWidth="1"/>
    <col min="46" max="46" width="12" bestFit="1" customWidth="1"/>
    <col min="47" max="47" width="1.83203125" customWidth="1"/>
    <col min="48" max="48" width="12.5" bestFit="1" customWidth="1"/>
    <col min="49" max="49" width="1.5" customWidth="1"/>
    <col min="50" max="57" width="12" customWidth="1"/>
    <col min="58" max="58" width="5.33203125" customWidth="1"/>
    <col min="59" max="59" width="18.5" customWidth="1"/>
  </cols>
  <sheetData>
    <row r="1" spans="1:49" ht="13.5" customHeight="1" x14ac:dyDescent="0.2">
      <c r="A1" s="362" t="s">
        <v>1490</v>
      </c>
      <c r="B1" s="346"/>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345"/>
      <c r="AG1" s="345"/>
      <c r="AH1" s="345"/>
      <c r="AI1" s="345"/>
      <c r="AJ1" s="345"/>
      <c r="AK1" s="345"/>
      <c r="AL1" s="345"/>
      <c r="AM1" s="345"/>
      <c r="AN1" s="345"/>
      <c r="AO1" s="345"/>
      <c r="AP1" s="345"/>
      <c r="AQ1" s="345"/>
      <c r="AR1" s="345"/>
      <c r="AS1" s="345"/>
      <c r="AT1" s="345"/>
      <c r="AU1" s="345"/>
      <c r="AV1" s="345"/>
      <c r="AW1" s="345"/>
    </row>
    <row r="2" spans="1:49" ht="13.5" customHeight="1" x14ac:dyDescent="0.2">
      <c r="A2" s="362" t="s">
        <v>1639</v>
      </c>
      <c r="B2" s="346"/>
      <c r="C2" s="619"/>
      <c r="D2" s="345"/>
      <c r="E2" s="345"/>
      <c r="F2" s="345"/>
      <c r="G2" s="345"/>
      <c r="H2" s="345"/>
      <c r="I2" s="619"/>
      <c r="J2" s="345"/>
      <c r="K2" s="345"/>
      <c r="L2" s="345"/>
      <c r="M2" s="345"/>
      <c r="N2" s="345"/>
      <c r="O2" s="345"/>
      <c r="P2" s="345"/>
      <c r="Q2" s="345"/>
      <c r="R2" s="345"/>
      <c r="S2" s="345"/>
      <c r="T2" s="345"/>
      <c r="U2" s="346"/>
      <c r="V2" s="345"/>
      <c r="W2" s="345"/>
      <c r="X2" s="345"/>
      <c r="Y2" s="345"/>
      <c r="Z2" s="345"/>
      <c r="AA2" s="345"/>
      <c r="AB2" s="345"/>
      <c r="AC2" s="345"/>
      <c r="AD2" s="345"/>
      <c r="AE2" s="345"/>
      <c r="AF2" s="345"/>
      <c r="AG2" s="345"/>
      <c r="AH2" s="345"/>
      <c r="AI2" s="345"/>
      <c r="AJ2" s="345"/>
      <c r="AK2" s="345"/>
      <c r="AL2" s="345"/>
      <c r="AM2" s="345"/>
      <c r="AN2" s="345"/>
      <c r="AO2" s="345"/>
      <c r="AP2" s="345"/>
      <c r="AQ2" s="345"/>
      <c r="AR2" s="345"/>
      <c r="AS2" s="345"/>
      <c r="AT2" s="345"/>
      <c r="AU2" s="345"/>
      <c r="AV2" s="345"/>
      <c r="AW2" s="345"/>
    </row>
    <row r="3" spans="1:49" ht="13.5" customHeight="1" x14ac:dyDescent="0.2">
      <c r="A3" s="346"/>
      <c r="B3" s="346"/>
      <c r="C3" s="346"/>
      <c r="D3" s="346"/>
      <c r="E3" s="346"/>
      <c r="F3" s="346"/>
      <c r="G3" s="346"/>
      <c r="H3" s="346"/>
      <c r="I3" s="346"/>
      <c r="J3" s="346"/>
      <c r="K3" s="346"/>
      <c r="L3" s="346"/>
      <c r="M3" s="346"/>
      <c r="N3" s="345"/>
      <c r="O3" s="345"/>
      <c r="P3" s="345"/>
      <c r="Q3" s="345"/>
      <c r="R3" s="345"/>
      <c r="S3" s="345"/>
      <c r="T3" s="345"/>
      <c r="U3" s="346"/>
      <c r="V3" s="345"/>
      <c r="W3" s="345"/>
      <c r="X3" s="345"/>
      <c r="Y3" s="345"/>
      <c r="Z3" s="345"/>
      <c r="AA3" s="345"/>
      <c r="AB3" s="345"/>
      <c r="AC3" s="345"/>
      <c r="AD3" s="345"/>
      <c r="AE3" s="345"/>
      <c r="AF3" s="345"/>
      <c r="AG3" s="345"/>
      <c r="AH3" s="345"/>
      <c r="AI3" s="345"/>
      <c r="AJ3" s="345"/>
      <c r="AK3" s="345"/>
      <c r="AL3" s="345"/>
      <c r="AM3" s="345"/>
      <c r="AN3" s="345"/>
      <c r="AO3" s="345"/>
      <c r="AP3" s="345"/>
      <c r="AQ3" s="345"/>
      <c r="AR3" s="345"/>
      <c r="AS3" s="345"/>
      <c r="AT3" s="345"/>
      <c r="AU3" s="345"/>
      <c r="AV3" s="345"/>
      <c r="AW3" s="345"/>
    </row>
    <row r="4" spans="1:49" ht="13.5" customHeight="1" x14ac:dyDescent="0.2">
      <c r="A4" s="275" t="s">
        <v>91</v>
      </c>
      <c r="B4" s="346"/>
      <c r="C4" s="346"/>
      <c r="D4" s="346"/>
      <c r="E4" s="346"/>
      <c r="F4" s="346"/>
      <c r="G4" s="346"/>
      <c r="H4" s="346"/>
      <c r="I4" s="346"/>
      <c r="J4" s="346"/>
      <c r="K4" s="346"/>
      <c r="L4" s="346"/>
      <c r="M4" s="346"/>
      <c r="N4" s="345"/>
      <c r="O4" s="345"/>
      <c r="P4" s="345"/>
      <c r="Q4" s="345"/>
      <c r="R4" s="345"/>
      <c r="S4" s="345"/>
      <c r="T4" s="345"/>
      <c r="U4" s="346"/>
      <c r="V4" s="345"/>
      <c r="W4" s="345"/>
      <c r="X4" s="345"/>
      <c r="Y4" s="345"/>
      <c r="Z4" s="345"/>
      <c r="AA4" s="345"/>
      <c r="AB4" s="345"/>
      <c r="AC4" s="345"/>
      <c r="AD4" s="345"/>
      <c r="AE4" s="345"/>
      <c r="AF4" s="345"/>
      <c r="AG4" s="345"/>
      <c r="AH4" s="345"/>
      <c r="AI4" s="345"/>
      <c r="AJ4" s="345"/>
      <c r="AK4" s="345"/>
      <c r="AL4" s="345"/>
      <c r="AM4" s="345"/>
      <c r="AN4" s="345"/>
      <c r="AO4" s="345"/>
      <c r="AP4" s="345"/>
      <c r="AQ4" s="345"/>
      <c r="AR4" s="345"/>
      <c r="AS4" s="345"/>
      <c r="AT4" s="345"/>
      <c r="AU4" s="345"/>
      <c r="AV4" s="345"/>
      <c r="AW4" s="345"/>
    </row>
    <row r="5" spans="1:49" ht="13.5" customHeight="1" x14ac:dyDescent="0.2">
      <c r="A5" s="418"/>
      <c r="B5" s="418"/>
      <c r="C5" s="815" t="s">
        <v>1149</v>
      </c>
      <c r="D5" s="815"/>
      <c r="E5" s="815"/>
      <c r="F5" s="815"/>
      <c r="G5" s="815"/>
      <c r="H5" s="374"/>
      <c r="I5" s="815" t="s">
        <v>1755</v>
      </c>
      <c r="J5" s="815"/>
      <c r="K5" s="815"/>
      <c r="L5" s="815"/>
      <c r="M5" s="346"/>
      <c r="N5" s="1143" t="s">
        <v>1141</v>
      </c>
      <c r="O5" s="347"/>
      <c r="P5" s="345"/>
      <c r="Q5" s="345"/>
      <c r="R5" s="345"/>
      <c r="S5" s="345"/>
      <c r="T5" s="345"/>
      <c r="U5" s="346"/>
      <c r="V5" s="345"/>
      <c r="W5" s="345"/>
      <c r="X5" s="345"/>
      <c r="Y5" s="345"/>
      <c r="Z5" s="345"/>
      <c r="AA5" s="345"/>
      <c r="AB5" s="345"/>
      <c r="AC5" s="345"/>
      <c r="AD5" s="345"/>
      <c r="AE5" s="345"/>
      <c r="AF5" s="345"/>
      <c r="AG5" s="345"/>
      <c r="AH5" s="345"/>
      <c r="AI5" s="345"/>
      <c r="AJ5" s="345"/>
      <c r="AK5" s="345"/>
      <c r="AL5" s="345"/>
      <c r="AM5" s="345"/>
      <c r="AN5" s="345"/>
      <c r="AO5" s="345"/>
      <c r="AP5" s="345"/>
      <c r="AQ5" s="345"/>
      <c r="AR5" s="345"/>
      <c r="AS5" s="345"/>
      <c r="AT5" s="345"/>
      <c r="AU5" s="345"/>
      <c r="AV5" s="345"/>
      <c r="AW5" s="345"/>
    </row>
    <row r="6" spans="1:49" ht="13.5" customHeight="1" x14ac:dyDescent="0.2">
      <c r="A6" s="418"/>
      <c r="B6" s="418"/>
      <c r="C6" s="822"/>
      <c r="D6" s="418"/>
      <c r="E6" s="418"/>
      <c r="F6" s="815" t="s">
        <v>241</v>
      </c>
      <c r="G6" s="815"/>
      <c r="H6" s="418"/>
      <c r="I6" s="822"/>
      <c r="J6" s="418"/>
      <c r="K6" s="1376" t="s">
        <v>241</v>
      </c>
      <c r="L6" s="1376"/>
      <c r="M6" s="346"/>
      <c r="N6" s="345"/>
      <c r="O6" s="345"/>
      <c r="P6" s="345"/>
      <c r="Q6" s="345"/>
      <c r="R6" s="345"/>
      <c r="S6" s="345"/>
      <c r="T6" s="345"/>
      <c r="U6" s="346"/>
      <c r="V6" s="345"/>
      <c r="W6" s="345"/>
      <c r="X6" s="345"/>
      <c r="Y6" s="345"/>
      <c r="Z6" s="345"/>
      <c r="AA6" s="345"/>
      <c r="AB6" s="345"/>
      <c r="AC6" s="345"/>
      <c r="AD6" s="345"/>
      <c r="AE6" s="345"/>
      <c r="AF6" s="345"/>
      <c r="AG6" s="345"/>
      <c r="AH6" s="345"/>
      <c r="AI6" s="345"/>
      <c r="AJ6" s="345"/>
      <c r="AK6" s="345"/>
      <c r="AL6" s="345"/>
      <c r="AM6" s="345"/>
      <c r="AN6" s="345"/>
      <c r="AO6" s="345"/>
      <c r="AP6" s="345"/>
      <c r="AQ6" s="345"/>
      <c r="AR6" s="345"/>
      <c r="AS6" s="345"/>
      <c r="AT6" s="345"/>
      <c r="AU6" s="345"/>
      <c r="AV6" s="345"/>
      <c r="AW6" s="345"/>
    </row>
    <row r="7" spans="1:49" ht="13.5" customHeight="1" x14ac:dyDescent="0.2">
      <c r="A7" s="418"/>
      <c r="B7" s="418"/>
      <c r="C7" s="1127" t="s">
        <v>287</v>
      </c>
      <c r="D7" s="1126" t="s">
        <v>644</v>
      </c>
      <c r="E7" s="456"/>
      <c r="F7" s="1126" t="s">
        <v>1756</v>
      </c>
      <c r="G7" s="1126" t="s">
        <v>575</v>
      </c>
      <c r="H7" s="418"/>
      <c r="I7" s="1127" t="s">
        <v>39</v>
      </c>
      <c r="J7" s="456"/>
      <c r="K7" s="1126" t="s">
        <v>1756</v>
      </c>
      <c r="L7" s="1126" t="s">
        <v>575</v>
      </c>
      <c r="M7" s="347"/>
      <c r="N7" s="347"/>
      <c r="O7" s="347"/>
      <c r="P7" s="347"/>
      <c r="Q7" s="347"/>
      <c r="R7" s="347"/>
      <c r="S7" s="347"/>
      <c r="T7" s="347"/>
      <c r="U7" s="346"/>
      <c r="V7" s="345"/>
      <c r="W7" s="345"/>
      <c r="X7" s="345"/>
      <c r="Y7" s="345"/>
      <c r="Z7" s="345"/>
      <c r="AA7" s="345"/>
      <c r="AB7" s="345"/>
      <c r="AC7" s="345"/>
      <c r="AD7" s="345"/>
      <c r="AE7" s="345"/>
      <c r="AF7" s="345"/>
      <c r="AG7" s="345"/>
      <c r="AH7" s="345"/>
      <c r="AI7" s="345"/>
      <c r="AJ7" s="345"/>
      <c r="AK7" s="345"/>
      <c r="AL7" s="345"/>
      <c r="AM7" s="345"/>
      <c r="AN7" s="345"/>
      <c r="AO7" s="345"/>
      <c r="AP7" s="345"/>
      <c r="AQ7" s="345"/>
      <c r="AR7" s="345"/>
      <c r="AS7" s="345"/>
      <c r="AT7" s="345"/>
      <c r="AU7" s="345"/>
      <c r="AV7" s="345"/>
      <c r="AW7" s="345"/>
    </row>
    <row r="8" spans="1:49" ht="13.5" customHeight="1" x14ac:dyDescent="0.2">
      <c r="A8" s="362" t="s">
        <v>125</v>
      </c>
      <c r="B8" s="346"/>
      <c r="C8" s="348"/>
      <c r="D8" s="346"/>
      <c r="E8" s="346"/>
      <c r="F8" s="346"/>
      <c r="G8" s="346"/>
      <c r="H8" s="346"/>
      <c r="I8" s="348"/>
      <c r="J8" s="346"/>
      <c r="K8" s="346"/>
      <c r="L8" s="346"/>
      <c r="M8" s="346"/>
      <c r="N8" s="345"/>
      <c r="O8" s="345"/>
      <c r="P8" s="345"/>
      <c r="Q8" s="345"/>
      <c r="R8" s="345"/>
      <c r="S8" s="345"/>
      <c r="T8" s="345"/>
      <c r="U8" s="346"/>
      <c r="V8" s="345"/>
      <c r="W8" s="345"/>
      <c r="X8" s="345"/>
      <c r="Y8" s="345"/>
      <c r="Z8" s="345"/>
      <c r="AA8" s="345"/>
      <c r="AB8" s="345"/>
      <c r="AC8" s="345"/>
      <c r="AD8" s="345"/>
      <c r="AE8" s="345"/>
      <c r="AF8" s="345"/>
      <c r="AG8" s="345"/>
      <c r="AH8" s="345"/>
      <c r="AI8" s="345"/>
      <c r="AJ8" s="345"/>
      <c r="AK8" s="345"/>
      <c r="AL8" s="345"/>
      <c r="AM8" s="345"/>
      <c r="AN8" s="345"/>
      <c r="AO8" s="345"/>
      <c r="AP8" s="345"/>
      <c r="AQ8" s="345"/>
      <c r="AR8" s="345"/>
      <c r="AS8" s="345"/>
      <c r="AT8" s="345"/>
      <c r="AU8" s="345"/>
      <c r="AV8" s="345"/>
      <c r="AW8" s="345"/>
    </row>
    <row r="9" spans="1:49" ht="13.5" customHeight="1" x14ac:dyDescent="0.2">
      <c r="A9" s="865" t="s">
        <v>1594</v>
      </c>
      <c r="B9" s="346"/>
      <c r="C9" s="1128">
        <f>C52</f>
        <v>300</v>
      </c>
      <c r="D9" s="349">
        <f>MAR!BL10</f>
        <v>279</v>
      </c>
      <c r="E9" s="349"/>
      <c r="F9" s="349">
        <f>C9-D9</f>
        <v>21</v>
      </c>
      <c r="G9" s="354">
        <f>IF(D9=0,0,C9/D9-1)</f>
        <v>7.5268817204301008E-2</v>
      </c>
      <c r="H9" s="346"/>
      <c r="I9" s="1128">
        <v>50</v>
      </c>
      <c r="J9" s="349"/>
      <c r="K9" s="349">
        <f>C9-I9</f>
        <v>250</v>
      </c>
      <c r="L9" s="1289">
        <f>IF(I9=0,"NM",C9/I9-1)</f>
        <v>5</v>
      </c>
      <c r="M9" s="346"/>
      <c r="N9" s="345"/>
      <c r="O9" s="345"/>
      <c r="P9" s="345"/>
      <c r="Q9" s="345"/>
      <c r="R9" s="345"/>
      <c r="S9" s="345"/>
      <c r="T9" s="345"/>
      <c r="U9" s="346"/>
      <c r="V9" s="345"/>
      <c r="W9" s="345"/>
      <c r="X9" s="345"/>
      <c r="Y9" s="345"/>
      <c r="Z9" s="345"/>
      <c r="AA9" s="345"/>
      <c r="AB9" s="345"/>
      <c r="AC9" s="345"/>
      <c r="AD9" s="345"/>
      <c r="AE9" s="345"/>
      <c r="AF9" s="345"/>
      <c r="AG9" s="345"/>
      <c r="AH9" s="345"/>
      <c r="AI9" s="345"/>
      <c r="AJ9" s="345"/>
      <c r="AK9" s="345"/>
      <c r="AL9" s="345"/>
      <c r="AM9" s="345"/>
      <c r="AN9" s="345"/>
      <c r="AO9" s="345"/>
      <c r="AP9" s="345"/>
      <c r="AQ9" s="345"/>
      <c r="AR9" s="345"/>
      <c r="AS9" s="345"/>
      <c r="AT9" s="345"/>
      <c r="AU9" s="345"/>
      <c r="AV9" s="345"/>
      <c r="AW9" s="345"/>
    </row>
    <row r="10" spans="1:49" ht="13.5" customHeight="1" x14ac:dyDescent="0.2">
      <c r="A10" s="865" t="s">
        <v>734</v>
      </c>
      <c r="B10" s="346"/>
      <c r="C10" s="510">
        <v>217</v>
      </c>
      <c r="D10" s="352">
        <f>MAR!BL11</f>
        <v>224</v>
      </c>
      <c r="E10" s="353"/>
      <c r="F10" s="352">
        <f>C10-D10</f>
        <v>-7</v>
      </c>
      <c r="G10" s="354">
        <f>IF(D10=0,0,C10/D10-1)</f>
        <v>-3.125E-2</v>
      </c>
      <c r="H10" s="349"/>
      <c r="I10" s="351">
        <v>300</v>
      </c>
      <c r="J10" s="350"/>
      <c r="K10" s="352">
        <f>C10-I10</f>
        <v>-83</v>
      </c>
      <c r="L10" s="1289">
        <f>IF(I10=0,"NM",C10/I10-1)</f>
        <v>-0.27666666666666662</v>
      </c>
      <c r="M10" s="346"/>
      <c r="N10" s="345"/>
      <c r="O10" s="345"/>
      <c r="P10" s="345"/>
      <c r="Q10" s="345"/>
      <c r="R10" s="345"/>
      <c r="S10" s="345"/>
      <c r="T10" s="345"/>
      <c r="U10" s="346"/>
      <c r="V10" s="345"/>
      <c r="W10" s="345"/>
      <c r="X10" s="345"/>
      <c r="Y10" s="345"/>
      <c r="Z10" s="345"/>
      <c r="AA10" s="345"/>
      <c r="AB10" s="345"/>
      <c r="AC10" s="345"/>
      <c r="AD10" s="345"/>
      <c r="AE10" s="345"/>
      <c r="AF10" s="345"/>
      <c r="AG10" s="345"/>
      <c r="AH10" s="345"/>
      <c r="AI10" s="345"/>
      <c r="AJ10" s="345"/>
      <c r="AK10" s="345"/>
      <c r="AL10" s="345"/>
      <c r="AM10" s="345"/>
      <c r="AN10" s="345"/>
      <c r="AO10" s="345"/>
      <c r="AP10" s="345"/>
      <c r="AQ10" s="345"/>
      <c r="AR10" s="345"/>
      <c r="AS10" s="345"/>
      <c r="AT10" s="345"/>
      <c r="AU10" s="345"/>
      <c r="AV10" s="345"/>
      <c r="AW10" s="345"/>
    </row>
    <row r="11" spans="1:49" ht="13.5" customHeight="1" x14ac:dyDescent="0.2">
      <c r="A11" s="355" t="s">
        <v>732</v>
      </c>
      <c r="B11" s="356"/>
      <c r="C11" s="614">
        <f>SUM(C9:C10)</f>
        <v>517</v>
      </c>
      <c r="D11" s="489">
        <f>SUM(D9:D10)</f>
        <v>503</v>
      </c>
      <c r="E11" s="489"/>
      <c r="F11" s="489">
        <f>SUM(F10:F10)</f>
        <v>-7</v>
      </c>
      <c r="G11" s="358">
        <f>IF(D11=0,0,C11/D11-1)</f>
        <v>2.7833001988071482E-2</v>
      </c>
      <c r="H11" s="359"/>
      <c r="I11" s="614">
        <f>SUM(I9:I10)</f>
        <v>350</v>
      </c>
      <c r="J11" s="357"/>
      <c r="K11" s="489">
        <f>SUM(K9:K10)</f>
        <v>167</v>
      </c>
      <c r="L11" s="360">
        <f>C11/I11-1</f>
        <v>0.47714285714285709</v>
      </c>
      <c r="M11" s="346"/>
      <c r="N11" s="346"/>
      <c r="O11" s="346"/>
      <c r="P11" s="346"/>
      <c r="Q11" s="346"/>
      <c r="R11" s="346"/>
      <c r="S11" s="346"/>
      <c r="T11" s="346"/>
      <c r="U11" s="346"/>
      <c r="V11" s="345"/>
      <c r="W11" s="345"/>
      <c r="X11" s="345"/>
      <c r="Y11" s="345"/>
      <c r="Z11" s="345"/>
      <c r="AA11" s="345"/>
      <c r="AB11" s="345"/>
      <c r="AC11" s="345"/>
      <c r="AD11" s="345"/>
      <c r="AE11" s="345"/>
      <c r="AF11" s="345"/>
      <c r="AG11" s="345"/>
      <c r="AH11" s="345"/>
      <c r="AI11" s="345"/>
      <c r="AJ11" s="345"/>
      <c r="AK11" s="345"/>
      <c r="AL11" s="345"/>
      <c r="AM11" s="345"/>
      <c r="AN11" s="345"/>
      <c r="AO11" s="345"/>
      <c r="AP11" s="345"/>
      <c r="AQ11" s="345"/>
      <c r="AR11" s="345"/>
      <c r="AS11" s="345"/>
      <c r="AT11" s="345"/>
      <c r="AU11" s="345"/>
      <c r="AV11" s="345"/>
      <c r="AW11" s="345"/>
    </row>
    <row r="12" spans="1:49" ht="13.5" customHeight="1" x14ac:dyDescent="0.2">
      <c r="A12" s="346"/>
      <c r="B12" s="346"/>
      <c r="C12" s="351"/>
      <c r="D12" s="352"/>
      <c r="E12" s="352"/>
      <c r="F12" s="352"/>
      <c r="G12" s="361"/>
      <c r="H12" s="346"/>
      <c r="I12" s="351"/>
      <c r="J12" s="346"/>
      <c r="K12" s="352"/>
      <c r="L12" s="1290"/>
      <c r="M12" s="346"/>
      <c r="N12" s="346"/>
      <c r="O12" s="346"/>
      <c r="P12" s="346"/>
      <c r="Q12" s="346"/>
      <c r="R12" s="346"/>
      <c r="S12" s="346"/>
      <c r="T12" s="346"/>
      <c r="U12" s="346"/>
      <c r="V12" s="345"/>
      <c r="W12" s="345"/>
      <c r="X12" s="345"/>
      <c r="Y12" s="345"/>
      <c r="Z12" s="345"/>
      <c r="AA12" s="345"/>
      <c r="AB12" s="345"/>
      <c r="AC12" s="345"/>
      <c r="AD12" s="345"/>
      <c r="AE12" s="345"/>
      <c r="AF12" s="345"/>
      <c r="AG12" s="345"/>
      <c r="AH12" s="345"/>
      <c r="AI12" s="345"/>
      <c r="AJ12" s="345"/>
      <c r="AK12" s="345"/>
      <c r="AL12" s="345"/>
      <c r="AM12" s="345"/>
      <c r="AN12" s="345"/>
      <c r="AO12" s="345"/>
      <c r="AP12" s="345"/>
      <c r="AQ12" s="345"/>
      <c r="AR12" s="345"/>
      <c r="AS12" s="345"/>
      <c r="AT12" s="345"/>
      <c r="AU12" s="345"/>
      <c r="AV12" s="345"/>
      <c r="AW12" s="345"/>
    </row>
    <row r="13" spans="1:49" ht="13.5" customHeight="1" x14ac:dyDescent="0.2">
      <c r="A13" s="362" t="s">
        <v>1913</v>
      </c>
      <c r="B13" s="346"/>
      <c r="C13" s="351"/>
      <c r="D13" s="352"/>
      <c r="E13" s="352"/>
      <c r="F13" s="352"/>
      <c r="G13" s="361"/>
      <c r="H13" s="346"/>
      <c r="I13" s="351"/>
      <c r="J13" s="346"/>
      <c r="K13" s="352"/>
      <c r="L13" s="1290"/>
      <c r="M13" s="346"/>
      <c r="N13" s="346"/>
      <c r="O13" s="346"/>
      <c r="P13" s="346"/>
      <c r="Q13" s="346"/>
      <c r="R13" s="346"/>
      <c r="S13" s="346"/>
      <c r="T13" s="346"/>
      <c r="U13" s="346"/>
      <c r="V13" s="345"/>
      <c r="W13" s="345"/>
      <c r="X13" s="345"/>
      <c r="Y13" s="345"/>
      <c r="Z13" s="345"/>
      <c r="AA13" s="345"/>
      <c r="AB13" s="345"/>
      <c r="AC13" s="345"/>
      <c r="AD13" s="345"/>
      <c r="AE13" s="345"/>
      <c r="AF13" s="345"/>
      <c r="AG13" s="345"/>
      <c r="AH13" s="345"/>
      <c r="AI13" s="345"/>
      <c r="AJ13" s="345"/>
      <c r="AK13" s="345"/>
      <c r="AL13" s="345"/>
      <c r="AM13" s="345"/>
      <c r="AN13" s="345"/>
      <c r="AO13" s="345"/>
      <c r="AP13" s="345"/>
      <c r="AQ13" s="345"/>
      <c r="AR13" s="345"/>
      <c r="AS13" s="345"/>
      <c r="AT13" s="345"/>
      <c r="AU13" s="345"/>
      <c r="AV13" s="345"/>
      <c r="AW13" s="345"/>
    </row>
    <row r="14" spans="1:49" ht="13.5" customHeight="1" x14ac:dyDescent="0.2">
      <c r="A14" s="896" t="s">
        <v>733</v>
      </c>
      <c r="B14" s="346"/>
      <c r="C14" s="510">
        <v>195</v>
      </c>
      <c r="D14" s="352">
        <f>MAR!BL26</f>
        <v>204</v>
      </c>
      <c r="E14" s="352"/>
      <c r="F14" s="352">
        <f>C14-D14</f>
        <v>-9</v>
      </c>
      <c r="G14" s="354">
        <f>IF(D14=0,0,C14/D14-1)</f>
        <v>-4.4117647058823484E-2</v>
      </c>
      <c r="H14" s="346"/>
      <c r="I14" s="351">
        <v>0</v>
      </c>
      <c r="J14" s="346"/>
      <c r="K14" s="352">
        <f>C14-I14</f>
        <v>195</v>
      </c>
      <c r="L14" s="1289" t="str">
        <f>IF(I14=0,"NM",C14/I14-1)</f>
        <v>NM</v>
      </c>
      <c r="M14" s="346"/>
      <c r="N14" s="346"/>
      <c r="O14" s="346"/>
      <c r="P14" s="346"/>
      <c r="Q14" s="346"/>
      <c r="R14" s="346"/>
      <c r="S14" s="346"/>
      <c r="T14" s="346"/>
      <c r="U14" s="346"/>
      <c r="V14" s="345"/>
      <c r="W14" s="345"/>
      <c r="X14" s="345"/>
      <c r="Y14" s="345"/>
      <c r="Z14" s="345"/>
      <c r="AA14" s="345"/>
      <c r="AB14" s="345"/>
      <c r="AC14" s="345"/>
      <c r="AD14" s="345"/>
      <c r="AE14" s="345"/>
      <c r="AF14" s="345"/>
      <c r="AG14" s="345"/>
      <c r="AH14" s="345"/>
      <c r="AI14" s="345"/>
      <c r="AJ14" s="345"/>
      <c r="AK14" s="345"/>
      <c r="AL14" s="345"/>
      <c r="AM14" s="345"/>
      <c r="AN14" s="345"/>
      <c r="AO14" s="345"/>
      <c r="AP14" s="345"/>
      <c r="AQ14" s="345"/>
      <c r="AR14" s="345"/>
      <c r="AS14" s="345"/>
      <c r="AT14" s="345"/>
      <c r="AU14" s="345"/>
      <c r="AV14" s="345"/>
      <c r="AW14" s="345"/>
    </row>
    <row r="15" spans="1:49" ht="13.5" customHeight="1" x14ac:dyDescent="0.2">
      <c r="A15" s="896" t="s">
        <v>736</v>
      </c>
      <c r="B15" s="346"/>
      <c r="C15" s="510">
        <v>147</v>
      </c>
      <c r="D15" s="352">
        <f>+MAR!BL29</f>
        <v>141</v>
      </c>
      <c r="E15" s="352"/>
      <c r="F15" s="352">
        <f>C15-D15</f>
        <v>6</v>
      </c>
      <c r="G15" s="354">
        <f>IF(D15=0,0,C15/D15-1)</f>
        <v>4.2553191489361764E-2</v>
      </c>
      <c r="H15" s="346"/>
      <c r="I15" s="351">
        <v>1.9984012789768135E-2</v>
      </c>
      <c r="J15" s="346"/>
      <c r="K15" s="352">
        <f>C15-I15</f>
        <v>146.98001598721024</v>
      </c>
      <c r="L15" s="1289">
        <f>IF(I15=0,"NM",C15/I15-1)</f>
        <v>7354.8800000000183</v>
      </c>
      <c r="M15" s="346"/>
      <c r="N15" s="346"/>
      <c r="O15" s="346"/>
      <c r="P15" s="346"/>
      <c r="Q15" s="346"/>
      <c r="R15" s="346"/>
      <c r="S15" s="346"/>
      <c r="T15" s="346"/>
      <c r="U15" s="346"/>
      <c r="V15" s="345"/>
      <c r="W15" s="345"/>
      <c r="X15" s="345"/>
      <c r="Y15" s="345"/>
      <c r="Z15" s="345"/>
      <c r="AA15" s="345"/>
      <c r="AB15" s="345"/>
      <c r="AC15" s="345"/>
      <c r="AD15" s="345"/>
      <c r="AE15" s="345"/>
      <c r="AF15" s="345"/>
      <c r="AG15" s="345"/>
      <c r="AH15" s="345"/>
      <c r="AI15" s="345"/>
      <c r="AJ15" s="345"/>
      <c r="AK15" s="345"/>
      <c r="AL15" s="345"/>
      <c r="AM15" s="345"/>
      <c r="AN15" s="345"/>
      <c r="AO15" s="345"/>
      <c r="AP15" s="345"/>
      <c r="AQ15" s="345"/>
      <c r="AR15" s="345"/>
      <c r="AS15" s="345"/>
      <c r="AT15" s="345"/>
      <c r="AU15" s="345"/>
      <c r="AV15" s="345"/>
      <c r="AW15" s="345"/>
    </row>
    <row r="16" spans="1:49" ht="13.5" customHeight="1" x14ac:dyDescent="0.2">
      <c r="A16" s="896" t="s">
        <v>2247</v>
      </c>
      <c r="B16" s="346"/>
      <c r="C16" s="351">
        <f>-C20</f>
        <v>-29</v>
      </c>
      <c r="D16" s="352"/>
      <c r="E16" s="352"/>
      <c r="F16" s="352"/>
      <c r="G16" s="354"/>
      <c r="H16" s="346"/>
      <c r="I16" s="351"/>
      <c r="J16" s="346"/>
      <c r="K16" s="352"/>
      <c r="L16" s="1289"/>
      <c r="M16" s="346"/>
      <c r="N16" s="346"/>
      <c r="O16" s="346"/>
      <c r="P16" s="346"/>
      <c r="Q16" s="346"/>
      <c r="R16" s="346"/>
      <c r="S16" s="346"/>
      <c r="T16" s="346"/>
      <c r="U16" s="346"/>
      <c r="V16" s="345"/>
      <c r="W16" s="345"/>
      <c r="X16" s="345"/>
      <c r="Y16" s="345"/>
      <c r="Z16" s="345"/>
      <c r="AA16" s="345"/>
      <c r="AB16" s="345"/>
      <c r="AC16" s="345"/>
      <c r="AD16" s="345"/>
      <c r="AE16" s="345"/>
      <c r="AF16" s="345"/>
      <c r="AG16" s="345"/>
      <c r="AH16" s="345"/>
      <c r="AI16" s="345"/>
      <c r="AJ16" s="345"/>
      <c r="AK16" s="345"/>
      <c r="AL16" s="345"/>
      <c r="AM16" s="345"/>
      <c r="AN16" s="345"/>
      <c r="AO16" s="345"/>
      <c r="AP16" s="345"/>
      <c r="AQ16" s="345"/>
      <c r="AR16" s="345"/>
      <c r="AS16" s="345"/>
      <c r="AT16" s="345"/>
      <c r="AU16" s="345"/>
      <c r="AV16" s="345"/>
      <c r="AW16" s="345"/>
    </row>
    <row r="17" spans="1:49" ht="13.5" customHeight="1" x14ac:dyDescent="0.2">
      <c r="A17" s="355" t="s">
        <v>1913</v>
      </c>
      <c r="B17" s="356"/>
      <c r="C17" s="614">
        <f>SUM(C14:C16)</f>
        <v>313</v>
      </c>
      <c r="D17" s="489"/>
      <c r="E17" s="488"/>
      <c r="F17" s="357"/>
      <c r="G17" s="358"/>
      <c r="H17" s="359"/>
      <c r="I17" s="614"/>
      <c r="J17" s="357"/>
      <c r="K17" s="357"/>
      <c r="L17" s="360"/>
      <c r="M17" s="346"/>
      <c r="N17" s="346"/>
      <c r="O17" s="346"/>
      <c r="P17" s="346"/>
      <c r="Q17" s="346"/>
      <c r="R17" s="346"/>
      <c r="S17" s="346"/>
      <c r="T17" s="346"/>
      <c r="U17" s="346"/>
      <c r="V17" s="345"/>
      <c r="W17" s="345"/>
      <c r="X17" s="345"/>
      <c r="Y17" s="345"/>
      <c r="Z17" s="345"/>
      <c r="AA17" s="345"/>
      <c r="AB17" s="345"/>
      <c r="AC17" s="345"/>
      <c r="AD17" s="345"/>
      <c r="AE17" s="345"/>
      <c r="AF17" s="345"/>
      <c r="AG17" s="345"/>
      <c r="AH17" s="345"/>
      <c r="AI17" s="345"/>
      <c r="AJ17" s="345"/>
      <c r="AK17" s="345"/>
      <c r="AL17" s="345"/>
      <c r="AM17" s="345"/>
      <c r="AN17" s="345"/>
      <c r="AO17" s="345"/>
      <c r="AP17" s="345"/>
      <c r="AQ17" s="345"/>
      <c r="AR17" s="345"/>
      <c r="AS17" s="345"/>
      <c r="AT17" s="345"/>
      <c r="AU17" s="345"/>
      <c r="AV17" s="345"/>
      <c r="AW17" s="345"/>
    </row>
    <row r="18" spans="1:49" ht="13.5" customHeight="1" x14ac:dyDescent="0.2">
      <c r="A18" s="896"/>
      <c r="B18" s="346"/>
      <c r="C18" s="351"/>
      <c r="D18" s="352"/>
      <c r="E18" s="346"/>
      <c r="F18" s="346"/>
      <c r="G18" s="361"/>
      <c r="H18" s="346"/>
      <c r="I18" s="351"/>
      <c r="J18" s="346"/>
      <c r="K18" s="346"/>
      <c r="L18" s="1290"/>
      <c r="M18" s="346"/>
      <c r="N18" s="346"/>
      <c r="O18" s="346"/>
      <c r="P18" s="346"/>
      <c r="Q18" s="346"/>
      <c r="R18" s="346"/>
      <c r="S18" s="346"/>
      <c r="T18" s="346"/>
      <c r="U18" s="346"/>
      <c r="V18" s="345"/>
      <c r="W18" s="345"/>
      <c r="X18" s="345"/>
      <c r="Y18" s="345"/>
      <c r="Z18" s="345"/>
      <c r="AA18" s="345"/>
      <c r="AB18" s="345"/>
      <c r="AC18" s="345"/>
      <c r="AD18" s="345"/>
      <c r="AE18" s="345"/>
      <c r="AF18" s="345"/>
      <c r="AG18" s="345"/>
      <c r="AH18" s="345"/>
      <c r="AI18" s="345"/>
      <c r="AJ18" s="345"/>
      <c r="AK18" s="345"/>
      <c r="AL18" s="345"/>
      <c r="AM18" s="345"/>
      <c r="AN18" s="345"/>
      <c r="AO18" s="345"/>
      <c r="AP18" s="345"/>
      <c r="AQ18" s="345"/>
      <c r="AR18" s="345"/>
      <c r="AS18" s="345"/>
      <c r="AT18" s="345"/>
      <c r="AU18" s="345"/>
      <c r="AV18" s="345"/>
      <c r="AW18" s="345"/>
    </row>
    <row r="19" spans="1:49" ht="13.5" customHeight="1" x14ac:dyDescent="0.2">
      <c r="A19" s="331" t="s">
        <v>1863</v>
      </c>
      <c r="B19" s="1130"/>
      <c r="C19" s="614">
        <f>C11-C17</f>
        <v>204</v>
      </c>
      <c r="D19" s="489">
        <f>D11-D17</f>
        <v>503</v>
      </c>
      <c r="E19" s="1130"/>
      <c r="F19" s="489">
        <f>C19-D19</f>
        <v>-299</v>
      </c>
      <c r="G19" s="358">
        <f>IF(D19=0,0,C19/D19-1)</f>
        <v>-0.59443339960238561</v>
      </c>
      <c r="H19" s="1130"/>
      <c r="I19" s="614">
        <f>I11-I17</f>
        <v>350</v>
      </c>
      <c r="J19" s="1130"/>
      <c r="K19" s="489">
        <f>C19-I19</f>
        <v>-146</v>
      </c>
      <c r="L19" s="360">
        <f>IF(I19=0,"NM",C19/I19-1)</f>
        <v>-0.41714285714285715</v>
      </c>
      <c r="M19" s="362"/>
      <c r="N19" s="362"/>
      <c r="O19" s="362"/>
      <c r="P19" s="362"/>
      <c r="Q19" s="362"/>
      <c r="R19" s="362"/>
      <c r="S19" s="362"/>
      <c r="T19" s="362"/>
      <c r="U19" s="362"/>
      <c r="V19" s="344"/>
      <c r="W19" s="344"/>
      <c r="X19" s="344"/>
      <c r="Y19" s="344"/>
      <c r="Z19" s="344"/>
      <c r="AA19" s="344"/>
      <c r="AB19" s="344"/>
      <c r="AC19" s="344"/>
      <c r="AD19" s="344"/>
      <c r="AE19" s="344"/>
      <c r="AF19" s="344"/>
      <c r="AG19" s="344"/>
      <c r="AH19" s="344"/>
      <c r="AI19" s="344"/>
      <c r="AJ19" s="344"/>
      <c r="AK19" s="344"/>
      <c r="AL19" s="344"/>
      <c r="AM19" s="344"/>
      <c r="AN19" s="344"/>
      <c r="AO19" s="344"/>
      <c r="AP19" s="344"/>
      <c r="AQ19" s="344"/>
      <c r="AR19" s="344"/>
      <c r="AS19" s="344"/>
      <c r="AT19" s="344"/>
      <c r="AU19" s="344"/>
      <c r="AV19" s="344"/>
      <c r="AW19" s="344"/>
    </row>
    <row r="20" spans="1:49" ht="13.5" customHeight="1" x14ac:dyDescent="0.2">
      <c r="A20" s="1224" t="s">
        <v>2248</v>
      </c>
      <c r="B20" s="1132"/>
      <c r="C20" s="1413">
        <v>29</v>
      </c>
      <c r="D20" s="1134"/>
      <c r="E20" s="1132"/>
      <c r="F20" s="1134"/>
      <c r="G20" s="1135"/>
      <c r="H20" s="1132"/>
      <c r="I20" s="1133" t="s">
        <v>102</v>
      </c>
      <c r="J20" s="1132"/>
      <c r="K20" s="1134"/>
      <c r="L20" s="1291"/>
      <c r="M20" s="346"/>
      <c r="N20" s="346"/>
      <c r="O20" s="346"/>
      <c r="P20" s="346"/>
      <c r="Q20" s="346"/>
      <c r="R20" s="346"/>
      <c r="S20" s="346"/>
      <c r="T20" s="346"/>
      <c r="U20" s="346"/>
      <c r="V20" s="345"/>
      <c r="W20" s="345"/>
      <c r="X20" s="345"/>
      <c r="Y20" s="345"/>
      <c r="Z20" s="345"/>
      <c r="AA20" s="345"/>
      <c r="AB20" s="345"/>
      <c r="AC20" s="345"/>
      <c r="AD20" s="345"/>
      <c r="AE20" s="345"/>
      <c r="AF20" s="345"/>
      <c r="AG20" s="345"/>
      <c r="AH20" s="345"/>
      <c r="AI20" s="345"/>
      <c r="AJ20" s="345"/>
      <c r="AK20" s="345"/>
      <c r="AL20" s="345"/>
      <c r="AM20" s="345"/>
      <c r="AN20" s="345"/>
      <c r="AO20" s="345"/>
      <c r="AP20" s="345"/>
      <c r="AQ20" s="345"/>
      <c r="AR20" s="345"/>
      <c r="AS20" s="345"/>
      <c r="AT20" s="345"/>
      <c r="AU20" s="345"/>
      <c r="AV20" s="345"/>
      <c r="AW20" s="345"/>
    </row>
    <row r="21" spans="1:49" ht="13.5" customHeight="1" x14ac:dyDescent="0.2">
      <c r="A21" s="897" t="s">
        <v>1343</v>
      </c>
      <c r="B21" s="362"/>
      <c r="C21" s="615">
        <f>C19-C20</f>
        <v>175</v>
      </c>
      <c r="D21" s="485"/>
      <c r="E21" s="362"/>
      <c r="F21" s="485"/>
      <c r="G21" s="482"/>
      <c r="H21" s="362"/>
      <c r="I21" s="615"/>
      <c r="J21" s="362"/>
      <c r="K21" s="485"/>
      <c r="L21" s="1292"/>
      <c r="M21" s="362"/>
      <c r="N21" s="1144">
        <v>173.54</v>
      </c>
      <c r="O21" s="1144"/>
      <c r="P21" s="362"/>
      <c r="Q21" s="362"/>
      <c r="R21" s="362"/>
      <c r="S21" s="362"/>
      <c r="T21" s="362"/>
      <c r="U21" s="362"/>
      <c r="V21" s="344"/>
      <c r="W21" s="344"/>
      <c r="X21" s="344"/>
      <c r="Y21" s="344"/>
      <c r="Z21" s="344"/>
      <c r="AA21" s="344"/>
      <c r="AB21" s="344"/>
      <c r="AC21" s="344"/>
      <c r="AD21" s="344"/>
      <c r="AE21" s="344"/>
      <c r="AF21" s="344"/>
      <c r="AG21" s="344"/>
      <c r="AH21" s="344"/>
      <c r="AI21" s="344"/>
      <c r="AJ21" s="344"/>
      <c r="AK21" s="344"/>
      <c r="AL21" s="344"/>
      <c r="AM21" s="344"/>
      <c r="AN21" s="344"/>
      <c r="AO21" s="344"/>
      <c r="AP21" s="344"/>
      <c r="AQ21" s="344"/>
      <c r="AR21" s="344"/>
      <c r="AS21" s="344"/>
      <c r="AT21" s="344"/>
      <c r="AU21" s="344"/>
      <c r="AV21" s="344"/>
      <c r="AW21" s="344"/>
    </row>
    <row r="22" spans="1:49" ht="13.5" customHeight="1" x14ac:dyDescent="0.2">
      <c r="A22" s="897"/>
      <c r="B22" s="346"/>
      <c r="C22" s="615"/>
      <c r="D22" s="485"/>
      <c r="E22" s="346"/>
      <c r="F22" s="352"/>
      <c r="G22" s="361"/>
      <c r="H22" s="346"/>
      <c r="I22" s="615"/>
      <c r="J22" s="346"/>
      <c r="K22" s="352"/>
      <c r="L22" s="1290"/>
      <c r="M22" s="346"/>
      <c r="N22" s="346"/>
      <c r="O22" s="346"/>
      <c r="P22" s="346"/>
      <c r="Q22" s="346"/>
      <c r="R22" s="346"/>
      <c r="S22" s="346"/>
      <c r="T22" s="346"/>
      <c r="U22" s="346"/>
      <c r="V22" s="345"/>
      <c r="W22" s="345"/>
      <c r="X22" s="345"/>
      <c r="Y22" s="345"/>
      <c r="Z22" s="345"/>
      <c r="AA22" s="345"/>
      <c r="AB22" s="345"/>
      <c r="AC22" s="345"/>
      <c r="AD22" s="345"/>
      <c r="AE22" s="345"/>
      <c r="AF22" s="345"/>
      <c r="AG22" s="345"/>
      <c r="AH22" s="345"/>
      <c r="AI22" s="345"/>
      <c r="AJ22" s="345"/>
      <c r="AK22" s="345"/>
      <c r="AL22" s="345"/>
      <c r="AM22" s="345"/>
      <c r="AN22" s="345"/>
      <c r="AO22" s="345"/>
      <c r="AP22" s="345"/>
      <c r="AQ22" s="345"/>
      <c r="AR22" s="345"/>
      <c r="AS22" s="345"/>
      <c r="AT22" s="345"/>
      <c r="AU22" s="345"/>
      <c r="AV22" s="345"/>
      <c r="AW22" s="345"/>
    </row>
    <row r="23" spans="1:49" ht="13.5" customHeight="1" x14ac:dyDescent="0.2">
      <c r="A23" s="896" t="s">
        <v>2249</v>
      </c>
      <c r="B23" s="346"/>
      <c r="C23" s="510">
        <v>-33</v>
      </c>
      <c r="D23" s="352">
        <f>MAR!BL39</f>
        <v>-32</v>
      </c>
      <c r="E23" s="346"/>
      <c r="F23" s="352">
        <f>C23-D23</f>
        <v>-1</v>
      </c>
      <c r="G23" s="354">
        <f>IF(D23=0,0,C23/D23-1)</f>
        <v>3.125E-2</v>
      </c>
      <c r="H23" s="346"/>
      <c r="I23" s="351">
        <v>4</v>
      </c>
      <c r="J23" s="346"/>
      <c r="K23" s="352">
        <f>C23-I23</f>
        <v>-37</v>
      </c>
      <c r="L23" s="1289">
        <f>IF(I23=0,"NM",C23/I23-1)</f>
        <v>-9.25</v>
      </c>
      <c r="M23" s="346"/>
      <c r="N23" s="346"/>
      <c r="O23" s="346"/>
      <c r="P23" s="346"/>
      <c r="Q23" s="346"/>
      <c r="R23" s="346"/>
      <c r="S23" s="346"/>
      <c r="T23" s="346"/>
      <c r="U23" s="346"/>
      <c r="V23" s="345"/>
      <c r="W23" s="345"/>
      <c r="X23" s="345"/>
      <c r="Y23" s="345"/>
      <c r="Z23" s="345"/>
      <c r="AA23" s="345"/>
      <c r="AB23" s="345"/>
      <c r="AC23" s="345"/>
      <c r="AD23" s="345"/>
      <c r="AE23" s="345"/>
      <c r="AF23" s="345"/>
      <c r="AG23" s="345"/>
      <c r="AH23" s="345"/>
      <c r="AI23" s="345"/>
      <c r="AJ23" s="345"/>
      <c r="AK23" s="345"/>
      <c r="AL23" s="345"/>
      <c r="AM23" s="345"/>
      <c r="AN23" s="345"/>
      <c r="AO23" s="345"/>
      <c r="AP23" s="345"/>
      <c r="AQ23" s="345"/>
      <c r="AR23" s="345"/>
      <c r="AS23" s="345"/>
      <c r="AT23" s="345"/>
      <c r="AU23" s="345"/>
      <c r="AV23" s="345"/>
      <c r="AW23" s="345"/>
    </row>
    <row r="24" spans="1:49" ht="13.5" customHeight="1" x14ac:dyDescent="0.2">
      <c r="A24" s="896" t="s">
        <v>2250</v>
      </c>
      <c r="B24" s="346"/>
      <c r="C24" s="510">
        <v>4</v>
      </c>
      <c r="D24" s="352">
        <f>MAR!BL40</f>
        <v>7</v>
      </c>
      <c r="E24" s="346"/>
      <c r="F24" s="352">
        <f>C24-D24</f>
        <v>-3</v>
      </c>
      <c r="G24" s="354">
        <f>IF(D24=0,0,C24/D24-1)</f>
        <v>-0.4285714285714286</v>
      </c>
      <c r="H24" s="346"/>
      <c r="I24" s="351">
        <v>0</v>
      </c>
      <c r="J24" s="346"/>
      <c r="K24" s="352">
        <f>C24-I24</f>
        <v>4</v>
      </c>
      <c r="L24" s="1289" t="str">
        <f>IF(I24=0,"NM",C24/I24-1)</f>
        <v>NM</v>
      </c>
      <c r="M24" s="346"/>
      <c r="N24" s="346"/>
      <c r="O24" s="346"/>
      <c r="P24" s="346"/>
      <c r="Q24" s="346"/>
      <c r="R24" s="346"/>
      <c r="S24" s="346"/>
      <c r="T24" s="346"/>
      <c r="U24" s="346"/>
      <c r="V24" s="345"/>
      <c r="W24" s="345"/>
      <c r="X24" s="345"/>
      <c r="Y24" s="345"/>
      <c r="Z24" s="345"/>
      <c r="AA24" s="345"/>
      <c r="AB24" s="345"/>
      <c r="AC24" s="345"/>
      <c r="AD24" s="345"/>
      <c r="AE24" s="345"/>
      <c r="AF24" s="345"/>
      <c r="AG24" s="345"/>
      <c r="AH24" s="345"/>
      <c r="AI24" s="345"/>
      <c r="AJ24" s="345"/>
      <c r="AK24" s="345"/>
      <c r="AL24" s="345"/>
      <c r="AM24" s="345"/>
      <c r="AN24" s="345"/>
      <c r="AO24" s="345"/>
      <c r="AP24" s="345"/>
      <c r="AQ24" s="345"/>
      <c r="AR24" s="345"/>
      <c r="AS24" s="345"/>
      <c r="AT24" s="345"/>
      <c r="AU24" s="345"/>
      <c r="AV24" s="345"/>
      <c r="AW24" s="345"/>
    </row>
    <row r="25" spans="1:49" ht="13.5" customHeight="1" x14ac:dyDescent="0.2">
      <c r="A25" s="896" t="s">
        <v>2251</v>
      </c>
      <c r="B25" s="346"/>
      <c r="C25" s="510">
        <v>2</v>
      </c>
      <c r="D25" s="352">
        <f>MAR!BL38</f>
        <v>2</v>
      </c>
      <c r="E25" s="346"/>
      <c r="F25" s="352">
        <f>C25-D25</f>
        <v>0</v>
      </c>
      <c r="G25" s="354">
        <f>IF(D25=0,0,C25/D25-1)</f>
        <v>0</v>
      </c>
      <c r="H25" s="346"/>
      <c r="I25" s="351">
        <v>0</v>
      </c>
      <c r="J25" s="346"/>
      <c r="K25" s="352">
        <f>C25-I25</f>
        <v>2</v>
      </c>
      <c r="L25" s="1289" t="str">
        <f>IF(I25=0,"NM",C25/I25-1)</f>
        <v>NM</v>
      </c>
      <c r="M25" s="346"/>
      <c r="N25" s="346"/>
      <c r="O25" s="346"/>
      <c r="P25" s="346"/>
      <c r="Q25" s="346"/>
      <c r="R25" s="346"/>
      <c r="S25" s="346"/>
      <c r="T25" s="346"/>
      <c r="U25" s="346"/>
      <c r="V25" s="345"/>
      <c r="W25" s="345"/>
      <c r="X25" s="345"/>
      <c r="Y25" s="345"/>
      <c r="Z25" s="345"/>
      <c r="AA25" s="345"/>
      <c r="AB25" s="345"/>
      <c r="AC25" s="345"/>
      <c r="AD25" s="345"/>
      <c r="AE25" s="345"/>
      <c r="AF25" s="345"/>
      <c r="AG25" s="345"/>
      <c r="AH25" s="345"/>
      <c r="AI25" s="345"/>
      <c r="AJ25" s="345"/>
      <c r="AK25" s="345"/>
      <c r="AL25" s="345"/>
      <c r="AM25" s="345"/>
      <c r="AN25" s="345"/>
      <c r="AO25" s="345"/>
      <c r="AP25" s="345"/>
      <c r="AQ25" s="345"/>
      <c r="AR25" s="345"/>
      <c r="AS25" s="345"/>
      <c r="AT25" s="345"/>
      <c r="AU25" s="345"/>
      <c r="AV25" s="345"/>
      <c r="AW25" s="345"/>
    </row>
    <row r="26" spans="1:49" ht="13.5" customHeight="1" x14ac:dyDescent="0.2">
      <c r="A26" s="1224" t="s">
        <v>712</v>
      </c>
      <c r="B26" s="1132"/>
      <c r="C26" s="1169">
        <v>-1</v>
      </c>
      <c r="D26" s="1155">
        <f>MAR!BL42</f>
        <v>-4</v>
      </c>
      <c r="E26" s="1132"/>
      <c r="F26" s="1155">
        <f>C26-D26</f>
        <v>3</v>
      </c>
      <c r="G26" s="1135">
        <f>IF(D26=0,0,C26/D26-1)</f>
        <v>-0.75</v>
      </c>
      <c r="H26" s="1132"/>
      <c r="I26" s="1156">
        <v>0</v>
      </c>
      <c r="J26" s="1132"/>
      <c r="K26" s="1155">
        <f>C26-I26</f>
        <v>-1</v>
      </c>
      <c r="L26" s="1291" t="str">
        <f>IF(I26=0,"NM",C26/I26-1)</f>
        <v>NM</v>
      </c>
      <c r="M26" s="346"/>
      <c r="N26" s="346"/>
      <c r="O26" s="346"/>
      <c r="P26" s="346"/>
      <c r="Q26" s="346"/>
      <c r="R26" s="346"/>
      <c r="S26" s="346"/>
      <c r="T26" s="346"/>
      <c r="U26" s="346"/>
      <c r="V26" s="345"/>
      <c r="W26" s="345"/>
      <c r="X26" s="345"/>
      <c r="Y26" s="345"/>
      <c r="Z26" s="345"/>
      <c r="AA26" s="345"/>
      <c r="AB26" s="345"/>
      <c r="AC26" s="345"/>
      <c r="AD26" s="345"/>
      <c r="AE26" s="345"/>
      <c r="AF26" s="345"/>
      <c r="AG26" s="345"/>
      <c r="AH26" s="345"/>
      <c r="AI26" s="345"/>
      <c r="AJ26" s="345"/>
      <c r="AK26" s="345"/>
      <c r="AL26" s="345"/>
      <c r="AM26" s="345"/>
      <c r="AN26" s="345"/>
      <c r="AO26" s="345"/>
      <c r="AP26" s="345"/>
      <c r="AQ26" s="345"/>
      <c r="AR26" s="345"/>
      <c r="AS26" s="345"/>
      <c r="AT26" s="345"/>
      <c r="AU26" s="345"/>
      <c r="AV26" s="345"/>
      <c r="AW26" s="345"/>
    </row>
    <row r="27" spans="1:49" ht="13.5" customHeight="1" x14ac:dyDescent="0.2">
      <c r="A27" s="362" t="s">
        <v>642</v>
      </c>
      <c r="B27" s="362"/>
      <c r="C27" s="615">
        <f>C21+SUM(C23:C26)</f>
        <v>147</v>
      </c>
      <c r="D27" s="485">
        <f>SUM(D21:D26)</f>
        <v>-27</v>
      </c>
      <c r="E27" s="362"/>
      <c r="F27" s="485">
        <f>C27-D27</f>
        <v>174</v>
      </c>
      <c r="G27" s="482">
        <f>IF(D27=0,0,C27/D27-1)</f>
        <v>-6.4444444444444446</v>
      </c>
      <c r="H27" s="362"/>
      <c r="I27" s="615"/>
      <c r="J27" s="362"/>
      <c r="K27" s="485"/>
      <c r="L27" s="1292"/>
      <c r="M27" s="362"/>
      <c r="N27" s="362"/>
      <c r="O27" s="362"/>
      <c r="P27" s="362">
        <f>I28*C27</f>
        <v>0</v>
      </c>
      <c r="Q27" s="362"/>
      <c r="R27" s="362"/>
      <c r="S27" s="362"/>
      <c r="T27" s="362"/>
      <c r="U27" s="362"/>
      <c r="V27" s="344"/>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344"/>
      <c r="AV27" s="344"/>
      <c r="AW27" s="344"/>
    </row>
    <row r="28" spans="1:49" ht="13.5" customHeight="1" x14ac:dyDescent="0.2">
      <c r="A28" s="1383" t="s">
        <v>90</v>
      </c>
      <c r="B28" s="362"/>
      <c r="C28" s="1001">
        <f>-C29/C27</f>
        <v>0.29251700680272108</v>
      </c>
      <c r="D28" s="1384">
        <f>-D29/D27</f>
        <v>-1.5925925925925926</v>
      </c>
      <c r="E28" s="362"/>
      <c r="F28" s="485"/>
      <c r="G28" s="482"/>
      <c r="H28" s="362"/>
      <c r="I28" s="1001"/>
      <c r="J28" s="362"/>
      <c r="K28" s="485"/>
      <c r="L28" s="1292"/>
      <c r="M28" s="362"/>
      <c r="N28" s="362"/>
      <c r="O28" s="362"/>
      <c r="P28" s="362">
        <f>P27+C29</f>
        <v>-43</v>
      </c>
      <c r="Q28" s="362"/>
      <c r="R28" s="362"/>
      <c r="S28" s="362"/>
      <c r="T28" s="362"/>
      <c r="U28" s="362"/>
      <c r="V28" s="344"/>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344"/>
      <c r="AV28" s="344"/>
      <c r="AW28" s="344"/>
    </row>
    <row r="29" spans="1:49" ht="13.5" customHeight="1" x14ac:dyDescent="0.2">
      <c r="A29" s="1132" t="s">
        <v>713</v>
      </c>
      <c r="B29" s="1132"/>
      <c r="C29" s="1169">
        <v>-43</v>
      </c>
      <c r="D29" s="1155">
        <f>MAR!BL48</f>
        <v>-43</v>
      </c>
      <c r="E29" s="1138"/>
      <c r="F29" s="1155">
        <f>C29-D29</f>
        <v>0</v>
      </c>
      <c r="G29" s="1135">
        <f t="shared" ref="G29:G34" si="0">IF(D29=0,0,C29/D29-1)</f>
        <v>0</v>
      </c>
      <c r="H29" s="1132"/>
      <c r="I29" s="1156">
        <v>0</v>
      </c>
      <c r="J29" s="1138"/>
      <c r="K29" s="1155">
        <f>C29-I29</f>
        <v>-43</v>
      </c>
      <c r="L29" s="1291" t="str">
        <f>IF(I29=0,"NM",C29/I29-1)</f>
        <v>NM</v>
      </c>
      <c r="M29" s="346"/>
      <c r="N29" s="346"/>
      <c r="O29" s="346"/>
      <c r="P29" s="1406">
        <f>P28/C33</f>
        <v>-0.12478235635519443</v>
      </c>
      <c r="Q29" s="346"/>
      <c r="R29" s="346"/>
      <c r="S29" s="346"/>
      <c r="T29" s="346"/>
      <c r="U29" s="346"/>
      <c r="V29" s="345"/>
      <c r="W29" s="345"/>
      <c r="X29" s="345"/>
      <c r="Y29" s="345"/>
      <c r="Z29" s="345"/>
      <c r="AA29" s="345"/>
      <c r="AB29" s="345"/>
      <c r="AC29" s="345"/>
      <c r="AD29" s="345"/>
      <c r="AE29" s="345"/>
      <c r="AF29" s="345"/>
      <c r="AG29" s="345"/>
      <c r="AH29" s="345"/>
      <c r="AI29" s="345"/>
      <c r="AJ29" s="345"/>
      <c r="AK29" s="345"/>
      <c r="AL29" s="345"/>
      <c r="AM29" s="345"/>
      <c r="AN29" s="345"/>
      <c r="AO29" s="345"/>
      <c r="AP29" s="345"/>
      <c r="AQ29" s="345"/>
      <c r="AR29" s="345"/>
      <c r="AS29" s="345"/>
      <c r="AT29" s="345"/>
      <c r="AU29" s="345"/>
      <c r="AV29" s="345"/>
      <c r="AW29" s="345"/>
    </row>
    <row r="30" spans="1:49" ht="13.5" customHeight="1" x14ac:dyDescent="0.2">
      <c r="A30" s="362" t="s">
        <v>1296</v>
      </c>
      <c r="B30" s="362"/>
      <c r="C30" s="615">
        <f>C27+C29</f>
        <v>104</v>
      </c>
      <c r="D30" s="485">
        <f>SUM(D27:D29)</f>
        <v>-71.592592592592595</v>
      </c>
      <c r="E30" s="486"/>
      <c r="F30" s="485">
        <f>SUM(F27:F29)</f>
        <v>174</v>
      </c>
      <c r="G30" s="482">
        <f t="shared" si="0"/>
        <v>-2.4526642524573203</v>
      </c>
      <c r="H30" s="362"/>
      <c r="I30" s="615">
        <f>SUM(I27:I29)</f>
        <v>0</v>
      </c>
      <c r="J30" s="486"/>
      <c r="K30" s="485">
        <f>C30-I30</f>
        <v>104</v>
      </c>
      <c r="L30" s="1292" t="str">
        <f>IF(I30=0,"NM",C30/I30-1)</f>
        <v>NM</v>
      </c>
      <c r="M30" s="362"/>
      <c r="N30" s="362"/>
      <c r="O30" s="362"/>
      <c r="P30" s="362"/>
      <c r="Q30" s="362"/>
      <c r="R30" s="362"/>
      <c r="S30" s="362"/>
      <c r="T30" s="362"/>
      <c r="U30" s="362"/>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344"/>
      <c r="AU30" s="344"/>
      <c r="AV30" s="344"/>
      <c r="AW30" s="344"/>
    </row>
    <row r="31" spans="1:49" ht="13.5" customHeight="1" x14ac:dyDescent="0.2">
      <c r="A31" s="346" t="s">
        <v>714</v>
      </c>
      <c r="B31" s="346"/>
      <c r="C31" s="351">
        <v>0</v>
      </c>
      <c r="D31" s="352">
        <f>MAR!BL46</f>
        <v>0</v>
      </c>
      <c r="E31" s="353"/>
      <c r="F31" s="352">
        <f>C31-D31</f>
        <v>0</v>
      </c>
      <c r="G31" s="354">
        <f t="shared" si="0"/>
        <v>0</v>
      </c>
      <c r="H31" s="346"/>
      <c r="I31" s="351">
        <f>MAR!BQ46</f>
        <v>0</v>
      </c>
      <c r="J31" s="353"/>
      <c r="K31" s="352">
        <f>C31-I31</f>
        <v>0</v>
      </c>
      <c r="L31" s="1289" t="str">
        <f>IF(I31=0,"NM",C31/I31-1)</f>
        <v>NM</v>
      </c>
      <c r="M31" s="346"/>
      <c r="N31" s="346"/>
      <c r="O31" s="346"/>
      <c r="P31" s="346"/>
      <c r="Q31" s="346"/>
      <c r="R31" s="346"/>
      <c r="S31" s="346"/>
      <c r="T31" s="346"/>
      <c r="U31" s="346"/>
      <c r="V31" s="345"/>
      <c r="W31" s="345"/>
      <c r="X31" s="345"/>
      <c r="Y31" s="345"/>
      <c r="Z31" s="345"/>
      <c r="AA31" s="345"/>
      <c r="AB31" s="345"/>
      <c r="AC31" s="345"/>
      <c r="AD31" s="345"/>
      <c r="AE31" s="345"/>
      <c r="AF31" s="345"/>
      <c r="AG31" s="345"/>
      <c r="AH31" s="345"/>
      <c r="AI31" s="345"/>
      <c r="AJ31" s="345"/>
      <c r="AK31" s="345"/>
      <c r="AL31" s="345"/>
      <c r="AM31" s="345"/>
      <c r="AN31" s="345"/>
      <c r="AO31" s="345"/>
      <c r="AP31" s="345"/>
      <c r="AQ31" s="345"/>
      <c r="AR31" s="345"/>
      <c r="AS31" s="345"/>
      <c r="AT31" s="345"/>
      <c r="AU31" s="345"/>
      <c r="AV31" s="345"/>
      <c r="AW31" s="345"/>
    </row>
    <row r="32" spans="1:49" ht="13.5" customHeight="1" x14ac:dyDescent="0.2">
      <c r="A32" s="355" t="s">
        <v>1298</v>
      </c>
      <c r="B32" s="356"/>
      <c r="C32" s="614">
        <v>103.99460327646727</v>
      </c>
      <c r="D32" s="489">
        <f>D30-D31</f>
        <v>-71.592592592592595</v>
      </c>
      <c r="E32" s="357"/>
      <c r="F32" s="357">
        <f>C32-D32</f>
        <v>175.58719586905988</v>
      </c>
      <c r="G32" s="358">
        <f t="shared" si="0"/>
        <v>-2.4525888714250472</v>
      </c>
      <c r="H32" s="359"/>
      <c r="I32" s="614">
        <f>I30-I31</f>
        <v>0</v>
      </c>
      <c r="J32" s="357"/>
      <c r="K32" s="357">
        <f>C32-I32</f>
        <v>103.99460327646727</v>
      </c>
      <c r="L32" s="360" t="str">
        <f>IF(I32=0,"NM",C32/I32-1)</f>
        <v>NM</v>
      </c>
      <c r="M32" s="346"/>
      <c r="N32" s="1144">
        <v>98.45</v>
      </c>
      <c r="O32" s="1144"/>
      <c r="P32" s="346"/>
      <c r="Q32" s="346"/>
      <c r="R32" s="346"/>
      <c r="S32" s="346"/>
      <c r="T32" s="346"/>
      <c r="U32" s="346"/>
      <c r="V32" s="345"/>
      <c r="W32" s="345"/>
      <c r="X32" s="345"/>
      <c r="Y32" s="345"/>
      <c r="Z32" s="345"/>
      <c r="AA32" s="345"/>
      <c r="AB32" s="345"/>
      <c r="AC32" s="345"/>
      <c r="AD32" s="345"/>
      <c r="AE32" s="345"/>
      <c r="AF32" s="345"/>
      <c r="AG32" s="345"/>
      <c r="AH32" s="345"/>
      <c r="AI32" s="345"/>
      <c r="AJ32" s="345"/>
      <c r="AK32" s="345"/>
      <c r="AL32" s="345"/>
      <c r="AM32" s="345"/>
      <c r="AN32" s="345"/>
      <c r="AO32" s="345"/>
      <c r="AP32" s="345"/>
      <c r="AQ32" s="345"/>
      <c r="AR32" s="345"/>
      <c r="AS32" s="345"/>
      <c r="AT32" s="345"/>
      <c r="AU32" s="345"/>
      <c r="AV32" s="345"/>
      <c r="AW32" s="345"/>
    </row>
    <row r="33" spans="1:49" ht="13.5" customHeight="1" x14ac:dyDescent="0.2">
      <c r="A33" s="346" t="s">
        <v>715</v>
      </c>
      <c r="B33" s="346"/>
      <c r="C33" s="510">
        <v>344.6</v>
      </c>
      <c r="D33" s="352">
        <f>MAR!BL58</f>
        <v>381.8</v>
      </c>
      <c r="E33" s="353"/>
      <c r="F33" s="352">
        <f>C33-D33</f>
        <v>-37.199999999999989</v>
      </c>
      <c r="G33" s="354">
        <f t="shared" si="0"/>
        <v>-9.7433211105290685E-2</v>
      </c>
      <c r="H33" s="346"/>
      <c r="I33" s="351">
        <v>344.6</v>
      </c>
      <c r="J33" s="353"/>
      <c r="K33" s="352"/>
      <c r="L33" s="1289"/>
      <c r="M33" s="346"/>
      <c r="N33" s="346"/>
      <c r="O33" s="346"/>
      <c r="P33" s="346"/>
      <c r="Q33" s="346"/>
      <c r="R33" s="346"/>
      <c r="S33" s="346"/>
      <c r="T33" s="346"/>
      <c r="U33" s="346"/>
      <c r="V33" s="345"/>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c r="AV33" s="345"/>
      <c r="AW33" s="345"/>
    </row>
    <row r="34" spans="1:49" ht="13.5" customHeight="1" x14ac:dyDescent="0.2">
      <c r="A34" s="355" t="s">
        <v>1595</v>
      </c>
      <c r="B34" s="356"/>
      <c r="C34" s="483">
        <f>C32/C33</f>
        <v>0.30178352662933045</v>
      </c>
      <c r="D34" s="484">
        <f>D32/D33</f>
        <v>-0.18751333837766526</v>
      </c>
      <c r="E34" s="357"/>
      <c r="F34" s="484">
        <f>C34-D34</f>
        <v>0.48929686500699571</v>
      </c>
      <c r="G34" s="358">
        <f t="shared" si="0"/>
        <v>-2.6093976526700029</v>
      </c>
      <c r="H34" s="359"/>
      <c r="I34" s="483">
        <f>I32/I33</f>
        <v>0</v>
      </c>
      <c r="J34" s="357"/>
      <c r="K34" s="484">
        <f>C34-I34</f>
        <v>0.30178352662933045</v>
      </c>
      <c r="L34" s="360" t="str">
        <f>IF(I34=0,"NM",C34/I34-1)</f>
        <v>NM</v>
      </c>
      <c r="M34" s="346"/>
      <c r="N34" s="1145">
        <v>0.28999999999999998</v>
      </c>
      <c r="O34" s="1145"/>
      <c r="P34" s="346"/>
      <c r="Q34" s="346"/>
      <c r="R34" s="346"/>
      <c r="S34" s="346"/>
      <c r="T34" s="346"/>
      <c r="U34" s="346"/>
      <c r="V34" s="345"/>
      <c r="W34" s="345"/>
      <c r="X34" s="345"/>
      <c r="Y34" s="345"/>
      <c r="Z34" s="345"/>
      <c r="AA34" s="345"/>
      <c r="AB34" s="345"/>
      <c r="AC34" s="345"/>
      <c r="AD34" s="345"/>
      <c r="AE34" s="345"/>
      <c r="AF34" s="345"/>
      <c r="AG34" s="345"/>
      <c r="AH34" s="345"/>
      <c r="AI34" s="345"/>
      <c r="AJ34" s="345"/>
      <c r="AK34" s="345"/>
      <c r="AL34" s="345"/>
      <c r="AM34" s="345"/>
      <c r="AN34" s="345"/>
      <c r="AO34" s="345"/>
      <c r="AP34" s="345"/>
      <c r="AQ34" s="345"/>
      <c r="AR34" s="345"/>
      <c r="AS34" s="345"/>
      <c r="AT34" s="345"/>
      <c r="AU34" s="345"/>
      <c r="AV34" s="345"/>
      <c r="AW34" s="345"/>
    </row>
    <row r="35" spans="1:49" ht="13.5" customHeight="1" x14ac:dyDescent="0.2">
      <c r="A35" s="346"/>
      <c r="B35" s="346"/>
      <c r="C35" s="351"/>
      <c r="D35" s="352"/>
      <c r="E35" s="353"/>
      <c r="F35" s="352"/>
      <c r="G35" s="354"/>
      <c r="H35" s="346"/>
      <c r="I35" s="351"/>
      <c r="J35" s="353"/>
      <c r="K35" s="352"/>
      <c r="L35" s="1289"/>
      <c r="M35" s="346"/>
      <c r="N35" s="346"/>
      <c r="O35" s="346"/>
      <c r="P35" s="346"/>
      <c r="Q35" s="346"/>
      <c r="R35" s="346"/>
      <c r="S35" s="346"/>
      <c r="T35" s="346"/>
      <c r="U35" s="346"/>
      <c r="V35" s="345"/>
      <c r="W35" s="345"/>
      <c r="X35" s="345"/>
      <c r="Y35" s="345"/>
      <c r="Z35" s="345"/>
      <c r="AA35" s="345"/>
      <c r="AB35" s="345"/>
      <c r="AC35" s="345"/>
      <c r="AD35" s="345"/>
      <c r="AE35" s="345"/>
      <c r="AF35" s="345"/>
      <c r="AG35" s="345"/>
      <c r="AH35" s="345"/>
      <c r="AI35" s="345"/>
      <c r="AJ35" s="345"/>
      <c r="AK35" s="345"/>
      <c r="AL35" s="345"/>
      <c r="AM35" s="345"/>
      <c r="AN35" s="345"/>
      <c r="AO35" s="345"/>
      <c r="AP35" s="345"/>
      <c r="AQ35" s="345"/>
      <c r="AR35" s="345"/>
      <c r="AS35" s="345"/>
      <c r="AT35" s="345"/>
      <c r="AU35" s="345"/>
      <c r="AV35" s="345"/>
      <c r="AW35" s="345"/>
    </row>
    <row r="36" spans="1:49" ht="13.5" customHeight="1" x14ac:dyDescent="0.2">
      <c r="A36" s="1295" t="s">
        <v>220</v>
      </c>
      <c r="B36" s="418"/>
      <c r="C36" s="617"/>
      <c r="D36" s="424"/>
      <c r="E36" s="464"/>
      <c r="F36" s="464"/>
      <c r="G36" s="457"/>
      <c r="H36" s="477"/>
      <c r="I36" s="617"/>
      <c r="J36" s="464"/>
      <c r="K36" s="464"/>
      <c r="L36" s="465"/>
      <c r="M36" s="346"/>
      <c r="N36" s="345"/>
      <c r="O36" s="345"/>
      <c r="P36" s="345"/>
      <c r="Q36" s="345"/>
      <c r="R36" s="345"/>
      <c r="S36" s="345"/>
      <c r="T36" s="345"/>
      <c r="U36" s="346"/>
      <c r="V36" s="345"/>
      <c r="W36" s="345"/>
      <c r="X36" s="345"/>
      <c r="Y36" s="345"/>
      <c r="Z36" s="345"/>
      <c r="AA36" s="345"/>
      <c r="AB36" s="345"/>
      <c r="AC36" s="345"/>
      <c r="AD36" s="345"/>
      <c r="AE36" s="345"/>
      <c r="AF36" s="345"/>
      <c r="AG36" s="345"/>
      <c r="AH36" s="345"/>
      <c r="AI36" s="345"/>
      <c r="AJ36" s="345"/>
      <c r="AK36" s="345"/>
      <c r="AL36" s="345"/>
      <c r="AM36" s="345"/>
      <c r="AN36" s="345"/>
      <c r="AO36" s="345"/>
      <c r="AP36" s="345"/>
      <c r="AQ36" s="345"/>
      <c r="AR36" s="345"/>
      <c r="AS36" s="345"/>
      <c r="AT36" s="345"/>
      <c r="AU36" s="345"/>
      <c r="AV36" s="345"/>
      <c r="AW36" s="345"/>
    </row>
    <row r="37" spans="1:49" ht="13.5" customHeight="1" x14ac:dyDescent="0.2">
      <c r="A37" s="230" t="s">
        <v>221</v>
      </c>
      <c r="B37" s="421"/>
      <c r="C37" s="522">
        <f>C19</f>
        <v>204</v>
      </c>
      <c r="D37" s="464">
        <f>D19</f>
        <v>503</v>
      </c>
      <c r="E37" s="1139"/>
      <c r="F37" s="1140">
        <f t="shared" ref="F37:F44" si="1">C37-D37</f>
        <v>-299</v>
      </c>
      <c r="G37" s="482">
        <f t="shared" ref="G37:G45" si="2">IF(D37=0,0,C37/D37-1)</f>
        <v>-0.59443339960238561</v>
      </c>
      <c r="H37" s="421"/>
      <c r="I37" s="522">
        <f>I19</f>
        <v>350</v>
      </c>
      <c r="J37" s="534"/>
      <c r="K37" s="1140">
        <f t="shared" ref="K37:K45" si="3">C37-I37</f>
        <v>-146</v>
      </c>
      <c r="L37" s="1292">
        <f t="shared" ref="L37:L45" si="4">IF(I37=0,"NM",C37/I37-1)</f>
        <v>-0.41714285714285715</v>
      </c>
      <c r="M37" s="346"/>
      <c r="N37" s="345"/>
      <c r="O37" s="345"/>
      <c r="P37" s="345"/>
      <c r="Q37" s="345"/>
      <c r="R37" s="345"/>
      <c r="S37" s="345"/>
      <c r="T37" s="345"/>
      <c r="U37" s="346"/>
      <c r="V37" s="345"/>
      <c r="W37" s="345"/>
      <c r="X37" s="345"/>
      <c r="Y37" s="345"/>
      <c r="Z37" s="345"/>
      <c r="AA37" s="345"/>
      <c r="AB37" s="345"/>
      <c r="AC37" s="345"/>
      <c r="AD37" s="345"/>
      <c r="AE37" s="345"/>
      <c r="AF37" s="345"/>
      <c r="AG37" s="345"/>
      <c r="AH37" s="345"/>
      <c r="AI37" s="345"/>
      <c r="AJ37" s="345"/>
      <c r="AK37" s="345"/>
      <c r="AL37" s="345"/>
      <c r="AM37" s="345"/>
      <c r="AN37" s="345"/>
      <c r="AO37" s="345"/>
      <c r="AP37" s="345"/>
      <c r="AQ37" s="345"/>
      <c r="AR37" s="345"/>
      <c r="AS37" s="345"/>
      <c r="AT37" s="345"/>
      <c r="AU37" s="345"/>
      <c r="AV37" s="345"/>
      <c r="AW37" s="345"/>
    </row>
    <row r="38" spans="1:49" ht="13.5" customHeight="1" x14ac:dyDescent="0.2">
      <c r="A38" s="923" t="s">
        <v>716</v>
      </c>
      <c r="B38" s="418"/>
      <c r="C38" s="644">
        <f>C26</f>
        <v>-1</v>
      </c>
      <c r="D38" s="423">
        <f>MAR!BL76</f>
        <v>-4</v>
      </c>
      <c r="E38" s="472"/>
      <c r="F38" s="352">
        <f t="shared" si="1"/>
        <v>3</v>
      </c>
      <c r="G38" s="354">
        <f t="shared" si="2"/>
        <v>-0.75</v>
      </c>
      <c r="H38" s="418"/>
      <c r="I38" s="616">
        <v>491</v>
      </c>
      <c r="J38" s="471"/>
      <c r="K38" s="352">
        <f t="shared" si="3"/>
        <v>-492</v>
      </c>
      <c r="L38" s="1289">
        <f t="shared" si="4"/>
        <v>-1.0020366598778003</v>
      </c>
      <c r="M38" s="346"/>
      <c r="N38" s="345"/>
      <c r="O38" s="345"/>
      <c r="P38" s="345"/>
      <c r="Q38" s="345"/>
      <c r="R38" s="345"/>
      <c r="S38" s="345"/>
      <c r="T38" s="345"/>
      <c r="U38" s="346"/>
      <c r="V38" s="345"/>
      <c r="W38" s="345"/>
      <c r="X38" s="345"/>
      <c r="Y38" s="345"/>
      <c r="Z38" s="345"/>
      <c r="AA38" s="345"/>
      <c r="AB38" s="345"/>
      <c r="AC38" s="345"/>
      <c r="AD38" s="345"/>
      <c r="AE38" s="345"/>
      <c r="AF38" s="345"/>
      <c r="AG38" s="345"/>
      <c r="AH38" s="345"/>
      <c r="AI38" s="345"/>
      <c r="AJ38" s="345"/>
      <c r="AK38" s="345"/>
      <c r="AL38" s="345"/>
      <c r="AM38" s="345"/>
      <c r="AN38" s="345"/>
      <c r="AO38" s="345"/>
      <c r="AP38" s="345"/>
      <c r="AQ38" s="345"/>
      <c r="AR38" s="345"/>
      <c r="AS38" s="345"/>
      <c r="AT38" s="345"/>
      <c r="AU38" s="345"/>
      <c r="AV38" s="345"/>
      <c r="AW38" s="345"/>
    </row>
    <row r="39" spans="1:49" ht="13.5" customHeight="1" x14ac:dyDescent="0.2">
      <c r="A39" s="923" t="s">
        <v>717</v>
      </c>
      <c r="B39" s="418"/>
      <c r="C39" s="644">
        <v>4</v>
      </c>
      <c r="D39" s="423">
        <f>MAR!BL77</f>
        <v>4</v>
      </c>
      <c r="E39" s="472"/>
      <c r="F39" s="352">
        <f t="shared" si="1"/>
        <v>0</v>
      </c>
      <c r="G39" s="354">
        <f t="shared" si="2"/>
        <v>0</v>
      </c>
      <c r="H39" s="418"/>
      <c r="I39" s="616">
        <v>11283</v>
      </c>
      <c r="J39" s="471"/>
      <c r="K39" s="352">
        <f t="shared" si="3"/>
        <v>-11279</v>
      </c>
      <c r="L39" s="1289">
        <f t="shared" si="4"/>
        <v>-0.99964548435699729</v>
      </c>
      <c r="M39" s="346"/>
      <c r="N39" s="345"/>
      <c r="O39" s="345"/>
      <c r="P39" s="345"/>
      <c r="Q39" s="345"/>
      <c r="R39" s="345"/>
      <c r="S39" s="345"/>
      <c r="T39" s="345"/>
      <c r="U39" s="346"/>
      <c r="V39" s="345"/>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c r="AV39" s="345"/>
      <c r="AW39" s="345"/>
    </row>
    <row r="40" spans="1:49" ht="13.5" customHeight="1" x14ac:dyDescent="0.2">
      <c r="A40" s="923" t="s">
        <v>718</v>
      </c>
      <c r="B40" s="418"/>
      <c r="C40" s="644">
        <v>6</v>
      </c>
      <c r="D40" s="423">
        <f>MAR!BL78</f>
        <v>6</v>
      </c>
      <c r="E40" s="424"/>
      <c r="F40" s="352">
        <f t="shared" si="1"/>
        <v>0</v>
      </c>
      <c r="G40" s="354">
        <f t="shared" si="2"/>
        <v>0</v>
      </c>
      <c r="H40" s="477"/>
      <c r="I40" s="616">
        <v>6040.5</v>
      </c>
      <c r="J40" s="365"/>
      <c r="K40" s="352">
        <f t="shared" si="3"/>
        <v>-6034.5</v>
      </c>
      <c r="L40" s="1289">
        <f t="shared" si="4"/>
        <v>-0.99900670474298481</v>
      </c>
      <c r="M40" s="346"/>
      <c r="N40" s="345"/>
      <c r="O40" s="345"/>
      <c r="P40" s="345"/>
      <c r="Q40" s="345"/>
      <c r="R40" s="345"/>
      <c r="S40" s="345"/>
      <c r="T40" s="345"/>
      <c r="U40" s="346"/>
      <c r="V40" s="345"/>
      <c r="W40" s="345"/>
      <c r="X40" s="345"/>
      <c r="Y40" s="345"/>
      <c r="Z40" s="345"/>
      <c r="AA40" s="345"/>
      <c r="AB40" s="345"/>
      <c r="AC40" s="345"/>
      <c r="AD40" s="345"/>
      <c r="AE40" s="345"/>
      <c r="AF40" s="345"/>
      <c r="AG40" s="345"/>
      <c r="AH40" s="345"/>
      <c r="AI40" s="345"/>
      <c r="AJ40" s="345"/>
      <c r="AK40" s="345"/>
      <c r="AL40" s="345"/>
      <c r="AM40" s="345"/>
      <c r="AN40" s="345"/>
      <c r="AO40" s="345"/>
      <c r="AP40" s="345"/>
      <c r="AQ40" s="345"/>
      <c r="AR40" s="345"/>
      <c r="AS40" s="345"/>
      <c r="AT40" s="345"/>
      <c r="AU40" s="345"/>
      <c r="AV40" s="345"/>
      <c r="AW40" s="345"/>
    </row>
    <row r="41" spans="1:49" ht="13.5" customHeight="1" x14ac:dyDescent="0.2">
      <c r="A41" s="923" t="s">
        <v>719</v>
      </c>
      <c r="B41" s="418"/>
      <c r="C41" s="616">
        <f>C24</f>
        <v>4</v>
      </c>
      <c r="D41" s="423">
        <f>MAR!BL79</f>
        <v>7</v>
      </c>
      <c r="E41" s="472"/>
      <c r="F41" s="352">
        <f t="shared" si="1"/>
        <v>-3</v>
      </c>
      <c r="G41" s="354">
        <f t="shared" si="2"/>
        <v>-0.4285714285714286</v>
      </c>
      <c r="H41" s="418"/>
      <c r="I41" s="616">
        <v>-814.5</v>
      </c>
      <c r="J41" s="471"/>
      <c r="K41" s="352">
        <f t="shared" si="3"/>
        <v>818.5</v>
      </c>
      <c r="L41" s="1289">
        <f t="shared" si="4"/>
        <v>-1.0049109883364027</v>
      </c>
      <c r="M41" s="346"/>
      <c r="N41" s="345"/>
      <c r="O41" s="345"/>
      <c r="P41" s="345"/>
      <c r="Q41" s="345"/>
      <c r="R41" s="345"/>
      <c r="S41" s="345"/>
      <c r="T41" s="345"/>
      <c r="U41" s="346"/>
      <c r="V41" s="345"/>
      <c r="W41" s="345"/>
      <c r="X41" s="345"/>
      <c r="Y41" s="345"/>
      <c r="Z41" s="345"/>
      <c r="AA41" s="345"/>
      <c r="AB41" s="345"/>
      <c r="AC41" s="345"/>
      <c r="AD41" s="345"/>
      <c r="AE41" s="345"/>
      <c r="AF41" s="345"/>
      <c r="AG41" s="345"/>
      <c r="AH41" s="345"/>
      <c r="AI41" s="345"/>
      <c r="AJ41" s="345"/>
      <c r="AK41" s="345"/>
      <c r="AL41" s="345"/>
      <c r="AM41" s="345"/>
      <c r="AN41" s="345"/>
      <c r="AO41" s="345"/>
      <c r="AP41" s="345"/>
      <c r="AQ41" s="345"/>
      <c r="AR41" s="345"/>
      <c r="AS41" s="345"/>
      <c r="AT41" s="345"/>
      <c r="AU41" s="345"/>
      <c r="AV41" s="345"/>
      <c r="AW41" s="345"/>
    </row>
    <row r="42" spans="1:49" ht="13.5" customHeight="1" x14ac:dyDescent="0.2">
      <c r="A42" s="923" t="s">
        <v>598</v>
      </c>
      <c r="B42" s="418"/>
      <c r="C42" s="644">
        <f>C25</f>
        <v>2</v>
      </c>
      <c r="D42" s="423">
        <f>MAR!BL80</f>
        <v>2</v>
      </c>
      <c r="E42" s="472"/>
      <c r="F42" s="352">
        <f t="shared" si="1"/>
        <v>0</v>
      </c>
      <c r="G42" s="354">
        <f t="shared" si="2"/>
        <v>0</v>
      </c>
      <c r="H42" s="418"/>
      <c r="I42" s="616">
        <v>0</v>
      </c>
      <c r="J42" s="471"/>
      <c r="K42" s="352">
        <f t="shared" si="3"/>
        <v>2</v>
      </c>
      <c r="L42" s="1289" t="str">
        <f t="shared" si="4"/>
        <v>NM</v>
      </c>
      <c r="M42" s="346"/>
      <c r="N42" s="345"/>
      <c r="O42" s="345"/>
      <c r="P42" s="345"/>
      <c r="Q42" s="345"/>
      <c r="R42" s="345"/>
      <c r="S42" s="345"/>
      <c r="T42" s="345"/>
      <c r="U42" s="346"/>
      <c r="V42" s="345"/>
      <c r="W42" s="345"/>
      <c r="X42" s="345"/>
      <c r="Y42" s="345"/>
      <c r="Z42" s="345"/>
      <c r="AA42" s="345"/>
      <c r="AB42" s="345"/>
      <c r="AC42" s="345"/>
      <c r="AD42" s="345"/>
      <c r="AE42" s="345"/>
      <c r="AF42" s="345"/>
      <c r="AG42" s="345"/>
      <c r="AH42" s="345"/>
      <c r="AI42" s="345"/>
      <c r="AJ42" s="345"/>
      <c r="AK42" s="345"/>
      <c r="AL42" s="345"/>
      <c r="AM42" s="345"/>
      <c r="AN42" s="345"/>
      <c r="AO42" s="345"/>
      <c r="AP42" s="345"/>
      <c r="AQ42" s="345"/>
      <c r="AR42" s="345"/>
      <c r="AS42" s="345"/>
      <c r="AT42" s="345"/>
      <c r="AU42" s="345"/>
      <c r="AV42" s="345"/>
      <c r="AW42" s="345"/>
    </row>
    <row r="43" spans="1:49" ht="13.5" customHeight="1" x14ac:dyDescent="0.2">
      <c r="A43" s="923" t="s">
        <v>720</v>
      </c>
      <c r="B43" s="418"/>
      <c r="C43" s="644">
        <v>-4</v>
      </c>
      <c r="D43" s="423">
        <f>MAR!BL81</f>
        <v>-4</v>
      </c>
      <c r="E43" s="424"/>
      <c r="F43" s="352">
        <f t="shared" si="1"/>
        <v>0</v>
      </c>
      <c r="G43" s="354">
        <f t="shared" si="2"/>
        <v>0</v>
      </c>
      <c r="H43" s="477"/>
      <c r="I43" s="616">
        <v>0</v>
      </c>
      <c r="J43" s="365"/>
      <c r="K43" s="352">
        <f t="shared" si="3"/>
        <v>-4</v>
      </c>
      <c r="L43" s="1289" t="str">
        <f t="shared" si="4"/>
        <v>NM</v>
      </c>
      <c r="M43" s="346"/>
      <c r="N43" s="345"/>
      <c r="O43" s="345"/>
      <c r="P43" s="345"/>
      <c r="Q43" s="345"/>
      <c r="R43" s="345"/>
      <c r="S43" s="345"/>
      <c r="T43" s="345"/>
      <c r="U43" s="346"/>
      <c r="V43" s="345"/>
      <c r="W43" s="345"/>
      <c r="X43" s="345"/>
      <c r="Y43" s="345"/>
      <c r="Z43" s="345"/>
      <c r="AA43" s="345"/>
      <c r="AB43" s="345"/>
      <c r="AC43" s="345"/>
      <c r="AD43" s="345"/>
      <c r="AE43" s="345"/>
      <c r="AF43" s="345"/>
      <c r="AG43" s="345"/>
      <c r="AH43" s="345"/>
      <c r="AI43" s="345"/>
      <c r="AJ43" s="345"/>
      <c r="AK43" s="345"/>
      <c r="AL43" s="345"/>
      <c r="AM43" s="345"/>
      <c r="AN43" s="345"/>
      <c r="AO43" s="345"/>
      <c r="AP43" s="345"/>
      <c r="AQ43" s="345"/>
      <c r="AR43" s="345"/>
      <c r="AS43" s="345"/>
      <c r="AT43" s="345"/>
      <c r="AU43" s="345"/>
      <c r="AV43" s="345"/>
      <c r="AW43" s="345"/>
    </row>
    <row r="44" spans="1:49" ht="13.5" customHeight="1" x14ac:dyDescent="0.2">
      <c r="A44" s="923" t="s">
        <v>597</v>
      </c>
      <c r="B44" s="418"/>
      <c r="C44" s="644">
        <v>0</v>
      </c>
      <c r="D44" s="423">
        <f>MAR!BL82</f>
        <v>0</v>
      </c>
      <c r="E44" s="472"/>
      <c r="F44" s="352">
        <f t="shared" si="1"/>
        <v>0</v>
      </c>
      <c r="G44" s="354">
        <f t="shared" si="2"/>
        <v>0</v>
      </c>
      <c r="H44" s="418"/>
      <c r="I44" s="616">
        <f>MAR!BQ82</f>
        <v>0</v>
      </c>
      <c r="J44" s="471"/>
      <c r="K44" s="352">
        <f t="shared" si="3"/>
        <v>0</v>
      </c>
      <c r="L44" s="1289" t="str">
        <f t="shared" si="4"/>
        <v>NM</v>
      </c>
      <c r="M44" s="346"/>
      <c r="N44" s="345"/>
      <c r="O44" s="345"/>
      <c r="P44" s="345"/>
      <c r="Q44" s="345"/>
      <c r="R44" s="345"/>
      <c r="S44" s="345"/>
      <c r="T44" s="345"/>
      <c r="U44" s="346"/>
      <c r="V44" s="345"/>
      <c r="W44" s="345"/>
      <c r="X44" s="345"/>
      <c r="Y44" s="345"/>
      <c r="Z44" s="345"/>
      <c r="AA44" s="345"/>
      <c r="AB44" s="345"/>
      <c r="AC44" s="345"/>
      <c r="AD44" s="345"/>
      <c r="AE44" s="345"/>
      <c r="AF44" s="345"/>
      <c r="AG44" s="345"/>
      <c r="AH44" s="345"/>
      <c r="AI44" s="345"/>
      <c r="AJ44" s="345"/>
      <c r="AK44" s="345"/>
      <c r="AL44" s="345"/>
      <c r="AM44" s="345"/>
      <c r="AN44" s="345"/>
      <c r="AO44" s="345"/>
      <c r="AP44" s="345"/>
      <c r="AQ44" s="345"/>
      <c r="AR44" s="345"/>
      <c r="AS44" s="345"/>
      <c r="AT44" s="345"/>
      <c r="AU44" s="345"/>
      <c r="AV44" s="345"/>
      <c r="AW44" s="345"/>
    </row>
    <row r="45" spans="1:49" ht="13.5" customHeight="1" x14ac:dyDescent="0.2">
      <c r="A45" s="355" t="s">
        <v>1197</v>
      </c>
      <c r="B45" s="356"/>
      <c r="C45" s="1129">
        <f>SUM(C37:C44)</f>
        <v>215</v>
      </c>
      <c r="D45" s="357">
        <f>SUM(D37:D44)</f>
        <v>514</v>
      </c>
      <c r="E45" s="357"/>
      <c r="F45" s="357">
        <f>SUM(F37:F44)</f>
        <v>-299</v>
      </c>
      <c r="G45" s="358">
        <f t="shared" si="2"/>
        <v>-0.58171206225680927</v>
      </c>
      <c r="H45" s="359"/>
      <c r="I45" s="1129">
        <f>SUM(I37:I44)</f>
        <v>17350</v>
      </c>
      <c r="J45" s="357"/>
      <c r="K45" s="357">
        <f t="shared" si="3"/>
        <v>-17135</v>
      </c>
      <c r="L45" s="360">
        <f t="shared" si="4"/>
        <v>-0.98760806916426513</v>
      </c>
      <c r="M45" s="346"/>
      <c r="N45" s="1144">
        <v>215.65</v>
      </c>
      <c r="O45" s="1144"/>
      <c r="P45" s="345"/>
      <c r="Q45" s="345"/>
      <c r="R45" s="345"/>
      <c r="S45" s="345"/>
      <c r="T45" s="345"/>
      <c r="U45" s="346"/>
      <c r="V45" s="345"/>
      <c r="W45" s="345"/>
      <c r="X45" s="345"/>
      <c r="Y45" s="345"/>
      <c r="Z45" s="345"/>
      <c r="AA45" s="345"/>
      <c r="AB45" s="345"/>
      <c r="AC45" s="345"/>
      <c r="AD45" s="345"/>
      <c r="AE45" s="345"/>
      <c r="AF45" s="345"/>
      <c r="AG45" s="345"/>
      <c r="AH45" s="345"/>
      <c r="AI45" s="345"/>
      <c r="AJ45" s="345"/>
      <c r="AK45" s="345"/>
      <c r="AL45" s="345"/>
      <c r="AM45" s="345"/>
      <c r="AN45" s="345"/>
      <c r="AO45" s="345"/>
      <c r="AP45" s="345"/>
      <c r="AQ45" s="345"/>
      <c r="AR45" s="345"/>
      <c r="AS45" s="345"/>
      <c r="AT45" s="345"/>
      <c r="AU45" s="345"/>
      <c r="AV45" s="345"/>
      <c r="AW45" s="345"/>
    </row>
    <row r="46" spans="1:49" ht="13.5" customHeight="1" x14ac:dyDescent="0.2">
      <c r="A46" s="418"/>
      <c r="B46" s="418"/>
      <c r="C46" s="1161"/>
      <c r="D46" s="418"/>
      <c r="E46" s="418"/>
      <c r="F46" s="418"/>
      <c r="G46" s="462"/>
      <c r="H46" s="418"/>
      <c r="I46" s="1161"/>
      <c r="J46" s="418"/>
      <c r="K46" s="418"/>
      <c r="L46" s="478"/>
      <c r="M46" s="346"/>
      <c r="N46" s="345"/>
      <c r="O46" s="345"/>
      <c r="P46" s="344"/>
      <c r="Q46" s="345"/>
      <c r="R46" s="345"/>
      <c r="S46" s="345"/>
      <c r="T46" s="345"/>
      <c r="U46" s="346"/>
      <c r="V46" s="345"/>
      <c r="W46" s="345"/>
      <c r="X46" s="345"/>
      <c r="Y46" s="345"/>
      <c r="Z46" s="345"/>
      <c r="AA46" s="345"/>
      <c r="AB46" s="345"/>
      <c r="AC46" s="345"/>
      <c r="AD46" s="345"/>
      <c r="AE46" s="345"/>
      <c r="AF46" s="345"/>
      <c r="AG46" s="345"/>
      <c r="AH46" s="345"/>
      <c r="AI46" s="345"/>
      <c r="AJ46" s="345"/>
      <c r="AK46" s="345"/>
      <c r="AL46" s="345"/>
      <c r="AM46" s="345"/>
      <c r="AN46" s="345"/>
      <c r="AO46" s="345"/>
      <c r="AP46" s="345"/>
      <c r="AQ46" s="345"/>
      <c r="AR46" s="345"/>
      <c r="AS46" s="345"/>
      <c r="AT46" s="345"/>
      <c r="AU46" s="345"/>
      <c r="AV46" s="345"/>
      <c r="AW46" s="345"/>
    </row>
    <row r="47" spans="1:49" ht="13.5" customHeight="1" x14ac:dyDescent="0.2">
      <c r="A47" s="418"/>
      <c r="B47" s="418"/>
      <c r="C47" s="1161"/>
      <c r="D47" s="418"/>
      <c r="E47" s="418"/>
      <c r="F47" s="418"/>
      <c r="G47" s="462"/>
      <c r="H47" s="418"/>
      <c r="I47" s="1161"/>
      <c r="J47" s="418"/>
      <c r="K47" s="418"/>
      <c r="L47" s="478"/>
      <c r="M47" s="346"/>
      <c r="N47" s="345"/>
      <c r="O47" s="345"/>
      <c r="P47" s="344"/>
      <c r="Q47" s="345"/>
      <c r="R47" s="345"/>
      <c r="S47" s="345"/>
      <c r="T47" s="345"/>
      <c r="U47" s="346"/>
      <c r="V47" s="345"/>
      <c r="W47" s="345"/>
      <c r="X47" s="345"/>
      <c r="Y47" s="345"/>
      <c r="Z47" s="345"/>
      <c r="AA47" s="345"/>
      <c r="AB47" s="345"/>
      <c r="AC47" s="345"/>
      <c r="AD47" s="345"/>
      <c r="AE47" s="345"/>
      <c r="AF47" s="345"/>
      <c r="AG47" s="345"/>
      <c r="AH47" s="345"/>
      <c r="AI47" s="345"/>
      <c r="AJ47" s="345"/>
      <c r="AK47" s="345"/>
      <c r="AL47" s="345"/>
      <c r="AM47" s="345"/>
      <c r="AN47" s="345"/>
      <c r="AO47" s="345"/>
      <c r="AP47" s="345"/>
      <c r="AQ47" s="345"/>
      <c r="AR47" s="345"/>
      <c r="AS47" s="345"/>
      <c r="AT47" s="345"/>
      <c r="AU47" s="345"/>
      <c r="AV47" s="345"/>
      <c r="AW47" s="345"/>
    </row>
    <row r="48" spans="1:49" ht="13.5" customHeight="1" x14ac:dyDescent="0.2">
      <c r="A48" s="1164" t="s">
        <v>2244</v>
      </c>
      <c r="B48" s="1147"/>
      <c r="C48" s="822"/>
      <c r="D48" s="1147"/>
      <c r="E48" s="1147"/>
      <c r="F48" s="1147"/>
      <c r="G48" s="1148"/>
      <c r="H48" s="1147"/>
      <c r="I48" s="822"/>
      <c r="J48" s="1147"/>
      <c r="K48" s="1147"/>
      <c r="L48" s="1149"/>
      <c r="M48" s="346"/>
      <c r="N48" s="345"/>
      <c r="O48" s="345"/>
      <c r="U48" s="346"/>
      <c r="V48" s="345"/>
      <c r="W48" s="345"/>
      <c r="X48" s="345"/>
      <c r="Y48" s="345"/>
      <c r="Z48" s="345"/>
      <c r="AA48" s="345"/>
      <c r="AB48" s="345"/>
      <c r="AC48" s="345"/>
      <c r="AD48" s="345"/>
      <c r="AE48" s="345"/>
      <c r="AF48" s="345"/>
      <c r="AG48" s="345"/>
      <c r="AH48" s="345"/>
      <c r="AI48" s="345"/>
      <c r="AJ48" s="345"/>
      <c r="AK48" s="345"/>
      <c r="AL48" s="345"/>
      <c r="AM48" s="345"/>
      <c r="AN48" s="345"/>
      <c r="AO48" s="345"/>
      <c r="AP48" s="345"/>
      <c r="AQ48" s="345"/>
      <c r="AR48" s="345"/>
      <c r="AS48" s="345"/>
      <c r="AT48" s="345"/>
      <c r="AU48" s="345"/>
      <c r="AV48" s="345"/>
      <c r="AW48" s="345"/>
    </row>
    <row r="49" spans="1:49" ht="13.5" customHeight="1" x14ac:dyDescent="0.2">
      <c r="A49" s="1150" t="s">
        <v>1512</v>
      </c>
      <c r="B49" s="418"/>
      <c r="C49" s="1395">
        <v>124</v>
      </c>
      <c r="D49" s="458">
        <f>MAR!BL223</f>
        <v>120</v>
      </c>
      <c r="E49" s="418"/>
      <c r="F49" s="532">
        <f>C49-D49</f>
        <v>4</v>
      </c>
      <c r="G49" s="354">
        <f>IF(D49=0,0,C49/D49-1)</f>
        <v>3.3333333333333437E-2</v>
      </c>
      <c r="H49" s="418"/>
      <c r="I49" s="1162">
        <v>3.5000000000000003E-2</v>
      </c>
      <c r="J49" s="418"/>
      <c r="K49" s="532">
        <f>C49-I49</f>
        <v>123.965</v>
      </c>
      <c r="L49" s="1151">
        <f>IF(I49=0,"NM",C49/I49-1)</f>
        <v>3541.8571428571427</v>
      </c>
      <c r="M49" s="346"/>
      <c r="N49" s="345"/>
      <c r="O49" s="345"/>
      <c r="U49" s="346"/>
      <c r="V49" s="345"/>
      <c r="W49" s="345"/>
      <c r="X49" s="345"/>
      <c r="Y49" s="345"/>
      <c r="Z49" s="345"/>
      <c r="AA49" s="345"/>
      <c r="AB49" s="345"/>
      <c r="AC49" s="345"/>
      <c r="AD49" s="345"/>
      <c r="AE49" s="345"/>
      <c r="AF49" s="345"/>
      <c r="AG49" s="345"/>
      <c r="AH49" s="345"/>
      <c r="AI49" s="345"/>
      <c r="AJ49" s="345"/>
      <c r="AK49" s="345"/>
      <c r="AL49" s="345"/>
      <c r="AM49" s="345"/>
      <c r="AN49" s="345"/>
      <c r="AO49" s="345"/>
      <c r="AP49" s="345"/>
      <c r="AQ49" s="345"/>
      <c r="AR49" s="345"/>
      <c r="AS49" s="345"/>
      <c r="AT49" s="345"/>
      <c r="AU49" s="345"/>
      <c r="AV49" s="345"/>
      <c r="AW49" s="345"/>
    </row>
    <row r="50" spans="1:49" ht="13.5" customHeight="1" x14ac:dyDescent="0.2">
      <c r="A50" s="1150" t="s">
        <v>2163</v>
      </c>
      <c r="B50" s="418"/>
      <c r="C50" s="1368">
        <v>126</v>
      </c>
      <c r="D50" s="418">
        <f>MAR!BL228</f>
        <v>117</v>
      </c>
      <c r="E50" s="418"/>
      <c r="F50" s="528">
        <f>C50-D50</f>
        <v>9</v>
      </c>
      <c r="G50" s="354">
        <f>IF(D50=0,0,C50/D50-1)</f>
        <v>7.6923076923076872E-2</v>
      </c>
      <c r="H50" s="418"/>
      <c r="I50" s="1377">
        <v>1.9999999999999948E-3</v>
      </c>
      <c r="J50" s="418"/>
      <c r="K50" s="528">
        <f>C50-I50</f>
        <v>125.998</v>
      </c>
      <c r="L50" s="1151">
        <f>IF(I50=0,"NM",C50/I50-1)</f>
        <v>62999.00000000016</v>
      </c>
      <c r="M50" s="346"/>
      <c r="N50" s="345"/>
      <c r="O50" s="345"/>
      <c r="P50" s="563"/>
      <c r="Q50" s="564"/>
      <c r="R50" s="345"/>
      <c r="S50" s="345"/>
      <c r="U50" s="346"/>
      <c r="V50" s="345"/>
      <c r="W50" s="345"/>
      <c r="X50" s="345"/>
      <c r="Y50" s="345"/>
      <c r="Z50" s="345"/>
      <c r="AA50" s="345"/>
      <c r="AB50" s="345"/>
      <c r="AC50" s="345"/>
      <c r="AD50" s="345"/>
      <c r="AE50" s="345"/>
      <c r="AF50" s="345"/>
      <c r="AG50" s="345"/>
      <c r="AH50" s="345"/>
      <c r="AI50" s="345"/>
      <c r="AJ50" s="345"/>
      <c r="AK50" s="345"/>
      <c r="AL50" s="345"/>
      <c r="AM50" s="345"/>
      <c r="AN50" s="345"/>
      <c r="AO50" s="345"/>
      <c r="AP50" s="345"/>
      <c r="AQ50" s="345"/>
      <c r="AR50" s="345"/>
      <c r="AS50" s="345"/>
      <c r="AT50" s="345"/>
      <c r="AU50" s="345"/>
      <c r="AV50" s="345"/>
      <c r="AW50" s="345"/>
    </row>
    <row r="51" spans="1:49" ht="13.5" customHeight="1" x14ac:dyDescent="0.2">
      <c r="A51" s="1150" t="s">
        <v>126</v>
      </c>
      <c r="B51" s="418"/>
      <c r="C51" s="978">
        <v>50</v>
      </c>
      <c r="D51" s="221">
        <f>MAR!BL234</f>
        <v>42</v>
      </c>
      <c r="E51" s="1402"/>
      <c r="F51" s="221">
        <f>C51-D51</f>
        <v>8</v>
      </c>
      <c r="G51" s="1135">
        <f>IF(D51=0,0,C51/D51-1)</f>
        <v>0.19047619047619047</v>
      </c>
      <c r="H51" s="1403"/>
      <c r="I51" s="966">
        <v>0.14000000000000001</v>
      </c>
      <c r="J51" s="1402"/>
      <c r="K51" s="221">
        <f>C51-I51</f>
        <v>49.86</v>
      </c>
      <c r="L51" s="1405">
        <f>IF(I51=0,"NM",C51/I51-1)</f>
        <v>356.14285714285711</v>
      </c>
      <c r="M51" s="1404"/>
      <c r="N51" s="345"/>
      <c r="O51" s="345"/>
      <c r="U51" s="346"/>
      <c r="V51" s="345"/>
      <c r="W51" s="345"/>
      <c r="X51" s="345"/>
      <c r="Y51" s="345"/>
      <c r="Z51" s="345"/>
      <c r="AA51" s="345"/>
      <c r="AB51" s="345"/>
      <c r="AC51" s="345"/>
      <c r="AD51" s="345"/>
      <c r="AE51" s="345"/>
      <c r="AF51" s="345"/>
      <c r="AG51" s="345"/>
      <c r="AH51" s="345"/>
      <c r="AI51" s="345"/>
      <c r="AJ51" s="345"/>
      <c r="AK51" s="345"/>
      <c r="AL51" s="345"/>
      <c r="AM51" s="345"/>
      <c r="AN51" s="345"/>
      <c r="AO51" s="345"/>
      <c r="AP51" s="345"/>
      <c r="AQ51" s="345"/>
      <c r="AR51" s="345"/>
      <c r="AS51" s="345"/>
      <c r="AT51" s="345"/>
      <c r="AU51" s="345"/>
      <c r="AV51" s="345"/>
      <c r="AW51" s="345"/>
    </row>
    <row r="52" spans="1:49" ht="13.5" customHeight="1" x14ac:dyDescent="0.2">
      <c r="A52" s="1152" t="s">
        <v>1735</v>
      </c>
      <c r="B52" s="820"/>
      <c r="C52" s="1163">
        <f>SUM(C49:C51)</f>
        <v>300</v>
      </c>
      <c r="D52" s="1157">
        <f>SUM(D49:D51)</f>
        <v>279</v>
      </c>
      <c r="E52" s="1158"/>
      <c r="F52" s="1159">
        <f>C52-D52</f>
        <v>21</v>
      </c>
      <c r="G52" s="1153">
        <f>IF(D52=0,0,C52/D52-1)</f>
        <v>7.5268817204301008E-2</v>
      </c>
      <c r="H52" s="820"/>
      <c r="I52" s="1163">
        <f>SUM(I49:I51)</f>
        <v>0.17700000000000002</v>
      </c>
      <c r="J52" s="1158"/>
      <c r="K52" s="1159">
        <f>C52-I52</f>
        <v>299.82299999999998</v>
      </c>
      <c r="L52" s="1385">
        <f>IF(I52=0,"NM",C52/I52-1)</f>
        <v>1693.9152542372879</v>
      </c>
      <c r="M52" s="346"/>
      <c r="N52" s="345"/>
      <c r="O52" s="345"/>
      <c r="P52" s="565"/>
      <c r="Q52" s="371"/>
      <c r="R52" s="345"/>
      <c r="S52" s="345"/>
      <c r="T52" s="345"/>
      <c r="U52" s="346"/>
      <c r="V52" s="345"/>
      <c r="W52" s="345"/>
      <c r="X52" s="345"/>
      <c r="Y52" s="345"/>
      <c r="Z52" s="345"/>
      <c r="AA52" s="345"/>
      <c r="AB52" s="345"/>
      <c r="AC52" s="345"/>
      <c r="AD52" s="345"/>
      <c r="AE52" s="345"/>
      <c r="AF52" s="345"/>
      <c r="AG52" s="345"/>
      <c r="AH52" s="345"/>
      <c r="AI52" s="345"/>
      <c r="AJ52" s="345"/>
      <c r="AK52" s="345"/>
      <c r="AL52" s="345"/>
      <c r="AM52" s="345"/>
      <c r="AN52" s="345"/>
      <c r="AO52" s="345"/>
      <c r="AP52" s="345"/>
      <c r="AQ52" s="345"/>
      <c r="AR52" s="345"/>
      <c r="AS52" s="345"/>
      <c r="AT52" s="345"/>
      <c r="AU52" s="345"/>
      <c r="AV52" s="345"/>
      <c r="AW52" s="345"/>
    </row>
    <row r="53" spans="1:49" ht="5.25" customHeight="1" x14ac:dyDescent="0.2">
      <c r="A53" s="418"/>
      <c r="B53" s="418"/>
      <c r="C53" s="458"/>
      <c r="D53" s="1165"/>
      <c r="E53" s="458"/>
      <c r="F53" s="532"/>
      <c r="G53" s="482"/>
      <c r="H53" s="418"/>
      <c r="I53" s="1165"/>
      <c r="J53" s="458"/>
      <c r="K53" s="364"/>
      <c r="L53" s="482"/>
      <c r="M53" s="345"/>
      <c r="N53" s="345"/>
      <c r="O53" s="345"/>
      <c r="P53" s="565"/>
      <c r="Q53" s="371"/>
      <c r="R53" s="345"/>
      <c r="S53" s="345"/>
      <c r="T53" s="345"/>
      <c r="U53" s="346"/>
      <c r="V53" s="345"/>
      <c r="W53" s="345"/>
      <c r="X53" s="345"/>
      <c r="Y53" s="345"/>
      <c r="Z53" s="345"/>
      <c r="AA53" s="345"/>
      <c r="AB53" s="345"/>
      <c r="AC53" s="345"/>
      <c r="AD53" s="345"/>
      <c r="AE53" s="345"/>
      <c r="AF53" s="345"/>
      <c r="AG53" s="345"/>
      <c r="AH53" s="345"/>
      <c r="AI53" s="345"/>
      <c r="AJ53" s="345"/>
      <c r="AK53" s="345"/>
      <c r="AL53" s="345"/>
      <c r="AM53" s="345"/>
      <c r="AN53" s="345"/>
      <c r="AO53" s="345"/>
      <c r="AP53" s="345"/>
      <c r="AQ53" s="345"/>
      <c r="AR53" s="345"/>
      <c r="AS53" s="345"/>
      <c r="AT53" s="345"/>
      <c r="AU53" s="345"/>
      <c r="AV53" s="345"/>
      <c r="AW53" s="345"/>
    </row>
    <row r="54" spans="1:49" ht="13.5" customHeight="1" x14ac:dyDescent="0.2">
      <c r="A54" s="421"/>
      <c r="B54" s="418"/>
      <c r="C54" s="1165"/>
      <c r="D54" s="1165"/>
      <c r="E54" s="458"/>
      <c r="F54" s="364"/>
      <c r="G54" s="482"/>
      <c r="H54" s="418"/>
      <c r="I54" s="1165"/>
      <c r="J54" s="458"/>
      <c r="K54" s="364"/>
      <c r="L54" s="482"/>
      <c r="M54" s="345"/>
      <c r="N54" s="345"/>
      <c r="O54" s="345"/>
      <c r="P54" s="1293" t="s">
        <v>1568</v>
      </c>
      <c r="Q54" s="371"/>
      <c r="R54" s="345"/>
      <c r="S54" s="345"/>
      <c r="T54" s="345"/>
      <c r="U54" s="346"/>
      <c r="V54" s="345"/>
      <c r="W54" s="345"/>
      <c r="X54" s="345"/>
      <c r="Y54" s="345"/>
      <c r="Z54" s="345"/>
      <c r="AA54" s="345"/>
      <c r="AB54" s="345"/>
      <c r="AC54" s="345"/>
      <c r="AD54" s="345"/>
      <c r="AE54" s="345"/>
      <c r="AF54" s="345"/>
      <c r="AG54" s="345"/>
      <c r="AH54" s="345"/>
      <c r="AI54" s="345"/>
      <c r="AJ54" s="345"/>
      <c r="AK54" s="345"/>
      <c r="AL54" s="345"/>
      <c r="AM54" s="345"/>
      <c r="AN54" s="345"/>
      <c r="AO54" s="345"/>
      <c r="AP54" s="345"/>
      <c r="AQ54" s="345"/>
      <c r="AR54" s="345"/>
      <c r="AS54" s="345"/>
      <c r="AT54" s="345"/>
      <c r="AU54" s="345"/>
      <c r="AV54" s="345"/>
      <c r="AW54" s="345"/>
    </row>
    <row r="55" spans="1:49" ht="13.5" customHeight="1" x14ac:dyDescent="0.2">
      <c r="A55" s="1146"/>
      <c r="B55" s="418"/>
      <c r="C55" s="418"/>
      <c r="D55" s="418"/>
      <c r="E55" s="418"/>
      <c r="F55" s="418"/>
      <c r="G55" s="462"/>
      <c r="H55" s="418"/>
      <c r="I55" s="418"/>
      <c r="J55" s="418"/>
      <c r="K55" s="418"/>
      <c r="L55" s="478"/>
      <c r="M55" s="345"/>
      <c r="N55" s="345"/>
      <c r="O55" s="345"/>
      <c r="Q55" s="371"/>
      <c r="R55" s="345"/>
      <c r="S55" s="345"/>
      <c r="T55" s="345"/>
      <c r="U55" s="346"/>
      <c r="V55" s="345"/>
      <c r="W55" s="345"/>
      <c r="X55" s="345"/>
      <c r="Y55" s="345"/>
      <c r="Z55" s="345"/>
      <c r="AA55" s="345"/>
      <c r="AB55" s="345"/>
      <c r="AC55" s="345"/>
      <c r="AD55" s="345"/>
      <c r="AE55" s="345"/>
      <c r="AF55" s="345"/>
      <c r="AG55" s="345"/>
      <c r="AH55" s="345"/>
      <c r="AI55" s="345"/>
      <c r="AJ55" s="345"/>
      <c r="AK55" s="345"/>
      <c r="AL55" s="345"/>
      <c r="AM55" s="345"/>
      <c r="AN55" s="345"/>
      <c r="AO55" s="345"/>
      <c r="AP55" s="345"/>
      <c r="AQ55" s="345"/>
      <c r="AR55" s="345"/>
      <c r="AS55" s="345"/>
      <c r="AT55" s="345"/>
      <c r="AU55" s="345"/>
      <c r="AV55" s="345"/>
      <c r="AW55" s="345"/>
    </row>
    <row r="56" spans="1:49" ht="13.5" customHeight="1" x14ac:dyDescent="0.2">
      <c r="A56" s="1146"/>
      <c r="B56" s="418"/>
      <c r="C56" s="418"/>
      <c r="D56" s="418"/>
      <c r="E56" s="418"/>
      <c r="F56" s="418"/>
      <c r="G56" s="462"/>
      <c r="H56" s="418"/>
      <c r="I56" s="418"/>
      <c r="J56" s="418"/>
      <c r="K56" s="418"/>
      <c r="L56" s="478"/>
      <c r="M56" s="345"/>
      <c r="N56" s="345"/>
      <c r="O56" s="345"/>
      <c r="P56" s="275" t="s">
        <v>91</v>
      </c>
      <c r="Q56" s="371"/>
      <c r="R56" s="345"/>
      <c r="S56" s="345"/>
      <c r="T56" s="345"/>
      <c r="U56" s="346"/>
      <c r="V56" s="345"/>
      <c r="W56" s="345"/>
      <c r="X56" s="345"/>
      <c r="Y56" s="345"/>
      <c r="Z56" s="345"/>
      <c r="AA56" s="345"/>
      <c r="AB56" s="345"/>
      <c r="AC56" s="345"/>
      <c r="AD56" s="345"/>
      <c r="AE56" s="345"/>
      <c r="AF56" s="345"/>
      <c r="AG56" s="345"/>
      <c r="AH56" s="345"/>
      <c r="AI56" s="345"/>
      <c r="AJ56" s="345"/>
      <c r="AK56" s="345"/>
      <c r="AL56" s="345"/>
      <c r="AM56" s="345"/>
      <c r="AN56" s="345"/>
      <c r="AO56" s="345"/>
      <c r="AP56" s="345"/>
      <c r="AQ56" s="345"/>
      <c r="AR56" s="345"/>
      <c r="AS56" s="345"/>
      <c r="AT56" s="345"/>
      <c r="AU56" s="345"/>
      <c r="AV56" s="345"/>
      <c r="AW56" s="345"/>
    </row>
    <row r="57" spans="1:49" ht="6.75" customHeight="1" x14ac:dyDescent="0.2">
      <c r="A57" s="1146"/>
      <c r="B57" s="418"/>
      <c r="C57" s="418"/>
      <c r="D57" s="418"/>
      <c r="E57" s="418"/>
      <c r="F57" s="418"/>
      <c r="G57" s="462"/>
      <c r="H57" s="418"/>
      <c r="I57" s="418"/>
      <c r="J57" s="418"/>
      <c r="K57" s="418"/>
      <c r="L57" s="478"/>
      <c r="M57" s="345"/>
      <c r="N57" s="345"/>
      <c r="O57" s="345"/>
      <c r="P57" s="275"/>
      <c r="Q57" s="371"/>
      <c r="R57" s="345"/>
      <c r="S57" s="345"/>
      <c r="T57" s="345"/>
      <c r="U57" s="346"/>
      <c r="V57" s="345"/>
      <c r="W57" s="345"/>
      <c r="X57" s="345"/>
      <c r="Y57" s="345"/>
      <c r="Z57" s="345"/>
      <c r="AA57" s="345"/>
      <c r="AB57" s="345"/>
      <c r="AC57" s="345"/>
      <c r="AD57" s="345"/>
      <c r="AE57" s="345"/>
      <c r="AF57" s="345"/>
      <c r="AG57" s="345"/>
      <c r="AH57" s="345"/>
      <c r="AI57" s="345"/>
      <c r="AJ57" s="345"/>
      <c r="AK57" s="345"/>
      <c r="AL57" s="345"/>
      <c r="AM57" s="345"/>
      <c r="AN57" s="345"/>
      <c r="AO57" s="345"/>
      <c r="AP57" s="345"/>
      <c r="AQ57" s="345"/>
      <c r="AR57" s="345"/>
      <c r="AS57" s="345"/>
      <c r="AT57" s="345"/>
      <c r="AU57" s="345"/>
      <c r="AV57" s="345"/>
      <c r="AW57" s="345"/>
    </row>
    <row r="58" spans="1:49" ht="13.5" customHeight="1" x14ac:dyDescent="0.2">
      <c r="B58" s="418"/>
      <c r="C58" s="418"/>
      <c r="D58" s="418"/>
      <c r="E58" s="418"/>
      <c r="F58" s="418"/>
      <c r="G58" s="462"/>
      <c r="H58" s="418"/>
      <c r="I58" s="418"/>
      <c r="J58" s="418"/>
      <c r="K58" s="418"/>
      <c r="L58" s="478"/>
      <c r="M58" s="345"/>
      <c r="N58" s="345"/>
      <c r="O58" s="345"/>
      <c r="P58" s="1294"/>
      <c r="Q58" s="1296" t="s">
        <v>1782</v>
      </c>
      <c r="R58" s="1143" t="s">
        <v>1938</v>
      </c>
      <c r="S58" s="1143"/>
      <c r="T58" s="1297" t="s">
        <v>231</v>
      </c>
      <c r="U58" s="346"/>
      <c r="V58" s="345"/>
      <c r="W58" s="345"/>
      <c r="X58" s="345"/>
      <c r="Y58" s="345"/>
      <c r="Z58" s="345"/>
      <c r="AA58" s="345"/>
      <c r="AB58" s="345"/>
      <c r="AC58" s="345"/>
      <c r="AD58" s="345"/>
      <c r="AE58" s="345"/>
      <c r="AF58" s="345"/>
      <c r="AG58" s="345"/>
      <c r="AH58" s="345"/>
      <c r="AI58" s="345"/>
      <c r="AJ58" s="345"/>
      <c r="AK58" s="345"/>
      <c r="AL58" s="345"/>
      <c r="AM58" s="345"/>
      <c r="AN58" s="345"/>
      <c r="AO58" s="345"/>
      <c r="AP58" s="345"/>
      <c r="AQ58" s="345"/>
      <c r="AR58" s="345"/>
      <c r="AS58" s="345"/>
      <c r="AT58" s="345"/>
      <c r="AU58" s="345"/>
      <c r="AV58" s="345"/>
      <c r="AW58" s="345"/>
    </row>
    <row r="59" spans="1:49" ht="13.5" customHeight="1" x14ac:dyDescent="0.2">
      <c r="A59" s="421"/>
      <c r="B59" s="418"/>
      <c r="C59" s="418"/>
      <c r="D59" s="418"/>
      <c r="E59" s="418"/>
      <c r="F59" s="418"/>
      <c r="G59" s="462"/>
      <c r="H59" s="418"/>
      <c r="I59" s="418"/>
      <c r="J59" s="418"/>
      <c r="K59" s="418"/>
      <c r="L59" s="478"/>
      <c r="M59" s="345"/>
      <c r="N59" s="345"/>
      <c r="O59" s="345"/>
      <c r="Q59" s="8"/>
      <c r="R59" s="8"/>
      <c r="S59" s="8"/>
      <c r="T59" s="1298"/>
      <c r="U59" s="346"/>
      <c r="V59" s="345"/>
      <c r="W59" s="345"/>
      <c r="X59" s="345"/>
      <c r="Y59" s="345"/>
      <c r="Z59" s="345"/>
      <c r="AA59" s="345"/>
      <c r="AB59" s="345"/>
      <c r="AC59" s="345"/>
      <c r="AD59" s="345"/>
      <c r="AE59" s="345"/>
      <c r="AF59" s="345"/>
      <c r="AG59" s="345"/>
      <c r="AH59" s="345"/>
      <c r="AI59" s="345"/>
      <c r="AJ59" s="345"/>
      <c r="AK59" s="345"/>
      <c r="AL59" s="345"/>
      <c r="AM59" s="345"/>
      <c r="AN59" s="345"/>
      <c r="AO59" s="345"/>
      <c r="AP59" s="345"/>
      <c r="AQ59" s="345"/>
      <c r="AR59" s="345"/>
      <c r="AS59" s="345"/>
      <c r="AT59" s="345"/>
      <c r="AU59" s="345"/>
      <c r="AV59" s="345"/>
      <c r="AW59" s="345"/>
    </row>
    <row r="60" spans="1:49" ht="13.5" customHeight="1" x14ac:dyDescent="0.2">
      <c r="A60" s="421"/>
      <c r="B60" s="418"/>
      <c r="C60" s="418"/>
      <c r="D60" s="418"/>
      <c r="E60" s="418"/>
      <c r="F60" s="418"/>
      <c r="G60" s="462"/>
      <c r="H60" s="418"/>
      <c r="I60" s="418"/>
      <c r="J60" s="418"/>
      <c r="K60" s="418"/>
      <c r="L60" s="478"/>
      <c r="M60" s="345"/>
      <c r="N60" s="345"/>
      <c r="O60" s="345"/>
      <c r="P60" s="369" t="s">
        <v>338</v>
      </c>
      <c r="Q60" s="1303" t="s">
        <v>1569</v>
      </c>
      <c r="R60" s="1308">
        <v>0.44</v>
      </c>
      <c r="S60" s="1307"/>
      <c r="T60" s="1410">
        <f>R60-0.41</f>
        <v>3.0000000000000027E-2</v>
      </c>
      <c r="U60" s="346"/>
      <c r="V60" s="345"/>
      <c r="W60" s="345"/>
      <c r="X60" s="345"/>
      <c r="Y60" s="345"/>
      <c r="Z60" s="345"/>
      <c r="AA60" s="345"/>
      <c r="AB60" s="345"/>
      <c r="AC60" s="345"/>
      <c r="AD60" s="345"/>
      <c r="AE60" s="345"/>
      <c r="AF60" s="345"/>
      <c r="AG60" s="345"/>
      <c r="AH60" s="345"/>
      <c r="AI60" s="345"/>
      <c r="AJ60" s="345"/>
      <c r="AK60" s="345"/>
      <c r="AL60" s="345"/>
      <c r="AM60" s="345"/>
      <c r="AN60" s="345"/>
      <c r="AO60" s="345"/>
      <c r="AP60" s="345"/>
      <c r="AQ60" s="345"/>
      <c r="AR60" s="345"/>
      <c r="AS60" s="345"/>
      <c r="AT60" s="345"/>
      <c r="AU60" s="345"/>
      <c r="AV60" s="345"/>
      <c r="AW60" s="345"/>
    </row>
    <row r="61" spans="1:49" ht="13.5" customHeight="1" x14ac:dyDescent="0.2">
      <c r="A61" s="421"/>
      <c r="B61" s="418"/>
      <c r="C61" s="418"/>
      <c r="D61" s="418"/>
      <c r="E61" s="418"/>
      <c r="F61" s="418"/>
      <c r="G61" s="462"/>
      <c r="H61" s="418"/>
      <c r="I61" s="418"/>
      <c r="J61" s="418"/>
      <c r="K61" s="418"/>
      <c r="L61" s="478"/>
      <c r="M61" s="345"/>
      <c r="N61" s="345"/>
      <c r="O61" s="345"/>
      <c r="Q61" s="8"/>
      <c r="R61" s="8"/>
      <c r="S61" s="8"/>
      <c r="T61" s="1298"/>
      <c r="U61" s="346"/>
      <c r="V61" s="345"/>
      <c r="W61" s="345"/>
      <c r="X61" s="345"/>
      <c r="Y61" s="345"/>
      <c r="Z61" s="345"/>
      <c r="AA61" s="345"/>
      <c r="AB61" s="345"/>
      <c r="AC61" s="345"/>
      <c r="AD61" s="345"/>
      <c r="AE61" s="345"/>
      <c r="AF61" s="345"/>
      <c r="AG61" s="345"/>
      <c r="AH61" s="345"/>
      <c r="AI61" s="345"/>
      <c r="AJ61" s="345"/>
      <c r="AK61" s="345"/>
      <c r="AL61" s="345"/>
      <c r="AM61" s="345"/>
      <c r="AN61" s="345"/>
      <c r="AO61" s="345"/>
      <c r="AP61" s="345"/>
      <c r="AQ61" s="345"/>
      <c r="AR61" s="345"/>
      <c r="AS61" s="345"/>
      <c r="AT61" s="345"/>
      <c r="AU61" s="345"/>
      <c r="AV61" s="345"/>
      <c r="AW61" s="345"/>
    </row>
    <row r="62" spans="1:49" ht="13.5" customHeight="1" x14ac:dyDescent="0.2">
      <c r="A62" s="421"/>
      <c r="B62" s="418"/>
      <c r="C62" s="418"/>
      <c r="D62" s="418"/>
      <c r="E62" s="418"/>
      <c r="F62" s="418"/>
      <c r="G62" s="462"/>
      <c r="H62" s="418"/>
      <c r="I62" s="418"/>
      <c r="J62" s="418"/>
      <c r="K62" s="418"/>
      <c r="L62" s="478"/>
      <c r="M62" s="345"/>
      <c r="N62" s="345"/>
      <c r="O62" s="345"/>
      <c r="P62" s="563" t="s">
        <v>137</v>
      </c>
      <c r="Q62" s="1299"/>
      <c r="R62" s="1300"/>
      <c r="S62" s="1300"/>
      <c r="T62" s="1298"/>
      <c r="U62" s="346"/>
      <c r="V62" s="345"/>
      <c r="W62" s="345"/>
      <c r="X62" s="345"/>
      <c r="Y62" s="345"/>
      <c r="Z62" s="345"/>
      <c r="AA62" s="345"/>
      <c r="AB62" s="345"/>
      <c r="AC62" s="345"/>
      <c r="AD62" s="345"/>
      <c r="AE62" s="345"/>
      <c r="AF62" s="345"/>
      <c r="AG62" s="345"/>
      <c r="AH62" s="345"/>
      <c r="AI62" s="345"/>
      <c r="AJ62" s="345"/>
      <c r="AK62" s="345"/>
      <c r="AL62" s="345"/>
      <c r="AM62" s="345"/>
      <c r="AN62" s="345"/>
      <c r="AO62" s="345"/>
      <c r="AP62" s="345"/>
      <c r="AQ62" s="345"/>
      <c r="AR62" s="345"/>
      <c r="AS62" s="345"/>
      <c r="AT62" s="345"/>
      <c r="AU62" s="345"/>
      <c r="AV62" s="345"/>
      <c r="AW62" s="345"/>
    </row>
    <row r="63" spans="1:49" ht="13.5" customHeight="1" x14ac:dyDescent="0.2">
      <c r="A63" s="421"/>
      <c r="B63" s="418"/>
      <c r="C63" s="418"/>
      <c r="D63" s="418"/>
      <c r="E63" s="418"/>
      <c r="F63" s="418"/>
      <c r="G63" s="462"/>
      <c r="H63" s="418"/>
      <c r="I63" s="418"/>
      <c r="J63" s="418"/>
      <c r="K63" s="418"/>
      <c r="L63" s="478"/>
      <c r="M63" s="345"/>
      <c r="N63" s="345"/>
      <c r="O63" s="345"/>
      <c r="P63" s="213" t="s">
        <v>1143</v>
      </c>
      <c r="Q63" s="1301" t="s">
        <v>1940</v>
      </c>
      <c r="R63" s="1390">
        <v>0.06</v>
      </c>
      <c r="S63" s="1302"/>
      <c r="T63" s="1408">
        <f>R63-0.07</f>
        <v>-1.0000000000000009E-2</v>
      </c>
      <c r="U63" s="346"/>
      <c r="V63" s="345"/>
      <c r="W63" s="345"/>
      <c r="X63" s="345"/>
      <c r="Y63" s="345"/>
      <c r="Z63" s="345"/>
      <c r="AA63" s="345"/>
      <c r="AB63" s="345"/>
      <c r="AC63" s="345"/>
      <c r="AD63" s="345"/>
      <c r="AE63" s="345"/>
      <c r="AF63" s="345"/>
      <c r="AG63" s="345"/>
      <c r="AH63" s="345"/>
      <c r="AI63" s="345"/>
      <c r="AJ63" s="345"/>
      <c r="AK63" s="345"/>
      <c r="AL63" s="345"/>
      <c r="AM63" s="345"/>
      <c r="AN63" s="345"/>
      <c r="AO63" s="345"/>
      <c r="AP63" s="345"/>
      <c r="AQ63" s="345"/>
      <c r="AR63" s="345"/>
      <c r="AS63" s="345"/>
      <c r="AT63" s="345"/>
      <c r="AU63" s="345"/>
      <c r="AV63" s="345"/>
      <c r="AW63" s="345"/>
    </row>
    <row r="64" spans="1:49" ht="13.5" customHeight="1" x14ac:dyDescent="0.2">
      <c r="A64" s="421"/>
      <c r="B64" s="418"/>
      <c r="C64" s="418"/>
      <c r="D64" s="418"/>
      <c r="E64" s="418"/>
      <c r="F64" s="418"/>
      <c r="G64" s="462"/>
      <c r="H64" s="418"/>
      <c r="I64" s="418"/>
      <c r="J64" s="418"/>
      <c r="K64" s="418"/>
      <c r="L64" s="478"/>
      <c r="M64" s="345"/>
      <c r="N64" s="345"/>
      <c r="O64" s="345"/>
      <c r="P64" s="369" t="s">
        <v>1309</v>
      </c>
      <c r="Q64" s="1301" t="s">
        <v>1940</v>
      </c>
      <c r="R64" s="1390">
        <v>6.3E-2</v>
      </c>
      <c r="S64" s="1302"/>
      <c r="T64" s="1408">
        <f>R64-0.07</f>
        <v>-7.0000000000000062E-3</v>
      </c>
      <c r="U64" s="346"/>
      <c r="V64" s="345"/>
      <c r="W64" s="345"/>
      <c r="X64" s="345"/>
      <c r="Y64" s="345"/>
      <c r="Z64" s="345"/>
      <c r="AA64" s="345"/>
      <c r="AB64" s="345"/>
      <c r="AC64" s="345"/>
      <c r="AD64" s="345"/>
      <c r="AE64" s="345"/>
      <c r="AF64" s="345"/>
      <c r="AG64" s="345"/>
      <c r="AH64" s="345"/>
      <c r="AI64" s="345"/>
      <c r="AJ64" s="345"/>
      <c r="AK64" s="345"/>
      <c r="AL64" s="345"/>
      <c r="AM64" s="345"/>
      <c r="AN64" s="345"/>
      <c r="AO64" s="345"/>
      <c r="AP64" s="345"/>
      <c r="AQ64" s="345"/>
      <c r="AR64" s="345"/>
      <c r="AS64" s="345"/>
      <c r="AT64" s="345"/>
      <c r="AU64" s="345"/>
      <c r="AV64" s="345"/>
      <c r="AW64" s="345"/>
    </row>
    <row r="65" spans="1:49" ht="13.5" customHeight="1" x14ac:dyDescent="0.2">
      <c r="A65" s="418"/>
      <c r="B65" s="418"/>
      <c r="C65" s="418"/>
      <c r="D65" s="418"/>
      <c r="E65" s="418"/>
      <c r="F65" s="418"/>
      <c r="G65" s="462"/>
      <c r="H65" s="418"/>
      <c r="I65" s="418"/>
      <c r="J65" s="418"/>
      <c r="K65" s="418"/>
      <c r="L65" s="478"/>
      <c r="M65" s="345"/>
      <c r="N65" s="345"/>
      <c r="O65" s="345"/>
      <c r="P65" s="369" t="s">
        <v>2036</v>
      </c>
      <c r="Q65" s="1301" t="s">
        <v>2220</v>
      </c>
      <c r="R65" s="1390">
        <v>0.05</v>
      </c>
      <c r="S65" s="1302"/>
      <c r="T65" s="1408">
        <f>R65-0.07</f>
        <v>-2.0000000000000004E-2</v>
      </c>
      <c r="U65" s="346"/>
      <c r="V65" s="345"/>
      <c r="W65" s="345"/>
      <c r="X65" s="345"/>
      <c r="Y65" s="345"/>
      <c r="Z65" s="345"/>
      <c r="AA65" s="345"/>
      <c r="AB65" s="345"/>
      <c r="AC65" s="345"/>
      <c r="AD65" s="345"/>
      <c r="AE65" s="345"/>
      <c r="AF65" s="345"/>
      <c r="AG65" s="345"/>
      <c r="AH65" s="345"/>
      <c r="AI65" s="345"/>
      <c r="AJ65" s="345"/>
      <c r="AK65" s="345"/>
      <c r="AL65" s="345"/>
      <c r="AM65" s="345"/>
      <c r="AN65" s="345"/>
      <c r="AO65" s="345"/>
      <c r="AP65" s="345"/>
      <c r="AQ65" s="345"/>
      <c r="AR65" s="345"/>
      <c r="AS65" s="345"/>
      <c r="AT65" s="345"/>
      <c r="AU65" s="345"/>
      <c r="AV65" s="345"/>
      <c r="AW65" s="345"/>
    </row>
    <row r="66" spans="1:49" ht="13.5" customHeight="1" x14ac:dyDescent="0.2">
      <c r="A66" s="418"/>
      <c r="B66" s="418"/>
      <c r="C66" s="418"/>
      <c r="D66" s="418"/>
      <c r="E66" s="418"/>
      <c r="F66" s="418"/>
      <c r="G66" s="462"/>
      <c r="H66" s="418"/>
      <c r="I66" s="418"/>
      <c r="J66" s="418"/>
      <c r="K66" s="418"/>
      <c r="L66" s="478"/>
      <c r="M66" s="345"/>
      <c r="N66" s="345"/>
      <c r="O66" s="345"/>
      <c r="P66" s="392"/>
      <c r="Q66" s="1301"/>
      <c r="R66" s="1300"/>
      <c r="S66" s="1300"/>
      <c r="T66" s="1298"/>
      <c r="U66" s="346"/>
      <c r="V66" s="345"/>
      <c r="W66" s="345"/>
      <c r="X66" s="345"/>
      <c r="Y66" s="345"/>
      <c r="Z66" s="345"/>
      <c r="AA66" s="345"/>
      <c r="AB66" s="345"/>
      <c r="AC66" s="345"/>
      <c r="AD66" s="345"/>
      <c r="AE66" s="345"/>
      <c r="AF66" s="345"/>
      <c r="AG66" s="345"/>
      <c r="AH66" s="345"/>
      <c r="AI66" s="345"/>
      <c r="AJ66" s="345"/>
      <c r="AK66" s="345"/>
      <c r="AL66" s="345"/>
      <c r="AM66" s="345"/>
      <c r="AN66" s="345"/>
      <c r="AO66" s="345"/>
      <c r="AP66" s="345"/>
      <c r="AQ66" s="345"/>
      <c r="AR66" s="345"/>
      <c r="AS66" s="345"/>
      <c r="AT66" s="345"/>
      <c r="AU66" s="345"/>
      <c r="AV66" s="345"/>
      <c r="AW66" s="345"/>
    </row>
    <row r="67" spans="1:49" ht="13.5" customHeight="1" x14ac:dyDescent="0.2">
      <c r="A67" s="418"/>
      <c r="B67" s="418"/>
      <c r="C67" s="418"/>
      <c r="D67" s="418"/>
      <c r="E67" s="418"/>
      <c r="F67" s="418"/>
      <c r="G67" s="462"/>
      <c r="H67" s="418"/>
      <c r="I67" s="418"/>
      <c r="J67" s="418"/>
      <c r="K67" s="418"/>
      <c r="L67" s="478"/>
      <c r="M67" s="345"/>
      <c r="N67" s="345"/>
      <c r="O67" s="345"/>
      <c r="P67" s="1295" t="s">
        <v>125</v>
      </c>
      <c r="Q67" s="1301"/>
      <c r="R67" s="1300"/>
      <c r="S67" s="1300"/>
      <c r="T67" s="1298"/>
      <c r="U67" s="346"/>
      <c r="V67" s="345"/>
      <c r="W67" s="345"/>
      <c r="X67" s="345"/>
      <c r="Y67" s="345"/>
      <c r="Z67" s="345"/>
      <c r="AA67" s="345"/>
      <c r="AB67" s="345"/>
      <c r="AC67" s="345"/>
      <c r="AD67" s="345"/>
      <c r="AE67" s="345"/>
      <c r="AF67" s="345"/>
      <c r="AG67" s="345"/>
      <c r="AH67" s="345"/>
      <c r="AI67" s="345"/>
      <c r="AJ67" s="345"/>
      <c r="AK67" s="345"/>
      <c r="AL67" s="345"/>
      <c r="AM67" s="345"/>
      <c r="AN67" s="345"/>
      <c r="AO67" s="345"/>
      <c r="AP67" s="345"/>
      <c r="AQ67" s="345"/>
      <c r="AR67" s="345"/>
      <c r="AS67" s="345"/>
      <c r="AT67" s="345"/>
      <c r="AU67" s="345"/>
      <c r="AV67" s="345"/>
      <c r="AW67" s="345"/>
    </row>
    <row r="68" spans="1:49" ht="13.5" customHeight="1" x14ac:dyDescent="0.2">
      <c r="A68" s="418"/>
      <c r="B68" s="418"/>
      <c r="C68" s="418"/>
      <c r="D68" s="418"/>
      <c r="E68" s="418"/>
      <c r="F68" s="418"/>
      <c r="G68" s="462"/>
      <c r="H68" s="418"/>
      <c r="I68" s="418"/>
      <c r="J68" s="418"/>
      <c r="K68" s="418"/>
      <c r="L68" s="478"/>
      <c r="M68" s="345"/>
      <c r="N68" s="345"/>
      <c r="O68" s="345"/>
      <c r="P68" s="213" t="s">
        <v>139</v>
      </c>
      <c r="Q68" s="1304" t="s">
        <v>1853</v>
      </c>
      <c r="R68" s="1421">
        <v>319</v>
      </c>
      <c r="S68" s="1303"/>
      <c r="T68" s="1409">
        <f>R68-320</f>
        <v>-1</v>
      </c>
      <c r="U68" s="346"/>
      <c r="V68" s="345">
        <f>134+149+36</f>
        <v>319</v>
      </c>
      <c r="W68" s="345"/>
      <c r="X68" s="345"/>
      <c r="Y68" s="345"/>
      <c r="Z68" s="345"/>
      <c r="AA68" s="345"/>
      <c r="AB68" s="345"/>
      <c r="AC68" s="345"/>
      <c r="AD68" s="345"/>
      <c r="AE68" s="345"/>
      <c r="AF68" s="345"/>
      <c r="AG68" s="345"/>
      <c r="AH68" s="345"/>
      <c r="AI68" s="345"/>
      <c r="AJ68" s="345"/>
      <c r="AK68" s="345"/>
      <c r="AL68" s="345"/>
      <c r="AM68" s="345"/>
      <c r="AN68" s="345"/>
      <c r="AO68" s="345"/>
      <c r="AP68" s="345"/>
      <c r="AQ68" s="345"/>
      <c r="AR68" s="345"/>
      <c r="AS68" s="345"/>
      <c r="AT68" s="345"/>
      <c r="AU68" s="345"/>
      <c r="AV68" s="345"/>
      <c r="AW68" s="345"/>
    </row>
    <row r="69" spans="1:49" ht="13.5" customHeight="1" x14ac:dyDescent="0.2">
      <c r="A69" s="418"/>
      <c r="B69" s="418"/>
      <c r="C69" s="418"/>
      <c r="D69" s="418"/>
      <c r="E69" s="418"/>
      <c r="F69" s="418"/>
      <c r="G69" s="462"/>
      <c r="H69" s="418"/>
      <c r="I69" s="418"/>
      <c r="J69" s="418"/>
      <c r="K69" s="418"/>
      <c r="L69" s="478"/>
      <c r="M69" s="345"/>
      <c r="N69" s="345"/>
      <c r="O69" s="345"/>
      <c r="P69" s="369" t="s">
        <v>138</v>
      </c>
      <c r="Q69" s="1303">
        <v>20</v>
      </c>
      <c r="R69" s="1389">
        <v>26</v>
      </c>
      <c r="S69" s="1305"/>
      <c r="T69" s="1298">
        <f>R69-Q69</f>
        <v>6</v>
      </c>
      <c r="U69" s="346"/>
      <c r="V69" s="345"/>
      <c r="W69" s="345"/>
      <c r="X69" s="345"/>
      <c r="Y69" s="345"/>
      <c r="Z69" s="345"/>
      <c r="AA69" s="345"/>
      <c r="AB69" s="345"/>
      <c r="AC69" s="345"/>
      <c r="AD69" s="345"/>
      <c r="AE69" s="345"/>
      <c r="AF69" s="345"/>
      <c r="AG69" s="345"/>
      <c r="AH69" s="345"/>
      <c r="AI69" s="345"/>
      <c r="AJ69" s="345"/>
      <c r="AK69" s="345"/>
      <c r="AL69" s="345"/>
      <c r="AM69" s="345"/>
      <c r="AN69" s="345"/>
      <c r="AO69" s="345"/>
      <c r="AP69" s="345"/>
      <c r="AQ69" s="345"/>
      <c r="AR69" s="345"/>
      <c r="AS69" s="345"/>
      <c r="AT69" s="345"/>
      <c r="AU69" s="345"/>
      <c r="AV69" s="345"/>
      <c r="AW69" s="345"/>
    </row>
    <row r="70" spans="1:49" ht="13.5" customHeight="1" x14ac:dyDescent="0.2">
      <c r="A70" s="418"/>
      <c r="B70" s="418"/>
      <c r="C70" s="418"/>
      <c r="D70" s="418"/>
      <c r="E70" s="418"/>
      <c r="F70" s="418"/>
      <c r="G70" s="462"/>
      <c r="H70" s="418"/>
      <c r="I70" s="418"/>
      <c r="J70" s="418"/>
      <c r="K70" s="418"/>
      <c r="L70" s="478"/>
      <c r="M70" s="345"/>
      <c r="N70" s="345"/>
      <c r="O70" s="345"/>
      <c r="S70" s="1300"/>
      <c r="T70" s="1298"/>
      <c r="U70" s="346"/>
      <c r="V70" s="345"/>
      <c r="W70" s="345"/>
      <c r="X70" s="345"/>
      <c r="Y70" s="345"/>
      <c r="Z70" s="345"/>
      <c r="AA70" s="345"/>
      <c r="AB70" s="345"/>
      <c r="AC70" s="345"/>
      <c r="AD70" s="345"/>
      <c r="AE70" s="345"/>
      <c r="AF70" s="345"/>
      <c r="AG70" s="345"/>
      <c r="AH70" s="345"/>
      <c r="AI70" s="345"/>
      <c r="AJ70" s="345"/>
      <c r="AK70" s="345"/>
      <c r="AL70" s="345"/>
      <c r="AM70" s="345"/>
      <c r="AN70" s="345"/>
      <c r="AO70" s="345"/>
      <c r="AP70" s="345"/>
      <c r="AQ70" s="345"/>
      <c r="AR70" s="345"/>
      <c r="AS70" s="311">
        <f>79/222</f>
        <v>0.35585585585585583</v>
      </c>
      <c r="AT70" s="345"/>
      <c r="AU70" s="345"/>
      <c r="AV70" s="345"/>
      <c r="AW70" s="345"/>
    </row>
    <row r="71" spans="1:49" ht="13.5" customHeight="1" x14ac:dyDescent="0.2">
      <c r="A71" s="418"/>
      <c r="B71" s="418"/>
      <c r="C71" s="418"/>
      <c r="D71" s="418"/>
      <c r="E71" s="418"/>
      <c r="F71" s="418"/>
      <c r="G71" s="462"/>
      <c r="H71" s="418"/>
      <c r="I71" s="418"/>
      <c r="J71" s="418"/>
      <c r="K71" s="418"/>
      <c r="L71" s="478"/>
      <c r="M71" s="345"/>
      <c r="N71" s="345"/>
      <c r="O71" s="345"/>
      <c r="P71" s="1295" t="s">
        <v>1931</v>
      </c>
      <c r="Q71" s="1303"/>
      <c r="R71" s="1300"/>
      <c r="S71" s="1300"/>
      <c r="T71" s="1298"/>
      <c r="U71" s="346"/>
      <c r="V71" s="345"/>
      <c r="W71" s="345"/>
      <c r="X71" s="345"/>
      <c r="Y71" s="345"/>
      <c r="Z71" s="345"/>
      <c r="AA71" s="345"/>
      <c r="AB71" s="345"/>
      <c r="AC71" s="345"/>
      <c r="AD71" s="345"/>
      <c r="AE71" s="345"/>
      <c r="AF71" s="345"/>
      <c r="AG71" s="345"/>
      <c r="AH71" s="345"/>
      <c r="AI71" s="345"/>
      <c r="AJ71" s="345"/>
      <c r="AK71" s="345"/>
      <c r="AL71" s="345"/>
      <c r="AM71" s="345"/>
      <c r="AN71" s="345"/>
      <c r="AO71" s="345"/>
      <c r="AP71" s="345"/>
      <c r="AQ71" s="345"/>
      <c r="AR71" s="345"/>
      <c r="AT71" s="345"/>
      <c r="AU71" s="345"/>
      <c r="AV71" s="345"/>
      <c r="AW71" s="345"/>
    </row>
    <row r="72" spans="1:49" ht="13.5" customHeight="1" x14ac:dyDescent="0.2">
      <c r="A72" s="418"/>
      <c r="B72" s="418"/>
      <c r="C72" s="418"/>
      <c r="D72" s="418"/>
      <c r="E72" s="418"/>
      <c r="F72" s="418"/>
      <c r="G72" s="462"/>
      <c r="H72" s="418"/>
      <c r="I72" s="418"/>
      <c r="J72" s="418"/>
      <c r="K72" s="418"/>
      <c r="L72" s="478"/>
      <c r="M72" s="345"/>
      <c r="N72" s="345"/>
      <c r="O72" s="345"/>
      <c r="P72" s="369" t="s">
        <v>140</v>
      </c>
      <c r="Q72" s="1305">
        <v>155</v>
      </c>
      <c r="R72" s="1407">
        <v>132</v>
      </c>
      <c r="S72" s="1300"/>
      <c r="T72" s="1409">
        <f>R72-152</f>
        <v>-20</v>
      </c>
      <c r="U72" s="346"/>
      <c r="V72" s="1767" t="s">
        <v>1575</v>
      </c>
      <c r="W72" s="345"/>
      <c r="X72" s="345"/>
      <c r="Y72" s="345"/>
      <c r="Z72" s="345"/>
      <c r="AA72" s="345"/>
      <c r="AB72" s="345"/>
      <c r="AC72" s="345"/>
      <c r="AD72" s="345"/>
      <c r="AE72" s="345"/>
      <c r="AF72" s="345"/>
      <c r="AG72" s="345"/>
      <c r="AH72" s="345"/>
      <c r="AI72" s="345"/>
      <c r="AJ72" s="345"/>
      <c r="AK72" s="345"/>
      <c r="AL72" s="345"/>
      <c r="AM72" s="345"/>
      <c r="AN72" s="345"/>
      <c r="AO72" s="345"/>
      <c r="AP72" s="345"/>
      <c r="AQ72" s="345"/>
      <c r="AR72" s="345"/>
      <c r="AS72" s="345"/>
      <c r="AT72" s="345"/>
      <c r="AU72" s="345"/>
      <c r="AV72" s="345"/>
      <c r="AW72" s="345"/>
    </row>
    <row r="73" spans="1:49" ht="13.5" customHeight="1" x14ac:dyDescent="0.2">
      <c r="A73" s="418"/>
      <c r="B73" s="418"/>
      <c r="C73" s="418"/>
      <c r="D73" s="418"/>
      <c r="E73" s="418"/>
      <c r="F73" s="418"/>
      <c r="G73" s="462"/>
      <c r="H73" s="418"/>
      <c r="I73" s="418"/>
      <c r="J73" s="418"/>
      <c r="K73" s="418"/>
      <c r="L73" s="478"/>
      <c r="M73" s="345"/>
      <c r="N73" s="345"/>
      <c r="O73" s="345"/>
      <c r="P73" s="213" t="s">
        <v>141</v>
      </c>
      <c r="Q73" s="1304" t="s">
        <v>1570</v>
      </c>
      <c r="R73" s="1300">
        <v>213</v>
      </c>
      <c r="S73" s="1300"/>
      <c r="T73" s="1298">
        <f>R73-185</f>
        <v>28</v>
      </c>
      <c r="U73" s="346"/>
      <c r="V73" s="345"/>
      <c r="W73" s="345"/>
      <c r="X73" s="345"/>
      <c r="Y73" s="345"/>
      <c r="Z73" s="345"/>
      <c r="AA73" s="345"/>
      <c r="AB73" s="345"/>
      <c r="AC73" s="345"/>
      <c r="AD73" s="345"/>
      <c r="AE73" s="345"/>
      <c r="AF73" s="345"/>
      <c r="AG73" s="345"/>
      <c r="AH73" s="345"/>
      <c r="AI73" s="345"/>
      <c r="AJ73" s="345"/>
      <c r="AK73" s="345"/>
      <c r="AL73" s="345"/>
      <c r="AM73" s="345"/>
      <c r="AN73" s="345"/>
      <c r="AO73" s="345"/>
      <c r="AP73" s="345"/>
      <c r="AQ73" s="345"/>
      <c r="AR73" s="345"/>
      <c r="AS73" s="345"/>
      <c r="AT73" s="345"/>
      <c r="AU73" s="345"/>
      <c r="AV73" s="345"/>
      <c r="AW73" s="345"/>
    </row>
    <row r="74" spans="1:49" ht="13.5" customHeight="1" x14ac:dyDescent="0.2">
      <c r="A74" s="418"/>
      <c r="B74" s="418"/>
      <c r="C74" s="418"/>
      <c r="D74" s="418"/>
      <c r="E74" s="418"/>
      <c r="F74" s="418"/>
      <c r="G74" s="462"/>
      <c r="H74" s="418"/>
      <c r="I74" s="418"/>
      <c r="J74" s="418"/>
      <c r="K74" s="418"/>
      <c r="L74" s="478"/>
      <c r="M74" s="345"/>
      <c r="N74" s="345"/>
      <c r="O74" s="345"/>
      <c r="P74" s="213" t="s">
        <v>89</v>
      </c>
      <c r="Q74" s="1303">
        <v>25</v>
      </c>
      <c r="R74" s="1300">
        <v>29</v>
      </c>
      <c r="S74" s="1300"/>
      <c r="T74" s="1298">
        <f>-(R74-Q74)</f>
        <v>-4</v>
      </c>
      <c r="U74" s="346"/>
      <c r="V74" s="345"/>
      <c r="W74" s="345"/>
      <c r="X74" s="345"/>
      <c r="Y74" s="345"/>
      <c r="Z74" s="345"/>
      <c r="AA74" s="345"/>
      <c r="AB74" s="345"/>
      <c r="AC74" s="345"/>
      <c r="AD74" s="345"/>
      <c r="AE74" s="345"/>
      <c r="AF74" s="345"/>
      <c r="AG74" s="345"/>
      <c r="AH74" s="345"/>
      <c r="AI74" s="345"/>
      <c r="AJ74" s="345"/>
      <c r="AK74" s="345"/>
      <c r="AL74" s="345"/>
      <c r="AM74" s="345"/>
      <c r="AN74" s="345"/>
      <c r="AO74" s="345"/>
      <c r="AP74" s="345"/>
      <c r="AQ74" s="345"/>
      <c r="AR74" s="345"/>
      <c r="AS74" s="345"/>
      <c r="AT74" s="345"/>
      <c r="AU74" s="345"/>
      <c r="AV74" s="345"/>
      <c r="AW74" s="345"/>
    </row>
    <row r="75" spans="1:49" ht="13.5" customHeight="1" x14ac:dyDescent="0.2">
      <c r="A75" s="421"/>
      <c r="B75" s="418"/>
      <c r="C75" s="424"/>
      <c r="D75" s="424"/>
      <c r="E75" s="424"/>
      <c r="F75" s="424"/>
      <c r="G75" s="457"/>
      <c r="H75" s="477"/>
      <c r="I75" s="424"/>
      <c r="J75" s="424"/>
      <c r="K75" s="424"/>
      <c r="L75" s="465"/>
      <c r="M75" s="345"/>
      <c r="N75" s="345"/>
      <c r="O75" s="345"/>
      <c r="P75" s="213" t="s">
        <v>1294</v>
      </c>
      <c r="Q75" s="1303">
        <v>-2</v>
      </c>
      <c r="R75" s="1300"/>
      <c r="S75" s="1300"/>
      <c r="T75" s="1298">
        <f>R75-Q75</f>
        <v>2</v>
      </c>
      <c r="U75" s="346"/>
      <c r="V75" s="345"/>
      <c r="W75" s="345"/>
      <c r="X75" s="345"/>
      <c r="Y75" s="345"/>
      <c r="Z75" s="345"/>
      <c r="AA75" s="345"/>
      <c r="AB75" s="345"/>
      <c r="AC75" s="345"/>
      <c r="AD75" s="345"/>
      <c r="AE75" s="345"/>
      <c r="AF75" s="345"/>
      <c r="AG75" s="345"/>
      <c r="AH75" s="345"/>
      <c r="AI75" s="345"/>
      <c r="AJ75" s="345"/>
      <c r="AK75" s="345"/>
      <c r="AL75" s="345"/>
      <c r="AM75" s="345"/>
      <c r="AN75" s="345"/>
      <c r="AO75" s="345"/>
      <c r="AP75" s="345"/>
      <c r="AQ75" s="345"/>
      <c r="AR75" s="345"/>
      <c r="AS75" s="345"/>
      <c r="AT75" s="345"/>
      <c r="AU75" s="345"/>
      <c r="AV75" s="345"/>
      <c r="AW75" s="345"/>
    </row>
    <row r="76" spans="1:49" ht="5.25" customHeight="1" x14ac:dyDescent="0.2">
      <c r="A76" s="418"/>
      <c r="B76" s="418"/>
      <c r="C76" s="418"/>
      <c r="D76" s="418"/>
      <c r="E76" s="418"/>
      <c r="F76" s="418"/>
      <c r="G76" s="462"/>
      <c r="H76" s="418"/>
      <c r="I76" s="418"/>
      <c r="J76" s="418"/>
      <c r="K76" s="418"/>
      <c r="L76" s="478"/>
      <c r="M76" s="345"/>
      <c r="N76" s="345"/>
      <c r="O76" s="345"/>
      <c r="T76" s="1306"/>
      <c r="U76" s="346"/>
      <c r="V76" s="345"/>
      <c r="W76" s="345"/>
      <c r="X76" s="345"/>
      <c r="Y76" s="345"/>
      <c r="Z76" s="345"/>
      <c r="AA76" s="345"/>
      <c r="AB76" s="345"/>
      <c r="AC76" s="345"/>
      <c r="AD76" s="345"/>
      <c r="AE76" s="345"/>
      <c r="AF76" s="345"/>
      <c r="AG76" s="345"/>
      <c r="AH76" s="345"/>
      <c r="AI76" s="345"/>
      <c r="AJ76" s="345"/>
      <c r="AK76" s="345"/>
      <c r="AL76" s="345"/>
      <c r="AM76" s="345"/>
      <c r="AN76" s="345"/>
      <c r="AO76" s="345"/>
      <c r="AP76" s="345"/>
      <c r="AQ76" s="345"/>
      <c r="AR76" s="345"/>
      <c r="AS76" s="345"/>
      <c r="AT76" s="345"/>
      <c r="AU76" s="345"/>
      <c r="AV76" s="345"/>
      <c r="AW76" s="345"/>
    </row>
    <row r="77" spans="1:49" ht="6.75" customHeight="1" x14ac:dyDescent="0.2">
      <c r="A77" s="418"/>
      <c r="B77" s="418"/>
      <c r="C77" s="459"/>
      <c r="D77" s="459"/>
      <c r="E77" s="459"/>
      <c r="F77" s="418"/>
      <c r="G77" s="467"/>
      <c r="H77" s="418"/>
      <c r="I77" s="470"/>
      <c r="J77" s="459"/>
      <c r="K77" s="418"/>
      <c r="L77" s="467"/>
      <c r="M77" s="418"/>
      <c r="N77" s="418"/>
      <c r="O77" s="418"/>
      <c r="P77" s="418"/>
      <c r="Q77" s="418"/>
      <c r="R77" s="418"/>
      <c r="S77" s="418"/>
      <c r="T77" s="418"/>
      <c r="U77" s="418"/>
      <c r="V77" s="418"/>
      <c r="W77" s="418"/>
      <c r="X77" s="418"/>
      <c r="Y77" s="418"/>
      <c r="Z77" s="418"/>
      <c r="AA77" s="418"/>
      <c r="AB77" s="418"/>
      <c r="AC77" s="418"/>
      <c r="AD77" s="418"/>
      <c r="AE77" s="418"/>
      <c r="AF77" s="418"/>
      <c r="AG77" s="418"/>
      <c r="AH77" s="418"/>
      <c r="AI77" s="418"/>
      <c r="AJ77" s="418"/>
      <c r="AK77" s="418"/>
      <c r="AL77" s="418"/>
      <c r="AM77" s="418"/>
      <c r="AN77" s="418"/>
      <c r="AO77" s="418"/>
      <c r="AP77" s="418"/>
      <c r="AQ77" s="418"/>
      <c r="AR77" s="418"/>
      <c r="AS77" s="418"/>
      <c r="AT77" s="418"/>
      <c r="AU77" s="418"/>
      <c r="AV77" s="418"/>
      <c r="AW77" s="418"/>
    </row>
    <row r="78" spans="1:49" s="70" customFormat="1" ht="13.5" customHeight="1" x14ac:dyDescent="0.2">
      <c r="A78" s="418"/>
      <c r="B78" s="418"/>
      <c r="C78" s="460"/>
      <c r="D78" s="460"/>
      <c r="E78" s="423"/>
      <c r="F78" s="460"/>
      <c r="G78" s="467"/>
      <c r="H78" s="418"/>
      <c r="I78" s="471"/>
      <c r="J78" s="460"/>
      <c r="K78" s="423"/>
      <c r="L78" s="469"/>
      <c r="M78" s="418"/>
      <c r="N78" s="418"/>
      <c r="O78" s="418"/>
      <c r="P78" s="418"/>
      <c r="Q78" s="418"/>
      <c r="R78" s="418"/>
      <c r="S78" s="418"/>
      <c r="T78" s="418"/>
      <c r="U78" s="418"/>
      <c r="V78" s="248" t="s">
        <v>92</v>
      </c>
    </row>
    <row r="79" spans="1:49" s="70" customFormat="1" ht="13.5" customHeight="1" x14ac:dyDescent="0.2">
      <c r="A79" s="418"/>
      <c r="B79" s="418"/>
      <c r="C79" s="460"/>
      <c r="D79" s="460"/>
      <c r="E79" s="423"/>
      <c r="F79" s="460"/>
      <c r="G79" s="467"/>
      <c r="H79" s="418"/>
      <c r="I79" s="471"/>
      <c r="J79" s="460"/>
      <c r="K79" s="423"/>
      <c r="L79" s="469"/>
      <c r="M79" s="418"/>
      <c r="N79" s="418"/>
      <c r="O79" s="418"/>
      <c r="P79" s="418"/>
      <c r="Q79" s="418"/>
      <c r="R79" s="1422"/>
      <c r="S79" s="418"/>
      <c r="T79" s="418"/>
      <c r="U79" s="418"/>
      <c r="V79" s="275" t="s">
        <v>91</v>
      </c>
    </row>
    <row r="80" spans="1:49" s="70" customFormat="1" ht="13.5" customHeight="1" x14ac:dyDescent="0.2">
      <c r="A80" s="418"/>
      <c r="B80" s="418"/>
      <c r="C80" s="460"/>
      <c r="D80" s="460"/>
      <c r="E80" s="423"/>
      <c r="F80" s="460"/>
      <c r="G80" s="467"/>
      <c r="H80" s="418"/>
      <c r="I80" s="471"/>
      <c r="J80" s="460"/>
      <c r="K80" s="423"/>
      <c r="L80" s="469"/>
      <c r="M80" s="418"/>
      <c r="N80" s="418"/>
      <c r="O80" s="418"/>
      <c r="P80" s="418"/>
      <c r="Q80" s="418"/>
      <c r="R80" s="418"/>
      <c r="S80" s="418"/>
      <c r="T80" s="418"/>
      <c r="U80" s="418"/>
      <c r="W80" s="1309" t="s">
        <v>731</v>
      </c>
      <c r="X80" s="1310"/>
      <c r="Y80" s="1309"/>
      <c r="Z80" s="1309"/>
      <c r="AA80" s="1309" t="s">
        <v>731</v>
      </c>
      <c r="AB80" s="1310"/>
      <c r="AC80" s="1309"/>
      <c r="AD80" s="1310"/>
      <c r="AE80" s="1310"/>
      <c r="AF80" s="1310"/>
      <c r="AG80" s="1310"/>
      <c r="AH80" s="1309"/>
      <c r="AI80" s="1309"/>
      <c r="AJ80" s="1310"/>
      <c r="AK80" s="1309"/>
      <c r="AL80" s="1309"/>
      <c r="AM80" s="1309"/>
      <c r="AN80" s="1310"/>
      <c r="AO80" s="1309"/>
      <c r="AP80"/>
      <c r="AQ80" s="390"/>
      <c r="AR80" s="390"/>
      <c r="AS80" s="390"/>
      <c r="AT80" s="390"/>
      <c r="AU80" s="390"/>
      <c r="AV80" s="390"/>
      <c r="AW80" s="390"/>
    </row>
    <row r="81" spans="1:53" s="70" customFormat="1" ht="13.5" customHeight="1" x14ac:dyDescent="0.2">
      <c r="A81" s="418"/>
      <c r="B81" s="418"/>
      <c r="C81" s="460"/>
      <c r="D81" s="460"/>
      <c r="E81" s="423"/>
      <c r="F81" s="460"/>
      <c r="G81" s="467"/>
      <c r="H81" s="418"/>
      <c r="I81" s="471"/>
      <c r="J81" s="460"/>
      <c r="K81" s="423"/>
      <c r="L81" s="469"/>
      <c r="M81" s="418"/>
      <c r="N81" s="418"/>
      <c r="O81" s="418"/>
      <c r="P81" s="418"/>
      <c r="Q81" s="418"/>
      <c r="R81" s="418"/>
      <c r="S81" s="418"/>
      <c r="T81" s="418"/>
      <c r="U81" s="418"/>
      <c r="V81" s="394"/>
      <c r="W81" s="1309" t="s">
        <v>1543</v>
      </c>
      <c r="X81" s="1309"/>
      <c r="Y81" s="1309"/>
      <c r="Z81" s="390"/>
      <c r="AA81" s="1309" t="s">
        <v>1544</v>
      </c>
      <c r="AB81" s="1309"/>
      <c r="AC81" s="1309"/>
      <c r="AD81" s="537"/>
      <c r="AE81" s="1325" t="s">
        <v>287</v>
      </c>
      <c r="AF81" s="1325"/>
      <c r="AG81" s="1325"/>
      <c r="AH81" s="390"/>
      <c r="AI81" s="1325" t="s">
        <v>288</v>
      </c>
      <c r="AJ81" s="1325"/>
      <c r="AK81" s="1325"/>
      <c r="AL81" s="390"/>
      <c r="AM81" s="1324" t="s">
        <v>289</v>
      </c>
      <c r="AN81" s="1325"/>
      <c r="AO81" s="1326"/>
      <c r="AP81" s="537"/>
      <c r="AQ81" s="390" t="s">
        <v>98</v>
      </c>
      <c r="AR81" s="390"/>
      <c r="AS81" s="390"/>
      <c r="AT81" s="390"/>
      <c r="AU81" s="390"/>
      <c r="AV81" s="390"/>
      <c r="AW81" s="390"/>
    </row>
    <row r="82" spans="1:53" s="70" customFormat="1" ht="13.5" customHeight="1" x14ac:dyDescent="0.2">
      <c r="A82" s="418"/>
      <c r="B82" s="418"/>
      <c r="C82" s="460"/>
      <c r="D82" s="460"/>
      <c r="E82" s="423"/>
      <c r="F82" s="460"/>
      <c r="G82" s="467"/>
      <c r="H82" s="418"/>
      <c r="I82" s="471"/>
      <c r="J82" s="460"/>
      <c r="K82" s="423"/>
      <c r="L82" s="469"/>
      <c r="M82" s="418"/>
      <c r="N82" s="418"/>
      <c r="O82" s="418"/>
      <c r="P82" s="418"/>
      <c r="Q82" s="418"/>
      <c r="R82" s="418"/>
      <c r="S82" s="418"/>
      <c r="T82" s="418"/>
      <c r="U82" s="418"/>
      <c r="V82" s="394"/>
      <c r="W82" s="1312" t="s">
        <v>573</v>
      </c>
      <c r="X82" s="1312"/>
      <c r="Y82" s="1312" t="s">
        <v>574</v>
      </c>
      <c r="Z82" s="390"/>
      <c r="AA82" s="1312" t="s">
        <v>573</v>
      </c>
      <c r="AB82" s="1312"/>
      <c r="AC82" s="1312" t="s">
        <v>574</v>
      </c>
      <c r="AD82" s="537"/>
      <c r="AE82" s="1312" t="s">
        <v>573</v>
      </c>
      <c r="AF82" s="1312"/>
      <c r="AG82" s="1312" t="s">
        <v>574</v>
      </c>
      <c r="AH82" s="390"/>
      <c r="AI82" s="1312" t="s">
        <v>573</v>
      </c>
      <c r="AJ82" s="1312"/>
      <c r="AK82" s="1312" t="s">
        <v>574</v>
      </c>
      <c r="AL82" s="390"/>
      <c r="AM82" s="1327" t="s">
        <v>573</v>
      </c>
      <c r="AN82" s="1312"/>
      <c r="AO82" s="1328" t="s">
        <v>574</v>
      </c>
      <c r="AP82" s="537"/>
      <c r="AQ82" s="1" t="s">
        <v>1142</v>
      </c>
      <c r="AR82" s="390"/>
      <c r="AS82" s="390"/>
      <c r="AT82" s="390"/>
      <c r="AU82" s="390"/>
      <c r="AV82" s="390"/>
      <c r="AW82" s="390"/>
    </row>
    <row r="83" spans="1:53" s="70" customFormat="1" ht="13.5" customHeight="1" x14ac:dyDescent="0.2">
      <c r="A83" s="418"/>
      <c r="B83" s="418"/>
      <c r="C83" s="460"/>
      <c r="D83" s="460"/>
      <c r="E83" s="423"/>
      <c r="F83" s="460"/>
      <c r="G83" s="467"/>
      <c r="H83" s="418"/>
      <c r="I83" s="471"/>
      <c r="J83" s="460"/>
      <c r="K83" s="423"/>
      <c r="L83" s="469"/>
      <c r="M83" s="418"/>
      <c r="N83" s="418"/>
      <c r="O83" s="418"/>
      <c r="P83" s="418"/>
      <c r="Q83" s="418"/>
      <c r="R83" s="418"/>
      <c r="S83" s="418"/>
      <c r="T83" s="418"/>
      <c r="U83" s="418"/>
      <c r="V83" s="394"/>
      <c r="W83" s="1312"/>
      <c r="X83" s="1312"/>
      <c r="Y83" s="1312"/>
      <c r="Z83" s="390"/>
      <c r="AA83" s="1312"/>
      <c r="AB83" s="1312"/>
      <c r="AC83" s="1312"/>
      <c r="AD83" s="537"/>
      <c r="AE83" s="1312"/>
      <c r="AF83" s="1312"/>
      <c r="AG83" s="1312"/>
      <c r="AH83" s="390"/>
      <c r="AI83" s="1312"/>
      <c r="AJ83" s="1312"/>
      <c r="AK83" s="1312"/>
      <c r="AL83" s="390"/>
      <c r="AM83" s="1327"/>
      <c r="AN83" s="1312"/>
      <c r="AO83" s="1328"/>
      <c r="AP83" s="537"/>
      <c r="AQ83" s="390"/>
      <c r="AR83" s="390"/>
      <c r="AS83" s="390"/>
      <c r="AT83" s="390"/>
      <c r="AU83" s="390"/>
      <c r="AV83" s="390"/>
      <c r="AW83" s="390"/>
    </row>
    <row r="84" spans="1:53" s="70" customFormat="1" ht="13.5" customHeight="1" x14ac:dyDescent="0.2">
      <c r="A84" s="418"/>
      <c r="B84" s="418"/>
      <c r="C84" s="460"/>
      <c r="D84" s="460"/>
      <c r="E84" s="423"/>
      <c r="F84" s="460"/>
      <c r="G84" s="467"/>
      <c r="H84" s="418"/>
      <c r="I84" s="471"/>
      <c r="J84" s="460"/>
      <c r="K84" s="423"/>
      <c r="L84" s="469"/>
      <c r="M84" s="418"/>
      <c r="N84" s="418"/>
      <c r="O84" s="418"/>
      <c r="P84" s="418"/>
      <c r="Q84" s="418"/>
      <c r="R84" s="418"/>
      <c r="S84" s="418"/>
      <c r="T84" s="418"/>
      <c r="U84" s="418"/>
      <c r="V84" s="1348" t="s">
        <v>95</v>
      </c>
      <c r="W84" s="1352">
        <v>1420</v>
      </c>
      <c r="X84" s="1343" t="s">
        <v>2067</v>
      </c>
      <c r="Y84" s="1352">
        <v>1490</v>
      </c>
      <c r="Z84" s="1349"/>
      <c r="AA84" s="1352">
        <v>1410</v>
      </c>
      <c r="AB84" s="1343" t="s">
        <v>2067</v>
      </c>
      <c r="AC84" s="1352">
        <v>1450</v>
      </c>
      <c r="AD84" s="1349"/>
      <c r="AE84" s="1352">
        <v>1425</v>
      </c>
      <c r="AF84" s="1343" t="s">
        <v>2067</v>
      </c>
      <c r="AG84" s="1352">
        <v>1465</v>
      </c>
      <c r="AH84" s="1349"/>
      <c r="AI84" s="1352">
        <v>1410</v>
      </c>
      <c r="AJ84" s="1343" t="s">
        <v>2067</v>
      </c>
      <c r="AK84" s="1352">
        <v>1440</v>
      </c>
      <c r="AL84" s="1349"/>
      <c r="AM84" s="1353">
        <v>1406</v>
      </c>
      <c r="AN84" s="1343" t="s">
        <v>2067</v>
      </c>
      <c r="AO84" s="1354">
        <v>1416</v>
      </c>
      <c r="AP84" s="1349"/>
      <c r="AQ84" s="1411">
        <f t="shared" ref="AQ84:AQ89" si="5">AVERAGE(AM84,AO84)-AVERAGE(AI84,AK84)</f>
        <v>-14</v>
      </c>
      <c r="AR84" s="390"/>
      <c r="AS84" s="311"/>
      <c r="AT84" s="390"/>
      <c r="AU84" s="390"/>
      <c r="AV84" s="390"/>
      <c r="AW84" s="390"/>
    </row>
    <row r="85" spans="1:53" s="70" customFormat="1" ht="13.5" customHeight="1" x14ac:dyDescent="0.2">
      <c r="A85" s="418"/>
      <c r="B85" s="418"/>
      <c r="C85" s="460"/>
      <c r="D85" s="460"/>
      <c r="E85" s="423"/>
      <c r="F85" s="460"/>
      <c r="G85" s="467"/>
      <c r="H85" s="418"/>
      <c r="I85" s="471"/>
      <c r="J85" s="460"/>
      <c r="K85" s="423"/>
      <c r="L85" s="469"/>
      <c r="M85" s="418"/>
      <c r="N85" s="418"/>
      <c r="O85" s="418"/>
      <c r="P85" s="418"/>
      <c r="Q85" s="418"/>
      <c r="R85" s="418"/>
      <c r="S85" s="418"/>
      <c r="T85" s="418"/>
      <c r="U85" s="418"/>
      <c r="V85" s="369" t="s">
        <v>1584</v>
      </c>
      <c r="W85" s="1316">
        <v>130</v>
      </c>
      <c r="X85" s="1315" t="s">
        <v>2067</v>
      </c>
      <c r="Y85" s="1316">
        <v>150</v>
      </c>
      <c r="Z85" s="1316"/>
      <c r="AA85" s="1316">
        <v>130</v>
      </c>
      <c r="AB85" s="1315" t="s">
        <v>2067</v>
      </c>
      <c r="AC85" s="1316">
        <v>140</v>
      </c>
      <c r="AD85" s="1316"/>
      <c r="AE85" s="1316">
        <v>140</v>
      </c>
      <c r="AF85" s="1315" t="s">
        <v>2067</v>
      </c>
      <c r="AG85" s="1316">
        <v>145</v>
      </c>
      <c r="AH85" s="1316"/>
      <c r="AI85" s="1316">
        <v>155</v>
      </c>
      <c r="AJ85" s="1315" t="s">
        <v>2067</v>
      </c>
      <c r="AK85" s="1316">
        <v>165</v>
      </c>
      <c r="AL85" s="1316"/>
      <c r="AM85" s="1759">
        <v>164</v>
      </c>
      <c r="AN85" s="1315" t="s">
        <v>2067</v>
      </c>
      <c r="AO85" s="1760">
        <v>164</v>
      </c>
      <c r="AP85" s="1316"/>
      <c r="AQ85" s="1358">
        <f t="shared" si="5"/>
        <v>4</v>
      </c>
      <c r="AR85" s="390"/>
      <c r="AS85" s="1420">
        <f>353/9.6</f>
        <v>36.770833333333336</v>
      </c>
      <c r="AT85" s="390"/>
      <c r="AU85" s="390"/>
      <c r="AV85" s="390"/>
      <c r="AW85" s="390"/>
    </row>
    <row r="86" spans="1:53" s="70" customFormat="1" ht="13.5" customHeight="1" x14ac:dyDescent="0.2">
      <c r="A86" s="418"/>
      <c r="B86" s="418"/>
      <c r="C86" s="460"/>
      <c r="D86" s="460"/>
      <c r="E86" s="423"/>
      <c r="F86" s="460"/>
      <c r="G86" s="467"/>
      <c r="H86" s="418"/>
      <c r="I86" s="471"/>
      <c r="J86" s="460"/>
      <c r="K86" s="423"/>
      <c r="L86" s="469"/>
      <c r="M86" s="418"/>
      <c r="N86" s="418"/>
      <c r="O86" s="418"/>
      <c r="P86" s="418"/>
      <c r="Q86" s="418"/>
      <c r="R86" s="418"/>
      <c r="S86" s="418"/>
      <c r="T86" s="418"/>
      <c r="U86" s="418"/>
      <c r="V86" s="1348" t="s">
        <v>1863</v>
      </c>
      <c r="W86" s="1344"/>
      <c r="X86" s="1343" t="s">
        <v>2067</v>
      </c>
      <c r="Y86" s="1344"/>
      <c r="Z86" s="1344"/>
      <c r="AA86" s="1349">
        <v>1090</v>
      </c>
      <c r="AB86" s="1343" t="s">
        <v>2067</v>
      </c>
      <c r="AC86" s="1349">
        <v>1150</v>
      </c>
      <c r="AD86" s="1349"/>
      <c r="AE86" s="1349">
        <v>1105</v>
      </c>
      <c r="AF86" s="1343" t="s">
        <v>2067</v>
      </c>
      <c r="AG86" s="1349">
        <v>1160</v>
      </c>
      <c r="AH86" s="1344"/>
      <c r="AI86" s="1349">
        <v>1115</v>
      </c>
      <c r="AJ86" s="1343" t="s">
        <v>2067</v>
      </c>
      <c r="AK86" s="1349">
        <v>1165</v>
      </c>
      <c r="AL86" s="1344"/>
      <c r="AM86" s="1350">
        <v>1129</v>
      </c>
      <c r="AN86" s="1343" t="s">
        <v>2067</v>
      </c>
      <c r="AO86" s="1351">
        <v>1149</v>
      </c>
      <c r="AP86" s="1349"/>
      <c r="AQ86" s="1357">
        <f t="shared" si="5"/>
        <v>-1</v>
      </c>
      <c r="AR86" s="390"/>
      <c r="AS86" s="390"/>
      <c r="AT86" s="390"/>
      <c r="AU86" s="390"/>
      <c r="AV86" s="390"/>
      <c r="AW86" s="390"/>
    </row>
    <row r="87" spans="1:53" s="70" customFormat="1" ht="13.5" customHeight="1" x14ac:dyDescent="0.2">
      <c r="A87" s="418"/>
      <c r="B87" s="418"/>
      <c r="C87" s="460"/>
      <c r="D87" s="460"/>
      <c r="E87" s="423"/>
      <c r="F87" s="460"/>
      <c r="G87" s="467"/>
      <c r="H87" s="418"/>
      <c r="I87" s="471"/>
      <c r="J87" s="460"/>
      <c r="K87" s="423"/>
      <c r="L87" s="469"/>
      <c r="M87" s="418"/>
      <c r="N87" s="418"/>
      <c r="O87" s="418"/>
      <c r="P87" s="418"/>
      <c r="Q87" s="418"/>
      <c r="R87" s="418"/>
      <c r="S87" s="418"/>
      <c r="T87" s="418"/>
      <c r="U87" s="418"/>
      <c r="V87" s="369" t="s">
        <v>140</v>
      </c>
      <c r="W87" s="1316">
        <v>660</v>
      </c>
      <c r="X87" s="1315" t="s">
        <v>2067</v>
      </c>
      <c r="Y87" s="1316">
        <v>675</v>
      </c>
      <c r="Z87" s="1316"/>
      <c r="AA87" s="1316">
        <v>660</v>
      </c>
      <c r="AB87" s="1315" t="s">
        <v>2067</v>
      </c>
      <c r="AC87" s="1316">
        <v>670</v>
      </c>
      <c r="AD87" s="1316"/>
      <c r="AE87" s="1316">
        <v>660</v>
      </c>
      <c r="AF87" s="1315" t="s">
        <v>2067</v>
      </c>
      <c r="AG87" s="1316">
        <v>670</v>
      </c>
      <c r="AH87" s="1316"/>
      <c r="AI87" s="1316">
        <v>660</v>
      </c>
      <c r="AJ87" s="1315" t="s">
        <v>2067</v>
      </c>
      <c r="AK87" s="1316">
        <v>670</v>
      </c>
      <c r="AL87" s="1316"/>
      <c r="AM87" s="1759">
        <v>639</v>
      </c>
      <c r="AN87" s="1315" t="s">
        <v>2067</v>
      </c>
      <c r="AO87" s="1760">
        <v>649</v>
      </c>
      <c r="AP87" s="1316"/>
      <c r="AQ87" s="1358">
        <f t="shared" si="5"/>
        <v>-21</v>
      </c>
      <c r="AR87" s="390"/>
      <c r="AS87" s="390"/>
      <c r="AT87" s="390"/>
      <c r="AU87" s="390"/>
      <c r="AV87" s="390"/>
      <c r="AW87" s="390"/>
      <c r="AX87" s="199" t="s">
        <v>1848</v>
      </c>
    </row>
    <row r="88" spans="1:53" s="70" customFormat="1" ht="13.5" customHeight="1" x14ac:dyDescent="0.2">
      <c r="A88" s="418"/>
      <c r="B88" s="418"/>
      <c r="C88" s="460"/>
      <c r="D88" s="460"/>
      <c r="E88" s="423"/>
      <c r="F88" s="460"/>
      <c r="G88" s="467"/>
      <c r="H88" s="418"/>
      <c r="I88" s="471"/>
      <c r="J88" s="460"/>
      <c r="K88" s="423"/>
      <c r="L88" s="469"/>
      <c r="M88" s="418"/>
      <c r="N88" s="418"/>
      <c r="O88" s="418"/>
      <c r="P88" s="418"/>
      <c r="Q88" s="418"/>
      <c r="R88" s="418"/>
      <c r="S88" s="418"/>
      <c r="T88" s="418"/>
      <c r="U88" s="418"/>
      <c r="V88" s="213" t="s">
        <v>141</v>
      </c>
      <c r="W88" s="1316"/>
      <c r="X88" s="1315" t="s">
        <v>2067</v>
      </c>
      <c r="Y88" s="1316"/>
      <c r="Z88" s="1316"/>
      <c r="AA88" s="1316">
        <v>870</v>
      </c>
      <c r="AB88" s="1315" t="s">
        <v>2067</v>
      </c>
      <c r="AC88" s="1316">
        <v>930</v>
      </c>
      <c r="AD88" s="1316"/>
      <c r="AE88" s="1316">
        <v>895</v>
      </c>
      <c r="AF88" s="1315" t="s">
        <v>2067</v>
      </c>
      <c r="AG88" s="1316">
        <v>950</v>
      </c>
      <c r="AH88" s="1316"/>
      <c r="AI88" s="1316">
        <v>895</v>
      </c>
      <c r="AJ88" s="1315" t="s">
        <v>2067</v>
      </c>
      <c r="AK88" s="1316">
        <v>945</v>
      </c>
      <c r="AL88" s="1316"/>
      <c r="AM88" s="1759">
        <v>921</v>
      </c>
      <c r="AN88" s="1315" t="s">
        <v>2067</v>
      </c>
      <c r="AO88" s="1760">
        <v>941</v>
      </c>
      <c r="AP88" s="1316"/>
      <c r="AQ88" s="1358">
        <f t="shared" si="5"/>
        <v>11</v>
      </c>
      <c r="AR88" s="390"/>
      <c r="AS88" s="390"/>
      <c r="AT88" s="390"/>
      <c r="AU88" s="390"/>
      <c r="AV88" s="390"/>
      <c r="AW88" s="390"/>
      <c r="AX88" s="70" t="s">
        <v>1253</v>
      </c>
      <c r="AY88" s="149">
        <v>0.42</v>
      </c>
    </row>
    <row r="89" spans="1:53" s="70" customFormat="1" ht="13.5" customHeight="1" x14ac:dyDescent="0.2">
      <c r="A89" s="418"/>
      <c r="B89" s="418"/>
      <c r="C89" s="460"/>
      <c r="D89" s="460"/>
      <c r="E89" s="423"/>
      <c r="F89" s="460"/>
      <c r="G89" s="467"/>
      <c r="H89" s="418"/>
      <c r="I89" s="471"/>
      <c r="J89" s="460"/>
      <c r="K89" s="423"/>
      <c r="L89" s="469"/>
      <c r="M89" s="418"/>
      <c r="N89" s="418"/>
      <c r="O89" s="418"/>
      <c r="P89" s="418"/>
      <c r="Q89" s="418"/>
      <c r="R89" s="418"/>
      <c r="S89" s="418"/>
      <c r="T89" s="418"/>
      <c r="U89" s="418"/>
      <c r="V89" s="1341" t="s">
        <v>1859</v>
      </c>
      <c r="W89" s="1342">
        <v>1.48</v>
      </c>
      <c r="X89" s="1343" t="s">
        <v>2067</v>
      </c>
      <c r="Y89" s="1342">
        <v>1.68</v>
      </c>
      <c r="Z89" s="1344"/>
      <c r="AA89" s="1342">
        <v>1.52</v>
      </c>
      <c r="AB89" s="1343" t="s">
        <v>2067</v>
      </c>
      <c r="AC89" s="1342">
        <v>1.64</v>
      </c>
      <c r="AD89" s="1345"/>
      <c r="AE89" s="1342">
        <v>1.58</v>
      </c>
      <c r="AF89" s="1343" t="s">
        <v>2067</v>
      </c>
      <c r="AG89" s="1342">
        <v>1.69</v>
      </c>
      <c r="AH89" s="1344"/>
      <c r="AI89" s="1342">
        <f>1.65</f>
        <v>1.65</v>
      </c>
      <c r="AJ89" s="1343" t="s">
        <v>2067</v>
      </c>
      <c r="AK89" s="1342">
        <f>1.75</f>
        <v>1.75</v>
      </c>
      <c r="AL89" s="1344"/>
      <c r="AM89" s="1416">
        <f>1.68</f>
        <v>1.68</v>
      </c>
      <c r="AN89" s="1343" t="s">
        <v>2067</v>
      </c>
      <c r="AO89" s="1417">
        <f>1.72</f>
        <v>1.72</v>
      </c>
      <c r="AP89" s="1345"/>
      <c r="AQ89" s="1412">
        <f t="shared" si="5"/>
        <v>0</v>
      </c>
      <c r="AR89" s="390"/>
      <c r="AS89" s="390"/>
      <c r="AT89" s="390"/>
      <c r="AU89" s="390"/>
      <c r="AV89" s="390"/>
      <c r="AW89" s="390"/>
      <c r="AX89" s="70" t="s">
        <v>1863</v>
      </c>
      <c r="AY89" s="70">
        <v>287</v>
      </c>
    </row>
    <row r="90" spans="1:53" s="70" customFormat="1" ht="13.5" customHeight="1" x14ac:dyDescent="0.2">
      <c r="A90" s="418"/>
      <c r="B90" s="418"/>
      <c r="C90" s="460"/>
      <c r="D90" s="460"/>
      <c r="E90" s="423"/>
      <c r="F90" s="460"/>
      <c r="G90" s="467"/>
      <c r="H90" s="418"/>
      <c r="I90" s="471"/>
      <c r="J90" s="460"/>
      <c r="K90" s="423"/>
      <c r="L90" s="469"/>
      <c r="M90" s="418"/>
      <c r="N90" s="418"/>
      <c r="O90" s="418"/>
      <c r="P90" s="418"/>
      <c r="Q90" s="418"/>
      <c r="R90" s="418"/>
      <c r="S90" s="418"/>
      <c r="T90" s="418"/>
      <c r="U90" s="418"/>
      <c r="V90" s="394"/>
      <c r="W90" s="1318"/>
      <c r="X90" s="1318"/>
      <c r="Y90" s="1318"/>
      <c r="Z90" s="1317"/>
      <c r="AA90" s="1318"/>
      <c r="AB90" s="1318"/>
      <c r="AC90" s="1318"/>
      <c r="AD90" s="1319"/>
      <c r="AE90" s="1318"/>
      <c r="AF90" s="1318"/>
      <c r="AG90" s="1318"/>
      <c r="AH90" s="1317"/>
      <c r="AI90" s="1318"/>
      <c r="AJ90" s="1318"/>
      <c r="AK90" s="1318"/>
      <c r="AL90" s="1317"/>
      <c r="AM90" s="1331"/>
      <c r="AN90" s="1318"/>
      <c r="AO90" s="1332"/>
      <c r="AP90" s="1319"/>
      <c r="AQ90" s="1317"/>
      <c r="AR90" s="390"/>
      <c r="AS90" s="390"/>
      <c r="AT90" s="390"/>
      <c r="AU90" s="390"/>
      <c r="AV90" s="390"/>
      <c r="AW90" s="390"/>
    </row>
    <row r="91" spans="1:53" s="70" customFormat="1" ht="13.5" customHeight="1" x14ac:dyDescent="0.2">
      <c r="A91" s="418"/>
      <c r="B91" s="418"/>
      <c r="C91" s="460"/>
      <c r="D91" s="460"/>
      <c r="E91" s="423"/>
      <c r="F91" s="460"/>
      <c r="G91" s="467"/>
      <c r="H91" s="418"/>
      <c r="I91" s="471"/>
      <c r="J91" s="460"/>
      <c r="K91" s="423"/>
      <c r="L91" s="469"/>
      <c r="M91" s="418"/>
      <c r="N91" s="418"/>
      <c r="O91" s="418"/>
      <c r="P91" s="418"/>
      <c r="Q91" s="418"/>
      <c r="R91" s="418"/>
      <c r="S91" s="418"/>
      <c r="T91" s="418"/>
      <c r="U91" s="418"/>
      <c r="V91" s="563" t="s">
        <v>373</v>
      </c>
      <c r="W91" s="1317"/>
      <c r="X91" s="1317"/>
      <c r="Y91" s="1317"/>
      <c r="Z91" s="1317"/>
      <c r="AA91" s="1317"/>
      <c r="AB91" s="1317"/>
      <c r="AC91" s="1317"/>
      <c r="AD91" s="1317"/>
      <c r="AE91" s="1317"/>
      <c r="AF91" s="1317"/>
      <c r="AG91" s="1317"/>
      <c r="AH91" s="1317"/>
      <c r="AI91" s="1317"/>
      <c r="AJ91" s="1317"/>
      <c r="AK91" s="1317"/>
      <c r="AL91" s="1317"/>
      <c r="AM91" s="1333"/>
      <c r="AN91" s="1317"/>
      <c r="AO91" s="1334"/>
      <c r="AP91" s="1317"/>
      <c r="AQ91" s="1317"/>
      <c r="AR91" s="390"/>
      <c r="AS91" s="390"/>
      <c r="AT91" s="390"/>
      <c r="AU91" s="390"/>
      <c r="AV91" s="1420"/>
      <c r="AW91" s="390"/>
    </row>
    <row r="92" spans="1:53" s="70" customFormat="1" ht="13.5" customHeight="1" x14ac:dyDescent="0.2">
      <c r="A92" s="418"/>
      <c r="B92" s="418"/>
      <c r="C92" s="460"/>
      <c r="D92" s="460"/>
      <c r="E92" s="423"/>
      <c r="F92" s="460"/>
      <c r="G92" s="467"/>
      <c r="H92" s="418"/>
      <c r="I92" s="471"/>
      <c r="J92" s="460"/>
      <c r="K92" s="423"/>
      <c r="L92" s="469"/>
      <c r="M92" s="418"/>
      <c r="N92" s="418"/>
      <c r="O92" s="418"/>
      <c r="P92" s="418"/>
      <c r="Q92" s="418"/>
      <c r="R92" s="418"/>
      <c r="S92" s="418"/>
      <c r="T92" s="418"/>
      <c r="U92" s="418"/>
      <c r="V92" s="213" t="s">
        <v>94</v>
      </c>
      <c r="W92" s="231">
        <v>0.03</v>
      </c>
      <c r="X92" s="1313" t="s">
        <v>2067</v>
      </c>
      <c r="Y92" s="231">
        <v>7.0000000000000007E-2</v>
      </c>
      <c r="Z92" s="231"/>
      <c r="AA92" s="231">
        <v>0.05</v>
      </c>
      <c r="AB92" s="1313" t="s">
        <v>2067</v>
      </c>
      <c r="AC92" s="231">
        <v>7.0000000000000007E-2</v>
      </c>
      <c r="AD92" s="231"/>
      <c r="AE92" s="231">
        <v>0.06</v>
      </c>
      <c r="AF92" s="1313" t="s">
        <v>2067</v>
      </c>
      <c r="AG92" s="231">
        <v>0.08</v>
      </c>
      <c r="AH92" s="231"/>
      <c r="AI92" s="231">
        <v>0.06</v>
      </c>
      <c r="AJ92" s="1313" t="s">
        <v>2067</v>
      </c>
      <c r="AK92" s="231">
        <v>0.08</v>
      </c>
      <c r="AL92" s="231"/>
      <c r="AM92" s="1761" t="s">
        <v>1979</v>
      </c>
      <c r="AN92" s="1313" t="s">
        <v>2067</v>
      </c>
      <c r="AO92" s="1762" t="s">
        <v>1979</v>
      </c>
      <c r="AP92" s="1320"/>
      <c r="AQ92" s="962" t="s">
        <v>1979</v>
      </c>
      <c r="AR92" s="406"/>
      <c r="AS92" s="406"/>
      <c r="AT92" s="406"/>
      <c r="AU92" s="406"/>
      <c r="AV92" s="406"/>
      <c r="AW92" s="406"/>
    </row>
    <row r="93" spans="1:53" s="70" customFormat="1" ht="13.5" customHeight="1" x14ac:dyDescent="0.2">
      <c r="A93" s="418"/>
      <c r="B93" s="418"/>
      <c r="C93" s="460"/>
      <c r="D93" s="460"/>
      <c r="E93" s="423"/>
      <c r="F93" s="460"/>
      <c r="G93" s="467"/>
      <c r="H93" s="418"/>
      <c r="I93" s="471"/>
      <c r="J93" s="460"/>
      <c r="K93" s="423"/>
      <c r="L93" s="469"/>
      <c r="M93" s="418"/>
      <c r="N93" s="418"/>
      <c r="O93" s="418"/>
      <c r="P93" s="418"/>
      <c r="Q93" s="418"/>
      <c r="R93" s="418"/>
      <c r="S93" s="418"/>
      <c r="T93" s="418"/>
      <c r="U93" s="418"/>
      <c r="V93" s="394" t="s">
        <v>1309</v>
      </c>
      <c r="W93" s="1393">
        <v>0.03</v>
      </c>
      <c r="X93" s="1394" t="s">
        <v>2067</v>
      </c>
      <c r="Y93" s="1393">
        <v>7.0000000000000007E-2</v>
      </c>
      <c r="Z93" s="1393"/>
      <c r="AA93" s="1393">
        <v>0.05</v>
      </c>
      <c r="AB93" s="1394" t="s">
        <v>2067</v>
      </c>
      <c r="AC93" s="1393">
        <v>7.0000000000000007E-2</v>
      </c>
      <c r="AD93" s="1393"/>
      <c r="AE93" s="1415">
        <v>0.06</v>
      </c>
      <c r="AF93" s="1399" t="s">
        <v>2067</v>
      </c>
      <c r="AG93" s="1415">
        <v>0.08</v>
      </c>
      <c r="AH93" s="1393"/>
      <c r="AI93" s="1393">
        <v>0.06</v>
      </c>
      <c r="AJ93" s="1399" t="s">
        <v>2067</v>
      </c>
      <c r="AK93" s="1393">
        <v>0.08</v>
      </c>
      <c r="AL93" s="1393"/>
      <c r="AM93" s="1761" t="s">
        <v>1979</v>
      </c>
      <c r="AN93" s="1399" t="s">
        <v>2067</v>
      </c>
      <c r="AO93" s="1762" t="s">
        <v>1979</v>
      </c>
      <c r="AP93" s="1363"/>
      <c r="AQ93" s="962" t="s">
        <v>1979</v>
      </c>
      <c r="AR93" s="406"/>
      <c r="AS93" s="406"/>
      <c r="AT93" s="406"/>
      <c r="AU93" s="406"/>
      <c r="AV93" s="406"/>
      <c r="AW93" s="406"/>
    </row>
    <row r="94" spans="1:53" s="70" customFormat="1" ht="13.5" customHeight="1" x14ac:dyDescent="0.2">
      <c r="A94" s="418"/>
      <c r="B94" s="418"/>
      <c r="C94" s="460"/>
      <c r="D94" s="460"/>
      <c r="E94" s="423"/>
      <c r="F94" s="460"/>
      <c r="G94" s="467"/>
      <c r="H94" s="418"/>
      <c r="I94" s="471"/>
      <c r="J94" s="460"/>
      <c r="K94" s="423"/>
      <c r="L94" s="469"/>
      <c r="M94" s="418"/>
      <c r="N94" s="418"/>
      <c r="O94" s="418"/>
      <c r="P94" s="418"/>
      <c r="Q94" s="418"/>
      <c r="R94" s="418"/>
      <c r="S94" s="418"/>
      <c r="T94" s="418"/>
      <c r="U94" s="418"/>
      <c r="V94" s="369" t="s">
        <v>2036</v>
      </c>
      <c r="W94" s="231">
        <v>0.03</v>
      </c>
      <c r="X94" s="1313" t="s">
        <v>2067</v>
      </c>
      <c r="Y94" s="231">
        <v>7.0000000000000007E-2</v>
      </c>
      <c r="Z94" s="231"/>
      <c r="AA94" s="231">
        <v>0.05</v>
      </c>
      <c r="AB94" s="1313" t="s">
        <v>2067</v>
      </c>
      <c r="AC94" s="231">
        <v>7.0000000000000007E-2</v>
      </c>
      <c r="AD94" s="231"/>
      <c r="AE94" s="231">
        <v>0.06</v>
      </c>
      <c r="AF94" s="1313" t="s">
        <v>2067</v>
      </c>
      <c r="AG94" s="231">
        <v>0.08</v>
      </c>
      <c r="AH94" s="231"/>
      <c r="AI94" s="231">
        <v>0.05</v>
      </c>
      <c r="AJ94" s="1313" t="s">
        <v>2067</v>
      </c>
      <c r="AK94" s="231">
        <v>7.0000000000000007E-2</v>
      </c>
      <c r="AL94" s="231"/>
      <c r="AM94" s="1761" t="s">
        <v>1979</v>
      </c>
      <c r="AN94" s="1313" t="s">
        <v>2067</v>
      </c>
      <c r="AO94" s="1762" t="s">
        <v>1979</v>
      </c>
      <c r="AP94" s="1320"/>
      <c r="AQ94" s="962" t="s">
        <v>1979</v>
      </c>
      <c r="AR94" s="406"/>
      <c r="AS94" s="406"/>
      <c r="AT94" s="406"/>
      <c r="AU94" s="406"/>
      <c r="AV94" s="406"/>
      <c r="AW94" s="406"/>
    </row>
    <row r="95" spans="1:53" s="70" customFormat="1" ht="13.5" customHeight="1" x14ac:dyDescent="0.2">
      <c r="A95" s="418"/>
      <c r="B95" s="418"/>
      <c r="C95" s="460"/>
      <c r="D95" s="460"/>
      <c r="E95" s="423"/>
      <c r="F95" s="460"/>
      <c r="G95" s="467"/>
      <c r="H95" s="418"/>
      <c r="I95" s="471"/>
      <c r="J95" s="460"/>
      <c r="K95" s="423"/>
      <c r="L95" s="469"/>
      <c r="M95" s="418"/>
      <c r="N95" s="418"/>
      <c r="O95" s="418"/>
      <c r="P95" s="418"/>
      <c r="Q95" s="418"/>
      <c r="R95" s="418"/>
      <c r="S95" s="418"/>
      <c r="T95" s="418"/>
      <c r="U95" s="418"/>
      <c r="V95" s="392"/>
      <c r="W95" s="1320"/>
      <c r="X95" s="1321"/>
      <c r="Y95" s="1320"/>
      <c r="Z95" s="1320"/>
      <c r="AA95" s="1321"/>
      <c r="AB95" s="1321"/>
      <c r="AC95" s="1321"/>
      <c r="AD95" s="1321"/>
      <c r="AE95" s="1321"/>
      <c r="AF95" s="1321"/>
      <c r="AG95" s="1321"/>
      <c r="AH95" s="1320"/>
      <c r="AI95" s="1321"/>
      <c r="AJ95" s="1321"/>
      <c r="AK95" s="1321"/>
      <c r="AL95" s="1320"/>
      <c r="AM95" s="1763"/>
      <c r="AN95" s="1321"/>
      <c r="AO95" s="1764"/>
      <c r="AP95" s="1321"/>
      <c r="AQ95" s="1317"/>
      <c r="AR95" s="390"/>
      <c r="AS95" s="390"/>
      <c r="AT95" s="390"/>
      <c r="AU95" s="390"/>
      <c r="AV95" s="390"/>
      <c r="AW95" s="390"/>
    </row>
    <row r="96" spans="1:53" s="70" customFormat="1" ht="13.5" customHeight="1" x14ac:dyDescent="0.2">
      <c r="A96" s="418"/>
      <c r="B96" s="418"/>
      <c r="C96" s="460"/>
      <c r="D96" s="460"/>
      <c r="E96" s="423"/>
      <c r="F96" s="460"/>
      <c r="G96" s="467"/>
      <c r="H96" s="418"/>
      <c r="I96" s="471"/>
      <c r="J96" s="460"/>
      <c r="K96" s="423"/>
      <c r="L96" s="469"/>
      <c r="M96" s="418"/>
      <c r="N96" s="418"/>
      <c r="O96" s="418"/>
      <c r="P96" s="418"/>
      <c r="Q96" s="418"/>
      <c r="R96" s="418"/>
      <c r="S96" s="418"/>
      <c r="T96" s="418"/>
      <c r="U96" s="418"/>
      <c r="V96" s="1314" t="s">
        <v>1931</v>
      </c>
      <c r="W96" s="1322"/>
      <c r="X96" s="1323"/>
      <c r="Y96" s="1322"/>
      <c r="Z96" s="1322"/>
      <c r="AA96" s="1321"/>
      <c r="AB96" s="1323"/>
      <c r="AC96" s="1323"/>
      <c r="AD96" s="1323"/>
      <c r="AE96" s="1323"/>
      <c r="AF96" s="1323"/>
      <c r="AG96" s="1323"/>
      <c r="AH96" s="1322"/>
      <c r="AI96" s="1321"/>
      <c r="AJ96" s="1323"/>
      <c r="AK96" s="1323"/>
      <c r="AL96" s="1322"/>
      <c r="AM96" s="1763"/>
      <c r="AN96" s="1323"/>
      <c r="AO96" s="1765"/>
      <c r="AP96" s="1323"/>
      <c r="AQ96" s="1317"/>
      <c r="AR96" s="390"/>
      <c r="AS96" s="390"/>
      <c r="AT96" s="390"/>
      <c r="AU96" s="390"/>
      <c r="AV96" s="390"/>
      <c r="AW96" s="390"/>
      <c r="BA96" s="70">
        <f>45*0.6</f>
        <v>27</v>
      </c>
    </row>
    <row r="97" spans="1:53" s="70" customFormat="1" ht="13.5" customHeight="1" x14ac:dyDescent="0.2">
      <c r="A97" s="418"/>
      <c r="B97" s="418"/>
      <c r="C97" s="460"/>
      <c r="D97" s="460"/>
      <c r="E97" s="423"/>
      <c r="F97" s="460"/>
      <c r="G97" s="467"/>
      <c r="H97" s="418"/>
      <c r="I97" s="471"/>
      <c r="J97" s="460"/>
      <c r="K97" s="423"/>
      <c r="L97" s="469"/>
      <c r="M97" s="418"/>
      <c r="N97" s="418"/>
      <c r="O97" s="418"/>
      <c r="P97" s="418"/>
      <c r="Q97" s="418"/>
      <c r="R97" s="418"/>
      <c r="S97" s="418"/>
      <c r="T97" s="418"/>
      <c r="U97" s="418"/>
      <c r="V97" s="213" t="s">
        <v>97</v>
      </c>
      <c r="W97" s="1316">
        <v>30000</v>
      </c>
      <c r="X97" s="1414"/>
      <c r="Y97" s="1316"/>
      <c r="Z97" s="1316"/>
      <c r="AA97" s="1316">
        <v>30000</v>
      </c>
      <c r="AB97" s="1414"/>
      <c r="AC97" s="1316"/>
      <c r="AD97" s="1316"/>
      <c r="AE97" s="1316">
        <v>25000</v>
      </c>
      <c r="AF97" s="1313" t="s">
        <v>2067</v>
      </c>
      <c r="AG97" s="1316">
        <v>30000</v>
      </c>
      <c r="AH97" s="1316"/>
      <c r="AI97" s="1316">
        <v>20000</v>
      </c>
      <c r="AJ97" s="1313" t="s">
        <v>2067</v>
      </c>
      <c r="AK97" s="1316">
        <v>25000</v>
      </c>
      <c r="AL97" s="1316"/>
      <c r="AM97" s="1759">
        <v>28000</v>
      </c>
      <c r="AN97" s="1313" t="s">
        <v>2067</v>
      </c>
      <c r="AO97" s="1760">
        <v>28000</v>
      </c>
      <c r="AP97" s="1316"/>
      <c r="AQ97" s="1358">
        <f>AVERAGE(AM97,AO97)-AVERAGE(AI97,AK97)</f>
        <v>5500</v>
      </c>
      <c r="AR97" s="390"/>
      <c r="AS97" s="390"/>
      <c r="AT97" s="390"/>
      <c r="AU97" s="390"/>
      <c r="AV97" s="390"/>
      <c r="AW97" s="390"/>
      <c r="BA97" s="149" t="s">
        <v>1849</v>
      </c>
    </row>
    <row r="98" spans="1:53" s="70" customFormat="1" ht="4.5" customHeight="1" x14ac:dyDescent="0.2">
      <c r="A98" s="418"/>
      <c r="B98" s="418"/>
      <c r="C98" s="460"/>
      <c r="D98" s="460"/>
      <c r="E98" s="423"/>
      <c r="F98" s="460"/>
      <c r="G98" s="467"/>
      <c r="H98" s="418"/>
      <c r="I98" s="471"/>
      <c r="J98" s="460"/>
      <c r="K98" s="423"/>
      <c r="L98" s="469"/>
      <c r="M98" s="418"/>
      <c r="N98" s="418"/>
      <c r="O98" s="418"/>
      <c r="P98" s="418"/>
      <c r="Q98" s="418"/>
      <c r="R98" s="418"/>
      <c r="S98" s="418"/>
      <c r="T98" s="418"/>
      <c r="U98" s="418"/>
      <c r="AE98" s="212"/>
      <c r="AF98" s="212"/>
      <c r="AG98" s="212"/>
      <c r="AI98" s="212"/>
      <c r="AJ98" s="212"/>
      <c r="AK98" s="212"/>
      <c r="AM98" s="1766"/>
      <c r="AN98" s="1203"/>
      <c r="AO98" s="1653"/>
      <c r="AQ98" s="212"/>
    </row>
    <row r="99" spans="1:53" s="70" customFormat="1" ht="4.5" customHeight="1" x14ac:dyDescent="0.2">
      <c r="A99" s="418"/>
      <c r="B99" s="418"/>
      <c r="C99" s="460"/>
      <c r="D99" s="460"/>
      <c r="E99" s="423"/>
      <c r="F99" s="460"/>
      <c r="G99" s="467"/>
      <c r="H99" s="418"/>
      <c r="I99" s="471"/>
      <c r="J99" s="460"/>
      <c r="K99" s="423"/>
      <c r="L99" s="469"/>
      <c r="M99" s="418"/>
      <c r="N99" s="418"/>
      <c r="O99" s="418"/>
      <c r="P99" s="418"/>
      <c r="Q99" s="418"/>
      <c r="R99" s="418"/>
      <c r="S99" s="418"/>
      <c r="T99" s="418"/>
      <c r="U99" s="418"/>
      <c r="AE99" s="212"/>
      <c r="AF99" s="212"/>
      <c r="AG99" s="212"/>
    </row>
    <row r="100" spans="1:53" s="70" customFormat="1" ht="13.5" customHeight="1" x14ac:dyDescent="0.2">
      <c r="A100" s="418"/>
      <c r="B100" s="418"/>
      <c r="C100" s="460"/>
      <c r="D100" s="460"/>
      <c r="E100" s="423"/>
      <c r="F100" s="460"/>
      <c r="G100" s="467"/>
      <c r="H100" s="418"/>
      <c r="I100" s="471"/>
      <c r="J100" s="460"/>
      <c r="K100" s="423"/>
      <c r="L100" s="469"/>
      <c r="M100" s="418"/>
      <c r="N100" s="418"/>
      <c r="O100" s="418"/>
      <c r="P100" s="418"/>
      <c r="Q100" s="418"/>
      <c r="R100" s="418"/>
      <c r="S100" s="418"/>
      <c r="T100" s="418"/>
      <c r="U100" s="418"/>
      <c r="V100" s="369" t="s">
        <v>96</v>
      </c>
      <c r="W100" s="1316"/>
      <c r="X100" s="8"/>
      <c r="Y100" s="1316"/>
      <c r="Z100" s="1316"/>
      <c r="AA100" s="1355">
        <v>10</v>
      </c>
      <c r="AH100" s="1316"/>
      <c r="AI100" s="1355"/>
      <c r="AL100" s="1316"/>
      <c r="AM100" s="1355"/>
      <c r="AQ100" s="70">
        <f>AE100-AA100</f>
        <v>-10</v>
      </c>
    </row>
    <row r="101" spans="1:53" s="70" customFormat="1" ht="13.5" customHeight="1" x14ac:dyDescent="0.2">
      <c r="A101" s="418"/>
      <c r="B101" s="418"/>
      <c r="C101" s="460"/>
      <c r="D101" s="460"/>
      <c r="E101" s="423"/>
      <c r="F101" s="460"/>
      <c r="G101" s="467"/>
      <c r="H101" s="418"/>
      <c r="I101" s="471"/>
      <c r="J101" s="460"/>
      <c r="K101" s="423"/>
      <c r="L101" s="469"/>
      <c r="M101" s="418"/>
      <c r="N101" s="418"/>
      <c r="O101" s="418"/>
      <c r="P101" s="418"/>
      <c r="Q101" s="418"/>
      <c r="R101" s="418"/>
      <c r="S101" s="418"/>
      <c r="T101" s="418"/>
      <c r="U101" s="418"/>
      <c r="V101" s="369" t="s">
        <v>89</v>
      </c>
      <c r="W101" s="1316"/>
      <c r="X101" s="8"/>
      <c r="Y101" s="1316"/>
      <c r="Z101" s="1316"/>
      <c r="AA101" s="1316">
        <v>105</v>
      </c>
      <c r="AH101" s="1316"/>
      <c r="AI101" s="1316"/>
      <c r="AL101" s="1316"/>
      <c r="AM101" s="1316"/>
      <c r="AQ101" s="70">
        <f>AE101-AA101</f>
        <v>-105</v>
      </c>
    </row>
    <row r="102" spans="1:53" s="70" customFormat="1" ht="13.5" customHeight="1" x14ac:dyDescent="0.2">
      <c r="A102" s="418"/>
      <c r="B102" s="418"/>
      <c r="C102" s="460"/>
      <c r="D102" s="460"/>
      <c r="E102" s="423"/>
      <c r="F102" s="460"/>
      <c r="G102" s="467"/>
      <c r="H102" s="418"/>
      <c r="I102" s="471"/>
      <c r="J102" s="460"/>
      <c r="K102" s="423"/>
      <c r="L102" s="469"/>
      <c r="M102" s="418"/>
      <c r="N102" s="418"/>
      <c r="O102" s="418"/>
      <c r="P102" s="418"/>
      <c r="Q102" s="418"/>
      <c r="R102" s="418"/>
      <c r="S102" s="418"/>
      <c r="T102" s="418"/>
      <c r="U102" s="418"/>
      <c r="V102" s="1170" t="s">
        <v>712</v>
      </c>
      <c r="W102" s="8"/>
      <c r="X102" s="8"/>
      <c r="Y102" s="8"/>
      <c r="Z102" s="8"/>
      <c r="AA102" s="1316">
        <v>-5</v>
      </c>
      <c r="AH102" s="8"/>
      <c r="AI102" s="1316"/>
      <c r="AL102" s="8"/>
      <c r="AM102" s="1316"/>
      <c r="AQ102" s="70">
        <f>AE102-AA102</f>
        <v>5</v>
      </c>
    </row>
    <row r="103" spans="1:53" s="70" customFormat="1" ht="4.5" customHeight="1" x14ac:dyDescent="0.2">
      <c r="A103" s="418"/>
      <c r="B103" s="418"/>
      <c r="C103" s="460"/>
      <c r="D103" s="460"/>
      <c r="E103" s="423"/>
      <c r="F103" s="460"/>
      <c r="G103" s="467"/>
      <c r="H103" s="418"/>
      <c r="I103" s="471"/>
      <c r="J103" s="460"/>
      <c r="K103" s="423"/>
      <c r="L103" s="469"/>
      <c r="M103" s="418"/>
      <c r="N103" s="418"/>
      <c r="O103" s="418"/>
      <c r="P103" s="418"/>
      <c r="Q103" s="418"/>
      <c r="R103" s="418"/>
      <c r="S103" s="418"/>
      <c r="T103" s="418"/>
      <c r="U103" s="418"/>
      <c r="V103" s="369"/>
      <c r="W103" s="1316"/>
      <c r="X103" s="8"/>
      <c r="Y103" s="1316"/>
      <c r="Z103" s="1316"/>
      <c r="AA103" s="1316"/>
      <c r="AH103" s="1316"/>
      <c r="AI103" s="1316"/>
      <c r="AL103" s="1316"/>
      <c r="AM103" s="1316"/>
    </row>
    <row r="104" spans="1:53" s="70" customFormat="1" ht="13.5" customHeight="1" x14ac:dyDescent="0.2">
      <c r="A104" s="418"/>
      <c r="B104" s="418"/>
      <c r="C104" s="460"/>
      <c r="D104" s="460"/>
      <c r="E104" s="423"/>
      <c r="F104" s="460"/>
      <c r="G104" s="467"/>
      <c r="H104" s="418"/>
      <c r="I104" s="471"/>
      <c r="J104" s="460"/>
      <c r="K104" s="423"/>
      <c r="L104" s="469"/>
      <c r="M104" s="418"/>
      <c r="N104" s="418"/>
      <c r="O104" s="418"/>
      <c r="P104" s="418"/>
      <c r="Q104" s="418"/>
      <c r="R104" s="418"/>
      <c r="S104" s="418"/>
      <c r="T104" s="418"/>
      <c r="U104" s="418"/>
      <c r="V104" s="369"/>
      <c r="W104" s="1316"/>
      <c r="X104" s="8"/>
      <c r="Y104" s="1316"/>
      <c r="Z104" s="1316"/>
      <c r="AA104" s="1316"/>
      <c r="AH104" s="1316"/>
      <c r="AI104" s="1316"/>
      <c r="AL104" s="1316"/>
      <c r="AM104" s="1316"/>
    </row>
    <row r="105" spans="1:53" s="70" customFormat="1" ht="13.5" customHeight="1" x14ac:dyDescent="0.2">
      <c r="A105" s="418"/>
      <c r="B105" s="418"/>
      <c r="C105" s="460"/>
      <c r="D105" s="460"/>
      <c r="E105" s="423"/>
      <c r="F105" s="460"/>
      <c r="G105" s="467"/>
      <c r="H105" s="418"/>
      <c r="I105" s="471"/>
      <c r="J105" s="460"/>
      <c r="K105" s="423"/>
      <c r="L105" s="469"/>
      <c r="M105" s="418"/>
      <c r="N105" s="418"/>
      <c r="O105" s="418"/>
      <c r="P105" s="418"/>
      <c r="Q105" s="418"/>
      <c r="R105" s="418"/>
      <c r="S105" s="418"/>
      <c r="T105" s="418"/>
      <c r="U105" s="418"/>
      <c r="V105" s="369"/>
      <c r="W105" s="1316"/>
      <c r="X105" s="8"/>
      <c r="Y105" s="1316"/>
      <c r="Z105" s="1316"/>
      <c r="AA105" s="1316"/>
      <c r="AH105" s="1316"/>
      <c r="AI105" s="1316"/>
      <c r="AL105" s="1316"/>
      <c r="AM105" s="1316"/>
      <c r="AS105" s="248" t="s">
        <v>1136</v>
      </c>
    </row>
    <row r="106" spans="1:53" s="70" customFormat="1" ht="13.5" customHeight="1" x14ac:dyDescent="0.2">
      <c r="A106" s="418"/>
      <c r="B106" s="418"/>
      <c r="C106" s="460"/>
      <c r="D106" s="460"/>
      <c r="E106" s="423"/>
      <c r="F106" s="460"/>
      <c r="G106" s="467"/>
      <c r="H106" s="418"/>
      <c r="I106" s="471"/>
      <c r="J106" s="460"/>
      <c r="K106" s="423"/>
      <c r="L106" s="469"/>
      <c r="M106" s="418"/>
      <c r="N106" s="418"/>
      <c r="O106" s="418"/>
      <c r="P106" s="418"/>
      <c r="Q106" s="418"/>
      <c r="R106" s="418"/>
      <c r="S106" s="418"/>
      <c r="T106" s="418"/>
      <c r="U106" s="418"/>
      <c r="V106" s="369"/>
      <c r="W106" s="1316"/>
      <c r="X106" s="8"/>
      <c r="Y106" s="1316"/>
      <c r="Z106" s="1316"/>
      <c r="AA106" s="1316"/>
      <c r="AH106" s="1316"/>
      <c r="AI106" s="1316"/>
      <c r="AL106" s="1316"/>
      <c r="AM106" s="1316"/>
      <c r="AS106" s="275" t="s">
        <v>91</v>
      </c>
      <c r="BA106" s="70">
        <f>40*0.67</f>
        <v>26.8</v>
      </c>
    </row>
    <row r="107" spans="1:53" s="70" customFormat="1" ht="13.5" customHeight="1" x14ac:dyDescent="0.2">
      <c r="A107" s="418"/>
      <c r="B107" s="418"/>
      <c r="C107" s="460"/>
      <c r="D107" s="460"/>
      <c r="E107" s="423"/>
      <c r="F107" s="460"/>
      <c r="G107" s="467"/>
      <c r="H107" s="418"/>
      <c r="I107" s="471"/>
      <c r="J107" s="460"/>
      <c r="K107" s="423"/>
      <c r="L107" s="469"/>
      <c r="M107" s="418"/>
      <c r="N107" s="418"/>
      <c r="O107" s="418"/>
      <c r="P107" s="418"/>
      <c r="Q107" s="418"/>
      <c r="R107" s="418"/>
      <c r="S107" s="418"/>
      <c r="T107" s="418"/>
      <c r="U107" s="418"/>
      <c r="V107" s="369"/>
      <c r="W107" s="1316"/>
      <c r="X107" s="8"/>
      <c r="Y107" s="1316"/>
      <c r="Z107" s="1316"/>
      <c r="AA107" s="1316"/>
      <c r="AH107" s="1316"/>
      <c r="AI107" s="1316"/>
      <c r="AL107" s="1316"/>
      <c r="AM107" s="1316"/>
      <c r="AV107" s="1359" t="s">
        <v>1591</v>
      </c>
      <c r="BA107" s="149">
        <f>BA106/338</f>
        <v>7.9289940828402364E-2</v>
      </c>
    </row>
    <row r="108" spans="1:53" s="70" customFormat="1" ht="13.5" customHeight="1" x14ac:dyDescent="0.2">
      <c r="A108" s="418"/>
      <c r="B108" s="418"/>
      <c r="C108" s="460"/>
      <c r="D108" s="460"/>
      <c r="E108" s="423"/>
      <c r="F108" s="460"/>
      <c r="G108" s="467"/>
      <c r="H108" s="418"/>
      <c r="I108" s="471"/>
      <c r="J108" s="460"/>
      <c r="K108" s="423"/>
      <c r="L108" s="469"/>
      <c r="M108" s="418"/>
      <c r="N108" s="418"/>
      <c r="O108" s="418"/>
      <c r="P108" s="418"/>
      <c r="Q108" s="418"/>
      <c r="R108" s="418"/>
      <c r="S108" s="418"/>
      <c r="T108" s="418"/>
      <c r="U108" s="418"/>
      <c r="V108" s="369"/>
      <c r="W108" s="1316"/>
      <c r="X108" s="8"/>
      <c r="Y108" s="1316"/>
      <c r="Z108" s="1316"/>
      <c r="AA108" s="1316"/>
      <c r="AH108" s="1316"/>
      <c r="AI108" s="1316"/>
      <c r="AL108" s="1316"/>
      <c r="AM108" s="1316"/>
      <c r="AS108" s="195"/>
      <c r="AT108" s="335" t="s">
        <v>1782</v>
      </c>
      <c r="AU108" s="195"/>
      <c r="AV108" s="335" t="s">
        <v>1592</v>
      </c>
    </row>
    <row r="109" spans="1:53" s="70" customFormat="1" ht="13.5" customHeight="1" x14ac:dyDescent="0.2">
      <c r="A109" s="418"/>
      <c r="B109" s="418"/>
      <c r="C109" s="460"/>
      <c r="D109" s="460"/>
      <c r="E109" s="423"/>
      <c r="F109" s="460"/>
      <c r="G109" s="467"/>
      <c r="H109" s="418"/>
      <c r="I109" s="471"/>
      <c r="J109" s="460"/>
      <c r="K109" s="423"/>
      <c r="L109" s="469"/>
      <c r="M109" s="418"/>
      <c r="N109" s="418"/>
      <c r="O109" s="418"/>
      <c r="P109" s="418"/>
      <c r="Q109" s="418"/>
      <c r="R109" s="418"/>
      <c r="S109" s="418"/>
      <c r="T109" s="418"/>
      <c r="U109" s="418"/>
      <c r="V109" s="369"/>
      <c r="W109" s="1316"/>
      <c r="X109" s="8"/>
      <c r="Y109" s="1316"/>
      <c r="Z109" s="1316"/>
      <c r="AA109" s="1316"/>
      <c r="AH109" s="1316"/>
      <c r="AI109" s="1316"/>
      <c r="AL109" s="1316"/>
      <c r="AM109" s="1316"/>
    </row>
    <row r="110" spans="1:53" s="70" customFormat="1" ht="13.5" customHeight="1" x14ac:dyDescent="0.2">
      <c r="A110" s="418"/>
      <c r="B110" s="418"/>
      <c r="C110" s="460"/>
      <c r="D110" s="460"/>
      <c r="E110" s="423"/>
      <c r="F110" s="460"/>
      <c r="G110" s="467"/>
      <c r="H110" s="418"/>
      <c r="I110" s="471"/>
      <c r="J110" s="460"/>
      <c r="K110" s="423"/>
      <c r="L110" s="469"/>
      <c r="M110" s="418"/>
      <c r="N110" s="418"/>
      <c r="O110" s="418"/>
      <c r="P110" s="418"/>
      <c r="Q110" s="418"/>
      <c r="R110" s="418"/>
      <c r="S110" s="418"/>
      <c r="T110" s="418"/>
      <c r="U110" s="418"/>
      <c r="V110" s="369"/>
      <c r="W110" s="1316"/>
      <c r="X110" s="8"/>
      <c r="Y110" s="1316"/>
      <c r="Z110" s="1316"/>
      <c r="AA110" s="1316"/>
      <c r="AH110" s="1316"/>
      <c r="AI110" s="1316"/>
      <c r="AL110" s="1316"/>
      <c r="AM110" s="1316"/>
      <c r="AS110" s="275" t="s">
        <v>1587</v>
      </c>
      <c r="AT110" s="1304" t="s">
        <v>1572</v>
      </c>
      <c r="AX110" s="311">
        <f>136+153+40</f>
        <v>329</v>
      </c>
      <c r="AY110" s="70">
        <f>130+158+35</f>
        <v>323</v>
      </c>
    </row>
    <row r="111" spans="1:53" s="70" customFormat="1" ht="13.5" customHeight="1" x14ac:dyDescent="0.2">
      <c r="A111" s="418"/>
      <c r="B111" s="418"/>
      <c r="C111" s="460"/>
      <c r="D111" s="460"/>
      <c r="E111" s="423"/>
      <c r="F111" s="460"/>
      <c r="G111" s="467"/>
      <c r="H111" s="418"/>
      <c r="I111" s="471"/>
      <c r="J111" s="460"/>
      <c r="K111" s="423"/>
      <c r="L111" s="469"/>
      <c r="M111" s="418"/>
      <c r="N111" s="418"/>
      <c r="O111" s="418"/>
      <c r="P111" s="418"/>
      <c r="Q111" s="418"/>
      <c r="R111" s="418"/>
      <c r="S111" s="418"/>
      <c r="T111" s="418"/>
      <c r="U111" s="418"/>
      <c r="V111" s="369"/>
      <c r="W111" s="1316"/>
      <c r="X111" s="8"/>
      <c r="Y111" s="1316"/>
      <c r="Z111" s="1316"/>
      <c r="AA111" s="1316"/>
      <c r="AH111" s="1316"/>
      <c r="AI111" s="1316"/>
      <c r="AL111" s="1316"/>
      <c r="AM111" s="1316"/>
      <c r="AS111" s="1170" t="s">
        <v>1584</v>
      </c>
      <c r="AT111" s="1401">
        <v>55</v>
      </c>
    </row>
    <row r="112" spans="1:53" s="70" customFormat="1" ht="13.5" customHeight="1" x14ac:dyDescent="0.2">
      <c r="A112" s="418"/>
      <c r="B112" s="418"/>
      <c r="C112" s="460"/>
      <c r="D112" s="460"/>
      <c r="E112" s="423"/>
      <c r="F112" s="460"/>
      <c r="G112" s="467"/>
      <c r="H112" s="418"/>
      <c r="I112" s="471"/>
      <c r="J112" s="460"/>
      <c r="K112" s="423"/>
      <c r="L112" s="469"/>
      <c r="M112" s="418"/>
      <c r="N112" s="418"/>
      <c r="O112" s="418"/>
      <c r="P112" s="418"/>
      <c r="Q112" s="418"/>
      <c r="R112" s="418"/>
      <c r="S112" s="418"/>
      <c r="T112" s="418"/>
      <c r="U112" s="418"/>
      <c r="V112" s="369"/>
      <c r="W112" s="1316"/>
      <c r="X112" s="8"/>
      <c r="Y112" s="1316"/>
      <c r="Z112" s="1316"/>
      <c r="AA112" s="1316"/>
      <c r="AH112" s="1316"/>
      <c r="AI112" s="1316"/>
      <c r="AL112" s="1316"/>
      <c r="AM112" s="1316"/>
      <c r="AS112" s="1170" t="s">
        <v>140</v>
      </c>
      <c r="AT112" s="1401" t="s">
        <v>1573</v>
      </c>
    </row>
    <row r="113" spans="1:49" s="70" customFormat="1" ht="13.5" customHeight="1" x14ac:dyDescent="0.2">
      <c r="A113" s="418"/>
      <c r="B113" s="418"/>
      <c r="C113" s="460"/>
      <c r="D113" s="460"/>
      <c r="E113" s="423"/>
      <c r="F113" s="460"/>
      <c r="G113" s="467"/>
      <c r="H113" s="418"/>
      <c r="I113" s="471"/>
      <c r="J113" s="460"/>
      <c r="K113" s="423"/>
      <c r="L113" s="469"/>
      <c r="M113" s="418"/>
      <c r="N113" s="418"/>
      <c r="O113" s="418"/>
      <c r="P113" s="418"/>
      <c r="Q113" s="418"/>
      <c r="R113" s="418"/>
      <c r="S113" s="418"/>
      <c r="T113" s="418"/>
      <c r="U113" s="418"/>
      <c r="V113" s="369"/>
      <c r="W113" s="1316"/>
      <c r="X113" s="8"/>
      <c r="Y113" s="1316"/>
      <c r="Z113" s="1316"/>
      <c r="AA113" s="1316"/>
      <c r="AH113" s="1316"/>
      <c r="AI113" s="1316"/>
      <c r="AL113" s="1316"/>
      <c r="AM113" s="1316"/>
      <c r="AS113" s="275" t="s">
        <v>141</v>
      </c>
      <c r="AT113" s="1401" t="s">
        <v>1574</v>
      </c>
      <c r="AV113" s="85"/>
    </row>
    <row r="114" spans="1:49" s="70" customFormat="1" ht="13.5" customHeight="1" x14ac:dyDescent="0.2">
      <c r="A114" s="418"/>
      <c r="B114" s="418"/>
      <c r="C114" s="460"/>
      <c r="D114" s="460"/>
      <c r="E114" s="423"/>
      <c r="F114" s="460"/>
      <c r="G114" s="467"/>
      <c r="H114" s="418"/>
      <c r="I114" s="471"/>
      <c r="J114" s="460"/>
      <c r="K114" s="423"/>
      <c r="L114" s="469"/>
      <c r="M114" s="418"/>
      <c r="N114" s="418"/>
      <c r="O114" s="418"/>
      <c r="P114" s="418"/>
      <c r="Q114" s="418"/>
      <c r="R114" s="418"/>
      <c r="S114" s="418"/>
      <c r="T114" s="418"/>
      <c r="U114" s="418"/>
      <c r="V114" s="369"/>
      <c r="W114" s="1316"/>
      <c r="X114" s="8"/>
      <c r="Y114" s="1316"/>
      <c r="Z114" s="1316"/>
      <c r="AA114" s="1316"/>
      <c r="AH114" s="1316"/>
      <c r="AI114" s="1316"/>
      <c r="AL114" s="1316"/>
      <c r="AM114" s="1316"/>
      <c r="AS114" s="1360" t="s">
        <v>1577</v>
      </c>
      <c r="AT114" s="1361" t="s">
        <v>1576</v>
      </c>
      <c r="AU114" s="1084"/>
      <c r="AV114" s="1362">
        <v>0.56999999999999995</v>
      </c>
    </row>
    <row r="115" spans="1:49" s="70" customFormat="1" ht="13.5" customHeight="1" x14ac:dyDescent="0.2">
      <c r="A115" s="418"/>
      <c r="B115" s="418"/>
      <c r="C115" s="460"/>
      <c r="D115" s="460"/>
      <c r="E115" s="423"/>
      <c r="F115" s="460"/>
      <c r="G115" s="467"/>
      <c r="H115" s="418"/>
      <c r="I115" s="471"/>
      <c r="J115" s="460"/>
      <c r="K115" s="423"/>
      <c r="L115" s="469"/>
      <c r="M115" s="418"/>
      <c r="N115" s="418"/>
      <c r="O115" s="418"/>
      <c r="P115" s="418"/>
      <c r="Q115" s="418"/>
      <c r="R115" s="418"/>
      <c r="S115" s="418"/>
      <c r="T115" s="418"/>
      <c r="U115" s="418"/>
      <c r="V115" s="369"/>
      <c r="W115" s="1316"/>
      <c r="X115" s="8"/>
      <c r="Y115" s="1316"/>
      <c r="Z115" s="1316"/>
      <c r="AA115" s="1316"/>
      <c r="AH115" s="1316"/>
      <c r="AI115" s="1316"/>
      <c r="AL115" s="1316"/>
      <c r="AM115" s="1316"/>
      <c r="AS115" s="207"/>
      <c r="AT115" s="1757"/>
    </row>
    <row r="116" spans="1:49" s="70" customFormat="1" ht="13.5" customHeight="1" x14ac:dyDescent="0.2">
      <c r="A116" s="418"/>
      <c r="B116" s="418"/>
      <c r="C116" s="460"/>
      <c r="D116" s="460"/>
      <c r="E116" s="423"/>
      <c r="F116" s="460"/>
      <c r="G116" s="467"/>
      <c r="H116" s="418"/>
      <c r="I116" s="471"/>
      <c r="J116" s="460"/>
      <c r="K116" s="423"/>
      <c r="L116" s="469"/>
      <c r="M116" s="418"/>
      <c r="N116" s="418"/>
      <c r="O116" s="418"/>
      <c r="P116" s="418"/>
      <c r="Q116" s="418"/>
      <c r="R116" s="418"/>
      <c r="S116" s="418"/>
      <c r="T116" s="418"/>
      <c r="U116" s="418"/>
      <c r="V116" s="369"/>
      <c r="W116" s="1316"/>
      <c r="X116" s="8"/>
      <c r="Y116" s="1316"/>
      <c r="Z116" s="1316"/>
      <c r="AA116" s="1316"/>
      <c r="AH116" s="1316"/>
      <c r="AI116" s="1316"/>
      <c r="AL116" s="1316"/>
      <c r="AM116" s="1316"/>
      <c r="AS116" s="563" t="s">
        <v>137</v>
      </c>
      <c r="AT116" s="1299"/>
    </row>
    <row r="117" spans="1:49" s="70" customFormat="1" ht="13.5" customHeight="1" x14ac:dyDescent="0.2">
      <c r="A117" s="418"/>
      <c r="B117" s="418"/>
      <c r="C117" s="460"/>
      <c r="D117" s="460"/>
      <c r="E117" s="423"/>
      <c r="F117" s="460"/>
      <c r="G117" s="467"/>
      <c r="H117" s="418"/>
      <c r="I117" s="471"/>
      <c r="J117" s="460"/>
      <c r="K117" s="423"/>
      <c r="L117" s="469"/>
      <c r="M117" s="418"/>
      <c r="N117" s="418"/>
      <c r="O117" s="418"/>
      <c r="P117" s="418"/>
      <c r="Q117" s="418"/>
      <c r="R117" s="418"/>
      <c r="S117" s="418"/>
      <c r="T117" s="418"/>
      <c r="U117" s="418"/>
      <c r="V117" s="369"/>
      <c r="W117" s="1316"/>
      <c r="X117" s="8"/>
      <c r="Y117" s="1316"/>
      <c r="Z117" s="1316"/>
      <c r="AA117" s="1316"/>
      <c r="AH117" s="1316"/>
      <c r="AI117" s="1316"/>
      <c r="AL117" s="1316"/>
      <c r="AM117" s="1316"/>
      <c r="AS117" s="275" t="s">
        <v>382</v>
      </c>
      <c r="AT117" s="1301" t="s">
        <v>1571</v>
      </c>
    </row>
    <row r="118" spans="1:49" s="70" customFormat="1" ht="13.5" customHeight="1" x14ac:dyDescent="0.2">
      <c r="A118" s="418"/>
      <c r="B118" s="418"/>
      <c r="C118" s="460"/>
      <c r="D118" s="460"/>
      <c r="E118" s="423"/>
      <c r="F118" s="460"/>
      <c r="G118" s="467"/>
      <c r="H118" s="418"/>
      <c r="I118" s="471"/>
      <c r="J118" s="460"/>
      <c r="K118" s="423"/>
      <c r="L118" s="469"/>
      <c r="M118" s="418"/>
      <c r="N118" s="418"/>
      <c r="O118" s="418"/>
      <c r="P118" s="418"/>
      <c r="Q118" s="418"/>
      <c r="R118" s="418"/>
      <c r="S118" s="418"/>
      <c r="T118" s="418"/>
      <c r="U118" s="418"/>
      <c r="V118" s="369"/>
      <c r="W118" s="1316"/>
      <c r="X118" s="8"/>
      <c r="Y118" s="1316"/>
      <c r="Z118" s="1316"/>
      <c r="AA118" s="1316"/>
      <c r="AH118" s="1316"/>
      <c r="AI118" s="1316"/>
      <c r="AL118" s="1316"/>
      <c r="AM118" s="1316"/>
      <c r="AS118" s="1170" t="s">
        <v>1309</v>
      </c>
      <c r="AT118" s="1301" t="s">
        <v>2220</v>
      </c>
    </row>
    <row r="119" spans="1:49" s="70" customFormat="1" ht="13.5" customHeight="1" x14ac:dyDescent="0.2">
      <c r="A119" s="418"/>
      <c r="B119" s="418"/>
      <c r="C119" s="460"/>
      <c r="D119" s="460"/>
      <c r="E119" s="423"/>
      <c r="F119" s="460"/>
      <c r="G119" s="467"/>
      <c r="H119" s="418"/>
      <c r="I119" s="471"/>
      <c r="J119" s="460"/>
      <c r="K119" s="423"/>
      <c r="L119" s="469"/>
      <c r="M119" s="418"/>
      <c r="N119" s="418"/>
      <c r="O119" s="418"/>
      <c r="P119" s="418"/>
      <c r="Q119" s="418"/>
      <c r="R119" s="418"/>
      <c r="S119" s="418"/>
      <c r="T119" s="418"/>
      <c r="U119" s="418"/>
      <c r="V119" s="369"/>
      <c r="W119" s="1316"/>
      <c r="X119" s="8"/>
      <c r="Y119" s="1316"/>
      <c r="Z119" s="1316"/>
      <c r="AA119" s="1316"/>
      <c r="AH119" s="1316"/>
      <c r="AI119" s="1316"/>
      <c r="AL119" s="1316"/>
      <c r="AM119" s="1316"/>
      <c r="AS119" s="1170" t="s">
        <v>2036</v>
      </c>
      <c r="AT119" s="1301">
        <v>0.03</v>
      </c>
    </row>
    <row r="120" spans="1:49" s="70" customFormat="1" ht="3.75" customHeight="1" x14ac:dyDescent="0.2">
      <c r="A120" s="418"/>
      <c r="B120" s="418"/>
      <c r="C120" s="460"/>
      <c r="D120" s="460"/>
      <c r="E120" s="423"/>
      <c r="F120" s="460"/>
      <c r="G120" s="467"/>
      <c r="H120" s="418"/>
      <c r="I120" s="471"/>
      <c r="J120" s="460"/>
      <c r="K120" s="423"/>
      <c r="L120" s="469"/>
      <c r="M120" s="418"/>
      <c r="N120" s="418"/>
      <c r="O120" s="418"/>
      <c r="P120" s="418"/>
      <c r="Q120" s="418"/>
      <c r="R120" s="418"/>
      <c r="S120" s="418"/>
      <c r="T120" s="418"/>
      <c r="U120" s="418"/>
      <c r="V120" s="369"/>
      <c r="W120" s="1316"/>
      <c r="X120" s="8"/>
      <c r="Y120" s="1316"/>
      <c r="Z120" s="1316"/>
      <c r="AA120" s="1316"/>
      <c r="AH120" s="1316"/>
      <c r="AI120" s="1316"/>
      <c r="AL120" s="1316"/>
      <c r="AM120" s="1316"/>
      <c r="AS120" s="1758"/>
      <c r="AT120" s="1301"/>
    </row>
    <row r="121" spans="1:49" s="70" customFormat="1" ht="3" customHeight="1" x14ac:dyDescent="0.2">
      <c r="A121" s="418"/>
      <c r="B121" s="418"/>
      <c r="C121" s="460"/>
      <c r="D121" s="460"/>
      <c r="E121" s="423"/>
      <c r="F121" s="460"/>
      <c r="G121" s="467"/>
      <c r="H121" s="418"/>
      <c r="I121" s="471"/>
      <c r="J121" s="460"/>
      <c r="K121" s="423"/>
      <c r="L121" s="469"/>
      <c r="M121" s="418"/>
      <c r="N121" s="418"/>
      <c r="O121" s="418"/>
      <c r="P121" s="418"/>
      <c r="Q121" s="418"/>
      <c r="R121" s="418"/>
      <c r="S121" s="418"/>
      <c r="T121" s="418"/>
      <c r="U121" s="418"/>
      <c r="V121" s="369"/>
      <c r="W121" s="1316"/>
      <c r="X121" s="8"/>
      <c r="Y121" s="1316"/>
      <c r="Z121" s="1316"/>
      <c r="AA121" s="1316"/>
      <c r="AH121" s="1316"/>
      <c r="AI121" s="1316"/>
      <c r="AL121" s="1316"/>
      <c r="AM121" s="1316"/>
      <c r="AS121" s="207"/>
      <c r="AT121" s="207"/>
    </row>
    <row r="122" spans="1:49" ht="13.5" customHeight="1" x14ac:dyDescent="0.2">
      <c r="A122" s="418"/>
      <c r="B122" s="418"/>
      <c r="C122" s="418"/>
      <c r="D122" s="418"/>
      <c r="E122" s="418"/>
      <c r="F122" s="460"/>
      <c r="G122" s="467"/>
      <c r="H122" s="418"/>
      <c r="I122" s="463"/>
      <c r="J122" s="418"/>
      <c r="K122" s="460"/>
      <c r="L122" s="469"/>
      <c r="M122" s="418"/>
      <c r="N122" s="418"/>
      <c r="O122" s="418"/>
      <c r="P122" s="418"/>
      <c r="Q122" s="418"/>
      <c r="R122" s="418"/>
      <c r="S122" s="418"/>
      <c r="T122" s="418"/>
      <c r="U122" s="418"/>
      <c r="AR122" s="421"/>
      <c r="AS122" s="1424"/>
      <c r="AT122" s="421"/>
      <c r="AU122" s="421"/>
      <c r="AV122" s="421"/>
      <c r="AW122" s="421"/>
    </row>
    <row r="123" spans="1:49" ht="13.5" customHeight="1" x14ac:dyDescent="0.2">
      <c r="A123" s="418"/>
      <c r="B123" s="418"/>
      <c r="C123" s="418"/>
      <c r="D123" s="418"/>
      <c r="E123" s="418"/>
      <c r="F123" s="460"/>
      <c r="G123" s="467"/>
      <c r="H123" s="418"/>
      <c r="I123" s="463"/>
      <c r="J123" s="418"/>
      <c r="K123" s="460"/>
      <c r="L123" s="469"/>
      <c r="M123" s="418"/>
      <c r="N123" s="418"/>
      <c r="O123" s="418"/>
      <c r="P123" s="418"/>
      <c r="Q123" s="418"/>
      <c r="R123" s="418"/>
      <c r="S123" s="418"/>
      <c r="T123" s="418"/>
      <c r="U123" s="418"/>
    </row>
    <row r="124" spans="1:49" ht="4.5" customHeight="1" x14ac:dyDescent="0.2">
      <c r="A124" s="418"/>
      <c r="B124" s="418"/>
      <c r="C124" s="418"/>
      <c r="D124" s="418"/>
      <c r="E124" s="418"/>
      <c r="F124" s="460"/>
      <c r="G124" s="467"/>
      <c r="H124" s="418"/>
      <c r="I124" s="463"/>
      <c r="J124" s="418"/>
      <c r="K124" s="460"/>
      <c r="L124" s="469"/>
      <c r="M124" s="418"/>
      <c r="N124" s="418"/>
      <c r="O124" s="418"/>
      <c r="P124" s="418"/>
      <c r="Q124" s="418"/>
      <c r="R124" s="418"/>
      <c r="S124" s="418"/>
      <c r="T124" s="418"/>
      <c r="U124" s="418"/>
    </row>
    <row r="125" spans="1:49" ht="13.5" customHeight="1" x14ac:dyDescent="0.2">
      <c r="A125" s="418"/>
      <c r="B125" s="418"/>
      <c r="C125" s="418"/>
      <c r="D125" s="418"/>
      <c r="E125" s="418"/>
      <c r="F125" s="418"/>
      <c r="G125" s="462"/>
      <c r="H125" s="418"/>
      <c r="I125" s="463"/>
      <c r="J125" s="418"/>
      <c r="K125" s="418"/>
      <c r="L125" s="462"/>
      <c r="M125" s="418"/>
      <c r="N125" s="418"/>
      <c r="O125" s="418"/>
      <c r="P125" s="418"/>
      <c r="Q125" s="418"/>
      <c r="R125" s="418"/>
      <c r="S125" s="418"/>
      <c r="T125" s="418"/>
      <c r="U125" s="418"/>
    </row>
    <row r="126" spans="1:49" ht="6" customHeight="1" x14ac:dyDescent="0.2">
      <c r="A126" s="418"/>
      <c r="B126" s="418"/>
      <c r="C126" s="418"/>
      <c r="D126" s="418"/>
      <c r="E126" s="418"/>
      <c r="F126" s="418"/>
      <c r="G126" s="462"/>
      <c r="H126" s="418"/>
      <c r="I126" s="463"/>
      <c r="J126" s="418"/>
      <c r="K126" s="418"/>
      <c r="L126" s="462"/>
      <c r="M126" s="418"/>
      <c r="N126" s="418"/>
      <c r="O126" s="418"/>
      <c r="P126" s="418"/>
      <c r="Q126" s="418"/>
      <c r="R126" s="418"/>
      <c r="S126" s="418"/>
      <c r="T126" s="418"/>
      <c r="U126" s="418"/>
    </row>
    <row r="127" spans="1:49" ht="13.5" customHeight="1" x14ac:dyDescent="0.2">
      <c r="A127" s="418"/>
      <c r="B127" s="418"/>
      <c r="C127" s="458"/>
      <c r="D127" s="458"/>
      <c r="E127" s="423"/>
      <c r="F127" s="460"/>
      <c r="G127" s="467"/>
      <c r="H127" s="418"/>
      <c r="I127" s="468"/>
      <c r="J127" s="460"/>
      <c r="K127" s="423"/>
      <c r="L127" s="469"/>
      <c r="M127" s="418"/>
      <c r="N127" s="418"/>
      <c r="O127" s="418"/>
      <c r="P127" s="418"/>
      <c r="Q127" s="418"/>
      <c r="R127" s="418"/>
      <c r="S127" s="418"/>
      <c r="T127" s="418"/>
      <c r="U127" s="418"/>
    </row>
    <row r="128" spans="1:49" s="546" customFormat="1" ht="13.5" customHeight="1" x14ac:dyDescent="0.2">
      <c r="A128" s="418"/>
      <c r="B128" s="418"/>
      <c r="C128" s="458"/>
      <c r="D128" s="458"/>
      <c r="E128" s="423"/>
      <c r="F128" s="460"/>
      <c r="G128" s="467"/>
      <c r="H128" s="418"/>
      <c r="I128" s="468"/>
      <c r="J128" s="460"/>
      <c r="K128" s="423"/>
      <c r="L128" s="469"/>
      <c r="M128" s="418"/>
      <c r="N128" s="418"/>
      <c r="O128" s="418"/>
      <c r="P128" s="418"/>
      <c r="Q128" s="418"/>
      <c r="R128" s="418"/>
      <c r="S128" s="418"/>
      <c r="T128" s="418"/>
      <c r="U128" s="418"/>
      <c r="AR128"/>
      <c r="AS128"/>
      <c r="AT128"/>
      <c r="AU128"/>
      <c r="AV128"/>
      <c r="AW128"/>
    </row>
    <row r="129" spans="1:43" ht="13.5" customHeight="1" x14ac:dyDescent="0.2">
      <c r="A129" s="418"/>
      <c r="B129" s="418"/>
      <c r="C129" s="458"/>
      <c r="D129" s="458"/>
      <c r="E129" s="423"/>
      <c r="F129" s="460"/>
      <c r="G129" s="467"/>
      <c r="H129" s="418"/>
      <c r="I129" s="468"/>
      <c r="J129" s="460"/>
      <c r="K129" s="423"/>
      <c r="L129" s="469"/>
      <c r="M129" s="418"/>
      <c r="N129" s="418"/>
      <c r="O129" s="418"/>
      <c r="P129" s="418"/>
      <c r="Q129" s="418"/>
      <c r="R129" s="418"/>
      <c r="S129" s="418"/>
      <c r="T129" s="418"/>
      <c r="U129" s="418"/>
    </row>
    <row r="130" spans="1:43" ht="13.5" customHeight="1" x14ac:dyDescent="0.2">
      <c r="A130" s="418"/>
      <c r="B130" s="418"/>
      <c r="C130" s="459"/>
      <c r="D130" s="459"/>
      <c r="E130" s="459"/>
      <c r="F130" s="418"/>
      <c r="G130" s="467"/>
      <c r="H130" s="418"/>
      <c r="I130" s="470"/>
      <c r="J130" s="459"/>
      <c r="K130" s="418"/>
      <c r="L130" s="467"/>
      <c r="M130" s="418"/>
      <c r="N130" s="418"/>
      <c r="O130" s="418"/>
      <c r="P130" s="418"/>
      <c r="Q130" s="418"/>
      <c r="R130" s="418"/>
      <c r="S130" s="418"/>
      <c r="T130" s="418"/>
      <c r="U130" s="418"/>
    </row>
    <row r="131" spans="1:43" ht="13.5" customHeight="1" x14ac:dyDescent="0.2">
      <c r="A131" s="418"/>
      <c r="B131" s="418"/>
      <c r="C131" s="460"/>
      <c r="D131" s="460"/>
      <c r="E131" s="423"/>
      <c r="F131" s="460"/>
      <c r="G131" s="467"/>
      <c r="H131" s="418"/>
      <c r="I131" s="471"/>
      <c r="J131" s="460"/>
      <c r="K131" s="423"/>
      <c r="L131" s="469"/>
      <c r="M131" s="418"/>
      <c r="N131" s="418"/>
      <c r="O131" s="418"/>
      <c r="P131" s="418"/>
      <c r="Q131" s="418"/>
      <c r="R131" s="418"/>
      <c r="S131" s="418"/>
      <c r="T131" s="418"/>
      <c r="U131" s="418"/>
    </row>
    <row r="132" spans="1:43" ht="13.5" customHeight="1" x14ac:dyDescent="0.2">
      <c r="A132" s="418"/>
      <c r="B132" s="418"/>
      <c r="C132" s="418"/>
      <c r="D132" s="418"/>
      <c r="E132" s="418"/>
      <c r="F132" s="460"/>
      <c r="G132" s="467"/>
      <c r="H132" s="418"/>
      <c r="I132" s="463"/>
      <c r="J132" s="418"/>
      <c r="K132" s="460"/>
      <c r="L132" s="469"/>
      <c r="M132" s="418"/>
      <c r="N132" s="418"/>
      <c r="O132" s="418"/>
      <c r="P132" s="418"/>
      <c r="Q132" s="418"/>
      <c r="R132" s="418"/>
      <c r="S132" s="418"/>
      <c r="T132" s="418"/>
      <c r="U132" s="418"/>
    </row>
    <row r="133" spans="1:43" ht="13.5" customHeight="1" x14ac:dyDescent="0.2">
      <c r="A133" s="418"/>
      <c r="B133" s="418"/>
      <c r="C133" s="418"/>
      <c r="D133" s="418"/>
      <c r="E133" s="418"/>
      <c r="F133" s="460"/>
      <c r="G133" s="467"/>
      <c r="H133" s="418"/>
      <c r="I133" s="463"/>
      <c r="J133" s="418"/>
      <c r="K133" s="460"/>
      <c r="L133" s="469"/>
      <c r="M133" s="418"/>
      <c r="N133" s="418"/>
      <c r="O133" s="418"/>
      <c r="P133" s="418"/>
      <c r="Q133" s="418"/>
      <c r="R133" s="418"/>
      <c r="S133" s="418"/>
      <c r="T133" s="418"/>
      <c r="U133" s="418"/>
    </row>
    <row r="134" spans="1:43" ht="13.5" customHeight="1" x14ac:dyDescent="0.2">
      <c r="A134" s="418"/>
      <c r="B134" s="418"/>
      <c r="C134" s="418"/>
      <c r="D134" s="418"/>
      <c r="E134" s="418"/>
      <c r="F134" s="460"/>
      <c r="G134" s="467"/>
      <c r="H134" s="418"/>
      <c r="I134" s="463"/>
      <c r="J134" s="418"/>
      <c r="K134" s="460"/>
      <c r="L134" s="469"/>
      <c r="M134" s="418"/>
      <c r="N134" s="418"/>
      <c r="O134" s="418"/>
      <c r="P134" s="418"/>
      <c r="Q134" s="418"/>
      <c r="R134" s="418"/>
      <c r="S134" s="418"/>
      <c r="T134" s="418"/>
      <c r="U134" s="418"/>
    </row>
    <row r="135" spans="1:43" ht="13.5" customHeight="1" x14ac:dyDescent="0.2">
      <c r="A135" s="418"/>
      <c r="B135" s="418"/>
      <c r="C135" s="458"/>
      <c r="D135" s="458"/>
      <c r="E135" s="423"/>
      <c r="F135" s="460"/>
      <c r="G135" s="467"/>
      <c r="H135" s="418"/>
      <c r="I135" s="468"/>
      <c r="J135" s="460"/>
      <c r="K135" s="423"/>
      <c r="L135" s="469"/>
      <c r="M135" s="418"/>
      <c r="N135" s="418"/>
      <c r="O135" s="418"/>
      <c r="P135" s="418"/>
      <c r="Q135" s="418"/>
      <c r="R135" s="418"/>
      <c r="S135" s="418"/>
      <c r="T135" s="418"/>
      <c r="U135" s="418"/>
    </row>
    <row r="136" spans="1:43" ht="13.5" customHeight="1" x14ac:dyDescent="0.2">
      <c r="A136" s="418"/>
      <c r="B136" s="418"/>
      <c r="C136" s="459"/>
      <c r="D136" s="459"/>
      <c r="E136" s="459"/>
      <c r="F136" s="418"/>
      <c r="G136" s="467"/>
      <c r="H136" s="418"/>
      <c r="I136" s="470"/>
      <c r="J136" s="459"/>
      <c r="K136" s="418"/>
      <c r="L136" s="467"/>
      <c r="M136" s="418"/>
      <c r="N136" s="418"/>
      <c r="O136" s="418"/>
      <c r="P136" s="418"/>
      <c r="Q136" s="418"/>
      <c r="R136" s="418"/>
      <c r="S136" s="418"/>
      <c r="T136" s="418"/>
      <c r="U136" s="418"/>
    </row>
    <row r="137" spans="1:43" ht="4.5" customHeight="1" x14ac:dyDescent="0.2">
      <c r="A137" s="418"/>
      <c r="B137" s="418"/>
      <c r="C137" s="460"/>
      <c r="D137" s="460"/>
      <c r="E137" s="423"/>
      <c r="F137" s="460"/>
      <c r="G137" s="467"/>
      <c r="H137" s="418"/>
      <c r="I137" s="471"/>
      <c r="J137" s="460"/>
      <c r="K137" s="423"/>
      <c r="L137" s="469"/>
      <c r="M137" s="418"/>
      <c r="N137" s="418"/>
      <c r="O137" s="418"/>
      <c r="P137" s="418"/>
      <c r="Q137" s="418"/>
      <c r="R137" s="418"/>
      <c r="S137" s="418"/>
      <c r="T137" s="418"/>
      <c r="U137" s="418"/>
      <c r="V137" s="418"/>
      <c r="W137" s="418"/>
      <c r="X137" s="418"/>
      <c r="Y137" s="418"/>
      <c r="Z137" s="418"/>
      <c r="AA137" s="418"/>
      <c r="AB137" s="418"/>
      <c r="AC137" s="418"/>
      <c r="AD137" s="418"/>
      <c r="AE137" s="418"/>
      <c r="AF137" s="418"/>
      <c r="AG137" s="418"/>
      <c r="AH137" s="418"/>
      <c r="AI137" s="418"/>
      <c r="AJ137" s="418"/>
      <c r="AK137" s="418"/>
      <c r="AL137" s="418"/>
      <c r="AM137" s="418"/>
      <c r="AN137" s="418"/>
      <c r="AO137" s="418"/>
      <c r="AP137" s="418"/>
      <c r="AQ137" s="418"/>
    </row>
    <row r="140" spans="1:43" ht="5.25" customHeight="1" x14ac:dyDescent="0.2"/>
    <row r="143" spans="1:43" ht="3.95" customHeight="1" x14ac:dyDescent="0.2"/>
    <row r="151" ht="2.1" customHeight="1" x14ac:dyDescent="0.2"/>
    <row r="172" ht="5.25" customHeight="1" x14ac:dyDescent="0.2"/>
    <row r="175" ht="5.25" customHeight="1" x14ac:dyDescent="0.2"/>
    <row r="181" ht="5.25" customHeight="1" x14ac:dyDescent="0.2"/>
    <row r="187" ht="4.5" customHeight="1" x14ac:dyDescent="0.2"/>
  </sheetData>
  <phoneticPr fontId="57" type="noConversion"/>
  <pageMargins left="0.5" right="0.5" top="0.5" bottom="0.5" header="0.5" footer="0.5"/>
  <pageSetup scale="74" orientation="portrait" horizontalDpi="1200" verticalDpi="1200"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AB179"/>
  <sheetViews>
    <sheetView zoomScale="85" workbookViewId="0"/>
  </sheetViews>
  <sheetFormatPr defaultRowHeight="11.25" x14ac:dyDescent="0.2"/>
  <cols>
    <col min="1" max="1" width="26.6640625" customWidth="1"/>
    <col min="2" max="7" width="13.6640625" bestFit="1" customWidth="1"/>
    <col min="8" max="8" width="13.6640625" customWidth="1"/>
    <col min="9" max="9" width="3.83203125" customWidth="1"/>
    <col min="10" max="10" width="53" customWidth="1"/>
    <col min="11" max="11" width="27.33203125" customWidth="1"/>
    <col min="12" max="13" width="13.83203125" customWidth="1"/>
    <col min="14" max="14" width="2.83203125" customWidth="1"/>
    <col min="15" max="16" width="13.83203125" customWidth="1"/>
    <col min="17" max="17" width="2.83203125" customWidth="1"/>
    <col min="18" max="18" width="13.6640625" bestFit="1" customWidth="1"/>
    <col min="19" max="19" width="0.83203125" customWidth="1"/>
    <col min="20" max="20" width="45.1640625" customWidth="1"/>
    <col min="21" max="22" width="13.83203125" customWidth="1"/>
    <col min="25" max="25" width="1.5" customWidth="1"/>
    <col min="26" max="26" width="26.83203125" customWidth="1"/>
    <col min="27" max="27" width="9.83203125" bestFit="1" customWidth="1"/>
  </cols>
  <sheetData>
    <row r="1" spans="1:28" ht="12.75" x14ac:dyDescent="0.2">
      <c r="A1" s="647" t="s">
        <v>2246</v>
      </c>
      <c r="B1" s="234"/>
      <c r="C1" s="234"/>
      <c r="D1" s="234"/>
      <c r="E1" s="234"/>
      <c r="F1" s="234"/>
      <c r="G1" s="234"/>
      <c r="H1" s="234"/>
      <c r="I1" s="234"/>
      <c r="J1" s="736"/>
      <c r="K1" s="736"/>
      <c r="L1" s="234"/>
      <c r="M1" s="234"/>
      <c r="N1" s="234"/>
      <c r="O1" s="234"/>
      <c r="P1" s="234"/>
      <c r="Q1" s="234"/>
      <c r="R1" s="234"/>
      <c r="S1" s="234"/>
      <c r="T1" s="234"/>
      <c r="U1" s="234"/>
      <c r="V1" s="234"/>
      <c r="W1" s="234"/>
      <c r="X1" s="234"/>
      <c r="Y1" s="234"/>
      <c r="Z1" s="234"/>
      <c r="AA1" s="234"/>
      <c r="AB1" s="234"/>
    </row>
    <row r="2" spans="1:28" ht="12.75" x14ac:dyDescent="0.2">
      <c r="A2" s="257" t="s">
        <v>1270</v>
      </c>
      <c r="B2" s="234"/>
      <c r="C2" s="234"/>
      <c r="D2" s="234"/>
      <c r="E2" s="234"/>
      <c r="F2" s="234"/>
      <c r="G2" s="234"/>
      <c r="H2" s="234"/>
      <c r="I2" s="234"/>
      <c r="J2" s="257"/>
      <c r="K2" s="257"/>
      <c r="L2" s="234"/>
      <c r="M2" s="234"/>
      <c r="N2" s="234"/>
      <c r="O2" s="234"/>
      <c r="P2" s="234"/>
      <c r="Q2" s="234"/>
      <c r="R2" s="234"/>
      <c r="S2" s="234"/>
      <c r="T2" s="234"/>
      <c r="U2" s="234"/>
      <c r="V2" s="234"/>
      <c r="W2" s="234"/>
      <c r="X2" s="234"/>
      <c r="Y2" s="234"/>
      <c r="Z2" s="234"/>
      <c r="AA2" s="234"/>
      <c r="AB2" s="234"/>
    </row>
    <row r="3" spans="1:28" ht="12.75" x14ac:dyDescent="0.2">
      <c r="A3" s="732" t="s">
        <v>1271</v>
      </c>
      <c r="B3" s="234"/>
      <c r="C3" s="234"/>
      <c r="D3" s="234"/>
      <c r="E3" s="234"/>
      <c r="F3" s="234"/>
      <c r="G3" s="234"/>
      <c r="H3" s="234"/>
      <c r="I3" s="234"/>
      <c r="J3" s="732"/>
      <c r="K3" s="732"/>
      <c r="L3" s="234"/>
      <c r="M3" s="234"/>
      <c r="N3" s="234"/>
      <c r="O3" s="234"/>
      <c r="P3" s="234"/>
      <c r="Q3" s="234"/>
      <c r="R3" s="234"/>
      <c r="S3" s="234"/>
      <c r="T3" s="234"/>
      <c r="U3" s="234"/>
      <c r="V3" s="234"/>
      <c r="W3" s="234"/>
      <c r="X3" s="234"/>
      <c r="Y3" s="234"/>
      <c r="Z3" s="234"/>
      <c r="AA3" s="234"/>
      <c r="AB3" s="234"/>
    </row>
    <row r="4" spans="1:28" ht="12.75" x14ac:dyDescent="0.2">
      <c r="A4" s="713"/>
      <c r="B4" s="713"/>
      <c r="C4" s="713"/>
      <c r="D4" s="713"/>
      <c r="E4" s="713"/>
      <c r="F4" s="713"/>
      <c r="G4" s="713"/>
      <c r="H4" s="713"/>
      <c r="I4" s="713"/>
      <c r="J4" s="713"/>
      <c r="K4" s="713"/>
      <c r="L4" s="713"/>
      <c r="M4" s="713"/>
      <c r="N4" s="713"/>
      <c r="O4" s="713"/>
      <c r="P4" s="713"/>
      <c r="Q4" s="713"/>
      <c r="R4" s="713"/>
      <c r="S4" s="713"/>
      <c r="T4" s="713"/>
      <c r="U4" s="713"/>
      <c r="V4" s="713"/>
      <c r="W4" s="713"/>
      <c r="X4" s="713"/>
      <c r="Y4" s="713"/>
      <c r="Z4" s="713"/>
      <c r="AA4" s="713"/>
      <c r="AB4" s="713"/>
    </row>
    <row r="5" spans="1:28" ht="12.75" x14ac:dyDescent="0.2">
      <c r="A5" s="744" t="s">
        <v>1651</v>
      </c>
      <c r="B5" s="713"/>
      <c r="C5" s="713"/>
      <c r="D5" s="713"/>
      <c r="E5" s="713"/>
      <c r="F5" s="713"/>
      <c r="G5" s="713"/>
      <c r="H5" s="713"/>
      <c r="I5" s="713"/>
      <c r="J5" s="713"/>
      <c r="K5" s="713"/>
      <c r="L5" s="713"/>
      <c r="M5" s="713"/>
      <c r="N5" s="713"/>
      <c r="O5" s="713"/>
      <c r="P5" s="713"/>
      <c r="Q5" s="713"/>
      <c r="R5" s="713"/>
      <c r="S5" s="713"/>
      <c r="T5" s="713"/>
      <c r="U5" s="713"/>
      <c r="V5" s="713"/>
      <c r="W5" s="713"/>
      <c r="X5" s="713"/>
      <c r="Y5" s="713"/>
      <c r="Z5" s="713"/>
      <c r="AA5" s="713"/>
      <c r="AB5" s="713"/>
    </row>
    <row r="6" spans="1:28" ht="12.75" x14ac:dyDescent="0.2">
      <c r="A6" s="713"/>
      <c r="B6" s="713"/>
      <c r="C6" s="713"/>
      <c r="D6" s="713"/>
      <c r="E6" s="713"/>
      <c r="F6" s="713"/>
      <c r="G6" s="713"/>
      <c r="H6" s="713"/>
      <c r="I6" s="713"/>
      <c r="J6" s="712"/>
      <c r="K6" s="713"/>
      <c r="L6" s="713"/>
      <c r="M6" s="713"/>
      <c r="N6" s="713"/>
      <c r="O6" s="713"/>
      <c r="P6" s="713"/>
      <c r="Q6" s="713"/>
      <c r="R6" s="713"/>
      <c r="S6" s="713"/>
      <c r="T6" s="713"/>
      <c r="U6" s="713"/>
      <c r="V6" s="713"/>
      <c r="W6" s="713"/>
      <c r="X6" s="713"/>
      <c r="Y6" s="713"/>
      <c r="Z6" s="713"/>
      <c r="AA6" s="713"/>
      <c r="AB6" s="713"/>
    </row>
    <row r="7" spans="1:28" ht="12.75" x14ac:dyDescent="0.2">
      <c r="A7" s="713"/>
      <c r="B7" s="745">
        <v>2005</v>
      </c>
      <c r="C7" s="745">
        <v>2006</v>
      </c>
      <c r="D7" s="745">
        <v>2007</v>
      </c>
      <c r="E7" s="745">
        <v>2008</v>
      </c>
      <c r="F7" s="745">
        <v>2009</v>
      </c>
      <c r="G7" s="745">
        <v>2010</v>
      </c>
      <c r="H7" s="745">
        <v>2011</v>
      </c>
      <c r="I7" s="713"/>
      <c r="J7" s="713"/>
      <c r="K7" s="713"/>
      <c r="L7" s="713"/>
      <c r="M7" s="713"/>
      <c r="N7" s="713"/>
      <c r="O7" s="713"/>
      <c r="P7" s="713"/>
      <c r="Q7" s="713"/>
      <c r="R7" s="713"/>
      <c r="S7" s="713"/>
      <c r="T7" s="713"/>
      <c r="U7" s="713"/>
      <c r="V7" s="713"/>
      <c r="W7" s="713"/>
      <c r="X7" s="713"/>
      <c r="Y7" s="713"/>
      <c r="Z7" s="713"/>
      <c r="AA7" s="713"/>
      <c r="AB7" s="713"/>
    </row>
    <row r="8" spans="1:28" ht="12.75" x14ac:dyDescent="0.2">
      <c r="A8" s="713" t="s">
        <v>1309</v>
      </c>
      <c r="B8" s="747">
        <f>398417+10914</f>
        <v>409331</v>
      </c>
      <c r="C8" s="747">
        <f>408843+11397</f>
        <v>420240</v>
      </c>
      <c r="D8" s="747">
        <f>426883+11838</f>
        <v>438721</v>
      </c>
      <c r="E8" s="747">
        <f>12277+448687</f>
        <v>460964</v>
      </c>
      <c r="F8" s="747">
        <f>476939+12026</f>
        <v>488965</v>
      </c>
      <c r="G8" s="747">
        <f>494022+12349</f>
        <v>506371</v>
      </c>
      <c r="H8" s="747">
        <f>502304+13698</f>
        <v>516002</v>
      </c>
      <c r="I8" s="713"/>
      <c r="J8" s="713"/>
      <c r="K8" s="713"/>
      <c r="L8" s="713"/>
      <c r="M8" s="713"/>
      <c r="N8" s="713"/>
      <c r="O8" s="713"/>
      <c r="P8" s="713"/>
      <c r="Q8" s="713"/>
      <c r="R8" s="713"/>
      <c r="S8" s="713"/>
      <c r="T8" s="713"/>
      <c r="U8" s="713"/>
      <c r="V8" s="713"/>
      <c r="W8" s="713"/>
      <c r="X8" s="713"/>
      <c r="Y8" s="713"/>
      <c r="Z8" s="713"/>
      <c r="AA8" s="713"/>
      <c r="AB8" s="713"/>
    </row>
    <row r="9" spans="1:28" ht="12.75" x14ac:dyDescent="0.2">
      <c r="A9" s="713" t="s">
        <v>1644</v>
      </c>
      <c r="B9" s="747">
        <f>423146-B8</f>
        <v>13815</v>
      </c>
      <c r="C9" s="747">
        <f>434975-C8</f>
        <v>14735</v>
      </c>
      <c r="D9" s="747">
        <f>454454-D8</f>
        <v>15733</v>
      </c>
      <c r="E9" s="747">
        <f>476651-E8</f>
        <v>15687</v>
      </c>
      <c r="F9" s="747">
        <f>505987-F8</f>
        <v>17022</v>
      </c>
      <c r="G9" s="747">
        <f>524202-G8</f>
        <v>17831</v>
      </c>
      <c r="H9" s="747">
        <f>534471-H8</f>
        <v>18469</v>
      </c>
      <c r="I9" s="713"/>
      <c r="J9" s="713"/>
      <c r="K9" s="713"/>
      <c r="L9" s="713"/>
      <c r="M9" s="713"/>
      <c r="N9" s="713"/>
      <c r="O9" s="713"/>
      <c r="P9" s="713"/>
      <c r="Q9" s="713"/>
      <c r="R9" s="713"/>
      <c r="S9" s="713"/>
      <c r="T9" s="713"/>
      <c r="U9" s="713"/>
      <c r="V9" s="713"/>
      <c r="W9" s="713"/>
      <c r="X9" s="713"/>
      <c r="Y9" s="713"/>
      <c r="Z9" s="713"/>
      <c r="AA9" s="713"/>
      <c r="AB9" s="713"/>
    </row>
    <row r="10" spans="1:28" ht="12.75" x14ac:dyDescent="0.2">
      <c r="A10" s="713" t="s">
        <v>1930</v>
      </c>
      <c r="B10" s="747">
        <f>24845+12640</f>
        <v>37485</v>
      </c>
      <c r="C10" s="747">
        <f>12871+25371</f>
        <v>38242</v>
      </c>
      <c r="D10" s="747">
        <f>25840+12234</f>
        <v>38074</v>
      </c>
      <c r="E10" s="747">
        <f>11783+25475</f>
        <v>37258</v>
      </c>
      <c r="F10" s="747">
        <f>12015+26010</f>
        <v>38025</v>
      </c>
      <c r="G10" s="747">
        <f>11882+29197</f>
        <v>41079</v>
      </c>
      <c r="H10" s="747">
        <f>11879+40774</f>
        <v>52653</v>
      </c>
      <c r="I10" s="713"/>
      <c r="J10" s="713"/>
      <c r="K10" s="713"/>
      <c r="L10" s="713"/>
      <c r="M10" s="713"/>
      <c r="N10" s="713"/>
      <c r="O10" s="713"/>
      <c r="P10" s="713"/>
      <c r="Q10" s="713"/>
      <c r="R10" s="713"/>
      <c r="S10" s="713"/>
      <c r="T10" s="713"/>
      <c r="U10" s="713"/>
      <c r="V10" s="713"/>
      <c r="W10" s="713"/>
      <c r="X10" s="713"/>
      <c r="Y10" s="713"/>
      <c r="Z10" s="713"/>
      <c r="AA10" s="713"/>
      <c r="AB10" s="713"/>
    </row>
    <row r="11" spans="1:28" ht="12.75" x14ac:dyDescent="0.2">
      <c r="A11" s="713" t="s">
        <v>1645</v>
      </c>
      <c r="B11" s="747">
        <v>7456</v>
      </c>
      <c r="C11" s="747">
        <v>10089</v>
      </c>
      <c r="D11" s="747">
        <v>10772</v>
      </c>
      <c r="E11" s="747">
        <v>10080</v>
      </c>
      <c r="F11" s="747">
        <v>10433</v>
      </c>
      <c r="G11" s="747">
        <v>8904</v>
      </c>
      <c r="H11" s="747">
        <v>10631</v>
      </c>
      <c r="I11" s="713"/>
      <c r="J11" s="713"/>
      <c r="K11" s="713"/>
      <c r="L11" s="713"/>
      <c r="M11" s="713"/>
      <c r="N11" s="713"/>
      <c r="O11" s="713"/>
      <c r="P11" s="713"/>
      <c r="Q11" s="713"/>
      <c r="R11" s="713"/>
      <c r="S11" s="713"/>
      <c r="T11" s="713"/>
      <c r="U11" s="713"/>
      <c r="V11" s="713"/>
      <c r="W11" s="713"/>
      <c r="X11" s="713"/>
      <c r="Y11" s="713"/>
      <c r="Z11" s="713"/>
      <c r="AA11" s="713"/>
      <c r="AB11" s="713"/>
    </row>
    <row r="12" spans="1:28" ht="12.75" x14ac:dyDescent="0.2">
      <c r="A12" s="713" t="s">
        <v>808</v>
      </c>
      <c r="B12" s="747">
        <v>28724</v>
      </c>
      <c r="C12" s="747">
        <v>28172</v>
      </c>
      <c r="D12" s="747">
        <v>29439</v>
      </c>
      <c r="E12" s="747">
        <f>34339</f>
        <v>34339</v>
      </c>
      <c r="F12" s="747">
        <f>38663</f>
        <v>38663</v>
      </c>
      <c r="G12" s="747">
        <v>42151</v>
      </c>
      <c r="H12" s="747">
        <f>43673</f>
        <v>43673</v>
      </c>
      <c r="I12" s="713"/>
      <c r="J12" s="713"/>
      <c r="K12" s="713"/>
      <c r="L12" s="713"/>
      <c r="M12" s="713"/>
      <c r="N12" s="713"/>
      <c r="O12" s="713"/>
      <c r="P12" s="713"/>
      <c r="Q12" s="713"/>
      <c r="R12" s="713"/>
      <c r="S12" s="713"/>
      <c r="T12" s="713"/>
      <c r="U12" s="713"/>
      <c r="V12" s="713"/>
      <c r="W12" s="713"/>
      <c r="X12" s="713"/>
      <c r="Y12" s="713"/>
      <c r="Z12" s="713"/>
      <c r="AA12" s="713"/>
      <c r="AB12" s="713"/>
    </row>
    <row r="13" spans="1:28" ht="12.75" x14ac:dyDescent="0.2">
      <c r="A13" s="713" t="s">
        <v>2265</v>
      </c>
      <c r="B13" s="748">
        <v>2354</v>
      </c>
      <c r="C13" s="748">
        <v>2354</v>
      </c>
      <c r="D13" s="748">
        <v>2354</v>
      </c>
      <c r="E13" s="748">
        <v>2353</v>
      </c>
      <c r="F13" s="748">
        <v>2353</v>
      </c>
      <c r="G13" s="748">
        <v>1768</v>
      </c>
      <c r="H13" s="748">
        <v>1768</v>
      </c>
      <c r="I13" s="713"/>
      <c r="J13" s="713"/>
      <c r="K13" s="713"/>
      <c r="L13" s="713"/>
      <c r="M13" s="713"/>
      <c r="N13" s="713"/>
      <c r="O13" s="713"/>
      <c r="P13" s="713"/>
      <c r="Q13" s="713"/>
      <c r="R13" s="713"/>
      <c r="S13" s="713"/>
      <c r="T13" s="713"/>
      <c r="U13" s="713"/>
      <c r="V13" s="713"/>
      <c r="W13" s="713"/>
      <c r="X13" s="713"/>
      <c r="Y13" s="713"/>
      <c r="Z13" s="713"/>
      <c r="AA13" s="713"/>
      <c r="AB13" s="713"/>
    </row>
    <row r="14" spans="1:28" ht="12.75" x14ac:dyDescent="0.2">
      <c r="A14" s="712" t="s">
        <v>76</v>
      </c>
      <c r="B14" s="712">
        <f t="shared" ref="B14:H14" si="0">SUM(B8:B13)</f>
        <v>499165</v>
      </c>
      <c r="C14" s="712">
        <f t="shared" si="0"/>
        <v>513832</v>
      </c>
      <c r="D14" s="712">
        <f t="shared" si="0"/>
        <v>535093</v>
      </c>
      <c r="E14" s="712">
        <f t="shared" si="0"/>
        <v>560681</v>
      </c>
      <c r="F14" s="712">
        <f t="shared" si="0"/>
        <v>595461</v>
      </c>
      <c r="G14" s="712">
        <f t="shared" si="0"/>
        <v>618104</v>
      </c>
      <c r="H14" s="712">
        <f t="shared" si="0"/>
        <v>643196</v>
      </c>
      <c r="I14" s="713"/>
      <c r="J14" s="713"/>
      <c r="K14" s="713"/>
      <c r="L14" s="713"/>
      <c r="M14" s="713"/>
      <c r="N14" s="713"/>
      <c r="O14" s="713"/>
      <c r="P14" s="713"/>
      <c r="Q14" s="713"/>
      <c r="R14" s="713"/>
      <c r="S14" s="713"/>
      <c r="T14" s="713"/>
      <c r="U14" s="713"/>
      <c r="V14" s="713"/>
      <c r="W14" s="713"/>
      <c r="X14" s="713"/>
      <c r="Y14" s="713"/>
      <c r="Z14" s="713"/>
      <c r="AA14" s="713"/>
      <c r="AB14" s="713"/>
    </row>
    <row r="15" spans="1:28" ht="12.75" x14ac:dyDescent="0.2">
      <c r="A15" s="713"/>
      <c r="B15" s="713">
        <f t="shared" ref="B15:H15" si="1">SUM(B9:B13)</f>
        <v>89834</v>
      </c>
      <c r="C15" s="713">
        <f t="shared" si="1"/>
        <v>93592</v>
      </c>
      <c r="D15" s="713">
        <f t="shared" si="1"/>
        <v>96372</v>
      </c>
      <c r="E15" s="713">
        <f t="shared" si="1"/>
        <v>99717</v>
      </c>
      <c r="F15" s="713">
        <f t="shared" si="1"/>
        <v>106496</v>
      </c>
      <c r="G15" s="713">
        <f t="shared" si="1"/>
        <v>111733</v>
      </c>
      <c r="H15" s="713">
        <f t="shared" si="1"/>
        <v>127194</v>
      </c>
      <c r="I15" s="713"/>
      <c r="J15" s="713"/>
      <c r="K15" s="713"/>
      <c r="L15" s="713"/>
      <c r="M15" s="713"/>
      <c r="N15" s="713"/>
      <c r="O15" s="713"/>
      <c r="P15" s="713"/>
      <c r="Q15" s="713"/>
      <c r="R15" s="713"/>
      <c r="S15" s="713"/>
      <c r="T15" s="713"/>
      <c r="U15" s="713"/>
      <c r="V15" s="713"/>
      <c r="W15" s="713"/>
      <c r="X15" s="713"/>
      <c r="Y15" s="713"/>
      <c r="Z15" s="713"/>
      <c r="AA15" s="713"/>
      <c r="AB15" s="713"/>
    </row>
    <row r="16" spans="1:28" ht="12.75" x14ac:dyDescent="0.2">
      <c r="A16" s="713"/>
      <c r="B16" s="713"/>
      <c r="C16" s="713"/>
      <c r="D16" s="713"/>
      <c r="E16" s="713"/>
      <c r="G16" s="713"/>
      <c r="H16" s="713"/>
      <c r="I16" s="713"/>
      <c r="J16" s="713"/>
      <c r="K16" s="713"/>
      <c r="L16" s="713"/>
      <c r="M16" s="713"/>
      <c r="N16" s="713"/>
      <c r="O16" s="713"/>
      <c r="P16" s="713"/>
      <c r="Q16" s="713"/>
      <c r="R16" s="713"/>
      <c r="S16" s="713"/>
      <c r="T16" s="713"/>
      <c r="U16" s="713"/>
      <c r="V16" s="713"/>
      <c r="W16" s="713"/>
      <c r="X16" s="713"/>
      <c r="Y16" s="713"/>
      <c r="Z16" s="713"/>
      <c r="AA16" s="713"/>
      <c r="AB16" s="713"/>
    </row>
    <row r="17" spans="1:28" ht="12.75" x14ac:dyDescent="0.2">
      <c r="A17" s="744" t="s">
        <v>2217</v>
      </c>
      <c r="B17" s="713"/>
      <c r="C17" s="713"/>
      <c r="D17" s="713"/>
      <c r="E17" s="713"/>
      <c r="F17" s="713"/>
      <c r="G17" s="713"/>
      <c r="H17" s="713"/>
      <c r="I17" s="713"/>
      <c r="J17" s="713"/>
      <c r="K17" s="713"/>
      <c r="L17" s="713"/>
      <c r="M17" s="713"/>
      <c r="N17" s="713"/>
      <c r="O17" s="713"/>
      <c r="P17" s="713"/>
      <c r="Q17" s="713"/>
      <c r="R17" s="713"/>
      <c r="S17" s="713"/>
      <c r="T17" s="713"/>
      <c r="U17" s="713"/>
      <c r="V17" s="713"/>
      <c r="W17" s="713"/>
      <c r="X17" s="713"/>
      <c r="Y17" s="713"/>
      <c r="Z17" s="713"/>
      <c r="AA17" s="713"/>
      <c r="AB17" s="713"/>
    </row>
    <row r="18" spans="1:28" ht="12.75" x14ac:dyDescent="0.2">
      <c r="A18" s="713"/>
      <c r="B18" s="713"/>
      <c r="C18" s="713"/>
      <c r="D18" s="713"/>
      <c r="E18" s="713"/>
      <c r="F18" s="713"/>
      <c r="G18" s="713"/>
      <c r="H18" s="713"/>
      <c r="I18" s="713"/>
      <c r="J18" s="713"/>
      <c r="K18" s="713"/>
      <c r="L18" s="713"/>
      <c r="M18" s="713"/>
      <c r="N18" s="713"/>
      <c r="O18" s="713"/>
      <c r="P18" s="713"/>
      <c r="Q18" s="713"/>
      <c r="R18" s="713"/>
      <c r="S18" s="713"/>
      <c r="T18" s="713"/>
      <c r="U18" s="713"/>
      <c r="V18" s="713"/>
      <c r="W18" s="713"/>
      <c r="X18" s="713"/>
      <c r="Y18" s="713"/>
      <c r="Z18" s="713"/>
      <c r="AA18" s="713"/>
      <c r="AB18" s="713"/>
    </row>
    <row r="19" spans="1:28" ht="12.75" x14ac:dyDescent="0.2">
      <c r="A19" s="713" t="s">
        <v>1309</v>
      </c>
      <c r="B19" s="745"/>
      <c r="C19" s="746">
        <f t="shared" ref="C19:H22" si="2">C8/B8-1</f>
        <v>2.6650803384058452E-2</v>
      </c>
      <c r="D19" s="746">
        <f t="shared" si="2"/>
        <v>4.3977251094612591E-2</v>
      </c>
      <c r="E19" s="746">
        <f t="shared" si="2"/>
        <v>5.0699647384100599E-2</v>
      </c>
      <c r="F19" s="746">
        <f t="shared" si="2"/>
        <v>6.0744439912878256E-2</v>
      </c>
      <c r="G19" s="746">
        <f t="shared" si="2"/>
        <v>3.5597639912877233E-2</v>
      </c>
      <c r="H19" s="746">
        <f t="shared" si="2"/>
        <v>1.9019651599321508E-2</v>
      </c>
      <c r="I19" s="713"/>
      <c r="J19" s="713"/>
      <c r="K19" s="713"/>
      <c r="L19" s="713"/>
      <c r="M19" s="713"/>
      <c r="N19" s="713"/>
      <c r="O19" s="713"/>
      <c r="P19" s="713"/>
      <c r="Q19" s="713"/>
      <c r="R19" s="713"/>
      <c r="S19" s="713"/>
      <c r="T19" s="713"/>
      <c r="U19" s="713"/>
      <c r="V19" s="713"/>
      <c r="W19" s="713"/>
      <c r="X19" s="713"/>
      <c r="Y19" s="713"/>
      <c r="Z19" s="713"/>
      <c r="AA19" s="713"/>
      <c r="AB19" s="713"/>
    </row>
    <row r="20" spans="1:28" ht="12.75" x14ac:dyDescent="0.2">
      <c r="A20" s="713" t="s">
        <v>1644</v>
      </c>
      <c r="B20" s="713"/>
      <c r="C20" s="746">
        <f t="shared" si="2"/>
        <v>6.6594281577994963E-2</v>
      </c>
      <c r="D20" s="746">
        <f t="shared" si="2"/>
        <v>6.7729894808279623E-2</v>
      </c>
      <c r="E20" s="746">
        <f t="shared" si="2"/>
        <v>-2.9237907582787548E-3</v>
      </c>
      <c r="F20" s="746">
        <f t="shared" si="2"/>
        <v>8.5102314017976743E-2</v>
      </c>
      <c r="G20" s="746">
        <f t="shared" si="2"/>
        <v>4.7526730113970128E-2</v>
      </c>
      <c r="H20" s="746">
        <f t="shared" si="2"/>
        <v>3.5780382479950745E-2</v>
      </c>
      <c r="I20" s="713"/>
      <c r="J20" s="713"/>
      <c r="K20" s="713"/>
      <c r="L20" s="713"/>
      <c r="M20" s="713"/>
      <c r="N20" s="713"/>
      <c r="O20" s="713"/>
      <c r="P20" s="713"/>
      <c r="Q20" s="713"/>
      <c r="R20" s="713"/>
      <c r="S20" s="713"/>
      <c r="T20" s="713"/>
      <c r="U20" s="713"/>
      <c r="V20" s="713"/>
      <c r="W20" s="713"/>
      <c r="X20" s="713"/>
      <c r="Y20" s="713"/>
      <c r="Z20" s="713"/>
      <c r="AA20" s="713"/>
      <c r="AB20" s="713"/>
    </row>
    <row r="21" spans="1:28" ht="12.75" x14ac:dyDescent="0.2">
      <c r="A21" s="713" t="s">
        <v>1930</v>
      </c>
      <c r="B21" s="713"/>
      <c r="C21" s="746">
        <f t="shared" si="2"/>
        <v>2.0194744564492551E-2</v>
      </c>
      <c r="D21" s="746">
        <f t="shared" si="2"/>
        <v>-4.3930756759583689E-3</v>
      </c>
      <c r="E21" s="746">
        <f t="shared" si="2"/>
        <v>-2.1431948311183446E-2</v>
      </c>
      <c r="F21" s="746">
        <f t="shared" si="2"/>
        <v>2.0586182833217004E-2</v>
      </c>
      <c r="G21" s="746">
        <f t="shared" si="2"/>
        <v>8.0315581854043305E-2</v>
      </c>
      <c r="H21" s="746">
        <f t="shared" si="2"/>
        <v>0.28174979916745779</v>
      </c>
      <c r="I21" s="713"/>
      <c r="J21" s="713"/>
      <c r="K21" s="713"/>
      <c r="L21" s="713"/>
      <c r="M21" s="713"/>
      <c r="N21" s="713"/>
      <c r="O21" s="713"/>
      <c r="P21" s="713"/>
      <c r="Q21" s="713"/>
      <c r="R21" s="713"/>
      <c r="S21" s="713"/>
      <c r="T21" s="713"/>
      <c r="U21" s="713"/>
      <c r="V21" s="713"/>
      <c r="W21" s="713"/>
      <c r="X21" s="713"/>
      <c r="Y21" s="713"/>
      <c r="Z21" s="713"/>
      <c r="AA21" s="713"/>
      <c r="AB21" s="713"/>
    </row>
    <row r="22" spans="1:28" ht="12.75" x14ac:dyDescent="0.2">
      <c r="A22" s="713" t="s">
        <v>1645</v>
      </c>
      <c r="B22" s="713"/>
      <c r="C22" s="746">
        <f t="shared" si="2"/>
        <v>0.35313841201716745</v>
      </c>
      <c r="D22" s="746">
        <f t="shared" si="2"/>
        <v>6.7697492318366637E-2</v>
      </c>
      <c r="E22" s="746">
        <f t="shared" si="2"/>
        <v>-6.4240623839584066E-2</v>
      </c>
      <c r="F22" s="746">
        <f t="shared" si="2"/>
        <v>3.5019841269841256E-2</v>
      </c>
      <c r="G22" s="746">
        <f t="shared" si="2"/>
        <v>-0.14655420300968081</v>
      </c>
      <c r="H22" s="746">
        <f t="shared" si="2"/>
        <v>0.19395777178796036</v>
      </c>
      <c r="I22" s="713"/>
      <c r="J22" s="713"/>
      <c r="K22" s="713"/>
      <c r="L22" s="713"/>
      <c r="M22" s="713"/>
      <c r="N22" s="713"/>
      <c r="O22" s="713"/>
      <c r="P22" s="713"/>
      <c r="Q22" s="713"/>
      <c r="R22" s="713"/>
      <c r="S22" s="713"/>
      <c r="T22" s="713"/>
      <c r="U22" s="713"/>
      <c r="V22" s="713"/>
      <c r="W22" s="713"/>
      <c r="X22" s="713"/>
      <c r="Y22" s="713"/>
      <c r="Z22" s="713"/>
      <c r="AA22" s="713"/>
      <c r="AB22" s="713"/>
    </row>
    <row r="23" spans="1:28" ht="12.75" x14ac:dyDescent="0.2">
      <c r="A23" s="713" t="s">
        <v>808</v>
      </c>
      <c r="B23" s="713"/>
      <c r="C23" s="746">
        <f t="shared" ref="C23:H23" si="3">C12/B12-1</f>
        <v>-1.9217379195098139E-2</v>
      </c>
      <c r="D23" s="746">
        <f t="shared" si="3"/>
        <v>4.4973732784324927E-2</v>
      </c>
      <c r="E23" s="746">
        <f t="shared" si="3"/>
        <v>0.16644587112333986</v>
      </c>
      <c r="F23" s="746">
        <f t="shared" si="3"/>
        <v>0.12592096450100465</v>
      </c>
      <c r="G23" s="746">
        <f t="shared" si="3"/>
        <v>9.0215451465225138E-2</v>
      </c>
      <c r="H23" s="746">
        <f t="shared" si="3"/>
        <v>3.6108277383692045E-2</v>
      </c>
      <c r="I23" s="713"/>
      <c r="J23" s="713"/>
      <c r="K23" s="713"/>
      <c r="L23" s="713"/>
      <c r="M23" s="713"/>
      <c r="N23" s="713"/>
      <c r="O23" s="713"/>
      <c r="P23" s="713"/>
      <c r="Q23" s="713"/>
      <c r="R23" s="713"/>
      <c r="S23" s="713"/>
      <c r="T23" s="713"/>
      <c r="U23" s="713"/>
      <c r="V23" s="713"/>
      <c r="W23" s="713"/>
      <c r="X23" s="713"/>
      <c r="Y23" s="713"/>
      <c r="Z23" s="713"/>
      <c r="AA23" s="713"/>
      <c r="AB23" s="713"/>
    </row>
    <row r="24" spans="1:28" ht="12.75" x14ac:dyDescent="0.2">
      <c r="A24" s="713" t="s">
        <v>2265</v>
      </c>
      <c r="B24" s="713"/>
      <c r="C24" s="746">
        <f t="shared" ref="C24:H25" si="4">C13/B13-1</f>
        <v>0</v>
      </c>
      <c r="D24" s="746">
        <f t="shared" si="4"/>
        <v>0</v>
      </c>
      <c r="E24" s="746">
        <f t="shared" si="4"/>
        <v>-4.2480883602380448E-4</v>
      </c>
      <c r="F24" s="746">
        <f t="shared" si="4"/>
        <v>0</v>
      </c>
      <c r="G24" s="746">
        <f t="shared" si="4"/>
        <v>-0.24861878453038677</v>
      </c>
      <c r="H24" s="746">
        <f t="shared" si="4"/>
        <v>0</v>
      </c>
      <c r="I24" s="713"/>
      <c r="J24" s="713"/>
      <c r="K24" s="713"/>
      <c r="L24" s="713"/>
      <c r="M24" s="713"/>
      <c r="N24" s="713"/>
      <c r="O24" s="713"/>
      <c r="P24" s="713"/>
      <c r="Q24" s="713"/>
      <c r="R24" s="713"/>
      <c r="S24" s="713"/>
      <c r="T24" s="713"/>
      <c r="U24" s="713"/>
      <c r="V24" s="713"/>
      <c r="W24" s="713"/>
      <c r="X24" s="713"/>
      <c r="Y24" s="713"/>
      <c r="Z24" s="713"/>
      <c r="AA24" s="713"/>
      <c r="AB24" s="713"/>
    </row>
    <row r="25" spans="1:28" ht="12.75" x14ac:dyDescent="0.2">
      <c r="A25" s="712" t="s">
        <v>76</v>
      </c>
      <c r="B25" s="713"/>
      <c r="C25" s="749">
        <f t="shared" si="4"/>
        <v>2.9383069726443223E-2</v>
      </c>
      <c r="D25" s="749">
        <f t="shared" si="4"/>
        <v>4.1377337339830955E-2</v>
      </c>
      <c r="E25" s="749">
        <f t="shared" si="4"/>
        <v>4.7819724795502783E-2</v>
      </c>
      <c r="F25" s="749">
        <f t="shared" si="4"/>
        <v>6.2031707869537156E-2</v>
      </c>
      <c r="G25" s="749">
        <f t="shared" si="4"/>
        <v>3.8026000023511086E-2</v>
      </c>
      <c r="H25" s="749">
        <f t="shared" si="4"/>
        <v>4.0595110207990892E-2</v>
      </c>
      <c r="I25" s="713"/>
      <c r="J25" s="713"/>
      <c r="K25" s="713"/>
      <c r="L25" s="713"/>
      <c r="M25" s="713"/>
      <c r="N25" s="713"/>
      <c r="O25" s="713"/>
      <c r="P25" s="713"/>
      <c r="Q25" s="713"/>
      <c r="R25" s="713"/>
      <c r="S25" s="713"/>
      <c r="T25" s="713"/>
      <c r="U25" s="713"/>
      <c r="V25" s="713"/>
      <c r="W25" s="713"/>
      <c r="X25" s="713"/>
      <c r="Y25" s="713"/>
      <c r="Z25" s="713"/>
      <c r="AA25" s="713"/>
      <c r="AB25" s="713"/>
    </row>
    <row r="26" spans="1:28" ht="12.75" x14ac:dyDescent="0.2">
      <c r="A26" s="713"/>
      <c r="B26" s="713"/>
      <c r="C26" s="713"/>
      <c r="D26" s="713"/>
      <c r="E26" s="713"/>
      <c r="F26" s="713"/>
      <c r="G26" s="713"/>
      <c r="H26" s="713"/>
      <c r="I26" s="713"/>
      <c r="J26" s="713"/>
      <c r="K26" s="713"/>
      <c r="L26" s="713"/>
      <c r="M26" s="713"/>
      <c r="N26" s="713"/>
      <c r="O26" s="713"/>
      <c r="P26" s="713"/>
      <c r="Q26" s="713"/>
      <c r="R26" s="713"/>
      <c r="S26" s="713"/>
      <c r="T26" s="713"/>
      <c r="U26" s="713"/>
      <c r="V26" s="713"/>
      <c r="W26" s="713"/>
      <c r="X26" s="713"/>
      <c r="Y26" s="713"/>
      <c r="Z26" s="713"/>
      <c r="AA26" s="713"/>
      <c r="AB26" s="713"/>
    </row>
    <row r="27" spans="1:28" ht="12.75" x14ac:dyDescent="0.2">
      <c r="A27" s="713"/>
      <c r="B27" s="713"/>
      <c r="C27" s="713"/>
      <c r="D27" s="713"/>
      <c r="E27" s="713"/>
      <c r="F27" s="713"/>
      <c r="G27" s="713"/>
      <c r="H27" s="713"/>
      <c r="I27" s="713"/>
      <c r="J27" s="1238" t="s">
        <v>309</v>
      </c>
      <c r="K27" s="1239"/>
      <c r="L27" s="1239"/>
      <c r="M27" s="1239"/>
      <c r="N27" s="1239"/>
      <c r="O27" s="1239"/>
      <c r="P27" s="1239"/>
      <c r="Q27" s="1239"/>
      <c r="R27" s="1239"/>
      <c r="S27" s="713"/>
      <c r="T27" s="713"/>
      <c r="U27" s="713"/>
      <c r="V27" s="713"/>
      <c r="W27" s="713"/>
      <c r="X27" s="713"/>
      <c r="Y27" s="713"/>
      <c r="Z27" s="713"/>
      <c r="AA27" s="713"/>
      <c r="AB27" s="713"/>
    </row>
    <row r="28" spans="1:28" ht="12.75" x14ac:dyDescent="0.2">
      <c r="A28" s="713"/>
      <c r="B28" s="713"/>
      <c r="C28" s="713"/>
      <c r="D28" s="713"/>
      <c r="E28" s="713"/>
      <c r="F28" s="713"/>
      <c r="G28" s="713"/>
      <c r="H28" s="713"/>
      <c r="I28" s="713"/>
      <c r="J28" s="1237" t="s">
        <v>310</v>
      </c>
      <c r="K28" s="713"/>
      <c r="L28" s="713"/>
      <c r="M28" s="713"/>
      <c r="N28" s="713"/>
      <c r="O28" s="713"/>
      <c r="P28" s="713"/>
      <c r="Q28" s="713"/>
      <c r="R28" s="713"/>
      <c r="S28" s="713"/>
      <c r="T28" s="713"/>
      <c r="U28" s="713"/>
      <c r="V28" s="713"/>
      <c r="W28" s="713"/>
      <c r="X28" s="713"/>
      <c r="Y28" s="713"/>
      <c r="Z28" s="713"/>
      <c r="AA28" s="713"/>
      <c r="AB28" s="713"/>
    </row>
    <row r="29" spans="1:28" ht="12.75" x14ac:dyDescent="0.2">
      <c r="A29" s="713"/>
      <c r="B29" s="713"/>
      <c r="C29" s="713"/>
      <c r="D29" s="713"/>
      <c r="E29" s="713"/>
      <c r="F29" s="713"/>
      <c r="G29" s="713"/>
      <c r="H29" s="713"/>
      <c r="I29" s="713"/>
      <c r="J29" s="713"/>
      <c r="K29" s="713"/>
      <c r="L29" s="713"/>
      <c r="M29" s="713"/>
      <c r="N29" s="713"/>
      <c r="O29" s="713"/>
      <c r="P29" s="713"/>
      <c r="Q29" s="713"/>
      <c r="R29" s="713"/>
      <c r="S29" s="713"/>
      <c r="T29" s="713"/>
      <c r="U29" s="713"/>
      <c r="V29" s="713"/>
      <c r="W29" s="713"/>
      <c r="X29" s="713"/>
      <c r="Y29" s="713"/>
      <c r="Z29" s="713"/>
      <c r="AA29" s="713"/>
      <c r="AB29" s="713"/>
    </row>
    <row r="30" spans="1:28" ht="15" customHeight="1" x14ac:dyDescent="0.2">
      <c r="A30" s="713"/>
      <c r="B30" s="713"/>
      <c r="C30" s="713"/>
      <c r="D30" s="713"/>
      <c r="E30" s="713"/>
      <c r="F30" s="713"/>
      <c r="G30" s="713"/>
      <c r="H30" s="713"/>
      <c r="I30" s="713"/>
      <c r="J30" s="713"/>
      <c r="K30" s="713"/>
      <c r="L30" s="717" t="s">
        <v>1419</v>
      </c>
      <c r="M30" s="717"/>
      <c r="N30" s="712"/>
      <c r="O30" s="717" t="s">
        <v>1416</v>
      </c>
      <c r="P30" s="717"/>
      <c r="Q30" s="713"/>
      <c r="R30" s="713"/>
      <c r="S30" s="713"/>
      <c r="T30" s="713"/>
      <c r="U30" s="713"/>
      <c r="V30" s="713"/>
      <c r="W30" s="713"/>
      <c r="X30" s="713"/>
      <c r="Y30" s="713"/>
      <c r="Z30" s="713"/>
      <c r="AA30" s="713"/>
      <c r="AB30" s="713"/>
    </row>
    <row r="31" spans="1:28" ht="15" customHeight="1" x14ac:dyDescent="0.2">
      <c r="A31" s="713"/>
      <c r="B31" s="713"/>
      <c r="C31" s="713"/>
      <c r="D31" s="713"/>
      <c r="E31" s="713"/>
      <c r="F31" s="713"/>
      <c r="G31" s="713"/>
      <c r="H31" s="713"/>
      <c r="I31" s="713"/>
      <c r="J31" s="712" t="s">
        <v>1420</v>
      </c>
      <c r="K31" s="712" t="s">
        <v>1278</v>
      </c>
      <c r="L31" s="652" t="s">
        <v>1330</v>
      </c>
      <c r="M31" s="652" t="s">
        <v>1619</v>
      </c>
      <c r="N31" s="652"/>
      <c r="O31" s="652" t="s">
        <v>1330</v>
      </c>
      <c r="P31" s="652" t="s">
        <v>1619</v>
      </c>
      <c r="Q31" s="713"/>
      <c r="R31" s="652" t="s">
        <v>1735</v>
      </c>
      <c r="S31" s="713"/>
      <c r="T31" s="713"/>
      <c r="U31" s="713"/>
      <c r="V31" s="713"/>
      <c r="W31" s="713"/>
      <c r="X31" s="713"/>
      <c r="Y31" s="713"/>
      <c r="Z31" s="713"/>
      <c r="AA31" s="713"/>
      <c r="AB31" s="713"/>
    </row>
    <row r="32" spans="1:28" ht="15" customHeight="1" x14ac:dyDescent="0.2">
      <c r="A32" s="234"/>
      <c r="B32" s="234"/>
      <c r="C32" s="234"/>
      <c r="D32" s="234"/>
      <c r="E32" s="234"/>
      <c r="F32" s="234"/>
      <c r="G32" s="234"/>
      <c r="H32" s="234"/>
      <c r="I32" s="234"/>
      <c r="J32" s="720" t="s">
        <v>453</v>
      </c>
      <c r="K32" s="720"/>
      <c r="L32" s="722"/>
      <c r="M32" s="722"/>
      <c r="N32" s="722"/>
      <c r="O32" s="722"/>
      <c r="P32" s="722"/>
      <c r="Q32" s="722"/>
      <c r="R32" s="723"/>
      <c r="S32" s="234"/>
      <c r="T32" s="234"/>
      <c r="U32" s="234"/>
      <c r="V32" s="234"/>
      <c r="W32" s="234"/>
      <c r="X32" s="234"/>
      <c r="Y32" s="234"/>
      <c r="Z32" s="234"/>
      <c r="AA32" s="234"/>
      <c r="AB32" s="234"/>
    </row>
    <row r="33" spans="1:28" ht="15" customHeight="1" x14ac:dyDescent="0.2">
      <c r="A33" s="234"/>
      <c r="B33" s="234"/>
      <c r="C33" s="234"/>
      <c r="D33" s="234"/>
      <c r="E33" s="234"/>
      <c r="F33" s="234"/>
      <c r="G33" s="234"/>
      <c r="H33" s="234"/>
      <c r="I33" s="234"/>
      <c r="J33" s="719" t="s">
        <v>454</v>
      </c>
      <c r="K33" s="737" t="s">
        <v>1383</v>
      </c>
      <c r="L33" s="724">
        <v>142</v>
      </c>
      <c r="M33" s="724">
        <v>72974</v>
      </c>
      <c r="N33" s="725"/>
      <c r="O33" s="724">
        <v>184</v>
      </c>
      <c r="P33" s="724">
        <v>55942</v>
      </c>
      <c r="Q33" s="646" t="s">
        <v>1418</v>
      </c>
      <c r="R33" s="646">
        <f>P33+M33</f>
        <v>128916</v>
      </c>
      <c r="S33" s="234"/>
      <c r="T33" s="234"/>
      <c r="U33" s="234"/>
      <c r="V33" s="234"/>
      <c r="W33" s="234"/>
      <c r="X33" s="234"/>
      <c r="Y33" s="234"/>
      <c r="Z33" s="234"/>
      <c r="AA33" s="234"/>
      <c r="AB33" s="234"/>
    </row>
    <row r="34" spans="1:28" ht="15" customHeight="1" x14ac:dyDescent="0.2">
      <c r="A34" s="234"/>
      <c r="B34" s="234"/>
      <c r="C34" s="234"/>
      <c r="D34" s="234"/>
      <c r="E34" s="234"/>
      <c r="F34" s="234"/>
      <c r="G34" s="234"/>
      <c r="H34" s="234"/>
      <c r="I34" s="234"/>
      <c r="J34" s="719" t="s">
        <v>455</v>
      </c>
      <c r="K34" s="737"/>
      <c r="L34" s="724">
        <v>11</v>
      </c>
      <c r="M34" s="724">
        <v>3298</v>
      </c>
      <c r="N34" s="725"/>
      <c r="O34" s="724">
        <v>0</v>
      </c>
      <c r="P34" s="724">
        <v>0</v>
      </c>
      <c r="Q34" s="646" t="s">
        <v>1418</v>
      </c>
      <c r="R34" s="646">
        <f t="shared" ref="R34:R71" si="5">P34+M34</f>
        <v>3298</v>
      </c>
      <c r="S34" s="234"/>
      <c r="T34" s="234"/>
      <c r="U34" s="234"/>
      <c r="V34" s="234"/>
      <c r="W34" s="234"/>
      <c r="X34" s="234"/>
      <c r="Y34" s="234"/>
      <c r="Z34" s="234"/>
      <c r="AA34" s="234"/>
      <c r="AB34" s="234"/>
    </row>
    <row r="35" spans="1:28" ht="15" customHeight="1" x14ac:dyDescent="0.2">
      <c r="A35" s="234"/>
      <c r="B35" s="234"/>
      <c r="C35" s="234"/>
      <c r="D35" s="234"/>
      <c r="E35" s="234"/>
      <c r="F35" s="234"/>
      <c r="G35" s="234"/>
      <c r="H35" s="234"/>
      <c r="I35" s="234"/>
      <c r="J35" s="719" t="s">
        <v>456</v>
      </c>
      <c r="K35" s="737" t="s">
        <v>1417</v>
      </c>
      <c r="L35" s="724">
        <v>14</v>
      </c>
      <c r="M35" s="724">
        <v>9226</v>
      </c>
      <c r="N35" s="725"/>
      <c r="O35" s="724">
        <v>6</v>
      </c>
      <c r="P35" s="724">
        <v>1909</v>
      </c>
      <c r="Q35" s="646" t="s">
        <v>1418</v>
      </c>
      <c r="R35" s="646">
        <f t="shared" si="5"/>
        <v>11135</v>
      </c>
      <c r="S35" s="234"/>
      <c r="T35" s="234"/>
      <c r="U35" s="234"/>
      <c r="V35" s="234"/>
      <c r="W35" s="234"/>
      <c r="X35" s="234"/>
      <c r="Y35" s="234"/>
      <c r="Z35" s="234"/>
      <c r="AA35" s="234"/>
      <c r="AB35" s="234"/>
    </row>
    <row r="36" spans="1:28" ht="15" customHeight="1" x14ac:dyDescent="0.2">
      <c r="A36" s="234"/>
      <c r="B36" s="234"/>
      <c r="C36" s="234"/>
      <c r="D36" s="234"/>
      <c r="E36" s="234"/>
      <c r="F36" s="234"/>
      <c r="G36" s="234"/>
      <c r="H36" s="234"/>
      <c r="I36" s="234"/>
      <c r="J36" s="719" t="s">
        <v>457</v>
      </c>
      <c r="K36" s="737" t="s">
        <v>1383</v>
      </c>
      <c r="L36" s="724">
        <v>36</v>
      </c>
      <c r="M36" s="724">
        <v>16461</v>
      </c>
      <c r="N36" s="725"/>
      <c r="O36" s="724">
        <v>40</v>
      </c>
      <c r="P36" s="724">
        <v>11478</v>
      </c>
      <c r="Q36" s="646" t="s">
        <v>1418</v>
      </c>
      <c r="R36" s="646">
        <f t="shared" si="5"/>
        <v>27939</v>
      </c>
      <c r="S36" s="234"/>
      <c r="T36" s="234"/>
      <c r="U36" s="234"/>
      <c r="V36" s="234"/>
      <c r="W36" s="234"/>
      <c r="X36" s="234"/>
      <c r="Y36" s="234"/>
      <c r="Z36" s="234"/>
      <c r="AA36" s="234"/>
      <c r="AB36" s="234"/>
    </row>
    <row r="37" spans="1:28" ht="15" customHeight="1" x14ac:dyDescent="0.2">
      <c r="A37" s="234"/>
      <c r="B37" s="234"/>
      <c r="C37" s="234"/>
      <c r="D37" s="234"/>
      <c r="E37" s="234"/>
      <c r="F37" s="234"/>
      <c r="G37" s="234"/>
      <c r="H37" s="234"/>
      <c r="I37" s="234"/>
      <c r="J37" s="719" t="s">
        <v>2045</v>
      </c>
      <c r="K37" s="737"/>
      <c r="L37" s="724">
        <v>0</v>
      </c>
      <c r="M37" s="724">
        <v>0</v>
      </c>
      <c r="N37" s="725"/>
      <c r="O37" s="724">
        <v>2</v>
      </c>
      <c r="P37" s="724">
        <v>349</v>
      </c>
      <c r="Q37" s="646" t="s">
        <v>1418</v>
      </c>
      <c r="R37" s="646">
        <f t="shared" si="5"/>
        <v>349</v>
      </c>
      <c r="S37" s="234"/>
      <c r="T37" s="234"/>
      <c r="U37" s="234"/>
      <c r="V37" s="234"/>
      <c r="W37" s="234"/>
      <c r="X37" s="234"/>
      <c r="Y37" s="234"/>
      <c r="Z37" s="234"/>
      <c r="AA37" s="234"/>
      <c r="AB37" s="234"/>
    </row>
    <row r="38" spans="1:28" ht="15" customHeight="1" x14ac:dyDescent="0.2">
      <c r="A38" s="234"/>
      <c r="B38" s="234"/>
      <c r="C38" s="234"/>
      <c r="D38" s="234"/>
      <c r="E38" s="234"/>
      <c r="F38" s="234"/>
      <c r="G38" s="234"/>
      <c r="H38" s="234"/>
      <c r="I38" s="234"/>
      <c r="J38" s="719" t="s">
        <v>2046</v>
      </c>
      <c r="K38" s="737" t="s">
        <v>1254</v>
      </c>
      <c r="L38" s="724">
        <v>0</v>
      </c>
      <c r="M38" s="724">
        <v>0</v>
      </c>
      <c r="N38" s="725"/>
      <c r="O38" s="724">
        <v>13</v>
      </c>
      <c r="P38" s="724">
        <v>3828</v>
      </c>
      <c r="Q38" s="646" t="s">
        <v>1418</v>
      </c>
      <c r="R38" s="646">
        <f t="shared" si="5"/>
        <v>3828</v>
      </c>
      <c r="S38" s="234"/>
      <c r="T38" s="234"/>
      <c r="U38" s="234"/>
      <c r="V38" s="234"/>
      <c r="W38" s="234"/>
      <c r="X38" s="234"/>
      <c r="Y38" s="234"/>
      <c r="Z38" s="234"/>
      <c r="AA38" s="234"/>
      <c r="AB38" s="234"/>
    </row>
    <row r="39" spans="1:28" ht="15" customHeight="1" x14ac:dyDescent="0.2">
      <c r="A39" s="234"/>
      <c r="B39" s="234"/>
      <c r="C39" s="234"/>
      <c r="D39" s="234"/>
      <c r="E39" s="234"/>
      <c r="F39" s="234"/>
      <c r="G39" s="234"/>
      <c r="H39" s="234"/>
      <c r="I39" s="234"/>
      <c r="J39" s="719" t="s">
        <v>2047</v>
      </c>
      <c r="K39" s="737" t="s">
        <v>1417</v>
      </c>
      <c r="L39" s="724">
        <v>39</v>
      </c>
      <c r="M39" s="724">
        <v>11587</v>
      </c>
      <c r="N39" s="725"/>
      <c r="O39" s="724">
        <v>0</v>
      </c>
      <c r="P39" s="724">
        <v>0</v>
      </c>
      <c r="Q39" s="646" t="s">
        <v>1418</v>
      </c>
      <c r="R39" s="646">
        <f t="shared" si="5"/>
        <v>11587</v>
      </c>
      <c r="S39" s="234"/>
      <c r="T39" s="234"/>
      <c r="U39" s="234"/>
      <c r="V39" s="234"/>
      <c r="W39" s="234"/>
      <c r="X39" s="234"/>
      <c r="Y39" s="234"/>
      <c r="Z39" s="234"/>
      <c r="AA39" s="234"/>
      <c r="AB39" s="234"/>
    </row>
    <row r="40" spans="1:28" ht="15" customHeight="1" x14ac:dyDescent="0.2">
      <c r="A40" s="234"/>
      <c r="B40" s="234"/>
      <c r="C40" s="234"/>
      <c r="D40" s="234"/>
      <c r="E40" s="234"/>
      <c r="F40" s="234"/>
      <c r="G40" s="234"/>
      <c r="H40" s="234"/>
      <c r="I40" s="234"/>
      <c r="J40" s="719" t="s">
        <v>368</v>
      </c>
      <c r="K40" s="737"/>
      <c r="L40" s="724">
        <v>27</v>
      </c>
      <c r="M40" s="724">
        <v>2973</v>
      </c>
      <c r="N40" s="725"/>
      <c r="O40" s="724">
        <v>0</v>
      </c>
      <c r="P40" s="724">
        <v>0</v>
      </c>
      <c r="Q40" s="646" t="s">
        <v>1418</v>
      </c>
      <c r="R40" s="646">
        <f t="shared" si="5"/>
        <v>2973</v>
      </c>
      <c r="S40" s="234"/>
      <c r="T40" s="234"/>
      <c r="U40" s="234"/>
      <c r="V40" s="234"/>
      <c r="W40" s="234"/>
      <c r="X40" s="234"/>
      <c r="Y40" s="234"/>
      <c r="Z40" s="234"/>
      <c r="AA40" s="234"/>
      <c r="AB40" s="234"/>
    </row>
    <row r="41" spans="1:28" ht="15" customHeight="1" x14ac:dyDescent="0.2">
      <c r="A41" s="234"/>
      <c r="B41" s="234"/>
      <c r="C41" s="234"/>
      <c r="D41" s="234"/>
      <c r="E41" s="234"/>
      <c r="F41" s="234"/>
      <c r="G41" s="234"/>
      <c r="H41" s="234"/>
      <c r="I41" s="234"/>
      <c r="J41" s="719" t="s">
        <v>2048</v>
      </c>
      <c r="K41" s="737"/>
      <c r="L41" s="724">
        <v>1</v>
      </c>
      <c r="M41" s="724">
        <v>353</v>
      </c>
      <c r="N41" s="725"/>
      <c r="O41" s="724">
        <v>0</v>
      </c>
      <c r="P41" s="724">
        <v>0</v>
      </c>
      <c r="Q41" s="646" t="s">
        <v>1418</v>
      </c>
      <c r="R41" s="646">
        <f t="shared" si="5"/>
        <v>353</v>
      </c>
      <c r="S41" s="234"/>
      <c r="T41" s="234"/>
      <c r="U41" s="234"/>
      <c r="V41" s="234"/>
      <c r="W41" s="234"/>
      <c r="X41" s="234"/>
      <c r="Y41" s="234"/>
      <c r="Z41" s="234"/>
      <c r="AA41" s="234"/>
      <c r="AB41" s="234"/>
    </row>
    <row r="42" spans="1:28" ht="15" customHeight="1" x14ac:dyDescent="0.2">
      <c r="A42" s="234"/>
      <c r="B42" s="234"/>
      <c r="C42" s="234"/>
      <c r="D42" s="234"/>
      <c r="E42" s="234"/>
      <c r="F42" s="234"/>
      <c r="G42" s="234"/>
      <c r="H42" s="234"/>
      <c r="I42" s="234"/>
      <c r="J42" s="719" t="s">
        <v>1386</v>
      </c>
      <c r="K42" s="737" t="s">
        <v>1387</v>
      </c>
      <c r="L42" s="724">
        <v>281</v>
      </c>
      <c r="M42" s="724">
        <v>44060</v>
      </c>
      <c r="N42" s="725"/>
      <c r="O42" s="724">
        <v>514</v>
      </c>
      <c r="P42" s="724">
        <v>67574</v>
      </c>
      <c r="Q42" s="646" t="s">
        <v>1418</v>
      </c>
      <c r="R42" s="646">
        <f t="shared" si="5"/>
        <v>111634</v>
      </c>
      <c r="S42" s="234"/>
      <c r="T42" s="234"/>
      <c r="U42" s="234"/>
      <c r="V42" s="234"/>
      <c r="W42" s="234"/>
      <c r="X42" s="234"/>
      <c r="Y42" s="234"/>
      <c r="Z42" s="234"/>
      <c r="AA42" s="234"/>
      <c r="AB42" s="234"/>
    </row>
    <row r="43" spans="1:28" ht="15" customHeight="1" x14ac:dyDescent="0.2">
      <c r="A43" s="234"/>
      <c r="B43" s="234"/>
      <c r="C43" s="234"/>
      <c r="D43" s="234"/>
      <c r="E43" s="234"/>
      <c r="F43" s="234"/>
      <c r="G43" s="234"/>
      <c r="H43" s="234"/>
      <c r="I43" s="234"/>
      <c r="J43" s="719" t="s">
        <v>2049</v>
      </c>
      <c r="K43" s="737" t="s">
        <v>1255</v>
      </c>
      <c r="L43" s="724">
        <v>3</v>
      </c>
      <c r="M43" s="724">
        <v>1055</v>
      </c>
      <c r="N43" s="725"/>
      <c r="O43" s="724">
        <v>645</v>
      </c>
      <c r="P43" s="724">
        <v>57455</v>
      </c>
      <c r="Q43" s="646" t="s">
        <v>1418</v>
      </c>
      <c r="R43" s="646">
        <f t="shared" si="5"/>
        <v>58510</v>
      </c>
      <c r="S43" s="234"/>
      <c r="T43" s="234"/>
      <c r="U43" s="234"/>
      <c r="V43" s="234"/>
      <c r="W43" s="234"/>
      <c r="X43" s="234"/>
      <c r="Y43" s="234"/>
      <c r="Z43" s="234"/>
      <c r="AA43" s="234"/>
      <c r="AB43" s="234"/>
    </row>
    <row r="44" spans="1:28" ht="15" customHeight="1" x14ac:dyDescent="0.2">
      <c r="A44" s="234"/>
      <c r="B44" s="234"/>
      <c r="C44" s="234"/>
      <c r="D44" s="234"/>
      <c r="E44" s="234"/>
      <c r="F44" s="234"/>
      <c r="G44" s="234"/>
      <c r="H44" s="234"/>
      <c r="I44" s="234"/>
      <c r="J44" s="719" t="s">
        <v>1390</v>
      </c>
      <c r="K44" s="737" t="s">
        <v>1387</v>
      </c>
      <c r="L44" s="724">
        <v>33</v>
      </c>
      <c r="M44" s="724">
        <v>5156</v>
      </c>
      <c r="N44" s="725"/>
      <c r="O44" s="724">
        <v>240</v>
      </c>
      <c r="P44" s="724">
        <v>26805</v>
      </c>
      <c r="Q44" s="646" t="s">
        <v>1418</v>
      </c>
      <c r="R44" s="646">
        <f t="shared" si="5"/>
        <v>31961</v>
      </c>
      <c r="S44" s="234"/>
      <c r="T44" s="234"/>
      <c r="U44" s="234"/>
      <c r="V44" s="234"/>
      <c r="W44" s="234"/>
      <c r="X44" s="234"/>
      <c r="Y44" s="234"/>
      <c r="Z44" s="234"/>
      <c r="AA44" s="234"/>
      <c r="AB44" s="234"/>
    </row>
    <row r="45" spans="1:28" ht="15" customHeight="1" x14ac:dyDescent="0.2">
      <c r="A45" s="234"/>
      <c r="B45" s="234"/>
      <c r="C45" s="234"/>
      <c r="D45" s="234"/>
      <c r="E45" s="234"/>
      <c r="F45" s="234"/>
      <c r="G45" s="234"/>
      <c r="H45" s="234"/>
      <c r="I45" s="234"/>
      <c r="J45" s="719" t="s">
        <v>1388</v>
      </c>
      <c r="K45" s="737" t="s">
        <v>1387</v>
      </c>
      <c r="L45" s="724">
        <v>133</v>
      </c>
      <c r="M45" s="724">
        <v>18997</v>
      </c>
      <c r="N45" s="725"/>
      <c r="O45" s="724">
        <v>462</v>
      </c>
      <c r="P45" s="724">
        <v>52574</v>
      </c>
      <c r="Q45" s="646" t="s">
        <v>1418</v>
      </c>
      <c r="R45" s="646">
        <f t="shared" si="5"/>
        <v>71571</v>
      </c>
      <c r="S45" s="234"/>
      <c r="T45" s="234"/>
      <c r="U45" s="234"/>
      <c r="V45" s="234"/>
      <c r="W45" s="234"/>
      <c r="X45" s="234"/>
      <c r="Y45" s="234"/>
      <c r="Z45" s="234"/>
      <c r="AA45" s="234"/>
      <c r="AB45" s="234"/>
    </row>
    <row r="46" spans="1:28" ht="15" customHeight="1" x14ac:dyDescent="0.2">
      <c r="A46" s="234"/>
      <c r="B46" s="234"/>
      <c r="C46" s="234"/>
      <c r="D46" s="234"/>
      <c r="E46" s="234"/>
      <c r="F46" s="234"/>
      <c r="G46" s="234"/>
      <c r="H46" s="234"/>
      <c r="I46" s="234"/>
      <c r="J46" s="719" t="s">
        <v>1391</v>
      </c>
      <c r="K46" s="737" t="s">
        <v>1255</v>
      </c>
      <c r="L46" s="724">
        <v>34</v>
      </c>
      <c r="M46" s="724">
        <v>3658</v>
      </c>
      <c r="N46" s="725"/>
      <c r="O46" s="724">
        <v>158</v>
      </c>
      <c r="P46" s="724">
        <v>15662</v>
      </c>
      <c r="Q46" s="646" t="s">
        <v>1418</v>
      </c>
      <c r="R46" s="646">
        <f t="shared" si="5"/>
        <v>19320</v>
      </c>
      <c r="S46" s="234"/>
      <c r="T46" s="234"/>
      <c r="U46" s="234"/>
      <c r="V46" s="234"/>
      <c r="W46" s="234"/>
      <c r="X46" s="234"/>
      <c r="Y46" s="234"/>
      <c r="Z46" s="234"/>
      <c r="AA46" s="234"/>
      <c r="AB46" s="234"/>
    </row>
    <row r="47" spans="1:28" ht="15" customHeight="1" x14ac:dyDescent="0.2">
      <c r="A47" s="234"/>
      <c r="B47" s="234"/>
      <c r="C47" s="234"/>
      <c r="D47" s="234"/>
      <c r="E47" s="234"/>
      <c r="F47" s="234"/>
      <c r="G47" s="234"/>
      <c r="H47" s="234"/>
      <c r="I47" s="234"/>
      <c r="J47" s="719" t="s">
        <v>369</v>
      </c>
      <c r="K47" s="737"/>
      <c r="L47" s="724">
        <v>42</v>
      </c>
      <c r="M47" s="724">
        <v>9800</v>
      </c>
      <c r="N47" s="725"/>
      <c r="O47" s="724">
        <v>0</v>
      </c>
      <c r="P47" s="724">
        <v>0</v>
      </c>
      <c r="Q47" s="646" t="s">
        <v>1418</v>
      </c>
      <c r="R47" s="646">
        <f t="shared" si="5"/>
        <v>9800</v>
      </c>
      <c r="S47" s="234"/>
      <c r="T47" s="234"/>
      <c r="U47" s="234"/>
      <c r="V47" s="234"/>
      <c r="W47" s="234"/>
      <c r="X47" s="234"/>
      <c r="Y47" s="234"/>
      <c r="Z47" s="234"/>
      <c r="AA47" s="234"/>
      <c r="AB47" s="234"/>
    </row>
    <row r="48" spans="1:28" ht="15" customHeight="1" x14ac:dyDescent="0.2">
      <c r="A48" s="234"/>
      <c r="B48" s="234"/>
      <c r="C48" s="234"/>
      <c r="D48" s="234"/>
      <c r="E48" s="234"/>
      <c r="F48" s="234"/>
      <c r="G48" s="234"/>
      <c r="H48" s="234"/>
      <c r="I48" s="234"/>
      <c r="J48" s="719" t="s">
        <v>370</v>
      </c>
      <c r="K48" s="737"/>
      <c r="L48" s="724">
        <v>8</v>
      </c>
      <c r="M48" s="724">
        <v>359</v>
      </c>
      <c r="N48" s="725"/>
      <c r="O48" s="724">
        <v>0</v>
      </c>
      <c r="P48" s="724">
        <v>0</v>
      </c>
      <c r="Q48" s="646" t="s">
        <v>1418</v>
      </c>
      <c r="R48" s="646">
        <f t="shared" si="5"/>
        <v>359</v>
      </c>
      <c r="S48" s="234"/>
      <c r="T48" s="234"/>
      <c r="U48" s="234"/>
      <c r="V48" s="234"/>
      <c r="W48" s="234"/>
      <c r="X48" s="234"/>
      <c r="Y48" s="234"/>
      <c r="Z48" s="234"/>
      <c r="AA48" s="234"/>
      <c r="AB48" s="234"/>
    </row>
    <row r="49" spans="1:28" ht="15" customHeight="1" x14ac:dyDescent="0.2">
      <c r="A49" s="234"/>
      <c r="B49" s="234"/>
      <c r="C49" s="234"/>
      <c r="D49" s="234"/>
      <c r="E49" s="234"/>
      <c r="F49" s="234"/>
      <c r="G49" s="234"/>
      <c r="H49" s="234"/>
      <c r="I49" s="234"/>
      <c r="J49" s="719" t="s">
        <v>1915</v>
      </c>
      <c r="K49" s="737"/>
      <c r="L49" s="724">
        <v>3</v>
      </c>
      <c r="M49" s="724">
        <v>222</v>
      </c>
      <c r="N49" s="725"/>
      <c r="O49" s="724">
        <v>0</v>
      </c>
      <c r="P49" s="724">
        <v>0</v>
      </c>
      <c r="Q49" s="646" t="s">
        <v>1418</v>
      </c>
      <c r="R49" s="646">
        <f t="shared" si="5"/>
        <v>222</v>
      </c>
      <c r="S49" s="234"/>
      <c r="T49" s="234"/>
      <c r="U49" s="234"/>
      <c r="V49" s="234"/>
      <c r="W49" s="234"/>
      <c r="X49" s="234"/>
      <c r="Y49" s="234"/>
      <c r="Z49" s="234"/>
      <c r="AA49" s="234"/>
      <c r="AB49" s="234"/>
    </row>
    <row r="50" spans="1:28" ht="15" customHeight="1" x14ac:dyDescent="0.2">
      <c r="A50" s="234"/>
      <c r="B50" s="234"/>
      <c r="C50" s="234"/>
      <c r="D50" s="234"/>
      <c r="E50" s="234"/>
      <c r="F50" s="234"/>
      <c r="G50" s="234"/>
      <c r="H50" s="234"/>
      <c r="I50" s="234"/>
      <c r="J50" s="719" t="s">
        <v>1916</v>
      </c>
      <c r="K50" s="737"/>
      <c r="L50" s="724">
        <v>1</v>
      </c>
      <c r="M50" s="724">
        <v>199</v>
      </c>
      <c r="N50" s="725"/>
      <c r="O50" s="724">
        <v>0</v>
      </c>
      <c r="P50" s="724">
        <v>0</v>
      </c>
      <c r="Q50" s="646" t="s">
        <v>1418</v>
      </c>
      <c r="R50" s="646">
        <f t="shared" si="5"/>
        <v>199</v>
      </c>
      <c r="S50" s="234"/>
      <c r="T50" s="234"/>
      <c r="U50" s="234"/>
      <c r="V50" s="234"/>
      <c r="W50" s="234"/>
      <c r="X50" s="234"/>
      <c r="Y50" s="234"/>
      <c r="Z50" s="234"/>
      <c r="AA50" s="234"/>
      <c r="AB50" s="234"/>
    </row>
    <row r="51" spans="1:28" ht="15" customHeight="1" x14ac:dyDescent="0.2">
      <c r="A51" s="234"/>
      <c r="B51" s="234"/>
      <c r="C51" s="234"/>
      <c r="D51" s="234"/>
      <c r="E51" s="234"/>
      <c r="F51" s="234"/>
      <c r="G51" s="234"/>
      <c r="H51" s="234"/>
      <c r="I51" s="234"/>
      <c r="J51" s="719" t="s">
        <v>1917</v>
      </c>
      <c r="K51" s="737"/>
      <c r="L51" s="726">
        <v>2</v>
      </c>
      <c r="M51" s="726">
        <v>68</v>
      </c>
      <c r="N51" s="727"/>
      <c r="O51" s="726">
        <v>0</v>
      </c>
      <c r="P51" s="726">
        <v>0</v>
      </c>
      <c r="Q51" s="728"/>
      <c r="R51" s="728">
        <f t="shared" si="5"/>
        <v>68</v>
      </c>
      <c r="S51" s="234"/>
      <c r="T51" s="234"/>
      <c r="U51" s="234"/>
      <c r="V51" s="234"/>
      <c r="W51" s="234"/>
      <c r="X51" s="234"/>
      <c r="Y51" s="234"/>
      <c r="Z51" s="234"/>
      <c r="AA51" s="234"/>
      <c r="AB51" s="234"/>
    </row>
    <row r="52" spans="1:28" ht="15" customHeight="1" x14ac:dyDescent="0.2">
      <c r="A52" s="234"/>
      <c r="B52" s="234"/>
      <c r="C52" s="234"/>
      <c r="D52" s="234"/>
      <c r="E52" s="234"/>
      <c r="F52" s="234"/>
      <c r="G52" s="234"/>
      <c r="H52" s="234"/>
      <c r="I52" s="234"/>
      <c r="J52" s="718" t="s">
        <v>1764</v>
      </c>
      <c r="K52" s="718"/>
      <c r="L52" s="729">
        <f>SUM(L33:L51)</f>
        <v>810</v>
      </c>
      <c r="M52" s="729">
        <f>SUM(M33:M51)</f>
        <v>200446</v>
      </c>
      <c r="N52" s="731"/>
      <c r="O52" s="729">
        <f>SUM(O33:O51)</f>
        <v>2264</v>
      </c>
      <c r="P52" s="729">
        <f>SUM(P33:P51)</f>
        <v>293576</v>
      </c>
      <c r="Q52" s="730"/>
      <c r="R52" s="730">
        <f>SUM(R33:R51)</f>
        <v>494022</v>
      </c>
      <c r="S52" s="234"/>
      <c r="T52" s="234"/>
      <c r="U52" s="725"/>
      <c r="V52" s="646"/>
      <c r="W52" s="234"/>
      <c r="X52" s="234"/>
      <c r="Y52" s="234"/>
      <c r="Z52" s="234"/>
      <c r="AA52" s="234"/>
      <c r="AB52" s="234"/>
    </row>
    <row r="53" spans="1:28" ht="15" customHeight="1" x14ac:dyDescent="0.2">
      <c r="A53" s="234"/>
      <c r="B53" s="234"/>
      <c r="C53" s="234"/>
      <c r="D53" s="234"/>
      <c r="E53" s="234"/>
      <c r="F53" s="234"/>
      <c r="G53" s="234"/>
      <c r="H53" s="234"/>
      <c r="I53" s="234"/>
      <c r="J53" s="714"/>
      <c r="K53" s="714"/>
      <c r="L53" s="715"/>
      <c r="M53" s="715"/>
      <c r="N53" s="711"/>
      <c r="O53" s="715"/>
      <c r="P53" s="715"/>
      <c r="Q53" s="234"/>
      <c r="R53" s="234"/>
      <c r="S53" s="234"/>
      <c r="T53" s="234"/>
      <c r="U53" s="234"/>
      <c r="V53" s="234"/>
      <c r="W53" s="234"/>
      <c r="X53" s="234"/>
      <c r="Y53" s="234"/>
      <c r="Z53" s="234"/>
      <c r="AA53" s="234"/>
      <c r="AB53" s="234"/>
    </row>
    <row r="54" spans="1:28" ht="15" customHeight="1" x14ac:dyDescent="0.2">
      <c r="A54" s="234"/>
      <c r="B54" s="234"/>
      <c r="C54" s="234"/>
      <c r="D54" s="234"/>
      <c r="E54" s="234"/>
      <c r="F54" s="234"/>
      <c r="G54" s="234"/>
      <c r="H54" s="234"/>
      <c r="I54" s="234"/>
      <c r="J54" s="720" t="s">
        <v>2050</v>
      </c>
      <c r="K54" s="720"/>
      <c r="L54" s="711"/>
      <c r="M54" s="711"/>
      <c r="N54" s="711"/>
      <c r="O54" s="711"/>
      <c r="P54" s="711"/>
      <c r="Q54" s="711"/>
      <c r="R54" s="234"/>
      <c r="S54" s="234"/>
      <c r="T54" s="234"/>
      <c r="U54" s="234"/>
      <c r="V54" s="234"/>
      <c r="W54" s="234"/>
      <c r="X54" s="234"/>
      <c r="Y54" s="234"/>
      <c r="Z54" s="234"/>
      <c r="AA54" s="234"/>
      <c r="AB54" s="234"/>
    </row>
    <row r="55" spans="1:28" ht="15" customHeight="1" x14ac:dyDescent="0.2">
      <c r="A55" s="234"/>
      <c r="B55" s="234"/>
      <c r="C55" s="234"/>
      <c r="D55" s="234"/>
      <c r="E55" s="234"/>
      <c r="F55" s="234"/>
      <c r="G55" s="234"/>
      <c r="H55" s="234"/>
      <c r="I55" s="234"/>
      <c r="J55" s="719" t="s">
        <v>454</v>
      </c>
      <c r="K55" s="719"/>
      <c r="L55" s="724">
        <v>133</v>
      </c>
      <c r="M55" s="724">
        <v>39485</v>
      </c>
      <c r="N55" s="725"/>
      <c r="O55" s="724">
        <v>35</v>
      </c>
      <c r="P55" s="724">
        <v>10333</v>
      </c>
      <c r="Q55" s="646" t="s">
        <v>1418</v>
      </c>
      <c r="R55" s="646">
        <f t="shared" si="5"/>
        <v>49818</v>
      </c>
      <c r="S55" s="234"/>
      <c r="T55" s="234"/>
      <c r="U55" s="234"/>
      <c r="V55" s="234"/>
      <c r="W55" s="234"/>
      <c r="X55" s="234"/>
      <c r="Y55" s="234"/>
      <c r="Z55" s="234"/>
      <c r="AA55" s="234"/>
      <c r="AB55" s="234"/>
    </row>
    <row r="56" spans="1:28" ht="15" customHeight="1" x14ac:dyDescent="0.2">
      <c r="A56" s="234"/>
      <c r="B56" s="234"/>
      <c r="C56" s="234"/>
      <c r="D56" s="234"/>
      <c r="E56" s="234"/>
      <c r="F56" s="234"/>
      <c r="G56" s="234"/>
      <c r="H56" s="234"/>
      <c r="I56" s="234"/>
      <c r="J56" s="719" t="s">
        <v>456</v>
      </c>
      <c r="K56" s="719"/>
      <c r="L56" s="724">
        <v>27</v>
      </c>
      <c r="M56" s="724">
        <v>10278</v>
      </c>
      <c r="N56" s="725"/>
      <c r="O56" s="724">
        <v>2</v>
      </c>
      <c r="P56" s="724">
        <v>574</v>
      </c>
      <c r="Q56" s="646" t="s">
        <v>1418</v>
      </c>
      <c r="R56" s="646">
        <f t="shared" si="5"/>
        <v>10852</v>
      </c>
      <c r="S56" s="234"/>
      <c r="T56" s="234"/>
      <c r="U56" s="234"/>
      <c r="V56" s="234"/>
      <c r="W56" s="234"/>
      <c r="X56" s="234"/>
      <c r="Y56" s="234"/>
      <c r="Z56" s="234"/>
      <c r="AA56" s="234"/>
      <c r="AB56" s="234"/>
    </row>
    <row r="57" spans="1:28" ht="15" customHeight="1" x14ac:dyDescent="0.2">
      <c r="A57" s="234"/>
      <c r="B57" s="234"/>
      <c r="C57" s="234"/>
      <c r="D57" s="234"/>
      <c r="E57" s="234"/>
      <c r="F57" s="234"/>
      <c r="G57" s="234"/>
      <c r="H57" s="234"/>
      <c r="I57" s="234"/>
      <c r="J57" s="719" t="s">
        <v>457</v>
      </c>
      <c r="K57" s="719"/>
      <c r="L57" s="724">
        <v>51</v>
      </c>
      <c r="M57" s="724">
        <v>17528</v>
      </c>
      <c r="N57" s="725"/>
      <c r="O57" s="724">
        <v>17</v>
      </c>
      <c r="P57" s="724">
        <v>5192</v>
      </c>
      <c r="Q57" s="646" t="s">
        <v>1418</v>
      </c>
      <c r="R57" s="646">
        <f t="shared" si="5"/>
        <v>22720</v>
      </c>
      <c r="S57" s="234"/>
      <c r="T57" s="234"/>
      <c r="U57" s="234"/>
      <c r="V57" s="234"/>
      <c r="W57" s="234"/>
      <c r="X57" s="234"/>
      <c r="Y57" s="234"/>
      <c r="Z57" s="234"/>
      <c r="AA57" s="234"/>
      <c r="AB57" s="234"/>
    </row>
    <row r="58" spans="1:28" ht="15" customHeight="1" x14ac:dyDescent="0.2">
      <c r="A58" s="234"/>
      <c r="B58" s="234"/>
      <c r="C58" s="234"/>
      <c r="D58" s="234"/>
      <c r="E58" s="234"/>
      <c r="F58" s="234"/>
      <c r="G58" s="234"/>
      <c r="H58" s="234"/>
      <c r="I58" s="234"/>
      <c r="J58" s="719" t="s">
        <v>2047</v>
      </c>
      <c r="K58" s="719"/>
      <c r="L58" s="724">
        <v>35</v>
      </c>
      <c r="M58" s="724">
        <v>10457</v>
      </c>
      <c r="N58" s="725"/>
      <c r="O58" s="724">
        <v>0</v>
      </c>
      <c r="P58" s="724">
        <v>0</v>
      </c>
      <c r="Q58" s="646" t="s">
        <v>1418</v>
      </c>
      <c r="R58" s="646">
        <f t="shared" si="5"/>
        <v>10457</v>
      </c>
      <c r="S58" s="234"/>
      <c r="T58" s="234"/>
      <c r="U58" s="234"/>
      <c r="V58" s="234"/>
      <c r="W58" s="234"/>
      <c r="X58" s="234"/>
      <c r="Y58" s="234"/>
      <c r="Z58" s="234"/>
      <c r="AA58" s="234"/>
      <c r="AB58" s="234"/>
    </row>
    <row r="59" spans="1:28" ht="15" customHeight="1" x14ac:dyDescent="0.2">
      <c r="A59" s="234"/>
      <c r="B59" s="234"/>
      <c r="C59" s="234"/>
      <c r="D59" s="234"/>
      <c r="E59" s="234"/>
      <c r="F59" s="234"/>
      <c r="G59" s="234"/>
      <c r="H59" s="234"/>
      <c r="I59" s="234"/>
      <c r="J59" s="719" t="s">
        <v>368</v>
      </c>
      <c r="K59" s="719"/>
      <c r="L59" s="724">
        <v>1</v>
      </c>
      <c r="M59" s="724">
        <v>112</v>
      </c>
      <c r="N59" s="725"/>
      <c r="O59" s="724">
        <v>0</v>
      </c>
      <c r="P59" s="724">
        <v>0</v>
      </c>
      <c r="Q59" s="646" t="s">
        <v>1418</v>
      </c>
      <c r="R59" s="646">
        <f t="shared" si="5"/>
        <v>112</v>
      </c>
      <c r="S59" s="234"/>
      <c r="T59" s="234"/>
      <c r="U59" s="234"/>
      <c r="V59" s="234"/>
      <c r="W59" s="234"/>
      <c r="X59" s="234"/>
      <c r="Y59" s="234"/>
      <c r="Z59" s="234"/>
      <c r="AA59" s="234"/>
      <c r="AB59" s="234"/>
    </row>
    <row r="60" spans="1:28" ht="15" customHeight="1" x14ac:dyDescent="0.2">
      <c r="A60" s="234"/>
      <c r="B60" s="234"/>
      <c r="C60" s="234"/>
      <c r="D60" s="234"/>
      <c r="E60" s="234"/>
      <c r="F60" s="234"/>
      <c r="G60" s="234"/>
      <c r="H60" s="234"/>
      <c r="I60" s="234"/>
      <c r="J60" s="719" t="s">
        <v>2051</v>
      </c>
      <c r="K60" s="719"/>
      <c r="L60" s="724">
        <v>3</v>
      </c>
      <c r="M60" s="724">
        <v>458</v>
      </c>
      <c r="N60" s="725"/>
      <c r="O60" s="724">
        <v>0</v>
      </c>
      <c r="P60" s="724">
        <v>0</v>
      </c>
      <c r="Q60" s="646" t="s">
        <v>1418</v>
      </c>
      <c r="R60" s="646">
        <f t="shared" si="5"/>
        <v>458</v>
      </c>
      <c r="S60" s="234"/>
      <c r="T60" s="234"/>
      <c r="U60" s="234"/>
      <c r="V60" s="234"/>
      <c r="W60" s="234"/>
      <c r="X60" s="234"/>
      <c r="Y60" s="234"/>
      <c r="Z60" s="234"/>
      <c r="AA60" s="234"/>
      <c r="AB60" s="234"/>
    </row>
    <row r="61" spans="1:28" ht="15" customHeight="1" x14ac:dyDescent="0.2">
      <c r="A61" s="234"/>
      <c r="B61" s="234"/>
      <c r="C61" s="234"/>
      <c r="D61" s="234"/>
      <c r="E61" s="234"/>
      <c r="F61" s="234"/>
      <c r="G61" s="234"/>
      <c r="H61" s="234"/>
      <c r="I61" s="234"/>
      <c r="J61" s="719" t="s">
        <v>2052</v>
      </c>
      <c r="K61" s="719"/>
      <c r="L61" s="724">
        <v>2</v>
      </c>
      <c r="M61" s="724">
        <v>117</v>
      </c>
      <c r="N61" s="725"/>
      <c r="O61" s="724">
        <v>0</v>
      </c>
      <c r="P61" s="724">
        <v>0</v>
      </c>
      <c r="Q61" s="646" t="s">
        <v>1418</v>
      </c>
      <c r="R61" s="646">
        <f t="shared" si="5"/>
        <v>117</v>
      </c>
      <c r="S61" s="234"/>
      <c r="T61" s="234"/>
      <c r="U61" s="234"/>
      <c r="V61" s="234"/>
      <c r="W61" s="234"/>
      <c r="X61" s="234"/>
      <c r="Y61" s="234"/>
      <c r="Z61" s="234"/>
      <c r="AA61" s="234"/>
      <c r="AB61" s="234"/>
    </row>
    <row r="62" spans="1:28" ht="15" customHeight="1" x14ac:dyDescent="0.2">
      <c r="A62" s="234"/>
      <c r="B62" s="234"/>
      <c r="C62" s="234"/>
      <c r="D62" s="234"/>
      <c r="E62" s="234"/>
      <c r="F62" s="234"/>
      <c r="G62" s="234"/>
      <c r="H62" s="234"/>
      <c r="I62" s="234"/>
      <c r="J62" s="719" t="s">
        <v>2053</v>
      </c>
      <c r="K62" s="719"/>
      <c r="L62" s="724">
        <v>22</v>
      </c>
      <c r="M62" s="724">
        <v>3676</v>
      </c>
      <c r="N62" s="725"/>
      <c r="O62" s="724">
        <v>1</v>
      </c>
      <c r="P62" s="724">
        <v>99</v>
      </c>
      <c r="Q62" s="646" t="s">
        <v>1418</v>
      </c>
      <c r="R62" s="646">
        <f t="shared" si="5"/>
        <v>3775</v>
      </c>
      <c r="S62" s="234"/>
      <c r="T62" s="234"/>
      <c r="U62" s="234"/>
      <c r="V62" s="234"/>
      <c r="W62" s="234"/>
      <c r="X62" s="234"/>
      <c r="Y62" s="234"/>
      <c r="Z62" s="234"/>
      <c r="AA62" s="234"/>
      <c r="AB62" s="234"/>
    </row>
    <row r="63" spans="1:28" ht="15" customHeight="1" x14ac:dyDescent="0.2">
      <c r="A63" s="234"/>
      <c r="B63" s="234"/>
      <c r="C63" s="234"/>
      <c r="D63" s="234"/>
      <c r="E63" s="234"/>
      <c r="F63" s="234"/>
      <c r="G63" s="234"/>
      <c r="H63" s="234"/>
      <c r="I63" s="234"/>
      <c r="J63" s="719" t="s">
        <v>1386</v>
      </c>
      <c r="K63" s="719"/>
      <c r="L63" s="724">
        <v>52</v>
      </c>
      <c r="M63" s="724">
        <v>11534</v>
      </c>
      <c r="N63" s="725"/>
      <c r="O63" s="724">
        <v>45</v>
      </c>
      <c r="P63" s="724">
        <v>7901</v>
      </c>
      <c r="Q63" s="646" t="s">
        <v>1418</v>
      </c>
      <c r="R63" s="646">
        <f t="shared" si="5"/>
        <v>19435</v>
      </c>
      <c r="S63" s="234"/>
      <c r="T63" s="234"/>
      <c r="U63" s="234"/>
      <c r="V63" s="234"/>
      <c r="W63" s="234"/>
      <c r="X63" s="234"/>
      <c r="Y63" s="234"/>
      <c r="Z63" s="234"/>
      <c r="AA63" s="234"/>
      <c r="AB63" s="234"/>
    </row>
    <row r="64" spans="1:28" ht="15" customHeight="1" x14ac:dyDescent="0.2">
      <c r="A64" s="234"/>
      <c r="B64" s="234"/>
      <c r="C64" s="234"/>
      <c r="D64" s="234"/>
      <c r="E64" s="234"/>
      <c r="F64" s="234"/>
      <c r="G64" s="234"/>
      <c r="H64" s="234"/>
      <c r="I64" s="234"/>
      <c r="J64" s="719" t="s">
        <v>2049</v>
      </c>
      <c r="K64" s="719"/>
      <c r="L64" s="724">
        <v>0</v>
      </c>
      <c r="M64" s="724">
        <v>0</v>
      </c>
      <c r="N64" s="725"/>
      <c r="O64" s="724">
        <v>10</v>
      </c>
      <c r="P64" s="724">
        <v>1235</v>
      </c>
      <c r="Q64" s="646" t="s">
        <v>1418</v>
      </c>
      <c r="R64" s="646">
        <f t="shared" si="5"/>
        <v>1235</v>
      </c>
      <c r="S64" s="234"/>
      <c r="T64" s="234"/>
      <c r="U64" s="234"/>
      <c r="V64" s="234"/>
      <c r="W64" s="234"/>
      <c r="X64" s="234"/>
      <c r="Y64" s="234"/>
      <c r="Z64" s="234"/>
      <c r="AA64" s="234"/>
      <c r="AB64" s="234"/>
    </row>
    <row r="65" spans="1:28" ht="15" customHeight="1" x14ac:dyDescent="0.2">
      <c r="A65" s="234"/>
      <c r="B65" s="234"/>
      <c r="C65" s="234"/>
      <c r="D65" s="234"/>
      <c r="E65" s="234"/>
      <c r="F65" s="234"/>
      <c r="G65" s="234"/>
      <c r="H65" s="234"/>
      <c r="I65" s="234"/>
      <c r="J65" s="719" t="s">
        <v>1390</v>
      </c>
      <c r="K65" s="719"/>
      <c r="L65" s="724">
        <v>0</v>
      </c>
      <c r="M65" s="724">
        <v>0</v>
      </c>
      <c r="N65" s="725"/>
      <c r="O65" s="724">
        <v>1</v>
      </c>
      <c r="P65" s="724">
        <v>124</v>
      </c>
      <c r="Q65" s="646" t="s">
        <v>1418</v>
      </c>
      <c r="R65" s="646">
        <f t="shared" si="5"/>
        <v>124</v>
      </c>
      <c r="S65" s="234"/>
      <c r="T65" s="234"/>
      <c r="U65" s="234"/>
      <c r="V65" s="234"/>
      <c r="W65" s="234"/>
      <c r="X65" s="234"/>
      <c r="Y65" s="234"/>
      <c r="Z65" s="234"/>
      <c r="AA65" s="234"/>
      <c r="AB65" s="234"/>
    </row>
    <row r="66" spans="1:28" ht="15" customHeight="1" x14ac:dyDescent="0.2">
      <c r="A66" s="234"/>
      <c r="B66" s="234"/>
      <c r="C66" s="234"/>
      <c r="D66" s="234"/>
      <c r="E66" s="234"/>
      <c r="F66" s="234"/>
      <c r="G66" s="234"/>
      <c r="H66" s="234"/>
      <c r="I66" s="234"/>
      <c r="J66" s="719" t="s">
        <v>1388</v>
      </c>
      <c r="K66" s="719"/>
      <c r="L66" s="724">
        <v>3</v>
      </c>
      <c r="M66" s="724">
        <v>405</v>
      </c>
      <c r="N66" s="725"/>
      <c r="O66" s="724">
        <v>15</v>
      </c>
      <c r="P66" s="724">
        <v>2154</v>
      </c>
      <c r="Q66" s="646" t="s">
        <v>1418</v>
      </c>
      <c r="R66" s="646">
        <f t="shared" si="5"/>
        <v>2559</v>
      </c>
      <c r="S66" s="234"/>
      <c r="T66" s="234"/>
      <c r="U66" s="234"/>
      <c r="V66" s="234"/>
      <c r="W66" s="234"/>
      <c r="X66" s="234"/>
      <c r="Y66" s="234"/>
      <c r="Z66" s="234"/>
      <c r="AA66" s="234"/>
      <c r="AB66" s="234"/>
    </row>
    <row r="67" spans="1:28" ht="15" customHeight="1" x14ac:dyDescent="0.2">
      <c r="A67" s="234"/>
      <c r="B67" s="234"/>
      <c r="C67" s="234"/>
      <c r="D67" s="234"/>
      <c r="E67" s="234"/>
      <c r="F67" s="234"/>
      <c r="G67" s="234"/>
      <c r="H67" s="234"/>
      <c r="I67" s="234"/>
      <c r="J67" s="719" t="s">
        <v>1391</v>
      </c>
      <c r="K67" s="719"/>
      <c r="L67" s="724">
        <v>0</v>
      </c>
      <c r="M67" s="724">
        <v>0</v>
      </c>
      <c r="N67" s="725"/>
      <c r="O67" s="724">
        <v>1</v>
      </c>
      <c r="P67" s="724">
        <v>105</v>
      </c>
      <c r="Q67" s="646" t="s">
        <v>1418</v>
      </c>
      <c r="R67" s="646">
        <f t="shared" si="5"/>
        <v>105</v>
      </c>
      <c r="S67" s="234"/>
      <c r="T67" s="234"/>
      <c r="U67" s="234"/>
      <c r="V67" s="234"/>
      <c r="W67" s="234"/>
      <c r="X67" s="234"/>
      <c r="Y67" s="234"/>
      <c r="Z67" s="234"/>
      <c r="AA67" s="234"/>
      <c r="AB67" s="234"/>
    </row>
    <row r="68" spans="1:28" ht="15" customHeight="1" x14ac:dyDescent="0.2">
      <c r="A68" s="234"/>
      <c r="B68" s="234"/>
      <c r="C68" s="234"/>
      <c r="D68" s="234"/>
      <c r="E68" s="234"/>
      <c r="F68" s="234"/>
      <c r="G68" s="234"/>
      <c r="H68" s="234"/>
      <c r="I68" s="234"/>
      <c r="J68" s="719" t="s">
        <v>369</v>
      </c>
      <c r="K68" s="719"/>
      <c r="L68" s="724">
        <v>11</v>
      </c>
      <c r="M68" s="724">
        <v>2118</v>
      </c>
      <c r="N68" s="725"/>
      <c r="O68" s="724">
        <v>0</v>
      </c>
      <c r="P68" s="724">
        <v>0</v>
      </c>
      <c r="Q68" s="646" t="s">
        <v>1418</v>
      </c>
      <c r="R68" s="646">
        <f t="shared" si="5"/>
        <v>2118</v>
      </c>
      <c r="S68" s="234"/>
      <c r="T68" s="234"/>
      <c r="U68" s="234"/>
      <c r="V68" s="234"/>
      <c r="W68" s="234"/>
      <c r="X68" s="234"/>
      <c r="Y68" s="234"/>
      <c r="Z68" s="234"/>
      <c r="AA68" s="234"/>
      <c r="AB68" s="234"/>
    </row>
    <row r="69" spans="1:28" ht="15" customHeight="1" x14ac:dyDescent="0.2">
      <c r="A69" s="234"/>
      <c r="B69" s="234"/>
      <c r="C69" s="234"/>
      <c r="D69" s="234"/>
      <c r="E69" s="234"/>
      <c r="F69" s="234"/>
      <c r="G69" s="234"/>
      <c r="H69" s="234"/>
      <c r="I69" s="234"/>
      <c r="J69" s="719" t="s">
        <v>370</v>
      </c>
      <c r="K69" s="719"/>
      <c r="L69" s="724">
        <v>2</v>
      </c>
      <c r="M69" s="724">
        <v>132</v>
      </c>
      <c r="N69" s="725"/>
      <c r="O69" s="724">
        <v>0</v>
      </c>
      <c r="P69" s="724">
        <v>0</v>
      </c>
      <c r="Q69" s="646" t="s">
        <v>1418</v>
      </c>
      <c r="R69" s="646">
        <f t="shared" si="5"/>
        <v>132</v>
      </c>
      <c r="S69" s="234"/>
      <c r="T69" s="234"/>
      <c r="U69" s="234"/>
      <c r="V69" s="234"/>
      <c r="W69" s="234"/>
      <c r="X69" s="234"/>
      <c r="Y69" s="234"/>
      <c r="Z69" s="234"/>
      <c r="AA69" s="234"/>
      <c r="AB69" s="234"/>
    </row>
    <row r="70" spans="1:28" ht="15" customHeight="1" x14ac:dyDescent="0.2">
      <c r="A70" s="234"/>
      <c r="B70" s="234"/>
      <c r="C70" s="234"/>
      <c r="D70" s="234"/>
      <c r="E70" s="234"/>
      <c r="F70" s="234"/>
      <c r="G70" s="234"/>
      <c r="H70" s="234"/>
      <c r="I70" s="234"/>
      <c r="J70" s="719" t="s">
        <v>1915</v>
      </c>
      <c r="K70" s="719"/>
      <c r="L70" s="724">
        <v>1</v>
      </c>
      <c r="M70" s="724">
        <v>16</v>
      </c>
      <c r="N70" s="725"/>
      <c r="O70" s="724">
        <v>0</v>
      </c>
      <c r="P70" s="724">
        <v>0</v>
      </c>
      <c r="Q70" s="646" t="s">
        <v>1418</v>
      </c>
      <c r="R70" s="646">
        <f t="shared" si="5"/>
        <v>16</v>
      </c>
      <c r="S70" s="234"/>
      <c r="T70" s="234"/>
      <c r="U70" s="234"/>
      <c r="V70" s="234"/>
      <c r="W70" s="234"/>
      <c r="X70" s="234"/>
      <c r="Y70" s="234"/>
      <c r="Z70" s="234"/>
      <c r="AA70" s="234"/>
      <c r="AB70" s="234"/>
    </row>
    <row r="71" spans="1:28" ht="15" customHeight="1" x14ac:dyDescent="0.2">
      <c r="A71" s="234"/>
      <c r="B71" s="234"/>
      <c r="C71" s="234"/>
      <c r="D71" s="234"/>
      <c r="E71" s="234"/>
      <c r="F71" s="234"/>
      <c r="G71" s="234"/>
      <c r="H71" s="234"/>
      <c r="I71" s="234"/>
      <c r="J71" s="719" t="s">
        <v>1916</v>
      </c>
      <c r="K71" s="719"/>
      <c r="L71" s="726">
        <v>1</v>
      </c>
      <c r="M71" s="726">
        <v>49</v>
      </c>
      <c r="N71" s="727"/>
      <c r="O71" s="726">
        <v>0</v>
      </c>
      <c r="P71" s="726">
        <v>0</v>
      </c>
      <c r="Q71" s="728" t="s">
        <v>1418</v>
      </c>
      <c r="R71" s="728">
        <f t="shared" si="5"/>
        <v>49</v>
      </c>
      <c r="S71" s="234"/>
      <c r="T71" s="234"/>
      <c r="U71" s="234"/>
      <c r="V71" s="234"/>
      <c r="W71" s="234"/>
      <c r="X71" s="234"/>
      <c r="Y71" s="234"/>
      <c r="Z71" s="234"/>
      <c r="AA71" s="234"/>
      <c r="AB71" s="234"/>
    </row>
    <row r="72" spans="1:28" ht="15" customHeight="1" x14ac:dyDescent="0.2">
      <c r="A72" s="234"/>
      <c r="B72" s="234"/>
      <c r="C72" s="234"/>
      <c r="D72" s="234"/>
      <c r="E72" s="234"/>
      <c r="F72" s="234"/>
      <c r="G72" s="234"/>
      <c r="H72" s="234"/>
      <c r="I72" s="234"/>
      <c r="J72" s="720" t="s">
        <v>1765</v>
      </c>
      <c r="K72" s="720"/>
      <c r="L72" s="729">
        <f>SUM(L55:L71)</f>
        <v>344</v>
      </c>
      <c r="M72" s="729">
        <f>SUM(M55:M71)</f>
        <v>96365</v>
      </c>
      <c r="N72" s="725"/>
      <c r="O72" s="729">
        <f>SUM(O55:O71)</f>
        <v>127</v>
      </c>
      <c r="P72" s="729">
        <f>SUM(P55:P71)</f>
        <v>27717</v>
      </c>
      <c r="Q72" s="646"/>
      <c r="R72" s="730">
        <f>SUM(R55:R71)</f>
        <v>124082</v>
      </c>
      <c r="S72" s="234"/>
      <c r="T72" s="234"/>
      <c r="U72" s="234"/>
      <c r="V72" s="234"/>
      <c r="W72" s="234"/>
      <c r="X72" s="234"/>
      <c r="Y72" s="234"/>
      <c r="Z72" s="234"/>
      <c r="AA72" s="234"/>
      <c r="AB72" s="234"/>
    </row>
    <row r="73" spans="1:28" ht="15" customHeight="1" x14ac:dyDescent="0.2">
      <c r="A73" s="234"/>
      <c r="B73" s="234"/>
      <c r="C73" s="234"/>
      <c r="D73" s="234"/>
      <c r="E73" s="234"/>
      <c r="F73" s="234"/>
      <c r="G73" s="234"/>
      <c r="H73" s="234"/>
      <c r="I73" s="234"/>
      <c r="J73" s="711"/>
      <c r="K73" s="711"/>
      <c r="L73" s="724"/>
      <c r="M73" s="724"/>
      <c r="N73" s="725"/>
      <c r="O73" s="724"/>
      <c r="P73" s="724"/>
      <c r="Q73" s="646"/>
      <c r="R73" s="646"/>
      <c r="S73" s="234"/>
      <c r="T73" s="234"/>
      <c r="U73" s="234"/>
      <c r="V73" s="234"/>
      <c r="W73" s="234"/>
      <c r="X73" s="234"/>
      <c r="Y73" s="234"/>
      <c r="Z73" s="234"/>
      <c r="AA73" s="234"/>
      <c r="AB73" s="234"/>
    </row>
    <row r="74" spans="1:28" ht="15" customHeight="1" x14ac:dyDescent="0.2">
      <c r="A74" s="234"/>
      <c r="B74" s="234"/>
      <c r="C74" s="234"/>
      <c r="D74" s="234"/>
      <c r="E74" s="234"/>
      <c r="F74" s="234"/>
      <c r="G74" s="234"/>
      <c r="H74" s="234"/>
      <c r="I74" s="234"/>
      <c r="J74" s="720" t="s">
        <v>10</v>
      </c>
      <c r="K74" s="720"/>
      <c r="L74" s="729">
        <f>L72+L52</f>
        <v>1154</v>
      </c>
      <c r="M74" s="729">
        <f>M72+M52</f>
        <v>296811</v>
      </c>
      <c r="N74" s="731"/>
      <c r="O74" s="729">
        <f>O72+O52</f>
        <v>2391</v>
      </c>
      <c r="P74" s="729">
        <f>P72+P52</f>
        <v>321293</v>
      </c>
      <c r="Q74" s="730" t="s">
        <v>1418</v>
      </c>
      <c r="R74" s="729">
        <f>R72+R52</f>
        <v>618104</v>
      </c>
      <c r="S74" s="234"/>
      <c r="T74" s="234"/>
      <c r="U74" s="234"/>
      <c r="V74" s="234"/>
      <c r="W74" s="234"/>
      <c r="X74" s="234"/>
      <c r="Y74" s="234"/>
      <c r="Z74" s="234"/>
      <c r="AA74" s="234"/>
      <c r="AB74" s="234"/>
    </row>
    <row r="75" spans="1:28" ht="12.75" x14ac:dyDescent="0.2">
      <c r="A75" s="234"/>
      <c r="B75" s="234"/>
      <c r="C75" s="234"/>
      <c r="D75" s="234"/>
      <c r="E75" s="234"/>
      <c r="F75" s="234"/>
      <c r="G75" s="234"/>
      <c r="H75" s="234"/>
      <c r="I75" s="234"/>
      <c r="J75" s="711"/>
      <c r="K75" s="711"/>
      <c r="L75" s="711"/>
      <c r="M75" s="711"/>
      <c r="N75" s="711"/>
      <c r="O75" s="711"/>
      <c r="P75" s="711"/>
      <c r="Q75" s="711"/>
      <c r="R75" s="234"/>
      <c r="S75" s="234"/>
      <c r="T75" s="234"/>
      <c r="U75" s="234"/>
      <c r="V75" s="234"/>
      <c r="W75" s="234"/>
      <c r="X75" s="234"/>
      <c r="Y75" s="234"/>
      <c r="Z75" s="234"/>
      <c r="AA75" s="234"/>
      <c r="AB75" s="234"/>
    </row>
    <row r="76" spans="1:28" ht="12.75" x14ac:dyDescent="0.2">
      <c r="A76" s="234"/>
      <c r="B76" s="234"/>
      <c r="C76" s="234"/>
      <c r="D76" s="234"/>
      <c r="E76" s="234"/>
      <c r="F76" s="234"/>
      <c r="G76" s="234"/>
      <c r="H76" s="234"/>
      <c r="I76" s="234"/>
      <c r="J76" s="711"/>
      <c r="K76" s="711"/>
      <c r="L76" s="711"/>
      <c r="M76" s="711"/>
      <c r="N76" s="711"/>
      <c r="O76" s="711"/>
      <c r="P76" s="711"/>
      <c r="Q76" s="711"/>
      <c r="R76" s="234"/>
      <c r="S76" s="234"/>
      <c r="T76" s="234"/>
      <c r="U76" s="234"/>
      <c r="V76" s="234"/>
      <c r="W76" s="234"/>
      <c r="X76" s="234"/>
      <c r="Y76" s="234"/>
      <c r="Z76" s="234"/>
      <c r="AA76" s="234"/>
      <c r="AB76" s="234"/>
    </row>
    <row r="77" spans="1:28" ht="12.75" x14ac:dyDescent="0.2">
      <c r="A77" s="234"/>
      <c r="B77" s="234"/>
      <c r="C77" s="234"/>
      <c r="D77" s="234"/>
      <c r="E77" s="234"/>
      <c r="F77" s="234"/>
      <c r="G77" s="234"/>
      <c r="H77" s="234"/>
      <c r="I77" s="234"/>
      <c r="J77" s="711"/>
      <c r="K77" s="711"/>
      <c r="L77" s="711"/>
      <c r="M77" s="711"/>
      <c r="N77" s="711"/>
      <c r="O77" s="711"/>
      <c r="P77" s="711"/>
      <c r="Q77" s="711"/>
      <c r="R77" s="234"/>
      <c r="S77" s="234"/>
      <c r="T77" s="257" t="s">
        <v>1276</v>
      </c>
      <c r="U77" s="234"/>
      <c r="V77" s="234"/>
      <c r="W77" s="234"/>
      <c r="X77" s="234"/>
      <c r="Y77" s="234"/>
      <c r="Z77" s="234"/>
      <c r="AA77" s="234"/>
      <c r="AB77" s="234"/>
    </row>
    <row r="78" spans="1:28" ht="12.75" x14ac:dyDescent="0.2">
      <c r="A78" s="234"/>
      <c r="B78" s="234"/>
      <c r="C78" s="234"/>
      <c r="D78" s="234"/>
      <c r="E78" s="234"/>
      <c r="F78" s="234"/>
      <c r="G78" s="234"/>
      <c r="H78" s="234"/>
      <c r="I78" s="234"/>
      <c r="J78" s="711"/>
      <c r="K78" s="711"/>
      <c r="L78" s="711"/>
      <c r="M78" s="711"/>
      <c r="N78" s="711"/>
      <c r="O78" s="711"/>
      <c r="P78" s="711"/>
      <c r="Q78" s="711"/>
      <c r="R78" s="234"/>
      <c r="S78" s="234"/>
      <c r="T78" s="234"/>
      <c r="U78" s="234"/>
      <c r="V78" s="234"/>
      <c r="W78" s="234"/>
      <c r="X78" s="234"/>
      <c r="Y78" s="234"/>
      <c r="Z78" s="234"/>
      <c r="AA78" s="234"/>
      <c r="AB78" s="234"/>
    </row>
    <row r="79" spans="1:28" ht="15" customHeight="1" x14ac:dyDescent="0.2">
      <c r="A79" s="234"/>
      <c r="B79" s="234"/>
      <c r="C79" s="234"/>
      <c r="D79" s="234"/>
      <c r="E79" s="234"/>
      <c r="F79" s="234"/>
      <c r="G79" s="234"/>
      <c r="H79" s="234"/>
      <c r="I79" s="234"/>
      <c r="J79" s="234"/>
      <c r="K79" s="234"/>
      <c r="L79" s="234"/>
      <c r="M79" s="234"/>
      <c r="N79" s="234"/>
      <c r="O79" s="234"/>
      <c r="P79" s="234"/>
      <c r="Q79" s="234"/>
      <c r="R79" s="234"/>
      <c r="S79" s="234"/>
      <c r="T79" s="712" t="s">
        <v>1766</v>
      </c>
      <c r="U79" s="721" t="s">
        <v>1330</v>
      </c>
      <c r="V79" s="721" t="s">
        <v>1619</v>
      </c>
      <c r="W79" s="711"/>
      <c r="X79" s="234"/>
      <c r="Y79" s="234"/>
      <c r="Z79" s="234"/>
      <c r="AA79" s="234"/>
      <c r="AB79" s="234"/>
    </row>
    <row r="80" spans="1:28" ht="15" customHeight="1" x14ac:dyDescent="0.2">
      <c r="A80" s="234"/>
      <c r="B80" s="234"/>
      <c r="C80" s="234"/>
      <c r="D80" s="234"/>
      <c r="E80" s="234"/>
      <c r="F80" s="234"/>
      <c r="G80" s="234"/>
      <c r="H80" s="234"/>
      <c r="I80" s="234"/>
      <c r="J80" s="234"/>
      <c r="K80" s="234"/>
      <c r="L80" s="234"/>
      <c r="M80" s="234"/>
      <c r="N80" s="234"/>
      <c r="O80" s="234"/>
      <c r="P80" s="234"/>
      <c r="Q80" s="234"/>
      <c r="R80" s="234"/>
      <c r="S80" s="234"/>
      <c r="T80" s="718" t="s">
        <v>1767</v>
      </c>
      <c r="U80" s="711"/>
      <c r="V80" s="711"/>
      <c r="W80" s="711"/>
      <c r="X80" s="234"/>
      <c r="Y80" s="234"/>
      <c r="Z80" s="234"/>
      <c r="AA80" s="234"/>
      <c r="AB80" s="234"/>
    </row>
    <row r="81" spans="1:28" ht="15" customHeight="1" x14ac:dyDescent="0.2">
      <c r="A81" s="234"/>
      <c r="B81" s="234"/>
      <c r="C81" s="234"/>
      <c r="D81" s="234"/>
      <c r="E81" s="234"/>
      <c r="F81" s="234"/>
      <c r="G81" s="234"/>
      <c r="H81" s="234"/>
      <c r="I81" s="234"/>
      <c r="J81" s="234"/>
      <c r="K81" s="234"/>
      <c r="L81" s="234"/>
      <c r="M81" s="234"/>
      <c r="N81" s="234"/>
      <c r="O81" s="234"/>
      <c r="P81" s="234"/>
      <c r="Q81" s="234"/>
      <c r="R81" s="234"/>
      <c r="S81" s="234"/>
      <c r="T81" s="719" t="s">
        <v>1768</v>
      </c>
      <c r="U81" s="715">
        <v>1</v>
      </c>
      <c r="V81" s="715">
        <v>318</v>
      </c>
      <c r="W81" s="234" t="s">
        <v>1418</v>
      </c>
      <c r="X81" s="234"/>
      <c r="Y81" s="234"/>
      <c r="Z81" s="234"/>
      <c r="AA81" s="234"/>
      <c r="AB81" s="234"/>
    </row>
    <row r="82" spans="1:28" ht="15" customHeight="1" x14ac:dyDescent="0.2">
      <c r="A82" s="234"/>
      <c r="B82" s="234"/>
      <c r="C82" s="234"/>
      <c r="D82" s="234"/>
      <c r="E82" s="234"/>
      <c r="F82" s="234"/>
      <c r="G82" s="234"/>
      <c r="H82" s="234"/>
      <c r="I82" s="234"/>
      <c r="J82" s="234"/>
      <c r="K82" s="234"/>
      <c r="L82" s="234"/>
      <c r="M82" s="234"/>
      <c r="N82" s="234"/>
      <c r="O82" s="234"/>
      <c r="P82" s="234"/>
      <c r="Q82" s="234"/>
      <c r="R82" s="234"/>
      <c r="S82" s="234"/>
      <c r="T82" s="719" t="s">
        <v>1769</v>
      </c>
      <c r="U82" s="715">
        <v>4</v>
      </c>
      <c r="V82" s="715">
        <v>1635</v>
      </c>
      <c r="W82" s="234" t="s">
        <v>1418</v>
      </c>
      <c r="X82" s="234"/>
      <c r="Y82" s="234"/>
      <c r="Z82" s="234"/>
      <c r="AA82" s="234"/>
      <c r="AB82" s="234"/>
    </row>
    <row r="83" spans="1:28" ht="15" customHeight="1" x14ac:dyDescent="0.2">
      <c r="A83" s="234"/>
      <c r="B83" s="234"/>
      <c r="C83" s="234"/>
      <c r="D83" s="234"/>
      <c r="E83" s="234"/>
      <c r="F83" s="234"/>
      <c r="G83" s="234"/>
      <c r="H83" s="234"/>
      <c r="I83" s="234"/>
      <c r="J83" s="234"/>
      <c r="K83" s="234"/>
      <c r="L83" s="234"/>
      <c r="M83" s="234"/>
      <c r="N83" s="234"/>
      <c r="O83" s="234"/>
      <c r="P83" s="234"/>
      <c r="Q83" s="234"/>
      <c r="R83" s="234"/>
      <c r="S83" s="234"/>
      <c r="T83" s="719" t="s">
        <v>1770</v>
      </c>
      <c r="U83" s="715">
        <v>2</v>
      </c>
      <c r="V83" s="715">
        <v>43</v>
      </c>
      <c r="W83" s="234" t="s">
        <v>1418</v>
      </c>
      <c r="X83" s="234"/>
      <c r="Y83" s="234"/>
      <c r="Z83" s="234"/>
      <c r="AA83" s="234"/>
      <c r="AB83" s="234"/>
    </row>
    <row r="84" spans="1:28" ht="15" customHeight="1" x14ac:dyDescent="0.2">
      <c r="A84" s="234"/>
      <c r="B84" s="234"/>
      <c r="C84" s="234"/>
      <c r="D84" s="234"/>
      <c r="E84" s="234"/>
      <c r="F84" s="234"/>
      <c r="G84" s="234"/>
      <c r="H84" s="234"/>
      <c r="I84" s="234"/>
      <c r="J84" s="234"/>
      <c r="K84" s="234"/>
      <c r="L84" s="234"/>
      <c r="M84" s="234"/>
      <c r="N84" s="234"/>
      <c r="O84" s="234"/>
      <c r="P84" s="234"/>
      <c r="Q84" s="234"/>
      <c r="R84" s="234"/>
      <c r="S84" s="234"/>
      <c r="T84" s="719" t="s">
        <v>1771</v>
      </c>
      <c r="U84" s="715">
        <v>4</v>
      </c>
      <c r="V84" s="715">
        <v>1115</v>
      </c>
      <c r="W84" s="234" t="s">
        <v>1418</v>
      </c>
      <c r="X84" s="234"/>
      <c r="Y84" s="234"/>
      <c r="Z84" s="234"/>
      <c r="AA84" s="234"/>
      <c r="AB84" s="234"/>
    </row>
    <row r="85" spans="1:28" ht="15" customHeight="1" x14ac:dyDescent="0.2">
      <c r="A85" s="234"/>
      <c r="B85" s="234"/>
      <c r="C85" s="234"/>
      <c r="D85" s="234"/>
      <c r="E85" s="234"/>
      <c r="F85" s="234"/>
      <c r="G85" s="234"/>
      <c r="H85" s="234"/>
      <c r="I85" s="234"/>
      <c r="J85" s="234"/>
      <c r="K85" s="234"/>
      <c r="L85" s="234"/>
      <c r="M85" s="234"/>
      <c r="N85" s="234"/>
      <c r="O85" s="234"/>
      <c r="P85" s="234"/>
      <c r="Q85" s="234"/>
      <c r="R85" s="234"/>
      <c r="S85" s="234"/>
      <c r="T85" s="719" t="s">
        <v>1772</v>
      </c>
      <c r="U85" s="715">
        <v>60</v>
      </c>
      <c r="V85" s="715">
        <v>12349</v>
      </c>
      <c r="W85" s="234" t="s">
        <v>1418</v>
      </c>
      <c r="X85" s="234"/>
      <c r="Y85" s="234"/>
      <c r="Z85" s="234"/>
      <c r="AA85" s="234"/>
      <c r="AB85" s="234"/>
    </row>
    <row r="86" spans="1:28" ht="15" customHeight="1" x14ac:dyDescent="0.2">
      <c r="A86" s="234"/>
      <c r="B86" s="234"/>
      <c r="C86" s="234"/>
      <c r="D86" s="234"/>
      <c r="E86" s="234"/>
      <c r="F86" s="234"/>
      <c r="G86" s="234"/>
      <c r="H86" s="234"/>
      <c r="I86" s="234"/>
      <c r="J86" s="234"/>
      <c r="K86" s="234"/>
      <c r="L86" s="234"/>
      <c r="M86" s="234"/>
      <c r="N86" s="234"/>
      <c r="O86" s="234"/>
      <c r="P86" s="234"/>
      <c r="Q86" s="234"/>
      <c r="R86" s="234"/>
      <c r="S86" s="234"/>
      <c r="T86" s="719" t="s">
        <v>266</v>
      </c>
      <c r="U86" s="715">
        <v>3</v>
      </c>
      <c r="V86" s="715">
        <v>772</v>
      </c>
      <c r="W86" s="234" t="s">
        <v>1418</v>
      </c>
      <c r="X86" s="234"/>
      <c r="Y86" s="234"/>
      <c r="Z86" s="234"/>
      <c r="AA86" s="234"/>
      <c r="AB86" s="234"/>
    </row>
    <row r="87" spans="1:28" ht="15" customHeight="1" x14ac:dyDescent="0.2">
      <c r="A87" s="234"/>
      <c r="B87" s="234"/>
      <c r="C87" s="234"/>
      <c r="D87" s="234"/>
      <c r="E87" s="234"/>
      <c r="F87" s="234"/>
      <c r="G87" s="234"/>
      <c r="H87" s="234"/>
      <c r="I87" s="234"/>
      <c r="J87" s="234"/>
      <c r="K87" s="234"/>
      <c r="L87" s="234"/>
      <c r="M87" s="234"/>
      <c r="N87" s="234"/>
      <c r="O87" s="234"/>
      <c r="P87" s="234"/>
      <c r="Q87" s="234"/>
      <c r="R87" s="234"/>
      <c r="S87" s="234"/>
      <c r="T87" s="719" t="s">
        <v>209</v>
      </c>
      <c r="U87" s="715">
        <v>2</v>
      </c>
      <c r="V87" s="715">
        <v>485</v>
      </c>
      <c r="W87" s="234" t="s">
        <v>1418</v>
      </c>
      <c r="X87" s="234"/>
      <c r="Y87" s="234"/>
      <c r="Z87" s="234"/>
      <c r="AA87" s="234"/>
      <c r="AB87" s="234"/>
    </row>
    <row r="88" spans="1:28" ht="15" customHeight="1" x14ac:dyDescent="0.2">
      <c r="A88" s="234"/>
      <c r="B88" s="234"/>
      <c r="C88" s="234"/>
      <c r="D88" s="234"/>
      <c r="E88" s="234"/>
      <c r="F88" s="234"/>
      <c r="G88" s="234"/>
      <c r="H88" s="234"/>
      <c r="I88" s="234"/>
      <c r="J88" s="234"/>
      <c r="K88" s="234"/>
      <c r="L88" s="234"/>
      <c r="M88" s="234"/>
      <c r="N88" s="234"/>
      <c r="O88" s="234"/>
      <c r="P88" s="234"/>
      <c r="Q88" s="234"/>
      <c r="R88" s="234"/>
      <c r="S88" s="234"/>
      <c r="T88" s="719" t="s">
        <v>210</v>
      </c>
      <c r="U88" s="715">
        <v>2</v>
      </c>
      <c r="V88" s="715">
        <v>503</v>
      </c>
      <c r="W88" s="234" t="s">
        <v>1418</v>
      </c>
      <c r="X88" s="234"/>
      <c r="Y88" s="234"/>
      <c r="Z88" s="234"/>
      <c r="AA88" s="234"/>
      <c r="AB88" s="234"/>
    </row>
    <row r="89" spans="1:28" ht="15" customHeight="1" x14ac:dyDescent="0.2">
      <c r="A89" s="234"/>
      <c r="B89" s="234"/>
      <c r="C89" s="234"/>
      <c r="D89" s="234"/>
      <c r="E89" s="234"/>
      <c r="F89" s="234"/>
      <c r="G89" s="234"/>
      <c r="H89" s="234"/>
      <c r="I89" s="234"/>
      <c r="J89" s="234"/>
      <c r="K89" s="234"/>
      <c r="L89" s="234"/>
      <c r="M89" s="234"/>
      <c r="N89" s="234"/>
      <c r="O89" s="234"/>
      <c r="P89" s="234"/>
      <c r="Q89" s="234"/>
      <c r="R89" s="234"/>
      <c r="S89" s="234"/>
      <c r="T89" s="719" t="s">
        <v>211</v>
      </c>
      <c r="U89" s="715">
        <v>5</v>
      </c>
      <c r="V89" s="715">
        <v>1039</v>
      </c>
      <c r="W89" s="234" t="s">
        <v>1418</v>
      </c>
      <c r="X89" s="234"/>
      <c r="Y89" s="234"/>
      <c r="Z89" s="234"/>
      <c r="AA89" s="234"/>
      <c r="AB89" s="234"/>
    </row>
    <row r="90" spans="1:28" ht="15" customHeight="1" x14ac:dyDescent="0.2">
      <c r="A90" s="234"/>
      <c r="B90" s="234"/>
      <c r="C90" s="234"/>
      <c r="D90" s="234"/>
      <c r="E90" s="234"/>
      <c r="F90" s="234"/>
      <c r="G90" s="234"/>
      <c r="H90" s="234"/>
      <c r="I90" s="234"/>
      <c r="J90" s="234"/>
      <c r="K90" s="234"/>
      <c r="L90" s="234"/>
      <c r="M90" s="234"/>
      <c r="N90" s="234"/>
      <c r="O90" s="234"/>
      <c r="P90" s="234"/>
      <c r="Q90" s="234"/>
      <c r="R90" s="234"/>
      <c r="S90" s="234"/>
      <c r="T90" s="719" t="s">
        <v>212</v>
      </c>
      <c r="U90" s="715">
        <v>2</v>
      </c>
      <c r="V90" s="715">
        <v>484</v>
      </c>
      <c r="W90" s="234" t="s">
        <v>1418</v>
      </c>
      <c r="X90" s="234"/>
      <c r="Y90" s="234"/>
      <c r="Z90" s="234"/>
      <c r="AA90" s="234"/>
      <c r="AB90" s="234"/>
    </row>
    <row r="91" spans="1:28" ht="15" customHeight="1" x14ac:dyDescent="0.2">
      <c r="A91" s="234"/>
      <c r="B91" s="234"/>
      <c r="C91" s="234"/>
      <c r="D91" s="234"/>
      <c r="E91" s="234"/>
      <c r="F91" s="234"/>
      <c r="G91" s="234"/>
      <c r="H91" s="234"/>
      <c r="I91" s="234"/>
      <c r="J91" s="234"/>
      <c r="K91" s="234"/>
      <c r="L91" s="234"/>
      <c r="M91" s="234"/>
      <c r="N91" s="234"/>
      <c r="O91" s="234"/>
      <c r="P91" s="234"/>
      <c r="Q91" s="234"/>
      <c r="R91" s="234"/>
      <c r="S91" s="234"/>
      <c r="T91" s="719" t="s">
        <v>213</v>
      </c>
      <c r="U91" s="715">
        <v>2</v>
      </c>
      <c r="V91" s="715">
        <v>445</v>
      </c>
      <c r="W91" s="234" t="s">
        <v>1418</v>
      </c>
      <c r="X91" s="234"/>
      <c r="Y91" s="234"/>
      <c r="Z91" s="234"/>
      <c r="AA91" s="234"/>
      <c r="AB91" s="234"/>
    </row>
    <row r="92" spans="1:28" ht="15" customHeight="1" x14ac:dyDescent="0.2">
      <c r="A92" s="234"/>
      <c r="B92" s="234"/>
      <c r="C92" s="234"/>
      <c r="D92" s="234"/>
      <c r="E92" s="234"/>
      <c r="F92" s="234"/>
      <c r="G92" s="234"/>
      <c r="H92" s="234"/>
      <c r="I92" s="234"/>
      <c r="J92" s="234"/>
      <c r="K92" s="234"/>
      <c r="L92" s="234"/>
      <c r="M92" s="234"/>
      <c r="N92" s="234"/>
      <c r="O92" s="234"/>
      <c r="P92" s="234"/>
      <c r="Q92" s="234"/>
      <c r="R92" s="234"/>
      <c r="S92" s="234"/>
      <c r="T92" s="719" t="s">
        <v>214</v>
      </c>
      <c r="U92" s="715">
        <v>2</v>
      </c>
      <c r="V92" s="715">
        <v>401</v>
      </c>
      <c r="W92" s="234" t="s">
        <v>1418</v>
      </c>
      <c r="X92" s="234"/>
      <c r="Y92" s="234"/>
      <c r="Z92" s="234"/>
      <c r="AA92" s="234"/>
      <c r="AB92" s="234"/>
    </row>
    <row r="93" spans="1:28" ht="15" customHeight="1" x14ac:dyDescent="0.2">
      <c r="A93" s="234"/>
      <c r="B93" s="234"/>
      <c r="C93" s="234"/>
      <c r="D93" s="234"/>
      <c r="E93" s="234"/>
      <c r="F93" s="234"/>
      <c r="G93" s="234"/>
      <c r="H93" s="234"/>
      <c r="I93" s="234"/>
      <c r="J93" s="234"/>
      <c r="K93" s="234"/>
      <c r="L93" s="234"/>
      <c r="M93" s="234"/>
      <c r="N93" s="234"/>
      <c r="O93" s="234"/>
      <c r="P93" s="234"/>
      <c r="Q93" s="234"/>
      <c r="R93" s="234"/>
      <c r="S93" s="234"/>
      <c r="T93" s="719" t="s">
        <v>215</v>
      </c>
      <c r="U93" s="715">
        <v>1</v>
      </c>
      <c r="V93" s="715">
        <v>133</v>
      </c>
      <c r="W93" s="234" t="s">
        <v>1418</v>
      </c>
      <c r="X93" s="234"/>
      <c r="Y93" s="234"/>
      <c r="Z93" s="234"/>
      <c r="AA93" s="234"/>
      <c r="AB93" s="234"/>
    </row>
    <row r="94" spans="1:28" ht="15" customHeight="1" x14ac:dyDescent="0.2">
      <c r="A94" s="234"/>
      <c r="B94" s="234"/>
      <c r="C94" s="234"/>
      <c r="D94" s="234"/>
      <c r="E94" s="234"/>
      <c r="F94" s="234"/>
      <c r="G94" s="234"/>
      <c r="H94" s="234"/>
      <c r="I94" s="234"/>
      <c r="J94" s="234"/>
      <c r="K94" s="234"/>
      <c r="L94" s="234"/>
      <c r="M94" s="234"/>
      <c r="N94" s="234"/>
      <c r="O94" s="234"/>
      <c r="P94" s="234"/>
      <c r="Q94" s="234"/>
      <c r="R94" s="234"/>
      <c r="S94" s="234"/>
      <c r="T94" s="719" t="s">
        <v>216</v>
      </c>
      <c r="U94" s="715">
        <v>1</v>
      </c>
      <c r="V94" s="715">
        <v>153</v>
      </c>
      <c r="W94" s="234" t="s">
        <v>1418</v>
      </c>
      <c r="X94" s="234"/>
      <c r="Y94" s="234"/>
      <c r="Z94" s="234"/>
      <c r="AA94" s="234"/>
      <c r="AB94" s="234"/>
    </row>
    <row r="95" spans="1:28" ht="15" customHeight="1" x14ac:dyDescent="0.2">
      <c r="A95" s="234"/>
      <c r="B95" s="234"/>
      <c r="C95" s="234"/>
      <c r="D95" s="234"/>
      <c r="E95" s="234"/>
      <c r="F95" s="234"/>
      <c r="G95" s="234"/>
      <c r="H95" s="234"/>
      <c r="I95" s="234"/>
      <c r="J95" s="234"/>
      <c r="K95" s="234"/>
      <c r="L95" s="234"/>
      <c r="M95" s="234"/>
      <c r="N95" s="234"/>
      <c r="O95" s="234"/>
      <c r="P95" s="234"/>
      <c r="Q95" s="234"/>
      <c r="R95" s="234"/>
      <c r="S95" s="234"/>
      <c r="T95" s="719" t="s">
        <v>217</v>
      </c>
      <c r="U95" s="715">
        <v>1</v>
      </c>
      <c r="V95" s="715">
        <v>427</v>
      </c>
      <c r="W95" s="234" t="s">
        <v>1418</v>
      </c>
      <c r="X95" s="234"/>
      <c r="Y95" s="234"/>
      <c r="Z95" s="234"/>
      <c r="AA95" s="234"/>
      <c r="AB95" s="234"/>
    </row>
    <row r="96" spans="1:28" ht="15" customHeight="1" x14ac:dyDescent="0.2">
      <c r="A96" s="234"/>
      <c r="B96" s="234"/>
      <c r="C96" s="234"/>
      <c r="D96" s="234"/>
      <c r="E96" s="234"/>
      <c r="F96" s="234"/>
      <c r="G96" s="234"/>
      <c r="H96" s="234"/>
      <c r="I96" s="234"/>
      <c r="J96" s="234"/>
      <c r="K96" s="234"/>
      <c r="L96" s="234"/>
      <c r="M96" s="234"/>
      <c r="N96" s="234"/>
      <c r="O96" s="234"/>
      <c r="P96" s="234"/>
      <c r="Q96" s="234"/>
      <c r="R96" s="234"/>
      <c r="S96" s="234"/>
      <c r="T96" s="719" t="s">
        <v>218</v>
      </c>
      <c r="U96" s="715">
        <v>18</v>
      </c>
      <c r="V96" s="715">
        <v>4600</v>
      </c>
      <c r="W96" s="234" t="s">
        <v>1418</v>
      </c>
      <c r="X96" s="234"/>
      <c r="Y96" s="234"/>
      <c r="Z96" s="234"/>
      <c r="AA96" s="234"/>
      <c r="AB96" s="234"/>
    </row>
    <row r="97" spans="1:28" ht="15" customHeight="1" x14ac:dyDescent="0.2">
      <c r="A97" s="234"/>
      <c r="B97" s="234"/>
      <c r="C97" s="234"/>
      <c r="D97" s="234"/>
      <c r="E97" s="234"/>
      <c r="F97" s="234"/>
      <c r="G97" s="234"/>
      <c r="H97" s="234"/>
      <c r="I97" s="234"/>
      <c r="J97" s="234"/>
      <c r="K97" s="234"/>
      <c r="L97" s="234"/>
      <c r="M97" s="234"/>
      <c r="N97" s="234"/>
      <c r="O97" s="234"/>
      <c r="P97" s="234"/>
      <c r="Q97" s="234"/>
      <c r="R97" s="234"/>
      <c r="S97" s="234"/>
      <c r="T97" s="719" t="s">
        <v>219</v>
      </c>
      <c r="U97" s="715">
        <v>2</v>
      </c>
      <c r="V97" s="715">
        <v>637</v>
      </c>
      <c r="W97" s="234" t="s">
        <v>1418</v>
      </c>
      <c r="X97" s="234"/>
      <c r="Y97" s="234"/>
      <c r="Z97" s="234"/>
      <c r="AA97" s="234"/>
      <c r="AB97" s="234"/>
    </row>
    <row r="98" spans="1:28" ht="15" customHeight="1" x14ac:dyDescent="0.2">
      <c r="A98" s="234"/>
      <c r="B98" s="234"/>
      <c r="C98" s="234"/>
      <c r="D98" s="234"/>
      <c r="E98" s="234"/>
      <c r="F98" s="234"/>
      <c r="G98" s="234"/>
      <c r="H98" s="234"/>
      <c r="I98" s="234"/>
      <c r="J98" s="234"/>
      <c r="K98" s="234"/>
      <c r="L98" s="234"/>
      <c r="M98" s="234"/>
      <c r="N98" s="234"/>
      <c r="O98" s="234"/>
      <c r="P98" s="234"/>
      <c r="Q98" s="234"/>
      <c r="R98" s="234"/>
      <c r="S98" s="234"/>
      <c r="T98" s="719" t="s">
        <v>1711</v>
      </c>
      <c r="U98" s="715">
        <v>1</v>
      </c>
      <c r="V98" s="715">
        <v>300</v>
      </c>
      <c r="W98" s="234" t="s">
        <v>1418</v>
      </c>
      <c r="X98" s="234"/>
      <c r="Y98" s="234"/>
      <c r="Z98" s="234"/>
      <c r="AA98" s="234"/>
      <c r="AB98" s="234"/>
    </row>
    <row r="99" spans="1:28" ht="15" customHeight="1" x14ac:dyDescent="0.2">
      <c r="A99" s="234"/>
      <c r="B99" s="234"/>
      <c r="C99" s="234"/>
      <c r="D99" s="234"/>
      <c r="E99" s="234"/>
      <c r="F99" s="234"/>
      <c r="G99" s="234"/>
      <c r="H99" s="234"/>
      <c r="I99" s="234"/>
      <c r="J99" s="234"/>
      <c r="K99" s="234"/>
      <c r="L99" s="234"/>
      <c r="M99" s="234"/>
      <c r="N99" s="234"/>
      <c r="O99" s="234"/>
      <c r="P99" s="234"/>
      <c r="Q99" s="234"/>
      <c r="R99" s="234"/>
      <c r="S99" s="234"/>
      <c r="T99" s="719" t="s">
        <v>1712</v>
      </c>
      <c r="U99" s="715">
        <v>6</v>
      </c>
      <c r="V99" s="715">
        <v>1971</v>
      </c>
      <c r="W99" s="234" t="s">
        <v>1418</v>
      </c>
      <c r="X99" s="234"/>
      <c r="Y99" s="234"/>
      <c r="Z99" s="234"/>
      <c r="AA99" s="234"/>
      <c r="AB99" s="234"/>
    </row>
    <row r="100" spans="1:28" ht="15" customHeight="1" x14ac:dyDescent="0.2">
      <c r="A100" s="234"/>
      <c r="B100" s="234"/>
      <c r="C100" s="234"/>
      <c r="D100" s="234"/>
      <c r="E100" s="234"/>
      <c r="F100" s="234"/>
      <c r="G100" s="234"/>
      <c r="H100" s="234"/>
      <c r="I100" s="234"/>
      <c r="J100" s="234"/>
      <c r="K100" s="234"/>
      <c r="L100" s="234"/>
      <c r="M100" s="234"/>
      <c r="N100" s="234"/>
      <c r="O100" s="234"/>
      <c r="P100" s="234"/>
      <c r="Q100" s="234"/>
      <c r="R100" s="234"/>
      <c r="S100" s="234"/>
      <c r="T100" s="719" t="s">
        <v>1713</v>
      </c>
      <c r="U100" s="715">
        <v>2</v>
      </c>
      <c r="V100" s="715">
        <v>541</v>
      </c>
      <c r="W100" s="234" t="s">
        <v>1418</v>
      </c>
      <c r="X100" s="234"/>
      <c r="Y100" s="234"/>
      <c r="Z100" s="234"/>
      <c r="AA100" s="234"/>
      <c r="AB100" s="234"/>
    </row>
    <row r="101" spans="1:28" ht="15" customHeight="1" x14ac:dyDescent="0.2">
      <c r="A101" s="234"/>
      <c r="B101" s="234"/>
      <c r="C101" s="234"/>
      <c r="D101" s="234"/>
      <c r="E101" s="234"/>
      <c r="F101" s="234"/>
      <c r="G101" s="234"/>
      <c r="H101" s="234"/>
      <c r="I101" s="234"/>
      <c r="J101" s="234"/>
      <c r="K101" s="234"/>
      <c r="L101" s="234"/>
      <c r="M101" s="234"/>
      <c r="N101" s="234"/>
      <c r="O101" s="234"/>
      <c r="P101" s="234"/>
      <c r="Q101" s="234"/>
      <c r="R101" s="234"/>
      <c r="S101" s="234"/>
      <c r="T101" s="719" t="s">
        <v>1714</v>
      </c>
      <c r="U101" s="715">
        <v>1</v>
      </c>
      <c r="V101" s="715">
        <v>140</v>
      </c>
      <c r="W101" s="234" t="s">
        <v>1418</v>
      </c>
      <c r="X101" s="234"/>
      <c r="Y101" s="234"/>
      <c r="Z101" s="234"/>
      <c r="AA101" s="234"/>
      <c r="AB101" s="234"/>
    </row>
    <row r="102" spans="1:28" ht="15" customHeight="1" x14ac:dyDescent="0.2">
      <c r="A102" s="234"/>
      <c r="B102" s="234"/>
      <c r="C102" s="234"/>
      <c r="D102" s="234"/>
      <c r="E102" s="234"/>
      <c r="F102" s="234"/>
      <c r="G102" s="234"/>
      <c r="H102" s="234"/>
      <c r="I102" s="234"/>
      <c r="J102" s="234"/>
      <c r="K102" s="234"/>
      <c r="L102" s="234"/>
      <c r="M102" s="234"/>
      <c r="N102" s="234"/>
      <c r="O102" s="234"/>
      <c r="P102" s="234"/>
      <c r="Q102" s="234"/>
      <c r="R102" s="234"/>
      <c r="S102" s="234"/>
      <c r="T102" s="719" t="s">
        <v>1715</v>
      </c>
      <c r="U102" s="715">
        <v>1</v>
      </c>
      <c r="V102" s="715">
        <v>119</v>
      </c>
      <c r="W102" s="234" t="s">
        <v>1418</v>
      </c>
      <c r="X102" s="234"/>
      <c r="Y102" s="234"/>
      <c r="Z102" s="234"/>
      <c r="AA102" s="234"/>
      <c r="AB102" s="234"/>
    </row>
    <row r="103" spans="1:28" ht="15" customHeight="1" x14ac:dyDescent="0.2">
      <c r="A103" s="234"/>
      <c r="B103" s="234"/>
      <c r="C103" s="234"/>
      <c r="D103" s="234"/>
      <c r="E103" s="234"/>
      <c r="F103" s="234"/>
      <c r="G103" s="234"/>
      <c r="H103" s="234"/>
      <c r="I103" s="234"/>
      <c r="J103" s="234"/>
      <c r="K103" s="234"/>
      <c r="L103" s="234"/>
      <c r="M103" s="234"/>
      <c r="N103" s="234"/>
      <c r="O103" s="234"/>
      <c r="P103" s="234"/>
      <c r="Q103" s="234"/>
      <c r="R103" s="234"/>
      <c r="S103" s="234"/>
      <c r="T103" s="719" t="s">
        <v>1716</v>
      </c>
      <c r="U103" s="715">
        <v>3074</v>
      </c>
      <c r="V103" s="715">
        <v>494022</v>
      </c>
      <c r="W103" s="234" t="s">
        <v>1418</v>
      </c>
      <c r="X103" s="733">
        <f>V103/$V$169</f>
        <v>0.79925384724900661</v>
      </c>
      <c r="Y103" s="234"/>
      <c r="Z103" s="234"/>
      <c r="AA103" s="234"/>
      <c r="AB103" s="234"/>
    </row>
    <row r="104" spans="1:28" ht="15" customHeight="1" x14ac:dyDescent="0.2">
      <c r="A104" s="234"/>
      <c r="B104" s="234"/>
      <c r="C104" s="234"/>
      <c r="D104" s="234"/>
      <c r="E104" s="234"/>
      <c r="F104" s="234"/>
      <c r="G104" s="234"/>
      <c r="H104" s="234"/>
      <c r="I104" s="234"/>
      <c r="J104" s="234"/>
      <c r="K104" s="234"/>
      <c r="L104" s="234"/>
      <c r="M104" s="234"/>
      <c r="N104" s="234"/>
      <c r="O104" s="234"/>
      <c r="P104" s="234"/>
      <c r="Q104" s="234"/>
      <c r="R104" s="234"/>
      <c r="S104" s="234"/>
      <c r="T104" s="719" t="s">
        <v>1717</v>
      </c>
      <c r="U104" s="715">
        <v>5</v>
      </c>
      <c r="V104" s="715">
        <v>1094</v>
      </c>
      <c r="W104" s="234" t="s">
        <v>1418</v>
      </c>
      <c r="X104" s="234"/>
      <c r="Y104" s="234"/>
      <c r="Z104" s="234"/>
      <c r="AA104" s="234"/>
      <c r="AB104" s="234"/>
    </row>
    <row r="105" spans="1:28" ht="15" customHeight="1" x14ac:dyDescent="0.2">
      <c r="A105" s="234"/>
      <c r="B105" s="234"/>
      <c r="C105" s="234"/>
      <c r="D105" s="234"/>
      <c r="E105" s="234"/>
      <c r="F105" s="234"/>
      <c r="G105" s="234"/>
      <c r="H105" s="234"/>
      <c r="I105" s="234"/>
      <c r="J105" s="234"/>
      <c r="K105" s="234"/>
      <c r="L105" s="234"/>
      <c r="M105" s="234"/>
      <c r="N105" s="234"/>
      <c r="O105" s="234"/>
      <c r="P105" s="234"/>
      <c r="Q105" s="234"/>
      <c r="R105" s="234"/>
      <c r="S105" s="234"/>
      <c r="T105" s="719" t="s">
        <v>1718</v>
      </c>
      <c r="U105" s="715">
        <v>2</v>
      </c>
      <c r="V105" s="715">
        <v>476</v>
      </c>
      <c r="W105" s="234" t="s">
        <v>1418</v>
      </c>
      <c r="X105" s="234"/>
      <c r="Y105" s="234"/>
      <c r="Z105" s="234"/>
      <c r="AA105" s="234"/>
      <c r="AB105" s="234"/>
    </row>
    <row r="106" spans="1:28" ht="15" customHeight="1" x14ac:dyDescent="0.2">
      <c r="A106" s="234"/>
      <c r="B106" s="234"/>
      <c r="C106" s="234"/>
      <c r="D106" s="234"/>
      <c r="E106" s="234"/>
      <c r="F106" s="234"/>
      <c r="G106" s="234"/>
      <c r="H106" s="234"/>
      <c r="I106" s="234"/>
      <c r="J106" s="234"/>
      <c r="K106" s="234"/>
      <c r="L106" s="234"/>
      <c r="M106" s="234"/>
      <c r="N106" s="234"/>
      <c r="O106" s="234"/>
      <c r="P106" s="234"/>
      <c r="Q106" s="234"/>
      <c r="R106" s="234"/>
      <c r="S106" s="234"/>
      <c r="T106" s="718" t="s">
        <v>1272</v>
      </c>
      <c r="U106" s="721">
        <f>SUM(U81:U105)</f>
        <v>3204</v>
      </c>
      <c r="V106" s="721">
        <f>SUM(V81:V105)</f>
        <v>524202</v>
      </c>
      <c r="W106" s="257" t="s">
        <v>1418</v>
      </c>
      <c r="X106" s="733">
        <f>V106/$V$169</f>
        <v>0.84808058190854618</v>
      </c>
      <c r="Y106" s="234"/>
      <c r="Z106" s="234"/>
      <c r="AA106" s="234"/>
      <c r="AB106" s="234"/>
    </row>
    <row r="107" spans="1:28" ht="15" customHeight="1" x14ac:dyDescent="0.2">
      <c r="A107" s="234"/>
      <c r="B107" s="234"/>
      <c r="C107" s="234"/>
      <c r="D107" s="234"/>
      <c r="E107" s="234"/>
      <c r="F107" s="234"/>
      <c r="G107" s="234"/>
      <c r="H107" s="234"/>
      <c r="I107" s="234"/>
      <c r="J107" s="234"/>
      <c r="K107" s="234"/>
      <c r="L107" s="234"/>
      <c r="M107" s="234"/>
      <c r="N107" s="234"/>
      <c r="O107" s="234"/>
      <c r="P107" s="234"/>
      <c r="Q107" s="234"/>
      <c r="R107" s="234"/>
      <c r="S107" s="234"/>
      <c r="T107" s="718"/>
      <c r="U107" s="715"/>
      <c r="V107" s="715"/>
      <c r="W107" s="234"/>
      <c r="X107" s="234"/>
      <c r="Y107" s="234"/>
      <c r="Z107" s="234"/>
      <c r="AA107" s="234"/>
      <c r="AB107" s="234"/>
    </row>
    <row r="108" spans="1:28" ht="15" customHeight="1" x14ac:dyDescent="0.2">
      <c r="A108" s="234"/>
      <c r="B108" s="234"/>
      <c r="C108" s="234"/>
      <c r="D108" s="234"/>
      <c r="E108" s="234"/>
      <c r="F108" s="234"/>
      <c r="G108" s="234"/>
      <c r="H108" s="234"/>
      <c r="I108" s="234"/>
      <c r="J108" s="234"/>
      <c r="K108" s="234"/>
      <c r="L108" s="234"/>
      <c r="M108" s="234"/>
      <c r="N108" s="234"/>
      <c r="O108" s="234"/>
      <c r="P108" s="234"/>
      <c r="Q108" s="234"/>
      <c r="R108" s="234"/>
      <c r="S108" s="234"/>
      <c r="T108" s="718" t="s">
        <v>1719</v>
      </c>
      <c r="U108" s="711"/>
      <c r="V108" s="711"/>
      <c r="W108" s="711"/>
      <c r="X108" s="234"/>
      <c r="Y108" s="234"/>
      <c r="Z108" s="234"/>
      <c r="AA108" s="234"/>
      <c r="AB108" s="234"/>
    </row>
    <row r="109" spans="1:28" ht="15" customHeight="1" x14ac:dyDescent="0.2">
      <c r="A109" s="234"/>
      <c r="B109" s="234"/>
      <c r="C109" s="234"/>
      <c r="D109" s="234"/>
      <c r="E109" s="234"/>
      <c r="F109" s="234"/>
      <c r="G109" s="234"/>
      <c r="H109" s="234"/>
      <c r="I109" s="234"/>
      <c r="J109" s="234"/>
      <c r="K109" s="234"/>
      <c r="L109" s="234"/>
      <c r="M109" s="234"/>
      <c r="N109" s="234"/>
      <c r="O109" s="234"/>
      <c r="P109" s="234"/>
      <c r="Q109" s="234"/>
      <c r="R109" s="234"/>
      <c r="S109" s="234"/>
      <c r="T109" s="719" t="s">
        <v>1720</v>
      </c>
      <c r="U109" s="715">
        <v>3</v>
      </c>
      <c r="V109" s="715">
        <v>610</v>
      </c>
      <c r="W109" s="234" t="s">
        <v>1418</v>
      </c>
      <c r="X109" s="733">
        <f>V109/$V$169</f>
        <v>9.8688893778393276E-4</v>
      </c>
      <c r="Y109" s="234"/>
      <c r="Z109" s="234"/>
      <c r="AA109" s="234"/>
      <c r="AB109" s="234"/>
    </row>
    <row r="110" spans="1:28" ht="15" customHeight="1" x14ac:dyDescent="0.2">
      <c r="A110" s="234"/>
      <c r="B110" s="234"/>
      <c r="C110" s="234"/>
      <c r="D110" s="234"/>
      <c r="E110" s="234"/>
      <c r="F110" s="234"/>
      <c r="G110" s="234"/>
      <c r="H110" s="234"/>
      <c r="I110" s="234"/>
      <c r="J110" s="234"/>
      <c r="K110" s="234"/>
      <c r="L110" s="234"/>
      <c r="M110" s="234"/>
      <c r="N110" s="234"/>
      <c r="O110" s="234"/>
      <c r="P110" s="234"/>
      <c r="Q110" s="234"/>
      <c r="R110" s="234"/>
      <c r="S110" s="234"/>
      <c r="T110" s="719" t="s">
        <v>1721</v>
      </c>
      <c r="U110" s="715">
        <v>57</v>
      </c>
      <c r="V110" s="715">
        <v>11272</v>
      </c>
      <c r="W110" s="234" t="s">
        <v>1418</v>
      </c>
      <c r="X110" s="234"/>
      <c r="Y110" s="234"/>
      <c r="Z110" s="234"/>
      <c r="AA110" s="234"/>
      <c r="AB110" s="234"/>
    </row>
    <row r="111" spans="1:28" ht="15" customHeight="1" x14ac:dyDescent="0.2">
      <c r="A111" s="234"/>
      <c r="B111" s="234"/>
      <c r="C111" s="234"/>
      <c r="D111" s="234"/>
      <c r="E111" s="234"/>
      <c r="F111" s="234"/>
      <c r="G111" s="234"/>
      <c r="H111" s="234"/>
      <c r="I111" s="234"/>
      <c r="J111" s="234"/>
      <c r="K111" s="234"/>
      <c r="L111" s="234"/>
      <c r="M111" s="234"/>
      <c r="N111" s="234"/>
      <c r="O111" s="234"/>
      <c r="P111" s="234"/>
      <c r="Q111" s="234"/>
      <c r="R111" s="234"/>
      <c r="S111" s="234"/>
      <c r="T111" s="718" t="s">
        <v>1273</v>
      </c>
      <c r="U111" s="715">
        <f>SUM(U109:U110)</f>
        <v>60</v>
      </c>
      <c r="V111" s="715">
        <f>SUM(V109:V110)</f>
        <v>11882</v>
      </c>
      <c r="W111" s="234" t="s">
        <v>1418</v>
      </c>
      <c r="X111" s="733">
        <f>V111/$V$169</f>
        <v>1.9223302227456867E-2</v>
      </c>
      <c r="Y111" s="234"/>
      <c r="Z111" s="234"/>
      <c r="AA111" s="234"/>
      <c r="AB111" s="234"/>
    </row>
    <row r="112" spans="1:28" ht="15" customHeight="1" x14ac:dyDescent="0.2">
      <c r="A112" s="234"/>
      <c r="B112" s="234"/>
      <c r="C112" s="234"/>
      <c r="D112" s="234"/>
      <c r="E112" s="234"/>
      <c r="F112" s="234"/>
      <c r="G112" s="234"/>
      <c r="H112" s="234"/>
      <c r="I112" s="234"/>
      <c r="J112" s="234"/>
      <c r="K112" s="234"/>
      <c r="L112" s="234"/>
      <c r="M112" s="234"/>
      <c r="N112" s="234"/>
      <c r="O112" s="234"/>
      <c r="P112" s="234"/>
      <c r="Q112" s="234"/>
      <c r="R112" s="234"/>
      <c r="S112" s="234"/>
      <c r="T112" s="713"/>
      <c r="U112" s="234"/>
      <c r="V112" s="234"/>
      <c r="W112" s="234"/>
      <c r="X112" s="243"/>
      <c r="Y112" s="234"/>
      <c r="Z112" s="234"/>
      <c r="AA112" s="234"/>
      <c r="AB112" s="234"/>
    </row>
    <row r="113" spans="1:28" ht="15" customHeight="1" x14ac:dyDescent="0.2">
      <c r="A113" s="234"/>
      <c r="B113" s="234"/>
      <c r="C113" s="234"/>
      <c r="D113" s="234"/>
      <c r="E113" s="234"/>
      <c r="F113" s="234"/>
      <c r="G113" s="234"/>
      <c r="H113" s="234"/>
      <c r="I113" s="234"/>
      <c r="J113" s="234"/>
      <c r="K113" s="234"/>
      <c r="L113" s="234"/>
      <c r="M113" s="234"/>
      <c r="N113" s="234"/>
      <c r="O113" s="234"/>
      <c r="P113" s="234"/>
      <c r="Q113" s="234"/>
      <c r="R113" s="234"/>
      <c r="S113" s="234"/>
      <c r="T113" s="711"/>
      <c r="U113" s="711"/>
      <c r="V113" s="711"/>
      <c r="W113" s="711"/>
      <c r="X113" s="243"/>
      <c r="Y113" s="234"/>
      <c r="Z113" s="234"/>
      <c r="AA113" s="234"/>
      <c r="AB113" s="234"/>
    </row>
    <row r="114" spans="1:28" ht="15" customHeight="1" x14ac:dyDescent="0.2">
      <c r="A114" s="234"/>
      <c r="B114" s="234"/>
      <c r="C114" s="234"/>
      <c r="D114" s="234"/>
      <c r="E114" s="234"/>
      <c r="F114" s="234"/>
      <c r="G114" s="234"/>
      <c r="H114" s="234"/>
      <c r="I114" s="234"/>
      <c r="J114" s="234"/>
      <c r="K114" s="234"/>
      <c r="L114" s="234"/>
      <c r="M114" s="234"/>
      <c r="N114" s="234"/>
      <c r="O114" s="234"/>
      <c r="P114" s="234"/>
      <c r="Q114" s="234"/>
      <c r="R114" s="234"/>
      <c r="S114" s="234"/>
      <c r="T114" s="713"/>
      <c r="U114" s="716"/>
      <c r="V114" s="716"/>
      <c r="W114" s="711"/>
      <c r="X114" s="243"/>
      <c r="Y114" s="234"/>
      <c r="Z114" s="234"/>
      <c r="AA114" s="234"/>
      <c r="AB114" s="234"/>
    </row>
    <row r="115" spans="1:28" ht="15" customHeight="1" x14ac:dyDescent="0.2">
      <c r="A115" s="234"/>
      <c r="B115" s="234"/>
      <c r="C115" s="234"/>
      <c r="D115" s="234"/>
      <c r="E115" s="234"/>
      <c r="F115" s="234"/>
      <c r="G115" s="234"/>
      <c r="H115" s="234"/>
      <c r="I115" s="234"/>
      <c r="J115" s="234"/>
      <c r="K115" s="234"/>
      <c r="L115" s="234"/>
      <c r="M115" s="234"/>
      <c r="N115" s="234"/>
      <c r="O115" s="234"/>
      <c r="P115" s="234"/>
      <c r="Q115" s="234"/>
      <c r="R115" s="234"/>
      <c r="S115" s="234"/>
      <c r="T115" s="712" t="s">
        <v>1766</v>
      </c>
      <c r="U115" s="716"/>
      <c r="V115" s="716"/>
      <c r="W115" s="711"/>
      <c r="X115" s="243"/>
      <c r="Y115" s="234"/>
      <c r="Z115" s="234"/>
      <c r="AA115" s="234"/>
      <c r="AB115" s="234"/>
    </row>
    <row r="116" spans="1:28" ht="15" customHeight="1" x14ac:dyDescent="0.2">
      <c r="A116" s="234"/>
      <c r="B116" s="234"/>
      <c r="C116" s="234"/>
      <c r="D116" s="234"/>
      <c r="E116" s="234"/>
      <c r="F116" s="234"/>
      <c r="G116" s="234"/>
      <c r="H116" s="234"/>
      <c r="I116" s="234"/>
      <c r="J116" s="234"/>
      <c r="K116" s="234"/>
      <c r="L116" s="234"/>
      <c r="M116" s="234"/>
      <c r="N116" s="234"/>
      <c r="O116" s="234"/>
      <c r="P116" s="234"/>
      <c r="Q116" s="234"/>
      <c r="R116" s="234"/>
      <c r="S116" s="234"/>
      <c r="T116" s="718" t="s">
        <v>291</v>
      </c>
      <c r="U116" s="721" t="s">
        <v>1330</v>
      </c>
      <c r="V116" s="721" t="s">
        <v>1619</v>
      </c>
      <c r="W116" s="711"/>
      <c r="X116" s="243"/>
      <c r="Y116" s="234"/>
      <c r="Z116" s="234"/>
      <c r="AA116" s="234"/>
      <c r="AB116" s="234"/>
    </row>
    <row r="117" spans="1:28" ht="15" customHeight="1" x14ac:dyDescent="0.2">
      <c r="A117" s="234"/>
      <c r="B117" s="234"/>
      <c r="C117" s="234"/>
      <c r="D117" s="234"/>
      <c r="E117" s="234"/>
      <c r="F117" s="234"/>
      <c r="G117" s="234"/>
      <c r="H117" s="234"/>
      <c r="I117" s="234"/>
      <c r="J117" s="234"/>
      <c r="K117" s="234"/>
      <c r="L117" s="234"/>
      <c r="M117" s="234"/>
      <c r="N117" s="234"/>
      <c r="O117" s="234"/>
      <c r="P117" s="234"/>
      <c r="Q117" s="234"/>
      <c r="R117" s="234"/>
      <c r="S117" s="234"/>
      <c r="T117" s="719" t="s">
        <v>292</v>
      </c>
      <c r="U117" s="715">
        <v>2</v>
      </c>
      <c r="V117" s="715">
        <v>457</v>
      </c>
      <c r="W117" s="234" t="s">
        <v>1418</v>
      </c>
      <c r="X117" s="243"/>
      <c r="Y117" s="234"/>
      <c r="Z117" s="234"/>
      <c r="AA117" s="234"/>
      <c r="AB117" s="234"/>
    </row>
    <row r="118" spans="1:28" ht="15" customHeight="1" x14ac:dyDescent="0.2">
      <c r="A118" s="234"/>
      <c r="B118" s="234"/>
      <c r="C118" s="234"/>
      <c r="D118" s="234"/>
      <c r="E118" s="234"/>
      <c r="F118" s="234"/>
      <c r="G118" s="234"/>
      <c r="H118" s="234"/>
      <c r="I118" s="234"/>
      <c r="J118" s="234"/>
      <c r="K118" s="234"/>
      <c r="L118" s="234"/>
      <c r="M118" s="234"/>
      <c r="N118" s="234"/>
      <c r="O118" s="234"/>
      <c r="P118" s="234"/>
      <c r="Q118" s="234"/>
      <c r="R118" s="234"/>
      <c r="S118" s="234"/>
      <c r="T118" s="719" t="s">
        <v>293</v>
      </c>
      <c r="U118" s="715">
        <v>7</v>
      </c>
      <c r="V118" s="715">
        <v>3430</v>
      </c>
      <c r="W118" s="234" t="s">
        <v>1418</v>
      </c>
      <c r="X118" s="243"/>
      <c r="Y118" s="234"/>
      <c r="Z118" s="234"/>
      <c r="AA118" s="234"/>
      <c r="AB118" s="234"/>
    </row>
    <row r="119" spans="1:28" ht="15" customHeight="1" x14ac:dyDescent="0.2">
      <c r="A119" s="234"/>
      <c r="B119" s="234"/>
      <c r="C119" s="234"/>
      <c r="D119" s="234"/>
      <c r="E119" s="234"/>
      <c r="F119" s="234"/>
      <c r="G119" s="234"/>
      <c r="H119" s="234"/>
      <c r="I119" s="234"/>
      <c r="J119" s="234"/>
      <c r="K119" s="234"/>
      <c r="L119" s="234"/>
      <c r="M119" s="234"/>
      <c r="N119" s="234"/>
      <c r="O119" s="234"/>
      <c r="P119" s="234"/>
      <c r="Q119" s="234"/>
      <c r="R119" s="234"/>
      <c r="S119" s="234"/>
      <c r="T119" s="719" t="s">
        <v>294</v>
      </c>
      <c r="U119" s="715">
        <v>3</v>
      </c>
      <c r="V119" s="715">
        <v>644</v>
      </c>
      <c r="W119" s="234" t="s">
        <v>1418</v>
      </c>
      <c r="X119" s="243"/>
      <c r="Y119" s="234"/>
      <c r="Z119" s="234"/>
      <c r="AA119" s="234"/>
      <c r="AB119" s="234"/>
    </row>
    <row r="120" spans="1:28" ht="15" customHeight="1" x14ac:dyDescent="0.2">
      <c r="A120" s="234"/>
      <c r="B120" s="234"/>
      <c r="C120" s="234"/>
      <c r="D120" s="234"/>
      <c r="E120" s="234"/>
      <c r="F120" s="234"/>
      <c r="G120" s="234"/>
      <c r="H120" s="234"/>
      <c r="I120" s="234"/>
      <c r="J120" s="234"/>
      <c r="K120" s="234"/>
      <c r="L120" s="234"/>
      <c r="M120" s="234"/>
      <c r="N120" s="234"/>
      <c r="O120" s="234"/>
      <c r="P120" s="234"/>
      <c r="Q120" s="234"/>
      <c r="R120" s="234"/>
      <c r="S120" s="234"/>
      <c r="T120" s="719" t="s">
        <v>295</v>
      </c>
      <c r="U120" s="715">
        <v>2</v>
      </c>
      <c r="V120" s="715">
        <v>577</v>
      </c>
      <c r="W120" s="234" t="s">
        <v>1418</v>
      </c>
      <c r="X120" s="243"/>
      <c r="Y120" s="234"/>
      <c r="Z120" s="234"/>
      <c r="AA120" s="234"/>
      <c r="AB120" s="234"/>
    </row>
    <row r="121" spans="1:28" ht="15" customHeight="1" x14ac:dyDescent="0.2">
      <c r="A121" s="234"/>
      <c r="B121" s="234"/>
      <c r="C121" s="234"/>
      <c r="D121" s="234"/>
      <c r="E121" s="234"/>
      <c r="F121" s="234"/>
      <c r="G121" s="234"/>
      <c r="H121" s="234"/>
      <c r="I121" s="234"/>
      <c r="J121" s="234"/>
      <c r="K121" s="234"/>
      <c r="L121" s="234"/>
      <c r="M121" s="234"/>
      <c r="N121" s="234"/>
      <c r="O121" s="234"/>
      <c r="P121" s="234"/>
      <c r="Q121" s="234"/>
      <c r="R121" s="234"/>
      <c r="S121" s="234"/>
      <c r="T121" s="719" t="s">
        <v>296</v>
      </c>
      <c r="U121" s="715">
        <v>1</v>
      </c>
      <c r="V121" s="715">
        <v>245</v>
      </c>
      <c r="W121" s="234" t="s">
        <v>1418</v>
      </c>
      <c r="X121" s="243"/>
      <c r="Y121" s="234"/>
      <c r="Z121" s="234"/>
      <c r="AA121" s="234"/>
      <c r="AB121" s="234"/>
    </row>
    <row r="122" spans="1:28" ht="15" customHeight="1" x14ac:dyDescent="0.2">
      <c r="A122" s="234"/>
      <c r="B122" s="234"/>
      <c r="C122" s="234"/>
      <c r="D122" s="234"/>
      <c r="E122" s="234"/>
      <c r="F122" s="234"/>
      <c r="G122" s="234"/>
      <c r="H122" s="234"/>
      <c r="I122" s="234"/>
      <c r="J122" s="234"/>
      <c r="K122" s="234"/>
      <c r="L122" s="234"/>
      <c r="M122" s="234"/>
      <c r="N122" s="234"/>
      <c r="O122" s="234"/>
      <c r="P122" s="234"/>
      <c r="Q122" s="234"/>
      <c r="R122" s="234"/>
      <c r="S122" s="234"/>
      <c r="T122" s="719" t="s">
        <v>297</v>
      </c>
      <c r="U122" s="715">
        <v>2</v>
      </c>
      <c r="V122" s="715">
        <v>508</v>
      </c>
      <c r="W122" s="234" t="s">
        <v>1418</v>
      </c>
      <c r="X122" s="243"/>
      <c r="Y122" s="234"/>
      <c r="Z122" s="234"/>
      <c r="AA122" s="234"/>
      <c r="AB122" s="234"/>
    </row>
    <row r="123" spans="1:28" ht="15" customHeight="1" x14ac:dyDescent="0.2">
      <c r="A123" s="234"/>
      <c r="B123" s="234"/>
      <c r="C123" s="234"/>
      <c r="D123" s="234"/>
      <c r="E123" s="234"/>
      <c r="F123" s="234"/>
      <c r="G123" s="234"/>
      <c r="H123" s="234"/>
      <c r="I123" s="234"/>
      <c r="J123" s="234"/>
      <c r="K123" s="234"/>
      <c r="L123" s="234"/>
      <c r="M123" s="234"/>
      <c r="N123" s="234"/>
      <c r="O123" s="234"/>
      <c r="P123" s="234"/>
      <c r="Q123" s="234"/>
      <c r="R123" s="234"/>
      <c r="S123" s="234"/>
      <c r="T123" s="719" t="s">
        <v>298</v>
      </c>
      <c r="U123" s="715">
        <v>3</v>
      </c>
      <c r="V123" s="715">
        <v>910</v>
      </c>
      <c r="W123" s="234" t="s">
        <v>1418</v>
      </c>
      <c r="X123" s="243"/>
      <c r="Y123" s="234"/>
      <c r="Z123" s="234"/>
      <c r="AA123" s="234"/>
      <c r="AB123" s="234"/>
    </row>
    <row r="124" spans="1:28" ht="15" customHeight="1" x14ac:dyDescent="0.2">
      <c r="A124" s="234"/>
      <c r="B124" s="234"/>
      <c r="C124" s="234"/>
      <c r="D124" s="234"/>
      <c r="E124" s="234"/>
      <c r="F124" s="234"/>
      <c r="G124" s="234"/>
      <c r="H124" s="234"/>
      <c r="I124" s="234"/>
      <c r="J124" s="234"/>
      <c r="K124" s="234"/>
      <c r="L124" s="234"/>
      <c r="M124" s="234"/>
      <c r="N124" s="234"/>
      <c r="O124" s="234"/>
      <c r="P124" s="234"/>
      <c r="Q124" s="234"/>
      <c r="R124" s="234"/>
      <c r="S124" s="234"/>
      <c r="T124" s="719" t="s">
        <v>299</v>
      </c>
      <c r="U124" s="715">
        <v>3</v>
      </c>
      <c r="V124" s="715">
        <v>751</v>
      </c>
      <c r="W124" s="234" t="s">
        <v>1418</v>
      </c>
      <c r="X124" s="243"/>
      <c r="Y124" s="234"/>
      <c r="Z124" s="234"/>
      <c r="AA124" s="234"/>
      <c r="AB124" s="234"/>
    </row>
    <row r="125" spans="1:28" ht="15" customHeight="1" x14ac:dyDescent="0.2">
      <c r="A125" s="234"/>
      <c r="B125" s="234"/>
      <c r="C125" s="234"/>
      <c r="D125" s="234"/>
      <c r="E125" s="234"/>
      <c r="F125" s="234"/>
      <c r="G125" s="234"/>
      <c r="H125" s="234"/>
      <c r="I125" s="234"/>
      <c r="J125" s="234"/>
      <c r="K125" s="234"/>
      <c r="L125" s="234"/>
      <c r="M125" s="234"/>
      <c r="N125" s="234"/>
      <c r="O125" s="234"/>
      <c r="P125" s="234"/>
      <c r="Q125" s="234"/>
      <c r="R125" s="234"/>
      <c r="S125" s="234"/>
      <c r="T125" s="719" t="s">
        <v>587</v>
      </c>
      <c r="U125" s="715">
        <v>7</v>
      </c>
      <c r="V125" s="715">
        <v>1382</v>
      </c>
      <c r="W125" s="234" t="s">
        <v>1418</v>
      </c>
      <c r="X125" s="243"/>
      <c r="Y125" s="234"/>
      <c r="Z125" s="234"/>
      <c r="AA125" s="234"/>
      <c r="AB125" s="234"/>
    </row>
    <row r="126" spans="1:28" ht="15" customHeight="1" x14ac:dyDescent="0.2">
      <c r="A126" s="234"/>
      <c r="B126" s="234"/>
      <c r="C126" s="234"/>
      <c r="D126" s="234"/>
      <c r="E126" s="234"/>
      <c r="F126" s="234"/>
      <c r="G126" s="234"/>
      <c r="H126" s="234"/>
      <c r="I126" s="234"/>
      <c r="J126" s="234"/>
      <c r="K126" s="234"/>
      <c r="L126" s="234"/>
      <c r="M126" s="234"/>
      <c r="N126" s="234"/>
      <c r="O126" s="234"/>
      <c r="P126" s="234"/>
      <c r="Q126" s="234"/>
      <c r="R126" s="234"/>
      <c r="S126" s="234"/>
      <c r="T126" s="718" t="s">
        <v>1274</v>
      </c>
      <c r="U126" s="721">
        <f>SUM(U117:U125)</f>
        <v>30</v>
      </c>
      <c r="V126" s="721">
        <f>SUM(V117:V125)</f>
        <v>8904</v>
      </c>
      <c r="W126" s="234" t="s">
        <v>1418</v>
      </c>
      <c r="X126" s="733">
        <f>V126/$V$169</f>
        <v>1.4405342790210062E-2</v>
      </c>
      <c r="Y126" s="234"/>
      <c r="Z126" s="234"/>
      <c r="AA126" s="234"/>
      <c r="AB126" s="234"/>
    </row>
    <row r="127" spans="1:28" ht="15" customHeight="1" x14ac:dyDescent="0.2">
      <c r="A127" s="234"/>
      <c r="B127" s="234"/>
      <c r="C127" s="234"/>
      <c r="D127" s="234"/>
      <c r="E127" s="234"/>
      <c r="F127" s="234"/>
      <c r="G127" s="234"/>
      <c r="H127" s="234"/>
      <c r="I127" s="234"/>
      <c r="J127" s="234"/>
      <c r="K127" s="234"/>
      <c r="L127" s="234"/>
      <c r="M127" s="234"/>
      <c r="N127" s="234"/>
      <c r="O127" s="234"/>
      <c r="P127" s="234"/>
      <c r="Q127" s="234"/>
      <c r="R127" s="234"/>
      <c r="S127" s="234"/>
      <c r="T127" s="718"/>
      <c r="U127" s="715"/>
      <c r="V127" s="715"/>
      <c r="W127" s="234"/>
      <c r="X127" s="243"/>
      <c r="Y127" s="234"/>
      <c r="Z127" s="234"/>
      <c r="AA127" s="234"/>
      <c r="AB127" s="234"/>
    </row>
    <row r="128" spans="1:28" ht="15" customHeight="1" x14ac:dyDescent="0.2">
      <c r="A128" s="234"/>
      <c r="B128" s="234"/>
      <c r="C128" s="234"/>
      <c r="D128" s="234"/>
      <c r="E128" s="234"/>
      <c r="F128" s="234"/>
      <c r="G128" s="234"/>
      <c r="H128" s="234"/>
      <c r="I128" s="234"/>
      <c r="J128" s="234"/>
      <c r="K128" s="234"/>
      <c r="L128" s="234"/>
      <c r="M128" s="234"/>
      <c r="N128" s="234"/>
      <c r="O128" s="234"/>
      <c r="P128" s="234"/>
      <c r="Q128" s="234"/>
      <c r="R128" s="234"/>
      <c r="S128" s="234"/>
      <c r="T128" s="718" t="s">
        <v>588</v>
      </c>
      <c r="U128" s="711"/>
      <c r="V128" s="711"/>
      <c r="W128" s="711"/>
      <c r="X128" s="243"/>
      <c r="Y128" s="234"/>
      <c r="Z128" s="234"/>
      <c r="AA128" s="234"/>
      <c r="AB128" s="234"/>
    </row>
    <row r="129" spans="1:28" ht="15" customHeight="1" x14ac:dyDescent="0.2">
      <c r="A129" s="234"/>
      <c r="B129" s="234"/>
      <c r="C129" s="234"/>
      <c r="D129" s="234"/>
      <c r="E129" s="234"/>
      <c r="F129" s="234"/>
      <c r="G129" s="234"/>
      <c r="H129" s="234"/>
      <c r="I129" s="234"/>
      <c r="J129" s="234"/>
      <c r="K129" s="234"/>
      <c r="L129" s="234"/>
      <c r="M129" s="234"/>
      <c r="N129" s="234"/>
      <c r="O129" s="234"/>
      <c r="P129" s="234"/>
      <c r="Q129" s="234"/>
      <c r="R129" s="234"/>
      <c r="S129" s="234"/>
      <c r="T129" s="719" t="s">
        <v>589</v>
      </c>
      <c r="U129" s="715">
        <v>55</v>
      </c>
      <c r="V129" s="715">
        <v>21364</v>
      </c>
      <c r="W129" s="234" t="s">
        <v>1418</v>
      </c>
      <c r="X129" s="243"/>
      <c r="Y129" s="234"/>
      <c r="Z129" s="234"/>
      <c r="AA129" s="234"/>
      <c r="AB129" s="234"/>
    </row>
    <row r="130" spans="1:28" ht="15" customHeight="1" x14ac:dyDescent="0.2">
      <c r="A130" s="234"/>
      <c r="B130" s="234"/>
      <c r="C130" s="234"/>
      <c r="D130" s="234"/>
      <c r="E130" s="234"/>
      <c r="F130" s="234"/>
      <c r="G130" s="234"/>
      <c r="H130" s="234"/>
      <c r="I130" s="234"/>
      <c r="J130" s="234"/>
      <c r="K130" s="234"/>
      <c r="L130" s="234"/>
      <c r="M130" s="234"/>
      <c r="N130" s="234"/>
      <c r="O130" s="234"/>
      <c r="P130" s="234"/>
      <c r="Q130" s="234"/>
      <c r="R130" s="234"/>
      <c r="S130" s="234"/>
      <c r="T130" s="719" t="s">
        <v>590</v>
      </c>
      <c r="U130" s="715">
        <v>1</v>
      </c>
      <c r="V130" s="715">
        <v>436</v>
      </c>
      <c r="W130" s="234" t="s">
        <v>1418</v>
      </c>
      <c r="X130" s="243"/>
      <c r="Y130" s="234"/>
      <c r="Z130" s="234"/>
      <c r="AA130" s="234"/>
      <c r="AB130" s="234"/>
    </row>
    <row r="131" spans="1:28" ht="15" customHeight="1" x14ac:dyDescent="0.2">
      <c r="A131" s="234"/>
      <c r="B131" s="234"/>
      <c r="C131" s="234"/>
      <c r="D131" s="234"/>
      <c r="E131" s="234"/>
      <c r="F131" s="234"/>
      <c r="G131" s="234"/>
      <c r="H131" s="234"/>
      <c r="I131" s="234"/>
      <c r="J131" s="234"/>
      <c r="K131" s="234"/>
      <c r="L131" s="234"/>
      <c r="M131" s="234"/>
      <c r="N131" s="234"/>
      <c r="O131" s="234"/>
      <c r="P131" s="234"/>
      <c r="Q131" s="234"/>
      <c r="R131" s="234"/>
      <c r="S131" s="234"/>
      <c r="T131" s="719" t="s">
        <v>591</v>
      </c>
      <c r="U131" s="715">
        <v>12</v>
      </c>
      <c r="V131" s="715">
        <v>3246</v>
      </c>
      <c r="W131" s="234" t="s">
        <v>1418</v>
      </c>
      <c r="X131" s="243"/>
      <c r="Y131" s="234"/>
      <c r="Z131" s="234"/>
      <c r="AA131" s="234"/>
      <c r="AB131" s="234"/>
    </row>
    <row r="132" spans="1:28" ht="15" customHeight="1" x14ac:dyDescent="0.2">
      <c r="A132" s="234"/>
      <c r="B132" s="234"/>
      <c r="C132" s="234"/>
      <c r="D132" s="234"/>
      <c r="E132" s="234"/>
      <c r="F132" s="234"/>
      <c r="G132" s="234"/>
      <c r="H132" s="234"/>
      <c r="I132" s="234"/>
      <c r="J132" s="234"/>
      <c r="K132" s="234"/>
      <c r="L132" s="234"/>
      <c r="M132" s="234"/>
      <c r="N132" s="234"/>
      <c r="O132" s="234"/>
      <c r="P132" s="234"/>
      <c r="Q132" s="234"/>
      <c r="R132" s="234"/>
      <c r="S132" s="234"/>
      <c r="T132" s="719" t="s">
        <v>592</v>
      </c>
      <c r="U132" s="715">
        <v>8</v>
      </c>
      <c r="V132" s="715">
        <v>1705</v>
      </c>
      <c r="W132" s="234" t="s">
        <v>1418</v>
      </c>
      <c r="X132" s="243"/>
      <c r="Y132" s="234"/>
      <c r="Z132" s="234"/>
      <c r="AA132" s="234"/>
      <c r="AB132" s="234"/>
    </row>
    <row r="133" spans="1:28" ht="15" customHeight="1" x14ac:dyDescent="0.2">
      <c r="A133" s="234"/>
      <c r="B133" s="234"/>
      <c r="C133" s="234"/>
      <c r="D133" s="234"/>
      <c r="E133" s="234"/>
      <c r="F133" s="234"/>
      <c r="G133" s="234"/>
      <c r="H133" s="234"/>
      <c r="I133" s="234"/>
      <c r="J133" s="234"/>
      <c r="K133" s="234"/>
      <c r="L133" s="234"/>
      <c r="M133" s="234"/>
      <c r="N133" s="234"/>
      <c r="O133" s="234"/>
      <c r="P133" s="234"/>
      <c r="Q133" s="234"/>
      <c r="R133" s="234"/>
      <c r="S133" s="234"/>
      <c r="T133" s="719" t="s">
        <v>593</v>
      </c>
      <c r="U133" s="715">
        <v>10</v>
      </c>
      <c r="V133" s="715">
        <v>3151</v>
      </c>
      <c r="W133" s="234" t="s">
        <v>1418</v>
      </c>
      <c r="X133" s="243"/>
      <c r="Y133" s="234"/>
      <c r="Z133" s="234"/>
      <c r="AA133" s="234"/>
      <c r="AB133" s="234"/>
    </row>
    <row r="134" spans="1:28" ht="15" customHeight="1" x14ac:dyDescent="0.2">
      <c r="A134" s="234"/>
      <c r="B134" s="234"/>
      <c r="C134" s="234"/>
      <c r="D134" s="234"/>
      <c r="E134" s="234"/>
      <c r="F134" s="234"/>
      <c r="G134" s="234"/>
      <c r="H134" s="234"/>
      <c r="I134" s="234"/>
      <c r="J134" s="234"/>
      <c r="K134" s="234"/>
      <c r="L134" s="234"/>
      <c r="M134" s="234"/>
      <c r="N134" s="234"/>
      <c r="O134" s="234"/>
      <c r="P134" s="234"/>
      <c r="Q134" s="234"/>
      <c r="R134" s="234"/>
      <c r="S134" s="234"/>
      <c r="T134" s="719" t="s">
        <v>594</v>
      </c>
      <c r="U134" s="715">
        <v>7</v>
      </c>
      <c r="V134" s="715">
        <v>3019</v>
      </c>
      <c r="W134" s="234" t="s">
        <v>1418</v>
      </c>
      <c r="X134" s="243"/>
      <c r="Y134" s="234"/>
      <c r="Z134" s="234"/>
      <c r="AA134" s="234"/>
      <c r="AB134" s="234"/>
    </row>
    <row r="135" spans="1:28" ht="15" customHeight="1" x14ac:dyDescent="0.2">
      <c r="A135" s="234"/>
      <c r="B135" s="234"/>
      <c r="C135" s="234"/>
      <c r="D135" s="234"/>
      <c r="E135" s="234"/>
      <c r="F135" s="234"/>
      <c r="G135" s="234"/>
      <c r="H135" s="234"/>
      <c r="I135" s="234"/>
      <c r="J135" s="234"/>
      <c r="K135" s="234"/>
      <c r="L135" s="234"/>
      <c r="M135" s="234"/>
      <c r="N135" s="234"/>
      <c r="O135" s="234"/>
      <c r="P135" s="234"/>
      <c r="Q135" s="234"/>
      <c r="R135" s="234"/>
      <c r="S135" s="234"/>
      <c r="T135" s="719" t="s">
        <v>2192</v>
      </c>
      <c r="U135" s="715">
        <v>2</v>
      </c>
      <c r="V135" s="715">
        <v>657</v>
      </c>
      <c r="W135" s="234" t="s">
        <v>1418</v>
      </c>
      <c r="X135" s="243"/>
      <c r="Y135" s="234"/>
      <c r="Z135" s="234"/>
      <c r="AA135" s="234"/>
      <c r="AB135" s="234"/>
    </row>
    <row r="136" spans="1:28" ht="15" customHeight="1" x14ac:dyDescent="0.2">
      <c r="A136" s="234"/>
      <c r="B136" s="234"/>
      <c r="C136" s="234"/>
      <c r="D136" s="234"/>
      <c r="E136" s="234"/>
      <c r="F136" s="234"/>
      <c r="G136" s="234"/>
      <c r="H136" s="234"/>
      <c r="I136" s="234"/>
      <c r="J136" s="234"/>
      <c r="K136" s="234"/>
      <c r="L136" s="234"/>
      <c r="M136" s="234"/>
      <c r="N136" s="234"/>
      <c r="O136" s="234"/>
      <c r="P136" s="234"/>
      <c r="Q136" s="234"/>
      <c r="R136" s="234"/>
      <c r="S136" s="234"/>
      <c r="T136" s="719" t="s">
        <v>2193</v>
      </c>
      <c r="U136" s="715">
        <v>2</v>
      </c>
      <c r="V136" s="715">
        <v>1001</v>
      </c>
      <c r="W136" s="234" t="s">
        <v>1418</v>
      </c>
      <c r="X136" s="243"/>
      <c r="Y136" s="234"/>
      <c r="Z136" s="234"/>
      <c r="AA136" s="234"/>
      <c r="AB136" s="234"/>
    </row>
    <row r="137" spans="1:28" ht="15" customHeight="1" x14ac:dyDescent="0.2">
      <c r="A137" s="234"/>
      <c r="B137" s="234"/>
      <c r="C137" s="234"/>
      <c r="D137" s="234"/>
      <c r="E137" s="234"/>
      <c r="F137" s="234"/>
      <c r="G137" s="234"/>
      <c r="H137" s="234"/>
      <c r="I137" s="234"/>
      <c r="J137" s="234"/>
      <c r="K137" s="234"/>
      <c r="L137" s="234"/>
      <c r="M137" s="234"/>
      <c r="N137" s="234"/>
      <c r="O137" s="234"/>
      <c r="P137" s="234"/>
      <c r="Q137" s="234"/>
      <c r="R137" s="234"/>
      <c r="S137" s="234"/>
      <c r="T137" s="719" t="s">
        <v>2262</v>
      </c>
      <c r="U137" s="715">
        <v>5</v>
      </c>
      <c r="V137" s="715">
        <v>1751</v>
      </c>
      <c r="W137" s="234" t="s">
        <v>1418</v>
      </c>
      <c r="X137" s="243"/>
      <c r="Y137" s="234"/>
      <c r="Z137" s="234"/>
      <c r="AA137" s="234"/>
      <c r="AB137" s="234"/>
    </row>
    <row r="138" spans="1:28" ht="15" customHeight="1" x14ac:dyDescent="0.2">
      <c r="A138" s="234"/>
      <c r="B138" s="234"/>
      <c r="C138" s="234"/>
      <c r="D138" s="234"/>
      <c r="E138" s="234"/>
      <c r="F138" s="234"/>
      <c r="G138" s="234"/>
      <c r="H138" s="234"/>
      <c r="I138" s="234"/>
      <c r="J138" s="234"/>
      <c r="K138" s="234"/>
      <c r="L138" s="234"/>
      <c r="M138" s="234"/>
      <c r="N138" s="234"/>
      <c r="O138" s="234"/>
      <c r="P138" s="234"/>
      <c r="Q138" s="234"/>
      <c r="R138" s="234"/>
      <c r="S138" s="234"/>
      <c r="T138" s="719" t="s">
        <v>2263</v>
      </c>
      <c r="U138" s="715">
        <v>21</v>
      </c>
      <c r="V138" s="715">
        <v>4947</v>
      </c>
      <c r="W138" s="234" t="s">
        <v>1418</v>
      </c>
      <c r="X138" s="243"/>
      <c r="Y138" s="234"/>
      <c r="Z138" s="234"/>
      <c r="AA138" s="234"/>
      <c r="AB138" s="234"/>
    </row>
    <row r="139" spans="1:28" ht="15" customHeight="1" x14ac:dyDescent="0.2">
      <c r="A139" s="234"/>
      <c r="B139" s="234"/>
      <c r="C139" s="234"/>
      <c r="D139" s="234"/>
      <c r="E139" s="234"/>
      <c r="F139" s="234"/>
      <c r="G139" s="234"/>
      <c r="H139" s="234"/>
      <c r="I139" s="234"/>
      <c r="J139" s="234"/>
      <c r="K139" s="234"/>
      <c r="L139" s="234"/>
      <c r="M139" s="234"/>
      <c r="N139" s="234"/>
      <c r="O139" s="234"/>
      <c r="P139" s="234"/>
      <c r="Q139" s="234"/>
      <c r="R139" s="234"/>
      <c r="S139" s="234"/>
      <c r="T139" s="719" t="s">
        <v>2264</v>
      </c>
      <c r="U139" s="715">
        <v>2</v>
      </c>
      <c r="V139" s="715">
        <v>874</v>
      </c>
      <c r="W139" s="234" t="s">
        <v>1418</v>
      </c>
      <c r="X139" s="243"/>
      <c r="Y139" s="234"/>
      <c r="Z139" s="234"/>
      <c r="AA139" s="234"/>
      <c r="AB139" s="234"/>
    </row>
    <row r="140" spans="1:28" ht="15" customHeight="1" x14ac:dyDescent="0.2">
      <c r="A140" s="234"/>
      <c r="B140" s="234"/>
      <c r="C140" s="234"/>
      <c r="D140" s="234"/>
      <c r="E140" s="234"/>
      <c r="F140" s="234"/>
      <c r="G140" s="234"/>
      <c r="H140" s="234"/>
      <c r="I140" s="234"/>
      <c r="J140" s="234"/>
      <c r="K140" s="234"/>
      <c r="L140" s="234"/>
      <c r="M140" s="234"/>
      <c r="N140" s="234"/>
      <c r="O140" s="234"/>
      <c r="P140" s="234"/>
      <c r="Q140" s="234"/>
      <c r="R140" s="234"/>
      <c r="S140" s="234"/>
      <c r="T140" s="718" t="s">
        <v>1275</v>
      </c>
      <c r="U140" s="721">
        <f>SUM(U129:U139)</f>
        <v>125</v>
      </c>
      <c r="V140" s="721">
        <f>SUM(V129:V139)</f>
        <v>42151</v>
      </c>
      <c r="W140" s="234" t="s">
        <v>1418</v>
      </c>
      <c r="X140" s="733">
        <f>V140/$V$169</f>
        <v>6.8194025600869762E-2</v>
      </c>
      <c r="Y140" s="234"/>
      <c r="Z140" s="234"/>
      <c r="AA140" s="234"/>
      <c r="AB140" s="234"/>
    </row>
    <row r="141" spans="1:28" ht="15" customHeight="1" x14ac:dyDescent="0.2">
      <c r="A141" s="234"/>
      <c r="B141" s="234"/>
      <c r="C141" s="234"/>
      <c r="D141" s="234"/>
      <c r="E141" s="234"/>
      <c r="F141" s="234"/>
      <c r="G141" s="234"/>
      <c r="H141" s="234"/>
      <c r="I141" s="234"/>
      <c r="J141" s="234"/>
      <c r="K141" s="234"/>
      <c r="L141" s="234"/>
      <c r="M141" s="234"/>
      <c r="N141" s="234"/>
      <c r="O141" s="234"/>
      <c r="P141" s="234"/>
      <c r="Q141" s="234"/>
      <c r="R141" s="234"/>
      <c r="S141" s="234"/>
      <c r="T141" s="718"/>
      <c r="U141" s="715"/>
      <c r="V141" s="715"/>
      <c r="W141" s="234"/>
      <c r="X141" s="234"/>
      <c r="Y141" s="234"/>
      <c r="Z141" s="234"/>
      <c r="AA141" s="234"/>
      <c r="AB141" s="234"/>
    </row>
    <row r="142" spans="1:28" ht="15" customHeight="1" x14ac:dyDescent="0.2">
      <c r="A142" s="234"/>
      <c r="B142" s="234"/>
      <c r="C142" s="234"/>
      <c r="D142" s="234"/>
      <c r="E142" s="234"/>
      <c r="F142" s="234"/>
      <c r="G142" s="234"/>
      <c r="H142" s="234"/>
      <c r="I142" s="234"/>
      <c r="J142" s="234"/>
      <c r="K142" s="234"/>
      <c r="L142" s="234"/>
      <c r="M142" s="234"/>
      <c r="N142" s="234"/>
      <c r="O142" s="234"/>
      <c r="P142" s="234"/>
      <c r="Q142" s="234"/>
      <c r="R142" s="234"/>
      <c r="S142" s="234"/>
      <c r="T142" s="718" t="s">
        <v>2265</v>
      </c>
      <c r="U142" s="721">
        <v>6</v>
      </c>
      <c r="V142" s="721">
        <v>1768</v>
      </c>
      <c r="W142" s="234" t="s">
        <v>1418</v>
      </c>
      <c r="X142" s="234"/>
      <c r="Y142" s="234"/>
      <c r="Z142" s="234"/>
      <c r="AA142" s="234"/>
      <c r="AB142" s="234"/>
    </row>
    <row r="143" spans="1:28" ht="15" customHeight="1" x14ac:dyDescent="0.2">
      <c r="A143" s="234"/>
      <c r="B143" s="234"/>
      <c r="C143" s="234"/>
      <c r="D143" s="234"/>
      <c r="E143" s="234"/>
      <c r="F143" s="234"/>
      <c r="G143" s="234"/>
      <c r="H143" s="234"/>
      <c r="I143" s="234"/>
      <c r="J143" s="234"/>
      <c r="K143" s="234"/>
      <c r="L143" s="234"/>
      <c r="M143" s="234"/>
      <c r="N143" s="234"/>
      <c r="O143" s="234"/>
      <c r="P143" s="234"/>
      <c r="Q143" s="234"/>
      <c r="R143" s="234"/>
      <c r="S143" s="234"/>
      <c r="T143" s="711"/>
      <c r="U143" s="711"/>
      <c r="V143" s="711"/>
      <c r="W143" s="711"/>
      <c r="X143" s="234"/>
      <c r="Y143" s="234"/>
      <c r="Z143" s="234"/>
      <c r="AA143" s="234"/>
      <c r="AB143" s="234"/>
    </row>
    <row r="144" spans="1:28" ht="15" customHeight="1" x14ac:dyDescent="0.2">
      <c r="A144" s="234"/>
      <c r="B144" s="234"/>
      <c r="C144" s="234"/>
      <c r="D144" s="234"/>
      <c r="E144" s="234"/>
      <c r="F144" s="234"/>
      <c r="G144" s="234"/>
      <c r="H144" s="234"/>
      <c r="I144" s="234"/>
      <c r="J144" s="234"/>
      <c r="K144" s="234"/>
      <c r="L144" s="234"/>
      <c r="M144" s="234"/>
      <c r="N144" s="234"/>
      <c r="O144" s="234"/>
      <c r="P144" s="234"/>
      <c r="Q144" s="234"/>
      <c r="R144" s="234"/>
      <c r="S144" s="234"/>
      <c r="T144" s="718" t="s">
        <v>2266</v>
      </c>
      <c r="U144" s="711"/>
      <c r="V144" s="711"/>
      <c r="W144" s="711"/>
      <c r="X144" s="234"/>
      <c r="Y144" s="234"/>
      <c r="Z144" s="234"/>
      <c r="AA144" s="234"/>
      <c r="AB144" s="234"/>
    </row>
    <row r="145" spans="1:28" ht="15" customHeight="1" x14ac:dyDescent="0.2">
      <c r="A145" s="234"/>
      <c r="B145" s="234"/>
      <c r="C145" s="234"/>
      <c r="D145" s="234"/>
      <c r="E145" s="234"/>
      <c r="F145" s="234"/>
      <c r="G145" s="234"/>
      <c r="H145" s="234"/>
      <c r="I145" s="234"/>
      <c r="J145" s="234"/>
      <c r="K145" s="234"/>
      <c r="L145" s="234"/>
      <c r="M145" s="234"/>
      <c r="N145" s="234"/>
      <c r="O145" s="234"/>
      <c r="P145" s="234"/>
      <c r="Q145" s="234"/>
      <c r="R145" s="234"/>
      <c r="S145" s="234"/>
      <c r="T145" s="719" t="s">
        <v>2267</v>
      </c>
      <c r="U145" s="715">
        <v>1</v>
      </c>
      <c r="V145" s="715">
        <v>226</v>
      </c>
      <c r="W145" s="234" t="s">
        <v>1418</v>
      </c>
      <c r="X145" s="234"/>
      <c r="Y145" s="234"/>
      <c r="Z145" s="234"/>
      <c r="AA145" s="234"/>
      <c r="AB145" s="234"/>
    </row>
    <row r="146" spans="1:28" ht="15" customHeight="1" x14ac:dyDescent="0.2">
      <c r="A146" s="234"/>
      <c r="B146" s="234"/>
      <c r="C146" s="234"/>
      <c r="D146" s="234"/>
      <c r="E146" s="234"/>
      <c r="F146" s="234"/>
      <c r="G146" s="234"/>
      <c r="H146" s="234"/>
      <c r="I146" s="234"/>
      <c r="J146" s="234"/>
      <c r="K146" s="234"/>
      <c r="L146" s="234"/>
      <c r="M146" s="234"/>
      <c r="N146" s="234"/>
      <c r="O146" s="234"/>
      <c r="P146" s="234"/>
      <c r="Q146" s="234"/>
      <c r="R146" s="234"/>
      <c r="S146" s="234"/>
      <c r="T146" s="719" t="s">
        <v>2268</v>
      </c>
      <c r="U146" s="715">
        <v>7</v>
      </c>
      <c r="V146" s="715">
        <v>1720</v>
      </c>
      <c r="W146" s="234" t="s">
        <v>1418</v>
      </c>
      <c r="X146" s="234"/>
      <c r="Y146" s="234"/>
      <c r="Z146" s="234"/>
      <c r="AA146" s="234"/>
      <c r="AB146" s="234"/>
    </row>
    <row r="147" spans="1:28" ht="15" customHeight="1" x14ac:dyDescent="0.2">
      <c r="A147" s="234"/>
      <c r="B147" s="234"/>
      <c r="C147" s="234"/>
      <c r="D147" s="234"/>
      <c r="E147" s="234"/>
      <c r="F147" s="234"/>
      <c r="G147" s="234"/>
      <c r="H147" s="234"/>
      <c r="I147" s="234"/>
      <c r="J147" s="234"/>
      <c r="K147" s="234"/>
      <c r="L147" s="234"/>
      <c r="M147" s="234"/>
      <c r="N147" s="234"/>
      <c r="O147" s="234"/>
      <c r="P147" s="234"/>
      <c r="Q147" s="234"/>
      <c r="R147" s="234"/>
      <c r="S147" s="234"/>
      <c r="T147" s="719" t="s">
        <v>2269</v>
      </c>
      <c r="U147" s="715">
        <v>5</v>
      </c>
      <c r="V147" s="715">
        <v>878</v>
      </c>
      <c r="W147" s="234" t="s">
        <v>1418</v>
      </c>
      <c r="X147" s="234"/>
      <c r="Y147" s="234"/>
      <c r="Z147" s="234"/>
      <c r="AA147" s="234"/>
      <c r="AB147" s="234"/>
    </row>
    <row r="148" spans="1:28" ht="15" customHeight="1" x14ac:dyDescent="0.2">
      <c r="A148" s="234"/>
      <c r="B148" s="234"/>
      <c r="C148" s="234"/>
      <c r="D148" s="234"/>
      <c r="E148" s="234"/>
      <c r="F148" s="234"/>
      <c r="G148" s="234"/>
      <c r="H148" s="234"/>
      <c r="I148" s="234"/>
      <c r="J148" s="234"/>
      <c r="K148" s="234"/>
      <c r="L148" s="234"/>
      <c r="M148" s="234"/>
      <c r="N148" s="234"/>
      <c r="O148" s="234"/>
      <c r="P148" s="234"/>
      <c r="Q148" s="234"/>
      <c r="R148" s="234"/>
      <c r="S148" s="234"/>
      <c r="T148" s="719" t="s">
        <v>2270</v>
      </c>
      <c r="U148" s="715">
        <v>5</v>
      </c>
      <c r="V148" s="715">
        <v>936</v>
      </c>
      <c r="W148" s="234" t="s">
        <v>1418</v>
      </c>
      <c r="X148" s="234"/>
      <c r="Y148" s="234"/>
      <c r="Z148" s="234"/>
      <c r="AA148" s="234"/>
      <c r="AB148" s="234"/>
    </row>
    <row r="149" spans="1:28" ht="15" customHeight="1" x14ac:dyDescent="0.2">
      <c r="A149" s="234"/>
      <c r="B149" s="234"/>
      <c r="C149" s="234"/>
      <c r="D149" s="234"/>
      <c r="E149" s="234"/>
      <c r="F149" s="234"/>
      <c r="G149" s="234"/>
      <c r="H149" s="234"/>
      <c r="I149" s="234"/>
      <c r="J149" s="234"/>
      <c r="K149" s="234"/>
      <c r="L149" s="234"/>
      <c r="M149" s="234"/>
      <c r="N149" s="234"/>
      <c r="O149" s="234"/>
      <c r="P149" s="234"/>
      <c r="Q149" s="234"/>
      <c r="R149" s="234"/>
      <c r="S149" s="234"/>
      <c r="T149" s="719" t="s">
        <v>2271</v>
      </c>
      <c r="U149" s="715">
        <v>1</v>
      </c>
      <c r="V149" s="715">
        <v>401</v>
      </c>
      <c r="W149" s="234" t="s">
        <v>1418</v>
      </c>
      <c r="X149" s="234"/>
      <c r="Y149" s="234"/>
      <c r="Z149" s="234"/>
      <c r="AA149" s="234"/>
      <c r="AB149" s="234"/>
    </row>
    <row r="150" spans="1:28" ht="15" customHeight="1" x14ac:dyDescent="0.2">
      <c r="A150" s="234"/>
      <c r="B150" s="234"/>
      <c r="C150" s="234"/>
      <c r="D150" s="234"/>
      <c r="E150" s="234"/>
      <c r="F150" s="234"/>
      <c r="G150" s="234"/>
      <c r="H150" s="234"/>
      <c r="I150" s="234"/>
      <c r="J150" s="234"/>
      <c r="K150" s="234"/>
      <c r="L150" s="234"/>
      <c r="M150" s="234"/>
      <c r="N150" s="234"/>
      <c r="O150" s="234"/>
      <c r="P150" s="234"/>
      <c r="Q150" s="234"/>
      <c r="R150" s="234"/>
      <c r="S150" s="234"/>
      <c r="T150" s="719" t="s">
        <v>2272</v>
      </c>
      <c r="U150" s="715">
        <v>13</v>
      </c>
      <c r="V150" s="715">
        <v>3012</v>
      </c>
      <c r="W150" s="234" t="s">
        <v>1418</v>
      </c>
      <c r="X150" s="234"/>
      <c r="Y150" s="234"/>
      <c r="Z150" s="234"/>
      <c r="AA150" s="234"/>
      <c r="AB150" s="234"/>
    </row>
    <row r="151" spans="1:28" ht="15" customHeight="1" x14ac:dyDescent="0.2">
      <c r="A151" s="234"/>
      <c r="B151" s="234"/>
      <c r="C151" s="234"/>
      <c r="D151" s="234"/>
      <c r="E151" s="234"/>
      <c r="F151" s="234"/>
      <c r="G151" s="234"/>
      <c r="H151" s="234"/>
      <c r="I151" s="234"/>
      <c r="J151" s="234"/>
      <c r="K151" s="234"/>
      <c r="L151" s="234"/>
      <c r="M151" s="234"/>
      <c r="N151" s="234"/>
      <c r="O151" s="234"/>
      <c r="P151" s="234"/>
      <c r="Q151" s="234"/>
      <c r="R151" s="234"/>
      <c r="S151" s="234"/>
      <c r="T151" s="719" t="s">
        <v>1281</v>
      </c>
      <c r="U151" s="715">
        <v>2</v>
      </c>
      <c r="V151" s="715">
        <v>245</v>
      </c>
      <c r="W151" s="234" t="s">
        <v>1418</v>
      </c>
      <c r="X151" s="234"/>
      <c r="Y151" s="234"/>
      <c r="Z151" s="234"/>
      <c r="AA151" s="234"/>
      <c r="AB151" s="234"/>
    </row>
    <row r="152" spans="1:28" ht="15" customHeight="1" x14ac:dyDescent="0.2">
      <c r="A152" s="234"/>
      <c r="B152" s="234"/>
      <c r="C152" s="234"/>
      <c r="D152" s="234"/>
      <c r="E152" s="234"/>
      <c r="F152" s="234"/>
      <c r="G152" s="234"/>
      <c r="H152" s="234"/>
      <c r="I152" s="234"/>
      <c r="J152" s="234"/>
      <c r="K152" s="234"/>
      <c r="L152" s="234"/>
      <c r="M152" s="234"/>
      <c r="N152" s="234"/>
      <c r="O152" s="234"/>
      <c r="P152" s="234"/>
      <c r="Q152" s="234"/>
      <c r="R152" s="234"/>
      <c r="S152" s="234"/>
      <c r="T152" s="719" t="s">
        <v>1282</v>
      </c>
      <c r="U152" s="715">
        <v>29</v>
      </c>
      <c r="V152" s="715">
        <v>6822</v>
      </c>
      <c r="W152" s="234" t="s">
        <v>1418</v>
      </c>
      <c r="X152" s="234"/>
      <c r="Y152" s="234"/>
      <c r="Z152" s="234"/>
      <c r="AA152" s="234"/>
      <c r="AB152" s="234"/>
    </row>
    <row r="153" spans="1:28" ht="15" customHeight="1" x14ac:dyDescent="0.2">
      <c r="A153" s="234"/>
      <c r="B153" s="234"/>
      <c r="C153" s="234"/>
      <c r="D153" s="234"/>
      <c r="E153" s="234"/>
      <c r="F153" s="234"/>
      <c r="G153" s="234"/>
      <c r="H153" s="234"/>
      <c r="I153" s="234"/>
      <c r="J153" s="234"/>
      <c r="K153" s="234"/>
      <c r="L153" s="234"/>
      <c r="M153" s="234"/>
      <c r="N153" s="234"/>
      <c r="O153" s="234"/>
      <c r="P153" s="234"/>
      <c r="Q153" s="234"/>
      <c r="R153" s="234"/>
      <c r="S153" s="234"/>
      <c r="T153" s="719" t="s">
        <v>1283</v>
      </c>
      <c r="U153" s="715">
        <v>1</v>
      </c>
      <c r="V153" s="715">
        <v>314</v>
      </c>
      <c r="W153" s="234" t="s">
        <v>1418</v>
      </c>
      <c r="X153" s="733">
        <f>V153/$V$169</f>
        <v>5.0800512535107355E-4</v>
      </c>
      <c r="Y153" s="234"/>
      <c r="Z153" s="234"/>
      <c r="AA153" s="234"/>
      <c r="AB153" s="234"/>
    </row>
    <row r="154" spans="1:28" ht="15" customHeight="1" x14ac:dyDescent="0.2">
      <c r="A154" s="234"/>
      <c r="B154" s="234"/>
      <c r="C154" s="234"/>
      <c r="D154" s="234"/>
      <c r="E154" s="234"/>
      <c r="F154" s="234"/>
      <c r="G154" s="234"/>
      <c r="H154" s="234"/>
      <c r="I154" s="234"/>
      <c r="J154" s="234"/>
      <c r="K154" s="234"/>
      <c r="L154" s="234"/>
      <c r="M154" s="234"/>
      <c r="N154" s="234"/>
      <c r="O154" s="234"/>
      <c r="P154" s="234"/>
      <c r="Q154" s="234"/>
      <c r="R154" s="234"/>
      <c r="S154" s="234"/>
      <c r="T154" s="719" t="s">
        <v>1284</v>
      </c>
      <c r="U154" s="715">
        <v>3</v>
      </c>
      <c r="V154" s="715">
        <v>707</v>
      </c>
      <c r="W154" s="234" t="s">
        <v>1418</v>
      </c>
      <c r="X154" s="243"/>
      <c r="Y154" s="234"/>
      <c r="Z154" s="234"/>
      <c r="AA154" s="234"/>
      <c r="AB154" s="234"/>
    </row>
    <row r="155" spans="1:28" ht="15" customHeight="1" x14ac:dyDescent="0.2">
      <c r="A155" s="234"/>
      <c r="B155" s="234"/>
      <c r="C155" s="234"/>
      <c r="D155" s="234"/>
      <c r="E155" s="234"/>
      <c r="F155" s="234"/>
      <c r="G155" s="234"/>
      <c r="H155" s="234"/>
      <c r="I155" s="234"/>
      <c r="J155" s="234"/>
      <c r="K155" s="234"/>
      <c r="L155" s="234"/>
      <c r="M155" s="234"/>
      <c r="N155" s="234"/>
      <c r="O155" s="234"/>
      <c r="P155" s="234"/>
      <c r="Q155" s="234"/>
      <c r="R155" s="234"/>
      <c r="S155" s="234"/>
      <c r="T155" s="719" t="s">
        <v>1285</v>
      </c>
      <c r="U155" s="715">
        <v>1</v>
      </c>
      <c r="V155" s="715">
        <v>342</v>
      </c>
      <c r="W155" s="234" t="s">
        <v>1418</v>
      </c>
      <c r="X155" s="243"/>
      <c r="Y155" s="234"/>
      <c r="Z155" s="234"/>
      <c r="AA155" s="234"/>
      <c r="AB155" s="234"/>
    </row>
    <row r="156" spans="1:28" ht="15" customHeight="1" x14ac:dyDescent="0.2">
      <c r="A156" s="234"/>
      <c r="B156" s="234"/>
      <c r="C156" s="234"/>
      <c r="D156" s="234"/>
      <c r="E156" s="234"/>
      <c r="F156" s="234"/>
      <c r="G156" s="234"/>
      <c r="H156" s="234"/>
      <c r="I156" s="234"/>
      <c r="J156" s="234"/>
      <c r="K156" s="234"/>
      <c r="L156" s="234"/>
      <c r="M156" s="234"/>
      <c r="N156" s="234"/>
      <c r="O156" s="234"/>
      <c r="P156" s="234"/>
      <c r="Q156" s="234"/>
      <c r="R156" s="234"/>
      <c r="S156" s="234"/>
      <c r="T156" s="719" t="s">
        <v>1286</v>
      </c>
      <c r="U156" s="715">
        <v>8</v>
      </c>
      <c r="V156" s="715">
        <v>1813</v>
      </c>
      <c r="W156" s="234" t="s">
        <v>1418</v>
      </c>
      <c r="X156" s="733">
        <f>V156/$V$169</f>
        <v>2.9331633511512625E-3</v>
      </c>
      <c r="Y156" s="234"/>
      <c r="Z156" s="234"/>
      <c r="AA156" s="234"/>
      <c r="AB156" s="234"/>
    </row>
    <row r="157" spans="1:28" ht="15" customHeight="1" x14ac:dyDescent="0.2">
      <c r="A157" s="234"/>
      <c r="B157" s="234"/>
      <c r="C157" s="234"/>
      <c r="D157" s="234"/>
      <c r="E157" s="234"/>
      <c r="F157" s="234"/>
      <c r="G157" s="234"/>
      <c r="H157" s="234"/>
      <c r="I157" s="234"/>
      <c r="J157" s="234"/>
      <c r="K157" s="234"/>
      <c r="L157" s="234"/>
      <c r="M157" s="234"/>
      <c r="N157" s="234"/>
      <c r="O157" s="234"/>
      <c r="P157" s="234"/>
      <c r="Q157" s="234"/>
      <c r="R157" s="234"/>
      <c r="S157" s="234"/>
      <c r="T157" s="719" t="s">
        <v>1287</v>
      </c>
      <c r="U157" s="715">
        <v>3</v>
      </c>
      <c r="V157" s="715">
        <v>465</v>
      </c>
      <c r="W157" s="234" t="s">
        <v>1418</v>
      </c>
      <c r="X157" s="243"/>
      <c r="Y157" s="234"/>
      <c r="Z157" s="234"/>
      <c r="AA157" s="234"/>
      <c r="AB157" s="234"/>
    </row>
    <row r="158" spans="1:28" ht="15" customHeight="1" x14ac:dyDescent="0.2">
      <c r="A158" s="234"/>
      <c r="B158" s="234"/>
      <c r="C158" s="234"/>
      <c r="D158" s="234"/>
      <c r="E158" s="234"/>
      <c r="F158" s="234"/>
      <c r="G158" s="234"/>
      <c r="H158" s="234"/>
      <c r="I158" s="234"/>
      <c r="J158" s="234"/>
      <c r="K158" s="234"/>
      <c r="L158" s="234"/>
      <c r="M158" s="234"/>
      <c r="N158" s="234"/>
      <c r="O158" s="234"/>
      <c r="P158" s="234"/>
      <c r="Q158" s="234"/>
      <c r="R158" s="234"/>
      <c r="S158" s="234"/>
      <c r="T158" s="719" t="s">
        <v>1288</v>
      </c>
      <c r="U158" s="715">
        <v>3</v>
      </c>
      <c r="V158" s="715">
        <v>945</v>
      </c>
      <c r="W158" s="234" t="s">
        <v>1418</v>
      </c>
      <c r="X158" s="243"/>
      <c r="Y158" s="234"/>
      <c r="Z158" s="234"/>
      <c r="AA158" s="234"/>
      <c r="AB158" s="234"/>
    </row>
    <row r="159" spans="1:28" ht="15" customHeight="1" x14ac:dyDescent="0.2">
      <c r="A159" s="234"/>
      <c r="B159" s="234"/>
      <c r="C159" s="234"/>
      <c r="D159" s="234"/>
      <c r="E159" s="234"/>
      <c r="F159" s="234"/>
      <c r="G159" s="234"/>
      <c r="H159" s="234"/>
      <c r="I159" s="234"/>
      <c r="J159" s="234"/>
      <c r="K159" s="234"/>
      <c r="L159" s="234"/>
      <c r="M159" s="234"/>
      <c r="N159" s="234"/>
      <c r="O159" s="234"/>
      <c r="P159" s="234"/>
      <c r="Q159" s="234"/>
      <c r="R159" s="234"/>
      <c r="S159" s="234"/>
      <c r="T159" s="719" t="s">
        <v>1137</v>
      </c>
      <c r="U159" s="715">
        <v>2</v>
      </c>
      <c r="V159" s="715">
        <v>754</v>
      </c>
      <c r="W159" s="234" t="s">
        <v>1418</v>
      </c>
      <c r="X159" s="243"/>
      <c r="Y159" s="234"/>
      <c r="Z159" s="234"/>
      <c r="AA159" s="234"/>
      <c r="AB159" s="234"/>
    </row>
    <row r="160" spans="1:28" ht="15" customHeight="1" x14ac:dyDescent="0.2">
      <c r="A160" s="234"/>
      <c r="B160" s="234"/>
      <c r="C160" s="234"/>
      <c r="D160" s="234"/>
      <c r="E160" s="234"/>
      <c r="F160" s="234"/>
      <c r="G160" s="234"/>
      <c r="H160" s="234"/>
      <c r="I160" s="234"/>
      <c r="J160" s="234"/>
      <c r="K160" s="234"/>
      <c r="L160" s="234"/>
      <c r="M160" s="234"/>
      <c r="N160" s="234"/>
      <c r="O160" s="234"/>
      <c r="P160" s="234"/>
      <c r="Q160" s="234"/>
      <c r="R160" s="234"/>
      <c r="S160" s="234"/>
      <c r="T160" s="719" t="s">
        <v>1138</v>
      </c>
      <c r="U160" s="715">
        <v>3</v>
      </c>
      <c r="V160" s="715">
        <v>950</v>
      </c>
      <c r="W160" s="234" t="s">
        <v>1418</v>
      </c>
      <c r="X160" s="733">
        <f>V160/$V$169</f>
        <v>1.5369581817946494E-3</v>
      </c>
      <c r="Y160" s="234"/>
      <c r="Z160" s="234"/>
      <c r="AA160" s="234"/>
      <c r="AB160" s="234"/>
    </row>
    <row r="161" spans="1:28" ht="15" customHeight="1" x14ac:dyDescent="0.2">
      <c r="A161" s="234"/>
      <c r="B161" s="234"/>
      <c r="C161" s="234"/>
      <c r="D161" s="234"/>
      <c r="E161" s="234"/>
      <c r="F161" s="234"/>
      <c r="G161" s="234"/>
      <c r="H161" s="234"/>
      <c r="I161" s="234"/>
      <c r="J161" s="234"/>
      <c r="K161" s="234"/>
      <c r="L161" s="234"/>
      <c r="M161" s="234"/>
      <c r="N161" s="234"/>
      <c r="O161" s="234"/>
      <c r="P161" s="234"/>
      <c r="Q161" s="234"/>
      <c r="R161" s="234"/>
      <c r="S161" s="234"/>
      <c r="T161" s="719" t="s">
        <v>1139</v>
      </c>
      <c r="U161" s="715">
        <v>1</v>
      </c>
      <c r="V161" s="715">
        <v>401</v>
      </c>
      <c r="W161" s="234" t="s">
        <v>1418</v>
      </c>
      <c r="X161" s="243"/>
      <c r="Y161" s="234"/>
      <c r="Z161" s="234"/>
      <c r="AA161" s="234"/>
      <c r="AB161" s="234"/>
    </row>
    <row r="162" spans="1:28" ht="15" customHeight="1" x14ac:dyDescent="0.2">
      <c r="A162" s="234"/>
      <c r="B162" s="234"/>
      <c r="C162" s="234"/>
      <c r="D162" s="234"/>
      <c r="E162" s="234"/>
      <c r="F162" s="234"/>
      <c r="G162" s="234"/>
      <c r="H162" s="234"/>
      <c r="I162" s="234"/>
      <c r="J162" s="234"/>
      <c r="K162" s="234"/>
      <c r="L162" s="234"/>
      <c r="M162" s="234"/>
      <c r="N162" s="234"/>
      <c r="O162" s="234"/>
      <c r="P162" s="234"/>
      <c r="Q162" s="234"/>
      <c r="R162" s="234"/>
      <c r="S162" s="234"/>
      <c r="T162" s="719" t="s">
        <v>1140</v>
      </c>
      <c r="U162" s="715">
        <v>11</v>
      </c>
      <c r="V162" s="715">
        <v>2963</v>
      </c>
      <c r="W162" s="234" t="s">
        <v>1418</v>
      </c>
      <c r="X162" s="243"/>
      <c r="Y162" s="234"/>
      <c r="Z162" s="234"/>
      <c r="AA162" s="234"/>
      <c r="AB162" s="234"/>
    </row>
    <row r="163" spans="1:28" ht="15" customHeight="1" x14ac:dyDescent="0.2">
      <c r="A163" s="234"/>
      <c r="B163" s="234"/>
      <c r="C163" s="234"/>
      <c r="D163" s="234"/>
      <c r="E163" s="234"/>
      <c r="F163" s="234"/>
      <c r="G163" s="234"/>
      <c r="H163" s="234"/>
      <c r="I163" s="234"/>
      <c r="J163" s="234"/>
      <c r="K163" s="234"/>
      <c r="L163" s="234"/>
      <c r="M163" s="234"/>
      <c r="N163" s="234"/>
      <c r="O163" s="234"/>
      <c r="P163" s="234"/>
      <c r="Q163" s="234"/>
      <c r="R163" s="234"/>
      <c r="S163" s="234"/>
      <c r="T163" s="719" t="s">
        <v>1264</v>
      </c>
      <c r="U163" s="715">
        <v>9</v>
      </c>
      <c r="V163" s="715">
        <v>2363</v>
      </c>
      <c r="W163" s="234" t="s">
        <v>1418</v>
      </c>
      <c r="X163" s="733">
        <f>V163/$V$169</f>
        <v>3.8229812458744805E-3</v>
      </c>
      <c r="Y163" s="234"/>
      <c r="Z163" s="234"/>
      <c r="AA163" s="234"/>
      <c r="AB163" s="234"/>
    </row>
    <row r="164" spans="1:28" ht="15" customHeight="1" x14ac:dyDescent="0.2">
      <c r="A164" s="234"/>
      <c r="B164" s="234"/>
      <c r="C164" s="234"/>
      <c r="D164" s="234"/>
      <c r="E164" s="234"/>
      <c r="F164" s="234"/>
      <c r="G164" s="234"/>
      <c r="H164" s="234"/>
      <c r="I164" s="234"/>
      <c r="J164" s="234"/>
      <c r="K164" s="234"/>
      <c r="L164" s="234"/>
      <c r="M164" s="234"/>
      <c r="N164" s="234"/>
      <c r="O164" s="234"/>
      <c r="P164" s="234"/>
      <c r="Q164" s="234"/>
      <c r="R164" s="234"/>
      <c r="S164" s="234"/>
      <c r="T164" s="719" t="s">
        <v>1265</v>
      </c>
      <c r="U164" s="715">
        <v>2</v>
      </c>
      <c r="V164" s="715">
        <v>406</v>
      </c>
      <c r="W164" s="234" t="s">
        <v>1418</v>
      </c>
      <c r="X164" s="234"/>
      <c r="Y164" s="234"/>
      <c r="Z164" s="234"/>
      <c r="AA164" s="234"/>
      <c r="AB164" s="234"/>
    </row>
    <row r="165" spans="1:28" ht="15" customHeight="1" x14ac:dyDescent="0.2">
      <c r="A165" s="234"/>
      <c r="B165" s="234"/>
      <c r="C165" s="234"/>
      <c r="D165" s="234"/>
      <c r="E165" s="234"/>
      <c r="F165" s="234"/>
      <c r="G165" s="234"/>
      <c r="H165" s="234"/>
      <c r="I165" s="234"/>
      <c r="J165" s="234"/>
      <c r="K165" s="234"/>
      <c r="L165" s="234"/>
      <c r="M165" s="234"/>
      <c r="N165" s="234"/>
      <c r="O165" s="234"/>
      <c r="P165" s="234"/>
      <c r="Q165" s="234"/>
      <c r="R165" s="234"/>
      <c r="S165" s="234"/>
      <c r="T165" s="719" t="s">
        <v>1266</v>
      </c>
      <c r="U165" s="715">
        <v>4</v>
      </c>
      <c r="V165" s="715">
        <v>795</v>
      </c>
      <c r="W165" s="234" t="s">
        <v>1418</v>
      </c>
      <c r="X165" s="234"/>
      <c r="Y165" s="234"/>
      <c r="Z165" s="234"/>
      <c r="AA165" s="234"/>
      <c r="AB165" s="234"/>
    </row>
    <row r="166" spans="1:28" ht="15" customHeight="1" x14ac:dyDescent="0.2">
      <c r="A166" s="234"/>
      <c r="B166" s="234"/>
      <c r="C166" s="234"/>
      <c r="D166" s="234"/>
      <c r="E166" s="234"/>
      <c r="F166" s="234"/>
      <c r="G166" s="234"/>
      <c r="H166" s="234"/>
      <c r="I166" s="234"/>
      <c r="J166" s="234"/>
      <c r="K166" s="234"/>
      <c r="L166" s="234"/>
      <c r="M166" s="234"/>
      <c r="N166" s="234"/>
      <c r="O166" s="234"/>
      <c r="P166" s="234"/>
      <c r="Q166" s="234"/>
      <c r="R166" s="234"/>
      <c r="S166" s="234"/>
      <c r="T166" s="719" t="s">
        <v>1267</v>
      </c>
      <c r="U166" s="715">
        <v>6</v>
      </c>
      <c r="V166" s="715">
        <v>1739</v>
      </c>
      <c r="W166" s="234" t="s">
        <v>1418</v>
      </c>
      <c r="X166" s="234"/>
      <c r="Y166" s="234"/>
      <c r="Z166" s="234"/>
      <c r="AA166" s="234"/>
      <c r="AB166" s="234"/>
    </row>
    <row r="167" spans="1:28" ht="15" customHeight="1" x14ac:dyDescent="0.2">
      <c r="A167" s="234"/>
      <c r="B167" s="234"/>
      <c r="C167" s="234"/>
      <c r="D167" s="234"/>
      <c r="E167" s="234"/>
      <c r="F167" s="234"/>
      <c r="G167" s="234"/>
      <c r="H167" s="234"/>
      <c r="I167" s="234"/>
      <c r="J167" s="234"/>
      <c r="K167" s="234"/>
      <c r="L167" s="234"/>
      <c r="M167" s="234"/>
      <c r="N167" s="234"/>
      <c r="O167" s="234"/>
      <c r="P167" s="234"/>
      <c r="Q167" s="234"/>
      <c r="R167" s="234"/>
      <c r="S167" s="234"/>
      <c r="T167" s="718" t="s">
        <v>1268</v>
      </c>
      <c r="U167" s="721">
        <f>SUM(U145:U166)</f>
        <v>120</v>
      </c>
      <c r="V167" s="721">
        <f>SUM(V145:V166)</f>
        <v>29197</v>
      </c>
      <c r="W167" s="234" t="s">
        <v>1418</v>
      </c>
      <c r="X167" s="733">
        <f>V167/$V$169</f>
        <v>4.7236387404061456E-2</v>
      </c>
      <c r="Y167" s="234"/>
      <c r="Z167" s="234"/>
      <c r="AA167" s="234"/>
      <c r="AB167" s="234"/>
    </row>
    <row r="168" spans="1:28" ht="15" customHeight="1" x14ac:dyDescent="0.2">
      <c r="A168" s="234"/>
      <c r="B168" s="234"/>
      <c r="C168" s="234"/>
      <c r="D168" s="234"/>
      <c r="E168" s="234"/>
      <c r="F168" s="234"/>
      <c r="G168" s="234"/>
      <c r="H168" s="234"/>
      <c r="I168" s="234"/>
      <c r="J168" s="234"/>
      <c r="K168" s="234"/>
      <c r="L168" s="234"/>
      <c r="M168" s="234"/>
      <c r="N168" s="234"/>
      <c r="O168" s="234"/>
      <c r="P168" s="234"/>
      <c r="Q168" s="234"/>
      <c r="R168" s="234"/>
      <c r="S168" s="234"/>
      <c r="T168" s="711"/>
      <c r="U168" s="711"/>
      <c r="V168" s="711"/>
      <c r="W168" s="711"/>
      <c r="X168" s="234"/>
      <c r="Y168" s="234"/>
      <c r="Z168" s="234"/>
      <c r="AA168" s="234"/>
      <c r="AB168" s="234"/>
    </row>
    <row r="169" spans="1:28" ht="15" customHeight="1" x14ac:dyDescent="0.2">
      <c r="A169" s="234"/>
      <c r="B169" s="234"/>
      <c r="C169" s="234"/>
      <c r="D169" s="234"/>
      <c r="E169" s="234"/>
      <c r="F169" s="234"/>
      <c r="G169" s="234"/>
      <c r="H169" s="234"/>
      <c r="I169" s="234"/>
      <c r="J169" s="234"/>
      <c r="K169" s="234"/>
      <c r="L169" s="234"/>
      <c r="M169" s="234"/>
      <c r="N169" s="234"/>
      <c r="O169" s="234"/>
      <c r="P169" s="234"/>
      <c r="Q169" s="234"/>
      <c r="R169" s="234"/>
      <c r="S169" s="234"/>
      <c r="T169" s="718" t="s">
        <v>1269</v>
      </c>
      <c r="U169" s="721">
        <f>U167+U142+U140+U126+U111+U106</f>
        <v>3545</v>
      </c>
      <c r="V169" s="721">
        <f>V167+V142+V140+V126+V111+V106</f>
        <v>618104</v>
      </c>
      <c r="W169" s="234"/>
      <c r="X169" s="234"/>
      <c r="Y169" s="234"/>
      <c r="Z169" s="234"/>
      <c r="AA169" s="234"/>
      <c r="AB169" s="234"/>
    </row>
    <row r="170" spans="1:28" ht="12.75" x14ac:dyDescent="0.2">
      <c r="A170" s="234"/>
      <c r="B170" s="234"/>
      <c r="C170" s="234"/>
      <c r="D170" s="234"/>
      <c r="E170" s="234"/>
      <c r="F170" s="234"/>
      <c r="G170" s="234"/>
      <c r="H170" s="234"/>
      <c r="I170" s="234"/>
      <c r="J170" s="234"/>
      <c r="K170" s="234"/>
      <c r="L170" s="234"/>
      <c r="M170" s="234"/>
      <c r="N170" s="234"/>
      <c r="O170" s="234"/>
      <c r="P170" s="234"/>
      <c r="Q170" s="234"/>
      <c r="R170" s="234"/>
      <c r="S170" s="234"/>
      <c r="T170" s="234"/>
      <c r="U170" s="234"/>
      <c r="V170" s="234"/>
      <c r="W170" s="234"/>
      <c r="X170" s="234"/>
      <c r="Y170" s="234"/>
      <c r="Z170" s="234"/>
      <c r="AA170" s="234"/>
      <c r="AB170" s="234"/>
    </row>
    <row r="171" spans="1:28" ht="12.75" x14ac:dyDescent="0.2">
      <c r="A171" s="234"/>
      <c r="B171" s="234"/>
      <c r="C171" s="234"/>
      <c r="D171" s="234"/>
      <c r="E171" s="234"/>
      <c r="F171" s="234"/>
      <c r="G171" s="234"/>
      <c r="H171" s="234"/>
      <c r="I171" s="234"/>
      <c r="J171" s="234"/>
      <c r="K171" s="234"/>
      <c r="L171" s="234"/>
      <c r="M171" s="234"/>
      <c r="N171" s="234"/>
      <c r="O171" s="234"/>
      <c r="P171" s="234"/>
      <c r="Q171" s="234"/>
      <c r="R171" s="234"/>
      <c r="S171" s="234"/>
      <c r="T171" s="734" t="s">
        <v>1277</v>
      </c>
      <c r="U171" s="648"/>
      <c r="V171" s="648"/>
      <c r="W171" s="648"/>
      <c r="X171" s="735">
        <f>X163+X160+X156+X153+X109</f>
        <v>9.7879968419553997E-3</v>
      </c>
      <c r="Y171" s="234"/>
      <c r="Z171" s="234"/>
      <c r="AA171" s="234"/>
      <c r="AB171" s="234"/>
    </row>
    <row r="172" spans="1:28" ht="12.75" x14ac:dyDescent="0.2">
      <c r="A172" s="234"/>
      <c r="B172" s="234"/>
      <c r="C172" s="234"/>
      <c r="D172" s="234"/>
      <c r="E172" s="234"/>
      <c r="F172" s="234"/>
      <c r="G172" s="234"/>
      <c r="H172" s="234"/>
      <c r="I172" s="234"/>
      <c r="J172" s="234"/>
      <c r="K172" s="234"/>
      <c r="L172" s="234"/>
      <c r="M172" s="234"/>
      <c r="N172" s="234"/>
      <c r="O172" s="234"/>
      <c r="P172" s="234"/>
      <c r="Q172" s="234"/>
      <c r="R172" s="234"/>
      <c r="S172" s="234"/>
      <c r="T172" s="234"/>
      <c r="U172" s="234"/>
      <c r="V172" s="234"/>
      <c r="W172" s="234"/>
      <c r="X172" s="234"/>
      <c r="Y172" s="234"/>
      <c r="Z172" s="234"/>
      <c r="AA172" s="234"/>
      <c r="AB172" s="234"/>
    </row>
    <row r="173" spans="1:28" ht="12.75" x14ac:dyDescent="0.2">
      <c r="A173" s="234"/>
      <c r="B173" s="234"/>
      <c r="C173" s="234"/>
      <c r="D173" s="234"/>
      <c r="E173" s="234"/>
      <c r="F173" s="234"/>
      <c r="G173" s="234"/>
      <c r="H173" s="234"/>
      <c r="I173" s="234"/>
      <c r="J173" s="234"/>
      <c r="K173" s="234"/>
      <c r="L173" s="234"/>
      <c r="M173" s="234"/>
      <c r="N173" s="234"/>
      <c r="O173" s="234"/>
      <c r="P173" s="234"/>
      <c r="Q173" s="234"/>
      <c r="R173" s="234"/>
      <c r="S173" s="234"/>
      <c r="T173" s="234"/>
      <c r="U173" s="234"/>
      <c r="V173" s="234"/>
      <c r="W173" s="234"/>
      <c r="X173" s="234"/>
      <c r="Y173" s="234"/>
      <c r="Z173" s="743" t="s">
        <v>1646</v>
      </c>
      <c r="AA173" s="743" t="s">
        <v>1619</v>
      </c>
      <c r="AB173" s="234"/>
    </row>
    <row r="174" spans="1:28" ht="12.75" x14ac:dyDescent="0.2">
      <c r="A174" s="234"/>
      <c r="B174" s="234"/>
      <c r="C174" s="234"/>
      <c r="D174" s="234"/>
      <c r="E174" s="234"/>
      <c r="F174" s="234"/>
      <c r="G174" s="234"/>
      <c r="H174" s="234"/>
      <c r="I174" s="234"/>
      <c r="J174" s="234"/>
      <c r="K174" s="234"/>
      <c r="L174" s="234"/>
      <c r="M174" s="234"/>
      <c r="N174" s="234"/>
      <c r="O174" s="234"/>
      <c r="P174" s="234"/>
      <c r="Q174" s="234"/>
      <c r="R174" s="234"/>
      <c r="S174" s="234"/>
      <c r="T174" s="234"/>
      <c r="U174" s="234"/>
      <c r="V174" s="234"/>
      <c r="W174" s="234"/>
      <c r="X174" s="234"/>
      <c r="Y174" s="234"/>
      <c r="Z174" s="234" t="s">
        <v>1772</v>
      </c>
      <c r="AA174" s="234">
        <f>V85</f>
        <v>12349</v>
      </c>
      <c r="AB174" s="234"/>
    </row>
    <row r="175" spans="1:28" ht="12.75" x14ac:dyDescent="0.2">
      <c r="A175" s="234"/>
      <c r="B175" s="234"/>
      <c r="C175" s="234"/>
      <c r="D175" s="234"/>
      <c r="E175" s="234"/>
      <c r="F175" s="234"/>
      <c r="G175" s="234"/>
      <c r="H175" s="234"/>
      <c r="I175" s="234"/>
      <c r="J175" s="234"/>
      <c r="K175" s="234"/>
      <c r="L175" s="234"/>
      <c r="M175" s="234"/>
      <c r="N175" s="234"/>
      <c r="O175" s="234"/>
      <c r="P175" s="234"/>
      <c r="Q175" s="234"/>
      <c r="R175" s="234"/>
      <c r="S175" s="234"/>
      <c r="T175" s="234"/>
      <c r="U175" s="234"/>
      <c r="V175" s="234"/>
      <c r="W175" s="234"/>
      <c r="X175" s="234"/>
      <c r="Y175" s="234"/>
      <c r="Z175" s="234" t="s">
        <v>1644</v>
      </c>
      <c r="AA175" s="234">
        <f>V106-V103-V85</f>
        <v>17831</v>
      </c>
      <c r="AB175" s="733">
        <f>AA175/$AA$179</f>
        <v>0.162151593688901</v>
      </c>
    </row>
    <row r="176" spans="1:28" ht="12.75" x14ac:dyDescent="0.2">
      <c r="A176" s="234"/>
      <c r="B176" s="234"/>
      <c r="C176" s="234"/>
      <c r="D176" s="234"/>
      <c r="E176" s="234"/>
      <c r="F176" s="234"/>
      <c r="G176" s="234"/>
      <c r="H176" s="234"/>
      <c r="I176" s="234"/>
      <c r="J176" s="234"/>
      <c r="K176" s="234"/>
      <c r="L176" s="234"/>
      <c r="M176" s="234"/>
      <c r="N176" s="234"/>
      <c r="O176" s="234"/>
      <c r="P176" s="234"/>
      <c r="Q176" s="234"/>
      <c r="R176" s="234"/>
      <c r="S176" s="234"/>
      <c r="T176" s="234"/>
      <c r="U176" s="234"/>
      <c r="V176" s="234"/>
      <c r="W176" s="234"/>
      <c r="X176" s="234"/>
      <c r="Y176" s="234"/>
      <c r="Z176" s="234" t="s">
        <v>1930</v>
      </c>
      <c r="AA176" s="234">
        <f>V111+V167</f>
        <v>41079</v>
      </c>
      <c r="AB176" s="733">
        <f>AA176/$AA$179</f>
        <v>0.37356431591870143</v>
      </c>
    </row>
    <row r="177" spans="1:28" ht="12.75" x14ac:dyDescent="0.2">
      <c r="A177" s="234"/>
      <c r="B177" s="234"/>
      <c r="C177" s="234"/>
      <c r="D177" s="234"/>
      <c r="E177" s="234"/>
      <c r="F177" s="234"/>
      <c r="G177" s="234"/>
      <c r="H177" s="234"/>
      <c r="I177" s="234"/>
      <c r="J177" s="234"/>
      <c r="K177" s="234"/>
      <c r="L177" s="234"/>
      <c r="M177" s="234"/>
      <c r="N177" s="234"/>
      <c r="O177" s="234"/>
      <c r="P177" s="234"/>
      <c r="Q177" s="234"/>
      <c r="R177" s="234"/>
      <c r="S177" s="234"/>
      <c r="T177" s="234"/>
      <c r="U177" s="234"/>
      <c r="V177" s="234"/>
      <c r="W177" s="234"/>
      <c r="X177" s="234"/>
      <c r="Y177" s="234"/>
      <c r="Z177" s="234" t="s">
        <v>1645</v>
      </c>
      <c r="AA177" s="234">
        <f>V126</f>
        <v>8904</v>
      </c>
      <c r="AB177" s="733">
        <f>AA177/$AA$179</f>
        <v>8.0971218114854721E-2</v>
      </c>
    </row>
    <row r="178" spans="1:28" ht="12.75" x14ac:dyDescent="0.2">
      <c r="A178" s="234"/>
      <c r="B178" s="234"/>
      <c r="C178" s="234"/>
      <c r="D178" s="234"/>
      <c r="E178" s="234"/>
      <c r="F178" s="234"/>
      <c r="G178" s="234"/>
      <c r="H178" s="234"/>
      <c r="I178" s="234"/>
      <c r="J178" s="234"/>
      <c r="K178" s="234"/>
      <c r="L178" s="234"/>
      <c r="M178" s="234"/>
      <c r="N178" s="234"/>
      <c r="O178" s="234"/>
      <c r="P178" s="234"/>
      <c r="Q178" s="234"/>
      <c r="R178" s="234"/>
      <c r="S178" s="234"/>
      <c r="T178" s="234"/>
      <c r="U178" s="234"/>
      <c r="V178" s="234"/>
      <c r="W178" s="234"/>
      <c r="X178" s="234"/>
      <c r="Y178" s="234"/>
      <c r="Z178" s="234" t="s">
        <v>808</v>
      </c>
      <c r="AA178" s="234">
        <f>V140</f>
        <v>42151</v>
      </c>
      <c r="AB178" s="733">
        <f>AA178/$AA$179</f>
        <v>0.38331287227754285</v>
      </c>
    </row>
    <row r="179" spans="1:28" ht="12.75" x14ac:dyDescent="0.2">
      <c r="A179" s="234"/>
      <c r="B179" s="234"/>
      <c r="C179" s="234"/>
      <c r="D179" s="234"/>
      <c r="E179" s="234"/>
      <c r="F179" s="234"/>
      <c r="G179" s="234"/>
      <c r="H179" s="234"/>
      <c r="I179" s="234"/>
      <c r="J179" s="234"/>
      <c r="K179" s="234"/>
      <c r="L179" s="234"/>
      <c r="M179" s="234"/>
      <c r="N179" s="234"/>
      <c r="O179" s="234"/>
      <c r="P179" s="234"/>
      <c r="Q179" s="234"/>
      <c r="R179" s="234"/>
      <c r="S179" s="234"/>
      <c r="T179" s="234"/>
      <c r="U179" s="234"/>
      <c r="V179" s="234"/>
      <c r="W179" s="234"/>
      <c r="X179" s="234"/>
      <c r="Y179" s="234"/>
      <c r="Z179" s="234"/>
      <c r="AA179" s="234">
        <f>SUM(AA175:AA178)</f>
        <v>109965</v>
      </c>
      <c r="AB179" s="234"/>
    </row>
  </sheetData>
  <phoneticPr fontId="0" type="noConversion"/>
  <pageMargins left="0.75" right="0.75" top="1" bottom="1" header="0.5" footer="0.5"/>
  <pageSetup orientation="portrait" r:id="rId1"/>
  <headerFooter alignWithMargins="0"/>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S106"/>
  <sheetViews>
    <sheetView zoomScale="85" workbookViewId="0"/>
  </sheetViews>
  <sheetFormatPr defaultRowHeight="12.75" x14ac:dyDescent="0.2"/>
  <cols>
    <col min="1" max="1" width="51.6640625" style="1031" customWidth="1"/>
    <col min="2" max="4" width="9.83203125" style="1031" customWidth="1"/>
    <col min="5" max="15" width="9.83203125" style="186" customWidth="1"/>
    <col min="16" max="16" width="9.33203125" style="186"/>
    <col min="17" max="17" width="9.5" style="186" bestFit="1" customWidth="1"/>
    <col min="18" max="16384" width="9.33203125" style="186"/>
  </cols>
  <sheetData>
    <row r="1" spans="1:17" ht="12.75" customHeight="1" x14ac:dyDescent="0.2">
      <c r="A1" s="1029" t="s">
        <v>2043</v>
      </c>
      <c r="B1" s="1029"/>
      <c r="C1" s="1029"/>
      <c r="D1" s="1029"/>
      <c r="E1" s="1017"/>
      <c r="F1" s="1017"/>
    </row>
    <row r="2" spans="1:17" ht="12.75" customHeight="1" x14ac:dyDescent="0.2">
      <c r="A2" s="1030" t="s">
        <v>2044</v>
      </c>
      <c r="B2" s="1030"/>
      <c r="C2" s="1030"/>
      <c r="D2" s="1030"/>
    </row>
    <row r="3" spans="1:17" ht="12.75" customHeight="1" x14ac:dyDescent="0.2">
      <c r="K3" s="186" t="s">
        <v>532</v>
      </c>
    </row>
    <row r="4" spans="1:17" ht="12.75" customHeight="1" x14ac:dyDescent="0.2">
      <c r="A4" s="1032"/>
      <c r="B4" s="1032"/>
      <c r="C4" s="1196">
        <v>2003</v>
      </c>
      <c r="D4" s="1196">
        <v>2004</v>
      </c>
      <c r="E4" s="611">
        <v>2005</v>
      </c>
      <c r="F4" s="611">
        <v>2006</v>
      </c>
      <c r="G4" s="611">
        <v>2007</v>
      </c>
      <c r="H4" s="611">
        <v>2008</v>
      </c>
      <c r="I4" s="611">
        <v>2009</v>
      </c>
      <c r="J4" s="611">
        <v>2010</v>
      </c>
      <c r="K4" s="611">
        <v>2011</v>
      </c>
      <c r="L4" s="611">
        <v>2012</v>
      </c>
      <c r="M4" s="611">
        <v>2013</v>
      </c>
      <c r="N4" s="611">
        <v>2014</v>
      </c>
      <c r="O4" s="611">
        <v>2015</v>
      </c>
    </row>
    <row r="5" spans="1:17" ht="12.75" customHeight="1" x14ac:dyDescent="0.2">
      <c r="A5" s="1033" t="s">
        <v>533</v>
      </c>
      <c r="B5" s="1033"/>
      <c r="C5" s="1033"/>
      <c r="D5" s="1033"/>
      <c r="E5" s="1018"/>
      <c r="F5" s="1018"/>
      <c r="G5" s="1019"/>
      <c r="H5" s="385">
        <v>0.56000000000000005</v>
      </c>
      <c r="I5" s="385">
        <v>0.25</v>
      </c>
      <c r="J5" s="385">
        <v>0.27</v>
      </c>
      <c r="K5" s="1019"/>
    </row>
    <row r="6" spans="1:17" ht="12.75" customHeight="1" x14ac:dyDescent="0.2">
      <c r="A6" s="1034" t="s">
        <v>534</v>
      </c>
      <c r="B6" s="1034"/>
      <c r="C6" s="1034"/>
      <c r="D6" s="1034"/>
      <c r="E6" s="1020"/>
      <c r="F6" s="1020"/>
      <c r="G6" s="1019"/>
      <c r="H6" s="1021"/>
      <c r="I6" s="1021"/>
      <c r="J6" s="1019"/>
      <c r="K6" s="1019"/>
    </row>
    <row r="7" spans="1:17" ht="12.75" customHeight="1" x14ac:dyDescent="0.2">
      <c r="A7" s="1034"/>
      <c r="B7" s="1034"/>
      <c r="C7" s="1034"/>
      <c r="D7" s="1034"/>
      <c r="E7" s="1020"/>
      <c r="F7" s="1020"/>
      <c r="G7" s="1019"/>
      <c r="H7" s="1021"/>
      <c r="I7" s="1021"/>
      <c r="J7" s="1019"/>
      <c r="K7" s="1019"/>
    </row>
    <row r="8" spans="1:17" ht="12.75" customHeight="1" x14ac:dyDescent="0.2">
      <c r="A8" s="1035" t="s">
        <v>434</v>
      </c>
      <c r="B8" s="1035"/>
      <c r="C8" s="1035"/>
      <c r="D8" s="1035"/>
      <c r="E8" s="1020"/>
      <c r="F8" s="1020"/>
      <c r="G8" s="1019"/>
      <c r="H8" s="1021"/>
      <c r="I8" s="1021"/>
      <c r="J8" s="1019"/>
      <c r="K8" s="1019"/>
    </row>
    <row r="9" spans="1:17" ht="12.75" customHeight="1" x14ac:dyDescent="0.2">
      <c r="A9" s="1036" t="s">
        <v>1561</v>
      </c>
      <c r="B9" s="1036"/>
      <c r="C9" s="1036"/>
      <c r="D9" s="1036"/>
      <c r="E9" s="1020"/>
      <c r="F9" s="1020"/>
      <c r="G9" s="1019"/>
      <c r="H9" s="1021">
        <v>256</v>
      </c>
      <c r="I9" s="1021">
        <v>23</v>
      </c>
      <c r="J9" s="1021"/>
      <c r="K9" s="1019"/>
    </row>
    <row r="10" spans="1:17" ht="12.75" customHeight="1" x14ac:dyDescent="0.2">
      <c r="A10" s="1036" t="s">
        <v>484</v>
      </c>
      <c r="B10" s="1036"/>
      <c r="C10" s="1036"/>
      <c r="D10" s="1036"/>
      <c r="E10" s="1023"/>
      <c r="F10" s="1023"/>
      <c r="G10" s="1024"/>
      <c r="H10" s="1025">
        <v>101</v>
      </c>
      <c r="I10" s="1025">
        <v>51</v>
      </c>
      <c r="J10" s="1019"/>
      <c r="K10" s="1019"/>
    </row>
    <row r="11" spans="1:17" ht="12.75" customHeight="1" x14ac:dyDescent="0.2">
      <c r="A11" s="1035" t="s">
        <v>76</v>
      </c>
      <c r="B11" s="1035"/>
      <c r="C11" s="1035"/>
      <c r="D11" s="1035"/>
      <c r="E11" s="1020"/>
      <c r="F11" s="1020"/>
      <c r="G11" s="1019"/>
      <c r="H11" s="1026">
        <f>SUM(H9:H10)</f>
        <v>357</v>
      </c>
      <c r="I11" s="1026">
        <f>SUM(I9:I10)</f>
        <v>74</v>
      </c>
      <c r="J11" s="1019"/>
      <c r="K11" s="1019"/>
    </row>
    <row r="12" spans="1:17" ht="12.75" customHeight="1" x14ac:dyDescent="0.2">
      <c r="A12" s="1035"/>
      <c r="B12" s="1035"/>
      <c r="C12" s="1035"/>
      <c r="D12" s="1035"/>
      <c r="E12" s="1020"/>
      <c r="F12" s="1020"/>
      <c r="G12" s="1026"/>
      <c r="H12" s="311">
        <f>H19/H11</f>
        <v>0.44428571428571434</v>
      </c>
      <c r="I12" s="311">
        <f>I19/I11</f>
        <v>0.68675675675675663</v>
      </c>
      <c r="J12" s="1019"/>
      <c r="K12" s="1019"/>
    </row>
    <row r="13" spans="1:17" ht="12.75" customHeight="1" x14ac:dyDescent="0.2"/>
    <row r="14" spans="1:17" ht="12.75" customHeight="1" x14ac:dyDescent="0.2">
      <c r="A14" s="1033" t="s">
        <v>435</v>
      </c>
      <c r="B14" s="1033"/>
      <c r="C14" s="1033"/>
      <c r="D14" s="1033"/>
      <c r="E14" s="1018"/>
      <c r="F14" s="1018"/>
      <c r="G14" s="385">
        <v>0.35</v>
      </c>
      <c r="H14" s="385">
        <v>0.49</v>
      </c>
      <c r="I14" s="385">
        <v>0.67</v>
      </c>
      <c r="J14" s="385">
        <v>0.65</v>
      </c>
      <c r="K14" s="1019"/>
    </row>
    <row r="15" spans="1:17" ht="12.75" customHeight="1" x14ac:dyDescent="0.2">
      <c r="A15" s="1033"/>
      <c r="B15" s="1033"/>
      <c r="C15" s="1033"/>
      <c r="D15" s="1033"/>
      <c r="E15" s="1018"/>
      <c r="F15" s="1018"/>
      <c r="G15" s="1019"/>
      <c r="H15" s="1019"/>
      <c r="I15" s="1019"/>
      <c r="J15" s="1019"/>
      <c r="K15" s="1019"/>
    </row>
    <row r="16" spans="1:17" ht="12.75" customHeight="1" x14ac:dyDescent="0.2">
      <c r="A16" s="1036" t="s">
        <v>436</v>
      </c>
      <c r="B16" s="1036"/>
      <c r="C16" s="1036"/>
      <c r="D16" s="1036"/>
      <c r="E16" s="1022"/>
      <c r="F16" s="1022"/>
      <c r="G16" s="1026">
        <f>G14*G22</f>
        <v>129.15</v>
      </c>
      <c r="H16" s="1026">
        <f>H14*H22</f>
        <v>152.38999999999999</v>
      </c>
      <c r="I16" s="1026">
        <f>I14*I22</f>
        <v>103.18</v>
      </c>
      <c r="J16" s="1026">
        <f>J14*J22</f>
        <v>118.3</v>
      </c>
      <c r="K16" s="1027">
        <f>K27*K17/1000</f>
        <v>124.77402000000001</v>
      </c>
      <c r="L16" s="1027">
        <f>L27*L17/1000</f>
        <v>155.27433600000001</v>
      </c>
      <c r="M16" s="1027">
        <f>M27*M17/1000</f>
        <v>173.22793110000001</v>
      </c>
      <c r="N16" s="1027">
        <f>N27*N17/1000</f>
        <v>192.58869987</v>
      </c>
      <c r="Q16" s="311">
        <f>J16/(MAX(G16:J16))</f>
        <v>0.77629765732659628</v>
      </c>
    </row>
    <row r="17" spans="1:17" ht="12.75" customHeight="1" x14ac:dyDescent="0.2">
      <c r="A17" s="1037" t="s">
        <v>437</v>
      </c>
      <c r="B17" s="1037"/>
      <c r="C17" s="1037"/>
      <c r="D17" s="1037"/>
      <c r="E17" s="1022"/>
      <c r="F17" s="1022"/>
      <c r="G17" s="1028">
        <f>G16/G27*1000</f>
        <v>1661.6702906475562</v>
      </c>
      <c r="H17" s="1028">
        <f>H16/H27*1000</f>
        <v>1891.8918918918916</v>
      </c>
      <c r="I17" s="1028">
        <f>I16/I27*1000</f>
        <v>1192.873741285825</v>
      </c>
      <c r="J17" s="1028">
        <f>J16/J27*1000</f>
        <v>1343.9516495501227</v>
      </c>
      <c r="K17" s="1019">
        <v>1350</v>
      </c>
      <c r="L17" s="1040">
        <v>1600</v>
      </c>
      <c r="M17" s="1040">
        <v>1700</v>
      </c>
      <c r="N17" s="1040">
        <v>1800</v>
      </c>
      <c r="Q17" s="311">
        <f>J17/(MAX(G17:J17))</f>
        <v>0.71037444333363642</v>
      </c>
    </row>
    <row r="18" spans="1:17" ht="12.75" customHeight="1" x14ac:dyDescent="0.2">
      <c r="A18" s="1037"/>
      <c r="B18" s="1037"/>
      <c r="C18" s="1037"/>
      <c r="D18" s="1037"/>
      <c r="E18" s="1022"/>
      <c r="F18" s="1022"/>
      <c r="G18" s="1028"/>
      <c r="H18" s="1028"/>
      <c r="I18" s="1028"/>
      <c r="J18" s="1028"/>
      <c r="K18" s="1027"/>
      <c r="Q18" s="311"/>
    </row>
    <row r="19" spans="1:17" ht="12.75" customHeight="1" x14ac:dyDescent="0.2">
      <c r="A19" s="1036" t="s">
        <v>438</v>
      </c>
      <c r="B19" s="1036"/>
      <c r="C19" s="1036"/>
      <c r="D19" s="1036"/>
      <c r="E19" s="1022"/>
      <c r="F19" s="1022"/>
      <c r="G19" s="1026">
        <f>G22-G16</f>
        <v>239.85</v>
      </c>
      <c r="H19" s="1026">
        <f>H22-H16</f>
        <v>158.61000000000001</v>
      </c>
      <c r="I19" s="1026">
        <f>I22-I16</f>
        <v>50.819999999999993</v>
      </c>
      <c r="J19" s="1026">
        <f>J22-J16</f>
        <v>63.7</v>
      </c>
      <c r="K19" s="1027">
        <f>K26*K20/1000</f>
        <v>90.397999999999996</v>
      </c>
      <c r="L19" s="1027">
        <f>L26*L20/1000</f>
        <v>126.55719999999999</v>
      </c>
      <c r="M19" s="1027">
        <f>M26*M20/1000</f>
        <v>180.79599999999999</v>
      </c>
      <c r="N19" s="1027">
        <f>N26*N20/1000</f>
        <v>225.995</v>
      </c>
      <c r="Q19" s="311">
        <f>J19/G19</f>
        <v>0.26558265582655827</v>
      </c>
    </row>
    <row r="20" spans="1:17" ht="12.75" customHeight="1" x14ac:dyDescent="0.2">
      <c r="A20" s="1037" t="s">
        <v>437</v>
      </c>
      <c r="B20" s="1037"/>
      <c r="C20" s="1037"/>
      <c r="D20" s="1037"/>
      <c r="E20" s="1022"/>
      <c r="F20" s="1022"/>
      <c r="G20" s="1028">
        <f>G19/G26*1000</f>
        <v>1369.5071258907362</v>
      </c>
      <c r="H20" s="1028">
        <f>H19/H26*1000</f>
        <v>904.2243885753378</v>
      </c>
      <c r="I20" s="1028">
        <f>I19/I26*1000</f>
        <v>285.44788694421345</v>
      </c>
      <c r="J20" s="1028">
        <f>J19/J26*1000</f>
        <v>352.33080377884465</v>
      </c>
      <c r="K20" s="1041">
        <v>500</v>
      </c>
      <c r="L20" s="1041">
        <v>700</v>
      </c>
      <c r="M20" s="1041">
        <v>1000</v>
      </c>
      <c r="N20" s="1041">
        <v>1250</v>
      </c>
      <c r="Q20" s="311">
        <f>J20/G20</f>
        <v>0.25726832458041166</v>
      </c>
    </row>
    <row r="21" spans="1:17" ht="12.75" customHeight="1" x14ac:dyDescent="0.2"/>
    <row r="22" spans="1:17" ht="12.75" customHeight="1" x14ac:dyDescent="0.2">
      <c r="A22" s="386" t="s">
        <v>439</v>
      </c>
      <c r="B22" s="852">
        <f>MAR!W234</f>
        <v>162</v>
      </c>
      <c r="C22" s="852">
        <f>MAR!AB234</f>
        <v>109</v>
      </c>
      <c r="D22" s="852">
        <f>MAR!AG234</f>
        <v>142</v>
      </c>
      <c r="E22" s="852">
        <f>MAR!AL234</f>
        <v>201</v>
      </c>
      <c r="F22" s="852">
        <f>MAR!AQ234</f>
        <v>281</v>
      </c>
      <c r="G22" s="852">
        <f>MAR!AV234</f>
        <v>369</v>
      </c>
      <c r="H22" s="852">
        <f>MAR!BA234</f>
        <v>311</v>
      </c>
      <c r="I22" s="852">
        <f>MAR!BF234</f>
        <v>154</v>
      </c>
      <c r="J22" s="852">
        <f>MAR!BK234</f>
        <v>182</v>
      </c>
      <c r="K22" s="852">
        <f>MAR!BP234</f>
        <v>195</v>
      </c>
      <c r="L22" s="852">
        <f>MAR!BU234</f>
        <v>232</v>
      </c>
      <c r="M22" s="852">
        <f>MAR!BZ234</f>
        <v>256</v>
      </c>
      <c r="N22" s="852">
        <f>MAR!CE234</f>
        <v>302</v>
      </c>
      <c r="O22" s="852">
        <f>MAR!CJ234</f>
        <v>319</v>
      </c>
    </row>
    <row r="23" spans="1:17" ht="12.75" customHeight="1" x14ac:dyDescent="0.2">
      <c r="A23" s="1031" t="s">
        <v>446</v>
      </c>
      <c r="B23" s="847">
        <f>MAR!W261</f>
        <v>225993</v>
      </c>
      <c r="C23" s="847">
        <f>MAR!AB261</f>
        <v>233378</v>
      </c>
      <c r="D23" s="847">
        <f>MAR!AG261</f>
        <v>239344</v>
      </c>
      <c r="E23" s="847">
        <f>MAR!AL261</f>
        <v>243863</v>
      </c>
      <c r="F23" s="847">
        <f>MAR!AQ261</f>
        <v>247989</v>
      </c>
      <c r="G23" s="847">
        <f>MAR!AV261</f>
        <v>252859</v>
      </c>
      <c r="H23" s="847">
        <f>MAR!BA261</f>
        <v>255959</v>
      </c>
      <c r="I23" s="847">
        <f>MAR!BF261</f>
        <v>264533</v>
      </c>
      <c r="J23" s="847">
        <f>MAR!BK261</f>
        <v>268820</v>
      </c>
      <c r="K23" s="847">
        <f>MAR!BP261</f>
        <v>273688</v>
      </c>
      <c r="L23" s="847">
        <f>MAR!BU261</f>
        <v>279809</v>
      </c>
      <c r="M23" s="847">
        <f>MAR!BZ261</f>
        <v>278856</v>
      </c>
      <c r="N23" s="847">
        <f>MAR!CE261</f>
        <v>287637</v>
      </c>
      <c r="O23" s="847">
        <f>MAR!CJ261</f>
        <v>300305</v>
      </c>
    </row>
    <row r="24" spans="1:17" ht="12.75" customHeight="1" x14ac:dyDescent="0.2">
      <c r="A24" s="1038" t="s">
        <v>440</v>
      </c>
      <c r="B24" s="847">
        <f>B22/B23*1000</f>
        <v>0.71683636218820934</v>
      </c>
      <c r="C24" s="847">
        <f>C22/C23*1000</f>
        <v>0.46705344976818725</v>
      </c>
      <c r="D24" s="847">
        <f>D22/D23*1000</f>
        <v>0.59328832141185917</v>
      </c>
      <c r="E24" s="847">
        <f>E22/E23*1000</f>
        <v>0.82423327852113693</v>
      </c>
      <c r="F24" s="847">
        <f t="shared" ref="F24:O24" si="0">F22/F23*1000</f>
        <v>1.133114775252128</v>
      </c>
      <c r="G24" s="847">
        <f t="shared" si="0"/>
        <v>1.4593113157925959</v>
      </c>
      <c r="H24" s="847">
        <f t="shared" si="0"/>
        <v>1.2150383459850991</v>
      </c>
      <c r="I24" s="847">
        <f t="shared" si="0"/>
        <v>0.58215799163053383</v>
      </c>
      <c r="J24" s="847">
        <f t="shared" si="0"/>
        <v>0.67703295885722792</v>
      </c>
      <c r="K24" s="847">
        <f t="shared" si="0"/>
        <v>0.71249013475198042</v>
      </c>
      <c r="L24" s="847">
        <f t="shared" si="0"/>
        <v>0.82913701846616805</v>
      </c>
      <c r="M24" s="847">
        <f t="shared" si="0"/>
        <v>0.91803654933012024</v>
      </c>
      <c r="N24" s="847">
        <f t="shared" si="0"/>
        <v>1.0499344660109791</v>
      </c>
      <c r="O24" s="847">
        <f t="shared" si="0"/>
        <v>1.0622533757346697</v>
      </c>
      <c r="Q24" s="186">
        <f>MAX(E24:O24)</f>
        <v>1.4593113157925959</v>
      </c>
    </row>
    <row r="25" spans="1:17" ht="12.75" customHeight="1" x14ac:dyDescent="0.2">
      <c r="A25" s="1038"/>
      <c r="B25" s="847"/>
      <c r="C25" s="847"/>
      <c r="D25" s="847"/>
      <c r="E25" s="847"/>
      <c r="F25" s="847"/>
      <c r="G25" s="847"/>
      <c r="H25" s="847"/>
      <c r="I25" s="847"/>
      <c r="J25" s="847"/>
      <c r="K25" s="847"/>
      <c r="L25" s="847"/>
      <c r="M25" s="847"/>
      <c r="N25" s="847"/>
      <c r="O25" s="847"/>
    </row>
    <row r="26" spans="1:17" ht="12.75" customHeight="1" x14ac:dyDescent="0.2">
      <c r="A26" s="1039" t="s">
        <v>441</v>
      </c>
      <c r="B26" s="847">
        <f>Rooms!R871/1000</f>
        <v>168.251</v>
      </c>
      <c r="C26" s="847">
        <f>Rooms!W871/1000</f>
        <v>172.29300000000001</v>
      </c>
      <c r="D26" s="847">
        <f>Rooms!AB871/1000</f>
        <v>177.76599999999999</v>
      </c>
      <c r="E26" s="847">
        <f>Rooms!AG871/1000</f>
        <v>173.36500000000001</v>
      </c>
      <c r="F26" s="847">
        <f>Rooms!AL871/1000</f>
        <v>173.63200000000001</v>
      </c>
      <c r="G26" s="847">
        <f>Rooms!AQ871/1000</f>
        <v>175.136</v>
      </c>
      <c r="H26" s="847">
        <f>Rooms!AV871/1000</f>
        <v>175.41</v>
      </c>
      <c r="I26" s="847">
        <f>Rooms!BA871/1000</f>
        <v>178.036</v>
      </c>
      <c r="J26" s="847">
        <f>Rooms!BF871/1000</f>
        <v>180.79599999999999</v>
      </c>
      <c r="K26" s="845">
        <f>J26</f>
        <v>180.79599999999999</v>
      </c>
      <c r="L26" s="845">
        <f>K26</f>
        <v>180.79599999999999</v>
      </c>
      <c r="M26" s="845">
        <f>L26</f>
        <v>180.79599999999999</v>
      </c>
      <c r="N26" s="845">
        <f>M26</f>
        <v>180.79599999999999</v>
      </c>
      <c r="O26" s="845">
        <f>N26</f>
        <v>180.79599999999999</v>
      </c>
    </row>
    <row r="27" spans="1:17" ht="12.75" customHeight="1" x14ac:dyDescent="0.2">
      <c r="A27" s="1039" t="s">
        <v>442</v>
      </c>
      <c r="B27" s="850">
        <f>Rooms!R874/1000</f>
        <v>57.741999999999997</v>
      </c>
      <c r="C27" s="850">
        <f>Rooms!W874/1000</f>
        <v>61.085000000000001</v>
      </c>
      <c r="D27" s="850">
        <f>Rooms!AB874/1000</f>
        <v>61.578000000000003</v>
      </c>
      <c r="E27" s="850">
        <f>Rooms!AG874/1000</f>
        <v>70.498000000000005</v>
      </c>
      <c r="F27" s="850">
        <f>Rooms!AL874/1000</f>
        <v>74.356999999999999</v>
      </c>
      <c r="G27" s="850">
        <f>Rooms!AQ874/1000</f>
        <v>77.722999999999999</v>
      </c>
      <c r="H27" s="850">
        <f>Rooms!AV874/1000</f>
        <v>80.549000000000007</v>
      </c>
      <c r="I27" s="850">
        <f>Rooms!BA874/1000</f>
        <v>86.497</v>
      </c>
      <c r="J27" s="850">
        <f>Rooms!BF874/1000</f>
        <v>88.024000000000001</v>
      </c>
      <c r="K27" s="767">
        <f>J27*1.05</f>
        <v>92.425200000000004</v>
      </c>
      <c r="L27" s="767">
        <f>K27*1.05</f>
        <v>97.04646000000001</v>
      </c>
      <c r="M27" s="767">
        <f>L27*1.05</f>
        <v>101.89878300000001</v>
      </c>
      <c r="N27" s="767">
        <f>M27*1.05</f>
        <v>106.99372215000001</v>
      </c>
      <c r="O27" s="767">
        <f>N27*1.05</f>
        <v>112.34340825750002</v>
      </c>
    </row>
    <row r="28" spans="1:17" ht="12.75" customHeight="1" x14ac:dyDescent="0.2">
      <c r="A28" s="1039" t="s">
        <v>1616</v>
      </c>
      <c r="B28" s="847">
        <f t="shared" ref="B28:O28" si="1">SUM(B26:B27)</f>
        <v>225.99299999999999</v>
      </c>
      <c r="C28" s="847">
        <f t="shared" si="1"/>
        <v>233.37800000000001</v>
      </c>
      <c r="D28" s="847">
        <f t="shared" si="1"/>
        <v>239.34399999999999</v>
      </c>
      <c r="E28" s="847">
        <f t="shared" si="1"/>
        <v>243.863</v>
      </c>
      <c r="F28" s="847">
        <f t="shared" si="1"/>
        <v>247.989</v>
      </c>
      <c r="G28" s="847">
        <f t="shared" si="1"/>
        <v>252.85899999999998</v>
      </c>
      <c r="H28" s="847">
        <f t="shared" si="1"/>
        <v>255.959</v>
      </c>
      <c r="I28" s="847">
        <f t="shared" si="1"/>
        <v>264.53300000000002</v>
      </c>
      <c r="J28" s="847">
        <f t="shared" si="1"/>
        <v>268.82</v>
      </c>
      <c r="K28" s="847">
        <f t="shared" si="1"/>
        <v>273.22120000000001</v>
      </c>
      <c r="L28" s="847">
        <f t="shared" si="1"/>
        <v>277.84246000000002</v>
      </c>
      <c r="M28" s="847">
        <f t="shared" si="1"/>
        <v>282.69478300000003</v>
      </c>
      <c r="N28" s="847">
        <f t="shared" si="1"/>
        <v>287.78972214999999</v>
      </c>
      <c r="O28" s="847">
        <f t="shared" si="1"/>
        <v>293.13940825750001</v>
      </c>
    </row>
    <row r="29" spans="1:17" ht="12.75" customHeight="1" x14ac:dyDescent="0.2">
      <c r="B29" s="847"/>
      <c r="C29" s="847"/>
      <c r="D29" s="847"/>
      <c r="E29" s="847"/>
      <c r="F29" s="847"/>
      <c r="G29" s="847"/>
      <c r="H29" s="847"/>
      <c r="I29" s="847"/>
      <c r="J29" s="847"/>
      <c r="K29" s="847"/>
      <c r="L29" s="847"/>
      <c r="M29" s="847"/>
      <c r="N29" s="847"/>
      <c r="O29" s="847"/>
    </row>
    <row r="30" spans="1:17" ht="12.75" customHeight="1" x14ac:dyDescent="0.2">
      <c r="A30" s="922" t="s">
        <v>443</v>
      </c>
      <c r="B30" s="847"/>
      <c r="C30" s="847"/>
      <c r="D30" s="847"/>
      <c r="E30" s="847"/>
      <c r="F30" s="847"/>
      <c r="G30" s="847"/>
      <c r="H30" s="847"/>
      <c r="I30" s="847"/>
      <c r="J30" s="847"/>
      <c r="K30" s="847"/>
      <c r="L30" s="847"/>
      <c r="M30" s="847"/>
      <c r="N30" s="847"/>
      <c r="O30" s="847"/>
    </row>
    <row r="31" spans="1:17" ht="12.75" customHeight="1" x14ac:dyDescent="0.2">
      <c r="A31" s="311" t="s">
        <v>444</v>
      </c>
      <c r="B31" s="311">
        <v>0.86805378974816005</v>
      </c>
      <c r="C31" s="311">
        <v>0.86805378974816005</v>
      </c>
      <c r="D31" s="311">
        <v>0.86805378974816005</v>
      </c>
      <c r="E31" s="311">
        <v>0.86805378974816005</v>
      </c>
      <c r="F31" s="311">
        <v>0.93308366305398005</v>
      </c>
      <c r="G31" s="311">
        <v>0.99085376997391561</v>
      </c>
      <c r="H31" s="311">
        <v>0.97487231572525368</v>
      </c>
      <c r="I31" s="311">
        <v>0.8136707662354199</v>
      </c>
      <c r="J31" s="311">
        <v>0.85344458346795171</v>
      </c>
      <c r="K31" s="311">
        <v>0.92355036841311156</v>
      </c>
      <c r="L31" s="311">
        <f>+K31*1.07</f>
        <v>0.98819889420202944</v>
      </c>
      <c r="M31" s="311">
        <f>+L31*1.05</f>
        <v>1.037608838912131</v>
      </c>
      <c r="N31" s="311">
        <f>+M31*1.05</f>
        <v>1.0894892808577377</v>
      </c>
      <c r="O31" s="311">
        <f>+N31*1.03</f>
        <v>1.1221739592834699</v>
      </c>
    </row>
    <row r="32" spans="1:17" ht="12.75" customHeight="1" x14ac:dyDescent="0.2">
      <c r="A32" s="1031" t="s">
        <v>445</v>
      </c>
      <c r="B32" s="311">
        <v>0.22187254130605821</v>
      </c>
      <c r="C32" s="311">
        <v>0.22187254130605821</v>
      </c>
      <c r="D32" s="311">
        <v>0.22187254130605821</v>
      </c>
      <c r="E32" s="311">
        <v>0.22187254130605821</v>
      </c>
      <c r="F32" s="311">
        <v>0.25135135135135134</v>
      </c>
      <c r="G32" s="311">
        <v>0.25756152545557015</v>
      </c>
      <c r="H32" s="311">
        <v>0.24429400386847194</v>
      </c>
      <c r="I32" s="311">
        <v>0.18838804507594317</v>
      </c>
      <c r="J32" s="311">
        <v>0.17012741859367625</v>
      </c>
      <c r="K32" s="311">
        <v>0.1808811636479144</v>
      </c>
      <c r="L32" s="311">
        <v>0.20700035484083248</v>
      </c>
      <c r="M32" s="311">
        <v>0.22822948023376316</v>
      </c>
      <c r="N32" s="311">
        <v>0.23446630452315373</v>
      </c>
      <c r="O32" s="311">
        <v>0.23579886582892848</v>
      </c>
    </row>
    <row r="33" spans="1:19" ht="12.75" customHeight="1" x14ac:dyDescent="0.2"/>
    <row r="34" spans="1:19" x14ac:dyDescent="0.2">
      <c r="S34" s="311">
        <v>0.86805378974816005</v>
      </c>
    </row>
    <row r="35" spans="1:19" x14ac:dyDescent="0.2">
      <c r="S35" s="311"/>
    </row>
    <row r="36" spans="1:19" x14ac:dyDescent="0.2">
      <c r="A36" s="1030" t="s">
        <v>1426</v>
      </c>
      <c r="C36" s="1112">
        <f>+C22/B22-1</f>
        <v>-0.3271604938271605</v>
      </c>
      <c r="D36" s="1112">
        <f t="shared" ref="D36:O36" si="2">+D22/C22-1</f>
        <v>0.30275229357798161</v>
      </c>
      <c r="E36" s="1112">
        <f t="shared" si="2"/>
        <v>0.41549295774647876</v>
      </c>
      <c r="F36" s="1112">
        <f t="shared" si="2"/>
        <v>0.39800995024875618</v>
      </c>
      <c r="G36" s="1112">
        <f t="shared" si="2"/>
        <v>0.31316725978647697</v>
      </c>
      <c r="H36" s="1112">
        <f t="shared" si="2"/>
        <v>-0.15718157181571812</v>
      </c>
      <c r="I36" s="1112">
        <f t="shared" si="2"/>
        <v>-0.50482315112540199</v>
      </c>
      <c r="J36" s="1112">
        <f t="shared" si="2"/>
        <v>0.18181818181818188</v>
      </c>
      <c r="K36" s="1112">
        <f t="shared" si="2"/>
        <v>7.1428571428571397E-2</v>
      </c>
      <c r="L36" s="1112">
        <f t="shared" si="2"/>
        <v>0.18974358974358974</v>
      </c>
      <c r="M36" s="1112">
        <f t="shared" si="2"/>
        <v>0.10344827586206895</v>
      </c>
      <c r="N36" s="1112">
        <f t="shared" si="2"/>
        <v>0.1796875</v>
      </c>
      <c r="O36" s="1112">
        <f t="shared" si="2"/>
        <v>5.6291390728476776E-2</v>
      </c>
      <c r="S36" s="311"/>
    </row>
    <row r="37" spans="1:19" x14ac:dyDescent="0.2">
      <c r="S37" s="311"/>
    </row>
    <row r="38" spans="1:19" x14ac:dyDescent="0.2">
      <c r="S38" s="311"/>
    </row>
    <row r="39" spans="1:19" x14ac:dyDescent="0.2">
      <c r="S39" s="311"/>
    </row>
    <row r="40" spans="1:19" x14ac:dyDescent="0.2">
      <c r="S40" s="311"/>
    </row>
    <row r="41" spans="1:19" x14ac:dyDescent="0.2">
      <c r="S41" s="311"/>
    </row>
    <row r="42" spans="1:19" x14ac:dyDescent="0.2">
      <c r="S42" s="311"/>
    </row>
    <row r="43" spans="1:19" x14ac:dyDescent="0.2">
      <c r="S43" s="311"/>
    </row>
    <row r="44" spans="1:19" x14ac:dyDescent="0.2">
      <c r="S44" s="311"/>
    </row>
    <row r="45" spans="1:19" x14ac:dyDescent="0.2">
      <c r="S45" s="311"/>
    </row>
    <row r="46" spans="1:19" x14ac:dyDescent="0.2">
      <c r="S46" s="311">
        <v>0.93308366305398005</v>
      </c>
    </row>
    <row r="47" spans="1:19" x14ac:dyDescent="0.2">
      <c r="S47" s="311"/>
    </row>
    <row r="48" spans="1:19" x14ac:dyDescent="0.2">
      <c r="S48" s="311"/>
    </row>
    <row r="49" spans="19:19" x14ac:dyDescent="0.2">
      <c r="S49" s="311"/>
    </row>
    <row r="50" spans="19:19" x14ac:dyDescent="0.2">
      <c r="S50" s="311"/>
    </row>
    <row r="51" spans="19:19" x14ac:dyDescent="0.2">
      <c r="S51" s="311"/>
    </row>
    <row r="52" spans="19:19" x14ac:dyDescent="0.2">
      <c r="S52" s="311"/>
    </row>
    <row r="53" spans="19:19" x14ac:dyDescent="0.2">
      <c r="S53" s="311"/>
    </row>
    <row r="54" spans="19:19" x14ac:dyDescent="0.2">
      <c r="S54" s="311"/>
    </row>
    <row r="55" spans="19:19" x14ac:dyDescent="0.2">
      <c r="S55" s="311"/>
    </row>
    <row r="56" spans="19:19" x14ac:dyDescent="0.2">
      <c r="S56" s="311"/>
    </row>
    <row r="57" spans="19:19" x14ac:dyDescent="0.2">
      <c r="S57" s="311"/>
    </row>
    <row r="58" spans="19:19" x14ac:dyDescent="0.2">
      <c r="S58" s="311">
        <v>0.99085376997391561</v>
      </c>
    </row>
    <row r="59" spans="19:19" x14ac:dyDescent="0.2">
      <c r="S59" s="311"/>
    </row>
    <row r="60" spans="19:19" x14ac:dyDescent="0.2">
      <c r="S60" s="311"/>
    </row>
    <row r="61" spans="19:19" x14ac:dyDescent="0.2">
      <c r="S61" s="311"/>
    </row>
    <row r="62" spans="19:19" x14ac:dyDescent="0.2">
      <c r="S62" s="311"/>
    </row>
    <row r="63" spans="19:19" x14ac:dyDescent="0.2">
      <c r="S63" s="311"/>
    </row>
    <row r="64" spans="19:19" x14ac:dyDescent="0.2">
      <c r="S64" s="311"/>
    </row>
    <row r="65" spans="19:19" x14ac:dyDescent="0.2">
      <c r="S65" s="311"/>
    </row>
    <row r="66" spans="19:19" x14ac:dyDescent="0.2">
      <c r="S66" s="311"/>
    </row>
    <row r="67" spans="19:19" x14ac:dyDescent="0.2">
      <c r="S67" s="311"/>
    </row>
    <row r="68" spans="19:19" x14ac:dyDescent="0.2">
      <c r="S68" s="311"/>
    </row>
    <row r="69" spans="19:19" x14ac:dyDescent="0.2">
      <c r="S69" s="311"/>
    </row>
    <row r="70" spans="19:19" x14ac:dyDescent="0.2">
      <c r="S70" s="311">
        <v>0.97487231572525368</v>
      </c>
    </row>
    <row r="71" spans="19:19" x14ac:dyDescent="0.2">
      <c r="S71" s="311"/>
    </row>
    <row r="72" spans="19:19" x14ac:dyDescent="0.2">
      <c r="S72" s="311"/>
    </row>
    <row r="73" spans="19:19" x14ac:dyDescent="0.2">
      <c r="S73" s="311"/>
    </row>
    <row r="74" spans="19:19" x14ac:dyDescent="0.2">
      <c r="S74" s="311"/>
    </row>
    <row r="75" spans="19:19" x14ac:dyDescent="0.2">
      <c r="S75" s="311"/>
    </row>
    <row r="76" spans="19:19" x14ac:dyDescent="0.2">
      <c r="S76" s="311"/>
    </row>
    <row r="77" spans="19:19" x14ac:dyDescent="0.2">
      <c r="S77" s="311"/>
    </row>
    <row r="78" spans="19:19" x14ac:dyDescent="0.2">
      <c r="S78" s="311"/>
    </row>
    <row r="79" spans="19:19" x14ac:dyDescent="0.2">
      <c r="S79" s="311"/>
    </row>
    <row r="80" spans="19:19" x14ac:dyDescent="0.2">
      <c r="S80" s="311"/>
    </row>
    <row r="81" spans="19:19" x14ac:dyDescent="0.2">
      <c r="S81" s="311"/>
    </row>
    <row r="82" spans="19:19" x14ac:dyDescent="0.2">
      <c r="S82" s="311">
        <v>0.8136707662354199</v>
      </c>
    </row>
    <row r="83" spans="19:19" x14ac:dyDescent="0.2">
      <c r="S83" s="311"/>
    </row>
    <row r="84" spans="19:19" x14ac:dyDescent="0.2">
      <c r="S84" s="311"/>
    </row>
    <row r="85" spans="19:19" x14ac:dyDescent="0.2">
      <c r="S85" s="311"/>
    </row>
    <row r="86" spans="19:19" x14ac:dyDescent="0.2">
      <c r="S86" s="311"/>
    </row>
    <row r="87" spans="19:19" x14ac:dyDescent="0.2">
      <c r="S87" s="311"/>
    </row>
    <row r="88" spans="19:19" x14ac:dyDescent="0.2">
      <c r="S88" s="311"/>
    </row>
    <row r="89" spans="19:19" x14ac:dyDescent="0.2">
      <c r="S89" s="311"/>
    </row>
    <row r="90" spans="19:19" x14ac:dyDescent="0.2">
      <c r="S90" s="311"/>
    </row>
    <row r="91" spans="19:19" x14ac:dyDescent="0.2">
      <c r="S91" s="311"/>
    </row>
    <row r="92" spans="19:19" x14ac:dyDescent="0.2">
      <c r="S92" s="311"/>
    </row>
    <row r="93" spans="19:19" x14ac:dyDescent="0.2">
      <c r="S93" s="311"/>
    </row>
    <row r="94" spans="19:19" x14ac:dyDescent="0.2">
      <c r="S94" s="311">
        <v>0.85344458346795171</v>
      </c>
    </row>
    <row r="95" spans="19:19" x14ac:dyDescent="0.2">
      <c r="S95" s="311"/>
    </row>
    <row r="96" spans="19:19" x14ac:dyDescent="0.2">
      <c r="S96" s="311"/>
    </row>
    <row r="97" spans="19:19" x14ac:dyDescent="0.2">
      <c r="S97" s="311"/>
    </row>
    <row r="98" spans="19:19" x14ac:dyDescent="0.2">
      <c r="S98" s="311"/>
    </row>
    <row r="99" spans="19:19" x14ac:dyDescent="0.2">
      <c r="S99" s="311"/>
    </row>
    <row r="100" spans="19:19" x14ac:dyDescent="0.2">
      <c r="S100" s="311"/>
    </row>
    <row r="101" spans="19:19" x14ac:dyDescent="0.2">
      <c r="S101" s="311"/>
    </row>
    <row r="102" spans="19:19" x14ac:dyDescent="0.2">
      <c r="S102" s="311"/>
    </row>
    <row r="103" spans="19:19" x14ac:dyDescent="0.2">
      <c r="S103" s="311"/>
    </row>
    <row r="104" spans="19:19" x14ac:dyDescent="0.2">
      <c r="S104" s="311"/>
    </row>
    <row r="105" spans="19:19" x14ac:dyDescent="0.2">
      <c r="S105" s="311"/>
    </row>
    <row r="106" spans="19:19" x14ac:dyDescent="0.2">
      <c r="S106" s="311">
        <v>0.92355036841311156</v>
      </c>
    </row>
  </sheetData>
  <phoneticPr fontId="66" type="noConversion"/>
  <pageMargins left="0.75" right="0.75" top="1" bottom="1" header="0.5" footer="0.5"/>
  <pageSetup orientation="portrait" r:id="rId1"/>
  <headerFooter alignWithMargins="0"/>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autoPageBreaks="0"/>
  </sheetPr>
  <dimension ref="A1:AW187"/>
  <sheetViews>
    <sheetView zoomScale="85" zoomScaleNormal="85" zoomScaleSheetLayoutView="85" workbookViewId="0"/>
  </sheetViews>
  <sheetFormatPr defaultColWidth="12" defaultRowHeight="13.5" customHeight="1" outlineLevelCol="1" x14ac:dyDescent="0.2"/>
  <cols>
    <col min="1" max="1" width="36.1640625" customWidth="1"/>
    <col min="2" max="2" width="2" customWidth="1"/>
    <col min="3" max="4" width="12" customWidth="1"/>
    <col min="5" max="5" width="2" customWidth="1"/>
    <col min="6" max="7" width="10" customWidth="1"/>
    <col min="8" max="8" width="5.33203125" customWidth="1"/>
    <col min="9" max="9" width="12" customWidth="1"/>
    <col min="10" max="10" width="2" customWidth="1"/>
    <col min="11" max="12" width="10" customWidth="1"/>
    <col min="13" max="13" width="2.33203125" customWidth="1"/>
    <col min="14" max="14" width="12" customWidth="1"/>
    <col min="15" max="15" width="2.83203125" customWidth="1"/>
    <col min="16" max="16" width="26.83203125" customWidth="1"/>
    <col min="17" max="18" width="13.6640625" customWidth="1"/>
    <col min="19" max="19" width="1.83203125" customWidth="1"/>
    <col min="20" max="20" width="13.6640625" customWidth="1"/>
    <col min="21" max="21" width="2.33203125" customWidth="1"/>
    <col min="22" max="22" width="22" customWidth="1"/>
    <col min="23" max="23" width="9.6640625" hidden="1" customWidth="1" outlineLevel="1"/>
    <col min="24" max="24" width="2.1640625" hidden="1" customWidth="1" outlineLevel="1"/>
    <col min="25" max="25" width="9.6640625" hidden="1" customWidth="1" outlineLevel="1"/>
    <col min="26" max="26" width="2" hidden="1" customWidth="1" outlineLevel="1"/>
    <col min="27" max="27" width="9.6640625" customWidth="1" collapsed="1"/>
    <col min="28" max="28" width="1.5" customWidth="1"/>
    <col min="29" max="29" width="9.6640625" customWidth="1"/>
    <col min="30" max="30" width="2" customWidth="1"/>
    <col min="31" max="31" width="9.6640625" customWidth="1"/>
    <col min="32" max="32" width="1.5" customWidth="1"/>
    <col min="33" max="33" width="9.6640625" customWidth="1"/>
    <col min="34" max="34" width="2" customWidth="1"/>
    <col min="35" max="35" width="9.6640625" customWidth="1"/>
    <col min="36" max="36" width="1.5" customWidth="1"/>
    <col min="37" max="37" width="9.6640625" customWidth="1"/>
    <col min="38" max="38" width="2" customWidth="1"/>
    <col min="39" max="39" width="9.6640625" customWidth="1"/>
    <col min="40" max="40" width="1.5" customWidth="1"/>
    <col min="41" max="41" width="28" customWidth="1"/>
    <col min="42" max="42" width="12" bestFit="1" customWidth="1"/>
    <col min="43" max="43" width="1.83203125" customWidth="1"/>
    <col min="44" max="44" width="12.5" bestFit="1" customWidth="1"/>
    <col min="45" max="45" width="1.5" customWidth="1"/>
    <col min="46" max="53" width="12" customWidth="1"/>
    <col min="54" max="54" width="5.33203125" customWidth="1"/>
    <col min="55" max="55" width="18.5" customWidth="1"/>
  </cols>
  <sheetData>
    <row r="1" spans="1:45" ht="13.5" customHeight="1" x14ac:dyDescent="0.2">
      <c r="A1" s="362" t="s">
        <v>1490</v>
      </c>
      <c r="B1" s="346"/>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345"/>
      <c r="AG1" s="345"/>
      <c r="AH1" s="345"/>
      <c r="AI1" s="345"/>
      <c r="AJ1" s="345"/>
      <c r="AK1" s="345"/>
      <c r="AL1" s="345"/>
      <c r="AM1" s="345"/>
      <c r="AN1" s="345"/>
      <c r="AO1" s="345"/>
      <c r="AP1" s="345"/>
      <c r="AQ1" s="345"/>
      <c r="AR1" s="345"/>
      <c r="AS1" s="345"/>
    </row>
    <row r="2" spans="1:45" ht="13.5" customHeight="1" x14ac:dyDescent="0.2">
      <c r="A2" s="362" t="s">
        <v>1639</v>
      </c>
      <c r="B2" s="346"/>
      <c r="C2" s="619"/>
      <c r="D2" s="345"/>
      <c r="E2" s="345"/>
      <c r="F2" s="345"/>
      <c r="G2" s="345"/>
      <c r="H2" s="345"/>
      <c r="I2" s="619"/>
      <c r="J2" s="345"/>
      <c r="K2" s="345"/>
      <c r="L2" s="345"/>
      <c r="M2" s="345"/>
      <c r="N2" s="345"/>
      <c r="O2" s="345"/>
      <c r="P2" s="345"/>
      <c r="Q2" s="345"/>
      <c r="R2" s="345"/>
      <c r="S2" s="345"/>
      <c r="T2" s="345"/>
      <c r="U2" s="346"/>
      <c r="V2" s="345"/>
      <c r="W2" s="345"/>
      <c r="X2" s="345"/>
      <c r="Y2" s="345"/>
      <c r="Z2" s="345"/>
      <c r="AA2" s="345"/>
      <c r="AB2" s="345"/>
      <c r="AC2" s="345"/>
      <c r="AD2" s="345"/>
      <c r="AE2" s="345"/>
      <c r="AF2" s="345"/>
      <c r="AG2" s="345"/>
      <c r="AH2" s="345"/>
      <c r="AI2" s="345"/>
      <c r="AJ2" s="345"/>
      <c r="AK2" s="345"/>
      <c r="AL2" s="345"/>
      <c r="AM2" s="345"/>
      <c r="AN2" s="345"/>
      <c r="AO2" s="345"/>
      <c r="AP2" s="345"/>
      <c r="AQ2" s="345"/>
      <c r="AR2" s="345"/>
      <c r="AS2" s="345"/>
    </row>
    <row r="3" spans="1:45" ht="13.5" customHeight="1" x14ac:dyDescent="0.2">
      <c r="A3" s="346"/>
      <c r="B3" s="346"/>
      <c r="C3" s="346"/>
      <c r="D3" s="346"/>
      <c r="E3" s="346"/>
      <c r="F3" s="346"/>
      <c r="G3" s="346"/>
      <c r="H3" s="346"/>
      <c r="I3" s="346"/>
      <c r="J3" s="346"/>
      <c r="K3" s="346"/>
      <c r="L3" s="346"/>
      <c r="M3" s="346"/>
      <c r="N3" s="345"/>
      <c r="O3" s="345"/>
      <c r="P3" s="345"/>
      <c r="Q3" s="345"/>
      <c r="R3" s="345"/>
      <c r="S3" s="345"/>
      <c r="T3" s="345"/>
      <c r="U3" s="346"/>
      <c r="V3" s="345"/>
      <c r="W3" s="345"/>
      <c r="X3" s="345"/>
      <c r="Y3" s="345"/>
      <c r="Z3" s="345"/>
      <c r="AA3" s="345"/>
      <c r="AB3" s="345"/>
      <c r="AC3" s="345"/>
      <c r="AD3" s="345"/>
      <c r="AE3" s="345"/>
      <c r="AF3" s="345"/>
      <c r="AG3" s="345"/>
      <c r="AH3" s="345"/>
      <c r="AI3" s="345"/>
      <c r="AJ3" s="345"/>
      <c r="AK3" s="345"/>
      <c r="AL3" s="345"/>
      <c r="AM3" s="345"/>
      <c r="AN3" s="345"/>
      <c r="AO3" s="345"/>
      <c r="AP3" s="345"/>
      <c r="AQ3" s="345"/>
      <c r="AR3" s="345"/>
      <c r="AS3" s="345"/>
    </row>
    <row r="4" spans="1:45" ht="13.5" customHeight="1" x14ac:dyDescent="0.2">
      <c r="A4" s="275" t="s">
        <v>91</v>
      </c>
      <c r="B4" s="346"/>
      <c r="C4" s="346"/>
      <c r="D4" s="346"/>
      <c r="E4" s="346"/>
      <c r="F4" s="346"/>
      <c r="G4" s="346"/>
      <c r="H4" s="346"/>
      <c r="I4" s="346"/>
      <c r="J4" s="346"/>
      <c r="K4" s="346"/>
      <c r="L4" s="346"/>
      <c r="M4" s="346"/>
      <c r="N4" s="345"/>
      <c r="O4" s="345"/>
      <c r="P4" s="345"/>
      <c r="Q4" s="345"/>
      <c r="R4" s="345"/>
      <c r="S4" s="345"/>
      <c r="T4" s="345"/>
      <c r="U4" s="346"/>
      <c r="V4" s="345"/>
      <c r="W4" s="345"/>
      <c r="X4" s="345"/>
      <c r="Y4" s="345"/>
      <c r="Z4" s="345"/>
      <c r="AA4" s="345"/>
      <c r="AB4" s="345"/>
      <c r="AC4" s="345"/>
      <c r="AD4" s="345"/>
      <c r="AE4" s="345"/>
      <c r="AF4" s="345"/>
      <c r="AG4" s="345"/>
      <c r="AH4" s="345"/>
      <c r="AI4" s="345"/>
      <c r="AJ4" s="345"/>
      <c r="AK4" s="345"/>
      <c r="AL4" s="345"/>
      <c r="AM4" s="345"/>
      <c r="AN4" s="345"/>
      <c r="AO4" s="345"/>
      <c r="AP4" s="345"/>
      <c r="AQ4" s="345"/>
      <c r="AR4" s="345"/>
      <c r="AS4" s="345"/>
    </row>
    <row r="5" spans="1:45" ht="13.5" customHeight="1" x14ac:dyDescent="0.2">
      <c r="A5" s="418"/>
      <c r="B5" s="418"/>
      <c r="C5" s="815" t="s">
        <v>1149</v>
      </c>
      <c r="D5" s="815"/>
      <c r="E5" s="815"/>
      <c r="F5" s="815"/>
      <c r="G5" s="815"/>
      <c r="H5" s="374"/>
      <c r="I5" s="815" t="s">
        <v>1755</v>
      </c>
      <c r="J5" s="815"/>
      <c r="K5" s="815"/>
      <c r="L5" s="815"/>
      <c r="M5" s="346"/>
      <c r="N5" s="1143" t="s">
        <v>1141</v>
      </c>
      <c r="O5" s="347"/>
      <c r="P5" s="345"/>
      <c r="Q5" s="345"/>
      <c r="R5" s="345"/>
      <c r="S5" s="345"/>
      <c r="T5" s="345"/>
      <c r="U5" s="346"/>
      <c r="V5" s="345"/>
      <c r="W5" s="345"/>
      <c r="X5" s="345"/>
      <c r="Y5" s="345"/>
      <c r="Z5" s="345"/>
      <c r="AA5" s="345"/>
      <c r="AB5" s="345"/>
      <c r="AC5" s="345"/>
      <c r="AD5" s="345"/>
      <c r="AE5" s="345"/>
      <c r="AF5" s="345"/>
      <c r="AG5" s="345"/>
      <c r="AH5" s="345"/>
      <c r="AI5" s="345"/>
      <c r="AJ5" s="345"/>
      <c r="AK5" s="345"/>
      <c r="AL5" s="345"/>
      <c r="AM5" s="345"/>
      <c r="AN5" s="345"/>
      <c r="AO5" s="345"/>
      <c r="AP5" s="345"/>
      <c r="AQ5" s="345"/>
      <c r="AR5" s="345"/>
      <c r="AS5" s="345"/>
    </row>
    <row r="6" spans="1:45" ht="13.5" customHeight="1" x14ac:dyDescent="0.2">
      <c r="A6" s="418"/>
      <c r="B6" s="418"/>
      <c r="C6" s="822"/>
      <c r="D6" s="418"/>
      <c r="E6" s="418"/>
      <c r="F6" s="815" t="s">
        <v>241</v>
      </c>
      <c r="G6" s="815"/>
      <c r="H6" s="418"/>
      <c r="I6" s="822"/>
      <c r="J6" s="418"/>
      <c r="K6" s="1376" t="s">
        <v>241</v>
      </c>
      <c r="L6" s="1376"/>
      <c r="M6" s="346"/>
      <c r="N6" s="345"/>
      <c r="O6" s="345"/>
      <c r="P6" s="345"/>
      <c r="Q6" s="345"/>
      <c r="R6" s="345"/>
      <c r="S6" s="345"/>
      <c r="T6" s="345"/>
      <c r="U6" s="346"/>
      <c r="V6" s="345"/>
      <c r="W6" s="345"/>
      <c r="X6" s="345"/>
      <c r="Y6" s="345"/>
      <c r="Z6" s="345"/>
      <c r="AA6" s="345"/>
      <c r="AB6" s="345"/>
      <c r="AC6" s="345"/>
      <c r="AD6" s="345"/>
      <c r="AE6" s="345"/>
      <c r="AF6" s="345"/>
      <c r="AG6" s="345"/>
      <c r="AH6" s="345"/>
      <c r="AI6" s="345"/>
      <c r="AJ6" s="345"/>
      <c r="AK6" s="345"/>
      <c r="AL6" s="345"/>
      <c r="AM6" s="345"/>
      <c r="AN6" s="345"/>
      <c r="AO6" s="345"/>
      <c r="AP6" s="345"/>
      <c r="AQ6" s="345"/>
      <c r="AR6" s="345"/>
      <c r="AS6" s="345"/>
    </row>
    <row r="7" spans="1:45" ht="13.5" customHeight="1" x14ac:dyDescent="0.2">
      <c r="A7" s="418"/>
      <c r="B7" s="418"/>
      <c r="C7" s="1127" t="s">
        <v>287</v>
      </c>
      <c r="D7" s="1126" t="s">
        <v>644</v>
      </c>
      <c r="E7" s="456"/>
      <c r="F7" s="1126" t="s">
        <v>1756</v>
      </c>
      <c r="G7" s="1126" t="s">
        <v>575</v>
      </c>
      <c r="H7" s="418"/>
      <c r="I7" s="1127" t="s">
        <v>39</v>
      </c>
      <c r="J7" s="456"/>
      <c r="K7" s="1126" t="s">
        <v>1756</v>
      </c>
      <c r="L7" s="1126" t="s">
        <v>575</v>
      </c>
      <c r="M7" s="347"/>
      <c r="N7" s="347"/>
      <c r="O7" s="347"/>
      <c r="P7" s="347"/>
      <c r="Q7" s="347"/>
      <c r="R7" s="347"/>
      <c r="S7" s="347"/>
      <c r="T7" s="347"/>
      <c r="U7" s="346"/>
      <c r="V7" s="345"/>
      <c r="W7" s="345"/>
      <c r="X7" s="345"/>
      <c r="Y7" s="345"/>
      <c r="Z7" s="345"/>
      <c r="AA7" s="345"/>
      <c r="AB7" s="345"/>
      <c r="AC7" s="345"/>
      <c r="AD7" s="345"/>
      <c r="AE7" s="345"/>
      <c r="AF7" s="345"/>
      <c r="AG7" s="345"/>
      <c r="AH7" s="345"/>
      <c r="AI7" s="345"/>
      <c r="AJ7" s="345"/>
      <c r="AK7" s="345"/>
      <c r="AL7" s="345"/>
      <c r="AM7" s="345"/>
      <c r="AN7" s="345"/>
      <c r="AO7" s="345"/>
      <c r="AP7" s="345"/>
      <c r="AQ7" s="345"/>
      <c r="AR7" s="345"/>
      <c r="AS7" s="345"/>
    </row>
    <row r="8" spans="1:45" ht="13.5" customHeight="1" x14ac:dyDescent="0.2">
      <c r="A8" s="362" t="s">
        <v>125</v>
      </c>
      <c r="B8" s="346"/>
      <c r="C8" s="348"/>
      <c r="D8" s="346"/>
      <c r="E8" s="346"/>
      <c r="F8" s="346"/>
      <c r="G8" s="346"/>
      <c r="H8" s="346"/>
      <c r="I8" s="348"/>
      <c r="J8" s="346"/>
      <c r="K8" s="346"/>
      <c r="L8" s="346"/>
      <c r="M8" s="346"/>
      <c r="N8" s="345"/>
      <c r="O8" s="345"/>
      <c r="P8" s="345"/>
      <c r="Q8" s="345"/>
      <c r="R8" s="345"/>
      <c r="S8" s="345"/>
      <c r="T8" s="345"/>
      <c r="U8" s="346"/>
      <c r="V8" s="345"/>
      <c r="W8" s="345"/>
      <c r="X8" s="345"/>
      <c r="Y8" s="345"/>
      <c r="Z8" s="345"/>
      <c r="AA8" s="345"/>
      <c r="AB8" s="345"/>
      <c r="AC8" s="345"/>
      <c r="AD8" s="345"/>
      <c r="AE8" s="345"/>
      <c r="AF8" s="345"/>
      <c r="AG8" s="345"/>
      <c r="AH8" s="345"/>
      <c r="AI8" s="345"/>
      <c r="AJ8" s="345"/>
      <c r="AK8" s="345"/>
      <c r="AL8" s="345"/>
      <c r="AM8" s="345"/>
      <c r="AN8" s="345"/>
      <c r="AO8" s="345"/>
      <c r="AP8" s="345"/>
      <c r="AQ8" s="345"/>
      <c r="AR8" s="345"/>
      <c r="AS8" s="345"/>
    </row>
    <row r="9" spans="1:45" ht="13.5" customHeight="1" x14ac:dyDescent="0.2">
      <c r="A9" s="865" t="s">
        <v>1594</v>
      </c>
      <c r="B9" s="346"/>
      <c r="C9" s="1128">
        <f>C52</f>
        <v>300</v>
      </c>
      <c r="D9" s="349">
        <f>MAR!BL10</f>
        <v>279</v>
      </c>
      <c r="E9" s="349"/>
      <c r="F9" s="349">
        <f>C9-D9</f>
        <v>21</v>
      </c>
      <c r="G9" s="354">
        <f>IF(D9=0,0,C9/D9-1)</f>
        <v>7.5268817204301008E-2</v>
      </c>
      <c r="H9" s="346"/>
      <c r="I9" s="1128">
        <v>50</v>
      </c>
      <c r="J9" s="349"/>
      <c r="K9" s="349">
        <f>C9-I9</f>
        <v>250</v>
      </c>
      <c r="L9" s="1289">
        <f>IF(I9=0,"NM",C9/I9-1)</f>
        <v>5</v>
      </c>
      <c r="M9" s="346"/>
      <c r="N9" s="345"/>
      <c r="O9" s="345"/>
      <c r="P9" s="345"/>
      <c r="Q9" s="345"/>
      <c r="R9" s="345"/>
      <c r="S9" s="345"/>
      <c r="T9" s="345"/>
      <c r="U9" s="346"/>
      <c r="V9" s="345"/>
      <c r="W9" s="345"/>
      <c r="X9" s="345"/>
      <c r="Y9" s="345"/>
      <c r="Z9" s="345"/>
      <c r="AA9" s="345"/>
      <c r="AB9" s="345"/>
      <c r="AC9" s="345"/>
      <c r="AD9" s="345"/>
      <c r="AE9" s="345"/>
      <c r="AF9" s="345"/>
      <c r="AG9" s="345"/>
      <c r="AH9" s="345"/>
      <c r="AI9" s="345"/>
      <c r="AJ9" s="345"/>
      <c r="AK9" s="345"/>
      <c r="AL9" s="345"/>
      <c r="AM9" s="345"/>
      <c r="AN9" s="345"/>
      <c r="AO9" s="345"/>
      <c r="AP9" s="345"/>
      <c r="AQ9" s="345"/>
      <c r="AR9" s="345"/>
      <c r="AS9" s="345"/>
    </row>
    <row r="10" spans="1:45" ht="13.5" customHeight="1" x14ac:dyDescent="0.2">
      <c r="A10" s="865" t="s">
        <v>734</v>
      </c>
      <c r="B10" s="346"/>
      <c r="C10" s="510">
        <v>217</v>
      </c>
      <c r="D10" s="352">
        <f>MAR!BL11</f>
        <v>224</v>
      </c>
      <c r="E10" s="353"/>
      <c r="F10" s="352">
        <f>C10-D10</f>
        <v>-7</v>
      </c>
      <c r="G10" s="354">
        <f>IF(D10=0,0,C10/D10-1)</f>
        <v>-3.125E-2</v>
      </c>
      <c r="H10" s="349"/>
      <c r="I10" s="351">
        <v>300</v>
      </c>
      <c r="J10" s="350"/>
      <c r="K10" s="352">
        <f>C10-I10</f>
        <v>-83</v>
      </c>
      <c r="L10" s="1289">
        <f>IF(I10=0,"NM",C10/I10-1)</f>
        <v>-0.27666666666666662</v>
      </c>
      <c r="M10" s="346"/>
      <c r="N10" s="345"/>
      <c r="O10" s="345"/>
      <c r="P10" s="345"/>
      <c r="Q10" s="345"/>
      <c r="R10" s="345"/>
      <c r="S10" s="345"/>
      <c r="T10" s="345"/>
      <c r="U10" s="346"/>
      <c r="V10" s="345"/>
      <c r="W10" s="345"/>
      <c r="X10" s="345"/>
      <c r="Y10" s="345"/>
      <c r="Z10" s="345"/>
      <c r="AA10" s="345"/>
      <c r="AB10" s="345"/>
      <c r="AC10" s="345"/>
      <c r="AD10" s="345"/>
      <c r="AE10" s="345"/>
      <c r="AF10" s="345"/>
      <c r="AG10" s="345"/>
      <c r="AH10" s="345"/>
      <c r="AI10" s="345"/>
      <c r="AJ10" s="345"/>
      <c r="AK10" s="345"/>
      <c r="AL10" s="345"/>
      <c r="AM10" s="345"/>
      <c r="AN10" s="345"/>
      <c r="AO10" s="345"/>
      <c r="AP10" s="345"/>
      <c r="AQ10" s="345"/>
      <c r="AR10" s="345"/>
      <c r="AS10" s="345"/>
    </row>
    <row r="11" spans="1:45" ht="13.5" customHeight="1" x14ac:dyDescent="0.2">
      <c r="A11" s="355" t="s">
        <v>732</v>
      </c>
      <c r="B11" s="356"/>
      <c r="C11" s="614">
        <f>SUM(C9:C10)</f>
        <v>517</v>
      </c>
      <c r="D11" s="489">
        <f>SUM(D9:D10)</f>
        <v>503</v>
      </c>
      <c r="E11" s="489"/>
      <c r="F11" s="489">
        <f>SUM(F10:F10)</f>
        <v>-7</v>
      </c>
      <c r="G11" s="358">
        <f>IF(D11=0,0,C11/D11-1)</f>
        <v>2.7833001988071482E-2</v>
      </c>
      <c r="H11" s="359"/>
      <c r="I11" s="614">
        <f>SUM(I9:I10)</f>
        <v>350</v>
      </c>
      <c r="J11" s="357"/>
      <c r="K11" s="489">
        <f>SUM(K9:K10)</f>
        <v>167</v>
      </c>
      <c r="L11" s="360">
        <f>C11/I11-1</f>
        <v>0.47714285714285709</v>
      </c>
      <c r="M11" s="346"/>
      <c r="N11" s="346"/>
      <c r="O11" s="346"/>
      <c r="P11" s="346"/>
      <c r="Q11" s="346"/>
      <c r="R11" s="346"/>
      <c r="S11" s="346"/>
      <c r="T11" s="346"/>
      <c r="U11" s="346"/>
      <c r="V11" s="345"/>
      <c r="W11" s="345"/>
      <c r="X11" s="345"/>
      <c r="Y11" s="345"/>
      <c r="Z11" s="345"/>
      <c r="AA11" s="345"/>
      <c r="AB11" s="345"/>
      <c r="AC11" s="345"/>
      <c r="AD11" s="345"/>
      <c r="AE11" s="345"/>
      <c r="AF11" s="345"/>
      <c r="AG11" s="345"/>
      <c r="AH11" s="345"/>
      <c r="AI11" s="345"/>
      <c r="AJ11" s="345"/>
      <c r="AK11" s="345"/>
      <c r="AL11" s="345"/>
      <c r="AM11" s="345"/>
      <c r="AN11" s="345"/>
      <c r="AO11" s="345"/>
      <c r="AP11" s="345"/>
      <c r="AQ11" s="345"/>
      <c r="AR11" s="345"/>
      <c r="AS11" s="345"/>
    </row>
    <row r="12" spans="1:45" ht="13.5" customHeight="1" x14ac:dyDescent="0.2">
      <c r="A12" s="346"/>
      <c r="B12" s="346"/>
      <c r="C12" s="351"/>
      <c r="D12" s="352"/>
      <c r="E12" s="352"/>
      <c r="F12" s="352"/>
      <c r="G12" s="361"/>
      <c r="H12" s="346"/>
      <c r="I12" s="351"/>
      <c r="J12" s="346"/>
      <c r="K12" s="352"/>
      <c r="L12" s="1290"/>
      <c r="M12" s="346"/>
      <c r="N12" s="346"/>
      <c r="O12" s="346"/>
      <c r="P12" s="346"/>
      <c r="Q12" s="346"/>
      <c r="R12" s="346"/>
      <c r="S12" s="346"/>
      <c r="T12" s="346"/>
      <c r="U12" s="346"/>
      <c r="V12" s="345"/>
      <c r="W12" s="345"/>
      <c r="X12" s="345"/>
      <c r="Y12" s="345"/>
      <c r="Z12" s="345"/>
      <c r="AA12" s="345"/>
      <c r="AB12" s="345"/>
      <c r="AC12" s="345"/>
      <c r="AD12" s="345"/>
      <c r="AE12" s="345"/>
      <c r="AF12" s="345"/>
      <c r="AG12" s="345"/>
      <c r="AH12" s="345"/>
      <c r="AI12" s="345"/>
      <c r="AJ12" s="345"/>
      <c r="AK12" s="345"/>
      <c r="AL12" s="345"/>
      <c r="AM12" s="345"/>
      <c r="AN12" s="345"/>
      <c r="AO12" s="345"/>
      <c r="AP12" s="345"/>
      <c r="AQ12" s="345"/>
      <c r="AR12" s="345"/>
      <c r="AS12" s="345"/>
    </row>
    <row r="13" spans="1:45" ht="13.5" customHeight="1" x14ac:dyDescent="0.2">
      <c r="A13" s="362" t="s">
        <v>1913</v>
      </c>
      <c r="B13" s="346"/>
      <c r="C13" s="351"/>
      <c r="D13" s="352"/>
      <c r="E13" s="352"/>
      <c r="F13" s="352"/>
      <c r="G13" s="361"/>
      <c r="H13" s="346"/>
      <c r="I13" s="351"/>
      <c r="J13" s="346"/>
      <c r="K13" s="352"/>
      <c r="L13" s="1290"/>
      <c r="M13" s="346"/>
      <c r="N13" s="346"/>
      <c r="O13" s="346"/>
      <c r="P13" s="346"/>
      <c r="Q13" s="346"/>
      <c r="R13" s="346"/>
      <c r="S13" s="346"/>
      <c r="T13" s="346"/>
      <c r="U13" s="346"/>
      <c r="V13" s="345"/>
      <c r="W13" s="345"/>
      <c r="X13" s="345"/>
      <c r="Y13" s="345"/>
      <c r="Z13" s="345"/>
      <c r="AA13" s="345"/>
      <c r="AB13" s="345"/>
      <c r="AC13" s="345"/>
      <c r="AD13" s="345"/>
      <c r="AE13" s="345"/>
      <c r="AF13" s="345"/>
      <c r="AG13" s="345"/>
      <c r="AH13" s="345"/>
      <c r="AI13" s="345"/>
      <c r="AJ13" s="345"/>
      <c r="AK13" s="345"/>
      <c r="AL13" s="345"/>
      <c r="AM13" s="345"/>
      <c r="AN13" s="345"/>
      <c r="AO13" s="345"/>
      <c r="AP13" s="345"/>
      <c r="AQ13" s="345"/>
      <c r="AR13" s="345"/>
      <c r="AS13" s="345"/>
    </row>
    <row r="14" spans="1:45" ht="13.5" customHeight="1" x14ac:dyDescent="0.2">
      <c r="A14" s="896" t="s">
        <v>733</v>
      </c>
      <c r="B14" s="346"/>
      <c r="C14" s="510">
        <v>195</v>
      </c>
      <c r="D14" s="352">
        <f>MAR!BL26</f>
        <v>204</v>
      </c>
      <c r="E14" s="352"/>
      <c r="F14" s="352">
        <f>C14-D14</f>
        <v>-9</v>
      </c>
      <c r="G14" s="354">
        <f>IF(D14=0,0,C14/D14-1)</f>
        <v>-4.4117647058823484E-2</v>
      </c>
      <c r="H14" s="346"/>
      <c r="I14" s="351">
        <v>0</v>
      </c>
      <c r="J14" s="346"/>
      <c r="K14" s="352">
        <f>C14-I14</f>
        <v>195</v>
      </c>
      <c r="L14" s="1289" t="str">
        <f>IF(I14=0,"NM",C14/I14-1)</f>
        <v>NM</v>
      </c>
      <c r="M14" s="346"/>
      <c r="N14" s="346"/>
      <c r="O14" s="346"/>
      <c r="P14" s="346"/>
      <c r="Q14" s="346"/>
      <c r="R14" s="346"/>
      <c r="S14" s="346"/>
      <c r="T14" s="346"/>
      <c r="U14" s="346"/>
      <c r="V14" s="345"/>
      <c r="W14" s="345"/>
      <c r="X14" s="345"/>
      <c r="Y14" s="345"/>
      <c r="Z14" s="345"/>
      <c r="AA14" s="345"/>
      <c r="AB14" s="345"/>
      <c r="AC14" s="345"/>
      <c r="AD14" s="345"/>
      <c r="AE14" s="345"/>
      <c r="AF14" s="345"/>
      <c r="AG14" s="345"/>
      <c r="AH14" s="345"/>
      <c r="AI14" s="345"/>
      <c r="AJ14" s="345"/>
      <c r="AK14" s="345"/>
      <c r="AL14" s="345"/>
      <c r="AM14" s="345"/>
      <c r="AN14" s="345"/>
      <c r="AO14" s="345"/>
      <c r="AP14" s="345"/>
      <c r="AQ14" s="345"/>
      <c r="AR14" s="345"/>
      <c r="AS14" s="345"/>
    </row>
    <row r="15" spans="1:45" ht="13.5" customHeight="1" x14ac:dyDescent="0.2">
      <c r="A15" s="896" t="s">
        <v>736</v>
      </c>
      <c r="B15" s="346"/>
      <c r="C15" s="510">
        <v>147</v>
      </c>
      <c r="D15" s="352">
        <f>+MAR!BL29</f>
        <v>141</v>
      </c>
      <c r="E15" s="352"/>
      <c r="F15" s="352">
        <f>C15-D15</f>
        <v>6</v>
      </c>
      <c r="G15" s="354">
        <f>IF(D15=0,0,C15/D15-1)</f>
        <v>4.2553191489361764E-2</v>
      </c>
      <c r="H15" s="346"/>
      <c r="I15" s="351">
        <v>1.9984012789768135E-2</v>
      </c>
      <c r="J15" s="346"/>
      <c r="K15" s="352">
        <f>C15-I15</f>
        <v>146.98001598721024</v>
      </c>
      <c r="L15" s="1289">
        <f>IF(I15=0,"NM",C15/I15-1)</f>
        <v>7354.8800000000183</v>
      </c>
      <c r="M15" s="346"/>
      <c r="N15" s="346"/>
      <c r="O15" s="346"/>
      <c r="P15" s="346"/>
      <c r="Q15" s="346"/>
      <c r="R15" s="346"/>
      <c r="S15" s="346"/>
      <c r="T15" s="346"/>
      <c r="U15" s="346"/>
      <c r="V15" s="345"/>
      <c r="W15" s="345"/>
      <c r="X15" s="345"/>
      <c r="Y15" s="345"/>
      <c r="Z15" s="345"/>
      <c r="AA15" s="345"/>
      <c r="AB15" s="345"/>
      <c r="AC15" s="345"/>
      <c r="AD15" s="345"/>
      <c r="AE15" s="345"/>
      <c r="AF15" s="345"/>
      <c r="AG15" s="345"/>
      <c r="AH15" s="345"/>
      <c r="AI15" s="345"/>
      <c r="AJ15" s="345"/>
      <c r="AK15" s="345"/>
      <c r="AL15" s="345"/>
      <c r="AM15" s="345"/>
      <c r="AN15" s="345"/>
      <c r="AO15" s="345"/>
      <c r="AP15" s="345"/>
      <c r="AQ15" s="345"/>
      <c r="AR15" s="345"/>
      <c r="AS15" s="345"/>
    </row>
    <row r="16" spans="1:45" ht="13.5" customHeight="1" x14ac:dyDescent="0.2">
      <c r="A16" s="896" t="s">
        <v>2247</v>
      </c>
      <c r="B16" s="346"/>
      <c r="C16" s="351">
        <f>-C20</f>
        <v>-29</v>
      </c>
      <c r="D16" s="352"/>
      <c r="E16" s="352"/>
      <c r="F16" s="352"/>
      <c r="G16" s="354"/>
      <c r="H16" s="346"/>
      <c r="I16" s="351"/>
      <c r="J16" s="346"/>
      <c r="K16" s="352"/>
      <c r="L16" s="1289"/>
      <c r="M16" s="346"/>
      <c r="N16" s="346"/>
      <c r="O16" s="346"/>
      <c r="P16" s="346"/>
      <c r="Q16" s="346"/>
      <c r="R16" s="346"/>
      <c r="S16" s="346"/>
      <c r="T16" s="346"/>
      <c r="U16" s="346"/>
      <c r="V16" s="345"/>
      <c r="W16" s="345"/>
      <c r="X16" s="345"/>
      <c r="Y16" s="345"/>
      <c r="Z16" s="345"/>
      <c r="AA16" s="345"/>
      <c r="AB16" s="345"/>
      <c r="AC16" s="345"/>
      <c r="AD16" s="345"/>
      <c r="AE16" s="345"/>
      <c r="AF16" s="345"/>
      <c r="AG16" s="345"/>
      <c r="AH16" s="345"/>
      <c r="AI16" s="345"/>
      <c r="AJ16" s="345"/>
      <c r="AK16" s="345"/>
      <c r="AL16" s="345"/>
      <c r="AM16" s="345"/>
      <c r="AN16" s="345"/>
      <c r="AO16" s="345"/>
      <c r="AP16" s="345"/>
      <c r="AQ16" s="345"/>
      <c r="AR16" s="345"/>
      <c r="AS16" s="345"/>
    </row>
    <row r="17" spans="1:45" ht="13.5" customHeight="1" x14ac:dyDescent="0.2">
      <c r="A17" s="355" t="s">
        <v>1913</v>
      </c>
      <c r="B17" s="356"/>
      <c r="C17" s="614">
        <f>SUM(C14:C16)</f>
        <v>313</v>
      </c>
      <c r="D17" s="489"/>
      <c r="E17" s="488"/>
      <c r="F17" s="357"/>
      <c r="G17" s="358"/>
      <c r="H17" s="359"/>
      <c r="I17" s="614">
        <f>SUM(I14:I16)</f>
        <v>1.9984012789768135E-2</v>
      </c>
      <c r="J17" s="357"/>
      <c r="K17" s="357">
        <f>SUM(K14:K16)</f>
        <v>341.98001598721021</v>
      </c>
      <c r="L17" s="360">
        <f>C17/I17-1</f>
        <v>15661.520000000039</v>
      </c>
      <c r="M17" s="346"/>
      <c r="N17" s="346"/>
      <c r="O17" s="346"/>
      <c r="P17" s="346"/>
      <c r="Q17" s="346"/>
      <c r="R17" s="346"/>
      <c r="S17" s="346"/>
      <c r="T17" s="346"/>
      <c r="U17" s="346"/>
      <c r="V17" s="345"/>
      <c r="W17" s="345"/>
      <c r="X17" s="345"/>
      <c r="Y17" s="345"/>
      <c r="Z17" s="345"/>
      <c r="AA17" s="345"/>
      <c r="AB17" s="345"/>
      <c r="AC17" s="345"/>
      <c r="AD17" s="345"/>
      <c r="AE17" s="345"/>
      <c r="AF17" s="345"/>
      <c r="AG17" s="345"/>
      <c r="AH17" s="345"/>
      <c r="AI17" s="345"/>
      <c r="AJ17" s="345"/>
      <c r="AK17" s="345"/>
      <c r="AL17" s="345"/>
      <c r="AM17" s="345"/>
      <c r="AN17" s="345"/>
      <c r="AO17" s="345"/>
      <c r="AP17" s="345"/>
      <c r="AQ17" s="345"/>
      <c r="AR17" s="345"/>
      <c r="AS17" s="345"/>
    </row>
    <row r="18" spans="1:45" ht="13.5" customHeight="1" x14ac:dyDescent="0.2">
      <c r="A18" s="896"/>
      <c r="B18" s="346"/>
      <c r="C18" s="351"/>
      <c r="D18" s="352"/>
      <c r="E18" s="346"/>
      <c r="F18" s="346"/>
      <c r="G18" s="361"/>
      <c r="H18" s="346"/>
      <c r="I18" s="351"/>
      <c r="J18" s="346"/>
      <c r="K18" s="346"/>
      <c r="L18" s="1290"/>
      <c r="M18" s="346"/>
      <c r="N18" s="346"/>
      <c r="O18" s="346"/>
      <c r="P18" s="346"/>
      <c r="Q18" s="346"/>
      <c r="R18" s="346"/>
      <c r="S18" s="346"/>
      <c r="T18" s="346"/>
      <c r="U18" s="346"/>
      <c r="V18" s="345"/>
      <c r="W18" s="345"/>
      <c r="X18" s="345"/>
      <c r="Y18" s="345"/>
      <c r="Z18" s="345"/>
      <c r="AA18" s="345"/>
      <c r="AB18" s="345"/>
      <c r="AC18" s="345"/>
      <c r="AD18" s="345"/>
      <c r="AE18" s="345"/>
      <c r="AF18" s="345"/>
      <c r="AG18" s="345"/>
      <c r="AH18" s="345"/>
      <c r="AI18" s="345"/>
      <c r="AJ18" s="345"/>
      <c r="AK18" s="345"/>
      <c r="AL18" s="345"/>
      <c r="AM18" s="345"/>
      <c r="AN18" s="345"/>
      <c r="AO18" s="345"/>
      <c r="AP18" s="345"/>
      <c r="AQ18" s="345"/>
      <c r="AR18" s="345"/>
      <c r="AS18" s="345"/>
    </row>
    <row r="19" spans="1:45" ht="13.5" customHeight="1" x14ac:dyDescent="0.2">
      <c r="A19" s="331" t="s">
        <v>1863</v>
      </c>
      <c r="B19" s="1130"/>
      <c r="C19" s="614">
        <f>C11-C17</f>
        <v>204</v>
      </c>
      <c r="D19" s="489">
        <f>D11-D17</f>
        <v>503</v>
      </c>
      <c r="E19" s="1130"/>
      <c r="F19" s="489">
        <f>C19-D19</f>
        <v>-299</v>
      </c>
      <c r="G19" s="358">
        <f>IF(D19=0,0,C19/D19-1)</f>
        <v>-0.59443339960238561</v>
      </c>
      <c r="H19" s="1130"/>
      <c r="I19" s="614">
        <f>I11-I17</f>
        <v>349.98001598721021</v>
      </c>
      <c r="J19" s="1130"/>
      <c r="K19" s="489">
        <f>C19-I19</f>
        <v>-145.98001598721021</v>
      </c>
      <c r="L19" s="360">
        <f>IF(I19=0,"NM",C19/I19-1)</f>
        <v>-0.4171095757437332</v>
      </c>
      <c r="M19" s="362"/>
      <c r="N19" s="362"/>
      <c r="O19" s="362"/>
      <c r="P19" s="362"/>
      <c r="Q19" s="362"/>
      <c r="R19" s="362"/>
      <c r="S19" s="362"/>
      <c r="T19" s="362"/>
      <c r="U19" s="362"/>
      <c r="V19" s="344"/>
      <c r="W19" s="344"/>
      <c r="X19" s="344"/>
      <c r="Y19" s="344"/>
      <c r="Z19" s="344"/>
      <c r="AA19" s="344"/>
      <c r="AB19" s="344"/>
      <c r="AC19" s="344"/>
      <c r="AD19" s="344"/>
      <c r="AE19" s="344"/>
      <c r="AF19" s="344"/>
      <c r="AG19" s="344"/>
      <c r="AH19" s="344"/>
      <c r="AI19" s="344"/>
      <c r="AJ19" s="344"/>
      <c r="AK19" s="344"/>
      <c r="AL19" s="344"/>
      <c r="AM19" s="344"/>
      <c r="AN19" s="344"/>
      <c r="AO19" s="344"/>
      <c r="AP19" s="344"/>
      <c r="AQ19" s="344"/>
      <c r="AR19" s="344"/>
      <c r="AS19" s="344"/>
    </row>
    <row r="20" spans="1:45" ht="13.5" customHeight="1" x14ac:dyDescent="0.2">
      <c r="A20" s="1224" t="s">
        <v>2248</v>
      </c>
      <c r="B20" s="1132"/>
      <c r="C20" s="1413">
        <v>29</v>
      </c>
      <c r="D20" s="1134"/>
      <c r="E20" s="1132"/>
      <c r="F20" s="1134"/>
      <c r="G20" s="1135"/>
      <c r="H20" s="1132"/>
      <c r="I20" s="1133" t="s">
        <v>102</v>
      </c>
      <c r="J20" s="1132"/>
      <c r="K20" s="1134"/>
      <c r="L20" s="1291"/>
      <c r="M20" s="346"/>
      <c r="N20" s="346"/>
      <c r="O20" s="346"/>
      <c r="P20" s="346"/>
      <c r="Q20" s="346"/>
      <c r="R20" s="346"/>
      <c r="S20" s="346"/>
      <c r="T20" s="346"/>
      <c r="U20" s="346"/>
      <c r="V20" s="345"/>
      <c r="W20" s="345"/>
      <c r="X20" s="345"/>
      <c r="Y20" s="345"/>
      <c r="Z20" s="345"/>
      <c r="AA20" s="345"/>
      <c r="AB20" s="345"/>
      <c r="AC20" s="345"/>
      <c r="AD20" s="345"/>
      <c r="AE20" s="345"/>
      <c r="AF20" s="345"/>
      <c r="AG20" s="345"/>
      <c r="AH20" s="345"/>
      <c r="AI20" s="345"/>
      <c r="AJ20" s="345"/>
      <c r="AK20" s="345"/>
      <c r="AL20" s="345"/>
      <c r="AM20" s="345"/>
      <c r="AN20" s="345"/>
      <c r="AO20" s="345"/>
      <c r="AP20" s="345"/>
      <c r="AQ20" s="345"/>
      <c r="AR20" s="345"/>
      <c r="AS20" s="345"/>
    </row>
    <row r="21" spans="1:45" ht="13.5" customHeight="1" x14ac:dyDescent="0.2">
      <c r="A21" s="897" t="s">
        <v>1343</v>
      </c>
      <c r="B21" s="362"/>
      <c r="C21" s="615">
        <f>C19-C20</f>
        <v>175</v>
      </c>
      <c r="D21" s="485"/>
      <c r="E21" s="362"/>
      <c r="F21" s="485"/>
      <c r="G21" s="482"/>
      <c r="H21" s="362"/>
      <c r="I21" s="615"/>
      <c r="J21" s="362"/>
      <c r="K21" s="485"/>
      <c r="L21" s="1292"/>
      <c r="M21" s="362"/>
      <c r="N21" s="1144">
        <v>173.54</v>
      </c>
      <c r="O21" s="1144"/>
      <c r="P21" s="362"/>
      <c r="Q21" s="362"/>
      <c r="R21" s="362"/>
      <c r="S21" s="362"/>
      <c r="T21" s="362"/>
      <c r="U21" s="362"/>
      <c r="V21" s="344"/>
      <c r="W21" s="344"/>
      <c r="X21" s="344"/>
      <c r="Y21" s="344"/>
      <c r="Z21" s="344"/>
      <c r="AA21" s="344"/>
      <c r="AB21" s="344"/>
      <c r="AC21" s="344"/>
      <c r="AD21" s="344"/>
      <c r="AE21" s="344"/>
      <c r="AF21" s="344"/>
      <c r="AG21" s="344"/>
      <c r="AH21" s="344"/>
      <c r="AI21" s="344"/>
      <c r="AJ21" s="344"/>
      <c r="AK21" s="344"/>
      <c r="AL21" s="344"/>
      <c r="AM21" s="344"/>
      <c r="AN21" s="344"/>
      <c r="AO21" s="344"/>
      <c r="AP21" s="344"/>
      <c r="AQ21" s="344"/>
      <c r="AR21" s="344"/>
      <c r="AS21" s="344"/>
    </row>
    <row r="22" spans="1:45" ht="13.5" customHeight="1" x14ac:dyDescent="0.2">
      <c r="A22" s="897"/>
      <c r="B22" s="346"/>
      <c r="C22" s="615"/>
      <c r="D22" s="485"/>
      <c r="E22" s="346"/>
      <c r="F22" s="352"/>
      <c r="G22" s="361"/>
      <c r="H22" s="346"/>
      <c r="I22" s="615"/>
      <c r="J22" s="346"/>
      <c r="K22" s="352"/>
      <c r="L22" s="1290"/>
      <c r="M22" s="346"/>
      <c r="N22" s="346"/>
      <c r="O22" s="346"/>
      <c r="P22" s="346"/>
      <c r="Q22" s="346"/>
      <c r="R22" s="346"/>
      <c r="S22" s="346"/>
      <c r="T22" s="346"/>
      <c r="U22" s="346"/>
      <c r="V22" s="345"/>
      <c r="W22" s="345"/>
      <c r="X22" s="345"/>
      <c r="Y22" s="345"/>
      <c r="Z22" s="345"/>
      <c r="AA22" s="345"/>
      <c r="AB22" s="345"/>
      <c r="AC22" s="345"/>
      <c r="AD22" s="345"/>
      <c r="AE22" s="345"/>
      <c r="AF22" s="345"/>
      <c r="AG22" s="345"/>
      <c r="AH22" s="345"/>
      <c r="AI22" s="345"/>
      <c r="AJ22" s="345"/>
      <c r="AK22" s="345"/>
      <c r="AL22" s="345"/>
      <c r="AM22" s="345"/>
      <c r="AN22" s="345"/>
      <c r="AO22" s="345"/>
      <c r="AP22" s="345"/>
      <c r="AQ22" s="345"/>
      <c r="AR22" s="345"/>
      <c r="AS22" s="345"/>
    </row>
    <row r="23" spans="1:45" ht="13.5" customHeight="1" x14ac:dyDescent="0.2">
      <c r="A23" s="896" t="s">
        <v>2249</v>
      </c>
      <c r="B23" s="346"/>
      <c r="C23" s="510">
        <v>-33</v>
      </c>
      <c r="D23" s="352">
        <f>MAR!BL39</f>
        <v>-32</v>
      </c>
      <c r="E23" s="346"/>
      <c r="F23" s="352">
        <f>C23-D23</f>
        <v>-1</v>
      </c>
      <c r="G23" s="354">
        <f>IF(D23=0,0,C23/D23-1)</f>
        <v>3.125E-2</v>
      </c>
      <c r="H23" s="346"/>
      <c r="I23" s="351">
        <v>4</v>
      </c>
      <c r="J23" s="346"/>
      <c r="K23" s="352">
        <f>C23-I23</f>
        <v>-37</v>
      </c>
      <c r="L23" s="1289">
        <f>IF(I23=0,"NM",C23/I23-1)</f>
        <v>-9.25</v>
      </c>
      <c r="M23" s="346"/>
      <c r="N23" s="346"/>
      <c r="O23" s="346"/>
      <c r="P23" s="346"/>
      <c r="Q23" s="346"/>
      <c r="R23" s="346"/>
      <c r="S23" s="346"/>
      <c r="T23" s="346"/>
      <c r="U23" s="346"/>
      <c r="V23" s="345"/>
      <c r="W23" s="345"/>
      <c r="X23" s="345"/>
      <c r="Y23" s="345"/>
      <c r="Z23" s="345"/>
      <c r="AA23" s="345"/>
      <c r="AB23" s="345"/>
      <c r="AC23" s="345"/>
      <c r="AD23" s="345"/>
      <c r="AE23" s="345"/>
      <c r="AF23" s="345"/>
      <c r="AG23" s="345"/>
      <c r="AH23" s="345"/>
      <c r="AI23" s="345"/>
      <c r="AJ23" s="345"/>
      <c r="AK23" s="345"/>
      <c r="AL23" s="345"/>
      <c r="AM23" s="345"/>
      <c r="AN23" s="345"/>
      <c r="AO23" s="345"/>
      <c r="AP23" s="345"/>
      <c r="AQ23" s="345"/>
      <c r="AR23" s="345"/>
      <c r="AS23" s="345"/>
    </row>
    <row r="24" spans="1:45" ht="13.5" customHeight="1" x14ac:dyDescent="0.2">
      <c r="A24" s="896" t="s">
        <v>2250</v>
      </c>
      <c r="B24" s="346"/>
      <c r="C24" s="510">
        <v>4</v>
      </c>
      <c r="D24" s="352">
        <f>MAR!BL40</f>
        <v>7</v>
      </c>
      <c r="E24" s="346"/>
      <c r="F24" s="352">
        <f>C24-D24</f>
        <v>-3</v>
      </c>
      <c r="G24" s="354">
        <f>IF(D24=0,0,C24/D24-1)</f>
        <v>-0.4285714285714286</v>
      </c>
      <c r="H24" s="346"/>
      <c r="I24" s="351">
        <v>0</v>
      </c>
      <c r="J24" s="346"/>
      <c r="K24" s="352">
        <f>C24-I24</f>
        <v>4</v>
      </c>
      <c r="L24" s="1289" t="str">
        <f>IF(I24=0,"NM",C24/I24-1)</f>
        <v>NM</v>
      </c>
      <c r="M24" s="346"/>
      <c r="N24" s="346"/>
      <c r="O24" s="346"/>
      <c r="P24" s="346"/>
      <c r="Q24" s="346"/>
      <c r="R24" s="346"/>
      <c r="S24" s="346"/>
      <c r="T24" s="346"/>
      <c r="U24" s="346"/>
      <c r="V24" s="345"/>
      <c r="W24" s="345"/>
      <c r="X24" s="345"/>
      <c r="Y24" s="345"/>
      <c r="Z24" s="345"/>
      <c r="AA24" s="345"/>
      <c r="AB24" s="345"/>
      <c r="AC24" s="345"/>
      <c r="AD24" s="345"/>
      <c r="AE24" s="345"/>
      <c r="AF24" s="345"/>
      <c r="AG24" s="345"/>
      <c r="AH24" s="345"/>
      <c r="AI24" s="345"/>
      <c r="AJ24" s="345"/>
      <c r="AK24" s="345"/>
      <c r="AL24" s="345"/>
      <c r="AM24" s="345"/>
      <c r="AN24" s="345"/>
      <c r="AO24" s="345"/>
      <c r="AP24" s="345"/>
      <c r="AQ24" s="345"/>
      <c r="AR24" s="345"/>
      <c r="AS24" s="345"/>
    </row>
    <row r="25" spans="1:45" ht="13.5" customHeight="1" x14ac:dyDescent="0.2">
      <c r="A25" s="896" t="s">
        <v>2251</v>
      </c>
      <c r="B25" s="346"/>
      <c r="C25" s="510">
        <v>2</v>
      </c>
      <c r="D25" s="352">
        <f>MAR!BL38</f>
        <v>2</v>
      </c>
      <c r="E25" s="346"/>
      <c r="F25" s="352">
        <f>C25-D25</f>
        <v>0</v>
      </c>
      <c r="G25" s="354">
        <f>IF(D25=0,0,C25/D25-1)</f>
        <v>0</v>
      </c>
      <c r="H25" s="346"/>
      <c r="I25" s="351">
        <v>0</v>
      </c>
      <c r="J25" s="346"/>
      <c r="K25" s="352">
        <f>C25-I25</f>
        <v>2</v>
      </c>
      <c r="L25" s="1289" t="str">
        <f>IF(I25=0,"NM",C25/I25-1)</f>
        <v>NM</v>
      </c>
      <c r="M25" s="346"/>
      <c r="N25" s="346"/>
      <c r="O25" s="346"/>
      <c r="P25" s="346"/>
      <c r="Q25" s="346"/>
      <c r="R25" s="346"/>
      <c r="S25" s="346"/>
      <c r="T25" s="346"/>
      <c r="U25" s="346"/>
      <c r="V25" s="345"/>
      <c r="W25" s="345"/>
      <c r="X25" s="345"/>
      <c r="Y25" s="345"/>
      <c r="Z25" s="345"/>
      <c r="AA25" s="345"/>
      <c r="AB25" s="345"/>
      <c r="AC25" s="345"/>
      <c r="AD25" s="345"/>
      <c r="AE25" s="345"/>
      <c r="AF25" s="345"/>
      <c r="AG25" s="345"/>
      <c r="AH25" s="345"/>
      <c r="AI25" s="345"/>
      <c r="AJ25" s="345"/>
      <c r="AK25" s="345"/>
      <c r="AL25" s="345"/>
      <c r="AM25" s="345"/>
      <c r="AN25" s="345"/>
      <c r="AO25" s="345"/>
      <c r="AP25" s="345"/>
      <c r="AQ25" s="345"/>
      <c r="AR25" s="345"/>
      <c r="AS25" s="345"/>
    </row>
    <row r="26" spans="1:45" ht="13.5" customHeight="1" x14ac:dyDescent="0.2">
      <c r="A26" s="1224" t="s">
        <v>712</v>
      </c>
      <c r="B26" s="1132"/>
      <c r="C26" s="1169">
        <v>-1</v>
      </c>
      <c r="D26" s="1155">
        <f>MAR!BL42</f>
        <v>-4</v>
      </c>
      <c r="E26" s="1132"/>
      <c r="F26" s="1155">
        <f>C26-D26</f>
        <v>3</v>
      </c>
      <c r="G26" s="1135">
        <f>IF(D26=0,0,C26/D26-1)</f>
        <v>-0.75</v>
      </c>
      <c r="H26" s="1132"/>
      <c r="I26" s="1156">
        <v>0</v>
      </c>
      <c r="J26" s="1132"/>
      <c r="K26" s="1155">
        <f>C26-I26</f>
        <v>-1</v>
      </c>
      <c r="L26" s="1291" t="str">
        <f>IF(I26=0,"NM",C26/I26-1)</f>
        <v>NM</v>
      </c>
      <c r="M26" s="346"/>
      <c r="N26" s="346"/>
      <c r="O26" s="346"/>
      <c r="P26" s="346"/>
      <c r="Q26" s="346"/>
      <c r="R26" s="346"/>
      <c r="S26" s="346"/>
      <c r="T26" s="346"/>
      <c r="U26" s="346"/>
      <c r="V26" s="345"/>
      <c r="W26" s="345"/>
      <c r="X26" s="345"/>
      <c r="Y26" s="345"/>
      <c r="Z26" s="345"/>
      <c r="AA26" s="345"/>
      <c r="AB26" s="345"/>
      <c r="AC26" s="345"/>
      <c r="AD26" s="345"/>
      <c r="AE26" s="345"/>
      <c r="AF26" s="345"/>
      <c r="AG26" s="345"/>
      <c r="AH26" s="345"/>
      <c r="AI26" s="345"/>
      <c r="AJ26" s="345"/>
      <c r="AK26" s="345"/>
      <c r="AL26" s="345"/>
      <c r="AM26" s="345"/>
      <c r="AN26" s="345"/>
      <c r="AO26" s="345"/>
      <c r="AP26" s="345"/>
      <c r="AQ26" s="345"/>
      <c r="AR26" s="345"/>
      <c r="AS26" s="345"/>
    </row>
    <row r="27" spans="1:45" ht="13.5" customHeight="1" x14ac:dyDescent="0.2">
      <c r="A27" s="362" t="s">
        <v>642</v>
      </c>
      <c r="B27" s="362"/>
      <c r="C27" s="615">
        <f>C21+SUM(C23:C26)</f>
        <v>147</v>
      </c>
      <c r="D27" s="485">
        <f>SUM(D21:D26)</f>
        <v>-27</v>
      </c>
      <c r="E27" s="362"/>
      <c r="F27" s="485">
        <f>C27-D27</f>
        <v>174</v>
      </c>
      <c r="G27" s="482">
        <f>IF(D27=0,0,C27/D27-1)</f>
        <v>-6.4444444444444446</v>
      </c>
      <c r="H27" s="362"/>
      <c r="I27" s="615"/>
      <c r="J27" s="362"/>
      <c r="K27" s="485"/>
      <c r="L27" s="1292"/>
      <c r="M27" s="362"/>
      <c r="N27" s="362"/>
      <c r="O27" s="362"/>
      <c r="P27" s="362">
        <f>I28*C27</f>
        <v>0</v>
      </c>
      <c r="Q27" s="362"/>
      <c r="R27" s="362"/>
      <c r="S27" s="362"/>
      <c r="T27" s="362"/>
      <c r="U27" s="362"/>
      <c r="V27" s="344"/>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row>
    <row r="28" spans="1:45" ht="13.5" customHeight="1" x14ac:dyDescent="0.2">
      <c r="A28" s="1383" t="s">
        <v>90</v>
      </c>
      <c r="B28" s="362"/>
      <c r="C28" s="1001">
        <f>-C29/C27</f>
        <v>0.29251700680272108</v>
      </c>
      <c r="D28" s="1384">
        <f>-D29/D27</f>
        <v>-1.5925925925925926</v>
      </c>
      <c r="E28" s="362"/>
      <c r="F28" s="485"/>
      <c r="G28" s="482"/>
      <c r="H28" s="362"/>
      <c r="I28" s="1001"/>
      <c r="J28" s="362"/>
      <c r="K28" s="485"/>
      <c r="L28" s="1292"/>
      <c r="M28" s="362"/>
      <c r="N28" s="362"/>
      <c r="O28" s="362"/>
      <c r="P28" s="362">
        <f>P27+C29</f>
        <v>-43</v>
      </c>
      <c r="Q28" s="362"/>
      <c r="R28" s="362"/>
      <c r="S28" s="362"/>
      <c r="T28" s="362"/>
      <c r="U28" s="362"/>
      <c r="V28" s="344"/>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row>
    <row r="29" spans="1:45" ht="13.5" customHeight="1" x14ac:dyDescent="0.2">
      <c r="A29" s="1132" t="s">
        <v>713</v>
      </c>
      <c r="B29" s="1132"/>
      <c r="C29" s="1169">
        <v>-43</v>
      </c>
      <c r="D29" s="1155">
        <f>MAR!BL48</f>
        <v>-43</v>
      </c>
      <c r="E29" s="1138"/>
      <c r="F29" s="1155">
        <f>C29-D29</f>
        <v>0</v>
      </c>
      <c r="G29" s="1135">
        <f>IF(D29=0,0,C29/D29-1)</f>
        <v>0</v>
      </c>
      <c r="H29" s="1132"/>
      <c r="I29" s="1156">
        <v>0</v>
      </c>
      <c r="J29" s="1138"/>
      <c r="K29" s="1155">
        <f>C29-I29</f>
        <v>-43</v>
      </c>
      <c r="L29" s="1291" t="str">
        <f>IF(I29=0,"NM",C29/I29-1)</f>
        <v>NM</v>
      </c>
      <c r="M29" s="346"/>
      <c r="N29" s="346"/>
      <c r="O29" s="346"/>
      <c r="P29" s="1406">
        <f>P28/C33</f>
        <v>-0.12478235635519443</v>
      </c>
      <c r="Q29" s="346"/>
      <c r="R29" s="346"/>
      <c r="S29" s="346"/>
      <c r="T29" s="346"/>
      <c r="U29" s="346"/>
      <c r="V29" s="345"/>
      <c r="W29" s="345"/>
      <c r="X29" s="345"/>
      <c r="Y29" s="345"/>
      <c r="Z29" s="345"/>
      <c r="AA29" s="345"/>
      <c r="AB29" s="345"/>
      <c r="AC29" s="345"/>
      <c r="AD29" s="345"/>
      <c r="AE29" s="345"/>
      <c r="AF29" s="345"/>
      <c r="AG29" s="345"/>
      <c r="AH29" s="345"/>
      <c r="AI29" s="345"/>
      <c r="AJ29" s="345"/>
      <c r="AK29" s="345"/>
      <c r="AL29" s="345"/>
      <c r="AM29" s="345"/>
      <c r="AN29" s="345"/>
      <c r="AO29" s="345"/>
      <c r="AP29" s="345"/>
      <c r="AQ29" s="345"/>
      <c r="AR29" s="345"/>
      <c r="AS29" s="345"/>
    </row>
    <row r="30" spans="1:45" ht="13.5" customHeight="1" x14ac:dyDescent="0.2">
      <c r="A30" s="362" t="s">
        <v>1296</v>
      </c>
      <c r="B30" s="362"/>
      <c r="C30" s="615">
        <f>C27+C29</f>
        <v>104</v>
      </c>
      <c r="D30" s="485">
        <f>SUM(D27:D29)</f>
        <v>-71.592592592592595</v>
      </c>
      <c r="E30" s="486"/>
      <c r="F30" s="485">
        <f>SUM(F27:F29)</f>
        <v>174</v>
      </c>
      <c r="G30" s="482">
        <f>IF(D30=0,0,C30/D30-1)</f>
        <v>-2.4526642524573203</v>
      </c>
      <c r="H30" s="362"/>
      <c r="I30" s="615">
        <f>SUM(I27:I29)</f>
        <v>0</v>
      </c>
      <c r="J30" s="486"/>
      <c r="K30" s="485">
        <f>C30-I30</f>
        <v>104</v>
      </c>
      <c r="L30" s="1292" t="str">
        <f>IF(I30=0,"NM",C30/I30-1)</f>
        <v>NM</v>
      </c>
      <c r="M30" s="362"/>
      <c r="N30" s="362"/>
      <c r="O30" s="362"/>
      <c r="P30" s="362"/>
      <c r="Q30" s="362"/>
      <c r="R30" s="362"/>
      <c r="S30" s="362"/>
      <c r="T30" s="362"/>
      <c r="U30" s="362"/>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row>
    <row r="31" spans="1:45" ht="13.5" customHeight="1" x14ac:dyDescent="0.2">
      <c r="A31" s="346" t="s">
        <v>714</v>
      </c>
      <c r="B31" s="346"/>
      <c r="C31" s="351">
        <v>0</v>
      </c>
      <c r="D31" s="352">
        <f>MAR!BL46</f>
        <v>0</v>
      </c>
      <c r="E31" s="353"/>
      <c r="F31" s="352">
        <f>MAR!BL46</f>
        <v>0</v>
      </c>
      <c r="G31" s="354">
        <f>IF(D31=0,0,C31/D31-1)</f>
        <v>0</v>
      </c>
      <c r="H31" s="346"/>
      <c r="I31" s="351">
        <f>MAR!BQ46</f>
        <v>0</v>
      </c>
      <c r="J31" s="353"/>
      <c r="K31" s="352">
        <f>C31-I31</f>
        <v>0</v>
      </c>
      <c r="L31" s="1289" t="str">
        <f>IF(I31=0,"NM",C31/I31-1)</f>
        <v>NM</v>
      </c>
      <c r="M31" s="346"/>
      <c r="N31" s="346"/>
      <c r="O31" s="346"/>
      <c r="P31" s="346"/>
      <c r="Q31" s="346"/>
      <c r="R31" s="346"/>
      <c r="S31" s="346"/>
      <c r="T31" s="346"/>
      <c r="U31" s="346"/>
      <c r="V31" s="345"/>
      <c r="W31" s="345"/>
      <c r="X31" s="345"/>
      <c r="Y31" s="345"/>
      <c r="Z31" s="345"/>
      <c r="AA31" s="345"/>
      <c r="AB31" s="345"/>
      <c r="AC31" s="345"/>
      <c r="AD31" s="345"/>
      <c r="AE31" s="345"/>
      <c r="AF31" s="345"/>
      <c r="AG31" s="345"/>
      <c r="AH31" s="345"/>
      <c r="AI31" s="345"/>
      <c r="AJ31" s="345"/>
      <c r="AK31" s="345"/>
      <c r="AL31" s="345"/>
      <c r="AM31" s="345"/>
      <c r="AN31" s="345"/>
      <c r="AO31" s="345"/>
      <c r="AP31" s="345"/>
      <c r="AQ31" s="345"/>
      <c r="AR31" s="345"/>
      <c r="AS31" s="345"/>
    </row>
    <row r="32" spans="1:45" ht="13.5" customHeight="1" x14ac:dyDescent="0.2">
      <c r="A32" s="355" t="s">
        <v>1298</v>
      </c>
      <c r="B32" s="356"/>
      <c r="C32" s="614">
        <v>103.99460327646727</v>
      </c>
      <c r="D32" s="489">
        <f>D30-D31</f>
        <v>-71.592592592592595</v>
      </c>
      <c r="E32" s="357"/>
      <c r="F32" s="357">
        <f>C32-D32</f>
        <v>175.58719586905988</v>
      </c>
      <c r="G32" s="358">
        <f>IF(D32=0,0,C32/D32-1)</f>
        <v>-2.4525888714250472</v>
      </c>
      <c r="H32" s="359"/>
      <c r="I32" s="614">
        <f>I30-I31</f>
        <v>0</v>
      </c>
      <c r="J32" s="357"/>
      <c r="K32" s="357">
        <f>C32-I32</f>
        <v>103.99460327646727</v>
      </c>
      <c r="L32" s="360" t="str">
        <f>IF(I32=0,"NM",C32/I32-1)</f>
        <v>NM</v>
      </c>
      <c r="M32" s="346"/>
      <c r="N32" s="1144">
        <v>98.45</v>
      </c>
      <c r="O32" s="1144"/>
      <c r="P32" s="346"/>
      <c r="Q32" s="346"/>
      <c r="R32" s="346"/>
      <c r="S32" s="346"/>
      <c r="T32" s="346"/>
      <c r="U32" s="346"/>
      <c r="V32" s="345"/>
      <c r="W32" s="345"/>
      <c r="X32" s="345"/>
      <c r="Y32" s="345"/>
      <c r="Z32" s="345"/>
      <c r="AA32" s="345"/>
      <c r="AB32" s="345"/>
      <c r="AC32" s="345"/>
      <c r="AD32" s="345"/>
      <c r="AE32" s="345"/>
      <c r="AF32" s="345"/>
      <c r="AG32" s="345"/>
      <c r="AH32" s="345"/>
      <c r="AI32" s="345"/>
      <c r="AJ32" s="345"/>
      <c r="AK32" s="345"/>
      <c r="AL32" s="345"/>
      <c r="AM32" s="345"/>
      <c r="AN32" s="345"/>
      <c r="AO32" s="345"/>
      <c r="AP32" s="345"/>
      <c r="AQ32" s="345"/>
      <c r="AR32" s="345"/>
      <c r="AS32" s="345"/>
    </row>
    <row r="33" spans="1:45" ht="13.5" customHeight="1" x14ac:dyDescent="0.2">
      <c r="A33" s="346" t="s">
        <v>715</v>
      </c>
      <c r="B33" s="346"/>
      <c r="C33" s="510">
        <v>344.6</v>
      </c>
      <c r="D33" s="352"/>
      <c r="E33" s="353"/>
      <c r="F33" s="352"/>
      <c r="G33" s="354"/>
      <c r="H33" s="346"/>
      <c r="I33" s="351">
        <v>344.6</v>
      </c>
      <c r="J33" s="353"/>
      <c r="K33" s="352"/>
      <c r="L33" s="1289"/>
      <c r="M33" s="346"/>
      <c r="N33" s="346"/>
      <c r="O33" s="346"/>
      <c r="P33" s="346"/>
      <c r="Q33" s="346"/>
      <c r="R33" s="346"/>
      <c r="S33" s="346"/>
      <c r="T33" s="346"/>
      <c r="U33" s="346"/>
      <c r="V33" s="345"/>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row>
    <row r="34" spans="1:45" ht="13.5" customHeight="1" x14ac:dyDescent="0.2">
      <c r="A34" s="355" t="s">
        <v>1595</v>
      </c>
      <c r="B34" s="356"/>
      <c r="C34" s="483">
        <f>C32/C33</f>
        <v>0.30178352662933045</v>
      </c>
      <c r="D34" s="484"/>
      <c r="E34" s="357"/>
      <c r="F34" s="484"/>
      <c r="G34" s="358"/>
      <c r="H34" s="359"/>
      <c r="I34" s="483">
        <f>I32/I33</f>
        <v>0</v>
      </c>
      <c r="J34" s="357"/>
      <c r="K34" s="484">
        <f>C34-I34</f>
        <v>0.30178352662933045</v>
      </c>
      <c r="L34" s="360" t="str">
        <f>IF(I34=0,"NM",C34/I34-1)</f>
        <v>NM</v>
      </c>
      <c r="M34" s="346"/>
      <c r="N34" s="1145">
        <v>0.28999999999999998</v>
      </c>
      <c r="O34" s="1145"/>
      <c r="P34" s="346"/>
      <c r="Q34" s="346"/>
      <c r="R34" s="346"/>
      <c r="S34" s="346"/>
      <c r="T34" s="346"/>
      <c r="U34" s="346"/>
      <c r="V34" s="345"/>
      <c r="W34" s="345"/>
      <c r="X34" s="345"/>
      <c r="Y34" s="345"/>
      <c r="Z34" s="345"/>
      <c r="AA34" s="345"/>
      <c r="AB34" s="345"/>
      <c r="AC34" s="345"/>
      <c r="AD34" s="345"/>
      <c r="AE34" s="345"/>
      <c r="AF34" s="345"/>
      <c r="AG34" s="345"/>
      <c r="AH34" s="345"/>
      <c r="AI34" s="345"/>
      <c r="AJ34" s="345"/>
      <c r="AK34" s="345"/>
      <c r="AL34" s="345"/>
      <c r="AM34" s="345"/>
      <c r="AN34" s="345"/>
      <c r="AO34" s="345"/>
      <c r="AP34" s="345"/>
      <c r="AQ34" s="345"/>
      <c r="AR34" s="345"/>
      <c r="AS34" s="345"/>
    </row>
    <row r="35" spans="1:45" ht="13.5" customHeight="1" x14ac:dyDescent="0.2">
      <c r="A35" s="346"/>
      <c r="B35" s="346"/>
      <c r="C35" s="351"/>
      <c r="D35" s="352"/>
      <c r="E35" s="353"/>
      <c r="F35" s="352"/>
      <c r="G35" s="354"/>
      <c r="H35" s="346"/>
      <c r="I35" s="351"/>
      <c r="J35" s="353"/>
      <c r="K35" s="352"/>
      <c r="L35" s="1289"/>
      <c r="M35" s="346"/>
      <c r="N35" s="346"/>
      <c r="O35" s="346"/>
      <c r="P35" s="346"/>
      <c r="Q35" s="346"/>
      <c r="R35" s="346"/>
      <c r="S35" s="346"/>
      <c r="T35" s="346"/>
      <c r="U35" s="346"/>
      <c r="V35" s="345"/>
      <c r="W35" s="345"/>
      <c r="X35" s="345"/>
      <c r="Y35" s="345"/>
      <c r="Z35" s="345"/>
      <c r="AA35" s="345"/>
      <c r="AB35" s="345"/>
      <c r="AC35" s="345"/>
      <c r="AD35" s="345"/>
      <c r="AE35" s="345"/>
      <c r="AF35" s="345"/>
      <c r="AG35" s="345"/>
      <c r="AH35" s="345"/>
      <c r="AI35" s="345"/>
      <c r="AJ35" s="345"/>
      <c r="AK35" s="345"/>
      <c r="AL35" s="345"/>
      <c r="AM35" s="345"/>
      <c r="AN35" s="345"/>
      <c r="AO35" s="345"/>
      <c r="AP35" s="345"/>
      <c r="AQ35" s="345"/>
      <c r="AR35" s="345"/>
      <c r="AS35" s="345"/>
    </row>
    <row r="36" spans="1:45" ht="13.5" customHeight="1" x14ac:dyDescent="0.2">
      <c r="A36" s="1295" t="s">
        <v>220</v>
      </c>
      <c r="B36" s="418"/>
      <c r="C36" s="617"/>
      <c r="D36" s="424"/>
      <c r="E36" s="464"/>
      <c r="F36" s="464"/>
      <c r="G36" s="457"/>
      <c r="H36" s="477"/>
      <c r="I36" s="617"/>
      <c r="J36" s="464"/>
      <c r="K36" s="464"/>
      <c r="L36" s="465"/>
      <c r="M36" s="346"/>
      <c r="N36" s="345"/>
      <c r="O36" s="345"/>
      <c r="P36" s="345"/>
      <c r="Q36" s="345"/>
      <c r="R36" s="345"/>
      <c r="S36" s="345"/>
      <c r="T36" s="345"/>
      <c r="U36" s="346"/>
      <c r="V36" s="345"/>
      <c r="W36" s="345"/>
      <c r="X36" s="345"/>
      <c r="Y36" s="345"/>
      <c r="Z36" s="345"/>
      <c r="AA36" s="345"/>
      <c r="AB36" s="345"/>
      <c r="AC36" s="345"/>
      <c r="AD36" s="345"/>
      <c r="AE36" s="345"/>
      <c r="AF36" s="345"/>
      <c r="AG36" s="345"/>
      <c r="AH36" s="345"/>
      <c r="AI36" s="345"/>
      <c r="AJ36" s="345"/>
      <c r="AK36" s="345"/>
      <c r="AL36" s="345"/>
      <c r="AM36" s="345"/>
      <c r="AN36" s="345"/>
      <c r="AO36" s="345"/>
      <c r="AP36" s="345"/>
      <c r="AQ36" s="345"/>
      <c r="AR36" s="345"/>
      <c r="AS36" s="345"/>
    </row>
    <row r="37" spans="1:45" ht="13.5" customHeight="1" x14ac:dyDescent="0.2">
      <c r="A37" s="230" t="s">
        <v>221</v>
      </c>
      <c r="B37" s="421"/>
      <c r="C37" s="522">
        <f>C19</f>
        <v>204</v>
      </c>
      <c r="D37" s="464">
        <f>D19</f>
        <v>503</v>
      </c>
      <c r="E37" s="1139"/>
      <c r="F37" s="1140">
        <f t="shared" ref="F37:F44" si="0">C37-D37</f>
        <v>-299</v>
      </c>
      <c r="G37" s="482">
        <f t="shared" ref="G37:G45" si="1">IF(D37=0,0,C37/D37-1)</f>
        <v>-0.59443339960238561</v>
      </c>
      <c r="H37" s="421"/>
      <c r="I37" s="522">
        <f>I19</f>
        <v>349.98001598721021</v>
      </c>
      <c r="J37" s="534"/>
      <c r="K37" s="1140">
        <f t="shared" ref="K37:K45" si="2">C37-I37</f>
        <v>-145.98001598721021</v>
      </c>
      <c r="L37" s="1292">
        <f t="shared" ref="L37:L45" si="3">IF(I37=0,"NM",C37/I37-1)</f>
        <v>-0.4171095757437332</v>
      </c>
      <c r="M37" s="346"/>
      <c r="N37" s="345"/>
      <c r="O37" s="345"/>
      <c r="P37" s="345"/>
      <c r="Q37" s="345"/>
      <c r="R37" s="345"/>
      <c r="S37" s="345"/>
      <c r="T37" s="345"/>
      <c r="U37" s="346"/>
      <c r="V37" s="345"/>
      <c r="W37" s="345"/>
      <c r="X37" s="345"/>
      <c r="Y37" s="345"/>
      <c r="Z37" s="345"/>
      <c r="AA37" s="345"/>
      <c r="AB37" s="345"/>
      <c r="AC37" s="345"/>
      <c r="AD37" s="345"/>
      <c r="AE37" s="345"/>
      <c r="AF37" s="345"/>
      <c r="AG37" s="345"/>
      <c r="AH37" s="345"/>
      <c r="AI37" s="345"/>
      <c r="AJ37" s="345"/>
      <c r="AK37" s="345"/>
      <c r="AL37" s="345"/>
      <c r="AM37" s="345"/>
      <c r="AN37" s="345"/>
      <c r="AO37" s="345"/>
      <c r="AP37" s="345"/>
      <c r="AQ37" s="345"/>
      <c r="AR37" s="345"/>
      <c r="AS37" s="345"/>
    </row>
    <row r="38" spans="1:45" ht="13.5" customHeight="1" x14ac:dyDescent="0.2">
      <c r="A38" s="923" t="s">
        <v>716</v>
      </c>
      <c r="B38" s="418"/>
      <c r="C38" s="644">
        <f>C26</f>
        <v>-1</v>
      </c>
      <c r="D38" s="423">
        <f>MAR!BL76</f>
        <v>-4</v>
      </c>
      <c r="E38" s="472"/>
      <c r="F38" s="352">
        <f t="shared" si="0"/>
        <v>3</v>
      </c>
      <c r="G38" s="354">
        <f t="shared" si="1"/>
        <v>-0.75</v>
      </c>
      <c r="H38" s="418"/>
      <c r="I38" s="616">
        <v>491</v>
      </c>
      <c r="J38" s="471"/>
      <c r="K38" s="352">
        <f t="shared" si="2"/>
        <v>-492</v>
      </c>
      <c r="L38" s="1289">
        <f t="shared" si="3"/>
        <v>-1.0020366598778003</v>
      </c>
      <c r="M38" s="346"/>
      <c r="N38" s="345"/>
      <c r="O38" s="345"/>
      <c r="P38" s="345"/>
      <c r="Q38" s="345"/>
      <c r="R38" s="345"/>
      <c r="S38" s="345"/>
      <c r="T38" s="345"/>
      <c r="U38" s="346"/>
      <c r="V38" s="345"/>
      <c r="W38" s="345"/>
      <c r="X38" s="345"/>
      <c r="Y38" s="345"/>
      <c r="Z38" s="345"/>
      <c r="AA38" s="345"/>
      <c r="AB38" s="345"/>
      <c r="AC38" s="345"/>
      <c r="AD38" s="345"/>
      <c r="AE38" s="345"/>
      <c r="AF38" s="345"/>
      <c r="AG38" s="345"/>
      <c r="AH38" s="345"/>
      <c r="AI38" s="345"/>
      <c r="AJ38" s="345"/>
      <c r="AK38" s="345"/>
      <c r="AL38" s="345"/>
      <c r="AM38" s="345"/>
      <c r="AN38" s="345"/>
      <c r="AO38" s="345"/>
      <c r="AP38" s="345"/>
      <c r="AQ38" s="345"/>
      <c r="AR38" s="345"/>
      <c r="AS38" s="345"/>
    </row>
    <row r="39" spans="1:45" ht="13.5" customHeight="1" x14ac:dyDescent="0.2">
      <c r="A39" s="923" t="s">
        <v>717</v>
      </c>
      <c r="B39" s="418"/>
      <c r="C39" s="644">
        <v>4</v>
      </c>
      <c r="D39" s="423">
        <f>MAR!BL77</f>
        <v>4</v>
      </c>
      <c r="E39" s="472"/>
      <c r="F39" s="352">
        <f t="shared" si="0"/>
        <v>0</v>
      </c>
      <c r="G39" s="354">
        <f t="shared" si="1"/>
        <v>0</v>
      </c>
      <c r="H39" s="418"/>
      <c r="I39" s="616">
        <v>11283</v>
      </c>
      <c r="J39" s="471"/>
      <c r="K39" s="352">
        <f t="shared" si="2"/>
        <v>-11279</v>
      </c>
      <c r="L39" s="1289">
        <f t="shared" si="3"/>
        <v>-0.99964548435699729</v>
      </c>
      <c r="M39" s="346"/>
      <c r="N39" s="345"/>
      <c r="O39" s="345"/>
      <c r="P39" s="345"/>
      <c r="Q39" s="345"/>
      <c r="R39" s="345"/>
      <c r="S39" s="345"/>
      <c r="T39" s="345"/>
      <c r="U39" s="346"/>
      <c r="V39" s="345"/>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row>
    <row r="40" spans="1:45" ht="13.5" customHeight="1" x14ac:dyDescent="0.2">
      <c r="A40" s="923" t="s">
        <v>718</v>
      </c>
      <c r="B40" s="418"/>
      <c r="C40" s="644">
        <v>6</v>
      </c>
      <c r="D40" s="423">
        <f>MAR!BL78</f>
        <v>6</v>
      </c>
      <c r="E40" s="424"/>
      <c r="F40" s="352">
        <f t="shared" si="0"/>
        <v>0</v>
      </c>
      <c r="G40" s="354">
        <f t="shared" si="1"/>
        <v>0</v>
      </c>
      <c r="H40" s="477"/>
      <c r="I40" s="616">
        <v>6040.5</v>
      </c>
      <c r="J40" s="365"/>
      <c r="K40" s="352">
        <f t="shared" si="2"/>
        <v>-6034.5</v>
      </c>
      <c r="L40" s="1289">
        <f t="shared" si="3"/>
        <v>-0.99900670474298481</v>
      </c>
      <c r="M40" s="346"/>
      <c r="N40" s="345"/>
      <c r="O40" s="345"/>
      <c r="P40" s="345"/>
      <c r="Q40" s="345"/>
      <c r="R40" s="345"/>
      <c r="S40" s="345"/>
      <c r="T40" s="345"/>
      <c r="U40" s="346"/>
      <c r="V40" s="345"/>
      <c r="W40" s="345"/>
      <c r="X40" s="345"/>
      <c r="Y40" s="345"/>
      <c r="Z40" s="345"/>
      <c r="AA40" s="345"/>
      <c r="AB40" s="345"/>
      <c r="AC40" s="345"/>
      <c r="AD40" s="345"/>
      <c r="AE40" s="345"/>
      <c r="AF40" s="345"/>
      <c r="AG40" s="345"/>
      <c r="AH40" s="345"/>
      <c r="AI40" s="345"/>
      <c r="AJ40" s="345"/>
      <c r="AK40" s="345"/>
      <c r="AL40" s="345"/>
      <c r="AM40" s="345"/>
      <c r="AN40" s="345"/>
      <c r="AO40" s="345"/>
      <c r="AP40" s="345"/>
      <c r="AQ40" s="345"/>
      <c r="AR40" s="345"/>
      <c r="AS40" s="345"/>
    </row>
    <row r="41" spans="1:45" ht="13.5" customHeight="1" x14ac:dyDescent="0.2">
      <c r="A41" s="923" t="s">
        <v>719</v>
      </c>
      <c r="B41" s="418"/>
      <c r="C41" s="616">
        <f>C24</f>
        <v>4</v>
      </c>
      <c r="D41" s="423">
        <f>MAR!BL79</f>
        <v>7</v>
      </c>
      <c r="E41" s="472"/>
      <c r="F41" s="352">
        <f t="shared" si="0"/>
        <v>-3</v>
      </c>
      <c r="G41" s="354">
        <f t="shared" si="1"/>
        <v>-0.4285714285714286</v>
      </c>
      <c r="H41" s="418"/>
      <c r="I41" s="616">
        <v>-814.5</v>
      </c>
      <c r="J41" s="471"/>
      <c r="K41" s="352">
        <f t="shared" si="2"/>
        <v>818.5</v>
      </c>
      <c r="L41" s="1289">
        <f t="shared" si="3"/>
        <v>-1.0049109883364027</v>
      </c>
      <c r="M41" s="346"/>
      <c r="N41" s="345"/>
      <c r="O41" s="345"/>
      <c r="P41" s="345"/>
      <c r="Q41" s="345"/>
      <c r="R41" s="345"/>
      <c r="S41" s="345"/>
      <c r="T41" s="345"/>
      <c r="U41" s="346"/>
      <c r="V41" s="345"/>
      <c r="W41" s="345"/>
      <c r="X41" s="345"/>
      <c r="Y41" s="345"/>
      <c r="Z41" s="345"/>
      <c r="AA41" s="345"/>
      <c r="AB41" s="345"/>
      <c r="AC41" s="345"/>
      <c r="AD41" s="345"/>
      <c r="AE41" s="345"/>
      <c r="AF41" s="345"/>
      <c r="AG41" s="345"/>
      <c r="AH41" s="345"/>
      <c r="AI41" s="345"/>
      <c r="AJ41" s="345"/>
      <c r="AK41" s="345"/>
      <c r="AL41" s="345"/>
      <c r="AM41" s="345"/>
      <c r="AN41" s="345"/>
      <c r="AO41" s="345"/>
      <c r="AP41" s="345"/>
      <c r="AQ41" s="345"/>
      <c r="AR41" s="345"/>
      <c r="AS41" s="345"/>
    </row>
    <row r="42" spans="1:45" ht="13.5" customHeight="1" x14ac:dyDescent="0.2">
      <c r="A42" s="923" t="s">
        <v>598</v>
      </c>
      <c r="B42" s="418"/>
      <c r="C42" s="644">
        <f>C25</f>
        <v>2</v>
      </c>
      <c r="D42" s="423">
        <f>MAR!BL80</f>
        <v>2</v>
      </c>
      <c r="E42" s="472"/>
      <c r="F42" s="352">
        <f t="shared" si="0"/>
        <v>0</v>
      </c>
      <c r="G42" s="354">
        <f t="shared" si="1"/>
        <v>0</v>
      </c>
      <c r="H42" s="418"/>
      <c r="I42" s="616">
        <v>0</v>
      </c>
      <c r="J42" s="471"/>
      <c r="K42" s="352">
        <f t="shared" si="2"/>
        <v>2</v>
      </c>
      <c r="L42" s="1289" t="str">
        <f t="shared" si="3"/>
        <v>NM</v>
      </c>
      <c r="M42" s="346"/>
      <c r="N42" s="345"/>
      <c r="O42" s="345"/>
      <c r="P42" s="345"/>
      <c r="Q42" s="345"/>
      <c r="R42" s="345"/>
      <c r="S42" s="345"/>
      <c r="T42" s="345"/>
      <c r="U42" s="346"/>
      <c r="V42" s="345"/>
      <c r="W42" s="345"/>
      <c r="X42" s="345"/>
      <c r="Y42" s="345"/>
      <c r="Z42" s="345"/>
      <c r="AA42" s="345"/>
      <c r="AB42" s="345"/>
      <c r="AC42" s="345"/>
      <c r="AD42" s="345"/>
      <c r="AE42" s="345"/>
      <c r="AF42" s="345"/>
      <c r="AG42" s="345"/>
      <c r="AH42" s="345"/>
      <c r="AI42" s="345"/>
      <c r="AJ42" s="345"/>
      <c r="AK42" s="345"/>
      <c r="AL42" s="345"/>
      <c r="AM42" s="345"/>
      <c r="AN42" s="345"/>
      <c r="AO42" s="345"/>
      <c r="AP42" s="345"/>
      <c r="AQ42" s="345"/>
      <c r="AR42" s="345"/>
      <c r="AS42" s="345"/>
    </row>
    <row r="43" spans="1:45" ht="13.5" customHeight="1" x14ac:dyDescent="0.2">
      <c r="A43" s="923" t="s">
        <v>720</v>
      </c>
      <c r="B43" s="418"/>
      <c r="C43" s="644">
        <v>-4</v>
      </c>
      <c r="D43" s="423">
        <f>MAR!BL81</f>
        <v>-4</v>
      </c>
      <c r="E43" s="424"/>
      <c r="F43" s="352">
        <f t="shared" si="0"/>
        <v>0</v>
      </c>
      <c r="G43" s="354">
        <f t="shared" si="1"/>
        <v>0</v>
      </c>
      <c r="H43" s="477"/>
      <c r="I43" s="616">
        <v>0</v>
      </c>
      <c r="J43" s="365"/>
      <c r="K43" s="352">
        <f t="shared" si="2"/>
        <v>-4</v>
      </c>
      <c r="L43" s="1289" t="str">
        <f t="shared" si="3"/>
        <v>NM</v>
      </c>
      <c r="M43" s="346"/>
      <c r="N43" s="345"/>
      <c r="O43" s="345"/>
      <c r="P43" s="345"/>
      <c r="Q43" s="345"/>
      <c r="R43" s="345"/>
      <c r="S43" s="345"/>
      <c r="T43" s="345"/>
      <c r="U43" s="346"/>
      <c r="V43" s="345"/>
      <c r="W43" s="345"/>
      <c r="X43" s="345"/>
      <c r="Y43" s="345"/>
      <c r="Z43" s="345"/>
      <c r="AA43" s="345"/>
      <c r="AB43" s="345"/>
      <c r="AC43" s="345"/>
      <c r="AD43" s="345"/>
      <c r="AE43" s="345"/>
      <c r="AF43" s="345"/>
      <c r="AG43" s="345"/>
      <c r="AH43" s="345"/>
      <c r="AI43" s="345"/>
      <c r="AJ43" s="345"/>
      <c r="AK43" s="345"/>
      <c r="AL43" s="345"/>
      <c r="AM43" s="345"/>
      <c r="AN43" s="345"/>
      <c r="AO43" s="345"/>
      <c r="AP43" s="345"/>
      <c r="AQ43" s="345"/>
      <c r="AR43" s="345"/>
      <c r="AS43" s="345"/>
    </row>
    <row r="44" spans="1:45" ht="13.5" customHeight="1" x14ac:dyDescent="0.2">
      <c r="A44" s="923" t="s">
        <v>597</v>
      </c>
      <c r="B44" s="418"/>
      <c r="C44" s="644">
        <v>0</v>
      </c>
      <c r="D44" s="423">
        <f>MAR!BL82</f>
        <v>0</v>
      </c>
      <c r="E44" s="472"/>
      <c r="F44" s="352">
        <f t="shared" si="0"/>
        <v>0</v>
      </c>
      <c r="G44" s="354">
        <f t="shared" si="1"/>
        <v>0</v>
      </c>
      <c r="H44" s="418"/>
      <c r="I44" s="616">
        <f>MAR!BQ82</f>
        <v>0</v>
      </c>
      <c r="J44" s="471"/>
      <c r="K44" s="352">
        <f t="shared" si="2"/>
        <v>0</v>
      </c>
      <c r="L44" s="1289" t="str">
        <f t="shared" si="3"/>
        <v>NM</v>
      </c>
      <c r="M44" s="346"/>
      <c r="N44" s="345"/>
      <c r="O44" s="345"/>
      <c r="P44" s="345"/>
      <c r="Q44" s="345"/>
      <c r="R44" s="345"/>
      <c r="S44" s="345"/>
      <c r="T44" s="345"/>
      <c r="U44" s="346"/>
      <c r="V44" s="345"/>
      <c r="W44" s="345"/>
      <c r="X44" s="345"/>
      <c r="Y44" s="345"/>
      <c r="Z44" s="345"/>
      <c r="AA44" s="345"/>
      <c r="AB44" s="345"/>
      <c r="AC44" s="345"/>
      <c r="AD44" s="345"/>
      <c r="AE44" s="345"/>
      <c r="AF44" s="345"/>
      <c r="AG44" s="345"/>
      <c r="AH44" s="345"/>
      <c r="AI44" s="345"/>
      <c r="AJ44" s="345"/>
      <c r="AK44" s="345"/>
      <c r="AL44" s="345"/>
      <c r="AM44" s="345"/>
      <c r="AN44" s="345"/>
      <c r="AO44" s="345"/>
      <c r="AP44" s="345"/>
      <c r="AQ44" s="345"/>
      <c r="AR44" s="345"/>
      <c r="AS44" s="345"/>
    </row>
    <row r="45" spans="1:45" ht="13.5" customHeight="1" x14ac:dyDescent="0.2">
      <c r="A45" s="355" t="s">
        <v>1197</v>
      </c>
      <c r="B45" s="356"/>
      <c r="C45" s="1129">
        <f>SUM(C37:C44)</f>
        <v>215</v>
      </c>
      <c r="D45" s="357">
        <f>SUM(D37:D44)</f>
        <v>514</v>
      </c>
      <c r="E45" s="357"/>
      <c r="F45" s="357">
        <f>SUM(F37:F44)</f>
        <v>-299</v>
      </c>
      <c r="G45" s="358">
        <f t="shared" si="1"/>
        <v>-0.58171206225680927</v>
      </c>
      <c r="H45" s="359"/>
      <c r="I45" s="1129">
        <f>SUM(I37:I44)</f>
        <v>17349.98001598721</v>
      </c>
      <c r="J45" s="357"/>
      <c r="K45" s="357">
        <f t="shared" si="2"/>
        <v>-17134.98001598721</v>
      </c>
      <c r="L45" s="360">
        <f t="shared" si="3"/>
        <v>-0.98760805489102077</v>
      </c>
      <c r="M45" s="346"/>
      <c r="N45" s="1144">
        <v>215.65</v>
      </c>
      <c r="O45" s="1144"/>
      <c r="P45" s="345"/>
      <c r="Q45" s="345"/>
      <c r="R45" s="345"/>
      <c r="S45" s="345"/>
      <c r="T45" s="345"/>
      <c r="U45" s="346"/>
      <c r="V45" s="345"/>
      <c r="W45" s="345"/>
      <c r="X45" s="345"/>
      <c r="Y45" s="345"/>
      <c r="Z45" s="345"/>
      <c r="AA45" s="345"/>
      <c r="AB45" s="345"/>
      <c r="AC45" s="345"/>
      <c r="AD45" s="345"/>
      <c r="AE45" s="345"/>
      <c r="AF45" s="345"/>
      <c r="AG45" s="345"/>
      <c r="AH45" s="345"/>
      <c r="AI45" s="345"/>
      <c r="AJ45" s="345"/>
      <c r="AK45" s="345"/>
      <c r="AL45" s="345"/>
      <c r="AM45" s="345"/>
      <c r="AN45" s="345"/>
      <c r="AO45" s="345"/>
      <c r="AP45" s="345"/>
      <c r="AQ45" s="345"/>
      <c r="AR45" s="345"/>
      <c r="AS45" s="345"/>
    </row>
    <row r="46" spans="1:45" ht="13.5" customHeight="1" x14ac:dyDescent="0.2">
      <c r="A46" s="418"/>
      <c r="B46" s="418"/>
      <c r="C46" s="1161"/>
      <c r="D46" s="418"/>
      <c r="E46" s="418"/>
      <c r="F46" s="418"/>
      <c r="G46" s="462"/>
      <c r="H46" s="418"/>
      <c r="I46" s="1161"/>
      <c r="J46" s="418"/>
      <c r="K46" s="418"/>
      <c r="L46" s="478"/>
      <c r="M46" s="346"/>
      <c r="N46" s="345"/>
      <c r="O46" s="345"/>
      <c r="P46" s="344"/>
      <c r="Q46" s="345"/>
      <c r="R46" s="345"/>
      <c r="S46" s="345"/>
      <c r="T46" s="345"/>
      <c r="U46" s="346"/>
      <c r="V46" s="345"/>
      <c r="W46" s="345"/>
      <c r="X46" s="345"/>
      <c r="Y46" s="345"/>
      <c r="Z46" s="345"/>
      <c r="AA46" s="345"/>
      <c r="AB46" s="345"/>
      <c r="AC46" s="345"/>
      <c r="AD46" s="345"/>
      <c r="AE46" s="345"/>
      <c r="AF46" s="345"/>
      <c r="AG46" s="345"/>
      <c r="AH46" s="345"/>
      <c r="AI46" s="345"/>
      <c r="AJ46" s="345"/>
      <c r="AK46" s="345"/>
      <c r="AL46" s="345"/>
      <c r="AM46" s="345"/>
      <c r="AN46" s="345"/>
      <c r="AO46" s="345"/>
      <c r="AP46" s="345"/>
      <c r="AQ46" s="345"/>
      <c r="AR46" s="345"/>
      <c r="AS46" s="345"/>
    </row>
    <row r="47" spans="1:45" ht="13.5" customHeight="1" x14ac:dyDescent="0.2">
      <c r="A47" s="418"/>
      <c r="B47" s="418"/>
      <c r="C47" s="1161"/>
      <c r="D47" s="418"/>
      <c r="E47" s="418"/>
      <c r="F47" s="418"/>
      <c r="G47" s="462"/>
      <c r="H47" s="418"/>
      <c r="I47" s="1161"/>
      <c r="J47" s="418"/>
      <c r="K47" s="418"/>
      <c r="L47" s="478"/>
      <c r="M47" s="346"/>
      <c r="N47" s="345"/>
      <c r="O47" s="345"/>
      <c r="P47" s="344"/>
      <c r="Q47" s="345"/>
      <c r="R47" s="345"/>
      <c r="S47" s="345"/>
      <c r="T47" s="345"/>
      <c r="U47" s="346"/>
      <c r="V47" s="345"/>
      <c r="W47" s="345"/>
      <c r="X47" s="345"/>
      <c r="Y47" s="345"/>
      <c r="Z47" s="345"/>
      <c r="AA47" s="345"/>
      <c r="AB47" s="345"/>
      <c r="AC47" s="345"/>
      <c r="AD47" s="345"/>
      <c r="AE47" s="345"/>
      <c r="AF47" s="345"/>
      <c r="AG47" s="345"/>
      <c r="AH47" s="345"/>
      <c r="AI47" s="345"/>
      <c r="AJ47" s="345"/>
      <c r="AK47" s="345"/>
      <c r="AL47" s="345"/>
      <c r="AM47" s="345"/>
      <c r="AN47" s="345"/>
      <c r="AO47" s="345"/>
      <c r="AP47" s="345"/>
      <c r="AQ47" s="345"/>
      <c r="AR47" s="345"/>
      <c r="AS47" s="345"/>
    </row>
    <row r="48" spans="1:45" ht="13.5" customHeight="1" x14ac:dyDescent="0.2">
      <c r="A48" s="1164" t="s">
        <v>2244</v>
      </c>
      <c r="B48" s="1147"/>
      <c r="C48" s="822"/>
      <c r="D48" s="1147"/>
      <c r="E48" s="1147"/>
      <c r="F48" s="1147"/>
      <c r="G48" s="1148"/>
      <c r="H48" s="1147"/>
      <c r="I48" s="822"/>
      <c r="J48" s="1147"/>
      <c r="K48" s="1147"/>
      <c r="L48" s="1149"/>
      <c r="M48" s="346"/>
      <c r="N48" s="345"/>
      <c r="O48" s="345"/>
      <c r="U48" s="346"/>
      <c r="V48" s="345"/>
      <c r="W48" s="345"/>
      <c r="X48" s="345"/>
      <c r="Y48" s="345"/>
      <c r="Z48" s="345"/>
      <c r="AA48" s="345"/>
      <c r="AB48" s="345"/>
      <c r="AC48" s="345"/>
      <c r="AD48" s="345"/>
      <c r="AE48" s="345"/>
      <c r="AF48" s="345"/>
      <c r="AG48" s="345"/>
      <c r="AH48" s="345"/>
      <c r="AI48" s="345"/>
      <c r="AJ48" s="345"/>
      <c r="AK48" s="345"/>
      <c r="AL48" s="345"/>
      <c r="AM48" s="345"/>
      <c r="AN48" s="345"/>
      <c r="AO48" s="345"/>
      <c r="AP48" s="345"/>
      <c r="AQ48" s="345"/>
      <c r="AR48" s="345"/>
      <c r="AS48" s="345"/>
    </row>
    <row r="49" spans="1:45" ht="13.5" customHeight="1" x14ac:dyDescent="0.2">
      <c r="A49" s="1150" t="s">
        <v>1512</v>
      </c>
      <c r="B49" s="418"/>
      <c r="C49" s="1395">
        <v>124</v>
      </c>
      <c r="D49" s="458">
        <f>MAR!BL223</f>
        <v>120</v>
      </c>
      <c r="E49" s="418"/>
      <c r="F49" s="532">
        <f>C49-D49</f>
        <v>4</v>
      </c>
      <c r="G49" s="354">
        <f>IF(D49=0,0,C49/D49-1)</f>
        <v>3.3333333333333437E-2</v>
      </c>
      <c r="H49" s="418"/>
      <c r="I49" s="1162">
        <v>3.5000000000000003E-2</v>
      </c>
      <c r="J49" s="418"/>
      <c r="K49" s="532">
        <f>C49-I49</f>
        <v>123.965</v>
      </c>
      <c r="L49" s="1151">
        <f>IF(I49=0,"NM",C49/I49-1)</f>
        <v>3541.8571428571427</v>
      </c>
      <c r="M49" s="346"/>
      <c r="N49" s="345"/>
      <c r="O49" s="345"/>
      <c r="U49" s="346"/>
      <c r="V49" s="345"/>
      <c r="W49" s="345"/>
      <c r="X49" s="345"/>
      <c r="Y49" s="345"/>
      <c r="Z49" s="345"/>
      <c r="AA49" s="345"/>
      <c r="AB49" s="345"/>
      <c r="AC49" s="345"/>
      <c r="AD49" s="345"/>
      <c r="AE49" s="345"/>
      <c r="AF49" s="345"/>
      <c r="AG49" s="345"/>
      <c r="AH49" s="345"/>
      <c r="AI49" s="345"/>
      <c r="AJ49" s="345"/>
      <c r="AK49" s="345"/>
      <c r="AL49" s="345"/>
      <c r="AM49" s="345"/>
      <c r="AN49" s="345"/>
      <c r="AO49" s="345"/>
      <c r="AP49" s="345"/>
      <c r="AQ49" s="345"/>
      <c r="AR49" s="345"/>
      <c r="AS49" s="345"/>
    </row>
    <row r="50" spans="1:45" ht="13.5" customHeight="1" x14ac:dyDescent="0.2">
      <c r="A50" s="1150" t="s">
        <v>2163</v>
      </c>
      <c r="B50" s="418"/>
      <c r="C50" s="1368">
        <v>126</v>
      </c>
      <c r="D50" s="418">
        <f>MAR!BL228</f>
        <v>117</v>
      </c>
      <c r="E50" s="418"/>
      <c r="F50" s="528">
        <f>C50-D50</f>
        <v>9</v>
      </c>
      <c r="G50" s="354">
        <f>IF(D50=0,0,C50/D50-1)</f>
        <v>7.6923076923076872E-2</v>
      </c>
      <c r="H50" s="418"/>
      <c r="I50" s="1377">
        <v>1.9999999999999948E-3</v>
      </c>
      <c r="J50" s="418"/>
      <c r="K50" s="528">
        <f>C50-I50</f>
        <v>125.998</v>
      </c>
      <c r="L50" s="1151">
        <f>IF(I50=0,"NM",C50/I50-1)</f>
        <v>62999.00000000016</v>
      </c>
      <c r="M50" s="346"/>
      <c r="N50" s="345"/>
      <c r="O50" s="345"/>
      <c r="P50" s="563"/>
      <c r="Q50" s="564"/>
      <c r="R50" s="345"/>
      <c r="S50" s="345"/>
      <c r="U50" s="346"/>
      <c r="V50" s="345"/>
      <c r="W50" s="345"/>
      <c r="X50" s="345"/>
      <c r="Y50" s="345"/>
      <c r="Z50" s="345"/>
      <c r="AA50" s="345"/>
      <c r="AB50" s="345"/>
      <c r="AC50" s="345"/>
      <c r="AD50" s="345"/>
      <c r="AE50" s="345"/>
      <c r="AF50" s="345"/>
      <c r="AG50" s="345"/>
      <c r="AH50" s="345"/>
      <c r="AI50" s="345"/>
      <c r="AJ50" s="345"/>
      <c r="AK50" s="345"/>
      <c r="AL50" s="345"/>
      <c r="AM50" s="345"/>
      <c r="AN50" s="345"/>
      <c r="AO50" s="345"/>
      <c r="AP50" s="345"/>
      <c r="AQ50" s="345"/>
      <c r="AR50" s="345"/>
      <c r="AS50" s="345"/>
    </row>
    <row r="51" spans="1:45" ht="13.5" customHeight="1" x14ac:dyDescent="0.2">
      <c r="A51" s="1150" t="s">
        <v>126</v>
      </c>
      <c r="B51" s="418"/>
      <c r="C51" s="978">
        <v>50</v>
      </c>
      <c r="D51" s="221">
        <f>MAR!BL234</f>
        <v>42</v>
      </c>
      <c r="E51" s="1402"/>
      <c r="F51" s="221">
        <f>C51-D51</f>
        <v>8</v>
      </c>
      <c r="G51" s="1135">
        <f>IF(D51=0,0,C51/D51-1)</f>
        <v>0.19047619047619047</v>
      </c>
      <c r="H51" s="1403"/>
      <c r="I51" s="966">
        <v>0.14000000000000001</v>
      </c>
      <c r="J51" s="1402"/>
      <c r="K51" s="221">
        <f>C51-I51</f>
        <v>49.86</v>
      </c>
      <c r="L51" s="1405">
        <f>IF(I51=0,"NM",C51/I51-1)</f>
        <v>356.14285714285711</v>
      </c>
      <c r="M51" s="1404"/>
      <c r="N51" s="345"/>
      <c r="O51" s="345"/>
      <c r="U51" s="346"/>
      <c r="V51" s="345"/>
      <c r="W51" s="345"/>
      <c r="X51" s="345"/>
      <c r="Y51" s="345"/>
      <c r="Z51" s="345"/>
      <c r="AA51" s="345"/>
      <c r="AB51" s="345"/>
      <c r="AC51" s="345"/>
      <c r="AD51" s="345"/>
      <c r="AE51" s="345"/>
      <c r="AF51" s="345"/>
      <c r="AG51" s="345"/>
      <c r="AH51" s="345"/>
      <c r="AI51" s="345"/>
      <c r="AJ51" s="345"/>
      <c r="AK51" s="345"/>
      <c r="AL51" s="345"/>
      <c r="AM51" s="345"/>
      <c r="AN51" s="345"/>
      <c r="AO51" s="345"/>
      <c r="AP51" s="345"/>
      <c r="AQ51" s="345"/>
      <c r="AR51" s="345"/>
      <c r="AS51" s="345"/>
    </row>
    <row r="52" spans="1:45" ht="13.5" customHeight="1" x14ac:dyDescent="0.2">
      <c r="A52" s="1152" t="s">
        <v>1735</v>
      </c>
      <c r="B52" s="820"/>
      <c r="C52" s="1163">
        <f>SUM(C49:C51)</f>
        <v>300</v>
      </c>
      <c r="D52" s="1157">
        <f>SUM(D49:D51)</f>
        <v>279</v>
      </c>
      <c r="E52" s="1158"/>
      <c r="F52" s="1159">
        <f>C52-D52</f>
        <v>21</v>
      </c>
      <c r="G52" s="1153">
        <f>IF(D52=0,0,C52/D52-1)</f>
        <v>7.5268817204301008E-2</v>
      </c>
      <c r="H52" s="820"/>
      <c r="I52" s="1163">
        <f>SUM(I49:I51)</f>
        <v>0.17700000000000002</v>
      </c>
      <c r="J52" s="1158"/>
      <c r="K52" s="1159">
        <f>C52-I52</f>
        <v>299.82299999999998</v>
      </c>
      <c r="L52" s="1385">
        <f>IF(I52=0,"NM",C52/I52-1)</f>
        <v>1693.9152542372879</v>
      </c>
      <c r="M52" s="346"/>
      <c r="N52" s="345"/>
      <c r="O52" s="345"/>
      <c r="P52" s="565"/>
      <c r="Q52" s="371"/>
      <c r="R52" s="345"/>
      <c r="S52" s="345"/>
      <c r="T52" s="345"/>
      <c r="U52" s="346"/>
      <c r="V52" s="345"/>
      <c r="W52" s="345"/>
      <c r="X52" s="345"/>
      <c r="Y52" s="345"/>
      <c r="Z52" s="345"/>
      <c r="AA52" s="345"/>
      <c r="AB52" s="345"/>
      <c r="AC52" s="345"/>
      <c r="AD52" s="345"/>
      <c r="AE52" s="345"/>
      <c r="AF52" s="345"/>
      <c r="AG52" s="345"/>
      <c r="AH52" s="345"/>
      <c r="AI52" s="345"/>
      <c r="AJ52" s="345"/>
      <c r="AK52" s="345"/>
      <c r="AL52" s="345"/>
      <c r="AM52" s="345"/>
      <c r="AN52" s="345"/>
      <c r="AO52" s="345"/>
      <c r="AP52" s="345"/>
      <c r="AQ52" s="345"/>
      <c r="AR52" s="345"/>
      <c r="AS52" s="345"/>
    </row>
    <row r="53" spans="1:45" ht="5.25" customHeight="1" x14ac:dyDescent="0.2">
      <c r="A53" s="418"/>
      <c r="B53" s="418"/>
      <c r="C53" s="458"/>
      <c r="D53" s="1165"/>
      <c r="E53" s="458"/>
      <c r="F53" s="532"/>
      <c r="G53" s="482"/>
      <c r="H53" s="418"/>
      <c r="I53" s="1165"/>
      <c r="J53" s="458"/>
      <c r="K53" s="364"/>
      <c r="L53" s="482"/>
      <c r="M53" s="345"/>
      <c r="N53" s="345"/>
      <c r="O53" s="345"/>
      <c r="P53" s="565"/>
      <c r="Q53" s="371"/>
      <c r="R53" s="345"/>
      <c r="S53" s="345"/>
      <c r="T53" s="345"/>
      <c r="U53" s="346"/>
      <c r="V53" s="345"/>
      <c r="W53" s="345"/>
      <c r="X53" s="345"/>
      <c r="Y53" s="345"/>
      <c r="Z53" s="345"/>
      <c r="AA53" s="345"/>
      <c r="AB53" s="345"/>
      <c r="AC53" s="345"/>
      <c r="AD53" s="345"/>
      <c r="AE53" s="345"/>
      <c r="AF53" s="345"/>
      <c r="AG53" s="345"/>
      <c r="AH53" s="345"/>
      <c r="AI53" s="345"/>
      <c r="AJ53" s="345"/>
      <c r="AK53" s="345"/>
      <c r="AL53" s="345"/>
      <c r="AM53" s="345"/>
      <c r="AN53" s="345"/>
      <c r="AO53" s="345"/>
      <c r="AP53" s="345"/>
      <c r="AQ53" s="345"/>
      <c r="AR53" s="345"/>
      <c r="AS53" s="345"/>
    </row>
    <row r="54" spans="1:45" ht="13.5" customHeight="1" x14ac:dyDescent="0.2">
      <c r="A54" s="421"/>
      <c r="B54" s="418"/>
      <c r="C54" s="1165"/>
      <c r="D54" s="1165"/>
      <c r="E54" s="458"/>
      <c r="F54" s="364"/>
      <c r="G54" s="482"/>
      <c r="H54" s="418"/>
      <c r="I54" s="1165"/>
      <c r="J54" s="458"/>
      <c r="K54" s="364"/>
      <c r="L54" s="482"/>
      <c r="M54" s="345"/>
      <c r="N54" s="345"/>
      <c r="O54" s="345"/>
      <c r="P54" s="1293" t="s">
        <v>1850</v>
      </c>
      <c r="Q54" s="371"/>
      <c r="R54" s="345"/>
      <c r="S54" s="345"/>
      <c r="T54" s="345"/>
      <c r="U54" s="346"/>
      <c r="V54" s="345"/>
      <c r="W54" s="345"/>
      <c r="X54" s="345"/>
      <c r="Y54" s="345"/>
      <c r="Z54" s="345"/>
      <c r="AA54" s="345"/>
      <c r="AB54" s="345"/>
      <c r="AC54" s="345"/>
      <c r="AD54" s="345"/>
      <c r="AE54" s="345"/>
      <c r="AF54" s="345"/>
      <c r="AG54" s="345"/>
      <c r="AH54" s="345"/>
      <c r="AI54" s="345"/>
      <c r="AJ54" s="345"/>
      <c r="AK54" s="345"/>
      <c r="AL54" s="345"/>
      <c r="AM54" s="345"/>
      <c r="AN54" s="345"/>
      <c r="AO54" s="345"/>
      <c r="AP54" s="345"/>
      <c r="AQ54" s="345"/>
      <c r="AR54" s="345"/>
      <c r="AS54" s="345"/>
    </row>
    <row r="55" spans="1:45" ht="13.5" customHeight="1" x14ac:dyDescent="0.2">
      <c r="A55" s="1146"/>
      <c r="B55" s="418"/>
      <c r="C55" s="418"/>
      <c r="D55" s="418"/>
      <c r="E55" s="418"/>
      <c r="F55" s="418"/>
      <c r="G55" s="462"/>
      <c r="H55" s="418"/>
      <c r="I55" s="418"/>
      <c r="J55" s="418"/>
      <c r="K55" s="418"/>
      <c r="L55" s="478"/>
      <c r="M55" s="345"/>
      <c r="N55" s="345"/>
      <c r="O55" s="345"/>
      <c r="Q55" s="371"/>
      <c r="R55" s="345"/>
      <c r="S55" s="345"/>
      <c r="T55" s="345"/>
      <c r="U55" s="346"/>
      <c r="V55" s="345"/>
      <c r="W55" s="345"/>
      <c r="X55" s="345"/>
      <c r="Y55" s="345"/>
      <c r="Z55" s="345"/>
      <c r="AA55" s="345"/>
      <c r="AB55" s="345"/>
      <c r="AC55" s="345"/>
      <c r="AD55" s="345"/>
      <c r="AE55" s="345"/>
      <c r="AF55" s="345"/>
      <c r="AG55" s="345"/>
      <c r="AH55" s="345"/>
      <c r="AI55" s="345"/>
      <c r="AJ55" s="345"/>
      <c r="AK55" s="345"/>
      <c r="AL55" s="345"/>
      <c r="AM55" s="345"/>
      <c r="AN55" s="345"/>
      <c r="AO55" s="345"/>
      <c r="AP55" s="345"/>
      <c r="AQ55" s="345"/>
      <c r="AR55" s="345"/>
      <c r="AS55" s="345"/>
    </row>
    <row r="56" spans="1:45" ht="13.5" customHeight="1" x14ac:dyDescent="0.2">
      <c r="A56" s="1146"/>
      <c r="B56" s="418"/>
      <c r="C56" s="418"/>
      <c r="D56" s="418"/>
      <c r="E56" s="418"/>
      <c r="F56" s="418"/>
      <c r="G56" s="462"/>
      <c r="H56" s="418"/>
      <c r="I56" s="418"/>
      <c r="J56" s="418"/>
      <c r="K56" s="418"/>
      <c r="L56" s="478"/>
      <c r="M56" s="345"/>
      <c r="N56" s="345"/>
      <c r="O56" s="345"/>
      <c r="P56" s="275" t="s">
        <v>91</v>
      </c>
      <c r="Q56" s="371"/>
      <c r="R56" s="345"/>
      <c r="S56" s="345"/>
      <c r="T56" s="345"/>
      <c r="U56" s="346"/>
      <c r="V56" s="345"/>
      <c r="W56" s="345"/>
      <c r="X56" s="345"/>
      <c r="Y56" s="345"/>
      <c r="Z56" s="345"/>
      <c r="AA56" s="345"/>
      <c r="AB56" s="345"/>
      <c r="AC56" s="345"/>
      <c r="AD56" s="345"/>
      <c r="AE56" s="345"/>
      <c r="AF56" s="345"/>
      <c r="AG56" s="345"/>
      <c r="AH56" s="345"/>
      <c r="AI56" s="345"/>
      <c r="AJ56" s="345"/>
      <c r="AK56" s="345"/>
      <c r="AL56" s="345"/>
      <c r="AM56" s="345"/>
      <c r="AN56" s="345"/>
      <c r="AO56" s="345"/>
      <c r="AP56" s="345"/>
      <c r="AQ56" s="345"/>
      <c r="AR56" s="345"/>
      <c r="AS56" s="345"/>
    </row>
    <row r="57" spans="1:45" ht="6.75" customHeight="1" x14ac:dyDescent="0.2">
      <c r="A57" s="1146"/>
      <c r="B57" s="418"/>
      <c r="C57" s="418"/>
      <c r="D57" s="418"/>
      <c r="E57" s="418"/>
      <c r="F57" s="418"/>
      <c r="G57" s="462"/>
      <c r="H57" s="418"/>
      <c r="I57" s="418"/>
      <c r="J57" s="418"/>
      <c r="K57" s="418"/>
      <c r="L57" s="478"/>
      <c r="M57" s="345"/>
      <c r="N57" s="345"/>
      <c r="O57" s="345"/>
      <c r="P57" s="275"/>
      <c r="Q57" s="371"/>
      <c r="R57" s="345"/>
      <c r="S57" s="345"/>
      <c r="T57" s="345"/>
      <c r="U57" s="346"/>
      <c r="V57" s="345"/>
      <c r="W57" s="345"/>
      <c r="X57" s="345"/>
      <c r="Y57" s="345"/>
      <c r="Z57" s="345"/>
      <c r="AA57" s="345"/>
      <c r="AB57" s="345"/>
      <c r="AC57" s="345"/>
      <c r="AD57" s="345"/>
      <c r="AE57" s="345"/>
      <c r="AF57" s="345"/>
      <c r="AG57" s="345"/>
      <c r="AH57" s="345"/>
      <c r="AI57" s="345"/>
      <c r="AJ57" s="345"/>
      <c r="AK57" s="345"/>
      <c r="AL57" s="345"/>
      <c r="AM57" s="345"/>
      <c r="AN57" s="345"/>
      <c r="AO57" s="345"/>
      <c r="AP57" s="345"/>
      <c r="AQ57" s="345"/>
      <c r="AR57" s="345"/>
      <c r="AS57" s="345"/>
    </row>
    <row r="58" spans="1:45" ht="13.5" customHeight="1" x14ac:dyDescent="0.2">
      <c r="B58" s="418"/>
      <c r="C58" s="418"/>
      <c r="D58" s="418"/>
      <c r="E58" s="418"/>
      <c r="F58" s="418"/>
      <c r="G58" s="462"/>
      <c r="H58" s="418"/>
      <c r="I58" s="418"/>
      <c r="J58" s="418"/>
      <c r="K58" s="418"/>
      <c r="L58" s="478"/>
      <c r="M58" s="345"/>
      <c r="N58" s="345"/>
      <c r="O58" s="345"/>
      <c r="P58" s="1294"/>
      <c r="Q58" s="1296" t="s">
        <v>1782</v>
      </c>
      <c r="R58" s="1143" t="s">
        <v>1938</v>
      </c>
      <c r="S58" s="1143"/>
      <c r="T58" s="1297" t="s">
        <v>231</v>
      </c>
      <c r="U58" s="346"/>
      <c r="V58" s="345"/>
      <c r="W58" s="345"/>
      <c r="X58" s="345"/>
      <c r="Y58" s="345"/>
      <c r="Z58" s="345"/>
      <c r="AA58" s="345"/>
      <c r="AB58" s="345"/>
      <c r="AC58" s="345"/>
      <c r="AD58" s="345"/>
      <c r="AE58" s="345"/>
      <c r="AF58" s="345"/>
      <c r="AG58" s="345"/>
      <c r="AH58" s="345"/>
      <c r="AI58" s="345"/>
      <c r="AJ58" s="345"/>
      <c r="AK58" s="345"/>
      <c r="AL58" s="345"/>
      <c r="AM58" s="345"/>
      <c r="AN58" s="345"/>
      <c r="AO58" s="345"/>
      <c r="AP58" s="345"/>
      <c r="AQ58" s="345"/>
      <c r="AR58" s="345"/>
      <c r="AS58" s="345"/>
    </row>
    <row r="59" spans="1:45" ht="13.5" customHeight="1" x14ac:dyDescent="0.2">
      <c r="A59" s="421"/>
      <c r="B59" s="418"/>
      <c r="C59" s="418"/>
      <c r="D59" s="418"/>
      <c r="E59" s="418"/>
      <c r="F59" s="418"/>
      <c r="G59" s="462"/>
      <c r="H59" s="418"/>
      <c r="I59" s="418"/>
      <c r="J59" s="418"/>
      <c r="K59" s="418"/>
      <c r="L59" s="478"/>
      <c r="M59" s="345"/>
      <c r="N59" s="345"/>
      <c r="O59" s="345"/>
      <c r="Q59" s="8"/>
      <c r="R59" s="8"/>
      <c r="S59" s="8"/>
      <c r="T59" s="1298"/>
      <c r="U59" s="346"/>
      <c r="V59" s="345"/>
      <c r="W59" s="345"/>
      <c r="X59" s="345"/>
      <c r="Y59" s="345"/>
      <c r="Z59" s="345"/>
      <c r="AA59" s="345"/>
      <c r="AB59" s="345"/>
      <c r="AC59" s="345"/>
      <c r="AD59" s="345"/>
      <c r="AE59" s="345"/>
      <c r="AF59" s="345"/>
      <c r="AG59" s="345"/>
      <c r="AH59" s="345"/>
      <c r="AI59" s="345"/>
      <c r="AJ59" s="345"/>
      <c r="AK59" s="345"/>
      <c r="AL59" s="345"/>
      <c r="AM59" s="345"/>
      <c r="AN59" s="345"/>
      <c r="AO59" s="345"/>
      <c r="AP59" s="345"/>
      <c r="AQ59" s="345"/>
      <c r="AR59" s="345"/>
      <c r="AS59" s="345"/>
    </row>
    <row r="60" spans="1:45" ht="13.5" customHeight="1" x14ac:dyDescent="0.2">
      <c r="A60" s="421"/>
      <c r="B60" s="418"/>
      <c r="C60" s="418"/>
      <c r="D60" s="418"/>
      <c r="E60" s="418"/>
      <c r="F60" s="418"/>
      <c r="G60" s="462"/>
      <c r="H60" s="418"/>
      <c r="I60" s="418"/>
      <c r="J60" s="418"/>
      <c r="K60" s="418"/>
      <c r="L60" s="478"/>
      <c r="M60" s="345"/>
      <c r="N60" s="345"/>
      <c r="O60" s="345"/>
      <c r="P60" s="369" t="s">
        <v>338</v>
      </c>
      <c r="Q60" s="1303" t="s">
        <v>1474</v>
      </c>
      <c r="R60" s="1308">
        <v>0.42</v>
      </c>
      <c r="S60" s="1307"/>
      <c r="T60" s="1410">
        <f>R60-0.41</f>
        <v>1.0000000000000009E-2</v>
      </c>
      <c r="U60" s="346"/>
      <c r="V60" s="345"/>
      <c r="W60" s="345"/>
      <c r="X60" s="345"/>
      <c r="Y60" s="345"/>
      <c r="Z60" s="345"/>
      <c r="AA60" s="345"/>
      <c r="AB60" s="345"/>
      <c r="AC60" s="345"/>
      <c r="AD60" s="345"/>
      <c r="AE60" s="345"/>
      <c r="AF60" s="345"/>
      <c r="AG60" s="345"/>
      <c r="AH60" s="345"/>
      <c r="AI60" s="345"/>
      <c r="AJ60" s="345"/>
      <c r="AK60" s="345"/>
      <c r="AL60" s="345"/>
      <c r="AM60" s="345"/>
      <c r="AN60" s="345"/>
      <c r="AO60" s="345"/>
      <c r="AP60" s="345"/>
      <c r="AQ60" s="345"/>
      <c r="AR60" s="345"/>
      <c r="AS60" s="345"/>
    </row>
    <row r="61" spans="1:45" ht="13.5" customHeight="1" x14ac:dyDescent="0.2">
      <c r="A61" s="421"/>
      <c r="B61" s="418"/>
      <c r="C61" s="418"/>
      <c r="D61" s="418"/>
      <c r="E61" s="418"/>
      <c r="F61" s="418"/>
      <c r="G61" s="462"/>
      <c r="H61" s="418"/>
      <c r="I61" s="418"/>
      <c r="J61" s="418"/>
      <c r="K61" s="418"/>
      <c r="L61" s="478"/>
      <c r="M61" s="345"/>
      <c r="N61" s="345"/>
      <c r="O61" s="345"/>
      <c r="Q61" s="8"/>
      <c r="R61" s="8"/>
      <c r="S61" s="8"/>
      <c r="T61" s="1298"/>
      <c r="U61" s="346"/>
      <c r="V61" s="345"/>
      <c r="W61" s="345"/>
      <c r="X61" s="345"/>
      <c r="Y61" s="345"/>
      <c r="Z61" s="345"/>
      <c r="AA61" s="345"/>
      <c r="AB61" s="345"/>
      <c r="AC61" s="345"/>
      <c r="AD61" s="345"/>
      <c r="AE61" s="345"/>
      <c r="AF61" s="345"/>
      <c r="AG61" s="345"/>
      <c r="AH61" s="345"/>
      <c r="AI61" s="345"/>
      <c r="AJ61" s="345"/>
      <c r="AK61" s="345"/>
      <c r="AL61" s="345"/>
      <c r="AM61" s="345"/>
      <c r="AN61" s="345"/>
      <c r="AO61" s="345"/>
      <c r="AP61" s="345"/>
      <c r="AQ61" s="345"/>
      <c r="AR61" s="345"/>
      <c r="AS61" s="345"/>
    </row>
    <row r="62" spans="1:45" ht="13.5" customHeight="1" x14ac:dyDescent="0.2">
      <c r="A62" s="421"/>
      <c r="B62" s="418"/>
      <c r="C62" s="418"/>
      <c r="D62" s="418"/>
      <c r="E62" s="418"/>
      <c r="F62" s="418"/>
      <c r="G62" s="462"/>
      <c r="H62" s="418"/>
      <c r="I62" s="418"/>
      <c r="J62" s="418"/>
      <c r="K62" s="418"/>
      <c r="L62" s="478"/>
      <c r="M62" s="345"/>
      <c r="N62" s="345"/>
      <c r="O62" s="345"/>
      <c r="P62" s="563" t="s">
        <v>137</v>
      </c>
      <c r="Q62" s="1299"/>
      <c r="R62" s="1300"/>
      <c r="S62" s="1300"/>
      <c r="T62" s="1298"/>
      <c r="U62" s="346"/>
      <c r="V62" s="345"/>
      <c r="W62" s="345"/>
      <c r="X62" s="345"/>
      <c r="Y62" s="345"/>
      <c r="Z62" s="345"/>
      <c r="AA62" s="345"/>
      <c r="AB62" s="345"/>
      <c r="AC62" s="345"/>
      <c r="AD62" s="345"/>
      <c r="AE62" s="345"/>
      <c r="AF62" s="345"/>
      <c r="AG62" s="345"/>
      <c r="AH62" s="345"/>
      <c r="AI62" s="345"/>
      <c r="AJ62" s="345"/>
      <c r="AK62" s="345"/>
      <c r="AL62" s="345"/>
      <c r="AM62" s="345"/>
      <c r="AN62" s="345"/>
      <c r="AO62" s="345"/>
      <c r="AP62" s="345"/>
      <c r="AQ62" s="345"/>
      <c r="AR62" s="345"/>
      <c r="AS62" s="345"/>
    </row>
    <row r="63" spans="1:45" ht="13.5" customHeight="1" x14ac:dyDescent="0.2">
      <c r="A63" s="421"/>
      <c r="B63" s="418"/>
      <c r="C63" s="418"/>
      <c r="D63" s="418"/>
      <c r="E63" s="418"/>
      <c r="F63" s="418"/>
      <c r="G63" s="462"/>
      <c r="H63" s="418"/>
      <c r="I63" s="418"/>
      <c r="J63" s="418"/>
      <c r="K63" s="418"/>
      <c r="L63" s="478"/>
      <c r="M63" s="345"/>
      <c r="N63" s="345"/>
      <c r="O63" s="345"/>
      <c r="P63" s="213" t="s">
        <v>1143</v>
      </c>
      <c r="Q63" s="1301" t="s">
        <v>1940</v>
      </c>
      <c r="R63" s="1390">
        <v>6.7000000000000004E-2</v>
      </c>
      <c r="S63" s="1302"/>
      <c r="T63" s="1408">
        <f>R63-0.07</f>
        <v>-3.0000000000000027E-3</v>
      </c>
      <c r="U63" s="346"/>
      <c r="V63" s="345"/>
      <c r="W63" s="345"/>
      <c r="X63" s="345"/>
      <c r="Y63" s="345"/>
      <c r="Z63" s="345"/>
      <c r="AA63" s="345"/>
      <c r="AB63" s="345"/>
      <c r="AC63" s="345"/>
      <c r="AD63" s="345"/>
      <c r="AE63" s="345"/>
      <c r="AF63" s="345"/>
      <c r="AG63" s="345"/>
      <c r="AH63" s="345"/>
      <c r="AI63" s="345"/>
      <c r="AJ63" s="345"/>
      <c r="AK63" s="345"/>
      <c r="AL63" s="345"/>
      <c r="AM63" s="345"/>
      <c r="AN63" s="345"/>
      <c r="AO63" s="345"/>
      <c r="AP63" s="345"/>
      <c r="AQ63" s="345"/>
      <c r="AR63" s="345"/>
      <c r="AS63" s="345"/>
    </row>
    <row r="64" spans="1:45" ht="13.5" customHeight="1" x14ac:dyDescent="0.2">
      <c r="A64" s="421"/>
      <c r="B64" s="418"/>
      <c r="C64" s="418"/>
      <c r="D64" s="418"/>
      <c r="E64" s="418"/>
      <c r="F64" s="418"/>
      <c r="G64" s="462"/>
      <c r="H64" s="418"/>
      <c r="I64" s="418"/>
      <c r="J64" s="418"/>
      <c r="K64" s="418"/>
      <c r="L64" s="478"/>
      <c r="M64" s="345"/>
      <c r="N64" s="345"/>
      <c r="O64" s="345"/>
      <c r="P64" s="369" t="s">
        <v>1309</v>
      </c>
      <c r="Q64" s="1301" t="s">
        <v>1940</v>
      </c>
      <c r="R64" s="1390">
        <v>6.5000000000000002E-2</v>
      </c>
      <c r="S64" s="1302"/>
      <c r="T64" s="1408">
        <f>R64-0.07</f>
        <v>-5.0000000000000044E-3</v>
      </c>
      <c r="U64" s="346"/>
      <c r="V64" s="345"/>
      <c r="W64" s="345"/>
      <c r="X64" s="345"/>
      <c r="Y64" s="345"/>
      <c r="Z64" s="345"/>
      <c r="AA64" s="345"/>
      <c r="AB64" s="345"/>
      <c r="AC64" s="345"/>
      <c r="AD64" s="345"/>
      <c r="AE64" s="345"/>
      <c r="AF64" s="345"/>
      <c r="AG64" s="345"/>
      <c r="AH64" s="345"/>
      <c r="AI64" s="345"/>
      <c r="AJ64" s="345"/>
      <c r="AK64" s="345"/>
      <c r="AL64" s="345"/>
      <c r="AM64" s="345"/>
      <c r="AN64" s="345"/>
      <c r="AO64" s="345"/>
      <c r="AP64" s="345"/>
      <c r="AQ64" s="345"/>
      <c r="AR64" s="345"/>
      <c r="AS64" s="345"/>
    </row>
    <row r="65" spans="1:45" ht="13.5" customHeight="1" x14ac:dyDescent="0.2">
      <c r="A65" s="418"/>
      <c r="B65" s="418"/>
      <c r="C65" s="418"/>
      <c r="D65" s="418"/>
      <c r="E65" s="418"/>
      <c r="F65" s="418"/>
      <c r="G65" s="462"/>
      <c r="H65" s="418"/>
      <c r="I65" s="418"/>
      <c r="J65" s="418"/>
      <c r="K65" s="418"/>
      <c r="L65" s="478"/>
      <c r="M65" s="345"/>
      <c r="N65" s="345"/>
      <c r="O65" s="345"/>
      <c r="P65" s="369" t="s">
        <v>2036</v>
      </c>
      <c r="Q65" s="1301" t="s">
        <v>1940</v>
      </c>
      <c r="R65" s="1390">
        <v>7.1999999999999995E-2</v>
      </c>
      <c r="S65" s="1302"/>
      <c r="T65" s="1408">
        <f>R65-0.07</f>
        <v>1.9999999999999879E-3</v>
      </c>
      <c r="U65" s="346"/>
      <c r="V65" s="345"/>
      <c r="W65" s="345"/>
      <c r="X65" s="345"/>
      <c r="Y65" s="345"/>
      <c r="Z65" s="345"/>
      <c r="AA65" s="345"/>
      <c r="AB65" s="345"/>
      <c r="AC65" s="345"/>
      <c r="AD65" s="345"/>
      <c r="AE65" s="345"/>
      <c r="AF65" s="345"/>
      <c r="AG65" s="345"/>
      <c r="AH65" s="345"/>
      <c r="AI65" s="345"/>
      <c r="AJ65" s="345"/>
      <c r="AK65" s="345"/>
      <c r="AL65" s="345"/>
      <c r="AM65" s="345"/>
      <c r="AN65" s="345"/>
      <c r="AO65" s="345"/>
      <c r="AP65" s="345"/>
      <c r="AQ65" s="345"/>
      <c r="AR65" s="345"/>
      <c r="AS65" s="345"/>
    </row>
    <row r="66" spans="1:45" ht="13.5" customHeight="1" x14ac:dyDescent="0.2">
      <c r="A66" s="418"/>
      <c r="B66" s="418"/>
      <c r="C66" s="418"/>
      <c r="D66" s="418"/>
      <c r="E66" s="418"/>
      <c r="F66" s="418"/>
      <c r="G66" s="462"/>
      <c r="H66" s="418"/>
      <c r="I66" s="418"/>
      <c r="J66" s="418"/>
      <c r="K66" s="418"/>
      <c r="L66" s="478"/>
      <c r="M66" s="345"/>
      <c r="N66" s="345"/>
      <c r="O66" s="345"/>
      <c r="P66" s="392"/>
      <c r="Q66" s="1301"/>
      <c r="R66" s="1300"/>
      <c r="S66" s="1300"/>
      <c r="T66" s="1298"/>
      <c r="U66" s="346"/>
      <c r="V66" s="345"/>
      <c r="W66" s="345"/>
      <c r="X66" s="345"/>
      <c r="Y66" s="345"/>
      <c r="Z66" s="345"/>
      <c r="AA66" s="345"/>
      <c r="AB66" s="345"/>
      <c r="AC66" s="345"/>
      <c r="AD66" s="345"/>
      <c r="AE66" s="345"/>
      <c r="AF66" s="345"/>
      <c r="AG66" s="345"/>
      <c r="AH66" s="345"/>
      <c r="AI66" s="345"/>
      <c r="AJ66" s="345"/>
      <c r="AK66" s="345"/>
      <c r="AL66" s="345"/>
      <c r="AM66" s="345"/>
      <c r="AN66" s="345"/>
      <c r="AO66" s="345"/>
      <c r="AP66" s="345"/>
      <c r="AQ66" s="345"/>
      <c r="AR66" s="345"/>
      <c r="AS66" s="345"/>
    </row>
    <row r="67" spans="1:45" ht="13.5" customHeight="1" x14ac:dyDescent="0.2">
      <c r="A67" s="418"/>
      <c r="B67" s="418"/>
      <c r="C67" s="418"/>
      <c r="D67" s="418"/>
      <c r="E67" s="418"/>
      <c r="F67" s="418"/>
      <c r="G67" s="462"/>
      <c r="H67" s="418"/>
      <c r="I67" s="418"/>
      <c r="J67" s="418"/>
      <c r="K67" s="418"/>
      <c r="L67" s="478"/>
      <c r="M67" s="345"/>
      <c r="N67" s="345"/>
      <c r="O67" s="345"/>
      <c r="P67" s="1295" t="s">
        <v>125</v>
      </c>
      <c r="Q67" s="1301"/>
      <c r="R67" s="1300"/>
      <c r="S67" s="1300"/>
      <c r="T67" s="1298"/>
      <c r="U67" s="346"/>
      <c r="V67" s="345"/>
      <c r="W67" s="345"/>
      <c r="X67" s="345"/>
      <c r="Y67" s="345"/>
      <c r="Z67" s="345"/>
      <c r="AA67" s="345"/>
      <c r="AB67" s="345"/>
      <c r="AC67" s="345"/>
      <c r="AD67" s="345"/>
      <c r="AE67" s="345"/>
      <c r="AF67" s="345"/>
      <c r="AG67" s="345"/>
      <c r="AH67" s="345"/>
      <c r="AI67" s="345"/>
      <c r="AJ67" s="345"/>
      <c r="AK67" s="345"/>
      <c r="AL67" s="345"/>
      <c r="AM67" s="345"/>
      <c r="AN67" s="345"/>
      <c r="AO67" s="345"/>
      <c r="AP67" s="345"/>
      <c r="AQ67" s="345"/>
      <c r="AR67" s="345"/>
      <c r="AS67" s="345"/>
    </row>
    <row r="68" spans="1:45" ht="13.5" customHeight="1" x14ac:dyDescent="0.2">
      <c r="A68" s="418"/>
      <c r="B68" s="418"/>
      <c r="C68" s="418"/>
      <c r="D68" s="418"/>
      <c r="E68" s="418"/>
      <c r="F68" s="418"/>
      <c r="G68" s="462"/>
      <c r="H68" s="418"/>
      <c r="I68" s="418"/>
      <c r="J68" s="418"/>
      <c r="K68" s="418"/>
      <c r="L68" s="478"/>
      <c r="M68" s="345"/>
      <c r="N68" s="345"/>
      <c r="O68" s="345"/>
      <c r="P68" s="213" t="s">
        <v>139</v>
      </c>
      <c r="Q68" s="1304" t="s">
        <v>1851</v>
      </c>
      <c r="R68" s="1421">
        <f>141+145+56</f>
        <v>342</v>
      </c>
      <c r="S68" s="1303"/>
      <c r="T68" s="1409">
        <f>R68-350</f>
        <v>-8</v>
      </c>
      <c r="U68" s="346"/>
      <c r="V68" s="345"/>
      <c r="W68" s="345"/>
      <c r="X68" s="345"/>
      <c r="Y68" s="345"/>
      <c r="Z68" s="345"/>
      <c r="AA68" s="345"/>
      <c r="AB68" s="345"/>
      <c r="AC68" s="345"/>
      <c r="AD68" s="345"/>
      <c r="AE68" s="345"/>
      <c r="AF68" s="345"/>
      <c r="AG68" s="345"/>
      <c r="AH68" s="345"/>
      <c r="AI68" s="345"/>
      <c r="AJ68" s="345"/>
      <c r="AK68" s="345"/>
      <c r="AL68" s="345"/>
      <c r="AM68" s="345"/>
      <c r="AN68" s="345"/>
      <c r="AO68" s="345"/>
      <c r="AP68" s="345"/>
      <c r="AQ68" s="345"/>
      <c r="AR68" s="345"/>
      <c r="AS68" s="345"/>
    </row>
    <row r="69" spans="1:45" ht="13.5" customHeight="1" x14ac:dyDescent="0.2">
      <c r="A69" s="418"/>
      <c r="B69" s="418"/>
      <c r="C69" s="418"/>
      <c r="D69" s="418"/>
      <c r="E69" s="418"/>
      <c r="F69" s="418"/>
      <c r="G69" s="462"/>
      <c r="H69" s="418"/>
      <c r="I69" s="418"/>
      <c r="J69" s="418"/>
      <c r="K69" s="418"/>
      <c r="L69" s="478"/>
      <c r="M69" s="345"/>
      <c r="N69" s="345"/>
      <c r="O69" s="345"/>
      <c r="P69" s="369" t="s">
        <v>138</v>
      </c>
      <c r="Q69" s="1303" t="s">
        <v>1852</v>
      </c>
      <c r="R69" s="1389">
        <f>264-203</f>
        <v>61</v>
      </c>
      <c r="S69" s="1305"/>
      <c r="T69" s="1298">
        <f>R69-37.5</f>
        <v>23.5</v>
      </c>
      <c r="U69" s="346"/>
      <c r="V69" s="345"/>
      <c r="W69" s="345"/>
      <c r="X69" s="345"/>
      <c r="Y69" s="345"/>
      <c r="Z69" s="345"/>
      <c r="AA69" s="345"/>
      <c r="AB69" s="345"/>
      <c r="AC69" s="345"/>
      <c r="AD69" s="345"/>
      <c r="AE69" s="345"/>
      <c r="AF69" s="345"/>
      <c r="AG69" s="345"/>
      <c r="AH69" s="345"/>
      <c r="AI69" s="345"/>
      <c r="AJ69" s="345"/>
      <c r="AK69" s="345"/>
      <c r="AL69" s="345"/>
      <c r="AM69" s="345"/>
      <c r="AN69" s="345"/>
      <c r="AO69" s="345"/>
      <c r="AP69" s="345"/>
      <c r="AQ69" s="345"/>
      <c r="AR69" s="345"/>
      <c r="AS69" s="345"/>
    </row>
    <row r="70" spans="1:45" ht="13.5" customHeight="1" x14ac:dyDescent="0.2">
      <c r="A70" s="418"/>
      <c r="B70" s="418"/>
      <c r="C70" s="418"/>
      <c r="D70" s="418"/>
      <c r="E70" s="418"/>
      <c r="F70" s="418"/>
      <c r="G70" s="462"/>
      <c r="H70" s="418"/>
      <c r="I70" s="418"/>
      <c r="J70" s="418"/>
      <c r="K70" s="418"/>
      <c r="L70" s="478"/>
      <c r="M70" s="345"/>
      <c r="N70" s="345"/>
      <c r="O70" s="345"/>
      <c r="S70" s="1300"/>
      <c r="T70" s="1298"/>
      <c r="U70" s="346"/>
      <c r="V70" s="345"/>
      <c r="W70" s="345"/>
      <c r="X70" s="345"/>
      <c r="Y70" s="345"/>
      <c r="Z70" s="345"/>
      <c r="AA70" s="345"/>
      <c r="AB70" s="345"/>
      <c r="AC70" s="345"/>
      <c r="AD70" s="345"/>
      <c r="AE70" s="345"/>
      <c r="AF70" s="345"/>
      <c r="AG70" s="345"/>
      <c r="AH70" s="345"/>
      <c r="AI70" s="345"/>
      <c r="AJ70" s="345"/>
      <c r="AK70" s="345"/>
      <c r="AL70" s="345"/>
      <c r="AM70" s="345"/>
      <c r="AN70" s="345"/>
      <c r="AO70" s="345"/>
      <c r="AP70" s="345"/>
      <c r="AQ70" s="345"/>
      <c r="AR70" s="345"/>
      <c r="AS70" s="345"/>
    </row>
    <row r="71" spans="1:45" ht="13.5" customHeight="1" x14ac:dyDescent="0.2">
      <c r="A71" s="418"/>
      <c r="B71" s="418"/>
      <c r="C71" s="418"/>
      <c r="D71" s="418"/>
      <c r="E71" s="418"/>
      <c r="F71" s="418"/>
      <c r="G71" s="462"/>
      <c r="H71" s="418"/>
      <c r="I71" s="418"/>
      <c r="J71" s="418"/>
      <c r="K71" s="418"/>
      <c r="L71" s="478"/>
      <c r="M71" s="345"/>
      <c r="N71" s="345"/>
      <c r="O71" s="345"/>
      <c r="P71" s="1295" t="s">
        <v>1931</v>
      </c>
      <c r="Q71" s="1303"/>
      <c r="R71" s="1300"/>
      <c r="S71" s="1300"/>
      <c r="T71" s="1298"/>
      <c r="U71" s="346"/>
      <c r="V71" s="345"/>
      <c r="W71" s="345"/>
      <c r="X71" s="345"/>
      <c r="Y71" s="345"/>
      <c r="Z71" s="345"/>
      <c r="AA71" s="345"/>
      <c r="AB71" s="345"/>
      <c r="AC71" s="345"/>
      <c r="AD71" s="345"/>
      <c r="AE71" s="345"/>
      <c r="AF71" s="345"/>
      <c r="AG71" s="345"/>
      <c r="AH71" s="345"/>
      <c r="AI71" s="345"/>
      <c r="AJ71" s="345"/>
      <c r="AK71" s="345"/>
      <c r="AL71" s="345"/>
      <c r="AM71" s="345"/>
      <c r="AN71" s="345"/>
      <c r="AP71" s="345"/>
      <c r="AQ71" s="345"/>
      <c r="AR71" s="345"/>
      <c r="AS71" s="345"/>
    </row>
    <row r="72" spans="1:45" ht="13.5" customHeight="1" x14ac:dyDescent="0.2">
      <c r="A72" s="418"/>
      <c r="B72" s="418"/>
      <c r="C72" s="418"/>
      <c r="D72" s="418"/>
      <c r="E72" s="418"/>
      <c r="F72" s="418"/>
      <c r="G72" s="462"/>
      <c r="H72" s="418"/>
      <c r="I72" s="418"/>
      <c r="J72" s="418"/>
      <c r="K72" s="418"/>
      <c r="L72" s="478"/>
      <c r="M72" s="345"/>
      <c r="N72" s="345"/>
      <c r="O72" s="345"/>
      <c r="P72" s="369" t="s">
        <v>140</v>
      </c>
      <c r="Q72" s="1305">
        <v>150</v>
      </c>
      <c r="R72" s="1407">
        <v>160</v>
      </c>
      <c r="S72" s="1300"/>
      <c r="T72" s="1409">
        <f>R72-150</f>
        <v>10</v>
      </c>
      <c r="U72" s="346"/>
      <c r="V72" s="345"/>
      <c r="W72" s="345"/>
      <c r="X72" s="345"/>
      <c r="Y72" s="345"/>
      <c r="Z72" s="345"/>
      <c r="AA72" s="345"/>
      <c r="AB72" s="345"/>
      <c r="AC72" s="345"/>
      <c r="AD72" s="345"/>
      <c r="AE72" s="345"/>
      <c r="AF72" s="345"/>
      <c r="AG72" s="345"/>
      <c r="AH72" s="345"/>
      <c r="AI72" s="345"/>
      <c r="AJ72" s="345"/>
      <c r="AK72" s="345"/>
      <c r="AL72" s="345"/>
      <c r="AM72" s="345"/>
      <c r="AN72" s="345"/>
      <c r="AO72" s="345"/>
      <c r="AP72" s="345"/>
      <c r="AQ72" s="345"/>
      <c r="AR72" s="345"/>
      <c r="AS72" s="345"/>
    </row>
    <row r="73" spans="1:45" ht="13.5" customHeight="1" x14ac:dyDescent="0.2">
      <c r="A73" s="418"/>
      <c r="B73" s="418"/>
      <c r="C73" s="418"/>
      <c r="D73" s="418"/>
      <c r="E73" s="418"/>
      <c r="F73" s="418"/>
      <c r="G73" s="462"/>
      <c r="H73" s="418"/>
      <c r="I73" s="418"/>
      <c r="J73" s="418"/>
      <c r="K73" s="418"/>
      <c r="L73" s="478"/>
      <c r="M73" s="345"/>
      <c r="N73" s="345"/>
      <c r="O73" s="345"/>
      <c r="P73" s="213" t="s">
        <v>141</v>
      </c>
      <c r="Q73" s="1304" t="s">
        <v>1476</v>
      </c>
      <c r="R73" s="1300">
        <v>243</v>
      </c>
      <c r="S73" s="1300"/>
      <c r="T73" s="1298">
        <f>R73-237.5</f>
        <v>5.5</v>
      </c>
      <c r="U73" s="346"/>
      <c r="V73" s="345"/>
      <c r="W73" s="345"/>
      <c r="X73" s="345"/>
      <c r="Y73" s="345"/>
      <c r="Z73" s="345"/>
      <c r="AA73" s="345"/>
      <c r="AB73" s="345"/>
      <c r="AC73" s="345"/>
      <c r="AD73" s="345"/>
      <c r="AE73" s="345"/>
      <c r="AF73" s="345"/>
      <c r="AG73" s="345"/>
      <c r="AH73" s="345"/>
      <c r="AI73" s="345"/>
      <c r="AJ73" s="345"/>
      <c r="AK73" s="345"/>
      <c r="AL73" s="345"/>
      <c r="AM73" s="345"/>
      <c r="AN73" s="345"/>
      <c r="AO73" s="345"/>
      <c r="AP73" s="345"/>
      <c r="AQ73" s="345"/>
      <c r="AR73" s="345"/>
      <c r="AS73" s="345"/>
    </row>
    <row r="74" spans="1:45" ht="13.5" customHeight="1" x14ac:dyDescent="0.2">
      <c r="A74" s="418"/>
      <c r="B74" s="418"/>
      <c r="C74" s="418"/>
      <c r="D74" s="418"/>
      <c r="E74" s="418"/>
      <c r="F74" s="418"/>
      <c r="G74" s="462"/>
      <c r="H74" s="418"/>
      <c r="I74" s="418"/>
      <c r="J74" s="418"/>
      <c r="K74" s="418"/>
      <c r="L74" s="478"/>
      <c r="M74" s="345"/>
      <c r="N74" s="345"/>
      <c r="O74" s="345"/>
      <c r="P74" s="213" t="s">
        <v>89</v>
      </c>
      <c r="Q74" s="1303">
        <v>30</v>
      </c>
      <c r="R74" s="1300">
        <v>31</v>
      </c>
      <c r="S74" s="1300"/>
      <c r="T74" s="1298">
        <f>-(R74-Q74)</f>
        <v>-1</v>
      </c>
      <c r="U74" s="346"/>
      <c r="V74" s="345"/>
      <c r="W74" s="345"/>
      <c r="X74" s="345"/>
      <c r="Y74" s="345"/>
      <c r="Z74" s="345"/>
      <c r="AA74" s="345"/>
      <c r="AB74" s="345"/>
      <c r="AC74" s="345"/>
      <c r="AD74" s="345"/>
      <c r="AE74" s="345"/>
      <c r="AF74" s="345"/>
      <c r="AG74" s="345"/>
      <c r="AH74" s="345"/>
      <c r="AI74" s="345"/>
      <c r="AJ74" s="345"/>
      <c r="AK74" s="345"/>
      <c r="AL74" s="345"/>
      <c r="AM74" s="345"/>
      <c r="AN74" s="345"/>
      <c r="AO74" s="345"/>
      <c r="AP74" s="345"/>
      <c r="AQ74" s="345"/>
      <c r="AR74" s="345"/>
      <c r="AS74" s="345"/>
    </row>
    <row r="75" spans="1:45" ht="13.5" customHeight="1" x14ac:dyDescent="0.2">
      <c r="A75" s="421"/>
      <c r="B75" s="418"/>
      <c r="C75" s="424"/>
      <c r="D75" s="424"/>
      <c r="E75" s="424"/>
      <c r="F75" s="424"/>
      <c r="G75" s="457"/>
      <c r="H75" s="477"/>
      <c r="I75" s="424"/>
      <c r="J75" s="424"/>
      <c r="K75" s="424"/>
      <c r="L75" s="465"/>
      <c r="M75" s="345"/>
      <c r="N75" s="345"/>
      <c r="O75" s="345"/>
      <c r="P75" s="213" t="s">
        <v>1294</v>
      </c>
      <c r="Q75" s="1303">
        <v>0</v>
      </c>
      <c r="R75" s="1300">
        <v>-8</v>
      </c>
      <c r="S75" s="1300"/>
      <c r="T75" s="1298">
        <f>R75-Q75</f>
        <v>-8</v>
      </c>
      <c r="U75" s="346"/>
      <c r="V75" s="345"/>
      <c r="W75" s="345"/>
      <c r="X75" s="345"/>
      <c r="Y75" s="345"/>
      <c r="Z75" s="345"/>
      <c r="AA75" s="345"/>
      <c r="AB75" s="345"/>
      <c r="AC75" s="345"/>
      <c r="AD75" s="345"/>
      <c r="AE75" s="345"/>
      <c r="AF75" s="345"/>
      <c r="AG75" s="345"/>
      <c r="AH75" s="345"/>
      <c r="AI75" s="345"/>
      <c r="AJ75" s="345"/>
      <c r="AK75" s="345"/>
      <c r="AL75" s="345"/>
      <c r="AM75" s="345"/>
      <c r="AN75" s="345"/>
      <c r="AO75" s="345"/>
      <c r="AP75" s="345"/>
      <c r="AQ75" s="345"/>
      <c r="AR75" s="345"/>
      <c r="AS75" s="345"/>
    </row>
    <row r="76" spans="1:45" ht="5.25" customHeight="1" x14ac:dyDescent="0.2">
      <c r="A76" s="418"/>
      <c r="B76" s="418"/>
      <c r="C76" s="418"/>
      <c r="D76" s="418"/>
      <c r="E76" s="418"/>
      <c r="F76" s="418"/>
      <c r="G76" s="462"/>
      <c r="H76" s="418"/>
      <c r="I76" s="418"/>
      <c r="J76" s="418"/>
      <c r="K76" s="418"/>
      <c r="L76" s="478"/>
      <c r="M76" s="345"/>
      <c r="N76" s="345"/>
      <c r="O76" s="345"/>
      <c r="T76" s="1306"/>
      <c r="U76" s="346"/>
      <c r="V76" s="345"/>
      <c r="W76" s="345"/>
      <c r="X76" s="345"/>
      <c r="Y76" s="345"/>
      <c r="Z76" s="345"/>
      <c r="AA76" s="345"/>
      <c r="AB76" s="345"/>
      <c r="AC76" s="345"/>
      <c r="AD76" s="345"/>
      <c r="AE76" s="345"/>
      <c r="AF76" s="345"/>
      <c r="AG76" s="345"/>
      <c r="AH76" s="345"/>
      <c r="AI76" s="345"/>
      <c r="AJ76" s="345"/>
      <c r="AK76" s="345"/>
      <c r="AL76" s="345"/>
      <c r="AM76" s="345"/>
      <c r="AN76" s="345"/>
      <c r="AO76" s="345"/>
      <c r="AP76" s="345"/>
      <c r="AQ76" s="345"/>
      <c r="AR76" s="345"/>
      <c r="AS76" s="345"/>
    </row>
    <row r="77" spans="1:45" ht="6.75" customHeight="1" x14ac:dyDescent="0.2">
      <c r="A77" s="418"/>
      <c r="B77" s="418"/>
      <c r="C77" s="459"/>
      <c r="D77" s="459"/>
      <c r="E77" s="459"/>
      <c r="F77" s="418"/>
      <c r="G77" s="467"/>
      <c r="H77" s="418"/>
      <c r="I77" s="470"/>
      <c r="J77" s="459"/>
      <c r="K77" s="418"/>
      <c r="L77" s="467"/>
      <c r="M77" s="418"/>
      <c r="N77" s="418"/>
      <c r="O77" s="418"/>
      <c r="P77" s="418"/>
      <c r="Q77" s="418"/>
      <c r="R77" s="418"/>
      <c r="S77" s="418"/>
      <c r="T77" s="418"/>
      <c r="U77" s="418"/>
      <c r="V77" s="418"/>
      <c r="W77" s="418"/>
      <c r="X77" s="418"/>
      <c r="Y77" s="418"/>
      <c r="Z77" s="418"/>
      <c r="AA77" s="418"/>
      <c r="AB77" s="418"/>
      <c r="AC77" s="418"/>
      <c r="AD77" s="418"/>
      <c r="AE77" s="418"/>
      <c r="AF77" s="418"/>
      <c r="AG77" s="418"/>
      <c r="AH77" s="418"/>
      <c r="AI77" s="418"/>
      <c r="AJ77" s="418"/>
      <c r="AK77" s="418"/>
      <c r="AL77" s="418"/>
      <c r="AM77" s="418"/>
      <c r="AN77" s="418"/>
      <c r="AO77" s="418"/>
      <c r="AP77" s="418"/>
      <c r="AQ77" s="418"/>
      <c r="AR77" s="418"/>
      <c r="AS77" s="418"/>
    </row>
    <row r="78" spans="1:45" s="70" customFormat="1" ht="13.5" customHeight="1" x14ac:dyDescent="0.2">
      <c r="A78" s="418"/>
      <c r="B78" s="418"/>
      <c r="C78" s="460"/>
      <c r="D78" s="460"/>
      <c r="E78" s="423"/>
      <c r="F78" s="460"/>
      <c r="G78" s="467"/>
      <c r="H78" s="418"/>
      <c r="I78" s="471"/>
      <c r="J78" s="460"/>
      <c r="K78" s="423"/>
      <c r="L78" s="469"/>
      <c r="M78" s="418"/>
      <c r="N78" s="418"/>
      <c r="O78" s="418"/>
      <c r="P78" s="418"/>
      <c r="Q78" s="418"/>
      <c r="R78" s="418"/>
      <c r="S78" s="418"/>
      <c r="T78" s="418"/>
      <c r="U78" s="418"/>
      <c r="V78" s="248" t="s">
        <v>92</v>
      </c>
    </row>
    <row r="79" spans="1:45" s="70" customFormat="1" ht="13.5" customHeight="1" x14ac:dyDescent="0.2">
      <c r="A79" s="418"/>
      <c r="B79" s="418"/>
      <c r="C79" s="460"/>
      <c r="D79" s="460"/>
      <c r="E79" s="423"/>
      <c r="F79" s="460"/>
      <c r="G79" s="467"/>
      <c r="H79" s="418"/>
      <c r="I79" s="471"/>
      <c r="J79" s="460"/>
      <c r="K79" s="423"/>
      <c r="L79" s="469"/>
      <c r="M79" s="418"/>
      <c r="N79" s="418"/>
      <c r="O79" s="418"/>
      <c r="P79" s="418"/>
      <c r="Q79" s="418"/>
      <c r="R79" s="1422"/>
      <c r="S79" s="418"/>
      <c r="T79" s="418"/>
      <c r="U79" s="418"/>
      <c r="V79" s="275" t="s">
        <v>91</v>
      </c>
    </row>
    <row r="80" spans="1:45" s="70" customFormat="1" ht="13.5" customHeight="1" x14ac:dyDescent="0.2">
      <c r="A80" s="418"/>
      <c r="B80" s="418"/>
      <c r="C80" s="460"/>
      <c r="D80" s="460"/>
      <c r="E80" s="423"/>
      <c r="F80" s="460"/>
      <c r="G80" s="467"/>
      <c r="H80" s="418"/>
      <c r="I80" s="471"/>
      <c r="J80" s="460"/>
      <c r="K80" s="423"/>
      <c r="L80" s="469"/>
      <c r="M80" s="418"/>
      <c r="N80" s="418"/>
      <c r="O80" s="418"/>
      <c r="P80" s="418"/>
      <c r="Q80" s="418"/>
      <c r="R80" s="418"/>
      <c r="S80" s="418"/>
      <c r="T80" s="418"/>
      <c r="U80" s="418"/>
      <c r="W80" s="1309" t="s">
        <v>731</v>
      </c>
      <c r="X80" s="1310"/>
      <c r="Y80" s="1309"/>
      <c r="Z80" s="1309"/>
      <c r="AA80" s="1309" t="s">
        <v>731</v>
      </c>
      <c r="AB80" s="1310"/>
      <c r="AC80" s="1309"/>
      <c r="AD80" s="1310"/>
      <c r="AE80" s="1310"/>
      <c r="AF80" s="1310"/>
      <c r="AG80" s="1310"/>
      <c r="AH80" s="1309"/>
      <c r="AI80" s="1309"/>
      <c r="AJ80" s="1310"/>
      <c r="AK80" s="1309"/>
      <c r="AL80"/>
      <c r="AM80" s="390"/>
      <c r="AN80" s="390"/>
      <c r="AO80" s="390"/>
      <c r="AP80" s="390"/>
      <c r="AQ80" s="390"/>
      <c r="AR80" s="390"/>
      <c r="AS80" s="390"/>
    </row>
    <row r="81" spans="1:49" s="70" customFormat="1" ht="13.5" customHeight="1" x14ac:dyDescent="0.2">
      <c r="A81" s="418"/>
      <c r="B81" s="418"/>
      <c r="C81" s="460"/>
      <c r="D81" s="460"/>
      <c r="E81" s="423"/>
      <c r="F81" s="460"/>
      <c r="G81" s="467"/>
      <c r="H81" s="418"/>
      <c r="I81" s="471"/>
      <c r="J81" s="460"/>
      <c r="K81" s="423"/>
      <c r="L81" s="469"/>
      <c r="M81" s="418"/>
      <c r="N81" s="418"/>
      <c r="O81" s="418"/>
      <c r="P81" s="418"/>
      <c r="Q81" s="418"/>
      <c r="R81" s="418"/>
      <c r="S81" s="418"/>
      <c r="T81" s="418"/>
      <c r="U81" s="418"/>
      <c r="V81" s="394"/>
      <c r="W81" s="1309" t="s">
        <v>1543</v>
      </c>
      <c r="X81" s="1309"/>
      <c r="Y81" s="1309"/>
      <c r="Z81" s="390"/>
      <c r="AA81" s="1309" t="s">
        <v>1544</v>
      </c>
      <c r="AB81" s="1309"/>
      <c r="AC81" s="1309"/>
      <c r="AD81" s="537"/>
      <c r="AE81" s="1325" t="s">
        <v>287</v>
      </c>
      <c r="AF81" s="1325"/>
      <c r="AG81" s="1325"/>
      <c r="AH81" s="390"/>
      <c r="AI81" s="1324" t="s">
        <v>288</v>
      </c>
      <c r="AJ81" s="1325"/>
      <c r="AK81" s="1326"/>
      <c r="AL81" s="537"/>
      <c r="AM81" s="390" t="s">
        <v>98</v>
      </c>
      <c r="AN81" s="390"/>
      <c r="AO81" s="390"/>
      <c r="AP81" s="390"/>
      <c r="AQ81" s="390"/>
      <c r="AR81" s="390"/>
      <c r="AS81" s="390"/>
    </row>
    <row r="82" spans="1:49" s="70" customFormat="1" ht="13.5" customHeight="1" x14ac:dyDescent="0.2">
      <c r="A82" s="418"/>
      <c r="B82" s="418"/>
      <c r="C82" s="460"/>
      <c r="D82" s="460"/>
      <c r="E82" s="423"/>
      <c r="F82" s="460"/>
      <c r="G82" s="467"/>
      <c r="H82" s="418"/>
      <c r="I82" s="471"/>
      <c r="J82" s="460"/>
      <c r="K82" s="423"/>
      <c r="L82" s="469"/>
      <c r="M82" s="418"/>
      <c r="N82" s="418"/>
      <c r="O82" s="418"/>
      <c r="P82" s="418"/>
      <c r="Q82" s="418"/>
      <c r="R82" s="418"/>
      <c r="S82" s="418"/>
      <c r="T82" s="418"/>
      <c r="U82" s="418"/>
      <c r="V82" s="394"/>
      <c r="W82" s="1312" t="s">
        <v>573</v>
      </c>
      <c r="X82" s="1312"/>
      <c r="Y82" s="1312" t="s">
        <v>574</v>
      </c>
      <c r="Z82" s="390"/>
      <c r="AA82" s="1312" t="s">
        <v>573</v>
      </c>
      <c r="AB82" s="1312"/>
      <c r="AC82" s="1312" t="s">
        <v>574</v>
      </c>
      <c r="AD82" s="537"/>
      <c r="AE82" s="1312" t="s">
        <v>573</v>
      </c>
      <c r="AF82" s="1312"/>
      <c r="AG82" s="1312" t="s">
        <v>574</v>
      </c>
      <c r="AH82" s="390"/>
      <c r="AI82" s="1327" t="s">
        <v>573</v>
      </c>
      <c r="AJ82" s="1312"/>
      <c r="AK82" s="1328" t="s">
        <v>574</v>
      </c>
      <c r="AL82" s="537"/>
      <c r="AM82" s="1" t="s">
        <v>1142</v>
      </c>
      <c r="AN82" s="390"/>
      <c r="AO82" s="390"/>
      <c r="AP82" s="390"/>
      <c r="AQ82" s="390"/>
      <c r="AR82" s="390"/>
      <c r="AS82" s="390"/>
    </row>
    <row r="83" spans="1:49" s="70" customFormat="1" ht="13.5" customHeight="1" x14ac:dyDescent="0.2">
      <c r="A83" s="418"/>
      <c r="B83" s="418"/>
      <c r="C83" s="460"/>
      <c r="D83" s="460"/>
      <c r="E83" s="423"/>
      <c r="F83" s="460"/>
      <c r="G83" s="467"/>
      <c r="H83" s="418"/>
      <c r="I83" s="471"/>
      <c r="J83" s="460"/>
      <c r="K83" s="423"/>
      <c r="L83" s="469"/>
      <c r="M83" s="418"/>
      <c r="N83" s="418"/>
      <c r="O83" s="418"/>
      <c r="P83" s="418"/>
      <c r="Q83" s="418"/>
      <c r="R83" s="418"/>
      <c r="S83" s="418"/>
      <c r="T83" s="418"/>
      <c r="U83" s="418"/>
      <c r="V83" s="394"/>
      <c r="W83" s="1312"/>
      <c r="X83" s="1312"/>
      <c r="Y83" s="1312"/>
      <c r="Z83" s="390"/>
      <c r="AA83" s="1312"/>
      <c r="AB83" s="1312"/>
      <c r="AC83" s="1312"/>
      <c r="AD83" s="537"/>
      <c r="AE83" s="1312"/>
      <c r="AF83" s="1312"/>
      <c r="AG83" s="1312"/>
      <c r="AH83" s="390"/>
      <c r="AI83" s="1327"/>
      <c r="AJ83" s="1312"/>
      <c r="AK83" s="1328"/>
      <c r="AL83" s="537"/>
      <c r="AM83" s="390"/>
      <c r="AN83" s="390"/>
      <c r="AO83" s="390"/>
      <c r="AP83" s="390"/>
      <c r="AQ83" s="390"/>
      <c r="AR83" s="390"/>
      <c r="AS83" s="390"/>
    </row>
    <row r="84" spans="1:49" s="70" customFormat="1" ht="13.5" customHeight="1" x14ac:dyDescent="0.2">
      <c r="A84" s="418"/>
      <c r="B84" s="418"/>
      <c r="C84" s="460"/>
      <c r="D84" s="460"/>
      <c r="E84" s="423"/>
      <c r="F84" s="460"/>
      <c r="G84" s="467"/>
      <c r="H84" s="418"/>
      <c r="I84" s="471"/>
      <c r="J84" s="460"/>
      <c r="K84" s="423"/>
      <c r="L84" s="469"/>
      <c r="M84" s="418"/>
      <c r="N84" s="418"/>
      <c r="O84" s="418"/>
      <c r="P84" s="418"/>
      <c r="Q84" s="418"/>
      <c r="R84" s="418"/>
      <c r="S84" s="418"/>
      <c r="T84" s="418"/>
      <c r="U84" s="418"/>
      <c r="V84" s="1348" t="s">
        <v>95</v>
      </c>
      <c r="W84" s="1352">
        <v>1420</v>
      </c>
      <c r="X84" s="1343" t="s">
        <v>2067</v>
      </c>
      <c r="Y84" s="1352">
        <v>1490</v>
      </c>
      <c r="Z84" s="1349"/>
      <c r="AA84" s="1352">
        <v>1410</v>
      </c>
      <c r="AB84" s="1343" t="s">
        <v>2067</v>
      </c>
      <c r="AC84" s="1352">
        <v>1450</v>
      </c>
      <c r="AD84" s="1349"/>
      <c r="AE84" s="1352">
        <v>1425</v>
      </c>
      <c r="AF84" s="1343" t="s">
        <v>2067</v>
      </c>
      <c r="AG84" s="1352">
        <v>1465</v>
      </c>
      <c r="AH84" s="1349"/>
      <c r="AI84" s="1353">
        <v>1410</v>
      </c>
      <c r="AJ84" s="1343" t="s">
        <v>2067</v>
      </c>
      <c r="AK84" s="1354">
        <v>1440</v>
      </c>
      <c r="AL84" s="1349"/>
      <c r="AM84" s="1411">
        <f t="shared" ref="AM84:AM89" si="4">AVERAGE(AI84,AK84)-AVERAGE(AE84,AG84)</f>
        <v>-20</v>
      </c>
      <c r="AN84" s="390"/>
      <c r="AO84" s="311"/>
      <c r="AP84" s="390"/>
      <c r="AQ84" s="390"/>
      <c r="AR84" s="390"/>
      <c r="AS84" s="390"/>
    </row>
    <row r="85" spans="1:49" s="70" customFormat="1" ht="13.5" customHeight="1" x14ac:dyDescent="0.2">
      <c r="A85" s="418"/>
      <c r="B85" s="418"/>
      <c r="C85" s="460"/>
      <c r="D85" s="460"/>
      <c r="E85" s="423"/>
      <c r="F85" s="460"/>
      <c r="G85" s="467"/>
      <c r="H85" s="418"/>
      <c r="I85" s="471"/>
      <c r="J85" s="460"/>
      <c r="K85" s="423"/>
      <c r="L85" s="469"/>
      <c r="M85" s="418"/>
      <c r="N85" s="418"/>
      <c r="O85" s="418"/>
      <c r="P85" s="418"/>
      <c r="Q85" s="418"/>
      <c r="R85" s="418"/>
      <c r="S85" s="418"/>
      <c r="T85" s="418"/>
      <c r="U85" s="418"/>
      <c r="V85" s="369" t="s">
        <v>1584</v>
      </c>
      <c r="W85" s="1316">
        <v>130</v>
      </c>
      <c r="X85" s="1315" t="s">
        <v>2067</v>
      </c>
      <c r="Y85" s="1316">
        <v>150</v>
      </c>
      <c r="Z85" s="1316"/>
      <c r="AA85" s="1316">
        <v>130</v>
      </c>
      <c r="AB85" s="1315" t="s">
        <v>2067</v>
      </c>
      <c r="AC85" s="1316">
        <v>140</v>
      </c>
      <c r="AD85" s="1316"/>
      <c r="AE85" s="1316">
        <v>140</v>
      </c>
      <c r="AF85" s="1315" t="s">
        <v>2067</v>
      </c>
      <c r="AG85" s="1316">
        <v>145</v>
      </c>
      <c r="AH85" s="1316"/>
      <c r="AI85" s="1329">
        <v>155</v>
      </c>
      <c r="AJ85" s="1315" t="s">
        <v>2067</v>
      </c>
      <c r="AK85" s="1330">
        <v>165</v>
      </c>
      <c r="AL85" s="1316"/>
      <c r="AM85" s="1358">
        <f t="shared" si="4"/>
        <v>17.5</v>
      </c>
      <c r="AN85" s="390"/>
      <c r="AO85" s="390"/>
      <c r="AP85" s="390"/>
      <c r="AQ85" s="390"/>
      <c r="AR85" s="390"/>
      <c r="AS85" s="390"/>
    </row>
    <row r="86" spans="1:49" s="70" customFormat="1" ht="13.5" customHeight="1" x14ac:dyDescent="0.2">
      <c r="A86" s="418"/>
      <c r="B86" s="418"/>
      <c r="C86" s="460"/>
      <c r="D86" s="460"/>
      <c r="E86" s="423"/>
      <c r="F86" s="460"/>
      <c r="G86" s="467"/>
      <c r="H86" s="418"/>
      <c r="I86" s="471"/>
      <c r="J86" s="460"/>
      <c r="K86" s="423"/>
      <c r="L86" s="469"/>
      <c r="M86" s="418"/>
      <c r="N86" s="418"/>
      <c r="O86" s="418"/>
      <c r="P86" s="418"/>
      <c r="Q86" s="418"/>
      <c r="R86" s="418"/>
      <c r="S86" s="418"/>
      <c r="T86" s="418"/>
      <c r="U86" s="418"/>
      <c r="V86" s="1348" t="s">
        <v>1863</v>
      </c>
      <c r="W86" s="1344"/>
      <c r="X86" s="1343" t="s">
        <v>2067</v>
      </c>
      <c r="Y86" s="1344"/>
      <c r="Z86" s="1344"/>
      <c r="AA86" s="1349">
        <v>1090</v>
      </c>
      <c r="AB86" s="1343" t="s">
        <v>2067</v>
      </c>
      <c r="AC86" s="1349">
        <v>1150</v>
      </c>
      <c r="AD86" s="1349"/>
      <c r="AE86" s="1349">
        <v>1105</v>
      </c>
      <c r="AF86" s="1343" t="s">
        <v>2067</v>
      </c>
      <c r="AG86" s="1349">
        <v>1160</v>
      </c>
      <c r="AH86" s="1344"/>
      <c r="AI86" s="1350">
        <v>1115</v>
      </c>
      <c r="AJ86" s="1343" t="s">
        <v>2067</v>
      </c>
      <c r="AK86" s="1351">
        <v>1165</v>
      </c>
      <c r="AL86" s="1349"/>
      <c r="AM86" s="1357">
        <f t="shared" si="4"/>
        <v>7.5</v>
      </c>
      <c r="AN86" s="390"/>
      <c r="AO86" s="390"/>
      <c r="AP86" s="390"/>
      <c r="AQ86" s="390"/>
      <c r="AR86" s="390"/>
      <c r="AS86" s="390"/>
    </row>
    <row r="87" spans="1:49" s="70" customFormat="1" ht="13.5" customHeight="1" x14ac:dyDescent="0.2">
      <c r="A87" s="418"/>
      <c r="B87" s="418"/>
      <c r="C87" s="460"/>
      <c r="D87" s="460"/>
      <c r="E87" s="423"/>
      <c r="F87" s="460"/>
      <c r="G87" s="467"/>
      <c r="H87" s="418"/>
      <c r="I87" s="471"/>
      <c r="J87" s="460"/>
      <c r="K87" s="423"/>
      <c r="L87" s="469"/>
      <c r="M87" s="418"/>
      <c r="N87" s="418"/>
      <c r="O87" s="418"/>
      <c r="P87" s="418"/>
      <c r="Q87" s="418"/>
      <c r="R87" s="418"/>
      <c r="S87" s="418"/>
      <c r="T87" s="418"/>
      <c r="U87" s="418"/>
      <c r="V87" s="369" t="s">
        <v>140</v>
      </c>
      <c r="W87" s="1316">
        <v>660</v>
      </c>
      <c r="X87" s="1315" t="s">
        <v>2067</v>
      </c>
      <c r="Y87" s="1316">
        <v>675</v>
      </c>
      <c r="Z87" s="1316"/>
      <c r="AA87" s="1316">
        <v>660</v>
      </c>
      <c r="AB87" s="1315" t="s">
        <v>2067</v>
      </c>
      <c r="AC87" s="1316">
        <v>670</v>
      </c>
      <c r="AD87" s="1316"/>
      <c r="AE87" s="1316">
        <v>660</v>
      </c>
      <c r="AF87" s="1315" t="s">
        <v>2067</v>
      </c>
      <c r="AG87" s="1316">
        <v>670</v>
      </c>
      <c r="AH87" s="1316"/>
      <c r="AI87" s="1329">
        <v>660</v>
      </c>
      <c r="AJ87" s="1315" t="s">
        <v>2067</v>
      </c>
      <c r="AK87" s="1330">
        <v>670</v>
      </c>
      <c r="AL87" s="1316"/>
      <c r="AM87" s="1358">
        <f t="shared" si="4"/>
        <v>0</v>
      </c>
      <c r="AN87" s="390"/>
      <c r="AO87" s="390"/>
      <c r="AP87" s="390"/>
      <c r="AQ87" s="390"/>
      <c r="AR87" s="390"/>
      <c r="AS87" s="390"/>
      <c r="AT87" s="199" t="s">
        <v>1848</v>
      </c>
    </row>
    <row r="88" spans="1:49" s="70" customFormat="1" ht="13.5" customHeight="1" x14ac:dyDescent="0.2">
      <c r="A88" s="418"/>
      <c r="B88" s="418"/>
      <c r="C88" s="460"/>
      <c r="D88" s="460"/>
      <c r="E88" s="423"/>
      <c r="F88" s="460"/>
      <c r="G88" s="467"/>
      <c r="H88" s="418"/>
      <c r="I88" s="471"/>
      <c r="J88" s="460"/>
      <c r="K88" s="423"/>
      <c r="L88" s="469"/>
      <c r="M88" s="418"/>
      <c r="N88" s="418"/>
      <c r="O88" s="418"/>
      <c r="P88" s="418"/>
      <c r="Q88" s="418"/>
      <c r="R88" s="418"/>
      <c r="S88" s="418"/>
      <c r="T88" s="418"/>
      <c r="U88" s="418"/>
      <c r="V88" s="213" t="s">
        <v>141</v>
      </c>
      <c r="W88" s="1316"/>
      <c r="X88" s="1315" t="s">
        <v>2067</v>
      </c>
      <c r="Y88" s="1316"/>
      <c r="Z88" s="1316"/>
      <c r="AA88" s="1316">
        <v>870</v>
      </c>
      <c r="AB88" s="1315" t="s">
        <v>2067</v>
      </c>
      <c r="AC88" s="1316">
        <v>930</v>
      </c>
      <c r="AD88" s="1316"/>
      <c r="AE88" s="1316">
        <v>895</v>
      </c>
      <c r="AF88" s="1315" t="s">
        <v>2067</v>
      </c>
      <c r="AG88" s="1316">
        <v>950</v>
      </c>
      <c r="AH88" s="1316"/>
      <c r="AI88" s="1329">
        <v>895</v>
      </c>
      <c r="AJ88" s="1315" t="s">
        <v>2067</v>
      </c>
      <c r="AK88" s="1330">
        <v>945</v>
      </c>
      <c r="AL88" s="1316"/>
      <c r="AM88" s="1358">
        <f t="shared" si="4"/>
        <v>-2.5</v>
      </c>
      <c r="AN88" s="390"/>
      <c r="AO88" s="390"/>
      <c r="AP88" s="390"/>
      <c r="AQ88" s="390"/>
      <c r="AR88" s="390"/>
      <c r="AS88" s="390"/>
      <c r="AT88" s="70" t="s">
        <v>1253</v>
      </c>
      <c r="AU88" s="149">
        <v>0.42</v>
      </c>
    </row>
    <row r="89" spans="1:49" s="70" customFormat="1" ht="13.5" customHeight="1" x14ac:dyDescent="0.2">
      <c r="A89" s="418"/>
      <c r="B89" s="418"/>
      <c r="C89" s="460"/>
      <c r="D89" s="460"/>
      <c r="E89" s="423"/>
      <c r="F89" s="460"/>
      <c r="G89" s="467"/>
      <c r="H89" s="418"/>
      <c r="I89" s="471"/>
      <c r="J89" s="460"/>
      <c r="K89" s="423"/>
      <c r="L89" s="469"/>
      <c r="M89" s="418"/>
      <c r="N89" s="418"/>
      <c r="O89" s="418"/>
      <c r="P89" s="418"/>
      <c r="Q89" s="418"/>
      <c r="R89" s="418"/>
      <c r="S89" s="418"/>
      <c r="T89" s="418"/>
      <c r="U89" s="418"/>
      <c r="V89" s="1341" t="s">
        <v>1859</v>
      </c>
      <c r="W89" s="1342">
        <v>1.48</v>
      </c>
      <c r="X89" s="1343" t="s">
        <v>2067</v>
      </c>
      <c r="Y89" s="1342">
        <v>1.68</v>
      </c>
      <c r="Z89" s="1344"/>
      <c r="AA89" s="1342">
        <v>1.52</v>
      </c>
      <c r="AB89" s="1343" t="s">
        <v>2067</v>
      </c>
      <c r="AC89" s="1342">
        <v>1.64</v>
      </c>
      <c r="AD89" s="1345"/>
      <c r="AE89" s="1342">
        <v>1.58</v>
      </c>
      <c r="AF89" s="1343" t="s">
        <v>2067</v>
      </c>
      <c r="AG89" s="1342">
        <v>1.69</v>
      </c>
      <c r="AH89" s="1344"/>
      <c r="AI89" s="1416">
        <f>1.65-0.08</f>
        <v>1.5699999999999998</v>
      </c>
      <c r="AJ89" s="1343" t="s">
        <v>2067</v>
      </c>
      <c r="AK89" s="1417">
        <f>1.75-0.08</f>
        <v>1.67</v>
      </c>
      <c r="AL89" s="1345"/>
      <c r="AM89" s="1412">
        <f t="shared" si="4"/>
        <v>-1.5000000000000124E-2</v>
      </c>
      <c r="AN89" s="390"/>
      <c r="AO89" s="390"/>
      <c r="AP89" s="390"/>
      <c r="AQ89" s="390"/>
      <c r="AR89" s="390"/>
      <c r="AS89" s="390"/>
      <c r="AT89" s="70" t="s">
        <v>1863</v>
      </c>
      <c r="AU89" s="70">
        <v>287</v>
      </c>
    </row>
    <row r="90" spans="1:49" s="70" customFormat="1" ht="13.5" customHeight="1" x14ac:dyDescent="0.2">
      <c r="A90" s="418"/>
      <c r="B90" s="418"/>
      <c r="C90" s="460"/>
      <c r="D90" s="460"/>
      <c r="E90" s="423"/>
      <c r="F90" s="460"/>
      <c r="G90" s="467"/>
      <c r="H90" s="418"/>
      <c r="I90" s="471"/>
      <c r="J90" s="460"/>
      <c r="K90" s="423"/>
      <c r="L90" s="469"/>
      <c r="M90" s="418"/>
      <c r="N90" s="418"/>
      <c r="O90" s="418"/>
      <c r="P90" s="418"/>
      <c r="Q90" s="418"/>
      <c r="R90" s="418"/>
      <c r="S90" s="418"/>
      <c r="T90" s="418"/>
      <c r="U90" s="418"/>
      <c r="V90" s="394"/>
      <c r="W90" s="1318"/>
      <c r="X90" s="1318"/>
      <c r="Y90" s="1318"/>
      <c r="Z90" s="1317"/>
      <c r="AA90" s="1318"/>
      <c r="AB90" s="1318"/>
      <c r="AC90" s="1318"/>
      <c r="AD90" s="1319"/>
      <c r="AE90" s="1318"/>
      <c r="AF90" s="1318"/>
      <c r="AG90" s="1318"/>
      <c r="AH90" s="1317"/>
      <c r="AI90" s="1331"/>
      <c r="AJ90" s="1318"/>
      <c r="AK90" s="1332"/>
      <c r="AL90" s="1319"/>
      <c r="AM90" s="1317"/>
      <c r="AN90" s="390"/>
      <c r="AO90" s="390"/>
      <c r="AP90" s="390"/>
      <c r="AQ90" s="390"/>
      <c r="AR90" s="390"/>
      <c r="AS90" s="390"/>
    </row>
    <row r="91" spans="1:49" s="70" customFormat="1" ht="13.5" customHeight="1" x14ac:dyDescent="0.2">
      <c r="A91" s="418"/>
      <c r="B91" s="418"/>
      <c r="C91" s="460"/>
      <c r="D91" s="460"/>
      <c r="E91" s="423"/>
      <c r="F91" s="460"/>
      <c r="G91" s="467"/>
      <c r="H91" s="418"/>
      <c r="I91" s="471"/>
      <c r="J91" s="460"/>
      <c r="K91" s="423"/>
      <c r="L91" s="469"/>
      <c r="M91" s="418"/>
      <c r="N91" s="418"/>
      <c r="O91" s="418"/>
      <c r="P91" s="418"/>
      <c r="Q91" s="418"/>
      <c r="R91" s="418"/>
      <c r="S91" s="418"/>
      <c r="T91" s="418"/>
      <c r="U91" s="418"/>
      <c r="V91" s="563" t="s">
        <v>373</v>
      </c>
      <c r="W91" s="1317"/>
      <c r="X91" s="1317"/>
      <c r="Y91" s="1317"/>
      <c r="Z91" s="1317"/>
      <c r="AA91" s="1317"/>
      <c r="AB91" s="1317"/>
      <c r="AC91" s="1317"/>
      <c r="AD91" s="1317"/>
      <c r="AE91" s="1317"/>
      <c r="AF91" s="1317"/>
      <c r="AG91" s="1317"/>
      <c r="AH91" s="1317"/>
      <c r="AI91" s="1333"/>
      <c r="AJ91" s="1317"/>
      <c r="AK91" s="1334"/>
      <c r="AL91" s="1317"/>
      <c r="AM91" s="1317"/>
      <c r="AN91" s="390"/>
      <c r="AO91" s="390"/>
      <c r="AP91" s="390"/>
      <c r="AQ91" s="390"/>
      <c r="AR91" s="1420"/>
      <c r="AS91" s="390"/>
    </row>
    <row r="92" spans="1:49" s="70" customFormat="1" ht="13.5" customHeight="1" x14ac:dyDescent="0.2">
      <c r="A92" s="418"/>
      <c r="B92" s="418"/>
      <c r="C92" s="460"/>
      <c r="D92" s="460"/>
      <c r="E92" s="423"/>
      <c r="F92" s="460"/>
      <c r="G92" s="467"/>
      <c r="H92" s="418"/>
      <c r="I92" s="471"/>
      <c r="J92" s="460"/>
      <c r="K92" s="423"/>
      <c r="L92" s="469"/>
      <c r="M92" s="418"/>
      <c r="N92" s="418"/>
      <c r="O92" s="418"/>
      <c r="P92" s="418"/>
      <c r="Q92" s="418"/>
      <c r="R92" s="418"/>
      <c r="S92" s="418"/>
      <c r="T92" s="418"/>
      <c r="U92" s="418"/>
      <c r="V92" s="213" t="s">
        <v>94</v>
      </c>
      <c r="W92" s="231">
        <v>0.03</v>
      </c>
      <c r="X92" s="1313" t="s">
        <v>2067</v>
      </c>
      <c r="Y92" s="231">
        <v>7.0000000000000007E-2</v>
      </c>
      <c r="Z92" s="231"/>
      <c r="AA92" s="231">
        <v>0.05</v>
      </c>
      <c r="AB92" s="1313" t="s">
        <v>2067</v>
      </c>
      <c r="AC92" s="231">
        <v>7.0000000000000007E-2</v>
      </c>
      <c r="AD92" s="231"/>
      <c r="AE92" s="231">
        <v>0.06</v>
      </c>
      <c r="AF92" s="1313" t="s">
        <v>2067</v>
      </c>
      <c r="AG92" s="231">
        <v>0.08</v>
      </c>
      <c r="AH92" s="231"/>
      <c r="AI92" s="1391">
        <v>0.06</v>
      </c>
      <c r="AJ92" s="1313" t="s">
        <v>2067</v>
      </c>
      <c r="AK92" s="1392">
        <v>0.08</v>
      </c>
      <c r="AL92" s="1320"/>
      <c r="AM92" s="1396">
        <f>7-7</f>
        <v>0</v>
      </c>
      <c r="AN92" s="406"/>
      <c r="AO92" s="406"/>
      <c r="AP92" s="406"/>
      <c r="AQ92" s="406"/>
      <c r="AR92" s="406"/>
      <c r="AS92" s="406"/>
    </row>
    <row r="93" spans="1:49" s="70" customFormat="1" ht="13.5" customHeight="1" x14ac:dyDescent="0.2">
      <c r="A93" s="418"/>
      <c r="B93" s="418"/>
      <c r="C93" s="460"/>
      <c r="D93" s="460"/>
      <c r="E93" s="423"/>
      <c r="F93" s="460"/>
      <c r="G93" s="467"/>
      <c r="H93" s="418"/>
      <c r="I93" s="471"/>
      <c r="J93" s="460"/>
      <c r="K93" s="423"/>
      <c r="L93" s="469"/>
      <c r="M93" s="418"/>
      <c r="N93" s="418"/>
      <c r="O93" s="418"/>
      <c r="P93" s="418"/>
      <c r="Q93" s="418"/>
      <c r="R93" s="418"/>
      <c r="S93" s="418"/>
      <c r="T93" s="418"/>
      <c r="U93" s="418"/>
      <c r="V93" s="394" t="s">
        <v>1309</v>
      </c>
      <c r="W93" s="1393">
        <v>0.03</v>
      </c>
      <c r="X93" s="1394" t="s">
        <v>2067</v>
      </c>
      <c r="Y93" s="1393">
        <v>7.0000000000000007E-2</v>
      </c>
      <c r="Z93" s="1393"/>
      <c r="AA93" s="1393">
        <v>0.05</v>
      </c>
      <c r="AB93" s="1394" t="s">
        <v>2067</v>
      </c>
      <c r="AC93" s="1393">
        <v>7.0000000000000007E-2</v>
      </c>
      <c r="AD93" s="1393"/>
      <c r="AE93" s="1415">
        <v>0.06</v>
      </c>
      <c r="AF93" s="1399" t="s">
        <v>2067</v>
      </c>
      <c r="AG93" s="1415">
        <v>0.08</v>
      </c>
      <c r="AH93" s="1393"/>
      <c r="AI93" s="1418">
        <v>0.06</v>
      </c>
      <c r="AJ93" s="1399" t="s">
        <v>2067</v>
      </c>
      <c r="AK93" s="1419">
        <v>0.08</v>
      </c>
      <c r="AL93" s="1363"/>
      <c r="AM93" s="1397">
        <f>7-7</f>
        <v>0</v>
      </c>
      <c r="AN93" s="406"/>
      <c r="AO93" s="406"/>
      <c r="AP93" s="406"/>
      <c r="AQ93" s="406"/>
      <c r="AR93" s="406"/>
      <c r="AS93" s="406"/>
    </row>
    <row r="94" spans="1:49" s="70" customFormat="1" ht="13.5" customHeight="1" x14ac:dyDescent="0.2">
      <c r="A94" s="418"/>
      <c r="B94" s="418"/>
      <c r="C94" s="460"/>
      <c r="D94" s="460"/>
      <c r="E94" s="423"/>
      <c r="F94" s="460"/>
      <c r="G94" s="467"/>
      <c r="H94" s="418"/>
      <c r="I94" s="471"/>
      <c r="J94" s="460"/>
      <c r="K94" s="423"/>
      <c r="L94" s="469"/>
      <c r="M94" s="418"/>
      <c r="N94" s="418"/>
      <c r="O94" s="418"/>
      <c r="P94" s="418"/>
      <c r="Q94" s="418"/>
      <c r="R94" s="418"/>
      <c r="S94" s="418"/>
      <c r="T94" s="418"/>
      <c r="U94" s="418"/>
      <c r="V94" s="369" t="s">
        <v>2036</v>
      </c>
      <c r="W94" s="231">
        <v>0.03</v>
      </c>
      <c r="X94" s="1313" t="s">
        <v>2067</v>
      </c>
      <c r="Y94" s="231">
        <v>7.0000000000000007E-2</v>
      </c>
      <c r="Z94" s="231"/>
      <c r="AA94" s="231">
        <v>0.05</v>
      </c>
      <c r="AB94" s="1313" t="s">
        <v>2067</v>
      </c>
      <c r="AC94" s="231">
        <v>7.0000000000000007E-2</v>
      </c>
      <c r="AD94" s="231"/>
      <c r="AE94" s="231">
        <v>0.06</v>
      </c>
      <c r="AF94" s="1313" t="s">
        <v>2067</v>
      </c>
      <c r="AG94" s="231">
        <v>0.08</v>
      </c>
      <c r="AH94" s="231"/>
      <c r="AI94" s="1391">
        <v>0.05</v>
      </c>
      <c r="AJ94" s="1313" t="s">
        <v>2067</v>
      </c>
      <c r="AK94" s="1392">
        <v>7.0000000000000007E-2</v>
      </c>
      <c r="AL94" s="1320"/>
      <c r="AM94" s="1396">
        <f>0.06-0.07</f>
        <v>-1.0000000000000009E-2</v>
      </c>
      <c r="AN94" s="406"/>
      <c r="AO94" s="406"/>
      <c r="AP94" s="406"/>
      <c r="AQ94" s="406"/>
      <c r="AR94" s="406"/>
      <c r="AS94" s="406"/>
    </row>
    <row r="95" spans="1:49" s="70" customFormat="1" ht="13.5" customHeight="1" x14ac:dyDescent="0.2">
      <c r="A95" s="418"/>
      <c r="B95" s="418"/>
      <c r="C95" s="460"/>
      <c r="D95" s="460"/>
      <c r="E95" s="423"/>
      <c r="F95" s="460"/>
      <c r="G95" s="467"/>
      <c r="H95" s="418"/>
      <c r="I95" s="471"/>
      <c r="J95" s="460"/>
      <c r="K95" s="423"/>
      <c r="L95" s="469"/>
      <c r="M95" s="418"/>
      <c r="N95" s="418"/>
      <c r="O95" s="418"/>
      <c r="P95" s="418"/>
      <c r="Q95" s="418"/>
      <c r="R95" s="418"/>
      <c r="S95" s="418"/>
      <c r="T95" s="418"/>
      <c r="U95" s="418"/>
      <c r="V95" s="392"/>
      <c r="W95" s="1320"/>
      <c r="X95" s="1321"/>
      <c r="Y95" s="1320"/>
      <c r="Z95" s="1320"/>
      <c r="AA95" s="1321"/>
      <c r="AB95" s="1321"/>
      <c r="AC95" s="1321"/>
      <c r="AD95" s="1321"/>
      <c r="AE95" s="1321"/>
      <c r="AF95" s="1321"/>
      <c r="AG95" s="1321"/>
      <c r="AH95" s="1320"/>
      <c r="AI95" s="1335"/>
      <c r="AJ95" s="1321"/>
      <c r="AK95" s="1336"/>
      <c r="AL95" s="1321"/>
      <c r="AM95" s="1317"/>
      <c r="AN95" s="390"/>
      <c r="AO95" s="390"/>
      <c r="AP95" s="390"/>
      <c r="AQ95" s="390"/>
      <c r="AR95" s="390"/>
      <c r="AS95" s="390"/>
    </row>
    <row r="96" spans="1:49" s="70" customFormat="1" ht="13.5" customHeight="1" x14ac:dyDescent="0.2">
      <c r="A96" s="418"/>
      <c r="B96" s="418"/>
      <c r="C96" s="460"/>
      <c r="D96" s="460"/>
      <c r="E96" s="423"/>
      <c r="F96" s="460"/>
      <c r="G96" s="467"/>
      <c r="H96" s="418"/>
      <c r="I96" s="471"/>
      <c r="J96" s="460"/>
      <c r="K96" s="423"/>
      <c r="L96" s="469"/>
      <c r="M96" s="418"/>
      <c r="N96" s="418"/>
      <c r="O96" s="418"/>
      <c r="P96" s="418"/>
      <c r="Q96" s="418"/>
      <c r="R96" s="418"/>
      <c r="S96" s="418"/>
      <c r="T96" s="418"/>
      <c r="U96" s="418"/>
      <c r="V96" s="1314" t="s">
        <v>1931</v>
      </c>
      <c r="W96" s="1322"/>
      <c r="X96" s="1323"/>
      <c r="Y96" s="1322"/>
      <c r="Z96" s="1322"/>
      <c r="AA96" s="1321"/>
      <c r="AB96" s="1323"/>
      <c r="AC96" s="1323"/>
      <c r="AD96" s="1323"/>
      <c r="AE96" s="1323"/>
      <c r="AF96" s="1323"/>
      <c r="AG96" s="1323"/>
      <c r="AH96" s="1322"/>
      <c r="AI96" s="1335"/>
      <c r="AJ96" s="1323"/>
      <c r="AK96" s="1338"/>
      <c r="AL96" s="1323"/>
      <c r="AM96" s="1317"/>
      <c r="AN96" s="390"/>
      <c r="AO96" s="390"/>
      <c r="AP96" s="390"/>
      <c r="AQ96" s="390"/>
      <c r="AR96" s="390"/>
      <c r="AS96" s="390"/>
      <c r="AW96" s="70">
        <f>45*0.6</f>
        <v>27</v>
      </c>
    </row>
    <row r="97" spans="1:49" s="70" customFormat="1" ht="13.5" customHeight="1" x14ac:dyDescent="0.2">
      <c r="A97" s="418"/>
      <c r="B97" s="418"/>
      <c r="C97" s="460"/>
      <c r="D97" s="460"/>
      <c r="E97" s="423"/>
      <c r="F97" s="460"/>
      <c r="G97" s="467"/>
      <c r="H97" s="418"/>
      <c r="I97" s="471"/>
      <c r="J97" s="460"/>
      <c r="K97" s="423"/>
      <c r="L97" s="469"/>
      <c r="M97" s="418"/>
      <c r="N97" s="418"/>
      <c r="O97" s="418"/>
      <c r="P97" s="418"/>
      <c r="Q97" s="418"/>
      <c r="R97" s="418"/>
      <c r="S97" s="418"/>
      <c r="T97" s="418"/>
      <c r="U97" s="418"/>
      <c r="V97" s="213" t="s">
        <v>97</v>
      </c>
      <c r="W97" s="1316">
        <v>30000</v>
      </c>
      <c r="X97" s="1414"/>
      <c r="Y97" s="1316"/>
      <c r="Z97" s="1316"/>
      <c r="AA97" s="1316">
        <v>30000</v>
      </c>
      <c r="AB97" s="1414"/>
      <c r="AC97" s="1316"/>
      <c r="AD97" s="1316"/>
      <c r="AE97" s="1316">
        <v>25000</v>
      </c>
      <c r="AF97" s="1313" t="s">
        <v>2067</v>
      </c>
      <c r="AG97" s="1316">
        <v>30000</v>
      </c>
      <c r="AH97" s="1316"/>
      <c r="AI97" s="1329">
        <v>20000</v>
      </c>
      <c r="AJ97" s="1313" t="s">
        <v>2067</v>
      </c>
      <c r="AK97" s="1330">
        <v>25000</v>
      </c>
      <c r="AL97" s="1316"/>
      <c r="AM97" s="1358">
        <f>AVERAGE(AE97,AG97)-AA97</f>
        <v>-2500</v>
      </c>
      <c r="AN97" s="390"/>
      <c r="AO97" s="390"/>
      <c r="AP97" s="390"/>
      <c r="AQ97" s="390"/>
      <c r="AR97" s="390"/>
      <c r="AS97" s="390"/>
      <c r="AW97" s="149" t="s">
        <v>1849</v>
      </c>
    </row>
    <row r="98" spans="1:49" s="70" customFormat="1" ht="4.5" customHeight="1" x14ac:dyDescent="0.2">
      <c r="A98" s="418"/>
      <c r="B98" s="418"/>
      <c r="C98" s="460"/>
      <c r="D98" s="460"/>
      <c r="E98" s="423"/>
      <c r="F98" s="460"/>
      <c r="G98" s="467"/>
      <c r="H98" s="418"/>
      <c r="I98" s="471"/>
      <c r="J98" s="460"/>
      <c r="K98" s="423"/>
      <c r="L98" s="469"/>
      <c r="M98" s="418"/>
      <c r="N98" s="418"/>
      <c r="O98" s="418"/>
      <c r="P98" s="418"/>
      <c r="Q98" s="418"/>
      <c r="R98" s="418"/>
      <c r="S98" s="418"/>
      <c r="T98" s="418"/>
      <c r="U98" s="418"/>
      <c r="AE98" s="212"/>
      <c r="AF98" s="212"/>
      <c r="AG98" s="212"/>
      <c r="AI98" s="1339"/>
      <c r="AJ98" s="195"/>
      <c r="AK98" s="1340"/>
      <c r="AM98" s="212"/>
    </row>
    <row r="99" spans="1:49" s="70" customFormat="1" ht="4.5" customHeight="1" x14ac:dyDescent="0.2">
      <c r="A99" s="418"/>
      <c r="B99" s="418"/>
      <c r="C99" s="460"/>
      <c r="D99" s="460"/>
      <c r="E99" s="423"/>
      <c r="F99" s="460"/>
      <c r="G99" s="467"/>
      <c r="H99" s="418"/>
      <c r="I99" s="471"/>
      <c r="J99" s="460"/>
      <c r="K99" s="423"/>
      <c r="L99" s="469"/>
      <c r="M99" s="418"/>
      <c r="N99" s="418"/>
      <c r="O99" s="418"/>
      <c r="P99" s="418"/>
      <c r="Q99" s="418"/>
      <c r="R99" s="418"/>
      <c r="S99" s="418"/>
      <c r="T99" s="418"/>
      <c r="U99" s="418"/>
      <c r="AE99" s="212"/>
      <c r="AF99" s="212"/>
      <c r="AG99" s="212"/>
    </row>
    <row r="100" spans="1:49" s="70" customFormat="1" ht="13.5" customHeight="1" x14ac:dyDescent="0.2">
      <c r="A100" s="418"/>
      <c r="B100" s="418"/>
      <c r="C100" s="460"/>
      <c r="D100" s="460"/>
      <c r="E100" s="423"/>
      <c r="F100" s="460"/>
      <c r="G100" s="467"/>
      <c r="H100" s="418"/>
      <c r="I100" s="471"/>
      <c r="J100" s="460"/>
      <c r="K100" s="423"/>
      <c r="L100" s="469"/>
      <c r="M100" s="418"/>
      <c r="N100" s="418"/>
      <c r="O100" s="418"/>
      <c r="P100" s="418"/>
      <c r="Q100" s="418"/>
      <c r="R100" s="418"/>
      <c r="S100" s="418"/>
      <c r="T100" s="418"/>
      <c r="U100" s="418"/>
      <c r="V100" s="369" t="s">
        <v>96</v>
      </c>
      <c r="W100" s="1316"/>
      <c r="X100" s="8"/>
      <c r="Y100" s="1316"/>
      <c r="Z100" s="1316"/>
      <c r="AA100" s="1355">
        <v>10</v>
      </c>
      <c r="AH100" s="1316"/>
      <c r="AI100" s="1355"/>
      <c r="AM100" s="70">
        <f>AE100-AA100</f>
        <v>-10</v>
      </c>
    </row>
    <row r="101" spans="1:49" s="70" customFormat="1" ht="13.5" customHeight="1" x14ac:dyDescent="0.2">
      <c r="A101" s="418"/>
      <c r="B101" s="418"/>
      <c r="C101" s="460"/>
      <c r="D101" s="460"/>
      <c r="E101" s="423"/>
      <c r="F101" s="460"/>
      <c r="G101" s="467"/>
      <c r="H101" s="418"/>
      <c r="I101" s="471"/>
      <c r="J101" s="460"/>
      <c r="K101" s="423"/>
      <c r="L101" s="469"/>
      <c r="M101" s="418"/>
      <c r="N101" s="418"/>
      <c r="O101" s="418"/>
      <c r="P101" s="418"/>
      <c r="Q101" s="418"/>
      <c r="R101" s="418"/>
      <c r="S101" s="418"/>
      <c r="T101" s="418"/>
      <c r="U101" s="418"/>
      <c r="V101" s="369" t="s">
        <v>89</v>
      </c>
      <c r="W101" s="1316"/>
      <c r="X101" s="8"/>
      <c r="Y101" s="1316"/>
      <c r="Z101" s="1316"/>
      <c r="AA101" s="1316">
        <v>105</v>
      </c>
      <c r="AH101" s="1316"/>
      <c r="AI101" s="1316"/>
      <c r="AM101" s="70">
        <f>AE101-AA101</f>
        <v>-105</v>
      </c>
    </row>
    <row r="102" spans="1:49" s="70" customFormat="1" ht="13.5" customHeight="1" x14ac:dyDescent="0.2">
      <c r="A102" s="418"/>
      <c r="B102" s="418"/>
      <c r="C102" s="460"/>
      <c r="D102" s="460"/>
      <c r="E102" s="423"/>
      <c r="F102" s="460"/>
      <c r="G102" s="467"/>
      <c r="H102" s="418"/>
      <c r="I102" s="471"/>
      <c r="J102" s="460"/>
      <c r="K102" s="423"/>
      <c r="L102" s="469"/>
      <c r="M102" s="418"/>
      <c r="N102" s="418"/>
      <c r="O102" s="418"/>
      <c r="P102" s="418"/>
      <c r="Q102" s="418"/>
      <c r="R102" s="418"/>
      <c r="S102" s="418"/>
      <c r="T102" s="418"/>
      <c r="U102" s="418"/>
      <c r="V102" s="1170" t="s">
        <v>712</v>
      </c>
      <c r="W102" s="8"/>
      <c r="X102" s="8"/>
      <c r="Y102" s="8"/>
      <c r="Z102" s="8"/>
      <c r="AA102" s="1316">
        <v>-5</v>
      </c>
      <c r="AH102" s="8"/>
      <c r="AI102" s="1316"/>
      <c r="AM102" s="70">
        <f>AE102-AA102</f>
        <v>5</v>
      </c>
    </row>
    <row r="103" spans="1:49" s="70" customFormat="1" ht="4.5" customHeight="1" x14ac:dyDescent="0.2">
      <c r="A103" s="418"/>
      <c r="B103" s="418"/>
      <c r="C103" s="460"/>
      <c r="D103" s="460"/>
      <c r="E103" s="423"/>
      <c r="F103" s="460"/>
      <c r="G103" s="467"/>
      <c r="H103" s="418"/>
      <c r="I103" s="471"/>
      <c r="J103" s="460"/>
      <c r="K103" s="423"/>
      <c r="L103" s="469"/>
      <c r="M103" s="418"/>
      <c r="N103" s="418"/>
      <c r="O103" s="418"/>
      <c r="P103" s="418"/>
      <c r="Q103" s="418"/>
      <c r="R103" s="418"/>
      <c r="S103" s="418"/>
      <c r="T103" s="418"/>
      <c r="U103" s="418"/>
      <c r="V103" s="369"/>
      <c r="W103" s="1316"/>
      <c r="X103" s="8"/>
      <c r="Y103" s="1316"/>
      <c r="Z103" s="1316"/>
      <c r="AA103" s="1316"/>
      <c r="AH103" s="1316"/>
      <c r="AI103" s="1316"/>
    </row>
    <row r="104" spans="1:49" s="70" customFormat="1" ht="13.5" customHeight="1" x14ac:dyDescent="0.2">
      <c r="A104" s="418"/>
      <c r="B104" s="418"/>
      <c r="C104" s="460"/>
      <c r="D104" s="460"/>
      <c r="E104" s="423"/>
      <c r="F104" s="460"/>
      <c r="G104" s="467"/>
      <c r="H104" s="418"/>
      <c r="I104" s="471"/>
      <c r="J104" s="460"/>
      <c r="K104" s="423"/>
      <c r="L104" s="469"/>
      <c r="M104" s="418"/>
      <c r="N104" s="418"/>
      <c r="O104" s="418"/>
      <c r="P104" s="418"/>
      <c r="Q104" s="418"/>
      <c r="R104" s="418"/>
      <c r="S104" s="418"/>
      <c r="T104" s="418"/>
      <c r="U104" s="418"/>
      <c r="V104" s="369"/>
      <c r="W104" s="1316"/>
      <c r="X104" s="8"/>
      <c r="Y104" s="1316"/>
      <c r="Z104" s="1316"/>
      <c r="AA104" s="1316"/>
      <c r="AH104" s="1316"/>
      <c r="AI104" s="1316"/>
    </row>
    <row r="105" spans="1:49" s="70" customFormat="1" ht="13.5" customHeight="1" x14ac:dyDescent="0.2">
      <c r="A105" s="418"/>
      <c r="B105" s="418"/>
      <c r="C105" s="460"/>
      <c r="D105" s="460"/>
      <c r="E105" s="423"/>
      <c r="F105" s="460"/>
      <c r="G105" s="467"/>
      <c r="H105" s="418"/>
      <c r="I105" s="471"/>
      <c r="J105" s="460"/>
      <c r="K105" s="423"/>
      <c r="L105" s="469"/>
      <c r="M105" s="418"/>
      <c r="N105" s="418"/>
      <c r="O105" s="418"/>
      <c r="P105" s="418"/>
      <c r="Q105" s="418"/>
      <c r="R105" s="418"/>
      <c r="S105" s="418"/>
      <c r="T105" s="418"/>
      <c r="U105" s="418"/>
      <c r="V105" s="369"/>
      <c r="W105" s="1316"/>
      <c r="X105" s="8"/>
      <c r="Y105" s="1316"/>
      <c r="Z105" s="1316"/>
      <c r="AA105" s="1316"/>
      <c r="AH105" s="1316"/>
      <c r="AI105" s="1316"/>
      <c r="AO105" s="248" t="s">
        <v>1847</v>
      </c>
    </row>
    <row r="106" spans="1:49" s="70" customFormat="1" ht="13.5" customHeight="1" x14ac:dyDescent="0.2">
      <c r="A106" s="418"/>
      <c r="B106" s="418"/>
      <c r="C106" s="460"/>
      <c r="D106" s="460"/>
      <c r="E106" s="423"/>
      <c r="F106" s="460"/>
      <c r="G106" s="467"/>
      <c r="H106" s="418"/>
      <c r="I106" s="471"/>
      <c r="J106" s="460"/>
      <c r="K106" s="423"/>
      <c r="L106" s="469"/>
      <c r="M106" s="418"/>
      <c r="N106" s="418"/>
      <c r="O106" s="418"/>
      <c r="P106" s="418"/>
      <c r="Q106" s="418"/>
      <c r="R106" s="418"/>
      <c r="S106" s="418"/>
      <c r="T106" s="418"/>
      <c r="U106" s="418"/>
      <c r="V106" s="369"/>
      <c r="W106" s="1316"/>
      <c r="X106" s="8"/>
      <c r="Y106" s="1316"/>
      <c r="Z106" s="1316"/>
      <c r="AA106" s="1316"/>
      <c r="AH106" s="1316"/>
      <c r="AI106" s="1316"/>
      <c r="AO106" s="275" t="s">
        <v>91</v>
      </c>
      <c r="AW106" s="70">
        <f>40*0.67</f>
        <v>26.8</v>
      </c>
    </row>
    <row r="107" spans="1:49" s="70" customFormat="1" ht="13.5" customHeight="1" x14ac:dyDescent="0.2">
      <c r="A107" s="418"/>
      <c r="B107" s="418"/>
      <c r="C107" s="460"/>
      <c r="D107" s="460"/>
      <c r="E107" s="423"/>
      <c r="F107" s="460"/>
      <c r="G107" s="467"/>
      <c r="H107" s="418"/>
      <c r="I107" s="471"/>
      <c r="J107" s="460"/>
      <c r="K107" s="423"/>
      <c r="L107" s="469"/>
      <c r="M107" s="418"/>
      <c r="N107" s="418"/>
      <c r="O107" s="418"/>
      <c r="P107" s="418"/>
      <c r="Q107" s="418"/>
      <c r="R107" s="418"/>
      <c r="S107" s="418"/>
      <c r="T107" s="418"/>
      <c r="U107" s="418"/>
      <c r="V107" s="369"/>
      <c r="W107" s="1316"/>
      <c r="X107" s="8"/>
      <c r="Y107" s="1316"/>
      <c r="Z107" s="1316"/>
      <c r="AA107" s="1316"/>
      <c r="AH107" s="1316"/>
      <c r="AI107" s="1316"/>
      <c r="AR107" s="1359" t="s">
        <v>1591</v>
      </c>
      <c r="AW107" s="149">
        <f>AW106/338</f>
        <v>7.9289940828402364E-2</v>
      </c>
    </row>
    <row r="108" spans="1:49" s="70" customFormat="1" ht="13.5" customHeight="1" x14ac:dyDescent="0.2">
      <c r="A108" s="418"/>
      <c r="B108" s="418"/>
      <c r="C108" s="460"/>
      <c r="D108" s="460"/>
      <c r="E108" s="423"/>
      <c r="F108" s="460"/>
      <c r="G108" s="467"/>
      <c r="H108" s="418"/>
      <c r="I108" s="471"/>
      <c r="J108" s="460"/>
      <c r="K108" s="423"/>
      <c r="L108" s="469"/>
      <c r="M108" s="418"/>
      <c r="N108" s="418"/>
      <c r="O108" s="418"/>
      <c r="P108" s="418"/>
      <c r="Q108" s="418"/>
      <c r="R108" s="418"/>
      <c r="S108" s="418"/>
      <c r="T108" s="418"/>
      <c r="U108" s="418"/>
      <c r="V108" s="369"/>
      <c r="W108" s="1316"/>
      <c r="X108" s="8"/>
      <c r="Y108" s="1316"/>
      <c r="Z108" s="1316"/>
      <c r="AA108" s="1316"/>
      <c r="AH108" s="1316"/>
      <c r="AI108" s="1316"/>
      <c r="AO108" s="195"/>
      <c r="AP108" s="335" t="s">
        <v>1782</v>
      </c>
      <c r="AQ108" s="195"/>
      <c r="AR108" s="335" t="s">
        <v>1592</v>
      </c>
    </row>
    <row r="109" spans="1:49" s="70" customFormat="1" ht="13.5" customHeight="1" x14ac:dyDescent="0.2">
      <c r="A109" s="418"/>
      <c r="B109" s="418"/>
      <c r="C109" s="460"/>
      <c r="D109" s="460"/>
      <c r="E109" s="423"/>
      <c r="F109" s="460"/>
      <c r="G109" s="467"/>
      <c r="H109" s="418"/>
      <c r="I109" s="471"/>
      <c r="J109" s="460"/>
      <c r="K109" s="423"/>
      <c r="L109" s="469"/>
      <c r="M109" s="418"/>
      <c r="N109" s="418"/>
      <c r="O109" s="418"/>
      <c r="P109" s="418"/>
      <c r="Q109" s="418"/>
      <c r="R109" s="418"/>
      <c r="S109" s="418"/>
      <c r="T109" s="418"/>
      <c r="U109" s="418"/>
      <c r="V109" s="369"/>
      <c r="W109" s="1316"/>
      <c r="X109" s="8"/>
      <c r="Y109" s="1316"/>
      <c r="Z109" s="1316"/>
      <c r="AA109" s="1316"/>
      <c r="AH109" s="1316"/>
      <c r="AI109" s="1316"/>
    </row>
    <row r="110" spans="1:49" s="70" customFormat="1" ht="13.5" customHeight="1" x14ac:dyDescent="0.2">
      <c r="A110" s="418"/>
      <c r="B110" s="418"/>
      <c r="C110" s="460"/>
      <c r="D110" s="460"/>
      <c r="E110" s="423"/>
      <c r="F110" s="460"/>
      <c r="G110" s="467"/>
      <c r="H110" s="418"/>
      <c r="I110" s="471"/>
      <c r="J110" s="460"/>
      <c r="K110" s="423"/>
      <c r="L110" s="469"/>
      <c r="M110" s="418"/>
      <c r="N110" s="418"/>
      <c r="O110" s="418"/>
      <c r="P110" s="418"/>
      <c r="Q110" s="418"/>
      <c r="R110" s="418"/>
      <c r="S110" s="418"/>
      <c r="T110" s="418"/>
      <c r="U110" s="418"/>
      <c r="V110" s="369"/>
      <c r="W110" s="1316"/>
      <c r="X110" s="8"/>
      <c r="Y110" s="1316"/>
      <c r="Z110" s="1316"/>
      <c r="AA110" s="1316"/>
      <c r="AH110" s="1316"/>
      <c r="AI110" s="1316"/>
      <c r="AO110" s="213" t="s">
        <v>1587</v>
      </c>
      <c r="AP110" s="1304" t="s">
        <v>1853</v>
      </c>
      <c r="AT110" s="311">
        <f>136+153+40</f>
        <v>329</v>
      </c>
      <c r="AU110" s="70">
        <f>130+158+35</f>
        <v>323</v>
      </c>
    </row>
    <row r="111" spans="1:49" s="70" customFormat="1" ht="13.5" customHeight="1" x14ac:dyDescent="0.2">
      <c r="A111" s="418"/>
      <c r="B111" s="418"/>
      <c r="C111" s="460"/>
      <c r="D111" s="460"/>
      <c r="E111" s="423"/>
      <c r="F111" s="460"/>
      <c r="G111" s="467"/>
      <c r="H111" s="418"/>
      <c r="I111" s="471"/>
      <c r="J111" s="460"/>
      <c r="K111" s="423"/>
      <c r="L111" s="469"/>
      <c r="M111" s="418"/>
      <c r="N111" s="418"/>
      <c r="O111" s="418"/>
      <c r="P111" s="418"/>
      <c r="Q111" s="418"/>
      <c r="R111" s="418"/>
      <c r="S111" s="418"/>
      <c r="T111" s="418"/>
      <c r="U111" s="418"/>
      <c r="V111" s="369"/>
      <c r="W111" s="1316"/>
      <c r="X111" s="8"/>
      <c r="Y111" s="1316"/>
      <c r="Z111" s="1316"/>
      <c r="AA111" s="1316"/>
      <c r="AH111" s="1316"/>
      <c r="AI111" s="1316"/>
      <c r="AO111" s="369" t="s">
        <v>1584</v>
      </c>
      <c r="AP111" s="1423" t="s">
        <v>1854</v>
      </c>
    </row>
    <row r="112" spans="1:49" s="70" customFormat="1" ht="13.5" customHeight="1" x14ac:dyDescent="0.2">
      <c r="A112" s="418"/>
      <c r="B112" s="418"/>
      <c r="C112" s="460"/>
      <c r="D112" s="460"/>
      <c r="E112" s="423"/>
      <c r="F112" s="460"/>
      <c r="G112" s="467"/>
      <c r="H112" s="418"/>
      <c r="I112" s="471"/>
      <c r="J112" s="460"/>
      <c r="K112" s="423"/>
      <c r="L112" s="469"/>
      <c r="M112" s="418"/>
      <c r="N112" s="418"/>
      <c r="O112" s="418"/>
      <c r="P112" s="418"/>
      <c r="Q112" s="418"/>
      <c r="R112" s="418"/>
      <c r="S112" s="418"/>
      <c r="T112" s="418"/>
      <c r="U112" s="418"/>
      <c r="V112" s="369"/>
      <c r="W112" s="1316"/>
      <c r="X112" s="8"/>
      <c r="Y112" s="1316"/>
      <c r="Z112" s="1316"/>
      <c r="AA112" s="1316"/>
      <c r="AH112" s="1316"/>
      <c r="AI112" s="1316"/>
      <c r="AO112" s="369" t="s">
        <v>140</v>
      </c>
      <c r="AP112" s="1401">
        <v>155</v>
      </c>
    </row>
    <row r="113" spans="1:45" s="70" customFormat="1" ht="13.5" customHeight="1" x14ac:dyDescent="0.2">
      <c r="A113" s="418"/>
      <c r="B113" s="418"/>
      <c r="C113" s="460"/>
      <c r="D113" s="460"/>
      <c r="E113" s="423"/>
      <c r="F113" s="460"/>
      <c r="G113" s="467"/>
      <c r="H113" s="418"/>
      <c r="I113" s="471"/>
      <c r="J113" s="460"/>
      <c r="K113" s="423"/>
      <c r="L113" s="469"/>
      <c r="M113" s="418"/>
      <c r="N113" s="418"/>
      <c r="O113" s="418"/>
      <c r="P113" s="418"/>
      <c r="Q113" s="418"/>
      <c r="R113" s="418"/>
      <c r="S113" s="418"/>
      <c r="T113" s="418"/>
      <c r="U113" s="418"/>
      <c r="V113" s="369"/>
      <c r="W113" s="1316"/>
      <c r="X113" s="8"/>
      <c r="Y113" s="1316"/>
      <c r="Z113" s="1316"/>
      <c r="AA113" s="1316"/>
      <c r="AH113" s="1316"/>
      <c r="AI113" s="1316"/>
      <c r="AO113" s="213" t="s">
        <v>141</v>
      </c>
      <c r="AP113" s="1304" t="s">
        <v>1855</v>
      </c>
      <c r="AR113" s="85">
        <v>211.3</v>
      </c>
    </row>
    <row r="114" spans="1:45" s="70" customFormat="1" ht="13.5" customHeight="1" x14ac:dyDescent="0.2">
      <c r="A114" s="418"/>
      <c r="B114" s="418"/>
      <c r="C114" s="460"/>
      <c r="D114" s="460"/>
      <c r="E114" s="423"/>
      <c r="F114" s="460"/>
      <c r="G114" s="467"/>
      <c r="H114" s="418"/>
      <c r="I114" s="471"/>
      <c r="J114" s="460"/>
      <c r="K114" s="423"/>
      <c r="L114" s="469"/>
      <c r="M114" s="418"/>
      <c r="N114" s="418"/>
      <c r="O114" s="418"/>
      <c r="P114" s="418"/>
      <c r="Q114" s="418"/>
      <c r="R114" s="418"/>
      <c r="S114" s="418"/>
      <c r="T114" s="418"/>
      <c r="U114" s="418"/>
      <c r="V114" s="369"/>
      <c r="W114" s="1316"/>
      <c r="X114" s="8"/>
      <c r="Y114" s="1316"/>
      <c r="Z114" s="1316"/>
      <c r="AA114" s="1316"/>
      <c r="AH114" s="1316"/>
      <c r="AI114" s="1316"/>
      <c r="AO114" s="1360" t="s">
        <v>1857</v>
      </c>
      <c r="AP114" s="1361" t="s">
        <v>1856</v>
      </c>
      <c r="AQ114" s="1084"/>
      <c r="AR114" s="1362">
        <v>0.37</v>
      </c>
    </row>
    <row r="115" spans="1:45" s="70" customFormat="1" ht="13.5" customHeight="1" x14ac:dyDescent="0.2">
      <c r="A115" s="418"/>
      <c r="B115" s="418"/>
      <c r="C115" s="460"/>
      <c r="D115" s="460"/>
      <c r="E115" s="423"/>
      <c r="F115" s="460"/>
      <c r="G115" s="467"/>
      <c r="H115" s="418"/>
      <c r="I115" s="471"/>
      <c r="J115" s="460"/>
      <c r="K115" s="423"/>
      <c r="L115" s="469"/>
      <c r="M115" s="418"/>
      <c r="N115" s="418"/>
      <c r="O115" s="418"/>
      <c r="P115" s="418"/>
      <c r="Q115" s="418"/>
      <c r="R115" s="418"/>
      <c r="S115" s="418"/>
      <c r="T115" s="418"/>
      <c r="U115" s="418"/>
      <c r="V115" s="369"/>
      <c r="W115" s="1316"/>
      <c r="X115" s="8"/>
      <c r="Y115" s="1316"/>
      <c r="Z115" s="1316"/>
      <c r="AA115" s="1316"/>
      <c r="AH115" s="1316"/>
      <c r="AI115" s="1316"/>
      <c r="AP115" s="189"/>
    </row>
    <row r="116" spans="1:45" s="70" customFormat="1" ht="13.5" customHeight="1" x14ac:dyDescent="0.2">
      <c r="A116" s="418"/>
      <c r="B116" s="418"/>
      <c r="C116" s="460"/>
      <c r="D116" s="460"/>
      <c r="E116" s="423"/>
      <c r="F116" s="460"/>
      <c r="G116" s="467"/>
      <c r="H116" s="418"/>
      <c r="I116" s="471"/>
      <c r="J116" s="460"/>
      <c r="K116" s="423"/>
      <c r="L116" s="469"/>
      <c r="M116" s="418"/>
      <c r="N116" s="418"/>
      <c r="O116" s="418"/>
      <c r="P116" s="418"/>
      <c r="Q116" s="418"/>
      <c r="R116" s="418"/>
      <c r="S116" s="418"/>
      <c r="T116" s="418"/>
      <c r="U116" s="418"/>
      <c r="V116" s="369"/>
      <c r="W116" s="1316"/>
      <c r="X116" s="8"/>
      <c r="Y116" s="1316"/>
      <c r="Z116" s="1316"/>
      <c r="AA116" s="1316"/>
      <c r="AH116" s="1316"/>
      <c r="AI116" s="1316"/>
      <c r="AO116" s="563" t="s">
        <v>137</v>
      </c>
      <c r="AP116" s="1299"/>
    </row>
    <row r="117" spans="1:45" s="70" customFormat="1" ht="13.5" customHeight="1" x14ac:dyDescent="0.2">
      <c r="A117" s="418"/>
      <c r="B117" s="418"/>
      <c r="C117" s="460"/>
      <c r="D117" s="460"/>
      <c r="E117" s="423"/>
      <c r="F117" s="460"/>
      <c r="G117" s="467"/>
      <c r="H117" s="418"/>
      <c r="I117" s="471"/>
      <c r="J117" s="460"/>
      <c r="K117" s="423"/>
      <c r="L117" s="469"/>
      <c r="M117" s="418"/>
      <c r="N117" s="418"/>
      <c r="O117" s="418"/>
      <c r="P117" s="418"/>
      <c r="Q117" s="418"/>
      <c r="R117" s="418"/>
      <c r="S117" s="418"/>
      <c r="T117" s="418"/>
      <c r="U117" s="418"/>
      <c r="V117" s="369"/>
      <c r="W117" s="1316"/>
      <c r="X117" s="8"/>
      <c r="Y117" s="1316"/>
      <c r="Z117" s="1316"/>
      <c r="AA117" s="1316"/>
      <c r="AH117" s="1316"/>
      <c r="AI117" s="1316"/>
      <c r="AO117" s="213" t="s">
        <v>382</v>
      </c>
      <c r="AP117" s="1301" t="s">
        <v>1940</v>
      </c>
    </row>
    <row r="118" spans="1:45" s="70" customFormat="1" ht="13.5" customHeight="1" x14ac:dyDescent="0.2">
      <c r="A118" s="418"/>
      <c r="B118" s="418"/>
      <c r="C118" s="460"/>
      <c r="D118" s="460"/>
      <c r="E118" s="423"/>
      <c r="F118" s="460"/>
      <c r="G118" s="467"/>
      <c r="H118" s="418"/>
      <c r="I118" s="471"/>
      <c r="J118" s="460"/>
      <c r="K118" s="423"/>
      <c r="L118" s="469"/>
      <c r="M118" s="418"/>
      <c r="N118" s="418"/>
      <c r="O118" s="418"/>
      <c r="P118" s="418"/>
      <c r="Q118" s="418"/>
      <c r="R118" s="418"/>
      <c r="S118" s="418"/>
      <c r="T118" s="418"/>
      <c r="U118" s="418"/>
      <c r="V118" s="369"/>
      <c r="W118" s="1316"/>
      <c r="X118" s="8"/>
      <c r="Y118" s="1316"/>
      <c r="Z118" s="1316"/>
      <c r="AA118" s="1316"/>
      <c r="AH118" s="1316"/>
      <c r="AI118" s="1316"/>
      <c r="AO118" s="369" t="s">
        <v>1309</v>
      </c>
      <c r="AP118" s="1301" t="s">
        <v>1940</v>
      </c>
    </row>
    <row r="119" spans="1:45" s="70" customFormat="1" ht="13.5" customHeight="1" x14ac:dyDescent="0.2">
      <c r="A119" s="418"/>
      <c r="B119" s="418"/>
      <c r="C119" s="460"/>
      <c r="D119" s="460"/>
      <c r="E119" s="423"/>
      <c r="F119" s="460"/>
      <c r="G119" s="467"/>
      <c r="H119" s="418"/>
      <c r="I119" s="471"/>
      <c r="J119" s="460"/>
      <c r="K119" s="423"/>
      <c r="L119" s="469"/>
      <c r="M119" s="418"/>
      <c r="N119" s="418"/>
      <c r="O119" s="418"/>
      <c r="P119" s="418"/>
      <c r="Q119" s="418"/>
      <c r="R119" s="418"/>
      <c r="S119" s="418"/>
      <c r="T119" s="418"/>
      <c r="U119" s="418"/>
      <c r="V119" s="369"/>
      <c r="W119" s="1316"/>
      <c r="X119" s="8"/>
      <c r="Y119" s="1316"/>
      <c r="Z119" s="1316"/>
      <c r="AA119" s="1316"/>
      <c r="AH119" s="1316"/>
      <c r="AI119" s="1316"/>
      <c r="AO119" s="369" t="s">
        <v>2036</v>
      </c>
      <c r="AP119" s="1301" t="s">
        <v>2220</v>
      </c>
    </row>
    <row r="120" spans="1:45" s="70" customFormat="1" ht="3.75" customHeight="1" x14ac:dyDescent="0.2">
      <c r="A120" s="418"/>
      <c r="B120" s="418"/>
      <c r="C120" s="460"/>
      <c r="D120" s="460"/>
      <c r="E120" s="423"/>
      <c r="F120" s="460"/>
      <c r="G120" s="467"/>
      <c r="H120" s="418"/>
      <c r="I120" s="471"/>
      <c r="J120" s="460"/>
      <c r="K120" s="423"/>
      <c r="L120" s="469"/>
      <c r="M120" s="418"/>
      <c r="N120" s="418"/>
      <c r="O120" s="418"/>
      <c r="P120" s="418"/>
      <c r="Q120" s="418"/>
      <c r="R120" s="418"/>
      <c r="S120" s="418"/>
      <c r="T120" s="418"/>
      <c r="U120" s="418"/>
      <c r="V120" s="369"/>
      <c r="W120" s="1316"/>
      <c r="X120" s="8"/>
      <c r="Y120" s="1316"/>
      <c r="Z120" s="1316"/>
      <c r="AA120" s="1316"/>
      <c r="AH120" s="1316"/>
      <c r="AI120" s="1316"/>
      <c r="AO120" s="392"/>
      <c r="AP120" s="1301"/>
    </row>
    <row r="121" spans="1:45" s="70" customFormat="1" ht="3" customHeight="1" x14ac:dyDescent="0.2">
      <c r="A121" s="418"/>
      <c r="B121" s="418"/>
      <c r="C121" s="460"/>
      <c r="D121" s="460"/>
      <c r="E121" s="423"/>
      <c r="F121" s="460"/>
      <c r="G121" s="467"/>
      <c r="H121" s="418"/>
      <c r="I121" s="471"/>
      <c r="J121" s="460"/>
      <c r="K121" s="423"/>
      <c r="L121" s="469"/>
      <c r="M121" s="418"/>
      <c r="N121" s="418"/>
      <c r="O121" s="418"/>
      <c r="P121" s="418"/>
      <c r="Q121" s="418"/>
      <c r="R121" s="418"/>
      <c r="S121" s="418"/>
      <c r="T121" s="418"/>
      <c r="U121" s="418"/>
      <c r="V121" s="369"/>
      <c r="W121" s="1316"/>
      <c r="X121" s="8"/>
      <c r="Y121" s="1316"/>
      <c r="Z121" s="1316"/>
      <c r="AA121" s="1316"/>
      <c r="AH121" s="1316"/>
      <c r="AI121" s="1316"/>
    </row>
    <row r="122" spans="1:45" ht="13.5" customHeight="1" x14ac:dyDescent="0.2">
      <c r="A122" s="418"/>
      <c r="B122" s="418"/>
      <c r="C122" s="418"/>
      <c r="D122" s="418"/>
      <c r="E122" s="418"/>
      <c r="F122" s="460"/>
      <c r="G122" s="467"/>
      <c r="H122" s="418"/>
      <c r="I122" s="463"/>
      <c r="J122" s="418"/>
      <c r="K122" s="460"/>
      <c r="L122" s="469"/>
      <c r="M122" s="418"/>
      <c r="N122" s="418"/>
      <c r="O122" s="418"/>
      <c r="P122" s="418"/>
      <c r="Q122" s="418"/>
      <c r="R122" s="418"/>
      <c r="S122" s="418"/>
      <c r="T122" s="418"/>
      <c r="U122" s="418"/>
      <c r="AN122" s="421"/>
      <c r="AO122" s="1424" t="s">
        <v>1858</v>
      </c>
      <c r="AP122" s="421"/>
      <c r="AQ122" s="421"/>
      <c r="AR122" s="421"/>
      <c r="AS122" s="421"/>
    </row>
    <row r="123" spans="1:45" ht="13.5" customHeight="1" x14ac:dyDescent="0.2">
      <c r="A123" s="418"/>
      <c r="B123" s="418"/>
      <c r="C123" s="418"/>
      <c r="D123" s="418"/>
      <c r="E123" s="418"/>
      <c r="F123" s="460"/>
      <c r="G123" s="467"/>
      <c r="H123" s="418"/>
      <c r="I123" s="463"/>
      <c r="J123" s="418"/>
      <c r="K123" s="460"/>
      <c r="L123" s="469"/>
      <c r="M123" s="418"/>
      <c r="N123" s="418"/>
      <c r="O123" s="418"/>
      <c r="P123" s="418"/>
      <c r="Q123" s="418"/>
      <c r="R123" s="418"/>
      <c r="S123" s="418"/>
      <c r="T123" s="418"/>
      <c r="U123" s="418"/>
    </row>
    <row r="124" spans="1:45" ht="4.5" customHeight="1" x14ac:dyDescent="0.2">
      <c r="A124" s="418"/>
      <c r="B124" s="418"/>
      <c r="C124" s="418"/>
      <c r="D124" s="418"/>
      <c r="E124" s="418"/>
      <c r="F124" s="460"/>
      <c r="G124" s="467"/>
      <c r="H124" s="418"/>
      <c r="I124" s="463"/>
      <c r="J124" s="418"/>
      <c r="K124" s="460"/>
      <c r="L124" s="469"/>
      <c r="M124" s="418"/>
      <c r="N124" s="418"/>
      <c r="O124" s="418"/>
      <c r="P124" s="418"/>
      <c r="Q124" s="418"/>
      <c r="R124" s="418"/>
      <c r="S124" s="418"/>
      <c r="T124" s="418"/>
      <c r="U124" s="418"/>
    </row>
    <row r="125" spans="1:45" ht="13.5" customHeight="1" x14ac:dyDescent="0.2">
      <c r="A125" s="418"/>
      <c r="B125" s="418"/>
      <c r="C125" s="418"/>
      <c r="D125" s="418"/>
      <c r="E125" s="418"/>
      <c r="F125" s="418"/>
      <c r="G125" s="462"/>
      <c r="H125" s="418"/>
      <c r="I125" s="463"/>
      <c r="J125" s="418"/>
      <c r="K125" s="418"/>
      <c r="L125" s="462"/>
      <c r="M125" s="418"/>
      <c r="N125" s="418"/>
      <c r="O125" s="418"/>
      <c r="P125" s="418"/>
      <c r="Q125" s="418"/>
      <c r="R125" s="418"/>
      <c r="S125" s="418"/>
      <c r="T125" s="418"/>
      <c r="U125" s="418"/>
    </row>
    <row r="126" spans="1:45" ht="6" customHeight="1" x14ac:dyDescent="0.2">
      <c r="A126" s="418"/>
      <c r="B126" s="418"/>
      <c r="C126" s="418"/>
      <c r="D126" s="418"/>
      <c r="E126" s="418"/>
      <c r="F126" s="418"/>
      <c r="G126" s="462"/>
      <c r="H126" s="418"/>
      <c r="I126" s="463"/>
      <c r="J126" s="418"/>
      <c r="K126" s="418"/>
      <c r="L126" s="462"/>
      <c r="M126" s="418"/>
      <c r="N126" s="418"/>
      <c r="O126" s="418"/>
      <c r="P126" s="418"/>
      <c r="Q126" s="418"/>
      <c r="R126" s="418"/>
      <c r="S126" s="418"/>
      <c r="T126" s="418"/>
      <c r="U126" s="418"/>
    </row>
    <row r="127" spans="1:45" ht="13.5" customHeight="1" x14ac:dyDescent="0.2">
      <c r="A127" s="418"/>
      <c r="B127" s="418"/>
      <c r="C127" s="458"/>
      <c r="D127" s="458"/>
      <c r="E127" s="423"/>
      <c r="F127" s="460"/>
      <c r="G127" s="467"/>
      <c r="H127" s="418"/>
      <c r="I127" s="468"/>
      <c r="J127" s="460"/>
      <c r="K127" s="423"/>
      <c r="L127" s="469"/>
      <c r="M127" s="418"/>
      <c r="N127" s="418"/>
      <c r="O127" s="418"/>
      <c r="P127" s="418"/>
      <c r="Q127" s="418"/>
      <c r="R127" s="418"/>
      <c r="S127" s="418"/>
      <c r="T127" s="418"/>
      <c r="U127" s="418"/>
    </row>
    <row r="128" spans="1:45" s="546" customFormat="1" ht="13.5" customHeight="1" x14ac:dyDescent="0.2">
      <c r="A128" s="418"/>
      <c r="B128" s="418"/>
      <c r="C128" s="458"/>
      <c r="D128" s="458"/>
      <c r="E128" s="423"/>
      <c r="F128" s="460"/>
      <c r="G128" s="467"/>
      <c r="H128" s="418"/>
      <c r="I128" s="468"/>
      <c r="J128" s="460"/>
      <c r="K128" s="423"/>
      <c r="L128" s="469"/>
      <c r="M128" s="418"/>
      <c r="N128" s="418"/>
      <c r="O128" s="418"/>
      <c r="P128" s="418"/>
      <c r="Q128" s="418"/>
      <c r="R128" s="418"/>
      <c r="S128" s="418"/>
      <c r="T128" s="418"/>
      <c r="U128" s="418"/>
      <c r="AN128"/>
      <c r="AO128"/>
      <c r="AP128"/>
      <c r="AQ128"/>
      <c r="AR128"/>
      <c r="AS128"/>
    </row>
    <row r="129" spans="1:39" ht="13.5" customHeight="1" x14ac:dyDescent="0.2">
      <c r="A129" s="418"/>
      <c r="B129" s="418"/>
      <c r="C129" s="458"/>
      <c r="D129" s="458"/>
      <c r="E129" s="423"/>
      <c r="F129" s="460"/>
      <c r="G129" s="467"/>
      <c r="H129" s="418"/>
      <c r="I129" s="468"/>
      <c r="J129" s="460"/>
      <c r="K129" s="423"/>
      <c r="L129" s="469"/>
      <c r="M129" s="418"/>
      <c r="N129" s="418"/>
      <c r="O129" s="418"/>
      <c r="P129" s="418"/>
      <c r="Q129" s="418"/>
      <c r="R129" s="418"/>
      <c r="S129" s="418"/>
      <c r="T129" s="418"/>
      <c r="U129" s="418"/>
    </row>
    <row r="130" spans="1:39" ht="13.5" customHeight="1" x14ac:dyDescent="0.2">
      <c r="A130" s="418"/>
      <c r="B130" s="418"/>
      <c r="C130" s="459"/>
      <c r="D130" s="459"/>
      <c r="E130" s="459"/>
      <c r="F130" s="418"/>
      <c r="G130" s="467"/>
      <c r="H130" s="418"/>
      <c r="I130" s="470"/>
      <c r="J130" s="459"/>
      <c r="K130" s="418"/>
      <c r="L130" s="467"/>
      <c r="M130" s="418"/>
      <c r="N130" s="418"/>
      <c r="O130" s="418"/>
      <c r="P130" s="418"/>
      <c r="Q130" s="418"/>
      <c r="R130" s="418"/>
      <c r="S130" s="418"/>
      <c r="T130" s="418"/>
      <c r="U130" s="418"/>
    </row>
    <row r="131" spans="1:39" ht="13.5" customHeight="1" x14ac:dyDescent="0.2">
      <c r="A131" s="418"/>
      <c r="B131" s="418"/>
      <c r="C131" s="460"/>
      <c r="D131" s="460"/>
      <c r="E131" s="423"/>
      <c r="F131" s="460"/>
      <c r="G131" s="467"/>
      <c r="H131" s="418"/>
      <c r="I131" s="471"/>
      <c r="J131" s="460"/>
      <c r="K131" s="423"/>
      <c r="L131" s="469"/>
      <c r="M131" s="418"/>
      <c r="N131" s="418"/>
      <c r="O131" s="418"/>
      <c r="P131" s="418"/>
      <c r="Q131" s="418"/>
      <c r="R131" s="418"/>
      <c r="S131" s="418"/>
      <c r="T131" s="418"/>
      <c r="U131" s="418"/>
    </row>
    <row r="132" spans="1:39" ht="13.5" customHeight="1" x14ac:dyDescent="0.2">
      <c r="A132" s="418"/>
      <c r="B132" s="418"/>
      <c r="C132" s="418"/>
      <c r="D132" s="418"/>
      <c r="E132" s="418"/>
      <c r="F132" s="460"/>
      <c r="G132" s="467"/>
      <c r="H132" s="418"/>
      <c r="I132" s="463"/>
      <c r="J132" s="418"/>
      <c r="K132" s="460"/>
      <c r="L132" s="469"/>
      <c r="M132" s="418"/>
      <c r="N132" s="418"/>
      <c r="O132" s="418"/>
      <c r="P132" s="418"/>
      <c r="Q132" s="418"/>
      <c r="R132" s="418"/>
      <c r="S132" s="418"/>
      <c r="T132" s="418"/>
      <c r="U132" s="418"/>
    </row>
    <row r="133" spans="1:39" ht="13.5" customHeight="1" x14ac:dyDescent="0.2">
      <c r="A133" s="418"/>
      <c r="B133" s="418"/>
      <c r="C133" s="418"/>
      <c r="D133" s="418"/>
      <c r="E133" s="418"/>
      <c r="F133" s="460"/>
      <c r="G133" s="467"/>
      <c r="H133" s="418"/>
      <c r="I133" s="463"/>
      <c r="J133" s="418"/>
      <c r="K133" s="460"/>
      <c r="L133" s="469"/>
      <c r="M133" s="418"/>
      <c r="N133" s="418"/>
      <c r="O133" s="418"/>
      <c r="P133" s="418"/>
      <c r="Q133" s="418"/>
      <c r="R133" s="418"/>
      <c r="S133" s="418"/>
      <c r="T133" s="418"/>
      <c r="U133" s="418"/>
    </row>
    <row r="134" spans="1:39" ht="13.5" customHeight="1" x14ac:dyDescent="0.2">
      <c r="A134" s="418"/>
      <c r="B134" s="418"/>
      <c r="C134" s="418"/>
      <c r="D134" s="418"/>
      <c r="E134" s="418"/>
      <c r="F134" s="460"/>
      <c r="G134" s="467"/>
      <c r="H134" s="418"/>
      <c r="I134" s="463"/>
      <c r="J134" s="418"/>
      <c r="K134" s="460"/>
      <c r="L134" s="469"/>
      <c r="M134" s="418"/>
      <c r="N134" s="418"/>
      <c r="O134" s="418"/>
      <c r="P134" s="418"/>
      <c r="Q134" s="418"/>
      <c r="R134" s="418"/>
      <c r="S134" s="418"/>
      <c r="T134" s="418"/>
      <c r="U134" s="418"/>
    </row>
    <row r="135" spans="1:39" ht="13.5" customHeight="1" x14ac:dyDescent="0.2">
      <c r="A135" s="418"/>
      <c r="B135" s="418"/>
      <c r="C135" s="458"/>
      <c r="D135" s="458"/>
      <c r="E135" s="423"/>
      <c r="F135" s="460"/>
      <c r="G135" s="467"/>
      <c r="H135" s="418"/>
      <c r="I135" s="468"/>
      <c r="J135" s="460"/>
      <c r="K135" s="423"/>
      <c r="L135" s="469"/>
      <c r="M135" s="418"/>
      <c r="N135" s="418"/>
      <c r="O135" s="418"/>
      <c r="P135" s="418"/>
      <c r="Q135" s="418"/>
      <c r="R135" s="418"/>
      <c r="S135" s="418"/>
      <c r="T135" s="418"/>
      <c r="U135" s="418"/>
    </row>
    <row r="136" spans="1:39" ht="13.5" customHeight="1" x14ac:dyDescent="0.2">
      <c r="A136" s="418"/>
      <c r="B136" s="418"/>
      <c r="C136" s="459"/>
      <c r="D136" s="459"/>
      <c r="E136" s="459"/>
      <c r="F136" s="418"/>
      <c r="G136" s="467"/>
      <c r="H136" s="418"/>
      <c r="I136" s="470"/>
      <c r="J136" s="459"/>
      <c r="K136" s="418"/>
      <c r="L136" s="467"/>
      <c r="M136" s="418"/>
      <c r="N136" s="418"/>
      <c r="O136" s="418"/>
      <c r="P136" s="418"/>
      <c r="Q136" s="418"/>
      <c r="R136" s="418"/>
      <c r="S136" s="418"/>
      <c r="T136" s="418"/>
      <c r="U136" s="418"/>
    </row>
    <row r="137" spans="1:39" ht="4.5" customHeight="1" x14ac:dyDescent="0.2">
      <c r="A137" s="418"/>
      <c r="B137" s="418"/>
      <c r="C137" s="460"/>
      <c r="D137" s="460"/>
      <c r="E137" s="423"/>
      <c r="F137" s="460"/>
      <c r="G137" s="467"/>
      <c r="H137" s="418"/>
      <c r="I137" s="471"/>
      <c r="J137" s="460"/>
      <c r="K137" s="423"/>
      <c r="L137" s="469"/>
      <c r="M137" s="418"/>
      <c r="N137" s="418"/>
      <c r="O137" s="418"/>
      <c r="P137" s="418"/>
      <c r="Q137" s="418"/>
      <c r="R137" s="418"/>
      <c r="S137" s="418"/>
      <c r="T137" s="418"/>
      <c r="U137" s="418"/>
      <c r="V137" s="418"/>
      <c r="W137" s="418"/>
      <c r="X137" s="418"/>
      <c r="Y137" s="418"/>
      <c r="Z137" s="418"/>
      <c r="AA137" s="418"/>
      <c r="AB137" s="418"/>
      <c r="AC137" s="418"/>
      <c r="AD137" s="418"/>
      <c r="AE137" s="418"/>
      <c r="AF137" s="418"/>
      <c r="AG137" s="418"/>
      <c r="AH137" s="418"/>
      <c r="AI137" s="418"/>
      <c r="AJ137" s="418"/>
      <c r="AK137" s="418"/>
      <c r="AL137" s="418"/>
      <c r="AM137" s="418"/>
    </row>
    <row r="140" spans="1:39" ht="5.25" customHeight="1" x14ac:dyDescent="0.2"/>
    <row r="143" spans="1:39" ht="3.95" customHeight="1" x14ac:dyDescent="0.2"/>
    <row r="151" ht="2.1" customHeight="1" x14ac:dyDescent="0.2"/>
    <row r="172" ht="5.25" customHeight="1" x14ac:dyDescent="0.2"/>
    <row r="175" ht="5.25" customHeight="1" x14ac:dyDescent="0.2"/>
    <row r="181" ht="5.25" customHeight="1" x14ac:dyDescent="0.2"/>
    <row r="187" ht="4.5" customHeight="1" x14ac:dyDescent="0.2"/>
  </sheetData>
  <phoneticPr fontId="57" type="noConversion"/>
  <pageMargins left="0.5" right="0.5" top="0.5" bottom="0.5" header="0.5" footer="0.5"/>
  <pageSetup scale="74" orientation="portrait" horizontalDpi="1200" verticalDpi="1200"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autoPageBreaks="0"/>
  </sheetPr>
  <dimension ref="A1:BE187"/>
  <sheetViews>
    <sheetView zoomScale="85" zoomScaleNormal="85" zoomScaleSheetLayoutView="85" workbookViewId="0"/>
  </sheetViews>
  <sheetFormatPr defaultColWidth="12" defaultRowHeight="13.5" customHeight="1" x14ac:dyDescent="0.2"/>
  <cols>
    <col min="1" max="1" width="36.1640625" customWidth="1"/>
    <col min="2" max="2" width="2" customWidth="1"/>
    <col min="3" max="4" width="12" customWidth="1"/>
    <col min="5" max="5" width="2" customWidth="1"/>
    <col min="6" max="7" width="10" customWidth="1"/>
    <col min="8" max="8" width="5.33203125" customWidth="1"/>
    <col min="9" max="9" width="12" customWidth="1"/>
    <col min="10" max="10" width="2" customWidth="1"/>
    <col min="11" max="12" width="10" customWidth="1"/>
    <col min="13" max="13" width="2.33203125" customWidth="1"/>
    <col min="14" max="14" width="12" customWidth="1"/>
    <col min="15" max="15" width="2.83203125" customWidth="1"/>
    <col min="16" max="16" width="26.83203125" customWidth="1"/>
    <col min="17" max="18" width="13.6640625" customWidth="1"/>
    <col min="19" max="19" width="1.83203125" customWidth="1"/>
    <col min="20" max="20" width="13.6640625" customWidth="1"/>
    <col min="21" max="21" width="2.33203125" customWidth="1"/>
    <col min="22" max="22" width="24" customWidth="1"/>
    <col min="23" max="23" width="9.5" customWidth="1"/>
    <col min="24" max="24" width="2.1640625" customWidth="1"/>
    <col min="25" max="25" width="9.5" customWidth="1"/>
    <col min="26" max="26" width="2" customWidth="1"/>
    <col min="27" max="27" width="9.5" customWidth="1"/>
    <col min="28" max="28" width="2.1640625" customWidth="1"/>
    <col min="29" max="29" width="9.5" customWidth="1"/>
    <col min="30" max="30" width="2" customWidth="1"/>
    <col min="31" max="31" width="9.5" customWidth="1"/>
    <col min="32" max="32" width="2.1640625" customWidth="1"/>
    <col min="33" max="33" width="9.5" customWidth="1"/>
    <col min="34" max="34" width="2" customWidth="1"/>
    <col min="35" max="35" width="9" customWidth="1"/>
    <col min="36" max="36" width="1.5" customWidth="1"/>
    <col min="37" max="37" width="28" customWidth="1"/>
    <col min="38" max="38" width="12" bestFit="1" customWidth="1"/>
    <col min="39" max="39" width="1.83203125" customWidth="1"/>
    <col min="40" max="40" width="12.5" bestFit="1" customWidth="1"/>
    <col min="41" max="41" width="1.5" customWidth="1"/>
    <col min="42" max="42" width="25.1640625" customWidth="1"/>
    <col min="43" max="48" width="11.83203125" customWidth="1"/>
    <col min="49" max="49" width="4.83203125" customWidth="1"/>
    <col min="50" max="50" width="57.33203125" customWidth="1"/>
    <col min="51" max="51" width="2.1640625" customWidth="1"/>
    <col min="52" max="52" width="17.83203125" customWidth="1"/>
    <col min="53" max="54" width="10.83203125" customWidth="1"/>
    <col min="55" max="55" width="2.83203125" customWidth="1"/>
    <col min="56" max="57" width="10.83203125" customWidth="1"/>
    <col min="58" max="65" width="12" customWidth="1"/>
    <col min="66" max="66" width="5.33203125" customWidth="1"/>
    <col min="67" max="67" width="18.5" customWidth="1"/>
  </cols>
  <sheetData>
    <row r="1" spans="1:50" ht="13.5" customHeight="1" x14ac:dyDescent="0.2">
      <c r="A1" s="362" t="s">
        <v>1490</v>
      </c>
      <c r="B1" s="346"/>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345"/>
      <c r="AG1" s="345"/>
      <c r="AH1" s="345"/>
      <c r="AI1" s="345"/>
      <c r="AJ1" s="345"/>
      <c r="AK1" s="345"/>
      <c r="AL1" s="345"/>
      <c r="AM1" s="345"/>
      <c r="AN1" s="345"/>
      <c r="AO1" s="345"/>
      <c r="AP1" s="345"/>
      <c r="AQ1" s="345"/>
      <c r="AR1" s="345"/>
      <c r="AS1" s="345"/>
      <c r="AT1" s="345"/>
      <c r="AU1" s="345"/>
      <c r="AV1" s="345"/>
      <c r="AW1" s="345"/>
      <c r="AX1" s="345"/>
    </row>
    <row r="2" spans="1:50" ht="13.5" customHeight="1" x14ac:dyDescent="0.2">
      <c r="A2" s="362" t="s">
        <v>1639</v>
      </c>
      <c r="B2" s="346"/>
      <c r="C2" s="619"/>
      <c r="D2" s="345"/>
      <c r="E2" s="345"/>
      <c r="F2" s="345"/>
      <c r="G2" s="345"/>
      <c r="H2" s="345"/>
      <c r="I2" s="619"/>
      <c r="J2" s="345"/>
      <c r="K2" s="345"/>
      <c r="L2" s="345"/>
      <c r="M2" s="345"/>
      <c r="N2" s="345"/>
      <c r="O2" s="345"/>
      <c r="P2" s="345"/>
      <c r="Q2" s="345"/>
      <c r="R2" s="345"/>
      <c r="S2" s="345"/>
      <c r="T2" s="345"/>
      <c r="U2" s="346"/>
      <c r="V2" s="345"/>
      <c r="W2" s="345"/>
      <c r="X2" s="345"/>
      <c r="Y2" s="345"/>
      <c r="Z2" s="345"/>
      <c r="AA2" s="345"/>
      <c r="AB2" s="345"/>
      <c r="AC2" s="345"/>
      <c r="AD2" s="345"/>
      <c r="AE2" s="345"/>
      <c r="AF2" s="345"/>
      <c r="AG2" s="345"/>
      <c r="AH2" s="345"/>
      <c r="AI2" s="345"/>
      <c r="AJ2" s="345"/>
      <c r="AK2" s="345"/>
      <c r="AL2" s="345"/>
      <c r="AM2" s="345"/>
      <c r="AN2" s="345"/>
      <c r="AO2" s="345"/>
      <c r="AP2" s="345"/>
      <c r="AQ2" s="345"/>
      <c r="AR2" s="345"/>
      <c r="AS2" s="345"/>
      <c r="AT2" s="345"/>
      <c r="AU2" s="345"/>
      <c r="AV2" s="345"/>
      <c r="AW2" s="345"/>
      <c r="AX2" s="345"/>
    </row>
    <row r="3" spans="1:50" ht="13.5" customHeight="1" x14ac:dyDescent="0.2">
      <c r="A3" s="346"/>
      <c r="B3" s="346"/>
      <c r="C3" s="346"/>
      <c r="D3" s="346"/>
      <c r="E3" s="346"/>
      <c r="F3" s="346"/>
      <c r="G3" s="346"/>
      <c r="H3" s="346"/>
      <c r="I3" s="346"/>
      <c r="J3" s="346"/>
      <c r="K3" s="346"/>
      <c r="L3" s="346"/>
      <c r="M3" s="346"/>
      <c r="N3" s="345"/>
      <c r="O3" s="345"/>
      <c r="P3" s="345"/>
      <c r="Q3" s="345"/>
      <c r="R3" s="345"/>
      <c r="S3" s="345"/>
      <c r="T3" s="345"/>
      <c r="U3" s="346"/>
      <c r="V3" s="345"/>
      <c r="W3" s="345"/>
      <c r="X3" s="345"/>
      <c r="Y3" s="345"/>
      <c r="Z3" s="345"/>
      <c r="AA3" s="345"/>
      <c r="AB3" s="345"/>
      <c r="AC3" s="345"/>
      <c r="AD3" s="345"/>
      <c r="AE3" s="345"/>
      <c r="AF3" s="345"/>
      <c r="AG3" s="345"/>
      <c r="AH3" s="345"/>
      <c r="AI3" s="345"/>
      <c r="AJ3" s="345"/>
      <c r="AK3" s="345"/>
      <c r="AL3" s="345"/>
      <c r="AM3" s="345"/>
      <c r="AN3" s="345"/>
      <c r="AO3" s="345"/>
      <c r="AP3" s="345"/>
      <c r="AQ3" s="345"/>
      <c r="AR3" s="345"/>
      <c r="AS3" s="345"/>
      <c r="AT3" s="345"/>
      <c r="AU3" s="345"/>
      <c r="AV3" s="345"/>
      <c r="AW3" s="345"/>
      <c r="AX3" s="345"/>
    </row>
    <row r="4" spans="1:50" ht="13.5" customHeight="1" x14ac:dyDescent="0.2">
      <c r="A4" s="275" t="s">
        <v>91</v>
      </c>
      <c r="B4" s="346"/>
      <c r="C4" s="346"/>
      <c r="D4" s="346"/>
      <c r="E4" s="346"/>
      <c r="F4" s="346"/>
      <c r="G4" s="346"/>
      <c r="H4" s="346"/>
      <c r="I4" s="346"/>
      <c r="J4" s="346"/>
      <c r="K4" s="346"/>
      <c r="L4" s="346"/>
      <c r="M4" s="346"/>
      <c r="N4" s="345"/>
      <c r="O4" s="345"/>
      <c r="P4" s="345"/>
      <c r="Q4" s="345"/>
      <c r="R4" s="345"/>
      <c r="S4" s="345"/>
      <c r="T4" s="345"/>
      <c r="U4" s="346"/>
      <c r="V4" s="345"/>
      <c r="W4" s="345"/>
      <c r="X4" s="345"/>
      <c r="Y4" s="345"/>
      <c r="Z4" s="345"/>
      <c r="AA4" s="345"/>
      <c r="AB4" s="345"/>
      <c r="AC4" s="345"/>
      <c r="AD4" s="345"/>
      <c r="AE4" s="345"/>
      <c r="AF4" s="345"/>
      <c r="AG4" s="345"/>
      <c r="AH4" s="345"/>
      <c r="AI4" s="345"/>
      <c r="AJ4" s="345"/>
      <c r="AK4" s="345"/>
      <c r="AL4" s="345"/>
      <c r="AM4" s="345"/>
      <c r="AN4" s="345"/>
      <c r="AO4" s="345"/>
      <c r="AP4" s="345"/>
      <c r="AQ4" s="345"/>
      <c r="AR4" s="345"/>
      <c r="AS4" s="345"/>
      <c r="AT4" s="345"/>
      <c r="AU4" s="345"/>
      <c r="AV4" s="345"/>
      <c r="AW4" s="345"/>
      <c r="AX4" s="345"/>
    </row>
    <row r="5" spans="1:50" ht="13.5" customHeight="1" x14ac:dyDescent="0.2">
      <c r="A5" s="418"/>
      <c r="B5" s="418"/>
      <c r="C5" s="815" t="s">
        <v>1149</v>
      </c>
      <c r="D5" s="815"/>
      <c r="E5" s="815"/>
      <c r="F5" s="815"/>
      <c r="G5" s="815"/>
      <c r="H5" s="374"/>
      <c r="I5" s="815" t="s">
        <v>1755</v>
      </c>
      <c r="J5" s="815"/>
      <c r="K5" s="815"/>
      <c r="L5" s="815"/>
      <c r="M5" s="346"/>
      <c r="N5" s="1143" t="s">
        <v>1141</v>
      </c>
      <c r="O5" s="347"/>
      <c r="P5" s="345"/>
      <c r="Q5" s="345"/>
      <c r="R5" s="345"/>
      <c r="S5" s="345"/>
      <c r="T5" s="345"/>
      <c r="U5" s="346"/>
      <c r="V5" s="345"/>
      <c r="W5" s="345"/>
      <c r="X5" s="345"/>
      <c r="Y5" s="345"/>
      <c r="Z5" s="345"/>
      <c r="AA5" s="345"/>
      <c r="AB5" s="345"/>
      <c r="AC5" s="345"/>
      <c r="AD5" s="345"/>
      <c r="AE5" s="345"/>
      <c r="AF5" s="345"/>
      <c r="AG5" s="345"/>
      <c r="AH5" s="345"/>
      <c r="AI5" s="345"/>
      <c r="AJ5" s="345"/>
      <c r="AK5" s="345"/>
      <c r="AL5" s="345"/>
      <c r="AM5" s="345"/>
      <c r="AN5" s="345"/>
      <c r="AO5" s="345"/>
      <c r="AP5" s="345"/>
      <c r="AQ5" s="345"/>
      <c r="AR5" s="345"/>
      <c r="AS5" s="345"/>
      <c r="AT5" s="345"/>
      <c r="AU5" s="345"/>
      <c r="AV5" s="345"/>
      <c r="AW5" s="345"/>
      <c r="AX5" s="345"/>
    </row>
    <row r="6" spans="1:50" ht="13.5" customHeight="1" x14ac:dyDescent="0.2">
      <c r="A6" s="418"/>
      <c r="B6" s="418"/>
      <c r="C6" s="822"/>
      <c r="D6" s="418"/>
      <c r="E6" s="418"/>
      <c r="F6" s="815" t="s">
        <v>241</v>
      </c>
      <c r="G6" s="815"/>
      <c r="H6" s="418"/>
      <c r="I6" s="822"/>
      <c r="J6" s="418"/>
      <c r="K6" s="1376" t="s">
        <v>241</v>
      </c>
      <c r="L6" s="1376"/>
      <c r="M6" s="346"/>
      <c r="N6" s="345"/>
      <c r="O6" s="345"/>
      <c r="P6" s="345"/>
      <c r="Q6" s="345"/>
      <c r="R6" s="345"/>
      <c r="S6" s="345"/>
      <c r="T6" s="345"/>
      <c r="U6" s="346"/>
      <c r="V6" s="345"/>
      <c r="W6" s="345"/>
      <c r="X6" s="345"/>
      <c r="Y6" s="345"/>
      <c r="Z6" s="345"/>
      <c r="AA6" s="345"/>
      <c r="AB6" s="345"/>
      <c r="AC6" s="345"/>
      <c r="AD6" s="345"/>
      <c r="AE6" s="345"/>
      <c r="AF6" s="345"/>
      <c r="AG6" s="345"/>
      <c r="AH6" s="345"/>
      <c r="AI6" s="345"/>
      <c r="AJ6" s="345"/>
      <c r="AK6" s="345"/>
      <c r="AL6" s="345"/>
      <c r="AM6" s="345"/>
      <c r="AN6" s="345"/>
      <c r="AO6" s="345"/>
      <c r="AP6" s="345"/>
      <c r="AQ6" s="345"/>
      <c r="AR6" s="345"/>
      <c r="AS6" s="345"/>
      <c r="AT6" s="345"/>
      <c r="AU6" s="345"/>
      <c r="AV6" s="345"/>
      <c r="AW6" s="345"/>
      <c r="AX6" s="345"/>
    </row>
    <row r="7" spans="1:50" ht="13.5" customHeight="1" x14ac:dyDescent="0.2">
      <c r="A7" s="418"/>
      <c r="B7" s="418"/>
      <c r="C7" s="1127" t="s">
        <v>287</v>
      </c>
      <c r="D7" s="1126" t="s">
        <v>644</v>
      </c>
      <c r="E7" s="456"/>
      <c r="F7" s="1126" t="s">
        <v>1756</v>
      </c>
      <c r="G7" s="1126" t="s">
        <v>575</v>
      </c>
      <c r="H7" s="418"/>
      <c r="I7" s="1127" t="s">
        <v>39</v>
      </c>
      <c r="J7" s="456"/>
      <c r="K7" s="1126" t="s">
        <v>1756</v>
      </c>
      <c r="L7" s="1126" t="s">
        <v>575</v>
      </c>
      <c r="M7" s="347"/>
      <c r="N7" s="347"/>
      <c r="O7" s="347"/>
      <c r="P7" s="347"/>
      <c r="Q7" s="347"/>
      <c r="R7" s="347"/>
      <c r="S7" s="347"/>
      <c r="T7" s="347"/>
      <c r="U7" s="346"/>
      <c r="V7" s="345"/>
      <c r="W7" s="345"/>
      <c r="X7" s="345"/>
      <c r="Y7" s="345"/>
      <c r="Z7" s="345"/>
      <c r="AA7" s="345"/>
      <c r="AB7" s="345"/>
      <c r="AC7" s="345"/>
      <c r="AD7" s="345"/>
      <c r="AE7" s="345"/>
      <c r="AF7" s="345"/>
      <c r="AG7" s="345"/>
      <c r="AH7" s="345"/>
      <c r="AI7" s="345"/>
      <c r="AJ7" s="345"/>
      <c r="AK7" s="345"/>
      <c r="AL7" s="345"/>
      <c r="AM7" s="345"/>
      <c r="AN7" s="345"/>
      <c r="AO7" s="345"/>
      <c r="AP7" s="345"/>
      <c r="AQ7" s="345"/>
      <c r="AR7" s="345"/>
      <c r="AS7" s="345"/>
      <c r="AT7" s="345"/>
      <c r="AU7" s="345"/>
      <c r="AV7" s="345"/>
      <c r="AW7" s="345"/>
      <c r="AX7" s="345"/>
    </row>
    <row r="8" spans="1:50" ht="13.5" customHeight="1" x14ac:dyDescent="0.2">
      <c r="A8" s="362" t="s">
        <v>125</v>
      </c>
      <c r="B8" s="346"/>
      <c r="C8" s="348"/>
      <c r="D8" s="346"/>
      <c r="E8" s="346"/>
      <c r="F8" s="346"/>
      <c r="G8" s="346"/>
      <c r="H8" s="346"/>
      <c r="I8" s="348"/>
      <c r="J8" s="346"/>
      <c r="K8" s="346"/>
      <c r="L8" s="346"/>
      <c r="M8" s="346"/>
      <c r="N8" s="345"/>
      <c r="O8" s="345"/>
      <c r="P8" s="345"/>
      <c r="Q8" s="345"/>
      <c r="R8" s="345"/>
      <c r="S8" s="345"/>
      <c r="T8" s="345"/>
      <c r="U8" s="346"/>
      <c r="V8" s="345"/>
      <c r="W8" s="345"/>
      <c r="X8" s="345"/>
      <c r="Y8" s="345"/>
      <c r="Z8" s="345"/>
      <c r="AA8" s="345"/>
      <c r="AB8" s="345"/>
      <c r="AC8" s="345"/>
      <c r="AD8" s="345"/>
      <c r="AE8" s="345"/>
      <c r="AF8" s="345"/>
      <c r="AG8" s="345"/>
      <c r="AH8" s="345"/>
      <c r="AI8" s="345"/>
      <c r="AJ8" s="345"/>
      <c r="AK8" s="345"/>
      <c r="AL8" s="345"/>
      <c r="AM8" s="345"/>
      <c r="AN8" s="345"/>
      <c r="AO8" s="345"/>
      <c r="AP8" s="345"/>
      <c r="AQ8" s="345"/>
      <c r="AR8" s="345"/>
      <c r="AS8" s="345"/>
      <c r="AT8" s="345"/>
      <c r="AU8" s="345"/>
      <c r="AV8" s="345"/>
      <c r="AW8" s="345"/>
      <c r="AX8" s="345"/>
    </row>
    <row r="9" spans="1:50" ht="13.5" customHeight="1" x14ac:dyDescent="0.2">
      <c r="A9" s="865" t="s">
        <v>1594</v>
      </c>
      <c r="B9" s="346"/>
      <c r="C9" s="1128">
        <f>C52</f>
        <v>300</v>
      </c>
      <c r="D9" s="349">
        <f>MAR!BL10</f>
        <v>279</v>
      </c>
      <c r="E9" s="349"/>
      <c r="F9" s="349">
        <f>C9-D9</f>
        <v>21</v>
      </c>
      <c r="G9" s="354">
        <f>IF(D9=0,0,C9/D9-1)</f>
        <v>7.5268817204301008E-2</v>
      </c>
      <c r="H9" s="346"/>
      <c r="I9" s="1128">
        <v>50</v>
      </c>
      <c r="J9" s="349"/>
      <c r="K9" s="349">
        <f>C9-I9</f>
        <v>250</v>
      </c>
      <c r="L9" s="1289">
        <f>IF(I9=0,"NM",C9/I9-1)</f>
        <v>5</v>
      </c>
      <c r="M9" s="346"/>
      <c r="N9" s="345"/>
      <c r="O9" s="345"/>
      <c r="P9" s="345"/>
      <c r="Q9" s="345"/>
      <c r="R9" s="345"/>
      <c r="S9" s="345"/>
      <c r="T9" s="345"/>
      <c r="U9" s="346"/>
      <c r="V9" s="345"/>
      <c r="W9" s="345"/>
      <c r="X9" s="345"/>
      <c r="Y9" s="345"/>
      <c r="Z9" s="345"/>
      <c r="AA9" s="345"/>
      <c r="AB9" s="345"/>
      <c r="AC9" s="345"/>
      <c r="AD9" s="345"/>
      <c r="AE9" s="345"/>
      <c r="AF9" s="345"/>
      <c r="AG9" s="345"/>
      <c r="AH9" s="345"/>
      <c r="AI9" s="345"/>
      <c r="AJ9" s="345"/>
      <c r="AK9" s="345"/>
      <c r="AL9" s="345"/>
      <c r="AM9" s="345"/>
      <c r="AN9" s="345"/>
      <c r="AO9" s="345"/>
      <c r="AP9" s="345"/>
      <c r="AQ9" s="345"/>
      <c r="AR9" s="345"/>
      <c r="AS9" s="345"/>
      <c r="AT9" s="345"/>
      <c r="AU9" s="345"/>
      <c r="AV9" s="345"/>
      <c r="AW9" s="345"/>
      <c r="AX9" s="345"/>
    </row>
    <row r="10" spans="1:50" ht="13.5" customHeight="1" x14ac:dyDescent="0.2">
      <c r="A10" s="865" t="s">
        <v>734</v>
      </c>
      <c r="B10" s="346"/>
      <c r="C10" s="510">
        <v>217</v>
      </c>
      <c r="D10" s="352">
        <f>MAR!BL11</f>
        <v>224</v>
      </c>
      <c r="E10" s="353"/>
      <c r="F10" s="352">
        <f>C10-D10</f>
        <v>-7</v>
      </c>
      <c r="G10" s="354">
        <f>IF(D10=0,0,C10/D10-1)</f>
        <v>-3.125E-2</v>
      </c>
      <c r="H10" s="349"/>
      <c r="I10" s="351">
        <v>300</v>
      </c>
      <c r="J10" s="350"/>
      <c r="K10" s="352">
        <f>C10-I10</f>
        <v>-83</v>
      </c>
      <c r="L10" s="1289">
        <f>IF(I10=0,"NM",C10/I10-1)</f>
        <v>-0.27666666666666662</v>
      </c>
      <c r="M10" s="346"/>
      <c r="N10" s="345"/>
      <c r="O10" s="345"/>
      <c r="P10" s="345"/>
      <c r="Q10" s="345"/>
      <c r="R10" s="345"/>
      <c r="S10" s="345"/>
      <c r="T10" s="345"/>
      <c r="U10" s="346"/>
      <c r="V10" s="345"/>
      <c r="W10" s="345"/>
      <c r="X10" s="345"/>
      <c r="Y10" s="345"/>
      <c r="Z10" s="345"/>
      <c r="AA10" s="345"/>
      <c r="AB10" s="345"/>
      <c r="AC10" s="345"/>
      <c r="AD10" s="345"/>
      <c r="AE10" s="345"/>
      <c r="AF10" s="345"/>
      <c r="AG10" s="345"/>
      <c r="AH10" s="345"/>
      <c r="AI10" s="345"/>
      <c r="AJ10" s="345"/>
      <c r="AK10" s="345"/>
      <c r="AL10" s="345"/>
      <c r="AM10" s="345"/>
      <c r="AN10" s="345"/>
      <c r="AO10" s="345"/>
      <c r="AP10" s="345"/>
      <c r="AQ10" s="345"/>
      <c r="AR10" s="345"/>
      <c r="AS10" s="345"/>
      <c r="AT10" s="345"/>
      <c r="AU10" s="345"/>
      <c r="AV10" s="345"/>
      <c r="AW10" s="345"/>
      <c r="AX10" s="345"/>
    </row>
    <row r="11" spans="1:50" ht="13.5" customHeight="1" x14ac:dyDescent="0.2">
      <c r="A11" s="355" t="s">
        <v>732</v>
      </c>
      <c r="B11" s="356"/>
      <c r="C11" s="614">
        <f>SUM(C9:C10)</f>
        <v>517</v>
      </c>
      <c r="D11" s="489">
        <f>SUM(D9:D10)</f>
        <v>503</v>
      </c>
      <c r="E11" s="489"/>
      <c r="F11" s="489">
        <f>SUM(F10:F10)</f>
        <v>-7</v>
      </c>
      <c r="G11" s="358">
        <f>IF(D11=0,0,C11/D11-1)</f>
        <v>2.7833001988071482E-2</v>
      </c>
      <c r="H11" s="359"/>
      <c r="I11" s="614">
        <f>SUM(I9:I10)</f>
        <v>350</v>
      </c>
      <c r="J11" s="357"/>
      <c r="K11" s="489">
        <f>SUM(K9:K10)</f>
        <v>167</v>
      </c>
      <c r="L11" s="360">
        <f>C11/I11-1</f>
        <v>0.47714285714285709</v>
      </c>
      <c r="M11" s="346"/>
      <c r="N11" s="346"/>
      <c r="O11" s="346"/>
      <c r="P11" s="346"/>
      <c r="Q11" s="346"/>
      <c r="R11" s="346"/>
      <c r="S11" s="346"/>
      <c r="T11" s="346"/>
      <c r="U11" s="346"/>
      <c r="V11" s="345"/>
      <c r="W11" s="345"/>
      <c r="X11" s="345"/>
      <c r="Y11" s="345"/>
      <c r="Z11" s="345"/>
      <c r="AA11" s="345"/>
      <c r="AB11" s="345"/>
      <c r="AC11" s="345"/>
      <c r="AD11" s="345"/>
      <c r="AE11" s="345"/>
      <c r="AF11" s="345"/>
      <c r="AG11" s="345"/>
      <c r="AH11" s="345"/>
      <c r="AI11" s="345"/>
      <c r="AJ11" s="345"/>
      <c r="AK11" s="345"/>
      <c r="AL11" s="345"/>
      <c r="AM11" s="345"/>
      <c r="AN11" s="345"/>
      <c r="AO11" s="345"/>
      <c r="AP11" s="345"/>
      <c r="AQ11" s="345"/>
      <c r="AR11" s="345"/>
      <c r="AS11" s="345"/>
      <c r="AT11" s="345"/>
      <c r="AU11" s="345"/>
      <c r="AV11" s="345"/>
      <c r="AW11" s="345"/>
      <c r="AX11" s="345"/>
    </row>
    <row r="12" spans="1:50" ht="13.5" customHeight="1" x14ac:dyDescent="0.2">
      <c r="A12" s="346"/>
      <c r="B12" s="346"/>
      <c r="C12" s="351"/>
      <c r="D12" s="352"/>
      <c r="E12" s="352"/>
      <c r="F12" s="352"/>
      <c r="G12" s="361"/>
      <c r="H12" s="346"/>
      <c r="I12" s="351"/>
      <c r="J12" s="346"/>
      <c r="K12" s="352"/>
      <c r="L12" s="1290"/>
      <c r="M12" s="346"/>
      <c r="N12" s="346"/>
      <c r="O12" s="346"/>
      <c r="P12" s="346"/>
      <c r="Q12" s="346"/>
      <c r="R12" s="346"/>
      <c r="S12" s="346"/>
      <c r="T12" s="346"/>
      <c r="U12" s="346"/>
      <c r="V12" s="345"/>
      <c r="W12" s="345"/>
      <c r="X12" s="345"/>
      <c r="Y12" s="345"/>
      <c r="Z12" s="345"/>
      <c r="AA12" s="345"/>
      <c r="AB12" s="345"/>
      <c r="AC12" s="345"/>
      <c r="AD12" s="345"/>
      <c r="AE12" s="345"/>
      <c r="AF12" s="345"/>
      <c r="AG12" s="345"/>
      <c r="AH12" s="345"/>
      <c r="AI12" s="345"/>
      <c r="AJ12" s="345"/>
      <c r="AK12" s="345"/>
      <c r="AL12" s="345"/>
      <c r="AM12" s="345"/>
      <c r="AN12" s="345"/>
      <c r="AO12" s="345"/>
      <c r="AP12" s="345"/>
      <c r="AQ12" s="345"/>
      <c r="AR12" s="345"/>
      <c r="AS12" s="345"/>
      <c r="AT12" s="345"/>
      <c r="AU12" s="345"/>
      <c r="AV12" s="345"/>
      <c r="AW12" s="345"/>
      <c r="AX12" s="345"/>
    </row>
    <row r="13" spans="1:50" ht="13.5" customHeight="1" x14ac:dyDescent="0.2">
      <c r="A13" s="362" t="s">
        <v>1913</v>
      </c>
      <c r="B13" s="346"/>
      <c r="C13" s="351"/>
      <c r="D13" s="352"/>
      <c r="E13" s="352"/>
      <c r="F13" s="352"/>
      <c r="G13" s="361"/>
      <c r="H13" s="346"/>
      <c r="I13" s="351"/>
      <c r="J13" s="346"/>
      <c r="K13" s="352"/>
      <c r="L13" s="1290"/>
      <c r="M13" s="346"/>
      <c r="N13" s="346"/>
      <c r="O13" s="346"/>
      <c r="P13" s="346"/>
      <c r="Q13" s="346"/>
      <c r="R13" s="346"/>
      <c r="S13" s="346"/>
      <c r="T13" s="346"/>
      <c r="U13" s="346"/>
      <c r="V13" s="345"/>
      <c r="W13" s="345"/>
      <c r="X13" s="345"/>
      <c r="Y13" s="345"/>
      <c r="Z13" s="345"/>
      <c r="AA13" s="345"/>
      <c r="AB13" s="345"/>
      <c r="AC13" s="345"/>
      <c r="AD13" s="345"/>
      <c r="AE13" s="345"/>
      <c r="AF13" s="345"/>
      <c r="AG13" s="345"/>
      <c r="AH13" s="345"/>
      <c r="AI13" s="345"/>
      <c r="AJ13" s="345"/>
      <c r="AK13" s="345"/>
      <c r="AL13" s="345"/>
      <c r="AM13" s="345"/>
      <c r="AN13" s="345"/>
      <c r="AO13" s="345"/>
      <c r="AP13" s="345"/>
      <c r="AQ13" s="345"/>
      <c r="AR13" s="345"/>
      <c r="AS13" s="345"/>
      <c r="AT13" s="345"/>
      <c r="AU13" s="345"/>
      <c r="AV13" s="345"/>
      <c r="AW13" s="345"/>
      <c r="AX13" s="345"/>
    </row>
    <row r="14" spans="1:50" ht="13.5" customHeight="1" x14ac:dyDescent="0.2">
      <c r="A14" s="896" t="s">
        <v>733</v>
      </c>
      <c r="B14" s="346"/>
      <c r="C14" s="510">
        <v>195</v>
      </c>
      <c r="D14" s="352">
        <f>MAR!BL26</f>
        <v>204</v>
      </c>
      <c r="E14" s="352"/>
      <c r="F14" s="352">
        <f>C14-D14</f>
        <v>-9</v>
      </c>
      <c r="G14" s="354">
        <f>IF(D14=0,0,C14/D14-1)</f>
        <v>-4.4117647058823484E-2</v>
      </c>
      <c r="H14" s="346"/>
      <c r="I14" s="351">
        <v>0</v>
      </c>
      <c r="J14" s="346"/>
      <c r="K14" s="352">
        <f>C14-I14</f>
        <v>195</v>
      </c>
      <c r="L14" s="1289" t="str">
        <f>IF(I14=0,"NM",C14/I14-1)</f>
        <v>NM</v>
      </c>
      <c r="M14" s="346"/>
      <c r="N14" s="346"/>
      <c r="O14" s="346"/>
      <c r="P14" s="346"/>
      <c r="Q14" s="346"/>
      <c r="R14" s="346"/>
      <c r="S14" s="346"/>
      <c r="T14" s="346"/>
      <c r="U14" s="346"/>
      <c r="V14" s="345"/>
      <c r="W14" s="345"/>
      <c r="X14" s="345"/>
      <c r="Y14" s="345"/>
      <c r="Z14" s="345"/>
      <c r="AA14" s="345"/>
      <c r="AB14" s="345"/>
      <c r="AC14" s="345"/>
      <c r="AD14" s="345"/>
      <c r="AE14" s="345"/>
      <c r="AF14" s="345"/>
      <c r="AG14" s="345"/>
      <c r="AH14" s="345"/>
      <c r="AI14" s="345"/>
      <c r="AJ14" s="345"/>
      <c r="AK14" s="345"/>
      <c r="AL14" s="345"/>
      <c r="AM14" s="345"/>
      <c r="AN14" s="345"/>
      <c r="AO14" s="345"/>
      <c r="AP14" s="345"/>
      <c r="AQ14" s="345"/>
      <c r="AR14" s="345"/>
      <c r="AS14" s="345"/>
      <c r="AT14" s="345"/>
      <c r="AU14" s="345"/>
      <c r="AV14" s="345"/>
      <c r="AW14" s="345"/>
      <c r="AX14" s="345"/>
    </row>
    <row r="15" spans="1:50" ht="13.5" customHeight="1" x14ac:dyDescent="0.2">
      <c r="A15" s="896" t="s">
        <v>736</v>
      </c>
      <c r="B15" s="346"/>
      <c r="C15" s="510">
        <v>147</v>
      </c>
      <c r="D15" s="352">
        <f>+MAR!BL29</f>
        <v>141</v>
      </c>
      <c r="E15" s="352"/>
      <c r="F15" s="352">
        <f>C15-D15</f>
        <v>6</v>
      </c>
      <c r="G15" s="354">
        <f>IF(D15=0,0,C15/D15-1)</f>
        <v>4.2553191489361764E-2</v>
      </c>
      <c r="H15" s="346"/>
      <c r="I15" s="351">
        <v>1.9984012789768135E-2</v>
      </c>
      <c r="J15" s="346"/>
      <c r="K15" s="352">
        <f>C15-I15</f>
        <v>146.98001598721024</v>
      </c>
      <c r="L15" s="1289">
        <f>IF(I15=0,"NM",C15/I15-1)</f>
        <v>7354.8800000000183</v>
      </c>
      <c r="M15" s="346"/>
      <c r="N15" s="346"/>
      <c r="O15" s="346"/>
      <c r="P15" s="346"/>
      <c r="Q15" s="346"/>
      <c r="R15" s="346"/>
      <c r="S15" s="346"/>
      <c r="T15" s="346"/>
      <c r="U15" s="346"/>
      <c r="V15" s="345"/>
      <c r="W15" s="345"/>
      <c r="X15" s="345"/>
      <c r="Y15" s="345"/>
      <c r="Z15" s="345"/>
      <c r="AA15" s="345"/>
      <c r="AB15" s="345"/>
      <c r="AC15" s="345"/>
      <c r="AD15" s="345"/>
      <c r="AE15" s="345"/>
      <c r="AF15" s="345"/>
      <c r="AG15" s="345"/>
      <c r="AH15" s="345"/>
      <c r="AI15" s="345"/>
      <c r="AJ15" s="345"/>
      <c r="AK15" s="345"/>
      <c r="AL15" s="345"/>
      <c r="AM15" s="345"/>
      <c r="AN15" s="345"/>
      <c r="AO15" s="345"/>
      <c r="AP15" s="345"/>
      <c r="AQ15" s="345"/>
      <c r="AR15" s="345"/>
      <c r="AS15" s="345"/>
      <c r="AT15" s="345"/>
      <c r="AU15" s="345"/>
      <c r="AV15" s="345"/>
      <c r="AW15" s="345"/>
      <c r="AX15" s="345"/>
    </row>
    <row r="16" spans="1:50" ht="13.5" customHeight="1" x14ac:dyDescent="0.2">
      <c r="A16" s="896" t="s">
        <v>2247</v>
      </c>
      <c r="B16" s="346"/>
      <c r="C16" s="351">
        <f>-C20</f>
        <v>-29</v>
      </c>
      <c r="D16" s="352"/>
      <c r="E16" s="352"/>
      <c r="F16" s="352"/>
      <c r="G16" s="354"/>
      <c r="H16" s="346"/>
      <c r="I16" s="351"/>
      <c r="J16" s="346"/>
      <c r="K16" s="352"/>
      <c r="L16" s="1289"/>
      <c r="M16" s="346"/>
      <c r="N16" s="346"/>
      <c r="O16" s="346"/>
      <c r="P16" s="346"/>
      <c r="Q16" s="346"/>
      <c r="R16" s="346"/>
      <c r="S16" s="346"/>
      <c r="T16" s="346"/>
      <c r="U16" s="346"/>
      <c r="V16" s="345"/>
      <c r="W16" s="345"/>
      <c r="X16" s="345"/>
      <c r="Y16" s="345"/>
      <c r="Z16" s="345"/>
      <c r="AA16" s="345"/>
      <c r="AB16" s="345"/>
      <c r="AC16" s="345"/>
      <c r="AD16" s="345"/>
      <c r="AE16" s="345"/>
      <c r="AF16" s="345"/>
      <c r="AG16" s="345"/>
      <c r="AH16" s="345"/>
      <c r="AI16" s="345"/>
      <c r="AJ16" s="345"/>
      <c r="AK16" s="345"/>
      <c r="AL16" s="345"/>
      <c r="AM16" s="345"/>
      <c r="AN16" s="345"/>
      <c r="AO16" s="345"/>
      <c r="AP16" s="345"/>
      <c r="AQ16" s="345"/>
      <c r="AR16" s="345"/>
      <c r="AS16" s="345"/>
      <c r="AT16" s="345"/>
      <c r="AU16" s="345"/>
      <c r="AV16" s="345"/>
      <c r="AW16" s="345"/>
      <c r="AX16" s="345"/>
    </row>
    <row r="17" spans="1:50" ht="13.5" customHeight="1" x14ac:dyDescent="0.2">
      <c r="A17" s="355" t="s">
        <v>1913</v>
      </c>
      <c r="B17" s="356"/>
      <c r="C17" s="614">
        <f>SUM(C14:C16)</f>
        <v>313</v>
      </c>
      <c r="D17" s="489"/>
      <c r="E17" s="488"/>
      <c r="F17" s="357"/>
      <c r="G17" s="358"/>
      <c r="H17" s="359"/>
      <c r="I17" s="614">
        <f>SUM(I14:I16)</f>
        <v>1.9984012789768135E-2</v>
      </c>
      <c r="J17" s="357"/>
      <c r="K17" s="357">
        <f>SUM(K14:K16)</f>
        <v>341.98001598721021</v>
      </c>
      <c r="L17" s="360"/>
      <c r="M17" s="346"/>
      <c r="N17" s="346"/>
      <c r="O17" s="346"/>
      <c r="P17" s="346"/>
      <c r="Q17" s="346"/>
      <c r="R17" s="346"/>
      <c r="S17" s="346"/>
      <c r="T17" s="346"/>
      <c r="U17" s="346"/>
      <c r="V17" s="345"/>
      <c r="W17" s="345"/>
      <c r="X17" s="345"/>
      <c r="Y17" s="345"/>
      <c r="Z17" s="345"/>
      <c r="AA17" s="345"/>
      <c r="AB17" s="345"/>
      <c r="AC17" s="345"/>
      <c r="AD17" s="345"/>
      <c r="AE17" s="345"/>
      <c r="AF17" s="345"/>
      <c r="AG17" s="345"/>
      <c r="AH17" s="345"/>
      <c r="AI17" s="345"/>
      <c r="AJ17" s="345"/>
      <c r="AK17" s="345"/>
      <c r="AL17" s="345"/>
      <c r="AM17" s="345"/>
      <c r="AN17" s="345"/>
      <c r="AO17" s="345"/>
      <c r="AP17" s="345"/>
      <c r="AQ17" s="345"/>
      <c r="AR17" s="345"/>
      <c r="AS17" s="345"/>
      <c r="AT17" s="345"/>
      <c r="AU17" s="345"/>
      <c r="AV17" s="345"/>
      <c r="AW17" s="345"/>
      <c r="AX17" s="345"/>
    </row>
    <row r="18" spans="1:50" ht="13.5" customHeight="1" x14ac:dyDescent="0.2">
      <c r="A18" s="896"/>
      <c r="B18" s="346"/>
      <c r="C18" s="351"/>
      <c r="D18" s="352"/>
      <c r="E18" s="346"/>
      <c r="F18" s="346"/>
      <c r="G18" s="361"/>
      <c r="H18" s="346"/>
      <c r="I18" s="351"/>
      <c r="J18" s="346"/>
      <c r="K18" s="346"/>
      <c r="L18" s="1290"/>
      <c r="M18" s="346"/>
      <c r="N18" s="346"/>
      <c r="O18" s="346"/>
      <c r="P18" s="346"/>
      <c r="Q18" s="346"/>
      <c r="R18" s="346"/>
      <c r="S18" s="346"/>
      <c r="T18" s="346"/>
      <c r="U18" s="346"/>
      <c r="V18" s="345"/>
      <c r="W18" s="345"/>
      <c r="X18" s="345"/>
      <c r="Y18" s="345"/>
      <c r="Z18" s="345"/>
      <c r="AA18" s="345"/>
      <c r="AB18" s="345"/>
      <c r="AC18" s="345"/>
      <c r="AD18" s="345"/>
      <c r="AE18" s="345"/>
      <c r="AF18" s="345"/>
      <c r="AG18" s="345"/>
      <c r="AH18" s="345"/>
      <c r="AI18" s="345"/>
      <c r="AJ18" s="345"/>
      <c r="AK18" s="345"/>
      <c r="AL18" s="345"/>
      <c r="AM18" s="345"/>
      <c r="AN18" s="345"/>
      <c r="AO18" s="345"/>
      <c r="AP18" s="345"/>
      <c r="AQ18" s="345"/>
      <c r="AR18" s="345"/>
      <c r="AS18" s="345"/>
      <c r="AT18" s="345"/>
      <c r="AU18" s="345"/>
      <c r="AV18" s="345"/>
      <c r="AW18" s="345"/>
      <c r="AX18" s="345"/>
    </row>
    <row r="19" spans="1:50" ht="13.5" customHeight="1" x14ac:dyDescent="0.2">
      <c r="A19" s="331" t="s">
        <v>1863</v>
      </c>
      <c r="B19" s="1130"/>
      <c r="C19" s="614">
        <f>C11-C17</f>
        <v>204</v>
      </c>
      <c r="D19" s="489">
        <f>D11-D17</f>
        <v>503</v>
      </c>
      <c r="E19" s="1130"/>
      <c r="F19" s="489">
        <f>C19-D19</f>
        <v>-299</v>
      </c>
      <c r="G19" s="358">
        <f>IF(D19=0,0,C19/D19-1)</f>
        <v>-0.59443339960238561</v>
      </c>
      <c r="H19" s="1130"/>
      <c r="I19" s="614">
        <f>I11-I17</f>
        <v>349.98001598721021</v>
      </c>
      <c r="J19" s="1130"/>
      <c r="K19" s="489">
        <f>C19-I19</f>
        <v>-145.98001598721021</v>
      </c>
      <c r="L19" s="360">
        <f>IF(I19=0,"NM",C19/I19-1)</f>
        <v>-0.4171095757437332</v>
      </c>
      <c r="M19" s="362"/>
      <c r="N19" s="362"/>
      <c r="O19" s="362"/>
      <c r="P19" s="362"/>
      <c r="Q19" s="362"/>
      <c r="R19" s="362"/>
      <c r="S19" s="362"/>
      <c r="T19" s="362"/>
      <c r="U19" s="362"/>
      <c r="V19" s="344"/>
      <c r="W19" s="344"/>
      <c r="X19" s="344"/>
      <c r="Y19" s="344"/>
      <c r="Z19" s="344"/>
      <c r="AA19" s="344"/>
      <c r="AB19" s="344"/>
      <c r="AC19" s="344"/>
      <c r="AD19" s="344"/>
      <c r="AE19" s="344"/>
      <c r="AF19" s="344"/>
      <c r="AG19" s="344"/>
      <c r="AH19" s="344"/>
      <c r="AI19" s="344"/>
      <c r="AJ19" s="344"/>
      <c r="AK19" s="344"/>
      <c r="AL19" s="344"/>
      <c r="AM19" s="344"/>
      <c r="AN19" s="344"/>
      <c r="AO19" s="344"/>
      <c r="AP19" s="344"/>
      <c r="AQ19" s="344"/>
      <c r="AR19" s="344"/>
      <c r="AS19" s="344"/>
      <c r="AT19" s="344"/>
      <c r="AU19" s="344"/>
      <c r="AV19" s="344"/>
      <c r="AW19" s="344"/>
      <c r="AX19" s="344"/>
    </row>
    <row r="20" spans="1:50" ht="13.5" customHeight="1" x14ac:dyDescent="0.2">
      <c r="A20" s="1224" t="s">
        <v>2248</v>
      </c>
      <c r="B20" s="1132"/>
      <c r="C20" s="1413">
        <v>29</v>
      </c>
      <c r="D20" s="1134"/>
      <c r="E20" s="1132"/>
      <c r="F20" s="1134"/>
      <c r="G20" s="1135"/>
      <c r="H20" s="1132"/>
      <c r="I20" s="1133" t="s">
        <v>102</v>
      </c>
      <c r="J20" s="1132"/>
      <c r="K20" s="1134"/>
      <c r="L20" s="1291"/>
      <c r="M20" s="346"/>
      <c r="N20" s="346"/>
      <c r="O20" s="346"/>
      <c r="P20" s="346"/>
      <c r="Q20" s="346"/>
      <c r="R20" s="346"/>
      <c r="S20" s="346"/>
      <c r="T20" s="346"/>
      <c r="U20" s="346"/>
      <c r="V20" s="345"/>
      <c r="W20" s="345"/>
      <c r="X20" s="345"/>
      <c r="Y20" s="345"/>
      <c r="Z20" s="345"/>
      <c r="AA20" s="345"/>
      <c r="AB20" s="345"/>
      <c r="AC20" s="345"/>
      <c r="AD20" s="345"/>
      <c r="AE20" s="345"/>
      <c r="AF20" s="345"/>
      <c r="AG20" s="345"/>
      <c r="AH20" s="345"/>
      <c r="AI20" s="345"/>
      <c r="AJ20" s="345"/>
      <c r="AK20" s="345"/>
      <c r="AL20" s="345"/>
      <c r="AM20" s="345"/>
      <c r="AN20" s="345"/>
      <c r="AO20" s="345"/>
      <c r="AP20" s="345"/>
      <c r="AQ20" s="345"/>
      <c r="AR20" s="345"/>
      <c r="AS20" s="345"/>
      <c r="AT20" s="345"/>
      <c r="AU20" s="345"/>
      <c r="AV20" s="345"/>
      <c r="AW20" s="345"/>
      <c r="AX20" s="345"/>
    </row>
    <row r="21" spans="1:50" ht="13.5" customHeight="1" x14ac:dyDescent="0.2">
      <c r="A21" s="897" t="s">
        <v>1343</v>
      </c>
      <c r="B21" s="362"/>
      <c r="C21" s="615">
        <f>C19-C20</f>
        <v>175</v>
      </c>
      <c r="D21" s="485"/>
      <c r="E21" s="362"/>
      <c r="F21" s="485"/>
      <c r="G21" s="482"/>
      <c r="H21" s="362"/>
      <c r="I21" s="615"/>
      <c r="J21" s="362"/>
      <c r="K21" s="485"/>
      <c r="L21" s="1292"/>
      <c r="M21" s="362"/>
      <c r="N21" s="1144">
        <v>173.54</v>
      </c>
      <c r="O21" s="1144"/>
      <c r="P21" s="362"/>
      <c r="Q21" s="362"/>
      <c r="R21" s="362"/>
      <c r="S21" s="362"/>
      <c r="T21" s="362"/>
      <c r="U21" s="362"/>
      <c r="V21" s="344"/>
      <c r="W21" s="344"/>
      <c r="X21" s="344"/>
      <c r="Y21" s="344"/>
      <c r="Z21" s="344"/>
      <c r="AA21" s="344"/>
      <c r="AB21" s="344"/>
      <c r="AC21" s="344"/>
      <c r="AD21" s="344"/>
      <c r="AE21" s="344"/>
      <c r="AF21" s="344"/>
      <c r="AG21" s="344"/>
      <c r="AH21" s="344"/>
      <c r="AI21" s="344"/>
      <c r="AJ21" s="344"/>
      <c r="AK21" s="344"/>
      <c r="AL21" s="344"/>
      <c r="AM21" s="344"/>
      <c r="AN21" s="344"/>
      <c r="AO21" s="344"/>
      <c r="AP21" s="344"/>
      <c r="AQ21" s="344"/>
      <c r="AR21" s="344"/>
      <c r="AS21" s="344"/>
      <c r="AT21" s="344"/>
      <c r="AU21" s="344"/>
      <c r="AV21" s="344"/>
      <c r="AW21" s="344"/>
      <c r="AX21" s="344"/>
    </row>
    <row r="22" spans="1:50" ht="13.5" customHeight="1" x14ac:dyDescent="0.2">
      <c r="A22" s="897"/>
      <c r="B22" s="346"/>
      <c r="C22" s="615"/>
      <c r="D22" s="485"/>
      <c r="E22" s="346"/>
      <c r="F22" s="352"/>
      <c r="G22" s="361"/>
      <c r="H22" s="346"/>
      <c r="I22" s="615"/>
      <c r="J22" s="346"/>
      <c r="K22" s="352"/>
      <c r="L22" s="1290"/>
      <c r="M22" s="346"/>
      <c r="N22" s="346"/>
      <c r="O22" s="346"/>
      <c r="P22" s="346"/>
      <c r="Q22" s="346"/>
      <c r="R22" s="346"/>
      <c r="S22" s="346"/>
      <c r="T22" s="346"/>
      <c r="U22" s="346"/>
      <c r="V22" s="345"/>
      <c r="W22" s="345"/>
      <c r="X22" s="345"/>
      <c r="Y22" s="345"/>
      <c r="Z22" s="345"/>
      <c r="AA22" s="345"/>
      <c r="AB22" s="345"/>
      <c r="AC22" s="345"/>
      <c r="AD22" s="345"/>
      <c r="AE22" s="345"/>
      <c r="AF22" s="345"/>
      <c r="AG22" s="345"/>
      <c r="AH22" s="345"/>
      <c r="AI22" s="345"/>
      <c r="AJ22" s="345"/>
      <c r="AK22" s="345"/>
      <c r="AL22" s="345"/>
      <c r="AM22" s="345"/>
      <c r="AN22" s="345"/>
      <c r="AO22" s="345"/>
      <c r="AP22" s="345"/>
      <c r="AQ22" s="345"/>
      <c r="AR22" s="345"/>
      <c r="AS22" s="345"/>
      <c r="AT22" s="345"/>
      <c r="AU22" s="345"/>
      <c r="AV22" s="345"/>
      <c r="AW22" s="345"/>
      <c r="AX22" s="345"/>
    </row>
    <row r="23" spans="1:50" ht="13.5" customHeight="1" x14ac:dyDescent="0.2">
      <c r="A23" s="896" t="s">
        <v>2249</v>
      </c>
      <c r="B23" s="346"/>
      <c r="C23" s="510">
        <v>-33</v>
      </c>
      <c r="D23" s="352">
        <f>MAR!BL39</f>
        <v>-32</v>
      </c>
      <c r="E23" s="346"/>
      <c r="F23" s="352">
        <f t="shared" ref="F23:F29" si="0">C23-D23</f>
        <v>-1</v>
      </c>
      <c r="G23" s="354">
        <f t="shared" ref="G23:G32" si="1">IF(D23=0,0,C23/D23-1)</f>
        <v>3.125E-2</v>
      </c>
      <c r="H23" s="346"/>
      <c r="I23" s="351">
        <v>4</v>
      </c>
      <c r="J23" s="346"/>
      <c r="K23" s="352">
        <f t="shared" ref="K23:K32" si="2">C23-I23</f>
        <v>-37</v>
      </c>
      <c r="L23" s="1289">
        <f t="shared" ref="L23:L32" si="3">IF(I23=0,"NM",C23/I23-1)</f>
        <v>-9.25</v>
      </c>
      <c r="M23" s="346"/>
      <c r="N23" s="346"/>
      <c r="O23" s="346"/>
      <c r="P23" s="346"/>
      <c r="Q23" s="346"/>
      <c r="R23" s="346"/>
      <c r="S23" s="346"/>
      <c r="T23" s="346"/>
      <c r="U23" s="346"/>
      <c r="V23" s="345"/>
      <c r="W23" s="345"/>
      <c r="X23" s="345"/>
      <c r="Y23" s="345"/>
      <c r="Z23" s="345"/>
      <c r="AA23" s="345"/>
      <c r="AB23" s="345"/>
      <c r="AC23" s="345"/>
      <c r="AD23" s="345"/>
      <c r="AE23" s="345"/>
      <c r="AF23" s="345"/>
      <c r="AG23" s="345"/>
      <c r="AH23" s="345"/>
      <c r="AI23" s="345"/>
      <c r="AJ23" s="345"/>
      <c r="AK23" s="345"/>
      <c r="AL23" s="345"/>
      <c r="AM23" s="345"/>
      <c r="AN23" s="345"/>
      <c r="AO23" s="345"/>
      <c r="AP23" s="345"/>
      <c r="AQ23" s="345"/>
      <c r="AR23" s="345"/>
      <c r="AS23" s="345"/>
      <c r="AT23" s="345"/>
      <c r="AU23" s="345"/>
      <c r="AV23" s="345"/>
      <c r="AW23" s="345"/>
      <c r="AX23" s="345"/>
    </row>
    <row r="24" spans="1:50" ht="13.5" customHeight="1" x14ac:dyDescent="0.2">
      <c r="A24" s="896" t="s">
        <v>2250</v>
      </c>
      <c r="B24" s="346"/>
      <c r="C24" s="510">
        <v>4</v>
      </c>
      <c r="D24" s="352">
        <f>MAR!BL40</f>
        <v>7</v>
      </c>
      <c r="E24" s="346"/>
      <c r="F24" s="352">
        <f t="shared" si="0"/>
        <v>-3</v>
      </c>
      <c r="G24" s="354">
        <f t="shared" si="1"/>
        <v>-0.4285714285714286</v>
      </c>
      <c r="H24" s="346"/>
      <c r="I24" s="351">
        <v>0</v>
      </c>
      <c r="J24" s="346"/>
      <c r="K24" s="352">
        <f t="shared" si="2"/>
        <v>4</v>
      </c>
      <c r="L24" s="1289" t="str">
        <f t="shared" si="3"/>
        <v>NM</v>
      </c>
      <c r="M24" s="346"/>
      <c r="N24" s="346"/>
      <c r="O24" s="346"/>
      <c r="P24" s="346"/>
      <c r="Q24" s="346"/>
      <c r="R24" s="346"/>
      <c r="S24" s="346"/>
      <c r="T24" s="346"/>
      <c r="U24" s="346"/>
      <c r="V24" s="345"/>
      <c r="W24" s="345"/>
      <c r="X24" s="345"/>
      <c r="Y24" s="345"/>
      <c r="Z24" s="345"/>
      <c r="AA24" s="345"/>
      <c r="AB24" s="345"/>
      <c r="AC24" s="345"/>
      <c r="AD24" s="345"/>
      <c r="AE24" s="345"/>
      <c r="AF24" s="345"/>
      <c r="AG24" s="345"/>
      <c r="AH24" s="345"/>
      <c r="AI24" s="345"/>
      <c r="AJ24" s="345"/>
      <c r="AK24" s="345"/>
      <c r="AL24" s="345"/>
      <c r="AM24" s="345"/>
      <c r="AN24" s="345"/>
      <c r="AO24" s="345"/>
      <c r="AP24" s="345"/>
      <c r="AQ24" s="345"/>
      <c r="AR24" s="345"/>
      <c r="AS24" s="345"/>
      <c r="AT24" s="345"/>
      <c r="AU24" s="345"/>
      <c r="AV24" s="345"/>
      <c r="AW24" s="345"/>
      <c r="AX24" s="345"/>
    </row>
    <row r="25" spans="1:50" ht="13.5" customHeight="1" x14ac:dyDescent="0.2">
      <c r="A25" s="896" t="s">
        <v>2251</v>
      </c>
      <c r="B25" s="346"/>
      <c r="C25" s="510">
        <v>2</v>
      </c>
      <c r="D25" s="352">
        <f>MAR!BL38</f>
        <v>2</v>
      </c>
      <c r="E25" s="346"/>
      <c r="F25" s="352">
        <f t="shared" si="0"/>
        <v>0</v>
      </c>
      <c r="G25" s="354">
        <f t="shared" si="1"/>
        <v>0</v>
      </c>
      <c r="H25" s="346"/>
      <c r="I25" s="351">
        <v>0</v>
      </c>
      <c r="J25" s="346"/>
      <c r="K25" s="352">
        <f t="shared" si="2"/>
        <v>2</v>
      </c>
      <c r="L25" s="1289" t="str">
        <f t="shared" si="3"/>
        <v>NM</v>
      </c>
      <c r="M25" s="346"/>
      <c r="N25" s="346"/>
      <c r="O25" s="346"/>
      <c r="P25" s="346"/>
      <c r="Q25" s="346"/>
      <c r="R25" s="346"/>
      <c r="S25" s="346"/>
      <c r="T25" s="346"/>
      <c r="U25" s="346"/>
      <c r="V25" s="345"/>
      <c r="W25" s="345"/>
      <c r="X25" s="345"/>
      <c r="Y25" s="345"/>
      <c r="Z25" s="345"/>
      <c r="AA25" s="345"/>
      <c r="AB25" s="345"/>
      <c r="AC25" s="345"/>
      <c r="AD25" s="345"/>
      <c r="AE25" s="345"/>
      <c r="AF25" s="345"/>
      <c r="AG25" s="345"/>
      <c r="AH25" s="345"/>
      <c r="AI25" s="345"/>
      <c r="AJ25" s="345"/>
      <c r="AK25" s="345"/>
      <c r="AL25" s="345"/>
      <c r="AM25" s="345"/>
      <c r="AN25" s="345"/>
      <c r="AO25" s="345"/>
      <c r="AP25" s="345"/>
      <c r="AQ25" s="345"/>
      <c r="AR25" s="345"/>
      <c r="AS25" s="345"/>
      <c r="AT25" s="345"/>
      <c r="AU25" s="345"/>
      <c r="AV25" s="345"/>
      <c r="AW25" s="345"/>
      <c r="AX25" s="345"/>
    </row>
    <row r="26" spans="1:50" ht="13.5" customHeight="1" x14ac:dyDescent="0.2">
      <c r="A26" s="1224" t="s">
        <v>712</v>
      </c>
      <c r="B26" s="1132"/>
      <c r="C26" s="1169">
        <v>-1</v>
      </c>
      <c r="D26" s="1155">
        <f>MAR!BL42</f>
        <v>-4</v>
      </c>
      <c r="E26" s="1132"/>
      <c r="F26" s="1155">
        <f t="shared" si="0"/>
        <v>3</v>
      </c>
      <c r="G26" s="1135">
        <f t="shared" si="1"/>
        <v>-0.75</v>
      </c>
      <c r="H26" s="1132"/>
      <c r="I26" s="1156">
        <v>0</v>
      </c>
      <c r="J26" s="1132"/>
      <c r="K26" s="1155">
        <f t="shared" si="2"/>
        <v>-1</v>
      </c>
      <c r="L26" s="1291" t="str">
        <f t="shared" si="3"/>
        <v>NM</v>
      </c>
      <c r="M26" s="346"/>
      <c r="N26" s="346"/>
      <c r="O26" s="346"/>
      <c r="P26" s="346"/>
      <c r="Q26" s="346"/>
      <c r="R26" s="346"/>
      <c r="S26" s="346"/>
      <c r="T26" s="346"/>
      <c r="U26" s="346"/>
      <c r="V26" s="345"/>
      <c r="W26" s="345"/>
      <c r="X26" s="345"/>
      <c r="Y26" s="345"/>
      <c r="Z26" s="345"/>
      <c r="AA26" s="345"/>
      <c r="AB26" s="345"/>
      <c r="AC26" s="345"/>
      <c r="AD26" s="345"/>
      <c r="AE26" s="345"/>
      <c r="AF26" s="345"/>
      <c r="AG26" s="345"/>
      <c r="AH26" s="345"/>
      <c r="AI26" s="345"/>
      <c r="AJ26" s="345"/>
      <c r="AK26" s="345"/>
      <c r="AL26" s="345"/>
      <c r="AM26" s="345"/>
      <c r="AN26" s="345"/>
      <c r="AO26" s="345"/>
      <c r="AP26" s="345"/>
      <c r="AQ26" s="345"/>
      <c r="AR26" s="345"/>
      <c r="AS26" s="345"/>
      <c r="AT26" s="345"/>
      <c r="AU26" s="345"/>
      <c r="AV26" s="345"/>
      <c r="AW26" s="345"/>
      <c r="AX26" s="345"/>
    </row>
    <row r="27" spans="1:50" ht="13.5" customHeight="1" x14ac:dyDescent="0.2">
      <c r="A27" s="362" t="s">
        <v>642</v>
      </c>
      <c r="B27" s="362"/>
      <c r="C27" s="615">
        <f>C21+SUM(C23:C26)</f>
        <v>147</v>
      </c>
      <c r="D27" s="485">
        <f>SUM(D21:D26)</f>
        <v>-27</v>
      </c>
      <c r="E27" s="362"/>
      <c r="F27" s="485">
        <f t="shared" si="0"/>
        <v>174</v>
      </c>
      <c r="G27" s="482">
        <f t="shared" si="1"/>
        <v>-6.4444444444444446</v>
      </c>
      <c r="H27" s="362"/>
      <c r="I27" s="615"/>
      <c r="J27" s="362"/>
      <c r="K27" s="485"/>
      <c r="L27" s="1292"/>
      <c r="M27" s="362"/>
      <c r="N27" s="362"/>
      <c r="O27" s="362"/>
      <c r="P27" s="362">
        <f>I28*C27</f>
        <v>0</v>
      </c>
      <c r="Q27" s="362"/>
      <c r="R27" s="362"/>
      <c r="S27" s="362"/>
      <c r="T27" s="362"/>
      <c r="U27" s="362"/>
      <c r="V27" s="344"/>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344"/>
      <c r="AV27" s="344"/>
      <c r="AW27" s="344"/>
      <c r="AX27" s="344"/>
    </row>
    <row r="28" spans="1:50" ht="13.5" customHeight="1" x14ac:dyDescent="0.2">
      <c r="A28" s="1383" t="s">
        <v>90</v>
      </c>
      <c r="B28" s="362"/>
      <c r="C28" s="1001">
        <f>-C29/C27</f>
        <v>0.29251700680272108</v>
      </c>
      <c r="D28" s="1384">
        <f>-D29/D27</f>
        <v>-1.5925925925925926</v>
      </c>
      <c r="E28" s="362"/>
      <c r="F28" s="485"/>
      <c r="G28" s="482"/>
      <c r="H28" s="362"/>
      <c r="I28" s="1001"/>
      <c r="J28" s="362"/>
      <c r="K28" s="485"/>
      <c r="L28" s="1292"/>
      <c r="M28" s="362"/>
      <c r="N28" s="362"/>
      <c r="O28" s="362"/>
      <c r="P28" s="362">
        <f>P27+C29</f>
        <v>-43</v>
      </c>
      <c r="Q28" s="362"/>
      <c r="R28" s="362"/>
      <c r="S28" s="362"/>
      <c r="T28" s="362"/>
      <c r="U28" s="362"/>
      <c r="V28" s="344"/>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344"/>
      <c r="AV28" s="344"/>
      <c r="AW28" s="344"/>
      <c r="AX28" s="344"/>
    </row>
    <row r="29" spans="1:50" ht="13.5" customHeight="1" x14ac:dyDescent="0.2">
      <c r="A29" s="1132" t="s">
        <v>713</v>
      </c>
      <c r="B29" s="1132"/>
      <c r="C29" s="1169">
        <v>-43</v>
      </c>
      <c r="D29" s="1155">
        <f>MAR!BL48</f>
        <v>-43</v>
      </c>
      <c r="E29" s="1138"/>
      <c r="F29" s="1155">
        <f t="shared" si="0"/>
        <v>0</v>
      </c>
      <c r="G29" s="1135">
        <f t="shared" si="1"/>
        <v>0</v>
      </c>
      <c r="H29" s="1132"/>
      <c r="I29" s="1156">
        <v>0</v>
      </c>
      <c r="J29" s="1138"/>
      <c r="K29" s="1155">
        <f t="shared" si="2"/>
        <v>-43</v>
      </c>
      <c r="L29" s="1291" t="str">
        <f t="shared" si="3"/>
        <v>NM</v>
      </c>
      <c r="M29" s="346"/>
      <c r="N29" s="346"/>
      <c r="O29" s="346"/>
      <c r="P29" s="1406">
        <f>P28/C33</f>
        <v>-0.12478235635519443</v>
      </c>
      <c r="Q29" s="346"/>
      <c r="R29" s="346"/>
      <c r="S29" s="346"/>
      <c r="T29" s="346"/>
      <c r="U29" s="346"/>
      <c r="V29" s="345"/>
      <c r="W29" s="345"/>
      <c r="X29" s="345"/>
      <c r="Y29" s="345"/>
      <c r="Z29" s="345"/>
      <c r="AA29" s="345"/>
      <c r="AB29" s="345"/>
      <c r="AC29" s="345"/>
      <c r="AD29" s="345"/>
      <c r="AE29" s="345"/>
      <c r="AF29" s="345"/>
      <c r="AG29" s="345"/>
      <c r="AH29" s="345"/>
      <c r="AI29" s="345"/>
      <c r="AJ29" s="345"/>
      <c r="AK29" s="345"/>
      <c r="AL29" s="345"/>
      <c r="AM29" s="345"/>
      <c r="AN29" s="345"/>
      <c r="AO29" s="345"/>
      <c r="AP29" s="345"/>
      <c r="AQ29" s="345"/>
      <c r="AR29" s="345"/>
      <c r="AS29" s="345"/>
      <c r="AT29" s="345"/>
      <c r="AU29" s="345"/>
      <c r="AV29" s="345"/>
      <c r="AW29" s="345"/>
      <c r="AX29" s="345"/>
    </row>
    <row r="30" spans="1:50" ht="13.5" customHeight="1" x14ac:dyDescent="0.2">
      <c r="A30" s="362" t="s">
        <v>1296</v>
      </c>
      <c r="B30" s="362"/>
      <c r="C30" s="615">
        <f>C27+C29</f>
        <v>104</v>
      </c>
      <c r="D30" s="485">
        <f>SUM(D27:D29)</f>
        <v>-71.592592592592595</v>
      </c>
      <c r="E30" s="486"/>
      <c r="F30" s="485">
        <f>SUM(F27:F29)</f>
        <v>174</v>
      </c>
      <c r="G30" s="482">
        <f t="shared" si="1"/>
        <v>-2.4526642524573203</v>
      </c>
      <c r="H30" s="362"/>
      <c r="I30" s="615">
        <f>SUM(I27:I29)</f>
        <v>0</v>
      </c>
      <c r="J30" s="486"/>
      <c r="K30" s="485">
        <f t="shared" si="2"/>
        <v>104</v>
      </c>
      <c r="L30" s="1292" t="str">
        <f t="shared" si="3"/>
        <v>NM</v>
      </c>
      <c r="M30" s="362"/>
      <c r="N30" s="362"/>
      <c r="O30" s="362"/>
      <c r="P30" s="362"/>
      <c r="Q30" s="362"/>
      <c r="R30" s="362"/>
      <c r="S30" s="362"/>
      <c r="T30" s="362"/>
      <c r="U30" s="362"/>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344"/>
      <c r="AU30" s="344"/>
      <c r="AV30" s="344"/>
      <c r="AW30" s="344"/>
      <c r="AX30" s="344"/>
    </row>
    <row r="31" spans="1:50" ht="13.5" customHeight="1" x14ac:dyDescent="0.2">
      <c r="A31" s="346" t="s">
        <v>714</v>
      </c>
      <c r="B31" s="346"/>
      <c r="C31" s="351">
        <v>0</v>
      </c>
      <c r="D31" s="352">
        <f>MAR!BL46</f>
        <v>0</v>
      </c>
      <c r="E31" s="353"/>
      <c r="F31" s="352">
        <f>MAR!BL46</f>
        <v>0</v>
      </c>
      <c r="G31" s="354">
        <f t="shared" si="1"/>
        <v>0</v>
      </c>
      <c r="H31" s="346"/>
      <c r="I31" s="351">
        <f>MAR!BQ46</f>
        <v>0</v>
      </c>
      <c r="J31" s="353"/>
      <c r="K31" s="352">
        <f t="shared" si="2"/>
        <v>0</v>
      </c>
      <c r="L31" s="1289" t="str">
        <f t="shared" si="3"/>
        <v>NM</v>
      </c>
      <c r="M31" s="346"/>
      <c r="N31" s="346"/>
      <c r="O31" s="346"/>
      <c r="P31" s="346"/>
      <c r="Q31" s="346"/>
      <c r="R31" s="346"/>
      <c r="S31" s="346"/>
      <c r="T31" s="346"/>
      <c r="U31" s="346"/>
      <c r="V31" s="345"/>
      <c r="W31" s="345"/>
      <c r="X31" s="345"/>
      <c r="Y31" s="345"/>
      <c r="Z31" s="345"/>
      <c r="AA31" s="345"/>
      <c r="AB31" s="345"/>
      <c r="AC31" s="345"/>
      <c r="AD31" s="345"/>
      <c r="AE31" s="345"/>
      <c r="AF31" s="345"/>
      <c r="AG31" s="345"/>
      <c r="AH31" s="345"/>
      <c r="AI31" s="345"/>
      <c r="AJ31" s="345"/>
      <c r="AK31" s="345"/>
      <c r="AL31" s="345"/>
      <c r="AM31" s="345"/>
      <c r="AN31" s="345"/>
      <c r="AO31" s="345"/>
      <c r="AP31" s="345"/>
      <c r="AQ31" s="345"/>
      <c r="AR31" s="345"/>
      <c r="AS31" s="345"/>
      <c r="AT31" s="345"/>
      <c r="AU31" s="345"/>
      <c r="AV31" s="345"/>
      <c r="AW31" s="345"/>
      <c r="AX31" s="345"/>
    </row>
    <row r="32" spans="1:50" ht="13.5" customHeight="1" x14ac:dyDescent="0.2">
      <c r="A32" s="355" t="s">
        <v>1298</v>
      </c>
      <c r="B32" s="356"/>
      <c r="C32" s="614">
        <v>103.99460327646727</v>
      </c>
      <c r="D32" s="489">
        <f>D30-D31</f>
        <v>-71.592592592592595</v>
      </c>
      <c r="E32" s="357"/>
      <c r="F32" s="357">
        <f>C32-D32</f>
        <v>175.58719586905988</v>
      </c>
      <c r="G32" s="358">
        <f t="shared" si="1"/>
        <v>-2.4525888714250472</v>
      </c>
      <c r="H32" s="359"/>
      <c r="I32" s="614">
        <f>I30-I31</f>
        <v>0</v>
      </c>
      <c r="J32" s="357"/>
      <c r="K32" s="357">
        <f t="shared" si="2"/>
        <v>103.99460327646727</v>
      </c>
      <c r="L32" s="360" t="str">
        <f t="shared" si="3"/>
        <v>NM</v>
      </c>
      <c r="M32" s="346"/>
      <c r="N32" s="1144">
        <v>98.45</v>
      </c>
      <c r="O32" s="1144"/>
      <c r="P32" s="346"/>
      <c r="Q32" s="346"/>
      <c r="R32" s="346"/>
      <c r="S32" s="346"/>
      <c r="T32" s="346"/>
      <c r="U32" s="346"/>
      <c r="V32" s="345"/>
      <c r="W32" s="345"/>
      <c r="X32" s="345"/>
      <c r="Y32" s="345"/>
      <c r="Z32" s="345"/>
      <c r="AA32" s="345"/>
      <c r="AB32" s="345"/>
      <c r="AC32" s="345"/>
      <c r="AD32" s="345"/>
      <c r="AE32" s="345"/>
      <c r="AF32" s="345"/>
      <c r="AG32" s="345"/>
      <c r="AH32" s="345"/>
      <c r="AI32" s="345"/>
      <c r="AJ32" s="345"/>
      <c r="AK32" s="345"/>
      <c r="AL32" s="345"/>
      <c r="AM32" s="345"/>
      <c r="AN32" s="345"/>
      <c r="AO32" s="345"/>
      <c r="AP32" s="345"/>
      <c r="AQ32" s="345"/>
      <c r="AR32" s="345"/>
      <c r="AS32" s="345"/>
      <c r="AT32" s="345"/>
      <c r="AU32" s="345"/>
      <c r="AV32" s="345"/>
      <c r="AW32" s="345"/>
      <c r="AX32" s="345"/>
    </row>
    <row r="33" spans="1:50" ht="13.5" customHeight="1" x14ac:dyDescent="0.2">
      <c r="A33" s="346" t="s">
        <v>715</v>
      </c>
      <c r="B33" s="346"/>
      <c r="C33" s="510">
        <v>344.6</v>
      </c>
      <c r="D33" s="352"/>
      <c r="E33" s="353"/>
      <c r="F33" s="352"/>
      <c r="G33" s="354"/>
      <c r="H33" s="346"/>
      <c r="I33" s="351">
        <v>344.6</v>
      </c>
      <c r="J33" s="353"/>
      <c r="K33" s="352"/>
      <c r="L33" s="1289"/>
      <c r="M33" s="346"/>
      <c r="N33" s="346"/>
      <c r="O33" s="346"/>
      <c r="P33" s="346"/>
      <c r="Q33" s="346"/>
      <c r="R33" s="346"/>
      <c r="S33" s="346"/>
      <c r="T33" s="346"/>
      <c r="U33" s="346"/>
      <c r="V33" s="345"/>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c r="AV33" s="345"/>
      <c r="AW33" s="345"/>
      <c r="AX33" s="345"/>
    </row>
    <row r="34" spans="1:50" ht="13.5" customHeight="1" x14ac:dyDescent="0.2">
      <c r="A34" s="355" t="s">
        <v>1595</v>
      </c>
      <c r="B34" s="356"/>
      <c r="C34" s="483">
        <f>C32/C33</f>
        <v>0.30178352662933045</v>
      </c>
      <c r="D34" s="484"/>
      <c r="E34" s="357"/>
      <c r="F34" s="484"/>
      <c r="G34" s="358"/>
      <c r="H34" s="359"/>
      <c r="I34" s="483">
        <f>I32/I33</f>
        <v>0</v>
      </c>
      <c r="J34" s="357"/>
      <c r="K34" s="484">
        <f>C34-I34</f>
        <v>0.30178352662933045</v>
      </c>
      <c r="L34" s="360" t="str">
        <f>IF(I34=0,"NM",C34/I34-1)</f>
        <v>NM</v>
      </c>
      <c r="M34" s="346"/>
      <c r="N34" s="1145">
        <v>0.28999999999999998</v>
      </c>
      <c r="O34" s="1145"/>
      <c r="P34" s="346"/>
      <c r="Q34" s="346"/>
      <c r="R34" s="346"/>
      <c r="S34" s="346"/>
      <c r="T34" s="346"/>
      <c r="U34" s="346"/>
      <c r="V34" s="345"/>
      <c r="W34" s="345"/>
      <c r="X34" s="345"/>
      <c r="Y34" s="345"/>
      <c r="Z34" s="345"/>
      <c r="AA34" s="345"/>
      <c r="AB34" s="345"/>
      <c r="AC34" s="345"/>
      <c r="AD34" s="345"/>
      <c r="AE34" s="345"/>
      <c r="AF34" s="345"/>
      <c r="AG34" s="345"/>
      <c r="AH34" s="345"/>
      <c r="AI34" s="345"/>
      <c r="AJ34" s="345"/>
      <c r="AK34" s="345"/>
      <c r="AL34" s="345"/>
      <c r="AM34" s="345"/>
      <c r="AN34" s="345"/>
      <c r="AO34" s="345"/>
      <c r="AP34" s="345"/>
      <c r="AQ34" s="345"/>
      <c r="AR34" s="345"/>
      <c r="AS34" s="345"/>
      <c r="AT34" s="345"/>
      <c r="AU34" s="345"/>
      <c r="AV34" s="345"/>
      <c r="AW34" s="345"/>
      <c r="AX34" s="345"/>
    </row>
    <row r="35" spans="1:50" ht="13.5" customHeight="1" x14ac:dyDescent="0.2">
      <c r="A35" s="346"/>
      <c r="B35" s="346"/>
      <c r="C35" s="351"/>
      <c r="D35" s="352"/>
      <c r="E35" s="353"/>
      <c r="F35" s="352"/>
      <c r="G35" s="354"/>
      <c r="H35" s="346"/>
      <c r="I35" s="351"/>
      <c r="J35" s="353"/>
      <c r="K35" s="352"/>
      <c r="L35" s="1289"/>
      <c r="M35" s="346"/>
      <c r="N35" s="346"/>
      <c r="O35" s="346"/>
      <c r="P35" s="346"/>
      <c r="Q35" s="346"/>
      <c r="R35" s="346"/>
      <c r="S35" s="346"/>
      <c r="T35" s="346"/>
      <c r="U35" s="346"/>
      <c r="V35" s="345"/>
      <c r="W35" s="345"/>
      <c r="X35" s="345"/>
      <c r="Y35" s="345"/>
      <c r="Z35" s="345"/>
      <c r="AA35" s="345"/>
      <c r="AB35" s="345"/>
      <c r="AC35" s="345"/>
      <c r="AD35" s="345"/>
      <c r="AE35" s="345"/>
      <c r="AF35" s="345"/>
      <c r="AG35" s="345"/>
      <c r="AH35" s="345"/>
      <c r="AI35" s="345"/>
      <c r="AJ35" s="345"/>
      <c r="AK35" s="345"/>
      <c r="AL35" s="345"/>
      <c r="AM35" s="345"/>
      <c r="AN35" s="345"/>
      <c r="AO35" s="345"/>
      <c r="AP35" s="345"/>
      <c r="AQ35" s="345"/>
      <c r="AR35" s="345"/>
      <c r="AS35" s="345"/>
      <c r="AT35" s="345"/>
      <c r="AU35" s="345"/>
      <c r="AV35" s="345"/>
      <c r="AW35" s="345"/>
      <c r="AX35" s="345"/>
    </row>
    <row r="36" spans="1:50" ht="13.5" customHeight="1" x14ac:dyDescent="0.2">
      <c r="A36" s="1295" t="s">
        <v>220</v>
      </c>
      <c r="B36" s="418"/>
      <c r="C36" s="617"/>
      <c r="D36" s="424"/>
      <c r="E36" s="464"/>
      <c r="F36" s="464"/>
      <c r="G36" s="457"/>
      <c r="H36" s="477"/>
      <c r="I36" s="617"/>
      <c r="J36" s="464"/>
      <c r="K36" s="464"/>
      <c r="L36" s="465"/>
      <c r="M36" s="346"/>
      <c r="N36" s="345"/>
      <c r="O36" s="345"/>
      <c r="P36" s="345"/>
      <c r="Q36" s="345"/>
      <c r="R36" s="345"/>
      <c r="S36" s="345"/>
      <c r="T36" s="345"/>
      <c r="U36" s="346"/>
      <c r="V36" s="345"/>
      <c r="W36" s="345"/>
      <c r="X36" s="345"/>
      <c r="Y36" s="345"/>
      <c r="Z36" s="345"/>
      <c r="AA36" s="345"/>
      <c r="AB36" s="345"/>
      <c r="AC36" s="345"/>
      <c r="AD36" s="345"/>
      <c r="AE36" s="345"/>
      <c r="AF36" s="345"/>
      <c r="AG36" s="345"/>
      <c r="AH36" s="345"/>
      <c r="AI36" s="345"/>
      <c r="AJ36" s="345"/>
      <c r="AK36" s="345"/>
      <c r="AL36" s="345"/>
      <c r="AM36" s="345"/>
      <c r="AN36" s="345"/>
      <c r="AO36" s="345"/>
      <c r="AP36" s="345"/>
      <c r="AQ36" s="345"/>
      <c r="AR36" s="345"/>
      <c r="AS36" s="345"/>
      <c r="AT36" s="345"/>
      <c r="AU36" s="345"/>
      <c r="AV36" s="345"/>
      <c r="AW36" s="345"/>
      <c r="AX36" s="345"/>
    </row>
    <row r="37" spans="1:50" ht="13.5" customHeight="1" x14ac:dyDescent="0.2">
      <c r="A37" s="230" t="s">
        <v>221</v>
      </c>
      <c r="B37" s="421"/>
      <c r="C37" s="522">
        <f>C19</f>
        <v>204</v>
      </c>
      <c r="D37" s="464">
        <f>D19</f>
        <v>503</v>
      </c>
      <c r="E37" s="1139"/>
      <c r="F37" s="1140">
        <f t="shared" ref="F37:F44" si="4">C37-D37</f>
        <v>-299</v>
      </c>
      <c r="G37" s="482">
        <f t="shared" ref="G37:G45" si="5">IF(D37=0,0,C37/D37-1)</f>
        <v>-0.59443339960238561</v>
      </c>
      <c r="H37" s="421"/>
      <c r="I37" s="522">
        <f>I19</f>
        <v>349.98001598721021</v>
      </c>
      <c r="J37" s="534"/>
      <c r="K37" s="1140">
        <f t="shared" ref="K37:K44" si="6">C37-I37</f>
        <v>-145.98001598721021</v>
      </c>
      <c r="L37" s="1292">
        <f t="shared" ref="L37:L45" si="7">IF(I37=0,"NM",C37/I37-1)</f>
        <v>-0.4171095757437332</v>
      </c>
      <c r="M37" s="346"/>
      <c r="N37" s="345"/>
      <c r="O37" s="345"/>
      <c r="P37" s="345"/>
      <c r="Q37" s="345"/>
      <c r="R37" s="345"/>
      <c r="S37" s="345"/>
      <c r="T37" s="345"/>
      <c r="U37" s="346"/>
      <c r="V37" s="345"/>
      <c r="W37" s="345"/>
      <c r="X37" s="345"/>
      <c r="Y37" s="345"/>
      <c r="Z37" s="345"/>
      <c r="AA37" s="345"/>
      <c r="AB37" s="345"/>
      <c r="AC37" s="345"/>
      <c r="AD37" s="345"/>
      <c r="AE37" s="345"/>
      <c r="AF37" s="345"/>
      <c r="AG37" s="345"/>
      <c r="AH37" s="345"/>
      <c r="AI37" s="345"/>
      <c r="AJ37" s="345"/>
      <c r="AK37" s="345"/>
      <c r="AL37" s="345"/>
      <c r="AM37" s="345"/>
      <c r="AN37" s="345"/>
      <c r="AO37" s="345"/>
      <c r="AP37" s="345"/>
      <c r="AQ37" s="345"/>
      <c r="AR37" s="345"/>
      <c r="AS37" s="345"/>
      <c r="AT37" s="345"/>
      <c r="AU37" s="345"/>
      <c r="AV37" s="345"/>
      <c r="AW37" s="345"/>
      <c r="AX37" s="345"/>
    </row>
    <row r="38" spans="1:50" ht="13.5" customHeight="1" x14ac:dyDescent="0.2">
      <c r="A38" s="923" t="s">
        <v>716</v>
      </c>
      <c r="B38" s="418"/>
      <c r="C38" s="644">
        <f>C26</f>
        <v>-1</v>
      </c>
      <c r="D38" s="423">
        <f>MAR!BL76</f>
        <v>-4</v>
      </c>
      <c r="E38" s="472"/>
      <c r="F38" s="352">
        <f t="shared" si="4"/>
        <v>3</v>
      </c>
      <c r="G38" s="354">
        <f t="shared" si="5"/>
        <v>-0.75</v>
      </c>
      <c r="H38" s="418"/>
      <c r="I38" s="616">
        <v>491</v>
      </c>
      <c r="J38" s="471"/>
      <c r="K38" s="352">
        <f t="shared" si="6"/>
        <v>-492</v>
      </c>
      <c r="L38" s="1289">
        <f t="shared" si="7"/>
        <v>-1.0020366598778003</v>
      </c>
      <c r="M38" s="346"/>
      <c r="N38" s="345"/>
      <c r="O38" s="345"/>
      <c r="P38" s="345"/>
      <c r="Q38" s="345"/>
      <c r="R38" s="345"/>
      <c r="S38" s="345"/>
      <c r="T38" s="345"/>
      <c r="U38" s="346"/>
      <c r="V38" s="345"/>
      <c r="W38" s="345"/>
      <c r="X38" s="345"/>
      <c r="Y38" s="345"/>
      <c r="Z38" s="345"/>
      <c r="AA38" s="345"/>
      <c r="AB38" s="345"/>
      <c r="AC38" s="345"/>
      <c r="AD38" s="345"/>
      <c r="AE38" s="345"/>
      <c r="AF38" s="345"/>
      <c r="AG38" s="345"/>
      <c r="AH38" s="345"/>
      <c r="AI38" s="345"/>
      <c r="AJ38" s="345"/>
      <c r="AK38" s="345"/>
      <c r="AL38" s="345"/>
      <c r="AM38" s="345"/>
      <c r="AN38" s="345"/>
      <c r="AO38" s="345"/>
      <c r="AP38" s="345"/>
      <c r="AQ38" s="345"/>
      <c r="AR38" s="345"/>
      <c r="AS38" s="345"/>
      <c r="AT38" s="345"/>
      <c r="AU38" s="345"/>
      <c r="AV38" s="345"/>
      <c r="AW38" s="345"/>
      <c r="AX38" s="345"/>
    </row>
    <row r="39" spans="1:50" ht="13.5" customHeight="1" x14ac:dyDescent="0.2">
      <c r="A39" s="923" t="s">
        <v>717</v>
      </c>
      <c r="B39" s="418"/>
      <c r="C39" s="644">
        <v>4</v>
      </c>
      <c r="D39" s="423">
        <f>MAR!BL77</f>
        <v>4</v>
      </c>
      <c r="E39" s="472"/>
      <c r="F39" s="352">
        <f t="shared" si="4"/>
        <v>0</v>
      </c>
      <c r="G39" s="354">
        <f t="shared" si="5"/>
        <v>0</v>
      </c>
      <c r="H39" s="418"/>
      <c r="I39" s="616">
        <v>11283</v>
      </c>
      <c r="J39" s="471"/>
      <c r="K39" s="352"/>
      <c r="L39" s="1289">
        <f t="shared" si="7"/>
        <v>-0.99964548435699729</v>
      </c>
      <c r="M39" s="346"/>
      <c r="N39" s="345"/>
      <c r="O39" s="345"/>
      <c r="P39" s="345"/>
      <c r="Q39" s="345"/>
      <c r="R39" s="345"/>
      <c r="S39" s="345"/>
      <c r="T39" s="345"/>
      <c r="U39" s="346"/>
      <c r="V39" s="345"/>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c r="AV39" s="345"/>
      <c r="AW39" s="345"/>
      <c r="AX39" s="345"/>
    </row>
    <row r="40" spans="1:50" ht="13.5" customHeight="1" x14ac:dyDescent="0.2">
      <c r="A40" s="923" t="s">
        <v>718</v>
      </c>
      <c r="B40" s="418"/>
      <c r="C40" s="644">
        <v>6</v>
      </c>
      <c r="D40" s="423">
        <f>MAR!BL78</f>
        <v>6</v>
      </c>
      <c r="E40" s="424"/>
      <c r="F40" s="352">
        <f t="shared" si="4"/>
        <v>0</v>
      </c>
      <c r="G40" s="354">
        <f t="shared" si="5"/>
        <v>0</v>
      </c>
      <c r="H40" s="477"/>
      <c r="I40" s="616">
        <v>6040.5</v>
      </c>
      <c r="J40" s="365"/>
      <c r="K40" s="352">
        <f t="shared" si="6"/>
        <v>-6034.5</v>
      </c>
      <c r="L40" s="1289">
        <f t="shared" si="7"/>
        <v>-0.99900670474298481</v>
      </c>
      <c r="M40" s="346"/>
      <c r="N40" s="345"/>
      <c r="O40" s="345"/>
      <c r="P40" s="345"/>
      <c r="Q40" s="345"/>
      <c r="R40" s="345"/>
      <c r="S40" s="345"/>
      <c r="T40" s="345"/>
      <c r="U40" s="346"/>
      <c r="V40" s="345"/>
      <c r="W40" s="345"/>
      <c r="X40" s="345"/>
      <c r="Y40" s="345"/>
      <c r="Z40" s="345"/>
      <c r="AA40" s="345"/>
      <c r="AB40" s="345"/>
      <c r="AC40" s="345"/>
      <c r="AD40" s="345"/>
      <c r="AE40" s="345"/>
      <c r="AF40" s="345"/>
      <c r="AG40" s="345"/>
      <c r="AH40" s="345"/>
      <c r="AI40" s="345"/>
      <c r="AJ40" s="345"/>
      <c r="AK40" s="345"/>
      <c r="AL40" s="345"/>
      <c r="AM40" s="345"/>
      <c r="AN40" s="345"/>
      <c r="AO40" s="345"/>
      <c r="AP40" s="345"/>
      <c r="AQ40" s="345"/>
      <c r="AR40" s="345"/>
      <c r="AS40" s="345"/>
      <c r="AT40" s="345"/>
      <c r="AU40" s="345"/>
      <c r="AV40" s="345"/>
      <c r="AW40" s="345"/>
      <c r="AX40" s="345"/>
    </row>
    <row r="41" spans="1:50" ht="13.5" customHeight="1" x14ac:dyDescent="0.2">
      <c r="A41" s="923" t="s">
        <v>719</v>
      </c>
      <c r="B41" s="418"/>
      <c r="C41" s="616">
        <f>C24</f>
        <v>4</v>
      </c>
      <c r="D41" s="423">
        <f>MAR!BL79</f>
        <v>7</v>
      </c>
      <c r="E41" s="472"/>
      <c r="F41" s="352">
        <f t="shared" si="4"/>
        <v>-3</v>
      </c>
      <c r="G41" s="354">
        <f t="shared" si="5"/>
        <v>-0.4285714285714286</v>
      </c>
      <c r="H41" s="418"/>
      <c r="I41" s="616">
        <v>-814.5</v>
      </c>
      <c r="J41" s="471"/>
      <c r="K41" s="352">
        <f t="shared" si="6"/>
        <v>818.5</v>
      </c>
      <c r="L41" s="1289">
        <f t="shared" si="7"/>
        <v>-1.0049109883364027</v>
      </c>
      <c r="M41" s="346"/>
      <c r="N41" s="345"/>
      <c r="O41" s="345"/>
      <c r="P41" s="345"/>
      <c r="Q41" s="345"/>
      <c r="R41" s="345"/>
      <c r="S41" s="345"/>
      <c r="T41" s="345"/>
      <c r="U41" s="346"/>
      <c r="V41" s="345"/>
      <c r="W41" s="345"/>
      <c r="X41" s="345"/>
      <c r="Y41" s="345"/>
      <c r="Z41" s="345"/>
      <c r="AA41" s="345"/>
      <c r="AB41" s="345"/>
      <c r="AC41" s="345"/>
      <c r="AD41" s="345"/>
      <c r="AE41" s="345"/>
      <c r="AF41" s="345"/>
      <c r="AG41" s="345"/>
      <c r="AH41" s="345"/>
      <c r="AI41" s="345"/>
      <c r="AJ41" s="345"/>
      <c r="AK41" s="345"/>
      <c r="AL41" s="345"/>
      <c r="AM41" s="345"/>
      <c r="AN41" s="345"/>
      <c r="AO41" s="345"/>
      <c r="AP41" s="345"/>
      <c r="AQ41" s="345"/>
      <c r="AR41" s="345"/>
      <c r="AS41" s="345"/>
      <c r="AT41" s="345"/>
      <c r="AU41" s="345"/>
      <c r="AV41" s="345"/>
      <c r="AW41" s="345"/>
      <c r="AX41" s="345"/>
    </row>
    <row r="42" spans="1:50" ht="13.5" customHeight="1" x14ac:dyDescent="0.2">
      <c r="A42" s="923" t="s">
        <v>598</v>
      </c>
      <c r="B42" s="418"/>
      <c r="C42" s="644">
        <f>C25</f>
        <v>2</v>
      </c>
      <c r="D42" s="423">
        <f>MAR!BL80</f>
        <v>2</v>
      </c>
      <c r="E42" s="472"/>
      <c r="F42" s="352">
        <f t="shared" si="4"/>
        <v>0</v>
      </c>
      <c r="G42" s="354">
        <f t="shared" si="5"/>
        <v>0</v>
      </c>
      <c r="H42" s="418"/>
      <c r="I42" s="616">
        <v>0</v>
      </c>
      <c r="J42" s="471"/>
      <c r="K42" s="352">
        <f t="shared" si="6"/>
        <v>2</v>
      </c>
      <c r="L42" s="1289" t="str">
        <f t="shared" si="7"/>
        <v>NM</v>
      </c>
      <c r="M42" s="346"/>
      <c r="N42" s="345"/>
      <c r="O42" s="345"/>
      <c r="P42" s="345"/>
      <c r="Q42" s="345"/>
      <c r="R42" s="345"/>
      <c r="S42" s="345"/>
      <c r="T42" s="345"/>
      <c r="U42" s="346"/>
      <c r="V42" s="345"/>
      <c r="W42" s="345"/>
      <c r="X42" s="345"/>
      <c r="Y42" s="345"/>
      <c r="Z42" s="345"/>
      <c r="AA42" s="345"/>
      <c r="AB42" s="345"/>
      <c r="AC42" s="345"/>
      <c r="AD42" s="345"/>
      <c r="AE42" s="345"/>
      <c r="AF42" s="345"/>
      <c r="AG42" s="345"/>
      <c r="AH42" s="345"/>
      <c r="AI42" s="345"/>
      <c r="AJ42" s="345"/>
      <c r="AK42" s="345"/>
      <c r="AL42" s="345"/>
      <c r="AM42" s="345"/>
      <c r="AN42" s="345"/>
      <c r="AO42" s="345"/>
      <c r="AP42" s="345"/>
      <c r="AQ42" s="345"/>
      <c r="AR42" s="345"/>
      <c r="AS42" s="345"/>
      <c r="AT42" s="345"/>
      <c r="AU42" s="345"/>
      <c r="AV42" s="345"/>
      <c r="AW42" s="345"/>
      <c r="AX42" s="345"/>
    </row>
    <row r="43" spans="1:50" ht="13.5" customHeight="1" x14ac:dyDescent="0.2">
      <c r="A43" s="923" t="s">
        <v>720</v>
      </c>
      <c r="B43" s="418"/>
      <c r="C43" s="644">
        <v>-4</v>
      </c>
      <c r="D43" s="423">
        <f>MAR!BL81</f>
        <v>-4</v>
      </c>
      <c r="E43" s="424"/>
      <c r="F43" s="352">
        <f t="shared" si="4"/>
        <v>0</v>
      </c>
      <c r="G43" s="354">
        <f t="shared" si="5"/>
        <v>0</v>
      </c>
      <c r="H43" s="477"/>
      <c r="I43" s="616">
        <v>0</v>
      </c>
      <c r="J43" s="365"/>
      <c r="K43" s="352">
        <f t="shared" si="6"/>
        <v>-4</v>
      </c>
      <c r="L43" s="1289" t="str">
        <f t="shared" si="7"/>
        <v>NM</v>
      </c>
      <c r="M43" s="346"/>
      <c r="N43" s="345"/>
      <c r="O43" s="345"/>
      <c r="P43" s="345"/>
      <c r="Q43" s="345"/>
      <c r="R43" s="345"/>
      <c r="S43" s="345"/>
      <c r="T43" s="345"/>
      <c r="U43" s="346"/>
      <c r="V43" s="345"/>
      <c r="W43" s="345"/>
      <c r="X43" s="345"/>
      <c r="Y43" s="345"/>
      <c r="Z43" s="345"/>
      <c r="AA43" s="345"/>
      <c r="AB43" s="345"/>
      <c r="AC43" s="345"/>
      <c r="AD43" s="345"/>
      <c r="AE43" s="345"/>
      <c r="AF43" s="345"/>
      <c r="AG43" s="345"/>
      <c r="AH43" s="345"/>
      <c r="AI43" s="345"/>
      <c r="AJ43" s="345"/>
      <c r="AK43" s="345"/>
      <c r="AL43" s="345"/>
      <c r="AM43" s="345"/>
      <c r="AN43" s="345"/>
      <c r="AO43" s="345"/>
      <c r="AP43" s="345"/>
      <c r="AQ43" s="345"/>
      <c r="AR43" s="345"/>
      <c r="AS43" s="345"/>
      <c r="AT43" s="345"/>
      <c r="AU43" s="345"/>
      <c r="AV43" s="345"/>
      <c r="AW43" s="345"/>
      <c r="AX43" s="345"/>
    </row>
    <row r="44" spans="1:50" ht="13.5" customHeight="1" x14ac:dyDescent="0.2">
      <c r="A44" s="923" t="s">
        <v>597</v>
      </c>
      <c r="B44" s="418"/>
      <c r="C44" s="644">
        <v>0</v>
      </c>
      <c r="D44" s="423">
        <f>MAR!BL82</f>
        <v>0</v>
      </c>
      <c r="E44" s="472"/>
      <c r="F44" s="352">
        <f t="shared" si="4"/>
        <v>0</v>
      </c>
      <c r="G44" s="354">
        <f t="shared" si="5"/>
        <v>0</v>
      </c>
      <c r="H44" s="418"/>
      <c r="I44" s="616">
        <f>MAR!BQ82</f>
        <v>0</v>
      </c>
      <c r="J44" s="471"/>
      <c r="K44" s="352">
        <f t="shared" si="6"/>
        <v>0</v>
      </c>
      <c r="L44" s="1289" t="str">
        <f t="shared" si="7"/>
        <v>NM</v>
      </c>
      <c r="M44" s="346"/>
      <c r="N44" s="345"/>
      <c r="O44" s="345"/>
      <c r="P44" s="345"/>
      <c r="Q44" s="345"/>
      <c r="R44" s="345"/>
      <c r="S44" s="345"/>
      <c r="T44" s="345"/>
      <c r="U44" s="346"/>
      <c r="V44" s="345"/>
      <c r="W44" s="345"/>
      <c r="X44" s="345"/>
      <c r="Y44" s="345"/>
      <c r="Z44" s="345"/>
      <c r="AA44" s="345"/>
      <c r="AB44" s="345"/>
      <c r="AC44" s="345"/>
      <c r="AD44" s="345"/>
      <c r="AE44" s="345"/>
      <c r="AF44" s="345"/>
      <c r="AG44" s="345"/>
      <c r="AH44" s="345"/>
      <c r="AI44" s="345"/>
      <c r="AJ44" s="345"/>
      <c r="AK44" s="345"/>
      <c r="AL44" s="345"/>
      <c r="AM44" s="345"/>
      <c r="AN44" s="345"/>
      <c r="AO44" s="345"/>
      <c r="AP44" s="345"/>
      <c r="AQ44" s="345"/>
      <c r="AR44" s="345"/>
      <c r="AS44" s="345"/>
      <c r="AT44" s="345"/>
      <c r="AU44" s="345"/>
      <c r="AV44" s="345"/>
      <c r="AW44" s="345"/>
      <c r="AX44" s="345"/>
    </row>
    <row r="45" spans="1:50" ht="13.5" customHeight="1" x14ac:dyDescent="0.2">
      <c r="A45" s="355" t="s">
        <v>1197</v>
      </c>
      <c r="B45" s="356"/>
      <c r="C45" s="1129">
        <f>SUM(C37:C44)</f>
        <v>215</v>
      </c>
      <c r="D45" s="357">
        <f>SUM(D37:D44)</f>
        <v>514</v>
      </c>
      <c r="E45" s="357"/>
      <c r="F45" s="357">
        <f>SUM(F37:F44)</f>
        <v>-299</v>
      </c>
      <c r="G45" s="358">
        <f t="shared" si="5"/>
        <v>-0.58171206225680927</v>
      </c>
      <c r="H45" s="359"/>
      <c r="I45" s="1129">
        <f>SUM(I37:I44)</f>
        <v>17349.98001598721</v>
      </c>
      <c r="J45" s="357"/>
      <c r="K45" s="357"/>
      <c r="L45" s="360">
        <f t="shared" si="7"/>
        <v>-0.98760805489102077</v>
      </c>
      <c r="M45" s="346"/>
      <c r="N45" s="1144">
        <v>215.65</v>
      </c>
      <c r="O45" s="1144"/>
      <c r="P45" s="345"/>
      <c r="Q45" s="345"/>
      <c r="R45" s="345"/>
      <c r="S45" s="345"/>
      <c r="T45" s="345"/>
      <c r="U45" s="346"/>
      <c r="V45" s="345"/>
      <c r="W45" s="345"/>
      <c r="X45" s="345"/>
      <c r="Y45" s="345"/>
      <c r="Z45" s="345"/>
      <c r="AA45" s="345"/>
      <c r="AB45" s="345"/>
      <c r="AC45" s="345"/>
      <c r="AD45" s="345"/>
      <c r="AE45" s="345"/>
      <c r="AF45" s="345"/>
      <c r="AG45" s="345"/>
      <c r="AH45" s="345"/>
      <c r="AI45" s="345"/>
      <c r="AJ45" s="345"/>
      <c r="AK45" s="345"/>
      <c r="AL45" s="345"/>
      <c r="AM45" s="345"/>
      <c r="AN45" s="345"/>
      <c r="AO45" s="345"/>
      <c r="AP45" s="345"/>
      <c r="AQ45" s="345"/>
      <c r="AR45" s="345"/>
      <c r="AS45" s="345"/>
      <c r="AT45" s="345"/>
      <c r="AU45" s="345"/>
      <c r="AV45" s="345"/>
      <c r="AW45" s="345"/>
      <c r="AX45" s="345"/>
    </row>
    <row r="46" spans="1:50" ht="13.5" customHeight="1" x14ac:dyDescent="0.2">
      <c r="A46" s="418"/>
      <c r="B46" s="418"/>
      <c r="C46" s="1161"/>
      <c r="D46" s="418"/>
      <c r="E46" s="418"/>
      <c r="F46" s="418"/>
      <c r="G46" s="462"/>
      <c r="H46" s="418"/>
      <c r="I46" s="1161"/>
      <c r="J46" s="418"/>
      <c r="K46" s="418"/>
      <c r="L46" s="478"/>
      <c r="M46" s="346"/>
      <c r="N46" s="345"/>
      <c r="O46" s="345"/>
      <c r="P46" s="344"/>
      <c r="Q46" s="345"/>
      <c r="R46" s="345"/>
      <c r="S46" s="345"/>
      <c r="T46" s="345"/>
      <c r="U46" s="346"/>
      <c r="V46" s="345"/>
      <c r="W46" s="345"/>
      <c r="X46" s="345"/>
      <c r="Y46" s="345"/>
      <c r="Z46" s="345"/>
      <c r="AA46" s="345"/>
      <c r="AB46" s="345"/>
      <c r="AC46" s="345"/>
      <c r="AD46" s="345"/>
      <c r="AE46" s="345"/>
      <c r="AF46" s="345"/>
      <c r="AG46" s="345"/>
      <c r="AH46" s="345"/>
      <c r="AI46" s="345"/>
      <c r="AJ46" s="345"/>
      <c r="AK46" s="345"/>
      <c r="AL46" s="345"/>
      <c r="AM46" s="345"/>
      <c r="AN46" s="345"/>
      <c r="AO46" s="345"/>
      <c r="AP46" s="345"/>
      <c r="AQ46" s="345"/>
      <c r="AR46" s="345"/>
      <c r="AS46" s="345"/>
      <c r="AT46" s="345"/>
      <c r="AU46" s="345"/>
      <c r="AV46" s="345"/>
      <c r="AW46" s="345"/>
      <c r="AX46" s="345"/>
    </row>
    <row r="47" spans="1:50" ht="13.5" customHeight="1" x14ac:dyDescent="0.2">
      <c r="A47" s="418"/>
      <c r="B47" s="418"/>
      <c r="C47" s="1161"/>
      <c r="D47" s="418"/>
      <c r="E47" s="418"/>
      <c r="F47" s="418"/>
      <c r="G47" s="462"/>
      <c r="H47" s="418"/>
      <c r="I47" s="1161"/>
      <c r="J47" s="418"/>
      <c r="K47" s="418"/>
      <c r="L47" s="478"/>
      <c r="M47" s="346"/>
      <c r="N47" s="345"/>
      <c r="O47" s="345"/>
      <c r="P47" s="344"/>
      <c r="Q47" s="345"/>
      <c r="R47" s="345"/>
      <c r="S47" s="345"/>
      <c r="T47" s="345"/>
      <c r="U47" s="346"/>
      <c r="V47" s="345"/>
      <c r="W47" s="345"/>
      <c r="X47" s="345"/>
      <c r="Y47" s="345"/>
      <c r="Z47" s="345"/>
      <c r="AA47" s="345"/>
      <c r="AB47" s="345"/>
      <c r="AC47" s="345"/>
      <c r="AD47" s="345"/>
      <c r="AE47" s="345"/>
      <c r="AF47" s="345"/>
      <c r="AG47" s="345"/>
      <c r="AH47" s="345"/>
      <c r="AI47" s="345"/>
      <c r="AJ47" s="345"/>
      <c r="AK47" s="345"/>
      <c r="AL47" s="345"/>
      <c r="AM47" s="345"/>
      <c r="AN47" s="345"/>
      <c r="AO47" s="345"/>
      <c r="AP47" s="345"/>
      <c r="AQ47" s="345"/>
      <c r="AR47" s="345"/>
      <c r="AS47" s="345"/>
      <c r="AT47" s="345"/>
      <c r="AU47" s="345"/>
      <c r="AV47" s="345"/>
      <c r="AW47" s="345"/>
      <c r="AX47" s="345"/>
    </row>
    <row r="48" spans="1:50" ht="13.5" customHeight="1" x14ac:dyDescent="0.2">
      <c r="A48" s="1164" t="s">
        <v>2244</v>
      </c>
      <c r="B48" s="1147"/>
      <c r="C48" s="822"/>
      <c r="D48" s="1147"/>
      <c r="E48" s="1147"/>
      <c r="F48" s="1147"/>
      <c r="G48" s="1148"/>
      <c r="H48" s="1147"/>
      <c r="I48" s="822"/>
      <c r="J48" s="1147"/>
      <c r="K48" s="1147"/>
      <c r="L48" s="1149"/>
      <c r="M48" s="346"/>
      <c r="N48" s="345"/>
      <c r="O48" s="345"/>
      <c r="U48" s="346"/>
      <c r="V48" s="345"/>
      <c r="W48" s="345"/>
      <c r="X48" s="345"/>
      <c r="Y48" s="345"/>
      <c r="Z48" s="345"/>
      <c r="AA48" s="345"/>
      <c r="AB48" s="345"/>
      <c r="AC48" s="345"/>
      <c r="AD48" s="345"/>
      <c r="AE48" s="345"/>
      <c r="AF48" s="345"/>
      <c r="AG48" s="345"/>
      <c r="AH48" s="345"/>
      <c r="AI48" s="345"/>
      <c r="AJ48" s="345"/>
      <c r="AK48" s="345"/>
      <c r="AL48" s="345"/>
      <c r="AM48" s="345"/>
      <c r="AN48" s="345"/>
      <c r="AO48" s="345"/>
      <c r="AP48" s="345"/>
      <c r="AQ48" s="345"/>
      <c r="AR48" s="345"/>
      <c r="AS48" s="345"/>
      <c r="AT48" s="345"/>
      <c r="AU48" s="345"/>
      <c r="AV48" s="345"/>
      <c r="AW48" s="345"/>
      <c r="AX48" s="345"/>
    </row>
    <row r="49" spans="1:50" ht="13.5" customHeight="1" x14ac:dyDescent="0.2">
      <c r="A49" s="1150" t="s">
        <v>1512</v>
      </c>
      <c r="B49" s="418"/>
      <c r="C49" s="1395">
        <v>124</v>
      </c>
      <c r="D49" s="458">
        <f>MAR!BL223</f>
        <v>120</v>
      </c>
      <c r="E49" s="418"/>
      <c r="F49" s="532">
        <f>C49-D49</f>
        <v>4</v>
      </c>
      <c r="G49" s="354">
        <f>IF(D49=0,0,C49/D49-1)</f>
        <v>3.3333333333333437E-2</v>
      </c>
      <c r="H49" s="418"/>
      <c r="I49" s="1162">
        <v>3.5000000000000003E-2</v>
      </c>
      <c r="J49" s="418"/>
      <c r="K49" s="532">
        <f>C49-I49</f>
        <v>123.965</v>
      </c>
      <c r="L49" s="1151">
        <f>IF(I49=0,"NM",C49/I49-1)</f>
        <v>3541.8571428571427</v>
      </c>
      <c r="M49" s="346"/>
      <c r="N49" s="345"/>
      <c r="O49" s="345"/>
      <c r="U49" s="346"/>
      <c r="V49" s="345"/>
      <c r="W49" s="345"/>
      <c r="X49" s="345"/>
      <c r="Y49" s="345"/>
      <c r="Z49" s="345"/>
      <c r="AA49" s="345"/>
      <c r="AB49" s="345"/>
      <c r="AC49" s="345"/>
      <c r="AD49" s="345"/>
      <c r="AE49" s="345"/>
      <c r="AF49" s="345"/>
      <c r="AG49" s="345"/>
      <c r="AH49" s="345"/>
      <c r="AI49" s="345"/>
      <c r="AJ49" s="345"/>
      <c r="AK49" s="345"/>
      <c r="AL49" s="345"/>
      <c r="AM49" s="345"/>
      <c r="AN49" s="345"/>
      <c r="AO49" s="345"/>
      <c r="AP49" s="345"/>
      <c r="AQ49" s="345"/>
      <c r="AR49" s="345"/>
      <c r="AS49" s="345"/>
      <c r="AT49" s="345"/>
      <c r="AU49" s="345"/>
      <c r="AV49" s="345"/>
      <c r="AW49" s="345"/>
      <c r="AX49" s="345"/>
    </row>
    <row r="50" spans="1:50" ht="13.5" customHeight="1" x14ac:dyDescent="0.2">
      <c r="A50" s="1150" t="s">
        <v>2163</v>
      </c>
      <c r="B50" s="418"/>
      <c r="C50" s="1368">
        <v>126</v>
      </c>
      <c r="D50" s="418">
        <f>MAR!BL228</f>
        <v>117</v>
      </c>
      <c r="E50" s="418"/>
      <c r="F50" s="528">
        <f>C50-D50</f>
        <v>9</v>
      </c>
      <c r="G50" s="354">
        <f>IF(D50=0,0,C50/D50-1)</f>
        <v>7.6923076923076872E-2</v>
      </c>
      <c r="H50" s="418"/>
      <c r="I50" s="1377">
        <v>1.9999999999999948E-3</v>
      </c>
      <c r="J50" s="418"/>
      <c r="K50" s="528">
        <f>C50-I50</f>
        <v>125.998</v>
      </c>
      <c r="L50" s="1151"/>
      <c r="M50" s="346"/>
      <c r="N50" s="345"/>
      <c r="O50" s="345"/>
      <c r="P50" s="563"/>
      <c r="Q50" s="564"/>
      <c r="R50" s="345"/>
      <c r="S50" s="345"/>
      <c r="U50" s="346"/>
      <c r="V50" s="345"/>
      <c r="W50" s="345"/>
      <c r="X50" s="345"/>
      <c r="Y50" s="345"/>
      <c r="Z50" s="345"/>
      <c r="AA50" s="345"/>
      <c r="AB50" s="345"/>
      <c r="AC50" s="345"/>
      <c r="AD50" s="345"/>
      <c r="AE50" s="345"/>
      <c r="AF50" s="345"/>
      <c r="AG50" s="345"/>
      <c r="AH50" s="345"/>
      <c r="AI50" s="345"/>
      <c r="AJ50" s="345"/>
      <c r="AK50" s="345"/>
      <c r="AL50" s="345"/>
      <c r="AM50" s="345"/>
      <c r="AN50" s="345"/>
      <c r="AO50" s="345"/>
      <c r="AP50" s="345"/>
      <c r="AQ50" s="345"/>
      <c r="AR50" s="345"/>
      <c r="AS50" s="345"/>
      <c r="AT50" s="345"/>
      <c r="AU50" s="345"/>
      <c r="AV50" s="345"/>
      <c r="AW50" s="345"/>
      <c r="AX50" s="345"/>
    </row>
    <row r="51" spans="1:50" ht="13.5" customHeight="1" x14ac:dyDescent="0.2">
      <c r="A51" s="1150" t="s">
        <v>126</v>
      </c>
      <c r="B51" s="418"/>
      <c r="C51" s="978">
        <v>50</v>
      </c>
      <c r="D51" s="221">
        <f>MAR!BL234</f>
        <v>42</v>
      </c>
      <c r="E51" s="1402"/>
      <c r="F51" s="221">
        <f>C51-D51</f>
        <v>8</v>
      </c>
      <c r="G51" s="1135">
        <f>IF(D51=0,0,C51/D51-1)</f>
        <v>0.19047619047619047</v>
      </c>
      <c r="H51" s="1403"/>
      <c r="I51" s="966">
        <v>0.14000000000000001</v>
      </c>
      <c r="J51" s="1402"/>
      <c r="K51" s="221">
        <f>C51-I51</f>
        <v>49.86</v>
      </c>
      <c r="L51" s="1405">
        <f>IF(I51=0,"NM",C51/I51-1)</f>
        <v>356.14285714285711</v>
      </c>
      <c r="M51" s="1404"/>
      <c r="N51" s="345"/>
      <c r="O51" s="345"/>
      <c r="U51" s="346"/>
      <c r="V51" s="345"/>
      <c r="W51" s="345"/>
      <c r="X51" s="345"/>
      <c r="Y51" s="345"/>
      <c r="Z51" s="345"/>
      <c r="AA51" s="345"/>
      <c r="AB51" s="345"/>
      <c r="AC51" s="345"/>
      <c r="AD51" s="345"/>
      <c r="AE51" s="345"/>
      <c r="AF51" s="345"/>
      <c r="AG51" s="345"/>
      <c r="AH51" s="345"/>
      <c r="AI51" s="345"/>
      <c r="AJ51" s="345"/>
      <c r="AK51" s="345"/>
      <c r="AL51" s="345"/>
      <c r="AM51" s="345"/>
      <c r="AN51" s="345"/>
      <c r="AO51" s="345"/>
      <c r="AP51" s="345"/>
      <c r="AQ51" s="345"/>
      <c r="AR51" s="345"/>
      <c r="AS51" s="345"/>
      <c r="AT51" s="345"/>
      <c r="AU51" s="345"/>
      <c r="AV51" s="345"/>
      <c r="AW51" s="345"/>
      <c r="AX51" s="345"/>
    </row>
    <row r="52" spans="1:50" ht="13.5" customHeight="1" x14ac:dyDescent="0.2">
      <c r="A52" s="1152" t="s">
        <v>1735</v>
      </c>
      <c r="B52" s="820"/>
      <c r="C52" s="1163">
        <f>SUM(C49:C51)</f>
        <v>300</v>
      </c>
      <c r="D52" s="1157">
        <f>SUM(D49:D51)</f>
        <v>279</v>
      </c>
      <c r="E52" s="1158"/>
      <c r="F52" s="1159">
        <f>C52-D52</f>
        <v>21</v>
      </c>
      <c r="G52" s="1153">
        <f>IF(D52=0,0,C52/D52-1)</f>
        <v>7.5268817204301008E-2</v>
      </c>
      <c r="H52" s="820"/>
      <c r="I52" s="1163">
        <f>SUM(I49:I51)</f>
        <v>0.17700000000000002</v>
      </c>
      <c r="J52" s="1158"/>
      <c r="K52" s="1159">
        <f>C52-I52</f>
        <v>299.82299999999998</v>
      </c>
      <c r="L52" s="1385">
        <f>IF(I52=0,"NM",C52/I52-1)</f>
        <v>1693.9152542372879</v>
      </c>
      <c r="M52" s="346"/>
      <c r="N52" s="345"/>
      <c r="O52" s="345"/>
      <c r="P52" s="565"/>
      <c r="Q52" s="371"/>
      <c r="R52" s="345"/>
      <c r="S52" s="345"/>
      <c r="T52" s="345"/>
      <c r="U52" s="346"/>
      <c r="V52" s="345"/>
      <c r="W52" s="345"/>
      <c r="X52" s="345"/>
      <c r="Y52" s="345"/>
      <c r="Z52" s="345"/>
      <c r="AA52" s="345"/>
      <c r="AB52" s="345"/>
      <c r="AC52" s="345"/>
      <c r="AD52" s="345"/>
      <c r="AE52" s="345"/>
      <c r="AF52" s="345"/>
      <c r="AG52" s="345"/>
      <c r="AH52" s="345"/>
      <c r="AI52" s="345"/>
      <c r="AJ52" s="345"/>
      <c r="AK52" s="345"/>
      <c r="AL52" s="345"/>
      <c r="AM52" s="345"/>
      <c r="AN52" s="345"/>
      <c r="AO52" s="345"/>
      <c r="AP52" s="345"/>
      <c r="AQ52" s="345"/>
      <c r="AR52" s="345"/>
      <c r="AS52" s="345"/>
      <c r="AT52" s="345"/>
      <c r="AU52" s="345"/>
      <c r="AV52" s="345"/>
      <c r="AW52" s="345"/>
      <c r="AX52" s="345"/>
    </row>
    <row r="53" spans="1:50" ht="5.25" customHeight="1" x14ac:dyDescent="0.2">
      <c r="A53" s="418"/>
      <c r="B53" s="418"/>
      <c r="C53" s="458"/>
      <c r="D53" s="1165"/>
      <c r="E53" s="458"/>
      <c r="F53" s="532"/>
      <c r="G53" s="482"/>
      <c r="H53" s="418"/>
      <c r="I53" s="1165"/>
      <c r="J53" s="458"/>
      <c r="K53" s="364"/>
      <c r="L53" s="482"/>
      <c r="M53" s="345"/>
      <c r="N53" s="345"/>
      <c r="O53" s="345"/>
      <c r="P53" s="565"/>
      <c r="Q53" s="371"/>
      <c r="R53" s="345"/>
      <c r="S53" s="345"/>
      <c r="T53" s="345"/>
      <c r="U53" s="346"/>
      <c r="V53" s="345"/>
      <c r="W53" s="345"/>
      <c r="X53" s="345"/>
      <c r="Y53" s="345"/>
      <c r="Z53" s="345"/>
      <c r="AA53" s="345"/>
      <c r="AB53" s="345"/>
      <c r="AC53" s="345"/>
      <c r="AD53" s="345"/>
      <c r="AE53" s="345"/>
      <c r="AF53" s="345"/>
      <c r="AG53" s="345"/>
      <c r="AH53" s="345"/>
      <c r="AI53" s="345"/>
      <c r="AJ53" s="345"/>
      <c r="AK53" s="345"/>
      <c r="AL53" s="345"/>
      <c r="AM53" s="345"/>
      <c r="AN53" s="345"/>
      <c r="AO53" s="345"/>
      <c r="AP53" s="345"/>
      <c r="AQ53" s="345"/>
      <c r="AR53" s="345"/>
      <c r="AS53" s="345"/>
      <c r="AT53" s="345"/>
      <c r="AU53" s="345"/>
      <c r="AV53" s="345"/>
      <c r="AW53" s="345"/>
      <c r="AX53" s="345"/>
    </row>
    <row r="54" spans="1:50" ht="13.5" customHeight="1" x14ac:dyDescent="0.2">
      <c r="A54" s="421"/>
      <c r="B54" s="418"/>
      <c r="C54" s="1165"/>
      <c r="D54" s="1165"/>
      <c r="E54" s="458"/>
      <c r="F54" s="364"/>
      <c r="G54" s="482"/>
      <c r="H54" s="418"/>
      <c r="I54" s="1165"/>
      <c r="J54" s="458"/>
      <c r="K54" s="364"/>
      <c r="L54" s="482"/>
      <c r="M54" s="345"/>
      <c r="N54" s="345"/>
      <c r="O54" s="345"/>
      <c r="P54" s="1293" t="s">
        <v>136</v>
      </c>
      <c r="Q54" s="371"/>
      <c r="R54" s="345"/>
      <c r="S54" s="345"/>
      <c r="T54" s="345"/>
      <c r="U54" s="346"/>
      <c r="V54" s="345"/>
      <c r="W54" s="345"/>
      <c r="X54" s="345"/>
      <c r="Y54" s="345"/>
      <c r="Z54" s="345"/>
      <c r="AA54" s="345"/>
      <c r="AB54" s="345"/>
      <c r="AC54" s="345"/>
      <c r="AD54" s="345"/>
      <c r="AE54" s="345"/>
      <c r="AF54" s="345"/>
      <c r="AG54" s="345"/>
      <c r="AH54" s="345"/>
      <c r="AI54" s="345"/>
      <c r="AJ54" s="345"/>
      <c r="AK54" s="345"/>
      <c r="AL54" s="345"/>
      <c r="AM54" s="345"/>
      <c r="AN54" s="345"/>
      <c r="AO54" s="345"/>
      <c r="AP54" s="345"/>
      <c r="AQ54" s="345"/>
      <c r="AR54" s="345"/>
      <c r="AS54" s="345"/>
      <c r="AT54" s="345"/>
      <c r="AU54" s="345"/>
      <c r="AV54" s="345"/>
      <c r="AW54" s="345"/>
      <c r="AX54" s="345"/>
    </row>
    <row r="55" spans="1:50" ht="13.5" customHeight="1" x14ac:dyDescent="0.2">
      <c r="A55" s="1146"/>
      <c r="B55" s="418"/>
      <c r="C55" s="418"/>
      <c r="D55" s="418"/>
      <c r="E55" s="418"/>
      <c r="F55" s="418"/>
      <c r="G55" s="462"/>
      <c r="H55" s="418"/>
      <c r="I55" s="418"/>
      <c r="J55" s="418"/>
      <c r="K55" s="418"/>
      <c r="L55" s="478"/>
      <c r="M55" s="345"/>
      <c r="N55" s="345"/>
      <c r="O55" s="345"/>
      <c r="Q55" s="371"/>
      <c r="R55" s="345"/>
      <c r="S55" s="345"/>
      <c r="T55" s="345"/>
      <c r="U55" s="346"/>
      <c r="V55" s="345"/>
      <c r="W55" s="345"/>
      <c r="X55" s="345"/>
      <c r="Y55" s="345"/>
      <c r="Z55" s="345"/>
      <c r="AA55" s="345"/>
      <c r="AB55" s="345"/>
      <c r="AC55" s="345"/>
      <c r="AD55" s="345"/>
      <c r="AE55" s="345"/>
      <c r="AF55" s="345"/>
      <c r="AG55" s="345"/>
      <c r="AH55" s="345"/>
      <c r="AI55" s="345"/>
      <c r="AJ55" s="345"/>
      <c r="AK55" s="345"/>
      <c r="AL55" s="345"/>
      <c r="AM55" s="345"/>
      <c r="AN55" s="345"/>
      <c r="AO55" s="345"/>
      <c r="AP55" s="345"/>
      <c r="AQ55" s="345"/>
      <c r="AR55" s="345"/>
      <c r="AS55" s="345"/>
      <c r="AT55" s="345"/>
      <c r="AU55" s="345"/>
      <c r="AV55" s="345"/>
      <c r="AW55" s="345"/>
      <c r="AX55" s="345"/>
    </row>
    <row r="56" spans="1:50" ht="13.5" customHeight="1" x14ac:dyDescent="0.2">
      <c r="A56" s="1146"/>
      <c r="B56" s="418"/>
      <c r="C56" s="418"/>
      <c r="D56" s="418"/>
      <c r="E56" s="418"/>
      <c r="F56" s="418"/>
      <c r="G56" s="462"/>
      <c r="H56" s="418"/>
      <c r="I56" s="418"/>
      <c r="J56" s="418"/>
      <c r="K56" s="418"/>
      <c r="L56" s="478"/>
      <c r="M56" s="345"/>
      <c r="N56" s="345"/>
      <c r="O56" s="345"/>
      <c r="P56" s="275" t="s">
        <v>91</v>
      </c>
      <c r="Q56" s="371"/>
      <c r="R56" s="345"/>
      <c r="S56" s="345"/>
      <c r="T56" s="345"/>
      <c r="U56" s="346"/>
      <c r="V56" s="345"/>
      <c r="W56" s="345"/>
      <c r="X56" s="345"/>
      <c r="Y56" s="345"/>
      <c r="Z56" s="345"/>
      <c r="AA56" s="345"/>
      <c r="AB56" s="345"/>
      <c r="AC56" s="345"/>
      <c r="AD56" s="345"/>
      <c r="AE56" s="345"/>
      <c r="AF56" s="345"/>
      <c r="AG56" s="345"/>
      <c r="AH56" s="345"/>
      <c r="AI56" s="345"/>
      <c r="AJ56" s="345"/>
      <c r="AK56" s="345"/>
      <c r="AL56" s="345"/>
      <c r="AM56" s="345"/>
      <c r="AN56" s="345"/>
      <c r="AO56" s="345"/>
      <c r="AP56" s="345"/>
      <c r="AQ56" s="345"/>
      <c r="AR56" s="345"/>
      <c r="AS56" s="345"/>
      <c r="AT56" s="345"/>
      <c r="AU56" s="345"/>
      <c r="AV56" s="345"/>
      <c r="AW56" s="345"/>
      <c r="AX56" s="345"/>
    </row>
    <row r="57" spans="1:50" ht="6.75" customHeight="1" x14ac:dyDescent="0.2">
      <c r="A57" s="1146"/>
      <c r="B57" s="418"/>
      <c r="C57" s="418"/>
      <c r="D57" s="418"/>
      <c r="E57" s="418"/>
      <c r="F57" s="418"/>
      <c r="G57" s="462"/>
      <c r="H57" s="418"/>
      <c r="I57" s="418"/>
      <c r="J57" s="418"/>
      <c r="K57" s="418"/>
      <c r="L57" s="478"/>
      <c r="M57" s="345"/>
      <c r="N57" s="345"/>
      <c r="O57" s="345"/>
      <c r="P57" s="275"/>
      <c r="Q57" s="371"/>
      <c r="R57" s="345"/>
      <c r="S57" s="345"/>
      <c r="T57" s="345"/>
      <c r="U57" s="346"/>
      <c r="V57" s="345"/>
      <c r="W57" s="345"/>
      <c r="X57" s="345"/>
      <c r="Y57" s="345"/>
      <c r="Z57" s="345"/>
      <c r="AA57" s="345"/>
      <c r="AB57" s="345"/>
      <c r="AC57" s="345"/>
      <c r="AD57" s="345"/>
      <c r="AE57" s="345"/>
      <c r="AF57" s="345"/>
      <c r="AG57" s="345"/>
      <c r="AH57" s="345"/>
      <c r="AI57" s="345"/>
      <c r="AJ57" s="345"/>
      <c r="AK57" s="345"/>
      <c r="AL57" s="345"/>
      <c r="AM57" s="345"/>
      <c r="AN57" s="345"/>
      <c r="AO57" s="345"/>
      <c r="AP57" s="345"/>
      <c r="AQ57" s="345"/>
      <c r="AR57" s="345"/>
      <c r="AS57" s="345"/>
      <c r="AT57" s="345"/>
      <c r="AU57" s="345"/>
      <c r="AV57" s="345"/>
      <c r="AW57" s="345"/>
      <c r="AX57" s="345"/>
    </row>
    <row r="58" spans="1:50" ht="13.5" customHeight="1" x14ac:dyDescent="0.2">
      <c r="B58" s="418"/>
      <c r="C58" s="418"/>
      <c r="D58" s="418"/>
      <c r="E58" s="418"/>
      <c r="F58" s="418"/>
      <c r="G58" s="462"/>
      <c r="H58" s="418"/>
      <c r="I58" s="418"/>
      <c r="J58" s="418"/>
      <c r="K58" s="418"/>
      <c r="L58" s="478"/>
      <c r="M58" s="345"/>
      <c r="N58" s="345"/>
      <c r="O58" s="345"/>
      <c r="P58" s="1294"/>
      <c r="Q58" s="1296" t="s">
        <v>1782</v>
      </c>
      <c r="R58" s="1143" t="s">
        <v>1938</v>
      </c>
      <c r="S58" s="1143"/>
      <c r="T58" s="1297" t="s">
        <v>231</v>
      </c>
      <c r="U58" s="346"/>
      <c r="V58" s="345"/>
      <c r="W58" s="345"/>
      <c r="X58" s="345"/>
      <c r="Y58" s="345"/>
      <c r="Z58" s="345"/>
      <c r="AA58" s="345"/>
      <c r="AB58" s="345"/>
      <c r="AC58" s="345"/>
      <c r="AD58" s="345"/>
      <c r="AE58" s="345"/>
      <c r="AF58" s="345"/>
      <c r="AG58" s="345"/>
      <c r="AH58" s="345"/>
      <c r="AI58" s="345"/>
      <c r="AJ58" s="345"/>
      <c r="AK58" s="345"/>
      <c r="AL58" s="345"/>
      <c r="AM58" s="345"/>
      <c r="AN58" s="345"/>
      <c r="AO58" s="345"/>
      <c r="AP58" s="345"/>
      <c r="AQ58" s="345"/>
      <c r="AR58" s="345"/>
      <c r="AS58" s="345"/>
      <c r="AT58" s="345"/>
      <c r="AU58" s="345"/>
      <c r="AV58" s="345"/>
      <c r="AW58" s="345"/>
      <c r="AX58" s="345"/>
    </row>
    <row r="59" spans="1:50" ht="13.5" customHeight="1" x14ac:dyDescent="0.2">
      <c r="A59" s="421"/>
      <c r="B59" s="418"/>
      <c r="C59" s="418"/>
      <c r="D59" s="418"/>
      <c r="E59" s="418"/>
      <c r="F59" s="418"/>
      <c r="G59" s="462"/>
      <c r="H59" s="418"/>
      <c r="I59" s="418"/>
      <c r="J59" s="418"/>
      <c r="K59" s="418"/>
      <c r="L59" s="478"/>
      <c r="M59" s="345"/>
      <c r="N59" s="345"/>
      <c r="O59" s="345"/>
      <c r="Q59" s="8"/>
      <c r="R59" s="8"/>
      <c r="S59" s="8"/>
      <c r="T59" s="1298"/>
      <c r="U59" s="346"/>
      <c r="V59" s="345"/>
      <c r="W59" s="345"/>
      <c r="X59" s="345"/>
      <c r="Y59" s="345"/>
      <c r="Z59" s="345"/>
      <c r="AA59" s="345"/>
      <c r="AB59" s="345"/>
      <c r="AC59" s="345"/>
      <c r="AD59" s="345"/>
      <c r="AE59" s="345"/>
      <c r="AF59" s="345"/>
      <c r="AG59" s="345"/>
      <c r="AH59" s="345"/>
      <c r="AI59" s="345"/>
      <c r="AJ59" s="345"/>
      <c r="AK59" s="345"/>
      <c r="AL59" s="345"/>
      <c r="AM59" s="345"/>
      <c r="AN59" s="345"/>
      <c r="AO59" s="345"/>
      <c r="AP59" s="345"/>
      <c r="AQ59" s="345"/>
      <c r="AR59" s="345"/>
      <c r="AS59" s="345"/>
      <c r="AT59" s="345"/>
      <c r="AU59" s="345"/>
      <c r="AV59" s="345"/>
      <c r="AW59" s="345"/>
      <c r="AX59" s="345"/>
    </row>
    <row r="60" spans="1:50" ht="13.5" customHeight="1" x14ac:dyDescent="0.2">
      <c r="A60" s="421"/>
      <c r="B60" s="418"/>
      <c r="C60" s="418"/>
      <c r="D60" s="418"/>
      <c r="E60" s="418"/>
      <c r="F60" s="418"/>
      <c r="G60" s="462"/>
      <c r="H60" s="418"/>
      <c r="I60" s="418"/>
      <c r="J60" s="418"/>
      <c r="K60" s="418"/>
      <c r="L60" s="478"/>
      <c r="M60" s="345"/>
      <c r="N60" s="345"/>
      <c r="O60" s="345"/>
      <c r="P60" s="369" t="s">
        <v>338</v>
      </c>
      <c r="Q60" s="1303" t="s">
        <v>1235</v>
      </c>
      <c r="R60" s="1308">
        <f>+C34</f>
        <v>0.30178352662933045</v>
      </c>
      <c r="S60" s="1307"/>
      <c r="T60" s="1410">
        <f>R60-0.28</f>
        <v>2.1783526629330419E-2</v>
      </c>
      <c r="U60" s="346"/>
      <c r="V60" s="345"/>
      <c r="W60" s="345"/>
      <c r="X60" s="345"/>
      <c r="Y60" s="345"/>
      <c r="Z60" s="345"/>
      <c r="AA60" s="345"/>
      <c r="AB60" s="345"/>
      <c r="AC60" s="345"/>
      <c r="AD60" s="345"/>
      <c r="AE60" s="345"/>
      <c r="AF60" s="345"/>
      <c r="AG60" s="345"/>
      <c r="AH60" s="345"/>
      <c r="AI60" s="345"/>
      <c r="AJ60" s="345"/>
      <c r="AK60" s="345"/>
      <c r="AL60" s="345"/>
      <c r="AM60" s="345"/>
      <c r="AN60" s="345"/>
      <c r="AO60" s="345"/>
      <c r="AP60" s="345"/>
      <c r="AQ60" s="345"/>
      <c r="AR60" s="345"/>
      <c r="AS60" s="345"/>
      <c r="AT60" s="345"/>
      <c r="AU60" s="345"/>
      <c r="AV60" s="345"/>
      <c r="AW60" s="345"/>
      <c r="AX60" s="345"/>
    </row>
    <row r="61" spans="1:50" ht="13.5" customHeight="1" x14ac:dyDescent="0.2">
      <c r="A61" s="421"/>
      <c r="B61" s="418"/>
      <c r="C61" s="418"/>
      <c r="D61" s="418"/>
      <c r="E61" s="418"/>
      <c r="F61" s="418"/>
      <c r="G61" s="462"/>
      <c r="H61" s="418"/>
      <c r="I61" s="418"/>
      <c r="J61" s="418"/>
      <c r="K61" s="418"/>
      <c r="L61" s="478"/>
      <c r="M61" s="345"/>
      <c r="N61" s="345"/>
      <c r="O61" s="345"/>
      <c r="Q61" s="8"/>
      <c r="R61" s="8"/>
      <c r="S61" s="8"/>
      <c r="T61" s="1298"/>
      <c r="U61" s="346"/>
      <c r="V61" s="345"/>
      <c r="W61" s="345"/>
      <c r="X61" s="345"/>
      <c r="Y61" s="345"/>
      <c r="Z61" s="345"/>
      <c r="AA61" s="345"/>
      <c r="AB61" s="345"/>
      <c r="AC61" s="345"/>
      <c r="AD61" s="345"/>
      <c r="AE61" s="345"/>
      <c r="AF61" s="345"/>
      <c r="AG61" s="345"/>
      <c r="AH61" s="345"/>
      <c r="AI61" s="345"/>
      <c r="AJ61" s="345"/>
      <c r="AK61" s="345"/>
      <c r="AL61" s="345"/>
      <c r="AM61" s="345"/>
      <c r="AN61" s="345"/>
      <c r="AO61" s="345"/>
      <c r="AP61" s="345"/>
      <c r="AQ61" s="345"/>
      <c r="AR61" s="345"/>
      <c r="AS61" s="345"/>
      <c r="AT61" s="345"/>
      <c r="AU61" s="345"/>
      <c r="AV61" s="345"/>
      <c r="AW61" s="345"/>
      <c r="AX61" s="345"/>
    </row>
    <row r="62" spans="1:50" ht="13.5" customHeight="1" x14ac:dyDescent="0.2">
      <c r="A62" s="421"/>
      <c r="B62" s="418"/>
      <c r="C62" s="418"/>
      <c r="D62" s="418"/>
      <c r="E62" s="418"/>
      <c r="F62" s="418"/>
      <c r="G62" s="462"/>
      <c r="H62" s="418"/>
      <c r="I62" s="418"/>
      <c r="J62" s="418"/>
      <c r="K62" s="418"/>
      <c r="L62" s="478"/>
      <c r="M62" s="345"/>
      <c r="N62" s="345"/>
      <c r="O62" s="345"/>
      <c r="P62" s="563" t="s">
        <v>137</v>
      </c>
      <c r="Q62" s="1299"/>
      <c r="R62" s="1300"/>
      <c r="S62" s="1300"/>
      <c r="T62" s="1298"/>
      <c r="U62" s="346"/>
      <c r="V62" s="345"/>
      <c r="W62" s="345"/>
      <c r="X62" s="345"/>
      <c r="Y62" s="345"/>
      <c r="Z62" s="345"/>
      <c r="AA62" s="345"/>
      <c r="AB62" s="345"/>
      <c r="AC62" s="345"/>
      <c r="AD62" s="345"/>
      <c r="AE62" s="345"/>
      <c r="AF62" s="345"/>
      <c r="AG62" s="345"/>
      <c r="AH62" s="345"/>
      <c r="AI62" s="345"/>
      <c r="AJ62" s="345"/>
      <c r="AK62" s="345"/>
      <c r="AL62" s="345"/>
      <c r="AM62" s="345"/>
      <c r="AN62" s="345"/>
      <c r="AO62" s="345"/>
      <c r="AP62" s="345"/>
      <c r="AQ62" s="345"/>
      <c r="AR62" s="345"/>
      <c r="AS62" s="345"/>
      <c r="AT62" s="345"/>
      <c r="AU62" s="345"/>
      <c r="AV62" s="345"/>
      <c r="AW62" s="345"/>
      <c r="AX62" s="345"/>
    </row>
    <row r="63" spans="1:50" ht="13.5" customHeight="1" x14ac:dyDescent="0.2">
      <c r="A63" s="421"/>
      <c r="B63" s="418"/>
      <c r="C63" s="418"/>
      <c r="D63" s="418"/>
      <c r="E63" s="418"/>
      <c r="F63" s="418"/>
      <c r="G63" s="462"/>
      <c r="H63" s="418"/>
      <c r="I63" s="418"/>
      <c r="J63" s="418"/>
      <c r="K63" s="418"/>
      <c r="L63" s="478"/>
      <c r="M63" s="345"/>
      <c r="N63" s="345"/>
      <c r="O63" s="345"/>
      <c r="P63" s="213" t="s">
        <v>1143</v>
      </c>
      <c r="Q63" s="1301" t="s">
        <v>2219</v>
      </c>
      <c r="R63" s="1390">
        <v>6.8000000000000005E-2</v>
      </c>
      <c r="S63" s="1302"/>
      <c r="T63" s="1408">
        <f>R63-0.055</f>
        <v>1.3000000000000005E-2</v>
      </c>
      <c r="U63" s="346"/>
      <c r="V63" s="345"/>
      <c r="W63" s="345"/>
      <c r="X63" s="345"/>
      <c r="Y63" s="345"/>
      <c r="Z63" s="345"/>
      <c r="AA63" s="345"/>
      <c r="AB63" s="345"/>
      <c r="AC63" s="345"/>
      <c r="AD63" s="345"/>
      <c r="AE63" s="345"/>
      <c r="AF63" s="345"/>
      <c r="AG63" s="345"/>
      <c r="AH63" s="345"/>
      <c r="AI63" s="345"/>
      <c r="AJ63" s="345"/>
      <c r="AK63" s="345"/>
      <c r="AL63" s="345"/>
      <c r="AM63" s="345"/>
      <c r="AN63" s="345"/>
      <c r="AO63" s="345"/>
      <c r="AP63" s="345"/>
      <c r="AQ63" s="345"/>
      <c r="AR63" s="345"/>
      <c r="AS63" s="345"/>
      <c r="AT63" s="345"/>
      <c r="AU63" s="345"/>
      <c r="AV63" s="345"/>
      <c r="AW63" s="345"/>
      <c r="AX63" s="345"/>
    </row>
    <row r="64" spans="1:50" ht="13.5" customHeight="1" x14ac:dyDescent="0.2">
      <c r="A64" s="421"/>
      <c r="B64" s="418"/>
      <c r="C64" s="418"/>
      <c r="D64" s="418"/>
      <c r="E64" s="418"/>
      <c r="F64" s="418"/>
      <c r="G64" s="462"/>
      <c r="H64" s="418"/>
      <c r="I64" s="418"/>
      <c r="J64" s="418"/>
      <c r="K64" s="418"/>
      <c r="L64" s="478"/>
      <c r="M64" s="345"/>
      <c r="N64" s="345"/>
      <c r="O64" s="345"/>
      <c r="P64" s="369" t="s">
        <v>1309</v>
      </c>
      <c r="Q64" s="1301" t="s">
        <v>2219</v>
      </c>
      <c r="R64" s="1390">
        <v>6.9000000000000006E-2</v>
      </c>
      <c r="S64" s="1302"/>
      <c r="T64" s="1408">
        <f>R64-0.055</f>
        <v>1.4000000000000005E-2</v>
      </c>
      <c r="U64" s="346"/>
      <c r="V64" s="345"/>
      <c r="W64" s="345"/>
      <c r="X64" s="345"/>
      <c r="Y64" s="345"/>
      <c r="Z64" s="345"/>
      <c r="AA64" s="345"/>
      <c r="AB64" s="345"/>
      <c r="AC64" s="345"/>
      <c r="AD64" s="345"/>
      <c r="AE64" s="345"/>
      <c r="AF64" s="345"/>
      <c r="AG64" s="345"/>
      <c r="AH64" s="345"/>
      <c r="AI64" s="345"/>
      <c r="AJ64" s="345"/>
      <c r="AK64" s="345"/>
      <c r="AL64" s="345"/>
      <c r="AM64" s="345"/>
      <c r="AN64" s="345"/>
      <c r="AO64" s="345"/>
      <c r="AP64" s="345"/>
      <c r="AQ64" s="345"/>
      <c r="AR64" s="345"/>
      <c r="AS64" s="345"/>
      <c r="AT64" s="345"/>
      <c r="AU64" s="345"/>
      <c r="AV64" s="345"/>
      <c r="AW64" s="345"/>
      <c r="AX64" s="345"/>
    </row>
    <row r="65" spans="1:50" ht="13.5" customHeight="1" x14ac:dyDescent="0.2">
      <c r="A65" s="418"/>
      <c r="B65" s="418"/>
      <c r="C65" s="418"/>
      <c r="D65" s="418"/>
      <c r="E65" s="418"/>
      <c r="F65" s="418"/>
      <c r="G65" s="462"/>
      <c r="H65" s="418"/>
      <c r="I65" s="418"/>
      <c r="J65" s="418"/>
      <c r="K65" s="418"/>
      <c r="L65" s="478"/>
      <c r="M65" s="345"/>
      <c r="N65" s="345"/>
      <c r="O65" s="345"/>
      <c r="P65" s="369" t="s">
        <v>2036</v>
      </c>
      <c r="Q65" s="1301" t="s">
        <v>1224</v>
      </c>
      <c r="R65" s="1390">
        <v>5.8999999999999997E-2</v>
      </c>
      <c r="S65" s="1302"/>
      <c r="T65" s="1408">
        <f>R65-0.045</f>
        <v>1.3999999999999999E-2</v>
      </c>
      <c r="U65" s="346"/>
      <c r="V65" s="345"/>
      <c r="W65" s="345"/>
      <c r="X65" s="345"/>
      <c r="Y65" s="345"/>
      <c r="Z65" s="345"/>
      <c r="AA65" s="345"/>
      <c r="AB65" s="345"/>
      <c r="AC65" s="345"/>
      <c r="AD65" s="345"/>
      <c r="AE65" s="345"/>
      <c r="AF65" s="345"/>
      <c r="AG65" s="345"/>
      <c r="AH65" s="345"/>
      <c r="AI65" s="345"/>
      <c r="AJ65" s="345"/>
      <c r="AK65" s="345"/>
      <c r="AL65" s="345"/>
      <c r="AM65" s="345"/>
      <c r="AN65" s="345"/>
      <c r="AO65" s="345"/>
      <c r="AP65" s="345"/>
      <c r="AQ65" s="345"/>
      <c r="AR65" s="345"/>
      <c r="AS65" s="345"/>
      <c r="AT65" s="345"/>
      <c r="AU65" s="345"/>
      <c r="AV65" s="345"/>
      <c r="AW65" s="345"/>
      <c r="AX65" s="345"/>
    </row>
    <row r="66" spans="1:50" ht="13.5" customHeight="1" x14ac:dyDescent="0.2">
      <c r="A66" s="418"/>
      <c r="B66" s="418"/>
      <c r="C66" s="418"/>
      <c r="D66" s="418"/>
      <c r="E66" s="418"/>
      <c r="F66" s="418"/>
      <c r="G66" s="462"/>
      <c r="H66" s="418"/>
      <c r="I66" s="418"/>
      <c r="J66" s="418"/>
      <c r="K66" s="418"/>
      <c r="L66" s="478"/>
      <c r="M66" s="345"/>
      <c r="N66" s="345"/>
      <c r="O66" s="345"/>
      <c r="P66" s="392"/>
      <c r="Q66" s="1301"/>
      <c r="R66" s="1300"/>
      <c r="S66" s="1300"/>
      <c r="T66" s="1298"/>
      <c r="U66" s="346"/>
      <c r="V66" s="345"/>
      <c r="W66" s="345"/>
      <c r="X66" s="345"/>
      <c r="Y66" s="345"/>
      <c r="Z66" s="345"/>
      <c r="AA66" s="345"/>
      <c r="AB66" s="345"/>
      <c r="AC66" s="345"/>
      <c r="AD66" s="345"/>
      <c r="AE66" s="345"/>
      <c r="AF66" s="345"/>
      <c r="AG66" s="345"/>
      <c r="AH66" s="345"/>
      <c r="AI66" s="345"/>
      <c r="AJ66" s="345"/>
      <c r="AK66" s="345"/>
      <c r="AL66" s="345"/>
      <c r="AM66" s="345"/>
      <c r="AN66" s="345"/>
      <c r="AO66" s="345"/>
      <c r="AP66" s="345"/>
      <c r="AQ66" s="345"/>
      <c r="AR66" s="345"/>
      <c r="AS66" s="345"/>
      <c r="AT66" s="345"/>
      <c r="AU66" s="345"/>
      <c r="AV66" s="345"/>
      <c r="AW66" s="345"/>
      <c r="AX66" s="345"/>
    </row>
    <row r="67" spans="1:50" ht="13.5" customHeight="1" x14ac:dyDescent="0.2">
      <c r="A67" s="418"/>
      <c r="B67" s="418"/>
      <c r="C67" s="418"/>
      <c r="D67" s="418"/>
      <c r="E67" s="418"/>
      <c r="F67" s="418"/>
      <c r="G67" s="462"/>
      <c r="H67" s="418"/>
      <c r="I67" s="418"/>
      <c r="J67" s="418"/>
      <c r="K67" s="418"/>
      <c r="L67" s="478"/>
      <c r="M67" s="345"/>
      <c r="N67" s="345"/>
      <c r="O67" s="345"/>
      <c r="P67" s="1295" t="s">
        <v>125</v>
      </c>
      <c r="Q67" s="1301"/>
      <c r="R67" s="1300"/>
      <c r="S67" s="1300"/>
      <c r="T67" s="1298"/>
      <c r="U67" s="346"/>
      <c r="V67" s="345"/>
      <c r="W67" s="345"/>
      <c r="X67" s="345"/>
      <c r="Y67" s="345"/>
      <c r="Z67" s="345"/>
      <c r="AA67" s="345"/>
      <c r="AB67" s="345"/>
      <c r="AC67" s="345"/>
      <c r="AD67" s="345"/>
      <c r="AE67" s="345"/>
      <c r="AF67" s="345"/>
      <c r="AG67" s="345"/>
      <c r="AH67" s="345"/>
      <c r="AI67" s="345"/>
      <c r="AJ67" s="345"/>
      <c r="AK67" s="345"/>
      <c r="AL67" s="345"/>
      <c r="AM67" s="345"/>
      <c r="AN67" s="345"/>
      <c r="AO67" s="345"/>
      <c r="AP67" s="345"/>
      <c r="AQ67" s="345"/>
      <c r="AR67" s="345"/>
      <c r="AS67" s="345"/>
      <c r="AT67" s="345"/>
      <c r="AU67" s="345"/>
      <c r="AV67" s="345"/>
      <c r="AW67" s="345"/>
      <c r="AX67" s="345"/>
    </row>
    <row r="68" spans="1:50" ht="13.5" customHeight="1" x14ac:dyDescent="0.2">
      <c r="A68" s="418"/>
      <c r="B68" s="418"/>
      <c r="C68" s="418"/>
      <c r="D68" s="418"/>
      <c r="E68" s="418"/>
      <c r="F68" s="418"/>
      <c r="G68" s="462"/>
      <c r="H68" s="418"/>
      <c r="I68" s="418"/>
      <c r="J68" s="418"/>
      <c r="K68" s="418"/>
      <c r="L68" s="478"/>
      <c r="M68" s="345"/>
      <c r="N68" s="345"/>
      <c r="O68" s="345"/>
      <c r="P68" s="213" t="s">
        <v>139</v>
      </c>
      <c r="Q68" s="1304" t="s">
        <v>1586</v>
      </c>
      <c r="R68" s="1388">
        <f>C9</f>
        <v>300</v>
      </c>
      <c r="S68" s="1303"/>
      <c r="T68" s="1409">
        <f>R68-297.5</f>
        <v>2.5</v>
      </c>
      <c r="U68" s="346"/>
      <c r="V68" s="345"/>
      <c r="W68" s="345"/>
      <c r="X68" s="345"/>
      <c r="Y68" s="345"/>
      <c r="Z68" s="345"/>
      <c r="AA68" s="345"/>
      <c r="AB68" s="345"/>
      <c r="AC68" s="345"/>
      <c r="AD68" s="345"/>
      <c r="AE68" s="345"/>
      <c r="AF68" s="345"/>
      <c r="AG68" s="345"/>
      <c r="AH68" s="345"/>
      <c r="AI68" s="345"/>
      <c r="AJ68" s="345"/>
      <c r="AK68" s="345"/>
      <c r="AL68" s="345"/>
      <c r="AM68" s="345"/>
      <c r="AN68" s="345"/>
      <c r="AO68" s="345"/>
      <c r="AP68" s="345"/>
      <c r="AQ68" s="345"/>
      <c r="AR68" s="345"/>
      <c r="AS68" s="345"/>
      <c r="AT68" s="345"/>
      <c r="AU68" s="345"/>
      <c r="AV68" s="345"/>
      <c r="AW68" s="345"/>
      <c r="AX68" s="345"/>
    </row>
    <row r="69" spans="1:50" ht="13.5" customHeight="1" x14ac:dyDescent="0.2">
      <c r="A69" s="418"/>
      <c r="B69" s="418"/>
      <c r="C69" s="418"/>
      <c r="D69" s="418"/>
      <c r="E69" s="418"/>
      <c r="F69" s="418"/>
      <c r="G69" s="462"/>
      <c r="H69" s="418"/>
      <c r="I69" s="418"/>
      <c r="J69" s="418"/>
      <c r="K69" s="418"/>
      <c r="L69" s="478"/>
      <c r="M69" s="345"/>
      <c r="N69" s="345"/>
      <c r="O69" s="345"/>
      <c r="P69" s="369" t="s">
        <v>138</v>
      </c>
      <c r="Q69" s="1303" t="s">
        <v>1589</v>
      </c>
      <c r="R69" s="1389">
        <f>C10-C14</f>
        <v>22</v>
      </c>
      <c r="S69" s="1305"/>
      <c r="T69" s="1298">
        <f>R69-22.5</f>
        <v>-0.5</v>
      </c>
      <c r="U69" s="346"/>
      <c r="V69" s="345"/>
      <c r="W69" s="345"/>
      <c r="X69" s="345"/>
      <c r="Y69" s="345"/>
      <c r="Z69" s="345"/>
      <c r="AA69" s="345"/>
      <c r="AB69" s="345"/>
      <c r="AC69" s="345"/>
      <c r="AD69" s="345"/>
      <c r="AE69" s="345"/>
      <c r="AF69" s="345"/>
      <c r="AG69" s="345"/>
      <c r="AH69" s="345"/>
      <c r="AI69" s="345"/>
      <c r="AJ69" s="345"/>
      <c r="AK69" s="345"/>
      <c r="AL69" s="345"/>
      <c r="AM69" s="345"/>
      <c r="AN69" s="345"/>
      <c r="AO69" s="345"/>
      <c r="AP69" s="345"/>
      <c r="AQ69" s="345"/>
      <c r="AR69" s="345"/>
      <c r="AS69" s="345"/>
      <c r="AT69" s="345"/>
      <c r="AU69" s="345"/>
      <c r="AV69" s="345"/>
      <c r="AW69" s="345"/>
      <c r="AX69" s="345"/>
    </row>
    <row r="70" spans="1:50" ht="13.5" customHeight="1" x14ac:dyDescent="0.2">
      <c r="A70" s="418"/>
      <c r="B70" s="418"/>
      <c r="C70" s="418"/>
      <c r="D70" s="418"/>
      <c r="E70" s="418"/>
      <c r="F70" s="418"/>
      <c r="G70" s="462"/>
      <c r="H70" s="418"/>
      <c r="I70" s="418"/>
      <c r="J70" s="418"/>
      <c r="K70" s="418"/>
      <c r="L70" s="478"/>
      <c r="M70" s="345"/>
      <c r="N70" s="345"/>
      <c r="O70" s="345"/>
      <c r="S70" s="1300"/>
      <c r="T70" s="1298"/>
      <c r="U70" s="346"/>
      <c r="V70" s="345"/>
      <c r="W70" s="345"/>
      <c r="X70" s="345"/>
      <c r="Y70" s="345"/>
      <c r="Z70" s="345"/>
      <c r="AA70" s="345"/>
      <c r="AB70" s="345"/>
      <c r="AC70" s="345"/>
      <c r="AD70" s="345"/>
      <c r="AE70" s="345"/>
      <c r="AF70" s="345"/>
      <c r="AG70" s="345"/>
      <c r="AH70" s="345"/>
      <c r="AI70" s="345"/>
      <c r="AJ70" s="345"/>
      <c r="AK70" s="345"/>
      <c r="AL70" s="345"/>
      <c r="AM70" s="345"/>
      <c r="AN70" s="345"/>
      <c r="AO70" s="345"/>
      <c r="AP70" s="345"/>
      <c r="AQ70" s="345"/>
      <c r="AR70" s="345"/>
      <c r="AS70" s="345"/>
      <c r="AT70" s="345"/>
      <c r="AU70" s="345"/>
      <c r="AV70" s="345"/>
      <c r="AW70" s="345"/>
      <c r="AX70" s="345"/>
    </row>
    <row r="71" spans="1:50" ht="13.5" customHeight="1" x14ac:dyDescent="0.2">
      <c r="A71" s="418"/>
      <c r="B71" s="418"/>
      <c r="C71" s="418"/>
      <c r="D71" s="418"/>
      <c r="E71" s="418"/>
      <c r="F71" s="418"/>
      <c r="G71" s="462"/>
      <c r="H71" s="418"/>
      <c r="I71" s="418"/>
      <c r="J71" s="418"/>
      <c r="K71" s="418"/>
      <c r="L71" s="478"/>
      <c r="M71" s="345"/>
      <c r="N71" s="345"/>
      <c r="O71" s="345"/>
      <c r="P71" s="1295" t="s">
        <v>1931</v>
      </c>
      <c r="Q71" s="1303"/>
      <c r="R71" s="1300"/>
      <c r="S71" s="1300"/>
      <c r="T71" s="1298"/>
      <c r="U71" s="346"/>
      <c r="V71" s="345"/>
      <c r="W71" s="345"/>
      <c r="X71" s="345"/>
      <c r="Y71" s="345"/>
      <c r="Z71" s="345"/>
      <c r="AA71" s="345"/>
      <c r="AB71" s="345"/>
      <c r="AC71" s="345"/>
      <c r="AD71" s="345"/>
      <c r="AE71" s="345"/>
      <c r="AF71" s="345"/>
      <c r="AG71" s="345"/>
      <c r="AH71" s="345"/>
      <c r="AI71" s="345"/>
      <c r="AJ71" s="345"/>
      <c r="AL71" s="345"/>
      <c r="AM71" s="345"/>
      <c r="AN71" s="345"/>
      <c r="AO71" s="345"/>
      <c r="AP71" s="345"/>
      <c r="AQ71" s="345"/>
      <c r="AR71" s="345"/>
      <c r="AS71" s="345"/>
      <c r="AT71" s="345"/>
      <c r="AU71" s="345"/>
      <c r="AV71" s="345"/>
      <c r="AW71" s="345"/>
      <c r="AX71" s="345"/>
    </row>
    <row r="72" spans="1:50" ht="13.5" customHeight="1" x14ac:dyDescent="0.2">
      <c r="A72" s="418"/>
      <c r="B72" s="418"/>
      <c r="C72" s="418"/>
      <c r="D72" s="418"/>
      <c r="E72" s="418"/>
      <c r="F72" s="418"/>
      <c r="G72" s="462"/>
      <c r="H72" s="418"/>
      <c r="I72" s="418"/>
      <c r="J72" s="418"/>
      <c r="K72" s="418"/>
      <c r="L72" s="478"/>
      <c r="M72" s="345"/>
      <c r="N72" s="345"/>
      <c r="O72" s="345"/>
      <c r="P72" s="369" t="s">
        <v>140</v>
      </c>
      <c r="Q72" s="1305" t="s">
        <v>1473</v>
      </c>
      <c r="R72" s="1407">
        <f>C15</f>
        <v>147</v>
      </c>
      <c r="S72" s="1300"/>
      <c r="T72" s="1409">
        <f>R72-152.5</f>
        <v>-5.5</v>
      </c>
      <c r="U72" s="346"/>
      <c r="V72" s="345"/>
      <c r="W72" s="345"/>
      <c r="X72" s="345"/>
      <c r="Y72" s="345"/>
      <c r="Z72" s="345"/>
      <c r="AA72" s="345"/>
      <c r="AB72" s="345"/>
      <c r="AC72" s="345"/>
      <c r="AD72" s="345"/>
      <c r="AE72" s="345"/>
      <c r="AF72" s="345"/>
      <c r="AG72" s="345"/>
      <c r="AH72" s="345"/>
      <c r="AI72" s="345"/>
      <c r="AJ72" s="345"/>
      <c r="AK72" s="345"/>
      <c r="AL72" s="345"/>
      <c r="AM72" s="345"/>
      <c r="AN72" s="345"/>
      <c r="AO72" s="345"/>
      <c r="AP72" s="345"/>
      <c r="AQ72" s="345"/>
      <c r="AR72" s="345"/>
      <c r="AS72" s="345"/>
      <c r="AT72" s="345"/>
      <c r="AU72" s="345"/>
      <c r="AV72" s="345"/>
      <c r="AW72" s="345"/>
      <c r="AX72" s="345"/>
    </row>
    <row r="73" spans="1:50" ht="13.5" customHeight="1" x14ac:dyDescent="0.2">
      <c r="A73" s="418"/>
      <c r="B73" s="418"/>
      <c r="C73" s="418"/>
      <c r="D73" s="418"/>
      <c r="E73" s="418"/>
      <c r="F73" s="418"/>
      <c r="G73" s="462"/>
      <c r="H73" s="418"/>
      <c r="I73" s="418"/>
      <c r="J73" s="418"/>
      <c r="K73" s="418"/>
      <c r="L73" s="478"/>
      <c r="M73" s="345"/>
      <c r="N73" s="345"/>
      <c r="O73" s="345"/>
      <c r="P73" s="213" t="s">
        <v>141</v>
      </c>
      <c r="Q73" s="1304" t="s">
        <v>1590</v>
      </c>
      <c r="R73" s="1300">
        <f>+C21</f>
        <v>175</v>
      </c>
      <c r="S73" s="1300"/>
      <c r="T73" s="1298">
        <f>R73-170</f>
        <v>5</v>
      </c>
      <c r="U73" s="346"/>
      <c r="V73" s="345"/>
      <c r="W73" s="345"/>
      <c r="X73" s="345"/>
      <c r="Y73" s="345"/>
      <c r="Z73" s="345"/>
      <c r="AA73" s="345"/>
      <c r="AB73" s="345"/>
      <c r="AC73" s="345"/>
      <c r="AD73" s="345"/>
      <c r="AE73" s="345"/>
      <c r="AF73" s="345"/>
      <c r="AG73" s="345"/>
      <c r="AH73" s="345"/>
      <c r="AI73" s="345"/>
      <c r="AJ73" s="345"/>
      <c r="AK73" s="345"/>
      <c r="AL73" s="345"/>
      <c r="AM73" s="345"/>
      <c r="AN73" s="345"/>
      <c r="AO73" s="345"/>
      <c r="AP73" s="345"/>
      <c r="AQ73" s="345"/>
      <c r="AR73" s="345"/>
      <c r="AS73" s="345"/>
      <c r="AT73" s="345"/>
      <c r="AU73" s="345"/>
      <c r="AV73" s="345"/>
      <c r="AW73" s="345"/>
      <c r="AX73" s="345"/>
    </row>
    <row r="74" spans="1:50" ht="13.5" customHeight="1" x14ac:dyDescent="0.2">
      <c r="A74" s="418"/>
      <c r="B74" s="418"/>
      <c r="C74" s="418"/>
      <c r="D74" s="418"/>
      <c r="E74" s="418"/>
      <c r="F74" s="418"/>
      <c r="G74" s="462"/>
      <c r="H74" s="418"/>
      <c r="I74" s="418"/>
      <c r="J74" s="418"/>
      <c r="K74" s="418"/>
      <c r="L74" s="478"/>
      <c r="M74" s="345"/>
      <c r="N74" s="345"/>
      <c r="O74" s="345"/>
      <c r="P74" s="213" t="s">
        <v>89</v>
      </c>
      <c r="Q74" s="1303">
        <v>25</v>
      </c>
      <c r="R74" s="1300">
        <f>-SUM(C23:C24)</f>
        <v>29</v>
      </c>
      <c r="S74" s="1300"/>
      <c r="T74" s="1298">
        <f>R74-Q74</f>
        <v>4</v>
      </c>
      <c r="U74" s="346"/>
      <c r="V74" s="345"/>
      <c r="W74" s="345"/>
      <c r="X74" s="345"/>
      <c r="Y74" s="345"/>
      <c r="Z74" s="345"/>
      <c r="AA74" s="345"/>
      <c r="AB74" s="345"/>
      <c r="AC74" s="345"/>
      <c r="AD74" s="345"/>
      <c r="AE74" s="345"/>
      <c r="AF74" s="345"/>
      <c r="AG74" s="345"/>
      <c r="AH74" s="345"/>
      <c r="AI74" s="345"/>
      <c r="AJ74" s="345"/>
      <c r="AK74" s="345"/>
      <c r="AL74" s="345"/>
      <c r="AM74" s="345"/>
      <c r="AN74" s="345"/>
      <c r="AO74" s="345"/>
      <c r="AP74" s="345"/>
      <c r="AQ74" s="345"/>
      <c r="AR74" s="345"/>
      <c r="AS74" s="345"/>
      <c r="AT74" s="345"/>
      <c r="AU74" s="345"/>
      <c r="AV74" s="345"/>
      <c r="AW74" s="345"/>
      <c r="AX74" s="345"/>
    </row>
    <row r="75" spans="1:50" ht="13.5" customHeight="1" x14ac:dyDescent="0.2">
      <c r="A75" s="421"/>
      <c r="B75" s="418"/>
      <c r="C75" s="424"/>
      <c r="D75" s="424"/>
      <c r="E75" s="424"/>
      <c r="F75" s="424"/>
      <c r="G75" s="457"/>
      <c r="H75" s="477"/>
      <c r="I75" s="424"/>
      <c r="J75" s="424"/>
      <c r="K75" s="424"/>
      <c r="L75" s="465"/>
      <c r="M75" s="345"/>
      <c r="N75" s="345"/>
      <c r="O75" s="345"/>
      <c r="P75" s="213" t="s">
        <v>1294</v>
      </c>
      <c r="Q75" s="1303">
        <v>-5</v>
      </c>
      <c r="R75" s="1300">
        <f>+C26</f>
        <v>-1</v>
      </c>
      <c r="S75" s="1300"/>
      <c r="T75" s="1298">
        <f>R75-Q75</f>
        <v>4</v>
      </c>
      <c r="U75" s="346"/>
      <c r="V75" s="345"/>
      <c r="W75" s="345"/>
      <c r="X75" s="345"/>
      <c r="Y75" s="345"/>
      <c r="Z75" s="345"/>
      <c r="AA75" s="345"/>
      <c r="AB75" s="345"/>
      <c r="AC75" s="345"/>
      <c r="AD75" s="345"/>
      <c r="AE75" s="345"/>
      <c r="AF75" s="345"/>
      <c r="AG75" s="345"/>
      <c r="AH75" s="345"/>
      <c r="AI75" s="345"/>
      <c r="AJ75" s="345"/>
      <c r="AK75" s="345"/>
      <c r="AL75" s="345"/>
      <c r="AM75" s="345"/>
      <c r="AN75" s="345"/>
      <c r="AO75" s="345"/>
      <c r="AP75" s="345"/>
      <c r="AQ75" s="345"/>
      <c r="AR75" s="345"/>
      <c r="AS75" s="345"/>
      <c r="AT75" s="345"/>
      <c r="AU75" s="345"/>
      <c r="AV75" s="345"/>
      <c r="AW75" s="345"/>
      <c r="AX75" s="345"/>
    </row>
    <row r="76" spans="1:50" ht="5.25" customHeight="1" x14ac:dyDescent="0.2">
      <c r="A76" s="418"/>
      <c r="B76" s="418"/>
      <c r="C76" s="418"/>
      <c r="D76" s="418"/>
      <c r="E76" s="418"/>
      <c r="F76" s="418"/>
      <c r="G76" s="462"/>
      <c r="H76" s="418"/>
      <c r="I76" s="418"/>
      <c r="J76" s="418"/>
      <c r="K76" s="418"/>
      <c r="L76" s="478"/>
      <c r="M76" s="345"/>
      <c r="N76" s="345"/>
      <c r="O76" s="345"/>
      <c r="T76" s="1306"/>
      <c r="U76" s="346"/>
      <c r="V76" s="345"/>
      <c r="W76" s="345"/>
      <c r="X76" s="345"/>
      <c r="Y76" s="345"/>
      <c r="Z76" s="345"/>
      <c r="AA76" s="345"/>
      <c r="AB76" s="345"/>
      <c r="AC76" s="345"/>
      <c r="AD76" s="345"/>
      <c r="AE76" s="345"/>
      <c r="AF76" s="345"/>
      <c r="AG76" s="345"/>
      <c r="AH76" s="345"/>
      <c r="AI76" s="345"/>
      <c r="AJ76" s="345"/>
      <c r="AK76" s="345"/>
      <c r="AL76" s="345"/>
      <c r="AM76" s="345"/>
      <c r="AN76" s="345"/>
      <c r="AO76" s="345"/>
      <c r="AP76" s="345"/>
      <c r="AQ76" s="345"/>
      <c r="AR76" s="345"/>
      <c r="AS76" s="345"/>
      <c r="AT76" s="345"/>
      <c r="AU76" s="345"/>
      <c r="AV76" s="345"/>
      <c r="AW76" s="345"/>
      <c r="AX76" s="345"/>
    </row>
    <row r="77" spans="1:50" ht="6.75" customHeight="1" x14ac:dyDescent="0.2">
      <c r="A77" s="418"/>
      <c r="B77" s="418"/>
      <c r="C77" s="459"/>
      <c r="D77" s="459"/>
      <c r="E77" s="459"/>
      <c r="F77" s="418"/>
      <c r="G77" s="467"/>
      <c r="H77" s="418"/>
      <c r="I77" s="470"/>
      <c r="J77" s="459"/>
      <c r="K77" s="418"/>
      <c r="L77" s="467"/>
      <c r="M77" s="418"/>
      <c r="N77" s="418"/>
      <c r="O77" s="418"/>
      <c r="P77" s="418"/>
      <c r="Q77" s="418"/>
      <c r="R77" s="418"/>
      <c r="S77" s="418"/>
      <c r="T77" s="418"/>
      <c r="U77" s="418"/>
      <c r="V77" s="418"/>
      <c r="W77" s="418"/>
      <c r="X77" s="418"/>
      <c r="Y77" s="418"/>
      <c r="Z77" s="418"/>
      <c r="AA77" s="418"/>
      <c r="AB77" s="418"/>
      <c r="AC77" s="418"/>
      <c r="AD77" s="418"/>
      <c r="AE77" s="418"/>
      <c r="AF77" s="418"/>
      <c r="AG77" s="418"/>
      <c r="AH77" s="418"/>
      <c r="AI77" s="418"/>
      <c r="AJ77" s="418"/>
      <c r="AK77" s="418"/>
      <c r="AL77" s="418"/>
      <c r="AM77" s="418"/>
      <c r="AN77" s="418"/>
      <c r="AO77" s="418"/>
      <c r="AP77" s="418"/>
      <c r="AQ77" s="418"/>
      <c r="AR77" s="418"/>
      <c r="AS77" s="418"/>
      <c r="AT77" s="418"/>
      <c r="AU77" s="418"/>
      <c r="AV77" s="418"/>
      <c r="AW77" s="418"/>
      <c r="AX77" s="418"/>
    </row>
    <row r="78" spans="1:50" s="70" customFormat="1" ht="13.5" customHeight="1" x14ac:dyDescent="0.2">
      <c r="A78" s="418"/>
      <c r="B78" s="418"/>
      <c r="C78" s="460"/>
      <c r="D78" s="460"/>
      <c r="E78" s="423"/>
      <c r="F78" s="460"/>
      <c r="G78" s="467"/>
      <c r="H78" s="418"/>
      <c r="I78" s="471"/>
      <c r="J78" s="460"/>
      <c r="K78" s="423"/>
      <c r="L78" s="469"/>
      <c r="M78" s="418"/>
      <c r="N78" s="418"/>
      <c r="O78" s="418"/>
      <c r="P78" s="418"/>
      <c r="Q78" s="418"/>
      <c r="R78" s="418"/>
      <c r="S78" s="418"/>
      <c r="T78" s="418"/>
      <c r="U78" s="418"/>
      <c r="V78" s="248" t="s">
        <v>92</v>
      </c>
      <c r="AQ78" s="418"/>
      <c r="AR78" s="418"/>
      <c r="AS78" s="418"/>
      <c r="AT78" s="418"/>
      <c r="AU78" s="418"/>
      <c r="AV78" s="418"/>
      <c r="AW78" s="418"/>
      <c r="AX78" s="418"/>
    </row>
    <row r="79" spans="1:50" s="70" customFormat="1" ht="13.5" customHeight="1" x14ac:dyDescent="0.2">
      <c r="A79" s="418"/>
      <c r="B79" s="418"/>
      <c r="C79" s="460"/>
      <c r="D79" s="460"/>
      <c r="E79" s="423"/>
      <c r="F79" s="460"/>
      <c r="G79" s="467"/>
      <c r="H79" s="418"/>
      <c r="I79" s="471"/>
      <c r="J79" s="460"/>
      <c r="K79" s="423"/>
      <c r="L79" s="469"/>
      <c r="M79" s="418"/>
      <c r="N79" s="418"/>
      <c r="O79" s="418"/>
      <c r="P79" s="418"/>
      <c r="Q79" s="418"/>
      <c r="R79" s="418"/>
      <c r="S79" s="418"/>
      <c r="T79" s="418"/>
      <c r="U79" s="418"/>
      <c r="V79" s="275" t="s">
        <v>91</v>
      </c>
      <c r="AQ79" s="418"/>
      <c r="AR79" s="418"/>
      <c r="AS79" s="418"/>
      <c r="AT79" s="418"/>
      <c r="AU79" s="418"/>
      <c r="AV79" s="418"/>
      <c r="AW79" s="418"/>
      <c r="AX79" s="418"/>
    </row>
    <row r="80" spans="1:50" s="70" customFormat="1" ht="13.5" customHeight="1" x14ac:dyDescent="0.2">
      <c r="A80" s="418"/>
      <c r="B80" s="418"/>
      <c r="C80" s="460"/>
      <c r="D80" s="460"/>
      <c r="E80" s="423"/>
      <c r="F80" s="460"/>
      <c r="G80" s="467"/>
      <c r="H80" s="418"/>
      <c r="I80" s="471"/>
      <c r="J80" s="460"/>
      <c r="K80" s="423"/>
      <c r="L80" s="469"/>
      <c r="M80" s="418"/>
      <c r="N80" s="418"/>
      <c r="O80" s="418"/>
      <c r="P80" s="418"/>
      <c r="Q80" s="418"/>
      <c r="R80" s="418"/>
      <c r="S80" s="418"/>
      <c r="T80" s="418"/>
      <c r="U80" s="418"/>
      <c r="W80" s="1309" t="s">
        <v>731</v>
      </c>
      <c r="X80" s="1310"/>
      <c r="Y80" s="1309"/>
      <c r="Z80" s="1309"/>
      <c r="AA80" s="1309"/>
      <c r="AB80" s="1310"/>
      <c r="AC80" s="1309"/>
      <c r="AD80" s="1310"/>
      <c r="AE80" s="1310"/>
      <c r="AF80" s="1310"/>
      <c r="AG80" s="1310"/>
      <c r="AH80"/>
      <c r="AI80" s="390"/>
      <c r="AJ80" s="390"/>
      <c r="AK80" s="390"/>
      <c r="AL80" s="390"/>
      <c r="AM80" s="390"/>
      <c r="AN80" s="390"/>
      <c r="AO80" s="390"/>
      <c r="AP80" s="390"/>
      <c r="AQ80" s="418"/>
      <c r="AR80" s="418"/>
      <c r="AS80" s="418"/>
      <c r="AT80" s="418"/>
      <c r="AU80" s="418"/>
      <c r="AV80" s="418"/>
      <c r="AW80" s="418"/>
      <c r="AX80" s="418"/>
    </row>
    <row r="81" spans="1:50" s="70" customFormat="1" ht="13.5" customHeight="1" x14ac:dyDescent="0.2">
      <c r="A81" s="418"/>
      <c r="B81" s="418"/>
      <c r="C81" s="460"/>
      <c r="D81" s="460"/>
      <c r="E81" s="423"/>
      <c r="F81" s="460"/>
      <c r="G81" s="467"/>
      <c r="H81" s="418"/>
      <c r="I81" s="471"/>
      <c r="J81" s="460"/>
      <c r="K81" s="423"/>
      <c r="L81" s="469"/>
      <c r="M81" s="418"/>
      <c r="N81" s="418"/>
      <c r="O81" s="418"/>
      <c r="P81" s="418"/>
      <c r="Q81" s="418"/>
      <c r="R81" s="418"/>
      <c r="S81" s="418"/>
      <c r="T81" s="418"/>
      <c r="U81" s="418"/>
      <c r="V81" s="394"/>
      <c r="W81" s="1309" t="s">
        <v>1543</v>
      </c>
      <c r="X81" s="1309"/>
      <c r="Y81" s="1309"/>
      <c r="Z81" s="390"/>
      <c r="AA81" s="1309" t="s">
        <v>1544</v>
      </c>
      <c r="AB81" s="1309"/>
      <c r="AC81" s="1309"/>
      <c r="AD81" s="537"/>
      <c r="AE81" s="1324" t="s">
        <v>287</v>
      </c>
      <c r="AF81" s="1325"/>
      <c r="AG81" s="1326"/>
      <c r="AH81" s="537"/>
      <c r="AI81" s="390" t="s">
        <v>98</v>
      </c>
      <c r="AJ81" s="390"/>
      <c r="AK81" s="390"/>
      <c r="AL81" s="390"/>
      <c r="AM81" s="390"/>
      <c r="AN81" s="390"/>
      <c r="AO81" s="390"/>
      <c r="AP81" s="390"/>
      <c r="AQ81" s="418"/>
      <c r="AR81" s="418"/>
      <c r="AS81" s="418"/>
      <c r="AT81" s="418"/>
      <c r="AU81" s="418"/>
      <c r="AV81" s="418"/>
      <c r="AW81" s="418"/>
      <c r="AX81" s="418"/>
    </row>
    <row r="82" spans="1:50" s="70" customFormat="1" ht="13.5" customHeight="1" x14ac:dyDescent="0.2">
      <c r="A82" s="418"/>
      <c r="B82" s="418"/>
      <c r="C82" s="460"/>
      <c r="D82" s="460"/>
      <c r="E82" s="423"/>
      <c r="F82" s="460"/>
      <c r="G82" s="467"/>
      <c r="H82" s="418"/>
      <c r="I82" s="471"/>
      <c r="J82" s="460"/>
      <c r="K82" s="423"/>
      <c r="L82" s="469"/>
      <c r="M82" s="418"/>
      <c r="N82" s="418"/>
      <c r="O82" s="418"/>
      <c r="P82" s="418"/>
      <c r="Q82" s="418"/>
      <c r="R82" s="418"/>
      <c r="S82" s="418"/>
      <c r="T82" s="418"/>
      <c r="U82" s="418"/>
      <c r="V82" s="394"/>
      <c r="W82" s="1312" t="s">
        <v>573</v>
      </c>
      <c r="X82" s="1312"/>
      <c r="Y82" s="1312" t="s">
        <v>574</v>
      </c>
      <c r="Z82" s="390"/>
      <c r="AA82" s="1312" t="s">
        <v>573</v>
      </c>
      <c r="AB82" s="1312"/>
      <c r="AC82" s="1312" t="s">
        <v>574</v>
      </c>
      <c r="AD82" s="537"/>
      <c r="AE82" s="1327" t="s">
        <v>573</v>
      </c>
      <c r="AF82" s="1312"/>
      <c r="AG82" s="1328" t="s">
        <v>574</v>
      </c>
      <c r="AH82" s="537"/>
      <c r="AI82" s="1" t="s">
        <v>1142</v>
      </c>
      <c r="AJ82" s="390"/>
      <c r="AK82" s="390"/>
      <c r="AL82" s="390"/>
      <c r="AM82" s="390"/>
      <c r="AN82" s="390"/>
      <c r="AO82" s="390"/>
      <c r="AP82" s="390"/>
      <c r="AQ82" s="418"/>
      <c r="AR82" s="418"/>
      <c r="AS82" s="418"/>
      <c r="AT82" s="418"/>
      <c r="AU82" s="418"/>
      <c r="AV82" s="418"/>
      <c r="AW82" s="418"/>
      <c r="AX82" s="418"/>
    </row>
    <row r="83" spans="1:50" s="70" customFormat="1" ht="13.5" customHeight="1" x14ac:dyDescent="0.2">
      <c r="A83" s="418"/>
      <c r="B83" s="418"/>
      <c r="C83" s="460"/>
      <c r="D83" s="460"/>
      <c r="E83" s="423"/>
      <c r="F83" s="460"/>
      <c r="G83" s="467"/>
      <c r="H83" s="418"/>
      <c r="I83" s="471"/>
      <c r="J83" s="460"/>
      <c r="K83" s="423"/>
      <c r="L83" s="469"/>
      <c r="M83" s="418"/>
      <c r="N83" s="418"/>
      <c r="O83" s="418"/>
      <c r="P83" s="418"/>
      <c r="Q83" s="418"/>
      <c r="R83" s="418"/>
      <c r="S83" s="418"/>
      <c r="T83" s="418"/>
      <c r="U83" s="418"/>
      <c r="V83" s="394"/>
      <c r="W83" s="1312"/>
      <c r="X83" s="1312"/>
      <c r="Y83" s="1312"/>
      <c r="Z83" s="390"/>
      <c r="AA83" s="1312"/>
      <c r="AB83" s="1312"/>
      <c r="AC83" s="1312"/>
      <c r="AD83" s="537"/>
      <c r="AE83" s="1327"/>
      <c r="AF83" s="1312"/>
      <c r="AG83" s="1328"/>
      <c r="AH83" s="537"/>
      <c r="AI83" s="390"/>
      <c r="AJ83" s="390"/>
      <c r="AK83" s="390"/>
      <c r="AL83" s="390"/>
      <c r="AM83" s="390"/>
      <c r="AN83" s="390"/>
      <c r="AO83" s="390"/>
      <c r="AP83" s="390"/>
      <c r="AQ83" s="418"/>
      <c r="AR83" s="418"/>
      <c r="AS83" s="418"/>
      <c r="AT83" s="418"/>
      <c r="AU83" s="418"/>
      <c r="AV83" s="418"/>
      <c r="AW83" s="418"/>
      <c r="AX83" s="418"/>
    </row>
    <row r="84" spans="1:50" s="70" customFormat="1" ht="13.5" customHeight="1" x14ac:dyDescent="0.2">
      <c r="A84" s="418"/>
      <c r="B84" s="418"/>
      <c r="C84" s="460"/>
      <c r="D84" s="460"/>
      <c r="E84" s="423"/>
      <c r="F84" s="460"/>
      <c r="G84" s="467"/>
      <c r="H84" s="418"/>
      <c r="I84" s="471"/>
      <c r="J84" s="460"/>
      <c r="K84" s="423"/>
      <c r="L84" s="469"/>
      <c r="M84" s="418"/>
      <c r="N84" s="418"/>
      <c r="O84" s="418"/>
      <c r="P84" s="418"/>
      <c r="Q84" s="418"/>
      <c r="R84" s="418"/>
      <c r="S84" s="418"/>
      <c r="T84" s="418"/>
      <c r="U84" s="418"/>
      <c r="V84" s="1348" t="s">
        <v>95</v>
      </c>
      <c r="W84" s="1352">
        <v>1420</v>
      </c>
      <c r="X84" s="1343" t="s">
        <v>2067</v>
      </c>
      <c r="Y84" s="1352">
        <v>1490</v>
      </c>
      <c r="Z84" s="1349"/>
      <c r="AA84" s="1352">
        <v>1410</v>
      </c>
      <c r="AB84" s="1343" t="s">
        <v>2067</v>
      </c>
      <c r="AC84" s="1352">
        <v>1450</v>
      </c>
      <c r="AD84" s="1349"/>
      <c r="AE84" s="1353">
        <v>1425</v>
      </c>
      <c r="AF84" s="1343" t="s">
        <v>2067</v>
      </c>
      <c r="AG84" s="1354">
        <v>1465</v>
      </c>
      <c r="AH84" s="1349"/>
      <c r="AI84" s="1411">
        <f t="shared" ref="AI84:AI89" si="8">AVERAGE(AE84,AG84)-AVERAGE(AC84,AA84)</f>
        <v>15</v>
      </c>
      <c r="AJ84" s="390"/>
      <c r="AK84" s="311">
        <f>1445/MAR!BP10-1</f>
        <v>0.10558530986993109</v>
      </c>
      <c r="AL84" s="390"/>
      <c r="AM84" s="390"/>
      <c r="AN84" s="390"/>
      <c r="AO84" s="390"/>
      <c r="AP84" s="390"/>
      <c r="AQ84" s="418"/>
      <c r="AR84" s="418"/>
      <c r="AS84" s="418"/>
      <c r="AT84" s="418"/>
      <c r="AU84" s="418"/>
      <c r="AV84" s="418"/>
      <c r="AW84" s="418"/>
      <c r="AX84" s="418"/>
    </row>
    <row r="85" spans="1:50" s="70" customFormat="1" ht="13.5" customHeight="1" x14ac:dyDescent="0.2">
      <c r="A85" s="418"/>
      <c r="B85" s="418"/>
      <c r="C85" s="460"/>
      <c r="D85" s="460"/>
      <c r="E85" s="423"/>
      <c r="F85" s="460"/>
      <c r="G85" s="467"/>
      <c r="H85" s="418"/>
      <c r="I85" s="471"/>
      <c r="J85" s="460"/>
      <c r="K85" s="423"/>
      <c r="L85" s="469"/>
      <c r="M85" s="418"/>
      <c r="N85" s="418"/>
      <c r="O85" s="418"/>
      <c r="P85" s="418"/>
      <c r="Q85" s="418"/>
      <c r="R85" s="418"/>
      <c r="S85" s="418"/>
      <c r="T85" s="418"/>
      <c r="U85" s="418"/>
      <c r="V85" s="369" t="s">
        <v>1584</v>
      </c>
      <c r="W85" s="1316">
        <v>130</v>
      </c>
      <c r="X85" s="1315" t="s">
        <v>2067</v>
      </c>
      <c r="Y85" s="1316">
        <v>150</v>
      </c>
      <c r="Z85" s="1316"/>
      <c r="AA85" s="1316">
        <v>130</v>
      </c>
      <c r="AB85" s="1315" t="s">
        <v>2067</v>
      </c>
      <c r="AC85" s="1316">
        <v>140</v>
      </c>
      <c r="AD85" s="1316"/>
      <c r="AE85" s="1329">
        <v>140</v>
      </c>
      <c r="AF85" s="1315" t="s">
        <v>2067</v>
      </c>
      <c r="AG85" s="1330">
        <v>145</v>
      </c>
      <c r="AH85" s="1316"/>
      <c r="AI85" s="1358">
        <f t="shared" si="8"/>
        <v>7.5</v>
      </c>
      <c r="AJ85" s="390"/>
      <c r="AK85" s="390"/>
      <c r="AL85" s="390"/>
      <c r="AM85" s="390"/>
      <c r="AN85" s="390"/>
      <c r="AO85" s="390"/>
      <c r="AP85" s="390"/>
      <c r="AQ85" s="418"/>
      <c r="AR85" s="418"/>
      <c r="AS85" s="418"/>
      <c r="AT85" s="418"/>
      <c r="AU85" s="418"/>
      <c r="AV85" s="418"/>
      <c r="AW85" s="418"/>
      <c r="AX85" s="418"/>
    </row>
    <row r="86" spans="1:50" s="70" customFormat="1" ht="13.5" customHeight="1" x14ac:dyDescent="0.2">
      <c r="A86" s="418"/>
      <c r="B86" s="418"/>
      <c r="C86" s="460"/>
      <c r="D86" s="460"/>
      <c r="E86" s="423"/>
      <c r="F86" s="460"/>
      <c r="G86" s="467"/>
      <c r="H86" s="418"/>
      <c r="I86" s="471"/>
      <c r="J86" s="460"/>
      <c r="K86" s="423"/>
      <c r="L86" s="469"/>
      <c r="M86" s="418"/>
      <c r="N86" s="418"/>
      <c r="O86" s="418"/>
      <c r="P86" s="418"/>
      <c r="Q86" s="418"/>
      <c r="R86" s="418"/>
      <c r="S86" s="418"/>
      <c r="T86" s="418"/>
      <c r="U86" s="418"/>
      <c r="V86" s="1348" t="s">
        <v>1863</v>
      </c>
      <c r="W86" s="1344"/>
      <c r="X86" s="1343" t="s">
        <v>2067</v>
      </c>
      <c r="Y86" s="1344"/>
      <c r="Z86" s="1344"/>
      <c r="AA86" s="1349">
        <v>1090</v>
      </c>
      <c r="AB86" s="1343" t="s">
        <v>2067</v>
      </c>
      <c r="AC86" s="1349">
        <v>1150</v>
      </c>
      <c r="AD86" s="1349"/>
      <c r="AE86" s="1350">
        <v>1105</v>
      </c>
      <c r="AF86" s="1343" t="s">
        <v>2067</v>
      </c>
      <c r="AG86" s="1351">
        <v>1160</v>
      </c>
      <c r="AH86" s="1349"/>
      <c r="AI86" s="1357">
        <f t="shared" si="8"/>
        <v>12.5</v>
      </c>
      <c r="AJ86" s="390"/>
      <c r="AK86" s="390"/>
      <c r="AL86" s="390"/>
      <c r="AM86" s="390"/>
      <c r="AN86" s="390"/>
      <c r="AO86" s="390"/>
      <c r="AP86" s="390"/>
      <c r="AQ86" s="418"/>
      <c r="AR86" s="418"/>
      <c r="AS86" s="418"/>
      <c r="AT86" s="418"/>
      <c r="AU86" s="418"/>
      <c r="AV86" s="418"/>
      <c r="AW86" s="418"/>
      <c r="AX86" s="418"/>
    </row>
    <row r="87" spans="1:50" s="70" customFormat="1" ht="13.5" customHeight="1" x14ac:dyDescent="0.2">
      <c r="A87" s="418"/>
      <c r="B87" s="418"/>
      <c r="C87" s="460"/>
      <c r="D87" s="460"/>
      <c r="E87" s="423"/>
      <c r="F87" s="460"/>
      <c r="G87" s="467"/>
      <c r="H87" s="418"/>
      <c r="I87" s="471"/>
      <c r="J87" s="460"/>
      <c r="K87" s="423"/>
      <c r="L87" s="469"/>
      <c r="M87" s="418"/>
      <c r="N87" s="418"/>
      <c r="O87" s="418"/>
      <c r="P87" s="418"/>
      <c r="Q87" s="418"/>
      <c r="R87" s="418"/>
      <c r="S87" s="418"/>
      <c r="T87" s="418"/>
      <c r="U87" s="418"/>
      <c r="V87" s="369" t="s">
        <v>140</v>
      </c>
      <c r="W87" s="1316">
        <v>660</v>
      </c>
      <c r="X87" s="1315" t="s">
        <v>2067</v>
      </c>
      <c r="Y87" s="1316">
        <v>675</v>
      </c>
      <c r="Z87" s="1316"/>
      <c r="AA87" s="1316">
        <v>660</v>
      </c>
      <c r="AB87" s="1315" t="s">
        <v>2067</v>
      </c>
      <c r="AC87" s="1316">
        <v>670</v>
      </c>
      <c r="AD87" s="1316"/>
      <c r="AE87" s="1329">
        <v>660</v>
      </c>
      <c r="AF87" s="1315" t="s">
        <v>2067</v>
      </c>
      <c r="AG87" s="1330">
        <v>670</v>
      </c>
      <c r="AH87" s="1316"/>
      <c r="AI87" s="1358">
        <f t="shared" si="8"/>
        <v>0</v>
      </c>
      <c r="AJ87" s="390"/>
      <c r="AK87" s="390"/>
      <c r="AL87" s="390"/>
      <c r="AM87" s="390"/>
      <c r="AN87" s="390"/>
      <c r="AO87" s="390"/>
      <c r="AP87" s="390"/>
      <c r="AQ87" s="418"/>
      <c r="AR87" s="418"/>
      <c r="AS87" s="418"/>
      <c r="AT87" s="418"/>
      <c r="AU87" s="418"/>
      <c r="AV87" s="418"/>
      <c r="AW87" s="418"/>
      <c r="AX87" s="418"/>
    </row>
    <row r="88" spans="1:50" s="70" customFormat="1" ht="13.5" customHeight="1" x14ac:dyDescent="0.2">
      <c r="A88" s="418"/>
      <c r="B88" s="418"/>
      <c r="C88" s="460"/>
      <c r="D88" s="460"/>
      <c r="E88" s="423"/>
      <c r="F88" s="460"/>
      <c r="G88" s="467"/>
      <c r="H88" s="418"/>
      <c r="I88" s="471"/>
      <c r="J88" s="460"/>
      <c r="K88" s="423"/>
      <c r="L88" s="469"/>
      <c r="M88" s="418"/>
      <c r="N88" s="418"/>
      <c r="O88" s="418"/>
      <c r="P88" s="418"/>
      <c r="Q88" s="418"/>
      <c r="R88" s="418"/>
      <c r="S88" s="418"/>
      <c r="T88" s="418"/>
      <c r="U88" s="418"/>
      <c r="V88" s="213" t="s">
        <v>141</v>
      </c>
      <c r="W88" s="1316"/>
      <c r="X88" s="1315" t="s">
        <v>2067</v>
      </c>
      <c r="Y88" s="1316"/>
      <c r="Z88" s="1316"/>
      <c r="AA88" s="1316">
        <v>870</v>
      </c>
      <c r="AB88" s="1315" t="s">
        <v>2067</v>
      </c>
      <c r="AC88" s="1316">
        <v>930</v>
      </c>
      <c r="AD88" s="1316"/>
      <c r="AE88" s="1329">
        <v>895</v>
      </c>
      <c r="AF88" s="1315" t="s">
        <v>2067</v>
      </c>
      <c r="AG88" s="1330">
        <v>950</v>
      </c>
      <c r="AH88" s="1316"/>
      <c r="AI88" s="1358">
        <f t="shared" si="8"/>
        <v>22.5</v>
      </c>
      <c r="AJ88" s="390"/>
      <c r="AK88" s="390"/>
      <c r="AL88" s="390"/>
      <c r="AM88" s="390"/>
      <c r="AN88" s="390"/>
      <c r="AO88" s="390"/>
      <c r="AP88" s="390"/>
      <c r="AQ88" s="418"/>
      <c r="AR88" s="418"/>
      <c r="AS88" s="418"/>
      <c r="AT88" s="418"/>
      <c r="AU88" s="418"/>
      <c r="AV88" s="418"/>
      <c r="AW88" s="418"/>
      <c r="AX88" s="418"/>
    </row>
    <row r="89" spans="1:50" s="70" customFormat="1" ht="13.5" customHeight="1" x14ac:dyDescent="0.2">
      <c r="A89" s="418"/>
      <c r="B89" s="418"/>
      <c r="C89" s="460"/>
      <c r="D89" s="460"/>
      <c r="E89" s="423"/>
      <c r="F89" s="460"/>
      <c r="G89" s="467"/>
      <c r="H89" s="418"/>
      <c r="I89" s="471"/>
      <c r="J89" s="460"/>
      <c r="K89" s="423"/>
      <c r="L89" s="469"/>
      <c r="M89" s="418"/>
      <c r="N89" s="418"/>
      <c r="O89" s="418"/>
      <c r="P89" s="418"/>
      <c r="Q89" s="418"/>
      <c r="R89" s="418"/>
      <c r="S89" s="418"/>
      <c r="T89" s="418"/>
      <c r="U89" s="418"/>
      <c r="V89" s="1341" t="s">
        <v>1253</v>
      </c>
      <c r="W89" s="1342">
        <v>1.48</v>
      </c>
      <c r="X89" s="1343" t="s">
        <v>2067</v>
      </c>
      <c r="Y89" s="1342">
        <v>1.68</v>
      </c>
      <c r="Z89" s="1344"/>
      <c r="AA89" s="1342">
        <v>1.52</v>
      </c>
      <c r="AB89" s="1343" t="s">
        <v>2067</v>
      </c>
      <c r="AC89" s="1342">
        <v>1.64</v>
      </c>
      <c r="AD89" s="1345"/>
      <c r="AE89" s="1346">
        <v>1.58</v>
      </c>
      <c r="AF89" s="1343" t="s">
        <v>2067</v>
      </c>
      <c r="AG89" s="1347">
        <v>1.69</v>
      </c>
      <c r="AH89" s="1345"/>
      <c r="AI89" s="1412">
        <f t="shared" si="8"/>
        <v>5.4999999999999938E-2</v>
      </c>
      <c r="AJ89" s="390"/>
      <c r="AK89" s="390"/>
      <c r="AL89" s="390"/>
      <c r="AM89" s="390"/>
      <c r="AN89" s="390"/>
      <c r="AO89" s="390"/>
      <c r="AP89" s="390"/>
      <c r="AQ89" s="418"/>
      <c r="AR89" s="418"/>
      <c r="AS89" s="418"/>
      <c r="AT89" s="418"/>
      <c r="AU89" s="418"/>
      <c r="AV89" s="418"/>
      <c r="AW89" s="418"/>
      <c r="AX89" s="418"/>
    </row>
    <row r="90" spans="1:50" s="70" customFormat="1" ht="13.5" customHeight="1" x14ac:dyDescent="0.2">
      <c r="A90" s="418"/>
      <c r="B90" s="418"/>
      <c r="C90" s="460"/>
      <c r="D90" s="460"/>
      <c r="E90" s="423"/>
      <c r="F90" s="460"/>
      <c r="G90" s="467"/>
      <c r="H90" s="418"/>
      <c r="I90" s="471"/>
      <c r="J90" s="460"/>
      <c r="K90" s="423"/>
      <c r="L90" s="469"/>
      <c r="M90" s="418"/>
      <c r="N90" s="418"/>
      <c r="O90" s="418"/>
      <c r="P90" s="418"/>
      <c r="Q90" s="418"/>
      <c r="R90" s="418"/>
      <c r="S90" s="418"/>
      <c r="T90" s="418"/>
      <c r="U90" s="418"/>
      <c r="V90" s="394"/>
      <c r="W90" s="1318"/>
      <c r="X90" s="1318"/>
      <c r="Y90" s="1318"/>
      <c r="Z90" s="1317"/>
      <c r="AA90" s="1318"/>
      <c r="AB90" s="1318"/>
      <c r="AC90" s="1318"/>
      <c r="AD90" s="1319"/>
      <c r="AE90" s="1331"/>
      <c r="AF90" s="1318"/>
      <c r="AG90" s="1332"/>
      <c r="AH90" s="1319"/>
      <c r="AI90" s="1317"/>
      <c r="AJ90" s="390"/>
      <c r="AK90" s="390"/>
      <c r="AL90" s="390"/>
      <c r="AM90" s="390"/>
      <c r="AN90" s="390"/>
      <c r="AO90" s="390"/>
      <c r="AP90" s="390"/>
      <c r="AQ90" s="418"/>
      <c r="AR90" s="418"/>
      <c r="AS90" s="418"/>
      <c r="AT90" s="418"/>
      <c r="AU90" s="418"/>
      <c r="AV90" s="418"/>
      <c r="AW90" s="418"/>
      <c r="AX90" s="418"/>
    </row>
    <row r="91" spans="1:50" s="70" customFormat="1" ht="13.5" customHeight="1" x14ac:dyDescent="0.2">
      <c r="A91" s="418"/>
      <c r="B91" s="418"/>
      <c r="C91" s="460"/>
      <c r="D91" s="460"/>
      <c r="E91" s="423"/>
      <c r="F91" s="460"/>
      <c r="G91" s="467"/>
      <c r="H91" s="418"/>
      <c r="I91" s="471"/>
      <c r="J91" s="460"/>
      <c r="K91" s="423"/>
      <c r="L91" s="469"/>
      <c r="M91" s="418"/>
      <c r="N91" s="418"/>
      <c r="O91" s="418"/>
      <c r="P91" s="418"/>
      <c r="Q91" s="418"/>
      <c r="R91" s="418"/>
      <c r="S91" s="418"/>
      <c r="T91" s="418"/>
      <c r="U91" s="418"/>
      <c r="V91" s="563" t="s">
        <v>373</v>
      </c>
      <c r="W91" s="1317"/>
      <c r="X91" s="1317"/>
      <c r="Y91" s="1317"/>
      <c r="Z91" s="1317"/>
      <c r="AA91" s="1317"/>
      <c r="AB91" s="1317"/>
      <c r="AC91" s="1317"/>
      <c r="AD91" s="1317"/>
      <c r="AE91" s="1333"/>
      <c r="AF91" s="1317"/>
      <c r="AG91" s="1334"/>
      <c r="AH91" s="1317"/>
      <c r="AI91" s="1317"/>
      <c r="AJ91" s="390"/>
      <c r="AK91" s="390"/>
      <c r="AL91" s="390"/>
      <c r="AM91" s="390"/>
      <c r="AN91" s="390"/>
      <c r="AO91" s="390"/>
      <c r="AP91" s="390"/>
      <c r="AQ91" s="418"/>
      <c r="AR91" s="418"/>
      <c r="AS91" s="418"/>
      <c r="AT91" s="418"/>
      <c r="AU91" s="418"/>
      <c r="AV91" s="418"/>
      <c r="AW91" s="418"/>
      <c r="AX91" s="418"/>
    </row>
    <row r="92" spans="1:50" s="70" customFormat="1" ht="13.5" customHeight="1" x14ac:dyDescent="0.2">
      <c r="A92" s="418"/>
      <c r="B92" s="418"/>
      <c r="C92" s="460"/>
      <c r="D92" s="460"/>
      <c r="E92" s="423"/>
      <c r="F92" s="460"/>
      <c r="G92" s="467"/>
      <c r="H92" s="418"/>
      <c r="I92" s="471"/>
      <c r="J92" s="460"/>
      <c r="K92" s="423"/>
      <c r="L92" s="469"/>
      <c r="M92" s="418"/>
      <c r="N92" s="418"/>
      <c r="O92" s="418"/>
      <c r="P92" s="418"/>
      <c r="Q92" s="418"/>
      <c r="R92" s="418"/>
      <c r="S92" s="418"/>
      <c r="T92" s="418"/>
      <c r="U92" s="418"/>
      <c r="V92" s="213" t="s">
        <v>94</v>
      </c>
      <c r="W92" s="231">
        <v>0.03</v>
      </c>
      <c r="X92" s="1313" t="s">
        <v>2067</v>
      </c>
      <c r="Y92" s="231">
        <v>7.0000000000000007E-2</v>
      </c>
      <c r="Z92" s="231"/>
      <c r="AA92" s="231">
        <v>0.05</v>
      </c>
      <c r="AB92" s="1313" t="s">
        <v>2067</v>
      </c>
      <c r="AC92" s="231">
        <v>7.0000000000000007E-2</v>
      </c>
      <c r="AD92" s="231"/>
      <c r="AE92" s="1391">
        <v>0.06</v>
      </c>
      <c r="AF92" s="1313" t="s">
        <v>2067</v>
      </c>
      <c r="AG92" s="1392">
        <v>0.08</v>
      </c>
      <c r="AH92" s="1320"/>
      <c r="AI92" s="1396">
        <f>AVERAGE(AE92,AG92)-AVERAGE(AC92,AA92)</f>
        <v>1.0000000000000002E-2</v>
      </c>
      <c r="AJ92" s="406"/>
      <c r="AK92" s="406"/>
      <c r="AL92" s="406"/>
      <c r="AM92" s="406"/>
      <c r="AN92" s="406"/>
      <c r="AO92" s="406"/>
      <c r="AP92" s="406"/>
      <c r="AQ92" s="418"/>
      <c r="AR92" s="418"/>
      <c r="AS92" s="418"/>
      <c r="AT92" s="418"/>
      <c r="AU92" s="418"/>
      <c r="AV92" s="418"/>
      <c r="AW92" s="418"/>
      <c r="AX92" s="418"/>
    </row>
    <row r="93" spans="1:50" s="70" customFormat="1" ht="13.5" customHeight="1" x14ac:dyDescent="0.2">
      <c r="A93" s="418"/>
      <c r="B93" s="418"/>
      <c r="C93" s="460"/>
      <c r="D93" s="460"/>
      <c r="E93" s="423"/>
      <c r="F93" s="460"/>
      <c r="G93" s="467"/>
      <c r="H93" s="418"/>
      <c r="I93" s="471"/>
      <c r="J93" s="460"/>
      <c r="K93" s="423"/>
      <c r="L93" s="469"/>
      <c r="M93" s="418"/>
      <c r="N93" s="418"/>
      <c r="O93" s="418"/>
      <c r="P93" s="418"/>
      <c r="Q93" s="418"/>
      <c r="R93" s="418"/>
      <c r="S93" s="418"/>
      <c r="T93" s="418"/>
      <c r="U93" s="418"/>
      <c r="V93" s="394" t="s">
        <v>1309</v>
      </c>
      <c r="W93" s="1393">
        <v>0.03</v>
      </c>
      <c r="X93" s="1394" t="s">
        <v>2067</v>
      </c>
      <c r="Y93" s="1393">
        <v>7.0000000000000007E-2</v>
      </c>
      <c r="Z93" s="1393"/>
      <c r="AA93" s="1393">
        <v>0.05</v>
      </c>
      <c r="AB93" s="1394" t="s">
        <v>2067</v>
      </c>
      <c r="AC93" s="1393">
        <v>7.0000000000000007E-2</v>
      </c>
      <c r="AD93" s="1393"/>
      <c r="AE93" s="1398">
        <v>0.06</v>
      </c>
      <c r="AF93" s="1399" t="s">
        <v>2067</v>
      </c>
      <c r="AG93" s="1400">
        <v>0.08</v>
      </c>
      <c r="AH93" s="1363"/>
      <c r="AI93" s="1397">
        <f>AVERAGE(AE93,AG93)-AVERAGE(AC93,AA93)</f>
        <v>1.0000000000000002E-2</v>
      </c>
      <c r="AJ93" s="406"/>
      <c r="AK93" s="406"/>
      <c r="AL93" s="406"/>
      <c r="AM93" s="406"/>
      <c r="AN93" s="406"/>
      <c r="AO93" s="406"/>
      <c r="AP93" s="406"/>
      <c r="AQ93" s="418"/>
      <c r="AR93" s="418"/>
      <c r="AS93" s="418"/>
      <c r="AT93" s="418"/>
      <c r="AU93" s="418"/>
      <c r="AV93" s="418"/>
      <c r="AW93" s="418"/>
      <c r="AX93" s="418"/>
    </row>
    <row r="94" spans="1:50" s="70" customFormat="1" ht="13.5" customHeight="1" x14ac:dyDescent="0.2">
      <c r="A94" s="418"/>
      <c r="B94" s="418"/>
      <c r="C94" s="460"/>
      <c r="D94" s="460"/>
      <c r="E94" s="423"/>
      <c r="F94" s="460"/>
      <c r="G94" s="467"/>
      <c r="H94" s="418"/>
      <c r="I94" s="471"/>
      <c r="J94" s="460"/>
      <c r="K94" s="423"/>
      <c r="L94" s="469"/>
      <c r="M94" s="418"/>
      <c r="N94" s="418"/>
      <c r="O94" s="418"/>
      <c r="P94" s="418"/>
      <c r="Q94" s="418"/>
      <c r="R94" s="418"/>
      <c r="S94" s="418"/>
      <c r="T94" s="418"/>
      <c r="U94" s="418"/>
      <c r="V94" s="369" t="s">
        <v>2036</v>
      </c>
      <c r="W94" s="231">
        <v>0.03</v>
      </c>
      <c r="X94" s="1313" t="s">
        <v>2067</v>
      </c>
      <c r="Y94" s="231">
        <v>7.0000000000000007E-2</v>
      </c>
      <c r="Z94" s="231"/>
      <c r="AA94" s="231">
        <v>0.05</v>
      </c>
      <c r="AB94" s="1313" t="s">
        <v>2067</v>
      </c>
      <c r="AC94" s="231">
        <v>7.0000000000000007E-2</v>
      </c>
      <c r="AD94" s="231"/>
      <c r="AE94" s="1391">
        <v>0.06</v>
      </c>
      <c r="AF94" s="1313" t="s">
        <v>2067</v>
      </c>
      <c r="AG94" s="1392">
        <v>0.08</v>
      </c>
      <c r="AH94" s="1320"/>
      <c r="AI94" s="1396">
        <f>AVERAGE(AE94,AG94)-AVERAGE(AC94,AA94)</f>
        <v>1.0000000000000002E-2</v>
      </c>
      <c r="AJ94" s="406"/>
      <c r="AK94" s="406"/>
      <c r="AL94" s="406"/>
      <c r="AM94" s="406"/>
      <c r="AN94" s="406"/>
      <c r="AO94" s="406"/>
      <c r="AP94" s="406"/>
      <c r="AQ94" s="418"/>
      <c r="AR94" s="418"/>
      <c r="AS94" s="418"/>
      <c r="AT94" s="418"/>
      <c r="AU94" s="418"/>
      <c r="AV94" s="418"/>
      <c r="AW94" s="418"/>
      <c r="AX94" s="418"/>
    </row>
    <row r="95" spans="1:50" s="70" customFormat="1" ht="13.5" customHeight="1" x14ac:dyDescent="0.2">
      <c r="A95" s="418"/>
      <c r="B95" s="418"/>
      <c r="C95" s="460"/>
      <c r="D95" s="460"/>
      <c r="E95" s="423"/>
      <c r="F95" s="460"/>
      <c r="G95" s="467"/>
      <c r="H95" s="418"/>
      <c r="I95" s="471"/>
      <c r="J95" s="460"/>
      <c r="K95" s="423"/>
      <c r="L95" s="469"/>
      <c r="M95" s="418"/>
      <c r="N95" s="418"/>
      <c r="O95" s="418"/>
      <c r="P95" s="418"/>
      <c r="Q95" s="418"/>
      <c r="R95" s="418"/>
      <c r="S95" s="418"/>
      <c r="T95" s="418"/>
      <c r="U95" s="418"/>
      <c r="V95" s="392"/>
      <c r="W95" s="1320"/>
      <c r="X95" s="1321"/>
      <c r="Y95" s="1320"/>
      <c r="Z95" s="1320"/>
      <c r="AA95" s="1321"/>
      <c r="AB95" s="1321"/>
      <c r="AC95" s="1321"/>
      <c r="AD95" s="1321"/>
      <c r="AE95" s="1335"/>
      <c r="AF95" s="1321"/>
      <c r="AG95" s="1336"/>
      <c r="AH95" s="1321"/>
      <c r="AI95" s="1317"/>
      <c r="AJ95" s="390"/>
      <c r="AK95" s="390"/>
      <c r="AL95" s="390"/>
      <c r="AM95" s="390"/>
      <c r="AN95" s="390"/>
      <c r="AO95" s="390"/>
      <c r="AP95" s="390"/>
      <c r="AQ95" s="418"/>
      <c r="AR95" s="418"/>
      <c r="AS95" s="418"/>
      <c r="AT95" s="418"/>
      <c r="AU95" s="418"/>
      <c r="AV95" s="418"/>
      <c r="AW95" s="418"/>
      <c r="AX95" s="418"/>
    </row>
    <row r="96" spans="1:50" s="70" customFormat="1" ht="13.5" customHeight="1" x14ac:dyDescent="0.2">
      <c r="A96" s="418"/>
      <c r="B96" s="418"/>
      <c r="C96" s="460"/>
      <c r="D96" s="460"/>
      <c r="E96" s="423"/>
      <c r="F96" s="460"/>
      <c r="G96" s="467"/>
      <c r="H96" s="418"/>
      <c r="I96" s="471"/>
      <c r="J96" s="460"/>
      <c r="K96" s="423"/>
      <c r="L96" s="469"/>
      <c r="M96" s="418"/>
      <c r="N96" s="418"/>
      <c r="O96" s="418"/>
      <c r="P96" s="418"/>
      <c r="Q96" s="418"/>
      <c r="R96" s="418"/>
      <c r="S96" s="418"/>
      <c r="T96" s="418"/>
      <c r="U96" s="418"/>
      <c r="V96" s="1314" t="s">
        <v>1931</v>
      </c>
      <c r="W96" s="1322"/>
      <c r="X96" s="1323"/>
      <c r="Y96" s="1322"/>
      <c r="Z96" s="1322"/>
      <c r="AA96" s="1321"/>
      <c r="AB96" s="1323"/>
      <c r="AC96" s="1323"/>
      <c r="AD96" s="1323"/>
      <c r="AE96" s="1337"/>
      <c r="AF96" s="1323"/>
      <c r="AG96" s="1338"/>
      <c r="AH96" s="1323"/>
      <c r="AI96" s="1317"/>
      <c r="AJ96" s="390"/>
      <c r="AK96" s="390"/>
      <c r="AL96" s="390"/>
      <c r="AM96" s="390"/>
      <c r="AN96" s="390"/>
      <c r="AO96" s="390"/>
      <c r="AP96" s="390"/>
      <c r="AQ96" s="418"/>
      <c r="AR96" s="418"/>
      <c r="AS96" s="418"/>
      <c r="AT96" s="418"/>
      <c r="AU96" s="418"/>
      <c r="AV96" s="418"/>
      <c r="AW96" s="418"/>
      <c r="AX96" s="418"/>
    </row>
    <row r="97" spans="1:50" s="70" customFormat="1" ht="13.5" customHeight="1" x14ac:dyDescent="0.2">
      <c r="A97" s="418"/>
      <c r="B97" s="418"/>
      <c r="C97" s="460"/>
      <c r="D97" s="460"/>
      <c r="E97" s="423"/>
      <c r="F97" s="460"/>
      <c r="G97" s="467"/>
      <c r="H97" s="418"/>
      <c r="I97" s="471"/>
      <c r="J97" s="460"/>
      <c r="K97" s="423"/>
      <c r="L97" s="469"/>
      <c r="M97" s="418"/>
      <c r="N97" s="418"/>
      <c r="O97" s="418"/>
      <c r="P97" s="418"/>
      <c r="Q97" s="418"/>
      <c r="R97" s="418"/>
      <c r="S97" s="418"/>
      <c r="T97" s="418"/>
      <c r="U97" s="418"/>
      <c r="V97" s="213" t="s">
        <v>97</v>
      </c>
      <c r="W97" s="1316">
        <v>30000</v>
      </c>
      <c r="X97" s="1356"/>
      <c r="Y97" s="1316"/>
      <c r="Z97" s="1316"/>
      <c r="AA97" s="1316">
        <v>30000</v>
      </c>
      <c r="AB97" s="1356"/>
      <c r="AC97" s="1316"/>
      <c r="AD97" s="1316"/>
      <c r="AE97" s="1329">
        <v>25000</v>
      </c>
      <c r="AF97" s="1313" t="s">
        <v>2067</v>
      </c>
      <c r="AG97" s="1330">
        <v>30000</v>
      </c>
      <c r="AH97" s="1316"/>
      <c r="AI97" s="1358">
        <f>AVERAGE(AE97,AG97)-AA97</f>
        <v>-2500</v>
      </c>
      <c r="AJ97" s="390"/>
      <c r="AK97" s="390"/>
      <c r="AL97" s="390"/>
      <c r="AM97" s="390"/>
      <c r="AN97" s="390"/>
      <c r="AO97" s="390"/>
      <c r="AP97" s="390"/>
      <c r="AQ97" s="418"/>
      <c r="AR97" s="418"/>
      <c r="AS97" s="418"/>
      <c r="AT97" s="418"/>
      <c r="AU97" s="418"/>
      <c r="AV97" s="418"/>
      <c r="AW97" s="418"/>
      <c r="AX97" s="418"/>
    </row>
    <row r="98" spans="1:50" s="70" customFormat="1" ht="4.5" customHeight="1" x14ac:dyDescent="0.2">
      <c r="A98" s="418"/>
      <c r="B98" s="418"/>
      <c r="C98" s="460"/>
      <c r="D98" s="460"/>
      <c r="E98" s="423"/>
      <c r="F98" s="460"/>
      <c r="G98" s="467"/>
      <c r="H98" s="418"/>
      <c r="I98" s="471"/>
      <c r="J98" s="460"/>
      <c r="K98" s="423"/>
      <c r="L98" s="469"/>
      <c r="M98" s="418"/>
      <c r="N98" s="418"/>
      <c r="O98" s="418"/>
      <c r="P98" s="418"/>
      <c r="Q98" s="418"/>
      <c r="R98" s="418"/>
      <c r="S98" s="418"/>
      <c r="T98" s="418"/>
      <c r="U98" s="418"/>
      <c r="AE98" s="1339"/>
      <c r="AF98" s="195"/>
      <c r="AG98" s="1340"/>
      <c r="AI98" s="212"/>
      <c r="AQ98" s="418"/>
      <c r="AR98" s="418"/>
      <c r="AS98" s="418"/>
      <c r="AT98" s="418"/>
      <c r="AU98" s="418"/>
      <c r="AV98" s="418"/>
      <c r="AW98" s="418"/>
      <c r="AX98" s="418"/>
    </row>
    <row r="99" spans="1:50" s="70" customFormat="1" ht="4.5" customHeight="1" x14ac:dyDescent="0.2">
      <c r="A99" s="418"/>
      <c r="B99" s="418"/>
      <c r="C99" s="460"/>
      <c r="D99" s="460"/>
      <c r="E99" s="423"/>
      <c r="F99" s="460"/>
      <c r="G99" s="467"/>
      <c r="H99" s="418"/>
      <c r="I99" s="471"/>
      <c r="J99" s="460"/>
      <c r="K99" s="423"/>
      <c r="L99" s="469"/>
      <c r="M99" s="418"/>
      <c r="N99" s="418"/>
      <c r="O99" s="418"/>
      <c r="P99" s="418"/>
      <c r="Q99" s="418"/>
      <c r="R99" s="418"/>
      <c r="S99" s="418"/>
      <c r="T99" s="418"/>
      <c r="U99" s="418"/>
      <c r="AQ99" s="418"/>
      <c r="AR99" s="418"/>
      <c r="AS99" s="418"/>
      <c r="AT99" s="418"/>
      <c r="AU99" s="418"/>
      <c r="AV99" s="418"/>
      <c r="AW99" s="418"/>
      <c r="AX99" s="418"/>
    </row>
    <row r="100" spans="1:50" s="70" customFormat="1" ht="13.5" customHeight="1" x14ac:dyDescent="0.2">
      <c r="A100" s="418"/>
      <c r="B100" s="418"/>
      <c r="C100" s="460"/>
      <c r="D100" s="460"/>
      <c r="E100" s="423"/>
      <c r="F100" s="460"/>
      <c r="G100" s="467"/>
      <c r="H100" s="418"/>
      <c r="I100" s="471"/>
      <c r="J100" s="460"/>
      <c r="K100" s="423"/>
      <c r="L100" s="469"/>
      <c r="M100" s="418"/>
      <c r="N100" s="418"/>
      <c r="O100" s="418"/>
      <c r="P100" s="418"/>
      <c r="Q100" s="418"/>
      <c r="R100" s="418"/>
      <c r="S100" s="418"/>
      <c r="T100" s="418"/>
      <c r="U100" s="418"/>
      <c r="V100" s="369" t="s">
        <v>96</v>
      </c>
      <c r="W100" s="1316"/>
      <c r="X100" s="8"/>
      <c r="Y100" s="1316"/>
      <c r="Z100" s="1316"/>
      <c r="AA100" s="1355">
        <v>10</v>
      </c>
      <c r="AI100" s="70">
        <f>AE100-AA100</f>
        <v>-10</v>
      </c>
      <c r="AQ100" s="418"/>
      <c r="AR100" s="418"/>
      <c r="AS100" s="418"/>
      <c r="AT100" s="418"/>
      <c r="AU100" s="418"/>
      <c r="AV100" s="418"/>
      <c r="AW100" s="418"/>
      <c r="AX100" s="418"/>
    </row>
    <row r="101" spans="1:50" s="70" customFormat="1" ht="13.5" customHeight="1" x14ac:dyDescent="0.2">
      <c r="A101" s="418"/>
      <c r="B101" s="418"/>
      <c r="C101" s="460"/>
      <c r="D101" s="460"/>
      <c r="E101" s="423"/>
      <c r="F101" s="460"/>
      <c r="G101" s="467"/>
      <c r="H101" s="418"/>
      <c r="I101" s="471"/>
      <c r="J101" s="460"/>
      <c r="K101" s="423"/>
      <c r="L101" s="469"/>
      <c r="M101" s="418"/>
      <c r="N101" s="418"/>
      <c r="O101" s="418"/>
      <c r="P101" s="418"/>
      <c r="Q101" s="418"/>
      <c r="R101" s="418"/>
      <c r="S101" s="418"/>
      <c r="T101" s="418"/>
      <c r="U101" s="418"/>
      <c r="V101" s="369" t="s">
        <v>89</v>
      </c>
      <c r="W101" s="1316"/>
      <c r="X101" s="8"/>
      <c r="Y101" s="1316"/>
      <c r="Z101" s="1316"/>
      <c r="AA101" s="1316">
        <v>105</v>
      </c>
      <c r="AI101" s="70">
        <f>AE101-AA101</f>
        <v>-105</v>
      </c>
      <c r="AQ101" s="418"/>
      <c r="AR101" s="418"/>
      <c r="AS101" s="418"/>
      <c r="AT101" s="418"/>
      <c r="AU101" s="418"/>
      <c r="AV101" s="418"/>
      <c r="AW101" s="418"/>
      <c r="AX101" s="418"/>
    </row>
    <row r="102" spans="1:50" s="70" customFormat="1" ht="13.5" customHeight="1" x14ac:dyDescent="0.2">
      <c r="A102" s="418"/>
      <c r="B102" s="418"/>
      <c r="C102" s="460"/>
      <c r="D102" s="460"/>
      <c r="E102" s="423"/>
      <c r="F102" s="460"/>
      <c r="G102" s="467"/>
      <c r="H102" s="418"/>
      <c r="I102" s="471"/>
      <c r="J102" s="460"/>
      <c r="K102" s="423"/>
      <c r="L102" s="469"/>
      <c r="M102" s="418"/>
      <c r="N102" s="418"/>
      <c r="O102" s="418"/>
      <c r="P102" s="418"/>
      <c r="Q102" s="418"/>
      <c r="R102" s="418"/>
      <c r="S102" s="418"/>
      <c r="T102" s="418"/>
      <c r="U102" s="418"/>
      <c r="V102" s="1170" t="s">
        <v>712</v>
      </c>
      <c r="W102" s="8"/>
      <c r="X102" s="8"/>
      <c r="Y102" s="8"/>
      <c r="Z102" s="8"/>
      <c r="AA102" s="1316">
        <v>-5</v>
      </c>
      <c r="AI102" s="70">
        <f>AE102-AA102</f>
        <v>5</v>
      </c>
      <c r="AQ102" s="418"/>
      <c r="AR102" s="418"/>
      <c r="AS102" s="418"/>
      <c r="AT102" s="418"/>
      <c r="AU102" s="418"/>
      <c r="AV102" s="418"/>
      <c r="AW102" s="418"/>
      <c r="AX102" s="418"/>
    </row>
    <row r="103" spans="1:50" s="70" customFormat="1" ht="4.5" customHeight="1" x14ac:dyDescent="0.2">
      <c r="A103" s="418"/>
      <c r="B103" s="418"/>
      <c r="C103" s="460"/>
      <c r="D103" s="460"/>
      <c r="E103" s="423"/>
      <c r="F103" s="460"/>
      <c r="G103" s="467"/>
      <c r="H103" s="418"/>
      <c r="I103" s="471"/>
      <c r="J103" s="460"/>
      <c r="K103" s="423"/>
      <c r="L103" s="469"/>
      <c r="M103" s="418"/>
      <c r="N103" s="418"/>
      <c r="O103" s="418"/>
      <c r="P103" s="418"/>
      <c r="Q103" s="418"/>
      <c r="R103" s="418"/>
      <c r="S103" s="418"/>
      <c r="T103" s="418"/>
      <c r="U103" s="418"/>
      <c r="V103" s="369"/>
      <c r="W103" s="1316"/>
      <c r="X103" s="8"/>
      <c r="Y103" s="1316"/>
      <c r="Z103" s="1316"/>
      <c r="AA103" s="1316"/>
      <c r="AQ103" s="418"/>
      <c r="AR103" s="418"/>
      <c r="AS103" s="418"/>
      <c r="AT103" s="418"/>
      <c r="AU103" s="418"/>
      <c r="AV103" s="418"/>
      <c r="AW103" s="418"/>
      <c r="AX103" s="418"/>
    </row>
    <row r="104" spans="1:50" s="70" customFormat="1" ht="13.5" customHeight="1" x14ac:dyDescent="0.2">
      <c r="A104" s="418"/>
      <c r="B104" s="418"/>
      <c r="C104" s="460"/>
      <c r="D104" s="460"/>
      <c r="E104" s="423"/>
      <c r="F104" s="460"/>
      <c r="G104" s="467"/>
      <c r="H104" s="418"/>
      <c r="I104" s="471"/>
      <c r="J104" s="460"/>
      <c r="K104" s="423"/>
      <c r="L104" s="469"/>
      <c r="M104" s="418"/>
      <c r="N104" s="418"/>
      <c r="O104" s="418"/>
      <c r="P104" s="418"/>
      <c r="Q104" s="418"/>
      <c r="R104" s="418"/>
      <c r="S104" s="418"/>
      <c r="T104" s="418"/>
      <c r="U104" s="418"/>
      <c r="V104" s="369"/>
      <c r="W104" s="1316"/>
      <c r="X104" s="8"/>
      <c r="Y104" s="1316"/>
      <c r="Z104" s="1316"/>
      <c r="AA104" s="1316"/>
      <c r="AQ104" s="418"/>
      <c r="AR104" s="418"/>
      <c r="AS104" s="418"/>
      <c r="AT104" s="418"/>
      <c r="AU104" s="418"/>
      <c r="AV104" s="418"/>
      <c r="AW104" s="418"/>
      <c r="AX104" s="418"/>
    </row>
    <row r="105" spans="1:50" s="70" customFormat="1" ht="13.5" customHeight="1" x14ac:dyDescent="0.2">
      <c r="A105" s="418"/>
      <c r="B105" s="418"/>
      <c r="C105" s="460"/>
      <c r="D105" s="460"/>
      <c r="E105" s="423"/>
      <c r="F105" s="460"/>
      <c r="G105" s="467"/>
      <c r="H105" s="418"/>
      <c r="I105" s="471"/>
      <c r="J105" s="460"/>
      <c r="K105" s="423"/>
      <c r="L105" s="469"/>
      <c r="M105" s="418"/>
      <c r="N105" s="418"/>
      <c r="O105" s="418"/>
      <c r="P105" s="418"/>
      <c r="Q105" s="418"/>
      <c r="R105" s="418"/>
      <c r="S105" s="418"/>
      <c r="T105" s="418"/>
      <c r="U105" s="418"/>
      <c r="V105" s="369"/>
      <c r="W105" s="1316"/>
      <c r="X105" s="8"/>
      <c r="Y105" s="1316"/>
      <c r="Z105" s="1316"/>
      <c r="AA105" s="1316"/>
      <c r="AK105" s="248" t="s">
        <v>1585</v>
      </c>
      <c r="AQ105" s="418"/>
      <c r="AR105" s="418"/>
      <c r="AS105" s="418"/>
      <c r="AT105" s="418"/>
      <c r="AU105" s="418"/>
      <c r="AV105" s="418"/>
      <c r="AW105" s="418"/>
      <c r="AX105" s="418"/>
    </row>
    <row r="106" spans="1:50" s="70" customFormat="1" ht="13.5" customHeight="1" x14ac:dyDescent="0.2">
      <c r="A106" s="418"/>
      <c r="B106" s="418"/>
      <c r="C106" s="460"/>
      <c r="D106" s="460"/>
      <c r="E106" s="423"/>
      <c r="F106" s="460"/>
      <c r="G106" s="467"/>
      <c r="H106" s="418"/>
      <c r="I106" s="471"/>
      <c r="J106" s="460"/>
      <c r="K106" s="423"/>
      <c r="L106" s="469"/>
      <c r="M106" s="418"/>
      <c r="N106" s="418"/>
      <c r="O106" s="418"/>
      <c r="P106" s="418"/>
      <c r="Q106" s="418"/>
      <c r="R106" s="418"/>
      <c r="S106" s="418"/>
      <c r="T106" s="418"/>
      <c r="U106" s="418"/>
      <c r="V106" s="369"/>
      <c r="W106" s="1316"/>
      <c r="X106" s="8"/>
      <c r="Y106" s="1316"/>
      <c r="Z106" s="1316"/>
      <c r="AA106" s="1316"/>
      <c r="AK106" s="275" t="s">
        <v>91</v>
      </c>
      <c r="AQ106" s="418"/>
      <c r="AR106" s="418"/>
      <c r="AS106" s="418"/>
      <c r="AT106" s="418"/>
      <c r="AU106" s="418"/>
      <c r="AV106" s="418"/>
      <c r="AW106" s="418"/>
      <c r="AX106" s="418"/>
    </row>
    <row r="107" spans="1:50" s="70" customFormat="1" ht="13.5" customHeight="1" x14ac:dyDescent="0.2">
      <c r="A107" s="418"/>
      <c r="B107" s="418"/>
      <c r="C107" s="460"/>
      <c r="D107" s="460"/>
      <c r="E107" s="423"/>
      <c r="F107" s="460"/>
      <c r="G107" s="467"/>
      <c r="H107" s="418"/>
      <c r="I107" s="471"/>
      <c r="J107" s="460"/>
      <c r="K107" s="423"/>
      <c r="L107" s="469"/>
      <c r="M107" s="418"/>
      <c r="N107" s="418"/>
      <c r="O107" s="418"/>
      <c r="P107" s="418"/>
      <c r="Q107" s="418"/>
      <c r="R107" s="418"/>
      <c r="S107" s="418"/>
      <c r="T107" s="418"/>
      <c r="U107" s="418"/>
      <c r="V107" s="369"/>
      <c r="W107" s="1316"/>
      <c r="X107" s="8"/>
      <c r="Y107" s="1316"/>
      <c r="Z107" s="1316"/>
      <c r="AA107" s="1316"/>
      <c r="AN107" s="1359" t="s">
        <v>1591</v>
      </c>
      <c r="AQ107" s="418"/>
      <c r="AR107" s="418"/>
      <c r="AS107" s="418"/>
      <c r="AT107" s="418"/>
      <c r="AU107" s="418"/>
      <c r="AV107" s="418"/>
      <c r="AW107" s="418"/>
      <c r="AX107" s="418"/>
    </row>
    <row r="108" spans="1:50" s="70" customFormat="1" ht="13.5" customHeight="1" x14ac:dyDescent="0.2">
      <c r="A108" s="418"/>
      <c r="B108" s="418"/>
      <c r="C108" s="460"/>
      <c r="D108" s="460"/>
      <c r="E108" s="423"/>
      <c r="F108" s="460"/>
      <c r="G108" s="467"/>
      <c r="H108" s="418"/>
      <c r="I108" s="471"/>
      <c r="J108" s="460"/>
      <c r="K108" s="423"/>
      <c r="L108" s="469"/>
      <c r="M108" s="418"/>
      <c r="N108" s="418"/>
      <c r="O108" s="418"/>
      <c r="P108" s="418"/>
      <c r="Q108" s="418"/>
      <c r="R108" s="418"/>
      <c r="S108" s="418"/>
      <c r="T108" s="418"/>
      <c r="U108" s="418"/>
      <c r="V108" s="369"/>
      <c r="W108" s="1316"/>
      <c r="X108" s="8"/>
      <c r="Y108" s="1316"/>
      <c r="Z108" s="1316"/>
      <c r="AA108" s="1316"/>
      <c r="AK108" s="195"/>
      <c r="AL108" s="335" t="s">
        <v>1782</v>
      </c>
      <c r="AM108" s="195"/>
      <c r="AN108" s="335" t="s">
        <v>1592</v>
      </c>
      <c r="AQ108" s="418"/>
      <c r="AR108" s="418"/>
      <c r="AS108" s="418"/>
      <c r="AT108" s="418"/>
      <c r="AU108" s="418"/>
      <c r="AV108" s="418"/>
      <c r="AW108" s="418"/>
      <c r="AX108" s="418"/>
    </row>
    <row r="109" spans="1:50" s="70" customFormat="1" ht="13.5" customHeight="1" x14ac:dyDescent="0.2">
      <c r="A109" s="418"/>
      <c r="B109" s="418"/>
      <c r="C109" s="460"/>
      <c r="D109" s="460"/>
      <c r="E109" s="423"/>
      <c r="F109" s="460"/>
      <c r="G109" s="467"/>
      <c r="H109" s="418"/>
      <c r="I109" s="471"/>
      <c r="J109" s="460"/>
      <c r="K109" s="423"/>
      <c r="L109" s="469"/>
      <c r="M109" s="418"/>
      <c r="N109" s="418"/>
      <c r="O109" s="418"/>
      <c r="P109" s="418"/>
      <c r="Q109" s="418"/>
      <c r="R109" s="418"/>
      <c r="S109" s="418"/>
      <c r="T109" s="418"/>
      <c r="U109" s="418"/>
      <c r="V109" s="369"/>
      <c r="W109" s="1316"/>
      <c r="X109" s="8"/>
      <c r="Y109" s="1316"/>
      <c r="Z109" s="1316"/>
      <c r="AA109" s="1316"/>
      <c r="AQ109" s="418"/>
      <c r="AR109" s="418"/>
      <c r="AS109" s="418"/>
      <c r="AT109" s="418"/>
      <c r="AU109" s="418"/>
      <c r="AV109" s="418"/>
      <c r="AW109" s="418"/>
      <c r="AX109" s="418"/>
    </row>
    <row r="110" spans="1:50" s="70" customFormat="1" ht="13.5" customHeight="1" x14ac:dyDescent="0.2">
      <c r="A110" s="418"/>
      <c r="B110" s="418"/>
      <c r="C110" s="460"/>
      <c r="D110" s="460"/>
      <c r="E110" s="423"/>
      <c r="F110" s="460"/>
      <c r="G110" s="467"/>
      <c r="H110" s="418"/>
      <c r="I110" s="471"/>
      <c r="J110" s="460"/>
      <c r="K110" s="423"/>
      <c r="L110" s="469"/>
      <c r="M110" s="418"/>
      <c r="N110" s="418"/>
      <c r="O110" s="418"/>
      <c r="P110" s="418"/>
      <c r="Q110" s="418"/>
      <c r="R110" s="418"/>
      <c r="S110" s="418"/>
      <c r="T110" s="418"/>
      <c r="U110" s="418"/>
      <c r="V110" s="369"/>
      <c r="W110" s="1316"/>
      <c r="X110" s="8"/>
      <c r="Y110" s="1316"/>
      <c r="Z110" s="1316"/>
      <c r="AA110" s="1316"/>
      <c r="AK110" s="213" t="s">
        <v>1587</v>
      </c>
      <c r="AL110" s="1304" t="s">
        <v>1477</v>
      </c>
      <c r="AQ110" s="418"/>
      <c r="AR110" s="418"/>
      <c r="AS110" s="418"/>
      <c r="AT110" s="418"/>
      <c r="AU110" s="418"/>
      <c r="AV110" s="418"/>
      <c r="AW110" s="418"/>
      <c r="AX110" s="418"/>
    </row>
    <row r="111" spans="1:50" s="70" customFormat="1" ht="13.5" customHeight="1" x14ac:dyDescent="0.2">
      <c r="A111" s="418"/>
      <c r="B111" s="418"/>
      <c r="C111" s="460"/>
      <c r="D111" s="460"/>
      <c r="E111" s="423"/>
      <c r="F111" s="460"/>
      <c r="G111" s="467"/>
      <c r="H111" s="418"/>
      <c r="I111" s="471"/>
      <c r="J111" s="460"/>
      <c r="K111" s="423"/>
      <c r="L111" s="469"/>
      <c r="M111" s="418"/>
      <c r="N111" s="418"/>
      <c r="O111" s="418"/>
      <c r="P111" s="418"/>
      <c r="Q111" s="418"/>
      <c r="R111" s="418"/>
      <c r="S111" s="418"/>
      <c r="T111" s="418"/>
      <c r="U111" s="418"/>
      <c r="V111" s="369"/>
      <c r="W111" s="1316"/>
      <c r="X111" s="8"/>
      <c r="Y111" s="1316"/>
      <c r="Z111" s="1316"/>
      <c r="AA111" s="1316"/>
      <c r="AK111" s="369" t="s">
        <v>1584</v>
      </c>
      <c r="AL111" s="1304" t="s">
        <v>1475</v>
      </c>
      <c r="AQ111" s="418"/>
      <c r="AR111" s="418"/>
      <c r="AS111" s="418"/>
      <c r="AT111" s="418"/>
      <c r="AU111" s="418"/>
      <c r="AV111" s="418"/>
      <c r="AW111" s="418"/>
      <c r="AX111" s="418"/>
    </row>
    <row r="112" spans="1:50" s="70" customFormat="1" ht="13.5" customHeight="1" x14ac:dyDescent="0.2">
      <c r="A112" s="418"/>
      <c r="B112" s="418"/>
      <c r="C112" s="460"/>
      <c r="D112" s="460"/>
      <c r="E112" s="423"/>
      <c r="F112" s="460"/>
      <c r="G112" s="467"/>
      <c r="H112" s="418"/>
      <c r="I112" s="471"/>
      <c r="J112" s="460"/>
      <c r="K112" s="423"/>
      <c r="L112" s="469"/>
      <c r="M112" s="418"/>
      <c r="N112" s="418"/>
      <c r="O112" s="418"/>
      <c r="P112" s="418"/>
      <c r="Q112" s="418"/>
      <c r="R112" s="418"/>
      <c r="S112" s="418"/>
      <c r="T112" s="418"/>
      <c r="U112" s="418"/>
      <c r="V112" s="369"/>
      <c r="W112" s="1316"/>
      <c r="X112" s="8"/>
      <c r="Y112" s="1316"/>
      <c r="Z112" s="1316"/>
      <c r="AA112" s="1316"/>
      <c r="AK112" s="369" t="s">
        <v>140</v>
      </c>
      <c r="AL112" s="1401">
        <v>150</v>
      </c>
      <c r="AQ112" s="418"/>
      <c r="AR112" s="418"/>
      <c r="AS112" s="418"/>
      <c r="AT112" s="418"/>
      <c r="AU112" s="418"/>
      <c r="AV112" s="418"/>
      <c r="AW112" s="418"/>
      <c r="AX112" s="418"/>
    </row>
    <row r="113" spans="1:50" s="70" customFormat="1" ht="13.5" customHeight="1" x14ac:dyDescent="0.2">
      <c r="A113" s="418"/>
      <c r="B113" s="418"/>
      <c r="C113" s="460"/>
      <c r="D113" s="460"/>
      <c r="E113" s="423"/>
      <c r="F113" s="460"/>
      <c r="G113" s="467"/>
      <c r="H113" s="418"/>
      <c r="I113" s="471"/>
      <c r="J113" s="460"/>
      <c r="K113" s="423"/>
      <c r="L113" s="469"/>
      <c r="M113" s="418"/>
      <c r="N113" s="418"/>
      <c r="O113" s="418"/>
      <c r="P113" s="418"/>
      <c r="Q113" s="418"/>
      <c r="R113" s="418"/>
      <c r="S113" s="418"/>
      <c r="T113" s="418"/>
      <c r="U113" s="418"/>
      <c r="V113" s="369"/>
      <c r="W113" s="1316"/>
      <c r="X113" s="8"/>
      <c r="Y113" s="1316"/>
      <c r="Z113" s="1316"/>
      <c r="AA113" s="1316"/>
      <c r="AK113" s="213" t="s">
        <v>141</v>
      </c>
      <c r="AL113" s="1304" t="s">
        <v>1476</v>
      </c>
      <c r="AN113" s="85">
        <v>238</v>
      </c>
      <c r="AQ113" s="418"/>
      <c r="AR113" s="418"/>
      <c r="AS113" s="418"/>
      <c r="AT113" s="418"/>
      <c r="AU113" s="418"/>
      <c r="AV113" s="418"/>
      <c r="AW113" s="418"/>
      <c r="AX113" s="418"/>
    </row>
    <row r="114" spans="1:50" s="70" customFormat="1" ht="13.5" customHeight="1" x14ac:dyDescent="0.2">
      <c r="A114" s="418"/>
      <c r="B114" s="418"/>
      <c r="C114" s="460"/>
      <c r="D114" s="460"/>
      <c r="E114" s="423"/>
      <c r="F114" s="460"/>
      <c r="G114" s="467"/>
      <c r="H114" s="418"/>
      <c r="I114" s="471"/>
      <c r="J114" s="460"/>
      <c r="K114" s="423"/>
      <c r="L114" s="469"/>
      <c r="M114" s="418"/>
      <c r="N114" s="418"/>
      <c r="O114" s="418"/>
      <c r="P114" s="418"/>
      <c r="Q114" s="418"/>
      <c r="R114" s="418"/>
      <c r="S114" s="418"/>
      <c r="T114" s="418"/>
      <c r="U114" s="418"/>
      <c r="V114" s="369"/>
      <c r="W114" s="1316"/>
      <c r="X114" s="8"/>
      <c r="Y114" s="1316"/>
      <c r="Z114" s="1316"/>
      <c r="AA114" s="1316"/>
      <c r="AK114" s="1360" t="s">
        <v>1588</v>
      </c>
      <c r="AL114" s="1361" t="s">
        <v>1474</v>
      </c>
      <c r="AM114" s="1084"/>
      <c r="AN114" s="1362">
        <v>0.41</v>
      </c>
      <c r="AQ114" s="418"/>
      <c r="AR114" s="418"/>
      <c r="AS114" s="418"/>
      <c r="AT114" s="418"/>
      <c r="AU114" s="418"/>
      <c r="AV114" s="418"/>
      <c r="AW114" s="418"/>
      <c r="AX114" s="418"/>
    </row>
    <row r="115" spans="1:50" s="70" customFormat="1" ht="13.5" customHeight="1" x14ac:dyDescent="0.2">
      <c r="A115" s="418"/>
      <c r="B115" s="418"/>
      <c r="C115" s="460"/>
      <c r="D115" s="460"/>
      <c r="E115" s="423"/>
      <c r="F115" s="460"/>
      <c r="G115" s="467"/>
      <c r="H115" s="418"/>
      <c r="I115" s="471"/>
      <c r="J115" s="460"/>
      <c r="K115" s="423"/>
      <c r="L115" s="469"/>
      <c r="M115" s="418"/>
      <c r="N115" s="418"/>
      <c r="O115" s="418"/>
      <c r="P115" s="418"/>
      <c r="Q115" s="418"/>
      <c r="R115" s="418"/>
      <c r="S115" s="418"/>
      <c r="T115" s="418"/>
      <c r="U115" s="418"/>
      <c r="V115" s="369"/>
      <c r="W115" s="1316"/>
      <c r="X115" s="8"/>
      <c r="Y115" s="1316"/>
      <c r="Z115" s="1316"/>
      <c r="AA115" s="1316"/>
      <c r="AL115" s="189"/>
      <c r="AQ115" s="418"/>
      <c r="AR115" s="418"/>
      <c r="AS115" s="418"/>
      <c r="AT115" s="418"/>
      <c r="AU115" s="418"/>
      <c r="AV115" s="418"/>
      <c r="AW115" s="418"/>
      <c r="AX115" s="418"/>
    </row>
    <row r="116" spans="1:50" s="70" customFormat="1" ht="13.5" customHeight="1" x14ac:dyDescent="0.2">
      <c r="A116" s="418"/>
      <c r="B116" s="418"/>
      <c r="C116" s="460"/>
      <c r="D116" s="460"/>
      <c r="E116" s="423"/>
      <c r="F116" s="460"/>
      <c r="G116" s="467"/>
      <c r="H116" s="418"/>
      <c r="I116" s="471"/>
      <c r="J116" s="460"/>
      <c r="K116" s="423"/>
      <c r="L116" s="469"/>
      <c r="M116" s="418"/>
      <c r="N116" s="418"/>
      <c r="O116" s="418"/>
      <c r="P116" s="418"/>
      <c r="Q116" s="418"/>
      <c r="R116" s="418"/>
      <c r="S116" s="418"/>
      <c r="T116" s="418"/>
      <c r="U116" s="418"/>
      <c r="V116" s="369"/>
      <c r="W116" s="1316"/>
      <c r="X116" s="8"/>
      <c r="Y116" s="1316"/>
      <c r="Z116" s="1316"/>
      <c r="AA116" s="1316"/>
      <c r="AK116" s="563" t="s">
        <v>137</v>
      </c>
      <c r="AL116" s="1299"/>
      <c r="AQ116" s="418"/>
      <c r="AR116" s="418"/>
      <c r="AS116" s="418"/>
      <c r="AT116" s="418"/>
      <c r="AU116" s="418"/>
      <c r="AV116" s="418"/>
      <c r="AW116" s="418"/>
      <c r="AX116" s="418"/>
    </row>
    <row r="117" spans="1:50" s="70" customFormat="1" ht="13.5" customHeight="1" x14ac:dyDescent="0.2">
      <c r="A117" s="418"/>
      <c r="B117" s="418"/>
      <c r="C117" s="460"/>
      <c r="D117" s="460"/>
      <c r="E117" s="423"/>
      <c r="F117" s="460"/>
      <c r="G117" s="467"/>
      <c r="H117" s="418"/>
      <c r="I117" s="471"/>
      <c r="J117" s="460"/>
      <c r="K117" s="423"/>
      <c r="L117" s="469"/>
      <c r="M117" s="418"/>
      <c r="N117" s="418"/>
      <c r="O117" s="418"/>
      <c r="P117" s="418"/>
      <c r="Q117" s="418"/>
      <c r="R117" s="418"/>
      <c r="S117" s="418"/>
      <c r="T117" s="418"/>
      <c r="U117" s="418"/>
      <c r="V117" s="369"/>
      <c r="W117" s="1316"/>
      <c r="X117" s="8"/>
      <c r="Y117" s="1316"/>
      <c r="Z117" s="1316"/>
      <c r="AA117" s="1316"/>
      <c r="AK117" s="213" t="s">
        <v>382</v>
      </c>
      <c r="AL117" s="1301" t="s">
        <v>1940</v>
      </c>
      <c r="AQ117" s="418"/>
      <c r="AR117" s="418"/>
      <c r="AS117" s="418"/>
      <c r="AT117" s="418"/>
      <c r="AU117" s="418"/>
      <c r="AV117" s="418"/>
      <c r="AW117" s="418"/>
      <c r="AX117" s="418"/>
    </row>
    <row r="118" spans="1:50" s="70" customFormat="1" ht="13.5" customHeight="1" x14ac:dyDescent="0.2">
      <c r="A118" s="418"/>
      <c r="B118" s="418"/>
      <c r="C118" s="460"/>
      <c r="D118" s="460"/>
      <c r="E118" s="423"/>
      <c r="F118" s="460"/>
      <c r="G118" s="467"/>
      <c r="H118" s="418"/>
      <c r="I118" s="471"/>
      <c r="J118" s="460"/>
      <c r="K118" s="423"/>
      <c r="L118" s="469"/>
      <c r="M118" s="418"/>
      <c r="N118" s="418"/>
      <c r="O118" s="418"/>
      <c r="P118" s="418"/>
      <c r="Q118" s="418"/>
      <c r="R118" s="418"/>
      <c r="S118" s="418"/>
      <c r="T118" s="418"/>
      <c r="U118" s="418"/>
      <c r="V118" s="369"/>
      <c r="W118" s="1316"/>
      <c r="X118" s="8"/>
      <c r="Y118" s="1316"/>
      <c r="Z118" s="1316"/>
      <c r="AA118" s="1316"/>
      <c r="AK118" s="369" t="s">
        <v>1309</v>
      </c>
      <c r="AL118" s="1301" t="s">
        <v>1940</v>
      </c>
      <c r="AQ118" s="418"/>
      <c r="AR118" s="418"/>
      <c r="AS118" s="418"/>
      <c r="AT118" s="418"/>
      <c r="AU118" s="418"/>
      <c r="AV118" s="418"/>
      <c r="AW118" s="418"/>
      <c r="AX118" s="418"/>
    </row>
    <row r="119" spans="1:50" s="70" customFormat="1" ht="13.5" customHeight="1" x14ac:dyDescent="0.2">
      <c r="A119" s="418"/>
      <c r="B119" s="418"/>
      <c r="C119" s="460"/>
      <c r="D119" s="460"/>
      <c r="E119" s="423"/>
      <c r="F119" s="460"/>
      <c r="G119" s="467"/>
      <c r="H119" s="418"/>
      <c r="I119" s="471"/>
      <c r="J119" s="460"/>
      <c r="K119" s="423"/>
      <c r="L119" s="469"/>
      <c r="M119" s="418"/>
      <c r="N119" s="418"/>
      <c r="O119" s="418"/>
      <c r="P119" s="418"/>
      <c r="Q119" s="418"/>
      <c r="R119" s="418"/>
      <c r="S119" s="418"/>
      <c r="T119" s="418"/>
      <c r="U119" s="418"/>
      <c r="V119" s="369"/>
      <c r="W119" s="1316"/>
      <c r="X119" s="8"/>
      <c r="Y119" s="1316"/>
      <c r="Z119" s="1316"/>
      <c r="AA119" s="1316"/>
      <c r="AK119" s="369" t="s">
        <v>2036</v>
      </c>
      <c r="AL119" s="1301" t="s">
        <v>1940</v>
      </c>
      <c r="AQ119" s="418"/>
      <c r="AR119" s="418"/>
      <c r="AS119" s="418"/>
      <c r="AT119" s="418"/>
      <c r="AU119" s="418"/>
      <c r="AV119" s="418"/>
      <c r="AW119" s="418"/>
      <c r="AX119" s="418"/>
    </row>
    <row r="120" spans="1:50" s="70" customFormat="1" ht="3.75" customHeight="1" x14ac:dyDescent="0.2">
      <c r="A120" s="418"/>
      <c r="B120" s="418"/>
      <c r="C120" s="460"/>
      <c r="D120" s="460"/>
      <c r="E120" s="423"/>
      <c r="F120" s="460"/>
      <c r="G120" s="467"/>
      <c r="H120" s="418"/>
      <c r="I120" s="471"/>
      <c r="J120" s="460"/>
      <c r="K120" s="423"/>
      <c r="L120" s="469"/>
      <c r="M120" s="418"/>
      <c r="N120" s="418"/>
      <c r="O120" s="418"/>
      <c r="P120" s="418"/>
      <c r="Q120" s="418"/>
      <c r="R120" s="418"/>
      <c r="S120" s="418"/>
      <c r="T120" s="418"/>
      <c r="U120" s="418"/>
      <c r="V120" s="369"/>
      <c r="W120" s="1316"/>
      <c r="X120" s="8"/>
      <c r="Y120" s="1316"/>
      <c r="Z120" s="1316"/>
      <c r="AA120" s="1316"/>
      <c r="AK120" s="392"/>
      <c r="AL120" s="1301"/>
      <c r="AQ120" s="418"/>
      <c r="AR120" s="418"/>
      <c r="AS120" s="418"/>
      <c r="AT120" s="418"/>
      <c r="AU120" s="418"/>
      <c r="AV120" s="418"/>
      <c r="AW120" s="418"/>
      <c r="AX120" s="418"/>
    </row>
    <row r="121" spans="1:50" s="70" customFormat="1" ht="3" customHeight="1" x14ac:dyDescent="0.2">
      <c r="A121" s="418"/>
      <c r="B121" s="418"/>
      <c r="C121" s="460"/>
      <c r="D121" s="460"/>
      <c r="E121" s="423"/>
      <c r="F121" s="460"/>
      <c r="G121" s="467"/>
      <c r="H121" s="418"/>
      <c r="I121" s="471"/>
      <c r="J121" s="460"/>
      <c r="K121" s="423"/>
      <c r="L121" s="469"/>
      <c r="M121" s="418"/>
      <c r="N121" s="418"/>
      <c r="O121" s="418"/>
      <c r="P121" s="418"/>
      <c r="Q121" s="418"/>
      <c r="R121" s="418"/>
      <c r="S121" s="418"/>
      <c r="T121" s="418"/>
      <c r="U121" s="418"/>
      <c r="V121" s="369"/>
      <c r="W121" s="1316"/>
      <c r="X121" s="8"/>
      <c r="Y121" s="1316"/>
      <c r="Z121" s="1316"/>
      <c r="AA121" s="1316"/>
      <c r="AQ121" s="418"/>
      <c r="AR121" s="418"/>
      <c r="AS121" s="418"/>
      <c r="AT121" s="418"/>
      <c r="AU121" s="418"/>
      <c r="AV121" s="418"/>
      <c r="AW121" s="418"/>
      <c r="AX121" s="418"/>
    </row>
    <row r="122" spans="1:50" ht="13.5" customHeight="1" x14ac:dyDescent="0.2">
      <c r="A122" s="418"/>
      <c r="B122" s="418"/>
      <c r="C122" s="418"/>
      <c r="D122" s="418"/>
      <c r="E122" s="418"/>
      <c r="F122" s="460"/>
      <c r="G122" s="467"/>
      <c r="H122" s="418"/>
      <c r="I122" s="463"/>
      <c r="J122" s="418"/>
      <c r="K122" s="460"/>
      <c r="L122" s="469"/>
      <c r="M122" s="418"/>
      <c r="N122" s="418"/>
      <c r="O122" s="418"/>
      <c r="P122" s="418"/>
      <c r="Q122" s="418"/>
      <c r="R122" s="418"/>
      <c r="S122" s="418"/>
      <c r="T122" s="418"/>
      <c r="U122" s="418"/>
      <c r="AJ122" s="421"/>
      <c r="AK122" s="421"/>
      <c r="AL122" s="421"/>
      <c r="AM122" s="421"/>
      <c r="AN122" s="421"/>
      <c r="AO122" s="421"/>
      <c r="AP122" s="426" t="s">
        <v>1593</v>
      </c>
      <c r="AQ122" s="418"/>
      <c r="AR122" s="418"/>
      <c r="AS122" s="418"/>
      <c r="AT122" s="418"/>
      <c r="AU122" s="418"/>
      <c r="AV122" s="418"/>
      <c r="AW122" s="418"/>
      <c r="AX122" s="418"/>
    </row>
    <row r="123" spans="1:50" ht="13.5" customHeight="1" x14ac:dyDescent="0.2">
      <c r="A123" s="418"/>
      <c r="B123" s="418"/>
      <c r="C123" s="418"/>
      <c r="D123" s="418"/>
      <c r="E123" s="418"/>
      <c r="F123" s="460"/>
      <c r="G123" s="467"/>
      <c r="H123" s="418"/>
      <c r="I123" s="463"/>
      <c r="J123" s="418"/>
      <c r="K123" s="460"/>
      <c r="L123" s="469"/>
      <c r="M123" s="418"/>
      <c r="N123" s="418"/>
      <c r="O123" s="418"/>
      <c r="P123" s="418"/>
      <c r="Q123" s="418"/>
      <c r="R123" s="418"/>
      <c r="S123" s="418"/>
      <c r="T123" s="418"/>
      <c r="U123" s="418"/>
      <c r="AP123" s="275" t="s">
        <v>91</v>
      </c>
      <c r="AQ123" s="418"/>
      <c r="AR123" s="418"/>
      <c r="AS123" s="418"/>
      <c r="AT123" s="418"/>
      <c r="AU123" s="418"/>
      <c r="AV123" s="418"/>
      <c r="AW123" s="418"/>
      <c r="AX123" s="418"/>
    </row>
    <row r="124" spans="1:50" ht="4.5" customHeight="1" x14ac:dyDescent="0.2">
      <c r="A124" s="418"/>
      <c r="B124" s="418"/>
      <c r="C124" s="418"/>
      <c r="D124" s="418"/>
      <c r="E124" s="418"/>
      <c r="F124" s="460"/>
      <c r="G124" s="467"/>
      <c r="H124" s="418"/>
      <c r="I124" s="463"/>
      <c r="J124" s="418"/>
      <c r="K124" s="460"/>
      <c r="L124" s="469"/>
      <c r="M124" s="418"/>
      <c r="N124" s="418"/>
      <c r="O124" s="418"/>
      <c r="P124" s="418"/>
      <c r="Q124" s="418"/>
      <c r="R124" s="418"/>
      <c r="S124" s="418"/>
      <c r="T124" s="418"/>
      <c r="U124" s="418"/>
      <c r="AP124" s="275"/>
      <c r="AQ124" s="418"/>
      <c r="AR124" s="418"/>
      <c r="AS124" s="418"/>
      <c r="AT124" s="418"/>
      <c r="AU124" s="418"/>
      <c r="AV124" s="418"/>
      <c r="AW124" s="418"/>
      <c r="AX124" s="418"/>
    </row>
    <row r="125" spans="1:50" ht="13.5" customHeight="1" x14ac:dyDescent="0.2">
      <c r="A125" s="418"/>
      <c r="B125" s="418"/>
      <c r="C125" s="418"/>
      <c r="D125" s="418"/>
      <c r="E125" s="418"/>
      <c r="F125" s="418"/>
      <c r="G125" s="462"/>
      <c r="H125" s="418"/>
      <c r="I125" s="463"/>
      <c r="J125" s="418"/>
      <c r="K125" s="418"/>
      <c r="L125" s="462"/>
      <c r="M125" s="418"/>
      <c r="N125" s="418"/>
      <c r="O125" s="418"/>
      <c r="P125" s="418"/>
      <c r="Q125" s="418"/>
      <c r="R125" s="418"/>
      <c r="S125" s="418"/>
      <c r="T125" s="418"/>
      <c r="U125" s="418"/>
      <c r="AP125" s="820"/>
      <c r="AQ125" s="1093" t="s">
        <v>287</v>
      </c>
      <c r="AR125" s="1093" t="s">
        <v>288</v>
      </c>
      <c r="AS125" s="1093" t="s">
        <v>289</v>
      </c>
      <c r="AT125" s="1093" t="s">
        <v>290</v>
      </c>
      <c r="AU125" s="1365">
        <v>2012</v>
      </c>
      <c r="AV125" s="1365">
        <v>2013</v>
      </c>
      <c r="AW125" s="418"/>
      <c r="AX125" s="426" t="s">
        <v>1446</v>
      </c>
    </row>
    <row r="126" spans="1:50" ht="6" customHeight="1" x14ac:dyDescent="0.2">
      <c r="A126" s="418"/>
      <c r="B126" s="418"/>
      <c r="C126" s="418"/>
      <c r="D126" s="418"/>
      <c r="E126" s="418"/>
      <c r="F126" s="418"/>
      <c r="G126" s="462"/>
      <c r="H126" s="418"/>
      <c r="I126" s="463"/>
      <c r="J126" s="418"/>
      <c r="K126" s="418"/>
      <c r="L126" s="462"/>
      <c r="M126" s="418"/>
      <c r="N126" s="418"/>
      <c r="O126" s="418"/>
      <c r="P126" s="418"/>
      <c r="Q126" s="418"/>
      <c r="R126" s="418"/>
      <c r="S126" s="418"/>
      <c r="T126" s="418"/>
      <c r="U126" s="418"/>
      <c r="AP126" s="418"/>
      <c r="AQ126" s="1092"/>
      <c r="AR126" s="1092"/>
      <c r="AS126" s="1092"/>
      <c r="AT126" s="1092"/>
      <c r="AU126" s="1366"/>
      <c r="AV126" s="1366"/>
      <c r="AW126" s="418"/>
      <c r="AX126" s="418"/>
    </row>
    <row r="127" spans="1:50" ht="13.5" customHeight="1" x14ac:dyDescent="0.2">
      <c r="A127" s="418"/>
      <c r="B127" s="418"/>
      <c r="C127" s="458"/>
      <c r="D127" s="458"/>
      <c r="E127" s="423"/>
      <c r="F127" s="460"/>
      <c r="G127" s="467"/>
      <c r="H127" s="418"/>
      <c r="I127" s="468"/>
      <c r="J127" s="460"/>
      <c r="K127" s="423"/>
      <c r="L127" s="469"/>
      <c r="M127" s="418"/>
      <c r="N127" s="418"/>
      <c r="O127" s="418"/>
      <c r="P127" s="418"/>
      <c r="Q127" s="418"/>
      <c r="R127" s="418"/>
      <c r="S127" s="418"/>
      <c r="T127" s="418"/>
      <c r="U127" s="418"/>
      <c r="AP127" s="421" t="s">
        <v>1863</v>
      </c>
      <c r="AQ127" s="1364">
        <v>215.65</v>
      </c>
      <c r="AR127" s="1364">
        <v>283.01</v>
      </c>
      <c r="AS127" s="1364">
        <v>254.44</v>
      </c>
      <c r="AT127" s="1364">
        <v>363.97</v>
      </c>
      <c r="AU127" s="1367">
        <v>1107.8599999999999</v>
      </c>
      <c r="AV127" s="1367">
        <v>1262.53</v>
      </c>
      <c r="AW127" s="418"/>
      <c r="AX127" s="418"/>
    </row>
    <row r="128" spans="1:50" s="546" customFormat="1" ht="13.5" customHeight="1" x14ac:dyDescent="0.2">
      <c r="A128" s="418"/>
      <c r="B128" s="418"/>
      <c r="C128" s="458"/>
      <c r="D128" s="458"/>
      <c r="E128" s="423"/>
      <c r="F128" s="460"/>
      <c r="G128" s="467"/>
      <c r="H128" s="418"/>
      <c r="I128" s="468"/>
      <c r="J128" s="460"/>
      <c r="K128" s="423"/>
      <c r="L128" s="469"/>
      <c r="M128" s="418"/>
      <c r="N128" s="418"/>
      <c r="O128" s="418"/>
      <c r="P128" s="418"/>
      <c r="Q128" s="418"/>
      <c r="R128" s="418"/>
      <c r="S128" s="418"/>
      <c r="T128" s="418"/>
      <c r="U128" s="418"/>
      <c r="AJ128"/>
      <c r="AK128"/>
      <c r="AL128"/>
      <c r="AM128"/>
      <c r="AN128"/>
      <c r="AO128"/>
      <c r="AP128" s="1371" t="s">
        <v>1812</v>
      </c>
      <c r="AQ128" s="1372">
        <f>+MAR!BQ84</f>
        <v>214.92</v>
      </c>
      <c r="AR128" s="1372">
        <f>+MAR!BR84</f>
        <v>288.94</v>
      </c>
      <c r="AS128" s="1372">
        <f>+MAR!BS84</f>
        <v>284</v>
      </c>
      <c r="AT128" s="1372">
        <f>+MAR!BT84</f>
        <v>364</v>
      </c>
      <c r="AU128" s="1373">
        <f>+MAR!BU84</f>
        <v>1151.8599999999999</v>
      </c>
      <c r="AV128" s="1373">
        <f>+MAR!BZ84</f>
        <v>1148</v>
      </c>
      <c r="AW128" s="418"/>
      <c r="AX128" s="418"/>
    </row>
    <row r="129" spans="1:57" ht="13.5" customHeight="1" x14ac:dyDescent="0.2">
      <c r="A129" s="418"/>
      <c r="B129" s="418"/>
      <c r="C129" s="458"/>
      <c r="D129" s="458"/>
      <c r="E129" s="423"/>
      <c r="F129" s="460"/>
      <c r="G129" s="467"/>
      <c r="H129" s="418"/>
      <c r="I129" s="468"/>
      <c r="J129" s="460"/>
      <c r="K129" s="423"/>
      <c r="L129" s="469"/>
      <c r="M129" s="418"/>
      <c r="N129" s="418"/>
      <c r="O129" s="418"/>
      <c r="P129" s="418"/>
      <c r="Q129" s="418"/>
      <c r="R129" s="418"/>
      <c r="S129" s="418"/>
      <c r="T129" s="418"/>
      <c r="U129" s="418"/>
      <c r="AP129" s="418"/>
      <c r="AQ129" s="418"/>
      <c r="AR129" s="418"/>
      <c r="AS129" s="418"/>
      <c r="AT129" s="418"/>
      <c r="AU129" s="1161"/>
      <c r="AV129" s="1161"/>
      <c r="AW129" s="418"/>
      <c r="AX129" s="418"/>
    </row>
    <row r="130" spans="1:57" ht="13.5" customHeight="1" x14ac:dyDescent="0.2">
      <c r="A130" s="418"/>
      <c r="B130" s="418"/>
      <c r="C130" s="459"/>
      <c r="D130" s="459"/>
      <c r="E130" s="459"/>
      <c r="F130" s="418"/>
      <c r="G130" s="467"/>
      <c r="H130" s="418"/>
      <c r="I130" s="470"/>
      <c r="J130" s="459"/>
      <c r="K130" s="418"/>
      <c r="L130" s="467"/>
      <c r="M130" s="418"/>
      <c r="N130" s="418"/>
      <c r="O130" s="418"/>
      <c r="P130" s="418"/>
      <c r="Q130" s="418"/>
      <c r="R130" s="418"/>
      <c r="S130" s="418"/>
      <c r="T130" s="418"/>
      <c r="U130" s="418"/>
      <c r="AP130" s="418" t="s">
        <v>1811</v>
      </c>
      <c r="AQ130" s="463">
        <v>173.54</v>
      </c>
      <c r="AR130" s="463">
        <v>237.51</v>
      </c>
      <c r="AS130" s="463">
        <v>207.17</v>
      </c>
      <c r="AT130" s="463">
        <v>299.52</v>
      </c>
      <c r="AU130" s="1368">
        <v>935.21</v>
      </c>
      <c r="AV130" s="1368">
        <v>1079.6500000000001</v>
      </c>
      <c r="AW130" s="418"/>
      <c r="AX130" s="418"/>
    </row>
    <row r="131" spans="1:57" ht="13.5" customHeight="1" x14ac:dyDescent="0.2">
      <c r="A131" s="418"/>
      <c r="B131" s="418"/>
      <c r="C131" s="460"/>
      <c r="D131" s="460"/>
      <c r="E131" s="423"/>
      <c r="F131" s="460"/>
      <c r="G131" s="467"/>
      <c r="H131" s="418"/>
      <c r="I131" s="471"/>
      <c r="J131" s="460"/>
      <c r="K131" s="423"/>
      <c r="L131" s="469"/>
      <c r="M131" s="418"/>
      <c r="N131" s="418"/>
      <c r="O131" s="418"/>
      <c r="P131" s="418"/>
      <c r="Q131" s="418"/>
      <c r="R131" s="418"/>
      <c r="S131" s="418"/>
      <c r="T131" s="418"/>
      <c r="U131" s="418"/>
      <c r="AP131" s="418"/>
      <c r="AQ131" s="418"/>
      <c r="AR131" s="418"/>
      <c r="AS131" s="418"/>
      <c r="AT131" s="418"/>
      <c r="AU131" s="1161"/>
      <c r="AV131" s="1161"/>
      <c r="AW131" s="418"/>
      <c r="AX131" s="418"/>
    </row>
    <row r="132" spans="1:57" ht="13.5" customHeight="1" x14ac:dyDescent="0.2">
      <c r="A132" s="418"/>
      <c r="B132" s="418"/>
      <c r="C132" s="418"/>
      <c r="D132" s="418"/>
      <c r="E132" s="418"/>
      <c r="F132" s="460"/>
      <c r="G132" s="467"/>
      <c r="H132" s="418"/>
      <c r="I132" s="463"/>
      <c r="J132" s="418"/>
      <c r="K132" s="460"/>
      <c r="L132" s="469"/>
      <c r="M132" s="418"/>
      <c r="N132" s="418"/>
      <c r="O132" s="418"/>
      <c r="P132" s="418"/>
      <c r="Q132" s="418"/>
      <c r="R132" s="418"/>
      <c r="S132" s="418"/>
      <c r="T132" s="418"/>
      <c r="U132" s="418"/>
      <c r="AP132" s="418" t="s">
        <v>1296</v>
      </c>
      <c r="AQ132" s="463">
        <v>98.45</v>
      </c>
      <c r="AR132" s="463">
        <v>139.91</v>
      </c>
      <c r="AS132" s="463">
        <v>119.24</v>
      </c>
      <c r="AT132" s="463">
        <v>180</v>
      </c>
      <c r="AU132" s="1368">
        <v>539.11</v>
      </c>
      <c r="AV132" s="1368">
        <v>633.29999999999995</v>
      </c>
      <c r="AW132" s="418"/>
      <c r="AX132" s="418"/>
    </row>
    <row r="133" spans="1:57" ht="13.5" customHeight="1" x14ac:dyDescent="0.2">
      <c r="A133" s="418"/>
      <c r="B133" s="418"/>
      <c r="C133" s="418"/>
      <c r="D133" s="418"/>
      <c r="E133" s="418"/>
      <c r="F133" s="460"/>
      <c r="G133" s="467"/>
      <c r="H133" s="418"/>
      <c r="I133" s="463"/>
      <c r="J133" s="418"/>
      <c r="K133" s="460"/>
      <c r="L133" s="469"/>
      <c r="M133" s="418"/>
      <c r="N133" s="418"/>
      <c r="O133" s="418"/>
      <c r="P133" s="418"/>
      <c r="Q133" s="418"/>
      <c r="R133" s="418"/>
      <c r="S133" s="418"/>
      <c r="T133" s="418"/>
      <c r="U133" s="418"/>
      <c r="AP133" s="1371" t="s">
        <v>1812</v>
      </c>
      <c r="AQ133" s="1372"/>
      <c r="AR133" s="1372"/>
      <c r="AS133" s="1372"/>
      <c r="AT133" s="1372"/>
      <c r="AU133" s="1373"/>
      <c r="AV133" s="1373"/>
      <c r="AW133" s="418"/>
      <c r="AX133" s="418"/>
    </row>
    <row r="134" spans="1:57" ht="13.5" customHeight="1" x14ac:dyDescent="0.2">
      <c r="A134" s="418"/>
      <c r="B134" s="418"/>
      <c r="C134" s="418"/>
      <c r="D134" s="418"/>
      <c r="E134" s="418"/>
      <c r="F134" s="460"/>
      <c r="G134" s="467"/>
      <c r="H134" s="418"/>
      <c r="I134" s="463"/>
      <c r="J134" s="418"/>
      <c r="K134" s="460"/>
      <c r="L134" s="469"/>
      <c r="M134" s="418"/>
      <c r="N134" s="418"/>
      <c r="O134" s="418"/>
      <c r="P134" s="418"/>
      <c r="Q134" s="418"/>
      <c r="R134" s="418"/>
      <c r="S134" s="418"/>
      <c r="T134" s="418"/>
      <c r="U134" s="418"/>
      <c r="AP134" s="418"/>
      <c r="AQ134" s="418"/>
      <c r="AR134" s="418"/>
      <c r="AS134" s="418"/>
      <c r="AT134" s="418"/>
      <c r="AU134" s="1161"/>
      <c r="AV134" s="1161"/>
      <c r="AW134" s="418"/>
      <c r="AX134" s="418"/>
    </row>
    <row r="135" spans="1:57" ht="13.5" customHeight="1" x14ac:dyDescent="0.2">
      <c r="A135" s="418"/>
      <c r="B135" s="418"/>
      <c r="C135" s="458"/>
      <c r="D135" s="458"/>
      <c r="E135" s="423"/>
      <c r="F135" s="460"/>
      <c r="G135" s="467"/>
      <c r="H135" s="418"/>
      <c r="I135" s="468"/>
      <c r="J135" s="460"/>
      <c r="K135" s="423"/>
      <c r="L135" s="469"/>
      <c r="M135" s="418"/>
      <c r="N135" s="418"/>
      <c r="O135" s="418"/>
      <c r="P135" s="418"/>
      <c r="Q135" s="418"/>
      <c r="R135" s="418"/>
      <c r="S135" s="418"/>
      <c r="T135" s="418"/>
      <c r="U135" s="418"/>
      <c r="AP135" s="418" t="s">
        <v>1253</v>
      </c>
      <c r="AQ135" s="1369">
        <v>0.28999999999999998</v>
      </c>
      <c r="AR135" s="1369">
        <v>0.42</v>
      </c>
      <c r="AS135" s="1369">
        <v>0.36</v>
      </c>
      <c r="AT135" s="1369">
        <v>0.54</v>
      </c>
      <c r="AU135" s="1370">
        <v>1.6</v>
      </c>
      <c r="AV135" s="1370">
        <v>1.93</v>
      </c>
      <c r="AW135" s="418"/>
      <c r="AX135" s="418"/>
    </row>
    <row r="136" spans="1:57" ht="13.5" customHeight="1" x14ac:dyDescent="0.2">
      <c r="A136" s="418"/>
      <c r="B136" s="418"/>
      <c r="C136" s="459"/>
      <c r="D136" s="459"/>
      <c r="E136" s="459"/>
      <c r="F136" s="418"/>
      <c r="G136" s="467"/>
      <c r="H136" s="418"/>
      <c r="I136" s="470"/>
      <c r="J136" s="459"/>
      <c r="K136" s="418"/>
      <c r="L136" s="467"/>
      <c r="M136" s="418"/>
      <c r="N136" s="418"/>
      <c r="O136" s="418"/>
      <c r="P136" s="418"/>
      <c r="Q136" s="418"/>
      <c r="R136" s="418"/>
      <c r="S136" s="418"/>
      <c r="T136" s="418"/>
      <c r="U136" s="418"/>
      <c r="AP136" s="1371" t="s">
        <v>1812</v>
      </c>
      <c r="AQ136" s="1374">
        <f>+MAR!BQ60</f>
        <v>0.30179918746372603</v>
      </c>
      <c r="AR136" s="1374">
        <f>+MAR!BR60</f>
        <v>0.42307692307692307</v>
      </c>
      <c r="AS136" s="1374">
        <f>+MAR!BS60</f>
        <v>0.4342544791982994</v>
      </c>
      <c r="AT136" s="1374">
        <f>+MAR!BT60</f>
        <v>0.56176288019863441</v>
      </c>
      <c r="AU136" s="1375">
        <f>+MAR!BU60</f>
        <v>1.71522979873836</v>
      </c>
      <c r="AV136" s="1375">
        <f>+MAR!BZ60</f>
        <v>2</v>
      </c>
      <c r="AW136" s="418"/>
      <c r="AX136" s="418"/>
    </row>
    <row r="137" spans="1:57" ht="4.5" customHeight="1" x14ac:dyDescent="0.2">
      <c r="A137" s="418"/>
      <c r="B137" s="418"/>
      <c r="C137" s="460"/>
      <c r="D137" s="460"/>
      <c r="E137" s="423"/>
      <c r="F137" s="460"/>
      <c r="G137" s="467"/>
      <c r="H137" s="418"/>
      <c r="I137" s="471"/>
      <c r="J137" s="460"/>
      <c r="K137" s="423"/>
      <c r="L137" s="469"/>
      <c r="M137" s="418"/>
      <c r="N137" s="418"/>
      <c r="O137" s="418"/>
      <c r="P137" s="418"/>
      <c r="Q137" s="418"/>
      <c r="R137" s="418"/>
      <c r="S137" s="418"/>
      <c r="T137" s="418"/>
      <c r="U137" s="418"/>
      <c r="V137" s="418"/>
      <c r="W137" s="418"/>
      <c r="X137" s="418"/>
      <c r="Y137" s="418"/>
      <c r="Z137" s="418"/>
      <c r="AA137" s="418"/>
      <c r="AB137" s="418"/>
      <c r="AC137" s="418"/>
      <c r="AD137" s="418"/>
      <c r="AE137" s="418"/>
      <c r="AF137" s="418"/>
      <c r="AG137" s="418"/>
      <c r="AH137" s="418"/>
      <c r="AI137" s="418"/>
      <c r="AP137" s="418"/>
      <c r="AQ137" s="1094"/>
      <c r="AR137" s="1094"/>
      <c r="AS137" s="1094"/>
      <c r="AT137" s="1094"/>
      <c r="AU137" s="418"/>
      <c r="AV137" s="418"/>
      <c r="AW137" s="418"/>
      <c r="AX137" s="418"/>
    </row>
    <row r="138" spans="1:57" ht="13.5" customHeight="1" x14ac:dyDescent="0.2">
      <c r="AZ138" s="248" t="s">
        <v>93</v>
      </c>
    </row>
    <row r="139" spans="1:57" ht="13.5" customHeight="1" x14ac:dyDescent="0.2">
      <c r="AZ139" s="70" t="s">
        <v>91</v>
      </c>
    </row>
    <row r="140" spans="1:57" ht="5.25" customHeight="1" x14ac:dyDescent="0.2">
      <c r="AZ140" s="248"/>
    </row>
    <row r="141" spans="1:57" ht="13.5" customHeight="1" x14ac:dyDescent="0.2">
      <c r="AZ141" s="70"/>
      <c r="BA141" s="856" t="s">
        <v>39</v>
      </c>
      <c r="BB141" s="200"/>
      <c r="BC141" s="70"/>
      <c r="BD141" s="856" t="s">
        <v>1323</v>
      </c>
      <c r="BE141" s="200"/>
    </row>
    <row r="142" spans="1:57" ht="13.5" customHeight="1" x14ac:dyDescent="0.2">
      <c r="AZ142" s="70"/>
      <c r="BA142" s="558" t="s">
        <v>12</v>
      </c>
      <c r="BB142" s="551" t="s">
        <v>11</v>
      </c>
      <c r="BC142" s="181"/>
      <c r="BD142" s="558" t="s">
        <v>12</v>
      </c>
      <c r="BE142" s="551" t="s">
        <v>11</v>
      </c>
    </row>
    <row r="143" spans="1:57" ht="3.95" customHeight="1" x14ac:dyDescent="0.2">
      <c r="AZ143" s="70"/>
      <c r="BA143" s="194"/>
      <c r="BB143" s="70"/>
      <c r="BC143" s="70"/>
      <c r="BD143" s="194"/>
      <c r="BE143" s="70"/>
    </row>
    <row r="144" spans="1:57" ht="13.5" customHeight="1" x14ac:dyDescent="0.2">
      <c r="AZ144" s="70" t="s">
        <v>1427</v>
      </c>
      <c r="BA144" s="559">
        <f>+MAR!BQ14</f>
        <v>2552</v>
      </c>
      <c r="BB144" s="21">
        <v>545.1840520804177</v>
      </c>
      <c r="BC144" s="21"/>
      <c r="BD144" s="559">
        <f>+MAR!BU14</f>
        <v>11814</v>
      </c>
      <c r="BE144" s="556">
        <v>2596.3392073371574</v>
      </c>
    </row>
    <row r="145" spans="52:57" ht="13.5" customHeight="1" x14ac:dyDescent="0.2">
      <c r="AZ145" s="70"/>
      <c r="BA145" s="194"/>
      <c r="BB145" s="546"/>
      <c r="BC145" s="70"/>
      <c r="BD145" s="194"/>
      <c r="BE145" s="70"/>
    </row>
    <row r="146" spans="52:57" ht="13.5" customHeight="1" x14ac:dyDescent="0.2">
      <c r="AZ146" s="70" t="s">
        <v>1863</v>
      </c>
      <c r="BA146" s="194">
        <f>+MAR!BQ84</f>
        <v>214.92</v>
      </c>
      <c r="BB146" s="70">
        <v>211.7300867194142</v>
      </c>
      <c r="BC146" s="70"/>
      <c r="BD146" s="194">
        <f>+MAR!BU84</f>
        <v>1151.8599999999999</v>
      </c>
      <c r="BE146" s="70">
        <v>1105.6135659094714</v>
      </c>
    </row>
    <row r="147" spans="52:57" ht="13.5" customHeight="1" x14ac:dyDescent="0.2">
      <c r="AZ147" s="70"/>
      <c r="BA147" s="194"/>
      <c r="BB147" s="70"/>
      <c r="BC147" s="70"/>
      <c r="BD147" s="194"/>
      <c r="BE147" s="70"/>
    </row>
    <row r="148" spans="52:57" ht="13.5" customHeight="1" x14ac:dyDescent="0.2">
      <c r="AZ148" s="70" t="s">
        <v>1296</v>
      </c>
      <c r="BA148" s="194"/>
      <c r="BB148" s="70">
        <v>95.96736738865954</v>
      </c>
      <c r="BC148" s="70"/>
      <c r="BD148" s="194">
        <f>+MAR!BU51</f>
        <v>571</v>
      </c>
      <c r="BE148" s="70">
        <v>534.51156288486663</v>
      </c>
    </row>
    <row r="149" spans="52:57" ht="13.5" customHeight="1" x14ac:dyDescent="0.2">
      <c r="AZ149" s="70"/>
      <c r="BA149" s="194"/>
      <c r="BB149" s="70"/>
      <c r="BC149" s="70"/>
      <c r="BD149" s="194"/>
      <c r="BE149" s="70"/>
    </row>
    <row r="150" spans="52:57" ht="13.5" customHeight="1" x14ac:dyDescent="0.2">
      <c r="AZ150" s="70" t="s">
        <v>1253</v>
      </c>
      <c r="BA150" s="560">
        <f>+MAR!BQ59</f>
        <v>0.30179918746372603</v>
      </c>
      <c r="BB150" s="557">
        <v>0.28724352568041422</v>
      </c>
      <c r="BC150" s="1311"/>
      <c r="BD150" s="560">
        <f>+MAR!BU59</f>
        <v>1.71522979873836</v>
      </c>
      <c r="BE150" s="557">
        <v>1.5975185668031273</v>
      </c>
    </row>
    <row r="151" spans="52:57" ht="2.1" customHeight="1" x14ac:dyDescent="0.2">
      <c r="BA151" s="77"/>
      <c r="BD151" s="77"/>
    </row>
    <row r="172" ht="5.25" customHeight="1" x14ac:dyDescent="0.2"/>
    <row r="175" ht="5.25" customHeight="1" x14ac:dyDescent="0.2"/>
    <row r="181" ht="5.25" customHeight="1" x14ac:dyDescent="0.2"/>
    <row r="187" ht="4.5" customHeight="1" x14ac:dyDescent="0.2"/>
  </sheetData>
  <phoneticPr fontId="57" type="noConversion"/>
  <pageMargins left="0.5" right="0.5" top="0.5" bottom="0.5" header="0.5" footer="0.5"/>
  <pageSetup scale="74" orientation="portrait" horizontalDpi="1200" verticalDpi="1200"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2:U7"/>
  <sheetViews>
    <sheetView zoomScale="85" workbookViewId="0"/>
  </sheetViews>
  <sheetFormatPr defaultRowHeight="12.75" x14ac:dyDescent="0.2"/>
  <cols>
    <col min="1" max="1" width="41.1640625" style="70" customWidth="1"/>
    <col min="2" max="16384" width="9.33203125" style="70"/>
  </cols>
  <sheetData>
    <row r="2" spans="1:21" x14ac:dyDescent="0.2">
      <c r="A2" s="609" t="s">
        <v>1487</v>
      </c>
      <c r="B2" s="611">
        <f>+MAR!M5</f>
        <v>2000</v>
      </c>
      <c r="C2" s="611">
        <f>+MAR!R5</f>
        <v>2001</v>
      </c>
      <c r="D2" s="611">
        <f>+MAR!W5</f>
        <v>2002</v>
      </c>
      <c r="E2" s="611">
        <f>+MAR!AB5</f>
        <v>2003</v>
      </c>
      <c r="F2" s="611" t="str">
        <f>+MAR!AG5</f>
        <v>2004</v>
      </c>
      <c r="G2" s="611" t="str">
        <f>+MAR!AL5</f>
        <v>2005</v>
      </c>
      <c r="H2" s="611" t="str">
        <f>+MAR!AQ5</f>
        <v>2006</v>
      </c>
      <c r="I2" s="611" t="str">
        <f>+MAR!AV5</f>
        <v>2007</v>
      </c>
      <c r="J2" s="611" t="str">
        <f>+MAR!BA5</f>
        <v>2008</v>
      </c>
      <c r="K2" s="611" t="str">
        <f>+MAR!BF5</f>
        <v>2009</v>
      </c>
      <c r="L2" s="611" t="str">
        <f>+MAR!BK5</f>
        <v>2010</v>
      </c>
      <c r="M2" s="611">
        <f>+MAR!BP5</f>
        <v>2011</v>
      </c>
      <c r="N2" s="611"/>
      <c r="O2" s="611"/>
      <c r="P2" s="611"/>
      <c r="Q2" s="611"/>
      <c r="R2" s="611"/>
      <c r="S2" s="611"/>
      <c r="T2" s="611"/>
      <c r="U2" s="611"/>
    </row>
    <row r="3" spans="1:21" x14ac:dyDescent="0.2">
      <c r="A3" s="865" t="s">
        <v>1488</v>
      </c>
      <c r="B3" s="1229">
        <v>109</v>
      </c>
      <c r="C3" s="1229">
        <v>107</v>
      </c>
      <c r="D3" s="1229">
        <v>73.15384615384616</v>
      </c>
      <c r="E3" s="1229">
        <v>74</v>
      </c>
      <c r="F3" s="1229">
        <v>76.666666666666671</v>
      </c>
      <c r="G3" s="1229">
        <v>72</v>
      </c>
      <c r="H3" s="1229">
        <v>77.892857142857139</v>
      </c>
      <c r="I3" s="1229">
        <v>88</v>
      </c>
      <c r="J3" s="1229">
        <v>89</v>
      </c>
      <c r="K3" s="1229">
        <v>93</v>
      </c>
      <c r="L3" s="1229">
        <v>93</v>
      </c>
      <c r="M3" s="1229">
        <v>91</v>
      </c>
      <c r="N3" s="205"/>
      <c r="O3" s="205"/>
      <c r="P3" s="205"/>
      <c r="Q3" s="205"/>
      <c r="R3" s="205"/>
      <c r="S3" s="205"/>
      <c r="T3" s="205"/>
      <c r="U3" s="205"/>
    </row>
    <row r="4" spans="1:21" x14ac:dyDescent="0.2">
      <c r="A4" s="865" t="s">
        <v>576</v>
      </c>
      <c r="B4" s="1229">
        <v>22</v>
      </c>
      <c r="C4" s="1229">
        <v>34</v>
      </c>
      <c r="D4" s="1229">
        <v>38</v>
      </c>
      <c r="E4" s="1229">
        <v>49</v>
      </c>
      <c r="F4" s="1229">
        <v>49</v>
      </c>
      <c r="G4" s="1229">
        <v>46</v>
      </c>
      <c r="H4" s="1229">
        <v>39</v>
      </c>
      <c r="I4" s="1229">
        <v>39</v>
      </c>
      <c r="J4" s="1229">
        <v>46</v>
      </c>
      <c r="K4" s="1229">
        <v>42</v>
      </c>
      <c r="L4" s="1229">
        <v>36</v>
      </c>
      <c r="M4" s="1229">
        <v>28</v>
      </c>
      <c r="N4" s="205"/>
      <c r="O4" s="205"/>
      <c r="P4" s="205"/>
      <c r="Q4" s="205"/>
      <c r="R4" s="205"/>
      <c r="S4" s="205"/>
      <c r="T4" s="205"/>
      <c r="U4" s="205"/>
    </row>
    <row r="5" spans="1:21" x14ac:dyDescent="0.2">
      <c r="A5" s="865" t="s">
        <v>1486</v>
      </c>
      <c r="B5" s="1229">
        <v>30</v>
      </c>
      <c r="C5" s="1229">
        <v>36</v>
      </c>
      <c r="D5" s="1229">
        <v>31</v>
      </c>
      <c r="E5" s="1229">
        <v>29</v>
      </c>
      <c r="F5" s="1229">
        <v>30.333333333333332</v>
      </c>
      <c r="G5" s="1229">
        <v>57</v>
      </c>
      <c r="H5" s="1229">
        <v>61</v>
      </c>
      <c r="I5" s="1229">
        <v>62</v>
      </c>
      <c r="J5" s="1229">
        <v>55</v>
      </c>
      <c r="K5" s="1229">
        <v>50</v>
      </c>
      <c r="L5" s="1229">
        <v>49</v>
      </c>
      <c r="M5" s="1229">
        <v>49</v>
      </c>
      <c r="N5" s="205"/>
      <c r="O5" s="205"/>
      <c r="P5" s="205"/>
      <c r="Q5" s="205"/>
      <c r="R5" s="205"/>
      <c r="S5" s="205"/>
      <c r="T5" s="205"/>
      <c r="U5" s="205"/>
    </row>
    <row r="6" spans="1:21" s="1207" customFormat="1" x14ac:dyDescent="0.2">
      <c r="A6" s="878" t="s">
        <v>2039</v>
      </c>
      <c r="B6" s="1230">
        <v>0</v>
      </c>
      <c r="C6" s="1230">
        <v>0</v>
      </c>
      <c r="D6" s="1230">
        <v>8</v>
      </c>
      <c r="E6" s="1230">
        <v>8</v>
      </c>
      <c r="F6" s="1230">
        <v>10</v>
      </c>
      <c r="G6" s="1230">
        <v>10</v>
      </c>
      <c r="H6" s="1230">
        <v>10</v>
      </c>
      <c r="I6" s="1230">
        <v>8</v>
      </c>
      <c r="J6" s="1230">
        <v>0</v>
      </c>
      <c r="K6" s="1230">
        <v>0</v>
      </c>
      <c r="L6" s="1230">
        <v>0</v>
      </c>
      <c r="M6" s="1230">
        <v>0</v>
      </c>
      <c r="N6" s="210"/>
      <c r="O6" s="210"/>
      <c r="P6" s="210"/>
      <c r="Q6" s="210"/>
      <c r="R6" s="210"/>
      <c r="S6" s="210"/>
      <c r="T6" s="210"/>
      <c r="U6" s="210"/>
    </row>
    <row r="7" spans="1:21" x14ac:dyDescent="0.2">
      <c r="A7" s="867" t="s">
        <v>1342</v>
      </c>
      <c r="B7" s="1228">
        <f>+SUM(B3:B6)</f>
        <v>161</v>
      </c>
      <c r="C7" s="1228">
        <f t="shared" ref="C7:M7" si="0">+SUM(C3:C6)</f>
        <v>177</v>
      </c>
      <c r="D7" s="1228">
        <f t="shared" si="0"/>
        <v>150.15384615384616</v>
      </c>
      <c r="E7" s="1228">
        <f t="shared" si="0"/>
        <v>160</v>
      </c>
      <c r="F7" s="1228">
        <f t="shared" si="0"/>
        <v>166</v>
      </c>
      <c r="G7" s="1228">
        <f t="shared" si="0"/>
        <v>185</v>
      </c>
      <c r="H7" s="1228">
        <f t="shared" si="0"/>
        <v>187.89285714285714</v>
      </c>
      <c r="I7" s="1228">
        <f t="shared" si="0"/>
        <v>197</v>
      </c>
      <c r="J7" s="1228">
        <f t="shared" si="0"/>
        <v>190</v>
      </c>
      <c r="K7" s="1228">
        <f t="shared" si="0"/>
        <v>185</v>
      </c>
      <c r="L7" s="1228">
        <f t="shared" si="0"/>
        <v>178</v>
      </c>
      <c r="M7" s="1228">
        <f t="shared" si="0"/>
        <v>168</v>
      </c>
      <c r="N7" s="1228"/>
      <c r="O7" s="1228"/>
      <c r="P7" s="1228"/>
      <c r="Q7" s="1228"/>
      <c r="R7" s="1228"/>
      <c r="S7" s="1228"/>
      <c r="T7" s="1228"/>
      <c r="U7" s="1228"/>
    </row>
  </sheetData>
  <phoneticPr fontId="66" type="noConversion"/>
  <pageMargins left="0.75" right="0.75" top="1" bottom="1" header="0.5" footer="0.5"/>
  <pageSetup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L57"/>
  <sheetViews>
    <sheetView zoomScale="85" workbookViewId="0"/>
  </sheetViews>
  <sheetFormatPr defaultRowHeight="12.75" outlineLevelRow="1" x14ac:dyDescent="0.2"/>
  <cols>
    <col min="1" max="1" width="28" style="1031" customWidth="1"/>
    <col min="2" max="2" width="10.83203125" style="1031" customWidth="1"/>
    <col min="3" max="6" width="10.83203125" style="70" customWidth="1"/>
    <col min="7" max="16384" width="9.33203125" style="70"/>
  </cols>
  <sheetData>
    <row r="1" spans="1:12" x14ac:dyDescent="0.2">
      <c r="A1" s="1029" t="s">
        <v>1314</v>
      </c>
      <c r="B1" s="1029"/>
    </row>
    <row r="2" spans="1:12" x14ac:dyDescent="0.2">
      <c r="A2" s="1030" t="s">
        <v>1315</v>
      </c>
      <c r="B2" s="1030"/>
    </row>
    <row r="4" spans="1:12" ht="12.75" customHeight="1" x14ac:dyDescent="0.2">
      <c r="A4" s="1032"/>
      <c r="B4" s="611" t="s">
        <v>39</v>
      </c>
      <c r="C4" s="335" t="s">
        <v>1544</v>
      </c>
      <c r="D4" s="335" t="s">
        <v>1543</v>
      </c>
      <c r="E4" s="335" t="s">
        <v>1542</v>
      </c>
      <c r="F4" s="335" t="s">
        <v>644</v>
      </c>
    </row>
    <row r="5" spans="1:12" ht="12.75" customHeight="1" x14ac:dyDescent="0.2">
      <c r="A5" s="923"/>
      <c r="B5" s="923"/>
      <c r="C5" s="1051"/>
    </row>
    <row r="6" spans="1:12" ht="12.75" customHeight="1" x14ac:dyDescent="0.2">
      <c r="A6" s="926" t="s">
        <v>1201</v>
      </c>
      <c r="B6" s="926"/>
      <c r="C6" s="1051"/>
    </row>
    <row r="7" spans="1:12" ht="12.75" customHeight="1" x14ac:dyDescent="0.2">
      <c r="A7" s="1031" t="s">
        <v>1417</v>
      </c>
      <c r="B7" s="384">
        <v>7.4652463165801278E-2</v>
      </c>
      <c r="C7" s="384">
        <v>8.725678342216267E-2</v>
      </c>
      <c r="D7" s="384">
        <v>0.11330926975811895</v>
      </c>
      <c r="E7" s="384">
        <v>0.11226201276371314</v>
      </c>
      <c r="F7" s="384">
        <v>0.12351865235518682</v>
      </c>
      <c r="I7" s="259"/>
      <c r="J7" s="259"/>
      <c r="K7" s="259"/>
      <c r="L7" s="259"/>
    </row>
    <row r="8" spans="1:12" x14ac:dyDescent="0.2">
      <c r="A8" s="1031" t="s">
        <v>1383</v>
      </c>
      <c r="B8" s="384">
        <v>5.9341019425152262E-2</v>
      </c>
      <c r="C8" s="384">
        <v>6.3615039666683373E-2</v>
      </c>
      <c r="D8" s="384">
        <v>6.1024052089621916E-2</v>
      </c>
      <c r="E8" s="384">
        <v>6.1624746461328511E-2</v>
      </c>
      <c r="F8" s="384">
        <v>7.3114953109449932E-2</v>
      </c>
    </row>
    <row r="9" spans="1:12" x14ac:dyDescent="0.2">
      <c r="A9" s="1031" t="s">
        <v>1387</v>
      </c>
      <c r="B9" s="384">
        <v>6.4833308275693821E-2</v>
      </c>
      <c r="C9" s="384">
        <v>8.0169114153838039E-2</v>
      </c>
      <c r="D9" s="384">
        <v>7.8844347885115351E-2</v>
      </c>
      <c r="E9" s="384">
        <v>7.6045918572681559E-2</v>
      </c>
      <c r="F9" s="384">
        <v>8.4295217569592212E-2</v>
      </c>
    </row>
    <row r="10" spans="1:12" x14ac:dyDescent="0.2">
      <c r="A10" s="1031" t="s">
        <v>1255</v>
      </c>
      <c r="B10" s="384">
        <v>6.9880208534842503E-2</v>
      </c>
      <c r="C10" s="384">
        <v>8.8097277982633948E-2</v>
      </c>
      <c r="D10" s="384">
        <v>8.6897050255388367E-2</v>
      </c>
      <c r="E10" s="384">
        <v>8.5249757283780286E-2</v>
      </c>
      <c r="F10" s="384">
        <v>8.3613684644250952E-2</v>
      </c>
    </row>
    <row r="12" spans="1:12" x14ac:dyDescent="0.2">
      <c r="A12" s="1029" t="s">
        <v>1627</v>
      </c>
      <c r="B12" s="1029"/>
    </row>
    <row r="13" spans="1:12" x14ac:dyDescent="0.2">
      <c r="A13" s="1031" t="s">
        <v>1417</v>
      </c>
      <c r="B13" s="259"/>
      <c r="C13" s="259"/>
      <c r="D13" s="259"/>
      <c r="E13" s="259"/>
      <c r="F13" s="259"/>
    </row>
    <row r="14" spans="1:12" x14ac:dyDescent="0.2">
      <c r="A14" s="1031" t="s">
        <v>1383</v>
      </c>
      <c r="B14" s="259"/>
      <c r="C14" s="259"/>
      <c r="D14" s="259"/>
      <c r="E14" s="259"/>
      <c r="F14" s="259"/>
    </row>
    <row r="15" spans="1:12" x14ac:dyDescent="0.2">
      <c r="A15" s="1031" t="s">
        <v>1387</v>
      </c>
      <c r="B15" s="259"/>
      <c r="C15" s="259"/>
      <c r="D15" s="259"/>
      <c r="E15" s="259"/>
      <c r="F15" s="259"/>
    </row>
    <row r="16" spans="1:12" x14ac:dyDescent="0.2">
      <c r="A16" s="1031" t="s">
        <v>1255</v>
      </c>
      <c r="B16" s="259"/>
      <c r="C16" s="259"/>
      <c r="D16" s="259"/>
      <c r="E16" s="259"/>
      <c r="F16" s="259"/>
    </row>
    <row r="17" spans="1:6" x14ac:dyDescent="0.2">
      <c r="B17" s="70"/>
    </row>
    <row r="18" spans="1:6" outlineLevel="1" x14ac:dyDescent="0.2">
      <c r="A18" s="1029" t="s">
        <v>1202</v>
      </c>
      <c r="B18" s="70"/>
    </row>
    <row r="19" spans="1:6" outlineLevel="1" x14ac:dyDescent="0.2">
      <c r="A19" s="1031" t="s">
        <v>1384</v>
      </c>
      <c r="B19" s="249">
        <f>+Rooms!BH465</f>
        <v>11587</v>
      </c>
      <c r="C19" s="249">
        <f>+Rooms!BI465</f>
        <v>11587</v>
      </c>
      <c r="D19" s="249">
        <f>+Rooms!BH465</f>
        <v>11587</v>
      </c>
      <c r="E19" s="249">
        <f>+Rooms!BG465</f>
        <v>11587</v>
      </c>
      <c r="F19" s="249">
        <f>+Rooms!BE465</f>
        <v>11587</v>
      </c>
    </row>
    <row r="20" spans="1:6" outlineLevel="1" x14ac:dyDescent="0.2">
      <c r="A20" s="1031" t="s">
        <v>2046</v>
      </c>
      <c r="B20" s="249"/>
      <c r="C20" s="249"/>
      <c r="D20" s="249"/>
      <c r="E20" s="249"/>
      <c r="F20" s="249"/>
    </row>
    <row r="21" spans="1:6" outlineLevel="1" x14ac:dyDescent="0.2">
      <c r="A21" s="1031" t="s">
        <v>346</v>
      </c>
      <c r="B21" s="249">
        <f>+Rooms!BH496+Rooms!BH461</f>
        <v>141829</v>
      </c>
      <c r="C21" s="249">
        <f>+Rooms!BI496+Rooms!BI461</f>
        <v>141532</v>
      </c>
      <c r="D21" s="249">
        <f>+Rooms!BH496+Rooms!BH461</f>
        <v>141829</v>
      </c>
      <c r="E21" s="249">
        <f>+Rooms!BG496+Rooms!BG461</f>
        <v>141829</v>
      </c>
      <c r="F21" s="249">
        <f>+Rooms!BE496+Rooms!BE461</f>
        <v>141302</v>
      </c>
    </row>
    <row r="22" spans="1:6" outlineLevel="1" x14ac:dyDescent="0.2">
      <c r="A22" s="1031" t="s">
        <v>1385</v>
      </c>
      <c r="B22" s="249">
        <f>+Rooms!BH497+Rooms!BH462</f>
        <v>28416</v>
      </c>
      <c r="C22" s="249">
        <f>+Rooms!BI497+Rooms!BI462</f>
        <v>28136</v>
      </c>
      <c r="D22" s="249">
        <f>+Rooms!BH497+Rooms!BH462</f>
        <v>28416</v>
      </c>
      <c r="E22" s="249">
        <f>+Rooms!BG497+Rooms!BG462</f>
        <v>28416</v>
      </c>
      <c r="F22" s="249">
        <f>+Rooms!BE497+Rooms!BE462</f>
        <v>27812</v>
      </c>
    </row>
    <row r="23" spans="1:6" outlineLevel="1" x14ac:dyDescent="0.2">
      <c r="A23" s="1031" t="s">
        <v>1386</v>
      </c>
      <c r="B23" s="249">
        <f>+Rooms!BH504+Rooms!BH469</f>
        <v>109125</v>
      </c>
      <c r="C23" s="249">
        <f>+Rooms!BI504+Rooms!BI469</f>
        <v>109264</v>
      </c>
      <c r="D23" s="249">
        <f>+Rooms!BH504+Rooms!BH469</f>
        <v>109125</v>
      </c>
      <c r="E23" s="249">
        <f>+Rooms!BG504+Rooms!BG469</f>
        <v>108727</v>
      </c>
      <c r="F23" s="249">
        <f>+Rooms!BE504+Rooms!BE469</f>
        <v>108320</v>
      </c>
    </row>
    <row r="24" spans="1:6" outlineLevel="1" x14ac:dyDescent="0.2">
      <c r="A24" s="1031" t="s">
        <v>1389</v>
      </c>
      <c r="B24" s="249">
        <f>+Rooms!BH508+Rooms!BH473</f>
        <v>59000</v>
      </c>
      <c r="C24" s="249">
        <f>+Rooms!BI508+Rooms!BI473</f>
        <v>60010</v>
      </c>
      <c r="D24" s="249">
        <f>+Rooms!BH508+Rooms!BH473</f>
        <v>59000</v>
      </c>
      <c r="E24" s="249">
        <f>+Rooms!BG508+Rooms!BG473</f>
        <v>58542</v>
      </c>
      <c r="F24" s="249">
        <f>+Rooms!BE508+Rooms!BE473</f>
        <v>58510</v>
      </c>
    </row>
    <row r="25" spans="1:6" outlineLevel="1" x14ac:dyDescent="0.2">
      <c r="A25" s="1031" t="s">
        <v>452</v>
      </c>
      <c r="B25" s="249">
        <f>+Rooms!BH506+Rooms!BH471</f>
        <v>71875</v>
      </c>
      <c r="C25" s="249">
        <f>+Rooms!BI506+Rooms!BI471</f>
        <v>71875</v>
      </c>
      <c r="D25" s="249">
        <f>+Rooms!BH506+Rooms!BH471</f>
        <v>71875</v>
      </c>
      <c r="E25" s="249">
        <f>+Rooms!BG506+Rooms!BG471</f>
        <v>71838</v>
      </c>
      <c r="F25" s="249">
        <f>+Rooms!BE506+Rooms!BE471</f>
        <v>71379</v>
      </c>
    </row>
    <row r="26" spans="1:6" outlineLevel="1" x14ac:dyDescent="0.2">
      <c r="A26" s="1031" t="s">
        <v>1390</v>
      </c>
      <c r="B26" s="249">
        <f>+Rooms!BH509+Rooms!BH475</f>
        <v>32764</v>
      </c>
      <c r="C26" s="249">
        <f>+Rooms!BI509+Rooms!BI475</f>
        <v>33234</v>
      </c>
      <c r="D26" s="249">
        <f>+Rooms!BH509+Rooms!BH475</f>
        <v>32764</v>
      </c>
      <c r="E26" s="249">
        <f>+Rooms!BG509+Rooms!BG475</f>
        <v>31961</v>
      </c>
      <c r="F26" s="249">
        <f>+Rooms!BE509+Rooms!BE475</f>
        <v>31961</v>
      </c>
    </row>
    <row r="27" spans="1:6" outlineLevel="1" x14ac:dyDescent="0.2">
      <c r="A27" s="1031" t="s">
        <v>1391</v>
      </c>
      <c r="B27" s="249">
        <f>+Rooms!BH507+Rooms!BH472</f>
        <v>19597</v>
      </c>
      <c r="C27" s="249">
        <f>+Rooms!BI507+Rooms!BI472</f>
        <v>19770</v>
      </c>
      <c r="D27" s="249">
        <f>+Rooms!BH507+Rooms!BH472</f>
        <v>19597</v>
      </c>
      <c r="E27" s="249">
        <f>+Rooms!BG507+Rooms!BG472</f>
        <v>19409</v>
      </c>
      <c r="F27" s="249">
        <f>+Rooms!BE507+Rooms!BE472</f>
        <v>19320</v>
      </c>
    </row>
    <row r="28" spans="1:6" outlineLevel="1" x14ac:dyDescent="0.2">
      <c r="A28" s="1029"/>
      <c r="B28" s="1029"/>
      <c r="C28" s="249"/>
      <c r="D28" s="249"/>
      <c r="E28" s="249"/>
      <c r="F28" s="249"/>
    </row>
    <row r="29" spans="1:6" outlineLevel="1" x14ac:dyDescent="0.2">
      <c r="A29" s="1029" t="s">
        <v>1311</v>
      </c>
      <c r="B29" s="1029"/>
      <c r="C29" s="249"/>
      <c r="D29" s="249"/>
      <c r="E29" s="249"/>
      <c r="F29" s="249"/>
    </row>
    <row r="30" spans="1:6" outlineLevel="1" x14ac:dyDescent="0.2">
      <c r="A30" s="1031" t="s">
        <v>1384</v>
      </c>
      <c r="B30" s="249"/>
      <c r="C30" s="249"/>
      <c r="D30" s="249"/>
      <c r="E30" s="249"/>
      <c r="F30" s="249"/>
    </row>
    <row r="31" spans="1:6" outlineLevel="1" x14ac:dyDescent="0.2">
      <c r="A31" s="1031" t="s">
        <v>2046</v>
      </c>
      <c r="B31" s="249"/>
      <c r="C31" s="249"/>
      <c r="D31" s="249"/>
      <c r="E31" s="249"/>
      <c r="F31" s="249"/>
    </row>
    <row r="32" spans="1:6" outlineLevel="1" x14ac:dyDescent="0.2">
      <c r="A32" s="1031" t="s">
        <v>346</v>
      </c>
      <c r="B32" s="249"/>
      <c r="C32" s="249"/>
      <c r="D32" s="249"/>
      <c r="E32" s="249"/>
      <c r="F32" s="249"/>
    </row>
    <row r="33" spans="1:6" outlineLevel="1" x14ac:dyDescent="0.2">
      <c r="A33" s="1031" t="s">
        <v>1385</v>
      </c>
      <c r="B33" s="249"/>
      <c r="C33" s="249"/>
      <c r="D33" s="249"/>
      <c r="E33" s="249"/>
      <c r="F33" s="249"/>
    </row>
    <row r="34" spans="1:6" outlineLevel="1" x14ac:dyDescent="0.2">
      <c r="A34" s="1031" t="s">
        <v>1386</v>
      </c>
      <c r="B34" s="249"/>
      <c r="C34" s="249"/>
      <c r="D34" s="249"/>
      <c r="E34" s="249"/>
      <c r="F34" s="249"/>
    </row>
    <row r="35" spans="1:6" outlineLevel="1" x14ac:dyDescent="0.2">
      <c r="A35" s="1031" t="s">
        <v>1389</v>
      </c>
      <c r="B35" s="249"/>
      <c r="C35" s="249"/>
      <c r="D35" s="249"/>
      <c r="E35" s="249"/>
      <c r="F35" s="249"/>
    </row>
    <row r="36" spans="1:6" outlineLevel="1" x14ac:dyDescent="0.2">
      <c r="A36" s="1031" t="s">
        <v>452</v>
      </c>
      <c r="B36" s="249"/>
      <c r="C36" s="249"/>
      <c r="D36" s="249"/>
      <c r="E36" s="249"/>
      <c r="F36" s="249"/>
    </row>
    <row r="37" spans="1:6" outlineLevel="1" x14ac:dyDescent="0.2">
      <c r="A37" s="1031" t="s">
        <v>1390</v>
      </c>
      <c r="B37" s="249"/>
      <c r="C37" s="249"/>
      <c r="D37" s="249"/>
      <c r="E37" s="249"/>
      <c r="F37" s="249"/>
    </row>
    <row r="38" spans="1:6" outlineLevel="1" x14ac:dyDescent="0.2">
      <c r="A38" s="1031" t="s">
        <v>1391</v>
      </c>
      <c r="B38" s="1061"/>
      <c r="C38" s="1061"/>
      <c r="D38" s="1061"/>
      <c r="E38" s="1061"/>
      <c r="F38" s="1061"/>
    </row>
    <row r="39" spans="1:6" outlineLevel="1" x14ac:dyDescent="0.2">
      <c r="A39" s="1029"/>
      <c r="B39" s="1029"/>
      <c r="C39" s="249"/>
      <c r="D39" s="249"/>
      <c r="E39" s="249"/>
      <c r="F39" s="249"/>
    </row>
    <row r="40" spans="1:6" outlineLevel="1" x14ac:dyDescent="0.2">
      <c r="A40" s="1029" t="s">
        <v>1312</v>
      </c>
      <c r="B40" s="1029"/>
      <c r="C40" s="249"/>
      <c r="D40" s="249"/>
      <c r="E40" s="249"/>
      <c r="F40" s="249"/>
    </row>
    <row r="41" spans="1:6" outlineLevel="1" x14ac:dyDescent="0.2">
      <c r="A41" s="1031" t="s">
        <v>1384</v>
      </c>
      <c r="B41" s="1058"/>
      <c r="C41" s="1058"/>
      <c r="D41" s="1058"/>
      <c r="E41" s="1058"/>
      <c r="F41" s="1058"/>
    </row>
    <row r="42" spans="1:6" outlineLevel="1" x14ac:dyDescent="0.2">
      <c r="A42" s="1031" t="s">
        <v>2046</v>
      </c>
      <c r="B42" s="1058"/>
      <c r="C42" s="1058"/>
      <c r="D42" s="1058"/>
      <c r="E42" s="1058"/>
      <c r="F42" s="1058"/>
    </row>
    <row r="43" spans="1:6" outlineLevel="1" x14ac:dyDescent="0.2">
      <c r="A43" s="1031" t="s">
        <v>346</v>
      </c>
      <c r="B43" s="1058"/>
      <c r="C43" s="1058"/>
      <c r="D43" s="1058"/>
      <c r="E43" s="1058"/>
      <c r="F43" s="1058"/>
    </row>
    <row r="44" spans="1:6" outlineLevel="1" x14ac:dyDescent="0.2">
      <c r="A44" s="1031" t="s">
        <v>1385</v>
      </c>
      <c r="B44" s="1058"/>
      <c r="C44" s="1058"/>
      <c r="D44" s="1058"/>
      <c r="E44" s="1058"/>
      <c r="F44" s="1058"/>
    </row>
    <row r="45" spans="1:6" outlineLevel="1" x14ac:dyDescent="0.2">
      <c r="A45" s="1031" t="s">
        <v>1386</v>
      </c>
      <c r="B45" s="1058"/>
      <c r="C45" s="1058"/>
      <c r="D45" s="1058"/>
      <c r="E45" s="1058"/>
      <c r="F45" s="1058"/>
    </row>
    <row r="46" spans="1:6" outlineLevel="1" x14ac:dyDescent="0.2">
      <c r="A46" s="1031" t="s">
        <v>1389</v>
      </c>
      <c r="B46" s="1058"/>
      <c r="C46" s="1058"/>
      <c r="D46" s="1058"/>
      <c r="E46" s="1058"/>
      <c r="F46" s="1058"/>
    </row>
    <row r="47" spans="1:6" outlineLevel="1" x14ac:dyDescent="0.2">
      <c r="A47" s="1031" t="s">
        <v>452</v>
      </c>
      <c r="B47" s="1058"/>
      <c r="C47" s="1058"/>
      <c r="D47" s="1058"/>
      <c r="E47" s="1058"/>
      <c r="F47" s="1058"/>
    </row>
    <row r="48" spans="1:6" outlineLevel="1" x14ac:dyDescent="0.2">
      <c r="A48" s="1031" t="s">
        <v>1390</v>
      </c>
      <c r="B48" s="1058"/>
      <c r="C48" s="1058"/>
      <c r="D48" s="1058"/>
      <c r="E48" s="1058"/>
      <c r="F48" s="1058"/>
    </row>
    <row r="49" spans="1:6" outlineLevel="1" x14ac:dyDescent="0.2">
      <c r="A49" s="1031" t="s">
        <v>1391</v>
      </c>
      <c r="B49" s="1059"/>
      <c r="C49" s="1059"/>
      <c r="D49" s="1059"/>
      <c r="E49" s="1059"/>
      <c r="F49" s="1059"/>
    </row>
    <row r="50" spans="1:6" outlineLevel="1" x14ac:dyDescent="0.2">
      <c r="A50" s="1029" t="s">
        <v>76</v>
      </c>
      <c r="B50" s="1060"/>
      <c r="C50" s="1060"/>
      <c r="D50" s="1060"/>
      <c r="E50" s="1060"/>
      <c r="F50" s="1060"/>
    </row>
    <row r="51" spans="1:6" outlineLevel="1" x14ac:dyDescent="0.2"/>
    <row r="52" spans="1:6" x14ac:dyDescent="0.2">
      <c r="A52" s="855" t="s">
        <v>63</v>
      </c>
      <c r="B52" s="733">
        <f>+B7*B13+B8*B14+B9*B15+B10*B16</f>
        <v>0</v>
      </c>
      <c r="C52" s="733">
        <f>+C7*C13+C8*C14+C9*C15+C10*C16</f>
        <v>0</v>
      </c>
      <c r="D52" s="733">
        <f>+D7*D13+D8*D14+D9*D15+D10*D16</f>
        <v>0</v>
      </c>
      <c r="E52" s="733">
        <f>+E7*E13+E8*E14+E9*E15+E10*E16</f>
        <v>0</v>
      </c>
      <c r="F52" s="733">
        <f>+F7*F13+F8*F14+F9*F15+F10*F16</f>
        <v>0</v>
      </c>
    </row>
    <row r="53" spans="1:6" x14ac:dyDescent="0.2">
      <c r="A53" s="1031" t="s">
        <v>64</v>
      </c>
      <c r="B53" s="1219">
        <f>+B52+B54</f>
        <v>6.6333333333333341E-2</v>
      </c>
      <c r="C53" s="384">
        <v>6.4000000000000001E-2</v>
      </c>
      <c r="D53" s="259">
        <f>+RevPAR!BG588</f>
        <v>6.9000000000000006E-2</v>
      </c>
      <c r="E53" s="259">
        <f>+RevPAR!BF588</f>
        <v>6.6000000000000003E-2</v>
      </c>
      <c r="F53" s="384">
        <v>5.8000000000000003E-2</v>
      </c>
    </row>
    <row r="54" spans="1:6" x14ac:dyDescent="0.2">
      <c r="A54" s="1220" t="s">
        <v>65</v>
      </c>
      <c r="B54" s="1218">
        <f>+AVERAGE(C54:E54)</f>
        <v>6.6333333333333341E-2</v>
      </c>
      <c r="C54" s="1221">
        <f>+C53-C52</f>
        <v>6.4000000000000001E-2</v>
      </c>
      <c r="D54" s="1221">
        <f>+D53-D52</f>
        <v>6.9000000000000006E-2</v>
      </c>
      <c r="E54" s="1221">
        <f>+E53-E52</f>
        <v>6.6000000000000003E-2</v>
      </c>
      <c r="F54" s="1222">
        <f>+F53-F52</f>
        <v>5.8000000000000003E-2</v>
      </c>
    </row>
    <row r="55" spans="1:6" x14ac:dyDescent="0.2">
      <c r="B55" s="70"/>
      <c r="D55" s="259"/>
      <c r="E55" s="259"/>
    </row>
    <row r="56" spans="1:6" x14ac:dyDescent="0.2">
      <c r="A56" s="1031" t="s">
        <v>1310</v>
      </c>
      <c r="B56" s="384">
        <v>5.5E-2</v>
      </c>
      <c r="C56" s="384">
        <v>7.0000000000000007E-2</v>
      </c>
      <c r="D56" s="384">
        <v>0.06</v>
      </c>
      <c r="E56" s="384">
        <v>7.0000000000000007E-2</v>
      </c>
      <c r="F56" s="384">
        <v>7.0000000000000007E-2</v>
      </c>
    </row>
    <row r="57" spans="1:6" x14ac:dyDescent="0.2">
      <c r="A57" s="1055" t="s">
        <v>1313</v>
      </c>
      <c r="B57" s="1056">
        <f>+B53-B56</f>
        <v>1.1333333333333341E-2</v>
      </c>
      <c r="C57" s="1056">
        <f>+C53-C56</f>
        <v>-6.0000000000000053E-3</v>
      </c>
      <c r="D57" s="1056">
        <f>+D53-D56</f>
        <v>9.000000000000008E-3</v>
      </c>
      <c r="E57" s="1056">
        <f>+E53-E56</f>
        <v>-4.0000000000000036E-3</v>
      </c>
      <c r="F57" s="1057">
        <f>+F53-F56</f>
        <v>-1.2000000000000004E-2</v>
      </c>
    </row>
  </sheetData>
  <phoneticPr fontId="66" type="noConversion"/>
  <pageMargins left="0.75" right="0.75" top="1" bottom="1" header="0.5" footer="0.5"/>
  <pageSetup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53"/>
  <sheetViews>
    <sheetView workbookViewId="0"/>
  </sheetViews>
  <sheetFormatPr defaultRowHeight="11.25" outlineLevelRow="1" x14ac:dyDescent="0.2"/>
  <cols>
    <col min="1" max="1" width="31.6640625" customWidth="1"/>
  </cols>
  <sheetData>
    <row r="1" spans="1:9" x14ac:dyDescent="0.2">
      <c r="A1" s="542" t="s">
        <v>1825</v>
      </c>
      <c r="B1" s="542"/>
    </row>
    <row r="2" spans="1:9" x14ac:dyDescent="0.2">
      <c r="A2" s="549" t="s">
        <v>2214</v>
      </c>
      <c r="B2" s="549"/>
    </row>
    <row r="3" spans="1:9" x14ac:dyDescent="0.2">
      <c r="A3" s="549"/>
      <c r="B3" s="549"/>
    </row>
    <row r="4" spans="1:9" x14ac:dyDescent="0.2">
      <c r="A4" s="1062" t="s">
        <v>1826</v>
      </c>
      <c r="B4" s="1062"/>
    </row>
    <row r="6" spans="1:9" x14ac:dyDescent="0.2">
      <c r="A6" s="9"/>
      <c r="B6" s="1063">
        <v>2004</v>
      </c>
      <c r="C6" s="1063">
        <v>2005</v>
      </c>
      <c r="D6" s="1063">
        <v>2006</v>
      </c>
      <c r="E6" s="1063">
        <v>2007</v>
      </c>
      <c r="F6" s="1063">
        <v>2008</v>
      </c>
      <c r="G6" s="1063">
        <v>2009</v>
      </c>
      <c r="H6" s="1063">
        <v>2010</v>
      </c>
      <c r="I6" s="1063" t="s">
        <v>1322</v>
      </c>
    </row>
    <row r="7" spans="1:9" x14ac:dyDescent="0.2">
      <c r="A7" s="1064" t="s">
        <v>1827</v>
      </c>
      <c r="B7" s="1065"/>
      <c r="C7" s="1065"/>
      <c r="D7" s="1065"/>
      <c r="E7" s="1065"/>
      <c r="F7" s="1065"/>
      <c r="G7" s="1065"/>
      <c r="H7" s="1065"/>
      <c r="I7" s="1065"/>
    </row>
    <row r="8" spans="1:9" x14ac:dyDescent="0.2">
      <c r="A8" t="s">
        <v>1343</v>
      </c>
      <c r="B8" s="1066"/>
      <c r="C8" s="1066">
        <v>822</v>
      </c>
      <c r="D8" s="1066">
        <v>1087.1071428571429</v>
      </c>
      <c r="E8" s="1066">
        <v>1223</v>
      </c>
      <c r="F8" s="1066">
        <v>785</v>
      </c>
      <c r="G8" s="1066">
        <v>-234</v>
      </c>
      <c r="H8" s="1066">
        <v>806</v>
      </c>
      <c r="I8" s="1066">
        <v>583.99360756750912</v>
      </c>
    </row>
    <row r="9" spans="1:9" outlineLevel="1" x14ac:dyDescent="0.2">
      <c r="A9" s="1067" t="s">
        <v>1395</v>
      </c>
      <c r="B9" s="1066"/>
      <c r="C9" s="1066">
        <v>1487</v>
      </c>
      <c r="D9" s="1066">
        <v>1577</v>
      </c>
      <c r="E9" s="1066">
        <v>1747</v>
      </c>
      <c r="F9" s="1066">
        <v>1423</v>
      </c>
      <c r="G9" s="1066">
        <v>1121</v>
      </c>
      <c r="H9" s="1066">
        <v>1221</v>
      </c>
      <c r="I9" s="1066">
        <v>1253.8170837209302</v>
      </c>
    </row>
    <row r="10" spans="1:9" outlineLevel="1" x14ac:dyDescent="0.2">
      <c r="A10" s="1067" t="s">
        <v>1913</v>
      </c>
      <c r="B10" s="1066"/>
      <c r="C10" s="1066">
        <v>1228</v>
      </c>
      <c r="D10" s="1066">
        <v>1220</v>
      </c>
      <c r="E10" s="1066">
        <v>1397</v>
      </c>
      <c r="F10" s="1066">
        <v>1334</v>
      </c>
      <c r="G10" s="1066">
        <v>1040</v>
      </c>
      <c r="H10" s="1066">
        <v>1022</v>
      </c>
      <c r="I10" s="1066">
        <v>1377.9697437209302</v>
      </c>
    </row>
    <row r="11" spans="1:9" x14ac:dyDescent="0.2">
      <c r="A11" s="668" t="s">
        <v>1828</v>
      </c>
      <c r="B11" s="1066"/>
      <c r="C11" s="1066">
        <f t="shared" ref="C11:I11" si="0">-(C9-C10)</f>
        <v>-259</v>
      </c>
      <c r="D11" s="1066">
        <f t="shared" si="0"/>
        <v>-357</v>
      </c>
      <c r="E11" s="1066">
        <f t="shared" si="0"/>
        <v>-350</v>
      </c>
      <c r="F11" s="1066">
        <f t="shared" si="0"/>
        <v>-89</v>
      </c>
      <c r="G11" s="1066">
        <f t="shared" si="0"/>
        <v>-81</v>
      </c>
      <c r="H11" s="1066">
        <f t="shared" si="0"/>
        <v>-199</v>
      </c>
      <c r="I11" s="1066">
        <f t="shared" si="0"/>
        <v>124.15265999999997</v>
      </c>
    </row>
    <row r="12" spans="1:9" x14ac:dyDescent="0.2">
      <c r="A12" s="668" t="s">
        <v>1829</v>
      </c>
      <c r="B12" s="1068"/>
      <c r="C12" s="1069">
        <f t="shared" ref="C12:I12" si="1">-(C8+C11)*0.35</f>
        <v>-197.04999999999998</v>
      </c>
      <c r="D12" s="1069">
        <f t="shared" si="1"/>
        <v>-255.53749999999999</v>
      </c>
      <c r="E12" s="1069">
        <f t="shared" si="1"/>
        <v>-305.54999999999995</v>
      </c>
      <c r="F12" s="1069">
        <f t="shared" si="1"/>
        <v>-243.6</v>
      </c>
      <c r="G12" s="1069">
        <f t="shared" si="1"/>
        <v>110.25</v>
      </c>
      <c r="H12" s="1069">
        <f t="shared" si="1"/>
        <v>-212.45</v>
      </c>
      <c r="I12" s="1069">
        <f t="shared" si="1"/>
        <v>-247.85119364862817</v>
      </c>
    </row>
    <row r="13" spans="1:9" x14ac:dyDescent="0.2">
      <c r="A13" s="542" t="s">
        <v>1830</v>
      </c>
      <c r="B13" s="1070"/>
      <c r="C13" s="1070">
        <f t="shared" ref="C13:I13" si="2">C8+C11+C12</f>
        <v>365.95000000000005</v>
      </c>
      <c r="D13" s="1070">
        <f t="shared" si="2"/>
        <v>474.56964285714287</v>
      </c>
      <c r="E13" s="1070">
        <f t="shared" si="2"/>
        <v>567.45000000000005</v>
      </c>
      <c r="F13" s="1070">
        <f t="shared" si="2"/>
        <v>452.4</v>
      </c>
      <c r="G13" s="1070">
        <f t="shared" si="2"/>
        <v>-204.75</v>
      </c>
      <c r="H13" s="1070">
        <f t="shared" si="2"/>
        <v>394.55</v>
      </c>
      <c r="I13" s="1070">
        <f t="shared" si="2"/>
        <v>460.29507391888092</v>
      </c>
    </row>
    <row r="14" spans="1:9" x14ac:dyDescent="0.2">
      <c r="B14" s="1066"/>
      <c r="C14" s="1066"/>
      <c r="D14" s="1066"/>
      <c r="E14" s="1066"/>
      <c r="F14" s="1066"/>
      <c r="G14" s="1066"/>
      <c r="H14" s="1066"/>
      <c r="I14" s="1066"/>
    </row>
    <row r="15" spans="1:9" x14ac:dyDescent="0.2">
      <c r="A15" s="43"/>
      <c r="B15" s="1066"/>
      <c r="C15" s="1066"/>
      <c r="D15" s="1066"/>
      <c r="E15" s="1066"/>
      <c r="F15" s="1066"/>
      <c r="G15" s="1066"/>
      <c r="H15" s="1066"/>
      <c r="I15" s="1066"/>
    </row>
    <row r="16" spans="1:9" x14ac:dyDescent="0.2">
      <c r="B16" s="1066"/>
      <c r="C16" s="1066"/>
      <c r="D16" s="1066"/>
      <c r="E16" s="1066"/>
      <c r="F16" s="1066"/>
      <c r="G16" s="1066"/>
      <c r="H16" s="1066"/>
      <c r="I16" s="1066"/>
    </row>
    <row r="17" spans="1:9" x14ac:dyDescent="0.2">
      <c r="A17" s="740" t="s">
        <v>1831</v>
      </c>
      <c r="B17" s="1071"/>
      <c r="C17" s="1066"/>
      <c r="D17" s="1066"/>
      <c r="E17" s="1066"/>
      <c r="F17" s="1066"/>
      <c r="G17" s="1066"/>
      <c r="H17" s="1066"/>
      <c r="I17" s="1066"/>
    </row>
    <row r="18" spans="1:9" x14ac:dyDescent="0.2">
      <c r="A18" s="668" t="s">
        <v>1194</v>
      </c>
      <c r="B18" s="1068"/>
      <c r="C18" s="1072">
        <v>-780</v>
      </c>
      <c r="D18" s="1072">
        <v>-529</v>
      </c>
      <c r="E18" s="1072">
        <v>-671</v>
      </c>
      <c r="F18" s="1072">
        <v>-357</v>
      </c>
      <c r="G18" s="1072">
        <v>-147</v>
      </c>
      <c r="H18" s="1072">
        <v>-307</v>
      </c>
      <c r="I18" s="1066"/>
    </row>
    <row r="19" spans="1:9" x14ac:dyDescent="0.2">
      <c r="A19" s="668" t="s">
        <v>813</v>
      </c>
      <c r="B19" s="1068"/>
      <c r="C19" s="1072">
        <v>298</v>
      </c>
      <c r="D19" s="1072">
        <v>798</v>
      </c>
      <c r="E19" s="1072">
        <v>745</v>
      </c>
      <c r="F19" s="1072">
        <v>38</v>
      </c>
      <c r="G19" s="1072">
        <v>2</v>
      </c>
      <c r="H19" s="1072">
        <v>114</v>
      </c>
      <c r="I19" s="1066"/>
    </row>
    <row r="20" spans="1:9" x14ac:dyDescent="0.2">
      <c r="A20" s="668" t="s">
        <v>1918</v>
      </c>
      <c r="B20" s="1068"/>
      <c r="C20" s="1072">
        <v>-67</v>
      </c>
      <c r="D20" s="1072">
        <v>-90</v>
      </c>
      <c r="E20" s="1072">
        <v>-27</v>
      </c>
      <c r="F20" s="1072">
        <v>-133</v>
      </c>
      <c r="G20" s="1072">
        <v>-39</v>
      </c>
      <c r="H20" s="1072">
        <v>-56</v>
      </c>
      <c r="I20" s="1066"/>
    </row>
    <row r="21" spans="1:9" x14ac:dyDescent="0.2">
      <c r="A21" s="668" t="s">
        <v>1372</v>
      </c>
      <c r="B21" s="1068"/>
      <c r="C21" s="1072">
        <v>-56</v>
      </c>
      <c r="D21" s="1072">
        <v>-59</v>
      </c>
      <c r="E21" s="1072">
        <v>-31</v>
      </c>
      <c r="F21" s="1072">
        <v>-53</v>
      </c>
      <c r="G21" s="1072">
        <v>-65</v>
      </c>
      <c r="H21" s="1072">
        <v>-24</v>
      </c>
      <c r="I21" s="1066"/>
    </row>
    <row r="22" spans="1:9" x14ac:dyDescent="0.2">
      <c r="A22" s="668" t="s">
        <v>490</v>
      </c>
      <c r="B22" s="1068"/>
      <c r="C22" s="1072">
        <v>706</v>
      </c>
      <c r="D22" s="1072">
        <v>121</v>
      </c>
      <c r="E22" s="1072">
        <v>106</v>
      </c>
      <c r="F22" s="1072">
        <v>36</v>
      </c>
      <c r="G22" s="1072">
        <v>20</v>
      </c>
      <c r="H22" s="1072">
        <v>18</v>
      </c>
      <c r="I22" s="1066"/>
    </row>
    <row r="23" spans="1:9" x14ac:dyDescent="0.2">
      <c r="A23" s="668" t="s">
        <v>15</v>
      </c>
      <c r="B23" s="1068"/>
      <c r="C23" s="1072">
        <v>-216</v>
      </c>
      <c r="D23" s="1072">
        <v>-95</v>
      </c>
      <c r="E23" s="1072">
        <v>-40</v>
      </c>
      <c r="F23" s="1072">
        <v>-25</v>
      </c>
      <c r="G23" s="1072">
        <v>-28</v>
      </c>
      <c r="H23" s="1072">
        <v>-29</v>
      </c>
      <c r="I23" s="1066"/>
    </row>
    <row r="24" spans="1:9" x14ac:dyDescent="0.2">
      <c r="A24" s="1073" t="s">
        <v>1832</v>
      </c>
      <c r="B24" s="1074"/>
      <c r="C24" s="1074">
        <f t="shared" ref="C24:H24" si="3">SUM(C18:C23)</f>
        <v>-115</v>
      </c>
      <c r="D24" s="1074">
        <f t="shared" si="3"/>
        <v>146</v>
      </c>
      <c r="E24" s="1074">
        <f t="shared" si="3"/>
        <v>82</v>
      </c>
      <c r="F24" s="1074">
        <f t="shared" si="3"/>
        <v>-494</v>
      </c>
      <c r="G24" s="1074">
        <f t="shared" si="3"/>
        <v>-257</v>
      </c>
      <c r="H24" s="1074">
        <f t="shared" si="3"/>
        <v>-284</v>
      </c>
      <c r="I24" s="1075"/>
    </row>
    <row r="25" spans="1:9" x14ac:dyDescent="0.2">
      <c r="B25" s="1066"/>
      <c r="C25" s="1066"/>
      <c r="D25" s="1066"/>
      <c r="E25" s="1066"/>
      <c r="F25" s="1066"/>
      <c r="G25" s="1066"/>
      <c r="H25" s="1066"/>
      <c r="I25" s="1066"/>
    </row>
    <row r="26" spans="1:9" x14ac:dyDescent="0.2">
      <c r="A26" s="1076" t="s">
        <v>1833</v>
      </c>
      <c r="B26" s="1077">
        <v>2000</v>
      </c>
      <c r="C26" s="1066">
        <f t="shared" ref="C26:H26" si="4">B26-C24</f>
        <v>2115</v>
      </c>
      <c r="D26" s="1066">
        <f t="shared" si="4"/>
        <v>1969</v>
      </c>
      <c r="E26" s="1066">
        <f t="shared" si="4"/>
        <v>1887</v>
      </c>
      <c r="F26" s="1066">
        <f t="shared" si="4"/>
        <v>2381</v>
      </c>
      <c r="G26" s="1066">
        <f t="shared" si="4"/>
        <v>2638</v>
      </c>
      <c r="H26" s="1066">
        <f t="shared" si="4"/>
        <v>2922</v>
      </c>
      <c r="I26" s="1066"/>
    </row>
    <row r="27" spans="1:9" x14ac:dyDescent="0.2">
      <c r="A27" t="s">
        <v>1703</v>
      </c>
      <c r="B27" s="1066">
        <v>1325</v>
      </c>
      <c r="C27" s="1066">
        <v>1737</v>
      </c>
      <c r="D27" s="1066">
        <v>1833</v>
      </c>
      <c r="E27" s="1066">
        <v>2965</v>
      </c>
      <c r="F27" s="1066">
        <v>3095</v>
      </c>
      <c r="G27" s="1066">
        <v>2298</v>
      </c>
      <c r="H27" s="1066">
        <v>2829</v>
      </c>
      <c r="I27" s="1066"/>
    </row>
    <row r="28" spans="1:9" x14ac:dyDescent="0.2">
      <c r="A28" t="s">
        <v>1834</v>
      </c>
      <c r="B28" s="1066">
        <f t="shared" ref="B28:H28" si="5">SUM(B26:B27)</f>
        <v>3325</v>
      </c>
      <c r="C28" s="1066">
        <f t="shared" si="5"/>
        <v>3852</v>
      </c>
      <c r="D28" s="1066">
        <f t="shared" si="5"/>
        <v>3802</v>
      </c>
      <c r="E28" s="1066">
        <f t="shared" si="5"/>
        <v>4852</v>
      </c>
      <c r="F28" s="1066">
        <f t="shared" si="5"/>
        <v>5476</v>
      </c>
      <c r="G28" s="1066">
        <f t="shared" si="5"/>
        <v>4936</v>
      </c>
      <c r="H28" s="1066">
        <f t="shared" si="5"/>
        <v>5751</v>
      </c>
      <c r="I28" s="1066"/>
    </row>
    <row r="30" spans="1:9" x14ac:dyDescent="0.2">
      <c r="A30" t="s">
        <v>1838</v>
      </c>
      <c r="E30">
        <f>+MAR!AV753</f>
        <v>2348</v>
      </c>
      <c r="F30">
        <f>+MAR!BA753</f>
        <v>2519</v>
      </c>
      <c r="G30">
        <f>+MAR!BF753</f>
        <v>2548</v>
      </c>
      <c r="H30">
        <f>+MAR!BK753</f>
        <v>2556</v>
      </c>
      <c r="I30">
        <f>+MAR!BP753</f>
        <v>2095</v>
      </c>
    </row>
    <row r="32" spans="1:9" x14ac:dyDescent="0.2">
      <c r="A32" s="542" t="s">
        <v>1844</v>
      </c>
    </row>
    <row r="33" spans="1:9" x14ac:dyDescent="0.2">
      <c r="A33" t="s">
        <v>1839</v>
      </c>
      <c r="E33" s="692">
        <v>899</v>
      </c>
      <c r="F33" s="692">
        <v>1004</v>
      </c>
      <c r="G33" s="692">
        <v>1073</v>
      </c>
      <c r="H33" s="692">
        <v>1145</v>
      </c>
      <c r="I33" s="692"/>
    </row>
    <row r="34" spans="1:9" x14ac:dyDescent="0.2">
      <c r="A34" t="s">
        <v>1840</v>
      </c>
      <c r="E34" s="692">
        <v>-264</v>
      </c>
      <c r="F34" s="692">
        <v>-294</v>
      </c>
      <c r="G34" s="692">
        <v>-342</v>
      </c>
      <c r="H34" s="692">
        <v>-377</v>
      </c>
      <c r="I34" s="692"/>
    </row>
    <row r="35" spans="1:9" x14ac:dyDescent="0.2">
      <c r="A35" t="s">
        <v>1843</v>
      </c>
      <c r="E35">
        <f>+SUM(E33:E34)</f>
        <v>635</v>
      </c>
      <c r="F35">
        <f>+SUM(F33:F34)</f>
        <v>710</v>
      </c>
      <c r="G35">
        <f>+SUM(G33:G34)</f>
        <v>731</v>
      </c>
      <c r="H35">
        <f>+SUM(H33:H34)</f>
        <v>768</v>
      </c>
    </row>
    <row r="37" spans="1:9" x14ac:dyDescent="0.2">
      <c r="A37" t="s">
        <v>1841</v>
      </c>
      <c r="E37" s="692">
        <v>7</v>
      </c>
      <c r="F37" s="692">
        <v>2</v>
      </c>
      <c r="G37" s="692">
        <v>1</v>
      </c>
      <c r="H37" s="692">
        <v>0</v>
      </c>
    </row>
    <row r="38" spans="1:9" x14ac:dyDescent="0.2">
      <c r="A38" t="s">
        <v>1842</v>
      </c>
      <c r="E38" s="1090">
        <v>206</v>
      </c>
      <c r="F38" s="1090">
        <v>236</v>
      </c>
      <c r="G38" s="1090">
        <v>195</v>
      </c>
      <c r="H38" s="1090">
        <v>191</v>
      </c>
    </row>
    <row r="39" spans="1:9" x14ac:dyDescent="0.2">
      <c r="A39" s="542" t="s">
        <v>76</v>
      </c>
      <c r="B39" s="542"/>
      <c r="C39" s="542"/>
      <c r="D39" s="542"/>
      <c r="E39" s="542">
        <f>+E38+E37+E33</f>
        <v>1112</v>
      </c>
      <c r="F39" s="542">
        <f>+F38+F37+F33</f>
        <v>1242</v>
      </c>
      <c r="G39" s="542">
        <f>+G38+G37+G33</f>
        <v>1269</v>
      </c>
      <c r="H39" s="542">
        <f>+H38+H37+H33</f>
        <v>1336</v>
      </c>
    </row>
    <row r="41" spans="1:9" x14ac:dyDescent="0.2">
      <c r="A41" s="542" t="s">
        <v>1845</v>
      </c>
    </row>
    <row r="42" spans="1:9" x14ac:dyDescent="0.2">
      <c r="A42" s="546" t="s">
        <v>1918</v>
      </c>
      <c r="E42">
        <f t="shared" ref="E42:H43" si="6">E20</f>
        <v>-27</v>
      </c>
      <c r="F42">
        <f t="shared" si="6"/>
        <v>-133</v>
      </c>
      <c r="G42">
        <f t="shared" si="6"/>
        <v>-39</v>
      </c>
      <c r="H42">
        <f t="shared" si="6"/>
        <v>-56</v>
      </c>
    </row>
    <row r="43" spans="1:9" x14ac:dyDescent="0.2">
      <c r="A43" s="546" t="s">
        <v>1372</v>
      </c>
      <c r="E43">
        <f t="shared" si="6"/>
        <v>-31</v>
      </c>
      <c r="F43">
        <f t="shared" si="6"/>
        <v>-53</v>
      </c>
      <c r="G43">
        <f t="shared" si="6"/>
        <v>-65</v>
      </c>
      <c r="H43">
        <f t="shared" si="6"/>
        <v>-24</v>
      </c>
    </row>
    <row r="44" spans="1:9" x14ac:dyDescent="0.2">
      <c r="A44" s="546" t="s">
        <v>1846</v>
      </c>
      <c r="E44" s="693">
        <f>E23</f>
        <v>-40</v>
      </c>
      <c r="F44" s="693">
        <f>F23</f>
        <v>-25</v>
      </c>
      <c r="G44" s="693">
        <f>G23</f>
        <v>-28</v>
      </c>
      <c r="H44" s="693">
        <f>H23</f>
        <v>-29</v>
      </c>
    </row>
    <row r="45" spans="1:9" x14ac:dyDescent="0.2">
      <c r="A45" s="542" t="s">
        <v>76</v>
      </c>
      <c r="E45" s="542">
        <f>+SUM(E42:E44)</f>
        <v>-98</v>
      </c>
      <c r="F45" s="542">
        <f>+SUM(F42:F44)</f>
        <v>-211</v>
      </c>
      <c r="G45" s="542">
        <f>+SUM(G42:G44)</f>
        <v>-132</v>
      </c>
      <c r="H45" s="542">
        <f>+SUM(H42:H44)</f>
        <v>-109</v>
      </c>
    </row>
    <row r="46" spans="1:9" x14ac:dyDescent="0.2">
      <c r="A46" s="542"/>
    </row>
    <row r="48" spans="1:9" x14ac:dyDescent="0.2">
      <c r="A48" t="s">
        <v>1835</v>
      </c>
    </row>
    <row r="51" spans="1:9" x14ac:dyDescent="0.2">
      <c r="A51" s="1078" t="s">
        <v>1836</v>
      </c>
      <c r="B51" s="1079"/>
      <c r="C51" s="1080">
        <f t="shared" ref="C51:H51" si="7">C13/C28</f>
        <v>9.500259605399794E-2</v>
      </c>
      <c r="D51" s="1080">
        <f t="shared" si="7"/>
        <v>0.12482105282933795</v>
      </c>
      <c r="E51" s="1080">
        <f t="shared" si="7"/>
        <v>0.11695177246496291</v>
      </c>
      <c r="F51" s="1080">
        <f t="shared" si="7"/>
        <v>8.2615047479912343E-2</v>
      </c>
      <c r="G51" s="1080">
        <f t="shared" si="7"/>
        <v>-4.1480956239870338E-2</v>
      </c>
      <c r="H51" s="1080">
        <f t="shared" si="7"/>
        <v>6.8605459920013906E-2</v>
      </c>
      <c r="I51" s="1081"/>
    </row>
    <row r="52" spans="1:9" x14ac:dyDescent="0.2">
      <c r="A52" s="1082"/>
      <c r="B52" s="1083"/>
      <c r="C52" s="1084"/>
      <c r="D52" s="1084"/>
      <c r="E52" s="1084"/>
      <c r="F52" s="1084"/>
      <c r="G52" s="1084"/>
      <c r="H52" s="1084"/>
      <c r="I52" s="1085"/>
    </row>
    <row r="53" spans="1:9" x14ac:dyDescent="0.2">
      <c r="A53" s="1086" t="s">
        <v>1837</v>
      </c>
      <c r="B53" s="1087"/>
      <c r="C53" s="1088">
        <f t="shared" ref="C53:H53" si="8">C15/C26</f>
        <v>0</v>
      </c>
      <c r="D53" s="1088">
        <f t="shared" si="8"/>
        <v>0</v>
      </c>
      <c r="E53" s="1088">
        <f t="shared" si="8"/>
        <v>0</v>
      </c>
      <c r="F53" s="1088">
        <f t="shared" si="8"/>
        <v>0</v>
      </c>
      <c r="G53" s="1088">
        <f t="shared" si="8"/>
        <v>0</v>
      </c>
      <c r="H53" s="1088">
        <f t="shared" si="8"/>
        <v>0</v>
      </c>
      <c r="I53" s="1089"/>
    </row>
  </sheetData>
  <phoneticPr fontId="0" type="noConversion"/>
  <pageMargins left="0.75" right="0.75" top="1" bottom="1" header="0.5" footer="0.5"/>
  <pageSetup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autoPageBreaks="0"/>
  </sheetPr>
  <dimension ref="A1:AQ161"/>
  <sheetViews>
    <sheetView topLeftCell="Y89" zoomScale="85" zoomScaleNormal="85" zoomScaleSheetLayoutView="85" workbookViewId="0">
      <selection activeCell="AG112" sqref="AG112"/>
    </sheetView>
  </sheetViews>
  <sheetFormatPr defaultColWidth="12" defaultRowHeight="13.5" customHeight="1" x14ac:dyDescent="0.2"/>
  <cols>
    <col min="1" max="1" width="36.1640625" customWidth="1"/>
    <col min="2" max="2" width="2" customWidth="1"/>
    <col min="3" max="4" width="12" customWidth="1"/>
    <col min="5" max="5" width="2" customWidth="1"/>
    <col min="6" max="7" width="10" customWidth="1"/>
    <col min="8" max="8" width="5.33203125" customWidth="1"/>
    <col min="9" max="9" width="12" customWidth="1"/>
    <col min="10" max="10" width="2" customWidth="1"/>
    <col min="11" max="12" width="10" customWidth="1"/>
    <col min="13" max="14" width="12" customWidth="1"/>
    <col min="15" max="15" width="41.1640625" customWidth="1"/>
    <col min="16" max="18" width="17.83203125" customWidth="1"/>
    <col min="19" max="19" width="2.33203125" customWidth="1"/>
    <col min="20" max="20" width="25.1640625" customWidth="1"/>
    <col min="21" max="27" width="11.83203125" customWidth="1"/>
    <col min="28" max="28" width="4.83203125" customWidth="1"/>
    <col min="29" max="29" width="65.1640625" customWidth="1"/>
    <col min="30" max="30" width="5.83203125" customWidth="1"/>
    <col min="31" max="31" width="1" customWidth="1"/>
    <col min="32" max="32" width="29.5" customWidth="1"/>
    <col min="33" max="35" width="25.83203125" customWidth="1"/>
    <col min="36" max="36" width="12" customWidth="1"/>
    <col min="37" max="37" width="2.1640625" customWidth="1"/>
    <col min="38" max="38" width="17.83203125" customWidth="1"/>
    <col min="39" max="40" width="10.83203125" customWidth="1"/>
    <col min="41" max="41" width="2.83203125" customWidth="1"/>
    <col min="42" max="43" width="10.83203125" customWidth="1"/>
    <col min="44" max="51" width="12" customWidth="1"/>
    <col min="52" max="52" width="5.33203125" customWidth="1"/>
    <col min="53" max="53" width="18.5" customWidth="1"/>
  </cols>
  <sheetData>
    <row r="1" spans="1:35" ht="13.5" customHeight="1" x14ac:dyDescent="0.2">
      <c r="A1" s="344" t="s">
        <v>1490</v>
      </c>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345"/>
      <c r="AG1" s="345"/>
      <c r="AH1" s="345"/>
      <c r="AI1" s="345"/>
    </row>
    <row r="2" spans="1:35" ht="13.5" customHeight="1" x14ac:dyDescent="0.2">
      <c r="A2" s="344" t="s">
        <v>1639</v>
      </c>
      <c r="B2" s="345"/>
      <c r="C2" s="619"/>
      <c r="D2" s="345"/>
      <c r="E2" s="345"/>
      <c r="F2" s="345"/>
      <c r="G2" s="345"/>
      <c r="H2" s="345"/>
      <c r="I2" s="619"/>
      <c r="J2" s="345"/>
      <c r="K2" s="345"/>
      <c r="L2" s="345"/>
      <c r="M2" s="345"/>
      <c r="N2" s="345"/>
      <c r="O2" s="345"/>
      <c r="P2" s="345"/>
      <c r="Q2" s="345"/>
      <c r="R2" s="345"/>
      <c r="S2" s="346"/>
      <c r="T2" s="345"/>
      <c r="U2" s="345"/>
      <c r="V2" s="345"/>
      <c r="W2" s="345"/>
      <c r="X2" s="345"/>
      <c r="Y2" s="345"/>
      <c r="Z2" s="345"/>
      <c r="AA2" s="345"/>
      <c r="AB2" s="345"/>
      <c r="AC2" s="345"/>
      <c r="AD2" s="345"/>
      <c r="AE2" s="345"/>
      <c r="AF2" s="345"/>
      <c r="AG2" s="345"/>
      <c r="AH2" s="345"/>
      <c r="AI2" s="345"/>
    </row>
    <row r="3" spans="1:35" ht="13.5" customHeight="1" x14ac:dyDescent="0.2">
      <c r="A3" s="345"/>
      <c r="B3" s="345"/>
      <c r="C3" s="345">
        <f>183+159+74</f>
        <v>416</v>
      </c>
      <c r="D3" s="345"/>
      <c r="E3" s="345"/>
      <c r="F3" s="345"/>
      <c r="G3" s="345"/>
      <c r="H3" s="345"/>
      <c r="I3" s="345"/>
      <c r="J3" s="345"/>
      <c r="K3" s="345"/>
      <c r="L3" s="345"/>
      <c r="M3" s="345"/>
      <c r="N3" s="345"/>
      <c r="O3" s="345"/>
      <c r="P3" s="345"/>
      <c r="Q3" s="345"/>
      <c r="R3" s="345"/>
      <c r="S3" s="346"/>
      <c r="T3" s="345"/>
      <c r="U3" s="345"/>
      <c r="V3" s="345"/>
      <c r="W3" s="345"/>
      <c r="X3" s="345"/>
      <c r="Y3" s="345"/>
      <c r="Z3" s="345"/>
      <c r="AA3" s="345"/>
      <c r="AB3" s="345"/>
      <c r="AC3" s="345"/>
      <c r="AD3" s="345"/>
      <c r="AE3" s="345"/>
      <c r="AF3" s="345"/>
      <c r="AG3" s="345"/>
      <c r="AH3" s="345"/>
      <c r="AI3" s="345"/>
    </row>
    <row r="4" spans="1:35" ht="13.5" customHeight="1" x14ac:dyDescent="0.2">
      <c r="A4" s="1171" t="s">
        <v>1200</v>
      </c>
      <c r="B4" s="1172"/>
      <c r="C4" s="1172"/>
      <c r="D4" s="1172"/>
      <c r="E4" s="1172"/>
      <c r="F4" s="1172"/>
      <c r="G4" s="1172"/>
      <c r="H4" s="1172"/>
      <c r="I4" s="1172"/>
      <c r="J4" s="1172"/>
      <c r="K4" s="1172"/>
      <c r="L4" s="1173"/>
      <c r="M4" s="345"/>
      <c r="N4" s="345"/>
      <c r="O4" s="345"/>
      <c r="P4" s="345"/>
      <c r="Q4" s="345"/>
      <c r="R4" s="345"/>
      <c r="S4" s="346"/>
      <c r="T4" s="345"/>
      <c r="U4" s="345"/>
      <c r="V4" s="345"/>
      <c r="W4" s="345"/>
      <c r="X4" s="345"/>
      <c r="Y4" s="345"/>
      <c r="Z4" s="345"/>
      <c r="AA4" s="345"/>
      <c r="AB4" s="345"/>
      <c r="AC4" s="345"/>
      <c r="AD4" s="345"/>
      <c r="AE4" s="345"/>
      <c r="AF4" s="345"/>
      <c r="AG4" s="345"/>
      <c r="AH4" s="345"/>
      <c r="AI4" s="345"/>
    </row>
    <row r="5" spans="1:35" ht="13.5" customHeight="1" x14ac:dyDescent="0.2">
      <c r="A5" s="1150"/>
      <c r="B5" s="418"/>
      <c r="C5" s="815" t="s">
        <v>1149</v>
      </c>
      <c r="D5" s="815"/>
      <c r="E5" s="815"/>
      <c r="F5" s="815"/>
      <c r="G5" s="815"/>
      <c r="H5" s="374"/>
      <c r="I5" s="815" t="s">
        <v>1755</v>
      </c>
      <c r="J5" s="815"/>
      <c r="K5" s="815"/>
      <c r="L5" s="1174"/>
      <c r="M5" s="345"/>
      <c r="N5" s="1143" t="s">
        <v>1141</v>
      </c>
      <c r="O5" s="345"/>
      <c r="P5" s="345"/>
      <c r="Q5" s="345"/>
      <c r="R5" s="345"/>
      <c r="S5" s="346"/>
      <c r="T5" s="345"/>
      <c r="U5" s="345"/>
      <c r="V5" s="345"/>
      <c r="W5" s="345"/>
      <c r="X5" s="345"/>
      <c r="Y5" s="345"/>
      <c r="Z5" s="345"/>
      <c r="AA5" s="345"/>
      <c r="AB5" s="345"/>
      <c r="AC5" s="345"/>
      <c r="AD5" s="345"/>
      <c r="AE5" s="345"/>
      <c r="AF5" s="345"/>
      <c r="AG5" s="345"/>
      <c r="AH5" s="345"/>
      <c r="AI5" s="345"/>
    </row>
    <row r="6" spans="1:35" ht="13.5" customHeight="1" x14ac:dyDescent="0.2">
      <c r="A6" s="1150"/>
      <c r="B6" s="418"/>
      <c r="C6" s="822"/>
      <c r="D6" s="418"/>
      <c r="E6" s="418"/>
      <c r="F6" s="815" t="s">
        <v>241</v>
      </c>
      <c r="G6" s="815"/>
      <c r="H6" s="418"/>
      <c r="I6" s="822"/>
      <c r="J6" s="418"/>
      <c r="K6" s="455" t="s">
        <v>241</v>
      </c>
      <c r="L6" s="1175"/>
      <c r="M6" s="345"/>
      <c r="N6" s="345"/>
      <c r="O6" s="345"/>
      <c r="P6" s="345"/>
      <c r="Q6" s="345"/>
      <c r="R6" s="345"/>
      <c r="S6" s="346"/>
      <c r="T6" s="345"/>
      <c r="U6" s="345"/>
      <c r="V6" s="345"/>
      <c r="W6" s="345"/>
      <c r="X6" s="345"/>
      <c r="Y6" s="345"/>
      <c r="Z6" s="345"/>
      <c r="AA6" s="345"/>
      <c r="AB6" s="345"/>
      <c r="AC6" s="345"/>
      <c r="AD6" s="345"/>
      <c r="AE6" s="345"/>
      <c r="AF6" s="345"/>
      <c r="AG6" s="345"/>
      <c r="AH6" s="345"/>
      <c r="AI6" s="345"/>
    </row>
    <row r="7" spans="1:35" ht="13.5" customHeight="1" x14ac:dyDescent="0.2">
      <c r="A7" s="1150"/>
      <c r="B7" s="418"/>
      <c r="C7" s="1127" t="s">
        <v>1544</v>
      </c>
      <c r="D7" s="1126" t="s">
        <v>851</v>
      </c>
      <c r="E7" s="456"/>
      <c r="F7" s="1126" t="s">
        <v>1756</v>
      </c>
      <c r="G7" s="1126" t="s">
        <v>575</v>
      </c>
      <c r="H7" s="418"/>
      <c r="I7" s="1127" t="s">
        <v>856</v>
      </c>
      <c r="J7" s="456"/>
      <c r="K7" s="1126" t="s">
        <v>1756</v>
      </c>
      <c r="L7" s="1176" t="s">
        <v>575</v>
      </c>
      <c r="M7" s="347"/>
      <c r="N7" s="347"/>
      <c r="O7" s="347"/>
      <c r="P7" s="347"/>
      <c r="Q7" s="347"/>
      <c r="R7" s="347"/>
      <c r="S7" s="346"/>
      <c r="T7" s="345"/>
      <c r="U7" s="345"/>
      <c r="V7" s="345"/>
      <c r="W7" s="345"/>
      <c r="X7" s="345"/>
      <c r="Y7" s="345"/>
      <c r="Z7" s="345"/>
      <c r="AA7" s="345"/>
      <c r="AB7" s="345"/>
      <c r="AC7" s="345"/>
      <c r="AD7" s="345"/>
      <c r="AE7" s="345"/>
      <c r="AF7" s="345"/>
      <c r="AG7" s="345"/>
      <c r="AH7" s="345"/>
      <c r="AI7" s="345"/>
    </row>
    <row r="8" spans="1:35" ht="13.5" customHeight="1" x14ac:dyDescent="0.2">
      <c r="A8" s="502" t="s">
        <v>125</v>
      </c>
      <c r="B8" s="346"/>
      <c r="C8" s="348"/>
      <c r="D8" s="346"/>
      <c r="E8" s="346"/>
      <c r="F8" s="346"/>
      <c r="G8" s="346"/>
      <c r="H8" s="346"/>
      <c r="I8" s="348"/>
      <c r="J8" s="346"/>
      <c r="K8" s="346"/>
      <c r="L8" s="503"/>
      <c r="M8" s="345"/>
      <c r="N8" s="345"/>
      <c r="O8" s="345"/>
      <c r="P8" s="345"/>
      <c r="Q8" s="345"/>
      <c r="R8" s="345"/>
      <c r="S8" s="346"/>
      <c r="T8" s="345"/>
      <c r="U8" s="345"/>
      <c r="V8" s="345"/>
      <c r="W8" s="345"/>
      <c r="X8" s="345"/>
      <c r="Y8" s="345"/>
      <c r="Z8" s="345"/>
      <c r="AA8" s="345"/>
      <c r="AB8" s="345"/>
      <c r="AC8" s="345"/>
      <c r="AD8" s="345"/>
      <c r="AE8" s="345"/>
      <c r="AF8" s="345"/>
      <c r="AG8" s="345"/>
      <c r="AH8" s="345"/>
      <c r="AI8" s="345"/>
    </row>
    <row r="9" spans="1:35" ht="13.5" customHeight="1" x14ac:dyDescent="0.2">
      <c r="A9" s="504" t="s">
        <v>1198</v>
      </c>
      <c r="B9" s="346"/>
      <c r="C9" s="1167">
        <v>416</v>
      </c>
      <c r="D9" s="349">
        <f>MAR!BJ10</f>
        <v>391</v>
      </c>
      <c r="E9" s="349"/>
      <c r="F9" s="349">
        <f>C9-D9</f>
        <v>25</v>
      </c>
      <c r="G9" s="354">
        <f>IF(D9=0,0,C9/D9-1)</f>
        <v>6.3938618925831303E-2</v>
      </c>
      <c r="H9" s="346"/>
      <c r="I9" s="1128">
        <v>425.1732675675089</v>
      </c>
      <c r="J9" s="349"/>
      <c r="K9" s="349">
        <f>C9-I9</f>
        <v>-9.1732675675089013</v>
      </c>
      <c r="L9" s="505">
        <f>IF(I9=0,"NM",C9/I9-1)</f>
        <v>-2.1575362957296895E-2</v>
      </c>
      <c r="M9" s="345"/>
      <c r="N9" s="345"/>
      <c r="O9" s="345"/>
      <c r="P9" s="345"/>
      <c r="Q9" s="345"/>
      <c r="R9" s="345"/>
      <c r="S9" s="346"/>
      <c r="T9" s="345"/>
      <c r="U9" s="345"/>
      <c r="V9" s="345"/>
      <c r="W9" s="345"/>
      <c r="X9" s="345"/>
      <c r="Y9" s="345"/>
      <c r="Z9" s="345"/>
      <c r="AA9" s="345"/>
      <c r="AB9" s="345"/>
      <c r="AC9" s="345"/>
      <c r="AD9" s="345"/>
      <c r="AE9" s="345"/>
      <c r="AF9" s="345"/>
      <c r="AG9" s="345"/>
      <c r="AH9" s="345"/>
      <c r="AI9" s="345"/>
    </row>
    <row r="10" spans="1:35" ht="13.5" customHeight="1" x14ac:dyDescent="0.2">
      <c r="A10" s="504" t="s">
        <v>734</v>
      </c>
      <c r="B10" s="346"/>
      <c r="C10" s="510">
        <v>356</v>
      </c>
      <c r="D10" s="352">
        <f>MAR!BJ11</f>
        <v>342</v>
      </c>
      <c r="E10" s="353"/>
      <c r="F10" s="352">
        <f>C10-D10</f>
        <v>14</v>
      </c>
      <c r="G10" s="354">
        <f>IF(D10=0,0,C10/D10-1)</f>
        <v>4.0935672514619936E-2</v>
      </c>
      <c r="H10" s="349"/>
      <c r="I10" s="351">
        <v>359.1</v>
      </c>
      <c r="J10" s="350"/>
      <c r="K10" s="352">
        <f>C10-I10</f>
        <v>-3.1000000000000227</v>
      </c>
      <c r="L10" s="505">
        <f>IF(I10=0,"NM",C10/I10-1)</f>
        <v>-8.632692843219214E-3</v>
      </c>
      <c r="M10" s="345"/>
      <c r="N10" s="345"/>
      <c r="O10" s="345"/>
      <c r="P10" s="345"/>
      <c r="Q10" s="345"/>
      <c r="R10" s="345"/>
      <c r="S10" s="346"/>
      <c r="T10" s="345"/>
      <c r="U10" s="345"/>
      <c r="V10" s="345"/>
      <c r="W10" s="345"/>
      <c r="X10" s="345"/>
      <c r="Y10" s="345"/>
      <c r="Z10" s="345"/>
      <c r="AA10" s="345"/>
      <c r="AB10" s="345"/>
      <c r="AC10" s="345"/>
      <c r="AD10" s="345"/>
      <c r="AE10" s="345"/>
      <c r="AF10" s="345"/>
      <c r="AG10" s="345"/>
      <c r="AH10" s="345"/>
      <c r="AI10" s="345"/>
    </row>
    <row r="11" spans="1:35" ht="13.5" customHeight="1" x14ac:dyDescent="0.2">
      <c r="A11" s="504" t="s">
        <v>576</v>
      </c>
      <c r="B11" s="346"/>
      <c r="C11" s="510">
        <v>238</v>
      </c>
      <c r="D11" s="352">
        <f>MAR!BJ13</f>
        <v>0</v>
      </c>
      <c r="E11" s="353"/>
      <c r="F11" s="352">
        <f>C11-D11</f>
        <v>238</v>
      </c>
      <c r="G11" s="354">
        <f>IF(D11=0,0,C11/D11-1)</f>
        <v>0</v>
      </c>
      <c r="H11" s="346"/>
      <c r="I11" s="351">
        <v>403.81708372093027</v>
      </c>
      <c r="J11" s="353"/>
      <c r="K11" s="352">
        <f>C11-I11</f>
        <v>-165.81708372093027</v>
      </c>
      <c r="L11" s="505">
        <f>IF(I11=0,"NM",C11/I11-1)</f>
        <v>-0.41062424153288934</v>
      </c>
      <c r="M11" s="346"/>
      <c r="N11" s="346"/>
      <c r="O11" s="346"/>
      <c r="P11" s="346"/>
      <c r="Q11" s="346"/>
      <c r="R11" s="346"/>
      <c r="S11" s="346"/>
      <c r="T11" s="345"/>
      <c r="U11" s="345"/>
      <c r="V11" s="345"/>
      <c r="W11" s="345"/>
      <c r="X11" s="345"/>
      <c r="Y11" s="345"/>
      <c r="Z11" s="345"/>
      <c r="AA11" s="345"/>
      <c r="AB11" s="345"/>
      <c r="AC11" s="345"/>
      <c r="AD11" s="345"/>
      <c r="AE11" s="345"/>
      <c r="AF11" s="345"/>
      <c r="AG11" s="345"/>
      <c r="AH11" s="345"/>
      <c r="AI11" s="345"/>
    </row>
    <row r="12" spans="1:35" ht="13.5" customHeight="1" x14ac:dyDescent="0.2">
      <c r="A12" s="355" t="s">
        <v>732</v>
      </c>
      <c r="B12" s="356"/>
      <c r="C12" s="614">
        <f>SUM(C9:C11)</f>
        <v>1010</v>
      </c>
      <c r="D12" s="489">
        <f>SUM(D9:D11)</f>
        <v>733</v>
      </c>
      <c r="E12" s="489"/>
      <c r="F12" s="489">
        <f>SUM(F10:F11)</f>
        <v>252</v>
      </c>
      <c r="G12" s="358">
        <f>IF(D12=0,0,C12/D12-1)</f>
        <v>0.37789904502046379</v>
      </c>
      <c r="H12" s="359"/>
      <c r="I12" s="614">
        <f>SUM(I9:I11)</f>
        <v>1188.0903512884393</v>
      </c>
      <c r="J12" s="357"/>
      <c r="K12" s="489">
        <f>SUM(K9:K11)</f>
        <v>-178.09035128843919</v>
      </c>
      <c r="L12" s="360">
        <f>C12/I12-1</f>
        <v>-0.14989630300027856</v>
      </c>
      <c r="M12" s="346"/>
      <c r="N12" s="346"/>
      <c r="O12" s="346"/>
      <c r="P12" s="346"/>
      <c r="Q12" s="346"/>
      <c r="R12" s="346"/>
      <c r="S12" s="346"/>
      <c r="T12" s="345"/>
      <c r="U12" s="345"/>
      <c r="V12" s="345"/>
      <c r="W12" s="345"/>
      <c r="X12" s="345"/>
      <c r="Y12" s="345"/>
      <c r="Z12" s="345"/>
      <c r="AA12" s="345"/>
      <c r="AB12" s="345"/>
      <c r="AC12" s="345"/>
      <c r="AD12" s="345"/>
      <c r="AE12" s="345"/>
      <c r="AF12" s="345"/>
      <c r="AG12" s="345"/>
      <c r="AH12" s="345"/>
      <c r="AI12" s="345"/>
    </row>
    <row r="13" spans="1:35" ht="13.5" customHeight="1" x14ac:dyDescent="0.2">
      <c r="A13" s="501"/>
      <c r="B13" s="346"/>
      <c r="C13" s="351"/>
      <c r="D13" s="352"/>
      <c r="E13" s="352"/>
      <c r="F13" s="352"/>
      <c r="G13" s="361"/>
      <c r="H13" s="346"/>
      <c r="I13" s="351"/>
      <c r="J13" s="346"/>
      <c r="K13" s="352"/>
      <c r="L13" s="506"/>
      <c r="M13" s="346"/>
      <c r="N13" s="346"/>
      <c r="O13" s="346"/>
      <c r="P13" s="346"/>
      <c r="Q13" s="346"/>
      <c r="R13" s="346"/>
      <c r="S13" s="346"/>
      <c r="T13" s="345"/>
      <c r="U13" s="345"/>
      <c r="V13" s="345"/>
      <c r="W13" s="345"/>
      <c r="X13" s="345"/>
      <c r="Y13" s="345"/>
      <c r="Z13" s="345"/>
      <c r="AA13" s="345"/>
      <c r="AB13" s="345"/>
      <c r="AC13" s="345"/>
      <c r="AD13" s="345"/>
      <c r="AE13" s="345"/>
      <c r="AF13" s="345"/>
      <c r="AG13" s="345"/>
      <c r="AH13" s="345"/>
      <c r="AI13" s="345"/>
    </row>
    <row r="14" spans="1:35" ht="13.5" customHeight="1" x14ac:dyDescent="0.2">
      <c r="A14" s="502" t="s">
        <v>1913</v>
      </c>
      <c r="B14" s="346"/>
      <c r="C14" s="351"/>
      <c r="D14" s="352"/>
      <c r="E14" s="352"/>
      <c r="F14" s="352"/>
      <c r="G14" s="361"/>
      <c r="H14" s="346"/>
      <c r="I14" s="525"/>
      <c r="J14" s="346"/>
      <c r="K14" s="352"/>
      <c r="L14" s="506"/>
      <c r="M14" s="346"/>
      <c r="N14" s="346"/>
      <c r="O14" s="346"/>
      <c r="P14" s="346"/>
      <c r="Q14" s="346"/>
      <c r="R14" s="346"/>
      <c r="S14" s="346"/>
      <c r="T14" s="345"/>
      <c r="U14" s="345"/>
      <c r="V14" s="345"/>
      <c r="W14" s="345"/>
      <c r="X14" s="345"/>
      <c r="Y14" s="345"/>
      <c r="Z14" s="345"/>
      <c r="AA14" s="345"/>
      <c r="AB14" s="345"/>
      <c r="AC14" s="345"/>
      <c r="AD14" s="345"/>
      <c r="AE14" s="345"/>
      <c r="AF14" s="345"/>
      <c r="AG14" s="345"/>
      <c r="AH14" s="345"/>
      <c r="AI14" s="345"/>
    </row>
    <row r="15" spans="1:35" ht="13.5" customHeight="1" x14ac:dyDescent="0.2">
      <c r="A15" s="507" t="s">
        <v>733</v>
      </c>
      <c r="B15" s="346"/>
      <c r="C15" s="510">
        <v>300</v>
      </c>
      <c r="D15" s="352">
        <f>MAR!BJ26</f>
        <v>301</v>
      </c>
      <c r="E15" s="352"/>
      <c r="F15" s="352">
        <f>C15-D15</f>
        <v>-1</v>
      </c>
      <c r="G15" s="354">
        <f>IF(D15=0,0,C15/D15-1)</f>
        <v>-3.3222591362126463E-3</v>
      </c>
      <c r="H15" s="346"/>
      <c r="I15" s="351">
        <v>309.12699999999995</v>
      </c>
      <c r="J15" s="346"/>
      <c r="K15" s="352">
        <f>C15-I15</f>
        <v>-9.1269999999999527</v>
      </c>
      <c r="L15" s="505">
        <f>IF(I15=0,"NM",C15/I15-1)</f>
        <v>-2.9525081924257512E-2</v>
      </c>
      <c r="M15" s="346"/>
      <c r="N15" s="346">
        <f>+I10-I15</f>
        <v>49.97300000000007</v>
      </c>
      <c r="O15" s="346"/>
      <c r="P15" s="346"/>
      <c r="Q15" s="346"/>
      <c r="R15" s="346"/>
      <c r="S15" s="346"/>
      <c r="T15" s="345"/>
      <c r="U15" s="345"/>
      <c r="V15" s="345"/>
      <c r="W15" s="345"/>
      <c r="X15" s="345"/>
      <c r="Y15" s="345"/>
      <c r="Z15" s="345"/>
      <c r="AA15" s="345"/>
      <c r="AB15" s="345"/>
      <c r="AC15" s="345"/>
      <c r="AD15" s="345"/>
      <c r="AE15" s="345"/>
      <c r="AF15" s="345"/>
      <c r="AG15" s="345"/>
      <c r="AH15" s="345"/>
      <c r="AI15" s="345"/>
    </row>
    <row r="16" spans="1:35" ht="13.5" customHeight="1" x14ac:dyDescent="0.2">
      <c r="A16" s="507" t="s">
        <v>735</v>
      </c>
      <c r="B16" s="346"/>
      <c r="C16" s="510">
        <v>209</v>
      </c>
      <c r="D16" s="352">
        <f>MAR!BJ27</f>
        <v>0</v>
      </c>
      <c r="E16" s="352"/>
      <c r="F16" s="352">
        <f>C16-D16</f>
        <v>209</v>
      </c>
      <c r="G16" s="354">
        <f>IF(D16=0,0,C16/D16-1)</f>
        <v>0</v>
      </c>
      <c r="H16" s="346"/>
      <c r="I16" s="351">
        <v>333.96974372093024</v>
      </c>
      <c r="J16" s="346"/>
      <c r="K16" s="352">
        <f>C16-I16</f>
        <v>-124.96974372093024</v>
      </c>
      <c r="L16" s="505">
        <f>IF(I16=0,"NM",C16/I16-1)</f>
        <v>-0.37419480677673811</v>
      </c>
      <c r="M16" s="346"/>
      <c r="N16" s="346"/>
      <c r="O16" s="346"/>
      <c r="P16" s="346"/>
      <c r="Q16" s="346"/>
      <c r="R16" s="346"/>
      <c r="S16" s="346"/>
      <c r="T16" s="345"/>
      <c r="U16" s="345"/>
      <c r="V16" s="345"/>
      <c r="W16" s="345"/>
      <c r="X16" s="345"/>
      <c r="Y16" s="345"/>
      <c r="Z16" s="345"/>
      <c r="AA16" s="345"/>
      <c r="AB16" s="345"/>
      <c r="AC16" s="345"/>
      <c r="AD16" s="345"/>
      <c r="AE16" s="345"/>
      <c r="AF16" s="345"/>
      <c r="AG16" s="345"/>
      <c r="AH16" s="345"/>
      <c r="AI16" s="345"/>
    </row>
    <row r="17" spans="1:35" ht="13.5" customHeight="1" x14ac:dyDescent="0.2">
      <c r="A17" s="507" t="s">
        <v>736</v>
      </c>
      <c r="B17" s="346"/>
      <c r="C17" s="510">
        <v>254</v>
      </c>
      <c r="D17" s="352">
        <f>+MAR!BJ29</f>
        <v>215</v>
      </c>
      <c r="E17" s="352"/>
      <c r="F17" s="352">
        <f>C17-D17</f>
        <v>39</v>
      </c>
      <c r="G17" s="354">
        <f>IF(D17=0,0,C17/D17-1)</f>
        <v>0.18139534883720931</v>
      </c>
      <c r="H17" s="346"/>
      <c r="I17" s="351">
        <v>240</v>
      </c>
      <c r="J17" s="346"/>
      <c r="K17" s="352">
        <f>C17-I17</f>
        <v>14</v>
      </c>
      <c r="L17" s="505">
        <f>IF(I17=0,"NM",C17/I17-1)</f>
        <v>5.8333333333333348E-2</v>
      </c>
      <c r="M17" s="346"/>
      <c r="N17" s="346"/>
      <c r="O17" s="346"/>
      <c r="P17" s="346"/>
      <c r="Q17" s="346"/>
      <c r="R17" s="346"/>
      <c r="S17" s="346"/>
      <c r="T17" s="345"/>
      <c r="U17" s="345"/>
      <c r="V17" s="345"/>
      <c r="W17" s="345"/>
      <c r="X17" s="345"/>
      <c r="Y17" s="345"/>
      <c r="Z17" s="345"/>
      <c r="AA17" s="345"/>
      <c r="AB17" s="345"/>
      <c r="AC17" s="345"/>
      <c r="AD17" s="345"/>
      <c r="AE17" s="345"/>
      <c r="AF17" s="345"/>
      <c r="AG17" s="345"/>
      <c r="AH17" s="345"/>
      <c r="AI17" s="345"/>
    </row>
    <row r="18" spans="1:35" ht="13.5" customHeight="1" x14ac:dyDescent="0.2">
      <c r="A18" s="507" t="s">
        <v>2247</v>
      </c>
      <c r="B18" s="346"/>
      <c r="C18" s="351">
        <f>-C22</f>
        <v>-52</v>
      </c>
      <c r="D18" s="352"/>
      <c r="E18" s="352"/>
      <c r="F18" s="352"/>
      <c r="G18" s="354"/>
      <c r="H18" s="346"/>
      <c r="I18" s="351">
        <f>-I22</f>
        <v>-54</v>
      </c>
      <c r="J18" s="346"/>
      <c r="K18" s="352">
        <f>C18-I18</f>
        <v>2</v>
      </c>
      <c r="L18" s="505">
        <f>IF(I18=0,"NM",C18/I18-1)</f>
        <v>-3.703703703703709E-2</v>
      </c>
      <c r="M18" s="346"/>
      <c r="N18" s="346"/>
      <c r="O18" s="346"/>
      <c r="P18" s="346"/>
      <c r="Q18" s="346"/>
      <c r="R18" s="346"/>
      <c r="S18" s="346"/>
      <c r="T18" s="345"/>
      <c r="U18" s="345"/>
      <c r="V18" s="345"/>
      <c r="W18" s="345"/>
      <c r="X18" s="345"/>
      <c r="Y18" s="345"/>
      <c r="Z18" s="345"/>
      <c r="AA18" s="345"/>
      <c r="AB18" s="345"/>
      <c r="AC18" s="345"/>
      <c r="AD18" s="345"/>
      <c r="AE18" s="345"/>
      <c r="AF18" s="345"/>
      <c r="AG18" s="345"/>
      <c r="AH18" s="345"/>
      <c r="AI18" s="345"/>
    </row>
    <row r="19" spans="1:35" ht="13.5" customHeight="1" x14ac:dyDescent="0.2">
      <c r="A19" s="355" t="s">
        <v>1913</v>
      </c>
      <c r="B19" s="356"/>
      <c r="C19" s="614">
        <f>SUM(C15:C18)</f>
        <v>711</v>
      </c>
      <c r="D19" s="489">
        <f>SUM(D15:D18)</f>
        <v>516</v>
      </c>
      <c r="E19" s="488"/>
      <c r="F19" s="357">
        <f>C19-D19</f>
        <v>195</v>
      </c>
      <c r="G19" s="358">
        <f>IF(D19=0,0,C19/D19-1)</f>
        <v>0.37790697674418605</v>
      </c>
      <c r="H19" s="359"/>
      <c r="I19" s="614">
        <f>SUM(I15:I18)</f>
        <v>829.09674372093014</v>
      </c>
      <c r="J19" s="357"/>
      <c r="K19" s="357">
        <f>SUM(K15:K18)</f>
        <v>-118.09674372093019</v>
      </c>
      <c r="L19" s="360">
        <f>C19/I19-1</f>
        <v>-0.14244024550249701</v>
      </c>
      <c r="M19" s="346"/>
      <c r="N19" s="346"/>
      <c r="O19" s="346"/>
      <c r="P19" s="346"/>
      <c r="Q19" s="346"/>
      <c r="R19" s="346"/>
      <c r="S19" s="346"/>
      <c r="T19" s="345"/>
      <c r="U19" s="345"/>
      <c r="V19" s="345"/>
      <c r="W19" s="345"/>
      <c r="X19" s="345"/>
      <c r="Y19" s="345"/>
      <c r="Z19" s="345"/>
      <c r="AA19" s="345"/>
      <c r="AB19" s="345"/>
      <c r="AC19" s="345"/>
      <c r="AD19" s="345"/>
      <c r="AE19" s="345"/>
      <c r="AF19" s="345"/>
      <c r="AG19" s="345"/>
      <c r="AH19" s="345"/>
      <c r="AI19" s="345"/>
    </row>
    <row r="20" spans="1:35" ht="13.5" customHeight="1" x14ac:dyDescent="0.2">
      <c r="A20" s="507"/>
      <c r="B20" s="346"/>
      <c r="C20" s="351"/>
      <c r="D20" s="352"/>
      <c r="E20" s="346"/>
      <c r="F20" s="346"/>
      <c r="G20" s="361"/>
      <c r="H20" s="346"/>
      <c r="I20" s="351"/>
      <c r="J20" s="346"/>
      <c r="K20" s="346"/>
      <c r="L20" s="506"/>
      <c r="M20" s="346"/>
      <c r="N20" s="346"/>
      <c r="O20" s="346"/>
      <c r="P20" s="346"/>
      <c r="Q20" s="346"/>
      <c r="R20" s="346"/>
      <c r="S20" s="346"/>
      <c r="T20" s="345"/>
      <c r="U20" s="345"/>
      <c r="V20" s="345"/>
      <c r="W20" s="345"/>
      <c r="X20" s="345"/>
      <c r="Y20" s="345"/>
      <c r="Z20" s="345"/>
      <c r="AA20" s="345"/>
      <c r="AB20" s="345"/>
      <c r="AC20" s="345"/>
      <c r="AD20" s="345"/>
      <c r="AE20" s="345"/>
      <c r="AF20" s="345"/>
      <c r="AG20" s="345"/>
      <c r="AH20" s="345"/>
      <c r="AI20" s="345"/>
    </row>
    <row r="21" spans="1:35" ht="13.5" customHeight="1" x14ac:dyDescent="0.2">
      <c r="A21" s="331" t="s">
        <v>1863</v>
      </c>
      <c r="B21" s="1130"/>
      <c r="C21" s="614">
        <f>+C12-C19</f>
        <v>299</v>
      </c>
      <c r="D21" s="489"/>
      <c r="E21" s="1130"/>
      <c r="F21" s="489"/>
      <c r="G21" s="358">
        <f>IF(D21=0,0,C21/D21-1)</f>
        <v>0</v>
      </c>
      <c r="H21" s="1130"/>
      <c r="I21" s="614">
        <f>I12-I19</f>
        <v>358.99360756750912</v>
      </c>
      <c r="J21" s="1130"/>
      <c r="K21" s="489">
        <f>C21-I21</f>
        <v>-59.993607567509116</v>
      </c>
      <c r="L21" s="360">
        <f>IF(I21=0,"NM",C21/I21-1)</f>
        <v>-0.16711608870703154</v>
      </c>
      <c r="M21" s="362"/>
      <c r="N21" s="362"/>
      <c r="O21" s="362"/>
      <c r="P21" s="362"/>
      <c r="Q21" s="362"/>
      <c r="R21" s="362"/>
      <c r="S21" s="362"/>
      <c r="T21" s="344"/>
      <c r="U21" s="344"/>
      <c r="V21" s="344"/>
      <c r="W21" s="344"/>
      <c r="X21" s="344"/>
      <c r="Y21" s="344"/>
      <c r="Z21" s="344"/>
      <c r="AA21" s="344"/>
      <c r="AB21" s="344"/>
      <c r="AC21" s="344"/>
      <c r="AD21" s="344"/>
      <c r="AE21" s="344"/>
      <c r="AF21" s="344"/>
      <c r="AG21" s="344"/>
      <c r="AH21" s="344"/>
      <c r="AI21" s="344"/>
    </row>
    <row r="22" spans="1:35" ht="13.5" customHeight="1" x14ac:dyDescent="0.2">
      <c r="A22" s="1131" t="s">
        <v>2248</v>
      </c>
      <c r="B22" s="1132"/>
      <c r="C22" s="1168">
        <v>52</v>
      </c>
      <c r="D22" s="1134"/>
      <c r="E22" s="1132"/>
      <c r="F22" s="1134"/>
      <c r="G22" s="1135"/>
      <c r="H22" s="1132"/>
      <c r="I22" s="1133">
        <v>54</v>
      </c>
      <c r="J22" s="1132"/>
      <c r="K22" s="1134">
        <f>C22-I22</f>
        <v>-2</v>
      </c>
      <c r="L22" s="1136">
        <f>IF(I22=0,"NM",C22/I22-1)</f>
        <v>-3.703703703703709E-2</v>
      </c>
      <c r="M22" s="346"/>
      <c r="N22" s="346"/>
      <c r="O22" s="346"/>
      <c r="P22" s="346"/>
      <c r="Q22" s="346"/>
      <c r="R22" s="346"/>
      <c r="S22" s="346"/>
      <c r="T22" s="345"/>
      <c r="U22" s="345"/>
      <c r="V22" s="345"/>
      <c r="W22" s="345"/>
      <c r="X22" s="345"/>
      <c r="Y22" s="345"/>
      <c r="Z22" s="345"/>
      <c r="AA22" s="345"/>
      <c r="AB22" s="345"/>
      <c r="AC22" s="345"/>
      <c r="AD22" s="345"/>
      <c r="AE22" s="345"/>
      <c r="AF22" s="345"/>
      <c r="AG22" s="345"/>
      <c r="AH22" s="345"/>
      <c r="AI22" s="345"/>
    </row>
    <row r="23" spans="1:35" ht="13.5" customHeight="1" x14ac:dyDescent="0.2">
      <c r="A23" s="508" t="s">
        <v>1343</v>
      </c>
      <c r="B23" s="362"/>
      <c r="C23" s="615">
        <f>C21-C22</f>
        <v>247</v>
      </c>
      <c r="D23" s="485">
        <f>D21-D22</f>
        <v>0</v>
      </c>
      <c r="E23" s="362"/>
      <c r="F23" s="485">
        <f>C23-D23</f>
        <v>247</v>
      </c>
      <c r="G23" s="482">
        <f>IF(D23=0,0,C23/D23-1)</f>
        <v>0</v>
      </c>
      <c r="H23" s="362"/>
      <c r="I23" s="615">
        <f>I21-I22</f>
        <v>304.99360756750912</v>
      </c>
      <c r="J23" s="362"/>
      <c r="K23" s="485">
        <f>C23-I23</f>
        <v>-57.993607567509116</v>
      </c>
      <c r="L23" s="509">
        <f>IF(I23=0,"NM",C23/I23-1)</f>
        <v>-0.19014696088236038</v>
      </c>
      <c r="M23" s="362"/>
      <c r="N23" s="1144">
        <v>299</v>
      </c>
      <c r="O23" s="362"/>
      <c r="P23" s="362"/>
      <c r="Q23" s="362"/>
      <c r="R23" s="362"/>
      <c r="S23" s="362"/>
      <c r="T23" s="344"/>
      <c r="U23" s="344"/>
      <c r="V23" s="344"/>
      <c r="W23" s="344"/>
      <c r="X23" s="344"/>
      <c r="Y23" s="344"/>
      <c r="Z23" s="344"/>
      <c r="AA23" s="344"/>
      <c r="AB23" s="344"/>
      <c r="AC23" s="344"/>
      <c r="AD23" s="344"/>
      <c r="AE23" s="344"/>
      <c r="AF23" s="344"/>
      <c r="AG23" s="344"/>
      <c r="AH23" s="344"/>
      <c r="AI23" s="344"/>
    </row>
    <row r="24" spans="1:35" ht="13.5" customHeight="1" x14ac:dyDescent="0.2">
      <c r="A24" s="508"/>
      <c r="B24" s="346"/>
      <c r="C24" s="615"/>
      <c r="D24" s="485"/>
      <c r="E24" s="346"/>
      <c r="F24" s="352"/>
      <c r="G24" s="361"/>
      <c r="H24" s="346"/>
      <c r="I24" s="615"/>
      <c r="J24" s="346"/>
      <c r="K24" s="352"/>
      <c r="L24" s="506"/>
      <c r="M24" s="346"/>
      <c r="N24" s="346"/>
      <c r="O24" s="346"/>
      <c r="P24" s="346"/>
      <c r="Q24" s="346"/>
      <c r="R24" s="346"/>
      <c r="S24" s="346"/>
      <c r="T24" s="345"/>
      <c r="U24" s="345"/>
      <c r="V24" s="345"/>
      <c r="W24" s="345"/>
      <c r="X24" s="345"/>
      <c r="Y24" s="345"/>
      <c r="Z24" s="345"/>
      <c r="AA24" s="345"/>
      <c r="AB24" s="345"/>
      <c r="AC24" s="345"/>
      <c r="AD24" s="345"/>
      <c r="AE24" s="345"/>
      <c r="AF24" s="345"/>
      <c r="AG24" s="345"/>
      <c r="AH24" s="345"/>
      <c r="AI24" s="345"/>
    </row>
    <row r="25" spans="1:35" ht="13.5" customHeight="1" x14ac:dyDescent="0.2">
      <c r="A25" s="507" t="s">
        <v>2249</v>
      </c>
      <c r="B25" s="346"/>
      <c r="C25" s="510">
        <v>-47</v>
      </c>
      <c r="D25" s="352">
        <f>MAR!BJ39</f>
        <v>-39</v>
      </c>
      <c r="E25" s="346"/>
      <c r="F25" s="352">
        <f t="shared" ref="F25:F30" si="0">C25-D25</f>
        <v>-8</v>
      </c>
      <c r="G25" s="354">
        <f t="shared" ref="G25:G34" si="1">IF(D25=0,0,C25/D25-1)</f>
        <v>0.20512820512820507</v>
      </c>
      <c r="H25" s="346"/>
      <c r="I25" s="351">
        <v>-51.945107692307687</v>
      </c>
      <c r="J25" s="346"/>
      <c r="K25" s="352">
        <f t="shared" ref="K25:K33" si="2">C25-I25</f>
        <v>4.9451076923076869</v>
      </c>
      <c r="L25" s="505">
        <f t="shared" ref="L25:L33" si="3">IF(I25=0,"NM",C25/I25-1)</f>
        <v>-9.5198718647376834E-2</v>
      </c>
      <c r="M25" s="346"/>
      <c r="N25" s="346"/>
      <c r="O25" s="346"/>
      <c r="P25" s="346"/>
      <c r="Q25" s="346"/>
      <c r="R25" s="346"/>
      <c r="S25" s="346"/>
      <c r="T25" s="345"/>
      <c r="U25" s="345"/>
      <c r="V25" s="345"/>
      <c r="W25" s="345"/>
      <c r="X25" s="345"/>
      <c r="Y25" s="345"/>
      <c r="Z25" s="345"/>
      <c r="AA25" s="345"/>
      <c r="AB25" s="345"/>
      <c r="AC25" s="345"/>
      <c r="AD25" s="345"/>
      <c r="AE25" s="345"/>
      <c r="AF25" s="345"/>
      <c r="AG25" s="345"/>
      <c r="AH25" s="345"/>
      <c r="AI25" s="345"/>
    </row>
    <row r="26" spans="1:35" ht="13.5" customHeight="1" x14ac:dyDescent="0.2">
      <c r="A26" s="507" t="s">
        <v>2250</v>
      </c>
      <c r="B26" s="346"/>
      <c r="C26" s="510">
        <v>5</v>
      </c>
      <c r="D26" s="352">
        <f>MAR!BJ40</f>
        <v>11</v>
      </c>
      <c r="E26" s="346"/>
      <c r="F26" s="352">
        <f t="shared" si="0"/>
        <v>-6</v>
      </c>
      <c r="G26" s="354">
        <f t="shared" si="1"/>
        <v>-0.54545454545454541</v>
      </c>
      <c r="H26" s="346"/>
      <c r="I26" s="351">
        <v>1.6923076923076938</v>
      </c>
      <c r="J26" s="346"/>
      <c r="K26" s="352">
        <f t="shared" si="2"/>
        <v>3.3076923076923062</v>
      </c>
      <c r="L26" s="505">
        <f t="shared" si="3"/>
        <v>1.9545454545454519</v>
      </c>
      <c r="M26" s="346"/>
      <c r="N26" s="346"/>
      <c r="O26" s="346"/>
      <c r="P26" s="346"/>
      <c r="Q26" s="346"/>
      <c r="R26" s="346"/>
      <c r="S26" s="346"/>
      <c r="T26" s="345"/>
      <c r="U26" s="345"/>
      <c r="V26" s="345"/>
      <c r="W26" s="345"/>
      <c r="X26" s="345"/>
      <c r="Y26" s="345"/>
      <c r="Z26" s="345"/>
      <c r="AA26" s="345"/>
      <c r="AB26" s="345"/>
      <c r="AC26" s="345"/>
      <c r="AD26" s="345"/>
      <c r="AE26" s="345"/>
      <c r="AF26" s="345"/>
      <c r="AG26" s="345"/>
      <c r="AH26" s="345"/>
      <c r="AI26" s="345"/>
    </row>
    <row r="27" spans="1:35" ht="13.5" customHeight="1" x14ac:dyDescent="0.2">
      <c r="A27" s="507" t="s">
        <v>2251</v>
      </c>
      <c r="B27" s="346"/>
      <c r="C27" s="510">
        <v>4</v>
      </c>
      <c r="D27" s="352">
        <f>MAR!BL38</f>
        <v>2</v>
      </c>
      <c r="E27" s="346"/>
      <c r="F27" s="352">
        <f t="shared" si="0"/>
        <v>2</v>
      </c>
      <c r="G27" s="354">
        <f t="shared" si="1"/>
        <v>1</v>
      </c>
      <c r="H27" s="346"/>
      <c r="I27" s="351">
        <v>0</v>
      </c>
      <c r="J27" s="346"/>
      <c r="K27" s="352">
        <f t="shared" si="2"/>
        <v>4</v>
      </c>
      <c r="L27" s="505" t="str">
        <f t="shared" si="3"/>
        <v>NM</v>
      </c>
      <c r="M27" s="346"/>
      <c r="N27" s="346"/>
      <c r="O27" s="346"/>
      <c r="P27" s="346"/>
      <c r="Q27" s="346"/>
      <c r="R27" s="346"/>
      <c r="S27" s="346"/>
      <c r="T27" s="345"/>
      <c r="U27" s="345"/>
      <c r="V27" s="345"/>
      <c r="W27" s="345"/>
      <c r="X27" s="345"/>
      <c r="Y27" s="345"/>
      <c r="Z27" s="345"/>
      <c r="AA27" s="345"/>
      <c r="AB27" s="345"/>
      <c r="AC27" s="345"/>
      <c r="AD27" s="345"/>
      <c r="AE27" s="345"/>
      <c r="AF27" s="345"/>
      <c r="AG27" s="345"/>
      <c r="AH27" s="345"/>
      <c r="AI27" s="345"/>
    </row>
    <row r="28" spans="1:35" ht="13.5" customHeight="1" x14ac:dyDescent="0.2">
      <c r="A28" s="1131" t="s">
        <v>712</v>
      </c>
      <c r="B28" s="1132"/>
      <c r="C28" s="1169">
        <v>-7</v>
      </c>
      <c r="D28" s="1155">
        <f>MAR!BL42</f>
        <v>-4</v>
      </c>
      <c r="E28" s="1132"/>
      <c r="F28" s="1155">
        <f t="shared" si="0"/>
        <v>-3</v>
      </c>
      <c r="G28" s="1135">
        <f t="shared" si="1"/>
        <v>0.75</v>
      </c>
      <c r="H28" s="1132"/>
      <c r="I28" s="1156">
        <v>-5</v>
      </c>
      <c r="J28" s="1132"/>
      <c r="K28" s="1155">
        <f t="shared" si="2"/>
        <v>-2</v>
      </c>
      <c r="L28" s="1136">
        <f t="shared" si="3"/>
        <v>0.39999999999999991</v>
      </c>
      <c r="M28" s="346"/>
      <c r="N28" s="346"/>
      <c r="O28" s="346"/>
      <c r="P28" s="346"/>
      <c r="Q28" s="346"/>
      <c r="R28" s="346"/>
      <c r="S28" s="346"/>
      <c r="T28" s="345"/>
      <c r="U28" s="345"/>
      <c r="V28" s="345"/>
      <c r="W28" s="345"/>
      <c r="X28" s="345"/>
      <c r="Y28" s="345"/>
      <c r="Z28" s="345"/>
      <c r="AA28" s="345"/>
      <c r="AB28" s="345"/>
      <c r="AC28" s="345"/>
      <c r="AD28" s="345"/>
      <c r="AE28" s="345"/>
      <c r="AF28" s="345"/>
      <c r="AG28" s="345"/>
      <c r="AH28" s="345"/>
      <c r="AI28" s="345"/>
    </row>
    <row r="29" spans="1:35" ht="13.5" customHeight="1" x14ac:dyDescent="0.2">
      <c r="A29" s="502" t="s">
        <v>642</v>
      </c>
      <c r="B29" s="362"/>
      <c r="C29" s="615">
        <f>SUM(C23:C28)</f>
        <v>202</v>
      </c>
      <c r="D29" s="485">
        <f>SUM(D23:D28)</f>
        <v>-30</v>
      </c>
      <c r="E29" s="362"/>
      <c r="F29" s="485">
        <f t="shared" si="0"/>
        <v>232</v>
      </c>
      <c r="G29" s="482">
        <f t="shared" si="1"/>
        <v>-7.7333333333333334</v>
      </c>
      <c r="H29" s="362"/>
      <c r="I29" s="615">
        <f>SUM(I23:I28)</f>
        <v>249.74080756750914</v>
      </c>
      <c r="J29" s="362"/>
      <c r="K29" s="485">
        <f t="shared" si="2"/>
        <v>-47.740807567509137</v>
      </c>
      <c r="L29" s="509">
        <f t="shared" si="3"/>
        <v>-0.19116142064449759</v>
      </c>
      <c r="M29" s="362"/>
      <c r="N29" s="362"/>
      <c r="O29" s="362"/>
      <c r="P29" s="362"/>
      <c r="Q29" s="362"/>
      <c r="R29" s="362"/>
      <c r="S29" s="362"/>
      <c r="T29" s="344"/>
      <c r="U29" s="344"/>
      <c r="V29" s="344"/>
      <c r="W29" s="344"/>
      <c r="X29" s="344"/>
      <c r="Y29" s="344"/>
      <c r="Z29" s="344"/>
      <c r="AA29" s="344"/>
      <c r="AB29" s="344"/>
      <c r="AC29" s="344"/>
      <c r="AD29" s="344"/>
      <c r="AE29" s="344"/>
      <c r="AF29" s="344"/>
      <c r="AG29" s="344"/>
      <c r="AH29" s="344"/>
      <c r="AI29" s="344"/>
    </row>
    <row r="30" spans="1:35" ht="13.5" customHeight="1" x14ac:dyDescent="0.2">
      <c r="A30" s="1137" t="s">
        <v>713</v>
      </c>
      <c r="B30" s="1132"/>
      <c r="C30" s="1169">
        <v>-61</v>
      </c>
      <c r="D30" s="1155">
        <f>MAR!BJ48</f>
        <v>-51</v>
      </c>
      <c r="E30" s="1138"/>
      <c r="F30" s="1155">
        <f t="shared" si="0"/>
        <v>-10</v>
      </c>
      <c r="G30" s="1135">
        <f t="shared" si="1"/>
        <v>0.19607843137254899</v>
      </c>
      <c r="H30" s="1132"/>
      <c r="I30" s="1156">
        <v>-96.150210913491023</v>
      </c>
      <c r="J30" s="1138"/>
      <c r="K30" s="1155">
        <f t="shared" si="2"/>
        <v>35.150210913491023</v>
      </c>
      <c r="L30" s="1136">
        <f t="shared" si="3"/>
        <v>-0.36557601464979239</v>
      </c>
      <c r="M30" s="346"/>
      <c r="N30" s="346"/>
      <c r="O30" s="346"/>
      <c r="P30" s="346"/>
      <c r="Q30" s="346"/>
      <c r="R30" s="346"/>
      <c r="S30" s="346"/>
      <c r="T30" s="345"/>
      <c r="U30" s="345"/>
      <c r="V30" s="345"/>
      <c r="W30" s="345"/>
      <c r="X30" s="345"/>
      <c r="Y30" s="345"/>
      <c r="Z30" s="345"/>
      <c r="AA30" s="345"/>
      <c r="AB30" s="345"/>
      <c r="AC30" s="345"/>
      <c r="AD30" s="345"/>
      <c r="AE30" s="345"/>
      <c r="AF30" s="345"/>
      <c r="AG30" s="345"/>
      <c r="AH30" s="345"/>
      <c r="AI30" s="345"/>
    </row>
    <row r="31" spans="1:35" ht="13.5" customHeight="1" x14ac:dyDescent="0.2">
      <c r="A31" s="502" t="s">
        <v>1296</v>
      </c>
      <c r="B31" s="362"/>
      <c r="C31" s="615">
        <f>SUM(C29:C30)</f>
        <v>141</v>
      </c>
      <c r="D31" s="485">
        <f>SUM(D29:D30)</f>
        <v>-81</v>
      </c>
      <c r="E31" s="486"/>
      <c r="F31" s="485">
        <f>SUM(F29:F30)</f>
        <v>222</v>
      </c>
      <c r="G31" s="482">
        <f t="shared" si="1"/>
        <v>-2.7407407407407405</v>
      </c>
      <c r="H31" s="362"/>
      <c r="I31" s="615">
        <f>SUM(I29:I30)</f>
        <v>153.5905966540181</v>
      </c>
      <c r="J31" s="486"/>
      <c r="K31" s="485">
        <f t="shared" si="2"/>
        <v>-12.5905966540181</v>
      </c>
      <c r="L31" s="509">
        <f t="shared" si="3"/>
        <v>-8.1975048787524263E-2</v>
      </c>
      <c r="M31" s="362"/>
      <c r="N31" s="362"/>
      <c r="O31" s="362"/>
      <c r="P31" s="362"/>
      <c r="Q31" s="362"/>
      <c r="R31" s="362"/>
      <c r="S31" s="362"/>
      <c r="T31" s="344"/>
      <c r="U31" s="344"/>
      <c r="V31" s="344"/>
      <c r="W31" s="344"/>
      <c r="X31" s="344"/>
      <c r="Y31" s="344"/>
      <c r="Z31" s="344"/>
      <c r="AA31" s="344"/>
      <c r="AB31" s="344"/>
      <c r="AC31" s="344"/>
      <c r="AD31" s="344"/>
      <c r="AE31" s="344"/>
      <c r="AF31" s="344"/>
      <c r="AG31" s="344"/>
      <c r="AH31" s="344"/>
      <c r="AI31" s="344"/>
    </row>
    <row r="32" spans="1:35" ht="13.5" customHeight="1" x14ac:dyDescent="0.2">
      <c r="A32" s="501" t="s">
        <v>714</v>
      </c>
      <c r="B32" s="346"/>
      <c r="C32" s="351">
        <v>0</v>
      </c>
      <c r="D32" s="352">
        <f>MAR!BJ46</f>
        <v>0</v>
      </c>
      <c r="E32" s="353"/>
      <c r="F32" s="352">
        <f>MAR!BL46</f>
        <v>0</v>
      </c>
      <c r="G32" s="354">
        <f t="shared" si="1"/>
        <v>0</v>
      </c>
      <c r="H32" s="346"/>
      <c r="I32" s="351">
        <v>0</v>
      </c>
      <c r="J32" s="353"/>
      <c r="K32" s="352">
        <f t="shared" si="2"/>
        <v>0</v>
      </c>
      <c r="L32" s="505" t="str">
        <f t="shared" si="3"/>
        <v>NM</v>
      </c>
      <c r="M32" s="346"/>
      <c r="N32" s="346"/>
      <c r="O32" s="346"/>
      <c r="P32" s="346"/>
      <c r="Q32" s="346"/>
      <c r="R32" s="346"/>
      <c r="S32" s="346"/>
      <c r="T32" s="345"/>
      <c r="U32" s="345"/>
      <c r="V32" s="345"/>
      <c r="W32" s="345"/>
      <c r="X32" s="345"/>
      <c r="Y32" s="345"/>
      <c r="Z32" s="345"/>
      <c r="AA32" s="345"/>
      <c r="AB32" s="345"/>
      <c r="AC32" s="345"/>
      <c r="AD32" s="345"/>
      <c r="AE32" s="345"/>
      <c r="AF32" s="345"/>
      <c r="AG32" s="345"/>
      <c r="AH32" s="345"/>
      <c r="AI32" s="345"/>
    </row>
    <row r="33" spans="1:35" ht="13.5" customHeight="1" x14ac:dyDescent="0.2">
      <c r="A33" s="355" t="s">
        <v>1298</v>
      </c>
      <c r="B33" s="356"/>
      <c r="C33" s="614">
        <f>C31-C32</f>
        <v>141</v>
      </c>
      <c r="D33" s="489">
        <f>D31-D32</f>
        <v>-81</v>
      </c>
      <c r="E33" s="357"/>
      <c r="F33" s="357">
        <f>C33-D33</f>
        <v>222</v>
      </c>
      <c r="G33" s="358">
        <f t="shared" si="1"/>
        <v>-2.7407407407407405</v>
      </c>
      <c r="H33" s="359"/>
      <c r="I33" s="614">
        <f>I31-I32</f>
        <v>153.5905966540181</v>
      </c>
      <c r="J33" s="357"/>
      <c r="K33" s="357">
        <f t="shared" si="2"/>
        <v>-12.5905966540181</v>
      </c>
      <c r="L33" s="360">
        <f t="shared" si="3"/>
        <v>-8.1975048787524263E-2</v>
      </c>
      <c r="M33" s="346"/>
      <c r="N33" s="1144">
        <v>165</v>
      </c>
      <c r="O33" s="346"/>
      <c r="P33" s="346"/>
      <c r="Q33" s="346"/>
      <c r="R33" s="346"/>
      <c r="S33" s="346"/>
      <c r="T33" s="345"/>
      <c r="U33" s="345"/>
      <c r="V33" s="345"/>
      <c r="W33" s="345"/>
      <c r="X33" s="345"/>
      <c r="Y33" s="345"/>
      <c r="Z33" s="345"/>
      <c r="AA33" s="345"/>
      <c r="AB33" s="345"/>
      <c r="AC33" s="345"/>
      <c r="AD33" s="345"/>
      <c r="AE33" s="345"/>
      <c r="AF33" s="345"/>
      <c r="AG33" s="345"/>
      <c r="AH33" s="345"/>
      <c r="AI33" s="345"/>
    </row>
    <row r="34" spans="1:35" ht="13.5" customHeight="1" x14ac:dyDescent="0.2">
      <c r="A34" s="501" t="s">
        <v>715</v>
      </c>
      <c r="B34" s="346"/>
      <c r="C34" s="510">
        <v>346.4</v>
      </c>
      <c r="D34" s="352"/>
      <c r="E34" s="353"/>
      <c r="F34" s="352"/>
      <c r="G34" s="354">
        <f t="shared" si="1"/>
        <v>0</v>
      </c>
      <c r="H34" s="346"/>
      <c r="I34" s="351">
        <v>339.8951808571428</v>
      </c>
      <c r="J34" s="353"/>
      <c r="K34" s="352"/>
      <c r="L34" s="505"/>
      <c r="M34" s="346"/>
      <c r="N34" s="346"/>
      <c r="O34" s="346"/>
      <c r="P34" s="346"/>
      <c r="Q34" s="346"/>
      <c r="R34" s="346"/>
      <c r="S34" s="346"/>
      <c r="T34" s="345"/>
      <c r="U34" s="345"/>
      <c r="V34" s="345"/>
      <c r="W34" s="345"/>
      <c r="X34" s="345"/>
      <c r="Y34" s="345"/>
      <c r="Z34" s="345"/>
      <c r="AA34" s="345"/>
      <c r="AB34" s="345"/>
      <c r="AC34" s="345"/>
      <c r="AD34" s="345"/>
      <c r="AE34" s="345"/>
      <c r="AF34" s="345"/>
      <c r="AG34" s="345"/>
      <c r="AH34" s="345"/>
      <c r="AI34" s="345"/>
    </row>
    <row r="35" spans="1:35" ht="13.5" customHeight="1" x14ac:dyDescent="0.2">
      <c r="A35" s="355" t="s">
        <v>1382</v>
      </c>
      <c r="B35" s="356"/>
      <c r="C35" s="483">
        <f>C33/C34</f>
        <v>0.40704387990762125</v>
      </c>
      <c r="D35" s="484"/>
      <c r="E35" s="357"/>
      <c r="F35" s="484"/>
      <c r="G35" s="358"/>
      <c r="H35" s="359"/>
      <c r="I35" s="483">
        <f>I33/I34</f>
        <v>0.45187635866650283</v>
      </c>
      <c r="J35" s="357"/>
      <c r="K35" s="484">
        <f>C35-I35</f>
        <v>-4.4832478758881578E-2</v>
      </c>
      <c r="L35" s="360">
        <f>IF(I35=0,"NM",C35/I35-1)</f>
        <v>-9.9214039192453529E-2</v>
      </c>
      <c r="M35" s="346"/>
      <c r="N35" s="1145">
        <v>0.47</v>
      </c>
      <c r="O35" s="346"/>
      <c r="P35" s="346"/>
      <c r="Q35" s="346"/>
      <c r="R35" s="346"/>
      <c r="S35" s="346"/>
      <c r="T35" s="345"/>
      <c r="U35" s="345"/>
      <c r="V35" s="345"/>
      <c r="W35" s="345"/>
      <c r="X35" s="345"/>
      <c r="Y35" s="345"/>
      <c r="Z35" s="345"/>
      <c r="AA35" s="345"/>
      <c r="AB35" s="345"/>
      <c r="AC35" s="345"/>
      <c r="AD35" s="345"/>
      <c r="AE35" s="345"/>
      <c r="AF35" s="345"/>
      <c r="AG35" s="345"/>
      <c r="AH35" s="345"/>
      <c r="AI35" s="345"/>
    </row>
    <row r="36" spans="1:35" ht="13.5" customHeight="1" x14ac:dyDescent="0.2">
      <c r="A36" s="501"/>
      <c r="B36" s="346"/>
      <c r="C36" s="351"/>
      <c r="D36" s="352"/>
      <c r="E36" s="353"/>
      <c r="F36" s="352"/>
      <c r="G36" s="354"/>
      <c r="H36" s="346"/>
      <c r="I36" s="920"/>
      <c r="J36" s="353"/>
      <c r="K36" s="352"/>
      <c r="L36" s="505"/>
      <c r="M36" s="346"/>
      <c r="N36" s="346"/>
      <c r="O36" s="346"/>
      <c r="P36" s="346"/>
      <c r="Q36" s="346"/>
      <c r="R36" s="346"/>
      <c r="S36" s="346"/>
      <c r="T36" s="345"/>
      <c r="U36" s="345"/>
      <c r="V36" s="345"/>
      <c r="W36" s="345"/>
      <c r="X36" s="345"/>
      <c r="Y36" s="345"/>
      <c r="Z36" s="345"/>
      <c r="AA36" s="345"/>
      <c r="AB36" s="345"/>
      <c r="AC36" s="345"/>
      <c r="AD36" s="345"/>
      <c r="AE36" s="345"/>
      <c r="AF36" s="345"/>
      <c r="AG36" s="345"/>
      <c r="AH36" s="345"/>
      <c r="AI36" s="345"/>
    </row>
    <row r="37" spans="1:35" ht="13.5" customHeight="1" x14ac:dyDescent="0.2">
      <c r="A37" s="1141" t="s">
        <v>220</v>
      </c>
      <c r="B37" s="418"/>
      <c r="C37" s="617"/>
      <c r="D37" s="424"/>
      <c r="E37" s="464"/>
      <c r="F37" s="464"/>
      <c r="G37" s="457"/>
      <c r="H37" s="477"/>
      <c r="I37" s="617"/>
      <c r="J37" s="464"/>
      <c r="K37" s="464"/>
      <c r="L37" s="607"/>
      <c r="M37" s="345"/>
      <c r="N37" s="345"/>
      <c r="O37" s="345"/>
      <c r="P37" s="345"/>
      <c r="Q37" s="345"/>
      <c r="R37" s="345"/>
      <c r="S37" s="346"/>
      <c r="T37" s="345"/>
      <c r="U37" s="345"/>
      <c r="V37" s="345"/>
      <c r="W37" s="345"/>
      <c r="X37" s="345"/>
      <c r="Y37" s="345"/>
      <c r="Z37" s="345"/>
      <c r="AA37" s="345"/>
      <c r="AB37" s="345"/>
      <c r="AC37" s="345"/>
      <c r="AD37" s="345"/>
      <c r="AE37" s="345"/>
      <c r="AF37" s="345"/>
      <c r="AG37" s="345"/>
      <c r="AH37" s="345"/>
      <c r="AI37" s="345"/>
    </row>
    <row r="38" spans="1:35" ht="13.5" customHeight="1" x14ac:dyDescent="0.2">
      <c r="A38" s="20" t="s">
        <v>221</v>
      </c>
      <c r="B38" s="421"/>
      <c r="C38" s="522">
        <f>C21</f>
        <v>299</v>
      </c>
      <c r="D38" s="464">
        <f>D21</f>
        <v>0</v>
      </c>
      <c r="E38" s="1139"/>
      <c r="F38" s="1140">
        <f t="shared" ref="F38:F45" si="4">C38-D38</f>
        <v>299</v>
      </c>
      <c r="G38" s="482">
        <f t="shared" ref="G38:G46" si="5">IF(D38=0,0,C38/D38-1)</f>
        <v>0</v>
      </c>
      <c r="H38" s="421"/>
      <c r="I38" s="522">
        <f>I21</f>
        <v>358.99360756750912</v>
      </c>
      <c r="J38" s="534"/>
      <c r="K38" s="1140">
        <f t="shared" ref="K38:K46" si="6">C38-I38</f>
        <v>-59.993607567509116</v>
      </c>
      <c r="L38" s="509">
        <f t="shared" ref="L38:L46" si="7">IF(I38=0,"NM",C38/I38-1)</f>
        <v>-0.16711608870703154</v>
      </c>
      <c r="M38" s="345"/>
      <c r="N38" s="345"/>
      <c r="O38" s="345"/>
      <c r="P38" s="345"/>
      <c r="Q38" s="345"/>
      <c r="R38" s="345"/>
      <c r="S38" s="346"/>
      <c r="T38" s="345"/>
      <c r="U38" s="345"/>
      <c r="V38" s="345"/>
      <c r="W38" s="345"/>
      <c r="X38" s="345"/>
      <c r="Y38" s="345"/>
      <c r="Z38" s="345"/>
      <c r="AA38" s="345"/>
      <c r="AB38" s="345"/>
      <c r="AC38" s="345"/>
      <c r="AD38" s="345"/>
      <c r="AE38" s="345"/>
      <c r="AF38" s="345"/>
      <c r="AG38" s="345"/>
      <c r="AH38" s="345"/>
      <c r="AI38" s="345"/>
    </row>
    <row r="39" spans="1:35" ht="13.5" customHeight="1" x14ac:dyDescent="0.2">
      <c r="A39" s="1142" t="s">
        <v>716</v>
      </c>
      <c r="B39" s="418"/>
      <c r="C39" s="644">
        <f>+C28</f>
        <v>-7</v>
      </c>
      <c r="D39" s="423">
        <f>MAR!BJ76</f>
        <v>-11</v>
      </c>
      <c r="E39" s="472"/>
      <c r="F39" s="352">
        <f t="shared" si="4"/>
        <v>4</v>
      </c>
      <c r="G39" s="354">
        <f t="shared" si="5"/>
        <v>-0.36363636363636365</v>
      </c>
      <c r="H39" s="418"/>
      <c r="I39" s="616">
        <v>-5</v>
      </c>
      <c r="J39" s="471"/>
      <c r="K39" s="352">
        <f t="shared" si="6"/>
        <v>-2</v>
      </c>
      <c r="L39" s="505">
        <f t="shared" si="7"/>
        <v>0.39999999999999991</v>
      </c>
      <c r="M39" s="345"/>
      <c r="N39" s="345"/>
      <c r="O39" s="345"/>
      <c r="P39" s="345"/>
      <c r="Q39" s="345"/>
      <c r="R39" s="345"/>
      <c r="S39" s="346"/>
      <c r="T39" s="345"/>
      <c r="U39" s="345"/>
      <c r="V39" s="345"/>
      <c r="W39" s="345"/>
      <c r="X39" s="345"/>
      <c r="Y39" s="345"/>
      <c r="Z39" s="345"/>
      <c r="AA39" s="345"/>
      <c r="AB39" s="345"/>
      <c r="AC39" s="345"/>
      <c r="AD39" s="345"/>
      <c r="AE39" s="345"/>
      <c r="AF39" s="345"/>
      <c r="AG39" s="345"/>
      <c r="AH39" s="345"/>
      <c r="AI39" s="345"/>
    </row>
    <row r="40" spans="1:35" ht="13.5" customHeight="1" x14ac:dyDescent="0.2">
      <c r="A40" s="1142" t="s">
        <v>717</v>
      </c>
      <c r="B40" s="418"/>
      <c r="C40" s="644">
        <v>5</v>
      </c>
      <c r="D40" s="423">
        <f>MAR!BJ77</f>
        <v>6</v>
      </c>
      <c r="E40" s="472"/>
      <c r="F40" s="352">
        <f t="shared" si="4"/>
        <v>-1</v>
      </c>
      <c r="G40" s="354">
        <f t="shared" si="5"/>
        <v>-0.16666666666666663</v>
      </c>
      <c r="H40" s="418"/>
      <c r="I40" s="616">
        <v>7</v>
      </c>
      <c r="J40" s="471"/>
      <c r="K40" s="352">
        <f t="shared" si="6"/>
        <v>-2</v>
      </c>
      <c r="L40" s="505">
        <f t="shared" si="7"/>
        <v>-0.2857142857142857</v>
      </c>
      <c r="M40" s="345"/>
      <c r="N40" s="345"/>
      <c r="O40" s="345"/>
      <c r="P40" s="345"/>
      <c r="Q40" s="345"/>
      <c r="R40" s="345"/>
      <c r="S40" s="346"/>
      <c r="T40" s="345"/>
      <c r="U40" s="345"/>
      <c r="V40" s="345"/>
      <c r="W40" s="345"/>
      <c r="X40" s="345"/>
      <c r="Y40" s="345"/>
      <c r="Z40" s="345"/>
      <c r="AA40" s="345"/>
      <c r="AB40" s="345"/>
      <c r="AC40" s="345"/>
      <c r="AD40" s="345"/>
      <c r="AE40" s="345"/>
      <c r="AF40" s="345"/>
      <c r="AG40" s="345"/>
      <c r="AH40" s="345"/>
      <c r="AI40" s="345"/>
    </row>
    <row r="41" spans="1:35" ht="13.5" customHeight="1" x14ac:dyDescent="0.2">
      <c r="A41" s="1142" t="s">
        <v>718</v>
      </c>
      <c r="B41" s="418"/>
      <c r="C41" s="644">
        <v>10</v>
      </c>
      <c r="D41" s="423">
        <f>MAR!BJ78</f>
        <v>8</v>
      </c>
      <c r="E41" s="424"/>
      <c r="F41" s="352">
        <f t="shared" si="4"/>
        <v>2</v>
      </c>
      <c r="G41" s="354">
        <f t="shared" si="5"/>
        <v>0.25</v>
      </c>
      <c r="H41" s="477"/>
      <c r="I41" s="616">
        <v>10</v>
      </c>
      <c r="J41" s="365"/>
      <c r="K41" s="352">
        <f t="shared" si="6"/>
        <v>0</v>
      </c>
      <c r="L41" s="505">
        <f t="shared" si="7"/>
        <v>0</v>
      </c>
      <c r="M41" s="345"/>
      <c r="N41" s="345"/>
      <c r="O41" s="345"/>
      <c r="P41" s="345"/>
      <c r="Q41" s="345"/>
      <c r="R41" s="345"/>
      <c r="S41" s="346"/>
      <c r="T41" s="345"/>
      <c r="U41" s="345"/>
      <c r="V41" s="345"/>
      <c r="W41" s="345"/>
      <c r="X41" s="345"/>
      <c r="Y41" s="345"/>
      <c r="Z41" s="345"/>
      <c r="AA41" s="345"/>
      <c r="AB41" s="345"/>
      <c r="AC41" s="345"/>
      <c r="AD41" s="345"/>
      <c r="AE41" s="345"/>
      <c r="AF41" s="345"/>
      <c r="AG41" s="345"/>
      <c r="AH41" s="345"/>
      <c r="AI41" s="345"/>
    </row>
    <row r="42" spans="1:35" ht="13.5" customHeight="1" x14ac:dyDescent="0.2">
      <c r="A42" s="1142" t="s">
        <v>719</v>
      </c>
      <c r="B42" s="418"/>
      <c r="C42" s="644">
        <f>+C26</f>
        <v>5</v>
      </c>
      <c r="D42" s="423">
        <f>MAR!BJ79</f>
        <v>11</v>
      </c>
      <c r="E42" s="472"/>
      <c r="F42" s="352">
        <f t="shared" si="4"/>
        <v>-6</v>
      </c>
      <c r="G42" s="354">
        <f t="shared" si="5"/>
        <v>-0.54545454545454541</v>
      </c>
      <c r="H42" s="418"/>
      <c r="I42" s="616">
        <v>1.6923076923076938</v>
      </c>
      <c r="J42" s="471"/>
      <c r="K42" s="352">
        <f t="shared" si="6"/>
        <v>3.3076923076923062</v>
      </c>
      <c r="L42" s="505">
        <f t="shared" si="7"/>
        <v>1.9545454545454519</v>
      </c>
      <c r="M42" s="345"/>
      <c r="N42" s="345"/>
      <c r="O42" s="345"/>
      <c r="P42" s="345"/>
      <c r="Q42" s="345"/>
      <c r="R42" s="345"/>
      <c r="S42" s="346"/>
      <c r="T42" s="345"/>
      <c r="U42" s="345"/>
      <c r="V42" s="345"/>
      <c r="W42" s="345"/>
      <c r="X42" s="345"/>
      <c r="Y42" s="345"/>
      <c r="Z42" s="345"/>
      <c r="AA42" s="345"/>
      <c r="AB42" s="345"/>
      <c r="AC42" s="345"/>
      <c r="AD42" s="345"/>
      <c r="AE42" s="345"/>
      <c r="AF42" s="345"/>
      <c r="AG42" s="345"/>
      <c r="AH42" s="345"/>
      <c r="AI42" s="345"/>
    </row>
    <row r="43" spans="1:35" ht="13.5" customHeight="1" x14ac:dyDescent="0.2">
      <c r="A43" s="1142" t="s">
        <v>598</v>
      </c>
      <c r="B43" s="418"/>
      <c r="C43" s="644">
        <f>+C27</f>
        <v>4</v>
      </c>
      <c r="D43" s="423">
        <f>MAR!BJ80</f>
        <v>8</v>
      </c>
      <c r="E43" s="472"/>
      <c r="F43" s="352">
        <f t="shared" si="4"/>
        <v>-4</v>
      </c>
      <c r="G43" s="354">
        <f t="shared" si="5"/>
        <v>-0.5</v>
      </c>
      <c r="H43" s="418"/>
      <c r="I43" s="616">
        <v>0</v>
      </c>
      <c r="J43" s="471"/>
      <c r="K43" s="352">
        <f t="shared" si="6"/>
        <v>4</v>
      </c>
      <c r="L43" s="505" t="str">
        <f t="shared" si="7"/>
        <v>NM</v>
      </c>
      <c r="M43" s="345"/>
      <c r="N43" s="345"/>
      <c r="O43" s="345"/>
      <c r="P43" s="345"/>
      <c r="Q43" s="345"/>
      <c r="R43" s="345"/>
      <c r="S43" s="346"/>
      <c r="T43" s="345"/>
      <c r="U43" s="345"/>
      <c r="V43" s="345"/>
      <c r="W43" s="345"/>
      <c r="X43" s="345"/>
      <c r="Y43" s="345"/>
      <c r="Z43" s="345"/>
      <c r="AA43" s="345"/>
      <c r="AB43" s="345"/>
      <c r="AC43" s="345"/>
      <c r="AD43" s="345"/>
      <c r="AE43" s="345"/>
      <c r="AF43" s="345"/>
      <c r="AG43" s="345"/>
      <c r="AH43" s="345"/>
      <c r="AI43" s="345"/>
    </row>
    <row r="44" spans="1:35" ht="13.5" customHeight="1" x14ac:dyDescent="0.2">
      <c r="A44" s="1142" t="s">
        <v>720</v>
      </c>
      <c r="B44" s="418"/>
      <c r="C44" s="644">
        <v>-4</v>
      </c>
      <c r="D44" s="423">
        <f>MAR!BJ81</f>
        <v>-3</v>
      </c>
      <c r="E44" s="424"/>
      <c r="F44" s="352">
        <f t="shared" si="4"/>
        <v>-1</v>
      </c>
      <c r="G44" s="354">
        <f t="shared" si="5"/>
        <v>0.33333333333333326</v>
      </c>
      <c r="H44" s="477"/>
      <c r="I44" s="616">
        <v>-4</v>
      </c>
      <c r="J44" s="365"/>
      <c r="K44" s="352">
        <f t="shared" si="6"/>
        <v>0</v>
      </c>
      <c r="L44" s="505">
        <f t="shared" si="7"/>
        <v>0</v>
      </c>
      <c r="M44" s="345"/>
      <c r="N44" s="345"/>
      <c r="O44" s="345"/>
      <c r="P44" s="345"/>
      <c r="Q44" s="345"/>
      <c r="R44" s="345"/>
      <c r="S44" s="346"/>
      <c r="T44" s="345"/>
      <c r="U44" s="345"/>
      <c r="V44" s="345"/>
      <c r="W44" s="345"/>
      <c r="X44" s="345"/>
      <c r="Y44" s="345"/>
      <c r="Z44" s="345"/>
      <c r="AA44" s="345"/>
      <c r="AB44" s="345"/>
      <c r="AC44" s="345"/>
      <c r="AD44" s="345"/>
      <c r="AE44" s="345"/>
      <c r="AF44" s="345"/>
      <c r="AG44" s="345"/>
      <c r="AH44" s="345"/>
      <c r="AI44" s="345"/>
    </row>
    <row r="45" spans="1:35" ht="13.5" customHeight="1" x14ac:dyDescent="0.2">
      <c r="A45" s="1142" t="s">
        <v>597</v>
      </c>
      <c r="B45" s="418"/>
      <c r="C45" s="644">
        <v>0</v>
      </c>
      <c r="D45" s="423">
        <f>MAR!BJ82</f>
        <v>0</v>
      </c>
      <c r="E45" s="472"/>
      <c r="F45" s="352">
        <f t="shared" si="4"/>
        <v>0</v>
      </c>
      <c r="G45" s="354">
        <f t="shared" si="5"/>
        <v>0</v>
      </c>
      <c r="H45" s="418"/>
      <c r="I45" s="616">
        <v>0</v>
      </c>
      <c r="J45" s="471"/>
      <c r="K45" s="352">
        <f t="shared" si="6"/>
        <v>0</v>
      </c>
      <c r="L45" s="505" t="str">
        <f t="shared" si="7"/>
        <v>NM</v>
      </c>
      <c r="M45" s="345"/>
      <c r="N45" s="345"/>
      <c r="O45" s="345"/>
      <c r="P45" s="345"/>
      <c r="Q45" s="345"/>
      <c r="R45" s="345"/>
      <c r="S45" s="346"/>
      <c r="T45" s="345"/>
      <c r="U45" s="345"/>
      <c r="V45" s="345"/>
      <c r="W45" s="345"/>
      <c r="X45" s="345"/>
      <c r="Y45" s="345"/>
      <c r="Z45" s="345"/>
      <c r="AA45" s="345"/>
      <c r="AB45" s="345"/>
      <c r="AC45" s="345"/>
      <c r="AD45" s="345"/>
      <c r="AE45" s="345"/>
      <c r="AF45" s="345"/>
      <c r="AG45" s="345"/>
      <c r="AH45" s="345"/>
      <c r="AI45" s="345"/>
    </row>
    <row r="46" spans="1:35" ht="13.5" customHeight="1" x14ac:dyDescent="0.2">
      <c r="A46" s="355" t="s">
        <v>1197</v>
      </c>
      <c r="B46" s="356"/>
      <c r="C46" s="1129">
        <f>SUM(C38:C45)</f>
        <v>312</v>
      </c>
      <c r="D46" s="357">
        <f>SUM(D38:D45)</f>
        <v>19</v>
      </c>
      <c r="E46" s="357"/>
      <c r="F46" s="357">
        <f>SUM(F38:F45)</f>
        <v>293</v>
      </c>
      <c r="G46" s="358">
        <f t="shared" si="5"/>
        <v>15.421052631578949</v>
      </c>
      <c r="H46" s="359"/>
      <c r="I46" s="1129">
        <f>SUM(I38:I45)</f>
        <v>368.6859152598168</v>
      </c>
      <c r="J46" s="357"/>
      <c r="K46" s="357">
        <f t="shared" si="6"/>
        <v>-56.685915259816795</v>
      </c>
      <c r="L46" s="360">
        <f t="shared" si="7"/>
        <v>-0.15375123625178266</v>
      </c>
      <c r="M46" s="345"/>
      <c r="N46" s="1144">
        <v>359</v>
      </c>
      <c r="O46" s="345"/>
      <c r="P46" s="345"/>
      <c r="Q46" s="345"/>
      <c r="R46" s="345"/>
      <c r="S46" s="346"/>
      <c r="T46" s="345"/>
      <c r="U46" s="345"/>
      <c r="V46" s="345"/>
      <c r="W46" s="345"/>
      <c r="X46" s="345"/>
      <c r="Y46" s="345"/>
      <c r="Z46" s="345"/>
      <c r="AA46" s="345"/>
      <c r="AB46" s="345"/>
      <c r="AC46" s="345"/>
      <c r="AD46" s="345"/>
      <c r="AE46" s="345"/>
      <c r="AF46" s="345"/>
      <c r="AG46" s="345"/>
      <c r="AH46" s="345"/>
      <c r="AI46" s="345"/>
    </row>
    <row r="47" spans="1:35" s="537" customFormat="1" ht="13.5" customHeight="1" x14ac:dyDescent="0.2">
      <c r="A47" s="1177" t="s">
        <v>1241</v>
      </c>
      <c r="B47" s="1147"/>
      <c r="C47" s="644">
        <v>-29</v>
      </c>
      <c r="D47" s="1178"/>
      <c r="E47" s="1178"/>
      <c r="F47" s="1178"/>
      <c r="G47" s="1179"/>
      <c r="H47" s="1180"/>
      <c r="I47" s="644">
        <f>-(+I11-I16)</f>
        <v>-69.847340000000031</v>
      </c>
      <c r="J47" s="1178"/>
      <c r="K47" s="1178"/>
      <c r="L47" s="1181"/>
      <c r="M47" s="619"/>
      <c r="N47" s="1182"/>
      <c r="O47" s="619"/>
      <c r="P47" s="619"/>
      <c r="Q47" s="619"/>
      <c r="R47" s="619"/>
      <c r="S47" s="418"/>
      <c r="T47" s="619"/>
      <c r="U47" s="619"/>
      <c r="V47" s="619"/>
      <c r="W47" s="619"/>
      <c r="X47" s="619"/>
      <c r="Y47" s="619"/>
      <c r="Z47" s="619"/>
      <c r="AA47" s="619"/>
      <c r="AB47" s="619"/>
      <c r="AC47" s="619"/>
      <c r="AD47" s="619"/>
      <c r="AE47" s="619"/>
      <c r="AF47" s="619"/>
      <c r="AG47" s="619"/>
      <c r="AH47" s="619"/>
      <c r="AI47" s="619"/>
    </row>
    <row r="48" spans="1:35" s="537" customFormat="1" ht="13.5" customHeight="1" x14ac:dyDescent="0.2">
      <c r="A48" s="1183" t="s">
        <v>1242</v>
      </c>
      <c r="B48" s="820"/>
      <c r="C48" s="644">
        <v>14</v>
      </c>
      <c r="D48" s="1184"/>
      <c r="E48" s="1184"/>
      <c r="F48" s="1184"/>
      <c r="G48" s="1185"/>
      <c r="H48" s="1186"/>
      <c r="I48" s="644">
        <v>0</v>
      </c>
      <c r="J48" s="1184"/>
      <c r="K48" s="1184"/>
      <c r="L48" s="1187"/>
      <c r="M48" s="619"/>
      <c r="N48" s="1182"/>
      <c r="O48" s="619"/>
      <c r="P48" s="619"/>
      <c r="Q48" s="619"/>
      <c r="R48" s="619"/>
      <c r="S48" s="418"/>
      <c r="T48" s="619"/>
      <c r="U48" s="619"/>
      <c r="V48" s="619"/>
      <c r="W48" s="619"/>
      <c r="X48" s="619"/>
      <c r="Y48" s="619"/>
      <c r="Z48" s="619"/>
      <c r="AA48" s="619"/>
      <c r="AB48" s="619"/>
      <c r="AC48" s="619"/>
      <c r="AD48" s="619"/>
      <c r="AE48" s="619"/>
      <c r="AF48" s="619"/>
      <c r="AG48" s="619"/>
      <c r="AH48" s="619"/>
      <c r="AI48" s="619"/>
    </row>
    <row r="49" spans="1:35" ht="13.5" customHeight="1" x14ac:dyDescent="0.2">
      <c r="A49" s="355" t="s">
        <v>1236</v>
      </c>
      <c r="B49" s="356"/>
      <c r="C49" s="1129">
        <f>+SUM(C46:C48)</f>
        <v>297</v>
      </c>
      <c r="D49" s="357"/>
      <c r="E49" s="357"/>
      <c r="F49" s="357"/>
      <c r="G49" s="358"/>
      <c r="H49" s="359"/>
      <c r="I49" s="1129">
        <f>+SUM(I46:I48)</f>
        <v>298.83857525981676</v>
      </c>
      <c r="J49" s="357"/>
      <c r="K49" s="357">
        <f>+C49-I49</f>
        <v>-1.8385752598167642</v>
      </c>
      <c r="L49" s="360">
        <f>IF(I49=0,"NM",C49/I49-1)</f>
        <v>-6.1524027084464139E-3</v>
      </c>
      <c r="M49" s="345"/>
      <c r="N49" s="1144"/>
      <c r="O49" s="345"/>
      <c r="P49" s="345"/>
      <c r="Q49" s="345"/>
      <c r="R49" s="345"/>
      <c r="S49" s="346"/>
      <c r="T49" s="345"/>
      <c r="U49" s="345"/>
      <c r="V49" s="345"/>
      <c r="W49" s="345"/>
      <c r="X49" s="345"/>
      <c r="Y49" s="345"/>
      <c r="Z49" s="345"/>
      <c r="AA49" s="345"/>
      <c r="AB49" s="345"/>
      <c r="AC49" s="345"/>
      <c r="AD49" s="345"/>
      <c r="AE49" s="345"/>
      <c r="AF49" s="345"/>
      <c r="AG49" s="345"/>
      <c r="AH49" s="345"/>
      <c r="AI49" s="345"/>
    </row>
    <row r="50" spans="1:35" ht="13.5" customHeight="1" x14ac:dyDescent="0.2">
      <c r="A50" s="418"/>
      <c r="B50" s="418"/>
      <c r="C50" s="1161"/>
      <c r="D50" s="418"/>
      <c r="E50" s="418"/>
      <c r="F50" s="418"/>
      <c r="G50" s="462"/>
      <c r="H50" s="418"/>
      <c r="I50" s="1161"/>
      <c r="J50" s="418"/>
      <c r="K50" s="418"/>
      <c r="L50" s="478"/>
      <c r="M50" s="345"/>
      <c r="N50" s="345"/>
      <c r="O50" s="344"/>
      <c r="P50" s="345"/>
      <c r="Q50" s="345"/>
      <c r="R50" s="345"/>
      <c r="S50" s="346"/>
      <c r="T50" s="345"/>
      <c r="U50" s="345"/>
      <c r="V50" s="345"/>
      <c r="W50" s="345"/>
      <c r="X50" s="345"/>
      <c r="Y50" s="345"/>
      <c r="Z50" s="345"/>
      <c r="AA50" s="345"/>
      <c r="AB50" s="345"/>
      <c r="AC50" s="345"/>
      <c r="AD50" s="345"/>
      <c r="AE50" s="345"/>
      <c r="AF50" s="345"/>
      <c r="AG50" s="345"/>
      <c r="AH50" s="345"/>
      <c r="AI50" s="345"/>
    </row>
    <row r="51" spans="1:35" ht="13.5" customHeight="1" x14ac:dyDescent="0.2">
      <c r="A51" s="418"/>
      <c r="B51" s="418"/>
      <c r="C51" s="1161"/>
      <c r="D51" s="418"/>
      <c r="E51" s="418"/>
      <c r="F51" s="418"/>
      <c r="G51" s="462"/>
      <c r="H51" s="418"/>
      <c r="I51" s="1161"/>
      <c r="J51" s="418"/>
      <c r="K51" s="418"/>
      <c r="L51" s="478"/>
      <c r="M51" s="345"/>
      <c r="N51" s="345"/>
      <c r="O51" s="344"/>
      <c r="P51" s="345"/>
      <c r="Q51" s="345"/>
      <c r="R51" s="345"/>
      <c r="S51" s="346"/>
      <c r="T51" s="345"/>
      <c r="U51" s="345"/>
      <c r="V51" s="345"/>
      <c r="W51" s="345"/>
      <c r="X51" s="345"/>
      <c r="Y51" s="345"/>
      <c r="Z51" s="345"/>
      <c r="AA51" s="345"/>
      <c r="AB51" s="345"/>
      <c r="AC51" s="345"/>
      <c r="AD51" s="345"/>
      <c r="AE51" s="345"/>
      <c r="AF51" s="345"/>
      <c r="AG51" s="345"/>
      <c r="AH51" s="345"/>
      <c r="AI51" s="345"/>
    </row>
    <row r="52" spans="1:35" ht="13.5" customHeight="1" x14ac:dyDescent="0.2">
      <c r="A52" s="1164" t="s">
        <v>2244</v>
      </c>
      <c r="B52" s="1147"/>
      <c r="C52" s="822"/>
      <c r="D52" s="1147"/>
      <c r="E52" s="1147"/>
      <c r="F52" s="1147"/>
      <c r="G52" s="1148"/>
      <c r="H52" s="1147"/>
      <c r="I52" s="822"/>
      <c r="J52" s="1147"/>
      <c r="K52" s="1147"/>
      <c r="L52" s="1149"/>
      <c r="M52" s="345"/>
      <c r="N52" s="345"/>
      <c r="S52" s="346"/>
      <c r="T52" s="345"/>
      <c r="U52" s="345"/>
      <c r="V52" s="345"/>
      <c r="W52" s="345"/>
      <c r="X52" s="345"/>
      <c r="Y52" s="345"/>
      <c r="Z52" s="345"/>
      <c r="AA52" s="345"/>
      <c r="AB52" s="345"/>
      <c r="AC52" s="345"/>
      <c r="AD52" s="345"/>
      <c r="AE52" s="345"/>
      <c r="AF52" s="345"/>
      <c r="AG52" s="345"/>
      <c r="AH52" s="345"/>
      <c r="AI52" s="345"/>
    </row>
    <row r="53" spans="1:35" ht="13.5" customHeight="1" x14ac:dyDescent="0.2">
      <c r="A53" s="1150" t="s">
        <v>1512</v>
      </c>
      <c r="B53" s="418"/>
      <c r="C53" s="1162">
        <v>183</v>
      </c>
      <c r="D53" s="458">
        <f>MAR!BJ223</f>
        <v>160</v>
      </c>
      <c r="E53" s="418"/>
      <c r="F53" s="532">
        <f>C53-D53</f>
        <v>23</v>
      </c>
      <c r="G53" s="354">
        <f>IF(D53=0,0,C53/D53-1)</f>
        <v>0.14375000000000004</v>
      </c>
      <c r="H53" s="418"/>
      <c r="I53" s="1162">
        <v>195.23140035097268</v>
      </c>
      <c r="J53" s="418"/>
      <c r="K53" s="532">
        <f>C53-I53</f>
        <v>-12.231400350972677</v>
      </c>
      <c r="L53" s="1151">
        <f>IF(I53=0,0,H53/I53-1)</f>
        <v>-1</v>
      </c>
      <c r="M53" s="345"/>
      <c r="N53" s="345"/>
      <c r="S53" s="346"/>
      <c r="T53" s="345"/>
      <c r="U53" s="345"/>
      <c r="V53" s="345"/>
      <c r="W53" s="345"/>
      <c r="X53" s="345"/>
      <c r="Y53" s="345"/>
      <c r="Z53" s="345"/>
      <c r="AA53" s="345"/>
      <c r="AB53" s="345"/>
      <c r="AC53" s="345"/>
      <c r="AD53" s="345"/>
      <c r="AE53" s="345"/>
      <c r="AF53" s="345"/>
      <c r="AG53" s="345"/>
      <c r="AH53" s="345"/>
      <c r="AI53" s="345"/>
    </row>
    <row r="54" spans="1:35" ht="13.5" customHeight="1" x14ac:dyDescent="0.2">
      <c r="A54" s="1150" t="s">
        <v>2163</v>
      </c>
      <c r="B54" s="418"/>
      <c r="C54" s="1161">
        <v>159</v>
      </c>
      <c r="D54" s="418">
        <f>MAR!BJ228</f>
        <v>156</v>
      </c>
      <c r="E54" s="418"/>
      <c r="F54" s="528">
        <f>C54-D54</f>
        <v>3</v>
      </c>
      <c r="G54" s="354">
        <f>IF(D54=0,0,C54/D54-1)</f>
        <v>1.9230769230769162E-2</v>
      </c>
      <c r="H54" s="418"/>
      <c r="I54" s="1161">
        <v>150.44186721653622</v>
      </c>
      <c r="J54" s="418"/>
      <c r="K54" s="528">
        <f>C54-I54</f>
        <v>8.5581327834637761</v>
      </c>
      <c r="L54" s="1151">
        <f>IF(I54=0,0,H54/I54-1)</f>
        <v>-1</v>
      </c>
      <c r="M54" s="345"/>
      <c r="N54" s="345"/>
      <c r="O54" s="563"/>
      <c r="P54" s="564"/>
      <c r="Q54" s="345"/>
      <c r="S54" s="346"/>
      <c r="T54" s="345"/>
      <c r="U54" s="345"/>
      <c r="V54" s="345"/>
      <c r="W54" s="345"/>
      <c r="X54" s="345"/>
      <c r="Y54" s="345"/>
      <c r="Z54" s="345"/>
      <c r="AA54" s="345"/>
      <c r="AB54" s="345"/>
      <c r="AC54" s="345"/>
      <c r="AD54" s="345"/>
      <c r="AE54" s="345"/>
      <c r="AF54" s="345"/>
      <c r="AG54" s="345"/>
      <c r="AH54" s="345"/>
      <c r="AI54" s="345"/>
    </row>
    <row r="55" spans="1:35" ht="13.5" customHeight="1" x14ac:dyDescent="0.2">
      <c r="A55" s="1150" t="s">
        <v>126</v>
      </c>
      <c r="B55" s="418"/>
      <c r="C55" s="1161">
        <v>74</v>
      </c>
      <c r="D55" s="418">
        <f>MAR!BJ234</f>
        <v>75</v>
      </c>
      <c r="E55" s="418"/>
      <c r="F55" s="528">
        <f>C55-D55</f>
        <v>-1</v>
      </c>
      <c r="G55" s="354">
        <f>IF(D55=0,0,C55/D55-1)</f>
        <v>-1.3333333333333308E-2</v>
      </c>
      <c r="H55" s="418"/>
      <c r="I55" s="1161">
        <v>79.5</v>
      </c>
      <c r="J55" s="418"/>
      <c r="K55" s="528">
        <f>C55-I55</f>
        <v>-5.5</v>
      </c>
      <c r="L55" s="1151">
        <f>IF(I55=0,0,H55/I55-1)</f>
        <v>-1</v>
      </c>
      <c r="M55" s="345"/>
      <c r="N55" s="345"/>
      <c r="S55" s="346"/>
      <c r="T55" s="345"/>
      <c r="U55" s="345"/>
      <c r="V55" s="345"/>
      <c r="W55" s="345"/>
      <c r="X55" s="345"/>
      <c r="Y55" s="345"/>
      <c r="Z55" s="345"/>
      <c r="AA55" s="345"/>
      <c r="AB55" s="345"/>
      <c r="AC55" s="345"/>
      <c r="AD55" s="345"/>
      <c r="AE55" s="345"/>
      <c r="AF55" s="345"/>
      <c r="AG55" s="345"/>
      <c r="AH55" s="345"/>
      <c r="AI55" s="345"/>
    </row>
    <row r="56" spans="1:35" ht="13.5" customHeight="1" x14ac:dyDescent="0.2">
      <c r="A56" s="1131" t="s">
        <v>1199</v>
      </c>
      <c r="B56" s="1155"/>
      <c r="C56" s="1156"/>
      <c r="D56" s="1155"/>
      <c r="E56" s="1155"/>
      <c r="F56" s="1155"/>
      <c r="G56" s="898"/>
      <c r="H56" s="1155"/>
      <c r="I56" s="1156">
        <v>0</v>
      </c>
      <c r="J56" s="1155"/>
      <c r="K56" s="1155">
        <f>C56-I56</f>
        <v>0</v>
      </c>
      <c r="L56" s="1160">
        <f>IF(I56=0,0,H56/I56-1)</f>
        <v>0</v>
      </c>
      <c r="M56" s="345"/>
      <c r="N56" s="345"/>
      <c r="P56" s="371"/>
      <c r="Q56" s="345"/>
      <c r="R56" s="345"/>
      <c r="S56" s="346"/>
      <c r="T56" s="345"/>
      <c r="U56" s="345"/>
      <c r="V56" s="345"/>
      <c r="W56" s="345"/>
      <c r="X56" s="345"/>
      <c r="Y56" s="345"/>
      <c r="Z56" s="345"/>
      <c r="AA56" s="345"/>
      <c r="AB56" s="345"/>
      <c r="AC56" s="345"/>
      <c r="AD56" s="345"/>
      <c r="AE56" s="345"/>
      <c r="AF56" s="345"/>
      <c r="AG56" s="345"/>
      <c r="AH56" s="345"/>
      <c r="AI56" s="345"/>
    </row>
    <row r="57" spans="1:35" ht="13.5" customHeight="1" x14ac:dyDescent="0.2">
      <c r="A57" s="1152" t="s">
        <v>1735</v>
      </c>
      <c r="B57" s="820"/>
      <c r="C57" s="1163"/>
      <c r="D57" s="1157"/>
      <c r="E57" s="1158"/>
      <c r="F57" s="1159"/>
      <c r="G57" s="1153"/>
      <c r="H57" s="820"/>
      <c r="I57" s="1163">
        <f>SUM(I53:I56)</f>
        <v>425.1732675675089</v>
      </c>
      <c r="J57" s="1158"/>
      <c r="K57" s="1159">
        <f>C57-I57</f>
        <v>-425.1732675675089</v>
      </c>
      <c r="L57" s="1154">
        <f>IF(I57=0,0,H57/I57-1)</f>
        <v>-1</v>
      </c>
      <c r="M57" s="345"/>
      <c r="N57" s="345"/>
      <c r="O57" s="565"/>
      <c r="P57" s="371"/>
      <c r="Q57" s="345"/>
      <c r="R57" s="345"/>
      <c r="S57" s="346"/>
      <c r="T57" s="345"/>
      <c r="U57" s="345"/>
      <c r="V57" s="345"/>
      <c r="W57" s="345"/>
      <c r="X57" s="345"/>
      <c r="Y57" s="345"/>
      <c r="Z57" s="345"/>
      <c r="AA57" s="345"/>
      <c r="AB57" s="345"/>
      <c r="AC57" s="345"/>
      <c r="AD57" s="345"/>
      <c r="AE57" s="345"/>
      <c r="AF57" s="345"/>
      <c r="AG57" s="345"/>
      <c r="AH57" s="345"/>
      <c r="AI57" s="345"/>
    </row>
    <row r="58" spans="1:35" ht="13.5" customHeight="1" x14ac:dyDescent="0.2">
      <c r="A58" s="421"/>
      <c r="B58" s="418"/>
      <c r="C58" s="1165"/>
      <c r="D58" s="1165"/>
      <c r="E58" s="458"/>
      <c r="F58" s="364"/>
      <c r="G58" s="482"/>
      <c r="H58" s="418"/>
      <c r="I58" s="1165"/>
      <c r="J58" s="458"/>
      <c r="K58" s="364"/>
      <c r="L58" s="482"/>
      <c r="M58" s="345"/>
      <c r="N58" s="345"/>
      <c r="O58" s="565"/>
      <c r="P58" s="371"/>
      <c r="Q58" s="345"/>
      <c r="R58" s="345"/>
      <c r="S58" s="346"/>
      <c r="T58" s="345"/>
      <c r="U58" s="345"/>
      <c r="V58" s="345"/>
      <c r="W58" s="345"/>
      <c r="X58" s="345"/>
      <c r="Y58" s="345"/>
      <c r="Z58" s="345"/>
      <c r="AA58" s="345"/>
      <c r="AB58" s="345"/>
      <c r="AC58" s="345"/>
      <c r="AD58" s="345"/>
      <c r="AE58" s="345"/>
      <c r="AF58" s="345"/>
      <c r="AG58" s="345"/>
      <c r="AH58" s="345"/>
      <c r="AI58" s="345"/>
    </row>
    <row r="59" spans="1:35" ht="13.5" customHeight="1" x14ac:dyDescent="0.2">
      <c r="A59" s="418" t="s">
        <v>1222</v>
      </c>
      <c r="B59" s="418"/>
      <c r="C59" s="458">
        <f>+C10-C15</f>
        <v>56</v>
      </c>
      <c r="D59" s="1165">
        <v>50</v>
      </c>
      <c r="E59" s="458"/>
      <c r="F59" s="532">
        <f>+C59-D59</f>
        <v>6</v>
      </c>
      <c r="G59" s="482"/>
      <c r="H59" s="418"/>
      <c r="I59" s="1165"/>
      <c r="J59" s="458"/>
      <c r="K59" s="364"/>
      <c r="L59" s="482"/>
      <c r="M59" s="345"/>
      <c r="N59" s="345">
        <v>50</v>
      </c>
      <c r="O59" s="565"/>
      <c r="P59" s="371"/>
      <c r="Q59" s="345"/>
      <c r="R59" s="345"/>
      <c r="S59" s="346"/>
      <c r="T59" s="345"/>
      <c r="U59" s="345"/>
      <c r="V59" s="345"/>
      <c r="W59" s="345"/>
      <c r="X59" s="345"/>
      <c r="Y59" s="345"/>
      <c r="Z59" s="345"/>
      <c r="AA59" s="345"/>
      <c r="AB59" s="345"/>
      <c r="AC59" s="345"/>
      <c r="AD59" s="345"/>
      <c r="AE59" s="345"/>
      <c r="AF59" s="345"/>
      <c r="AG59" s="345"/>
      <c r="AH59" s="345"/>
      <c r="AI59" s="345"/>
    </row>
    <row r="60" spans="1:35" ht="13.5" customHeight="1" x14ac:dyDescent="0.2">
      <c r="A60" s="418" t="s">
        <v>1223</v>
      </c>
      <c r="B60" s="418"/>
      <c r="C60" s="458">
        <f>+C11-C16</f>
        <v>29</v>
      </c>
      <c r="D60" s="1165">
        <v>70.5</v>
      </c>
      <c r="E60" s="458"/>
      <c r="F60" s="532">
        <f>+C60-D60</f>
        <v>-41.5</v>
      </c>
      <c r="G60" s="482"/>
      <c r="H60" s="418"/>
      <c r="I60" s="1165"/>
      <c r="J60" s="458"/>
      <c r="K60" s="364"/>
      <c r="L60" s="482"/>
      <c r="M60" s="345"/>
      <c r="N60" s="1166">
        <v>70.5</v>
      </c>
      <c r="O60" s="565"/>
      <c r="P60" s="371"/>
      <c r="Q60" s="345"/>
      <c r="R60" s="345"/>
      <c r="S60" s="346"/>
      <c r="T60" s="345"/>
      <c r="U60" s="345"/>
      <c r="V60" s="345"/>
      <c r="W60" s="345"/>
      <c r="X60" s="345"/>
      <c r="Y60" s="345"/>
      <c r="Z60" s="345"/>
      <c r="AA60" s="345"/>
      <c r="AB60" s="345"/>
      <c r="AC60" s="345"/>
      <c r="AD60" s="345"/>
      <c r="AE60" s="345"/>
      <c r="AF60" s="345"/>
      <c r="AG60" s="345"/>
      <c r="AH60" s="345"/>
      <c r="AI60" s="345"/>
    </row>
    <row r="61" spans="1:35" ht="13.5" customHeight="1" x14ac:dyDescent="0.2">
      <c r="A61" s="418" t="s">
        <v>1158</v>
      </c>
      <c r="B61" s="418"/>
      <c r="C61" s="458">
        <f>+C17-19</f>
        <v>235</v>
      </c>
      <c r="D61" s="1165">
        <v>240</v>
      </c>
      <c r="E61" s="458"/>
      <c r="F61" s="532">
        <f>+C61-D61</f>
        <v>-5</v>
      </c>
      <c r="G61" s="482"/>
      <c r="H61" s="418"/>
      <c r="I61" s="1165"/>
      <c r="J61" s="458"/>
      <c r="K61" s="364"/>
      <c r="L61" s="482"/>
      <c r="M61" s="345"/>
      <c r="N61" s="345"/>
      <c r="O61" s="565"/>
      <c r="P61" s="371"/>
      <c r="Q61" s="345"/>
      <c r="R61" s="345"/>
      <c r="S61" s="346"/>
      <c r="T61" s="345"/>
      <c r="U61" s="345"/>
      <c r="V61" s="345"/>
      <c r="W61" s="345"/>
      <c r="X61" s="345"/>
      <c r="Y61" s="345"/>
      <c r="Z61" s="345"/>
      <c r="AA61" s="345"/>
      <c r="AB61" s="345"/>
      <c r="AC61" s="345"/>
      <c r="AD61" s="345"/>
      <c r="AE61" s="345"/>
      <c r="AF61" s="345"/>
      <c r="AG61" s="345"/>
      <c r="AH61" s="345"/>
      <c r="AI61" s="345"/>
    </row>
    <row r="62" spans="1:35" ht="13.5" customHeight="1" x14ac:dyDescent="0.2">
      <c r="A62" s="421"/>
      <c r="B62" s="418"/>
      <c r="C62" s="1165"/>
      <c r="D62" s="1165"/>
      <c r="E62" s="458"/>
      <c r="F62" s="364"/>
      <c r="G62" s="482"/>
      <c r="H62" s="418"/>
      <c r="I62" s="1165"/>
      <c r="J62" s="458"/>
      <c r="K62" s="364"/>
      <c r="L62" s="482"/>
      <c r="M62" s="345"/>
      <c r="N62" s="345"/>
      <c r="O62" s="565"/>
      <c r="P62" s="371"/>
      <c r="Q62" s="345"/>
      <c r="R62" s="345"/>
      <c r="S62" s="346"/>
      <c r="T62" s="345"/>
      <c r="U62" s="345"/>
      <c r="V62" s="345"/>
      <c r="W62" s="345"/>
      <c r="X62" s="345"/>
      <c r="Y62" s="345"/>
      <c r="Z62" s="345"/>
      <c r="AA62" s="345"/>
      <c r="AB62" s="345"/>
      <c r="AC62" s="345"/>
      <c r="AD62" s="345"/>
      <c r="AE62" s="345"/>
      <c r="AF62" s="345"/>
      <c r="AG62" s="345"/>
      <c r="AH62" s="345"/>
      <c r="AI62" s="345"/>
    </row>
    <row r="63" spans="1:35" ht="13.5" customHeight="1" x14ac:dyDescent="0.2">
      <c r="A63" s="1146"/>
      <c r="B63" s="418"/>
      <c r="C63" s="418"/>
      <c r="D63" s="418"/>
      <c r="E63" s="418"/>
      <c r="F63" s="418"/>
      <c r="G63" s="462"/>
      <c r="H63" s="418"/>
      <c r="I63" s="418"/>
      <c r="J63" s="418"/>
      <c r="K63" s="418"/>
      <c r="L63" s="478"/>
      <c r="M63" s="345"/>
      <c r="N63" s="345"/>
      <c r="O63" s="565" t="s">
        <v>1734</v>
      </c>
      <c r="P63" s="371"/>
      <c r="Q63" s="345"/>
      <c r="R63" s="345"/>
      <c r="S63" s="346"/>
      <c r="T63" s="345"/>
      <c r="U63" s="345"/>
      <c r="V63" s="345"/>
      <c r="W63" s="345"/>
      <c r="X63" s="345"/>
      <c r="Y63" s="345"/>
      <c r="Z63" s="345"/>
      <c r="AA63" s="345"/>
      <c r="AB63" s="345"/>
      <c r="AC63" s="345"/>
      <c r="AD63" s="345"/>
      <c r="AE63" s="345"/>
      <c r="AF63" s="345"/>
      <c r="AG63" s="345"/>
      <c r="AH63" s="345"/>
      <c r="AI63" s="345"/>
    </row>
    <row r="64" spans="1:35" ht="13.5" customHeight="1" x14ac:dyDescent="0.2">
      <c r="B64" s="418"/>
      <c r="C64" s="418"/>
      <c r="D64" s="418"/>
      <c r="E64" s="418"/>
      <c r="F64" s="418"/>
      <c r="G64" s="462"/>
      <c r="H64" s="418"/>
      <c r="I64" s="418"/>
      <c r="J64" s="418"/>
      <c r="K64" s="418"/>
      <c r="L64" s="478"/>
      <c r="M64" s="345"/>
      <c r="N64" s="345"/>
      <c r="O64" s="565" t="s">
        <v>709</v>
      </c>
      <c r="P64" s="1103" t="s">
        <v>1782</v>
      </c>
      <c r="Q64" s="1104" t="s">
        <v>1938</v>
      </c>
      <c r="R64" s="1105" t="s">
        <v>1493</v>
      </c>
      <c r="S64" s="346"/>
      <c r="T64" s="345"/>
      <c r="U64" s="345"/>
      <c r="V64" s="345"/>
      <c r="W64" s="345"/>
      <c r="X64" s="345"/>
      <c r="Y64" s="345"/>
      <c r="Z64" s="345"/>
      <c r="AA64" s="345"/>
      <c r="AB64" s="345"/>
      <c r="AC64" s="345"/>
      <c r="AD64" s="345"/>
      <c r="AE64" s="345"/>
      <c r="AF64" s="345"/>
      <c r="AG64" s="345"/>
      <c r="AH64" s="345"/>
      <c r="AI64" s="345"/>
    </row>
    <row r="65" spans="1:35" ht="13.5" customHeight="1" x14ac:dyDescent="0.2">
      <c r="A65" s="421"/>
      <c r="B65" s="418"/>
      <c r="C65" s="418"/>
      <c r="D65" s="418"/>
      <c r="E65" s="418"/>
      <c r="F65" s="418"/>
      <c r="G65" s="462"/>
      <c r="H65" s="418"/>
      <c r="I65" s="418"/>
      <c r="J65" s="418"/>
      <c r="K65" s="418"/>
      <c r="L65" s="478"/>
      <c r="M65" s="345"/>
      <c r="N65" s="345"/>
      <c r="R65" s="348"/>
      <c r="S65" s="346"/>
      <c r="T65" s="345"/>
      <c r="U65" s="345"/>
      <c r="V65" s="345"/>
      <c r="W65" s="345"/>
      <c r="X65" s="345"/>
      <c r="Y65" s="345"/>
      <c r="Z65" s="345"/>
      <c r="AA65" s="345"/>
      <c r="AB65" s="345"/>
      <c r="AC65" s="345"/>
      <c r="AD65" s="345"/>
      <c r="AE65" s="345"/>
      <c r="AF65" s="345"/>
      <c r="AG65" s="345"/>
      <c r="AH65" s="345"/>
      <c r="AI65" s="345"/>
    </row>
    <row r="66" spans="1:35" ht="13.5" customHeight="1" x14ac:dyDescent="0.2">
      <c r="A66" s="421"/>
      <c r="B66" s="418"/>
      <c r="C66" s="418"/>
      <c r="D66" s="418"/>
      <c r="E66" s="418"/>
      <c r="F66" s="418"/>
      <c r="G66" s="462"/>
      <c r="H66" s="418"/>
      <c r="I66" s="418"/>
      <c r="J66" s="418"/>
      <c r="K66" s="418"/>
      <c r="L66" s="478"/>
      <c r="M66" s="345"/>
      <c r="N66" s="345"/>
      <c r="O66" s="394" t="s">
        <v>487</v>
      </c>
      <c r="P66" s="564"/>
      <c r="Q66" s="345"/>
      <c r="R66" s="348"/>
      <c r="S66" s="346"/>
      <c r="T66" s="345"/>
      <c r="U66" s="345"/>
      <c r="V66" s="345"/>
      <c r="W66" s="345"/>
      <c r="X66" s="345"/>
      <c r="Y66" s="345"/>
      <c r="Z66" s="345"/>
      <c r="AA66" s="345"/>
      <c r="AB66" s="345"/>
      <c r="AC66" s="345"/>
      <c r="AD66" s="345"/>
      <c r="AE66" s="345"/>
      <c r="AF66" s="345"/>
      <c r="AG66" s="345"/>
      <c r="AH66" s="345"/>
      <c r="AI66" s="345"/>
    </row>
    <row r="67" spans="1:35" ht="13.5" customHeight="1" x14ac:dyDescent="0.2">
      <c r="A67" s="421"/>
      <c r="B67" s="418"/>
      <c r="C67" s="418"/>
      <c r="D67" s="418"/>
      <c r="E67" s="418"/>
      <c r="F67" s="418"/>
      <c r="G67" s="462"/>
      <c r="H67" s="418"/>
      <c r="I67" s="418"/>
      <c r="J67" s="418"/>
      <c r="K67" s="418"/>
      <c r="L67" s="478"/>
      <c r="M67" s="345"/>
      <c r="N67" s="345"/>
      <c r="O67" s="213" t="s">
        <v>1941</v>
      </c>
      <c r="P67" s="405" t="s">
        <v>2220</v>
      </c>
      <c r="Q67" s="410">
        <v>5.8999999999999997E-2</v>
      </c>
      <c r="R67" s="348"/>
      <c r="S67" s="346"/>
      <c r="T67" s="345"/>
      <c r="U67" s="345"/>
      <c r="V67" s="345"/>
      <c r="W67" s="345"/>
      <c r="X67" s="345"/>
      <c r="Y67" s="345"/>
      <c r="Z67" s="345"/>
      <c r="AA67" s="345"/>
      <c r="AB67" s="345"/>
      <c r="AC67" s="345"/>
      <c r="AD67" s="345"/>
      <c r="AE67" s="345"/>
      <c r="AF67" s="345"/>
      <c r="AG67" s="345"/>
      <c r="AH67" s="345"/>
      <c r="AI67" s="345"/>
    </row>
    <row r="68" spans="1:35" ht="13.5" customHeight="1" x14ac:dyDescent="0.2">
      <c r="A68" s="421"/>
      <c r="B68" s="418"/>
      <c r="C68" s="418"/>
      <c r="D68" s="418"/>
      <c r="E68" s="418"/>
      <c r="F68" s="418"/>
      <c r="G68" s="462"/>
      <c r="H68" s="418"/>
      <c r="I68" s="418"/>
      <c r="J68" s="418"/>
      <c r="K68" s="418"/>
      <c r="L68" s="478"/>
      <c r="M68" s="345"/>
      <c r="N68" s="345"/>
      <c r="O68" s="392" t="s">
        <v>1309</v>
      </c>
      <c r="P68" s="405" t="s">
        <v>1940</v>
      </c>
      <c r="Q68" s="410">
        <v>6.4000000000000001E-2</v>
      </c>
      <c r="R68" s="348"/>
      <c r="S68" s="346"/>
      <c r="T68" s="345"/>
      <c r="U68" s="345"/>
      <c r="V68" s="345"/>
      <c r="W68" s="345"/>
      <c r="X68" s="345"/>
      <c r="Y68" s="345"/>
      <c r="Z68" s="345"/>
      <c r="AA68" s="345"/>
      <c r="AB68" s="345"/>
      <c r="AC68" s="345"/>
      <c r="AD68" s="345"/>
      <c r="AE68" s="345"/>
      <c r="AF68" s="345"/>
      <c r="AG68" s="345"/>
      <c r="AH68" s="345"/>
      <c r="AI68" s="345"/>
    </row>
    <row r="69" spans="1:35" ht="13.5" customHeight="1" x14ac:dyDescent="0.2">
      <c r="A69" s="418"/>
      <c r="B69" s="418"/>
      <c r="C69" s="418"/>
      <c r="D69" s="418"/>
      <c r="E69" s="418"/>
      <c r="F69" s="418"/>
      <c r="G69" s="462"/>
      <c r="H69" s="418"/>
      <c r="I69" s="418"/>
      <c r="J69" s="418"/>
      <c r="K69" s="418"/>
      <c r="L69" s="478"/>
      <c r="M69" s="345"/>
      <c r="N69" s="345"/>
      <c r="O69" s="392" t="s">
        <v>2036</v>
      </c>
      <c r="P69" s="405" t="s">
        <v>428</v>
      </c>
      <c r="Q69" s="410">
        <v>4.1000000000000002E-2</v>
      </c>
      <c r="R69" s="348"/>
      <c r="S69" s="346"/>
      <c r="T69" s="345"/>
      <c r="U69" s="345"/>
      <c r="V69" s="345"/>
      <c r="W69" s="345"/>
      <c r="X69" s="345"/>
      <c r="Y69" s="345"/>
      <c r="Z69" s="345"/>
      <c r="AA69" s="345"/>
      <c r="AB69" s="345"/>
      <c r="AC69" s="345"/>
      <c r="AD69" s="345"/>
      <c r="AE69" s="345"/>
      <c r="AF69" s="345"/>
      <c r="AG69" s="345"/>
      <c r="AH69" s="345"/>
      <c r="AI69" s="345"/>
    </row>
    <row r="70" spans="1:35" ht="13.5" customHeight="1" x14ac:dyDescent="0.2">
      <c r="A70" s="418"/>
      <c r="B70" s="418"/>
      <c r="C70" s="418"/>
      <c r="D70" s="418"/>
      <c r="E70" s="418"/>
      <c r="F70" s="418"/>
      <c r="G70" s="462"/>
      <c r="H70" s="418"/>
      <c r="I70" s="418"/>
      <c r="J70" s="418"/>
      <c r="K70" s="418"/>
      <c r="L70" s="478"/>
      <c r="M70" s="345"/>
      <c r="N70" s="345"/>
      <c r="O70" s="392"/>
      <c r="P70" s="405"/>
      <c r="Q70" s="345"/>
      <c r="R70" s="348"/>
      <c r="S70" s="346"/>
      <c r="T70" s="345"/>
      <c r="U70" s="345"/>
      <c r="V70" s="345"/>
      <c r="W70" s="345"/>
      <c r="X70" s="345"/>
      <c r="Y70" s="345"/>
      <c r="Z70" s="345"/>
      <c r="AA70" s="345"/>
      <c r="AB70" s="345"/>
      <c r="AC70" s="345"/>
      <c r="AD70" s="345"/>
      <c r="AE70" s="345"/>
      <c r="AF70" s="345"/>
      <c r="AG70" s="345"/>
      <c r="AH70" s="345"/>
      <c r="AI70" s="345"/>
    </row>
    <row r="71" spans="1:35" ht="13.5" customHeight="1" x14ac:dyDescent="0.2">
      <c r="A71" s="418"/>
      <c r="B71" s="418"/>
      <c r="C71" s="418"/>
      <c r="D71" s="418"/>
      <c r="E71" s="418"/>
      <c r="F71" s="418"/>
      <c r="G71" s="462"/>
      <c r="H71" s="418"/>
      <c r="I71" s="418"/>
      <c r="J71" s="418"/>
      <c r="K71" s="418"/>
      <c r="L71" s="478"/>
      <c r="M71" s="345"/>
      <c r="N71" s="345"/>
      <c r="O71" s="636" t="s">
        <v>631</v>
      </c>
      <c r="P71" s="405"/>
      <c r="Q71" s="345"/>
      <c r="R71" s="348"/>
      <c r="S71" s="346"/>
      <c r="T71" s="345"/>
      <c r="U71" s="345"/>
      <c r="V71" s="345"/>
      <c r="W71" s="345"/>
      <c r="X71" s="345"/>
      <c r="Y71" s="345"/>
      <c r="Z71" s="345"/>
      <c r="AA71" s="345"/>
      <c r="AB71" s="345"/>
      <c r="AC71" s="345"/>
      <c r="AD71" s="345"/>
      <c r="AE71" s="345"/>
      <c r="AF71" s="345"/>
      <c r="AG71" s="345"/>
      <c r="AH71" s="345"/>
      <c r="AI71" s="345"/>
    </row>
    <row r="72" spans="1:35" ht="13.5" customHeight="1" x14ac:dyDescent="0.2">
      <c r="A72" s="418"/>
      <c r="B72" s="418"/>
      <c r="C72" s="418"/>
      <c r="D72" s="418"/>
      <c r="E72" s="418"/>
      <c r="F72" s="418"/>
      <c r="G72" s="462"/>
      <c r="H72" s="418"/>
      <c r="I72" s="418"/>
      <c r="J72" s="418"/>
      <c r="K72" s="418"/>
      <c r="L72" s="478"/>
      <c r="M72" s="345"/>
      <c r="N72" s="345"/>
      <c r="O72" s="369" t="s">
        <v>1942</v>
      </c>
      <c r="P72" s="409" t="s">
        <v>1237</v>
      </c>
      <c r="Q72" s="409" t="s">
        <v>1239</v>
      </c>
      <c r="R72" s="348"/>
      <c r="S72" s="346"/>
      <c r="T72" s="345"/>
      <c r="U72" s="345"/>
      <c r="V72" s="345"/>
      <c r="W72" s="345"/>
      <c r="X72" s="345"/>
      <c r="Y72" s="345"/>
      <c r="Z72" s="345"/>
      <c r="AA72" s="345"/>
      <c r="AB72" s="345"/>
      <c r="AC72" s="345"/>
      <c r="AD72" s="345"/>
      <c r="AE72" s="345"/>
      <c r="AF72" s="345"/>
      <c r="AG72" s="345"/>
      <c r="AH72" s="345"/>
      <c r="AI72" s="345"/>
    </row>
    <row r="73" spans="1:35" ht="13.5" customHeight="1" x14ac:dyDescent="0.2">
      <c r="A73" s="418"/>
      <c r="B73" s="418"/>
      <c r="C73" s="418"/>
      <c r="D73" s="418"/>
      <c r="E73" s="418"/>
      <c r="F73" s="418"/>
      <c r="G73" s="462"/>
      <c r="H73" s="418"/>
      <c r="I73" s="418"/>
      <c r="J73" s="418"/>
      <c r="K73" s="418"/>
      <c r="L73" s="478"/>
      <c r="M73" s="345"/>
      <c r="N73" s="345"/>
      <c r="O73" s="213" t="s">
        <v>1943</v>
      </c>
      <c r="P73" s="637" t="s">
        <v>1238</v>
      </c>
      <c r="Q73" s="637" t="s">
        <v>1240</v>
      </c>
      <c r="R73" s="348"/>
      <c r="S73" s="346"/>
      <c r="T73" s="345"/>
      <c r="U73" s="345"/>
      <c r="V73" s="345"/>
      <c r="W73" s="345"/>
      <c r="X73" s="345"/>
      <c r="Y73" s="345"/>
      <c r="Z73" s="345"/>
      <c r="AA73" s="345"/>
      <c r="AB73" s="345"/>
      <c r="AC73" s="345"/>
      <c r="AD73" s="345"/>
      <c r="AE73" s="345"/>
      <c r="AF73" s="345"/>
      <c r="AG73" s="345"/>
      <c r="AH73" s="345"/>
      <c r="AI73" s="345"/>
    </row>
    <row r="74" spans="1:35" ht="13.5" customHeight="1" x14ac:dyDescent="0.2">
      <c r="A74" s="418"/>
      <c r="B74" s="418"/>
      <c r="C74" s="418"/>
      <c r="D74" s="418"/>
      <c r="E74" s="418"/>
      <c r="F74" s="418"/>
      <c r="G74" s="462"/>
      <c r="H74" s="418"/>
      <c r="I74" s="418"/>
      <c r="J74" s="418"/>
      <c r="K74" s="418"/>
      <c r="L74" s="478"/>
      <c r="M74" s="345"/>
      <c r="N74" s="345"/>
      <c r="O74" s="369"/>
      <c r="P74" s="409"/>
      <c r="Q74" s="345"/>
      <c r="R74" s="348"/>
      <c r="S74" s="346"/>
      <c r="T74" s="345"/>
      <c r="U74" s="345"/>
      <c r="V74" s="345"/>
      <c r="W74" s="345"/>
      <c r="X74" s="345"/>
      <c r="Y74" s="345"/>
      <c r="Z74" s="345"/>
      <c r="AA74" s="345"/>
      <c r="AB74" s="345"/>
      <c r="AC74" s="345"/>
      <c r="AD74" s="345"/>
      <c r="AE74" s="345"/>
      <c r="AF74" s="345"/>
      <c r="AG74" s="345"/>
      <c r="AH74" s="345"/>
      <c r="AI74" s="345"/>
    </row>
    <row r="75" spans="1:35" ht="13.5" customHeight="1" x14ac:dyDescent="0.2">
      <c r="A75" s="418"/>
      <c r="B75" s="418"/>
      <c r="C75" s="418"/>
      <c r="D75" s="418"/>
      <c r="E75" s="418"/>
      <c r="F75" s="418"/>
      <c r="G75" s="462"/>
      <c r="H75" s="418"/>
      <c r="I75" s="418"/>
      <c r="J75" s="418"/>
      <c r="K75" s="418"/>
      <c r="L75" s="478"/>
      <c r="M75" s="345"/>
      <c r="N75" s="345"/>
      <c r="O75" s="636" t="s">
        <v>1931</v>
      </c>
      <c r="P75" s="409"/>
      <c r="Q75" s="345"/>
      <c r="R75" s="348"/>
      <c r="S75" s="346"/>
      <c r="T75" s="345"/>
      <c r="U75" s="345"/>
      <c r="V75" s="345"/>
      <c r="W75" s="345"/>
      <c r="X75" s="345"/>
      <c r="Y75" s="345"/>
      <c r="Z75" s="345"/>
      <c r="AA75" s="345"/>
      <c r="AB75" s="345"/>
      <c r="AC75" s="345"/>
      <c r="AD75" s="345"/>
      <c r="AE75" s="345"/>
      <c r="AF75" s="345"/>
      <c r="AG75" s="345"/>
      <c r="AH75" s="345"/>
      <c r="AI75" s="345"/>
    </row>
    <row r="76" spans="1:35" ht="13.5" customHeight="1" x14ac:dyDescent="0.2">
      <c r="A76" s="418"/>
      <c r="B76" s="418"/>
      <c r="C76" s="418"/>
      <c r="D76" s="418"/>
      <c r="E76" s="418"/>
      <c r="F76" s="418"/>
      <c r="G76" s="462"/>
      <c r="H76" s="418"/>
      <c r="I76" s="418"/>
      <c r="J76" s="418"/>
      <c r="K76" s="418"/>
      <c r="L76" s="478"/>
      <c r="M76" s="345"/>
      <c r="N76" s="345"/>
      <c r="O76" s="369" t="s">
        <v>1946</v>
      </c>
      <c r="P76" s="638" t="s">
        <v>1926</v>
      </c>
      <c r="Q76" s="345">
        <f>+C17</f>
        <v>254</v>
      </c>
      <c r="R76" s="348"/>
      <c r="S76" s="346"/>
      <c r="T76" s="345"/>
      <c r="U76" s="345"/>
      <c r="V76" s="345"/>
      <c r="W76" s="345"/>
      <c r="X76" s="345"/>
      <c r="Y76" s="345"/>
      <c r="Z76" s="345"/>
      <c r="AA76" s="345"/>
      <c r="AB76" s="345"/>
      <c r="AC76" s="345"/>
      <c r="AD76" s="345"/>
      <c r="AE76" s="345"/>
      <c r="AF76" s="345"/>
      <c r="AG76" s="345"/>
      <c r="AH76" s="345"/>
      <c r="AI76" s="345"/>
    </row>
    <row r="77" spans="1:35" ht="13.5" customHeight="1" x14ac:dyDescent="0.2">
      <c r="A77" s="418"/>
      <c r="B77" s="418"/>
      <c r="C77" s="418"/>
      <c r="D77" s="418"/>
      <c r="E77" s="418"/>
      <c r="F77" s="418"/>
      <c r="G77" s="462"/>
      <c r="H77" s="418"/>
      <c r="I77" s="418"/>
      <c r="J77" s="418"/>
      <c r="K77" s="418"/>
      <c r="L77" s="478"/>
      <c r="M77" s="345"/>
      <c r="N77" s="345"/>
      <c r="O77" s="213" t="s">
        <v>1343</v>
      </c>
      <c r="P77" s="637" t="s">
        <v>1927</v>
      </c>
      <c r="Q77" s="345">
        <f>+C23</f>
        <v>247</v>
      </c>
      <c r="R77" s="348"/>
      <c r="S77" s="346"/>
      <c r="T77" s="345"/>
      <c r="U77" s="345"/>
      <c r="V77" s="345"/>
      <c r="W77" s="345"/>
      <c r="X77" s="345">
        <v>1410</v>
      </c>
      <c r="Y77" s="345">
        <v>1450</v>
      </c>
      <c r="Z77" s="345">
        <f>AVERAGE(X77:Y77)</f>
        <v>1430</v>
      </c>
      <c r="AA77" s="345"/>
      <c r="AB77" s="345"/>
      <c r="AC77" s="345"/>
      <c r="AD77" s="345"/>
      <c r="AE77" s="345"/>
      <c r="AF77" s="345"/>
      <c r="AG77" s="345"/>
      <c r="AH77" s="345"/>
      <c r="AI77" s="345"/>
    </row>
    <row r="78" spans="1:35" ht="13.5" customHeight="1" x14ac:dyDescent="0.2">
      <c r="A78" s="418"/>
      <c r="B78" s="418"/>
      <c r="C78" s="418"/>
      <c r="D78" s="418"/>
      <c r="E78" s="418"/>
      <c r="F78" s="418"/>
      <c r="G78" s="462"/>
      <c r="H78" s="418"/>
      <c r="I78" s="418"/>
      <c r="J78" s="418"/>
      <c r="K78" s="418"/>
      <c r="L78" s="478"/>
      <c r="M78" s="345"/>
      <c r="N78" s="345"/>
      <c r="O78" s="213" t="s">
        <v>33</v>
      </c>
      <c r="P78" s="409" t="s">
        <v>1922</v>
      </c>
      <c r="Q78" s="345">
        <f>+SUM(C25:C26)</f>
        <v>-42</v>
      </c>
      <c r="R78" s="348"/>
      <c r="S78" s="346"/>
      <c r="T78" s="345"/>
      <c r="U78" s="345"/>
      <c r="V78" s="345"/>
      <c r="W78" s="345"/>
      <c r="X78" s="345">
        <v>1420</v>
      </c>
      <c r="Y78" s="345">
        <v>1490</v>
      </c>
      <c r="Z78" s="345">
        <f>AVERAGE(X78:Y78)</f>
        <v>1455</v>
      </c>
      <c r="AA78" s="345"/>
      <c r="AB78" s="345"/>
      <c r="AC78" s="345"/>
      <c r="AD78" s="345"/>
      <c r="AE78" s="345"/>
      <c r="AF78" s="345"/>
      <c r="AG78" s="345"/>
      <c r="AH78" s="345"/>
      <c r="AI78" s="345"/>
    </row>
    <row r="79" spans="1:35" ht="13.5" customHeight="1" x14ac:dyDescent="0.2">
      <c r="A79" s="418"/>
      <c r="B79" s="418"/>
      <c r="C79" s="418"/>
      <c r="D79" s="418"/>
      <c r="E79" s="418"/>
      <c r="F79" s="418"/>
      <c r="G79" s="462"/>
      <c r="H79" s="418"/>
      <c r="I79" s="418"/>
      <c r="J79" s="418"/>
      <c r="K79" s="418"/>
      <c r="L79" s="478"/>
      <c r="M79" s="345"/>
      <c r="N79" s="345"/>
      <c r="O79" s="213" t="s">
        <v>1204</v>
      </c>
      <c r="P79" s="410"/>
      <c r="Q79" s="345"/>
      <c r="R79" s="348"/>
      <c r="S79" s="346"/>
      <c r="T79" s="345"/>
      <c r="U79" s="345"/>
      <c r="V79" s="345"/>
      <c r="W79" s="345"/>
      <c r="X79" s="345"/>
      <c r="Y79" s="345"/>
      <c r="Z79" s="345"/>
      <c r="AA79" s="345"/>
      <c r="AB79" s="345"/>
      <c r="AC79" s="345"/>
      <c r="AD79" s="345"/>
      <c r="AE79" s="345"/>
      <c r="AF79" s="345"/>
      <c r="AG79" s="345"/>
      <c r="AH79" s="345"/>
      <c r="AI79" s="345"/>
    </row>
    <row r="80" spans="1:35" ht="13.5" customHeight="1" x14ac:dyDescent="0.2">
      <c r="A80" s="418"/>
      <c r="B80" s="418"/>
      <c r="C80" s="418"/>
      <c r="D80" s="418"/>
      <c r="E80" s="418"/>
      <c r="F80" s="418"/>
      <c r="G80" s="462"/>
      <c r="H80" s="418"/>
      <c r="I80" s="418"/>
      <c r="J80" s="418"/>
      <c r="K80" s="418"/>
      <c r="L80" s="478"/>
      <c r="M80" s="345"/>
      <c r="N80" s="345"/>
      <c r="O80" s="213" t="s">
        <v>326</v>
      </c>
      <c r="P80" s="409"/>
      <c r="Q80" s="345"/>
      <c r="R80" s="348"/>
      <c r="S80" s="346"/>
      <c r="T80" s="345"/>
      <c r="U80" s="345"/>
      <c r="V80" s="345"/>
      <c r="W80" s="345"/>
      <c r="X80" s="345"/>
      <c r="Y80" s="345"/>
      <c r="Z80" s="345"/>
      <c r="AA80" s="345"/>
      <c r="AB80" s="345"/>
      <c r="AC80" s="345"/>
      <c r="AD80" s="345"/>
      <c r="AE80" s="345"/>
      <c r="AF80" s="345"/>
      <c r="AG80" s="345"/>
      <c r="AH80" s="345"/>
      <c r="AI80" s="345"/>
    </row>
    <row r="81" spans="1:35" ht="13.5" customHeight="1" x14ac:dyDescent="0.2">
      <c r="A81" s="418"/>
      <c r="B81" s="418"/>
      <c r="C81" s="418"/>
      <c r="D81" s="418"/>
      <c r="E81" s="418"/>
      <c r="F81" s="418"/>
      <c r="G81" s="462"/>
      <c r="H81" s="418"/>
      <c r="I81" s="418"/>
      <c r="J81" s="418"/>
      <c r="K81" s="418"/>
      <c r="L81" s="478"/>
      <c r="M81" s="345"/>
      <c r="N81" s="345"/>
      <c r="O81" s="213" t="s">
        <v>627</v>
      </c>
      <c r="P81" s="409" t="s">
        <v>173</v>
      </c>
      <c r="Q81" s="345">
        <f>+C27</f>
        <v>4</v>
      </c>
      <c r="R81" s="348"/>
      <c r="S81" s="346"/>
      <c r="T81" s="345"/>
      <c r="U81" s="345"/>
      <c r="V81" s="345"/>
      <c r="W81" s="345"/>
      <c r="X81" s="345"/>
      <c r="Y81" s="345"/>
      <c r="Z81" s="345"/>
      <c r="AA81" s="345"/>
      <c r="AB81" s="345"/>
      <c r="AC81" s="345"/>
      <c r="AD81" s="345"/>
      <c r="AE81" s="345"/>
      <c r="AF81" s="345"/>
      <c r="AG81" s="345"/>
      <c r="AH81" s="345"/>
      <c r="AI81" s="345"/>
    </row>
    <row r="82" spans="1:35" ht="13.5" customHeight="1" x14ac:dyDescent="0.2">
      <c r="A82" s="421"/>
      <c r="B82" s="418"/>
      <c r="C82" s="424"/>
      <c r="D82" s="424"/>
      <c r="E82" s="424"/>
      <c r="F82" s="424"/>
      <c r="G82" s="457"/>
      <c r="H82" s="477"/>
      <c r="I82" s="424"/>
      <c r="J82" s="424"/>
      <c r="K82" s="424"/>
      <c r="L82" s="465"/>
      <c r="M82" s="345"/>
      <c r="N82" s="345"/>
      <c r="O82" s="213" t="s">
        <v>1294</v>
      </c>
      <c r="P82" s="409" t="s">
        <v>1821</v>
      </c>
      <c r="Q82" s="345">
        <f>+C28</f>
        <v>-7</v>
      </c>
      <c r="R82" s="348"/>
      <c r="S82" s="346"/>
      <c r="T82" s="345"/>
      <c r="U82" s="345"/>
      <c r="V82" s="345"/>
      <c r="W82" s="345"/>
      <c r="X82" s="345"/>
      <c r="Y82" s="345"/>
      <c r="Z82" s="345"/>
      <c r="AA82" s="345"/>
      <c r="AB82" s="345"/>
      <c r="AC82" s="345"/>
      <c r="AD82" s="345"/>
      <c r="AE82" s="345"/>
      <c r="AF82" s="345"/>
      <c r="AG82" s="345"/>
      <c r="AH82" s="345"/>
      <c r="AI82" s="345"/>
    </row>
    <row r="83" spans="1:35" ht="13.5" customHeight="1" x14ac:dyDescent="0.2">
      <c r="A83" s="418"/>
      <c r="B83" s="418"/>
      <c r="C83" s="418"/>
      <c r="D83" s="418"/>
      <c r="E83" s="418"/>
      <c r="F83" s="418"/>
      <c r="G83" s="462"/>
      <c r="H83" s="418"/>
      <c r="I83" s="418"/>
      <c r="J83" s="418"/>
      <c r="K83" s="418"/>
      <c r="L83" s="478"/>
      <c r="M83" s="345"/>
      <c r="N83" s="345"/>
      <c r="O83" s="369" t="s">
        <v>338</v>
      </c>
      <c r="P83" s="409" t="s">
        <v>1928</v>
      </c>
      <c r="Q83" s="345">
        <f>+C35</f>
        <v>0.40704387990762125</v>
      </c>
      <c r="R83" s="1102"/>
      <c r="S83" s="346"/>
      <c r="T83" s="345"/>
      <c r="U83" s="345"/>
      <c r="V83" s="345"/>
      <c r="W83" s="345"/>
      <c r="X83" s="345"/>
      <c r="Y83" s="345"/>
      <c r="Z83" s="345"/>
      <c r="AA83" s="345"/>
      <c r="AB83" s="345"/>
      <c r="AC83" s="345"/>
      <c r="AD83" s="345"/>
      <c r="AE83" s="345"/>
      <c r="AF83" s="345"/>
      <c r="AG83" s="345"/>
      <c r="AH83" s="345"/>
      <c r="AI83" s="345"/>
    </row>
    <row r="84" spans="1:35" ht="6.75" customHeight="1" x14ac:dyDescent="0.2">
      <c r="A84" s="418"/>
      <c r="B84" s="418"/>
      <c r="C84" s="459"/>
      <c r="D84" s="459"/>
      <c r="E84" s="459"/>
      <c r="F84" s="418"/>
      <c r="G84" s="467"/>
      <c r="H84" s="418"/>
      <c r="I84" s="470"/>
      <c r="J84" s="459"/>
      <c r="K84" s="418"/>
      <c r="L84" s="467"/>
      <c r="M84" s="418"/>
      <c r="N84" s="418"/>
      <c r="O84" s="418"/>
      <c r="P84" s="418"/>
      <c r="Q84" s="418"/>
      <c r="R84" s="418"/>
      <c r="S84" s="418"/>
      <c r="T84" s="418"/>
      <c r="U84" s="418"/>
      <c r="V84" s="418"/>
      <c r="W84" s="418"/>
      <c r="X84" s="418"/>
      <c r="Y84" s="418"/>
      <c r="Z84" s="418"/>
      <c r="AA84" s="418"/>
      <c r="AB84" s="418"/>
      <c r="AC84" s="418"/>
      <c r="AD84" s="418"/>
      <c r="AE84" s="418"/>
      <c r="AF84" s="418"/>
      <c r="AG84" s="418"/>
      <c r="AH84" s="418"/>
      <c r="AI84" s="418"/>
    </row>
    <row r="85" spans="1:35" ht="13.5" customHeight="1" x14ac:dyDescent="0.2">
      <c r="A85" s="418"/>
      <c r="B85" s="418"/>
      <c r="C85" s="460"/>
      <c r="D85" s="460"/>
      <c r="E85" s="423"/>
      <c r="F85" s="460"/>
      <c r="G85" s="467"/>
      <c r="H85" s="418"/>
      <c r="I85" s="471"/>
      <c r="J85" s="460"/>
      <c r="K85" s="423"/>
      <c r="L85" s="469"/>
      <c r="M85" s="418"/>
      <c r="N85" s="418"/>
      <c r="O85" s="418"/>
      <c r="P85" s="418"/>
      <c r="Q85" s="418"/>
      <c r="R85" s="418"/>
      <c r="S85" s="418"/>
      <c r="T85" s="421" t="s">
        <v>1984</v>
      </c>
      <c r="U85" s="418"/>
      <c r="V85" s="418"/>
      <c r="W85" s="418"/>
      <c r="X85" s="418"/>
      <c r="Y85" s="418"/>
      <c r="Z85" s="418"/>
      <c r="AA85" s="418"/>
      <c r="AB85" s="418"/>
      <c r="AC85" s="418"/>
      <c r="AD85" s="418"/>
      <c r="AE85" s="418"/>
      <c r="AF85" s="418"/>
      <c r="AG85" s="418"/>
      <c r="AH85" s="418"/>
      <c r="AI85" s="418"/>
    </row>
    <row r="86" spans="1:35" ht="13.5" customHeight="1" x14ac:dyDescent="0.2">
      <c r="A86" s="418"/>
      <c r="B86" s="418"/>
      <c r="C86" s="418"/>
      <c r="D86" s="418"/>
      <c r="E86" s="418"/>
      <c r="F86" s="460"/>
      <c r="G86" s="467"/>
      <c r="H86" s="418"/>
      <c r="I86" s="463"/>
      <c r="J86" s="418"/>
      <c r="K86" s="460"/>
      <c r="L86" s="469"/>
      <c r="M86" s="418"/>
      <c r="N86" s="418"/>
      <c r="O86" s="418"/>
      <c r="P86" s="418"/>
      <c r="Q86" s="418"/>
      <c r="R86" s="418"/>
      <c r="S86" s="418"/>
      <c r="T86" s="418" t="s">
        <v>1990</v>
      </c>
      <c r="U86" s="418"/>
      <c r="V86" s="418"/>
      <c r="W86" s="418"/>
      <c r="X86" s="418"/>
      <c r="Y86" s="418"/>
      <c r="Z86" s="418"/>
      <c r="AA86" s="418"/>
      <c r="AB86" s="418"/>
      <c r="AC86" s="418"/>
      <c r="AD86" s="418"/>
      <c r="AE86" s="418"/>
      <c r="AF86" s="418"/>
      <c r="AG86" s="418"/>
      <c r="AH86" s="418"/>
      <c r="AI86" s="418"/>
    </row>
    <row r="87" spans="1:35" ht="13.5" customHeight="1" x14ac:dyDescent="0.2">
      <c r="A87" s="418"/>
      <c r="B87" s="418"/>
      <c r="C87" s="418"/>
      <c r="D87" s="418"/>
      <c r="E87" s="418"/>
      <c r="F87" s="460"/>
      <c r="G87" s="467"/>
      <c r="H87" s="418"/>
      <c r="I87" s="463"/>
      <c r="J87" s="418"/>
      <c r="K87" s="460"/>
      <c r="L87" s="469"/>
      <c r="M87" s="418"/>
      <c r="N87" s="418"/>
      <c r="O87" s="418"/>
      <c r="P87" s="418"/>
      <c r="Q87" s="418"/>
      <c r="R87" s="418"/>
      <c r="S87" s="418"/>
      <c r="T87" s="810" t="s">
        <v>286</v>
      </c>
      <c r="U87" s="418"/>
      <c r="V87" s="418"/>
      <c r="W87" s="418"/>
      <c r="X87" s="418"/>
      <c r="Y87" s="418"/>
      <c r="Z87" s="418"/>
      <c r="AA87" s="418"/>
      <c r="AB87" s="418"/>
      <c r="AC87" s="418"/>
      <c r="AD87" s="418"/>
      <c r="AE87" s="418"/>
      <c r="AF87" s="418"/>
      <c r="AG87" s="418"/>
      <c r="AH87" s="418"/>
      <c r="AI87" s="418"/>
    </row>
    <row r="88" spans="1:35" ht="13.5" customHeight="1" x14ac:dyDescent="0.2">
      <c r="A88" s="418"/>
      <c r="B88" s="418"/>
      <c r="C88" s="418"/>
      <c r="D88" s="418"/>
      <c r="E88" s="418"/>
      <c r="F88" s="460"/>
      <c r="G88" s="467"/>
      <c r="H88" s="418"/>
      <c r="I88" s="463"/>
      <c r="J88" s="418"/>
      <c r="K88" s="460"/>
      <c r="L88" s="469"/>
      <c r="M88" s="418"/>
      <c r="N88" s="418"/>
      <c r="O88" s="418"/>
      <c r="P88" s="418"/>
      <c r="Q88" s="418"/>
      <c r="R88" s="418"/>
      <c r="S88" s="418"/>
      <c r="T88" s="418"/>
      <c r="U88" s="418"/>
      <c r="V88" s="418"/>
      <c r="W88" s="418"/>
      <c r="X88" s="418"/>
      <c r="Y88" s="418"/>
      <c r="Z88" s="418"/>
      <c r="AA88" s="418"/>
      <c r="AB88" s="418"/>
      <c r="AC88" s="418"/>
      <c r="AD88" s="418"/>
      <c r="AE88" s="418"/>
      <c r="AF88" s="418"/>
      <c r="AG88" s="418"/>
      <c r="AH88" s="418"/>
      <c r="AI88" s="418"/>
    </row>
    <row r="89" spans="1:35" ht="13.5" customHeight="1" x14ac:dyDescent="0.2">
      <c r="A89" s="418"/>
      <c r="B89" s="418"/>
      <c r="C89" s="418"/>
      <c r="D89" s="418"/>
      <c r="E89" s="418"/>
      <c r="F89" s="418"/>
      <c r="G89" s="462"/>
      <c r="H89" s="418"/>
      <c r="I89" s="463"/>
      <c r="J89" s="418"/>
      <c r="K89" s="418"/>
      <c r="L89" s="462"/>
      <c r="M89" s="418"/>
      <c r="N89" s="418"/>
      <c r="O89" s="418"/>
      <c r="P89" s="418"/>
      <c r="Q89" s="418"/>
      <c r="R89" s="418"/>
      <c r="S89" s="418"/>
      <c r="T89" s="820"/>
      <c r="U89" s="1093" t="s">
        <v>1544</v>
      </c>
      <c r="V89" s="1093" t="s">
        <v>287</v>
      </c>
      <c r="W89" s="1093" t="s">
        <v>288</v>
      </c>
      <c r="X89" s="1093" t="s">
        <v>289</v>
      </c>
      <c r="Y89" s="1093" t="s">
        <v>290</v>
      </c>
      <c r="Z89" s="1096">
        <v>2012</v>
      </c>
      <c r="AA89" s="1096">
        <v>2013</v>
      </c>
      <c r="AB89" s="418"/>
      <c r="AC89" s="421" t="s">
        <v>1446</v>
      </c>
      <c r="AD89" s="418"/>
      <c r="AE89" s="418"/>
      <c r="AF89" s="418"/>
      <c r="AG89" s="418"/>
      <c r="AH89" s="418"/>
      <c r="AI89" s="418"/>
    </row>
    <row r="90" spans="1:35" ht="6" customHeight="1" x14ac:dyDescent="0.2">
      <c r="A90" s="418"/>
      <c r="B90" s="418"/>
      <c r="C90" s="418"/>
      <c r="D90" s="418"/>
      <c r="E90" s="418"/>
      <c r="F90" s="418"/>
      <c r="G90" s="462"/>
      <c r="H90" s="418"/>
      <c r="I90" s="463"/>
      <c r="J90" s="418"/>
      <c r="K90" s="418"/>
      <c r="L90" s="462"/>
      <c r="M90" s="418"/>
      <c r="N90" s="418"/>
      <c r="O90" s="418"/>
      <c r="P90" s="418"/>
      <c r="Q90" s="418"/>
      <c r="R90" s="418"/>
      <c r="S90" s="418"/>
      <c r="T90" s="418"/>
      <c r="U90" s="1092"/>
      <c r="V90" s="1092"/>
      <c r="W90" s="1092"/>
      <c r="X90" s="1092"/>
      <c r="Y90" s="1092"/>
      <c r="Z90" s="1091"/>
      <c r="AA90" s="1091"/>
      <c r="AB90" s="418"/>
      <c r="AC90" s="418"/>
      <c r="AD90" s="418"/>
      <c r="AE90" s="418"/>
      <c r="AF90" s="418"/>
      <c r="AG90" s="418"/>
      <c r="AH90" s="418"/>
      <c r="AI90" s="418"/>
    </row>
    <row r="91" spans="1:35" ht="13.5" customHeight="1" x14ac:dyDescent="0.2">
      <c r="A91" s="418"/>
      <c r="B91" s="418"/>
      <c r="C91" s="458"/>
      <c r="D91" s="458"/>
      <c r="E91" s="423"/>
      <c r="F91" s="460"/>
      <c r="G91" s="467"/>
      <c r="H91" s="418"/>
      <c r="I91" s="468"/>
      <c r="J91" s="460"/>
      <c r="K91" s="423"/>
      <c r="L91" s="469"/>
      <c r="M91" s="418"/>
      <c r="N91" s="418"/>
      <c r="O91" s="418"/>
      <c r="P91" s="418"/>
      <c r="Q91" s="418"/>
      <c r="R91" s="418"/>
      <c r="S91" s="418"/>
      <c r="T91" s="421" t="s">
        <v>1863</v>
      </c>
      <c r="U91" s="421">
        <v>359.27</v>
      </c>
      <c r="V91" s="421">
        <v>229.88</v>
      </c>
      <c r="W91" s="421">
        <v>286.52999999999997</v>
      </c>
      <c r="X91" s="421">
        <v>244.9</v>
      </c>
      <c r="Y91" s="421">
        <v>369.26</v>
      </c>
      <c r="Z91" s="421">
        <v>1133.4100000000001</v>
      </c>
      <c r="AA91" s="421">
        <v>1287.69</v>
      </c>
      <c r="AB91" s="418"/>
      <c r="AC91" s="418"/>
      <c r="AD91" s="418"/>
      <c r="AE91" s="418"/>
      <c r="AF91" s="418"/>
      <c r="AG91" s="418"/>
      <c r="AH91" s="418"/>
      <c r="AI91" s="418"/>
    </row>
    <row r="92" spans="1:35" s="662" customFormat="1" ht="13.5" customHeight="1" x14ac:dyDescent="0.2">
      <c r="A92" s="418"/>
      <c r="B92" s="418"/>
      <c r="C92" s="458"/>
      <c r="D92" s="458"/>
      <c r="E92" s="423"/>
      <c r="F92" s="460"/>
      <c r="G92" s="467"/>
      <c r="H92" s="418"/>
      <c r="I92" s="468"/>
      <c r="J92" s="460"/>
      <c r="K92" s="423"/>
      <c r="L92" s="469"/>
      <c r="M92" s="418"/>
      <c r="N92" s="418"/>
      <c r="O92" s="418"/>
      <c r="P92" s="418"/>
      <c r="Q92" s="418"/>
      <c r="R92" s="418"/>
      <c r="S92" s="418"/>
      <c r="T92" s="1097" t="s">
        <v>1812</v>
      </c>
      <c r="U92" s="1100">
        <f>+MAR!BO84</f>
        <v>316</v>
      </c>
      <c r="V92" s="1100">
        <f>+MAR!BQ84</f>
        <v>214.92</v>
      </c>
      <c r="W92" s="1100">
        <f>+MAR!BR84</f>
        <v>288.94</v>
      </c>
      <c r="X92" s="1100">
        <f>+MAR!BS84</f>
        <v>284</v>
      </c>
      <c r="Y92" s="1100">
        <f>+MAR!BT84</f>
        <v>364</v>
      </c>
      <c r="Z92" s="1100">
        <f>+MAR!BU84</f>
        <v>1151.8599999999999</v>
      </c>
      <c r="AA92" s="1101">
        <f>+MAR!BZ84</f>
        <v>1148</v>
      </c>
      <c r="AB92" s="418"/>
      <c r="AC92" s="418"/>
      <c r="AD92" s="418"/>
      <c r="AE92" s="418"/>
      <c r="AF92" s="418"/>
      <c r="AG92" s="418"/>
      <c r="AH92" s="418"/>
      <c r="AI92" s="418"/>
    </row>
    <row r="93" spans="1:35" ht="13.5" customHeight="1" x14ac:dyDescent="0.2">
      <c r="A93" s="418"/>
      <c r="B93" s="418"/>
      <c r="C93" s="458"/>
      <c r="D93" s="458"/>
      <c r="E93" s="423"/>
      <c r="F93" s="460"/>
      <c r="G93" s="467"/>
      <c r="H93" s="418"/>
      <c r="I93" s="468"/>
      <c r="J93" s="460"/>
      <c r="K93" s="423"/>
      <c r="L93" s="469"/>
      <c r="M93" s="418"/>
      <c r="N93" s="418"/>
      <c r="O93" s="418"/>
      <c r="P93" s="418"/>
      <c r="Q93" s="418"/>
      <c r="R93" s="418"/>
      <c r="S93" s="418"/>
      <c r="T93" s="418"/>
      <c r="U93" s="418"/>
      <c r="V93" s="418"/>
      <c r="W93" s="418"/>
      <c r="X93" s="418"/>
      <c r="Y93" s="418"/>
      <c r="Z93" s="418"/>
      <c r="AA93" s="418"/>
      <c r="AB93" s="418"/>
      <c r="AC93" s="418"/>
      <c r="AD93" s="418"/>
      <c r="AE93" s="418"/>
      <c r="AF93" s="418"/>
      <c r="AG93" s="418"/>
      <c r="AH93" s="418"/>
      <c r="AI93" s="418"/>
    </row>
    <row r="94" spans="1:35" ht="13.5" customHeight="1" x14ac:dyDescent="0.2">
      <c r="A94" s="418"/>
      <c r="B94" s="418"/>
      <c r="C94" s="459"/>
      <c r="D94" s="459"/>
      <c r="E94" s="459"/>
      <c r="F94" s="418"/>
      <c r="G94" s="467"/>
      <c r="H94" s="418"/>
      <c r="I94" s="470"/>
      <c r="J94" s="459"/>
      <c r="K94" s="418"/>
      <c r="L94" s="467"/>
      <c r="M94" s="418"/>
      <c r="N94" s="418"/>
      <c r="O94" s="418"/>
      <c r="P94" s="418"/>
      <c r="Q94" s="418"/>
      <c r="R94" s="418"/>
      <c r="S94" s="418"/>
      <c r="T94" s="418" t="s">
        <v>1811</v>
      </c>
      <c r="U94" s="418">
        <v>299.20999999999998</v>
      </c>
      <c r="V94" s="418">
        <v>184.16</v>
      </c>
      <c r="W94" s="418">
        <v>238.74</v>
      </c>
      <c r="X94" s="418">
        <v>203.94</v>
      </c>
      <c r="Y94" s="418">
        <v>313.14</v>
      </c>
      <c r="Z94" s="418">
        <v>952.12</v>
      </c>
      <c r="AA94" s="418">
        <v>1124.0899999999999</v>
      </c>
      <c r="AB94" s="418"/>
      <c r="AC94" s="418"/>
      <c r="AD94" s="418"/>
      <c r="AE94" s="418"/>
      <c r="AF94" s="418"/>
      <c r="AG94" s="418"/>
      <c r="AH94" s="418"/>
      <c r="AI94" s="418"/>
    </row>
    <row r="95" spans="1:35" ht="13.5" customHeight="1" x14ac:dyDescent="0.2">
      <c r="A95" s="418"/>
      <c r="B95" s="418"/>
      <c r="C95" s="460"/>
      <c r="D95" s="460"/>
      <c r="E95" s="423"/>
      <c r="F95" s="460"/>
      <c r="G95" s="467"/>
      <c r="H95" s="418"/>
      <c r="I95" s="471"/>
      <c r="J95" s="460"/>
      <c r="K95" s="423"/>
      <c r="L95" s="469"/>
      <c r="M95" s="418"/>
      <c r="N95" s="418"/>
      <c r="O95" s="418"/>
      <c r="P95" s="418"/>
      <c r="Q95" s="418"/>
      <c r="R95" s="418"/>
      <c r="S95" s="418"/>
      <c r="T95" s="418"/>
      <c r="U95" s="418"/>
      <c r="V95" s="418"/>
      <c r="W95" s="418"/>
      <c r="X95" s="418"/>
      <c r="Y95" s="418"/>
      <c r="Z95" s="418"/>
      <c r="AA95" s="418"/>
      <c r="AB95" s="418"/>
      <c r="AC95" s="418"/>
      <c r="AD95" s="418"/>
      <c r="AE95" s="418"/>
      <c r="AF95" s="418"/>
      <c r="AG95" s="418"/>
      <c r="AH95" s="418"/>
      <c r="AI95" s="418"/>
    </row>
    <row r="96" spans="1:35" ht="13.5" customHeight="1" x14ac:dyDescent="0.2">
      <c r="A96" s="418"/>
      <c r="B96" s="418"/>
      <c r="C96" s="418"/>
      <c r="D96" s="418"/>
      <c r="E96" s="418"/>
      <c r="F96" s="460"/>
      <c r="G96" s="467"/>
      <c r="H96" s="418"/>
      <c r="I96" s="463"/>
      <c r="J96" s="418"/>
      <c r="K96" s="460"/>
      <c r="L96" s="469"/>
      <c r="M96" s="418"/>
      <c r="N96" s="418"/>
      <c r="O96" s="418"/>
      <c r="P96" s="418"/>
      <c r="Q96" s="418"/>
      <c r="R96" s="418"/>
      <c r="S96" s="418"/>
      <c r="T96" s="418" t="s">
        <v>1296</v>
      </c>
      <c r="U96" s="418">
        <v>164.5</v>
      </c>
      <c r="V96" s="418">
        <v>106.03</v>
      </c>
      <c r="W96" s="418">
        <v>140.63</v>
      </c>
      <c r="X96" s="418">
        <v>113.61</v>
      </c>
      <c r="Y96" s="418">
        <v>179.42</v>
      </c>
      <c r="Z96" s="418">
        <v>546.28</v>
      </c>
      <c r="AA96" s="418">
        <v>650.95000000000005</v>
      </c>
      <c r="AB96" s="418"/>
      <c r="AC96" s="418"/>
      <c r="AD96" s="418"/>
      <c r="AE96" s="418"/>
      <c r="AF96" s="418"/>
      <c r="AG96" s="418"/>
      <c r="AH96" s="418"/>
      <c r="AI96" s="418"/>
    </row>
    <row r="97" spans="1:35" ht="13.5" customHeight="1" x14ac:dyDescent="0.2">
      <c r="A97" s="418"/>
      <c r="B97" s="418"/>
      <c r="C97" s="418"/>
      <c r="D97" s="418"/>
      <c r="E97" s="418"/>
      <c r="F97" s="460"/>
      <c r="G97" s="467"/>
      <c r="H97" s="418"/>
      <c r="I97" s="463"/>
      <c r="J97" s="418"/>
      <c r="K97" s="460"/>
      <c r="L97" s="469"/>
      <c r="M97" s="418"/>
      <c r="N97" s="418"/>
      <c r="O97" s="418"/>
      <c r="P97" s="418"/>
      <c r="Q97" s="418"/>
      <c r="R97" s="418"/>
      <c r="S97" s="418"/>
      <c r="T97" s="1097" t="s">
        <v>1812</v>
      </c>
      <c r="U97" s="1100"/>
      <c r="V97" s="1100"/>
      <c r="W97" s="1100"/>
      <c r="X97" s="1100"/>
      <c r="Y97" s="1100"/>
      <c r="Z97" s="1100"/>
      <c r="AA97" s="1101"/>
      <c r="AB97" s="418"/>
      <c r="AC97" s="418"/>
      <c r="AD97" s="418"/>
      <c r="AE97" s="418"/>
      <c r="AF97" s="418"/>
      <c r="AG97" s="418"/>
      <c r="AH97" s="418"/>
      <c r="AI97" s="418"/>
    </row>
    <row r="98" spans="1:35" ht="13.5" customHeight="1" x14ac:dyDescent="0.2">
      <c r="A98" s="418"/>
      <c r="B98" s="418"/>
      <c r="C98" s="418"/>
      <c r="D98" s="418"/>
      <c r="E98" s="418"/>
      <c r="F98" s="460"/>
      <c r="G98" s="467"/>
      <c r="H98" s="418"/>
      <c r="I98" s="463"/>
      <c r="J98" s="418"/>
      <c r="K98" s="460"/>
      <c r="L98" s="469"/>
      <c r="M98" s="418"/>
      <c r="N98" s="418"/>
      <c r="O98" s="418"/>
      <c r="P98" s="418"/>
      <c r="Q98" s="418"/>
      <c r="R98" s="418"/>
      <c r="S98" s="418"/>
      <c r="T98" s="418"/>
      <c r="U98" s="418"/>
      <c r="V98" s="418"/>
      <c r="W98" s="418"/>
      <c r="X98" s="418"/>
      <c r="Y98" s="418"/>
      <c r="Z98" s="418"/>
      <c r="AA98" s="418"/>
      <c r="AB98" s="418"/>
      <c r="AC98" s="418"/>
      <c r="AD98" s="418"/>
      <c r="AE98" s="418"/>
      <c r="AF98" s="418"/>
      <c r="AG98" s="418"/>
      <c r="AH98" s="418"/>
      <c r="AI98" s="418"/>
    </row>
    <row r="99" spans="1:35" ht="13.5" customHeight="1" x14ac:dyDescent="0.2">
      <c r="A99" s="418"/>
      <c r="B99" s="418"/>
      <c r="C99" s="458"/>
      <c r="D99" s="458"/>
      <c r="E99" s="423"/>
      <c r="F99" s="460"/>
      <c r="G99" s="467"/>
      <c r="H99" s="418"/>
      <c r="I99" s="468"/>
      <c r="J99" s="460"/>
      <c r="K99" s="423"/>
      <c r="L99" s="469"/>
      <c r="M99" s="418"/>
      <c r="N99" s="418"/>
      <c r="O99" s="418"/>
      <c r="P99" s="418"/>
      <c r="Q99" s="418"/>
      <c r="R99" s="418"/>
      <c r="S99" s="418"/>
      <c r="T99" s="418" t="s">
        <v>1253</v>
      </c>
      <c r="U99" s="1095">
        <v>0.47</v>
      </c>
      <c r="V99" s="1095">
        <v>0.3</v>
      </c>
      <c r="W99" s="1095">
        <v>0.41</v>
      </c>
      <c r="X99" s="1095">
        <v>0.34</v>
      </c>
      <c r="Y99" s="1095">
        <v>0.53</v>
      </c>
      <c r="Z99" s="1095">
        <v>1.58</v>
      </c>
      <c r="AA99" s="1095">
        <v>1.91</v>
      </c>
      <c r="AB99" s="418"/>
      <c r="AC99" s="418"/>
      <c r="AD99" s="418"/>
      <c r="AE99" s="418"/>
      <c r="AF99" s="418"/>
      <c r="AG99" s="418"/>
      <c r="AH99" s="418"/>
      <c r="AI99" s="418"/>
    </row>
    <row r="100" spans="1:35" ht="13.5" customHeight="1" x14ac:dyDescent="0.2">
      <c r="A100" s="418"/>
      <c r="B100" s="418"/>
      <c r="C100" s="459"/>
      <c r="D100" s="459"/>
      <c r="E100" s="459"/>
      <c r="F100" s="418"/>
      <c r="G100" s="467"/>
      <c r="H100" s="418"/>
      <c r="I100" s="470"/>
      <c r="J100" s="459"/>
      <c r="K100" s="418"/>
      <c r="L100" s="467"/>
      <c r="M100" s="418"/>
      <c r="N100" s="418"/>
      <c r="O100" s="418"/>
      <c r="P100" s="418"/>
      <c r="Q100" s="418"/>
      <c r="R100" s="418"/>
      <c r="S100" s="418"/>
      <c r="T100" s="1097" t="s">
        <v>1812</v>
      </c>
      <c r="U100" s="1098">
        <f>+MAR!BO60</f>
        <v>0.45900692840646656</v>
      </c>
      <c r="V100" s="1098">
        <f>+MAR!BQ60</f>
        <v>0.30179918746372603</v>
      </c>
      <c r="W100" s="1098">
        <f>+MAR!BR60</f>
        <v>0.42307692307692307</v>
      </c>
      <c r="X100" s="1098">
        <f>+MAR!BS60</f>
        <v>0.4342544791982994</v>
      </c>
      <c r="Y100" s="1098">
        <f>+MAR!BT60</f>
        <v>0.56176288019863441</v>
      </c>
      <c r="Z100" s="1098">
        <f>+MAR!BU60</f>
        <v>1.71522979873836</v>
      </c>
      <c r="AA100" s="1099">
        <f>+MAR!BZ60</f>
        <v>2</v>
      </c>
      <c r="AB100" s="418"/>
      <c r="AC100" s="418" t="s">
        <v>1813</v>
      </c>
      <c r="AD100" s="418"/>
      <c r="AE100" s="418"/>
      <c r="AF100" s="418"/>
      <c r="AG100" s="418"/>
      <c r="AH100" s="418"/>
      <c r="AI100" s="418"/>
    </row>
    <row r="101" spans="1:35" ht="13.5" customHeight="1" x14ac:dyDescent="0.2">
      <c r="A101" s="418"/>
      <c r="B101" s="418"/>
      <c r="C101" s="460"/>
      <c r="D101" s="460"/>
      <c r="E101" s="423"/>
      <c r="F101" s="460"/>
      <c r="G101" s="467"/>
      <c r="H101" s="418"/>
      <c r="I101" s="471"/>
      <c r="J101" s="460"/>
      <c r="K101" s="423"/>
      <c r="L101" s="469"/>
      <c r="M101" s="418"/>
      <c r="N101" s="418"/>
      <c r="O101" s="418"/>
      <c r="P101" s="418"/>
      <c r="Q101" s="418"/>
      <c r="R101" s="418"/>
      <c r="S101" s="418"/>
      <c r="T101" s="418"/>
      <c r="U101" s="1094"/>
      <c r="V101" s="1094"/>
      <c r="W101" s="1094"/>
      <c r="X101" s="1094"/>
      <c r="Y101" s="1094"/>
      <c r="Z101" s="418"/>
      <c r="AA101" s="418"/>
      <c r="AB101" s="418"/>
      <c r="AC101" s="418"/>
      <c r="AD101" s="418"/>
      <c r="AE101" s="418"/>
      <c r="AF101" s="418"/>
      <c r="AG101" s="418"/>
      <c r="AH101" s="418"/>
      <c r="AI101" s="418"/>
    </row>
    <row r="102" spans="1:35" ht="24.95" customHeight="1" x14ac:dyDescent="0.2">
      <c r="A102" s="418"/>
      <c r="B102" s="418"/>
      <c r="C102" s="418"/>
      <c r="D102" s="418"/>
      <c r="E102" s="418"/>
      <c r="F102" s="460"/>
      <c r="G102" s="467"/>
      <c r="H102" s="418"/>
      <c r="I102" s="463"/>
      <c r="J102" s="418"/>
      <c r="K102" s="460"/>
      <c r="L102" s="469"/>
      <c r="M102" s="418"/>
      <c r="N102" s="418"/>
      <c r="O102" s="418"/>
      <c r="P102" s="418"/>
      <c r="Q102" s="418"/>
      <c r="R102" s="418"/>
      <c r="S102" s="418"/>
      <c r="T102" s="418"/>
      <c r="U102" s="418"/>
      <c r="V102" s="418"/>
      <c r="W102" s="418"/>
      <c r="X102" s="418"/>
      <c r="Y102" s="418"/>
      <c r="Z102" s="418"/>
      <c r="AA102" s="418"/>
      <c r="AB102" s="418"/>
      <c r="AC102" s="418"/>
      <c r="AD102" s="418"/>
      <c r="AE102" s="418"/>
      <c r="AF102" s="421" t="s">
        <v>1991</v>
      </c>
      <c r="AG102" s="418"/>
      <c r="AH102" s="418"/>
      <c r="AI102" s="418"/>
    </row>
    <row r="103" spans="1:35" ht="3.95" customHeight="1" x14ac:dyDescent="0.2">
      <c r="A103" s="426"/>
      <c r="B103" s="418"/>
      <c r="C103" s="418"/>
      <c r="D103" s="418"/>
      <c r="E103" s="418"/>
      <c r="F103" s="418"/>
      <c r="G103" s="418"/>
      <c r="H103" s="418"/>
      <c r="I103" s="418"/>
      <c r="J103" s="418"/>
      <c r="K103" s="418"/>
      <c r="L103" s="418"/>
      <c r="M103" s="418"/>
      <c r="N103" s="418"/>
      <c r="O103" s="418"/>
      <c r="P103" s="418"/>
      <c r="Q103" s="418"/>
      <c r="R103" s="418"/>
      <c r="S103" s="418"/>
      <c r="T103" s="418"/>
      <c r="U103" s="418"/>
      <c r="V103" s="418"/>
      <c r="W103" s="418"/>
      <c r="X103" s="418"/>
      <c r="Y103" s="418"/>
      <c r="Z103" s="418"/>
      <c r="AA103" s="418"/>
      <c r="AB103" s="418"/>
      <c r="AC103" s="418"/>
      <c r="AD103" s="418"/>
      <c r="AE103" s="418"/>
      <c r="AF103" s="820"/>
      <c r="AG103" s="418"/>
      <c r="AH103" s="418"/>
      <c r="AI103" s="418"/>
    </row>
    <row r="104" spans="1:35" ht="30" customHeight="1" x14ac:dyDescent="0.2">
      <c r="A104" s="426"/>
      <c r="B104" s="418"/>
      <c r="C104" s="418"/>
      <c r="D104" s="418"/>
      <c r="E104" s="418"/>
      <c r="F104" s="418"/>
      <c r="G104" s="418"/>
      <c r="H104" s="418"/>
      <c r="I104" s="418"/>
      <c r="J104" s="418"/>
      <c r="K104" s="418"/>
      <c r="L104" s="418"/>
      <c r="M104" s="418"/>
      <c r="N104" s="418"/>
      <c r="O104" s="418"/>
      <c r="P104" s="418"/>
      <c r="Q104" s="418"/>
      <c r="R104" s="418"/>
      <c r="S104" s="418"/>
      <c r="T104" s="418"/>
      <c r="U104" s="418"/>
      <c r="V104" s="418"/>
      <c r="W104" s="418"/>
      <c r="X104" s="418"/>
      <c r="Y104" s="418"/>
      <c r="Z104" s="418"/>
      <c r="AA104" s="418"/>
      <c r="AB104" s="418"/>
      <c r="AC104" s="418"/>
      <c r="AD104" s="418"/>
      <c r="AE104" s="418"/>
      <c r="AF104" s="819" t="s">
        <v>601</v>
      </c>
      <c r="AG104" s="818" t="s">
        <v>425</v>
      </c>
      <c r="AH104" s="818" t="s">
        <v>602</v>
      </c>
      <c r="AI104" s="818" t="s">
        <v>426</v>
      </c>
    </row>
    <row r="105" spans="1:35" ht="6" customHeight="1" x14ac:dyDescent="0.2">
      <c r="A105" s="426"/>
      <c r="B105" s="418"/>
      <c r="C105" s="418"/>
      <c r="D105" s="418"/>
      <c r="E105" s="418"/>
      <c r="F105" s="418"/>
      <c r="G105" s="418"/>
      <c r="H105" s="418"/>
      <c r="I105" s="418"/>
      <c r="J105" s="418"/>
      <c r="K105" s="418"/>
      <c r="L105" s="418"/>
      <c r="M105" s="418"/>
      <c r="N105" s="418"/>
      <c r="O105" s="418"/>
      <c r="P105" s="418"/>
      <c r="Q105" s="418"/>
      <c r="R105" s="418"/>
      <c r="S105" s="418"/>
      <c r="T105" s="418"/>
      <c r="U105" s="418"/>
      <c r="V105" s="418"/>
      <c r="W105" s="418"/>
      <c r="X105" s="418"/>
      <c r="Y105" s="418"/>
      <c r="Z105" s="418"/>
      <c r="AA105" s="418"/>
      <c r="AB105" s="418"/>
      <c r="AC105" s="418"/>
      <c r="AD105" s="418"/>
      <c r="AE105" s="418"/>
      <c r="AF105" s="822"/>
      <c r="AG105" s="418"/>
      <c r="AH105" s="418"/>
      <c r="AI105" s="418"/>
    </row>
    <row r="106" spans="1:35" ht="50.1" customHeight="1" x14ac:dyDescent="0.2">
      <c r="A106" s="421"/>
      <c r="B106" s="421"/>
      <c r="C106" s="464"/>
      <c r="D106" s="464"/>
      <c r="E106" s="421"/>
      <c r="F106" s="424"/>
      <c r="G106" s="457"/>
      <c r="H106" s="421"/>
      <c r="I106" s="464"/>
      <c r="J106" s="421"/>
      <c r="K106" s="424"/>
      <c r="L106" s="465"/>
      <c r="M106" s="418"/>
      <c r="N106" s="418"/>
      <c r="O106" s="418"/>
      <c r="P106" s="418"/>
      <c r="Q106" s="418"/>
      <c r="R106" s="418"/>
      <c r="S106" s="418"/>
      <c r="T106" s="418"/>
      <c r="U106" s="418"/>
      <c r="V106" s="418"/>
      <c r="W106" s="418"/>
      <c r="X106" s="418"/>
      <c r="Y106" s="418"/>
      <c r="Z106" s="418"/>
      <c r="AA106" s="418"/>
      <c r="AB106" s="418"/>
      <c r="AC106" s="418"/>
      <c r="AD106" s="418"/>
      <c r="AE106" s="418"/>
      <c r="AF106" s="823" t="s">
        <v>2252</v>
      </c>
      <c r="AG106" s="826" t="s">
        <v>427</v>
      </c>
      <c r="AH106" s="826" t="s">
        <v>433</v>
      </c>
      <c r="AI106" s="826" t="s">
        <v>429</v>
      </c>
    </row>
    <row r="107" spans="1:35" ht="6" customHeight="1" x14ac:dyDescent="0.2">
      <c r="A107" s="421"/>
      <c r="B107" s="421"/>
      <c r="C107" s="424"/>
      <c r="D107" s="424"/>
      <c r="E107" s="421"/>
      <c r="F107" s="424"/>
      <c r="G107" s="457"/>
      <c r="H107" s="421"/>
      <c r="I107" s="424"/>
      <c r="J107" s="421"/>
      <c r="K107" s="424"/>
      <c r="L107" s="465"/>
      <c r="M107" s="418"/>
      <c r="N107" s="418"/>
      <c r="O107" s="418"/>
      <c r="P107" s="418"/>
      <c r="Q107" s="418"/>
      <c r="R107" s="418"/>
      <c r="S107" s="418"/>
      <c r="T107" s="418"/>
      <c r="U107" s="418"/>
      <c r="V107" s="418"/>
      <c r="W107" s="418"/>
      <c r="X107" s="418"/>
      <c r="Y107" s="418"/>
      <c r="Z107" s="418"/>
      <c r="AA107" s="418"/>
      <c r="AB107" s="418"/>
      <c r="AC107" s="418"/>
      <c r="AD107" s="418"/>
      <c r="AE107" s="418"/>
      <c r="AF107" s="821"/>
      <c r="AG107" s="827"/>
      <c r="AH107" s="827"/>
      <c r="AI107" s="827"/>
    </row>
    <row r="108" spans="1:35" ht="27.95" customHeight="1" x14ac:dyDescent="0.2">
      <c r="A108" s="466"/>
      <c r="B108" s="418"/>
      <c r="C108" s="425"/>
      <c r="D108" s="425"/>
      <c r="E108" s="418"/>
      <c r="F108" s="418"/>
      <c r="G108" s="422"/>
      <c r="H108" s="418"/>
      <c r="I108" s="425"/>
      <c r="J108" s="418"/>
      <c r="K108" s="418"/>
      <c r="L108" s="422"/>
      <c r="M108" s="418"/>
      <c r="N108" s="418"/>
      <c r="O108" s="418"/>
      <c r="P108" s="418"/>
      <c r="Q108" s="418"/>
      <c r="R108" s="418"/>
      <c r="S108" s="418"/>
      <c r="T108" s="418"/>
      <c r="U108" s="418"/>
      <c r="V108" s="418"/>
      <c r="W108" s="418"/>
      <c r="X108" s="418"/>
      <c r="Y108" s="418"/>
      <c r="Z108" s="418"/>
      <c r="AA108" s="418"/>
      <c r="AB108" s="418"/>
      <c r="AC108" s="418"/>
      <c r="AD108" s="418"/>
      <c r="AE108" s="418"/>
      <c r="AF108" s="823" t="s">
        <v>2253</v>
      </c>
      <c r="AG108" s="826" t="s">
        <v>428</v>
      </c>
      <c r="AH108" s="826" t="s">
        <v>428</v>
      </c>
      <c r="AI108" s="826" t="s">
        <v>429</v>
      </c>
    </row>
    <row r="109" spans="1:35" ht="6" customHeight="1" x14ac:dyDescent="0.2">
      <c r="A109" s="426"/>
      <c r="B109" s="418"/>
      <c r="C109" s="418"/>
      <c r="D109" s="418"/>
      <c r="E109" s="418"/>
      <c r="F109" s="418"/>
      <c r="G109" s="418"/>
      <c r="H109" s="418"/>
      <c r="I109" s="418"/>
      <c r="J109" s="418"/>
      <c r="K109" s="418"/>
      <c r="L109" s="418"/>
      <c r="M109" s="418"/>
      <c r="N109" s="418"/>
      <c r="O109" s="418"/>
      <c r="P109" s="418"/>
      <c r="Q109" s="418"/>
      <c r="R109" s="418"/>
      <c r="S109" s="418"/>
      <c r="T109" s="418"/>
      <c r="U109" s="418"/>
      <c r="V109" s="418"/>
      <c r="W109" s="418"/>
      <c r="X109" s="418"/>
      <c r="Y109" s="418"/>
      <c r="Z109" s="418"/>
      <c r="AA109" s="418"/>
      <c r="AB109" s="418"/>
      <c r="AC109" s="418"/>
      <c r="AD109" s="418"/>
      <c r="AE109" s="418"/>
      <c r="AF109" s="821"/>
      <c r="AG109" s="826"/>
      <c r="AH109" s="826"/>
      <c r="AI109" s="826"/>
    </row>
    <row r="110" spans="1:35" ht="27.95" customHeight="1" x14ac:dyDescent="0.2">
      <c r="A110" s="418"/>
      <c r="B110" s="418"/>
      <c r="C110" s="458"/>
      <c r="D110" s="458"/>
      <c r="E110" s="472"/>
      <c r="F110" s="458"/>
      <c r="G110" s="467"/>
      <c r="H110" s="418"/>
      <c r="I110" s="468"/>
      <c r="J110" s="473"/>
      <c r="K110" s="458"/>
      <c r="L110" s="469"/>
      <c r="M110" s="418"/>
      <c r="N110" s="418"/>
      <c r="O110" s="418"/>
      <c r="P110" s="418"/>
      <c r="Q110" s="418"/>
      <c r="R110" s="418"/>
      <c r="S110" s="418"/>
      <c r="T110" s="418"/>
      <c r="U110" s="418"/>
      <c r="V110" s="418"/>
      <c r="W110" s="418"/>
      <c r="X110" s="418"/>
      <c r="Y110" s="418"/>
      <c r="Z110" s="418"/>
      <c r="AA110" s="418"/>
      <c r="AB110" s="418"/>
      <c r="AC110" s="418"/>
      <c r="AD110" s="418"/>
      <c r="AE110" s="418"/>
      <c r="AF110" s="824" t="s">
        <v>638</v>
      </c>
      <c r="AG110" s="828" t="s">
        <v>430</v>
      </c>
      <c r="AH110" s="826" t="s">
        <v>431</v>
      </c>
      <c r="AI110" s="826" t="s">
        <v>432</v>
      </c>
    </row>
    <row r="111" spans="1:35" ht="6" customHeight="1" x14ac:dyDescent="0.2">
      <c r="A111" s="418"/>
      <c r="B111" s="418"/>
      <c r="C111" s="459"/>
      <c r="D111" s="459"/>
      <c r="E111" s="474"/>
      <c r="F111" s="418"/>
      <c r="G111" s="467"/>
      <c r="H111" s="418"/>
      <c r="I111" s="470"/>
      <c r="J111" s="474"/>
      <c r="K111" s="418"/>
      <c r="L111" s="467"/>
      <c r="M111" s="418"/>
      <c r="N111" s="418"/>
      <c r="O111" s="418"/>
      <c r="P111" s="418"/>
      <c r="Q111" s="418"/>
      <c r="R111" s="418"/>
      <c r="S111" s="418"/>
      <c r="T111" s="418"/>
      <c r="U111" s="418"/>
      <c r="V111" s="418"/>
      <c r="W111" s="418"/>
      <c r="X111" s="418"/>
      <c r="Y111" s="418"/>
      <c r="Z111" s="418"/>
      <c r="AA111" s="418"/>
      <c r="AB111" s="418"/>
      <c r="AC111" s="418"/>
      <c r="AD111" s="418"/>
      <c r="AE111" s="418"/>
      <c r="AF111" s="821"/>
      <c r="AG111" s="826"/>
      <c r="AH111" s="826"/>
      <c r="AI111" s="826"/>
    </row>
    <row r="112" spans="1:35" ht="65.099999999999994" customHeight="1" x14ac:dyDescent="0.2">
      <c r="A112" s="418"/>
      <c r="B112" s="418"/>
      <c r="C112" s="460"/>
      <c r="D112" s="460"/>
      <c r="E112" s="423"/>
      <c r="F112" s="460"/>
      <c r="G112" s="467"/>
      <c r="H112" s="418"/>
      <c r="I112" s="471"/>
      <c r="J112" s="423"/>
      <c r="K112" s="460"/>
      <c r="L112" s="469"/>
      <c r="M112" s="418"/>
      <c r="N112" s="418"/>
      <c r="O112" s="418"/>
      <c r="P112" s="418"/>
      <c r="Q112" s="418"/>
      <c r="R112" s="418"/>
      <c r="S112" s="418"/>
      <c r="T112" s="418"/>
      <c r="U112" s="418"/>
      <c r="V112" s="418"/>
      <c r="W112" s="418"/>
      <c r="X112" s="418"/>
      <c r="Y112" s="418"/>
      <c r="Z112" s="418"/>
      <c r="AA112" s="418"/>
      <c r="AB112" s="418"/>
      <c r="AC112" s="418"/>
      <c r="AD112" s="418"/>
      <c r="AE112" s="418"/>
      <c r="AF112" s="825" t="s">
        <v>637</v>
      </c>
      <c r="AG112" s="826" t="s">
        <v>599</v>
      </c>
      <c r="AH112" s="826" t="s">
        <v>600</v>
      </c>
      <c r="AI112" s="826" t="s">
        <v>432</v>
      </c>
    </row>
    <row r="113" spans="38:43" ht="3.95" customHeight="1" x14ac:dyDescent="0.2"/>
    <row r="114" spans="38:43" ht="13.5" customHeight="1" x14ac:dyDescent="0.2">
      <c r="AL114" s="546" t="s">
        <v>1249</v>
      </c>
      <c r="AM114" s="546"/>
      <c r="AN114" s="546"/>
      <c r="AO114" s="546"/>
      <c r="AP114" s="546"/>
      <c r="AQ114" s="546"/>
    </row>
    <row r="115" spans="38:43" ht="13.5" customHeight="1" x14ac:dyDescent="0.2">
      <c r="AL115" s="70"/>
      <c r="AM115" s="856" t="s">
        <v>39</v>
      </c>
      <c r="AN115" s="200"/>
      <c r="AO115" s="70"/>
      <c r="AP115" s="856" t="s">
        <v>1323</v>
      </c>
      <c r="AQ115" s="200"/>
    </row>
    <row r="116" spans="38:43" ht="13.5" customHeight="1" x14ac:dyDescent="0.2">
      <c r="AL116" s="70"/>
      <c r="AM116" s="558" t="s">
        <v>12</v>
      </c>
      <c r="AN116" s="551" t="s">
        <v>11</v>
      </c>
      <c r="AO116" s="181"/>
      <c r="AP116" s="558" t="s">
        <v>12</v>
      </c>
      <c r="AQ116" s="551" t="s">
        <v>11</v>
      </c>
    </row>
    <row r="117" spans="38:43" ht="3.95" customHeight="1" x14ac:dyDescent="0.2">
      <c r="AL117" s="70"/>
      <c r="AM117" s="194"/>
      <c r="AN117" s="70"/>
      <c r="AO117" s="70"/>
      <c r="AP117" s="194"/>
      <c r="AQ117" s="70"/>
    </row>
    <row r="118" spans="38:43" ht="13.5" customHeight="1" x14ac:dyDescent="0.2">
      <c r="AL118" s="70" t="s">
        <v>1427</v>
      </c>
      <c r="AM118" s="858">
        <f>+MAR!BQ14</f>
        <v>2552</v>
      </c>
      <c r="AN118" s="70">
        <v>545.1840520804177</v>
      </c>
      <c r="AO118" s="70"/>
      <c r="AP118" s="858">
        <f>+MAR!BU14</f>
        <v>11814</v>
      </c>
      <c r="AQ118" s="261">
        <v>2596.3392073371574</v>
      </c>
    </row>
    <row r="119" spans="38:43" ht="13.5" customHeight="1" x14ac:dyDescent="0.2">
      <c r="AL119" s="70"/>
      <c r="AM119" s="194"/>
      <c r="AN119" s="546"/>
      <c r="AO119" s="70"/>
      <c r="AP119" s="194"/>
      <c r="AQ119" s="70"/>
    </row>
    <row r="120" spans="38:43" ht="13.5" customHeight="1" x14ac:dyDescent="0.2">
      <c r="AL120" s="70" t="s">
        <v>1863</v>
      </c>
      <c r="AM120" s="194">
        <f>+MAR!BQ84</f>
        <v>214.92</v>
      </c>
      <c r="AN120" s="70">
        <v>211.7300867194142</v>
      </c>
      <c r="AO120" s="70"/>
      <c r="AP120" s="194">
        <f>+MAR!BU84</f>
        <v>1151.8599999999999</v>
      </c>
      <c r="AQ120" s="70">
        <v>1105.6135659094714</v>
      </c>
    </row>
    <row r="121" spans="38:43" ht="13.5" customHeight="1" x14ac:dyDescent="0.2">
      <c r="AL121" s="70"/>
      <c r="AM121" s="194"/>
      <c r="AN121" s="70"/>
      <c r="AO121" s="70"/>
      <c r="AP121" s="194"/>
      <c r="AQ121" s="70"/>
    </row>
    <row r="122" spans="38:43" ht="13.5" customHeight="1" x14ac:dyDescent="0.2">
      <c r="AL122" s="70" t="s">
        <v>1296</v>
      </c>
      <c r="AM122" s="194"/>
      <c r="AN122" s="70">
        <v>95.96736738865954</v>
      </c>
      <c r="AO122" s="70"/>
      <c r="AP122" s="194">
        <f>+MAR!BU51</f>
        <v>571</v>
      </c>
      <c r="AQ122" s="70">
        <v>534.51156288486663</v>
      </c>
    </row>
    <row r="123" spans="38:43" ht="13.5" customHeight="1" x14ac:dyDescent="0.2">
      <c r="AL123" s="70"/>
      <c r="AM123" s="194"/>
      <c r="AN123" s="70"/>
      <c r="AO123" s="70"/>
      <c r="AP123" s="194"/>
      <c r="AQ123" s="70"/>
    </row>
    <row r="124" spans="38:43" ht="13.5" customHeight="1" x14ac:dyDescent="0.2">
      <c r="AL124" s="70" t="s">
        <v>1253</v>
      </c>
      <c r="AM124" s="857">
        <f>+MAR!BQ59</f>
        <v>0.30179918746372603</v>
      </c>
      <c r="AN124" s="300">
        <v>0.28724352568041422</v>
      </c>
      <c r="AO124" s="70"/>
      <c r="AP124" s="857">
        <f>+MAR!BU59</f>
        <v>1.71522979873836</v>
      </c>
      <c r="AQ124" s="300">
        <v>1.5975185668031273</v>
      </c>
    </row>
    <row r="125" spans="38:43" ht="2.1" customHeight="1" x14ac:dyDescent="0.2"/>
    <row r="146" ht="5.25" customHeight="1" x14ac:dyDescent="0.2"/>
    <row r="149" ht="5.25" customHeight="1" x14ac:dyDescent="0.2"/>
    <row r="155" ht="5.25" customHeight="1" x14ac:dyDescent="0.2"/>
    <row r="161" ht="4.5" customHeight="1" x14ac:dyDescent="0.2"/>
  </sheetData>
  <phoneticPr fontId="57" type="noConversion"/>
  <pageMargins left="0.5" right="0.5" top="0.5" bottom="0.5" header="0.5" footer="0.5"/>
  <pageSetup scale="74" orientation="portrait" horizontalDpi="1200" verticalDpi="1200"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autoPageBreaks="0"/>
  </sheetPr>
  <dimension ref="A1:AO153"/>
  <sheetViews>
    <sheetView topLeftCell="R82" zoomScale="85" zoomScaleNormal="85" zoomScaleSheetLayoutView="85" workbookViewId="0">
      <selection activeCell="AE104" sqref="AE104"/>
    </sheetView>
  </sheetViews>
  <sheetFormatPr defaultColWidth="12" defaultRowHeight="13.5" customHeight="1" x14ac:dyDescent="0.2"/>
  <cols>
    <col min="1" max="1" width="39.33203125" customWidth="1"/>
    <col min="2" max="2" width="2" customWidth="1"/>
    <col min="3" max="4" width="12" customWidth="1"/>
    <col min="5" max="5" width="2" customWidth="1"/>
    <col min="6" max="7" width="12" customWidth="1"/>
    <col min="8" max="8" width="2" customWidth="1"/>
    <col min="9" max="9" width="12" customWidth="1"/>
    <col min="10" max="10" width="2" customWidth="1"/>
    <col min="11" max="13" width="12" customWidth="1"/>
    <col min="14" max="14" width="24.1640625" customWidth="1"/>
    <col min="15" max="15" width="0" hidden="1" customWidth="1"/>
    <col min="16" max="18" width="12" customWidth="1"/>
    <col min="19" max="19" width="2.33203125" customWidth="1"/>
    <col min="20" max="20" width="22.6640625" customWidth="1"/>
    <col min="21" max="22" width="12.83203125" customWidth="1"/>
    <col min="23" max="23" width="2.83203125" customWidth="1"/>
    <col min="24" max="24" width="14" customWidth="1"/>
    <col min="25" max="27" width="11.83203125" customWidth="1"/>
    <col min="28" max="28" width="2" customWidth="1"/>
    <col min="29" max="29" width="1" customWidth="1"/>
    <col min="30" max="30" width="29.5" customWidth="1"/>
    <col min="31" max="33" width="25.83203125" customWidth="1"/>
    <col min="34" max="34" width="12" customWidth="1"/>
    <col min="35" max="35" width="2.1640625" customWidth="1"/>
    <col min="36" max="36" width="17.83203125" customWidth="1"/>
    <col min="37" max="38" width="10.83203125" customWidth="1"/>
    <col min="39" max="39" width="2.83203125" customWidth="1"/>
    <col min="40" max="41" width="10.83203125" customWidth="1"/>
    <col min="42" max="49" width="12" customWidth="1"/>
    <col min="50" max="50" width="5.33203125" customWidth="1"/>
    <col min="51" max="51" width="18.5" customWidth="1"/>
  </cols>
  <sheetData>
    <row r="1" spans="1:33" ht="13.5" customHeight="1" x14ac:dyDescent="0.2">
      <c r="A1" s="344" t="s">
        <v>1490</v>
      </c>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345"/>
      <c r="AG1" s="345"/>
    </row>
    <row r="2" spans="1:33" ht="13.5" customHeight="1" x14ac:dyDescent="0.2">
      <c r="A2" s="344" t="s">
        <v>1639</v>
      </c>
      <c r="B2" s="345"/>
      <c r="C2" s="619"/>
      <c r="D2" s="345"/>
      <c r="E2" s="345"/>
      <c r="F2" s="345"/>
      <c r="G2" s="345"/>
      <c r="H2" s="345"/>
      <c r="I2" s="619"/>
      <c r="J2" s="345"/>
      <c r="K2" s="345"/>
      <c r="L2" s="345"/>
      <c r="M2" s="345"/>
      <c r="N2" s="346"/>
      <c r="O2" s="346"/>
      <c r="P2" s="346"/>
      <c r="Q2" s="346"/>
      <c r="R2" s="346"/>
      <c r="S2" s="346"/>
      <c r="T2" s="345"/>
      <c r="U2" s="345"/>
      <c r="V2" s="345"/>
      <c r="W2" s="345"/>
      <c r="X2" s="345"/>
      <c r="Y2" s="345"/>
      <c r="Z2" s="345"/>
      <c r="AA2" s="345"/>
      <c r="AB2" s="345"/>
      <c r="AC2" s="345"/>
      <c r="AD2" s="345"/>
      <c r="AE2" s="345"/>
      <c r="AF2" s="345"/>
      <c r="AG2" s="345"/>
    </row>
    <row r="3" spans="1:33" ht="13.5" customHeight="1" x14ac:dyDescent="0.2">
      <c r="A3" s="345"/>
      <c r="B3" s="345"/>
      <c r="C3" s="345"/>
      <c r="D3" s="345"/>
      <c r="E3" s="345"/>
      <c r="F3" s="345"/>
      <c r="G3" s="345"/>
      <c r="H3" s="345"/>
      <c r="I3" s="345"/>
      <c r="J3" s="345"/>
      <c r="K3" s="345"/>
      <c r="L3" s="345"/>
      <c r="M3" s="345"/>
      <c r="N3" s="346"/>
      <c r="O3" s="346"/>
      <c r="P3" s="346"/>
      <c r="Q3" s="346"/>
      <c r="R3" s="346"/>
      <c r="S3" s="346"/>
      <c r="T3" s="345"/>
      <c r="U3" s="345"/>
      <c r="V3" s="345"/>
      <c r="W3" s="345"/>
      <c r="X3" s="345"/>
      <c r="Y3" s="345"/>
      <c r="Z3" s="345"/>
      <c r="AA3" s="345"/>
      <c r="AB3" s="345"/>
      <c r="AC3" s="345"/>
      <c r="AD3" s="345"/>
      <c r="AE3" s="345"/>
      <c r="AF3" s="345"/>
      <c r="AG3" s="345"/>
    </row>
    <row r="4" spans="1:33" ht="13.5" customHeight="1" thickBot="1" x14ac:dyDescent="0.25">
      <c r="A4" s="475" t="s">
        <v>240</v>
      </c>
      <c r="B4" s="345"/>
      <c r="C4" s="345"/>
      <c r="D4" s="345"/>
      <c r="E4" s="345"/>
      <c r="F4" s="345"/>
      <c r="G4" s="345"/>
      <c r="H4" s="345"/>
      <c r="I4" s="345"/>
      <c r="J4" s="345"/>
      <c r="K4" s="345"/>
      <c r="L4" s="345"/>
      <c r="M4" s="345"/>
      <c r="N4" s="346"/>
      <c r="O4" s="346"/>
      <c r="P4" s="346"/>
      <c r="Q4" s="346"/>
      <c r="R4" s="346"/>
      <c r="S4" s="346"/>
      <c r="T4" s="345"/>
      <c r="U4" s="345"/>
      <c r="V4" s="345"/>
      <c r="W4" s="345"/>
      <c r="X4" s="345"/>
      <c r="Y4" s="345"/>
      <c r="Z4" s="345"/>
      <c r="AA4" s="345"/>
      <c r="AB4" s="345"/>
      <c r="AC4" s="345"/>
      <c r="AD4" s="345"/>
      <c r="AE4" s="345"/>
      <c r="AF4" s="345"/>
      <c r="AG4" s="345"/>
    </row>
    <row r="5" spans="1:33" ht="13.5" customHeight="1" x14ac:dyDescent="0.2">
      <c r="A5" s="513"/>
      <c r="B5" s="514"/>
      <c r="C5" s="3948" t="s">
        <v>1149</v>
      </c>
      <c r="D5" s="3948"/>
      <c r="E5" s="3948"/>
      <c r="F5" s="3948"/>
      <c r="G5" s="3948"/>
      <c r="H5" s="514"/>
      <c r="I5" s="3948" t="s">
        <v>1755</v>
      </c>
      <c r="J5" s="3948"/>
      <c r="K5" s="3948"/>
      <c r="L5" s="3948"/>
      <c r="M5" s="345"/>
      <c r="N5" s="415"/>
      <c r="O5" s="346"/>
      <c r="P5" s="346"/>
      <c r="Q5" s="346"/>
      <c r="R5" s="346"/>
      <c r="S5" s="346"/>
      <c r="T5" s="345"/>
      <c r="U5" s="345"/>
      <c r="V5" s="345"/>
      <c r="W5" s="345"/>
      <c r="X5" s="345"/>
      <c r="Y5" s="345"/>
      <c r="Z5" s="345"/>
      <c r="AA5" s="345"/>
      <c r="AB5" s="345"/>
      <c r="AC5" s="345"/>
      <c r="AD5" s="345"/>
      <c r="AE5" s="345"/>
      <c r="AF5" s="345"/>
      <c r="AG5" s="345"/>
    </row>
    <row r="6" spans="1:33" ht="13.5" customHeight="1" x14ac:dyDescent="0.2">
      <c r="A6" s="515"/>
      <c r="B6" s="511"/>
      <c r="C6" s="511"/>
      <c r="D6" s="511"/>
      <c r="E6" s="511"/>
      <c r="F6" s="512" t="s">
        <v>241</v>
      </c>
      <c r="G6" s="512"/>
      <c r="H6" s="511"/>
      <c r="I6" s="511"/>
      <c r="J6" s="511"/>
      <c r="K6" s="512" t="s">
        <v>241</v>
      </c>
      <c r="L6" s="516"/>
      <c r="M6" s="345"/>
      <c r="N6" s="346"/>
      <c r="O6" s="346"/>
      <c r="P6" s="346"/>
      <c r="Q6" s="346"/>
      <c r="R6" s="346"/>
      <c r="S6" s="346"/>
      <c r="T6" s="345"/>
      <c r="U6" s="345"/>
      <c r="V6" s="345"/>
      <c r="W6" s="345"/>
      <c r="X6" s="345"/>
      <c r="Y6" s="345"/>
      <c r="Z6" s="345"/>
      <c r="AA6" s="345"/>
      <c r="AB6" s="345"/>
      <c r="AC6" s="345"/>
      <c r="AD6" s="345"/>
      <c r="AE6" s="345"/>
      <c r="AF6" s="345"/>
      <c r="AG6" s="345"/>
    </row>
    <row r="7" spans="1:33" ht="13.5" customHeight="1" thickBot="1" x14ac:dyDescent="0.25">
      <c r="A7" s="517"/>
      <c r="B7" s="518"/>
      <c r="C7" s="521" t="s">
        <v>1543</v>
      </c>
      <c r="D7" s="519" t="s">
        <v>850</v>
      </c>
      <c r="E7" s="519"/>
      <c r="F7" s="519" t="s">
        <v>1756</v>
      </c>
      <c r="G7" s="519" t="s">
        <v>575</v>
      </c>
      <c r="H7" s="518"/>
      <c r="I7" s="521" t="s">
        <v>855</v>
      </c>
      <c r="J7" s="519"/>
      <c r="K7" s="519" t="s">
        <v>1756</v>
      </c>
      <c r="L7" s="520" t="s">
        <v>575</v>
      </c>
      <c r="M7" s="347"/>
      <c r="N7" s="362"/>
      <c r="O7" s="346"/>
      <c r="P7" s="347"/>
      <c r="Q7" s="347"/>
      <c r="R7" s="346"/>
      <c r="S7" s="346"/>
      <c r="T7" s="345"/>
      <c r="U7" s="345"/>
      <c r="V7" s="345"/>
      <c r="W7" s="345"/>
      <c r="X7" s="345"/>
      <c r="Y7" s="345"/>
      <c r="Z7" s="345"/>
      <c r="AA7" s="345"/>
      <c r="AB7" s="345"/>
      <c r="AC7" s="345"/>
      <c r="AD7" s="345"/>
      <c r="AE7" s="345"/>
      <c r="AF7" s="345"/>
      <c r="AG7" s="345"/>
    </row>
    <row r="8" spans="1:33" ht="13.5" customHeight="1" x14ac:dyDescent="0.2">
      <c r="A8" s="502" t="s">
        <v>125</v>
      </c>
      <c r="B8" s="346"/>
      <c r="C8" s="348"/>
      <c r="D8" s="346"/>
      <c r="E8" s="346"/>
      <c r="F8" s="346"/>
      <c r="G8" s="346"/>
      <c r="H8" s="346"/>
      <c r="I8" s="348"/>
      <c r="J8" s="346"/>
      <c r="K8" s="346"/>
      <c r="L8" s="503"/>
      <c r="M8" s="345"/>
      <c r="N8" s="415"/>
      <c r="O8" s="346"/>
      <c r="P8" s="346"/>
      <c r="Q8" s="346"/>
      <c r="R8" s="346"/>
      <c r="S8" s="346"/>
      <c r="T8" s="345"/>
      <c r="U8" s="345"/>
      <c r="V8" s="345"/>
      <c r="W8" s="345"/>
      <c r="X8" s="345"/>
      <c r="Y8" s="345"/>
      <c r="Z8" s="345"/>
      <c r="AA8" s="345"/>
      <c r="AB8" s="345"/>
      <c r="AC8" s="345"/>
      <c r="AD8" s="345"/>
      <c r="AE8" s="345"/>
      <c r="AF8" s="345"/>
      <c r="AG8" s="345"/>
    </row>
    <row r="9" spans="1:33" ht="13.5" customHeight="1" x14ac:dyDescent="0.2">
      <c r="A9" s="504" t="s">
        <v>165</v>
      </c>
      <c r="B9" s="346"/>
      <c r="C9" s="510">
        <f>136+124+29</f>
        <v>289</v>
      </c>
      <c r="D9" s="352">
        <f>MAR!BH10</f>
        <v>288</v>
      </c>
      <c r="E9" s="352"/>
      <c r="F9" s="352">
        <f>C9-D9</f>
        <v>1</v>
      </c>
      <c r="G9" s="354">
        <f>IF(D9=0,0,C9/D9-1)</f>
        <v>3.4722222222223209E-3</v>
      </c>
      <c r="H9" s="346"/>
      <c r="I9" s="351">
        <v>278.62859892134867</v>
      </c>
      <c r="J9" s="346"/>
      <c r="K9" s="532">
        <f>C9-I9</f>
        <v>10.371401078651331</v>
      </c>
      <c r="L9" s="505">
        <f>IF(I9=0,"NM",C9/I9-1)</f>
        <v>3.7223031371517612E-2</v>
      </c>
      <c r="M9" s="345"/>
      <c r="N9" s="415"/>
      <c r="O9" s="346"/>
      <c r="P9" s="346"/>
      <c r="Q9" s="346"/>
      <c r="R9" s="346"/>
      <c r="S9" s="346"/>
      <c r="T9" s="345"/>
      <c r="U9" s="345"/>
      <c r="V9" s="345"/>
      <c r="W9" s="345"/>
      <c r="X9" s="345"/>
      <c r="Y9" s="345"/>
      <c r="Z9" s="345"/>
      <c r="AA9" s="345"/>
      <c r="AB9" s="345"/>
      <c r="AC9" s="345"/>
      <c r="AD9" s="345"/>
      <c r="AE9" s="345"/>
      <c r="AF9" s="345"/>
      <c r="AG9" s="345"/>
    </row>
    <row r="10" spans="1:33" ht="13.5" customHeight="1" x14ac:dyDescent="0.2">
      <c r="A10" s="504" t="s">
        <v>1396</v>
      </c>
      <c r="B10" s="346"/>
      <c r="C10" s="510">
        <v>254</v>
      </c>
      <c r="D10" s="352">
        <f>MAR!BH11</f>
        <v>255</v>
      </c>
      <c r="E10" s="353"/>
      <c r="F10" s="352">
        <f>C10-D10</f>
        <v>-1</v>
      </c>
      <c r="G10" s="354">
        <f>IF(D10=0,0,C10/D10-1)</f>
        <v>-3.9215686274509665E-3</v>
      </c>
      <c r="H10" s="349"/>
      <c r="I10" s="351">
        <v>236.30086548864043</v>
      </c>
      <c r="J10" s="350"/>
      <c r="K10" s="532">
        <f>C10-I10</f>
        <v>17.699134511359574</v>
      </c>
      <c r="L10" s="505">
        <f>IF(I10=0,"NM",C10/I10-1)</f>
        <v>7.4900845050905662E-2</v>
      </c>
      <c r="M10" s="345"/>
      <c r="N10" s="362"/>
      <c r="O10" s="346"/>
      <c r="P10" s="346"/>
      <c r="Q10" s="346"/>
      <c r="R10" s="346"/>
      <c r="S10" s="346"/>
      <c r="T10" s="345"/>
      <c r="U10" s="345"/>
      <c r="V10" s="345"/>
      <c r="W10" s="345"/>
      <c r="X10" s="345"/>
      <c r="Y10" s="345"/>
      <c r="Z10" s="345"/>
      <c r="AA10" s="345"/>
      <c r="AB10" s="345"/>
      <c r="AC10" s="345"/>
      <c r="AD10" s="345"/>
      <c r="AE10" s="345"/>
      <c r="AF10" s="345"/>
      <c r="AG10" s="345"/>
    </row>
    <row r="11" spans="1:33" ht="13.5" customHeight="1" x14ac:dyDescent="0.2">
      <c r="A11" s="504" t="s">
        <v>576</v>
      </c>
      <c r="B11" s="346"/>
      <c r="C11" s="510">
        <v>286</v>
      </c>
      <c r="D11" s="352">
        <f>MAR!BH13</f>
        <v>0</v>
      </c>
      <c r="E11" s="353"/>
      <c r="F11" s="352">
        <f>C11-D11</f>
        <v>286</v>
      </c>
      <c r="G11" s="354">
        <f>IF(D11=0,0,C11/D11-1)</f>
        <v>0</v>
      </c>
      <c r="H11" s="346"/>
      <c r="I11" s="351">
        <v>318.25440000000003</v>
      </c>
      <c r="J11" s="353"/>
      <c r="K11" s="532">
        <f>C11-I11</f>
        <v>-32.254400000000032</v>
      </c>
      <c r="L11" s="505">
        <f>IF(I11=0,"NM",C11/I11-1)</f>
        <v>-0.10134785253558165</v>
      </c>
      <c r="M11" s="346"/>
      <c r="N11" s="346"/>
      <c r="O11" s="346"/>
      <c r="P11" s="346"/>
      <c r="Q11" s="346"/>
      <c r="R11" s="346"/>
      <c r="S11" s="346"/>
      <c r="T11" s="345"/>
      <c r="U11" s="345"/>
      <c r="V11" s="345"/>
      <c r="W11" s="345"/>
      <c r="X11" s="345"/>
      <c r="Y11" s="345"/>
      <c r="Z11" s="345"/>
      <c r="AA11" s="345"/>
      <c r="AB11" s="345"/>
      <c r="AC11" s="345"/>
      <c r="AD11" s="345"/>
      <c r="AE11" s="345"/>
      <c r="AF11" s="345"/>
      <c r="AG11" s="345"/>
    </row>
    <row r="12" spans="1:33" ht="13.5" customHeight="1" x14ac:dyDescent="0.2">
      <c r="A12" s="355" t="s">
        <v>1614</v>
      </c>
      <c r="B12" s="356"/>
      <c r="C12" s="614">
        <f>SUM(C9:C11)</f>
        <v>829</v>
      </c>
      <c r="D12" s="489">
        <f>SUM(D9:D11)</f>
        <v>543</v>
      </c>
      <c r="E12" s="489"/>
      <c r="F12" s="489">
        <f>SUM(F10:F11)</f>
        <v>285</v>
      </c>
      <c r="G12" s="358">
        <f>IF(D12=0,0,C12/D12-1)</f>
        <v>0.52670349907918967</v>
      </c>
      <c r="H12" s="359"/>
      <c r="I12" s="614">
        <f>SUM(I9:I11)</f>
        <v>833.18386440998916</v>
      </c>
      <c r="J12" s="357"/>
      <c r="K12" s="488">
        <f>SUM(K9:K11)</f>
        <v>-4.1838644099891269</v>
      </c>
      <c r="L12" s="360">
        <f>C12/I12-1</f>
        <v>-5.02153796863547E-3</v>
      </c>
      <c r="M12" s="346"/>
      <c r="N12" s="346"/>
      <c r="O12" s="346"/>
      <c r="P12" s="416"/>
      <c r="Q12" s="416"/>
      <c r="R12" s="346"/>
      <c r="S12" s="346"/>
      <c r="T12" s="345"/>
      <c r="U12" s="345"/>
      <c r="V12" s="345"/>
      <c r="W12" s="345"/>
      <c r="X12" s="345"/>
      <c r="Y12" s="345"/>
      <c r="Z12" s="345"/>
      <c r="AA12" s="345"/>
      <c r="AB12" s="345"/>
      <c r="AC12" s="345"/>
      <c r="AD12" s="345"/>
      <c r="AE12" s="345"/>
      <c r="AF12" s="345"/>
      <c r="AG12" s="345"/>
    </row>
    <row r="13" spans="1:33" ht="13.5" customHeight="1" x14ac:dyDescent="0.2">
      <c r="A13" s="501"/>
      <c r="B13" s="346"/>
      <c r="C13" s="351"/>
      <c r="D13" s="352"/>
      <c r="E13" s="352"/>
      <c r="F13" s="352"/>
      <c r="G13" s="361"/>
      <c r="H13" s="346"/>
      <c r="I13" s="351"/>
      <c r="J13" s="346"/>
      <c r="K13" s="532"/>
      <c r="L13" s="506"/>
      <c r="M13" s="346"/>
      <c r="N13" s="346"/>
      <c r="O13" s="346"/>
      <c r="P13" s="352"/>
      <c r="Q13" s="352"/>
      <c r="R13" s="346"/>
      <c r="S13" s="346"/>
      <c r="T13" s="345"/>
      <c r="U13" s="345"/>
      <c r="V13" s="345"/>
      <c r="W13" s="345"/>
      <c r="X13" s="345"/>
      <c r="Y13" s="345"/>
      <c r="Z13" s="345"/>
      <c r="AA13" s="345"/>
      <c r="AB13" s="345"/>
      <c r="AC13" s="345"/>
      <c r="AD13" s="345"/>
      <c r="AE13" s="345"/>
      <c r="AF13" s="345"/>
      <c r="AG13" s="345"/>
    </row>
    <row r="14" spans="1:33" ht="13.5" customHeight="1" x14ac:dyDescent="0.2">
      <c r="A14" s="502" t="s">
        <v>1913</v>
      </c>
      <c r="B14" s="346"/>
      <c r="C14" s="351"/>
      <c r="D14" s="352"/>
      <c r="E14" s="352"/>
      <c r="F14" s="352"/>
      <c r="G14" s="361"/>
      <c r="H14" s="346"/>
      <c r="I14" s="525"/>
      <c r="J14" s="346"/>
      <c r="K14" s="532"/>
      <c r="L14" s="506"/>
      <c r="M14" s="346"/>
      <c r="N14" s="346"/>
      <c r="O14" s="346"/>
      <c r="P14" s="346"/>
      <c r="Q14" s="346"/>
      <c r="R14" s="346"/>
      <c r="S14" s="346"/>
      <c r="T14" s="345"/>
      <c r="U14" s="345"/>
      <c r="V14" s="345"/>
      <c r="W14" s="345"/>
      <c r="X14" s="345"/>
      <c r="Y14" s="345"/>
      <c r="Z14" s="345"/>
      <c r="AA14" s="345"/>
      <c r="AB14" s="345"/>
      <c r="AC14" s="345"/>
      <c r="AD14" s="345"/>
      <c r="AE14" s="345"/>
      <c r="AF14" s="345"/>
      <c r="AG14" s="345"/>
    </row>
    <row r="15" spans="1:33" ht="13.5" customHeight="1" x14ac:dyDescent="0.2">
      <c r="A15" s="507" t="s">
        <v>1368</v>
      </c>
      <c r="B15" s="346"/>
      <c r="C15" s="510">
        <v>219</v>
      </c>
      <c r="D15" s="352">
        <f>MAR!BH26</f>
        <v>224</v>
      </c>
      <c r="E15" s="352"/>
      <c r="F15" s="352">
        <f>C15-D15</f>
        <v>-5</v>
      </c>
      <c r="G15" s="354">
        <f>IF(D15=0,0,C15/D15-1)</f>
        <v>-2.2321428571428603E-2</v>
      </c>
      <c r="H15" s="346"/>
      <c r="I15" s="351">
        <v>214.77512802019473</v>
      </c>
      <c r="J15" s="346"/>
      <c r="K15" s="532">
        <f>C15-I15</f>
        <v>4.2248719798052718</v>
      </c>
      <c r="L15" s="505">
        <f>IF(I15=0,"NM",C15/I15-1)</f>
        <v>1.9671141713429874E-2</v>
      </c>
      <c r="M15" s="346"/>
      <c r="N15" s="346"/>
      <c r="O15" s="346"/>
      <c r="P15" s="346"/>
      <c r="Q15" s="346"/>
      <c r="R15" s="346"/>
      <c r="S15" s="346"/>
      <c r="T15" s="345"/>
      <c r="U15" s="345"/>
      <c r="V15" s="345"/>
      <c r="W15" s="345"/>
      <c r="X15" s="345"/>
      <c r="Y15" s="345"/>
      <c r="Z15" s="345"/>
      <c r="AA15" s="345"/>
      <c r="AB15" s="345"/>
      <c r="AC15" s="345"/>
      <c r="AD15" s="345"/>
      <c r="AE15" s="345"/>
      <c r="AF15" s="345"/>
      <c r="AG15" s="345"/>
    </row>
    <row r="16" spans="1:33" ht="13.5" customHeight="1" x14ac:dyDescent="0.2">
      <c r="A16" s="507" t="s">
        <v>1369</v>
      </c>
      <c r="B16" s="346"/>
      <c r="C16" s="510">
        <v>250</v>
      </c>
      <c r="D16" s="352">
        <f>MAR!BH27</f>
        <v>0</v>
      </c>
      <c r="E16" s="352"/>
      <c r="F16" s="352">
        <f>C16-D16</f>
        <v>250</v>
      </c>
      <c r="G16" s="354">
        <f>IF(D16=0,0,C16/D16-1)</f>
        <v>0</v>
      </c>
      <c r="H16" s="346"/>
      <c r="I16" s="351">
        <v>272.99263999999999</v>
      </c>
      <c r="J16" s="346"/>
      <c r="K16" s="532">
        <f>C16-I16</f>
        <v>-22.992639999999994</v>
      </c>
      <c r="L16" s="505">
        <f>IF(I16=0,"NM",C16/I16-1)</f>
        <v>-8.4224395207138203E-2</v>
      </c>
      <c r="M16" s="346"/>
      <c r="N16" s="346"/>
      <c r="O16" s="346"/>
      <c r="P16" s="346"/>
      <c r="Q16" s="346"/>
      <c r="R16" s="346"/>
      <c r="S16" s="346"/>
      <c r="T16" s="345"/>
      <c r="U16" s="345"/>
      <c r="V16" s="345"/>
      <c r="W16" s="345"/>
      <c r="X16" s="345"/>
      <c r="Y16" s="345"/>
      <c r="Z16" s="345"/>
      <c r="AA16" s="345"/>
      <c r="AB16" s="345"/>
      <c r="AC16" s="345"/>
      <c r="AD16" s="345"/>
      <c r="AE16" s="345"/>
      <c r="AF16" s="345"/>
      <c r="AG16" s="345"/>
    </row>
    <row r="17" spans="1:33" ht="13.5" customHeight="1" x14ac:dyDescent="0.2">
      <c r="A17" s="507" t="s">
        <v>786</v>
      </c>
      <c r="B17" s="346"/>
      <c r="C17" s="510">
        <v>170</v>
      </c>
      <c r="D17" s="352"/>
      <c r="E17" s="352"/>
      <c r="F17" s="352"/>
      <c r="G17" s="354"/>
      <c r="H17" s="346"/>
      <c r="I17" s="351">
        <v>159.80536181662924</v>
      </c>
      <c r="J17" s="346"/>
      <c r="K17" s="532">
        <f>C17-I17</f>
        <v>10.194638183370756</v>
      </c>
      <c r="L17" s="505">
        <f>IF(I17=0,"NM",C17/I17-1)</f>
        <v>6.3794093436418731E-2</v>
      </c>
      <c r="M17" s="346"/>
      <c r="N17" s="346"/>
      <c r="O17" s="346"/>
      <c r="P17" s="346"/>
      <c r="Q17" s="346"/>
      <c r="R17" s="346"/>
      <c r="S17" s="346"/>
      <c r="T17" s="345"/>
      <c r="U17" s="345"/>
      <c r="V17" s="345"/>
      <c r="W17" s="345"/>
      <c r="X17" s="345"/>
      <c r="Y17" s="345"/>
      <c r="Z17" s="345"/>
      <c r="AA17" s="345"/>
      <c r="AB17" s="345"/>
      <c r="AC17" s="345"/>
      <c r="AD17" s="345"/>
      <c r="AE17" s="345"/>
      <c r="AF17" s="345"/>
      <c r="AG17" s="345"/>
    </row>
    <row r="18" spans="1:33" ht="13.5" customHeight="1" x14ac:dyDescent="0.2">
      <c r="A18" s="507" t="s">
        <v>192</v>
      </c>
      <c r="B18" s="346"/>
      <c r="C18" s="351">
        <f>-C23</f>
        <v>-40</v>
      </c>
      <c r="D18" s="352"/>
      <c r="E18" s="352"/>
      <c r="F18" s="352"/>
      <c r="G18" s="354"/>
      <c r="H18" s="346"/>
      <c r="I18" s="351">
        <v>-41</v>
      </c>
      <c r="J18" s="346"/>
      <c r="K18" s="532">
        <f>C18-I18</f>
        <v>1</v>
      </c>
      <c r="L18" s="505">
        <f>IF(I18=0,"NM",C18/I18-1)</f>
        <v>-2.4390243902439046E-2</v>
      </c>
      <c r="M18" s="346"/>
      <c r="N18" s="346"/>
      <c r="O18" s="346"/>
      <c r="P18" s="346"/>
      <c r="Q18" s="346"/>
      <c r="R18" s="346"/>
      <c r="S18" s="346"/>
      <c r="T18" s="345"/>
      <c r="U18" s="345"/>
      <c r="V18" s="345"/>
      <c r="W18" s="345"/>
      <c r="X18" s="345"/>
      <c r="Y18" s="345"/>
      <c r="Z18" s="345"/>
      <c r="AA18" s="345"/>
      <c r="AB18" s="345"/>
      <c r="AC18" s="345"/>
      <c r="AD18" s="345"/>
      <c r="AE18" s="345"/>
      <c r="AF18" s="345"/>
      <c r="AG18" s="345"/>
    </row>
    <row r="19" spans="1:33" ht="13.5" customHeight="1" x14ac:dyDescent="0.2">
      <c r="A19" s="355" t="s">
        <v>1913</v>
      </c>
      <c r="B19" s="356"/>
      <c r="C19" s="614">
        <f>SUM(C15:C18)</f>
        <v>599</v>
      </c>
      <c r="D19" s="489">
        <f>SUM(D15:D18)</f>
        <v>224</v>
      </c>
      <c r="E19" s="488"/>
      <c r="F19" s="357">
        <f>C19-D19</f>
        <v>375</v>
      </c>
      <c r="G19" s="358">
        <f>IF(D19=0,0,C19/D19-1)</f>
        <v>1.6741071428571428</v>
      </c>
      <c r="H19" s="359"/>
      <c r="I19" s="614">
        <f>SUM(I15:I18)</f>
        <v>606.57312983682391</v>
      </c>
      <c r="J19" s="357"/>
      <c r="K19" s="488">
        <f>SUM(K15:K18)</f>
        <v>-7.5731298368239663</v>
      </c>
      <c r="L19" s="360">
        <f>C19/I19-1</f>
        <v>-1.2485106023178427E-2</v>
      </c>
      <c r="M19" s="346"/>
      <c r="N19" s="346"/>
      <c r="O19" s="346"/>
      <c r="P19" s="346"/>
      <c r="Q19" s="346"/>
      <c r="R19" s="346"/>
      <c r="S19" s="346"/>
      <c r="T19" s="345"/>
      <c r="U19" s="345"/>
      <c r="V19" s="345"/>
      <c r="W19" s="345"/>
      <c r="X19" s="345"/>
      <c r="Y19" s="345"/>
      <c r="Z19" s="345"/>
      <c r="AA19" s="345"/>
      <c r="AB19" s="345"/>
      <c r="AC19" s="345"/>
      <c r="AD19" s="345"/>
      <c r="AE19" s="345"/>
      <c r="AF19" s="345"/>
      <c r="AG19" s="345"/>
    </row>
    <row r="20" spans="1:33" ht="13.5" customHeight="1" x14ac:dyDescent="0.2">
      <c r="A20" s="507"/>
      <c r="B20" s="346"/>
      <c r="C20" s="351"/>
      <c r="D20" s="352"/>
      <c r="E20" s="346"/>
      <c r="F20" s="346"/>
      <c r="G20" s="361"/>
      <c r="H20" s="346"/>
      <c r="I20" s="351"/>
      <c r="J20" s="346"/>
      <c r="K20" s="532"/>
      <c r="L20" s="506"/>
      <c r="M20" s="346"/>
      <c r="N20" s="346"/>
      <c r="O20" s="346"/>
      <c r="P20" s="346"/>
      <c r="Q20" s="346"/>
      <c r="R20" s="346"/>
      <c r="S20" s="346"/>
      <c r="T20" s="345"/>
      <c r="U20" s="345"/>
      <c r="V20" s="345"/>
      <c r="W20" s="345"/>
      <c r="X20" s="345"/>
      <c r="Y20" s="345"/>
      <c r="Z20" s="345"/>
      <c r="AA20" s="345"/>
      <c r="AB20" s="345"/>
      <c r="AC20" s="345"/>
      <c r="AD20" s="345"/>
      <c r="AE20" s="345"/>
      <c r="AF20" s="345"/>
      <c r="AG20" s="345"/>
    </row>
    <row r="21" spans="1:33" ht="13.5" customHeight="1" x14ac:dyDescent="0.2">
      <c r="A21" s="508" t="s">
        <v>1863</v>
      </c>
      <c r="B21" s="362"/>
      <c r="C21" s="617">
        <f>C12-C19</f>
        <v>230</v>
      </c>
      <c r="D21" s="485"/>
      <c r="E21" s="362"/>
      <c r="F21" s="485"/>
      <c r="G21" s="482"/>
      <c r="H21" s="362"/>
      <c r="I21" s="615">
        <f>I12-I19</f>
        <v>226.61073457316525</v>
      </c>
      <c r="J21" s="362"/>
      <c r="K21" s="364">
        <f>C21-I21</f>
        <v>3.3892654268347542</v>
      </c>
      <c r="L21" s="509">
        <f>IF(I21=0,"NM",C21/I21-1)</f>
        <v>1.4956332202084921E-2</v>
      </c>
      <c r="M21" s="362"/>
      <c r="N21" s="362"/>
      <c r="O21" s="362"/>
      <c r="P21" s="362"/>
      <c r="Q21" s="362"/>
      <c r="R21" s="362"/>
      <c r="S21" s="362"/>
      <c r="T21" s="344"/>
      <c r="U21" s="344"/>
      <c r="V21" s="344"/>
      <c r="W21" s="344"/>
      <c r="X21" s="344"/>
      <c r="Y21" s="344"/>
      <c r="Z21" s="344"/>
      <c r="AA21" s="344"/>
      <c r="AB21" s="344"/>
      <c r="AC21" s="344"/>
      <c r="AD21" s="344"/>
      <c r="AE21" s="344"/>
      <c r="AF21" s="344"/>
      <c r="AG21" s="344"/>
    </row>
    <row r="22" spans="1:33" ht="13.5" customHeight="1" x14ac:dyDescent="0.2">
      <c r="A22" s="507"/>
      <c r="B22" s="346"/>
      <c r="C22" s="351"/>
      <c r="D22" s="352"/>
      <c r="E22" s="346"/>
      <c r="F22" s="352"/>
      <c r="G22" s="361"/>
      <c r="H22" s="346"/>
      <c r="I22" s="351"/>
      <c r="J22" s="346"/>
      <c r="K22" s="532"/>
      <c r="L22" s="506"/>
      <c r="M22" s="346"/>
      <c r="N22" s="346"/>
      <c r="O22" s="346"/>
      <c r="P22" s="346"/>
      <c r="Q22" s="346"/>
      <c r="R22" s="346"/>
      <c r="S22" s="346"/>
      <c r="T22" s="345"/>
      <c r="U22" s="345"/>
      <c r="V22" s="345"/>
      <c r="W22" s="345"/>
      <c r="X22" s="345"/>
      <c r="Y22" s="345"/>
      <c r="Z22" s="345"/>
      <c r="AA22" s="345"/>
      <c r="AB22" s="345"/>
      <c r="AC22" s="345"/>
      <c r="AD22" s="345"/>
      <c r="AE22" s="345"/>
      <c r="AF22" s="345"/>
      <c r="AG22" s="345"/>
    </row>
    <row r="23" spans="1:33" ht="13.5" customHeight="1" x14ac:dyDescent="0.2">
      <c r="A23" s="507" t="s">
        <v>1342</v>
      </c>
      <c r="B23" s="346"/>
      <c r="C23" s="510">
        <v>40</v>
      </c>
      <c r="D23" s="352"/>
      <c r="E23" s="346"/>
      <c r="F23" s="352"/>
      <c r="G23" s="354"/>
      <c r="H23" s="346"/>
      <c r="I23" s="351">
        <f>I18*-1</f>
        <v>41</v>
      </c>
      <c r="J23" s="346"/>
      <c r="K23" s="532">
        <f>C23-I23</f>
        <v>-1</v>
      </c>
      <c r="L23" s="505">
        <f>IF(I23=0,"NM",C23/I23-1)</f>
        <v>-2.4390243902439046E-2</v>
      </c>
      <c r="M23" s="346"/>
      <c r="N23" s="346"/>
      <c r="O23" s="346"/>
      <c r="P23" s="346"/>
      <c r="Q23" s="346"/>
      <c r="R23" s="346"/>
      <c r="S23" s="346"/>
      <c r="T23" s="345"/>
      <c r="U23" s="345"/>
      <c r="V23" s="345"/>
      <c r="W23" s="345"/>
      <c r="X23" s="345"/>
      <c r="Y23" s="345"/>
      <c r="Z23" s="345"/>
      <c r="AA23" s="345"/>
      <c r="AB23" s="345"/>
      <c r="AC23" s="345"/>
      <c r="AD23" s="345"/>
      <c r="AE23" s="345"/>
      <c r="AF23" s="345"/>
      <c r="AG23" s="345"/>
    </row>
    <row r="24" spans="1:33" ht="13.5" customHeight="1" x14ac:dyDescent="0.2">
      <c r="A24" s="508" t="s">
        <v>1343</v>
      </c>
      <c r="B24" s="362"/>
      <c r="C24" s="615">
        <f>C21-C23</f>
        <v>190</v>
      </c>
      <c r="D24" s="618"/>
      <c r="E24" s="362"/>
      <c r="F24" s="485"/>
      <c r="G24" s="482"/>
      <c r="H24" s="362"/>
      <c r="I24" s="615">
        <f>I21-I23</f>
        <v>185.61073457316525</v>
      </c>
      <c r="J24" s="362"/>
      <c r="K24" s="364">
        <f>C24-I24</f>
        <v>4.3892654268347542</v>
      </c>
      <c r="L24" s="509">
        <f>IF(I24=0,"NM",C24/I24-1)</f>
        <v>2.3647691696972117E-2</v>
      </c>
      <c r="M24" s="362"/>
      <c r="N24" s="362"/>
      <c r="O24" s="362"/>
      <c r="P24" s="362"/>
      <c r="Q24" s="362"/>
      <c r="R24" s="362"/>
      <c r="S24" s="362"/>
      <c r="T24" s="344"/>
      <c r="U24" s="344"/>
      <c r="V24" s="344"/>
      <c r="W24" s="344"/>
      <c r="X24" s="344"/>
      <c r="Y24" s="344"/>
      <c r="Z24" s="344"/>
      <c r="AA24" s="344"/>
      <c r="AB24" s="344"/>
      <c r="AC24" s="344"/>
      <c r="AD24" s="344"/>
      <c r="AE24" s="344"/>
      <c r="AF24" s="344"/>
      <c r="AG24" s="344"/>
    </row>
    <row r="25" spans="1:33" ht="13.5" customHeight="1" x14ac:dyDescent="0.2">
      <c r="A25" s="508"/>
      <c r="B25" s="346"/>
      <c r="C25" s="615"/>
      <c r="D25" s="618"/>
      <c r="E25" s="346"/>
      <c r="F25" s="352"/>
      <c r="G25" s="361"/>
      <c r="H25" s="346"/>
      <c r="I25" s="615"/>
      <c r="J25" s="346"/>
      <c r="K25" s="532"/>
      <c r="L25" s="506"/>
      <c r="M25" s="346"/>
      <c r="N25" s="346"/>
      <c r="O25" s="346"/>
      <c r="P25" s="346"/>
      <c r="Q25" s="346"/>
      <c r="R25" s="346"/>
      <c r="S25" s="346"/>
      <c r="T25" s="345"/>
      <c r="U25" s="345"/>
      <c r="V25" s="345"/>
      <c r="W25" s="345"/>
      <c r="X25" s="345"/>
      <c r="Y25" s="345"/>
      <c r="Z25" s="345"/>
      <c r="AA25" s="345"/>
      <c r="AB25" s="345"/>
      <c r="AC25" s="345"/>
      <c r="AD25" s="345"/>
      <c r="AE25" s="345"/>
      <c r="AF25" s="345"/>
      <c r="AG25" s="345"/>
    </row>
    <row r="26" spans="1:33" ht="13.5" customHeight="1" x14ac:dyDescent="0.2">
      <c r="A26" s="507" t="s">
        <v>70</v>
      </c>
      <c r="B26" s="346"/>
      <c r="C26" s="510">
        <v>-39</v>
      </c>
      <c r="D26" s="352">
        <f>MAR!BH39</f>
        <v>-33</v>
      </c>
      <c r="E26" s="346"/>
      <c r="F26" s="352">
        <f>C26-D26</f>
        <v>-6</v>
      </c>
      <c r="G26" s="354">
        <f>IF(D26=0,0,C26/D26-1)</f>
        <v>0.18181818181818188</v>
      </c>
      <c r="H26" s="346"/>
      <c r="I26" s="351">
        <v>-40.84888461538462</v>
      </c>
      <c r="J26" s="346"/>
      <c r="K26" s="532">
        <f>C26-I26</f>
        <v>1.8488846153846197</v>
      </c>
      <c r="L26" s="505">
        <f>IF(I26=0,"NM",C26/I26-1)</f>
        <v>-4.5261569141799463E-2</v>
      </c>
      <c r="M26" s="346"/>
      <c r="N26" s="346"/>
      <c r="O26" s="346"/>
      <c r="P26" s="346"/>
      <c r="Q26" s="346"/>
      <c r="R26" s="346"/>
      <c r="S26" s="346"/>
      <c r="T26" s="345"/>
      <c r="U26" s="345"/>
      <c r="V26" s="345"/>
      <c r="W26" s="345"/>
      <c r="X26" s="345"/>
      <c r="Y26" s="345"/>
      <c r="Z26" s="345"/>
      <c r="AA26" s="345"/>
      <c r="AB26" s="345"/>
      <c r="AC26" s="345"/>
      <c r="AD26" s="345"/>
      <c r="AE26" s="345"/>
      <c r="AF26" s="345"/>
      <c r="AG26" s="345"/>
    </row>
    <row r="27" spans="1:33" ht="13.5" customHeight="1" x14ac:dyDescent="0.2">
      <c r="A27" s="507" t="s">
        <v>1555</v>
      </c>
      <c r="B27" s="346"/>
      <c r="C27" s="643">
        <v>2</v>
      </c>
      <c r="D27" s="352">
        <f>MAR!BH40</f>
        <v>6</v>
      </c>
      <c r="E27" s="346"/>
      <c r="F27" s="352">
        <f>C27-D27</f>
        <v>-4</v>
      </c>
      <c r="G27" s="354">
        <f>IF(D27=0,0,C27/D27-1)</f>
        <v>-0.66666666666666674</v>
      </c>
      <c r="H27" s="346"/>
      <c r="I27" s="351">
        <v>2.9969230769230784</v>
      </c>
      <c r="J27" s="346"/>
      <c r="K27" s="532">
        <f>C27-I27</f>
        <v>-0.99692307692307836</v>
      </c>
      <c r="L27" s="505">
        <f>IF(I27=0,"NM",C27/I27-1)</f>
        <v>-0.33264887063655058</v>
      </c>
      <c r="M27" s="346"/>
      <c r="N27" s="346"/>
      <c r="O27" s="346"/>
      <c r="P27" s="346"/>
      <c r="Q27" s="346"/>
      <c r="R27" s="346"/>
      <c r="S27" s="346"/>
      <c r="T27" s="345"/>
      <c r="U27" s="345"/>
      <c r="V27" s="345"/>
      <c r="W27" s="345"/>
      <c r="X27" s="345"/>
      <c r="Y27" s="345"/>
      <c r="Z27" s="345"/>
      <c r="AA27" s="345"/>
      <c r="AB27" s="345"/>
      <c r="AC27" s="345"/>
      <c r="AD27" s="345"/>
      <c r="AE27" s="345"/>
      <c r="AF27" s="345"/>
      <c r="AG27" s="345"/>
    </row>
    <row r="28" spans="1:33" ht="13.5" customHeight="1" x14ac:dyDescent="0.2">
      <c r="A28" s="507" t="s">
        <v>1293</v>
      </c>
      <c r="B28" s="346"/>
      <c r="C28" s="510">
        <v>2</v>
      </c>
      <c r="D28" s="352">
        <f>MAR!BL38</f>
        <v>2</v>
      </c>
      <c r="E28" s="346"/>
      <c r="F28" s="352">
        <f>C28-D28</f>
        <v>0</v>
      </c>
      <c r="G28" s="354">
        <f>IF(D28=0,0,C28/D28-1)</f>
        <v>0</v>
      </c>
      <c r="H28" s="346"/>
      <c r="I28" s="351">
        <v>2</v>
      </c>
      <c r="J28" s="346"/>
      <c r="K28" s="532">
        <f>C28-I28</f>
        <v>0</v>
      </c>
      <c r="L28" s="505">
        <f>IF(I28=0,"NM",C28/I28-1)</f>
        <v>0</v>
      </c>
      <c r="M28" s="346"/>
      <c r="N28" s="346"/>
      <c r="O28" s="346"/>
      <c r="P28" s="346"/>
      <c r="Q28" s="346"/>
      <c r="R28" s="346"/>
      <c r="S28" s="346"/>
      <c r="T28" s="345"/>
      <c r="U28" s="345"/>
      <c r="V28" s="345"/>
      <c r="W28" s="345"/>
      <c r="X28" s="345"/>
      <c r="Y28" s="345"/>
      <c r="Z28" s="345"/>
      <c r="AA28" s="345"/>
      <c r="AB28" s="345"/>
      <c r="AC28" s="345"/>
      <c r="AD28" s="345"/>
      <c r="AE28" s="345"/>
      <c r="AF28" s="345"/>
      <c r="AG28" s="345"/>
    </row>
    <row r="29" spans="1:33" ht="13.5" customHeight="1" x14ac:dyDescent="0.2">
      <c r="A29" s="507" t="s">
        <v>1294</v>
      </c>
      <c r="B29" s="346"/>
      <c r="C29" s="510">
        <v>-2</v>
      </c>
      <c r="D29" s="352">
        <f>MAR!BL42</f>
        <v>-4</v>
      </c>
      <c r="E29" s="346"/>
      <c r="F29" s="352">
        <f>C29-D29</f>
        <v>2</v>
      </c>
      <c r="G29" s="354">
        <f>IF(D29=0,0,C29/D29-1)</f>
        <v>-0.5</v>
      </c>
      <c r="H29" s="346"/>
      <c r="I29" s="351">
        <v>-2</v>
      </c>
      <c r="J29" s="346"/>
      <c r="K29" s="532">
        <f>C29-I29</f>
        <v>0</v>
      </c>
      <c r="L29" s="505">
        <f>IF(I29=0,"NM",C29/I29-1)</f>
        <v>0</v>
      </c>
      <c r="M29" s="346"/>
      <c r="N29" s="346"/>
      <c r="O29" s="346"/>
      <c r="P29" s="346"/>
      <c r="Q29" s="346"/>
      <c r="R29" s="346"/>
      <c r="S29" s="346"/>
      <c r="T29" s="345"/>
      <c r="U29" s="345"/>
      <c r="V29" s="345"/>
      <c r="W29" s="345"/>
      <c r="X29" s="345"/>
      <c r="Y29" s="345"/>
      <c r="Z29" s="345"/>
      <c r="AA29" s="345"/>
      <c r="AB29" s="345"/>
      <c r="AC29" s="345"/>
      <c r="AD29" s="345"/>
      <c r="AE29" s="345"/>
      <c r="AF29" s="345"/>
      <c r="AG29" s="345"/>
    </row>
    <row r="30" spans="1:33" ht="13.5" customHeight="1" x14ac:dyDescent="0.2">
      <c r="A30" s="502" t="s">
        <v>642</v>
      </c>
      <c r="B30" s="362"/>
      <c r="C30" s="615">
        <f>SUM(C24:C29)</f>
        <v>153</v>
      </c>
      <c r="D30" s="485">
        <f>SUM(D24:D29)</f>
        <v>-29</v>
      </c>
      <c r="E30" s="362"/>
      <c r="F30" s="485">
        <f>C30-D30</f>
        <v>182</v>
      </c>
      <c r="G30" s="482">
        <f>IF(D30=0,0,C30/D30-1)</f>
        <v>-6.2758620689655169</v>
      </c>
      <c r="H30" s="362"/>
      <c r="I30" s="615">
        <f>SUM(I24:I29)</f>
        <v>147.75877303470369</v>
      </c>
      <c r="J30" s="362"/>
      <c r="K30" s="364">
        <f>C30-I30</f>
        <v>5.2412269652963062</v>
      </c>
      <c r="L30" s="509">
        <f>IF(I30=0,"NM",C30/I30-1)</f>
        <v>3.5471511150578561E-2</v>
      </c>
      <c r="M30" s="362"/>
      <c r="N30" s="362"/>
      <c r="O30" s="362"/>
      <c r="P30" s="362"/>
      <c r="Q30" s="362"/>
      <c r="R30" s="362"/>
      <c r="S30" s="362"/>
      <c r="T30" s="344"/>
      <c r="U30" s="344"/>
      <c r="V30" s="344"/>
      <c r="W30" s="344"/>
      <c r="X30" s="344"/>
      <c r="Y30" s="344"/>
      <c r="Z30" s="344"/>
      <c r="AA30" s="344"/>
      <c r="AB30" s="344"/>
      <c r="AC30" s="344"/>
      <c r="AD30" s="344"/>
      <c r="AE30" s="344"/>
      <c r="AF30" s="344"/>
      <c r="AG30" s="344"/>
    </row>
    <row r="31" spans="1:33" ht="13.5" customHeight="1" x14ac:dyDescent="0.2">
      <c r="A31" s="501"/>
      <c r="B31" s="346"/>
      <c r="C31" s="351"/>
      <c r="D31" s="352"/>
      <c r="E31" s="346"/>
      <c r="F31" s="346"/>
      <c r="G31" s="361"/>
      <c r="H31" s="346"/>
      <c r="I31" s="351"/>
      <c r="J31" s="346"/>
      <c r="K31" s="532"/>
      <c r="L31" s="506"/>
      <c r="M31" s="346"/>
      <c r="N31" s="346"/>
      <c r="O31" s="346"/>
      <c r="P31" s="346"/>
      <c r="Q31" s="346"/>
      <c r="R31" s="346"/>
      <c r="S31" s="346"/>
      <c r="T31" s="345"/>
      <c r="U31" s="345"/>
      <c r="V31" s="345"/>
      <c r="W31" s="345"/>
      <c r="X31" s="345"/>
      <c r="Y31" s="345"/>
      <c r="Z31" s="345"/>
      <c r="AA31" s="345"/>
      <c r="AB31" s="345"/>
      <c r="AC31" s="345"/>
      <c r="AD31" s="345"/>
      <c r="AE31" s="345"/>
      <c r="AF31" s="345"/>
      <c r="AG31" s="345"/>
    </row>
    <row r="32" spans="1:33" ht="13.5" customHeight="1" x14ac:dyDescent="0.2">
      <c r="A32" s="501" t="s">
        <v>643</v>
      </c>
      <c r="B32" s="346"/>
      <c r="C32" s="644">
        <v>-49</v>
      </c>
      <c r="D32" s="352">
        <f>MAR!BH48</f>
        <v>-57</v>
      </c>
      <c r="E32" s="353"/>
      <c r="F32" s="346">
        <f>C32-D32</f>
        <v>8</v>
      </c>
      <c r="G32" s="354">
        <f>IF(D32=0,0,C32/D32-1)</f>
        <v>-0.14035087719298245</v>
      </c>
      <c r="H32" s="346"/>
      <c r="I32" s="616">
        <v>-50.237982831799251</v>
      </c>
      <c r="J32" s="353"/>
      <c r="K32" s="532">
        <f>C32-I32</f>
        <v>1.2379828317992505</v>
      </c>
      <c r="L32" s="505">
        <f>IF(I32=0,"NM",C32/I32-1)</f>
        <v>-2.4642367428328371E-2</v>
      </c>
      <c r="M32" s="346"/>
      <c r="N32" s="346"/>
      <c r="O32" s="346"/>
      <c r="P32" s="417"/>
      <c r="Q32" s="417"/>
      <c r="R32" s="346"/>
      <c r="S32" s="346"/>
      <c r="T32" s="345"/>
      <c r="U32" s="345"/>
      <c r="V32" s="345"/>
      <c r="W32" s="345"/>
      <c r="X32" s="345"/>
      <c r="Y32" s="345"/>
      <c r="Z32" s="345"/>
      <c r="AA32" s="345"/>
      <c r="AB32" s="345"/>
      <c r="AC32" s="345"/>
      <c r="AD32" s="345"/>
      <c r="AE32" s="345"/>
      <c r="AF32" s="345"/>
      <c r="AG32" s="345"/>
    </row>
    <row r="33" spans="1:33" ht="13.5" customHeight="1" x14ac:dyDescent="0.2">
      <c r="A33" s="502" t="s">
        <v>1296</v>
      </c>
      <c r="B33" s="362"/>
      <c r="C33" s="615">
        <f>SUM(C30:C32)</f>
        <v>104</v>
      </c>
      <c r="D33" s="618">
        <f>SUM(D30:D32)</f>
        <v>-86</v>
      </c>
      <c r="E33" s="486"/>
      <c r="F33" s="485">
        <f>SUM(F30:F32)</f>
        <v>190</v>
      </c>
      <c r="G33" s="482">
        <f>IF(D33=0,0,C33/D33-1)</f>
        <v>-2.2093023255813953</v>
      </c>
      <c r="H33" s="362"/>
      <c r="I33" s="615">
        <f>SUM(I30:I32)</f>
        <v>97.520790202904436</v>
      </c>
      <c r="J33" s="486"/>
      <c r="K33" s="364">
        <f>C33-I33</f>
        <v>6.4792097970955638</v>
      </c>
      <c r="L33" s="509">
        <f>IF(I33=0,"NM",C33/I33-1)</f>
        <v>6.6439266782136741E-2</v>
      </c>
      <c r="M33" s="362"/>
      <c r="N33" s="362"/>
      <c r="O33" s="362"/>
      <c r="P33" s="487"/>
      <c r="Q33" s="487"/>
      <c r="R33" s="362"/>
      <c r="S33" s="362"/>
      <c r="T33" s="344"/>
      <c r="U33" s="344"/>
      <c r="V33" s="344"/>
      <c r="W33" s="344"/>
      <c r="X33" s="344"/>
      <c r="Y33" s="344"/>
      <c r="Z33" s="344"/>
      <c r="AA33" s="344"/>
      <c r="AB33" s="344"/>
      <c r="AC33" s="344"/>
      <c r="AD33" s="344"/>
      <c r="AE33" s="344"/>
      <c r="AF33" s="344"/>
      <c r="AG33" s="344"/>
    </row>
    <row r="34" spans="1:33" ht="13.5" customHeight="1" x14ac:dyDescent="0.2">
      <c r="A34" s="501"/>
      <c r="B34" s="346"/>
      <c r="C34" s="351"/>
      <c r="D34" s="352"/>
      <c r="E34" s="353"/>
      <c r="F34" s="352"/>
      <c r="G34" s="354"/>
      <c r="H34" s="346"/>
      <c r="I34" s="351"/>
      <c r="J34" s="353"/>
      <c r="K34" s="532"/>
      <c r="L34" s="505"/>
      <c r="M34" s="346"/>
      <c r="N34" s="346"/>
      <c r="O34" s="346"/>
      <c r="P34" s="417"/>
      <c r="Q34" s="417"/>
      <c r="R34" s="346"/>
      <c r="S34" s="346"/>
      <c r="T34" s="345"/>
      <c r="U34" s="345"/>
      <c r="V34" s="345"/>
      <c r="W34" s="345"/>
      <c r="X34" s="345"/>
      <c r="Y34" s="345"/>
      <c r="Z34" s="345"/>
      <c r="AA34" s="345"/>
      <c r="AB34" s="345"/>
      <c r="AC34" s="345"/>
      <c r="AD34" s="345"/>
      <c r="AE34" s="345"/>
      <c r="AF34" s="345"/>
      <c r="AG34" s="345"/>
    </row>
    <row r="35" spans="1:33" ht="13.5" customHeight="1" x14ac:dyDescent="0.2">
      <c r="A35" s="501" t="s">
        <v>1297</v>
      </c>
      <c r="B35" s="346"/>
      <c r="C35" s="510">
        <v>0</v>
      </c>
      <c r="D35" s="352">
        <f>MAR!BH46</f>
        <v>0</v>
      </c>
      <c r="E35" s="353"/>
      <c r="F35" s="352">
        <f>MAR!BL46</f>
        <v>0</v>
      </c>
      <c r="G35" s="354">
        <f>IF(D35=0,0,C35/D35-1)</f>
        <v>0</v>
      </c>
      <c r="H35" s="346"/>
      <c r="I35" s="351">
        <v>0</v>
      </c>
      <c r="J35" s="353"/>
      <c r="K35" s="532">
        <f>C35-I35</f>
        <v>0</v>
      </c>
      <c r="L35" s="505" t="str">
        <f>IF(I35=0,"NM",C35/I35-1)</f>
        <v>NM</v>
      </c>
      <c r="M35" s="346"/>
      <c r="N35" s="346"/>
      <c r="O35" s="346"/>
      <c r="P35" s="417"/>
      <c r="Q35" s="417"/>
      <c r="R35" s="346"/>
      <c r="S35" s="346"/>
      <c r="T35" s="345"/>
      <c r="U35" s="345"/>
      <c r="V35" s="345"/>
      <c r="W35" s="345"/>
      <c r="X35" s="345"/>
      <c r="Y35" s="345"/>
      <c r="Z35" s="345"/>
      <c r="AA35" s="345"/>
      <c r="AB35" s="345"/>
      <c r="AC35" s="345"/>
      <c r="AD35" s="345"/>
      <c r="AE35" s="345"/>
      <c r="AF35" s="345"/>
      <c r="AG35" s="345"/>
    </row>
    <row r="36" spans="1:33" ht="13.5" customHeight="1" x14ac:dyDescent="0.2">
      <c r="A36" s="355" t="s">
        <v>1298</v>
      </c>
      <c r="B36" s="356"/>
      <c r="C36" s="614">
        <f>C33-C35</f>
        <v>104</v>
      </c>
      <c r="D36" s="489">
        <f>D33-D35</f>
        <v>-86</v>
      </c>
      <c r="E36" s="357"/>
      <c r="F36" s="357">
        <f>C36-D36</f>
        <v>190</v>
      </c>
      <c r="G36" s="357">
        <f>IF(D36=0,0,C36/D36-1)</f>
        <v>-2.2093023255813953</v>
      </c>
      <c r="H36" s="359"/>
      <c r="I36" s="614">
        <f>I33-I35</f>
        <v>97.520790202904436</v>
      </c>
      <c r="J36" s="357"/>
      <c r="K36" s="488">
        <f>C36-I36</f>
        <v>6.4792097970955638</v>
      </c>
      <c r="L36" s="360">
        <f>IF(I36=0,"NM",C36/I36-1)</f>
        <v>6.6439266782136741E-2</v>
      </c>
      <c r="M36" s="346"/>
      <c r="N36" s="346"/>
      <c r="O36" s="346"/>
      <c r="P36" s="417"/>
      <c r="Q36" s="417"/>
      <c r="R36" s="346"/>
      <c r="S36" s="346"/>
      <c r="T36" s="345"/>
      <c r="U36" s="345"/>
      <c r="V36" s="345"/>
      <c r="W36" s="345"/>
      <c r="X36" s="345"/>
      <c r="Y36" s="345"/>
      <c r="Z36" s="345"/>
      <c r="AA36" s="345"/>
      <c r="AB36" s="345"/>
      <c r="AC36" s="345"/>
      <c r="AD36" s="345"/>
      <c r="AE36" s="345"/>
      <c r="AF36" s="345"/>
      <c r="AG36" s="345"/>
    </row>
    <row r="37" spans="1:33" ht="13.5" customHeight="1" x14ac:dyDescent="0.2">
      <c r="A37" s="501"/>
      <c r="B37" s="346"/>
      <c r="C37" s="351"/>
      <c r="D37" s="632"/>
      <c r="E37" s="353"/>
      <c r="F37" s="352"/>
      <c r="G37" s="354"/>
      <c r="H37" s="346"/>
      <c r="I37" s="351"/>
      <c r="J37" s="353"/>
      <c r="K37" s="352"/>
      <c r="L37" s="505"/>
      <c r="M37" s="346"/>
      <c r="N37" s="346"/>
      <c r="O37" s="346"/>
      <c r="P37" s="417"/>
      <c r="Q37" s="417"/>
      <c r="R37" s="346"/>
      <c r="S37" s="346"/>
      <c r="T37" s="345"/>
      <c r="U37" s="345"/>
      <c r="V37" s="345"/>
      <c r="W37" s="345"/>
      <c r="X37" s="345"/>
      <c r="Y37" s="345"/>
      <c r="Z37" s="345"/>
      <c r="AA37" s="345"/>
      <c r="AB37" s="345"/>
      <c r="AC37" s="345"/>
      <c r="AD37" s="345"/>
      <c r="AE37" s="345"/>
      <c r="AF37" s="345"/>
      <c r="AG37" s="345"/>
    </row>
    <row r="38" spans="1:33" ht="13.5" customHeight="1" x14ac:dyDescent="0.2">
      <c r="A38" s="501" t="s">
        <v>1295</v>
      </c>
      <c r="B38" s="346"/>
      <c r="C38" s="510">
        <v>356.8</v>
      </c>
      <c r="D38" s="352">
        <f>C38</f>
        <v>356.8</v>
      </c>
      <c r="E38" s="353"/>
      <c r="F38" s="352">
        <f>D38</f>
        <v>356.8</v>
      </c>
      <c r="G38" s="3003">
        <f>F38</f>
        <v>356.8</v>
      </c>
      <c r="H38" s="346"/>
      <c r="I38" s="351">
        <v>370.64163321428572</v>
      </c>
      <c r="J38" s="353"/>
      <c r="K38" s="352"/>
      <c r="L38" s="505"/>
      <c r="M38" s="346"/>
      <c r="N38" s="346"/>
      <c r="O38" s="346"/>
      <c r="P38" s="417"/>
      <c r="Q38" s="417"/>
      <c r="R38" s="346"/>
      <c r="S38" s="346"/>
      <c r="T38" s="345"/>
      <c r="U38" s="345"/>
      <c r="V38" s="345"/>
      <c r="W38" s="345"/>
      <c r="X38" s="345"/>
      <c r="Y38" s="345"/>
      <c r="Z38" s="345"/>
      <c r="AA38" s="345"/>
      <c r="AB38" s="345"/>
      <c r="AC38" s="345"/>
      <c r="AD38" s="345"/>
      <c r="AE38" s="345"/>
      <c r="AF38" s="345"/>
      <c r="AG38" s="345"/>
    </row>
    <row r="39" spans="1:33" ht="13.5" customHeight="1" x14ac:dyDescent="0.2">
      <c r="A39" s="355" t="s">
        <v>1382</v>
      </c>
      <c r="B39" s="356"/>
      <c r="C39" s="620">
        <f>C36/C38</f>
        <v>0.2914798206278027</v>
      </c>
      <c r="D39" s="645">
        <f>D36/D38</f>
        <v>-0.24103139013452915</v>
      </c>
      <c r="E39" s="357"/>
      <c r="F39" s="484">
        <f>C39-D39</f>
        <v>0.53251121076233188</v>
      </c>
      <c r="G39" s="357">
        <f>IF(D39=0,0,C39/D39-1)</f>
        <v>-2.2093023255813953</v>
      </c>
      <c r="H39" s="359"/>
      <c r="I39" s="620">
        <f>I36/I38</f>
        <v>0.26311342672754462</v>
      </c>
      <c r="J39" s="357"/>
      <c r="K39" s="357">
        <f>C39-I39</f>
        <v>2.836639390025808E-2</v>
      </c>
      <c r="L39" s="360">
        <f>IF(I39=0,"NM",C39/I39-1)</f>
        <v>0.10781051447302858</v>
      </c>
      <c r="M39" s="346"/>
      <c r="N39" s="346"/>
      <c r="O39" s="346"/>
      <c r="P39" s="417"/>
      <c r="Q39" s="417"/>
      <c r="R39" s="346"/>
      <c r="S39" s="346"/>
      <c r="T39" s="345"/>
      <c r="U39" s="345"/>
      <c r="V39" s="345"/>
      <c r="W39" s="345"/>
      <c r="X39" s="345"/>
      <c r="Y39" s="345"/>
      <c r="Z39" s="345"/>
      <c r="AA39" s="345"/>
      <c r="AB39" s="345"/>
      <c r="AC39" s="345"/>
      <c r="AD39" s="345"/>
      <c r="AE39" s="345"/>
      <c r="AF39" s="345"/>
      <c r="AG39" s="345"/>
    </row>
    <row r="40" spans="1:33" ht="13.5" customHeight="1" x14ac:dyDescent="0.2">
      <c r="A40" s="501"/>
      <c r="B40" s="346"/>
      <c r="C40" s="351"/>
      <c r="D40" s="352"/>
      <c r="E40" s="353"/>
      <c r="F40" s="352"/>
      <c r="G40" s="354"/>
      <c r="H40" s="346"/>
      <c r="I40" s="351"/>
      <c r="J40" s="353"/>
      <c r="K40" s="352"/>
      <c r="L40" s="505"/>
      <c r="M40" s="346"/>
      <c r="N40" s="346"/>
      <c r="O40" s="346"/>
      <c r="P40" s="346"/>
      <c r="Q40" s="346"/>
      <c r="R40" s="346"/>
      <c r="S40" s="346"/>
      <c r="T40" s="345"/>
      <c r="U40" s="345"/>
      <c r="V40" s="345"/>
      <c r="W40" s="345"/>
      <c r="X40" s="345"/>
      <c r="Y40" s="345"/>
      <c r="Z40" s="345"/>
      <c r="AA40" s="345"/>
      <c r="AB40" s="345"/>
      <c r="AC40" s="345"/>
      <c r="AD40" s="345"/>
      <c r="AE40" s="345"/>
      <c r="AF40" s="345"/>
      <c r="AG40" s="345"/>
    </row>
    <row r="41" spans="1:33" ht="13.5" customHeight="1" x14ac:dyDescent="0.2">
      <c r="A41" s="57" t="s">
        <v>220</v>
      </c>
      <c r="B41" s="418"/>
      <c r="C41" s="617"/>
      <c r="D41" s="424"/>
      <c r="E41" s="464"/>
      <c r="F41" s="464"/>
      <c r="G41" s="457"/>
      <c r="H41" s="477"/>
      <c r="I41" s="617"/>
      <c r="J41" s="464"/>
      <c r="K41" s="464"/>
      <c r="L41" s="607"/>
      <c r="M41" s="345"/>
      <c r="N41" s="418"/>
      <c r="O41" s="418"/>
      <c r="P41" s="418"/>
      <c r="Q41" s="418"/>
      <c r="R41" s="346"/>
      <c r="S41" s="346"/>
      <c r="T41" s="363"/>
      <c r="U41" s="345"/>
      <c r="V41" s="345"/>
      <c r="W41" s="345"/>
      <c r="X41" s="345"/>
      <c r="Y41" s="345"/>
      <c r="Z41" s="345"/>
      <c r="AA41" s="345"/>
      <c r="AB41" s="345"/>
      <c r="AC41" s="345"/>
      <c r="AD41" s="345"/>
      <c r="AE41" s="345"/>
      <c r="AF41" s="345"/>
      <c r="AG41" s="345"/>
    </row>
    <row r="42" spans="1:33" ht="13.5" customHeight="1" x14ac:dyDescent="0.2">
      <c r="A42" s="20" t="s">
        <v>221</v>
      </c>
      <c r="B42" s="421"/>
      <c r="C42" s="617">
        <f>C21</f>
        <v>230</v>
      </c>
      <c r="D42" s="424">
        <f>D21</f>
        <v>0</v>
      </c>
      <c r="E42" s="481"/>
      <c r="F42" s="530">
        <f t="shared" ref="F42:F50" si="0">C42-D42</f>
        <v>230</v>
      </c>
      <c r="G42" s="354">
        <f t="shared" ref="G42:G51" si="1">IF(D42=0,0,C42/D42-1)</f>
        <v>0</v>
      </c>
      <c r="H42" s="421"/>
      <c r="I42" s="617">
        <f>I21</f>
        <v>226.61073457316525</v>
      </c>
      <c r="J42" s="534"/>
      <c r="K42" s="528">
        <f t="shared" ref="K42:K51" si="2">C42-I42</f>
        <v>3.3892654268347542</v>
      </c>
      <c r="L42" s="505">
        <f t="shared" ref="L42:L51" si="3">IF(I42=0,"NM",C42/I42-1)</f>
        <v>1.4956332202084921E-2</v>
      </c>
      <c r="M42" s="345"/>
      <c r="N42" s="421"/>
      <c r="O42" s="418"/>
      <c r="P42" s="418"/>
      <c r="Q42" s="418"/>
      <c r="R42" s="346"/>
      <c r="S42" s="346"/>
      <c r="T42" s="345"/>
      <c r="U42" s="345"/>
      <c r="V42" s="345"/>
      <c r="W42" s="345"/>
      <c r="X42" s="345"/>
      <c r="Y42" s="345"/>
      <c r="Z42" s="345"/>
      <c r="AA42" s="345"/>
      <c r="AB42" s="345"/>
      <c r="AC42" s="345"/>
      <c r="AD42" s="345"/>
      <c r="AE42" s="345"/>
      <c r="AF42" s="345"/>
      <c r="AG42" s="345"/>
    </row>
    <row r="43" spans="1:33" ht="13.5" customHeight="1" x14ac:dyDescent="0.2">
      <c r="A43" s="188" t="s">
        <v>1736</v>
      </c>
      <c r="B43" s="418"/>
      <c r="C43" s="640">
        <f>C29</f>
        <v>-2</v>
      </c>
      <c r="D43" s="423">
        <f>MAR!BH76</f>
        <v>-1</v>
      </c>
      <c r="E43" s="472"/>
      <c r="F43" s="528">
        <f t="shared" si="0"/>
        <v>-1</v>
      </c>
      <c r="G43" s="354">
        <f t="shared" si="1"/>
        <v>1</v>
      </c>
      <c r="H43" s="418"/>
      <c r="I43" s="616">
        <v>-2</v>
      </c>
      <c r="J43" s="471"/>
      <c r="K43" s="528">
        <f t="shared" si="2"/>
        <v>0</v>
      </c>
      <c r="L43" s="505">
        <f t="shared" si="3"/>
        <v>0</v>
      </c>
      <c r="M43" s="345"/>
      <c r="N43" s="418"/>
      <c r="O43" s="418"/>
      <c r="P43" s="418"/>
      <c r="Q43" s="418"/>
      <c r="R43" s="346"/>
      <c r="S43" s="346"/>
      <c r="T43" s="345"/>
      <c r="U43" s="345"/>
      <c r="V43" s="345"/>
      <c r="W43" s="345"/>
      <c r="X43" s="345"/>
      <c r="Y43" s="345"/>
      <c r="Z43" s="345"/>
      <c r="AA43" s="345"/>
      <c r="AB43" s="345"/>
      <c r="AC43" s="345"/>
      <c r="AD43" s="345"/>
      <c r="AE43" s="345"/>
      <c r="AF43" s="345"/>
      <c r="AG43" s="345"/>
    </row>
    <row r="44" spans="1:33" ht="13.5" customHeight="1" x14ac:dyDescent="0.2">
      <c r="A44" s="188" t="s">
        <v>1737</v>
      </c>
      <c r="B44" s="418"/>
      <c r="C44" s="644">
        <v>5</v>
      </c>
      <c r="D44" s="423">
        <f>MAR!BH77</f>
        <v>3</v>
      </c>
      <c r="E44" s="472"/>
      <c r="F44" s="528">
        <f t="shared" si="0"/>
        <v>2</v>
      </c>
      <c r="G44" s="354">
        <f t="shared" si="1"/>
        <v>0.66666666666666674</v>
      </c>
      <c r="H44" s="418"/>
      <c r="I44" s="616">
        <v>7</v>
      </c>
      <c r="J44" s="471"/>
      <c r="K44" s="528">
        <f t="shared" si="2"/>
        <v>-2</v>
      </c>
      <c r="L44" s="505">
        <f t="shared" si="3"/>
        <v>-0.2857142857142857</v>
      </c>
      <c r="M44" s="345"/>
      <c r="N44" s="418"/>
      <c r="O44" s="418"/>
      <c r="P44" s="422"/>
      <c r="Q44" s="422"/>
      <c r="R44" s="346"/>
      <c r="S44" s="346"/>
      <c r="T44" s="345"/>
      <c r="U44" s="345"/>
      <c r="V44" s="345"/>
      <c r="W44" s="345"/>
      <c r="X44" s="345"/>
      <c r="Y44" s="345"/>
      <c r="Z44" s="345"/>
      <c r="AA44" s="345"/>
      <c r="AB44" s="345"/>
      <c r="AC44" s="345"/>
      <c r="AD44" s="345"/>
      <c r="AE44" s="345"/>
      <c r="AF44" s="345"/>
      <c r="AG44" s="345"/>
    </row>
    <row r="45" spans="1:33" ht="13.5" customHeight="1" x14ac:dyDescent="0.2">
      <c r="A45" s="188" t="s">
        <v>371</v>
      </c>
      <c r="B45" s="418"/>
      <c r="C45" s="644">
        <v>7</v>
      </c>
      <c r="D45" s="423">
        <f>MAR!BH78</f>
        <v>6</v>
      </c>
      <c r="E45" s="424"/>
      <c r="F45" s="528">
        <f t="shared" si="0"/>
        <v>1</v>
      </c>
      <c r="G45" s="354">
        <f t="shared" si="1"/>
        <v>0.16666666666666674</v>
      </c>
      <c r="H45" s="477"/>
      <c r="I45" s="616">
        <v>8</v>
      </c>
      <c r="J45" s="365"/>
      <c r="K45" s="528">
        <f t="shared" si="2"/>
        <v>-1</v>
      </c>
      <c r="L45" s="505">
        <f t="shared" si="3"/>
        <v>-0.125</v>
      </c>
      <c r="M45" s="345"/>
      <c r="N45" s="418"/>
      <c r="O45" s="418"/>
      <c r="P45" s="423"/>
      <c r="Q45" s="423"/>
      <c r="R45" s="346"/>
      <c r="S45" s="346"/>
      <c r="T45" s="345"/>
      <c r="U45" s="345"/>
      <c r="V45" s="345"/>
      <c r="W45" s="345"/>
      <c r="X45" s="345"/>
      <c r="Y45" s="345"/>
      <c r="Z45" s="345"/>
      <c r="AA45" s="345"/>
      <c r="AB45" s="345"/>
      <c r="AC45" s="345"/>
      <c r="AD45" s="345"/>
      <c r="AE45" s="345"/>
      <c r="AF45" s="345"/>
      <c r="AG45" s="345"/>
    </row>
    <row r="46" spans="1:33" ht="13.5" customHeight="1" x14ac:dyDescent="0.2">
      <c r="A46" s="188" t="s">
        <v>1555</v>
      </c>
      <c r="B46" s="418"/>
      <c r="C46" s="644">
        <v>0</v>
      </c>
      <c r="D46" s="423">
        <f>MAR!BH79</f>
        <v>6</v>
      </c>
      <c r="E46" s="472"/>
      <c r="F46" s="528">
        <f t="shared" si="0"/>
        <v>-6</v>
      </c>
      <c r="G46" s="354">
        <f t="shared" si="1"/>
        <v>-1</v>
      </c>
      <c r="H46" s="418"/>
      <c r="I46" s="616">
        <v>2.9969230769230784</v>
      </c>
      <c r="J46" s="471"/>
      <c r="K46" s="528">
        <f t="shared" si="2"/>
        <v>-2.9969230769230784</v>
      </c>
      <c r="L46" s="505">
        <f t="shared" si="3"/>
        <v>-1</v>
      </c>
      <c r="M46" s="345"/>
      <c r="N46" s="418"/>
      <c r="O46" s="418"/>
      <c r="P46" s="418"/>
      <c r="Q46" s="418"/>
      <c r="R46" s="346"/>
      <c r="S46" s="346"/>
      <c r="T46" s="345"/>
      <c r="U46" s="345"/>
      <c r="V46" s="345"/>
      <c r="W46" s="345"/>
      <c r="X46" s="345"/>
      <c r="Y46" s="345"/>
      <c r="Z46" s="345"/>
      <c r="AA46" s="345"/>
      <c r="AB46" s="345"/>
      <c r="AC46" s="345"/>
      <c r="AD46" s="345"/>
      <c r="AE46" s="345"/>
      <c r="AF46" s="345"/>
      <c r="AG46" s="345"/>
    </row>
    <row r="47" spans="1:33" ht="13.5" customHeight="1" x14ac:dyDescent="0.2">
      <c r="A47" s="188" t="s">
        <v>228</v>
      </c>
      <c r="B47" s="418"/>
      <c r="C47" s="640">
        <f>C28</f>
        <v>2</v>
      </c>
      <c r="D47" s="423">
        <f>MAR!BH80</f>
        <v>3</v>
      </c>
      <c r="E47" s="472"/>
      <c r="F47" s="528">
        <f t="shared" si="0"/>
        <v>-1</v>
      </c>
      <c r="G47" s="354">
        <f t="shared" si="1"/>
        <v>-0.33333333333333337</v>
      </c>
      <c r="H47" s="418"/>
      <c r="I47" s="616">
        <v>2</v>
      </c>
      <c r="J47" s="471"/>
      <c r="K47" s="528">
        <f t="shared" si="2"/>
        <v>0</v>
      </c>
      <c r="L47" s="505">
        <f t="shared" si="3"/>
        <v>0</v>
      </c>
      <c r="M47" s="345"/>
      <c r="N47" s="418"/>
      <c r="O47" s="418"/>
      <c r="P47" s="420"/>
      <c r="Q47" s="420"/>
      <c r="R47" s="346"/>
      <c r="S47" s="346"/>
      <c r="T47" s="345"/>
      <c r="U47" s="345"/>
      <c r="V47" s="345"/>
      <c r="W47" s="345"/>
      <c r="X47" s="345"/>
      <c r="Y47" s="345"/>
      <c r="Z47" s="345"/>
      <c r="AA47" s="345"/>
      <c r="AB47" s="345"/>
      <c r="AC47" s="345"/>
      <c r="AD47" s="345"/>
      <c r="AE47" s="345"/>
      <c r="AF47" s="345"/>
      <c r="AG47" s="345"/>
    </row>
    <row r="48" spans="1:33" ht="13.5" customHeight="1" x14ac:dyDescent="0.2">
      <c r="A48" s="188" t="s">
        <v>229</v>
      </c>
      <c r="B48" s="418"/>
      <c r="C48" s="644">
        <v>-4</v>
      </c>
      <c r="D48" s="423">
        <f>MAR!BH81</f>
        <v>-3</v>
      </c>
      <c r="E48" s="424"/>
      <c r="F48" s="528">
        <f t="shared" si="0"/>
        <v>-1</v>
      </c>
      <c r="G48" s="354">
        <f t="shared" si="1"/>
        <v>0.33333333333333326</v>
      </c>
      <c r="H48" s="477"/>
      <c r="I48" s="616">
        <v>-3</v>
      </c>
      <c r="J48" s="365"/>
      <c r="K48" s="528">
        <f t="shared" si="2"/>
        <v>-1</v>
      </c>
      <c r="L48" s="505">
        <f t="shared" si="3"/>
        <v>0.33333333333333326</v>
      </c>
      <c r="M48" s="345"/>
      <c r="N48" s="418"/>
      <c r="O48" s="418"/>
      <c r="P48" s="418"/>
      <c r="Q48" s="418"/>
      <c r="R48" s="346"/>
      <c r="S48" s="346"/>
      <c r="T48" s="345"/>
      <c r="U48" s="345"/>
      <c r="V48" s="345"/>
      <c r="W48" s="345"/>
      <c r="X48" s="345"/>
      <c r="Y48" s="345"/>
      <c r="Z48" s="345"/>
      <c r="AA48" s="345"/>
      <c r="AB48" s="345"/>
      <c r="AC48" s="345"/>
      <c r="AD48" s="345"/>
      <c r="AE48" s="345"/>
      <c r="AF48" s="345"/>
      <c r="AG48" s="345"/>
    </row>
    <row r="49" spans="1:33" ht="13.5" customHeight="1" x14ac:dyDescent="0.2">
      <c r="A49" s="188" t="s">
        <v>230</v>
      </c>
      <c r="B49" s="418"/>
      <c r="C49" s="644">
        <v>2</v>
      </c>
      <c r="D49" s="423">
        <f>MAR!BH82</f>
        <v>0</v>
      </c>
      <c r="E49" s="472"/>
      <c r="F49" s="528">
        <f t="shared" si="0"/>
        <v>2</v>
      </c>
      <c r="G49" s="354">
        <f t="shared" si="1"/>
        <v>0</v>
      </c>
      <c r="H49" s="418"/>
      <c r="I49" s="616">
        <v>0</v>
      </c>
      <c r="J49" s="471"/>
      <c r="K49" s="528">
        <f t="shared" si="2"/>
        <v>2</v>
      </c>
      <c r="L49" s="505" t="str">
        <f t="shared" si="3"/>
        <v>NM</v>
      </c>
      <c r="M49" s="345"/>
      <c r="N49" s="418"/>
      <c r="O49" s="418"/>
      <c r="P49" s="419"/>
      <c r="Q49" s="419"/>
      <c r="R49" s="346"/>
      <c r="S49" s="346"/>
      <c r="T49" s="345"/>
      <c r="U49" s="345"/>
      <c r="V49" s="345"/>
      <c r="W49" s="345"/>
      <c r="X49" s="345"/>
      <c r="Y49" s="345"/>
      <c r="Z49" s="345"/>
      <c r="AA49" s="345"/>
      <c r="AB49" s="345"/>
      <c r="AC49" s="345"/>
      <c r="AD49" s="345"/>
      <c r="AE49" s="345"/>
      <c r="AF49" s="345"/>
      <c r="AG49" s="345"/>
    </row>
    <row r="50" spans="1:33" ht="13.5" customHeight="1" x14ac:dyDescent="0.2">
      <c r="A50" s="188" t="s">
        <v>231</v>
      </c>
      <c r="B50" s="418"/>
      <c r="C50" s="644">
        <v>0</v>
      </c>
      <c r="D50" s="423">
        <f>MAR!BH83</f>
        <v>0</v>
      </c>
      <c r="E50" s="472"/>
      <c r="F50" s="528">
        <f t="shared" si="0"/>
        <v>0</v>
      </c>
      <c r="G50" s="354">
        <f t="shared" si="1"/>
        <v>0</v>
      </c>
      <c r="H50" s="418"/>
      <c r="I50" s="616">
        <v>0</v>
      </c>
      <c r="J50" s="471"/>
      <c r="K50" s="528">
        <f t="shared" si="2"/>
        <v>0</v>
      </c>
      <c r="L50" s="505" t="str">
        <f t="shared" si="3"/>
        <v>NM</v>
      </c>
      <c r="M50" s="345"/>
      <c r="N50" s="418"/>
      <c r="O50" s="418"/>
      <c r="P50" s="420"/>
      <c r="Q50" s="420"/>
      <c r="R50" s="346"/>
      <c r="S50" s="346"/>
      <c r="T50" s="345"/>
      <c r="U50" s="345"/>
      <c r="V50" s="345"/>
      <c r="W50" s="345"/>
      <c r="X50" s="345"/>
      <c r="Y50" s="345"/>
      <c r="Z50" s="345"/>
      <c r="AA50" s="345"/>
      <c r="AB50" s="345"/>
      <c r="AC50" s="345"/>
      <c r="AD50" s="345"/>
      <c r="AE50" s="345"/>
      <c r="AF50" s="345"/>
      <c r="AG50" s="345"/>
    </row>
    <row r="51" spans="1:33" ht="13.5" customHeight="1" x14ac:dyDescent="0.2">
      <c r="A51" s="355" t="s">
        <v>232</v>
      </c>
      <c r="B51" s="356"/>
      <c r="C51" s="614">
        <f>SUM(C42:C50)</f>
        <v>240</v>
      </c>
      <c r="D51" s="489">
        <f>SUM(D42:D50)</f>
        <v>14</v>
      </c>
      <c r="E51" s="357"/>
      <c r="F51" s="529">
        <f>SUM(F42:F50)</f>
        <v>226</v>
      </c>
      <c r="G51" s="358">
        <f t="shared" si="1"/>
        <v>16.142857142857142</v>
      </c>
      <c r="H51" s="359"/>
      <c r="I51" s="614">
        <f>SUM(I42:I50)</f>
        <v>241.60765765008833</v>
      </c>
      <c r="J51" s="529"/>
      <c r="K51" s="529">
        <f t="shared" si="2"/>
        <v>-1.6076576500883277</v>
      </c>
      <c r="L51" s="360">
        <f t="shared" si="3"/>
        <v>-6.6540012254771019E-3</v>
      </c>
      <c r="M51" s="345"/>
      <c r="N51" s="418"/>
      <c r="O51" s="418"/>
      <c r="P51" s="419"/>
      <c r="Q51" s="419"/>
      <c r="R51" s="346"/>
      <c r="S51" s="346"/>
      <c r="T51" s="345"/>
      <c r="U51" s="345"/>
      <c r="V51" s="345"/>
      <c r="W51" s="345"/>
      <c r="X51" s="345"/>
      <c r="Y51" s="345"/>
      <c r="Z51" s="345"/>
      <c r="AA51" s="345"/>
      <c r="AB51" s="345"/>
      <c r="AC51" s="345"/>
      <c r="AD51" s="345"/>
      <c r="AE51" s="345"/>
      <c r="AF51" s="345"/>
      <c r="AG51" s="345"/>
    </row>
    <row r="52" spans="1:33" ht="13.5" customHeight="1" x14ac:dyDescent="0.2">
      <c r="A52" s="418"/>
      <c r="B52" s="418"/>
      <c r="C52" s="418"/>
      <c r="D52" s="418"/>
      <c r="E52" s="418"/>
      <c r="F52" s="418"/>
      <c r="G52" s="462"/>
      <c r="H52" s="418"/>
      <c r="I52" s="418"/>
      <c r="J52" s="418"/>
      <c r="K52" s="418"/>
      <c r="L52" s="478"/>
      <c r="M52" s="345"/>
      <c r="N52" s="418"/>
      <c r="O52" s="418"/>
      <c r="P52" s="418"/>
      <c r="Q52" s="418"/>
      <c r="R52" s="346"/>
      <c r="S52" s="346"/>
      <c r="T52" s="345"/>
      <c r="U52" s="345"/>
      <c r="V52" s="345"/>
      <c r="W52" s="345"/>
      <c r="X52" s="345"/>
      <c r="Y52" s="345"/>
      <c r="Z52" s="345"/>
      <c r="AA52" s="345"/>
      <c r="AB52" s="345"/>
      <c r="AC52" s="345"/>
      <c r="AD52" s="345"/>
      <c r="AE52" s="345"/>
      <c r="AF52" s="345"/>
      <c r="AG52" s="345"/>
    </row>
    <row r="53" spans="1:33" ht="13.5" customHeight="1" x14ac:dyDescent="0.2">
      <c r="A53" s="421"/>
      <c r="B53" s="418"/>
      <c r="C53" s="424"/>
      <c r="D53" s="424"/>
      <c r="E53" s="424"/>
      <c r="F53" s="424"/>
      <c r="G53" s="457"/>
      <c r="H53" s="477"/>
      <c r="I53" s="424"/>
      <c r="J53" s="424"/>
      <c r="K53" s="424"/>
      <c r="L53" s="465"/>
      <c r="M53" s="345"/>
      <c r="N53" s="426" t="s">
        <v>1394</v>
      </c>
      <c r="O53" s="418"/>
      <c r="P53" s="418"/>
      <c r="Q53" s="418"/>
      <c r="R53" s="346"/>
      <c r="S53" s="346"/>
      <c r="T53" s="345"/>
      <c r="U53" s="345"/>
      <c r="V53" s="345"/>
      <c r="W53" s="345"/>
      <c r="X53" s="345"/>
      <c r="Y53" s="345"/>
      <c r="Z53" s="345"/>
      <c r="AA53" s="345"/>
      <c r="AB53" s="345"/>
      <c r="AC53" s="345"/>
      <c r="AD53" s="345"/>
      <c r="AE53" s="345"/>
      <c r="AF53" s="345"/>
      <c r="AG53" s="345"/>
    </row>
    <row r="54" spans="1:33" ht="13.5" customHeight="1" x14ac:dyDescent="0.2">
      <c r="A54" s="418"/>
      <c r="B54" s="418"/>
      <c r="C54" s="418"/>
      <c r="D54" s="418"/>
      <c r="E54" s="418"/>
      <c r="F54" s="418"/>
      <c r="G54" s="462"/>
      <c r="H54" s="418"/>
      <c r="I54" s="418"/>
      <c r="J54" s="418"/>
      <c r="K54" s="418"/>
      <c r="L54" s="478"/>
      <c r="M54" s="345"/>
      <c r="N54" s="418"/>
      <c r="O54" s="418"/>
      <c r="P54" s="801" t="s">
        <v>1938</v>
      </c>
      <c r="Q54" s="801" t="s">
        <v>1782</v>
      </c>
      <c r="R54" s="806" t="s">
        <v>1493</v>
      </c>
      <c r="S54" s="346"/>
      <c r="T54" s="345"/>
      <c r="U54" s="345"/>
      <c r="V54" s="345"/>
      <c r="W54" s="345"/>
      <c r="X54" s="345"/>
      <c r="Y54" s="345"/>
      <c r="Z54" s="345"/>
      <c r="AA54" s="345"/>
      <c r="AB54" s="345"/>
      <c r="AC54" s="345"/>
      <c r="AD54" s="345"/>
      <c r="AE54" s="345"/>
      <c r="AF54" s="345"/>
      <c r="AG54" s="345"/>
    </row>
    <row r="55" spans="1:33" ht="13.5" customHeight="1" x14ac:dyDescent="0.2">
      <c r="A55" s="421"/>
      <c r="B55" s="421"/>
      <c r="C55" s="479"/>
      <c r="D55" s="479"/>
      <c r="E55" s="479"/>
      <c r="F55" s="479"/>
      <c r="G55" s="457"/>
      <c r="H55" s="421"/>
      <c r="I55" s="479"/>
      <c r="J55" s="479"/>
      <c r="K55" s="479"/>
      <c r="L55" s="465"/>
      <c r="M55" s="345"/>
      <c r="N55" s="418" t="s">
        <v>127</v>
      </c>
      <c r="O55" s="421"/>
      <c r="P55" s="345">
        <f>C9</f>
        <v>289</v>
      </c>
      <c r="Q55" s="802" t="s">
        <v>1392</v>
      </c>
      <c r="R55" s="346"/>
      <c r="S55" s="346"/>
      <c r="T55" s="345"/>
      <c r="U55" s="345"/>
      <c r="V55" s="345"/>
      <c r="W55" s="345"/>
      <c r="X55" s="345"/>
      <c r="Y55" s="345"/>
      <c r="Z55" s="345"/>
      <c r="AA55" s="345"/>
      <c r="AB55" s="345"/>
      <c r="AC55" s="345"/>
      <c r="AD55" s="345"/>
      <c r="AE55" s="345"/>
      <c r="AF55" s="345"/>
      <c r="AG55" s="345"/>
    </row>
    <row r="56" spans="1:33" ht="13.5" customHeight="1" x14ac:dyDescent="0.2">
      <c r="A56" s="418"/>
      <c r="B56" s="418"/>
      <c r="C56" s="423"/>
      <c r="D56" s="423"/>
      <c r="E56" s="472"/>
      <c r="F56" s="423"/>
      <c r="G56" s="467"/>
      <c r="H56" s="418"/>
      <c r="I56" s="472"/>
      <c r="J56" s="472"/>
      <c r="K56" s="423"/>
      <c r="L56" s="469"/>
      <c r="M56" s="345"/>
      <c r="N56" s="418" t="s">
        <v>1365</v>
      </c>
      <c r="O56" s="418"/>
      <c r="P56" s="345">
        <f>C10-C15</f>
        <v>35</v>
      </c>
      <c r="Q56" s="803">
        <v>25</v>
      </c>
      <c r="R56" s="346"/>
      <c r="S56" s="346"/>
      <c r="T56" s="345"/>
      <c r="U56" s="345"/>
      <c r="V56" s="345"/>
      <c r="W56" s="345"/>
      <c r="X56" s="345"/>
      <c r="Y56" s="345"/>
      <c r="Z56" s="345"/>
      <c r="AA56" s="345"/>
      <c r="AB56" s="345"/>
      <c r="AC56" s="345"/>
      <c r="AD56" s="345"/>
      <c r="AE56" s="345"/>
      <c r="AF56" s="345"/>
      <c r="AG56" s="345"/>
    </row>
    <row r="57" spans="1:33" ht="13.5" customHeight="1" x14ac:dyDescent="0.2">
      <c r="A57" s="418"/>
      <c r="B57" s="418"/>
      <c r="C57" s="418"/>
      <c r="D57" s="418"/>
      <c r="E57" s="418"/>
      <c r="F57" s="418"/>
      <c r="G57" s="418"/>
      <c r="H57" s="418"/>
      <c r="I57" s="418"/>
      <c r="J57" s="418"/>
      <c r="K57" s="418"/>
      <c r="L57" s="418"/>
      <c r="M57" s="345"/>
      <c r="N57" s="418" t="s">
        <v>809</v>
      </c>
      <c r="O57" s="418"/>
      <c r="P57" s="345">
        <f>C11-C16</f>
        <v>36</v>
      </c>
      <c r="Q57" s="804" t="s">
        <v>1393</v>
      </c>
      <c r="R57" s="346"/>
      <c r="S57" s="346"/>
      <c r="T57" s="345"/>
      <c r="U57" s="345"/>
      <c r="V57" s="345"/>
      <c r="W57" s="345"/>
      <c r="X57" s="345"/>
      <c r="Y57" s="345"/>
      <c r="Z57" s="345"/>
      <c r="AA57" s="345"/>
      <c r="AB57" s="345"/>
      <c r="AC57" s="345"/>
      <c r="AD57" s="345"/>
      <c r="AE57" s="345"/>
      <c r="AF57" s="345"/>
      <c r="AG57" s="345"/>
    </row>
    <row r="58" spans="1:33" ht="13.5" customHeight="1" x14ac:dyDescent="0.2">
      <c r="A58" s="421"/>
      <c r="B58" s="418"/>
      <c r="C58" s="480"/>
      <c r="D58" s="480"/>
      <c r="E58" s="480"/>
      <c r="F58" s="418"/>
      <c r="G58" s="422"/>
      <c r="H58" s="418"/>
      <c r="I58" s="480"/>
      <c r="J58" s="480"/>
      <c r="K58" s="418"/>
      <c r="L58" s="422"/>
      <c r="M58" s="345"/>
      <c r="N58" s="418" t="s">
        <v>582</v>
      </c>
      <c r="O58" s="418"/>
      <c r="P58" s="345">
        <f>C17</f>
        <v>170</v>
      </c>
      <c r="Q58" s="804" t="s">
        <v>1366</v>
      </c>
      <c r="R58" s="346"/>
      <c r="S58" s="346"/>
      <c r="T58" s="345"/>
      <c r="U58" s="345"/>
      <c r="V58" s="345"/>
      <c r="W58" s="345"/>
      <c r="X58" s="345"/>
      <c r="Y58" s="345"/>
      <c r="Z58" s="345"/>
      <c r="AA58" s="345"/>
      <c r="AB58" s="345"/>
      <c r="AC58" s="345"/>
      <c r="AD58" s="345"/>
      <c r="AE58" s="345"/>
      <c r="AF58" s="345"/>
      <c r="AG58" s="345"/>
    </row>
    <row r="59" spans="1:33" ht="13.5" customHeight="1" x14ac:dyDescent="0.2">
      <c r="A59" s="418"/>
      <c r="B59" s="418"/>
      <c r="C59" s="459"/>
      <c r="D59" s="459"/>
      <c r="E59" s="459"/>
      <c r="F59" s="418"/>
      <c r="G59" s="422"/>
      <c r="H59" s="418"/>
      <c r="I59" s="459"/>
      <c r="J59" s="459"/>
      <c r="K59" s="418"/>
      <c r="L59" s="422"/>
      <c r="M59" s="345"/>
      <c r="N59" s="418" t="s">
        <v>2164</v>
      </c>
      <c r="O59" s="418"/>
      <c r="P59" s="419">
        <f>C28</f>
        <v>2</v>
      </c>
      <c r="Q59" s="805">
        <v>2</v>
      </c>
      <c r="R59" s="346"/>
      <c r="S59" s="346"/>
      <c r="T59" s="345"/>
      <c r="U59" s="345"/>
      <c r="V59" s="345"/>
      <c r="W59" s="345"/>
      <c r="X59" s="345"/>
      <c r="Y59" s="345"/>
      <c r="Z59" s="345"/>
      <c r="AA59" s="345"/>
      <c r="AB59" s="345"/>
      <c r="AC59" s="345"/>
      <c r="AD59" s="345"/>
      <c r="AE59" s="345"/>
      <c r="AF59" s="345"/>
      <c r="AG59" s="345"/>
    </row>
    <row r="60" spans="1:33" ht="13.5" customHeight="1" x14ac:dyDescent="0.2">
      <c r="A60" s="418"/>
      <c r="B60" s="418"/>
      <c r="C60" s="459"/>
      <c r="D60" s="459"/>
      <c r="E60" s="459"/>
      <c r="F60" s="418"/>
      <c r="G60" s="422"/>
      <c r="H60" s="418"/>
      <c r="I60" s="459"/>
      <c r="J60" s="459"/>
      <c r="K60" s="418"/>
      <c r="L60" s="422"/>
      <c r="M60" s="345"/>
      <c r="N60" s="418" t="s">
        <v>33</v>
      </c>
      <c r="O60" s="418"/>
      <c r="P60" s="807">
        <f>C26+C27</f>
        <v>-37</v>
      </c>
      <c r="Q60" s="805">
        <v>40</v>
      </c>
      <c r="R60" s="346"/>
      <c r="S60" s="346"/>
      <c r="T60" s="345"/>
      <c r="U60" s="345"/>
      <c r="V60" s="345"/>
      <c r="W60" s="345"/>
      <c r="X60" s="345"/>
      <c r="Y60" s="345"/>
      <c r="Z60" s="345"/>
      <c r="AA60" s="345"/>
      <c r="AB60" s="345"/>
      <c r="AC60" s="345"/>
      <c r="AD60" s="345"/>
      <c r="AE60" s="345"/>
      <c r="AF60" s="345"/>
      <c r="AG60" s="345"/>
    </row>
    <row r="61" spans="1:33" ht="13.5" customHeight="1" x14ac:dyDescent="0.2">
      <c r="A61" s="346"/>
      <c r="B61" s="346"/>
      <c r="C61" s="346"/>
      <c r="D61" s="346"/>
      <c r="E61" s="346"/>
      <c r="F61" s="346"/>
      <c r="G61" s="346"/>
      <c r="H61" s="346"/>
      <c r="I61" s="346"/>
      <c r="J61" s="346"/>
      <c r="K61" s="346"/>
      <c r="L61" s="346"/>
      <c r="M61" s="346"/>
      <c r="N61" s="418" t="s">
        <v>2165</v>
      </c>
      <c r="O61" s="418"/>
      <c r="P61" s="419">
        <f>C29</f>
        <v>-2</v>
      </c>
      <c r="Q61" s="805">
        <v>-5</v>
      </c>
      <c r="R61" s="346"/>
      <c r="S61" s="346"/>
      <c r="T61" s="346"/>
      <c r="U61" s="346"/>
      <c r="V61" s="346"/>
      <c r="W61" s="346"/>
      <c r="X61" s="346"/>
      <c r="Y61" s="346"/>
      <c r="Z61" s="346"/>
      <c r="AA61" s="346"/>
      <c r="AB61" s="346"/>
      <c r="AC61" s="346"/>
      <c r="AD61" s="346"/>
      <c r="AE61" s="346"/>
      <c r="AF61" s="346"/>
      <c r="AG61" s="346"/>
    </row>
    <row r="62" spans="1:33" ht="13.5" customHeight="1" x14ac:dyDescent="0.2">
      <c r="A62" s="418"/>
      <c r="B62" s="418"/>
      <c r="C62" s="418"/>
      <c r="D62" s="418"/>
      <c r="E62" s="418"/>
      <c r="F62" s="418"/>
      <c r="G62" s="418"/>
      <c r="H62" s="418"/>
      <c r="I62" s="418"/>
      <c r="J62" s="418"/>
      <c r="K62" s="418"/>
      <c r="L62" s="418"/>
      <c r="M62" s="418"/>
      <c r="N62" s="418" t="s">
        <v>1253</v>
      </c>
      <c r="O62" s="418"/>
      <c r="P62" s="423"/>
      <c r="Q62" s="423"/>
      <c r="R62" s="418"/>
      <c r="S62" s="418"/>
      <c r="T62" s="418"/>
      <c r="U62" s="418"/>
      <c r="V62" s="418"/>
      <c r="W62" s="418"/>
      <c r="X62" s="418"/>
      <c r="Y62" s="418"/>
      <c r="Z62" s="418"/>
      <c r="AA62" s="418"/>
      <c r="AB62" s="418"/>
      <c r="AC62" s="418"/>
      <c r="AD62" s="418"/>
      <c r="AE62" s="418"/>
      <c r="AF62" s="418"/>
      <c r="AG62" s="418"/>
    </row>
    <row r="63" spans="1:33" ht="13.5" customHeight="1" x14ac:dyDescent="0.2">
      <c r="A63" s="418"/>
      <c r="B63" s="418"/>
      <c r="C63" s="418"/>
      <c r="D63" s="418"/>
      <c r="E63" s="418"/>
      <c r="F63" s="418"/>
      <c r="G63" s="418"/>
      <c r="H63" s="418"/>
      <c r="I63" s="418"/>
      <c r="J63" s="418"/>
      <c r="K63" s="418"/>
      <c r="L63" s="418"/>
      <c r="M63" s="418"/>
      <c r="N63" s="418" t="s">
        <v>1204</v>
      </c>
      <c r="O63" s="418"/>
      <c r="P63" s="420"/>
      <c r="Q63" s="420"/>
      <c r="R63" s="418"/>
      <c r="S63" s="418"/>
      <c r="T63" s="418"/>
      <c r="U63" s="418"/>
      <c r="V63" s="418"/>
      <c r="W63" s="418"/>
      <c r="X63" s="418"/>
      <c r="Y63" s="418"/>
      <c r="Z63" s="418"/>
      <c r="AA63" s="418"/>
      <c r="AB63" s="418"/>
      <c r="AC63" s="418"/>
      <c r="AD63" s="418"/>
      <c r="AE63" s="418"/>
      <c r="AF63" s="418"/>
      <c r="AG63" s="418"/>
    </row>
    <row r="64" spans="1:33" ht="13.5" customHeight="1" x14ac:dyDescent="0.2">
      <c r="A64" s="418"/>
      <c r="B64" s="418"/>
      <c r="C64" s="455"/>
      <c r="D64" s="461"/>
      <c r="E64" s="461"/>
      <c r="F64" s="461"/>
      <c r="G64" s="461"/>
      <c r="H64" s="418"/>
      <c r="I64" s="455"/>
      <c r="J64" s="455"/>
      <c r="K64" s="461"/>
      <c r="L64" s="461"/>
      <c r="M64" s="418"/>
      <c r="N64" s="418"/>
      <c r="O64" s="418"/>
      <c r="P64" s="418"/>
      <c r="Q64" s="418"/>
      <c r="R64" s="418"/>
      <c r="S64" s="418"/>
      <c r="T64" s="418"/>
      <c r="U64" s="418"/>
      <c r="V64" s="418"/>
      <c r="W64" s="418"/>
      <c r="X64" s="418"/>
      <c r="Y64" s="418"/>
      <c r="Z64" s="418"/>
      <c r="AA64" s="418"/>
      <c r="AB64" s="418"/>
      <c r="AC64" s="418"/>
      <c r="AD64" s="418"/>
      <c r="AE64" s="418"/>
      <c r="AF64" s="418"/>
      <c r="AG64" s="418"/>
    </row>
    <row r="65" spans="1:33" ht="7.5" customHeight="1" x14ac:dyDescent="0.2">
      <c r="A65" s="418"/>
      <c r="B65" s="418"/>
      <c r="C65" s="418"/>
      <c r="D65" s="418"/>
      <c r="E65" s="418"/>
      <c r="F65" s="455"/>
      <c r="G65" s="455"/>
      <c r="H65" s="418"/>
      <c r="I65" s="418"/>
      <c r="J65" s="418"/>
      <c r="K65" s="455"/>
      <c r="L65" s="455"/>
      <c r="M65" s="418"/>
      <c r="N65" s="418"/>
      <c r="O65" s="418"/>
      <c r="P65" s="419"/>
      <c r="Q65" s="419"/>
      <c r="R65" s="418"/>
      <c r="S65" s="418"/>
      <c r="T65" s="418"/>
      <c r="U65" s="418"/>
      <c r="V65" s="418"/>
      <c r="W65" s="418"/>
      <c r="X65" s="418"/>
      <c r="Y65" s="418"/>
      <c r="Z65" s="418"/>
      <c r="AA65" s="418"/>
      <c r="AB65" s="418"/>
      <c r="AC65" s="418"/>
      <c r="AD65" s="418"/>
      <c r="AE65" s="418"/>
      <c r="AF65" s="418"/>
      <c r="AG65" s="418"/>
    </row>
    <row r="66" spans="1:33" ht="13.5" customHeight="1" x14ac:dyDescent="0.2">
      <c r="A66" s="418"/>
      <c r="B66" s="418"/>
      <c r="C66" s="456"/>
      <c r="D66" s="456"/>
      <c r="E66" s="456"/>
      <c r="F66" s="456"/>
      <c r="G66" s="456"/>
      <c r="H66" s="418"/>
      <c r="I66" s="456"/>
      <c r="J66" s="456"/>
      <c r="K66" s="456"/>
      <c r="L66" s="456"/>
      <c r="M66" s="418"/>
      <c r="N66" s="418"/>
      <c r="O66" s="418"/>
      <c r="P66" s="420"/>
      <c r="Q66" s="420"/>
      <c r="R66" s="418"/>
      <c r="S66" s="418"/>
      <c r="T66" s="421" t="s">
        <v>2167</v>
      </c>
      <c r="U66" s="418"/>
      <c r="V66" s="418"/>
      <c r="W66" s="418"/>
      <c r="X66" s="418"/>
      <c r="Y66" s="418"/>
      <c r="Z66" s="418"/>
      <c r="AA66" s="418"/>
      <c r="AB66" s="418"/>
      <c r="AC66" s="418"/>
      <c r="AD66" s="418"/>
      <c r="AE66" s="418"/>
      <c r="AF66" s="418"/>
      <c r="AG66" s="418"/>
    </row>
    <row r="67" spans="1:33" ht="13.5" customHeight="1" x14ac:dyDescent="0.2">
      <c r="A67" s="418"/>
      <c r="B67" s="418"/>
      <c r="C67" s="418"/>
      <c r="D67" s="418"/>
      <c r="E67" s="418"/>
      <c r="F67" s="418"/>
      <c r="G67" s="418"/>
      <c r="H67" s="418"/>
      <c r="I67" s="418"/>
      <c r="J67" s="418"/>
      <c r="K67" s="418"/>
      <c r="L67" s="418"/>
      <c r="M67" s="418"/>
      <c r="N67" s="418"/>
      <c r="O67" s="418"/>
      <c r="P67" s="419"/>
      <c r="Q67" s="419"/>
      <c r="R67" s="418"/>
      <c r="S67" s="418"/>
      <c r="T67" s="418"/>
      <c r="U67" s="809" t="s">
        <v>573</v>
      </c>
      <c r="V67" s="809" t="s">
        <v>574</v>
      </c>
      <c r="W67" s="418"/>
      <c r="X67" s="418"/>
      <c r="Y67" s="418"/>
      <c r="Z67" s="418"/>
      <c r="AA67" s="418"/>
      <c r="AB67" s="418"/>
      <c r="AC67" s="418"/>
      <c r="AD67" s="418"/>
      <c r="AE67" s="418"/>
      <c r="AF67" s="418"/>
      <c r="AG67" s="418"/>
    </row>
    <row r="68" spans="1:33" ht="13.5" customHeight="1" x14ac:dyDescent="0.2">
      <c r="A68" s="418"/>
      <c r="B68" s="418"/>
      <c r="C68" s="418"/>
      <c r="D68" s="418"/>
      <c r="E68" s="418"/>
      <c r="F68" s="418"/>
      <c r="G68" s="418"/>
      <c r="H68" s="418"/>
      <c r="I68" s="418"/>
      <c r="J68" s="418"/>
      <c r="K68" s="418"/>
      <c r="L68" s="418"/>
      <c r="M68" s="418"/>
      <c r="N68" s="418"/>
      <c r="O68" s="418"/>
      <c r="P68" s="419"/>
      <c r="Q68" s="419"/>
      <c r="R68" s="418"/>
      <c r="S68" s="418"/>
      <c r="T68" s="421" t="s">
        <v>2162</v>
      </c>
      <c r="U68" s="418"/>
      <c r="V68" s="418"/>
      <c r="W68" s="418"/>
      <c r="X68" s="418"/>
      <c r="Y68" s="418"/>
      <c r="Z68" s="418"/>
      <c r="AA68" s="418"/>
      <c r="AB68" s="418"/>
      <c r="AC68" s="418"/>
      <c r="AD68" s="418"/>
      <c r="AE68" s="418"/>
      <c r="AF68" s="418"/>
      <c r="AG68" s="418"/>
    </row>
    <row r="69" spans="1:33" ht="13.5" customHeight="1" x14ac:dyDescent="0.2">
      <c r="A69" s="418"/>
      <c r="B69" s="418"/>
      <c r="C69" s="418"/>
      <c r="D69" s="418"/>
      <c r="E69" s="418"/>
      <c r="F69" s="418"/>
      <c r="G69" s="418"/>
      <c r="H69" s="418"/>
      <c r="I69" s="418"/>
      <c r="J69" s="418"/>
      <c r="K69" s="418"/>
      <c r="L69" s="418"/>
      <c r="M69" s="418"/>
      <c r="N69" s="418"/>
      <c r="O69" s="418"/>
      <c r="P69" s="419"/>
      <c r="Q69" s="419"/>
      <c r="R69" s="418"/>
      <c r="S69" s="418"/>
      <c r="T69" s="418" t="s">
        <v>1495</v>
      </c>
      <c r="U69" s="418"/>
      <c r="V69" s="418"/>
      <c r="W69" s="418"/>
      <c r="X69" s="418"/>
      <c r="Y69" s="418"/>
      <c r="Z69" s="418"/>
      <c r="AA69" s="418"/>
      <c r="AB69" s="418"/>
      <c r="AC69" s="418"/>
      <c r="AD69" s="418"/>
      <c r="AE69" s="418"/>
      <c r="AF69" s="418"/>
      <c r="AG69" s="418"/>
    </row>
    <row r="70" spans="1:33" ht="13.5" customHeight="1" x14ac:dyDescent="0.2">
      <c r="A70" s="418"/>
      <c r="B70" s="418"/>
      <c r="C70" s="418"/>
      <c r="D70" s="418"/>
      <c r="E70" s="418"/>
      <c r="F70" s="418"/>
      <c r="G70" s="418"/>
      <c r="H70" s="418"/>
      <c r="I70" s="418"/>
      <c r="J70" s="418"/>
      <c r="K70" s="418"/>
      <c r="L70" s="418"/>
      <c r="M70" s="418"/>
      <c r="N70" s="418"/>
      <c r="O70" s="418"/>
      <c r="P70" s="419"/>
      <c r="Q70" s="419"/>
      <c r="R70" s="418"/>
      <c r="S70" s="418"/>
      <c r="T70" s="418" t="s">
        <v>1494</v>
      </c>
      <c r="U70" s="418"/>
      <c r="V70" s="418"/>
      <c r="W70" s="418"/>
      <c r="X70" s="418"/>
      <c r="Y70" s="418"/>
      <c r="Z70" s="418"/>
      <c r="AA70" s="418"/>
      <c r="AB70" s="418"/>
      <c r="AC70" s="418"/>
      <c r="AD70" s="418"/>
      <c r="AE70" s="418"/>
      <c r="AF70" s="418"/>
      <c r="AG70" s="418"/>
    </row>
    <row r="71" spans="1:33" ht="13.5" customHeight="1" x14ac:dyDescent="0.2">
      <c r="A71" s="418"/>
      <c r="B71" s="418"/>
      <c r="C71" s="418"/>
      <c r="D71" s="418"/>
      <c r="E71" s="418"/>
      <c r="F71" s="418"/>
      <c r="G71" s="418"/>
      <c r="H71" s="418"/>
      <c r="I71" s="418"/>
      <c r="J71" s="418"/>
      <c r="K71" s="418"/>
      <c r="L71" s="418"/>
      <c r="M71" s="418"/>
      <c r="N71" s="418"/>
      <c r="O71" s="418"/>
      <c r="P71" s="419"/>
      <c r="Q71" s="419"/>
      <c r="R71" s="418"/>
      <c r="S71" s="418"/>
      <c r="T71" s="418"/>
      <c r="U71" s="418"/>
      <c r="V71" s="418"/>
      <c r="W71" s="418"/>
      <c r="X71" s="418"/>
      <c r="Y71" s="418"/>
      <c r="Z71" s="418"/>
      <c r="AA71" s="418"/>
      <c r="AB71" s="418"/>
      <c r="AC71" s="418"/>
      <c r="AD71" s="418"/>
      <c r="AE71" s="418"/>
      <c r="AF71" s="418"/>
      <c r="AG71" s="418"/>
    </row>
    <row r="72" spans="1:33" ht="13.5" customHeight="1" x14ac:dyDescent="0.2">
      <c r="A72" s="426"/>
      <c r="B72" s="418"/>
      <c r="C72" s="418"/>
      <c r="D72" s="418"/>
      <c r="E72" s="418"/>
      <c r="F72" s="418"/>
      <c r="G72" s="462"/>
      <c r="H72" s="418"/>
      <c r="I72" s="463"/>
      <c r="J72" s="418"/>
      <c r="K72" s="418"/>
      <c r="L72" s="462"/>
      <c r="M72" s="418"/>
      <c r="N72" s="418"/>
      <c r="O72" s="418"/>
      <c r="P72" s="418"/>
      <c r="Q72" s="418"/>
      <c r="R72" s="418"/>
      <c r="S72" s="418"/>
      <c r="T72" s="421" t="s">
        <v>1381</v>
      </c>
      <c r="U72" s="808"/>
      <c r="V72" s="418"/>
      <c r="W72" s="418"/>
      <c r="X72" s="418"/>
      <c r="Y72" s="418"/>
      <c r="Z72" s="418"/>
      <c r="AA72" s="418"/>
      <c r="AB72" s="418"/>
      <c r="AC72" s="418"/>
      <c r="AD72" s="418"/>
      <c r="AE72" s="418"/>
      <c r="AF72" s="418"/>
      <c r="AG72" s="418"/>
    </row>
    <row r="73" spans="1:33" ht="13.5" customHeight="1" x14ac:dyDescent="0.2">
      <c r="A73" s="418"/>
      <c r="B73" s="418"/>
      <c r="C73" s="418"/>
      <c r="D73" s="418"/>
      <c r="E73" s="418"/>
      <c r="F73" s="418"/>
      <c r="G73" s="462"/>
      <c r="H73" s="418"/>
      <c r="I73" s="463"/>
      <c r="J73" s="418"/>
      <c r="K73" s="418"/>
      <c r="L73" s="462"/>
      <c r="M73" s="418"/>
      <c r="N73" s="418"/>
      <c r="O73" s="418"/>
      <c r="P73" s="423"/>
      <c r="Q73" s="423"/>
      <c r="R73" s="418"/>
      <c r="S73" s="418"/>
      <c r="T73" s="418" t="s">
        <v>857</v>
      </c>
      <c r="U73" s="418"/>
      <c r="V73" s="418"/>
      <c r="W73" s="418"/>
      <c r="X73" s="418"/>
      <c r="Y73" s="418"/>
      <c r="Z73" s="418"/>
      <c r="AA73" s="418"/>
      <c r="AB73" s="418"/>
      <c r="AC73" s="418"/>
      <c r="AD73" s="418"/>
      <c r="AE73" s="418"/>
      <c r="AF73" s="418"/>
      <c r="AG73" s="418"/>
    </row>
    <row r="74" spans="1:33" ht="13.5" customHeight="1" x14ac:dyDescent="0.2">
      <c r="A74" s="421"/>
      <c r="B74" s="421"/>
      <c r="C74" s="464"/>
      <c r="D74" s="464"/>
      <c r="E74" s="421"/>
      <c r="F74" s="424"/>
      <c r="G74" s="457"/>
      <c r="H74" s="421"/>
      <c r="I74" s="464"/>
      <c r="J74" s="464"/>
      <c r="K74" s="424"/>
      <c r="L74" s="465"/>
      <c r="M74" s="418"/>
      <c r="N74" s="421"/>
      <c r="O74" s="418"/>
      <c r="P74" s="424"/>
      <c r="Q74" s="424"/>
      <c r="R74" s="418"/>
      <c r="S74" s="418"/>
      <c r="T74" s="418" t="s">
        <v>2166</v>
      </c>
      <c r="U74" s="418"/>
      <c r="V74" s="418"/>
      <c r="W74" s="418"/>
      <c r="X74" s="418"/>
      <c r="Y74" s="418"/>
      <c r="Z74" s="418"/>
      <c r="AA74" s="418"/>
      <c r="AB74" s="418"/>
      <c r="AC74" s="418"/>
      <c r="AD74" s="418"/>
      <c r="AE74" s="418"/>
      <c r="AF74" s="418"/>
      <c r="AG74" s="418"/>
    </row>
    <row r="75" spans="1:33" ht="13.5" customHeight="1" x14ac:dyDescent="0.2">
      <c r="A75" s="421"/>
      <c r="B75" s="421"/>
      <c r="C75" s="424"/>
      <c r="D75" s="424"/>
      <c r="E75" s="421"/>
      <c r="F75" s="424"/>
      <c r="G75" s="457"/>
      <c r="H75" s="421"/>
      <c r="I75" s="424"/>
      <c r="J75" s="424"/>
      <c r="K75" s="424"/>
      <c r="L75" s="465"/>
      <c r="M75" s="418"/>
      <c r="N75" s="418"/>
      <c r="O75" s="418"/>
      <c r="P75" s="425"/>
      <c r="Q75" s="425"/>
      <c r="R75" s="418"/>
      <c r="S75" s="418"/>
      <c r="T75" s="418" t="s">
        <v>809</v>
      </c>
      <c r="U75" s="418"/>
      <c r="V75" s="418"/>
      <c r="W75" s="418"/>
      <c r="X75" s="418"/>
      <c r="Y75" s="418"/>
      <c r="Z75" s="418"/>
      <c r="AA75" s="418"/>
      <c r="AB75" s="418"/>
      <c r="AC75" s="418"/>
      <c r="AD75" s="418"/>
      <c r="AE75" s="418"/>
      <c r="AF75" s="418"/>
      <c r="AG75" s="418"/>
    </row>
    <row r="76" spans="1:33" ht="13.5" customHeight="1" x14ac:dyDescent="0.2">
      <c r="A76" s="466"/>
      <c r="B76" s="418"/>
      <c r="C76" s="425"/>
      <c r="D76" s="425"/>
      <c r="E76" s="418"/>
      <c r="F76" s="418"/>
      <c r="G76" s="422"/>
      <c r="H76" s="418"/>
      <c r="I76" s="425"/>
      <c r="J76" s="425"/>
      <c r="K76" s="418"/>
      <c r="L76" s="422"/>
      <c r="M76" s="418"/>
      <c r="N76" s="418"/>
      <c r="O76" s="418"/>
      <c r="P76" s="418"/>
      <c r="Q76" s="418"/>
      <c r="R76" s="418"/>
      <c r="S76" s="418"/>
      <c r="T76" s="418" t="s">
        <v>582</v>
      </c>
      <c r="U76" s="418"/>
      <c r="V76" s="418"/>
      <c r="W76" s="418"/>
      <c r="X76" s="418"/>
      <c r="Y76" s="418"/>
      <c r="Z76" s="418"/>
      <c r="AA76" s="418"/>
      <c r="AB76" s="418"/>
      <c r="AC76" s="418"/>
      <c r="AD76" s="418"/>
      <c r="AE76" s="418"/>
      <c r="AF76" s="418"/>
      <c r="AG76" s="418"/>
    </row>
    <row r="77" spans="1:33" ht="13.5" customHeight="1" x14ac:dyDescent="0.2">
      <c r="A77" s="418"/>
      <c r="B77" s="418"/>
      <c r="C77" s="418"/>
      <c r="D77" s="418"/>
      <c r="E77" s="418"/>
      <c r="F77" s="418"/>
      <c r="G77" s="462"/>
      <c r="H77" s="418"/>
      <c r="I77" s="463"/>
      <c r="J77" s="418"/>
      <c r="K77" s="418"/>
      <c r="L77" s="462"/>
      <c r="M77" s="418"/>
      <c r="N77" s="421"/>
      <c r="O77" s="418"/>
      <c r="P77" s="421"/>
      <c r="Q77" s="421"/>
      <c r="R77" s="418"/>
      <c r="S77" s="418"/>
      <c r="T77" s="418" t="s">
        <v>1343</v>
      </c>
      <c r="U77" s="418"/>
      <c r="V77" s="418"/>
      <c r="W77" s="418"/>
      <c r="X77" s="418"/>
      <c r="Y77" s="418"/>
      <c r="Z77" s="418"/>
      <c r="AA77" s="418"/>
      <c r="AB77" s="418"/>
      <c r="AC77" s="418"/>
      <c r="AD77" s="418"/>
      <c r="AE77" s="418"/>
      <c r="AF77" s="418"/>
      <c r="AG77" s="418"/>
    </row>
    <row r="78" spans="1:33" ht="13.5" customHeight="1" x14ac:dyDescent="0.2">
      <c r="A78" s="418"/>
      <c r="B78" s="418"/>
      <c r="C78" s="458"/>
      <c r="D78" s="458"/>
      <c r="E78" s="458"/>
      <c r="F78" s="458"/>
      <c r="G78" s="467"/>
      <c r="H78" s="418"/>
      <c r="I78" s="468"/>
      <c r="J78" s="458"/>
      <c r="K78" s="458"/>
      <c r="L78" s="469"/>
      <c r="M78" s="418"/>
      <c r="N78" s="418"/>
      <c r="O78" s="418"/>
      <c r="P78" s="418"/>
      <c r="Q78" s="425"/>
      <c r="R78" s="418"/>
      <c r="S78" s="418"/>
      <c r="T78" s="418"/>
      <c r="U78" s="418"/>
      <c r="V78" s="418"/>
      <c r="W78" s="418"/>
      <c r="X78" s="418"/>
      <c r="Y78" s="418"/>
      <c r="Z78" s="418"/>
      <c r="AA78" s="418"/>
      <c r="AB78" s="418"/>
      <c r="AC78" s="418"/>
      <c r="AD78" s="418"/>
      <c r="AE78" s="418"/>
      <c r="AF78" s="418"/>
      <c r="AG78" s="418"/>
    </row>
    <row r="79" spans="1:33" ht="6.75" customHeight="1" x14ac:dyDescent="0.2">
      <c r="A79" s="418"/>
      <c r="B79" s="418"/>
      <c r="C79" s="459"/>
      <c r="D79" s="459"/>
      <c r="E79" s="459"/>
      <c r="F79" s="418"/>
      <c r="G79" s="467"/>
      <c r="H79" s="418"/>
      <c r="I79" s="470"/>
      <c r="J79" s="459"/>
      <c r="K79" s="418"/>
      <c r="L79" s="467"/>
      <c r="M79" s="418"/>
      <c r="N79" s="418"/>
      <c r="O79" s="418"/>
      <c r="P79" s="418"/>
      <c r="Q79" s="418"/>
      <c r="R79" s="418"/>
      <c r="S79" s="418"/>
      <c r="T79" s="418"/>
      <c r="U79" s="418"/>
      <c r="V79" s="418"/>
      <c r="W79" s="418"/>
      <c r="X79" s="418"/>
      <c r="Y79" s="418"/>
      <c r="Z79" s="418"/>
      <c r="AA79" s="418"/>
      <c r="AB79" s="418"/>
      <c r="AC79" s="418"/>
      <c r="AD79" s="418"/>
      <c r="AE79" s="418"/>
      <c r="AF79" s="418"/>
      <c r="AG79" s="418"/>
    </row>
    <row r="80" spans="1:33" ht="13.5" customHeight="1" x14ac:dyDescent="0.2">
      <c r="A80" s="418"/>
      <c r="B80" s="418"/>
      <c r="C80" s="460"/>
      <c r="D80" s="460"/>
      <c r="E80" s="423"/>
      <c r="F80" s="460"/>
      <c r="G80" s="467"/>
      <c r="H80" s="418"/>
      <c r="I80" s="471"/>
      <c r="J80" s="460"/>
      <c r="K80" s="423"/>
      <c r="L80" s="469"/>
      <c r="M80" s="418"/>
      <c r="N80" s="418"/>
      <c r="O80" s="418"/>
      <c r="P80" s="418"/>
      <c r="Q80" s="418"/>
      <c r="R80" s="418"/>
      <c r="S80" s="418"/>
      <c r="T80" s="418"/>
      <c r="U80" s="418"/>
      <c r="V80" s="418"/>
      <c r="W80" s="418"/>
      <c r="X80" s="421" t="s">
        <v>1982</v>
      </c>
      <c r="Y80" s="418"/>
      <c r="Z80" s="418"/>
      <c r="AA80" s="418"/>
      <c r="AB80" s="418"/>
      <c r="AC80" s="418"/>
      <c r="AD80" s="418"/>
      <c r="AE80" s="418"/>
      <c r="AF80" s="418"/>
      <c r="AG80" s="418"/>
    </row>
    <row r="81" spans="1:33" ht="13.5" customHeight="1" x14ac:dyDescent="0.2">
      <c r="A81" s="418"/>
      <c r="B81" s="418"/>
      <c r="C81" s="418"/>
      <c r="D81" s="418"/>
      <c r="E81" s="418"/>
      <c r="F81" s="460"/>
      <c r="G81" s="467"/>
      <c r="H81" s="418"/>
      <c r="I81" s="463"/>
      <c r="J81" s="418"/>
      <c r="K81" s="460"/>
      <c r="L81" s="469"/>
      <c r="M81" s="418"/>
      <c r="N81" s="418"/>
      <c r="O81" s="418"/>
      <c r="P81" s="418"/>
      <c r="Q81" s="418"/>
      <c r="R81" s="418"/>
      <c r="S81" s="418"/>
      <c r="T81" s="418"/>
      <c r="U81" s="418"/>
      <c r="V81" s="418"/>
      <c r="W81" s="418"/>
      <c r="X81" s="418" t="s">
        <v>1990</v>
      </c>
      <c r="Y81" s="418"/>
      <c r="Z81" s="418"/>
      <c r="AA81" s="418"/>
      <c r="AB81" s="418"/>
      <c r="AC81" s="418"/>
      <c r="AD81" s="418"/>
      <c r="AE81" s="418"/>
      <c r="AF81" s="418"/>
      <c r="AG81" s="418"/>
    </row>
    <row r="82" spans="1:33" ht="13.5" customHeight="1" x14ac:dyDescent="0.2">
      <c r="A82" s="418"/>
      <c r="B82" s="418"/>
      <c r="C82" s="418"/>
      <c r="D82" s="418"/>
      <c r="E82" s="418"/>
      <c r="F82" s="460"/>
      <c r="G82" s="467"/>
      <c r="H82" s="418"/>
      <c r="I82" s="463"/>
      <c r="J82" s="418"/>
      <c r="K82" s="460"/>
      <c r="L82" s="469"/>
      <c r="M82" s="418"/>
      <c r="N82" s="418"/>
      <c r="O82" s="418"/>
      <c r="P82" s="418"/>
      <c r="Q82" s="418"/>
      <c r="R82" s="418"/>
      <c r="S82" s="418"/>
      <c r="T82" s="418"/>
      <c r="U82" s="418"/>
      <c r="V82" s="418"/>
      <c r="W82" s="418"/>
      <c r="X82" s="810" t="s">
        <v>1985</v>
      </c>
      <c r="Y82" s="418"/>
      <c r="Z82" s="418"/>
      <c r="AA82" s="418"/>
      <c r="AB82" s="418"/>
      <c r="AC82" s="418"/>
      <c r="AD82" s="418"/>
      <c r="AE82" s="418"/>
      <c r="AF82" s="418"/>
      <c r="AG82" s="418"/>
    </row>
    <row r="83" spans="1:33" ht="13.5" customHeight="1" x14ac:dyDescent="0.2">
      <c r="A83" s="418"/>
      <c r="B83" s="418"/>
      <c r="C83" s="418"/>
      <c r="D83" s="418"/>
      <c r="E83" s="418"/>
      <c r="F83" s="460"/>
      <c r="G83" s="467"/>
      <c r="H83" s="418"/>
      <c r="I83" s="463"/>
      <c r="J83" s="418"/>
      <c r="K83" s="460"/>
      <c r="L83" s="469"/>
      <c r="M83" s="418"/>
      <c r="N83" s="418"/>
      <c r="O83" s="418"/>
      <c r="P83" s="418"/>
      <c r="Q83" s="418"/>
      <c r="R83" s="418"/>
      <c r="S83" s="418"/>
      <c r="T83" s="418"/>
      <c r="U83" s="418"/>
      <c r="V83" s="418"/>
      <c r="W83" s="418"/>
      <c r="X83" s="418"/>
      <c r="Y83" s="418"/>
      <c r="Z83" s="418"/>
      <c r="AA83" s="418"/>
      <c r="AB83" s="418"/>
      <c r="AC83" s="418"/>
      <c r="AD83" s="418"/>
      <c r="AE83" s="418"/>
      <c r="AF83" s="418"/>
      <c r="AG83" s="418"/>
    </row>
    <row r="84" spans="1:33" ht="13.5" customHeight="1" x14ac:dyDescent="0.2">
      <c r="A84" s="418"/>
      <c r="B84" s="418"/>
      <c r="C84" s="418"/>
      <c r="D84" s="418"/>
      <c r="E84" s="418"/>
      <c r="F84" s="418"/>
      <c r="G84" s="462"/>
      <c r="H84" s="418"/>
      <c r="I84" s="463"/>
      <c r="J84" s="418"/>
      <c r="K84" s="418"/>
      <c r="L84" s="462"/>
      <c r="M84" s="418"/>
      <c r="N84" s="418"/>
      <c r="O84" s="418"/>
      <c r="P84" s="418"/>
      <c r="Q84" s="418"/>
      <c r="R84" s="418"/>
      <c r="S84" s="418"/>
      <c r="T84" s="418"/>
      <c r="U84" s="418"/>
      <c r="V84" s="418"/>
      <c r="W84" s="418"/>
      <c r="X84" s="418"/>
      <c r="Y84" s="815" t="s">
        <v>855</v>
      </c>
      <c r="Z84" s="816"/>
      <c r="AA84" s="816"/>
      <c r="AB84" s="418"/>
      <c r="AC84" s="418"/>
      <c r="AD84" s="418"/>
      <c r="AE84" s="418"/>
      <c r="AF84" s="418"/>
      <c r="AG84" s="418"/>
    </row>
    <row r="85" spans="1:33" ht="13.5" customHeight="1" x14ac:dyDescent="0.2">
      <c r="A85" s="418"/>
      <c r="B85" s="418"/>
      <c r="C85" s="458"/>
      <c r="D85" s="458"/>
      <c r="E85" s="423"/>
      <c r="F85" s="460"/>
      <c r="G85" s="467"/>
      <c r="H85" s="418"/>
      <c r="I85" s="468"/>
      <c r="J85" s="460"/>
      <c r="K85" s="423"/>
      <c r="L85" s="469"/>
      <c r="M85" s="418"/>
      <c r="N85" s="418"/>
      <c r="O85" s="418"/>
      <c r="P85" s="418"/>
      <c r="Q85" s="418"/>
      <c r="R85" s="418"/>
      <c r="S85" s="418"/>
      <c r="T85" s="418"/>
      <c r="U85" s="418"/>
      <c r="V85" s="418"/>
      <c r="W85" s="418"/>
      <c r="X85" s="418"/>
      <c r="Y85" s="817" t="s">
        <v>1988</v>
      </c>
      <c r="Z85" s="817" t="s">
        <v>1987</v>
      </c>
      <c r="AA85" s="817"/>
      <c r="AB85" s="418"/>
      <c r="AC85" s="418"/>
      <c r="AD85" s="418"/>
      <c r="AE85" s="418"/>
      <c r="AF85" s="418"/>
      <c r="AG85" s="418"/>
    </row>
    <row r="86" spans="1:33" ht="13.5" customHeight="1" x14ac:dyDescent="0.2">
      <c r="A86" s="418"/>
      <c r="B86" s="418"/>
      <c r="C86" s="458"/>
      <c r="D86" s="458"/>
      <c r="E86" s="423"/>
      <c r="F86" s="460"/>
      <c r="G86" s="467"/>
      <c r="H86" s="418"/>
      <c r="I86" s="468"/>
      <c r="J86" s="460"/>
      <c r="K86" s="423"/>
      <c r="L86" s="469"/>
      <c r="M86" s="418"/>
      <c r="N86" s="418"/>
      <c r="O86" s="418"/>
      <c r="P86" s="418"/>
      <c r="Q86" s="418"/>
      <c r="R86" s="418"/>
      <c r="S86" s="418"/>
      <c r="T86" s="418"/>
      <c r="U86" s="418"/>
      <c r="V86" s="418"/>
      <c r="W86" s="418"/>
      <c r="X86" s="418"/>
      <c r="Y86" s="817" t="s">
        <v>1863</v>
      </c>
      <c r="Z86" s="817" t="s">
        <v>1983</v>
      </c>
      <c r="AA86" s="817" t="s">
        <v>1253</v>
      </c>
      <c r="AB86" s="418"/>
      <c r="AC86" s="418"/>
      <c r="AD86" s="418"/>
      <c r="AE86" s="418"/>
      <c r="AF86" s="418"/>
      <c r="AG86" s="418"/>
    </row>
    <row r="87" spans="1:33" ht="13.5" customHeight="1" x14ac:dyDescent="0.2">
      <c r="A87" s="418"/>
      <c r="B87" s="418"/>
      <c r="C87" s="459"/>
      <c r="D87" s="459"/>
      <c r="E87" s="459"/>
      <c r="F87" s="418"/>
      <c r="G87" s="467"/>
      <c r="H87" s="418"/>
      <c r="I87" s="470"/>
      <c r="J87" s="459"/>
      <c r="K87" s="418"/>
      <c r="L87" s="467"/>
      <c r="M87" s="418"/>
      <c r="N87" s="418"/>
      <c r="O87" s="418"/>
      <c r="P87" s="418"/>
      <c r="Q87" s="418"/>
      <c r="R87" s="418"/>
      <c r="S87" s="418"/>
      <c r="T87" s="418"/>
      <c r="U87" s="418"/>
      <c r="V87" s="418"/>
      <c r="W87" s="418"/>
      <c r="X87" s="418"/>
      <c r="Y87" s="418"/>
      <c r="Z87" s="418"/>
      <c r="AA87" s="418"/>
      <c r="AB87" s="418"/>
      <c r="AC87" s="418"/>
      <c r="AD87" s="418"/>
      <c r="AE87" s="418"/>
      <c r="AF87" s="418"/>
      <c r="AG87" s="418"/>
    </row>
    <row r="88" spans="1:33" ht="13.5" customHeight="1" x14ac:dyDescent="0.2">
      <c r="A88" s="418"/>
      <c r="B88" s="418"/>
      <c r="C88" s="460"/>
      <c r="D88" s="460"/>
      <c r="E88" s="423"/>
      <c r="F88" s="460"/>
      <c r="G88" s="467"/>
      <c r="H88" s="418"/>
      <c r="I88" s="471"/>
      <c r="J88" s="460"/>
      <c r="K88" s="423"/>
      <c r="L88" s="469"/>
      <c r="M88" s="418"/>
      <c r="N88" s="418"/>
      <c r="O88" s="418"/>
      <c r="P88" s="418"/>
      <c r="Q88" s="418"/>
      <c r="R88" s="418"/>
      <c r="S88" s="418"/>
      <c r="T88" s="418"/>
      <c r="U88" s="418"/>
      <c r="V88" s="418"/>
      <c r="W88" s="418"/>
      <c r="X88" s="418" t="s">
        <v>13</v>
      </c>
      <c r="Y88" s="813">
        <v>242</v>
      </c>
      <c r="Z88" s="813">
        <v>185.61073457316519</v>
      </c>
      <c r="AA88" s="811">
        <v>0.26</v>
      </c>
      <c r="AB88" s="418"/>
      <c r="AC88" s="418"/>
      <c r="AD88" s="418"/>
      <c r="AE88" s="418"/>
      <c r="AF88" s="418"/>
      <c r="AG88" s="418"/>
    </row>
    <row r="89" spans="1:33" ht="13.5" customHeight="1" x14ac:dyDescent="0.2">
      <c r="A89" s="418"/>
      <c r="B89" s="418"/>
      <c r="C89" s="418"/>
      <c r="D89" s="418"/>
      <c r="E89" s="418"/>
      <c r="F89" s="460"/>
      <c r="G89" s="467"/>
      <c r="H89" s="418"/>
      <c r="I89" s="463"/>
      <c r="J89" s="418"/>
      <c r="K89" s="460"/>
      <c r="L89" s="469"/>
      <c r="M89" s="418"/>
      <c r="N89" s="418"/>
      <c r="O89" s="418"/>
      <c r="P89" s="418"/>
      <c r="Q89" s="418"/>
      <c r="R89" s="418"/>
      <c r="S89" s="418"/>
      <c r="T89" s="418"/>
      <c r="U89" s="418"/>
      <c r="V89" s="418"/>
      <c r="W89" s="418"/>
      <c r="X89" s="418"/>
      <c r="Y89" s="418"/>
      <c r="Z89" s="418"/>
      <c r="AA89" s="418"/>
      <c r="AB89" s="418"/>
      <c r="AC89" s="418"/>
      <c r="AD89" s="418"/>
      <c r="AE89" s="418"/>
      <c r="AF89" s="418"/>
      <c r="AG89" s="418"/>
    </row>
    <row r="90" spans="1:33" ht="13.5" customHeight="1" x14ac:dyDescent="0.2">
      <c r="A90" s="418"/>
      <c r="B90" s="418"/>
      <c r="C90" s="418"/>
      <c r="D90" s="418"/>
      <c r="E90" s="418"/>
      <c r="F90" s="418"/>
      <c r="G90" s="462"/>
      <c r="H90" s="418"/>
      <c r="I90" s="463"/>
      <c r="J90" s="418"/>
      <c r="K90" s="418"/>
      <c r="L90" s="462"/>
      <c r="M90" s="418"/>
      <c r="N90" s="418"/>
      <c r="O90" s="418"/>
      <c r="P90" s="418"/>
      <c r="Q90" s="418"/>
      <c r="R90" s="418"/>
      <c r="S90" s="418"/>
      <c r="T90" s="418"/>
      <c r="U90" s="418"/>
      <c r="V90" s="418"/>
      <c r="W90" s="418"/>
      <c r="X90" s="418" t="s">
        <v>1984</v>
      </c>
      <c r="Y90" s="813">
        <v>244.5</v>
      </c>
      <c r="Z90" s="813">
        <v>191.9</v>
      </c>
      <c r="AA90" s="811">
        <v>0.27</v>
      </c>
      <c r="AB90" s="418"/>
      <c r="AC90" s="418"/>
      <c r="AD90" s="418"/>
      <c r="AE90" s="418"/>
      <c r="AF90" s="418"/>
      <c r="AG90" s="418"/>
    </row>
    <row r="91" spans="1:33" ht="13.5" customHeight="1" x14ac:dyDescent="0.2">
      <c r="A91" s="418"/>
      <c r="B91" s="418"/>
      <c r="C91" s="458"/>
      <c r="D91" s="458"/>
      <c r="E91" s="423"/>
      <c r="F91" s="460"/>
      <c r="G91" s="467"/>
      <c r="H91" s="418"/>
      <c r="I91" s="468"/>
      <c r="J91" s="460"/>
      <c r="K91" s="423"/>
      <c r="L91" s="469"/>
      <c r="M91" s="418"/>
      <c r="N91" s="418"/>
      <c r="O91" s="418"/>
      <c r="P91" s="418"/>
      <c r="Q91" s="418"/>
      <c r="R91" s="418"/>
      <c r="S91" s="418"/>
      <c r="T91" s="418"/>
      <c r="U91" s="418"/>
      <c r="V91" s="418"/>
      <c r="W91" s="418"/>
      <c r="X91" s="418"/>
      <c r="Y91" s="418"/>
      <c r="Z91" s="418"/>
      <c r="AA91" s="418"/>
      <c r="AB91" s="418"/>
      <c r="AC91" s="418"/>
      <c r="AD91" s="418"/>
      <c r="AE91" s="418"/>
      <c r="AF91" s="418"/>
      <c r="AG91" s="418"/>
    </row>
    <row r="92" spans="1:33" ht="13.5" customHeight="1" x14ac:dyDescent="0.2">
      <c r="A92" s="418"/>
      <c r="B92" s="418"/>
      <c r="C92" s="459"/>
      <c r="D92" s="459"/>
      <c r="E92" s="459"/>
      <c r="F92" s="418"/>
      <c r="G92" s="467"/>
      <c r="H92" s="418"/>
      <c r="I92" s="470"/>
      <c r="J92" s="459"/>
      <c r="K92" s="418"/>
      <c r="L92" s="467"/>
      <c r="M92" s="418"/>
      <c r="N92" s="418"/>
      <c r="O92" s="418"/>
      <c r="P92" s="418"/>
      <c r="Q92" s="418"/>
      <c r="R92" s="418"/>
      <c r="S92" s="418"/>
      <c r="T92" s="418"/>
      <c r="U92" s="418"/>
      <c r="V92" s="418"/>
      <c r="W92" s="418"/>
      <c r="X92" s="418" t="s">
        <v>1782</v>
      </c>
      <c r="Y92" s="814"/>
      <c r="Z92" s="812" t="s">
        <v>1989</v>
      </c>
      <c r="AA92" s="812" t="s">
        <v>1986</v>
      </c>
      <c r="AB92" s="418"/>
      <c r="AC92" s="418"/>
      <c r="AD92" s="418"/>
      <c r="AE92" s="418"/>
      <c r="AF92" s="418"/>
      <c r="AG92" s="418"/>
    </row>
    <row r="93" spans="1:33" ht="13.5" customHeight="1" x14ac:dyDescent="0.2">
      <c r="A93" s="418"/>
      <c r="B93" s="418"/>
      <c r="C93" s="460"/>
      <c r="D93" s="460"/>
      <c r="E93" s="423"/>
      <c r="F93" s="460"/>
      <c r="G93" s="467"/>
      <c r="H93" s="418"/>
      <c r="I93" s="471"/>
      <c r="J93" s="460"/>
      <c r="K93" s="423"/>
      <c r="L93" s="469"/>
      <c r="M93" s="418"/>
      <c r="N93" s="418"/>
      <c r="O93" s="418"/>
      <c r="P93" s="418"/>
      <c r="Q93" s="418"/>
      <c r="R93" s="418"/>
      <c r="S93" s="418"/>
      <c r="T93" s="418"/>
      <c r="U93" s="418"/>
      <c r="V93" s="418"/>
      <c r="W93" s="418"/>
      <c r="X93" s="418"/>
      <c r="Y93" s="418"/>
      <c r="Z93" s="418"/>
      <c r="AA93" s="418"/>
      <c r="AB93" s="418"/>
      <c r="AC93" s="418"/>
      <c r="AD93" s="418"/>
      <c r="AE93" s="418"/>
      <c r="AF93" s="418"/>
      <c r="AG93" s="418"/>
    </row>
    <row r="94" spans="1:33" ht="24.95" customHeight="1" x14ac:dyDescent="0.2">
      <c r="A94" s="418"/>
      <c r="B94" s="418"/>
      <c r="C94" s="418"/>
      <c r="D94" s="418"/>
      <c r="E94" s="418"/>
      <c r="F94" s="460"/>
      <c r="G94" s="467"/>
      <c r="H94" s="418"/>
      <c r="I94" s="463"/>
      <c r="J94" s="418"/>
      <c r="K94" s="460"/>
      <c r="L94" s="469"/>
      <c r="M94" s="418"/>
      <c r="N94" s="418"/>
      <c r="O94" s="418"/>
      <c r="P94" s="418"/>
      <c r="Q94" s="418"/>
      <c r="R94" s="418"/>
      <c r="S94" s="418"/>
      <c r="T94" s="418"/>
      <c r="U94" s="418"/>
      <c r="V94" s="418"/>
      <c r="W94" s="418"/>
      <c r="X94" s="418"/>
      <c r="Y94" s="418"/>
      <c r="Z94" s="418"/>
      <c r="AA94" s="418"/>
      <c r="AB94" s="418"/>
      <c r="AC94" s="418"/>
      <c r="AD94" s="421" t="s">
        <v>1991</v>
      </c>
      <c r="AE94" s="418"/>
      <c r="AF94" s="418"/>
      <c r="AG94" s="418"/>
    </row>
    <row r="95" spans="1:33" ht="3.95" customHeight="1" x14ac:dyDescent="0.2">
      <c r="A95" s="426"/>
      <c r="B95" s="418"/>
      <c r="C95" s="418"/>
      <c r="D95" s="418"/>
      <c r="E95" s="418"/>
      <c r="F95" s="418"/>
      <c r="G95" s="418"/>
      <c r="H95" s="418"/>
      <c r="I95" s="418"/>
      <c r="J95" s="418"/>
      <c r="K95" s="418"/>
      <c r="L95" s="418"/>
      <c r="M95" s="418"/>
      <c r="N95" s="418"/>
      <c r="O95" s="418"/>
      <c r="P95" s="418"/>
      <c r="Q95" s="418"/>
      <c r="R95" s="418"/>
      <c r="S95" s="418"/>
      <c r="T95" s="418"/>
      <c r="U95" s="418"/>
      <c r="V95" s="418"/>
      <c r="W95" s="418"/>
      <c r="X95" s="418"/>
      <c r="Y95" s="418"/>
      <c r="Z95" s="418"/>
      <c r="AA95" s="418"/>
      <c r="AB95" s="418"/>
      <c r="AC95" s="418"/>
      <c r="AD95" s="820"/>
      <c r="AE95" s="418"/>
      <c r="AF95" s="418"/>
      <c r="AG95" s="418"/>
    </row>
    <row r="96" spans="1:33" ht="30" customHeight="1" x14ac:dyDescent="0.2">
      <c r="A96" s="426"/>
      <c r="B96" s="418"/>
      <c r="C96" s="418"/>
      <c r="D96" s="418"/>
      <c r="E96" s="418"/>
      <c r="F96" s="418"/>
      <c r="G96" s="418"/>
      <c r="H96" s="418"/>
      <c r="I96" s="418"/>
      <c r="J96" s="418"/>
      <c r="K96" s="418"/>
      <c r="L96" s="418"/>
      <c r="M96" s="418"/>
      <c r="N96" s="418"/>
      <c r="O96" s="418"/>
      <c r="P96" s="418"/>
      <c r="Q96" s="418"/>
      <c r="R96" s="418"/>
      <c r="S96" s="418"/>
      <c r="T96" s="418"/>
      <c r="U96" s="418"/>
      <c r="V96" s="418"/>
      <c r="W96" s="418"/>
      <c r="X96" s="418"/>
      <c r="Y96" s="418"/>
      <c r="Z96" s="418"/>
      <c r="AA96" s="418"/>
      <c r="AB96" s="418"/>
      <c r="AC96" s="418"/>
      <c r="AD96" s="819" t="s">
        <v>601</v>
      </c>
      <c r="AE96" s="818" t="s">
        <v>425</v>
      </c>
      <c r="AF96" s="818" t="s">
        <v>602</v>
      </c>
      <c r="AG96" s="818" t="s">
        <v>426</v>
      </c>
    </row>
    <row r="97" spans="1:41" ht="6" customHeight="1" x14ac:dyDescent="0.2">
      <c r="A97" s="426"/>
      <c r="B97" s="418"/>
      <c r="C97" s="418"/>
      <c r="D97" s="418"/>
      <c r="E97" s="418"/>
      <c r="F97" s="418"/>
      <c r="G97" s="418"/>
      <c r="H97" s="418"/>
      <c r="I97" s="418"/>
      <c r="J97" s="418"/>
      <c r="K97" s="418"/>
      <c r="L97" s="418"/>
      <c r="M97" s="418"/>
      <c r="N97" s="418"/>
      <c r="O97" s="418"/>
      <c r="P97" s="418"/>
      <c r="Q97" s="418"/>
      <c r="R97" s="418"/>
      <c r="S97" s="418"/>
      <c r="T97" s="418"/>
      <c r="U97" s="418"/>
      <c r="V97" s="418"/>
      <c r="W97" s="418"/>
      <c r="X97" s="418"/>
      <c r="Y97" s="418"/>
      <c r="Z97" s="418"/>
      <c r="AA97" s="418"/>
      <c r="AB97" s="418"/>
      <c r="AC97" s="418"/>
      <c r="AD97" s="822"/>
      <c r="AE97" s="418"/>
      <c r="AF97" s="418"/>
      <c r="AG97" s="418"/>
    </row>
    <row r="98" spans="1:41" ht="50.1" customHeight="1" x14ac:dyDescent="0.2">
      <c r="A98" s="421"/>
      <c r="B98" s="421"/>
      <c r="C98" s="464"/>
      <c r="D98" s="464"/>
      <c r="E98" s="421"/>
      <c r="F98" s="424"/>
      <c r="G98" s="457"/>
      <c r="H98" s="421"/>
      <c r="I98" s="464"/>
      <c r="J98" s="421"/>
      <c r="K98" s="424"/>
      <c r="L98" s="465"/>
      <c r="M98" s="418"/>
      <c r="N98" s="418"/>
      <c r="O98" s="418"/>
      <c r="P98" s="418"/>
      <c r="Q98" s="418"/>
      <c r="R98" s="418"/>
      <c r="S98" s="418"/>
      <c r="T98" s="418"/>
      <c r="U98" s="418"/>
      <c r="V98" s="418"/>
      <c r="W98" s="418"/>
      <c r="X98" s="418"/>
      <c r="Y98" s="418"/>
      <c r="Z98" s="418"/>
      <c r="AA98" s="418"/>
      <c r="AB98" s="418"/>
      <c r="AC98" s="418"/>
      <c r="AD98" s="823" t="s">
        <v>2252</v>
      </c>
      <c r="AE98" s="826" t="s">
        <v>427</v>
      </c>
      <c r="AF98" s="826" t="s">
        <v>433</v>
      </c>
      <c r="AG98" s="826" t="s">
        <v>429</v>
      </c>
    </row>
    <row r="99" spans="1:41" ht="6" customHeight="1" x14ac:dyDescent="0.2">
      <c r="A99" s="421"/>
      <c r="B99" s="421"/>
      <c r="C99" s="424"/>
      <c r="D99" s="424"/>
      <c r="E99" s="421"/>
      <c r="F99" s="424"/>
      <c r="G99" s="457"/>
      <c r="H99" s="421"/>
      <c r="I99" s="424"/>
      <c r="J99" s="421"/>
      <c r="K99" s="424"/>
      <c r="L99" s="465"/>
      <c r="M99" s="418"/>
      <c r="N99" s="418"/>
      <c r="O99" s="418"/>
      <c r="P99" s="418"/>
      <c r="Q99" s="418"/>
      <c r="R99" s="418"/>
      <c r="S99" s="418"/>
      <c r="T99" s="418"/>
      <c r="U99" s="418"/>
      <c r="V99" s="418"/>
      <c r="W99" s="418"/>
      <c r="X99" s="418"/>
      <c r="Y99" s="418"/>
      <c r="Z99" s="418"/>
      <c r="AA99" s="418"/>
      <c r="AB99" s="418"/>
      <c r="AC99" s="418"/>
      <c r="AD99" s="821"/>
      <c r="AE99" s="827"/>
      <c r="AF99" s="827"/>
      <c r="AG99" s="827"/>
    </row>
    <row r="100" spans="1:41" ht="27.95" customHeight="1" x14ac:dyDescent="0.2">
      <c r="A100" s="466"/>
      <c r="B100" s="418"/>
      <c r="C100" s="425"/>
      <c r="D100" s="425"/>
      <c r="E100" s="418"/>
      <c r="F100" s="418"/>
      <c r="G100" s="422"/>
      <c r="H100" s="418"/>
      <c r="I100" s="425"/>
      <c r="J100" s="418"/>
      <c r="K100" s="418"/>
      <c r="L100" s="422"/>
      <c r="M100" s="418"/>
      <c r="N100" s="418"/>
      <c r="O100" s="418"/>
      <c r="P100" s="418"/>
      <c r="Q100" s="418"/>
      <c r="R100" s="418"/>
      <c r="S100" s="418"/>
      <c r="T100" s="418"/>
      <c r="U100" s="418"/>
      <c r="V100" s="418"/>
      <c r="W100" s="418"/>
      <c r="X100" s="418"/>
      <c r="Y100" s="418"/>
      <c r="Z100" s="418"/>
      <c r="AA100" s="418"/>
      <c r="AB100" s="418"/>
      <c r="AC100" s="418"/>
      <c r="AD100" s="823" t="s">
        <v>2253</v>
      </c>
      <c r="AE100" s="826" t="s">
        <v>428</v>
      </c>
      <c r="AF100" s="826" t="s">
        <v>428</v>
      </c>
      <c r="AG100" s="826" t="s">
        <v>429</v>
      </c>
    </row>
    <row r="101" spans="1:41" ht="6" customHeight="1" x14ac:dyDescent="0.2">
      <c r="A101" s="426"/>
      <c r="B101" s="418"/>
      <c r="C101" s="418"/>
      <c r="D101" s="418"/>
      <c r="E101" s="418"/>
      <c r="F101" s="418"/>
      <c r="G101" s="418"/>
      <c r="H101" s="418"/>
      <c r="I101" s="418"/>
      <c r="J101" s="418"/>
      <c r="K101" s="418"/>
      <c r="L101" s="418"/>
      <c r="M101" s="418"/>
      <c r="N101" s="418"/>
      <c r="O101" s="418"/>
      <c r="P101" s="418"/>
      <c r="Q101" s="418"/>
      <c r="R101" s="418"/>
      <c r="S101" s="418"/>
      <c r="T101" s="418"/>
      <c r="U101" s="418"/>
      <c r="V101" s="418"/>
      <c r="W101" s="418"/>
      <c r="X101" s="418"/>
      <c r="Y101" s="418"/>
      <c r="Z101" s="418"/>
      <c r="AA101" s="418"/>
      <c r="AB101" s="418"/>
      <c r="AC101" s="418"/>
      <c r="AD101" s="821"/>
      <c r="AE101" s="826"/>
      <c r="AF101" s="826"/>
      <c r="AG101" s="826"/>
    </row>
    <row r="102" spans="1:41" ht="27.95" customHeight="1" x14ac:dyDescent="0.2">
      <c r="A102" s="418"/>
      <c r="B102" s="418"/>
      <c r="C102" s="458"/>
      <c r="D102" s="458"/>
      <c r="E102" s="472"/>
      <c r="F102" s="458"/>
      <c r="G102" s="467"/>
      <c r="H102" s="418"/>
      <c r="I102" s="468"/>
      <c r="J102" s="473"/>
      <c r="K102" s="458"/>
      <c r="L102" s="469"/>
      <c r="M102" s="418"/>
      <c r="N102" s="418"/>
      <c r="O102" s="418"/>
      <c r="P102" s="418"/>
      <c r="Q102" s="418"/>
      <c r="R102" s="418"/>
      <c r="S102" s="418"/>
      <c r="T102" s="418"/>
      <c r="U102" s="418"/>
      <c r="V102" s="418"/>
      <c r="W102" s="418"/>
      <c r="X102" s="418"/>
      <c r="Y102" s="418"/>
      <c r="Z102" s="418"/>
      <c r="AA102" s="418"/>
      <c r="AB102" s="418"/>
      <c r="AC102" s="418"/>
      <c r="AD102" s="824" t="s">
        <v>638</v>
      </c>
      <c r="AE102" s="828" t="s">
        <v>430</v>
      </c>
      <c r="AF102" s="826" t="s">
        <v>431</v>
      </c>
      <c r="AG102" s="826" t="s">
        <v>432</v>
      </c>
    </row>
    <row r="103" spans="1:41" ht="6" customHeight="1" x14ac:dyDescent="0.2">
      <c r="A103" s="418"/>
      <c r="B103" s="418"/>
      <c r="C103" s="459"/>
      <c r="D103" s="459"/>
      <c r="E103" s="474"/>
      <c r="F103" s="418"/>
      <c r="G103" s="467"/>
      <c r="H103" s="418"/>
      <c r="I103" s="470"/>
      <c r="J103" s="474"/>
      <c r="K103" s="418"/>
      <c r="L103" s="467"/>
      <c r="M103" s="418"/>
      <c r="N103" s="418"/>
      <c r="O103" s="418"/>
      <c r="P103" s="418"/>
      <c r="Q103" s="418"/>
      <c r="R103" s="418"/>
      <c r="S103" s="418"/>
      <c r="T103" s="418"/>
      <c r="U103" s="418"/>
      <c r="V103" s="418"/>
      <c r="W103" s="418"/>
      <c r="X103" s="418"/>
      <c r="Y103" s="418"/>
      <c r="Z103" s="418"/>
      <c r="AA103" s="418"/>
      <c r="AB103" s="418"/>
      <c r="AC103" s="418"/>
      <c r="AD103" s="821"/>
      <c r="AE103" s="826"/>
      <c r="AF103" s="826"/>
      <c r="AG103" s="826"/>
    </row>
    <row r="104" spans="1:41" ht="65.099999999999994" customHeight="1" x14ac:dyDescent="0.2">
      <c r="A104" s="418"/>
      <c r="B104" s="418"/>
      <c r="C104" s="460"/>
      <c r="D104" s="460"/>
      <c r="E104" s="423"/>
      <c r="F104" s="460"/>
      <c r="G104" s="467"/>
      <c r="H104" s="418"/>
      <c r="I104" s="471"/>
      <c r="J104" s="423"/>
      <c r="K104" s="460"/>
      <c r="L104" s="469"/>
      <c r="M104" s="418"/>
      <c r="N104" s="418"/>
      <c r="O104" s="418"/>
      <c r="P104" s="418"/>
      <c r="Q104" s="418"/>
      <c r="R104" s="418"/>
      <c r="S104" s="418"/>
      <c r="T104" s="418"/>
      <c r="U104" s="418"/>
      <c r="V104" s="418"/>
      <c r="W104" s="418"/>
      <c r="X104" s="418"/>
      <c r="Y104" s="418"/>
      <c r="Z104" s="418"/>
      <c r="AA104" s="418"/>
      <c r="AB104" s="418"/>
      <c r="AC104" s="418"/>
      <c r="AD104" s="825" t="s">
        <v>637</v>
      </c>
      <c r="AE104" s="826" t="s">
        <v>599</v>
      </c>
      <c r="AF104" s="826" t="s">
        <v>600</v>
      </c>
      <c r="AG104" s="826" t="s">
        <v>432</v>
      </c>
    </row>
    <row r="105" spans="1:41" ht="3.95" customHeight="1" x14ac:dyDescent="0.2"/>
    <row r="106" spans="1:41" ht="13.5" customHeight="1" x14ac:dyDescent="0.2">
      <c r="AJ106" s="546" t="s">
        <v>1249</v>
      </c>
      <c r="AK106" s="546"/>
      <c r="AL106" s="546"/>
      <c r="AM106" s="546"/>
      <c r="AN106" s="546"/>
      <c r="AO106" s="546"/>
    </row>
    <row r="107" spans="1:41" ht="13.5" customHeight="1" x14ac:dyDescent="0.2">
      <c r="AJ107" s="70"/>
      <c r="AK107" s="856" t="s">
        <v>1322</v>
      </c>
      <c r="AL107" s="200"/>
      <c r="AM107" s="70"/>
      <c r="AN107" s="856" t="s">
        <v>1323</v>
      </c>
      <c r="AO107" s="200"/>
    </row>
    <row r="108" spans="1:41" ht="13.5" customHeight="1" x14ac:dyDescent="0.2">
      <c r="AJ108" s="70"/>
      <c r="AK108" s="558" t="s">
        <v>12</v>
      </c>
      <c r="AL108" s="551" t="s">
        <v>11</v>
      </c>
      <c r="AM108" s="181"/>
      <c r="AN108" s="558" t="s">
        <v>12</v>
      </c>
      <c r="AO108" s="551" t="s">
        <v>11</v>
      </c>
    </row>
    <row r="109" spans="1:41" ht="3.95" customHeight="1" x14ac:dyDescent="0.2">
      <c r="AJ109" s="70"/>
      <c r="AK109" s="194"/>
      <c r="AL109" s="70"/>
      <c r="AM109" s="70"/>
      <c r="AN109" s="194"/>
      <c r="AO109" s="70"/>
    </row>
    <row r="110" spans="1:41" ht="13.5" customHeight="1" x14ac:dyDescent="0.2">
      <c r="AJ110" s="70" t="s">
        <v>1395</v>
      </c>
      <c r="AK110" s="858">
        <f>MAR!BP14</f>
        <v>11233</v>
      </c>
      <c r="AL110" s="70"/>
      <c r="AM110" s="70"/>
      <c r="AN110" s="858">
        <f>MAR!BU10</f>
        <v>1420</v>
      </c>
      <c r="AO110" s="261"/>
    </row>
    <row r="111" spans="1:41" ht="13.5" customHeight="1" x14ac:dyDescent="0.2">
      <c r="AJ111" s="70"/>
      <c r="AK111" s="194"/>
      <c r="AL111" s="546"/>
      <c r="AM111" s="70"/>
      <c r="AN111" s="194"/>
      <c r="AO111" s="70"/>
    </row>
    <row r="112" spans="1:41" ht="13.5" customHeight="1" x14ac:dyDescent="0.2">
      <c r="AJ112" s="70" t="s">
        <v>1863</v>
      </c>
      <c r="AK112" s="194">
        <f>MAR!BP84</f>
        <v>992</v>
      </c>
      <c r="AL112" s="70"/>
      <c r="AM112" s="70"/>
      <c r="AN112" s="194">
        <f>MAR!BU84</f>
        <v>1151.8599999999999</v>
      </c>
      <c r="AO112" s="70"/>
    </row>
    <row r="113" spans="36:41" ht="13.5" customHeight="1" x14ac:dyDescent="0.2">
      <c r="AJ113" s="70"/>
      <c r="AK113" s="194"/>
      <c r="AL113" s="70"/>
      <c r="AM113" s="70"/>
      <c r="AN113" s="194"/>
      <c r="AO113" s="70"/>
    </row>
    <row r="114" spans="36:41" ht="13.5" customHeight="1" x14ac:dyDescent="0.2">
      <c r="AJ114" s="70" t="s">
        <v>1296</v>
      </c>
      <c r="AK114" s="194"/>
      <c r="AL114" s="70"/>
      <c r="AM114" s="70"/>
      <c r="AN114" s="194"/>
      <c r="AO114" s="70"/>
    </row>
    <row r="115" spans="36:41" ht="13.5" customHeight="1" x14ac:dyDescent="0.2">
      <c r="AJ115" s="70"/>
      <c r="AK115" s="194"/>
      <c r="AL115" s="70"/>
      <c r="AM115" s="70"/>
      <c r="AN115" s="194"/>
      <c r="AO115" s="70"/>
    </row>
    <row r="116" spans="36:41" ht="13.5" customHeight="1" x14ac:dyDescent="0.2">
      <c r="AJ116" s="70" t="s">
        <v>1253</v>
      </c>
      <c r="AK116" s="857">
        <f>MAR!BP59</f>
        <v>1.3060214462469066</v>
      </c>
      <c r="AL116" s="300"/>
      <c r="AM116" s="70"/>
      <c r="AN116" s="857">
        <f>MAR!BU59</f>
        <v>1.71522979873836</v>
      </c>
      <c r="AO116" s="300"/>
    </row>
    <row r="117" spans="36:41" ht="2.1" customHeight="1" x14ac:dyDescent="0.2"/>
    <row r="138" ht="5.25" customHeight="1" x14ac:dyDescent="0.2"/>
    <row r="141" ht="5.25" customHeight="1" x14ac:dyDescent="0.2"/>
    <row r="147" ht="5.25" customHeight="1" x14ac:dyDescent="0.2"/>
    <row r="153" ht="4.5" customHeight="1" x14ac:dyDescent="0.2"/>
  </sheetData>
  <mergeCells count="2">
    <mergeCell ref="C5:G5"/>
    <mergeCell ref="I5:L5"/>
  </mergeCells>
  <phoneticPr fontId="57" type="noConversion"/>
  <pageMargins left="0.5" right="0.5" top="0.5" bottom="0.5" header="0.5" footer="0.5"/>
  <pageSetup scale="74" orientation="portrait" horizontalDpi="1200" verticalDpi="1200"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DF436"/>
  <sheetViews>
    <sheetView zoomScale="85" workbookViewId="0"/>
  </sheetViews>
  <sheetFormatPr defaultRowHeight="11.25" x14ac:dyDescent="0.2"/>
  <cols>
    <col min="2" max="2" width="47.33203125" customWidth="1"/>
    <col min="3" max="4" width="21.1640625" customWidth="1"/>
    <col min="5" max="5" width="3" customWidth="1"/>
    <col min="6" max="6" width="44.6640625" customWidth="1"/>
    <col min="7" max="7" width="18.33203125" customWidth="1"/>
    <col min="8" max="8" width="46.33203125" customWidth="1"/>
    <col min="9" max="9" width="18.33203125" customWidth="1"/>
    <col min="10" max="11" width="26.6640625" customWidth="1"/>
    <col min="13" max="13" width="44.6640625" bestFit="1" customWidth="1"/>
    <col min="14" max="14" width="19.33203125" customWidth="1"/>
    <col min="15" max="15" width="2.6640625" customWidth="1"/>
    <col min="16" max="16" width="44.6640625" bestFit="1" customWidth="1"/>
    <col min="17" max="17" width="46.33203125" customWidth="1"/>
    <col min="18" max="21" width="34.83203125" customWidth="1"/>
    <col min="22" max="22" width="2.5" customWidth="1"/>
    <col min="23" max="23" width="41.33203125" bestFit="1" customWidth="1"/>
    <col min="24" max="24" width="10.1640625" bestFit="1" customWidth="1"/>
    <col min="25" max="25" width="10.33203125" bestFit="1" customWidth="1"/>
    <col min="26" max="26" width="10.1640625" bestFit="1" customWidth="1"/>
    <col min="28" max="28" width="44" bestFit="1" customWidth="1"/>
    <col min="29" max="29" width="20.33203125" customWidth="1"/>
    <col min="30" max="31" width="29.33203125" bestFit="1" customWidth="1"/>
    <col min="32" max="32" width="23.6640625" bestFit="1" customWidth="1"/>
    <col min="33" max="33" width="23" bestFit="1" customWidth="1"/>
    <col min="35" max="35" width="36.6640625" customWidth="1"/>
    <col min="36" max="37" width="10.33203125" customWidth="1"/>
    <col min="38" max="38" width="1.83203125" customWidth="1"/>
    <col min="39" max="40" width="10.33203125" customWidth="1"/>
    <col min="41" max="41" width="1.83203125" customWidth="1"/>
    <col min="42" max="43" width="8.83203125" customWidth="1"/>
    <col min="44" max="44" width="1.83203125" customWidth="1"/>
    <col min="45" max="46" width="10.33203125" customWidth="1"/>
    <col min="47" max="47" width="1.83203125" customWidth="1"/>
    <col min="48" max="49" width="10.33203125" customWidth="1"/>
    <col min="50" max="50" width="1.83203125" customWidth="1"/>
    <col min="51" max="51" width="16.5" customWidth="1"/>
    <col min="52" max="52" width="0.83203125" customWidth="1"/>
    <col min="53" max="53" width="19" customWidth="1"/>
    <col min="75" max="75" width="0.5" customWidth="1"/>
    <col min="76" max="76" width="40.6640625" customWidth="1"/>
    <col min="77" max="77" width="21.1640625" hidden="1" customWidth="1"/>
    <col min="78" max="80" width="10.83203125" customWidth="1"/>
    <col min="81" max="81" width="2.83203125" customWidth="1"/>
    <col min="82" max="82" width="10.83203125" customWidth="1"/>
    <col min="83" max="83" width="2.83203125" customWidth="1"/>
    <col min="84" max="84" width="10.83203125" customWidth="1"/>
    <col min="85" max="85" width="0.6640625" customWidth="1"/>
    <col min="86" max="86" width="18.33203125" customWidth="1"/>
    <col min="87" max="88" width="10.83203125" customWidth="1"/>
    <col min="89" max="89" width="3" customWidth="1"/>
    <col min="90" max="91" width="10.83203125" customWidth="1"/>
    <col min="94" max="94" width="41.33203125" bestFit="1" customWidth="1"/>
    <col min="97" max="97" width="2.83203125" customWidth="1"/>
    <col min="100" max="100" width="2.83203125" customWidth="1"/>
    <col min="103" max="103" width="2.83203125" customWidth="1"/>
    <col min="106" max="106" width="2.83203125" customWidth="1"/>
    <col min="109" max="109" width="2.83203125" customWidth="1"/>
  </cols>
  <sheetData>
    <row r="1" spans="2:91" ht="12.75" x14ac:dyDescent="0.2">
      <c r="BA1" s="70"/>
      <c r="BB1" s="70"/>
      <c r="BC1" s="70"/>
      <c r="BD1" s="70"/>
      <c r="BE1" s="70"/>
      <c r="BF1" s="70"/>
      <c r="BG1" s="70"/>
      <c r="BH1" s="70"/>
      <c r="BI1" s="70"/>
      <c r="BJ1" s="70"/>
      <c r="BK1" s="70"/>
      <c r="BL1" s="70"/>
      <c r="BM1" s="70"/>
      <c r="BN1" s="70"/>
      <c r="BO1" s="70"/>
      <c r="BP1" s="70"/>
      <c r="BQ1" s="70"/>
      <c r="BR1" s="70"/>
      <c r="BS1" s="70"/>
      <c r="BT1" s="70"/>
      <c r="BU1" s="70"/>
      <c r="BV1" s="70"/>
      <c r="BW1" s="70"/>
      <c r="BX1" s="70"/>
      <c r="BY1" s="70"/>
      <c r="BZ1" s="70"/>
      <c r="CA1" s="70"/>
      <c r="CB1" s="70"/>
      <c r="CC1" s="70"/>
      <c r="CD1" s="70"/>
      <c r="CE1" s="70"/>
      <c r="CF1" s="70"/>
      <c r="CG1" s="70"/>
      <c r="CH1" s="70"/>
      <c r="CI1" s="70"/>
      <c r="CJ1" s="70"/>
      <c r="CK1" s="70"/>
      <c r="CL1" s="70"/>
      <c r="CM1" s="70"/>
    </row>
    <row r="2" spans="2:91" ht="12.75" x14ac:dyDescent="0.2">
      <c r="BA2" s="70"/>
      <c r="BB2" s="70"/>
      <c r="BC2" s="70"/>
      <c r="BD2" s="70"/>
      <c r="BE2" s="70"/>
      <c r="BF2" s="70"/>
      <c r="BG2" s="70"/>
      <c r="BH2" s="70"/>
      <c r="BI2" s="70"/>
      <c r="BJ2" s="70"/>
      <c r="BK2" s="70"/>
      <c r="BL2" s="70"/>
      <c r="BM2" s="70"/>
      <c r="BN2" s="70"/>
      <c r="BO2" s="70"/>
      <c r="BP2" s="70"/>
      <c r="BQ2" s="70"/>
      <c r="BR2" s="70"/>
      <c r="BS2" s="70"/>
      <c r="BT2" s="70"/>
      <c r="BU2" s="70"/>
      <c r="BV2" s="70"/>
      <c r="BW2" s="70"/>
      <c r="BX2" s="70"/>
      <c r="BY2" s="70"/>
      <c r="BZ2" s="70"/>
      <c r="CA2" s="70"/>
      <c r="CB2" s="70"/>
      <c r="CC2" s="70"/>
      <c r="CD2" s="70"/>
      <c r="CE2" s="70"/>
      <c r="CF2" s="70"/>
      <c r="CG2" s="70"/>
      <c r="CH2" s="70"/>
      <c r="CI2" s="70"/>
      <c r="CJ2" s="70"/>
      <c r="CK2" s="70"/>
      <c r="CL2" s="70"/>
      <c r="CM2" s="70"/>
    </row>
    <row r="3" spans="2:91" ht="13.5" thickBot="1" x14ac:dyDescent="0.25">
      <c r="B3" s="492" t="s">
        <v>1781</v>
      </c>
      <c r="D3" s="374"/>
      <c r="F3" s="5"/>
      <c r="G3" s="5"/>
      <c r="H3" s="5"/>
      <c r="I3" s="5"/>
      <c r="J3" s="5"/>
      <c r="K3" s="5"/>
      <c r="BA3" s="70"/>
      <c r="BB3" s="70"/>
      <c r="BC3" s="70"/>
      <c r="BD3" s="70"/>
      <c r="BE3" s="70"/>
      <c r="BF3" s="70"/>
      <c r="BG3" s="70"/>
      <c r="BH3" s="70"/>
      <c r="BI3" s="70"/>
      <c r="BJ3" s="70"/>
      <c r="BK3" s="70"/>
      <c r="BL3" s="70"/>
      <c r="BM3" s="70"/>
      <c r="BN3" s="70"/>
      <c r="BO3" s="70"/>
      <c r="BP3" s="70"/>
      <c r="BQ3" s="70"/>
      <c r="BR3" s="70"/>
      <c r="BS3" s="70"/>
      <c r="BT3" s="70"/>
      <c r="BU3" s="70"/>
      <c r="BV3" s="70"/>
      <c r="BW3" s="70"/>
      <c r="BX3" s="70"/>
      <c r="BY3" s="70"/>
      <c r="BZ3" s="70"/>
      <c r="CA3" s="70"/>
      <c r="CB3" s="70"/>
      <c r="CC3" s="70"/>
      <c r="CD3" s="70"/>
      <c r="CE3" s="70"/>
      <c r="CF3" s="70"/>
      <c r="CG3" s="70"/>
      <c r="CH3" s="70"/>
      <c r="CI3" s="70"/>
      <c r="CJ3" s="70"/>
      <c r="CK3" s="70"/>
      <c r="CL3" s="70"/>
      <c r="CM3" s="70"/>
    </row>
    <row r="4" spans="2:91" ht="12.75" x14ac:dyDescent="0.2">
      <c r="B4" s="497"/>
      <c r="C4" s="3948" t="s">
        <v>2218</v>
      </c>
      <c r="D4" s="3948"/>
      <c r="E4" s="490"/>
      <c r="F4" s="5"/>
      <c r="G4" s="5"/>
      <c r="H4" s="5"/>
      <c r="I4" s="5"/>
      <c r="J4" s="5"/>
      <c r="K4" s="5"/>
      <c r="BA4" s="70"/>
      <c r="BB4" s="70"/>
      <c r="BC4" s="70"/>
      <c r="BD4" s="70"/>
      <c r="BE4" s="70"/>
      <c r="BF4" s="70"/>
      <c r="BG4" s="70"/>
      <c r="BH4" s="70"/>
      <c r="BI4" s="70"/>
      <c r="BJ4" s="70"/>
      <c r="BK4" s="70"/>
      <c r="BL4" s="70"/>
      <c r="BM4" s="70"/>
      <c r="BN4" s="70"/>
      <c r="BO4" s="70"/>
      <c r="BP4" s="70"/>
      <c r="BQ4" s="70"/>
      <c r="BR4" s="70"/>
      <c r="BS4" s="70"/>
      <c r="BT4" s="70"/>
      <c r="BU4" s="70"/>
      <c r="BV4" s="70"/>
      <c r="BW4" s="70"/>
      <c r="BX4" s="70"/>
      <c r="BY4" s="70"/>
      <c r="BZ4" s="70"/>
      <c r="CA4" s="70"/>
      <c r="CB4" s="70"/>
      <c r="CC4" s="70"/>
      <c r="CD4" s="70"/>
      <c r="CE4" s="70"/>
      <c r="CF4" s="70"/>
      <c r="CG4" s="70"/>
      <c r="CH4" s="70"/>
      <c r="CI4" s="70"/>
      <c r="CJ4" s="70"/>
      <c r="CK4" s="70"/>
      <c r="CL4" s="70"/>
      <c r="CM4" s="70"/>
    </row>
    <row r="5" spans="2:91" ht="12.75" x14ac:dyDescent="0.2">
      <c r="B5" s="498"/>
      <c r="C5" s="499" t="s">
        <v>1782</v>
      </c>
      <c r="D5" s="500" t="s">
        <v>1938</v>
      </c>
      <c r="E5" s="5"/>
      <c r="F5" s="5"/>
      <c r="G5" s="5"/>
      <c r="H5" s="5"/>
      <c r="I5" s="5"/>
      <c r="J5" s="5"/>
      <c r="K5" s="5"/>
      <c r="BA5" s="70"/>
      <c r="BB5" s="70"/>
      <c r="BC5" s="70"/>
      <c r="BD5" s="70"/>
      <c r="BE5" s="70"/>
      <c r="BF5" s="70"/>
      <c r="BG5" s="70"/>
      <c r="BH5" s="70"/>
      <c r="BI5" s="70"/>
      <c r="BJ5" s="70"/>
      <c r="BK5" s="70"/>
      <c r="BL5" s="70"/>
      <c r="BM5" s="70"/>
      <c r="BN5" s="70"/>
      <c r="BO5" s="70"/>
      <c r="BP5" s="70"/>
      <c r="BQ5" s="70"/>
      <c r="BR5" s="70"/>
      <c r="BS5" s="70"/>
      <c r="BT5" s="70"/>
      <c r="BU5" s="70"/>
      <c r="BV5" s="70"/>
      <c r="BW5" s="70"/>
      <c r="BX5" s="70"/>
      <c r="BY5" s="70"/>
      <c r="BZ5" s="70"/>
      <c r="CA5" s="70"/>
      <c r="CB5" s="70"/>
      <c r="CC5" s="70"/>
      <c r="CD5" s="70"/>
      <c r="CE5" s="70"/>
      <c r="CF5" s="70"/>
      <c r="CG5" s="70"/>
      <c r="CH5" s="70"/>
      <c r="CI5" s="70"/>
      <c r="CJ5" s="70"/>
      <c r="CK5" s="70"/>
      <c r="CL5" s="70"/>
      <c r="CM5" s="70"/>
    </row>
    <row r="6" spans="2:91" ht="12.75" x14ac:dyDescent="0.2">
      <c r="B6" s="62" t="s">
        <v>1939</v>
      </c>
      <c r="C6" s="494" t="s">
        <v>2219</v>
      </c>
      <c r="D6" s="32">
        <v>5.8000000000000003E-2</v>
      </c>
      <c r="E6" s="5"/>
      <c r="F6" s="5"/>
      <c r="G6" s="5"/>
      <c r="H6" s="5"/>
      <c r="I6" s="5"/>
      <c r="J6" s="5"/>
      <c r="K6" s="5"/>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70"/>
    </row>
    <row r="7" spans="2:91" ht="12.75" x14ac:dyDescent="0.2">
      <c r="B7" s="18" t="s">
        <v>1941</v>
      </c>
      <c r="C7" s="231" t="s">
        <v>1940</v>
      </c>
      <c r="D7" s="33">
        <v>6.5000000000000002E-2</v>
      </c>
      <c r="E7" s="5"/>
      <c r="F7" s="5"/>
      <c r="G7" s="5"/>
      <c r="H7" s="5"/>
      <c r="I7" s="5"/>
      <c r="J7" s="5"/>
      <c r="K7" s="5"/>
      <c r="BA7" s="70"/>
      <c r="BB7" s="70"/>
      <c r="BC7" s="70"/>
      <c r="BD7" s="70"/>
      <c r="BE7" s="70"/>
      <c r="BF7" s="70"/>
      <c r="BG7" s="70"/>
      <c r="BH7" s="70"/>
      <c r="BI7" s="70"/>
      <c r="BJ7" s="70"/>
      <c r="BK7" s="70"/>
      <c r="BL7" s="70"/>
      <c r="BM7" s="70"/>
      <c r="BN7" s="70"/>
      <c r="BO7" s="70"/>
      <c r="BP7" s="70"/>
      <c r="BQ7" s="70"/>
      <c r="BR7" s="70"/>
      <c r="BS7" s="70"/>
      <c r="BT7" s="70"/>
      <c r="BU7" s="70"/>
      <c r="BV7" s="70"/>
      <c r="BW7" s="70"/>
      <c r="BX7" s="70"/>
      <c r="BY7" s="70"/>
      <c r="BZ7" s="70"/>
      <c r="CA7" s="70"/>
      <c r="CB7" s="70"/>
      <c r="CC7" s="70"/>
      <c r="CD7" s="70"/>
      <c r="CE7" s="70"/>
      <c r="CF7" s="70"/>
      <c r="CG7" s="70"/>
      <c r="CH7" s="70"/>
      <c r="CI7" s="70"/>
      <c r="CJ7" s="70"/>
      <c r="CK7" s="70"/>
      <c r="CL7" s="70"/>
      <c r="CM7" s="70"/>
    </row>
    <row r="8" spans="2:91" ht="12.75" x14ac:dyDescent="0.2">
      <c r="B8" s="27" t="s">
        <v>1942</v>
      </c>
      <c r="C8" s="371" t="s">
        <v>22</v>
      </c>
      <c r="D8" s="19" t="s">
        <v>2227</v>
      </c>
      <c r="E8" s="5"/>
      <c r="F8" s="5"/>
      <c r="G8" s="5"/>
      <c r="H8" s="5"/>
      <c r="I8" s="5"/>
      <c r="J8" s="5"/>
      <c r="K8" s="5"/>
      <c r="BA8" s="70"/>
      <c r="BB8" s="70"/>
      <c r="BC8" s="70"/>
      <c r="BD8" s="70"/>
      <c r="BE8" s="70"/>
      <c r="BF8" s="70"/>
      <c r="BG8" s="70"/>
      <c r="BH8" s="70"/>
      <c r="BI8" s="70"/>
      <c r="BJ8" s="70"/>
      <c r="BK8" s="70"/>
      <c r="BL8" s="70"/>
      <c r="BM8" s="70"/>
      <c r="BN8" s="70"/>
      <c r="BO8" s="70"/>
      <c r="BP8" s="70"/>
      <c r="BQ8" s="70"/>
      <c r="BR8" s="70"/>
      <c r="BS8" s="70"/>
      <c r="BT8" s="70"/>
      <c r="BU8" s="70"/>
      <c r="BV8" s="70"/>
      <c r="BW8" s="70"/>
      <c r="BX8" s="70"/>
      <c r="BY8" s="70"/>
      <c r="BZ8" s="70"/>
      <c r="CA8" s="70"/>
      <c r="CB8" s="70"/>
      <c r="CC8" s="70"/>
      <c r="CD8" s="70"/>
      <c r="CE8" s="70"/>
      <c r="CF8" s="70"/>
      <c r="CG8" s="70"/>
      <c r="CH8" s="70"/>
      <c r="CI8" s="70"/>
      <c r="CJ8" s="70"/>
      <c r="CK8" s="70"/>
      <c r="CL8" s="70"/>
      <c r="CM8" s="70"/>
    </row>
    <row r="9" spans="2:91" ht="12.75" x14ac:dyDescent="0.2">
      <c r="B9" s="18" t="s">
        <v>1943</v>
      </c>
      <c r="C9" s="491" t="s">
        <v>24</v>
      </c>
      <c r="D9" s="33" t="s">
        <v>2228</v>
      </c>
      <c r="E9" s="5"/>
      <c r="F9" s="5"/>
      <c r="G9" s="5"/>
      <c r="H9" s="5"/>
      <c r="I9" s="5"/>
      <c r="J9" s="5"/>
      <c r="K9" s="5"/>
      <c r="BA9" s="70"/>
      <c r="BB9" s="70"/>
      <c r="BC9" s="70"/>
      <c r="BD9" s="70"/>
      <c r="BE9" s="70"/>
      <c r="BF9" s="70"/>
      <c r="BG9" s="70"/>
      <c r="BH9" s="70"/>
      <c r="BI9" s="70"/>
      <c r="BJ9" s="70"/>
      <c r="BK9" s="70"/>
      <c r="BL9" s="70"/>
      <c r="BM9" s="70"/>
      <c r="BN9" s="70"/>
      <c r="BO9" s="70"/>
      <c r="BP9" s="70"/>
      <c r="BQ9" s="70"/>
      <c r="BR9" s="70"/>
      <c r="BS9" s="70"/>
      <c r="BT9" s="70"/>
      <c r="BU9" s="70"/>
      <c r="BV9" s="70"/>
      <c r="BW9" s="70"/>
      <c r="BX9" s="70"/>
      <c r="BY9" s="70"/>
      <c r="BZ9" s="70"/>
      <c r="CA9" s="70"/>
      <c r="CB9" s="70"/>
      <c r="CC9" s="70"/>
      <c r="CD9" s="70"/>
      <c r="CE9" s="70"/>
      <c r="CF9" s="70"/>
      <c r="CG9" s="70"/>
      <c r="CH9" s="70"/>
      <c r="CI9" s="70"/>
      <c r="CJ9" s="70"/>
      <c r="CK9" s="70"/>
      <c r="CL9" s="70"/>
      <c r="CM9" s="70"/>
    </row>
    <row r="10" spans="2:91" ht="12.75" x14ac:dyDescent="0.2">
      <c r="B10" s="18" t="s">
        <v>1944</v>
      </c>
      <c r="C10" s="491" t="s">
        <v>26</v>
      </c>
      <c r="D10" s="495" t="s">
        <v>2229</v>
      </c>
      <c r="E10" s="5"/>
      <c r="F10" s="5"/>
      <c r="G10" s="5"/>
      <c r="H10" s="5"/>
      <c r="I10" s="5"/>
      <c r="J10" s="5"/>
      <c r="K10" s="5"/>
      <c r="BA10" s="70"/>
      <c r="BB10" s="70"/>
      <c r="BC10" s="70"/>
      <c r="BD10" s="70"/>
      <c r="BE10" s="70"/>
      <c r="BF10" s="70"/>
      <c r="BG10" s="70"/>
      <c r="BH10" s="70"/>
      <c r="BI10" s="70"/>
      <c r="BJ10" s="70"/>
      <c r="BK10" s="70"/>
      <c r="BL10" s="70"/>
      <c r="BM10" s="70"/>
      <c r="BN10" s="70"/>
      <c r="BO10" s="70"/>
      <c r="BP10" s="70"/>
      <c r="BQ10" s="70"/>
      <c r="BR10" s="70"/>
      <c r="BS10" s="70"/>
      <c r="BT10" s="70"/>
      <c r="BU10" s="70"/>
      <c r="BV10" s="70"/>
      <c r="BW10" s="70"/>
      <c r="BX10" s="70"/>
      <c r="BY10" s="70"/>
      <c r="BZ10" s="70"/>
      <c r="CA10" s="70"/>
      <c r="CB10" s="70"/>
      <c r="CC10" s="70"/>
      <c r="CD10" s="70"/>
      <c r="CE10" s="70"/>
      <c r="CF10" s="70"/>
      <c r="CG10" s="70"/>
      <c r="CH10" s="70"/>
      <c r="CI10" s="70"/>
      <c r="CJ10" s="70"/>
      <c r="CK10" s="70"/>
      <c r="CL10" s="70"/>
      <c r="CM10" s="70"/>
    </row>
    <row r="11" spans="2:91" ht="12.75" x14ac:dyDescent="0.2">
      <c r="B11" s="18" t="s">
        <v>1945</v>
      </c>
      <c r="C11" s="371" t="s">
        <v>29</v>
      </c>
      <c r="D11" s="19" t="s">
        <v>2230</v>
      </c>
      <c r="E11" s="5"/>
      <c r="F11" s="5"/>
      <c r="G11" s="5"/>
      <c r="H11" s="5"/>
      <c r="I11" s="5"/>
      <c r="J11" s="5"/>
      <c r="K11" s="5"/>
      <c r="BA11" s="70"/>
      <c r="BB11" s="70"/>
      <c r="BC11" s="70"/>
      <c r="BD11" s="70"/>
      <c r="BE11" s="70"/>
      <c r="BF11" s="70"/>
      <c r="BG11" s="70"/>
      <c r="BH11" s="70"/>
      <c r="BI11" s="70"/>
      <c r="BJ11" s="70"/>
      <c r="BK11" s="70"/>
      <c r="BL11" s="70"/>
      <c r="BM11" s="70"/>
      <c r="BN11" s="70"/>
      <c r="BO11" s="70"/>
      <c r="BP11" s="70"/>
      <c r="BQ11" s="70"/>
      <c r="BR11" s="70"/>
      <c r="BS11" s="70"/>
      <c r="BT11" s="70"/>
      <c r="BU11" s="70"/>
      <c r="BV11" s="70"/>
      <c r="BW11" s="70"/>
      <c r="BX11" s="70"/>
      <c r="BY11" s="70"/>
      <c r="BZ11" s="70"/>
      <c r="CA11" s="70"/>
      <c r="CB11" s="70"/>
      <c r="CC11" s="70"/>
      <c r="CD11" s="70"/>
      <c r="CE11" s="70"/>
      <c r="CF11" s="70"/>
      <c r="CG11" s="70"/>
      <c r="CH11" s="70"/>
      <c r="CI11" s="70"/>
      <c r="CJ11" s="70"/>
      <c r="CK11" s="70"/>
      <c r="CL11" s="70"/>
      <c r="CM11" s="70"/>
    </row>
    <row r="12" spans="2:91" ht="12.75" x14ac:dyDescent="0.2">
      <c r="B12" s="27" t="s">
        <v>1946</v>
      </c>
      <c r="C12" s="493" t="s">
        <v>31</v>
      </c>
      <c r="D12" s="37" t="s">
        <v>2231</v>
      </c>
      <c r="E12" s="5"/>
      <c r="F12" s="5"/>
      <c r="G12" s="5"/>
      <c r="H12" s="5"/>
      <c r="I12" s="5"/>
      <c r="J12" s="5"/>
      <c r="K12" s="5"/>
      <c r="BA12" s="70"/>
      <c r="BB12" s="70"/>
      <c r="BC12" s="70"/>
      <c r="BD12" s="70"/>
      <c r="BE12" s="70"/>
      <c r="BF12" s="70"/>
      <c r="BG12" s="70"/>
      <c r="BH12" s="70"/>
      <c r="BI12" s="70"/>
      <c r="BJ12" s="70"/>
      <c r="BK12" s="70"/>
      <c r="BL12" s="70"/>
      <c r="BM12" s="70"/>
      <c r="BN12" s="70"/>
      <c r="BO12" s="70"/>
      <c r="BP12" s="70"/>
      <c r="BQ12" s="70"/>
      <c r="BR12" s="70"/>
      <c r="BS12" s="70"/>
      <c r="BT12" s="70"/>
      <c r="BU12" s="70"/>
      <c r="BV12" s="70"/>
      <c r="BW12" s="70"/>
      <c r="BX12" s="70"/>
      <c r="BY12" s="70"/>
      <c r="BZ12" s="70"/>
      <c r="CA12" s="70"/>
      <c r="CB12" s="70"/>
      <c r="CC12" s="70"/>
      <c r="CD12" s="70"/>
      <c r="CE12" s="70"/>
      <c r="CF12" s="70"/>
      <c r="CG12" s="70"/>
      <c r="CH12" s="70"/>
      <c r="CI12" s="70"/>
      <c r="CJ12" s="70"/>
      <c r="CK12" s="70"/>
      <c r="CL12" s="70"/>
      <c r="CM12" s="70"/>
    </row>
    <row r="13" spans="2:91" ht="12.75" x14ac:dyDescent="0.2">
      <c r="B13" s="27" t="s">
        <v>1947</v>
      </c>
      <c r="C13" s="371" t="s">
        <v>34</v>
      </c>
      <c r="D13" s="33" t="s">
        <v>2232</v>
      </c>
      <c r="E13" s="5"/>
      <c r="F13" s="5"/>
      <c r="G13" s="5"/>
      <c r="H13" s="5"/>
      <c r="I13" s="5"/>
      <c r="J13" s="5"/>
      <c r="K13" s="5"/>
      <c r="BA13" s="70"/>
      <c r="BB13" s="70"/>
      <c r="BC13" s="70"/>
      <c r="BD13" s="70"/>
      <c r="BE13" s="70"/>
      <c r="BF13" s="70"/>
      <c r="BG13" s="70"/>
      <c r="BH13" s="70"/>
      <c r="BI13" s="70"/>
      <c r="BJ13" s="70"/>
      <c r="BK13" s="70"/>
      <c r="BL13" s="70"/>
      <c r="BM13" s="70"/>
      <c r="BN13" s="70"/>
      <c r="BO13" s="70"/>
      <c r="BP13" s="70"/>
      <c r="BQ13" s="70"/>
      <c r="BR13" s="70"/>
      <c r="BS13" s="70"/>
      <c r="BT13" s="70"/>
      <c r="BU13" s="70"/>
      <c r="BV13" s="70"/>
      <c r="BW13" s="70"/>
      <c r="BX13" s="70"/>
      <c r="BY13" s="70"/>
      <c r="BZ13" s="70"/>
      <c r="CA13" s="70"/>
      <c r="CB13" s="70"/>
      <c r="CC13" s="70"/>
      <c r="CD13" s="70"/>
      <c r="CE13" s="70"/>
      <c r="CF13" s="70"/>
      <c r="CG13" s="70"/>
      <c r="CH13" s="70"/>
      <c r="CI13" s="70"/>
      <c r="CJ13" s="70"/>
      <c r="CK13" s="70"/>
      <c r="CL13" s="70"/>
      <c r="CM13" s="70"/>
    </row>
    <row r="14" spans="2:91" ht="12.75" x14ac:dyDescent="0.2">
      <c r="B14" s="29" t="s">
        <v>2233</v>
      </c>
      <c r="C14" s="24" t="s">
        <v>35</v>
      </c>
      <c r="D14" s="496">
        <v>0.26</v>
      </c>
      <c r="E14" s="5"/>
      <c r="F14" s="5"/>
      <c r="G14" s="5"/>
      <c r="H14" s="5"/>
      <c r="I14" s="5"/>
      <c r="J14" s="5"/>
      <c r="K14" s="5"/>
      <c r="BA14" s="70"/>
      <c r="BB14" s="70"/>
      <c r="BC14" s="70"/>
      <c r="BD14" s="70"/>
      <c r="BE14" s="70"/>
      <c r="BF14" s="70"/>
      <c r="BG14" s="70"/>
      <c r="BH14" s="70"/>
      <c r="BI14" s="70"/>
      <c r="BJ14" s="70"/>
      <c r="BK14" s="70"/>
      <c r="BL14" s="70"/>
      <c r="BM14" s="70"/>
      <c r="BN14" s="70"/>
      <c r="BO14" s="70"/>
      <c r="BP14" s="70"/>
      <c r="BQ14" s="70"/>
      <c r="BR14" s="70"/>
      <c r="BS14" s="70"/>
      <c r="BT14" s="70"/>
      <c r="BU14" s="70"/>
      <c r="BV14" s="70"/>
      <c r="BW14" s="70"/>
      <c r="BX14" s="70"/>
      <c r="BY14" s="70"/>
      <c r="BZ14" s="70"/>
      <c r="CA14" s="70"/>
      <c r="CB14" s="70"/>
      <c r="CC14" s="70"/>
      <c r="CD14" s="70"/>
      <c r="CE14" s="70"/>
      <c r="CF14" s="70"/>
      <c r="CG14" s="70"/>
      <c r="CH14" s="70"/>
      <c r="CI14" s="70"/>
      <c r="CJ14" s="70"/>
      <c r="CK14" s="70"/>
      <c r="CL14" s="70"/>
      <c r="CM14" s="70"/>
    </row>
    <row r="15" spans="2:91" ht="12.75" x14ac:dyDescent="0.2">
      <c r="B15" s="43"/>
      <c r="C15" s="5"/>
      <c r="D15" s="5"/>
      <c r="E15" s="5"/>
      <c r="F15" s="5"/>
      <c r="G15" s="5"/>
      <c r="H15" s="5"/>
      <c r="I15" s="5"/>
      <c r="J15" s="5"/>
      <c r="K15" s="5"/>
      <c r="M15" s="537"/>
      <c r="BA15" s="70"/>
      <c r="BB15" s="70"/>
      <c r="BC15" s="70"/>
      <c r="BD15" s="70"/>
      <c r="BE15" s="70"/>
      <c r="BF15" s="70"/>
      <c r="BG15" s="70"/>
      <c r="BH15" s="70"/>
      <c r="BI15" s="70"/>
      <c r="BJ15" s="70"/>
      <c r="BK15" s="70"/>
      <c r="BL15" s="70"/>
      <c r="BM15" s="70"/>
      <c r="BN15" s="70"/>
      <c r="BO15" s="70"/>
      <c r="BP15" s="70"/>
      <c r="BQ15" s="70"/>
      <c r="BR15" s="70"/>
      <c r="BS15" s="70"/>
      <c r="BT15" s="70"/>
      <c r="BU15" s="70"/>
      <c r="BV15" s="70"/>
      <c r="BW15" s="70"/>
      <c r="BX15" s="70"/>
      <c r="BY15" s="70"/>
      <c r="BZ15" s="70"/>
      <c r="CA15" s="70"/>
      <c r="CB15" s="70"/>
      <c r="CC15" s="70"/>
      <c r="CD15" s="70"/>
      <c r="CE15" s="70"/>
      <c r="CF15" s="70"/>
      <c r="CG15" s="70"/>
      <c r="CH15" s="70"/>
      <c r="CI15" s="70"/>
      <c r="CJ15" s="70"/>
      <c r="CK15" s="70"/>
      <c r="CL15" s="70"/>
      <c r="CM15" s="70"/>
    </row>
    <row r="16" spans="2:91" ht="12.75" x14ac:dyDescent="0.2">
      <c r="B16" s="8"/>
      <c r="C16" s="8"/>
      <c r="D16" s="8"/>
      <c r="E16" s="8"/>
      <c r="F16" s="109" t="s">
        <v>422</v>
      </c>
      <c r="G16" s="8"/>
      <c r="H16" s="8"/>
      <c r="I16" s="8"/>
      <c r="J16" s="8"/>
      <c r="K16" s="8"/>
      <c r="BA16" s="70"/>
      <c r="BB16" s="70"/>
      <c r="BC16" s="70"/>
      <c r="BD16" s="70"/>
      <c r="BE16" s="70"/>
      <c r="BF16" s="70"/>
      <c r="BG16" s="70"/>
      <c r="BH16" s="70"/>
      <c r="BI16" s="70"/>
      <c r="BJ16" s="70"/>
      <c r="BK16" s="70"/>
      <c r="BL16" s="70"/>
      <c r="BM16" s="70"/>
      <c r="BN16" s="70"/>
      <c r="BO16" s="70"/>
      <c r="BP16" s="70"/>
      <c r="BQ16" s="70"/>
      <c r="BR16" s="70"/>
      <c r="BS16" s="70"/>
      <c r="BT16" s="70"/>
      <c r="BU16" s="70"/>
      <c r="BV16" s="70"/>
      <c r="BW16" s="70"/>
      <c r="BX16" s="70"/>
      <c r="BY16" s="70"/>
      <c r="BZ16" s="70"/>
      <c r="CA16" s="70"/>
      <c r="CB16" s="70"/>
      <c r="CC16" s="70"/>
      <c r="CD16" s="70"/>
      <c r="CE16" s="70"/>
      <c r="CF16" s="70"/>
      <c r="CG16" s="70"/>
      <c r="CH16" s="70"/>
      <c r="CI16" s="70"/>
      <c r="CJ16" s="70"/>
      <c r="CK16" s="70"/>
      <c r="CL16" s="70"/>
      <c r="CM16" s="70"/>
    </row>
    <row r="17" spans="2:91" ht="12.75" x14ac:dyDescent="0.2">
      <c r="C17" s="5"/>
      <c r="D17" s="8"/>
      <c r="E17" s="8"/>
      <c r="F17" s="110" t="s">
        <v>423</v>
      </c>
      <c r="G17" s="102" t="s">
        <v>835</v>
      </c>
      <c r="H17" s="88" t="s">
        <v>836</v>
      </c>
      <c r="I17" s="88" t="s">
        <v>838</v>
      </c>
      <c r="J17" s="88" t="s">
        <v>839</v>
      </c>
      <c r="K17" s="88" t="s">
        <v>840</v>
      </c>
      <c r="BA17" s="70"/>
      <c r="BB17" s="70"/>
      <c r="BC17" s="70"/>
      <c r="BD17" s="70"/>
      <c r="BE17" s="70"/>
      <c r="BF17" s="70"/>
      <c r="BG17" s="70"/>
      <c r="BH17" s="70"/>
      <c r="BI17" s="70"/>
      <c r="BJ17" s="70"/>
      <c r="BK17" s="70"/>
      <c r="BL17" s="70"/>
      <c r="BM17" s="70"/>
      <c r="BN17" s="70"/>
      <c r="BO17" s="70"/>
      <c r="BP17" s="70"/>
      <c r="BQ17" s="70"/>
      <c r="BR17" s="70"/>
      <c r="BS17" s="70"/>
      <c r="BT17" s="70"/>
      <c r="BU17" s="70"/>
      <c r="BV17" s="70"/>
      <c r="BW17" s="70"/>
      <c r="BX17" s="70"/>
      <c r="BY17" s="70"/>
      <c r="BZ17" s="70"/>
      <c r="CA17" s="70"/>
      <c r="CB17" s="70"/>
      <c r="CC17" s="70"/>
      <c r="CD17" s="70"/>
      <c r="CE17" s="70"/>
      <c r="CF17" s="70"/>
      <c r="CG17" s="70"/>
      <c r="CH17" s="70"/>
      <c r="CI17" s="70"/>
      <c r="CJ17" s="70"/>
      <c r="CK17" s="70"/>
      <c r="CL17" s="70"/>
      <c r="CM17" s="70"/>
    </row>
    <row r="18" spans="2:91" ht="12.75" x14ac:dyDescent="0.2">
      <c r="B18" s="43"/>
      <c r="C18" s="5"/>
      <c r="D18" s="8"/>
      <c r="E18" s="8"/>
      <c r="F18" s="111" t="s">
        <v>373</v>
      </c>
      <c r="G18" s="103" t="s">
        <v>374</v>
      </c>
      <c r="H18" s="97" t="s">
        <v>375</v>
      </c>
      <c r="I18" s="97" t="s">
        <v>375</v>
      </c>
      <c r="J18" s="97" t="s">
        <v>345</v>
      </c>
      <c r="K18" s="98" t="s">
        <v>345</v>
      </c>
      <c r="BA18" s="70"/>
      <c r="BB18" s="70"/>
      <c r="BC18" s="70"/>
      <c r="BD18" s="70"/>
      <c r="BE18" s="70"/>
      <c r="BF18" s="70"/>
      <c r="BG18" s="70"/>
      <c r="BH18" s="70"/>
      <c r="BI18" s="70"/>
      <c r="BJ18" s="70"/>
      <c r="BK18" s="70"/>
      <c r="BL18" s="70"/>
      <c r="BM18" s="70"/>
      <c r="BN18" s="70"/>
      <c r="BO18" s="70"/>
      <c r="BP18" s="70"/>
      <c r="BQ18" s="70"/>
      <c r="BR18" s="70"/>
      <c r="BS18" s="70"/>
      <c r="BT18" s="70"/>
      <c r="BU18" s="70"/>
      <c r="BV18" s="70"/>
      <c r="BW18" s="70"/>
      <c r="BX18" s="70"/>
      <c r="BY18" s="70"/>
      <c r="BZ18" s="70"/>
      <c r="CA18" s="70"/>
      <c r="CB18" s="70"/>
      <c r="CC18" s="70"/>
      <c r="CD18" s="70"/>
      <c r="CE18" s="70"/>
      <c r="CF18" s="70"/>
      <c r="CG18" s="70"/>
      <c r="CH18" s="70"/>
      <c r="CI18" s="70"/>
      <c r="CJ18" s="70"/>
      <c r="CK18" s="70"/>
      <c r="CL18" s="70"/>
      <c r="CM18" s="70"/>
    </row>
    <row r="19" spans="2:91" ht="12.75" x14ac:dyDescent="0.2">
      <c r="C19" s="5"/>
      <c r="D19" s="8"/>
      <c r="E19" s="8"/>
      <c r="F19" s="113" t="s">
        <v>458</v>
      </c>
      <c r="G19" s="104" t="s">
        <v>242</v>
      </c>
      <c r="H19" s="92" t="s">
        <v>243</v>
      </c>
      <c r="I19" s="92" t="s">
        <v>243</v>
      </c>
      <c r="J19" s="92" t="s">
        <v>244</v>
      </c>
      <c r="K19" s="99" t="s">
        <v>244</v>
      </c>
      <c r="BA19" s="70"/>
      <c r="BB19" s="70"/>
      <c r="BC19" s="70"/>
      <c r="BD19" s="70"/>
      <c r="BE19" s="70"/>
      <c r="BF19" s="70"/>
      <c r="BG19" s="70"/>
      <c r="BH19" s="70"/>
      <c r="BI19" s="70"/>
      <c r="BJ19" s="70"/>
      <c r="BK19" s="70"/>
      <c r="BL19" s="70"/>
      <c r="BM19" s="70"/>
      <c r="BN19" s="70"/>
      <c r="BO19" s="70"/>
      <c r="BP19" s="70"/>
      <c r="BQ19" s="70"/>
      <c r="BR19" s="70"/>
      <c r="BS19" s="70"/>
      <c r="BT19" s="70"/>
      <c r="BU19" s="70"/>
      <c r="BV19" s="70"/>
      <c r="BW19" s="70"/>
      <c r="BX19" s="70"/>
      <c r="BY19" s="70"/>
      <c r="BZ19" s="70"/>
      <c r="CA19" s="70"/>
      <c r="CB19" s="70"/>
      <c r="CC19" s="70"/>
      <c r="CD19" s="70"/>
      <c r="CE19" s="70"/>
      <c r="CF19" s="70"/>
      <c r="CG19" s="70"/>
      <c r="CH19" s="70"/>
      <c r="CI19" s="70"/>
      <c r="CJ19" s="70"/>
      <c r="CK19" s="70"/>
      <c r="CL19" s="70"/>
      <c r="CM19" s="70"/>
    </row>
    <row r="20" spans="2:91" ht="12.75" x14ac:dyDescent="0.2">
      <c r="B20" s="43"/>
      <c r="C20" s="5"/>
      <c r="D20" s="8"/>
      <c r="E20" s="8"/>
      <c r="F20" s="112" t="s">
        <v>1943</v>
      </c>
      <c r="G20" s="104" t="s">
        <v>1489</v>
      </c>
      <c r="H20" s="92" t="s">
        <v>519</v>
      </c>
      <c r="I20" s="92" t="s">
        <v>520</v>
      </c>
      <c r="J20" s="92" t="s">
        <v>462</v>
      </c>
      <c r="K20" s="99" t="s">
        <v>462</v>
      </c>
      <c r="P20" s="11">
        <f>60/210</f>
        <v>0.2857142857142857</v>
      </c>
      <c r="Q20" s="11">
        <f>75/210</f>
        <v>0.35714285714285715</v>
      </c>
      <c r="BA20" s="70"/>
      <c r="BB20" s="70"/>
      <c r="BC20" s="70"/>
      <c r="BD20" s="70"/>
      <c r="BE20" s="70"/>
      <c r="BF20" s="70"/>
      <c r="BG20" s="70"/>
      <c r="BH20" s="70"/>
      <c r="BI20" s="70"/>
      <c r="BJ20" s="70"/>
      <c r="BK20" s="70"/>
      <c r="BL20" s="70"/>
      <c r="BM20" s="70"/>
      <c r="BN20" s="70"/>
      <c r="BO20" s="70"/>
      <c r="BP20" s="70"/>
      <c r="BQ20" s="70"/>
      <c r="BR20" s="70"/>
      <c r="BS20" s="70"/>
      <c r="BT20" s="70"/>
      <c r="BU20" s="70"/>
      <c r="BV20" s="70"/>
      <c r="BW20" s="70"/>
      <c r="BX20" s="70"/>
      <c r="BY20" s="70"/>
      <c r="BZ20" s="70"/>
      <c r="CA20" s="70"/>
      <c r="CB20" s="70"/>
      <c r="CC20" s="70"/>
      <c r="CD20" s="70"/>
      <c r="CE20" s="70"/>
      <c r="CF20" s="70"/>
      <c r="CG20" s="70"/>
      <c r="CH20" s="70"/>
      <c r="CI20" s="70"/>
      <c r="CJ20" s="70"/>
      <c r="CK20" s="70"/>
      <c r="CL20" s="70"/>
      <c r="CM20" s="70"/>
    </row>
    <row r="21" spans="2:91" ht="12.75" x14ac:dyDescent="0.2">
      <c r="B21" s="43"/>
      <c r="C21" s="5"/>
      <c r="D21" s="8"/>
      <c r="E21" s="8"/>
      <c r="F21" s="113" t="s">
        <v>463</v>
      </c>
      <c r="G21" s="104" t="s">
        <v>464</v>
      </c>
      <c r="H21" s="92" t="s">
        <v>465</v>
      </c>
      <c r="I21" s="92" t="s">
        <v>466</v>
      </c>
      <c r="J21" s="92" t="s">
        <v>467</v>
      </c>
      <c r="K21" s="99" t="s">
        <v>467</v>
      </c>
      <c r="BA21" s="70"/>
      <c r="BB21" s="70"/>
      <c r="BC21" s="70"/>
      <c r="BD21" s="70"/>
      <c r="BE21" s="70"/>
      <c r="BF21" s="70"/>
      <c r="BG21" s="70"/>
      <c r="BH21" s="70"/>
      <c r="BI21" s="70"/>
      <c r="BJ21" s="70"/>
      <c r="BK21" s="70"/>
      <c r="BL21" s="70"/>
      <c r="BM21" s="70"/>
      <c r="BN21" s="70"/>
      <c r="BO21" s="70"/>
      <c r="BP21" s="70"/>
      <c r="BQ21" s="70"/>
      <c r="BR21" s="70"/>
      <c r="BS21" s="70"/>
      <c r="BT21" s="70"/>
      <c r="BU21" s="70"/>
      <c r="BV21" s="70"/>
      <c r="BW21" s="70"/>
      <c r="BX21" s="70"/>
      <c r="BY21" s="70"/>
      <c r="BZ21" s="70"/>
      <c r="CA21" s="70"/>
      <c r="CB21" s="70"/>
      <c r="CC21" s="70"/>
      <c r="CD21" s="70"/>
      <c r="CE21" s="70"/>
      <c r="CF21" s="70"/>
      <c r="CG21" s="70"/>
      <c r="CH21" s="70"/>
      <c r="CI21" s="70"/>
      <c r="CJ21" s="70"/>
      <c r="CK21" s="70"/>
      <c r="CL21" s="70"/>
      <c r="CM21" s="70"/>
    </row>
    <row r="22" spans="2:91" ht="12.75" x14ac:dyDescent="0.2">
      <c r="C22" s="5"/>
      <c r="D22" s="8"/>
      <c r="E22" s="8"/>
      <c r="F22" s="113" t="s">
        <v>1318</v>
      </c>
      <c r="G22" s="105" t="s">
        <v>1319</v>
      </c>
      <c r="H22" s="94">
        <v>55</v>
      </c>
      <c r="I22" s="94">
        <v>55</v>
      </c>
      <c r="J22" s="94">
        <v>40</v>
      </c>
      <c r="K22" s="100">
        <v>40</v>
      </c>
      <c r="BA22" s="70"/>
      <c r="BB22" s="70"/>
      <c r="BC22" s="70"/>
      <c r="BD22" s="70"/>
      <c r="BE22" s="70"/>
      <c r="BF22" s="70"/>
      <c r="BG22" s="70"/>
      <c r="BH22" s="70"/>
      <c r="BI22" s="70"/>
      <c r="BJ22" s="70"/>
      <c r="BK22" s="70"/>
      <c r="BL22" s="70"/>
      <c r="BM22" s="70"/>
      <c r="BN22" s="70"/>
      <c r="BO22" s="70"/>
      <c r="BP22" s="70"/>
      <c r="BQ22" s="70"/>
      <c r="BR22" s="70"/>
      <c r="BS22" s="70"/>
      <c r="BT22" s="70"/>
      <c r="BU22" s="70"/>
      <c r="BV22" s="70"/>
      <c r="BW22" s="70"/>
      <c r="BX22" s="70"/>
      <c r="BY22" s="70"/>
      <c r="BZ22" s="70"/>
      <c r="CA22" s="70"/>
      <c r="CB22" s="70"/>
      <c r="CC22" s="70"/>
      <c r="CD22" s="70"/>
      <c r="CE22" s="70"/>
      <c r="CF22" s="70"/>
      <c r="CG22" s="70"/>
      <c r="CH22" s="70"/>
      <c r="CI22" s="70"/>
      <c r="CJ22" s="70"/>
      <c r="CK22" s="70"/>
      <c r="CL22" s="70"/>
      <c r="CM22" s="70"/>
    </row>
    <row r="23" spans="2:91" ht="12.75" x14ac:dyDescent="0.2">
      <c r="C23" s="5"/>
      <c r="D23" s="8"/>
      <c r="E23" s="8"/>
      <c r="F23" s="112" t="s">
        <v>1343</v>
      </c>
      <c r="G23" s="104" t="s">
        <v>1320</v>
      </c>
      <c r="H23" s="92" t="s">
        <v>1321</v>
      </c>
      <c r="I23" s="92" t="s">
        <v>1221</v>
      </c>
      <c r="J23" s="92" t="s">
        <v>1203</v>
      </c>
      <c r="K23" s="99" t="s">
        <v>1203</v>
      </c>
      <c r="P23" s="38">
        <f>216/651</f>
        <v>0.33179723502304148</v>
      </c>
      <c r="BA23" s="70"/>
      <c r="BB23" s="70"/>
      <c r="BC23" s="70"/>
      <c r="BD23" s="70"/>
      <c r="BE23" s="70"/>
      <c r="BF23" s="70"/>
      <c r="BG23" s="70"/>
      <c r="BH23" s="70"/>
      <c r="BI23" s="70"/>
      <c r="BJ23" s="70"/>
      <c r="BK23" s="70"/>
      <c r="BL23" s="70"/>
      <c r="BM23" s="70"/>
      <c r="BN23" s="70"/>
      <c r="BO23" s="70"/>
      <c r="BP23" s="70"/>
      <c r="BQ23" s="70"/>
      <c r="BR23" s="70"/>
      <c r="BS23" s="70"/>
      <c r="BT23" s="70"/>
      <c r="BU23" s="70"/>
      <c r="BV23" s="70"/>
      <c r="BW23" s="70"/>
      <c r="BX23" s="70"/>
      <c r="BY23" s="70"/>
      <c r="BZ23" s="70"/>
      <c r="CA23" s="70"/>
      <c r="CB23" s="70"/>
      <c r="CC23" s="70"/>
      <c r="CD23" s="70"/>
      <c r="CE23" s="70"/>
      <c r="CF23" s="70"/>
      <c r="CG23" s="70"/>
      <c r="CH23" s="70"/>
      <c r="CI23" s="70"/>
      <c r="CJ23" s="70"/>
      <c r="CK23" s="70"/>
      <c r="CL23" s="70"/>
      <c r="CM23" s="70"/>
    </row>
    <row r="24" spans="2:91" ht="12.75" x14ac:dyDescent="0.2">
      <c r="C24" s="5"/>
      <c r="D24" s="8"/>
      <c r="E24" s="8"/>
      <c r="F24" s="112" t="s">
        <v>1204</v>
      </c>
      <c r="G24" s="106" t="s">
        <v>1205</v>
      </c>
      <c r="H24" s="95">
        <v>0.35499999999999998</v>
      </c>
      <c r="I24" s="95" t="s">
        <v>1205</v>
      </c>
      <c r="J24" s="95">
        <v>0.36</v>
      </c>
      <c r="K24" s="101">
        <v>0.36</v>
      </c>
      <c r="P24" s="2">
        <f>35.5%*651</f>
        <v>231.10499999999999</v>
      </c>
      <c r="BA24" s="70"/>
      <c r="BB24" s="70"/>
      <c r="BC24" s="70"/>
      <c r="BD24" s="70"/>
      <c r="BE24" s="70"/>
      <c r="BF24" s="70"/>
      <c r="BG24" s="70"/>
      <c r="BH24" s="70"/>
      <c r="BI24" s="70"/>
      <c r="BJ24" s="70"/>
      <c r="BK24" s="70"/>
      <c r="BL24" s="70"/>
      <c r="BM24" s="70"/>
      <c r="BN24" s="70"/>
      <c r="BO24" s="70"/>
      <c r="BP24" s="70"/>
      <c r="BQ24" s="70"/>
      <c r="BR24" s="70"/>
      <c r="BS24" s="70"/>
      <c r="BT24" s="70"/>
      <c r="BU24" s="70"/>
      <c r="BV24" s="70"/>
      <c r="BW24" s="70"/>
      <c r="BX24" s="70"/>
      <c r="BY24" s="70"/>
      <c r="BZ24" s="70"/>
      <c r="CA24" s="70"/>
      <c r="CB24" s="70"/>
      <c r="CC24" s="70"/>
      <c r="CD24" s="70"/>
      <c r="CE24" s="70"/>
      <c r="CF24" s="70"/>
      <c r="CG24" s="70"/>
      <c r="CH24" s="70"/>
      <c r="CI24" s="70"/>
      <c r="CJ24" s="70"/>
      <c r="CK24" s="70"/>
      <c r="CL24" s="70"/>
      <c r="CM24" s="70"/>
    </row>
    <row r="25" spans="2:91" ht="12.75" x14ac:dyDescent="0.2">
      <c r="B25" s="43"/>
      <c r="C25" s="5"/>
      <c r="D25" s="8"/>
      <c r="E25" s="8"/>
      <c r="F25" s="112" t="s">
        <v>326</v>
      </c>
      <c r="G25" s="5"/>
      <c r="H25" s="95" t="s">
        <v>327</v>
      </c>
      <c r="I25" s="95" t="s">
        <v>328</v>
      </c>
      <c r="J25" s="95" t="s">
        <v>1948</v>
      </c>
      <c r="K25" s="101" t="s">
        <v>1948</v>
      </c>
      <c r="P25" s="2">
        <f>P24-216</f>
        <v>15.10499999999999</v>
      </c>
      <c r="BA25" s="70"/>
      <c r="BB25" s="70"/>
      <c r="BC25" s="70"/>
      <c r="BD25" s="70"/>
      <c r="BE25" s="70"/>
      <c r="BF25" s="70"/>
      <c r="BG25" s="70"/>
      <c r="BH25" s="70"/>
      <c r="BI25" s="70"/>
      <c r="BJ25" s="70"/>
      <c r="BK25" s="70"/>
      <c r="BL25" s="70"/>
      <c r="BM25" s="70"/>
      <c r="BN25" s="70"/>
      <c r="BO25" s="70"/>
      <c r="BP25" s="70"/>
      <c r="BQ25" s="70"/>
      <c r="BR25" s="70"/>
      <c r="BS25" s="70"/>
      <c r="BT25" s="70"/>
      <c r="BU25" s="70"/>
      <c r="BV25" s="70"/>
      <c r="BW25" s="70"/>
      <c r="BX25" s="70"/>
      <c r="BY25" s="70"/>
      <c r="BZ25" s="70"/>
      <c r="CA25" s="70"/>
      <c r="CB25" s="70"/>
      <c r="CC25" s="70"/>
      <c r="CD25" s="70"/>
      <c r="CE25" s="70"/>
      <c r="CF25" s="70"/>
      <c r="CG25" s="70"/>
      <c r="CH25" s="70"/>
      <c r="CI25" s="70"/>
      <c r="CJ25" s="70"/>
      <c r="CK25" s="70"/>
      <c r="CL25" s="70"/>
      <c r="CM25" s="70"/>
    </row>
    <row r="26" spans="2:91" ht="12.75" x14ac:dyDescent="0.2">
      <c r="B26" s="8"/>
      <c r="C26" s="8"/>
      <c r="D26" s="8"/>
      <c r="E26" s="8"/>
      <c r="F26" s="112" t="s">
        <v>156</v>
      </c>
      <c r="G26" s="106" t="s">
        <v>329</v>
      </c>
      <c r="H26" s="95" t="s">
        <v>330</v>
      </c>
      <c r="I26" s="95" t="s">
        <v>331</v>
      </c>
      <c r="J26" s="95" t="s">
        <v>332</v>
      </c>
      <c r="K26" s="101" t="s">
        <v>332</v>
      </c>
      <c r="BA26" s="70"/>
      <c r="BB26" s="70"/>
      <c r="BC26" s="70"/>
      <c r="BD26" s="70"/>
      <c r="BE26" s="70"/>
      <c r="BF26" s="70"/>
      <c r="BG26" s="70"/>
      <c r="BH26" s="70"/>
      <c r="BI26" s="70"/>
      <c r="BJ26" s="70"/>
      <c r="BK26" s="70"/>
      <c r="BL26" s="70"/>
      <c r="BM26" s="70"/>
      <c r="BN26" s="70"/>
      <c r="BO26" s="70"/>
      <c r="BP26" s="70"/>
      <c r="BQ26" s="70"/>
      <c r="BR26" s="70"/>
      <c r="BS26" s="70"/>
      <c r="BT26" s="70"/>
      <c r="BU26" s="70"/>
      <c r="BV26" s="70"/>
      <c r="BW26" s="70"/>
      <c r="BX26" s="70"/>
      <c r="BY26" s="70"/>
      <c r="BZ26" s="70"/>
      <c r="CA26" s="70"/>
      <c r="CB26" s="70"/>
      <c r="CC26" s="70"/>
      <c r="CD26" s="70"/>
      <c r="CE26" s="70"/>
      <c r="CF26" s="70"/>
      <c r="CG26" s="70"/>
      <c r="CH26" s="70"/>
      <c r="CI26" s="70"/>
      <c r="CJ26" s="70"/>
      <c r="CK26" s="70"/>
      <c r="CL26" s="70"/>
      <c r="CM26" s="70"/>
    </row>
    <row r="27" spans="2:91" ht="12.75" x14ac:dyDescent="0.2">
      <c r="B27" s="8"/>
      <c r="C27" s="8"/>
      <c r="D27" s="8"/>
      <c r="E27" s="8"/>
      <c r="F27" s="112" t="s">
        <v>1194</v>
      </c>
      <c r="G27" s="106" t="s">
        <v>333</v>
      </c>
      <c r="H27" s="95" t="s">
        <v>334</v>
      </c>
      <c r="I27" s="95" t="s">
        <v>335</v>
      </c>
      <c r="J27" s="95" t="s">
        <v>336</v>
      </c>
      <c r="K27" s="101" t="s">
        <v>336</v>
      </c>
      <c r="P27" s="149">
        <f>P25/382</f>
        <v>3.95418848167539E-2</v>
      </c>
      <c r="BA27" s="70"/>
      <c r="BB27" s="70"/>
      <c r="BC27" s="70"/>
      <c r="BD27" s="70"/>
      <c r="BE27" s="70"/>
      <c r="BF27" s="70"/>
      <c r="BG27" s="70"/>
      <c r="BH27" s="70"/>
      <c r="BI27" s="70"/>
      <c r="BJ27" s="70"/>
      <c r="BK27" s="70"/>
      <c r="BL27" s="70"/>
      <c r="BM27" s="70"/>
      <c r="BN27" s="70"/>
      <c r="BO27" s="70"/>
      <c r="BP27" s="70"/>
      <c r="BQ27" s="70"/>
      <c r="BR27" s="70"/>
      <c r="BS27" s="70"/>
      <c r="BT27" s="70"/>
      <c r="BU27" s="70"/>
      <c r="BV27" s="70"/>
      <c r="BW27" s="70"/>
      <c r="BX27" s="70"/>
      <c r="BY27" s="70"/>
      <c r="BZ27" s="70"/>
      <c r="CA27" s="70"/>
      <c r="CB27" s="70"/>
      <c r="CC27" s="70"/>
      <c r="CD27" s="70"/>
      <c r="CE27" s="70"/>
      <c r="CF27" s="70"/>
      <c r="CG27" s="70"/>
      <c r="CH27" s="70"/>
      <c r="CI27" s="70"/>
      <c r="CJ27" s="70"/>
      <c r="CK27" s="70"/>
      <c r="CL27" s="70"/>
      <c r="CM27" s="70"/>
    </row>
    <row r="28" spans="2:91" ht="12.75" x14ac:dyDescent="0.2">
      <c r="B28" s="8"/>
      <c r="C28" s="8"/>
      <c r="D28" s="8"/>
      <c r="E28" s="8"/>
      <c r="F28" s="112" t="s">
        <v>337</v>
      </c>
      <c r="G28" s="104">
        <v>30000</v>
      </c>
      <c r="H28" s="92">
        <v>30000</v>
      </c>
      <c r="I28" s="92">
        <v>30000</v>
      </c>
      <c r="J28" s="92">
        <v>30000</v>
      </c>
      <c r="K28" s="99">
        <v>30000</v>
      </c>
      <c r="BA28" s="70"/>
      <c r="BB28" s="70"/>
      <c r="BC28" s="70"/>
      <c r="BD28" s="70"/>
      <c r="BE28" s="70"/>
      <c r="BF28" s="70"/>
      <c r="BG28" s="70"/>
      <c r="BH28" s="70"/>
      <c r="BI28" s="70"/>
      <c r="BJ28" s="70"/>
      <c r="BK28" s="70"/>
      <c r="BL28" s="70"/>
      <c r="BM28" s="70"/>
      <c r="BN28" s="70"/>
      <c r="BO28" s="70"/>
      <c r="BP28" s="70"/>
      <c r="BQ28" s="70"/>
      <c r="BR28" s="70"/>
      <c r="BS28" s="70"/>
      <c r="BT28" s="70"/>
      <c r="BU28" s="70"/>
      <c r="BV28" s="70"/>
      <c r="BW28" s="70"/>
      <c r="BX28" s="70"/>
      <c r="BY28" s="70"/>
      <c r="BZ28" s="70"/>
      <c r="CA28" s="70"/>
      <c r="CB28" s="70"/>
      <c r="CC28" s="70"/>
      <c r="CD28" s="70"/>
      <c r="CE28" s="70"/>
      <c r="CF28" s="70"/>
      <c r="CG28" s="70"/>
      <c r="CH28" s="70"/>
      <c r="CI28" s="70"/>
      <c r="CJ28" s="70"/>
      <c r="CK28" s="70"/>
      <c r="CL28" s="70"/>
      <c r="CM28" s="70"/>
    </row>
    <row r="29" spans="2:91" ht="12.75" x14ac:dyDescent="0.2">
      <c r="B29" s="8"/>
      <c r="C29" s="8"/>
      <c r="D29" s="8"/>
      <c r="E29" s="8"/>
      <c r="F29" s="114" t="s">
        <v>338</v>
      </c>
      <c r="G29" s="107" t="s">
        <v>339</v>
      </c>
      <c r="H29" s="96" t="s">
        <v>340</v>
      </c>
      <c r="I29" s="96" t="s">
        <v>341</v>
      </c>
      <c r="J29" s="96" t="s">
        <v>342</v>
      </c>
      <c r="K29" s="108" t="s">
        <v>342</v>
      </c>
      <c r="BA29" s="70"/>
      <c r="BB29" s="70"/>
      <c r="BC29" s="70"/>
      <c r="BD29" s="70"/>
      <c r="BE29" s="70"/>
      <c r="BF29" s="70"/>
      <c r="BG29" s="70"/>
      <c r="BH29" s="70"/>
      <c r="BI29" s="70"/>
      <c r="BJ29" s="70"/>
      <c r="BK29" s="70"/>
      <c r="BL29" s="70"/>
      <c r="BM29" s="70"/>
      <c r="BN29" s="70"/>
      <c r="BO29" s="70"/>
      <c r="BP29" s="70"/>
      <c r="BQ29" s="70"/>
      <c r="BR29" s="70"/>
      <c r="BS29" s="70"/>
      <c r="BT29" s="70"/>
      <c r="BU29" s="70"/>
      <c r="BV29" s="70"/>
      <c r="BW29" s="70"/>
      <c r="BX29" s="70"/>
      <c r="BY29" s="70"/>
      <c r="BZ29" s="70"/>
      <c r="CA29" s="70"/>
      <c r="CB29" s="70"/>
      <c r="CC29" s="70"/>
      <c r="CD29" s="70"/>
      <c r="CE29" s="70"/>
      <c r="CF29" s="70"/>
      <c r="CG29" s="70"/>
      <c r="CH29" s="70"/>
      <c r="CI29" s="70"/>
      <c r="CJ29" s="70"/>
      <c r="CK29" s="70"/>
      <c r="CL29" s="70"/>
      <c r="CM29" s="70"/>
    </row>
    <row r="30" spans="2:91" ht="12.75" x14ac:dyDescent="0.2">
      <c r="B30" s="8"/>
      <c r="C30" s="8"/>
      <c r="D30" s="8"/>
      <c r="E30" s="8"/>
      <c r="F30" s="12" t="s">
        <v>159</v>
      </c>
      <c r="G30" s="43"/>
      <c r="H30" s="8"/>
      <c r="I30" s="8"/>
      <c r="J30" s="8"/>
      <c r="K30" s="8"/>
      <c r="BA30" s="70"/>
      <c r="BB30" s="70"/>
      <c r="BC30" s="70"/>
      <c r="BD30" s="70"/>
      <c r="BE30" s="70"/>
      <c r="BF30" s="70"/>
      <c r="BG30" s="70"/>
      <c r="BH30" s="70"/>
      <c r="BI30" s="70"/>
      <c r="BJ30" s="70"/>
      <c r="BK30" s="70"/>
      <c r="BL30" s="70"/>
      <c r="BM30" s="70"/>
      <c r="BN30" s="70"/>
      <c r="BO30" s="70"/>
      <c r="BP30" s="70"/>
      <c r="BQ30" s="70"/>
      <c r="BR30" s="70"/>
      <c r="BS30" s="70"/>
      <c r="BT30" s="70"/>
      <c r="BU30" s="70"/>
      <c r="BV30" s="70"/>
      <c r="BW30" s="70"/>
      <c r="BX30" s="70"/>
      <c r="BY30" s="70"/>
      <c r="BZ30" s="70"/>
      <c r="CA30" s="70"/>
      <c r="CB30" s="70"/>
      <c r="CC30" s="70"/>
      <c r="CD30" s="70"/>
      <c r="CE30" s="70"/>
      <c r="CF30" s="70"/>
      <c r="CG30" s="70"/>
      <c r="CH30" s="70"/>
      <c r="CI30" s="70"/>
      <c r="CJ30" s="70"/>
      <c r="CK30" s="70"/>
      <c r="CL30" s="70"/>
      <c r="CM30" s="70"/>
    </row>
    <row r="31" spans="2:91" ht="13.5" thickBot="1" x14ac:dyDescent="0.25">
      <c r="B31" s="8"/>
      <c r="C31" s="8"/>
      <c r="D31" s="8"/>
      <c r="E31" s="8"/>
      <c r="F31" s="12" t="s">
        <v>160</v>
      </c>
      <c r="G31" s="43"/>
      <c r="H31" s="8"/>
      <c r="I31" s="8"/>
      <c r="J31" s="8"/>
      <c r="K31" s="8"/>
      <c r="M31" s="275" t="s">
        <v>161</v>
      </c>
      <c r="N31" s="374"/>
      <c r="BA31" s="70"/>
      <c r="BB31" s="70"/>
      <c r="BC31" s="70"/>
      <c r="BD31" s="70"/>
      <c r="BE31" s="70"/>
      <c r="BF31" s="70"/>
      <c r="BG31" s="70"/>
      <c r="BH31" s="70"/>
      <c r="BI31" s="70"/>
      <c r="BJ31" s="70"/>
      <c r="BK31" s="70"/>
      <c r="BL31" s="70"/>
      <c r="BM31" s="70"/>
      <c r="BN31" s="70"/>
      <c r="BO31" s="70"/>
      <c r="BP31" s="70"/>
      <c r="BQ31" s="70"/>
      <c r="BR31" s="70"/>
      <c r="BS31" s="70"/>
      <c r="BT31" s="70"/>
      <c r="BU31" s="70"/>
      <c r="BV31" s="70"/>
      <c r="BW31" s="70"/>
      <c r="BX31" s="70"/>
      <c r="BY31" s="70"/>
      <c r="BZ31" s="70"/>
      <c r="CA31" s="70"/>
      <c r="CB31" s="70"/>
      <c r="CC31" s="70"/>
      <c r="CD31" s="70"/>
      <c r="CE31" s="70"/>
      <c r="CF31" s="70"/>
      <c r="CG31" s="70"/>
      <c r="CH31" s="70"/>
      <c r="CI31" s="70"/>
      <c r="CJ31" s="70"/>
      <c r="CK31" s="70"/>
      <c r="CL31" s="70"/>
      <c r="CM31" s="70"/>
    </row>
    <row r="32" spans="2:91" ht="13.5" thickBot="1" x14ac:dyDescent="0.25">
      <c r="B32" s="87" t="s">
        <v>162</v>
      </c>
      <c r="M32" s="367" t="s">
        <v>161</v>
      </c>
      <c r="N32" s="414" t="s">
        <v>1782</v>
      </c>
      <c r="O32" s="374"/>
      <c r="BA32" s="70"/>
      <c r="BB32" s="70"/>
      <c r="BC32" s="70"/>
      <c r="BD32" s="70"/>
      <c r="BE32" s="70"/>
      <c r="BF32" s="70"/>
      <c r="BG32" s="70"/>
      <c r="BH32" s="70"/>
      <c r="BI32" s="70"/>
      <c r="BJ32" s="70"/>
      <c r="BK32" s="70"/>
      <c r="BL32" s="70"/>
      <c r="BM32" s="70"/>
      <c r="BN32" s="70"/>
      <c r="BO32" s="70"/>
      <c r="BP32" s="70"/>
      <c r="BQ32" s="70"/>
      <c r="BR32" s="70"/>
      <c r="BS32" s="70"/>
      <c r="BT32" s="70"/>
      <c r="BU32" s="70"/>
      <c r="BV32" s="70"/>
      <c r="BW32" s="70"/>
      <c r="BX32" s="70"/>
      <c r="BY32" s="70"/>
      <c r="BZ32" s="70"/>
      <c r="CA32" s="70"/>
      <c r="CB32" s="70"/>
      <c r="CC32" s="70"/>
      <c r="CD32" s="70"/>
      <c r="CE32" s="70"/>
      <c r="CF32" s="70"/>
      <c r="CG32" s="70"/>
      <c r="CH32" s="70"/>
      <c r="CI32" s="70"/>
      <c r="CJ32" s="70"/>
      <c r="CK32" s="70"/>
      <c r="CL32" s="70"/>
      <c r="CM32" s="70"/>
    </row>
    <row r="33" spans="2:91" ht="12.75" x14ac:dyDescent="0.2">
      <c r="B33" s="62" t="s">
        <v>1939</v>
      </c>
      <c r="C33" s="115" t="s">
        <v>19</v>
      </c>
      <c r="M33" s="121" t="s">
        <v>1941</v>
      </c>
      <c r="N33" s="91" t="s">
        <v>1146</v>
      </c>
      <c r="BA33" s="70"/>
      <c r="BB33" s="70"/>
      <c r="BC33" s="70"/>
      <c r="BD33" s="70"/>
      <c r="BE33" s="70"/>
      <c r="BF33" s="70"/>
      <c r="BG33" s="70"/>
      <c r="BH33" s="70"/>
      <c r="BI33" s="70"/>
      <c r="BJ33" s="70"/>
      <c r="BK33" s="70"/>
      <c r="BL33" s="70"/>
      <c r="BM33" s="70"/>
      <c r="BN33" s="70"/>
      <c r="BO33" s="70"/>
      <c r="BP33" s="70"/>
      <c r="BQ33" s="70"/>
      <c r="BR33" s="70"/>
      <c r="BS33" s="70"/>
      <c r="BT33" s="70"/>
      <c r="BU33" s="70"/>
      <c r="BV33" s="70"/>
      <c r="BW33" s="70"/>
      <c r="BX33" s="70"/>
      <c r="BY33" s="70"/>
      <c r="BZ33" s="70"/>
      <c r="CA33" s="70"/>
      <c r="CB33" s="70"/>
      <c r="CC33" s="70"/>
      <c r="CD33" s="70"/>
      <c r="CE33" s="70"/>
      <c r="CF33" s="70"/>
      <c r="CG33" s="70"/>
      <c r="CH33" s="70"/>
      <c r="CI33" s="70"/>
      <c r="CJ33" s="70"/>
      <c r="CK33" s="70"/>
      <c r="CL33" s="70"/>
      <c r="CM33" s="70"/>
    </row>
    <row r="34" spans="2:91" ht="12.75" x14ac:dyDescent="0.2">
      <c r="B34" s="27"/>
      <c r="C34" s="116"/>
      <c r="M34" s="413" t="s">
        <v>1309</v>
      </c>
      <c r="N34" s="91" t="s">
        <v>1940</v>
      </c>
      <c r="P34" s="392"/>
      <c r="Q34" s="231"/>
      <c r="BA34" s="70"/>
      <c r="BB34" s="70"/>
      <c r="BC34" s="70"/>
      <c r="BD34" s="70"/>
      <c r="BE34" s="70"/>
      <c r="BF34" s="70"/>
      <c r="BG34" s="70"/>
      <c r="BH34" s="70"/>
      <c r="BI34" s="70"/>
      <c r="BJ34" s="70"/>
      <c r="BK34" s="70"/>
      <c r="BL34" s="70"/>
      <c r="BM34" s="70"/>
      <c r="BN34" s="70"/>
      <c r="BO34" s="70"/>
      <c r="BP34" s="70"/>
      <c r="BQ34" s="70"/>
      <c r="BR34" s="70"/>
      <c r="BS34" s="70"/>
      <c r="BT34" s="70"/>
      <c r="BU34" s="70"/>
      <c r="BV34" s="70"/>
      <c r="BW34" s="70"/>
      <c r="BX34" s="70"/>
      <c r="BY34" s="70"/>
      <c r="BZ34" s="70"/>
      <c r="CA34" s="70"/>
      <c r="CB34" s="70"/>
      <c r="CC34" s="70"/>
      <c r="CD34" s="70"/>
      <c r="CE34" s="70"/>
      <c r="CF34" s="70"/>
      <c r="CG34" s="70"/>
      <c r="CH34" s="70"/>
      <c r="CI34" s="70"/>
      <c r="CJ34" s="70"/>
      <c r="CK34" s="70"/>
      <c r="CL34" s="70"/>
      <c r="CM34" s="70"/>
    </row>
    <row r="35" spans="2:91" ht="12.75" x14ac:dyDescent="0.2">
      <c r="B35" s="27"/>
      <c r="C35" s="116"/>
      <c r="M35" s="413" t="s">
        <v>2036</v>
      </c>
      <c r="N35" s="91" t="s">
        <v>1147</v>
      </c>
      <c r="BA35" s="70"/>
      <c r="BB35" s="70"/>
      <c r="BC35" s="70"/>
      <c r="BD35" s="70"/>
      <c r="BE35" s="70"/>
      <c r="BF35" s="70"/>
      <c r="BG35" s="70"/>
      <c r="BH35" s="70"/>
      <c r="BI35" s="70"/>
      <c r="BJ35" s="70"/>
      <c r="BK35" s="70"/>
      <c r="BL35" s="70"/>
      <c r="BM35" s="70"/>
      <c r="BN35" s="70"/>
      <c r="BO35" s="70"/>
      <c r="BP35" s="70"/>
      <c r="BQ35" s="70"/>
      <c r="BR35" s="70"/>
      <c r="BS35" s="70"/>
      <c r="BT35" s="70"/>
      <c r="BU35" s="70"/>
      <c r="BV35" s="70"/>
      <c r="BW35" s="70"/>
      <c r="BX35" s="70"/>
      <c r="BY35" s="70"/>
      <c r="BZ35" s="70"/>
      <c r="CA35" s="70"/>
      <c r="CB35" s="70"/>
      <c r="CC35" s="70"/>
      <c r="CD35" s="70"/>
      <c r="CE35" s="70"/>
      <c r="CF35" s="70"/>
      <c r="CG35" s="70"/>
      <c r="CH35" s="70"/>
      <c r="CI35" s="70"/>
      <c r="CJ35" s="70"/>
      <c r="CK35" s="70"/>
      <c r="CL35" s="70"/>
      <c r="CM35" s="70"/>
    </row>
    <row r="36" spans="2:91" ht="12.75" x14ac:dyDescent="0.2">
      <c r="B36" s="18" t="s">
        <v>20</v>
      </c>
      <c r="C36" s="116" t="s">
        <v>21</v>
      </c>
      <c r="M36" s="122" t="s">
        <v>1942</v>
      </c>
      <c r="N36" s="92" t="s">
        <v>22</v>
      </c>
      <c r="BA36" s="70"/>
      <c r="BB36" s="70"/>
      <c r="BC36" s="70"/>
      <c r="BD36" s="70"/>
      <c r="BE36" s="70"/>
      <c r="BF36" s="70"/>
      <c r="BG36" s="70"/>
      <c r="BH36" s="70"/>
      <c r="BI36" s="70"/>
      <c r="BJ36" s="70"/>
      <c r="BK36" s="70"/>
      <c r="BL36" s="70"/>
      <c r="BM36" s="70"/>
      <c r="BN36" s="70"/>
      <c r="BO36" s="70"/>
      <c r="BP36" s="70"/>
      <c r="BQ36" s="70"/>
      <c r="BR36" s="70"/>
      <c r="BS36" s="70"/>
      <c r="BT36" s="70"/>
      <c r="BU36" s="70"/>
      <c r="BV36" s="70"/>
      <c r="BW36" s="70"/>
      <c r="BX36" s="70"/>
      <c r="BY36" s="70"/>
      <c r="BZ36" s="70"/>
      <c r="CA36" s="70"/>
      <c r="CB36" s="70"/>
      <c r="CC36" s="70"/>
      <c r="CD36" s="70"/>
      <c r="CE36" s="70"/>
      <c r="CF36" s="70"/>
      <c r="CG36" s="70"/>
      <c r="CH36" s="70"/>
      <c r="CI36" s="70"/>
      <c r="CJ36" s="70"/>
      <c r="CK36" s="70"/>
      <c r="CL36" s="70"/>
      <c r="CM36" s="70"/>
    </row>
    <row r="37" spans="2:91" ht="12.75" x14ac:dyDescent="0.2">
      <c r="B37" s="27" t="s">
        <v>1942</v>
      </c>
      <c r="C37" s="117" t="s">
        <v>23</v>
      </c>
      <c r="M37" s="121" t="s">
        <v>1943</v>
      </c>
      <c r="N37" s="93" t="s">
        <v>24</v>
      </c>
      <c r="BA37" s="70"/>
      <c r="BB37" s="70"/>
      <c r="BC37" s="70"/>
      <c r="BD37" s="70"/>
      <c r="BE37" s="70"/>
      <c r="BF37" s="70"/>
      <c r="BG37" s="70"/>
      <c r="BH37" s="70"/>
      <c r="BI37" s="70"/>
      <c r="BJ37" s="70"/>
      <c r="BK37" s="70"/>
      <c r="BL37" s="70"/>
      <c r="BM37" s="70"/>
      <c r="BN37" s="70"/>
      <c r="BO37" s="70"/>
      <c r="BP37" s="70"/>
      <c r="BQ37" s="70"/>
      <c r="BR37" s="70"/>
      <c r="BS37" s="70"/>
      <c r="BT37" s="70"/>
      <c r="BU37" s="70"/>
      <c r="BV37" s="70"/>
      <c r="BW37" s="70"/>
      <c r="BX37" s="70"/>
      <c r="BY37" s="70"/>
      <c r="BZ37" s="70"/>
      <c r="CA37" s="70"/>
      <c r="CB37" s="70"/>
      <c r="CC37" s="70"/>
      <c r="CD37" s="70"/>
      <c r="CE37" s="70"/>
      <c r="CF37" s="70"/>
      <c r="CG37" s="70"/>
      <c r="CH37" s="70"/>
      <c r="CI37" s="70"/>
      <c r="CJ37" s="70"/>
      <c r="CK37" s="70"/>
      <c r="CL37" s="70"/>
      <c r="CM37" s="70"/>
    </row>
    <row r="38" spans="2:91" ht="12.75" x14ac:dyDescent="0.2">
      <c r="B38" s="18" t="s">
        <v>1943</v>
      </c>
      <c r="C38" s="118" t="s">
        <v>25</v>
      </c>
      <c r="M38" s="121" t="s">
        <v>1944</v>
      </c>
      <c r="N38" s="93" t="s">
        <v>26</v>
      </c>
      <c r="BA38" s="70"/>
      <c r="BB38" s="70"/>
      <c r="BC38" s="70"/>
      <c r="BD38" s="70"/>
      <c r="BE38" s="70"/>
      <c r="BF38" s="70"/>
      <c r="BG38" s="70"/>
      <c r="BH38" s="70"/>
      <c r="BI38" s="70"/>
      <c r="BJ38" s="70"/>
      <c r="BK38" s="70"/>
      <c r="BL38" s="70"/>
      <c r="BM38" s="70"/>
      <c r="BN38" s="70"/>
      <c r="BO38" s="70"/>
      <c r="BP38" s="70"/>
      <c r="BQ38" s="70"/>
      <c r="BR38" s="70"/>
      <c r="BS38" s="70"/>
      <c r="BT38" s="70"/>
      <c r="BU38" s="70"/>
      <c r="BV38" s="70"/>
      <c r="BW38" s="70"/>
      <c r="BX38" s="70"/>
      <c r="BY38" s="70"/>
      <c r="BZ38" s="70"/>
      <c r="CA38" s="70"/>
      <c r="CB38" s="70"/>
      <c r="CC38" s="70"/>
      <c r="CD38" s="70"/>
      <c r="CE38" s="70"/>
      <c r="CF38" s="70"/>
      <c r="CG38" s="70"/>
      <c r="CH38" s="70"/>
      <c r="CI38" s="70"/>
      <c r="CJ38" s="70"/>
      <c r="CK38" s="70"/>
      <c r="CL38" s="70"/>
      <c r="CM38" s="70"/>
    </row>
    <row r="39" spans="2:91" ht="12.75" x14ac:dyDescent="0.2">
      <c r="B39" s="18" t="s">
        <v>1944</v>
      </c>
      <c r="C39" s="118" t="s">
        <v>27</v>
      </c>
      <c r="M39" s="122" t="s">
        <v>28</v>
      </c>
      <c r="N39" s="92" t="s">
        <v>29</v>
      </c>
      <c r="BA39" s="70"/>
      <c r="BB39" s="70"/>
      <c r="BC39" s="70"/>
      <c r="BD39" s="70"/>
      <c r="BE39" s="70"/>
      <c r="BF39" s="70"/>
      <c r="BG39" s="70"/>
      <c r="BH39" s="70"/>
      <c r="BI39" s="70"/>
      <c r="BJ39" s="70"/>
      <c r="BK39" s="70"/>
      <c r="BL39" s="70"/>
      <c r="BM39" s="70"/>
      <c r="BN39" s="70"/>
      <c r="BO39" s="70"/>
      <c r="BP39" s="70"/>
      <c r="BQ39" s="70"/>
      <c r="BR39" s="70"/>
      <c r="BS39" s="70"/>
      <c r="BT39" s="70"/>
      <c r="BU39" s="70"/>
      <c r="BV39" s="70"/>
      <c r="BW39" s="70"/>
      <c r="BX39" s="70"/>
      <c r="BY39" s="70"/>
      <c r="BZ39" s="70"/>
      <c r="CA39" s="70"/>
      <c r="CB39" s="70"/>
      <c r="CC39" s="70"/>
      <c r="CD39" s="70"/>
      <c r="CE39" s="70"/>
      <c r="CF39" s="70"/>
      <c r="CG39" s="70"/>
      <c r="CH39" s="70"/>
      <c r="CI39" s="70"/>
      <c r="CJ39" s="70"/>
      <c r="CK39" s="70"/>
      <c r="CL39" s="70"/>
      <c r="CM39" s="70"/>
    </row>
    <row r="40" spans="2:91" ht="12.75" x14ac:dyDescent="0.2">
      <c r="B40" s="27" t="s">
        <v>1946</v>
      </c>
      <c r="C40" s="119" t="s">
        <v>30</v>
      </c>
      <c r="M40" s="122" t="s">
        <v>1946</v>
      </c>
      <c r="N40" s="94" t="s">
        <v>31</v>
      </c>
      <c r="BA40" s="70"/>
      <c r="BB40" s="70"/>
      <c r="BC40" s="70"/>
      <c r="BD40" s="70"/>
      <c r="BE40" s="70"/>
      <c r="BF40" s="70"/>
      <c r="BG40" s="70"/>
      <c r="BH40" s="70"/>
      <c r="BI40" s="70"/>
      <c r="BJ40" s="70"/>
      <c r="BK40" s="70"/>
      <c r="BL40" s="70"/>
      <c r="BM40" s="70"/>
      <c r="BN40" s="70"/>
      <c r="BO40" s="70"/>
      <c r="BP40" s="70"/>
      <c r="BQ40" s="70"/>
      <c r="BR40" s="70"/>
      <c r="BS40" s="70"/>
      <c r="BT40" s="70"/>
      <c r="BU40" s="70"/>
      <c r="BV40" s="70"/>
      <c r="BW40" s="70"/>
      <c r="BX40" s="70"/>
      <c r="BY40" s="70"/>
      <c r="BZ40" s="70"/>
      <c r="CA40" s="70"/>
      <c r="CB40" s="70"/>
      <c r="CC40" s="70"/>
      <c r="CD40" s="70"/>
      <c r="CE40" s="70"/>
      <c r="CF40" s="70"/>
      <c r="CG40" s="70"/>
      <c r="CH40" s="70"/>
      <c r="CI40" s="70"/>
      <c r="CJ40" s="70"/>
      <c r="CK40" s="70"/>
      <c r="CL40" s="70"/>
      <c r="CM40" s="70"/>
    </row>
    <row r="41" spans="2:91" ht="12.75" x14ac:dyDescent="0.2">
      <c r="B41" s="29" t="s">
        <v>421</v>
      </c>
      <c r="C41" s="120" t="s">
        <v>32</v>
      </c>
      <c r="M41" s="121" t="s">
        <v>33</v>
      </c>
      <c r="N41" s="92" t="s">
        <v>34</v>
      </c>
      <c r="BA41" s="70"/>
      <c r="BB41" s="70"/>
      <c r="BC41" s="70"/>
      <c r="BD41" s="70"/>
      <c r="BE41" s="70"/>
      <c r="BF41" s="70"/>
      <c r="BG41" s="70"/>
      <c r="BH41" s="70"/>
      <c r="BI41" s="70"/>
      <c r="BJ41" s="70"/>
      <c r="BK41" s="70"/>
      <c r="BL41" s="70"/>
      <c r="BM41" s="70"/>
      <c r="BN41" s="70"/>
      <c r="BO41" s="70"/>
      <c r="BP41" s="70"/>
      <c r="BQ41" s="70"/>
      <c r="BR41" s="70"/>
      <c r="BS41" s="70"/>
      <c r="BT41" s="70"/>
      <c r="BU41" s="70"/>
      <c r="BV41" s="70"/>
      <c r="BW41" s="70"/>
      <c r="BX41" s="70"/>
      <c r="BY41" s="70"/>
      <c r="BZ41" s="70"/>
      <c r="CA41" s="70"/>
      <c r="CB41" s="70"/>
      <c r="CC41" s="70"/>
      <c r="CD41" s="70"/>
      <c r="CE41" s="70"/>
      <c r="CF41" s="70"/>
      <c r="CG41" s="70"/>
      <c r="CH41" s="70"/>
      <c r="CI41" s="70"/>
      <c r="CJ41" s="70"/>
      <c r="CK41" s="70"/>
      <c r="CL41" s="70"/>
      <c r="CM41" s="70"/>
    </row>
    <row r="42" spans="2:91" ht="12.75" x14ac:dyDescent="0.2">
      <c r="B42" s="43"/>
      <c r="C42" s="5"/>
      <c r="M42" s="121" t="s">
        <v>1204</v>
      </c>
      <c r="N42" s="101">
        <v>0.36</v>
      </c>
      <c r="BA42" s="70"/>
      <c r="BB42" s="70"/>
      <c r="BC42" s="70"/>
      <c r="BD42" s="70"/>
      <c r="BE42" s="70"/>
      <c r="BF42" s="70"/>
      <c r="BG42" s="70"/>
      <c r="BH42" s="70"/>
      <c r="BI42" s="70"/>
      <c r="BJ42" s="70"/>
      <c r="BK42" s="70"/>
      <c r="BL42" s="70"/>
      <c r="BM42" s="70"/>
      <c r="BN42" s="70"/>
      <c r="BO42" s="70"/>
      <c r="BP42" s="70"/>
      <c r="BQ42" s="70"/>
      <c r="BR42" s="70"/>
      <c r="BS42" s="70"/>
      <c r="BT42" s="70"/>
      <c r="BU42" s="70"/>
      <c r="BV42" s="70"/>
      <c r="BW42" s="70"/>
      <c r="BX42" s="70"/>
      <c r="BY42" s="70"/>
      <c r="BZ42" s="70"/>
      <c r="CA42" s="70"/>
      <c r="CB42" s="70"/>
      <c r="CC42" s="70"/>
      <c r="CD42" s="70"/>
      <c r="CE42" s="70"/>
      <c r="CF42" s="70"/>
      <c r="CG42" s="70"/>
      <c r="CH42" s="70"/>
      <c r="CI42" s="70"/>
      <c r="CJ42" s="70"/>
      <c r="CK42" s="70"/>
      <c r="CL42" s="70"/>
      <c r="CM42" s="70"/>
    </row>
    <row r="43" spans="2:91" ht="12.75" x14ac:dyDescent="0.2">
      <c r="M43" s="121" t="s">
        <v>326</v>
      </c>
      <c r="N43" s="99">
        <v>0</v>
      </c>
      <c r="BA43" s="70"/>
      <c r="BB43" s="70"/>
      <c r="BC43" s="70"/>
      <c r="BD43" s="70"/>
      <c r="BE43" s="70"/>
      <c r="BF43" s="70"/>
      <c r="BG43" s="70"/>
      <c r="BH43" s="70"/>
      <c r="BI43" s="70"/>
      <c r="BJ43" s="70"/>
      <c r="BK43" s="70"/>
      <c r="BL43" s="70"/>
      <c r="BM43" s="70"/>
      <c r="BN43" s="70"/>
      <c r="BO43" s="70"/>
      <c r="BP43" s="70"/>
      <c r="BQ43" s="70"/>
      <c r="BR43" s="70"/>
      <c r="BS43" s="70"/>
      <c r="BT43" s="70"/>
      <c r="BU43" s="70"/>
      <c r="BV43" s="70"/>
      <c r="BW43" s="70"/>
      <c r="BX43" s="70"/>
      <c r="BY43" s="70"/>
      <c r="BZ43" s="70"/>
      <c r="CA43" s="70"/>
      <c r="CB43" s="70"/>
      <c r="CC43" s="70"/>
      <c r="CD43" s="70"/>
      <c r="CE43" s="70"/>
      <c r="CF43" s="70"/>
      <c r="CG43" s="70"/>
      <c r="CH43" s="70"/>
      <c r="CI43" s="70"/>
      <c r="CJ43" s="70"/>
      <c r="CK43" s="70"/>
      <c r="CL43" s="70"/>
      <c r="CM43" s="70"/>
    </row>
    <row r="44" spans="2:91" ht="12.75" x14ac:dyDescent="0.2">
      <c r="D44" s="5"/>
      <c r="M44" s="123" t="s">
        <v>338</v>
      </c>
      <c r="N44" s="96" t="s">
        <v>35</v>
      </c>
      <c r="BA44" s="70"/>
      <c r="BB44" s="70"/>
      <c r="BC44" s="70"/>
      <c r="BD44" s="70"/>
      <c r="BE44" s="70"/>
      <c r="BF44" s="70"/>
      <c r="BG44" s="70"/>
      <c r="BH44" s="70"/>
      <c r="BI44" s="70"/>
      <c r="BJ44" s="70"/>
      <c r="BK44" s="70"/>
      <c r="BL44" s="70"/>
      <c r="BM44" s="70"/>
      <c r="BN44" s="70"/>
      <c r="BO44" s="70"/>
      <c r="BP44" s="70"/>
      <c r="BQ44" s="70"/>
      <c r="BR44" s="70"/>
      <c r="BS44" s="70"/>
      <c r="BT44" s="70"/>
      <c r="BU44" s="70"/>
      <c r="BV44" s="70"/>
      <c r="BW44" s="70"/>
      <c r="BX44" s="70"/>
      <c r="BY44" s="70"/>
      <c r="BZ44" s="70"/>
      <c r="CA44" s="70"/>
      <c r="CB44" s="70"/>
      <c r="CC44" s="70"/>
      <c r="CD44" s="70"/>
      <c r="CE44" s="70"/>
      <c r="CF44" s="70"/>
      <c r="CG44" s="70"/>
      <c r="CH44" s="70"/>
      <c r="CI44" s="70"/>
      <c r="CJ44" s="70"/>
      <c r="CK44" s="70"/>
      <c r="CL44" s="70"/>
      <c r="CM44" s="70"/>
    </row>
    <row r="45" spans="2:91" ht="12.75" x14ac:dyDescent="0.2">
      <c r="D45" s="5"/>
      <c r="M45" s="369"/>
      <c r="N45" s="371"/>
      <c r="BA45" s="70"/>
      <c r="BB45" s="70"/>
      <c r="BC45" s="70"/>
      <c r="BD45" s="70"/>
      <c r="BE45" s="70"/>
      <c r="BF45" s="70"/>
      <c r="BG45" s="70"/>
      <c r="BH45" s="70"/>
      <c r="BI45" s="70"/>
      <c r="BJ45" s="70"/>
      <c r="BK45" s="70"/>
      <c r="BL45" s="70"/>
      <c r="BM45" s="70"/>
      <c r="BN45" s="70"/>
      <c r="BO45" s="70"/>
      <c r="BP45" s="70"/>
      <c r="BQ45" s="70"/>
      <c r="BR45" s="70"/>
      <c r="BS45" s="70"/>
      <c r="BT45" s="70"/>
      <c r="BU45" s="70"/>
      <c r="BV45" s="70"/>
      <c r="BW45" s="70"/>
      <c r="BX45" s="70"/>
      <c r="BY45" s="70"/>
      <c r="BZ45" s="70"/>
      <c r="CA45" s="70"/>
      <c r="CB45" s="70"/>
      <c r="CC45" s="70"/>
      <c r="CD45" s="70"/>
      <c r="CE45" s="70"/>
      <c r="CF45" s="70"/>
      <c r="CG45" s="70"/>
      <c r="CH45" s="70"/>
      <c r="CI45" s="70"/>
      <c r="CJ45" s="70"/>
      <c r="CK45" s="70"/>
      <c r="CL45" s="70"/>
      <c r="CM45" s="70"/>
    </row>
    <row r="46" spans="2:91" ht="12.75" x14ac:dyDescent="0.2">
      <c r="D46" s="5"/>
      <c r="M46" s="369"/>
      <c r="N46" s="371"/>
      <c r="BA46" s="70"/>
      <c r="BB46" s="70"/>
      <c r="BC46" s="70"/>
      <c r="BD46" s="70"/>
      <c r="BE46" s="70"/>
      <c r="BF46" s="70"/>
      <c r="BG46" s="70"/>
      <c r="BH46" s="70"/>
      <c r="BI46" s="70"/>
      <c r="BJ46" s="70"/>
      <c r="BK46" s="70"/>
      <c r="BL46" s="70"/>
      <c r="BM46" s="70"/>
      <c r="BN46" s="70"/>
      <c r="BO46" s="70"/>
      <c r="BP46" s="70"/>
      <c r="BQ46" s="70"/>
      <c r="BR46" s="70"/>
      <c r="BS46" s="70"/>
      <c r="BT46" s="70"/>
      <c r="BU46" s="70"/>
      <c r="BV46" s="70"/>
      <c r="BW46" s="70"/>
      <c r="BX46" s="70"/>
      <c r="BY46" s="70"/>
      <c r="BZ46" s="70"/>
      <c r="CA46" s="70"/>
      <c r="CB46" s="70"/>
      <c r="CC46" s="70"/>
      <c r="CD46" s="70"/>
      <c r="CE46" s="70"/>
      <c r="CF46" s="70"/>
      <c r="CG46" s="70"/>
      <c r="CH46" s="70"/>
      <c r="CI46" s="70"/>
      <c r="CJ46" s="70"/>
      <c r="CK46" s="70"/>
      <c r="CL46" s="70"/>
      <c r="CM46" s="70"/>
    </row>
    <row r="47" spans="2:91" ht="12.75" x14ac:dyDescent="0.2">
      <c r="D47" s="5"/>
      <c r="M47" s="565"/>
      <c r="N47" s="389"/>
      <c r="BA47" s="70"/>
      <c r="BB47" s="70"/>
      <c r="BC47" s="70"/>
      <c r="BD47" s="70"/>
      <c r="BE47" s="70"/>
      <c r="BF47" s="70"/>
      <c r="BG47" s="70"/>
      <c r="BH47" s="70"/>
      <c r="BI47" s="70"/>
      <c r="BJ47" s="70"/>
      <c r="BK47" s="70"/>
      <c r="BL47" s="70"/>
      <c r="BM47" s="70"/>
      <c r="BN47" s="70"/>
      <c r="BO47" s="70"/>
      <c r="BP47" s="70"/>
      <c r="BQ47" s="70"/>
      <c r="BR47" s="70"/>
      <c r="BS47" s="70"/>
      <c r="BT47" s="70"/>
      <c r="BU47" s="70"/>
      <c r="BV47" s="70"/>
      <c r="BW47" s="70"/>
      <c r="BX47" s="70"/>
      <c r="BY47" s="70"/>
      <c r="BZ47" s="70"/>
      <c r="CA47" s="70"/>
      <c r="CB47" s="70"/>
      <c r="CC47" s="70"/>
      <c r="CD47" s="70"/>
      <c r="CE47" s="70"/>
      <c r="CF47" s="70"/>
      <c r="CG47" s="70"/>
      <c r="CH47" s="70"/>
      <c r="CI47" s="70"/>
      <c r="CJ47" s="70"/>
      <c r="CK47" s="70"/>
      <c r="CL47" s="70"/>
      <c r="CM47" s="70"/>
    </row>
    <row r="48" spans="2:91" ht="12.75" x14ac:dyDescent="0.2">
      <c r="D48" s="5"/>
      <c r="M48" s="565" t="s">
        <v>99</v>
      </c>
      <c r="N48" s="564" t="s">
        <v>1782</v>
      </c>
      <c r="BA48" s="70"/>
      <c r="BB48" s="70"/>
      <c r="BC48" s="70"/>
      <c r="BD48" s="70"/>
      <c r="BE48" s="70"/>
      <c r="BF48" s="70"/>
      <c r="BG48" s="70"/>
      <c r="BH48" s="70"/>
      <c r="BI48" s="70"/>
      <c r="BJ48" s="70"/>
      <c r="BK48" s="70"/>
      <c r="BL48" s="70"/>
      <c r="BM48" s="70"/>
      <c r="BN48" s="70"/>
      <c r="BO48" s="70"/>
      <c r="BP48" s="70"/>
      <c r="BQ48" s="70"/>
      <c r="BR48" s="70"/>
      <c r="BS48" s="70"/>
      <c r="BT48" s="70"/>
      <c r="BU48" s="70"/>
      <c r="BV48" s="70"/>
      <c r="BW48" s="70"/>
      <c r="BX48" s="70"/>
      <c r="BY48" s="70"/>
      <c r="BZ48" s="70"/>
      <c r="CA48" s="70"/>
      <c r="CB48" s="70"/>
      <c r="CC48" s="70"/>
      <c r="CD48" s="70"/>
      <c r="CE48" s="70"/>
      <c r="CF48" s="70"/>
      <c r="CG48" s="70"/>
      <c r="CH48" s="70"/>
      <c r="CI48" s="70"/>
      <c r="CJ48" s="70"/>
      <c r="CK48" s="70"/>
      <c r="CL48" s="70"/>
      <c r="CM48" s="70"/>
    </row>
    <row r="49" spans="4:91" ht="3.95" customHeight="1" x14ac:dyDescent="0.2">
      <c r="D49" s="5"/>
      <c r="M49" s="563"/>
      <c r="N49" s="564"/>
      <c r="BA49" s="70"/>
      <c r="BB49" s="70"/>
      <c r="BC49" s="70"/>
      <c r="BD49" s="70"/>
      <c r="BE49" s="70"/>
      <c r="BF49" s="70"/>
      <c r="BG49" s="70"/>
      <c r="BH49" s="70"/>
      <c r="BI49" s="70"/>
      <c r="BJ49" s="70"/>
      <c r="BK49" s="70"/>
      <c r="BL49" s="70"/>
      <c r="BM49" s="70"/>
      <c r="BN49" s="70"/>
      <c r="BO49" s="70"/>
      <c r="BP49" s="70"/>
      <c r="BQ49" s="70"/>
      <c r="BR49" s="70"/>
      <c r="BS49" s="70"/>
      <c r="BT49" s="70"/>
      <c r="BU49" s="70"/>
      <c r="BV49" s="70"/>
      <c r="BW49" s="70"/>
      <c r="BX49" s="70"/>
      <c r="BY49" s="70"/>
      <c r="BZ49" s="70"/>
      <c r="CA49" s="70"/>
      <c r="CB49" s="70"/>
      <c r="CC49" s="70"/>
      <c r="CD49" s="70"/>
      <c r="CE49" s="70"/>
      <c r="CF49" s="70"/>
      <c r="CG49" s="70"/>
      <c r="CH49" s="70"/>
      <c r="CI49" s="70"/>
      <c r="CJ49" s="70"/>
      <c r="CK49" s="70"/>
      <c r="CL49" s="70"/>
      <c r="CM49" s="70"/>
    </row>
    <row r="50" spans="4:91" ht="12.75" x14ac:dyDescent="0.2">
      <c r="D50" s="5"/>
      <c r="M50" s="213" t="s">
        <v>1941</v>
      </c>
      <c r="N50" s="231" t="s">
        <v>1940</v>
      </c>
      <c r="BA50" s="70"/>
      <c r="BB50" s="70"/>
      <c r="BC50" s="70"/>
      <c r="BD50" s="70"/>
      <c r="BE50" s="70"/>
      <c r="BF50" s="70"/>
      <c r="BG50" s="70"/>
      <c r="BH50" s="70"/>
      <c r="BI50" s="70"/>
      <c r="BJ50" s="70"/>
      <c r="BK50" s="70"/>
      <c r="BL50" s="70"/>
      <c r="BM50" s="70"/>
      <c r="BN50" s="70"/>
      <c r="BO50" s="70"/>
      <c r="BP50" s="70"/>
      <c r="BQ50" s="70"/>
      <c r="BR50" s="70"/>
      <c r="BS50" s="70"/>
      <c r="BT50" s="70"/>
      <c r="BU50" s="70"/>
      <c r="BV50" s="70"/>
      <c r="BW50" s="70"/>
      <c r="BX50" s="70"/>
      <c r="BY50" s="70"/>
      <c r="BZ50" s="70"/>
      <c r="CA50" s="70"/>
      <c r="CB50" s="70"/>
      <c r="CC50" s="70"/>
      <c r="CD50" s="70"/>
      <c r="CE50" s="70"/>
      <c r="CF50" s="70"/>
      <c r="CG50" s="70"/>
      <c r="CH50" s="70"/>
      <c r="CI50" s="70"/>
      <c r="CJ50" s="70"/>
      <c r="CK50" s="70"/>
      <c r="CL50" s="70"/>
      <c r="CM50" s="70"/>
    </row>
    <row r="51" spans="4:91" ht="12.75" x14ac:dyDescent="0.2">
      <c r="D51" s="5"/>
      <c r="M51" s="392" t="s">
        <v>1309</v>
      </c>
      <c r="N51" s="231" t="s">
        <v>1940</v>
      </c>
      <c r="BA51" s="70"/>
      <c r="BB51" s="70"/>
      <c r="BC51" s="70"/>
      <c r="BD51" s="70"/>
      <c r="BE51" s="70"/>
      <c r="BF51" s="70"/>
      <c r="BG51" s="70"/>
      <c r="BH51" s="70"/>
      <c r="BI51" s="70"/>
      <c r="BJ51" s="70"/>
      <c r="BK51" s="70"/>
      <c r="BL51" s="70"/>
      <c r="BM51" s="70"/>
      <c r="BN51" s="70"/>
      <c r="BO51" s="70"/>
      <c r="BP51" s="70"/>
      <c r="BQ51" s="70"/>
      <c r="BR51" s="70"/>
      <c r="BS51" s="70"/>
      <c r="BT51" s="70"/>
      <c r="BU51" s="70"/>
      <c r="BV51" s="70"/>
      <c r="BW51" s="70"/>
      <c r="BX51" s="70"/>
      <c r="BY51" s="70"/>
      <c r="BZ51" s="70"/>
      <c r="CA51" s="70"/>
      <c r="CB51" s="70"/>
      <c r="CC51" s="70"/>
      <c r="CD51" s="70"/>
      <c r="CE51" s="70"/>
      <c r="CF51" s="70"/>
      <c r="CG51" s="70"/>
      <c r="CH51" s="70"/>
      <c r="CI51" s="70"/>
      <c r="CJ51" s="70"/>
      <c r="CK51" s="70"/>
      <c r="CL51" s="70"/>
      <c r="CM51" s="70"/>
    </row>
    <row r="52" spans="4:91" ht="12.75" x14ac:dyDescent="0.2">
      <c r="D52" s="5"/>
      <c r="M52" s="392" t="s">
        <v>2036</v>
      </c>
      <c r="N52" s="231" t="s">
        <v>2220</v>
      </c>
      <c r="BA52" s="70"/>
      <c r="BB52" s="70"/>
      <c r="BC52" s="70"/>
      <c r="BD52" s="70"/>
      <c r="BE52" s="70"/>
      <c r="BF52" s="70"/>
      <c r="BG52" s="70"/>
      <c r="BH52" s="70"/>
      <c r="BI52" s="70"/>
      <c r="BJ52" s="70"/>
      <c r="BK52" s="70"/>
      <c r="BL52" s="70"/>
      <c r="BM52" s="70"/>
      <c r="BN52" s="70"/>
      <c r="BO52" s="70"/>
      <c r="BP52" s="70"/>
      <c r="BQ52" s="70"/>
      <c r="BR52" s="70"/>
      <c r="BS52" s="70"/>
      <c r="BT52" s="70"/>
      <c r="BU52" s="70"/>
      <c r="BV52" s="70"/>
      <c r="BW52" s="70"/>
      <c r="BX52" s="70"/>
      <c r="BY52" s="70"/>
      <c r="BZ52" s="70"/>
      <c r="CA52" s="70"/>
      <c r="CB52" s="70"/>
      <c r="CC52" s="70"/>
      <c r="CD52" s="70"/>
      <c r="CE52" s="70"/>
      <c r="CF52" s="70"/>
      <c r="CG52" s="70"/>
      <c r="CH52" s="70"/>
      <c r="CI52" s="70"/>
      <c r="CJ52" s="70"/>
      <c r="CK52" s="70"/>
      <c r="CL52" s="70"/>
      <c r="CM52" s="70"/>
    </row>
    <row r="53" spans="4:91" ht="12.75" x14ac:dyDescent="0.2">
      <c r="D53" s="5"/>
      <c r="M53" s="369" t="s">
        <v>1942</v>
      </c>
      <c r="N53" s="371" t="s">
        <v>2221</v>
      </c>
      <c r="BA53" s="70"/>
      <c r="BB53" s="70"/>
      <c r="BC53" s="70"/>
      <c r="BD53" s="70"/>
      <c r="BE53" s="70"/>
      <c r="BF53" s="70"/>
      <c r="BG53" s="70"/>
      <c r="BH53" s="70"/>
      <c r="BI53" s="70"/>
      <c r="BJ53" s="70"/>
      <c r="BK53" s="70"/>
      <c r="BL53" s="70"/>
      <c r="BM53" s="70"/>
      <c r="BN53" s="70"/>
      <c r="BO53" s="70"/>
      <c r="BP53" s="70"/>
      <c r="BQ53" s="70"/>
      <c r="BR53" s="70"/>
      <c r="BS53" s="70"/>
      <c r="BT53" s="70"/>
      <c r="BU53" s="70"/>
      <c r="BV53" s="70"/>
      <c r="BW53" s="70"/>
      <c r="BX53" s="70"/>
      <c r="BY53" s="70"/>
      <c r="BZ53" s="70"/>
      <c r="CA53" s="70"/>
      <c r="CB53" s="70"/>
      <c r="CC53" s="70"/>
      <c r="CD53" s="70"/>
      <c r="CE53" s="70"/>
      <c r="CF53" s="70"/>
      <c r="CG53" s="70"/>
      <c r="CH53" s="70"/>
      <c r="CI53" s="70"/>
      <c r="CJ53" s="70"/>
      <c r="CK53" s="70"/>
      <c r="CL53" s="70"/>
      <c r="CM53" s="70"/>
    </row>
    <row r="54" spans="4:91" ht="12.75" x14ac:dyDescent="0.2">
      <c r="D54" s="5"/>
      <c r="M54" s="213" t="s">
        <v>1943</v>
      </c>
      <c r="N54" s="491" t="s">
        <v>2222</v>
      </c>
      <c r="BA54" s="70"/>
      <c r="BB54" s="70"/>
      <c r="BC54" s="70"/>
      <c r="BD54" s="70"/>
      <c r="BE54" s="70"/>
      <c r="BF54" s="70"/>
      <c r="BG54" s="70"/>
      <c r="BH54" s="70"/>
      <c r="BI54" s="70"/>
      <c r="BJ54" s="70"/>
      <c r="BK54" s="70"/>
      <c r="BL54" s="70"/>
      <c r="BM54" s="70"/>
      <c r="BN54" s="70"/>
      <c r="BO54" s="70"/>
      <c r="BP54" s="70"/>
      <c r="BQ54" s="70"/>
      <c r="BR54" s="70"/>
      <c r="BS54" s="70"/>
      <c r="BT54" s="70"/>
      <c r="BU54" s="70"/>
      <c r="BV54" s="70"/>
      <c r="BW54" s="70"/>
      <c r="BX54" s="70"/>
      <c r="BY54" s="70"/>
      <c r="BZ54" s="70"/>
      <c r="CA54" s="70"/>
      <c r="CB54" s="70"/>
      <c r="CC54" s="70"/>
      <c r="CD54" s="70"/>
      <c r="CE54" s="70"/>
      <c r="CF54" s="70"/>
      <c r="CG54" s="70"/>
      <c r="CH54" s="70"/>
      <c r="CI54" s="70"/>
      <c r="CJ54" s="70"/>
      <c r="CK54" s="70"/>
      <c r="CL54" s="70"/>
      <c r="CM54" s="70"/>
    </row>
    <row r="55" spans="4:91" ht="12.75" x14ac:dyDescent="0.2">
      <c r="D55" s="5"/>
      <c r="M55" s="213" t="s">
        <v>1944</v>
      </c>
      <c r="N55" s="491" t="s">
        <v>2223</v>
      </c>
      <c r="BA55" s="70"/>
      <c r="BB55" s="70"/>
      <c r="BC55" s="70"/>
      <c r="BD55" s="70"/>
      <c r="BE55" s="70"/>
      <c r="BF55" s="70"/>
      <c r="BG55" s="70"/>
      <c r="BH55" s="70"/>
      <c r="BI55" s="70"/>
      <c r="BJ55" s="70"/>
      <c r="BK55" s="70"/>
      <c r="BL55" s="70"/>
      <c r="BM55" s="70"/>
      <c r="BN55" s="70"/>
      <c r="BO55" s="70"/>
      <c r="BP55" s="70"/>
      <c r="BQ55" s="70"/>
      <c r="BR55" s="70"/>
      <c r="BS55" s="70"/>
      <c r="BT55" s="70"/>
      <c r="BU55" s="70"/>
      <c r="BV55" s="70"/>
      <c r="BW55" s="70"/>
      <c r="BX55" s="70"/>
      <c r="BY55" s="70"/>
      <c r="BZ55" s="70"/>
      <c r="CA55" s="70"/>
      <c r="CB55" s="70"/>
      <c r="CC55" s="70"/>
      <c r="CD55" s="70"/>
      <c r="CE55" s="70"/>
      <c r="CF55" s="70"/>
      <c r="CG55" s="70"/>
      <c r="CH55" s="70"/>
      <c r="CI55" s="70"/>
      <c r="CJ55" s="70"/>
      <c r="CK55" s="70"/>
      <c r="CL55" s="70"/>
      <c r="CM55" s="70"/>
    </row>
    <row r="56" spans="4:91" ht="12.75" x14ac:dyDescent="0.2">
      <c r="D56" s="5"/>
      <c r="M56" s="369" t="s">
        <v>28</v>
      </c>
      <c r="N56" s="371" t="s">
        <v>2224</v>
      </c>
      <c r="BA56" s="70"/>
      <c r="BB56" s="70"/>
      <c r="BC56" s="70"/>
      <c r="BD56" s="70"/>
      <c r="BE56" s="70"/>
      <c r="BF56" s="70"/>
      <c r="BG56" s="70"/>
      <c r="BH56" s="70"/>
      <c r="BI56" s="70"/>
      <c r="BJ56" s="70"/>
      <c r="BK56" s="70"/>
      <c r="BL56" s="70"/>
      <c r="BM56" s="70"/>
      <c r="BN56" s="70"/>
      <c r="BO56" s="70"/>
      <c r="BP56" s="70"/>
      <c r="BQ56" s="70"/>
      <c r="BR56" s="70"/>
      <c r="BS56" s="70"/>
      <c r="BT56" s="70"/>
      <c r="BU56" s="70"/>
      <c r="BV56" s="70"/>
      <c r="BW56" s="70"/>
      <c r="BX56" s="70"/>
      <c r="BY56" s="70"/>
      <c r="BZ56" s="70"/>
      <c r="CA56" s="70"/>
      <c r="CB56" s="70"/>
      <c r="CC56" s="70"/>
      <c r="CD56" s="70"/>
      <c r="CE56" s="70"/>
      <c r="CF56" s="70"/>
      <c r="CG56" s="70"/>
      <c r="CH56" s="70"/>
      <c r="CI56" s="70"/>
      <c r="CJ56" s="70"/>
      <c r="CK56" s="70"/>
      <c r="CL56" s="70"/>
      <c r="CM56" s="70"/>
    </row>
    <row r="57" spans="4:91" ht="12.75" x14ac:dyDescent="0.2">
      <c r="D57" s="5"/>
      <c r="M57" s="369" t="s">
        <v>1946</v>
      </c>
      <c r="N57" s="493" t="s">
        <v>2225</v>
      </c>
      <c r="BA57" s="70"/>
      <c r="BB57" s="70"/>
      <c r="BC57" s="70"/>
      <c r="BD57" s="70"/>
      <c r="BE57" s="70"/>
      <c r="BF57" s="70"/>
      <c r="BG57" s="70"/>
      <c r="BH57" s="70"/>
      <c r="BI57" s="70"/>
      <c r="BJ57" s="70"/>
      <c r="BK57" s="70"/>
      <c r="BL57" s="70"/>
      <c r="BM57" s="70"/>
      <c r="BN57" s="70"/>
      <c r="BO57" s="70"/>
      <c r="BP57" s="70"/>
      <c r="BQ57" s="70"/>
      <c r="BR57" s="70"/>
      <c r="BS57" s="70"/>
      <c r="BT57" s="70"/>
      <c r="BU57" s="70"/>
      <c r="BV57" s="70"/>
      <c r="BW57" s="70"/>
      <c r="BX57" s="70"/>
      <c r="BY57" s="70"/>
      <c r="BZ57" s="70"/>
      <c r="CA57" s="70"/>
      <c r="CB57" s="70"/>
      <c r="CC57" s="70"/>
      <c r="CD57" s="70"/>
      <c r="CE57" s="70"/>
      <c r="CF57" s="70"/>
      <c r="CG57" s="70"/>
      <c r="CH57" s="70"/>
      <c r="CI57" s="70"/>
      <c r="CJ57" s="70"/>
      <c r="CK57" s="70"/>
      <c r="CL57" s="70"/>
      <c r="CM57" s="70"/>
    </row>
    <row r="58" spans="4:91" ht="12.75" x14ac:dyDescent="0.2">
      <c r="D58" s="5"/>
      <c r="M58" s="213" t="s">
        <v>33</v>
      </c>
      <c r="N58" s="371" t="s">
        <v>34</v>
      </c>
      <c r="BA58" s="70"/>
      <c r="BB58" s="70"/>
      <c r="BC58" s="70"/>
      <c r="BD58" s="70"/>
      <c r="BE58" s="70"/>
      <c r="BF58" s="70"/>
      <c r="BG58" s="70"/>
      <c r="BH58" s="70"/>
      <c r="BI58" s="70"/>
      <c r="BJ58" s="70"/>
      <c r="BK58" s="70"/>
      <c r="BL58" s="70"/>
      <c r="BM58" s="70"/>
      <c r="BN58" s="70"/>
      <c r="BO58" s="70"/>
      <c r="BP58" s="70"/>
      <c r="BQ58" s="70"/>
      <c r="BR58" s="70"/>
      <c r="BS58" s="70"/>
      <c r="BT58" s="70"/>
      <c r="BU58" s="70"/>
      <c r="BV58" s="70"/>
      <c r="BW58" s="70"/>
      <c r="BX58" s="70"/>
      <c r="BY58" s="70"/>
      <c r="BZ58" s="70"/>
      <c r="CA58" s="70"/>
      <c r="CB58" s="70"/>
      <c r="CC58" s="70"/>
      <c r="CD58" s="70"/>
      <c r="CE58" s="70"/>
      <c r="CF58" s="70"/>
      <c r="CG58" s="70"/>
      <c r="CH58" s="70"/>
      <c r="CI58" s="70"/>
      <c r="CJ58" s="70"/>
      <c r="CK58" s="70"/>
      <c r="CL58" s="70"/>
      <c r="CM58" s="70"/>
    </row>
    <row r="59" spans="4:91" ht="12.75" hidden="1" customHeight="1" x14ac:dyDescent="0.2">
      <c r="D59" s="5"/>
      <c r="M59" s="213" t="s">
        <v>1204</v>
      </c>
      <c r="N59" s="373"/>
      <c r="BA59" s="70"/>
      <c r="BB59" s="70"/>
      <c r="BC59" s="70"/>
      <c r="BD59" s="70"/>
      <c r="BE59" s="70"/>
      <c r="BF59" s="70"/>
      <c r="BG59" s="70"/>
      <c r="BH59" s="70"/>
      <c r="BI59" s="70"/>
      <c r="BJ59" s="70"/>
      <c r="BK59" s="70"/>
      <c r="BL59" s="70"/>
      <c r="BM59" s="70"/>
      <c r="BN59" s="70"/>
      <c r="BO59" s="70"/>
      <c r="BP59" s="70"/>
      <c r="BQ59" s="70"/>
      <c r="BR59" s="70"/>
      <c r="BS59" s="70"/>
      <c r="BT59" s="70"/>
      <c r="BU59" s="70"/>
      <c r="BV59" s="70"/>
      <c r="BW59" s="70"/>
      <c r="BX59" s="70"/>
      <c r="BY59" s="70"/>
      <c r="BZ59" s="70"/>
      <c r="CA59" s="70"/>
      <c r="CB59" s="70"/>
      <c r="CC59" s="70"/>
      <c r="CD59" s="70"/>
      <c r="CE59" s="70"/>
      <c r="CF59" s="70"/>
      <c r="CG59" s="70"/>
      <c r="CH59" s="70"/>
      <c r="CI59" s="70"/>
      <c r="CJ59" s="70"/>
      <c r="CK59" s="70"/>
      <c r="CL59" s="70"/>
      <c r="CM59" s="70"/>
    </row>
    <row r="60" spans="4:91" ht="12.75" hidden="1" customHeight="1" x14ac:dyDescent="0.2">
      <c r="D60" s="5"/>
      <c r="M60" s="213" t="s">
        <v>326</v>
      </c>
      <c r="N60" s="371"/>
      <c r="BA60" s="70"/>
      <c r="BB60" s="70"/>
      <c r="BC60" s="70"/>
      <c r="BD60" s="70"/>
      <c r="BE60" s="70"/>
      <c r="BF60" s="70"/>
      <c r="BG60" s="70"/>
      <c r="BH60" s="70"/>
      <c r="BI60" s="70"/>
      <c r="BJ60" s="70"/>
      <c r="BK60" s="70"/>
      <c r="BL60" s="70"/>
      <c r="BM60" s="70"/>
      <c r="BN60" s="70"/>
      <c r="BO60" s="70"/>
      <c r="BP60" s="70"/>
      <c r="BQ60" s="70"/>
      <c r="BR60" s="70"/>
      <c r="BS60" s="70"/>
      <c r="BT60" s="70"/>
      <c r="BU60" s="70"/>
      <c r="BV60" s="70"/>
      <c r="BW60" s="70"/>
      <c r="BX60" s="70"/>
      <c r="BY60" s="70"/>
      <c r="BZ60" s="70"/>
      <c r="CA60" s="70"/>
      <c r="CB60" s="70"/>
      <c r="CC60" s="70"/>
      <c r="CD60" s="70"/>
      <c r="CE60" s="70"/>
      <c r="CF60" s="70"/>
      <c r="CG60" s="70"/>
      <c r="CH60" s="70"/>
      <c r="CI60" s="70"/>
      <c r="CJ60" s="70"/>
      <c r="CK60" s="70"/>
      <c r="CL60" s="70"/>
      <c r="CM60" s="70"/>
    </row>
    <row r="61" spans="4:91" ht="12.75" x14ac:dyDescent="0.2">
      <c r="D61" s="5"/>
      <c r="M61" s="369" t="s">
        <v>338</v>
      </c>
      <c r="N61" s="371" t="s">
        <v>2226</v>
      </c>
      <c r="BA61" s="70"/>
      <c r="BB61" s="70"/>
      <c r="BC61" s="70"/>
      <c r="BD61" s="70"/>
      <c r="BE61" s="70"/>
      <c r="BF61" s="70"/>
      <c r="BG61" s="70"/>
      <c r="BH61" s="70"/>
      <c r="BI61" s="70"/>
      <c r="BJ61" s="70"/>
      <c r="BK61" s="70"/>
      <c r="BL61" s="70"/>
      <c r="BM61" s="70"/>
      <c r="BN61" s="70"/>
      <c r="BO61" s="70"/>
      <c r="BP61" s="70"/>
      <c r="BQ61" s="70"/>
      <c r="BR61" s="70"/>
      <c r="BS61" s="70"/>
      <c r="BT61" s="70"/>
      <c r="BU61" s="70"/>
      <c r="BV61" s="70"/>
      <c r="BW61" s="70"/>
      <c r="BX61" s="70"/>
      <c r="BY61" s="70"/>
      <c r="BZ61" s="70"/>
      <c r="CA61" s="70"/>
      <c r="CB61" s="70"/>
      <c r="CC61" s="70"/>
      <c r="CD61" s="70"/>
      <c r="CE61" s="70"/>
      <c r="CF61" s="70"/>
      <c r="CG61" s="70"/>
      <c r="CH61" s="70"/>
      <c r="CI61" s="70"/>
      <c r="CJ61" s="70"/>
      <c r="CK61" s="70"/>
      <c r="CL61" s="70"/>
      <c r="CM61" s="70"/>
    </row>
    <row r="62" spans="4:91" ht="12.75" x14ac:dyDescent="0.2">
      <c r="D62" s="5"/>
      <c r="M62" s="369"/>
      <c r="N62" s="371"/>
      <c r="BA62" s="70"/>
      <c r="BB62" s="70"/>
      <c r="BC62" s="70"/>
      <c r="BD62" s="70"/>
      <c r="BE62" s="70"/>
      <c r="BF62" s="70"/>
      <c r="BG62" s="70"/>
      <c r="BH62" s="70"/>
      <c r="BI62" s="70"/>
      <c r="BJ62" s="70"/>
      <c r="BK62" s="70"/>
      <c r="BL62" s="70"/>
      <c r="BM62" s="70"/>
      <c r="BN62" s="70"/>
      <c r="BO62" s="70"/>
      <c r="BP62" s="70"/>
      <c r="BQ62" s="70"/>
      <c r="BR62" s="70"/>
      <c r="BS62" s="70"/>
      <c r="BT62" s="70"/>
      <c r="BU62" s="70"/>
      <c r="BV62" s="70"/>
      <c r="BW62" s="70"/>
      <c r="BX62" s="70"/>
      <c r="BY62" s="70"/>
      <c r="BZ62" s="70"/>
      <c r="CA62" s="70"/>
      <c r="CB62" s="70"/>
      <c r="CC62" s="70"/>
      <c r="CD62" s="70"/>
      <c r="CE62" s="70"/>
      <c r="CF62" s="70"/>
      <c r="CG62" s="70"/>
      <c r="CH62" s="70"/>
      <c r="CI62" s="70"/>
      <c r="CJ62" s="70"/>
      <c r="CK62" s="70"/>
      <c r="CL62" s="70"/>
      <c r="CM62" s="70"/>
    </row>
    <row r="63" spans="4:91" ht="12.75" x14ac:dyDescent="0.2">
      <c r="D63" s="5"/>
      <c r="M63" s="565" t="s">
        <v>708</v>
      </c>
      <c r="N63" s="371"/>
      <c r="BA63" s="70"/>
      <c r="BB63" s="70"/>
      <c r="BC63" s="70"/>
      <c r="BD63" s="70"/>
      <c r="BE63" s="70"/>
      <c r="BF63" s="70"/>
      <c r="BG63" s="70"/>
      <c r="BH63" s="70"/>
      <c r="BI63" s="70"/>
      <c r="BJ63" s="70"/>
      <c r="BK63" s="70"/>
      <c r="BL63" s="70"/>
      <c r="BM63" s="70"/>
      <c r="BN63" s="70"/>
      <c r="BO63" s="70"/>
      <c r="BP63" s="70"/>
      <c r="BQ63" s="70"/>
      <c r="BR63" s="70"/>
      <c r="BS63" s="70"/>
      <c r="BT63" s="70"/>
      <c r="BU63" s="70"/>
      <c r="BV63" s="70"/>
      <c r="BW63" s="70"/>
      <c r="BX63" s="70"/>
      <c r="BY63" s="70"/>
      <c r="BZ63" s="70"/>
      <c r="CA63" s="70"/>
      <c r="CB63" s="70"/>
      <c r="CC63" s="70"/>
      <c r="CD63" s="70"/>
      <c r="CE63" s="70"/>
      <c r="CF63" s="70"/>
      <c r="CG63" s="70"/>
      <c r="CH63" s="70"/>
      <c r="CI63" s="70"/>
      <c r="CJ63" s="70"/>
      <c r="CK63" s="70"/>
      <c r="CL63" s="70"/>
      <c r="CM63" s="70"/>
    </row>
    <row r="64" spans="4:91" ht="12.75" x14ac:dyDescent="0.2">
      <c r="D64" s="5"/>
      <c r="M64" s="565" t="s">
        <v>709</v>
      </c>
      <c r="N64" s="564" t="s">
        <v>1782</v>
      </c>
      <c r="BA64" s="70"/>
      <c r="BB64" s="70"/>
      <c r="BC64" s="70"/>
      <c r="BD64" s="70"/>
      <c r="BE64" s="70"/>
      <c r="BF64" s="70"/>
      <c r="BG64" s="70"/>
      <c r="BH64" s="70"/>
      <c r="BI64" s="70"/>
      <c r="BJ64" s="70"/>
      <c r="BK64" s="70"/>
      <c r="BL64" s="70"/>
      <c r="BM64" s="70"/>
      <c r="BN64" s="70"/>
      <c r="BO64" s="70"/>
      <c r="BP64" s="70"/>
      <c r="BQ64" s="70"/>
      <c r="BR64" s="70"/>
      <c r="BS64" s="70"/>
      <c r="BT64" s="70"/>
      <c r="BU64" s="70"/>
      <c r="BV64" s="70"/>
      <c r="BW64" s="70"/>
      <c r="BX64" s="70"/>
      <c r="BY64" s="70"/>
      <c r="BZ64" s="70"/>
      <c r="CA64" s="70"/>
      <c r="CB64" s="70"/>
      <c r="CC64" s="70"/>
      <c r="CD64" s="70"/>
      <c r="CE64" s="70"/>
      <c r="CF64" s="70"/>
      <c r="CG64" s="70"/>
      <c r="CH64" s="70"/>
      <c r="CI64" s="70"/>
      <c r="CJ64" s="70"/>
      <c r="CK64" s="70"/>
      <c r="CL64" s="70"/>
      <c r="CM64" s="70"/>
    </row>
    <row r="65" spans="4:91" ht="12.75" x14ac:dyDescent="0.2">
      <c r="D65" s="5"/>
      <c r="M65" s="563"/>
      <c r="N65" s="564"/>
      <c r="BA65" s="70"/>
      <c r="BB65" s="70"/>
      <c r="BC65" s="70"/>
      <c r="BD65" s="70"/>
      <c r="BE65" s="70"/>
      <c r="BF65" s="70"/>
      <c r="BG65" s="70"/>
      <c r="BH65" s="70"/>
      <c r="BI65" s="70"/>
      <c r="BJ65" s="70"/>
      <c r="BK65" s="70"/>
      <c r="BL65" s="70"/>
      <c r="BM65" s="70"/>
      <c r="BN65" s="70"/>
      <c r="BO65" s="70"/>
      <c r="BP65" s="70"/>
      <c r="BQ65" s="70"/>
      <c r="BR65" s="70"/>
      <c r="BS65" s="70"/>
      <c r="BT65" s="70"/>
      <c r="BU65" s="70"/>
      <c r="BV65" s="70"/>
      <c r="BW65" s="70"/>
      <c r="BX65" s="70"/>
      <c r="BY65" s="70"/>
      <c r="BZ65" s="70"/>
      <c r="CA65" s="70"/>
      <c r="CB65" s="70"/>
      <c r="CC65" s="70"/>
      <c r="CD65" s="70"/>
      <c r="CE65" s="70"/>
      <c r="CF65" s="70"/>
      <c r="CG65" s="70"/>
      <c r="CH65" s="70"/>
      <c r="CI65" s="70"/>
      <c r="CJ65" s="70"/>
      <c r="CK65" s="70"/>
      <c r="CL65" s="70"/>
      <c r="CM65" s="70"/>
    </row>
    <row r="66" spans="4:91" ht="12.75" x14ac:dyDescent="0.2">
      <c r="D66" s="5"/>
      <c r="M66" s="394" t="s">
        <v>487</v>
      </c>
      <c r="N66" s="564"/>
      <c r="BA66" s="70"/>
      <c r="BB66" s="70"/>
      <c r="BC66" s="70"/>
      <c r="BD66" s="70"/>
      <c r="BE66" s="70"/>
      <c r="BF66" s="70"/>
      <c r="BG66" s="70"/>
      <c r="BH66" s="70"/>
      <c r="BI66" s="70"/>
      <c r="BJ66" s="70"/>
      <c r="BK66" s="70"/>
      <c r="BL66" s="70"/>
      <c r="BM66" s="70"/>
      <c r="BN66" s="70"/>
      <c r="BO66" s="70"/>
      <c r="BP66" s="70"/>
      <c r="BQ66" s="70"/>
      <c r="BR66" s="70"/>
      <c r="BS66" s="70"/>
      <c r="BT66" s="70"/>
      <c r="BU66" s="70"/>
      <c r="BV66" s="70"/>
      <c r="BW66" s="70"/>
      <c r="BX66" s="70"/>
      <c r="BY66" s="70"/>
      <c r="BZ66" s="70"/>
      <c r="CA66" s="70"/>
      <c r="CB66" s="70"/>
      <c r="CC66" s="70"/>
      <c r="CD66" s="70"/>
      <c r="CE66" s="70"/>
      <c r="CF66" s="70"/>
      <c r="CG66" s="70"/>
      <c r="CH66" s="70"/>
      <c r="CI66" s="70"/>
      <c r="CJ66" s="70"/>
      <c r="CK66" s="70"/>
      <c r="CL66" s="70"/>
      <c r="CM66" s="70"/>
    </row>
    <row r="67" spans="4:91" ht="14.25" x14ac:dyDescent="0.2">
      <c r="D67" s="5"/>
      <c r="M67" s="213" t="s">
        <v>1941</v>
      </c>
      <c r="N67" s="405" t="s">
        <v>629</v>
      </c>
      <c r="BA67" s="70"/>
      <c r="BB67" s="70"/>
      <c r="BC67" s="70"/>
      <c r="BD67" s="70"/>
      <c r="BE67" s="70"/>
      <c r="BF67" s="70"/>
      <c r="BG67" s="70"/>
      <c r="BH67" s="70"/>
      <c r="BI67" s="70"/>
      <c r="BJ67" s="70"/>
      <c r="BK67" s="70"/>
      <c r="BL67" s="70"/>
      <c r="BM67" s="70"/>
      <c r="BN67" s="70"/>
      <c r="BO67" s="70"/>
      <c r="BP67" s="70"/>
      <c r="BQ67" s="70"/>
      <c r="BR67" s="70"/>
      <c r="BS67" s="70"/>
      <c r="BT67" s="70"/>
      <c r="BU67" s="70"/>
      <c r="BV67" s="70"/>
      <c r="BW67" s="70"/>
      <c r="BX67" s="70"/>
      <c r="BY67" s="70"/>
      <c r="BZ67" s="70"/>
      <c r="CA67" s="70"/>
      <c r="CB67" s="70"/>
      <c r="CC67" s="70"/>
      <c r="CD67" s="70"/>
      <c r="CE67" s="70"/>
      <c r="CF67" s="70"/>
      <c r="CG67" s="70"/>
      <c r="CH67" s="70"/>
      <c r="CI67" s="70"/>
      <c r="CJ67" s="70"/>
      <c r="CK67" s="70"/>
      <c r="CL67" s="70"/>
      <c r="CM67" s="70"/>
    </row>
    <row r="68" spans="4:91" ht="12.75" x14ac:dyDescent="0.2">
      <c r="D68" s="5"/>
      <c r="M68" s="392" t="s">
        <v>1309</v>
      </c>
      <c r="N68" s="405" t="s">
        <v>2220</v>
      </c>
      <c r="BA68" s="70"/>
      <c r="BB68" s="70"/>
      <c r="BC68" s="70"/>
      <c r="BD68" s="70"/>
      <c r="BE68" s="70"/>
      <c r="BF68" s="70"/>
      <c r="BG68" s="70"/>
      <c r="BH68" s="70"/>
      <c r="BI68" s="70"/>
      <c r="BJ68" s="70"/>
      <c r="BK68" s="70"/>
      <c r="BL68" s="70"/>
      <c r="BM68" s="70"/>
      <c r="BN68" s="70"/>
      <c r="BO68" s="70"/>
      <c r="BP68" s="70"/>
      <c r="BQ68" s="70"/>
      <c r="BR68" s="70"/>
      <c r="BS68" s="70"/>
      <c r="BT68" s="70"/>
      <c r="BU68" s="70"/>
      <c r="BV68" s="70"/>
      <c r="BW68" s="70"/>
      <c r="BX68" s="70"/>
      <c r="BY68" s="70"/>
      <c r="BZ68" s="70"/>
      <c r="CA68" s="70"/>
      <c r="CB68" s="70"/>
      <c r="CC68" s="70"/>
      <c r="CD68" s="70"/>
      <c r="CE68" s="70"/>
      <c r="CF68" s="70"/>
      <c r="CG68" s="70"/>
      <c r="CH68" s="70"/>
      <c r="CI68" s="70"/>
      <c r="CJ68" s="70"/>
      <c r="CK68" s="70"/>
      <c r="CL68" s="70"/>
      <c r="CM68" s="70"/>
    </row>
    <row r="69" spans="4:91" ht="14.25" x14ac:dyDescent="0.2">
      <c r="D69" s="5"/>
      <c r="M69" s="392" t="s">
        <v>2036</v>
      </c>
      <c r="N69" s="405" t="s">
        <v>629</v>
      </c>
      <c r="BA69" s="70"/>
      <c r="BB69" s="70"/>
      <c r="BC69" s="70"/>
      <c r="BD69" s="70"/>
      <c r="BE69" s="70"/>
      <c r="BF69" s="70"/>
      <c r="BG69" s="70"/>
      <c r="BH69" s="70"/>
      <c r="BI69" s="70"/>
      <c r="BJ69" s="70"/>
      <c r="BK69" s="70"/>
      <c r="BL69" s="70"/>
      <c r="BM69" s="70"/>
      <c r="BN69" s="70"/>
      <c r="BO69" s="70"/>
      <c r="BP69" s="70"/>
      <c r="BQ69" s="70"/>
      <c r="BR69" s="70"/>
      <c r="BS69" s="70"/>
      <c r="BT69" s="70"/>
      <c r="BU69" s="70"/>
      <c r="BV69" s="70"/>
      <c r="BW69" s="70"/>
      <c r="BX69" s="70"/>
      <c r="BY69" s="70"/>
      <c r="BZ69" s="70"/>
      <c r="CA69" s="70"/>
      <c r="CB69" s="70"/>
      <c r="CC69" s="70"/>
      <c r="CD69" s="70"/>
      <c r="CE69" s="70"/>
      <c r="CF69" s="70"/>
      <c r="CG69" s="70"/>
      <c r="CH69" s="70"/>
      <c r="CI69" s="70"/>
      <c r="CJ69" s="70"/>
      <c r="CK69" s="70"/>
      <c r="CL69" s="70"/>
      <c r="CM69" s="70"/>
    </row>
    <row r="70" spans="4:91" ht="6" customHeight="1" x14ac:dyDescent="0.2">
      <c r="D70" s="5"/>
      <c r="M70" s="392"/>
      <c r="N70" s="405"/>
      <c r="BA70" s="70"/>
      <c r="BB70" s="70"/>
      <c r="BC70" s="70"/>
      <c r="BD70" s="70"/>
      <c r="BE70" s="70"/>
      <c r="BF70" s="70"/>
      <c r="BG70" s="70"/>
      <c r="BH70" s="70"/>
      <c r="BI70" s="70"/>
      <c r="BJ70" s="70"/>
      <c r="BK70" s="70"/>
      <c r="BL70" s="70"/>
      <c r="BM70" s="70"/>
      <c r="BN70" s="70"/>
      <c r="BO70" s="70"/>
      <c r="BP70" s="70"/>
      <c r="BQ70" s="70"/>
      <c r="BR70" s="70"/>
      <c r="BS70" s="70"/>
      <c r="BT70" s="70"/>
      <c r="BU70" s="70"/>
      <c r="BV70" s="70"/>
      <c r="BW70" s="70"/>
      <c r="BX70" s="70"/>
      <c r="BY70" s="70"/>
      <c r="BZ70" s="70"/>
      <c r="CA70" s="70"/>
      <c r="CB70" s="70"/>
      <c r="CC70" s="70"/>
      <c r="CD70" s="70"/>
      <c r="CE70" s="70"/>
      <c r="CF70" s="70"/>
      <c r="CG70" s="70"/>
      <c r="CH70" s="70"/>
      <c r="CI70" s="70"/>
      <c r="CJ70" s="70"/>
      <c r="CK70" s="70"/>
      <c r="CL70" s="70"/>
      <c r="CM70" s="70"/>
    </row>
    <row r="71" spans="4:91" ht="12.75" x14ac:dyDescent="0.2">
      <c r="D71" s="5"/>
      <c r="M71" s="636" t="s">
        <v>631</v>
      </c>
      <c r="N71" s="405"/>
      <c r="BA71" s="70"/>
      <c r="BB71" s="70"/>
      <c r="BC71" s="70"/>
      <c r="BD71" s="70"/>
      <c r="BE71" s="70"/>
      <c r="BF71" s="70"/>
      <c r="BG71" s="70"/>
      <c r="BH71" s="70"/>
      <c r="BI71" s="70"/>
      <c r="BJ71" s="70"/>
      <c r="BK71" s="70"/>
      <c r="BL71" s="70"/>
      <c r="BM71" s="70"/>
      <c r="BN71" s="70"/>
      <c r="BO71" s="70"/>
      <c r="BP71" s="70"/>
      <c r="BQ71" s="70"/>
      <c r="BR71" s="70"/>
      <c r="BS71" s="70"/>
      <c r="BT71" s="70"/>
      <c r="BU71" s="70"/>
      <c r="BV71" s="70"/>
      <c r="BW71" s="70"/>
      <c r="BX71" s="70"/>
      <c r="BY71" s="70"/>
      <c r="BZ71" s="70"/>
      <c r="CA71" s="70"/>
      <c r="CB71" s="70"/>
      <c r="CC71" s="70"/>
      <c r="CD71" s="70"/>
      <c r="CE71" s="70"/>
      <c r="CF71" s="70"/>
      <c r="CG71" s="70"/>
      <c r="CH71" s="70"/>
      <c r="CI71" s="70"/>
      <c r="CJ71" s="70"/>
      <c r="CK71" s="70"/>
      <c r="CL71" s="70"/>
      <c r="CM71" s="70"/>
    </row>
    <row r="72" spans="4:91" ht="12.75" x14ac:dyDescent="0.2">
      <c r="D72" s="5"/>
      <c r="M72" s="369" t="s">
        <v>1942</v>
      </c>
      <c r="N72" s="409" t="s">
        <v>171</v>
      </c>
      <c r="BA72" s="70"/>
      <c r="BB72" s="70"/>
      <c r="BC72" s="70"/>
      <c r="BD72" s="70"/>
      <c r="BE72" s="70"/>
      <c r="BF72" s="70"/>
      <c r="BG72" s="70"/>
      <c r="BH72" s="70"/>
      <c r="BI72" s="70"/>
      <c r="BJ72" s="70"/>
      <c r="BK72" s="70"/>
      <c r="BL72" s="70"/>
      <c r="BM72" s="70"/>
      <c r="BN72" s="70"/>
      <c r="BO72" s="70"/>
      <c r="BP72" s="70"/>
      <c r="BQ72" s="70"/>
      <c r="BR72" s="70"/>
      <c r="BS72" s="70"/>
      <c r="BT72" s="70"/>
      <c r="BU72" s="70"/>
      <c r="BV72" s="70"/>
      <c r="BW72" s="70"/>
      <c r="BX72" s="70"/>
      <c r="BY72" s="70"/>
      <c r="BZ72" s="70"/>
      <c r="CA72" s="70"/>
      <c r="CB72" s="70"/>
      <c r="CC72" s="70"/>
      <c r="CD72" s="70"/>
      <c r="CE72" s="70"/>
      <c r="CF72" s="70"/>
      <c r="CG72" s="70"/>
      <c r="CH72" s="70"/>
      <c r="CI72" s="70"/>
      <c r="CJ72" s="70"/>
      <c r="CK72" s="70"/>
      <c r="CL72" s="70"/>
      <c r="CM72" s="70"/>
    </row>
    <row r="73" spans="4:91" ht="12.75" x14ac:dyDescent="0.2">
      <c r="D73" s="5"/>
      <c r="M73" s="213" t="s">
        <v>1943</v>
      </c>
      <c r="N73" s="637" t="s">
        <v>1820</v>
      </c>
      <c r="BA73" s="70"/>
      <c r="BB73" s="70"/>
      <c r="BC73" s="70"/>
      <c r="BD73" s="70"/>
      <c r="BE73" s="70"/>
      <c r="BF73" s="70"/>
      <c r="BG73" s="70"/>
      <c r="BH73" s="70"/>
      <c r="BI73" s="70"/>
      <c r="BJ73" s="70"/>
      <c r="BK73" s="70"/>
      <c r="BL73" s="70"/>
      <c r="BM73" s="70"/>
      <c r="BN73" s="70"/>
      <c r="BO73" s="70"/>
      <c r="BP73" s="70"/>
      <c r="BQ73" s="70"/>
      <c r="BR73" s="70"/>
      <c r="BS73" s="70"/>
      <c r="BT73" s="70"/>
      <c r="BU73" s="70"/>
      <c r="BV73" s="70"/>
      <c r="BW73" s="70"/>
      <c r="BX73" s="70"/>
      <c r="BY73" s="70"/>
      <c r="BZ73" s="70"/>
      <c r="CA73" s="70"/>
      <c r="CB73" s="70"/>
      <c r="CC73" s="70"/>
      <c r="CD73" s="70"/>
      <c r="CE73" s="70"/>
      <c r="CF73" s="70"/>
      <c r="CG73" s="70"/>
      <c r="CH73" s="70"/>
      <c r="CI73" s="70"/>
      <c r="CJ73" s="70"/>
      <c r="CK73" s="70"/>
      <c r="CL73" s="70"/>
      <c r="CM73" s="70"/>
    </row>
    <row r="74" spans="4:91" ht="6" customHeight="1" x14ac:dyDescent="0.2">
      <c r="D74" s="5"/>
      <c r="M74" s="369"/>
      <c r="N74" s="409"/>
      <c r="BA74" s="70"/>
      <c r="BB74" s="70"/>
      <c r="BC74" s="70"/>
      <c r="BD74" s="70"/>
      <c r="BE74" s="70"/>
      <c r="BF74" s="70"/>
      <c r="BG74" s="70"/>
      <c r="BH74" s="70"/>
      <c r="BI74" s="70"/>
      <c r="BJ74" s="70"/>
      <c r="BK74" s="70"/>
      <c r="BL74" s="70"/>
      <c r="BM74" s="70"/>
      <c r="BN74" s="70"/>
      <c r="BO74" s="70"/>
      <c r="BP74" s="70"/>
      <c r="BQ74" s="70"/>
      <c r="BR74" s="70"/>
      <c r="BS74" s="70"/>
      <c r="BT74" s="70"/>
      <c r="BU74" s="70"/>
      <c r="BV74" s="70"/>
      <c r="BW74" s="70"/>
      <c r="BX74" s="70"/>
      <c r="BY74" s="70"/>
      <c r="BZ74" s="70"/>
      <c r="CA74" s="70"/>
      <c r="CB74" s="70"/>
      <c r="CC74" s="70"/>
      <c r="CD74" s="70"/>
      <c r="CE74" s="70"/>
      <c r="CF74" s="70"/>
      <c r="CG74" s="70"/>
      <c r="CH74" s="70"/>
      <c r="CI74" s="70"/>
      <c r="CJ74" s="70"/>
      <c r="CK74" s="70"/>
      <c r="CL74" s="70"/>
      <c r="CM74" s="70"/>
    </row>
    <row r="75" spans="4:91" ht="12.75" x14ac:dyDescent="0.2">
      <c r="D75" s="5"/>
      <c r="M75" s="230" t="s">
        <v>576</v>
      </c>
      <c r="N75" s="637"/>
      <c r="BA75" s="70"/>
      <c r="BB75" s="70"/>
      <c r="BC75" s="70"/>
      <c r="BD75" s="70"/>
      <c r="BE75" s="70"/>
      <c r="BF75" s="70"/>
      <c r="BG75" s="70"/>
      <c r="BH75" s="70"/>
      <c r="BI75" s="70"/>
      <c r="BJ75" s="70"/>
      <c r="BK75" s="70"/>
      <c r="BL75" s="70"/>
      <c r="BM75" s="70"/>
      <c r="BN75" s="70"/>
      <c r="BO75" s="70"/>
      <c r="BP75" s="70"/>
      <c r="BQ75" s="70"/>
      <c r="BR75" s="70"/>
      <c r="BS75" s="70"/>
      <c r="BT75" s="70"/>
      <c r="BU75" s="70"/>
      <c r="BV75" s="70"/>
      <c r="BW75" s="70"/>
      <c r="BX75" s="70"/>
      <c r="BY75" s="70"/>
      <c r="BZ75" s="70"/>
      <c r="CA75" s="70"/>
      <c r="CB75" s="70"/>
      <c r="CC75" s="70"/>
      <c r="CD75" s="70"/>
      <c r="CE75" s="70"/>
      <c r="CF75" s="70"/>
      <c r="CG75" s="70"/>
      <c r="CH75" s="70"/>
      <c r="CI75" s="70"/>
      <c r="CJ75" s="70"/>
      <c r="CK75" s="70"/>
      <c r="CL75" s="70"/>
      <c r="CM75" s="70"/>
    </row>
    <row r="76" spans="4:91" ht="12.75" x14ac:dyDescent="0.2">
      <c r="D76" s="5"/>
      <c r="M76" s="213" t="s">
        <v>1944</v>
      </c>
      <c r="N76" s="637" t="s">
        <v>630</v>
      </c>
      <c r="BA76" s="70"/>
      <c r="BB76" s="70"/>
      <c r="BC76" s="70"/>
      <c r="BD76" s="70"/>
      <c r="BE76" s="70"/>
      <c r="BF76" s="70"/>
      <c r="BG76" s="70"/>
      <c r="BH76" s="70"/>
      <c r="BI76" s="70"/>
      <c r="BJ76" s="70"/>
      <c r="BK76" s="70"/>
      <c r="BL76" s="70"/>
      <c r="BM76" s="70"/>
      <c r="BN76" s="70"/>
      <c r="BO76" s="70"/>
      <c r="BP76" s="70"/>
      <c r="BQ76" s="70"/>
      <c r="BR76" s="70"/>
      <c r="BS76" s="70"/>
      <c r="BT76" s="70"/>
      <c r="BU76" s="70"/>
      <c r="BV76" s="70"/>
      <c r="BW76" s="70"/>
      <c r="BX76" s="70"/>
      <c r="BY76" s="70"/>
      <c r="BZ76" s="70"/>
      <c r="CA76" s="70"/>
      <c r="CB76" s="70"/>
      <c r="CC76" s="70"/>
      <c r="CD76" s="70"/>
      <c r="CE76" s="70"/>
      <c r="CF76" s="70"/>
      <c r="CG76" s="70"/>
      <c r="CH76" s="70"/>
      <c r="CI76" s="70"/>
      <c r="CJ76" s="70"/>
      <c r="CK76" s="70"/>
      <c r="CL76" s="70"/>
      <c r="CM76" s="70"/>
    </row>
    <row r="77" spans="4:91" ht="12.75" x14ac:dyDescent="0.2">
      <c r="D77" s="5"/>
      <c r="M77" s="369" t="s">
        <v>28</v>
      </c>
      <c r="N77" s="409" t="s">
        <v>1818</v>
      </c>
      <c r="BA77" s="70"/>
      <c r="BB77" s="70"/>
      <c r="BC77" s="70"/>
      <c r="BD77" s="70"/>
      <c r="BE77" s="70"/>
      <c r="BF77" s="70"/>
      <c r="BG77" s="70"/>
      <c r="BH77" s="70"/>
      <c r="BI77" s="70"/>
      <c r="BJ77" s="70"/>
      <c r="BK77" s="70"/>
      <c r="BL77" s="70"/>
      <c r="BM77" s="70"/>
      <c r="BN77" s="70"/>
      <c r="BO77" s="70"/>
      <c r="BP77" s="70"/>
      <c r="BQ77" s="70"/>
      <c r="BR77" s="70"/>
      <c r="BS77" s="70"/>
      <c r="BT77" s="70"/>
      <c r="BU77" s="70"/>
      <c r="BV77" s="70"/>
      <c r="BW77" s="70"/>
      <c r="BX77" s="70"/>
      <c r="BY77" s="70"/>
      <c r="BZ77" s="70"/>
      <c r="CA77" s="70"/>
      <c r="CB77" s="70"/>
      <c r="CC77" s="70"/>
      <c r="CD77" s="70"/>
      <c r="CE77" s="70"/>
      <c r="CF77" s="70"/>
      <c r="CG77" s="70"/>
      <c r="CH77" s="70"/>
      <c r="CI77" s="70"/>
      <c r="CJ77" s="70"/>
      <c r="CK77" s="70"/>
      <c r="CL77" s="70"/>
      <c r="CM77" s="70"/>
    </row>
    <row r="78" spans="4:91" ht="6" customHeight="1" x14ac:dyDescent="0.2">
      <c r="D78" s="5"/>
      <c r="M78" s="369"/>
      <c r="N78" s="409"/>
      <c r="BA78" s="70"/>
      <c r="BB78" s="70"/>
      <c r="BC78" s="70"/>
      <c r="BD78" s="70"/>
      <c r="BE78" s="70"/>
      <c r="BF78" s="70"/>
      <c r="BG78" s="70"/>
      <c r="BH78" s="70"/>
      <c r="BI78" s="70"/>
      <c r="BJ78" s="70"/>
      <c r="BK78" s="70"/>
      <c r="BL78" s="70"/>
      <c r="BM78" s="70"/>
      <c r="BN78" s="70"/>
      <c r="BO78" s="70"/>
      <c r="BP78" s="70"/>
      <c r="BQ78" s="70"/>
      <c r="BR78" s="70"/>
      <c r="BS78" s="70"/>
      <c r="BT78" s="70"/>
      <c r="BU78" s="70"/>
      <c r="BV78" s="70"/>
      <c r="BW78" s="70"/>
      <c r="BX78" s="70"/>
      <c r="BY78" s="70"/>
      <c r="BZ78" s="70"/>
      <c r="CA78" s="70"/>
      <c r="CB78" s="70"/>
      <c r="CC78" s="70"/>
      <c r="CD78" s="70"/>
      <c r="CE78" s="70"/>
      <c r="CF78" s="70"/>
      <c r="CG78" s="70"/>
      <c r="CH78" s="70"/>
      <c r="CI78" s="70"/>
      <c r="CJ78" s="70"/>
      <c r="CK78" s="70"/>
      <c r="CL78" s="70"/>
      <c r="CM78" s="70"/>
    </row>
    <row r="79" spans="4:91" ht="12.75" x14ac:dyDescent="0.2">
      <c r="D79" s="5"/>
      <c r="M79" s="636" t="s">
        <v>1931</v>
      </c>
      <c r="N79" s="409"/>
      <c r="BA79" s="70"/>
      <c r="BB79" s="70"/>
      <c r="BC79" s="70"/>
      <c r="BD79" s="70"/>
      <c r="BE79" s="70"/>
      <c r="BF79" s="70"/>
      <c r="BG79" s="70"/>
      <c r="BH79" s="70"/>
      <c r="BI79" s="70"/>
      <c r="BJ79" s="70"/>
      <c r="BK79" s="70"/>
      <c r="BL79" s="70"/>
      <c r="BM79" s="70"/>
      <c r="BN79" s="70"/>
      <c r="BO79" s="70"/>
      <c r="BP79" s="70"/>
      <c r="BQ79" s="70"/>
      <c r="BR79" s="70"/>
      <c r="BS79" s="70"/>
      <c r="BT79" s="70"/>
      <c r="BU79" s="70"/>
      <c r="BV79" s="70"/>
      <c r="BW79" s="70"/>
      <c r="BX79" s="70"/>
      <c r="BY79" s="70"/>
      <c r="BZ79" s="70"/>
      <c r="CA79" s="70"/>
      <c r="CB79" s="70"/>
      <c r="CC79" s="70"/>
      <c r="CD79" s="70"/>
      <c r="CE79" s="70"/>
      <c r="CF79" s="70"/>
      <c r="CG79" s="70"/>
      <c r="CH79" s="70"/>
      <c r="CI79" s="70"/>
      <c r="CJ79" s="70"/>
      <c r="CK79" s="70"/>
      <c r="CL79" s="70"/>
      <c r="CM79" s="70"/>
    </row>
    <row r="80" spans="4:91" ht="12.75" x14ac:dyDescent="0.2">
      <c r="D80" s="5"/>
      <c r="M80" s="369" t="s">
        <v>1946</v>
      </c>
      <c r="N80" s="638" t="s">
        <v>2225</v>
      </c>
      <c r="BA80" s="70"/>
      <c r="BB80" s="70"/>
      <c r="BC80" s="70"/>
      <c r="BD80" s="70"/>
      <c r="BE80" s="70"/>
      <c r="BF80" s="70"/>
      <c r="BG80" s="70"/>
      <c r="BH80" s="70"/>
      <c r="BI80" s="70"/>
      <c r="BJ80" s="70"/>
      <c r="BK80" s="70"/>
      <c r="BL80" s="70"/>
      <c r="BM80" s="70"/>
      <c r="BN80" s="70"/>
      <c r="BO80" s="70"/>
      <c r="BP80" s="70"/>
      <c r="BQ80" s="70"/>
      <c r="BR80" s="70"/>
      <c r="BS80" s="70"/>
      <c r="BT80" s="70"/>
      <c r="BU80" s="70"/>
      <c r="BV80" s="70"/>
      <c r="BW80" s="70"/>
      <c r="BX80" s="70"/>
      <c r="BY80" s="70"/>
      <c r="BZ80" s="70"/>
      <c r="CA80" s="70"/>
      <c r="CB80" s="70"/>
      <c r="CC80" s="70"/>
      <c r="CD80" s="70"/>
      <c r="CE80" s="70"/>
      <c r="CF80" s="70"/>
      <c r="CG80" s="70"/>
      <c r="CH80" s="70"/>
      <c r="CI80" s="70"/>
      <c r="CJ80" s="70"/>
      <c r="CK80" s="70"/>
      <c r="CL80" s="70"/>
      <c r="CM80" s="70"/>
    </row>
    <row r="81" spans="4:91" ht="12.75" x14ac:dyDescent="0.2">
      <c r="D81" s="5"/>
      <c r="M81" s="213" t="s">
        <v>1343</v>
      </c>
      <c r="N81" s="637" t="s">
        <v>1819</v>
      </c>
      <c r="BA81" s="70"/>
      <c r="BB81" s="70"/>
      <c r="BC81" s="70"/>
      <c r="BD81" s="70"/>
      <c r="BE81" s="70"/>
      <c r="BF81" s="70"/>
      <c r="BG81" s="70"/>
      <c r="BH81" s="70"/>
      <c r="BI81" s="70"/>
      <c r="BJ81" s="70"/>
      <c r="BK81" s="70"/>
      <c r="BL81" s="70"/>
      <c r="BM81" s="70"/>
      <c r="BN81" s="70"/>
      <c r="BO81" s="70"/>
      <c r="BP81" s="70"/>
      <c r="BQ81" s="70"/>
      <c r="BR81" s="70"/>
      <c r="BS81" s="70"/>
      <c r="BT81" s="70"/>
      <c r="BU81" s="70"/>
      <c r="BV81" s="70"/>
      <c r="BW81" s="70"/>
      <c r="BX81" s="70"/>
      <c r="BY81" s="70"/>
      <c r="BZ81" s="70"/>
      <c r="CA81" s="70"/>
      <c r="CB81" s="70"/>
      <c r="CC81" s="70"/>
      <c r="CD81" s="70"/>
      <c r="CE81" s="70"/>
      <c r="CF81" s="70"/>
      <c r="CG81" s="70"/>
      <c r="CH81" s="70"/>
      <c r="CI81" s="70"/>
      <c r="CJ81" s="70"/>
      <c r="CK81" s="70"/>
      <c r="CL81" s="70"/>
      <c r="CM81" s="70"/>
    </row>
    <row r="82" spans="4:91" ht="12.75" x14ac:dyDescent="0.2">
      <c r="D82" s="5"/>
      <c r="M82" s="213" t="s">
        <v>33</v>
      </c>
      <c r="N82" s="409" t="s">
        <v>1817</v>
      </c>
      <c r="BA82" s="70"/>
      <c r="BB82" s="70"/>
      <c r="BC82" s="70"/>
      <c r="BD82" s="70"/>
      <c r="BE82" s="70"/>
      <c r="BF82" s="70"/>
      <c r="BG82" s="70"/>
      <c r="BH82" s="70"/>
      <c r="BI82" s="70"/>
      <c r="BJ82" s="70"/>
      <c r="BK82" s="70"/>
      <c r="BL82" s="70"/>
      <c r="BM82" s="70"/>
      <c r="BN82" s="70"/>
      <c r="BO82" s="70"/>
      <c r="BP82" s="70"/>
      <c r="BQ82" s="70"/>
      <c r="BR82" s="70"/>
      <c r="BS82" s="70"/>
      <c r="BT82" s="70"/>
      <c r="BU82" s="70"/>
      <c r="BV82" s="70"/>
      <c r="BW82" s="70"/>
      <c r="BX82" s="70"/>
      <c r="BY82" s="70"/>
      <c r="BZ82" s="70"/>
      <c r="CA82" s="70"/>
      <c r="CB82" s="70"/>
      <c r="CC82" s="70"/>
      <c r="CD82" s="70"/>
      <c r="CE82" s="70"/>
      <c r="CF82" s="70"/>
      <c r="CG82" s="70"/>
      <c r="CH82" s="70"/>
      <c r="CI82" s="70"/>
      <c r="CJ82" s="70"/>
      <c r="CK82" s="70"/>
      <c r="CL82" s="70"/>
      <c r="CM82" s="70"/>
    </row>
    <row r="83" spans="4:91" ht="12.75" hidden="1" customHeight="1" x14ac:dyDescent="0.2">
      <c r="D83" s="5"/>
      <c r="M83" s="213" t="s">
        <v>1204</v>
      </c>
      <c r="N83" s="410"/>
      <c r="BA83" s="70"/>
      <c r="BB83" s="70"/>
      <c r="BC83" s="70"/>
      <c r="BD83" s="70"/>
      <c r="BE83" s="70"/>
      <c r="BF83" s="70"/>
      <c r="BG83" s="70"/>
      <c r="BH83" s="70"/>
      <c r="BI83" s="70"/>
      <c r="BJ83" s="70"/>
      <c r="BK83" s="70"/>
      <c r="BL83" s="70"/>
      <c r="BM83" s="70"/>
      <c r="BN83" s="70"/>
      <c r="BO83" s="70"/>
      <c r="BP83" s="70"/>
      <c r="BQ83" s="70"/>
      <c r="BR83" s="70"/>
      <c r="BS83" s="70"/>
      <c r="BT83" s="70"/>
      <c r="BU83" s="70"/>
      <c r="BV83" s="70"/>
      <c r="BW83" s="70"/>
      <c r="BX83" s="70"/>
      <c r="BY83" s="70"/>
      <c r="BZ83" s="70"/>
      <c r="CA83" s="70"/>
      <c r="CB83" s="70"/>
      <c r="CC83" s="70"/>
      <c r="CD83" s="70"/>
      <c r="CE83" s="70"/>
      <c r="CF83" s="70"/>
      <c r="CG83" s="70"/>
      <c r="CH83" s="70"/>
      <c r="CI83" s="70"/>
      <c r="CJ83" s="70"/>
      <c r="CK83" s="70"/>
      <c r="CL83" s="70"/>
      <c r="CM83" s="70"/>
    </row>
    <row r="84" spans="4:91" ht="12.75" hidden="1" customHeight="1" x14ac:dyDescent="0.2">
      <c r="D84" s="5"/>
      <c r="M84" s="213" t="s">
        <v>326</v>
      </c>
      <c r="N84" s="409"/>
      <c r="BA84" s="70"/>
      <c r="BB84" s="70"/>
      <c r="BC84" s="70"/>
      <c r="BD84" s="70"/>
      <c r="BE84" s="70"/>
      <c r="BF84" s="70"/>
      <c r="BG84" s="70"/>
      <c r="BH84" s="70"/>
      <c r="BI84" s="70"/>
      <c r="BJ84" s="70"/>
      <c r="BK84" s="70"/>
      <c r="BL84" s="70"/>
      <c r="BM84" s="70"/>
      <c r="BN84" s="70"/>
      <c r="BO84" s="70"/>
      <c r="BP84" s="70"/>
      <c r="BQ84" s="70"/>
      <c r="BR84" s="70"/>
      <c r="BS84" s="70"/>
      <c r="BT84" s="70"/>
      <c r="BU84" s="70"/>
      <c r="BV84" s="70"/>
      <c r="BW84" s="70"/>
      <c r="BX84" s="70"/>
      <c r="BY84" s="70"/>
      <c r="BZ84" s="70"/>
      <c r="CA84" s="70"/>
      <c r="CB84" s="70"/>
      <c r="CC84" s="70"/>
      <c r="CD84" s="70"/>
      <c r="CE84" s="70"/>
      <c r="CF84" s="70"/>
      <c r="CG84" s="70"/>
      <c r="CH84" s="70"/>
      <c r="CI84" s="70"/>
      <c r="CJ84" s="70"/>
      <c r="CK84" s="70"/>
      <c r="CL84" s="70"/>
      <c r="CM84" s="70"/>
    </row>
    <row r="85" spans="4:91" ht="12.75" x14ac:dyDescent="0.2">
      <c r="D85" s="5"/>
      <c r="M85" s="213" t="s">
        <v>627</v>
      </c>
      <c r="N85" s="409" t="s">
        <v>628</v>
      </c>
      <c r="BA85" s="70"/>
      <c r="BB85" s="70"/>
      <c r="BC85" s="70"/>
      <c r="BD85" s="70"/>
      <c r="BE85" s="70"/>
      <c r="BF85" s="70"/>
      <c r="BG85" s="70"/>
      <c r="BH85" s="70"/>
      <c r="BI85" s="70"/>
      <c r="BJ85" s="70"/>
      <c r="BK85" s="70"/>
      <c r="BL85" s="70"/>
      <c r="BM85" s="70"/>
      <c r="BN85" s="70"/>
      <c r="BO85" s="70"/>
      <c r="BP85" s="70"/>
      <c r="BQ85" s="70"/>
      <c r="BR85" s="70"/>
      <c r="BS85" s="70"/>
      <c r="BT85" s="70"/>
      <c r="BU85" s="70"/>
      <c r="BV85" s="70"/>
      <c r="BW85" s="70"/>
      <c r="BX85" s="70"/>
      <c r="BY85" s="70"/>
      <c r="BZ85" s="70"/>
      <c r="CA85" s="70"/>
      <c r="CB85" s="70"/>
      <c r="CC85" s="70"/>
      <c r="CD85" s="70"/>
      <c r="CE85" s="70"/>
      <c r="CF85" s="70"/>
      <c r="CG85" s="70"/>
      <c r="CH85" s="70"/>
      <c r="CI85" s="70"/>
      <c r="CJ85" s="70"/>
      <c r="CK85" s="70"/>
      <c r="CL85" s="70"/>
      <c r="CM85" s="70"/>
    </row>
    <row r="86" spans="4:91" ht="12.75" x14ac:dyDescent="0.2">
      <c r="D86" s="5"/>
      <c r="M86" s="213" t="s">
        <v>1294</v>
      </c>
      <c r="N86" s="409" t="s">
        <v>1821</v>
      </c>
      <c r="BA86" s="70"/>
      <c r="BB86" s="70"/>
      <c r="BC86" s="70"/>
      <c r="BD86" s="70"/>
      <c r="BE86" s="70"/>
      <c r="BF86" s="70"/>
      <c r="BG86" s="70"/>
      <c r="BH86" s="70"/>
      <c r="BI86" s="70"/>
      <c r="BJ86" s="70"/>
      <c r="BK86" s="70"/>
      <c r="BL86" s="70"/>
      <c r="BM86" s="70"/>
      <c r="BN86" s="70"/>
      <c r="BO86" s="70"/>
      <c r="BP86" s="70"/>
      <c r="BQ86" s="70"/>
      <c r="BR86" s="70"/>
      <c r="BS86" s="70"/>
      <c r="BT86" s="70"/>
      <c r="BU86" s="70"/>
      <c r="BV86" s="70"/>
      <c r="BW86" s="70"/>
      <c r="BX86" s="70"/>
      <c r="BY86" s="70"/>
      <c r="BZ86" s="70"/>
      <c r="CA86" s="70"/>
      <c r="CB86" s="70"/>
      <c r="CC86" s="70"/>
      <c r="CD86" s="70"/>
      <c r="CE86" s="70"/>
      <c r="CF86" s="70"/>
      <c r="CG86" s="70"/>
      <c r="CH86" s="70"/>
      <c r="CI86" s="70"/>
      <c r="CJ86" s="70"/>
      <c r="CK86" s="70"/>
      <c r="CL86" s="70"/>
      <c r="CM86" s="70"/>
    </row>
    <row r="87" spans="4:91" ht="12.75" x14ac:dyDescent="0.2">
      <c r="D87" s="5"/>
      <c r="M87" s="369" t="s">
        <v>338</v>
      </c>
      <c r="N87" s="409" t="s">
        <v>1816</v>
      </c>
      <c r="BA87" s="70"/>
      <c r="BB87" s="70"/>
      <c r="BC87" s="70"/>
      <c r="BD87" s="70"/>
      <c r="BE87" s="70"/>
      <c r="BF87" s="70"/>
      <c r="BG87" s="70"/>
      <c r="BH87" s="70"/>
      <c r="BI87" s="70"/>
      <c r="BJ87" s="70"/>
      <c r="BK87" s="70"/>
      <c r="BL87" s="70"/>
      <c r="BM87" s="70"/>
      <c r="BN87" s="70"/>
      <c r="BO87" s="70"/>
      <c r="BP87" s="70"/>
      <c r="BQ87" s="70"/>
      <c r="BR87" s="70"/>
      <c r="BS87" s="70"/>
      <c r="BT87" s="70"/>
      <c r="BU87" s="70"/>
      <c r="BV87" s="70"/>
      <c r="BW87" s="70"/>
      <c r="BX87" s="70"/>
      <c r="BY87" s="70"/>
      <c r="BZ87" s="70"/>
      <c r="CA87" s="70"/>
      <c r="CB87" s="70"/>
      <c r="CC87" s="70"/>
      <c r="CD87" s="70"/>
      <c r="CE87" s="70"/>
      <c r="CF87" s="70"/>
      <c r="CG87" s="70"/>
      <c r="CH87" s="70"/>
      <c r="CI87" s="70"/>
      <c r="CJ87" s="70"/>
      <c r="CK87" s="70"/>
      <c r="CL87" s="70"/>
      <c r="CM87" s="70"/>
    </row>
    <row r="88" spans="4:91" ht="12.75" x14ac:dyDescent="0.2">
      <c r="D88" s="5"/>
      <c r="M88" s="369"/>
      <c r="N88" s="409"/>
      <c r="BA88" s="70"/>
      <c r="BB88" s="70"/>
      <c r="BC88" s="70"/>
      <c r="BD88" s="70"/>
      <c r="BE88" s="70"/>
      <c r="BF88" s="70"/>
      <c r="BG88" s="70"/>
      <c r="BH88" s="70"/>
      <c r="BI88" s="70"/>
      <c r="BJ88" s="70"/>
      <c r="BK88" s="70"/>
      <c r="BL88" s="70"/>
      <c r="BM88" s="70"/>
      <c r="BN88" s="70"/>
      <c r="BO88" s="70"/>
      <c r="BP88" s="70"/>
      <c r="BQ88" s="70"/>
      <c r="BR88" s="70"/>
      <c r="BS88" s="70"/>
      <c r="BT88" s="70"/>
      <c r="BU88" s="70"/>
      <c r="BV88" s="70"/>
      <c r="BW88" s="70"/>
      <c r="BX88" s="70"/>
      <c r="BY88" s="70"/>
      <c r="BZ88" s="70"/>
      <c r="CA88" s="70"/>
      <c r="CB88" s="70"/>
      <c r="CC88" s="70"/>
      <c r="CD88" s="70"/>
      <c r="CE88" s="70"/>
      <c r="CF88" s="70"/>
      <c r="CG88" s="70"/>
      <c r="CH88" s="70"/>
      <c r="CI88" s="70"/>
      <c r="CJ88" s="70"/>
      <c r="CK88" s="70"/>
      <c r="CL88" s="70"/>
      <c r="CM88" s="70"/>
    </row>
    <row r="89" spans="4:91" ht="12.75" x14ac:dyDescent="0.2">
      <c r="D89" s="5"/>
      <c r="M89" s="369"/>
      <c r="N89" s="409"/>
      <c r="BA89" s="70"/>
      <c r="BB89" s="70"/>
      <c r="BC89" s="70"/>
      <c r="BD89" s="70"/>
      <c r="BE89" s="70"/>
      <c r="BF89" s="70"/>
      <c r="BG89" s="70"/>
      <c r="BH89" s="70"/>
      <c r="BI89" s="70"/>
      <c r="BJ89" s="70"/>
      <c r="BK89" s="70"/>
      <c r="BL89" s="70"/>
      <c r="BM89" s="70"/>
      <c r="BN89" s="70"/>
      <c r="BO89" s="70"/>
      <c r="BP89" s="70"/>
      <c r="BQ89" s="70"/>
      <c r="BR89" s="70"/>
      <c r="BS89" s="70"/>
      <c r="BT89" s="70"/>
      <c r="BU89" s="70"/>
      <c r="BV89" s="70"/>
      <c r="BW89" s="70"/>
      <c r="BX89" s="70"/>
      <c r="BY89" s="70"/>
      <c r="BZ89" s="70"/>
      <c r="CA89" s="70"/>
      <c r="CB89" s="70"/>
      <c r="CC89" s="70"/>
      <c r="CD89" s="70"/>
      <c r="CE89" s="70"/>
      <c r="CF89" s="70"/>
      <c r="CG89" s="70"/>
      <c r="CH89" s="70"/>
      <c r="CI89" s="70"/>
      <c r="CJ89" s="70"/>
      <c r="CK89" s="70"/>
      <c r="CL89" s="70"/>
      <c r="CM89" s="70"/>
    </row>
    <row r="90" spans="4:91" ht="12.75" x14ac:dyDescent="0.2">
      <c r="D90" s="5"/>
      <c r="M90" s="565" t="s">
        <v>1734</v>
      </c>
      <c r="N90" s="371"/>
      <c r="BA90" s="70"/>
      <c r="BB90" s="70"/>
      <c r="BC90" s="70"/>
      <c r="BD90" s="70"/>
      <c r="BE90" s="70"/>
      <c r="BF90" s="70"/>
      <c r="BG90" s="70"/>
      <c r="BH90" s="70"/>
      <c r="BI90" s="70"/>
      <c r="BJ90" s="70"/>
      <c r="BK90" s="70"/>
      <c r="BL90" s="70"/>
      <c r="BM90" s="70"/>
      <c r="BN90" s="70"/>
      <c r="BO90" s="70"/>
      <c r="BP90" s="70"/>
      <c r="BQ90" s="70"/>
      <c r="BR90" s="70"/>
      <c r="BS90" s="70"/>
      <c r="BT90" s="70"/>
      <c r="BU90" s="70"/>
      <c r="BV90" s="70"/>
      <c r="BW90" s="70"/>
      <c r="BX90" s="70"/>
      <c r="BY90" s="70"/>
      <c r="BZ90" s="70"/>
      <c r="CA90" s="70"/>
      <c r="CB90" s="70"/>
      <c r="CC90" s="70"/>
      <c r="CD90" s="70"/>
      <c r="CE90" s="70"/>
      <c r="CF90" s="70"/>
      <c r="CG90" s="70"/>
      <c r="CH90" s="70"/>
      <c r="CI90" s="70"/>
      <c r="CJ90" s="70"/>
      <c r="CK90" s="70"/>
      <c r="CL90" s="70"/>
      <c r="CM90" s="70"/>
    </row>
    <row r="91" spans="4:91" ht="12.75" x14ac:dyDescent="0.2">
      <c r="D91" s="5"/>
      <c r="M91" s="565" t="s">
        <v>709</v>
      </c>
      <c r="N91" s="564" t="s">
        <v>1782</v>
      </c>
      <c r="BA91" s="70"/>
      <c r="BB91" s="70"/>
      <c r="BC91" s="70"/>
      <c r="BD91" s="70"/>
      <c r="BE91" s="70"/>
      <c r="BF91" s="70"/>
      <c r="BG91" s="70"/>
      <c r="BH91" s="70"/>
      <c r="BI91" s="70"/>
      <c r="BJ91" s="70"/>
      <c r="BK91" s="70"/>
      <c r="BL91" s="70"/>
      <c r="BM91" s="70"/>
      <c r="BN91" s="70"/>
      <c r="BO91" s="70"/>
      <c r="BP91" s="70"/>
      <c r="BQ91" s="70"/>
      <c r="BR91" s="70"/>
      <c r="BS91" s="70"/>
      <c r="BT91" s="70"/>
      <c r="BU91" s="70"/>
      <c r="BV91" s="70"/>
      <c r="BW91" s="70"/>
      <c r="BX91" s="70"/>
      <c r="BY91" s="70"/>
      <c r="BZ91" s="70"/>
      <c r="CA91" s="70"/>
      <c r="CB91" s="70"/>
      <c r="CC91" s="70"/>
      <c r="CD91" s="70"/>
      <c r="CE91" s="70"/>
      <c r="CF91" s="70"/>
      <c r="CG91" s="70"/>
      <c r="CH91" s="70"/>
      <c r="CI91" s="70"/>
      <c r="CJ91" s="70"/>
      <c r="CK91" s="70"/>
      <c r="CL91" s="70"/>
      <c r="CM91" s="70"/>
    </row>
    <row r="92" spans="4:91" ht="12.75" x14ac:dyDescent="0.2">
      <c r="D92" s="5"/>
      <c r="M92" s="563"/>
      <c r="N92" s="564"/>
      <c r="BA92" s="70"/>
      <c r="BB92" s="70"/>
      <c r="BC92" s="70"/>
      <c r="BD92" s="70"/>
      <c r="BE92" s="70"/>
      <c r="BF92" s="70"/>
      <c r="BG92" s="70"/>
      <c r="BH92" s="70"/>
      <c r="BI92" s="70"/>
      <c r="BJ92" s="70"/>
      <c r="BK92" s="70"/>
      <c r="BL92" s="70"/>
      <c r="BM92" s="70"/>
      <c r="BN92" s="70"/>
      <c r="BO92" s="70"/>
      <c r="BP92" s="70"/>
      <c r="BQ92" s="70"/>
      <c r="BR92" s="70"/>
      <c r="BS92" s="70"/>
      <c r="BT92" s="70"/>
      <c r="BU92" s="70"/>
      <c r="BV92" s="70"/>
      <c r="BW92" s="70"/>
      <c r="BX92" s="70"/>
      <c r="BY92" s="70"/>
      <c r="BZ92" s="70"/>
      <c r="CA92" s="70"/>
      <c r="CB92" s="70"/>
      <c r="CC92" s="70"/>
      <c r="CD92" s="70"/>
      <c r="CE92" s="70"/>
      <c r="CF92" s="70"/>
      <c r="CG92" s="70"/>
      <c r="CH92" s="70"/>
      <c r="CI92" s="70"/>
      <c r="CJ92" s="70"/>
      <c r="CK92" s="70"/>
      <c r="CL92" s="70"/>
      <c r="CM92" s="70"/>
    </row>
    <row r="93" spans="4:91" ht="12.75" x14ac:dyDescent="0.2">
      <c r="D93" s="5"/>
      <c r="M93" s="394" t="s">
        <v>487</v>
      </c>
      <c r="N93" s="564"/>
      <c r="BA93" s="70"/>
      <c r="BB93" s="70"/>
      <c r="BC93" s="70"/>
      <c r="BD93" s="70"/>
      <c r="BE93" s="70"/>
      <c r="BF93" s="70"/>
      <c r="BG93" s="70"/>
      <c r="BH93" s="70"/>
      <c r="BI93" s="70"/>
      <c r="BJ93" s="70"/>
      <c r="BK93" s="70"/>
      <c r="BL93" s="70"/>
      <c r="BM93" s="70"/>
      <c r="BN93" s="70"/>
      <c r="BO93" s="70"/>
      <c r="BP93" s="70"/>
      <c r="BQ93" s="70"/>
      <c r="BR93" s="70"/>
      <c r="BS93" s="70"/>
      <c r="BT93" s="70"/>
      <c r="BU93" s="70"/>
      <c r="BV93" s="70"/>
      <c r="BW93" s="70"/>
      <c r="BX93" s="70"/>
      <c r="BY93" s="70"/>
      <c r="BZ93" s="70"/>
      <c r="CA93" s="70"/>
      <c r="CB93" s="70"/>
      <c r="CC93" s="70"/>
      <c r="CD93" s="70"/>
      <c r="CE93" s="70"/>
      <c r="CF93" s="70"/>
      <c r="CG93" s="70"/>
      <c r="CH93" s="70"/>
      <c r="CI93" s="70"/>
      <c r="CJ93" s="70"/>
      <c r="CK93" s="70"/>
      <c r="CL93" s="70"/>
      <c r="CM93" s="70"/>
    </row>
    <row r="94" spans="4:91" ht="12.75" x14ac:dyDescent="0.2">
      <c r="D94" s="5"/>
      <c r="M94" s="213" t="s">
        <v>1941</v>
      </c>
      <c r="N94" s="405" t="s">
        <v>2220</v>
      </c>
      <c r="BA94" s="70"/>
      <c r="BB94" s="70"/>
      <c r="BC94" s="70"/>
      <c r="BD94" s="70"/>
      <c r="BE94" s="70"/>
      <c r="BF94" s="70"/>
      <c r="BG94" s="70"/>
      <c r="BH94" s="70"/>
      <c r="BI94" s="70"/>
      <c r="BJ94" s="70"/>
      <c r="BK94" s="70"/>
      <c r="BL94" s="70"/>
      <c r="BM94" s="70"/>
      <c r="BN94" s="70"/>
      <c r="BO94" s="70"/>
      <c r="BP94" s="70"/>
      <c r="BQ94" s="70"/>
      <c r="BR94" s="70"/>
      <c r="BS94" s="70"/>
      <c r="BT94" s="70"/>
      <c r="BU94" s="70"/>
      <c r="BV94" s="70"/>
      <c r="BW94" s="70"/>
      <c r="BX94" s="70"/>
      <c r="BY94" s="70"/>
      <c r="BZ94" s="70"/>
      <c r="CA94" s="70"/>
      <c r="CB94" s="70"/>
      <c r="CC94" s="70"/>
      <c r="CD94" s="70"/>
      <c r="CE94" s="70"/>
      <c r="CF94" s="70"/>
      <c r="CG94" s="70"/>
      <c r="CH94" s="70"/>
      <c r="CI94" s="70"/>
      <c r="CJ94" s="70"/>
      <c r="CK94" s="70"/>
      <c r="CL94" s="70"/>
      <c r="CM94" s="70"/>
    </row>
    <row r="95" spans="4:91" ht="12.75" x14ac:dyDescent="0.2">
      <c r="D95" s="5"/>
      <c r="M95" s="392" t="s">
        <v>1309</v>
      </c>
      <c r="N95" s="405" t="s">
        <v>1940</v>
      </c>
      <c r="BA95" s="70"/>
      <c r="BB95" s="70"/>
      <c r="BC95" s="70"/>
      <c r="BD95" s="70"/>
      <c r="BE95" s="70"/>
      <c r="BF95" s="70"/>
      <c r="BG95" s="70"/>
      <c r="BH95" s="70"/>
      <c r="BI95" s="70"/>
      <c r="BJ95" s="70"/>
      <c r="BK95" s="70"/>
      <c r="BL95" s="70"/>
      <c r="BM95" s="70"/>
      <c r="BN95" s="70"/>
      <c r="BO95" s="70"/>
      <c r="BP95" s="70"/>
      <c r="BQ95" s="70"/>
      <c r="BR95" s="70"/>
      <c r="BS95" s="70"/>
      <c r="BT95" s="70"/>
      <c r="BU95" s="70"/>
      <c r="BV95" s="70"/>
      <c r="BW95" s="70"/>
      <c r="BX95" s="70"/>
      <c r="BY95" s="70"/>
      <c r="BZ95" s="70"/>
      <c r="CA95" s="70"/>
      <c r="CB95" s="70"/>
      <c r="CC95" s="70"/>
      <c r="CD95" s="70"/>
      <c r="CE95" s="70"/>
      <c r="CF95" s="70"/>
      <c r="CG95" s="70"/>
      <c r="CH95" s="70"/>
      <c r="CI95" s="70"/>
      <c r="CJ95" s="70"/>
      <c r="CK95" s="70"/>
      <c r="CL95" s="70"/>
      <c r="CM95" s="70"/>
    </row>
    <row r="96" spans="4:91" ht="12.75" x14ac:dyDescent="0.2">
      <c r="D96" s="5"/>
      <c r="M96" s="392" t="s">
        <v>2036</v>
      </c>
      <c r="N96" s="405" t="s">
        <v>428</v>
      </c>
      <c r="BA96" s="70"/>
      <c r="BB96" s="70"/>
      <c r="BC96" s="70"/>
      <c r="BD96" s="70"/>
      <c r="BE96" s="70"/>
      <c r="BF96" s="70"/>
      <c r="BG96" s="70"/>
      <c r="BH96" s="70"/>
      <c r="BI96" s="70"/>
      <c r="BJ96" s="70"/>
      <c r="BK96" s="70"/>
      <c r="BL96" s="70"/>
      <c r="BM96" s="70"/>
      <c r="BN96" s="70"/>
      <c r="BO96" s="70"/>
      <c r="BP96" s="70"/>
      <c r="BQ96" s="70"/>
      <c r="BR96" s="70"/>
      <c r="BS96" s="70"/>
      <c r="BT96" s="70"/>
      <c r="BU96" s="70"/>
      <c r="BV96" s="70"/>
      <c r="BW96" s="70"/>
      <c r="BX96" s="70"/>
      <c r="BY96" s="70"/>
      <c r="BZ96" s="70"/>
      <c r="CA96" s="70"/>
      <c r="CB96" s="70"/>
      <c r="CC96" s="70"/>
      <c r="CD96" s="70"/>
      <c r="CE96" s="70"/>
      <c r="CF96" s="70"/>
      <c r="CG96" s="70"/>
      <c r="CH96" s="70"/>
      <c r="CI96" s="70"/>
      <c r="CJ96" s="70"/>
      <c r="CK96" s="70"/>
      <c r="CL96" s="70"/>
      <c r="CM96" s="70"/>
    </row>
    <row r="97" spans="4:91" ht="6" customHeight="1" x14ac:dyDescent="0.2">
      <c r="D97" s="5"/>
      <c r="M97" s="392"/>
      <c r="N97" s="405"/>
      <c r="BA97" s="70"/>
      <c r="BB97" s="70"/>
      <c r="BC97" s="70"/>
      <c r="BD97" s="70"/>
      <c r="BE97" s="70"/>
      <c r="BF97" s="70"/>
      <c r="BG97" s="70"/>
      <c r="BH97" s="70"/>
      <c r="BI97" s="70"/>
      <c r="BJ97" s="70"/>
      <c r="BK97" s="70"/>
      <c r="BL97" s="70"/>
      <c r="BM97" s="70"/>
      <c r="BN97" s="70"/>
      <c r="BO97" s="70"/>
      <c r="BP97" s="70"/>
      <c r="BQ97" s="70"/>
      <c r="BR97" s="70"/>
      <c r="BS97" s="70"/>
      <c r="BT97" s="70"/>
      <c r="BU97" s="70"/>
      <c r="BV97" s="70"/>
      <c r="BW97" s="70"/>
      <c r="BX97" s="70"/>
      <c r="BY97" s="70"/>
      <c r="BZ97" s="70"/>
      <c r="CA97" s="70"/>
      <c r="CB97" s="70"/>
      <c r="CC97" s="70"/>
      <c r="CD97" s="70"/>
      <c r="CE97" s="70"/>
      <c r="CF97" s="70"/>
      <c r="CG97" s="70"/>
      <c r="CH97" s="70"/>
      <c r="CI97" s="70"/>
      <c r="CJ97" s="70"/>
      <c r="CK97" s="70"/>
      <c r="CL97" s="70"/>
      <c r="CM97" s="70"/>
    </row>
    <row r="98" spans="4:91" ht="12.75" x14ac:dyDescent="0.2">
      <c r="D98" s="5"/>
      <c r="M98" s="636" t="s">
        <v>631</v>
      </c>
      <c r="N98" s="405"/>
      <c r="BA98" s="70"/>
      <c r="BB98" s="70"/>
      <c r="BC98" s="70"/>
      <c r="BD98" s="70"/>
      <c r="BE98" s="70"/>
      <c r="BF98" s="70"/>
      <c r="BG98" s="70"/>
      <c r="BH98" s="70"/>
      <c r="BI98" s="70"/>
      <c r="BJ98" s="70"/>
      <c r="BK98" s="70"/>
      <c r="BL98" s="70"/>
      <c r="BM98" s="70"/>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row>
    <row r="99" spans="4:91" ht="12.75" x14ac:dyDescent="0.2">
      <c r="D99" s="5"/>
      <c r="M99" s="369" t="s">
        <v>1942</v>
      </c>
      <c r="N99" s="409" t="s">
        <v>1922</v>
      </c>
      <c r="BA99" s="70"/>
      <c r="BB99" s="70"/>
      <c r="BC99" s="70"/>
      <c r="BD99" s="70"/>
      <c r="BE99" s="70"/>
      <c r="BF99" s="70"/>
      <c r="BG99" s="70"/>
      <c r="BH99" s="70"/>
      <c r="BI99" s="70"/>
      <c r="BJ99" s="70"/>
      <c r="BK99" s="70"/>
      <c r="BL99" s="70"/>
      <c r="BM99" s="70"/>
      <c r="BN99" s="70"/>
      <c r="BO99" s="70"/>
      <c r="BP99" s="70"/>
      <c r="BQ99" s="70"/>
      <c r="BR99" s="70"/>
      <c r="BS99" s="70"/>
      <c r="BT99" s="70"/>
      <c r="BU99" s="70"/>
      <c r="BV99" s="70"/>
      <c r="BW99" s="70"/>
      <c r="BX99" s="70"/>
      <c r="BY99" s="70"/>
      <c r="BZ99" s="70"/>
      <c r="CA99" s="70"/>
      <c r="CB99" s="70"/>
      <c r="CC99" s="70"/>
      <c r="CD99" s="70"/>
      <c r="CE99" s="70"/>
      <c r="CF99" s="70"/>
      <c r="CG99" s="70"/>
      <c r="CH99" s="70"/>
      <c r="CI99" s="70"/>
      <c r="CJ99" s="70"/>
      <c r="CK99" s="70"/>
      <c r="CL99" s="70"/>
      <c r="CM99" s="70"/>
    </row>
    <row r="100" spans="4:91" ht="12.75" x14ac:dyDescent="0.2">
      <c r="D100" s="5"/>
      <c r="M100" s="213" t="s">
        <v>1943</v>
      </c>
      <c r="N100" s="637" t="s">
        <v>1923</v>
      </c>
      <c r="BA100" s="70"/>
      <c r="BB100" s="70"/>
      <c r="BC100" s="70"/>
      <c r="BD100" s="70"/>
      <c r="BE100" s="70"/>
      <c r="BF100" s="70"/>
      <c r="BG100" s="70"/>
      <c r="BH100" s="70"/>
      <c r="BI100" s="70"/>
      <c r="BJ100" s="70"/>
      <c r="BK100" s="70"/>
      <c r="BL100" s="70"/>
      <c r="BM100" s="70"/>
      <c r="BN100" s="70"/>
      <c r="BO100" s="70"/>
      <c r="BP100" s="70"/>
      <c r="BQ100" s="70"/>
      <c r="BR100" s="70"/>
      <c r="BS100" s="70"/>
      <c r="BT100" s="70"/>
      <c r="BU100" s="70"/>
      <c r="BV100" s="70"/>
      <c r="BW100" s="70"/>
      <c r="BX100" s="70"/>
      <c r="BY100" s="70"/>
      <c r="BZ100" s="70"/>
      <c r="CA100" s="70"/>
      <c r="CB100" s="70"/>
      <c r="CC100" s="70"/>
      <c r="CD100" s="70"/>
      <c r="CE100" s="70"/>
      <c r="CF100" s="70"/>
      <c r="CG100" s="70"/>
      <c r="CH100" s="70"/>
      <c r="CI100" s="70"/>
      <c r="CJ100" s="70"/>
      <c r="CK100" s="70"/>
      <c r="CL100" s="70"/>
      <c r="CM100" s="70"/>
    </row>
    <row r="101" spans="4:91" ht="6" customHeight="1" x14ac:dyDescent="0.2">
      <c r="D101" s="5"/>
      <c r="M101" s="369"/>
      <c r="N101" s="409"/>
      <c r="BA101" s="70"/>
      <c r="BB101" s="70"/>
      <c r="BC101" s="70"/>
      <c r="BD101" s="70"/>
      <c r="BE101" s="70"/>
      <c r="BF101" s="70"/>
      <c r="BG101" s="70"/>
      <c r="BH101" s="70"/>
      <c r="BI101" s="70"/>
      <c r="BJ101" s="70"/>
      <c r="BK101" s="70"/>
      <c r="BL101" s="70"/>
      <c r="BM101" s="70"/>
      <c r="BN101" s="70"/>
      <c r="BO101" s="70"/>
      <c r="BP101" s="70"/>
      <c r="BQ101" s="70"/>
      <c r="BR101" s="70"/>
      <c r="BS101" s="70"/>
      <c r="BT101" s="70"/>
      <c r="BU101" s="70"/>
      <c r="BV101" s="70"/>
      <c r="BW101" s="70"/>
      <c r="BX101" s="70"/>
      <c r="BY101" s="70"/>
      <c r="BZ101" s="70"/>
      <c r="CA101" s="70"/>
      <c r="CB101" s="70"/>
      <c r="CC101" s="70"/>
      <c r="CD101" s="70"/>
      <c r="CE101" s="70"/>
      <c r="CF101" s="70"/>
      <c r="CG101" s="70"/>
      <c r="CH101" s="70"/>
      <c r="CI101" s="70"/>
      <c r="CJ101" s="70"/>
      <c r="CK101" s="70"/>
      <c r="CL101" s="70"/>
      <c r="CM101" s="70"/>
    </row>
    <row r="102" spans="4:91" ht="12.75" x14ac:dyDescent="0.2">
      <c r="D102" s="5"/>
      <c r="M102" s="230" t="s">
        <v>576</v>
      </c>
      <c r="N102" s="637"/>
      <c r="BA102" s="70"/>
      <c r="BB102" s="70"/>
      <c r="BC102" s="70"/>
      <c r="BD102" s="70"/>
      <c r="BE102" s="70"/>
      <c r="BF102" s="70"/>
      <c r="BG102" s="70"/>
      <c r="BH102" s="70"/>
      <c r="BI102" s="70"/>
      <c r="BJ102" s="70"/>
      <c r="BK102" s="70"/>
      <c r="BL102" s="70"/>
      <c r="BM102" s="70"/>
      <c r="BN102" s="70"/>
      <c r="BO102" s="70"/>
      <c r="BP102" s="70"/>
      <c r="BQ102" s="70"/>
      <c r="BR102" s="70"/>
      <c r="BS102" s="70"/>
      <c r="BT102" s="70"/>
      <c r="BU102" s="70"/>
      <c r="BV102" s="70"/>
      <c r="BW102" s="70"/>
      <c r="BX102" s="70"/>
      <c r="BY102" s="70"/>
      <c r="BZ102" s="70"/>
      <c r="CA102" s="70"/>
      <c r="CB102" s="70"/>
      <c r="CC102" s="70"/>
      <c r="CD102" s="70"/>
      <c r="CE102" s="70"/>
      <c r="CF102" s="70"/>
      <c r="CG102" s="70"/>
      <c r="CH102" s="70"/>
      <c r="CI102" s="70"/>
      <c r="CJ102" s="70"/>
      <c r="CK102" s="70"/>
      <c r="CL102" s="70"/>
      <c r="CM102" s="70"/>
    </row>
    <row r="103" spans="4:91" ht="12.75" x14ac:dyDescent="0.2">
      <c r="D103" s="5"/>
      <c r="M103" s="213" t="s">
        <v>1944</v>
      </c>
      <c r="N103" s="637" t="s">
        <v>1924</v>
      </c>
      <c r="BA103" s="70"/>
      <c r="BB103" s="70"/>
      <c r="BC103" s="70"/>
      <c r="BD103" s="70"/>
      <c r="BE103" s="70"/>
      <c r="BF103" s="70"/>
      <c r="BG103" s="70"/>
      <c r="BH103" s="70"/>
      <c r="BI103" s="70"/>
      <c r="BJ103" s="70"/>
      <c r="BK103" s="70"/>
      <c r="BL103" s="70"/>
      <c r="BM103" s="70"/>
      <c r="BN103" s="70"/>
      <c r="BO103" s="70"/>
      <c r="BP103" s="70"/>
      <c r="BQ103" s="70"/>
      <c r="BR103" s="70"/>
      <c r="BS103" s="70"/>
      <c r="BT103" s="70"/>
      <c r="BU103" s="70"/>
      <c r="BV103" s="70"/>
      <c r="BW103" s="70"/>
      <c r="BX103" s="70"/>
      <c r="BY103" s="70"/>
      <c r="BZ103" s="70"/>
      <c r="CA103" s="70"/>
      <c r="CB103" s="70"/>
      <c r="CC103" s="70"/>
      <c r="CD103" s="70"/>
      <c r="CE103" s="70"/>
      <c r="CF103" s="70"/>
      <c r="CG103" s="70"/>
      <c r="CH103" s="70"/>
      <c r="CI103" s="70"/>
      <c r="CJ103" s="70"/>
      <c r="CK103" s="70"/>
      <c r="CL103" s="70"/>
      <c r="CM103" s="70"/>
    </row>
    <row r="104" spans="4:91" ht="12.75" x14ac:dyDescent="0.2">
      <c r="D104" s="5"/>
      <c r="M104" s="369" t="s">
        <v>28</v>
      </c>
      <c r="N104" s="409" t="s">
        <v>1925</v>
      </c>
      <c r="BA104" s="70"/>
      <c r="BB104" s="70"/>
      <c r="BC104" s="70"/>
      <c r="BD104" s="70"/>
      <c r="BE104" s="70"/>
      <c r="BF104" s="70"/>
      <c r="BG104" s="70"/>
      <c r="BH104" s="70"/>
      <c r="BI104" s="70"/>
      <c r="BJ104" s="70"/>
      <c r="BK104" s="70"/>
      <c r="BL104" s="70"/>
      <c r="BM104" s="70"/>
      <c r="BN104" s="70"/>
      <c r="BO104" s="70"/>
      <c r="BP104" s="70"/>
      <c r="BQ104" s="70"/>
      <c r="BR104" s="70"/>
      <c r="BS104" s="70"/>
      <c r="BT104" s="70"/>
      <c r="BU104" s="70"/>
      <c r="BV104" s="70"/>
      <c r="BW104" s="70"/>
      <c r="BX104" s="70"/>
      <c r="BY104" s="70"/>
      <c r="BZ104" s="70"/>
      <c r="CA104" s="70"/>
      <c r="CB104" s="70"/>
      <c r="CC104" s="70"/>
      <c r="CD104" s="70"/>
      <c r="CE104" s="70"/>
      <c r="CF104" s="70"/>
      <c r="CG104" s="70"/>
      <c r="CH104" s="70"/>
      <c r="CI104" s="70"/>
      <c r="CJ104" s="70"/>
      <c r="CK104" s="70"/>
      <c r="CL104" s="70"/>
      <c r="CM104" s="70"/>
    </row>
    <row r="105" spans="4:91" ht="6" customHeight="1" x14ac:dyDescent="0.2">
      <c r="D105" s="5"/>
      <c r="M105" s="369"/>
      <c r="N105" s="409"/>
      <c r="BA105" s="70"/>
      <c r="BB105" s="70"/>
      <c r="BC105" s="70"/>
      <c r="BD105" s="70"/>
      <c r="BE105" s="70"/>
      <c r="BF105" s="70"/>
      <c r="BG105" s="70"/>
      <c r="BH105" s="70"/>
      <c r="BI105" s="70"/>
      <c r="BJ105" s="70"/>
      <c r="BK105" s="70"/>
      <c r="BL105" s="70"/>
      <c r="BM105" s="70"/>
      <c r="BN105" s="70"/>
      <c r="BO105" s="70"/>
      <c r="BP105" s="70"/>
      <c r="BQ105" s="70"/>
      <c r="BR105" s="70"/>
      <c r="BS105" s="70"/>
      <c r="BT105" s="70"/>
      <c r="BU105" s="70"/>
      <c r="BV105" s="70"/>
      <c r="BW105" s="70"/>
      <c r="BX105" s="70"/>
      <c r="BY105" s="70"/>
      <c r="BZ105" s="70"/>
      <c r="CA105" s="70"/>
      <c r="CB105" s="70"/>
      <c r="CC105" s="70"/>
      <c r="CD105" s="70"/>
      <c r="CE105" s="70"/>
      <c r="CF105" s="70"/>
      <c r="CG105" s="70"/>
      <c r="CH105" s="70"/>
      <c r="CI105" s="70"/>
      <c r="CJ105" s="70"/>
      <c r="CK105" s="70"/>
      <c r="CL105" s="70"/>
      <c r="CM105" s="70"/>
    </row>
    <row r="106" spans="4:91" ht="12.75" x14ac:dyDescent="0.2">
      <c r="D106" s="5"/>
      <c r="M106" s="636" t="s">
        <v>1931</v>
      </c>
      <c r="N106" s="409"/>
      <c r="BA106" s="70"/>
      <c r="BB106" s="70"/>
      <c r="BC106" s="70"/>
      <c r="BD106" s="70"/>
      <c r="BE106" s="70"/>
      <c r="BF106" s="70"/>
      <c r="BG106" s="70"/>
      <c r="BH106" s="70"/>
      <c r="BI106" s="70"/>
      <c r="BJ106" s="70"/>
      <c r="BK106" s="70"/>
      <c r="BL106" s="70"/>
      <c r="BM106" s="70"/>
      <c r="BN106" s="70"/>
      <c r="BO106" s="70"/>
      <c r="BP106" s="70"/>
      <c r="BQ106" s="70"/>
      <c r="BR106" s="70"/>
      <c r="BS106" s="70"/>
      <c r="BT106" s="70"/>
      <c r="BU106" s="70"/>
      <c r="BV106" s="70"/>
      <c r="BW106" s="70"/>
      <c r="BX106" s="70"/>
      <c r="BY106" s="70"/>
      <c r="BZ106" s="70"/>
      <c r="CA106" s="70"/>
      <c r="CB106" s="70"/>
      <c r="CC106" s="70"/>
      <c r="CD106" s="70"/>
      <c r="CE106" s="70"/>
      <c r="CF106" s="70"/>
      <c r="CG106" s="70"/>
      <c r="CH106" s="70"/>
      <c r="CI106" s="70"/>
      <c r="CJ106" s="70"/>
      <c r="CK106" s="70"/>
      <c r="CL106" s="70"/>
      <c r="CM106" s="70"/>
    </row>
    <row r="107" spans="4:91" ht="12.75" x14ac:dyDescent="0.2">
      <c r="D107" s="5"/>
      <c r="M107" s="369" t="s">
        <v>1946</v>
      </c>
      <c r="N107" s="638" t="s">
        <v>1926</v>
      </c>
      <c r="BA107" s="70"/>
      <c r="BB107" s="70"/>
      <c r="BC107" s="70"/>
      <c r="BD107" s="70"/>
      <c r="BE107" s="70"/>
      <c r="BF107" s="70"/>
      <c r="BG107" s="70"/>
      <c r="BH107" s="70"/>
      <c r="BI107" s="70"/>
      <c r="BJ107" s="70"/>
      <c r="BK107" s="70"/>
      <c r="BL107" s="70"/>
      <c r="BM107" s="70"/>
      <c r="BN107" s="70"/>
      <c r="BO107" s="70"/>
      <c r="BP107" s="70"/>
      <c r="BQ107" s="70"/>
      <c r="BR107" s="70"/>
      <c r="BS107" s="70"/>
      <c r="BT107" s="70"/>
      <c r="BU107" s="70"/>
      <c r="BV107" s="70"/>
      <c r="BW107" s="70"/>
      <c r="BX107" s="70"/>
      <c r="BY107" s="70"/>
      <c r="BZ107" s="70"/>
      <c r="CA107" s="70"/>
      <c r="CB107" s="70"/>
      <c r="CC107" s="70"/>
      <c r="CD107" s="70"/>
      <c r="CE107" s="70"/>
      <c r="CF107" s="70"/>
      <c r="CG107" s="70"/>
      <c r="CH107" s="70"/>
      <c r="CI107" s="70"/>
      <c r="CJ107" s="70"/>
      <c r="CK107" s="70"/>
      <c r="CL107" s="70"/>
      <c r="CM107" s="70"/>
    </row>
    <row r="108" spans="4:91" ht="12.75" x14ac:dyDescent="0.2">
      <c r="D108" s="5"/>
      <c r="M108" s="213" t="s">
        <v>1343</v>
      </c>
      <c r="N108" s="637" t="s">
        <v>1927</v>
      </c>
      <c r="BA108" s="70"/>
      <c r="BB108" s="70"/>
      <c r="BC108" s="70"/>
      <c r="BD108" s="70"/>
      <c r="BE108" s="70"/>
      <c r="BF108" s="70"/>
      <c r="BG108" s="70"/>
      <c r="BH108" s="70"/>
      <c r="BI108" s="70"/>
      <c r="BJ108" s="70"/>
      <c r="BK108" s="70"/>
      <c r="BL108" s="70"/>
      <c r="BM108" s="70"/>
      <c r="BN108" s="70"/>
      <c r="BO108" s="70"/>
      <c r="BP108" s="70"/>
      <c r="BQ108" s="70"/>
      <c r="BR108" s="70"/>
      <c r="BS108" s="70"/>
      <c r="BT108" s="70"/>
      <c r="BU108" s="70"/>
      <c r="BV108" s="70"/>
      <c r="BW108" s="70"/>
      <c r="BX108" s="70"/>
      <c r="BY108" s="70"/>
      <c r="BZ108" s="70"/>
      <c r="CA108" s="70"/>
      <c r="CB108" s="70"/>
      <c r="CC108" s="70"/>
      <c r="CD108" s="70"/>
      <c r="CE108" s="70"/>
      <c r="CF108" s="70"/>
      <c r="CG108" s="70"/>
      <c r="CH108" s="70"/>
      <c r="CI108" s="70"/>
      <c r="CJ108" s="70"/>
      <c r="CK108" s="70"/>
      <c r="CL108" s="70"/>
      <c r="CM108" s="70"/>
    </row>
    <row r="109" spans="4:91" ht="12.75" x14ac:dyDescent="0.2">
      <c r="D109" s="5"/>
      <c r="M109" s="213" t="s">
        <v>33</v>
      </c>
      <c r="N109" s="409" t="s">
        <v>1922</v>
      </c>
      <c r="BA109" s="70"/>
      <c r="BB109" s="70"/>
      <c r="BC109" s="70"/>
      <c r="BD109" s="70"/>
      <c r="BE109" s="70"/>
      <c r="BF109" s="70"/>
      <c r="BG109" s="70"/>
      <c r="BH109" s="70"/>
      <c r="BI109" s="70"/>
      <c r="BJ109" s="70"/>
      <c r="BK109" s="70"/>
      <c r="BL109" s="70"/>
      <c r="BM109" s="70"/>
      <c r="BN109" s="70"/>
      <c r="BO109" s="70"/>
      <c r="BP109" s="70"/>
      <c r="BQ109" s="70"/>
      <c r="BR109" s="70"/>
      <c r="BS109" s="70"/>
      <c r="BT109" s="70"/>
      <c r="BU109" s="70"/>
      <c r="BV109" s="70"/>
      <c r="BW109" s="70"/>
      <c r="BX109" s="70"/>
      <c r="BY109" s="70"/>
      <c r="BZ109" s="70"/>
      <c r="CA109" s="70"/>
      <c r="CB109" s="70"/>
      <c r="CC109" s="70"/>
      <c r="CD109" s="70"/>
      <c r="CE109" s="70"/>
      <c r="CF109" s="70"/>
      <c r="CG109" s="70"/>
      <c r="CH109" s="70"/>
      <c r="CI109" s="70"/>
      <c r="CJ109" s="70"/>
      <c r="CK109" s="70"/>
      <c r="CL109" s="70"/>
      <c r="CM109" s="70"/>
    </row>
    <row r="110" spans="4:91" ht="12.75" x14ac:dyDescent="0.2">
      <c r="D110" s="5"/>
      <c r="M110" s="213" t="s">
        <v>1204</v>
      </c>
      <c r="N110" s="410"/>
      <c r="BA110" s="70"/>
      <c r="BB110" s="70"/>
      <c r="BC110" s="70"/>
      <c r="BD110" s="70"/>
      <c r="BE110" s="70"/>
      <c r="BF110" s="70"/>
      <c r="BG110" s="70"/>
      <c r="BH110" s="70"/>
      <c r="BI110" s="70"/>
      <c r="BJ110" s="70"/>
      <c r="BK110" s="70"/>
      <c r="BL110" s="70"/>
      <c r="BM110" s="70"/>
      <c r="BN110" s="70"/>
      <c r="BO110" s="70"/>
      <c r="BP110" s="70"/>
      <c r="BQ110" s="70"/>
      <c r="BR110" s="70"/>
      <c r="BS110" s="70"/>
      <c r="BT110" s="70"/>
      <c r="BU110" s="70"/>
      <c r="BV110" s="70"/>
      <c r="BW110" s="70"/>
      <c r="BX110" s="70"/>
      <c r="BY110" s="70"/>
      <c r="BZ110" s="70"/>
      <c r="CA110" s="70"/>
      <c r="CB110" s="70"/>
      <c r="CC110" s="70"/>
      <c r="CD110" s="70"/>
      <c r="CE110" s="70"/>
      <c r="CF110" s="70"/>
      <c r="CG110" s="70"/>
      <c r="CH110" s="70"/>
      <c r="CI110" s="70"/>
      <c r="CJ110" s="70"/>
      <c r="CK110" s="70"/>
      <c r="CL110" s="70"/>
      <c r="CM110" s="70"/>
    </row>
    <row r="111" spans="4:91" ht="12.75" x14ac:dyDescent="0.2">
      <c r="D111" s="5"/>
      <c r="M111" s="213" t="s">
        <v>326</v>
      </c>
      <c r="N111" s="409"/>
      <c r="BA111" s="70"/>
      <c r="BB111" s="70"/>
      <c r="BC111" s="70"/>
      <c r="BD111" s="70"/>
      <c r="BE111" s="70"/>
      <c r="BF111" s="70"/>
      <c r="BG111" s="70"/>
      <c r="BH111" s="70"/>
      <c r="BI111" s="70"/>
      <c r="BJ111" s="70"/>
      <c r="BK111" s="70"/>
      <c r="BL111" s="70"/>
      <c r="BM111" s="70"/>
      <c r="BN111" s="70"/>
      <c r="BO111" s="70"/>
      <c r="BP111" s="70"/>
      <c r="BQ111" s="70"/>
      <c r="BR111" s="70"/>
      <c r="BS111" s="70"/>
      <c r="BT111" s="70"/>
      <c r="BU111" s="70"/>
      <c r="BV111" s="70"/>
      <c r="BW111" s="70"/>
      <c r="BX111" s="70"/>
      <c r="BY111" s="70"/>
      <c r="BZ111" s="70"/>
      <c r="CA111" s="70"/>
      <c r="CB111" s="70"/>
      <c r="CC111" s="70"/>
      <c r="CD111" s="70"/>
      <c r="CE111" s="70"/>
      <c r="CF111" s="70"/>
      <c r="CG111" s="70"/>
      <c r="CH111" s="70"/>
      <c r="CI111" s="70"/>
      <c r="CJ111" s="70"/>
      <c r="CK111" s="70"/>
      <c r="CL111" s="70"/>
      <c r="CM111" s="70"/>
    </row>
    <row r="112" spans="4:91" ht="12.75" x14ac:dyDescent="0.2">
      <c r="D112" s="5"/>
      <c r="M112" s="213" t="s">
        <v>627</v>
      </c>
      <c r="N112" s="409" t="s">
        <v>173</v>
      </c>
      <c r="BA112" s="70"/>
      <c r="BB112" s="70"/>
      <c r="BC112" s="70"/>
      <c r="BD112" s="70"/>
      <c r="BE112" s="70"/>
      <c r="BF112" s="70"/>
      <c r="BG112" s="70"/>
      <c r="BH112" s="70"/>
      <c r="BI112" s="70"/>
      <c r="BJ112" s="70"/>
      <c r="BK112" s="70"/>
      <c r="BL112" s="70"/>
      <c r="BM112" s="70"/>
      <c r="BN112" s="70"/>
      <c r="BO112" s="70"/>
      <c r="BP112" s="70"/>
      <c r="BQ112" s="70"/>
      <c r="BR112" s="70"/>
      <c r="BS112" s="70"/>
      <c r="BT112" s="70"/>
      <c r="BU112" s="70"/>
      <c r="BV112" s="70"/>
      <c r="BW112" s="70"/>
      <c r="BX112" s="70"/>
      <c r="BY112" s="70"/>
      <c r="BZ112" s="70"/>
      <c r="CA112" s="70"/>
      <c r="CB112" s="70"/>
      <c r="CC112" s="70"/>
      <c r="CD112" s="70"/>
      <c r="CE112" s="70"/>
      <c r="CF112" s="70"/>
      <c r="CG112" s="70"/>
      <c r="CH112" s="70"/>
      <c r="CI112" s="70"/>
      <c r="CJ112" s="70"/>
      <c r="CK112" s="70"/>
      <c r="CL112" s="70"/>
      <c r="CM112" s="70"/>
    </row>
    <row r="113" spans="4:91" ht="12.75" x14ac:dyDescent="0.2">
      <c r="D113" s="5"/>
      <c r="M113" s="213" t="s">
        <v>1294</v>
      </c>
      <c r="N113" s="409" t="s">
        <v>1821</v>
      </c>
      <c r="BA113" s="70"/>
      <c r="BB113" s="70"/>
      <c r="BC113" s="70"/>
      <c r="BD113" s="70"/>
      <c r="BE113" s="70"/>
      <c r="BF113" s="70"/>
      <c r="BG113" s="70"/>
      <c r="BH113" s="70"/>
      <c r="BI113" s="70"/>
      <c r="BJ113" s="70"/>
      <c r="BK113" s="70"/>
      <c r="BL113" s="70"/>
      <c r="BM113" s="70"/>
      <c r="BN113" s="70"/>
      <c r="BO113" s="70"/>
      <c r="BP113" s="70"/>
      <c r="BQ113" s="70"/>
      <c r="BR113" s="70"/>
      <c r="BS113" s="70"/>
      <c r="BT113" s="70"/>
      <c r="BU113" s="70"/>
      <c r="BV113" s="70"/>
      <c r="BW113" s="70"/>
      <c r="BX113" s="70"/>
      <c r="BY113" s="70"/>
      <c r="BZ113" s="70"/>
      <c r="CA113" s="70"/>
      <c r="CB113" s="70"/>
      <c r="CC113" s="70"/>
      <c r="CD113" s="70"/>
      <c r="CE113" s="70"/>
      <c r="CF113" s="70"/>
      <c r="CG113" s="70"/>
      <c r="CH113" s="70"/>
      <c r="CI113" s="70"/>
      <c r="CJ113" s="70"/>
      <c r="CK113" s="70"/>
      <c r="CL113" s="70"/>
      <c r="CM113" s="70"/>
    </row>
    <row r="114" spans="4:91" ht="12.75" x14ac:dyDescent="0.2">
      <c r="D114" s="5"/>
      <c r="M114" s="369" t="s">
        <v>338</v>
      </c>
      <c r="N114" s="409" t="s">
        <v>1928</v>
      </c>
      <c r="BA114" s="70"/>
      <c r="BB114" s="70"/>
      <c r="BC114" s="70"/>
      <c r="BD114" s="70"/>
      <c r="BE114" s="70"/>
      <c r="BF114" s="70"/>
      <c r="BG114" s="70"/>
      <c r="BH114" s="70"/>
      <c r="BI114" s="70"/>
      <c r="BJ114" s="70"/>
      <c r="BK114" s="70"/>
      <c r="BL114" s="70"/>
      <c r="BM114" s="70"/>
      <c r="BN114" s="70"/>
      <c r="BO114" s="70"/>
      <c r="BP114" s="70"/>
      <c r="BQ114" s="70"/>
      <c r="BR114" s="70"/>
      <c r="BS114" s="70"/>
      <c r="BT114" s="70"/>
      <c r="BU114" s="70"/>
      <c r="BV114" s="70"/>
      <c r="BW114" s="70"/>
      <c r="BX114" s="70"/>
      <c r="BY114" s="70"/>
      <c r="BZ114" s="70"/>
      <c r="CA114" s="70"/>
      <c r="CB114" s="70"/>
      <c r="CC114" s="70"/>
      <c r="CD114" s="70"/>
      <c r="CE114" s="70"/>
      <c r="CF114" s="70"/>
      <c r="CG114" s="70"/>
      <c r="CH114" s="70"/>
      <c r="CI114" s="70"/>
      <c r="CJ114" s="70"/>
      <c r="CK114" s="70"/>
      <c r="CL114" s="70"/>
      <c r="CM114" s="70"/>
    </row>
    <row r="115" spans="4:91" ht="12.75" x14ac:dyDescent="0.2">
      <c r="D115" s="5"/>
      <c r="M115" s="369"/>
      <c r="N115" s="409"/>
      <c r="BA115" s="70"/>
      <c r="BB115" s="70"/>
      <c r="BC115" s="70"/>
      <c r="BD115" s="70"/>
      <c r="BE115" s="70"/>
      <c r="BF115" s="70"/>
      <c r="BG115" s="70"/>
      <c r="BH115" s="70"/>
      <c r="BI115" s="70"/>
      <c r="BJ115" s="70"/>
      <c r="BK115" s="70"/>
      <c r="BL115" s="70"/>
      <c r="BM115" s="70"/>
      <c r="BN115" s="70"/>
      <c r="BO115" s="70"/>
      <c r="BP115" s="70"/>
      <c r="BQ115" s="70"/>
      <c r="BR115" s="70"/>
      <c r="BS115" s="70"/>
      <c r="BT115" s="70"/>
      <c r="BU115" s="70"/>
      <c r="BV115" s="70"/>
      <c r="BW115" s="70"/>
      <c r="BX115" s="70"/>
      <c r="BY115" s="70"/>
      <c r="BZ115" s="70"/>
      <c r="CA115" s="70"/>
      <c r="CB115" s="70"/>
      <c r="CC115" s="70"/>
      <c r="CD115" s="70"/>
      <c r="CE115" s="70"/>
      <c r="CF115" s="70"/>
      <c r="CG115" s="70"/>
      <c r="CH115" s="70"/>
      <c r="CI115" s="70"/>
      <c r="CJ115" s="70"/>
      <c r="CK115" s="70"/>
      <c r="CL115" s="70"/>
      <c r="CM115" s="70"/>
    </row>
    <row r="116" spans="4:91" ht="12.75" x14ac:dyDescent="0.2">
      <c r="D116" s="5"/>
      <c r="M116" s="369"/>
      <c r="N116" s="409"/>
      <c r="BA116" s="70"/>
      <c r="BB116" s="70"/>
      <c r="BC116" s="70"/>
      <c r="BD116" s="70"/>
      <c r="BE116" s="70"/>
      <c r="BF116" s="70"/>
      <c r="BG116" s="70"/>
      <c r="BH116" s="70"/>
      <c r="BI116" s="70"/>
      <c r="BJ116" s="70"/>
      <c r="BK116" s="70"/>
      <c r="BL116" s="70"/>
      <c r="BM116" s="70"/>
      <c r="BN116" s="70"/>
      <c r="BO116" s="70"/>
      <c r="BP116" s="70"/>
      <c r="BQ116" s="70"/>
      <c r="BR116" s="70"/>
      <c r="BS116" s="70"/>
      <c r="BT116" s="70"/>
      <c r="BU116" s="70"/>
      <c r="BV116" s="70"/>
      <c r="BW116" s="70"/>
      <c r="BX116" s="70"/>
      <c r="BY116" s="70"/>
      <c r="BZ116" s="70"/>
      <c r="CA116" s="70"/>
      <c r="CB116" s="70"/>
      <c r="CC116" s="70"/>
      <c r="CD116" s="70"/>
      <c r="CE116" s="70"/>
      <c r="CF116" s="70"/>
      <c r="CG116" s="70"/>
      <c r="CH116" s="70"/>
      <c r="CI116" s="70"/>
      <c r="CJ116" s="70"/>
      <c r="CK116" s="70"/>
      <c r="CL116" s="70"/>
      <c r="CM116" s="70"/>
    </row>
    <row r="117" spans="4:91" ht="12.75" x14ac:dyDescent="0.2">
      <c r="D117" s="5"/>
      <c r="M117" s="565" t="s">
        <v>1814</v>
      </c>
      <c r="N117" s="371"/>
      <c r="BA117" s="70"/>
      <c r="BB117" s="70"/>
      <c r="BC117" s="70"/>
      <c r="BD117" s="70"/>
      <c r="BE117" s="70"/>
      <c r="BF117" s="70"/>
      <c r="BG117" s="70"/>
      <c r="BH117" s="70"/>
      <c r="BI117" s="70"/>
      <c r="BJ117" s="70"/>
      <c r="BK117" s="70"/>
      <c r="BL117" s="70"/>
      <c r="BM117" s="70"/>
      <c r="BN117" s="70"/>
      <c r="BO117" s="70"/>
      <c r="BP117" s="70"/>
      <c r="BQ117" s="70"/>
      <c r="BR117" s="70"/>
      <c r="BS117" s="70"/>
      <c r="BT117" s="70"/>
      <c r="BU117" s="70"/>
      <c r="BV117" s="70"/>
      <c r="BW117" s="70"/>
      <c r="BX117" s="70"/>
      <c r="BY117" s="70"/>
      <c r="BZ117" s="70"/>
      <c r="CA117" s="70"/>
      <c r="CB117" s="70"/>
      <c r="CC117" s="70"/>
      <c r="CD117" s="70"/>
      <c r="CE117" s="70"/>
      <c r="CF117" s="70"/>
      <c r="CG117" s="70"/>
      <c r="CH117" s="70"/>
      <c r="CI117" s="70"/>
      <c r="CJ117" s="70"/>
      <c r="CK117" s="70"/>
      <c r="CL117" s="70"/>
      <c r="CM117" s="70"/>
    </row>
    <row r="118" spans="4:91" ht="12.75" x14ac:dyDescent="0.2">
      <c r="D118" s="5"/>
      <c r="M118" s="565" t="s">
        <v>709</v>
      </c>
      <c r="N118" s="564" t="s">
        <v>1782</v>
      </c>
      <c r="BA118" s="70"/>
      <c r="BB118" s="70"/>
      <c r="BC118" s="70"/>
      <c r="BD118" s="70"/>
      <c r="BE118" s="70"/>
      <c r="BF118" s="70"/>
      <c r="BG118" s="70"/>
      <c r="BH118" s="70"/>
      <c r="BI118" s="70"/>
      <c r="BJ118" s="70"/>
      <c r="BK118" s="70"/>
      <c r="BL118" s="70"/>
      <c r="BM118" s="70"/>
      <c r="BN118" s="70"/>
      <c r="BO118" s="70"/>
      <c r="BP118" s="70"/>
      <c r="BQ118" s="70"/>
      <c r="BR118" s="70"/>
      <c r="BS118" s="70"/>
      <c r="BT118" s="70"/>
      <c r="BU118" s="70"/>
      <c r="BV118" s="70"/>
      <c r="BW118" s="70"/>
      <c r="BX118" s="70"/>
      <c r="BY118" s="70"/>
      <c r="BZ118" s="70"/>
      <c r="CA118" s="70"/>
      <c r="CB118" s="70"/>
      <c r="CC118" s="70"/>
      <c r="CD118" s="70"/>
      <c r="CE118" s="70"/>
      <c r="CF118" s="70"/>
      <c r="CG118" s="70"/>
      <c r="CH118" s="70"/>
      <c r="CI118" s="70"/>
      <c r="CJ118" s="70"/>
      <c r="CK118" s="70"/>
      <c r="CL118" s="70"/>
      <c r="CM118" s="70"/>
    </row>
    <row r="119" spans="4:91" ht="12.75" x14ac:dyDescent="0.2">
      <c r="D119" s="5"/>
      <c r="M119" s="563"/>
      <c r="N119" s="564"/>
      <c r="BA119" s="70"/>
      <c r="BB119" s="70"/>
      <c r="BC119" s="70"/>
      <c r="BD119" s="70"/>
      <c r="BE119" s="70"/>
      <c r="BF119" s="70"/>
      <c r="BG119" s="70"/>
      <c r="BH119" s="70"/>
      <c r="BI119" s="70"/>
      <c r="BJ119" s="70"/>
      <c r="BK119" s="70"/>
      <c r="BL119" s="70"/>
      <c r="BM119" s="70"/>
      <c r="BN119" s="70"/>
      <c r="BO119" s="70"/>
      <c r="BP119" s="70"/>
      <c r="BQ119" s="70"/>
      <c r="BR119" s="70"/>
      <c r="BS119" s="70"/>
      <c r="BT119" s="70"/>
      <c r="BU119" s="70"/>
      <c r="BV119" s="70"/>
      <c r="BW119" s="70"/>
      <c r="BX119" s="70"/>
      <c r="BY119" s="70"/>
      <c r="BZ119" s="70"/>
      <c r="CA119" s="70"/>
      <c r="CB119" s="70"/>
      <c r="CC119" s="70"/>
      <c r="CD119" s="70"/>
      <c r="CE119" s="70"/>
      <c r="CF119" s="70"/>
      <c r="CG119" s="70"/>
      <c r="CH119" s="70"/>
      <c r="CI119" s="70"/>
      <c r="CJ119" s="70"/>
      <c r="CK119" s="70"/>
      <c r="CL119" s="70"/>
      <c r="CM119" s="70"/>
    </row>
    <row r="120" spans="4:91" ht="12.75" x14ac:dyDescent="0.2">
      <c r="D120" s="5"/>
      <c r="M120" s="394" t="s">
        <v>1234</v>
      </c>
      <c r="N120" s="564"/>
      <c r="BA120" s="70"/>
      <c r="BB120" s="70"/>
      <c r="BC120" s="70"/>
      <c r="BD120" s="70"/>
      <c r="BE120" s="70"/>
      <c r="BF120" s="70"/>
      <c r="BG120" s="70"/>
      <c r="BH120" s="70"/>
      <c r="BI120" s="70"/>
      <c r="BJ120" s="70"/>
      <c r="BK120" s="70"/>
      <c r="BL120" s="70"/>
      <c r="BM120" s="70"/>
      <c r="BN120" s="70"/>
      <c r="BO120" s="70"/>
      <c r="BP120" s="70"/>
      <c r="BQ120" s="70"/>
      <c r="BR120" s="70"/>
      <c r="BS120" s="70"/>
      <c r="BT120" s="70"/>
      <c r="BU120" s="70"/>
      <c r="BV120" s="70"/>
      <c r="BW120" s="70"/>
      <c r="BX120" s="70"/>
      <c r="BY120" s="70"/>
      <c r="BZ120" s="70"/>
      <c r="CA120" s="70"/>
      <c r="CB120" s="70"/>
      <c r="CC120" s="70"/>
      <c r="CD120" s="70"/>
      <c r="CE120" s="70"/>
      <c r="CF120" s="70"/>
      <c r="CG120" s="70"/>
      <c r="CH120" s="70"/>
      <c r="CI120" s="70"/>
      <c r="CJ120" s="70"/>
      <c r="CK120" s="70"/>
      <c r="CL120" s="70"/>
      <c r="CM120" s="70"/>
    </row>
    <row r="121" spans="4:91" ht="12.75" x14ac:dyDescent="0.2">
      <c r="D121" s="5"/>
      <c r="M121" s="213" t="s">
        <v>1941</v>
      </c>
      <c r="N121" s="405" t="s">
        <v>2219</v>
      </c>
      <c r="BA121" s="70"/>
      <c r="BB121" s="70"/>
      <c r="BC121" s="70"/>
      <c r="BD121" s="70"/>
      <c r="BE121" s="70"/>
      <c r="BF121" s="70"/>
      <c r="BG121" s="70"/>
      <c r="BH121" s="70"/>
      <c r="BI121" s="70"/>
      <c r="BJ121" s="70"/>
      <c r="BK121" s="70"/>
      <c r="BL121" s="70"/>
      <c r="BM121" s="70"/>
      <c r="BN121" s="70"/>
      <c r="BO121" s="70"/>
      <c r="BP121" s="70"/>
      <c r="BQ121" s="70"/>
      <c r="BR121" s="70"/>
      <c r="BS121" s="70"/>
      <c r="BT121" s="70"/>
      <c r="BU121" s="70"/>
      <c r="BV121" s="70"/>
      <c r="BW121" s="70"/>
      <c r="BX121" s="70"/>
      <c r="BY121" s="70"/>
      <c r="BZ121" s="70"/>
      <c r="CA121" s="70"/>
      <c r="CB121" s="70"/>
      <c r="CC121" s="70"/>
      <c r="CD121" s="70"/>
      <c r="CE121" s="70"/>
      <c r="CF121" s="70"/>
      <c r="CG121" s="70"/>
      <c r="CH121" s="70"/>
      <c r="CI121" s="70"/>
      <c r="CJ121" s="70"/>
      <c r="CK121" s="70"/>
      <c r="CL121" s="70"/>
      <c r="CM121" s="70"/>
    </row>
    <row r="122" spans="4:91" ht="12.75" x14ac:dyDescent="0.2">
      <c r="D122" s="5"/>
      <c r="M122" s="392" t="s">
        <v>1309</v>
      </c>
      <c r="N122" s="405" t="s">
        <v>2219</v>
      </c>
      <c r="BA122" s="70"/>
      <c r="BB122" s="70"/>
      <c r="BC122" s="70"/>
      <c r="BD122" s="70"/>
      <c r="BE122" s="70"/>
      <c r="BF122" s="70"/>
      <c r="BG122" s="70"/>
      <c r="BH122" s="70"/>
      <c r="BI122" s="70"/>
      <c r="BJ122" s="70"/>
      <c r="BK122" s="70"/>
      <c r="BL122" s="70"/>
      <c r="BM122" s="70"/>
      <c r="BN122" s="70"/>
      <c r="BO122" s="70"/>
      <c r="BP122" s="70"/>
      <c r="BQ122" s="70"/>
      <c r="BR122" s="70"/>
      <c r="BS122" s="70"/>
      <c r="BT122" s="70"/>
      <c r="BU122" s="70"/>
      <c r="BV122" s="70"/>
      <c r="BW122" s="70"/>
      <c r="BX122" s="70"/>
      <c r="BY122" s="70"/>
      <c r="BZ122" s="70"/>
      <c r="CA122" s="70"/>
      <c r="CB122" s="70"/>
      <c r="CC122" s="70"/>
      <c r="CD122" s="70"/>
      <c r="CE122" s="70"/>
      <c r="CF122" s="70"/>
      <c r="CG122" s="70"/>
      <c r="CH122" s="70"/>
      <c r="CI122" s="70"/>
      <c r="CJ122" s="70"/>
      <c r="CK122" s="70"/>
      <c r="CL122" s="70"/>
      <c r="CM122" s="70"/>
    </row>
    <row r="123" spans="4:91" ht="12.75" x14ac:dyDescent="0.2">
      <c r="D123" s="5"/>
      <c r="M123" s="392" t="s">
        <v>2036</v>
      </c>
      <c r="N123" s="405" t="s">
        <v>1224</v>
      </c>
      <c r="BA123" s="70"/>
      <c r="BB123" s="70"/>
      <c r="BC123" s="70"/>
      <c r="BD123" s="70"/>
      <c r="BE123" s="70"/>
      <c r="BF123" s="70"/>
      <c r="BG123" s="70"/>
      <c r="BH123" s="70"/>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c r="CG123" s="70"/>
      <c r="CH123" s="70"/>
      <c r="CI123" s="70"/>
      <c r="CJ123" s="70"/>
      <c r="CK123" s="70"/>
      <c r="CL123" s="70"/>
      <c r="CM123" s="70"/>
    </row>
    <row r="124" spans="4:91" ht="12.75" x14ac:dyDescent="0.2">
      <c r="D124" s="5"/>
      <c r="M124" s="392"/>
      <c r="N124" s="405"/>
      <c r="BA124" s="70"/>
      <c r="BB124" s="70"/>
      <c r="BC124" s="70"/>
      <c r="BD124" s="70"/>
      <c r="BE124" s="70"/>
      <c r="BF124" s="70"/>
      <c r="BG124" s="70"/>
      <c r="BH124" s="70"/>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c r="CG124" s="70"/>
      <c r="CH124" s="70"/>
      <c r="CI124" s="70"/>
      <c r="CJ124" s="70"/>
      <c r="CK124" s="70"/>
      <c r="CL124" s="70"/>
      <c r="CM124" s="70"/>
    </row>
    <row r="125" spans="4:91" ht="12.75" x14ac:dyDescent="0.2">
      <c r="D125" s="5"/>
      <c r="M125" s="636" t="s">
        <v>1227</v>
      </c>
      <c r="N125" s="405"/>
      <c r="BA125" s="70"/>
      <c r="BB125" s="70"/>
      <c r="BC125" s="70"/>
      <c r="BD125" s="70"/>
      <c r="BE125" s="70"/>
      <c r="BF125" s="70"/>
      <c r="BG125" s="70"/>
      <c r="BH125" s="70"/>
      <c r="BI125" s="70"/>
      <c r="BJ125" s="70"/>
      <c r="BK125" s="70"/>
      <c r="BL125" s="70"/>
      <c r="BM125" s="70"/>
      <c r="BN125" s="70"/>
      <c r="BO125" s="70"/>
      <c r="BP125" s="70"/>
      <c r="BQ125" s="70"/>
      <c r="BR125" s="70"/>
      <c r="BS125" s="70"/>
      <c r="BT125" s="70"/>
      <c r="BU125" s="70"/>
      <c r="BV125" s="70"/>
      <c r="BW125" s="70"/>
      <c r="BX125" s="70"/>
      <c r="BY125" s="70"/>
      <c r="BZ125" s="70"/>
      <c r="CA125" s="70"/>
      <c r="CB125" s="70"/>
      <c r="CC125" s="70"/>
      <c r="CD125" s="70"/>
      <c r="CE125" s="70"/>
      <c r="CF125" s="70"/>
      <c r="CG125" s="70"/>
      <c r="CH125" s="70"/>
      <c r="CI125" s="70"/>
      <c r="CJ125" s="70"/>
      <c r="CK125" s="70"/>
      <c r="CL125" s="70"/>
      <c r="CM125" s="70"/>
    </row>
    <row r="126" spans="4:91" ht="12.75" x14ac:dyDescent="0.2">
      <c r="D126" s="5"/>
      <c r="M126" s="213" t="s">
        <v>1943</v>
      </c>
      <c r="N126" s="637" t="s">
        <v>1226</v>
      </c>
      <c r="BA126" s="70"/>
      <c r="BB126" s="70"/>
      <c r="BC126" s="70"/>
      <c r="BD126" s="70"/>
      <c r="BE126" s="70"/>
      <c r="BF126" s="70"/>
      <c r="BG126" s="70"/>
      <c r="BH126" s="70"/>
      <c r="BI126" s="70"/>
      <c r="BJ126" s="70"/>
      <c r="BK126" s="70"/>
      <c r="BL126" s="70"/>
      <c r="BM126" s="70"/>
      <c r="BN126" s="70"/>
      <c r="BO126" s="70"/>
      <c r="BP126" s="70"/>
      <c r="BQ126" s="70"/>
      <c r="BR126" s="70"/>
      <c r="BS126" s="70"/>
      <c r="BT126" s="70"/>
      <c r="BU126" s="70"/>
      <c r="BV126" s="70"/>
      <c r="BW126" s="70"/>
      <c r="BX126" s="70"/>
      <c r="BY126" s="70"/>
      <c r="BZ126" s="70"/>
      <c r="CA126" s="70"/>
      <c r="CB126" s="70"/>
      <c r="CC126" s="70"/>
      <c r="CD126" s="70"/>
      <c r="CE126" s="70"/>
      <c r="CF126" s="70"/>
      <c r="CG126" s="70"/>
      <c r="CH126" s="70"/>
      <c r="CI126" s="70"/>
      <c r="CJ126" s="70"/>
      <c r="CK126" s="70"/>
      <c r="CL126" s="70"/>
      <c r="CM126" s="70"/>
    </row>
    <row r="127" spans="4:91" ht="12.75" x14ac:dyDescent="0.2">
      <c r="D127" s="5"/>
      <c r="M127" s="369" t="s">
        <v>1942</v>
      </c>
      <c r="N127" s="637" t="s">
        <v>1225</v>
      </c>
      <c r="BA127" s="70"/>
      <c r="BB127" s="70"/>
      <c r="BC127" s="70"/>
      <c r="BD127" s="70"/>
      <c r="BE127" s="70"/>
      <c r="BF127" s="70"/>
      <c r="BG127" s="70"/>
      <c r="BH127" s="70"/>
      <c r="BI127" s="70"/>
      <c r="BJ127" s="70"/>
      <c r="BK127" s="70"/>
      <c r="BL127" s="70"/>
      <c r="BM127" s="70"/>
      <c r="BN127" s="70"/>
      <c r="BO127" s="70"/>
      <c r="BP127" s="70"/>
      <c r="BQ127" s="70"/>
      <c r="BR127" s="70"/>
      <c r="BS127" s="70"/>
      <c r="BT127" s="70"/>
      <c r="BU127" s="70"/>
      <c r="BV127" s="70"/>
      <c r="BW127" s="70"/>
      <c r="BX127" s="70"/>
      <c r="BY127" s="70"/>
      <c r="BZ127" s="70"/>
      <c r="CA127" s="70"/>
      <c r="CB127" s="70"/>
      <c r="CC127" s="70"/>
      <c r="CD127" s="70"/>
      <c r="CE127" s="70"/>
      <c r="CF127" s="70"/>
      <c r="CG127" s="70"/>
      <c r="CH127" s="70"/>
      <c r="CI127" s="70"/>
      <c r="CJ127" s="70"/>
      <c r="CK127" s="70"/>
      <c r="CL127" s="70"/>
      <c r="CM127" s="70"/>
    </row>
    <row r="128" spans="4:91" ht="12.75" x14ac:dyDescent="0.2">
      <c r="D128" s="5"/>
      <c r="M128" s="369"/>
      <c r="N128" s="409"/>
      <c r="BA128" s="70"/>
      <c r="BB128" s="70"/>
      <c r="BC128" s="70"/>
      <c r="BD128" s="70"/>
      <c r="BE128" s="70"/>
      <c r="BF128" s="70"/>
      <c r="BG128" s="70"/>
      <c r="BH128" s="70"/>
      <c r="BI128" s="70"/>
      <c r="BJ128" s="70"/>
      <c r="BK128" s="70"/>
      <c r="BL128" s="70"/>
      <c r="BM128" s="70"/>
      <c r="BN128" s="70"/>
      <c r="BO128" s="70"/>
      <c r="BP128" s="70"/>
      <c r="BQ128" s="70"/>
      <c r="BR128" s="70"/>
      <c r="BS128" s="70"/>
      <c r="BT128" s="70"/>
      <c r="BU128" s="70"/>
      <c r="BV128" s="70"/>
      <c r="BW128" s="70"/>
      <c r="BX128" s="70"/>
      <c r="BY128" s="70"/>
      <c r="BZ128" s="70"/>
      <c r="CA128" s="70"/>
      <c r="CB128" s="70"/>
      <c r="CC128" s="70"/>
      <c r="CD128" s="70"/>
      <c r="CE128" s="70"/>
      <c r="CF128" s="70"/>
      <c r="CG128" s="70"/>
      <c r="CH128" s="70"/>
      <c r="CI128" s="70"/>
      <c r="CJ128" s="70"/>
      <c r="CK128" s="70"/>
      <c r="CL128" s="70"/>
      <c r="CM128" s="70"/>
    </row>
    <row r="129" spans="3:91" ht="12.75" x14ac:dyDescent="0.2">
      <c r="D129" s="5"/>
      <c r="M129" s="636" t="s">
        <v>1233</v>
      </c>
      <c r="N129" s="409"/>
      <c r="BA129" s="70"/>
      <c r="BB129" s="70"/>
      <c r="BC129" s="70"/>
      <c r="BD129" s="70"/>
      <c r="BE129" s="70"/>
      <c r="BF129" s="70"/>
      <c r="BG129" s="70"/>
      <c r="BH129" s="70"/>
      <c r="BI129" s="70"/>
      <c r="BJ129" s="70"/>
      <c r="BK129" s="70"/>
      <c r="BL129" s="70"/>
      <c r="BM129" s="70"/>
      <c r="BN129" s="70"/>
      <c r="BO129" s="70"/>
      <c r="BP129" s="70"/>
      <c r="BQ129" s="70"/>
      <c r="BR129" s="70"/>
      <c r="BS129" s="70"/>
      <c r="BT129" s="70"/>
      <c r="BU129" s="70"/>
      <c r="BV129" s="70"/>
      <c r="BW129" s="70"/>
      <c r="BX129" s="70"/>
      <c r="BY129" s="70"/>
      <c r="BZ129" s="70"/>
      <c r="CA129" s="70"/>
      <c r="CB129" s="70"/>
      <c r="CC129" s="70"/>
      <c r="CD129" s="70"/>
      <c r="CE129" s="70"/>
      <c r="CF129" s="70"/>
      <c r="CG129" s="70"/>
      <c r="CH129" s="70"/>
      <c r="CI129" s="70"/>
      <c r="CJ129" s="70"/>
      <c r="CK129" s="70"/>
      <c r="CL129" s="70"/>
      <c r="CM129" s="70"/>
    </row>
    <row r="130" spans="3:91" ht="12.75" x14ac:dyDescent="0.2">
      <c r="D130" s="5"/>
      <c r="M130" s="369" t="s">
        <v>1946</v>
      </c>
      <c r="N130" s="638" t="s">
        <v>1228</v>
      </c>
      <c r="BA130" s="70"/>
      <c r="BB130" s="70"/>
      <c r="BC130" s="70"/>
      <c r="BD130" s="70"/>
      <c r="BE130" s="70"/>
      <c r="BF130" s="70"/>
      <c r="BG130" s="70"/>
      <c r="BH130" s="70"/>
      <c r="BI130" s="70"/>
      <c r="BJ130" s="70"/>
      <c r="BK130" s="70"/>
      <c r="BL130" s="70"/>
      <c r="BM130" s="70"/>
      <c r="BN130" s="70"/>
      <c r="BO130" s="70"/>
      <c r="BP130" s="70"/>
      <c r="BQ130" s="70"/>
      <c r="BR130" s="70"/>
      <c r="BS130" s="70"/>
      <c r="BT130" s="70"/>
      <c r="BU130" s="70"/>
      <c r="BV130" s="70"/>
      <c r="BW130" s="70"/>
      <c r="BX130" s="70"/>
      <c r="BY130" s="70"/>
      <c r="BZ130" s="70"/>
      <c r="CA130" s="70"/>
      <c r="CB130" s="70"/>
      <c r="CC130" s="70"/>
      <c r="CD130" s="70"/>
      <c r="CE130" s="70"/>
      <c r="CF130" s="70"/>
      <c r="CG130" s="70"/>
      <c r="CH130" s="70"/>
      <c r="CI130" s="70"/>
      <c r="CJ130" s="70"/>
      <c r="CK130" s="70"/>
      <c r="CL130" s="70"/>
      <c r="CM130" s="70"/>
    </row>
    <row r="131" spans="3:91" ht="12.75" x14ac:dyDescent="0.2">
      <c r="D131" s="5"/>
      <c r="M131" s="213" t="s">
        <v>1343</v>
      </c>
      <c r="N131" s="637" t="s">
        <v>1229</v>
      </c>
      <c r="BA131" s="70"/>
      <c r="BB131" s="70"/>
      <c r="BC131" s="70"/>
      <c r="BD131" s="70"/>
      <c r="BE131" s="70"/>
      <c r="BF131" s="70"/>
      <c r="BG131" s="70"/>
      <c r="BH131" s="70"/>
      <c r="BI131" s="70"/>
      <c r="BJ131" s="70"/>
      <c r="BK131" s="70"/>
      <c r="BL131" s="70"/>
      <c r="BM131" s="70"/>
      <c r="BN131" s="70"/>
      <c r="BO131" s="70"/>
      <c r="BP131" s="70"/>
      <c r="BQ131" s="70"/>
      <c r="BR131" s="70"/>
      <c r="BS131" s="70"/>
      <c r="BT131" s="70"/>
      <c r="BU131" s="70"/>
      <c r="BV131" s="70"/>
      <c r="BW131" s="70"/>
      <c r="BX131" s="70"/>
      <c r="BY131" s="70"/>
      <c r="BZ131" s="70"/>
      <c r="CA131" s="70"/>
      <c r="CB131" s="70"/>
      <c r="CC131" s="70"/>
      <c r="CD131" s="70"/>
      <c r="CE131" s="70"/>
      <c r="CF131" s="70"/>
      <c r="CG131" s="70"/>
      <c r="CH131" s="70"/>
      <c r="CI131" s="70"/>
      <c r="CJ131" s="70"/>
      <c r="CK131" s="70"/>
      <c r="CL131" s="70"/>
      <c r="CM131" s="70"/>
    </row>
    <row r="132" spans="3:91" ht="12.75" x14ac:dyDescent="0.2">
      <c r="D132" s="5"/>
      <c r="M132" s="213" t="s">
        <v>33</v>
      </c>
      <c r="N132" s="409" t="s">
        <v>1230</v>
      </c>
      <c r="BA132" s="70"/>
      <c r="BB132" s="70"/>
      <c r="BC132" s="70"/>
      <c r="BD132" s="70"/>
      <c r="BE132" s="70"/>
      <c r="BF132" s="70"/>
      <c r="BG132" s="70"/>
      <c r="BH132" s="70"/>
      <c r="BI132" s="70"/>
      <c r="BJ132" s="70"/>
      <c r="BK132" s="70"/>
      <c r="BL132" s="70"/>
      <c r="BM132" s="70"/>
      <c r="BN132" s="70"/>
      <c r="BO132" s="70"/>
      <c r="BP132" s="70"/>
      <c r="BQ132" s="70"/>
      <c r="BR132" s="70"/>
      <c r="BS132" s="70"/>
      <c r="BT132" s="70"/>
      <c r="BU132" s="70"/>
      <c r="BV132" s="70"/>
      <c r="BW132" s="70"/>
      <c r="BX132" s="70"/>
      <c r="BY132" s="70"/>
      <c r="BZ132" s="70"/>
      <c r="CA132" s="70"/>
      <c r="CB132" s="70"/>
      <c r="CC132" s="70"/>
      <c r="CD132" s="70"/>
      <c r="CE132" s="70"/>
      <c r="CF132" s="70"/>
      <c r="CG132" s="70"/>
      <c r="CH132" s="70"/>
      <c r="CI132" s="70"/>
      <c r="CJ132" s="70"/>
      <c r="CK132" s="70"/>
      <c r="CL132" s="70"/>
      <c r="CM132" s="70"/>
    </row>
    <row r="133" spans="3:91" ht="12.75" x14ac:dyDescent="0.2">
      <c r="D133" s="5"/>
      <c r="M133" s="213" t="s">
        <v>627</v>
      </c>
      <c r="N133" s="409" t="s">
        <v>1232</v>
      </c>
      <c r="BA133" s="70"/>
      <c r="BB133" s="70"/>
      <c r="BC133" s="70"/>
      <c r="BD133" s="70"/>
      <c r="BE133" s="70"/>
      <c r="BF133" s="70"/>
      <c r="BG133" s="70"/>
      <c r="BH133" s="70"/>
      <c r="BI133" s="70"/>
      <c r="BJ133" s="70"/>
      <c r="BK133" s="70"/>
      <c r="BL133" s="70"/>
      <c r="BM133" s="70"/>
      <c r="BN133" s="70"/>
      <c r="BO133" s="70"/>
      <c r="BP133" s="70"/>
      <c r="BQ133" s="70"/>
      <c r="BR133" s="70"/>
      <c r="BS133" s="70"/>
      <c r="BT133" s="70"/>
      <c r="BU133" s="70"/>
      <c r="BV133" s="70"/>
      <c r="BW133" s="70"/>
      <c r="BX133" s="70"/>
      <c r="BY133" s="70"/>
      <c r="BZ133" s="70"/>
      <c r="CA133" s="70"/>
      <c r="CB133" s="70"/>
      <c r="CC133" s="70"/>
      <c r="CD133" s="70"/>
      <c r="CE133" s="70"/>
      <c r="CF133" s="70"/>
      <c r="CG133" s="70"/>
      <c r="CH133" s="70"/>
      <c r="CI133" s="70"/>
      <c r="CJ133" s="70"/>
      <c r="CK133" s="70"/>
      <c r="CL133" s="70"/>
      <c r="CM133" s="70"/>
    </row>
    <row r="134" spans="3:91" ht="12.75" x14ac:dyDescent="0.2">
      <c r="D134" s="5"/>
      <c r="M134" s="213" t="s">
        <v>1294</v>
      </c>
      <c r="N134" s="409" t="s">
        <v>1231</v>
      </c>
      <c r="BA134" s="70"/>
      <c r="BB134" s="70"/>
      <c r="BC134" s="70"/>
      <c r="BD134" s="70"/>
      <c r="BE134" s="70"/>
      <c r="BF134" s="70"/>
      <c r="BG134" s="70"/>
      <c r="BH134" s="70"/>
      <c r="BI134" s="70"/>
      <c r="BJ134" s="70"/>
      <c r="BK134" s="70"/>
      <c r="BL134" s="70"/>
      <c r="BM134" s="70"/>
      <c r="BN134" s="70"/>
      <c r="BO134" s="70"/>
      <c r="BP134" s="70"/>
      <c r="BQ134" s="70"/>
      <c r="BR134" s="70"/>
      <c r="BS134" s="70"/>
      <c r="BT134" s="70"/>
      <c r="BU134" s="70"/>
      <c r="BV134" s="70"/>
      <c r="BW134" s="70"/>
      <c r="BX134" s="70"/>
      <c r="BY134" s="70"/>
      <c r="BZ134" s="70"/>
      <c r="CA134" s="70"/>
      <c r="CB134" s="70"/>
      <c r="CC134" s="70"/>
      <c r="CD134" s="70"/>
      <c r="CE134" s="70"/>
      <c r="CF134" s="70"/>
      <c r="CG134" s="70"/>
      <c r="CH134" s="70"/>
      <c r="CI134" s="70"/>
      <c r="CJ134" s="70"/>
      <c r="CK134" s="70"/>
      <c r="CL134" s="70"/>
      <c r="CM134" s="70"/>
    </row>
    <row r="135" spans="3:91" ht="12.75" x14ac:dyDescent="0.2">
      <c r="D135" s="5"/>
      <c r="M135" s="369" t="s">
        <v>338</v>
      </c>
      <c r="N135" s="409" t="s">
        <v>1235</v>
      </c>
      <c r="BA135" s="70"/>
      <c r="BB135" s="70"/>
      <c r="BC135" s="70"/>
      <c r="BD135" s="70"/>
      <c r="BE135" s="70"/>
      <c r="BF135" s="70"/>
      <c r="BG135" s="70"/>
      <c r="BH135" s="70"/>
      <c r="BI135" s="70"/>
      <c r="BJ135" s="70"/>
      <c r="BK135" s="70"/>
      <c r="BL135" s="70"/>
      <c r="BM135" s="70"/>
      <c r="BN135" s="70"/>
      <c r="BO135" s="70"/>
      <c r="BP135" s="70"/>
      <c r="BQ135" s="70"/>
      <c r="BR135" s="70"/>
      <c r="BS135" s="70"/>
      <c r="BT135" s="70"/>
      <c r="BU135" s="70"/>
      <c r="BV135" s="70"/>
      <c r="BW135" s="70"/>
      <c r="BX135" s="70"/>
      <c r="BY135" s="70"/>
      <c r="BZ135" s="70"/>
      <c r="CA135" s="70"/>
      <c r="CB135" s="70"/>
      <c r="CC135" s="70"/>
      <c r="CD135" s="70"/>
      <c r="CE135" s="70"/>
      <c r="CF135" s="70"/>
      <c r="CG135" s="70"/>
      <c r="CH135" s="70"/>
      <c r="CI135" s="70"/>
      <c r="CJ135" s="70"/>
      <c r="CK135" s="70"/>
      <c r="CL135" s="70"/>
      <c r="CM135" s="70"/>
    </row>
    <row r="136" spans="3:91" ht="12.75" x14ac:dyDescent="0.2">
      <c r="D136" s="5"/>
      <c r="M136" s="369"/>
      <c r="N136" s="409"/>
      <c r="BA136" s="70"/>
      <c r="BB136" s="70"/>
      <c r="BC136" s="70"/>
      <c r="BD136" s="70"/>
      <c r="BE136" s="70"/>
      <c r="BF136" s="70"/>
      <c r="BG136" s="70"/>
      <c r="BH136" s="70"/>
      <c r="BI136" s="70"/>
      <c r="BJ136" s="70"/>
      <c r="BK136" s="70"/>
      <c r="BL136" s="70"/>
      <c r="BM136" s="70"/>
      <c r="BN136" s="70"/>
      <c r="BO136" s="70"/>
      <c r="BP136" s="70"/>
      <c r="BQ136" s="70"/>
      <c r="BR136" s="70"/>
      <c r="BS136" s="70"/>
      <c r="BT136" s="70"/>
      <c r="BU136" s="70"/>
      <c r="BV136" s="70"/>
      <c r="BW136" s="70"/>
      <c r="BX136" s="70"/>
      <c r="BY136" s="70"/>
      <c r="BZ136" s="70"/>
      <c r="CA136" s="70"/>
      <c r="CB136" s="70"/>
      <c r="CC136" s="70"/>
      <c r="CD136" s="70"/>
      <c r="CE136" s="70"/>
      <c r="CF136" s="70"/>
      <c r="CG136" s="70"/>
      <c r="CH136" s="70"/>
      <c r="CI136" s="70"/>
      <c r="CJ136" s="70"/>
      <c r="CK136" s="70"/>
      <c r="CL136" s="70"/>
      <c r="CM136" s="70"/>
    </row>
    <row r="137" spans="3:91" ht="12.75" x14ac:dyDescent="0.2">
      <c r="D137" s="5"/>
      <c r="M137" s="369"/>
      <c r="N137" s="409"/>
      <c r="BA137" s="70"/>
      <c r="BB137" s="70"/>
      <c r="BC137" s="70"/>
      <c r="BD137" s="70"/>
      <c r="BE137" s="70"/>
      <c r="BF137" s="70"/>
      <c r="BG137" s="70"/>
      <c r="BH137" s="70"/>
      <c r="BI137" s="70"/>
      <c r="BJ137" s="70"/>
      <c r="BK137" s="70"/>
      <c r="BL137" s="70"/>
      <c r="BM137" s="70"/>
      <c r="BN137" s="70"/>
      <c r="BO137" s="70"/>
      <c r="BP137" s="70"/>
      <c r="BQ137" s="70"/>
      <c r="BR137" s="70"/>
      <c r="BS137" s="70"/>
      <c r="BT137" s="70"/>
      <c r="BU137" s="70"/>
      <c r="BV137" s="70"/>
      <c r="BW137" s="70"/>
      <c r="BX137" s="70"/>
      <c r="BY137" s="70"/>
      <c r="BZ137" s="70"/>
      <c r="CA137" s="70"/>
      <c r="CB137" s="70"/>
      <c r="CC137" s="70"/>
      <c r="CD137" s="70"/>
      <c r="CE137" s="70"/>
      <c r="CF137" s="70"/>
      <c r="CG137" s="70"/>
      <c r="CH137" s="70"/>
      <c r="CI137" s="70"/>
      <c r="CJ137" s="70"/>
      <c r="CK137" s="70"/>
      <c r="CL137" s="70"/>
      <c r="CM137" s="70"/>
    </row>
    <row r="138" spans="3:91" ht="12.75" x14ac:dyDescent="0.2">
      <c r="D138" s="5"/>
      <c r="M138" s="369"/>
      <c r="N138" s="409"/>
      <c r="BA138" s="70"/>
      <c r="BB138" s="70"/>
      <c r="BC138" s="70"/>
      <c r="BD138" s="70"/>
      <c r="BE138" s="70"/>
      <c r="BF138" s="70"/>
      <c r="BG138" s="70"/>
      <c r="BH138" s="70"/>
      <c r="BI138" s="70"/>
      <c r="BJ138" s="70"/>
      <c r="BK138" s="70"/>
      <c r="BL138" s="70"/>
      <c r="BM138" s="70"/>
      <c r="BN138" s="70"/>
      <c r="BO138" s="70"/>
      <c r="BP138" s="70"/>
      <c r="BQ138" s="70"/>
      <c r="BR138" s="70"/>
      <c r="BS138" s="70"/>
      <c r="BT138" s="70"/>
      <c r="BU138" s="70"/>
      <c r="BV138" s="70"/>
      <c r="BW138" s="70"/>
      <c r="BX138" s="70"/>
      <c r="BY138" s="70"/>
      <c r="BZ138" s="70"/>
      <c r="CA138" s="70"/>
      <c r="CB138" s="70"/>
      <c r="CC138" s="70"/>
      <c r="CD138" s="70"/>
      <c r="CE138" s="70"/>
      <c r="CF138" s="70"/>
      <c r="CG138" s="70"/>
      <c r="CH138" s="70"/>
      <c r="CI138" s="70"/>
      <c r="CJ138" s="70"/>
      <c r="CK138" s="70"/>
      <c r="CL138" s="70"/>
      <c r="CM138" s="70"/>
    </row>
    <row r="139" spans="3:91" ht="12.75" x14ac:dyDescent="0.2">
      <c r="D139" s="5"/>
      <c r="M139" s="369"/>
      <c r="N139" s="409"/>
      <c r="BA139" s="70"/>
      <c r="BB139" s="70"/>
      <c r="BC139" s="70"/>
      <c r="BD139" s="70"/>
      <c r="BE139" s="70"/>
      <c r="BF139" s="70"/>
      <c r="BG139" s="70"/>
      <c r="BH139" s="70"/>
      <c r="BI139" s="70"/>
      <c r="BJ139" s="70"/>
      <c r="BK139" s="70"/>
      <c r="BL139" s="70"/>
      <c r="BM139" s="70"/>
      <c r="BN139" s="70"/>
      <c r="BO139" s="70"/>
      <c r="BP139" s="70"/>
      <c r="BQ139" s="70"/>
      <c r="BR139" s="70"/>
      <c r="BS139" s="70"/>
      <c r="BT139" s="70"/>
      <c r="BU139" s="70"/>
      <c r="BV139" s="70"/>
      <c r="BW139" s="70"/>
      <c r="BX139" s="70"/>
      <c r="BY139" s="70"/>
      <c r="BZ139" s="70"/>
      <c r="CA139" s="70"/>
      <c r="CB139" s="70"/>
      <c r="CC139" s="70"/>
      <c r="CD139" s="70"/>
      <c r="CE139" s="70"/>
      <c r="CF139" s="70"/>
      <c r="CG139" s="70"/>
      <c r="CH139" s="70"/>
      <c r="CI139" s="70"/>
      <c r="CJ139" s="70"/>
      <c r="CK139" s="70"/>
      <c r="CL139" s="70"/>
      <c r="CM139" s="70"/>
    </row>
    <row r="140" spans="3:91" ht="12.75" x14ac:dyDescent="0.2">
      <c r="D140" s="5"/>
      <c r="M140" s="369"/>
      <c r="N140" s="409"/>
      <c r="BA140" s="70"/>
      <c r="BB140" s="70"/>
      <c r="BC140" s="70"/>
      <c r="BD140" s="70"/>
      <c r="BE140" s="70"/>
      <c r="BF140" s="70"/>
      <c r="BG140" s="70"/>
      <c r="BH140" s="70"/>
      <c r="BI140" s="70"/>
      <c r="BJ140" s="70"/>
      <c r="BK140" s="70"/>
      <c r="BL140" s="70"/>
      <c r="BM140" s="70"/>
      <c r="BN140" s="70"/>
      <c r="BO140" s="70"/>
      <c r="BP140" s="70"/>
      <c r="BQ140" s="70"/>
      <c r="BR140" s="70"/>
      <c r="BS140" s="70"/>
      <c r="BT140" s="70"/>
      <c r="BU140" s="70"/>
      <c r="BV140" s="70"/>
      <c r="BW140" s="70"/>
      <c r="BX140" s="70"/>
      <c r="BY140" s="70"/>
      <c r="BZ140" s="70"/>
      <c r="CA140" s="70"/>
      <c r="CB140" s="70"/>
      <c r="CC140" s="70"/>
      <c r="CD140" s="70"/>
      <c r="CE140" s="70"/>
      <c r="CF140" s="70"/>
      <c r="CG140" s="70"/>
      <c r="CH140" s="70"/>
      <c r="CI140" s="70"/>
      <c r="CJ140" s="70"/>
      <c r="CK140" s="70"/>
      <c r="CL140" s="70"/>
      <c r="CM140" s="70"/>
    </row>
    <row r="141" spans="3:91" ht="12.75" x14ac:dyDescent="0.2">
      <c r="D141" s="5"/>
      <c r="M141" s="369"/>
      <c r="N141" s="409"/>
      <c r="BA141" s="70"/>
      <c r="BB141" s="70"/>
      <c r="BC141" s="70"/>
      <c r="BD141" s="70"/>
      <c r="BE141" s="70"/>
      <c r="BF141" s="70"/>
      <c r="BG141" s="70"/>
      <c r="BH141" s="70"/>
      <c r="BI141" s="70"/>
      <c r="BJ141" s="70"/>
      <c r="BK141" s="70"/>
      <c r="BL141" s="70"/>
      <c r="BM141" s="70"/>
      <c r="BN141" s="70"/>
      <c r="BO141" s="70"/>
      <c r="BP141" s="70"/>
      <c r="BQ141" s="70"/>
      <c r="BR141" s="70"/>
      <c r="BS141" s="70"/>
      <c r="BT141" s="70"/>
      <c r="BU141" s="70"/>
      <c r="BV141" s="70"/>
      <c r="BW141" s="70"/>
      <c r="BX141" s="70"/>
      <c r="BY141" s="70"/>
      <c r="BZ141" s="70"/>
      <c r="CA141" s="70"/>
      <c r="CB141" s="70"/>
      <c r="CC141" s="70"/>
      <c r="CD141" s="70"/>
      <c r="CE141" s="70"/>
      <c r="CF141" s="70"/>
      <c r="CG141" s="70"/>
      <c r="CH141" s="70"/>
      <c r="CI141" s="70"/>
      <c r="CJ141" s="70"/>
      <c r="CK141" s="70"/>
      <c r="CL141" s="70"/>
      <c r="CM141" s="70"/>
    </row>
    <row r="142" spans="3:91" ht="12.75" x14ac:dyDescent="0.2">
      <c r="D142" s="5"/>
      <c r="M142" s="369"/>
      <c r="N142" s="371"/>
      <c r="BA142" s="70"/>
      <c r="BB142" s="70"/>
      <c r="BC142" s="70"/>
      <c r="BD142" s="70"/>
      <c r="BE142" s="70"/>
      <c r="BF142" s="70"/>
      <c r="BG142" s="70"/>
      <c r="BH142" s="70"/>
      <c r="BI142" s="70"/>
      <c r="BJ142" s="70"/>
      <c r="BK142" s="70"/>
      <c r="BL142" s="70"/>
      <c r="BM142" s="70"/>
      <c r="BN142" s="70"/>
      <c r="BO142" s="70"/>
      <c r="BP142" s="70"/>
      <c r="BQ142" s="70"/>
      <c r="BR142" s="70"/>
      <c r="BS142" s="70"/>
      <c r="BT142" s="70"/>
      <c r="BU142" s="70"/>
      <c r="BV142" s="70"/>
      <c r="BW142" s="70"/>
      <c r="BX142" s="70"/>
      <c r="BY142" s="70"/>
      <c r="BZ142" s="70"/>
      <c r="CA142" s="70"/>
      <c r="CB142" s="70"/>
      <c r="CC142" s="70"/>
      <c r="CD142" s="70"/>
      <c r="CE142" s="70"/>
      <c r="CF142" s="70"/>
      <c r="CG142" s="70"/>
      <c r="CH142" s="70"/>
      <c r="CI142" s="70"/>
      <c r="CJ142" s="70"/>
      <c r="CK142" s="70"/>
      <c r="CL142" s="70"/>
      <c r="CM142" s="70"/>
    </row>
    <row r="143" spans="3:91" ht="13.5" thickBot="1" x14ac:dyDescent="0.25">
      <c r="E143" s="374"/>
      <c r="F143" s="374"/>
      <c r="G143" s="374"/>
      <c r="P143" s="375" t="s">
        <v>36</v>
      </c>
      <c r="Q143" s="8"/>
      <c r="BA143" s="70"/>
      <c r="BB143" s="70"/>
      <c r="BC143" s="70"/>
      <c r="BD143" s="70"/>
      <c r="BE143" s="70"/>
      <c r="BF143" s="70"/>
      <c r="BG143" s="70"/>
      <c r="BH143" s="70"/>
      <c r="BI143" s="70"/>
      <c r="BJ143" s="70"/>
      <c r="BK143" s="70"/>
      <c r="BL143" s="70"/>
      <c r="BM143" s="70"/>
      <c r="BN143" s="70"/>
      <c r="BO143" s="70"/>
      <c r="BP143" s="70"/>
      <c r="BQ143" s="70"/>
      <c r="BR143" s="70"/>
      <c r="BS143" s="70"/>
      <c r="BT143" s="70"/>
      <c r="BU143" s="70"/>
      <c r="BV143" s="70"/>
      <c r="BW143" s="70"/>
      <c r="BX143" s="70"/>
      <c r="BY143" s="70"/>
      <c r="BZ143" s="70"/>
      <c r="CA143" s="70"/>
      <c r="CB143" s="70"/>
      <c r="CC143" s="70"/>
      <c r="CD143" s="70"/>
      <c r="CE143" s="70"/>
      <c r="CF143" s="70"/>
      <c r="CG143" s="70"/>
      <c r="CH143" s="70"/>
      <c r="CI143" s="70"/>
      <c r="CJ143" s="70"/>
      <c r="CK143" s="70"/>
      <c r="CL143" s="70"/>
      <c r="CM143" s="70"/>
    </row>
    <row r="144" spans="3:91" ht="13.5" thickBot="1" x14ac:dyDescent="0.25">
      <c r="C144" s="2">
        <v>0.22</v>
      </c>
      <c r="D144" s="2">
        <f>C144</f>
        <v>0.22</v>
      </c>
      <c r="E144" s="374"/>
      <c r="F144" s="374"/>
      <c r="G144" s="370"/>
      <c r="P144" s="367" t="s">
        <v>37</v>
      </c>
      <c r="Q144" s="368" t="s">
        <v>840</v>
      </c>
      <c r="R144" s="377" t="s">
        <v>841</v>
      </c>
      <c r="S144" s="378" t="s">
        <v>843</v>
      </c>
      <c r="T144" s="378" t="s">
        <v>844</v>
      </c>
      <c r="U144" s="379" t="s">
        <v>845</v>
      </c>
      <c r="W144" s="380" t="s">
        <v>1345</v>
      </c>
      <c r="BA144" s="70"/>
      <c r="BB144" s="70"/>
      <c r="BC144" s="70"/>
      <c r="BD144" s="70"/>
      <c r="BE144" s="70"/>
      <c r="BF144" s="70"/>
      <c r="BG144" s="70"/>
      <c r="BH144" s="70"/>
      <c r="BI144" s="70"/>
      <c r="BJ144" s="70"/>
      <c r="BK144" s="70"/>
      <c r="BL144" s="70"/>
      <c r="BM144" s="70"/>
      <c r="BN144" s="70"/>
      <c r="BO144" s="70"/>
      <c r="BP144" s="70"/>
      <c r="BQ144" s="70"/>
      <c r="BR144" s="70"/>
      <c r="BS144" s="70"/>
      <c r="BT144" s="70"/>
      <c r="BU144" s="70"/>
      <c r="BV144" s="70"/>
      <c r="BW144" s="70"/>
      <c r="BX144" s="70"/>
      <c r="BY144" s="70"/>
      <c r="BZ144" s="70"/>
      <c r="CA144" s="70"/>
      <c r="CB144" s="70"/>
      <c r="CC144" s="70"/>
      <c r="CD144" s="70"/>
      <c r="CE144" s="70"/>
      <c r="CF144" s="70"/>
      <c r="CG144" s="70"/>
      <c r="CH144" s="70"/>
      <c r="CI144" s="70"/>
      <c r="CJ144" s="70"/>
      <c r="CK144" s="70"/>
      <c r="CL144" s="70"/>
      <c r="CM144" s="70"/>
    </row>
    <row r="145" spans="2:91" ht="12.75" x14ac:dyDescent="0.2">
      <c r="C145" s="2">
        <v>0.31</v>
      </c>
      <c r="D145" s="2">
        <f>C145</f>
        <v>0.31</v>
      </c>
      <c r="E145" s="374"/>
      <c r="F145" s="374"/>
      <c r="G145" s="370"/>
      <c r="P145" s="129" t="s">
        <v>373</v>
      </c>
      <c r="Q145" s="31" t="s">
        <v>1346</v>
      </c>
      <c r="R145" s="376" t="s">
        <v>1347</v>
      </c>
      <c r="S145" s="91" t="s">
        <v>1348</v>
      </c>
      <c r="T145" s="91" t="s">
        <v>1349</v>
      </c>
      <c r="U145" s="91" t="s">
        <v>1350</v>
      </c>
      <c r="W145" s="376" t="s">
        <v>1351</v>
      </c>
      <c r="BA145" s="70"/>
      <c r="BB145" s="70"/>
      <c r="BC145" s="70"/>
      <c r="BD145" s="70"/>
      <c r="BE145" s="70"/>
      <c r="BF145" s="70"/>
      <c r="BG145" s="70"/>
      <c r="BH145" s="70"/>
      <c r="BI145" s="70"/>
      <c r="BJ145" s="70"/>
      <c r="BK145" s="70"/>
      <c r="BL145" s="70"/>
      <c r="BM145" s="70"/>
      <c r="BN145" s="70"/>
      <c r="BO145" s="70"/>
      <c r="BP145" s="70"/>
      <c r="BQ145" s="70"/>
      <c r="BR145" s="70"/>
      <c r="BS145" s="70"/>
      <c r="BT145" s="70"/>
      <c r="BU145" s="70"/>
      <c r="BV145" s="70"/>
      <c r="BW145" s="70"/>
      <c r="BX145" s="70"/>
      <c r="BY145" s="70"/>
      <c r="BZ145" s="70"/>
      <c r="CA145" s="70"/>
      <c r="CB145" s="70"/>
      <c r="CC145" s="70"/>
      <c r="CD145" s="70"/>
      <c r="CE145" s="70"/>
      <c r="CF145" s="70"/>
      <c r="CG145" s="70"/>
      <c r="CH145" s="70"/>
      <c r="CI145" s="70"/>
      <c r="CJ145" s="70"/>
      <c r="CK145" s="70"/>
      <c r="CL145" s="70"/>
      <c r="CM145" s="70"/>
    </row>
    <row r="146" spans="2:91" ht="12.75" x14ac:dyDescent="0.2">
      <c r="B146" s="2">
        <f>270*800</f>
        <v>216000</v>
      </c>
      <c r="C146" s="150">
        <v>0.18</v>
      </c>
      <c r="D146" s="150">
        <v>0.22</v>
      </c>
      <c r="P146" s="130" t="s">
        <v>458</v>
      </c>
      <c r="Q146" s="31" t="s">
        <v>1352</v>
      </c>
      <c r="R146" s="155"/>
      <c r="S146" s="154"/>
      <c r="T146" s="154"/>
      <c r="U146" s="154"/>
      <c r="W146" s="5"/>
      <c r="X146" s="82"/>
      <c r="BA146" s="70"/>
      <c r="BB146" s="70"/>
      <c r="BC146" s="70"/>
      <c r="BD146" s="70"/>
      <c r="BE146" s="70"/>
      <c r="BF146" s="70"/>
      <c r="BG146" s="70"/>
      <c r="BH146" s="70"/>
      <c r="BI146" s="70"/>
      <c r="BJ146" s="70"/>
      <c r="BK146" s="70"/>
      <c r="BL146" s="70"/>
      <c r="BM146" s="70"/>
      <c r="BN146" s="70"/>
      <c r="BO146" s="70"/>
      <c r="BP146" s="70"/>
      <c r="BQ146" s="70"/>
      <c r="BR146" s="70"/>
      <c r="BS146" s="70"/>
      <c r="BT146" s="70"/>
      <c r="BU146" s="70"/>
      <c r="BV146" s="70"/>
      <c r="BW146" s="70"/>
      <c r="BX146" s="70"/>
      <c r="BY146" s="70"/>
      <c r="BZ146" s="70"/>
      <c r="CA146" s="70"/>
      <c r="CB146" s="70"/>
      <c r="CC146" s="70"/>
      <c r="CD146" s="70"/>
      <c r="CE146" s="70"/>
      <c r="CF146" s="70"/>
      <c r="CG146" s="70"/>
      <c r="CH146" s="70"/>
      <c r="CI146" s="70"/>
      <c r="CJ146" s="70"/>
      <c r="CK146" s="70"/>
      <c r="CL146" s="70"/>
      <c r="CM146" s="70"/>
    </row>
    <row r="147" spans="2:91" ht="12.75" x14ac:dyDescent="0.2">
      <c r="C147" s="2">
        <f>C148-SUM(C144:C146)</f>
        <v>0.34000000000000008</v>
      </c>
      <c r="D147" s="2">
        <f>D148-SUM(D144:D146)</f>
        <v>0.37999999999999989</v>
      </c>
      <c r="P147" s="129" t="s">
        <v>1943</v>
      </c>
      <c r="Q147" s="23" t="s">
        <v>1353</v>
      </c>
      <c r="R147" s="126" t="s">
        <v>1354</v>
      </c>
      <c r="S147" s="92" t="s">
        <v>1535</v>
      </c>
      <c r="T147" s="92" t="s">
        <v>1536</v>
      </c>
      <c r="U147" s="92" t="s">
        <v>1537</v>
      </c>
      <c r="W147" s="5"/>
      <c r="X147" s="82"/>
      <c r="BA147" s="70"/>
      <c r="BB147" s="70"/>
      <c r="BC147" s="70"/>
      <c r="BD147" s="70"/>
      <c r="BE147" s="70"/>
      <c r="BF147" s="70"/>
      <c r="BG147" s="70"/>
      <c r="BH147" s="70"/>
      <c r="BI147" s="70"/>
      <c r="BJ147" s="70"/>
      <c r="BK147" s="70"/>
      <c r="BL147" s="70"/>
      <c r="BM147" s="70"/>
      <c r="BN147" s="70"/>
      <c r="BO147" s="70"/>
      <c r="BP147" s="70"/>
      <c r="BQ147" s="70"/>
      <c r="BR147" s="70"/>
      <c r="BS147" s="70"/>
      <c r="BT147" s="70"/>
      <c r="BU147" s="70"/>
      <c r="BV147" s="70"/>
      <c r="BW147" s="70"/>
      <c r="BX147" s="70"/>
      <c r="BY147" s="70"/>
      <c r="BZ147" s="70"/>
      <c r="CA147" s="70"/>
      <c r="CB147" s="70"/>
      <c r="CC147" s="70"/>
      <c r="CD147" s="70"/>
      <c r="CE147" s="70"/>
      <c r="CF147" s="70"/>
      <c r="CG147" s="70"/>
      <c r="CH147" s="70"/>
      <c r="CI147" s="70"/>
      <c r="CJ147" s="70"/>
      <c r="CK147" s="70"/>
      <c r="CL147" s="70"/>
      <c r="CM147" s="70"/>
    </row>
    <row r="148" spans="2:91" ht="12.75" x14ac:dyDescent="0.2">
      <c r="C148" s="2">
        <v>1.05</v>
      </c>
      <c r="D148" s="2">
        <v>1.1299999999999999</v>
      </c>
      <c r="P148" s="113" t="s">
        <v>1942</v>
      </c>
      <c r="Q148" s="5"/>
      <c r="R148" s="126" t="s">
        <v>1538</v>
      </c>
      <c r="S148" s="92" t="s">
        <v>1539</v>
      </c>
      <c r="T148" s="92" t="s">
        <v>1540</v>
      </c>
      <c r="U148" s="92" t="s">
        <v>60</v>
      </c>
      <c r="W148" s="5"/>
      <c r="X148" s="82"/>
      <c r="BA148" s="70"/>
      <c r="BB148" s="70"/>
      <c r="BC148" s="70"/>
      <c r="BD148" s="70"/>
      <c r="BE148" s="70"/>
      <c r="BF148" s="70"/>
      <c r="BG148" s="70"/>
      <c r="BH148" s="70"/>
      <c r="BI148" s="70"/>
      <c r="BJ148" s="70"/>
      <c r="BK148" s="70"/>
      <c r="BL148" s="70"/>
      <c r="BM148" s="70"/>
      <c r="BN148" s="70"/>
      <c r="BO148" s="70"/>
      <c r="BP148" s="70"/>
      <c r="BQ148" s="70"/>
      <c r="BR148" s="70"/>
      <c r="BS148" s="70"/>
      <c r="BT148" s="70"/>
      <c r="BU148" s="70"/>
      <c r="BV148" s="70"/>
      <c r="BW148" s="70"/>
      <c r="BX148" s="70"/>
      <c r="BY148" s="70"/>
      <c r="BZ148" s="70"/>
      <c r="CA148" s="70"/>
      <c r="CB148" s="70"/>
      <c r="CC148" s="70"/>
      <c r="CD148" s="70"/>
      <c r="CE148" s="70"/>
      <c r="CF148" s="70"/>
      <c r="CG148" s="70"/>
      <c r="CH148" s="70"/>
      <c r="CI148" s="70"/>
      <c r="CJ148" s="70"/>
      <c r="CK148" s="70"/>
      <c r="CL148" s="70"/>
      <c r="CM148" s="70"/>
    </row>
    <row r="149" spans="2:91" ht="12.75" x14ac:dyDescent="0.2">
      <c r="P149" s="112" t="s">
        <v>1944</v>
      </c>
      <c r="Q149" s="5"/>
      <c r="R149" s="126" t="s">
        <v>61</v>
      </c>
      <c r="S149" s="92" t="s">
        <v>61</v>
      </c>
      <c r="T149" s="92" t="s">
        <v>61</v>
      </c>
      <c r="U149" s="92" t="s">
        <v>1566</v>
      </c>
      <c r="W149" s="5"/>
      <c r="X149" s="82"/>
      <c r="BA149" s="70"/>
      <c r="BB149" s="70"/>
      <c r="BC149" s="70"/>
      <c r="BD149" s="70"/>
      <c r="BE149" s="70"/>
      <c r="BF149" s="70"/>
      <c r="BG149" s="70"/>
      <c r="BH149" s="70"/>
      <c r="BI149" s="70"/>
      <c r="BJ149" s="70"/>
      <c r="BK149" s="70"/>
      <c r="BL149" s="70"/>
      <c r="BM149" s="70"/>
      <c r="BN149" s="70"/>
      <c r="BO149" s="70"/>
      <c r="BP149" s="70"/>
      <c r="BQ149" s="70"/>
      <c r="BR149" s="70"/>
      <c r="BS149" s="70"/>
      <c r="BT149" s="70"/>
      <c r="BU149" s="70"/>
      <c r="BV149" s="70"/>
      <c r="BW149" s="70"/>
      <c r="BX149" s="70"/>
      <c r="BY149" s="70"/>
      <c r="BZ149" s="70"/>
      <c r="CA149" s="70"/>
      <c r="CB149" s="70"/>
      <c r="CC149" s="70"/>
      <c r="CD149" s="70"/>
      <c r="CE149" s="70"/>
      <c r="CF149" s="70"/>
      <c r="CG149" s="70"/>
      <c r="CH149" s="70"/>
      <c r="CI149" s="70"/>
      <c r="CJ149" s="70"/>
      <c r="CK149" s="70"/>
      <c r="CL149" s="70"/>
      <c r="CM149" s="70"/>
    </row>
    <row r="150" spans="2:91" ht="12.75" x14ac:dyDescent="0.2">
      <c r="P150" s="130" t="s">
        <v>14</v>
      </c>
      <c r="Q150" s="23" t="s">
        <v>168</v>
      </c>
      <c r="R150" s="126" t="s">
        <v>169</v>
      </c>
      <c r="S150" s="92" t="s">
        <v>170</v>
      </c>
      <c r="T150" s="92" t="s">
        <v>171</v>
      </c>
      <c r="U150" s="5"/>
      <c r="V150" s="82"/>
      <c r="W150" s="5"/>
      <c r="X150" s="82"/>
      <c r="BA150" s="70"/>
      <c r="BB150" s="70"/>
      <c r="BC150" s="70"/>
      <c r="BD150" s="70"/>
      <c r="BE150" s="70"/>
      <c r="BF150" s="70"/>
      <c r="BG150" s="70"/>
      <c r="BH150" s="70"/>
      <c r="BI150" s="70"/>
      <c r="BJ150" s="70"/>
      <c r="BK150" s="70"/>
      <c r="BL150" s="70"/>
      <c r="BM150" s="70"/>
      <c r="BN150" s="70"/>
      <c r="BO150" s="70"/>
      <c r="BP150" s="70"/>
      <c r="BQ150" s="70"/>
      <c r="BR150" s="70"/>
      <c r="BS150" s="70"/>
      <c r="BT150" s="70"/>
      <c r="BU150" s="70"/>
      <c r="BV150" s="70"/>
      <c r="BW150" s="70"/>
      <c r="BX150" s="70"/>
      <c r="BY150" s="70"/>
      <c r="BZ150" s="70"/>
      <c r="CA150" s="70"/>
      <c r="CB150" s="70"/>
      <c r="CC150" s="70"/>
      <c r="CD150" s="70"/>
      <c r="CE150" s="70"/>
      <c r="CF150" s="70"/>
      <c r="CG150" s="70"/>
      <c r="CH150" s="70"/>
      <c r="CI150" s="70"/>
      <c r="CJ150" s="70"/>
      <c r="CK150" s="70"/>
      <c r="CL150" s="70"/>
      <c r="CM150" s="70"/>
    </row>
    <row r="151" spans="2:91" ht="12.75" x14ac:dyDescent="0.2">
      <c r="P151" s="129" t="s">
        <v>326</v>
      </c>
      <c r="Q151" s="13" t="s">
        <v>172</v>
      </c>
      <c r="R151" s="127" t="s">
        <v>173</v>
      </c>
      <c r="S151" s="95" t="s">
        <v>173</v>
      </c>
      <c r="T151" s="95" t="s">
        <v>173</v>
      </c>
      <c r="U151" s="5"/>
      <c r="V151" s="82"/>
      <c r="W151" s="5"/>
      <c r="X151" s="82"/>
      <c r="BA151" s="70"/>
      <c r="BB151" s="70"/>
      <c r="BC151" s="70"/>
      <c r="BD151" s="70"/>
      <c r="BE151" s="70"/>
      <c r="BF151" s="70"/>
      <c r="BG151" s="70"/>
      <c r="BH151" s="70"/>
      <c r="BI151" s="70"/>
      <c r="BJ151" s="70"/>
      <c r="BK151" s="70"/>
      <c r="BL151" s="70"/>
      <c r="BM151" s="70"/>
      <c r="BN151" s="70"/>
      <c r="BO151" s="70"/>
      <c r="BP151" s="70"/>
      <c r="BQ151" s="70"/>
      <c r="BR151" s="70"/>
      <c r="BS151" s="70"/>
      <c r="BT151" s="70"/>
      <c r="BU151" s="70"/>
      <c r="BV151" s="70"/>
      <c r="BW151" s="70"/>
      <c r="BX151" s="70"/>
      <c r="BY151" s="70"/>
      <c r="BZ151" s="70"/>
      <c r="CA151" s="70"/>
      <c r="CB151" s="70"/>
      <c r="CC151" s="70"/>
      <c r="CD151" s="70"/>
      <c r="CE151" s="70"/>
      <c r="CF151" s="70"/>
      <c r="CG151" s="70"/>
      <c r="CH151" s="70"/>
      <c r="CI151" s="70"/>
      <c r="CJ151" s="70"/>
      <c r="CK151" s="70"/>
      <c r="CL151" s="70"/>
      <c r="CM151" s="70"/>
    </row>
    <row r="152" spans="2:91" ht="12.75" x14ac:dyDescent="0.2">
      <c r="P152" s="113" t="s">
        <v>1946</v>
      </c>
      <c r="Q152" s="5"/>
      <c r="R152" s="126" t="s">
        <v>174</v>
      </c>
      <c r="S152" s="92" t="s">
        <v>175</v>
      </c>
      <c r="T152" s="92" t="s">
        <v>176</v>
      </c>
      <c r="U152" s="92" t="s">
        <v>177</v>
      </c>
      <c r="W152" s="5"/>
      <c r="X152" s="82"/>
      <c r="BA152" s="70"/>
      <c r="BB152" s="70"/>
      <c r="BC152" s="70"/>
      <c r="BD152" s="70"/>
      <c r="BE152" s="70"/>
      <c r="BF152" s="70"/>
      <c r="BG152" s="70"/>
      <c r="BH152" s="70"/>
      <c r="BI152" s="70"/>
      <c r="BJ152" s="70"/>
      <c r="BK152" s="70"/>
      <c r="BL152" s="70"/>
      <c r="BM152" s="70"/>
      <c r="BN152" s="70"/>
      <c r="BO152" s="70"/>
      <c r="BP152" s="70"/>
      <c r="BQ152" s="70"/>
      <c r="BR152" s="70"/>
      <c r="BS152" s="70"/>
      <c r="BT152" s="70"/>
      <c r="BU152" s="70"/>
      <c r="BV152" s="70"/>
      <c r="BW152" s="70"/>
      <c r="BX152" s="70"/>
      <c r="BY152" s="70"/>
      <c r="BZ152" s="70"/>
      <c r="CA152" s="70"/>
      <c r="CB152" s="70"/>
      <c r="CC152" s="70"/>
      <c r="CD152" s="70"/>
      <c r="CE152" s="70"/>
      <c r="CF152" s="70"/>
      <c r="CG152" s="70"/>
      <c r="CH152" s="70"/>
      <c r="CI152" s="70"/>
      <c r="CJ152" s="70"/>
      <c r="CK152" s="70"/>
      <c r="CL152" s="70"/>
      <c r="CM152" s="70"/>
    </row>
    <row r="153" spans="2:91" ht="12.75" x14ac:dyDescent="0.2">
      <c r="P153" s="129" t="s">
        <v>1204</v>
      </c>
      <c r="Q153" s="13">
        <v>0.35499999999999998</v>
      </c>
      <c r="R153" s="131">
        <v>0.35499999999999998</v>
      </c>
      <c r="S153" s="101">
        <v>1.355</v>
      </c>
      <c r="T153" s="101">
        <v>1.355</v>
      </c>
      <c r="U153" s="101">
        <v>1.355</v>
      </c>
      <c r="W153" s="5"/>
      <c r="X153" s="82"/>
      <c r="BA153" s="70"/>
      <c r="BB153" s="70"/>
      <c r="BC153" s="70"/>
      <c r="BD153" s="70"/>
      <c r="BE153" s="70"/>
      <c r="BF153" s="70"/>
      <c r="BG153" s="70"/>
      <c r="BH153" s="70"/>
      <c r="BI153" s="70"/>
      <c r="BJ153" s="70"/>
      <c r="BK153" s="70"/>
      <c r="BL153" s="70"/>
      <c r="BM153" s="70"/>
      <c r="BN153" s="70"/>
      <c r="BO153" s="70"/>
      <c r="BP153" s="70"/>
      <c r="BQ153" s="70"/>
      <c r="BR153" s="70"/>
      <c r="BS153" s="70"/>
      <c r="BT153" s="70"/>
      <c r="BU153" s="70"/>
      <c r="BV153" s="70"/>
      <c r="BW153" s="70"/>
      <c r="BX153" s="70"/>
      <c r="BY153" s="70"/>
      <c r="BZ153" s="70"/>
      <c r="CA153" s="70"/>
      <c r="CB153" s="70"/>
      <c r="CC153" s="70"/>
      <c r="CD153" s="70"/>
      <c r="CE153" s="70"/>
      <c r="CF153" s="70"/>
      <c r="CG153" s="70"/>
      <c r="CH153" s="70"/>
      <c r="CI153" s="70"/>
      <c r="CJ153" s="70"/>
      <c r="CK153" s="70"/>
      <c r="CL153" s="70"/>
      <c r="CM153" s="70"/>
    </row>
    <row r="154" spans="2:91" ht="12.75" x14ac:dyDescent="0.2">
      <c r="P154" s="129" t="s">
        <v>156</v>
      </c>
      <c r="Q154" s="13" t="s">
        <v>178</v>
      </c>
      <c r="R154" s="131" t="s">
        <v>178</v>
      </c>
      <c r="S154" s="101" t="s">
        <v>179</v>
      </c>
      <c r="T154" s="101" t="s">
        <v>179</v>
      </c>
      <c r="U154" s="101" t="s">
        <v>179</v>
      </c>
      <c r="W154" s="5"/>
      <c r="X154" s="82"/>
      <c r="BA154" s="70"/>
      <c r="BB154" s="70"/>
      <c r="BC154" s="70"/>
      <c r="BD154" s="70"/>
      <c r="BE154" s="70"/>
      <c r="BF154" s="70"/>
      <c r="BG154" s="70"/>
      <c r="BH154" s="70"/>
      <c r="BI154" s="70"/>
      <c r="BJ154" s="70"/>
      <c r="BK154" s="70"/>
      <c r="BL154" s="70"/>
      <c r="BM154" s="70"/>
      <c r="BN154" s="70"/>
      <c r="BO154" s="70"/>
      <c r="BP154" s="70"/>
      <c r="BQ154" s="70"/>
      <c r="BR154" s="70"/>
      <c r="BS154" s="70"/>
      <c r="BT154" s="70"/>
      <c r="BU154" s="70"/>
      <c r="BV154" s="70"/>
      <c r="BW154" s="70"/>
      <c r="BX154" s="70"/>
      <c r="BY154" s="70"/>
      <c r="BZ154" s="70"/>
      <c r="CA154" s="70"/>
      <c r="CB154" s="70"/>
      <c r="CC154" s="70"/>
      <c r="CD154" s="70"/>
      <c r="CE154" s="70"/>
      <c r="CF154" s="70"/>
      <c r="CG154" s="70"/>
      <c r="CH154" s="70"/>
      <c r="CI154" s="70"/>
      <c r="CJ154" s="70"/>
      <c r="CK154" s="70"/>
      <c r="CL154" s="70"/>
      <c r="CM154" s="70"/>
    </row>
    <row r="155" spans="2:91" ht="12.75" x14ac:dyDescent="0.2">
      <c r="P155" s="129" t="s">
        <v>1194</v>
      </c>
      <c r="Q155" s="13" t="s">
        <v>180</v>
      </c>
      <c r="R155" s="131" t="s">
        <v>180</v>
      </c>
      <c r="S155" s="101" t="s">
        <v>180</v>
      </c>
      <c r="T155" s="101" t="s">
        <v>180</v>
      </c>
      <c r="U155" s="101" t="s">
        <v>180</v>
      </c>
      <c r="W155" s="5"/>
      <c r="X155" s="82"/>
      <c r="BA155" s="70"/>
      <c r="BB155" s="70"/>
      <c r="BC155" s="70"/>
      <c r="BD155" s="70"/>
      <c r="BE155" s="70"/>
      <c r="BF155" s="70"/>
      <c r="BG155" s="70"/>
      <c r="BH155" s="70"/>
      <c r="BI155" s="70"/>
      <c r="BJ155" s="70"/>
      <c r="BK155" s="70"/>
      <c r="BL155" s="70"/>
      <c r="BM155" s="70"/>
      <c r="BN155" s="70"/>
      <c r="BO155" s="70"/>
      <c r="BP155" s="70"/>
      <c r="BQ155" s="70"/>
      <c r="BR155" s="70"/>
      <c r="BS155" s="70"/>
      <c r="BT155" s="70"/>
      <c r="BU155" s="70"/>
      <c r="BV155" s="70"/>
      <c r="BW155" s="70"/>
      <c r="BX155" s="70"/>
      <c r="BY155" s="70"/>
      <c r="BZ155" s="70"/>
      <c r="CA155" s="70"/>
      <c r="CB155" s="70"/>
      <c r="CC155" s="70"/>
      <c r="CD155" s="70"/>
      <c r="CE155" s="70"/>
      <c r="CF155" s="70"/>
      <c r="CG155" s="70"/>
      <c r="CH155" s="70"/>
      <c r="CI155" s="70"/>
      <c r="CJ155" s="70"/>
      <c r="CK155" s="70"/>
      <c r="CL155" s="70"/>
      <c r="CM155" s="70"/>
    </row>
    <row r="156" spans="2:91" ht="12.75" x14ac:dyDescent="0.2">
      <c r="P156" s="129" t="s">
        <v>337</v>
      </c>
      <c r="Q156" s="23" t="s">
        <v>181</v>
      </c>
      <c r="R156" s="126" t="s">
        <v>182</v>
      </c>
      <c r="S156" s="92" t="s">
        <v>182</v>
      </c>
      <c r="T156" s="92" t="s">
        <v>182</v>
      </c>
      <c r="U156" s="154"/>
      <c r="W156" s="126">
        <v>38000</v>
      </c>
      <c r="BA156" s="70"/>
      <c r="BB156" s="70"/>
      <c r="BC156" s="70"/>
      <c r="BD156" s="70"/>
      <c r="BE156" s="70"/>
      <c r="BF156" s="70"/>
      <c r="BG156" s="70"/>
      <c r="BH156" s="70"/>
      <c r="BI156" s="70"/>
      <c r="BJ156" s="70"/>
      <c r="BK156" s="70"/>
      <c r="BL156" s="70"/>
      <c r="BM156" s="70"/>
      <c r="BN156" s="70"/>
      <c r="BO156" s="70"/>
      <c r="BP156" s="70"/>
      <c r="BQ156" s="70"/>
      <c r="BR156" s="70"/>
      <c r="BS156" s="70"/>
      <c r="BT156" s="70"/>
      <c r="BU156" s="70"/>
      <c r="BV156" s="70"/>
      <c r="BW156" s="70"/>
      <c r="BX156" s="70"/>
      <c r="BY156" s="70"/>
      <c r="BZ156" s="70"/>
      <c r="CA156" s="70"/>
      <c r="CB156" s="70"/>
      <c r="CC156" s="70"/>
      <c r="CD156" s="70"/>
      <c r="CE156" s="70"/>
      <c r="CF156" s="70"/>
      <c r="CG156" s="70"/>
      <c r="CH156" s="70"/>
      <c r="CI156" s="70"/>
      <c r="CJ156" s="70"/>
      <c r="CK156" s="70"/>
      <c r="CL156" s="70"/>
      <c r="CM156" s="70"/>
    </row>
    <row r="157" spans="2:91" ht="12.75" x14ac:dyDescent="0.2">
      <c r="P157" s="132" t="s">
        <v>338</v>
      </c>
      <c r="Q157" s="133" t="s">
        <v>183</v>
      </c>
      <c r="R157" s="134" t="s">
        <v>184</v>
      </c>
      <c r="S157" s="96" t="s">
        <v>185</v>
      </c>
      <c r="T157" s="96" t="s">
        <v>186</v>
      </c>
      <c r="U157" s="96" t="s">
        <v>1258</v>
      </c>
      <c r="W157" s="157"/>
      <c r="X157" s="82"/>
      <c r="BA157" s="70"/>
      <c r="BB157" s="70"/>
      <c r="BC157" s="70"/>
      <c r="BD157" s="70"/>
      <c r="BE157" s="70"/>
      <c r="BF157" s="70"/>
      <c r="BG157" s="70"/>
      <c r="BH157" s="70"/>
      <c r="BI157" s="70"/>
      <c r="BJ157" s="70"/>
      <c r="BK157" s="70"/>
      <c r="BL157" s="70"/>
      <c r="BM157" s="70"/>
      <c r="BN157" s="70"/>
      <c r="BO157" s="70"/>
      <c r="BP157" s="70"/>
      <c r="BQ157" s="70"/>
      <c r="BR157" s="70"/>
      <c r="BS157" s="70"/>
      <c r="BT157" s="70"/>
      <c r="BU157" s="70"/>
      <c r="BV157" s="70"/>
      <c r="BW157" s="70"/>
      <c r="BX157" s="70"/>
      <c r="BY157" s="70"/>
      <c r="BZ157" s="70"/>
      <c r="CA157" s="70"/>
      <c r="CB157" s="70"/>
      <c r="CC157" s="70"/>
      <c r="CD157" s="70"/>
      <c r="CE157" s="70"/>
      <c r="CF157" s="70"/>
      <c r="CG157" s="70"/>
      <c r="CH157" s="70"/>
      <c r="CI157" s="70"/>
      <c r="CJ157" s="70"/>
      <c r="CK157" s="70"/>
      <c r="CL157" s="70"/>
      <c r="CM157" s="70"/>
    </row>
    <row r="158" spans="2:91" ht="12.75" x14ac:dyDescent="0.2">
      <c r="BA158" s="70"/>
      <c r="BB158" s="70"/>
      <c r="BC158" s="70"/>
      <c r="BD158" s="70"/>
      <c r="BE158" s="70"/>
      <c r="BF158" s="70"/>
      <c r="BG158" s="70"/>
      <c r="BH158" s="70"/>
      <c r="BI158" s="70"/>
      <c r="BJ158" s="70"/>
      <c r="BK158" s="70"/>
      <c r="BL158" s="70"/>
      <c r="BM158" s="70"/>
      <c r="BN158" s="70"/>
      <c r="BO158" s="70"/>
      <c r="BP158" s="70"/>
      <c r="BQ158" s="70"/>
      <c r="BR158" s="70"/>
      <c r="BS158" s="70"/>
      <c r="BT158" s="70"/>
      <c r="BU158" s="70"/>
      <c r="BV158" s="70"/>
      <c r="BW158" s="70"/>
      <c r="BX158" s="70"/>
      <c r="BY158" s="70"/>
      <c r="BZ158" s="70"/>
      <c r="CA158" s="70"/>
      <c r="CB158" s="70"/>
      <c r="CC158" s="70"/>
      <c r="CD158" s="70"/>
      <c r="CE158" s="70"/>
      <c r="CF158" s="70"/>
      <c r="CG158" s="70"/>
      <c r="CH158" s="70"/>
      <c r="CI158" s="70"/>
      <c r="CJ158" s="70"/>
      <c r="CK158" s="70"/>
      <c r="CL158" s="70"/>
      <c r="CM158" s="70"/>
    </row>
    <row r="159" spans="2:91" ht="12.75" x14ac:dyDescent="0.2">
      <c r="BA159" s="70"/>
      <c r="BB159" s="70"/>
      <c r="BC159" s="70"/>
      <c r="BD159" s="70"/>
      <c r="BE159" s="70"/>
      <c r="BF159" s="70"/>
      <c r="BG159" s="70"/>
      <c r="BH159" s="70"/>
      <c r="BI159" s="70"/>
      <c r="BJ159" s="70"/>
      <c r="BK159" s="70"/>
      <c r="BL159" s="70"/>
      <c r="BM159" s="70"/>
      <c r="BN159" s="70"/>
      <c r="BO159" s="70"/>
      <c r="BP159" s="70"/>
      <c r="BQ159" s="70"/>
      <c r="BR159" s="70"/>
      <c r="BS159" s="70"/>
      <c r="BT159" s="70"/>
      <c r="BU159" s="70"/>
      <c r="BV159" s="70"/>
      <c r="BW159" s="70"/>
      <c r="BX159" s="70"/>
      <c r="BY159" s="70"/>
      <c r="BZ159" s="70"/>
      <c r="CA159" s="70"/>
      <c r="CB159" s="70"/>
      <c r="CC159" s="70"/>
      <c r="CD159" s="70"/>
      <c r="CE159" s="70"/>
      <c r="CF159" s="70"/>
      <c r="CG159" s="70"/>
      <c r="CH159" s="70"/>
      <c r="CI159" s="70"/>
      <c r="CJ159" s="70"/>
      <c r="CK159" s="70"/>
      <c r="CL159" s="70"/>
      <c r="CM159" s="70"/>
    </row>
    <row r="160" spans="2:91" ht="12.75" x14ac:dyDescent="0.2">
      <c r="N160" s="78"/>
      <c r="BA160" s="70"/>
      <c r="BB160" s="70"/>
      <c r="BC160" s="70"/>
      <c r="BD160" s="70"/>
      <c r="BE160" s="70"/>
      <c r="BF160" s="70"/>
      <c r="BG160" s="70"/>
      <c r="BH160" s="70"/>
      <c r="BI160" s="70"/>
      <c r="BJ160" s="70"/>
      <c r="BK160" s="70"/>
      <c r="BL160" s="70"/>
      <c r="BM160" s="70"/>
      <c r="BN160" s="70"/>
      <c r="BO160" s="70"/>
      <c r="BP160" s="70"/>
      <c r="BQ160" s="70"/>
      <c r="BR160" s="70"/>
      <c r="BS160" s="70"/>
      <c r="BT160" s="70"/>
      <c r="BU160" s="70"/>
      <c r="BV160" s="70"/>
      <c r="BW160" s="70"/>
      <c r="BX160" s="70"/>
      <c r="BY160" s="70"/>
      <c r="BZ160" s="70"/>
      <c r="CA160" s="70"/>
      <c r="CB160" s="70"/>
      <c r="CC160" s="70"/>
      <c r="CD160" s="70"/>
      <c r="CE160" s="70"/>
      <c r="CF160" s="70"/>
      <c r="CG160" s="70"/>
      <c r="CH160" s="70"/>
      <c r="CI160" s="70"/>
      <c r="CJ160" s="70"/>
      <c r="CK160" s="70"/>
      <c r="CL160" s="70"/>
      <c r="CM160" s="70"/>
    </row>
    <row r="161" spans="14:91" ht="12.75" x14ac:dyDescent="0.2">
      <c r="N161" s="633">
        <f>193/5.6</f>
        <v>34.464285714285715</v>
      </c>
      <c r="BA161" s="70"/>
      <c r="BB161" s="70"/>
      <c r="BC161" s="70"/>
      <c r="BD161" s="70"/>
      <c r="BE161" s="70"/>
      <c r="BF161" s="70"/>
      <c r="BG161" s="70"/>
      <c r="BH161" s="70"/>
      <c r="BI161" s="70"/>
      <c r="BJ161" s="70"/>
      <c r="BK161" s="70"/>
      <c r="BL161" s="70"/>
      <c r="BM161" s="70"/>
      <c r="BN161" s="70"/>
      <c r="BO161" s="70"/>
      <c r="BP161" s="70"/>
      <c r="BQ161" s="70"/>
      <c r="BR161" s="70"/>
      <c r="BS161" s="70"/>
      <c r="BT161" s="70"/>
      <c r="BU161" s="70"/>
      <c r="BV161" s="70"/>
      <c r="BW161" s="70"/>
      <c r="BX161" s="70"/>
      <c r="BY161" s="70"/>
      <c r="BZ161" s="70"/>
      <c r="CA161" s="70"/>
      <c r="CB161" s="70"/>
      <c r="CC161" s="70"/>
      <c r="CD161" s="70"/>
      <c r="CE161" s="70"/>
      <c r="CF161" s="70"/>
      <c r="CG161" s="70"/>
      <c r="CH161" s="70"/>
      <c r="CI161" s="70"/>
      <c r="CJ161" s="70"/>
      <c r="CK161" s="70"/>
      <c r="CL161" s="70"/>
      <c r="CM161" s="70"/>
    </row>
    <row r="162" spans="14:91" ht="12.75" x14ac:dyDescent="0.2">
      <c r="N162" s="634">
        <f>375/10.6</f>
        <v>35.377358490566039</v>
      </c>
      <c r="BA162" s="70"/>
      <c r="BB162" s="70"/>
      <c r="BC162" s="70"/>
      <c r="BD162" s="70"/>
      <c r="BE162" s="70"/>
      <c r="BF162" s="70"/>
      <c r="BG162" s="70"/>
      <c r="BH162" s="70"/>
      <c r="BI162" s="70"/>
      <c r="BJ162" s="70"/>
      <c r="BK162" s="70"/>
      <c r="BL162" s="70"/>
      <c r="BM162" s="70"/>
      <c r="BN162" s="70"/>
      <c r="BO162" s="70"/>
      <c r="BP162" s="70"/>
      <c r="BQ162" s="70"/>
      <c r="BR162" s="70"/>
      <c r="BS162" s="70"/>
      <c r="BT162" s="70"/>
      <c r="BU162" s="70"/>
      <c r="BV162" s="70"/>
      <c r="BW162" s="70"/>
      <c r="BX162" s="70"/>
      <c r="BY162" s="70"/>
      <c r="BZ162" s="70"/>
      <c r="CA162" s="70"/>
      <c r="CB162" s="70"/>
      <c r="CC162" s="70"/>
      <c r="CD162" s="70"/>
      <c r="CE162" s="70"/>
      <c r="CF162" s="70"/>
      <c r="CG162" s="70"/>
      <c r="CH162" s="70"/>
      <c r="CI162" s="70"/>
      <c r="CJ162" s="70"/>
      <c r="CK162" s="70"/>
      <c r="CL162" s="70"/>
      <c r="CM162" s="70"/>
    </row>
    <row r="163" spans="14:91" ht="12.75" x14ac:dyDescent="0.2">
      <c r="N163" s="635"/>
      <c r="BA163" s="70"/>
      <c r="BB163" s="70"/>
      <c r="BC163" s="70"/>
      <c r="BD163" s="70"/>
      <c r="BE163" s="70"/>
      <c r="BF163" s="70"/>
      <c r="BG163" s="70"/>
      <c r="BH163" s="70"/>
      <c r="BI163" s="70"/>
      <c r="BJ163" s="70"/>
      <c r="BK163" s="70"/>
      <c r="BL163" s="70"/>
      <c r="BM163" s="70"/>
      <c r="BN163" s="70"/>
      <c r="BO163" s="70"/>
      <c r="BP163" s="70"/>
      <c r="BQ163" s="70"/>
      <c r="BR163" s="70"/>
      <c r="BS163" s="70"/>
      <c r="BT163" s="70"/>
      <c r="BU163" s="70"/>
      <c r="BV163" s="70"/>
      <c r="BW163" s="70"/>
      <c r="BX163" s="70"/>
      <c r="BY163" s="70"/>
      <c r="BZ163" s="70"/>
      <c r="CA163" s="70"/>
      <c r="CB163" s="70"/>
      <c r="CC163" s="70"/>
      <c r="CD163" s="70"/>
      <c r="CE163" s="70"/>
      <c r="CF163" s="70"/>
      <c r="CG163" s="70"/>
      <c r="CH163" s="70"/>
      <c r="CI163" s="70"/>
      <c r="CJ163" s="70"/>
      <c r="CK163" s="70"/>
      <c r="CL163" s="70"/>
      <c r="CM163" s="70"/>
    </row>
    <row r="164" spans="14:91" ht="12.75" x14ac:dyDescent="0.2">
      <c r="N164" s="635">
        <f>375-193</f>
        <v>182</v>
      </c>
      <c r="BA164" s="70"/>
      <c r="BB164" s="70"/>
      <c r="BC164" s="70"/>
      <c r="BD164" s="70"/>
      <c r="BE164" s="70"/>
      <c r="BF164" s="70"/>
      <c r="BG164" s="70"/>
      <c r="BH164" s="70"/>
      <c r="BI164" s="70"/>
      <c r="BJ164" s="70"/>
      <c r="BK164" s="70"/>
      <c r="BL164" s="70"/>
      <c r="BM164" s="70"/>
      <c r="BN164" s="70"/>
      <c r="BO164" s="70"/>
      <c r="BP164" s="70"/>
      <c r="BQ164" s="70"/>
      <c r="BR164" s="70"/>
      <c r="BS164" s="70"/>
      <c r="BT164" s="70"/>
      <c r="BU164" s="70"/>
      <c r="BV164" s="70"/>
      <c r="BW164" s="70"/>
      <c r="BX164" s="70"/>
      <c r="BY164" s="70"/>
      <c r="BZ164" s="70"/>
      <c r="CA164" s="70"/>
      <c r="CB164" s="70"/>
      <c r="CC164" s="70"/>
      <c r="CD164" s="70"/>
      <c r="CE164" s="70"/>
      <c r="CF164" s="70"/>
      <c r="CG164" s="70"/>
      <c r="CH164" s="70"/>
      <c r="CI164" s="70"/>
      <c r="CJ164" s="70"/>
      <c r="CK164" s="70"/>
      <c r="CL164" s="70"/>
      <c r="CM164" s="70"/>
    </row>
    <row r="165" spans="14:91" ht="12.75" x14ac:dyDescent="0.2">
      <c r="N165" s="633">
        <f>N164/5</f>
        <v>36.4</v>
      </c>
      <c r="BA165" s="70"/>
      <c r="BB165" s="70"/>
      <c r="BC165" s="70"/>
      <c r="BD165" s="70"/>
      <c r="BE165" s="70"/>
      <c r="BF165" s="70"/>
      <c r="BG165" s="70"/>
      <c r="BH165" s="70"/>
      <c r="BI165" s="70"/>
      <c r="BJ165" s="70"/>
      <c r="BK165" s="70"/>
      <c r="BL165" s="70"/>
      <c r="BM165" s="70"/>
      <c r="BN165" s="70"/>
      <c r="BO165" s="70"/>
      <c r="BP165" s="70"/>
      <c r="BQ165" s="70"/>
      <c r="BR165" s="70"/>
      <c r="BS165" s="70"/>
      <c r="BT165" s="70"/>
      <c r="BU165" s="70"/>
      <c r="BV165" s="70"/>
      <c r="BW165" s="70"/>
      <c r="BX165" s="70"/>
      <c r="BY165" s="70"/>
      <c r="BZ165" s="70"/>
      <c r="CA165" s="70"/>
      <c r="CB165" s="70"/>
      <c r="CC165" s="70"/>
      <c r="CD165" s="70"/>
      <c r="CE165" s="70"/>
      <c r="CF165" s="70"/>
      <c r="CG165" s="70"/>
      <c r="CH165" s="70"/>
      <c r="CI165" s="70"/>
      <c r="CJ165" s="70"/>
      <c r="CK165" s="70"/>
      <c r="CL165" s="70"/>
      <c r="CM165" s="70"/>
    </row>
    <row r="166" spans="14:91" ht="12.75" x14ac:dyDescent="0.2">
      <c r="N166" s="635"/>
      <c r="BA166" s="70"/>
      <c r="BB166" s="70"/>
      <c r="BC166" s="70"/>
      <c r="BD166" s="70"/>
      <c r="BE166" s="70"/>
      <c r="BF166" s="70"/>
      <c r="BG166" s="70"/>
      <c r="BH166" s="70"/>
      <c r="BI166" s="70"/>
      <c r="BJ166" s="70"/>
      <c r="BK166" s="70"/>
      <c r="BL166" s="70"/>
      <c r="BM166" s="70"/>
      <c r="BN166" s="70"/>
      <c r="BO166" s="70"/>
      <c r="BP166" s="70"/>
      <c r="BQ166" s="70"/>
      <c r="BR166" s="70"/>
      <c r="BS166" s="70"/>
      <c r="BT166" s="70"/>
      <c r="BU166" s="70"/>
      <c r="BV166" s="70"/>
      <c r="BW166" s="70"/>
      <c r="BX166" s="70"/>
      <c r="BY166" s="70"/>
      <c r="BZ166" s="70"/>
      <c r="CA166" s="70"/>
      <c r="CB166" s="70"/>
      <c r="CC166" s="70"/>
      <c r="CD166" s="70"/>
      <c r="CE166" s="70"/>
      <c r="CF166" s="70"/>
      <c r="CG166" s="70"/>
      <c r="CH166" s="70"/>
      <c r="CI166" s="70"/>
      <c r="CJ166" s="70"/>
      <c r="CK166" s="70"/>
      <c r="CL166" s="70"/>
      <c r="CM166" s="70"/>
    </row>
    <row r="167" spans="14:91" ht="12.75" x14ac:dyDescent="0.2">
      <c r="N167" s="635"/>
      <c r="BA167" s="70"/>
      <c r="BB167" s="70"/>
      <c r="BC167" s="70"/>
      <c r="BD167" s="70"/>
      <c r="BE167" s="70"/>
      <c r="BF167" s="70"/>
      <c r="BG167" s="70"/>
      <c r="BH167" s="70"/>
      <c r="BI167" s="70"/>
      <c r="BJ167" s="70"/>
      <c r="BK167" s="70"/>
      <c r="BL167" s="70"/>
      <c r="BM167" s="70"/>
      <c r="BN167" s="70"/>
      <c r="BO167" s="70"/>
      <c r="BP167" s="70"/>
      <c r="BQ167" s="70"/>
      <c r="BR167" s="70"/>
      <c r="BS167" s="70"/>
      <c r="BT167" s="70"/>
      <c r="BU167" s="70"/>
      <c r="BV167" s="70"/>
      <c r="BW167" s="70"/>
      <c r="BX167" s="70"/>
      <c r="BY167" s="70"/>
      <c r="BZ167" s="70"/>
      <c r="CA167" s="70"/>
      <c r="CB167" s="70"/>
      <c r="CC167" s="70"/>
      <c r="CD167" s="70"/>
      <c r="CE167" s="70"/>
      <c r="CF167" s="70"/>
      <c r="CG167" s="70"/>
      <c r="CH167" s="70"/>
      <c r="CI167" s="70"/>
      <c r="CJ167" s="70"/>
      <c r="CK167" s="70"/>
      <c r="CL167" s="70"/>
      <c r="CM167" s="70"/>
    </row>
    <row r="168" spans="14:91" ht="12.75" x14ac:dyDescent="0.2">
      <c r="N168" s="77"/>
      <c r="BA168" s="70"/>
      <c r="BB168" s="70"/>
      <c r="BC168" s="70"/>
      <c r="BD168" s="70"/>
      <c r="BE168" s="70"/>
      <c r="BF168" s="70"/>
      <c r="BG168" s="70"/>
      <c r="BH168" s="70"/>
      <c r="BI168" s="70"/>
      <c r="BJ168" s="70"/>
      <c r="BK168" s="70"/>
      <c r="BL168" s="70"/>
      <c r="BM168" s="70"/>
      <c r="BN168" s="70"/>
      <c r="BO168" s="70"/>
      <c r="BP168" s="70"/>
      <c r="BQ168" s="70"/>
      <c r="BR168" s="70"/>
      <c r="BS168" s="70"/>
      <c r="BT168" s="70"/>
      <c r="BU168" s="70"/>
      <c r="BV168" s="70"/>
      <c r="BW168" s="70"/>
      <c r="BX168" s="70"/>
      <c r="BY168" s="70"/>
      <c r="BZ168" s="70"/>
      <c r="CA168" s="70"/>
      <c r="CB168" s="70"/>
      <c r="CC168" s="70"/>
      <c r="CD168" s="70"/>
      <c r="CE168" s="70"/>
      <c r="CF168" s="70"/>
      <c r="CG168" s="70"/>
      <c r="CH168" s="70"/>
      <c r="CI168" s="70"/>
      <c r="CJ168" s="70"/>
      <c r="CK168" s="70"/>
      <c r="CL168" s="70"/>
      <c r="CM168" s="70"/>
    </row>
    <row r="169" spans="14:91" ht="12.75" x14ac:dyDescent="0.2">
      <c r="BA169" s="70"/>
      <c r="BB169" s="70"/>
      <c r="BC169" s="70"/>
      <c r="BD169" s="70"/>
      <c r="BE169" s="70"/>
      <c r="BF169" s="70"/>
      <c r="BG169" s="70"/>
      <c r="BH169" s="70"/>
      <c r="BI169" s="70"/>
      <c r="BJ169" s="70"/>
      <c r="BK169" s="70"/>
      <c r="BL169" s="70"/>
      <c r="BM169" s="70"/>
      <c r="BN169" s="70"/>
      <c r="BO169" s="70"/>
      <c r="BP169" s="70"/>
      <c r="BQ169" s="70"/>
      <c r="BR169" s="70"/>
      <c r="BS169" s="70"/>
      <c r="BT169" s="70"/>
      <c r="BU169" s="70"/>
      <c r="BV169" s="70"/>
      <c r="BW169" s="70"/>
      <c r="BX169" s="70"/>
      <c r="BY169" s="70"/>
      <c r="BZ169" s="70"/>
      <c r="CA169" s="70"/>
      <c r="CB169" s="70"/>
      <c r="CC169" s="70"/>
      <c r="CD169" s="70"/>
      <c r="CE169" s="70"/>
      <c r="CF169" s="70"/>
      <c r="CG169" s="70"/>
      <c r="CH169" s="70"/>
      <c r="CI169" s="70"/>
      <c r="CJ169" s="70"/>
      <c r="CK169" s="70"/>
      <c r="CL169" s="70"/>
      <c r="CM169" s="70"/>
    </row>
    <row r="170" spans="14:91" ht="12.75" x14ac:dyDescent="0.2">
      <c r="BA170" s="70"/>
      <c r="BB170" s="70"/>
      <c r="BC170" s="70"/>
      <c r="BD170" s="70"/>
      <c r="BE170" s="70"/>
      <c r="BF170" s="70"/>
      <c r="BG170" s="70"/>
      <c r="BH170" s="70"/>
      <c r="BI170" s="70"/>
      <c r="BJ170" s="70"/>
      <c r="BK170" s="70"/>
      <c r="BL170" s="70"/>
      <c r="BM170" s="70"/>
      <c r="BN170" s="70"/>
      <c r="BO170" s="70"/>
      <c r="BP170" s="70"/>
      <c r="BQ170" s="70"/>
      <c r="BR170" s="70"/>
      <c r="BS170" s="70"/>
      <c r="BT170" s="70"/>
      <c r="BU170" s="70"/>
      <c r="BV170" s="70"/>
      <c r="BW170" s="70"/>
      <c r="BX170" s="70"/>
      <c r="BY170" s="70"/>
      <c r="BZ170" s="70"/>
      <c r="CA170" s="70"/>
      <c r="CB170" s="70"/>
      <c r="CC170" s="70"/>
      <c r="CD170" s="70"/>
      <c r="CE170" s="70"/>
      <c r="CF170" s="70"/>
      <c r="CG170" s="70"/>
      <c r="CH170" s="70"/>
      <c r="CI170" s="70"/>
      <c r="CJ170" s="70"/>
      <c r="CK170" s="70"/>
      <c r="CL170" s="70"/>
      <c r="CM170" s="70"/>
    </row>
    <row r="171" spans="14:91" ht="12.75" x14ac:dyDescent="0.2">
      <c r="BA171" s="70"/>
      <c r="BB171" s="70"/>
      <c r="BC171" s="70"/>
      <c r="BD171" s="70"/>
      <c r="BE171" s="70"/>
      <c r="BF171" s="70"/>
      <c r="BG171" s="70"/>
      <c r="BH171" s="70"/>
      <c r="BI171" s="70"/>
      <c r="BJ171" s="70"/>
      <c r="BK171" s="70"/>
      <c r="BL171" s="70"/>
      <c r="BM171" s="70"/>
      <c r="BN171" s="70"/>
      <c r="BO171" s="70"/>
      <c r="BP171" s="70"/>
      <c r="BQ171" s="70"/>
      <c r="BR171" s="70"/>
      <c r="BS171" s="70"/>
      <c r="BT171" s="70"/>
      <c r="BU171" s="70"/>
      <c r="BV171" s="70"/>
      <c r="BW171" s="70"/>
      <c r="BX171" s="70"/>
      <c r="BY171" s="70"/>
      <c r="BZ171" s="70"/>
      <c r="CA171" s="70"/>
      <c r="CB171" s="70"/>
      <c r="CC171" s="70"/>
      <c r="CD171" s="70"/>
      <c r="CE171" s="70"/>
      <c r="CF171" s="70"/>
      <c r="CG171" s="70"/>
      <c r="CH171" s="70"/>
      <c r="CI171" s="70"/>
      <c r="CJ171" s="70"/>
      <c r="CK171" s="70"/>
      <c r="CL171" s="70"/>
      <c r="CM171" s="70"/>
    </row>
    <row r="172" spans="14:91" ht="12.75" x14ac:dyDescent="0.2">
      <c r="W172" s="135" t="s">
        <v>1259</v>
      </c>
      <c r="BA172" s="70"/>
      <c r="BB172" s="70"/>
      <c r="BC172" s="70"/>
      <c r="BD172" s="70"/>
      <c r="BE172" s="70"/>
      <c r="BF172" s="70"/>
      <c r="BG172" s="70"/>
      <c r="BH172" s="70"/>
      <c r="BI172" s="70"/>
      <c r="BJ172" s="70"/>
      <c r="BK172" s="70"/>
      <c r="BL172" s="70"/>
      <c r="BM172" s="70"/>
      <c r="BN172" s="70"/>
      <c r="BO172" s="70"/>
      <c r="BP172" s="70"/>
      <c r="BQ172" s="70"/>
      <c r="BR172" s="70"/>
      <c r="BS172" s="70"/>
      <c r="BT172" s="70"/>
      <c r="BU172" s="70"/>
      <c r="BV172" s="70"/>
      <c r="BW172" s="70"/>
      <c r="BX172" s="70"/>
      <c r="BY172" s="70"/>
      <c r="BZ172" s="70"/>
      <c r="CA172" s="70"/>
      <c r="CB172" s="70"/>
      <c r="CC172" s="70"/>
      <c r="CD172" s="70"/>
      <c r="CE172" s="70"/>
      <c r="CF172" s="70"/>
      <c r="CG172" s="70"/>
      <c r="CH172" s="70"/>
      <c r="CI172" s="70"/>
      <c r="CJ172" s="70"/>
      <c r="CK172" s="70"/>
      <c r="CL172" s="70"/>
      <c r="CM172" s="70"/>
    </row>
    <row r="173" spans="14:91" ht="12.75" x14ac:dyDescent="0.2">
      <c r="W173" s="89" t="s">
        <v>1260</v>
      </c>
      <c r="X173" s="151" t="s">
        <v>1261</v>
      </c>
      <c r="Y173" s="151" t="s">
        <v>241</v>
      </c>
      <c r="Z173" s="136" t="s">
        <v>1262</v>
      </c>
      <c r="BA173" s="70"/>
      <c r="BB173" s="70"/>
      <c r="BC173" s="70"/>
      <c r="BD173" s="70"/>
      <c r="BE173" s="70"/>
      <c r="BF173" s="70"/>
      <c r="BG173" s="70"/>
      <c r="BH173" s="70"/>
      <c r="BI173" s="70"/>
      <c r="BJ173" s="70"/>
      <c r="BK173" s="70"/>
      <c r="BL173" s="70"/>
      <c r="BM173" s="70"/>
      <c r="BN173" s="70"/>
      <c r="BO173" s="70"/>
      <c r="BP173" s="70"/>
      <c r="BQ173" s="70"/>
      <c r="BR173" s="70"/>
      <c r="BS173" s="70"/>
      <c r="BT173" s="70"/>
      <c r="BU173" s="70"/>
      <c r="BV173" s="70"/>
      <c r="BW173" s="70"/>
      <c r="BX173" s="70"/>
      <c r="BY173" s="70"/>
      <c r="BZ173" s="70"/>
      <c r="CA173" s="70"/>
      <c r="CB173" s="70"/>
      <c r="CC173" s="70"/>
      <c r="CD173" s="70"/>
      <c r="CE173" s="70"/>
      <c r="CF173" s="70"/>
      <c r="CG173" s="70"/>
      <c r="CH173" s="70"/>
      <c r="CI173" s="70"/>
      <c r="CJ173" s="70"/>
      <c r="CK173" s="70"/>
      <c r="CL173" s="70"/>
      <c r="CM173" s="70"/>
    </row>
    <row r="174" spans="14:91" ht="12.75" x14ac:dyDescent="0.2">
      <c r="W174" s="152" t="s">
        <v>245</v>
      </c>
      <c r="X174" s="47">
        <v>389</v>
      </c>
      <c r="Y174" s="63">
        <f>X174-Z174</f>
        <v>7.9347384812385258</v>
      </c>
      <c r="Z174" s="139">
        <v>381.06526151876147</v>
      </c>
      <c r="BA174" s="70"/>
      <c r="BB174" s="70"/>
      <c r="BC174" s="70"/>
      <c r="BD174" s="70"/>
      <c r="BE174" s="70"/>
      <c r="BF174" s="70"/>
      <c r="BG174" s="70"/>
      <c r="BH174" s="70"/>
      <c r="BI174" s="70"/>
      <c r="BJ174" s="70"/>
      <c r="BK174" s="70"/>
      <c r="BL174" s="70"/>
      <c r="BM174" s="70"/>
      <c r="BN174" s="70"/>
      <c r="BO174" s="70"/>
      <c r="BP174" s="70"/>
      <c r="BQ174" s="70"/>
      <c r="BR174" s="70"/>
      <c r="BS174" s="70"/>
      <c r="BT174" s="70"/>
      <c r="BU174" s="70"/>
      <c r="BV174" s="70"/>
      <c r="BW174" s="70"/>
      <c r="BX174" s="70"/>
      <c r="BY174" s="70"/>
      <c r="BZ174" s="70"/>
      <c r="CA174" s="70"/>
      <c r="CB174" s="70"/>
      <c r="CC174" s="70"/>
      <c r="CD174" s="70"/>
      <c r="CE174" s="70"/>
      <c r="CF174" s="70"/>
      <c r="CG174" s="70"/>
      <c r="CH174" s="70"/>
      <c r="CI174" s="70"/>
      <c r="CJ174" s="70"/>
      <c r="CK174" s="70"/>
      <c r="CL174" s="70"/>
      <c r="CM174" s="70"/>
    </row>
    <row r="175" spans="14:91" ht="12.75" x14ac:dyDescent="0.2">
      <c r="W175" s="130" t="s">
        <v>246</v>
      </c>
      <c r="X175" s="49">
        <v>342</v>
      </c>
      <c r="Y175" s="10">
        <f>X175-Z175</f>
        <v>12.809654673657576</v>
      </c>
      <c r="Z175" s="140">
        <v>329.19034532634242</v>
      </c>
      <c r="BA175" s="70"/>
      <c r="BB175" s="70"/>
      <c r="BC175" s="70"/>
      <c r="BD175" s="70"/>
      <c r="BE175" s="70"/>
      <c r="BF175" s="70"/>
      <c r="BG175" s="70"/>
      <c r="BH175" s="70"/>
      <c r="BI175" s="70"/>
      <c r="BJ175" s="70"/>
      <c r="BK175" s="70"/>
      <c r="BL175" s="70"/>
      <c r="BM175" s="70"/>
      <c r="BN175" s="70"/>
      <c r="BO175" s="70"/>
      <c r="BP175" s="70"/>
      <c r="BQ175" s="70"/>
      <c r="BR175" s="70"/>
      <c r="BS175" s="70"/>
      <c r="BT175" s="70"/>
      <c r="BU175" s="70"/>
      <c r="BV175" s="70"/>
      <c r="BW175" s="70"/>
      <c r="BX175" s="70"/>
      <c r="BY175" s="70"/>
      <c r="BZ175" s="70"/>
      <c r="CA175" s="70"/>
      <c r="CB175" s="70"/>
      <c r="CC175" s="70"/>
      <c r="CD175" s="70"/>
      <c r="CE175" s="70"/>
      <c r="CF175" s="70"/>
      <c r="CG175" s="70"/>
      <c r="CH175" s="70"/>
      <c r="CI175" s="70"/>
      <c r="CJ175" s="70"/>
      <c r="CK175" s="70"/>
      <c r="CL175" s="70"/>
      <c r="CM175" s="70"/>
    </row>
    <row r="176" spans="14:91" ht="12.75" x14ac:dyDescent="0.2">
      <c r="W176" s="130" t="s">
        <v>576</v>
      </c>
      <c r="X176" s="49">
        <v>372</v>
      </c>
      <c r="Y176" s="10">
        <f>X176-Z176</f>
        <v>-62.253288000000055</v>
      </c>
      <c r="Z176" s="140">
        <v>434.25328800000005</v>
      </c>
      <c r="BA176" s="70"/>
      <c r="BB176" s="70"/>
      <c r="BC176" s="70"/>
      <c r="BD176" s="70"/>
      <c r="BE176" s="70"/>
      <c r="BF176" s="70"/>
      <c r="BG176" s="70"/>
      <c r="BH176" s="70"/>
      <c r="BI176" s="70"/>
      <c r="BJ176" s="70"/>
      <c r="BK176" s="70"/>
      <c r="BL176" s="70"/>
      <c r="BM176" s="70"/>
      <c r="BN176" s="70"/>
      <c r="BO176" s="70"/>
      <c r="BP176" s="70"/>
      <c r="BQ176" s="70"/>
      <c r="BR176" s="70"/>
      <c r="BS176" s="70"/>
      <c r="BT176" s="70"/>
      <c r="BU176" s="70"/>
      <c r="BV176" s="70"/>
      <c r="BW176" s="70"/>
      <c r="BX176" s="70"/>
      <c r="BY176" s="70"/>
      <c r="BZ176" s="70"/>
      <c r="CA176" s="70"/>
      <c r="CB176" s="70"/>
      <c r="CC176" s="70"/>
      <c r="CD176" s="70"/>
      <c r="CE176" s="70"/>
      <c r="CF176" s="70"/>
      <c r="CG176" s="70"/>
      <c r="CH176" s="70"/>
      <c r="CI176" s="70"/>
      <c r="CJ176" s="70"/>
      <c r="CK176" s="70"/>
      <c r="CL176" s="70"/>
      <c r="CM176" s="70"/>
    </row>
    <row r="177" spans="22:91" ht="6" customHeight="1" x14ac:dyDescent="0.2">
      <c r="V177" s="83"/>
      <c r="W177" s="43"/>
      <c r="X177" s="69" t="s">
        <v>1328</v>
      </c>
      <c r="Y177" s="10" t="s">
        <v>1328</v>
      </c>
      <c r="Z177" s="140" t="s">
        <v>1328</v>
      </c>
      <c r="BA177" s="70"/>
      <c r="BB177" s="70"/>
      <c r="BC177" s="70"/>
      <c r="BD177" s="70"/>
      <c r="BE177" s="70"/>
      <c r="BF177" s="70"/>
      <c r="BG177" s="70"/>
      <c r="BH177" s="70"/>
      <c r="BI177" s="70"/>
      <c r="BJ177" s="70"/>
      <c r="BK177" s="70"/>
      <c r="BL177" s="70"/>
      <c r="BM177" s="70"/>
      <c r="BN177" s="70"/>
      <c r="BO177" s="70"/>
      <c r="BP177" s="70"/>
      <c r="BQ177" s="70"/>
      <c r="BR177" s="70"/>
      <c r="BS177" s="70"/>
      <c r="BT177" s="70"/>
      <c r="BU177" s="70"/>
      <c r="BV177" s="70"/>
      <c r="BW177" s="70"/>
      <c r="BX177" s="70"/>
      <c r="BY177" s="70"/>
      <c r="BZ177" s="70"/>
      <c r="CA177" s="70"/>
      <c r="CB177" s="70"/>
      <c r="CC177" s="70"/>
      <c r="CD177" s="70"/>
      <c r="CE177" s="70"/>
      <c r="CF177" s="70"/>
      <c r="CG177" s="70"/>
      <c r="CH177" s="70"/>
      <c r="CI177" s="70"/>
      <c r="CJ177" s="70"/>
      <c r="CK177" s="70"/>
      <c r="CL177" s="70"/>
      <c r="CM177" s="70"/>
    </row>
    <row r="178" spans="22:91" ht="12.75" x14ac:dyDescent="0.2">
      <c r="W178" s="130" t="s">
        <v>1614</v>
      </c>
      <c r="X178" s="63">
        <f>SUM(X174:X176)</f>
        <v>1103</v>
      </c>
      <c r="Y178" s="63">
        <f>X178-Z178</f>
        <v>-41.508894845103896</v>
      </c>
      <c r="Z178" s="141">
        <v>1144.5088948451039</v>
      </c>
      <c r="BA178" s="70"/>
      <c r="BB178" s="70"/>
      <c r="BC178" s="70"/>
      <c r="BD178" s="70"/>
      <c r="BE178" s="70"/>
      <c r="BF178" s="70"/>
      <c r="BG178" s="70"/>
      <c r="BH178" s="70"/>
      <c r="BI178" s="70"/>
      <c r="BJ178" s="70"/>
      <c r="BK178" s="70"/>
      <c r="BL178" s="70"/>
      <c r="BM178" s="70"/>
      <c r="BN178" s="70"/>
      <c r="BO178" s="70"/>
      <c r="BP178" s="70"/>
      <c r="BQ178" s="70"/>
      <c r="BR178" s="70"/>
      <c r="BS178" s="70"/>
      <c r="BT178" s="70"/>
      <c r="BU178" s="70"/>
      <c r="BV178" s="70"/>
      <c r="BW178" s="70"/>
      <c r="BX178" s="70"/>
      <c r="BY178" s="70"/>
      <c r="BZ178" s="70"/>
      <c r="CA178" s="70"/>
      <c r="CB178" s="70"/>
      <c r="CC178" s="70"/>
      <c r="CD178" s="70"/>
      <c r="CE178" s="70"/>
      <c r="CF178" s="70"/>
      <c r="CG178" s="70"/>
      <c r="CH178" s="70"/>
      <c r="CI178" s="70"/>
      <c r="CJ178" s="70"/>
      <c r="CK178" s="70"/>
      <c r="CL178" s="70"/>
      <c r="CM178" s="70"/>
    </row>
    <row r="179" spans="22:91" ht="12.75" x14ac:dyDescent="0.2">
      <c r="W179" s="130" t="s">
        <v>1367</v>
      </c>
      <c r="X179" s="51">
        <f>X178/MAR!BE14-1</f>
        <v>-0.6734754292480758</v>
      </c>
      <c r="Y179" s="8"/>
      <c r="Z179" s="142">
        <v>8.8971355704190236E-2</v>
      </c>
      <c r="BA179" s="70"/>
      <c r="BB179" s="70"/>
      <c r="BC179" s="70"/>
      <c r="BD179" s="70"/>
      <c r="BE179" s="70"/>
      <c r="BF179" s="70"/>
      <c r="BG179" s="70"/>
      <c r="BH179" s="70"/>
      <c r="BI179" s="70"/>
      <c r="BJ179" s="70"/>
      <c r="BK179" s="70"/>
      <c r="BL179" s="70"/>
      <c r="BM179" s="70"/>
      <c r="BN179" s="70"/>
      <c r="BO179" s="70"/>
      <c r="BP179" s="70"/>
      <c r="BQ179" s="70"/>
      <c r="BR179" s="70"/>
      <c r="BS179" s="70"/>
      <c r="BT179" s="70"/>
      <c r="BU179" s="70"/>
      <c r="BV179" s="70"/>
      <c r="BW179" s="70"/>
      <c r="BX179" s="70"/>
      <c r="BY179" s="70"/>
      <c r="BZ179" s="70"/>
      <c r="CA179" s="70"/>
      <c r="CB179" s="70"/>
      <c r="CC179" s="70"/>
      <c r="CD179" s="70"/>
      <c r="CE179" s="70"/>
      <c r="CF179" s="70"/>
      <c r="CG179" s="70"/>
      <c r="CH179" s="70"/>
      <c r="CI179" s="70"/>
      <c r="CJ179" s="70"/>
      <c r="CK179" s="70"/>
      <c r="CL179" s="70"/>
      <c r="CM179" s="70"/>
    </row>
    <row r="180" spans="22:91" ht="12.75" x14ac:dyDescent="0.2">
      <c r="V180" s="83"/>
      <c r="AA180" s="82"/>
      <c r="BA180" s="70"/>
      <c r="BB180" s="70"/>
      <c r="BC180" s="70"/>
      <c r="BD180" s="70"/>
      <c r="BE180" s="70"/>
      <c r="BF180" s="70"/>
      <c r="BG180" s="70"/>
      <c r="BH180" s="70"/>
      <c r="BI180" s="70"/>
      <c r="BJ180" s="70"/>
      <c r="BK180" s="70"/>
      <c r="BL180" s="70"/>
      <c r="BM180" s="70"/>
      <c r="BN180" s="70"/>
      <c r="BO180" s="70"/>
      <c r="BP180" s="70"/>
      <c r="BQ180" s="70"/>
      <c r="BR180" s="70"/>
      <c r="BS180" s="70"/>
      <c r="BT180" s="70"/>
      <c r="BU180" s="70"/>
      <c r="BV180" s="70"/>
      <c r="BW180" s="70"/>
      <c r="BX180" s="70"/>
      <c r="BY180" s="70"/>
      <c r="BZ180" s="70"/>
      <c r="CA180" s="70"/>
      <c r="CB180" s="70"/>
      <c r="CC180" s="70"/>
      <c r="CD180" s="70"/>
      <c r="CE180" s="70"/>
      <c r="CF180" s="70"/>
      <c r="CG180" s="70"/>
      <c r="CH180" s="70"/>
      <c r="CI180" s="70"/>
      <c r="CJ180" s="70"/>
      <c r="CK180" s="70"/>
      <c r="CL180" s="70"/>
      <c r="CM180" s="70"/>
    </row>
    <row r="181" spans="22:91" ht="12.75" x14ac:dyDescent="0.2">
      <c r="W181" s="130" t="s">
        <v>247</v>
      </c>
      <c r="X181" s="47">
        <v>233</v>
      </c>
      <c r="Y181" s="63">
        <f>X181-Z181</f>
        <v>-16.944124604091286</v>
      </c>
      <c r="Z181" s="141">
        <v>249.94412460409129</v>
      </c>
      <c r="BA181" s="70"/>
      <c r="BB181" s="70"/>
      <c r="BC181" s="70"/>
      <c r="BD181" s="70"/>
      <c r="BE181" s="70"/>
      <c r="BF181" s="70"/>
      <c r="BG181" s="70"/>
      <c r="BH181" s="70"/>
      <c r="BI181" s="70"/>
      <c r="BJ181" s="70"/>
      <c r="BK181" s="70"/>
      <c r="BL181" s="70"/>
      <c r="BM181" s="70"/>
      <c r="BN181" s="70"/>
      <c r="BO181" s="70"/>
      <c r="BP181" s="70"/>
      <c r="BQ181" s="70"/>
      <c r="BR181" s="70"/>
      <c r="BS181" s="70"/>
      <c r="BT181" s="70"/>
      <c r="BU181" s="70"/>
      <c r="BV181" s="70"/>
      <c r="BW181" s="70"/>
      <c r="BX181" s="70"/>
      <c r="BY181" s="70"/>
      <c r="BZ181" s="70"/>
      <c r="CA181" s="70"/>
      <c r="CB181" s="70"/>
      <c r="CC181" s="70"/>
      <c r="CD181" s="70"/>
      <c r="CE181" s="70"/>
      <c r="CF181" s="70"/>
      <c r="CG181" s="70"/>
      <c r="CH181" s="70"/>
      <c r="CI181" s="70"/>
      <c r="CJ181" s="70"/>
      <c r="CK181" s="70"/>
      <c r="CL181" s="70"/>
      <c r="CM181" s="70"/>
    </row>
    <row r="182" spans="22:91" ht="12.75" x14ac:dyDescent="0.2">
      <c r="V182" s="83"/>
      <c r="W182" s="43"/>
      <c r="X182" s="8"/>
      <c r="Z182" s="8"/>
      <c r="BA182" s="70"/>
      <c r="BB182" s="70"/>
      <c r="BC182" s="70"/>
      <c r="BD182" s="70"/>
      <c r="BE182" s="70"/>
      <c r="BF182" s="70"/>
      <c r="BG182" s="70"/>
      <c r="BH182" s="70"/>
      <c r="BI182" s="70"/>
      <c r="BJ182" s="70"/>
      <c r="BK182" s="70"/>
      <c r="BL182" s="70"/>
      <c r="BM182" s="70"/>
      <c r="BN182" s="70"/>
      <c r="BO182" s="70"/>
      <c r="BP182" s="70"/>
      <c r="BQ182" s="70"/>
      <c r="BR182" s="70"/>
      <c r="BS182" s="70"/>
      <c r="BT182" s="70"/>
      <c r="BU182" s="70"/>
      <c r="BV182" s="70"/>
      <c r="BW182" s="70"/>
      <c r="BX182" s="70"/>
      <c r="BY182" s="70"/>
      <c r="BZ182" s="70"/>
      <c r="CA182" s="70"/>
      <c r="CB182" s="70"/>
      <c r="CC182" s="70"/>
      <c r="CD182" s="70"/>
      <c r="CE182" s="70"/>
      <c r="CF182" s="70"/>
      <c r="CG182" s="70"/>
      <c r="CH182" s="70"/>
      <c r="CI182" s="70"/>
      <c r="CJ182" s="70"/>
      <c r="CK182" s="70"/>
      <c r="CL182" s="70"/>
      <c r="CM182" s="70"/>
    </row>
    <row r="183" spans="22:91" ht="12.75" x14ac:dyDescent="0.2">
      <c r="W183" s="130" t="s">
        <v>248</v>
      </c>
      <c r="X183" s="34">
        <v>0.39</v>
      </c>
      <c r="Y183" s="35">
        <f>X183-Z183</f>
        <v>2.8503617902637834E-2</v>
      </c>
      <c r="Z183" s="153">
        <v>0.36149638209736218</v>
      </c>
      <c r="BA183" s="70"/>
      <c r="BB183" s="70"/>
      <c r="BC183" s="70"/>
      <c r="BD183" s="70"/>
      <c r="BE183" s="70"/>
      <c r="BF183" s="70"/>
      <c r="BG183" s="70"/>
      <c r="BH183" s="70"/>
      <c r="BI183" s="70"/>
      <c r="BJ183" s="70"/>
      <c r="BK183" s="70"/>
      <c r="BL183" s="70"/>
      <c r="BM183" s="70"/>
      <c r="BN183" s="70"/>
      <c r="BO183" s="70"/>
      <c r="BP183" s="70"/>
      <c r="BQ183" s="70"/>
      <c r="BR183" s="70"/>
      <c r="BS183" s="70"/>
      <c r="BT183" s="70"/>
      <c r="BU183" s="70"/>
      <c r="BV183" s="70"/>
      <c r="BW183" s="70"/>
      <c r="BX183" s="70"/>
      <c r="BY183" s="70"/>
      <c r="BZ183" s="70"/>
      <c r="CA183" s="70"/>
      <c r="CB183" s="70"/>
      <c r="CC183" s="70"/>
      <c r="CD183" s="70"/>
      <c r="CE183" s="70"/>
      <c r="CF183" s="70"/>
      <c r="CG183" s="70"/>
      <c r="CH183" s="70"/>
      <c r="CI183" s="70"/>
      <c r="CJ183" s="70"/>
      <c r="CK183" s="70"/>
      <c r="CL183" s="70"/>
      <c r="CM183" s="70"/>
    </row>
    <row r="184" spans="22:91" ht="12.75" x14ac:dyDescent="0.2">
      <c r="V184" s="83"/>
      <c r="W184" s="158"/>
      <c r="X184" s="79"/>
      <c r="Y184" s="79"/>
      <c r="Z184" s="156"/>
      <c r="BA184" s="70"/>
      <c r="BB184" s="70"/>
      <c r="BC184" s="70"/>
      <c r="BD184" s="70"/>
      <c r="BE184" s="70"/>
      <c r="BF184" s="70"/>
      <c r="BG184" s="70"/>
      <c r="BH184" s="70"/>
      <c r="BI184" s="70"/>
      <c r="BJ184" s="70"/>
      <c r="BK184" s="70"/>
      <c r="BL184" s="70"/>
      <c r="BM184" s="70"/>
      <c r="BN184" s="70"/>
      <c r="BO184" s="70"/>
      <c r="BP184" s="70"/>
      <c r="BQ184" s="70"/>
      <c r="BR184" s="70"/>
      <c r="BS184" s="70"/>
      <c r="BT184" s="70"/>
      <c r="BU184" s="70"/>
      <c r="BV184" s="70"/>
      <c r="BW184" s="70"/>
      <c r="BX184" s="70"/>
      <c r="BY184" s="70"/>
      <c r="BZ184" s="70"/>
      <c r="CA184" s="70"/>
      <c r="CB184" s="70"/>
      <c r="CC184" s="70"/>
      <c r="CD184" s="70"/>
      <c r="CE184" s="70"/>
      <c r="CF184" s="70"/>
      <c r="CG184" s="70"/>
      <c r="CH184" s="70"/>
      <c r="CI184" s="70"/>
      <c r="CJ184" s="70"/>
      <c r="CK184" s="70"/>
      <c r="CL184" s="70"/>
      <c r="CM184" s="70"/>
    </row>
    <row r="185" spans="22:91" ht="12.75" x14ac:dyDescent="0.2">
      <c r="W185" s="43"/>
      <c r="BA185" s="70"/>
      <c r="BB185" s="70"/>
      <c r="BC185" s="70"/>
      <c r="BD185" s="70"/>
      <c r="BE185" s="70"/>
      <c r="BF185" s="70"/>
      <c r="BG185" s="70"/>
      <c r="BH185" s="70"/>
      <c r="BI185" s="70"/>
      <c r="BJ185" s="70"/>
      <c r="BK185" s="70"/>
      <c r="BL185" s="70"/>
      <c r="BM185" s="70"/>
      <c r="BN185" s="70"/>
      <c r="BO185" s="70"/>
      <c r="BP185" s="70"/>
      <c r="BQ185" s="70"/>
      <c r="BR185" s="70"/>
      <c r="BS185" s="70"/>
      <c r="BT185" s="70"/>
      <c r="BU185" s="70"/>
      <c r="BV185" s="70"/>
      <c r="BW185" s="70"/>
      <c r="BX185" s="70"/>
      <c r="BY185" s="70"/>
      <c r="BZ185" s="70"/>
      <c r="CA185" s="70"/>
      <c r="CB185" s="70"/>
      <c r="CC185" s="70"/>
      <c r="CD185" s="70"/>
      <c r="CE185" s="70"/>
      <c r="CF185" s="70"/>
      <c r="CG185" s="70"/>
      <c r="CH185" s="70"/>
      <c r="CI185" s="70"/>
      <c r="CJ185" s="70"/>
      <c r="CK185" s="70"/>
      <c r="CL185" s="70"/>
      <c r="CM185" s="70"/>
    </row>
    <row r="186" spans="22:91" ht="12.75" x14ac:dyDescent="0.2">
      <c r="W186" s="135" t="s">
        <v>1259</v>
      </c>
      <c r="BA186" s="70"/>
      <c r="BB186" s="70"/>
      <c r="BC186" s="70"/>
      <c r="BD186" s="70"/>
      <c r="BE186" s="70"/>
      <c r="BF186" s="70"/>
      <c r="BG186" s="70"/>
      <c r="BH186" s="70"/>
      <c r="BI186" s="70"/>
      <c r="BJ186" s="70"/>
      <c r="BK186" s="70"/>
      <c r="BL186" s="70"/>
      <c r="BM186" s="70"/>
      <c r="BN186" s="70"/>
      <c r="BO186" s="70"/>
      <c r="BP186" s="70"/>
      <c r="BQ186" s="70"/>
      <c r="BR186" s="70"/>
      <c r="BS186" s="70"/>
      <c r="BT186" s="70"/>
      <c r="BU186" s="70"/>
      <c r="BV186" s="70"/>
      <c r="BW186" s="70"/>
      <c r="BX186" s="70"/>
      <c r="BY186" s="70"/>
      <c r="BZ186" s="70"/>
      <c r="CA186" s="70"/>
      <c r="CB186" s="70"/>
      <c r="CC186" s="70"/>
      <c r="CD186" s="70"/>
      <c r="CE186" s="70"/>
      <c r="CF186" s="70"/>
      <c r="CG186" s="70"/>
      <c r="CH186" s="70"/>
      <c r="CI186" s="70"/>
      <c r="CJ186" s="70"/>
      <c r="CK186" s="70"/>
      <c r="CL186" s="70"/>
      <c r="CM186" s="70"/>
    </row>
    <row r="187" spans="22:91" ht="12.75" x14ac:dyDescent="0.2">
      <c r="W187" s="89" t="s">
        <v>1260</v>
      </c>
      <c r="X187" s="151" t="s">
        <v>639</v>
      </c>
      <c r="Y187" s="136" t="s">
        <v>853</v>
      </c>
      <c r="Z187" s="136" t="s">
        <v>241</v>
      </c>
      <c r="BA187" s="70"/>
      <c r="BB187" s="70"/>
      <c r="BC187" s="70"/>
      <c r="BD187" s="70"/>
      <c r="BE187" s="70"/>
      <c r="BF187" s="70"/>
      <c r="BG187" s="70"/>
      <c r="BH187" s="70"/>
      <c r="BI187" s="70"/>
      <c r="BJ187" s="70"/>
      <c r="BK187" s="70"/>
      <c r="BL187" s="70"/>
      <c r="BM187" s="70"/>
      <c r="BN187" s="70"/>
      <c r="BO187" s="70"/>
      <c r="BP187" s="70"/>
      <c r="BQ187" s="70"/>
      <c r="BR187" s="70"/>
      <c r="BS187" s="70"/>
      <c r="BT187" s="70"/>
      <c r="BU187" s="70"/>
      <c r="BV187" s="70"/>
      <c r="BW187" s="70"/>
      <c r="BX187" s="70"/>
      <c r="BY187" s="70"/>
      <c r="BZ187" s="70"/>
      <c r="CA187" s="70"/>
      <c r="CB187" s="70"/>
      <c r="CC187" s="70"/>
      <c r="CD187" s="70"/>
      <c r="CE187" s="70"/>
      <c r="CF187" s="70"/>
      <c r="CG187" s="70"/>
      <c r="CH187" s="70"/>
      <c r="CI187" s="70"/>
      <c r="CJ187" s="70"/>
      <c r="CK187" s="70"/>
      <c r="CL187" s="70"/>
      <c r="CM187" s="70"/>
    </row>
    <row r="188" spans="22:91" ht="12.75" x14ac:dyDescent="0.2">
      <c r="W188" s="152" t="s">
        <v>245</v>
      </c>
      <c r="X188" s="47">
        <v>389</v>
      </c>
      <c r="Y188" s="63">
        <f>X188-Z188</f>
        <v>7.9347384812385258</v>
      </c>
      <c r="Z188" s="139">
        <v>381.06526151876147</v>
      </c>
      <c r="BA188" s="70"/>
      <c r="BB188" s="70"/>
      <c r="BC188" s="70"/>
      <c r="BD188" s="70"/>
      <c r="BE188" s="70"/>
      <c r="BF188" s="70"/>
      <c r="BG188" s="70"/>
      <c r="BH188" s="70"/>
      <c r="BI188" s="70"/>
      <c r="BJ188" s="70"/>
      <c r="BK188" s="70"/>
      <c r="BL188" s="70"/>
      <c r="BM188" s="70"/>
      <c r="BN188" s="70"/>
      <c r="BO188" s="70"/>
      <c r="BP188" s="70"/>
      <c r="BQ188" s="70"/>
      <c r="BR188" s="70"/>
      <c r="BS188" s="70"/>
      <c r="BT188" s="70"/>
      <c r="BU188" s="70"/>
      <c r="BV188" s="70"/>
      <c r="BW188" s="70"/>
      <c r="BX188" s="70"/>
      <c r="BY188" s="70"/>
      <c r="BZ188" s="70"/>
      <c r="CA188" s="70"/>
      <c r="CB188" s="70"/>
      <c r="CC188" s="70"/>
      <c r="CD188" s="70"/>
      <c r="CE188" s="70"/>
      <c r="CF188" s="70"/>
      <c r="CG188" s="70"/>
      <c r="CH188" s="70"/>
      <c r="CI188" s="70"/>
      <c r="CJ188" s="70"/>
      <c r="CK188" s="70"/>
      <c r="CL188" s="70"/>
      <c r="CM188" s="70"/>
    </row>
    <row r="189" spans="22:91" ht="12.75" x14ac:dyDescent="0.2">
      <c r="W189" s="130" t="s">
        <v>246</v>
      </c>
      <c r="X189" s="49">
        <v>342</v>
      </c>
      <c r="Y189" s="10">
        <f>X189-Z189</f>
        <v>12.809654673657576</v>
      </c>
      <c r="Z189" s="140">
        <v>329.19034532634242</v>
      </c>
      <c r="BA189" s="70"/>
      <c r="BB189" s="70"/>
      <c r="BC189" s="70"/>
      <c r="BD189" s="70"/>
      <c r="BE189" s="70"/>
      <c r="BF189" s="70"/>
      <c r="BG189" s="70"/>
      <c r="BH189" s="70"/>
      <c r="BI189" s="70"/>
      <c r="BJ189" s="70"/>
      <c r="BK189" s="70"/>
      <c r="BL189" s="70"/>
      <c r="BM189" s="70"/>
      <c r="BN189" s="70"/>
      <c r="BO189" s="70"/>
      <c r="BP189" s="70"/>
      <c r="BQ189" s="70"/>
      <c r="BR189" s="70"/>
      <c r="BS189" s="70"/>
      <c r="BT189" s="70"/>
      <c r="BU189" s="70"/>
      <c r="BV189" s="70"/>
      <c r="BW189" s="70"/>
      <c r="BX189" s="70"/>
      <c r="BY189" s="70"/>
      <c r="BZ189" s="70"/>
      <c r="CA189" s="70"/>
      <c r="CB189" s="70"/>
      <c r="CC189" s="70"/>
      <c r="CD189" s="70"/>
      <c r="CE189" s="70"/>
      <c r="CF189" s="70"/>
      <c r="CG189" s="70"/>
      <c r="CH189" s="70"/>
      <c r="CI189" s="70"/>
      <c r="CJ189" s="70"/>
      <c r="CK189" s="70"/>
      <c r="CL189" s="70"/>
      <c r="CM189" s="70"/>
    </row>
    <row r="190" spans="22:91" ht="12.75" x14ac:dyDescent="0.2">
      <c r="W190" s="130" t="s">
        <v>576</v>
      </c>
      <c r="X190" s="49">
        <v>372</v>
      </c>
      <c r="Y190" s="10">
        <f>X190-Z190</f>
        <v>-62.253288000000055</v>
      </c>
      <c r="Z190" s="140">
        <v>434.25328800000005</v>
      </c>
      <c r="BA190" s="70"/>
      <c r="BB190" s="70"/>
      <c r="BC190" s="70"/>
      <c r="BD190" s="70"/>
      <c r="BE190" s="70"/>
      <c r="BF190" s="70"/>
      <c r="BG190" s="70"/>
      <c r="BH190" s="70"/>
      <c r="BI190" s="70"/>
      <c r="BJ190" s="70"/>
      <c r="BK190" s="70"/>
      <c r="BL190" s="70"/>
      <c r="BM190" s="70"/>
      <c r="BN190" s="70"/>
      <c r="BO190" s="70"/>
      <c r="BP190" s="70"/>
      <c r="BQ190" s="70"/>
      <c r="BR190" s="70"/>
      <c r="BS190" s="70"/>
      <c r="BT190" s="70"/>
      <c r="BU190" s="70"/>
      <c r="BV190" s="70"/>
      <c r="BW190" s="70"/>
      <c r="BX190" s="70"/>
      <c r="BY190" s="70"/>
      <c r="BZ190" s="70"/>
      <c r="CA190" s="70"/>
      <c r="CB190" s="70"/>
      <c r="CC190" s="70"/>
      <c r="CD190" s="70"/>
      <c r="CE190" s="70"/>
      <c r="CF190" s="70"/>
      <c r="CG190" s="70"/>
      <c r="CH190" s="70"/>
      <c r="CI190" s="70"/>
      <c r="CJ190" s="70"/>
      <c r="CK190" s="70"/>
      <c r="CL190" s="70"/>
      <c r="CM190" s="70"/>
    </row>
    <row r="191" spans="22:91" ht="12.75" x14ac:dyDescent="0.2">
      <c r="W191" s="43"/>
      <c r="X191" s="69" t="s">
        <v>1328</v>
      </c>
      <c r="Y191" s="10" t="s">
        <v>1328</v>
      </c>
      <c r="Z191" s="140" t="s">
        <v>1328</v>
      </c>
      <c r="BA191" s="70"/>
      <c r="BB191" s="70"/>
      <c r="BC191" s="70"/>
      <c r="BD191" s="70"/>
      <c r="BE191" s="70"/>
      <c r="BF191" s="70"/>
      <c r="BG191" s="70"/>
      <c r="BH191" s="70"/>
      <c r="BI191" s="70"/>
      <c r="BJ191" s="70"/>
      <c r="BK191" s="70"/>
      <c r="BL191" s="70"/>
      <c r="BM191" s="70"/>
      <c r="BN191" s="70"/>
      <c r="BO191" s="70"/>
      <c r="BP191" s="70"/>
      <c r="BQ191" s="70"/>
      <c r="BR191" s="70"/>
      <c r="BS191" s="70"/>
      <c r="BT191" s="70"/>
      <c r="BU191" s="70"/>
      <c r="BV191" s="70"/>
      <c r="BW191" s="70"/>
      <c r="BX191" s="70"/>
      <c r="BY191" s="70"/>
      <c r="BZ191" s="70"/>
      <c r="CA191" s="70"/>
      <c r="CB191" s="70"/>
      <c r="CC191" s="70"/>
      <c r="CD191" s="70"/>
      <c r="CE191" s="70"/>
      <c r="CF191" s="70"/>
      <c r="CG191" s="70"/>
      <c r="CH191" s="70"/>
      <c r="CI191" s="70"/>
      <c r="CJ191" s="70"/>
      <c r="CK191" s="70"/>
      <c r="CL191" s="70"/>
      <c r="CM191" s="70"/>
    </row>
    <row r="192" spans="22:91" ht="12.75" x14ac:dyDescent="0.2">
      <c r="W192" s="130" t="s">
        <v>1614</v>
      </c>
      <c r="X192" s="63">
        <f>SUM(X188:X190)</f>
        <v>1103</v>
      </c>
      <c r="Y192" s="63">
        <f>X192-Z192</f>
        <v>-41.508894845103896</v>
      </c>
      <c r="Z192" s="141">
        <v>1144.5088948451039</v>
      </c>
      <c r="BA192" s="70"/>
      <c r="BB192" s="70"/>
      <c r="BC192" s="70"/>
      <c r="BD192" s="70"/>
      <c r="BE192" s="70"/>
      <c r="BF192" s="70"/>
      <c r="BG192" s="70"/>
      <c r="BH192" s="70"/>
      <c r="BI192" s="70"/>
      <c r="BJ192" s="70"/>
      <c r="BK192" s="70"/>
      <c r="BL192" s="70"/>
      <c r="BM192" s="70"/>
      <c r="BN192" s="70"/>
      <c r="BO192" s="70"/>
      <c r="BP192" s="70"/>
      <c r="BQ192" s="70"/>
      <c r="BR192" s="70"/>
      <c r="BS192" s="70"/>
      <c r="BT192" s="70"/>
      <c r="BU192" s="70"/>
      <c r="BV192" s="70"/>
      <c r="BW192" s="70"/>
      <c r="BX192" s="70"/>
      <c r="BY192" s="70"/>
      <c r="BZ192" s="70"/>
      <c r="CA192" s="70"/>
      <c r="CB192" s="70"/>
      <c r="CC192" s="70"/>
      <c r="CD192" s="70"/>
      <c r="CE192" s="70"/>
      <c r="CF192" s="70"/>
      <c r="CG192" s="70"/>
      <c r="CH192" s="70"/>
      <c r="CI192" s="70"/>
      <c r="CJ192" s="70"/>
      <c r="CK192" s="70"/>
      <c r="CL192" s="70"/>
      <c r="CM192" s="70"/>
    </row>
    <row r="193" spans="23:91" ht="12.75" x14ac:dyDescent="0.2">
      <c r="W193" s="130" t="s">
        <v>1367</v>
      </c>
      <c r="X193" s="51"/>
      <c r="Y193" s="8"/>
      <c r="Z193" s="142">
        <v>8.8971355704190236E-2</v>
      </c>
      <c r="BA193" s="70"/>
      <c r="BB193" s="70"/>
      <c r="BC193" s="70"/>
      <c r="BD193" s="70"/>
      <c r="BE193" s="70"/>
      <c r="BF193" s="70"/>
      <c r="BG193" s="70"/>
      <c r="BH193" s="70"/>
      <c r="BI193" s="70"/>
      <c r="BJ193" s="70"/>
      <c r="BK193" s="70"/>
      <c r="BL193" s="70"/>
      <c r="BM193" s="70"/>
      <c r="BN193" s="70"/>
      <c r="BO193" s="70"/>
      <c r="BP193" s="70"/>
      <c r="BQ193" s="70"/>
      <c r="BR193" s="70"/>
      <c r="BS193" s="70"/>
      <c r="BT193" s="70"/>
      <c r="BU193" s="70"/>
      <c r="BV193" s="70"/>
      <c r="BW193" s="70"/>
      <c r="BX193" s="70"/>
      <c r="BY193" s="70"/>
      <c r="BZ193" s="70"/>
      <c r="CA193" s="70"/>
      <c r="CB193" s="70"/>
      <c r="CC193" s="70"/>
      <c r="CD193" s="70"/>
      <c r="CE193" s="70"/>
      <c r="CF193" s="70"/>
      <c r="CG193" s="70"/>
      <c r="CH193" s="70"/>
      <c r="CI193" s="70"/>
      <c r="CJ193" s="70"/>
      <c r="CK193" s="70"/>
      <c r="CL193" s="70"/>
      <c r="CM193" s="70"/>
    </row>
    <row r="194" spans="23:91" ht="12.75" x14ac:dyDescent="0.2">
      <c r="BA194" s="70"/>
      <c r="BB194" s="70"/>
      <c r="BC194" s="70"/>
      <c r="BD194" s="70"/>
      <c r="BE194" s="70"/>
      <c r="BF194" s="70"/>
      <c r="BG194" s="70"/>
      <c r="BH194" s="70"/>
      <c r="BI194" s="70"/>
      <c r="BJ194" s="70"/>
      <c r="BK194" s="70"/>
      <c r="BL194" s="70"/>
      <c r="BM194" s="70"/>
      <c r="BN194" s="70"/>
      <c r="BO194" s="70"/>
      <c r="BP194" s="70"/>
      <c r="BQ194" s="70"/>
      <c r="BR194" s="70"/>
      <c r="BS194" s="70"/>
      <c r="BT194" s="70"/>
      <c r="BU194" s="70"/>
      <c r="BV194" s="70"/>
      <c r="BW194" s="70"/>
      <c r="BX194" s="70"/>
      <c r="BY194" s="70"/>
      <c r="BZ194" s="70"/>
      <c r="CA194" s="70"/>
      <c r="CB194" s="70"/>
      <c r="CC194" s="70"/>
      <c r="CD194" s="70"/>
      <c r="CE194" s="70"/>
      <c r="CF194" s="70"/>
      <c r="CG194" s="70"/>
      <c r="CH194" s="70"/>
      <c r="CI194" s="70"/>
      <c r="CJ194" s="70"/>
      <c r="CK194" s="70"/>
      <c r="CL194" s="70"/>
      <c r="CM194" s="70"/>
    </row>
    <row r="195" spans="23:91" ht="12.75" x14ac:dyDescent="0.2">
      <c r="W195" s="130" t="s">
        <v>247</v>
      </c>
      <c r="X195" s="47">
        <v>233</v>
      </c>
      <c r="Y195" s="63">
        <f>X195-Z195</f>
        <v>-16.944124604091286</v>
      </c>
      <c r="Z195" s="141">
        <v>249.94412460409129</v>
      </c>
      <c r="BA195" s="70"/>
      <c r="BB195" s="70"/>
      <c r="BC195" s="70"/>
      <c r="BD195" s="70"/>
      <c r="BE195" s="70"/>
      <c r="BF195" s="70"/>
      <c r="BG195" s="70"/>
      <c r="BH195" s="70"/>
      <c r="BI195" s="70"/>
      <c r="BJ195" s="70"/>
      <c r="BK195" s="70"/>
      <c r="BL195" s="70"/>
      <c r="BM195" s="70"/>
      <c r="BN195" s="70"/>
      <c r="BO195" s="70"/>
      <c r="BP195" s="70"/>
      <c r="BQ195" s="70"/>
      <c r="BR195" s="70"/>
      <c r="BS195" s="70"/>
      <c r="BT195" s="70"/>
      <c r="BU195" s="70"/>
      <c r="BV195" s="70"/>
      <c r="BW195" s="70"/>
      <c r="BX195" s="70"/>
      <c r="BY195" s="70"/>
      <c r="BZ195" s="70"/>
      <c r="CA195" s="70"/>
      <c r="CB195" s="70"/>
      <c r="CC195" s="70"/>
      <c r="CD195" s="70"/>
      <c r="CE195" s="70"/>
      <c r="CF195" s="70"/>
      <c r="CG195" s="70"/>
      <c r="CH195" s="70"/>
      <c r="CI195" s="70"/>
      <c r="CJ195" s="70"/>
      <c r="CK195" s="70"/>
      <c r="CL195" s="70"/>
      <c r="CM195" s="70"/>
    </row>
    <row r="196" spans="23:91" ht="12.75" x14ac:dyDescent="0.2">
      <c r="W196" s="43"/>
      <c r="X196" s="8"/>
      <c r="Z196" s="8"/>
      <c r="BA196" s="70"/>
      <c r="BB196" s="70"/>
      <c r="BC196" s="70"/>
      <c r="BD196" s="70"/>
      <c r="BE196" s="70"/>
      <c r="BF196" s="70"/>
      <c r="BG196" s="70"/>
      <c r="BH196" s="70"/>
      <c r="BI196" s="70"/>
      <c r="BJ196" s="70"/>
      <c r="BK196" s="70"/>
      <c r="BL196" s="70"/>
      <c r="BM196" s="70"/>
      <c r="BN196" s="70"/>
      <c r="BO196" s="70"/>
      <c r="BP196" s="70"/>
      <c r="BQ196" s="70"/>
      <c r="BR196" s="70"/>
      <c r="BS196" s="70"/>
      <c r="BT196" s="70"/>
      <c r="BU196" s="70"/>
      <c r="BV196" s="70"/>
      <c r="BW196" s="70"/>
      <c r="BX196" s="70"/>
      <c r="BY196" s="70"/>
      <c r="BZ196" s="70"/>
      <c r="CA196" s="70"/>
      <c r="CB196" s="70"/>
      <c r="CC196" s="70"/>
      <c r="CD196" s="70"/>
      <c r="CE196" s="70"/>
      <c r="CF196" s="70"/>
      <c r="CG196" s="70"/>
      <c r="CH196" s="70"/>
      <c r="CI196" s="70"/>
      <c r="CJ196" s="70"/>
      <c r="CK196" s="70"/>
      <c r="CL196" s="70"/>
      <c r="CM196" s="70"/>
    </row>
    <row r="197" spans="23:91" ht="12.75" x14ac:dyDescent="0.2">
      <c r="W197" s="130" t="s">
        <v>248</v>
      </c>
      <c r="X197" s="34">
        <v>0.39</v>
      </c>
      <c r="Y197" s="35">
        <f>X197-Z197</f>
        <v>2.8503617902637834E-2</v>
      </c>
      <c r="Z197" s="153">
        <v>0.36149638209736218</v>
      </c>
      <c r="BA197" s="70"/>
      <c r="BB197" s="70"/>
      <c r="BC197" s="70"/>
      <c r="BD197" s="70"/>
      <c r="BE197" s="70"/>
      <c r="BF197" s="70"/>
      <c r="BG197" s="70"/>
      <c r="BH197" s="70"/>
      <c r="BI197" s="70"/>
      <c r="BJ197" s="70"/>
      <c r="BK197" s="70"/>
      <c r="BL197" s="70"/>
      <c r="BM197" s="70"/>
      <c r="BN197" s="70"/>
      <c r="BO197" s="70"/>
      <c r="BP197" s="70"/>
      <c r="BQ197" s="70"/>
      <c r="BR197" s="70"/>
      <c r="BS197" s="70"/>
      <c r="BT197" s="70"/>
      <c r="BU197" s="70"/>
      <c r="BV197" s="70"/>
      <c r="BW197" s="70"/>
      <c r="BX197" s="70"/>
      <c r="BY197" s="70"/>
      <c r="BZ197" s="70"/>
      <c r="CA197" s="70"/>
      <c r="CB197" s="70"/>
      <c r="CC197" s="70"/>
      <c r="CD197" s="70"/>
      <c r="CE197" s="70"/>
      <c r="CF197" s="70"/>
      <c r="CG197" s="70"/>
      <c r="CH197" s="70"/>
      <c r="CI197" s="70"/>
      <c r="CJ197" s="70"/>
      <c r="CK197" s="70"/>
      <c r="CL197" s="70"/>
      <c r="CM197" s="70"/>
    </row>
    <row r="198" spans="23:91" ht="12.75" x14ac:dyDescent="0.2">
      <c r="W198" s="158"/>
      <c r="X198" s="79"/>
      <c r="Y198" s="79"/>
      <c r="Z198" s="156"/>
      <c r="BA198" s="70"/>
      <c r="BB198" s="70"/>
      <c r="BC198" s="70"/>
      <c r="BD198" s="70"/>
      <c r="BE198" s="70"/>
      <c r="BF198" s="70"/>
      <c r="BG198" s="70"/>
      <c r="BH198" s="70"/>
      <c r="BI198" s="70"/>
      <c r="BJ198" s="70"/>
      <c r="BK198" s="70"/>
      <c r="BL198" s="70"/>
      <c r="BM198" s="70"/>
      <c r="BN198" s="70"/>
      <c r="BO198" s="70"/>
      <c r="BP198" s="70"/>
      <c r="BQ198" s="70"/>
      <c r="BR198" s="70"/>
      <c r="BS198" s="70"/>
      <c r="BT198" s="70"/>
      <c r="BU198" s="70"/>
      <c r="BV198" s="70"/>
      <c r="BW198" s="70"/>
      <c r="BX198" s="70"/>
      <c r="BY198" s="70"/>
      <c r="BZ198" s="70"/>
      <c r="CA198" s="70"/>
      <c r="CB198" s="70"/>
      <c r="CC198" s="70"/>
      <c r="CD198" s="70"/>
      <c r="CE198" s="70"/>
      <c r="CF198" s="70"/>
      <c r="CG198" s="70"/>
      <c r="CH198" s="70"/>
      <c r="CI198" s="70"/>
      <c r="CJ198" s="70"/>
      <c r="CK198" s="70"/>
      <c r="CL198" s="70"/>
      <c r="CM198" s="70"/>
    </row>
    <row r="199" spans="23:91" ht="12.75" x14ac:dyDescent="0.2">
      <c r="W199" s="43"/>
      <c r="BA199" s="70"/>
      <c r="BB199" s="70"/>
      <c r="BC199" s="70"/>
      <c r="BD199" s="70"/>
      <c r="BE199" s="70"/>
      <c r="BF199" s="70"/>
      <c r="BG199" s="70"/>
      <c r="BH199" s="70"/>
      <c r="BI199" s="70"/>
      <c r="BJ199" s="70"/>
      <c r="BK199" s="70"/>
      <c r="BL199" s="70"/>
      <c r="BM199" s="70"/>
      <c r="BN199" s="70"/>
      <c r="BO199" s="70"/>
      <c r="BP199" s="70"/>
      <c r="BQ199" s="70"/>
      <c r="BR199" s="70"/>
      <c r="BS199" s="70"/>
      <c r="BT199" s="70"/>
      <c r="BU199" s="70"/>
      <c r="BV199" s="70"/>
      <c r="BW199" s="70"/>
      <c r="BX199" s="70"/>
      <c r="BY199" s="70"/>
      <c r="BZ199" s="70"/>
      <c r="CA199" s="70"/>
      <c r="CB199" s="70"/>
      <c r="CC199" s="70"/>
      <c r="CD199" s="70"/>
      <c r="CE199" s="70"/>
      <c r="CF199" s="70"/>
      <c r="CG199" s="70"/>
      <c r="CH199" s="70"/>
      <c r="CI199" s="70"/>
      <c r="CJ199" s="70"/>
      <c r="CK199" s="70"/>
      <c r="CL199" s="70"/>
      <c r="CM199" s="70"/>
    </row>
    <row r="200" spans="23:91" ht="12.75" x14ac:dyDescent="0.2">
      <c r="W200" s="43"/>
      <c r="BA200" s="70"/>
      <c r="BB200" s="70"/>
      <c r="BC200" s="70"/>
      <c r="BD200" s="70"/>
      <c r="BE200" s="70"/>
      <c r="BF200" s="70"/>
      <c r="BG200" s="70"/>
      <c r="BH200" s="70"/>
      <c r="BI200" s="70"/>
      <c r="BJ200" s="70"/>
      <c r="BK200" s="70"/>
      <c r="BL200" s="70"/>
      <c r="BM200" s="70"/>
      <c r="BN200" s="70"/>
      <c r="BO200" s="70"/>
      <c r="BP200" s="70"/>
      <c r="BQ200" s="70"/>
      <c r="BR200" s="70"/>
      <c r="BS200" s="70"/>
      <c r="BT200" s="70"/>
      <c r="BU200" s="70"/>
      <c r="BV200" s="70"/>
      <c r="BW200" s="70"/>
      <c r="BX200" s="70"/>
      <c r="BY200" s="70"/>
      <c r="BZ200" s="70"/>
      <c r="CA200" s="70"/>
      <c r="CB200" s="70"/>
      <c r="CC200" s="70"/>
      <c r="CD200" s="70"/>
      <c r="CE200" s="70"/>
      <c r="CF200" s="70"/>
      <c r="CG200" s="70"/>
      <c r="CH200" s="70"/>
      <c r="CI200" s="70"/>
      <c r="CJ200" s="70"/>
      <c r="CK200" s="70"/>
      <c r="CL200" s="70"/>
      <c r="CM200" s="70"/>
    </row>
    <row r="201" spans="23:91" ht="12.75" x14ac:dyDescent="0.2">
      <c r="BA201" s="70"/>
      <c r="BB201" s="70"/>
      <c r="BC201" s="70"/>
      <c r="BD201" s="70"/>
      <c r="BE201" s="70"/>
      <c r="BF201" s="70"/>
      <c r="BG201" s="70"/>
      <c r="BH201" s="70"/>
      <c r="BI201" s="70"/>
      <c r="BJ201" s="70"/>
      <c r="BK201" s="70"/>
      <c r="BL201" s="70"/>
      <c r="BM201" s="70"/>
      <c r="BN201" s="70"/>
      <c r="BO201" s="70"/>
      <c r="BP201" s="70"/>
      <c r="BQ201" s="70"/>
      <c r="BR201" s="70"/>
      <c r="BS201" s="70"/>
      <c r="BT201" s="70"/>
      <c r="BU201" s="70"/>
      <c r="BV201" s="70"/>
      <c r="BW201" s="70"/>
      <c r="BX201" s="70"/>
      <c r="BY201" s="70"/>
      <c r="BZ201" s="70"/>
      <c r="CA201" s="70"/>
      <c r="CB201" s="70"/>
      <c r="CC201" s="70"/>
      <c r="CD201" s="70"/>
      <c r="CE201" s="70"/>
      <c r="CF201" s="70"/>
      <c r="CG201" s="70"/>
      <c r="CH201" s="70"/>
      <c r="CI201" s="70"/>
      <c r="CJ201" s="70"/>
      <c r="CK201" s="70"/>
      <c r="CL201" s="70"/>
      <c r="CM201" s="70"/>
    </row>
    <row r="202" spans="23:91" ht="12.75" x14ac:dyDescent="0.2">
      <c r="BA202" s="70"/>
      <c r="BB202" s="70"/>
      <c r="BC202" s="70"/>
      <c r="BD202" s="70"/>
      <c r="BE202" s="70"/>
      <c r="BF202" s="70"/>
      <c r="BG202" s="70"/>
      <c r="BH202" s="70"/>
      <c r="BI202" s="70"/>
      <c r="BJ202" s="70"/>
      <c r="BK202" s="70"/>
      <c r="BL202" s="70"/>
      <c r="BM202" s="70"/>
      <c r="BN202" s="70"/>
      <c r="BO202" s="70"/>
      <c r="BP202" s="70"/>
      <c r="BQ202" s="70"/>
      <c r="BR202" s="70"/>
      <c r="BS202" s="70"/>
      <c r="BT202" s="70"/>
      <c r="BU202" s="70"/>
      <c r="BV202" s="70"/>
      <c r="BW202" s="70"/>
      <c r="BX202" s="70"/>
      <c r="BY202" s="70"/>
      <c r="BZ202" s="70"/>
      <c r="CA202" s="70"/>
      <c r="CB202" s="70"/>
      <c r="CC202" s="70"/>
      <c r="CD202" s="70"/>
      <c r="CE202" s="70"/>
      <c r="CF202" s="70"/>
      <c r="CG202" s="70"/>
      <c r="CH202" s="70"/>
      <c r="CI202" s="70"/>
      <c r="CJ202" s="70"/>
      <c r="CK202" s="70"/>
      <c r="CL202" s="70"/>
      <c r="CM202" s="70"/>
    </row>
    <row r="203" spans="23:91" ht="12.75" x14ac:dyDescent="0.2">
      <c r="AB203" s="147" t="s">
        <v>249</v>
      </c>
      <c r="BA203" s="70"/>
      <c r="BB203" s="70"/>
      <c r="BC203" s="70"/>
      <c r="BD203" s="70"/>
      <c r="BE203" s="70"/>
      <c r="BF203" s="70"/>
      <c r="BG203" s="70"/>
      <c r="BH203" s="70"/>
      <c r="BI203" s="70"/>
      <c r="BJ203" s="70"/>
      <c r="BK203" s="70"/>
      <c r="BL203" s="70"/>
      <c r="BM203" s="70"/>
      <c r="BN203" s="70"/>
      <c r="BO203" s="70"/>
      <c r="BP203" s="70"/>
      <c r="BQ203" s="70"/>
      <c r="BR203" s="70"/>
      <c r="BS203" s="70"/>
      <c r="BT203" s="70"/>
      <c r="BU203" s="70"/>
      <c r="BV203" s="70"/>
      <c r="BW203" s="70"/>
      <c r="BX203" s="70"/>
      <c r="BY203" s="70"/>
      <c r="BZ203" s="70"/>
      <c r="CA203" s="70"/>
      <c r="CB203" s="70"/>
      <c r="CC203" s="70"/>
      <c r="CD203" s="70"/>
      <c r="CE203" s="70"/>
      <c r="CF203" s="70"/>
      <c r="CG203" s="70"/>
      <c r="CH203" s="70"/>
      <c r="CI203" s="70"/>
      <c r="CJ203" s="70"/>
      <c r="CK203" s="70"/>
      <c r="CL203" s="70"/>
      <c r="CM203" s="70"/>
    </row>
    <row r="204" spans="23:91" ht="12.75" x14ac:dyDescent="0.2">
      <c r="AB204" s="148" t="s">
        <v>250</v>
      </c>
      <c r="AC204" s="25" t="s">
        <v>845</v>
      </c>
      <c r="AD204" s="26" t="s">
        <v>846</v>
      </c>
      <c r="AE204" s="143" t="s">
        <v>848</v>
      </c>
      <c r="AF204" s="143" t="s">
        <v>849</v>
      </c>
      <c r="AG204" s="143" t="s">
        <v>850</v>
      </c>
      <c r="BA204" s="70"/>
      <c r="BB204" s="70"/>
      <c r="BC204" s="70"/>
      <c r="BD204" s="70"/>
      <c r="BE204" s="70"/>
      <c r="BF204" s="70"/>
      <c r="BG204" s="70"/>
      <c r="BH204" s="70"/>
      <c r="BI204" s="70"/>
      <c r="BJ204" s="70"/>
      <c r="BK204" s="70"/>
      <c r="BL204" s="70"/>
      <c r="BM204" s="70"/>
      <c r="BN204" s="70"/>
      <c r="BO204" s="70"/>
      <c r="BP204" s="70"/>
      <c r="BQ204" s="70"/>
      <c r="BR204" s="70"/>
      <c r="BS204" s="70"/>
      <c r="BT204" s="70"/>
      <c r="BU204" s="70"/>
      <c r="BV204" s="70"/>
      <c r="BW204" s="70"/>
      <c r="BX204" s="70"/>
      <c r="BY204" s="70"/>
      <c r="BZ204" s="70"/>
      <c r="CA204" s="70"/>
      <c r="CB204" s="70"/>
      <c r="CC204" s="70"/>
      <c r="CD204" s="70"/>
      <c r="CE204" s="70"/>
      <c r="CF204" s="70"/>
      <c r="CG204" s="70"/>
      <c r="CH204" s="70"/>
      <c r="CI204" s="70"/>
      <c r="CJ204" s="70"/>
      <c r="CK204" s="70"/>
      <c r="CL204" s="70"/>
      <c r="CM204" s="70"/>
    </row>
    <row r="205" spans="23:91" ht="12.75" x14ac:dyDescent="0.2">
      <c r="AB205" s="16" t="s">
        <v>373</v>
      </c>
      <c r="AC205" s="31" t="s">
        <v>251</v>
      </c>
      <c r="AD205" s="30" t="s">
        <v>252</v>
      </c>
      <c r="AE205" s="90" t="s">
        <v>253</v>
      </c>
      <c r="AF205" s="90" t="s">
        <v>254</v>
      </c>
      <c r="AG205" s="90" t="s">
        <v>254</v>
      </c>
      <c r="BA205" s="70"/>
      <c r="BB205" s="70"/>
      <c r="BC205" s="70"/>
      <c r="BD205" s="70"/>
      <c r="BE205" s="70"/>
      <c r="BF205" s="70"/>
      <c r="BG205" s="70"/>
      <c r="BH205" s="70"/>
      <c r="BI205" s="70"/>
      <c r="BJ205" s="70"/>
      <c r="BK205" s="70"/>
      <c r="BL205" s="70"/>
      <c r="BM205" s="70"/>
      <c r="BN205" s="70"/>
      <c r="BO205" s="70"/>
      <c r="BP205" s="70"/>
      <c r="BQ205" s="70"/>
      <c r="BR205" s="70"/>
      <c r="BS205" s="70"/>
      <c r="BT205" s="70"/>
      <c r="BU205" s="70"/>
      <c r="BV205" s="70"/>
      <c r="BW205" s="70"/>
      <c r="BX205" s="70"/>
      <c r="BY205" s="70"/>
      <c r="BZ205" s="70"/>
      <c r="CA205" s="70"/>
      <c r="CB205" s="70"/>
      <c r="CC205" s="70"/>
      <c r="CD205" s="70"/>
      <c r="CE205" s="70"/>
      <c r="CF205" s="70"/>
      <c r="CG205" s="70"/>
      <c r="CH205" s="70"/>
      <c r="CI205" s="70"/>
      <c r="CJ205" s="70"/>
      <c r="CK205" s="70"/>
      <c r="CL205" s="70"/>
      <c r="CM205" s="70"/>
    </row>
    <row r="206" spans="23:91" ht="12.75" x14ac:dyDescent="0.2">
      <c r="AB206" s="27" t="s">
        <v>458</v>
      </c>
      <c r="AC206" s="5"/>
      <c r="AD206" s="46"/>
      <c r="AE206" s="159"/>
      <c r="AF206" s="159"/>
      <c r="AG206" s="5"/>
      <c r="AH206" s="44"/>
      <c r="BA206" s="70"/>
      <c r="BB206" s="70"/>
      <c r="BC206" s="70"/>
      <c r="BD206" s="70"/>
      <c r="BE206" s="70"/>
      <c r="BF206" s="70"/>
      <c r="BG206" s="70"/>
      <c r="BH206" s="70"/>
      <c r="BI206" s="70"/>
      <c r="BJ206" s="70"/>
      <c r="BK206" s="70"/>
      <c r="BL206" s="70"/>
      <c r="BM206" s="70"/>
      <c r="BN206" s="70"/>
      <c r="BO206" s="70"/>
      <c r="BP206" s="70"/>
      <c r="BQ206" s="70"/>
      <c r="BR206" s="70"/>
      <c r="BS206" s="70"/>
      <c r="BT206" s="70"/>
      <c r="BU206" s="70"/>
      <c r="BV206" s="70"/>
      <c r="BW206" s="70"/>
      <c r="BX206" s="70"/>
      <c r="BY206" s="70"/>
      <c r="BZ206" s="70"/>
      <c r="CA206" s="70"/>
      <c r="CB206" s="70"/>
      <c r="CC206" s="70"/>
      <c r="CD206" s="70"/>
      <c r="CE206" s="70"/>
      <c r="CF206" s="70"/>
      <c r="CG206" s="70"/>
      <c r="CH206" s="70"/>
      <c r="CI206" s="70"/>
      <c r="CJ206" s="70"/>
      <c r="CK206" s="70"/>
      <c r="CL206" s="70"/>
      <c r="CM206" s="70"/>
    </row>
    <row r="207" spans="23:91" ht="12.75" x14ac:dyDescent="0.2">
      <c r="AB207" s="18" t="s">
        <v>1943</v>
      </c>
      <c r="AC207" s="23" t="s">
        <v>255</v>
      </c>
      <c r="AD207" s="19" t="s">
        <v>256</v>
      </c>
      <c r="AE207" s="144" t="s">
        <v>257</v>
      </c>
      <c r="AF207" s="144" t="s">
        <v>258</v>
      </c>
      <c r="AG207" s="144" t="s">
        <v>259</v>
      </c>
      <c r="BA207" s="70"/>
      <c r="BB207" s="70"/>
      <c r="BC207" s="70"/>
      <c r="BD207" s="70"/>
      <c r="BE207" s="70"/>
      <c r="BF207" s="70"/>
      <c r="BG207" s="70"/>
      <c r="BH207" s="70"/>
      <c r="BI207" s="70"/>
      <c r="BJ207" s="70"/>
      <c r="BK207" s="70"/>
      <c r="BL207" s="70"/>
      <c r="BM207" s="70"/>
      <c r="BN207" s="70"/>
      <c r="BO207" s="70"/>
      <c r="BP207" s="70"/>
      <c r="BQ207" s="70"/>
      <c r="BR207" s="70"/>
      <c r="BS207" s="70"/>
      <c r="BT207" s="70"/>
      <c r="BU207" s="70"/>
      <c r="BV207" s="70"/>
      <c r="BW207" s="70"/>
      <c r="BX207" s="70"/>
      <c r="BY207" s="70"/>
      <c r="BZ207" s="70"/>
      <c r="CA207" s="70"/>
      <c r="CB207" s="70"/>
      <c r="CC207" s="70"/>
      <c r="CD207" s="70"/>
      <c r="CE207" s="70"/>
      <c r="CF207" s="70"/>
      <c r="CG207" s="70"/>
      <c r="CH207" s="70"/>
      <c r="CI207" s="70"/>
      <c r="CJ207" s="70"/>
      <c r="CK207" s="70"/>
      <c r="CL207" s="70"/>
      <c r="CM207" s="70"/>
    </row>
    <row r="208" spans="23:91" ht="12.75" x14ac:dyDescent="0.2">
      <c r="AB208" s="27" t="s">
        <v>1942</v>
      </c>
      <c r="AC208" s="5"/>
      <c r="AD208" s="19" t="s">
        <v>260</v>
      </c>
      <c r="AE208" s="144" t="s">
        <v>261</v>
      </c>
      <c r="AF208" s="144" t="s">
        <v>262</v>
      </c>
      <c r="AG208" s="144" t="s">
        <v>263</v>
      </c>
      <c r="BA208" s="70"/>
      <c r="BB208" s="70"/>
      <c r="BC208" s="70"/>
      <c r="BD208" s="70"/>
      <c r="BE208" s="70"/>
      <c r="BF208" s="70"/>
      <c r="BG208" s="70"/>
      <c r="BH208" s="70"/>
      <c r="BI208" s="70"/>
      <c r="BJ208" s="70"/>
      <c r="BK208" s="70"/>
      <c r="BL208" s="70"/>
      <c r="BM208" s="70"/>
      <c r="BN208" s="70"/>
      <c r="BO208" s="70"/>
      <c r="BP208" s="70"/>
      <c r="BQ208" s="70"/>
      <c r="BR208" s="70"/>
      <c r="BS208" s="70"/>
      <c r="BT208" s="70"/>
      <c r="BU208" s="70"/>
      <c r="BV208" s="70"/>
      <c r="BW208" s="70"/>
      <c r="BX208" s="70"/>
      <c r="BY208" s="70"/>
      <c r="BZ208" s="70"/>
      <c r="CA208" s="70"/>
      <c r="CB208" s="70"/>
      <c r="CC208" s="70"/>
      <c r="CD208" s="70"/>
      <c r="CE208" s="70"/>
      <c r="CF208" s="70"/>
      <c r="CG208" s="70"/>
      <c r="CH208" s="70"/>
      <c r="CI208" s="70"/>
      <c r="CJ208" s="70"/>
      <c r="CK208" s="70"/>
      <c r="CL208" s="70"/>
      <c r="CM208" s="70"/>
    </row>
    <row r="209" spans="1:91" ht="12.75" x14ac:dyDescent="0.2">
      <c r="AB209" s="18" t="s">
        <v>264</v>
      </c>
      <c r="AC209" s="23" t="s">
        <v>265</v>
      </c>
      <c r="AD209" s="19" t="s">
        <v>1684</v>
      </c>
      <c r="AE209" s="144" t="s">
        <v>1685</v>
      </c>
      <c r="AF209" s="144" t="s">
        <v>1686</v>
      </c>
      <c r="AG209" s="144" t="s">
        <v>1687</v>
      </c>
      <c r="BA209" s="70"/>
      <c r="BB209" s="70"/>
      <c r="BC209" s="70"/>
      <c r="BD209" s="70"/>
      <c r="BE209" s="70"/>
      <c r="BF209" s="70"/>
      <c r="BG209" s="70"/>
      <c r="BH209" s="70"/>
      <c r="BI209" s="70"/>
      <c r="BJ209" s="70"/>
      <c r="BK209" s="70"/>
      <c r="BL209" s="70"/>
      <c r="BM209" s="70"/>
      <c r="BN209" s="70"/>
      <c r="BO209" s="70"/>
      <c r="BP209" s="70"/>
      <c r="BQ209" s="70"/>
      <c r="BR209" s="70"/>
      <c r="BS209" s="70"/>
      <c r="BT209" s="70"/>
      <c r="BU209" s="70"/>
      <c r="BV209" s="70"/>
      <c r="BW209" s="70"/>
      <c r="BX209" s="70"/>
      <c r="BY209" s="70"/>
      <c r="BZ209" s="70"/>
      <c r="CA209" s="70"/>
      <c r="CB209" s="70"/>
      <c r="CC209" s="70"/>
      <c r="CD209" s="70"/>
      <c r="CE209" s="70"/>
      <c r="CF209" s="70"/>
      <c r="CG209" s="70"/>
      <c r="CH209" s="70"/>
      <c r="CI209" s="70"/>
      <c r="CJ209" s="70"/>
      <c r="CK209" s="70"/>
      <c r="CL209" s="70"/>
      <c r="CM209" s="70"/>
    </row>
    <row r="210" spans="1:91" ht="12.75" x14ac:dyDescent="0.2">
      <c r="AB210" s="27" t="s">
        <v>14</v>
      </c>
      <c r="AC210" s="5"/>
      <c r="AD210" s="19" t="s">
        <v>1688</v>
      </c>
      <c r="AE210" s="144" t="s">
        <v>1689</v>
      </c>
      <c r="AF210" s="144" t="s">
        <v>1690</v>
      </c>
      <c r="AG210" s="5"/>
      <c r="AH210" s="44"/>
      <c r="BA210" s="70"/>
      <c r="BB210" s="70"/>
      <c r="BC210" s="70"/>
      <c r="BD210" s="70"/>
      <c r="BE210" s="70"/>
      <c r="BF210" s="70"/>
      <c r="BG210" s="70"/>
      <c r="BH210" s="70"/>
      <c r="BI210" s="70"/>
      <c r="BJ210" s="70"/>
      <c r="BK210" s="70"/>
      <c r="BL210" s="70"/>
      <c r="BM210" s="70"/>
      <c r="BN210" s="70"/>
      <c r="BO210" s="70"/>
      <c r="BP210" s="70"/>
      <c r="BQ210" s="70"/>
      <c r="BR210" s="70"/>
      <c r="BS210" s="70"/>
      <c r="BT210" s="70"/>
      <c r="BU210" s="70"/>
      <c r="BV210" s="70"/>
      <c r="BW210" s="70"/>
      <c r="BX210" s="70"/>
      <c r="BY210" s="70"/>
      <c r="BZ210" s="70"/>
      <c r="CA210" s="70"/>
      <c r="CB210" s="70"/>
      <c r="CC210" s="70"/>
      <c r="CD210" s="70"/>
      <c r="CE210" s="70"/>
      <c r="CF210" s="70"/>
      <c r="CG210" s="70"/>
      <c r="CH210" s="70"/>
      <c r="CI210" s="70"/>
      <c r="CJ210" s="70"/>
      <c r="CK210" s="70"/>
      <c r="CL210" s="70"/>
      <c r="CM210" s="70"/>
    </row>
    <row r="211" spans="1:91" ht="12.75" x14ac:dyDescent="0.2">
      <c r="AB211" s="18" t="s">
        <v>326</v>
      </c>
      <c r="AC211" s="13" t="s">
        <v>173</v>
      </c>
      <c r="AD211" s="33" t="s">
        <v>173</v>
      </c>
      <c r="AE211" s="50" t="s">
        <v>173</v>
      </c>
      <c r="AF211" s="50" t="s">
        <v>173</v>
      </c>
      <c r="AG211" s="145" t="s">
        <v>173</v>
      </c>
      <c r="BA211" s="70"/>
      <c r="BB211" s="70"/>
      <c r="BC211" s="70"/>
      <c r="BD211" s="70"/>
      <c r="BE211" s="70"/>
      <c r="BF211" s="70"/>
      <c r="BG211" s="70"/>
      <c r="BH211" s="70"/>
      <c r="BI211" s="70"/>
      <c r="BJ211" s="70"/>
      <c r="BK211" s="70"/>
      <c r="BL211" s="70"/>
      <c r="BM211" s="70"/>
      <c r="BN211" s="70"/>
      <c r="BO211" s="70"/>
      <c r="BP211" s="70"/>
      <c r="BQ211" s="70"/>
      <c r="BR211" s="70"/>
      <c r="BS211" s="70"/>
      <c r="BT211" s="70"/>
      <c r="BU211" s="70"/>
      <c r="BV211" s="70"/>
      <c r="BW211" s="70"/>
      <c r="BX211" s="70"/>
      <c r="BY211" s="70"/>
      <c r="BZ211" s="70"/>
      <c r="CA211" s="70"/>
      <c r="CB211" s="70"/>
      <c r="CC211" s="70"/>
      <c r="CD211" s="70"/>
      <c r="CE211" s="70"/>
      <c r="CF211" s="70"/>
      <c r="CG211" s="70"/>
      <c r="CH211" s="70"/>
      <c r="CI211" s="70"/>
      <c r="CJ211" s="70"/>
      <c r="CK211" s="70"/>
      <c r="CL211" s="70"/>
      <c r="CM211" s="70"/>
    </row>
    <row r="212" spans="1:91" ht="12.75" x14ac:dyDescent="0.2">
      <c r="AB212" s="27" t="s">
        <v>1946</v>
      </c>
      <c r="AC212" s="5"/>
      <c r="AD212" s="19" t="s">
        <v>1691</v>
      </c>
      <c r="AE212" s="144" t="s">
        <v>1692</v>
      </c>
      <c r="AF212" s="144" t="s">
        <v>1692</v>
      </c>
      <c r="AG212" s="144" t="s">
        <v>1693</v>
      </c>
      <c r="BA212" s="70"/>
      <c r="BB212" s="70"/>
      <c r="BC212" s="70"/>
      <c r="BD212" s="70"/>
      <c r="BE212" s="70"/>
      <c r="BF212" s="70"/>
      <c r="BG212" s="70"/>
      <c r="BH212" s="70"/>
      <c r="BI212" s="70"/>
      <c r="BJ212" s="70"/>
      <c r="BK212" s="70"/>
      <c r="BL212" s="70"/>
      <c r="BM212" s="70"/>
      <c r="BN212" s="70"/>
      <c r="BO212" s="70"/>
      <c r="BP212" s="70"/>
      <c r="BQ212" s="70"/>
      <c r="BR212" s="70"/>
      <c r="BS212" s="70"/>
      <c r="BT212" s="70"/>
      <c r="BU212" s="70"/>
      <c r="BV212" s="70"/>
      <c r="BW212" s="70"/>
      <c r="BX212" s="70"/>
      <c r="BY212" s="70"/>
      <c r="BZ212" s="70"/>
      <c r="CA212" s="70"/>
      <c r="CB212" s="70"/>
      <c r="CC212" s="70"/>
      <c r="CD212" s="70"/>
      <c r="CE212" s="70"/>
      <c r="CF212" s="70"/>
      <c r="CG212" s="70"/>
      <c r="CH212" s="70"/>
      <c r="CI212" s="70"/>
      <c r="CJ212" s="70"/>
      <c r="CK212" s="70"/>
      <c r="CL212" s="70"/>
      <c r="CM212" s="70"/>
    </row>
    <row r="213" spans="1:91" ht="12.75" x14ac:dyDescent="0.2">
      <c r="AB213" s="18" t="s">
        <v>337</v>
      </c>
      <c r="AC213" s="5"/>
      <c r="AD213" s="19" t="s">
        <v>1694</v>
      </c>
      <c r="AE213" s="144" t="s">
        <v>1694</v>
      </c>
      <c r="AF213" s="144" t="s">
        <v>182</v>
      </c>
      <c r="AG213" s="144">
        <v>30000</v>
      </c>
      <c r="AV213" s="327">
        <f>AV214/SUM(AV214:AW214)</f>
        <v>0.69230769230769229</v>
      </c>
      <c r="AW213" s="327">
        <f>1-AV213</f>
        <v>0.30769230769230771</v>
      </c>
      <c r="BA213" s="70"/>
      <c r="BB213" s="70"/>
      <c r="BC213" s="70"/>
      <c r="BD213" s="70"/>
      <c r="BE213" s="70"/>
      <c r="BF213" s="70"/>
      <c r="BG213" s="70"/>
      <c r="BH213" s="70"/>
      <c r="BI213" s="70"/>
      <c r="BJ213" s="70"/>
      <c r="BK213" s="70"/>
      <c r="BL213" s="70"/>
      <c r="BM213" s="70"/>
      <c r="BN213" s="70"/>
      <c r="BO213" s="70"/>
      <c r="BP213" s="70"/>
      <c r="BQ213" s="70"/>
      <c r="BR213" s="70"/>
      <c r="BS213" s="70"/>
      <c r="BT213" s="70"/>
      <c r="BU213" s="70"/>
      <c r="BV213" s="70"/>
      <c r="BW213" s="70"/>
      <c r="BX213" s="70"/>
      <c r="BY213" s="70"/>
      <c r="BZ213" s="70"/>
      <c r="CA213" s="70"/>
      <c r="CB213" s="70"/>
      <c r="CC213" s="70"/>
      <c r="CD213" s="70"/>
      <c r="CE213" s="70"/>
      <c r="CF213" s="70"/>
      <c r="CG213" s="70"/>
      <c r="CH213" s="70"/>
      <c r="CI213" s="70"/>
      <c r="CJ213" s="70"/>
      <c r="CK213" s="70"/>
      <c r="CL213" s="70"/>
      <c r="CM213" s="70"/>
    </row>
    <row r="214" spans="1:91" ht="12.75" x14ac:dyDescent="0.2">
      <c r="AB214" s="18" t="s">
        <v>1863</v>
      </c>
      <c r="AC214" s="5"/>
      <c r="AD214" s="19" t="s">
        <v>1695</v>
      </c>
      <c r="AE214" s="144" t="s">
        <v>1696</v>
      </c>
      <c r="AF214" s="144" t="s">
        <v>1697</v>
      </c>
      <c r="AG214" s="144" t="s">
        <v>1698</v>
      </c>
      <c r="AV214">
        <f>SUM(MAR!BL4:BN4)</f>
        <v>252</v>
      </c>
      <c r="AW214">
        <v>112</v>
      </c>
      <c r="BA214" s="70"/>
      <c r="BB214" s="70"/>
      <c r="BC214" s="70"/>
      <c r="BD214" s="70"/>
      <c r="BE214" s="70"/>
      <c r="BF214" s="70"/>
      <c r="BG214" s="70"/>
      <c r="BH214" s="70"/>
      <c r="BI214" s="70"/>
      <c r="BJ214" s="70"/>
      <c r="BK214" s="70"/>
      <c r="BL214" s="70"/>
      <c r="BM214" s="70"/>
      <c r="BN214" s="70"/>
      <c r="BO214" s="70"/>
      <c r="BP214" s="70"/>
      <c r="BQ214" s="70"/>
      <c r="BR214" s="70"/>
      <c r="BS214" s="70"/>
      <c r="BT214" s="70"/>
      <c r="BU214" s="70"/>
      <c r="BV214" s="70"/>
      <c r="BW214" s="70"/>
      <c r="BX214" s="70"/>
      <c r="BY214" s="70"/>
      <c r="BZ214" s="70"/>
      <c r="CA214" s="70"/>
      <c r="CB214" s="70"/>
      <c r="CC214" s="70"/>
      <c r="CD214" s="70"/>
      <c r="CE214" s="70"/>
      <c r="CF214" s="70"/>
      <c r="CG214" s="70"/>
      <c r="CH214" s="70"/>
      <c r="CI214" s="70"/>
      <c r="CJ214" s="70"/>
      <c r="CK214" s="70"/>
      <c r="CL214" s="70"/>
      <c r="CM214" s="70"/>
    </row>
    <row r="215" spans="1:91" ht="12.75" x14ac:dyDescent="0.2">
      <c r="AB215" s="29" t="s">
        <v>338</v>
      </c>
      <c r="AC215" s="45"/>
      <c r="AD215" s="22" t="s">
        <v>1699</v>
      </c>
      <c r="AE215" s="146" t="s">
        <v>1700</v>
      </c>
      <c r="AF215" s="146" t="s">
        <v>1701</v>
      </c>
      <c r="AG215" s="146" t="s">
        <v>1702</v>
      </c>
      <c r="AV215" s="544">
        <v>6.7000000000000004E-2</v>
      </c>
      <c r="AW215" s="544">
        <v>7.0000000000000007E-2</v>
      </c>
      <c r="AY215" s="544">
        <f>SUMPRODUCT(AV215:AW215,AV213:AW213)</f>
        <v>6.7923076923076919E-2</v>
      </c>
      <c r="BA215" s="70"/>
      <c r="BB215" s="70"/>
      <c r="BC215" s="70"/>
      <c r="BD215" s="70"/>
      <c r="BE215" s="70"/>
      <c r="BF215" s="70"/>
      <c r="BG215" s="70"/>
      <c r="BH215" s="70"/>
      <c r="BI215" s="70"/>
      <c r="BJ215" s="70"/>
      <c r="BK215" s="70"/>
      <c r="BL215" s="70"/>
      <c r="BM215" s="70"/>
      <c r="BN215" s="70"/>
      <c r="BO215" s="70"/>
      <c r="BP215" s="70"/>
      <c r="BQ215" s="70"/>
      <c r="BR215" s="70"/>
      <c r="BS215" s="70"/>
      <c r="BT215" s="70"/>
      <c r="BU215" s="70"/>
      <c r="BV215" s="70"/>
      <c r="BW215" s="70"/>
      <c r="BX215" s="70"/>
      <c r="BY215" s="70"/>
      <c r="BZ215" s="70"/>
      <c r="CA215" s="70"/>
      <c r="CB215" s="70"/>
      <c r="CC215" s="70"/>
      <c r="CD215" s="70"/>
      <c r="CE215" s="70"/>
      <c r="CF215" s="70"/>
      <c r="CG215" s="70"/>
      <c r="CH215" s="70"/>
      <c r="CI215" s="70"/>
      <c r="CJ215" s="70"/>
      <c r="CK215" s="70"/>
      <c r="CL215" s="70"/>
      <c r="CM215" s="70"/>
    </row>
    <row r="216" spans="1:91" ht="12.75" x14ac:dyDescent="0.2">
      <c r="A216" s="70"/>
      <c r="B216" s="70"/>
      <c r="C216" s="70"/>
      <c r="D216" s="70"/>
      <c r="E216" s="70"/>
      <c r="F216" s="70"/>
      <c r="G216" s="70"/>
      <c r="H216" s="70"/>
      <c r="I216" s="70"/>
      <c r="J216" s="70"/>
      <c r="K216" s="70"/>
      <c r="L216" s="70"/>
      <c r="M216" s="70"/>
      <c r="N216" s="70"/>
      <c r="O216" s="70"/>
      <c r="P216" s="70"/>
      <c r="Q216" s="70"/>
      <c r="R216" s="70"/>
      <c r="S216" s="70"/>
      <c r="T216" s="70"/>
      <c r="U216" s="70"/>
      <c r="V216" s="70"/>
      <c r="W216" s="70"/>
      <c r="X216" s="70"/>
      <c r="Y216" s="70"/>
      <c r="Z216" s="70"/>
      <c r="AA216" s="70"/>
      <c r="AB216" s="191"/>
      <c r="AC216" s="181"/>
      <c r="AD216" s="70"/>
      <c r="AE216" s="70"/>
      <c r="AF216" s="70"/>
      <c r="AG216" s="70"/>
      <c r="AH216" s="70"/>
      <c r="AI216" s="70"/>
      <c r="AJ216" s="70"/>
      <c r="AK216" s="70"/>
      <c r="AL216" s="70"/>
      <c r="AM216" s="70"/>
      <c r="AN216" s="70"/>
      <c r="AO216" s="70"/>
      <c r="AP216" s="70"/>
      <c r="AQ216" s="70"/>
      <c r="AR216" s="70"/>
      <c r="AS216" s="70"/>
      <c r="AT216" s="70"/>
      <c r="AU216" s="70"/>
      <c r="AV216" s="70"/>
      <c r="AW216" s="70"/>
      <c r="AX216" s="70"/>
      <c r="AY216" s="70"/>
      <c r="AZ216" s="70"/>
      <c r="BA216" s="70"/>
      <c r="BB216" s="70"/>
      <c r="BC216" s="70"/>
      <c r="BD216" s="70"/>
      <c r="BE216" s="70"/>
      <c r="BF216" s="70"/>
      <c r="BG216" s="70"/>
      <c r="BH216" s="70"/>
      <c r="BI216" s="70"/>
      <c r="BJ216" s="70"/>
      <c r="BK216" s="70"/>
      <c r="BL216" s="70"/>
      <c r="BM216" s="70"/>
      <c r="BN216" s="70"/>
      <c r="BO216" s="70"/>
      <c r="BP216" s="70"/>
      <c r="BQ216" s="70"/>
      <c r="BR216" s="70"/>
      <c r="BS216" s="70"/>
      <c r="BT216" s="70"/>
      <c r="BU216" s="70"/>
      <c r="BV216" s="70"/>
      <c r="BW216" s="70"/>
      <c r="BX216" s="70"/>
      <c r="BY216" s="70"/>
      <c r="BZ216" s="70"/>
      <c r="CA216" s="70"/>
      <c r="CB216" s="70"/>
      <c r="CC216" s="70"/>
      <c r="CD216" s="70"/>
      <c r="CE216" s="70"/>
      <c r="CF216" s="70"/>
      <c r="CG216" s="70"/>
      <c r="CH216" s="70"/>
      <c r="CI216" s="70"/>
      <c r="CJ216" s="70"/>
      <c r="CK216" s="70"/>
      <c r="CL216" s="70"/>
      <c r="CM216" s="70"/>
    </row>
    <row r="217" spans="1:91" ht="3.75" customHeight="1" x14ac:dyDescent="0.2">
      <c r="A217" s="70"/>
      <c r="B217" s="70"/>
      <c r="C217" s="70"/>
      <c r="D217" s="70"/>
      <c r="E217" s="70"/>
      <c r="F217" s="70"/>
      <c r="G217" s="70"/>
      <c r="H217" s="70"/>
      <c r="I217" s="70"/>
      <c r="J217" s="70"/>
      <c r="K217" s="70"/>
      <c r="L217" s="70"/>
      <c r="M217" s="70"/>
      <c r="N217" s="70"/>
      <c r="O217" s="70"/>
      <c r="P217" s="70"/>
      <c r="Q217" s="70"/>
      <c r="R217" s="70"/>
      <c r="S217" s="70"/>
      <c r="T217" s="70"/>
      <c r="U217" s="70"/>
      <c r="V217" s="70"/>
      <c r="W217" s="70"/>
      <c r="X217" s="70"/>
      <c r="Y217" s="70"/>
      <c r="Z217" s="70"/>
      <c r="AA217" s="70"/>
      <c r="AB217" s="70"/>
      <c r="AC217" s="70"/>
      <c r="AD217" s="11">
        <f>150/87-1</f>
        <v>0.72413793103448265</v>
      </c>
      <c r="AE217" s="70"/>
      <c r="AF217" s="70"/>
      <c r="AG217" s="70"/>
      <c r="AH217" s="70"/>
      <c r="AI217" s="70"/>
      <c r="AJ217" s="70"/>
      <c r="AK217" s="70"/>
      <c r="AL217" s="70"/>
      <c r="AM217" s="70"/>
      <c r="AN217" s="70"/>
      <c r="AO217" s="70"/>
      <c r="AP217" s="70"/>
      <c r="AQ217" s="70"/>
      <c r="AR217" s="70"/>
      <c r="AS217" s="70"/>
      <c r="AT217" s="70"/>
      <c r="AU217" s="70"/>
      <c r="AV217" s="70"/>
      <c r="AW217" s="70"/>
      <c r="AX217" s="70"/>
      <c r="AY217" s="70"/>
      <c r="AZ217" s="70"/>
      <c r="BA217" s="70"/>
      <c r="BB217" s="70"/>
      <c r="BC217" s="70"/>
      <c r="BD217" s="70"/>
      <c r="BE217" s="70"/>
      <c r="BF217" s="70"/>
      <c r="BG217" s="70"/>
      <c r="BH217" s="70"/>
      <c r="BI217" s="70"/>
      <c r="BJ217" s="70"/>
      <c r="BK217" s="70"/>
      <c r="BL217" s="70"/>
      <c r="BM217" s="70"/>
      <c r="BN217" s="70"/>
      <c r="BO217" s="70"/>
      <c r="BP217" s="70"/>
      <c r="BQ217" s="70"/>
      <c r="BR217" s="70"/>
      <c r="BS217" s="70"/>
      <c r="BT217" s="70"/>
      <c r="BU217" s="70"/>
      <c r="BV217" s="70"/>
      <c r="BW217" s="70"/>
      <c r="BX217" s="70"/>
      <c r="BY217" s="70"/>
      <c r="BZ217" s="70"/>
      <c r="CA217" s="70"/>
      <c r="CB217" s="70"/>
      <c r="CC217" s="70"/>
      <c r="CD217" s="70"/>
      <c r="CE217" s="70"/>
      <c r="CF217" s="70"/>
      <c r="CG217" s="70"/>
      <c r="CH217" s="70"/>
      <c r="CI217" s="70"/>
      <c r="CJ217" s="70"/>
      <c r="CK217" s="70"/>
      <c r="CL217" s="70"/>
      <c r="CM217" s="70"/>
    </row>
    <row r="218" spans="1:91" ht="12.75" customHeight="1" x14ac:dyDescent="0.2">
      <c r="A218" s="70"/>
      <c r="B218" s="70"/>
      <c r="C218" s="70"/>
      <c r="D218" s="70"/>
      <c r="E218" s="70"/>
      <c r="F218" s="70"/>
      <c r="G218" s="70"/>
      <c r="H218" s="70"/>
      <c r="I218" s="70"/>
      <c r="J218" s="70"/>
      <c r="K218" s="70"/>
      <c r="L218" s="70"/>
      <c r="M218" s="70"/>
      <c r="N218" s="70"/>
      <c r="O218" s="70"/>
      <c r="P218" s="70"/>
      <c r="Q218" s="70"/>
      <c r="R218" s="70"/>
      <c r="S218" s="70"/>
      <c r="T218" s="70"/>
      <c r="U218" s="70"/>
      <c r="V218" s="70"/>
      <c r="W218" s="70"/>
      <c r="X218" s="70"/>
      <c r="Y218" s="70"/>
      <c r="Z218" s="70"/>
      <c r="AA218" s="70"/>
      <c r="AB218" s="70"/>
      <c r="AC218" s="70"/>
      <c r="AD218" s="11"/>
      <c r="AE218" s="70"/>
      <c r="AF218" s="70"/>
      <c r="AG218" s="70"/>
      <c r="AH218" s="70"/>
      <c r="AI218" s="549" t="s">
        <v>1145</v>
      </c>
      <c r="AJ218" s="70"/>
      <c r="AK218" s="70"/>
      <c r="AL218" s="70"/>
      <c r="AM218" s="70"/>
      <c r="AN218" s="70"/>
      <c r="AO218" s="70"/>
      <c r="AP218" s="70"/>
      <c r="AQ218" s="70"/>
      <c r="AR218" s="70"/>
      <c r="AS218" s="70"/>
      <c r="AT218" s="70"/>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c r="BT218" s="70"/>
      <c r="BU218" s="70"/>
      <c r="BV218" s="70"/>
      <c r="BW218" s="70"/>
      <c r="BX218" s="70"/>
      <c r="BY218" s="70"/>
      <c r="BZ218" s="70"/>
      <c r="CA218" s="70"/>
      <c r="CB218" s="70"/>
      <c r="CC218" s="70"/>
      <c r="CD218" s="70"/>
      <c r="CE218" s="70"/>
      <c r="CF218" s="70"/>
      <c r="CG218" s="70"/>
      <c r="CH218" s="70"/>
      <c r="CI218" s="70"/>
      <c r="CJ218" s="70"/>
      <c r="CK218" s="70"/>
      <c r="CL218" s="70"/>
      <c r="CM218" s="70"/>
    </row>
    <row r="219" spans="1:91" ht="5.0999999999999996" customHeight="1" x14ac:dyDescent="0.2">
      <c r="A219" s="70"/>
      <c r="B219" s="70"/>
      <c r="C219" s="70"/>
      <c r="D219" s="70"/>
      <c r="E219" s="70"/>
      <c r="F219" s="70"/>
      <c r="G219" s="70"/>
      <c r="H219" s="70"/>
      <c r="I219" s="70"/>
      <c r="J219" s="70"/>
      <c r="K219" s="70"/>
      <c r="L219" s="70"/>
      <c r="M219" s="70"/>
      <c r="N219" s="70"/>
      <c r="O219" s="70"/>
      <c r="P219" s="70"/>
      <c r="Q219" s="70"/>
      <c r="R219" s="70"/>
      <c r="S219" s="70"/>
      <c r="T219" s="70"/>
      <c r="U219" s="70"/>
      <c r="V219" s="70"/>
      <c r="W219" s="70"/>
      <c r="X219" s="70"/>
      <c r="Y219" s="70"/>
      <c r="Z219" s="70"/>
      <c r="AA219" s="70"/>
      <c r="AB219" s="70"/>
      <c r="AC219" s="70"/>
      <c r="AD219" s="11"/>
      <c r="AE219" s="70"/>
      <c r="AF219" s="70"/>
      <c r="AG219" s="70"/>
      <c r="AH219" s="70"/>
      <c r="AI219" s="247"/>
      <c r="AJ219" s="70"/>
      <c r="AK219" s="70"/>
      <c r="AL219" s="70"/>
      <c r="AM219" s="70"/>
      <c r="AN219" s="70"/>
      <c r="AO219" s="70"/>
      <c r="AP219" s="70"/>
      <c r="AQ219" s="70"/>
      <c r="AR219" s="70"/>
      <c r="AS219" s="70"/>
      <c r="AT219" s="70"/>
      <c r="AU219" s="70"/>
      <c r="AV219" s="70"/>
      <c r="AW219" s="70"/>
      <c r="AX219" s="70"/>
      <c r="AY219" s="70"/>
      <c r="AZ219" s="70"/>
      <c r="BA219" s="70"/>
      <c r="BB219" s="70"/>
      <c r="BC219" s="70"/>
      <c r="BD219" s="70"/>
      <c r="BE219" s="70"/>
      <c r="BF219" s="70"/>
      <c r="BG219" s="70"/>
      <c r="BH219" s="70"/>
      <c r="BI219" s="70"/>
      <c r="BJ219" s="70"/>
      <c r="BK219" s="70"/>
      <c r="BL219" s="70"/>
      <c r="BM219" s="70"/>
      <c r="BN219" s="70"/>
      <c r="BO219" s="70"/>
      <c r="BP219" s="70"/>
      <c r="BQ219" s="70"/>
      <c r="BR219" s="70"/>
      <c r="BS219" s="70"/>
      <c r="BT219" s="70"/>
      <c r="BU219" s="70"/>
      <c r="BV219" s="70"/>
      <c r="BW219" s="70"/>
      <c r="BX219" s="70"/>
      <c r="BY219" s="70"/>
      <c r="BZ219" s="70"/>
      <c r="CA219" s="70"/>
      <c r="CB219" s="70"/>
      <c r="CC219" s="70"/>
      <c r="CD219" s="70"/>
      <c r="CE219" s="70"/>
      <c r="CF219" s="70"/>
      <c r="CG219" s="70"/>
      <c r="CH219" s="70"/>
      <c r="CI219" s="70"/>
      <c r="CJ219" s="70"/>
      <c r="CK219" s="70"/>
      <c r="CL219" s="70"/>
      <c r="CM219" s="70"/>
    </row>
    <row r="220" spans="1:91" ht="13.5" thickBot="1" x14ac:dyDescent="0.25">
      <c r="AI220" s="394" t="s">
        <v>397</v>
      </c>
      <c r="AJ220" s="390"/>
      <c r="AK220" s="390"/>
      <c r="AL220" s="390"/>
      <c r="AM220" s="395"/>
      <c r="AN220" s="395"/>
      <c r="AO220" s="395"/>
      <c r="AP220" s="390"/>
      <c r="AQ220" s="390"/>
      <c r="AR220" s="390"/>
      <c r="AS220" s="390"/>
      <c r="AT220" s="390"/>
      <c r="AU220" s="390"/>
      <c r="AV220" s="390"/>
      <c r="AW220" s="390"/>
      <c r="AX220" s="390"/>
      <c r="AY220" s="390"/>
      <c r="AZ220" s="390"/>
      <c r="BA220" s="70"/>
      <c r="BB220" s="70"/>
      <c r="BC220" s="70"/>
      <c r="BD220" s="70"/>
      <c r="BE220" s="70"/>
      <c r="BF220" s="70"/>
      <c r="BG220" s="70"/>
      <c r="BH220" s="70"/>
      <c r="BI220" s="70"/>
      <c r="BJ220" s="70"/>
      <c r="BK220" s="70"/>
      <c r="BL220" s="70"/>
      <c r="BM220" s="70"/>
      <c r="BN220" s="70"/>
      <c r="BO220" s="70"/>
      <c r="BP220" s="70"/>
      <c r="BQ220" s="70"/>
      <c r="BR220" s="70"/>
      <c r="BS220" s="70"/>
      <c r="BT220" s="70"/>
      <c r="BU220" s="70"/>
      <c r="BV220" s="70"/>
      <c r="BW220" s="70"/>
      <c r="BX220" s="70"/>
      <c r="BY220" s="70"/>
      <c r="BZ220" s="70"/>
      <c r="CA220" s="70"/>
      <c r="CB220" s="70"/>
      <c r="CC220" s="70"/>
      <c r="CD220" s="70"/>
      <c r="CE220" s="70"/>
      <c r="CF220" s="70"/>
      <c r="CG220" s="70"/>
      <c r="CH220" s="70"/>
      <c r="CI220" s="70"/>
      <c r="CJ220" s="70"/>
      <c r="CK220" s="70"/>
      <c r="CL220" s="70"/>
      <c r="CM220" s="70"/>
    </row>
    <row r="221" spans="1:91" ht="12.75" x14ac:dyDescent="0.2">
      <c r="AI221" s="394"/>
      <c r="AJ221" s="1125" t="s">
        <v>850</v>
      </c>
      <c r="AK221" s="1125"/>
      <c r="AL221" s="390"/>
      <c r="AM221" s="1125" t="s">
        <v>851</v>
      </c>
      <c r="AN221" s="1125"/>
      <c r="AO221" s="395"/>
      <c r="AP221" s="1125" t="s">
        <v>644</v>
      </c>
      <c r="AQ221" s="1125"/>
      <c r="AR221" s="621"/>
      <c r="AS221" s="1125" t="s">
        <v>1542</v>
      </c>
      <c r="AT221" s="1125"/>
      <c r="AU221" s="621"/>
      <c r="AV221" s="1125" t="s">
        <v>1543</v>
      </c>
      <c r="AW221" s="1125"/>
      <c r="AX221" s="621"/>
      <c r="AY221" s="412" t="s">
        <v>1142</v>
      </c>
      <c r="AZ221" s="390"/>
      <c r="BA221" s="70"/>
      <c r="BB221" s="70"/>
      <c r="BC221" s="70"/>
      <c r="BD221" s="70"/>
      <c r="BE221" s="70"/>
      <c r="BF221" s="70"/>
      <c r="BG221" s="70"/>
      <c r="BH221" s="70"/>
      <c r="BI221" s="70"/>
      <c r="BJ221" s="70"/>
      <c r="BK221" s="70"/>
      <c r="BL221" s="70"/>
      <c r="BM221" s="70"/>
      <c r="BN221" s="70"/>
      <c r="BO221" s="70"/>
      <c r="BP221" s="70"/>
      <c r="BQ221" s="70"/>
      <c r="BR221" s="70"/>
      <c r="BS221" s="70"/>
      <c r="BT221" s="70"/>
      <c r="BU221" s="70"/>
      <c r="BV221" s="70"/>
      <c r="BW221" s="70"/>
      <c r="BX221" s="70"/>
      <c r="BY221" s="70"/>
      <c r="BZ221" s="70"/>
      <c r="CA221" s="70"/>
      <c r="CB221" s="70"/>
      <c r="CC221" s="70"/>
      <c r="CD221" s="70"/>
      <c r="CE221" s="70"/>
      <c r="CF221" s="70"/>
      <c r="CG221" s="70"/>
      <c r="CH221" s="70"/>
      <c r="CI221" s="70"/>
      <c r="CJ221" s="70"/>
      <c r="CK221" s="70"/>
      <c r="CL221" s="70"/>
      <c r="CM221" s="70"/>
    </row>
    <row r="222" spans="1:91" ht="12.75" x14ac:dyDescent="0.2">
      <c r="AI222" s="394"/>
      <c r="AJ222" s="404" t="s">
        <v>573</v>
      </c>
      <c r="AK222" s="404" t="s">
        <v>574</v>
      </c>
      <c r="AL222" s="390"/>
      <c r="AM222" s="404" t="s">
        <v>573</v>
      </c>
      <c r="AN222" s="404" t="s">
        <v>574</v>
      </c>
      <c r="AO222" s="390"/>
      <c r="AP222" s="404" t="s">
        <v>573</v>
      </c>
      <c r="AQ222" s="404" t="s">
        <v>574</v>
      </c>
      <c r="AR222" s="390"/>
      <c r="AS222" s="404" t="s">
        <v>573</v>
      </c>
      <c r="AT222" s="404" t="s">
        <v>574</v>
      </c>
      <c r="AU222" s="390"/>
      <c r="AV222" s="404" t="s">
        <v>573</v>
      </c>
      <c r="AW222" s="404" t="s">
        <v>574</v>
      </c>
      <c r="AX222" s="390"/>
      <c r="AY222" s="561" t="s">
        <v>1732</v>
      </c>
      <c r="AZ222" s="411"/>
      <c r="BA222" s="70"/>
      <c r="BB222" s="70"/>
      <c r="BC222" s="70"/>
      <c r="BD222" s="70"/>
      <c r="BE222" s="70"/>
      <c r="BF222" s="70"/>
      <c r="BG222" s="70"/>
      <c r="BH222" s="70"/>
      <c r="BI222" s="70"/>
      <c r="BJ222" s="70"/>
      <c r="BK222" s="70"/>
      <c r="BL222" s="70"/>
      <c r="BM222" s="70"/>
      <c r="BN222" s="70"/>
      <c r="BO222" s="70"/>
      <c r="BP222" s="70"/>
      <c r="BQ222" s="70"/>
      <c r="BR222" s="70"/>
      <c r="BS222" s="70"/>
      <c r="BT222" s="70"/>
      <c r="BU222" s="70"/>
      <c r="BV222" s="70"/>
      <c r="BW222" s="70"/>
      <c r="BX222" s="70"/>
      <c r="BY222" s="70"/>
      <c r="BZ222" s="70"/>
      <c r="CA222" s="70"/>
      <c r="CB222" s="70"/>
      <c r="CC222" s="70"/>
      <c r="CD222" s="70"/>
      <c r="CE222" s="70"/>
      <c r="CF222" s="70"/>
      <c r="CG222" s="70"/>
      <c r="CH222" s="70"/>
      <c r="CI222" s="70"/>
      <c r="CJ222" s="70"/>
      <c r="CK222" s="70"/>
      <c r="CL222" s="70"/>
      <c r="CM222" s="70"/>
    </row>
    <row r="223" spans="1:91" ht="15" customHeight="1" x14ac:dyDescent="0.2">
      <c r="AI223" s="394" t="s">
        <v>373</v>
      </c>
      <c r="AJ223" s="390"/>
      <c r="AK223" s="390"/>
      <c r="AL223" s="390"/>
      <c r="AM223" s="390"/>
      <c r="AN223" s="390"/>
      <c r="AO223" s="390"/>
      <c r="AP223" s="390"/>
      <c r="AQ223" s="390"/>
      <c r="AR223" s="390"/>
      <c r="AS223" s="390"/>
      <c r="AT223" s="390"/>
      <c r="AU223" s="390"/>
      <c r="AV223" s="390"/>
      <c r="AW223" s="390"/>
      <c r="AX223" s="390"/>
      <c r="AY223" s="562"/>
      <c r="AZ223" s="411"/>
      <c r="BA223" s="70"/>
      <c r="BB223" s="70"/>
      <c r="BC223" s="70"/>
      <c r="BD223" s="70"/>
      <c r="BE223" s="70"/>
      <c r="BF223" s="70"/>
      <c r="BG223" s="70"/>
      <c r="BH223" s="70"/>
      <c r="BI223" s="70"/>
      <c r="BJ223" s="70"/>
      <c r="BK223" s="70"/>
      <c r="BL223" s="70"/>
      <c r="BM223" s="70"/>
      <c r="BN223" s="70"/>
      <c r="BO223" s="70"/>
      <c r="BP223" s="70"/>
      <c r="BQ223" s="70"/>
      <c r="BR223" s="70"/>
      <c r="BS223" s="70"/>
      <c r="BT223" s="70"/>
      <c r="BU223" s="70"/>
      <c r="BV223" s="70"/>
      <c r="BW223" s="70"/>
      <c r="BX223" s="70"/>
      <c r="BY223" s="70"/>
      <c r="BZ223" s="70"/>
      <c r="CA223" s="70"/>
      <c r="CB223" s="70"/>
      <c r="CC223" s="70"/>
      <c r="CD223" s="70"/>
      <c r="CE223" s="70"/>
      <c r="CF223" s="70"/>
      <c r="CG223" s="70"/>
      <c r="CH223" s="70"/>
      <c r="CI223" s="70"/>
      <c r="CJ223" s="70"/>
      <c r="CK223" s="70"/>
      <c r="CL223" s="70"/>
      <c r="CM223" s="70"/>
    </row>
    <row r="224" spans="1:91" ht="15" customHeight="1" x14ac:dyDescent="0.2">
      <c r="AC224" s="2">
        <v>908</v>
      </c>
      <c r="AD224" s="2">
        <v>973</v>
      </c>
      <c r="AI224" s="213" t="s">
        <v>1941</v>
      </c>
      <c r="AJ224" s="231">
        <v>0.06</v>
      </c>
      <c r="AK224" s="231">
        <v>0.08</v>
      </c>
      <c r="AL224" s="231"/>
      <c r="AM224" s="393">
        <v>0.06</v>
      </c>
      <c r="AN224" s="393">
        <v>0.08</v>
      </c>
      <c r="AO224" s="405"/>
      <c r="AP224" s="393">
        <v>0.06</v>
      </c>
      <c r="AQ224" s="393">
        <v>0.08</v>
      </c>
      <c r="AR224" s="405"/>
      <c r="AS224" s="393" t="s">
        <v>632</v>
      </c>
      <c r="AT224" s="393" t="s">
        <v>633</v>
      </c>
      <c r="AU224" s="405"/>
      <c r="AV224" s="405">
        <v>0.06</v>
      </c>
      <c r="AW224" s="405">
        <v>7.0000000000000007E-2</v>
      </c>
      <c r="AX224" s="405"/>
      <c r="AY224" s="837">
        <f>AY225</f>
        <v>-5.0000000000000044E-3</v>
      </c>
      <c r="AZ224" s="231"/>
      <c r="BA224" s="70"/>
      <c r="BB224" s="70"/>
      <c r="BC224" s="70"/>
      <c r="BD224" s="70"/>
      <c r="BE224" s="70"/>
      <c r="BF224" s="70"/>
      <c r="BG224" s="70"/>
      <c r="BH224" s="70"/>
      <c r="BI224" s="70"/>
      <c r="BJ224" s="70"/>
      <c r="BK224" s="70"/>
      <c r="BL224" s="70"/>
      <c r="BM224" s="70"/>
      <c r="BN224" s="70"/>
      <c r="BO224" s="70"/>
      <c r="BP224" s="70"/>
      <c r="BQ224" s="70"/>
      <c r="BR224" s="70"/>
      <c r="BS224" s="70"/>
      <c r="BT224" s="70"/>
      <c r="BU224" s="70"/>
      <c r="BV224" s="70"/>
      <c r="BW224" s="70"/>
      <c r="BX224" s="70"/>
      <c r="BY224" s="70"/>
      <c r="BZ224" s="70"/>
      <c r="CA224" s="70"/>
      <c r="CB224" s="70"/>
      <c r="CC224" s="70"/>
      <c r="CD224" s="70"/>
      <c r="CE224" s="70"/>
      <c r="CF224" s="70"/>
      <c r="CG224" s="70"/>
      <c r="CH224" s="70"/>
      <c r="CI224" s="70"/>
      <c r="CJ224" s="70"/>
      <c r="CK224" s="70"/>
      <c r="CL224" s="70"/>
      <c r="CM224" s="70"/>
    </row>
    <row r="225" spans="28:91" ht="15" customHeight="1" x14ac:dyDescent="0.2">
      <c r="AC225" s="2"/>
      <c r="AD225" s="2"/>
      <c r="AI225" s="392" t="s">
        <v>1309</v>
      </c>
      <c r="AJ225" s="231"/>
      <c r="AK225" s="231"/>
      <c r="AL225" s="231"/>
      <c r="AM225" s="393">
        <v>0.06</v>
      </c>
      <c r="AN225" s="393">
        <v>0.08</v>
      </c>
      <c r="AO225" s="406"/>
      <c r="AP225" s="393">
        <v>0.06</v>
      </c>
      <c r="AQ225" s="393">
        <v>0.08</v>
      </c>
      <c r="AR225" s="405"/>
      <c r="AS225" s="393">
        <v>0.06</v>
      </c>
      <c r="AT225" s="393">
        <v>0.08</v>
      </c>
      <c r="AU225" s="405"/>
      <c r="AV225" s="405">
        <v>0.06</v>
      </c>
      <c r="AW225" s="405">
        <v>7.0000000000000007E-2</v>
      </c>
      <c r="AX225" s="405"/>
      <c r="AY225" s="837">
        <f t="shared" ref="AY225:AY240" si="0">AVERAGE(AV225:AW225)-AVERAGE(AS225:AT225)</f>
        <v>-5.0000000000000044E-3</v>
      </c>
      <c r="AZ225" s="231"/>
      <c r="BA225" s="70"/>
      <c r="BB225" s="70"/>
      <c r="BC225" s="70"/>
      <c r="BD225" s="70"/>
      <c r="BE225" s="70"/>
      <c r="BF225" s="70"/>
      <c r="BG225" s="70"/>
      <c r="BH225" s="70"/>
      <c r="BI225" s="70"/>
      <c r="BJ225" s="70"/>
      <c r="BK225" s="70"/>
      <c r="BL225" s="70"/>
      <c r="BM225" s="70"/>
      <c r="BN225" s="70"/>
      <c r="BO225" s="70"/>
      <c r="BP225" s="70"/>
      <c r="BQ225" s="70"/>
      <c r="BR225" s="70"/>
      <c r="BS225" s="70"/>
      <c r="BT225" s="70"/>
      <c r="BU225" s="70"/>
      <c r="BV225" s="70"/>
      <c r="BW225" s="70"/>
      <c r="BX225" s="70"/>
      <c r="BY225" s="70"/>
      <c r="BZ225" s="70"/>
      <c r="CA225" s="70"/>
      <c r="CB225" s="70"/>
      <c r="CC225" s="70"/>
      <c r="CD225" s="70"/>
      <c r="CE225" s="70"/>
      <c r="CF225" s="70"/>
      <c r="CG225" s="70"/>
      <c r="CH225" s="70"/>
      <c r="CI225" s="70"/>
      <c r="CJ225" s="70"/>
      <c r="CK225" s="70"/>
      <c r="CL225" s="70"/>
      <c r="CM225" s="70"/>
    </row>
    <row r="226" spans="28:91" ht="15" customHeight="1" x14ac:dyDescent="0.2">
      <c r="AC226" s="2"/>
      <c r="AD226" s="2"/>
      <c r="AI226" s="392" t="s">
        <v>2036</v>
      </c>
      <c r="AJ226" s="231"/>
      <c r="AK226" s="231"/>
      <c r="AL226" s="231"/>
      <c r="AM226" s="393">
        <v>0.06</v>
      </c>
      <c r="AN226" s="393">
        <v>0.08</v>
      </c>
      <c r="AO226" s="406"/>
      <c r="AP226" s="393">
        <v>0.05</v>
      </c>
      <c r="AQ226" s="393">
        <v>7.0000000000000007E-2</v>
      </c>
      <c r="AR226" s="405"/>
      <c r="AS226" s="393" t="s">
        <v>634</v>
      </c>
      <c r="AT226" s="393" t="s">
        <v>635</v>
      </c>
      <c r="AU226" s="405"/>
      <c r="AV226" s="405">
        <v>0.06</v>
      </c>
      <c r="AW226" s="405">
        <v>7.0000000000000007E-2</v>
      </c>
      <c r="AX226" s="405"/>
      <c r="AY226" s="837">
        <f>-AY225</f>
        <v>5.0000000000000044E-3</v>
      </c>
      <c r="AZ226" s="231"/>
      <c r="BA226" s="70"/>
      <c r="BB226" s="70"/>
      <c r="BC226" s="70"/>
      <c r="BD226" s="70"/>
      <c r="BE226" s="70"/>
      <c r="BF226" s="70"/>
      <c r="BG226" s="70"/>
      <c r="BH226" s="70"/>
      <c r="BI226" s="70"/>
      <c r="BJ226" s="70"/>
      <c r="BK226" s="70"/>
      <c r="BL226" s="70"/>
      <c r="BM226" s="70"/>
      <c r="BN226" s="70"/>
      <c r="BO226" s="70"/>
      <c r="BP226" s="70"/>
      <c r="BQ226" s="70"/>
      <c r="BR226" s="70"/>
      <c r="BS226" s="70"/>
      <c r="BT226" s="70"/>
      <c r="BU226" s="70"/>
      <c r="BV226" s="70"/>
      <c r="BW226" s="70"/>
      <c r="BX226" s="70"/>
      <c r="BY226" s="70"/>
      <c r="BZ226" s="70"/>
      <c r="CA226" s="70"/>
      <c r="CB226" s="70"/>
      <c r="CC226" s="70"/>
      <c r="CD226" s="70"/>
      <c r="CE226" s="70"/>
      <c r="CF226" s="70"/>
      <c r="CG226" s="70"/>
      <c r="CH226" s="70"/>
      <c r="CI226" s="70"/>
      <c r="CJ226" s="70"/>
      <c r="CK226" s="70"/>
      <c r="CL226" s="70"/>
      <c r="CM226" s="70"/>
    </row>
    <row r="227" spans="28:91" ht="15" customHeight="1" x14ac:dyDescent="0.2">
      <c r="AC227" s="2"/>
      <c r="AD227" s="2"/>
      <c r="AI227" s="392"/>
      <c r="AJ227" s="231"/>
      <c r="AK227" s="231"/>
      <c r="AL227" s="231"/>
      <c r="AM227" s="393"/>
      <c r="AN227" s="393"/>
      <c r="AO227" s="406"/>
      <c r="AP227" s="393"/>
      <c r="AQ227" s="393"/>
      <c r="AR227" s="405"/>
      <c r="AS227" s="393"/>
      <c r="AT227" s="393"/>
      <c r="AU227" s="405"/>
      <c r="AV227" s="405"/>
      <c r="AW227" s="405"/>
      <c r="AX227" s="405"/>
      <c r="AY227" s="838"/>
      <c r="AZ227" s="231"/>
      <c r="BA227" s="70"/>
      <c r="BB227" s="70"/>
      <c r="BC227" s="70"/>
      <c r="BD227" s="70"/>
      <c r="BE227" s="70"/>
      <c r="BF227" s="70"/>
      <c r="BG227" s="70"/>
      <c r="BH227" s="70"/>
      <c r="BI227" s="70"/>
      <c r="BJ227" s="70"/>
      <c r="BK227" s="70"/>
      <c r="BL227" s="70"/>
      <c r="BM227" s="70"/>
      <c r="BN227" s="70"/>
      <c r="BO227" s="70"/>
      <c r="BP227" s="70"/>
      <c r="BQ227" s="70"/>
      <c r="BR227" s="70"/>
      <c r="BS227" s="70"/>
      <c r="BT227" s="70"/>
      <c r="BU227" s="70"/>
      <c r="BV227" s="70"/>
      <c r="BW227" s="70"/>
      <c r="BX227" s="70"/>
      <c r="BY227" s="70"/>
      <c r="BZ227" s="70"/>
      <c r="CA227" s="70"/>
      <c r="CB227" s="70"/>
      <c r="CC227" s="70"/>
      <c r="CD227" s="70"/>
      <c r="CE227" s="70"/>
      <c r="CF227" s="70"/>
      <c r="CG227" s="70"/>
      <c r="CH227" s="70"/>
      <c r="CI227" s="70"/>
      <c r="CJ227" s="70"/>
      <c r="CK227" s="70"/>
      <c r="CL227" s="70"/>
      <c r="CM227" s="70"/>
    </row>
    <row r="228" spans="28:91" ht="15" customHeight="1" x14ac:dyDescent="0.2">
      <c r="AC228" s="11"/>
      <c r="AD228" s="11"/>
      <c r="AI228" s="636" t="s">
        <v>1395</v>
      </c>
      <c r="AJ228" s="388"/>
      <c r="AK228" s="388"/>
      <c r="AL228" s="388"/>
      <c r="AM228" s="407"/>
      <c r="AN228" s="407"/>
      <c r="AO228" s="407"/>
      <c r="AP228" s="407"/>
      <c r="AQ228" s="407"/>
      <c r="AR228" s="407"/>
      <c r="AS228" s="407"/>
      <c r="AT228" s="407"/>
      <c r="AU228" s="407"/>
      <c r="AV228" s="407"/>
      <c r="AW228" s="407"/>
      <c r="AX228" s="407"/>
      <c r="AY228" s="838"/>
      <c r="AZ228" s="388"/>
      <c r="BA228" s="70"/>
      <c r="BB228" s="70"/>
      <c r="BC228" s="70"/>
      <c r="BD228" s="70"/>
      <c r="BE228" s="70"/>
      <c r="BF228" s="70"/>
      <c r="BG228" s="70"/>
      <c r="BH228" s="70"/>
      <c r="BI228" s="70"/>
      <c r="BJ228" s="70"/>
      <c r="BK228" s="70"/>
      <c r="BL228" s="70"/>
      <c r="BM228" s="70"/>
      <c r="BN228" s="70"/>
      <c r="BO228" s="70"/>
      <c r="BP228" s="70"/>
      <c r="BQ228" s="70"/>
      <c r="BR228" s="70"/>
      <c r="BS228" s="70"/>
      <c r="BT228" s="70"/>
      <c r="BU228" s="70"/>
      <c r="BV228" s="70"/>
      <c r="BW228" s="70"/>
      <c r="BX228" s="70"/>
      <c r="BY228" s="70"/>
      <c r="BZ228" s="70"/>
      <c r="CA228" s="70"/>
      <c r="CB228" s="70"/>
      <c r="CC228" s="70"/>
      <c r="CD228" s="70"/>
      <c r="CE228" s="70"/>
      <c r="CF228" s="70"/>
      <c r="CG228" s="70"/>
      <c r="CH228" s="70"/>
      <c r="CI228" s="70"/>
      <c r="CJ228" s="70"/>
      <c r="CK228" s="70"/>
      <c r="CL228" s="70"/>
      <c r="CM228" s="70"/>
    </row>
    <row r="229" spans="28:91" ht="15" customHeight="1" x14ac:dyDescent="0.2">
      <c r="AB229" s="11">
        <f>46/129</f>
        <v>0.35658914728682173</v>
      </c>
      <c r="AI229" s="213" t="s">
        <v>1943</v>
      </c>
      <c r="AJ229" s="371">
        <v>1290</v>
      </c>
      <c r="AK229" s="371">
        <v>1330</v>
      </c>
      <c r="AL229" s="371"/>
      <c r="AM229" s="398">
        <v>1310</v>
      </c>
      <c r="AN229" s="398">
        <v>1340</v>
      </c>
      <c r="AO229" s="408"/>
      <c r="AP229" s="398">
        <v>1305</v>
      </c>
      <c r="AQ229" s="398">
        <v>1335</v>
      </c>
      <c r="AR229" s="409"/>
      <c r="AS229" s="408">
        <v>1305</v>
      </c>
      <c r="AT229" s="408">
        <v>1325</v>
      </c>
      <c r="AU229" s="409"/>
      <c r="AV229" s="408">
        <v>1307</v>
      </c>
      <c r="AW229" s="408">
        <v>1317</v>
      </c>
      <c r="AX229" s="409"/>
      <c r="AY229" s="839">
        <f t="shared" si="0"/>
        <v>-3</v>
      </c>
      <c r="AZ229" s="371"/>
      <c r="BA229" s="70"/>
      <c r="BB229" s="70"/>
      <c r="BC229" s="70"/>
      <c r="BD229" s="70"/>
      <c r="BE229" s="70"/>
      <c r="BF229" s="70"/>
      <c r="BG229" s="70"/>
      <c r="BH229" s="70"/>
      <c r="BI229" s="70"/>
      <c r="BJ229" s="70"/>
      <c r="BK229" s="70"/>
      <c r="BL229" s="70"/>
      <c r="BM229" s="70"/>
      <c r="BN229" s="70"/>
      <c r="BO229" s="70"/>
      <c r="BP229" s="70"/>
      <c r="BQ229" s="70"/>
      <c r="BR229" s="70"/>
      <c r="BS229" s="70"/>
      <c r="BT229" s="70"/>
      <c r="BU229" s="70"/>
      <c r="BV229" s="70"/>
      <c r="BW229" s="70"/>
      <c r="BX229" s="70"/>
      <c r="BY229" s="70"/>
      <c r="BZ229" s="70"/>
      <c r="CA229" s="70"/>
      <c r="CB229" s="70"/>
      <c r="CC229" s="70"/>
      <c r="CD229" s="70"/>
      <c r="CE229" s="70"/>
      <c r="CF229" s="70"/>
      <c r="CG229" s="70"/>
      <c r="CH229" s="70"/>
      <c r="CI229" s="70"/>
      <c r="CJ229" s="70"/>
      <c r="CK229" s="70"/>
      <c r="CL229" s="70"/>
      <c r="CM229" s="70"/>
    </row>
    <row r="230" spans="28:91" ht="15" customHeight="1" x14ac:dyDescent="0.2">
      <c r="AD230" s="11">
        <f>640/622-1</f>
        <v>2.8938906752411508E-2</v>
      </c>
      <c r="AI230" s="369" t="s">
        <v>1920</v>
      </c>
      <c r="AJ230" s="393">
        <v>0.05</v>
      </c>
      <c r="AK230" s="393">
        <v>0.15</v>
      </c>
      <c r="AL230" s="371"/>
      <c r="AM230" s="398">
        <v>115</v>
      </c>
      <c r="AN230" s="398">
        <v>125</v>
      </c>
      <c r="AO230" s="398"/>
      <c r="AP230" s="398">
        <v>115</v>
      </c>
      <c r="AQ230" s="398">
        <v>125</v>
      </c>
      <c r="AR230" s="409"/>
      <c r="AS230" s="408">
        <v>120</v>
      </c>
      <c r="AT230" s="408">
        <v>125</v>
      </c>
      <c r="AU230" s="409"/>
      <c r="AV230" s="3948">
        <v>134</v>
      </c>
      <c r="AW230" s="3948"/>
      <c r="AX230" s="409"/>
      <c r="AY230" s="839">
        <f t="shared" si="0"/>
        <v>11.5</v>
      </c>
      <c r="AZ230" s="371"/>
      <c r="BA230" s="70"/>
      <c r="BB230" s="70"/>
      <c r="BC230" s="70"/>
      <c r="BD230" s="70"/>
      <c r="BE230" s="70"/>
      <c r="BF230" s="70"/>
      <c r="BG230" s="70"/>
      <c r="BH230" s="70"/>
      <c r="BI230" s="70"/>
      <c r="BJ230" s="70"/>
      <c r="BK230" s="70"/>
      <c r="BL230" s="70"/>
      <c r="BM230" s="70"/>
      <c r="BN230" s="70"/>
      <c r="BO230" s="70"/>
      <c r="BP230" s="70"/>
      <c r="BQ230" s="70"/>
      <c r="BR230" s="70"/>
      <c r="BS230" s="70"/>
      <c r="BT230" s="70"/>
      <c r="BU230" s="70"/>
      <c r="BV230" s="70"/>
      <c r="BW230" s="70"/>
      <c r="BX230" s="70"/>
      <c r="BY230" s="70"/>
      <c r="BZ230" s="70"/>
      <c r="CA230" s="70"/>
      <c r="CB230" s="70"/>
      <c r="CC230" s="70"/>
      <c r="CD230" s="70"/>
      <c r="CE230" s="70"/>
      <c r="CF230" s="70"/>
      <c r="CG230" s="70"/>
      <c r="CH230" s="70"/>
      <c r="CI230" s="70"/>
      <c r="CJ230" s="70"/>
      <c r="CK230" s="70"/>
      <c r="CL230" s="70"/>
      <c r="CM230" s="70"/>
    </row>
    <row r="231" spans="28:91" ht="15" customHeight="1" x14ac:dyDescent="0.2">
      <c r="AI231" s="213" t="s">
        <v>1919</v>
      </c>
      <c r="AJ231" s="391" t="s">
        <v>265</v>
      </c>
      <c r="AK231" s="391"/>
      <c r="AL231" s="371"/>
      <c r="AM231" s="398">
        <v>200</v>
      </c>
      <c r="AN231" s="398">
        <v>210</v>
      </c>
      <c r="AO231" s="399"/>
      <c r="AP231" s="398">
        <v>215</v>
      </c>
      <c r="AQ231" s="398">
        <v>225</v>
      </c>
      <c r="AR231" s="409"/>
      <c r="AS231" s="408">
        <v>205</v>
      </c>
      <c r="AT231" s="408">
        <v>215</v>
      </c>
      <c r="AU231" s="409"/>
      <c r="AV231" s="408">
        <v>198</v>
      </c>
      <c r="AW231" s="408">
        <v>203</v>
      </c>
      <c r="AX231" s="409"/>
      <c r="AY231" s="839">
        <f t="shared" si="0"/>
        <v>-9.5</v>
      </c>
      <c r="AZ231" s="371"/>
      <c r="BA231" s="70"/>
      <c r="BB231" s="70"/>
      <c r="BC231" s="70"/>
      <c r="BD231" s="70"/>
      <c r="BE231" s="70"/>
      <c r="BF231" s="70"/>
      <c r="BG231" s="70"/>
      <c r="BH231" s="70"/>
      <c r="BI231" s="70"/>
      <c r="BJ231" s="70"/>
      <c r="BK231" s="70"/>
      <c r="BL231" s="70"/>
      <c r="BM231" s="70"/>
      <c r="BN231" s="70"/>
      <c r="BO231" s="70"/>
      <c r="BP231" s="70"/>
      <c r="BQ231" s="70"/>
      <c r="BR231" s="70"/>
      <c r="BS231" s="70"/>
      <c r="BT231" s="70"/>
      <c r="BU231" s="70"/>
      <c r="BV231" s="70"/>
      <c r="BW231" s="70"/>
      <c r="BX231" s="70"/>
      <c r="BY231" s="70"/>
      <c r="BZ231" s="70"/>
      <c r="CA231" s="70"/>
      <c r="CB231" s="70"/>
      <c r="CC231" s="70"/>
      <c r="CD231" s="70"/>
      <c r="CE231" s="70"/>
      <c r="CF231" s="70"/>
      <c r="CG231" s="70"/>
      <c r="CH231" s="70"/>
      <c r="CI231" s="70"/>
      <c r="CJ231" s="70"/>
      <c r="CK231" s="70"/>
      <c r="CL231" s="70"/>
      <c r="CM231" s="70"/>
    </row>
    <row r="232" spans="28:91" ht="15" customHeight="1" x14ac:dyDescent="0.2">
      <c r="AB232" s="2"/>
      <c r="AI232" s="369"/>
      <c r="AJ232" s="388"/>
      <c r="AK232" s="388"/>
      <c r="AL232" s="388"/>
      <c r="AM232" s="400"/>
      <c r="AN232" s="400"/>
      <c r="AO232" s="400"/>
      <c r="AP232" s="400"/>
      <c r="AQ232" s="400"/>
      <c r="AR232" s="407"/>
      <c r="AS232" s="625"/>
      <c r="AT232" s="625"/>
      <c r="AU232" s="407"/>
      <c r="AV232" s="625"/>
      <c r="AW232" s="625"/>
      <c r="AX232" s="407"/>
      <c r="AY232" s="839"/>
      <c r="AZ232" s="388"/>
      <c r="BA232" s="70"/>
      <c r="BB232" s="70"/>
      <c r="BC232" s="70"/>
      <c r="BD232" s="70"/>
      <c r="BE232" s="70"/>
      <c r="BF232" s="70"/>
      <c r="BG232" s="70"/>
      <c r="BH232" s="70"/>
      <c r="BI232" s="70"/>
      <c r="BJ232" s="70"/>
      <c r="BK232" s="70"/>
      <c r="BL232" s="70"/>
      <c r="BM232" s="70"/>
      <c r="BN232" s="70"/>
      <c r="BO232" s="70"/>
      <c r="BP232" s="70"/>
      <c r="BQ232" s="70"/>
      <c r="BR232" s="70"/>
      <c r="BS232" s="70"/>
      <c r="BT232" s="70"/>
      <c r="BU232" s="70"/>
      <c r="BV232" s="70"/>
      <c r="BW232" s="70"/>
      <c r="BX232" s="70"/>
      <c r="BY232" s="70"/>
      <c r="BZ232" s="70"/>
      <c r="CA232" s="70"/>
      <c r="CB232" s="70"/>
      <c r="CC232" s="70"/>
      <c r="CD232" s="70"/>
      <c r="CE232" s="70"/>
      <c r="CF232" s="70"/>
      <c r="CG232" s="70"/>
      <c r="CH232" s="70"/>
      <c r="CI232" s="70"/>
      <c r="CJ232" s="70"/>
      <c r="CK232" s="70"/>
      <c r="CL232" s="70"/>
      <c r="CM232" s="70"/>
    </row>
    <row r="233" spans="28:91" ht="15" customHeight="1" x14ac:dyDescent="0.2">
      <c r="AI233" s="230" t="s">
        <v>1931</v>
      </c>
      <c r="AJ233" s="372"/>
      <c r="AK233" s="372"/>
      <c r="AL233" s="372"/>
      <c r="AM233" s="397"/>
      <c r="AN233" s="397"/>
      <c r="AO233" s="401"/>
      <c r="AP233" s="397"/>
      <c r="AQ233" s="397"/>
      <c r="AR233" s="410"/>
      <c r="AS233" s="626"/>
      <c r="AT233" s="626"/>
      <c r="AU233" s="410"/>
      <c r="AV233" s="626"/>
      <c r="AW233" s="626"/>
      <c r="AX233" s="410"/>
      <c r="AY233" s="839"/>
      <c r="AZ233" s="373"/>
      <c r="BA233" s="70"/>
      <c r="BB233" s="70"/>
      <c r="BC233" s="70"/>
      <c r="BD233" s="70"/>
      <c r="BE233" s="70"/>
      <c r="BF233" s="70"/>
      <c r="BG233" s="70"/>
      <c r="BH233" s="70"/>
      <c r="BI233" s="70"/>
      <c r="BJ233" s="70"/>
      <c r="BK233" s="70"/>
      <c r="BL233" s="70"/>
      <c r="BM233" s="70"/>
      <c r="BN233" s="70"/>
      <c r="BO233" s="70"/>
      <c r="BP233" s="70"/>
      <c r="BQ233" s="70"/>
      <c r="BR233" s="70"/>
      <c r="BS233" s="70"/>
      <c r="BT233" s="70"/>
      <c r="BU233" s="70"/>
      <c r="BV233" s="70"/>
      <c r="BW233" s="70"/>
      <c r="BX233" s="70"/>
      <c r="BY233" s="70"/>
      <c r="BZ233" s="70"/>
      <c r="CA233" s="70"/>
      <c r="CB233" s="70"/>
      <c r="CC233" s="70"/>
      <c r="CD233" s="70"/>
      <c r="CE233" s="70"/>
      <c r="CF233" s="70"/>
      <c r="CG233" s="70"/>
      <c r="CH233" s="70"/>
      <c r="CI233" s="70"/>
      <c r="CJ233" s="70"/>
      <c r="CK233" s="70"/>
      <c r="CL233" s="70"/>
      <c r="CM233" s="70"/>
    </row>
    <row r="234" spans="28:91" ht="15" customHeight="1" x14ac:dyDescent="0.2">
      <c r="AI234" s="369" t="s">
        <v>1946</v>
      </c>
      <c r="AJ234" s="393">
        <v>0.03</v>
      </c>
      <c r="AK234" s="393">
        <v>0.05</v>
      </c>
      <c r="AL234" s="371"/>
      <c r="AM234" s="398">
        <v>690</v>
      </c>
      <c r="AN234" s="398">
        <v>700</v>
      </c>
      <c r="AO234" s="398"/>
      <c r="AP234" s="398">
        <v>705</v>
      </c>
      <c r="AQ234" s="398">
        <v>715</v>
      </c>
      <c r="AR234" s="409"/>
      <c r="AS234" s="408">
        <v>710</v>
      </c>
      <c r="AT234" s="408">
        <v>720</v>
      </c>
      <c r="AU234" s="409"/>
      <c r="AV234" s="408">
        <v>723</v>
      </c>
      <c r="AW234" s="408">
        <v>733</v>
      </c>
      <c r="AX234" s="409"/>
      <c r="AY234" s="839">
        <f t="shared" si="0"/>
        <v>13</v>
      </c>
      <c r="AZ234" s="371"/>
      <c r="BA234" s="70"/>
      <c r="BB234" s="70"/>
      <c r="BC234" s="70"/>
      <c r="BD234" s="70"/>
      <c r="BE234" s="70"/>
      <c r="BF234" s="70"/>
      <c r="BG234" s="70"/>
      <c r="BH234" s="70"/>
      <c r="BI234" s="70"/>
      <c r="BJ234" s="70"/>
      <c r="BK234" s="70"/>
      <c r="BL234" s="70"/>
      <c r="BM234" s="70"/>
      <c r="BN234" s="70"/>
      <c r="BO234" s="70"/>
      <c r="BP234" s="70"/>
      <c r="BQ234" s="70"/>
      <c r="BR234" s="70"/>
      <c r="BS234" s="70"/>
      <c r="BT234" s="70"/>
      <c r="BU234" s="70"/>
      <c r="BV234" s="70"/>
      <c r="BW234" s="70"/>
      <c r="BX234" s="70"/>
      <c r="BY234" s="70"/>
      <c r="BZ234" s="70"/>
      <c r="CA234" s="70"/>
      <c r="CB234" s="70"/>
      <c r="CC234" s="70"/>
      <c r="CD234" s="70"/>
      <c r="CE234" s="70"/>
      <c r="CF234" s="70"/>
      <c r="CG234" s="70"/>
      <c r="CH234" s="70"/>
      <c r="CI234" s="70"/>
      <c r="CJ234" s="70"/>
      <c r="CK234" s="70"/>
      <c r="CL234" s="70"/>
      <c r="CM234" s="70"/>
    </row>
    <row r="235" spans="28:91" ht="15" customHeight="1" x14ac:dyDescent="0.2">
      <c r="AI235" s="213" t="s">
        <v>337</v>
      </c>
      <c r="AJ235" s="371">
        <v>25000</v>
      </c>
      <c r="AK235" s="371">
        <v>30000</v>
      </c>
      <c r="AL235" s="371"/>
      <c r="AM235" s="391">
        <v>35000</v>
      </c>
      <c r="AN235" s="391"/>
      <c r="AO235" s="399"/>
      <c r="AP235" s="391">
        <v>35000</v>
      </c>
      <c r="AQ235" s="391"/>
      <c r="AR235" s="409"/>
      <c r="AS235" s="391">
        <v>35000</v>
      </c>
      <c r="AT235" s="391"/>
      <c r="AU235" s="409"/>
      <c r="AV235" s="391">
        <v>30000</v>
      </c>
      <c r="AW235" s="391"/>
      <c r="AX235" s="409"/>
      <c r="AY235" s="839">
        <f t="shared" si="0"/>
        <v>-5000</v>
      </c>
      <c r="AZ235" s="371"/>
      <c r="BA235" s="70"/>
      <c r="BB235" s="70"/>
      <c r="BC235" s="70"/>
      <c r="BD235" s="70"/>
      <c r="BE235" s="70"/>
      <c r="BF235" s="70"/>
      <c r="BG235" s="70"/>
      <c r="BH235" s="70"/>
      <c r="BI235" s="70"/>
      <c r="BJ235" s="70"/>
      <c r="BK235" s="70"/>
      <c r="BL235" s="70"/>
      <c r="BM235" s="70"/>
      <c r="BN235" s="70"/>
      <c r="BO235" s="70"/>
      <c r="BP235" s="70"/>
      <c r="BQ235" s="70"/>
      <c r="BR235" s="70"/>
      <c r="BS235" s="70"/>
      <c r="BT235" s="70"/>
      <c r="BU235" s="70"/>
      <c r="BV235" s="70"/>
      <c r="BW235" s="70"/>
      <c r="BX235" s="70"/>
      <c r="BY235" s="70"/>
      <c r="BZ235" s="70"/>
      <c r="CA235" s="70"/>
      <c r="CB235" s="70"/>
      <c r="CC235" s="70"/>
      <c r="CD235" s="70"/>
      <c r="CE235" s="70"/>
      <c r="CF235" s="70"/>
      <c r="CG235" s="70"/>
      <c r="CH235" s="70"/>
      <c r="CI235" s="70"/>
      <c r="CJ235" s="70"/>
      <c r="CK235" s="70"/>
      <c r="CL235" s="70"/>
      <c r="CM235" s="70"/>
    </row>
    <row r="236" spans="28:91" ht="15" customHeight="1" x14ac:dyDescent="0.2">
      <c r="AI236" s="213" t="s">
        <v>1343</v>
      </c>
      <c r="AJ236" s="371"/>
      <c r="AK236" s="371"/>
      <c r="AL236" s="371"/>
      <c r="AM236" s="391"/>
      <c r="AN236" s="391"/>
      <c r="AO236" s="399"/>
      <c r="AP236" s="391">
        <v>920</v>
      </c>
      <c r="AQ236" s="391">
        <v>980</v>
      </c>
      <c r="AR236" s="409"/>
      <c r="AS236" s="408">
        <v>910</v>
      </c>
      <c r="AT236" s="408">
        <v>955</v>
      </c>
      <c r="AU236" s="409"/>
      <c r="AV236" s="408">
        <v>906</v>
      </c>
      <c r="AW236" s="408">
        <v>931</v>
      </c>
      <c r="AX236" s="409"/>
      <c r="AY236" s="839">
        <f t="shared" si="0"/>
        <v>-14</v>
      </c>
      <c r="AZ236" s="371"/>
      <c r="BA236" s="70"/>
      <c r="BB236" s="70"/>
      <c r="BC236" s="70"/>
      <c r="BD236" s="70"/>
      <c r="BE236" s="70"/>
      <c r="BF236" s="70"/>
      <c r="BG236" s="70"/>
      <c r="BH236" s="70"/>
      <c r="BI236" s="70"/>
      <c r="BJ236" s="70"/>
      <c r="BK236" s="70"/>
      <c r="BL236" s="70"/>
      <c r="BM236" s="70"/>
      <c r="BN236" s="70"/>
      <c r="BO236" s="70"/>
      <c r="BP236" s="70"/>
      <c r="BQ236" s="70"/>
      <c r="BR236" s="70"/>
      <c r="BS236" s="70"/>
      <c r="BT236" s="70"/>
      <c r="BU236" s="70"/>
      <c r="BV236" s="70"/>
      <c r="BW236" s="70"/>
      <c r="BX236" s="70"/>
      <c r="BY236" s="70"/>
      <c r="BZ236" s="70"/>
      <c r="CA236" s="70"/>
      <c r="CB236" s="70"/>
      <c r="CC236" s="70"/>
      <c r="CD236" s="70"/>
      <c r="CE236" s="70"/>
      <c r="CF236" s="70"/>
      <c r="CG236" s="70"/>
      <c r="CH236" s="70"/>
      <c r="CI236" s="70"/>
      <c r="CJ236" s="70"/>
      <c r="CK236" s="70"/>
      <c r="CL236" s="70"/>
      <c r="CM236" s="70"/>
    </row>
    <row r="237" spans="28:91" ht="15" customHeight="1" x14ac:dyDescent="0.2">
      <c r="AI237" s="213" t="s">
        <v>1863</v>
      </c>
      <c r="AJ237" s="388"/>
      <c r="AK237" s="388"/>
      <c r="AL237" s="388"/>
      <c r="AM237" s="398">
        <v>1170</v>
      </c>
      <c r="AN237" s="398">
        <v>1230</v>
      </c>
      <c r="AO237" s="388"/>
      <c r="AP237" s="398">
        <v>1155</v>
      </c>
      <c r="AQ237" s="398">
        <v>1215</v>
      </c>
      <c r="AR237" s="407"/>
      <c r="AS237" s="408">
        <v>1135</v>
      </c>
      <c r="AT237" s="408">
        <v>1180</v>
      </c>
      <c r="AU237" s="407"/>
      <c r="AV237" s="408">
        <v>1112</v>
      </c>
      <c r="AW237" s="408">
        <v>1132</v>
      </c>
      <c r="AX237" s="407"/>
      <c r="AY237" s="839">
        <f t="shared" si="0"/>
        <v>-35.5</v>
      </c>
      <c r="AZ237" s="388"/>
      <c r="BA237" s="70"/>
      <c r="BB237" s="70"/>
      <c r="BC237" s="70"/>
      <c r="BD237" s="70"/>
      <c r="BE237" s="70"/>
      <c r="BF237" s="70"/>
      <c r="BG237" s="70"/>
      <c r="BH237" s="70"/>
      <c r="BI237" s="70"/>
      <c r="BJ237" s="70"/>
      <c r="BK237" s="70"/>
      <c r="BL237" s="70"/>
      <c r="BM237" s="70"/>
      <c r="BN237" s="70"/>
      <c r="BO237" s="70"/>
      <c r="BP237" s="70"/>
      <c r="BQ237" s="70"/>
      <c r="BR237" s="70"/>
      <c r="BS237" s="70"/>
      <c r="BT237" s="70"/>
      <c r="BU237" s="70"/>
      <c r="BV237" s="70"/>
      <c r="BW237" s="70"/>
      <c r="BX237" s="70"/>
      <c r="BY237" s="70"/>
      <c r="BZ237" s="70"/>
      <c r="CA237" s="70"/>
      <c r="CB237" s="70"/>
      <c r="CC237" s="70"/>
      <c r="CD237" s="70"/>
      <c r="CE237" s="70"/>
      <c r="CF237" s="70"/>
      <c r="CG237" s="70"/>
      <c r="CH237" s="70"/>
      <c r="CI237" s="70"/>
      <c r="CJ237" s="70"/>
      <c r="CK237" s="70"/>
      <c r="CL237" s="70"/>
      <c r="CM237" s="70"/>
    </row>
    <row r="238" spans="28:91" ht="15" customHeight="1" x14ac:dyDescent="0.2">
      <c r="AI238" s="213"/>
      <c r="AJ238" s="389"/>
      <c r="AK238" s="389"/>
      <c r="AL238" s="389"/>
      <c r="AM238" s="402"/>
      <c r="AN238" s="371"/>
      <c r="AO238" s="371"/>
      <c r="AP238" s="402"/>
      <c r="AQ238" s="371"/>
      <c r="AR238" s="409"/>
      <c r="AS238" s="627"/>
      <c r="AT238" s="409"/>
      <c r="AU238" s="409"/>
      <c r="AV238" s="627"/>
      <c r="AW238" s="409"/>
      <c r="AX238" s="409"/>
      <c r="AY238" s="838"/>
      <c r="AZ238" s="371"/>
      <c r="BA238" s="70"/>
      <c r="BB238" s="70"/>
      <c r="BC238" s="70"/>
      <c r="BD238" s="70"/>
      <c r="BE238" s="70"/>
      <c r="BF238" s="70"/>
      <c r="BG238" s="70"/>
      <c r="BH238" s="70"/>
      <c r="BI238" s="70"/>
      <c r="BJ238" s="70"/>
      <c r="BK238" s="70"/>
      <c r="BL238" s="70"/>
      <c r="BM238" s="70"/>
      <c r="BN238" s="70"/>
      <c r="BO238" s="70"/>
      <c r="BP238" s="70"/>
      <c r="BQ238" s="70"/>
      <c r="BR238" s="70"/>
      <c r="BS238" s="70"/>
      <c r="BT238" s="70"/>
      <c r="BU238" s="70"/>
      <c r="BV238" s="70"/>
      <c r="BW238" s="70"/>
      <c r="BX238" s="70"/>
      <c r="BY238" s="70"/>
      <c r="BZ238" s="70"/>
      <c r="CA238" s="70"/>
      <c r="CB238" s="70"/>
      <c r="CC238" s="70"/>
      <c r="CD238" s="70"/>
      <c r="CE238" s="70"/>
      <c r="CF238" s="70"/>
      <c r="CG238" s="70"/>
      <c r="CH238" s="70"/>
      <c r="CI238" s="70"/>
      <c r="CJ238" s="70"/>
      <c r="CK238" s="70"/>
      <c r="CL238" s="70"/>
      <c r="CM238" s="70"/>
    </row>
    <row r="239" spans="28:91" ht="15" customHeight="1" x14ac:dyDescent="0.2">
      <c r="AI239" s="213" t="s">
        <v>1204</v>
      </c>
      <c r="AJ239" s="389"/>
      <c r="AK239" s="389"/>
      <c r="AL239" s="389"/>
      <c r="AM239" s="397">
        <v>0.34</v>
      </c>
      <c r="AN239" s="396"/>
      <c r="AO239" s="396"/>
      <c r="AP239" s="397">
        <v>0.34</v>
      </c>
      <c r="AQ239" s="396"/>
      <c r="AR239" s="410"/>
      <c r="AS239" s="626">
        <v>0.34</v>
      </c>
      <c r="AT239" s="628"/>
      <c r="AU239" s="410"/>
      <c r="AV239" s="626">
        <v>0.33</v>
      </c>
      <c r="AW239" s="628"/>
      <c r="AX239" s="410"/>
      <c r="AY239" s="838">
        <f t="shared" si="0"/>
        <v>-1.0000000000000009E-2</v>
      </c>
      <c r="AZ239" s="373"/>
      <c r="BA239" s="70"/>
      <c r="BB239" s="70"/>
      <c r="BC239" s="70"/>
      <c r="BD239" s="70"/>
      <c r="BE239" s="70"/>
      <c r="BF239" s="70"/>
      <c r="BG239" s="70"/>
      <c r="BH239" s="70"/>
      <c r="BI239" s="70"/>
      <c r="BJ239" s="70"/>
      <c r="BK239" s="70"/>
      <c r="BL239" s="70"/>
      <c r="BM239" s="70"/>
      <c r="BN239" s="70"/>
      <c r="BO239" s="70"/>
      <c r="BP239" s="70"/>
      <c r="BQ239" s="70"/>
      <c r="BR239" s="70"/>
      <c r="BS239" s="70"/>
      <c r="BT239" s="70"/>
      <c r="BU239" s="70"/>
      <c r="BV239" s="70"/>
      <c r="BW239" s="70"/>
      <c r="BX239" s="70"/>
      <c r="BY239" s="70"/>
      <c r="BZ239" s="70"/>
      <c r="CA239" s="70"/>
      <c r="CB239" s="70"/>
      <c r="CC239" s="70"/>
      <c r="CD239" s="70"/>
      <c r="CE239" s="70"/>
      <c r="CF239" s="70"/>
      <c r="CG239" s="70"/>
      <c r="CH239" s="70"/>
      <c r="CI239" s="70"/>
      <c r="CJ239" s="70"/>
      <c r="CK239" s="70"/>
      <c r="CL239" s="70"/>
      <c r="CM239" s="70"/>
    </row>
    <row r="240" spans="28:91" ht="15" customHeight="1" thickBot="1" x14ac:dyDescent="0.25">
      <c r="AI240" s="369" t="s">
        <v>338</v>
      </c>
      <c r="AJ240" s="389"/>
      <c r="AK240" s="389"/>
      <c r="AL240" s="389"/>
      <c r="AM240" s="403">
        <v>1.35</v>
      </c>
      <c r="AN240" s="403">
        <v>1.45</v>
      </c>
      <c r="AO240" s="371"/>
      <c r="AP240" s="403">
        <v>1.35</v>
      </c>
      <c r="AQ240" s="403">
        <v>1.45</v>
      </c>
      <c r="AR240" s="409"/>
      <c r="AS240" s="629">
        <v>1.35</v>
      </c>
      <c r="AT240" s="629">
        <v>1.43</v>
      </c>
      <c r="AU240" s="409"/>
      <c r="AV240" s="629">
        <v>1.37</v>
      </c>
      <c r="AW240" s="629">
        <v>1.42</v>
      </c>
      <c r="AX240" s="409"/>
      <c r="AY240" s="840">
        <f t="shared" si="0"/>
        <v>4.9999999999998934E-3</v>
      </c>
      <c r="AZ240" s="371"/>
      <c r="BA240" s="70"/>
      <c r="BB240" s="70"/>
      <c r="BC240" s="70"/>
      <c r="BD240" s="70"/>
      <c r="BE240" s="70"/>
      <c r="BF240" s="70"/>
      <c r="BG240" s="70"/>
      <c r="BH240" s="70"/>
      <c r="BI240" s="70"/>
      <c r="BJ240" s="70"/>
      <c r="BK240" s="70"/>
      <c r="BL240" s="70"/>
      <c r="BM240" s="70"/>
      <c r="BN240" s="70"/>
      <c r="BO240" s="70"/>
      <c r="BP240" s="70"/>
      <c r="BQ240" s="70"/>
      <c r="BR240" s="70"/>
      <c r="BS240" s="70"/>
      <c r="BT240" s="70"/>
      <c r="BU240" s="70"/>
      <c r="BV240" s="70"/>
      <c r="BW240" s="70"/>
      <c r="BX240" s="70"/>
      <c r="BY240" s="70"/>
      <c r="BZ240" s="70"/>
      <c r="CA240" s="70"/>
      <c r="CB240" s="70"/>
      <c r="CC240" s="70"/>
      <c r="CD240" s="70"/>
      <c r="CE240" s="70"/>
      <c r="CF240" s="70"/>
      <c r="CG240" s="70"/>
      <c r="CH240" s="70"/>
      <c r="CI240" s="70"/>
      <c r="CJ240" s="70"/>
      <c r="CK240" s="70"/>
      <c r="CL240" s="70"/>
      <c r="CM240" s="70"/>
    </row>
    <row r="241" spans="35:91" ht="12.75" x14ac:dyDescent="0.2">
      <c r="AI241" s="546"/>
      <c r="AJ241" s="546"/>
      <c r="AK241" s="546"/>
      <c r="AL241" s="546"/>
      <c r="AM241" s="546"/>
      <c r="AN241" s="546"/>
      <c r="AO241" s="546"/>
      <c r="AP241" s="546"/>
      <c r="AQ241" s="546"/>
      <c r="AR241" s="546"/>
      <c r="AS241" s="546"/>
      <c r="AT241" s="546"/>
      <c r="AU241" s="546"/>
      <c r="AV241" s="546"/>
      <c r="AW241" s="546"/>
      <c r="AX241" s="546"/>
      <c r="AY241" s="546"/>
      <c r="AZ241" s="546"/>
      <c r="BA241" s="70"/>
      <c r="BB241" s="70"/>
      <c r="BC241" s="70"/>
      <c r="BD241" s="70"/>
      <c r="BE241" s="70"/>
      <c r="BF241" s="70"/>
      <c r="BG241" s="70"/>
      <c r="BH241" s="70"/>
      <c r="BI241" s="70"/>
      <c r="BJ241" s="70"/>
      <c r="BK241" s="70"/>
      <c r="BL241" s="70"/>
      <c r="BM241" s="70"/>
      <c r="BN241" s="70"/>
      <c r="BO241" s="70"/>
      <c r="BP241" s="70"/>
      <c r="BQ241" s="70"/>
      <c r="BR241" s="70"/>
      <c r="BS241" s="70"/>
      <c r="BT241" s="70"/>
      <c r="BU241" s="70"/>
      <c r="BV241" s="70"/>
      <c r="BW241" s="70"/>
      <c r="BX241" s="70"/>
      <c r="BY241" s="70"/>
      <c r="BZ241" s="70"/>
      <c r="CA241" s="70"/>
      <c r="CB241" s="70"/>
      <c r="CC241" s="70"/>
      <c r="CD241" s="70"/>
      <c r="CE241" s="70"/>
      <c r="CF241" s="70"/>
      <c r="CG241" s="70"/>
      <c r="CH241" s="70"/>
      <c r="CI241" s="70"/>
      <c r="CJ241" s="70"/>
      <c r="CK241" s="70"/>
      <c r="CL241" s="70"/>
      <c r="CM241" s="70"/>
    </row>
    <row r="242" spans="35:91" ht="12.75" x14ac:dyDescent="0.2">
      <c r="AI242" s="546"/>
      <c r="AJ242" s="546"/>
      <c r="AK242" s="546"/>
      <c r="AL242" s="546"/>
      <c r="AM242" s="546"/>
      <c r="AN242" s="546"/>
      <c r="AO242" s="546"/>
      <c r="AP242" s="546"/>
      <c r="AQ242" s="546"/>
      <c r="AR242" s="546"/>
      <c r="AS242" s="546"/>
      <c r="AT242" s="546"/>
      <c r="AU242" s="546"/>
      <c r="AV242" s="546"/>
      <c r="AW242" s="546"/>
      <c r="AX242" s="546"/>
      <c r="AY242" s="546"/>
      <c r="AZ242" s="546"/>
      <c r="BA242" s="70"/>
      <c r="BB242" s="70"/>
      <c r="BC242" s="70"/>
      <c r="BD242" s="70"/>
      <c r="BE242" s="70"/>
      <c r="BF242" s="70"/>
      <c r="BG242" s="70"/>
      <c r="BH242" s="70"/>
      <c r="BI242" s="70"/>
      <c r="BJ242" s="70"/>
      <c r="BK242" s="70"/>
      <c r="BL242" s="70"/>
      <c r="BM242" s="70"/>
      <c r="BN242" s="70"/>
      <c r="BO242" s="70"/>
      <c r="BP242" s="70"/>
      <c r="BQ242" s="70"/>
      <c r="BR242" s="70"/>
      <c r="BS242" s="70"/>
      <c r="BT242" s="70"/>
      <c r="BU242" s="70"/>
      <c r="BV242" s="70"/>
      <c r="BW242" s="70"/>
      <c r="BX242" s="70"/>
      <c r="BY242" s="70"/>
      <c r="BZ242" s="70"/>
      <c r="CA242" s="70"/>
      <c r="CB242" s="70"/>
      <c r="CC242" s="70"/>
      <c r="CD242" s="70"/>
      <c r="CE242" s="70"/>
      <c r="CF242" s="70"/>
      <c r="CG242" s="70"/>
      <c r="CH242" s="70"/>
      <c r="CI242" s="70"/>
      <c r="CJ242" s="70"/>
      <c r="CK242" s="70"/>
      <c r="CL242" s="70"/>
      <c r="CM242" s="70"/>
    </row>
    <row r="243" spans="35:91" ht="12.75" x14ac:dyDescent="0.2">
      <c r="AR243" s="70"/>
      <c r="AS243" s="70"/>
      <c r="AT243" s="70"/>
      <c r="AU243" s="70"/>
      <c r="AV243" s="70"/>
      <c r="AW243" s="70"/>
      <c r="AX243" s="70"/>
      <c r="AY243" s="70"/>
      <c r="AZ243" s="546"/>
      <c r="BA243" s="70"/>
      <c r="BB243" s="70"/>
      <c r="BC243" s="70"/>
      <c r="BD243" s="70"/>
      <c r="BE243" s="70"/>
      <c r="BF243" s="70"/>
      <c r="BG243" s="70"/>
      <c r="BH243" s="70"/>
      <c r="BI243" s="70"/>
      <c r="BJ243" s="70"/>
      <c r="BK243" s="70"/>
      <c r="BL243" s="70"/>
      <c r="BM243" s="70"/>
      <c r="BN243" s="70"/>
      <c r="BO243" s="70"/>
      <c r="BP243" s="70"/>
      <c r="BQ243" s="70"/>
      <c r="BR243" s="70"/>
      <c r="BS243" s="70"/>
      <c r="BT243" s="70"/>
      <c r="BU243" s="70"/>
      <c r="BV243" s="70"/>
      <c r="BW243" s="70"/>
      <c r="BX243" s="70"/>
      <c r="BY243" s="70"/>
      <c r="BZ243" s="70"/>
      <c r="CA243" s="70"/>
      <c r="CB243" s="70"/>
      <c r="CC243" s="70"/>
      <c r="CD243" s="70"/>
      <c r="CE243" s="70"/>
      <c r="CF243" s="70"/>
      <c r="CG243" s="70"/>
      <c r="CH243" s="70"/>
      <c r="CI243" s="70"/>
      <c r="CJ243" s="70"/>
      <c r="CK243" s="70"/>
      <c r="CL243" s="70"/>
      <c r="CM243" s="70"/>
    </row>
    <row r="244" spans="35:91" ht="6" customHeight="1" x14ac:dyDescent="0.2">
      <c r="AR244" s="70"/>
      <c r="AS244" s="70"/>
      <c r="AT244" s="70"/>
      <c r="AU244" s="70"/>
      <c r="AV244" s="70"/>
      <c r="AW244" s="70"/>
      <c r="AX244" s="70"/>
      <c r="AY244" s="70"/>
      <c r="AZ244" s="546"/>
      <c r="BA244" s="70"/>
      <c r="BB244" s="70"/>
      <c r="BC244" s="70"/>
      <c r="BD244" s="70"/>
      <c r="BE244" s="70"/>
      <c r="BF244" s="70"/>
      <c r="BG244" s="70"/>
      <c r="BH244" s="70"/>
      <c r="BI244" s="70"/>
      <c r="BJ244" s="70"/>
      <c r="BK244" s="70"/>
      <c r="BL244" s="70"/>
      <c r="BM244" s="70"/>
      <c r="BN244" s="70"/>
      <c r="BO244" s="70"/>
      <c r="BP244" s="70"/>
      <c r="BQ244" s="70"/>
      <c r="BR244" s="70"/>
      <c r="BS244" s="70"/>
      <c r="BT244" s="70"/>
      <c r="BU244" s="70"/>
      <c r="BV244" s="70"/>
      <c r="BW244" s="70"/>
      <c r="BX244" s="70"/>
      <c r="BY244" s="70"/>
      <c r="BZ244" s="70"/>
      <c r="CA244" s="70"/>
      <c r="CB244" s="70"/>
      <c r="CC244" s="70"/>
      <c r="CD244" s="70"/>
      <c r="CE244" s="70"/>
      <c r="CF244" s="70"/>
      <c r="CG244" s="70"/>
      <c r="CH244" s="70"/>
      <c r="CI244" s="70"/>
      <c r="CJ244" s="70"/>
      <c r="CK244" s="70"/>
      <c r="CL244" s="70"/>
      <c r="CM244" s="70"/>
    </row>
    <row r="245" spans="35:91" ht="12.75" x14ac:dyDescent="0.2">
      <c r="AR245" s="390"/>
      <c r="AS245" s="390"/>
      <c r="AT245" s="390"/>
      <c r="AU245" s="390"/>
      <c r="AV245" s="390"/>
      <c r="AW245" s="390"/>
      <c r="AX245" s="390"/>
      <c r="AY245" s="390"/>
      <c r="AZ245" s="546"/>
      <c r="BA245" s="70"/>
      <c r="BB245" s="70"/>
      <c r="BC245" s="70"/>
      <c r="BD245" s="70"/>
      <c r="BE245" s="70"/>
      <c r="BF245" s="70"/>
      <c r="BG245" s="70"/>
      <c r="BH245" s="70"/>
      <c r="BI245" s="70"/>
      <c r="BJ245" s="70"/>
      <c r="BK245" s="70"/>
      <c r="BL245" s="70"/>
      <c r="BM245" s="70"/>
      <c r="BN245" s="70"/>
      <c r="BO245" s="70"/>
      <c r="BP245" s="70"/>
      <c r="BQ245" s="70"/>
      <c r="BR245" s="70"/>
      <c r="BS245" s="70"/>
      <c r="BT245" s="70"/>
      <c r="BU245" s="70"/>
      <c r="BV245" s="70"/>
      <c r="BW245" s="70"/>
      <c r="BX245" s="70"/>
      <c r="BY245" s="70"/>
      <c r="BZ245" s="70"/>
      <c r="CA245" s="70"/>
      <c r="CB245" s="70"/>
      <c r="CC245" s="70"/>
      <c r="CD245" s="70"/>
      <c r="CE245" s="70"/>
      <c r="CF245" s="70"/>
      <c r="CG245" s="70"/>
      <c r="CH245" s="70"/>
      <c r="CI245" s="70"/>
      <c r="CJ245" s="70"/>
      <c r="CK245" s="70"/>
      <c r="CL245" s="70"/>
      <c r="CM245" s="70"/>
    </row>
    <row r="246" spans="35:91" ht="12.75" x14ac:dyDescent="0.2">
      <c r="AR246" s="621"/>
      <c r="AS246" s="621"/>
      <c r="AT246" s="621"/>
      <c r="AU246" s="621"/>
      <c r="AV246" s="621"/>
      <c r="AW246" s="621"/>
      <c r="AX246" s="621"/>
      <c r="AY246" s="390"/>
      <c r="AZ246" s="546"/>
      <c r="BA246" s="70"/>
      <c r="BB246" s="70"/>
      <c r="BC246" s="70"/>
      <c r="BD246" s="70"/>
      <c r="BE246" s="70"/>
      <c r="BF246" s="70"/>
      <c r="BG246" s="70"/>
      <c r="BH246" s="70"/>
      <c r="BI246" s="70"/>
      <c r="BJ246" s="70"/>
      <c r="BK246" s="70"/>
      <c r="BL246" s="70"/>
      <c r="BM246" s="70"/>
      <c r="BN246" s="70"/>
      <c r="BO246" s="70"/>
      <c r="BP246" s="70"/>
      <c r="BQ246" s="70"/>
      <c r="BR246" s="70"/>
      <c r="BS246" s="70"/>
      <c r="BT246" s="70"/>
      <c r="BU246" s="70"/>
      <c r="BV246" s="70"/>
      <c r="BW246" s="70"/>
      <c r="BX246" s="70"/>
      <c r="BY246" s="70"/>
      <c r="BZ246" s="70"/>
      <c r="CA246" s="70"/>
      <c r="CB246" s="70"/>
      <c r="CC246" s="70"/>
      <c r="CD246" s="70"/>
      <c r="CE246" s="70"/>
      <c r="CF246" s="70"/>
      <c r="CG246" s="70"/>
      <c r="CH246" s="70"/>
      <c r="CI246" s="70"/>
      <c r="CJ246" s="70"/>
      <c r="CK246" s="70"/>
      <c r="CL246" s="70"/>
      <c r="CM246" s="70"/>
    </row>
    <row r="247" spans="35:91" ht="12.75" x14ac:dyDescent="0.2">
      <c r="AR247" s="390"/>
      <c r="AS247" s="390"/>
      <c r="AT247" s="390"/>
      <c r="AU247" s="390"/>
      <c r="AV247" s="390"/>
      <c r="AW247" s="390"/>
      <c r="AX247" s="390"/>
      <c r="AY247" s="390"/>
      <c r="AZ247" s="546"/>
      <c r="BA247" s="70"/>
      <c r="BB247" s="70"/>
      <c r="BC247" s="70"/>
      <c r="BD247" s="70"/>
      <c r="BE247" s="70"/>
      <c r="BF247" s="70"/>
      <c r="BG247" s="70"/>
      <c r="BH247" s="70"/>
      <c r="BI247" s="70"/>
      <c r="BJ247" s="70"/>
      <c r="BK247" s="70"/>
      <c r="BL247" s="70"/>
      <c r="BM247" s="70"/>
      <c r="BN247" s="70"/>
      <c r="BO247" s="70"/>
      <c r="BP247" s="70"/>
      <c r="BQ247" s="70"/>
      <c r="BR247" s="70"/>
      <c r="BS247" s="70"/>
      <c r="BT247" s="70"/>
      <c r="BU247" s="70"/>
      <c r="BV247" s="70"/>
      <c r="BW247" s="70"/>
      <c r="BX247" s="70"/>
      <c r="BY247" s="70"/>
      <c r="BZ247" s="70"/>
      <c r="CA247" s="70"/>
      <c r="CB247" s="70"/>
      <c r="CC247" s="70"/>
      <c r="CD247" s="70"/>
      <c r="CE247" s="70"/>
      <c r="CF247" s="70"/>
      <c r="CG247" s="70"/>
      <c r="CH247" s="70"/>
      <c r="CI247" s="70"/>
      <c r="CJ247" s="70"/>
      <c r="CK247" s="70"/>
      <c r="CL247" s="70"/>
      <c r="CM247" s="70"/>
    </row>
    <row r="248" spans="35:91" ht="12.75" x14ac:dyDescent="0.2">
      <c r="AR248" s="390"/>
      <c r="AS248" s="390"/>
      <c r="AT248" s="390"/>
      <c r="AU248" s="390"/>
      <c r="AV248" s="390"/>
      <c r="AW248" s="390"/>
      <c r="AX248" s="390"/>
      <c r="AY248" s="390"/>
      <c r="AZ248" s="546"/>
      <c r="BA248" s="70"/>
      <c r="BB248" s="70"/>
      <c r="BC248" s="70"/>
      <c r="BD248" s="70"/>
      <c r="BE248" s="70"/>
      <c r="BF248" s="70"/>
      <c r="BG248" s="70"/>
      <c r="BH248" s="70"/>
      <c r="BI248" s="70"/>
      <c r="BJ248" s="70"/>
      <c r="BK248" s="70"/>
      <c r="BL248" s="70"/>
      <c r="BM248" s="70"/>
      <c r="BN248" s="70"/>
      <c r="BO248" s="70"/>
      <c r="BP248" s="70"/>
      <c r="BQ248" s="70"/>
      <c r="BR248" s="70"/>
      <c r="BS248" s="70"/>
      <c r="BT248" s="70"/>
      <c r="BU248" s="70"/>
      <c r="BV248" s="70"/>
      <c r="BW248" s="70"/>
      <c r="BX248" s="70"/>
      <c r="BY248" s="70"/>
      <c r="BZ248" s="70"/>
      <c r="CA248" s="70"/>
      <c r="CB248" s="70"/>
      <c r="CC248" s="70"/>
      <c r="CD248" s="70"/>
      <c r="CE248" s="70"/>
      <c r="CF248" s="70"/>
      <c r="CG248" s="70"/>
      <c r="CH248" s="70"/>
      <c r="CI248" s="70"/>
      <c r="CJ248" s="70"/>
      <c r="CK248" s="70"/>
      <c r="CL248" s="70"/>
      <c r="CM248" s="70"/>
    </row>
    <row r="249" spans="35:91" ht="12.75" x14ac:dyDescent="0.2">
      <c r="AR249" s="405"/>
      <c r="AS249" s="406"/>
      <c r="AT249" s="406"/>
      <c r="AU249" s="405"/>
      <c r="AV249" s="405"/>
      <c r="AW249" s="405"/>
      <c r="AX249" s="405"/>
      <c r="AY249" s="1106"/>
      <c r="AZ249" s="546"/>
      <c r="BA249" s="70"/>
      <c r="BB249" s="70"/>
      <c r="BC249" s="70"/>
      <c r="BD249" s="70"/>
      <c r="BE249" s="70"/>
      <c r="BF249" s="70"/>
      <c r="BG249" s="70"/>
      <c r="BH249" s="70"/>
      <c r="BI249" s="70"/>
      <c r="BJ249" s="70"/>
      <c r="BK249" s="70"/>
      <c r="BL249" s="70"/>
      <c r="BM249" s="70"/>
      <c r="BN249" s="70"/>
      <c r="BO249" s="70"/>
      <c r="BP249" s="70"/>
      <c r="BQ249" s="70"/>
      <c r="BR249" s="70"/>
      <c r="BS249" s="70"/>
      <c r="BT249" s="70"/>
      <c r="BU249" s="70"/>
      <c r="BV249" s="70"/>
      <c r="BW249" s="70"/>
      <c r="BX249" s="70"/>
      <c r="BY249" s="70"/>
      <c r="BZ249" s="70"/>
      <c r="CA249" s="70"/>
      <c r="CB249" s="70"/>
      <c r="CC249" s="70"/>
      <c r="CD249" s="70"/>
      <c r="CE249" s="70"/>
      <c r="CF249" s="70"/>
      <c r="CG249" s="70"/>
      <c r="CH249" s="70"/>
      <c r="CI249" s="70"/>
      <c r="CJ249" s="70"/>
      <c r="CK249" s="70"/>
      <c r="CL249" s="70"/>
      <c r="CM249" s="70"/>
    </row>
    <row r="250" spans="35:91" ht="12.75" x14ac:dyDescent="0.2">
      <c r="AR250" s="405"/>
      <c r="AS250" s="406"/>
      <c r="AT250" s="406"/>
      <c r="AU250" s="405"/>
      <c r="AV250" s="405"/>
      <c r="AW250" s="405"/>
      <c r="AX250" s="405"/>
      <c r="AY250" s="1106"/>
      <c r="AZ250" s="546"/>
      <c r="BA250" s="70"/>
      <c r="BB250" s="70"/>
      <c r="BC250" s="70"/>
      <c r="BD250" s="70"/>
      <c r="BE250" s="70"/>
      <c r="BF250" s="70"/>
      <c r="BG250" s="70"/>
      <c r="BH250" s="70"/>
      <c r="BI250" s="70"/>
      <c r="BJ250" s="70"/>
      <c r="BK250" s="70"/>
      <c r="BL250" s="70"/>
      <c r="BM250" s="70"/>
      <c r="BN250" s="70"/>
      <c r="BO250" s="70"/>
      <c r="BP250" s="70"/>
      <c r="BQ250" s="70"/>
      <c r="BR250" s="70"/>
      <c r="BS250" s="70"/>
      <c r="BT250" s="70"/>
      <c r="BU250" s="70"/>
      <c r="BV250" s="70"/>
      <c r="BW250" s="70"/>
      <c r="BX250" s="70"/>
      <c r="BY250" s="70"/>
      <c r="BZ250" s="70"/>
      <c r="CA250" s="70"/>
      <c r="CB250" s="70"/>
      <c r="CC250" s="70"/>
      <c r="CD250" s="70"/>
      <c r="CE250" s="70"/>
      <c r="CF250" s="70"/>
      <c r="CG250" s="70"/>
      <c r="CH250" s="70"/>
      <c r="CI250" s="70"/>
      <c r="CJ250" s="70"/>
      <c r="CK250" s="70"/>
      <c r="CL250" s="70"/>
      <c r="CM250" s="70"/>
    </row>
    <row r="251" spans="35:91" ht="12.75" x14ac:dyDescent="0.2">
      <c r="AR251" s="405"/>
      <c r="AS251" s="406"/>
      <c r="AT251" s="406"/>
      <c r="AU251" s="405"/>
      <c r="AV251" s="405"/>
      <c r="AW251" s="405"/>
      <c r="AX251" s="405"/>
      <c r="AY251" s="1106"/>
      <c r="AZ251" s="546"/>
      <c r="BA251" s="70"/>
      <c r="BB251" s="70"/>
      <c r="BC251" s="70"/>
      <c r="BD251" s="70"/>
      <c r="BE251" s="70"/>
      <c r="BF251" s="70"/>
      <c r="BG251" s="70"/>
      <c r="BH251" s="70"/>
      <c r="BI251" s="70"/>
      <c r="BJ251" s="70"/>
      <c r="BK251" s="70"/>
      <c r="BL251" s="70"/>
      <c r="BM251" s="70"/>
      <c r="BN251" s="70"/>
      <c r="BO251" s="70"/>
      <c r="BP251" s="70"/>
      <c r="BQ251" s="70"/>
      <c r="BR251" s="70"/>
      <c r="BS251" s="70"/>
      <c r="BT251" s="70"/>
      <c r="BU251" s="70"/>
      <c r="BV251" s="70"/>
      <c r="BW251" s="70"/>
      <c r="BX251" s="70"/>
      <c r="BY251" s="70"/>
      <c r="BZ251" s="70"/>
      <c r="CA251" s="70"/>
      <c r="CB251" s="70"/>
      <c r="CC251" s="70"/>
      <c r="CD251" s="70"/>
      <c r="CE251" s="70"/>
      <c r="CF251" s="70"/>
      <c r="CG251" s="70"/>
      <c r="CH251" s="70"/>
      <c r="CI251" s="70"/>
      <c r="CJ251" s="70"/>
      <c r="CK251" s="70"/>
      <c r="CL251" s="70"/>
      <c r="CM251" s="70"/>
    </row>
    <row r="252" spans="35:91" ht="12.75" x14ac:dyDescent="0.2">
      <c r="AR252" s="405"/>
      <c r="AS252" s="406"/>
      <c r="AT252" s="406"/>
      <c r="AU252" s="405"/>
      <c r="AV252" s="405"/>
      <c r="AW252" s="405"/>
      <c r="AX252" s="405"/>
      <c r="AY252" s="1107"/>
      <c r="AZ252" s="546"/>
      <c r="BA252" s="70"/>
      <c r="BB252" s="70"/>
      <c r="BC252" s="70"/>
      <c r="BD252" s="70"/>
      <c r="BE252" s="70"/>
      <c r="BF252" s="70"/>
      <c r="BG252" s="70"/>
      <c r="BH252" s="70"/>
      <c r="BI252" s="70"/>
      <c r="BJ252" s="70"/>
      <c r="BK252" s="70"/>
      <c r="BL252" s="70"/>
      <c r="BM252" s="70"/>
      <c r="BN252" s="70"/>
      <c r="BO252" s="70"/>
      <c r="BP252" s="70"/>
      <c r="BQ252" s="70"/>
      <c r="BR252" s="70"/>
      <c r="BS252" s="70"/>
      <c r="BT252" s="70"/>
      <c r="BU252" s="70"/>
      <c r="BV252" s="70"/>
      <c r="BW252" s="70"/>
      <c r="BX252" s="70"/>
      <c r="BY252" s="70"/>
      <c r="BZ252" s="70"/>
      <c r="CA252" s="70"/>
      <c r="CB252" s="70"/>
      <c r="CC252" s="70"/>
      <c r="CD252" s="70"/>
      <c r="CE252" s="70"/>
      <c r="CF252" s="70"/>
      <c r="CG252" s="70"/>
      <c r="CH252" s="70"/>
      <c r="CI252" s="70"/>
      <c r="CJ252" s="70"/>
      <c r="CK252" s="70"/>
      <c r="CL252" s="70"/>
      <c r="CM252" s="70"/>
    </row>
    <row r="253" spans="35:91" ht="12.75" x14ac:dyDescent="0.2">
      <c r="AR253" s="407"/>
      <c r="AS253" s="407"/>
      <c r="AT253" s="407"/>
      <c r="AU253" s="407"/>
      <c r="AV253" s="407"/>
      <c r="AW253" s="407"/>
      <c r="AX253" s="407"/>
      <c r="AY253" s="1107"/>
      <c r="AZ253" s="546"/>
      <c r="BA253" s="70"/>
      <c r="BB253" s="70"/>
      <c r="BC253" s="70"/>
      <c r="BD253" s="70"/>
      <c r="BE253" s="70"/>
      <c r="BF253" s="70"/>
      <c r="BG253" s="70"/>
      <c r="BH253" s="70"/>
      <c r="BI253" s="70"/>
      <c r="BJ253" s="70"/>
      <c r="BK253" s="70"/>
      <c r="BL253" s="70"/>
      <c r="BM253" s="70"/>
      <c r="BN253" s="70"/>
      <c r="BO253" s="70"/>
      <c r="BP253" s="70"/>
      <c r="BQ253" s="70"/>
      <c r="BR253" s="70"/>
      <c r="BS253" s="70"/>
      <c r="BT253" s="70"/>
      <c r="BU253" s="70"/>
      <c r="BV253" s="70"/>
      <c r="BW253" s="70"/>
      <c r="BX253" s="70"/>
      <c r="BY253" s="70"/>
      <c r="BZ253" s="70"/>
      <c r="CA253" s="70"/>
      <c r="CB253" s="70"/>
      <c r="CC253" s="70"/>
      <c r="CD253" s="70"/>
      <c r="CE253" s="70"/>
      <c r="CF253" s="70"/>
      <c r="CG253" s="70"/>
      <c r="CH253" s="70"/>
      <c r="CI253" s="70"/>
      <c r="CJ253" s="70"/>
      <c r="CK253" s="70"/>
      <c r="CL253" s="70"/>
      <c r="CM253" s="70"/>
    </row>
    <row r="254" spans="35:91" ht="12.75" x14ac:dyDescent="0.2">
      <c r="AR254" s="409"/>
      <c r="AS254" s="408"/>
      <c r="AT254" s="408"/>
      <c r="AU254" s="409"/>
      <c r="AV254" s="408"/>
      <c r="AW254" s="408"/>
      <c r="AX254" s="409"/>
      <c r="AY254" s="1108"/>
      <c r="AZ254" s="546"/>
      <c r="BA254" s="70"/>
      <c r="BB254" s="70"/>
      <c r="BC254" s="70"/>
      <c r="BD254" s="70"/>
      <c r="BE254" s="70"/>
      <c r="BF254" s="70"/>
      <c r="BG254" s="70"/>
      <c r="BH254" s="70"/>
      <c r="BI254" s="70"/>
      <c r="BJ254" s="70"/>
      <c r="BK254" s="70"/>
      <c r="BL254" s="70"/>
      <c r="BM254" s="70"/>
      <c r="BN254" s="70"/>
      <c r="BO254" s="70"/>
      <c r="BP254" s="70"/>
      <c r="BQ254" s="70"/>
      <c r="BR254" s="70"/>
      <c r="BS254" s="70"/>
      <c r="BT254" s="70"/>
      <c r="BU254" s="70"/>
      <c r="BV254" s="70"/>
      <c r="BW254" s="70"/>
      <c r="BX254" s="70"/>
      <c r="BY254" s="70"/>
      <c r="BZ254" s="70"/>
      <c r="CA254" s="70"/>
      <c r="CB254" s="70"/>
      <c r="CC254" s="70"/>
      <c r="CD254" s="70"/>
      <c r="CE254" s="70"/>
      <c r="CF254" s="70"/>
      <c r="CG254" s="70"/>
      <c r="CH254" s="70"/>
      <c r="CI254" s="70"/>
      <c r="CJ254" s="70"/>
      <c r="CK254" s="70"/>
      <c r="CL254" s="70"/>
      <c r="CM254" s="70"/>
    </row>
    <row r="255" spans="35:91" ht="12.75" x14ac:dyDescent="0.2">
      <c r="AR255" s="409"/>
      <c r="AS255" s="408"/>
      <c r="AT255" s="408"/>
      <c r="AU255" s="409"/>
      <c r="AV255" s="3948"/>
      <c r="AW255" s="3948"/>
      <c r="AX255" s="409"/>
      <c r="AY255" s="1108"/>
      <c r="AZ255" s="546"/>
      <c r="BA255" s="70"/>
      <c r="BB255" s="70"/>
      <c r="BC255" s="70"/>
      <c r="BD255" s="70"/>
      <c r="BE255" s="70"/>
      <c r="BF255" s="70"/>
      <c r="BG255" s="70"/>
      <c r="BH255" s="70"/>
      <c r="BI255" s="70"/>
      <c r="BJ255" s="70"/>
      <c r="BK255" s="70"/>
      <c r="BL255" s="70"/>
      <c r="BM255" s="70"/>
      <c r="BN255" s="70"/>
      <c r="BO255" s="70"/>
      <c r="BP255" s="70"/>
      <c r="BQ255" s="70"/>
      <c r="BR255" s="70"/>
      <c r="BS255" s="70"/>
      <c r="BT255" s="70"/>
      <c r="BU255" s="70"/>
      <c r="BV255" s="70"/>
      <c r="BW255" s="70"/>
      <c r="BX255" s="70"/>
      <c r="BY255" s="70"/>
      <c r="BZ255" s="70"/>
      <c r="CA255" s="70"/>
      <c r="CB255" s="70"/>
      <c r="CC255" s="70"/>
      <c r="CD255" s="70"/>
      <c r="CE255" s="70"/>
      <c r="CF255" s="70"/>
      <c r="CG255" s="70"/>
      <c r="CH255" s="70"/>
      <c r="CI255" s="70"/>
      <c r="CJ255" s="70"/>
      <c r="CK255" s="70"/>
      <c r="CL255" s="70"/>
      <c r="CM255" s="70"/>
    </row>
    <row r="256" spans="35:91" ht="12.75" x14ac:dyDescent="0.2">
      <c r="AR256" s="409"/>
      <c r="AS256" s="408"/>
      <c r="AT256" s="408"/>
      <c r="AU256" s="409"/>
      <c r="AV256" s="408"/>
      <c r="AW256" s="408"/>
      <c r="AX256" s="409"/>
      <c r="AY256" s="1108"/>
      <c r="AZ256" s="546"/>
      <c r="BA256" s="70"/>
      <c r="BB256" s="70"/>
      <c r="BC256" s="70"/>
      <c r="BD256" s="70"/>
      <c r="BE256" s="70"/>
      <c r="BF256" s="70"/>
      <c r="BG256" s="70"/>
      <c r="BH256" s="70"/>
      <c r="BI256" s="70"/>
      <c r="BJ256" s="70"/>
      <c r="BK256" s="70"/>
      <c r="BL256" s="70"/>
      <c r="BM256" s="70"/>
      <c r="BN256" s="70"/>
      <c r="BO256" s="70"/>
      <c r="BP256" s="70"/>
      <c r="BQ256" s="70"/>
      <c r="BR256" s="70"/>
      <c r="BS256" s="70"/>
      <c r="BT256" s="70"/>
      <c r="BU256" s="70"/>
      <c r="BV256" s="70"/>
      <c r="BW256" s="70"/>
      <c r="BX256" s="70"/>
      <c r="BY256" s="70"/>
      <c r="BZ256" s="70"/>
      <c r="CA256" s="70"/>
      <c r="CB256" s="70"/>
      <c r="CC256" s="70"/>
      <c r="CD256" s="70"/>
      <c r="CE256" s="70"/>
      <c r="CF256" s="70"/>
      <c r="CG256" s="70"/>
      <c r="CH256" s="70"/>
      <c r="CI256" s="70"/>
      <c r="CJ256" s="70"/>
      <c r="CK256" s="70"/>
      <c r="CL256" s="70"/>
      <c r="CM256" s="70"/>
    </row>
    <row r="257" spans="35:91" ht="12.75" x14ac:dyDescent="0.2">
      <c r="AR257" s="410"/>
      <c r="AS257" s="626"/>
      <c r="AT257" s="626"/>
      <c r="AU257" s="410"/>
      <c r="AV257" s="626"/>
      <c r="AW257" s="626"/>
      <c r="AX257" s="410"/>
      <c r="AY257" s="1108"/>
      <c r="AZ257" s="546"/>
      <c r="BA257" s="70"/>
      <c r="BB257" s="70"/>
      <c r="BC257" s="70"/>
      <c r="BD257" s="70"/>
      <c r="BE257" s="70"/>
      <c r="BF257" s="70"/>
      <c r="BG257" s="70"/>
      <c r="BH257" s="70"/>
      <c r="BI257" s="70"/>
      <c r="BJ257" s="70"/>
      <c r="BK257" s="70"/>
      <c r="BL257" s="70"/>
      <c r="BM257" s="70"/>
      <c r="BN257" s="70"/>
      <c r="BO257" s="70"/>
      <c r="BP257" s="70"/>
      <c r="BQ257" s="70"/>
      <c r="BR257" s="70"/>
      <c r="BS257" s="70"/>
      <c r="BT257" s="70"/>
      <c r="BU257" s="70"/>
      <c r="BV257" s="70"/>
      <c r="BW257" s="70"/>
      <c r="BX257" s="70"/>
      <c r="BY257" s="70"/>
      <c r="BZ257" s="70"/>
      <c r="CA257" s="70"/>
      <c r="CB257" s="70"/>
      <c r="CC257" s="70"/>
      <c r="CD257" s="70"/>
      <c r="CE257" s="70"/>
      <c r="CF257" s="70"/>
      <c r="CG257" s="70"/>
      <c r="CH257" s="70"/>
      <c r="CI257" s="70"/>
      <c r="CJ257" s="70"/>
      <c r="CK257" s="70"/>
      <c r="CL257" s="70"/>
      <c r="CM257" s="70"/>
    </row>
    <row r="258" spans="35:91" ht="12.75" x14ac:dyDescent="0.2">
      <c r="AR258" s="409"/>
      <c r="AS258" s="408"/>
      <c r="AT258" s="408"/>
      <c r="AU258" s="409"/>
      <c r="AV258" s="408"/>
      <c r="AW258" s="408"/>
      <c r="AX258" s="409"/>
      <c r="AY258" s="1108"/>
      <c r="AZ258" s="546"/>
      <c r="BA258" s="70"/>
      <c r="BB258" s="70"/>
      <c r="BC258" s="70"/>
      <c r="BD258" s="70"/>
      <c r="BE258" s="70"/>
      <c r="BF258" s="70"/>
      <c r="BG258" s="70"/>
      <c r="BH258" s="70"/>
      <c r="BI258" s="70"/>
      <c r="BJ258" s="70"/>
      <c r="BK258" s="70"/>
      <c r="BL258" s="70"/>
      <c r="BM258" s="70"/>
      <c r="BN258" s="70"/>
      <c r="BO258" s="70"/>
      <c r="BP258" s="70"/>
      <c r="BQ258" s="70"/>
      <c r="BR258" s="70"/>
      <c r="BS258" s="70"/>
      <c r="BT258" s="70"/>
      <c r="BU258" s="70"/>
      <c r="BV258" s="70"/>
      <c r="BW258" s="70"/>
      <c r="BX258" s="70"/>
      <c r="BY258" s="70"/>
      <c r="BZ258" s="70"/>
      <c r="CA258" s="70"/>
      <c r="CB258" s="70"/>
      <c r="CC258" s="70"/>
      <c r="CD258" s="70"/>
      <c r="CE258" s="70"/>
      <c r="CF258" s="70"/>
      <c r="CG258" s="70"/>
      <c r="CH258" s="70"/>
      <c r="CI258" s="70"/>
      <c r="CJ258" s="70"/>
      <c r="CK258" s="70"/>
      <c r="CL258" s="70"/>
      <c r="CM258" s="70"/>
    </row>
    <row r="259" spans="35:91" ht="12.75" x14ac:dyDescent="0.2">
      <c r="AR259" s="409"/>
      <c r="AS259" s="408"/>
      <c r="AT259" s="408"/>
      <c r="AU259" s="409"/>
      <c r="AV259" s="408"/>
      <c r="AW259" s="408"/>
      <c r="AX259" s="409"/>
      <c r="AY259" s="1108"/>
      <c r="AZ259" s="546"/>
      <c r="BA259" s="70"/>
      <c r="BB259" s="70"/>
      <c r="BC259" s="70"/>
      <c r="BD259" s="70"/>
      <c r="BE259" s="70"/>
      <c r="BF259" s="70"/>
      <c r="BG259" s="70"/>
      <c r="BH259" s="70"/>
      <c r="BI259" s="70"/>
      <c r="BJ259" s="70"/>
      <c r="BK259" s="70"/>
      <c r="BL259" s="70"/>
      <c r="BM259" s="70"/>
      <c r="BN259" s="70"/>
      <c r="BO259" s="70"/>
      <c r="BP259" s="70"/>
      <c r="BQ259" s="70"/>
      <c r="BR259" s="70"/>
      <c r="BS259" s="70"/>
      <c r="BT259" s="70"/>
      <c r="BU259" s="70"/>
      <c r="BV259" s="70"/>
      <c r="BW259" s="70"/>
      <c r="BX259" s="70"/>
      <c r="BY259" s="70"/>
      <c r="BZ259" s="70"/>
      <c r="CA259" s="70"/>
      <c r="CB259" s="70"/>
      <c r="CC259" s="70"/>
      <c r="CD259" s="70"/>
      <c r="CE259" s="70"/>
      <c r="CF259" s="70"/>
      <c r="CG259" s="70"/>
      <c r="CH259" s="70"/>
      <c r="CI259" s="70"/>
      <c r="CJ259" s="70"/>
      <c r="CK259" s="70"/>
      <c r="CL259" s="70"/>
      <c r="CM259" s="70"/>
    </row>
    <row r="260" spans="35:91" ht="12.75" x14ac:dyDescent="0.2">
      <c r="AR260" s="407"/>
      <c r="AS260" s="408"/>
      <c r="AT260" s="408"/>
      <c r="AU260" s="407"/>
      <c r="AV260" s="408"/>
      <c r="AW260" s="408"/>
      <c r="AX260" s="407"/>
      <c r="AY260" s="1108"/>
      <c r="AZ260" s="546"/>
      <c r="BA260" s="70"/>
      <c r="BB260" s="70"/>
      <c r="BC260" s="70"/>
      <c r="BD260" s="70"/>
      <c r="BE260" s="70"/>
      <c r="BF260" s="70"/>
      <c r="BG260" s="70"/>
      <c r="BH260" s="70"/>
      <c r="BI260" s="70"/>
      <c r="BJ260" s="70"/>
      <c r="BK260" s="70"/>
      <c r="BL260" s="70"/>
      <c r="BM260" s="70"/>
      <c r="BN260" s="70"/>
      <c r="BO260" s="70"/>
      <c r="BP260" s="70"/>
      <c r="BQ260" s="70"/>
      <c r="BR260" s="70"/>
      <c r="BS260" s="70"/>
      <c r="BT260" s="70"/>
      <c r="BU260" s="70"/>
      <c r="BV260" s="70"/>
      <c r="BW260" s="70"/>
      <c r="BX260" s="70"/>
      <c r="BY260" s="70"/>
      <c r="BZ260" s="70"/>
      <c r="CA260" s="70"/>
      <c r="CB260" s="70"/>
      <c r="CC260" s="70"/>
      <c r="CD260" s="70"/>
      <c r="CE260" s="70"/>
      <c r="CF260" s="70"/>
      <c r="CG260" s="70"/>
      <c r="CH260" s="70"/>
      <c r="CI260" s="70"/>
      <c r="CJ260" s="70"/>
      <c r="CK260" s="70"/>
      <c r="CL260" s="70"/>
      <c r="CM260" s="70"/>
    </row>
    <row r="261" spans="35:91" ht="12.75" x14ac:dyDescent="0.2">
      <c r="AR261" s="409"/>
      <c r="AS261" s="627"/>
      <c r="AT261" s="409"/>
      <c r="AU261" s="409"/>
      <c r="AV261" s="627"/>
      <c r="AW261" s="409"/>
      <c r="AX261" s="409"/>
      <c r="AY261" s="1107"/>
      <c r="AZ261" s="546"/>
      <c r="BA261" s="70"/>
      <c r="BB261" s="70"/>
      <c r="BC261" s="70"/>
      <c r="BD261" s="70"/>
      <c r="BE261" s="70"/>
      <c r="BF261" s="70"/>
      <c r="BG261" s="70"/>
      <c r="BH261" s="70"/>
      <c r="BI261" s="70"/>
      <c r="BJ261" s="70"/>
      <c r="BK261" s="70"/>
      <c r="BL261" s="70"/>
      <c r="BM261" s="70"/>
      <c r="BN261" s="70"/>
      <c r="BO261" s="70"/>
      <c r="BP261" s="70"/>
      <c r="BQ261" s="70"/>
      <c r="BR261" s="70"/>
      <c r="BS261" s="70"/>
      <c r="BT261" s="70"/>
      <c r="BU261" s="70"/>
      <c r="BV261" s="70"/>
      <c r="BW261" s="70"/>
      <c r="BX261" s="70"/>
      <c r="BY261" s="70"/>
      <c r="BZ261" s="70"/>
      <c r="CA261" s="70"/>
      <c r="CB261" s="70"/>
      <c r="CC261" s="70"/>
      <c r="CD261" s="70"/>
      <c r="CE261" s="70"/>
      <c r="CF261" s="70"/>
      <c r="CG261" s="70"/>
      <c r="CH261" s="70"/>
      <c r="CI261" s="70"/>
      <c r="CJ261" s="70"/>
      <c r="CK261" s="70"/>
      <c r="CL261" s="70"/>
      <c r="CM261" s="70"/>
    </row>
    <row r="262" spans="35:91" ht="12.75" x14ac:dyDescent="0.2">
      <c r="AR262" s="410"/>
      <c r="AS262" s="626"/>
      <c r="AT262" s="628"/>
      <c r="AU262" s="410"/>
      <c r="AV262" s="626"/>
      <c r="AW262" s="628"/>
      <c r="AX262" s="410"/>
      <c r="AY262" s="1107"/>
      <c r="AZ262" s="546"/>
      <c r="BA262" s="70"/>
      <c r="BB262" s="70"/>
      <c r="BC262" s="70"/>
      <c r="BD262" s="70"/>
      <c r="BE262" s="70"/>
      <c r="BF262" s="70"/>
      <c r="BG262" s="70"/>
      <c r="BH262" s="70"/>
      <c r="BI262" s="70"/>
      <c r="BJ262" s="70"/>
      <c r="BK262" s="70"/>
      <c r="BL262" s="70"/>
      <c r="BM262" s="70"/>
      <c r="BN262" s="70"/>
      <c r="BO262" s="70"/>
      <c r="BP262" s="70"/>
      <c r="BQ262" s="70"/>
      <c r="BR262" s="70"/>
      <c r="BS262" s="70"/>
      <c r="BT262" s="70"/>
      <c r="BU262" s="70"/>
      <c r="BV262" s="70"/>
      <c r="BW262" s="70"/>
      <c r="BX262" s="70"/>
      <c r="BY262" s="70"/>
      <c r="BZ262" s="70"/>
      <c r="CA262" s="70"/>
      <c r="CB262" s="70"/>
      <c r="CC262" s="70"/>
      <c r="CD262" s="70"/>
      <c r="CE262" s="70"/>
      <c r="CF262" s="70"/>
      <c r="CG262" s="70"/>
      <c r="CH262" s="70"/>
      <c r="CI262" s="70"/>
      <c r="CJ262" s="70"/>
      <c r="CK262" s="70"/>
      <c r="CL262" s="70"/>
      <c r="CM262" s="70"/>
    </row>
    <row r="263" spans="35:91" ht="12.75" x14ac:dyDescent="0.2">
      <c r="AR263" s="410"/>
      <c r="AS263" s="626"/>
      <c r="AT263" s="628"/>
      <c r="AU263" s="410"/>
      <c r="AV263" s="626"/>
      <c r="AW263" s="628"/>
      <c r="AX263" s="410"/>
      <c r="AY263" s="1107"/>
      <c r="AZ263" s="546"/>
      <c r="BA263" s="70"/>
      <c r="BB263" s="70"/>
      <c r="BC263" s="70"/>
      <c r="BD263" s="70"/>
      <c r="BE263" s="70"/>
      <c r="BF263" s="70"/>
      <c r="BG263" s="70"/>
      <c r="BH263" s="70"/>
      <c r="BI263" s="70"/>
      <c r="BJ263" s="70"/>
      <c r="BK263" s="70"/>
      <c r="BL263" s="70"/>
      <c r="BM263" s="70"/>
      <c r="BN263" s="70"/>
      <c r="BO263" s="70"/>
      <c r="BP263" s="70"/>
      <c r="BQ263" s="70"/>
      <c r="BR263" s="70"/>
      <c r="BS263" s="70"/>
      <c r="BT263" s="70"/>
      <c r="BU263" s="70"/>
      <c r="BV263" s="70"/>
      <c r="BW263" s="70"/>
      <c r="BX263" s="70"/>
      <c r="BY263" s="70"/>
      <c r="BZ263" s="70"/>
      <c r="CA263" s="70"/>
      <c r="CB263" s="70"/>
      <c r="CC263" s="70"/>
      <c r="CD263" s="70"/>
      <c r="CE263" s="70"/>
      <c r="CF263" s="70"/>
      <c r="CG263" s="70"/>
      <c r="CH263" s="70"/>
      <c r="CI263" s="70"/>
      <c r="CJ263" s="70"/>
      <c r="CK263" s="70"/>
      <c r="CL263" s="70"/>
      <c r="CM263" s="70"/>
    </row>
    <row r="264" spans="35:91" ht="12.75" x14ac:dyDescent="0.2">
      <c r="AR264" s="410"/>
      <c r="AS264" s="626"/>
      <c r="AT264" s="628"/>
      <c r="AU264" s="410"/>
      <c r="AV264" s="626"/>
      <c r="AW264" s="628"/>
      <c r="AX264" s="410"/>
      <c r="AY264" s="1107"/>
      <c r="AZ264" s="546"/>
      <c r="BA264" s="70"/>
      <c r="BB264" s="70"/>
      <c r="BC264" s="70"/>
      <c r="BD264" s="70"/>
      <c r="BE264" s="70"/>
      <c r="BF264" s="70"/>
      <c r="BG264" s="70"/>
      <c r="BH264" s="70"/>
      <c r="BI264" s="70"/>
      <c r="BJ264" s="70"/>
      <c r="BK264" s="70"/>
      <c r="BL264" s="70"/>
      <c r="BM264" s="70"/>
      <c r="BN264" s="70"/>
      <c r="BO264" s="70"/>
      <c r="BP264" s="70"/>
      <c r="BQ264" s="70"/>
      <c r="BR264" s="70"/>
      <c r="BS264" s="70"/>
      <c r="BT264" s="70"/>
      <c r="BU264" s="70"/>
      <c r="BV264" s="70"/>
      <c r="BW264" s="70"/>
      <c r="BX264" s="70"/>
      <c r="BY264" s="70"/>
      <c r="BZ264" s="70"/>
      <c r="CA264" s="70"/>
      <c r="CB264" s="70"/>
      <c r="CC264" s="70"/>
      <c r="CD264" s="70"/>
      <c r="CE264" s="70"/>
      <c r="CF264" s="70"/>
      <c r="CG264" s="70"/>
      <c r="CH264" s="70"/>
      <c r="CI264" s="70"/>
      <c r="CJ264" s="70"/>
      <c r="CK264" s="70"/>
      <c r="CL264" s="70"/>
      <c r="CM264" s="70"/>
    </row>
    <row r="265" spans="35:91" ht="12.75" x14ac:dyDescent="0.2">
      <c r="AR265" s="410"/>
      <c r="AS265" s="626"/>
      <c r="AT265" s="628"/>
      <c r="AU265" s="410"/>
      <c r="AV265" s="626"/>
      <c r="AW265" s="628"/>
      <c r="AX265" s="410"/>
      <c r="AY265" s="1107"/>
      <c r="AZ265" s="546"/>
      <c r="BA265" s="70"/>
      <c r="BB265" s="70"/>
      <c r="BC265" s="70"/>
      <c r="BD265" s="70"/>
      <c r="BE265" s="70"/>
      <c r="BF265" s="70"/>
      <c r="BG265" s="70"/>
      <c r="BH265" s="70"/>
      <c r="BI265" s="70"/>
      <c r="BJ265" s="70"/>
      <c r="BK265" s="70"/>
      <c r="BL265" s="70"/>
      <c r="BM265" s="70"/>
      <c r="BN265" s="70"/>
      <c r="BO265" s="70"/>
      <c r="BP265" s="70"/>
      <c r="BQ265" s="70"/>
      <c r="BR265" s="70"/>
      <c r="BS265" s="70"/>
      <c r="BT265" s="70"/>
      <c r="BU265" s="70"/>
      <c r="BV265" s="70"/>
      <c r="BW265" s="70"/>
      <c r="BX265" s="70"/>
      <c r="BY265" s="70"/>
      <c r="BZ265" s="70"/>
      <c r="CA265" s="70"/>
      <c r="CB265" s="70"/>
      <c r="CC265" s="70"/>
      <c r="CD265" s="70"/>
      <c r="CE265" s="70"/>
      <c r="CF265" s="70"/>
      <c r="CG265" s="70"/>
      <c r="CH265" s="70"/>
      <c r="CI265" s="70"/>
      <c r="CJ265" s="70"/>
      <c r="CK265" s="70"/>
      <c r="CL265" s="70"/>
      <c r="CM265" s="70"/>
    </row>
    <row r="266" spans="35:91" ht="12.75" x14ac:dyDescent="0.2">
      <c r="AR266" s="410"/>
      <c r="AS266" s="626"/>
      <c r="AT266" s="628"/>
      <c r="AU266" s="410"/>
      <c r="AV266" s="626"/>
      <c r="AW266" s="628"/>
      <c r="AX266" s="410"/>
      <c r="AY266" s="1107"/>
      <c r="AZ266" s="546"/>
      <c r="BA266" s="70"/>
      <c r="BB266" s="70"/>
      <c r="BC266" s="70"/>
      <c r="BD266" s="70"/>
      <c r="BE266" s="70"/>
      <c r="BF266" s="70"/>
      <c r="BG266" s="70"/>
      <c r="BH266" s="70"/>
      <c r="BI266" s="70"/>
      <c r="BJ266" s="70"/>
      <c r="BK266" s="70"/>
      <c r="BL266" s="70"/>
      <c r="BM266" s="70"/>
      <c r="BN266" s="70"/>
      <c r="BO266" s="70"/>
      <c r="BP266" s="70"/>
      <c r="BQ266" s="70"/>
      <c r="BR266" s="70"/>
      <c r="BS266" s="70"/>
      <c r="BT266" s="70"/>
      <c r="BU266" s="70"/>
      <c r="BV266" s="70"/>
      <c r="BW266" s="70"/>
      <c r="BX266" s="70"/>
      <c r="BY266" s="70"/>
      <c r="BZ266" s="70"/>
      <c r="CA266" s="70"/>
      <c r="CB266" s="70"/>
      <c r="CC266" s="70"/>
      <c r="CD266" s="70"/>
      <c r="CE266" s="70"/>
      <c r="CF266" s="70"/>
      <c r="CG266" s="70"/>
      <c r="CH266" s="70"/>
      <c r="CI266" s="70"/>
      <c r="CJ266" s="70"/>
      <c r="CK266" s="70"/>
      <c r="CL266" s="70"/>
      <c r="CM266" s="70"/>
    </row>
    <row r="267" spans="35:91" ht="12.75" x14ac:dyDescent="0.2">
      <c r="AR267" s="410"/>
      <c r="AS267" s="626"/>
      <c r="AT267" s="628"/>
      <c r="AU267" s="410"/>
      <c r="AV267" s="626"/>
      <c r="AW267" s="628"/>
      <c r="AX267" s="410"/>
      <c r="AY267" s="1107"/>
      <c r="AZ267" s="546"/>
      <c r="BA267" s="70"/>
      <c r="BB267" s="70"/>
      <c r="BC267" s="70"/>
      <c r="BD267" s="70"/>
      <c r="BE267" s="70"/>
      <c r="BF267" s="70"/>
      <c r="BG267" s="70"/>
      <c r="BH267" s="70"/>
      <c r="BI267" s="70"/>
      <c r="BJ267" s="70"/>
      <c r="BK267" s="70"/>
      <c r="BL267" s="70"/>
      <c r="BM267" s="70"/>
      <c r="BN267" s="70"/>
      <c r="BO267" s="70"/>
      <c r="BP267" s="70"/>
      <c r="BQ267" s="70"/>
      <c r="BR267" s="70"/>
      <c r="BS267" s="70"/>
      <c r="BT267" s="70"/>
      <c r="BU267" s="70"/>
      <c r="BV267" s="70"/>
      <c r="BW267" s="70"/>
      <c r="BX267" s="70"/>
      <c r="BY267" s="70"/>
      <c r="BZ267" s="70"/>
      <c r="CA267" s="70"/>
      <c r="CB267" s="70"/>
      <c r="CC267" s="70"/>
      <c r="CD267" s="70"/>
      <c r="CE267" s="70"/>
      <c r="CF267" s="70"/>
      <c r="CG267" s="70"/>
      <c r="CH267" s="70"/>
      <c r="CI267" s="70"/>
      <c r="CJ267" s="70"/>
      <c r="CK267" s="70"/>
      <c r="CL267" s="70"/>
      <c r="CM267" s="70"/>
    </row>
    <row r="268" spans="35:91" ht="12.75" x14ac:dyDescent="0.2">
      <c r="AR268" s="410"/>
      <c r="AS268" s="626"/>
      <c r="AT268" s="628"/>
      <c r="AU268" s="410"/>
      <c r="AV268" s="626"/>
      <c r="AW268" s="628"/>
      <c r="AX268" s="410"/>
      <c r="AY268" s="1107"/>
      <c r="AZ268" s="546"/>
      <c r="BA268" s="70"/>
      <c r="BB268" s="70"/>
      <c r="BC268" s="70"/>
      <c r="BD268" s="70"/>
      <c r="BE268" s="70"/>
      <c r="BF268" s="70"/>
      <c r="BG268" s="70"/>
      <c r="BH268" s="70"/>
      <c r="BI268" s="70"/>
      <c r="BJ268" s="70"/>
      <c r="BK268" s="70"/>
      <c r="BL268" s="70"/>
      <c r="BM268" s="70"/>
      <c r="BN268" s="70"/>
      <c r="BO268" s="70"/>
      <c r="BP268" s="70"/>
      <c r="BQ268" s="70"/>
      <c r="BR268" s="70"/>
      <c r="BS268" s="70"/>
      <c r="BT268" s="70"/>
      <c r="BU268" s="70"/>
      <c r="BV268" s="70"/>
      <c r="BW268" s="70"/>
      <c r="BX268" s="70"/>
      <c r="BY268" s="70"/>
      <c r="BZ268" s="70"/>
      <c r="CA268" s="70"/>
      <c r="CB268" s="70"/>
      <c r="CC268" s="70"/>
      <c r="CD268" s="70"/>
      <c r="CE268" s="70"/>
      <c r="CF268" s="70"/>
      <c r="CG268" s="70"/>
      <c r="CH268" s="70"/>
      <c r="CI268" s="70"/>
      <c r="CJ268" s="70"/>
      <c r="CK268" s="70"/>
      <c r="CL268" s="70"/>
      <c r="CM268" s="70"/>
    </row>
    <row r="269" spans="35:91" ht="12.75" x14ac:dyDescent="0.2">
      <c r="AO269" s="546"/>
      <c r="AP269" s="546"/>
      <c r="AQ269" s="546"/>
      <c r="AR269" s="546"/>
      <c r="AS269" s="546"/>
      <c r="AT269" s="546"/>
      <c r="AU269" s="546"/>
      <c r="AV269" s="546"/>
      <c r="AW269" s="546"/>
      <c r="AX269" s="546"/>
      <c r="AY269" s="546"/>
      <c r="AZ269" s="546"/>
      <c r="BA269" s="70"/>
      <c r="BB269" s="70"/>
      <c r="BC269" s="70"/>
      <c r="BD269" s="70"/>
      <c r="BE269" s="70"/>
      <c r="BF269" s="70"/>
      <c r="BG269" s="70"/>
      <c r="BH269" s="70"/>
      <c r="BI269" s="70"/>
      <c r="BJ269" s="70"/>
      <c r="BK269" s="70"/>
      <c r="BL269" s="70"/>
      <c r="BM269" s="70"/>
      <c r="BN269" s="70"/>
      <c r="BO269" s="70"/>
      <c r="BP269" s="70"/>
      <c r="BQ269" s="70"/>
      <c r="BR269" s="70"/>
      <c r="BS269" s="70"/>
      <c r="BT269" s="70"/>
      <c r="BU269" s="70"/>
      <c r="BV269" s="70"/>
      <c r="BW269" s="70"/>
      <c r="BX269" s="70"/>
      <c r="BY269" s="70"/>
      <c r="BZ269" s="70"/>
      <c r="CA269" s="70"/>
      <c r="CB269" s="70"/>
      <c r="CC269" s="70"/>
      <c r="CD269" s="70"/>
      <c r="CE269" s="70"/>
      <c r="CF269" s="70"/>
      <c r="CG269" s="70"/>
      <c r="CH269" s="70"/>
      <c r="CI269" s="70"/>
      <c r="CJ269" s="70"/>
      <c r="CK269" s="70"/>
      <c r="CL269" s="70"/>
      <c r="CM269" s="70"/>
    </row>
    <row r="270" spans="35:91" ht="12.75" x14ac:dyDescent="0.2">
      <c r="AI270" s="546"/>
      <c r="AJ270" s="546"/>
      <c r="AK270" s="546"/>
      <c r="AL270" s="546"/>
      <c r="AM270" s="546"/>
      <c r="AN270" s="546"/>
      <c r="AO270" s="546"/>
      <c r="AP270" s="546"/>
      <c r="AQ270" s="546"/>
      <c r="AR270" s="546"/>
      <c r="AS270" s="546"/>
      <c r="AT270" s="546"/>
      <c r="AU270" s="546"/>
      <c r="AV270" s="546"/>
      <c r="AW270" s="546"/>
      <c r="AX270" s="546"/>
      <c r="AY270" s="546"/>
      <c r="AZ270" s="546"/>
      <c r="BA270" s="70"/>
      <c r="BB270" s="70"/>
      <c r="BC270" s="70"/>
      <c r="BD270" s="70"/>
      <c r="BE270" s="70"/>
      <c r="BF270" s="70"/>
      <c r="BG270" s="70"/>
      <c r="BH270" s="70"/>
      <c r="BI270" s="70"/>
      <c r="BJ270" s="70"/>
      <c r="BK270" s="70"/>
      <c r="BL270" s="70"/>
      <c r="BM270" s="70"/>
      <c r="BN270" s="70"/>
      <c r="BO270" s="70"/>
      <c r="BP270" s="70"/>
      <c r="BQ270" s="70"/>
      <c r="BR270" s="70"/>
      <c r="BS270" s="70"/>
      <c r="BT270" s="70"/>
      <c r="BU270" s="70"/>
      <c r="BV270" s="70"/>
      <c r="BW270" s="70"/>
      <c r="BX270" s="70"/>
      <c r="BY270" s="70"/>
      <c r="BZ270" s="70"/>
      <c r="CA270" s="70"/>
      <c r="CB270" s="70"/>
      <c r="CC270" s="70"/>
      <c r="CD270" s="70"/>
      <c r="CE270" s="70"/>
      <c r="CF270" s="70"/>
      <c r="CG270" s="70"/>
      <c r="CH270" s="70"/>
      <c r="CI270" s="70"/>
      <c r="CJ270" s="70"/>
      <c r="CK270" s="70"/>
      <c r="CL270" s="70"/>
      <c r="CM270" s="70"/>
    </row>
    <row r="271" spans="35:91" ht="12.75" x14ac:dyDescent="0.2">
      <c r="AI271" s="546"/>
      <c r="AJ271" s="546"/>
      <c r="AK271" s="546"/>
      <c r="AL271" s="546"/>
      <c r="AM271" s="546"/>
      <c r="AN271" s="546"/>
      <c r="AO271" s="546"/>
      <c r="AP271" s="546"/>
      <c r="AQ271" s="546"/>
      <c r="AR271" s="546"/>
      <c r="AS271" s="546"/>
      <c r="AT271" s="546"/>
      <c r="AU271" s="546"/>
      <c r="AV271" s="546"/>
      <c r="AW271" s="546"/>
      <c r="AX271" s="546"/>
      <c r="AY271" s="546"/>
      <c r="AZ271" s="546"/>
      <c r="BA271" s="70"/>
      <c r="BB271" s="70"/>
      <c r="BC271" s="70"/>
      <c r="BD271" s="70"/>
      <c r="BE271" s="70"/>
      <c r="BF271" s="70"/>
      <c r="BG271" s="70"/>
      <c r="BH271" s="70"/>
      <c r="BI271" s="70"/>
      <c r="BJ271" s="70"/>
      <c r="BK271" s="70"/>
      <c r="BL271" s="70"/>
      <c r="BM271" s="70"/>
      <c r="BN271" s="70"/>
      <c r="BO271" s="70"/>
      <c r="BP271" s="70"/>
      <c r="BQ271" s="70"/>
      <c r="BR271" s="70"/>
      <c r="BS271" s="70"/>
      <c r="BT271" s="70"/>
      <c r="BU271" s="70"/>
      <c r="BV271" s="70"/>
      <c r="BW271" s="70"/>
      <c r="BX271" s="70"/>
      <c r="BY271" s="70"/>
      <c r="BZ271" s="70"/>
      <c r="CA271" s="70"/>
      <c r="CB271" s="70"/>
      <c r="CC271" s="70"/>
      <c r="CD271" s="70"/>
      <c r="CE271" s="70"/>
      <c r="CF271" s="70"/>
      <c r="CG271" s="70"/>
      <c r="CH271" s="70"/>
      <c r="CI271" s="70"/>
      <c r="CJ271" s="70"/>
      <c r="CK271" s="70"/>
      <c r="CL271" s="70"/>
      <c r="CM271" s="70"/>
    </row>
    <row r="272" spans="35:91" ht="12.75" x14ac:dyDescent="0.2">
      <c r="AI272" s="546"/>
      <c r="AJ272" s="546"/>
      <c r="AK272" s="546"/>
      <c r="AL272" s="546"/>
      <c r="AM272" s="546"/>
      <c r="AN272" s="546"/>
      <c r="AO272" s="546"/>
      <c r="AP272" s="546"/>
      <c r="AQ272" s="546"/>
      <c r="AR272" s="546"/>
      <c r="AS272" s="546"/>
      <c r="AT272" s="546"/>
      <c r="AU272" s="546"/>
      <c r="AV272" s="546"/>
      <c r="AW272" s="546"/>
      <c r="AX272" s="546"/>
      <c r="AY272" s="546"/>
      <c r="AZ272" s="546"/>
      <c r="BA272" s="70"/>
      <c r="BB272" s="70"/>
      <c r="BC272" s="70"/>
      <c r="BD272" s="70"/>
      <c r="BE272" s="70"/>
      <c r="BF272" s="70"/>
      <c r="BG272" s="70"/>
      <c r="BH272" s="70"/>
      <c r="BI272" s="70"/>
      <c r="BJ272" s="70"/>
      <c r="BK272" s="70"/>
      <c r="BL272" s="70"/>
      <c r="BM272" s="70"/>
      <c r="BN272" s="70"/>
      <c r="BO272" s="70"/>
      <c r="BP272" s="70"/>
      <c r="BQ272" s="70"/>
      <c r="BR272" s="70"/>
      <c r="BS272" s="70"/>
      <c r="BT272" s="70"/>
      <c r="BU272" s="70"/>
      <c r="BV272" s="70"/>
      <c r="BW272" s="70"/>
      <c r="BX272" s="70"/>
      <c r="BY272" s="70"/>
      <c r="BZ272" s="70"/>
      <c r="CA272" s="70"/>
      <c r="CB272" s="70"/>
      <c r="CC272" s="70"/>
      <c r="CD272" s="70"/>
      <c r="CE272" s="70"/>
      <c r="CF272" s="70"/>
      <c r="CG272" s="70"/>
      <c r="CH272" s="70"/>
      <c r="CI272" s="70"/>
      <c r="CJ272" s="70"/>
      <c r="CK272" s="70"/>
      <c r="CL272" s="70"/>
      <c r="CM272" s="70"/>
    </row>
    <row r="273" spans="35:91" ht="12.75" x14ac:dyDescent="0.2">
      <c r="AI273" s="546"/>
      <c r="AJ273" s="546"/>
      <c r="AK273" s="546"/>
      <c r="AL273" s="546"/>
      <c r="AM273" s="546"/>
      <c r="AN273" s="546"/>
      <c r="AO273" s="546"/>
      <c r="AP273" s="546"/>
      <c r="AQ273" s="546"/>
      <c r="AR273" s="546"/>
      <c r="AS273" s="546"/>
      <c r="AT273" s="546"/>
      <c r="AU273" s="546"/>
      <c r="AV273" s="546"/>
      <c r="AW273" s="546"/>
      <c r="AX273" s="546"/>
      <c r="AY273" s="546"/>
      <c r="AZ273" s="546"/>
      <c r="BA273" s="70"/>
      <c r="BB273" s="70"/>
      <c r="BC273" s="70"/>
      <c r="BD273" s="70"/>
      <c r="BE273" s="70"/>
      <c r="BF273" s="70"/>
      <c r="BG273" s="70"/>
      <c r="BH273" s="70"/>
      <c r="BI273" s="70"/>
      <c r="BJ273" s="70"/>
      <c r="BK273" s="70"/>
      <c r="BL273" s="70"/>
      <c r="BM273" s="70"/>
      <c r="BN273" s="70"/>
      <c r="BO273" s="70"/>
      <c r="BP273" s="70"/>
      <c r="BQ273" s="70"/>
      <c r="BR273" s="70"/>
      <c r="BS273" s="70"/>
      <c r="BT273" s="70"/>
      <c r="BU273" s="70"/>
      <c r="BV273" s="70"/>
      <c r="BW273" s="70"/>
      <c r="BX273" s="70"/>
      <c r="BY273" s="70"/>
      <c r="BZ273" s="70"/>
      <c r="CA273" s="70"/>
      <c r="CB273" s="70"/>
      <c r="CC273" s="70"/>
      <c r="CD273" s="70"/>
      <c r="CE273" s="70"/>
      <c r="CF273" s="70"/>
      <c r="CG273" s="70"/>
      <c r="CH273" s="70"/>
      <c r="CI273" s="70"/>
      <c r="CJ273" s="70"/>
      <c r="CK273" s="70"/>
      <c r="CL273" s="70"/>
      <c r="CM273" s="70"/>
    </row>
    <row r="274" spans="35:91" ht="12.75" x14ac:dyDescent="0.2">
      <c r="AI274" s="546"/>
      <c r="AJ274" s="546"/>
      <c r="AK274" s="546"/>
      <c r="AL274" s="546"/>
      <c r="AM274" s="546"/>
      <c r="AN274" s="546"/>
      <c r="AO274" s="546"/>
      <c r="AP274" s="546"/>
      <c r="AQ274" s="546"/>
      <c r="AR274" s="546"/>
      <c r="AS274" s="546"/>
      <c r="AT274" s="546"/>
      <c r="AU274" s="546"/>
      <c r="AV274" s="546"/>
      <c r="AW274" s="546"/>
      <c r="AX274" s="546"/>
      <c r="AY274" s="546"/>
      <c r="AZ274" s="546"/>
      <c r="BA274" s="70"/>
      <c r="BB274" s="70"/>
      <c r="BC274" s="70"/>
      <c r="BD274" s="70"/>
      <c r="BE274" s="70"/>
      <c r="BF274" s="70"/>
      <c r="BG274" s="70"/>
      <c r="BH274" s="70"/>
      <c r="BI274" s="70"/>
      <c r="BJ274" s="70"/>
      <c r="BK274" s="70"/>
      <c r="BL274" s="70"/>
      <c r="BM274" s="70"/>
      <c r="BN274" s="70"/>
      <c r="BO274" s="70"/>
      <c r="BP274" s="70"/>
      <c r="BQ274" s="70"/>
      <c r="BR274" s="70"/>
      <c r="BS274" s="70"/>
      <c r="BT274" s="70"/>
      <c r="BU274" s="70"/>
      <c r="BV274" s="70"/>
      <c r="BW274" s="70"/>
      <c r="BX274" s="70"/>
      <c r="BY274" s="70"/>
      <c r="BZ274" s="70"/>
      <c r="CA274" s="70"/>
      <c r="CB274" s="70"/>
      <c r="CC274" s="70"/>
      <c r="CD274" s="70"/>
      <c r="CE274" s="70"/>
      <c r="CF274" s="70"/>
      <c r="CG274" s="70"/>
      <c r="CH274" s="70"/>
      <c r="CI274" s="70"/>
      <c r="CJ274" s="70"/>
      <c r="CK274" s="70"/>
      <c r="CL274" s="70"/>
      <c r="CM274" s="70"/>
    </row>
    <row r="275" spans="35:91" ht="12.75" x14ac:dyDescent="0.2">
      <c r="BA275" s="70"/>
      <c r="BB275" s="70"/>
      <c r="BC275" s="70"/>
      <c r="BD275" s="70"/>
      <c r="BE275" s="70"/>
      <c r="BF275" s="70"/>
      <c r="BG275" s="70"/>
      <c r="BH275" s="70"/>
      <c r="BI275" s="70"/>
      <c r="BJ275" s="70"/>
      <c r="BK275" s="70"/>
      <c r="BL275" s="70"/>
      <c r="BM275" s="70"/>
      <c r="BN275" s="70"/>
      <c r="BO275" s="70"/>
      <c r="BP275" s="70"/>
      <c r="BQ275" s="70"/>
      <c r="BR275" s="70"/>
      <c r="BS275" s="70"/>
      <c r="BT275" s="70"/>
      <c r="BU275" s="70"/>
      <c r="BV275" s="70"/>
      <c r="BW275" s="70"/>
      <c r="BX275" s="70"/>
      <c r="BY275" s="70"/>
      <c r="BZ275" s="70"/>
      <c r="CA275" s="70"/>
      <c r="CB275" s="70"/>
      <c r="CC275" s="70"/>
      <c r="CD275" s="70"/>
      <c r="CE275" s="70"/>
      <c r="CF275" s="70"/>
      <c r="CG275" s="70"/>
      <c r="CH275" s="70"/>
      <c r="CI275" s="70"/>
      <c r="CJ275" s="70"/>
      <c r="CK275" s="70"/>
      <c r="CL275" s="70"/>
      <c r="CM275" s="70"/>
    </row>
    <row r="276" spans="35:91" ht="12.75" x14ac:dyDescent="0.2">
      <c r="BA276" s="70"/>
      <c r="BB276" s="247" t="s">
        <v>1491</v>
      </c>
      <c r="BC276" s="70"/>
      <c r="BD276" s="70"/>
      <c r="BE276" s="70"/>
      <c r="BF276" s="70"/>
      <c r="BG276" s="70"/>
      <c r="BH276" s="70"/>
      <c r="BI276" s="70"/>
      <c r="BJ276" s="70"/>
      <c r="BK276" s="70"/>
      <c r="BL276" s="70"/>
      <c r="BM276" s="70"/>
      <c r="BN276" s="70"/>
      <c r="BO276" s="70"/>
      <c r="BP276" s="70"/>
      <c r="BQ276" s="70"/>
      <c r="BR276" s="70"/>
      <c r="BS276" s="70"/>
      <c r="BT276" s="70"/>
      <c r="BU276" s="70"/>
      <c r="BV276" s="70"/>
      <c r="BW276" s="70"/>
      <c r="BX276" s="70"/>
      <c r="BY276" s="70"/>
      <c r="BZ276" s="70"/>
      <c r="CA276" s="70"/>
      <c r="CB276" s="70"/>
      <c r="CC276" s="70"/>
      <c r="CD276" s="70"/>
      <c r="CE276" s="70"/>
      <c r="CF276" s="70"/>
      <c r="CG276" s="70"/>
      <c r="CH276" s="70"/>
      <c r="CI276" s="70"/>
      <c r="CJ276" s="70"/>
      <c r="CK276" s="70"/>
      <c r="CL276" s="70"/>
      <c r="CM276" s="70"/>
    </row>
    <row r="277" spans="35:91" ht="13.5" thickBot="1" x14ac:dyDescent="0.25">
      <c r="BA277" s="70"/>
      <c r="BB277" s="70"/>
      <c r="BC277" s="70"/>
      <c r="BD277" s="70"/>
      <c r="BE277" s="70"/>
      <c r="BF277" s="70"/>
      <c r="BG277" s="70"/>
      <c r="BH277" s="70"/>
      <c r="BI277" s="70"/>
      <c r="BJ277" s="70"/>
      <c r="BK277" s="70"/>
      <c r="BL277" s="70"/>
      <c r="BM277" s="70"/>
      <c r="BN277" s="70"/>
      <c r="BO277" s="70"/>
      <c r="BP277" s="70"/>
      <c r="BQ277" s="70"/>
      <c r="BR277" s="70"/>
      <c r="BS277" s="70"/>
      <c r="BT277" s="70"/>
      <c r="BU277" s="70"/>
      <c r="BV277" s="70"/>
      <c r="BW277" s="70"/>
      <c r="BX277" s="70"/>
      <c r="BY277" s="70"/>
      <c r="BZ277" s="70"/>
      <c r="CA277" s="70"/>
      <c r="CB277" s="70"/>
      <c r="CC277" s="70"/>
      <c r="CD277" s="70"/>
      <c r="CE277" s="70"/>
      <c r="CF277" s="70"/>
      <c r="CG277" s="70"/>
      <c r="CH277" s="70"/>
      <c r="CI277" s="70"/>
      <c r="CJ277" s="70"/>
      <c r="CK277" s="70"/>
      <c r="CL277" s="70"/>
      <c r="CM277" s="70"/>
    </row>
    <row r="278" spans="35:91" ht="13.5" thickBot="1" x14ac:dyDescent="0.25">
      <c r="AV278" s="836"/>
      <c r="BA278" s="381"/>
      <c r="BB278" s="382" t="s">
        <v>833</v>
      </c>
      <c r="BC278" s="382" t="s">
        <v>834</v>
      </c>
      <c r="BD278" s="382" t="s">
        <v>835</v>
      </c>
      <c r="BE278" s="382" t="s">
        <v>836</v>
      </c>
      <c r="BF278" s="382" t="s">
        <v>838</v>
      </c>
      <c r="BG278" s="382" t="s">
        <v>839</v>
      </c>
      <c r="BH278" s="382" t="s">
        <v>840</v>
      </c>
      <c r="BI278" s="382" t="s">
        <v>841</v>
      </c>
      <c r="BJ278" s="382" t="s">
        <v>843</v>
      </c>
      <c r="BK278" s="382" t="s">
        <v>844</v>
      </c>
      <c r="BL278" s="382" t="s">
        <v>845</v>
      </c>
      <c r="BM278" s="382" t="s">
        <v>846</v>
      </c>
      <c r="BN278" s="382" t="s">
        <v>848</v>
      </c>
      <c r="BO278" s="382" t="s">
        <v>849</v>
      </c>
      <c r="BP278" s="382" t="s">
        <v>850</v>
      </c>
      <c r="BQ278" s="382" t="s">
        <v>851</v>
      </c>
      <c r="BR278" s="382" t="s">
        <v>644</v>
      </c>
      <c r="BS278" s="382" t="s">
        <v>1542</v>
      </c>
      <c r="BT278" s="382" t="s">
        <v>1543</v>
      </c>
      <c r="BU278" s="383" t="s">
        <v>1544</v>
      </c>
      <c r="BV278" s="70"/>
      <c r="BW278" s="70"/>
      <c r="BX278" s="70"/>
      <c r="BY278" s="70"/>
      <c r="BZ278" s="70"/>
      <c r="CA278" s="70"/>
      <c r="CB278" s="70"/>
      <c r="CC278" s="70"/>
      <c r="CD278" s="70"/>
      <c r="CE278" s="70"/>
      <c r="CF278" s="70"/>
      <c r="CG278" s="70"/>
      <c r="CH278" s="70"/>
      <c r="CI278" s="70"/>
      <c r="CJ278" s="70"/>
      <c r="CK278" s="70"/>
      <c r="CL278" s="70"/>
      <c r="CM278" s="70"/>
    </row>
    <row r="279" spans="35:91" ht="12.75" x14ac:dyDescent="0.2">
      <c r="BA279" s="234"/>
      <c r="BB279" s="386"/>
      <c r="BC279" s="386"/>
      <c r="BD279" s="386"/>
      <c r="BE279" s="386"/>
      <c r="BF279" s="386"/>
      <c r="BG279" s="386"/>
      <c r="BH279" s="386"/>
      <c r="BI279" s="386"/>
      <c r="BJ279" s="386"/>
      <c r="BK279" s="386"/>
      <c r="BL279" s="386"/>
      <c r="BM279" s="386"/>
      <c r="BN279" s="386"/>
      <c r="BO279" s="386"/>
      <c r="BP279" s="386"/>
      <c r="BQ279" s="386"/>
      <c r="BR279" s="386"/>
      <c r="BS279" s="386"/>
      <c r="BT279" s="386"/>
      <c r="BU279" s="386"/>
      <c r="BV279" s="207"/>
      <c r="BW279" s="207"/>
      <c r="BX279" s="70"/>
      <c r="BY279" s="70"/>
      <c r="BZ279" s="70"/>
      <c r="CA279" s="70"/>
      <c r="CB279" s="70"/>
      <c r="CC279" s="70"/>
      <c r="CD279" s="70"/>
      <c r="CE279" s="70"/>
      <c r="CF279" s="70"/>
      <c r="CG279" s="70"/>
      <c r="CH279" s="70"/>
      <c r="CI279" s="70"/>
      <c r="CJ279" s="70"/>
      <c r="CK279" s="70"/>
      <c r="CL279" s="70"/>
      <c r="CM279" s="70"/>
    </row>
    <row r="280" spans="35:91" ht="12.75" x14ac:dyDescent="0.2">
      <c r="BA280" s="248" t="s">
        <v>1494</v>
      </c>
      <c r="BB280" s="386"/>
      <c r="BC280" s="386"/>
      <c r="BD280" s="386"/>
      <c r="BE280" s="386"/>
      <c r="BF280" s="386"/>
      <c r="BG280" s="386"/>
      <c r="BH280" s="386"/>
      <c r="BI280" s="386"/>
      <c r="BJ280" s="386"/>
      <c r="BK280" s="386"/>
      <c r="BL280" s="386"/>
      <c r="BM280" s="386"/>
      <c r="BN280" s="386"/>
      <c r="BO280" s="386"/>
      <c r="BP280" s="386"/>
      <c r="BQ280" s="386"/>
      <c r="BR280" s="386"/>
      <c r="BS280" s="386"/>
      <c r="BT280" s="386"/>
      <c r="BU280" s="386"/>
      <c r="BV280" s="207"/>
      <c r="BW280" s="207"/>
      <c r="BX280" s="70"/>
      <c r="BY280" s="70"/>
      <c r="BZ280" s="70"/>
      <c r="CA280" s="70"/>
      <c r="CB280" s="70"/>
      <c r="CC280" s="70"/>
      <c r="CD280" s="70"/>
      <c r="CE280" s="70"/>
      <c r="CF280" s="70"/>
      <c r="CG280" s="70"/>
      <c r="CH280" s="70"/>
      <c r="CI280" s="70"/>
      <c r="CJ280" s="70"/>
      <c r="CK280" s="70"/>
      <c r="CL280" s="70"/>
      <c r="CM280" s="70"/>
    </row>
    <row r="281" spans="35:91" ht="12.75" x14ac:dyDescent="0.2">
      <c r="BA281" s="301" t="s">
        <v>1782</v>
      </c>
      <c r="BB281" s="386"/>
      <c r="BC281" s="386"/>
      <c r="BD281" s="386"/>
      <c r="BE281" s="386"/>
      <c r="BF281" s="386"/>
      <c r="BG281" s="386"/>
      <c r="BH281" s="386"/>
      <c r="BI281" s="386"/>
      <c r="BJ281" s="386"/>
      <c r="BK281" s="386"/>
      <c r="BL281" s="386"/>
      <c r="BM281" s="386"/>
      <c r="BN281" s="386"/>
      <c r="BO281" s="386"/>
      <c r="BP281" s="386"/>
      <c r="BQ281" s="386"/>
      <c r="BR281" s="386"/>
      <c r="BS281" s="386"/>
      <c r="BT281" s="386"/>
      <c r="BU281" s="386"/>
      <c r="BV281" s="207"/>
      <c r="BW281" s="207"/>
      <c r="BX281" s="70"/>
      <c r="BY281" s="70"/>
      <c r="BZ281" s="70"/>
      <c r="CA281" s="70"/>
      <c r="CB281" s="70"/>
      <c r="CC281" s="70"/>
      <c r="CD281" s="70"/>
      <c r="CE281" s="70"/>
      <c r="CF281" s="70"/>
      <c r="CG281" s="70"/>
      <c r="CH281" s="70"/>
      <c r="CI281" s="70"/>
      <c r="CJ281" s="70"/>
      <c r="CK281" s="70"/>
      <c r="CL281" s="70"/>
      <c r="CM281" s="70"/>
    </row>
    <row r="282" spans="35:91" ht="12.75" x14ac:dyDescent="0.2">
      <c r="BA282" s="301" t="s">
        <v>574</v>
      </c>
      <c r="BB282" s="384"/>
      <c r="BC282" s="384"/>
      <c r="BD282" s="384"/>
      <c r="BE282" s="384"/>
      <c r="BF282" s="384"/>
      <c r="BG282" s="384"/>
      <c r="BH282" s="384"/>
      <c r="BI282" s="384"/>
      <c r="BJ282" s="384"/>
      <c r="BK282" s="384"/>
      <c r="BL282" s="384"/>
      <c r="BM282" s="384"/>
      <c r="BN282" s="384"/>
      <c r="BO282" s="384"/>
      <c r="BP282" s="384"/>
      <c r="BQ282" s="384"/>
      <c r="BR282" s="384">
        <v>0.09</v>
      </c>
      <c r="BS282" s="386"/>
      <c r="BT282" s="386"/>
      <c r="BU282" s="386"/>
      <c r="BV282" s="207"/>
      <c r="BW282" s="207"/>
      <c r="BX282" s="70"/>
      <c r="BY282" s="70"/>
      <c r="BZ282" s="70"/>
      <c r="CA282" s="70"/>
      <c r="CB282" s="70"/>
      <c r="CC282" s="70"/>
      <c r="CD282" s="70"/>
      <c r="CE282" s="70"/>
      <c r="CF282" s="70"/>
      <c r="CG282" s="70"/>
      <c r="CH282" s="70"/>
      <c r="CI282" s="70"/>
      <c r="CJ282" s="70"/>
      <c r="CK282" s="70"/>
      <c r="CL282" s="70"/>
      <c r="CM282" s="70"/>
    </row>
    <row r="283" spans="35:91" ht="12.75" x14ac:dyDescent="0.2">
      <c r="BA283" s="301" t="s">
        <v>573</v>
      </c>
      <c r="BB283" s="384"/>
      <c r="BC283" s="384"/>
      <c r="BD283" s="384"/>
      <c r="BE283" s="384"/>
      <c r="BF283" s="384"/>
      <c r="BG283" s="384"/>
      <c r="BH283" s="384"/>
      <c r="BI283" s="384"/>
      <c r="BJ283" s="384"/>
      <c r="BK283" s="384"/>
      <c r="BL283" s="384"/>
      <c r="BM283" s="384"/>
      <c r="BN283" s="384"/>
      <c r="BO283" s="384"/>
      <c r="BP283" s="384"/>
      <c r="BQ283" s="384"/>
      <c r="BR283" s="384">
        <v>7.0000000000000007E-2</v>
      </c>
      <c r="BS283" s="386"/>
      <c r="BT283" s="386"/>
      <c r="BU283" s="386"/>
      <c r="BV283" s="207"/>
      <c r="BW283" s="207"/>
      <c r="BX283" s="70"/>
      <c r="BY283" s="70"/>
      <c r="BZ283" s="70"/>
      <c r="CA283" s="70"/>
      <c r="CB283" s="70"/>
      <c r="CC283" s="70"/>
      <c r="CD283" s="70"/>
      <c r="CE283" s="70"/>
      <c r="CF283" s="70"/>
      <c r="CG283" s="70"/>
      <c r="CH283" s="70"/>
      <c r="CI283" s="70"/>
      <c r="CJ283" s="70"/>
      <c r="CK283" s="70"/>
      <c r="CL283" s="70"/>
      <c r="CM283" s="70"/>
    </row>
    <row r="284" spans="35:91" ht="12.75" x14ac:dyDescent="0.2">
      <c r="BA284" s="301" t="s">
        <v>1496</v>
      </c>
      <c r="BB284" s="243"/>
      <c r="BC284" s="243"/>
      <c r="BD284" s="243"/>
      <c r="BE284" s="243"/>
      <c r="BF284" s="243"/>
      <c r="BG284" s="243"/>
      <c r="BH284" s="243"/>
      <c r="BI284" s="243"/>
      <c r="BJ284" s="243"/>
      <c r="BK284" s="243"/>
      <c r="BL284" s="243"/>
      <c r="BM284" s="243"/>
      <c r="BN284" s="243"/>
      <c r="BO284" s="243"/>
      <c r="BP284" s="243"/>
      <c r="BQ284" s="243"/>
      <c r="BR284" s="243">
        <f>AVERAGE(BR282:BR283)</f>
        <v>0.08</v>
      </c>
      <c r="BS284" s="386"/>
      <c r="BT284" s="386"/>
      <c r="BU284" s="386"/>
      <c r="BV284" s="207"/>
      <c r="BW284" s="207"/>
      <c r="BX284" s="70"/>
      <c r="BY284" s="70"/>
      <c r="BZ284" s="70"/>
      <c r="CA284" s="70"/>
      <c r="CB284" s="70"/>
      <c r="CC284" s="70"/>
      <c r="CD284" s="70"/>
      <c r="CE284" s="70"/>
      <c r="CF284" s="70"/>
      <c r="CG284" s="70"/>
      <c r="CH284" s="70"/>
      <c r="CI284" s="70"/>
      <c r="CJ284" s="70"/>
      <c r="CK284" s="70"/>
      <c r="CL284" s="70"/>
      <c r="CM284" s="70"/>
    </row>
    <row r="285" spans="35:91" ht="12.75" x14ac:dyDescent="0.2">
      <c r="BA285" s="301" t="s">
        <v>1938</v>
      </c>
      <c r="BB285" s="386"/>
      <c r="BC285" s="386"/>
      <c r="BD285" s="386"/>
      <c r="BE285" s="386"/>
      <c r="BF285" s="386"/>
      <c r="BG285" s="386"/>
      <c r="BH285" s="386"/>
      <c r="BI285" s="386"/>
      <c r="BJ285" s="386"/>
      <c r="BK285" s="386"/>
      <c r="BL285" s="386"/>
      <c r="BM285" s="386"/>
      <c r="BN285" s="386"/>
      <c r="BO285" s="386"/>
      <c r="BP285" s="386"/>
      <c r="BQ285" s="384"/>
      <c r="BR285" s="384"/>
      <c r="BS285" s="386"/>
      <c r="BT285" s="386"/>
      <c r="BU285" s="386"/>
      <c r="BV285" s="207"/>
      <c r="BW285" s="207"/>
      <c r="BX285" s="70"/>
      <c r="BY285" s="70"/>
      <c r="BZ285" s="70"/>
      <c r="CA285" s="70"/>
      <c r="CB285" s="70"/>
      <c r="CC285" s="70"/>
      <c r="CD285" s="70"/>
      <c r="CE285" s="70"/>
      <c r="CF285" s="70"/>
      <c r="CG285" s="70"/>
      <c r="CH285" s="70"/>
      <c r="CI285" s="70"/>
      <c r="CJ285" s="70"/>
      <c r="CK285" s="70"/>
      <c r="CL285" s="70"/>
      <c r="CM285" s="70"/>
    </row>
    <row r="286" spans="35:91" ht="12.75" x14ac:dyDescent="0.2">
      <c r="BA286" s="301" t="s">
        <v>1493</v>
      </c>
      <c r="BB286" s="386"/>
      <c r="BC286" s="386"/>
      <c r="BD286" s="386"/>
      <c r="BE286" s="386"/>
      <c r="BF286" s="386"/>
      <c r="BG286" s="386"/>
      <c r="BH286" s="386"/>
      <c r="BI286" s="386"/>
      <c r="BJ286" s="386"/>
      <c r="BK286" s="386"/>
      <c r="BL286" s="386"/>
      <c r="BM286" s="386"/>
      <c r="BN286" s="386"/>
      <c r="BO286" s="386"/>
      <c r="BP286" s="386"/>
      <c r="BQ286" s="386"/>
      <c r="BR286" s="386"/>
      <c r="BS286" s="386"/>
      <c r="BT286" s="386"/>
      <c r="BU286" s="386"/>
      <c r="BV286" s="207"/>
      <c r="BW286" s="207"/>
      <c r="BX286" s="70"/>
      <c r="BY286" s="70"/>
      <c r="BZ286" s="70"/>
      <c r="CA286" s="70"/>
      <c r="CB286" s="70"/>
      <c r="CC286" s="70"/>
      <c r="CD286" s="70"/>
      <c r="CE286" s="70"/>
      <c r="CF286" s="70"/>
      <c r="CG286" s="70"/>
      <c r="CH286" s="70"/>
      <c r="CI286" s="70"/>
      <c r="CJ286" s="70"/>
      <c r="CK286" s="70"/>
      <c r="CL286" s="70"/>
      <c r="CM286" s="70"/>
    </row>
    <row r="287" spans="35:91" ht="12.75" x14ac:dyDescent="0.2">
      <c r="BA287" s="207"/>
      <c r="BB287" s="387"/>
      <c r="BC287" s="387"/>
      <c r="BD287" s="387"/>
      <c r="BE287" s="387"/>
      <c r="BF287" s="387"/>
      <c r="BG287" s="387"/>
      <c r="BH287" s="387"/>
      <c r="BI287" s="387"/>
      <c r="BJ287" s="387"/>
      <c r="BK287" s="387"/>
      <c r="BL287" s="387"/>
      <c r="BM287" s="387"/>
      <c r="BN287" s="387"/>
      <c r="BO287" s="387"/>
      <c r="BP287" s="387"/>
      <c r="BQ287" s="387"/>
      <c r="BR287" s="387"/>
      <c r="BS287" s="387"/>
      <c r="BT287" s="387"/>
      <c r="BU287" s="387"/>
      <c r="BV287" s="207"/>
      <c r="BW287" s="207"/>
      <c r="BX287" s="70"/>
      <c r="BY287" s="70"/>
      <c r="BZ287" s="70"/>
      <c r="CA287" s="70"/>
      <c r="CB287" s="70"/>
      <c r="CC287" s="70"/>
      <c r="CD287" s="70"/>
      <c r="CE287" s="70"/>
      <c r="CF287" s="70"/>
      <c r="CG287" s="70"/>
      <c r="CH287" s="70"/>
      <c r="CI287" s="70"/>
      <c r="CJ287" s="70"/>
      <c r="CK287" s="70"/>
      <c r="CL287" s="70"/>
      <c r="CM287" s="70"/>
    </row>
    <row r="288" spans="35:91" ht="12.75" x14ac:dyDescent="0.2">
      <c r="BA288" s="248" t="s">
        <v>1497</v>
      </c>
      <c r="BB288" s="70"/>
      <c r="BC288" s="70"/>
      <c r="BD288" s="70"/>
      <c r="BE288" s="70"/>
      <c r="BF288" s="70"/>
      <c r="BG288" s="70"/>
      <c r="BH288" s="70"/>
      <c r="BI288" s="70"/>
      <c r="BJ288" s="70"/>
      <c r="BK288" s="70"/>
      <c r="BL288" s="70"/>
      <c r="BM288" s="70"/>
      <c r="BN288" s="70"/>
      <c r="BO288" s="70"/>
      <c r="BP288" s="70"/>
      <c r="BQ288" s="70"/>
      <c r="BR288" s="70"/>
      <c r="BS288" s="70"/>
      <c r="BT288" s="70"/>
      <c r="BU288" s="70"/>
      <c r="BV288" s="70"/>
      <c r="BW288" s="70"/>
      <c r="BX288" s="70"/>
      <c r="BY288" s="70"/>
      <c r="BZ288" s="70"/>
      <c r="CA288" s="70"/>
      <c r="CB288" s="70"/>
      <c r="CC288" s="70"/>
      <c r="CD288" s="70"/>
      <c r="CE288" s="70"/>
      <c r="CF288" s="70"/>
      <c r="CG288" s="70"/>
      <c r="CH288" s="70"/>
      <c r="CI288" s="70"/>
      <c r="CJ288" s="70"/>
      <c r="CK288" s="70"/>
      <c r="CL288" s="70"/>
      <c r="CM288" s="70"/>
    </row>
    <row r="289" spans="53:91" ht="12.75" x14ac:dyDescent="0.2">
      <c r="BA289" s="301" t="s">
        <v>1782</v>
      </c>
      <c r="BB289" s="70"/>
      <c r="BC289" s="70"/>
      <c r="BD289" s="70"/>
      <c r="BE289" s="70"/>
      <c r="BF289" s="70"/>
      <c r="BG289" s="70"/>
      <c r="BH289" s="70"/>
      <c r="BI289" s="70"/>
      <c r="BJ289" s="70"/>
      <c r="BK289" s="70"/>
      <c r="BL289" s="70"/>
      <c r="BM289" s="70"/>
      <c r="BN289" s="70"/>
      <c r="BO289" s="70"/>
      <c r="BP289" s="70"/>
      <c r="BQ289" s="70"/>
      <c r="BR289" s="70"/>
      <c r="BS289" s="70"/>
      <c r="BT289" s="70"/>
      <c r="BU289" s="70"/>
      <c r="BV289" s="70"/>
      <c r="BW289" s="70"/>
      <c r="BX289" s="70"/>
      <c r="BY289" s="70"/>
      <c r="BZ289" s="70"/>
      <c r="CA289" s="70"/>
      <c r="CB289" s="70"/>
      <c r="CC289" s="70"/>
      <c r="CD289" s="70"/>
      <c r="CE289" s="70"/>
      <c r="CF289" s="70"/>
      <c r="CG289" s="70"/>
      <c r="CH289" s="70"/>
      <c r="CI289" s="70"/>
      <c r="CJ289" s="70"/>
      <c r="CK289" s="70"/>
      <c r="CL289" s="70"/>
      <c r="CM289" s="70"/>
    </row>
    <row r="290" spans="53:91" ht="12.75" x14ac:dyDescent="0.2">
      <c r="BA290" s="301" t="s">
        <v>574</v>
      </c>
      <c r="BB290" s="259">
        <v>0.09</v>
      </c>
      <c r="BC290" s="259"/>
      <c r="BD290" s="259"/>
      <c r="BE290" s="259"/>
      <c r="BF290" s="259"/>
      <c r="BG290" s="259"/>
      <c r="BH290" s="259"/>
      <c r="BI290" s="259"/>
      <c r="BJ290" s="259"/>
      <c r="BK290" s="259"/>
      <c r="BL290" s="259"/>
      <c r="BM290" s="259"/>
      <c r="BN290" s="259"/>
      <c r="BO290" s="259"/>
      <c r="BP290" s="259"/>
      <c r="BQ290" s="259"/>
      <c r="BR290" s="385">
        <v>0.11</v>
      </c>
      <c r="BS290" s="70"/>
      <c r="BT290" s="70"/>
      <c r="BU290" s="70"/>
      <c r="BV290" s="70"/>
      <c r="BW290" s="70"/>
      <c r="BX290" s="70"/>
      <c r="BY290" s="70"/>
      <c r="BZ290" s="70"/>
      <c r="CA290" s="70"/>
      <c r="CB290" s="70"/>
      <c r="CC290" s="70"/>
      <c r="CD290" s="70"/>
      <c r="CE290" s="70"/>
      <c r="CF290" s="70"/>
      <c r="CG290" s="70"/>
      <c r="CH290" s="70"/>
      <c r="CI290" s="70"/>
      <c r="CJ290" s="70"/>
      <c r="CK290" s="70"/>
      <c r="CL290" s="70"/>
      <c r="CM290" s="70"/>
    </row>
    <row r="291" spans="53:91" ht="12.75" x14ac:dyDescent="0.2">
      <c r="BA291" s="301" t="s">
        <v>573</v>
      </c>
      <c r="BB291" s="259">
        <v>7.0000000000000007E-2</v>
      </c>
      <c r="BC291" s="259"/>
      <c r="BD291" s="259"/>
      <c r="BE291" s="259"/>
      <c r="BF291" s="259"/>
      <c r="BG291" s="259"/>
      <c r="BH291" s="259"/>
      <c r="BI291" s="259"/>
      <c r="BJ291" s="259"/>
      <c r="BK291" s="259"/>
      <c r="BL291" s="259"/>
      <c r="BM291" s="259"/>
      <c r="BN291" s="259"/>
      <c r="BO291" s="259"/>
      <c r="BP291" s="259"/>
      <c r="BQ291" s="259"/>
      <c r="BR291" s="385">
        <v>0.09</v>
      </c>
      <c r="BS291" s="70"/>
      <c r="BT291" s="70"/>
      <c r="BU291" s="70"/>
      <c r="BV291" s="70"/>
      <c r="BW291" s="70"/>
      <c r="BX291" s="70"/>
      <c r="BY291" s="70"/>
      <c r="BZ291" s="70"/>
      <c r="CA291" s="70"/>
      <c r="CB291" s="70"/>
      <c r="CC291" s="70"/>
      <c r="CD291" s="70"/>
      <c r="CE291" s="70"/>
      <c r="CF291" s="70"/>
      <c r="CG291" s="70"/>
      <c r="CH291" s="70"/>
      <c r="CI291" s="70"/>
      <c r="CJ291" s="70"/>
      <c r="CK291" s="70"/>
      <c r="CL291" s="70"/>
      <c r="CM291" s="70"/>
    </row>
    <row r="292" spans="53:91" ht="12.75" x14ac:dyDescent="0.2">
      <c r="BA292" s="301" t="s">
        <v>1496</v>
      </c>
      <c r="BB292" s="259">
        <f>AVERAGE(BB290:BB291)</f>
        <v>0.08</v>
      </c>
      <c r="BC292" s="259"/>
      <c r="BD292" s="259"/>
      <c r="BE292" s="259"/>
      <c r="BF292" s="259"/>
      <c r="BG292" s="259"/>
      <c r="BH292" s="259"/>
      <c r="BI292" s="259"/>
      <c r="BJ292" s="259"/>
      <c r="BK292" s="259"/>
      <c r="BL292" s="259"/>
      <c r="BM292" s="259"/>
      <c r="BN292" s="259"/>
      <c r="BO292" s="259"/>
      <c r="BP292" s="259"/>
      <c r="BQ292" s="259"/>
      <c r="BR292" s="311"/>
      <c r="BS292" s="70"/>
      <c r="BT292" s="70"/>
      <c r="BU292" s="70"/>
      <c r="BV292" s="70"/>
      <c r="BW292" s="70"/>
      <c r="BX292" s="70"/>
      <c r="BY292" s="70"/>
      <c r="BZ292" s="70"/>
      <c r="CA292" s="70"/>
      <c r="CB292" s="70"/>
      <c r="CC292" s="70"/>
      <c r="CD292" s="70"/>
      <c r="CE292" s="70"/>
      <c r="CF292" s="70"/>
      <c r="CG292" s="70"/>
      <c r="CH292" s="70"/>
      <c r="CI292" s="70"/>
      <c r="CJ292" s="70"/>
      <c r="CK292" s="70"/>
      <c r="CL292" s="70"/>
      <c r="CM292" s="70"/>
    </row>
    <row r="293" spans="53:91" ht="12.75" x14ac:dyDescent="0.2">
      <c r="BA293" s="301" t="s">
        <v>1938</v>
      </c>
      <c r="BB293" s="259">
        <v>6.6000000000000003E-2</v>
      </c>
      <c r="BC293" s="259">
        <v>7.4999999999999997E-2</v>
      </c>
      <c r="BD293" s="259">
        <v>7.6999999999999999E-2</v>
      </c>
      <c r="BE293" s="259">
        <v>7.0000000000000007E-2</v>
      </c>
      <c r="BF293" s="259">
        <v>4.3999999999999997E-2</v>
      </c>
      <c r="BG293" s="259">
        <v>4.2000000000000003E-2</v>
      </c>
      <c r="BH293" s="259">
        <v>2.1999999999999999E-2</v>
      </c>
      <c r="BI293" s="259">
        <v>-7.4999999999999997E-2</v>
      </c>
      <c r="BJ293" s="259">
        <v>-0.17299999999999999</v>
      </c>
      <c r="BK293" s="259">
        <v>-0.23599999999999999</v>
      </c>
      <c r="BL293" s="259">
        <v>-0.214</v>
      </c>
      <c r="BM293" s="259">
        <v>-0.123</v>
      </c>
      <c r="BN293" s="259">
        <v>-7.0000000000000001E-3</v>
      </c>
      <c r="BO293" s="259">
        <v>8.5000000000000006E-2</v>
      </c>
      <c r="BP293" s="259">
        <v>8.2000000000000003E-2</v>
      </c>
      <c r="BQ293" s="259">
        <v>8.1000000000000003E-2</v>
      </c>
      <c r="BR293" s="70"/>
      <c r="BS293" s="70"/>
      <c r="BT293" s="70"/>
      <c r="BU293" s="70"/>
      <c r="BV293" s="70"/>
      <c r="BW293" s="70"/>
      <c r="BX293" s="70"/>
      <c r="BY293" s="70"/>
      <c r="BZ293" s="70"/>
      <c r="CA293" s="70"/>
      <c r="CB293" s="70"/>
      <c r="CC293" s="70"/>
      <c r="CD293" s="70"/>
      <c r="CE293" s="70"/>
      <c r="CF293" s="70"/>
      <c r="CG293" s="70"/>
      <c r="CH293" s="70"/>
      <c r="CI293" s="70"/>
      <c r="CJ293" s="70"/>
      <c r="CK293" s="70"/>
      <c r="CL293" s="70"/>
      <c r="CM293" s="70"/>
    </row>
    <row r="294" spans="53:91" ht="12.75" x14ac:dyDescent="0.2">
      <c r="BA294" s="301" t="s">
        <v>1493</v>
      </c>
      <c r="BB294" s="70"/>
      <c r="BC294" s="70"/>
      <c r="BD294" s="70"/>
      <c r="BE294" s="70"/>
      <c r="BF294" s="70"/>
      <c r="BG294" s="70"/>
      <c r="BH294" s="70"/>
      <c r="BI294" s="70"/>
      <c r="BJ294" s="70"/>
      <c r="BK294" s="70"/>
      <c r="BL294" s="70"/>
      <c r="BM294" s="70"/>
      <c r="BN294" s="70"/>
      <c r="BO294" s="70"/>
      <c r="BP294" s="70"/>
      <c r="BQ294" s="70"/>
      <c r="BR294" s="70"/>
      <c r="BS294" s="70"/>
      <c r="BT294" s="70"/>
      <c r="BU294" s="70"/>
      <c r="BV294" s="70"/>
      <c r="BW294" s="70"/>
      <c r="BX294" s="70"/>
      <c r="BY294" s="70"/>
      <c r="BZ294" s="70"/>
      <c r="CA294" s="70"/>
      <c r="CB294" s="70"/>
      <c r="CC294" s="70"/>
      <c r="CD294" s="70"/>
      <c r="CE294" s="70"/>
      <c r="CF294" s="70"/>
      <c r="CG294" s="70"/>
      <c r="CH294" s="70"/>
      <c r="CI294" s="70"/>
      <c r="CJ294" s="70"/>
      <c r="CK294" s="70"/>
      <c r="CL294" s="70"/>
      <c r="CM294" s="70"/>
    </row>
    <row r="295" spans="53:91" ht="12.75" x14ac:dyDescent="0.2">
      <c r="BA295" s="70"/>
      <c r="BB295" s="70"/>
      <c r="BC295" s="70"/>
      <c r="BD295" s="70"/>
      <c r="BE295" s="70"/>
      <c r="BF295" s="70"/>
      <c r="BG295" s="70"/>
      <c r="BH295" s="70"/>
      <c r="BI295" s="70"/>
      <c r="BJ295" s="70"/>
      <c r="BK295" s="70"/>
      <c r="BL295" s="70"/>
      <c r="BM295" s="70"/>
      <c r="BN295" s="70"/>
      <c r="BO295" s="70"/>
      <c r="BP295" s="70"/>
      <c r="BQ295" s="70"/>
      <c r="BR295" s="70"/>
      <c r="BS295" s="70"/>
      <c r="BT295" s="70"/>
      <c r="BU295" s="70"/>
      <c r="BV295" s="70"/>
      <c r="BW295" s="70"/>
      <c r="BX295" s="70"/>
      <c r="BY295" s="70"/>
      <c r="BZ295" s="70"/>
      <c r="CA295" s="70"/>
      <c r="CB295" s="70"/>
      <c r="CC295" s="70"/>
      <c r="CD295" s="70"/>
      <c r="CE295" s="70"/>
      <c r="CF295" s="70"/>
      <c r="CG295" s="70"/>
      <c r="CH295" s="70"/>
      <c r="CI295" s="70"/>
      <c r="CJ295" s="70"/>
      <c r="CK295" s="70"/>
      <c r="CL295" s="70"/>
      <c r="CM295" s="70"/>
    </row>
    <row r="296" spans="53:91" ht="12.75" x14ac:dyDescent="0.2">
      <c r="BA296" s="248" t="s">
        <v>1495</v>
      </c>
      <c r="BB296" s="70"/>
      <c r="BC296" s="70"/>
      <c r="BD296" s="70"/>
      <c r="BE296" s="70"/>
      <c r="BF296" s="70"/>
      <c r="BG296" s="70"/>
      <c r="BH296" s="70"/>
      <c r="BI296" s="70"/>
      <c r="BJ296" s="70"/>
      <c r="BK296" s="70"/>
      <c r="BL296" s="70"/>
      <c r="BM296" s="70"/>
      <c r="BN296" s="70"/>
      <c r="BO296" s="70"/>
      <c r="BP296" s="70"/>
      <c r="BQ296" s="70"/>
      <c r="BR296" s="70"/>
      <c r="BS296" s="70"/>
      <c r="BT296" s="70"/>
      <c r="BU296" s="70"/>
      <c r="BV296" s="70"/>
      <c r="BW296" s="70"/>
      <c r="BX296" s="70"/>
      <c r="BY296" s="70"/>
      <c r="BZ296" s="70"/>
      <c r="CA296" s="70"/>
      <c r="CB296" s="70"/>
      <c r="CC296" s="70"/>
      <c r="CD296" s="70"/>
      <c r="CE296" s="70"/>
      <c r="CF296" s="70"/>
      <c r="CG296" s="70"/>
      <c r="CH296" s="70"/>
      <c r="CI296" s="70"/>
      <c r="CJ296" s="70"/>
      <c r="CK296" s="70"/>
      <c r="CL296" s="70"/>
      <c r="CM296" s="70"/>
    </row>
    <row r="297" spans="53:91" ht="12.75" x14ac:dyDescent="0.2">
      <c r="BA297" s="301" t="s">
        <v>1782</v>
      </c>
      <c r="BB297" s="70"/>
      <c r="BC297" s="70"/>
      <c r="BD297" s="70"/>
      <c r="BE297" s="70"/>
      <c r="BF297" s="70"/>
      <c r="BG297" s="70"/>
      <c r="BH297" s="70"/>
      <c r="BI297" s="70"/>
      <c r="BJ297" s="70"/>
      <c r="BK297" s="70"/>
      <c r="BL297" s="70"/>
      <c r="BM297" s="70"/>
      <c r="BN297" s="70"/>
      <c r="BO297" s="70"/>
      <c r="BP297" s="70"/>
      <c r="BQ297" s="70"/>
      <c r="BR297" s="70"/>
      <c r="BS297" s="70"/>
      <c r="BT297" s="70"/>
      <c r="BU297" s="70"/>
      <c r="BV297" s="70"/>
      <c r="BW297" s="70"/>
      <c r="BX297" s="70"/>
      <c r="BY297" s="70"/>
      <c r="BZ297" s="70"/>
      <c r="CA297" s="70"/>
      <c r="CB297" s="70"/>
      <c r="CC297" s="70"/>
      <c r="CD297" s="70"/>
      <c r="CE297" s="70"/>
      <c r="CF297" s="70"/>
      <c r="CG297" s="70"/>
      <c r="CH297" s="70"/>
      <c r="CI297" s="70"/>
      <c r="CJ297" s="70"/>
      <c r="CK297" s="70"/>
      <c r="CL297" s="70"/>
      <c r="CM297" s="70"/>
    </row>
    <row r="298" spans="53:91" ht="12.75" x14ac:dyDescent="0.2">
      <c r="BA298" s="301" t="s">
        <v>574</v>
      </c>
      <c r="BB298" s="384">
        <v>0.09</v>
      </c>
      <c r="BC298" s="384"/>
      <c r="BD298" s="384"/>
      <c r="BE298" s="384"/>
      <c r="BF298" s="384"/>
      <c r="BG298" s="384"/>
      <c r="BH298" s="384"/>
      <c r="BI298" s="384"/>
      <c r="BJ298" s="384"/>
      <c r="BK298" s="384"/>
      <c r="BL298" s="384"/>
      <c r="BM298" s="384"/>
      <c r="BN298" s="384"/>
      <c r="BO298" s="384"/>
      <c r="BP298" s="384"/>
      <c r="BQ298" s="384"/>
      <c r="BR298" s="384">
        <v>0.08</v>
      </c>
      <c r="BS298" s="384"/>
      <c r="BT298" s="384"/>
      <c r="BU298" s="384"/>
      <c r="BV298" s="70"/>
      <c r="BW298" s="70"/>
      <c r="BX298" s="70"/>
      <c r="BY298" s="70"/>
      <c r="BZ298" s="70"/>
      <c r="CA298" s="70"/>
      <c r="CB298" s="70"/>
      <c r="CC298" s="70"/>
      <c r="CD298" s="70"/>
      <c r="CE298" s="70"/>
      <c r="CF298" s="70"/>
      <c r="CG298" s="70"/>
      <c r="CH298" s="70"/>
      <c r="CI298" s="70"/>
      <c r="CJ298" s="70"/>
      <c r="CK298" s="70"/>
      <c r="CL298" s="70"/>
      <c r="CM298" s="70"/>
    </row>
    <row r="299" spans="53:91" ht="12.75" x14ac:dyDescent="0.2">
      <c r="BA299" s="301" t="s">
        <v>573</v>
      </c>
      <c r="BB299" s="384">
        <v>7.0000000000000007E-2</v>
      </c>
      <c r="BC299" s="384"/>
      <c r="BD299" s="384"/>
      <c r="BE299" s="384"/>
      <c r="BF299" s="384"/>
      <c r="BG299" s="384"/>
      <c r="BH299" s="384"/>
      <c r="BI299" s="384"/>
      <c r="BJ299" s="384"/>
      <c r="BK299" s="384"/>
      <c r="BL299" s="384"/>
      <c r="BM299" s="384"/>
      <c r="BN299" s="384"/>
      <c r="BO299" s="384"/>
      <c r="BP299" s="384"/>
      <c r="BQ299" s="384"/>
      <c r="BR299" s="384">
        <v>0.06</v>
      </c>
      <c r="BS299" s="384"/>
      <c r="BT299" s="384"/>
      <c r="BU299" s="384"/>
      <c r="BV299" s="70"/>
      <c r="BW299" s="70"/>
      <c r="BX299" s="70"/>
      <c r="BY299" s="70"/>
      <c r="BZ299" s="70"/>
      <c r="CA299" s="70"/>
      <c r="CB299" s="70"/>
      <c r="CC299" s="70"/>
      <c r="CD299" s="70"/>
      <c r="CE299" s="70"/>
      <c r="CF299" s="70"/>
      <c r="CG299" s="70"/>
      <c r="CH299" s="70"/>
      <c r="CI299" s="70"/>
      <c r="CJ299" s="70"/>
      <c r="CK299" s="70"/>
      <c r="CL299" s="70"/>
      <c r="CM299" s="70"/>
    </row>
    <row r="300" spans="53:91" ht="12.75" x14ac:dyDescent="0.2">
      <c r="BA300" s="301" t="s">
        <v>1496</v>
      </c>
      <c r="BB300" s="259">
        <f>AVERAGE(BB298:BB299)</f>
        <v>0.08</v>
      </c>
      <c r="BC300" s="259"/>
      <c r="BD300" s="259"/>
      <c r="BE300" s="259"/>
      <c r="BF300" s="259"/>
      <c r="BG300" s="259"/>
      <c r="BH300" s="259"/>
      <c r="BI300" s="259"/>
      <c r="BJ300" s="259"/>
      <c r="BK300" s="259"/>
      <c r="BL300" s="259"/>
      <c r="BM300" s="259"/>
      <c r="BN300" s="259"/>
      <c r="BO300" s="259"/>
      <c r="BP300" s="259"/>
      <c r="BQ300" s="259"/>
      <c r="BR300" s="259">
        <f>AVERAGE(BR298:BR299)</f>
        <v>7.0000000000000007E-2</v>
      </c>
      <c r="BS300" s="259"/>
      <c r="BT300" s="259"/>
      <c r="BU300" s="259"/>
      <c r="BV300" s="70"/>
      <c r="BW300" s="70"/>
      <c r="BX300" s="70"/>
      <c r="BY300" s="70"/>
      <c r="BZ300" s="70"/>
      <c r="CA300" s="70"/>
      <c r="CB300" s="70"/>
      <c r="CC300" s="70"/>
      <c r="CD300" s="70"/>
      <c r="CE300" s="70"/>
      <c r="CF300" s="70"/>
      <c r="CG300" s="70"/>
      <c r="CH300" s="70"/>
      <c r="CI300" s="70"/>
      <c r="CJ300" s="70"/>
      <c r="CK300" s="70"/>
      <c r="CL300" s="70"/>
      <c r="CM300" s="70"/>
    </row>
    <row r="301" spans="53:91" ht="12.75" x14ac:dyDescent="0.2">
      <c r="BA301" s="301" t="s">
        <v>1938</v>
      </c>
      <c r="BB301" s="70"/>
      <c r="BC301" s="70"/>
      <c r="BD301" s="70"/>
      <c r="BE301" s="70"/>
      <c r="BF301" s="70"/>
      <c r="BG301" s="70"/>
      <c r="BH301" s="70"/>
      <c r="BI301" s="70"/>
      <c r="BJ301" s="70"/>
      <c r="BK301" s="70"/>
      <c r="BL301" s="70"/>
      <c r="BM301" s="70"/>
      <c r="BN301" s="70"/>
      <c r="BO301" s="70"/>
      <c r="BP301" s="70"/>
      <c r="BQ301" s="70"/>
      <c r="BR301" s="70"/>
      <c r="BS301" s="70"/>
      <c r="BT301" s="70"/>
      <c r="BU301" s="70"/>
      <c r="BV301" s="70"/>
      <c r="BW301" s="70"/>
      <c r="BX301" s="70"/>
      <c r="BY301" s="70"/>
      <c r="BZ301" s="70"/>
      <c r="CA301" s="70"/>
      <c r="CB301" s="70"/>
      <c r="CC301" s="70"/>
      <c r="CD301" s="70"/>
      <c r="CE301" s="70"/>
      <c r="CF301" s="70"/>
      <c r="CG301" s="70"/>
      <c r="CH301" s="70"/>
      <c r="CI301" s="70"/>
      <c r="CJ301" s="70"/>
      <c r="CK301" s="70"/>
      <c r="CL301" s="70"/>
      <c r="CM301" s="70"/>
    </row>
    <row r="302" spans="53:91" ht="12.75" x14ac:dyDescent="0.2">
      <c r="BA302" s="301" t="s">
        <v>1493</v>
      </c>
      <c r="BB302" s="70"/>
      <c r="BC302" s="70"/>
      <c r="BD302" s="70"/>
      <c r="BE302" s="70"/>
      <c r="BF302" s="70"/>
      <c r="BG302" s="70"/>
      <c r="BH302" s="70"/>
      <c r="BI302" s="70"/>
      <c r="BJ302" s="70"/>
      <c r="BK302" s="70"/>
      <c r="BL302" s="70"/>
      <c r="BM302" s="70"/>
      <c r="BN302" s="70"/>
      <c r="BO302" s="70"/>
      <c r="BP302" s="70"/>
      <c r="BQ302" s="70"/>
      <c r="BR302" s="70"/>
      <c r="BS302" s="70"/>
      <c r="BT302" s="70"/>
      <c r="BU302" s="70"/>
      <c r="BV302" s="70"/>
      <c r="BW302" s="70"/>
      <c r="BX302" s="70"/>
      <c r="BY302" s="70"/>
      <c r="BZ302" s="70"/>
      <c r="CA302" s="70"/>
      <c r="CB302" s="70"/>
      <c r="CC302" s="70"/>
      <c r="CD302" s="70"/>
      <c r="CE302" s="70"/>
      <c r="CF302" s="70"/>
      <c r="CG302" s="70"/>
      <c r="CH302" s="70"/>
      <c r="CI302" s="70"/>
      <c r="CJ302" s="70"/>
      <c r="CK302" s="70"/>
      <c r="CL302" s="70"/>
      <c r="CM302" s="70"/>
    </row>
    <row r="303" spans="53:91" ht="12.75" x14ac:dyDescent="0.2">
      <c r="BA303" s="70"/>
      <c r="BB303" s="70"/>
      <c r="BC303" s="70"/>
      <c r="BD303" s="70"/>
      <c r="BE303" s="70"/>
      <c r="BF303" s="70"/>
      <c r="BG303" s="70"/>
      <c r="BH303" s="70"/>
      <c r="BI303" s="70"/>
      <c r="BJ303" s="70"/>
      <c r="BK303" s="70"/>
      <c r="BL303" s="70"/>
      <c r="BM303" s="70"/>
      <c r="BN303" s="70"/>
      <c r="BO303" s="70"/>
      <c r="BP303" s="70"/>
      <c r="BQ303" s="70"/>
      <c r="BR303" s="70"/>
      <c r="BS303" s="70"/>
      <c r="BT303" s="70"/>
      <c r="BU303" s="70"/>
      <c r="BV303" s="70"/>
      <c r="BW303" s="70"/>
      <c r="BX303" s="70"/>
      <c r="BY303" s="70"/>
      <c r="BZ303" s="70"/>
      <c r="CA303" s="70"/>
      <c r="CB303" s="70"/>
      <c r="CC303" s="70"/>
      <c r="CD303" s="70"/>
      <c r="CE303" s="70"/>
      <c r="CF303" s="70"/>
      <c r="CG303" s="70"/>
      <c r="CH303" s="70"/>
      <c r="CI303" s="70"/>
      <c r="CJ303" s="70"/>
      <c r="CK303" s="70"/>
      <c r="CL303" s="70"/>
      <c r="CM303" s="70"/>
    </row>
    <row r="304" spans="53:91" ht="12.75" x14ac:dyDescent="0.2">
      <c r="BA304" s="248" t="s">
        <v>1492</v>
      </c>
      <c r="BB304" s="70"/>
      <c r="BC304" s="70"/>
      <c r="BD304" s="70"/>
      <c r="BE304" s="70"/>
      <c r="BF304" s="70"/>
      <c r="BG304" s="70"/>
      <c r="BH304" s="70"/>
      <c r="BI304" s="70"/>
      <c r="BJ304" s="70"/>
      <c r="BK304" s="70"/>
      <c r="BL304" s="70"/>
      <c r="BM304" s="70"/>
      <c r="BN304" s="70"/>
      <c r="BO304" s="70"/>
      <c r="BP304" s="70"/>
      <c r="BQ304" s="70"/>
      <c r="BR304" s="70"/>
      <c r="BS304" s="70"/>
      <c r="BT304" s="70"/>
      <c r="BU304" s="70"/>
      <c r="BV304" s="70"/>
      <c r="BW304" s="70"/>
      <c r="BX304" s="70"/>
      <c r="BY304" s="70"/>
      <c r="BZ304" s="70"/>
      <c r="CA304" s="70"/>
      <c r="CB304" s="70"/>
      <c r="CC304" s="70"/>
      <c r="CD304" s="70"/>
      <c r="CE304" s="70"/>
      <c r="CF304" s="70"/>
      <c r="CG304" s="70"/>
      <c r="CH304" s="70"/>
      <c r="CI304" s="70"/>
      <c r="CJ304" s="70"/>
      <c r="CK304" s="70"/>
      <c r="CL304" s="70"/>
      <c r="CM304" s="70"/>
    </row>
    <row r="305" spans="53:91" ht="12.75" x14ac:dyDescent="0.2">
      <c r="BA305" s="301" t="s">
        <v>1782</v>
      </c>
      <c r="BB305" s="70"/>
      <c r="BC305" s="70"/>
      <c r="BD305" s="70"/>
      <c r="BE305" s="70"/>
      <c r="BF305" s="70"/>
      <c r="BG305" s="70"/>
      <c r="BH305" s="70"/>
      <c r="BI305" s="70"/>
      <c r="BJ305" s="70"/>
      <c r="BK305" s="70"/>
      <c r="BL305" s="70"/>
      <c r="BM305" s="70"/>
      <c r="BN305" s="70"/>
      <c r="BO305" s="70"/>
      <c r="BP305" s="70"/>
      <c r="BQ305" s="70"/>
      <c r="BR305" s="70"/>
      <c r="BS305" s="70"/>
      <c r="BT305" s="70"/>
      <c r="BU305" s="70"/>
      <c r="BV305" s="70"/>
      <c r="BW305" s="70"/>
      <c r="BX305" s="70"/>
      <c r="BY305" s="70"/>
      <c r="BZ305" s="70"/>
      <c r="CA305" s="70"/>
      <c r="CB305" s="70"/>
      <c r="CC305" s="70"/>
      <c r="CD305" s="70"/>
      <c r="CE305" s="70"/>
      <c r="CF305" s="70"/>
      <c r="CG305" s="70"/>
      <c r="CH305" s="70"/>
      <c r="CI305" s="70"/>
      <c r="CJ305" s="70"/>
      <c r="CK305" s="70"/>
      <c r="CL305" s="70"/>
      <c r="CM305" s="70"/>
    </row>
    <row r="306" spans="53:91" ht="12.75" x14ac:dyDescent="0.2">
      <c r="BA306" s="301" t="s">
        <v>1938</v>
      </c>
      <c r="BB306" s="70">
        <f>MAR!AR10</f>
        <v>296</v>
      </c>
      <c r="BC306" s="70">
        <f>MAR!AS10</f>
        <v>365</v>
      </c>
      <c r="BD306" s="70">
        <f>MAR!AT10</f>
        <v>302</v>
      </c>
      <c r="BE306" s="70">
        <f>MAR!AU10</f>
        <v>465</v>
      </c>
      <c r="BF306" s="70">
        <f>MAR!AW10</f>
        <v>318</v>
      </c>
      <c r="BG306" s="70">
        <f>MAR!AX10</f>
        <v>374</v>
      </c>
      <c r="BH306" s="70">
        <f>MAR!AY10</f>
        <v>303</v>
      </c>
      <c r="BI306" s="70">
        <f>MAR!AZ10</f>
        <v>402</v>
      </c>
      <c r="BJ306" s="70">
        <f>MAR!BB10</f>
        <v>256</v>
      </c>
      <c r="BK306" s="70">
        <f>MAR!BC10</f>
        <v>254</v>
      </c>
      <c r="BL306" s="70">
        <f>MAR!BD10</f>
        <v>233</v>
      </c>
      <c r="BM306" s="70">
        <f>MAR!BE10</f>
        <v>341</v>
      </c>
      <c r="BN306" s="70">
        <f>MAR!BG10</f>
        <v>256</v>
      </c>
      <c r="BO306" s="70">
        <f>MAR!BH10</f>
        <v>288</v>
      </c>
      <c r="BP306" s="70">
        <f>MAR!BI10</f>
        <v>254</v>
      </c>
      <c r="BQ306" s="70">
        <f>MAR!BJ10</f>
        <v>391</v>
      </c>
      <c r="BR306" s="70"/>
      <c r="BS306" s="70"/>
      <c r="BT306" s="70"/>
      <c r="BU306" s="70"/>
      <c r="BV306" s="70"/>
      <c r="BW306" s="70"/>
      <c r="BX306" s="70"/>
      <c r="BY306" s="70"/>
      <c r="BZ306" s="70"/>
      <c r="CA306" s="70"/>
      <c r="CB306" s="70"/>
      <c r="CC306" s="70"/>
      <c r="CD306" s="70"/>
      <c r="CE306" s="70"/>
      <c r="CF306" s="70"/>
      <c r="CG306" s="70"/>
      <c r="CH306" s="70"/>
      <c r="CI306" s="70"/>
      <c r="CJ306" s="70"/>
      <c r="CK306" s="70"/>
      <c r="CL306" s="70"/>
      <c r="CM306" s="70"/>
    </row>
    <row r="307" spans="53:91" ht="12.75" x14ac:dyDescent="0.2">
      <c r="BA307" s="301" t="s">
        <v>1493</v>
      </c>
      <c r="BB307" s="70"/>
      <c r="BC307" s="70"/>
      <c r="BD307" s="70"/>
      <c r="BE307" s="70"/>
      <c r="BF307" s="70"/>
      <c r="BG307" s="70"/>
      <c r="BH307" s="70"/>
      <c r="BI307" s="70"/>
      <c r="BJ307" s="70"/>
      <c r="BK307" s="70"/>
      <c r="BL307" s="70"/>
      <c r="BM307" s="70"/>
      <c r="BN307" s="70"/>
      <c r="BO307" s="70"/>
      <c r="BP307" s="70"/>
      <c r="BQ307" s="70"/>
      <c r="BR307" s="70"/>
      <c r="BS307" s="70"/>
      <c r="BT307" s="70"/>
      <c r="BU307" s="70"/>
      <c r="BV307" s="70"/>
      <c r="BW307" s="70"/>
      <c r="BX307" s="70"/>
      <c r="BY307" s="70"/>
      <c r="BZ307" s="70"/>
      <c r="CA307" s="70"/>
      <c r="CB307" s="70"/>
      <c r="CC307" s="70"/>
      <c r="CD307" s="70"/>
      <c r="CE307" s="70"/>
      <c r="CF307" s="70"/>
      <c r="CG307" s="70"/>
      <c r="CH307" s="70"/>
      <c r="CI307" s="70"/>
      <c r="CJ307" s="70"/>
      <c r="CK307" s="70"/>
      <c r="CL307" s="70"/>
      <c r="CM307" s="70"/>
    </row>
    <row r="308" spans="53:91" ht="12.75" x14ac:dyDescent="0.2">
      <c r="BA308" s="70"/>
      <c r="BB308" s="70"/>
      <c r="BC308" s="70"/>
      <c r="BD308" s="70"/>
      <c r="BE308" s="70"/>
      <c r="BF308" s="70"/>
      <c r="BG308" s="70"/>
      <c r="BH308" s="70"/>
      <c r="BI308" s="70"/>
      <c r="BJ308" s="70"/>
      <c r="BK308" s="70"/>
      <c r="BL308" s="70"/>
      <c r="BM308" s="70"/>
      <c r="BN308" s="70"/>
      <c r="BO308" s="70"/>
      <c r="BP308" s="70"/>
      <c r="BQ308" s="70"/>
      <c r="BR308" s="70"/>
      <c r="BS308" s="70"/>
      <c r="BT308" s="70"/>
      <c r="BU308" s="70"/>
      <c r="BV308" s="70"/>
      <c r="BW308" s="70"/>
      <c r="BX308" s="70"/>
      <c r="BY308" s="70"/>
      <c r="BZ308" s="70"/>
      <c r="CA308" s="70"/>
      <c r="CB308" s="70"/>
      <c r="CC308" s="70"/>
      <c r="CD308" s="70"/>
      <c r="CE308" s="70"/>
      <c r="CF308" s="70"/>
      <c r="CG308" s="70"/>
      <c r="CH308" s="70"/>
      <c r="CI308" s="70"/>
      <c r="CJ308" s="70"/>
      <c r="CK308" s="70"/>
      <c r="CL308" s="70"/>
      <c r="CM308" s="70"/>
    </row>
    <row r="309" spans="53:91" ht="12.75" x14ac:dyDescent="0.2">
      <c r="BA309" s="248" t="s">
        <v>1253</v>
      </c>
      <c r="BB309" s="70"/>
      <c r="BC309" s="70"/>
      <c r="BD309" s="70"/>
      <c r="BE309" s="70"/>
      <c r="BF309" s="70"/>
      <c r="BG309" s="70"/>
      <c r="BH309" s="70"/>
      <c r="BI309" s="70"/>
      <c r="BJ309" s="70"/>
      <c r="BK309" s="70"/>
      <c r="BL309" s="70"/>
      <c r="BM309" s="70"/>
      <c r="BN309" s="70"/>
      <c r="BO309" s="70"/>
      <c r="BP309" s="70"/>
      <c r="BQ309" s="70"/>
      <c r="BR309" s="70"/>
      <c r="BS309" s="70"/>
      <c r="BT309" s="70"/>
      <c r="BU309" s="70"/>
      <c r="BV309" s="70"/>
      <c r="BW309" s="70"/>
      <c r="BX309" s="70"/>
      <c r="BY309" s="70"/>
      <c r="BZ309" s="70"/>
      <c r="CA309" s="70"/>
      <c r="CB309" s="70"/>
      <c r="CC309" s="70"/>
      <c r="CD309" s="70"/>
      <c r="CE309" s="70"/>
      <c r="CF309" s="70"/>
      <c r="CG309" s="70"/>
      <c r="CH309" s="70"/>
      <c r="CI309" s="70"/>
      <c r="CJ309" s="70"/>
      <c r="CK309" s="70"/>
      <c r="CL309" s="70"/>
      <c r="CM309" s="70"/>
    </row>
    <row r="310" spans="53:91" ht="12.75" x14ac:dyDescent="0.2">
      <c r="BA310" s="301" t="s">
        <v>1782</v>
      </c>
      <c r="BB310" s="70"/>
      <c r="BC310" s="70"/>
      <c r="BD310" s="70"/>
      <c r="BE310" s="70"/>
      <c r="BF310" s="70"/>
      <c r="BG310" s="70"/>
      <c r="BH310" s="70"/>
      <c r="BI310" s="70"/>
      <c r="BJ310" s="70"/>
      <c r="BK310" s="70"/>
      <c r="BL310" s="70"/>
      <c r="BM310" s="70"/>
      <c r="BN310" s="70"/>
      <c r="BO310" s="70"/>
      <c r="BP310" s="70"/>
      <c r="BQ310" s="70"/>
      <c r="BR310" s="70"/>
      <c r="BS310" s="70"/>
      <c r="BT310" s="70"/>
      <c r="BU310" s="70"/>
      <c r="BV310" s="70"/>
      <c r="BW310" s="70"/>
      <c r="BX310" s="70"/>
      <c r="BY310" s="70"/>
      <c r="BZ310" s="70"/>
      <c r="CA310" s="70"/>
      <c r="CB310" s="70"/>
      <c r="CC310" s="70"/>
      <c r="CD310" s="70"/>
      <c r="CE310" s="70"/>
      <c r="CF310" s="70"/>
      <c r="CG310" s="70"/>
      <c r="CH310" s="70"/>
      <c r="CI310" s="70"/>
      <c r="CJ310" s="70"/>
      <c r="CK310" s="70"/>
      <c r="CL310" s="70"/>
      <c r="CM310" s="70"/>
    </row>
    <row r="311" spans="53:91" ht="12.75" x14ac:dyDescent="0.2">
      <c r="BA311" s="301" t="s">
        <v>1938</v>
      </c>
      <c r="BB311" s="300">
        <f>MAR!AR59</f>
        <v>0.57379042061755403</v>
      </c>
      <c r="BC311" s="300">
        <f>MAR!AS59</f>
        <v>0.67855373947498765</v>
      </c>
      <c r="BD311" s="300">
        <f>MAR!AT59</f>
        <v>0.41360060898249174</v>
      </c>
      <c r="BE311" s="300">
        <f>MAR!AU59</f>
        <v>0.4594100756982511</v>
      </c>
      <c r="BF311" s="300">
        <f>MAR!AW59</f>
        <v>0.32535627856950794</v>
      </c>
      <c r="BG311" s="300">
        <f>MAR!AX59</f>
        <v>0.52162162162162162</v>
      </c>
      <c r="BH311" s="300">
        <f>MAR!AY59</f>
        <v>0.33661740558292286</v>
      </c>
      <c r="BI311" s="300">
        <f>MAR!AZ59</f>
        <v>0.1669449081803005</v>
      </c>
      <c r="BJ311" s="300">
        <f>MAR!BB59</f>
        <v>0.19063638912251193</v>
      </c>
      <c r="BK311" s="300">
        <f>MAR!BC59</f>
        <v>0.20357634112792297</v>
      </c>
      <c r="BL311" s="300">
        <f>MAR!BD59</f>
        <v>-0.51269451269451272</v>
      </c>
      <c r="BM311" s="300">
        <f>MAR!BE59</f>
        <v>0.33584094572810319</v>
      </c>
      <c r="BN311" s="300">
        <f>MAR!BG59</f>
        <v>0.1982319849986606</v>
      </c>
      <c r="BO311" s="300">
        <f>MAR!BH59</f>
        <v>0.28843609420481608</v>
      </c>
      <c r="BP311" s="300">
        <f>MAR!BI59</f>
        <v>0.17984660142819359</v>
      </c>
      <c r="BQ311" s="300">
        <f>MAR!BJ59</f>
        <v>0.35340314136125656</v>
      </c>
      <c r="BR311" s="300"/>
      <c r="BS311" s="300"/>
      <c r="BT311" s="300"/>
      <c r="BU311" s="300"/>
      <c r="BV311" s="70"/>
      <c r="BW311" s="70"/>
      <c r="BX311" s="70"/>
      <c r="BY311" s="70"/>
      <c r="BZ311" s="70"/>
      <c r="CA311" s="70"/>
      <c r="CB311" s="70"/>
      <c r="CC311" s="70"/>
      <c r="CD311" s="70"/>
      <c r="CE311" s="70"/>
      <c r="CF311" s="70"/>
      <c r="CG311" s="70"/>
      <c r="CH311" s="70"/>
      <c r="CI311" s="70"/>
      <c r="CJ311" s="70"/>
      <c r="CK311" s="70"/>
      <c r="CL311" s="70"/>
      <c r="CM311" s="70"/>
    </row>
    <row r="312" spans="53:91" ht="12.75" x14ac:dyDescent="0.2">
      <c r="BA312" s="301" t="s">
        <v>1493</v>
      </c>
      <c r="BB312" s="70"/>
      <c r="BC312" s="70"/>
      <c r="BD312" s="70"/>
      <c r="BE312" s="70"/>
      <c r="BF312" s="70"/>
      <c r="BG312" s="70"/>
      <c r="BH312" s="70"/>
      <c r="BI312" s="70"/>
      <c r="BJ312" s="70"/>
      <c r="BK312" s="70"/>
      <c r="BL312" s="70"/>
      <c r="BM312" s="70"/>
      <c r="BN312" s="70"/>
      <c r="BO312" s="70"/>
      <c r="BP312" s="70"/>
      <c r="BQ312" s="70"/>
      <c r="BR312" s="70"/>
      <c r="BS312" s="70"/>
      <c r="BT312" s="70"/>
      <c r="BU312" s="70"/>
      <c r="BV312" s="70"/>
      <c r="BW312" s="70"/>
      <c r="BX312" s="70"/>
      <c r="BY312" s="70"/>
      <c r="BZ312" s="70"/>
      <c r="CA312" s="70"/>
      <c r="CB312" s="70"/>
      <c r="CC312" s="70"/>
      <c r="CD312" s="70"/>
      <c r="CE312" s="70"/>
      <c r="CF312" s="70"/>
      <c r="CG312" s="70"/>
      <c r="CH312" s="70"/>
      <c r="CI312" s="70"/>
      <c r="CJ312" s="70"/>
      <c r="CK312" s="70"/>
      <c r="CL312" s="70"/>
      <c r="CM312" s="70"/>
    </row>
    <row r="313" spans="53:91" ht="12.75" x14ac:dyDescent="0.2">
      <c r="BA313" s="70"/>
      <c r="BB313" s="70"/>
      <c r="BC313" s="70"/>
      <c r="BD313" s="70"/>
      <c r="BE313" s="70"/>
      <c r="BF313" s="70"/>
      <c r="BG313" s="70"/>
      <c r="BH313" s="70"/>
      <c r="BI313" s="70"/>
      <c r="BJ313" s="70"/>
      <c r="BK313" s="70"/>
      <c r="BL313" s="70"/>
      <c r="BM313" s="70"/>
      <c r="BN313" s="70"/>
      <c r="BO313" s="70"/>
      <c r="BP313" s="70"/>
      <c r="BQ313" s="70"/>
      <c r="BR313" s="70"/>
      <c r="BS313" s="70"/>
      <c r="BT313" s="70"/>
      <c r="BU313" s="70"/>
      <c r="BV313" s="70"/>
      <c r="BW313" s="70"/>
      <c r="BX313" s="70"/>
      <c r="BY313" s="70"/>
      <c r="BZ313" s="70"/>
      <c r="CA313" s="70"/>
      <c r="CB313" s="70"/>
      <c r="CC313" s="70"/>
      <c r="CD313" s="70"/>
      <c r="CE313" s="70"/>
      <c r="CF313" s="70"/>
      <c r="CG313" s="70"/>
      <c r="CH313" s="70"/>
      <c r="CI313" s="70"/>
      <c r="CJ313" s="70"/>
      <c r="CK313" s="70"/>
      <c r="CL313" s="70"/>
      <c r="CM313" s="70"/>
    </row>
    <row r="314" spans="53:91" ht="12.75" x14ac:dyDescent="0.2">
      <c r="BA314" s="70"/>
      <c r="BB314" s="70"/>
      <c r="BC314" s="70"/>
      <c r="BD314" s="70"/>
      <c r="BE314" s="70"/>
      <c r="BF314" s="70"/>
      <c r="BG314" s="70"/>
      <c r="BH314" s="70"/>
      <c r="BI314" s="70"/>
      <c r="BJ314" s="70"/>
      <c r="BK314" s="70"/>
      <c r="BL314" s="70"/>
      <c r="BM314" s="70"/>
      <c r="BN314" s="70"/>
      <c r="BO314" s="70"/>
      <c r="BP314" s="70"/>
      <c r="BQ314" s="70"/>
      <c r="BR314" s="70"/>
      <c r="BS314" s="70"/>
      <c r="BT314" s="70"/>
      <c r="BU314" s="70"/>
      <c r="BV314" s="70"/>
      <c r="BW314" s="70"/>
      <c r="BX314" s="70"/>
      <c r="BY314" s="70"/>
      <c r="BZ314" s="70"/>
      <c r="CA314" s="70"/>
      <c r="CB314" s="70"/>
      <c r="CC314" s="70"/>
      <c r="CD314" s="70"/>
      <c r="CE314" s="70"/>
      <c r="CF314" s="70"/>
      <c r="CG314" s="70"/>
      <c r="CH314" s="70"/>
      <c r="CI314" s="70"/>
      <c r="CJ314" s="70"/>
      <c r="CK314" s="70"/>
      <c r="CL314" s="70"/>
      <c r="CM314" s="70"/>
    </row>
    <row r="315" spans="53:91" ht="3.75" customHeight="1" x14ac:dyDescent="0.2">
      <c r="BA315" s="70"/>
      <c r="BB315" s="70"/>
      <c r="BC315" s="70"/>
      <c r="BD315" s="70"/>
      <c r="BE315" s="70"/>
      <c r="BF315" s="70"/>
      <c r="BG315" s="70"/>
      <c r="BH315" s="70"/>
      <c r="BI315" s="70"/>
      <c r="BJ315" s="70"/>
      <c r="BK315" s="70"/>
      <c r="BL315" s="70"/>
      <c r="BM315" s="70"/>
      <c r="BN315" s="70"/>
      <c r="BO315" s="70"/>
      <c r="BP315" s="70"/>
      <c r="BQ315" s="70"/>
      <c r="BR315" s="70"/>
      <c r="BS315" s="70"/>
      <c r="BT315" s="70"/>
      <c r="BU315" s="70"/>
      <c r="BV315" s="70"/>
      <c r="BW315" s="70"/>
      <c r="BX315" s="70"/>
      <c r="BY315" s="70"/>
      <c r="BZ315" s="70"/>
      <c r="CA315" s="70"/>
      <c r="CB315" s="70"/>
      <c r="CC315" s="70"/>
      <c r="CD315" s="70"/>
      <c r="CE315" s="70"/>
      <c r="CF315" s="70"/>
      <c r="CG315" s="70"/>
      <c r="CH315" s="70"/>
      <c r="CI315" s="70"/>
      <c r="CJ315" s="70"/>
      <c r="CK315" s="70"/>
      <c r="CL315" s="70"/>
      <c r="CM315" s="70"/>
    </row>
    <row r="316" spans="53:91" ht="12.75" customHeight="1" x14ac:dyDescent="0.2">
      <c r="BA316" s="70"/>
      <c r="BB316" s="70"/>
      <c r="BC316" s="70"/>
      <c r="BD316" s="70"/>
      <c r="BE316" s="70"/>
      <c r="BF316" s="70"/>
      <c r="BG316" s="70"/>
      <c r="BH316" s="70"/>
      <c r="BI316" s="70"/>
      <c r="BJ316" s="70"/>
      <c r="BK316" s="70"/>
      <c r="BL316" s="70"/>
      <c r="BM316" s="70"/>
      <c r="BN316" s="70"/>
      <c r="BO316" s="70"/>
      <c r="BP316" s="70"/>
      <c r="BQ316" s="70"/>
      <c r="BR316" s="70"/>
      <c r="BS316" s="70"/>
      <c r="BT316" s="70"/>
      <c r="BU316" s="70"/>
      <c r="BV316" s="70"/>
      <c r="BW316" s="70"/>
      <c r="BX316" s="427" t="s">
        <v>1144</v>
      </c>
      <c r="BY316" s="428"/>
      <c r="BZ316" s="428"/>
      <c r="CA316" s="428"/>
      <c r="CB316" s="428"/>
      <c r="CC316" s="428"/>
      <c r="CD316" s="428"/>
      <c r="CE316" s="428"/>
      <c r="CF316" s="428"/>
      <c r="CG316" s="70"/>
      <c r="CH316" s="70"/>
      <c r="CI316" s="70"/>
      <c r="CJ316" s="70"/>
      <c r="CK316" s="70"/>
      <c r="CL316" s="70"/>
      <c r="CM316" s="70"/>
    </row>
    <row r="317" spans="53:91" ht="15.75" x14ac:dyDescent="0.25">
      <c r="BA317" s="70"/>
      <c r="BB317" s="70"/>
      <c r="BC317" s="70"/>
      <c r="BD317" s="70"/>
      <c r="BE317" s="70"/>
      <c r="BF317" s="70"/>
      <c r="BG317" s="70"/>
      <c r="BH317" s="70"/>
      <c r="BI317" s="70"/>
      <c r="BJ317" s="70"/>
      <c r="BK317" s="70"/>
      <c r="BL317" s="70"/>
      <c r="BM317" s="70"/>
      <c r="BN317" s="70"/>
      <c r="BO317" s="70"/>
      <c r="BP317" s="70"/>
      <c r="BQ317" s="70"/>
      <c r="BR317" s="70"/>
      <c r="BS317" s="70"/>
      <c r="BT317" s="70"/>
      <c r="BU317" s="70"/>
      <c r="BV317" s="70"/>
      <c r="BW317" s="70"/>
      <c r="BX317" s="429" t="s">
        <v>1148</v>
      </c>
      <c r="BY317" s="430"/>
      <c r="BZ317" s="430"/>
      <c r="CA317" s="430"/>
      <c r="CB317" s="430"/>
      <c r="CC317" s="430"/>
      <c r="CD317" s="428"/>
      <c r="CE317" s="428"/>
      <c r="CF317" s="428"/>
      <c r="CG317" s="70"/>
      <c r="CH317" s="70"/>
      <c r="CI317" s="70"/>
      <c r="CJ317" s="70"/>
      <c r="CK317" s="70"/>
      <c r="CL317" s="70"/>
      <c r="CM317" s="70"/>
    </row>
    <row r="318" spans="53:91" ht="15.75" x14ac:dyDescent="0.25">
      <c r="BA318" s="70"/>
      <c r="BB318" s="70"/>
      <c r="BC318" s="70"/>
      <c r="BD318" s="70"/>
      <c r="BE318" s="70"/>
      <c r="BF318" s="70"/>
      <c r="BG318" s="70"/>
      <c r="BH318" s="70"/>
      <c r="BI318" s="70"/>
      <c r="BJ318" s="70"/>
      <c r="BK318" s="70"/>
      <c r="BL318" s="70"/>
      <c r="BM318" s="70"/>
      <c r="BN318" s="70"/>
      <c r="BO318" s="70"/>
      <c r="BP318" s="70"/>
      <c r="BQ318" s="70"/>
      <c r="BR318" s="70"/>
      <c r="BS318" s="70"/>
      <c r="BT318" s="70"/>
      <c r="BU318" s="70"/>
      <c r="BV318" s="70"/>
      <c r="BW318" s="70"/>
      <c r="BX318" s="429"/>
      <c r="BY318" s="431"/>
      <c r="BZ318" s="432" t="s">
        <v>1782</v>
      </c>
      <c r="CA318" s="433"/>
      <c r="CB318" s="433"/>
      <c r="CC318" s="431"/>
      <c r="CD318" s="434"/>
      <c r="CE318" s="428"/>
      <c r="CF318" s="428"/>
      <c r="CG318" s="70"/>
      <c r="CH318" s="70"/>
      <c r="CI318" s="70"/>
      <c r="CJ318" s="70"/>
      <c r="CK318" s="70"/>
      <c r="CL318" s="70"/>
      <c r="CM318" s="70"/>
    </row>
    <row r="319" spans="53:91" ht="18.75" x14ac:dyDescent="0.25">
      <c r="BA319" s="70"/>
      <c r="BB319" s="70"/>
      <c r="BC319" s="70"/>
      <c r="BD319" s="70"/>
      <c r="BE319" s="70"/>
      <c r="BF319" s="70"/>
      <c r="BG319" s="70"/>
      <c r="BH319" s="70"/>
      <c r="BI319" s="70"/>
      <c r="BJ319" s="70"/>
      <c r="BK319" s="70"/>
      <c r="BL319" s="70"/>
      <c r="BM319" s="70"/>
      <c r="BN319" s="70"/>
      <c r="BO319" s="70"/>
      <c r="BP319" s="70"/>
      <c r="BQ319" s="70"/>
      <c r="BR319" s="70"/>
      <c r="BS319" s="70"/>
      <c r="BT319" s="70"/>
      <c r="BU319" s="70"/>
      <c r="BV319" s="70"/>
      <c r="BW319" s="70"/>
      <c r="BX319" s="435"/>
      <c r="BY319" s="436"/>
      <c r="BZ319" s="437" t="s">
        <v>574</v>
      </c>
      <c r="CA319" s="437" t="s">
        <v>573</v>
      </c>
      <c r="CB319" s="437" t="s">
        <v>1496</v>
      </c>
      <c r="CC319" s="436"/>
      <c r="CD319" s="438" t="s">
        <v>1151</v>
      </c>
      <c r="CE319" s="438"/>
      <c r="CF319" s="438" t="s">
        <v>231</v>
      </c>
      <c r="CG319" s="70"/>
      <c r="CH319" s="70"/>
      <c r="CI319" s="70"/>
      <c r="CJ319" s="70"/>
      <c r="CK319" s="70"/>
      <c r="CL319" s="70"/>
      <c r="CM319" s="70"/>
    </row>
    <row r="320" spans="53:91" ht="15.75" x14ac:dyDescent="0.25">
      <c r="BA320" s="70"/>
      <c r="BB320" s="70"/>
      <c r="BC320" s="70"/>
      <c r="BD320" s="70"/>
      <c r="BE320" s="70"/>
      <c r="BF320" s="70"/>
      <c r="BG320" s="70"/>
      <c r="BH320" s="70"/>
      <c r="BI320" s="70"/>
      <c r="BJ320" s="70"/>
      <c r="BK320" s="70"/>
      <c r="BL320" s="70"/>
      <c r="BM320" s="70"/>
      <c r="BN320" s="70"/>
      <c r="BO320" s="70"/>
      <c r="BP320" s="70"/>
      <c r="BQ320" s="70"/>
      <c r="BR320" s="70"/>
      <c r="BS320" s="70"/>
      <c r="BT320" s="70"/>
      <c r="BU320" s="70"/>
      <c r="BV320" s="70"/>
      <c r="BW320" s="70"/>
      <c r="BX320" s="435" t="s">
        <v>487</v>
      </c>
      <c r="BY320" s="436"/>
      <c r="BZ320" s="436"/>
      <c r="CA320" s="436"/>
      <c r="CB320" s="436"/>
      <c r="CC320" s="436"/>
      <c r="CD320" s="438"/>
      <c r="CE320" s="438"/>
      <c r="CF320" s="438"/>
      <c r="CG320" s="70"/>
      <c r="CH320" s="70"/>
      <c r="CI320" s="70"/>
      <c r="CJ320" s="70"/>
      <c r="CK320" s="70"/>
      <c r="CL320" s="70"/>
      <c r="CM320" s="70"/>
    </row>
    <row r="321" spans="53:91" ht="15" x14ac:dyDescent="0.2">
      <c r="BA321" s="70"/>
      <c r="BB321" s="70"/>
      <c r="BC321" s="70"/>
      <c r="BD321" s="70"/>
      <c r="BE321" s="70"/>
      <c r="BF321" s="70"/>
      <c r="BG321" s="70"/>
      <c r="BH321" s="70"/>
      <c r="BI321" s="70"/>
      <c r="BJ321" s="70"/>
      <c r="BK321" s="70"/>
      <c r="BL321" s="70"/>
      <c r="BM321" s="70"/>
      <c r="BN321" s="70"/>
      <c r="BO321" s="70"/>
      <c r="BP321" s="70"/>
      <c r="BQ321" s="70"/>
      <c r="BR321" s="70"/>
      <c r="BS321" s="70"/>
      <c r="BT321" s="70"/>
      <c r="BU321" s="70"/>
      <c r="BV321" s="70"/>
      <c r="BW321" s="70"/>
      <c r="BX321" s="439" t="s">
        <v>1143</v>
      </c>
      <c r="BY321" s="440" t="s">
        <v>1146</v>
      </c>
      <c r="BZ321" s="440">
        <v>0.09</v>
      </c>
      <c r="CA321" s="440">
        <v>7.0000000000000007E-2</v>
      </c>
      <c r="CB321" s="440">
        <f>AVERAGE(BZ321:CA321)</f>
        <v>0.08</v>
      </c>
      <c r="CC321" s="440"/>
      <c r="CD321" s="428"/>
      <c r="CE321" s="428"/>
      <c r="CF321" s="441">
        <f>CD321-CB321</f>
        <v>-0.08</v>
      </c>
      <c r="CG321" s="70"/>
      <c r="CH321" s="70"/>
      <c r="CI321" s="70"/>
      <c r="CJ321" s="70"/>
      <c r="CK321" s="70"/>
      <c r="CL321" s="70"/>
      <c r="CM321" s="70"/>
    </row>
    <row r="322" spans="53:91" ht="15" x14ac:dyDescent="0.2">
      <c r="BA322" s="70"/>
      <c r="BB322" s="70"/>
      <c r="BC322" s="70"/>
      <c r="BD322" s="70"/>
      <c r="BE322" s="70"/>
      <c r="BF322" s="70"/>
      <c r="BG322" s="70"/>
      <c r="BH322" s="70"/>
      <c r="BI322" s="70"/>
      <c r="BJ322" s="70"/>
      <c r="BK322" s="70"/>
      <c r="BL322" s="70"/>
      <c r="BM322" s="70"/>
      <c r="BN322" s="70"/>
      <c r="BO322" s="70"/>
      <c r="BP322" s="70"/>
      <c r="BQ322" s="70"/>
      <c r="BR322" s="70"/>
      <c r="BS322" s="70"/>
      <c r="BT322" s="70"/>
      <c r="BU322" s="70"/>
      <c r="BV322" s="70"/>
      <c r="BW322" s="70"/>
      <c r="BX322" s="442" t="s">
        <v>2036</v>
      </c>
      <c r="BY322" s="440" t="s">
        <v>1147</v>
      </c>
      <c r="BZ322" s="440">
        <v>0.11</v>
      </c>
      <c r="CA322" s="440">
        <v>0.09</v>
      </c>
      <c r="CB322" s="440">
        <f t="shared" ref="CB322:CB336" si="1">AVERAGE(BZ322:CA322)</f>
        <v>0.1</v>
      </c>
      <c r="CC322" s="440"/>
      <c r="CD322" s="428"/>
      <c r="CE322" s="428"/>
      <c r="CF322" s="441">
        <f>CD322-CB322</f>
        <v>-0.1</v>
      </c>
      <c r="CG322" s="70"/>
      <c r="CH322" s="70"/>
      <c r="CI322" s="70"/>
      <c r="CJ322" s="70"/>
      <c r="CK322" s="70"/>
      <c r="CL322" s="70"/>
      <c r="CM322" s="70"/>
    </row>
    <row r="323" spans="53:91" ht="15" x14ac:dyDescent="0.2">
      <c r="BA323" s="70"/>
      <c r="BB323" s="70"/>
      <c r="BC323" s="70"/>
      <c r="BD323" s="70"/>
      <c r="BE323" s="70"/>
      <c r="BF323" s="70"/>
      <c r="BG323" s="70"/>
      <c r="BH323" s="70"/>
      <c r="BI323" s="70"/>
      <c r="BJ323" s="70"/>
      <c r="BK323" s="70"/>
      <c r="BL323" s="70"/>
      <c r="BM323" s="70"/>
      <c r="BN323" s="70"/>
      <c r="BO323" s="70"/>
      <c r="BP323" s="70"/>
      <c r="BQ323" s="70"/>
      <c r="BR323" s="70"/>
      <c r="BS323" s="70"/>
      <c r="BT323" s="70"/>
      <c r="BU323" s="70"/>
      <c r="BV323" s="70"/>
      <c r="BW323" s="70"/>
      <c r="BX323" s="442" t="s">
        <v>1309</v>
      </c>
      <c r="BY323" s="440" t="s">
        <v>1940</v>
      </c>
      <c r="BZ323" s="440">
        <v>0.08</v>
      </c>
      <c r="CA323" s="440">
        <v>0.06</v>
      </c>
      <c r="CB323" s="440">
        <f t="shared" si="1"/>
        <v>7.0000000000000007E-2</v>
      </c>
      <c r="CC323" s="440"/>
      <c r="CD323" s="428"/>
      <c r="CE323" s="428"/>
      <c r="CF323" s="441">
        <f>CD323-CB323</f>
        <v>-7.0000000000000007E-2</v>
      </c>
      <c r="CG323" s="70"/>
      <c r="CH323" s="70"/>
      <c r="CI323" s="70"/>
      <c r="CJ323" s="70"/>
      <c r="CK323" s="70"/>
      <c r="CL323" s="70"/>
      <c r="CM323" s="70"/>
    </row>
    <row r="324" spans="53:91" ht="15" x14ac:dyDescent="0.2">
      <c r="BA324" s="70"/>
      <c r="BB324" s="70"/>
      <c r="BC324" s="70"/>
      <c r="BD324" s="70"/>
      <c r="BE324" s="70"/>
      <c r="BF324" s="70"/>
      <c r="BG324" s="70"/>
      <c r="BH324" s="70"/>
      <c r="BI324" s="70"/>
      <c r="BJ324" s="70"/>
      <c r="BK324" s="70"/>
      <c r="BL324" s="70"/>
      <c r="BM324" s="70"/>
      <c r="BN324" s="70"/>
      <c r="BO324" s="70"/>
      <c r="BP324" s="70"/>
      <c r="BQ324" s="70"/>
      <c r="BR324" s="70"/>
      <c r="BS324" s="70"/>
      <c r="BT324" s="70"/>
      <c r="BU324" s="70"/>
      <c r="BV324" s="70"/>
      <c r="BW324" s="70"/>
      <c r="BX324" s="442"/>
      <c r="BY324" s="440"/>
      <c r="BZ324" s="440"/>
      <c r="CA324" s="440"/>
      <c r="CB324" s="440"/>
      <c r="CC324" s="440"/>
      <c r="CD324" s="428"/>
      <c r="CE324" s="428"/>
      <c r="CF324" s="428"/>
      <c r="CG324" s="70"/>
      <c r="CH324" s="70"/>
      <c r="CI324" s="70"/>
      <c r="CJ324" s="70"/>
      <c r="CK324" s="70"/>
      <c r="CL324" s="70"/>
      <c r="CM324" s="70"/>
    </row>
    <row r="325" spans="53:91" ht="15.75" x14ac:dyDescent="0.25">
      <c r="BA325" s="70"/>
      <c r="BB325" s="70"/>
      <c r="BC325" s="70"/>
      <c r="BD325" s="70"/>
      <c r="BE325" s="70"/>
      <c r="BF325" s="70"/>
      <c r="BG325" s="70"/>
      <c r="BH325" s="70"/>
      <c r="BI325" s="70"/>
      <c r="BJ325" s="70"/>
      <c r="BK325" s="70"/>
      <c r="BL325" s="70"/>
      <c r="BM325" s="70"/>
      <c r="BN325" s="70"/>
      <c r="BO325" s="70"/>
      <c r="BP325" s="70"/>
      <c r="BQ325" s="70"/>
      <c r="BR325" s="70"/>
      <c r="BS325" s="70"/>
      <c r="BT325" s="70"/>
      <c r="BU325" s="70"/>
      <c r="BV325" s="70"/>
      <c r="BW325" s="70"/>
      <c r="BX325" s="443" t="s">
        <v>1395</v>
      </c>
      <c r="BY325" s="440"/>
      <c r="BZ325" s="440"/>
      <c r="CA325" s="440"/>
      <c r="CB325" s="440"/>
      <c r="CC325" s="440"/>
      <c r="CD325" s="428"/>
      <c r="CE325" s="428"/>
      <c r="CF325" s="428"/>
      <c r="CG325" s="70"/>
      <c r="CH325" s="70"/>
      <c r="CI325" s="70"/>
      <c r="CJ325" s="70"/>
      <c r="CK325" s="70"/>
      <c r="CL325" s="70"/>
      <c r="CM325" s="70"/>
    </row>
    <row r="326" spans="53:91" ht="15" x14ac:dyDescent="0.2">
      <c r="BA326" s="70"/>
      <c r="BB326" s="70"/>
      <c r="BC326" s="70"/>
      <c r="BD326" s="70"/>
      <c r="BE326" s="70"/>
      <c r="BF326" s="70"/>
      <c r="BG326" s="70"/>
      <c r="BH326" s="70"/>
      <c r="BI326" s="70"/>
      <c r="BJ326" s="70"/>
      <c r="BK326" s="70"/>
      <c r="BL326" s="70"/>
      <c r="BM326" s="70"/>
      <c r="BN326" s="70"/>
      <c r="BO326" s="70"/>
      <c r="BP326" s="70"/>
      <c r="BQ326" s="70"/>
      <c r="BR326" s="70"/>
      <c r="BS326" s="70"/>
      <c r="BT326" s="70"/>
      <c r="BU326" s="70"/>
      <c r="BV326" s="70"/>
      <c r="BW326" s="70"/>
      <c r="BX326" s="444" t="s">
        <v>1152</v>
      </c>
      <c r="BY326" s="445" t="s">
        <v>22</v>
      </c>
      <c r="BZ326" s="445">
        <v>25</v>
      </c>
      <c r="CA326" s="445">
        <v>20</v>
      </c>
      <c r="CB326" s="445">
        <f t="shared" si="1"/>
        <v>22.5</v>
      </c>
      <c r="CC326" s="445"/>
      <c r="CD326" s="428"/>
      <c r="CE326" s="428"/>
      <c r="CF326" s="428">
        <f>CD326-CB326</f>
        <v>-22.5</v>
      </c>
      <c r="CG326" s="70"/>
      <c r="CH326" s="70"/>
      <c r="CI326" s="70"/>
      <c r="CJ326" s="70"/>
      <c r="CK326" s="70"/>
      <c r="CL326" s="70"/>
      <c r="CM326" s="70"/>
    </row>
    <row r="327" spans="53:91" ht="15" x14ac:dyDescent="0.2">
      <c r="BA327" s="70"/>
      <c r="BB327" s="70"/>
      <c r="BC327" s="70"/>
      <c r="BD327" s="70"/>
      <c r="BE327" s="70"/>
      <c r="BF327" s="70"/>
      <c r="BG327" s="70"/>
      <c r="BH327" s="70"/>
      <c r="BI327" s="70"/>
      <c r="BJ327" s="70"/>
      <c r="BK327" s="70"/>
      <c r="BL327" s="70"/>
      <c r="BM327" s="70"/>
      <c r="BN327" s="70"/>
      <c r="BO327" s="70"/>
      <c r="BP327" s="70"/>
      <c r="BQ327" s="70"/>
      <c r="BR327" s="70"/>
      <c r="BS327" s="70"/>
      <c r="BT327" s="70"/>
      <c r="BU327" s="70"/>
      <c r="BV327" s="70"/>
      <c r="BW327" s="70"/>
      <c r="BX327" s="439" t="s">
        <v>1943</v>
      </c>
      <c r="BY327" s="446" t="s">
        <v>24</v>
      </c>
      <c r="BZ327" s="445">
        <v>280</v>
      </c>
      <c r="CA327" s="445">
        <v>290</v>
      </c>
      <c r="CB327" s="445">
        <f t="shared" si="1"/>
        <v>285</v>
      </c>
      <c r="CC327" s="445"/>
      <c r="CD327" s="428"/>
      <c r="CE327" s="428"/>
      <c r="CF327" s="428">
        <f>CD327-CB327</f>
        <v>-285</v>
      </c>
      <c r="CG327" s="70"/>
      <c r="CH327" s="70"/>
      <c r="CI327" s="70"/>
      <c r="CJ327" s="70"/>
      <c r="CK327" s="70"/>
      <c r="CL327" s="70"/>
      <c r="CM327" s="70"/>
    </row>
    <row r="328" spans="53:91" ht="15" x14ac:dyDescent="0.2">
      <c r="BA328" s="70"/>
      <c r="BB328" s="70"/>
      <c r="BC328" s="70"/>
      <c r="BD328" s="70"/>
      <c r="BE328" s="70"/>
      <c r="BF328" s="70"/>
      <c r="BG328" s="70"/>
      <c r="BH328" s="70"/>
      <c r="BI328" s="70"/>
      <c r="BJ328" s="70"/>
      <c r="BK328" s="70"/>
      <c r="BL328" s="70"/>
      <c r="BM328" s="70"/>
      <c r="BN328" s="70"/>
      <c r="BO328" s="70"/>
      <c r="BP328" s="70"/>
      <c r="BQ328" s="70"/>
      <c r="BR328" s="70"/>
      <c r="BS328" s="70"/>
      <c r="BT328" s="70"/>
      <c r="BU328" s="70"/>
      <c r="BV328" s="70"/>
      <c r="BW328" s="70"/>
      <c r="BX328" s="439" t="s">
        <v>1944</v>
      </c>
      <c r="BY328" s="446" t="s">
        <v>26</v>
      </c>
      <c r="BZ328" s="445">
        <v>140</v>
      </c>
      <c r="CA328" s="445">
        <v>150</v>
      </c>
      <c r="CB328" s="445">
        <f t="shared" si="1"/>
        <v>145</v>
      </c>
      <c r="CC328" s="445"/>
      <c r="CD328" s="428"/>
      <c r="CE328" s="428"/>
      <c r="CF328" s="428">
        <f>CD328-CB328</f>
        <v>-145</v>
      </c>
      <c r="CG328" s="70"/>
      <c r="CH328" s="70"/>
      <c r="CI328" s="70"/>
      <c r="CJ328" s="70"/>
      <c r="CK328" s="70"/>
      <c r="CL328" s="70"/>
      <c r="CM328" s="70"/>
    </row>
    <row r="329" spans="53:91" ht="15" x14ac:dyDescent="0.2">
      <c r="BA329" s="70"/>
      <c r="BB329" s="70"/>
      <c r="BC329" s="70"/>
      <c r="BD329" s="70"/>
      <c r="BE329" s="70"/>
      <c r="BF329" s="70"/>
      <c r="BG329" s="70"/>
      <c r="BH329" s="70"/>
      <c r="BI329" s="70"/>
      <c r="BJ329" s="70"/>
      <c r="BK329" s="70"/>
      <c r="BL329" s="70"/>
      <c r="BM329" s="70"/>
      <c r="BN329" s="70"/>
      <c r="BO329" s="70"/>
      <c r="BP329" s="70"/>
      <c r="BQ329" s="70"/>
      <c r="BR329" s="70"/>
      <c r="BS329" s="70"/>
      <c r="BT329" s="70"/>
      <c r="BU329" s="70"/>
      <c r="BV329" s="70"/>
      <c r="BW329" s="70"/>
      <c r="BX329" s="444" t="s">
        <v>1164</v>
      </c>
      <c r="BY329" s="445" t="s">
        <v>29</v>
      </c>
      <c r="BZ329" s="445">
        <v>35</v>
      </c>
      <c r="CA329" s="445">
        <v>40</v>
      </c>
      <c r="CB329" s="445">
        <f t="shared" si="1"/>
        <v>37.5</v>
      </c>
      <c r="CC329" s="445"/>
      <c r="CD329" s="428"/>
      <c r="CE329" s="428"/>
      <c r="CF329" s="428">
        <f>CD329-CB329</f>
        <v>-37.5</v>
      </c>
      <c r="CG329" s="70"/>
      <c r="CH329" s="70"/>
      <c r="CI329" s="70"/>
      <c r="CJ329" s="70"/>
      <c r="CK329" s="70"/>
      <c r="CL329" s="70"/>
      <c r="CM329" s="70"/>
    </row>
    <row r="330" spans="53:91" ht="15" x14ac:dyDescent="0.2">
      <c r="BA330" s="70"/>
      <c r="BB330" s="70"/>
      <c r="BC330" s="70"/>
      <c r="BD330" s="70"/>
      <c r="BE330" s="70"/>
      <c r="BF330" s="70"/>
      <c r="BG330" s="70"/>
      <c r="BH330" s="70"/>
      <c r="BI330" s="70"/>
      <c r="BJ330" s="70"/>
      <c r="BK330" s="70"/>
      <c r="BL330" s="70"/>
      <c r="BM330" s="70"/>
      <c r="BN330" s="70"/>
      <c r="BO330" s="70"/>
      <c r="BP330" s="70"/>
      <c r="BQ330" s="70"/>
      <c r="BR330" s="70"/>
      <c r="BS330" s="70"/>
      <c r="BT330" s="70"/>
      <c r="BU330" s="70"/>
      <c r="BV330" s="70"/>
      <c r="BW330" s="70"/>
      <c r="BX330" s="444"/>
      <c r="BY330" s="445"/>
      <c r="BZ330" s="445"/>
      <c r="CA330" s="445"/>
      <c r="CB330" s="440"/>
      <c r="CC330" s="440"/>
      <c r="CD330" s="428"/>
      <c r="CE330" s="428"/>
      <c r="CF330" s="428"/>
      <c r="CG330" s="70"/>
      <c r="CH330" s="70"/>
      <c r="CI330" s="70"/>
      <c r="CJ330" s="70"/>
      <c r="CK330" s="70"/>
      <c r="CL330" s="70"/>
      <c r="CM330" s="70"/>
    </row>
    <row r="331" spans="53:91" ht="15.75" x14ac:dyDescent="0.25">
      <c r="BA331" s="70"/>
      <c r="BB331" s="70"/>
      <c r="BC331" s="70"/>
      <c r="BD331" s="70"/>
      <c r="BE331" s="70"/>
      <c r="BF331" s="70"/>
      <c r="BG331" s="70"/>
      <c r="BH331" s="70"/>
      <c r="BI331" s="70"/>
      <c r="BJ331" s="70"/>
      <c r="BK331" s="70"/>
      <c r="BL331" s="70"/>
      <c r="BM331" s="70"/>
      <c r="BN331" s="70"/>
      <c r="BO331" s="70"/>
      <c r="BP331" s="70"/>
      <c r="BQ331" s="70"/>
      <c r="BR331" s="70"/>
      <c r="BS331" s="70"/>
      <c r="BT331" s="70"/>
      <c r="BU331" s="70"/>
      <c r="BV331" s="70"/>
      <c r="BW331" s="70"/>
      <c r="BX331" s="443" t="s">
        <v>1150</v>
      </c>
      <c r="BY331" s="445"/>
      <c r="BZ331" s="445"/>
      <c r="CA331" s="445"/>
      <c r="CB331" s="440"/>
      <c r="CC331" s="440"/>
      <c r="CD331" s="428"/>
      <c r="CE331" s="428"/>
      <c r="CF331" s="428"/>
      <c r="CG331" s="70"/>
      <c r="CH331" s="70"/>
      <c r="CI331" s="70"/>
      <c r="CJ331" s="70"/>
      <c r="CK331" s="70"/>
      <c r="CL331" s="70"/>
      <c r="CM331" s="70"/>
    </row>
    <row r="332" spans="53:91" ht="15" x14ac:dyDescent="0.2">
      <c r="BA332" s="70"/>
      <c r="BB332" s="70"/>
      <c r="BC332" s="70"/>
      <c r="BD332" s="70"/>
      <c r="BE332" s="70"/>
      <c r="BF332" s="70"/>
      <c r="BG332" s="70"/>
      <c r="BH332" s="70"/>
      <c r="BI332" s="70"/>
      <c r="BJ332" s="70"/>
      <c r="BK332" s="70"/>
      <c r="BL332" s="70"/>
      <c r="BM332" s="70"/>
      <c r="BN332" s="70"/>
      <c r="BO332" s="70"/>
      <c r="BP332" s="70"/>
      <c r="BQ332" s="70"/>
      <c r="BR332" s="70"/>
      <c r="BS332" s="70"/>
      <c r="BT332" s="70"/>
      <c r="BU332" s="70"/>
      <c r="BV332" s="70"/>
      <c r="BW332" s="70"/>
      <c r="BX332" s="444" t="s">
        <v>1946</v>
      </c>
      <c r="BY332" s="447" t="s">
        <v>31</v>
      </c>
      <c r="BZ332" s="445">
        <v>160</v>
      </c>
      <c r="CA332" s="445">
        <v>155</v>
      </c>
      <c r="CB332" s="445">
        <f t="shared" si="1"/>
        <v>157.5</v>
      </c>
      <c r="CC332" s="445"/>
      <c r="CD332" s="428"/>
      <c r="CE332" s="428"/>
      <c r="CF332" s="428">
        <f>CD332-CB332</f>
        <v>-157.5</v>
      </c>
      <c r="CG332" s="70"/>
      <c r="CH332" s="70"/>
      <c r="CI332" s="70"/>
      <c r="CJ332" s="70"/>
      <c r="CK332" s="70"/>
      <c r="CL332" s="70"/>
      <c r="CM332" s="70"/>
    </row>
    <row r="333" spans="53:91" ht="15" x14ac:dyDescent="0.2">
      <c r="BA333" s="70"/>
      <c r="BB333" s="70"/>
      <c r="BC333" s="70"/>
      <c r="BD333" s="70"/>
      <c r="BE333" s="70"/>
      <c r="BF333" s="70"/>
      <c r="BG333" s="70"/>
      <c r="BH333" s="70"/>
      <c r="BI333" s="70"/>
      <c r="BJ333" s="70"/>
      <c r="BK333" s="70"/>
      <c r="BL333" s="70"/>
      <c r="BM333" s="70"/>
      <c r="BN333" s="70"/>
      <c r="BO333" s="70"/>
      <c r="BP333" s="70"/>
      <c r="BQ333" s="70"/>
      <c r="BR333" s="70"/>
      <c r="BS333" s="70"/>
      <c r="BT333" s="70"/>
      <c r="BU333" s="70"/>
      <c r="BV333" s="70"/>
      <c r="BW333" s="70"/>
      <c r="BX333" s="439" t="s">
        <v>33</v>
      </c>
      <c r="BY333" s="445" t="s">
        <v>34</v>
      </c>
      <c r="BZ333" s="448"/>
      <c r="CA333" s="448"/>
      <c r="CB333" s="445">
        <v>35</v>
      </c>
      <c r="CC333" s="448"/>
      <c r="CD333" s="428"/>
      <c r="CE333" s="428"/>
      <c r="CF333" s="428">
        <f>CD333-CB333</f>
        <v>-35</v>
      </c>
      <c r="CG333" s="70"/>
      <c r="CH333" s="70"/>
      <c r="CI333" s="70"/>
      <c r="CJ333" s="70"/>
      <c r="CK333" s="70"/>
      <c r="CL333" s="70"/>
      <c r="CM333" s="70"/>
    </row>
    <row r="334" spans="53:91" ht="15" x14ac:dyDescent="0.2">
      <c r="BA334" s="70"/>
      <c r="BB334" s="70"/>
      <c r="BC334" s="70"/>
      <c r="BD334" s="70"/>
      <c r="BE334" s="70"/>
      <c r="BF334" s="70"/>
      <c r="BG334" s="70"/>
      <c r="BH334" s="70"/>
      <c r="BI334" s="70"/>
      <c r="BJ334" s="70"/>
      <c r="BK334" s="70"/>
      <c r="BL334" s="70"/>
      <c r="BM334" s="70"/>
      <c r="BN334" s="70"/>
      <c r="BO334" s="70"/>
      <c r="BP334" s="70"/>
      <c r="BQ334" s="70"/>
      <c r="BR334" s="70"/>
      <c r="BS334" s="70"/>
      <c r="BT334" s="70"/>
      <c r="BU334" s="70"/>
      <c r="BV334" s="70"/>
      <c r="BW334" s="70"/>
      <c r="BX334" s="439" t="s">
        <v>1204</v>
      </c>
      <c r="BY334" s="449">
        <v>0.36</v>
      </c>
      <c r="BZ334" s="450"/>
      <c r="CA334" s="448"/>
      <c r="CB334" s="451">
        <v>0.36</v>
      </c>
      <c r="CC334" s="450"/>
      <c r="CD334" s="428"/>
      <c r="CE334" s="428"/>
      <c r="CF334" s="428">
        <f>CD334-CB334</f>
        <v>-0.36</v>
      </c>
      <c r="CG334" s="70"/>
      <c r="CH334" s="70"/>
      <c r="CI334" s="70"/>
      <c r="CJ334" s="70"/>
      <c r="CK334" s="70"/>
      <c r="CL334" s="70"/>
      <c r="CM334" s="70"/>
    </row>
    <row r="335" spans="53:91" ht="15" x14ac:dyDescent="0.2">
      <c r="BA335" s="70"/>
      <c r="BB335" s="70"/>
      <c r="BC335" s="70"/>
      <c r="BD335" s="70"/>
      <c r="BE335" s="70"/>
      <c r="BF335" s="70"/>
      <c r="BG335" s="70"/>
      <c r="BH335" s="70"/>
      <c r="BI335" s="70"/>
      <c r="BJ335" s="70"/>
      <c r="BK335" s="70"/>
      <c r="BL335" s="70"/>
      <c r="BM335" s="70"/>
      <c r="BN335" s="70"/>
      <c r="BO335" s="70"/>
      <c r="BP335" s="70"/>
      <c r="BQ335" s="70"/>
      <c r="BR335" s="70"/>
      <c r="BS335" s="70"/>
      <c r="BT335" s="70"/>
      <c r="BU335" s="70"/>
      <c r="BV335" s="70"/>
      <c r="BW335" s="70"/>
      <c r="BX335" s="439" t="s">
        <v>326</v>
      </c>
      <c r="BY335" s="452">
        <v>0</v>
      </c>
      <c r="BZ335" s="448"/>
      <c r="CA335" s="448"/>
      <c r="CB335" s="445">
        <v>0</v>
      </c>
      <c r="CC335" s="448"/>
      <c r="CD335" s="428"/>
      <c r="CE335" s="428"/>
      <c r="CF335" s="428">
        <f>CD335-CB335</f>
        <v>0</v>
      </c>
      <c r="CG335" s="70"/>
      <c r="CH335" s="70"/>
      <c r="CI335" s="70"/>
      <c r="CJ335" s="70"/>
      <c r="CK335" s="70"/>
      <c r="CL335" s="70"/>
      <c r="CM335" s="70"/>
    </row>
    <row r="336" spans="53:91" ht="15" x14ac:dyDescent="0.2">
      <c r="BA336" s="70"/>
      <c r="BB336" s="70"/>
      <c r="BC336" s="70"/>
      <c r="BD336" s="70"/>
      <c r="BE336" s="70"/>
      <c r="BF336" s="70"/>
      <c r="BG336" s="70"/>
      <c r="BH336" s="70"/>
      <c r="BI336" s="70"/>
      <c r="BJ336" s="70"/>
      <c r="BK336" s="70"/>
      <c r="BL336" s="70"/>
      <c r="BM336" s="70"/>
      <c r="BN336" s="70"/>
      <c r="BO336" s="70"/>
      <c r="BP336" s="70"/>
      <c r="BQ336" s="70"/>
      <c r="BR336" s="70"/>
      <c r="BS336" s="70"/>
      <c r="BT336" s="70"/>
      <c r="BU336" s="70"/>
      <c r="BV336" s="70"/>
      <c r="BW336" s="70"/>
      <c r="BX336" s="444" t="s">
        <v>338</v>
      </c>
      <c r="BY336" s="445" t="s">
        <v>35</v>
      </c>
      <c r="BZ336" s="453">
        <v>0.28000000000000003</v>
      </c>
      <c r="CA336" s="453">
        <v>0.24</v>
      </c>
      <c r="CB336" s="453">
        <f t="shared" si="1"/>
        <v>0.26</v>
      </c>
      <c r="CC336" s="453"/>
      <c r="CD336" s="428"/>
      <c r="CE336" s="428"/>
      <c r="CF336" s="454">
        <f>CD336-CB336</f>
        <v>-0.26</v>
      </c>
      <c r="CG336" s="70"/>
      <c r="CH336" s="70"/>
      <c r="CI336" s="70"/>
      <c r="CJ336" s="70"/>
      <c r="CK336" s="70"/>
      <c r="CL336" s="70"/>
      <c r="CM336" s="70"/>
    </row>
    <row r="337" spans="53:91" ht="15" x14ac:dyDescent="0.2">
      <c r="BA337" s="70"/>
      <c r="BB337" s="70"/>
      <c r="BC337" s="70"/>
      <c r="BD337" s="70"/>
      <c r="BE337" s="70"/>
      <c r="BF337" s="70"/>
      <c r="BG337" s="70"/>
      <c r="BH337" s="70"/>
      <c r="BI337" s="70"/>
      <c r="BJ337" s="70"/>
      <c r="BK337" s="70"/>
      <c r="BL337" s="70"/>
      <c r="BM337" s="70"/>
      <c r="BN337" s="70"/>
      <c r="BO337" s="70"/>
      <c r="BP337" s="70"/>
      <c r="BQ337" s="70"/>
      <c r="BR337" s="70"/>
      <c r="BS337" s="70"/>
      <c r="BT337" s="70"/>
      <c r="BU337" s="70"/>
      <c r="BV337" s="70"/>
      <c r="BW337" s="70"/>
      <c r="BX337" s="444"/>
      <c r="BY337" s="445"/>
      <c r="BZ337" s="453"/>
      <c r="CA337" s="453"/>
      <c r="CB337" s="453"/>
      <c r="CC337" s="453"/>
      <c r="CD337" s="428"/>
      <c r="CE337" s="428"/>
      <c r="CF337" s="454"/>
      <c r="CG337" s="70"/>
      <c r="CH337" s="70"/>
      <c r="CI337" s="70"/>
      <c r="CJ337" s="70"/>
      <c r="CK337" s="70"/>
      <c r="CL337" s="70"/>
      <c r="CM337" s="70"/>
    </row>
    <row r="338" spans="53:91" ht="15" x14ac:dyDescent="0.2">
      <c r="BA338" s="70"/>
      <c r="BB338" s="70"/>
      <c r="BC338" s="70"/>
      <c r="BD338" s="70"/>
      <c r="BE338" s="70"/>
      <c r="BF338" s="70"/>
      <c r="BG338" s="70"/>
      <c r="BH338" s="70"/>
      <c r="BI338" s="70"/>
      <c r="BJ338" s="70"/>
      <c r="BK338" s="70"/>
      <c r="BL338" s="70"/>
      <c r="BM338" s="70"/>
      <c r="BN338" s="70"/>
      <c r="BO338" s="70"/>
      <c r="BP338" s="70"/>
      <c r="BQ338" s="70"/>
      <c r="BR338" s="70"/>
      <c r="BS338" s="70"/>
      <c r="BT338" s="70"/>
      <c r="BU338" s="70"/>
      <c r="BV338" s="70"/>
      <c r="BW338" s="70"/>
      <c r="BX338" s="444"/>
      <c r="BY338" s="445"/>
      <c r="BZ338" s="453"/>
      <c r="CA338" s="453"/>
      <c r="CB338" s="453"/>
      <c r="CC338" s="453"/>
      <c r="CD338" s="428"/>
      <c r="CE338" s="428"/>
      <c r="CF338" s="454"/>
      <c r="CG338" s="70"/>
      <c r="CH338" s="70"/>
      <c r="CI338" s="70"/>
      <c r="CJ338" s="70"/>
      <c r="CK338" s="70"/>
      <c r="CL338" s="70"/>
      <c r="CM338" s="70"/>
    </row>
    <row r="339" spans="53:91" ht="15" x14ac:dyDescent="0.2">
      <c r="BA339" s="70"/>
      <c r="BB339" s="70"/>
      <c r="BC339" s="70"/>
      <c r="BD339" s="70"/>
      <c r="BE339" s="70"/>
      <c r="BF339" s="70"/>
      <c r="BG339" s="70"/>
      <c r="BH339" s="70"/>
      <c r="BI339" s="70"/>
      <c r="BJ339" s="70"/>
      <c r="BK339" s="70"/>
      <c r="BL339" s="70"/>
      <c r="BM339" s="70"/>
      <c r="BN339" s="70"/>
      <c r="BO339" s="70"/>
      <c r="BP339" s="70"/>
      <c r="BQ339" s="70"/>
      <c r="BR339" s="70"/>
      <c r="BS339" s="70"/>
      <c r="BT339" s="70"/>
      <c r="BU339" s="70"/>
      <c r="BV339" s="70"/>
      <c r="BW339" s="70"/>
      <c r="BX339" s="444"/>
      <c r="BY339" s="445"/>
      <c r="BZ339" s="453"/>
      <c r="CA339" s="453"/>
      <c r="CB339" s="453"/>
      <c r="CC339" s="453"/>
      <c r="CD339" s="428"/>
      <c r="CE339" s="428"/>
      <c r="CF339" s="454"/>
      <c r="CG339" s="70"/>
      <c r="CH339" s="70"/>
      <c r="CI339" s="70"/>
      <c r="CJ339" s="70"/>
      <c r="CK339" s="70"/>
      <c r="CL339" s="70"/>
      <c r="CM339" s="70"/>
    </row>
    <row r="340" spans="53:91" ht="15" x14ac:dyDescent="0.2">
      <c r="BA340" s="70"/>
      <c r="BB340" s="70"/>
      <c r="BC340" s="70"/>
      <c r="BD340" s="70"/>
      <c r="BE340" s="70"/>
      <c r="BF340" s="70"/>
      <c r="BG340" s="70"/>
      <c r="BH340" s="70"/>
      <c r="BI340" s="70"/>
      <c r="BJ340" s="70"/>
      <c r="BK340" s="70"/>
      <c r="BL340" s="70"/>
      <c r="BM340" s="70"/>
      <c r="BN340" s="70"/>
      <c r="BO340" s="70"/>
      <c r="BP340" s="70"/>
      <c r="BQ340" s="70"/>
      <c r="BR340" s="70"/>
      <c r="BS340" s="70"/>
      <c r="BT340" s="70"/>
      <c r="BU340" s="70"/>
      <c r="BV340" s="70"/>
      <c r="BW340" s="70"/>
      <c r="BX340" s="427" t="s">
        <v>1144</v>
      </c>
      <c r="BY340" s="428"/>
      <c r="BZ340" s="428"/>
      <c r="CA340" s="428"/>
      <c r="CB340" s="428"/>
      <c r="CC340" s="428"/>
      <c r="CD340" s="428"/>
      <c r="CE340" s="428"/>
      <c r="CF340" s="428"/>
      <c r="CG340" s="70"/>
      <c r="CH340" s="70"/>
      <c r="CI340" s="70"/>
      <c r="CJ340" s="70"/>
      <c r="CK340" s="70"/>
      <c r="CL340" s="70"/>
      <c r="CM340" s="70"/>
    </row>
    <row r="341" spans="53:91" ht="15.75" x14ac:dyDescent="0.25">
      <c r="BA341" s="70"/>
      <c r="BB341" s="70"/>
      <c r="BC341" s="70"/>
      <c r="BD341" s="70"/>
      <c r="BE341" s="70"/>
      <c r="BF341" s="70"/>
      <c r="BG341" s="70"/>
      <c r="BH341" s="70"/>
      <c r="BI341" s="70"/>
      <c r="BJ341" s="70"/>
      <c r="BK341" s="70"/>
      <c r="BL341" s="70"/>
      <c r="BM341" s="70"/>
      <c r="BN341" s="70"/>
      <c r="BO341" s="70"/>
      <c r="BP341" s="70"/>
      <c r="BQ341" s="70"/>
      <c r="BR341" s="70"/>
      <c r="BS341" s="70"/>
      <c r="BT341" s="70"/>
      <c r="BU341" s="70"/>
      <c r="BV341" s="70"/>
      <c r="BW341" s="70"/>
      <c r="BX341" s="429" t="s">
        <v>710</v>
      </c>
      <c r="BY341" s="430"/>
      <c r="BZ341" s="430"/>
      <c r="CA341" s="430"/>
      <c r="CB341" s="430"/>
      <c r="CC341" s="430"/>
      <c r="CD341" s="428"/>
      <c r="CE341" s="428"/>
      <c r="CF341" s="428"/>
      <c r="CG341" s="70"/>
      <c r="CH341" s="70"/>
      <c r="CI341" s="70"/>
      <c r="CJ341" s="70"/>
      <c r="CK341" s="70"/>
      <c r="CL341" s="70"/>
      <c r="CM341" s="70"/>
    </row>
    <row r="342" spans="53:91" ht="15.75" x14ac:dyDescent="0.25">
      <c r="BA342" s="70"/>
      <c r="BB342" s="70"/>
      <c r="BC342" s="70"/>
      <c r="BD342" s="70"/>
      <c r="BE342" s="70"/>
      <c r="BF342" s="70"/>
      <c r="BG342" s="70"/>
      <c r="BH342" s="70"/>
      <c r="BI342" s="70"/>
      <c r="BJ342" s="70"/>
      <c r="BK342" s="70"/>
      <c r="BL342" s="70"/>
      <c r="BM342" s="70"/>
      <c r="BN342" s="70"/>
      <c r="BO342" s="70"/>
      <c r="BP342" s="70"/>
      <c r="BQ342" s="70"/>
      <c r="BR342" s="70"/>
      <c r="BS342" s="70"/>
      <c r="BT342" s="70"/>
      <c r="BU342" s="70"/>
      <c r="BV342" s="70"/>
      <c r="BW342" s="70"/>
      <c r="BX342" s="429"/>
      <c r="BY342" s="431"/>
      <c r="BZ342" s="432" t="s">
        <v>1782</v>
      </c>
      <c r="CA342" s="433"/>
      <c r="CB342" s="433"/>
      <c r="CC342" s="431"/>
      <c r="CD342" s="434"/>
      <c r="CE342" s="428"/>
      <c r="CF342" s="428"/>
      <c r="CG342" s="70"/>
      <c r="CH342" s="70"/>
      <c r="CI342" s="70"/>
      <c r="CJ342" s="70"/>
      <c r="CK342" s="70"/>
      <c r="CL342" s="70"/>
      <c r="CM342" s="70"/>
    </row>
    <row r="343" spans="53:91" ht="18.75" x14ac:dyDescent="0.25">
      <c r="BA343" s="70"/>
      <c r="BB343" s="70"/>
      <c r="BC343" s="70"/>
      <c r="BD343" s="70"/>
      <c r="BE343" s="70"/>
      <c r="BF343" s="70"/>
      <c r="BG343" s="70"/>
      <c r="BH343" s="70"/>
      <c r="BI343" s="70"/>
      <c r="BJ343" s="70"/>
      <c r="BK343" s="70"/>
      <c r="BL343" s="70"/>
      <c r="BM343" s="70"/>
      <c r="BN343" s="70"/>
      <c r="BO343" s="70"/>
      <c r="BP343" s="70"/>
      <c r="BQ343" s="70"/>
      <c r="BR343" s="70"/>
      <c r="BS343" s="70"/>
      <c r="BT343" s="70"/>
      <c r="BU343" s="437"/>
      <c r="BV343" s="70"/>
      <c r="BW343" s="70"/>
      <c r="BX343" s="435"/>
      <c r="BY343" s="436"/>
      <c r="BZ343" s="437" t="s">
        <v>573</v>
      </c>
      <c r="CA343" s="437" t="s">
        <v>574</v>
      </c>
      <c r="CB343" s="437" t="s">
        <v>1496</v>
      </c>
      <c r="CC343" s="436"/>
      <c r="CD343" s="438" t="s">
        <v>1151</v>
      </c>
      <c r="CE343" s="438"/>
      <c r="CF343" s="622" t="s">
        <v>231</v>
      </c>
      <c r="CG343" s="70"/>
      <c r="CH343" s="70"/>
      <c r="CI343" s="70"/>
      <c r="CJ343" s="70"/>
      <c r="CK343" s="70"/>
      <c r="CL343" s="70"/>
      <c r="CM343" s="70"/>
    </row>
    <row r="344" spans="53:91" ht="15.75" x14ac:dyDescent="0.25">
      <c r="BA344" s="70"/>
      <c r="BB344" s="70"/>
      <c r="BC344" s="70"/>
      <c r="BD344" s="70"/>
      <c r="BE344" s="70"/>
      <c r="BF344" s="70"/>
      <c r="BG344" s="70"/>
      <c r="BH344" s="70"/>
      <c r="BI344" s="70"/>
      <c r="BJ344" s="70"/>
      <c r="BK344" s="70"/>
      <c r="BL344" s="70"/>
      <c r="BM344" s="70"/>
      <c r="BN344" s="70"/>
      <c r="BO344" s="70"/>
      <c r="BP344" s="70"/>
      <c r="BQ344" s="70"/>
      <c r="BR344" s="70"/>
      <c r="BS344" s="70"/>
      <c r="BT344" s="70"/>
      <c r="BU344" s="436"/>
      <c r="BV344" s="70"/>
      <c r="BW344" s="70"/>
      <c r="BX344" s="624" t="s">
        <v>487</v>
      </c>
      <c r="BY344" s="436"/>
      <c r="BZ344" s="436"/>
      <c r="CA344" s="436"/>
      <c r="CB344" s="436"/>
      <c r="CC344" s="436"/>
      <c r="CD344" s="438"/>
      <c r="CE344" s="438"/>
      <c r="CF344" s="438"/>
      <c r="CG344" s="70"/>
      <c r="CH344" s="70"/>
      <c r="CI344" s="70"/>
      <c r="CJ344" s="70"/>
      <c r="CK344" s="70"/>
      <c r="CL344" s="70"/>
      <c r="CM344" s="70"/>
    </row>
    <row r="345" spans="53:91" ht="6" customHeight="1" x14ac:dyDescent="0.25">
      <c r="BA345" s="70"/>
      <c r="BB345" s="70"/>
      <c r="BC345" s="70"/>
      <c r="BD345" s="70"/>
      <c r="BE345" s="70"/>
      <c r="BF345" s="70"/>
      <c r="BG345" s="70"/>
      <c r="BH345" s="70"/>
      <c r="BI345" s="70"/>
      <c r="BJ345" s="70"/>
      <c r="BK345" s="70"/>
      <c r="BL345" s="70"/>
      <c r="BM345" s="70"/>
      <c r="BN345" s="70"/>
      <c r="BO345" s="70"/>
      <c r="BP345" s="70"/>
      <c r="BQ345" s="70"/>
      <c r="BR345" s="70"/>
      <c r="BS345" s="70"/>
      <c r="BT345" s="70"/>
      <c r="BU345" s="436"/>
      <c r="BV345" s="70"/>
      <c r="BW345" s="70"/>
      <c r="BX345" s="435"/>
      <c r="BY345" s="436"/>
      <c r="BZ345" s="436"/>
      <c r="CA345" s="436"/>
      <c r="CB345" s="436"/>
      <c r="CC345" s="436"/>
      <c r="CD345" s="438"/>
      <c r="CE345" s="438"/>
      <c r="CF345" s="438"/>
      <c r="CG345" s="70"/>
      <c r="CH345" s="70"/>
      <c r="CI345" s="70"/>
      <c r="CJ345" s="70"/>
      <c r="CK345" s="70"/>
      <c r="CL345" s="70"/>
      <c r="CM345" s="70"/>
    </row>
    <row r="346" spans="53:91" ht="15" x14ac:dyDescent="0.2">
      <c r="BA346" s="70"/>
      <c r="BB346" s="70"/>
      <c r="BC346" s="70"/>
      <c r="BD346" s="70"/>
      <c r="BE346" s="70"/>
      <c r="BF346" s="70"/>
      <c r="BG346" s="70"/>
      <c r="BH346" s="70"/>
      <c r="BI346" s="70"/>
      <c r="BJ346" s="70"/>
      <c r="BK346" s="70"/>
      <c r="BL346" s="70"/>
      <c r="BM346" s="70"/>
      <c r="BN346" s="70"/>
      <c r="BO346" s="70"/>
      <c r="BP346" s="70"/>
      <c r="BQ346" s="70"/>
      <c r="BR346" s="70"/>
      <c r="BS346" s="70"/>
      <c r="BT346" s="70"/>
      <c r="BU346" s="440"/>
      <c r="BV346" s="70"/>
      <c r="BW346" s="70"/>
      <c r="BX346" s="439" t="s">
        <v>1143</v>
      </c>
      <c r="BY346" s="440" t="s">
        <v>1146</v>
      </c>
      <c r="BZ346" s="440">
        <v>0.06</v>
      </c>
      <c r="CA346" s="440">
        <v>0.08</v>
      </c>
      <c r="CB346" s="440">
        <v>7.0000000000000007E-2</v>
      </c>
      <c r="CC346" s="440"/>
      <c r="CD346" s="639">
        <v>6.8000000000000005E-2</v>
      </c>
      <c r="CE346" s="428"/>
      <c r="CF346" s="441">
        <f>CD346-CB346</f>
        <v>-2.0000000000000018E-3</v>
      </c>
      <c r="CG346" s="70"/>
      <c r="CH346" s="70"/>
      <c r="CI346" s="70"/>
      <c r="CJ346" s="70"/>
      <c r="CK346" s="70"/>
      <c r="CL346" s="70"/>
      <c r="CM346" s="70"/>
    </row>
    <row r="347" spans="53:91" ht="15" x14ac:dyDescent="0.2">
      <c r="BA347" s="70"/>
      <c r="BB347" s="70"/>
      <c r="BC347" s="70"/>
      <c r="BD347" s="70"/>
      <c r="BE347" s="70"/>
      <c r="BF347" s="70"/>
      <c r="BG347" s="70"/>
      <c r="BH347" s="70"/>
      <c r="BI347" s="70"/>
      <c r="BJ347" s="70"/>
      <c r="BK347" s="70"/>
      <c r="BL347" s="70"/>
      <c r="BM347" s="70"/>
      <c r="BN347" s="70"/>
      <c r="BO347" s="70"/>
      <c r="BP347" s="70"/>
      <c r="BQ347" s="70"/>
      <c r="BR347" s="70"/>
      <c r="BS347" s="70"/>
      <c r="BT347" s="70"/>
      <c r="BU347" s="440"/>
      <c r="BV347" s="70"/>
      <c r="BW347" s="70"/>
      <c r="BX347" s="442" t="s">
        <v>2036</v>
      </c>
      <c r="BY347" s="440" t="s">
        <v>1147</v>
      </c>
      <c r="BZ347" s="440">
        <v>0.05</v>
      </c>
      <c r="CA347" s="440">
        <v>7.0000000000000007E-2</v>
      </c>
      <c r="CB347" s="440">
        <f>AVERAGE(BZ347:CA347)</f>
        <v>6.0000000000000005E-2</v>
      </c>
      <c r="CC347" s="440"/>
      <c r="CD347" s="639">
        <v>7.2999999999999995E-2</v>
      </c>
      <c r="CE347" s="428"/>
      <c r="CF347" s="441">
        <f>CD347-CB347</f>
        <v>1.2999999999999991E-2</v>
      </c>
      <c r="CG347" s="70"/>
      <c r="CH347" s="70"/>
      <c r="CI347" s="70"/>
      <c r="CJ347" s="70"/>
      <c r="CK347" s="70"/>
      <c r="CL347" s="70"/>
      <c r="CM347" s="70"/>
    </row>
    <row r="348" spans="53:91" ht="15" x14ac:dyDescent="0.2">
      <c r="BA348" s="70"/>
      <c r="BB348" s="70"/>
      <c r="BC348" s="70"/>
      <c r="BD348" s="70"/>
      <c r="BE348" s="70"/>
      <c r="BF348" s="70"/>
      <c r="BG348" s="70"/>
      <c r="BH348" s="70"/>
      <c r="BI348" s="70"/>
      <c r="BJ348" s="70"/>
      <c r="BK348" s="70"/>
      <c r="BL348" s="70"/>
      <c r="BM348" s="70"/>
      <c r="BN348" s="70"/>
      <c r="BO348" s="70"/>
      <c r="BP348" s="70"/>
      <c r="BQ348" s="70"/>
      <c r="BR348" s="70"/>
      <c r="BS348" s="70"/>
      <c r="BT348" s="70"/>
      <c r="BU348" s="440"/>
      <c r="BV348" s="70"/>
      <c r="BW348" s="70"/>
      <c r="BX348" s="442" t="s">
        <v>1309</v>
      </c>
      <c r="BY348" s="440" t="s">
        <v>1940</v>
      </c>
      <c r="BZ348" s="440">
        <v>0.06</v>
      </c>
      <c r="CA348" s="440">
        <v>0.08</v>
      </c>
      <c r="CB348" s="440">
        <f>AVERAGE(BZ348:CA348)</f>
        <v>7.0000000000000007E-2</v>
      </c>
      <c r="CC348" s="440"/>
      <c r="CD348" s="639">
        <v>6.6000000000000003E-2</v>
      </c>
      <c r="CE348" s="428"/>
      <c r="CF348" s="441">
        <f>CD348-CB348</f>
        <v>-4.0000000000000036E-3</v>
      </c>
      <c r="CG348" s="70"/>
      <c r="CH348" s="70"/>
      <c r="CI348" s="70"/>
      <c r="CJ348" s="70"/>
      <c r="CK348" s="70"/>
      <c r="CL348" s="70"/>
      <c r="CM348" s="70"/>
    </row>
    <row r="349" spans="53:91" ht="15" x14ac:dyDescent="0.2">
      <c r="BA349" s="70"/>
      <c r="BB349" s="70"/>
      <c r="BC349" s="70"/>
      <c r="BD349" s="70"/>
      <c r="BE349" s="70"/>
      <c r="BF349" s="70"/>
      <c r="BG349" s="70"/>
      <c r="BH349" s="70"/>
      <c r="BI349" s="70"/>
      <c r="BJ349" s="70"/>
      <c r="BK349" s="70"/>
      <c r="BL349" s="70"/>
      <c r="BM349" s="70"/>
      <c r="BN349" s="70"/>
      <c r="BO349" s="70"/>
      <c r="BP349" s="70"/>
      <c r="BQ349" s="70"/>
      <c r="BR349" s="70"/>
      <c r="BS349" s="70"/>
      <c r="BT349" s="70"/>
      <c r="BU349" s="440"/>
      <c r="BV349" s="70"/>
      <c r="BW349" s="70"/>
      <c r="BX349" s="442"/>
      <c r="BY349" s="440"/>
      <c r="BZ349" s="440"/>
      <c r="CA349" s="440"/>
      <c r="CB349" s="440"/>
      <c r="CC349" s="440"/>
      <c r="CD349" s="428"/>
      <c r="CE349" s="428"/>
      <c r="CF349" s="428"/>
      <c r="CG349" s="70"/>
      <c r="CH349" s="70"/>
      <c r="CI349" s="70"/>
      <c r="CJ349" s="70"/>
      <c r="CK349" s="70"/>
      <c r="CL349" s="70"/>
      <c r="CM349" s="70"/>
    </row>
    <row r="350" spans="53:91" ht="15.75" x14ac:dyDescent="0.25">
      <c r="BA350" s="70"/>
      <c r="BB350" s="70"/>
      <c r="BC350" s="70"/>
      <c r="BD350" s="70"/>
      <c r="BE350" s="70"/>
      <c r="BF350" s="70"/>
      <c r="BG350" s="70"/>
      <c r="BH350" s="70"/>
      <c r="BI350" s="70"/>
      <c r="BJ350" s="70"/>
      <c r="BK350" s="70"/>
      <c r="BL350" s="70"/>
      <c r="BM350" s="70"/>
      <c r="BN350" s="70"/>
      <c r="BO350" s="70"/>
      <c r="BP350" s="70"/>
      <c r="BQ350" s="70"/>
      <c r="BR350" s="70"/>
      <c r="BS350" s="70"/>
      <c r="BT350" s="70"/>
      <c r="BU350" s="440"/>
      <c r="BV350" s="70"/>
      <c r="BW350" s="70"/>
      <c r="BX350" s="623" t="s">
        <v>1395</v>
      </c>
      <c r="BY350" s="440"/>
      <c r="BZ350" s="440"/>
      <c r="CA350" s="440"/>
      <c r="CB350" s="440"/>
      <c r="CC350" s="440"/>
      <c r="CD350" s="428"/>
      <c r="CE350" s="428"/>
      <c r="CF350" s="428"/>
      <c r="CG350" s="70"/>
      <c r="CH350" s="70"/>
      <c r="CI350" s="70"/>
      <c r="CJ350" s="70"/>
      <c r="CK350" s="70"/>
      <c r="CL350" s="70"/>
      <c r="CM350" s="70"/>
    </row>
    <row r="351" spans="53:91" ht="6" customHeight="1" x14ac:dyDescent="0.25">
      <c r="BA351" s="70"/>
      <c r="BB351" s="70"/>
      <c r="BC351" s="70"/>
      <c r="BD351" s="70"/>
      <c r="BE351" s="70"/>
      <c r="BF351" s="70"/>
      <c r="BG351" s="70"/>
      <c r="BH351" s="70"/>
      <c r="BI351" s="70"/>
      <c r="BJ351" s="70"/>
      <c r="BK351" s="70"/>
      <c r="BL351" s="70"/>
      <c r="BM351" s="70"/>
      <c r="BN351" s="70"/>
      <c r="BO351" s="70"/>
      <c r="BP351" s="70"/>
      <c r="BQ351" s="70"/>
      <c r="BR351" s="70"/>
      <c r="BS351" s="70"/>
      <c r="BT351" s="70"/>
      <c r="BU351" s="440"/>
      <c r="BV351" s="70"/>
      <c r="BW351" s="70"/>
      <c r="BX351" s="443"/>
      <c r="BY351" s="440"/>
      <c r="BZ351" s="440"/>
      <c r="CA351" s="440"/>
      <c r="CB351" s="440"/>
      <c r="CC351" s="440"/>
      <c r="CD351" s="428"/>
      <c r="CE351" s="428"/>
      <c r="CF351" s="428"/>
      <c r="CG351" s="70"/>
      <c r="CH351" s="70"/>
      <c r="CI351" s="70"/>
      <c r="CJ351" s="70"/>
      <c r="CK351" s="70"/>
      <c r="CL351" s="70"/>
      <c r="CM351" s="70"/>
    </row>
    <row r="352" spans="53:91" ht="15" x14ac:dyDescent="0.2">
      <c r="BA352" s="70"/>
      <c r="BB352" s="70"/>
      <c r="BC352" s="70"/>
      <c r="BD352" s="70"/>
      <c r="BE352" s="70"/>
      <c r="BF352" s="70"/>
      <c r="BG352" s="70"/>
      <c r="BH352" s="70"/>
      <c r="BI352" s="70"/>
      <c r="BJ352" s="70"/>
      <c r="BK352" s="70"/>
      <c r="BL352" s="70"/>
      <c r="BM352" s="70"/>
      <c r="BN352" s="70"/>
      <c r="BO352" s="70"/>
      <c r="BP352" s="70"/>
      <c r="BQ352" s="70"/>
      <c r="BR352" s="70"/>
      <c r="BS352" s="70"/>
      <c r="BT352" s="70"/>
      <c r="BU352" s="445"/>
      <c r="BV352" s="70"/>
      <c r="BW352" s="70"/>
      <c r="BX352" s="444" t="s">
        <v>1152</v>
      </c>
      <c r="BY352" s="445" t="s">
        <v>22</v>
      </c>
      <c r="BZ352" s="445">
        <v>25</v>
      </c>
      <c r="CA352" s="445">
        <v>30</v>
      </c>
      <c r="CB352" s="445">
        <f>AVERAGE(BZ352:CA352)</f>
        <v>27.5</v>
      </c>
      <c r="CC352" s="445"/>
      <c r="CD352" s="641">
        <v>29</v>
      </c>
      <c r="CE352" s="428"/>
      <c r="CF352" s="428">
        <f>CD352-CB352</f>
        <v>1.5</v>
      </c>
      <c r="CG352" s="70"/>
      <c r="CH352" s="70"/>
      <c r="CI352" s="70"/>
      <c r="CJ352" s="70"/>
      <c r="CK352" s="70"/>
      <c r="CL352" s="70"/>
      <c r="CM352" s="70"/>
    </row>
    <row r="353" spans="53:91" ht="15" x14ac:dyDescent="0.2">
      <c r="BA353" s="70"/>
      <c r="BB353" s="70"/>
      <c r="BC353" s="70"/>
      <c r="BD353" s="70"/>
      <c r="BE353" s="70"/>
      <c r="BF353" s="70"/>
      <c r="BG353" s="70"/>
      <c r="BH353" s="70"/>
      <c r="BI353" s="70"/>
      <c r="BJ353" s="70"/>
      <c r="BK353" s="70"/>
      <c r="BL353" s="70"/>
      <c r="BM353" s="70"/>
      <c r="BN353" s="70"/>
      <c r="BO353" s="70"/>
      <c r="BP353" s="70"/>
      <c r="BQ353" s="70"/>
      <c r="BR353" s="70"/>
      <c r="BS353" s="70"/>
      <c r="BT353" s="70"/>
      <c r="BU353" s="445"/>
      <c r="BV353" s="70"/>
      <c r="BW353" s="70"/>
      <c r="BX353" s="439" t="s">
        <v>1943</v>
      </c>
      <c r="BY353" s="446" t="s">
        <v>24</v>
      </c>
      <c r="BZ353" s="445">
        <v>320</v>
      </c>
      <c r="CA353" s="445">
        <v>330</v>
      </c>
      <c r="CB353" s="445">
        <f>AVERAGE(BZ353:CA353)</f>
        <v>325</v>
      </c>
      <c r="CC353" s="445"/>
      <c r="CD353" s="641">
        <v>319</v>
      </c>
      <c r="CE353" s="428"/>
      <c r="CF353" s="428">
        <f>CD353-CB353</f>
        <v>-6</v>
      </c>
      <c r="CG353" s="70"/>
      <c r="CH353" s="70"/>
      <c r="CI353" s="70"/>
      <c r="CJ353" s="70"/>
      <c r="CK353" s="70"/>
      <c r="CL353" s="70"/>
      <c r="CM353" s="70"/>
    </row>
    <row r="354" spans="53:91" ht="15" x14ac:dyDescent="0.2">
      <c r="BA354" s="70"/>
      <c r="BB354" s="70"/>
      <c r="BC354" s="70"/>
      <c r="BD354" s="70"/>
      <c r="BE354" s="70"/>
      <c r="BF354" s="70"/>
      <c r="BG354" s="70"/>
      <c r="BH354" s="70"/>
      <c r="BI354" s="70"/>
      <c r="BJ354" s="70"/>
      <c r="BK354" s="70"/>
      <c r="BL354" s="70"/>
      <c r="BM354" s="70"/>
      <c r="BN354" s="70"/>
      <c r="BO354" s="70"/>
      <c r="BP354" s="70"/>
      <c r="BQ354" s="70"/>
      <c r="BR354" s="70"/>
      <c r="BS354" s="70"/>
      <c r="BT354" s="70"/>
      <c r="BU354" s="445"/>
      <c r="BV354" s="70"/>
      <c r="BW354" s="70"/>
      <c r="BX354" s="439" t="s">
        <v>1944</v>
      </c>
      <c r="BY354" s="446" t="s">
        <v>26</v>
      </c>
      <c r="BZ354" s="445">
        <v>150</v>
      </c>
      <c r="CA354" s="445">
        <v>160</v>
      </c>
      <c r="CB354" s="445">
        <f>AVERAGE(BZ354:CA354)</f>
        <v>155</v>
      </c>
      <c r="CC354" s="445"/>
      <c r="CD354" s="642"/>
      <c r="CE354" s="428"/>
      <c r="CF354" s="428">
        <f>CD354-CB354</f>
        <v>-155</v>
      </c>
      <c r="CG354" s="70"/>
      <c r="CH354" s="70"/>
      <c r="CI354" s="70"/>
      <c r="CJ354" s="70"/>
      <c r="CK354" s="70"/>
      <c r="CL354" s="70"/>
      <c r="CM354" s="70"/>
    </row>
    <row r="355" spans="53:91" ht="15" x14ac:dyDescent="0.2">
      <c r="BA355" s="70"/>
      <c r="BB355" s="70"/>
      <c r="BC355" s="70"/>
      <c r="BD355" s="70"/>
      <c r="BE355" s="70"/>
      <c r="BF355" s="70"/>
      <c r="BG355" s="70"/>
      <c r="BH355" s="70"/>
      <c r="BI355" s="70"/>
      <c r="BJ355" s="70"/>
      <c r="BK355" s="70"/>
      <c r="BL355" s="70"/>
      <c r="BM355" s="70"/>
      <c r="BN355" s="70"/>
      <c r="BO355" s="70"/>
      <c r="BP355" s="70"/>
      <c r="BQ355" s="70"/>
      <c r="BR355" s="70"/>
      <c r="BS355" s="70"/>
      <c r="BT355" s="70"/>
      <c r="BU355" s="445"/>
      <c r="BV355" s="70"/>
      <c r="BW355" s="70"/>
      <c r="BX355" s="444" t="s">
        <v>711</v>
      </c>
      <c r="BY355" s="445" t="s">
        <v>29</v>
      </c>
      <c r="BZ355" s="445"/>
      <c r="CA355" s="445"/>
      <c r="CB355" s="445"/>
      <c r="CC355" s="445"/>
      <c r="CD355" s="642"/>
      <c r="CE355" s="428"/>
      <c r="CF355" s="428"/>
      <c r="CG355" s="70"/>
      <c r="CH355" s="70"/>
      <c r="CI355" s="70"/>
      <c r="CJ355" s="70"/>
      <c r="CK355" s="70"/>
      <c r="CL355" s="70"/>
      <c r="CM355" s="70"/>
    </row>
    <row r="356" spans="53:91" ht="15" x14ac:dyDescent="0.2">
      <c r="BA356" s="70"/>
      <c r="BB356" s="70"/>
      <c r="BC356" s="70"/>
      <c r="BD356" s="70"/>
      <c r="BE356" s="70"/>
      <c r="BF356" s="70"/>
      <c r="BG356" s="70"/>
      <c r="BH356" s="70"/>
      <c r="BI356" s="70"/>
      <c r="BJ356" s="70"/>
      <c r="BK356" s="70"/>
      <c r="BL356" s="70"/>
      <c r="BM356" s="70"/>
      <c r="BN356" s="70"/>
      <c r="BO356" s="70"/>
      <c r="BP356" s="70"/>
      <c r="BQ356" s="70"/>
      <c r="BR356" s="70"/>
      <c r="BS356" s="70"/>
      <c r="BT356" s="70"/>
      <c r="BU356" s="445"/>
      <c r="BV356" s="70"/>
      <c r="BW356" s="70"/>
      <c r="BX356" s="444" t="s">
        <v>802</v>
      </c>
      <c r="BY356" s="445"/>
      <c r="BZ356" s="445">
        <v>50</v>
      </c>
      <c r="CA356" s="445">
        <v>55</v>
      </c>
      <c r="CB356" s="445">
        <f>AVERAGE(BZ356:CA356)</f>
        <v>52.5</v>
      </c>
      <c r="CC356" s="445"/>
      <c r="CD356" s="641">
        <v>42</v>
      </c>
      <c r="CE356" s="428"/>
      <c r="CF356" s="428">
        <f>CD356-CB356</f>
        <v>-10.5</v>
      </c>
      <c r="CG356" s="70"/>
      <c r="CH356" s="70"/>
      <c r="CI356" s="70"/>
      <c r="CJ356" s="70"/>
      <c r="CK356" s="70"/>
      <c r="CL356" s="70"/>
      <c r="CM356" s="70"/>
    </row>
    <row r="357" spans="53:91" ht="15" x14ac:dyDescent="0.2">
      <c r="BA357" s="70"/>
      <c r="BB357" s="70"/>
      <c r="BC357" s="70"/>
      <c r="BD357" s="70"/>
      <c r="BE357" s="70"/>
      <c r="BF357" s="70"/>
      <c r="BG357" s="70"/>
      <c r="BH357" s="70"/>
      <c r="BI357" s="70"/>
      <c r="BJ357" s="70"/>
      <c r="BK357" s="70"/>
      <c r="BL357" s="70"/>
      <c r="BM357" s="70"/>
      <c r="BN357" s="70"/>
      <c r="BO357" s="70"/>
      <c r="BP357" s="70"/>
      <c r="BQ357" s="70"/>
      <c r="BR357" s="70"/>
      <c r="BS357" s="70"/>
      <c r="BT357" s="70"/>
      <c r="BU357" s="445"/>
      <c r="BV357" s="70"/>
      <c r="BW357" s="70"/>
      <c r="BX357" s="444"/>
      <c r="BY357" s="445"/>
      <c r="BZ357" s="445"/>
      <c r="CA357" s="445"/>
      <c r="CB357" s="440"/>
      <c r="CC357" s="440"/>
      <c r="CD357" s="428"/>
      <c r="CE357" s="428"/>
      <c r="CF357" s="428"/>
      <c r="CG357" s="70"/>
      <c r="CH357" s="70"/>
      <c r="CI357" s="70"/>
      <c r="CJ357" s="70"/>
      <c r="CK357" s="70"/>
      <c r="CL357" s="70"/>
      <c r="CM357" s="70"/>
    </row>
    <row r="358" spans="53:91" ht="15.75" x14ac:dyDescent="0.25">
      <c r="BA358" s="70"/>
      <c r="BB358" s="70"/>
      <c r="BC358" s="70"/>
      <c r="BD358" s="70"/>
      <c r="BE358" s="70"/>
      <c r="BF358" s="70"/>
      <c r="BG358" s="70"/>
      <c r="BH358" s="70"/>
      <c r="BI358" s="70"/>
      <c r="BJ358" s="70"/>
      <c r="BK358" s="70"/>
      <c r="BL358" s="70"/>
      <c r="BM358" s="70"/>
      <c r="BN358" s="70"/>
      <c r="BO358" s="70"/>
      <c r="BP358" s="70"/>
      <c r="BQ358" s="70"/>
      <c r="BR358" s="70"/>
      <c r="BS358" s="70"/>
      <c r="BT358" s="70"/>
      <c r="BU358" s="445"/>
      <c r="BV358" s="70"/>
      <c r="BW358" s="70"/>
      <c r="BX358" s="623" t="s">
        <v>1150</v>
      </c>
      <c r="BY358" s="445"/>
      <c r="BZ358" s="445"/>
      <c r="CA358" s="445"/>
      <c r="CB358" s="440"/>
      <c r="CC358" s="440"/>
      <c r="CD358" s="428"/>
      <c r="CE358" s="428"/>
      <c r="CF358" s="428"/>
      <c r="CG358" s="70"/>
      <c r="CH358" s="70"/>
      <c r="CI358" s="70"/>
      <c r="CJ358" s="70"/>
      <c r="CK358" s="70"/>
      <c r="CL358" s="70"/>
      <c r="CM358" s="70"/>
    </row>
    <row r="359" spans="53:91" ht="6" customHeight="1" x14ac:dyDescent="0.25">
      <c r="BA359" s="70"/>
      <c r="BB359" s="70"/>
      <c r="BC359" s="70"/>
      <c r="BD359" s="70"/>
      <c r="BE359" s="70"/>
      <c r="BF359" s="70"/>
      <c r="BG359" s="70"/>
      <c r="BH359" s="70"/>
      <c r="BI359" s="70"/>
      <c r="BJ359" s="70"/>
      <c r="BK359" s="70"/>
      <c r="BL359" s="70"/>
      <c r="BM359" s="70"/>
      <c r="BN359" s="70"/>
      <c r="BO359" s="70"/>
      <c r="BP359" s="70"/>
      <c r="BQ359" s="70"/>
      <c r="BR359" s="70"/>
      <c r="BS359" s="70"/>
      <c r="BT359" s="70"/>
      <c r="BU359" s="445"/>
      <c r="BV359" s="70"/>
      <c r="BW359" s="70"/>
      <c r="BX359" s="443"/>
      <c r="BY359" s="445"/>
      <c r="BZ359" s="445"/>
      <c r="CA359" s="445"/>
      <c r="CB359" s="440"/>
      <c r="CC359" s="440"/>
      <c r="CD359" s="428"/>
      <c r="CE359" s="428"/>
      <c r="CF359" s="428"/>
      <c r="CG359" s="70"/>
      <c r="CH359" s="70"/>
      <c r="CI359" s="70"/>
      <c r="CJ359" s="70"/>
      <c r="CK359" s="70"/>
      <c r="CL359" s="70"/>
      <c r="CM359" s="70"/>
    </row>
    <row r="360" spans="53:91" ht="15" x14ac:dyDescent="0.2">
      <c r="BA360" s="70"/>
      <c r="BB360" s="70"/>
      <c r="BC360" s="70"/>
      <c r="BD360" s="70"/>
      <c r="BE360" s="70"/>
      <c r="BF360" s="70"/>
      <c r="BG360" s="70"/>
      <c r="BH360" s="70"/>
      <c r="BI360" s="70"/>
      <c r="BJ360" s="70"/>
      <c r="BK360" s="70"/>
      <c r="BL360" s="70"/>
      <c r="BM360" s="70"/>
      <c r="BN360" s="70"/>
      <c r="BO360" s="70"/>
      <c r="BP360" s="70"/>
      <c r="BQ360" s="70"/>
      <c r="BR360" s="70"/>
      <c r="BS360" s="70"/>
      <c r="BT360" s="70"/>
      <c r="BU360" s="445"/>
      <c r="BV360" s="70"/>
      <c r="BW360" s="70"/>
      <c r="BX360" s="444" t="s">
        <v>1946</v>
      </c>
      <c r="BY360" s="447" t="s">
        <v>31</v>
      </c>
      <c r="BZ360" s="445">
        <v>165</v>
      </c>
      <c r="CA360" s="445">
        <v>170</v>
      </c>
      <c r="CB360" s="445">
        <f>AVERAGE(BZ360:CA360)</f>
        <v>167.5</v>
      </c>
      <c r="CC360" s="445"/>
      <c r="CD360" s="641">
        <v>159</v>
      </c>
      <c r="CE360" s="428"/>
      <c r="CF360" s="428">
        <f>CD360-CB360</f>
        <v>-8.5</v>
      </c>
      <c r="CG360" s="70"/>
      <c r="CH360" s="70"/>
      <c r="CI360" s="70"/>
      <c r="CJ360" s="70"/>
      <c r="CK360" s="70"/>
      <c r="CL360" s="70"/>
      <c r="CM360" s="70"/>
    </row>
    <row r="361" spans="53:91" ht="15" x14ac:dyDescent="0.2">
      <c r="BA361" s="70"/>
      <c r="BB361" s="70"/>
      <c r="BC361" s="70"/>
      <c r="BD361" s="70"/>
      <c r="BE361" s="70"/>
      <c r="BF361" s="70"/>
      <c r="BG361" s="70"/>
      <c r="BH361" s="70"/>
      <c r="BI361" s="70"/>
      <c r="BJ361" s="70"/>
      <c r="BK361" s="70"/>
      <c r="BL361" s="70"/>
      <c r="BM361" s="70"/>
      <c r="BN361" s="70"/>
      <c r="BO361" s="70"/>
      <c r="BP361" s="70"/>
      <c r="BQ361" s="70"/>
      <c r="BR361" s="70"/>
      <c r="BS361" s="70"/>
      <c r="BT361" s="70"/>
      <c r="BU361" s="448"/>
      <c r="BV361" s="70"/>
      <c r="BW361" s="70"/>
      <c r="BX361" s="439" t="s">
        <v>33</v>
      </c>
      <c r="BY361" s="445" t="s">
        <v>34</v>
      </c>
      <c r="BZ361" s="448"/>
      <c r="CA361" s="448"/>
      <c r="CB361" s="445">
        <v>35</v>
      </c>
      <c r="CC361" s="448"/>
      <c r="CD361" s="641">
        <v>34</v>
      </c>
      <c r="CE361" s="428"/>
      <c r="CF361" s="428">
        <f>CD361-CB361</f>
        <v>-1</v>
      </c>
      <c r="CG361" s="70"/>
      <c r="CH361" s="70"/>
      <c r="CI361" s="70"/>
      <c r="CJ361" s="70"/>
      <c r="CK361" s="70"/>
      <c r="CL361" s="70"/>
      <c r="CM361" s="70"/>
    </row>
    <row r="362" spans="53:91" ht="15" x14ac:dyDescent="0.2">
      <c r="BA362" s="70"/>
      <c r="BB362" s="70"/>
      <c r="BC362" s="70"/>
      <c r="BD362" s="70"/>
      <c r="BE362" s="70"/>
      <c r="BF362" s="70"/>
      <c r="BG362" s="70"/>
      <c r="BH362" s="70"/>
      <c r="BI362" s="70"/>
      <c r="BJ362" s="70"/>
      <c r="BK362" s="70"/>
      <c r="BL362" s="70"/>
      <c r="BM362" s="70"/>
      <c r="BN362" s="70"/>
      <c r="BO362" s="70"/>
      <c r="BP362" s="70"/>
      <c r="BQ362" s="70"/>
      <c r="BR362" s="70"/>
      <c r="BS362" s="70"/>
      <c r="BT362" s="70"/>
      <c r="BU362" s="450"/>
      <c r="BV362" s="70"/>
      <c r="BW362" s="70"/>
      <c r="BX362" s="439" t="s">
        <v>1204</v>
      </c>
      <c r="BY362" s="449">
        <v>0.36</v>
      </c>
      <c r="BZ362" s="448"/>
      <c r="CA362" s="450"/>
      <c r="CB362" s="451"/>
      <c r="CC362" s="450"/>
      <c r="CD362" s="428"/>
      <c r="CE362" s="428"/>
      <c r="CF362" s="428">
        <f>CD362-CB362</f>
        <v>0</v>
      </c>
      <c r="CG362" s="70"/>
      <c r="CH362" s="70"/>
      <c r="CI362" s="70"/>
      <c r="CJ362" s="70"/>
      <c r="CK362" s="70"/>
      <c r="CL362" s="70"/>
      <c r="CM362" s="70"/>
    </row>
    <row r="363" spans="53:91" ht="15" x14ac:dyDescent="0.2">
      <c r="BA363" s="70"/>
      <c r="BB363" s="70"/>
      <c r="BC363" s="70"/>
      <c r="BD363" s="70"/>
      <c r="BE363" s="70"/>
      <c r="BF363" s="70"/>
      <c r="BG363" s="70"/>
      <c r="BH363" s="70"/>
      <c r="BI363" s="70"/>
      <c r="BJ363" s="70"/>
      <c r="BK363" s="70"/>
      <c r="BL363" s="70"/>
      <c r="BM363" s="70"/>
      <c r="BN363" s="70"/>
      <c r="BO363" s="70"/>
      <c r="BP363" s="70"/>
      <c r="BQ363" s="70"/>
      <c r="BR363" s="70"/>
      <c r="BS363" s="70"/>
      <c r="BT363" s="70"/>
      <c r="BU363" s="448"/>
      <c r="BV363" s="70"/>
      <c r="BW363" s="70"/>
      <c r="BX363" s="439" t="s">
        <v>326</v>
      </c>
      <c r="BY363" s="452">
        <v>0</v>
      </c>
      <c r="BZ363" s="448"/>
      <c r="CA363" s="448"/>
      <c r="CB363" s="445"/>
      <c r="CC363" s="448"/>
      <c r="CD363" s="428"/>
      <c r="CE363" s="428"/>
      <c r="CF363" s="428">
        <f>CD363-CB363</f>
        <v>0</v>
      </c>
      <c r="CG363" s="70"/>
      <c r="CH363" s="70"/>
      <c r="CI363" s="70"/>
      <c r="CJ363" s="70"/>
      <c r="CK363" s="70"/>
      <c r="CL363" s="70"/>
      <c r="CM363" s="70"/>
    </row>
    <row r="364" spans="53:91" ht="15" x14ac:dyDescent="0.2">
      <c r="BA364" s="70"/>
      <c r="BB364" s="70"/>
      <c r="BC364" s="70"/>
      <c r="BD364" s="70"/>
      <c r="BE364" s="70"/>
      <c r="BF364" s="70"/>
      <c r="BG364" s="70"/>
      <c r="BH364" s="70"/>
      <c r="BI364" s="70"/>
      <c r="BJ364" s="70"/>
      <c r="BK364" s="70"/>
      <c r="BL364" s="70"/>
      <c r="BM364" s="70"/>
      <c r="BN364" s="70"/>
      <c r="BO364" s="70"/>
      <c r="BP364" s="70"/>
      <c r="BQ364" s="70"/>
      <c r="BR364" s="70"/>
      <c r="BS364" s="70"/>
      <c r="BT364" s="70"/>
      <c r="BU364" s="453"/>
      <c r="BV364" s="70"/>
      <c r="BW364" s="70"/>
      <c r="BX364" s="444" t="s">
        <v>338</v>
      </c>
      <c r="BY364" s="445" t="s">
        <v>35</v>
      </c>
      <c r="BZ364" s="453">
        <v>0.34</v>
      </c>
      <c r="CA364" s="453">
        <v>0.38</v>
      </c>
      <c r="CB364" s="453">
        <f>AVERAGE(BZ364:CA364)</f>
        <v>0.36</v>
      </c>
      <c r="CC364" s="453"/>
      <c r="CD364" s="453">
        <v>0.37</v>
      </c>
      <c r="CE364" s="428"/>
      <c r="CF364" s="454">
        <f>CD364-CB364</f>
        <v>1.0000000000000009E-2</v>
      </c>
      <c r="CG364" s="70"/>
      <c r="CH364" s="70"/>
      <c r="CI364" s="70"/>
      <c r="CJ364" s="70"/>
      <c r="CK364" s="70"/>
      <c r="CL364" s="70"/>
      <c r="CM364" s="70"/>
    </row>
    <row r="365" spans="53:91" ht="15" x14ac:dyDescent="0.2">
      <c r="BA365" s="70"/>
      <c r="BB365" s="70"/>
      <c r="BC365" s="70"/>
      <c r="BD365" s="70"/>
      <c r="BE365" s="70"/>
      <c r="BF365" s="70"/>
      <c r="BG365" s="70"/>
      <c r="BH365" s="70"/>
      <c r="BI365" s="70"/>
      <c r="BJ365" s="70"/>
      <c r="BK365" s="70"/>
      <c r="BL365" s="70"/>
      <c r="BM365" s="70"/>
      <c r="BN365" s="70"/>
      <c r="BO365" s="70"/>
      <c r="BP365" s="70"/>
      <c r="BQ365" s="70"/>
      <c r="BR365" s="70"/>
      <c r="BS365" s="70"/>
      <c r="BT365" s="70"/>
      <c r="BU365" s="70"/>
      <c r="BV365" s="70"/>
      <c r="BW365" s="70"/>
      <c r="BX365" s="444"/>
      <c r="BY365" s="445"/>
      <c r="BZ365" s="453"/>
      <c r="CA365" s="453"/>
      <c r="CB365" s="453"/>
      <c r="CC365" s="453"/>
      <c r="CD365" s="428"/>
      <c r="CE365" s="428"/>
      <c r="CF365" s="454"/>
      <c r="CG365" s="70"/>
      <c r="CH365" s="70"/>
      <c r="CI365" s="70"/>
      <c r="CJ365" s="70"/>
      <c r="CK365" s="70"/>
      <c r="CL365" s="70"/>
      <c r="CM365" s="70"/>
    </row>
    <row r="366" spans="53:91" ht="15" x14ac:dyDescent="0.2">
      <c r="BA366" s="70"/>
      <c r="BB366" s="70"/>
      <c r="BC366" s="70"/>
      <c r="BD366" s="70"/>
      <c r="BE366" s="70"/>
      <c r="BF366" s="70"/>
      <c r="BG366" s="70"/>
      <c r="BH366" s="70"/>
      <c r="BI366" s="70"/>
      <c r="BJ366" s="70"/>
      <c r="BK366" s="70"/>
      <c r="BL366" s="70"/>
      <c r="BM366" s="70"/>
      <c r="BN366" s="70"/>
      <c r="BO366" s="70"/>
      <c r="BP366" s="70"/>
      <c r="BQ366" s="70"/>
      <c r="BR366" s="70"/>
      <c r="BS366" s="70"/>
      <c r="BT366" s="70"/>
      <c r="BU366" s="70"/>
      <c r="BV366" s="70"/>
      <c r="BW366" s="70"/>
      <c r="BX366" s="444"/>
      <c r="BY366" s="445"/>
      <c r="BZ366" s="453"/>
      <c r="CA366" s="453"/>
      <c r="CB366" s="453"/>
      <c r="CC366" s="453"/>
      <c r="CD366" s="428"/>
      <c r="CE366" s="428"/>
      <c r="CF366" s="454"/>
      <c r="CG366" s="70"/>
      <c r="CH366" s="70"/>
      <c r="CI366" s="70"/>
      <c r="CJ366" s="70"/>
      <c r="CK366" s="70"/>
      <c r="CL366" s="70"/>
      <c r="CM366" s="70"/>
    </row>
    <row r="367" spans="53:91" ht="15" x14ac:dyDescent="0.2">
      <c r="BA367" s="70"/>
      <c r="BB367" s="70"/>
      <c r="BC367" s="70"/>
      <c r="BD367" s="70"/>
      <c r="BE367" s="70"/>
      <c r="BF367" s="70"/>
      <c r="BG367" s="70"/>
      <c r="BH367" s="70"/>
      <c r="BI367" s="70"/>
      <c r="BJ367" s="70"/>
      <c r="BK367" s="70"/>
      <c r="BL367" s="70"/>
      <c r="BM367" s="70"/>
      <c r="BN367" s="70"/>
      <c r="BO367" s="70"/>
      <c r="BP367" s="70"/>
      <c r="BQ367" s="70"/>
      <c r="BR367" s="70"/>
      <c r="BS367" s="70"/>
      <c r="BT367" s="70"/>
      <c r="BU367" s="70"/>
      <c r="BV367" s="70"/>
      <c r="BW367" s="70"/>
      <c r="BX367" s="427" t="s">
        <v>1144</v>
      </c>
      <c r="BY367" s="428"/>
      <c r="BZ367" s="428"/>
      <c r="CA367" s="428"/>
      <c r="CB367" s="428"/>
      <c r="CC367" s="428"/>
      <c r="CD367" s="428"/>
      <c r="CE367" s="428"/>
      <c r="CF367" s="428"/>
      <c r="CG367" s="70"/>
      <c r="CH367" s="70"/>
      <c r="CI367" s="70"/>
      <c r="CJ367" s="70"/>
      <c r="CK367" s="70"/>
      <c r="CL367" s="70"/>
      <c r="CM367" s="70"/>
    </row>
    <row r="368" spans="53:91" ht="15.75" x14ac:dyDescent="0.25">
      <c r="BA368" s="70"/>
      <c r="BB368" s="70"/>
      <c r="BC368" s="70"/>
      <c r="BD368" s="70"/>
      <c r="BE368" s="70"/>
      <c r="BF368" s="70"/>
      <c r="BG368" s="70"/>
      <c r="BH368" s="70"/>
      <c r="BI368" s="70"/>
      <c r="BJ368" s="70"/>
      <c r="BK368" s="70"/>
      <c r="BL368" s="70"/>
      <c r="BM368" s="70"/>
      <c r="BN368" s="70"/>
      <c r="BO368" s="70"/>
      <c r="BP368" s="70"/>
      <c r="BQ368" s="70"/>
      <c r="BR368" s="70"/>
      <c r="BS368" s="70"/>
      <c r="BT368" s="70"/>
      <c r="BU368" s="70"/>
      <c r="BV368" s="70"/>
      <c r="BW368" s="70"/>
      <c r="BX368" s="429" t="s">
        <v>1733</v>
      </c>
      <c r="BY368" s="430"/>
      <c r="BZ368" s="430"/>
      <c r="CA368" s="430"/>
      <c r="CB368" s="430"/>
      <c r="CC368" s="430"/>
      <c r="CD368" s="428"/>
      <c r="CE368" s="428"/>
      <c r="CF368" s="428"/>
      <c r="CG368" s="70"/>
      <c r="CH368" s="70"/>
      <c r="CI368" s="70"/>
      <c r="CJ368" s="70"/>
      <c r="CK368" s="70"/>
      <c r="CL368" s="70"/>
      <c r="CM368" s="70"/>
    </row>
    <row r="369" spans="53:91" ht="15.75" x14ac:dyDescent="0.25">
      <c r="BA369" s="70"/>
      <c r="BB369" s="70"/>
      <c r="BC369" s="70"/>
      <c r="BD369" s="70"/>
      <c r="BE369" s="70"/>
      <c r="BF369" s="70"/>
      <c r="BG369" s="70"/>
      <c r="BH369" s="70"/>
      <c r="BI369" s="70"/>
      <c r="BJ369" s="70"/>
      <c r="BK369" s="70"/>
      <c r="BL369" s="70"/>
      <c r="BM369" s="70"/>
      <c r="BN369" s="70"/>
      <c r="BO369" s="70"/>
      <c r="BP369" s="70"/>
      <c r="BQ369" s="70"/>
      <c r="BR369" s="70"/>
      <c r="BS369" s="70"/>
      <c r="BT369" s="70"/>
      <c r="BU369" s="70"/>
      <c r="BV369" s="70"/>
      <c r="BW369" s="70"/>
      <c r="BX369" s="429"/>
      <c r="BY369" s="431"/>
      <c r="BZ369" s="432" t="s">
        <v>1782</v>
      </c>
      <c r="CA369" s="433"/>
      <c r="CB369" s="433"/>
      <c r="CC369" s="431"/>
      <c r="CD369" s="434"/>
      <c r="CE369" s="428"/>
      <c r="CF369" s="428"/>
      <c r="CG369" s="70"/>
      <c r="CH369" s="70"/>
      <c r="CI369" s="70"/>
      <c r="CJ369" s="70"/>
      <c r="CK369" s="70"/>
      <c r="CL369" s="70"/>
      <c r="CM369" s="70"/>
    </row>
    <row r="370" spans="53:91" ht="18.75" x14ac:dyDescent="0.25">
      <c r="BA370" s="70"/>
      <c r="BB370" s="70"/>
      <c r="BC370" s="70"/>
      <c r="BD370" s="70"/>
      <c r="BE370" s="70"/>
      <c r="BF370" s="70"/>
      <c r="BG370" s="70"/>
      <c r="BH370" s="70"/>
      <c r="BI370" s="70"/>
      <c r="BJ370" s="70"/>
      <c r="BK370" s="70"/>
      <c r="BL370" s="70"/>
      <c r="BM370" s="70"/>
      <c r="BN370" s="70"/>
      <c r="BO370" s="70"/>
      <c r="BP370" s="70"/>
      <c r="BQ370" s="70"/>
      <c r="BR370" s="70"/>
      <c r="BS370" s="70"/>
      <c r="BT370" s="70"/>
      <c r="BU370" s="70"/>
      <c r="BV370" s="70"/>
      <c r="BW370" s="70"/>
      <c r="BX370" s="435"/>
      <c r="BY370" s="436"/>
      <c r="BZ370" s="437" t="s">
        <v>573</v>
      </c>
      <c r="CA370" s="437" t="s">
        <v>574</v>
      </c>
      <c r="CB370" s="437" t="s">
        <v>1496</v>
      </c>
      <c r="CC370" s="436"/>
      <c r="CD370" s="438" t="s">
        <v>1151</v>
      </c>
      <c r="CE370" s="438"/>
      <c r="CF370" s="622" t="s">
        <v>231</v>
      </c>
      <c r="CG370" s="70"/>
      <c r="CH370" s="70"/>
      <c r="CI370" s="70"/>
      <c r="CJ370" s="70"/>
      <c r="CK370" s="70"/>
      <c r="CL370" s="70"/>
      <c r="CM370" s="70"/>
    </row>
    <row r="371" spans="53:91" ht="15.75" x14ac:dyDescent="0.25">
      <c r="BA371" s="70"/>
      <c r="BB371" s="70"/>
      <c r="BC371" s="70"/>
      <c r="BD371" s="70"/>
      <c r="BE371" s="70"/>
      <c r="BF371" s="70"/>
      <c r="BG371" s="70"/>
      <c r="BH371" s="70"/>
      <c r="BI371" s="70"/>
      <c r="BJ371" s="70"/>
      <c r="BK371" s="70"/>
      <c r="BL371" s="70"/>
      <c r="BM371" s="70"/>
      <c r="BN371" s="70"/>
      <c r="BO371" s="70"/>
      <c r="BP371" s="70"/>
      <c r="BQ371" s="70"/>
      <c r="BR371" s="70"/>
      <c r="BS371" s="70"/>
      <c r="BT371" s="70"/>
      <c r="BU371" s="70"/>
      <c r="BV371" s="70"/>
      <c r="BW371" s="70"/>
      <c r="BX371" s="624" t="s">
        <v>487</v>
      </c>
      <c r="BY371" s="436"/>
      <c r="BZ371" s="436"/>
      <c r="CA371" s="436"/>
      <c r="CB371" s="436"/>
      <c r="CC371" s="436"/>
      <c r="CD371" s="438"/>
      <c r="CE371" s="438"/>
      <c r="CF371" s="438"/>
      <c r="CG371" s="70"/>
      <c r="CH371" s="70"/>
      <c r="CI371" s="70"/>
      <c r="CJ371" s="70"/>
      <c r="CK371" s="70"/>
      <c r="CL371" s="70"/>
      <c r="CM371" s="70"/>
    </row>
    <row r="372" spans="53:91" ht="15.75" x14ac:dyDescent="0.25">
      <c r="BA372" s="70"/>
      <c r="BB372" s="70"/>
      <c r="BC372" s="70"/>
      <c r="BD372" s="70"/>
      <c r="BE372" s="70"/>
      <c r="BF372" s="70"/>
      <c r="BG372" s="70"/>
      <c r="BH372" s="70"/>
      <c r="BI372" s="70"/>
      <c r="BJ372" s="70"/>
      <c r="BK372" s="70"/>
      <c r="BL372" s="70"/>
      <c r="BM372" s="70"/>
      <c r="BN372" s="70"/>
      <c r="BO372" s="70"/>
      <c r="BP372" s="70"/>
      <c r="BQ372" s="70"/>
      <c r="BR372" s="70"/>
      <c r="BS372" s="70"/>
      <c r="BT372" s="70"/>
      <c r="BU372" s="70"/>
      <c r="BV372" s="70"/>
      <c r="BW372" s="70"/>
      <c r="BX372" s="435"/>
      <c r="BY372" s="436"/>
      <c r="BZ372" s="436"/>
      <c r="CA372" s="436"/>
      <c r="CB372" s="436"/>
      <c r="CC372" s="436"/>
      <c r="CD372" s="438"/>
      <c r="CE372" s="438"/>
      <c r="CF372" s="438"/>
      <c r="CG372" s="70"/>
      <c r="CH372" s="70"/>
      <c r="CI372" s="70"/>
      <c r="CJ372" s="70"/>
      <c r="CK372" s="70"/>
      <c r="CL372" s="70"/>
      <c r="CM372" s="70"/>
    </row>
    <row r="373" spans="53:91" ht="15" x14ac:dyDescent="0.2">
      <c r="BA373" s="70"/>
      <c r="BB373" s="70"/>
      <c r="BC373" s="70"/>
      <c r="BD373" s="70"/>
      <c r="BE373" s="70"/>
      <c r="BF373" s="70"/>
      <c r="BG373" s="70"/>
      <c r="BH373" s="70"/>
      <c r="BI373" s="70"/>
      <c r="BJ373" s="70"/>
      <c r="BK373" s="70"/>
      <c r="BL373" s="70"/>
      <c r="BM373" s="70"/>
      <c r="BN373" s="70"/>
      <c r="BO373" s="70"/>
      <c r="BP373" s="70"/>
      <c r="BQ373" s="70"/>
      <c r="BR373" s="70"/>
      <c r="BS373" s="70"/>
      <c r="BT373" s="70"/>
      <c r="BU373" s="70"/>
      <c r="BV373" s="70"/>
      <c r="BW373" s="70"/>
      <c r="BX373" s="439" t="s">
        <v>1143</v>
      </c>
      <c r="BY373" s="440" t="s">
        <v>1146</v>
      </c>
      <c r="BZ373" s="830">
        <v>0.06</v>
      </c>
      <c r="CA373" s="830">
        <v>0.08</v>
      </c>
      <c r="CB373" s="830">
        <v>7.0000000000000007E-2</v>
      </c>
      <c r="CC373" s="440"/>
      <c r="CD373" s="639">
        <v>6.9000000000000006E-2</v>
      </c>
      <c r="CE373" s="428"/>
      <c r="CF373" s="441">
        <f>CD373-CB373</f>
        <v>-1.0000000000000009E-3</v>
      </c>
      <c r="CG373" s="70"/>
      <c r="CH373" s="70"/>
      <c r="CI373" s="70"/>
      <c r="CJ373" s="70"/>
      <c r="CK373" s="70"/>
      <c r="CL373" s="70"/>
      <c r="CM373" s="70"/>
    </row>
    <row r="374" spans="53:91" ht="15" x14ac:dyDescent="0.2">
      <c r="BA374" s="70"/>
      <c r="BB374" s="70"/>
      <c r="BC374" s="70"/>
      <c r="BD374" s="70"/>
      <c r="BE374" s="70"/>
      <c r="BF374" s="70"/>
      <c r="BG374" s="70"/>
      <c r="BH374" s="70"/>
      <c r="BI374" s="70"/>
      <c r="BJ374" s="70"/>
      <c r="BK374" s="70"/>
      <c r="BL374" s="70"/>
      <c r="BM374" s="70"/>
      <c r="BN374" s="70"/>
      <c r="BO374" s="70"/>
      <c r="BP374" s="70"/>
      <c r="BQ374" s="70"/>
      <c r="BR374" s="70"/>
      <c r="BS374" s="70"/>
      <c r="BT374" s="70"/>
      <c r="BU374" s="70"/>
      <c r="BV374" s="70"/>
      <c r="BW374" s="70"/>
      <c r="BX374" s="442" t="s">
        <v>2036</v>
      </c>
      <c r="BY374" s="440" t="s">
        <v>1147</v>
      </c>
      <c r="BZ374" s="830">
        <v>0.06</v>
      </c>
      <c r="CA374" s="830">
        <v>0.08</v>
      </c>
      <c r="CB374" s="830">
        <f>AVERAGE(BZ374:CA374)</f>
        <v>7.0000000000000007E-2</v>
      </c>
      <c r="CC374" s="440"/>
      <c r="CD374" s="639">
        <v>6.9000000000000006E-2</v>
      </c>
      <c r="CE374" s="428"/>
      <c r="CF374" s="441">
        <f>CD374-CB374</f>
        <v>-1.0000000000000009E-3</v>
      </c>
      <c r="CG374" s="70"/>
      <c r="CH374" s="70"/>
      <c r="CI374" s="70"/>
      <c r="CJ374" s="70"/>
      <c r="CK374" s="70"/>
      <c r="CL374" s="70"/>
      <c r="CM374" s="70"/>
    </row>
    <row r="375" spans="53:91" ht="15" x14ac:dyDescent="0.2">
      <c r="BA375" s="70"/>
      <c r="BB375" s="70"/>
      <c r="BC375" s="70"/>
      <c r="BD375" s="70"/>
      <c r="BE375" s="70"/>
      <c r="BF375" s="70"/>
      <c r="BG375" s="70"/>
      <c r="BH375" s="70"/>
      <c r="BI375" s="70"/>
      <c r="BJ375" s="70"/>
      <c r="BK375" s="70"/>
      <c r="BL375" s="70"/>
      <c r="BM375" s="70"/>
      <c r="BN375" s="70"/>
      <c r="BO375" s="70"/>
      <c r="BP375" s="70"/>
      <c r="BQ375" s="70"/>
      <c r="BR375" s="70"/>
      <c r="BS375" s="70"/>
      <c r="BT375" s="70"/>
      <c r="BU375" s="70"/>
      <c r="BV375" s="70"/>
      <c r="BW375" s="70"/>
      <c r="BX375" s="442" t="s">
        <v>1309</v>
      </c>
      <c r="BY375" s="440" t="s">
        <v>1940</v>
      </c>
      <c r="BZ375" s="830">
        <v>0.05</v>
      </c>
      <c r="CA375" s="830">
        <v>7.0000000000000007E-2</v>
      </c>
      <c r="CB375" s="830">
        <v>0.06</v>
      </c>
      <c r="CC375" s="440"/>
      <c r="CD375" s="639">
        <v>6.9000000000000006E-2</v>
      </c>
      <c r="CE375" s="428"/>
      <c r="CF375" s="441">
        <f>CD375-CB375</f>
        <v>9.000000000000008E-3</v>
      </c>
      <c r="CG375" s="70"/>
      <c r="CH375" s="70"/>
      <c r="CI375" s="70"/>
      <c r="CJ375" s="70"/>
      <c r="CK375" s="70"/>
      <c r="CL375" s="70"/>
      <c r="CM375" s="70"/>
    </row>
    <row r="376" spans="53:91" ht="15" x14ac:dyDescent="0.2">
      <c r="BA376" s="70"/>
      <c r="BB376" s="70"/>
      <c r="BC376" s="70"/>
      <c r="BD376" s="70"/>
      <c r="BE376" s="70"/>
      <c r="BF376" s="70"/>
      <c r="BG376" s="70"/>
      <c r="BH376" s="70"/>
      <c r="BI376" s="70"/>
      <c r="BJ376" s="70"/>
      <c r="BK376" s="70"/>
      <c r="BL376" s="70"/>
      <c r="BM376" s="70"/>
      <c r="BN376" s="70"/>
      <c r="BO376" s="70"/>
      <c r="BP376" s="70"/>
      <c r="BQ376" s="70"/>
      <c r="BR376" s="70"/>
      <c r="BS376" s="70"/>
      <c r="BT376" s="70"/>
      <c r="BU376" s="70"/>
      <c r="BV376" s="70"/>
      <c r="BW376" s="70"/>
      <c r="BX376" s="442"/>
      <c r="BY376" s="440"/>
      <c r="BZ376" s="830"/>
      <c r="CA376" s="830"/>
      <c r="CB376" s="830"/>
      <c r="CC376" s="440"/>
      <c r="CD376" s="428"/>
      <c r="CE376" s="428"/>
      <c r="CF376" s="428"/>
      <c r="CG376" s="70"/>
      <c r="CH376" s="70"/>
      <c r="CI376" s="70"/>
      <c r="CJ376" s="70"/>
      <c r="CK376" s="70"/>
      <c r="CL376" s="70"/>
      <c r="CM376" s="70"/>
    </row>
    <row r="377" spans="53:91" ht="15.75" x14ac:dyDescent="0.25">
      <c r="BA377" s="70"/>
      <c r="BB377" s="70"/>
      <c r="BC377" s="70"/>
      <c r="BD377" s="70"/>
      <c r="BE377" s="70"/>
      <c r="BF377" s="70"/>
      <c r="BG377" s="70"/>
      <c r="BH377" s="70"/>
      <c r="BI377" s="70"/>
      <c r="BJ377" s="70"/>
      <c r="BK377" s="70"/>
      <c r="BL377" s="70"/>
      <c r="BM377" s="70"/>
      <c r="BN377" s="70"/>
      <c r="BO377" s="70"/>
      <c r="BP377" s="70"/>
      <c r="BQ377" s="70"/>
      <c r="BR377" s="70"/>
      <c r="BS377" s="70"/>
      <c r="BT377" s="70"/>
      <c r="BU377" s="70"/>
      <c r="BV377" s="70"/>
      <c r="BW377" s="70"/>
      <c r="BX377" s="623" t="s">
        <v>1395</v>
      </c>
      <c r="BY377" s="440"/>
      <c r="BZ377" s="830"/>
      <c r="CA377" s="830"/>
      <c r="CB377" s="830"/>
      <c r="CC377" s="440"/>
      <c r="CD377" s="428"/>
      <c r="CE377" s="428"/>
      <c r="CF377" s="428"/>
      <c r="CG377" s="70"/>
      <c r="CH377" s="70"/>
      <c r="CI377" s="70"/>
      <c r="CJ377" s="70"/>
      <c r="CK377" s="70"/>
      <c r="CL377" s="70"/>
      <c r="CM377" s="70"/>
    </row>
    <row r="378" spans="53:91" ht="15.75" x14ac:dyDescent="0.25">
      <c r="BA378" s="70"/>
      <c r="BB378" s="70"/>
      <c r="BC378" s="70"/>
      <c r="BD378" s="70"/>
      <c r="BE378" s="70"/>
      <c r="BF378" s="70"/>
      <c r="BG378" s="70"/>
      <c r="BH378" s="70"/>
      <c r="BI378" s="70"/>
      <c r="BJ378" s="70"/>
      <c r="BK378" s="70"/>
      <c r="BL378" s="70"/>
      <c r="BM378" s="70"/>
      <c r="BN378" s="70"/>
      <c r="BO378" s="70"/>
      <c r="BP378" s="70"/>
      <c r="BQ378" s="70"/>
      <c r="BR378" s="70"/>
      <c r="BS378" s="70"/>
      <c r="BT378" s="70"/>
      <c r="BU378" s="70"/>
      <c r="BV378" s="70"/>
      <c r="BW378" s="70"/>
      <c r="BX378" s="443"/>
      <c r="BY378" s="440"/>
      <c r="BZ378" s="830"/>
      <c r="CA378" s="830"/>
      <c r="CB378" s="830"/>
      <c r="CC378" s="440"/>
      <c r="CD378" s="428"/>
      <c r="CE378" s="428"/>
      <c r="CF378" s="428"/>
      <c r="CG378" s="70"/>
      <c r="CH378" s="70"/>
      <c r="CI378" s="70"/>
      <c r="CJ378" s="70"/>
      <c r="CK378" s="70"/>
      <c r="CL378" s="70"/>
      <c r="CM378" s="70"/>
    </row>
    <row r="379" spans="53:91" ht="15" x14ac:dyDescent="0.2">
      <c r="BA379" s="70"/>
      <c r="BB379" s="70"/>
      <c r="BC379" s="70"/>
      <c r="BD379" s="70"/>
      <c r="BE379" s="70"/>
      <c r="BF379" s="70"/>
      <c r="BG379" s="70"/>
      <c r="BH379" s="70"/>
      <c r="BI379" s="70"/>
      <c r="BJ379" s="70"/>
      <c r="BK379" s="70"/>
      <c r="BL379" s="70"/>
      <c r="BM379" s="70"/>
      <c r="BN379" s="70"/>
      <c r="BO379" s="70"/>
      <c r="BP379" s="70"/>
      <c r="BQ379" s="70"/>
      <c r="BR379" s="70"/>
      <c r="BS379" s="70"/>
      <c r="BT379" s="70"/>
      <c r="BU379" s="70"/>
      <c r="BV379" s="70"/>
      <c r="BW379" s="70"/>
      <c r="BX379" s="444" t="s">
        <v>1152</v>
      </c>
      <c r="BY379" s="445" t="s">
        <v>22</v>
      </c>
      <c r="BZ379" s="831"/>
      <c r="CA379" s="831"/>
      <c r="CB379" s="831">
        <v>25</v>
      </c>
      <c r="CC379" s="445"/>
      <c r="CD379" s="641">
        <v>35</v>
      </c>
      <c r="CE379" s="428"/>
      <c r="CF379" s="428">
        <f>CD379-CB379</f>
        <v>10</v>
      </c>
      <c r="CG379" s="70"/>
      <c r="CH379" s="70"/>
      <c r="CI379" s="70"/>
      <c r="CJ379" s="70"/>
      <c r="CK379" s="70"/>
      <c r="CL379" s="70"/>
      <c r="CM379" s="70"/>
    </row>
    <row r="380" spans="53:91" ht="15" x14ac:dyDescent="0.2">
      <c r="BA380" s="70"/>
      <c r="BB380" s="70"/>
      <c r="BC380" s="70"/>
      <c r="BD380" s="70"/>
      <c r="BE380" s="70"/>
      <c r="BF380" s="70"/>
      <c r="BG380" s="70"/>
      <c r="BH380" s="70"/>
      <c r="BI380" s="70"/>
      <c r="BJ380" s="70"/>
      <c r="BK380" s="70"/>
      <c r="BL380" s="70"/>
      <c r="BM380" s="70"/>
      <c r="BN380" s="70"/>
      <c r="BO380" s="70"/>
      <c r="BP380" s="70"/>
      <c r="BQ380" s="70"/>
      <c r="BR380" s="70"/>
      <c r="BS380" s="70"/>
      <c r="BT380" s="70"/>
      <c r="BU380" s="70"/>
      <c r="BV380" s="70"/>
      <c r="BW380" s="70"/>
      <c r="BX380" s="439" t="s">
        <v>1943</v>
      </c>
      <c r="BY380" s="446" t="s">
        <v>24</v>
      </c>
      <c r="BZ380" s="831">
        <v>285</v>
      </c>
      <c r="CA380" s="831">
        <v>295</v>
      </c>
      <c r="CB380" s="831">
        <f>AVERAGE(BZ380:CA380)</f>
        <v>290</v>
      </c>
      <c r="CC380" s="445"/>
      <c r="CD380" s="641">
        <v>289</v>
      </c>
      <c r="CE380" s="428"/>
      <c r="CF380" s="428">
        <f>CD380-CB380</f>
        <v>-1</v>
      </c>
      <c r="CG380" s="70"/>
      <c r="CH380" s="70"/>
      <c r="CI380" s="70"/>
      <c r="CJ380" s="70"/>
      <c r="CK380" s="70"/>
      <c r="CL380" s="70"/>
      <c r="CM380" s="70"/>
    </row>
    <row r="381" spans="53:91" ht="15" x14ac:dyDescent="0.2">
      <c r="BA381" s="70"/>
      <c r="BB381" s="70"/>
      <c r="BC381" s="70"/>
      <c r="BD381" s="70"/>
      <c r="BE381" s="70"/>
      <c r="BF381" s="70"/>
      <c r="BG381" s="70"/>
      <c r="BH381" s="70"/>
      <c r="BI381" s="70"/>
      <c r="BJ381" s="70"/>
      <c r="BK381" s="70"/>
      <c r="BL381" s="70"/>
      <c r="BM381" s="70"/>
      <c r="BN381" s="70"/>
      <c r="BO381" s="70"/>
      <c r="BP381" s="70"/>
      <c r="BQ381" s="70"/>
      <c r="BR381" s="70"/>
      <c r="BS381" s="70"/>
      <c r="BT381" s="70"/>
      <c r="BU381" s="70"/>
      <c r="BV381" s="70"/>
      <c r="BW381" s="70"/>
      <c r="BX381" s="439" t="s">
        <v>1944</v>
      </c>
      <c r="BY381" s="446" t="s">
        <v>26</v>
      </c>
      <c r="BZ381" s="831">
        <v>165</v>
      </c>
      <c r="CA381" s="831">
        <v>170</v>
      </c>
      <c r="CB381" s="831">
        <f>AVERAGE(BZ381:CA381)</f>
        <v>167.5</v>
      </c>
      <c r="CC381" s="445"/>
      <c r="CD381" s="642">
        <v>179</v>
      </c>
      <c r="CE381" s="428"/>
      <c r="CF381" s="428">
        <f>CD381-CB381</f>
        <v>11.5</v>
      </c>
      <c r="CG381" s="70"/>
      <c r="CH381" s="70"/>
      <c r="CI381" s="70"/>
      <c r="CJ381" s="70"/>
      <c r="CK381" s="70"/>
      <c r="CL381" s="70"/>
      <c r="CM381" s="70"/>
    </row>
    <row r="382" spans="53:91" ht="15" x14ac:dyDescent="0.2">
      <c r="BA382" s="70"/>
      <c r="BB382" s="70"/>
      <c r="BC382" s="70"/>
      <c r="BD382" s="70"/>
      <c r="BE382" s="70"/>
      <c r="BF382" s="70"/>
      <c r="BG382" s="70"/>
      <c r="BH382" s="70"/>
      <c r="BI382" s="70"/>
      <c r="BJ382" s="70"/>
      <c r="BK382" s="70"/>
      <c r="BL382" s="70"/>
      <c r="BM382" s="70"/>
      <c r="BN382" s="70"/>
      <c r="BO382" s="70"/>
      <c r="BP382" s="70"/>
      <c r="BQ382" s="70"/>
      <c r="BR382" s="70"/>
      <c r="BS382" s="70"/>
      <c r="BT382" s="70"/>
      <c r="BU382" s="70"/>
      <c r="BV382" s="70"/>
      <c r="BW382" s="70"/>
      <c r="BX382" s="444" t="s">
        <v>711</v>
      </c>
      <c r="BY382" s="445" t="s">
        <v>29</v>
      </c>
      <c r="BZ382" s="831"/>
      <c r="CA382" s="831"/>
      <c r="CB382" s="831"/>
      <c r="CC382" s="445"/>
      <c r="CD382" s="642"/>
      <c r="CE382" s="428"/>
      <c r="CF382" s="428"/>
      <c r="CG382" s="70"/>
      <c r="CH382" s="70"/>
      <c r="CI382" s="70"/>
      <c r="CJ382" s="70"/>
      <c r="CK382" s="70"/>
      <c r="CL382" s="70"/>
      <c r="CM382" s="70"/>
    </row>
    <row r="383" spans="53:91" ht="15" x14ac:dyDescent="0.2">
      <c r="BA383" s="70"/>
      <c r="BB383" s="70"/>
      <c r="BC383" s="70"/>
      <c r="BD383" s="70"/>
      <c r="BE383" s="70"/>
      <c r="BF383" s="70"/>
      <c r="BG383" s="70"/>
      <c r="BH383" s="70"/>
      <c r="BI383" s="70"/>
      <c r="BJ383" s="70"/>
      <c r="BK383" s="70"/>
      <c r="BL383" s="70"/>
      <c r="BM383" s="70"/>
      <c r="BN383" s="70"/>
      <c r="BO383" s="70"/>
      <c r="BP383" s="70"/>
      <c r="BQ383" s="70"/>
      <c r="BR383" s="70"/>
      <c r="BS383" s="70"/>
      <c r="BT383" s="70"/>
      <c r="BU383" s="70"/>
      <c r="BV383" s="70"/>
      <c r="BW383" s="70"/>
      <c r="BX383" s="444" t="s">
        <v>802</v>
      </c>
      <c r="BY383" s="445"/>
      <c r="BZ383" s="831">
        <v>40</v>
      </c>
      <c r="CA383" s="831">
        <v>45</v>
      </c>
      <c r="CB383" s="831">
        <f>AVERAGE(BZ383:CA383)</f>
        <v>42.5</v>
      </c>
      <c r="CC383" s="445"/>
      <c r="CD383" s="641">
        <v>36</v>
      </c>
      <c r="CE383" s="428"/>
      <c r="CF383" s="428">
        <f>CD383-CB383</f>
        <v>-6.5</v>
      </c>
      <c r="CG383" s="70"/>
      <c r="CH383" s="70"/>
      <c r="CI383" s="70"/>
      <c r="CJ383" s="70"/>
      <c r="CK383" s="70"/>
      <c r="CL383" s="70"/>
      <c r="CM383" s="70"/>
    </row>
    <row r="384" spans="53:91" ht="15" x14ac:dyDescent="0.2">
      <c r="BA384" s="70"/>
      <c r="BB384" s="70"/>
      <c r="BC384" s="70"/>
      <c r="BD384" s="70"/>
      <c r="BE384" s="70"/>
      <c r="BF384" s="70"/>
      <c r="BG384" s="70"/>
      <c r="BH384" s="70"/>
      <c r="BI384" s="70"/>
      <c r="BJ384" s="70"/>
      <c r="BK384" s="70"/>
      <c r="BL384" s="70"/>
      <c r="BM384" s="70"/>
      <c r="BN384" s="70"/>
      <c r="BO384" s="70"/>
      <c r="BP384" s="70"/>
      <c r="BQ384" s="70"/>
      <c r="BR384" s="70"/>
      <c r="BS384" s="70"/>
      <c r="BT384" s="70"/>
      <c r="BU384" s="70"/>
      <c r="BV384" s="70"/>
      <c r="BW384" s="70"/>
      <c r="BX384" s="444"/>
      <c r="BY384" s="445"/>
      <c r="BZ384" s="831"/>
      <c r="CA384" s="831"/>
      <c r="CB384" s="830"/>
      <c r="CC384" s="440"/>
      <c r="CD384" s="428"/>
      <c r="CE384" s="428"/>
      <c r="CF384" s="428"/>
      <c r="CG384" s="70"/>
      <c r="CH384" s="70"/>
      <c r="CI384" s="70"/>
      <c r="CJ384" s="70"/>
      <c r="CK384" s="70"/>
      <c r="CL384" s="70"/>
      <c r="CM384" s="70"/>
    </row>
    <row r="385" spans="53:91" ht="15.75" x14ac:dyDescent="0.25">
      <c r="BA385" s="70"/>
      <c r="BB385" s="70"/>
      <c r="BC385" s="70"/>
      <c r="BD385" s="70"/>
      <c r="BE385" s="70"/>
      <c r="BF385" s="70"/>
      <c r="BG385" s="70"/>
      <c r="BH385" s="70"/>
      <c r="BI385" s="70"/>
      <c r="BJ385" s="70"/>
      <c r="BK385" s="70"/>
      <c r="BL385" s="70"/>
      <c r="BM385" s="70"/>
      <c r="BN385" s="70"/>
      <c r="BO385" s="70"/>
      <c r="BP385" s="70"/>
      <c r="BQ385" s="70"/>
      <c r="BR385" s="70"/>
      <c r="BS385" s="70"/>
      <c r="BT385" s="70"/>
      <c r="BU385" s="70"/>
      <c r="BV385" s="70"/>
      <c r="BW385" s="70"/>
      <c r="BX385" s="623" t="s">
        <v>1150</v>
      </c>
      <c r="BY385" s="445"/>
      <c r="BZ385" s="831"/>
      <c r="CA385" s="831"/>
      <c r="CB385" s="830"/>
      <c r="CC385" s="440"/>
      <c r="CD385" s="428"/>
      <c r="CE385" s="428"/>
      <c r="CF385" s="428"/>
      <c r="CG385" s="70"/>
      <c r="CH385" s="70"/>
      <c r="CI385" s="70"/>
      <c r="CJ385" s="70"/>
      <c r="CK385" s="70"/>
      <c r="CL385" s="70"/>
      <c r="CM385" s="70"/>
    </row>
    <row r="386" spans="53:91" ht="15.75" x14ac:dyDescent="0.25">
      <c r="BA386" s="70"/>
      <c r="BB386" s="70"/>
      <c r="BC386" s="70"/>
      <c r="BD386" s="70"/>
      <c r="BE386" s="70"/>
      <c r="BF386" s="70"/>
      <c r="BG386" s="70"/>
      <c r="BH386" s="70"/>
      <c r="BI386" s="70"/>
      <c r="BJ386" s="70"/>
      <c r="BK386" s="70"/>
      <c r="BL386" s="70"/>
      <c r="BM386" s="70"/>
      <c r="BN386" s="70"/>
      <c r="BO386" s="70"/>
      <c r="BP386" s="70"/>
      <c r="BQ386" s="70"/>
      <c r="BR386" s="70"/>
      <c r="BS386" s="70"/>
      <c r="BT386" s="70"/>
      <c r="BU386" s="70"/>
      <c r="BV386" s="70"/>
      <c r="BW386" s="70"/>
      <c r="BX386" s="443"/>
      <c r="BY386" s="445"/>
      <c r="BZ386" s="831"/>
      <c r="CA386" s="831"/>
      <c r="CB386" s="830"/>
      <c r="CC386" s="440"/>
      <c r="CD386" s="428"/>
      <c r="CE386" s="428"/>
      <c r="CF386" s="428"/>
      <c r="CG386" s="70"/>
      <c r="CH386" s="70"/>
      <c r="CI386" s="70"/>
      <c r="CJ386" s="70"/>
      <c r="CK386" s="70"/>
      <c r="CL386" s="70"/>
      <c r="CM386" s="70"/>
    </row>
    <row r="387" spans="53:91" ht="15" x14ac:dyDescent="0.2">
      <c r="BA387" s="70"/>
      <c r="BB387" s="70"/>
      <c r="BC387" s="70"/>
      <c r="BD387" s="70"/>
      <c r="BE387" s="70"/>
      <c r="BF387" s="70"/>
      <c r="BG387" s="70"/>
      <c r="BH387" s="70"/>
      <c r="BI387" s="70"/>
      <c r="BJ387" s="70"/>
      <c r="BK387" s="70"/>
      <c r="BL387" s="70"/>
      <c r="BM387" s="70"/>
      <c r="BN387" s="70"/>
      <c r="BO387" s="70"/>
      <c r="BP387" s="70"/>
      <c r="BQ387" s="70"/>
      <c r="BR387" s="70"/>
      <c r="BS387" s="70"/>
      <c r="BT387" s="70"/>
      <c r="BU387" s="70"/>
      <c r="BV387" s="70"/>
      <c r="BW387" s="70"/>
      <c r="BX387" s="444" t="s">
        <v>1946</v>
      </c>
      <c r="BY387" s="447" t="s">
        <v>31</v>
      </c>
      <c r="BZ387" s="831">
        <v>165</v>
      </c>
      <c r="CA387" s="831">
        <v>170</v>
      </c>
      <c r="CB387" s="831">
        <f>AVERAGE(BZ387:CA387)</f>
        <v>167.5</v>
      </c>
      <c r="CC387" s="445"/>
      <c r="CD387" s="641">
        <v>170</v>
      </c>
      <c r="CE387" s="428"/>
      <c r="CF387" s="428">
        <f>CD387-CB387</f>
        <v>2.5</v>
      </c>
      <c r="CG387" s="70"/>
      <c r="CH387" s="70"/>
      <c r="CI387" s="70"/>
      <c r="CJ387" s="70"/>
      <c r="CK387" s="70"/>
      <c r="CL387" s="70"/>
      <c r="CM387" s="70"/>
    </row>
    <row r="388" spans="53:91" ht="15" x14ac:dyDescent="0.2">
      <c r="BA388" s="70"/>
      <c r="BB388" s="70"/>
      <c r="BC388" s="70"/>
      <c r="BD388" s="70"/>
      <c r="BE388" s="70"/>
      <c r="BF388" s="70"/>
      <c r="BG388" s="70"/>
      <c r="BH388" s="70"/>
      <c r="BI388" s="70"/>
      <c r="BJ388" s="70"/>
      <c r="BK388" s="70"/>
      <c r="BL388" s="70"/>
      <c r="BM388" s="70"/>
      <c r="BN388" s="70"/>
      <c r="BO388" s="70"/>
      <c r="BP388" s="70"/>
      <c r="BQ388" s="70"/>
      <c r="BR388" s="70"/>
      <c r="BS388" s="70"/>
      <c r="BT388" s="70"/>
      <c r="BU388" s="70"/>
      <c r="BV388" s="70"/>
      <c r="BW388" s="70"/>
      <c r="BX388" s="439" t="s">
        <v>33</v>
      </c>
      <c r="BY388" s="445" t="s">
        <v>34</v>
      </c>
      <c r="BZ388" s="832"/>
      <c r="CA388" s="832"/>
      <c r="CB388" s="831">
        <v>40</v>
      </c>
      <c r="CC388" s="448"/>
      <c r="CD388" s="641">
        <v>39</v>
      </c>
      <c r="CE388" s="428"/>
      <c r="CF388" s="428">
        <f>CD388-CB388</f>
        <v>-1</v>
      </c>
      <c r="CG388" s="70"/>
      <c r="CH388" s="70"/>
      <c r="CI388" s="70"/>
      <c r="CJ388" s="70"/>
      <c r="CK388" s="70"/>
      <c r="CL388" s="70"/>
      <c r="CM388" s="70"/>
    </row>
    <row r="389" spans="53:91" ht="15" x14ac:dyDescent="0.2">
      <c r="BA389" s="70"/>
      <c r="BB389" s="70"/>
      <c r="BC389" s="70"/>
      <c r="BD389" s="70"/>
      <c r="BE389" s="70"/>
      <c r="BF389" s="70"/>
      <c r="BG389" s="70"/>
      <c r="BH389" s="70"/>
      <c r="BI389" s="70"/>
      <c r="BJ389" s="70"/>
      <c r="BK389" s="70"/>
      <c r="BL389" s="70"/>
      <c r="BM389" s="70"/>
      <c r="BN389" s="70"/>
      <c r="BO389" s="70"/>
      <c r="BP389" s="70"/>
      <c r="BQ389" s="70"/>
      <c r="BR389" s="70"/>
      <c r="BS389" s="70"/>
      <c r="BT389" s="70"/>
      <c r="BU389" s="70"/>
      <c r="BV389" s="70"/>
      <c r="BW389" s="70"/>
      <c r="BX389" s="439" t="s">
        <v>1204</v>
      </c>
      <c r="BY389" s="449">
        <v>0.36</v>
      </c>
      <c r="BZ389" s="832"/>
      <c r="CA389" s="833"/>
      <c r="CB389" s="834"/>
      <c r="CC389" s="450"/>
      <c r="CD389" s="841">
        <f>49/153</f>
        <v>0.3202614379084967</v>
      </c>
      <c r="CE389" s="428"/>
      <c r="CF389" s="428"/>
      <c r="CG389" s="70"/>
      <c r="CH389" s="70"/>
      <c r="CI389" s="70"/>
      <c r="CJ389" s="70"/>
      <c r="CK389" s="70"/>
      <c r="CL389" s="70"/>
      <c r="CM389" s="70"/>
    </row>
    <row r="390" spans="53:91" ht="15" hidden="1" customHeight="1" x14ac:dyDescent="0.2">
      <c r="BA390" s="70"/>
      <c r="BB390" s="70"/>
      <c r="BC390" s="70"/>
      <c r="BD390" s="70"/>
      <c r="BE390" s="70"/>
      <c r="BF390" s="70"/>
      <c r="BG390" s="70"/>
      <c r="BH390" s="70"/>
      <c r="BI390" s="70"/>
      <c r="BJ390" s="70"/>
      <c r="BK390" s="70"/>
      <c r="BL390" s="70"/>
      <c r="BM390" s="70"/>
      <c r="BN390" s="70"/>
      <c r="BO390" s="70"/>
      <c r="BP390" s="70"/>
      <c r="BQ390" s="70"/>
      <c r="BR390" s="70"/>
      <c r="BS390" s="70"/>
      <c r="BT390" s="70"/>
      <c r="BU390" s="70"/>
      <c r="BV390" s="70"/>
      <c r="BW390" s="70"/>
      <c r="BX390" s="439" t="s">
        <v>326</v>
      </c>
      <c r="BY390" s="452">
        <v>0</v>
      </c>
      <c r="BZ390" s="832"/>
      <c r="CA390" s="832"/>
      <c r="CB390" s="831"/>
      <c r="CC390" s="448"/>
      <c r="CD390" s="428"/>
      <c r="CE390" s="428"/>
      <c r="CF390" s="428">
        <f>CD390-CB390</f>
        <v>0</v>
      </c>
      <c r="CG390" s="70"/>
      <c r="CH390" s="70"/>
      <c r="CI390" s="70"/>
      <c r="CJ390" s="70"/>
      <c r="CK390" s="70"/>
      <c r="CL390" s="70"/>
      <c r="CM390" s="70"/>
    </row>
    <row r="391" spans="53:91" ht="15" x14ac:dyDescent="0.2">
      <c r="BA391" s="70"/>
      <c r="BB391" s="70"/>
      <c r="BC391" s="70"/>
      <c r="BD391" s="70"/>
      <c r="BE391" s="70"/>
      <c r="BF391" s="70"/>
      <c r="BG391" s="70"/>
      <c r="BH391" s="70"/>
      <c r="BI391" s="70"/>
      <c r="BJ391" s="70"/>
      <c r="BK391" s="70"/>
      <c r="BL391" s="70"/>
      <c r="BM391" s="70"/>
      <c r="BN391" s="70"/>
      <c r="BO391" s="70"/>
      <c r="BP391" s="70"/>
      <c r="BQ391" s="70"/>
      <c r="BR391" s="70"/>
      <c r="BS391" s="70"/>
      <c r="BT391" s="149">
        <f>3/356.8</f>
        <v>8.4080717488789238E-3</v>
      </c>
      <c r="BU391" s="70"/>
      <c r="BV391" s="70"/>
      <c r="BW391" s="70"/>
      <c r="BX391" s="444" t="s">
        <v>338</v>
      </c>
      <c r="BY391" s="445" t="s">
        <v>35</v>
      </c>
      <c r="BZ391" s="835">
        <v>0.25</v>
      </c>
      <c r="CA391" s="835">
        <v>0.28999999999999998</v>
      </c>
      <c r="CB391" s="835">
        <f>AVERAGE(BZ391:CA391)</f>
        <v>0.27</v>
      </c>
      <c r="CC391" s="453"/>
      <c r="CD391" s="453">
        <v>0.28999999999999998</v>
      </c>
      <c r="CE391" s="428"/>
      <c r="CF391" s="454">
        <f>CD391-CB391</f>
        <v>1.9999999999999962E-2</v>
      </c>
      <c r="CG391" s="70"/>
      <c r="CH391" s="70"/>
      <c r="CI391" s="70"/>
      <c r="CJ391" s="70"/>
      <c r="CK391" s="70"/>
      <c r="CL391" s="70"/>
      <c r="CM391" s="70"/>
    </row>
    <row r="392" spans="53:91" ht="15" x14ac:dyDescent="0.2">
      <c r="BA392" s="70"/>
      <c r="BB392" s="70"/>
      <c r="BC392" s="70"/>
      <c r="BD392" s="70"/>
      <c r="BE392" s="70"/>
      <c r="BF392" s="70"/>
      <c r="BG392" s="70"/>
      <c r="BH392" s="70"/>
      <c r="BI392" s="70"/>
      <c r="BJ392" s="70"/>
      <c r="BK392" s="70"/>
      <c r="BL392" s="70"/>
      <c r="BM392" s="70"/>
      <c r="BN392" s="70"/>
      <c r="BO392" s="70"/>
      <c r="BP392" s="70"/>
      <c r="BQ392" s="70"/>
      <c r="BR392" s="70"/>
      <c r="BS392" s="70"/>
      <c r="BT392" s="70"/>
      <c r="BU392" s="70"/>
      <c r="BV392" s="70"/>
      <c r="BW392" s="70"/>
      <c r="BX392" s="444"/>
      <c r="BY392" s="445"/>
      <c r="BZ392" s="453"/>
      <c r="CA392" s="453"/>
      <c r="CB392" s="453"/>
      <c r="CC392" s="453"/>
      <c r="CD392" s="428"/>
      <c r="CE392" s="428"/>
      <c r="CF392" s="454"/>
      <c r="CG392" s="70"/>
      <c r="CH392" s="70"/>
      <c r="CI392" s="70"/>
      <c r="CJ392" s="70"/>
      <c r="CK392" s="70"/>
      <c r="CL392" s="70"/>
      <c r="CM392" s="70"/>
    </row>
    <row r="393" spans="53:91" ht="15" x14ac:dyDescent="0.2">
      <c r="BA393" s="70"/>
      <c r="BB393" s="70"/>
      <c r="BC393" s="70"/>
      <c r="BD393" s="70"/>
      <c r="BE393" s="70"/>
      <c r="BF393" s="70"/>
      <c r="BG393" s="70"/>
      <c r="BH393" s="70"/>
      <c r="BI393" s="70"/>
      <c r="BJ393" s="70"/>
      <c r="BK393" s="70"/>
      <c r="BL393" s="70"/>
      <c r="BM393" s="70"/>
      <c r="BN393" s="70"/>
      <c r="BO393" s="70"/>
      <c r="BP393" s="70"/>
      <c r="BQ393" s="70"/>
      <c r="BR393" s="70"/>
      <c r="BS393" s="70"/>
      <c r="BT393" s="70"/>
      <c r="BU393" s="70"/>
      <c r="BV393" s="70"/>
      <c r="BW393" s="70"/>
      <c r="BX393" s="444"/>
      <c r="BY393" s="445"/>
      <c r="BZ393" s="453"/>
      <c r="CA393" s="453"/>
      <c r="CB393" s="453"/>
      <c r="CC393" s="453"/>
      <c r="CD393" s="428"/>
      <c r="CE393" s="428"/>
      <c r="CF393" s="454"/>
      <c r="CG393" s="70"/>
      <c r="CH393" s="70"/>
      <c r="CI393" s="70"/>
      <c r="CJ393" s="70"/>
      <c r="CK393" s="70"/>
      <c r="CL393" s="70"/>
      <c r="CM393" s="70"/>
    </row>
    <row r="394" spans="53:91" ht="15" x14ac:dyDescent="0.2">
      <c r="BA394" s="70"/>
      <c r="BB394" s="70"/>
      <c r="BC394" s="70"/>
      <c r="BD394" s="70"/>
      <c r="BE394" s="70"/>
      <c r="BF394" s="70"/>
      <c r="BG394" s="70"/>
      <c r="BH394" s="70"/>
      <c r="BI394" s="70"/>
      <c r="BJ394" s="70"/>
      <c r="BK394" s="70"/>
      <c r="BL394" s="70"/>
      <c r="BM394" s="70"/>
      <c r="BN394" s="70"/>
      <c r="BO394" s="70"/>
      <c r="BP394" s="70"/>
      <c r="BQ394" s="70"/>
      <c r="BR394" s="70"/>
      <c r="BS394" s="70"/>
      <c r="BT394" s="70"/>
      <c r="BU394" s="70"/>
      <c r="BV394" s="70"/>
      <c r="BW394" s="70"/>
      <c r="BX394" s="444"/>
      <c r="BY394" s="445"/>
      <c r="BZ394" s="453"/>
      <c r="CA394" s="453"/>
      <c r="CB394" s="453"/>
      <c r="CC394" s="453"/>
      <c r="CD394" s="428"/>
      <c r="CE394" s="428"/>
      <c r="CF394" s="454"/>
      <c r="CG394" s="70"/>
      <c r="CH394" s="70"/>
      <c r="CI394" s="70"/>
      <c r="CJ394" s="70"/>
      <c r="CK394" s="70"/>
      <c r="CL394" s="70"/>
      <c r="CM394" s="70"/>
    </row>
    <row r="395" spans="53:91" ht="12.75" x14ac:dyDescent="0.2">
      <c r="BA395" s="70"/>
      <c r="BB395" s="70"/>
      <c r="BC395" s="70"/>
      <c r="BD395" s="70"/>
      <c r="BE395" s="70"/>
      <c r="BF395" s="70"/>
      <c r="BG395" s="70"/>
      <c r="BH395" s="70"/>
      <c r="BI395" s="70"/>
      <c r="BJ395" s="70"/>
      <c r="BK395" s="70"/>
      <c r="BL395" s="70"/>
      <c r="BM395" s="70"/>
      <c r="BN395" s="70"/>
      <c r="BO395" s="70"/>
      <c r="BP395" s="70"/>
      <c r="BQ395" s="70"/>
      <c r="BR395" s="70"/>
      <c r="BS395" s="70"/>
      <c r="BT395" s="70"/>
      <c r="BU395" s="70"/>
      <c r="BV395" s="70"/>
      <c r="BW395" s="70"/>
      <c r="BX395" s="70"/>
      <c r="BY395" s="70"/>
      <c r="BZ395" s="70"/>
      <c r="CA395" s="70"/>
      <c r="CB395" s="70"/>
      <c r="CC395" s="70"/>
      <c r="CD395" s="70"/>
      <c r="CE395" s="70"/>
      <c r="CF395" s="70"/>
      <c r="CG395" s="70"/>
      <c r="CH395" s="70"/>
      <c r="CI395" s="70"/>
      <c r="CJ395" s="70"/>
      <c r="CK395" s="70"/>
      <c r="CL395" s="70"/>
      <c r="CM395" s="70"/>
    </row>
    <row r="396" spans="53:91" ht="3" customHeight="1" x14ac:dyDescent="0.2">
      <c r="BA396" s="70"/>
      <c r="BB396" s="70"/>
      <c r="BC396" s="70"/>
      <c r="BD396" s="70"/>
      <c r="BE396" s="70"/>
      <c r="BF396" s="70"/>
      <c r="BG396" s="70"/>
      <c r="BH396" s="70"/>
      <c r="BI396" s="70"/>
      <c r="BJ396" s="70"/>
      <c r="BK396" s="70"/>
      <c r="BL396" s="70"/>
      <c r="BM396" s="70"/>
      <c r="BN396" s="70"/>
      <c r="BO396" s="70"/>
      <c r="BP396" s="70"/>
      <c r="BQ396" s="70"/>
      <c r="BR396" s="70"/>
      <c r="BS396" s="70"/>
      <c r="BT396" s="70"/>
      <c r="BU396" s="70"/>
      <c r="BV396" s="70"/>
      <c r="BW396" s="70"/>
      <c r="BX396" s="70"/>
      <c r="BY396" s="70"/>
      <c r="BZ396" s="70"/>
      <c r="CA396" s="70"/>
      <c r="CB396" s="70"/>
      <c r="CC396" s="70"/>
      <c r="CD396" s="70"/>
      <c r="CE396" s="70"/>
      <c r="CF396" s="70"/>
      <c r="CG396" s="70"/>
      <c r="CH396" s="70"/>
      <c r="CI396" s="70"/>
      <c r="CJ396" s="70"/>
      <c r="CK396" s="70"/>
      <c r="CL396" s="70"/>
      <c r="CM396" s="70"/>
    </row>
    <row r="397" spans="53:91" ht="12.75" x14ac:dyDescent="0.2">
      <c r="BA397" s="70"/>
      <c r="BB397" s="70"/>
      <c r="BC397" s="70"/>
      <c r="BD397" s="70"/>
      <c r="BE397" s="70"/>
      <c r="BF397" s="70"/>
      <c r="BG397" s="70"/>
      <c r="BH397" s="70"/>
      <c r="BI397" s="70"/>
      <c r="BJ397" s="70"/>
      <c r="BK397" s="70"/>
      <c r="BL397" s="70"/>
      <c r="BM397" s="70"/>
      <c r="BN397" s="70"/>
      <c r="BO397" s="70"/>
      <c r="BP397" s="70"/>
      <c r="BQ397" s="70"/>
      <c r="BR397" s="70"/>
      <c r="BS397" s="70"/>
      <c r="BT397" s="70"/>
      <c r="BU397" s="70"/>
      <c r="BV397" s="70"/>
      <c r="BW397" s="70"/>
      <c r="BX397" s="70"/>
      <c r="BY397" s="70"/>
      <c r="BZ397" s="70"/>
      <c r="CA397" s="70"/>
      <c r="CB397" s="70"/>
      <c r="CC397" s="70"/>
      <c r="CD397" s="70"/>
      <c r="CE397" s="70"/>
      <c r="CF397" s="70"/>
      <c r="CG397" s="70"/>
      <c r="CH397" s="199" t="s">
        <v>621</v>
      </c>
      <c r="CI397" s="70"/>
      <c r="CJ397" s="70"/>
      <c r="CK397" s="70"/>
      <c r="CL397" s="70"/>
      <c r="CM397" s="70"/>
    </row>
    <row r="398" spans="53:91" ht="12.75" x14ac:dyDescent="0.2">
      <c r="BA398" s="70"/>
      <c r="BB398" s="70"/>
      <c r="BC398" s="70"/>
      <c r="BD398" s="70"/>
      <c r="BE398" s="70"/>
      <c r="BF398" s="70"/>
      <c r="BG398" s="70"/>
      <c r="BH398" s="70"/>
      <c r="BI398" s="70"/>
      <c r="BJ398" s="70"/>
      <c r="BK398" s="70"/>
      <c r="BL398" s="70"/>
      <c r="BM398" s="70"/>
      <c r="BN398" s="70"/>
      <c r="BO398" s="70"/>
      <c r="BP398" s="70"/>
      <c r="BQ398" s="70"/>
      <c r="BR398" s="70"/>
      <c r="BS398" s="70"/>
      <c r="BT398" s="70"/>
      <c r="BU398" s="70"/>
      <c r="BV398" s="70"/>
      <c r="BW398" s="70"/>
      <c r="BX398" s="70"/>
      <c r="BY398" s="70"/>
      <c r="BZ398" s="70"/>
      <c r="CA398" s="70"/>
      <c r="CB398" s="70"/>
      <c r="CC398" s="70"/>
      <c r="CD398" s="70"/>
      <c r="CE398" s="70"/>
      <c r="CF398" s="70"/>
      <c r="CG398" s="70"/>
      <c r="CH398" s="199"/>
      <c r="CI398" s="70"/>
      <c r="CJ398" s="70"/>
      <c r="CK398" s="70"/>
      <c r="CL398" s="70"/>
      <c r="CM398" s="70"/>
    </row>
    <row r="399" spans="53:91" ht="12.75" x14ac:dyDescent="0.2">
      <c r="BA399" s="70"/>
      <c r="BB399" s="70"/>
      <c r="BC399" s="70"/>
      <c r="BD399" s="70"/>
      <c r="BE399" s="70"/>
      <c r="BF399" s="70"/>
      <c r="BG399" s="70"/>
      <c r="BH399" s="70"/>
      <c r="BI399" s="70"/>
      <c r="BJ399" s="70"/>
      <c r="BK399" s="70"/>
      <c r="BL399" s="70"/>
      <c r="BM399" s="70"/>
      <c r="BN399" s="70"/>
      <c r="BO399" s="70"/>
      <c r="BP399" s="70"/>
      <c r="BQ399" s="70"/>
      <c r="BR399" s="70"/>
      <c r="BS399" s="70"/>
      <c r="BT399" s="70"/>
      <c r="BU399" s="70"/>
      <c r="BV399" s="70"/>
      <c r="BW399" s="70"/>
      <c r="BX399" s="70"/>
      <c r="BY399" s="70"/>
      <c r="BZ399" s="70"/>
      <c r="CA399" s="70"/>
      <c r="CB399" s="70"/>
      <c r="CC399" s="70"/>
      <c r="CD399" s="70"/>
      <c r="CE399" s="70"/>
      <c r="CF399" s="70"/>
      <c r="CG399" s="70"/>
      <c r="CH399" s="70"/>
      <c r="CI399" s="70"/>
      <c r="CJ399" s="70"/>
      <c r="CK399" s="70"/>
      <c r="CL399" s="70"/>
      <c r="CM399" s="70"/>
    </row>
    <row r="400" spans="53:91" ht="12.75" x14ac:dyDescent="0.2">
      <c r="BA400" s="70"/>
      <c r="BB400" s="70"/>
      <c r="BC400" s="70"/>
      <c r="BD400" s="70"/>
      <c r="BE400" s="70"/>
      <c r="BF400" s="70"/>
      <c r="BG400" s="70"/>
      <c r="BH400" s="70"/>
      <c r="BI400" s="70"/>
      <c r="BJ400" s="70"/>
      <c r="BK400" s="70"/>
      <c r="BL400" s="70"/>
      <c r="BM400" s="70"/>
      <c r="BN400" s="70"/>
      <c r="BO400" s="70"/>
      <c r="BP400" s="70"/>
      <c r="BQ400" s="70"/>
      <c r="BR400" s="70"/>
      <c r="BS400" s="70"/>
      <c r="BT400" s="70"/>
      <c r="BU400" s="70"/>
      <c r="BV400" s="70"/>
      <c r="BW400" s="70"/>
      <c r="BX400" s="70"/>
      <c r="BY400" s="70"/>
      <c r="BZ400" s="70"/>
      <c r="CA400" s="70"/>
      <c r="CB400" s="70"/>
      <c r="CC400" s="70"/>
      <c r="CD400" s="70"/>
      <c r="CE400" s="70"/>
      <c r="CF400" s="70"/>
      <c r="CG400" s="70"/>
      <c r="CH400" s="546" t="s">
        <v>1932</v>
      </c>
      <c r="CI400" s="70"/>
      <c r="CJ400" s="70"/>
      <c r="CK400" s="70"/>
      <c r="CL400" s="70"/>
      <c r="CM400" s="70"/>
    </row>
    <row r="401" spans="53:110" ht="3.75" customHeight="1" x14ac:dyDescent="0.2">
      <c r="BA401" s="70"/>
      <c r="BB401" s="70"/>
      <c r="BC401" s="70"/>
      <c r="BD401" s="70"/>
      <c r="BE401" s="70"/>
      <c r="BF401" s="70"/>
      <c r="BG401" s="70"/>
      <c r="BH401" s="70"/>
      <c r="BI401" s="70"/>
      <c r="BJ401" s="70"/>
      <c r="BK401" s="70"/>
      <c r="BL401" s="70"/>
      <c r="BM401" s="70"/>
      <c r="BN401" s="70"/>
      <c r="BO401" s="70"/>
      <c r="BP401" s="70"/>
      <c r="BQ401" s="70"/>
      <c r="BR401" s="70"/>
      <c r="BS401" s="70"/>
      <c r="BT401" s="70"/>
      <c r="BU401" s="70"/>
      <c r="BV401" s="70"/>
      <c r="BW401" s="70"/>
      <c r="BX401" s="70"/>
      <c r="BY401" s="70"/>
      <c r="BZ401" s="70"/>
      <c r="CA401" s="70"/>
      <c r="CB401" s="70"/>
      <c r="CC401" s="70"/>
      <c r="CD401" s="70"/>
      <c r="CE401" s="70"/>
      <c r="CF401" s="70"/>
      <c r="CG401" s="70"/>
      <c r="CH401" s="546"/>
      <c r="CI401" s="70"/>
      <c r="CJ401" s="70"/>
      <c r="CK401" s="70"/>
      <c r="CL401" s="70"/>
      <c r="CM401" s="70"/>
    </row>
    <row r="402" spans="53:110" ht="12.75" x14ac:dyDescent="0.2">
      <c r="BA402" s="70"/>
      <c r="BB402" s="70"/>
      <c r="BC402" s="70"/>
      <c r="BD402" s="70"/>
      <c r="BE402" s="70"/>
      <c r="BF402" s="70"/>
      <c r="BG402" s="70"/>
      <c r="BH402" s="70"/>
      <c r="BI402" s="70"/>
      <c r="BJ402" s="70"/>
      <c r="BK402" s="70"/>
      <c r="BL402" s="70"/>
      <c r="BM402" s="70"/>
      <c r="BN402" s="70"/>
      <c r="BO402" s="70"/>
      <c r="BP402" s="70"/>
      <c r="BQ402" s="70"/>
      <c r="BR402" s="70"/>
      <c r="BS402" s="70"/>
      <c r="BT402" s="70"/>
      <c r="BU402" s="70"/>
      <c r="BV402" s="70"/>
      <c r="BW402" s="70"/>
      <c r="BX402" s="70"/>
      <c r="BY402" s="70"/>
      <c r="BZ402" s="70"/>
      <c r="CA402" s="70"/>
      <c r="CB402" s="70"/>
      <c r="CC402" s="70"/>
      <c r="CD402" s="70"/>
      <c r="CE402" s="70"/>
      <c r="CF402" s="70"/>
      <c r="CG402" s="70"/>
      <c r="CH402" s="70"/>
      <c r="CI402" s="554" t="s">
        <v>1322</v>
      </c>
      <c r="CJ402" s="555"/>
      <c r="CK402" s="550"/>
      <c r="CL402" s="554" t="s">
        <v>1323</v>
      </c>
      <c r="CM402" s="200"/>
    </row>
    <row r="403" spans="53:110" ht="12.75" x14ac:dyDescent="0.2">
      <c r="BA403" s="70"/>
      <c r="BB403" s="70"/>
      <c r="BC403" s="70"/>
      <c r="BD403" s="70"/>
      <c r="BE403" s="70"/>
      <c r="BF403" s="70"/>
      <c r="BG403" s="70"/>
      <c r="BH403" s="70"/>
      <c r="BI403" s="70"/>
      <c r="BJ403" s="70"/>
      <c r="BK403" s="70"/>
      <c r="BL403" s="70"/>
      <c r="BM403" s="70"/>
      <c r="BN403" s="70"/>
      <c r="BO403" s="70"/>
      <c r="BP403" s="70"/>
      <c r="BQ403" s="70"/>
      <c r="BR403" s="70"/>
      <c r="BS403" s="70"/>
      <c r="BT403" s="70"/>
      <c r="BU403" s="70"/>
      <c r="BV403" s="70"/>
      <c r="BW403" s="70"/>
      <c r="BX403" s="70"/>
      <c r="BY403" s="70"/>
      <c r="BZ403" s="70"/>
      <c r="CA403" s="70"/>
      <c r="CB403" s="70"/>
      <c r="CC403" s="70"/>
      <c r="CD403" s="70"/>
      <c r="CE403" s="70"/>
      <c r="CF403" s="70"/>
      <c r="CG403" s="70"/>
      <c r="CH403" s="70"/>
      <c r="CI403" s="558" t="s">
        <v>12</v>
      </c>
      <c r="CJ403" s="551" t="s">
        <v>11</v>
      </c>
      <c r="CK403" s="70"/>
      <c r="CL403" s="558" t="s">
        <v>12</v>
      </c>
      <c r="CM403" s="551" t="s">
        <v>11</v>
      </c>
    </row>
    <row r="404" spans="53:110" ht="5.0999999999999996" customHeight="1" x14ac:dyDescent="0.2">
      <c r="BA404" s="70"/>
      <c r="BB404" s="70"/>
      <c r="BC404" s="70"/>
      <c r="BD404" s="70"/>
      <c r="BE404" s="70"/>
      <c r="BF404" s="70"/>
      <c r="BG404" s="70"/>
      <c r="BH404" s="70"/>
      <c r="BI404" s="70"/>
      <c r="BJ404" s="70"/>
      <c r="BK404" s="70"/>
      <c r="BL404" s="70"/>
      <c r="BM404" s="70"/>
      <c r="BN404" s="70"/>
      <c r="BO404" s="70"/>
      <c r="BP404" s="70"/>
      <c r="BQ404" s="70"/>
      <c r="BR404" s="70"/>
      <c r="BS404" s="70"/>
      <c r="BT404" s="70"/>
      <c r="BU404" s="70"/>
      <c r="BV404" s="70"/>
      <c r="BW404" s="70"/>
      <c r="BX404" s="70"/>
      <c r="BY404" s="70"/>
      <c r="BZ404" s="70"/>
      <c r="CA404" s="70"/>
      <c r="CB404" s="70"/>
      <c r="CC404" s="70"/>
      <c r="CD404" s="70"/>
      <c r="CE404" s="70"/>
      <c r="CF404" s="70"/>
      <c r="CG404" s="70"/>
      <c r="CH404" s="70"/>
      <c r="CI404" s="194"/>
      <c r="CJ404" s="70"/>
      <c r="CK404" s="70"/>
      <c r="CL404" s="194"/>
      <c r="CM404" s="70"/>
    </row>
    <row r="405" spans="53:110" ht="12.75" x14ac:dyDescent="0.2">
      <c r="BA405" s="70"/>
      <c r="BB405" s="70"/>
      <c r="BC405" s="70"/>
      <c r="BD405" s="70"/>
      <c r="BE405" s="70"/>
      <c r="BF405" s="70"/>
      <c r="BG405" s="70"/>
      <c r="BH405" s="70"/>
      <c r="BI405" s="70"/>
      <c r="BJ405" s="70"/>
      <c r="BK405" s="70"/>
      <c r="BL405" s="70"/>
      <c r="BM405" s="70"/>
      <c r="BN405" s="70"/>
      <c r="BO405" s="70"/>
      <c r="BP405" s="70"/>
      <c r="BQ405" s="70"/>
      <c r="BR405" s="70"/>
      <c r="BS405" s="70"/>
      <c r="BT405" s="70"/>
      <c r="BU405" s="70"/>
      <c r="BV405" s="70"/>
      <c r="BW405" s="70"/>
      <c r="BX405" s="70"/>
      <c r="BY405" s="70"/>
      <c r="BZ405" s="70"/>
      <c r="CA405" s="70"/>
      <c r="CB405" s="70"/>
      <c r="CC405" s="70"/>
      <c r="CD405" s="70"/>
      <c r="CE405" s="70"/>
      <c r="CF405" s="70"/>
      <c r="CG405" s="70"/>
      <c r="CH405" s="70" t="s">
        <v>1395</v>
      </c>
      <c r="CI405" s="559">
        <f>MAR!BP14</f>
        <v>11233</v>
      </c>
      <c r="CJ405" s="556">
        <v>3817</v>
      </c>
      <c r="CK405" s="70"/>
      <c r="CL405" s="559">
        <f>MAR!BU14</f>
        <v>11814</v>
      </c>
      <c r="CM405" s="556">
        <v>4095</v>
      </c>
    </row>
    <row r="406" spans="53:110" ht="12.75" x14ac:dyDescent="0.2">
      <c r="BA406" s="70"/>
      <c r="BB406" s="70"/>
      <c r="BC406" s="70"/>
      <c r="BD406" s="70"/>
      <c r="BE406" s="70"/>
      <c r="BF406" s="70"/>
      <c r="BG406" s="70"/>
      <c r="BH406" s="70"/>
      <c r="BI406" s="70"/>
      <c r="BJ406" s="70"/>
      <c r="BK406" s="70"/>
      <c r="BL406" s="70"/>
      <c r="BM406" s="70"/>
      <c r="BN406" s="70"/>
      <c r="BO406" s="70"/>
      <c r="BP406" s="70"/>
      <c r="BQ406" s="70"/>
      <c r="BR406" s="70"/>
      <c r="BS406" s="70"/>
      <c r="BT406" s="70"/>
      <c r="BU406" s="70"/>
      <c r="BV406" s="70"/>
      <c r="BW406" s="70"/>
      <c r="BX406" s="70"/>
      <c r="BY406" s="70"/>
      <c r="BZ406" s="70"/>
      <c r="CA406" s="70"/>
      <c r="CB406" s="70"/>
      <c r="CC406" s="70"/>
      <c r="CD406" s="70"/>
      <c r="CE406" s="70"/>
      <c r="CF406" s="70"/>
      <c r="CG406" s="70"/>
      <c r="CH406" s="70"/>
      <c r="CI406" s="559"/>
      <c r="CJ406" s="556"/>
      <c r="CK406" s="70"/>
      <c r="CL406" s="559"/>
      <c r="CM406" s="556"/>
    </row>
    <row r="407" spans="53:110" ht="12.75" x14ac:dyDescent="0.2">
      <c r="BA407" s="70"/>
      <c r="BB407" s="70"/>
      <c r="BC407" s="70"/>
      <c r="BD407" s="70"/>
      <c r="BE407" s="70"/>
      <c r="BF407" s="70"/>
      <c r="BG407" s="70"/>
      <c r="BH407" s="70"/>
      <c r="BI407" s="70"/>
      <c r="BJ407" s="70"/>
      <c r="BK407" s="70"/>
      <c r="BL407" s="70"/>
      <c r="BM407" s="70"/>
      <c r="BN407" s="70"/>
      <c r="BO407" s="70"/>
      <c r="BP407" s="70"/>
      <c r="BQ407" s="70"/>
      <c r="BR407" s="70"/>
      <c r="BS407" s="70"/>
      <c r="BT407" s="70"/>
      <c r="BU407" s="70"/>
      <c r="BV407" s="70"/>
      <c r="BW407" s="70"/>
      <c r="BX407" s="70"/>
      <c r="BY407" s="70"/>
      <c r="BZ407" s="70"/>
      <c r="CA407" s="70"/>
      <c r="CB407" s="70"/>
      <c r="CC407" s="70"/>
      <c r="CD407" s="70"/>
      <c r="CE407" s="70"/>
      <c r="CF407" s="70"/>
      <c r="CG407" s="70"/>
      <c r="CH407" s="70" t="s">
        <v>1863</v>
      </c>
      <c r="CI407" s="194">
        <f>MAR!BP84</f>
        <v>992</v>
      </c>
      <c r="CJ407" s="70">
        <v>1196</v>
      </c>
      <c r="CK407" s="70"/>
      <c r="CL407" s="194">
        <f>MAR!BU84</f>
        <v>1151.8599999999999</v>
      </c>
      <c r="CM407" s="556">
        <v>1465</v>
      </c>
    </row>
    <row r="408" spans="53:110" ht="12.75" x14ac:dyDescent="0.2">
      <c r="BA408" s="70"/>
      <c r="BB408" s="70"/>
      <c r="BC408" s="70"/>
      <c r="BD408" s="70"/>
      <c r="BE408" s="70"/>
      <c r="BF408" s="70"/>
      <c r="BG408" s="70"/>
      <c r="BH408" s="70"/>
      <c r="BI408" s="70"/>
      <c r="BJ408" s="70"/>
      <c r="BK408" s="70"/>
      <c r="BL408" s="70"/>
      <c r="BM408" s="70"/>
      <c r="BN408" s="70"/>
      <c r="BO408" s="70"/>
      <c r="BP408" s="70"/>
      <c r="BQ408" s="70"/>
      <c r="BR408" s="70"/>
      <c r="BS408" s="70"/>
      <c r="BT408" s="70"/>
      <c r="BU408" s="70"/>
      <c r="BV408" s="70"/>
      <c r="BW408" s="70"/>
      <c r="BX408" s="70"/>
      <c r="BY408" s="70"/>
      <c r="BZ408" s="70"/>
      <c r="CA408" s="70"/>
      <c r="CB408" s="70"/>
      <c r="CC408" s="70"/>
      <c r="CD408" s="70"/>
      <c r="CE408" s="70"/>
      <c r="CF408" s="70"/>
      <c r="CG408" s="70"/>
      <c r="CH408" s="70"/>
      <c r="CI408" s="194"/>
      <c r="CJ408" s="70"/>
      <c r="CK408" s="70"/>
      <c r="CL408" s="194"/>
      <c r="CM408" s="70"/>
    </row>
    <row r="409" spans="53:110" ht="12.75" x14ac:dyDescent="0.2">
      <c r="BA409" s="70"/>
      <c r="BB409" s="70"/>
      <c r="BC409" s="70"/>
      <c r="BD409" s="70"/>
      <c r="BE409" s="70"/>
      <c r="BF409" s="70"/>
      <c r="BG409" s="70"/>
      <c r="BH409" s="70"/>
      <c r="BI409" s="70"/>
      <c r="BJ409" s="70"/>
      <c r="BK409" s="70"/>
      <c r="BL409" s="70"/>
      <c r="BM409" s="70"/>
      <c r="BN409" s="70"/>
      <c r="BO409" s="70"/>
      <c r="BP409" s="70"/>
      <c r="BQ409" s="70"/>
      <c r="BR409" s="70"/>
      <c r="BS409" s="70"/>
      <c r="BT409" s="70"/>
      <c r="BU409" s="70"/>
      <c r="BV409" s="70"/>
      <c r="BW409" s="70"/>
      <c r="BX409" s="70"/>
      <c r="BY409" s="70"/>
      <c r="BZ409" s="70"/>
      <c r="CA409" s="70"/>
      <c r="CB409" s="70"/>
      <c r="CC409" s="70"/>
      <c r="CD409" s="70"/>
      <c r="CE409" s="70"/>
      <c r="CF409" s="70"/>
      <c r="CG409" s="70"/>
      <c r="CH409" s="70" t="s">
        <v>1296</v>
      </c>
      <c r="CI409" s="194"/>
      <c r="CJ409" s="70">
        <v>533</v>
      </c>
      <c r="CK409" s="70"/>
      <c r="CL409" s="194"/>
      <c r="CM409" s="70">
        <v>692</v>
      </c>
    </row>
    <row r="410" spans="53:110" ht="12.75" x14ac:dyDescent="0.2">
      <c r="BA410" s="70"/>
      <c r="BB410" s="70"/>
      <c r="BC410" s="70"/>
      <c r="BD410" s="70"/>
      <c r="BE410" s="70"/>
      <c r="BF410" s="70"/>
      <c r="BG410" s="70"/>
      <c r="BH410" s="70"/>
      <c r="BI410" s="70"/>
      <c r="BJ410" s="70"/>
      <c r="BK410" s="70"/>
      <c r="BL410" s="70"/>
      <c r="BM410" s="70"/>
      <c r="BN410" s="70"/>
      <c r="BO410" s="70"/>
      <c r="BP410" s="70"/>
      <c r="BQ410" s="70"/>
      <c r="BR410" s="70"/>
      <c r="BS410" s="70"/>
      <c r="BT410" s="70"/>
      <c r="BU410" s="70"/>
      <c r="BV410" s="70"/>
      <c r="BW410" s="70"/>
      <c r="BX410" s="70"/>
      <c r="BY410" s="70"/>
      <c r="BZ410" s="70"/>
      <c r="CA410" s="70"/>
      <c r="CB410" s="70"/>
      <c r="CC410" s="70"/>
      <c r="CD410" s="70"/>
      <c r="CE410" s="70"/>
      <c r="CF410" s="70"/>
      <c r="CG410" s="70"/>
      <c r="CH410" s="70"/>
      <c r="CI410" s="194"/>
      <c r="CJ410" s="70"/>
      <c r="CK410" s="70"/>
      <c r="CL410" s="194"/>
      <c r="CM410" s="70"/>
    </row>
    <row r="411" spans="53:110" ht="12.75" x14ac:dyDescent="0.2">
      <c r="BA411" s="70"/>
      <c r="BB411" s="70"/>
      <c r="BC411" s="70"/>
      <c r="BD411" s="70"/>
      <c r="BE411" s="70"/>
      <c r="BF411" s="70"/>
      <c r="BG411" s="70"/>
      <c r="BH411" s="70"/>
      <c r="BI411" s="70"/>
      <c r="BJ411" s="70"/>
      <c r="BK411" s="70"/>
      <c r="BL411" s="70"/>
      <c r="BM411" s="70"/>
      <c r="BN411" s="70"/>
      <c r="BO411" s="70"/>
      <c r="BP411" s="70"/>
      <c r="BQ411" s="70"/>
      <c r="BR411" s="70"/>
      <c r="BS411" s="70"/>
      <c r="BT411" s="70"/>
      <c r="BU411" s="70"/>
      <c r="BV411" s="70"/>
      <c r="BW411" s="70"/>
      <c r="BX411" s="70"/>
      <c r="BY411" s="70"/>
      <c r="BZ411" s="70"/>
      <c r="CA411" s="70"/>
      <c r="CB411" s="70"/>
      <c r="CC411" s="70"/>
      <c r="CD411" s="70"/>
      <c r="CE411" s="70"/>
      <c r="CF411" s="70"/>
      <c r="CG411" s="70"/>
      <c r="CH411" s="70" t="s">
        <v>1253</v>
      </c>
      <c r="CI411" s="560"/>
      <c r="CJ411" s="557">
        <v>1.44</v>
      </c>
      <c r="CK411" s="70"/>
      <c r="CL411" s="560"/>
      <c r="CM411" s="557">
        <v>1.92</v>
      </c>
    </row>
    <row r="412" spans="53:110" ht="3" customHeight="1" x14ac:dyDescent="0.2"/>
    <row r="413" spans="53:110" ht="3" customHeight="1" x14ac:dyDescent="0.2"/>
    <row r="415" spans="53:110" ht="12.75" x14ac:dyDescent="0.2">
      <c r="CP415" s="549" t="s">
        <v>1145</v>
      </c>
      <c r="CQ415" s="70"/>
      <c r="CR415" s="70"/>
      <c r="CS415" s="70"/>
      <c r="CT415" s="70"/>
      <c r="CU415" s="70"/>
      <c r="CV415" s="70"/>
      <c r="CW415" s="70"/>
      <c r="CX415" s="70"/>
      <c r="CY415" s="70"/>
      <c r="CZ415" s="70"/>
      <c r="DA415" s="70"/>
      <c r="DB415" s="70"/>
      <c r="DC415" s="70"/>
      <c r="DD415" s="70"/>
      <c r="DE415" s="70"/>
      <c r="DF415" s="70"/>
    </row>
    <row r="416" spans="53:110" ht="12.75" x14ac:dyDescent="0.2">
      <c r="CP416" s="247"/>
      <c r="CQ416" s="70"/>
      <c r="CR416" s="70"/>
      <c r="CS416" s="70"/>
      <c r="CT416" s="70"/>
      <c r="CU416" s="70"/>
      <c r="CV416" s="70"/>
      <c r="CW416" s="70"/>
      <c r="CX416" s="70"/>
      <c r="CY416" s="70"/>
      <c r="CZ416" s="70"/>
      <c r="DA416" s="70"/>
      <c r="DB416" s="70"/>
      <c r="DC416" s="70"/>
      <c r="DD416" s="70"/>
      <c r="DE416" s="70"/>
      <c r="DF416" s="70"/>
    </row>
    <row r="417" spans="94:110" ht="13.5" thickBot="1" x14ac:dyDescent="0.25">
      <c r="CP417" s="394" t="s">
        <v>731</v>
      </c>
      <c r="CQ417" s="390"/>
      <c r="CR417" s="390"/>
      <c r="CS417" s="390"/>
      <c r="CT417" s="395"/>
      <c r="CU417" s="395"/>
      <c r="CV417" s="395"/>
      <c r="CW417" s="390"/>
      <c r="CX417" s="390"/>
      <c r="CY417" s="390"/>
      <c r="CZ417" s="390"/>
      <c r="DA417" s="390"/>
      <c r="DB417" s="390"/>
      <c r="DC417" s="390"/>
      <c r="DD417" s="390"/>
      <c r="DE417" s="390"/>
      <c r="DF417" s="390"/>
    </row>
    <row r="418" spans="94:110" ht="12.75" x14ac:dyDescent="0.2">
      <c r="CP418" s="394"/>
      <c r="CQ418" s="1125" t="s">
        <v>850</v>
      </c>
      <c r="CR418" s="1125"/>
      <c r="CS418" s="390"/>
      <c r="CT418" s="1125" t="s">
        <v>851</v>
      </c>
      <c r="CU418" s="1125"/>
      <c r="CV418" s="395"/>
      <c r="CW418" s="1125" t="s">
        <v>644</v>
      </c>
      <c r="CX418" s="1125"/>
      <c r="CY418" s="621"/>
      <c r="CZ418" s="1125" t="s">
        <v>288</v>
      </c>
      <c r="DA418" s="1125"/>
      <c r="DB418" s="621"/>
      <c r="DC418" s="1125" t="s">
        <v>1543</v>
      </c>
      <c r="DD418" s="1125"/>
      <c r="DE418" s="621"/>
      <c r="DF418" s="412" t="s">
        <v>1142</v>
      </c>
    </row>
    <row r="419" spans="94:110" ht="12.75" x14ac:dyDescent="0.2">
      <c r="CP419" s="394"/>
      <c r="CQ419" s="404" t="s">
        <v>573</v>
      </c>
      <c r="CR419" s="404" t="s">
        <v>574</v>
      </c>
      <c r="CS419" s="390"/>
      <c r="CT419" s="404" t="s">
        <v>573</v>
      </c>
      <c r="CU419" s="404" t="s">
        <v>574</v>
      </c>
      <c r="CV419" s="390"/>
      <c r="CW419" s="404" t="s">
        <v>573</v>
      </c>
      <c r="CX419" s="404" t="s">
        <v>574</v>
      </c>
      <c r="CY419" s="390"/>
      <c r="CZ419" s="404" t="s">
        <v>573</v>
      </c>
      <c r="DA419" s="404" t="s">
        <v>574</v>
      </c>
      <c r="DB419" s="390"/>
      <c r="DC419" s="404" t="s">
        <v>573</v>
      </c>
      <c r="DD419" s="404" t="s">
        <v>574</v>
      </c>
      <c r="DE419" s="390"/>
      <c r="DF419" s="561" t="s">
        <v>1732</v>
      </c>
    </row>
    <row r="420" spans="94:110" ht="12.75" x14ac:dyDescent="0.2">
      <c r="CP420" s="394" t="s">
        <v>373</v>
      </c>
      <c r="CQ420" s="390"/>
      <c r="CR420" s="390"/>
      <c r="CS420" s="390"/>
      <c r="CT420" s="390"/>
      <c r="CU420" s="390"/>
      <c r="CV420" s="390"/>
      <c r="CW420" s="390"/>
      <c r="CX420" s="390"/>
      <c r="CY420" s="390"/>
      <c r="CZ420" s="390"/>
      <c r="DA420" s="390"/>
      <c r="DB420" s="390"/>
      <c r="DC420" s="390"/>
      <c r="DD420" s="390"/>
      <c r="DE420" s="390"/>
      <c r="DF420" s="562"/>
    </row>
    <row r="421" spans="94:110" ht="12.75" x14ac:dyDescent="0.2">
      <c r="CP421" s="213" t="s">
        <v>1941</v>
      </c>
      <c r="CQ421" s="231"/>
      <c r="CR421" s="231"/>
      <c r="CS421" s="231"/>
      <c r="CT421" s="393"/>
      <c r="CU421" s="393"/>
      <c r="CV421" s="405"/>
      <c r="CW421" s="393"/>
      <c r="CX421" s="393"/>
      <c r="CY421" s="405"/>
      <c r="CZ421" s="393">
        <v>0.06</v>
      </c>
      <c r="DA421" s="393">
        <v>0.08</v>
      </c>
      <c r="DB421" s="405"/>
      <c r="DC421" s="405"/>
      <c r="DD421" s="405"/>
      <c r="DE421" s="405"/>
      <c r="DF421" s="837"/>
    </row>
    <row r="422" spans="94:110" ht="12.75" x14ac:dyDescent="0.2">
      <c r="CP422" s="392" t="s">
        <v>1309</v>
      </c>
      <c r="CQ422" s="231"/>
      <c r="CR422" s="231"/>
      <c r="CS422" s="231"/>
      <c r="CT422" s="393"/>
      <c r="CU422" s="393"/>
      <c r="CV422" s="406"/>
      <c r="CW422" s="393"/>
      <c r="CX422" s="393"/>
      <c r="CY422" s="405"/>
      <c r="CZ422" s="393">
        <v>0.06</v>
      </c>
      <c r="DA422" s="393">
        <v>0.08</v>
      </c>
      <c r="DB422" s="405"/>
      <c r="DC422" s="405"/>
      <c r="DD422" s="405"/>
      <c r="DE422" s="405"/>
      <c r="DF422" s="837"/>
    </row>
    <row r="423" spans="94:110" ht="12.75" x14ac:dyDescent="0.2">
      <c r="CP423" s="392" t="s">
        <v>2036</v>
      </c>
      <c r="CQ423" s="231"/>
      <c r="CR423" s="231"/>
      <c r="CS423" s="231"/>
      <c r="CT423" s="393"/>
      <c r="CU423" s="393"/>
      <c r="CV423" s="406"/>
      <c r="CW423" s="393"/>
      <c r="CX423" s="393"/>
      <c r="CY423" s="405"/>
      <c r="CZ423" s="393">
        <v>0.05</v>
      </c>
      <c r="DA423" s="393">
        <v>7.0000000000000007E-2</v>
      </c>
      <c r="DB423" s="405"/>
      <c r="DC423" s="405"/>
      <c r="DD423" s="405"/>
      <c r="DE423" s="405"/>
      <c r="DF423" s="837"/>
    </row>
    <row r="424" spans="94:110" ht="12.75" x14ac:dyDescent="0.2">
      <c r="CP424" s="392"/>
      <c r="CQ424" s="231"/>
      <c r="CR424" s="231"/>
      <c r="CS424" s="231"/>
      <c r="CT424" s="393"/>
      <c r="CU424" s="393"/>
      <c r="CV424" s="406"/>
      <c r="CW424" s="393"/>
      <c r="CX424" s="393"/>
      <c r="CY424" s="405"/>
      <c r="CZ424" s="393"/>
      <c r="DA424" s="393"/>
      <c r="DB424" s="405"/>
      <c r="DC424" s="405"/>
      <c r="DD424" s="405"/>
      <c r="DE424" s="405"/>
      <c r="DF424" s="838"/>
    </row>
    <row r="425" spans="94:110" ht="12.75" x14ac:dyDescent="0.2">
      <c r="CP425" s="636" t="s">
        <v>1395</v>
      </c>
      <c r="CQ425" s="388"/>
      <c r="CR425" s="388"/>
      <c r="CS425" s="388"/>
      <c r="CT425" s="407"/>
      <c r="CU425" s="407"/>
      <c r="CV425" s="407"/>
      <c r="CW425" s="407"/>
      <c r="CX425" s="407"/>
      <c r="CY425" s="407"/>
      <c r="CZ425" s="407"/>
      <c r="DA425" s="407"/>
      <c r="DB425" s="407"/>
      <c r="DC425" s="407"/>
      <c r="DD425" s="407"/>
      <c r="DE425" s="407"/>
      <c r="DF425" s="838"/>
    </row>
    <row r="426" spans="94:110" ht="12.75" x14ac:dyDescent="0.2">
      <c r="CP426" s="213" t="s">
        <v>1943</v>
      </c>
      <c r="CQ426" s="371"/>
      <c r="CR426" s="371"/>
      <c r="CS426" s="371"/>
      <c r="CT426" s="398"/>
      <c r="CU426" s="398"/>
      <c r="CV426" s="408"/>
      <c r="CW426" s="398"/>
      <c r="CX426" s="398"/>
      <c r="CY426" s="409"/>
      <c r="CZ426" s="408">
        <v>1410</v>
      </c>
      <c r="DA426" s="408">
        <v>1440</v>
      </c>
      <c r="DB426" s="409"/>
      <c r="DC426" s="408"/>
      <c r="DD426" s="408"/>
      <c r="DE426" s="409"/>
      <c r="DF426" s="839"/>
    </row>
    <row r="427" spans="94:110" ht="12.75" x14ac:dyDescent="0.2">
      <c r="CP427" s="369" t="s">
        <v>1920</v>
      </c>
      <c r="CQ427" s="393"/>
      <c r="CR427" s="393"/>
      <c r="CS427" s="371"/>
      <c r="CT427" s="398"/>
      <c r="CU427" s="398"/>
      <c r="CV427" s="398"/>
      <c r="CW427" s="398"/>
      <c r="CX427" s="398"/>
      <c r="CY427" s="409"/>
      <c r="CZ427" s="408">
        <v>155</v>
      </c>
      <c r="DA427" s="408">
        <v>165</v>
      </c>
      <c r="DB427" s="409"/>
      <c r="DC427" s="3948"/>
      <c r="DD427" s="3948"/>
      <c r="DE427" s="409"/>
      <c r="DF427" s="839"/>
    </row>
    <row r="428" spans="94:110" ht="12.75" x14ac:dyDescent="0.2">
      <c r="CP428" s="369"/>
      <c r="CQ428" s="388"/>
      <c r="CR428" s="388"/>
      <c r="CS428" s="388"/>
      <c r="CT428" s="400"/>
      <c r="CU428" s="400"/>
      <c r="CV428" s="400"/>
      <c r="CW428" s="400"/>
      <c r="CX428" s="400"/>
      <c r="CY428" s="407"/>
      <c r="CZ428" s="625"/>
      <c r="DA428" s="625"/>
      <c r="DB428" s="407"/>
      <c r="DC428" s="625"/>
      <c r="DD428" s="625"/>
      <c r="DE428" s="407"/>
      <c r="DF428" s="839"/>
    </row>
    <row r="429" spans="94:110" ht="12.75" x14ac:dyDescent="0.2">
      <c r="CP429" s="230" t="s">
        <v>1931</v>
      </c>
      <c r="CQ429" s="372"/>
      <c r="CR429" s="372"/>
      <c r="CS429" s="372"/>
      <c r="CT429" s="397"/>
      <c r="CU429" s="397"/>
      <c r="CV429" s="401"/>
      <c r="CW429" s="397"/>
      <c r="CX429" s="397"/>
      <c r="CY429" s="410"/>
      <c r="CZ429" s="626"/>
      <c r="DA429" s="626"/>
      <c r="DB429" s="410"/>
      <c r="DC429" s="626"/>
      <c r="DD429" s="626"/>
      <c r="DE429" s="410"/>
      <c r="DF429" s="839"/>
    </row>
    <row r="430" spans="94:110" ht="12.75" x14ac:dyDescent="0.2">
      <c r="CP430" s="369" t="s">
        <v>1946</v>
      </c>
      <c r="CQ430" s="393"/>
      <c r="CR430" s="393"/>
      <c r="CS430" s="371"/>
      <c r="CT430" s="398"/>
      <c r="CU430" s="398"/>
      <c r="CV430" s="398"/>
      <c r="CW430" s="398"/>
      <c r="CX430" s="398"/>
      <c r="CY430" s="409"/>
      <c r="CZ430" s="408">
        <v>660</v>
      </c>
      <c r="DA430" s="408">
        <v>670</v>
      </c>
      <c r="DB430" s="409"/>
      <c r="DC430" s="408"/>
      <c r="DD430" s="408"/>
      <c r="DE430" s="409"/>
      <c r="DF430" s="839"/>
    </row>
    <row r="431" spans="94:110" ht="12.75" x14ac:dyDescent="0.2">
      <c r="CP431" s="213" t="s">
        <v>337</v>
      </c>
      <c r="CQ431" s="371"/>
      <c r="CR431" s="371"/>
      <c r="CS431" s="371"/>
      <c r="CT431" s="391"/>
      <c r="CU431" s="391"/>
      <c r="CV431" s="399"/>
      <c r="CW431" s="391"/>
      <c r="CX431" s="391"/>
      <c r="CY431" s="409"/>
      <c r="CZ431" s="391">
        <v>20000</v>
      </c>
      <c r="DA431" s="391">
        <v>25000</v>
      </c>
      <c r="DB431" s="409"/>
      <c r="DC431" s="391"/>
      <c r="DD431" s="391"/>
      <c r="DE431" s="409"/>
      <c r="DF431" s="839"/>
    </row>
    <row r="432" spans="94:110" ht="12.75" x14ac:dyDescent="0.2">
      <c r="CP432" s="213" t="s">
        <v>1343</v>
      </c>
      <c r="CQ432" s="371"/>
      <c r="CR432" s="371"/>
      <c r="CS432" s="371"/>
      <c r="CT432" s="391"/>
      <c r="CU432" s="391"/>
      <c r="CV432" s="399"/>
      <c r="CW432" s="391"/>
      <c r="CX432" s="391"/>
      <c r="CY432" s="409"/>
      <c r="CZ432" s="408">
        <v>895</v>
      </c>
      <c r="DA432" s="408">
        <v>945</v>
      </c>
      <c r="DB432" s="409"/>
      <c r="DC432" s="408"/>
      <c r="DD432" s="408"/>
      <c r="DE432" s="409"/>
      <c r="DF432" s="839"/>
    </row>
    <row r="433" spans="94:110" ht="12.75" x14ac:dyDescent="0.2">
      <c r="CP433" s="213" t="s">
        <v>1863</v>
      </c>
      <c r="CQ433" s="388"/>
      <c r="CR433" s="388"/>
      <c r="CS433" s="388"/>
      <c r="CT433" s="398"/>
      <c r="CU433" s="398"/>
      <c r="CV433" s="388"/>
      <c r="CW433" s="398"/>
      <c r="CX433" s="398"/>
      <c r="CY433" s="407"/>
      <c r="CZ433" s="1745">
        <v>1135</v>
      </c>
      <c r="DA433" s="1745">
        <v>1180</v>
      </c>
      <c r="DB433" s="407"/>
      <c r="DC433" s="408"/>
      <c r="DD433" s="408"/>
      <c r="DE433" s="407"/>
      <c r="DF433" s="839"/>
    </row>
    <row r="434" spans="94:110" ht="12.75" x14ac:dyDescent="0.2">
      <c r="CP434" s="213"/>
      <c r="CQ434" s="389"/>
      <c r="CR434" s="389"/>
      <c r="CS434" s="389"/>
      <c r="CT434" s="402"/>
      <c r="CU434" s="371"/>
      <c r="CV434" s="371"/>
      <c r="CW434" s="402"/>
      <c r="CX434" s="371"/>
      <c r="CY434" s="409"/>
      <c r="CZ434" s="627"/>
      <c r="DA434" s="409"/>
      <c r="DB434" s="409"/>
      <c r="DC434" s="627"/>
      <c r="DD434" s="409"/>
      <c r="DE434" s="409"/>
      <c r="DF434" s="838"/>
    </row>
    <row r="435" spans="94:110" ht="12.75" x14ac:dyDescent="0.2">
      <c r="CP435" s="213" t="s">
        <v>1204</v>
      </c>
      <c r="CQ435" s="389"/>
      <c r="CR435" s="389"/>
      <c r="CS435" s="389"/>
      <c r="CT435" s="397"/>
      <c r="CU435" s="396"/>
      <c r="CV435" s="396"/>
      <c r="CW435" s="397"/>
      <c r="CX435" s="396"/>
      <c r="CY435" s="410"/>
      <c r="CZ435" s="626">
        <v>0.33</v>
      </c>
      <c r="DA435" s="628"/>
      <c r="DB435" s="410"/>
      <c r="DC435" s="626"/>
      <c r="DD435" s="628"/>
      <c r="DE435" s="410"/>
      <c r="DF435" s="838"/>
    </row>
    <row r="436" spans="94:110" ht="13.5" thickBot="1" x14ac:dyDescent="0.25">
      <c r="CP436" s="369" t="s">
        <v>338</v>
      </c>
      <c r="CQ436" s="389"/>
      <c r="CR436" s="389"/>
      <c r="CS436" s="389"/>
      <c r="CT436" s="403"/>
      <c r="CU436" s="403"/>
      <c r="CV436" s="371"/>
      <c r="CW436" s="403"/>
      <c r="CX436" s="403"/>
      <c r="CY436" s="409"/>
      <c r="CZ436" s="629">
        <v>1.65</v>
      </c>
      <c r="DA436" s="629">
        <v>1.75</v>
      </c>
      <c r="DB436" s="409"/>
      <c r="DC436" s="629"/>
      <c r="DD436" s="629"/>
      <c r="DE436" s="409"/>
      <c r="DF436" s="840"/>
    </row>
  </sheetData>
  <mergeCells count="4">
    <mergeCell ref="C4:D4"/>
    <mergeCell ref="AV230:AW230"/>
    <mergeCell ref="AV255:AW255"/>
    <mergeCell ref="DC427:DD427"/>
  </mergeCells>
  <phoneticPr fontId="0" type="noConversion"/>
  <pageMargins left="0.75" right="0.75" top="1" bottom="1" header="0.5" footer="0.5"/>
  <pageSetup scale="33" orientation="landscape" r:id="rId1"/>
  <headerFooter alignWithMargins="0"/>
  <colBreaks count="1" manualBreakCount="1">
    <brk id="15" min="31" max="156" man="1"/>
  </colBreaks>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02"/>
  <sheetViews>
    <sheetView zoomScale="85" workbookViewId="0"/>
  </sheetViews>
  <sheetFormatPr defaultRowHeight="12.75" x14ac:dyDescent="0.2"/>
  <cols>
    <col min="1" max="1" width="48.83203125" style="70" customWidth="1"/>
    <col min="2" max="2" width="9.33203125" style="70"/>
    <col min="3" max="6" width="13.6640625" style="70" bestFit="1" customWidth="1"/>
    <col min="7" max="7" width="9.33203125" style="70"/>
    <col min="8" max="8" width="77.33203125" style="70" customWidth="1"/>
    <col min="9" max="9" width="1.1640625" style="70" customWidth="1"/>
    <col min="10" max="10" width="40.5" style="70" customWidth="1"/>
    <col min="11" max="15" width="9.83203125" style="70" customWidth="1"/>
    <col min="16" max="16" width="1.5" style="70" customWidth="1"/>
    <col min="17" max="17" width="35.1640625" style="70" customWidth="1"/>
    <col min="18" max="18" width="14.1640625" style="70" customWidth="1"/>
    <col min="19" max="16384" width="9.33203125" style="70"/>
  </cols>
  <sheetData>
    <row r="1" spans="1:8" x14ac:dyDescent="0.2">
      <c r="A1" s="199" t="s">
        <v>1792</v>
      </c>
    </row>
    <row r="2" spans="1:8" x14ac:dyDescent="0.2">
      <c r="A2" s="247" t="s">
        <v>280</v>
      </c>
    </row>
    <row r="4" spans="1:8" x14ac:dyDescent="0.2">
      <c r="A4" s="195"/>
      <c r="B4" s="335" t="s">
        <v>1322</v>
      </c>
      <c r="C4" s="335" t="s">
        <v>1323</v>
      </c>
      <c r="D4" s="335" t="s">
        <v>1324</v>
      </c>
      <c r="E4" s="335" t="s">
        <v>1325</v>
      </c>
      <c r="F4" s="335" t="s">
        <v>1326</v>
      </c>
      <c r="H4" s="609" t="s">
        <v>1446</v>
      </c>
    </row>
    <row r="5" spans="1:8" x14ac:dyDescent="0.2">
      <c r="A5" s="199" t="s">
        <v>1801</v>
      </c>
    </row>
    <row r="6" spans="1:8" x14ac:dyDescent="0.2">
      <c r="A6" s="70" t="s">
        <v>1343</v>
      </c>
      <c r="B6" s="186">
        <f>+MAR!BP33</f>
        <v>804</v>
      </c>
      <c r="C6" s="186">
        <f>+MAR!BU33</f>
        <v>940</v>
      </c>
      <c r="D6" s="186">
        <f>+MAR!BZ33</f>
        <v>988</v>
      </c>
      <c r="E6" s="186">
        <f>+MAR!CE33</f>
        <v>1159</v>
      </c>
      <c r="F6" s="186">
        <f>+MAR!CJ33</f>
        <v>1350</v>
      </c>
    </row>
    <row r="7" spans="1:8" x14ac:dyDescent="0.2">
      <c r="A7" s="70" t="s">
        <v>545</v>
      </c>
      <c r="B7" s="186"/>
      <c r="C7" s="1040">
        <v>112</v>
      </c>
      <c r="D7" s="1040">
        <v>107</v>
      </c>
      <c r="E7" s="1040">
        <v>103</v>
      </c>
      <c r="F7" s="1040">
        <v>100</v>
      </c>
      <c r="H7" s="70" t="s">
        <v>237</v>
      </c>
    </row>
    <row r="8" spans="1:8" x14ac:dyDescent="0.2">
      <c r="A8" s="70" t="s">
        <v>544</v>
      </c>
      <c r="B8" s="186"/>
      <c r="C8" s="1114">
        <f>+C46*0.02</f>
        <v>0</v>
      </c>
      <c r="D8" s="1114">
        <f>SUM(C46:D46)*0.02</f>
        <v>0</v>
      </c>
      <c r="E8" s="1114">
        <f>SUM(C46:E46)*0.02</f>
        <v>0</v>
      </c>
      <c r="F8" s="1114">
        <f>SUM(C46:F46)*0.02</f>
        <v>0</v>
      </c>
      <c r="H8" s="70" t="s">
        <v>548</v>
      </c>
    </row>
    <row r="9" spans="1:8" x14ac:dyDescent="0.2">
      <c r="A9" s="70" t="s">
        <v>546</v>
      </c>
      <c r="B9" s="186"/>
      <c r="C9" s="186">
        <f>+C6-C7-C8</f>
        <v>828</v>
      </c>
      <c r="D9" s="186">
        <f>+D6-D7-D8</f>
        <v>881</v>
      </c>
      <c r="E9" s="186">
        <f>+E6-E7-E8</f>
        <v>1056</v>
      </c>
      <c r="F9" s="186">
        <f>+F6-F7-F8</f>
        <v>1250</v>
      </c>
    </row>
    <row r="10" spans="1:8" x14ac:dyDescent="0.2">
      <c r="A10" s="70" t="s">
        <v>1829</v>
      </c>
      <c r="B10" s="187"/>
      <c r="C10" s="1114">
        <f>-C9*0.35</f>
        <v>-289.79999999999995</v>
      </c>
      <c r="D10" s="1114">
        <f>-D9*0.35</f>
        <v>-308.34999999999997</v>
      </c>
      <c r="E10" s="1114">
        <f>-E9*0.35</f>
        <v>-369.59999999999997</v>
      </c>
      <c r="F10" s="1114">
        <f>-F9*0.35</f>
        <v>-437.5</v>
      </c>
      <c r="H10" s="70" t="s">
        <v>238</v>
      </c>
    </row>
    <row r="11" spans="1:8" x14ac:dyDescent="0.2">
      <c r="A11" s="199" t="s">
        <v>1296</v>
      </c>
      <c r="B11" s="1017"/>
      <c r="C11" s="1017">
        <f>+SUM(C9:C10)</f>
        <v>538.20000000000005</v>
      </c>
      <c r="D11" s="1017">
        <f>+SUM(D9:D10)</f>
        <v>572.65000000000009</v>
      </c>
      <c r="E11" s="1017">
        <f>+SUM(E9:E10)</f>
        <v>686.40000000000009</v>
      </c>
      <c r="F11" s="1017">
        <f>+SUM(F9:F10)</f>
        <v>812.5</v>
      </c>
    </row>
    <row r="12" spans="1:8" x14ac:dyDescent="0.2">
      <c r="B12" s="186"/>
      <c r="C12" s="186"/>
      <c r="D12" s="186"/>
      <c r="E12" s="186"/>
      <c r="F12" s="186"/>
    </row>
    <row r="13" spans="1:8" x14ac:dyDescent="0.2">
      <c r="A13" s="70" t="s">
        <v>1798</v>
      </c>
      <c r="B13" s="186"/>
      <c r="C13" s="186">
        <f>+MAR!BU698</f>
        <v>145</v>
      </c>
      <c r="D13" s="186">
        <f>+MAR!BZ698</f>
        <v>127</v>
      </c>
      <c r="E13" s="186">
        <f>+MAR!CE698</f>
        <v>148</v>
      </c>
      <c r="F13" s="186">
        <f>+MAR!CJ698</f>
        <v>139</v>
      </c>
    </row>
    <row r="14" spans="1:8" x14ac:dyDescent="0.2">
      <c r="A14" s="70" t="s">
        <v>1799</v>
      </c>
      <c r="B14" s="186"/>
      <c r="C14" s="1040">
        <v>100</v>
      </c>
      <c r="D14" s="1040">
        <v>110</v>
      </c>
      <c r="E14" s="1040">
        <v>120</v>
      </c>
      <c r="F14" s="1040">
        <v>130</v>
      </c>
    </row>
    <row r="15" spans="1:8" x14ac:dyDescent="0.2">
      <c r="A15" s="70" t="s">
        <v>543</v>
      </c>
      <c r="B15" s="186"/>
      <c r="C15" s="1114">
        <f>+C46*0.025</f>
        <v>0</v>
      </c>
      <c r="D15" s="1114">
        <f>SUM(C46:D46)*0.025</f>
        <v>0</v>
      </c>
      <c r="E15" s="1114">
        <f>SUM(C46:E46)*0.025</f>
        <v>0</v>
      </c>
      <c r="F15" s="1114">
        <f>SUM(C46:F46)*0.025</f>
        <v>0</v>
      </c>
    </row>
    <row r="16" spans="1:8" s="199" customFormat="1" x14ac:dyDescent="0.2">
      <c r="A16" s="199" t="s">
        <v>1800</v>
      </c>
      <c r="B16" s="1017"/>
      <c r="C16" s="1017">
        <f>+SUM(C11:C15)</f>
        <v>783.2</v>
      </c>
      <c r="D16" s="1017">
        <f>+SUM(D11:D15)</f>
        <v>809.65000000000009</v>
      </c>
      <c r="E16" s="1017">
        <f>+SUM(E11:E15)</f>
        <v>954.40000000000009</v>
      </c>
      <c r="F16" s="1017">
        <f>+SUM(F11:F15)</f>
        <v>1081.5</v>
      </c>
    </row>
    <row r="17" spans="1:6" s="199" customFormat="1" x14ac:dyDescent="0.2">
      <c r="B17" s="1017"/>
      <c r="C17" s="1017"/>
      <c r="D17" s="1017"/>
      <c r="E17" s="1017"/>
      <c r="F17" s="1017"/>
    </row>
    <row r="18" spans="1:6" s="199" customFormat="1" x14ac:dyDescent="0.2">
      <c r="A18" s="199" t="s">
        <v>1802</v>
      </c>
      <c r="B18" s="186"/>
      <c r="C18" s="186"/>
      <c r="D18" s="186"/>
      <c r="E18" s="186"/>
      <c r="F18" s="186"/>
    </row>
    <row r="19" spans="1:6" s="199" customFormat="1" x14ac:dyDescent="0.2">
      <c r="A19" s="868" t="s">
        <v>1194</v>
      </c>
      <c r="B19" s="186"/>
      <c r="C19" s="186">
        <f>+MAR!BU657</f>
        <v>-437</v>
      </c>
      <c r="D19" s="1040">
        <v>-300</v>
      </c>
      <c r="E19" s="1040">
        <v>-300</v>
      </c>
      <c r="F19" s="1040">
        <v>-300</v>
      </c>
    </row>
    <row r="20" spans="1:6" s="199" customFormat="1" x14ac:dyDescent="0.2">
      <c r="A20" s="868" t="s">
        <v>1918</v>
      </c>
      <c r="B20" s="186"/>
      <c r="C20" s="186">
        <f>+MAR!BU658</f>
        <v>-253</v>
      </c>
      <c r="D20" s="186">
        <f>+MAR!BZ658</f>
        <v>-61</v>
      </c>
      <c r="E20" s="186">
        <f>+MAR!CE658</f>
        <v>-65</v>
      </c>
      <c r="F20" s="186">
        <f>+MAR!CJ658</f>
        <v>-121</v>
      </c>
    </row>
    <row r="21" spans="1:6" s="199" customFormat="1" x14ac:dyDescent="0.2">
      <c r="A21" s="868" t="s">
        <v>15</v>
      </c>
      <c r="B21" s="186"/>
      <c r="C21" s="186">
        <f>+MAR!BU659</f>
        <v>-15</v>
      </c>
      <c r="D21" s="186">
        <f>+MAR!BZ659</f>
        <v>-16</v>
      </c>
      <c r="E21" s="186">
        <f>+MAR!CE659</f>
        <v>-6</v>
      </c>
      <c r="F21" s="186">
        <f>+MAR!CJ659</f>
        <v>-7</v>
      </c>
    </row>
    <row r="22" spans="1:6" s="199" customFormat="1" x14ac:dyDescent="0.2">
      <c r="A22" s="868" t="s">
        <v>1372</v>
      </c>
      <c r="B22" s="186"/>
      <c r="C22" s="187">
        <f>+MAR!BU660</f>
        <v>-17</v>
      </c>
      <c r="D22" s="187">
        <f>+MAR!BZ660</f>
        <v>-7</v>
      </c>
      <c r="E22" s="187">
        <f>+MAR!CE660</f>
        <v>-103</v>
      </c>
      <c r="F22" s="187">
        <f>+MAR!CJ660</f>
        <v>-66</v>
      </c>
    </row>
    <row r="23" spans="1:6" s="199" customFormat="1" x14ac:dyDescent="0.2">
      <c r="A23" s="199" t="s">
        <v>1803</v>
      </c>
      <c r="B23" s="1017"/>
      <c r="C23" s="1017">
        <f>+SUM(C19:C22)</f>
        <v>-722</v>
      </c>
      <c r="D23" s="1017">
        <f>+SUM(D19:D22)</f>
        <v>-384</v>
      </c>
      <c r="E23" s="1017">
        <f>+SUM(E19:E22)</f>
        <v>-474</v>
      </c>
      <c r="F23" s="1017">
        <f>+SUM(F19:F22)</f>
        <v>-494</v>
      </c>
    </row>
    <row r="24" spans="1:6" s="199" customFormat="1" x14ac:dyDescent="0.2">
      <c r="A24" s="301" t="s">
        <v>1804</v>
      </c>
      <c r="B24" s="1017"/>
      <c r="C24" s="187">
        <f>-C22*0.75</f>
        <v>12.75</v>
      </c>
      <c r="D24" s="187">
        <f>-D22*0.75</f>
        <v>5.25</v>
      </c>
      <c r="E24" s="187">
        <f>-E22*0.75</f>
        <v>77.25</v>
      </c>
      <c r="F24" s="187">
        <f>-F22*0.75</f>
        <v>49.5</v>
      </c>
    </row>
    <row r="25" spans="1:6" s="199" customFormat="1" x14ac:dyDescent="0.2">
      <c r="A25" s="199" t="s">
        <v>2095</v>
      </c>
      <c r="B25" s="1017"/>
      <c r="C25" s="1017">
        <f>+SUM(C23:C24)</f>
        <v>-709.25</v>
      </c>
      <c r="D25" s="1017">
        <f>+SUM(D23:D24)</f>
        <v>-378.75</v>
      </c>
      <c r="E25" s="1017">
        <f>+SUM(E23:E24)</f>
        <v>-396.75</v>
      </c>
      <c r="F25" s="1017">
        <f>+SUM(F23:F24)</f>
        <v>-444.5</v>
      </c>
    </row>
    <row r="26" spans="1:6" s="199" customFormat="1" x14ac:dyDescent="0.2">
      <c r="B26" s="1017"/>
      <c r="C26" s="1017"/>
      <c r="D26" s="1017"/>
      <c r="E26" s="1017"/>
      <c r="F26" s="1017"/>
    </row>
    <row r="27" spans="1:6" s="199" customFormat="1" x14ac:dyDescent="0.2">
      <c r="A27" s="254" t="s">
        <v>535</v>
      </c>
      <c r="B27" s="938"/>
      <c r="C27" s="938">
        <f>+C16+C25</f>
        <v>73.950000000000045</v>
      </c>
      <c r="D27" s="938">
        <f>+D16+D25</f>
        <v>430.90000000000009</v>
      </c>
      <c r="E27" s="938">
        <f>+E16+E25</f>
        <v>557.65000000000009</v>
      </c>
      <c r="F27" s="1117">
        <f>+F16+F25</f>
        <v>637</v>
      </c>
    </row>
    <row r="28" spans="1:6" s="199" customFormat="1" x14ac:dyDescent="0.2">
      <c r="B28" s="1017"/>
      <c r="C28" s="1017"/>
      <c r="D28" s="1017"/>
      <c r="E28" s="1017"/>
      <c r="F28" s="1017"/>
    </row>
    <row r="29" spans="1:6" s="199" customFormat="1" x14ac:dyDescent="0.2">
      <c r="A29" s="70" t="s">
        <v>541</v>
      </c>
      <c r="B29" s="1017"/>
      <c r="C29" s="186">
        <f>+C46</f>
        <v>0</v>
      </c>
      <c r="D29" s="186">
        <f>+D46</f>
        <v>0</v>
      </c>
      <c r="E29" s="186">
        <f>+E46</f>
        <v>0</v>
      </c>
      <c r="F29" s="186">
        <f>+F46</f>
        <v>0</v>
      </c>
    </row>
    <row r="30" spans="1:6" s="199" customFormat="1" x14ac:dyDescent="0.2">
      <c r="A30" s="70" t="s">
        <v>813</v>
      </c>
      <c r="B30" s="1017"/>
      <c r="C30" s="1040">
        <v>0</v>
      </c>
      <c r="D30" s="1040">
        <v>0</v>
      </c>
      <c r="E30" s="1040">
        <v>0</v>
      </c>
      <c r="F30" s="1040">
        <v>0</v>
      </c>
    </row>
    <row r="31" spans="1:6" s="199" customFormat="1" x14ac:dyDescent="0.2">
      <c r="A31" s="1122" t="s">
        <v>281</v>
      </c>
      <c r="B31" s="1123"/>
      <c r="C31" s="1124"/>
      <c r="D31" s="1124"/>
      <c r="E31" s="1124"/>
      <c r="F31" s="1124"/>
    </row>
    <row r="32" spans="1:6" s="199" customFormat="1" x14ac:dyDescent="0.2">
      <c r="A32" s="70"/>
      <c r="B32" s="1017"/>
      <c r="C32" s="186"/>
      <c r="D32" s="186"/>
      <c r="E32" s="186"/>
      <c r="F32" s="186"/>
    </row>
    <row r="33" spans="1:8" s="199" customFormat="1" x14ac:dyDescent="0.2">
      <c r="A33" s="254" t="s">
        <v>542</v>
      </c>
      <c r="B33" s="938"/>
      <c r="C33" s="938">
        <f>+C29+C27+C30</f>
        <v>73.950000000000045</v>
      </c>
      <c r="D33" s="938">
        <f>+D29+D27+D30</f>
        <v>430.90000000000009</v>
      </c>
      <c r="E33" s="938">
        <f>+E29+E27+E30</f>
        <v>557.65000000000009</v>
      </c>
      <c r="F33" s="1117">
        <f>+F29+F27+F30</f>
        <v>637</v>
      </c>
    </row>
    <row r="34" spans="1:8" s="199" customFormat="1" x14ac:dyDescent="0.2">
      <c r="B34" s="1017"/>
      <c r="C34" s="1017"/>
      <c r="D34" s="1017"/>
      <c r="E34" s="1017"/>
      <c r="F34" s="1017"/>
    </row>
    <row r="35" spans="1:8" s="199" customFormat="1" x14ac:dyDescent="0.2">
      <c r="A35" s="199" t="s">
        <v>275</v>
      </c>
      <c r="B35" s="70"/>
      <c r="C35" s="70"/>
      <c r="D35" s="70"/>
      <c r="E35" s="70"/>
      <c r="F35" s="70"/>
      <c r="G35" s="70"/>
      <c r="H35" s="70"/>
    </row>
    <row r="36" spans="1:8" s="199" customFormat="1" x14ac:dyDescent="0.2">
      <c r="A36" s="70" t="s">
        <v>1793</v>
      </c>
      <c r="B36" s="70"/>
      <c r="C36" s="1040">
        <v>20</v>
      </c>
      <c r="D36" s="1040">
        <v>25</v>
      </c>
      <c r="E36" s="1040">
        <v>24</v>
      </c>
      <c r="F36" s="1040">
        <v>22.5</v>
      </c>
      <c r="G36" s="70"/>
      <c r="H36" s="70"/>
    </row>
    <row r="37" spans="1:8" s="199" customFormat="1" x14ac:dyDescent="0.2">
      <c r="A37" s="70" t="s">
        <v>1794</v>
      </c>
      <c r="B37" s="70"/>
      <c r="C37" s="1040">
        <v>36</v>
      </c>
      <c r="D37" s="1040">
        <v>40</v>
      </c>
      <c r="E37" s="1040">
        <v>45</v>
      </c>
      <c r="F37" s="1040">
        <v>50</v>
      </c>
      <c r="G37" s="70"/>
      <c r="H37" s="70"/>
    </row>
    <row r="38" spans="1:8" s="199" customFormat="1" x14ac:dyDescent="0.2">
      <c r="A38" s="254" t="s">
        <v>1795</v>
      </c>
      <c r="B38" s="1118"/>
      <c r="C38" s="1118">
        <f>+C36*C37</f>
        <v>720</v>
      </c>
      <c r="D38" s="1118">
        <f>+D36*D37</f>
        <v>1000</v>
      </c>
      <c r="E38" s="1118">
        <f>+E36*E37</f>
        <v>1080</v>
      </c>
      <c r="F38" s="1119">
        <f>+F36*F37</f>
        <v>1125</v>
      </c>
      <c r="G38" s="70"/>
      <c r="H38" s="70" t="s">
        <v>276</v>
      </c>
    </row>
    <row r="39" spans="1:8" s="199" customFormat="1" x14ac:dyDescent="0.2">
      <c r="A39" s="70"/>
      <c r="B39" s="70"/>
      <c r="C39" s="70"/>
      <c r="D39" s="70"/>
      <c r="E39" s="70"/>
      <c r="F39" s="70"/>
      <c r="G39" s="70"/>
      <c r="H39" s="70"/>
    </row>
    <row r="40" spans="1:8" s="199" customFormat="1" x14ac:dyDescent="0.2">
      <c r="A40" s="70" t="s">
        <v>1796</v>
      </c>
      <c r="B40" s="1040">
        <v>4</v>
      </c>
      <c r="C40" s="1040">
        <v>4</v>
      </c>
      <c r="D40" s="1040">
        <v>4</v>
      </c>
      <c r="E40" s="1040">
        <v>4</v>
      </c>
      <c r="F40" s="1040">
        <v>4</v>
      </c>
      <c r="G40" s="70"/>
      <c r="H40" s="70"/>
    </row>
    <row r="41" spans="1:8" s="199" customFormat="1" x14ac:dyDescent="0.2">
      <c r="A41" s="70" t="s">
        <v>547</v>
      </c>
      <c r="B41" s="70"/>
      <c r="C41" s="186">
        <f>+C36-C40</f>
        <v>16</v>
      </c>
      <c r="D41" s="186">
        <f>+D36-D40</f>
        <v>21</v>
      </c>
      <c r="E41" s="186">
        <f>+E36-E40</f>
        <v>20</v>
      </c>
      <c r="F41" s="186">
        <f>+F36-F40</f>
        <v>18.5</v>
      </c>
      <c r="G41" s="70"/>
      <c r="H41" s="70"/>
    </row>
    <row r="42" spans="1:8" s="199" customFormat="1" x14ac:dyDescent="0.2">
      <c r="B42" s="1017"/>
      <c r="C42" s="1017"/>
      <c r="D42" s="1017"/>
      <c r="E42" s="1017"/>
      <c r="F42" s="1017"/>
    </row>
    <row r="43" spans="1:8" s="199" customFormat="1" x14ac:dyDescent="0.2">
      <c r="A43" s="199" t="s">
        <v>536</v>
      </c>
      <c r="B43" s="1017"/>
      <c r="C43" s="1017"/>
      <c r="D43" s="1017"/>
      <c r="E43" s="1017"/>
      <c r="F43" s="1017"/>
    </row>
    <row r="44" spans="1:8" s="199" customFormat="1" x14ac:dyDescent="0.2">
      <c r="A44" s="70" t="s">
        <v>791</v>
      </c>
      <c r="B44" s="1040">
        <v>100</v>
      </c>
      <c r="C44" s="1017"/>
      <c r="D44" s="1017"/>
      <c r="E44" s="1017"/>
      <c r="F44" s="1017"/>
    </row>
    <row r="45" spans="1:8" s="199" customFormat="1" x14ac:dyDescent="0.2">
      <c r="A45" s="70" t="s">
        <v>538</v>
      </c>
      <c r="B45" s="186">
        <f>+MAR!BQ798</f>
        <v>2527</v>
      </c>
      <c r="C45" s="186">
        <f>+B45</f>
        <v>2527</v>
      </c>
      <c r="D45" s="186">
        <f>+C47</f>
        <v>2527</v>
      </c>
      <c r="E45" s="186">
        <f>+D47</f>
        <v>2527</v>
      </c>
      <c r="F45" s="186">
        <f>+E47</f>
        <v>2527</v>
      </c>
    </row>
    <row r="46" spans="1:8" s="199" customFormat="1" x14ac:dyDescent="0.2">
      <c r="A46" s="70" t="s">
        <v>539</v>
      </c>
      <c r="B46" s="186"/>
      <c r="C46" s="1040">
        <v>0</v>
      </c>
      <c r="D46" s="1040">
        <v>0</v>
      </c>
      <c r="E46" s="1040">
        <v>0</v>
      </c>
      <c r="F46" s="1040">
        <v>0</v>
      </c>
    </row>
    <row r="47" spans="1:8" s="199" customFormat="1" x14ac:dyDescent="0.2">
      <c r="A47" s="70" t="s">
        <v>540</v>
      </c>
      <c r="B47" s="186"/>
      <c r="C47" s="186">
        <f>+C45+C46</f>
        <v>2527</v>
      </c>
      <c r="D47" s="186">
        <f>+D45+D46</f>
        <v>2527</v>
      </c>
      <c r="E47" s="186">
        <f>+E45+E46</f>
        <v>2527</v>
      </c>
      <c r="F47" s="186">
        <f>+F45+F46</f>
        <v>2527</v>
      </c>
    </row>
    <row r="48" spans="1:8" s="199" customFormat="1" x14ac:dyDescent="0.2">
      <c r="A48" s="70"/>
      <c r="B48" s="186"/>
      <c r="C48" s="186"/>
      <c r="D48" s="186"/>
      <c r="E48" s="186"/>
      <c r="F48" s="186"/>
    </row>
    <row r="49" spans="1:8" s="199" customFormat="1" x14ac:dyDescent="0.2">
      <c r="A49" s="70" t="s">
        <v>623</v>
      </c>
      <c r="B49" s="186">
        <f>+MAR!BP84</f>
        <v>992</v>
      </c>
      <c r="C49" s="186">
        <f>+MAR!BU84</f>
        <v>1151.8599999999999</v>
      </c>
      <c r="D49" s="186">
        <f>+MAR!BZ84</f>
        <v>1148</v>
      </c>
      <c r="E49" s="186">
        <f>+MAR!CE84</f>
        <v>1339</v>
      </c>
      <c r="F49" s="186">
        <f>+MAR!CJ84</f>
        <v>1552</v>
      </c>
    </row>
    <row r="50" spans="1:8" s="199" customFormat="1" x14ac:dyDescent="0.2">
      <c r="A50" s="70" t="s">
        <v>537</v>
      </c>
      <c r="B50" s="1111">
        <f>+B45/B49</f>
        <v>2.5473790322580645</v>
      </c>
      <c r="C50" s="1111">
        <f>+C47/C49</f>
        <v>2.1938430017536854</v>
      </c>
      <c r="D50" s="1111">
        <f>+D47/D49</f>
        <v>2.2012195121951219</v>
      </c>
      <c r="E50" s="1111">
        <f>+E47/E49</f>
        <v>1.8872292755787901</v>
      </c>
      <c r="F50" s="1111">
        <f>+F47/F49</f>
        <v>1.6282216494845361</v>
      </c>
      <c r="H50" s="70" t="s">
        <v>274</v>
      </c>
    </row>
    <row r="51" spans="1:8" s="199" customFormat="1" x14ac:dyDescent="0.2"/>
    <row r="52" spans="1:8" x14ac:dyDescent="0.2">
      <c r="A52" s="199" t="s">
        <v>239</v>
      </c>
      <c r="G52" s="186"/>
    </row>
    <row r="53" spans="1:8" x14ac:dyDescent="0.2">
      <c r="A53" s="70" t="s">
        <v>1797</v>
      </c>
      <c r="B53" s="186"/>
      <c r="C53" s="186"/>
      <c r="D53" s="186"/>
      <c r="E53" s="186"/>
      <c r="F53" s="186"/>
    </row>
    <row r="54" spans="1:8" x14ac:dyDescent="0.2">
      <c r="A54" s="1110" t="s">
        <v>1253</v>
      </c>
      <c r="B54" s="1115">
        <f>+MAR!BP60</f>
        <v>1.3060214462469066</v>
      </c>
      <c r="C54" s="1115"/>
      <c r="D54" s="1115"/>
      <c r="E54" s="1115"/>
      <c r="F54" s="1116"/>
    </row>
    <row r="55" spans="1:8" x14ac:dyDescent="0.2">
      <c r="A55" s="1113" t="s">
        <v>742</v>
      </c>
      <c r="B55" s="1109"/>
      <c r="C55" s="1112"/>
      <c r="D55" s="1112"/>
      <c r="E55" s="1112"/>
      <c r="F55" s="1112"/>
    </row>
    <row r="56" spans="1:8" x14ac:dyDescent="0.2">
      <c r="A56" s="199"/>
      <c r="B56" s="1109"/>
      <c r="C56" s="1109"/>
      <c r="D56" s="1109"/>
      <c r="E56" s="1109"/>
      <c r="F56" s="1109"/>
    </row>
    <row r="57" spans="1:8" x14ac:dyDescent="0.2">
      <c r="A57" s="70" t="s">
        <v>279</v>
      </c>
      <c r="B57" s="1109"/>
      <c r="C57" s="1121">
        <v>25</v>
      </c>
      <c r="D57" s="1121">
        <v>23</v>
      </c>
      <c r="E57" s="1121">
        <v>21.5</v>
      </c>
      <c r="F57" s="1121">
        <v>20</v>
      </c>
    </row>
    <row r="58" spans="1:8" x14ac:dyDescent="0.2">
      <c r="A58" s="70" t="s">
        <v>2239</v>
      </c>
      <c r="B58" s="1109"/>
      <c r="C58" s="261">
        <f>+C57*C54</f>
        <v>0</v>
      </c>
      <c r="D58" s="261">
        <f>+D57*D54</f>
        <v>0</v>
      </c>
      <c r="E58" s="261">
        <f>+E57*E54</f>
        <v>0</v>
      </c>
      <c r="F58" s="261">
        <f>+F57*F54</f>
        <v>0</v>
      </c>
    </row>
    <row r="59" spans="1:8" ht="13.5" thickBot="1" x14ac:dyDescent="0.25">
      <c r="A59" s="199"/>
      <c r="B59" s="1109"/>
      <c r="C59" s="1109"/>
      <c r="D59" s="1109"/>
      <c r="E59" s="1109"/>
      <c r="F59" s="1109"/>
    </row>
    <row r="60" spans="1:8" ht="13.5" thickBot="1" x14ac:dyDescent="0.25">
      <c r="A60" s="199" t="s">
        <v>277</v>
      </c>
      <c r="G60" s="1120">
        <f>POWER(F54/B54,0.25)-1</f>
        <v>-1</v>
      </c>
      <c r="H60" s="70" t="s">
        <v>278</v>
      </c>
    </row>
    <row r="63" spans="1:8" x14ac:dyDescent="0.2">
      <c r="A63" s="70" t="s">
        <v>623</v>
      </c>
    </row>
    <row r="65" spans="10:15" x14ac:dyDescent="0.2">
      <c r="J65" s="199" t="s">
        <v>1518</v>
      </c>
    </row>
    <row r="66" spans="10:15" x14ac:dyDescent="0.2">
      <c r="J66" s="247" t="s">
        <v>1531</v>
      </c>
    </row>
    <row r="68" spans="10:15" x14ac:dyDescent="0.2">
      <c r="J68" s="609"/>
      <c r="K68" s="611">
        <v>2011</v>
      </c>
      <c r="L68" s="611" t="s">
        <v>1323</v>
      </c>
      <c r="M68" s="611" t="s">
        <v>1324</v>
      </c>
      <c r="N68" s="611" t="s">
        <v>1325</v>
      </c>
      <c r="O68" s="611" t="s">
        <v>1326</v>
      </c>
    </row>
    <row r="69" spans="10:15" x14ac:dyDescent="0.2">
      <c r="J69" s="217" t="s">
        <v>1532</v>
      </c>
      <c r="K69" s="1212"/>
      <c r="L69" s="1212"/>
      <c r="M69" s="1212"/>
      <c r="N69" s="1212"/>
      <c r="O69" s="1212"/>
    </row>
    <row r="70" spans="10:15" x14ac:dyDescent="0.2">
      <c r="J70" s="70" t="s">
        <v>623</v>
      </c>
      <c r="K70" s="186">
        <f>+MAR!BP84</f>
        <v>992</v>
      </c>
      <c r="L70" s="186">
        <f>+MAR!BU84</f>
        <v>1151.8599999999999</v>
      </c>
      <c r="M70" s="186">
        <f>+MAR!BZ84</f>
        <v>1148</v>
      </c>
      <c r="N70" s="186">
        <f>+MAR!CE84</f>
        <v>1339</v>
      </c>
      <c r="O70" s="186">
        <f>+MAR!CJ84</f>
        <v>1552</v>
      </c>
    </row>
    <row r="71" spans="10:15" x14ac:dyDescent="0.2">
      <c r="J71" s="217"/>
      <c r="K71" s="1212"/>
      <c r="L71" s="1212"/>
      <c r="M71" s="1212"/>
      <c r="N71" s="1212"/>
      <c r="O71" s="1212"/>
    </row>
    <row r="72" spans="10:15" x14ac:dyDescent="0.2">
      <c r="J72" s="70" t="s">
        <v>791</v>
      </c>
      <c r="K72" s="186">
        <f>+MAR!BP745</f>
        <v>102</v>
      </c>
      <c r="L72" s="186"/>
      <c r="M72" s="186"/>
      <c r="N72" s="186"/>
      <c r="O72" s="186"/>
    </row>
    <row r="73" spans="10:15" x14ac:dyDescent="0.2">
      <c r="J73" s="70" t="s">
        <v>1703</v>
      </c>
      <c r="K73" s="186">
        <f>+MAR!BP773</f>
        <v>2171</v>
      </c>
      <c r="L73" s="186"/>
      <c r="M73" s="186"/>
      <c r="N73" s="186"/>
      <c r="O73" s="186"/>
    </row>
    <row r="74" spans="10:15" x14ac:dyDescent="0.2">
      <c r="J74" s="70" t="s">
        <v>1519</v>
      </c>
      <c r="K74" s="186">
        <f>+K70*2</f>
        <v>1984</v>
      </c>
      <c r="L74" s="186">
        <f>+L70*2</f>
        <v>2303.7199999999998</v>
      </c>
      <c r="M74" s="186">
        <f>+M70*2</f>
        <v>2296</v>
      </c>
      <c r="N74" s="186">
        <f>+N70*2</f>
        <v>2678</v>
      </c>
      <c r="O74" s="186">
        <f>+O70*2</f>
        <v>3104</v>
      </c>
    </row>
    <row r="75" spans="10:15" x14ac:dyDescent="0.2">
      <c r="J75" s="1213" t="s">
        <v>1533</v>
      </c>
      <c r="K75" s="842"/>
      <c r="L75" s="842">
        <f>+L74-K73</f>
        <v>132.7199999999998</v>
      </c>
      <c r="M75" s="842">
        <f>+M74-L74</f>
        <v>-7.7199999999997999</v>
      </c>
      <c r="N75" s="842">
        <f>+N74-M74</f>
        <v>382</v>
      </c>
      <c r="O75" s="842">
        <f>+O74-N74</f>
        <v>426</v>
      </c>
    </row>
    <row r="76" spans="10:15" x14ac:dyDescent="0.2">
      <c r="J76" s="1113" t="s">
        <v>1534</v>
      </c>
      <c r="K76" s="1208"/>
      <c r="L76" s="1208">
        <f>+L74-$K$73</f>
        <v>132.7199999999998</v>
      </c>
      <c r="M76" s="1208">
        <f>+M74-$K$73</f>
        <v>125</v>
      </c>
      <c r="N76" s="1208">
        <f>+N74-$K$73</f>
        <v>507</v>
      </c>
      <c r="O76" s="1208">
        <f>+O74-$K$73</f>
        <v>933</v>
      </c>
    </row>
    <row r="78" spans="10:15" x14ac:dyDescent="0.2">
      <c r="J78" s="199" t="s">
        <v>1521</v>
      </c>
      <c r="K78" s="186"/>
      <c r="L78" s="186"/>
      <c r="M78" s="186"/>
      <c r="N78" s="186"/>
      <c r="O78" s="186"/>
    </row>
    <row r="79" spans="10:15" x14ac:dyDescent="0.2">
      <c r="J79" s="70" t="s">
        <v>1296</v>
      </c>
      <c r="K79" s="186"/>
      <c r="L79" s="186">
        <f>+C11</f>
        <v>538.20000000000005</v>
      </c>
      <c r="M79" s="186">
        <f>+D11</f>
        <v>572.65000000000009</v>
      </c>
      <c r="N79" s="186">
        <f>+E11</f>
        <v>686.40000000000009</v>
      </c>
      <c r="O79" s="186">
        <f>+F11</f>
        <v>812.5</v>
      </c>
    </row>
    <row r="80" spans="10:15" s="1207" customFormat="1" x14ac:dyDescent="0.2">
      <c r="J80" s="1207" t="s">
        <v>1520</v>
      </c>
      <c r="K80" s="187"/>
      <c r="L80" s="187">
        <f>+C13</f>
        <v>145</v>
      </c>
      <c r="M80" s="187">
        <f>+D13</f>
        <v>127</v>
      </c>
      <c r="N80" s="187">
        <f>+E13</f>
        <v>148</v>
      </c>
      <c r="O80" s="187">
        <f>+F13</f>
        <v>139</v>
      </c>
    </row>
    <row r="81" spans="10:17" x14ac:dyDescent="0.2">
      <c r="J81" s="70" t="s">
        <v>1522</v>
      </c>
      <c r="K81" s="186"/>
      <c r="L81" s="186">
        <f>+SUM(L79:L80)</f>
        <v>683.2</v>
      </c>
      <c r="M81" s="186">
        <f>+SUM(M79:M80)</f>
        <v>699.65000000000009</v>
      </c>
      <c r="N81" s="186">
        <f>+SUM(N79:N80)</f>
        <v>834.40000000000009</v>
      </c>
      <c r="O81" s="186">
        <f>+SUM(O79:O80)</f>
        <v>951.5</v>
      </c>
    </row>
    <row r="82" spans="10:17" x14ac:dyDescent="0.2">
      <c r="K82" s="186"/>
      <c r="L82" s="186"/>
      <c r="M82" s="186"/>
      <c r="N82" s="186"/>
      <c r="O82" s="186"/>
    </row>
    <row r="83" spans="10:17" x14ac:dyDescent="0.2">
      <c r="J83" s="1207" t="s">
        <v>1523</v>
      </c>
      <c r="K83" s="187"/>
      <c r="L83" s="187">
        <f>+C25</f>
        <v>-709.25</v>
      </c>
      <c r="M83" s="187">
        <f>+D25</f>
        <v>-378.75</v>
      </c>
      <c r="N83" s="187">
        <f>+E25</f>
        <v>-396.75</v>
      </c>
      <c r="O83" s="187">
        <f>+F25</f>
        <v>-444.5</v>
      </c>
    </row>
    <row r="84" spans="10:17" x14ac:dyDescent="0.2">
      <c r="J84" s="199" t="s">
        <v>1671</v>
      </c>
      <c r="K84" s="186"/>
      <c r="L84" s="1017">
        <f>+SUM(L81:L83)</f>
        <v>-26.049999999999955</v>
      </c>
      <c r="M84" s="1017">
        <f>+SUM(M81:M83)</f>
        <v>320.90000000000009</v>
      </c>
      <c r="N84" s="1017">
        <f>+SUM(N81:N83)</f>
        <v>437.65000000000009</v>
      </c>
      <c r="O84" s="1017">
        <f>+SUM(O81:O83)</f>
        <v>507</v>
      </c>
    </row>
    <row r="85" spans="10:17" x14ac:dyDescent="0.2">
      <c r="J85" s="199"/>
      <c r="K85" s="186"/>
      <c r="L85" s="1017"/>
      <c r="M85" s="1017"/>
      <c r="N85" s="1017"/>
      <c r="O85" s="1017"/>
    </row>
    <row r="86" spans="10:17" x14ac:dyDescent="0.2">
      <c r="J86" s="199" t="s">
        <v>1525</v>
      </c>
      <c r="K86" s="186"/>
      <c r="L86" s="186"/>
      <c r="M86" s="186"/>
      <c r="N86" s="186"/>
      <c r="O86" s="186"/>
    </row>
    <row r="87" spans="10:17" x14ac:dyDescent="0.2">
      <c r="J87" s="70" t="s">
        <v>1524</v>
      </c>
      <c r="K87" s="186"/>
      <c r="L87" s="186">
        <f>+L75</f>
        <v>132.7199999999998</v>
      </c>
      <c r="M87" s="186">
        <f>+M75</f>
        <v>-7.7199999999997999</v>
      </c>
      <c r="N87" s="186">
        <f>+N75</f>
        <v>382</v>
      </c>
      <c r="O87" s="186">
        <f>+O75</f>
        <v>426</v>
      </c>
    </row>
    <row r="88" spans="10:17" s="1207" customFormat="1" x14ac:dyDescent="0.2">
      <c r="J88" s="1207" t="s">
        <v>1671</v>
      </c>
      <c r="K88" s="187"/>
      <c r="L88" s="187">
        <f>+L84</f>
        <v>-26.049999999999955</v>
      </c>
      <c r="M88" s="187">
        <f>+M84</f>
        <v>320.90000000000009</v>
      </c>
      <c r="N88" s="187">
        <f>+N84</f>
        <v>437.65000000000009</v>
      </c>
      <c r="O88" s="187">
        <f>+O84</f>
        <v>507</v>
      </c>
    </row>
    <row r="89" spans="10:17" x14ac:dyDescent="0.2">
      <c r="J89" s="199" t="s">
        <v>76</v>
      </c>
      <c r="K89" s="1017"/>
      <c r="L89" s="1017">
        <f>+SUM(L87:L88)</f>
        <v>106.66999999999985</v>
      </c>
      <c r="M89" s="1017">
        <f>+SUM(M87:M88)</f>
        <v>313.18000000000029</v>
      </c>
      <c r="N89" s="1017">
        <f>+SUM(N87:N88)</f>
        <v>819.65000000000009</v>
      </c>
      <c r="O89" s="1017">
        <f>+SUM(O87:O88)</f>
        <v>933</v>
      </c>
    </row>
    <row r="90" spans="10:17" x14ac:dyDescent="0.2">
      <c r="J90" s="199"/>
      <c r="K90" s="1017"/>
      <c r="L90" s="1017"/>
      <c r="M90" s="1017"/>
      <c r="N90" s="1017"/>
      <c r="O90" s="1017"/>
    </row>
    <row r="91" spans="10:17" ht="3" customHeight="1" x14ac:dyDescent="0.2"/>
    <row r="92" spans="10:17" x14ac:dyDescent="0.2">
      <c r="Q92" s="199" t="s">
        <v>1529</v>
      </c>
    </row>
    <row r="93" spans="10:17" x14ac:dyDescent="0.2">
      <c r="Q93" s="247" t="s">
        <v>1557</v>
      </c>
    </row>
    <row r="94" spans="10:17" x14ac:dyDescent="0.2">
      <c r="Q94" s="70" t="s">
        <v>1530</v>
      </c>
    </row>
    <row r="97" spans="17:18" x14ac:dyDescent="0.2">
      <c r="Q97" s="70" t="s">
        <v>1526</v>
      </c>
    </row>
    <row r="98" spans="17:18" x14ac:dyDescent="0.2">
      <c r="Q98" s="70" t="s">
        <v>1527</v>
      </c>
      <c r="R98" s="300">
        <v>34.819992999999997</v>
      </c>
    </row>
    <row r="99" spans="17:18" x14ac:dyDescent="0.2">
      <c r="Q99" s="70" t="s">
        <v>124</v>
      </c>
      <c r="R99" s="70">
        <f>+R97*R98</f>
        <v>0</v>
      </c>
    </row>
    <row r="101" spans="17:18" ht="25.5" x14ac:dyDescent="0.2">
      <c r="Q101" s="1210" t="s">
        <v>1556</v>
      </c>
      <c r="R101" s="1211">
        <f>+SUM(L89:N89)</f>
        <v>1239.5000000000002</v>
      </c>
    </row>
    <row r="102" spans="17:18" x14ac:dyDescent="0.2">
      <c r="Q102" s="1113" t="s">
        <v>1528</v>
      </c>
      <c r="R102" s="1209"/>
    </row>
  </sheetData>
  <phoneticPr fontId="66"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14"/>
  <sheetViews>
    <sheetView zoomScale="85" workbookViewId="0"/>
  </sheetViews>
  <sheetFormatPr defaultRowHeight="12.75" x14ac:dyDescent="0.2"/>
  <cols>
    <col min="1" max="1" width="9.33203125" style="70"/>
    <col min="2" max="2" width="72" style="70" customWidth="1"/>
    <col min="3" max="16384" width="9.33203125" style="70"/>
  </cols>
  <sheetData>
    <row r="1" spans="1:2" x14ac:dyDescent="0.2">
      <c r="A1" s="248" t="s">
        <v>745</v>
      </c>
    </row>
    <row r="4" spans="1:2" x14ac:dyDescent="0.2">
      <c r="B4" s="85" t="s">
        <v>746</v>
      </c>
    </row>
    <row r="12" spans="1:2" x14ac:dyDescent="0.2">
      <c r="B12" s="70" t="s">
        <v>875</v>
      </c>
    </row>
    <row r="13" spans="1:2" x14ac:dyDescent="0.2">
      <c r="B13" s="70" t="s">
        <v>874</v>
      </c>
    </row>
    <row r="14" spans="1:2" x14ac:dyDescent="0.2">
      <c r="B14" s="70" t="s">
        <v>876</v>
      </c>
    </row>
  </sheetData>
  <phoneticPr fontId="66"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T44"/>
  <sheetViews>
    <sheetView zoomScale="85" workbookViewId="0"/>
  </sheetViews>
  <sheetFormatPr defaultRowHeight="12.75" x14ac:dyDescent="0.2"/>
  <cols>
    <col min="1" max="1" width="40.5" customWidth="1"/>
    <col min="2" max="3" width="12.5" customWidth="1"/>
    <col min="5" max="7" width="15.83203125" customWidth="1"/>
    <col min="8" max="8" width="9.33203125" style="1201"/>
    <col min="9" max="9" width="13.83203125" style="1201" customWidth="1"/>
    <col min="10" max="10" width="14.5" style="1201" bestFit="1" customWidth="1"/>
    <col min="12" max="12" width="12.6640625" style="70" customWidth="1"/>
    <col min="13" max="13" width="12.5" style="70" customWidth="1"/>
    <col min="14" max="14" width="9.33203125" style="70"/>
    <col min="15" max="15" width="14.1640625" style="70" customWidth="1"/>
    <col min="16" max="16" width="9.33203125" style="70"/>
    <col min="17" max="20" width="10.83203125" style="70" customWidth="1"/>
    <col min="21" max="16384" width="9.33203125" style="70"/>
  </cols>
  <sheetData>
    <row r="1" spans="1:10" x14ac:dyDescent="0.2">
      <c r="A1" s="1202" t="s">
        <v>1084</v>
      </c>
      <c r="B1" s="1203"/>
      <c r="C1" s="1203"/>
      <c r="D1" s="1203"/>
      <c r="E1" s="1203"/>
      <c r="F1" s="1203"/>
      <c r="G1" s="1203"/>
      <c r="H1" s="234"/>
      <c r="I1" s="234"/>
      <c r="J1" s="234"/>
    </row>
    <row r="2" spans="1:10" x14ac:dyDescent="0.2">
      <c r="A2" s="70"/>
      <c r="B2" s="70"/>
      <c r="C2" s="70"/>
      <c r="D2" s="70"/>
      <c r="E2" s="70"/>
      <c r="F2" s="70"/>
      <c r="G2" s="70"/>
      <c r="H2" s="234"/>
      <c r="I2" s="234"/>
      <c r="J2" s="234"/>
    </row>
    <row r="3" spans="1:10" x14ac:dyDescent="0.2">
      <c r="A3" s="70"/>
      <c r="B3" s="861" t="s">
        <v>1085</v>
      </c>
      <c r="C3" s="861" t="s">
        <v>1252</v>
      </c>
      <c r="D3" s="70"/>
      <c r="E3" s="861" t="s">
        <v>1511</v>
      </c>
      <c r="F3" s="861" t="s">
        <v>1863</v>
      </c>
      <c r="G3" s="861" t="s">
        <v>1055</v>
      </c>
      <c r="H3" s="234"/>
      <c r="I3" s="1199" t="s">
        <v>1547</v>
      </c>
      <c r="J3" s="1199" t="s">
        <v>1055</v>
      </c>
    </row>
    <row r="4" spans="1:10" x14ac:dyDescent="0.2">
      <c r="A4" s="70"/>
      <c r="B4" s="861" t="s">
        <v>1323</v>
      </c>
      <c r="C4" s="861" t="s">
        <v>487</v>
      </c>
      <c r="D4" s="70"/>
      <c r="E4" s="861" t="s">
        <v>487</v>
      </c>
      <c r="F4" s="861" t="s">
        <v>1546</v>
      </c>
      <c r="G4" s="861" t="s">
        <v>1863</v>
      </c>
      <c r="H4" s="234"/>
      <c r="I4" s="1199" t="s">
        <v>1176</v>
      </c>
      <c r="J4" s="1199" t="s">
        <v>1153</v>
      </c>
    </row>
    <row r="5" spans="1:10" x14ac:dyDescent="0.2">
      <c r="A5" s="70"/>
      <c r="B5" s="70"/>
      <c r="C5" s="70"/>
      <c r="D5" s="70"/>
      <c r="E5" s="70"/>
      <c r="F5" s="70"/>
      <c r="G5" s="70"/>
      <c r="H5" s="234"/>
      <c r="I5" s="234"/>
      <c r="J5" s="234"/>
    </row>
    <row r="6" spans="1:10" x14ac:dyDescent="0.2">
      <c r="A6" s="70" t="s">
        <v>9</v>
      </c>
      <c r="B6" s="70">
        <f>MAR!BU223</f>
        <v>581</v>
      </c>
      <c r="C6" s="1198"/>
      <c r="D6" s="70"/>
      <c r="E6" s="70"/>
      <c r="F6" s="70"/>
      <c r="G6" s="70"/>
      <c r="H6" s="234"/>
      <c r="I6" s="234"/>
      <c r="J6" s="234"/>
    </row>
    <row r="7" spans="1:10" x14ac:dyDescent="0.2">
      <c r="A7" s="70" t="s">
        <v>1416</v>
      </c>
      <c r="B7" s="70">
        <f>MAR!BU228</f>
        <v>607</v>
      </c>
      <c r="C7" s="1198"/>
      <c r="D7" s="70"/>
      <c r="E7" s="70"/>
      <c r="F7" s="70"/>
      <c r="G7" s="70"/>
      <c r="H7" s="234"/>
      <c r="I7" s="234"/>
      <c r="J7" s="234"/>
    </row>
    <row r="8" spans="1:10" x14ac:dyDescent="0.2">
      <c r="A8" s="70" t="s">
        <v>126</v>
      </c>
      <c r="B8" s="70">
        <f>MAR!BU234</f>
        <v>232</v>
      </c>
      <c r="C8" s="1198"/>
      <c r="D8" s="70"/>
      <c r="E8" s="70"/>
      <c r="F8" s="70"/>
      <c r="G8" s="70"/>
      <c r="H8" s="234"/>
      <c r="I8" s="234"/>
      <c r="J8" s="234"/>
    </row>
    <row r="9" spans="1:10" x14ac:dyDescent="0.2">
      <c r="A9" s="70" t="s">
        <v>1056</v>
      </c>
      <c r="B9" s="70"/>
      <c r="C9" s="1198"/>
      <c r="D9" s="70"/>
      <c r="E9" s="70"/>
      <c r="F9" s="70"/>
      <c r="G9" s="70"/>
      <c r="H9" s="234"/>
      <c r="I9" s="234"/>
      <c r="J9" s="234"/>
    </row>
    <row r="10" spans="1:10" x14ac:dyDescent="0.2">
      <c r="A10" s="199" t="s">
        <v>1735</v>
      </c>
      <c r="B10" s="199">
        <f>SUM(B6:B9)</f>
        <v>1420</v>
      </c>
      <c r="C10" s="1198">
        <v>0.06</v>
      </c>
      <c r="D10" s="70"/>
      <c r="E10" s="1198">
        <v>0.09</v>
      </c>
      <c r="F10" s="860">
        <v>20</v>
      </c>
      <c r="G10" s="76">
        <f>+(E10-C10)*F10*100</f>
        <v>60</v>
      </c>
      <c r="H10" s="234"/>
      <c r="I10" s="1204">
        <v>14</v>
      </c>
      <c r="J10" s="1200">
        <f>+I10*G10</f>
        <v>840</v>
      </c>
    </row>
    <row r="11" spans="1:10" x14ac:dyDescent="0.2">
      <c r="A11" s="70"/>
      <c r="B11" s="70"/>
      <c r="C11" s="70"/>
      <c r="D11" s="70"/>
      <c r="E11" s="70"/>
      <c r="F11" s="70"/>
      <c r="G11" s="70"/>
      <c r="H11" s="234"/>
      <c r="I11" s="234"/>
      <c r="J11" s="234"/>
    </row>
    <row r="12" spans="1:10" ht="12.75" customHeight="1" x14ac:dyDescent="0.2">
      <c r="A12" s="859" t="s">
        <v>1054</v>
      </c>
      <c r="B12" s="70">
        <f>MAR!BU183</f>
        <v>165</v>
      </c>
      <c r="C12" s="70"/>
      <c r="D12" s="70"/>
      <c r="E12" s="70"/>
      <c r="F12" s="860">
        <v>10</v>
      </c>
      <c r="G12" s="76">
        <f>+F12</f>
        <v>10</v>
      </c>
      <c r="H12" s="234"/>
      <c r="I12" s="1204">
        <v>11</v>
      </c>
      <c r="J12" s="1200">
        <f>+I12*G12</f>
        <v>110</v>
      </c>
    </row>
    <row r="13" spans="1:10" ht="12.75" customHeight="1" x14ac:dyDescent="0.2">
      <c r="A13" s="859"/>
      <c r="B13" s="70"/>
      <c r="C13" s="70"/>
      <c r="D13" s="70"/>
      <c r="E13" s="70"/>
      <c r="F13" s="860"/>
      <c r="G13" s="76"/>
      <c r="H13" s="234"/>
      <c r="I13" s="1204"/>
      <c r="J13" s="1200"/>
    </row>
    <row r="14" spans="1:10" ht="12.75" customHeight="1" x14ac:dyDescent="0.2">
      <c r="A14" s="859" t="s">
        <v>1159</v>
      </c>
      <c r="B14" s="70"/>
      <c r="C14" s="70"/>
      <c r="D14" s="70"/>
      <c r="E14" s="70"/>
      <c r="F14" s="860"/>
      <c r="G14" s="76"/>
      <c r="H14" s="234"/>
      <c r="I14" s="1204">
        <v>1.5</v>
      </c>
      <c r="J14" s="1200">
        <f>+G14*I14</f>
        <v>0</v>
      </c>
    </row>
    <row r="15" spans="1:10" x14ac:dyDescent="0.2">
      <c r="A15" s="70"/>
      <c r="B15" s="70"/>
      <c r="C15" s="70"/>
      <c r="D15" s="70"/>
      <c r="E15" s="70"/>
      <c r="F15" s="70"/>
      <c r="G15" s="70"/>
      <c r="H15" s="234"/>
      <c r="I15" s="234"/>
      <c r="J15" s="234"/>
    </row>
    <row r="16" spans="1:10" x14ac:dyDescent="0.2">
      <c r="A16" s="734" t="s">
        <v>1735</v>
      </c>
      <c r="B16" s="648"/>
      <c r="C16" s="648"/>
      <c r="D16" s="648"/>
      <c r="E16" s="648"/>
      <c r="F16" s="648"/>
      <c r="G16" s="862">
        <f>SUM(G10:G12)</f>
        <v>70</v>
      </c>
      <c r="H16" s="257"/>
      <c r="I16" s="257"/>
      <c r="J16" s="257">
        <f>+SUM(J10:J14)</f>
        <v>950</v>
      </c>
    </row>
    <row r="17" spans="1:13" x14ac:dyDescent="0.2">
      <c r="A17" s="70"/>
      <c r="B17" s="70"/>
      <c r="C17" s="70"/>
      <c r="D17" s="70"/>
      <c r="E17" s="70"/>
      <c r="F17" s="70"/>
      <c r="G17" s="70"/>
      <c r="H17" s="234"/>
      <c r="I17" s="234"/>
      <c r="J17" s="234"/>
    </row>
    <row r="18" spans="1:13" x14ac:dyDescent="0.2">
      <c r="A18" s="70"/>
      <c r="B18" s="70"/>
      <c r="C18" s="70"/>
      <c r="D18" s="70"/>
      <c r="E18" s="70"/>
      <c r="F18" s="70"/>
      <c r="G18" s="70"/>
      <c r="H18" s="234"/>
      <c r="I18" s="234"/>
      <c r="J18" s="234"/>
    </row>
    <row r="19" spans="1:13" x14ac:dyDescent="0.2">
      <c r="A19" s="70"/>
      <c r="B19" s="70"/>
      <c r="C19" s="70"/>
      <c r="D19" s="70"/>
      <c r="E19" s="70"/>
      <c r="F19" s="70"/>
      <c r="G19" s="70"/>
      <c r="H19" s="234"/>
      <c r="I19" s="234"/>
      <c r="J19" s="234"/>
    </row>
    <row r="20" spans="1:13" x14ac:dyDescent="0.2">
      <c r="A20" s="1202" t="s">
        <v>1086</v>
      </c>
      <c r="B20" s="1203"/>
      <c r="C20" s="1203"/>
      <c r="D20" s="1203"/>
      <c r="E20" s="1203"/>
      <c r="F20" s="1203"/>
      <c r="G20" s="1203"/>
      <c r="H20" s="234"/>
      <c r="I20" s="234"/>
      <c r="J20" s="234"/>
    </row>
    <row r="21" spans="1:13" x14ac:dyDescent="0.2">
      <c r="A21" s="70"/>
      <c r="B21" s="70"/>
      <c r="C21" s="70"/>
      <c r="D21" s="70"/>
      <c r="E21" s="70"/>
      <c r="F21" s="70"/>
      <c r="G21" s="70"/>
      <c r="H21" s="234"/>
      <c r="I21" s="234"/>
      <c r="J21" s="234"/>
    </row>
    <row r="22" spans="1:13" x14ac:dyDescent="0.2">
      <c r="A22" s="70"/>
      <c r="B22" s="861" t="s">
        <v>1085</v>
      </c>
      <c r="C22" s="70"/>
      <c r="D22" s="70"/>
      <c r="E22" s="861" t="s">
        <v>1513</v>
      </c>
      <c r="F22" s="861" t="s">
        <v>1863</v>
      </c>
      <c r="G22" s="861" t="s">
        <v>1055</v>
      </c>
      <c r="H22" s="234"/>
      <c r="I22" s="1199"/>
      <c r="J22" s="234"/>
    </row>
    <row r="23" spans="1:13" x14ac:dyDescent="0.2">
      <c r="A23" s="70"/>
      <c r="B23" s="861" t="s">
        <v>1323</v>
      </c>
      <c r="C23" s="70"/>
      <c r="D23" s="70"/>
      <c r="E23" s="861" t="s">
        <v>487</v>
      </c>
      <c r="F23" s="861" t="s">
        <v>1546</v>
      </c>
      <c r="G23" s="861" t="s">
        <v>1863</v>
      </c>
      <c r="H23" s="234"/>
      <c r="I23" s="1199"/>
      <c r="J23" s="234"/>
    </row>
    <row r="24" spans="1:13" x14ac:dyDescent="0.2">
      <c r="A24" s="70"/>
      <c r="B24" s="70"/>
      <c r="C24" s="70"/>
      <c r="D24" s="70"/>
      <c r="E24" s="70"/>
      <c r="F24" s="70"/>
      <c r="G24" s="70"/>
      <c r="H24" s="234"/>
      <c r="I24" s="234"/>
      <c r="J24" s="234"/>
    </row>
    <row r="25" spans="1:13" x14ac:dyDescent="0.2">
      <c r="A25" s="70" t="s">
        <v>9</v>
      </c>
      <c r="B25" s="70">
        <f>MAR!BU223</f>
        <v>581</v>
      </c>
      <c r="C25" s="70"/>
      <c r="D25" s="70"/>
      <c r="E25" s="70"/>
      <c r="F25" s="70"/>
      <c r="G25" s="70"/>
      <c r="H25" s="234"/>
      <c r="I25" s="234"/>
      <c r="J25" s="234"/>
    </row>
    <row r="26" spans="1:13" x14ac:dyDescent="0.2">
      <c r="A26" s="70" t="s">
        <v>1416</v>
      </c>
      <c r="B26" s="70">
        <f>MAR!BU228</f>
        <v>607</v>
      </c>
      <c r="C26" s="70"/>
      <c r="D26" s="70"/>
      <c r="E26" s="70"/>
      <c r="F26" s="70"/>
      <c r="G26" s="70"/>
      <c r="H26" s="234"/>
      <c r="I26" s="234"/>
      <c r="J26" s="234"/>
    </row>
    <row r="27" spans="1:13" x14ac:dyDescent="0.2">
      <c r="A27" s="70" t="s">
        <v>126</v>
      </c>
      <c r="B27" s="70">
        <f>MAR!BU234</f>
        <v>232</v>
      </c>
      <c r="C27" s="70"/>
      <c r="D27" s="70"/>
      <c r="E27" s="70"/>
      <c r="F27" s="70"/>
      <c r="G27" s="70"/>
      <c r="H27" s="234"/>
      <c r="I27" s="234"/>
      <c r="J27" s="234"/>
    </row>
    <row r="28" spans="1:13" x14ac:dyDescent="0.2">
      <c r="A28" s="70" t="s">
        <v>1056</v>
      </c>
      <c r="B28" s="70"/>
      <c r="C28" s="70"/>
      <c r="D28" s="70"/>
      <c r="E28" s="70"/>
      <c r="F28" s="70"/>
      <c r="G28" s="70"/>
      <c r="H28" s="234"/>
      <c r="I28" s="234"/>
      <c r="J28" s="234"/>
    </row>
    <row r="29" spans="1:13" x14ac:dyDescent="0.2">
      <c r="A29" s="199" t="s">
        <v>1735</v>
      </c>
      <c r="B29" s="199">
        <f>SUM(B25:B28)</f>
        <v>1420</v>
      </c>
      <c r="C29" s="1198">
        <v>0.06</v>
      </c>
      <c r="D29" s="70"/>
      <c r="E29" s="1198">
        <v>0.02</v>
      </c>
      <c r="F29" s="860">
        <v>20</v>
      </c>
      <c r="G29" s="76">
        <f>+(E29-C29)*F29*100</f>
        <v>-79.999999999999986</v>
      </c>
      <c r="H29" s="234"/>
      <c r="I29" s="1204">
        <v>14</v>
      </c>
      <c r="J29" s="1200">
        <f>+I29*G29</f>
        <v>-1119.9999999999998</v>
      </c>
      <c r="M29" s="70">
        <f>+B29-80</f>
        <v>1340</v>
      </c>
    </row>
    <row r="30" spans="1:13" x14ac:dyDescent="0.2">
      <c r="A30" s="70"/>
      <c r="B30" s="70"/>
      <c r="C30" s="70"/>
      <c r="D30" s="70"/>
      <c r="E30" s="70"/>
      <c r="F30" s="70"/>
      <c r="G30" s="70"/>
      <c r="H30" s="234"/>
      <c r="I30" s="234"/>
      <c r="J30" s="234"/>
    </row>
    <row r="31" spans="1:13" ht="12.75" customHeight="1" x14ac:dyDescent="0.2">
      <c r="A31" s="859" t="s">
        <v>1054</v>
      </c>
      <c r="B31" s="70">
        <f>MAR!BU183</f>
        <v>165</v>
      </c>
      <c r="C31" s="70"/>
      <c r="D31" s="70"/>
      <c r="E31" s="70"/>
      <c r="F31" s="860">
        <v>-10</v>
      </c>
      <c r="G31" s="76">
        <f>+F31</f>
        <v>-10</v>
      </c>
      <c r="H31" s="234"/>
      <c r="I31" s="1204">
        <v>11</v>
      </c>
      <c r="J31" s="1200">
        <f>+I31*G31</f>
        <v>-110</v>
      </c>
    </row>
    <row r="32" spans="1:13" ht="12.75" customHeight="1" x14ac:dyDescent="0.2">
      <c r="A32" s="859"/>
      <c r="B32" s="70"/>
      <c r="C32" s="70"/>
      <c r="D32" s="70"/>
      <c r="E32" s="70"/>
      <c r="F32" s="860"/>
      <c r="G32" s="76"/>
      <c r="H32" s="234"/>
      <c r="I32" s="1204"/>
      <c r="J32" s="1200"/>
    </row>
    <row r="33" spans="1:20" ht="12.75" customHeight="1" x14ac:dyDescent="0.2">
      <c r="A33" s="859" t="s">
        <v>1160</v>
      </c>
      <c r="B33" s="70"/>
      <c r="C33" s="70"/>
      <c r="D33" s="70"/>
      <c r="E33" s="70"/>
      <c r="F33" s="860"/>
      <c r="G33" s="76"/>
      <c r="H33" s="234"/>
      <c r="I33" s="1204">
        <v>-1.5</v>
      </c>
      <c r="J33" s="1200">
        <f>+G33*I33</f>
        <v>0</v>
      </c>
    </row>
    <row r="34" spans="1:20" x14ac:dyDescent="0.2">
      <c r="A34" s="70"/>
      <c r="B34" s="70"/>
      <c r="C34" s="70"/>
      <c r="D34" s="70"/>
      <c r="E34" s="70"/>
      <c r="F34" s="70"/>
      <c r="G34" s="70"/>
      <c r="H34" s="234"/>
      <c r="I34" s="234"/>
      <c r="J34" s="234"/>
    </row>
    <row r="35" spans="1:20" x14ac:dyDescent="0.2">
      <c r="A35" s="734" t="s">
        <v>1735</v>
      </c>
      <c r="B35" s="648"/>
      <c r="C35" s="648"/>
      <c r="D35" s="648"/>
      <c r="E35" s="648"/>
      <c r="F35" s="648"/>
      <c r="G35" s="862">
        <f>SUM(G29:G31)</f>
        <v>-89.999999999999986</v>
      </c>
      <c r="H35" s="257"/>
      <c r="I35" s="257"/>
      <c r="J35" s="257">
        <f>+SUM(J29:J33)</f>
        <v>-1229.9999999999998</v>
      </c>
    </row>
    <row r="36" spans="1:20" x14ac:dyDescent="0.2">
      <c r="A36" s="70"/>
      <c r="B36" s="70"/>
      <c r="C36" s="70"/>
      <c r="D36" s="70"/>
      <c r="E36" s="70"/>
      <c r="F36" s="70"/>
      <c r="G36" s="70"/>
      <c r="H36" s="234"/>
      <c r="I36" s="234"/>
      <c r="J36" s="234"/>
    </row>
    <row r="41" spans="1:20" x14ac:dyDescent="0.2">
      <c r="A41" s="70"/>
      <c r="B41" s="70"/>
      <c r="C41" s="70"/>
      <c r="D41" s="70"/>
      <c r="E41" s="70"/>
      <c r="F41" s="70"/>
      <c r="G41" s="70"/>
      <c r="H41" s="234"/>
      <c r="I41" s="234"/>
      <c r="J41" s="234"/>
      <c r="K41" s="70"/>
      <c r="L41" s="195"/>
      <c r="M41" s="335" t="s">
        <v>1863</v>
      </c>
      <c r="N41" s="335" t="s">
        <v>1549</v>
      </c>
      <c r="O41" s="335" t="s">
        <v>1864</v>
      </c>
      <c r="Q41" s="1205" t="s">
        <v>1153</v>
      </c>
      <c r="R41" s="1205" t="s">
        <v>1914</v>
      </c>
      <c r="S41" s="1205" t="s">
        <v>1548</v>
      </c>
      <c r="T41" s="1205" t="s">
        <v>1510</v>
      </c>
    </row>
    <row r="42" spans="1:20" x14ac:dyDescent="0.2">
      <c r="L42" s="257" t="s">
        <v>1511</v>
      </c>
      <c r="M42" s="234">
        <f>+M43+G16</f>
        <v>1221.8599999999999</v>
      </c>
      <c r="N42" s="70">
        <f ca="1">+S42/T42</f>
        <v>172.0310056546723</v>
      </c>
      <c r="O42" s="1111">
        <f ca="1">+Q42/M42</f>
        <v>45.272336212557128</v>
      </c>
      <c r="Q42" s="212">
        <f ca="1">+'EBITDA Val'!$G$14+J16</f>
        <v>55316.456724675052</v>
      </c>
      <c r="R42" s="70">
        <f>+MAR!$BT$800</f>
        <v>2847</v>
      </c>
      <c r="S42" s="70">
        <f ca="1">+Q42-R42</f>
        <v>52469.456724675052</v>
      </c>
      <c r="T42" s="85">
        <v>305</v>
      </c>
    </row>
    <row r="43" spans="1:20" x14ac:dyDescent="0.2">
      <c r="L43" s="257" t="s">
        <v>1512</v>
      </c>
      <c r="M43" s="234">
        <f>+MAR!BU84</f>
        <v>1151.8599999999999</v>
      </c>
      <c r="N43" s="70">
        <f ca="1">+S43/T43</f>
        <v>141.11053608511381</v>
      </c>
      <c r="O43" s="1111">
        <f ca="1">+Q43/M43</f>
        <v>47.198840765956852</v>
      </c>
      <c r="Q43" s="212">
        <f ca="1">+'EBITDA Val'!$G$14</f>
        <v>54366.456724675052</v>
      </c>
      <c r="R43" s="70">
        <f>+MAR!$BT$800</f>
        <v>2847</v>
      </c>
      <c r="S43" s="70">
        <f ca="1">+Q43-R43</f>
        <v>51519.456724675052</v>
      </c>
      <c r="T43" s="70">
        <f>+'EBITDA Val'!G21</f>
        <v>365.1</v>
      </c>
    </row>
    <row r="44" spans="1:20" x14ac:dyDescent="0.2">
      <c r="L44" s="257" t="s">
        <v>1513</v>
      </c>
      <c r="M44" s="234">
        <f>+M43+G35</f>
        <v>1061.8599999999999</v>
      </c>
      <c r="O44" s="1111">
        <f ca="1">+Q44/M44</f>
        <v>50.040925098106207</v>
      </c>
      <c r="Q44" s="212">
        <f ca="1">+'EBITDA Val'!$G$14+J35</f>
        <v>53136.456724675052</v>
      </c>
      <c r="R44" s="70">
        <f>+MAR!$BT$800</f>
        <v>2847</v>
      </c>
      <c r="S44" s="70">
        <f ca="1">+Q44-R44</f>
        <v>50289.456724675052</v>
      </c>
    </row>
  </sheetData>
  <phoneticPr fontId="66" type="noConversion"/>
  <pageMargins left="0.75" right="0.75" top="1" bottom="1" header="0.5" footer="0.5"/>
  <pageSetup orientation="portrait" r:id="rId1"/>
  <headerFooter alignWithMargins="0"/>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L102"/>
  <sheetViews>
    <sheetView workbookViewId="0"/>
  </sheetViews>
  <sheetFormatPr defaultRowHeight="11.25" x14ac:dyDescent="0.2"/>
  <cols>
    <col min="1" max="1" width="17.33203125" customWidth="1"/>
    <col min="5" max="5" width="29.83203125" customWidth="1"/>
    <col min="8" max="8" width="9.83203125" bestFit="1" customWidth="1"/>
  </cols>
  <sheetData>
    <row r="1" spans="1:9" x14ac:dyDescent="0.2">
      <c r="A1" s="772">
        <v>40543</v>
      </c>
      <c r="B1" s="662"/>
      <c r="C1" s="662"/>
      <c r="D1" s="662"/>
      <c r="E1" s="662"/>
      <c r="F1" s="662"/>
      <c r="G1" s="662"/>
      <c r="H1" s="662"/>
      <c r="I1" s="662"/>
    </row>
    <row r="2" spans="1:9" x14ac:dyDescent="0.2">
      <c r="A2" s="772"/>
      <c r="B2" s="662"/>
      <c r="C2" s="662"/>
      <c r="D2" s="662"/>
      <c r="E2" s="662"/>
      <c r="F2" s="662"/>
      <c r="G2" s="662"/>
      <c r="H2" s="662"/>
      <c r="I2" s="662"/>
    </row>
    <row r="3" spans="1:9" x14ac:dyDescent="0.2">
      <c r="A3" s="773" t="s">
        <v>1751</v>
      </c>
      <c r="B3" s="662"/>
      <c r="C3" s="662"/>
      <c r="D3" s="662"/>
      <c r="E3" s="662"/>
      <c r="F3" s="662"/>
      <c r="G3" s="662"/>
      <c r="H3" s="662"/>
      <c r="I3" s="662"/>
    </row>
    <row r="4" spans="1:9" x14ac:dyDescent="0.2">
      <c r="A4" s="662"/>
      <c r="B4" s="662"/>
      <c r="C4" s="662"/>
      <c r="D4" s="662"/>
      <c r="E4" s="662"/>
      <c r="F4" s="662"/>
      <c r="G4" s="662"/>
      <c r="H4" s="662"/>
      <c r="I4" s="662"/>
    </row>
    <row r="5" spans="1:9" x14ac:dyDescent="0.2">
      <c r="A5" s="662"/>
      <c r="B5" s="791" t="s">
        <v>1749</v>
      </c>
      <c r="C5" s="792" t="s">
        <v>1750</v>
      </c>
      <c r="D5" s="662"/>
      <c r="E5" s="662"/>
      <c r="F5" s="662"/>
      <c r="G5" s="662"/>
      <c r="H5" s="662"/>
      <c r="I5" s="662"/>
    </row>
    <row r="6" spans="1:9" x14ac:dyDescent="0.2">
      <c r="A6" s="662" t="s">
        <v>9</v>
      </c>
      <c r="B6" s="788">
        <f>WWRooms_10K!M52/WWRooms_10K!M74</f>
        <v>0.67533211370198543</v>
      </c>
      <c r="C6" s="666">
        <f>1-B6</f>
        <v>0.32466788629801457</v>
      </c>
      <c r="D6" s="662"/>
      <c r="E6" s="662"/>
      <c r="F6" s="662"/>
      <c r="G6" s="662"/>
      <c r="H6" s="662"/>
      <c r="I6" s="662"/>
    </row>
    <row r="7" spans="1:9" x14ac:dyDescent="0.2">
      <c r="A7" s="662" t="s">
        <v>1416</v>
      </c>
      <c r="B7" s="788">
        <f>WWRooms_10K!P52/WWRooms_10K!P74</f>
        <v>0.91373294780776426</v>
      </c>
      <c r="C7" s="666">
        <f>1-B7</f>
        <v>8.6267052192235738E-2</v>
      </c>
      <c r="D7" s="662"/>
      <c r="E7" s="662"/>
      <c r="F7" s="662"/>
      <c r="G7" s="662"/>
      <c r="H7" s="662"/>
      <c r="I7" s="662"/>
    </row>
    <row r="8" spans="1:9" x14ac:dyDescent="0.2">
      <c r="A8" s="662"/>
      <c r="B8" s="788"/>
      <c r="C8" s="666"/>
      <c r="D8" s="662"/>
      <c r="E8" s="662"/>
      <c r="F8" s="662"/>
      <c r="G8" s="662"/>
      <c r="H8" s="662"/>
      <c r="I8" s="662"/>
    </row>
    <row r="9" spans="1:9" x14ac:dyDescent="0.2">
      <c r="A9" s="795" t="s">
        <v>386</v>
      </c>
      <c r="B9" s="788"/>
      <c r="C9" s="666"/>
      <c r="D9" s="662"/>
      <c r="E9" s="662"/>
      <c r="F9" s="662"/>
      <c r="G9" s="662"/>
      <c r="H9" s="662"/>
      <c r="I9" s="662"/>
    </row>
    <row r="10" spans="1:9" x14ac:dyDescent="0.2">
      <c r="A10" s="662"/>
      <c r="B10" s="788"/>
      <c r="C10" s="666"/>
      <c r="D10" s="662"/>
      <c r="E10" s="662"/>
      <c r="F10" s="662"/>
      <c r="G10" s="662"/>
      <c r="H10" s="662"/>
      <c r="I10" s="662"/>
    </row>
    <row r="11" spans="1:9" x14ac:dyDescent="0.2">
      <c r="A11" s="662" t="s">
        <v>1512</v>
      </c>
      <c r="B11" s="793" t="s">
        <v>1809</v>
      </c>
      <c r="C11" s="794" t="s">
        <v>1809</v>
      </c>
      <c r="D11" s="662"/>
      <c r="E11" s="662"/>
      <c r="F11" s="662"/>
      <c r="G11" s="662"/>
      <c r="H11" s="662"/>
      <c r="I11" s="662"/>
    </row>
    <row r="12" spans="1:9" x14ac:dyDescent="0.2">
      <c r="A12" s="662" t="s">
        <v>126</v>
      </c>
      <c r="B12" s="793" t="s">
        <v>1809</v>
      </c>
      <c r="C12" s="794" t="s">
        <v>1809</v>
      </c>
      <c r="D12" s="662"/>
      <c r="E12" s="662"/>
      <c r="F12" s="662"/>
      <c r="G12" s="662"/>
      <c r="H12" s="662"/>
      <c r="I12" s="662"/>
    </row>
    <row r="13" spans="1:9" x14ac:dyDescent="0.2">
      <c r="A13" s="662" t="s">
        <v>2163</v>
      </c>
      <c r="B13" s="793" t="s">
        <v>1809</v>
      </c>
      <c r="C13" s="794" t="s">
        <v>1809</v>
      </c>
      <c r="D13" s="662"/>
      <c r="E13" s="662"/>
      <c r="F13" s="662"/>
      <c r="G13" s="662"/>
      <c r="H13" s="662"/>
      <c r="I13" s="662"/>
    </row>
    <row r="14" spans="1:9" x14ac:dyDescent="0.2">
      <c r="A14" s="662"/>
      <c r="B14" s="789"/>
      <c r="C14" s="790"/>
      <c r="D14" s="662"/>
      <c r="E14" s="662"/>
      <c r="F14" s="662"/>
      <c r="G14" s="662"/>
      <c r="H14" s="662"/>
      <c r="I14" s="662"/>
    </row>
    <row r="15" spans="1:9" x14ac:dyDescent="0.2">
      <c r="A15" s="662"/>
      <c r="B15" s="665"/>
      <c r="C15" s="665"/>
      <c r="D15" s="662"/>
      <c r="E15" s="662"/>
      <c r="F15" s="662"/>
      <c r="G15" s="662"/>
      <c r="H15" s="662"/>
      <c r="I15" s="662"/>
    </row>
    <row r="16" spans="1:9" x14ac:dyDescent="0.2">
      <c r="A16" s="799" t="s">
        <v>387</v>
      </c>
      <c r="B16" s="665"/>
      <c r="C16" s="665"/>
      <c r="D16" s="662"/>
      <c r="E16" s="662"/>
      <c r="F16" s="662"/>
      <c r="G16" s="662"/>
      <c r="H16" s="662"/>
      <c r="I16" s="662"/>
    </row>
    <row r="17" spans="1:12" x14ac:dyDescent="0.2">
      <c r="A17" s="799"/>
      <c r="B17" s="665"/>
      <c r="C17" s="665"/>
      <c r="D17" s="662"/>
      <c r="E17" s="662"/>
      <c r="F17" s="662"/>
      <c r="G17" s="662"/>
      <c r="H17" s="662"/>
      <c r="I17" s="662"/>
    </row>
    <row r="18" spans="1:12" x14ac:dyDescent="0.2">
      <c r="A18" s="798" t="s">
        <v>388</v>
      </c>
      <c r="B18" s="665"/>
      <c r="C18" s="665"/>
      <c r="D18" s="662"/>
      <c r="E18" s="662"/>
      <c r="F18" s="662"/>
      <c r="G18" s="662"/>
      <c r="H18" s="662"/>
      <c r="I18" s="662"/>
    </row>
    <row r="19" spans="1:12" x14ac:dyDescent="0.2">
      <c r="A19" s="798" t="s">
        <v>71</v>
      </c>
      <c r="B19" s="665"/>
      <c r="C19" s="665"/>
      <c r="D19" s="662"/>
      <c r="E19" s="662"/>
      <c r="F19" s="662"/>
      <c r="G19" s="662"/>
      <c r="H19" s="662"/>
      <c r="I19" s="662"/>
    </row>
    <row r="20" spans="1:12" x14ac:dyDescent="0.2">
      <c r="A20" s="798" t="s">
        <v>389</v>
      </c>
      <c r="B20" s="665"/>
      <c r="C20" s="665"/>
      <c r="D20" s="662"/>
      <c r="E20" s="662"/>
      <c r="F20" s="662"/>
      <c r="G20" s="662"/>
      <c r="H20" s="662"/>
      <c r="I20" s="662"/>
    </row>
    <row r="21" spans="1:12" x14ac:dyDescent="0.2">
      <c r="A21" s="798"/>
      <c r="B21" s="665"/>
      <c r="C21" s="665"/>
      <c r="D21" s="662"/>
      <c r="E21" s="662"/>
      <c r="F21" s="662"/>
      <c r="G21" s="662"/>
      <c r="H21" s="662"/>
      <c r="I21" s="662"/>
    </row>
    <row r="22" spans="1:12" x14ac:dyDescent="0.2">
      <c r="A22" s="662"/>
      <c r="B22" s="662"/>
      <c r="C22" s="662"/>
      <c r="D22" s="662"/>
      <c r="E22" s="662"/>
      <c r="F22" s="662"/>
      <c r="G22" s="662"/>
      <c r="H22" s="662"/>
      <c r="I22" s="662"/>
    </row>
    <row r="23" spans="1:12" x14ac:dyDescent="0.2">
      <c r="A23" s="662"/>
      <c r="B23" s="662"/>
      <c r="C23" s="662"/>
      <c r="D23" s="662"/>
      <c r="E23" s="785" t="s">
        <v>1806</v>
      </c>
      <c r="F23" s="662"/>
      <c r="G23" s="662"/>
      <c r="H23" s="662"/>
      <c r="I23" s="662"/>
    </row>
    <row r="24" spans="1:12" x14ac:dyDescent="0.2">
      <c r="A24" s="662"/>
      <c r="B24" s="662"/>
      <c r="C24" s="662"/>
      <c r="D24" s="662"/>
      <c r="E24" s="662"/>
      <c r="F24" s="663" t="s">
        <v>1542</v>
      </c>
      <c r="G24" s="664"/>
      <c r="H24" s="662"/>
      <c r="I24" s="783" t="s">
        <v>1805</v>
      </c>
    </row>
    <row r="25" spans="1:12" x14ac:dyDescent="0.2">
      <c r="A25" s="662"/>
      <c r="B25" s="662"/>
      <c r="C25" s="662"/>
      <c r="D25" s="662"/>
      <c r="E25" s="778" t="s">
        <v>1383</v>
      </c>
      <c r="F25" s="786" t="s">
        <v>1619</v>
      </c>
      <c r="G25" s="786" t="s">
        <v>487</v>
      </c>
      <c r="H25" s="548" t="s">
        <v>1936</v>
      </c>
      <c r="I25" s="548" t="s">
        <v>1317</v>
      </c>
    </row>
    <row r="26" spans="1:12" x14ac:dyDescent="0.2">
      <c r="A26" s="662"/>
      <c r="B26" s="662"/>
      <c r="C26" s="662"/>
      <c r="D26" s="662"/>
      <c r="E26" s="779" t="s">
        <v>346</v>
      </c>
      <c r="F26" s="662">
        <f>Rooms!BH461</f>
        <v>83534</v>
      </c>
      <c r="G26" s="662"/>
      <c r="H26" s="662"/>
      <c r="I26" s="662"/>
    </row>
    <row r="27" spans="1:12" x14ac:dyDescent="0.2">
      <c r="A27" s="662"/>
      <c r="B27" s="662"/>
      <c r="C27" s="662"/>
      <c r="D27" s="662"/>
      <c r="E27" s="779" t="s">
        <v>1385</v>
      </c>
      <c r="F27" s="662">
        <f>Rooms!BH462</f>
        <v>16589</v>
      </c>
      <c r="G27" s="662"/>
      <c r="H27" s="662"/>
      <c r="I27" s="662"/>
      <c r="K27" s="544"/>
    </row>
    <row r="28" spans="1:12" x14ac:dyDescent="0.2">
      <c r="A28" s="662"/>
      <c r="B28" s="662"/>
      <c r="C28" s="662"/>
      <c r="D28" s="662"/>
      <c r="E28" s="784" t="s">
        <v>76</v>
      </c>
      <c r="F28" s="662"/>
      <c r="G28" s="662"/>
      <c r="H28" s="667"/>
      <c r="I28" s="665"/>
      <c r="K28" s="544">
        <v>6.2083624418018908E-2</v>
      </c>
      <c r="L28" s="544"/>
    </row>
    <row r="29" spans="1:12" x14ac:dyDescent="0.2">
      <c r="A29" s="662"/>
      <c r="B29" s="662"/>
      <c r="C29" s="662"/>
      <c r="D29" s="662"/>
      <c r="E29" s="779"/>
      <c r="F29" s="662"/>
      <c r="G29" s="662"/>
      <c r="H29" s="662"/>
      <c r="I29" s="665"/>
      <c r="K29" s="544"/>
      <c r="L29" s="544"/>
    </row>
    <row r="30" spans="1:12" x14ac:dyDescent="0.2">
      <c r="A30" s="662"/>
      <c r="B30" s="662"/>
      <c r="C30" s="662"/>
      <c r="D30" s="662"/>
      <c r="E30" s="778" t="s">
        <v>1417</v>
      </c>
      <c r="F30" s="662"/>
      <c r="G30" s="662"/>
      <c r="H30" s="662"/>
      <c r="I30" s="665"/>
      <c r="K30" s="544"/>
      <c r="L30" s="544"/>
    </row>
    <row r="31" spans="1:12" x14ac:dyDescent="0.2">
      <c r="A31" s="662"/>
      <c r="B31" s="662"/>
      <c r="C31" s="662"/>
      <c r="D31" s="662"/>
      <c r="E31" s="779" t="s">
        <v>1754</v>
      </c>
      <c r="F31" s="662">
        <f>Rooms!BH862</f>
        <v>11940</v>
      </c>
      <c r="G31" s="662"/>
      <c r="H31" s="662"/>
      <c r="I31" s="665"/>
      <c r="K31" s="544">
        <v>8.6693928456971214E-2</v>
      </c>
      <c r="L31" s="544"/>
    </row>
    <row r="32" spans="1:12" x14ac:dyDescent="0.2">
      <c r="A32" s="662"/>
      <c r="B32" s="662"/>
      <c r="C32" s="662"/>
      <c r="D32" s="662"/>
      <c r="E32" s="784" t="s">
        <v>76</v>
      </c>
      <c r="F32" s="662"/>
      <c r="G32" s="662"/>
      <c r="H32" s="667"/>
      <c r="I32" s="665"/>
      <c r="K32" s="544"/>
      <c r="L32" s="544"/>
    </row>
    <row r="33" spans="1:12" x14ac:dyDescent="0.2">
      <c r="A33" s="662"/>
      <c r="B33" s="662"/>
      <c r="C33" s="662"/>
      <c r="D33" s="662"/>
      <c r="E33" s="779"/>
      <c r="F33" s="662"/>
      <c r="G33" s="662"/>
      <c r="H33" s="662"/>
      <c r="I33" s="665"/>
      <c r="K33" s="544"/>
      <c r="L33" s="544"/>
    </row>
    <row r="34" spans="1:12" x14ac:dyDescent="0.2">
      <c r="A34" s="662"/>
      <c r="B34" s="662"/>
      <c r="C34" s="662"/>
      <c r="D34" s="662"/>
      <c r="E34" s="780" t="s">
        <v>1387</v>
      </c>
      <c r="F34" s="662"/>
      <c r="G34" s="662"/>
      <c r="H34" s="662"/>
      <c r="I34" s="665"/>
      <c r="K34" s="544"/>
      <c r="L34" s="544"/>
    </row>
    <row r="35" spans="1:12" x14ac:dyDescent="0.2">
      <c r="A35" s="662"/>
      <c r="B35" s="662"/>
      <c r="C35" s="662"/>
      <c r="D35" s="662"/>
      <c r="E35" s="779" t="s">
        <v>1386</v>
      </c>
      <c r="F35" s="662">
        <f>Rooms!BH469</f>
        <v>40896</v>
      </c>
      <c r="G35" s="662"/>
      <c r="H35" s="662"/>
      <c r="I35" s="665"/>
      <c r="K35" s="544"/>
      <c r="L35" s="544"/>
    </row>
    <row r="36" spans="1:12" x14ac:dyDescent="0.2">
      <c r="A36" s="662"/>
      <c r="B36" s="662"/>
      <c r="C36" s="662"/>
      <c r="D36" s="662"/>
      <c r="E36" s="779" t="s">
        <v>1389</v>
      </c>
      <c r="F36" s="662">
        <f>Rooms!BH473</f>
        <v>1055</v>
      </c>
      <c r="G36" s="662"/>
      <c r="H36" s="662"/>
      <c r="I36" s="665"/>
      <c r="K36" s="544"/>
      <c r="L36" s="544"/>
    </row>
    <row r="37" spans="1:12" x14ac:dyDescent="0.2">
      <c r="A37" s="662"/>
      <c r="B37" s="662"/>
      <c r="C37" s="662"/>
      <c r="D37" s="662"/>
      <c r="E37" s="779" t="s">
        <v>452</v>
      </c>
      <c r="F37" s="662">
        <f>Rooms!BH471</f>
        <v>19285</v>
      </c>
      <c r="G37" s="662"/>
      <c r="H37" s="662"/>
      <c r="I37" s="665"/>
      <c r="K37" s="544"/>
      <c r="L37" s="544"/>
    </row>
    <row r="38" spans="1:12" x14ac:dyDescent="0.2">
      <c r="A38" s="662"/>
      <c r="B38" s="662"/>
      <c r="C38" s="662"/>
      <c r="D38" s="662"/>
      <c r="E38" s="784" t="s">
        <v>76</v>
      </c>
      <c r="F38" s="662"/>
      <c r="G38" s="662"/>
      <c r="H38" s="667"/>
      <c r="I38" s="665"/>
      <c r="K38" s="544">
        <v>7.7342715961973077E-2</v>
      </c>
      <c r="L38" s="544"/>
    </row>
    <row r="39" spans="1:12" x14ac:dyDescent="0.2">
      <c r="A39" s="662"/>
      <c r="B39" s="662"/>
      <c r="C39" s="662"/>
      <c r="D39" s="662"/>
      <c r="E39" s="781"/>
      <c r="F39" s="662"/>
      <c r="G39" s="662"/>
      <c r="H39" s="662"/>
      <c r="I39" s="665"/>
      <c r="K39" s="544"/>
      <c r="L39" s="544"/>
    </row>
    <row r="40" spans="1:12" x14ac:dyDescent="0.2">
      <c r="A40" s="549"/>
      <c r="B40" s="662"/>
      <c r="C40" s="662"/>
      <c r="D40" s="662"/>
      <c r="E40" s="778" t="s">
        <v>1255</v>
      </c>
      <c r="F40" s="662"/>
      <c r="G40" s="662"/>
      <c r="H40" s="662"/>
      <c r="I40" s="665"/>
      <c r="K40" s="544"/>
      <c r="L40" s="544"/>
    </row>
    <row r="41" spans="1:12" x14ac:dyDescent="0.2">
      <c r="A41" s="662"/>
      <c r="B41" s="662"/>
      <c r="C41" s="662"/>
      <c r="D41" s="662"/>
      <c r="E41" s="779" t="s">
        <v>1390</v>
      </c>
      <c r="F41" s="662">
        <f>Rooms!BH475</f>
        <v>5311</v>
      </c>
      <c r="G41" s="800"/>
      <c r="H41" s="662"/>
      <c r="I41" s="665"/>
      <c r="K41" s="544"/>
      <c r="L41" s="544"/>
    </row>
    <row r="42" spans="1:12" x14ac:dyDescent="0.2">
      <c r="A42" s="662"/>
      <c r="B42" s="662"/>
      <c r="C42" s="662"/>
      <c r="D42" s="662"/>
      <c r="E42" s="779" t="s">
        <v>1391</v>
      </c>
      <c r="F42" s="662">
        <f>Rooms!BH472</f>
        <v>3658</v>
      </c>
      <c r="G42" s="662"/>
      <c r="H42" s="662"/>
      <c r="I42" s="665"/>
      <c r="K42" s="544"/>
      <c r="L42" s="544"/>
    </row>
    <row r="43" spans="1:12" x14ac:dyDescent="0.2">
      <c r="A43" s="662"/>
      <c r="B43" s="662"/>
      <c r="C43" s="662"/>
      <c r="D43" s="662"/>
      <c r="E43" s="784" t="s">
        <v>76</v>
      </c>
      <c r="F43" s="662"/>
      <c r="G43" s="662"/>
      <c r="H43" s="667"/>
      <c r="I43" s="665"/>
      <c r="K43" s="544">
        <v>7.8886809851465595E-2</v>
      </c>
      <c r="L43" s="544"/>
    </row>
    <row r="44" spans="1:12" x14ac:dyDescent="0.2">
      <c r="A44" s="662"/>
      <c r="B44" s="662"/>
      <c r="C44" s="662"/>
      <c r="D44" s="662"/>
      <c r="E44" s="782"/>
      <c r="F44" s="662"/>
      <c r="G44" s="662"/>
      <c r="H44" s="662"/>
      <c r="I44" s="662"/>
      <c r="L44" s="654"/>
    </row>
    <row r="45" spans="1:12" x14ac:dyDescent="0.2">
      <c r="A45" s="662"/>
      <c r="B45" s="662"/>
      <c r="C45" s="662"/>
      <c r="D45" s="662"/>
      <c r="E45" s="542" t="s">
        <v>1735</v>
      </c>
      <c r="F45" s="662"/>
      <c r="G45" s="662"/>
      <c r="H45" s="662"/>
      <c r="I45" s="662"/>
    </row>
    <row r="46" spans="1:12" x14ac:dyDescent="0.2">
      <c r="A46" s="662"/>
      <c r="B46" s="662"/>
      <c r="C46" s="662"/>
      <c r="D46" s="662"/>
      <c r="E46" s="662"/>
      <c r="F46" s="662"/>
      <c r="G46" s="662"/>
      <c r="H46" s="662"/>
      <c r="I46" s="662"/>
    </row>
    <row r="47" spans="1:12" x14ac:dyDescent="0.2">
      <c r="A47" s="662"/>
      <c r="B47" s="662"/>
      <c r="C47" s="662"/>
      <c r="D47" s="662"/>
      <c r="E47" s="785" t="s">
        <v>1807</v>
      </c>
      <c r="F47" s="662"/>
      <c r="G47" s="662"/>
      <c r="H47" s="662"/>
      <c r="I47" s="662"/>
    </row>
    <row r="48" spans="1:12" x14ac:dyDescent="0.2">
      <c r="A48" s="662"/>
      <c r="B48" s="662"/>
      <c r="C48" s="662"/>
      <c r="D48" s="662"/>
      <c r="E48" s="662"/>
      <c r="F48" s="662"/>
      <c r="G48" s="662"/>
      <c r="H48" s="662"/>
      <c r="I48" s="662"/>
    </row>
    <row r="49" spans="1:12" x14ac:dyDescent="0.2">
      <c r="A49" s="662"/>
      <c r="B49" s="662"/>
      <c r="C49" s="662"/>
      <c r="D49" s="662"/>
      <c r="E49" s="662" t="s">
        <v>1808</v>
      </c>
      <c r="F49" s="662">
        <f>Rooms!BH874</f>
        <v>90058</v>
      </c>
      <c r="G49" s="662"/>
      <c r="H49" s="662"/>
      <c r="I49" s="662"/>
    </row>
    <row r="50" spans="1:12" x14ac:dyDescent="0.2">
      <c r="A50" s="662"/>
      <c r="B50" s="662"/>
      <c r="C50" s="662"/>
      <c r="D50" s="662"/>
      <c r="E50" s="662"/>
      <c r="F50" s="662"/>
      <c r="G50" s="662"/>
      <c r="H50" s="662"/>
      <c r="I50" s="662"/>
    </row>
    <row r="51" spans="1:12" x14ac:dyDescent="0.2">
      <c r="A51" s="662"/>
      <c r="B51" s="662"/>
      <c r="C51" s="662"/>
      <c r="D51" s="662"/>
      <c r="E51" s="662"/>
      <c r="F51" s="662"/>
      <c r="G51" s="662"/>
      <c r="H51" s="662"/>
      <c r="I51" s="662"/>
    </row>
    <row r="52" spans="1:12" x14ac:dyDescent="0.2">
      <c r="A52" s="662"/>
      <c r="B52" s="662"/>
      <c r="C52" s="662"/>
      <c r="D52" s="662"/>
      <c r="E52" s="785" t="s">
        <v>1810</v>
      </c>
      <c r="F52" s="662"/>
      <c r="G52" s="662"/>
      <c r="H52" s="662"/>
      <c r="I52" s="662"/>
    </row>
    <row r="53" spans="1:12" x14ac:dyDescent="0.2">
      <c r="A53" s="662"/>
      <c r="B53" s="662"/>
      <c r="C53" s="662"/>
      <c r="D53" s="662"/>
      <c r="E53" s="662"/>
      <c r="F53" s="663" t="s">
        <v>1542</v>
      </c>
      <c r="G53" s="664"/>
      <c r="H53" s="662"/>
      <c r="I53" s="783" t="s">
        <v>376</v>
      </c>
    </row>
    <row r="54" spans="1:12" x14ac:dyDescent="0.2">
      <c r="A54" s="662"/>
      <c r="B54" s="662"/>
      <c r="C54" s="662"/>
      <c r="D54" s="662"/>
      <c r="E54" s="778" t="s">
        <v>1383</v>
      </c>
      <c r="F54" s="786" t="s">
        <v>1619</v>
      </c>
      <c r="G54" s="786" t="s">
        <v>487</v>
      </c>
      <c r="H54" s="548" t="s">
        <v>1936</v>
      </c>
      <c r="I54" s="548" t="s">
        <v>1317</v>
      </c>
    </row>
    <row r="55" spans="1:12" x14ac:dyDescent="0.2">
      <c r="A55" s="662"/>
      <c r="B55" s="662"/>
      <c r="C55" s="662"/>
      <c r="D55" s="662"/>
      <c r="E55" s="779" t="s">
        <v>346</v>
      </c>
      <c r="F55" s="662">
        <f>Rooms!BH496</f>
        <v>58295</v>
      </c>
      <c r="G55" s="662">
        <f>G26</f>
        <v>0</v>
      </c>
      <c r="H55" s="787">
        <f>F55*G55/1000000</f>
        <v>0</v>
      </c>
      <c r="I55" s="665"/>
    </row>
    <row r="56" spans="1:12" x14ac:dyDescent="0.2">
      <c r="A56" s="662"/>
      <c r="B56" s="662"/>
      <c r="C56" s="662"/>
      <c r="D56" s="662"/>
      <c r="E56" s="779" t="s">
        <v>1385</v>
      </c>
      <c r="F56" s="693">
        <f>Rooms!BH497</f>
        <v>11827</v>
      </c>
      <c r="G56" s="662">
        <f>G27</f>
        <v>0</v>
      </c>
      <c r="H56" s="787">
        <f>F56*G56/1000000</f>
        <v>0</v>
      </c>
      <c r="I56" s="665"/>
    </row>
    <row r="57" spans="1:12" x14ac:dyDescent="0.2">
      <c r="A57" s="662"/>
      <c r="B57" s="662"/>
      <c r="C57" s="662"/>
      <c r="D57" s="662"/>
      <c r="E57" s="784" t="s">
        <v>76</v>
      </c>
      <c r="F57" s="662">
        <f>SUM(F55:F56)</f>
        <v>70122</v>
      </c>
      <c r="G57" s="662"/>
      <c r="H57" s="787">
        <f>SUM(H55:H56)</f>
        <v>0</v>
      </c>
      <c r="I57" s="665"/>
      <c r="K57" s="544">
        <f>+K28</f>
        <v>6.2083624418018908E-2</v>
      </c>
      <c r="L57">
        <f>+I57*K57</f>
        <v>0</v>
      </c>
    </row>
    <row r="58" spans="1:12" x14ac:dyDescent="0.2">
      <c r="A58" s="662"/>
      <c r="B58" s="662"/>
      <c r="C58" s="662"/>
      <c r="D58" s="662"/>
      <c r="E58" s="779"/>
      <c r="F58" s="662"/>
      <c r="G58" s="662"/>
      <c r="H58" s="787"/>
      <c r="I58" s="662"/>
      <c r="K58" s="544"/>
    </row>
    <row r="59" spans="1:12" x14ac:dyDescent="0.2">
      <c r="A59" s="662"/>
      <c r="B59" s="662"/>
      <c r="C59" s="662"/>
      <c r="D59" s="662"/>
      <c r="E59" s="778" t="s">
        <v>1417</v>
      </c>
      <c r="F59" s="662"/>
      <c r="G59" s="662"/>
      <c r="H59" s="787"/>
      <c r="I59" s="662"/>
      <c r="K59" s="544"/>
    </row>
    <row r="60" spans="1:12" x14ac:dyDescent="0.2">
      <c r="A60" s="662"/>
      <c r="B60" s="662"/>
      <c r="C60" s="662"/>
      <c r="D60" s="662"/>
      <c r="E60" s="779" t="s">
        <v>2046</v>
      </c>
      <c r="F60" s="693">
        <f>Rooms!BH498</f>
        <v>4118</v>
      </c>
      <c r="G60" s="662">
        <f>G31</f>
        <v>0</v>
      </c>
      <c r="H60" s="787">
        <f>F60*G60/1000000</f>
        <v>0</v>
      </c>
      <c r="I60" s="665"/>
      <c r="K60" s="544"/>
    </row>
    <row r="61" spans="1:12" x14ac:dyDescent="0.2">
      <c r="A61" s="662"/>
      <c r="B61" s="662"/>
      <c r="C61" s="662"/>
      <c r="D61" s="662"/>
      <c r="E61" s="784" t="s">
        <v>76</v>
      </c>
      <c r="F61" s="662">
        <f>SUM(F60)</f>
        <v>4118</v>
      </c>
      <c r="G61" s="662"/>
      <c r="H61" s="787">
        <f>SUM(H60)</f>
        <v>0</v>
      </c>
      <c r="I61" s="665"/>
      <c r="K61" s="544">
        <f>+K31</f>
        <v>8.6693928456971214E-2</v>
      </c>
      <c r="L61">
        <f>+I61*K61</f>
        <v>0</v>
      </c>
    </row>
    <row r="62" spans="1:12" x14ac:dyDescent="0.2">
      <c r="A62" s="662"/>
      <c r="B62" s="662"/>
      <c r="C62" s="662"/>
      <c r="D62" s="662"/>
      <c r="E62" s="779"/>
      <c r="F62" s="662"/>
      <c r="G62" s="662"/>
      <c r="H62" s="787"/>
      <c r="I62" s="662"/>
      <c r="K62" s="544"/>
    </row>
    <row r="63" spans="1:12" x14ac:dyDescent="0.2">
      <c r="A63" s="662"/>
      <c r="B63" s="662"/>
      <c r="C63" s="662"/>
      <c r="D63" s="662"/>
      <c r="E63" s="780" t="s">
        <v>1387</v>
      </c>
      <c r="F63" s="662"/>
      <c r="G63" s="662"/>
      <c r="H63" s="787"/>
      <c r="I63" s="662"/>
      <c r="K63" s="544"/>
    </row>
    <row r="64" spans="1:12" x14ac:dyDescent="0.2">
      <c r="A64" s="662"/>
      <c r="B64" s="662"/>
      <c r="C64" s="662"/>
      <c r="D64" s="662"/>
      <c r="E64" s="779" t="s">
        <v>1386</v>
      </c>
      <c r="F64" s="662">
        <f>Rooms!BH504</f>
        <v>68229</v>
      </c>
      <c r="G64" s="662">
        <f>G35</f>
        <v>0</v>
      </c>
      <c r="H64" s="787">
        <f>F64*G64/1000000</f>
        <v>0</v>
      </c>
      <c r="I64" s="665"/>
      <c r="K64" s="544"/>
    </row>
    <row r="65" spans="1:12" x14ac:dyDescent="0.2">
      <c r="A65" s="662"/>
      <c r="B65" s="662"/>
      <c r="C65" s="662"/>
      <c r="D65" s="662"/>
      <c r="E65" s="779" t="s">
        <v>1389</v>
      </c>
      <c r="F65" s="662">
        <f>Rooms!BH508</f>
        <v>57945</v>
      </c>
      <c r="G65" s="662">
        <f>G36</f>
        <v>0</v>
      </c>
      <c r="H65" s="787">
        <f>F65*G65/1000000</f>
        <v>0</v>
      </c>
      <c r="I65" s="665"/>
      <c r="K65" s="544"/>
    </row>
    <row r="66" spans="1:12" x14ac:dyDescent="0.2">
      <c r="A66" s="662"/>
      <c r="B66" s="662"/>
      <c r="C66" s="662"/>
      <c r="D66" s="662"/>
      <c r="E66" s="779" t="s">
        <v>452</v>
      </c>
      <c r="F66" s="693">
        <f>Rooms!BH506</f>
        <v>52590</v>
      </c>
      <c r="G66" s="693">
        <f>G37</f>
        <v>0</v>
      </c>
      <c r="H66" s="787">
        <f>F66*G66/1000000</f>
        <v>0</v>
      </c>
      <c r="I66" s="665"/>
      <c r="K66" s="544"/>
    </row>
    <row r="67" spans="1:12" x14ac:dyDescent="0.2">
      <c r="A67" s="662"/>
      <c r="B67" s="662"/>
      <c r="C67" s="662"/>
      <c r="D67" s="662"/>
      <c r="E67" s="784" t="s">
        <v>76</v>
      </c>
      <c r="F67" s="662">
        <f>SUM(F64:F66)</f>
        <v>178764</v>
      </c>
      <c r="G67" s="662"/>
      <c r="H67" s="787">
        <f>SUM(H64:H66)</f>
        <v>0</v>
      </c>
      <c r="I67" s="665"/>
      <c r="K67" s="544">
        <f>+K38</f>
        <v>7.7342715961973077E-2</v>
      </c>
      <c r="L67">
        <f>+I67*K67</f>
        <v>0</v>
      </c>
    </row>
    <row r="68" spans="1:12" x14ac:dyDescent="0.2">
      <c r="A68" s="662"/>
      <c r="B68" s="662"/>
      <c r="C68" s="662"/>
      <c r="D68" s="662"/>
      <c r="E68" s="781"/>
      <c r="F68" s="662"/>
      <c r="G68" s="662"/>
      <c r="H68" s="787"/>
      <c r="I68" s="662"/>
      <c r="K68" s="544"/>
    </row>
    <row r="69" spans="1:12" x14ac:dyDescent="0.2">
      <c r="A69" s="662"/>
      <c r="B69" s="662"/>
      <c r="C69" s="662"/>
      <c r="D69" s="662"/>
      <c r="E69" s="778" t="s">
        <v>1255</v>
      </c>
      <c r="F69" s="662"/>
      <c r="G69" s="662"/>
      <c r="H69" s="787"/>
      <c r="I69" s="662"/>
      <c r="K69" s="544"/>
    </row>
    <row r="70" spans="1:12" x14ac:dyDescent="0.2">
      <c r="A70" s="662"/>
      <c r="B70" s="662"/>
      <c r="C70" s="662"/>
      <c r="D70" s="662"/>
      <c r="E70" s="779" t="s">
        <v>1390</v>
      </c>
      <c r="F70" s="662">
        <f>Rooms!BH509</f>
        <v>27453</v>
      </c>
      <c r="G70" s="800">
        <f>G41</f>
        <v>0</v>
      </c>
      <c r="H70" s="787">
        <f>F70*G70/1000000</f>
        <v>0</v>
      </c>
      <c r="I70" s="665"/>
      <c r="K70" s="544"/>
    </row>
    <row r="71" spans="1:12" x14ac:dyDescent="0.2">
      <c r="A71" s="662"/>
      <c r="B71" s="662"/>
      <c r="C71" s="662"/>
      <c r="D71" s="662"/>
      <c r="E71" s="779" t="s">
        <v>1391</v>
      </c>
      <c r="F71" s="693">
        <f>Rooms!BH507</f>
        <v>15939</v>
      </c>
      <c r="G71" s="662">
        <f>G42</f>
        <v>0</v>
      </c>
      <c r="H71" s="787">
        <f>F71*G71/1000000</f>
        <v>0</v>
      </c>
      <c r="I71" s="665"/>
      <c r="K71" s="544"/>
    </row>
    <row r="72" spans="1:12" x14ac:dyDescent="0.2">
      <c r="A72" s="662"/>
      <c r="B72" s="662"/>
      <c r="C72" s="662"/>
      <c r="D72" s="662"/>
      <c r="E72" s="784" t="s">
        <v>76</v>
      </c>
      <c r="F72" s="662">
        <f>SUM(F70:F71)</f>
        <v>43392</v>
      </c>
      <c r="G72" s="662"/>
      <c r="H72" s="787">
        <f>SUM(H70:H71)</f>
        <v>0</v>
      </c>
      <c r="I72" s="665"/>
      <c r="K72" s="544">
        <f>+K43</f>
        <v>7.8886809851465595E-2</v>
      </c>
      <c r="L72">
        <f>+I72*K72</f>
        <v>0</v>
      </c>
    </row>
    <row r="73" spans="1:12" x14ac:dyDescent="0.2">
      <c r="A73" s="662"/>
      <c r="B73" s="662"/>
      <c r="C73" s="662"/>
      <c r="D73" s="662"/>
      <c r="E73" s="782"/>
      <c r="F73" s="662"/>
      <c r="G73" s="662"/>
      <c r="H73" s="662"/>
      <c r="I73" s="662"/>
      <c r="L73" s="654">
        <f>SUM(L57:L72)</f>
        <v>0</v>
      </c>
    </row>
    <row r="74" spans="1:12" x14ac:dyDescent="0.2">
      <c r="A74" s="662"/>
      <c r="B74" s="662"/>
      <c r="C74" s="662"/>
      <c r="D74" s="662"/>
      <c r="E74" s="542" t="s">
        <v>1735</v>
      </c>
      <c r="F74" s="662">
        <f>F72+F67+F61+F57</f>
        <v>296396</v>
      </c>
      <c r="G74" s="662"/>
      <c r="H74" s="787">
        <f>H72+H67+H61+H57</f>
        <v>0</v>
      </c>
      <c r="I74" s="665"/>
    </row>
    <row r="75" spans="1:12" x14ac:dyDescent="0.2">
      <c r="A75" s="662"/>
      <c r="B75" s="662"/>
      <c r="C75" s="662"/>
      <c r="D75" s="662"/>
      <c r="E75" s="662"/>
      <c r="F75" s="662"/>
      <c r="G75" s="662"/>
      <c r="H75" s="662"/>
      <c r="I75" s="662"/>
    </row>
    <row r="76" spans="1:12" x14ac:dyDescent="0.2">
      <c r="A76" s="662"/>
      <c r="B76" s="662"/>
      <c r="C76" s="662"/>
      <c r="D76" s="662"/>
      <c r="E76" s="785" t="s">
        <v>72</v>
      </c>
      <c r="F76" s="662"/>
      <c r="G76" s="662"/>
      <c r="H76" s="662"/>
      <c r="I76" s="662"/>
    </row>
    <row r="77" spans="1:12" x14ac:dyDescent="0.2">
      <c r="A77" s="662"/>
      <c r="B77" s="662"/>
      <c r="C77" s="662"/>
      <c r="D77" s="662"/>
      <c r="E77" s="662"/>
      <c r="F77" s="662"/>
      <c r="G77" s="662"/>
      <c r="H77" s="662"/>
      <c r="I77" s="662"/>
    </row>
    <row r="78" spans="1:12" x14ac:dyDescent="0.2">
      <c r="A78" s="662"/>
      <c r="B78" s="662"/>
      <c r="C78" s="662"/>
      <c r="D78" s="662"/>
      <c r="E78" s="662" t="s">
        <v>1808</v>
      </c>
      <c r="F78" s="662">
        <f>Rooms!BH895</f>
        <v>28918</v>
      </c>
      <c r="G78" s="662"/>
      <c r="H78" s="662"/>
      <c r="I78" s="662"/>
    </row>
    <row r="79" spans="1:12" x14ac:dyDescent="0.2">
      <c r="A79" s="662"/>
      <c r="B79" s="662"/>
      <c r="C79" s="662"/>
      <c r="D79" s="662"/>
      <c r="E79" s="662"/>
      <c r="F79" s="662"/>
      <c r="G79" s="662"/>
      <c r="H79" s="662"/>
      <c r="I79" s="662"/>
    </row>
    <row r="80" spans="1:12" x14ac:dyDescent="0.2">
      <c r="A80" s="662"/>
      <c r="B80" s="662"/>
      <c r="C80" s="662"/>
      <c r="D80" s="662"/>
      <c r="E80" s="662"/>
      <c r="F80" s="662"/>
      <c r="G80" s="662"/>
      <c r="H80" s="662"/>
      <c r="I80" s="662"/>
    </row>
    <row r="81" spans="1:9" x14ac:dyDescent="0.2">
      <c r="A81" s="662"/>
      <c r="B81" s="662"/>
      <c r="C81" s="662"/>
      <c r="D81" s="662"/>
      <c r="E81" s="662"/>
      <c r="F81" s="662"/>
      <c r="G81" s="662"/>
      <c r="H81" s="662"/>
      <c r="I81" s="662"/>
    </row>
    <row r="82" spans="1:9" x14ac:dyDescent="0.2">
      <c r="A82" s="662"/>
      <c r="B82" s="662"/>
      <c r="C82" s="662"/>
      <c r="D82" s="662"/>
      <c r="E82" s="662"/>
      <c r="F82" s="662"/>
      <c r="G82" s="662"/>
      <c r="H82" s="662"/>
      <c r="I82" s="662"/>
    </row>
    <row r="83" spans="1:9" x14ac:dyDescent="0.2">
      <c r="A83" s="662"/>
      <c r="B83" s="662"/>
      <c r="C83" s="662"/>
      <c r="D83" s="662"/>
      <c r="E83" s="662"/>
      <c r="F83" s="662"/>
      <c r="G83" s="662"/>
      <c r="H83" s="662"/>
      <c r="I83" s="662"/>
    </row>
    <row r="84" spans="1:9" x14ac:dyDescent="0.2">
      <c r="A84" s="662"/>
      <c r="B84" s="662"/>
      <c r="C84" s="662"/>
      <c r="D84" s="662"/>
      <c r="E84" s="662"/>
      <c r="F84" s="662"/>
      <c r="G84" s="662"/>
      <c r="H84" s="662"/>
      <c r="I84" s="662"/>
    </row>
    <row r="85" spans="1:9" x14ac:dyDescent="0.2">
      <c r="A85" s="549"/>
      <c r="B85" s="662"/>
      <c r="C85" s="662"/>
      <c r="D85" s="662"/>
      <c r="E85" s="662"/>
      <c r="F85" s="662"/>
      <c r="G85" s="662"/>
      <c r="H85" s="662"/>
      <c r="I85" s="662"/>
    </row>
    <row r="86" spans="1:9" x14ac:dyDescent="0.2">
      <c r="A86" s="543" t="s">
        <v>1747</v>
      </c>
      <c r="B86" s="662"/>
      <c r="C86" s="662"/>
      <c r="D86" s="662"/>
      <c r="E86" s="662"/>
      <c r="F86" s="662"/>
      <c r="G86" s="662"/>
      <c r="H86" s="662"/>
      <c r="I86" s="662"/>
    </row>
    <row r="87" spans="1:9" x14ac:dyDescent="0.2">
      <c r="A87" s="796" t="s">
        <v>1309</v>
      </c>
      <c r="B87" s="662"/>
      <c r="C87" s="662"/>
      <c r="D87" s="662"/>
      <c r="E87" s="662"/>
      <c r="F87" s="662"/>
      <c r="G87" s="662"/>
      <c r="H87" s="662"/>
      <c r="I87" s="662"/>
    </row>
    <row r="88" spans="1:9" x14ac:dyDescent="0.2">
      <c r="A88" s="796" t="s">
        <v>1936</v>
      </c>
      <c r="B88" s="662"/>
      <c r="C88" s="662"/>
      <c r="D88" s="662"/>
      <c r="E88" s="662"/>
      <c r="F88" s="662"/>
      <c r="G88" s="662"/>
      <c r="H88" s="662"/>
      <c r="I88" s="662"/>
    </row>
    <row r="89" spans="1:9" x14ac:dyDescent="0.2">
      <c r="A89" s="796"/>
      <c r="B89" s="662"/>
      <c r="C89" s="662"/>
      <c r="D89" s="662"/>
      <c r="E89" s="662"/>
      <c r="F89" s="662"/>
      <c r="G89" s="662"/>
      <c r="H89" s="662"/>
      <c r="I89" s="662"/>
    </row>
    <row r="90" spans="1:9" x14ac:dyDescent="0.2">
      <c r="A90" s="796" t="s">
        <v>2036</v>
      </c>
      <c r="B90" s="662"/>
      <c r="C90" s="662"/>
      <c r="D90" s="662"/>
      <c r="E90" s="662"/>
      <c r="F90" s="662"/>
      <c r="G90" s="662"/>
      <c r="H90" s="662"/>
      <c r="I90" s="662"/>
    </row>
    <row r="91" spans="1:9" x14ac:dyDescent="0.2">
      <c r="A91" s="796" t="s">
        <v>1936</v>
      </c>
      <c r="B91" s="662"/>
      <c r="C91" s="662"/>
      <c r="D91" s="662"/>
      <c r="E91" s="662"/>
      <c r="F91" s="662"/>
      <c r="G91" s="662"/>
      <c r="H91" s="662"/>
      <c r="I91" s="662"/>
    </row>
    <row r="92" spans="1:9" x14ac:dyDescent="0.2">
      <c r="A92" s="662"/>
      <c r="B92" s="662"/>
      <c r="C92" s="662"/>
      <c r="D92" s="662"/>
      <c r="E92" s="662"/>
      <c r="F92" s="662"/>
      <c r="G92" s="662"/>
      <c r="H92" s="662"/>
      <c r="I92" s="662"/>
    </row>
    <row r="93" spans="1:9" x14ac:dyDescent="0.2">
      <c r="A93" s="797" t="s">
        <v>1735</v>
      </c>
      <c r="B93" s="662"/>
      <c r="C93" s="662"/>
      <c r="D93" s="662"/>
      <c r="E93" s="662"/>
      <c r="F93" s="662"/>
      <c r="G93" s="662"/>
      <c r="H93" s="662"/>
      <c r="I93" s="662"/>
    </row>
    <row r="94" spans="1:9" x14ac:dyDescent="0.2">
      <c r="A94" s="797"/>
      <c r="B94" s="662"/>
      <c r="C94" s="662"/>
      <c r="D94" s="662"/>
      <c r="E94" s="662"/>
      <c r="F94" s="662"/>
      <c r="G94" s="662"/>
      <c r="H94" s="662"/>
      <c r="I94" s="662"/>
    </row>
    <row r="95" spans="1:9" x14ac:dyDescent="0.2">
      <c r="A95" s="543" t="s">
        <v>1748</v>
      </c>
      <c r="B95" s="662"/>
      <c r="C95" s="662"/>
      <c r="D95" s="662"/>
      <c r="E95" s="662"/>
      <c r="F95" s="662"/>
      <c r="G95" s="662"/>
      <c r="H95" s="662"/>
      <c r="I95" s="662"/>
    </row>
    <row r="96" spans="1:9" x14ac:dyDescent="0.2">
      <c r="A96" s="796" t="s">
        <v>1309</v>
      </c>
      <c r="B96" s="662"/>
      <c r="C96" s="662"/>
      <c r="D96" s="662"/>
      <c r="E96" s="662"/>
      <c r="F96" s="662"/>
      <c r="G96" s="662"/>
      <c r="H96" s="662"/>
      <c r="I96" s="662"/>
    </row>
    <row r="97" spans="1:9" x14ac:dyDescent="0.2">
      <c r="A97" s="796" t="s">
        <v>1936</v>
      </c>
      <c r="B97" s="662"/>
      <c r="C97" s="662"/>
      <c r="D97" s="662"/>
      <c r="E97" s="662"/>
      <c r="F97" s="662"/>
      <c r="G97" s="662"/>
      <c r="H97" s="662"/>
      <c r="I97" s="662"/>
    </row>
    <row r="98" spans="1:9" x14ac:dyDescent="0.2">
      <c r="A98" s="796"/>
      <c r="B98" s="662"/>
      <c r="C98" s="662"/>
      <c r="D98" s="662"/>
      <c r="E98" s="662"/>
      <c r="F98" s="662"/>
      <c r="G98" s="662"/>
      <c r="H98" s="662"/>
      <c r="I98" s="662"/>
    </row>
    <row r="99" spans="1:9" x14ac:dyDescent="0.2">
      <c r="A99" s="796" t="s">
        <v>2036</v>
      </c>
      <c r="B99" s="662"/>
      <c r="C99" s="662"/>
      <c r="D99" s="662"/>
      <c r="E99" s="662"/>
      <c r="F99" s="662"/>
      <c r="G99" s="662"/>
      <c r="H99" s="662"/>
      <c r="I99" s="662"/>
    </row>
    <row r="100" spans="1:9" x14ac:dyDescent="0.2">
      <c r="A100" s="796" t="s">
        <v>1936</v>
      </c>
      <c r="B100" s="662"/>
      <c r="C100" s="662"/>
      <c r="D100" s="662"/>
      <c r="E100" s="662"/>
      <c r="F100" s="662"/>
      <c r="G100" s="662"/>
      <c r="H100" s="662"/>
      <c r="I100" s="662"/>
    </row>
    <row r="101" spans="1:9" x14ac:dyDescent="0.2">
      <c r="A101" s="662"/>
      <c r="B101" s="662"/>
      <c r="C101" s="662"/>
      <c r="D101" s="662"/>
      <c r="E101" s="662"/>
      <c r="F101" s="662"/>
      <c r="G101" s="662"/>
      <c r="H101" s="662"/>
      <c r="I101" s="662"/>
    </row>
    <row r="102" spans="1:9" x14ac:dyDescent="0.2">
      <c r="A102" s="797" t="s">
        <v>1735</v>
      </c>
      <c r="B102" s="662"/>
      <c r="C102" s="662"/>
      <c r="D102" s="662"/>
      <c r="E102" s="662"/>
      <c r="F102" s="662"/>
      <c r="G102" s="662"/>
      <c r="H102" s="662"/>
      <c r="I102" s="662"/>
    </row>
  </sheetData>
  <phoneticPr fontId="0" type="noConversion"/>
  <pageMargins left="0.75" right="0.75" top="1" bottom="1" header="0.5" footer="0.5"/>
  <pageSetup orientation="portrait" r:id="rId1"/>
  <headerFooter alignWithMargins="0"/>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N60"/>
  <sheetViews>
    <sheetView workbookViewId="0"/>
  </sheetViews>
  <sheetFormatPr defaultRowHeight="11.25" x14ac:dyDescent="0.2"/>
  <cols>
    <col min="1" max="1" width="16.5" customWidth="1"/>
    <col min="3" max="3" width="9.83203125" customWidth="1"/>
    <col min="7" max="7" width="27.33203125" customWidth="1"/>
    <col min="8" max="8" width="14.6640625" customWidth="1"/>
    <col min="9" max="9" width="11.83203125" customWidth="1"/>
    <col min="10" max="10" width="9.83203125" hidden="1" customWidth="1"/>
    <col min="13" max="13" width="16.83203125" customWidth="1"/>
  </cols>
  <sheetData>
    <row r="1" spans="1:6" x14ac:dyDescent="0.2">
      <c r="A1" s="542" t="s">
        <v>1316</v>
      </c>
    </row>
    <row r="2" spans="1:6" x14ac:dyDescent="0.2">
      <c r="A2" s="542"/>
    </row>
    <row r="3" spans="1:6" x14ac:dyDescent="0.2">
      <c r="A3" s="542" t="s">
        <v>1256</v>
      </c>
    </row>
    <row r="4" spans="1:6" x14ac:dyDescent="0.2">
      <c r="A4" s="543"/>
      <c r="E4" s="548" t="s">
        <v>1752</v>
      </c>
      <c r="F4" s="548"/>
    </row>
    <row r="5" spans="1:6" x14ac:dyDescent="0.2">
      <c r="A5" s="739" t="s">
        <v>1278</v>
      </c>
      <c r="B5" s="548" t="s">
        <v>1619</v>
      </c>
      <c r="C5" s="548" t="s">
        <v>1257</v>
      </c>
      <c r="D5" s="548" t="s">
        <v>487</v>
      </c>
      <c r="E5" s="548" t="s">
        <v>1753</v>
      </c>
      <c r="F5" s="548"/>
    </row>
    <row r="6" spans="1:6" x14ac:dyDescent="0.2">
      <c r="A6" s="740"/>
      <c r="B6" s="741"/>
      <c r="C6" s="741"/>
      <c r="D6" s="693"/>
      <c r="E6" s="741"/>
      <c r="F6" s="741"/>
    </row>
    <row r="7" spans="1:6" x14ac:dyDescent="0.2">
      <c r="A7" t="s">
        <v>1417</v>
      </c>
      <c r="B7">
        <f>WWRooms_10K!$R$35+WWRooms_10K!$R$39+WWRooms_10K!$R$38</f>
        <v>26550</v>
      </c>
      <c r="C7" s="327">
        <f>B7/$B$11</f>
        <v>5.5730361607133488E-2</v>
      </c>
    </row>
    <row r="8" spans="1:6" x14ac:dyDescent="0.2">
      <c r="A8" t="s">
        <v>1383</v>
      </c>
      <c r="B8">
        <f>WWRooms_10K!$R$33+WWRooms_10K!$R$36</f>
        <v>156855</v>
      </c>
      <c r="C8" s="327">
        <f>B8/$B$11</f>
        <v>0.32924993860214397</v>
      </c>
    </row>
    <row r="9" spans="1:6" x14ac:dyDescent="0.2">
      <c r="A9" t="s">
        <v>1387</v>
      </c>
      <c r="B9">
        <f>WWRooms_10K!$R$42+WWRooms_10K!$R$44+WWRooms_10K!$R$45</f>
        <v>215166</v>
      </c>
      <c r="C9" s="327">
        <f>B9/$B$11</f>
        <v>0.45164892600981105</v>
      </c>
    </row>
    <row r="10" spans="1:6" x14ac:dyDescent="0.2">
      <c r="A10" s="9" t="s">
        <v>1255</v>
      </c>
      <c r="B10" s="9">
        <f>WWRooms_10K!$R$43+WWRooms_10K!$R$46</f>
        <v>77830</v>
      </c>
      <c r="C10" s="738">
        <f>B10/$B$11</f>
        <v>0.16337077378091147</v>
      </c>
    </row>
    <row r="11" spans="1:6" x14ac:dyDescent="0.2">
      <c r="A11" s="542" t="s">
        <v>1735</v>
      </c>
      <c r="B11" s="542">
        <f>SUM(B7:B10)</f>
        <v>476401</v>
      </c>
    </row>
    <row r="13" spans="1:6" x14ac:dyDescent="0.2">
      <c r="A13" s="542" t="s">
        <v>9</v>
      </c>
    </row>
    <row r="14" spans="1:6" x14ac:dyDescent="0.2">
      <c r="A14" s="542"/>
    </row>
    <row r="15" spans="1:6" x14ac:dyDescent="0.2">
      <c r="A15" t="s">
        <v>1417</v>
      </c>
      <c r="B15">
        <f>WWRooms_10K!$M$35+WWRooms_10K!$M$39+WWRooms_10K!$M$38</f>
        <v>20813</v>
      </c>
      <c r="C15" s="327">
        <f>B15/$B$19</f>
        <v>0.11362420430847173</v>
      </c>
    </row>
    <row r="16" spans="1:6" x14ac:dyDescent="0.2">
      <c r="A16" t="s">
        <v>1383</v>
      </c>
      <c r="B16">
        <f>WWRooms_10K!$M$33+WWRooms_10K!$M$36</f>
        <v>89435</v>
      </c>
      <c r="C16" s="327">
        <f>B16/$B$19</f>
        <v>0.48825160776092674</v>
      </c>
    </row>
    <row r="17" spans="1:11" x14ac:dyDescent="0.2">
      <c r="A17" t="s">
        <v>1387</v>
      </c>
      <c r="B17">
        <f>WWRooms_10K!$M$42+WWRooms_10K!$M$44+WWRooms_10K!$M$45</f>
        <v>68213</v>
      </c>
      <c r="C17" s="327">
        <f>B17/$B$19</f>
        <v>0.37239455381222225</v>
      </c>
    </row>
    <row r="18" spans="1:11" x14ac:dyDescent="0.2">
      <c r="A18" s="9" t="s">
        <v>1255</v>
      </c>
      <c r="B18" s="9">
        <f>WWRooms_10K!$M$43+WWRooms_10K!$M$46</f>
        <v>4713</v>
      </c>
      <c r="C18" s="738">
        <f>B18/$B$19</f>
        <v>2.5729634118379245E-2</v>
      </c>
    </row>
    <row r="19" spans="1:11" x14ac:dyDescent="0.2">
      <c r="A19" s="542" t="s">
        <v>1735</v>
      </c>
      <c r="B19" s="542">
        <f>SUM(B15:B18)</f>
        <v>183174</v>
      </c>
    </row>
    <row r="21" spans="1:11" x14ac:dyDescent="0.2">
      <c r="A21" s="542" t="s">
        <v>1416</v>
      </c>
    </row>
    <row r="22" spans="1:11" x14ac:dyDescent="0.2">
      <c r="A22" s="542"/>
    </row>
    <row r="23" spans="1:11" x14ac:dyDescent="0.2">
      <c r="A23" t="s">
        <v>1417</v>
      </c>
      <c r="B23">
        <f>WWRooms_10K!$P$35+WWRooms_10K!$P$39+WWRooms_10K!$P$38</f>
        <v>5737</v>
      </c>
      <c r="C23" s="327">
        <f>B23/$B$27</f>
        <v>1.9565046874946715E-2</v>
      </c>
    </row>
    <row r="24" spans="1:11" x14ac:dyDescent="0.2">
      <c r="A24" t="s">
        <v>1383</v>
      </c>
      <c r="B24">
        <f>WWRooms_10K!$P$33+WWRooms_10K!$P$36</f>
        <v>67420</v>
      </c>
      <c r="C24" s="327">
        <f>B24/$B$27</f>
        <v>0.22992425663393889</v>
      </c>
    </row>
    <row r="25" spans="1:11" x14ac:dyDescent="0.2">
      <c r="A25" t="s">
        <v>1387</v>
      </c>
      <c r="B25">
        <f>WWRooms_10K!$P$42+WWRooms_10K!$P$44+WWRooms_10K!$P$45</f>
        <v>146953</v>
      </c>
      <c r="C25" s="327">
        <f>B25/$B$27</f>
        <v>0.50115780606833615</v>
      </c>
    </row>
    <row r="26" spans="1:11" x14ac:dyDescent="0.2">
      <c r="A26" s="9" t="s">
        <v>1255</v>
      </c>
      <c r="B26" s="9">
        <f>WWRooms_10K!$P$43+WWRooms_10K!$P$46</f>
        <v>73117</v>
      </c>
      <c r="C26" s="738">
        <f>B26/$B$27</f>
        <v>0.24935289042277825</v>
      </c>
    </row>
    <row r="27" spans="1:11" x14ac:dyDescent="0.2">
      <c r="A27" s="542" t="s">
        <v>1735</v>
      </c>
      <c r="B27" s="542">
        <f>SUM(B23:B26)</f>
        <v>293227</v>
      </c>
    </row>
    <row r="28" spans="1:11" x14ac:dyDescent="0.2">
      <c r="I28" s="548" t="s">
        <v>1542</v>
      </c>
    </row>
    <row r="29" spans="1:11" x14ac:dyDescent="0.2">
      <c r="G29" s="542" t="s">
        <v>1420</v>
      </c>
      <c r="H29" s="548" t="s">
        <v>1619</v>
      </c>
      <c r="I29" s="548" t="s">
        <v>487</v>
      </c>
      <c r="J29" s="548" t="s">
        <v>1735</v>
      </c>
      <c r="K29" s="548" t="s">
        <v>1317</v>
      </c>
    </row>
    <row r="31" spans="1:11" x14ac:dyDescent="0.2">
      <c r="G31" s="542" t="s">
        <v>1417</v>
      </c>
    </row>
    <row r="32" spans="1:11" x14ac:dyDescent="0.2">
      <c r="G32" s="604" t="s">
        <v>456</v>
      </c>
      <c r="H32">
        <f>WWRooms_10K!R35</f>
        <v>11135</v>
      </c>
      <c r="I32" s="742"/>
      <c r="J32" s="8"/>
      <c r="K32" s="544"/>
    </row>
    <row r="33" spans="7:11" x14ac:dyDescent="0.2">
      <c r="G33" s="604" t="s">
        <v>1384</v>
      </c>
      <c r="H33">
        <f>WWRooms_10K!R39</f>
        <v>11587</v>
      </c>
      <c r="J33" s="8"/>
      <c r="K33" s="544"/>
    </row>
    <row r="34" spans="7:11" x14ac:dyDescent="0.2">
      <c r="G34" s="604" t="s">
        <v>2046</v>
      </c>
      <c r="H34">
        <f>WWRooms_10K!R38</f>
        <v>3828</v>
      </c>
      <c r="I34" s="692"/>
      <c r="J34" s="8"/>
      <c r="K34" s="544"/>
    </row>
    <row r="35" spans="7:11" x14ac:dyDescent="0.2">
      <c r="G35" s="542" t="s">
        <v>76</v>
      </c>
      <c r="H35" s="542">
        <f>SUM(H32:H34)</f>
        <v>26550</v>
      </c>
      <c r="J35" s="542"/>
      <c r="K35" s="654"/>
    </row>
    <row r="36" spans="7:11" x14ac:dyDescent="0.2">
      <c r="G36" s="546"/>
      <c r="K36" s="544"/>
    </row>
    <row r="37" spans="7:11" x14ac:dyDescent="0.2">
      <c r="G37" s="542" t="s">
        <v>1383</v>
      </c>
      <c r="K37" s="544"/>
    </row>
    <row r="38" spans="7:11" x14ac:dyDescent="0.2">
      <c r="G38" s="604" t="s">
        <v>454</v>
      </c>
      <c r="H38">
        <f>WWRooms_10K!R33</f>
        <v>128916</v>
      </c>
      <c r="J38" s="8"/>
      <c r="K38" s="544"/>
    </row>
    <row r="39" spans="7:11" x14ac:dyDescent="0.2">
      <c r="G39" s="604" t="s">
        <v>457</v>
      </c>
      <c r="H39">
        <f>WWRooms_10K!R36</f>
        <v>27939</v>
      </c>
      <c r="J39" s="8"/>
      <c r="K39" s="544"/>
    </row>
    <row r="40" spans="7:11" x14ac:dyDescent="0.2">
      <c r="G40" s="542" t="s">
        <v>76</v>
      </c>
      <c r="H40" s="542">
        <f>SUM(H38:H39)</f>
        <v>156855</v>
      </c>
      <c r="J40" s="542"/>
      <c r="K40" s="654"/>
    </row>
    <row r="41" spans="7:11" x14ac:dyDescent="0.2">
      <c r="G41" s="546"/>
      <c r="K41" s="544"/>
    </row>
    <row r="42" spans="7:11" x14ac:dyDescent="0.2">
      <c r="G42" s="542" t="s">
        <v>1387</v>
      </c>
      <c r="K42" s="544"/>
    </row>
    <row r="43" spans="7:11" x14ac:dyDescent="0.2">
      <c r="G43" s="604" t="s">
        <v>1386</v>
      </c>
      <c r="H43">
        <f>WWRooms_10K!R42</f>
        <v>111634</v>
      </c>
      <c r="J43" s="8"/>
      <c r="K43" s="544"/>
    </row>
    <row r="44" spans="7:11" x14ac:dyDescent="0.2">
      <c r="G44" s="604" t="s">
        <v>1390</v>
      </c>
      <c r="H44">
        <f>WWRooms_10K!R44</f>
        <v>31961</v>
      </c>
      <c r="J44" s="8"/>
      <c r="K44" s="544"/>
    </row>
    <row r="45" spans="7:11" x14ac:dyDescent="0.2">
      <c r="G45" s="604" t="s">
        <v>1388</v>
      </c>
      <c r="H45">
        <f>WWRooms_10K!R45</f>
        <v>71571</v>
      </c>
      <c r="J45" s="8"/>
      <c r="K45" s="544"/>
    </row>
    <row r="46" spans="7:11" x14ac:dyDescent="0.2">
      <c r="G46" s="542" t="s">
        <v>76</v>
      </c>
      <c r="H46" s="542">
        <f>SUM(H43:H45)</f>
        <v>215166</v>
      </c>
      <c r="J46" s="542"/>
      <c r="K46" s="654"/>
    </row>
    <row r="47" spans="7:11" x14ac:dyDescent="0.2">
      <c r="G47" s="546"/>
      <c r="K47" s="544"/>
    </row>
    <row r="48" spans="7:11" x14ac:dyDescent="0.2">
      <c r="G48" s="542" t="s">
        <v>1255</v>
      </c>
      <c r="K48" s="544"/>
    </row>
    <row r="49" spans="7:14" x14ac:dyDescent="0.2">
      <c r="G49" s="604" t="s">
        <v>2049</v>
      </c>
      <c r="H49">
        <f>WWRooms_10K!R43</f>
        <v>58510</v>
      </c>
      <c r="J49" s="8"/>
      <c r="K49" s="544"/>
    </row>
    <row r="50" spans="7:14" x14ac:dyDescent="0.2">
      <c r="G50" s="604" t="s">
        <v>1391</v>
      </c>
      <c r="H50">
        <f>WWRooms_10K!R46</f>
        <v>19320</v>
      </c>
      <c r="J50" s="8"/>
      <c r="K50" s="544"/>
    </row>
    <row r="51" spans="7:14" x14ac:dyDescent="0.2">
      <c r="G51" s="542" t="s">
        <v>76</v>
      </c>
      <c r="H51" s="542">
        <f>SUM(H49:H50)</f>
        <v>77830</v>
      </c>
      <c r="J51" s="542"/>
      <c r="K51" s="654"/>
    </row>
    <row r="55" spans="7:14" x14ac:dyDescent="0.2">
      <c r="M55" s="543" t="s">
        <v>1278</v>
      </c>
    </row>
    <row r="57" spans="7:14" x14ac:dyDescent="0.2">
      <c r="M57" s="546" t="s">
        <v>1417</v>
      </c>
      <c r="N57" s="544">
        <f>K35</f>
        <v>0</v>
      </c>
    </row>
    <row r="58" spans="7:14" x14ac:dyDescent="0.2">
      <c r="M58" s="546" t="s">
        <v>1383</v>
      </c>
      <c r="N58" s="544">
        <f>K40</f>
        <v>0</v>
      </c>
    </row>
    <row r="59" spans="7:14" x14ac:dyDescent="0.2">
      <c r="M59" s="546" t="s">
        <v>1387</v>
      </c>
      <c r="N59" s="544">
        <f>K46</f>
        <v>0</v>
      </c>
    </row>
    <row r="60" spans="7:14" x14ac:dyDescent="0.2">
      <c r="M60" s="546" t="s">
        <v>1255</v>
      </c>
      <c r="N60" s="544">
        <f>K51</f>
        <v>0</v>
      </c>
    </row>
  </sheetData>
  <phoneticPr fontId="0" type="noConversion"/>
  <pageMargins left="0.75" right="0.75" top="1" bottom="1" header="0.5" footer="0.5"/>
  <pageSetup orientation="portrait" r:id="rId1"/>
  <headerFooter alignWithMargins="0"/>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BI95"/>
  <sheetViews>
    <sheetView zoomScale="85" workbookViewId="0">
      <pane xSplit="1" ySplit="6" topLeftCell="B7" activePane="bottomRight" state="frozenSplit"/>
      <selection pane="topRight" activeCell="B1" sqref="B1"/>
      <selection pane="bottomLeft" activeCell="A7" sqref="A7"/>
      <selection pane="bottomRight" activeCell="B5" sqref="B5"/>
    </sheetView>
  </sheetViews>
  <sheetFormatPr defaultRowHeight="12.75" x14ac:dyDescent="0.2"/>
  <cols>
    <col min="1" max="1" width="26.6640625" style="70" customWidth="1"/>
    <col min="2" max="3" width="10.83203125" style="70" bestFit="1" customWidth="1"/>
    <col min="4" max="4" width="9.5" style="70" bestFit="1" customWidth="1"/>
    <col min="5" max="6" width="12" style="70" bestFit="1" customWidth="1"/>
    <col min="7" max="8" width="10.83203125" style="70" bestFit="1" customWidth="1"/>
    <col min="9" max="9" width="9.5" style="70" bestFit="1" customWidth="1"/>
    <col min="10" max="11" width="12" style="70" bestFit="1" customWidth="1"/>
    <col min="12" max="13" width="10.83203125" style="70" bestFit="1" customWidth="1"/>
    <col min="14" max="14" width="9.5" style="70" bestFit="1" customWidth="1"/>
    <col min="15" max="16" width="12" style="70" bestFit="1" customWidth="1"/>
    <col min="17" max="18" width="10.83203125" style="70" bestFit="1" customWidth="1"/>
    <col min="19" max="19" width="9.5" style="70" bestFit="1" customWidth="1"/>
    <col min="20" max="21" width="12" style="70" bestFit="1" customWidth="1"/>
    <col min="22" max="24" width="10.83203125" style="70" bestFit="1" customWidth="1"/>
    <col min="25" max="26" width="12" style="70" bestFit="1" customWidth="1"/>
    <col min="27" max="28" width="10.83203125" style="70" bestFit="1" customWidth="1"/>
    <col min="29" max="29" width="9.5" style="70" bestFit="1" customWidth="1"/>
    <col min="30" max="31" width="12" style="70" bestFit="1" customWidth="1"/>
    <col min="32" max="33" width="10.83203125" style="70" bestFit="1" customWidth="1"/>
    <col min="34" max="34" width="9.5" style="70" bestFit="1" customWidth="1"/>
    <col min="35" max="36" width="12" style="70" bestFit="1" customWidth="1"/>
    <col min="37" max="38" width="10.83203125" style="70" bestFit="1" customWidth="1"/>
    <col min="39" max="39" width="9.5" style="70" bestFit="1" customWidth="1"/>
    <col min="40" max="41" width="12" style="70" bestFit="1" customWidth="1"/>
    <col min="42" max="43" width="10.83203125" style="70" bestFit="1" customWidth="1"/>
    <col min="44" max="46" width="9.5" style="70" bestFit="1" customWidth="1"/>
    <col min="47" max="49" width="10.83203125" style="70" bestFit="1" customWidth="1"/>
    <col min="50" max="51" width="9.5" style="70" bestFit="1" customWidth="1"/>
    <col min="52" max="54" width="10.83203125" style="70" bestFit="1" customWidth="1"/>
    <col min="55" max="56" width="12" style="70" bestFit="1" customWidth="1"/>
    <col min="57" max="58" width="10.83203125" style="70" bestFit="1" customWidth="1"/>
    <col min="59" max="59" width="9.5" style="70" bestFit="1" customWidth="1"/>
    <col min="60" max="61" width="12" style="70" bestFit="1" customWidth="1"/>
    <col min="62" max="16384" width="9.33203125" style="70"/>
  </cols>
  <sheetData>
    <row r="1" spans="1:61" x14ac:dyDescent="0.2">
      <c r="A1" s="247" t="s">
        <v>769</v>
      </c>
    </row>
    <row r="2" spans="1:61" x14ac:dyDescent="0.2">
      <c r="A2" s="247" t="s">
        <v>770</v>
      </c>
    </row>
    <row r="4" spans="1:61" x14ac:dyDescent="0.2">
      <c r="B4" s="769" t="s">
        <v>499</v>
      </c>
      <c r="C4" s="905" t="s">
        <v>500</v>
      </c>
      <c r="D4" s="905" t="s">
        <v>501</v>
      </c>
      <c r="E4" s="769" t="s">
        <v>502</v>
      </c>
      <c r="F4" s="906">
        <v>2000</v>
      </c>
      <c r="G4" s="905" t="s">
        <v>503</v>
      </c>
      <c r="H4" s="905" t="s">
        <v>504</v>
      </c>
      <c r="I4" s="905" t="s">
        <v>505</v>
      </c>
      <c r="J4" s="769" t="s">
        <v>1951</v>
      </c>
      <c r="K4" s="906">
        <v>2001</v>
      </c>
      <c r="L4" s="905" t="s">
        <v>1952</v>
      </c>
      <c r="M4" s="905" t="s">
        <v>1953</v>
      </c>
      <c r="N4" s="905" t="s">
        <v>1954</v>
      </c>
      <c r="O4" s="769" t="s">
        <v>1955</v>
      </c>
      <c r="P4" s="906">
        <v>2002</v>
      </c>
      <c r="Q4" s="905" t="s">
        <v>1956</v>
      </c>
      <c r="R4" s="905" t="s">
        <v>1957</v>
      </c>
      <c r="S4" s="905" t="s">
        <v>1958</v>
      </c>
      <c r="T4" s="907" t="s">
        <v>1959</v>
      </c>
      <c r="U4" s="906">
        <v>2003</v>
      </c>
      <c r="V4" s="905" t="s">
        <v>1960</v>
      </c>
      <c r="W4" s="905" t="s">
        <v>1961</v>
      </c>
      <c r="X4" s="908" t="s">
        <v>1962</v>
      </c>
      <c r="Y4" s="909" t="s">
        <v>1963</v>
      </c>
      <c r="Z4" s="906" t="s">
        <v>1964</v>
      </c>
      <c r="AA4" s="905" t="s">
        <v>1965</v>
      </c>
      <c r="AB4" s="905" t="s">
        <v>1966</v>
      </c>
      <c r="AC4" s="905" t="s">
        <v>1967</v>
      </c>
      <c r="AD4" s="907" t="s">
        <v>1968</v>
      </c>
      <c r="AE4" s="906">
        <v>2005</v>
      </c>
      <c r="AF4" s="905" t="s">
        <v>1970</v>
      </c>
      <c r="AG4" s="905" t="s">
        <v>1971</v>
      </c>
      <c r="AH4" s="905" t="s">
        <v>1972</v>
      </c>
      <c r="AI4" s="907" t="s">
        <v>831</v>
      </c>
      <c r="AJ4" s="906">
        <v>2006</v>
      </c>
      <c r="AK4" s="905" t="str">
        <f>MAR!AR5</f>
        <v>1Q07</v>
      </c>
      <c r="AL4" s="905" t="str">
        <f>MAR!AS5</f>
        <v>2Q07</v>
      </c>
      <c r="AM4" s="905" t="str">
        <f>MAR!AT5</f>
        <v>3Q07</v>
      </c>
      <c r="AN4" s="769" t="str">
        <f>MAR!AU5</f>
        <v>4Q07</v>
      </c>
      <c r="AO4" s="906" t="str">
        <f>MAR!AV5</f>
        <v>2007</v>
      </c>
      <c r="AP4" s="905" t="str">
        <f>MAR!AW5</f>
        <v>1Q08</v>
      </c>
      <c r="AQ4" s="905" t="str">
        <f>MAR!AX5</f>
        <v>2Q08</v>
      </c>
      <c r="AR4" s="905" t="str">
        <f>MAR!AY5</f>
        <v>3Q08</v>
      </c>
      <c r="AS4" s="769" t="str">
        <f>MAR!AZ5</f>
        <v>4Q08</v>
      </c>
      <c r="AT4" s="906" t="str">
        <f>MAR!BA5</f>
        <v>2008</v>
      </c>
      <c r="AU4" s="905" t="str">
        <f>MAR!BB5</f>
        <v>1Q09</v>
      </c>
      <c r="AV4" s="905" t="str">
        <f>MAR!BC5</f>
        <v>2Q09</v>
      </c>
      <c r="AW4" s="905" t="str">
        <f>MAR!BD5</f>
        <v>3Q09</v>
      </c>
      <c r="AX4" s="769" t="str">
        <f>MAR!BE5</f>
        <v>4Q09</v>
      </c>
      <c r="AY4" s="906" t="str">
        <f>MAR!BF5</f>
        <v>2009</v>
      </c>
      <c r="AZ4" s="908" t="str">
        <f>MAR!BG5</f>
        <v>1Q10</v>
      </c>
      <c r="BA4" s="908" t="str">
        <f>MAR!BH5</f>
        <v>2Q10</v>
      </c>
      <c r="BB4" s="908" t="str">
        <f>MAR!BI5</f>
        <v>3Q10</v>
      </c>
      <c r="BC4" s="770" t="str">
        <f>MAR!BJ5</f>
        <v>4Q10</v>
      </c>
      <c r="BD4" s="906" t="str">
        <f>MAR!BK5</f>
        <v>2010</v>
      </c>
      <c r="BE4" s="908" t="str">
        <f>MAR!BL5</f>
        <v>1Q11</v>
      </c>
      <c r="BF4" s="908" t="str">
        <f>MAR!BM5</f>
        <v>2Q11</v>
      </c>
      <c r="BG4" s="908" t="str">
        <f>MAR!BN5</f>
        <v>3Q11</v>
      </c>
      <c r="BH4" s="770" t="str">
        <f>MAR!BO5</f>
        <v>4Q11</v>
      </c>
      <c r="BI4" s="906">
        <f>MAR!BP5</f>
        <v>2011</v>
      </c>
    </row>
    <row r="5" spans="1:61" x14ac:dyDescent="0.2">
      <c r="B5" s="910">
        <v>36609</v>
      </c>
      <c r="C5" s="910">
        <v>36693</v>
      </c>
      <c r="D5" s="910">
        <v>36777</v>
      </c>
      <c r="E5" s="911">
        <v>36889</v>
      </c>
      <c r="F5" s="912">
        <f>E5</f>
        <v>36889</v>
      </c>
      <c r="G5" s="910">
        <v>36973</v>
      </c>
      <c r="H5" s="910">
        <v>37057</v>
      </c>
      <c r="I5" s="910">
        <v>37141</v>
      </c>
      <c r="J5" s="911">
        <v>37253</v>
      </c>
      <c r="K5" s="912">
        <f>J5</f>
        <v>37253</v>
      </c>
      <c r="L5" s="910">
        <v>37337</v>
      </c>
      <c r="M5" s="910">
        <f>L5+84</f>
        <v>37421</v>
      </c>
      <c r="N5" s="910">
        <f>M5+84</f>
        <v>37505</v>
      </c>
      <c r="O5" s="911">
        <v>37621</v>
      </c>
      <c r="P5" s="912">
        <f>O5</f>
        <v>37621</v>
      </c>
      <c r="Q5" s="910">
        <f>P5+84</f>
        <v>37705</v>
      </c>
      <c r="R5" s="910">
        <f>Q5+84</f>
        <v>37789</v>
      </c>
      <c r="S5" s="910">
        <f>R5+84</f>
        <v>37873</v>
      </c>
      <c r="T5" s="913">
        <v>37986</v>
      </c>
      <c r="U5" s="912">
        <f>T5</f>
        <v>37986</v>
      </c>
      <c r="V5" s="910">
        <v>38072</v>
      </c>
      <c r="W5" s="910">
        <v>38156</v>
      </c>
      <c r="X5" s="910">
        <v>38240</v>
      </c>
      <c r="Y5" s="913">
        <v>38352</v>
      </c>
      <c r="Z5" s="912">
        <f>Y5</f>
        <v>38352</v>
      </c>
      <c r="AA5" s="914">
        <v>38436</v>
      </c>
      <c r="AB5" s="914">
        <v>38520</v>
      </c>
      <c r="AC5" s="914">
        <v>38604</v>
      </c>
      <c r="AD5" s="915">
        <v>38717</v>
      </c>
      <c r="AE5" s="912">
        <v>38717</v>
      </c>
      <c r="AF5" s="914">
        <f>+MAR!AM3</f>
        <v>38800</v>
      </c>
      <c r="AG5" s="914">
        <f>+MAR!AN3</f>
        <v>38884</v>
      </c>
      <c r="AH5" s="914">
        <f>+MAR!AO3</f>
        <v>38968</v>
      </c>
      <c r="AI5" s="915">
        <f>+MAR!AP3</f>
        <v>39081</v>
      </c>
      <c r="AJ5" s="912">
        <v>39082</v>
      </c>
      <c r="AK5" s="914">
        <f>+MAR!AR3</f>
        <v>39165</v>
      </c>
      <c r="AL5" s="914">
        <f>+MAR!AS3</f>
        <v>39249</v>
      </c>
      <c r="AM5" s="914">
        <f>+MAR!AT3</f>
        <v>39333</v>
      </c>
      <c r="AN5" s="916">
        <f>+MAR!AU3</f>
        <v>39446</v>
      </c>
      <c r="AO5" s="912">
        <f>+MAR!AV3</f>
        <v>39446</v>
      </c>
      <c r="AP5" s="914">
        <f>+MAR!AW3</f>
        <v>39530</v>
      </c>
      <c r="AQ5" s="914">
        <f>+MAR!AX3</f>
        <v>39614</v>
      </c>
      <c r="AR5" s="914">
        <f>+MAR!AY3</f>
        <v>39698</v>
      </c>
      <c r="AS5" s="916">
        <f>+MAR!AZ3</f>
        <v>39815</v>
      </c>
      <c r="AT5" s="912">
        <f>+MAR!BA3</f>
        <v>39815</v>
      </c>
      <c r="AU5" s="914">
        <f>+MAR!BB3</f>
        <v>39899</v>
      </c>
      <c r="AV5" s="914">
        <f>+MAR!BC3</f>
        <v>39983</v>
      </c>
      <c r="AW5" s="914">
        <f>+MAR!BD3</f>
        <v>40067</v>
      </c>
      <c r="AX5" s="916">
        <f>+MAR!BE3</f>
        <v>40179</v>
      </c>
      <c r="AY5" s="912">
        <f>+MAR!BF3</f>
        <v>40179</v>
      </c>
      <c r="AZ5" s="914">
        <f>+MAR!BG3</f>
        <v>40263</v>
      </c>
      <c r="BA5" s="914">
        <f>+MAR!BH3</f>
        <v>40347</v>
      </c>
      <c r="BB5" s="914">
        <f>+MAR!BI3</f>
        <v>40431</v>
      </c>
      <c r="BC5" s="916">
        <f>+MAR!BJ3</f>
        <v>40543</v>
      </c>
      <c r="BD5" s="912">
        <f>+MAR!BK3</f>
        <v>40543</v>
      </c>
      <c r="BE5" s="914">
        <f>+MAR!BL3</f>
        <v>40627</v>
      </c>
      <c r="BF5" s="914">
        <f>+MAR!BM3</f>
        <v>40711</v>
      </c>
      <c r="BG5" s="914">
        <f>+MAR!BN3</f>
        <v>40795</v>
      </c>
      <c r="BH5" s="916">
        <f>+MAR!BO3</f>
        <v>40907</v>
      </c>
      <c r="BI5" s="912">
        <f>+MAR!BP3</f>
        <v>40907</v>
      </c>
    </row>
    <row r="6" spans="1:61" x14ac:dyDescent="0.2">
      <c r="B6" s="777">
        <v>84</v>
      </c>
      <c r="C6" s="917">
        <f>C$5-B$5</f>
        <v>84</v>
      </c>
      <c r="D6" s="917">
        <f>D$5-C$5</f>
        <v>84</v>
      </c>
      <c r="E6" s="777">
        <f>E$5-D$5</f>
        <v>112</v>
      </c>
      <c r="F6" s="235">
        <f>SUM(B6:E6)</f>
        <v>364</v>
      </c>
      <c r="G6" s="917">
        <f>G$5-F$5</f>
        <v>84</v>
      </c>
      <c r="H6" s="917">
        <f>H$5-G$5</f>
        <v>84</v>
      </c>
      <c r="I6" s="917">
        <f>I$5-H$5</f>
        <v>84</v>
      </c>
      <c r="J6" s="777">
        <f>J$5-I$5</f>
        <v>112</v>
      </c>
      <c r="K6" s="235">
        <f>SUM(G6:J6)</f>
        <v>364</v>
      </c>
      <c r="L6" s="917">
        <f>L$5-K$5</f>
        <v>84</v>
      </c>
      <c r="M6" s="917">
        <f>M$5-L$5</f>
        <v>84</v>
      </c>
      <c r="N6" s="917">
        <f>N$5-M$5</f>
        <v>84</v>
      </c>
      <c r="O6" s="777">
        <f>O$5-N$5</f>
        <v>116</v>
      </c>
      <c r="P6" s="631">
        <f>SUM(L6:O6)</f>
        <v>368</v>
      </c>
      <c r="Q6" s="917">
        <f>Q$5-P$5</f>
        <v>84</v>
      </c>
      <c r="R6" s="917">
        <f>R$5-Q$5</f>
        <v>84</v>
      </c>
      <c r="S6" s="917">
        <f>S$5-R$5</f>
        <v>84</v>
      </c>
      <c r="T6" s="273">
        <f>T$5-S$5</f>
        <v>113</v>
      </c>
      <c r="U6" s="631">
        <f>SUM(Q6:T6)</f>
        <v>365</v>
      </c>
      <c r="V6" s="917">
        <f>V$5-U$5</f>
        <v>86</v>
      </c>
      <c r="W6" s="917">
        <f>W$5-V$5</f>
        <v>84</v>
      </c>
      <c r="X6" s="917">
        <f>X$5-W$5</f>
        <v>84</v>
      </c>
      <c r="Y6" s="273">
        <f>Y$5-X$5</f>
        <v>112</v>
      </c>
      <c r="Z6" s="631">
        <f>SUM(V6:Y6)</f>
        <v>366</v>
      </c>
      <c r="AA6" s="272">
        <f>AA$5-Z$5</f>
        <v>84</v>
      </c>
      <c r="AB6" s="272">
        <f>AB$5-AA$5</f>
        <v>84</v>
      </c>
      <c r="AC6" s="272">
        <f>AC$5-AB$5</f>
        <v>84</v>
      </c>
      <c r="AD6" s="630">
        <f>AD$5-AC$5</f>
        <v>113</v>
      </c>
      <c r="AE6" s="631">
        <f>SUM(AA6:AD6)</f>
        <v>365</v>
      </c>
      <c r="AF6" s="272">
        <f>AF$5-AE$5</f>
        <v>83</v>
      </c>
      <c r="AG6" s="272">
        <f>AG$5-AF$5</f>
        <v>84</v>
      </c>
      <c r="AH6" s="272">
        <f>AH$5-AG$5</f>
        <v>84</v>
      </c>
      <c r="AI6" s="630">
        <f>AI$5-AH$5</f>
        <v>113</v>
      </c>
      <c r="AJ6" s="631">
        <f>SUM(AF6:AI6)</f>
        <v>364</v>
      </c>
      <c r="AK6" s="272">
        <f>AK$5-AJ$5</f>
        <v>83</v>
      </c>
      <c r="AL6" s="272">
        <f>AL$5-AK$5</f>
        <v>84</v>
      </c>
      <c r="AM6" s="272">
        <f>AM$5-AL$5</f>
        <v>84</v>
      </c>
      <c r="AN6" s="275">
        <f>AN$5-AM$5</f>
        <v>113</v>
      </c>
      <c r="AO6" s="631">
        <f>SUM(AK6:AN6)</f>
        <v>364</v>
      </c>
      <c r="AP6" s="272">
        <f>AP$5-AO$5</f>
        <v>84</v>
      </c>
      <c r="AQ6" s="272">
        <f>AQ$5-AP$5</f>
        <v>84</v>
      </c>
      <c r="AR6" s="272">
        <f>AR$5-AQ$5</f>
        <v>84</v>
      </c>
      <c r="AS6" s="275">
        <f>AS$5-AR$5</f>
        <v>117</v>
      </c>
      <c r="AT6" s="631">
        <f>SUM(AP6:AS6)</f>
        <v>369</v>
      </c>
      <c r="AU6" s="272">
        <f>AU$5-AT$5</f>
        <v>84</v>
      </c>
      <c r="AV6" s="272">
        <f>AV$5-AU$5</f>
        <v>84</v>
      </c>
      <c r="AW6" s="272">
        <f>AW$5-AV$5</f>
        <v>84</v>
      </c>
      <c r="AX6" s="275">
        <f>AX$5-AW$5</f>
        <v>112</v>
      </c>
      <c r="AY6" s="631">
        <f>SUM(AU6:AX6)</f>
        <v>364</v>
      </c>
      <c r="AZ6" s="272">
        <f>AZ$5-AY$5</f>
        <v>84</v>
      </c>
      <c r="BA6" s="272">
        <f>BA$5-AZ$5</f>
        <v>84</v>
      </c>
      <c r="BB6" s="272">
        <f>BB$5-BA$5</f>
        <v>84</v>
      </c>
      <c r="BC6" s="275">
        <f>BC$5-BB$5</f>
        <v>112</v>
      </c>
      <c r="BD6" s="631">
        <f>SUM(AZ6:BC6)</f>
        <v>364</v>
      </c>
      <c r="BE6" s="272">
        <f>BE$5-BD$5</f>
        <v>84</v>
      </c>
      <c r="BF6" s="272">
        <f>BF$5-BE$5</f>
        <v>84</v>
      </c>
      <c r="BG6" s="272">
        <f>BG$5-BF$5</f>
        <v>84</v>
      </c>
      <c r="BH6" s="275">
        <f>BH$5-BG$5</f>
        <v>112</v>
      </c>
      <c r="BI6" s="631">
        <f>SUM(BE6:BH6)</f>
        <v>364</v>
      </c>
    </row>
    <row r="7" spans="1:61" x14ac:dyDescent="0.2">
      <c r="F7" s="194"/>
      <c r="K7" s="194"/>
      <c r="P7" s="194"/>
    </row>
    <row r="8" spans="1:61" x14ac:dyDescent="0.2">
      <c r="A8" s="199" t="s">
        <v>773</v>
      </c>
      <c r="F8" s="194"/>
      <c r="K8" s="194"/>
      <c r="P8" s="194"/>
    </row>
    <row r="9" spans="1:61" x14ac:dyDescent="0.2">
      <c r="A9" s="70" t="s">
        <v>1929</v>
      </c>
      <c r="B9" s="385">
        <v>0.65</v>
      </c>
      <c r="C9" s="385">
        <v>0.65</v>
      </c>
      <c r="D9" s="385">
        <v>0.65</v>
      </c>
      <c r="E9" s="385">
        <v>0.65</v>
      </c>
      <c r="F9" s="918">
        <v>0.65</v>
      </c>
      <c r="G9" s="385">
        <v>0.65</v>
      </c>
      <c r="H9" s="385">
        <v>0.65</v>
      </c>
      <c r="I9" s="385">
        <v>0.65</v>
      </c>
      <c r="J9" s="385">
        <v>0.65</v>
      </c>
      <c r="K9" s="194"/>
      <c r="L9" s="385">
        <v>0.65</v>
      </c>
      <c r="M9" s="385">
        <v>0.65</v>
      </c>
      <c r="N9" s="385">
        <v>0.65</v>
      </c>
      <c r="O9" s="385">
        <v>0.65</v>
      </c>
      <c r="P9" s="194"/>
      <c r="Q9" s="385">
        <v>0.65</v>
      </c>
      <c r="R9" s="385">
        <v>0.65</v>
      </c>
      <c r="S9" s="385">
        <v>0.65</v>
      </c>
      <c r="T9" s="385">
        <v>0.65</v>
      </c>
      <c r="V9" s="385">
        <v>0.65</v>
      </c>
      <c r="W9" s="385">
        <v>0.65</v>
      </c>
      <c r="X9" s="385">
        <v>0.65</v>
      </c>
      <c r="Y9" s="385">
        <v>0.65</v>
      </c>
      <c r="AA9" s="385">
        <v>0.9</v>
      </c>
      <c r="AB9" s="385">
        <v>0.9</v>
      </c>
      <c r="AC9" s="385">
        <v>0.9</v>
      </c>
      <c r="AD9" s="385">
        <v>0.9</v>
      </c>
      <c r="AF9" s="385">
        <v>0.9</v>
      </c>
      <c r="AG9" s="385">
        <v>0.9</v>
      </c>
      <c r="AH9" s="385">
        <v>0.9</v>
      </c>
      <c r="AI9" s="385">
        <v>0.9</v>
      </c>
      <c r="AK9" s="385">
        <v>0.9</v>
      </c>
      <c r="AL9" s="385">
        <v>0.9</v>
      </c>
      <c r="AM9" s="385">
        <v>0.9</v>
      </c>
      <c r="AN9" s="385">
        <v>0.9</v>
      </c>
      <c r="AP9" s="385">
        <v>0.9</v>
      </c>
      <c r="AQ9" s="385">
        <v>0.9</v>
      </c>
      <c r="AR9" s="385">
        <v>0.9</v>
      </c>
      <c r="AS9" s="385">
        <v>0.9</v>
      </c>
      <c r="AU9" s="385">
        <v>0.9</v>
      </c>
      <c r="AV9" s="385">
        <v>0.9</v>
      </c>
      <c r="AW9" s="385">
        <v>0.9</v>
      </c>
      <c r="AX9" s="385">
        <v>0.9</v>
      </c>
      <c r="AZ9" s="385">
        <v>0.9</v>
      </c>
      <c r="BA9" s="385">
        <v>0.9</v>
      </c>
      <c r="BB9" s="385">
        <v>0.9</v>
      </c>
      <c r="BC9" s="385">
        <v>0.9</v>
      </c>
      <c r="BE9" s="385">
        <v>0.9</v>
      </c>
      <c r="BF9" s="385">
        <v>0.9</v>
      </c>
      <c r="BG9" s="385">
        <v>0.9</v>
      </c>
      <c r="BH9" s="385">
        <v>0.65</v>
      </c>
    </row>
    <row r="10" spans="1:61" x14ac:dyDescent="0.2">
      <c r="A10" s="70" t="s">
        <v>2036</v>
      </c>
      <c r="B10" s="385">
        <v>0.1</v>
      </c>
      <c r="C10" s="385">
        <v>0.1</v>
      </c>
      <c r="D10" s="385">
        <v>0.1</v>
      </c>
      <c r="E10" s="385">
        <v>0.1</v>
      </c>
      <c r="F10" s="918">
        <v>0.1</v>
      </c>
      <c r="G10" s="385">
        <v>0.1</v>
      </c>
      <c r="H10" s="385">
        <v>0.1</v>
      </c>
      <c r="I10" s="385">
        <v>0.1</v>
      </c>
      <c r="J10" s="385">
        <v>0.1</v>
      </c>
      <c r="K10" s="194"/>
      <c r="L10" s="385">
        <v>0.1</v>
      </c>
      <c r="M10" s="385">
        <v>0.1</v>
      </c>
      <c r="N10" s="385">
        <v>0.1</v>
      </c>
      <c r="O10" s="385">
        <v>0.1</v>
      </c>
      <c r="P10" s="194"/>
      <c r="Q10" s="385">
        <v>0.1</v>
      </c>
      <c r="R10" s="385">
        <v>0.1</v>
      </c>
      <c r="S10" s="385">
        <v>0.1</v>
      </c>
      <c r="T10" s="385">
        <v>0.1</v>
      </c>
      <c r="V10" s="385">
        <v>0.1</v>
      </c>
      <c r="W10" s="385">
        <v>0.1</v>
      </c>
      <c r="X10" s="385">
        <v>0.1</v>
      </c>
      <c r="Y10" s="385">
        <v>0.1</v>
      </c>
      <c r="AA10" s="385">
        <v>0.1</v>
      </c>
      <c r="AB10" s="385">
        <v>0.1</v>
      </c>
      <c r="AC10" s="385">
        <v>0.1</v>
      </c>
      <c r="AD10" s="385">
        <v>0.1</v>
      </c>
      <c r="AF10" s="385">
        <v>0.1</v>
      </c>
      <c r="AG10" s="385">
        <v>0.1</v>
      </c>
      <c r="AH10" s="385">
        <v>0.1</v>
      </c>
      <c r="AI10" s="385">
        <v>0.1</v>
      </c>
      <c r="AK10" s="385">
        <v>0.1</v>
      </c>
      <c r="AL10" s="385">
        <v>0.1</v>
      </c>
      <c r="AM10" s="385">
        <v>0.1</v>
      </c>
      <c r="AN10" s="385">
        <v>0.1</v>
      </c>
      <c r="AP10" s="385">
        <v>0.1</v>
      </c>
      <c r="AQ10" s="385">
        <v>0.1</v>
      </c>
      <c r="AR10" s="385">
        <v>0.1</v>
      </c>
      <c r="AS10" s="385">
        <v>0.1</v>
      </c>
      <c r="AU10" s="385">
        <v>0.1</v>
      </c>
      <c r="AV10" s="385">
        <v>0.1</v>
      </c>
      <c r="AW10" s="385">
        <v>0.1</v>
      </c>
      <c r="AX10" s="385">
        <v>0.1</v>
      </c>
      <c r="AZ10" s="385">
        <v>0.1</v>
      </c>
      <c r="BA10" s="385">
        <v>0.1</v>
      </c>
      <c r="BB10" s="385">
        <v>0.1</v>
      </c>
      <c r="BC10" s="385">
        <v>0.1</v>
      </c>
      <c r="BE10" s="385">
        <v>0.1</v>
      </c>
      <c r="BF10" s="385">
        <v>0.1</v>
      </c>
      <c r="BG10" s="385">
        <v>0.1</v>
      </c>
      <c r="BH10" s="385">
        <v>0.1</v>
      </c>
    </row>
    <row r="11" spans="1:61" x14ac:dyDescent="0.2">
      <c r="B11" s="385"/>
      <c r="C11" s="385"/>
      <c r="D11" s="385"/>
      <c r="E11" s="385"/>
      <c r="F11" s="918"/>
      <c r="G11" s="385"/>
      <c r="K11" s="194"/>
      <c r="P11" s="194"/>
    </row>
    <row r="12" spans="1:61" x14ac:dyDescent="0.2">
      <c r="A12" s="199" t="s">
        <v>487</v>
      </c>
      <c r="F12" s="194"/>
      <c r="K12" s="194"/>
      <c r="P12" s="194"/>
    </row>
    <row r="13" spans="1:61" x14ac:dyDescent="0.2">
      <c r="A13" s="259" t="s">
        <v>367</v>
      </c>
      <c r="B13" s="259"/>
      <c r="C13" s="259"/>
      <c r="D13" s="259"/>
      <c r="E13" s="259"/>
      <c r="F13" s="538"/>
      <c r="G13" s="259"/>
      <c r="H13" s="259"/>
      <c r="I13" s="259"/>
      <c r="J13" s="259"/>
      <c r="K13" s="538"/>
      <c r="L13" s="259"/>
      <c r="M13" s="259"/>
      <c r="N13" s="259"/>
      <c r="O13" s="259"/>
      <c r="P13" s="538"/>
      <c r="Q13" s="259"/>
      <c r="R13" s="259"/>
      <c r="S13" s="259"/>
      <c r="T13" s="259"/>
      <c r="U13" s="259"/>
      <c r="V13" s="259"/>
      <c r="W13" s="259"/>
      <c r="X13" s="259"/>
      <c r="Y13" s="259"/>
      <c r="Z13" s="259"/>
      <c r="AA13" s="259"/>
      <c r="AB13" s="259"/>
      <c r="AC13" s="259"/>
      <c r="AD13" s="259"/>
      <c r="AE13" s="259"/>
      <c r="AF13" s="259"/>
      <c r="AG13" s="259"/>
      <c r="AH13" s="259"/>
      <c r="AI13" s="259"/>
      <c r="AJ13" s="259"/>
      <c r="AK13" s="384">
        <v>5.1999999999999998E-2</v>
      </c>
      <c r="AL13" s="384">
        <v>5.6000000000000001E-2</v>
      </c>
      <c r="AM13" s="384">
        <v>7.1999999999999995E-2</v>
      </c>
      <c r="AN13" s="384">
        <v>6.2E-2</v>
      </c>
      <c r="AO13" s="259"/>
      <c r="AP13" s="384">
        <v>2.3E-2</v>
      </c>
      <c r="AQ13" s="384">
        <v>1.4E-2</v>
      </c>
      <c r="AR13" s="384">
        <v>-0.01</v>
      </c>
      <c r="AS13" s="919"/>
      <c r="AT13" s="259"/>
      <c r="AU13" s="384">
        <v>-0.18</v>
      </c>
      <c r="AV13" s="384">
        <v>-0.23400000000000001</v>
      </c>
      <c r="AW13" s="384">
        <v>-0.20599999999999999</v>
      </c>
      <c r="AX13" s="384">
        <v>-0.126</v>
      </c>
      <c r="AY13" s="259"/>
      <c r="AZ13" s="384">
        <v>-1.9E-2</v>
      </c>
      <c r="BA13" s="384">
        <v>7.4999999999999997E-2</v>
      </c>
      <c r="BB13" s="384">
        <v>6.5000000000000002E-2</v>
      </c>
      <c r="BC13" s="384">
        <v>6.5000000000000002E-2</v>
      </c>
      <c r="BD13" s="259"/>
      <c r="BE13" s="384">
        <v>4.8000000000000001E-2</v>
      </c>
      <c r="BF13" s="384">
        <v>6.6000000000000003E-2</v>
      </c>
      <c r="BG13" s="384">
        <v>7.0000000000000007E-2</v>
      </c>
      <c r="BH13" s="259"/>
      <c r="BI13" s="259"/>
    </row>
    <row r="14" spans="1:61" x14ac:dyDescent="0.2">
      <c r="A14" s="311" t="s">
        <v>772</v>
      </c>
      <c r="B14" s="311"/>
      <c r="C14" s="311"/>
      <c r="D14" s="311"/>
      <c r="E14" s="311"/>
      <c r="F14" s="920"/>
      <c r="G14" s="311"/>
      <c r="H14" s="311"/>
      <c r="I14" s="311"/>
      <c r="J14" s="311"/>
      <c r="K14" s="920"/>
      <c r="L14" s="311"/>
      <c r="M14" s="311"/>
      <c r="N14" s="311"/>
      <c r="O14" s="311"/>
      <c r="P14" s="920"/>
      <c r="Q14" s="311"/>
      <c r="R14" s="311"/>
      <c r="S14" s="311"/>
      <c r="T14" s="311"/>
      <c r="U14" s="311"/>
      <c r="V14" s="311"/>
      <c r="W14" s="311"/>
      <c r="X14" s="311"/>
      <c r="Y14" s="311"/>
      <c r="Z14" s="311"/>
      <c r="AA14" s="311"/>
      <c r="AB14" s="311"/>
      <c r="AC14" s="311"/>
      <c r="AD14" s="311"/>
      <c r="AE14" s="311"/>
      <c r="AF14" s="311"/>
      <c r="AG14" s="311"/>
      <c r="AH14" s="311"/>
      <c r="AI14" s="311"/>
      <c r="AJ14" s="311"/>
      <c r="AK14" s="311"/>
      <c r="AL14" s="311"/>
      <c r="AM14" s="311"/>
      <c r="AN14" s="311"/>
      <c r="AO14" s="311"/>
      <c r="AP14" s="259"/>
      <c r="AQ14" s="259"/>
      <c r="AR14" s="259"/>
      <c r="AS14" s="259"/>
      <c r="AT14" s="259"/>
      <c r="AU14" s="259"/>
      <c r="AV14" s="259"/>
      <c r="AW14" s="259"/>
      <c r="AX14" s="259"/>
      <c r="AY14" s="259"/>
      <c r="AZ14" s="259"/>
      <c r="BA14" s="259"/>
      <c r="BB14" s="259"/>
      <c r="BC14" s="259"/>
      <c r="BD14" s="259"/>
      <c r="BE14" s="259"/>
      <c r="BF14" s="259"/>
      <c r="BG14" s="259"/>
      <c r="BH14" s="311"/>
      <c r="BI14" s="311"/>
    </row>
    <row r="15" spans="1:61" x14ac:dyDescent="0.2">
      <c r="F15" s="194"/>
      <c r="K15" s="194"/>
      <c r="P15" s="194"/>
    </row>
    <row r="16" spans="1:61" x14ac:dyDescent="0.2">
      <c r="A16" s="199" t="s">
        <v>774</v>
      </c>
      <c r="F16" s="194"/>
      <c r="K16" s="194"/>
      <c r="P16" s="194"/>
      <c r="AP16" s="259"/>
      <c r="AQ16" s="259"/>
      <c r="AR16" s="259"/>
      <c r="AS16" s="259"/>
      <c r="AU16" s="259"/>
      <c r="AV16" s="259"/>
      <c r="AW16" s="259"/>
      <c r="AX16" s="259"/>
      <c r="AZ16" s="259"/>
      <c r="BA16" s="259"/>
      <c r="BB16" s="259"/>
      <c r="BC16" s="259"/>
      <c r="BE16" s="259"/>
      <c r="BF16" s="259"/>
      <c r="BG16" s="259"/>
      <c r="BH16" s="259"/>
    </row>
    <row r="17" spans="1:16" x14ac:dyDescent="0.2">
      <c r="A17" s="199"/>
      <c r="F17" s="194"/>
      <c r="K17" s="194"/>
      <c r="P17" s="194"/>
    </row>
    <row r="18" spans="1:16" x14ac:dyDescent="0.2">
      <c r="A18" s="199" t="s">
        <v>365</v>
      </c>
      <c r="F18" s="194"/>
      <c r="K18" s="194"/>
      <c r="P18" s="194"/>
    </row>
    <row r="19" spans="1:16" x14ac:dyDescent="0.2">
      <c r="A19" s="199"/>
      <c r="F19" s="194"/>
      <c r="K19" s="194"/>
      <c r="P19" s="194"/>
    </row>
    <row r="20" spans="1:16" x14ac:dyDescent="0.2">
      <c r="A20" s="921" t="s">
        <v>1619</v>
      </c>
      <c r="F20" s="194"/>
      <c r="K20" s="194"/>
      <c r="P20" s="194"/>
    </row>
    <row r="21" spans="1:16" x14ac:dyDescent="0.2">
      <c r="A21" s="199"/>
      <c r="F21" s="194"/>
      <c r="K21" s="194"/>
      <c r="P21" s="194"/>
    </row>
    <row r="22" spans="1:16" x14ac:dyDescent="0.2">
      <c r="A22" s="276" t="s">
        <v>1383</v>
      </c>
      <c r="F22" s="194"/>
      <c r="K22" s="194"/>
      <c r="P22" s="194"/>
    </row>
    <row r="23" spans="1:16" x14ac:dyDescent="0.2">
      <c r="A23" s="274" t="s">
        <v>270</v>
      </c>
      <c r="F23" s="194"/>
      <c r="K23" s="194"/>
      <c r="P23" s="194"/>
    </row>
    <row r="24" spans="1:16" x14ac:dyDescent="0.2">
      <c r="A24" s="274" t="s">
        <v>271</v>
      </c>
      <c r="F24" s="194"/>
      <c r="K24" s="194"/>
      <c r="P24" s="194"/>
    </row>
    <row r="25" spans="1:16" x14ac:dyDescent="0.2">
      <c r="A25" s="274" t="s">
        <v>76</v>
      </c>
      <c r="F25" s="194"/>
      <c r="K25" s="194"/>
      <c r="P25" s="194"/>
    </row>
    <row r="26" spans="1:16" x14ac:dyDescent="0.2">
      <c r="A26" s="274"/>
      <c r="F26" s="194"/>
      <c r="K26" s="194"/>
      <c r="P26" s="194"/>
    </row>
    <row r="27" spans="1:16" x14ac:dyDescent="0.2">
      <c r="A27" s="276" t="s">
        <v>1417</v>
      </c>
      <c r="F27" s="194"/>
      <c r="K27" s="194"/>
      <c r="P27" s="194"/>
    </row>
    <row r="28" spans="1:16" x14ac:dyDescent="0.2">
      <c r="A28" s="274" t="s">
        <v>1007</v>
      </c>
      <c r="F28" s="194"/>
      <c r="K28" s="194"/>
      <c r="P28" s="194"/>
    </row>
    <row r="29" spans="1:16" x14ac:dyDescent="0.2">
      <c r="A29" s="274" t="s">
        <v>1652</v>
      </c>
      <c r="F29" s="194"/>
      <c r="K29" s="194"/>
      <c r="P29" s="194"/>
    </row>
    <row r="30" spans="1:16" x14ac:dyDescent="0.2">
      <c r="A30" s="274" t="s">
        <v>1653</v>
      </c>
      <c r="F30" s="194"/>
      <c r="K30" s="194"/>
      <c r="P30" s="194"/>
    </row>
    <row r="31" spans="1:16" x14ac:dyDescent="0.2">
      <c r="A31" s="274" t="s">
        <v>76</v>
      </c>
      <c r="F31" s="194"/>
      <c r="K31" s="194"/>
      <c r="P31" s="194"/>
    </row>
    <row r="32" spans="1:16" x14ac:dyDescent="0.2">
      <c r="A32" s="274"/>
      <c r="F32" s="194"/>
      <c r="K32" s="194"/>
      <c r="P32" s="194"/>
    </row>
    <row r="33" spans="1:16" x14ac:dyDescent="0.2">
      <c r="A33" s="310" t="s">
        <v>1387</v>
      </c>
      <c r="F33" s="194"/>
      <c r="K33" s="194"/>
      <c r="P33" s="194"/>
    </row>
    <row r="34" spans="1:16" x14ac:dyDescent="0.2">
      <c r="A34" s="274" t="s">
        <v>272</v>
      </c>
      <c r="F34" s="194"/>
      <c r="K34" s="194"/>
      <c r="P34" s="194"/>
    </row>
    <row r="35" spans="1:16" x14ac:dyDescent="0.2">
      <c r="A35" s="274" t="s">
        <v>273</v>
      </c>
      <c r="F35" s="194"/>
      <c r="K35" s="194"/>
      <c r="P35" s="194"/>
    </row>
    <row r="36" spans="1:16" x14ac:dyDescent="0.2">
      <c r="A36" s="274" t="s">
        <v>1787</v>
      </c>
      <c r="F36" s="194"/>
      <c r="K36" s="194"/>
      <c r="P36" s="194"/>
    </row>
    <row r="37" spans="1:16" x14ac:dyDescent="0.2">
      <c r="A37" s="274" t="s">
        <v>76</v>
      </c>
      <c r="F37" s="194"/>
      <c r="K37" s="194"/>
      <c r="P37" s="194"/>
    </row>
    <row r="38" spans="1:16" x14ac:dyDescent="0.2">
      <c r="A38" s="274"/>
      <c r="F38" s="194"/>
      <c r="K38" s="194"/>
      <c r="P38" s="194"/>
    </row>
    <row r="39" spans="1:16" x14ac:dyDescent="0.2">
      <c r="A39" s="276" t="s">
        <v>1383</v>
      </c>
      <c r="F39" s="194"/>
      <c r="K39" s="194"/>
      <c r="P39" s="194"/>
    </row>
    <row r="40" spans="1:16" x14ac:dyDescent="0.2">
      <c r="A40" s="274" t="s">
        <v>1786</v>
      </c>
      <c r="F40" s="194"/>
      <c r="K40" s="194"/>
      <c r="P40" s="194"/>
    </row>
    <row r="41" spans="1:16" x14ac:dyDescent="0.2">
      <c r="A41" s="274" t="s">
        <v>1788</v>
      </c>
      <c r="F41" s="194"/>
      <c r="K41" s="194"/>
      <c r="P41" s="194"/>
    </row>
    <row r="42" spans="1:16" x14ac:dyDescent="0.2">
      <c r="A42" s="274" t="s">
        <v>76</v>
      </c>
      <c r="F42" s="194"/>
      <c r="K42" s="194"/>
      <c r="P42" s="194"/>
    </row>
    <row r="43" spans="1:16" x14ac:dyDescent="0.2">
      <c r="A43" s="199"/>
      <c r="F43" s="196"/>
      <c r="K43" s="196"/>
      <c r="P43" s="196"/>
    </row>
    <row r="44" spans="1:16" x14ac:dyDescent="0.2">
      <c r="A44" s="921" t="s">
        <v>366</v>
      </c>
    </row>
    <row r="45" spans="1:16" x14ac:dyDescent="0.2">
      <c r="A45" s="199"/>
    </row>
    <row r="46" spans="1:16" x14ac:dyDescent="0.2">
      <c r="A46" s="276" t="s">
        <v>1383</v>
      </c>
    </row>
    <row r="47" spans="1:16" x14ac:dyDescent="0.2">
      <c r="A47" s="274" t="s">
        <v>270</v>
      </c>
    </row>
    <row r="48" spans="1:16" x14ac:dyDescent="0.2">
      <c r="A48" s="274" t="s">
        <v>271</v>
      </c>
    </row>
    <row r="49" spans="1:1" x14ac:dyDescent="0.2">
      <c r="A49" s="274" t="s">
        <v>76</v>
      </c>
    </row>
    <row r="50" spans="1:1" x14ac:dyDescent="0.2">
      <c r="A50" s="274"/>
    </row>
    <row r="51" spans="1:1" x14ac:dyDescent="0.2">
      <c r="A51" s="276" t="s">
        <v>1417</v>
      </c>
    </row>
    <row r="52" spans="1:1" x14ac:dyDescent="0.2">
      <c r="A52" s="274" t="s">
        <v>1007</v>
      </c>
    </row>
    <row r="53" spans="1:1" x14ac:dyDescent="0.2">
      <c r="A53" s="274" t="s">
        <v>1652</v>
      </c>
    </row>
    <row r="54" spans="1:1" x14ac:dyDescent="0.2">
      <c r="A54" s="274" t="s">
        <v>1653</v>
      </c>
    </row>
    <row r="55" spans="1:1" x14ac:dyDescent="0.2">
      <c r="A55" s="274" t="s">
        <v>76</v>
      </c>
    </row>
    <row r="56" spans="1:1" x14ac:dyDescent="0.2">
      <c r="A56" s="274"/>
    </row>
    <row r="57" spans="1:1" x14ac:dyDescent="0.2">
      <c r="A57" s="310" t="s">
        <v>1387</v>
      </c>
    </row>
    <row r="58" spans="1:1" x14ac:dyDescent="0.2">
      <c r="A58" s="274" t="s">
        <v>272</v>
      </c>
    </row>
    <row r="59" spans="1:1" x14ac:dyDescent="0.2">
      <c r="A59" s="274" t="s">
        <v>273</v>
      </c>
    </row>
    <row r="60" spans="1:1" x14ac:dyDescent="0.2">
      <c r="A60" s="274" t="s">
        <v>1787</v>
      </c>
    </row>
    <row r="61" spans="1:1" x14ac:dyDescent="0.2">
      <c r="A61" s="274" t="s">
        <v>76</v>
      </c>
    </row>
    <row r="62" spans="1:1" x14ac:dyDescent="0.2">
      <c r="A62" s="274"/>
    </row>
    <row r="63" spans="1:1" x14ac:dyDescent="0.2">
      <c r="A63" s="276" t="s">
        <v>1383</v>
      </c>
    </row>
    <row r="64" spans="1:1" x14ac:dyDescent="0.2">
      <c r="A64" s="274" t="s">
        <v>1786</v>
      </c>
    </row>
    <row r="65" spans="1:1" x14ac:dyDescent="0.2">
      <c r="A65" s="274" t="s">
        <v>1788</v>
      </c>
    </row>
    <row r="66" spans="1:1" x14ac:dyDescent="0.2">
      <c r="A66" s="274" t="s">
        <v>76</v>
      </c>
    </row>
    <row r="67" spans="1:1" x14ac:dyDescent="0.2">
      <c r="A67" s="199"/>
    </row>
    <row r="68" spans="1:1" x14ac:dyDescent="0.2">
      <c r="A68" s="199"/>
    </row>
    <row r="69" spans="1:1" x14ac:dyDescent="0.2">
      <c r="A69" s="199"/>
    </row>
    <row r="70" spans="1:1" x14ac:dyDescent="0.2">
      <c r="A70" s="199"/>
    </row>
    <row r="71" spans="1:1" x14ac:dyDescent="0.2">
      <c r="A71" s="199"/>
    </row>
    <row r="72" spans="1:1" x14ac:dyDescent="0.2">
      <c r="A72" s="199"/>
    </row>
    <row r="73" spans="1:1" x14ac:dyDescent="0.2">
      <c r="A73" s="199"/>
    </row>
    <row r="74" spans="1:1" x14ac:dyDescent="0.2">
      <c r="A74" s="199"/>
    </row>
    <row r="75" spans="1:1" x14ac:dyDescent="0.2">
      <c r="A75" s="199"/>
    </row>
    <row r="76" spans="1:1" x14ac:dyDescent="0.2">
      <c r="A76" s="199"/>
    </row>
    <row r="77" spans="1:1" x14ac:dyDescent="0.2">
      <c r="A77" s="199"/>
    </row>
    <row r="78" spans="1:1" x14ac:dyDescent="0.2">
      <c r="A78" s="199"/>
    </row>
    <row r="81" spans="1:1" x14ac:dyDescent="0.2">
      <c r="A81" s="199" t="s">
        <v>1416</v>
      </c>
    </row>
    <row r="82" spans="1:1" x14ac:dyDescent="0.2">
      <c r="A82" s="70" t="s">
        <v>1929</v>
      </c>
    </row>
    <row r="83" spans="1:1" x14ac:dyDescent="0.2">
      <c r="A83" s="70" t="s">
        <v>2036</v>
      </c>
    </row>
    <row r="85" spans="1:1" x14ac:dyDescent="0.2">
      <c r="A85" s="199" t="s">
        <v>487</v>
      </c>
    </row>
    <row r="86" spans="1:1" x14ac:dyDescent="0.2">
      <c r="A86" s="70" t="s">
        <v>771</v>
      </c>
    </row>
    <row r="87" spans="1:1" x14ac:dyDescent="0.2">
      <c r="A87" s="70" t="s">
        <v>772</v>
      </c>
    </row>
    <row r="89" spans="1:1" x14ac:dyDescent="0.2">
      <c r="A89" s="199" t="s">
        <v>646</v>
      </c>
    </row>
    <row r="93" spans="1:1" x14ac:dyDescent="0.2">
      <c r="A93" s="70" t="s">
        <v>364</v>
      </c>
    </row>
    <row r="95" spans="1:1" x14ac:dyDescent="0.2">
      <c r="A95" s="70" t="s">
        <v>9</v>
      </c>
    </row>
  </sheetData>
  <phoneticPr fontId="0" type="noConversion"/>
  <pageMargins left="0.75" right="0.75" top="1" bottom="1" header="0.5" footer="0.5"/>
  <pageSetup orientation="portrait" r:id="rId1"/>
  <headerFooter alignWithMargins="0"/>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25"/>
  <sheetViews>
    <sheetView workbookViewId="0"/>
  </sheetViews>
  <sheetFormatPr defaultRowHeight="11.25" x14ac:dyDescent="0.2"/>
  <sheetData>
    <row r="1" spans="1:1" x14ac:dyDescent="0.2">
      <c r="A1" t="s">
        <v>1635</v>
      </c>
    </row>
    <row r="3" spans="1:1" x14ac:dyDescent="0.2">
      <c r="A3" s="542" t="s">
        <v>1637</v>
      </c>
    </row>
    <row r="5" spans="1:1" x14ac:dyDescent="0.2">
      <c r="A5" t="s">
        <v>1636</v>
      </c>
    </row>
    <row r="7" spans="1:1" x14ac:dyDescent="0.2">
      <c r="A7" t="s">
        <v>1865</v>
      </c>
    </row>
    <row r="15" spans="1:1" x14ac:dyDescent="0.2">
      <c r="A15" s="542" t="s">
        <v>1867</v>
      </c>
    </row>
    <row r="16" spans="1:1" x14ac:dyDescent="0.2">
      <c r="A16" s="668" t="s">
        <v>1731</v>
      </c>
    </row>
    <row r="17" spans="1:1" x14ac:dyDescent="0.2">
      <c r="A17" s="668" t="s">
        <v>1088</v>
      </c>
    </row>
    <row r="18" spans="1:1" x14ac:dyDescent="0.2">
      <c r="A18" s="668" t="s">
        <v>1868</v>
      </c>
    </row>
    <row r="19" spans="1:1" x14ac:dyDescent="0.2">
      <c r="A19" s="668" t="s">
        <v>1869</v>
      </c>
    </row>
    <row r="20" spans="1:1" x14ac:dyDescent="0.2">
      <c r="A20" s="668" t="s">
        <v>1870</v>
      </c>
    </row>
    <row r="21" spans="1:1" x14ac:dyDescent="0.2">
      <c r="A21" s="668" t="s">
        <v>1871</v>
      </c>
    </row>
    <row r="22" spans="1:1" x14ac:dyDescent="0.2">
      <c r="A22" s="668" t="s">
        <v>1872</v>
      </c>
    </row>
    <row r="23" spans="1:1" x14ac:dyDescent="0.2">
      <c r="A23" s="668" t="s">
        <v>1873</v>
      </c>
    </row>
    <row r="25" spans="1:1" x14ac:dyDescent="0.2">
      <c r="A25" t="s">
        <v>1866</v>
      </c>
    </row>
  </sheetData>
  <phoneticPr fontId="0" type="noConversion"/>
  <pageMargins left="0.75" right="0.75" top="1" bottom="1" header="0.5" footer="0.5"/>
  <pageSetup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78"/>
  <sheetViews>
    <sheetView zoomScale="85" workbookViewId="0"/>
  </sheetViews>
  <sheetFormatPr defaultRowHeight="11.25" x14ac:dyDescent="0.2"/>
  <cols>
    <col min="1" max="1" width="22" customWidth="1"/>
    <col min="2" max="2" width="4" customWidth="1"/>
    <col min="3" max="4" width="10.5" bestFit="1" customWidth="1"/>
    <col min="13" max="13" width="1.83203125" customWidth="1"/>
    <col min="14" max="14" width="14.5" customWidth="1"/>
    <col min="15" max="16" width="10.83203125" customWidth="1"/>
    <col min="17" max="17" width="2.83203125" customWidth="1"/>
    <col min="18" max="19" width="10.83203125" customWidth="1"/>
    <col min="20" max="20" width="2.83203125" customWidth="1"/>
    <col min="21" max="22" width="10.83203125" customWidth="1"/>
  </cols>
  <sheetData>
    <row r="1" spans="1:22" ht="12.75" x14ac:dyDescent="0.2">
      <c r="A1" s="201" t="s">
        <v>1253</v>
      </c>
      <c r="B1" s="70"/>
      <c r="C1" s="70"/>
      <c r="D1" s="70"/>
      <c r="E1" s="70"/>
      <c r="F1" s="70"/>
      <c r="G1" s="70"/>
      <c r="H1" s="70"/>
      <c r="I1" s="70"/>
      <c r="J1" s="70"/>
      <c r="K1" s="70"/>
      <c r="L1" s="70"/>
      <c r="M1" s="70"/>
      <c r="N1" s="70"/>
      <c r="O1" s="70"/>
      <c r="P1" s="70"/>
      <c r="Q1" s="70"/>
      <c r="R1" s="70"/>
      <c r="S1" s="70"/>
      <c r="T1" s="70"/>
      <c r="U1" s="70"/>
      <c r="V1" s="70"/>
    </row>
    <row r="2" spans="1:22" ht="12.75" x14ac:dyDescent="0.2">
      <c r="A2" s="70"/>
      <c r="B2" s="70"/>
      <c r="C2" s="70"/>
      <c r="D2" s="70"/>
      <c r="E2" s="70"/>
      <c r="F2" s="70"/>
      <c r="G2" s="70"/>
      <c r="H2" s="70"/>
      <c r="I2" s="70"/>
      <c r="J2" s="70"/>
      <c r="K2" s="70"/>
      <c r="L2" s="70"/>
      <c r="M2" s="70"/>
      <c r="N2" s="70"/>
      <c r="O2" s="70"/>
      <c r="P2" s="70"/>
      <c r="Q2" s="70"/>
      <c r="R2" s="70"/>
      <c r="S2" s="70"/>
      <c r="T2" s="70"/>
      <c r="U2" s="70"/>
      <c r="V2" s="70"/>
    </row>
    <row r="3" spans="1:22" ht="12.75" x14ac:dyDescent="0.2">
      <c r="A3" s="70"/>
      <c r="B3" s="70"/>
      <c r="C3" s="70"/>
      <c r="D3" s="70"/>
      <c r="E3" s="70"/>
      <c r="F3" s="70"/>
      <c r="G3" s="70"/>
      <c r="H3" s="70"/>
      <c r="I3" s="70"/>
      <c r="J3" s="70"/>
      <c r="K3" s="70"/>
      <c r="L3" s="70"/>
      <c r="M3" s="70"/>
      <c r="N3" s="70"/>
      <c r="O3" s="70"/>
      <c r="P3" s="70"/>
      <c r="Q3" s="70"/>
      <c r="R3" s="70"/>
      <c r="S3" s="70"/>
      <c r="T3" s="70"/>
      <c r="U3" s="70"/>
      <c r="V3" s="70"/>
    </row>
    <row r="4" spans="1:22" ht="12.75" x14ac:dyDescent="0.2">
      <c r="A4" s="609" t="s">
        <v>1460</v>
      </c>
      <c r="B4" s="195"/>
      <c r="C4" s="335" t="s">
        <v>1542</v>
      </c>
      <c r="D4" s="611">
        <v>2011</v>
      </c>
      <c r="E4" s="611">
        <v>2012</v>
      </c>
      <c r="F4" s="70"/>
      <c r="G4" s="70"/>
      <c r="H4" s="70"/>
      <c r="I4" s="70"/>
      <c r="J4" s="70"/>
      <c r="K4" s="70"/>
      <c r="L4" s="70"/>
      <c r="M4" s="70"/>
      <c r="N4" s="70"/>
      <c r="O4" s="70"/>
      <c r="P4" s="70"/>
      <c r="Q4" s="70"/>
      <c r="R4" s="70"/>
      <c r="S4" s="70"/>
      <c r="T4" s="70"/>
      <c r="U4" s="70"/>
      <c r="V4" s="70"/>
    </row>
    <row r="5" spans="1:22" ht="12.75" x14ac:dyDescent="0.2">
      <c r="A5" s="70"/>
      <c r="B5" s="70"/>
      <c r="C5" s="70"/>
      <c r="D5" s="70"/>
      <c r="E5" s="70"/>
      <c r="F5" s="70"/>
      <c r="G5" s="70"/>
      <c r="H5" s="70"/>
      <c r="I5" s="70"/>
      <c r="J5" s="70"/>
      <c r="K5" s="70"/>
      <c r="L5" s="70"/>
      <c r="M5" s="70"/>
      <c r="N5" s="70"/>
      <c r="O5" s="70"/>
      <c r="P5" s="70"/>
      <c r="Q5" s="70"/>
      <c r="R5" s="70"/>
      <c r="S5" s="70"/>
      <c r="T5" s="70"/>
      <c r="U5" s="70"/>
      <c r="V5" s="70"/>
    </row>
    <row r="6" spans="1:22" ht="12.75" x14ac:dyDescent="0.2">
      <c r="A6" s="70" t="s">
        <v>1461</v>
      </c>
      <c r="B6" s="70"/>
      <c r="C6" s="300">
        <v>0.36</v>
      </c>
      <c r="D6" s="300">
        <v>1.43</v>
      </c>
      <c r="E6" s="300">
        <v>1.86</v>
      </c>
      <c r="F6" s="70"/>
      <c r="G6" s="70"/>
      <c r="H6" s="70"/>
      <c r="I6" s="70"/>
      <c r="J6" s="70"/>
      <c r="K6" s="70"/>
      <c r="L6" s="70"/>
      <c r="M6" s="70"/>
      <c r="N6" s="70"/>
      <c r="O6" s="70"/>
      <c r="P6" s="70"/>
      <c r="Q6" s="70"/>
      <c r="R6" s="70"/>
      <c r="S6" s="70"/>
      <c r="T6" s="70"/>
      <c r="U6" s="70"/>
      <c r="V6" s="70"/>
    </row>
    <row r="7" spans="1:22" ht="12.75" x14ac:dyDescent="0.2">
      <c r="A7" s="70" t="s">
        <v>1464</v>
      </c>
      <c r="B7" s="70"/>
      <c r="C7" s="70"/>
      <c r="D7" s="300">
        <v>1.38</v>
      </c>
      <c r="E7" s="300">
        <v>1.68</v>
      </c>
      <c r="F7" s="70"/>
      <c r="G7" s="70"/>
      <c r="H7" s="70"/>
      <c r="I7" s="70"/>
      <c r="J7" s="70"/>
      <c r="K7" s="70"/>
      <c r="L7" s="70"/>
      <c r="M7" s="70"/>
      <c r="N7" s="70"/>
      <c r="O7" s="70"/>
      <c r="P7" s="70"/>
      <c r="Q7" s="70"/>
      <c r="R7" s="70"/>
      <c r="S7" s="70"/>
      <c r="T7" s="70"/>
      <c r="U7" s="70"/>
      <c r="V7" s="70"/>
    </row>
    <row r="8" spans="1:22" ht="12.75" x14ac:dyDescent="0.2">
      <c r="A8" s="70" t="s">
        <v>1462</v>
      </c>
      <c r="B8" s="70"/>
      <c r="C8" s="70"/>
      <c r="D8" s="300">
        <v>1.46</v>
      </c>
      <c r="E8" s="300">
        <v>2.09</v>
      </c>
      <c r="F8" s="70"/>
      <c r="G8" s="70"/>
      <c r="H8" s="70"/>
      <c r="I8" s="70"/>
      <c r="J8" s="70"/>
      <c r="K8" s="70"/>
      <c r="L8" s="70"/>
      <c r="M8" s="70"/>
      <c r="N8" s="70"/>
      <c r="O8" s="70"/>
      <c r="P8" s="70"/>
      <c r="Q8" s="70"/>
      <c r="R8" s="70"/>
      <c r="S8" s="70"/>
      <c r="T8" s="70"/>
      <c r="U8" s="70"/>
      <c r="V8" s="70"/>
    </row>
    <row r="9" spans="1:22" ht="12.75" x14ac:dyDescent="0.2">
      <c r="A9" s="70" t="s">
        <v>1463</v>
      </c>
      <c r="B9" s="70"/>
      <c r="C9" s="70"/>
      <c r="D9" s="70"/>
      <c r="E9" s="70"/>
      <c r="F9" s="70"/>
      <c r="G9" s="70"/>
      <c r="H9" s="70"/>
      <c r="I9" s="70"/>
      <c r="J9" s="70"/>
      <c r="K9" s="70"/>
      <c r="L9" s="70"/>
      <c r="M9" s="70"/>
      <c r="N9" s="70"/>
      <c r="O9" s="70"/>
      <c r="P9" s="70"/>
      <c r="Q9" s="70"/>
      <c r="R9" s="70"/>
      <c r="S9" s="70"/>
      <c r="T9" s="70"/>
      <c r="U9" s="70"/>
      <c r="V9" s="70"/>
    </row>
    <row r="10" spans="1:22" ht="12.75" x14ac:dyDescent="0.2">
      <c r="A10" s="70"/>
      <c r="B10" s="70"/>
      <c r="C10" s="70"/>
      <c r="D10" s="70"/>
      <c r="E10" s="70"/>
      <c r="F10" s="70"/>
      <c r="G10" s="70"/>
      <c r="H10" s="70"/>
      <c r="I10" s="70"/>
      <c r="J10" s="70"/>
      <c r="K10" s="70"/>
      <c r="L10" s="70"/>
      <c r="M10" s="70"/>
      <c r="N10" s="70"/>
      <c r="O10" s="70"/>
      <c r="P10" s="70"/>
      <c r="Q10" s="70"/>
      <c r="R10" s="70"/>
      <c r="S10" s="70"/>
      <c r="T10" s="70"/>
      <c r="U10" s="70"/>
      <c r="V10" s="70"/>
    </row>
    <row r="11" spans="1:22" ht="12.75" x14ac:dyDescent="0.2">
      <c r="A11" s="70"/>
      <c r="B11" s="70"/>
      <c r="C11" s="70"/>
      <c r="D11" s="70"/>
      <c r="E11" s="70"/>
      <c r="F11" s="70"/>
      <c r="G11" s="70"/>
      <c r="H11" s="70"/>
      <c r="I11" s="70"/>
      <c r="J11" s="70"/>
      <c r="K11" s="70"/>
      <c r="L11" s="70"/>
      <c r="M11" s="70"/>
      <c r="N11" s="70"/>
      <c r="O11" s="70"/>
      <c r="P11" s="70"/>
      <c r="Q11" s="70"/>
      <c r="R11" s="70"/>
      <c r="S11" s="70"/>
      <c r="T11" s="70"/>
      <c r="U11" s="70"/>
      <c r="V11" s="70"/>
    </row>
    <row r="12" spans="1:22" ht="12.75" x14ac:dyDescent="0.2">
      <c r="A12" s="201" t="s">
        <v>125</v>
      </c>
      <c r="B12" s="70"/>
      <c r="C12" s="70"/>
      <c r="D12" s="70"/>
      <c r="E12" s="70"/>
      <c r="F12" s="70"/>
      <c r="G12" s="70"/>
      <c r="H12" s="70"/>
      <c r="I12" s="70"/>
      <c r="J12" s="70"/>
      <c r="K12" s="70"/>
      <c r="L12" s="70"/>
      <c r="M12" s="70"/>
      <c r="N12" s="70"/>
      <c r="O12" s="70"/>
      <c r="P12" s="70"/>
      <c r="Q12" s="70"/>
      <c r="R12" s="70"/>
      <c r="S12" s="70"/>
      <c r="T12" s="70"/>
      <c r="U12" s="70"/>
      <c r="V12" s="70"/>
    </row>
    <row r="13" spans="1:22" ht="12.75" x14ac:dyDescent="0.2">
      <c r="A13" s="70"/>
      <c r="B13" s="70"/>
      <c r="C13" s="70"/>
      <c r="D13" s="70"/>
      <c r="E13" s="70"/>
      <c r="F13" s="70"/>
      <c r="G13" s="70"/>
      <c r="H13" s="70"/>
      <c r="I13" s="70"/>
      <c r="J13" s="70"/>
      <c r="K13" s="70"/>
      <c r="L13" s="70"/>
      <c r="M13" s="70"/>
      <c r="N13" s="70"/>
      <c r="O13" s="70"/>
      <c r="P13" s="70"/>
      <c r="Q13" s="70"/>
      <c r="R13" s="70"/>
      <c r="S13" s="70"/>
      <c r="T13" s="70"/>
      <c r="U13" s="70"/>
      <c r="V13" s="70"/>
    </row>
    <row r="14" spans="1:22" ht="12.75" x14ac:dyDescent="0.2">
      <c r="A14" s="70"/>
      <c r="B14" s="70"/>
      <c r="C14" s="70"/>
      <c r="D14" s="70"/>
      <c r="E14" s="70"/>
      <c r="F14" s="70"/>
      <c r="G14" s="70"/>
      <c r="H14" s="70"/>
      <c r="I14" s="70"/>
      <c r="J14" s="70"/>
      <c r="K14" s="70"/>
      <c r="L14" s="70"/>
      <c r="M14" s="70"/>
      <c r="N14" s="70"/>
      <c r="O14" s="70"/>
      <c r="P14" s="70"/>
      <c r="Q14" s="70"/>
      <c r="R14" s="70"/>
      <c r="S14" s="70"/>
      <c r="T14" s="70"/>
      <c r="U14" s="70"/>
      <c r="V14" s="70"/>
    </row>
    <row r="15" spans="1:22" ht="12.75" x14ac:dyDescent="0.2">
      <c r="A15" s="609" t="s">
        <v>1460</v>
      </c>
      <c r="B15" s="195"/>
      <c r="C15" s="335" t="s">
        <v>1542</v>
      </c>
      <c r="D15" s="611">
        <v>2011</v>
      </c>
      <c r="E15" s="611">
        <v>2012</v>
      </c>
      <c r="F15" s="70"/>
      <c r="G15" s="70"/>
      <c r="H15" s="70"/>
      <c r="I15" s="70"/>
      <c r="J15" s="70"/>
      <c r="K15" s="70"/>
      <c r="L15" s="70"/>
      <c r="M15" s="70"/>
      <c r="N15" s="70"/>
      <c r="O15" s="70"/>
      <c r="P15" s="70"/>
      <c r="Q15" s="70"/>
      <c r="R15" s="70"/>
      <c r="S15" s="70"/>
      <c r="T15" s="70"/>
      <c r="U15" s="70"/>
      <c r="V15" s="70"/>
    </row>
    <row r="16" spans="1:22" ht="12.75" x14ac:dyDescent="0.2">
      <c r="A16" s="70"/>
      <c r="B16" s="70"/>
      <c r="C16" s="70"/>
      <c r="D16" s="70"/>
      <c r="E16" s="70"/>
      <c r="F16" s="70"/>
      <c r="G16" s="70"/>
      <c r="H16" s="70"/>
      <c r="I16" s="70"/>
      <c r="J16" s="70"/>
      <c r="K16" s="70"/>
      <c r="L16" s="70"/>
      <c r="M16" s="70"/>
      <c r="N16" s="70"/>
      <c r="O16" s="70"/>
      <c r="P16" s="70"/>
      <c r="Q16" s="70"/>
      <c r="R16" s="70"/>
      <c r="S16" s="70"/>
      <c r="T16" s="70"/>
      <c r="U16" s="70"/>
      <c r="V16" s="70"/>
    </row>
    <row r="17" spans="1:22" ht="12.75" x14ac:dyDescent="0.2">
      <c r="A17" s="70" t="s">
        <v>1461</v>
      </c>
      <c r="B17" s="70"/>
      <c r="C17" s="300"/>
      <c r="D17" s="300"/>
      <c r="E17" s="300"/>
      <c r="F17" s="70"/>
      <c r="G17" s="70"/>
      <c r="H17" s="70"/>
      <c r="I17" s="70"/>
      <c r="J17" s="70"/>
      <c r="K17" s="70"/>
      <c r="L17" s="70"/>
      <c r="M17" s="70"/>
      <c r="N17" s="70"/>
      <c r="O17" s="70"/>
      <c r="P17" s="70"/>
      <c r="Q17" s="70"/>
      <c r="R17" s="70"/>
      <c r="S17" s="70"/>
      <c r="T17" s="70"/>
      <c r="U17" s="70"/>
      <c r="V17" s="70"/>
    </row>
    <row r="18" spans="1:22" ht="12.75" x14ac:dyDescent="0.2">
      <c r="A18" s="70" t="s">
        <v>1464</v>
      </c>
      <c r="B18" s="70"/>
      <c r="C18" s="70"/>
      <c r="D18" s="300"/>
      <c r="E18" s="300"/>
      <c r="F18" s="70"/>
      <c r="G18" s="70"/>
      <c r="H18" s="70"/>
      <c r="I18" s="70"/>
      <c r="J18" s="70"/>
      <c r="K18" s="70"/>
      <c r="L18" s="70"/>
      <c r="M18" s="70"/>
      <c r="N18" s="70"/>
      <c r="O18" s="70"/>
      <c r="P18" s="70"/>
      <c r="Q18" s="70"/>
      <c r="R18" s="70"/>
      <c r="S18" s="70"/>
      <c r="T18" s="70"/>
      <c r="U18" s="70"/>
      <c r="V18" s="70"/>
    </row>
    <row r="19" spans="1:22" ht="12.75" x14ac:dyDescent="0.2">
      <c r="A19" s="70" t="s">
        <v>1462</v>
      </c>
      <c r="B19" s="70"/>
      <c r="C19" s="70"/>
      <c r="D19" s="70">
        <v>3754</v>
      </c>
      <c r="E19" s="70">
        <v>3196</v>
      </c>
      <c r="F19" s="70"/>
      <c r="G19" s="70"/>
      <c r="H19" s="70"/>
      <c r="I19" s="70"/>
      <c r="J19" s="70"/>
      <c r="K19" s="70"/>
      <c r="L19" s="70"/>
      <c r="M19" s="70"/>
      <c r="N19" s="70"/>
      <c r="O19" s="70"/>
      <c r="P19" s="70"/>
      <c r="Q19" s="70"/>
      <c r="R19" s="70"/>
      <c r="S19" s="70"/>
      <c r="T19" s="70"/>
      <c r="U19" s="70"/>
      <c r="V19" s="70"/>
    </row>
    <row r="20" spans="1:22" ht="12.75" x14ac:dyDescent="0.2">
      <c r="A20" s="70" t="s">
        <v>1463</v>
      </c>
      <c r="B20" s="70"/>
      <c r="C20" s="70"/>
      <c r="D20" s="70"/>
      <c r="E20" s="70"/>
      <c r="F20" s="70"/>
      <c r="G20" s="70"/>
      <c r="H20" s="70"/>
      <c r="I20" s="70"/>
      <c r="J20" s="70"/>
      <c r="K20" s="70"/>
      <c r="L20" s="70"/>
      <c r="M20" s="70"/>
      <c r="N20" s="70"/>
      <c r="O20" s="70"/>
      <c r="P20" s="70"/>
      <c r="Q20" s="70"/>
      <c r="R20" s="70"/>
      <c r="S20" s="70"/>
      <c r="T20" s="70"/>
      <c r="U20" s="70"/>
      <c r="V20" s="70"/>
    </row>
    <row r="21" spans="1:22" ht="12.75" x14ac:dyDescent="0.2">
      <c r="A21" s="70"/>
      <c r="B21" s="70"/>
      <c r="C21" s="70"/>
      <c r="D21" s="70"/>
      <c r="E21" s="70"/>
      <c r="F21" s="70"/>
      <c r="G21" s="70"/>
      <c r="H21" s="70"/>
      <c r="I21" s="70"/>
      <c r="J21" s="70"/>
      <c r="K21" s="70"/>
      <c r="L21" s="70"/>
      <c r="M21" s="70"/>
      <c r="N21" s="70"/>
      <c r="O21" s="70"/>
      <c r="P21" s="70"/>
      <c r="Q21" s="70"/>
      <c r="R21" s="70"/>
      <c r="S21" s="70"/>
      <c r="T21" s="70"/>
      <c r="U21" s="70"/>
      <c r="V21" s="70"/>
    </row>
    <row r="22" spans="1:22" ht="12.75" x14ac:dyDescent="0.2">
      <c r="A22" s="70"/>
      <c r="B22" s="70"/>
      <c r="C22" s="70"/>
      <c r="D22" s="70"/>
      <c r="E22" s="70"/>
      <c r="F22" s="70"/>
      <c r="G22" s="70"/>
      <c r="H22" s="70"/>
      <c r="I22" s="70"/>
      <c r="J22" s="70"/>
      <c r="K22" s="70"/>
      <c r="L22" s="70"/>
      <c r="M22" s="70"/>
      <c r="N22" s="70"/>
      <c r="O22" s="70"/>
      <c r="P22" s="70"/>
      <c r="Q22" s="70"/>
      <c r="R22" s="70"/>
      <c r="S22" s="70"/>
      <c r="T22" s="70"/>
      <c r="U22" s="70"/>
      <c r="V22" s="70"/>
    </row>
    <row r="23" spans="1:22" ht="12.75" x14ac:dyDescent="0.2">
      <c r="A23" s="201" t="s">
        <v>1863</v>
      </c>
      <c r="B23" s="70"/>
      <c r="C23" s="70"/>
      <c r="D23" s="70"/>
      <c r="E23" s="70"/>
      <c r="F23" s="70"/>
      <c r="G23" s="70"/>
      <c r="H23" s="70"/>
      <c r="I23" s="70"/>
      <c r="J23" s="70"/>
      <c r="K23" s="70"/>
      <c r="L23" s="70"/>
      <c r="M23" s="70"/>
      <c r="N23" s="70"/>
      <c r="O23" s="70"/>
      <c r="P23" s="70"/>
      <c r="Q23" s="70"/>
      <c r="R23" s="70"/>
      <c r="S23" s="70"/>
      <c r="T23" s="70"/>
      <c r="U23" s="70"/>
      <c r="V23" s="70"/>
    </row>
    <row r="24" spans="1:22" ht="12.75" x14ac:dyDescent="0.2">
      <c r="A24" s="70"/>
      <c r="B24" s="70"/>
      <c r="C24" s="70"/>
      <c r="D24" s="70"/>
      <c r="E24" s="70"/>
      <c r="F24" s="70"/>
      <c r="G24" s="70"/>
      <c r="H24" s="70"/>
      <c r="I24" s="70"/>
      <c r="J24" s="70"/>
      <c r="K24" s="70"/>
      <c r="L24" s="70"/>
      <c r="M24" s="70"/>
      <c r="N24" s="70"/>
      <c r="O24" s="70"/>
      <c r="P24" s="70"/>
      <c r="Q24" s="70"/>
      <c r="R24" s="70"/>
      <c r="S24" s="70"/>
      <c r="T24" s="70"/>
      <c r="U24" s="70"/>
      <c r="V24" s="70"/>
    </row>
    <row r="25" spans="1:22" ht="12.75" x14ac:dyDescent="0.2">
      <c r="A25" s="70"/>
      <c r="B25" s="70"/>
      <c r="C25" s="70"/>
      <c r="D25" s="70"/>
      <c r="E25" s="70"/>
      <c r="F25" s="70"/>
      <c r="G25" s="70"/>
      <c r="H25" s="70"/>
      <c r="I25" s="70"/>
      <c r="J25" s="70"/>
      <c r="K25" s="70"/>
      <c r="L25" s="70"/>
      <c r="M25" s="70"/>
      <c r="N25" s="70"/>
      <c r="O25" s="70"/>
      <c r="P25" s="70"/>
      <c r="Q25" s="70"/>
      <c r="R25" s="70"/>
      <c r="S25" s="70"/>
      <c r="T25" s="70"/>
      <c r="U25" s="70"/>
      <c r="V25" s="70"/>
    </row>
    <row r="26" spans="1:22" ht="12.75" x14ac:dyDescent="0.2">
      <c r="A26" s="609" t="s">
        <v>1460</v>
      </c>
      <c r="B26" s="195"/>
      <c r="C26" s="335" t="s">
        <v>1542</v>
      </c>
      <c r="D26" s="611">
        <v>2011</v>
      </c>
      <c r="E26" s="611">
        <v>2012</v>
      </c>
      <c r="F26" s="70"/>
      <c r="G26" s="70"/>
      <c r="H26" s="70"/>
      <c r="I26" s="70"/>
      <c r="J26" s="70"/>
      <c r="K26" s="70"/>
      <c r="L26" s="70"/>
      <c r="M26" s="70"/>
      <c r="N26" s="70"/>
      <c r="O26" s="70"/>
      <c r="P26" s="70"/>
      <c r="Q26" s="70"/>
      <c r="R26" s="70"/>
      <c r="S26" s="70"/>
      <c r="T26" s="70"/>
      <c r="U26" s="70"/>
      <c r="V26" s="70"/>
    </row>
    <row r="27" spans="1:22" ht="12.75" x14ac:dyDescent="0.2">
      <c r="A27" s="70"/>
      <c r="B27" s="70"/>
      <c r="C27" s="70"/>
      <c r="D27" s="70"/>
      <c r="E27" s="70"/>
      <c r="F27" s="70"/>
      <c r="G27" s="70"/>
      <c r="H27" s="70"/>
      <c r="I27" s="70"/>
      <c r="J27" s="70"/>
      <c r="K27" s="70"/>
      <c r="L27" s="70"/>
      <c r="M27" s="70"/>
      <c r="N27" s="70"/>
      <c r="O27" s="70"/>
      <c r="P27" s="70"/>
      <c r="Q27" s="70"/>
      <c r="R27" s="70"/>
      <c r="S27" s="70"/>
      <c r="T27" s="70"/>
      <c r="U27" s="70"/>
      <c r="V27" s="70"/>
    </row>
    <row r="28" spans="1:22" ht="12.75" x14ac:dyDescent="0.2">
      <c r="A28" s="70" t="s">
        <v>1461</v>
      </c>
      <c r="B28" s="70"/>
      <c r="C28" s="261">
        <v>298</v>
      </c>
      <c r="D28" s="261">
        <v>1184</v>
      </c>
      <c r="E28" s="261">
        <v>1447</v>
      </c>
      <c r="F28" s="70"/>
      <c r="G28" s="70"/>
      <c r="H28" s="70"/>
      <c r="I28" s="70"/>
      <c r="J28" s="70"/>
      <c r="K28" s="70"/>
      <c r="L28" s="70"/>
      <c r="M28" s="70"/>
      <c r="N28" s="70"/>
      <c r="O28" s="70"/>
      <c r="P28" s="70"/>
      <c r="Q28" s="70"/>
      <c r="R28" s="70"/>
      <c r="S28" s="70"/>
      <c r="T28" s="70"/>
      <c r="U28" s="70"/>
      <c r="V28" s="70"/>
    </row>
    <row r="29" spans="1:22" ht="12.75" x14ac:dyDescent="0.2">
      <c r="A29" s="70" t="s">
        <v>1464</v>
      </c>
      <c r="B29" s="70"/>
      <c r="C29" s="70"/>
      <c r="D29" s="70">
        <v>1151</v>
      </c>
      <c r="E29" s="70">
        <v>1350</v>
      </c>
      <c r="F29" s="70"/>
      <c r="G29" s="70"/>
      <c r="H29" s="70"/>
      <c r="I29" s="70"/>
      <c r="J29" s="70"/>
      <c r="K29" s="70"/>
      <c r="L29" s="70"/>
      <c r="M29" s="70"/>
      <c r="N29" s="70"/>
      <c r="O29" s="70"/>
      <c r="P29" s="70"/>
      <c r="Q29" s="70"/>
      <c r="R29" s="70"/>
      <c r="S29" s="70"/>
      <c r="T29" s="70"/>
      <c r="U29" s="70"/>
      <c r="V29" s="70"/>
    </row>
    <row r="30" spans="1:22" ht="12.75" x14ac:dyDescent="0.2">
      <c r="A30" s="70" t="s">
        <v>1462</v>
      </c>
      <c r="B30" s="70"/>
      <c r="C30" s="70"/>
      <c r="D30" s="70">
        <v>1202</v>
      </c>
      <c r="E30" s="70">
        <v>1420</v>
      </c>
      <c r="F30" s="70"/>
      <c r="G30" s="70"/>
      <c r="H30" s="70"/>
      <c r="I30" s="70"/>
      <c r="J30" s="70"/>
      <c r="K30" s="70"/>
      <c r="L30" s="70"/>
      <c r="M30" s="70"/>
      <c r="N30" s="70"/>
      <c r="O30" s="70"/>
      <c r="P30" s="70"/>
      <c r="Q30" s="70"/>
      <c r="R30" s="70"/>
      <c r="S30" s="70"/>
      <c r="T30" s="70"/>
      <c r="U30" s="70"/>
      <c r="V30" s="70"/>
    </row>
    <row r="31" spans="1:22" ht="12.75" x14ac:dyDescent="0.2">
      <c r="A31" s="70" t="s">
        <v>1463</v>
      </c>
      <c r="B31" s="70"/>
      <c r="C31" s="70"/>
      <c r="D31" s="70"/>
      <c r="E31" s="70"/>
      <c r="F31" s="70"/>
      <c r="G31" s="70"/>
      <c r="H31" s="70"/>
      <c r="I31" s="70"/>
      <c r="J31" s="70"/>
      <c r="K31" s="70"/>
      <c r="L31" s="70"/>
      <c r="M31" s="70"/>
      <c r="N31" s="70"/>
      <c r="O31" s="70"/>
      <c r="P31" s="70"/>
      <c r="Q31" s="70"/>
      <c r="R31" s="70"/>
      <c r="S31" s="70"/>
      <c r="T31" s="70"/>
      <c r="U31" s="70"/>
      <c r="V31" s="70"/>
    </row>
    <row r="32" spans="1:22" ht="12.75" x14ac:dyDescent="0.2">
      <c r="A32" s="70"/>
      <c r="B32" s="70"/>
      <c r="C32" s="70"/>
      <c r="D32" s="70"/>
      <c r="E32" s="70"/>
      <c r="F32" s="70"/>
      <c r="G32" s="70"/>
      <c r="H32" s="70"/>
      <c r="I32" s="70"/>
      <c r="J32" s="70"/>
      <c r="K32" s="70"/>
      <c r="L32" s="70"/>
      <c r="M32" s="70"/>
      <c r="N32" s="70"/>
      <c r="O32" s="70"/>
      <c r="P32" s="70"/>
      <c r="Q32" s="70"/>
      <c r="R32" s="70"/>
      <c r="S32" s="70"/>
      <c r="T32" s="70"/>
      <c r="U32" s="70"/>
      <c r="V32" s="70"/>
    </row>
    <row r="33" spans="1:22" ht="12.75" x14ac:dyDescent="0.2">
      <c r="A33" s="70"/>
      <c r="B33" s="70"/>
      <c r="C33" s="70"/>
      <c r="D33" s="70"/>
      <c r="E33" s="70"/>
      <c r="F33" s="70"/>
      <c r="G33" s="70"/>
      <c r="H33" s="70"/>
      <c r="I33" s="70"/>
      <c r="J33" s="70"/>
      <c r="K33" s="70"/>
      <c r="L33" s="70"/>
      <c r="M33" s="70"/>
      <c r="N33" s="70"/>
      <c r="O33" s="70"/>
      <c r="P33" s="70"/>
      <c r="Q33" s="70"/>
      <c r="R33" s="70"/>
      <c r="S33" s="70"/>
      <c r="T33" s="70"/>
      <c r="U33" s="70"/>
      <c r="V33" s="70"/>
    </row>
    <row r="34" spans="1:22" ht="12.75" x14ac:dyDescent="0.2">
      <c r="A34" s="70"/>
      <c r="B34" s="70"/>
      <c r="C34" s="70"/>
      <c r="D34" s="70"/>
      <c r="E34" s="70"/>
      <c r="F34" s="70"/>
      <c r="G34" s="70"/>
      <c r="H34" s="70"/>
      <c r="I34" s="70"/>
      <c r="J34" s="70"/>
      <c r="K34" s="70"/>
      <c r="L34" s="70"/>
      <c r="M34" s="70"/>
      <c r="N34" s="70"/>
      <c r="O34" s="70"/>
      <c r="P34" s="70"/>
      <c r="Q34" s="70"/>
      <c r="R34" s="70"/>
      <c r="S34" s="70"/>
      <c r="T34" s="70"/>
      <c r="U34" s="70"/>
      <c r="V34" s="70"/>
    </row>
    <row r="35" spans="1:22" ht="12.75" x14ac:dyDescent="0.2">
      <c r="A35" s="70"/>
      <c r="B35" s="70"/>
      <c r="C35" s="70"/>
      <c r="D35" s="70"/>
      <c r="E35" s="70"/>
      <c r="F35" s="70"/>
      <c r="G35" s="70"/>
      <c r="H35" s="70"/>
      <c r="I35" s="70"/>
      <c r="J35" s="70"/>
      <c r="K35" s="70"/>
      <c r="L35" s="70"/>
      <c r="M35" s="70"/>
      <c r="N35" s="70"/>
      <c r="O35" s="70"/>
      <c r="P35" s="70"/>
      <c r="Q35" s="70"/>
      <c r="R35" s="70"/>
      <c r="S35" s="70"/>
      <c r="T35" s="70"/>
      <c r="U35" s="70"/>
      <c r="V35" s="70"/>
    </row>
    <row r="36" spans="1:22" ht="12.75" x14ac:dyDescent="0.2">
      <c r="A36" s="70"/>
      <c r="B36" s="70"/>
      <c r="C36" s="70"/>
      <c r="D36" s="70"/>
      <c r="E36" s="70"/>
      <c r="F36" s="70"/>
      <c r="G36" s="70"/>
      <c r="H36" s="70"/>
      <c r="I36" s="70"/>
      <c r="J36" s="70"/>
      <c r="K36" s="70"/>
      <c r="L36" s="70"/>
      <c r="M36" s="70"/>
      <c r="N36" s="70"/>
      <c r="O36" s="70"/>
      <c r="P36" s="70"/>
      <c r="Q36" s="70"/>
      <c r="R36" s="70"/>
      <c r="S36" s="70"/>
      <c r="T36" s="70"/>
      <c r="U36" s="70"/>
      <c r="V36" s="70"/>
    </row>
    <row r="37" spans="1:22" ht="12.75" x14ac:dyDescent="0.2">
      <c r="A37" s="199" t="s">
        <v>1465</v>
      </c>
      <c r="B37" s="70"/>
      <c r="C37" s="70"/>
      <c r="D37" s="70"/>
      <c r="E37" s="70"/>
      <c r="F37" s="70"/>
      <c r="G37" s="70"/>
      <c r="H37" s="70"/>
      <c r="I37" s="70"/>
      <c r="J37" s="70"/>
      <c r="K37" s="70"/>
      <c r="L37" s="70"/>
      <c r="M37" s="70"/>
      <c r="N37" s="70"/>
      <c r="O37" s="70"/>
      <c r="P37" s="70"/>
      <c r="Q37" s="70"/>
      <c r="R37" s="70"/>
      <c r="S37" s="70"/>
      <c r="T37" s="70"/>
      <c r="U37" s="70"/>
      <c r="V37" s="70"/>
    </row>
    <row r="38" spans="1:22" ht="12.75" x14ac:dyDescent="0.2">
      <c r="A38" s="70"/>
      <c r="B38" s="70"/>
      <c r="C38" s="70"/>
      <c r="D38" s="70"/>
      <c r="E38" s="70"/>
      <c r="F38" s="70"/>
      <c r="G38" s="70"/>
      <c r="H38" s="70"/>
      <c r="I38" s="70"/>
      <c r="J38" s="70"/>
      <c r="K38" s="70"/>
      <c r="L38" s="70"/>
      <c r="M38" s="70"/>
      <c r="N38" s="70"/>
      <c r="O38" s="70"/>
      <c r="P38" s="70"/>
      <c r="Q38" s="70"/>
      <c r="R38" s="70"/>
      <c r="S38" s="70"/>
      <c r="T38" s="70"/>
      <c r="U38" s="70"/>
      <c r="V38" s="70"/>
    </row>
    <row r="39" spans="1:22" ht="12.75" x14ac:dyDescent="0.2">
      <c r="A39" s="70"/>
      <c r="B39" s="70"/>
      <c r="C39" s="70"/>
      <c r="D39" s="70"/>
      <c r="E39" s="70"/>
      <c r="F39" s="70"/>
      <c r="G39" s="70"/>
      <c r="H39" s="70"/>
      <c r="I39" s="70"/>
      <c r="J39" s="70"/>
      <c r="K39" s="70"/>
      <c r="L39" s="70"/>
      <c r="M39" s="70"/>
      <c r="N39" s="70"/>
      <c r="O39" s="70"/>
      <c r="P39" s="70"/>
      <c r="Q39" s="70"/>
      <c r="R39" s="70"/>
      <c r="S39" s="70"/>
      <c r="T39" s="70"/>
      <c r="U39" s="70"/>
      <c r="V39" s="70"/>
    </row>
    <row r="40" spans="1:22" ht="12.75" x14ac:dyDescent="0.2">
      <c r="A40" s="609" t="s">
        <v>1460</v>
      </c>
      <c r="B40" s="195"/>
      <c r="C40" s="335" t="s">
        <v>1542</v>
      </c>
      <c r="D40" s="611">
        <v>2011</v>
      </c>
      <c r="E40" s="611">
        <v>2012</v>
      </c>
      <c r="F40" s="70"/>
      <c r="G40" s="70"/>
      <c r="H40" s="70"/>
      <c r="I40" s="70"/>
      <c r="J40" s="70"/>
      <c r="K40" s="70"/>
      <c r="L40" s="70"/>
      <c r="M40" s="70"/>
      <c r="N40" s="70"/>
      <c r="O40" s="70"/>
      <c r="P40" s="70"/>
      <c r="Q40" s="70"/>
      <c r="R40" s="70"/>
      <c r="S40" s="70"/>
      <c r="T40" s="70"/>
      <c r="U40" s="70"/>
      <c r="V40" s="70"/>
    </row>
    <row r="41" spans="1:22" ht="12.75" x14ac:dyDescent="0.2">
      <c r="A41" s="70"/>
      <c r="B41" s="70"/>
      <c r="C41" s="70"/>
      <c r="D41" s="70"/>
      <c r="E41" s="70"/>
      <c r="F41" s="70"/>
      <c r="G41" s="70"/>
      <c r="H41" s="70"/>
      <c r="I41" s="70"/>
      <c r="J41" s="70"/>
      <c r="K41" s="70"/>
      <c r="L41" s="70"/>
      <c r="M41" s="70"/>
      <c r="N41" s="70"/>
      <c r="O41" s="70"/>
      <c r="P41" s="70"/>
      <c r="Q41" s="70"/>
      <c r="R41" s="70"/>
      <c r="S41" s="70"/>
      <c r="T41" s="70"/>
      <c r="U41" s="70"/>
      <c r="V41" s="70"/>
    </row>
    <row r="42" spans="1:22" ht="12.75" x14ac:dyDescent="0.2">
      <c r="A42" s="70" t="s">
        <v>1461</v>
      </c>
      <c r="B42" s="70"/>
      <c r="C42" s="610">
        <v>7.1999999999999995E-2</v>
      </c>
      <c r="D42" s="300"/>
      <c r="E42" s="300"/>
      <c r="F42" s="70"/>
      <c r="G42" s="70"/>
      <c r="H42" s="70"/>
      <c r="I42" s="70"/>
      <c r="J42" s="70"/>
      <c r="K42" s="70"/>
      <c r="L42" s="70"/>
      <c r="M42" s="70"/>
      <c r="N42" s="70"/>
      <c r="O42" s="70"/>
      <c r="P42" s="70"/>
      <c r="Q42" s="70"/>
      <c r="R42" s="70"/>
      <c r="S42" s="70"/>
      <c r="T42" s="70"/>
      <c r="U42" s="70"/>
      <c r="V42" s="70"/>
    </row>
    <row r="43" spans="1:22" ht="12.75" x14ac:dyDescent="0.2">
      <c r="A43" s="70" t="s">
        <v>1464</v>
      </c>
      <c r="B43" s="70"/>
      <c r="C43" s="70"/>
      <c r="D43" s="70"/>
      <c r="E43" s="70"/>
      <c r="F43" s="70"/>
      <c r="G43" s="70"/>
      <c r="H43" s="70"/>
      <c r="I43" s="70"/>
      <c r="J43" s="70"/>
      <c r="K43" s="70"/>
      <c r="L43" s="70"/>
      <c r="M43" s="70"/>
      <c r="N43" s="70"/>
      <c r="O43" s="70"/>
      <c r="P43" s="70"/>
      <c r="Q43" s="70"/>
      <c r="R43" s="70"/>
      <c r="S43" s="70"/>
      <c r="T43" s="70"/>
      <c r="U43" s="70"/>
      <c r="V43" s="70"/>
    </row>
    <row r="44" spans="1:22" ht="12.75" x14ac:dyDescent="0.2">
      <c r="A44" s="70" t="s">
        <v>1462</v>
      </c>
      <c r="B44" s="70"/>
      <c r="C44" s="70"/>
      <c r="D44" s="70"/>
      <c r="E44" s="70"/>
      <c r="F44" s="70"/>
      <c r="G44" s="70"/>
      <c r="H44" s="70"/>
      <c r="I44" s="70"/>
      <c r="J44" s="70"/>
      <c r="K44" s="70"/>
      <c r="L44" s="70"/>
      <c r="M44" s="70"/>
      <c r="N44" s="70"/>
      <c r="O44" s="70"/>
      <c r="P44" s="70"/>
      <c r="Q44" s="70"/>
      <c r="R44" s="70"/>
      <c r="S44" s="70"/>
      <c r="T44" s="70"/>
      <c r="U44" s="70"/>
      <c r="V44" s="70"/>
    </row>
    <row r="45" spans="1:22" ht="12.75" x14ac:dyDescent="0.2">
      <c r="A45" s="70" t="s">
        <v>1463</v>
      </c>
      <c r="B45" s="70"/>
      <c r="C45" s="70"/>
      <c r="D45" s="70"/>
      <c r="E45" s="70"/>
      <c r="F45" s="70"/>
      <c r="G45" s="70"/>
      <c r="H45" s="70"/>
      <c r="I45" s="70"/>
      <c r="J45" s="70"/>
      <c r="K45" s="70"/>
      <c r="L45" s="70"/>
      <c r="M45" s="70"/>
      <c r="N45" s="70"/>
      <c r="O45" s="70"/>
      <c r="P45" s="70"/>
      <c r="Q45" s="70"/>
      <c r="R45" s="70"/>
      <c r="S45" s="70"/>
      <c r="T45" s="70"/>
      <c r="U45" s="70"/>
      <c r="V45" s="70"/>
    </row>
    <row r="46" spans="1:22" ht="12.75" x14ac:dyDescent="0.2">
      <c r="A46" s="70"/>
      <c r="B46" s="70"/>
      <c r="C46" s="70"/>
      <c r="D46" s="70"/>
      <c r="E46" s="70"/>
      <c r="F46" s="70"/>
      <c r="G46" s="70"/>
      <c r="H46" s="70"/>
      <c r="I46" s="70"/>
      <c r="J46" s="70"/>
      <c r="K46" s="70"/>
      <c r="L46" s="70"/>
      <c r="M46" s="70"/>
      <c r="N46" s="70"/>
      <c r="O46" s="70"/>
      <c r="P46" s="70"/>
      <c r="Q46" s="70"/>
      <c r="R46" s="70"/>
      <c r="S46" s="70"/>
      <c r="T46" s="70"/>
      <c r="U46" s="70"/>
      <c r="V46" s="70"/>
    </row>
    <row r="47" spans="1:22" ht="12.75" x14ac:dyDescent="0.2">
      <c r="A47" s="70"/>
      <c r="B47" s="70"/>
      <c r="C47" s="70"/>
      <c r="D47" s="70"/>
      <c r="E47" s="70"/>
      <c r="F47" s="70"/>
      <c r="G47" s="70"/>
      <c r="H47" s="70"/>
      <c r="I47" s="70"/>
      <c r="J47" s="70"/>
      <c r="K47" s="70"/>
      <c r="L47" s="70"/>
      <c r="M47" s="70"/>
      <c r="N47" s="70"/>
      <c r="O47" s="70"/>
      <c r="P47" s="70"/>
      <c r="Q47" s="70"/>
      <c r="R47" s="70"/>
      <c r="S47" s="70"/>
      <c r="T47" s="70"/>
      <c r="U47" s="70"/>
      <c r="V47" s="70"/>
    </row>
    <row r="48" spans="1:22" ht="12.75" x14ac:dyDescent="0.2">
      <c r="A48" s="199" t="s">
        <v>1466</v>
      </c>
      <c r="B48" s="70"/>
      <c r="C48" s="70"/>
      <c r="D48" s="70"/>
      <c r="E48" s="70"/>
      <c r="F48" s="70"/>
      <c r="G48" s="70"/>
      <c r="H48" s="70"/>
      <c r="I48" s="70"/>
      <c r="J48" s="70"/>
      <c r="K48" s="70"/>
      <c r="L48" s="70"/>
      <c r="M48" s="70"/>
      <c r="N48" s="70"/>
      <c r="O48" s="70"/>
      <c r="P48" s="70"/>
      <c r="Q48" s="70"/>
      <c r="R48" s="70"/>
      <c r="S48" s="70"/>
      <c r="T48" s="70"/>
      <c r="U48" s="70"/>
      <c r="V48" s="70"/>
    </row>
    <row r="49" spans="1:22" ht="12.75" x14ac:dyDescent="0.2">
      <c r="A49" s="70"/>
      <c r="B49" s="70"/>
      <c r="C49" s="70"/>
      <c r="D49" s="70"/>
      <c r="E49" s="70"/>
      <c r="F49" s="70"/>
      <c r="G49" s="70"/>
      <c r="H49" s="70"/>
      <c r="I49" s="70"/>
      <c r="J49" s="70"/>
      <c r="K49" s="70"/>
      <c r="L49" s="70"/>
      <c r="M49" s="70"/>
      <c r="N49" s="70"/>
      <c r="O49" s="70"/>
      <c r="P49" s="70"/>
      <c r="Q49" s="70"/>
      <c r="R49" s="70"/>
      <c r="S49" s="70"/>
      <c r="T49" s="70"/>
      <c r="U49" s="70"/>
      <c r="V49" s="70"/>
    </row>
    <row r="50" spans="1:22" ht="12.75" x14ac:dyDescent="0.2">
      <c r="A50" s="70"/>
      <c r="B50" s="70"/>
      <c r="C50" s="70"/>
      <c r="D50" s="70"/>
      <c r="E50" s="70"/>
      <c r="F50" s="70"/>
      <c r="G50" s="70"/>
      <c r="H50" s="70"/>
      <c r="I50" s="70"/>
      <c r="J50" s="70"/>
      <c r="K50" s="70"/>
      <c r="L50" s="70"/>
      <c r="M50" s="70"/>
      <c r="N50" s="70"/>
      <c r="O50" s="70"/>
      <c r="P50" s="70"/>
      <c r="Q50" s="70"/>
      <c r="R50" s="70"/>
      <c r="S50" s="70"/>
      <c r="T50" s="70"/>
      <c r="U50" s="70"/>
      <c r="V50" s="70"/>
    </row>
    <row r="51" spans="1:22" ht="12.75" x14ac:dyDescent="0.2">
      <c r="A51" s="609" t="s">
        <v>1460</v>
      </c>
      <c r="B51" s="195"/>
      <c r="C51" s="335" t="s">
        <v>1542</v>
      </c>
      <c r="D51" s="611">
        <v>2011</v>
      </c>
      <c r="E51" s="611">
        <v>2012</v>
      </c>
      <c r="F51" s="70"/>
      <c r="G51" s="70"/>
      <c r="H51" s="70"/>
      <c r="I51" s="70"/>
      <c r="J51" s="70"/>
      <c r="K51" s="70"/>
      <c r="L51" s="70"/>
      <c r="M51" s="70"/>
      <c r="N51" s="70"/>
      <c r="O51" s="70"/>
      <c r="P51" s="70"/>
      <c r="Q51" s="70"/>
      <c r="R51" s="70"/>
      <c r="S51" s="70"/>
      <c r="T51" s="70"/>
      <c r="U51" s="70"/>
      <c r="V51" s="70"/>
    </row>
    <row r="52" spans="1:22" ht="12.75" x14ac:dyDescent="0.2">
      <c r="A52" s="70"/>
      <c r="B52" s="70"/>
      <c r="C52" s="70"/>
      <c r="D52" s="70"/>
      <c r="E52" s="70"/>
      <c r="F52" s="70"/>
      <c r="G52" s="70"/>
      <c r="H52" s="70"/>
      <c r="I52" s="70"/>
      <c r="J52" s="70"/>
      <c r="K52" s="70"/>
      <c r="L52" s="70"/>
      <c r="M52" s="70"/>
      <c r="N52" s="70"/>
      <c r="O52" s="70"/>
      <c r="P52" s="70"/>
      <c r="Q52" s="70"/>
      <c r="R52" s="70"/>
      <c r="S52" s="70"/>
      <c r="T52" s="70"/>
      <c r="U52" s="70"/>
      <c r="V52" s="70"/>
    </row>
    <row r="53" spans="1:22" ht="12.75" x14ac:dyDescent="0.2">
      <c r="A53" s="70" t="s">
        <v>1461</v>
      </c>
      <c r="B53" s="70"/>
      <c r="C53" s="610">
        <v>9.0999999999999998E-2</v>
      </c>
      <c r="D53" s="300"/>
      <c r="E53" s="300"/>
      <c r="F53" s="70"/>
      <c r="G53" s="70"/>
      <c r="H53" s="70"/>
      <c r="I53" s="70"/>
      <c r="J53" s="70"/>
      <c r="K53" s="70"/>
      <c r="L53" s="70"/>
      <c r="M53" s="70"/>
      <c r="N53" s="70"/>
      <c r="O53" s="70"/>
      <c r="P53" s="70"/>
      <c r="Q53" s="70"/>
      <c r="R53" s="70"/>
      <c r="S53" s="70"/>
      <c r="T53" s="70"/>
      <c r="U53" s="70"/>
      <c r="V53" s="70"/>
    </row>
    <row r="54" spans="1:22" ht="12.75" x14ac:dyDescent="0.2">
      <c r="A54" s="70" t="s">
        <v>1464</v>
      </c>
      <c r="B54" s="70"/>
      <c r="C54" s="70"/>
      <c r="D54" s="70"/>
      <c r="E54" s="70"/>
      <c r="F54" s="70"/>
      <c r="G54" s="70"/>
      <c r="H54" s="70"/>
      <c r="I54" s="70"/>
      <c r="J54" s="70"/>
      <c r="K54" s="70"/>
      <c r="L54" s="70"/>
      <c r="M54" s="70"/>
      <c r="N54" s="70"/>
      <c r="O54" s="70"/>
      <c r="P54" s="70"/>
      <c r="Q54" s="70"/>
      <c r="R54" s="70"/>
      <c r="S54" s="70"/>
      <c r="T54" s="70"/>
      <c r="U54" s="70"/>
      <c r="V54" s="70"/>
    </row>
    <row r="55" spans="1:22" ht="12.75" x14ac:dyDescent="0.2">
      <c r="A55" s="70" t="s">
        <v>1462</v>
      </c>
      <c r="B55" s="70"/>
      <c r="C55" s="70"/>
      <c r="D55" s="70"/>
      <c r="E55" s="70"/>
      <c r="F55" s="70"/>
      <c r="G55" s="70"/>
      <c r="H55" s="70"/>
      <c r="I55" s="70"/>
      <c r="J55" s="70"/>
      <c r="K55" s="70"/>
      <c r="L55" s="70"/>
      <c r="M55" s="70"/>
      <c r="N55" s="70"/>
      <c r="O55" s="70"/>
      <c r="P55" s="70"/>
      <c r="Q55" s="70"/>
      <c r="R55" s="70"/>
      <c r="S55" s="70"/>
      <c r="T55" s="70"/>
      <c r="U55" s="70"/>
      <c r="V55" s="70"/>
    </row>
    <row r="56" spans="1:22" ht="12.75" x14ac:dyDescent="0.2">
      <c r="A56" s="70" t="s">
        <v>1463</v>
      </c>
      <c r="B56" s="70"/>
      <c r="C56" s="70"/>
      <c r="D56" s="70"/>
      <c r="E56" s="70"/>
      <c r="F56" s="70"/>
      <c r="G56" s="70"/>
      <c r="H56" s="70"/>
      <c r="I56" s="70"/>
      <c r="J56" s="70"/>
      <c r="K56" s="70"/>
      <c r="L56" s="70"/>
      <c r="M56" s="70"/>
      <c r="N56" s="70"/>
      <c r="O56" s="70"/>
      <c r="P56" s="70"/>
      <c r="Q56" s="70"/>
      <c r="R56" s="70"/>
      <c r="S56" s="70"/>
      <c r="T56" s="70"/>
      <c r="U56" s="70"/>
      <c r="V56" s="70"/>
    </row>
    <row r="57" spans="1:22" ht="12.75" x14ac:dyDescent="0.2">
      <c r="A57" s="70"/>
      <c r="B57" s="70"/>
      <c r="C57" s="70"/>
      <c r="D57" s="70"/>
      <c r="E57" s="70"/>
      <c r="F57" s="70"/>
      <c r="G57" s="70"/>
      <c r="H57" s="70"/>
      <c r="I57" s="70"/>
      <c r="J57" s="70"/>
      <c r="K57" s="70"/>
      <c r="L57" s="70"/>
      <c r="M57" s="70"/>
      <c r="N57" s="70"/>
      <c r="O57" s="70"/>
      <c r="P57" s="70"/>
      <c r="Q57" s="70"/>
      <c r="R57" s="70"/>
      <c r="S57" s="70"/>
      <c r="T57" s="70"/>
      <c r="U57" s="70"/>
      <c r="V57" s="70"/>
    </row>
    <row r="58" spans="1:22" ht="12.75" x14ac:dyDescent="0.2">
      <c r="A58" s="70"/>
      <c r="B58" s="70"/>
      <c r="C58" s="70"/>
      <c r="D58" s="70"/>
      <c r="E58" s="70"/>
      <c r="F58" s="70"/>
      <c r="G58" s="70"/>
      <c r="H58" s="70"/>
      <c r="I58" s="70"/>
      <c r="J58" s="70"/>
      <c r="K58" s="70"/>
      <c r="L58" s="70"/>
      <c r="M58" s="70"/>
      <c r="N58" s="70"/>
      <c r="O58" s="70"/>
      <c r="P58" s="70"/>
      <c r="Q58" s="70"/>
      <c r="R58" s="70"/>
      <c r="S58" s="70"/>
      <c r="T58" s="70"/>
      <c r="U58" s="70"/>
      <c r="V58" s="70"/>
    </row>
    <row r="59" spans="1:22" ht="12.75" x14ac:dyDescent="0.2">
      <c r="A59" s="199" t="s">
        <v>1467</v>
      </c>
      <c r="B59" s="70"/>
      <c r="C59" s="70"/>
      <c r="D59" s="70"/>
      <c r="E59" s="70"/>
      <c r="F59" s="70"/>
      <c r="G59" s="70"/>
      <c r="H59" s="70"/>
      <c r="I59" s="70"/>
      <c r="J59" s="70"/>
      <c r="K59" s="70"/>
      <c r="L59" s="70"/>
      <c r="M59" s="70"/>
      <c r="N59" s="70"/>
      <c r="O59" s="70"/>
      <c r="P59" s="70"/>
      <c r="Q59" s="70"/>
      <c r="R59" s="70"/>
      <c r="S59" s="70"/>
      <c r="T59" s="70"/>
      <c r="U59" s="70"/>
      <c r="V59" s="70"/>
    </row>
    <row r="60" spans="1:22" ht="12.75" x14ac:dyDescent="0.2">
      <c r="A60" s="247" t="s">
        <v>2214</v>
      </c>
      <c r="B60" s="70"/>
      <c r="C60" s="70"/>
      <c r="D60" s="70"/>
      <c r="E60" s="70"/>
      <c r="F60" s="70"/>
      <c r="G60" s="70"/>
      <c r="H60" s="70"/>
      <c r="I60" s="70"/>
      <c r="J60" s="70"/>
      <c r="K60" s="70"/>
      <c r="L60" s="70"/>
      <c r="M60" s="70"/>
      <c r="N60" s="70"/>
      <c r="O60" s="70"/>
      <c r="P60" s="70"/>
      <c r="Q60" s="70"/>
      <c r="R60" s="70"/>
      <c r="S60" s="70"/>
      <c r="T60" s="70"/>
      <c r="U60" s="70"/>
      <c r="V60" s="70"/>
    </row>
    <row r="61" spans="1:22" ht="12.75" x14ac:dyDescent="0.2">
      <c r="A61" s="70"/>
      <c r="B61" s="70"/>
      <c r="C61" s="70"/>
      <c r="D61" s="70"/>
      <c r="E61" s="70"/>
      <c r="F61" s="70"/>
      <c r="G61" s="70"/>
      <c r="H61" s="70"/>
      <c r="I61" s="70"/>
      <c r="J61" s="70"/>
      <c r="K61" s="70"/>
      <c r="L61" s="70"/>
      <c r="M61" s="70"/>
      <c r="N61" s="70"/>
      <c r="O61" s="70"/>
      <c r="P61" s="70"/>
      <c r="Q61" s="70"/>
      <c r="R61" s="70"/>
      <c r="S61" s="70"/>
      <c r="T61" s="70"/>
      <c r="U61" s="70"/>
      <c r="V61" s="70"/>
    </row>
    <row r="62" spans="1:22" ht="12.75" x14ac:dyDescent="0.2">
      <c r="A62" s="609" t="s">
        <v>1460</v>
      </c>
      <c r="B62" s="195"/>
      <c r="C62" s="335" t="s">
        <v>1542</v>
      </c>
      <c r="D62" s="611" t="s">
        <v>1445</v>
      </c>
      <c r="E62" s="611">
        <v>2012</v>
      </c>
      <c r="F62" s="70"/>
      <c r="G62" s="199" t="s">
        <v>1446</v>
      </c>
      <c r="H62" s="70"/>
      <c r="I62" s="70"/>
      <c r="J62" s="70"/>
      <c r="K62" s="199" t="s">
        <v>151</v>
      </c>
      <c r="L62" s="70"/>
      <c r="M62" s="70"/>
      <c r="N62" s="70"/>
      <c r="O62" s="70"/>
      <c r="P62" s="70"/>
      <c r="Q62" s="70"/>
      <c r="R62" s="70"/>
      <c r="S62" s="70"/>
      <c r="T62" s="70"/>
      <c r="U62" s="70"/>
      <c r="V62" s="70"/>
    </row>
    <row r="63" spans="1:22" ht="12.75" x14ac:dyDescent="0.2">
      <c r="A63" s="70"/>
      <c r="B63" s="70"/>
      <c r="C63" s="70"/>
      <c r="D63" s="70"/>
      <c r="E63" s="70"/>
      <c r="F63" s="70"/>
      <c r="G63" s="70"/>
      <c r="H63" s="70"/>
      <c r="I63" s="70"/>
      <c r="J63" s="70"/>
      <c r="K63" s="70"/>
      <c r="L63" s="70"/>
      <c r="M63" s="70"/>
      <c r="N63" s="70"/>
      <c r="O63" s="70"/>
      <c r="P63" s="70"/>
      <c r="Q63" s="70"/>
      <c r="R63" s="70"/>
      <c r="S63" s="70"/>
      <c r="T63" s="70"/>
      <c r="U63" s="70"/>
      <c r="V63" s="70"/>
    </row>
    <row r="64" spans="1:22" ht="12.75" x14ac:dyDescent="0.2">
      <c r="A64" s="70" t="s">
        <v>1461</v>
      </c>
      <c r="B64" s="70"/>
      <c r="C64" s="249">
        <v>400</v>
      </c>
      <c r="D64" s="261">
        <v>350</v>
      </c>
      <c r="E64" s="300"/>
      <c r="F64" s="70"/>
      <c r="G64" s="70" t="s">
        <v>1447</v>
      </c>
      <c r="H64" s="70"/>
      <c r="I64" s="70"/>
      <c r="J64" s="70"/>
      <c r="K64" s="70" t="s">
        <v>1448</v>
      </c>
      <c r="L64" s="70"/>
      <c r="M64" s="70"/>
      <c r="N64" s="70"/>
      <c r="O64" s="70"/>
      <c r="P64" s="70"/>
      <c r="Q64" s="70"/>
      <c r="R64" s="70"/>
      <c r="S64" s="70"/>
      <c r="T64" s="70"/>
      <c r="U64" s="70"/>
      <c r="V64" s="70"/>
    </row>
    <row r="65" spans="1:22" ht="12.75" x14ac:dyDescent="0.2">
      <c r="A65" s="70" t="s">
        <v>1464</v>
      </c>
      <c r="B65" s="70"/>
      <c r="C65" s="70"/>
      <c r="D65" s="70">
        <v>0</v>
      </c>
      <c r="E65" s="70">
        <v>0</v>
      </c>
      <c r="F65" s="70"/>
      <c r="G65" s="70" t="s">
        <v>1450</v>
      </c>
      <c r="H65" s="70"/>
      <c r="I65" s="70"/>
      <c r="J65" s="70"/>
      <c r="K65" s="70" t="s">
        <v>1448</v>
      </c>
      <c r="L65" s="70"/>
      <c r="M65" s="70"/>
      <c r="N65" s="70"/>
      <c r="O65" s="70"/>
      <c r="P65" s="70"/>
      <c r="Q65" s="70"/>
      <c r="R65" s="70"/>
      <c r="S65" s="70"/>
      <c r="T65" s="70"/>
      <c r="U65" s="70"/>
      <c r="V65" s="70"/>
    </row>
    <row r="66" spans="1:22" ht="12.75" x14ac:dyDescent="0.2">
      <c r="A66" s="70" t="s">
        <v>1462</v>
      </c>
      <c r="B66" s="70"/>
      <c r="C66" s="70"/>
      <c r="D66" s="70"/>
      <c r="E66" s="70"/>
      <c r="F66" s="70"/>
      <c r="G66" s="70"/>
      <c r="H66" s="70"/>
      <c r="I66" s="70"/>
      <c r="J66" s="70"/>
      <c r="K66" s="70"/>
      <c r="L66" s="70"/>
      <c r="M66" s="70"/>
      <c r="N66" s="70"/>
      <c r="O66" s="70"/>
      <c r="P66" s="70"/>
      <c r="Q66" s="70"/>
      <c r="R66" s="70"/>
      <c r="S66" s="70"/>
      <c r="T66" s="70"/>
      <c r="U66" s="70"/>
      <c r="V66" s="70"/>
    </row>
    <row r="67" spans="1:22" ht="12.75" x14ac:dyDescent="0.2">
      <c r="A67" s="70" t="s">
        <v>1463</v>
      </c>
      <c r="B67" s="70"/>
      <c r="C67" s="70"/>
      <c r="D67" s="70"/>
      <c r="E67" s="70"/>
      <c r="F67" s="70"/>
      <c r="G67" s="70" t="s">
        <v>1449</v>
      </c>
      <c r="H67" s="70"/>
      <c r="I67" s="70"/>
      <c r="J67" s="70"/>
      <c r="K67" s="70"/>
      <c r="L67" s="70"/>
      <c r="M67" s="70"/>
      <c r="N67" s="70"/>
      <c r="O67" s="70"/>
      <c r="P67" s="70"/>
      <c r="Q67" s="70"/>
      <c r="R67" s="70"/>
      <c r="S67" s="70"/>
      <c r="T67" s="70"/>
      <c r="U67" s="70"/>
      <c r="V67" s="70"/>
    </row>
    <row r="68" spans="1:22" ht="12.75" x14ac:dyDescent="0.2">
      <c r="A68" s="70"/>
      <c r="B68" s="70"/>
      <c r="C68" s="70"/>
      <c r="D68" s="70"/>
      <c r="E68" s="70"/>
      <c r="F68" s="70"/>
      <c r="G68" s="70"/>
      <c r="H68" s="70"/>
      <c r="I68" s="70"/>
      <c r="J68" s="70"/>
      <c r="K68" s="70"/>
      <c r="L68" s="70"/>
      <c r="M68" s="70"/>
      <c r="N68" s="70"/>
      <c r="O68" s="70"/>
      <c r="P68" s="70"/>
      <c r="Q68" s="70"/>
      <c r="R68" s="70"/>
      <c r="S68" s="70"/>
      <c r="T68" s="70"/>
      <c r="U68" s="70"/>
      <c r="V68" s="70"/>
    </row>
    <row r="69" spans="1:22" ht="12.75" x14ac:dyDescent="0.2">
      <c r="A69" s="70"/>
      <c r="B69" s="70"/>
      <c r="C69" s="70"/>
      <c r="D69" s="70"/>
      <c r="E69" s="70"/>
      <c r="F69" s="70"/>
      <c r="G69" s="70"/>
      <c r="H69" s="70"/>
      <c r="I69" s="70"/>
      <c r="J69" s="70"/>
      <c r="K69" s="70"/>
      <c r="L69" s="70"/>
      <c r="M69" s="70"/>
      <c r="N69" s="248" t="s">
        <v>1451</v>
      </c>
      <c r="O69" s="70"/>
      <c r="P69" s="70"/>
      <c r="Q69" s="70"/>
      <c r="R69" s="70"/>
      <c r="S69" s="70"/>
      <c r="T69" s="70"/>
      <c r="U69" s="70"/>
      <c r="V69" s="70"/>
    </row>
    <row r="70" spans="1:22" ht="12.75" x14ac:dyDescent="0.2">
      <c r="A70" s="70"/>
      <c r="B70" s="70"/>
      <c r="C70" s="70"/>
      <c r="D70" s="70"/>
      <c r="E70" s="70"/>
      <c r="F70" s="70"/>
      <c r="G70" s="70"/>
      <c r="H70" s="70"/>
      <c r="I70" s="70"/>
      <c r="J70" s="70"/>
      <c r="K70" s="70"/>
      <c r="L70" s="70"/>
      <c r="M70" s="70"/>
      <c r="N70" s="70"/>
      <c r="O70" s="70"/>
      <c r="P70" s="70"/>
      <c r="Q70" s="70"/>
      <c r="R70" s="70"/>
      <c r="S70" s="70"/>
      <c r="T70" s="70"/>
      <c r="U70" s="70"/>
      <c r="V70" s="70"/>
    </row>
    <row r="71" spans="1:22" ht="12.75" x14ac:dyDescent="0.2">
      <c r="A71" s="70"/>
      <c r="B71" s="70"/>
      <c r="C71" s="70"/>
      <c r="D71" s="70"/>
      <c r="E71" s="70"/>
      <c r="F71" s="70"/>
      <c r="G71" s="70"/>
      <c r="H71" s="70"/>
      <c r="I71" s="70"/>
      <c r="J71" s="70"/>
      <c r="K71" s="70"/>
      <c r="L71" s="70"/>
      <c r="M71" s="70"/>
      <c r="N71" s="70"/>
      <c r="O71" s="613" t="s">
        <v>1542</v>
      </c>
      <c r="P71" s="613"/>
      <c r="Q71" s="612"/>
      <c r="R71" s="613">
        <v>2011</v>
      </c>
      <c r="S71" s="613"/>
      <c r="T71" s="612"/>
      <c r="U71" s="613">
        <v>2012</v>
      </c>
      <c r="V71" s="198"/>
    </row>
    <row r="72" spans="1:22" ht="12.75" x14ac:dyDescent="0.2">
      <c r="A72" s="70"/>
      <c r="B72" s="70"/>
      <c r="C72" s="70"/>
      <c r="D72" s="70"/>
      <c r="E72" s="70"/>
      <c r="F72" s="70"/>
      <c r="G72" s="70"/>
      <c r="H72" s="70"/>
      <c r="I72" s="70"/>
      <c r="J72" s="70"/>
      <c r="K72" s="70"/>
      <c r="L72" s="70"/>
      <c r="M72" s="70"/>
      <c r="N72" s="70"/>
      <c r="O72" s="189" t="s">
        <v>1141</v>
      </c>
      <c r="P72" s="189" t="s">
        <v>13</v>
      </c>
      <c r="Q72" s="189"/>
      <c r="R72" s="189" t="s">
        <v>1141</v>
      </c>
      <c r="S72" s="189" t="s">
        <v>13</v>
      </c>
      <c r="T72" s="189"/>
      <c r="U72" s="189" t="s">
        <v>1141</v>
      </c>
      <c r="V72" s="189" t="s">
        <v>13</v>
      </c>
    </row>
    <row r="73" spans="1:22" ht="12.75" x14ac:dyDescent="0.2">
      <c r="A73" s="70"/>
      <c r="B73" s="70"/>
      <c r="C73" s="70"/>
      <c r="D73" s="70"/>
      <c r="E73" s="70"/>
      <c r="F73" s="70"/>
      <c r="G73" s="70"/>
      <c r="H73" s="70"/>
      <c r="I73" s="70"/>
      <c r="J73" s="70"/>
      <c r="K73" s="70"/>
      <c r="L73" s="70"/>
      <c r="M73" s="70"/>
      <c r="N73" s="70"/>
      <c r="O73" s="70"/>
      <c r="P73" s="70"/>
      <c r="Q73" s="70"/>
      <c r="R73" s="70"/>
      <c r="S73" s="70"/>
      <c r="T73" s="70"/>
      <c r="U73" s="70"/>
      <c r="V73" s="70"/>
    </row>
    <row r="74" spans="1:22" ht="12.75" x14ac:dyDescent="0.2">
      <c r="A74" s="70"/>
      <c r="B74" s="70"/>
      <c r="C74" s="70"/>
      <c r="D74" s="70"/>
      <c r="E74" s="70"/>
      <c r="F74" s="70"/>
      <c r="G74" s="70"/>
      <c r="H74" s="70"/>
      <c r="I74" s="70"/>
      <c r="J74" s="70"/>
      <c r="K74" s="70"/>
      <c r="L74" s="70"/>
      <c r="M74" s="70"/>
      <c r="N74" s="70" t="s">
        <v>1863</v>
      </c>
      <c r="O74" s="261">
        <v>298.39999999999998</v>
      </c>
      <c r="P74" s="261">
        <v>290</v>
      </c>
      <c r="Q74" s="261"/>
      <c r="R74" s="261">
        <v>1182.5</v>
      </c>
      <c r="S74" s="261">
        <v>1196</v>
      </c>
      <c r="T74" s="261"/>
      <c r="U74" s="261">
        <v>1380.3</v>
      </c>
      <c r="V74" s="70">
        <v>1443</v>
      </c>
    </row>
    <row r="75" spans="1:22" ht="12.75" x14ac:dyDescent="0.2">
      <c r="A75" s="70"/>
      <c r="B75" s="70"/>
      <c r="C75" s="70"/>
      <c r="D75" s="70"/>
      <c r="E75" s="70"/>
      <c r="F75" s="70"/>
      <c r="G75" s="70"/>
      <c r="H75" s="70"/>
      <c r="I75" s="70"/>
      <c r="J75" s="70"/>
      <c r="K75" s="70"/>
      <c r="L75" s="70"/>
      <c r="M75" s="70"/>
      <c r="N75" s="70"/>
      <c r="O75" s="70"/>
      <c r="P75" s="70"/>
      <c r="Q75" s="70"/>
      <c r="R75" s="70"/>
      <c r="S75" s="70"/>
      <c r="T75" s="70"/>
      <c r="U75" s="70"/>
      <c r="V75" s="70"/>
    </row>
    <row r="76" spans="1:22" ht="12.75" x14ac:dyDescent="0.2">
      <c r="A76" s="70"/>
      <c r="B76" s="70"/>
      <c r="C76" s="70"/>
      <c r="D76" s="70"/>
      <c r="E76" s="70"/>
      <c r="F76" s="70"/>
      <c r="G76" s="70"/>
      <c r="H76" s="70"/>
      <c r="I76" s="70"/>
      <c r="J76" s="70"/>
      <c r="K76" s="70"/>
      <c r="L76" s="70"/>
      <c r="M76" s="70"/>
      <c r="N76" s="70" t="s">
        <v>1296</v>
      </c>
      <c r="O76" s="70">
        <v>137.6</v>
      </c>
      <c r="P76" s="70">
        <v>128.69641940332897</v>
      </c>
      <c r="Q76" s="70"/>
      <c r="R76" s="70">
        <v>529.29999999999995</v>
      </c>
      <c r="S76" s="70">
        <v>532.83135546183314</v>
      </c>
      <c r="T76" s="70"/>
      <c r="U76" s="70">
        <v>653.6</v>
      </c>
      <c r="V76" s="70">
        <v>677.25987044442604</v>
      </c>
    </row>
    <row r="77" spans="1:22" ht="12.75" x14ac:dyDescent="0.2">
      <c r="A77" s="70"/>
      <c r="B77" s="70"/>
      <c r="C77" s="70"/>
      <c r="D77" s="70"/>
      <c r="E77" s="70"/>
      <c r="F77" s="70"/>
      <c r="G77" s="70"/>
      <c r="H77" s="70"/>
      <c r="I77" s="70"/>
      <c r="J77" s="70"/>
      <c r="K77" s="70"/>
      <c r="L77" s="70"/>
      <c r="M77" s="70"/>
      <c r="N77" s="70"/>
      <c r="O77" s="70"/>
      <c r="P77" s="70"/>
      <c r="Q77" s="70"/>
      <c r="R77" s="70"/>
      <c r="S77" s="70"/>
      <c r="T77" s="70"/>
      <c r="U77" s="70"/>
      <c r="V77" s="70"/>
    </row>
    <row r="78" spans="1:22" ht="12.75" x14ac:dyDescent="0.2">
      <c r="A78" s="70"/>
      <c r="B78" s="70"/>
      <c r="C78" s="70"/>
      <c r="D78" s="70"/>
      <c r="E78" s="70"/>
      <c r="F78" s="70"/>
      <c r="G78" s="70"/>
      <c r="H78" s="70"/>
      <c r="I78" s="70"/>
      <c r="J78" s="70"/>
      <c r="K78" s="70"/>
      <c r="L78" s="70"/>
      <c r="M78" s="70"/>
      <c r="N78" s="70" t="s">
        <v>1253</v>
      </c>
      <c r="O78" s="300">
        <v>0.37</v>
      </c>
      <c r="P78" s="300">
        <v>0.34</v>
      </c>
      <c r="Q78" s="300"/>
      <c r="R78" s="300">
        <v>1.42</v>
      </c>
      <c r="S78" s="300">
        <v>1.44</v>
      </c>
      <c r="T78" s="300"/>
      <c r="U78" s="300">
        <v>1.79</v>
      </c>
      <c r="V78" s="300">
        <v>1.88</v>
      </c>
    </row>
  </sheetData>
  <phoneticPr fontId="0" type="noConversion"/>
  <pageMargins left="0.75" right="0.75" top="1" bottom="1" header="0.5" footer="0.5"/>
  <pageSetup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autoPageBreaks="0"/>
  </sheetPr>
  <dimension ref="A1:Q145"/>
  <sheetViews>
    <sheetView zoomScale="85" zoomScaleNormal="85" zoomScaleSheetLayoutView="85" workbookViewId="0"/>
  </sheetViews>
  <sheetFormatPr defaultColWidth="12" defaultRowHeight="13.5" customHeight="1" x14ac:dyDescent="0.2"/>
  <cols>
    <col min="1" max="1" width="39.33203125" customWidth="1"/>
    <col min="2" max="2" width="2" customWidth="1"/>
    <col min="3" max="4" width="12" customWidth="1"/>
    <col min="5" max="5" width="2" customWidth="1"/>
    <col min="6" max="7" width="12" customWidth="1"/>
    <col min="8" max="8" width="2" customWidth="1"/>
    <col min="9" max="9" width="12" customWidth="1"/>
    <col min="10" max="10" width="2" customWidth="1"/>
    <col min="11" max="13" width="12" customWidth="1"/>
    <col min="14" max="14" width="24.1640625" customWidth="1"/>
    <col min="15" max="15" width="0" hidden="1" customWidth="1"/>
    <col min="16" max="20" width="12" customWidth="1"/>
    <col min="21" max="21" width="2" customWidth="1"/>
    <col min="22" max="33" width="12" customWidth="1"/>
    <col min="34" max="34" width="2.1640625" customWidth="1"/>
    <col min="35" max="35" width="12" customWidth="1"/>
    <col min="36" max="36" width="18.6640625" customWidth="1"/>
    <col min="37" max="48" width="12" customWidth="1"/>
    <col min="49" max="49" width="5.33203125" customWidth="1"/>
    <col min="50" max="50" width="18.5" customWidth="1"/>
  </cols>
  <sheetData>
    <row r="1" spans="1:17" ht="13.5" customHeight="1" x14ac:dyDescent="0.2">
      <c r="A1" s="344" t="s">
        <v>1490</v>
      </c>
      <c r="B1" s="345"/>
      <c r="C1" s="345"/>
      <c r="D1" s="345"/>
      <c r="E1" s="345"/>
      <c r="F1" s="345"/>
      <c r="G1" s="345"/>
      <c r="H1" s="345"/>
      <c r="I1" s="345"/>
      <c r="J1" s="345"/>
      <c r="K1" s="345"/>
      <c r="L1" s="345"/>
      <c r="M1" s="345"/>
      <c r="N1" s="345"/>
      <c r="O1" s="345"/>
      <c r="P1" s="345"/>
      <c r="Q1" s="345"/>
    </row>
    <row r="2" spans="1:17" ht="13.5" customHeight="1" x14ac:dyDescent="0.2">
      <c r="A2" s="344" t="s">
        <v>1639</v>
      </c>
      <c r="B2" s="345"/>
      <c r="C2" s="619"/>
      <c r="D2" s="345"/>
      <c r="E2" s="345"/>
      <c r="F2" s="345"/>
      <c r="G2" s="345"/>
      <c r="H2" s="345"/>
      <c r="I2" s="619"/>
      <c r="J2" s="345"/>
      <c r="K2" s="345"/>
      <c r="L2" s="345"/>
      <c r="M2" s="345"/>
      <c r="N2" s="346"/>
      <c r="O2" s="346"/>
      <c r="P2" s="346"/>
      <c r="Q2" s="346"/>
    </row>
    <row r="3" spans="1:17" ht="13.5" customHeight="1" x14ac:dyDescent="0.2">
      <c r="A3" s="345"/>
      <c r="B3" s="345"/>
      <c r="C3" s="345"/>
      <c r="D3" s="345"/>
      <c r="E3" s="345"/>
      <c r="F3" s="345"/>
      <c r="G3" s="345"/>
      <c r="H3" s="345"/>
      <c r="I3" s="345"/>
      <c r="J3" s="345"/>
      <c r="K3" s="345"/>
      <c r="L3" s="345"/>
      <c r="M3" s="345"/>
      <c r="N3" s="346"/>
      <c r="O3" s="346"/>
      <c r="P3" s="346"/>
      <c r="Q3" s="346"/>
    </row>
    <row r="4" spans="1:17" ht="13.5" customHeight="1" thickBot="1" x14ac:dyDescent="0.25">
      <c r="A4" s="475" t="s">
        <v>240</v>
      </c>
      <c r="B4" s="345"/>
      <c r="C4" s="345"/>
      <c r="D4" s="345"/>
      <c r="E4" s="345"/>
      <c r="F4" s="345"/>
      <c r="G4" s="345"/>
      <c r="H4" s="345"/>
      <c r="I4" s="345"/>
      <c r="J4" s="345"/>
      <c r="K4" s="345"/>
      <c r="L4" s="345"/>
      <c r="M4" s="345"/>
      <c r="N4" s="346"/>
      <c r="O4" s="346"/>
      <c r="P4" s="346"/>
      <c r="Q4" s="346"/>
    </row>
    <row r="5" spans="1:17" ht="13.5" customHeight="1" x14ac:dyDescent="0.2">
      <c r="A5" s="513"/>
      <c r="B5" s="514"/>
      <c r="C5" s="3948" t="s">
        <v>1149</v>
      </c>
      <c r="D5" s="3948"/>
      <c r="E5" s="3948"/>
      <c r="F5" s="3948"/>
      <c r="G5" s="3948"/>
      <c r="H5" s="514"/>
      <c r="I5" s="3948" t="s">
        <v>1755</v>
      </c>
      <c r="J5" s="3948"/>
      <c r="K5" s="3948"/>
      <c r="L5" s="3948"/>
      <c r="M5" s="345"/>
      <c r="N5" s="415"/>
      <c r="O5" s="346"/>
      <c r="P5" s="346"/>
      <c r="Q5" s="346"/>
    </row>
    <row r="6" spans="1:17" ht="13.5" customHeight="1" x14ac:dyDescent="0.2">
      <c r="A6" s="515"/>
      <c r="B6" s="511"/>
      <c r="C6" s="511"/>
      <c r="D6" s="511"/>
      <c r="E6" s="511"/>
      <c r="F6" s="512" t="s">
        <v>241</v>
      </c>
      <c r="G6" s="512"/>
      <c r="H6" s="511"/>
      <c r="I6" s="511"/>
      <c r="J6" s="511"/>
      <c r="K6" s="512" t="s">
        <v>241</v>
      </c>
      <c r="L6" s="516"/>
      <c r="M6" s="345"/>
      <c r="N6" s="346"/>
      <c r="O6" s="346"/>
      <c r="P6" s="346"/>
      <c r="Q6" s="346"/>
    </row>
    <row r="7" spans="1:17" ht="13.5" customHeight="1" thickBot="1" x14ac:dyDescent="0.25">
      <c r="A7" s="517"/>
      <c r="B7" s="518"/>
      <c r="C7" s="521" t="s">
        <v>1543</v>
      </c>
      <c r="D7" s="519" t="s">
        <v>850</v>
      </c>
      <c r="E7" s="519"/>
      <c r="F7" s="519" t="s">
        <v>1756</v>
      </c>
      <c r="G7" s="519" t="s">
        <v>575</v>
      </c>
      <c r="H7" s="518"/>
      <c r="I7" s="521" t="s">
        <v>855</v>
      </c>
      <c r="J7" s="519"/>
      <c r="K7" s="519" t="s">
        <v>1756</v>
      </c>
      <c r="L7" s="520" t="s">
        <v>575</v>
      </c>
      <c r="M7" s="347"/>
      <c r="N7" s="362"/>
      <c r="O7" s="346"/>
      <c r="P7" s="347"/>
      <c r="Q7" s="347"/>
    </row>
    <row r="8" spans="1:17" ht="13.5" customHeight="1" x14ac:dyDescent="0.2">
      <c r="A8" s="502" t="s">
        <v>125</v>
      </c>
      <c r="B8" s="346"/>
      <c r="C8" s="348"/>
      <c r="D8" s="346"/>
      <c r="E8" s="346"/>
      <c r="F8" s="346"/>
      <c r="G8" s="346"/>
      <c r="H8" s="346"/>
      <c r="I8" s="348"/>
      <c r="J8" s="346"/>
      <c r="K8" s="346"/>
      <c r="L8" s="503"/>
      <c r="M8" s="345"/>
      <c r="N8" s="415"/>
      <c r="O8" s="346"/>
      <c r="P8" s="346"/>
      <c r="Q8" s="346"/>
    </row>
    <row r="9" spans="1:17" ht="13.5" customHeight="1" x14ac:dyDescent="0.2">
      <c r="A9" s="504" t="s">
        <v>165</v>
      </c>
      <c r="B9" s="346"/>
      <c r="C9" s="510"/>
      <c r="D9" s="352">
        <f>MAR!BI10</f>
        <v>254</v>
      </c>
      <c r="E9" s="352"/>
      <c r="F9" s="352">
        <f>C9-D9</f>
        <v>-254</v>
      </c>
      <c r="G9" s="354">
        <f>IF(D9=0,0,C9/D9-1)</f>
        <v>-1</v>
      </c>
      <c r="H9" s="346"/>
      <c r="I9" s="351">
        <v>278.62859892134867</v>
      </c>
      <c r="J9" s="346"/>
      <c r="K9" s="532">
        <f>C9-I9</f>
        <v>-278.62859892134867</v>
      </c>
      <c r="L9" s="505">
        <f>IF(I9=0,"NM",C9/I9-1)</f>
        <v>-1</v>
      </c>
      <c r="M9" s="345"/>
      <c r="N9" s="415"/>
      <c r="O9" s="346"/>
      <c r="P9" s="346"/>
      <c r="Q9" s="346"/>
    </row>
    <row r="10" spans="1:17" ht="13.5" customHeight="1" x14ac:dyDescent="0.2">
      <c r="A10" s="504" t="s">
        <v>1396</v>
      </c>
      <c r="B10" s="346"/>
      <c r="C10" s="510"/>
      <c r="D10" s="352">
        <f>MAR!BI11</f>
        <v>220</v>
      </c>
      <c r="E10" s="353"/>
      <c r="F10" s="352">
        <f>C10-D10</f>
        <v>-220</v>
      </c>
      <c r="G10" s="354">
        <f>IF(D10=0,0,C10/D10-1)</f>
        <v>-1</v>
      </c>
      <c r="H10" s="349"/>
      <c r="I10" s="351">
        <v>236.30086548864043</v>
      </c>
      <c r="J10" s="350"/>
      <c r="K10" s="532">
        <f>C10-I10</f>
        <v>-236.30086548864043</v>
      </c>
      <c r="L10" s="505">
        <f>IF(I10=0,"NM",C10/I10-1)</f>
        <v>-1</v>
      </c>
      <c r="M10" s="345"/>
      <c r="N10" s="362"/>
      <c r="O10" s="346"/>
      <c r="P10" s="346"/>
      <c r="Q10" s="346"/>
    </row>
    <row r="11" spans="1:17" ht="13.5" customHeight="1" x14ac:dyDescent="0.2">
      <c r="A11" s="504" t="s">
        <v>576</v>
      </c>
      <c r="B11" s="346"/>
      <c r="C11" s="510"/>
      <c r="D11" s="352">
        <f>MAR!BI13</f>
        <v>0</v>
      </c>
      <c r="E11" s="353"/>
      <c r="F11" s="352">
        <f>C11-D11</f>
        <v>0</v>
      </c>
      <c r="G11" s="354">
        <f>IF(D11=0,0,C11/D11-1)</f>
        <v>0</v>
      </c>
      <c r="H11" s="346"/>
      <c r="I11" s="351">
        <v>318.25440000000003</v>
      </c>
      <c r="J11" s="353"/>
      <c r="K11" s="532">
        <f>C11-I11</f>
        <v>-318.25440000000003</v>
      </c>
      <c r="L11" s="505">
        <f>IF(I11=0,"NM",C11/I11-1)</f>
        <v>-1</v>
      </c>
      <c r="M11" s="346"/>
      <c r="N11" s="346"/>
      <c r="O11" s="346"/>
      <c r="P11" s="346"/>
      <c r="Q11" s="346"/>
    </row>
    <row r="12" spans="1:17" ht="13.5" customHeight="1" x14ac:dyDescent="0.2">
      <c r="A12" s="355" t="s">
        <v>1614</v>
      </c>
      <c r="B12" s="356"/>
      <c r="C12" s="614">
        <f>SUM(C9:C11)</f>
        <v>0</v>
      </c>
      <c r="D12" s="489">
        <f>SUM(D9:D11)</f>
        <v>474</v>
      </c>
      <c r="E12" s="489"/>
      <c r="F12" s="489">
        <f>SUM(F10:F11)</f>
        <v>-220</v>
      </c>
      <c r="G12" s="358">
        <f>IF(D12=0,0,C12/D12-1)</f>
        <v>-1</v>
      </c>
      <c r="H12" s="359"/>
      <c r="I12" s="614">
        <f>SUM(I9:I11)</f>
        <v>833.18386440998916</v>
      </c>
      <c r="J12" s="357"/>
      <c r="K12" s="488">
        <f>SUM(K9:K11)</f>
        <v>-833.18386440998916</v>
      </c>
      <c r="L12" s="360">
        <f>C12/I12-1</f>
        <v>-1</v>
      </c>
      <c r="M12" s="346"/>
      <c r="N12" s="346"/>
      <c r="O12" s="346"/>
      <c r="P12" s="416"/>
      <c r="Q12" s="416"/>
    </row>
    <row r="13" spans="1:17" ht="13.5" customHeight="1" x14ac:dyDescent="0.2">
      <c r="A13" s="501"/>
      <c r="B13" s="346"/>
      <c r="C13" s="351"/>
      <c r="D13" s="352"/>
      <c r="E13" s="352"/>
      <c r="F13" s="352"/>
      <c r="G13" s="361"/>
      <c r="H13" s="346"/>
      <c r="I13" s="351"/>
      <c r="J13" s="346"/>
      <c r="K13" s="532"/>
      <c r="L13" s="506"/>
      <c r="M13" s="346"/>
      <c r="N13" s="346"/>
      <c r="O13" s="346"/>
      <c r="P13" s="352"/>
      <c r="Q13" s="352"/>
    </row>
    <row r="14" spans="1:17" ht="13.5" customHeight="1" x14ac:dyDescent="0.2">
      <c r="A14" s="502" t="s">
        <v>1913</v>
      </c>
      <c r="B14" s="346"/>
      <c r="C14" s="351"/>
      <c r="D14" s="352"/>
      <c r="E14" s="352"/>
      <c r="F14" s="352"/>
      <c r="G14" s="361"/>
      <c r="H14" s="346"/>
      <c r="I14" s="525"/>
      <c r="J14" s="346"/>
      <c r="K14" s="532"/>
      <c r="L14" s="506"/>
      <c r="M14" s="346"/>
      <c r="N14" s="346" t="s">
        <v>1815</v>
      </c>
      <c r="O14" s="346"/>
      <c r="P14" s="346" t="s">
        <v>1938</v>
      </c>
      <c r="Q14" s="346"/>
    </row>
    <row r="15" spans="1:17" ht="13.5" customHeight="1" x14ac:dyDescent="0.2">
      <c r="A15" s="507" t="s">
        <v>1368</v>
      </c>
      <c r="B15" s="346"/>
      <c r="C15" s="510"/>
      <c r="D15" s="352">
        <f>MAR!BI26</f>
        <v>213</v>
      </c>
      <c r="E15" s="352"/>
      <c r="F15" s="352">
        <f>C15-D15</f>
        <v>-213</v>
      </c>
      <c r="G15" s="354">
        <f>IF(D15=0,0,C15/D15-1)</f>
        <v>-1</v>
      </c>
      <c r="H15" s="346"/>
      <c r="I15" s="351">
        <v>214.77512802019473</v>
      </c>
      <c r="J15" s="346"/>
      <c r="K15" s="532">
        <f>C15-I15</f>
        <v>-214.77512802019473</v>
      </c>
      <c r="L15" s="505">
        <f>IF(I15=0,"NM",C15/I15-1)</f>
        <v>-1</v>
      </c>
      <c r="M15" s="346" t="s">
        <v>8</v>
      </c>
      <c r="N15" s="346">
        <f>I10-I15</f>
        <v>21.525737468445698</v>
      </c>
      <c r="O15" s="346"/>
      <c r="P15" s="346">
        <f>C10-C15</f>
        <v>0</v>
      </c>
      <c r="Q15" s="346">
        <f>P15-N15</f>
        <v>-21.525737468445698</v>
      </c>
    </row>
    <row r="16" spans="1:17" ht="13.5" customHeight="1" x14ac:dyDescent="0.2">
      <c r="A16" s="507" t="s">
        <v>1369</v>
      </c>
      <c r="B16" s="346"/>
      <c r="C16" s="510"/>
      <c r="D16" s="352">
        <f>MAR!BI27</f>
        <v>0</v>
      </c>
      <c r="E16" s="352"/>
      <c r="F16" s="352">
        <f>C16-D16</f>
        <v>0</v>
      </c>
      <c r="G16" s="354">
        <f>IF(D16=0,0,C16/D16-1)</f>
        <v>0</v>
      </c>
      <c r="H16" s="346"/>
      <c r="I16" s="351">
        <v>272.99263999999999</v>
      </c>
      <c r="J16" s="346"/>
      <c r="K16" s="532">
        <f>C16-I16</f>
        <v>-272.99263999999999</v>
      </c>
      <c r="L16" s="505">
        <f>IF(I16=0,"NM",C16/I16-1)</f>
        <v>-1</v>
      </c>
      <c r="M16" s="346" t="s">
        <v>1308</v>
      </c>
      <c r="N16" s="346">
        <f>I11-I16</f>
        <v>45.261760000000038</v>
      </c>
      <c r="O16" s="346"/>
      <c r="P16" s="346">
        <f>C11-C16</f>
        <v>0</v>
      </c>
      <c r="Q16" s="346">
        <f>P16-N16</f>
        <v>-45.261760000000038</v>
      </c>
    </row>
    <row r="17" spans="1:17" ht="13.5" customHeight="1" x14ac:dyDescent="0.2">
      <c r="A17" s="507" t="s">
        <v>786</v>
      </c>
      <c r="B17" s="346"/>
      <c r="C17" s="510"/>
      <c r="D17" s="352"/>
      <c r="E17" s="352"/>
      <c r="F17" s="352"/>
      <c r="G17" s="354"/>
      <c r="H17" s="346"/>
      <c r="I17" s="351">
        <v>159.80536181662924</v>
      </c>
      <c r="J17" s="346"/>
      <c r="K17" s="532">
        <f>C17-I17</f>
        <v>-159.80536181662924</v>
      </c>
      <c r="L17" s="505">
        <f>IF(I17=0,"NM",C17/I17-1)</f>
        <v>-1</v>
      </c>
      <c r="M17" s="346" t="s">
        <v>857</v>
      </c>
      <c r="N17" s="346">
        <f>I9</f>
        <v>278.62859892134867</v>
      </c>
      <c r="O17" s="346"/>
      <c r="P17" s="346">
        <f>C9</f>
        <v>0</v>
      </c>
      <c r="Q17" s="346">
        <f>P17-N17</f>
        <v>-278.62859892134867</v>
      </c>
    </row>
    <row r="18" spans="1:17" ht="13.5" customHeight="1" x14ac:dyDescent="0.2">
      <c r="A18" s="507" t="s">
        <v>192</v>
      </c>
      <c r="B18" s="346"/>
      <c r="C18" s="351">
        <f>-C23</f>
        <v>0</v>
      </c>
      <c r="D18" s="352"/>
      <c r="E18" s="352"/>
      <c r="F18" s="352"/>
      <c r="G18" s="354"/>
      <c r="H18" s="346"/>
      <c r="I18" s="351">
        <v>-41</v>
      </c>
      <c r="J18" s="346"/>
      <c r="K18" s="532">
        <f>C18-I18</f>
        <v>41</v>
      </c>
      <c r="L18" s="505">
        <f>IF(I18=0,"NM",C18/I18-1)</f>
        <v>-1</v>
      </c>
      <c r="M18" s="346"/>
      <c r="N18" s="346"/>
      <c r="O18" s="346"/>
      <c r="P18" s="346"/>
      <c r="Q18" s="346">
        <f>SUM(Q15:Q17)</f>
        <v>-345.4160963897944</v>
      </c>
    </row>
    <row r="19" spans="1:17" ht="13.5" customHeight="1" x14ac:dyDescent="0.2">
      <c r="A19" s="355" t="s">
        <v>1913</v>
      </c>
      <c r="B19" s="356"/>
      <c r="C19" s="614">
        <f>SUM(C15:C18)</f>
        <v>0</v>
      </c>
      <c r="D19" s="489">
        <f>SUM(D15:D18)</f>
        <v>213</v>
      </c>
      <c r="E19" s="488"/>
      <c r="F19" s="357">
        <f>C19-D19</f>
        <v>-213</v>
      </c>
      <c r="G19" s="358">
        <f>IF(D19=0,0,C19/D19-1)</f>
        <v>-1</v>
      </c>
      <c r="H19" s="359"/>
      <c r="I19" s="614">
        <f>SUM(I15:I18)</f>
        <v>606.57312983682391</v>
      </c>
      <c r="J19" s="357"/>
      <c r="K19" s="488">
        <f>SUM(K15:K18)</f>
        <v>-606.57312983682391</v>
      </c>
      <c r="L19" s="360">
        <f>C19/I19-1</f>
        <v>-1</v>
      </c>
      <c r="M19" s="346"/>
      <c r="N19" s="346"/>
      <c r="O19" s="346"/>
      <c r="P19" s="346"/>
      <c r="Q19" s="346"/>
    </row>
    <row r="20" spans="1:17" ht="13.5" customHeight="1" x14ac:dyDescent="0.2">
      <c r="A20" s="507"/>
      <c r="B20" s="346"/>
      <c r="C20" s="351"/>
      <c r="D20" s="352"/>
      <c r="E20" s="346"/>
      <c r="F20" s="346"/>
      <c r="G20" s="361"/>
      <c r="H20" s="346"/>
      <c r="I20" s="351"/>
      <c r="J20" s="346"/>
      <c r="K20" s="532"/>
      <c r="L20" s="506"/>
      <c r="M20" s="346"/>
      <c r="N20" s="346"/>
      <c r="O20" s="346"/>
      <c r="P20" s="346"/>
      <c r="Q20" s="346"/>
    </row>
    <row r="21" spans="1:17" ht="13.5" customHeight="1" x14ac:dyDescent="0.2">
      <c r="A21" s="508" t="s">
        <v>1863</v>
      </c>
      <c r="B21" s="362"/>
      <c r="C21" s="617">
        <f>C12-C19</f>
        <v>0</v>
      </c>
      <c r="D21" s="485"/>
      <c r="E21" s="362"/>
      <c r="F21" s="485"/>
      <c r="G21" s="482"/>
      <c r="H21" s="362"/>
      <c r="I21" s="615">
        <f>I12-I19</f>
        <v>226.61073457316525</v>
      </c>
      <c r="J21" s="362"/>
      <c r="K21" s="364">
        <f>C21-I21</f>
        <v>-226.61073457316525</v>
      </c>
      <c r="L21" s="509">
        <f>IF(I21=0,"NM",C21/I21-1)</f>
        <v>-1</v>
      </c>
      <c r="M21" s="362"/>
      <c r="N21" s="362"/>
      <c r="O21" s="362"/>
      <c r="P21" s="362"/>
      <c r="Q21" s="362"/>
    </row>
    <row r="22" spans="1:17" ht="13.5" customHeight="1" x14ac:dyDescent="0.2">
      <c r="A22" s="507"/>
      <c r="B22" s="346"/>
      <c r="C22" s="351"/>
      <c r="D22" s="352"/>
      <c r="E22" s="346"/>
      <c r="F22" s="352"/>
      <c r="G22" s="361"/>
      <c r="H22" s="346"/>
      <c r="I22" s="351"/>
      <c r="J22" s="346"/>
      <c r="K22" s="532"/>
      <c r="L22" s="506"/>
      <c r="M22" s="346"/>
      <c r="N22" s="346"/>
      <c r="O22" s="346"/>
      <c r="P22" s="346"/>
      <c r="Q22" s="346"/>
    </row>
    <row r="23" spans="1:17" ht="13.5" customHeight="1" x14ac:dyDescent="0.2">
      <c r="A23" s="507" t="s">
        <v>1342</v>
      </c>
      <c r="B23" s="346"/>
      <c r="C23" s="510"/>
      <c r="D23" s="352"/>
      <c r="E23" s="346"/>
      <c r="F23" s="352"/>
      <c r="G23" s="354"/>
      <c r="H23" s="346"/>
      <c r="I23" s="351">
        <f>I18*-1</f>
        <v>41</v>
      </c>
      <c r="J23" s="346"/>
      <c r="K23" s="532">
        <f>C23-I23</f>
        <v>-41</v>
      </c>
      <c r="L23" s="505">
        <f>IF(I23=0,"NM",C23/I23-1)</f>
        <v>-1</v>
      </c>
      <c r="M23" s="346"/>
      <c r="N23" s="346"/>
      <c r="O23" s="346"/>
      <c r="P23" s="346"/>
      <c r="Q23" s="346"/>
    </row>
    <row r="24" spans="1:17" ht="13.5" customHeight="1" x14ac:dyDescent="0.2">
      <c r="A24" s="508" t="s">
        <v>1343</v>
      </c>
      <c r="B24" s="362"/>
      <c r="C24" s="615">
        <f>C21-C23</f>
        <v>0</v>
      </c>
      <c r="D24" s="618"/>
      <c r="E24" s="362"/>
      <c r="F24" s="485"/>
      <c r="G24" s="482"/>
      <c r="H24" s="362"/>
      <c r="I24" s="615">
        <f>I21-I23</f>
        <v>185.61073457316525</v>
      </c>
      <c r="J24" s="362"/>
      <c r="K24" s="364">
        <f>C24-I24</f>
        <v>-185.61073457316525</v>
      </c>
      <c r="L24" s="509">
        <f>IF(I24=0,"NM",C24/I24-1)</f>
        <v>-1</v>
      </c>
      <c r="M24" s="362"/>
      <c r="N24" s="362"/>
      <c r="O24" s="362"/>
      <c r="P24" s="362"/>
      <c r="Q24" s="362"/>
    </row>
    <row r="25" spans="1:17" ht="13.5" customHeight="1" x14ac:dyDescent="0.2">
      <c r="A25" s="508"/>
      <c r="B25" s="346"/>
      <c r="C25" s="615"/>
      <c r="D25" s="618"/>
      <c r="E25" s="346"/>
      <c r="F25" s="352"/>
      <c r="G25" s="361"/>
      <c r="H25" s="346"/>
      <c r="I25" s="615"/>
      <c r="J25" s="346"/>
      <c r="K25" s="532"/>
      <c r="L25" s="506"/>
      <c r="M25" s="346"/>
      <c r="N25" s="346"/>
      <c r="O25" s="346"/>
      <c r="P25" s="346"/>
      <c r="Q25" s="346"/>
    </row>
    <row r="26" spans="1:17" ht="13.5" customHeight="1" x14ac:dyDescent="0.2">
      <c r="A26" s="507" t="s">
        <v>70</v>
      </c>
      <c r="B26" s="346"/>
      <c r="C26" s="510"/>
      <c r="D26" s="352">
        <f>MAR!BI39</f>
        <v>-31</v>
      </c>
      <c r="E26" s="346"/>
      <c r="F26" s="352">
        <f>C26-D26</f>
        <v>31</v>
      </c>
      <c r="G26" s="354">
        <f>IF(D26=0,0,C26/D26-1)</f>
        <v>-1</v>
      </c>
      <c r="H26" s="346"/>
      <c r="I26" s="351">
        <v>-40.84888461538462</v>
      </c>
      <c r="J26" s="346"/>
      <c r="K26" s="532">
        <f>C26-I26</f>
        <v>40.84888461538462</v>
      </c>
      <c r="L26" s="505">
        <f>IF(I26=0,"NM",C26/I26-1)</f>
        <v>-1</v>
      </c>
      <c r="M26" s="346"/>
      <c r="N26" s="346"/>
      <c r="O26" s="346"/>
      <c r="P26" s="346"/>
      <c r="Q26" s="346"/>
    </row>
    <row r="27" spans="1:17" ht="13.5" customHeight="1" x14ac:dyDescent="0.2">
      <c r="A27" s="507" t="s">
        <v>1555</v>
      </c>
      <c r="B27" s="346"/>
      <c r="C27" s="643"/>
      <c r="D27" s="352">
        <f>MAR!BI40</f>
        <v>6</v>
      </c>
      <c r="E27" s="346"/>
      <c r="F27" s="352">
        <f>C27-D27</f>
        <v>-6</v>
      </c>
      <c r="G27" s="354">
        <f>IF(D27=0,0,C27/D27-1)</f>
        <v>-1</v>
      </c>
      <c r="H27" s="346"/>
      <c r="I27" s="351">
        <v>2.9969230769230784</v>
      </c>
      <c r="J27" s="346"/>
      <c r="K27" s="532">
        <f>C27-I27</f>
        <v>-2.9969230769230784</v>
      </c>
      <c r="L27" s="505">
        <f>IF(I27=0,"NM",C27/I27-1)</f>
        <v>-1</v>
      </c>
      <c r="M27" s="346"/>
      <c r="N27" s="346"/>
      <c r="O27" s="346"/>
      <c r="P27" s="346"/>
      <c r="Q27" s="346"/>
    </row>
    <row r="28" spans="1:17" ht="13.5" customHeight="1" x14ac:dyDescent="0.2">
      <c r="A28" s="507" t="s">
        <v>1293</v>
      </c>
      <c r="B28" s="346"/>
      <c r="C28" s="510"/>
      <c r="D28" s="352">
        <f>MAR!BL38</f>
        <v>2</v>
      </c>
      <c r="E28" s="346"/>
      <c r="F28" s="352">
        <f>C28-D28</f>
        <v>-2</v>
      </c>
      <c r="G28" s="354">
        <f>IF(D28=0,0,C28/D28-1)</f>
        <v>-1</v>
      </c>
      <c r="H28" s="346"/>
      <c r="I28" s="351">
        <v>2</v>
      </c>
      <c r="J28" s="346"/>
      <c r="K28" s="532">
        <f>C28-I28</f>
        <v>-2</v>
      </c>
      <c r="L28" s="505">
        <f>IF(I28=0,"NM",C28/I28-1)</f>
        <v>-1</v>
      </c>
      <c r="M28" s="346"/>
      <c r="N28" s="346"/>
      <c r="O28" s="346"/>
      <c r="P28" s="346"/>
      <c r="Q28" s="346"/>
    </row>
    <row r="29" spans="1:17" ht="13.5" customHeight="1" x14ac:dyDescent="0.2">
      <c r="A29" s="507" t="s">
        <v>1294</v>
      </c>
      <c r="B29" s="346"/>
      <c r="C29" s="510"/>
      <c r="D29" s="352">
        <f>MAR!BL42</f>
        <v>-4</v>
      </c>
      <c r="E29" s="346"/>
      <c r="F29" s="352">
        <f>C29-D29</f>
        <v>4</v>
      </c>
      <c r="G29" s="354">
        <f>IF(D29=0,0,C29/D29-1)</f>
        <v>-1</v>
      </c>
      <c r="H29" s="346"/>
      <c r="I29" s="351">
        <v>-2</v>
      </c>
      <c r="J29" s="346"/>
      <c r="K29" s="532">
        <f>C29-I29</f>
        <v>2</v>
      </c>
      <c r="L29" s="505">
        <f>IF(I29=0,"NM",C29/I29-1)</f>
        <v>-1</v>
      </c>
      <c r="M29" s="346"/>
      <c r="N29" s="346"/>
      <c r="O29" s="346"/>
      <c r="P29" s="346"/>
      <c r="Q29" s="346"/>
    </row>
    <row r="30" spans="1:17" ht="13.5" customHeight="1" x14ac:dyDescent="0.2">
      <c r="A30" s="502" t="s">
        <v>642</v>
      </c>
      <c r="B30" s="362"/>
      <c r="C30" s="615">
        <f>SUM(C24:C29)</f>
        <v>0</v>
      </c>
      <c r="D30" s="485">
        <f>SUM(D24:D29)</f>
        <v>-27</v>
      </c>
      <c r="E30" s="362"/>
      <c r="F30" s="485">
        <f>C30-D30</f>
        <v>27</v>
      </c>
      <c r="G30" s="482">
        <f>IF(D30=0,0,C30/D30-1)</f>
        <v>-1</v>
      </c>
      <c r="H30" s="362"/>
      <c r="I30" s="615">
        <f>SUM(I24:I29)</f>
        <v>147.75877303470369</v>
      </c>
      <c r="J30" s="362"/>
      <c r="K30" s="364">
        <f>C30-I30</f>
        <v>-147.75877303470369</v>
      </c>
      <c r="L30" s="509">
        <f>IF(I30=0,"NM",C30/I30-1)</f>
        <v>-1</v>
      </c>
      <c r="M30" s="362"/>
      <c r="N30" s="362"/>
      <c r="O30" s="362"/>
      <c r="P30" s="362"/>
      <c r="Q30" s="362"/>
    </row>
    <row r="31" spans="1:17" ht="13.5" customHeight="1" x14ac:dyDescent="0.2">
      <c r="A31" s="501"/>
      <c r="B31" s="346"/>
      <c r="C31" s="351"/>
      <c r="D31" s="352"/>
      <c r="E31" s="346"/>
      <c r="F31" s="346"/>
      <c r="G31" s="361"/>
      <c r="H31" s="346"/>
      <c r="I31" s="351"/>
      <c r="J31" s="346"/>
      <c r="K31" s="532"/>
      <c r="L31" s="506"/>
      <c r="M31" s="346"/>
      <c r="N31" s="346"/>
      <c r="O31" s="346"/>
      <c r="P31" s="346"/>
      <c r="Q31" s="346"/>
    </row>
    <row r="32" spans="1:17" ht="13.5" customHeight="1" x14ac:dyDescent="0.2">
      <c r="A32" s="501" t="s">
        <v>643</v>
      </c>
      <c r="B32" s="346"/>
      <c r="C32" s="644"/>
      <c r="D32" s="352">
        <f>MAR!BI48</f>
        <v>-37</v>
      </c>
      <c r="E32" s="353"/>
      <c r="F32" s="346">
        <f>C32-D32</f>
        <v>37</v>
      </c>
      <c r="G32" s="354">
        <f>IF(D32=0,0,C32/D32-1)</f>
        <v>-1</v>
      </c>
      <c r="H32" s="346"/>
      <c r="I32" s="616">
        <v>-50.237982831799251</v>
      </c>
      <c r="J32" s="353"/>
      <c r="K32" s="532">
        <f>C32-I32</f>
        <v>50.237982831799251</v>
      </c>
      <c r="L32" s="505">
        <f>IF(I32=0,"NM",C32/I32-1)</f>
        <v>-1</v>
      </c>
      <c r="M32" s="346"/>
      <c r="N32" s="346"/>
      <c r="O32" s="346"/>
      <c r="P32" s="417"/>
      <c r="Q32" s="417"/>
    </row>
    <row r="33" spans="1:17" ht="13.5" customHeight="1" x14ac:dyDescent="0.2">
      <c r="A33" s="502" t="s">
        <v>1296</v>
      </c>
      <c r="B33" s="362"/>
      <c r="C33" s="615">
        <f>SUM(C30:C32)</f>
        <v>0</v>
      </c>
      <c r="D33" s="618">
        <f>SUM(D30:D32)</f>
        <v>-64</v>
      </c>
      <c r="E33" s="486"/>
      <c r="F33" s="485">
        <f>SUM(F30:F32)</f>
        <v>64</v>
      </c>
      <c r="G33" s="482">
        <f>IF(D33=0,0,C33/D33-1)</f>
        <v>-1</v>
      </c>
      <c r="H33" s="362"/>
      <c r="I33" s="615">
        <f>SUM(I30:I32)</f>
        <v>97.520790202904436</v>
      </c>
      <c r="J33" s="486"/>
      <c r="K33" s="364">
        <f>C33-I33</f>
        <v>-97.520790202904436</v>
      </c>
      <c r="L33" s="509">
        <f>IF(I33=0,"NM",C33/I33-1)</f>
        <v>-1</v>
      </c>
      <c r="M33" s="362"/>
      <c r="N33" s="362"/>
      <c r="O33" s="362"/>
      <c r="P33" s="487"/>
      <c r="Q33" s="487"/>
    </row>
    <row r="34" spans="1:17" ht="13.5" customHeight="1" x14ac:dyDescent="0.2">
      <c r="A34" s="501"/>
      <c r="B34" s="346"/>
      <c r="C34" s="351"/>
      <c r="D34" s="352"/>
      <c r="E34" s="353"/>
      <c r="F34" s="352"/>
      <c r="G34" s="354"/>
      <c r="H34" s="346"/>
      <c r="I34" s="351"/>
      <c r="J34" s="353"/>
      <c r="K34" s="532"/>
      <c r="L34" s="505"/>
      <c r="M34" s="346"/>
      <c r="N34" s="346"/>
      <c r="O34" s="346"/>
      <c r="P34" s="417"/>
      <c r="Q34" s="417"/>
    </row>
    <row r="35" spans="1:17" ht="13.5" customHeight="1" x14ac:dyDescent="0.2">
      <c r="A35" s="501" t="s">
        <v>1297</v>
      </c>
      <c r="B35" s="346"/>
      <c r="C35" s="510"/>
      <c r="D35" s="352">
        <f>MAR!BI46</f>
        <v>0</v>
      </c>
      <c r="E35" s="353"/>
      <c r="F35" s="352">
        <f>MAR!BL46</f>
        <v>0</v>
      </c>
      <c r="G35" s="354">
        <f>IF(D35=0,0,C35/D35-1)</f>
        <v>0</v>
      </c>
      <c r="H35" s="346"/>
      <c r="I35" s="351">
        <v>0</v>
      </c>
      <c r="J35" s="353"/>
      <c r="K35" s="532">
        <f>C35-I35</f>
        <v>0</v>
      </c>
      <c r="L35" s="505" t="str">
        <f>IF(I35=0,"NM",C35/I35-1)</f>
        <v>NM</v>
      </c>
      <c r="M35" s="346"/>
      <c r="N35" s="346"/>
      <c r="O35" s="346"/>
      <c r="P35" s="417"/>
      <c r="Q35" s="417"/>
    </row>
    <row r="36" spans="1:17" ht="13.5" customHeight="1" x14ac:dyDescent="0.2">
      <c r="A36" s="355" t="s">
        <v>1298</v>
      </c>
      <c r="B36" s="356"/>
      <c r="C36" s="614">
        <f>C33-C35</f>
        <v>0</v>
      </c>
      <c r="D36" s="489">
        <f>D33-D35</f>
        <v>-64</v>
      </c>
      <c r="E36" s="357"/>
      <c r="F36" s="357">
        <f>C36-D36</f>
        <v>64</v>
      </c>
      <c r="G36" s="358">
        <f>IF(D36=0,0,C36/D36-1)</f>
        <v>-1</v>
      </c>
      <c r="H36" s="359"/>
      <c r="I36" s="614">
        <f>I33-I35</f>
        <v>97.520790202904436</v>
      </c>
      <c r="J36" s="357"/>
      <c r="K36" s="488">
        <f>C36-I36</f>
        <v>-97.520790202904436</v>
      </c>
      <c r="L36" s="360">
        <f>IF(I36=0,"NM",C36/I36-1)</f>
        <v>-1</v>
      </c>
      <c r="M36" s="346"/>
      <c r="N36" s="346"/>
      <c r="O36" s="346"/>
      <c r="P36" s="417"/>
      <c r="Q36" s="417"/>
    </row>
    <row r="37" spans="1:17" ht="13.5" customHeight="1" x14ac:dyDescent="0.2">
      <c r="A37" s="501"/>
      <c r="B37" s="346"/>
      <c r="C37" s="351"/>
      <c r="D37" s="632"/>
      <c r="E37" s="353"/>
      <c r="F37" s="352"/>
      <c r="G37" s="354"/>
      <c r="H37" s="346"/>
      <c r="I37" s="351"/>
      <c r="J37" s="353"/>
      <c r="K37" s="352"/>
      <c r="L37" s="505"/>
      <c r="M37" s="346"/>
      <c r="N37" s="346"/>
      <c r="O37" s="346"/>
      <c r="P37" s="417"/>
      <c r="Q37" s="417"/>
    </row>
    <row r="38" spans="1:17" ht="13.5" customHeight="1" x14ac:dyDescent="0.2">
      <c r="A38" s="501" t="s">
        <v>1295</v>
      </c>
      <c r="B38" s="346"/>
      <c r="C38" s="510"/>
      <c r="D38" s="352"/>
      <c r="E38" s="353"/>
      <c r="F38" s="352"/>
      <c r="G38" s="354"/>
      <c r="H38" s="346"/>
      <c r="I38" s="351">
        <v>370.64163321428572</v>
      </c>
      <c r="J38" s="353"/>
      <c r="K38" s="352"/>
      <c r="L38" s="505"/>
      <c r="M38" s="346"/>
      <c r="N38" s="346"/>
      <c r="O38" s="346"/>
      <c r="P38" s="417"/>
      <c r="Q38" s="417"/>
    </row>
    <row r="39" spans="1:17" ht="13.5" customHeight="1" x14ac:dyDescent="0.2">
      <c r="A39" s="355" t="s">
        <v>1382</v>
      </c>
      <c r="B39" s="356"/>
      <c r="C39" s="620"/>
      <c r="D39" s="645"/>
      <c r="E39" s="357"/>
      <c r="F39" s="484"/>
      <c r="G39" s="358"/>
      <c r="H39" s="359"/>
      <c r="I39" s="620">
        <f>I36/I38</f>
        <v>0.26311342672754462</v>
      </c>
      <c r="J39" s="357"/>
      <c r="K39" s="357">
        <f>C39-I39</f>
        <v>-0.26311342672754462</v>
      </c>
      <c r="L39" s="360">
        <f>IF(I39=0,"NM",C39/I39-1)</f>
        <v>-1</v>
      </c>
      <c r="M39" s="346"/>
      <c r="N39" s="346"/>
      <c r="O39" s="346"/>
      <c r="P39" s="417"/>
      <c r="Q39" s="417"/>
    </row>
    <row r="40" spans="1:17" ht="13.5" customHeight="1" x14ac:dyDescent="0.2">
      <c r="A40" s="501"/>
      <c r="B40" s="346"/>
      <c r="C40" s="351"/>
      <c r="D40" s="352"/>
      <c r="E40" s="353"/>
      <c r="F40" s="352"/>
      <c r="G40" s="354"/>
      <c r="H40" s="346"/>
      <c r="I40" s="351"/>
      <c r="J40" s="353"/>
      <c r="K40" s="352"/>
      <c r="L40" s="505"/>
      <c r="M40" s="346"/>
      <c r="N40" s="346"/>
      <c r="O40" s="346"/>
      <c r="P40" s="346"/>
      <c r="Q40" s="346"/>
    </row>
    <row r="41" spans="1:17" ht="13.5" customHeight="1" x14ac:dyDescent="0.2">
      <c r="A41" s="57" t="s">
        <v>220</v>
      </c>
      <c r="B41" s="418"/>
      <c r="C41" s="617"/>
      <c r="D41" s="424"/>
      <c r="E41" s="464"/>
      <c r="F41" s="464"/>
      <c r="G41" s="457"/>
      <c r="H41" s="477"/>
      <c r="I41" s="617"/>
      <c r="J41" s="464"/>
      <c r="K41" s="464"/>
      <c r="L41" s="607"/>
      <c r="M41" s="345"/>
      <c r="N41" s="418"/>
      <c r="O41" s="418"/>
      <c r="P41" s="418"/>
      <c r="Q41" s="418"/>
    </row>
    <row r="42" spans="1:17" ht="13.5" customHeight="1" x14ac:dyDescent="0.2">
      <c r="A42" s="20" t="s">
        <v>221</v>
      </c>
      <c r="B42" s="421"/>
      <c r="C42" s="617">
        <f>C21</f>
        <v>0</v>
      </c>
      <c r="D42" s="424">
        <f>D21</f>
        <v>0</v>
      </c>
      <c r="E42" s="481"/>
      <c r="F42" s="530">
        <f t="shared" ref="F42:F50" si="0">C42-D42</f>
        <v>0</v>
      </c>
      <c r="G42" s="354">
        <f t="shared" ref="G42:G51" si="1">IF(D42=0,0,C42/D42-1)</f>
        <v>0</v>
      </c>
      <c r="H42" s="421"/>
      <c r="I42" s="617"/>
      <c r="J42" s="534"/>
      <c r="K42" s="528">
        <f t="shared" ref="K42:K51" si="2">C42-I42</f>
        <v>0</v>
      </c>
      <c r="L42" s="505" t="str">
        <f t="shared" ref="L42:L51" si="3">IF(I42=0,"NM",C42/I42-1)</f>
        <v>NM</v>
      </c>
      <c r="M42" s="345"/>
      <c r="N42" s="421"/>
      <c r="O42" s="418"/>
      <c r="P42" s="418"/>
      <c r="Q42" s="418"/>
    </row>
    <row r="43" spans="1:17" ht="13.5" customHeight="1" x14ac:dyDescent="0.2">
      <c r="A43" s="188" t="s">
        <v>1736</v>
      </c>
      <c r="B43" s="418"/>
      <c r="C43" s="640">
        <f>C29</f>
        <v>0</v>
      </c>
      <c r="D43" s="423">
        <f>MAR!BI76</f>
        <v>-3</v>
      </c>
      <c r="E43" s="472"/>
      <c r="F43" s="528">
        <f t="shared" si="0"/>
        <v>3</v>
      </c>
      <c r="G43" s="354">
        <f t="shared" si="1"/>
        <v>-1</v>
      </c>
      <c r="H43" s="418"/>
      <c r="I43" s="616"/>
      <c r="J43" s="471"/>
      <c r="K43" s="528">
        <f t="shared" si="2"/>
        <v>0</v>
      </c>
      <c r="L43" s="505" t="str">
        <f t="shared" si="3"/>
        <v>NM</v>
      </c>
      <c r="M43" s="345"/>
      <c r="N43" s="418"/>
      <c r="O43" s="418"/>
      <c r="P43" s="418"/>
      <c r="Q43" s="418"/>
    </row>
    <row r="44" spans="1:17" ht="13.5" customHeight="1" x14ac:dyDescent="0.2">
      <c r="A44" s="188" t="s">
        <v>1737</v>
      </c>
      <c r="B44" s="418"/>
      <c r="C44" s="644"/>
      <c r="D44" s="423">
        <f>MAR!BI77</f>
        <v>4</v>
      </c>
      <c r="E44" s="472"/>
      <c r="F44" s="528">
        <f t="shared" si="0"/>
        <v>-4</v>
      </c>
      <c r="G44" s="354">
        <f t="shared" si="1"/>
        <v>-1</v>
      </c>
      <c r="H44" s="418"/>
      <c r="I44" s="616"/>
      <c r="J44" s="471"/>
      <c r="K44" s="528">
        <f t="shared" si="2"/>
        <v>0</v>
      </c>
      <c r="L44" s="505" t="str">
        <f t="shared" si="3"/>
        <v>NM</v>
      </c>
      <c r="M44" s="345"/>
      <c r="N44" s="418"/>
      <c r="O44" s="418"/>
      <c r="P44" s="422"/>
      <c r="Q44" s="422"/>
    </row>
    <row r="45" spans="1:17" ht="13.5" customHeight="1" x14ac:dyDescent="0.2">
      <c r="A45" s="188" t="s">
        <v>371</v>
      </c>
      <c r="B45" s="418"/>
      <c r="C45" s="644"/>
      <c r="D45" s="423">
        <f>MAR!BI78</f>
        <v>7</v>
      </c>
      <c r="E45" s="424"/>
      <c r="F45" s="528">
        <f t="shared" si="0"/>
        <v>-7</v>
      </c>
      <c r="G45" s="354">
        <f t="shared" si="1"/>
        <v>-1</v>
      </c>
      <c r="H45" s="477"/>
      <c r="I45" s="616"/>
      <c r="J45" s="365"/>
      <c r="K45" s="528">
        <f t="shared" si="2"/>
        <v>0</v>
      </c>
      <c r="L45" s="505" t="str">
        <f t="shared" si="3"/>
        <v>NM</v>
      </c>
      <c r="M45" s="345"/>
      <c r="N45" s="418"/>
      <c r="O45" s="418"/>
      <c r="P45" s="423"/>
      <c r="Q45" s="423"/>
    </row>
    <row r="46" spans="1:17" ht="13.5" customHeight="1" x14ac:dyDescent="0.2">
      <c r="A46" s="188" t="s">
        <v>1555</v>
      </c>
      <c r="B46" s="418"/>
      <c r="C46" s="644"/>
      <c r="D46" s="423">
        <f>MAR!BI79</f>
        <v>6</v>
      </c>
      <c r="E46" s="472"/>
      <c r="F46" s="528">
        <f t="shared" si="0"/>
        <v>-6</v>
      </c>
      <c r="G46" s="354">
        <f t="shared" si="1"/>
        <v>-1</v>
      </c>
      <c r="H46" s="418"/>
      <c r="I46" s="616"/>
      <c r="J46" s="471"/>
      <c r="K46" s="528">
        <f t="shared" si="2"/>
        <v>0</v>
      </c>
      <c r="L46" s="505" t="str">
        <f t="shared" si="3"/>
        <v>NM</v>
      </c>
      <c r="M46" s="345"/>
      <c r="N46" s="418"/>
      <c r="O46" s="418"/>
      <c r="P46" s="418"/>
      <c r="Q46" s="418"/>
    </row>
    <row r="47" spans="1:17" ht="13.5" customHeight="1" x14ac:dyDescent="0.2">
      <c r="A47" s="188" t="s">
        <v>228</v>
      </c>
      <c r="B47" s="418"/>
      <c r="C47" s="640">
        <f>C28</f>
        <v>0</v>
      </c>
      <c r="D47" s="423">
        <f>MAR!BI80</f>
        <v>3</v>
      </c>
      <c r="E47" s="472"/>
      <c r="F47" s="528">
        <f t="shared" si="0"/>
        <v>-3</v>
      </c>
      <c r="G47" s="354">
        <f t="shared" si="1"/>
        <v>-1</v>
      </c>
      <c r="H47" s="418"/>
      <c r="I47" s="616"/>
      <c r="J47" s="471"/>
      <c r="K47" s="528">
        <f t="shared" si="2"/>
        <v>0</v>
      </c>
      <c r="L47" s="505" t="str">
        <f t="shared" si="3"/>
        <v>NM</v>
      </c>
      <c r="M47" s="345"/>
      <c r="N47" s="418"/>
      <c r="O47" s="418"/>
      <c r="P47" s="420"/>
      <c r="Q47" s="420"/>
    </row>
    <row r="48" spans="1:17" ht="13.5" customHeight="1" x14ac:dyDescent="0.2">
      <c r="A48" s="188" t="s">
        <v>229</v>
      </c>
      <c r="B48" s="418"/>
      <c r="C48" s="644"/>
      <c r="D48" s="423">
        <f>MAR!BI81</f>
        <v>-2</v>
      </c>
      <c r="E48" s="424"/>
      <c r="F48" s="528">
        <f t="shared" si="0"/>
        <v>2</v>
      </c>
      <c r="G48" s="354">
        <f t="shared" si="1"/>
        <v>-1</v>
      </c>
      <c r="H48" s="477"/>
      <c r="I48" s="616"/>
      <c r="J48" s="365"/>
      <c r="K48" s="528">
        <f t="shared" si="2"/>
        <v>0</v>
      </c>
      <c r="L48" s="505" t="str">
        <f t="shared" si="3"/>
        <v>NM</v>
      </c>
      <c r="M48" s="345"/>
      <c r="N48" s="418"/>
      <c r="O48" s="418"/>
      <c r="P48" s="418"/>
      <c r="Q48" s="418"/>
    </row>
    <row r="49" spans="1:17" ht="13.5" customHeight="1" x14ac:dyDescent="0.2">
      <c r="A49" s="188" t="s">
        <v>230</v>
      </c>
      <c r="B49" s="418"/>
      <c r="C49" s="644"/>
      <c r="D49" s="423">
        <f>MAR!BI82</f>
        <v>0</v>
      </c>
      <c r="E49" s="472"/>
      <c r="F49" s="528">
        <f t="shared" si="0"/>
        <v>0</v>
      </c>
      <c r="G49" s="354">
        <f t="shared" si="1"/>
        <v>0</v>
      </c>
      <c r="H49" s="418"/>
      <c r="I49" s="616"/>
      <c r="J49" s="471"/>
      <c r="K49" s="528">
        <f t="shared" si="2"/>
        <v>0</v>
      </c>
      <c r="L49" s="505" t="str">
        <f t="shared" si="3"/>
        <v>NM</v>
      </c>
      <c r="M49" s="345"/>
      <c r="N49" s="418"/>
      <c r="O49" s="418"/>
      <c r="P49" s="419"/>
      <c r="Q49" s="419"/>
    </row>
    <row r="50" spans="1:17" ht="13.5" customHeight="1" x14ac:dyDescent="0.2">
      <c r="A50" s="188" t="s">
        <v>231</v>
      </c>
      <c r="B50" s="418"/>
      <c r="C50" s="644"/>
      <c r="D50" s="423">
        <f>MAR!BI83</f>
        <v>0</v>
      </c>
      <c r="E50" s="472"/>
      <c r="F50" s="528">
        <f t="shared" si="0"/>
        <v>0</v>
      </c>
      <c r="G50" s="354">
        <f t="shared" si="1"/>
        <v>0</v>
      </c>
      <c r="H50" s="418"/>
      <c r="I50" s="616"/>
      <c r="J50" s="471"/>
      <c r="K50" s="528">
        <f t="shared" si="2"/>
        <v>0</v>
      </c>
      <c r="L50" s="505" t="str">
        <f t="shared" si="3"/>
        <v>NM</v>
      </c>
      <c r="M50" s="345"/>
      <c r="N50" s="418"/>
      <c r="O50" s="418"/>
      <c r="P50" s="420"/>
      <c r="Q50" s="420"/>
    </row>
    <row r="51" spans="1:17" ht="13.5" customHeight="1" x14ac:dyDescent="0.2">
      <c r="A51" s="355" t="s">
        <v>232</v>
      </c>
      <c r="B51" s="356"/>
      <c r="C51" s="614">
        <f>SUM(C42:C50)</f>
        <v>0</v>
      </c>
      <c r="D51" s="489">
        <f>SUM(D42:D50)</f>
        <v>15</v>
      </c>
      <c r="E51" s="357"/>
      <c r="F51" s="529">
        <f>SUM(F42:F50)</f>
        <v>-15</v>
      </c>
      <c r="G51" s="358">
        <f t="shared" si="1"/>
        <v>-1</v>
      </c>
      <c r="H51" s="359"/>
      <c r="I51" s="614"/>
      <c r="J51" s="529"/>
      <c r="K51" s="529">
        <f t="shared" si="2"/>
        <v>0</v>
      </c>
      <c r="L51" s="360" t="str">
        <f t="shared" si="3"/>
        <v>NM</v>
      </c>
      <c r="M51" s="345"/>
      <c r="N51" s="418"/>
      <c r="O51" s="418"/>
      <c r="P51" s="419"/>
      <c r="Q51" s="419"/>
    </row>
    <row r="108" ht="6.75" customHeight="1" x14ac:dyDescent="0.2"/>
    <row r="130" ht="5.25" customHeight="1" x14ac:dyDescent="0.2"/>
    <row r="133" ht="5.25" customHeight="1" x14ac:dyDescent="0.2"/>
    <row r="139" ht="5.25" customHeight="1" x14ac:dyDescent="0.2"/>
    <row r="145" ht="4.5" customHeight="1" x14ac:dyDescent="0.2"/>
  </sheetData>
  <mergeCells count="2">
    <mergeCell ref="C5:G5"/>
    <mergeCell ref="I5:L5"/>
  </mergeCells>
  <phoneticPr fontId="57" type="noConversion"/>
  <pageMargins left="0.5" right="0.5" top="0.5" bottom="0.5" header="0.5" footer="0.5"/>
  <pageSetup scale="74" orientation="portrait" horizontalDpi="1200" verticalDpi="1200" r:id="rId1"/>
  <headerFooter alignWithMargins="0"/>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autoPageBreaks="0"/>
  </sheetPr>
  <dimension ref="A1:L145"/>
  <sheetViews>
    <sheetView zoomScale="85" zoomScaleNormal="85" zoomScaleSheetLayoutView="85" workbookViewId="0"/>
  </sheetViews>
  <sheetFormatPr defaultColWidth="12" defaultRowHeight="13.5" customHeight="1" x14ac:dyDescent="0.2"/>
  <cols>
    <col min="1" max="1" width="39.33203125" customWidth="1"/>
    <col min="2" max="2" width="2" customWidth="1"/>
    <col min="3" max="4" width="12" customWidth="1"/>
    <col min="5" max="5" width="2" customWidth="1"/>
    <col min="6" max="7" width="12" customWidth="1"/>
    <col min="8" max="8" width="2" customWidth="1"/>
    <col min="9" max="9" width="12" customWidth="1"/>
    <col min="10" max="10" width="2" customWidth="1"/>
    <col min="11" max="13" width="12" customWidth="1"/>
    <col min="14" max="14" width="14.1640625" bestFit="1" customWidth="1"/>
    <col min="15" max="15" width="9.33203125" customWidth="1"/>
    <col min="16" max="20" width="12" customWidth="1"/>
    <col min="21" max="21" width="2" customWidth="1"/>
    <col min="22" max="33" width="12" customWidth="1"/>
    <col min="34" max="34" width="2.1640625" customWidth="1"/>
    <col min="35" max="35" width="12" customWidth="1"/>
    <col min="36" max="36" width="18.6640625" customWidth="1"/>
    <col min="37" max="48" width="12" customWidth="1"/>
    <col min="49" max="49" width="5.33203125" customWidth="1"/>
    <col min="50" max="50" width="18.5" customWidth="1"/>
  </cols>
  <sheetData>
    <row r="1" spans="1:12" ht="13.5" customHeight="1" x14ac:dyDescent="0.2">
      <c r="A1" s="344" t="s">
        <v>1490</v>
      </c>
      <c r="B1" s="345"/>
      <c r="C1" s="345"/>
      <c r="D1" s="345"/>
      <c r="E1" s="345"/>
      <c r="F1" s="345"/>
      <c r="G1" s="345"/>
      <c r="H1" s="345"/>
      <c r="I1" s="345"/>
      <c r="J1" s="345"/>
      <c r="K1" s="345"/>
      <c r="L1" s="345"/>
    </row>
    <row r="2" spans="1:12" ht="13.5" customHeight="1" x14ac:dyDescent="0.2">
      <c r="A2" s="344" t="s">
        <v>1639</v>
      </c>
      <c r="B2" s="345"/>
      <c r="C2" s="345"/>
      <c r="D2" s="345"/>
      <c r="E2" s="345"/>
      <c r="F2" s="345"/>
      <c r="G2" s="345"/>
      <c r="H2" s="345"/>
      <c r="I2" s="345"/>
      <c r="J2" s="345"/>
      <c r="K2" s="345"/>
      <c r="L2" s="345"/>
    </row>
    <row r="3" spans="1:12" ht="13.5" customHeight="1" x14ac:dyDescent="0.2">
      <c r="A3" s="345"/>
      <c r="B3" s="345"/>
      <c r="C3" s="345"/>
      <c r="D3" s="345"/>
      <c r="E3" s="345"/>
      <c r="F3" s="345"/>
      <c r="G3" s="345"/>
      <c r="H3" s="345"/>
      <c r="I3" s="345"/>
      <c r="J3" s="345"/>
      <c r="K3" s="345"/>
      <c r="L3" s="345"/>
    </row>
    <row r="4" spans="1:12" ht="13.5" customHeight="1" thickBot="1" x14ac:dyDescent="0.25">
      <c r="A4" s="475" t="s">
        <v>240</v>
      </c>
      <c r="B4" s="345"/>
      <c r="C4" s="345"/>
      <c r="D4" s="345"/>
      <c r="E4" s="345"/>
      <c r="F4" s="345"/>
      <c r="G4" s="345"/>
      <c r="H4" s="345"/>
      <c r="I4" s="345"/>
      <c r="J4" s="345"/>
      <c r="K4" s="345"/>
      <c r="L4" s="345"/>
    </row>
    <row r="5" spans="1:12" ht="13.5" customHeight="1" x14ac:dyDescent="0.2">
      <c r="A5" s="513"/>
      <c r="B5" s="514"/>
      <c r="C5" s="3948" t="s">
        <v>1149</v>
      </c>
      <c r="D5" s="3948"/>
      <c r="E5" s="3948"/>
      <c r="F5" s="3948"/>
      <c r="G5" s="3948"/>
      <c r="H5" s="514"/>
      <c r="I5" s="3948" t="s">
        <v>1755</v>
      </c>
      <c r="J5" s="3948"/>
      <c r="K5" s="3948"/>
      <c r="L5" s="3948"/>
    </row>
    <row r="6" spans="1:12" ht="13.5" customHeight="1" x14ac:dyDescent="0.2">
      <c r="A6" s="515"/>
      <c r="B6" s="511"/>
      <c r="C6" s="511"/>
      <c r="D6" s="511"/>
      <c r="E6" s="511"/>
      <c r="F6" s="512" t="s">
        <v>241</v>
      </c>
      <c r="G6" s="512"/>
      <c r="H6" s="511"/>
      <c r="I6" s="511"/>
      <c r="J6" s="511"/>
      <c r="K6" s="512" t="s">
        <v>241</v>
      </c>
      <c r="L6" s="516"/>
    </row>
    <row r="7" spans="1:12" ht="13.5" customHeight="1" thickBot="1" x14ac:dyDescent="0.25">
      <c r="A7" s="517"/>
      <c r="B7" s="518"/>
      <c r="C7" s="521" t="s">
        <v>644</v>
      </c>
      <c r="D7" s="519" t="s">
        <v>848</v>
      </c>
      <c r="E7" s="519"/>
      <c r="F7" s="519" t="s">
        <v>1756</v>
      </c>
      <c r="G7" s="519" t="s">
        <v>575</v>
      </c>
      <c r="H7" s="518"/>
      <c r="I7" s="521" t="s">
        <v>853</v>
      </c>
      <c r="J7" s="519"/>
      <c r="K7" s="519" t="s">
        <v>1756</v>
      </c>
      <c r="L7" s="520" t="s">
        <v>575</v>
      </c>
    </row>
    <row r="8" spans="1:12" ht="13.5" customHeight="1" x14ac:dyDescent="0.2">
      <c r="A8" s="502" t="s">
        <v>125</v>
      </c>
      <c r="B8" s="346"/>
      <c r="C8" s="348"/>
      <c r="D8" s="346"/>
      <c r="E8" s="346"/>
      <c r="F8" s="346"/>
      <c r="G8" s="346"/>
      <c r="H8" s="346"/>
      <c r="I8" s="348"/>
      <c r="J8" s="346"/>
      <c r="K8" s="346"/>
      <c r="L8" s="503"/>
    </row>
    <row r="9" spans="1:12" ht="13.5" customHeight="1" x14ac:dyDescent="0.2">
      <c r="A9" s="504" t="s">
        <v>165</v>
      </c>
      <c r="B9" s="346"/>
      <c r="C9" s="523">
        <f>134+103+42</f>
        <v>279</v>
      </c>
      <c r="D9" s="528">
        <f>MAR!BG10</f>
        <v>256</v>
      </c>
      <c r="E9" s="352"/>
      <c r="F9" s="352">
        <f>C9-D9</f>
        <v>23</v>
      </c>
      <c r="G9" s="354">
        <f>IF(D9=0,0,C9/D9-1)</f>
        <v>8.984375E-2</v>
      </c>
      <c r="H9" s="346"/>
      <c r="I9" s="525">
        <v>287.54516808888582</v>
      </c>
      <c r="J9" s="346"/>
      <c r="K9" s="532">
        <f>C9-I9</f>
        <v>-8.5451680888858164</v>
      </c>
      <c r="L9" s="505">
        <f>IF(I9=0,"NM",C9/I9-1)</f>
        <v>-2.9717654953757888E-2</v>
      </c>
    </row>
    <row r="10" spans="1:12" ht="13.5" customHeight="1" x14ac:dyDescent="0.2">
      <c r="A10" s="504" t="s">
        <v>1396</v>
      </c>
      <c r="B10" s="346"/>
      <c r="C10" s="523">
        <v>224</v>
      </c>
      <c r="D10" s="528">
        <f>MAR!BG11</f>
        <v>229</v>
      </c>
      <c r="E10" s="353"/>
      <c r="F10" s="352">
        <f>C10-D10</f>
        <v>-5</v>
      </c>
      <c r="G10" s="354">
        <f>IF(D10=0,0,C10/D10-1)</f>
        <v>-2.183406113537123E-2</v>
      </c>
      <c r="H10" s="349"/>
      <c r="I10" s="525">
        <v>244.13255077127073</v>
      </c>
      <c r="J10" s="350"/>
      <c r="K10" s="532">
        <f>C10-I10</f>
        <v>-20.132550771270729</v>
      </c>
      <c r="L10" s="505">
        <f>IF(I10=0,"NM",C10/I10-1)</f>
        <v>-8.2465655266646731E-2</v>
      </c>
    </row>
    <row r="11" spans="1:12" ht="13.5" customHeight="1" x14ac:dyDescent="0.2">
      <c r="A11" s="504" t="s">
        <v>576</v>
      </c>
      <c r="B11" s="346"/>
      <c r="C11" s="523">
        <v>276</v>
      </c>
      <c r="D11" s="528">
        <f>MAR!BG13</f>
        <v>0</v>
      </c>
      <c r="E11" s="353"/>
      <c r="F11" s="352">
        <f>C11-D11</f>
        <v>276</v>
      </c>
      <c r="G11" s="354">
        <f>IF(D11=0,0,C11/D11-1)</f>
        <v>0</v>
      </c>
      <c r="H11" s="346"/>
      <c r="I11" s="525">
        <v>324.88040000000001</v>
      </c>
      <c r="J11" s="353"/>
      <c r="K11" s="532">
        <f>C11-I11</f>
        <v>-48.880400000000009</v>
      </c>
      <c r="L11" s="505">
        <f>IF(I11=0,"NM",C11/I11-1)</f>
        <v>-0.15045659879758833</v>
      </c>
    </row>
    <row r="12" spans="1:12" ht="13.5" customHeight="1" x14ac:dyDescent="0.2">
      <c r="A12" s="355" t="s">
        <v>1614</v>
      </c>
      <c r="B12" s="356"/>
      <c r="C12" s="524">
        <f>SUM(C9:C11)</f>
        <v>779</v>
      </c>
      <c r="D12" s="529">
        <f>SUM(D9:D11)</f>
        <v>485</v>
      </c>
      <c r="E12" s="489"/>
      <c r="F12" s="489">
        <f>SUM(F10:F11)</f>
        <v>271</v>
      </c>
      <c r="G12" s="358">
        <f>IF(D12=0,0,C12/D12-1)</f>
        <v>0.60618556701030935</v>
      </c>
      <c r="H12" s="359"/>
      <c r="I12" s="524">
        <v>856.55811886015658</v>
      </c>
      <c r="J12" s="357"/>
      <c r="K12" s="488">
        <f>SUM(K9:K11)</f>
        <v>-77.558118860156554</v>
      </c>
      <c r="L12" s="360">
        <f>C12/I12-1</f>
        <v>-9.0546242166690494E-2</v>
      </c>
    </row>
    <row r="13" spans="1:12" ht="13.5" customHeight="1" x14ac:dyDescent="0.2">
      <c r="A13" s="501"/>
      <c r="B13" s="346"/>
      <c r="C13" s="525"/>
      <c r="D13" s="528"/>
      <c r="E13" s="352"/>
      <c r="F13" s="352"/>
      <c r="G13" s="361"/>
      <c r="H13" s="346"/>
      <c r="I13" s="525"/>
      <c r="J13" s="346"/>
      <c r="K13" s="532"/>
      <c r="L13" s="506"/>
    </row>
    <row r="14" spans="1:12" ht="13.5" customHeight="1" x14ac:dyDescent="0.2">
      <c r="A14" s="502" t="s">
        <v>1913</v>
      </c>
      <c r="B14" s="346"/>
      <c r="C14" s="525"/>
      <c r="D14" s="528"/>
      <c r="E14" s="352"/>
      <c r="F14" s="352"/>
      <c r="G14" s="361"/>
      <c r="H14" s="346"/>
      <c r="I14" s="525"/>
      <c r="J14" s="346"/>
      <c r="K14" s="532"/>
      <c r="L14" s="506"/>
    </row>
    <row r="15" spans="1:12" ht="13.5" customHeight="1" x14ac:dyDescent="0.2">
      <c r="A15" s="507" t="s">
        <v>1368</v>
      </c>
      <c r="B15" s="346"/>
      <c r="C15" s="523">
        <v>204</v>
      </c>
      <c r="D15" s="528">
        <f>MAR!BG26</f>
        <v>217</v>
      </c>
      <c r="E15" s="352"/>
      <c r="F15" s="352">
        <f>C15-D15</f>
        <v>-13</v>
      </c>
      <c r="G15" s="354">
        <f>IF(D15=0,0,C15/D15-1)</f>
        <v>-5.9907834101382451E-2</v>
      </c>
      <c r="H15" s="346"/>
      <c r="I15" s="525">
        <v>215.46333308287291</v>
      </c>
      <c r="J15" s="346"/>
      <c r="K15" s="532">
        <f>C15-I15</f>
        <v>-11.463333082872907</v>
      </c>
      <c r="L15" s="505">
        <f>IF(I15=0,"NM",C15/I15-1)</f>
        <v>-5.3203173453479469E-2</v>
      </c>
    </row>
    <row r="16" spans="1:12" ht="13.5" customHeight="1" x14ac:dyDescent="0.2">
      <c r="A16" s="507" t="s">
        <v>1369</v>
      </c>
      <c r="B16" s="346"/>
      <c r="C16" s="523">
        <v>225</v>
      </c>
      <c r="D16" s="528">
        <f>MAR!BG27</f>
        <v>0</v>
      </c>
      <c r="E16" s="352"/>
      <c r="F16" s="352">
        <f>C16-D16</f>
        <v>225</v>
      </c>
      <c r="G16" s="354">
        <f>IF(D16=0,0,C16/D16-1)</f>
        <v>0</v>
      </c>
      <c r="H16" s="346"/>
      <c r="I16" s="525">
        <v>274.98824000000002</v>
      </c>
      <c r="J16" s="346"/>
      <c r="K16" s="532">
        <f>C16-I16</f>
        <v>-49.988240000000019</v>
      </c>
      <c r="L16" s="505">
        <f>IF(I16=0,"NM",C16/I16-1)</f>
        <v>-0.18178319189213332</v>
      </c>
    </row>
    <row r="17" spans="1:12" ht="13.5" customHeight="1" x14ac:dyDescent="0.2">
      <c r="A17" s="507" t="s">
        <v>786</v>
      </c>
      <c r="B17" s="346"/>
      <c r="C17" s="523">
        <v>159</v>
      </c>
      <c r="D17" s="528"/>
      <c r="E17" s="352"/>
      <c r="F17" s="352"/>
      <c r="G17" s="354"/>
      <c r="H17" s="346"/>
      <c r="I17" s="525">
        <v>163.26239358132938</v>
      </c>
      <c r="J17" s="346"/>
      <c r="K17" s="532">
        <f>C17-I17</f>
        <v>-4.262393581329377</v>
      </c>
      <c r="L17" s="505">
        <f>IF(I17=0,"NM",C17/I17-1)</f>
        <v>-2.6107626427797404E-2</v>
      </c>
    </row>
    <row r="18" spans="1:12" ht="13.5" customHeight="1" x14ac:dyDescent="0.2">
      <c r="A18" s="507" t="s">
        <v>192</v>
      </c>
      <c r="B18" s="346"/>
      <c r="C18" s="523">
        <v>-35</v>
      </c>
      <c r="D18" s="528"/>
      <c r="E18" s="352"/>
      <c r="F18" s="352"/>
      <c r="G18" s="354"/>
      <c r="H18" s="346"/>
      <c r="I18" s="525">
        <v>-42.75</v>
      </c>
      <c r="J18" s="346"/>
      <c r="K18" s="532">
        <f>C18-I18</f>
        <v>7.75</v>
      </c>
      <c r="L18" s="505">
        <f>IF(I18=0,"NM",C18/I18-1)</f>
        <v>-0.18128654970760238</v>
      </c>
    </row>
    <row r="19" spans="1:12" ht="13.5" customHeight="1" x14ac:dyDescent="0.2">
      <c r="A19" s="355" t="s">
        <v>1913</v>
      </c>
      <c r="B19" s="356"/>
      <c r="C19" s="524">
        <f>SUM(C15:C18)</f>
        <v>553</v>
      </c>
      <c r="D19" s="529">
        <f>SUM(D15:D18)</f>
        <v>217</v>
      </c>
      <c r="E19" s="488"/>
      <c r="F19" s="357">
        <f>C19-D19</f>
        <v>336</v>
      </c>
      <c r="G19" s="358">
        <f>IF(D19=0,0,C19/D19-1)</f>
        <v>1.5483870967741935</v>
      </c>
      <c r="H19" s="359"/>
      <c r="I19" s="524">
        <v>610.9639666642023</v>
      </c>
      <c r="J19" s="357"/>
      <c r="K19" s="488">
        <f>SUM(K15:K18)</f>
        <v>-57.963966664202303</v>
      </c>
      <c r="L19" s="360">
        <f>C19/I19-1</f>
        <v>-9.4872970955520275E-2</v>
      </c>
    </row>
    <row r="20" spans="1:12" ht="13.5" customHeight="1" x14ac:dyDescent="0.2">
      <c r="A20" s="507"/>
      <c r="B20" s="346"/>
      <c r="C20" s="525"/>
      <c r="D20" s="528"/>
      <c r="E20" s="346"/>
      <c r="F20" s="346"/>
      <c r="G20" s="361"/>
      <c r="H20" s="346"/>
      <c r="I20" s="525"/>
      <c r="J20" s="346"/>
      <c r="K20" s="532"/>
      <c r="L20" s="506"/>
    </row>
    <row r="21" spans="1:12" ht="13.5" customHeight="1" x14ac:dyDescent="0.2">
      <c r="A21" s="508" t="s">
        <v>1863</v>
      </c>
      <c r="B21" s="362"/>
      <c r="C21" s="366">
        <f>C12-C19</f>
        <v>226</v>
      </c>
      <c r="D21" s="530"/>
      <c r="E21" s="362"/>
      <c r="F21" s="485"/>
      <c r="G21" s="482"/>
      <c r="H21" s="362"/>
      <c r="I21" s="366">
        <v>245.59415219595428</v>
      </c>
      <c r="J21" s="362"/>
      <c r="K21" s="364">
        <f>C21-I21</f>
        <v>-19.59415219595428</v>
      </c>
      <c r="L21" s="509">
        <f>IF(I21=0,"NM",C21/I21-1)</f>
        <v>-7.9782649630519398E-2</v>
      </c>
    </row>
    <row r="22" spans="1:12" ht="13.5" customHeight="1" x14ac:dyDescent="0.2">
      <c r="A22" s="507"/>
      <c r="B22" s="346"/>
      <c r="C22" s="525"/>
      <c r="D22" s="528"/>
      <c r="E22" s="346"/>
      <c r="F22" s="352"/>
      <c r="G22" s="361"/>
      <c r="H22" s="346"/>
      <c r="I22" s="525"/>
      <c r="J22" s="346"/>
      <c r="K22" s="532"/>
      <c r="L22" s="506"/>
    </row>
    <row r="23" spans="1:12" ht="13.5" customHeight="1" x14ac:dyDescent="0.2">
      <c r="A23" s="507" t="s">
        <v>1342</v>
      </c>
      <c r="B23" s="346"/>
      <c r="C23" s="523">
        <v>35</v>
      </c>
      <c r="D23" s="528"/>
      <c r="E23" s="346"/>
      <c r="F23" s="352"/>
      <c r="G23" s="354"/>
      <c r="H23" s="346"/>
      <c r="I23" s="525">
        <v>42.75</v>
      </c>
      <c r="J23" s="346"/>
      <c r="K23" s="532">
        <f>C23-I23</f>
        <v>-7.75</v>
      </c>
      <c r="L23" s="505">
        <f>IF(I23=0,"NM",C23/I23-1)</f>
        <v>-0.18128654970760238</v>
      </c>
    </row>
    <row r="24" spans="1:12" ht="13.5" customHeight="1" x14ac:dyDescent="0.2">
      <c r="A24" s="508" t="s">
        <v>1343</v>
      </c>
      <c r="B24" s="362"/>
      <c r="C24" s="526">
        <f>C21-C23</f>
        <v>191</v>
      </c>
      <c r="D24" s="531"/>
      <c r="E24" s="362"/>
      <c r="F24" s="485"/>
      <c r="G24" s="482"/>
      <c r="H24" s="362"/>
      <c r="I24" s="526">
        <v>202.84415219595428</v>
      </c>
      <c r="J24" s="362"/>
      <c r="K24" s="364">
        <f>C24-I24</f>
        <v>-11.84415219595428</v>
      </c>
      <c r="L24" s="509">
        <f>IF(I24=0,"NM",C24/I24-1)</f>
        <v>-5.8390404986940037E-2</v>
      </c>
    </row>
    <row r="25" spans="1:12" ht="13.5" customHeight="1" x14ac:dyDescent="0.2">
      <c r="A25" s="508"/>
      <c r="B25" s="346"/>
      <c r="C25" s="526"/>
      <c r="D25" s="531"/>
      <c r="E25" s="346"/>
      <c r="F25" s="352"/>
      <c r="G25" s="361"/>
      <c r="H25" s="346"/>
      <c r="I25" s="526"/>
      <c r="J25" s="346"/>
      <c r="K25" s="532"/>
      <c r="L25" s="506"/>
    </row>
    <row r="26" spans="1:12" ht="13.5" customHeight="1" x14ac:dyDescent="0.2">
      <c r="A26" s="507" t="s">
        <v>70</v>
      </c>
      <c r="B26" s="346"/>
      <c r="C26" s="523">
        <v>-41</v>
      </c>
      <c r="D26" s="528">
        <f>MAR!BG39</f>
        <v>-34</v>
      </c>
      <c r="E26" s="346"/>
      <c r="F26" s="352">
        <f>C26-D26</f>
        <v>-7</v>
      </c>
      <c r="G26" s="354">
        <f>IF(D26=0,0,C26/D26-1)</f>
        <v>0.20588235294117641</v>
      </c>
      <c r="H26" s="346"/>
      <c r="I26" s="525">
        <v>-50.693399999999997</v>
      </c>
      <c r="J26" s="346"/>
      <c r="K26" s="532">
        <f>C26-I26</f>
        <v>9.6933999999999969</v>
      </c>
      <c r="L26" s="505">
        <f>IF(I26=0,"NM",C26/I26-1)</f>
        <v>-0.19121621355048191</v>
      </c>
    </row>
    <row r="27" spans="1:12" ht="13.5" customHeight="1" x14ac:dyDescent="0.2">
      <c r="A27" s="507" t="s">
        <v>1555</v>
      </c>
      <c r="B27" s="346"/>
      <c r="C27" s="527">
        <v>4</v>
      </c>
      <c r="D27" s="528">
        <f>MAR!BG40</f>
        <v>6</v>
      </c>
      <c r="E27" s="346"/>
      <c r="F27" s="352">
        <f>C27-D27</f>
        <v>-2</v>
      </c>
      <c r="G27" s="354">
        <f>IF(D27=0,0,C27/D27-1)</f>
        <v>-0.33333333333333337</v>
      </c>
      <c r="H27" s="346"/>
      <c r="I27" s="235">
        <v>12.155429695404862</v>
      </c>
      <c r="J27" s="346"/>
      <c r="K27" s="532">
        <f>C27-I27</f>
        <v>-8.1554296954048624</v>
      </c>
      <c r="L27" s="505">
        <f>IF(I27=0,"NM",C27/I27-1)</f>
        <v>-0.67092895107507988</v>
      </c>
    </row>
    <row r="28" spans="1:12" ht="13.5" customHeight="1" x14ac:dyDescent="0.2">
      <c r="A28" s="507" t="s">
        <v>1293</v>
      </c>
      <c r="B28" s="346"/>
      <c r="C28" s="523">
        <v>2</v>
      </c>
      <c r="D28" s="528">
        <f>MAR!BL38</f>
        <v>2</v>
      </c>
      <c r="E28" s="346"/>
      <c r="F28" s="352">
        <f>C28-D28</f>
        <v>0</v>
      </c>
      <c r="G28" s="354">
        <f>IF(D28=0,0,C28/D28-1)</f>
        <v>0</v>
      </c>
      <c r="H28" s="346"/>
      <c r="I28" s="525">
        <v>5</v>
      </c>
      <c r="J28" s="346"/>
      <c r="K28" s="532">
        <f>C28-I28</f>
        <v>-3</v>
      </c>
      <c r="L28" s="505">
        <f>IF(I28=0,"NM",C28/I28-1)</f>
        <v>-0.6</v>
      </c>
    </row>
    <row r="29" spans="1:12" ht="13.5" customHeight="1" x14ac:dyDescent="0.2">
      <c r="A29" s="507" t="s">
        <v>1294</v>
      </c>
      <c r="B29" s="346"/>
      <c r="C29" s="523">
        <v>-4</v>
      </c>
      <c r="D29" s="528">
        <f>MAR!BL42</f>
        <v>-4</v>
      </c>
      <c r="E29" s="346"/>
      <c r="F29" s="352">
        <f>C29-D29</f>
        <v>0</v>
      </c>
      <c r="G29" s="354">
        <f>IF(D29=0,0,C29/D29-1)</f>
        <v>0</v>
      </c>
      <c r="H29" s="346"/>
      <c r="I29" s="525">
        <v>-5.15</v>
      </c>
      <c r="J29" s="346"/>
      <c r="K29" s="532">
        <f>C29-I29</f>
        <v>1.1500000000000004</v>
      </c>
      <c r="L29" s="505">
        <f>IF(I29=0,"NM",C29/I29-1)</f>
        <v>-0.22330097087378642</v>
      </c>
    </row>
    <row r="30" spans="1:12" ht="13.5" customHeight="1" x14ac:dyDescent="0.2">
      <c r="A30" s="502" t="s">
        <v>642</v>
      </c>
      <c r="B30" s="362"/>
      <c r="C30" s="526">
        <f>SUM(C24:C29)</f>
        <v>152</v>
      </c>
      <c r="D30" s="530">
        <f>SUM(D24:D29)</f>
        <v>-30</v>
      </c>
      <c r="E30" s="362"/>
      <c r="F30" s="485">
        <f>C30-D30</f>
        <v>182</v>
      </c>
      <c r="G30" s="482">
        <f>IF(D30=0,0,C30/D30-1)</f>
        <v>-6.0666666666666664</v>
      </c>
      <c r="H30" s="362"/>
      <c r="I30" s="526">
        <f>SUM(I24:I29)</f>
        <v>164.15618189135913</v>
      </c>
      <c r="J30" s="362"/>
      <c r="K30" s="364">
        <f>C30-I30</f>
        <v>-12.156181891359125</v>
      </c>
      <c r="L30" s="509">
        <f>IF(I30=0,"NM",C30/I30-1)</f>
        <v>-7.4052537962927656E-2</v>
      </c>
    </row>
    <row r="31" spans="1:12" ht="13.5" customHeight="1" x14ac:dyDescent="0.2">
      <c r="A31" s="501"/>
      <c r="B31" s="346"/>
      <c r="C31" s="525"/>
      <c r="D31" s="528"/>
      <c r="E31" s="346"/>
      <c r="F31" s="346"/>
      <c r="G31" s="361"/>
      <c r="H31" s="346"/>
      <c r="I31" s="525"/>
      <c r="J31" s="346"/>
      <c r="K31" s="532"/>
      <c r="L31" s="506"/>
    </row>
    <row r="32" spans="1:12" ht="13.5" customHeight="1" x14ac:dyDescent="0.2">
      <c r="A32" s="501" t="s">
        <v>643</v>
      </c>
      <c r="B32" s="346"/>
      <c r="C32" s="523">
        <v>-51</v>
      </c>
      <c r="D32" s="528">
        <f>MAR!BG48</f>
        <v>-42</v>
      </c>
      <c r="E32" s="353"/>
      <c r="F32" s="346">
        <f>C32-D32</f>
        <v>-9</v>
      </c>
      <c r="G32" s="354">
        <f>IF(D32=0,0,C32/D32-1)</f>
        <v>0.21428571428571419</v>
      </c>
      <c r="H32" s="346"/>
      <c r="I32" s="525">
        <v>-55.994376827324587</v>
      </c>
      <c r="J32" s="353"/>
      <c r="K32" s="532">
        <f>C32-I32</f>
        <v>4.9943768273245865</v>
      </c>
      <c r="L32" s="505">
        <f>IF(I32=0,"NM",C32/I32-1)</f>
        <v>-8.9194256822006324E-2</v>
      </c>
    </row>
    <row r="33" spans="1:12" ht="13.5" customHeight="1" x14ac:dyDescent="0.2">
      <c r="A33" s="502" t="s">
        <v>1296</v>
      </c>
      <c r="B33" s="362"/>
      <c r="C33" s="526">
        <f>SUM(C30:C32)</f>
        <v>101</v>
      </c>
      <c r="D33" s="531">
        <f>SUM(D30:D32)</f>
        <v>-72</v>
      </c>
      <c r="E33" s="486"/>
      <c r="F33" s="485">
        <f>SUM(F30:F32)</f>
        <v>173</v>
      </c>
      <c r="G33" s="482">
        <f>IF(D33=0,0,C33/D33-1)</f>
        <v>-2.4027777777777777</v>
      </c>
      <c r="H33" s="362"/>
      <c r="I33" s="526">
        <v>108.69496678245359</v>
      </c>
      <c r="J33" s="486"/>
      <c r="K33" s="364">
        <f>C33-I33</f>
        <v>-7.6949667824535908</v>
      </c>
      <c r="L33" s="509">
        <f>IF(I33=0,"NM",C33/I33-1)</f>
        <v>-7.0794140798208227E-2</v>
      </c>
    </row>
    <row r="34" spans="1:12" ht="13.5" customHeight="1" x14ac:dyDescent="0.2">
      <c r="A34" s="501"/>
      <c r="B34" s="346"/>
      <c r="C34" s="525"/>
      <c r="D34" s="528"/>
      <c r="E34" s="353"/>
      <c r="F34" s="352"/>
      <c r="G34" s="354"/>
      <c r="H34" s="346"/>
      <c r="I34" s="525"/>
      <c r="J34" s="353"/>
      <c r="K34" s="532"/>
      <c r="L34" s="505"/>
    </row>
    <row r="35" spans="1:12" ht="13.5" customHeight="1" x14ac:dyDescent="0.2">
      <c r="A35" s="501" t="s">
        <v>1297</v>
      </c>
      <c r="B35" s="346"/>
      <c r="C35" s="523">
        <f>MAR!BL46</f>
        <v>0</v>
      </c>
      <c r="D35" s="528">
        <f>MAR!BG46</f>
        <v>0</v>
      </c>
      <c r="E35" s="353"/>
      <c r="F35" s="352">
        <f>MAR!BL46</f>
        <v>0</v>
      </c>
      <c r="G35" s="354">
        <f>IF(D35=0,0,C35/D35-1)</f>
        <v>0</v>
      </c>
      <c r="H35" s="346"/>
      <c r="I35" s="525">
        <v>0</v>
      </c>
      <c r="J35" s="353"/>
      <c r="K35" s="532">
        <f>C35-I35</f>
        <v>0</v>
      </c>
      <c r="L35" s="505" t="str">
        <f>IF(I35=0,"NM",C35/I35-1)</f>
        <v>NM</v>
      </c>
    </row>
    <row r="36" spans="1:12" ht="13.5" customHeight="1" x14ac:dyDescent="0.2">
      <c r="A36" s="355" t="s">
        <v>1298</v>
      </c>
      <c r="B36" s="356"/>
      <c r="C36" s="524">
        <f>C33-C35</f>
        <v>101</v>
      </c>
      <c r="D36" s="529">
        <f>D33-D35</f>
        <v>-72</v>
      </c>
      <c r="E36" s="357"/>
      <c r="F36" s="357">
        <f>C36-D36</f>
        <v>173</v>
      </c>
      <c r="G36" s="358">
        <f>IF(D36=0,0,C36/D36-1)</f>
        <v>-2.4027777777777777</v>
      </c>
      <c r="H36" s="359"/>
      <c r="I36" s="524">
        <v>108.69496678245359</v>
      </c>
      <c r="J36" s="357"/>
      <c r="K36" s="488">
        <f>C36-I36</f>
        <v>-7.6949667824535908</v>
      </c>
      <c r="L36" s="360">
        <f>IF(I36=0,"NM",C36/I36-1)</f>
        <v>-7.0794140798208227E-2</v>
      </c>
    </row>
    <row r="37" spans="1:12" ht="13.5" customHeight="1" x14ac:dyDescent="0.2">
      <c r="A37" s="501"/>
      <c r="B37" s="346"/>
      <c r="C37" s="351"/>
      <c r="D37" s="352"/>
      <c r="E37" s="353"/>
      <c r="F37" s="352"/>
      <c r="G37" s="354"/>
      <c r="H37" s="346"/>
      <c r="I37" s="351"/>
      <c r="J37" s="353"/>
      <c r="K37" s="352"/>
      <c r="L37" s="505"/>
    </row>
    <row r="38" spans="1:12" ht="13.5" customHeight="1" x14ac:dyDescent="0.2">
      <c r="A38" s="501" t="s">
        <v>1295</v>
      </c>
      <c r="B38" s="346"/>
      <c r="C38" s="510">
        <v>381.8</v>
      </c>
      <c r="D38" s="352"/>
      <c r="E38" s="353"/>
      <c r="F38" s="352"/>
      <c r="G38" s="354"/>
      <c r="H38" s="346"/>
      <c r="I38" s="351">
        <v>381.77513999999996</v>
      </c>
      <c r="J38" s="353"/>
      <c r="K38" s="352"/>
      <c r="L38" s="505"/>
    </row>
    <row r="39" spans="1:12" ht="13.5" customHeight="1" x14ac:dyDescent="0.2">
      <c r="A39" s="355" t="s">
        <v>1382</v>
      </c>
      <c r="B39" s="356"/>
      <c r="C39" s="483">
        <f>C36/C38</f>
        <v>0.26453640649554738</v>
      </c>
      <c r="D39" s="484"/>
      <c r="E39" s="357"/>
      <c r="F39" s="484"/>
      <c r="G39" s="358"/>
      <c r="H39" s="359"/>
      <c r="I39" s="483">
        <v>0.28470938883672103</v>
      </c>
      <c r="J39" s="357"/>
      <c r="K39" s="357">
        <f>C39-I39</f>
        <v>-2.0172982341173651E-2</v>
      </c>
      <c r="L39" s="360">
        <f>IF(I39=0,"NM",C39/I39-1)</f>
        <v>-7.085464383031892E-2</v>
      </c>
    </row>
    <row r="40" spans="1:12" ht="13.5" customHeight="1" x14ac:dyDescent="0.2">
      <c r="A40" s="346"/>
      <c r="B40" s="346"/>
      <c r="C40" s="351"/>
      <c r="D40" s="352"/>
      <c r="E40" s="353"/>
      <c r="F40" s="352"/>
      <c r="G40" s="354"/>
      <c r="H40" s="346"/>
      <c r="I40" s="351"/>
      <c r="J40" s="353"/>
      <c r="K40" s="352"/>
      <c r="L40" s="608"/>
    </row>
    <row r="41" spans="1:12" ht="13.5" customHeight="1" x14ac:dyDescent="0.2">
      <c r="A41" s="14" t="s">
        <v>220</v>
      </c>
      <c r="B41" s="418"/>
      <c r="C41" s="522"/>
      <c r="D41" s="464"/>
      <c r="E41" s="464"/>
      <c r="F41" s="464"/>
      <c r="G41" s="457"/>
      <c r="H41" s="477"/>
      <c r="I41" s="522"/>
      <c r="J41" s="464"/>
      <c r="K41" s="464"/>
      <c r="L41" s="607"/>
    </row>
    <row r="42" spans="1:12" ht="13.5" customHeight="1" x14ac:dyDescent="0.2">
      <c r="A42" s="3" t="s">
        <v>221</v>
      </c>
      <c r="B42" s="421"/>
      <c r="C42" s="366">
        <f>C21</f>
        <v>226</v>
      </c>
      <c r="D42" s="365">
        <f>D21</f>
        <v>0</v>
      </c>
      <c r="E42" s="481"/>
      <c r="F42" s="530">
        <f>C42-D42</f>
        <v>226</v>
      </c>
      <c r="G42" s="354">
        <f>IF(D42=0,0,C42/D42-1)</f>
        <v>0</v>
      </c>
      <c r="H42" s="421"/>
      <c r="I42" s="366">
        <v>245.59415219595428</v>
      </c>
      <c r="J42" s="534"/>
      <c r="K42" s="528">
        <f t="shared" ref="K42:K51" si="0">C42-I42</f>
        <v>-19.59415219595428</v>
      </c>
      <c r="L42" s="505">
        <f t="shared" ref="L42:L51" si="1">IF(I42=0,"NM",C42/I42-1)</f>
        <v>-7.9782649630519398E-2</v>
      </c>
    </row>
    <row r="43" spans="1:12" ht="13.5" customHeight="1" x14ac:dyDescent="0.2">
      <c r="A43" s="186" t="s">
        <v>1736</v>
      </c>
      <c r="B43" s="418"/>
      <c r="C43" s="536">
        <f>C29</f>
        <v>-4</v>
      </c>
      <c r="D43" s="460">
        <f>MAR!BG76</f>
        <v>-6</v>
      </c>
      <c r="E43" s="472"/>
      <c r="F43" s="528">
        <f t="shared" ref="F43:F50" si="2">C43-D43</f>
        <v>2</v>
      </c>
      <c r="G43" s="354">
        <f t="shared" ref="G43:G51" si="3">IF(D43=0,0,C43/D43-1)</f>
        <v>-0.33333333333333337</v>
      </c>
      <c r="H43" s="418"/>
      <c r="I43" s="535">
        <v>-5.15</v>
      </c>
      <c r="J43" s="471"/>
      <c r="K43" s="528">
        <f t="shared" si="0"/>
        <v>1.1500000000000004</v>
      </c>
      <c r="L43" s="505">
        <f t="shared" si="1"/>
        <v>-0.22330097087378642</v>
      </c>
    </row>
    <row r="44" spans="1:12" ht="13.5" customHeight="1" x14ac:dyDescent="0.2">
      <c r="A44" s="186" t="s">
        <v>1737</v>
      </c>
      <c r="B44" s="418"/>
      <c r="C44" s="533">
        <v>4</v>
      </c>
      <c r="D44" s="460">
        <f>MAR!BG77</f>
        <v>3</v>
      </c>
      <c r="E44" s="472"/>
      <c r="F44" s="528">
        <f t="shared" si="2"/>
        <v>1</v>
      </c>
      <c r="G44" s="354">
        <f t="shared" si="3"/>
        <v>0.33333333333333326</v>
      </c>
      <c r="H44" s="418"/>
      <c r="I44" s="535">
        <v>5</v>
      </c>
      <c r="J44" s="471"/>
      <c r="K44" s="528">
        <f t="shared" si="0"/>
        <v>-1</v>
      </c>
      <c r="L44" s="505">
        <f t="shared" si="1"/>
        <v>-0.19999999999999996</v>
      </c>
    </row>
    <row r="45" spans="1:12" ht="13.5" customHeight="1" x14ac:dyDescent="0.2">
      <c r="A45" s="186" t="s">
        <v>371</v>
      </c>
      <c r="B45" s="418"/>
      <c r="C45" s="533">
        <v>6</v>
      </c>
      <c r="D45" s="460">
        <f>MAR!BG78</f>
        <v>6</v>
      </c>
      <c r="E45" s="424"/>
      <c r="F45" s="528">
        <f t="shared" si="2"/>
        <v>0</v>
      </c>
      <c r="G45" s="354">
        <f t="shared" si="3"/>
        <v>0</v>
      </c>
      <c r="H45" s="477"/>
      <c r="I45" s="535">
        <v>6.12</v>
      </c>
      <c r="J45" s="365"/>
      <c r="K45" s="528">
        <f t="shared" si="0"/>
        <v>-0.12000000000000011</v>
      </c>
      <c r="L45" s="505">
        <f t="shared" si="1"/>
        <v>-1.9607843137254943E-2</v>
      </c>
    </row>
    <row r="46" spans="1:12" ht="13.5" customHeight="1" x14ac:dyDescent="0.2">
      <c r="A46" s="186" t="s">
        <v>1555</v>
      </c>
      <c r="B46" s="418"/>
      <c r="C46" s="533">
        <f>C27</f>
        <v>4</v>
      </c>
      <c r="D46" s="460">
        <f>MAR!BG79</f>
        <v>6</v>
      </c>
      <c r="E46" s="472"/>
      <c r="F46" s="528">
        <f t="shared" si="2"/>
        <v>-2</v>
      </c>
      <c r="G46" s="354">
        <f t="shared" si="3"/>
        <v>-0.33333333333333337</v>
      </c>
      <c r="H46" s="418"/>
      <c r="I46" s="535">
        <v>12.68859141382398</v>
      </c>
      <c r="J46" s="471"/>
      <c r="K46" s="528">
        <f t="shared" si="0"/>
        <v>-8.6885914138239801</v>
      </c>
      <c r="L46" s="505">
        <f t="shared" si="1"/>
        <v>-0.68475618218409373</v>
      </c>
    </row>
    <row r="47" spans="1:12" ht="13.5" customHeight="1" x14ac:dyDescent="0.2">
      <c r="A47" s="186" t="s">
        <v>228</v>
      </c>
      <c r="B47" s="418"/>
      <c r="C47" s="536">
        <f>C28</f>
        <v>2</v>
      </c>
      <c r="D47" s="460">
        <f>MAR!BG80</f>
        <v>1</v>
      </c>
      <c r="E47" s="472"/>
      <c r="F47" s="528">
        <f t="shared" si="2"/>
        <v>1</v>
      </c>
      <c r="G47" s="354">
        <f t="shared" si="3"/>
        <v>1</v>
      </c>
      <c r="H47" s="418"/>
      <c r="I47" s="535">
        <v>5</v>
      </c>
      <c r="J47" s="471"/>
      <c r="K47" s="528">
        <f t="shared" si="0"/>
        <v>-3</v>
      </c>
      <c r="L47" s="505">
        <f t="shared" si="1"/>
        <v>-0.6</v>
      </c>
    </row>
    <row r="48" spans="1:12" ht="13.5" customHeight="1" x14ac:dyDescent="0.2">
      <c r="A48" s="186" t="s">
        <v>229</v>
      </c>
      <c r="B48" s="418"/>
      <c r="C48" s="533">
        <v>-4</v>
      </c>
      <c r="D48" s="460">
        <f>MAR!BG81</f>
        <v>-3</v>
      </c>
      <c r="E48" s="424"/>
      <c r="F48" s="528">
        <f t="shared" si="2"/>
        <v>-1</v>
      </c>
      <c r="G48" s="354">
        <f t="shared" si="3"/>
        <v>0.33333333333333326</v>
      </c>
      <c r="H48" s="477"/>
      <c r="I48" s="535">
        <v>-3.06</v>
      </c>
      <c r="J48" s="365"/>
      <c r="K48" s="528">
        <f t="shared" si="0"/>
        <v>-0.94</v>
      </c>
      <c r="L48" s="505">
        <f t="shared" si="1"/>
        <v>0.30718954248366015</v>
      </c>
    </row>
    <row r="49" spans="1:12" ht="13.5" customHeight="1" x14ac:dyDescent="0.2">
      <c r="A49" s="186" t="s">
        <v>230</v>
      </c>
      <c r="B49" s="418"/>
      <c r="C49" s="533">
        <f>MAR!BL82</f>
        <v>0</v>
      </c>
      <c r="D49" s="460">
        <f>MAR!BG82</f>
        <v>0</v>
      </c>
      <c r="E49" s="472"/>
      <c r="F49" s="528">
        <f t="shared" si="2"/>
        <v>0</v>
      </c>
      <c r="G49" s="354">
        <f t="shared" si="3"/>
        <v>0</v>
      </c>
      <c r="H49" s="418"/>
      <c r="I49" s="535">
        <v>0</v>
      </c>
      <c r="J49" s="471"/>
      <c r="K49" s="528">
        <f t="shared" si="0"/>
        <v>0</v>
      </c>
      <c r="L49" s="505" t="str">
        <f t="shared" si="1"/>
        <v>NM</v>
      </c>
    </row>
    <row r="50" spans="1:12" ht="13.5" customHeight="1" x14ac:dyDescent="0.2">
      <c r="A50" s="186" t="s">
        <v>231</v>
      </c>
      <c r="B50" s="418"/>
      <c r="C50" s="533">
        <f>MAR!BL83</f>
        <v>0</v>
      </c>
      <c r="D50" s="460">
        <f>MAR!BG83</f>
        <v>0</v>
      </c>
      <c r="E50" s="472"/>
      <c r="F50" s="528">
        <f t="shared" si="2"/>
        <v>0</v>
      </c>
      <c r="G50" s="354">
        <f t="shared" si="3"/>
        <v>0</v>
      </c>
      <c r="H50" s="418"/>
      <c r="I50" s="535">
        <v>0</v>
      </c>
      <c r="J50" s="471"/>
      <c r="K50" s="528">
        <f t="shared" si="0"/>
        <v>0</v>
      </c>
      <c r="L50" s="505" t="str">
        <f t="shared" si="1"/>
        <v>NM</v>
      </c>
    </row>
    <row r="51" spans="1:12" ht="13.5" customHeight="1" x14ac:dyDescent="0.2">
      <c r="A51" s="355" t="s">
        <v>232</v>
      </c>
      <c r="B51" s="356"/>
      <c r="C51" s="524">
        <f>SUM(C42:C50)</f>
        <v>234</v>
      </c>
      <c r="D51" s="529">
        <f>SUM(D42:D50)</f>
        <v>7</v>
      </c>
      <c r="E51" s="357"/>
      <c r="F51" s="529">
        <f>SUM(F42:F50)</f>
        <v>227</v>
      </c>
      <c r="G51" s="358">
        <f t="shared" si="3"/>
        <v>32.428571428571431</v>
      </c>
      <c r="H51" s="359"/>
      <c r="I51" s="524">
        <v>266.19274360977823</v>
      </c>
      <c r="J51" s="529"/>
      <c r="K51" s="529">
        <f t="shared" si="0"/>
        <v>-32.192743609778233</v>
      </c>
      <c r="L51" s="360">
        <f t="shared" si="1"/>
        <v>-0.12093772043978313</v>
      </c>
    </row>
    <row r="108" ht="6.75" customHeight="1" x14ac:dyDescent="0.2"/>
    <row r="130" ht="5.25" customHeight="1" x14ac:dyDescent="0.2"/>
    <row r="133" ht="5.25" customHeight="1" x14ac:dyDescent="0.2"/>
    <row r="139" ht="5.25" customHeight="1" x14ac:dyDescent="0.2"/>
    <row r="145" ht="4.5" customHeight="1" x14ac:dyDescent="0.2"/>
  </sheetData>
  <mergeCells count="2">
    <mergeCell ref="C5:G5"/>
    <mergeCell ref="I5:L5"/>
  </mergeCells>
  <phoneticPr fontId="57" type="noConversion"/>
  <pageMargins left="0.5" right="0.5" top="0.5" bottom="0.5" header="0.5" footer="0.5"/>
  <pageSetup scale="74" orientation="portrait" horizontalDpi="1200" verticalDpi="1200" r:id="rId1"/>
  <headerFooter alignWithMargins="0"/>
  <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IV453"/>
  <sheetViews>
    <sheetView zoomScale="85" workbookViewId="0"/>
  </sheetViews>
  <sheetFormatPr defaultRowHeight="11.25" outlineLevelCol="1" x14ac:dyDescent="0.2"/>
  <cols>
    <col min="2" max="2" width="17.33203125" bestFit="1" customWidth="1"/>
    <col min="7" max="17" width="9.1640625" customWidth="1"/>
    <col min="19" max="19" width="65" bestFit="1" customWidth="1"/>
    <col min="20" max="27" width="11.33203125" customWidth="1"/>
    <col min="29" max="29" width="39.5" bestFit="1" customWidth="1"/>
    <col min="33" max="33" width="26.6640625" customWidth="1"/>
    <col min="38" max="38" width="9.5" customWidth="1"/>
    <col min="39" max="39" width="9.5" bestFit="1" customWidth="1"/>
    <col min="40" max="40" width="8.33203125" customWidth="1"/>
    <col min="41" max="42" width="9.5" bestFit="1" customWidth="1"/>
    <col min="43" max="43" width="10" bestFit="1" customWidth="1"/>
    <col min="45" max="45" width="8.33203125" customWidth="1"/>
    <col min="46" max="48" width="9.5" bestFit="1" customWidth="1"/>
    <col min="51" max="51" width="7.6640625" customWidth="1"/>
    <col min="52" max="54" width="10.5" customWidth="1"/>
    <col min="58" max="58" width="44" bestFit="1" customWidth="1"/>
    <col min="59" max="59" width="34.83203125" bestFit="1" customWidth="1"/>
    <col min="60" max="60" width="16.6640625" bestFit="1" customWidth="1"/>
    <col min="62" max="62" width="34.83203125" customWidth="1"/>
    <col min="95" max="95" width="1.33203125" customWidth="1"/>
    <col min="96" max="96" width="39" customWidth="1"/>
    <col min="97" max="109" width="11.83203125" customWidth="1"/>
    <col min="111" max="111" width="12.33203125" bestFit="1" customWidth="1"/>
    <col min="112" max="112" width="0.83203125" customWidth="1"/>
    <col min="113" max="113" width="25.33203125" customWidth="1"/>
    <col min="114" max="114" width="10.33203125" bestFit="1" customWidth="1"/>
    <col min="116" max="116" width="0.83203125" customWidth="1"/>
    <col min="117" max="117" width="29.1640625" customWidth="1"/>
    <col min="118" max="118" width="9.83203125" bestFit="1" customWidth="1"/>
    <col min="119" max="120" width="9.83203125" customWidth="1"/>
    <col min="121" max="121" width="9.83203125" bestFit="1" customWidth="1"/>
    <col min="123" max="123" width="1.33203125" customWidth="1"/>
    <col min="124" max="124" width="39.5" customWidth="1"/>
    <col min="125" max="128" width="9.83203125" customWidth="1"/>
    <col min="129" max="129" width="10.33203125" customWidth="1"/>
    <col min="130" max="133" width="9.83203125" customWidth="1" outlineLevel="1"/>
    <col min="134" max="136" width="10.33203125" customWidth="1"/>
    <col min="145" max="145" width="25.6640625" bestFit="1" customWidth="1"/>
    <col min="146" max="148" width="6.83203125" bestFit="1" customWidth="1"/>
    <col min="150" max="150" width="16" customWidth="1"/>
    <col min="151" max="155" width="9.83203125" customWidth="1"/>
    <col min="156" max="156" width="0.33203125" customWidth="1"/>
    <col min="157" max="157" width="26.6640625" customWidth="1"/>
    <col min="158" max="181" width="9.83203125" customWidth="1"/>
    <col min="182" max="182" width="9.83203125" bestFit="1" customWidth="1"/>
    <col min="185" max="185" width="9.83203125" bestFit="1" customWidth="1"/>
    <col min="186" max="186" width="10" bestFit="1" customWidth="1"/>
    <col min="187" max="189" width="9.83203125" bestFit="1" customWidth="1"/>
    <col min="190" max="190" width="10" bestFit="1" customWidth="1"/>
    <col min="191" max="193" width="9.83203125" bestFit="1" customWidth="1"/>
    <col min="194" max="194" width="10" bestFit="1" customWidth="1"/>
    <col min="195" max="197" width="9.83203125" bestFit="1" customWidth="1"/>
    <col min="198" max="198" width="10" bestFit="1" customWidth="1"/>
    <col min="199" max="201" width="9.83203125" bestFit="1" customWidth="1"/>
    <col min="202" max="202" width="10" bestFit="1" customWidth="1"/>
    <col min="203" max="205" width="9.83203125" bestFit="1" customWidth="1"/>
    <col min="207" max="207" width="0.6640625" customWidth="1"/>
    <col min="208" max="208" width="23.5" customWidth="1"/>
  </cols>
  <sheetData>
    <row r="1" spans="2:256" s="70" customFormat="1" ht="12.75" x14ac:dyDescent="0.2">
      <c r="HY1"/>
      <c r="HZ1"/>
      <c r="IA1"/>
      <c r="IB1"/>
      <c r="IC1"/>
      <c r="ID1"/>
      <c r="IE1"/>
      <c r="IF1"/>
      <c r="IG1"/>
      <c r="IH1"/>
      <c r="II1"/>
      <c r="IJ1"/>
      <c r="IK1"/>
      <c r="IL1"/>
      <c r="IM1"/>
      <c r="IN1"/>
      <c r="IO1"/>
      <c r="IP1"/>
      <c r="IQ1"/>
      <c r="IR1"/>
      <c r="IS1"/>
      <c r="IT1"/>
      <c r="IU1"/>
      <c r="IV1"/>
    </row>
    <row r="2" spans="2:256" s="70" customFormat="1" ht="12.75" x14ac:dyDescent="0.2">
      <c r="B2" s="89" t="s">
        <v>2035</v>
      </c>
      <c r="C2" s="60" t="str">
        <f>MAR!AU5</f>
        <v>4Q07</v>
      </c>
      <c r="D2" s="60" t="str">
        <f>MAR!AV5</f>
        <v>2007</v>
      </c>
      <c r="E2" s="60" t="str">
        <f>MAR!AW5</f>
        <v>1Q08</v>
      </c>
      <c r="F2" s="60" t="str">
        <f>MAR!AX5</f>
        <v>2Q08</v>
      </c>
      <c r="G2" s="151" t="str">
        <f>MAR!AY5</f>
        <v>3Q08</v>
      </c>
      <c r="H2" s="151" t="str">
        <f>MAR!AZ5</f>
        <v>4Q08</v>
      </c>
      <c r="I2" s="151" t="str">
        <f>MAR!BA5</f>
        <v>2008</v>
      </c>
      <c r="J2" s="151" t="str">
        <f>MAR!BB5</f>
        <v>1Q09</v>
      </c>
      <c r="K2" s="151" t="str">
        <f>MAR!BC5</f>
        <v>2Q09</v>
      </c>
      <c r="L2" s="151" t="str">
        <f>MAR!BD5</f>
        <v>3Q09</v>
      </c>
      <c r="M2" s="151" t="str">
        <f>MAR!BE5</f>
        <v>4Q09</v>
      </c>
      <c r="N2" s="151" t="str">
        <f>MAR!BF5</f>
        <v>2009</v>
      </c>
      <c r="O2" s="151" t="str">
        <f>MAR!BK5</f>
        <v>2010</v>
      </c>
      <c r="P2" s="151">
        <f>MAR!BP5</f>
        <v>2011</v>
      </c>
      <c r="Q2" s="136">
        <f>MAR!BU5</f>
        <v>2012</v>
      </c>
      <c r="HY2"/>
      <c r="HZ2"/>
      <c r="IA2"/>
      <c r="IB2"/>
      <c r="IC2"/>
      <c r="ID2"/>
      <c r="IE2"/>
      <c r="IF2"/>
      <c r="IG2"/>
      <c r="IH2"/>
      <c r="II2"/>
      <c r="IJ2"/>
      <c r="IK2"/>
      <c r="IL2"/>
      <c r="IM2"/>
      <c r="IN2"/>
      <c r="IO2"/>
      <c r="IP2"/>
      <c r="IQ2"/>
      <c r="IR2"/>
      <c r="IS2"/>
      <c r="IT2"/>
      <c r="IU2"/>
      <c r="IV2"/>
    </row>
    <row r="3" spans="2:256" s="70" customFormat="1" ht="12.75" x14ac:dyDescent="0.2">
      <c r="B3" s="128" t="s">
        <v>1703</v>
      </c>
      <c r="C3" s="2">
        <f>SUM(MAR!AU832:AU865)</f>
        <v>5560</v>
      </c>
      <c r="D3" s="2">
        <f>SUM(MAR!AV832:AV865)</f>
        <v>5560</v>
      </c>
      <c r="E3" s="2">
        <f>SUM(MAR!AW832:AW865)</f>
        <v>6470</v>
      </c>
      <c r="F3" s="2">
        <f>SUM(MAR!AX832:AX865)</f>
        <v>5770</v>
      </c>
      <c r="G3" s="21">
        <f>SUM(MAR!AY832:AY865)</f>
        <v>5778</v>
      </c>
      <c r="H3" s="21">
        <f>SUM(MAR!AZ832:AZ865)</f>
        <v>5882</v>
      </c>
      <c r="I3" s="21">
        <f>SUM(MAR!BA832:BA865)</f>
        <v>5882</v>
      </c>
      <c r="J3" s="21">
        <f>SUM(MAR!BB832:BB865)</f>
        <v>5677</v>
      </c>
      <c r="K3" s="21">
        <f>SUM(MAR!BC832:BC865)</f>
        <v>5447</v>
      </c>
      <c r="L3" s="21">
        <f>SUM(MAR!BD832:BD865)</f>
        <v>5072</v>
      </c>
      <c r="M3" s="21">
        <f>SUM(MAR!BE832:BE865)</f>
        <v>4350</v>
      </c>
      <c r="N3" s="21">
        <f>SUM(MAR!BF832:BF865)</f>
        <v>4350</v>
      </c>
      <c r="O3" s="21">
        <f>SUM(MAR!BK832:BK865)</f>
        <v>4460</v>
      </c>
      <c r="P3" s="21">
        <f>SUM(MAR!BP832:BP865)</f>
        <v>4136</v>
      </c>
      <c r="Q3" s="138">
        <f>SUM(MAR!BU832:BU865)</f>
        <v>5684</v>
      </c>
      <c r="HY3"/>
      <c r="HZ3"/>
      <c r="IA3"/>
      <c r="IB3"/>
      <c r="IC3"/>
      <c r="ID3"/>
      <c r="IE3"/>
      <c r="IF3"/>
      <c r="IG3"/>
      <c r="IH3"/>
      <c r="II3"/>
      <c r="IJ3"/>
      <c r="IK3"/>
      <c r="IL3"/>
      <c r="IM3"/>
      <c r="IN3"/>
      <c r="IO3"/>
      <c r="IP3"/>
      <c r="IQ3"/>
      <c r="IR3"/>
      <c r="IS3"/>
      <c r="IT3"/>
      <c r="IU3"/>
      <c r="IV3"/>
    </row>
    <row r="4" spans="2:256" s="70" customFormat="1" ht="12.75" x14ac:dyDescent="0.2">
      <c r="B4" s="129" t="s">
        <v>1704</v>
      </c>
      <c r="C4" s="2">
        <f>MAR!AU84</f>
        <v>497</v>
      </c>
      <c r="D4" s="2">
        <f>MAR!AV84</f>
        <v>1580</v>
      </c>
      <c r="E4" s="2">
        <f>MAR!AW84</f>
        <v>287</v>
      </c>
      <c r="F4" s="2">
        <f>MAR!AX84</f>
        <v>385</v>
      </c>
      <c r="G4" s="2">
        <f>MAR!AY84</f>
        <v>286</v>
      </c>
      <c r="H4" s="2">
        <f>MAR!AZ84+152</f>
        <v>492</v>
      </c>
      <c r="I4" s="2">
        <f>MAR!BA84</f>
        <v>1298</v>
      </c>
      <c r="J4" s="2">
        <f>MAR!BB84</f>
        <v>215</v>
      </c>
      <c r="K4" s="2">
        <f>MAR!BC84</f>
        <v>220</v>
      </c>
      <c r="L4" s="2">
        <f>MAR!BD84</f>
        <v>163</v>
      </c>
      <c r="M4" s="2">
        <f>MAR!BE84</f>
        <v>300</v>
      </c>
      <c r="N4" s="2">
        <f>MAR!BF84</f>
        <v>898</v>
      </c>
      <c r="O4" s="2">
        <f>MAR!BK84</f>
        <v>885</v>
      </c>
      <c r="P4" s="2">
        <f>MAR!BP84</f>
        <v>992</v>
      </c>
      <c r="Q4" s="75">
        <f>MAR!BU84</f>
        <v>1151.8599999999999</v>
      </c>
      <c r="HY4"/>
      <c r="HZ4"/>
      <c r="IA4"/>
      <c r="IB4"/>
      <c r="IC4"/>
      <c r="ID4"/>
      <c r="IE4"/>
      <c r="IF4"/>
      <c r="IG4"/>
      <c r="IH4"/>
      <c r="II4"/>
      <c r="IJ4"/>
      <c r="IK4"/>
      <c r="IL4"/>
      <c r="IM4"/>
      <c r="IN4"/>
      <c r="IO4"/>
      <c r="IP4"/>
      <c r="IQ4"/>
      <c r="IR4"/>
      <c r="IS4"/>
      <c r="IT4"/>
      <c r="IU4"/>
      <c r="IV4"/>
    </row>
    <row r="5" spans="2:256" s="70" customFormat="1" ht="12.75" x14ac:dyDescent="0.2">
      <c r="B5" s="129" t="s">
        <v>1705</v>
      </c>
      <c r="G5" s="2">
        <f>SUM(E4:G4,C4)</f>
        <v>1455</v>
      </c>
      <c r="H5" s="2">
        <f>SUM(F4:H4,E4)</f>
        <v>1450</v>
      </c>
      <c r="I5" s="2">
        <f>I4</f>
        <v>1298</v>
      </c>
      <c r="J5" s="2">
        <f>SUM(J4,H4,G4,F4)</f>
        <v>1378</v>
      </c>
      <c r="K5" s="2">
        <f>SUM(K4,J4,H4,G4)</f>
        <v>1213</v>
      </c>
      <c r="L5" s="2">
        <f>SUM(L4,K4,J4,H4)</f>
        <v>1090</v>
      </c>
      <c r="M5" s="2">
        <f>SUM(M4,L4,K4,J4)</f>
        <v>898</v>
      </c>
      <c r="O5" s="2">
        <f>O4</f>
        <v>885</v>
      </c>
      <c r="P5" s="2">
        <f>P4</f>
        <v>992</v>
      </c>
      <c r="Q5" s="75">
        <f>Q4</f>
        <v>1151.8599999999999</v>
      </c>
      <c r="HY5"/>
      <c r="HZ5"/>
      <c r="IA5"/>
      <c r="IB5"/>
      <c r="IC5"/>
      <c r="ID5"/>
      <c r="IE5"/>
      <c r="IF5"/>
      <c r="IG5"/>
      <c r="IH5"/>
      <c r="II5"/>
      <c r="IJ5"/>
      <c r="IK5"/>
      <c r="IL5"/>
      <c r="IM5"/>
      <c r="IN5"/>
      <c r="IO5"/>
      <c r="IP5"/>
      <c r="IQ5"/>
      <c r="IR5"/>
      <c r="IS5"/>
      <c r="IT5"/>
      <c r="IU5"/>
      <c r="IV5"/>
    </row>
    <row r="6" spans="2:256" s="70" customFormat="1" ht="12.75" x14ac:dyDescent="0.2">
      <c r="B6" s="161" t="s">
        <v>1706</v>
      </c>
      <c r="C6" s="190"/>
      <c r="D6" s="190"/>
      <c r="E6" s="190"/>
      <c r="F6" s="190"/>
      <c r="G6" s="166">
        <f t="shared" ref="G6:Q6" si="0">G3/G5</f>
        <v>3.9711340206185568</v>
      </c>
      <c r="H6" s="166">
        <f t="shared" si="0"/>
        <v>4.0565517241379307</v>
      </c>
      <c r="I6" s="166">
        <f t="shared" si="0"/>
        <v>4.5315870570107855</v>
      </c>
      <c r="J6" s="166">
        <f t="shared" si="0"/>
        <v>4.1197387518142232</v>
      </c>
      <c r="K6" s="166">
        <f t="shared" si="0"/>
        <v>4.4905193734542452</v>
      </c>
      <c r="L6" s="166">
        <f t="shared" si="0"/>
        <v>4.6532110091743117</v>
      </c>
      <c r="M6" s="166">
        <f t="shared" si="0"/>
        <v>4.8440979955456571</v>
      </c>
      <c r="N6" s="166" t="s">
        <v>1665</v>
      </c>
      <c r="O6" s="166">
        <f t="shared" si="0"/>
        <v>5.0395480225988702</v>
      </c>
      <c r="P6" s="166">
        <f t="shared" si="0"/>
        <v>4.169354838709677</v>
      </c>
      <c r="Q6" s="168">
        <f t="shared" si="0"/>
        <v>4.9346274720886223</v>
      </c>
      <c r="HY6"/>
      <c r="HZ6"/>
      <c r="IA6"/>
      <c r="IB6"/>
      <c r="IC6"/>
      <c r="ID6"/>
      <c r="IE6"/>
      <c r="IF6"/>
      <c r="IG6"/>
      <c r="IH6"/>
      <c r="II6"/>
      <c r="IJ6"/>
      <c r="IK6"/>
      <c r="IL6"/>
      <c r="IM6"/>
      <c r="IN6"/>
      <c r="IO6"/>
      <c r="IP6"/>
      <c r="IQ6"/>
      <c r="IR6"/>
      <c r="IS6"/>
      <c r="IT6"/>
      <c r="IU6"/>
      <c r="IV6"/>
    </row>
    <row r="7" spans="2:256" s="70" customFormat="1" ht="12.75" x14ac:dyDescent="0.2">
      <c r="B7" s="40" t="s">
        <v>1707</v>
      </c>
      <c r="C7" s="263"/>
      <c r="D7" s="263"/>
      <c r="E7" s="263"/>
      <c r="F7" s="263"/>
      <c r="G7" s="169">
        <v>4</v>
      </c>
      <c r="H7" s="169">
        <v>4</v>
      </c>
      <c r="I7" s="169">
        <v>4</v>
      </c>
      <c r="J7" s="169">
        <v>4</v>
      </c>
      <c r="K7" s="169">
        <v>4</v>
      </c>
      <c r="L7" s="169">
        <v>4</v>
      </c>
      <c r="M7" s="169">
        <v>4</v>
      </c>
      <c r="N7" s="169">
        <v>4</v>
      </c>
      <c r="O7" s="169">
        <v>4</v>
      </c>
      <c r="P7" s="169">
        <v>4</v>
      </c>
      <c r="Q7" s="170">
        <v>4</v>
      </c>
      <c r="HY7"/>
      <c r="HZ7"/>
      <c r="IA7"/>
      <c r="IB7"/>
      <c r="IC7"/>
      <c r="ID7"/>
      <c r="IE7"/>
      <c r="IF7"/>
      <c r="IG7"/>
      <c r="IH7"/>
      <c r="II7"/>
      <c r="IJ7"/>
      <c r="IK7"/>
      <c r="IL7"/>
      <c r="IM7"/>
      <c r="IN7"/>
      <c r="IO7"/>
      <c r="IP7"/>
      <c r="IQ7"/>
      <c r="IR7"/>
      <c r="IS7"/>
      <c r="IT7"/>
      <c r="IU7"/>
      <c r="IV7"/>
    </row>
    <row r="8" spans="2:256" s="70" customFormat="1" ht="12.75" x14ac:dyDescent="0.2">
      <c r="S8" s="39" t="s">
        <v>1708</v>
      </c>
      <c r="HY8"/>
      <c r="HZ8"/>
      <c r="IA8"/>
      <c r="IB8"/>
      <c r="IC8"/>
      <c r="ID8"/>
      <c r="IE8"/>
      <c r="IF8"/>
      <c r="IG8"/>
      <c r="IH8"/>
      <c r="II8"/>
      <c r="IJ8"/>
      <c r="IK8"/>
      <c r="IL8"/>
      <c r="IM8"/>
      <c r="IN8"/>
      <c r="IO8"/>
      <c r="IP8"/>
      <c r="IQ8"/>
      <c r="IR8"/>
      <c r="IS8"/>
      <c r="IT8"/>
      <c r="IU8"/>
      <c r="IV8"/>
    </row>
    <row r="9" spans="2:256" s="70" customFormat="1" ht="12.75" x14ac:dyDescent="0.2">
      <c r="K9" s="2">
        <f>K3/K5</f>
        <v>4.4905193734542452</v>
      </c>
      <c r="L9" s="2">
        <f>L3/4</f>
        <v>1268</v>
      </c>
      <c r="M9" s="2">
        <f>M3/M7</f>
        <v>1087.5</v>
      </c>
      <c r="R9" s="264"/>
      <c r="T9" s="151" t="s">
        <v>841</v>
      </c>
      <c r="U9" s="151" t="str">
        <f>MAR!BB5</f>
        <v>1Q09</v>
      </c>
      <c r="V9" s="151" t="str">
        <f>MAR!BC5</f>
        <v>2Q09</v>
      </c>
      <c r="W9" s="151" t="str">
        <f>MAR!BD5</f>
        <v>3Q09</v>
      </c>
      <c r="X9" s="151" t="str">
        <f>MAR!BE5</f>
        <v>4Q09</v>
      </c>
      <c r="Y9" s="151" t="str">
        <f>MAR!BK5</f>
        <v>2010</v>
      </c>
      <c r="Z9" s="151">
        <f>MAR!BP5</f>
        <v>2011</v>
      </c>
      <c r="AA9" s="136">
        <f>MAR!BU5</f>
        <v>2012</v>
      </c>
      <c r="HY9"/>
      <c r="HZ9"/>
      <c r="IA9"/>
      <c r="IB9"/>
      <c r="IC9"/>
      <c r="ID9"/>
      <c r="IE9"/>
      <c r="IF9"/>
      <c r="IG9"/>
      <c r="IH9"/>
      <c r="II9"/>
      <c r="IJ9"/>
      <c r="IK9"/>
      <c r="IL9"/>
      <c r="IM9"/>
      <c r="IN9"/>
      <c r="IO9"/>
      <c r="IP9"/>
      <c r="IQ9"/>
      <c r="IR9"/>
      <c r="IS9"/>
      <c r="IT9"/>
      <c r="IU9"/>
      <c r="IV9"/>
    </row>
    <row r="10" spans="2:256" s="70" customFormat="1" ht="12.75" x14ac:dyDescent="0.2">
      <c r="M10" s="2">
        <f>N4-M9</f>
        <v>-189.5</v>
      </c>
      <c r="S10" s="128" t="s">
        <v>1709</v>
      </c>
      <c r="T10" s="189"/>
      <c r="U10" s="189"/>
      <c r="V10" s="189"/>
      <c r="W10" s="189"/>
      <c r="X10" s="189"/>
      <c r="Y10" s="189"/>
      <c r="Z10" s="189"/>
      <c r="AA10" s="189"/>
      <c r="AB10" s="265"/>
      <c r="HY10"/>
      <c r="HZ10"/>
      <c r="IA10"/>
      <c r="IB10"/>
      <c r="IC10"/>
      <c r="ID10"/>
      <c r="IE10"/>
      <c r="IF10"/>
      <c r="IG10"/>
      <c r="IH10"/>
      <c r="II10"/>
      <c r="IJ10"/>
      <c r="IK10"/>
      <c r="IL10"/>
      <c r="IM10"/>
      <c r="IN10"/>
      <c r="IO10"/>
      <c r="IP10"/>
      <c r="IQ10"/>
      <c r="IR10"/>
      <c r="IS10"/>
      <c r="IT10"/>
      <c r="IU10"/>
      <c r="IV10"/>
    </row>
    <row r="11" spans="2:256" s="70" customFormat="1" ht="12.75" x14ac:dyDescent="0.2">
      <c r="S11" s="129"/>
      <c r="T11" s="63"/>
      <c r="U11" s="63"/>
      <c r="V11" s="63"/>
      <c r="W11" s="63"/>
      <c r="X11" s="63"/>
      <c r="Y11" s="63"/>
      <c r="Z11" s="63"/>
      <c r="AA11" s="141"/>
      <c r="HY11"/>
      <c r="HZ11"/>
      <c r="IA11"/>
      <c r="IB11"/>
      <c r="IC11"/>
      <c r="ID11"/>
      <c r="IE11"/>
      <c r="IF11"/>
      <c r="IG11"/>
      <c r="IH11"/>
      <c r="II11"/>
      <c r="IJ11"/>
      <c r="IK11"/>
      <c r="IL11"/>
      <c r="IM11"/>
      <c r="IN11"/>
      <c r="IO11"/>
      <c r="IP11"/>
      <c r="IQ11"/>
      <c r="IR11"/>
      <c r="IS11"/>
      <c r="IT11"/>
      <c r="IU11"/>
      <c r="IV11"/>
    </row>
    <row r="12" spans="2:256" s="70" customFormat="1" ht="12.75" x14ac:dyDescent="0.2">
      <c r="S12" s="129"/>
      <c r="T12" s="10"/>
      <c r="U12" s="10"/>
      <c r="V12" s="10"/>
      <c r="W12" s="10"/>
      <c r="X12" s="10"/>
      <c r="Y12" s="10"/>
      <c r="Z12" s="10"/>
      <c r="AA12" s="140"/>
      <c r="HY12"/>
      <c r="HZ12"/>
      <c r="IA12"/>
      <c r="IB12"/>
      <c r="IC12"/>
      <c r="ID12"/>
      <c r="IE12"/>
      <c r="IF12"/>
      <c r="IG12"/>
      <c r="IH12"/>
      <c r="II12"/>
      <c r="IJ12"/>
      <c r="IK12"/>
      <c r="IL12"/>
      <c r="IM12"/>
      <c r="IN12"/>
      <c r="IO12"/>
      <c r="IP12"/>
      <c r="IQ12"/>
      <c r="IR12"/>
      <c r="IS12"/>
      <c r="IT12"/>
      <c r="IU12"/>
      <c r="IV12"/>
    </row>
    <row r="13" spans="2:256" s="70" customFormat="1" ht="12.75" x14ac:dyDescent="0.2">
      <c r="S13" s="129"/>
      <c r="T13" s="10"/>
      <c r="U13" s="10"/>
      <c r="V13" s="10"/>
      <c r="W13" s="10"/>
      <c r="X13" s="10"/>
      <c r="Y13" s="10"/>
      <c r="Z13" s="10"/>
      <c r="AA13" s="140"/>
      <c r="HY13"/>
      <c r="HZ13"/>
      <c r="IA13"/>
      <c r="IB13"/>
      <c r="IC13"/>
      <c r="ID13"/>
      <c r="IE13"/>
      <c r="IF13"/>
      <c r="IG13"/>
      <c r="IH13"/>
      <c r="II13"/>
      <c r="IJ13"/>
      <c r="IK13"/>
      <c r="IL13"/>
      <c r="IM13"/>
      <c r="IN13"/>
      <c r="IO13"/>
      <c r="IP13"/>
      <c r="IQ13"/>
      <c r="IR13"/>
      <c r="IS13"/>
      <c r="IT13"/>
      <c r="IU13"/>
      <c r="IV13"/>
    </row>
    <row r="14" spans="2:256" s="70" customFormat="1" ht="12.75" x14ac:dyDescent="0.2">
      <c r="S14" s="129"/>
      <c r="T14" s="10"/>
      <c r="U14" s="10"/>
      <c r="V14" s="10"/>
      <c r="W14" s="10"/>
      <c r="X14" s="10"/>
      <c r="Y14" s="10"/>
      <c r="Z14" s="10"/>
      <c r="AA14" s="140"/>
      <c r="HY14"/>
      <c r="HZ14"/>
      <c r="IA14"/>
      <c r="IB14"/>
      <c r="IC14"/>
      <c r="ID14"/>
      <c r="IE14"/>
      <c r="IF14"/>
      <c r="IG14"/>
      <c r="IH14"/>
      <c r="II14"/>
      <c r="IJ14"/>
      <c r="IK14"/>
      <c r="IL14"/>
      <c r="IM14"/>
      <c r="IN14"/>
      <c r="IO14"/>
      <c r="IP14"/>
      <c r="IQ14"/>
      <c r="IR14"/>
      <c r="IS14"/>
      <c r="IT14"/>
      <c r="IU14"/>
      <c r="IV14"/>
    </row>
    <row r="15" spans="2:256" s="70" customFormat="1" ht="12.75" x14ac:dyDescent="0.2">
      <c r="S15" s="129"/>
      <c r="T15" s="189"/>
      <c r="U15" s="10"/>
      <c r="V15" s="10"/>
      <c r="W15" s="10"/>
      <c r="X15" s="10"/>
      <c r="Y15" s="10"/>
      <c r="Z15" s="10"/>
      <c r="AA15" s="140"/>
      <c r="HY15"/>
      <c r="HZ15"/>
      <c r="IA15"/>
      <c r="IB15"/>
      <c r="IC15"/>
      <c r="ID15"/>
      <c r="IE15"/>
      <c r="IF15"/>
      <c r="IG15"/>
      <c r="IH15"/>
      <c r="II15"/>
      <c r="IJ15"/>
      <c r="IK15"/>
      <c r="IL15"/>
      <c r="IM15"/>
      <c r="IN15"/>
      <c r="IO15"/>
      <c r="IP15"/>
      <c r="IQ15"/>
      <c r="IR15"/>
      <c r="IS15"/>
      <c r="IT15"/>
      <c r="IU15"/>
      <c r="IV15"/>
    </row>
    <row r="16" spans="2:256" s="70" customFormat="1" ht="6" customHeight="1" x14ac:dyDescent="0.2">
      <c r="R16" s="264"/>
      <c r="T16" s="63"/>
      <c r="U16" s="63"/>
      <c r="V16" s="63"/>
      <c r="W16" s="63"/>
      <c r="X16" s="63"/>
      <c r="Y16" s="63"/>
      <c r="Z16" s="63"/>
      <c r="AA16" s="141"/>
      <c r="HY16"/>
      <c r="HZ16"/>
      <c r="IA16"/>
      <c r="IB16"/>
      <c r="IC16"/>
      <c r="ID16"/>
      <c r="IE16"/>
      <c r="IF16"/>
      <c r="IG16"/>
      <c r="IH16"/>
      <c r="II16"/>
      <c r="IJ16"/>
      <c r="IK16"/>
      <c r="IL16"/>
      <c r="IM16"/>
      <c r="IN16"/>
      <c r="IO16"/>
      <c r="IP16"/>
      <c r="IQ16"/>
      <c r="IR16"/>
      <c r="IS16"/>
      <c r="IT16"/>
      <c r="IU16"/>
      <c r="IV16"/>
    </row>
    <row r="17" spans="13:256" s="70" customFormat="1" ht="12.75" x14ac:dyDescent="0.2">
      <c r="S17" s="129"/>
      <c r="T17" s="63"/>
      <c r="U17" s="63"/>
      <c r="V17" s="63"/>
      <c r="W17" s="63"/>
      <c r="X17" s="63"/>
      <c r="Y17" s="63"/>
      <c r="Z17" s="63"/>
      <c r="AA17" s="141"/>
      <c r="HY17"/>
      <c r="HZ17"/>
      <c r="IA17"/>
      <c r="IB17"/>
      <c r="IC17"/>
      <c r="ID17"/>
      <c r="IE17"/>
      <c r="IF17"/>
      <c r="IG17"/>
      <c r="IH17"/>
      <c r="II17"/>
      <c r="IJ17"/>
      <c r="IK17"/>
      <c r="IL17"/>
      <c r="IM17"/>
      <c r="IN17"/>
      <c r="IO17"/>
      <c r="IP17"/>
      <c r="IQ17"/>
      <c r="IR17"/>
      <c r="IS17"/>
      <c r="IT17"/>
      <c r="IU17"/>
      <c r="IV17"/>
    </row>
    <row r="18" spans="13:256" s="70" customFormat="1" ht="12.75" x14ac:dyDescent="0.2">
      <c r="R18" s="264"/>
      <c r="T18" s="189"/>
      <c r="U18" s="189"/>
      <c r="V18" s="189"/>
      <c r="W18" s="189"/>
      <c r="X18" s="189"/>
      <c r="Y18" s="189"/>
      <c r="Z18" s="189"/>
      <c r="AA18" s="189"/>
      <c r="AB18" s="265"/>
      <c r="HY18"/>
      <c r="HZ18"/>
      <c r="IA18"/>
      <c r="IB18"/>
      <c r="IC18"/>
      <c r="ID18"/>
      <c r="IE18"/>
      <c r="IF18"/>
      <c r="IG18"/>
      <c r="IH18"/>
      <c r="II18"/>
      <c r="IJ18"/>
      <c r="IK18"/>
      <c r="IL18"/>
      <c r="IM18"/>
      <c r="IN18"/>
      <c r="IO18"/>
      <c r="IP18"/>
      <c r="IQ18"/>
      <c r="IR18"/>
      <c r="IS18"/>
      <c r="IT18"/>
      <c r="IU18"/>
      <c r="IV18"/>
    </row>
    <row r="19" spans="13:256" s="70" customFormat="1" ht="12.75" x14ac:dyDescent="0.2">
      <c r="S19" s="129" t="s">
        <v>1375</v>
      </c>
      <c r="T19" s="189"/>
      <c r="U19" s="189"/>
      <c r="V19" s="189"/>
      <c r="W19" s="189"/>
      <c r="X19" s="189"/>
      <c r="Y19" s="189"/>
      <c r="Z19" s="189"/>
      <c r="AA19" s="189"/>
      <c r="AB19" s="265"/>
      <c r="HY19"/>
      <c r="HZ19"/>
      <c r="IA19"/>
      <c r="IB19"/>
      <c r="IC19"/>
      <c r="ID19"/>
      <c r="IE19"/>
      <c r="IF19"/>
      <c r="IG19"/>
      <c r="IH19"/>
      <c r="II19"/>
      <c r="IJ19"/>
      <c r="IK19"/>
      <c r="IL19"/>
      <c r="IM19"/>
      <c r="IN19"/>
      <c r="IO19"/>
      <c r="IP19"/>
      <c r="IQ19"/>
      <c r="IR19"/>
      <c r="IS19"/>
      <c r="IT19"/>
      <c r="IU19"/>
      <c r="IV19"/>
    </row>
    <row r="20" spans="13:256" s="70" customFormat="1" ht="12.75" x14ac:dyDescent="0.2">
      <c r="M20" s="11">
        <f>M10/N4</f>
        <v>-0.21102449888641425</v>
      </c>
      <c r="S20" s="130" t="s">
        <v>1376</v>
      </c>
      <c r="T20" s="10" t="s">
        <v>2067</v>
      </c>
      <c r="U20" s="10" t="s">
        <v>2067</v>
      </c>
      <c r="V20" s="10" t="s">
        <v>2067</v>
      </c>
      <c r="W20" s="10" t="s">
        <v>2067</v>
      </c>
      <c r="X20" s="63">
        <v>76</v>
      </c>
      <c r="Y20" s="10" t="s">
        <v>2067</v>
      </c>
      <c r="Z20" s="10" t="s">
        <v>2067</v>
      </c>
      <c r="AA20" s="140" t="s">
        <v>2067</v>
      </c>
      <c r="HY20"/>
      <c r="HZ20"/>
      <c r="IA20"/>
      <c r="IB20"/>
      <c r="IC20"/>
      <c r="ID20"/>
      <c r="IE20"/>
      <c r="IF20"/>
      <c r="IG20"/>
      <c r="IH20"/>
      <c r="II20"/>
      <c r="IJ20"/>
      <c r="IK20"/>
      <c r="IL20"/>
      <c r="IM20"/>
      <c r="IN20"/>
      <c r="IO20"/>
      <c r="IP20"/>
      <c r="IQ20"/>
      <c r="IR20"/>
      <c r="IS20"/>
      <c r="IT20"/>
      <c r="IU20"/>
      <c r="IV20"/>
    </row>
    <row r="21" spans="13:256" s="70" customFormat="1" ht="12.75" x14ac:dyDescent="0.2">
      <c r="S21" s="130" t="s">
        <v>1377</v>
      </c>
      <c r="T21" s="10" t="s">
        <v>2067</v>
      </c>
      <c r="U21" s="10" t="s">
        <v>2067</v>
      </c>
      <c r="V21" s="10" t="s">
        <v>2067</v>
      </c>
      <c r="W21" s="10" t="s">
        <v>2067</v>
      </c>
      <c r="X21" s="10" t="s">
        <v>2067</v>
      </c>
      <c r="Y21" s="10" t="s">
        <v>2067</v>
      </c>
      <c r="Z21" s="10" t="s">
        <v>2067</v>
      </c>
      <c r="AA21" s="75">
        <v>349</v>
      </c>
      <c r="HY21"/>
      <c r="HZ21"/>
      <c r="IA21"/>
      <c r="IB21"/>
      <c r="IC21"/>
      <c r="ID21"/>
      <c r="IE21"/>
      <c r="IF21"/>
      <c r="IG21"/>
      <c r="IH21"/>
      <c r="II21"/>
      <c r="IJ21"/>
      <c r="IK21"/>
      <c r="IL21"/>
      <c r="IM21"/>
      <c r="IN21"/>
      <c r="IO21"/>
      <c r="IP21"/>
      <c r="IQ21"/>
      <c r="IR21"/>
      <c r="IS21"/>
      <c r="IT21"/>
      <c r="IU21"/>
      <c r="IV21"/>
    </row>
    <row r="22" spans="13:256" s="70" customFormat="1" ht="12.75" x14ac:dyDescent="0.2">
      <c r="S22" s="130" t="s">
        <v>1378</v>
      </c>
      <c r="T22" s="10">
        <v>811</v>
      </c>
      <c r="U22" s="10" t="s">
        <v>2067</v>
      </c>
      <c r="V22" s="10" t="s">
        <v>2067</v>
      </c>
      <c r="W22" s="10" t="s">
        <v>2067</v>
      </c>
      <c r="X22" s="10" t="s">
        <v>2067</v>
      </c>
      <c r="Y22" s="10" t="s">
        <v>2067</v>
      </c>
      <c r="Z22" s="10" t="s">
        <v>2067</v>
      </c>
      <c r="AA22" s="140" t="s">
        <v>2067</v>
      </c>
      <c r="HY22"/>
      <c r="HZ22"/>
      <c r="IA22"/>
      <c r="IB22"/>
      <c r="IC22"/>
      <c r="ID22"/>
      <c r="IE22"/>
      <c r="IF22"/>
      <c r="IG22"/>
      <c r="IH22"/>
      <c r="II22"/>
      <c r="IJ22"/>
      <c r="IK22"/>
      <c r="IL22"/>
      <c r="IM22"/>
      <c r="IN22"/>
      <c r="IO22"/>
      <c r="IP22"/>
      <c r="IQ22"/>
      <c r="IR22"/>
      <c r="IS22"/>
      <c r="IT22"/>
      <c r="IU22"/>
      <c r="IV22"/>
    </row>
    <row r="23" spans="13:256" s="70" customFormat="1" ht="12.75" x14ac:dyDescent="0.2">
      <c r="S23" s="130" t="s">
        <v>1379</v>
      </c>
      <c r="T23" s="2">
        <f>137+34-91-MAR!AU863+MAR!AY863</f>
        <v>45</v>
      </c>
      <c r="U23" s="10" t="s">
        <v>2067</v>
      </c>
      <c r="V23" s="10" t="s">
        <v>2067</v>
      </c>
      <c r="W23" s="10" t="s">
        <v>2067</v>
      </c>
      <c r="X23" s="2">
        <f>115-X20</f>
        <v>39</v>
      </c>
      <c r="Y23" s="2">
        <v>60</v>
      </c>
      <c r="Z23" s="2">
        <v>14</v>
      </c>
      <c r="AA23" s="75">
        <f>354-AA21</f>
        <v>5</v>
      </c>
      <c r="HY23"/>
      <c r="HZ23"/>
      <c r="IA23"/>
      <c r="IB23"/>
      <c r="IC23"/>
      <c r="ID23"/>
      <c r="IE23"/>
      <c r="IF23"/>
      <c r="IG23"/>
      <c r="IH23"/>
      <c r="II23"/>
      <c r="IJ23"/>
      <c r="IK23"/>
      <c r="IL23"/>
      <c r="IM23"/>
      <c r="IN23"/>
      <c r="IO23"/>
      <c r="IP23"/>
      <c r="IQ23"/>
      <c r="IR23"/>
      <c r="IS23"/>
      <c r="IT23"/>
      <c r="IU23"/>
      <c r="IV23"/>
    </row>
    <row r="24" spans="13:256" s="70" customFormat="1" ht="12.75" x14ac:dyDescent="0.2">
      <c r="S24" s="130" t="s">
        <v>1339</v>
      </c>
      <c r="T24" s="2">
        <f>-MAR!AZ718</f>
        <v>31</v>
      </c>
      <c r="U24" s="2">
        <f>-MAR!BB718</f>
        <v>31</v>
      </c>
      <c r="V24" s="2">
        <f>-MAR!BC718</f>
        <v>30</v>
      </c>
      <c r="W24" s="2">
        <f>-MAR!BD718</f>
        <v>2</v>
      </c>
      <c r="X24" s="2">
        <f>-MAR!BE718</f>
        <v>0</v>
      </c>
      <c r="Y24" s="2">
        <f>-MAR!BK718</f>
        <v>43</v>
      </c>
      <c r="Z24" s="2">
        <f>-MAR!BP718</f>
        <v>134</v>
      </c>
      <c r="AA24" s="75">
        <f>-MAR!BU718</f>
        <v>191</v>
      </c>
      <c r="HY24"/>
      <c r="HZ24"/>
      <c r="IA24"/>
      <c r="IB24"/>
      <c r="IC24"/>
      <c r="ID24"/>
      <c r="IE24"/>
      <c r="IF24"/>
      <c r="IG24"/>
      <c r="IH24"/>
      <c r="II24"/>
      <c r="IJ24"/>
      <c r="IK24"/>
      <c r="IL24"/>
      <c r="IM24"/>
      <c r="IN24"/>
      <c r="IO24"/>
      <c r="IP24"/>
      <c r="IQ24"/>
      <c r="IR24"/>
      <c r="IS24"/>
      <c r="IT24"/>
      <c r="IU24"/>
      <c r="IV24"/>
    </row>
    <row r="25" spans="13:256" s="70" customFormat="1" ht="6" customHeight="1" x14ac:dyDescent="0.2">
      <c r="R25" s="264"/>
      <c r="T25" s="63" t="s">
        <v>1373</v>
      </c>
      <c r="U25" s="63" t="s">
        <v>1373</v>
      </c>
      <c r="V25" s="63" t="s">
        <v>1373</v>
      </c>
      <c r="W25" s="63" t="s">
        <v>1373</v>
      </c>
      <c r="X25" s="63" t="s">
        <v>1373</v>
      </c>
      <c r="Y25" s="63" t="s">
        <v>1373</v>
      </c>
      <c r="Z25" s="63" t="s">
        <v>1373</v>
      </c>
      <c r="AA25" s="141" t="s">
        <v>1373</v>
      </c>
      <c r="HY25"/>
      <c r="HZ25"/>
      <c r="IA25"/>
      <c r="IB25"/>
      <c r="IC25"/>
      <c r="ID25"/>
      <c r="IE25"/>
      <c r="IF25"/>
      <c r="IG25"/>
      <c r="IH25"/>
      <c r="II25"/>
      <c r="IJ25"/>
      <c r="IK25"/>
      <c r="IL25"/>
      <c r="IM25"/>
      <c r="IN25"/>
      <c r="IO25"/>
      <c r="IP25"/>
      <c r="IQ25"/>
      <c r="IR25"/>
      <c r="IS25"/>
      <c r="IT25"/>
      <c r="IU25"/>
      <c r="IV25"/>
    </row>
    <row r="26" spans="13:256" s="70" customFormat="1" ht="12.75" x14ac:dyDescent="0.2">
      <c r="S26" s="129" t="s">
        <v>1374</v>
      </c>
      <c r="T26" s="63">
        <f t="shared" ref="T26:AA26" si="1">SUM(T20:T24)</f>
        <v>887</v>
      </c>
      <c r="U26" s="63">
        <f t="shared" si="1"/>
        <v>31</v>
      </c>
      <c r="V26" s="63">
        <f t="shared" si="1"/>
        <v>30</v>
      </c>
      <c r="W26" s="63">
        <f t="shared" si="1"/>
        <v>2</v>
      </c>
      <c r="X26" s="63">
        <f t="shared" si="1"/>
        <v>115</v>
      </c>
      <c r="Y26" s="63">
        <f t="shared" si="1"/>
        <v>103</v>
      </c>
      <c r="Z26" s="63">
        <f t="shared" si="1"/>
        <v>148</v>
      </c>
      <c r="AA26" s="141">
        <f t="shared" si="1"/>
        <v>545</v>
      </c>
      <c r="HY26"/>
      <c r="HZ26"/>
      <c r="IA26"/>
      <c r="IB26"/>
      <c r="IC26"/>
      <c r="ID26"/>
      <c r="IE26"/>
      <c r="IF26"/>
      <c r="IG26"/>
      <c r="IH26"/>
      <c r="II26"/>
      <c r="IJ26"/>
      <c r="IK26"/>
      <c r="IL26"/>
      <c r="IM26"/>
      <c r="IN26"/>
      <c r="IO26"/>
      <c r="IP26"/>
      <c r="IQ26"/>
      <c r="IR26"/>
      <c r="IS26"/>
      <c r="IT26"/>
      <c r="IU26"/>
      <c r="IV26"/>
    </row>
    <row r="27" spans="13:256" s="70" customFormat="1" ht="7.5" customHeight="1" x14ac:dyDescent="0.2">
      <c r="R27" s="264"/>
      <c r="T27" s="189"/>
      <c r="U27" s="189"/>
      <c r="V27" s="189"/>
      <c r="W27" s="189"/>
      <c r="X27" s="189"/>
      <c r="Y27" s="189"/>
      <c r="Z27" s="189"/>
      <c r="AA27" s="189"/>
      <c r="AB27" s="265"/>
      <c r="HY27"/>
      <c r="HZ27"/>
      <c r="IA27"/>
      <c r="IB27"/>
      <c r="IC27"/>
      <c r="ID27"/>
      <c r="IE27"/>
      <c r="IF27"/>
      <c r="IG27"/>
      <c r="IH27"/>
      <c r="II27"/>
      <c r="IJ27"/>
      <c r="IK27"/>
      <c r="IL27"/>
      <c r="IM27"/>
      <c r="IN27"/>
      <c r="IO27"/>
      <c r="IP27"/>
      <c r="IQ27"/>
      <c r="IR27"/>
      <c r="IS27"/>
      <c r="IT27"/>
      <c r="IU27"/>
      <c r="IV27"/>
    </row>
    <row r="28" spans="13:256" s="70" customFormat="1" ht="12.75" x14ac:dyDescent="0.2">
      <c r="S28" s="171" t="s">
        <v>788</v>
      </c>
      <c r="T28" s="67">
        <f t="shared" ref="T28:AA28" si="2">T26+T17</f>
        <v>887</v>
      </c>
      <c r="U28" s="67">
        <f t="shared" si="2"/>
        <v>31</v>
      </c>
      <c r="V28" s="67">
        <f t="shared" si="2"/>
        <v>30</v>
      </c>
      <c r="W28" s="67">
        <f t="shared" si="2"/>
        <v>2</v>
      </c>
      <c r="X28" s="67">
        <f t="shared" si="2"/>
        <v>115</v>
      </c>
      <c r="Y28" s="67">
        <f t="shared" si="2"/>
        <v>103</v>
      </c>
      <c r="Z28" s="67">
        <f t="shared" si="2"/>
        <v>148</v>
      </c>
      <c r="AA28" s="172">
        <f t="shared" si="2"/>
        <v>545</v>
      </c>
      <c r="HY28"/>
      <c r="HZ28"/>
      <c r="IA28"/>
      <c r="IB28"/>
      <c r="IC28"/>
      <c r="ID28"/>
      <c r="IE28"/>
      <c r="IF28"/>
      <c r="IG28"/>
      <c r="IH28"/>
      <c r="II28"/>
      <c r="IJ28"/>
      <c r="IK28"/>
      <c r="IL28"/>
      <c r="IM28"/>
      <c r="IN28"/>
      <c r="IO28"/>
      <c r="IP28"/>
      <c r="IQ28"/>
      <c r="IR28"/>
      <c r="IS28"/>
      <c r="IT28"/>
      <c r="IU28"/>
      <c r="IV28"/>
    </row>
    <row r="29" spans="13:256" s="70" customFormat="1" ht="12.75" x14ac:dyDescent="0.2">
      <c r="HY29"/>
      <c r="HZ29"/>
      <c r="IA29"/>
      <c r="IB29"/>
      <c r="IC29"/>
      <c r="ID29"/>
      <c r="IE29"/>
      <c r="IF29"/>
      <c r="IG29"/>
      <c r="IH29"/>
      <c r="II29"/>
      <c r="IJ29"/>
      <c r="IK29"/>
      <c r="IL29"/>
      <c r="IM29"/>
      <c r="IN29"/>
      <c r="IO29"/>
      <c r="IP29"/>
      <c r="IQ29"/>
      <c r="IR29"/>
      <c r="IS29"/>
      <c r="IT29"/>
      <c r="IU29"/>
      <c r="IV29"/>
    </row>
    <row r="30" spans="13:256" s="70" customFormat="1" ht="12.75" x14ac:dyDescent="0.2">
      <c r="AC30" s="39" t="s">
        <v>789</v>
      </c>
      <c r="HY30"/>
      <c r="HZ30"/>
      <c r="IA30"/>
      <c r="IB30"/>
      <c r="IC30"/>
      <c r="ID30"/>
      <c r="IE30"/>
      <c r="IF30"/>
      <c r="IG30"/>
      <c r="IH30"/>
      <c r="II30"/>
      <c r="IJ30"/>
      <c r="IK30"/>
      <c r="IL30"/>
      <c r="IM30"/>
      <c r="IN30"/>
      <c r="IO30"/>
      <c r="IP30"/>
      <c r="IQ30"/>
      <c r="IR30"/>
      <c r="IS30"/>
      <c r="IT30"/>
      <c r="IU30"/>
      <c r="IV30"/>
    </row>
    <row r="31" spans="13:256" s="70" customFormat="1" ht="12.75" x14ac:dyDescent="0.2">
      <c r="AB31" s="264"/>
      <c r="AD31" s="136" t="s">
        <v>790</v>
      </c>
      <c r="HY31"/>
      <c r="HZ31"/>
      <c r="IA31"/>
      <c r="IB31"/>
      <c r="IC31"/>
      <c r="ID31"/>
      <c r="IE31"/>
      <c r="IF31"/>
      <c r="IG31"/>
      <c r="IH31"/>
      <c r="II31"/>
      <c r="IJ31"/>
      <c r="IK31"/>
      <c r="IL31"/>
      <c r="IM31"/>
      <c r="IN31"/>
      <c r="IO31"/>
      <c r="IP31"/>
      <c r="IQ31"/>
      <c r="IR31"/>
      <c r="IS31"/>
      <c r="IT31"/>
      <c r="IU31"/>
      <c r="IV31"/>
    </row>
    <row r="32" spans="13:256" s="70" customFormat="1" ht="12.75" x14ac:dyDescent="0.2">
      <c r="AC32" s="128" t="s">
        <v>791</v>
      </c>
      <c r="AD32" s="138">
        <f>MAR!AZ745</f>
        <v>134</v>
      </c>
      <c r="HY32"/>
      <c r="HZ32"/>
      <c r="IA32"/>
      <c r="IB32"/>
      <c r="IC32"/>
      <c r="ID32"/>
      <c r="IE32"/>
      <c r="IF32"/>
      <c r="IG32"/>
      <c r="IH32"/>
      <c r="II32"/>
      <c r="IJ32"/>
      <c r="IK32"/>
      <c r="IL32"/>
      <c r="IM32"/>
      <c r="IN32"/>
      <c r="IO32"/>
      <c r="IP32"/>
      <c r="IQ32"/>
      <c r="IR32"/>
      <c r="IS32"/>
      <c r="IT32"/>
      <c r="IU32"/>
      <c r="IV32"/>
    </row>
    <row r="33" spans="23:256" s="70" customFormat="1" ht="12.75" x14ac:dyDescent="0.2">
      <c r="W33" s="2">
        <f>SUM(U17:X17)</f>
        <v>0</v>
      </c>
      <c r="AC33" s="129" t="s">
        <v>792</v>
      </c>
      <c r="AD33" s="75">
        <f>2400-969</f>
        <v>1431</v>
      </c>
      <c r="HY33"/>
      <c r="HZ33"/>
      <c r="IA33"/>
      <c r="IB33"/>
      <c r="IC33"/>
      <c r="ID33"/>
      <c r="IE33"/>
      <c r="IF33"/>
      <c r="IG33"/>
      <c r="IH33"/>
      <c r="II33"/>
      <c r="IJ33"/>
      <c r="IK33"/>
      <c r="IL33"/>
      <c r="IM33"/>
      <c r="IN33"/>
      <c r="IO33"/>
      <c r="IP33"/>
      <c r="IQ33"/>
      <c r="IR33"/>
      <c r="IS33"/>
      <c r="IT33"/>
      <c r="IU33"/>
      <c r="IV33"/>
    </row>
    <row r="34" spans="23:256" s="70" customFormat="1" ht="6.75" customHeight="1" x14ac:dyDescent="0.2">
      <c r="AB34" s="264"/>
      <c r="AD34" s="140" t="s">
        <v>1373</v>
      </c>
      <c r="HY34"/>
      <c r="HZ34"/>
      <c r="IA34"/>
      <c r="IB34"/>
      <c r="IC34"/>
      <c r="ID34"/>
      <c r="IE34"/>
      <c r="IF34"/>
      <c r="IG34"/>
      <c r="IH34"/>
      <c r="II34"/>
      <c r="IJ34"/>
      <c r="IK34"/>
      <c r="IL34"/>
      <c r="IM34"/>
      <c r="IN34"/>
      <c r="IO34"/>
      <c r="IP34"/>
      <c r="IQ34"/>
      <c r="IR34"/>
      <c r="IS34"/>
      <c r="IT34"/>
      <c r="IU34"/>
      <c r="IV34"/>
    </row>
    <row r="35" spans="23:256" s="70" customFormat="1" ht="12.75" x14ac:dyDescent="0.2">
      <c r="AC35" s="129" t="s">
        <v>793</v>
      </c>
      <c r="AD35" s="74">
        <f>AD32+AD33</f>
        <v>1565</v>
      </c>
      <c r="HY35"/>
      <c r="HZ35"/>
      <c r="IA35"/>
      <c r="IB35"/>
      <c r="IC35"/>
      <c r="ID35"/>
      <c r="IE35"/>
      <c r="IF35"/>
      <c r="IG35"/>
      <c r="IH35"/>
      <c r="II35"/>
      <c r="IJ35"/>
      <c r="IK35"/>
      <c r="IL35"/>
      <c r="IM35"/>
      <c r="IN35"/>
      <c r="IO35"/>
      <c r="IP35"/>
      <c r="IQ35"/>
      <c r="IR35"/>
      <c r="IS35"/>
      <c r="IT35"/>
      <c r="IU35"/>
      <c r="IV35"/>
    </row>
    <row r="36" spans="23:256" s="70" customFormat="1" ht="12.75" x14ac:dyDescent="0.2">
      <c r="AB36" s="264"/>
      <c r="AE36" s="265"/>
      <c r="HY36"/>
      <c r="HZ36"/>
      <c r="IA36"/>
      <c r="IB36"/>
      <c r="IC36"/>
      <c r="ID36"/>
      <c r="IE36"/>
      <c r="IF36"/>
      <c r="IG36"/>
      <c r="IH36"/>
      <c r="II36"/>
      <c r="IJ36"/>
      <c r="IK36"/>
      <c r="IL36"/>
      <c r="IM36"/>
      <c r="IN36"/>
      <c r="IO36"/>
      <c r="IP36"/>
      <c r="IQ36"/>
      <c r="IR36"/>
      <c r="IS36"/>
      <c r="IT36"/>
      <c r="IU36"/>
      <c r="IV36"/>
    </row>
    <row r="37" spans="23:256" s="70" customFormat="1" ht="12.75" x14ac:dyDescent="0.2">
      <c r="AC37" s="129" t="s">
        <v>794</v>
      </c>
      <c r="AD37" s="74">
        <f>MAR!BF117</f>
        <v>459</v>
      </c>
      <c r="HY37"/>
      <c r="HZ37"/>
      <c r="IA37"/>
      <c r="IB37"/>
      <c r="IC37"/>
      <c r="ID37"/>
      <c r="IE37"/>
      <c r="IF37"/>
      <c r="IG37"/>
      <c r="IH37"/>
      <c r="II37"/>
      <c r="IJ37"/>
      <c r="IK37"/>
      <c r="IL37"/>
      <c r="IM37"/>
      <c r="IN37"/>
      <c r="IO37"/>
      <c r="IP37"/>
      <c r="IQ37"/>
      <c r="IR37"/>
      <c r="IS37"/>
      <c r="IT37"/>
      <c r="IU37"/>
      <c r="IV37"/>
    </row>
    <row r="38" spans="23:256" s="70" customFormat="1" ht="12.75" x14ac:dyDescent="0.2">
      <c r="AC38" s="129" t="s">
        <v>1194</v>
      </c>
      <c r="AD38" s="75">
        <f>-SUM(U11:X11)</f>
        <v>0</v>
      </c>
      <c r="HY38"/>
      <c r="HZ38"/>
      <c r="IA38"/>
      <c r="IB38"/>
      <c r="IC38"/>
      <c r="ID38"/>
      <c r="IE38"/>
      <c r="IF38"/>
      <c r="IG38"/>
      <c r="IH38"/>
      <c r="II38"/>
      <c r="IJ38"/>
      <c r="IK38"/>
      <c r="IL38"/>
      <c r="IM38"/>
      <c r="IN38"/>
      <c r="IO38"/>
      <c r="IP38"/>
      <c r="IQ38"/>
      <c r="IR38"/>
      <c r="IS38"/>
      <c r="IT38"/>
      <c r="IU38"/>
      <c r="IV38"/>
    </row>
    <row r="39" spans="23:256" s="70" customFormat="1" ht="12.75" x14ac:dyDescent="0.2">
      <c r="AC39" s="129" t="str">
        <f>S20</f>
        <v>Series C Notes maturing 9/15/2009</v>
      </c>
      <c r="AD39" s="75">
        <f>-SUM(U20:X20)</f>
        <v>-76</v>
      </c>
      <c r="HY39"/>
      <c r="HZ39"/>
      <c r="IA39"/>
      <c r="IB39"/>
      <c r="IC39"/>
      <c r="ID39"/>
      <c r="IE39"/>
      <c r="IF39"/>
      <c r="IG39"/>
      <c r="IH39"/>
      <c r="II39"/>
      <c r="IJ39"/>
      <c r="IK39"/>
      <c r="IL39"/>
      <c r="IM39"/>
      <c r="IN39"/>
      <c r="IO39"/>
      <c r="IP39"/>
      <c r="IQ39"/>
      <c r="IR39"/>
      <c r="IS39"/>
      <c r="IT39"/>
      <c r="IU39"/>
      <c r="IV39"/>
    </row>
    <row r="40" spans="23:256" s="70" customFormat="1" ht="12.75" x14ac:dyDescent="0.2">
      <c r="AC40" s="129" t="str">
        <f>S23</f>
        <v>Mortgage and Other Debt</v>
      </c>
      <c r="AD40" s="75">
        <f>-SUM(U23:X23)</f>
        <v>-39</v>
      </c>
      <c r="HY40"/>
      <c r="HZ40"/>
      <c r="IA40"/>
      <c r="IB40"/>
      <c r="IC40"/>
      <c r="ID40"/>
      <c r="IE40"/>
      <c r="IF40"/>
      <c r="IG40"/>
      <c r="IH40"/>
      <c r="II40"/>
      <c r="IJ40"/>
      <c r="IK40"/>
      <c r="IL40"/>
      <c r="IM40"/>
      <c r="IN40"/>
      <c r="IO40"/>
      <c r="IP40"/>
      <c r="IQ40"/>
      <c r="IR40"/>
      <c r="IS40"/>
      <c r="IT40"/>
      <c r="IU40"/>
      <c r="IV40"/>
    </row>
    <row r="41" spans="23:256" s="70" customFormat="1" ht="12.75" x14ac:dyDescent="0.2">
      <c r="AC41" s="129" t="s">
        <v>1339</v>
      </c>
      <c r="AD41" s="75">
        <f>-SUM(U24:X24)</f>
        <v>-63</v>
      </c>
      <c r="HY41"/>
      <c r="HZ41"/>
      <c r="IA41"/>
      <c r="IB41"/>
      <c r="IC41"/>
      <c r="ID41"/>
      <c r="IE41"/>
      <c r="IF41"/>
      <c r="IG41"/>
      <c r="IH41"/>
      <c r="II41"/>
      <c r="IJ41"/>
      <c r="IK41"/>
      <c r="IL41"/>
      <c r="IM41"/>
      <c r="IN41"/>
      <c r="IO41"/>
      <c r="IP41"/>
      <c r="IQ41"/>
      <c r="IR41"/>
      <c r="IS41"/>
      <c r="IT41"/>
      <c r="IU41"/>
      <c r="IV41"/>
    </row>
    <row r="42" spans="23:256" s="70" customFormat="1" ht="12.75" x14ac:dyDescent="0.2">
      <c r="AC42" s="129" t="s">
        <v>795</v>
      </c>
      <c r="AD42" s="75">
        <f>-MAR!BF504</f>
        <v>-291</v>
      </c>
      <c r="HY42"/>
      <c r="HZ42"/>
      <c r="IA42"/>
      <c r="IB42"/>
      <c r="IC42"/>
      <c r="ID42"/>
      <c r="IE42"/>
      <c r="IF42"/>
      <c r="IG42"/>
      <c r="IH42"/>
      <c r="II42"/>
      <c r="IJ42"/>
      <c r="IK42"/>
      <c r="IL42"/>
      <c r="IM42"/>
      <c r="IN42"/>
      <c r="IO42"/>
      <c r="IP42"/>
      <c r="IQ42"/>
      <c r="IR42"/>
      <c r="IS42"/>
      <c r="IT42"/>
      <c r="IU42"/>
      <c r="IV42"/>
    </row>
    <row r="43" spans="23:256" s="70" customFormat="1" ht="12.75" x14ac:dyDescent="0.2">
      <c r="AC43" s="129" t="s">
        <v>1171</v>
      </c>
      <c r="AD43" s="75">
        <f>-MAR!BF505</f>
        <v>446</v>
      </c>
      <c r="HY43"/>
      <c r="HZ43"/>
      <c r="IA43"/>
      <c r="IB43"/>
      <c r="IC43"/>
      <c r="ID43"/>
      <c r="IE43"/>
      <c r="IF43"/>
      <c r="IG43"/>
      <c r="IH43"/>
      <c r="II43"/>
      <c r="IJ43"/>
      <c r="IK43"/>
      <c r="IL43"/>
      <c r="IM43"/>
      <c r="IN43"/>
      <c r="IO43"/>
      <c r="IP43"/>
      <c r="IQ43"/>
      <c r="IR43"/>
      <c r="IS43"/>
      <c r="IT43"/>
      <c r="IU43"/>
      <c r="IV43"/>
    </row>
    <row r="44" spans="23:256" s="70" customFormat="1" ht="12.75" x14ac:dyDescent="0.2">
      <c r="AC44" s="129" t="s">
        <v>1443</v>
      </c>
      <c r="AD44" s="75"/>
      <c r="HY44"/>
      <c r="HZ44"/>
      <c r="IA44"/>
      <c r="IB44"/>
      <c r="IC44"/>
      <c r="ID44"/>
      <c r="IE44"/>
      <c r="IF44"/>
      <c r="IG44"/>
      <c r="IH44"/>
      <c r="II44"/>
      <c r="IJ44"/>
      <c r="IK44"/>
      <c r="IL44"/>
      <c r="IM44"/>
      <c r="IN44"/>
      <c r="IO44"/>
      <c r="IP44"/>
      <c r="IQ44"/>
      <c r="IR44"/>
      <c r="IS44"/>
      <c r="IT44"/>
      <c r="IU44"/>
      <c r="IV44"/>
    </row>
    <row r="45" spans="23:256" s="70" customFormat="1" ht="6" customHeight="1" x14ac:dyDescent="0.2">
      <c r="AB45" s="264"/>
      <c r="AD45" s="173" t="s">
        <v>1373</v>
      </c>
      <c r="HY45"/>
      <c r="HZ45"/>
      <c r="IA45"/>
      <c r="IB45"/>
      <c r="IC45"/>
      <c r="ID45"/>
      <c r="IE45"/>
      <c r="IF45"/>
      <c r="IG45"/>
      <c r="IH45"/>
      <c r="II45"/>
      <c r="IJ45"/>
      <c r="IK45"/>
      <c r="IL45"/>
      <c r="IM45"/>
      <c r="IN45"/>
      <c r="IO45"/>
      <c r="IP45"/>
      <c r="IQ45"/>
      <c r="IR45"/>
      <c r="IS45"/>
      <c r="IT45"/>
      <c r="IU45"/>
      <c r="IV45"/>
    </row>
    <row r="46" spans="23:256" s="70" customFormat="1" ht="12.75" x14ac:dyDescent="0.2">
      <c r="AC46" s="40" t="s">
        <v>1172</v>
      </c>
      <c r="AD46" s="42">
        <f>SUM(AD35:AD44)</f>
        <v>2001</v>
      </c>
      <c r="HY46"/>
      <c r="HZ46"/>
      <c r="IA46"/>
      <c r="IB46"/>
      <c r="IC46"/>
      <c r="ID46"/>
      <c r="IE46"/>
      <c r="IF46"/>
      <c r="IG46"/>
      <c r="IH46"/>
      <c r="II46"/>
      <c r="IJ46"/>
      <c r="IK46"/>
      <c r="IL46"/>
      <c r="IM46"/>
      <c r="IN46"/>
      <c r="IO46"/>
      <c r="IP46"/>
      <c r="IQ46"/>
      <c r="IR46"/>
      <c r="IS46"/>
      <c r="IT46"/>
      <c r="IU46"/>
      <c r="IV46"/>
    </row>
    <row r="47" spans="23:256" s="70" customFormat="1" ht="12.75" x14ac:dyDescent="0.2">
      <c r="BD47" s="2">
        <v>16.239999999999998</v>
      </c>
      <c r="HY47"/>
      <c r="HZ47"/>
      <c r="IA47"/>
      <c r="IB47"/>
      <c r="IC47"/>
      <c r="ID47"/>
      <c r="IE47"/>
      <c r="IF47"/>
      <c r="IG47"/>
      <c r="IH47"/>
      <c r="II47"/>
      <c r="IJ47"/>
      <c r="IK47"/>
      <c r="IL47"/>
      <c r="IM47"/>
      <c r="IN47"/>
      <c r="IO47"/>
      <c r="IP47"/>
      <c r="IQ47"/>
      <c r="IR47"/>
      <c r="IS47"/>
      <c r="IT47"/>
      <c r="IU47"/>
      <c r="IV47"/>
    </row>
    <row r="48" spans="23:256" s="70" customFormat="1" ht="12.75" x14ac:dyDescent="0.2">
      <c r="BD48" s="2">
        <v>17.63</v>
      </c>
      <c r="BE48" s="11">
        <f>BD47/BD48-1</f>
        <v>-7.8842881452070412E-2</v>
      </c>
      <c r="HY48"/>
      <c r="HZ48"/>
      <c r="IA48"/>
      <c r="IB48"/>
      <c r="IC48"/>
      <c r="ID48"/>
      <c r="IE48"/>
      <c r="IF48"/>
      <c r="IG48"/>
      <c r="IH48"/>
      <c r="II48"/>
      <c r="IJ48"/>
      <c r="IK48"/>
      <c r="IL48"/>
      <c r="IM48"/>
      <c r="IN48"/>
      <c r="IO48"/>
      <c r="IP48"/>
      <c r="IQ48"/>
      <c r="IR48"/>
      <c r="IS48"/>
      <c r="IT48"/>
      <c r="IU48"/>
      <c r="IV48"/>
    </row>
    <row r="49" spans="32:256" s="70" customFormat="1" ht="12.75" x14ac:dyDescent="0.2">
      <c r="AG49" s="61" t="s">
        <v>1173</v>
      </c>
      <c r="AH49" s="60" t="str">
        <f t="shared" ref="AH49:AV49" si="3">C2</f>
        <v>4Q07</v>
      </c>
      <c r="AI49" s="60" t="str">
        <f t="shared" si="3"/>
        <v>2007</v>
      </c>
      <c r="AJ49" s="60" t="str">
        <f t="shared" si="3"/>
        <v>1Q08</v>
      </c>
      <c r="AK49" s="60" t="str">
        <f t="shared" si="3"/>
        <v>2Q08</v>
      </c>
      <c r="AL49" s="151" t="str">
        <f t="shared" si="3"/>
        <v>3Q08</v>
      </c>
      <c r="AM49" s="151" t="str">
        <f t="shared" si="3"/>
        <v>4Q08</v>
      </c>
      <c r="AN49" s="151" t="str">
        <f t="shared" si="3"/>
        <v>2008</v>
      </c>
      <c r="AO49" s="151" t="str">
        <f t="shared" si="3"/>
        <v>1Q09</v>
      </c>
      <c r="AP49" s="151" t="str">
        <f t="shared" si="3"/>
        <v>2Q09</v>
      </c>
      <c r="AQ49" s="151" t="str">
        <f t="shared" si="3"/>
        <v>3Q09</v>
      </c>
      <c r="AR49" s="151" t="str">
        <f t="shared" si="3"/>
        <v>4Q09</v>
      </c>
      <c r="AS49" s="151" t="str">
        <f t="shared" si="3"/>
        <v>2009</v>
      </c>
      <c r="AT49" s="151" t="str">
        <f t="shared" si="3"/>
        <v>2010</v>
      </c>
      <c r="AU49" s="151">
        <f t="shared" si="3"/>
        <v>2011</v>
      </c>
      <c r="AV49" s="174">
        <f t="shared" si="3"/>
        <v>2012</v>
      </c>
      <c r="HY49"/>
      <c r="HZ49"/>
      <c r="IA49"/>
      <c r="IB49"/>
      <c r="IC49"/>
      <c r="ID49"/>
      <c r="IE49"/>
      <c r="IF49"/>
      <c r="IG49"/>
      <c r="IH49"/>
      <c r="II49"/>
      <c r="IJ49"/>
      <c r="IK49"/>
      <c r="IL49"/>
      <c r="IM49"/>
      <c r="IN49"/>
      <c r="IO49"/>
      <c r="IP49"/>
      <c r="IQ49"/>
      <c r="IR49"/>
      <c r="IS49"/>
      <c r="IT49"/>
      <c r="IU49"/>
      <c r="IV49"/>
    </row>
    <row r="50" spans="32:256" s="70" customFormat="1" ht="12.75" x14ac:dyDescent="0.2">
      <c r="AG50" s="2" t="s">
        <v>1174</v>
      </c>
      <c r="HY50"/>
      <c r="HZ50"/>
      <c r="IA50"/>
      <c r="IB50"/>
      <c r="IC50"/>
      <c r="ID50"/>
      <c r="IE50"/>
      <c r="IF50"/>
      <c r="IG50"/>
      <c r="IH50"/>
      <c r="II50"/>
      <c r="IJ50"/>
      <c r="IK50"/>
      <c r="IL50"/>
      <c r="IM50"/>
      <c r="IN50"/>
      <c r="IO50"/>
      <c r="IP50"/>
      <c r="IQ50"/>
      <c r="IR50"/>
      <c r="IS50"/>
      <c r="IT50"/>
      <c r="IU50"/>
      <c r="IV50"/>
    </row>
    <row r="51" spans="32:256" s="70" customFormat="1" ht="12.75" x14ac:dyDescent="0.2">
      <c r="AG51" s="12" t="s">
        <v>1343</v>
      </c>
      <c r="AH51" s="2">
        <f>MAR!AU33</f>
        <v>406</v>
      </c>
      <c r="AI51" s="2">
        <f>MAR!AV33</f>
        <v>1223</v>
      </c>
      <c r="AJ51" s="2">
        <f>MAR!AW33</f>
        <v>195</v>
      </c>
      <c r="AK51" s="2">
        <f>MAR!AX33</f>
        <v>313</v>
      </c>
      <c r="AL51" s="2">
        <f>MAR!AY33</f>
        <v>203</v>
      </c>
      <c r="AM51" s="2">
        <f>MAR!AZ33</f>
        <v>74</v>
      </c>
      <c r="AN51" s="2">
        <f>MAR!BA33</f>
        <v>785</v>
      </c>
      <c r="AO51" s="2">
        <f>MAR!BB33</f>
        <v>82</v>
      </c>
      <c r="AP51" s="2">
        <f>MAR!BC33</f>
        <v>100</v>
      </c>
      <c r="AQ51" s="2">
        <f>MAR!BD33</f>
        <v>-644</v>
      </c>
      <c r="AR51" s="2">
        <f>MAR!BE33</f>
        <v>228</v>
      </c>
      <c r="AS51" s="2">
        <f>MAR!BF33</f>
        <v>-234</v>
      </c>
      <c r="AT51" s="2">
        <f>MAR!BK33</f>
        <v>687</v>
      </c>
      <c r="AU51" s="2">
        <f>MAR!BP33</f>
        <v>804</v>
      </c>
      <c r="AV51" s="2">
        <f>MAR!BU33</f>
        <v>940</v>
      </c>
      <c r="HY51"/>
      <c r="HZ51"/>
      <c r="IA51"/>
      <c r="IB51"/>
      <c r="IC51"/>
      <c r="ID51"/>
      <c r="IE51"/>
      <c r="IF51"/>
      <c r="IG51"/>
      <c r="IH51"/>
      <c r="II51"/>
      <c r="IJ51"/>
      <c r="IK51"/>
      <c r="IL51"/>
      <c r="IM51"/>
      <c r="IN51"/>
      <c r="IO51"/>
      <c r="IP51"/>
      <c r="IQ51"/>
      <c r="IR51"/>
      <c r="IS51"/>
      <c r="IT51"/>
      <c r="IU51"/>
      <c r="IV51"/>
    </row>
    <row r="52" spans="32:256" s="70" customFormat="1" ht="12.75" x14ac:dyDescent="0.2">
      <c r="AG52" s="12" t="s">
        <v>1498</v>
      </c>
      <c r="AH52" s="2">
        <f>-MAR!AU439</f>
        <v>-36</v>
      </c>
      <c r="AI52" s="2">
        <f>-MAR!AV439</f>
        <v>-81</v>
      </c>
      <c r="AJ52" s="2">
        <f>-MAR!AW439</f>
        <v>0</v>
      </c>
      <c r="AK52" s="2">
        <f>-MAR!AX439</f>
        <v>-28</v>
      </c>
      <c r="AL52" s="2">
        <f>-MAR!AY439</f>
        <v>0</v>
      </c>
      <c r="AM52" s="2">
        <f>-MAR!AZ439</f>
        <v>0</v>
      </c>
      <c r="AN52" s="2">
        <f>-MAR!BA439</f>
        <v>-28</v>
      </c>
      <c r="AO52" s="2">
        <f>-MAR!BB439</f>
        <v>0</v>
      </c>
      <c r="AP52" s="2">
        <f>-MAR!BC439</f>
        <v>0</v>
      </c>
      <c r="AQ52" s="2">
        <f>-MAR!BD439</f>
        <v>0</v>
      </c>
      <c r="AR52" s="2">
        <f>-MAR!BE439</f>
        <v>0</v>
      </c>
      <c r="AS52" s="2">
        <f>-MAR!BF439</f>
        <v>0</v>
      </c>
      <c r="AT52" s="2">
        <f>-MAR!BK439</f>
        <v>0</v>
      </c>
      <c r="AU52" s="2">
        <f>-MAR!BP439</f>
        <v>-26.999000000000002</v>
      </c>
      <c r="AV52" s="2">
        <f>-MAR!BU439</f>
        <v>0</v>
      </c>
      <c r="HY52"/>
      <c r="HZ52"/>
      <c r="IA52"/>
      <c r="IB52"/>
      <c r="IC52"/>
      <c r="ID52"/>
      <c r="IE52"/>
      <c r="IF52"/>
      <c r="IG52"/>
      <c r="IH52"/>
      <c r="II52"/>
      <c r="IJ52"/>
      <c r="IK52"/>
      <c r="IL52"/>
      <c r="IM52"/>
      <c r="IN52"/>
      <c r="IO52"/>
      <c r="IP52"/>
      <c r="IQ52"/>
      <c r="IR52"/>
      <c r="IS52"/>
      <c r="IT52"/>
      <c r="IU52"/>
      <c r="IV52"/>
    </row>
    <row r="53" spans="32:256" s="70" customFormat="1" ht="12.75" x14ac:dyDescent="0.2">
      <c r="AG53" s="12" t="s">
        <v>1499</v>
      </c>
      <c r="AH53" s="2">
        <f>MAR!AU438</f>
        <v>39</v>
      </c>
      <c r="AI53" s="2">
        <f>MAR!AV438</f>
        <v>114</v>
      </c>
      <c r="AJ53" s="2">
        <f>MAR!AW438</f>
        <v>27</v>
      </c>
      <c r="AK53" s="2">
        <f>MAR!AX438</f>
        <v>21</v>
      </c>
      <c r="AL53" s="2">
        <f>MAR!AY438</f>
        <v>31</v>
      </c>
      <c r="AM53" s="2">
        <f>MAR!AZ438</f>
        <v>43</v>
      </c>
      <c r="AN53" s="2">
        <f>MAR!BA438</f>
        <v>122</v>
      </c>
      <c r="AO53" s="2">
        <f>MAR!BB438</f>
        <v>26</v>
      </c>
      <c r="AP53" s="2">
        <f>MAR!BC438</f>
        <v>26</v>
      </c>
      <c r="AQ53" s="2">
        <f>MAR!BD438</f>
        <v>24</v>
      </c>
      <c r="AR53" s="2">
        <f>MAR!BE438</f>
        <v>74</v>
      </c>
      <c r="AS53" s="2">
        <f>MAR!BF438</f>
        <v>150</v>
      </c>
      <c r="AT53" s="2">
        <f>MAR!BK438</f>
        <v>187</v>
      </c>
      <c r="AU53" s="2">
        <f>MAR!BP438</f>
        <v>170.28319999999999</v>
      </c>
      <c r="AV53" s="2">
        <f>MAR!BU438</f>
        <v>0</v>
      </c>
      <c r="HY53"/>
      <c r="HZ53"/>
      <c r="IA53"/>
      <c r="IB53"/>
      <c r="IC53"/>
      <c r="ID53"/>
      <c r="IE53"/>
      <c r="IF53"/>
      <c r="IG53"/>
      <c r="IH53"/>
      <c r="II53"/>
      <c r="IJ53"/>
      <c r="IK53"/>
      <c r="IL53"/>
      <c r="IM53"/>
      <c r="IN53"/>
      <c r="IO53"/>
      <c r="IP53"/>
      <c r="IQ53"/>
      <c r="IR53"/>
      <c r="IS53"/>
      <c r="IT53"/>
      <c r="IU53"/>
      <c r="IV53"/>
    </row>
    <row r="54" spans="32:256" s="70" customFormat="1" ht="12.75" x14ac:dyDescent="0.2">
      <c r="AG54" s="12" t="s">
        <v>1500</v>
      </c>
      <c r="AH54" s="2">
        <f>MAR!AU42</f>
        <v>6</v>
      </c>
      <c r="AI54" s="2">
        <f>MAR!AV42</f>
        <v>15</v>
      </c>
      <c r="AJ54" s="2">
        <f>MAR!AW42</f>
        <v>27</v>
      </c>
      <c r="AK54" s="2">
        <f>MAR!AX42</f>
        <v>-3</v>
      </c>
      <c r="AL54" s="2">
        <f>MAR!AY42</f>
        <v>2</v>
      </c>
      <c r="AM54" s="2">
        <f>MAR!AZ42</f>
        <v>-11</v>
      </c>
      <c r="AN54" s="2">
        <f>MAR!BA42</f>
        <v>15</v>
      </c>
      <c r="AO54" s="2">
        <f>MAR!BB42</f>
        <v>-34</v>
      </c>
      <c r="AP54" s="2">
        <f>MAR!BC42</f>
        <v>-4</v>
      </c>
      <c r="AQ54" s="2">
        <f>MAR!BD42</f>
        <v>-12</v>
      </c>
      <c r="AR54" s="2">
        <f>MAR!BE42</f>
        <v>-10</v>
      </c>
      <c r="AS54" s="2">
        <f>MAR!BF42</f>
        <v>-60</v>
      </c>
      <c r="AT54" s="2">
        <f>MAR!BK42</f>
        <v>-21</v>
      </c>
      <c r="AU54" s="2">
        <f>MAR!BP42</f>
        <v>-17</v>
      </c>
      <c r="AV54" s="2">
        <f>MAR!BU42</f>
        <v>-13</v>
      </c>
      <c r="HY54"/>
      <c r="HZ54"/>
      <c r="IA54"/>
      <c r="IB54"/>
      <c r="IC54"/>
      <c r="ID54"/>
      <c r="IE54"/>
      <c r="IF54"/>
      <c r="IG54"/>
      <c r="IH54"/>
      <c r="II54"/>
      <c r="IJ54"/>
      <c r="IK54"/>
      <c r="IL54"/>
      <c r="IM54"/>
      <c r="IN54"/>
      <c r="IO54"/>
      <c r="IP54"/>
      <c r="IQ54"/>
      <c r="IR54"/>
      <c r="IS54"/>
      <c r="IT54"/>
      <c r="IU54"/>
      <c r="IV54"/>
    </row>
    <row r="55" spans="32:256" s="70" customFormat="1" ht="12.75" x14ac:dyDescent="0.2">
      <c r="AG55" s="12" t="s">
        <v>1555</v>
      </c>
      <c r="AH55" s="2">
        <f>MAR!AU40</f>
        <v>12</v>
      </c>
      <c r="AI55" s="2">
        <f>MAR!AV40</f>
        <v>27</v>
      </c>
      <c r="AJ55" s="2">
        <f>MAR!AW40</f>
        <v>11</v>
      </c>
      <c r="AK55" s="2">
        <f>MAR!AX40</f>
        <v>9</v>
      </c>
      <c r="AL55" s="2">
        <f>MAR!AY40</f>
        <v>8</v>
      </c>
      <c r="AM55" s="2">
        <f>MAR!AZ40</f>
        <v>11</v>
      </c>
      <c r="AN55" s="2">
        <f>MAR!BA40</f>
        <v>39</v>
      </c>
      <c r="AO55" s="2">
        <f>MAR!BB40</f>
        <v>6</v>
      </c>
      <c r="AP55" s="2">
        <f>MAR!BC40</f>
        <v>9</v>
      </c>
      <c r="AQ55" s="2">
        <f>MAR!BD40</f>
        <v>5</v>
      </c>
      <c r="AR55" s="2">
        <f>MAR!BE40</f>
        <v>5</v>
      </c>
      <c r="AS55" s="2">
        <f>MAR!BF40</f>
        <v>25</v>
      </c>
      <c r="AT55" s="2">
        <f>MAR!BK40</f>
        <v>29</v>
      </c>
      <c r="AU55" s="2">
        <f>MAR!BP40</f>
        <v>24</v>
      </c>
      <c r="AV55" s="2">
        <f>MAR!BU40</f>
        <v>17</v>
      </c>
      <c r="HY55"/>
      <c r="HZ55"/>
      <c r="IA55"/>
      <c r="IB55"/>
      <c r="IC55"/>
      <c r="ID55"/>
      <c r="IE55"/>
      <c r="IF55"/>
      <c r="IG55"/>
      <c r="IH55"/>
      <c r="II55"/>
      <c r="IJ55"/>
      <c r="IK55"/>
      <c r="IL55"/>
      <c r="IM55"/>
      <c r="IN55"/>
      <c r="IO55"/>
      <c r="IP55"/>
      <c r="IQ55"/>
      <c r="IR55"/>
      <c r="IS55"/>
      <c r="IT55"/>
      <c r="IU55"/>
      <c r="IV55"/>
    </row>
    <row r="56" spans="32:256" s="70" customFormat="1" ht="12.75" x14ac:dyDescent="0.2">
      <c r="AG56" s="12" t="s">
        <v>1501</v>
      </c>
      <c r="AH56" s="2">
        <f>142*8*8%/4</f>
        <v>22.72</v>
      </c>
      <c r="AI56" s="2">
        <f>142*8*8%</f>
        <v>90.88</v>
      </c>
      <c r="AJ56" s="2">
        <f>142*8*8%/4</f>
        <v>22.72</v>
      </c>
      <c r="AK56" s="2">
        <f>142*8*8%/4</f>
        <v>22.72</v>
      </c>
      <c r="AL56" s="2">
        <f>142*8*8%/4</f>
        <v>22.72</v>
      </c>
      <c r="AM56" s="2">
        <f>142*8*8%/4</f>
        <v>22.72</v>
      </c>
      <c r="AN56" s="2">
        <f>142*8*8%</f>
        <v>90.88</v>
      </c>
      <c r="AO56" s="2">
        <f>147*8*8%/4</f>
        <v>23.52</v>
      </c>
      <c r="AP56" s="2">
        <f>147*8*8%/4</f>
        <v>23.52</v>
      </c>
      <c r="AQ56" s="2">
        <f>147*8*8%/4</f>
        <v>23.52</v>
      </c>
      <c r="AR56" s="2">
        <f>147*8*8%/4</f>
        <v>23.52</v>
      </c>
      <c r="AS56" s="2">
        <f>147*8*8%</f>
        <v>94.08</v>
      </c>
      <c r="AT56" s="2">
        <f>139*8*8%</f>
        <v>88.960000000000008</v>
      </c>
      <c r="AU56" s="2">
        <f>126*8*8%</f>
        <v>80.64</v>
      </c>
      <c r="AV56" s="2">
        <f>123*8*8%</f>
        <v>78.72</v>
      </c>
      <c r="HY56"/>
      <c r="HZ56"/>
      <c r="IA56"/>
      <c r="IB56"/>
      <c r="IC56"/>
      <c r="ID56"/>
      <c r="IE56"/>
      <c r="IF56"/>
      <c r="IG56"/>
      <c r="IH56"/>
      <c r="II56"/>
      <c r="IJ56"/>
      <c r="IK56"/>
      <c r="IL56"/>
      <c r="IM56"/>
      <c r="IN56"/>
      <c r="IO56"/>
      <c r="IP56"/>
      <c r="IQ56"/>
      <c r="IR56"/>
      <c r="IS56"/>
      <c r="IT56"/>
      <c r="IU56"/>
      <c r="IV56"/>
    </row>
    <row r="57" spans="32:256" s="70" customFormat="1" ht="12.75" x14ac:dyDescent="0.2">
      <c r="AG57" s="15" t="s">
        <v>1502</v>
      </c>
      <c r="AH57" s="15">
        <f t="shared" ref="AH57:AV57" si="4">SUM(AH51:AH56)</f>
        <v>449.72</v>
      </c>
      <c r="AI57" s="15">
        <f t="shared" si="4"/>
        <v>1388.88</v>
      </c>
      <c r="AJ57" s="15">
        <f t="shared" si="4"/>
        <v>282.72000000000003</v>
      </c>
      <c r="AK57" s="15">
        <f t="shared" si="4"/>
        <v>334.72</v>
      </c>
      <c r="AL57" s="15">
        <f t="shared" si="4"/>
        <v>266.72000000000003</v>
      </c>
      <c r="AM57" s="15">
        <f t="shared" si="4"/>
        <v>139.72</v>
      </c>
      <c r="AN57" s="15">
        <f t="shared" si="4"/>
        <v>1023.88</v>
      </c>
      <c r="AO57" s="15">
        <f t="shared" si="4"/>
        <v>103.52</v>
      </c>
      <c r="AP57" s="15">
        <f t="shared" si="4"/>
        <v>154.52000000000001</v>
      </c>
      <c r="AQ57" s="15">
        <f t="shared" si="4"/>
        <v>-603.48</v>
      </c>
      <c r="AR57" s="15">
        <f t="shared" si="4"/>
        <v>320.52</v>
      </c>
      <c r="AS57" s="15">
        <f t="shared" si="4"/>
        <v>-24.92</v>
      </c>
      <c r="AT57" s="15">
        <f t="shared" si="4"/>
        <v>970.96</v>
      </c>
      <c r="AU57" s="15">
        <f t="shared" si="4"/>
        <v>1034.9241999999999</v>
      </c>
      <c r="AV57" s="15">
        <f t="shared" si="4"/>
        <v>1022.72</v>
      </c>
      <c r="HY57"/>
      <c r="HZ57"/>
      <c r="IA57"/>
      <c r="IB57"/>
      <c r="IC57"/>
      <c r="ID57"/>
      <c r="IE57"/>
      <c r="IF57"/>
      <c r="IG57"/>
      <c r="IH57"/>
      <c r="II57"/>
      <c r="IJ57"/>
      <c r="IK57"/>
      <c r="IL57"/>
      <c r="IM57"/>
      <c r="IN57"/>
      <c r="IO57"/>
      <c r="IP57"/>
      <c r="IQ57"/>
      <c r="IR57"/>
      <c r="IS57"/>
      <c r="IT57"/>
      <c r="IU57"/>
      <c r="IV57"/>
    </row>
    <row r="58" spans="32:256" s="70" customFormat="1" ht="12.75" x14ac:dyDescent="0.2">
      <c r="AG58" s="16" t="s">
        <v>1503</v>
      </c>
      <c r="AI58" s="2">
        <f>AI57</f>
        <v>1388.88</v>
      </c>
      <c r="AL58" s="21">
        <f>SUM(AL57,AK57,AJ57,AH57)</f>
        <v>1333.88</v>
      </c>
      <c r="AM58" s="21">
        <f>SUM(AM57,AL57,AK57,AJ57)</f>
        <v>1023.8800000000001</v>
      </c>
      <c r="AN58" s="21">
        <f>AN57</f>
        <v>1023.88</v>
      </c>
      <c r="AO58" s="21">
        <f>SUM(AO57,AM57,AL57,AK57)</f>
        <v>844.68000000000006</v>
      </c>
      <c r="AP58" s="21">
        <f>SUM(AP57,AO57,AM57,AL57)</f>
        <v>664.48</v>
      </c>
      <c r="AQ58" s="21">
        <f>SUM(AQ57,AP57,AO57,AM57)</f>
        <v>-205.72000000000006</v>
      </c>
      <c r="AR58" s="21">
        <f>SUM(AR57,AQ57,AP57,AO57)</f>
        <v>-24.92000000000003</v>
      </c>
      <c r="AS58" s="21">
        <f>AS57</f>
        <v>-24.92</v>
      </c>
      <c r="AT58" s="21">
        <f>AT57</f>
        <v>970.96</v>
      </c>
      <c r="AU58" s="21">
        <f>AU57</f>
        <v>1034.9241999999999</v>
      </c>
      <c r="AV58" s="137">
        <f>AV57</f>
        <v>1022.72</v>
      </c>
      <c r="HY58"/>
      <c r="HZ58"/>
      <c r="IA58"/>
      <c r="IB58"/>
      <c r="IC58"/>
      <c r="ID58"/>
      <c r="IE58"/>
      <c r="IF58"/>
      <c r="IG58"/>
      <c r="IH58"/>
      <c r="II58"/>
      <c r="IJ58"/>
      <c r="IK58"/>
      <c r="IL58"/>
      <c r="IM58"/>
      <c r="IN58"/>
      <c r="IO58"/>
      <c r="IP58"/>
      <c r="IQ58"/>
      <c r="IR58"/>
      <c r="IS58"/>
      <c r="IT58"/>
      <c r="IU58"/>
      <c r="IV58"/>
    </row>
    <row r="59" spans="32:256" s="70" customFormat="1" ht="12.75" x14ac:dyDescent="0.2">
      <c r="AF59" s="192"/>
      <c r="AW59" s="193"/>
      <c r="HY59"/>
      <c r="HZ59"/>
      <c r="IA59"/>
      <c r="IB59"/>
      <c r="IC59"/>
      <c r="ID59"/>
      <c r="IE59"/>
      <c r="IF59"/>
      <c r="IG59"/>
      <c r="IH59"/>
      <c r="II59"/>
      <c r="IJ59"/>
      <c r="IK59"/>
      <c r="IL59"/>
      <c r="IM59"/>
      <c r="IN59"/>
      <c r="IO59"/>
      <c r="IP59"/>
      <c r="IQ59"/>
      <c r="IR59"/>
      <c r="IS59"/>
      <c r="IT59"/>
      <c r="IU59"/>
      <c r="IV59"/>
    </row>
    <row r="60" spans="32:256" s="70" customFormat="1" ht="12.75" x14ac:dyDescent="0.2">
      <c r="AG60" s="18" t="s">
        <v>1504</v>
      </c>
      <c r="AH60" s="2">
        <f>SUM(MAR!AU832:AU863)</f>
        <v>5386</v>
      </c>
      <c r="AI60" s="2">
        <f>SUM(MAR!AV832:AV863)</f>
        <v>5386</v>
      </c>
      <c r="AJ60" s="2">
        <f>SUM(MAR!AW832:AW863)</f>
        <v>6325</v>
      </c>
      <c r="AK60" s="2">
        <f>SUM(MAR!AX832:AX863)</f>
        <v>5605</v>
      </c>
      <c r="AL60" s="2">
        <f>SUM(MAR!AY832:AY863)</f>
        <v>5625</v>
      </c>
      <c r="AM60" s="2">
        <f>SUM(MAR!AZ832:AZ863)</f>
        <v>5735</v>
      </c>
      <c r="AN60" s="2">
        <f>SUM(MAR!BA832:BA863)</f>
        <v>5735</v>
      </c>
      <c r="AO60" s="2">
        <f>SUM(MAR!BB832:BB863)</f>
        <v>5400</v>
      </c>
      <c r="AP60" s="2">
        <f>SUM(MAR!BC832:BC863)</f>
        <v>5196</v>
      </c>
      <c r="AQ60" s="2">
        <f>SUM(MAR!BD832:BD863)</f>
        <v>4824</v>
      </c>
      <c r="AR60" s="2">
        <f>SUM(MAR!BE832:BE863)</f>
        <v>4104</v>
      </c>
      <c r="AS60" s="2">
        <f>SUM(MAR!BF832:BF863)</f>
        <v>4104</v>
      </c>
      <c r="AT60" s="2">
        <f>SUM(MAR!BK832:BK863)</f>
        <v>3262</v>
      </c>
      <c r="AU60" s="2">
        <f>SUM(MAR!BP832:BP863)</f>
        <v>3930</v>
      </c>
      <c r="AV60" s="28">
        <f>SUM(MAR!BU832:BU863)</f>
        <v>5498</v>
      </c>
      <c r="HY60"/>
      <c r="HZ60"/>
      <c r="IA60"/>
      <c r="IB60"/>
      <c r="IC60"/>
      <c r="ID60"/>
      <c r="IE60"/>
      <c r="IF60"/>
      <c r="IG60"/>
      <c r="IH60"/>
      <c r="II60"/>
      <c r="IJ60"/>
      <c r="IK60"/>
      <c r="IL60"/>
      <c r="IM60"/>
      <c r="IN60"/>
      <c r="IO60"/>
      <c r="IP60"/>
      <c r="IQ60"/>
      <c r="IR60"/>
      <c r="IS60"/>
      <c r="IT60"/>
      <c r="IU60"/>
      <c r="IV60"/>
    </row>
    <row r="61" spans="32:256" s="70" customFormat="1" ht="12.75" x14ac:dyDescent="0.2">
      <c r="AG61" s="18" t="s">
        <v>1505</v>
      </c>
      <c r="AH61" s="2">
        <f>MAR!AU775</f>
        <v>1665</v>
      </c>
      <c r="AI61" s="2">
        <f>MAR!AV775</f>
        <v>1665</v>
      </c>
      <c r="AJ61" s="2">
        <f>MAR!AW775</f>
        <v>1695</v>
      </c>
      <c r="AK61" s="2">
        <f>MAR!AX775</f>
        <v>1795</v>
      </c>
      <c r="AL61" s="2">
        <f>MAR!AY775</f>
        <v>1799</v>
      </c>
      <c r="AM61" s="2">
        <f>MAR!AZ775</f>
        <v>1811</v>
      </c>
      <c r="AN61" s="2">
        <f>MAR!BA775</f>
        <v>1811</v>
      </c>
      <c r="AO61" s="2">
        <f>MAR!BB775</f>
        <v>1916</v>
      </c>
      <c r="AP61" s="2">
        <f>MAR!BC775</f>
        <v>1984</v>
      </c>
      <c r="AQ61" s="2">
        <f>MAR!BD775</f>
        <v>2037</v>
      </c>
      <c r="AR61" s="2">
        <f>MAR!BE775</f>
        <v>2270</v>
      </c>
      <c r="AS61" s="2">
        <f>MAR!BF775</f>
        <v>2270</v>
      </c>
      <c r="AT61" s="2">
        <f>MAR!BK775</f>
        <v>2206</v>
      </c>
      <c r="AU61" s="2">
        <f>MAR!BP775</f>
        <v>2317</v>
      </c>
      <c r="AV61" s="28">
        <f>MAR!BU775</f>
        <v>2326</v>
      </c>
      <c r="HY61"/>
      <c r="HZ61"/>
      <c r="IA61"/>
      <c r="IB61"/>
      <c r="IC61"/>
      <c r="ID61"/>
      <c r="IE61"/>
      <c r="IF61"/>
      <c r="IG61"/>
      <c r="IH61"/>
      <c r="II61"/>
      <c r="IJ61"/>
      <c r="IK61"/>
      <c r="IL61"/>
      <c r="IM61"/>
      <c r="IN61"/>
      <c r="IO61"/>
      <c r="IP61"/>
      <c r="IQ61"/>
      <c r="IR61"/>
      <c r="IS61"/>
      <c r="IT61"/>
      <c r="IU61"/>
      <c r="IV61"/>
    </row>
    <row r="62" spans="32:256" s="70" customFormat="1" ht="12.75" x14ac:dyDescent="0.2">
      <c r="AG62" s="18" t="s">
        <v>1506</v>
      </c>
      <c r="AH62" s="2">
        <f t="shared" ref="AH62:AV62" si="5">AH60+AH61</f>
        <v>7051</v>
      </c>
      <c r="AI62" s="2">
        <f t="shared" si="5"/>
        <v>7051</v>
      </c>
      <c r="AJ62" s="2">
        <f t="shared" si="5"/>
        <v>8020</v>
      </c>
      <c r="AK62" s="2">
        <f t="shared" si="5"/>
        <v>7400</v>
      </c>
      <c r="AL62" s="2">
        <f t="shared" si="5"/>
        <v>7424</v>
      </c>
      <c r="AM62" s="2">
        <f t="shared" si="5"/>
        <v>7546</v>
      </c>
      <c r="AN62" s="2">
        <f t="shared" si="5"/>
        <v>7546</v>
      </c>
      <c r="AO62" s="2">
        <f t="shared" si="5"/>
        <v>7316</v>
      </c>
      <c r="AP62" s="2">
        <f t="shared" si="5"/>
        <v>7180</v>
      </c>
      <c r="AQ62" s="2">
        <f t="shared" si="5"/>
        <v>6861</v>
      </c>
      <c r="AR62" s="2">
        <f t="shared" si="5"/>
        <v>6374</v>
      </c>
      <c r="AS62" s="2">
        <f t="shared" si="5"/>
        <v>6374</v>
      </c>
      <c r="AT62" s="2">
        <f t="shared" si="5"/>
        <v>5468</v>
      </c>
      <c r="AU62" s="2">
        <f t="shared" si="5"/>
        <v>6247</v>
      </c>
      <c r="AV62" s="28">
        <f t="shared" si="5"/>
        <v>7824</v>
      </c>
      <c r="HY62"/>
      <c r="HZ62"/>
      <c r="IA62"/>
      <c r="IB62"/>
      <c r="IC62"/>
      <c r="ID62"/>
      <c r="IE62"/>
      <c r="IF62"/>
      <c r="IG62"/>
      <c r="IH62"/>
      <c r="II62"/>
      <c r="IJ62"/>
      <c r="IK62"/>
      <c r="IL62"/>
      <c r="IM62"/>
      <c r="IN62"/>
      <c r="IO62"/>
      <c r="IP62"/>
      <c r="IQ62"/>
      <c r="IR62"/>
      <c r="IS62"/>
      <c r="IT62"/>
      <c r="IU62"/>
      <c r="IV62"/>
    </row>
    <row r="63" spans="32:256" s="70" customFormat="1" ht="5.25" customHeight="1" x14ac:dyDescent="0.2">
      <c r="AF63" s="192"/>
      <c r="AW63" s="193"/>
      <c r="HY63"/>
      <c r="HZ63"/>
      <c r="IA63"/>
      <c r="IB63"/>
      <c r="IC63"/>
      <c r="ID63"/>
      <c r="IE63"/>
      <c r="IF63"/>
      <c r="IG63"/>
      <c r="IH63"/>
      <c r="II63"/>
      <c r="IJ63"/>
      <c r="IK63"/>
      <c r="IL63"/>
      <c r="IM63"/>
      <c r="IN63"/>
      <c r="IO63"/>
      <c r="IP63"/>
      <c r="IQ63"/>
      <c r="IR63"/>
      <c r="IS63"/>
      <c r="IT63"/>
      <c r="IU63"/>
      <c r="IV63"/>
    </row>
    <row r="64" spans="32:256" s="70" customFormat="1" ht="12.75" x14ac:dyDescent="0.2">
      <c r="AG64" s="160" t="s">
        <v>1706</v>
      </c>
      <c r="AH64" s="190"/>
      <c r="AI64" s="163">
        <f>AI62/AI58</f>
        <v>5.0767524912159434</v>
      </c>
      <c r="AJ64" s="190"/>
      <c r="AK64" s="190"/>
      <c r="AL64" s="163">
        <f t="shared" ref="AL64:AV64" si="6">AL62/AL58</f>
        <v>5.5657180555972046</v>
      </c>
      <c r="AM64" s="163">
        <f t="shared" si="6"/>
        <v>7.370004297378598</v>
      </c>
      <c r="AN64" s="163">
        <f t="shared" si="6"/>
        <v>7.3700042973785989</v>
      </c>
      <c r="AO64" s="163">
        <f t="shared" si="6"/>
        <v>8.661268172562389</v>
      </c>
      <c r="AP64" s="163">
        <f t="shared" si="6"/>
        <v>10.805441849265591</v>
      </c>
      <c r="AQ64" s="163">
        <f t="shared" si="6"/>
        <v>-33.351156912307985</v>
      </c>
      <c r="AR64" s="163">
        <f t="shared" si="6"/>
        <v>-255.77849117174929</v>
      </c>
      <c r="AS64" s="163">
        <f t="shared" si="6"/>
        <v>-255.77849117174958</v>
      </c>
      <c r="AT64" s="163">
        <f t="shared" si="6"/>
        <v>5.6315399192551698</v>
      </c>
      <c r="AU64" s="163">
        <f t="shared" si="6"/>
        <v>6.0361908630603098</v>
      </c>
      <c r="AV64" s="167">
        <f t="shared" si="6"/>
        <v>7.6501877346683349</v>
      </c>
      <c r="HY64"/>
      <c r="HZ64"/>
      <c r="IA64"/>
      <c r="IB64"/>
      <c r="IC64"/>
      <c r="ID64"/>
      <c r="IE64"/>
      <c r="IF64"/>
      <c r="IG64"/>
      <c r="IH64"/>
      <c r="II64"/>
      <c r="IJ64"/>
      <c r="IK64"/>
      <c r="IL64"/>
      <c r="IM64"/>
      <c r="IN64"/>
      <c r="IO64"/>
      <c r="IP64"/>
      <c r="IQ64"/>
      <c r="IR64"/>
      <c r="IS64"/>
      <c r="IT64"/>
      <c r="IU64"/>
      <c r="IV64"/>
    </row>
    <row r="65" spans="33:256" s="70" customFormat="1" ht="12.75" x14ac:dyDescent="0.2">
      <c r="AG65" s="162" t="s">
        <v>1507</v>
      </c>
      <c r="AH65" s="266"/>
      <c r="AI65" s="266"/>
      <c r="AJ65" s="266"/>
      <c r="AK65" s="266"/>
      <c r="AL65" s="266"/>
      <c r="AM65" s="164" t="s">
        <v>1508</v>
      </c>
      <c r="AN65" s="164" t="s">
        <v>1508</v>
      </c>
      <c r="AO65" s="164" t="s">
        <v>1508</v>
      </c>
      <c r="AP65" s="164" t="s">
        <v>1508</v>
      </c>
      <c r="AQ65" s="164" t="s">
        <v>1508</v>
      </c>
      <c r="AR65" s="164" t="s">
        <v>1508</v>
      </c>
      <c r="AS65" s="164" t="s">
        <v>1508</v>
      </c>
      <c r="AT65" s="164" t="s">
        <v>1508</v>
      </c>
      <c r="AU65" s="164" t="s">
        <v>1508</v>
      </c>
      <c r="AV65" s="165" t="s">
        <v>1508</v>
      </c>
      <c r="HY65"/>
      <c r="HZ65"/>
      <c r="IA65"/>
      <c r="IB65"/>
      <c r="IC65"/>
      <c r="ID65"/>
      <c r="IE65"/>
      <c r="IF65"/>
      <c r="IG65"/>
      <c r="IH65"/>
      <c r="II65"/>
      <c r="IJ65"/>
      <c r="IK65"/>
      <c r="IL65"/>
      <c r="IM65"/>
      <c r="IN65"/>
      <c r="IO65"/>
      <c r="IP65"/>
      <c r="IQ65"/>
      <c r="IR65"/>
      <c r="IS65"/>
      <c r="IT65"/>
      <c r="IU65"/>
      <c r="IV65"/>
    </row>
    <row r="66" spans="33:256" s="70" customFormat="1" ht="12.75" x14ac:dyDescent="0.2">
      <c r="HY66"/>
      <c r="HZ66"/>
      <c r="IA66"/>
      <c r="IB66"/>
      <c r="IC66"/>
      <c r="ID66"/>
      <c r="IE66"/>
      <c r="IF66"/>
      <c r="IG66"/>
      <c r="IH66"/>
      <c r="II66"/>
      <c r="IJ66"/>
      <c r="IK66"/>
      <c r="IL66"/>
      <c r="IM66"/>
      <c r="IN66"/>
      <c r="IO66"/>
      <c r="IP66"/>
      <c r="IQ66"/>
      <c r="IR66"/>
      <c r="IS66"/>
      <c r="IT66"/>
      <c r="IU66"/>
      <c r="IV66"/>
    </row>
    <row r="67" spans="33:256" s="70" customFormat="1" ht="12.75" x14ac:dyDescent="0.2">
      <c r="AO67" s="2">
        <f>3.25*AO58</f>
        <v>2745.21</v>
      </c>
      <c r="AP67" s="2">
        <f>3.25*AP58</f>
        <v>2159.56</v>
      </c>
      <c r="AQ67" s="2">
        <f>3.25*AQ58</f>
        <v>-668.59000000000015</v>
      </c>
      <c r="AR67" s="2">
        <f>3.25*AR58</f>
        <v>-80.990000000000094</v>
      </c>
      <c r="HY67"/>
      <c r="HZ67"/>
      <c r="IA67"/>
      <c r="IB67"/>
      <c r="IC67"/>
      <c r="ID67"/>
      <c r="IE67"/>
      <c r="IF67"/>
      <c r="IG67"/>
      <c r="IH67"/>
      <c r="II67"/>
      <c r="IJ67"/>
      <c r="IK67"/>
      <c r="IL67"/>
      <c r="IM67"/>
      <c r="IN67"/>
      <c r="IO67"/>
      <c r="IP67"/>
      <c r="IQ67"/>
      <c r="IR67"/>
      <c r="IS67"/>
      <c r="IT67"/>
      <c r="IU67"/>
      <c r="IV67"/>
    </row>
    <row r="68" spans="33:256" s="70" customFormat="1" ht="12.75" x14ac:dyDescent="0.2">
      <c r="AO68" s="2">
        <f>AO62-AO67</f>
        <v>4570.79</v>
      </c>
      <c r="AP68" s="2">
        <f>AP62-AP67</f>
        <v>5020.4400000000005</v>
      </c>
      <c r="AQ68" s="2">
        <f>AQ62-AQ67</f>
        <v>7529.59</v>
      </c>
      <c r="AR68" s="2">
        <f>AR62-AR67</f>
        <v>6454.99</v>
      </c>
      <c r="HY68"/>
      <c r="HZ68"/>
      <c r="IA68"/>
      <c r="IB68"/>
      <c r="IC68"/>
      <c r="ID68"/>
      <c r="IE68"/>
      <c r="IF68"/>
      <c r="IG68"/>
      <c r="IH68"/>
      <c r="II68"/>
      <c r="IJ68"/>
      <c r="IK68"/>
      <c r="IL68"/>
      <c r="IM68"/>
      <c r="IN68"/>
      <c r="IO68"/>
      <c r="IP68"/>
      <c r="IQ68"/>
      <c r="IR68"/>
      <c r="IS68"/>
      <c r="IT68"/>
      <c r="IU68"/>
      <c r="IV68"/>
    </row>
    <row r="69" spans="33:256" s="70" customFormat="1" ht="12.75" x14ac:dyDescent="0.2">
      <c r="HY69"/>
      <c r="HZ69"/>
      <c r="IA69"/>
      <c r="IB69"/>
      <c r="IC69"/>
      <c r="ID69"/>
      <c r="IE69"/>
      <c r="IF69"/>
      <c r="IG69"/>
      <c r="IH69"/>
      <c r="II69"/>
      <c r="IJ69"/>
      <c r="IK69"/>
      <c r="IL69"/>
      <c r="IM69"/>
      <c r="IN69"/>
      <c r="IO69"/>
      <c r="IP69"/>
      <c r="IQ69"/>
      <c r="IR69"/>
      <c r="IS69"/>
      <c r="IT69"/>
      <c r="IU69"/>
      <c r="IV69"/>
    </row>
    <row r="70" spans="33:256" s="70" customFormat="1" ht="12.75" x14ac:dyDescent="0.2">
      <c r="AY70" s="2" t="s">
        <v>1509</v>
      </c>
      <c r="BD70" s="2" t="s">
        <v>1510</v>
      </c>
      <c r="BE70" s="2" t="s">
        <v>1703</v>
      </c>
      <c r="HY70"/>
      <c r="HZ70"/>
      <c r="IA70"/>
      <c r="IB70"/>
      <c r="IC70"/>
      <c r="ID70"/>
      <c r="IE70"/>
      <c r="IF70"/>
      <c r="IG70"/>
      <c r="IH70"/>
      <c r="II70"/>
      <c r="IJ70"/>
      <c r="IK70"/>
      <c r="IL70"/>
      <c r="IM70"/>
      <c r="IN70"/>
      <c r="IO70"/>
      <c r="IP70"/>
      <c r="IQ70"/>
      <c r="IR70"/>
      <c r="IS70"/>
      <c r="IT70"/>
      <c r="IU70"/>
      <c r="IV70"/>
    </row>
    <row r="71" spans="33:256" s="70" customFormat="1" ht="12.75" x14ac:dyDescent="0.2">
      <c r="AY71" s="263"/>
      <c r="AZ71" s="39">
        <v>933.33138487495683</v>
      </c>
      <c r="BA71" s="39">
        <f>MAR!BF84</f>
        <v>898</v>
      </c>
      <c r="BB71" s="39">
        <v>741.09991360938466</v>
      </c>
      <c r="BD71" s="2">
        <f>MAR!BF58</f>
        <v>364.67500000000001</v>
      </c>
      <c r="BE71" s="2"/>
      <c r="HY71"/>
      <c r="HZ71"/>
      <c r="IA71"/>
      <c r="IB71"/>
      <c r="IC71"/>
      <c r="ID71"/>
      <c r="IE71"/>
      <c r="IF71"/>
      <c r="IG71"/>
      <c r="IH71"/>
      <c r="II71"/>
      <c r="IJ71"/>
      <c r="IK71"/>
      <c r="IL71"/>
      <c r="IM71"/>
      <c r="IN71"/>
      <c r="IO71"/>
      <c r="IP71"/>
      <c r="IQ71"/>
      <c r="IR71"/>
      <c r="IS71"/>
      <c r="IT71"/>
      <c r="IU71"/>
      <c r="IV71"/>
    </row>
    <row r="72" spans="33:256" s="70" customFormat="1" ht="12.75" x14ac:dyDescent="0.2">
      <c r="AX72" s="264"/>
      <c r="AZ72" s="151" t="s">
        <v>1511</v>
      </c>
      <c r="BA72" s="151" t="s">
        <v>1512</v>
      </c>
      <c r="BB72" s="136" t="s">
        <v>1513</v>
      </c>
      <c r="HY72"/>
      <c r="HZ72"/>
      <c r="IA72"/>
      <c r="IB72"/>
      <c r="IC72"/>
      <c r="ID72"/>
      <c r="IE72"/>
      <c r="IF72"/>
      <c r="IG72"/>
      <c r="IH72"/>
      <c r="II72"/>
      <c r="IJ72"/>
      <c r="IK72"/>
      <c r="IL72"/>
      <c r="IM72"/>
      <c r="IN72"/>
      <c r="IO72"/>
      <c r="IP72"/>
      <c r="IQ72"/>
      <c r="IR72"/>
      <c r="IS72"/>
      <c r="IT72"/>
      <c r="IU72"/>
      <c r="IV72"/>
    </row>
    <row r="73" spans="33:256" s="70" customFormat="1" ht="12.75" x14ac:dyDescent="0.2">
      <c r="AY73" s="175">
        <v>6</v>
      </c>
      <c r="AZ73" s="21">
        <f t="shared" ref="AZ73:BB82" si="7">($AY73*AZ$71-$BE$71)/$BD$71</f>
        <v>15.356106969903999</v>
      </c>
      <c r="BA73" s="21">
        <f t="shared" si="7"/>
        <v>14.77479947898814</v>
      </c>
      <c r="BB73" s="138">
        <f t="shared" si="7"/>
        <v>12.193321400305225</v>
      </c>
      <c r="HY73"/>
      <c r="HZ73"/>
      <c r="IA73"/>
      <c r="IB73"/>
      <c r="IC73"/>
      <c r="ID73"/>
      <c r="IE73"/>
      <c r="IF73"/>
      <c r="IG73"/>
      <c r="IH73"/>
      <c r="II73"/>
      <c r="IJ73"/>
      <c r="IK73"/>
      <c r="IL73"/>
      <c r="IM73"/>
      <c r="IN73"/>
      <c r="IO73"/>
      <c r="IP73"/>
      <c r="IQ73"/>
      <c r="IR73"/>
      <c r="IS73"/>
      <c r="IT73"/>
      <c r="IU73"/>
      <c r="IV73"/>
    </row>
    <row r="74" spans="33:256" s="70" customFormat="1" ht="12.75" x14ac:dyDescent="0.2">
      <c r="AY74" s="175">
        <f t="shared" ref="AY74:AY82" si="8">AY73+1</f>
        <v>7</v>
      </c>
      <c r="AZ74" s="21">
        <f t="shared" si="7"/>
        <v>17.915458131554665</v>
      </c>
      <c r="BA74" s="21">
        <f t="shared" si="7"/>
        <v>17.237266058819497</v>
      </c>
      <c r="BB74" s="74">
        <f t="shared" si="7"/>
        <v>14.225541633689428</v>
      </c>
      <c r="HY74"/>
      <c r="HZ74"/>
      <c r="IA74"/>
      <c r="IB74"/>
      <c r="IC74"/>
      <c r="ID74"/>
      <c r="IE74"/>
      <c r="IF74"/>
      <c r="IG74"/>
      <c r="IH74"/>
      <c r="II74"/>
      <c r="IJ74"/>
      <c r="IK74"/>
      <c r="IL74"/>
      <c r="IM74"/>
      <c r="IN74"/>
      <c r="IO74"/>
      <c r="IP74"/>
      <c r="IQ74"/>
      <c r="IR74"/>
      <c r="IS74"/>
      <c r="IT74"/>
      <c r="IU74"/>
      <c r="IV74"/>
    </row>
    <row r="75" spans="33:256" s="70" customFormat="1" ht="12.75" x14ac:dyDescent="0.2">
      <c r="AY75" s="175">
        <f t="shared" si="8"/>
        <v>8</v>
      </c>
      <c r="AZ75" s="21">
        <f t="shared" si="7"/>
        <v>20.474809293205332</v>
      </c>
      <c r="BA75" s="21">
        <f t="shared" si="7"/>
        <v>19.699732638650854</v>
      </c>
      <c r="BB75" s="74">
        <f t="shared" si="7"/>
        <v>16.257761867073633</v>
      </c>
      <c r="HY75"/>
      <c r="HZ75"/>
      <c r="IA75"/>
      <c r="IB75"/>
      <c r="IC75"/>
      <c r="ID75"/>
      <c r="IE75"/>
      <c r="IF75"/>
      <c r="IG75"/>
      <c r="IH75"/>
      <c r="II75"/>
      <c r="IJ75"/>
      <c r="IK75"/>
      <c r="IL75"/>
      <c r="IM75"/>
      <c r="IN75"/>
      <c r="IO75"/>
      <c r="IP75"/>
      <c r="IQ75"/>
      <c r="IR75"/>
      <c r="IS75"/>
      <c r="IT75"/>
      <c r="IU75"/>
      <c r="IV75"/>
    </row>
    <row r="76" spans="33:256" s="70" customFormat="1" ht="12.75" x14ac:dyDescent="0.2">
      <c r="AY76" s="175">
        <f t="shared" si="8"/>
        <v>9</v>
      </c>
      <c r="AZ76" s="21">
        <f t="shared" si="7"/>
        <v>23.034160454856</v>
      </c>
      <c r="BA76" s="21">
        <f t="shared" si="7"/>
        <v>22.162199218482211</v>
      </c>
      <c r="BB76" s="74">
        <f t="shared" si="7"/>
        <v>18.289982100457838</v>
      </c>
      <c r="HY76"/>
      <c r="HZ76"/>
      <c r="IA76"/>
      <c r="IB76"/>
      <c r="IC76"/>
      <c r="ID76"/>
      <c r="IE76"/>
      <c r="IF76"/>
      <c r="IG76"/>
      <c r="IH76"/>
      <c r="II76"/>
      <c r="IJ76"/>
      <c r="IK76"/>
      <c r="IL76"/>
      <c r="IM76"/>
      <c r="IN76"/>
      <c r="IO76"/>
      <c r="IP76"/>
      <c r="IQ76"/>
      <c r="IR76"/>
      <c r="IS76"/>
      <c r="IT76"/>
      <c r="IU76"/>
      <c r="IV76"/>
    </row>
    <row r="77" spans="33:256" s="70" customFormat="1" ht="12.75" x14ac:dyDescent="0.2">
      <c r="AY77" s="175">
        <f t="shared" si="8"/>
        <v>10</v>
      </c>
      <c r="AZ77" s="21">
        <f t="shared" si="7"/>
        <v>25.593511616506667</v>
      </c>
      <c r="BA77" s="21">
        <f t="shared" si="7"/>
        <v>24.624665798313565</v>
      </c>
      <c r="BB77" s="74">
        <f t="shared" si="7"/>
        <v>20.322202333842043</v>
      </c>
      <c r="HY77"/>
      <c r="HZ77"/>
      <c r="IA77"/>
      <c r="IB77"/>
      <c r="IC77"/>
      <c r="ID77"/>
      <c r="IE77"/>
      <c r="IF77"/>
      <c r="IG77"/>
      <c r="IH77"/>
      <c r="II77"/>
      <c r="IJ77"/>
      <c r="IK77"/>
      <c r="IL77"/>
      <c r="IM77"/>
      <c r="IN77"/>
      <c r="IO77"/>
      <c r="IP77"/>
      <c r="IQ77"/>
      <c r="IR77"/>
      <c r="IS77"/>
      <c r="IT77"/>
      <c r="IU77"/>
      <c r="IV77"/>
    </row>
    <row r="78" spans="33:256" s="70" customFormat="1" ht="12.75" x14ac:dyDescent="0.2">
      <c r="AY78" s="175">
        <f t="shared" si="8"/>
        <v>11</v>
      </c>
      <c r="AZ78" s="21">
        <f t="shared" si="7"/>
        <v>28.152862778157331</v>
      </c>
      <c r="BA78" s="52">
        <f t="shared" si="7"/>
        <v>27.087132378144922</v>
      </c>
      <c r="BB78" s="74">
        <f t="shared" si="7"/>
        <v>22.354422567226244</v>
      </c>
      <c r="HY78"/>
      <c r="HZ78"/>
      <c r="IA78"/>
      <c r="IB78"/>
      <c r="IC78"/>
      <c r="ID78"/>
      <c r="IE78"/>
      <c r="IF78"/>
      <c r="IG78"/>
      <c r="IH78"/>
      <c r="II78"/>
      <c r="IJ78"/>
      <c r="IK78"/>
      <c r="IL78"/>
      <c r="IM78"/>
      <c r="IN78"/>
      <c r="IO78"/>
      <c r="IP78"/>
      <c r="IQ78"/>
      <c r="IR78"/>
      <c r="IS78"/>
      <c r="IT78"/>
      <c r="IU78"/>
      <c r="IV78"/>
    </row>
    <row r="79" spans="33:256" s="70" customFormat="1" ht="12.75" x14ac:dyDescent="0.2">
      <c r="AY79" s="175">
        <f t="shared" si="8"/>
        <v>12</v>
      </c>
      <c r="AZ79" s="21">
        <f t="shared" si="7"/>
        <v>30.712213939807999</v>
      </c>
      <c r="BA79" s="52">
        <f t="shared" si="7"/>
        <v>29.549598957976279</v>
      </c>
      <c r="BB79" s="74">
        <f t="shared" si="7"/>
        <v>24.386642800610449</v>
      </c>
      <c r="HY79"/>
      <c r="HZ79"/>
      <c r="IA79"/>
      <c r="IB79"/>
      <c r="IC79"/>
      <c r="ID79"/>
      <c r="IE79"/>
      <c r="IF79"/>
      <c r="IG79"/>
      <c r="IH79"/>
      <c r="II79"/>
      <c r="IJ79"/>
      <c r="IK79"/>
      <c r="IL79"/>
      <c r="IM79"/>
      <c r="IN79"/>
      <c r="IO79"/>
      <c r="IP79"/>
      <c r="IQ79"/>
      <c r="IR79"/>
      <c r="IS79"/>
      <c r="IT79"/>
      <c r="IU79"/>
      <c r="IV79"/>
    </row>
    <row r="80" spans="33:256" s="70" customFormat="1" ht="12.75" x14ac:dyDescent="0.2">
      <c r="AY80" s="175">
        <f t="shared" si="8"/>
        <v>13</v>
      </c>
      <c r="AZ80" s="21">
        <f t="shared" si="7"/>
        <v>33.271565101458663</v>
      </c>
      <c r="BA80" s="56">
        <f t="shared" si="7"/>
        <v>32.012065537807636</v>
      </c>
      <c r="BB80" s="74">
        <f t="shared" si="7"/>
        <v>26.418863033994654</v>
      </c>
      <c r="HY80"/>
      <c r="HZ80"/>
      <c r="IA80"/>
      <c r="IB80"/>
      <c r="IC80"/>
      <c r="ID80"/>
      <c r="IE80"/>
      <c r="IF80"/>
      <c r="IG80"/>
      <c r="IH80"/>
      <c r="II80"/>
      <c r="IJ80"/>
      <c r="IK80"/>
      <c r="IL80"/>
      <c r="IM80"/>
      <c r="IN80"/>
      <c r="IO80"/>
      <c r="IP80"/>
      <c r="IQ80"/>
      <c r="IR80"/>
      <c r="IS80"/>
      <c r="IT80"/>
      <c r="IU80"/>
      <c r="IV80"/>
    </row>
    <row r="81" spans="51:256" s="70" customFormat="1" ht="12.75" x14ac:dyDescent="0.2">
      <c r="AY81" s="175">
        <f t="shared" si="8"/>
        <v>14</v>
      </c>
      <c r="AZ81" s="21">
        <f t="shared" si="7"/>
        <v>35.83091626310933</v>
      </c>
      <c r="BA81" s="21">
        <f t="shared" si="7"/>
        <v>34.474532117638994</v>
      </c>
      <c r="BB81" s="74">
        <f t="shared" si="7"/>
        <v>28.451083267378856</v>
      </c>
      <c r="HY81"/>
      <c r="HZ81"/>
      <c r="IA81"/>
      <c r="IB81"/>
      <c r="IC81"/>
      <c r="ID81"/>
      <c r="IE81"/>
      <c r="IF81"/>
      <c r="IG81"/>
      <c r="IH81"/>
      <c r="II81"/>
      <c r="IJ81"/>
      <c r="IK81"/>
      <c r="IL81"/>
      <c r="IM81"/>
      <c r="IN81"/>
      <c r="IO81"/>
      <c r="IP81"/>
      <c r="IQ81"/>
      <c r="IR81"/>
      <c r="IS81"/>
      <c r="IT81"/>
      <c r="IU81"/>
      <c r="IV81"/>
    </row>
    <row r="82" spans="51:256" s="70" customFormat="1" ht="12.75" x14ac:dyDescent="0.2">
      <c r="AY82" s="176">
        <f t="shared" si="8"/>
        <v>15</v>
      </c>
      <c r="AZ82" s="68">
        <f t="shared" si="7"/>
        <v>38.390267424759998</v>
      </c>
      <c r="BA82" s="41">
        <f t="shared" si="7"/>
        <v>36.936998697470351</v>
      </c>
      <c r="BB82" s="42">
        <f t="shared" si="7"/>
        <v>30.483303500763061</v>
      </c>
      <c r="HY82"/>
      <c r="HZ82"/>
      <c r="IA82"/>
      <c r="IB82"/>
      <c r="IC82"/>
      <c r="ID82"/>
      <c r="IE82"/>
      <c r="IF82"/>
      <c r="IG82"/>
      <c r="IH82"/>
      <c r="II82"/>
      <c r="IJ82"/>
      <c r="IK82"/>
      <c r="IL82"/>
      <c r="IM82"/>
      <c r="IN82"/>
      <c r="IO82"/>
      <c r="IP82"/>
      <c r="IQ82"/>
      <c r="IR82"/>
      <c r="IS82"/>
      <c r="IT82"/>
      <c r="IU82"/>
      <c r="IV82"/>
    </row>
    <row r="83" spans="51:256" s="70" customFormat="1" ht="12.75" x14ac:dyDescent="0.2">
      <c r="HY83"/>
      <c r="HZ83"/>
      <c r="IA83"/>
      <c r="IB83"/>
      <c r="IC83"/>
      <c r="ID83"/>
      <c r="IE83"/>
      <c r="IF83"/>
      <c r="IG83"/>
      <c r="IH83"/>
      <c r="II83"/>
      <c r="IJ83"/>
      <c r="IK83"/>
      <c r="IL83"/>
      <c r="IM83"/>
      <c r="IN83"/>
      <c r="IO83"/>
      <c r="IP83"/>
      <c r="IQ83"/>
      <c r="IR83"/>
      <c r="IS83"/>
      <c r="IT83"/>
      <c r="IU83"/>
      <c r="IV83"/>
    </row>
    <row r="84" spans="51:256" s="70" customFormat="1" ht="12.75" x14ac:dyDescent="0.2">
      <c r="HY84"/>
      <c r="HZ84"/>
      <c r="IA84"/>
      <c r="IB84"/>
      <c r="IC84"/>
      <c r="ID84"/>
      <c r="IE84"/>
      <c r="IF84"/>
      <c r="IG84"/>
      <c r="IH84"/>
      <c r="II84"/>
      <c r="IJ84"/>
      <c r="IK84"/>
      <c r="IL84"/>
      <c r="IM84"/>
      <c r="IN84"/>
      <c r="IO84"/>
      <c r="IP84"/>
      <c r="IQ84"/>
      <c r="IR84"/>
      <c r="IS84"/>
      <c r="IT84"/>
      <c r="IU84"/>
      <c r="IV84"/>
    </row>
    <row r="85" spans="51:256" s="70" customFormat="1" ht="12.75" x14ac:dyDescent="0.2">
      <c r="BF85" s="263"/>
      <c r="HY85"/>
      <c r="HZ85"/>
      <c r="IA85"/>
      <c r="IB85"/>
      <c r="IC85"/>
      <c r="ID85"/>
      <c r="IE85"/>
      <c r="IF85"/>
      <c r="IG85"/>
      <c r="IH85"/>
      <c r="II85"/>
      <c r="IJ85"/>
      <c r="IK85"/>
      <c r="IL85"/>
      <c r="IM85"/>
      <c r="IN85"/>
      <c r="IO85"/>
      <c r="IP85"/>
      <c r="IQ85"/>
      <c r="IR85"/>
      <c r="IS85"/>
      <c r="IT85"/>
      <c r="IU85"/>
      <c r="IV85"/>
    </row>
    <row r="86" spans="51:256" s="70" customFormat="1" ht="12.75" x14ac:dyDescent="0.2">
      <c r="BE86" s="264"/>
      <c r="BF86" s="191"/>
      <c r="BG86" s="125" t="s">
        <v>1782</v>
      </c>
      <c r="BH86" s="124" t="s">
        <v>1755</v>
      </c>
      <c r="HY86"/>
      <c r="HZ86"/>
      <c r="IA86"/>
      <c r="IB86"/>
      <c r="IC86"/>
      <c r="ID86"/>
      <c r="IE86"/>
      <c r="IF86"/>
      <c r="IG86"/>
      <c r="IH86"/>
      <c r="II86"/>
      <c r="IJ86"/>
      <c r="IK86"/>
      <c r="IL86"/>
      <c r="IM86"/>
      <c r="IN86"/>
      <c r="IO86"/>
      <c r="IP86"/>
      <c r="IQ86"/>
      <c r="IR86"/>
      <c r="IS86"/>
      <c r="IT86"/>
      <c r="IU86"/>
      <c r="IV86"/>
    </row>
    <row r="87" spans="51:256" s="70" customFormat="1" ht="12.75" x14ac:dyDescent="0.2">
      <c r="BF87" s="128" t="s">
        <v>373</v>
      </c>
      <c r="BG87" s="31" t="s">
        <v>1347</v>
      </c>
      <c r="BH87" s="177">
        <f>RevPAR!AY674</f>
        <v>-0.16883468834688348</v>
      </c>
      <c r="HY87"/>
      <c r="HZ87"/>
      <c r="IA87"/>
      <c r="IB87"/>
      <c r="IC87"/>
      <c r="ID87"/>
      <c r="IE87"/>
      <c r="IF87"/>
      <c r="IG87"/>
      <c r="IH87"/>
      <c r="II87"/>
      <c r="IJ87"/>
      <c r="IK87"/>
      <c r="IL87"/>
      <c r="IM87"/>
      <c r="IN87"/>
      <c r="IO87"/>
      <c r="IP87"/>
      <c r="IQ87"/>
      <c r="IR87"/>
      <c r="IS87"/>
      <c r="IT87"/>
      <c r="IU87"/>
      <c r="IV87"/>
    </row>
    <row r="88" spans="51:256" s="70" customFormat="1" ht="12.75" x14ac:dyDescent="0.2">
      <c r="BF88" s="129" t="s">
        <v>1943</v>
      </c>
      <c r="BG88" s="23" t="s">
        <v>1354</v>
      </c>
      <c r="BH88" s="178">
        <f>MAR!BF242</f>
        <v>1714</v>
      </c>
      <c r="HY88"/>
      <c r="HZ88"/>
      <c r="IA88"/>
      <c r="IB88"/>
      <c r="IC88"/>
      <c r="ID88"/>
      <c r="IE88"/>
      <c r="IF88"/>
      <c r="IG88"/>
      <c r="IH88"/>
      <c r="II88"/>
      <c r="IJ88"/>
      <c r="IK88"/>
      <c r="IL88"/>
      <c r="IM88"/>
      <c r="IN88"/>
      <c r="IO88"/>
      <c r="IP88"/>
      <c r="IQ88"/>
      <c r="IR88"/>
      <c r="IS88"/>
      <c r="IT88"/>
      <c r="IU88"/>
      <c r="IV88"/>
    </row>
    <row r="89" spans="51:256" s="70" customFormat="1" ht="12.75" x14ac:dyDescent="0.2">
      <c r="BF89" s="130" t="s">
        <v>1942</v>
      </c>
      <c r="BG89" s="23" t="s">
        <v>1538</v>
      </c>
      <c r="BH89" s="178">
        <f>MAR!BF183</f>
        <v>68</v>
      </c>
      <c r="HY89"/>
      <c r="HZ89"/>
      <c r="IA89"/>
      <c r="IB89"/>
      <c r="IC89"/>
      <c r="ID89"/>
      <c r="IE89"/>
      <c r="IF89"/>
      <c r="IG89"/>
      <c r="IH89"/>
      <c r="II89"/>
      <c r="IJ89"/>
      <c r="IK89"/>
      <c r="IL89"/>
      <c r="IM89"/>
      <c r="IN89"/>
      <c r="IO89"/>
      <c r="IP89"/>
      <c r="IQ89"/>
      <c r="IR89"/>
      <c r="IS89"/>
      <c r="IT89"/>
      <c r="IU89"/>
      <c r="IV89"/>
    </row>
    <row r="90" spans="51:256" s="70" customFormat="1" ht="12.75" x14ac:dyDescent="0.2">
      <c r="BF90" s="129" t="s">
        <v>1944</v>
      </c>
      <c r="BG90" s="23" t="s">
        <v>61</v>
      </c>
      <c r="BH90" s="178">
        <f>MAR!BF431</f>
        <v>748</v>
      </c>
      <c r="HY90"/>
      <c r="HZ90"/>
      <c r="IA90"/>
      <c r="IB90"/>
      <c r="IC90"/>
      <c r="ID90"/>
      <c r="IE90"/>
      <c r="IF90"/>
      <c r="IG90"/>
      <c r="IH90"/>
      <c r="II90"/>
      <c r="IJ90"/>
      <c r="IK90"/>
      <c r="IL90"/>
      <c r="IM90"/>
      <c r="IN90"/>
      <c r="IO90"/>
      <c r="IP90"/>
      <c r="IQ90"/>
      <c r="IR90"/>
      <c r="IS90"/>
      <c r="IT90"/>
      <c r="IU90"/>
      <c r="IV90"/>
    </row>
    <row r="91" spans="51:256" s="70" customFormat="1" ht="12.75" x14ac:dyDescent="0.2">
      <c r="BF91" s="130" t="s">
        <v>14</v>
      </c>
      <c r="BG91" s="23" t="s">
        <v>169</v>
      </c>
      <c r="BH91" s="178">
        <f>MAR!BF473</f>
        <v>85</v>
      </c>
      <c r="HY91"/>
      <c r="HZ91"/>
      <c r="IA91"/>
      <c r="IB91"/>
      <c r="IC91"/>
      <c r="ID91"/>
      <c r="IE91"/>
      <c r="IF91"/>
      <c r="IG91"/>
      <c r="IH91"/>
      <c r="II91"/>
      <c r="IJ91"/>
      <c r="IK91"/>
      <c r="IL91"/>
      <c r="IM91"/>
      <c r="IN91"/>
      <c r="IO91"/>
      <c r="IP91"/>
      <c r="IQ91"/>
      <c r="IR91"/>
      <c r="IS91"/>
      <c r="IT91"/>
      <c r="IU91"/>
      <c r="IV91"/>
    </row>
    <row r="92" spans="51:256" s="70" customFormat="1" ht="12.75" x14ac:dyDescent="0.2">
      <c r="BF92" s="129" t="s">
        <v>326</v>
      </c>
      <c r="BG92" s="13" t="s">
        <v>173</v>
      </c>
      <c r="BH92" s="178">
        <v>0</v>
      </c>
      <c r="HY92"/>
      <c r="HZ92"/>
      <c r="IA92"/>
      <c r="IB92"/>
      <c r="IC92"/>
      <c r="ID92"/>
      <c r="IE92"/>
      <c r="IF92"/>
      <c r="IG92"/>
      <c r="IH92"/>
      <c r="II92"/>
      <c r="IJ92"/>
      <c r="IK92"/>
      <c r="IL92"/>
      <c r="IM92"/>
      <c r="IN92"/>
      <c r="IO92"/>
      <c r="IP92"/>
      <c r="IQ92"/>
      <c r="IR92"/>
      <c r="IS92"/>
      <c r="IT92"/>
      <c r="IU92"/>
      <c r="IV92"/>
    </row>
    <row r="93" spans="51:256" s="70" customFormat="1" ht="12.75" x14ac:dyDescent="0.2">
      <c r="BF93" s="130" t="s">
        <v>1946</v>
      </c>
      <c r="BG93" s="23" t="s">
        <v>174</v>
      </c>
      <c r="BH93" s="178">
        <f>MAR!BF29</f>
        <v>1467</v>
      </c>
      <c r="HY93"/>
      <c r="HZ93"/>
      <c r="IA93"/>
      <c r="IB93"/>
      <c r="IC93"/>
      <c r="ID93"/>
      <c r="IE93"/>
      <c r="IF93"/>
      <c r="IG93"/>
      <c r="IH93"/>
      <c r="II93"/>
      <c r="IJ93"/>
      <c r="IK93"/>
      <c r="IL93"/>
      <c r="IM93"/>
      <c r="IN93"/>
      <c r="IO93"/>
      <c r="IP93"/>
      <c r="IQ93"/>
      <c r="IR93"/>
      <c r="IS93"/>
      <c r="IT93"/>
      <c r="IU93"/>
      <c r="IV93"/>
    </row>
    <row r="94" spans="51:256" s="70" customFormat="1" ht="12.75" x14ac:dyDescent="0.2">
      <c r="BF94" s="129" t="s">
        <v>1194</v>
      </c>
      <c r="BG94" s="13" t="s">
        <v>332</v>
      </c>
      <c r="BH94" s="178"/>
      <c r="HY94"/>
      <c r="HZ94"/>
      <c r="IA94"/>
      <c r="IB94"/>
      <c r="IC94"/>
      <c r="ID94"/>
      <c r="IE94"/>
      <c r="IF94"/>
      <c r="IG94"/>
      <c r="IH94"/>
      <c r="II94"/>
      <c r="IJ94"/>
      <c r="IK94"/>
      <c r="IL94"/>
      <c r="IM94"/>
      <c r="IN94"/>
      <c r="IO94"/>
      <c r="IP94"/>
      <c r="IQ94"/>
      <c r="IR94"/>
      <c r="IS94"/>
      <c r="IT94"/>
      <c r="IU94"/>
      <c r="IV94"/>
    </row>
    <row r="95" spans="51:256" s="70" customFormat="1" ht="12.75" x14ac:dyDescent="0.2">
      <c r="BF95" s="132" t="s">
        <v>338</v>
      </c>
      <c r="BG95" s="133" t="s">
        <v>184</v>
      </c>
      <c r="BH95" s="179">
        <f>MAR!BF59</f>
        <v>0.21717968053746486</v>
      </c>
      <c r="HY95"/>
      <c r="HZ95"/>
      <c r="IA95"/>
      <c r="IB95"/>
      <c r="IC95"/>
      <c r="ID95"/>
      <c r="IE95"/>
      <c r="IF95"/>
      <c r="IG95"/>
      <c r="IH95"/>
      <c r="II95"/>
      <c r="IJ95"/>
      <c r="IK95"/>
      <c r="IL95"/>
      <c r="IM95"/>
      <c r="IN95"/>
      <c r="IO95"/>
      <c r="IP95"/>
      <c r="IQ95"/>
      <c r="IR95"/>
      <c r="IS95"/>
      <c r="IT95"/>
      <c r="IU95"/>
      <c r="IV95"/>
    </row>
    <row r="96" spans="51:256" s="70" customFormat="1" ht="12.75" x14ac:dyDescent="0.2">
      <c r="HY96"/>
      <c r="HZ96"/>
      <c r="IA96"/>
      <c r="IB96"/>
      <c r="IC96"/>
      <c r="ID96"/>
      <c r="IE96"/>
      <c r="IF96"/>
      <c r="IG96"/>
      <c r="IH96"/>
      <c r="II96"/>
      <c r="IJ96"/>
      <c r="IK96"/>
      <c r="IL96"/>
      <c r="IM96"/>
      <c r="IN96"/>
      <c r="IO96"/>
      <c r="IP96"/>
      <c r="IQ96"/>
      <c r="IR96"/>
      <c r="IS96"/>
      <c r="IT96"/>
      <c r="IU96"/>
      <c r="IV96"/>
    </row>
    <row r="97" spans="62:256" s="70" customFormat="1" ht="12.75" x14ac:dyDescent="0.2">
      <c r="BJ97" s="199" t="s">
        <v>202</v>
      </c>
      <c r="HY97"/>
      <c r="HZ97"/>
      <c r="IA97"/>
      <c r="IB97"/>
      <c r="IC97"/>
      <c r="ID97"/>
      <c r="IE97"/>
      <c r="IF97"/>
      <c r="IG97"/>
      <c r="IH97"/>
      <c r="II97"/>
      <c r="IJ97"/>
      <c r="IK97"/>
      <c r="IL97"/>
      <c r="IM97"/>
      <c r="IN97"/>
      <c r="IO97"/>
      <c r="IP97"/>
      <c r="IQ97"/>
      <c r="IR97"/>
      <c r="IS97"/>
      <c r="IT97"/>
      <c r="IU97"/>
      <c r="IV97"/>
    </row>
    <row r="98" spans="62:256" s="70" customFormat="1" ht="12.75" x14ac:dyDescent="0.2">
      <c r="BJ98" s="247" t="s">
        <v>43</v>
      </c>
      <c r="HY98"/>
      <c r="HZ98"/>
      <c r="IA98"/>
      <c r="IB98"/>
      <c r="IC98"/>
      <c r="ID98"/>
      <c r="IE98"/>
      <c r="IF98"/>
      <c r="IG98"/>
      <c r="IH98"/>
      <c r="II98"/>
      <c r="IJ98"/>
      <c r="IK98"/>
      <c r="IL98"/>
      <c r="IM98"/>
      <c r="IN98"/>
      <c r="IO98"/>
      <c r="IP98"/>
      <c r="IQ98"/>
      <c r="IR98"/>
      <c r="IS98"/>
      <c r="IT98"/>
      <c r="IU98"/>
      <c r="IV98"/>
    </row>
    <row r="99" spans="62:256" s="70" customFormat="1" ht="12.75" x14ac:dyDescent="0.2">
      <c r="HY99"/>
      <c r="HZ99"/>
      <c r="IA99"/>
      <c r="IB99"/>
      <c r="IC99"/>
      <c r="ID99"/>
      <c r="IE99"/>
      <c r="IF99"/>
      <c r="IG99"/>
      <c r="IH99"/>
      <c r="II99"/>
      <c r="IJ99"/>
      <c r="IK99"/>
      <c r="IL99"/>
      <c r="IM99"/>
      <c r="IN99"/>
      <c r="IO99"/>
      <c r="IP99"/>
      <c r="IQ99"/>
      <c r="IR99"/>
      <c r="IS99"/>
      <c r="IT99"/>
      <c r="IU99"/>
      <c r="IV99"/>
    </row>
    <row r="100" spans="62:256" s="70" customFormat="1" ht="12.75" x14ac:dyDescent="0.2">
      <c r="BJ100" s="248" t="s">
        <v>1263</v>
      </c>
      <c r="HY100"/>
      <c r="HZ100"/>
      <c r="IA100"/>
      <c r="IB100"/>
      <c r="IC100"/>
      <c r="ID100"/>
      <c r="IE100"/>
      <c r="IF100"/>
      <c r="IG100"/>
      <c r="IH100"/>
      <c r="II100"/>
      <c r="IJ100"/>
      <c r="IK100"/>
      <c r="IL100"/>
      <c r="IM100"/>
      <c r="IN100"/>
      <c r="IO100"/>
      <c r="IP100"/>
      <c r="IQ100"/>
      <c r="IR100"/>
      <c r="IS100"/>
      <c r="IT100"/>
      <c r="IU100"/>
      <c r="IV100"/>
    </row>
    <row r="101" spans="62:256" s="70" customFormat="1" ht="12.75" x14ac:dyDescent="0.2">
      <c r="BJ101" s="70" t="s">
        <v>586</v>
      </c>
      <c r="BK101" s="249">
        <v>9956</v>
      </c>
      <c r="HY101"/>
      <c r="HZ101"/>
      <c r="IA101"/>
      <c r="IB101"/>
      <c r="IC101"/>
      <c r="ID101"/>
      <c r="IE101"/>
      <c r="IF101"/>
      <c r="IG101"/>
      <c r="IH101"/>
      <c r="II101"/>
      <c r="IJ101"/>
      <c r="IK101"/>
      <c r="IL101"/>
      <c r="IM101"/>
      <c r="IN101"/>
      <c r="IO101"/>
      <c r="IP101"/>
      <c r="IQ101"/>
      <c r="IR101"/>
      <c r="IS101"/>
      <c r="IT101"/>
      <c r="IU101"/>
      <c r="IV101"/>
    </row>
    <row r="102" spans="62:256" s="70" customFormat="1" ht="12.75" x14ac:dyDescent="0.2">
      <c r="BJ102" s="70" t="s">
        <v>44</v>
      </c>
      <c r="BK102" s="250">
        <v>4974</v>
      </c>
      <c r="HY102"/>
      <c r="HZ102"/>
      <c r="IA102"/>
      <c r="IB102"/>
      <c r="IC102"/>
      <c r="ID102"/>
      <c r="IE102"/>
      <c r="IF102"/>
      <c r="IG102"/>
      <c r="IH102"/>
      <c r="II102"/>
      <c r="IJ102"/>
      <c r="IK102"/>
      <c r="IL102"/>
      <c r="IM102"/>
      <c r="IN102"/>
      <c r="IO102"/>
      <c r="IP102"/>
      <c r="IQ102"/>
      <c r="IR102"/>
      <c r="IS102"/>
      <c r="IT102"/>
      <c r="IU102"/>
      <c r="IV102"/>
    </row>
    <row r="103" spans="62:256" s="70" customFormat="1" ht="12.75" x14ac:dyDescent="0.2">
      <c r="BJ103" s="199" t="s">
        <v>1327</v>
      </c>
      <c r="BK103" s="251">
        <f>SUM(BK101:BK102)</f>
        <v>14930</v>
      </c>
      <c r="HY103"/>
      <c r="HZ103"/>
      <c r="IA103"/>
      <c r="IB103"/>
      <c r="IC103"/>
      <c r="ID103"/>
      <c r="IE103"/>
      <c r="IF103"/>
      <c r="IG103"/>
      <c r="IH103"/>
      <c r="II103"/>
      <c r="IJ103"/>
      <c r="IK103"/>
      <c r="IL103"/>
      <c r="IM103"/>
      <c r="IN103"/>
      <c r="IO103"/>
      <c r="IP103"/>
      <c r="IQ103"/>
      <c r="IR103"/>
      <c r="IS103"/>
      <c r="IT103"/>
      <c r="IU103"/>
      <c r="IV103"/>
    </row>
    <row r="104" spans="62:256" s="70" customFormat="1" ht="12.75" x14ac:dyDescent="0.2">
      <c r="HY104"/>
      <c r="HZ104"/>
      <c r="IA104"/>
      <c r="IB104"/>
      <c r="IC104"/>
      <c r="ID104"/>
      <c r="IE104"/>
      <c r="IF104"/>
      <c r="IG104"/>
      <c r="IH104"/>
      <c r="II104"/>
      <c r="IJ104"/>
      <c r="IK104"/>
      <c r="IL104"/>
      <c r="IM104"/>
      <c r="IN104"/>
      <c r="IO104"/>
      <c r="IP104"/>
      <c r="IQ104"/>
      <c r="IR104"/>
      <c r="IS104"/>
      <c r="IT104"/>
      <c r="IU104"/>
      <c r="IV104"/>
    </row>
    <row r="105" spans="62:256" s="70" customFormat="1" ht="12.75" x14ac:dyDescent="0.2">
      <c r="BJ105" s="248" t="s">
        <v>1616</v>
      </c>
      <c r="BK105" s="252"/>
      <c r="BL105" s="252"/>
      <c r="BM105" s="252"/>
      <c r="HY105"/>
      <c r="HZ105"/>
      <c r="IA105"/>
      <c r="IB105"/>
      <c r="IC105"/>
      <c r="ID105"/>
      <c r="IE105"/>
      <c r="IF105"/>
      <c r="IG105"/>
      <c r="IH105"/>
      <c r="II105"/>
      <c r="IJ105"/>
      <c r="IK105"/>
      <c r="IL105"/>
      <c r="IM105"/>
      <c r="IN105"/>
      <c r="IO105"/>
      <c r="IP105"/>
      <c r="IQ105"/>
      <c r="IR105"/>
      <c r="IS105"/>
      <c r="IT105"/>
      <c r="IU105"/>
      <c r="IV105"/>
    </row>
    <row r="106" spans="62:256" s="70" customFormat="1" ht="12.75" x14ac:dyDescent="0.2">
      <c r="BJ106" s="70" t="s">
        <v>45</v>
      </c>
      <c r="BK106" s="21">
        <f>MAR!$BK$330/AVERAGE(MAR!$BG$286:$BJ$286)*1000000</f>
        <v>1877.5918575349128</v>
      </c>
      <c r="BL106" s="21"/>
      <c r="BM106" s="21"/>
      <c r="HY106"/>
      <c r="HZ106"/>
      <c r="IA106"/>
      <c r="IB106"/>
      <c r="IC106"/>
      <c r="ID106"/>
      <c r="IE106"/>
      <c r="IF106"/>
      <c r="IG106"/>
      <c r="IH106"/>
      <c r="II106"/>
      <c r="IJ106"/>
      <c r="IK106"/>
      <c r="IL106"/>
      <c r="IM106"/>
      <c r="IN106"/>
      <c r="IO106"/>
      <c r="IP106"/>
      <c r="IQ106"/>
      <c r="IR106"/>
      <c r="IS106"/>
      <c r="IT106"/>
      <c r="IU106"/>
      <c r="IV106"/>
    </row>
    <row r="107" spans="62:256" s="70" customFormat="1" ht="12.75" x14ac:dyDescent="0.2">
      <c r="BJ107" s="70" t="s">
        <v>1421</v>
      </c>
      <c r="BK107" s="253">
        <f>MAR!$BK$343/AVERAGE(MAR!$BG$286:$BJ$286)*1000000</f>
        <v>680.7205539270002</v>
      </c>
      <c r="BL107" s="187"/>
      <c r="BM107" s="187"/>
      <c r="HY107"/>
      <c r="HZ107"/>
      <c r="IA107"/>
      <c r="IB107"/>
      <c r="IC107"/>
      <c r="ID107"/>
      <c r="IE107"/>
      <c r="IF107"/>
      <c r="IG107"/>
      <c r="IH107"/>
      <c r="II107"/>
      <c r="IJ107"/>
      <c r="IK107"/>
      <c r="IL107"/>
      <c r="IM107"/>
      <c r="IN107"/>
      <c r="IO107"/>
      <c r="IP107"/>
      <c r="IQ107"/>
      <c r="IR107"/>
      <c r="IS107"/>
      <c r="IT107"/>
      <c r="IU107"/>
      <c r="IV107"/>
    </row>
    <row r="108" spans="62:256" s="70" customFormat="1" ht="12.75" x14ac:dyDescent="0.2">
      <c r="BJ108" s="199" t="s">
        <v>1422</v>
      </c>
      <c r="BK108" s="56">
        <f>SUM(BK106:BK107)</f>
        <v>2558.3124114619131</v>
      </c>
      <c r="BL108" s="56">
        <f>BK108*(1+MAR!BP317)</f>
        <v>2765.4827411200263</v>
      </c>
      <c r="BM108" s="56">
        <f>BL108*(1+MAR!BU317)</f>
        <v>2911.9525474425486</v>
      </c>
      <c r="BN108" s="56">
        <f>BM108*(1+MAR!BZ317)</f>
        <v>2994.3983452765156</v>
      </c>
      <c r="BO108" s="56">
        <f>BN108*(1+MAR!CE317)</f>
        <v>3130.879552970232</v>
      </c>
      <c r="BP108" s="56">
        <f>BO108*(1+MAR!CJ317)</f>
        <v>3325.9112009075211</v>
      </c>
      <c r="HY108"/>
      <c r="HZ108"/>
      <c r="IA108"/>
      <c r="IB108"/>
      <c r="IC108"/>
      <c r="ID108"/>
      <c r="IE108"/>
      <c r="IF108"/>
      <c r="IG108"/>
      <c r="IH108"/>
      <c r="II108"/>
      <c r="IJ108"/>
      <c r="IK108"/>
      <c r="IL108"/>
      <c r="IM108"/>
      <c r="IN108"/>
      <c r="IO108"/>
      <c r="IP108"/>
      <c r="IQ108"/>
      <c r="IR108"/>
      <c r="IS108"/>
      <c r="IT108"/>
      <c r="IU108"/>
      <c r="IV108"/>
    </row>
    <row r="109" spans="62:256" s="70" customFormat="1" ht="12.75" x14ac:dyDescent="0.2">
      <c r="BJ109" s="199"/>
      <c r="BK109" s="56"/>
      <c r="BL109" s="56"/>
      <c r="BM109" s="56"/>
      <c r="HY109"/>
      <c r="HZ109"/>
      <c r="IA109"/>
      <c r="IB109"/>
      <c r="IC109"/>
      <c r="ID109"/>
      <c r="IE109"/>
      <c r="IF109"/>
      <c r="IG109"/>
      <c r="IH109"/>
      <c r="II109"/>
      <c r="IJ109"/>
      <c r="IK109"/>
      <c r="IL109"/>
      <c r="IM109"/>
      <c r="IN109"/>
      <c r="IO109"/>
      <c r="IP109"/>
      <c r="IQ109"/>
      <c r="IR109"/>
      <c r="IS109"/>
      <c r="IT109"/>
      <c r="IU109"/>
      <c r="IV109"/>
    </row>
    <row r="110" spans="62:256" s="70" customFormat="1" ht="12.75" x14ac:dyDescent="0.2">
      <c r="BJ110" s="199"/>
      <c r="BK110" s="56"/>
      <c r="BL110" s="56"/>
      <c r="BM110" s="56"/>
      <c r="HY110"/>
      <c r="HZ110"/>
      <c r="IA110"/>
      <c r="IB110"/>
      <c r="IC110"/>
      <c r="ID110"/>
      <c r="IE110"/>
      <c r="IF110"/>
      <c r="IG110"/>
      <c r="IH110"/>
      <c r="II110"/>
      <c r="IJ110"/>
      <c r="IK110"/>
      <c r="IL110"/>
      <c r="IM110"/>
      <c r="IN110"/>
      <c r="IO110"/>
      <c r="IP110"/>
      <c r="IQ110"/>
      <c r="IR110"/>
      <c r="IS110"/>
      <c r="IT110"/>
      <c r="IU110"/>
      <c r="IV110"/>
    </row>
    <row r="111" spans="62:256" s="70" customFormat="1" ht="12.75" x14ac:dyDescent="0.2">
      <c r="BJ111" s="254" t="s">
        <v>131</v>
      </c>
      <c r="BK111" s="255">
        <v>2010</v>
      </c>
      <c r="BL111" s="255">
        <v>2011</v>
      </c>
      <c r="BM111" s="255">
        <f>BL111+1</f>
        <v>2012</v>
      </c>
      <c r="BN111" s="255">
        <f>BM111+1</f>
        <v>2013</v>
      </c>
      <c r="BO111" s="255">
        <f>BN111+1</f>
        <v>2014</v>
      </c>
      <c r="BP111" s="256">
        <f>BO111+1</f>
        <v>2015</v>
      </c>
      <c r="HY111"/>
      <c r="HZ111"/>
      <c r="IA111"/>
      <c r="IB111"/>
      <c r="IC111"/>
      <c r="ID111"/>
      <c r="IE111"/>
      <c r="IF111"/>
      <c r="IG111"/>
      <c r="IH111"/>
      <c r="II111"/>
      <c r="IJ111"/>
      <c r="IK111"/>
      <c r="IL111"/>
      <c r="IM111"/>
      <c r="IN111"/>
      <c r="IO111"/>
      <c r="IP111"/>
      <c r="IQ111"/>
      <c r="IR111"/>
      <c r="IS111"/>
      <c r="IT111"/>
      <c r="IU111"/>
      <c r="IV111"/>
    </row>
    <row r="112" spans="62:256" s="70" customFormat="1" ht="12.75" x14ac:dyDescent="0.2">
      <c r="BJ112" s="257" t="s">
        <v>1619</v>
      </c>
      <c r="BK112" s="249">
        <v>24347</v>
      </c>
      <c r="BL112" s="249">
        <f>$BK$112+BL117</f>
        <v>29325</v>
      </c>
      <c r="BM112" s="249">
        <f>$BK$112+BM117</f>
        <v>34303</v>
      </c>
      <c r="BN112" s="249">
        <f>$BK$112+BN117</f>
        <v>35961</v>
      </c>
      <c r="BO112" s="249">
        <f>$BK$112+BO117</f>
        <v>37619</v>
      </c>
      <c r="BP112" s="249">
        <f>$BK$112+BP117</f>
        <v>39277</v>
      </c>
      <c r="HY112"/>
      <c r="HZ112"/>
      <c r="IA112"/>
      <c r="IB112"/>
      <c r="IC112"/>
      <c r="ID112"/>
      <c r="IE112"/>
      <c r="IF112"/>
      <c r="IG112"/>
      <c r="IH112"/>
      <c r="II112"/>
      <c r="IJ112"/>
      <c r="IK112"/>
      <c r="IL112"/>
      <c r="IM112"/>
      <c r="IN112"/>
      <c r="IO112"/>
      <c r="IP112"/>
      <c r="IQ112"/>
      <c r="IR112"/>
      <c r="IS112"/>
      <c r="IT112"/>
      <c r="IU112"/>
      <c r="IV112"/>
    </row>
    <row r="113" spans="62:256" s="70" customFormat="1" ht="12.75" x14ac:dyDescent="0.2">
      <c r="BJ113" s="257"/>
      <c r="BK113" s="257"/>
      <c r="BL113" s="258"/>
      <c r="BM113" s="258"/>
      <c r="BN113" s="258"/>
      <c r="BO113" s="258"/>
      <c r="BP113" s="258"/>
      <c r="HY113"/>
      <c r="HZ113"/>
      <c r="IA113"/>
      <c r="IB113"/>
      <c r="IC113"/>
      <c r="ID113"/>
      <c r="IE113"/>
      <c r="IF113"/>
      <c r="IG113"/>
      <c r="IH113"/>
      <c r="II113"/>
      <c r="IJ113"/>
      <c r="IK113"/>
      <c r="IL113"/>
      <c r="IM113"/>
      <c r="IN113"/>
      <c r="IO113"/>
      <c r="IP113"/>
      <c r="IQ113"/>
      <c r="IR113"/>
      <c r="IS113"/>
      <c r="IT113"/>
      <c r="IU113"/>
      <c r="IV113"/>
    </row>
    <row r="114" spans="62:256" s="70" customFormat="1" ht="12.75" x14ac:dyDescent="0.2">
      <c r="BJ114" s="257" t="s">
        <v>78</v>
      </c>
      <c r="BK114" s="261">
        <f t="shared" ref="BK114:BP114" si="9">$BK$112*BK108/1000000</f>
        <v>62.287232281863197</v>
      </c>
      <c r="BL114" s="260">
        <f t="shared" si="9"/>
        <v>67.33120829804929</v>
      </c>
      <c r="BM114" s="260">
        <f t="shared" si="9"/>
        <v>70.897308672583733</v>
      </c>
      <c r="BN114" s="260">
        <f t="shared" si="9"/>
        <v>72.904616512447333</v>
      </c>
      <c r="BO114" s="260">
        <f t="shared" si="9"/>
        <v>76.227524476166238</v>
      </c>
      <c r="BP114" s="260">
        <f t="shared" si="9"/>
        <v>80.97596000849542</v>
      </c>
      <c r="HY114"/>
      <c r="HZ114"/>
      <c r="IA114"/>
      <c r="IB114"/>
      <c r="IC114"/>
      <c r="ID114"/>
      <c r="IE114"/>
      <c r="IF114"/>
      <c r="IG114"/>
      <c r="IH114"/>
      <c r="II114"/>
      <c r="IJ114"/>
      <c r="IK114"/>
      <c r="IL114"/>
      <c r="IM114"/>
      <c r="IN114"/>
      <c r="IO114"/>
      <c r="IP114"/>
      <c r="IQ114"/>
      <c r="IR114"/>
      <c r="IS114"/>
      <c r="IT114"/>
      <c r="IU114"/>
      <c r="IV114"/>
    </row>
    <row r="115" spans="62:256" s="70" customFormat="1" ht="12.75" x14ac:dyDescent="0.2">
      <c r="BJ115" s="257"/>
      <c r="BK115" s="257"/>
      <c r="BL115" s="258"/>
      <c r="BM115" s="258"/>
      <c r="BN115" s="258"/>
      <c r="BO115" s="258"/>
      <c r="BP115" s="258"/>
      <c r="HY115"/>
      <c r="HZ115"/>
      <c r="IA115"/>
      <c r="IB115"/>
      <c r="IC115"/>
      <c r="ID115"/>
      <c r="IE115"/>
      <c r="IF115"/>
      <c r="IG115"/>
      <c r="IH115"/>
      <c r="II115"/>
      <c r="IJ115"/>
      <c r="IK115"/>
      <c r="IL115"/>
      <c r="IM115"/>
      <c r="IN115"/>
      <c r="IO115"/>
      <c r="IP115"/>
      <c r="IQ115"/>
      <c r="IR115"/>
      <c r="IS115"/>
      <c r="IT115"/>
      <c r="IU115"/>
      <c r="IV115"/>
    </row>
    <row r="116" spans="62:256" s="70" customFormat="1" ht="12.75" x14ac:dyDescent="0.2">
      <c r="BJ116" s="70" t="s">
        <v>1423</v>
      </c>
      <c r="BL116" s="70">
        <f>$BK$101/2</f>
        <v>4978</v>
      </c>
      <c r="BM116" s="70">
        <f>$BK$101/2</f>
        <v>4978</v>
      </c>
      <c r="BN116" s="70">
        <f>$BK$102/3</f>
        <v>1658</v>
      </c>
      <c r="BO116" s="70">
        <f>$BK$102/3</f>
        <v>1658</v>
      </c>
      <c r="BP116" s="70">
        <f>$BK$102/3</f>
        <v>1658</v>
      </c>
      <c r="HY116"/>
      <c r="HZ116"/>
      <c r="IA116"/>
      <c r="IB116"/>
      <c r="IC116"/>
      <c r="ID116"/>
      <c r="IE116"/>
      <c r="IF116"/>
      <c r="IG116"/>
      <c r="IH116"/>
      <c r="II116"/>
      <c r="IJ116"/>
      <c r="IK116"/>
      <c r="IL116"/>
      <c r="IM116"/>
      <c r="IN116"/>
      <c r="IO116"/>
      <c r="IP116"/>
      <c r="IQ116"/>
      <c r="IR116"/>
      <c r="IS116"/>
      <c r="IT116"/>
      <c r="IU116"/>
      <c r="IV116"/>
    </row>
    <row r="117" spans="62:256" s="70" customFormat="1" ht="12.75" x14ac:dyDescent="0.2">
      <c r="BJ117" s="70" t="s">
        <v>1327</v>
      </c>
      <c r="BL117" s="70">
        <f>BL116</f>
        <v>4978</v>
      </c>
      <c r="BM117" s="70">
        <f>SUM(BL116:BM116)</f>
        <v>9956</v>
      </c>
      <c r="BN117" s="70">
        <f>SUM(BL116:BN116)</f>
        <v>11614</v>
      </c>
      <c r="BO117" s="70">
        <f>SUM(BL116:BO116)</f>
        <v>13272</v>
      </c>
      <c r="BP117" s="70">
        <f>SUM(BL116:BP116)</f>
        <v>14930</v>
      </c>
      <c r="HY117"/>
      <c r="HZ117"/>
      <c r="IA117"/>
      <c r="IB117"/>
      <c r="IC117"/>
      <c r="ID117"/>
      <c r="IE117"/>
      <c r="IF117"/>
      <c r="IG117"/>
      <c r="IH117"/>
      <c r="II117"/>
      <c r="IJ117"/>
      <c r="IK117"/>
      <c r="IL117"/>
      <c r="IM117"/>
      <c r="IN117"/>
      <c r="IO117"/>
      <c r="IP117"/>
      <c r="IQ117"/>
      <c r="IR117"/>
      <c r="IS117"/>
      <c r="IT117"/>
      <c r="IU117"/>
      <c r="IV117"/>
    </row>
    <row r="118" spans="62:256" s="70" customFormat="1" ht="12.75" x14ac:dyDescent="0.2">
      <c r="BP118" s="199"/>
      <c r="HY118"/>
      <c r="HZ118"/>
      <c r="IA118"/>
      <c r="IB118"/>
      <c r="IC118"/>
      <c r="ID118"/>
      <c r="IE118"/>
      <c r="IF118"/>
      <c r="IG118"/>
      <c r="IH118"/>
      <c r="II118"/>
      <c r="IJ118"/>
      <c r="IK118"/>
      <c r="IL118"/>
      <c r="IM118"/>
      <c r="IN118"/>
      <c r="IO118"/>
      <c r="IP118"/>
      <c r="IQ118"/>
      <c r="IR118"/>
      <c r="IS118"/>
      <c r="IT118"/>
      <c r="IU118"/>
      <c r="IV118"/>
    </row>
    <row r="119" spans="62:256" s="70" customFormat="1" ht="12.75" x14ac:dyDescent="0.2">
      <c r="BJ119" s="199" t="s">
        <v>150</v>
      </c>
      <c r="BK119" s="199"/>
      <c r="BL119" s="261">
        <f>BL117*$BL$108/1000000/2</f>
        <v>6.8832865426477454</v>
      </c>
      <c r="BM119" s="260">
        <f>(BL117*BM108+BM116*BM108/2)/1000000</f>
        <v>21.74354967175351</v>
      </c>
      <c r="BN119" s="260">
        <f>(BM117*BN108+BN116*BN108/2)/1000000</f>
        <v>32.294586153807217</v>
      </c>
      <c r="BO119" s="260">
        <f>(BN117*BO108+BO116*BO108/2)/1000000</f>
        <v>38.957534277608595</v>
      </c>
      <c r="BP119" s="260">
        <f>(BO117*BP108+BP116*BP108/2)/1000000</f>
        <v>46.898673843996953</v>
      </c>
      <c r="BQ119" s="207"/>
      <c r="HY119"/>
      <c r="HZ119"/>
      <c r="IA119"/>
      <c r="IB119"/>
      <c r="IC119"/>
      <c r="ID119"/>
      <c r="IE119"/>
      <c r="IF119"/>
      <c r="IG119"/>
      <c r="IH119"/>
      <c r="II119"/>
      <c r="IJ119"/>
      <c r="IK119"/>
      <c r="IL119"/>
      <c r="IM119"/>
      <c r="IN119"/>
      <c r="IO119"/>
      <c r="IP119"/>
      <c r="IQ119"/>
      <c r="IR119"/>
      <c r="IS119"/>
      <c r="IT119"/>
      <c r="IU119"/>
      <c r="IV119"/>
    </row>
    <row r="120" spans="62:256" s="70" customFormat="1" ht="12.75" x14ac:dyDescent="0.2">
      <c r="BJ120" s="199"/>
      <c r="BK120" s="199"/>
      <c r="BL120" s="261"/>
      <c r="BM120" s="260"/>
      <c r="BN120" s="260"/>
      <c r="BO120" s="260"/>
      <c r="BP120" s="260"/>
      <c r="BQ120" s="207"/>
      <c r="HY120"/>
      <c r="HZ120"/>
      <c r="IA120"/>
      <c r="IB120"/>
      <c r="IC120"/>
      <c r="ID120"/>
      <c r="IE120"/>
      <c r="IF120"/>
      <c r="IG120"/>
      <c r="IH120"/>
      <c r="II120"/>
      <c r="IJ120"/>
      <c r="IK120"/>
      <c r="IL120"/>
      <c r="IM120"/>
      <c r="IN120"/>
      <c r="IO120"/>
      <c r="IP120"/>
      <c r="IQ120"/>
      <c r="IR120"/>
      <c r="IS120"/>
      <c r="IT120"/>
      <c r="IU120"/>
      <c r="IV120"/>
    </row>
    <row r="121" spans="62:256" s="70" customFormat="1" ht="12.75" x14ac:dyDescent="0.2">
      <c r="BJ121" s="199" t="s">
        <v>1335</v>
      </c>
      <c r="BK121" s="262">
        <f t="shared" ref="BK121:BP121" si="10">BK119+BK114</f>
        <v>62.287232281863197</v>
      </c>
      <c r="BL121" s="199">
        <f t="shared" si="10"/>
        <v>74.214494840697029</v>
      </c>
      <c r="BM121" s="199">
        <f t="shared" si="10"/>
        <v>92.640858344337246</v>
      </c>
      <c r="BN121" s="199">
        <f t="shared" si="10"/>
        <v>105.19920266625455</v>
      </c>
      <c r="BO121" s="199">
        <f t="shared" si="10"/>
        <v>115.18505875377483</v>
      </c>
      <c r="BP121" s="199">
        <f t="shared" si="10"/>
        <v>127.87463385249237</v>
      </c>
      <c r="BQ121" s="207"/>
      <c r="HY121"/>
      <c r="HZ121"/>
      <c r="IA121"/>
      <c r="IB121"/>
      <c r="IC121"/>
      <c r="ID121"/>
      <c r="IE121"/>
      <c r="IF121"/>
      <c r="IG121"/>
      <c r="IH121"/>
      <c r="II121"/>
      <c r="IJ121"/>
      <c r="IK121"/>
      <c r="IL121"/>
      <c r="IM121"/>
      <c r="IN121"/>
      <c r="IO121"/>
      <c r="IP121"/>
      <c r="IQ121"/>
      <c r="IR121"/>
      <c r="IS121"/>
      <c r="IT121"/>
      <c r="IU121"/>
      <c r="IV121"/>
    </row>
    <row r="122" spans="62:256" s="70" customFormat="1" ht="12.75" x14ac:dyDescent="0.2">
      <c r="BJ122" s="199"/>
      <c r="BK122" s="262"/>
      <c r="BL122" s="199"/>
      <c r="BM122" s="199"/>
      <c r="BN122" s="199"/>
      <c r="BO122" s="199"/>
      <c r="BP122" s="199"/>
      <c r="BQ122" s="207"/>
      <c r="HY122"/>
      <c r="HZ122"/>
      <c r="IA122"/>
      <c r="IB122"/>
      <c r="IC122"/>
      <c r="ID122"/>
      <c r="IE122"/>
      <c r="IF122"/>
      <c r="IG122"/>
      <c r="IH122"/>
      <c r="II122"/>
      <c r="IJ122"/>
      <c r="IK122"/>
      <c r="IL122"/>
      <c r="IM122"/>
      <c r="IN122"/>
      <c r="IO122"/>
      <c r="IP122"/>
      <c r="IQ122"/>
      <c r="IR122"/>
      <c r="IS122"/>
      <c r="IT122"/>
      <c r="IU122"/>
      <c r="IV122"/>
    </row>
    <row r="123" spans="62:256" s="70" customFormat="1" ht="12.75" x14ac:dyDescent="0.2">
      <c r="BJ123" s="199" t="s">
        <v>1292</v>
      </c>
      <c r="BK123" s="271">
        <f t="shared" ref="BK123:BP123" si="11">BK121/BK128</f>
        <v>3.3166790352429816E-2</v>
      </c>
      <c r="BL123" s="271">
        <f t="shared" si="11"/>
        <v>3.5697207715582983E-2</v>
      </c>
      <c r="BM123" s="271">
        <f t="shared" si="11"/>
        <v>4.0614142193922509E-2</v>
      </c>
      <c r="BN123" s="271">
        <f t="shared" si="11"/>
        <v>4.2350725711052556E-2</v>
      </c>
      <c r="BO123" s="271">
        <f t="shared" si="11"/>
        <v>4.185503588436585E-2</v>
      </c>
      <c r="BP123" s="271">
        <f t="shared" si="11"/>
        <v>4.6686613308686516E-2</v>
      </c>
      <c r="BQ123" s="207"/>
      <c r="CD123" s="199"/>
      <c r="HY123"/>
      <c r="HZ123"/>
      <c r="IA123"/>
      <c r="IB123"/>
      <c r="IC123"/>
      <c r="ID123"/>
      <c r="IE123"/>
      <c r="IF123"/>
      <c r="IG123"/>
      <c r="IH123"/>
      <c r="II123"/>
      <c r="IJ123"/>
      <c r="IK123"/>
      <c r="IL123"/>
      <c r="IM123"/>
      <c r="IN123"/>
      <c r="IO123"/>
      <c r="IP123"/>
      <c r="IQ123"/>
      <c r="IR123"/>
      <c r="IS123"/>
      <c r="IT123"/>
      <c r="IU123"/>
      <c r="IV123"/>
    </row>
    <row r="124" spans="62:256" s="70" customFormat="1" ht="12.75" x14ac:dyDescent="0.2">
      <c r="BJ124" s="199" t="s">
        <v>616</v>
      </c>
      <c r="BK124" s="271">
        <f t="shared" ref="BK124:BP124" si="12">BK121/BK127</f>
        <v>7.0381053425834117E-2</v>
      </c>
      <c r="BL124" s="271">
        <f t="shared" si="12"/>
        <v>7.4812998831347816E-2</v>
      </c>
      <c r="BM124" s="271">
        <f t="shared" si="12"/>
        <v>8.0427185894411862E-2</v>
      </c>
      <c r="BN124" s="271">
        <f t="shared" si="12"/>
        <v>9.1636936120430793E-2</v>
      </c>
      <c r="BO124" s="271">
        <f t="shared" si="12"/>
        <v>8.6023195484521905E-2</v>
      </c>
      <c r="BP124" s="271">
        <f t="shared" si="12"/>
        <v>8.2393449647224462E-2</v>
      </c>
      <c r="BQ124" s="207"/>
      <c r="CD124" s="199"/>
      <c r="HY124"/>
      <c r="HZ124"/>
      <c r="IA124"/>
      <c r="IB124"/>
      <c r="IC124"/>
      <c r="ID124"/>
      <c r="IE124"/>
      <c r="IF124"/>
      <c r="IG124"/>
      <c r="IH124"/>
      <c r="II124"/>
      <c r="IJ124"/>
      <c r="IK124"/>
      <c r="IL124"/>
      <c r="IM124"/>
      <c r="IN124"/>
      <c r="IO124"/>
      <c r="IP124"/>
      <c r="IQ124"/>
      <c r="IR124"/>
      <c r="IS124"/>
      <c r="IT124"/>
      <c r="IU124"/>
      <c r="IV124"/>
    </row>
    <row r="125" spans="62:256" s="70" customFormat="1" ht="12.75" x14ac:dyDescent="0.2">
      <c r="BJ125" s="199"/>
      <c r="BK125" s="271"/>
      <c r="BL125" s="271"/>
      <c r="BM125" s="271"/>
      <c r="BN125" s="271"/>
      <c r="BO125" s="271"/>
      <c r="BP125" s="271"/>
      <c r="BQ125" s="207"/>
      <c r="CD125" s="199"/>
      <c r="HY125"/>
      <c r="HZ125"/>
      <c r="IA125"/>
      <c r="IB125"/>
      <c r="IC125"/>
      <c r="ID125"/>
      <c r="IE125"/>
      <c r="IF125"/>
      <c r="IG125"/>
      <c r="IH125"/>
      <c r="II125"/>
      <c r="IJ125"/>
      <c r="IK125"/>
      <c r="IL125"/>
      <c r="IM125"/>
      <c r="IN125"/>
      <c r="IO125"/>
      <c r="IP125"/>
      <c r="IQ125"/>
      <c r="IR125"/>
      <c r="IS125"/>
      <c r="IT125"/>
      <c r="IU125"/>
      <c r="IV125"/>
    </row>
    <row r="126" spans="62:256" s="70" customFormat="1" ht="12.75" x14ac:dyDescent="0.2">
      <c r="BJ126" s="199" t="s">
        <v>617</v>
      </c>
      <c r="BK126" s="70">
        <f t="shared" ref="BK126:BP126" si="13">BK127-BK121</f>
        <v>822.71276771813677</v>
      </c>
      <c r="BL126" s="70">
        <f t="shared" si="13"/>
        <v>917.78550515930294</v>
      </c>
      <c r="BM126" s="70">
        <f t="shared" si="13"/>
        <v>1059.2191416556627</v>
      </c>
      <c r="BN126" s="70">
        <f t="shared" si="13"/>
        <v>1042.8007973337455</v>
      </c>
      <c r="BO126" s="70">
        <f t="shared" si="13"/>
        <v>1223.8149412462251</v>
      </c>
      <c r="BP126" s="70">
        <f t="shared" si="13"/>
        <v>1424.1253661475075</v>
      </c>
      <c r="HY126"/>
      <c r="HZ126"/>
      <c r="IA126"/>
      <c r="IB126"/>
      <c r="IC126"/>
      <c r="ID126"/>
      <c r="IE126"/>
      <c r="IF126"/>
      <c r="IG126"/>
      <c r="IH126"/>
      <c r="II126"/>
      <c r="IJ126"/>
      <c r="IK126"/>
      <c r="IL126"/>
      <c r="IM126"/>
      <c r="IN126"/>
      <c r="IO126"/>
      <c r="IP126"/>
      <c r="IQ126"/>
      <c r="IR126"/>
      <c r="IS126"/>
      <c r="IT126"/>
      <c r="IU126"/>
      <c r="IV126"/>
    </row>
    <row r="127" spans="62:256" s="70" customFormat="1" ht="12.75" x14ac:dyDescent="0.2">
      <c r="BJ127" s="199" t="s">
        <v>79</v>
      </c>
      <c r="BK127" s="70">
        <f>MAR!BK84</f>
        <v>885</v>
      </c>
      <c r="BL127" s="70">
        <f>MAR!BP84</f>
        <v>992</v>
      </c>
      <c r="BM127" s="70">
        <f>MAR!BU84</f>
        <v>1151.8599999999999</v>
      </c>
      <c r="BN127" s="70">
        <f>MAR!BZ84</f>
        <v>1148</v>
      </c>
      <c r="BO127" s="70">
        <f>MAR!CE84</f>
        <v>1339</v>
      </c>
      <c r="BP127" s="70">
        <f>MAR!CJ84</f>
        <v>1552</v>
      </c>
      <c r="BR127" s="311">
        <f>BP121/BK127</f>
        <v>0.14449111169773149</v>
      </c>
      <c r="HY127"/>
      <c r="HZ127"/>
      <c r="IA127"/>
      <c r="IB127"/>
      <c r="IC127"/>
      <c r="ID127"/>
      <c r="IE127"/>
      <c r="IF127"/>
      <c r="IG127"/>
      <c r="IH127"/>
      <c r="II127"/>
      <c r="IJ127"/>
      <c r="IK127"/>
      <c r="IL127"/>
      <c r="IM127"/>
      <c r="IN127"/>
      <c r="IO127"/>
      <c r="IP127"/>
      <c r="IQ127"/>
      <c r="IR127"/>
      <c r="IS127"/>
      <c r="IT127"/>
      <c r="IU127"/>
      <c r="IV127"/>
    </row>
    <row r="128" spans="62:256" s="70" customFormat="1" ht="12.75" x14ac:dyDescent="0.2">
      <c r="BJ128" s="199" t="s">
        <v>268</v>
      </c>
      <c r="BK128" s="70">
        <f>MAR!BK242</f>
        <v>1878</v>
      </c>
      <c r="BL128" s="70">
        <f>MAR!BP242</f>
        <v>2079</v>
      </c>
      <c r="BM128" s="70">
        <f>MAR!BU242</f>
        <v>2281</v>
      </c>
      <c r="BN128" s="70">
        <f>MAR!BZ242</f>
        <v>2484</v>
      </c>
      <c r="BO128" s="70">
        <f>MAR!CE242</f>
        <v>2752</v>
      </c>
      <c r="BP128" s="70">
        <f>MAR!CJ242</f>
        <v>2739</v>
      </c>
      <c r="HY128"/>
      <c r="HZ128"/>
      <c r="IA128"/>
      <c r="IB128"/>
      <c r="IC128"/>
      <c r="ID128"/>
      <c r="IE128"/>
      <c r="IF128"/>
      <c r="IG128"/>
      <c r="IH128"/>
      <c r="II128"/>
      <c r="IJ128"/>
      <c r="IK128"/>
      <c r="IL128"/>
      <c r="IM128"/>
      <c r="IN128"/>
      <c r="IO128"/>
      <c r="IP128"/>
      <c r="IQ128"/>
      <c r="IR128"/>
      <c r="IS128"/>
      <c r="IT128"/>
      <c r="IU128"/>
      <c r="IV128"/>
    </row>
    <row r="129" spans="62:256" s="70" customFormat="1" ht="12.75" x14ac:dyDescent="0.2">
      <c r="HY129"/>
      <c r="HZ129"/>
      <c r="IA129"/>
      <c r="IB129"/>
      <c r="IC129"/>
      <c r="ID129"/>
      <c r="IE129"/>
      <c r="IF129"/>
      <c r="IG129"/>
      <c r="IH129"/>
      <c r="II129"/>
      <c r="IJ129"/>
      <c r="IK129"/>
      <c r="IL129"/>
      <c r="IM129"/>
      <c r="IN129"/>
      <c r="IO129"/>
      <c r="IP129"/>
      <c r="IQ129"/>
      <c r="IR129"/>
      <c r="IS129"/>
      <c r="IT129"/>
      <c r="IU129"/>
      <c r="IV129"/>
    </row>
    <row r="130" spans="62:256" s="70" customFormat="1" ht="12.75" x14ac:dyDescent="0.2">
      <c r="BJ130" s="70" t="s">
        <v>1424</v>
      </c>
      <c r="BK130" s="259">
        <f t="shared" ref="BK130:BP130" si="14">(BK114+BK119)/BK127</f>
        <v>7.0381053425834117E-2</v>
      </c>
      <c r="BL130" s="259">
        <f t="shared" si="14"/>
        <v>7.4812998831347816E-2</v>
      </c>
      <c r="BM130" s="259">
        <f t="shared" si="14"/>
        <v>8.0427185894411862E-2</v>
      </c>
      <c r="BN130" s="259">
        <f t="shared" si="14"/>
        <v>9.1636936120430793E-2</v>
      </c>
      <c r="BO130" s="259">
        <f t="shared" si="14"/>
        <v>8.6023195484521905E-2</v>
      </c>
      <c r="BP130" s="259">
        <f t="shared" si="14"/>
        <v>8.2393449647224462E-2</v>
      </c>
      <c r="HY130"/>
      <c r="HZ130"/>
      <c r="IA130"/>
      <c r="IB130"/>
      <c r="IC130"/>
      <c r="ID130"/>
      <c r="IE130"/>
      <c r="IF130"/>
      <c r="IG130"/>
      <c r="IH130"/>
      <c r="II130"/>
      <c r="IJ130"/>
      <c r="IK130"/>
      <c r="IL130"/>
      <c r="IM130"/>
      <c r="IN130"/>
      <c r="IO130"/>
      <c r="IP130"/>
      <c r="IQ130"/>
      <c r="IR130"/>
      <c r="IS130"/>
      <c r="IT130"/>
      <c r="IU130"/>
      <c r="IV130"/>
    </row>
    <row r="131" spans="62:256" s="70" customFormat="1" ht="3.95" customHeight="1" x14ac:dyDescent="0.2">
      <c r="HY131"/>
      <c r="HZ131"/>
      <c r="IA131"/>
      <c r="IB131"/>
      <c r="IC131"/>
      <c r="ID131"/>
      <c r="IE131"/>
      <c r="IF131"/>
      <c r="IG131"/>
      <c r="IH131"/>
      <c r="II131"/>
      <c r="IJ131"/>
      <c r="IK131"/>
      <c r="IL131"/>
      <c r="IM131"/>
      <c r="IN131"/>
      <c r="IO131"/>
      <c r="IP131"/>
      <c r="IQ131"/>
      <c r="IR131"/>
      <c r="IS131"/>
      <c r="IT131"/>
      <c r="IU131"/>
      <c r="IV131"/>
    </row>
    <row r="132" spans="62:256" s="70" customFormat="1" ht="12.75" x14ac:dyDescent="0.2">
      <c r="BJ132" s="212" t="s">
        <v>269</v>
      </c>
      <c r="BK132" s="259">
        <f t="shared" ref="BK132:BP132" si="15">(BK114+BK119)/BK128</f>
        <v>3.3166790352429816E-2</v>
      </c>
      <c r="BL132" s="259">
        <f t="shared" si="15"/>
        <v>3.5697207715582983E-2</v>
      </c>
      <c r="BM132" s="259">
        <f t="shared" si="15"/>
        <v>4.0614142193922509E-2</v>
      </c>
      <c r="BN132" s="259">
        <f t="shared" si="15"/>
        <v>4.2350725711052556E-2</v>
      </c>
      <c r="BO132" s="259">
        <f t="shared" si="15"/>
        <v>4.185503588436585E-2</v>
      </c>
      <c r="BP132" s="259">
        <f t="shared" si="15"/>
        <v>4.6686613308686516E-2</v>
      </c>
      <c r="HY132"/>
      <c r="HZ132"/>
      <c r="IA132"/>
      <c r="IB132"/>
      <c r="IC132"/>
      <c r="ID132"/>
      <c r="IE132"/>
      <c r="IF132"/>
      <c r="IG132"/>
      <c r="IH132"/>
      <c r="II132"/>
      <c r="IJ132"/>
      <c r="IK132"/>
      <c r="IL132"/>
      <c r="IM132"/>
      <c r="IN132"/>
      <c r="IO132"/>
      <c r="IP132"/>
      <c r="IQ132"/>
      <c r="IR132"/>
      <c r="IS132"/>
      <c r="IT132"/>
      <c r="IU132"/>
      <c r="IV132"/>
    </row>
    <row r="133" spans="62:256" s="70" customFormat="1" ht="3.95" customHeight="1" x14ac:dyDescent="0.2">
      <c r="BJ133" s="212"/>
      <c r="HY133"/>
      <c r="HZ133"/>
      <c r="IA133"/>
      <c r="IB133"/>
      <c r="IC133"/>
      <c r="ID133"/>
      <c r="IE133"/>
      <c r="IF133"/>
      <c r="IG133"/>
      <c r="IH133"/>
      <c r="II133"/>
      <c r="IJ133"/>
      <c r="IK133"/>
      <c r="IL133"/>
      <c r="IM133"/>
      <c r="IN133"/>
      <c r="IO133"/>
      <c r="IP133"/>
      <c r="IQ133"/>
      <c r="IR133"/>
      <c r="IS133"/>
      <c r="IT133"/>
      <c r="IU133"/>
      <c r="IV133"/>
    </row>
    <row r="134" spans="62:256" s="70" customFormat="1" ht="12.75" x14ac:dyDescent="0.2">
      <c r="BJ134" s="70" t="s">
        <v>1425</v>
      </c>
      <c r="BK134" s="259">
        <f t="shared" ref="BK134:BP134" si="16">BK119/BK128</f>
        <v>0</v>
      </c>
      <c r="BL134" s="259">
        <f t="shared" si="16"/>
        <v>3.3108641378777033E-3</v>
      </c>
      <c r="BM134" s="259">
        <f t="shared" si="16"/>
        <v>9.5324636877481411E-3</v>
      </c>
      <c r="BN134" s="259">
        <f t="shared" si="16"/>
        <v>1.3001041124721101E-2</v>
      </c>
      <c r="BO134" s="259">
        <f t="shared" si="16"/>
        <v>1.4156080769479867E-2</v>
      </c>
      <c r="BP134" s="259">
        <f t="shared" si="16"/>
        <v>1.7122553429717764E-2</v>
      </c>
      <c r="HY134"/>
      <c r="HZ134"/>
      <c r="IA134"/>
      <c r="IB134"/>
      <c r="IC134"/>
      <c r="ID134"/>
      <c r="IE134"/>
      <c r="IF134"/>
      <c r="IG134"/>
      <c r="IH134"/>
      <c r="II134"/>
      <c r="IJ134"/>
      <c r="IK134"/>
      <c r="IL134"/>
      <c r="IM134"/>
      <c r="IN134"/>
      <c r="IO134"/>
      <c r="IP134"/>
      <c r="IQ134"/>
      <c r="IR134"/>
      <c r="IS134"/>
      <c r="IT134"/>
      <c r="IU134"/>
      <c r="IV134"/>
    </row>
    <row r="135" spans="62:256" s="70" customFormat="1" ht="12.75" x14ac:dyDescent="0.2">
      <c r="HY135"/>
      <c r="HZ135"/>
      <c r="IA135"/>
      <c r="IB135"/>
      <c r="IC135"/>
      <c r="ID135"/>
      <c r="IE135"/>
      <c r="IF135"/>
      <c r="IG135"/>
      <c r="IH135"/>
      <c r="II135"/>
      <c r="IJ135"/>
      <c r="IK135"/>
      <c r="IL135"/>
      <c r="IM135"/>
      <c r="IN135"/>
      <c r="IO135"/>
      <c r="IP135"/>
      <c r="IQ135"/>
      <c r="IR135"/>
      <c r="IS135"/>
      <c r="IT135"/>
      <c r="IU135"/>
      <c r="IV135"/>
    </row>
    <row r="136" spans="62:256" s="70" customFormat="1" ht="12.75" x14ac:dyDescent="0.2">
      <c r="BR136" s="310"/>
      <c r="HY136"/>
      <c r="HZ136"/>
      <c r="IA136"/>
      <c r="IB136"/>
      <c r="IC136"/>
      <c r="ID136"/>
      <c r="IE136"/>
      <c r="IF136"/>
      <c r="IG136"/>
      <c r="IH136"/>
      <c r="II136"/>
      <c r="IJ136"/>
      <c r="IK136"/>
      <c r="IL136"/>
      <c r="IM136"/>
      <c r="IN136"/>
      <c r="IO136"/>
      <c r="IP136"/>
      <c r="IQ136"/>
      <c r="IR136"/>
      <c r="IS136"/>
      <c r="IT136"/>
      <c r="IU136"/>
      <c r="IV136"/>
    </row>
    <row r="137" spans="62:256" s="70" customFormat="1" ht="12.75" x14ac:dyDescent="0.2">
      <c r="BJ137" s="202" t="s">
        <v>1306</v>
      </c>
      <c r="BR137" s="310"/>
      <c r="HY137"/>
      <c r="HZ137"/>
      <c r="IA137"/>
      <c r="IB137"/>
      <c r="IC137"/>
      <c r="ID137"/>
      <c r="IE137"/>
      <c r="IF137"/>
      <c r="IG137"/>
      <c r="IH137"/>
      <c r="II137"/>
      <c r="IJ137"/>
      <c r="IK137"/>
      <c r="IL137"/>
      <c r="IM137"/>
      <c r="IN137"/>
      <c r="IO137"/>
      <c r="IP137"/>
      <c r="IQ137"/>
      <c r="IR137"/>
      <c r="IS137"/>
      <c r="IT137"/>
      <c r="IU137"/>
      <c r="IV137"/>
    </row>
    <row r="138" spans="62:256" s="70" customFormat="1" ht="12.75" x14ac:dyDescent="0.2">
      <c r="BJ138" s="199"/>
      <c r="BR138" s="310"/>
      <c r="HY138"/>
      <c r="HZ138"/>
      <c r="IA138"/>
      <c r="IB138"/>
      <c r="IC138"/>
      <c r="ID138"/>
      <c r="IE138"/>
      <c r="IF138"/>
      <c r="IG138"/>
      <c r="IH138"/>
      <c r="II138"/>
      <c r="IJ138"/>
      <c r="IK138"/>
      <c r="IL138"/>
      <c r="IM138"/>
      <c r="IN138"/>
      <c r="IO138"/>
      <c r="IP138"/>
      <c r="IQ138"/>
      <c r="IR138"/>
      <c r="IS138"/>
      <c r="IT138"/>
      <c r="IU138"/>
      <c r="IV138"/>
    </row>
    <row r="139" spans="62:256" s="70" customFormat="1" ht="12.75" x14ac:dyDescent="0.2">
      <c r="BJ139" s="247" t="s">
        <v>43</v>
      </c>
      <c r="BR139" s="310"/>
      <c r="HY139"/>
      <c r="HZ139"/>
      <c r="IA139"/>
      <c r="IB139"/>
      <c r="IC139"/>
      <c r="ID139"/>
      <c r="IE139"/>
      <c r="IF139"/>
      <c r="IG139"/>
      <c r="IH139"/>
      <c r="II139"/>
      <c r="IJ139"/>
      <c r="IK139"/>
      <c r="IL139"/>
      <c r="IM139"/>
      <c r="IN139"/>
      <c r="IO139"/>
      <c r="IP139"/>
      <c r="IQ139"/>
      <c r="IR139"/>
      <c r="IS139"/>
      <c r="IT139"/>
      <c r="IU139"/>
      <c r="IV139"/>
    </row>
    <row r="140" spans="62:256" s="70" customFormat="1" ht="12.75" x14ac:dyDescent="0.2">
      <c r="BR140" s="310"/>
      <c r="HY140"/>
      <c r="HZ140"/>
      <c r="IA140"/>
      <c r="IB140"/>
      <c r="IC140"/>
      <c r="ID140"/>
      <c r="IE140"/>
      <c r="IF140"/>
      <c r="IG140"/>
      <c r="IH140"/>
      <c r="II140"/>
      <c r="IJ140"/>
      <c r="IK140"/>
      <c r="IL140"/>
      <c r="IM140"/>
      <c r="IN140"/>
      <c r="IO140"/>
      <c r="IP140"/>
      <c r="IQ140"/>
      <c r="IR140"/>
      <c r="IS140"/>
      <c r="IT140"/>
      <c r="IU140"/>
      <c r="IV140"/>
    </row>
    <row r="141" spans="62:256" s="70" customFormat="1" ht="12.75" x14ac:dyDescent="0.2">
      <c r="BJ141" s="248" t="s">
        <v>1263</v>
      </c>
      <c r="BR141" s="310"/>
      <c r="HY141"/>
      <c r="HZ141"/>
      <c r="IA141"/>
      <c r="IB141"/>
      <c r="IC141"/>
      <c r="ID141"/>
      <c r="IE141"/>
      <c r="IF141"/>
      <c r="IG141"/>
      <c r="IH141"/>
      <c r="II141"/>
      <c r="IJ141"/>
      <c r="IK141"/>
      <c r="IL141"/>
      <c r="IM141"/>
      <c r="IN141"/>
      <c r="IO141"/>
      <c r="IP141"/>
      <c r="IQ141"/>
      <c r="IR141"/>
      <c r="IS141"/>
      <c r="IT141"/>
      <c r="IU141"/>
      <c r="IV141"/>
    </row>
    <row r="142" spans="62:256" s="70" customFormat="1" ht="12.75" x14ac:dyDescent="0.2">
      <c r="BJ142" s="70" t="s">
        <v>586</v>
      </c>
      <c r="BK142" s="249">
        <v>4942</v>
      </c>
      <c r="BR142" s="310"/>
      <c r="HY142"/>
      <c r="HZ142"/>
      <c r="IA142"/>
      <c r="IB142"/>
      <c r="IC142"/>
      <c r="ID142"/>
      <c r="IE142"/>
      <c r="IF142"/>
      <c r="IG142"/>
      <c r="IH142"/>
      <c r="II142"/>
      <c r="IJ142"/>
      <c r="IK142"/>
      <c r="IL142"/>
      <c r="IM142"/>
      <c r="IN142"/>
      <c r="IO142"/>
      <c r="IP142"/>
      <c r="IQ142"/>
      <c r="IR142"/>
      <c r="IS142"/>
      <c r="IT142"/>
      <c r="IU142"/>
      <c r="IV142"/>
    </row>
    <row r="143" spans="62:256" s="70" customFormat="1" ht="12.75" x14ac:dyDescent="0.2">
      <c r="BJ143" s="70" t="s">
        <v>44</v>
      </c>
      <c r="BK143" s="250">
        <v>2831</v>
      </c>
      <c r="BR143" s="310"/>
      <c r="HY143"/>
      <c r="HZ143"/>
      <c r="IA143"/>
      <c r="IB143"/>
      <c r="IC143"/>
      <c r="ID143"/>
      <c r="IE143"/>
      <c r="IF143"/>
      <c r="IG143"/>
      <c r="IH143"/>
      <c r="II143"/>
      <c r="IJ143"/>
      <c r="IK143"/>
      <c r="IL143"/>
      <c r="IM143"/>
      <c r="IN143"/>
      <c r="IO143"/>
      <c r="IP143"/>
      <c r="IQ143"/>
      <c r="IR143"/>
      <c r="IS143"/>
      <c r="IT143"/>
      <c r="IU143"/>
      <c r="IV143"/>
    </row>
    <row r="144" spans="62:256" s="70" customFormat="1" ht="12.75" x14ac:dyDescent="0.2">
      <c r="BJ144" s="199" t="s">
        <v>1327</v>
      </c>
      <c r="BK144" s="251">
        <f>SUM(BK142:BK143)</f>
        <v>7773</v>
      </c>
      <c r="BR144" s="310"/>
      <c r="HY144"/>
      <c r="HZ144"/>
      <c r="IA144"/>
      <c r="IB144"/>
      <c r="IC144"/>
      <c r="ID144"/>
      <c r="IE144"/>
      <c r="IF144"/>
      <c r="IG144"/>
      <c r="IH144"/>
      <c r="II144"/>
      <c r="IJ144"/>
      <c r="IK144"/>
      <c r="IL144"/>
      <c r="IM144"/>
      <c r="IN144"/>
      <c r="IO144"/>
      <c r="IP144"/>
      <c r="IQ144"/>
      <c r="IR144"/>
      <c r="IS144"/>
      <c r="IT144"/>
      <c r="IU144"/>
      <c r="IV144"/>
    </row>
    <row r="145" spans="62:256" s="70" customFormat="1" ht="12.75" x14ac:dyDescent="0.2">
      <c r="BR145" s="310"/>
      <c r="HY145"/>
      <c r="HZ145"/>
      <c r="IA145"/>
      <c r="IB145"/>
      <c r="IC145"/>
      <c r="ID145"/>
      <c r="IE145"/>
      <c r="IF145"/>
      <c r="IG145"/>
      <c r="IH145"/>
      <c r="II145"/>
      <c r="IJ145"/>
      <c r="IK145"/>
      <c r="IL145"/>
      <c r="IM145"/>
      <c r="IN145"/>
      <c r="IO145"/>
      <c r="IP145"/>
      <c r="IQ145"/>
      <c r="IR145"/>
      <c r="IS145"/>
      <c r="IT145"/>
      <c r="IU145"/>
      <c r="IV145"/>
    </row>
    <row r="146" spans="62:256" s="70" customFormat="1" ht="12.75" x14ac:dyDescent="0.2">
      <c r="BJ146" s="248" t="s">
        <v>1616</v>
      </c>
      <c r="BK146" s="252"/>
      <c r="BL146" s="252"/>
      <c r="BM146" s="252"/>
      <c r="BR146" s="310"/>
      <c r="HY146"/>
      <c r="HZ146"/>
      <c r="IA146"/>
      <c r="IB146"/>
      <c r="IC146"/>
      <c r="ID146"/>
      <c r="IE146"/>
      <c r="IF146"/>
      <c r="IG146"/>
      <c r="IH146"/>
      <c r="II146"/>
      <c r="IJ146"/>
      <c r="IK146"/>
      <c r="IL146"/>
      <c r="IM146"/>
      <c r="IN146"/>
      <c r="IO146"/>
      <c r="IP146"/>
      <c r="IQ146"/>
      <c r="IR146"/>
      <c r="IS146"/>
      <c r="IT146"/>
      <c r="IU146"/>
      <c r="IV146"/>
    </row>
    <row r="147" spans="62:256" s="70" customFormat="1" ht="12.75" x14ac:dyDescent="0.2">
      <c r="BJ147" s="70" t="s">
        <v>45</v>
      </c>
      <c r="BK147" s="21">
        <f>MAR!$BK$330/AVERAGE(MAR!$BG$286:$BJ$286)*1000000</f>
        <v>1877.5918575349128</v>
      </c>
      <c r="BL147" s="21"/>
      <c r="BM147" s="21"/>
      <c r="BR147" s="310"/>
      <c r="HY147"/>
      <c r="HZ147"/>
      <c r="IA147"/>
      <c r="IB147"/>
      <c r="IC147"/>
      <c r="ID147"/>
      <c r="IE147"/>
      <c r="IF147"/>
      <c r="IG147"/>
      <c r="IH147"/>
      <c r="II147"/>
      <c r="IJ147"/>
      <c r="IK147"/>
      <c r="IL147"/>
      <c r="IM147"/>
      <c r="IN147"/>
      <c r="IO147"/>
      <c r="IP147"/>
      <c r="IQ147"/>
      <c r="IR147"/>
      <c r="IS147"/>
      <c r="IT147"/>
      <c r="IU147"/>
      <c r="IV147"/>
    </row>
    <row r="148" spans="62:256" s="70" customFormat="1" ht="12.75" x14ac:dyDescent="0.2">
      <c r="BJ148" s="70" t="s">
        <v>1421</v>
      </c>
      <c r="BK148" s="253">
        <f>MAR!$BK$343/AVERAGE(MAR!$BG$286:$BJ$286)*1000000</f>
        <v>680.7205539270002</v>
      </c>
      <c r="BL148" s="187"/>
      <c r="BM148" s="187"/>
      <c r="BR148" s="310"/>
      <c r="HY148"/>
      <c r="HZ148"/>
      <c r="IA148"/>
      <c r="IB148"/>
      <c r="IC148"/>
      <c r="ID148"/>
      <c r="IE148"/>
      <c r="IF148"/>
      <c r="IG148"/>
      <c r="IH148"/>
      <c r="II148"/>
      <c r="IJ148"/>
      <c r="IK148"/>
      <c r="IL148"/>
      <c r="IM148"/>
      <c r="IN148"/>
      <c r="IO148"/>
      <c r="IP148"/>
      <c r="IQ148"/>
      <c r="IR148"/>
      <c r="IS148"/>
      <c r="IT148"/>
      <c r="IU148"/>
      <c r="IV148"/>
    </row>
    <row r="149" spans="62:256" s="70" customFormat="1" ht="12.75" x14ac:dyDescent="0.2">
      <c r="BJ149" s="199" t="s">
        <v>1422</v>
      </c>
      <c r="BK149" s="56">
        <f>SUM(BK147:BK148)</f>
        <v>2558.3124114619131</v>
      </c>
      <c r="BL149" s="56">
        <f>BK149*(1+MAR!BP317)</f>
        <v>2765.4827411200263</v>
      </c>
      <c r="BM149" s="56">
        <f>BL149*(1+MAR!BU317)</f>
        <v>2911.9525474425486</v>
      </c>
      <c r="BN149" s="56">
        <f>BM149*(1+MAR!BZ317)</f>
        <v>2994.3983452765156</v>
      </c>
      <c r="BO149" s="56">
        <f>BN149*(1+MAR!CE317)</f>
        <v>3130.879552970232</v>
      </c>
      <c r="BP149" s="56">
        <f>BO149*(1+MAR!CJ317)</f>
        <v>3325.9112009075211</v>
      </c>
      <c r="BR149" s="310"/>
      <c r="HY149"/>
      <c r="HZ149"/>
      <c r="IA149"/>
      <c r="IB149"/>
      <c r="IC149"/>
      <c r="ID149"/>
      <c r="IE149"/>
      <c r="IF149"/>
      <c r="IG149"/>
      <c r="IH149"/>
      <c r="II149"/>
      <c r="IJ149"/>
      <c r="IK149"/>
      <c r="IL149"/>
      <c r="IM149"/>
      <c r="IN149"/>
      <c r="IO149"/>
      <c r="IP149"/>
      <c r="IQ149"/>
      <c r="IR149"/>
      <c r="IS149"/>
      <c r="IT149"/>
      <c r="IU149"/>
      <c r="IV149"/>
    </row>
    <row r="150" spans="62:256" s="70" customFormat="1" ht="12.75" x14ac:dyDescent="0.2">
      <c r="BJ150" s="199"/>
      <c r="BK150" s="56"/>
      <c r="BL150" s="56"/>
      <c r="BM150" s="56"/>
      <c r="BR150" s="310"/>
      <c r="HY150"/>
      <c r="HZ150"/>
      <c r="IA150"/>
      <c r="IB150"/>
      <c r="IC150"/>
      <c r="ID150"/>
      <c r="IE150"/>
      <c r="IF150"/>
      <c r="IG150"/>
      <c r="IH150"/>
      <c r="II150"/>
      <c r="IJ150"/>
      <c r="IK150"/>
      <c r="IL150"/>
      <c r="IM150"/>
      <c r="IN150"/>
      <c r="IO150"/>
      <c r="IP150"/>
      <c r="IQ150"/>
      <c r="IR150"/>
      <c r="IS150"/>
      <c r="IT150"/>
      <c r="IU150"/>
      <c r="IV150"/>
    </row>
    <row r="151" spans="62:256" s="70" customFormat="1" ht="12.75" x14ac:dyDescent="0.2">
      <c r="BJ151" s="199"/>
      <c r="BK151" s="56"/>
      <c r="BL151" s="56"/>
      <c r="BM151" s="56"/>
      <c r="BR151" s="310"/>
      <c r="HY151"/>
      <c r="HZ151"/>
      <c r="IA151"/>
      <c r="IB151"/>
      <c r="IC151"/>
      <c r="ID151"/>
      <c r="IE151"/>
      <c r="IF151"/>
      <c r="IG151"/>
      <c r="IH151"/>
      <c r="II151"/>
      <c r="IJ151"/>
      <c r="IK151"/>
      <c r="IL151"/>
      <c r="IM151"/>
      <c r="IN151"/>
      <c r="IO151"/>
      <c r="IP151"/>
      <c r="IQ151"/>
      <c r="IR151"/>
      <c r="IS151"/>
      <c r="IT151"/>
      <c r="IU151"/>
      <c r="IV151"/>
    </row>
    <row r="152" spans="62:256" s="70" customFormat="1" ht="12.75" x14ac:dyDescent="0.2">
      <c r="BJ152" s="254" t="s">
        <v>131</v>
      </c>
      <c r="BK152" s="255">
        <v>2010</v>
      </c>
      <c r="BL152" s="255">
        <v>2011</v>
      </c>
      <c r="BM152" s="255">
        <f>BL152+1</f>
        <v>2012</v>
      </c>
      <c r="BN152" s="255">
        <f>BM152+1</f>
        <v>2013</v>
      </c>
      <c r="BO152" s="255">
        <f>BN152+1</f>
        <v>2014</v>
      </c>
      <c r="BP152" s="256">
        <f>BO152+1</f>
        <v>2015</v>
      </c>
      <c r="BR152" s="310"/>
      <c r="HY152"/>
      <c r="HZ152"/>
      <c r="IA152"/>
      <c r="IB152"/>
      <c r="IC152"/>
      <c r="ID152"/>
      <c r="IE152"/>
      <c r="IF152"/>
      <c r="IG152"/>
      <c r="IH152"/>
      <c r="II152"/>
      <c r="IJ152"/>
      <c r="IK152"/>
      <c r="IL152"/>
      <c r="IM152"/>
      <c r="IN152"/>
      <c r="IO152"/>
      <c r="IP152"/>
      <c r="IQ152"/>
      <c r="IR152"/>
      <c r="IS152"/>
      <c r="IT152"/>
      <c r="IU152"/>
      <c r="IV152"/>
    </row>
    <row r="153" spans="62:256" s="70" customFormat="1" ht="12.75" x14ac:dyDescent="0.2">
      <c r="BJ153" s="257" t="s">
        <v>1619</v>
      </c>
      <c r="BK153" s="249">
        <v>20058</v>
      </c>
      <c r="BL153" s="249">
        <f>$BK$153+BL158</f>
        <v>22529</v>
      </c>
      <c r="BM153" s="249">
        <f>$BK$153+BM158</f>
        <v>25000</v>
      </c>
      <c r="BN153" s="249">
        <f>$BK$153+BN158</f>
        <v>25943.666666666668</v>
      </c>
      <c r="BO153" s="249">
        <f>$BK$153+BO158</f>
        <v>26887.333333333336</v>
      </c>
      <c r="BP153" s="249">
        <f>$BK$153+BP158</f>
        <v>27831</v>
      </c>
      <c r="BR153" s="310"/>
      <c r="HY153"/>
      <c r="HZ153"/>
      <c r="IA153"/>
      <c r="IB153"/>
      <c r="IC153"/>
      <c r="ID153"/>
      <c r="IE153"/>
      <c r="IF153"/>
      <c r="IG153"/>
      <c r="IH153"/>
      <c r="II153"/>
      <c r="IJ153"/>
      <c r="IK153"/>
      <c r="IL153"/>
      <c r="IM153"/>
      <c r="IN153"/>
      <c r="IO153"/>
      <c r="IP153"/>
      <c r="IQ153"/>
      <c r="IR153"/>
      <c r="IS153"/>
      <c r="IT153"/>
      <c r="IU153"/>
      <c r="IV153"/>
    </row>
    <row r="154" spans="62:256" s="70" customFormat="1" ht="12.75" x14ac:dyDescent="0.2">
      <c r="BJ154" s="257"/>
      <c r="BK154" s="257"/>
      <c r="BL154" s="258"/>
      <c r="BM154" s="258"/>
      <c r="BN154" s="258"/>
      <c r="BO154" s="258"/>
      <c r="BP154" s="258"/>
      <c r="BR154" s="310"/>
      <c r="HY154"/>
      <c r="HZ154"/>
      <c r="IA154"/>
      <c r="IB154"/>
      <c r="IC154"/>
      <c r="ID154"/>
      <c r="IE154"/>
      <c r="IF154"/>
      <c r="IG154"/>
      <c r="IH154"/>
      <c r="II154"/>
      <c r="IJ154"/>
      <c r="IK154"/>
      <c r="IL154"/>
      <c r="IM154"/>
      <c r="IN154"/>
      <c r="IO154"/>
      <c r="IP154"/>
      <c r="IQ154"/>
      <c r="IR154"/>
      <c r="IS154"/>
      <c r="IT154"/>
      <c r="IU154"/>
      <c r="IV154"/>
    </row>
    <row r="155" spans="62:256" s="70" customFormat="1" ht="12.75" x14ac:dyDescent="0.2">
      <c r="BJ155" s="257" t="s">
        <v>78</v>
      </c>
      <c r="BK155" s="261">
        <f t="shared" ref="BK155:BP155" si="17">$BK$153*BK149/1000000</f>
        <v>51.314630349103055</v>
      </c>
      <c r="BL155" s="261">
        <f t="shared" si="17"/>
        <v>55.470052821385487</v>
      </c>
      <c r="BM155" s="261">
        <f t="shared" si="17"/>
        <v>58.407944196602642</v>
      </c>
      <c r="BN155" s="261">
        <f t="shared" si="17"/>
        <v>60.061642009556344</v>
      </c>
      <c r="BO155" s="261">
        <f t="shared" si="17"/>
        <v>62.799182073476914</v>
      </c>
      <c r="BP155" s="261">
        <f t="shared" si="17"/>
        <v>66.71112686780306</v>
      </c>
      <c r="BR155" s="310"/>
      <c r="HY155"/>
      <c r="HZ155"/>
      <c r="IA155"/>
      <c r="IB155"/>
      <c r="IC155"/>
      <c r="ID155"/>
      <c r="IE155"/>
      <c r="IF155"/>
      <c r="IG155"/>
      <c r="IH155"/>
      <c r="II155"/>
      <c r="IJ155"/>
      <c r="IK155"/>
      <c r="IL155"/>
      <c r="IM155"/>
      <c r="IN155"/>
      <c r="IO155"/>
      <c r="IP155"/>
      <c r="IQ155"/>
      <c r="IR155"/>
      <c r="IS155"/>
      <c r="IT155"/>
      <c r="IU155"/>
      <c r="IV155"/>
    </row>
    <row r="156" spans="62:256" s="70" customFormat="1" ht="12.75" x14ac:dyDescent="0.2">
      <c r="BJ156" s="257"/>
      <c r="BK156" s="257"/>
      <c r="BL156" s="258"/>
      <c r="BM156" s="258"/>
      <c r="BN156" s="258"/>
      <c r="BO156" s="258"/>
      <c r="BP156" s="258"/>
      <c r="BR156" s="310"/>
      <c r="HY156"/>
      <c r="HZ156"/>
      <c r="IA156"/>
      <c r="IB156"/>
      <c r="IC156"/>
      <c r="ID156"/>
      <c r="IE156"/>
      <c r="IF156"/>
      <c r="IG156"/>
      <c r="IH156"/>
      <c r="II156"/>
      <c r="IJ156"/>
      <c r="IK156"/>
      <c r="IL156"/>
      <c r="IM156"/>
      <c r="IN156"/>
      <c r="IO156"/>
      <c r="IP156"/>
      <c r="IQ156"/>
      <c r="IR156"/>
      <c r="IS156"/>
      <c r="IT156"/>
      <c r="IU156"/>
      <c r="IV156"/>
    </row>
    <row r="157" spans="62:256" s="70" customFormat="1" ht="12.75" x14ac:dyDescent="0.2">
      <c r="BJ157" s="70" t="s">
        <v>1423</v>
      </c>
      <c r="BL157" s="70">
        <f>$BK$142/2</f>
        <v>2471</v>
      </c>
      <c r="BM157" s="70">
        <f>$BK$142/2</f>
        <v>2471</v>
      </c>
      <c r="BN157" s="70">
        <f>$BK$143/3</f>
        <v>943.66666666666663</v>
      </c>
      <c r="BO157" s="70">
        <f>$BK$143/3</f>
        <v>943.66666666666663</v>
      </c>
      <c r="BP157" s="70">
        <f>$BK$143/3</f>
        <v>943.66666666666663</v>
      </c>
      <c r="BR157" s="310"/>
      <c r="HY157"/>
      <c r="HZ157"/>
      <c r="IA157"/>
      <c r="IB157"/>
      <c r="IC157"/>
      <c r="ID157"/>
      <c r="IE157"/>
      <c r="IF157"/>
      <c r="IG157"/>
      <c r="IH157"/>
      <c r="II157"/>
      <c r="IJ157"/>
      <c r="IK157"/>
      <c r="IL157"/>
      <c r="IM157"/>
      <c r="IN157"/>
      <c r="IO157"/>
      <c r="IP157"/>
      <c r="IQ157"/>
      <c r="IR157"/>
      <c r="IS157"/>
      <c r="IT157"/>
      <c r="IU157"/>
      <c r="IV157"/>
    </row>
    <row r="158" spans="62:256" s="70" customFormat="1" ht="12.75" x14ac:dyDescent="0.2">
      <c r="BJ158" s="70" t="s">
        <v>1327</v>
      </c>
      <c r="BL158" s="70">
        <f>BL157</f>
        <v>2471</v>
      </c>
      <c r="BM158" s="70">
        <f>SUM(BL157:BM157)</f>
        <v>4942</v>
      </c>
      <c r="BN158" s="70">
        <f>SUM(BL157:BN157)</f>
        <v>5885.666666666667</v>
      </c>
      <c r="BO158" s="70">
        <f>SUM(BL157:BO157)</f>
        <v>6829.3333333333339</v>
      </c>
      <c r="BP158" s="70">
        <f>SUM(BL157:BP157)</f>
        <v>7773.0000000000009</v>
      </c>
      <c r="BR158" s="310"/>
      <c r="HY158"/>
      <c r="HZ158"/>
      <c r="IA158"/>
      <c r="IB158"/>
      <c r="IC158"/>
      <c r="ID158"/>
      <c r="IE158"/>
      <c r="IF158"/>
      <c r="IG158"/>
      <c r="IH158"/>
      <c r="II158"/>
      <c r="IJ158"/>
      <c r="IK158"/>
      <c r="IL158"/>
      <c r="IM158"/>
      <c r="IN158"/>
      <c r="IO158"/>
      <c r="IP158"/>
      <c r="IQ158"/>
      <c r="IR158"/>
      <c r="IS158"/>
      <c r="IT158"/>
      <c r="IU158"/>
      <c r="IV158"/>
    </row>
    <row r="159" spans="62:256" s="70" customFormat="1" ht="12.75" x14ac:dyDescent="0.2">
      <c r="BP159" s="199"/>
      <c r="BR159" s="310"/>
      <c r="HY159"/>
      <c r="HZ159"/>
      <c r="IA159"/>
      <c r="IB159"/>
      <c r="IC159"/>
      <c r="ID159"/>
      <c r="IE159"/>
      <c r="IF159"/>
      <c r="IG159"/>
      <c r="IH159"/>
      <c r="II159"/>
      <c r="IJ159"/>
      <c r="IK159"/>
      <c r="IL159"/>
      <c r="IM159"/>
      <c r="IN159"/>
      <c r="IO159"/>
      <c r="IP159"/>
      <c r="IQ159"/>
      <c r="IR159"/>
      <c r="IS159"/>
      <c r="IT159"/>
      <c r="IU159"/>
      <c r="IV159"/>
    </row>
    <row r="160" spans="62:256" s="70" customFormat="1" ht="12.75" x14ac:dyDescent="0.2">
      <c r="BJ160" s="199" t="s">
        <v>150</v>
      </c>
      <c r="BK160" s="199"/>
      <c r="BL160" s="261">
        <f>BL158*$BL$149/1000000/2</f>
        <v>3.4167539266537927</v>
      </c>
      <c r="BM160" s="260">
        <f>(BL158*BM149+BM157*BM149/2)/1000000</f>
        <v>10.793152117095806</v>
      </c>
      <c r="BN160" s="260">
        <f>(BM158*BN149+BN157*BN149/2)/1000000</f>
        <v>16.211173574936176</v>
      </c>
      <c r="BO160" s="260">
        <f>(BN158*BO149+BO157*BO149/2)/1000000</f>
        <v>19.904566758008254</v>
      </c>
      <c r="BP160" s="260">
        <f>(BO158*BP149+BP157*BP149/2)/1000000</f>
        <v>24.283031996359295</v>
      </c>
      <c r="BR160" s="310"/>
      <c r="HY160"/>
      <c r="HZ160"/>
      <c r="IA160"/>
      <c r="IB160"/>
      <c r="IC160"/>
      <c r="ID160"/>
      <c r="IE160"/>
      <c r="IF160"/>
      <c r="IG160"/>
      <c r="IH160"/>
      <c r="II160"/>
      <c r="IJ160"/>
      <c r="IK160"/>
      <c r="IL160"/>
      <c r="IM160"/>
      <c r="IN160"/>
      <c r="IO160"/>
      <c r="IP160"/>
      <c r="IQ160"/>
      <c r="IR160"/>
      <c r="IS160"/>
      <c r="IT160"/>
      <c r="IU160"/>
      <c r="IV160"/>
    </row>
    <row r="161" spans="62:256" s="70" customFormat="1" ht="12.75" x14ac:dyDescent="0.2">
      <c r="BJ161" s="199"/>
      <c r="BK161" s="199"/>
      <c r="BL161" s="261"/>
      <c r="BM161" s="260"/>
      <c r="BN161" s="260"/>
      <c r="BO161" s="260"/>
      <c r="BP161" s="260"/>
      <c r="BR161" s="310"/>
      <c r="HY161"/>
      <c r="HZ161"/>
      <c r="IA161"/>
      <c r="IB161"/>
      <c r="IC161"/>
      <c r="ID161"/>
      <c r="IE161"/>
      <c r="IF161"/>
      <c r="IG161"/>
      <c r="IH161"/>
      <c r="II161"/>
      <c r="IJ161"/>
      <c r="IK161"/>
      <c r="IL161"/>
      <c r="IM161"/>
      <c r="IN161"/>
      <c r="IO161"/>
      <c r="IP161"/>
      <c r="IQ161"/>
      <c r="IR161"/>
      <c r="IS161"/>
      <c r="IT161"/>
      <c r="IU161"/>
      <c r="IV161"/>
    </row>
    <row r="162" spans="62:256" s="70" customFormat="1" ht="12.75" x14ac:dyDescent="0.2">
      <c r="BJ162" s="199" t="s">
        <v>1335</v>
      </c>
      <c r="BK162" s="262">
        <f t="shared" ref="BK162:BP162" si="18">BK160+BK155</f>
        <v>51.314630349103055</v>
      </c>
      <c r="BL162" s="199">
        <f t="shared" si="18"/>
        <v>58.886806748039277</v>
      </c>
      <c r="BM162" s="199">
        <f t="shared" si="18"/>
        <v>69.201096313698443</v>
      </c>
      <c r="BN162" s="199">
        <f t="shared" si="18"/>
        <v>76.27281558449252</v>
      </c>
      <c r="BO162" s="199">
        <f t="shared" si="18"/>
        <v>82.703748831485171</v>
      </c>
      <c r="BP162" s="199">
        <f t="shared" si="18"/>
        <v>90.994158864162358</v>
      </c>
      <c r="BR162" s="310"/>
      <c r="HY162"/>
      <c r="HZ162"/>
      <c r="IA162"/>
      <c r="IB162"/>
      <c r="IC162"/>
      <c r="ID162"/>
      <c r="IE162"/>
      <c r="IF162"/>
      <c r="IG162"/>
      <c r="IH162"/>
      <c r="II162"/>
      <c r="IJ162"/>
      <c r="IK162"/>
      <c r="IL162"/>
      <c r="IM162"/>
      <c r="IN162"/>
      <c r="IO162"/>
      <c r="IP162"/>
      <c r="IQ162"/>
      <c r="IR162"/>
      <c r="IS162"/>
      <c r="IT162"/>
      <c r="IU162"/>
      <c r="IV162"/>
    </row>
    <row r="163" spans="62:256" s="70" customFormat="1" ht="12.75" x14ac:dyDescent="0.2">
      <c r="BJ163" s="199"/>
      <c r="BK163" s="262"/>
      <c r="BL163" s="199"/>
      <c r="BM163" s="199"/>
      <c r="BN163" s="199"/>
      <c r="BO163" s="199"/>
      <c r="BP163" s="199"/>
      <c r="BR163" s="310"/>
      <c r="HY163"/>
      <c r="HZ163"/>
      <c r="IA163"/>
      <c r="IB163"/>
      <c r="IC163"/>
      <c r="ID163"/>
      <c r="IE163"/>
      <c r="IF163"/>
      <c r="IG163"/>
      <c r="IH163"/>
      <c r="II163"/>
      <c r="IJ163"/>
      <c r="IK163"/>
      <c r="IL163"/>
      <c r="IM163"/>
      <c r="IN163"/>
      <c r="IO163"/>
      <c r="IP163"/>
      <c r="IQ163"/>
      <c r="IR163"/>
      <c r="IS163"/>
      <c r="IT163"/>
      <c r="IU163"/>
      <c r="IV163"/>
    </row>
    <row r="164" spans="62:256" s="70" customFormat="1" ht="12.75" x14ac:dyDescent="0.2">
      <c r="BJ164" s="199" t="s">
        <v>1292</v>
      </c>
      <c r="BK164" s="271">
        <f t="shared" ref="BK164:BP164" si="19">BK162/BK169</f>
        <v>2.7324084317946248E-2</v>
      </c>
      <c r="BL164" s="271">
        <f t="shared" si="19"/>
        <v>2.8324582370389262E-2</v>
      </c>
      <c r="BM164" s="271">
        <f t="shared" si="19"/>
        <v>3.033805186922334E-2</v>
      </c>
      <c r="BN164" s="271">
        <f t="shared" si="19"/>
        <v>3.0705642344803753E-2</v>
      </c>
      <c r="BO164" s="271">
        <f t="shared" si="19"/>
        <v>3.0052234313766413E-2</v>
      </c>
      <c r="BP164" s="271">
        <f t="shared" si="19"/>
        <v>3.3221671728427292E-2</v>
      </c>
      <c r="BR164" s="310"/>
      <c r="HY164"/>
      <c r="HZ164"/>
      <c r="IA164"/>
      <c r="IB164"/>
      <c r="IC164"/>
      <c r="ID164"/>
      <c r="IE164"/>
      <c r="IF164"/>
      <c r="IG164"/>
      <c r="IH164"/>
      <c r="II164"/>
      <c r="IJ164"/>
      <c r="IK164"/>
      <c r="IL164"/>
      <c r="IM164"/>
      <c r="IN164"/>
      <c r="IO164"/>
      <c r="IP164"/>
      <c r="IQ164"/>
      <c r="IR164"/>
      <c r="IS164"/>
      <c r="IT164"/>
      <c r="IU164"/>
      <c r="IV164"/>
    </row>
    <row r="165" spans="62:256" s="70" customFormat="1" ht="12.75" x14ac:dyDescent="0.2">
      <c r="BJ165" s="199" t="s">
        <v>616</v>
      </c>
      <c r="BK165" s="271">
        <f t="shared" ref="BK165:BP165" si="20">BK162/BK168</f>
        <v>5.7982633162828312E-2</v>
      </c>
      <c r="BL165" s="271">
        <f t="shared" si="20"/>
        <v>5.9361700350846043E-2</v>
      </c>
      <c r="BM165" s="271">
        <f t="shared" si="20"/>
        <v>6.0077697214677518E-2</v>
      </c>
      <c r="BN165" s="271">
        <f t="shared" si="20"/>
        <v>6.6439734829697311E-2</v>
      </c>
      <c r="BO165" s="271">
        <f t="shared" si="20"/>
        <v>6.1765309060108416E-2</v>
      </c>
      <c r="BP165" s="271">
        <f t="shared" si="20"/>
        <v>5.8630257000104609E-2</v>
      </c>
      <c r="BR165" s="310"/>
      <c r="HY165"/>
      <c r="HZ165"/>
      <c r="IA165"/>
      <c r="IB165"/>
      <c r="IC165"/>
      <c r="ID165"/>
      <c r="IE165"/>
      <c r="IF165"/>
      <c r="IG165"/>
      <c r="IH165"/>
      <c r="II165"/>
      <c r="IJ165"/>
      <c r="IK165"/>
      <c r="IL165"/>
      <c r="IM165"/>
      <c r="IN165"/>
      <c r="IO165"/>
      <c r="IP165"/>
      <c r="IQ165"/>
      <c r="IR165"/>
      <c r="IS165"/>
      <c r="IT165"/>
      <c r="IU165"/>
      <c r="IV165"/>
    </row>
    <row r="166" spans="62:256" s="70" customFormat="1" ht="12.75" x14ac:dyDescent="0.2">
      <c r="BJ166" s="199"/>
      <c r="BK166" s="271"/>
      <c r="BL166" s="271"/>
      <c r="BM166" s="271"/>
      <c r="BN166" s="271"/>
      <c r="BO166" s="271"/>
      <c r="BP166" s="271"/>
      <c r="BR166" s="310"/>
      <c r="HY166"/>
      <c r="HZ166"/>
      <c r="IA166"/>
      <c r="IB166"/>
      <c r="IC166"/>
      <c r="ID166"/>
      <c r="IE166"/>
      <c r="IF166"/>
      <c r="IG166"/>
      <c r="IH166"/>
      <c r="II166"/>
      <c r="IJ166"/>
      <c r="IK166"/>
      <c r="IL166"/>
      <c r="IM166"/>
      <c r="IN166"/>
      <c r="IO166"/>
      <c r="IP166"/>
      <c r="IQ166"/>
      <c r="IR166"/>
      <c r="IS166"/>
      <c r="IT166"/>
      <c r="IU166"/>
      <c r="IV166"/>
    </row>
    <row r="167" spans="62:256" s="70" customFormat="1" ht="12.75" x14ac:dyDescent="0.2">
      <c r="BJ167" s="199" t="s">
        <v>617</v>
      </c>
      <c r="BK167" s="70">
        <f t="shared" ref="BK167:BP167" si="21">BK168-BK162</f>
        <v>833.68536965089697</v>
      </c>
      <c r="BL167" s="70">
        <f t="shared" si="21"/>
        <v>933.11319325196075</v>
      </c>
      <c r="BM167" s="70">
        <f t="shared" si="21"/>
        <v>1082.6589036863015</v>
      </c>
      <c r="BN167" s="70">
        <f t="shared" si="21"/>
        <v>1071.7271844155075</v>
      </c>
      <c r="BO167" s="70">
        <f t="shared" si="21"/>
        <v>1256.2962511685148</v>
      </c>
      <c r="BP167" s="70">
        <f t="shared" si="21"/>
        <v>1461.0058411358377</v>
      </c>
      <c r="BR167" s="310"/>
      <c r="HY167"/>
      <c r="HZ167"/>
      <c r="IA167"/>
      <c r="IB167"/>
      <c r="IC167"/>
      <c r="ID167"/>
      <c r="IE167"/>
      <c r="IF167"/>
      <c r="IG167"/>
      <c r="IH167"/>
      <c r="II167"/>
      <c r="IJ167"/>
      <c r="IK167"/>
      <c r="IL167"/>
      <c r="IM167"/>
      <c r="IN167"/>
      <c r="IO167"/>
      <c r="IP167"/>
      <c r="IQ167"/>
      <c r="IR167"/>
      <c r="IS167"/>
      <c r="IT167"/>
      <c r="IU167"/>
      <c r="IV167"/>
    </row>
    <row r="168" spans="62:256" s="70" customFormat="1" ht="12.75" x14ac:dyDescent="0.2">
      <c r="BJ168" s="199" t="s">
        <v>79</v>
      </c>
      <c r="BK168" s="70">
        <f>MAR!BK84</f>
        <v>885</v>
      </c>
      <c r="BL168" s="70">
        <f>MAR!BP84</f>
        <v>992</v>
      </c>
      <c r="BM168" s="70">
        <f>MAR!BU84</f>
        <v>1151.8599999999999</v>
      </c>
      <c r="BN168" s="70">
        <f>MAR!BZ84</f>
        <v>1148</v>
      </c>
      <c r="BO168" s="70">
        <f>MAR!CE84</f>
        <v>1339</v>
      </c>
      <c r="BP168" s="70">
        <f>MAR!CJ84</f>
        <v>1552</v>
      </c>
      <c r="BR168" s="310"/>
      <c r="HY168"/>
      <c r="HZ168"/>
      <c r="IA168"/>
      <c r="IB168"/>
      <c r="IC168"/>
      <c r="ID168"/>
      <c r="IE168"/>
      <c r="IF168"/>
      <c r="IG168"/>
      <c r="IH168"/>
      <c r="II168"/>
      <c r="IJ168"/>
      <c r="IK168"/>
      <c r="IL168"/>
      <c r="IM168"/>
      <c r="IN168"/>
      <c r="IO168"/>
      <c r="IP168"/>
      <c r="IQ168"/>
      <c r="IR168"/>
      <c r="IS168"/>
      <c r="IT168"/>
      <c r="IU168"/>
      <c r="IV168"/>
    </row>
    <row r="169" spans="62:256" s="70" customFormat="1" ht="12.75" x14ac:dyDescent="0.2">
      <c r="BJ169" s="199" t="s">
        <v>268</v>
      </c>
      <c r="BK169" s="70">
        <f>MAR!BK242</f>
        <v>1878</v>
      </c>
      <c r="BL169" s="70">
        <f>MAR!BP242</f>
        <v>2079</v>
      </c>
      <c r="BM169" s="70">
        <f>MAR!BU242</f>
        <v>2281</v>
      </c>
      <c r="BN169" s="70">
        <f>MAR!BZ242</f>
        <v>2484</v>
      </c>
      <c r="BO169" s="70">
        <f>MAR!CE242</f>
        <v>2752</v>
      </c>
      <c r="BP169" s="70">
        <f>MAR!CJ242</f>
        <v>2739</v>
      </c>
      <c r="BR169" s="310"/>
      <c r="HY169"/>
      <c r="HZ169"/>
      <c r="IA169"/>
      <c r="IB169"/>
      <c r="IC169"/>
      <c r="ID169"/>
      <c r="IE169"/>
      <c r="IF169"/>
      <c r="IG169"/>
      <c r="IH169"/>
      <c r="II169"/>
      <c r="IJ169"/>
      <c r="IK169"/>
      <c r="IL169"/>
      <c r="IM169"/>
      <c r="IN169"/>
      <c r="IO169"/>
      <c r="IP169"/>
      <c r="IQ169"/>
      <c r="IR169"/>
      <c r="IS169"/>
      <c r="IT169"/>
      <c r="IU169"/>
      <c r="IV169"/>
    </row>
    <row r="170" spans="62:256" s="70" customFormat="1" ht="12.75" x14ac:dyDescent="0.2">
      <c r="BR170" s="310"/>
      <c r="HY170"/>
      <c r="HZ170"/>
      <c r="IA170"/>
      <c r="IB170"/>
      <c r="IC170"/>
      <c r="ID170"/>
      <c r="IE170"/>
      <c r="IF170"/>
      <c r="IG170"/>
      <c r="IH170"/>
      <c r="II170"/>
      <c r="IJ170"/>
      <c r="IK170"/>
      <c r="IL170"/>
      <c r="IM170"/>
      <c r="IN170"/>
      <c r="IO170"/>
      <c r="IP170"/>
      <c r="IQ170"/>
      <c r="IR170"/>
      <c r="IS170"/>
      <c r="IT170"/>
      <c r="IU170"/>
      <c r="IV170"/>
    </row>
    <row r="171" spans="62:256" s="70" customFormat="1" ht="12.75" x14ac:dyDescent="0.2">
      <c r="BJ171" s="70" t="s">
        <v>1307</v>
      </c>
      <c r="BK171" s="259">
        <f t="shared" ref="BK171:BP171" si="22">(BK155+BK160)/BK168</f>
        <v>5.7982633162828312E-2</v>
      </c>
      <c r="BL171" s="259">
        <f t="shared" si="22"/>
        <v>5.9361700350846043E-2</v>
      </c>
      <c r="BM171" s="259">
        <f t="shared" si="22"/>
        <v>6.0077697214677518E-2</v>
      </c>
      <c r="BN171" s="259">
        <f t="shared" si="22"/>
        <v>6.6439734829697311E-2</v>
      </c>
      <c r="BO171" s="259">
        <f t="shared" si="22"/>
        <v>6.1765309060108416E-2</v>
      </c>
      <c r="BP171" s="259">
        <f t="shared" si="22"/>
        <v>5.8630257000104609E-2</v>
      </c>
      <c r="BR171" s="310"/>
      <c r="HY171"/>
      <c r="HZ171"/>
      <c r="IA171"/>
      <c r="IB171"/>
      <c r="IC171"/>
      <c r="ID171"/>
      <c r="IE171"/>
      <c r="IF171"/>
      <c r="IG171"/>
      <c r="IH171"/>
      <c r="II171"/>
      <c r="IJ171"/>
      <c r="IK171"/>
      <c r="IL171"/>
      <c r="IM171"/>
      <c r="IN171"/>
      <c r="IO171"/>
      <c r="IP171"/>
      <c r="IQ171"/>
      <c r="IR171"/>
      <c r="IS171"/>
      <c r="IT171"/>
      <c r="IU171"/>
      <c r="IV171"/>
    </row>
    <row r="172" spans="62:256" s="70" customFormat="1" ht="12.75" x14ac:dyDescent="0.2">
      <c r="BR172" s="310"/>
      <c r="HY172"/>
      <c r="HZ172"/>
      <c r="IA172"/>
      <c r="IB172"/>
      <c r="IC172"/>
      <c r="ID172"/>
      <c r="IE172"/>
      <c r="IF172"/>
      <c r="IG172"/>
      <c r="IH172"/>
      <c r="II172"/>
      <c r="IJ172"/>
      <c r="IK172"/>
      <c r="IL172"/>
      <c r="IM172"/>
      <c r="IN172"/>
      <c r="IO172"/>
      <c r="IP172"/>
      <c r="IQ172"/>
      <c r="IR172"/>
      <c r="IS172"/>
      <c r="IT172"/>
      <c r="IU172"/>
      <c r="IV172"/>
    </row>
    <row r="173" spans="62:256" s="70" customFormat="1" ht="12.75" x14ac:dyDescent="0.2">
      <c r="BJ173" s="212" t="s">
        <v>1363</v>
      </c>
      <c r="BK173" s="259">
        <f t="shared" ref="BK173:BP173" si="23">(BK155+BK160)/BK169</f>
        <v>2.7324084317946248E-2</v>
      </c>
      <c r="BL173" s="259">
        <f t="shared" si="23"/>
        <v>2.8324582370389262E-2</v>
      </c>
      <c r="BM173" s="259">
        <f t="shared" si="23"/>
        <v>3.033805186922334E-2</v>
      </c>
      <c r="BN173" s="259">
        <f t="shared" si="23"/>
        <v>3.0705642344803753E-2</v>
      </c>
      <c r="BO173" s="259">
        <f t="shared" si="23"/>
        <v>3.0052234313766413E-2</v>
      </c>
      <c r="BP173" s="259">
        <f t="shared" si="23"/>
        <v>3.3221671728427292E-2</v>
      </c>
      <c r="BR173" s="310"/>
      <c r="HY173"/>
      <c r="HZ173"/>
      <c r="IA173"/>
      <c r="IB173"/>
      <c r="IC173"/>
      <c r="ID173"/>
      <c r="IE173"/>
      <c r="IF173"/>
      <c r="IG173"/>
      <c r="IH173"/>
      <c r="II173"/>
      <c r="IJ173"/>
      <c r="IK173"/>
      <c r="IL173"/>
      <c r="IM173"/>
      <c r="IN173"/>
      <c r="IO173"/>
      <c r="IP173"/>
      <c r="IQ173"/>
      <c r="IR173"/>
      <c r="IS173"/>
      <c r="IT173"/>
      <c r="IU173"/>
      <c r="IV173"/>
    </row>
    <row r="174" spans="62:256" s="70" customFormat="1" ht="12.75" x14ac:dyDescent="0.2">
      <c r="BJ174" s="212"/>
      <c r="BR174" s="310"/>
      <c r="HY174"/>
      <c r="HZ174"/>
      <c r="IA174"/>
      <c r="IB174"/>
      <c r="IC174"/>
      <c r="ID174"/>
      <c r="IE174"/>
      <c r="IF174"/>
      <c r="IG174"/>
      <c r="IH174"/>
      <c r="II174"/>
      <c r="IJ174"/>
      <c r="IK174"/>
      <c r="IL174"/>
      <c r="IM174"/>
      <c r="IN174"/>
      <c r="IO174"/>
      <c r="IP174"/>
      <c r="IQ174"/>
      <c r="IR174"/>
      <c r="IS174"/>
      <c r="IT174"/>
      <c r="IU174"/>
      <c r="IV174"/>
    </row>
    <row r="175" spans="62:256" s="70" customFormat="1" ht="12.75" x14ac:dyDescent="0.2">
      <c r="BJ175" s="70" t="s">
        <v>1364</v>
      </c>
      <c r="BK175" s="259">
        <f t="shared" ref="BK175:BP175" si="24">BK160/BK169</f>
        <v>0</v>
      </c>
      <c r="BL175" s="259">
        <f t="shared" si="24"/>
        <v>1.6434602821807564E-3</v>
      </c>
      <c r="BM175" s="259">
        <f t="shared" si="24"/>
        <v>4.731763313062607E-3</v>
      </c>
      <c r="BN175" s="259">
        <f t="shared" si="24"/>
        <v>6.5262373490081226E-3</v>
      </c>
      <c r="BO175" s="259">
        <f t="shared" si="24"/>
        <v>7.2327640835785807E-3</v>
      </c>
      <c r="BP175" s="259">
        <f t="shared" si="24"/>
        <v>8.8656560775316889E-3</v>
      </c>
      <c r="BR175" s="310"/>
      <c r="HY175"/>
      <c r="HZ175"/>
      <c r="IA175"/>
      <c r="IB175"/>
      <c r="IC175"/>
      <c r="ID175"/>
      <c r="IE175"/>
      <c r="IF175"/>
      <c r="IG175"/>
      <c r="IH175"/>
      <c r="II175"/>
      <c r="IJ175"/>
      <c r="IK175"/>
      <c r="IL175"/>
      <c r="IM175"/>
      <c r="IN175"/>
      <c r="IO175"/>
      <c r="IP175"/>
      <c r="IQ175"/>
      <c r="IR175"/>
      <c r="IS175"/>
      <c r="IT175"/>
      <c r="IU175"/>
      <c r="IV175"/>
    </row>
    <row r="176" spans="62:256" s="70" customFormat="1" ht="12.75" x14ac:dyDescent="0.2">
      <c r="BR176" s="310"/>
      <c r="HY176"/>
      <c r="HZ176"/>
      <c r="IA176"/>
      <c r="IB176"/>
      <c r="IC176"/>
      <c r="ID176"/>
      <c r="IE176"/>
      <c r="IF176"/>
      <c r="IG176"/>
      <c r="IH176"/>
      <c r="II176"/>
      <c r="IJ176"/>
      <c r="IK176"/>
      <c r="IL176"/>
      <c r="IM176"/>
      <c r="IN176"/>
      <c r="IO176"/>
      <c r="IP176"/>
      <c r="IQ176"/>
      <c r="IR176"/>
      <c r="IS176"/>
      <c r="IT176"/>
      <c r="IU176"/>
      <c r="IV176"/>
    </row>
    <row r="177" spans="70:256" s="70" customFormat="1" ht="12.75" x14ac:dyDescent="0.2">
      <c r="BR177" s="310"/>
      <c r="HY177"/>
      <c r="HZ177"/>
      <c r="IA177"/>
      <c r="IB177"/>
      <c r="IC177"/>
      <c r="ID177"/>
      <c r="IE177"/>
      <c r="IF177"/>
      <c r="IG177"/>
      <c r="IH177"/>
      <c r="II177"/>
      <c r="IJ177"/>
      <c r="IK177"/>
      <c r="IL177"/>
      <c r="IM177"/>
      <c r="IN177"/>
      <c r="IO177"/>
      <c r="IP177"/>
      <c r="IQ177"/>
      <c r="IR177"/>
      <c r="IS177"/>
      <c r="IT177"/>
      <c r="IU177"/>
      <c r="IV177"/>
    </row>
    <row r="178" spans="70:256" s="70" customFormat="1" ht="12.75" x14ac:dyDescent="0.2">
      <c r="BR178" s="310"/>
      <c r="HY178"/>
      <c r="HZ178"/>
      <c r="IA178"/>
      <c r="IB178"/>
      <c r="IC178"/>
      <c r="ID178"/>
      <c r="IE178"/>
      <c r="IF178"/>
      <c r="IG178"/>
      <c r="IH178"/>
      <c r="II178"/>
      <c r="IJ178"/>
      <c r="IK178"/>
      <c r="IL178"/>
      <c r="IM178"/>
      <c r="IN178"/>
      <c r="IO178"/>
      <c r="IP178"/>
      <c r="IQ178"/>
      <c r="IR178"/>
      <c r="IS178"/>
      <c r="IT178"/>
      <c r="IU178"/>
      <c r="IV178"/>
    </row>
    <row r="179" spans="70:256" s="70" customFormat="1" ht="12.75" x14ac:dyDescent="0.2">
      <c r="BR179" s="310"/>
      <c r="HY179"/>
      <c r="HZ179"/>
      <c r="IA179"/>
      <c r="IB179"/>
      <c r="IC179"/>
      <c r="ID179"/>
      <c r="IE179"/>
      <c r="IF179"/>
      <c r="IG179"/>
      <c r="IH179"/>
      <c r="II179"/>
      <c r="IJ179"/>
      <c r="IK179"/>
      <c r="IL179"/>
      <c r="IM179"/>
      <c r="IN179"/>
      <c r="IO179"/>
      <c r="IP179"/>
      <c r="IQ179"/>
      <c r="IR179"/>
      <c r="IS179"/>
      <c r="IT179"/>
      <c r="IU179"/>
      <c r="IV179"/>
    </row>
    <row r="180" spans="70:256" s="70" customFormat="1" ht="12.75" x14ac:dyDescent="0.2">
      <c r="BR180" s="310"/>
      <c r="HY180"/>
      <c r="HZ180"/>
      <c r="IA180"/>
      <c r="IB180"/>
      <c r="IC180"/>
      <c r="ID180"/>
      <c r="IE180"/>
      <c r="IF180"/>
      <c r="IG180"/>
      <c r="IH180"/>
      <c r="II180"/>
      <c r="IJ180"/>
      <c r="IK180"/>
      <c r="IL180"/>
      <c r="IM180"/>
      <c r="IN180"/>
      <c r="IO180"/>
      <c r="IP180"/>
      <c r="IQ180"/>
      <c r="IR180"/>
      <c r="IS180"/>
      <c r="IT180"/>
      <c r="IU180"/>
      <c r="IV180"/>
    </row>
    <row r="181" spans="70:256" s="70" customFormat="1" ht="12.75" x14ac:dyDescent="0.2">
      <c r="BR181" s="310"/>
      <c r="HY181"/>
      <c r="HZ181"/>
      <c r="IA181"/>
      <c r="IB181"/>
      <c r="IC181"/>
      <c r="ID181"/>
      <c r="IE181"/>
      <c r="IF181"/>
      <c r="IG181"/>
      <c r="IH181"/>
      <c r="II181"/>
      <c r="IJ181"/>
      <c r="IK181"/>
      <c r="IL181"/>
      <c r="IM181"/>
      <c r="IN181"/>
      <c r="IO181"/>
      <c r="IP181"/>
      <c r="IQ181"/>
      <c r="IR181"/>
      <c r="IS181"/>
      <c r="IT181"/>
      <c r="IU181"/>
      <c r="IV181"/>
    </row>
    <row r="182" spans="70:256" s="70" customFormat="1" ht="12.75" x14ac:dyDescent="0.2">
      <c r="BR182" s="310"/>
      <c r="HY182"/>
      <c r="HZ182"/>
      <c r="IA182"/>
      <c r="IB182"/>
      <c r="IC182"/>
      <c r="ID182"/>
      <c r="IE182"/>
      <c r="IF182"/>
      <c r="IG182"/>
      <c r="IH182"/>
      <c r="II182"/>
      <c r="IJ182"/>
      <c r="IK182"/>
      <c r="IL182"/>
      <c r="IM182"/>
      <c r="IN182"/>
      <c r="IO182"/>
      <c r="IP182"/>
      <c r="IQ182"/>
      <c r="IR182"/>
      <c r="IS182"/>
      <c r="IT182"/>
      <c r="IU182"/>
      <c r="IV182"/>
    </row>
    <row r="183" spans="70:256" s="70" customFormat="1" ht="12.75" x14ac:dyDescent="0.2">
      <c r="BR183" s="310"/>
      <c r="HY183"/>
      <c r="HZ183"/>
      <c r="IA183"/>
      <c r="IB183"/>
      <c r="IC183"/>
      <c r="ID183"/>
      <c r="IE183"/>
      <c r="IF183"/>
      <c r="IG183"/>
      <c r="IH183"/>
      <c r="II183"/>
      <c r="IJ183"/>
      <c r="IK183"/>
      <c r="IL183"/>
      <c r="IM183"/>
      <c r="IN183"/>
      <c r="IO183"/>
      <c r="IP183"/>
      <c r="IQ183"/>
      <c r="IR183"/>
      <c r="IS183"/>
      <c r="IT183"/>
      <c r="IU183"/>
      <c r="IV183"/>
    </row>
    <row r="184" spans="70:256" s="70" customFormat="1" ht="12.75" x14ac:dyDescent="0.2">
      <c r="BR184" s="310"/>
      <c r="HY184"/>
      <c r="HZ184"/>
      <c r="IA184"/>
      <c r="IB184"/>
      <c r="IC184"/>
      <c r="ID184"/>
      <c r="IE184"/>
      <c r="IF184"/>
      <c r="IG184"/>
      <c r="IH184"/>
      <c r="II184"/>
      <c r="IJ184"/>
      <c r="IK184"/>
      <c r="IL184"/>
      <c r="IM184"/>
      <c r="IN184"/>
      <c r="IO184"/>
      <c r="IP184"/>
      <c r="IQ184"/>
      <c r="IR184"/>
      <c r="IS184"/>
      <c r="IT184"/>
      <c r="IU184"/>
      <c r="IV184"/>
    </row>
    <row r="185" spans="70:256" s="70" customFormat="1" ht="12.75" x14ac:dyDescent="0.2">
      <c r="HY185"/>
      <c r="HZ185"/>
      <c r="IA185"/>
      <c r="IB185"/>
      <c r="IC185"/>
      <c r="ID185"/>
      <c r="IE185"/>
      <c r="IF185"/>
      <c r="IG185"/>
      <c r="IH185"/>
      <c r="II185"/>
      <c r="IJ185"/>
      <c r="IK185"/>
      <c r="IL185"/>
      <c r="IM185"/>
      <c r="IN185"/>
      <c r="IO185"/>
      <c r="IP185"/>
      <c r="IQ185"/>
      <c r="IR185"/>
      <c r="IS185"/>
      <c r="IT185"/>
      <c r="IU185"/>
      <c r="IV185"/>
    </row>
    <row r="186" spans="70:256" s="70" customFormat="1" ht="12.75" x14ac:dyDescent="0.2">
      <c r="BS186" s="269"/>
      <c r="BT186" s="267"/>
      <c r="BU186" s="267"/>
      <c r="BW186" s="270"/>
      <c r="BX186" s="198"/>
      <c r="BY186" s="198"/>
      <c r="HY186"/>
      <c r="HZ186"/>
      <c r="IA186"/>
      <c r="IB186"/>
      <c r="IC186"/>
      <c r="ID186"/>
      <c r="IE186"/>
      <c r="IF186"/>
      <c r="IG186"/>
      <c r="IH186"/>
      <c r="II186"/>
      <c r="IJ186"/>
      <c r="IK186"/>
      <c r="IL186"/>
      <c r="IM186"/>
      <c r="IN186"/>
      <c r="IO186"/>
      <c r="IP186"/>
      <c r="IQ186"/>
      <c r="IR186"/>
      <c r="IS186"/>
      <c r="IT186"/>
      <c r="IU186"/>
      <c r="IV186"/>
    </row>
    <row r="187" spans="70:256" s="70" customFormat="1" ht="12.75" x14ac:dyDescent="0.2">
      <c r="BS187" s="199"/>
      <c r="BT187" s="199"/>
      <c r="BU187" s="199"/>
      <c r="BV187" s="199"/>
      <c r="BW187" s="199"/>
      <c r="BX187" s="199"/>
      <c r="BY187" s="199"/>
      <c r="HY187"/>
      <c r="HZ187"/>
      <c r="IA187"/>
      <c r="IB187"/>
      <c r="IC187"/>
      <c r="ID187"/>
      <c r="IE187"/>
      <c r="IF187"/>
      <c r="IG187"/>
      <c r="IH187"/>
      <c r="II187"/>
      <c r="IJ187"/>
      <c r="IK187"/>
      <c r="IL187"/>
      <c r="IM187"/>
      <c r="IN187"/>
      <c r="IO187"/>
      <c r="IP187"/>
      <c r="IQ187"/>
      <c r="IR187"/>
      <c r="IS187"/>
      <c r="IT187"/>
      <c r="IU187"/>
      <c r="IV187"/>
    </row>
    <row r="188" spans="70:256" s="70" customFormat="1" ht="12.75" x14ac:dyDescent="0.2">
      <c r="BS188" s="268"/>
      <c r="BT188" s="181"/>
      <c r="HY188"/>
      <c r="HZ188"/>
      <c r="IA188"/>
      <c r="IB188"/>
      <c r="IC188"/>
      <c r="ID188"/>
      <c r="IE188"/>
      <c r="IF188"/>
      <c r="IG188"/>
      <c r="IH188"/>
      <c r="II188"/>
      <c r="IJ188"/>
      <c r="IK188"/>
      <c r="IL188"/>
      <c r="IM188"/>
      <c r="IN188"/>
      <c r="IO188"/>
      <c r="IP188"/>
      <c r="IQ188"/>
      <c r="IR188"/>
      <c r="IS188"/>
      <c r="IT188"/>
      <c r="IU188"/>
      <c r="IV188"/>
    </row>
    <row r="189" spans="70:256" s="70" customFormat="1" ht="12.75" x14ac:dyDescent="0.2">
      <c r="HY189"/>
      <c r="HZ189"/>
      <c r="IA189"/>
      <c r="IB189"/>
      <c r="IC189"/>
      <c r="ID189"/>
      <c r="IE189"/>
      <c r="IF189"/>
      <c r="IG189"/>
      <c r="IH189"/>
      <c r="II189"/>
      <c r="IJ189"/>
      <c r="IK189"/>
      <c r="IL189"/>
      <c r="IM189"/>
      <c r="IN189"/>
      <c r="IO189"/>
      <c r="IP189"/>
      <c r="IQ189"/>
      <c r="IR189"/>
      <c r="IS189"/>
      <c r="IT189"/>
      <c r="IU189"/>
      <c r="IV189"/>
    </row>
    <row r="190" spans="70:256" s="70" customFormat="1" ht="12.75" x14ac:dyDescent="0.2">
      <c r="HY190"/>
      <c r="HZ190"/>
      <c r="IA190"/>
      <c r="IB190"/>
      <c r="IC190"/>
      <c r="ID190"/>
      <c r="IE190"/>
      <c r="IF190"/>
      <c r="IG190"/>
      <c r="IH190"/>
      <c r="II190"/>
      <c r="IJ190"/>
      <c r="IK190"/>
      <c r="IL190"/>
      <c r="IM190"/>
      <c r="IN190"/>
      <c r="IO190"/>
      <c r="IP190"/>
      <c r="IQ190"/>
      <c r="IR190"/>
      <c r="IS190"/>
      <c r="IT190"/>
      <c r="IU190"/>
      <c r="IV190"/>
    </row>
    <row r="191" spans="70:256" s="70" customFormat="1" ht="12.75" x14ac:dyDescent="0.2">
      <c r="HY191"/>
      <c r="HZ191"/>
      <c r="IA191"/>
      <c r="IB191"/>
      <c r="IC191"/>
      <c r="ID191"/>
      <c r="IE191"/>
      <c r="IF191"/>
      <c r="IG191"/>
      <c r="IH191"/>
      <c r="II191"/>
      <c r="IJ191"/>
      <c r="IK191"/>
      <c r="IL191"/>
      <c r="IM191"/>
      <c r="IN191"/>
      <c r="IO191"/>
      <c r="IP191"/>
      <c r="IQ191"/>
      <c r="IR191"/>
      <c r="IS191"/>
      <c r="IT191"/>
      <c r="IU191"/>
      <c r="IV191"/>
    </row>
    <row r="192" spans="70:256" s="70" customFormat="1" ht="12.75" x14ac:dyDescent="0.2">
      <c r="HY192"/>
      <c r="HZ192"/>
      <c r="IA192"/>
      <c r="IB192"/>
      <c r="IC192"/>
      <c r="ID192"/>
      <c r="IE192"/>
      <c r="IF192"/>
      <c r="IG192"/>
      <c r="IH192"/>
      <c r="II192"/>
      <c r="IJ192"/>
      <c r="IK192"/>
      <c r="IL192"/>
      <c r="IM192"/>
      <c r="IN192"/>
      <c r="IO192"/>
      <c r="IP192"/>
      <c r="IQ192"/>
      <c r="IR192"/>
      <c r="IS192"/>
      <c r="IT192"/>
      <c r="IU192"/>
      <c r="IV192"/>
    </row>
    <row r="193" spans="92:256" s="70" customFormat="1" ht="12.75" x14ac:dyDescent="0.2">
      <c r="HY193"/>
      <c r="HZ193"/>
      <c r="IA193"/>
      <c r="IB193"/>
      <c r="IC193"/>
      <c r="ID193"/>
      <c r="IE193"/>
      <c r="IF193"/>
      <c r="IG193"/>
      <c r="IH193"/>
      <c r="II193"/>
      <c r="IJ193"/>
      <c r="IK193"/>
      <c r="IL193"/>
      <c r="IM193"/>
      <c r="IN193"/>
      <c r="IO193"/>
      <c r="IP193"/>
      <c r="IQ193"/>
      <c r="IR193"/>
      <c r="IS193"/>
      <c r="IT193"/>
      <c r="IU193"/>
      <c r="IV193"/>
    </row>
    <row r="194" spans="92:256" s="70" customFormat="1" ht="12.75" x14ac:dyDescent="0.2">
      <c r="HY194"/>
      <c r="HZ194"/>
      <c r="IA194"/>
      <c r="IB194"/>
      <c r="IC194"/>
      <c r="ID194"/>
      <c r="IE194"/>
      <c r="IF194"/>
      <c r="IG194"/>
      <c r="IH194"/>
      <c r="II194"/>
      <c r="IJ194"/>
      <c r="IK194"/>
      <c r="IL194"/>
      <c r="IM194"/>
      <c r="IN194"/>
      <c r="IO194"/>
      <c r="IP194"/>
      <c r="IQ194"/>
      <c r="IR194"/>
      <c r="IS194"/>
      <c r="IT194"/>
      <c r="IU194"/>
      <c r="IV194"/>
    </row>
    <row r="195" spans="92:256" s="70" customFormat="1" ht="12.75" x14ac:dyDescent="0.2">
      <c r="HY195"/>
      <c r="HZ195"/>
      <c r="IA195"/>
      <c r="IB195"/>
      <c r="IC195"/>
      <c r="ID195"/>
      <c r="IE195"/>
      <c r="IF195"/>
      <c r="IG195"/>
      <c r="IH195"/>
      <c r="II195"/>
      <c r="IJ195"/>
      <c r="IK195"/>
      <c r="IL195"/>
      <c r="IM195"/>
      <c r="IN195"/>
      <c r="IO195"/>
      <c r="IP195"/>
      <c r="IQ195"/>
      <c r="IR195"/>
      <c r="IS195"/>
      <c r="IT195"/>
      <c r="IU195"/>
      <c r="IV195"/>
    </row>
    <row r="196" spans="92:256" s="70" customFormat="1" ht="12.75" x14ac:dyDescent="0.2">
      <c r="HY196"/>
      <c r="HZ196"/>
      <c r="IA196"/>
      <c r="IB196"/>
      <c r="IC196"/>
      <c r="ID196"/>
      <c r="IE196"/>
      <c r="IF196"/>
      <c r="IG196"/>
      <c r="IH196"/>
      <c r="II196"/>
      <c r="IJ196"/>
      <c r="IK196"/>
      <c r="IL196"/>
      <c r="IM196"/>
      <c r="IN196"/>
      <c r="IO196"/>
      <c r="IP196"/>
      <c r="IQ196"/>
      <c r="IR196"/>
      <c r="IS196"/>
      <c r="IT196"/>
      <c r="IU196"/>
      <c r="IV196"/>
    </row>
    <row r="197" spans="92:256" s="70" customFormat="1" ht="12.75" x14ac:dyDescent="0.2">
      <c r="HY197"/>
      <c r="HZ197"/>
      <c r="IA197"/>
      <c r="IB197"/>
      <c r="IC197"/>
      <c r="ID197"/>
      <c r="IE197"/>
      <c r="IF197"/>
      <c r="IG197"/>
      <c r="IH197"/>
      <c r="II197"/>
      <c r="IJ197"/>
      <c r="IK197"/>
      <c r="IL197"/>
      <c r="IM197"/>
      <c r="IN197"/>
      <c r="IO197"/>
      <c r="IP197"/>
      <c r="IQ197"/>
      <c r="IR197"/>
      <c r="IS197"/>
      <c r="IT197"/>
      <c r="IU197"/>
      <c r="IV197"/>
    </row>
    <row r="198" spans="92:256" s="70" customFormat="1" ht="12.75" x14ac:dyDescent="0.2">
      <c r="HY198"/>
      <c r="HZ198"/>
      <c r="IA198"/>
      <c r="IB198"/>
      <c r="IC198"/>
      <c r="ID198"/>
      <c r="IE198"/>
      <c r="IF198"/>
      <c r="IG198"/>
      <c r="IH198"/>
      <c r="II198"/>
      <c r="IJ198"/>
      <c r="IK198"/>
      <c r="IL198"/>
      <c r="IM198"/>
      <c r="IN198"/>
      <c r="IO198"/>
      <c r="IP198"/>
      <c r="IQ198"/>
      <c r="IR198"/>
      <c r="IS198"/>
      <c r="IT198"/>
      <c r="IU198"/>
      <c r="IV198"/>
    </row>
    <row r="199" spans="92:256" s="70" customFormat="1" ht="12.75" x14ac:dyDescent="0.2">
      <c r="HY199"/>
      <c r="HZ199"/>
      <c r="IA199"/>
      <c r="IB199"/>
      <c r="IC199"/>
      <c r="ID199"/>
      <c r="IE199"/>
      <c r="IF199"/>
      <c r="IG199"/>
      <c r="IH199"/>
      <c r="II199"/>
      <c r="IJ199"/>
      <c r="IK199"/>
      <c r="IL199"/>
      <c r="IM199"/>
      <c r="IN199"/>
      <c r="IO199"/>
      <c r="IP199"/>
      <c r="IQ199"/>
      <c r="IR199"/>
      <c r="IS199"/>
      <c r="IT199"/>
      <c r="IU199"/>
      <c r="IV199"/>
    </row>
    <row r="200" spans="92:256" s="70" customFormat="1" ht="12.75" x14ac:dyDescent="0.2">
      <c r="HY200"/>
      <c r="HZ200"/>
      <c r="IA200"/>
      <c r="IB200"/>
      <c r="IC200"/>
      <c r="ID200"/>
      <c r="IE200"/>
      <c r="IF200"/>
      <c r="IG200"/>
      <c r="IH200"/>
      <c r="II200"/>
      <c r="IJ200"/>
      <c r="IK200"/>
      <c r="IL200"/>
      <c r="IM200"/>
      <c r="IN200"/>
      <c r="IO200"/>
      <c r="IP200"/>
      <c r="IQ200"/>
      <c r="IR200"/>
      <c r="IS200"/>
      <c r="IT200"/>
      <c r="IU200"/>
      <c r="IV200"/>
    </row>
    <row r="201" spans="92:256" s="70" customFormat="1" ht="12.75" x14ac:dyDescent="0.2">
      <c r="HY201"/>
      <c r="HZ201"/>
      <c r="IA201"/>
      <c r="IB201"/>
      <c r="IC201"/>
      <c r="ID201"/>
      <c r="IE201"/>
      <c r="IF201"/>
      <c r="IG201"/>
      <c r="IH201"/>
      <c r="II201"/>
      <c r="IJ201"/>
      <c r="IK201"/>
      <c r="IL201"/>
      <c r="IM201"/>
      <c r="IN201"/>
      <c r="IO201"/>
      <c r="IP201"/>
      <c r="IQ201"/>
      <c r="IR201"/>
      <c r="IS201"/>
      <c r="IT201"/>
      <c r="IU201"/>
      <c r="IV201"/>
    </row>
    <row r="202" spans="92:256" s="70" customFormat="1" ht="12.75" x14ac:dyDescent="0.2">
      <c r="HY202"/>
      <c r="HZ202"/>
      <c r="IA202"/>
      <c r="IB202"/>
      <c r="IC202"/>
      <c r="ID202"/>
      <c r="IE202"/>
      <c r="IF202"/>
      <c r="IG202"/>
      <c r="IH202"/>
      <c r="II202"/>
      <c r="IJ202"/>
      <c r="IK202"/>
      <c r="IL202"/>
      <c r="IM202"/>
      <c r="IN202"/>
      <c r="IO202"/>
      <c r="IP202"/>
      <c r="IQ202"/>
      <c r="IR202"/>
      <c r="IS202"/>
      <c r="IT202"/>
      <c r="IU202"/>
      <c r="IV202"/>
    </row>
    <row r="203" spans="92:256" s="70" customFormat="1" ht="4.5" customHeight="1" x14ac:dyDescent="0.2">
      <c r="HY203"/>
      <c r="HZ203"/>
      <c r="IA203"/>
      <c r="IB203"/>
      <c r="IC203"/>
      <c r="ID203"/>
      <c r="IE203"/>
      <c r="IF203"/>
      <c r="IG203"/>
      <c r="IH203"/>
      <c r="II203"/>
      <c r="IJ203"/>
      <c r="IK203"/>
      <c r="IL203"/>
      <c r="IM203"/>
      <c r="IN203"/>
      <c r="IO203"/>
      <c r="IP203"/>
      <c r="IQ203"/>
      <c r="IR203"/>
      <c r="IS203"/>
      <c r="IT203"/>
      <c r="IU203"/>
      <c r="IV203"/>
    </row>
    <row r="204" spans="92:256" s="70" customFormat="1" ht="12.75" x14ac:dyDescent="0.2">
      <c r="CR204" s="199" t="s">
        <v>1541</v>
      </c>
      <c r="CS204" s="199"/>
      <c r="CT204" s="199"/>
      <c r="CU204" s="199"/>
      <c r="CV204" s="199"/>
      <c r="HY204"/>
      <c r="HZ204"/>
      <c r="IA204"/>
      <c r="IB204"/>
      <c r="IC204"/>
      <c r="ID204"/>
      <c r="IE204"/>
      <c r="IF204"/>
      <c r="IG204"/>
      <c r="IH204"/>
      <c r="II204"/>
      <c r="IJ204"/>
      <c r="IK204"/>
      <c r="IL204"/>
      <c r="IM204"/>
      <c r="IN204"/>
      <c r="IO204"/>
      <c r="IP204"/>
      <c r="IQ204"/>
      <c r="IR204"/>
      <c r="IS204"/>
      <c r="IT204"/>
      <c r="IU204"/>
      <c r="IV204"/>
    </row>
    <row r="205" spans="92:256" s="70" customFormat="1" ht="12.75" x14ac:dyDescent="0.2">
      <c r="CR205" s="247"/>
      <c r="CS205" s="247"/>
      <c r="CT205" s="247"/>
      <c r="CU205" s="247"/>
      <c r="CV205" s="247"/>
      <c r="HY205"/>
      <c r="HZ205"/>
      <c r="IA205"/>
      <c r="IB205"/>
      <c r="IC205"/>
      <c r="ID205"/>
      <c r="IE205"/>
      <c r="IF205"/>
      <c r="IG205"/>
      <c r="IH205"/>
      <c r="II205"/>
      <c r="IJ205"/>
      <c r="IK205"/>
      <c r="IL205"/>
      <c r="IM205"/>
      <c r="IN205"/>
      <c r="IO205"/>
      <c r="IP205"/>
      <c r="IQ205"/>
      <c r="IR205"/>
      <c r="IS205"/>
      <c r="IT205"/>
      <c r="IU205"/>
      <c r="IV205"/>
    </row>
    <row r="206" spans="92:256" s="70" customFormat="1" ht="12.75" x14ac:dyDescent="0.2">
      <c r="CT206" s="279" t="s">
        <v>848</v>
      </c>
      <c r="CU206" s="280" t="s">
        <v>849</v>
      </c>
      <c r="CV206" s="280" t="s">
        <v>850</v>
      </c>
      <c r="CW206" s="280" t="s">
        <v>851</v>
      </c>
      <c r="CX206" s="282">
        <v>2010</v>
      </c>
      <c r="CY206" s="280" t="s">
        <v>644</v>
      </c>
      <c r="CZ206" s="280" t="s">
        <v>1542</v>
      </c>
      <c r="DA206" s="280" t="s">
        <v>1543</v>
      </c>
      <c r="DB206" s="280" t="s">
        <v>1544</v>
      </c>
      <c r="DC206" s="279">
        <v>2011</v>
      </c>
      <c r="DD206" s="282">
        <v>2012</v>
      </c>
      <c r="DE206" s="281">
        <v>2013</v>
      </c>
      <c r="HY206"/>
      <c r="HZ206"/>
      <c r="IA206"/>
      <c r="IB206"/>
      <c r="IC206"/>
      <c r="ID206"/>
      <c r="IE206"/>
      <c r="IF206"/>
      <c r="IG206"/>
      <c r="IH206"/>
      <c r="II206"/>
      <c r="IJ206"/>
      <c r="IK206"/>
      <c r="IL206"/>
      <c r="IM206"/>
      <c r="IN206"/>
      <c r="IO206"/>
      <c r="IP206"/>
      <c r="IQ206"/>
      <c r="IR206"/>
      <c r="IS206"/>
      <c r="IT206"/>
      <c r="IU206"/>
      <c r="IV206"/>
    </row>
    <row r="207" spans="92:256" s="70" customFormat="1" ht="12.75" x14ac:dyDescent="0.2">
      <c r="CR207" s="14" t="s">
        <v>1671</v>
      </c>
      <c r="CS207" s="14"/>
      <c r="CT207" s="14"/>
      <c r="CU207" s="14"/>
      <c r="CV207" s="14"/>
      <c r="CX207" s="197"/>
      <c r="DC207" s="197"/>
      <c r="DD207" s="197"/>
      <c r="DE207" s="197"/>
      <c r="HY207"/>
      <c r="HZ207"/>
      <c r="IA207"/>
      <c r="IB207"/>
      <c r="IC207"/>
      <c r="ID207"/>
      <c r="IE207"/>
      <c r="IF207"/>
      <c r="IG207"/>
      <c r="IH207"/>
      <c r="II207"/>
      <c r="IJ207"/>
      <c r="IK207"/>
      <c r="IL207"/>
      <c r="IM207"/>
      <c r="IN207"/>
      <c r="IO207"/>
      <c r="IP207"/>
      <c r="IQ207"/>
      <c r="IR207"/>
      <c r="IS207"/>
      <c r="IT207"/>
      <c r="IU207"/>
      <c r="IV207"/>
    </row>
    <row r="208" spans="92:256" s="70" customFormat="1" ht="12.75" x14ac:dyDescent="0.2">
      <c r="CN208" s="247" t="s">
        <v>200</v>
      </c>
      <c r="CR208" s="184" t="s">
        <v>1298</v>
      </c>
      <c r="CS208" s="184"/>
      <c r="CT208" s="218">
        <f>MAR!BG112-CT243*0.66</f>
        <v>74</v>
      </c>
      <c r="CU208" s="218">
        <f>MAR!BH112-CU243*0.66</f>
        <v>109</v>
      </c>
      <c r="CV208" s="218">
        <f>MAR!BI112-CV243*0.66</f>
        <v>68</v>
      </c>
      <c r="CW208" s="218">
        <f>MAR!BJ112-CW243*0.66</f>
        <v>135</v>
      </c>
      <c r="CX208" s="65">
        <f>MAR!BK112-CX243*0.66</f>
        <v>386</v>
      </c>
      <c r="CY208" s="218">
        <f>MAR!BL112-CY243*0.66</f>
        <v>88</v>
      </c>
      <c r="CZ208" s="218">
        <f>MAR!BM112-CZ243*0.66</f>
        <v>126</v>
      </c>
      <c r="DA208" s="218">
        <f>MAR!BN112-DA243*0.66</f>
        <v>102</v>
      </c>
      <c r="DB208" s="218">
        <f>MAR!BO112-DB243*0.66</f>
        <v>159</v>
      </c>
      <c r="DC208" s="65">
        <f>MAR!BP112-DC243*0.66</f>
        <v>475</v>
      </c>
      <c r="DD208" s="65">
        <f>MAR!BU112-DD243*0.66</f>
        <v>571</v>
      </c>
      <c r="DE208" s="65">
        <f>MAR!BZ112-DE243*0.66</f>
        <v>626</v>
      </c>
      <c r="HY208"/>
      <c r="HZ208"/>
      <c r="IA208"/>
      <c r="IB208"/>
      <c r="IC208"/>
      <c r="ID208"/>
      <c r="IE208"/>
      <c r="IF208"/>
      <c r="IG208"/>
      <c r="IH208"/>
      <c r="II208"/>
      <c r="IJ208"/>
      <c r="IK208"/>
      <c r="IL208"/>
      <c r="IM208"/>
      <c r="IN208"/>
      <c r="IO208"/>
      <c r="IP208"/>
      <c r="IQ208"/>
      <c r="IR208"/>
      <c r="IS208"/>
      <c r="IT208"/>
      <c r="IU208"/>
      <c r="IV208"/>
    </row>
    <row r="209" spans="92:256" s="70" customFormat="1" ht="12.75" x14ac:dyDescent="0.2">
      <c r="CN209" s="247" t="s">
        <v>201</v>
      </c>
      <c r="CR209" s="184" t="s">
        <v>233</v>
      </c>
      <c r="CS209" s="184"/>
      <c r="CT209" s="233">
        <f>MAR!BG113</f>
        <v>39</v>
      </c>
      <c r="CU209" s="233">
        <f>MAR!BH113</f>
        <v>42</v>
      </c>
      <c r="CV209" s="233">
        <f>MAR!BI113</f>
        <v>40</v>
      </c>
      <c r="CW209" s="233">
        <f>MAR!BJ113</f>
        <v>57</v>
      </c>
      <c r="CX209" s="237">
        <f>MAR!BK113</f>
        <v>178</v>
      </c>
      <c r="CY209" s="205">
        <f>MAR!BL113</f>
        <v>35</v>
      </c>
      <c r="CZ209" s="205">
        <f>MAR!BM113</f>
        <v>41</v>
      </c>
      <c r="DA209" s="205">
        <f>MAR!BN113</f>
        <v>40</v>
      </c>
      <c r="DB209" s="205">
        <f>MAR!BO113</f>
        <v>52</v>
      </c>
      <c r="DC209" s="237">
        <f>MAR!BP113</f>
        <v>168</v>
      </c>
      <c r="DD209" s="237">
        <f>MAR!BU113</f>
        <v>145</v>
      </c>
      <c r="DE209" s="237">
        <f>MAR!BZ113</f>
        <v>127</v>
      </c>
      <c r="HY209"/>
      <c r="HZ209"/>
      <c r="IA209"/>
      <c r="IB209"/>
      <c r="IC209"/>
      <c r="ID209"/>
      <c r="IE209"/>
      <c r="IF209"/>
      <c r="IG209"/>
      <c r="IH209"/>
      <c r="II209"/>
      <c r="IJ209"/>
      <c r="IK209"/>
      <c r="IL209"/>
      <c r="IM209"/>
      <c r="IN209"/>
      <c r="IO209"/>
      <c r="IP209"/>
      <c r="IQ209"/>
      <c r="IR209"/>
      <c r="IS209"/>
      <c r="IT209"/>
      <c r="IU209"/>
      <c r="IV209"/>
    </row>
    <row r="210" spans="92:256" s="70" customFormat="1" ht="12.75" x14ac:dyDescent="0.2">
      <c r="CN210" s="247"/>
      <c r="CR210" s="326" t="s">
        <v>613</v>
      </c>
      <c r="CS210" s="184"/>
      <c r="CT210" s="233">
        <f>DU313</f>
        <v>22.75</v>
      </c>
      <c r="CU210" s="233">
        <f>DV313</f>
        <v>22.75</v>
      </c>
      <c r="CV210" s="233">
        <f>DW313</f>
        <v>22.75</v>
      </c>
      <c r="CW210" s="233">
        <f>DX313</f>
        <v>22.75</v>
      </c>
      <c r="CX210" s="237">
        <f>SUM(CT210:CW210)</f>
        <v>91</v>
      </c>
      <c r="CY210" s="233">
        <f>DZ313</f>
        <v>22.75</v>
      </c>
      <c r="CZ210" s="233">
        <f>EA313</f>
        <v>22.75</v>
      </c>
      <c r="DA210" s="233">
        <f>EB313</f>
        <v>22.75</v>
      </c>
      <c r="DB210" s="233">
        <f>EC313</f>
        <v>22.75</v>
      </c>
      <c r="DC210" s="237">
        <f>SUM(CY210:DB210)</f>
        <v>91</v>
      </c>
      <c r="DD210" s="237">
        <f>DC210</f>
        <v>91</v>
      </c>
      <c r="DE210" s="237">
        <f>DD210</f>
        <v>91</v>
      </c>
      <c r="HY210"/>
      <c r="HZ210"/>
      <c r="IA210"/>
      <c r="IB210"/>
      <c r="IC210"/>
      <c r="ID210"/>
      <c r="IE210"/>
      <c r="IF210"/>
      <c r="IG210"/>
      <c r="IH210"/>
      <c r="II210"/>
      <c r="IJ210"/>
      <c r="IK210"/>
      <c r="IL210"/>
      <c r="IM210"/>
      <c r="IN210"/>
      <c r="IO210"/>
      <c r="IP210"/>
      <c r="IQ210"/>
      <c r="IR210"/>
      <c r="IS210"/>
      <c r="IT210"/>
      <c r="IU210"/>
      <c r="IV210"/>
    </row>
    <row r="211" spans="92:256" s="70" customFormat="1" ht="12.75" x14ac:dyDescent="0.2">
      <c r="CN211" s="247" t="s">
        <v>201</v>
      </c>
      <c r="CR211" s="184" t="s">
        <v>234</v>
      </c>
      <c r="CS211" s="184"/>
      <c r="CT211" s="233">
        <f>MAR!BG114</f>
        <v>0</v>
      </c>
      <c r="CU211" s="233">
        <f>MAR!BH114</f>
        <v>0</v>
      </c>
      <c r="CV211" s="233">
        <f>MAR!BI114</f>
        <v>0</v>
      </c>
      <c r="CW211" s="233">
        <f>MAR!BJ114</f>
        <v>0</v>
      </c>
      <c r="CX211" s="237">
        <f>MAR!BK114</f>
        <v>0</v>
      </c>
      <c r="CY211" s="205">
        <f>MAR!BL114</f>
        <v>-18.75</v>
      </c>
      <c r="CZ211" s="205">
        <f>MAR!BM114</f>
        <v>-18.75</v>
      </c>
      <c r="DA211" s="205">
        <f>MAR!BN114</f>
        <v>-18.75</v>
      </c>
      <c r="DB211" s="205">
        <f>MAR!BO114</f>
        <v>-18.75</v>
      </c>
      <c r="DC211" s="237">
        <f>MAR!BP114</f>
        <v>-149</v>
      </c>
      <c r="DD211" s="237">
        <f>MAR!BU114</f>
        <v>-340.25</v>
      </c>
      <c r="DE211" s="237">
        <f>MAR!BZ114</f>
        <v>-164</v>
      </c>
      <c r="HY211"/>
      <c r="HZ211"/>
      <c r="IA211"/>
      <c r="IB211"/>
      <c r="IC211"/>
      <c r="ID211"/>
      <c r="IE211"/>
      <c r="IF211"/>
      <c r="IG211"/>
      <c r="IH211"/>
      <c r="II211"/>
      <c r="IJ211"/>
      <c r="IK211"/>
      <c r="IL211"/>
      <c r="IM211"/>
      <c r="IN211"/>
      <c r="IO211"/>
      <c r="IP211"/>
      <c r="IQ211"/>
      <c r="IR211"/>
      <c r="IS211"/>
      <c r="IT211"/>
      <c r="IU211"/>
      <c r="IV211"/>
    </row>
    <row r="212" spans="92:256" s="70" customFormat="1" ht="12.75" x14ac:dyDescent="0.2">
      <c r="CN212" s="247" t="s">
        <v>201</v>
      </c>
      <c r="CR212" s="184" t="s">
        <v>235</v>
      </c>
      <c r="CS212" s="184"/>
      <c r="CT212" s="233">
        <f>MAR!BG115</f>
        <v>-74</v>
      </c>
      <c r="CU212" s="233">
        <f>MAR!BH115</f>
        <v>101</v>
      </c>
      <c r="CV212" s="233">
        <f>MAR!BI115</f>
        <v>150</v>
      </c>
      <c r="CW212" s="233">
        <f>MAR!BJ115</f>
        <v>-57</v>
      </c>
      <c r="CX212" s="237">
        <f>MAR!BK115</f>
        <v>120</v>
      </c>
      <c r="CY212" s="205">
        <f>MAR!BL115</f>
        <v>-146</v>
      </c>
      <c r="CZ212" s="205">
        <f>MAR!BM115</f>
        <v>92</v>
      </c>
      <c r="DA212" s="205">
        <f>MAR!BN115</f>
        <v>204</v>
      </c>
      <c r="DB212" s="205">
        <f>MAR!BO115</f>
        <v>-157</v>
      </c>
      <c r="DC212" s="237">
        <f>MAR!BP115</f>
        <v>-7</v>
      </c>
      <c r="DD212" s="237">
        <f>MAR!BU115</f>
        <v>-30</v>
      </c>
      <c r="DE212" s="237">
        <f>MAR!BZ115</f>
        <v>215</v>
      </c>
      <c r="HY212"/>
      <c r="HZ212"/>
      <c r="IA212"/>
      <c r="IB212"/>
      <c r="IC212"/>
      <c r="ID212"/>
      <c r="IE212"/>
      <c r="IF212"/>
      <c r="IG212"/>
      <c r="IH212"/>
      <c r="II212"/>
      <c r="IJ212"/>
      <c r="IK212"/>
      <c r="IL212"/>
      <c r="IM212"/>
      <c r="IN212"/>
      <c r="IO212"/>
      <c r="IP212"/>
      <c r="IQ212"/>
      <c r="IR212"/>
      <c r="IS212"/>
      <c r="IT212"/>
      <c r="IU212"/>
      <c r="IV212"/>
    </row>
    <row r="213" spans="92:256" s="70" customFormat="1" ht="12.75" x14ac:dyDescent="0.2">
      <c r="CR213" s="184" t="s">
        <v>236</v>
      </c>
      <c r="CS213" s="184"/>
      <c r="CT213" s="233">
        <f>MAR!BG116</f>
        <v>44</v>
      </c>
      <c r="CU213" s="233">
        <f>MAR!BH116</f>
        <v>43</v>
      </c>
      <c r="CV213" s="233">
        <f>MAR!BI116</f>
        <v>30</v>
      </c>
      <c r="CW213" s="233">
        <f>MAR!BJ116</f>
        <v>85</v>
      </c>
      <c r="CX213" s="237">
        <f>MAR!BK116</f>
        <v>202</v>
      </c>
      <c r="CY213" s="205">
        <f>MAR!BL116</f>
        <v>68</v>
      </c>
      <c r="CZ213" s="205">
        <f>MAR!BM116</f>
        <v>42</v>
      </c>
      <c r="DA213" s="205">
        <f>MAR!BN116</f>
        <v>294</v>
      </c>
      <c r="DB213" s="205">
        <f>MAR!BO116</f>
        <v>153</v>
      </c>
      <c r="DC213" s="237">
        <f>MAR!BP116</f>
        <v>557</v>
      </c>
      <c r="DD213" s="237">
        <f>MAR!BU116</f>
        <v>303</v>
      </c>
      <c r="DE213" s="237">
        <f>MAR!BZ116</f>
        <v>172</v>
      </c>
      <c r="HY213"/>
      <c r="HZ213"/>
      <c r="IA213"/>
      <c r="IB213"/>
      <c r="IC213"/>
      <c r="ID213"/>
      <c r="IE213"/>
      <c r="IF213"/>
      <c r="IG213"/>
      <c r="IH213"/>
      <c r="II213"/>
      <c r="IJ213"/>
      <c r="IK213"/>
      <c r="IL213"/>
      <c r="IM213"/>
      <c r="IN213"/>
      <c r="IO213"/>
      <c r="IP213"/>
      <c r="IQ213"/>
      <c r="IR213"/>
      <c r="IS213"/>
      <c r="IT213"/>
      <c r="IU213"/>
      <c r="IV213"/>
    </row>
    <row r="214" spans="92:256" s="70" customFormat="1" ht="12.75" x14ac:dyDescent="0.2">
      <c r="CR214" s="287" t="s">
        <v>622</v>
      </c>
      <c r="CS214" s="287"/>
      <c r="CT214" s="238">
        <v>0</v>
      </c>
      <c r="CU214" s="238">
        <v>0</v>
      </c>
      <c r="CV214" s="238">
        <v>0</v>
      </c>
      <c r="CW214" s="238">
        <v>0</v>
      </c>
      <c r="CX214" s="239">
        <f>SUM(CT214:CW214)</f>
        <v>0</v>
      </c>
      <c r="CY214" s="210">
        <f>-(CY233-$CX$233)*0.05/4</f>
        <v>7.6125000000000007</v>
      </c>
      <c r="CZ214" s="210">
        <f>-(CZ233-$CX$233)*0.05/4</f>
        <v>6.9750000000000005</v>
      </c>
      <c r="DA214" s="210">
        <f>-(DA233-$CX$233)*0.05/4</f>
        <v>5.25</v>
      </c>
      <c r="DB214" s="210">
        <f>-(DB233-$CX$233)*0.05/4</f>
        <v>3.9750000000000001</v>
      </c>
      <c r="DC214" s="239">
        <f>SUM(CY214:DB214)</f>
        <v>23.812500000000004</v>
      </c>
      <c r="DD214" s="239">
        <f>-(DC233-CX233)*0.05-((DD233-DC233)/2)*0.05</f>
        <v>3.9105000000000008</v>
      </c>
      <c r="DE214" s="239">
        <f>-(DD233-CX233)*0.05-((DE233-DD233)/2)*0.05</f>
        <v>-7.7894999999999985</v>
      </c>
      <c r="DG214" s="247" t="s">
        <v>2235</v>
      </c>
      <c r="HY214"/>
      <c r="HZ214"/>
      <c r="IA214"/>
      <c r="IB214"/>
      <c r="IC214"/>
      <c r="ID214"/>
      <c r="IE214"/>
      <c r="IF214"/>
      <c r="IG214"/>
      <c r="IH214"/>
      <c r="II214"/>
      <c r="IJ214"/>
      <c r="IK214"/>
      <c r="IL214"/>
      <c r="IM214"/>
      <c r="IN214"/>
      <c r="IO214"/>
      <c r="IP214"/>
      <c r="IQ214"/>
      <c r="IR214"/>
      <c r="IS214"/>
      <c r="IT214"/>
      <c r="IU214"/>
      <c r="IV214"/>
    </row>
    <row r="215" spans="92:256" s="70" customFormat="1" ht="12.75" x14ac:dyDescent="0.2">
      <c r="CR215" s="14" t="s">
        <v>377</v>
      </c>
      <c r="CS215" s="14"/>
      <c r="CT215" s="225">
        <f>SUM(CT208:CT214)</f>
        <v>105.75</v>
      </c>
      <c r="CU215" s="225">
        <f>SUM(CU208:CU214)</f>
        <v>317.75</v>
      </c>
      <c r="CV215" s="225">
        <f>SUM(CV208:CV214)</f>
        <v>310.75</v>
      </c>
      <c r="CW215" s="225">
        <f>SUM(CW208:CW214)</f>
        <v>242.75</v>
      </c>
      <c r="CX215" s="73">
        <f>MAR!BK117</f>
        <v>886</v>
      </c>
      <c r="CY215" s="225">
        <f>SUM(CY208:CY214)</f>
        <v>56.612499999999997</v>
      </c>
      <c r="CZ215" s="225">
        <f>SUM(CZ208:CZ214)</f>
        <v>311.97500000000002</v>
      </c>
      <c r="DA215" s="225">
        <f>SUM(DA208:DA214)</f>
        <v>649.25</v>
      </c>
      <c r="DB215" s="225">
        <f>SUM(DB208:DB214)</f>
        <v>214.97499999999999</v>
      </c>
      <c r="DC215" s="73">
        <f>SUM(DC208:DC214)</f>
        <v>1158.8125</v>
      </c>
      <c r="DD215" s="73">
        <f>MAR!BU117</f>
        <v>648.75</v>
      </c>
      <c r="DE215" s="73">
        <f>MAR!BZ117</f>
        <v>976</v>
      </c>
      <c r="HY215"/>
      <c r="HZ215"/>
      <c r="IA215"/>
      <c r="IB215"/>
      <c r="IC215"/>
      <c r="ID215"/>
      <c r="IE215"/>
      <c r="IF215"/>
      <c r="IG215"/>
      <c r="IH215"/>
      <c r="II215"/>
      <c r="IJ215"/>
      <c r="IK215"/>
      <c r="IL215"/>
      <c r="IM215"/>
      <c r="IN215"/>
      <c r="IO215"/>
      <c r="IP215"/>
      <c r="IQ215"/>
      <c r="IR215"/>
      <c r="IS215"/>
      <c r="IT215"/>
      <c r="IU215"/>
      <c r="IV215"/>
    </row>
    <row r="216" spans="92:256" s="70" customFormat="1" ht="12.75" x14ac:dyDescent="0.2">
      <c r="CR216" s="14"/>
      <c r="CS216" s="14"/>
      <c r="CT216" s="14"/>
      <c r="CU216" s="14"/>
      <c r="CV216" s="14"/>
      <c r="CX216" s="65"/>
      <c r="CY216" s="218"/>
      <c r="CZ216" s="218"/>
      <c r="DA216" s="218"/>
      <c r="DB216" s="218"/>
      <c r="DC216" s="65"/>
      <c r="DD216" s="65"/>
      <c r="DE216" s="65"/>
      <c r="HY216"/>
      <c r="HZ216"/>
      <c r="IA216"/>
      <c r="IB216"/>
      <c r="IC216"/>
      <c r="ID216"/>
      <c r="IE216"/>
      <c r="IF216"/>
      <c r="IG216"/>
      <c r="IH216"/>
      <c r="II216"/>
      <c r="IJ216"/>
      <c r="IK216"/>
      <c r="IL216"/>
      <c r="IM216"/>
      <c r="IN216"/>
      <c r="IO216"/>
      <c r="IP216"/>
      <c r="IQ216"/>
      <c r="IR216"/>
      <c r="IS216"/>
      <c r="IT216"/>
      <c r="IU216"/>
      <c r="IV216"/>
    </row>
    <row r="217" spans="92:256" s="70" customFormat="1" ht="12.75" x14ac:dyDescent="0.2">
      <c r="CR217" s="14" t="s">
        <v>148</v>
      </c>
      <c r="CS217" s="14"/>
      <c r="CT217" s="14"/>
      <c r="CU217" s="14"/>
      <c r="CV217" s="14"/>
      <c r="CX217" s="237"/>
      <c r="CY217" s="205"/>
      <c r="CZ217" s="205"/>
      <c r="DA217" s="205"/>
      <c r="DB217" s="205"/>
      <c r="DC217" s="237"/>
      <c r="DD217" s="237"/>
      <c r="DE217" s="237"/>
      <c r="HY217"/>
      <c r="HZ217"/>
      <c r="IA217"/>
      <c r="IB217"/>
      <c r="IC217"/>
      <c r="ID217"/>
      <c r="IE217"/>
      <c r="IF217"/>
      <c r="IG217"/>
      <c r="IH217"/>
      <c r="II217"/>
      <c r="IJ217"/>
      <c r="IK217"/>
      <c r="IL217"/>
      <c r="IM217"/>
      <c r="IN217"/>
      <c r="IO217"/>
      <c r="IP217"/>
      <c r="IQ217"/>
      <c r="IR217"/>
      <c r="IS217"/>
      <c r="IT217"/>
      <c r="IU217"/>
      <c r="IV217"/>
    </row>
    <row r="218" spans="92:256" s="70" customFormat="1" ht="12.75" x14ac:dyDescent="0.2">
      <c r="CN218" s="247" t="s">
        <v>201</v>
      </c>
      <c r="CR218" s="184" t="s">
        <v>1088</v>
      </c>
      <c r="CS218" s="184"/>
      <c r="CT218" s="218">
        <f>MAR!BG118</f>
        <v>-25</v>
      </c>
      <c r="CU218" s="218">
        <f>MAR!BH118</f>
        <v>-39</v>
      </c>
      <c r="CV218" s="218">
        <f>MAR!BI118</f>
        <v>-83</v>
      </c>
      <c r="CW218" s="218">
        <f>MAR!BJ118</f>
        <v>-160</v>
      </c>
      <c r="CX218" s="65">
        <f>MAR!BK118</f>
        <v>-307</v>
      </c>
      <c r="CY218" s="218">
        <f>MAR!BL118</f>
        <v>-43.25</v>
      </c>
      <c r="CZ218" s="218">
        <f>MAR!BM118</f>
        <v>-10.25</v>
      </c>
      <c r="DA218" s="218">
        <f>MAR!BN118</f>
        <v>-18.25</v>
      </c>
      <c r="DB218" s="218">
        <f>MAR!BO118</f>
        <v>-36.25</v>
      </c>
      <c r="DC218" s="65">
        <f>MAR!BP118</f>
        <v>-108</v>
      </c>
      <c r="DD218" s="65">
        <f>MAR!BU118</f>
        <v>-349.75</v>
      </c>
      <c r="DE218" s="65">
        <f>MAR!BZ118</f>
        <v>-301</v>
      </c>
      <c r="HY218"/>
      <c r="HZ218"/>
      <c r="IA218"/>
      <c r="IB218"/>
      <c r="IC218"/>
      <c r="ID218"/>
      <c r="IE218"/>
      <c r="IF218"/>
      <c r="IG218"/>
      <c r="IH218"/>
      <c r="II218"/>
      <c r="IJ218"/>
      <c r="IK218"/>
      <c r="IL218"/>
      <c r="IM218"/>
      <c r="IN218"/>
      <c r="IO218"/>
      <c r="IP218"/>
      <c r="IQ218"/>
      <c r="IR218"/>
      <c r="IS218"/>
      <c r="IT218"/>
      <c r="IU218"/>
      <c r="IV218"/>
    </row>
    <row r="219" spans="92:256" s="70" customFormat="1" ht="12.75" x14ac:dyDescent="0.2">
      <c r="CR219" s="184" t="s">
        <v>282</v>
      </c>
      <c r="CS219" s="184"/>
      <c r="CT219" s="233">
        <f>MAR!BG119</f>
        <v>0</v>
      </c>
      <c r="CU219" s="233">
        <f>MAR!BH119</f>
        <v>0</v>
      </c>
      <c r="CV219" s="233">
        <f>MAR!BI119</f>
        <v>3</v>
      </c>
      <c r="CW219" s="233">
        <f>MAR!BJ119</f>
        <v>111</v>
      </c>
      <c r="CX219" s="237">
        <f>MAR!BK119</f>
        <v>114</v>
      </c>
      <c r="CY219" s="233">
        <f>MAR!BL119</f>
        <v>0</v>
      </c>
      <c r="CZ219" s="233">
        <f>MAR!BM119</f>
        <v>0</v>
      </c>
      <c r="DA219" s="233">
        <f>MAR!BN119</f>
        <v>1</v>
      </c>
      <c r="DB219" s="233">
        <f>MAR!BO119</f>
        <v>19</v>
      </c>
      <c r="DC219" s="237">
        <f>MAR!BP119</f>
        <v>20</v>
      </c>
      <c r="DD219" s="237">
        <f>MAR!BU119</f>
        <v>65</v>
      </c>
      <c r="DE219" s="237">
        <f>MAR!BZ119</f>
        <v>0</v>
      </c>
      <c r="HY219"/>
      <c r="HZ219"/>
      <c r="IA219"/>
      <c r="IB219"/>
      <c r="IC219"/>
      <c r="ID219"/>
      <c r="IE219"/>
      <c r="IF219"/>
      <c r="IG219"/>
      <c r="IH219"/>
      <c r="II219"/>
      <c r="IJ219"/>
      <c r="IK219"/>
      <c r="IL219"/>
      <c r="IM219"/>
      <c r="IN219"/>
      <c r="IO219"/>
      <c r="IP219"/>
      <c r="IQ219"/>
      <c r="IR219"/>
      <c r="IS219"/>
      <c r="IT219"/>
      <c r="IU219"/>
      <c r="IV219"/>
    </row>
    <row r="220" spans="92:256" s="70" customFormat="1" ht="12.75" x14ac:dyDescent="0.2">
      <c r="CR220" s="186" t="s">
        <v>283</v>
      </c>
      <c r="CS220" s="186"/>
      <c r="CT220" s="233">
        <f>MAR!BG120</f>
        <v>-2</v>
      </c>
      <c r="CU220" s="233">
        <f>MAR!BH120</f>
        <v>-8</v>
      </c>
      <c r="CV220" s="233">
        <f>MAR!BI120</f>
        <v>-6</v>
      </c>
      <c r="CW220" s="233">
        <f>MAR!BJ120</f>
        <v>-8</v>
      </c>
      <c r="CX220" s="237">
        <f>MAR!BK120</f>
        <v>-24</v>
      </c>
      <c r="CY220" s="233">
        <f>MAR!BL120</f>
        <v>-2</v>
      </c>
      <c r="CZ220" s="233">
        <f>MAR!BM120</f>
        <v>-9</v>
      </c>
      <c r="DA220" s="233">
        <f>MAR!BN120</f>
        <v>-9</v>
      </c>
      <c r="DB220" s="233">
        <f>MAR!BO120</f>
        <v>-6</v>
      </c>
      <c r="DC220" s="237">
        <f>MAR!BP120</f>
        <v>-26</v>
      </c>
      <c r="DD220" s="237">
        <f>MAR!BU120</f>
        <v>-17</v>
      </c>
      <c r="DE220" s="237">
        <f>MAR!BZ120</f>
        <v>-7</v>
      </c>
      <c r="HY220"/>
      <c r="HZ220"/>
      <c r="IA220"/>
      <c r="IB220"/>
      <c r="IC220"/>
      <c r="ID220"/>
      <c r="IE220"/>
      <c r="IF220"/>
      <c r="IG220"/>
      <c r="IH220"/>
      <c r="II220"/>
      <c r="IJ220"/>
      <c r="IK220"/>
      <c r="IL220"/>
      <c r="IM220"/>
      <c r="IN220"/>
      <c r="IO220"/>
      <c r="IP220"/>
      <c r="IQ220"/>
      <c r="IR220"/>
      <c r="IS220"/>
      <c r="IT220"/>
      <c r="IU220"/>
      <c r="IV220"/>
    </row>
    <row r="221" spans="92:256" s="70" customFormat="1" ht="12.75" x14ac:dyDescent="0.2">
      <c r="CR221" s="186" t="s">
        <v>284</v>
      </c>
      <c r="CS221" s="186"/>
      <c r="CT221" s="233">
        <f>MAR!BG121</f>
        <v>2</v>
      </c>
      <c r="CU221" s="233">
        <f>MAR!BH121</f>
        <v>7</v>
      </c>
      <c r="CV221" s="233">
        <f>MAR!BI121</f>
        <v>5</v>
      </c>
      <c r="CW221" s="233">
        <f>MAR!BJ121</f>
        <v>4</v>
      </c>
      <c r="CX221" s="237">
        <f>MAR!BK121</f>
        <v>18</v>
      </c>
      <c r="CY221" s="233">
        <f>MAR!BL121</f>
        <v>2</v>
      </c>
      <c r="CZ221" s="233">
        <f>MAR!BM121</f>
        <v>86</v>
      </c>
      <c r="DA221" s="233">
        <f>MAR!BN121</f>
        <v>21</v>
      </c>
      <c r="DB221" s="233">
        <f>MAR!BO121</f>
        <v>1</v>
      </c>
      <c r="DC221" s="237">
        <f>MAR!BP121</f>
        <v>110</v>
      </c>
      <c r="DD221" s="237">
        <f>MAR!BU121</f>
        <v>155</v>
      </c>
      <c r="DE221" s="237">
        <f>MAR!BZ121</f>
        <v>77</v>
      </c>
      <c r="HY221"/>
      <c r="HZ221"/>
      <c r="IA221"/>
      <c r="IB221"/>
      <c r="IC221"/>
      <c r="ID221"/>
      <c r="IE221"/>
      <c r="IF221"/>
      <c r="IG221"/>
      <c r="IH221"/>
      <c r="II221"/>
      <c r="IJ221"/>
      <c r="IK221"/>
      <c r="IL221"/>
      <c r="IM221"/>
      <c r="IN221"/>
      <c r="IO221"/>
      <c r="IP221"/>
      <c r="IQ221"/>
      <c r="IR221"/>
      <c r="IS221"/>
      <c r="IT221"/>
      <c r="IU221"/>
      <c r="IV221"/>
    </row>
    <row r="222" spans="92:256" s="70" customFormat="1" ht="12.75" x14ac:dyDescent="0.2">
      <c r="CR222" s="186" t="s">
        <v>1931</v>
      </c>
      <c r="CS222" s="186"/>
      <c r="CT222" s="238"/>
      <c r="CU222" s="238"/>
      <c r="CV222" s="238"/>
      <c r="CW222" s="238"/>
      <c r="CX222" s="239"/>
      <c r="CY222" s="238"/>
      <c r="CZ222" s="238"/>
      <c r="DA222" s="238"/>
      <c r="DB222" s="238"/>
      <c r="DC222" s="239"/>
      <c r="DD222" s="239"/>
      <c r="DE222" s="239"/>
      <c r="HY222"/>
      <c r="HZ222"/>
      <c r="IA222"/>
      <c r="IB222"/>
      <c r="IC222"/>
      <c r="ID222"/>
      <c r="IE222"/>
      <c r="IF222"/>
      <c r="IG222"/>
      <c r="IH222"/>
      <c r="II222"/>
      <c r="IJ222"/>
      <c r="IK222"/>
      <c r="IL222"/>
      <c r="IM222"/>
      <c r="IN222"/>
      <c r="IO222"/>
      <c r="IP222"/>
      <c r="IQ222"/>
      <c r="IR222"/>
      <c r="IS222"/>
      <c r="IT222"/>
      <c r="IU222"/>
      <c r="IV222"/>
    </row>
    <row r="223" spans="92:256" s="70" customFormat="1" ht="12.75" x14ac:dyDescent="0.2">
      <c r="CR223" s="14" t="s">
        <v>148</v>
      </c>
      <c r="CS223" s="14"/>
      <c r="CT223" s="225"/>
      <c r="CU223" s="225"/>
      <c r="CV223" s="225"/>
      <c r="CW223" s="225"/>
      <c r="CX223" s="73"/>
      <c r="CY223" s="225"/>
      <c r="CZ223" s="225"/>
      <c r="DA223" s="225"/>
      <c r="DB223" s="225"/>
      <c r="DC223" s="73"/>
      <c r="DD223" s="73"/>
      <c r="DE223" s="73"/>
      <c r="HY223"/>
      <c r="HZ223"/>
      <c r="IA223"/>
      <c r="IB223"/>
      <c r="IC223"/>
      <c r="ID223"/>
      <c r="IE223"/>
      <c r="IF223"/>
      <c r="IG223"/>
      <c r="IH223"/>
      <c r="II223"/>
      <c r="IJ223"/>
      <c r="IK223"/>
      <c r="IL223"/>
      <c r="IM223"/>
      <c r="IN223"/>
      <c r="IO223"/>
      <c r="IP223"/>
      <c r="IQ223"/>
      <c r="IR223"/>
      <c r="IS223"/>
      <c r="IT223"/>
      <c r="IU223"/>
      <c r="IV223"/>
    </row>
    <row r="224" spans="92:256" s="70" customFormat="1" ht="12.75" x14ac:dyDescent="0.2">
      <c r="CR224" s="14"/>
      <c r="CS224" s="14"/>
      <c r="CT224" s="14"/>
      <c r="CU224" s="14"/>
      <c r="CV224" s="14"/>
      <c r="CX224" s="65"/>
      <c r="CY224" s="218"/>
      <c r="CZ224" s="218"/>
      <c r="DA224" s="218"/>
      <c r="DB224" s="218"/>
      <c r="DC224" s="65"/>
      <c r="DD224" s="65"/>
      <c r="DE224" s="65"/>
      <c r="HY224"/>
      <c r="HZ224"/>
      <c r="IA224"/>
      <c r="IB224"/>
      <c r="IC224"/>
      <c r="ID224"/>
      <c r="IE224"/>
      <c r="IF224"/>
      <c r="IG224"/>
      <c r="IH224"/>
      <c r="II224"/>
      <c r="IJ224"/>
      <c r="IK224"/>
      <c r="IL224"/>
      <c r="IM224"/>
      <c r="IN224"/>
      <c r="IO224"/>
      <c r="IP224"/>
      <c r="IQ224"/>
      <c r="IR224"/>
      <c r="IS224"/>
      <c r="IT224"/>
      <c r="IU224"/>
      <c r="IV224"/>
    </row>
    <row r="225" spans="96:256" s="70" customFormat="1" ht="12.75" x14ac:dyDescent="0.2">
      <c r="CR225" s="14" t="s">
        <v>149</v>
      </c>
      <c r="CS225" s="14"/>
      <c r="CT225" s="225"/>
      <c r="CU225" s="225"/>
      <c r="CV225" s="225"/>
      <c r="CW225" s="225"/>
      <c r="CX225" s="73"/>
      <c r="CY225" s="225"/>
      <c r="CZ225" s="225"/>
      <c r="DA225" s="225"/>
      <c r="DB225" s="225"/>
      <c r="DC225" s="73"/>
      <c r="DD225" s="73"/>
      <c r="DE225" s="73"/>
      <c r="HY225"/>
      <c r="HZ225"/>
      <c r="IA225"/>
      <c r="IB225"/>
      <c r="IC225"/>
      <c r="ID225"/>
      <c r="IE225"/>
      <c r="IF225"/>
      <c r="IG225"/>
      <c r="IH225"/>
      <c r="II225"/>
      <c r="IJ225"/>
      <c r="IK225"/>
      <c r="IL225"/>
      <c r="IM225"/>
      <c r="IN225"/>
      <c r="IO225"/>
      <c r="IP225"/>
      <c r="IQ225"/>
      <c r="IR225"/>
      <c r="IS225"/>
      <c r="IT225"/>
      <c r="IU225"/>
      <c r="IV225"/>
    </row>
    <row r="226" spans="96:256" s="70" customFormat="1" ht="12.75" x14ac:dyDescent="0.2">
      <c r="CR226" s="14"/>
      <c r="CS226" s="14"/>
      <c r="CT226" s="14"/>
      <c r="CU226" s="14"/>
      <c r="CV226" s="14"/>
      <c r="CX226" s="237"/>
      <c r="CY226" s="205"/>
      <c r="CZ226" s="205"/>
      <c r="DA226" s="205"/>
      <c r="DB226" s="205"/>
      <c r="DC226" s="237"/>
      <c r="DD226" s="237"/>
      <c r="DE226" s="237"/>
      <c r="HY226"/>
      <c r="HZ226"/>
      <c r="IA226"/>
      <c r="IB226"/>
      <c r="IC226"/>
      <c r="ID226"/>
      <c r="IE226"/>
      <c r="IF226"/>
      <c r="IG226"/>
      <c r="IH226"/>
      <c r="II226"/>
      <c r="IJ226"/>
      <c r="IK226"/>
      <c r="IL226"/>
      <c r="IM226"/>
      <c r="IN226"/>
      <c r="IO226"/>
      <c r="IP226"/>
      <c r="IQ226"/>
      <c r="IR226"/>
      <c r="IS226"/>
      <c r="IT226"/>
      <c r="IU226"/>
      <c r="IV226"/>
    </row>
    <row r="227" spans="96:256" s="70" customFormat="1" ht="12.75" x14ac:dyDescent="0.2">
      <c r="CR227" s="277" t="s">
        <v>157</v>
      </c>
      <c r="CS227" s="277"/>
      <c r="CT227" s="277"/>
      <c r="CU227" s="277"/>
      <c r="CV227" s="277"/>
      <c r="CX227" s="324"/>
      <c r="CY227" s="325"/>
      <c r="CZ227" s="325"/>
      <c r="DA227" s="325"/>
      <c r="DB227" s="325"/>
      <c r="DC227" s="324"/>
      <c r="DD227" s="324"/>
      <c r="DE227" s="324"/>
      <c r="HY227"/>
      <c r="HZ227"/>
      <c r="IA227"/>
      <c r="IB227"/>
      <c r="IC227"/>
      <c r="ID227"/>
      <c r="IE227"/>
      <c r="IF227"/>
      <c r="IG227"/>
      <c r="IH227"/>
      <c r="II227"/>
      <c r="IJ227"/>
      <c r="IK227"/>
      <c r="IL227"/>
      <c r="IM227"/>
      <c r="IN227"/>
      <c r="IO227"/>
      <c r="IP227"/>
      <c r="IQ227"/>
      <c r="IR227"/>
      <c r="IS227"/>
      <c r="IT227"/>
      <c r="IU227"/>
      <c r="IV227"/>
    </row>
    <row r="228" spans="96:256" s="70" customFormat="1" ht="12.75" x14ac:dyDescent="0.2">
      <c r="CR228" s="278" t="s">
        <v>158</v>
      </c>
      <c r="CS228" s="278"/>
      <c r="CT228" s="278"/>
      <c r="CU228" s="278"/>
      <c r="CV228" s="278"/>
      <c r="CX228" s="237"/>
      <c r="CY228" s="205"/>
      <c r="CZ228" s="205"/>
      <c r="DA228" s="205"/>
      <c r="DB228" s="205"/>
      <c r="DC228" s="237"/>
      <c r="DD228" s="237"/>
      <c r="DE228" s="237"/>
      <c r="HY228"/>
      <c r="HZ228"/>
      <c r="IA228"/>
      <c r="IB228"/>
      <c r="IC228"/>
      <c r="ID228"/>
      <c r="IE228"/>
      <c r="IF228"/>
      <c r="IG228"/>
      <c r="IH228"/>
      <c r="II228"/>
      <c r="IJ228"/>
      <c r="IK228"/>
      <c r="IL228"/>
      <c r="IM228"/>
      <c r="IN228"/>
      <c r="IO228"/>
      <c r="IP228"/>
      <c r="IQ228"/>
      <c r="IR228"/>
      <c r="IS228"/>
      <c r="IT228"/>
      <c r="IU228"/>
      <c r="IV228"/>
    </row>
    <row r="229" spans="96:256" s="70" customFormat="1" ht="12.75" x14ac:dyDescent="0.2">
      <c r="CR229" s="59" t="s">
        <v>1340</v>
      </c>
      <c r="CS229" s="59"/>
      <c r="CT229" s="59"/>
      <c r="CU229" s="59"/>
      <c r="CV229" s="59"/>
      <c r="CX229" s="237"/>
      <c r="CY229" s="205"/>
      <c r="CZ229" s="205"/>
      <c r="DA229" s="205"/>
      <c r="DB229" s="205"/>
      <c r="DC229" s="237"/>
      <c r="DD229" s="237"/>
      <c r="DE229" s="237"/>
      <c r="HY229"/>
      <c r="HZ229"/>
      <c r="IA229"/>
      <c r="IB229"/>
      <c r="IC229"/>
      <c r="ID229"/>
      <c r="IE229"/>
      <c r="IF229"/>
      <c r="IG229"/>
      <c r="IH229"/>
      <c r="II229"/>
      <c r="IJ229"/>
      <c r="IK229"/>
      <c r="IL229"/>
      <c r="IM229"/>
      <c r="IN229"/>
      <c r="IO229"/>
      <c r="IP229"/>
      <c r="IQ229"/>
      <c r="IR229"/>
      <c r="IS229"/>
      <c r="IT229"/>
      <c r="IU229"/>
      <c r="IV229"/>
    </row>
    <row r="230" spans="96:256" s="70" customFormat="1" ht="13.5" thickBot="1" x14ac:dyDescent="0.25">
      <c r="CR230" s="59"/>
      <c r="CS230" s="59"/>
      <c r="CT230" s="59"/>
      <c r="CU230" s="59"/>
      <c r="CV230" s="59"/>
      <c r="CX230" s="284"/>
      <c r="CY230" s="205"/>
      <c r="CZ230" s="205"/>
      <c r="DA230" s="205"/>
      <c r="DB230" s="205"/>
      <c r="DC230" s="284"/>
      <c r="DD230" s="284"/>
      <c r="DE230" s="284"/>
      <c r="HY230"/>
      <c r="HZ230"/>
      <c r="IA230"/>
      <c r="IB230"/>
      <c r="IC230"/>
      <c r="ID230"/>
      <c r="IE230"/>
      <c r="IF230"/>
      <c r="IG230"/>
      <c r="IH230"/>
      <c r="II230"/>
      <c r="IJ230"/>
      <c r="IK230"/>
      <c r="IL230"/>
      <c r="IM230"/>
      <c r="IN230"/>
      <c r="IO230"/>
      <c r="IP230"/>
      <c r="IQ230"/>
      <c r="IR230"/>
      <c r="IS230"/>
      <c r="IT230"/>
      <c r="IU230"/>
      <c r="IV230"/>
    </row>
    <row r="231" spans="96:256" s="70" customFormat="1" ht="13.5" thickBot="1" x14ac:dyDescent="0.25">
      <c r="CR231" s="290" t="s">
        <v>624</v>
      </c>
      <c r="CS231" s="291"/>
      <c r="CT231" s="291"/>
      <c r="CU231" s="291"/>
      <c r="CV231" s="291"/>
      <c r="CW231" s="244"/>
      <c r="CX231" s="292"/>
      <c r="CY231" s="293"/>
      <c r="CZ231" s="293"/>
      <c r="DA231" s="293"/>
      <c r="DB231" s="293"/>
      <c r="DC231" s="292"/>
      <c r="DD231" s="292"/>
      <c r="DE231" s="295"/>
      <c r="DG231" s="296">
        <f>SUM(DC231:DE231)</f>
        <v>0</v>
      </c>
      <c r="DH231" s="70" t="s">
        <v>625</v>
      </c>
      <c r="HY231"/>
      <c r="HZ231"/>
      <c r="IA231"/>
      <c r="IB231"/>
      <c r="IC231"/>
      <c r="ID231"/>
      <c r="IE231"/>
      <c r="IF231"/>
      <c r="IG231"/>
      <c r="IH231"/>
      <c r="II231"/>
      <c r="IJ231"/>
      <c r="IK231"/>
      <c r="IL231"/>
      <c r="IM231"/>
      <c r="IN231"/>
      <c r="IO231"/>
      <c r="IP231"/>
      <c r="IQ231"/>
      <c r="IR231"/>
      <c r="IS231"/>
      <c r="IT231"/>
      <c r="IU231"/>
      <c r="IV231"/>
    </row>
    <row r="232" spans="96:256" s="70" customFormat="1" ht="12.75" x14ac:dyDescent="0.2">
      <c r="CR232" s="191"/>
      <c r="CS232" s="191"/>
      <c r="CT232" s="191"/>
      <c r="CU232" s="191"/>
      <c r="CV232" s="191"/>
      <c r="CX232" s="237"/>
      <c r="CY232" s="205"/>
      <c r="CZ232" s="205"/>
      <c r="DA232" s="205"/>
      <c r="DB232" s="205"/>
      <c r="DC232" s="283"/>
      <c r="DD232" s="237"/>
      <c r="DE232" s="206"/>
      <c r="DG232" s="289" t="s">
        <v>1780</v>
      </c>
      <c r="HY232"/>
      <c r="HZ232"/>
      <c r="IA232"/>
      <c r="IB232"/>
      <c r="IC232"/>
      <c r="ID232"/>
      <c r="IE232"/>
      <c r="IF232"/>
      <c r="IG232"/>
      <c r="IH232"/>
      <c r="II232"/>
      <c r="IJ232"/>
      <c r="IK232"/>
      <c r="IL232"/>
      <c r="IM232"/>
      <c r="IN232"/>
      <c r="IO232"/>
      <c r="IP232"/>
      <c r="IQ232"/>
      <c r="IR232"/>
      <c r="IS232"/>
      <c r="IT232"/>
      <c r="IU232"/>
      <c r="IV232"/>
    </row>
    <row r="233" spans="96:256" s="70" customFormat="1" ht="12.75" x14ac:dyDescent="0.2">
      <c r="CR233" s="48" t="s">
        <v>1703</v>
      </c>
      <c r="CS233" s="48"/>
      <c r="CT233" s="218">
        <f>SUM(MAR!BG837:BG864)</f>
        <v>4501</v>
      </c>
      <c r="CU233" s="218">
        <f>SUM(MAR!BH837:BH864)</f>
        <v>4443</v>
      </c>
      <c r="CV233" s="218">
        <f>SUM(MAR!BI837:BI864)</f>
        <v>4356</v>
      </c>
      <c r="CW233" s="218">
        <f>SUM(MAR!BJ837:BJ864)</f>
        <v>4460</v>
      </c>
      <c r="CX233" s="65">
        <f>SUM(MAR!BK837:BK864)-1016</f>
        <v>3444</v>
      </c>
      <c r="CY233" s="218">
        <f>CY235+CY234</f>
        <v>2835</v>
      </c>
      <c r="CZ233" s="218">
        <f>CZ235+CZ234</f>
        <v>2886</v>
      </c>
      <c r="DA233" s="218">
        <f>DA235+DA234</f>
        <v>3024</v>
      </c>
      <c r="DB233" s="218">
        <f>DB235+DB234</f>
        <v>3126</v>
      </c>
      <c r="DC233" s="66">
        <f>DB233</f>
        <v>3126</v>
      </c>
      <c r="DD233" s="65">
        <f>DD235+DD234</f>
        <v>3605.58</v>
      </c>
      <c r="DE233" s="65">
        <f>DE235+DE234</f>
        <v>3594</v>
      </c>
      <c r="DG233" s="70">
        <f>DG231/34.57</f>
        <v>0</v>
      </c>
      <c r="DI233" s="311"/>
      <c r="HY233"/>
      <c r="HZ233"/>
      <c r="IA233"/>
      <c r="IB233"/>
      <c r="IC233"/>
      <c r="ID233"/>
      <c r="IE233"/>
      <c r="IF233"/>
      <c r="IG233"/>
      <c r="IH233"/>
      <c r="II233"/>
      <c r="IJ233"/>
      <c r="IK233"/>
      <c r="IL233"/>
      <c r="IM233"/>
      <c r="IN233"/>
      <c r="IO233"/>
      <c r="IP233"/>
      <c r="IQ233"/>
      <c r="IR233"/>
      <c r="IS233"/>
      <c r="IT233"/>
      <c r="IU233"/>
      <c r="IV233"/>
    </row>
    <row r="234" spans="96:256" s="70" customFormat="1" ht="12.75" x14ac:dyDescent="0.2">
      <c r="CR234" s="48" t="s">
        <v>791</v>
      </c>
      <c r="CS234" s="48"/>
      <c r="CT234" s="238">
        <f>MAR!BG745</f>
        <v>118</v>
      </c>
      <c r="CU234" s="238">
        <f>MAR!BH745</f>
        <v>100</v>
      </c>
      <c r="CV234" s="238">
        <f>MAR!BI745</f>
        <v>223</v>
      </c>
      <c r="CW234" s="242">
        <f>MAR!BJ745</f>
        <v>505</v>
      </c>
      <c r="CX234" s="239">
        <f>MAR!BK745</f>
        <v>505</v>
      </c>
      <c r="CY234" s="240">
        <v>150</v>
      </c>
      <c r="CZ234" s="240">
        <v>150</v>
      </c>
      <c r="DA234" s="240">
        <v>150</v>
      </c>
      <c r="DB234" s="240">
        <v>150</v>
      </c>
      <c r="DC234" s="294">
        <f>DB234</f>
        <v>150</v>
      </c>
      <c r="DD234" s="241">
        <f>DC234</f>
        <v>150</v>
      </c>
      <c r="DE234" s="211">
        <f>DD234</f>
        <v>150</v>
      </c>
      <c r="HY234"/>
      <c r="HZ234"/>
      <c r="IA234"/>
      <c r="IB234"/>
      <c r="IC234"/>
      <c r="ID234"/>
      <c r="IE234"/>
      <c r="IF234"/>
      <c r="IG234"/>
      <c r="IH234"/>
      <c r="II234"/>
      <c r="IJ234"/>
      <c r="IK234"/>
      <c r="IL234"/>
      <c r="IM234"/>
      <c r="IN234"/>
      <c r="IO234"/>
      <c r="IP234"/>
      <c r="IQ234"/>
      <c r="IR234"/>
      <c r="IS234"/>
      <c r="IT234"/>
      <c r="IU234"/>
      <c r="IV234"/>
    </row>
    <row r="235" spans="96:256" s="70" customFormat="1" ht="12.75" x14ac:dyDescent="0.2">
      <c r="CR235" s="184" t="s">
        <v>1914</v>
      </c>
      <c r="CS235" s="184"/>
      <c r="CT235" s="218">
        <f>CT233-CT234</f>
        <v>4383</v>
      </c>
      <c r="CU235" s="218">
        <f>CU233-CU234</f>
        <v>4343</v>
      </c>
      <c r="CV235" s="218">
        <f>CV233-CV234</f>
        <v>4133</v>
      </c>
      <c r="CW235" s="218">
        <f>CW233-CW234</f>
        <v>3955</v>
      </c>
      <c r="CX235" s="65">
        <f>CX233-CX234</f>
        <v>2939</v>
      </c>
      <c r="CY235" s="218">
        <f>CY246*CY248</f>
        <v>2685</v>
      </c>
      <c r="CZ235" s="218">
        <f>CZ246*CZ248</f>
        <v>2736</v>
      </c>
      <c r="DA235" s="218">
        <f>DA246*DA248</f>
        <v>2874</v>
      </c>
      <c r="DB235" s="218">
        <f>DB246*DB248</f>
        <v>2976</v>
      </c>
      <c r="DC235" s="66">
        <f>DB235</f>
        <v>2976</v>
      </c>
      <c r="DD235" s="65">
        <f>DD246*DD248</f>
        <v>3455.58</v>
      </c>
      <c r="DE235" s="64">
        <f>DE246*DE248</f>
        <v>3444</v>
      </c>
      <c r="DG235" s="247" t="s">
        <v>626</v>
      </c>
      <c r="HY235"/>
      <c r="HZ235"/>
      <c r="IA235"/>
      <c r="IB235"/>
      <c r="IC235"/>
      <c r="ID235"/>
      <c r="IE235"/>
      <c r="IF235"/>
      <c r="IG235"/>
      <c r="IH235"/>
      <c r="II235"/>
      <c r="IJ235"/>
      <c r="IK235"/>
      <c r="IL235"/>
      <c r="IM235"/>
      <c r="IN235"/>
      <c r="IO235"/>
      <c r="IP235"/>
      <c r="IQ235"/>
      <c r="IR235"/>
      <c r="IS235"/>
      <c r="IT235"/>
      <c r="IU235"/>
      <c r="IV235"/>
    </row>
    <row r="236" spans="96:256" s="70" customFormat="1" ht="12.75" x14ac:dyDescent="0.2">
      <c r="CR236" s="184"/>
      <c r="CS236" s="184"/>
      <c r="CT236" s="218"/>
      <c r="CU236" s="218"/>
      <c r="CV236" s="218"/>
      <c r="CW236" s="218"/>
      <c r="CX236" s="65"/>
      <c r="CY236" s="218"/>
      <c r="CZ236" s="218"/>
      <c r="DA236" s="218"/>
      <c r="DB236" s="218"/>
      <c r="DC236" s="66"/>
      <c r="DD236" s="65"/>
      <c r="DE236" s="64"/>
      <c r="DG236" s="247"/>
      <c r="HY236"/>
      <c r="HZ236"/>
      <c r="IA236"/>
      <c r="IB236"/>
      <c r="IC236"/>
      <c r="ID236"/>
      <c r="IE236"/>
      <c r="IF236"/>
      <c r="IG236"/>
      <c r="IH236"/>
      <c r="II236"/>
      <c r="IJ236"/>
      <c r="IK236"/>
      <c r="IL236"/>
      <c r="IM236"/>
      <c r="IN236"/>
      <c r="IO236"/>
      <c r="IP236"/>
      <c r="IQ236"/>
      <c r="IR236"/>
      <c r="IS236"/>
      <c r="IT236"/>
      <c r="IU236"/>
      <c r="IV236"/>
    </row>
    <row r="237" spans="96:256" s="70" customFormat="1" ht="12.75" x14ac:dyDescent="0.2">
      <c r="CR237" s="12" t="s">
        <v>41</v>
      </c>
      <c r="CS237" s="184"/>
      <c r="CT237" s="218"/>
      <c r="CU237" s="218"/>
      <c r="CV237" s="218"/>
      <c r="CW237" s="218"/>
      <c r="CX237" s="65"/>
      <c r="CY237" s="218">
        <f>SUM(MAR!BL837:BL864)</f>
        <v>4447</v>
      </c>
      <c r="CZ237" s="218">
        <f>SUM(MAR!BM837:BM864)</f>
        <v>4398</v>
      </c>
      <c r="DA237" s="218">
        <f>SUM(MAR!BN837:BN864)</f>
        <v>4333</v>
      </c>
      <c r="DB237" s="218">
        <f>SUM(MAR!BO837:BO864)</f>
        <v>3474</v>
      </c>
      <c r="DC237" s="65">
        <f>SUM(MAR!BP837:BP864)</f>
        <v>3474</v>
      </c>
      <c r="DD237" s="65">
        <f>SUM(MAR!BU837:BU864)</f>
        <v>4652</v>
      </c>
      <c r="DE237" s="65">
        <f>SUM(MAR!BZ837:BZ864)</f>
        <v>4550</v>
      </c>
      <c r="DG237" s="247"/>
      <c r="HY237"/>
      <c r="HZ237"/>
      <c r="IA237"/>
      <c r="IB237"/>
      <c r="IC237"/>
      <c r="ID237"/>
      <c r="IE237"/>
      <c r="IF237"/>
      <c r="IG237"/>
      <c r="IH237"/>
      <c r="II237"/>
      <c r="IJ237"/>
      <c r="IK237"/>
      <c r="IL237"/>
      <c r="IM237"/>
      <c r="IN237"/>
      <c r="IO237"/>
      <c r="IP237"/>
      <c r="IQ237"/>
      <c r="IR237"/>
      <c r="IS237"/>
      <c r="IT237"/>
      <c r="IU237"/>
      <c r="IV237"/>
    </row>
    <row r="238" spans="96:256" s="70" customFormat="1" ht="12.75" x14ac:dyDescent="0.2">
      <c r="CR238" s="12" t="s">
        <v>42</v>
      </c>
      <c r="CS238" s="184"/>
      <c r="CT238" s="218"/>
      <c r="CU238" s="218"/>
      <c r="CV238" s="218"/>
      <c r="CW238" s="218"/>
      <c r="CX238" s="65"/>
      <c r="CY238" s="218">
        <f>CY235-CY237</f>
        <v>-1762</v>
      </c>
      <c r="CZ238" s="218">
        <f t="shared" ref="CZ238:DE238" si="25">CZ235-CZ237</f>
        <v>-1662</v>
      </c>
      <c r="DA238" s="218">
        <f t="shared" si="25"/>
        <v>-1459</v>
      </c>
      <c r="DB238" s="218">
        <f t="shared" si="25"/>
        <v>-498</v>
      </c>
      <c r="DC238" s="65">
        <f t="shared" si="25"/>
        <v>-498</v>
      </c>
      <c r="DD238" s="65">
        <f t="shared" si="25"/>
        <v>-1196.42</v>
      </c>
      <c r="DE238" s="65">
        <f t="shared" si="25"/>
        <v>-1106</v>
      </c>
      <c r="DG238" s="247"/>
      <c r="HY238"/>
      <c r="HZ238"/>
      <c r="IA238"/>
      <c r="IB238"/>
      <c r="IC238"/>
      <c r="ID238"/>
      <c r="IE238"/>
      <c r="IF238"/>
      <c r="IG238"/>
      <c r="IH238"/>
      <c r="II238"/>
      <c r="IJ238"/>
      <c r="IK238"/>
      <c r="IL238"/>
      <c r="IM238"/>
      <c r="IN238"/>
      <c r="IO238"/>
      <c r="IP238"/>
      <c r="IQ238"/>
      <c r="IR238"/>
      <c r="IS238"/>
      <c r="IT238"/>
      <c r="IU238"/>
      <c r="IV238"/>
    </row>
    <row r="239" spans="96:256" s="70" customFormat="1" ht="12.75" x14ac:dyDescent="0.2">
      <c r="CR239" s="184"/>
      <c r="CS239" s="184"/>
      <c r="CT239" s="218"/>
      <c r="CU239" s="218"/>
      <c r="CV239" s="218"/>
      <c r="CW239" s="218"/>
      <c r="CX239" s="65"/>
      <c r="CY239" s="218"/>
      <c r="CZ239" s="218"/>
      <c r="DA239" s="218"/>
      <c r="DB239" s="218"/>
      <c r="DC239" s="66"/>
      <c r="DD239" s="65"/>
      <c r="DE239" s="64"/>
      <c r="DG239" s="247"/>
      <c r="HY239"/>
      <c r="HZ239"/>
      <c r="IA239"/>
      <c r="IB239"/>
      <c r="IC239"/>
      <c r="ID239"/>
      <c r="IE239"/>
      <c r="IF239"/>
      <c r="IG239"/>
      <c r="IH239"/>
      <c r="II239"/>
      <c r="IJ239"/>
      <c r="IK239"/>
      <c r="IL239"/>
      <c r="IM239"/>
      <c r="IN239"/>
      <c r="IO239"/>
      <c r="IP239"/>
      <c r="IQ239"/>
      <c r="IR239"/>
      <c r="IS239"/>
      <c r="IT239"/>
      <c r="IU239"/>
      <c r="IV239"/>
    </row>
    <row r="240" spans="96:256" s="70" customFormat="1" ht="12.75" x14ac:dyDescent="0.2">
      <c r="CR240" s="58" t="s">
        <v>198</v>
      </c>
      <c r="CS240" s="184"/>
      <c r="CT240" s="218"/>
      <c r="CU240" s="218"/>
      <c r="CV240" s="218"/>
      <c r="CW240" s="218"/>
      <c r="CX240" s="65"/>
      <c r="CY240" s="218"/>
      <c r="CZ240" s="218"/>
      <c r="DA240" s="218"/>
      <c r="DB240" s="218"/>
      <c r="DC240" s="66"/>
      <c r="DD240" s="65"/>
      <c r="DE240" s="64"/>
      <c r="DG240" s="247"/>
      <c r="HY240"/>
      <c r="HZ240"/>
      <c r="IA240"/>
      <c r="IB240"/>
      <c r="IC240"/>
      <c r="ID240"/>
      <c r="IE240"/>
      <c r="IF240"/>
      <c r="IG240"/>
      <c r="IH240"/>
      <c r="II240"/>
      <c r="IJ240"/>
      <c r="IK240"/>
      <c r="IL240"/>
      <c r="IM240"/>
      <c r="IN240"/>
      <c r="IO240"/>
      <c r="IP240"/>
      <c r="IQ240"/>
      <c r="IR240"/>
      <c r="IS240"/>
      <c r="IT240"/>
      <c r="IU240"/>
      <c r="IV240"/>
    </row>
    <row r="241" spans="96:256" s="70" customFormat="1" ht="12.75" x14ac:dyDescent="0.2">
      <c r="CR241" s="308" t="s">
        <v>122</v>
      </c>
      <c r="CS241" s="184"/>
      <c r="CT241" s="218">
        <f>MAR!BG13</f>
        <v>0</v>
      </c>
      <c r="CU241" s="218">
        <f>MAR!BH13</f>
        <v>0</v>
      </c>
      <c r="CV241" s="218">
        <f>MAR!BI13</f>
        <v>0</v>
      </c>
      <c r="CW241" s="218">
        <f>MAR!BJ13</f>
        <v>0</v>
      </c>
      <c r="CX241" s="65">
        <f>MAR!BK13</f>
        <v>0</v>
      </c>
      <c r="CY241" s="218">
        <f>MAR!BL13</f>
        <v>0</v>
      </c>
      <c r="CZ241" s="218">
        <f>MAR!BM13</f>
        <v>0</v>
      </c>
      <c r="DA241" s="218">
        <f>MAR!BN13</f>
        <v>0</v>
      </c>
      <c r="DB241" s="218">
        <f>MAR!BO13</f>
        <v>0</v>
      </c>
      <c r="DC241" s="66">
        <f>MAR!BP13</f>
        <v>0</v>
      </c>
      <c r="DD241" s="65">
        <f>MAR!BU13</f>
        <v>0</v>
      </c>
      <c r="DE241" s="64">
        <f>MAR!BZ13</f>
        <v>0</v>
      </c>
      <c r="DG241" s="247"/>
      <c r="HY241"/>
      <c r="HZ241"/>
      <c r="IA241"/>
      <c r="IB241"/>
      <c r="IC241"/>
      <c r="ID241"/>
      <c r="IE241"/>
      <c r="IF241"/>
      <c r="IG241"/>
      <c r="IH241"/>
      <c r="II241"/>
      <c r="IJ241"/>
      <c r="IK241"/>
      <c r="IL241"/>
      <c r="IM241"/>
      <c r="IN241"/>
      <c r="IO241"/>
      <c r="IP241"/>
      <c r="IQ241"/>
      <c r="IR241"/>
      <c r="IS241"/>
      <c r="IT241"/>
      <c r="IU241"/>
      <c r="IV241"/>
    </row>
    <row r="242" spans="96:256" s="70" customFormat="1" ht="12.75" x14ac:dyDescent="0.2">
      <c r="CR242" s="308" t="s">
        <v>1369</v>
      </c>
      <c r="CS242" s="184"/>
      <c r="CT242" s="218">
        <f>MAR!BG27</f>
        <v>0</v>
      </c>
      <c r="CU242" s="218">
        <f>MAR!BH27</f>
        <v>0</v>
      </c>
      <c r="CV242" s="218">
        <f>MAR!BI27</f>
        <v>0</v>
      </c>
      <c r="CW242" s="218">
        <f>MAR!BJ27</f>
        <v>0</v>
      </c>
      <c r="CX242" s="65">
        <f>MAR!BK27</f>
        <v>0</v>
      </c>
      <c r="CY242" s="218">
        <f>MAR!BL27</f>
        <v>0</v>
      </c>
      <c r="CZ242" s="218">
        <f>MAR!BM27</f>
        <v>0</v>
      </c>
      <c r="DA242" s="218">
        <f>MAR!BN27</f>
        <v>0</v>
      </c>
      <c r="DB242" s="218">
        <f>MAR!BO27</f>
        <v>0</v>
      </c>
      <c r="DC242" s="66">
        <f>MAR!BP27</f>
        <v>0</v>
      </c>
      <c r="DD242" s="65">
        <f>MAR!BU27</f>
        <v>0</v>
      </c>
      <c r="DE242" s="64">
        <f>MAR!BZ27</f>
        <v>0</v>
      </c>
      <c r="DG242" s="247"/>
      <c r="HY242"/>
      <c r="HZ242"/>
      <c r="IA242"/>
      <c r="IB242"/>
      <c r="IC242"/>
      <c r="ID242"/>
      <c r="IE242"/>
      <c r="IF242"/>
      <c r="IG242"/>
      <c r="IH242"/>
      <c r="II242"/>
      <c r="IJ242"/>
      <c r="IK242"/>
      <c r="IL242"/>
      <c r="IM242"/>
      <c r="IN242"/>
      <c r="IO242"/>
      <c r="IP242"/>
      <c r="IQ242"/>
      <c r="IR242"/>
      <c r="IS242"/>
      <c r="IT242"/>
      <c r="IU242"/>
      <c r="IV242"/>
    </row>
    <row r="243" spans="96:256" s="70" customFormat="1" ht="12.75" x14ac:dyDescent="0.2">
      <c r="CR243" s="58" t="s">
        <v>199</v>
      </c>
      <c r="CS243" s="309"/>
      <c r="CT243" s="225">
        <f>CT241-CT242</f>
        <v>0</v>
      </c>
      <c r="CU243" s="225">
        <f t="shared" ref="CU243:DE243" si="26">CU241-CU242</f>
        <v>0</v>
      </c>
      <c r="CV243" s="225">
        <f t="shared" si="26"/>
        <v>0</v>
      </c>
      <c r="CW243" s="225">
        <f t="shared" si="26"/>
        <v>0</v>
      </c>
      <c r="CX243" s="73">
        <f t="shared" si="26"/>
        <v>0</v>
      </c>
      <c r="CY243" s="225">
        <f t="shared" si="26"/>
        <v>0</v>
      </c>
      <c r="CZ243" s="225">
        <f t="shared" si="26"/>
        <v>0</v>
      </c>
      <c r="DA243" s="225">
        <f t="shared" si="26"/>
        <v>0</v>
      </c>
      <c r="DB243" s="225">
        <f t="shared" si="26"/>
        <v>0</v>
      </c>
      <c r="DC243" s="285">
        <f t="shared" si="26"/>
        <v>0</v>
      </c>
      <c r="DD243" s="73">
        <f t="shared" si="26"/>
        <v>0</v>
      </c>
      <c r="DE243" s="203">
        <f t="shared" si="26"/>
        <v>0</v>
      </c>
      <c r="DG243" s="247"/>
      <c r="HY243"/>
      <c r="HZ243"/>
      <c r="IA243"/>
      <c r="IB243"/>
      <c r="IC243"/>
      <c r="ID243"/>
      <c r="IE243"/>
      <c r="IF243"/>
      <c r="IG243"/>
      <c r="IH243"/>
      <c r="II243"/>
      <c r="IJ243"/>
      <c r="IK243"/>
      <c r="IL243"/>
      <c r="IM243"/>
      <c r="IN243"/>
      <c r="IO243"/>
      <c r="IP243"/>
      <c r="IQ243"/>
      <c r="IR243"/>
      <c r="IS243"/>
      <c r="IT243"/>
      <c r="IU243"/>
      <c r="IV243"/>
    </row>
    <row r="244" spans="96:256" s="70" customFormat="1" ht="12.75" x14ac:dyDescent="0.2">
      <c r="CR244" s="48"/>
      <c r="CS244" s="184"/>
      <c r="CT244" s="218"/>
      <c r="CU244" s="218"/>
      <c r="CV244" s="218"/>
      <c r="CW244" s="218"/>
      <c r="CX244" s="65"/>
      <c r="CY244" s="218"/>
      <c r="CZ244" s="218"/>
      <c r="DA244" s="218"/>
      <c r="DB244" s="218"/>
      <c r="DC244" s="66"/>
      <c r="DD244" s="65"/>
      <c r="DE244" s="64"/>
      <c r="DG244" s="247"/>
      <c r="HY244"/>
      <c r="HZ244"/>
      <c r="IA244"/>
      <c r="IB244"/>
      <c r="IC244"/>
      <c r="ID244"/>
      <c r="IE244"/>
      <c r="IF244"/>
      <c r="IG244"/>
      <c r="IH244"/>
      <c r="II244"/>
      <c r="IJ244"/>
      <c r="IK244"/>
      <c r="IL244"/>
      <c r="IM244"/>
      <c r="IN244"/>
      <c r="IO244"/>
      <c r="IP244"/>
      <c r="IQ244"/>
      <c r="IR244"/>
      <c r="IS244"/>
      <c r="IT244"/>
      <c r="IU244"/>
      <c r="IV244"/>
    </row>
    <row r="245" spans="96:256" s="70" customFormat="1" ht="12.75" x14ac:dyDescent="0.2">
      <c r="CR245" s="199" t="s">
        <v>81</v>
      </c>
      <c r="CS245" s="199"/>
      <c r="CT245" s="217">
        <f>MAR!BG84-CT243*0.66</f>
        <v>187</v>
      </c>
      <c r="CU245" s="217">
        <f>MAR!BH84-CU243*0.66</f>
        <v>239</v>
      </c>
      <c r="CV245" s="217">
        <f>MAR!BI84-CV243*0.66</f>
        <v>177</v>
      </c>
      <c r="CW245" s="217">
        <f>MAR!BJ84-CW243*0.66</f>
        <v>282</v>
      </c>
      <c r="CX245" s="232">
        <f>SUM(CT245:CW245)</f>
        <v>885</v>
      </c>
      <c r="CY245" s="217">
        <f>MAR!BL84-CY243*0.66</f>
        <v>197</v>
      </c>
      <c r="CZ245" s="217">
        <f>MAR!BM84-CZ243*0.66</f>
        <v>256</v>
      </c>
      <c r="DA245" s="217">
        <f>MAR!BN84-DA243*0.66</f>
        <v>223</v>
      </c>
      <c r="DB245" s="217">
        <f>MAR!BO84-DB243*0.66</f>
        <v>316</v>
      </c>
      <c r="DC245" s="232">
        <f>SUM(CY245:DB245)</f>
        <v>992</v>
      </c>
      <c r="DD245" s="204">
        <f>MAR!BU84-DD243*0.66</f>
        <v>1151.8599999999999</v>
      </c>
      <c r="DE245" s="204">
        <f>MAR!BZ84-DE243*0.66</f>
        <v>1148</v>
      </c>
      <c r="HY245"/>
      <c r="HZ245"/>
      <c r="IA245"/>
      <c r="IB245"/>
      <c r="IC245"/>
      <c r="ID245"/>
      <c r="IE245"/>
      <c r="IF245"/>
      <c r="IG245"/>
      <c r="IH245"/>
      <c r="II245"/>
      <c r="IJ245"/>
      <c r="IK245"/>
      <c r="IL245"/>
      <c r="IM245"/>
      <c r="IN245"/>
      <c r="IO245"/>
      <c r="IP245"/>
      <c r="IQ245"/>
      <c r="IR245"/>
      <c r="IS245"/>
      <c r="IT245"/>
      <c r="IU245"/>
      <c r="IV245"/>
    </row>
    <row r="246" spans="96:256" s="70" customFormat="1" ht="12.75" x14ac:dyDescent="0.2">
      <c r="CR246" s="199" t="s">
        <v>623</v>
      </c>
      <c r="CS246" s="199"/>
      <c r="CT246" s="217"/>
      <c r="CU246" s="217"/>
      <c r="CV246" s="217"/>
      <c r="CW246" s="217"/>
      <c r="CX246" s="232"/>
      <c r="CY246" s="217">
        <f>CY245+CW245+CV245+CU245</f>
        <v>895</v>
      </c>
      <c r="CZ246" s="217">
        <f>CZ245+CY245+CW245+CV245</f>
        <v>912</v>
      </c>
      <c r="DA246" s="217">
        <f>DA245+CZ245+CY245+CW245</f>
        <v>958</v>
      </c>
      <c r="DB246" s="217">
        <f>SUM(CY245:DB245)</f>
        <v>992</v>
      </c>
      <c r="DC246" s="232">
        <f>DB246</f>
        <v>992</v>
      </c>
      <c r="DD246" s="204">
        <f>DD245</f>
        <v>1151.8599999999999</v>
      </c>
      <c r="DE246" s="204">
        <f>DE245</f>
        <v>1148</v>
      </c>
      <c r="HY246"/>
      <c r="HZ246"/>
      <c r="IA246"/>
      <c r="IB246"/>
      <c r="IC246"/>
      <c r="ID246"/>
      <c r="IE246"/>
      <c r="IF246"/>
      <c r="IG246"/>
      <c r="IH246"/>
      <c r="II246"/>
      <c r="IJ246"/>
      <c r="IK246"/>
      <c r="IL246"/>
      <c r="IM246"/>
      <c r="IN246"/>
      <c r="IO246"/>
      <c r="IP246"/>
      <c r="IQ246"/>
      <c r="IR246"/>
      <c r="IS246"/>
      <c r="IT246"/>
      <c r="IU246"/>
      <c r="IV246"/>
    </row>
    <row r="247" spans="96:256" s="70" customFormat="1" ht="12.75" x14ac:dyDescent="0.2">
      <c r="CX247" s="194"/>
      <c r="DC247" s="194"/>
      <c r="DD247" s="192"/>
      <c r="DE247" s="192"/>
      <c r="HY247"/>
      <c r="HZ247"/>
      <c r="IA247"/>
      <c r="IB247"/>
      <c r="IC247"/>
      <c r="ID247"/>
      <c r="IE247"/>
      <c r="IF247"/>
      <c r="IG247"/>
      <c r="IH247"/>
      <c r="II247"/>
      <c r="IJ247"/>
      <c r="IK247"/>
      <c r="IL247"/>
      <c r="IM247"/>
      <c r="IN247"/>
      <c r="IO247"/>
      <c r="IP247"/>
      <c r="IQ247"/>
      <c r="IR247"/>
      <c r="IS247"/>
      <c r="IT247"/>
      <c r="IU247"/>
      <c r="IV247"/>
    </row>
    <row r="248" spans="96:256" s="70" customFormat="1" ht="12.75" x14ac:dyDescent="0.2">
      <c r="CR248" s="70" t="s">
        <v>147</v>
      </c>
      <c r="CX248" s="286"/>
      <c r="CY248" s="36">
        <v>3</v>
      </c>
      <c r="CZ248" s="36">
        <v>3</v>
      </c>
      <c r="DA248" s="36">
        <v>3</v>
      </c>
      <c r="DB248" s="36">
        <v>3</v>
      </c>
      <c r="DC248" s="286">
        <v>3</v>
      </c>
      <c r="DD248" s="183">
        <v>3</v>
      </c>
      <c r="DE248" s="183">
        <v>3</v>
      </c>
      <c r="HY248"/>
      <c r="HZ248"/>
      <c r="IA248"/>
      <c r="IB248"/>
      <c r="IC248"/>
      <c r="ID248"/>
      <c r="IE248"/>
      <c r="IF248"/>
      <c r="IG248"/>
      <c r="IH248"/>
      <c r="II248"/>
      <c r="IJ248"/>
      <c r="IK248"/>
      <c r="IL248"/>
      <c r="IM248"/>
      <c r="IN248"/>
      <c r="IO248"/>
      <c r="IP248"/>
      <c r="IQ248"/>
      <c r="IR248"/>
      <c r="IS248"/>
      <c r="IT248"/>
      <c r="IU248"/>
      <c r="IV248"/>
    </row>
    <row r="249" spans="96:256" s="70" customFormat="1" ht="12.75" x14ac:dyDescent="0.2">
      <c r="HY249"/>
      <c r="HZ249"/>
      <c r="IA249"/>
      <c r="IB249"/>
      <c r="IC249"/>
      <c r="ID249"/>
      <c r="IE249"/>
      <c r="IF249"/>
      <c r="IG249"/>
      <c r="IH249"/>
      <c r="II249"/>
      <c r="IJ249"/>
      <c r="IK249"/>
      <c r="IL249"/>
      <c r="IM249"/>
      <c r="IN249"/>
      <c r="IO249"/>
      <c r="IP249"/>
      <c r="IQ249"/>
      <c r="IR249"/>
      <c r="IS249"/>
      <c r="IT249"/>
      <c r="IU249"/>
      <c r="IV249"/>
    </row>
    <row r="250" spans="96:256" s="70" customFormat="1" ht="3.75" customHeight="1" x14ac:dyDescent="0.2">
      <c r="HY250"/>
      <c r="HZ250"/>
      <c r="IA250"/>
      <c r="IB250"/>
      <c r="IC250"/>
      <c r="ID250"/>
      <c r="IE250"/>
      <c r="IF250"/>
      <c r="IG250"/>
      <c r="IH250"/>
      <c r="II250"/>
      <c r="IJ250"/>
      <c r="IK250"/>
      <c r="IL250"/>
      <c r="IM250"/>
      <c r="IN250"/>
      <c r="IO250"/>
      <c r="IP250"/>
      <c r="IQ250"/>
      <c r="IR250"/>
      <c r="IS250"/>
      <c r="IT250"/>
      <c r="IU250"/>
      <c r="IV250"/>
    </row>
    <row r="251" spans="96:256" s="70" customFormat="1" ht="12.75" x14ac:dyDescent="0.2">
      <c r="DI251" s="248" t="s">
        <v>2236</v>
      </c>
      <c r="HY251"/>
      <c r="HZ251"/>
      <c r="IA251"/>
      <c r="IB251"/>
      <c r="IC251"/>
      <c r="ID251"/>
      <c r="IE251"/>
      <c r="IF251"/>
      <c r="IG251"/>
      <c r="IH251"/>
      <c r="II251"/>
      <c r="IJ251"/>
      <c r="IK251"/>
      <c r="IL251"/>
      <c r="IM251"/>
      <c r="IN251"/>
      <c r="IO251"/>
      <c r="IP251"/>
      <c r="IQ251"/>
      <c r="IR251"/>
      <c r="IS251"/>
      <c r="IT251"/>
      <c r="IU251"/>
      <c r="IV251"/>
    </row>
    <row r="252" spans="96:256" s="70" customFormat="1" ht="12.75" x14ac:dyDescent="0.2">
      <c r="CY252" s="70">
        <f>CY246*CY248</f>
        <v>2685</v>
      </c>
      <c r="CZ252" s="70">
        <f t="shared" ref="CZ252:DE252" si="27">CZ246*CZ248</f>
        <v>2736</v>
      </c>
      <c r="DA252" s="70">
        <f t="shared" si="27"/>
        <v>2874</v>
      </c>
      <c r="DB252" s="70">
        <f t="shared" si="27"/>
        <v>2976</v>
      </c>
      <c r="DC252" s="70">
        <f t="shared" si="27"/>
        <v>2976</v>
      </c>
      <c r="DD252" s="70">
        <f t="shared" si="27"/>
        <v>3455.58</v>
      </c>
      <c r="DE252" s="70">
        <f t="shared" si="27"/>
        <v>3444</v>
      </c>
      <c r="HY252"/>
      <c r="HZ252"/>
      <c r="IA252"/>
      <c r="IB252"/>
      <c r="IC252"/>
      <c r="ID252"/>
      <c r="IE252"/>
      <c r="IF252"/>
      <c r="IG252"/>
      <c r="IH252"/>
      <c r="II252"/>
      <c r="IJ252"/>
      <c r="IK252"/>
      <c r="IL252"/>
      <c r="IM252"/>
      <c r="IN252"/>
      <c r="IO252"/>
      <c r="IP252"/>
      <c r="IQ252"/>
      <c r="IR252"/>
      <c r="IS252"/>
      <c r="IT252"/>
      <c r="IU252"/>
      <c r="IV252"/>
    </row>
    <row r="253" spans="96:256" s="70" customFormat="1" ht="12.75" x14ac:dyDescent="0.2">
      <c r="DI253" s="70" t="s">
        <v>2237</v>
      </c>
      <c r="DJ253" s="297"/>
      <c r="HY253"/>
      <c r="HZ253"/>
      <c r="IA253"/>
      <c r="IB253"/>
      <c r="IC253"/>
      <c r="ID253"/>
      <c r="IE253"/>
      <c r="IF253"/>
      <c r="IG253"/>
      <c r="IH253"/>
      <c r="II253"/>
      <c r="IJ253"/>
      <c r="IK253"/>
      <c r="IL253"/>
      <c r="IM253"/>
      <c r="IN253"/>
      <c r="IO253"/>
      <c r="IP253"/>
      <c r="IQ253"/>
      <c r="IR253"/>
      <c r="IS253"/>
      <c r="IT253"/>
      <c r="IU253"/>
      <c r="IV253"/>
    </row>
    <row r="254" spans="96:256" s="70" customFormat="1" ht="12.75" x14ac:dyDescent="0.2">
      <c r="DI254" s="70" t="s">
        <v>157</v>
      </c>
      <c r="DJ254" s="298">
        <f>MAR!BL58</f>
        <v>381.8</v>
      </c>
      <c r="HY254"/>
      <c r="HZ254"/>
      <c r="IA254"/>
      <c r="IB254"/>
      <c r="IC254"/>
      <c r="ID254"/>
      <c r="IE254"/>
      <c r="IF254"/>
      <c r="IG254"/>
      <c r="IH254"/>
      <c r="II254"/>
      <c r="IJ254"/>
      <c r="IK254"/>
      <c r="IL254"/>
      <c r="IM254"/>
      <c r="IN254"/>
      <c r="IO254"/>
      <c r="IP254"/>
      <c r="IQ254"/>
      <c r="IR254"/>
      <c r="IS254"/>
      <c r="IT254"/>
      <c r="IU254"/>
      <c r="IV254"/>
    </row>
    <row r="255" spans="96:256" s="70" customFormat="1" ht="12.75" x14ac:dyDescent="0.2">
      <c r="DI255" s="199" t="s">
        <v>2238</v>
      </c>
      <c r="DJ255" s="299">
        <f>DJ253/DJ254</f>
        <v>0</v>
      </c>
      <c r="HY255"/>
      <c r="HZ255"/>
      <c r="IA255"/>
      <c r="IB255"/>
      <c r="IC255"/>
      <c r="ID255"/>
      <c r="IE255"/>
      <c r="IF255"/>
      <c r="IG255"/>
      <c r="IH255"/>
      <c r="II255"/>
      <c r="IJ255"/>
      <c r="IK255"/>
      <c r="IL255"/>
      <c r="IM255"/>
      <c r="IN255"/>
      <c r="IO255"/>
      <c r="IP255"/>
      <c r="IQ255"/>
      <c r="IR255"/>
      <c r="IS255"/>
      <c r="IT255"/>
      <c r="IU255"/>
      <c r="IV255"/>
    </row>
    <row r="256" spans="96:256" s="70" customFormat="1" ht="12.75" x14ac:dyDescent="0.2">
      <c r="HY256"/>
      <c r="HZ256"/>
      <c r="IA256"/>
      <c r="IB256"/>
      <c r="IC256"/>
      <c r="ID256"/>
      <c r="IE256"/>
      <c r="IF256"/>
      <c r="IG256"/>
      <c r="IH256"/>
      <c r="II256"/>
      <c r="IJ256"/>
      <c r="IK256"/>
      <c r="IL256"/>
      <c r="IM256"/>
      <c r="IN256"/>
      <c r="IO256"/>
      <c r="IP256"/>
      <c r="IQ256"/>
      <c r="IR256"/>
      <c r="IS256"/>
      <c r="IT256"/>
      <c r="IU256"/>
      <c r="IV256"/>
    </row>
    <row r="257" spans="113:256" s="70" customFormat="1" ht="13.5" thickBot="1" x14ac:dyDescent="0.25">
      <c r="DI257" s="70" t="s">
        <v>2239</v>
      </c>
      <c r="DJ257" s="300">
        <v>35</v>
      </c>
      <c r="HY257"/>
      <c r="HZ257"/>
      <c r="IA257"/>
      <c r="IB257"/>
      <c r="IC257"/>
      <c r="ID257"/>
      <c r="IE257"/>
      <c r="IF257"/>
      <c r="IG257"/>
      <c r="IH257"/>
      <c r="II257"/>
      <c r="IJ257"/>
      <c r="IK257"/>
      <c r="IL257"/>
      <c r="IM257"/>
      <c r="IN257"/>
      <c r="IO257"/>
      <c r="IP257"/>
      <c r="IQ257"/>
      <c r="IR257"/>
      <c r="IS257"/>
      <c r="IT257"/>
      <c r="IU257"/>
      <c r="IV257"/>
    </row>
    <row r="258" spans="113:256" s="70" customFormat="1" ht="13.5" thickBot="1" x14ac:dyDescent="0.25">
      <c r="DI258" s="70" t="s">
        <v>40</v>
      </c>
      <c r="DJ258" s="288">
        <f>DJ253/DJ257</f>
        <v>0</v>
      </c>
      <c r="HY258"/>
      <c r="HZ258"/>
      <c r="IA258"/>
      <c r="IB258"/>
      <c r="IC258"/>
      <c r="ID258"/>
      <c r="IE258"/>
      <c r="IF258"/>
      <c r="IG258"/>
      <c r="IH258"/>
      <c r="II258"/>
      <c r="IJ258"/>
      <c r="IK258"/>
      <c r="IL258"/>
      <c r="IM258"/>
      <c r="IN258"/>
      <c r="IO258"/>
      <c r="IP258"/>
      <c r="IQ258"/>
      <c r="IR258"/>
      <c r="IS258"/>
      <c r="IT258"/>
      <c r="IU258"/>
      <c r="IV258"/>
    </row>
    <row r="259" spans="113:256" s="70" customFormat="1" ht="12.75" x14ac:dyDescent="0.2">
      <c r="HY259"/>
      <c r="HZ259"/>
      <c r="IA259"/>
      <c r="IB259"/>
      <c r="IC259"/>
      <c r="ID259"/>
      <c r="IE259"/>
      <c r="IF259"/>
      <c r="IG259"/>
      <c r="IH259"/>
      <c r="II259"/>
      <c r="IJ259"/>
      <c r="IK259"/>
      <c r="IL259"/>
      <c r="IM259"/>
      <c r="IN259"/>
      <c r="IO259"/>
      <c r="IP259"/>
      <c r="IQ259"/>
      <c r="IR259"/>
      <c r="IS259"/>
      <c r="IT259"/>
      <c r="IU259"/>
      <c r="IV259"/>
    </row>
    <row r="260" spans="113:256" s="70" customFormat="1" ht="12.75" x14ac:dyDescent="0.2">
      <c r="DI260" s="70" t="s">
        <v>2240</v>
      </c>
      <c r="DJ260" s="259">
        <f>DJ258/DJ254</f>
        <v>0</v>
      </c>
      <c r="HY260"/>
      <c r="HZ260"/>
      <c r="IA260"/>
      <c r="IB260"/>
      <c r="IC260"/>
      <c r="ID260"/>
      <c r="IE260"/>
      <c r="IF260"/>
      <c r="IG260"/>
      <c r="IH260"/>
      <c r="II260"/>
      <c r="IJ260"/>
      <c r="IK260"/>
      <c r="IL260"/>
      <c r="IM260"/>
      <c r="IN260"/>
      <c r="IO260"/>
      <c r="IP260"/>
      <c r="IQ260"/>
      <c r="IR260"/>
      <c r="IS260"/>
      <c r="IT260"/>
      <c r="IU260"/>
      <c r="IV260"/>
    </row>
    <row r="261" spans="113:256" s="70" customFormat="1" ht="12.75" x14ac:dyDescent="0.2">
      <c r="HY261"/>
      <c r="HZ261"/>
      <c r="IA261"/>
      <c r="IB261"/>
      <c r="IC261"/>
      <c r="ID261"/>
      <c r="IE261"/>
      <c r="IF261"/>
      <c r="IG261"/>
      <c r="IH261"/>
      <c r="II261"/>
      <c r="IJ261"/>
      <c r="IK261"/>
      <c r="IL261"/>
      <c r="IM261"/>
      <c r="IN261"/>
      <c r="IO261"/>
      <c r="IP261"/>
      <c r="IQ261"/>
      <c r="IR261"/>
      <c r="IS261"/>
      <c r="IT261"/>
      <c r="IU261"/>
      <c r="IV261"/>
    </row>
    <row r="262" spans="113:256" s="70" customFormat="1" ht="3.75" customHeight="1" x14ac:dyDescent="0.2">
      <c r="HY262"/>
      <c r="HZ262"/>
      <c r="IA262"/>
      <c r="IB262"/>
      <c r="IC262"/>
      <c r="ID262"/>
      <c r="IE262"/>
      <c r="IF262"/>
      <c r="IG262"/>
      <c r="IH262"/>
      <c r="II262"/>
      <c r="IJ262"/>
      <c r="IK262"/>
      <c r="IL262"/>
      <c r="IM262"/>
      <c r="IN262"/>
      <c r="IO262"/>
      <c r="IP262"/>
      <c r="IQ262"/>
      <c r="IR262"/>
      <c r="IS262"/>
      <c r="IT262"/>
      <c r="IU262"/>
      <c r="IV262"/>
    </row>
    <row r="263" spans="113:256" s="70" customFormat="1" ht="12.75" x14ac:dyDescent="0.2">
      <c r="DM263" s="199" t="s">
        <v>636</v>
      </c>
      <c r="HY263"/>
      <c r="HZ263"/>
      <c r="IA263"/>
      <c r="IB263"/>
      <c r="IC263"/>
      <c r="ID263"/>
      <c r="IE263"/>
      <c r="IF263"/>
      <c r="IG263"/>
      <c r="IH263"/>
      <c r="II263"/>
      <c r="IJ263"/>
      <c r="IK263"/>
      <c r="IL263"/>
      <c r="IM263"/>
      <c r="IN263"/>
      <c r="IO263"/>
      <c r="IP263"/>
      <c r="IQ263"/>
      <c r="IR263"/>
      <c r="IS263"/>
      <c r="IT263"/>
      <c r="IU263"/>
      <c r="IV263"/>
    </row>
    <row r="264" spans="113:256" s="70" customFormat="1" ht="12.75" x14ac:dyDescent="0.2">
      <c r="HY264"/>
      <c r="HZ264"/>
      <c r="IA264"/>
      <c r="IB264"/>
      <c r="IC264"/>
      <c r="ID264"/>
      <c r="IE264"/>
      <c r="IF264"/>
      <c r="IG264"/>
      <c r="IH264"/>
      <c r="II264"/>
      <c r="IJ264"/>
      <c r="IK264"/>
      <c r="IL264"/>
      <c r="IM264"/>
      <c r="IN264"/>
      <c r="IO264"/>
      <c r="IP264"/>
      <c r="IQ264"/>
      <c r="IR264"/>
      <c r="IS264"/>
      <c r="IT264"/>
      <c r="IU264"/>
      <c r="IV264"/>
    </row>
    <row r="265" spans="113:256" s="70" customFormat="1" ht="12.75" x14ac:dyDescent="0.2">
      <c r="DN265" s="302">
        <v>2010</v>
      </c>
      <c r="DO265" s="307">
        <v>2011</v>
      </c>
      <c r="DP265" s="307">
        <v>2012</v>
      </c>
      <c r="DQ265" s="303">
        <v>2013</v>
      </c>
      <c r="HY265"/>
      <c r="HZ265"/>
      <c r="IA265"/>
      <c r="IB265"/>
      <c r="IC265"/>
      <c r="ID265"/>
      <c r="IE265"/>
      <c r="IF265"/>
      <c r="IG265"/>
      <c r="IH265"/>
      <c r="II265"/>
      <c r="IJ265"/>
      <c r="IK265"/>
      <c r="IL265"/>
      <c r="IM265"/>
      <c r="IN265"/>
      <c r="IO265"/>
      <c r="IP265"/>
      <c r="IQ265"/>
      <c r="IR265"/>
      <c r="IS265"/>
      <c r="IT265"/>
      <c r="IU265"/>
      <c r="IV265"/>
    </row>
    <row r="266" spans="113:256" s="70" customFormat="1" ht="12.75" x14ac:dyDescent="0.2">
      <c r="DM266" s="248" t="s">
        <v>524</v>
      </c>
      <c r="HY266"/>
      <c r="HZ266"/>
      <c r="IA266"/>
      <c r="IB266"/>
      <c r="IC266"/>
      <c r="ID266"/>
      <c r="IE266"/>
      <c r="IF266"/>
      <c r="IG266"/>
      <c r="IH266"/>
      <c r="II266"/>
      <c r="IJ266"/>
      <c r="IK266"/>
      <c r="IL266"/>
      <c r="IM266"/>
      <c r="IN266"/>
      <c r="IO266"/>
      <c r="IP266"/>
      <c r="IQ266"/>
      <c r="IR266"/>
      <c r="IS266"/>
      <c r="IT266"/>
      <c r="IU266"/>
      <c r="IV266"/>
    </row>
    <row r="267" spans="113:256" s="70" customFormat="1" ht="12.75" x14ac:dyDescent="0.2">
      <c r="DM267" s="301" t="s">
        <v>1083</v>
      </c>
      <c r="DN267" s="70">
        <f>608000/1000</f>
        <v>608</v>
      </c>
      <c r="DQ267" s="70">
        <v>669</v>
      </c>
      <c r="HY267"/>
      <c r="HZ267"/>
      <c r="IA267"/>
      <c r="IB267"/>
      <c r="IC267"/>
      <c r="ID267"/>
      <c r="IE267"/>
      <c r="IF267"/>
      <c r="IG267"/>
      <c r="IH267"/>
      <c r="II267"/>
      <c r="IJ267"/>
      <c r="IK267"/>
      <c r="IL267"/>
      <c r="IM267"/>
      <c r="IN267"/>
      <c r="IO267"/>
      <c r="IP267"/>
      <c r="IQ267"/>
      <c r="IR267"/>
      <c r="IS267"/>
      <c r="IT267"/>
      <c r="IU267"/>
      <c r="IV267"/>
    </row>
    <row r="268" spans="113:256" s="70" customFormat="1" ht="12.75" x14ac:dyDescent="0.2">
      <c r="DM268" s="301" t="s">
        <v>13</v>
      </c>
      <c r="DN268" s="70">
        <f>(MAR!$BK$358+MAR!$BK$286+MAR!$BK$162)/1000</f>
        <v>602.05600000000004</v>
      </c>
      <c r="DQ268" s="70">
        <f>(MAR!BZ162+MAR!BZ286+MAR!BZ358)/1000</f>
        <v>649.75400000000002</v>
      </c>
      <c r="HY268"/>
      <c r="HZ268"/>
      <c r="IA268"/>
      <c r="IB268"/>
      <c r="IC268"/>
      <c r="ID268"/>
      <c r="IE268"/>
      <c r="IF268"/>
      <c r="IG268"/>
      <c r="IH268"/>
      <c r="II268"/>
      <c r="IJ268"/>
      <c r="IK268"/>
      <c r="IL268"/>
      <c r="IM268"/>
      <c r="IN268"/>
      <c r="IO268"/>
      <c r="IP268"/>
      <c r="IQ268"/>
      <c r="IR268"/>
      <c r="IS268"/>
      <c r="IT268"/>
      <c r="IU268"/>
      <c r="IV268"/>
    </row>
    <row r="269" spans="113:256" s="70" customFormat="1" ht="12.75" x14ac:dyDescent="0.2">
      <c r="DM269" s="301"/>
      <c r="HY269"/>
      <c r="HZ269"/>
      <c r="IA269"/>
      <c r="IB269"/>
      <c r="IC269"/>
      <c r="ID269"/>
      <c r="IE269"/>
      <c r="IF269"/>
      <c r="IG269"/>
      <c r="IH269"/>
      <c r="II269"/>
      <c r="IJ269"/>
      <c r="IK269"/>
      <c r="IL269"/>
      <c r="IM269"/>
      <c r="IN269"/>
      <c r="IO269"/>
      <c r="IP269"/>
      <c r="IQ269"/>
      <c r="IR269"/>
      <c r="IS269"/>
      <c r="IT269"/>
      <c r="IU269"/>
      <c r="IV269"/>
    </row>
    <row r="270" spans="113:256" s="70" customFormat="1" ht="12.75" x14ac:dyDescent="0.2">
      <c r="DM270" s="305" t="s">
        <v>81</v>
      </c>
      <c r="HY270"/>
      <c r="HZ270"/>
      <c r="IA270"/>
      <c r="IB270"/>
      <c r="IC270"/>
      <c r="ID270"/>
      <c r="IE270"/>
      <c r="IF270"/>
      <c r="IG270"/>
      <c r="IH270"/>
      <c r="II270"/>
      <c r="IJ270"/>
      <c r="IK270"/>
      <c r="IL270"/>
      <c r="IM270"/>
      <c r="IN270"/>
      <c r="IO270"/>
      <c r="IP270"/>
      <c r="IQ270"/>
      <c r="IR270"/>
      <c r="IS270"/>
      <c r="IT270"/>
      <c r="IU270"/>
      <c r="IV270"/>
    </row>
    <row r="271" spans="113:256" s="70" customFormat="1" ht="12.75" x14ac:dyDescent="0.2">
      <c r="DM271" s="304" t="s">
        <v>1083</v>
      </c>
      <c r="HY271"/>
      <c r="HZ271"/>
      <c r="IA271"/>
      <c r="IB271"/>
      <c r="IC271"/>
      <c r="ID271"/>
      <c r="IE271"/>
      <c r="IF271"/>
      <c r="IG271"/>
      <c r="IH271"/>
      <c r="II271"/>
      <c r="IJ271"/>
      <c r="IK271"/>
      <c r="IL271"/>
      <c r="IM271"/>
      <c r="IN271"/>
      <c r="IO271"/>
      <c r="IP271"/>
      <c r="IQ271"/>
      <c r="IR271"/>
      <c r="IS271"/>
      <c r="IT271"/>
      <c r="IU271"/>
      <c r="IV271"/>
    </row>
    <row r="272" spans="113:256" s="70" customFormat="1" ht="12.75" x14ac:dyDescent="0.2">
      <c r="DM272" s="306" t="s">
        <v>194</v>
      </c>
      <c r="DQ272" s="70">
        <v>1540</v>
      </c>
      <c r="HY272"/>
      <c r="HZ272"/>
      <c r="IA272"/>
      <c r="IB272"/>
      <c r="IC272"/>
      <c r="ID272"/>
      <c r="IE272"/>
      <c r="IF272"/>
      <c r="IG272"/>
      <c r="IH272"/>
      <c r="II272"/>
      <c r="IJ272"/>
      <c r="IK272"/>
      <c r="IL272"/>
      <c r="IM272"/>
      <c r="IN272"/>
      <c r="IO272"/>
      <c r="IP272"/>
      <c r="IQ272"/>
      <c r="IR272"/>
      <c r="IS272"/>
      <c r="IT272"/>
      <c r="IU272"/>
      <c r="IV272"/>
    </row>
    <row r="273" spans="117:256" s="70" customFormat="1" ht="12.75" x14ac:dyDescent="0.2">
      <c r="DM273" s="306" t="s">
        <v>195</v>
      </c>
      <c r="DQ273" s="70">
        <v>1720</v>
      </c>
      <c r="HY273"/>
      <c r="HZ273"/>
      <c r="IA273"/>
      <c r="IB273"/>
      <c r="IC273"/>
      <c r="ID273"/>
      <c r="IE273"/>
      <c r="IF273"/>
      <c r="IG273"/>
      <c r="IH273"/>
      <c r="II273"/>
      <c r="IJ273"/>
      <c r="IK273"/>
      <c r="IL273"/>
      <c r="IM273"/>
      <c r="IN273"/>
      <c r="IO273"/>
      <c r="IP273"/>
      <c r="IQ273"/>
      <c r="IR273"/>
      <c r="IS273"/>
      <c r="IT273"/>
      <c r="IU273"/>
      <c r="IV273"/>
    </row>
    <row r="274" spans="117:256" s="70" customFormat="1" ht="12.75" x14ac:dyDescent="0.2">
      <c r="DM274" s="306" t="s">
        <v>196</v>
      </c>
      <c r="DQ274" s="70">
        <v>1940</v>
      </c>
      <c r="HY274"/>
      <c r="HZ274"/>
      <c r="IA274"/>
      <c r="IB274"/>
      <c r="IC274"/>
      <c r="ID274"/>
      <c r="IE274"/>
      <c r="IF274"/>
      <c r="IG274"/>
      <c r="IH274"/>
      <c r="II274"/>
      <c r="IJ274"/>
      <c r="IK274"/>
      <c r="IL274"/>
      <c r="IM274"/>
      <c r="IN274"/>
      <c r="IO274"/>
      <c r="IP274"/>
      <c r="IQ274"/>
      <c r="IR274"/>
      <c r="IS274"/>
      <c r="IT274"/>
      <c r="IU274"/>
      <c r="IV274"/>
    </row>
    <row r="275" spans="117:256" s="70" customFormat="1" ht="12.75" x14ac:dyDescent="0.2">
      <c r="DM275" s="304" t="s">
        <v>13</v>
      </c>
      <c r="DQ275" s="199">
        <f>MAR!BZ84</f>
        <v>1148</v>
      </c>
      <c r="DR275" s="247" t="s">
        <v>197</v>
      </c>
      <c r="HY275"/>
      <c r="HZ275"/>
      <c r="IA275"/>
      <c r="IB275"/>
      <c r="IC275"/>
      <c r="ID275"/>
      <c r="IE275"/>
      <c r="IF275"/>
      <c r="IG275"/>
      <c r="IH275"/>
      <c r="II275"/>
      <c r="IJ275"/>
      <c r="IK275"/>
      <c r="IL275"/>
      <c r="IM275"/>
      <c r="IN275"/>
      <c r="IO275"/>
      <c r="IP275"/>
      <c r="IQ275"/>
      <c r="IR275"/>
      <c r="IS275"/>
      <c r="IT275"/>
      <c r="IU275"/>
      <c r="IV275"/>
    </row>
    <row r="276" spans="117:256" s="70" customFormat="1" ht="12.75" x14ac:dyDescent="0.2">
      <c r="DM276" s="301"/>
      <c r="HY276"/>
      <c r="HZ276"/>
      <c r="IA276"/>
      <c r="IB276"/>
      <c r="IC276"/>
      <c r="ID276"/>
      <c r="IE276"/>
      <c r="IF276"/>
      <c r="IG276"/>
      <c r="IH276"/>
      <c r="II276"/>
      <c r="IJ276"/>
      <c r="IK276"/>
      <c r="IL276"/>
      <c r="IM276"/>
      <c r="IN276"/>
      <c r="IO276"/>
      <c r="IP276"/>
      <c r="IQ276"/>
      <c r="IR276"/>
      <c r="IS276"/>
      <c r="IT276"/>
      <c r="IU276"/>
      <c r="IV276"/>
    </row>
    <row r="277" spans="117:256" s="70" customFormat="1" ht="12.75" x14ac:dyDescent="0.2">
      <c r="DM277" s="305" t="s">
        <v>1296</v>
      </c>
      <c r="HY277"/>
      <c r="HZ277"/>
      <c r="IA277"/>
      <c r="IB277"/>
      <c r="IC277"/>
      <c r="ID277"/>
      <c r="IE277"/>
      <c r="IF277"/>
      <c r="IG277"/>
      <c r="IH277"/>
      <c r="II277"/>
      <c r="IJ277"/>
      <c r="IK277"/>
      <c r="IL277"/>
      <c r="IM277"/>
      <c r="IN277"/>
      <c r="IO277"/>
      <c r="IP277"/>
      <c r="IQ277"/>
      <c r="IR277"/>
      <c r="IS277"/>
      <c r="IT277"/>
      <c r="IU277"/>
      <c r="IV277"/>
    </row>
    <row r="278" spans="117:256" s="70" customFormat="1" ht="12.75" x14ac:dyDescent="0.2">
      <c r="DM278" s="304" t="s">
        <v>1083</v>
      </c>
      <c r="HY278"/>
      <c r="HZ278"/>
      <c r="IA278"/>
      <c r="IB278"/>
      <c r="IC278"/>
      <c r="ID278"/>
      <c r="IE278"/>
      <c r="IF278"/>
      <c r="IG278"/>
      <c r="IH278"/>
      <c r="II278"/>
      <c r="IJ278"/>
      <c r="IK278"/>
      <c r="IL278"/>
      <c r="IM278"/>
      <c r="IN278"/>
      <c r="IO278"/>
      <c r="IP278"/>
      <c r="IQ278"/>
      <c r="IR278"/>
      <c r="IS278"/>
      <c r="IT278"/>
      <c r="IU278"/>
      <c r="IV278"/>
    </row>
    <row r="279" spans="117:256" s="70" customFormat="1" ht="12.75" x14ac:dyDescent="0.2">
      <c r="DM279" s="306" t="s">
        <v>194</v>
      </c>
      <c r="DQ279" s="70">
        <v>661</v>
      </c>
      <c r="HY279"/>
      <c r="HZ279"/>
      <c r="IA279"/>
      <c r="IB279"/>
      <c r="IC279"/>
      <c r="ID279"/>
      <c r="IE279"/>
      <c r="IF279"/>
      <c r="IG279"/>
      <c r="IH279"/>
      <c r="II279"/>
      <c r="IJ279"/>
      <c r="IK279"/>
      <c r="IL279"/>
      <c r="IM279"/>
      <c r="IN279"/>
      <c r="IO279"/>
      <c r="IP279"/>
      <c r="IQ279"/>
      <c r="IR279"/>
      <c r="IS279"/>
      <c r="IT279"/>
      <c r="IU279"/>
      <c r="IV279"/>
    </row>
    <row r="280" spans="117:256" s="70" customFormat="1" ht="12.75" x14ac:dyDescent="0.2">
      <c r="DM280" s="306" t="s">
        <v>195</v>
      </c>
      <c r="DQ280" s="70">
        <v>758</v>
      </c>
      <c r="HY280"/>
      <c r="HZ280"/>
      <c r="IA280"/>
      <c r="IB280"/>
      <c r="IC280"/>
      <c r="ID280"/>
      <c r="IE280"/>
      <c r="IF280"/>
      <c r="IG280"/>
      <c r="IH280"/>
      <c r="II280"/>
      <c r="IJ280"/>
      <c r="IK280"/>
      <c r="IL280"/>
      <c r="IM280"/>
      <c r="IN280"/>
      <c r="IO280"/>
      <c r="IP280"/>
      <c r="IQ280"/>
      <c r="IR280"/>
      <c r="IS280"/>
      <c r="IT280"/>
      <c r="IU280"/>
      <c r="IV280"/>
    </row>
    <row r="281" spans="117:256" s="70" customFormat="1" ht="12.75" x14ac:dyDescent="0.2">
      <c r="DM281" s="306" t="s">
        <v>196</v>
      </c>
      <c r="DQ281" s="70">
        <v>882</v>
      </c>
      <c r="HY281"/>
      <c r="HZ281"/>
      <c r="IA281"/>
      <c r="IB281"/>
      <c r="IC281"/>
      <c r="ID281"/>
      <c r="IE281"/>
      <c r="IF281"/>
      <c r="IG281"/>
      <c r="IH281"/>
      <c r="II281"/>
      <c r="IJ281"/>
      <c r="IK281"/>
      <c r="IL281"/>
      <c r="IM281"/>
      <c r="IN281"/>
      <c r="IO281"/>
      <c r="IP281"/>
      <c r="IQ281"/>
      <c r="IR281"/>
      <c r="IS281"/>
      <c r="IT281"/>
      <c r="IU281"/>
      <c r="IV281"/>
    </row>
    <row r="282" spans="117:256" s="70" customFormat="1" ht="12.75" x14ac:dyDescent="0.2">
      <c r="DM282" s="304" t="s">
        <v>13</v>
      </c>
      <c r="DQ282" s="70">
        <f>MAR!BZ51</f>
        <v>626</v>
      </c>
      <c r="HY282"/>
      <c r="HZ282"/>
      <c r="IA282"/>
      <c r="IB282"/>
      <c r="IC282"/>
      <c r="ID282"/>
      <c r="IE282"/>
      <c r="IF282"/>
      <c r="IG282"/>
      <c r="IH282"/>
      <c r="II282"/>
      <c r="IJ282"/>
      <c r="IK282"/>
      <c r="IL282"/>
      <c r="IM282"/>
      <c r="IN282"/>
      <c r="IO282"/>
      <c r="IP282"/>
      <c r="IQ282"/>
      <c r="IR282"/>
      <c r="IS282"/>
      <c r="IT282"/>
      <c r="IU282"/>
      <c r="IV282"/>
    </row>
    <row r="283" spans="117:256" s="70" customFormat="1" ht="12.75" x14ac:dyDescent="0.2">
      <c r="DM283" s="301"/>
      <c r="HY283"/>
      <c r="HZ283"/>
      <c r="IA283"/>
      <c r="IB283"/>
      <c r="IC283"/>
      <c r="ID283"/>
      <c r="IE283"/>
      <c r="IF283"/>
      <c r="IG283"/>
      <c r="IH283"/>
      <c r="II283"/>
      <c r="IJ283"/>
      <c r="IK283"/>
      <c r="IL283"/>
      <c r="IM283"/>
      <c r="IN283"/>
      <c r="IO283"/>
      <c r="IP283"/>
      <c r="IQ283"/>
      <c r="IR283"/>
      <c r="IS283"/>
      <c r="IT283"/>
      <c r="IU283"/>
      <c r="IV283"/>
    </row>
    <row r="284" spans="117:256" s="70" customFormat="1" ht="12.75" x14ac:dyDescent="0.2">
      <c r="DM284" s="301"/>
      <c r="HY284"/>
      <c r="HZ284"/>
      <c r="IA284"/>
      <c r="IB284"/>
      <c r="IC284"/>
      <c r="ID284"/>
      <c r="IE284"/>
      <c r="IF284"/>
      <c r="IG284"/>
      <c r="IH284"/>
      <c r="II284"/>
      <c r="IJ284"/>
      <c r="IK284"/>
      <c r="IL284"/>
      <c r="IM284"/>
      <c r="IN284"/>
      <c r="IO284"/>
      <c r="IP284"/>
      <c r="IQ284"/>
      <c r="IR284"/>
      <c r="IS284"/>
      <c r="IT284"/>
      <c r="IU284"/>
      <c r="IV284"/>
    </row>
    <row r="285" spans="117:256" s="70" customFormat="1" ht="12.75" x14ac:dyDescent="0.2">
      <c r="HY285"/>
      <c r="HZ285"/>
      <c r="IA285"/>
      <c r="IB285"/>
      <c r="IC285"/>
      <c r="ID285"/>
      <c r="IE285"/>
      <c r="IF285"/>
      <c r="IG285"/>
      <c r="IH285"/>
      <c r="II285"/>
      <c r="IJ285"/>
      <c r="IK285"/>
      <c r="IL285"/>
      <c r="IM285"/>
      <c r="IN285"/>
      <c r="IO285"/>
      <c r="IP285"/>
      <c r="IQ285"/>
      <c r="IR285"/>
      <c r="IS285"/>
      <c r="IT285"/>
      <c r="IU285"/>
      <c r="IV285"/>
    </row>
    <row r="286" spans="117:256" s="70" customFormat="1" ht="12.75" x14ac:dyDescent="0.2">
      <c r="DM286" s="248" t="s">
        <v>525</v>
      </c>
      <c r="HY286"/>
      <c r="HZ286"/>
      <c r="IA286"/>
      <c r="IB286"/>
      <c r="IC286"/>
      <c r="ID286"/>
      <c r="IE286"/>
      <c r="IF286"/>
      <c r="IG286"/>
      <c r="IH286"/>
      <c r="II286"/>
      <c r="IJ286"/>
      <c r="IK286"/>
      <c r="IL286"/>
      <c r="IM286"/>
      <c r="IN286"/>
      <c r="IO286"/>
      <c r="IP286"/>
      <c r="IQ286"/>
      <c r="IR286"/>
      <c r="IS286"/>
      <c r="IT286"/>
      <c r="IU286"/>
      <c r="IV286"/>
    </row>
    <row r="287" spans="117:256" s="70" customFormat="1" ht="12.75" x14ac:dyDescent="0.2">
      <c r="HY287"/>
      <c r="HZ287"/>
      <c r="IA287"/>
      <c r="IB287"/>
      <c r="IC287"/>
      <c r="ID287"/>
      <c r="IE287"/>
      <c r="IF287"/>
      <c r="IG287"/>
      <c r="IH287"/>
      <c r="II287"/>
      <c r="IJ287"/>
      <c r="IK287"/>
      <c r="IL287"/>
      <c r="IM287"/>
      <c r="IN287"/>
      <c r="IO287"/>
      <c r="IP287"/>
      <c r="IQ287"/>
      <c r="IR287"/>
      <c r="IS287"/>
      <c r="IT287"/>
      <c r="IU287"/>
      <c r="IV287"/>
    </row>
    <row r="288" spans="117:256" s="70" customFormat="1" ht="12.75" x14ac:dyDescent="0.2">
      <c r="DM288" s="247" t="s">
        <v>487</v>
      </c>
      <c r="HY288"/>
      <c r="HZ288"/>
      <c r="IA288"/>
      <c r="IB288"/>
      <c r="IC288"/>
      <c r="ID288"/>
      <c r="IE288"/>
      <c r="IF288"/>
      <c r="IG288"/>
      <c r="IH288"/>
      <c r="II288"/>
      <c r="IJ288"/>
      <c r="IK288"/>
      <c r="IL288"/>
      <c r="IM288"/>
      <c r="IN288"/>
      <c r="IO288"/>
      <c r="IP288"/>
      <c r="IQ288"/>
      <c r="IR288"/>
      <c r="IS288"/>
      <c r="IT288"/>
      <c r="IU288"/>
      <c r="IV288"/>
    </row>
    <row r="289" spans="117:256" s="70" customFormat="1" ht="12.75" x14ac:dyDescent="0.2">
      <c r="DM289" s="70" t="s">
        <v>1083</v>
      </c>
      <c r="DN289" s="70">
        <v>108</v>
      </c>
      <c r="DO289" s="70">
        <v>125</v>
      </c>
      <c r="DP289" s="70">
        <v>132</v>
      </c>
      <c r="DQ289" s="70">
        <v>140</v>
      </c>
      <c r="HY289"/>
      <c r="HZ289"/>
      <c r="IA289"/>
      <c r="IB289"/>
      <c r="IC289"/>
      <c r="ID289"/>
      <c r="IE289"/>
      <c r="IF289"/>
      <c r="IG289"/>
      <c r="IH289"/>
      <c r="II289"/>
      <c r="IJ289"/>
      <c r="IK289"/>
      <c r="IL289"/>
      <c r="IM289"/>
      <c r="IN289"/>
      <c r="IO289"/>
      <c r="IP289"/>
      <c r="IQ289"/>
      <c r="IR289"/>
      <c r="IS289"/>
      <c r="IT289"/>
      <c r="IU289"/>
      <c r="IV289"/>
    </row>
    <row r="290" spans="117:256" s="70" customFormat="1" ht="12.75" x14ac:dyDescent="0.2">
      <c r="DM290" s="70" t="s">
        <v>13</v>
      </c>
      <c r="HY290"/>
      <c r="HZ290"/>
      <c r="IA290"/>
      <c r="IB290"/>
      <c r="IC290"/>
      <c r="ID290"/>
      <c r="IE290"/>
      <c r="IF290"/>
      <c r="IG290"/>
      <c r="IH290"/>
      <c r="II290"/>
      <c r="IJ290"/>
      <c r="IK290"/>
      <c r="IL290"/>
      <c r="IM290"/>
      <c r="IN290"/>
      <c r="IO290"/>
      <c r="IP290"/>
      <c r="IQ290"/>
      <c r="IR290"/>
      <c r="IS290"/>
      <c r="IT290"/>
      <c r="IU290"/>
      <c r="IV290"/>
    </row>
    <row r="291" spans="117:256" s="70" customFormat="1" ht="12.75" x14ac:dyDescent="0.2">
      <c r="HY291"/>
      <c r="HZ291"/>
      <c r="IA291"/>
      <c r="IB291"/>
      <c r="IC291"/>
      <c r="ID291"/>
      <c r="IE291"/>
      <c r="IF291"/>
      <c r="IG291"/>
      <c r="IH291"/>
      <c r="II291"/>
      <c r="IJ291"/>
      <c r="IK291"/>
      <c r="IL291"/>
      <c r="IM291"/>
      <c r="IN291"/>
      <c r="IO291"/>
      <c r="IP291"/>
      <c r="IQ291"/>
      <c r="IR291"/>
      <c r="IS291"/>
      <c r="IT291"/>
      <c r="IU291"/>
      <c r="IV291"/>
    </row>
    <row r="292" spans="117:256" s="70" customFormat="1" ht="12.75" x14ac:dyDescent="0.2">
      <c r="DM292" s="247" t="s">
        <v>526</v>
      </c>
      <c r="HY292"/>
      <c r="HZ292"/>
      <c r="IA292"/>
      <c r="IB292"/>
      <c r="IC292"/>
      <c r="ID292"/>
      <c r="IE292"/>
      <c r="IF292"/>
      <c r="IG292"/>
      <c r="IH292"/>
      <c r="II292"/>
      <c r="IJ292"/>
      <c r="IK292"/>
      <c r="IL292"/>
      <c r="IM292"/>
      <c r="IN292"/>
      <c r="IO292"/>
      <c r="IP292"/>
      <c r="IQ292"/>
      <c r="IR292"/>
      <c r="IS292"/>
      <c r="IT292"/>
      <c r="IU292"/>
      <c r="IV292"/>
    </row>
    <row r="293" spans="117:256" s="70" customFormat="1" ht="12.75" x14ac:dyDescent="0.2">
      <c r="DM293" s="70" t="s">
        <v>1083</v>
      </c>
      <c r="DN293" s="70">
        <v>63</v>
      </c>
      <c r="DO293" s="70">
        <v>70</v>
      </c>
      <c r="DP293" s="70">
        <v>75</v>
      </c>
      <c r="DQ293" s="70">
        <v>79</v>
      </c>
      <c r="HY293"/>
      <c r="HZ293"/>
      <c r="IA293"/>
      <c r="IB293"/>
      <c r="IC293"/>
      <c r="ID293"/>
      <c r="IE293"/>
      <c r="IF293"/>
      <c r="IG293"/>
      <c r="IH293"/>
      <c r="II293"/>
      <c r="IJ293"/>
      <c r="IK293"/>
      <c r="IL293"/>
      <c r="IM293"/>
      <c r="IN293"/>
      <c r="IO293"/>
      <c r="IP293"/>
      <c r="IQ293"/>
      <c r="IR293"/>
      <c r="IS293"/>
      <c r="IT293"/>
      <c r="IU293"/>
      <c r="IV293"/>
    </row>
    <row r="294" spans="117:256" s="70" customFormat="1" ht="12.75" x14ac:dyDescent="0.2">
      <c r="DM294" s="70" t="s">
        <v>13</v>
      </c>
      <c r="HY294"/>
      <c r="HZ294"/>
      <c r="IA294"/>
      <c r="IB294"/>
      <c r="IC294"/>
      <c r="ID294"/>
      <c r="IE294"/>
      <c r="IF294"/>
      <c r="IG294"/>
      <c r="IH294"/>
      <c r="II294"/>
      <c r="IJ294"/>
      <c r="IK294"/>
      <c r="IL294"/>
      <c r="IM294"/>
      <c r="IN294"/>
      <c r="IO294"/>
      <c r="IP294"/>
      <c r="IQ294"/>
      <c r="IR294"/>
      <c r="IS294"/>
      <c r="IT294"/>
      <c r="IU294"/>
      <c r="IV294"/>
    </row>
    <row r="295" spans="117:256" s="70" customFormat="1" ht="12.75" x14ac:dyDescent="0.2">
      <c r="HY295"/>
      <c r="HZ295"/>
      <c r="IA295"/>
      <c r="IB295"/>
      <c r="IC295"/>
      <c r="ID295"/>
      <c r="IE295"/>
      <c r="IF295"/>
      <c r="IG295"/>
      <c r="IH295"/>
      <c r="II295"/>
      <c r="IJ295"/>
      <c r="IK295"/>
      <c r="IL295"/>
      <c r="IM295"/>
      <c r="IN295"/>
      <c r="IO295"/>
      <c r="IP295"/>
      <c r="IQ295"/>
      <c r="IR295"/>
      <c r="IS295"/>
      <c r="IT295"/>
      <c r="IU295"/>
      <c r="IV295"/>
    </row>
    <row r="296" spans="117:256" s="70" customFormat="1" ht="12.75" x14ac:dyDescent="0.2">
      <c r="DM296" s="247" t="s">
        <v>527</v>
      </c>
      <c r="HY296"/>
      <c r="HZ296"/>
      <c r="IA296"/>
      <c r="IB296"/>
      <c r="IC296"/>
      <c r="ID296"/>
      <c r="IE296"/>
      <c r="IF296"/>
      <c r="IG296"/>
      <c r="IH296"/>
      <c r="II296"/>
      <c r="IJ296"/>
      <c r="IK296"/>
      <c r="IL296"/>
      <c r="IM296"/>
      <c r="IN296"/>
      <c r="IO296"/>
      <c r="IP296"/>
      <c r="IQ296"/>
      <c r="IR296"/>
      <c r="IS296"/>
      <c r="IT296"/>
      <c r="IU296"/>
      <c r="IV296"/>
    </row>
    <row r="297" spans="117:256" s="70" customFormat="1" ht="12.75" x14ac:dyDescent="0.2">
      <c r="DM297" s="70" t="s">
        <v>1083</v>
      </c>
      <c r="DN297" s="70">
        <f>DN289+DN293</f>
        <v>171</v>
      </c>
      <c r="DO297" s="70">
        <f>DO289+DO293</f>
        <v>195</v>
      </c>
      <c r="DP297" s="70">
        <f>DP289+DP293</f>
        <v>207</v>
      </c>
      <c r="DQ297" s="70">
        <f>DQ289+DQ293</f>
        <v>219</v>
      </c>
      <c r="HY297"/>
      <c r="HZ297"/>
      <c r="IA297"/>
      <c r="IB297"/>
      <c r="IC297"/>
      <c r="ID297"/>
      <c r="IE297"/>
      <c r="IF297"/>
      <c r="IG297"/>
      <c r="IH297"/>
      <c r="II297"/>
      <c r="IJ297"/>
      <c r="IK297"/>
      <c r="IL297"/>
      <c r="IM297"/>
      <c r="IN297"/>
      <c r="IO297"/>
      <c r="IP297"/>
      <c r="IQ297"/>
      <c r="IR297"/>
      <c r="IS297"/>
      <c r="IT297"/>
      <c r="IU297"/>
      <c r="IV297"/>
    </row>
    <row r="298" spans="117:256" s="70" customFormat="1" ht="12.75" x14ac:dyDescent="0.2">
      <c r="DM298" s="70" t="s">
        <v>13</v>
      </c>
      <c r="HY298"/>
      <c r="HZ298"/>
      <c r="IA298"/>
      <c r="IB298"/>
      <c r="IC298"/>
      <c r="ID298"/>
      <c r="IE298"/>
      <c r="IF298"/>
      <c r="IG298"/>
      <c r="IH298"/>
      <c r="II298"/>
      <c r="IJ298"/>
      <c r="IK298"/>
      <c r="IL298"/>
      <c r="IM298"/>
      <c r="IN298"/>
      <c r="IO298"/>
      <c r="IP298"/>
      <c r="IQ298"/>
      <c r="IR298"/>
      <c r="IS298"/>
      <c r="IT298"/>
      <c r="IU298"/>
      <c r="IV298"/>
    </row>
    <row r="299" spans="117:256" s="70" customFormat="1" ht="12.75" x14ac:dyDescent="0.2">
      <c r="HY299"/>
      <c r="HZ299"/>
      <c r="IA299"/>
      <c r="IB299"/>
      <c r="IC299"/>
      <c r="ID299"/>
      <c r="IE299"/>
      <c r="IF299"/>
      <c r="IG299"/>
      <c r="IH299"/>
      <c r="II299"/>
      <c r="IJ299"/>
      <c r="IK299"/>
      <c r="IL299"/>
      <c r="IM299"/>
      <c r="IN299"/>
      <c r="IO299"/>
      <c r="IP299"/>
      <c r="IQ299"/>
      <c r="IR299"/>
      <c r="IS299"/>
      <c r="IT299"/>
      <c r="IU299"/>
      <c r="IV299"/>
    </row>
    <row r="300" spans="117:256" s="70" customFormat="1" ht="12.75" x14ac:dyDescent="0.2">
      <c r="DM300" s="247" t="s">
        <v>528</v>
      </c>
      <c r="HY300"/>
      <c r="HZ300"/>
      <c r="IA300"/>
      <c r="IB300"/>
      <c r="IC300"/>
      <c r="ID300"/>
      <c r="IE300"/>
      <c r="IF300"/>
      <c r="IG300"/>
      <c r="IH300"/>
      <c r="II300"/>
      <c r="IJ300"/>
      <c r="IK300"/>
      <c r="IL300"/>
      <c r="IM300"/>
      <c r="IN300"/>
      <c r="IO300"/>
      <c r="IP300"/>
      <c r="IQ300"/>
      <c r="IR300"/>
      <c r="IS300"/>
      <c r="IT300"/>
      <c r="IU300"/>
      <c r="IV300"/>
    </row>
    <row r="301" spans="117:256" s="70" customFormat="1" ht="12.75" x14ac:dyDescent="0.2">
      <c r="DM301" s="70" t="s">
        <v>1083</v>
      </c>
      <c r="DN301" s="70">
        <v>56</v>
      </c>
      <c r="DO301" s="70">
        <v>71</v>
      </c>
      <c r="DP301" s="70">
        <v>80</v>
      </c>
      <c r="DQ301" s="70">
        <v>90</v>
      </c>
      <c r="ED301" s="70">
        <f>700/34.57</f>
        <v>20.248770610355798</v>
      </c>
      <c r="HY301"/>
      <c r="HZ301"/>
      <c r="IA301"/>
      <c r="IB301"/>
      <c r="IC301"/>
      <c r="ID301"/>
      <c r="IE301"/>
      <c r="IF301"/>
      <c r="IG301"/>
      <c r="IH301"/>
      <c r="II301"/>
      <c r="IJ301"/>
      <c r="IK301"/>
      <c r="IL301"/>
      <c r="IM301"/>
      <c r="IN301"/>
      <c r="IO301"/>
      <c r="IP301"/>
      <c r="IQ301"/>
      <c r="IR301"/>
      <c r="IS301"/>
      <c r="IT301"/>
      <c r="IU301"/>
      <c r="IV301"/>
    </row>
    <row r="302" spans="117:256" s="70" customFormat="1" ht="12.75" x14ac:dyDescent="0.2">
      <c r="DM302" s="70" t="s">
        <v>13</v>
      </c>
      <c r="HY302"/>
      <c r="HZ302"/>
      <c r="IA302"/>
      <c r="IB302"/>
      <c r="IC302"/>
      <c r="ID302"/>
      <c r="IE302"/>
      <c r="IF302"/>
      <c r="IG302"/>
      <c r="IH302"/>
      <c r="II302"/>
      <c r="IJ302"/>
      <c r="IK302"/>
      <c r="IL302"/>
      <c r="IM302"/>
      <c r="IN302"/>
      <c r="IO302"/>
      <c r="IP302"/>
      <c r="IQ302"/>
      <c r="IR302"/>
      <c r="IS302"/>
      <c r="IT302"/>
      <c r="IU302"/>
      <c r="IV302"/>
    </row>
    <row r="303" spans="117:256" s="70" customFormat="1" ht="12.75" x14ac:dyDescent="0.2">
      <c r="HY303"/>
      <c r="HZ303"/>
      <c r="IA303"/>
      <c r="IB303"/>
      <c r="IC303"/>
      <c r="ID303"/>
      <c r="IE303"/>
      <c r="IF303"/>
      <c r="IG303"/>
      <c r="IH303"/>
      <c r="II303"/>
      <c r="IJ303"/>
      <c r="IK303"/>
      <c r="IL303"/>
      <c r="IM303"/>
      <c r="IN303"/>
      <c r="IO303"/>
      <c r="IP303"/>
      <c r="IQ303"/>
      <c r="IR303"/>
      <c r="IS303"/>
      <c r="IT303"/>
      <c r="IU303"/>
      <c r="IV303"/>
    </row>
    <row r="304" spans="117:256" s="70" customFormat="1" ht="12.75" x14ac:dyDescent="0.2">
      <c r="HY304"/>
      <c r="HZ304"/>
      <c r="IA304"/>
      <c r="IB304"/>
      <c r="IC304"/>
      <c r="ID304"/>
      <c r="IE304"/>
      <c r="IF304"/>
      <c r="IG304"/>
      <c r="IH304"/>
      <c r="II304"/>
      <c r="IJ304"/>
      <c r="IK304"/>
      <c r="IL304"/>
      <c r="IM304"/>
      <c r="IN304"/>
      <c r="IO304"/>
      <c r="IP304"/>
      <c r="IQ304"/>
      <c r="IR304"/>
      <c r="IS304"/>
      <c r="IT304"/>
      <c r="IU304"/>
      <c r="IV304"/>
    </row>
    <row r="305" spans="124:256" s="70" customFormat="1" ht="4.5" customHeight="1" x14ac:dyDescent="0.2">
      <c r="HY305"/>
      <c r="HZ305"/>
      <c r="IA305"/>
      <c r="IB305"/>
      <c r="IC305"/>
      <c r="ID305"/>
      <c r="IE305"/>
      <c r="IF305"/>
      <c r="IG305"/>
      <c r="IH305"/>
      <c r="II305"/>
      <c r="IJ305"/>
      <c r="IK305"/>
      <c r="IL305"/>
      <c r="IM305"/>
      <c r="IN305"/>
      <c r="IO305"/>
      <c r="IP305"/>
      <c r="IQ305"/>
      <c r="IR305"/>
      <c r="IS305"/>
      <c r="IT305"/>
      <c r="IU305"/>
      <c r="IV305"/>
    </row>
    <row r="306" spans="124:256" s="70" customFormat="1" ht="12.75" x14ac:dyDescent="0.2">
      <c r="DT306" s="199" t="s">
        <v>1290</v>
      </c>
      <c r="HY306"/>
      <c r="HZ306"/>
      <c r="IA306"/>
      <c r="IB306"/>
      <c r="IC306"/>
      <c r="ID306"/>
      <c r="IE306"/>
      <c r="IF306"/>
      <c r="IG306"/>
      <c r="IH306"/>
      <c r="II306"/>
      <c r="IJ306"/>
      <c r="IK306"/>
      <c r="IL306"/>
      <c r="IM306"/>
      <c r="IN306"/>
      <c r="IO306"/>
      <c r="IP306"/>
      <c r="IQ306"/>
      <c r="IR306"/>
      <c r="IS306"/>
      <c r="IT306"/>
      <c r="IU306"/>
      <c r="IV306"/>
    </row>
    <row r="307" spans="124:256" s="70" customFormat="1" ht="12.75" x14ac:dyDescent="0.2">
      <c r="DT307" s="70" t="s">
        <v>351</v>
      </c>
      <c r="EF307" s="195"/>
      <c r="HY307"/>
      <c r="HZ307"/>
      <c r="IA307"/>
      <c r="IB307"/>
      <c r="IC307"/>
      <c r="ID307"/>
      <c r="IE307"/>
      <c r="IF307"/>
      <c r="IG307"/>
      <c r="IH307"/>
      <c r="II307"/>
      <c r="IJ307"/>
      <c r="IK307"/>
      <c r="IL307"/>
      <c r="IM307"/>
      <c r="IN307"/>
      <c r="IO307"/>
      <c r="IP307"/>
      <c r="IQ307"/>
      <c r="IR307"/>
      <c r="IS307"/>
      <c r="IT307"/>
      <c r="IU307"/>
      <c r="IV307"/>
    </row>
    <row r="308" spans="124:256" s="70" customFormat="1" ht="12.75" x14ac:dyDescent="0.2">
      <c r="DT308" s="312" t="s">
        <v>1671</v>
      </c>
      <c r="DU308" s="280" t="s">
        <v>848</v>
      </c>
      <c r="DV308" s="280" t="s">
        <v>849</v>
      </c>
      <c r="DW308" s="280" t="s">
        <v>850</v>
      </c>
      <c r="DX308" s="280" t="s">
        <v>851</v>
      </c>
      <c r="DY308" s="282">
        <v>2010</v>
      </c>
      <c r="DZ308" s="280" t="s">
        <v>644</v>
      </c>
      <c r="EA308" s="280" t="s">
        <v>1542</v>
      </c>
      <c r="EB308" s="280" t="s">
        <v>1543</v>
      </c>
      <c r="EC308" s="280" t="s">
        <v>1544</v>
      </c>
      <c r="ED308" s="279">
        <v>2011</v>
      </c>
      <c r="EE308" s="282">
        <v>2012</v>
      </c>
      <c r="EF308" s="282">
        <v>2013</v>
      </c>
      <c r="HY308"/>
      <c r="HZ308"/>
      <c r="IA308"/>
      <c r="IB308"/>
      <c r="IC308"/>
      <c r="ID308"/>
      <c r="IE308"/>
      <c r="IF308"/>
      <c r="IG308"/>
      <c r="IH308"/>
      <c r="II308"/>
      <c r="IJ308"/>
      <c r="IK308"/>
      <c r="IL308"/>
      <c r="IM308"/>
      <c r="IN308"/>
      <c r="IO308"/>
      <c r="IP308"/>
      <c r="IQ308"/>
      <c r="IR308"/>
      <c r="IS308"/>
      <c r="IT308"/>
      <c r="IU308"/>
      <c r="IV308"/>
    </row>
    <row r="309" spans="124:256" s="70" customFormat="1" ht="12.75" x14ac:dyDescent="0.2">
      <c r="DT309" s="313"/>
      <c r="DY309" s="197"/>
      <c r="ED309" s="197"/>
      <c r="EE309" s="197"/>
      <c r="EF309" s="197"/>
      <c r="HY309"/>
      <c r="HZ309"/>
      <c r="IA309"/>
      <c r="IB309"/>
      <c r="IC309"/>
      <c r="ID309"/>
      <c r="IE309"/>
      <c r="IF309"/>
      <c r="IG309"/>
      <c r="IH309"/>
      <c r="II309"/>
      <c r="IJ309"/>
      <c r="IK309"/>
      <c r="IL309"/>
      <c r="IM309"/>
      <c r="IN309"/>
      <c r="IO309"/>
      <c r="IP309"/>
      <c r="IQ309"/>
      <c r="IR309"/>
      <c r="IS309"/>
      <c r="IT309"/>
      <c r="IU309"/>
      <c r="IV309"/>
    </row>
    <row r="310" spans="124:256" s="70" customFormat="1" ht="12.75" x14ac:dyDescent="0.2">
      <c r="DT310" s="313" t="s">
        <v>1403</v>
      </c>
      <c r="DY310" s="194"/>
      <c r="ED310" s="194"/>
      <c r="EE310" s="194"/>
      <c r="EF310" s="194"/>
      <c r="HY310"/>
      <c r="HZ310"/>
      <c r="IA310"/>
      <c r="IB310"/>
      <c r="IC310"/>
      <c r="ID310"/>
      <c r="IE310"/>
      <c r="IF310"/>
      <c r="IG310"/>
      <c r="IH310"/>
      <c r="II310"/>
      <c r="IJ310"/>
      <c r="IK310"/>
      <c r="IL310"/>
      <c r="IM310"/>
      <c r="IN310"/>
      <c r="IO310"/>
      <c r="IP310"/>
      <c r="IQ310"/>
      <c r="IR310"/>
      <c r="IS310"/>
      <c r="IT310"/>
      <c r="IU310"/>
      <c r="IV310"/>
    </row>
    <row r="311" spans="124:256" s="70" customFormat="1" ht="12.75" x14ac:dyDescent="0.2">
      <c r="DT311" s="314" t="s">
        <v>1296</v>
      </c>
      <c r="DU311" s="17">
        <f>MAR!BG112</f>
        <v>74</v>
      </c>
      <c r="DV311" s="17">
        <f>MAR!BH112</f>
        <v>109</v>
      </c>
      <c r="DW311" s="17">
        <f>MAR!BI112</f>
        <v>68</v>
      </c>
      <c r="DX311" s="17">
        <f>MAR!BJ112</f>
        <v>135</v>
      </c>
      <c r="DY311" s="65">
        <f>MAR!BK112</f>
        <v>386</v>
      </c>
      <c r="DZ311" s="17">
        <f>MAR!BL112</f>
        <v>88</v>
      </c>
      <c r="EA311" s="17">
        <f>MAR!BM112</f>
        <v>126</v>
      </c>
      <c r="EB311" s="17">
        <f>MAR!BN112</f>
        <v>102</v>
      </c>
      <c r="EC311" s="17">
        <f>MAR!BO112</f>
        <v>159</v>
      </c>
      <c r="ED311" s="65">
        <f>MAR!BP112</f>
        <v>475</v>
      </c>
      <c r="EE311" s="65">
        <f>MAR!BU112</f>
        <v>571</v>
      </c>
      <c r="EF311" s="65">
        <f>MAR!BZ112</f>
        <v>626</v>
      </c>
      <c r="HY311"/>
      <c r="HZ311"/>
      <c r="IA311"/>
      <c r="IB311"/>
      <c r="IC311"/>
      <c r="ID311"/>
      <c r="IE311"/>
      <c r="IF311"/>
      <c r="IG311"/>
      <c r="IH311"/>
      <c r="II311"/>
      <c r="IJ311"/>
      <c r="IK311"/>
      <c r="IL311"/>
      <c r="IM311"/>
      <c r="IN311"/>
      <c r="IO311"/>
      <c r="IP311"/>
      <c r="IQ311"/>
      <c r="IR311"/>
      <c r="IS311"/>
      <c r="IT311"/>
      <c r="IU311"/>
      <c r="IV311"/>
    </row>
    <row r="312" spans="124:256" s="70" customFormat="1" ht="12.75" x14ac:dyDescent="0.2">
      <c r="DT312" s="315" t="s">
        <v>1404</v>
      </c>
      <c r="DU312" s="53">
        <f>MAR!BG113</f>
        <v>39</v>
      </c>
      <c r="DV312" s="53">
        <f>MAR!BH113</f>
        <v>42</v>
      </c>
      <c r="DW312" s="53">
        <f>MAR!BI113</f>
        <v>40</v>
      </c>
      <c r="DX312" s="53">
        <f>MAR!BJ113</f>
        <v>57</v>
      </c>
      <c r="DY312" s="317">
        <f>MAR!BK113</f>
        <v>178</v>
      </c>
      <c r="DZ312" s="53">
        <f>MAR!BL113</f>
        <v>35</v>
      </c>
      <c r="EA312" s="53">
        <f>MAR!BM113</f>
        <v>41</v>
      </c>
      <c r="EB312" s="53">
        <f>MAR!BN113</f>
        <v>40</v>
      </c>
      <c r="EC312" s="53">
        <f>MAR!BO113</f>
        <v>52</v>
      </c>
      <c r="ED312" s="71">
        <f>MAR!BP113</f>
        <v>168</v>
      </c>
      <c r="EE312" s="71">
        <f>MAR!BU113</f>
        <v>145</v>
      </c>
      <c r="EF312" s="71">
        <f>MAR!BZ113</f>
        <v>127</v>
      </c>
      <c r="HY312"/>
      <c r="HZ312"/>
      <c r="IA312"/>
      <c r="IB312"/>
      <c r="IC312"/>
      <c r="ID312"/>
      <c r="IE312"/>
      <c r="IF312"/>
      <c r="IG312"/>
      <c r="IH312"/>
      <c r="II312"/>
      <c r="IJ312"/>
      <c r="IK312"/>
      <c r="IL312"/>
      <c r="IM312"/>
      <c r="IN312"/>
      <c r="IO312"/>
      <c r="IP312"/>
      <c r="IQ312"/>
      <c r="IR312"/>
      <c r="IS312"/>
      <c r="IT312"/>
      <c r="IU312"/>
      <c r="IV312"/>
    </row>
    <row r="313" spans="124:256" s="70" customFormat="1" ht="12.75" x14ac:dyDescent="0.2">
      <c r="DT313" s="315" t="s">
        <v>2234</v>
      </c>
      <c r="DU313" s="53">
        <f>91/4</f>
        <v>22.75</v>
      </c>
      <c r="DV313" s="53">
        <f>91/4</f>
        <v>22.75</v>
      </c>
      <c r="DW313" s="53">
        <f>91/4</f>
        <v>22.75</v>
      </c>
      <c r="DX313" s="53">
        <f>91/4</f>
        <v>22.75</v>
      </c>
      <c r="DY313" s="317">
        <f>SUM(DU313:DX313)</f>
        <v>91</v>
      </c>
      <c r="DZ313" s="53">
        <f>$DY$313/4</f>
        <v>22.75</v>
      </c>
      <c r="EA313" s="53">
        <f>$DY$313/4</f>
        <v>22.75</v>
      </c>
      <c r="EB313" s="53">
        <f>$DY$313/4</f>
        <v>22.75</v>
      </c>
      <c r="EC313" s="53">
        <f>$DY$313/4</f>
        <v>22.75</v>
      </c>
      <c r="ED313" s="71">
        <f>SUM(DZ313:EC313)</f>
        <v>91</v>
      </c>
      <c r="EE313" s="71">
        <f>ED313</f>
        <v>91</v>
      </c>
      <c r="EF313" s="71">
        <f>EE313</f>
        <v>91</v>
      </c>
      <c r="HY313"/>
      <c r="HZ313"/>
      <c r="IA313"/>
      <c r="IB313"/>
      <c r="IC313"/>
      <c r="ID313"/>
      <c r="IE313"/>
      <c r="IF313"/>
      <c r="IG313"/>
      <c r="IH313"/>
      <c r="II313"/>
      <c r="IJ313"/>
      <c r="IK313"/>
      <c r="IL313"/>
      <c r="IM313"/>
      <c r="IN313"/>
      <c r="IO313"/>
      <c r="IP313"/>
      <c r="IQ313"/>
      <c r="IR313"/>
      <c r="IS313"/>
      <c r="IT313"/>
      <c r="IU313"/>
      <c r="IV313"/>
    </row>
    <row r="314" spans="124:256" s="70" customFormat="1" ht="12.75" x14ac:dyDescent="0.2">
      <c r="DT314" s="184" t="s">
        <v>234</v>
      </c>
      <c r="DU314" s="53">
        <f>MAR!BG114</f>
        <v>0</v>
      </c>
      <c r="DV314" s="53">
        <f>MAR!BH114</f>
        <v>0</v>
      </c>
      <c r="DW314" s="53">
        <f>MAR!BI114</f>
        <v>0</v>
      </c>
      <c r="DX314" s="53">
        <f>MAR!BJ114</f>
        <v>0</v>
      </c>
      <c r="DY314" s="71">
        <f>MAR!BK114</f>
        <v>0</v>
      </c>
      <c r="DZ314" s="53">
        <f>MAR!BL114</f>
        <v>-18.75</v>
      </c>
      <c r="EA314" s="53">
        <f>MAR!BM114</f>
        <v>-18.75</v>
      </c>
      <c r="EB314" s="53">
        <f>MAR!BN114</f>
        <v>-18.75</v>
      </c>
      <c r="EC314" s="53">
        <f>MAR!BO114</f>
        <v>-18.75</v>
      </c>
      <c r="ED314" s="71">
        <f>MAR!BP114</f>
        <v>-149</v>
      </c>
      <c r="EE314" s="71">
        <f>MAR!BU114</f>
        <v>-340.25</v>
      </c>
      <c r="EF314" s="71">
        <f>MAR!BZ114</f>
        <v>-164</v>
      </c>
      <c r="HY314"/>
      <c r="HZ314"/>
      <c r="IA314"/>
      <c r="IB314"/>
      <c r="IC314"/>
      <c r="ID314"/>
      <c r="IE314"/>
      <c r="IF314"/>
      <c r="IG314"/>
      <c r="IH314"/>
      <c r="II314"/>
      <c r="IJ314"/>
      <c r="IK314"/>
      <c r="IL314"/>
      <c r="IM314"/>
      <c r="IN314"/>
      <c r="IO314"/>
      <c r="IP314"/>
      <c r="IQ314"/>
      <c r="IR314"/>
      <c r="IS314"/>
      <c r="IT314"/>
      <c r="IU314"/>
      <c r="IV314"/>
    </row>
    <row r="315" spans="124:256" s="70" customFormat="1" ht="12.75" x14ac:dyDescent="0.2">
      <c r="DT315" s="184" t="s">
        <v>235</v>
      </c>
      <c r="DU315" s="53">
        <f>MAR!BG115</f>
        <v>-74</v>
      </c>
      <c r="DV315" s="53">
        <f>MAR!BH115</f>
        <v>101</v>
      </c>
      <c r="DW315" s="53">
        <f>MAR!BI115</f>
        <v>150</v>
      </c>
      <c r="DX315" s="53">
        <f>MAR!BJ115</f>
        <v>-57</v>
      </c>
      <c r="DY315" s="317">
        <f>SUM(DU315:DX315)</f>
        <v>120</v>
      </c>
      <c r="DZ315" s="53">
        <f>0</f>
        <v>0</v>
      </c>
      <c r="EA315" s="53">
        <f>0</f>
        <v>0</v>
      </c>
      <c r="EB315" s="53">
        <f>0</f>
        <v>0</v>
      </c>
      <c r="EC315" s="53">
        <f>0</f>
        <v>0</v>
      </c>
      <c r="ED315" s="71">
        <f>0</f>
        <v>0</v>
      </c>
      <c r="EE315" s="71">
        <f>0</f>
        <v>0</v>
      </c>
      <c r="EF315" s="71">
        <f>0</f>
        <v>0</v>
      </c>
      <c r="HY315"/>
      <c r="HZ315"/>
      <c r="IA315"/>
      <c r="IB315"/>
      <c r="IC315"/>
      <c r="ID315"/>
      <c r="IE315"/>
      <c r="IF315"/>
      <c r="IG315"/>
      <c r="IH315"/>
      <c r="II315"/>
      <c r="IJ315"/>
      <c r="IK315"/>
      <c r="IL315"/>
      <c r="IM315"/>
      <c r="IN315"/>
      <c r="IO315"/>
      <c r="IP315"/>
      <c r="IQ315"/>
      <c r="IR315"/>
      <c r="IS315"/>
      <c r="IT315"/>
      <c r="IU315"/>
      <c r="IV315"/>
    </row>
    <row r="316" spans="124:256" s="70" customFormat="1" ht="12.75" x14ac:dyDescent="0.2">
      <c r="DT316" s="185" t="s">
        <v>236</v>
      </c>
      <c r="DU316" s="54">
        <f>MAR!BG116</f>
        <v>44</v>
      </c>
      <c r="DV316" s="54">
        <f>MAR!BH116</f>
        <v>43</v>
      </c>
      <c r="DW316" s="54">
        <f>MAR!BI116</f>
        <v>30</v>
      </c>
      <c r="DX316" s="54">
        <f>MAR!BJ116</f>
        <v>85</v>
      </c>
      <c r="DY316" s="72">
        <f>MAR!BK116</f>
        <v>202</v>
      </c>
      <c r="DZ316" s="54">
        <f>MAR!BL116</f>
        <v>68</v>
      </c>
      <c r="EA316" s="54">
        <f>MAR!BM116</f>
        <v>42</v>
      </c>
      <c r="EB316" s="54">
        <f>MAR!BN116</f>
        <v>294</v>
      </c>
      <c r="EC316" s="54">
        <f>MAR!BO116</f>
        <v>153</v>
      </c>
      <c r="ED316" s="72">
        <f>MAR!BP116</f>
        <v>557</v>
      </c>
      <c r="EE316" s="72">
        <f>MAR!BU116</f>
        <v>303</v>
      </c>
      <c r="EF316" s="72">
        <f>MAR!BZ116</f>
        <v>172</v>
      </c>
      <c r="HY316"/>
      <c r="HZ316"/>
      <c r="IA316"/>
      <c r="IB316"/>
      <c r="IC316"/>
      <c r="ID316"/>
      <c r="IE316"/>
      <c r="IF316"/>
      <c r="IG316"/>
      <c r="IH316"/>
      <c r="II316"/>
      <c r="IJ316"/>
      <c r="IK316"/>
      <c r="IL316"/>
      <c r="IM316"/>
      <c r="IN316"/>
      <c r="IO316"/>
      <c r="IP316"/>
      <c r="IQ316"/>
      <c r="IR316"/>
      <c r="IS316"/>
      <c r="IT316"/>
      <c r="IU316"/>
      <c r="IV316"/>
    </row>
    <row r="317" spans="124:256" s="70" customFormat="1" ht="12.75" x14ac:dyDescent="0.2">
      <c r="DT317" s="14" t="s">
        <v>377</v>
      </c>
      <c r="DU317" s="322">
        <f>SUM(DU311:DU316)</f>
        <v>105.75</v>
      </c>
      <c r="DV317" s="322">
        <f t="shared" ref="DV317:EF317" si="28">SUM(DV311:DV316)</f>
        <v>317.75</v>
      </c>
      <c r="DW317" s="322">
        <f t="shared" si="28"/>
        <v>310.75</v>
      </c>
      <c r="DX317" s="322">
        <f t="shared" si="28"/>
        <v>242.75</v>
      </c>
      <c r="DY317" s="323">
        <f t="shared" si="28"/>
        <v>977</v>
      </c>
      <c r="DZ317" s="322">
        <f t="shared" si="28"/>
        <v>195</v>
      </c>
      <c r="EA317" s="322">
        <f>SUM(EA311:EA316)</f>
        <v>213</v>
      </c>
      <c r="EB317" s="322">
        <f>SUM(EB311:EB316)</f>
        <v>440</v>
      </c>
      <c r="EC317" s="322">
        <f t="shared" si="28"/>
        <v>368</v>
      </c>
      <c r="ED317" s="323">
        <f>SUM(ED311:ED316)</f>
        <v>1142</v>
      </c>
      <c r="EE317" s="323">
        <f>SUM(EE311:EE316)</f>
        <v>769.75</v>
      </c>
      <c r="EF317" s="323">
        <f t="shared" si="28"/>
        <v>852</v>
      </c>
      <c r="EH317" s="199">
        <f>SUM(ED317:EF317)</f>
        <v>2763.75</v>
      </c>
      <c r="HY317"/>
      <c r="HZ317"/>
      <c r="IA317"/>
      <c r="IB317"/>
      <c r="IC317"/>
      <c r="ID317"/>
      <c r="IE317"/>
      <c r="IF317"/>
      <c r="IG317"/>
      <c r="IH317"/>
      <c r="II317"/>
      <c r="IJ317"/>
      <c r="IK317"/>
      <c r="IL317"/>
      <c r="IM317"/>
      <c r="IN317"/>
      <c r="IO317"/>
      <c r="IP317"/>
      <c r="IQ317"/>
      <c r="IR317"/>
      <c r="IS317"/>
      <c r="IT317"/>
      <c r="IU317"/>
      <c r="IV317"/>
    </row>
    <row r="318" spans="124:256" s="70" customFormat="1" ht="12.75" x14ac:dyDescent="0.2">
      <c r="DT318" s="318"/>
      <c r="DU318" s="55"/>
      <c r="DV318" s="55"/>
      <c r="DW318" s="55"/>
      <c r="DX318" s="55"/>
      <c r="DY318" s="73"/>
      <c r="DZ318" s="55"/>
      <c r="EA318" s="55"/>
      <c r="EB318" s="55"/>
      <c r="EC318" s="55"/>
      <c r="ED318" s="73"/>
      <c r="EE318" s="73"/>
      <c r="EF318" s="73"/>
      <c r="HY318"/>
      <c r="HZ318"/>
      <c r="IA318"/>
      <c r="IB318"/>
      <c r="IC318"/>
      <c r="ID318"/>
      <c r="IE318"/>
      <c r="IF318"/>
      <c r="IG318"/>
      <c r="IH318"/>
      <c r="II318"/>
      <c r="IJ318"/>
      <c r="IK318"/>
      <c r="IL318"/>
      <c r="IM318"/>
      <c r="IN318"/>
      <c r="IO318"/>
      <c r="IP318"/>
      <c r="IQ318"/>
      <c r="IR318"/>
      <c r="IS318"/>
      <c r="IT318"/>
      <c r="IU318"/>
      <c r="IV318"/>
    </row>
    <row r="319" spans="124:256" s="70" customFormat="1" ht="12.75" x14ac:dyDescent="0.2">
      <c r="DT319" s="313" t="s">
        <v>1405</v>
      </c>
      <c r="DU319" s="182"/>
      <c r="DV319" s="182"/>
      <c r="DW319" s="182"/>
      <c r="DX319" s="182"/>
      <c r="DY319" s="316"/>
      <c r="DZ319" s="182"/>
      <c r="EA319" s="182"/>
      <c r="EB319" s="182"/>
      <c r="EC319" s="182"/>
      <c r="ED319" s="316"/>
      <c r="EE319" s="316"/>
      <c r="EF319" s="316"/>
      <c r="EI319" s="53"/>
      <c r="EJ319" s="53"/>
      <c r="EK319" s="53"/>
      <c r="EL319" s="53"/>
      <c r="EM319" s="317"/>
      <c r="EN319" s="53"/>
      <c r="EO319" s="53"/>
      <c r="EP319" s="53"/>
      <c r="EQ319" s="53"/>
      <c r="ER319" s="71"/>
      <c r="ES319" s="71"/>
      <c r="ET319" s="71"/>
      <c r="HY319"/>
      <c r="HZ319"/>
      <c r="IA319"/>
      <c r="IB319"/>
      <c r="IC319"/>
      <c r="ID319"/>
      <c r="IE319"/>
      <c r="IF319"/>
      <c r="IG319"/>
      <c r="IH319"/>
      <c r="II319"/>
      <c r="IJ319"/>
      <c r="IK319"/>
      <c r="IL319"/>
      <c r="IM319"/>
      <c r="IN319"/>
      <c r="IO319"/>
      <c r="IP319"/>
      <c r="IQ319"/>
      <c r="IR319"/>
      <c r="IS319"/>
      <c r="IT319"/>
      <c r="IU319"/>
      <c r="IV319"/>
    </row>
    <row r="320" spans="124:256" s="70" customFormat="1" ht="12.75" x14ac:dyDescent="0.2">
      <c r="DT320" s="184" t="s">
        <v>1088</v>
      </c>
      <c r="DU320" s="17">
        <f>MAR!BG118</f>
        <v>-25</v>
      </c>
      <c r="DV320" s="17">
        <f>MAR!BH118</f>
        <v>-39</v>
      </c>
      <c r="DW320" s="17">
        <f>MAR!BI118</f>
        <v>-83</v>
      </c>
      <c r="DX320" s="17">
        <f>MAR!BJ118</f>
        <v>-160</v>
      </c>
      <c r="DY320" s="65">
        <f>MAR!BK118</f>
        <v>-307</v>
      </c>
      <c r="DZ320" s="17">
        <f>MAR!BL118</f>
        <v>-43.25</v>
      </c>
      <c r="EA320" s="17">
        <f>MAR!BM118</f>
        <v>-10.25</v>
      </c>
      <c r="EB320" s="17">
        <f>MAR!BN118</f>
        <v>-18.25</v>
      </c>
      <c r="EC320" s="17">
        <f>MAR!BO118</f>
        <v>-36.25</v>
      </c>
      <c r="ED320" s="65">
        <f>MAR!BP118</f>
        <v>-108</v>
      </c>
      <c r="EE320" s="65">
        <f>MAR!BU118</f>
        <v>-349.75</v>
      </c>
      <c r="EF320" s="65">
        <f>MAR!BZ118</f>
        <v>-301</v>
      </c>
      <c r="EH320" s="70">
        <f>SUM(ED320:EF323)</f>
        <v>-206.75</v>
      </c>
      <c r="HY320"/>
      <c r="HZ320"/>
      <c r="IA320"/>
      <c r="IB320"/>
      <c r="IC320"/>
      <c r="ID320"/>
      <c r="IE320"/>
      <c r="IF320"/>
      <c r="IG320"/>
      <c r="IH320"/>
      <c r="II320"/>
      <c r="IJ320"/>
      <c r="IK320"/>
      <c r="IL320"/>
      <c r="IM320"/>
      <c r="IN320"/>
      <c r="IO320"/>
      <c r="IP320"/>
      <c r="IQ320"/>
      <c r="IR320"/>
      <c r="IS320"/>
      <c r="IT320"/>
      <c r="IU320"/>
      <c r="IV320"/>
    </row>
    <row r="321" spans="124:256" s="70" customFormat="1" ht="12.75" x14ac:dyDescent="0.2">
      <c r="DT321" s="184" t="s">
        <v>282</v>
      </c>
      <c r="DU321" s="53">
        <f>MAR!BG119</f>
        <v>0</v>
      </c>
      <c r="DV321" s="53">
        <f>MAR!BH119</f>
        <v>0</v>
      </c>
      <c r="DW321" s="53">
        <f>MAR!BI119</f>
        <v>3</v>
      </c>
      <c r="DX321" s="53">
        <f>MAR!BJ119</f>
        <v>111</v>
      </c>
      <c r="DY321" s="317">
        <f>MAR!BK119</f>
        <v>114</v>
      </c>
      <c r="DZ321" s="53">
        <f>MAR!BL119</f>
        <v>0</v>
      </c>
      <c r="EA321" s="53">
        <f>MAR!BM119</f>
        <v>0</v>
      </c>
      <c r="EB321" s="53">
        <f>MAR!BN119</f>
        <v>1</v>
      </c>
      <c r="EC321" s="53">
        <f>MAR!BO119</f>
        <v>19</v>
      </c>
      <c r="ED321" s="71">
        <f>MAR!BP119</f>
        <v>20</v>
      </c>
      <c r="EE321" s="71">
        <f>MAR!BU119</f>
        <v>65</v>
      </c>
      <c r="EF321" s="71">
        <f>MAR!BZ119</f>
        <v>0</v>
      </c>
      <c r="EH321" s="70">
        <f>SUM(EH317:EH320)</f>
        <v>2557</v>
      </c>
      <c r="HY321"/>
      <c r="HZ321"/>
      <c r="IA321"/>
      <c r="IB321"/>
      <c r="IC321"/>
      <c r="ID321"/>
      <c r="IE321"/>
      <c r="IF321"/>
      <c r="IG321"/>
      <c r="IH321"/>
      <c r="II321"/>
      <c r="IJ321"/>
      <c r="IK321"/>
      <c r="IL321"/>
      <c r="IM321"/>
      <c r="IN321"/>
      <c r="IO321"/>
      <c r="IP321"/>
      <c r="IQ321"/>
      <c r="IR321"/>
      <c r="IS321"/>
      <c r="IT321"/>
      <c r="IU321"/>
      <c r="IV321"/>
    </row>
    <row r="322" spans="124:256" s="70" customFormat="1" ht="12.75" x14ac:dyDescent="0.2">
      <c r="DT322" s="186" t="s">
        <v>1289</v>
      </c>
      <c r="DU322" s="53">
        <f>MAR!BG120+MAR!BG121</f>
        <v>0</v>
      </c>
      <c r="DV322" s="53">
        <f>MAR!BH120+MAR!BH121</f>
        <v>-1</v>
      </c>
      <c r="DW322" s="53">
        <f>MAR!BI120+MAR!BI121</f>
        <v>-1</v>
      </c>
      <c r="DX322" s="53">
        <f>MAR!BJ120+MAR!BJ121</f>
        <v>-4</v>
      </c>
      <c r="DY322" s="317">
        <f>MAR!BK120+MAR!BK121</f>
        <v>-6</v>
      </c>
      <c r="DZ322" s="53">
        <f>MAR!BL120+MAR!BL121</f>
        <v>0</v>
      </c>
      <c r="EA322" s="53">
        <f>MAR!BM120+MAR!BM121</f>
        <v>77</v>
      </c>
      <c r="EB322" s="53">
        <f>MAR!BN120+MAR!BN121</f>
        <v>12</v>
      </c>
      <c r="EC322" s="53">
        <f>MAR!BO120+MAR!BO121</f>
        <v>-5</v>
      </c>
      <c r="ED322" s="71">
        <f>MAR!BP120+MAR!BP121</f>
        <v>84</v>
      </c>
      <c r="EE322" s="71">
        <f>MAR!BU120+MAR!BU121</f>
        <v>138</v>
      </c>
      <c r="EF322" s="71">
        <f>MAR!BZ120+MAR!BZ121</f>
        <v>70</v>
      </c>
      <c r="HY322"/>
      <c r="HZ322"/>
      <c r="IA322"/>
      <c r="IB322"/>
      <c r="IC322"/>
      <c r="ID322"/>
      <c r="IE322"/>
      <c r="IF322"/>
      <c r="IG322"/>
      <c r="IH322"/>
      <c r="II322"/>
      <c r="IJ322"/>
      <c r="IK322"/>
      <c r="IL322"/>
      <c r="IM322"/>
      <c r="IN322"/>
      <c r="IO322"/>
      <c r="IP322"/>
      <c r="IQ322"/>
      <c r="IR322"/>
      <c r="IS322"/>
      <c r="IT322"/>
      <c r="IU322"/>
      <c r="IV322"/>
    </row>
    <row r="323" spans="124:256" s="70" customFormat="1" ht="12.75" x14ac:dyDescent="0.2">
      <c r="DT323" s="186" t="s">
        <v>154</v>
      </c>
      <c r="DU323" s="53">
        <f>MAR!BG122</f>
        <v>68</v>
      </c>
      <c r="DV323" s="53">
        <f>MAR!BH122</f>
        <v>57</v>
      </c>
      <c r="DW323" s="53">
        <f>MAR!BI122</f>
        <v>88</v>
      </c>
      <c r="DX323" s="53">
        <f>MAR!BJ122</f>
        <v>3</v>
      </c>
      <c r="DY323" s="317">
        <f>MAR!BK122</f>
        <v>216</v>
      </c>
      <c r="DZ323" s="53">
        <f>MAR!BL122</f>
        <v>81</v>
      </c>
      <c r="EA323" s="53">
        <f>MAR!BM122</f>
        <v>32</v>
      </c>
      <c r="EB323" s="53">
        <f>MAR!BN122</f>
        <v>45</v>
      </c>
      <c r="EC323" s="53">
        <f>MAR!BO122</f>
        <v>17</v>
      </c>
      <c r="ED323" s="71">
        <f>MAR!BP122</f>
        <v>175</v>
      </c>
      <c r="EE323" s="71">
        <f>MAR!BU122</f>
        <v>0</v>
      </c>
      <c r="EF323" s="71">
        <f>MAR!BZ122</f>
        <v>0</v>
      </c>
      <c r="HY323"/>
      <c r="HZ323"/>
      <c r="IA323"/>
      <c r="IB323"/>
      <c r="IC323"/>
      <c r="ID323"/>
      <c r="IE323"/>
      <c r="IF323"/>
      <c r="IG323"/>
      <c r="IH323"/>
      <c r="II323"/>
      <c r="IJ323"/>
      <c r="IK323"/>
      <c r="IL323"/>
      <c r="IM323"/>
      <c r="IN323"/>
      <c r="IO323"/>
      <c r="IP323"/>
      <c r="IQ323"/>
      <c r="IR323"/>
      <c r="IS323"/>
      <c r="IT323"/>
      <c r="IU323"/>
      <c r="IV323"/>
    </row>
    <row r="324" spans="124:256" s="70" customFormat="1" ht="12.75" x14ac:dyDescent="0.2">
      <c r="DT324" s="186" t="s">
        <v>155</v>
      </c>
      <c r="DU324" s="53"/>
      <c r="DV324" s="53"/>
      <c r="DW324" s="53"/>
      <c r="DX324" s="53"/>
      <c r="DY324" s="317"/>
      <c r="DZ324" s="53"/>
      <c r="EA324" s="53"/>
      <c r="EB324" s="53"/>
      <c r="EC324" s="53"/>
      <c r="ED324" s="71"/>
      <c r="EE324" s="71"/>
      <c r="EF324" s="71"/>
      <c r="HY324"/>
      <c r="HZ324"/>
      <c r="IA324"/>
      <c r="IB324"/>
      <c r="IC324"/>
      <c r="ID324"/>
      <c r="IE324"/>
      <c r="IF324"/>
      <c r="IG324"/>
      <c r="IH324"/>
      <c r="II324"/>
      <c r="IJ324"/>
      <c r="IK324"/>
      <c r="IL324"/>
      <c r="IM324"/>
      <c r="IN324"/>
      <c r="IO324"/>
      <c r="IP324"/>
      <c r="IQ324"/>
      <c r="IR324"/>
      <c r="IS324"/>
      <c r="IT324"/>
      <c r="IU324"/>
      <c r="IV324"/>
    </row>
    <row r="325" spans="124:256" s="70" customFormat="1" ht="12.75" x14ac:dyDescent="0.2">
      <c r="DT325" s="187" t="s">
        <v>811</v>
      </c>
      <c r="DU325" s="53">
        <f>MAR!BG124</f>
        <v>0</v>
      </c>
      <c r="DV325" s="53">
        <f>MAR!BH124</f>
        <v>0</v>
      </c>
      <c r="DW325" s="53">
        <f>MAR!BI124</f>
        <v>0</v>
      </c>
      <c r="DX325" s="53">
        <f>MAR!BJ124</f>
        <v>-57</v>
      </c>
      <c r="DY325" s="317">
        <f>MAR!BK124</f>
        <v>-57</v>
      </c>
      <c r="DZ325" s="53">
        <v>0</v>
      </c>
      <c r="EA325" s="53">
        <v>0</v>
      </c>
      <c r="EB325" s="53">
        <v>0</v>
      </c>
      <c r="EC325" s="53">
        <v>0</v>
      </c>
      <c r="ED325" s="71">
        <f>EC325</f>
        <v>0</v>
      </c>
      <c r="EE325" s="71">
        <f>ED325</f>
        <v>0</v>
      </c>
      <c r="EF325" s="71">
        <f>EE325</f>
        <v>0</v>
      </c>
      <c r="HY325"/>
      <c r="HZ325"/>
      <c r="IA325"/>
      <c r="IB325"/>
      <c r="IC325"/>
      <c r="ID325"/>
      <c r="IE325"/>
      <c r="IF325"/>
      <c r="IG325"/>
      <c r="IH325"/>
      <c r="II325"/>
      <c r="IJ325"/>
      <c r="IK325"/>
      <c r="IL325"/>
      <c r="IM325"/>
      <c r="IN325"/>
      <c r="IO325"/>
      <c r="IP325"/>
      <c r="IQ325"/>
      <c r="IR325"/>
      <c r="IS325"/>
      <c r="IT325"/>
      <c r="IU325"/>
      <c r="IV325"/>
    </row>
    <row r="326" spans="124:256" s="70" customFormat="1" ht="12.75" x14ac:dyDescent="0.2">
      <c r="DT326" s="313" t="s">
        <v>1405</v>
      </c>
      <c r="DU326" s="55">
        <f t="shared" ref="DU326:EF326" si="29">SUM(DU320:DU325)</f>
        <v>43</v>
      </c>
      <c r="DV326" s="55">
        <f t="shared" si="29"/>
        <v>17</v>
      </c>
      <c r="DW326" s="55">
        <f t="shared" si="29"/>
        <v>7</v>
      </c>
      <c r="DX326" s="55">
        <f t="shared" si="29"/>
        <v>-107</v>
      </c>
      <c r="DY326" s="73">
        <f t="shared" si="29"/>
        <v>-40</v>
      </c>
      <c r="DZ326" s="55">
        <f t="shared" si="29"/>
        <v>37.75</v>
      </c>
      <c r="EA326" s="55">
        <f t="shared" si="29"/>
        <v>98.75</v>
      </c>
      <c r="EB326" s="55">
        <f t="shared" si="29"/>
        <v>39.75</v>
      </c>
      <c r="EC326" s="55">
        <f t="shared" si="29"/>
        <v>-5.25</v>
      </c>
      <c r="ED326" s="73">
        <f t="shared" si="29"/>
        <v>171</v>
      </c>
      <c r="EE326" s="73">
        <f t="shared" si="29"/>
        <v>-146.75</v>
      </c>
      <c r="EF326" s="73">
        <f t="shared" si="29"/>
        <v>-231</v>
      </c>
      <c r="HY326"/>
      <c r="HZ326"/>
      <c r="IA326"/>
      <c r="IB326"/>
      <c r="IC326"/>
      <c r="ID326"/>
      <c r="IE326"/>
      <c r="IF326"/>
      <c r="IG326"/>
      <c r="IH326"/>
      <c r="II326"/>
      <c r="IJ326"/>
      <c r="IK326"/>
      <c r="IL326"/>
      <c r="IM326"/>
      <c r="IN326"/>
      <c r="IO326"/>
      <c r="IP326"/>
      <c r="IQ326"/>
      <c r="IR326"/>
      <c r="IS326"/>
      <c r="IT326"/>
      <c r="IU326"/>
      <c r="IV326"/>
    </row>
    <row r="327" spans="124:256" s="70" customFormat="1" ht="12.75" x14ac:dyDescent="0.2">
      <c r="DT327" s="313"/>
      <c r="DU327" s="182"/>
      <c r="DV327" s="182"/>
      <c r="DW327" s="182"/>
      <c r="DX327" s="182"/>
      <c r="DY327" s="321"/>
      <c r="DZ327" s="182"/>
      <c r="EA327" s="182"/>
      <c r="EB327" s="182"/>
      <c r="EC327" s="182"/>
      <c r="ED327" s="321"/>
      <c r="EE327" s="321"/>
      <c r="EF327" s="321"/>
      <c r="HY327"/>
      <c r="HZ327"/>
      <c r="IA327"/>
      <c r="IB327"/>
      <c r="IC327"/>
      <c r="ID327"/>
      <c r="IE327"/>
      <c r="IF327"/>
      <c r="IG327"/>
      <c r="IH327"/>
      <c r="II327"/>
      <c r="IJ327"/>
      <c r="IK327"/>
      <c r="IL327"/>
      <c r="IM327"/>
      <c r="IN327"/>
      <c r="IO327"/>
      <c r="IP327"/>
      <c r="IQ327"/>
      <c r="IR327"/>
      <c r="IS327"/>
      <c r="IT327"/>
      <c r="IU327"/>
      <c r="IV327"/>
    </row>
    <row r="328" spans="124:256" s="70" customFormat="1" ht="12.75" x14ac:dyDescent="0.2">
      <c r="DT328" s="312" t="s">
        <v>350</v>
      </c>
      <c r="DU328" s="339">
        <f t="shared" ref="DU328:EF328" si="30">DU326+DU317</f>
        <v>148.75</v>
      </c>
      <c r="DV328" s="339">
        <f t="shared" si="30"/>
        <v>334.75</v>
      </c>
      <c r="DW328" s="339">
        <f t="shared" si="30"/>
        <v>317.75</v>
      </c>
      <c r="DX328" s="339">
        <f t="shared" si="30"/>
        <v>135.75</v>
      </c>
      <c r="DY328" s="340">
        <f t="shared" si="30"/>
        <v>937</v>
      </c>
      <c r="DZ328" s="339">
        <f t="shared" si="30"/>
        <v>232.75</v>
      </c>
      <c r="EA328" s="339">
        <f t="shared" si="30"/>
        <v>311.75</v>
      </c>
      <c r="EB328" s="339">
        <f t="shared" si="30"/>
        <v>479.75</v>
      </c>
      <c r="EC328" s="339">
        <f t="shared" si="30"/>
        <v>362.75</v>
      </c>
      <c r="ED328" s="340">
        <f t="shared" si="30"/>
        <v>1313</v>
      </c>
      <c r="EE328" s="340">
        <f t="shared" si="30"/>
        <v>623</v>
      </c>
      <c r="EF328" s="340">
        <f t="shared" si="30"/>
        <v>621</v>
      </c>
      <c r="EH328" s="70">
        <f>SUM(ED328:EF328)</f>
        <v>2557</v>
      </c>
      <c r="EI328" s="70">
        <f>EH328-SUM(ED324:EF324)</f>
        <v>2557</v>
      </c>
      <c r="EJ328" s="199" t="s">
        <v>347</v>
      </c>
      <c r="HY328"/>
      <c r="HZ328"/>
      <c r="IA328"/>
      <c r="IB328"/>
      <c r="IC328"/>
      <c r="ID328"/>
      <c r="IE328"/>
      <c r="IF328"/>
      <c r="IG328"/>
      <c r="IH328"/>
      <c r="II328"/>
      <c r="IJ328"/>
      <c r="IK328"/>
      <c r="IL328"/>
      <c r="IM328"/>
      <c r="IN328"/>
      <c r="IO328"/>
      <c r="IP328"/>
      <c r="IQ328"/>
      <c r="IR328"/>
      <c r="IS328"/>
      <c r="IT328"/>
      <c r="IU328"/>
      <c r="IV328"/>
    </row>
    <row r="329" spans="124:256" s="70" customFormat="1" ht="12.75" x14ac:dyDescent="0.2">
      <c r="DT329" s="319"/>
      <c r="DU329" s="182"/>
      <c r="DV329" s="182"/>
      <c r="DW329" s="182"/>
      <c r="DX329" s="182"/>
      <c r="DY329" s="316"/>
      <c r="DZ329" s="182"/>
      <c r="EA329" s="182"/>
      <c r="EB329" s="182"/>
      <c r="EC329" s="182"/>
      <c r="ED329" s="316"/>
      <c r="EE329" s="316"/>
      <c r="EF329" s="316"/>
      <c r="EI329" s="70">
        <f>EI328-SUM(EP351:ER351)</f>
        <v>-1156.7289861111112</v>
      </c>
      <c r="EJ329" s="199" t="s">
        <v>348</v>
      </c>
      <c r="HY329"/>
      <c r="HZ329"/>
      <c r="IA329"/>
      <c r="IB329"/>
      <c r="IC329"/>
      <c r="ID329"/>
      <c r="IE329"/>
      <c r="IF329"/>
      <c r="IG329"/>
      <c r="IH329"/>
      <c r="II329"/>
      <c r="IJ329"/>
      <c r="IK329"/>
      <c r="IL329"/>
      <c r="IM329"/>
      <c r="IN329"/>
      <c r="IO329"/>
      <c r="IP329"/>
      <c r="IQ329"/>
      <c r="IR329"/>
      <c r="IS329"/>
      <c r="IT329"/>
      <c r="IU329"/>
      <c r="IV329"/>
    </row>
    <row r="330" spans="124:256" s="70" customFormat="1" ht="12.75" x14ac:dyDescent="0.2">
      <c r="DT330" s="320" t="s">
        <v>349</v>
      </c>
      <c r="DU330" s="182">
        <f>MAR!BG58</f>
        <v>373.3</v>
      </c>
      <c r="DV330" s="182">
        <f>MAR!BH58</f>
        <v>377.9</v>
      </c>
      <c r="DW330" s="182">
        <f>MAR!BI58</f>
        <v>378.1</v>
      </c>
      <c r="DX330" s="182">
        <f>MAR!BJ58</f>
        <v>382</v>
      </c>
      <c r="DY330" s="316">
        <f>MAR!BK58</f>
        <v>377.82500000000005</v>
      </c>
      <c r="DZ330" s="182">
        <f>MAR!BL58</f>
        <v>381.8</v>
      </c>
      <c r="EA330" s="182">
        <f t="shared" ref="EA330:EF330" si="31">DZ330</f>
        <v>381.8</v>
      </c>
      <c r="EB330" s="182">
        <f t="shared" si="31"/>
        <v>381.8</v>
      </c>
      <c r="EC330" s="182">
        <f t="shared" si="31"/>
        <v>381.8</v>
      </c>
      <c r="ED330" s="316">
        <f t="shared" si="31"/>
        <v>381.8</v>
      </c>
      <c r="EE330" s="316">
        <f t="shared" si="31"/>
        <v>381.8</v>
      </c>
      <c r="EF330" s="316">
        <f t="shared" si="31"/>
        <v>381.8</v>
      </c>
      <c r="HY330"/>
      <c r="HZ330"/>
      <c r="IA330"/>
      <c r="IB330"/>
      <c r="IC330"/>
      <c r="ID330"/>
      <c r="IE330"/>
      <c r="IF330"/>
      <c r="IG330"/>
      <c r="IH330"/>
      <c r="II330"/>
      <c r="IJ330"/>
      <c r="IK330"/>
      <c r="IL330"/>
      <c r="IM330"/>
      <c r="IN330"/>
      <c r="IO330"/>
      <c r="IP330"/>
      <c r="IQ330"/>
      <c r="IR330"/>
      <c r="IS330"/>
      <c r="IT330"/>
      <c r="IU330"/>
      <c r="IV330"/>
    </row>
    <row r="331" spans="124:256" s="70" customFormat="1" ht="12.75" x14ac:dyDescent="0.2">
      <c r="DT331" s="341" t="s">
        <v>158</v>
      </c>
      <c r="DU331" s="342">
        <f>DU328/DU330</f>
        <v>0.39847307795338871</v>
      </c>
      <c r="DV331" s="342">
        <f t="shared" ref="DV331:EF331" si="32">DV328/DV330</f>
        <v>0.88581635353268062</v>
      </c>
      <c r="DW331" s="342">
        <f t="shared" si="32"/>
        <v>0.84038614123247812</v>
      </c>
      <c r="DX331" s="342">
        <f t="shared" si="32"/>
        <v>0.35536649214659688</v>
      </c>
      <c r="DY331" s="343">
        <f t="shared" si="32"/>
        <v>2.4799841196321046</v>
      </c>
      <c r="DZ331" s="342">
        <f t="shared" si="32"/>
        <v>0.60961236249345208</v>
      </c>
      <c r="EA331" s="342">
        <f t="shared" si="32"/>
        <v>0.81652697747511782</v>
      </c>
      <c r="EB331" s="342">
        <f t="shared" si="32"/>
        <v>1.2565479308538501</v>
      </c>
      <c r="EC331" s="342">
        <f t="shared" si="32"/>
        <v>0.95010476689366152</v>
      </c>
      <c r="ED331" s="343">
        <f t="shared" si="32"/>
        <v>3.4389732844421164</v>
      </c>
      <c r="EE331" s="343">
        <f t="shared" si="32"/>
        <v>1.6317443687794657</v>
      </c>
      <c r="EF331" s="343">
        <f t="shared" si="32"/>
        <v>1.6265060240963856</v>
      </c>
      <c r="EI331" s="149">
        <f>EI328/34.57</f>
        <v>73.965866358113971</v>
      </c>
      <c r="EJ331" s="311">
        <f>EI331/$EF$330</f>
        <v>0.1937293513832215</v>
      </c>
      <c r="HY331"/>
      <c r="HZ331"/>
      <c r="IA331"/>
      <c r="IB331"/>
      <c r="IC331"/>
      <c r="ID331"/>
      <c r="IE331"/>
      <c r="IF331"/>
      <c r="IG331"/>
      <c r="IH331"/>
      <c r="II331"/>
      <c r="IJ331"/>
      <c r="IK331"/>
      <c r="IL331"/>
      <c r="IM331"/>
      <c r="IN331"/>
      <c r="IO331"/>
      <c r="IP331"/>
      <c r="IQ331"/>
      <c r="IR331"/>
      <c r="IS331"/>
      <c r="IT331"/>
      <c r="IU331"/>
      <c r="IV331"/>
    </row>
    <row r="332" spans="124:256" s="70" customFormat="1" ht="12.75" x14ac:dyDescent="0.2">
      <c r="EH332" s="70">
        <f>EH328-EI329</f>
        <v>3713.7289861111112</v>
      </c>
      <c r="HY332"/>
      <c r="HZ332"/>
      <c r="IA332"/>
      <c r="IB332"/>
      <c r="IC332"/>
      <c r="ID332"/>
      <c r="IE332"/>
      <c r="IF332"/>
      <c r="IG332"/>
      <c r="IH332"/>
      <c r="II332"/>
      <c r="IJ332"/>
      <c r="IK332"/>
      <c r="IL332"/>
      <c r="IM332"/>
      <c r="IN332"/>
      <c r="IO332"/>
      <c r="IP332"/>
      <c r="IQ332"/>
      <c r="IR332"/>
      <c r="IS332"/>
      <c r="IT332"/>
      <c r="IU332"/>
      <c r="IV332"/>
    </row>
    <row r="333" spans="124:256" s="70" customFormat="1" ht="12.75" x14ac:dyDescent="0.2">
      <c r="HY333"/>
      <c r="HZ333"/>
      <c r="IA333"/>
      <c r="IB333"/>
      <c r="IC333"/>
      <c r="ID333"/>
      <c r="IE333"/>
      <c r="IF333"/>
      <c r="IG333"/>
      <c r="IH333"/>
      <c r="II333"/>
      <c r="IJ333"/>
      <c r="IK333"/>
      <c r="IL333"/>
      <c r="IM333"/>
      <c r="IN333"/>
      <c r="IO333"/>
      <c r="IP333"/>
      <c r="IQ333"/>
      <c r="IR333"/>
      <c r="IS333"/>
      <c r="IT333"/>
      <c r="IU333"/>
      <c r="IV333"/>
    </row>
    <row r="334" spans="124:256" s="70" customFormat="1" ht="12.75" x14ac:dyDescent="0.2">
      <c r="EI334" s="70">
        <f>EH328/34.57</f>
        <v>73.965866358113971</v>
      </c>
      <c r="EJ334" s="70">
        <f>(EH328-SUM(EP351:ER351))/34.57</f>
        <v>-33.460485568733333</v>
      </c>
      <c r="HY334"/>
      <c r="HZ334"/>
      <c r="IA334"/>
      <c r="IB334"/>
      <c r="IC334"/>
      <c r="ID334"/>
      <c r="IE334"/>
      <c r="IF334"/>
      <c r="IG334"/>
      <c r="IH334"/>
      <c r="II334"/>
      <c r="IJ334"/>
      <c r="IK334"/>
      <c r="IL334"/>
      <c r="IM334"/>
      <c r="IN334"/>
      <c r="IO334"/>
      <c r="IP334"/>
      <c r="IQ334"/>
      <c r="IR334"/>
      <c r="IS334"/>
      <c r="IT334"/>
      <c r="IU334"/>
      <c r="IV334"/>
    </row>
    <row r="335" spans="124:256" s="70" customFormat="1" ht="12.75" x14ac:dyDescent="0.2">
      <c r="EI335" s="311">
        <f>EI334/$EF$330</f>
        <v>0.1937293513832215</v>
      </c>
      <c r="EJ335" s="311">
        <f>EJ334/$EF$330</f>
        <v>-8.7638778336127113E-2</v>
      </c>
      <c r="HY335"/>
      <c r="HZ335"/>
      <c r="IA335"/>
      <c r="IB335"/>
      <c r="IC335"/>
      <c r="ID335"/>
      <c r="IE335"/>
      <c r="IF335"/>
      <c r="IG335"/>
      <c r="IH335"/>
      <c r="II335"/>
      <c r="IJ335"/>
      <c r="IK335"/>
      <c r="IL335"/>
      <c r="IM335"/>
      <c r="IN335"/>
      <c r="IO335"/>
      <c r="IP335"/>
      <c r="IQ335"/>
      <c r="IR335"/>
      <c r="IS335"/>
      <c r="IT335"/>
      <c r="IU335"/>
      <c r="IV335"/>
    </row>
    <row r="336" spans="124:256" s="70" customFormat="1" ht="12.75" x14ac:dyDescent="0.2">
      <c r="EO336" t="s">
        <v>1974</v>
      </c>
      <c r="EP336" s="327">
        <f>MAR!BP$638</f>
        <v>0.30555555555555558</v>
      </c>
      <c r="EQ336" s="327">
        <f>MAR!BU$638</f>
        <v>0.32744405182567726</v>
      </c>
      <c r="ER336" s="327">
        <f>MAR!BZ$638</f>
        <v>0.30211817168338906</v>
      </c>
      <c r="HY336"/>
      <c r="HZ336"/>
      <c r="IA336"/>
      <c r="IB336"/>
      <c r="IC336"/>
      <c r="ID336"/>
      <c r="IE336"/>
      <c r="IF336"/>
      <c r="IG336"/>
      <c r="IH336"/>
      <c r="II336"/>
      <c r="IJ336"/>
      <c r="IK336"/>
      <c r="IL336"/>
      <c r="IM336"/>
      <c r="IN336"/>
      <c r="IO336"/>
      <c r="IP336"/>
      <c r="IQ336"/>
      <c r="IR336"/>
      <c r="IS336"/>
      <c r="IT336"/>
      <c r="IU336"/>
      <c r="IV336"/>
    </row>
    <row r="337" spans="145:256" s="70" customFormat="1" ht="12.75" x14ac:dyDescent="0.2">
      <c r="EO337"/>
      <c r="EP337"/>
      <c r="EQ337"/>
      <c r="ER337"/>
      <c r="HY337"/>
      <c r="HZ337"/>
      <c r="IA337"/>
      <c r="IB337"/>
      <c r="IC337"/>
      <c r="ID337"/>
      <c r="IE337"/>
      <c r="IF337"/>
      <c r="IG337"/>
      <c r="IH337"/>
      <c r="II337"/>
      <c r="IJ337"/>
      <c r="IK337"/>
      <c r="IL337"/>
      <c r="IM337"/>
      <c r="IN337"/>
      <c r="IO337"/>
      <c r="IP337"/>
      <c r="IQ337"/>
      <c r="IR337"/>
      <c r="IS337"/>
      <c r="IT337"/>
      <c r="IU337"/>
      <c r="IV337"/>
    </row>
    <row r="338" spans="145:256" s="70" customFormat="1" ht="12.75" x14ac:dyDescent="0.2">
      <c r="EO338"/>
      <c r="EP338"/>
      <c r="EQ338"/>
      <c r="ER338"/>
      <c r="HY338"/>
      <c r="HZ338"/>
      <c r="IA338"/>
      <c r="IB338"/>
      <c r="IC338"/>
      <c r="ID338"/>
      <c r="IE338"/>
      <c r="IF338"/>
      <c r="IG338"/>
      <c r="IH338"/>
      <c r="II338"/>
      <c r="IJ338"/>
      <c r="IK338"/>
      <c r="IL338"/>
      <c r="IM338"/>
      <c r="IN338"/>
      <c r="IO338"/>
      <c r="IP338"/>
      <c r="IQ338"/>
      <c r="IR338"/>
      <c r="IS338"/>
      <c r="IT338"/>
      <c r="IU338"/>
      <c r="IV338"/>
    </row>
    <row r="339" spans="145:256" s="70" customFormat="1" ht="12.75" x14ac:dyDescent="0.2">
      <c r="EO339" s="331" t="s">
        <v>576</v>
      </c>
      <c r="EP339" s="280">
        <v>2011</v>
      </c>
      <c r="EQ339" s="280">
        <v>2012</v>
      </c>
      <c r="ER339" s="281">
        <v>2013</v>
      </c>
      <c r="HY339"/>
      <c r="HZ339"/>
      <c r="IA339"/>
      <c r="IB339"/>
      <c r="IC339"/>
      <c r="ID339"/>
      <c r="IE339"/>
      <c r="IF339"/>
      <c r="IG339"/>
      <c r="IH339"/>
      <c r="II339"/>
      <c r="IJ339"/>
      <c r="IK339"/>
      <c r="IL339"/>
      <c r="IM339"/>
      <c r="IN339"/>
      <c r="IO339"/>
      <c r="IP339"/>
      <c r="IQ339"/>
      <c r="IR339"/>
      <c r="IS339"/>
      <c r="IT339"/>
      <c r="IU339"/>
      <c r="IV339"/>
    </row>
    <row r="340" spans="145:256" s="70" customFormat="1" ht="12.75" x14ac:dyDescent="0.2">
      <c r="EO340" s="193" t="s">
        <v>488</v>
      </c>
      <c r="EP340" s="329">
        <f>MAR!BP$489</f>
        <v>209.90734000000026</v>
      </c>
      <c r="EQ340" s="329">
        <f>MAR!BU$489</f>
        <v>0</v>
      </c>
      <c r="ER340" s="330">
        <f>MAR!BZ$489</f>
        <v>0</v>
      </c>
      <c r="HY340"/>
      <c r="HZ340"/>
      <c r="IA340"/>
      <c r="IB340"/>
      <c r="IC340"/>
      <c r="ID340"/>
      <c r="IE340"/>
      <c r="IF340"/>
      <c r="IG340"/>
      <c r="IH340"/>
      <c r="II340"/>
      <c r="IJ340"/>
      <c r="IK340"/>
      <c r="IL340"/>
      <c r="IM340"/>
      <c r="IN340"/>
      <c r="IO340"/>
      <c r="IP340"/>
      <c r="IQ340"/>
      <c r="IR340"/>
      <c r="IS340"/>
      <c r="IT340"/>
      <c r="IU340"/>
      <c r="IV340"/>
    </row>
    <row r="341" spans="145:256" s="70" customFormat="1" ht="12.75" x14ac:dyDescent="0.2">
      <c r="EO341" s="193" t="s">
        <v>1175</v>
      </c>
      <c r="EP341" s="213">
        <f>-MAR!BP$487</f>
        <v>2</v>
      </c>
      <c r="EQ341" s="213">
        <f>-MAR!BU$487</f>
        <v>0</v>
      </c>
      <c r="ER341" s="28">
        <f>-MAR!BZ$487</f>
        <v>0</v>
      </c>
      <c r="HY341"/>
      <c r="HZ341"/>
      <c r="IA341"/>
      <c r="IB341"/>
      <c r="IC341"/>
      <c r="ID341"/>
      <c r="IE341"/>
      <c r="IF341"/>
      <c r="IG341"/>
      <c r="IH341"/>
      <c r="II341"/>
      <c r="IJ341"/>
      <c r="IK341"/>
      <c r="IL341"/>
      <c r="IM341"/>
      <c r="IN341"/>
      <c r="IO341"/>
      <c r="IP341"/>
      <c r="IQ341"/>
      <c r="IR341"/>
      <c r="IS341"/>
      <c r="IT341"/>
      <c r="IU341"/>
      <c r="IV341"/>
    </row>
    <row r="342" spans="145:256" s="70" customFormat="1" ht="12.75" x14ac:dyDescent="0.2">
      <c r="EO342" s="193" t="s">
        <v>1633</v>
      </c>
      <c r="EP342" s="328">
        <f>-MAR!BP$488</f>
        <v>-20</v>
      </c>
      <c r="EQ342" s="328">
        <f>-MAR!BU$488</f>
        <v>0</v>
      </c>
      <c r="ER342" s="209">
        <f>-MAR!BZ$488</f>
        <v>0</v>
      </c>
      <c r="HY342"/>
      <c r="HZ342"/>
      <c r="IA342"/>
      <c r="IB342"/>
      <c r="IC342"/>
      <c r="ID342"/>
      <c r="IE342"/>
      <c r="IF342"/>
      <c r="IG342"/>
      <c r="IH342"/>
      <c r="II342"/>
      <c r="IJ342"/>
      <c r="IK342"/>
      <c r="IL342"/>
      <c r="IM342"/>
      <c r="IN342"/>
      <c r="IO342"/>
      <c r="IP342"/>
      <c r="IQ342"/>
      <c r="IR342"/>
      <c r="IS342"/>
      <c r="IT342"/>
      <c r="IU342"/>
      <c r="IV342"/>
    </row>
    <row r="343" spans="145:256" s="70" customFormat="1" ht="12.75" x14ac:dyDescent="0.2">
      <c r="EO343" s="193" t="s">
        <v>583</v>
      </c>
      <c r="EP343" s="213">
        <f>SUM(EP340:EP342)</f>
        <v>191.90734000000026</v>
      </c>
      <c r="EQ343" s="213">
        <f>SUM(EQ340:EQ342)</f>
        <v>0</v>
      </c>
      <c r="ER343" s="28">
        <f>SUM(ER340:ER342)</f>
        <v>0</v>
      </c>
      <c r="HY343"/>
      <c r="HZ343"/>
      <c r="IA343"/>
      <c r="IB343"/>
      <c r="IC343"/>
      <c r="ID343"/>
      <c r="IE343"/>
      <c r="IF343"/>
      <c r="IG343"/>
      <c r="IH343"/>
      <c r="II343"/>
      <c r="IJ343"/>
      <c r="IK343"/>
      <c r="IL343"/>
      <c r="IM343"/>
      <c r="IN343"/>
      <c r="IO343"/>
      <c r="IP343"/>
      <c r="IQ343"/>
      <c r="IR343"/>
      <c r="IS343"/>
      <c r="IT343"/>
      <c r="IU343"/>
      <c r="IV343"/>
    </row>
    <row r="344" spans="145:256" s="70" customFormat="1" ht="12.75" x14ac:dyDescent="0.2">
      <c r="EO344" s="193"/>
      <c r="EP344" s="213"/>
      <c r="EQ344" s="213"/>
      <c r="ER344" s="28"/>
      <c r="HY344"/>
      <c r="HZ344"/>
      <c r="IA344"/>
      <c r="IB344"/>
      <c r="IC344"/>
      <c r="ID344"/>
      <c r="IE344"/>
      <c r="IF344"/>
      <c r="IG344"/>
      <c r="IH344"/>
      <c r="II344"/>
      <c r="IJ344"/>
      <c r="IK344"/>
      <c r="IL344"/>
      <c r="IM344"/>
      <c r="IN344"/>
      <c r="IO344"/>
      <c r="IP344"/>
      <c r="IQ344"/>
      <c r="IR344"/>
      <c r="IS344"/>
      <c r="IT344"/>
      <c r="IU344"/>
      <c r="IV344"/>
    </row>
    <row r="345" spans="145:256" s="70" customFormat="1" ht="12.75" x14ac:dyDescent="0.2">
      <c r="EO345" s="193" t="s">
        <v>123</v>
      </c>
      <c r="EP345" s="213">
        <f>-EP343*EP336</f>
        <v>-58.638353888888972</v>
      </c>
      <c r="EQ345" s="213">
        <f>-EQ343*EQ336</f>
        <v>0</v>
      </c>
      <c r="ER345" s="28">
        <f>-ER343*ER336</f>
        <v>0</v>
      </c>
      <c r="HY345"/>
      <c r="HZ345"/>
      <c r="IA345"/>
      <c r="IB345"/>
      <c r="IC345"/>
      <c r="ID345"/>
      <c r="IE345"/>
      <c r="IF345"/>
      <c r="IG345"/>
      <c r="IH345"/>
      <c r="II345"/>
      <c r="IJ345"/>
      <c r="IK345"/>
      <c r="IL345"/>
      <c r="IM345"/>
      <c r="IN345"/>
      <c r="IO345"/>
      <c r="IP345"/>
      <c r="IQ345"/>
      <c r="IR345"/>
      <c r="IS345"/>
      <c r="IT345"/>
      <c r="IU345"/>
      <c r="IV345"/>
    </row>
    <row r="346" spans="145:256" s="70" customFormat="1" ht="12.75" x14ac:dyDescent="0.2">
      <c r="EO346" s="193"/>
      <c r="EP346" s="213"/>
      <c r="EQ346" s="213"/>
      <c r="ER346" s="28"/>
      <c r="HY346"/>
      <c r="HZ346"/>
      <c r="IA346"/>
      <c r="IB346"/>
      <c r="IC346"/>
      <c r="ID346"/>
      <c r="IE346"/>
      <c r="IF346"/>
      <c r="IG346"/>
      <c r="IH346"/>
      <c r="II346"/>
      <c r="IJ346"/>
      <c r="IK346"/>
      <c r="IL346"/>
      <c r="IM346"/>
      <c r="IN346"/>
      <c r="IO346"/>
      <c r="IP346"/>
      <c r="IQ346"/>
      <c r="IR346"/>
      <c r="IS346"/>
      <c r="IT346"/>
      <c r="IU346"/>
      <c r="IV346"/>
    </row>
    <row r="347" spans="145:256" s="70" customFormat="1" ht="12.75" x14ac:dyDescent="0.2">
      <c r="EO347" s="193" t="s">
        <v>1296</v>
      </c>
      <c r="EP347" s="213">
        <f>EP343+EP345</f>
        <v>133.2689861111113</v>
      </c>
      <c r="EQ347" s="213">
        <f>EQ343+EQ345</f>
        <v>0</v>
      </c>
      <c r="ER347" s="28">
        <f>ER343+ER345</f>
        <v>0</v>
      </c>
      <c r="HY347"/>
      <c r="HZ347"/>
      <c r="IA347"/>
      <c r="IB347"/>
      <c r="IC347"/>
      <c r="ID347"/>
      <c r="IE347"/>
      <c r="IF347"/>
      <c r="IG347"/>
      <c r="IH347"/>
      <c r="II347"/>
      <c r="IJ347"/>
      <c r="IK347"/>
      <c r="IL347"/>
      <c r="IM347"/>
      <c r="IN347"/>
      <c r="IO347"/>
      <c r="IP347"/>
      <c r="IQ347"/>
      <c r="IR347"/>
      <c r="IS347"/>
      <c r="IT347"/>
      <c r="IU347"/>
      <c r="IV347"/>
    </row>
    <row r="348" spans="145:256" s="70" customFormat="1" ht="12.75" x14ac:dyDescent="0.2">
      <c r="EO348" s="193" t="s">
        <v>584</v>
      </c>
      <c r="EP348" s="213">
        <f>MAR!$BK$500-MAR!$BP$500</f>
        <v>549.79000000000008</v>
      </c>
      <c r="EQ348" s="213">
        <f>MAR!BP$496-MAR!BU$496</f>
        <v>924.31999999999994</v>
      </c>
      <c r="ER348" s="28">
        <f>MAR!BU$496-MAR!BZ$496</f>
        <v>0</v>
      </c>
      <c r="HY348"/>
      <c r="HZ348"/>
      <c r="IA348"/>
      <c r="IB348"/>
      <c r="IC348"/>
      <c r="ID348"/>
      <c r="IE348"/>
      <c r="IF348"/>
      <c r="IG348"/>
      <c r="IH348"/>
      <c r="II348"/>
      <c r="IJ348"/>
      <c r="IK348"/>
      <c r="IL348"/>
      <c r="IM348"/>
      <c r="IN348"/>
      <c r="IO348"/>
      <c r="IP348"/>
      <c r="IQ348"/>
      <c r="IR348"/>
      <c r="IS348"/>
      <c r="IT348"/>
      <c r="IU348"/>
      <c r="IV348"/>
    </row>
    <row r="349" spans="145:256" s="70" customFormat="1" ht="12.75" x14ac:dyDescent="0.2">
      <c r="EO349" s="193" t="s">
        <v>1973</v>
      </c>
      <c r="EP349" s="213">
        <f>MAR!$BK$506-MAR!$BP$506</f>
        <v>419.65000000000009</v>
      </c>
      <c r="EQ349" s="213">
        <f>MAR!$BP$506-MAR!$BU$506</f>
        <v>844.34999999999991</v>
      </c>
      <c r="ER349" s="28">
        <f>MAR!$BP$506-MAR!$BU$506</f>
        <v>844.34999999999991</v>
      </c>
      <c r="HY349"/>
      <c r="HZ349"/>
      <c r="IA349"/>
      <c r="IB349"/>
      <c r="IC349"/>
      <c r="ID349"/>
      <c r="IE349"/>
      <c r="IF349"/>
      <c r="IG349"/>
      <c r="IH349"/>
      <c r="II349"/>
      <c r="IJ349"/>
      <c r="IK349"/>
      <c r="IL349"/>
      <c r="IM349"/>
      <c r="IN349"/>
      <c r="IO349"/>
      <c r="IP349"/>
      <c r="IQ349"/>
      <c r="IR349"/>
      <c r="IS349"/>
      <c r="IT349"/>
      <c r="IU349"/>
      <c r="IV349"/>
    </row>
    <row r="350" spans="145:256" s="70" customFormat="1" ht="12.75" x14ac:dyDescent="0.2">
      <c r="EO350" s="193" t="str">
        <f>EO341</f>
        <v>D&amp;A</v>
      </c>
      <c r="EP350" s="328">
        <f>-EP341</f>
        <v>-2</v>
      </c>
      <c r="EQ350" s="328">
        <f>-EQ341</f>
        <v>0</v>
      </c>
      <c r="ER350" s="209">
        <f>-ER341</f>
        <v>0</v>
      </c>
      <c r="HY350"/>
      <c r="HZ350"/>
      <c r="IA350"/>
      <c r="IB350"/>
      <c r="IC350"/>
      <c r="ID350"/>
      <c r="IE350"/>
      <c r="IF350"/>
      <c r="IG350"/>
      <c r="IH350"/>
      <c r="II350"/>
      <c r="IJ350"/>
      <c r="IK350"/>
      <c r="IL350"/>
      <c r="IM350"/>
      <c r="IN350"/>
      <c r="IO350"/>
      <c r="IP350"/>
      <c r="IQ350"/>
      <c r="IR350"/>
      <c r="IS350"/>
      <c r="IT350"/>
      <c r="IU350"/>
      <c r="IV350"/>
    </row>
    <row r="351" spans="145:256" s="70" customFormat="1" ht="12.75" x14ac:dyDescent="0.2">
      <c r="EO351" s="332" t="s">
        <v>1975</v>
      </c>
      <c r="EP351" s="333">
        <f>SUM(EP347:EP350)</f>
        <v>1100.7089861111115</v>
      </c>
      <c r="EQ351" s="333">
        <f>SUM(EQ347:EQ350)</f>
        <v>1768.6699999999998</v>
      </c>
      <c r="ER351" s="334">
        <f>SUM(ER347:ER350)</f>
        <v>844.34999999999991</v>
      </c>
      <c r="HY351"/>
      <c r="HZ351"/>
      <c r="IA351"/>
      <c r="IB351"/>
      <c r="IC351"/>
      <c r="ID351"/>
      <c r="IE351"/>
      <c r="IF351"/>
      <c r="IG351"/>
      <c r="IH351"/>
      <c r="II351"/>
      <c r="IJ351"/>
      <c r="IK351"/>
      <c r="IL351"/>
      <c r="IM351"/>
      <c r="IN351"/>
      <c r="IO351"/>
      <c r="IP351"/>
      <c r="IQ351"/>
      <c r="IR351"/>
      <c r="IS351"/>
      <c r="IT351"/>
      <c r="IU351"/>
      <c r="IV351"/>
    </row>
    <row r="352" spans="145:256" s="70" customFormat="1" ht="12.75" x14ac:dyDescent="0.2">
      <c r="HY352"/>
      <c r="HZ352"/>
      <c r="IA352"/>
      <c r="IB352"/>
      <c r="IC352"/>
      <c r="ID352"/>
      <c r="IE352"/>
      <c r="IF352"/>
      <c r="IG352"/>
      <c r="IH352"/>
      <c r="II352"/>
      <c r="IJ352"/>
      <c r="IK352"/>
      <c r="IL352"/>
      <c r="IM352"/>
      <c r="IN352"/>
      <c r="IO352"/>
      <c r="IP352"/>
      <c r="IQ352"/>
      <c r="IR352"/>
      <c r="IS352"/>
      <c r="IT352"/>
      <c r="IU352"/>
      <c r="IV352"/>
    </row>
    <row r="353" spans="150:256" s="70" customFormat="1" ht="12.75" x14ac:dyDescent="0.2">
      <c r="HY353"/>
      <c r="HZ353"/>
      <c r="IA353"/>
      <c r="IB353"/>
      <c r="IC353"/>
      <c r="ID353"/>
      <c r="IE353"/>
      <c r="IF353"/>
      <c r="IG353"/>
      <c r="IH353"/>
      <c r="II353"/>
      <c r="IJ353"/>
      <c r="IK353"/>
      <c r="IL353"/>
      <c r="IM353"/>
      <c r="IN353"/>
      <c r="IO353"/>
      <c r="IP353"/>
      <c r="IQ353"/>
      <c r="IR353"/>
      <c r="IS353"/>
      <c r="IT353"/>
      <c r="IU353"/>
      <c r="IV353"/>
    </row>
    <row r="354" spans="150:256" s="70" customFormat="1" ht="12.75" x14ac:dyDescent="0.2">
      <c r="HY354"/>
      <c r="HZ354"/>
      <c r="IA354"/>
      <c r="IB354"/>
      <c r="IC354"/>
      <c r="ID354"/>
      <c r="IE354"/>
      <c r="IF354"/>
      <c r="IG354"/>
      <c r="IH354"/>
      <c r="II354"/>
      <c r="IJ354"/>
      <c r="IK354"/>
      <c r="IL354"/>
      <c r="IM354"/>
      <c r="IN354"/>
      <c r="IO354"/>
      <c r="IP354"/>
      <c r="IQ354"/>
      <c r="IR354"/>
      <c r="IS354"/>
      <c r="IT354"/>
      <c r="IU354"/>
      <c r="IV354"/>
    </row>
    <row r="355" spans="150:256" s="70" customFormat="1" ht="12.75" x14ac:dyDescent="0.2">
      <c r="ET355" s="248" t="s">
        <v>66</v>
      </c>
      <c r="HY355"/>
      <c r="HZ355"/>
      <c r="IA355"/>
      <c r="IB355"/>
      <c r="IC355"/>
      <c r="ID355"/>
      <c r="IE355"/>
      <c r="IF355"/>
      <c r="IG355"/>
      <c r="IH355"/>
      <c r="II355"/>
      <c r="IJ355"/>
      <c r="IK355"/>
      <c r="IL355"/>
      <c r="IM355"/>
      <c r="IN355"/>
      <c r="IO355"/>
      <c r="IP355"/>
      <c r="IQ355"/>
      <c r="IR355"/>
      <c r="IS355"/>
      <c r="IT355"/>
      <c r="IU355"/>
      <c r="IV355"/>
    </row>
    <row r="356" spans="150:256" s="70" customFormat="1" ht="12.75" x14ac:dyDescent="0.2">
      <c r="ET356" s="70" t="s">
        <v>531</v>
      </c>
      <c r="HY356"/>
      <c r="HZ356"/>
      <c r="IA356"/>
      <c r="IB356"/>
      <c r="IC356"/>
      <c r="ID356"/>
      <c r="IE356"/>
      <c r="IF356"/>
      <c r="IG356"/>
      <c r="IH356"/>
      <c r="II356"/>
      <c r="IJ356"/>
      <c r="IK356"/>
      <c r="IL356"/>
      <c r="IM356"/>
      <c r="IN356"/>
      <c r="IO356"/>
      <c r="IP356"/>
      <c r="IQ356"/>
      <c r="IR356"/>
      <c r="IS356"/>
      <c r="IT356"/>
      <c r="IU356"/>
      <c r="IV356"/>
    </row>
    <row r="357" spans="150:256" s="70" customFormat="1" ht="12.75" x14ac:dyDescent="0.2">
      <c r="EY357" s="195"/>
      <c r="HY357"/>
      <c r="HZ357"/>
      <c r="IA357"/>
      <c r="IB357"/>
      <c r="IC357"/>
      <c r="ID357"/>
      <c r="IE357"/>
      <c r="IF357"/>
      <c r="IG357"/>
      <c r="IH357"/>
      <c r="II357"/>
      <c r="IJ357"/>
      <c r="IK357"/>
      <c r="IL357"/>
      <c r="IM357"/>
      <c r="IN357"/>
      <c r="IO357"/>
      <c r="IP357"/>
      <c r="IQ357"/>
      <c r="IR357"/>
      <c r="IS357"/>
      <c r="IT357"/>
      <c r="IU357"/>
      <c r="IV357"/>
    </row>
    <row r="358" spans="150:256" s="70" customFormat="1" ht="12.75" x14ac:dyDescent="0.2">
      <c r="ET358" s="335"/>
      <c r="EU358" s="335" t="s">
        <v>848</v>
      </c>
      <c r="EV358" s="335" t="s">
        <v>849</v>
      </c>
      <c r="EW358" s="335" t="s">
        <v>850</v>
      </c>
      <c r="EX358" s="335" t="s">
        <v>851</v>
      </c>
      <c r="EY358" s="337" t="s">
        <v>853</v>
      </c>
      <c r="HY358"/>
      <c r="HZ358"/>
      <c r="IA358"/>
      <c r="IB358"/>
      <c r="IC358"/>
      <c r="ID358"/>
      <c r="IE358"/>
      <c r="IF358"/>
      <c r="IG358"/>
      <c r="IH358"/>
      <c r="II358"/>
      <c r="IJ358"/>
      <c r="IK358"/>
      <c r="IL358"/>
      <c r="IM358"/>
      <c r="IN358"/>
      <c r="IO358"/>
      <c r="IP358"/>
      <c r="IQ358"/>
      <c r="IR358"/>
      <c r="IS358"/>
      <c r="IT358"/>
      <c r="IU358"/>
      <c r="IV358"/>
    </row>
    <row r="359" spans="150:256" s="70" customFormat="1" ht="12.75" x14ac:dyDescent="0.2">
      <c r="EY359" s="194"/>
      <c r="HY359"/>
      <c r="HZ359"/>
      <c r="IA359"/>
      <c r="IB359"/>
      <c r="IC359"/>
      <c r="ID359"/>
      <c r="IE359"/>
      <c r="IF359"/>
      <c r="IG359"/>
      <c r="IH359"/>
      <c r="II359"/>
      <c r="IJ359"/>
      <c r="IK359"/>
      <c r="IL359"/>
      <c r="IM359"/>
      <c r="IN359"/>
      <c r="IO359"/>
      <c r="IP359"/>
      <c r="IQ359"/>
      <c r="IR359"/>
      <c r="IS359"/>
      <c r="IT359"/>
      <c r="IU359"/>
      <c r="IV359"/>
    </row>
    <row r="360" spans="150:256" s="70" customFormat="1" ht="12.75" x14ac:dyDescent="0.2">
      <c r="ET360" s="70" t="s">
        <v>1782</v>
      </c>
      <c r="EU360" s="336" t="s">
        <v>529</v>
      </c>
      <c r="EV360" s="336" t="s">
        <v>67</v>
      </c>
      <c r="EW360" s="336" t="s">
        <v>68</v>
      </c>
      <c r="EX360" s="336" t="s">
        <v>68</v>
      </c>
      <c r="EY360" s="338" t="s">
        <v>69</v>
      </c>
      <c r="HY360"/>
      <c r="HZ360"/>
      <c r="IA360"/>
      <c r="IB360"/>
      <c r="IC360"/>
      <c r="ID360"/>
      <c r="IE360"/>
      <c r="IF360"/>
      <c r="IG360"/>
      <c r="IH360"/>
      <c r="II360"/>
      <c r="IJ360"/>
      <c r="IK360"/>
      <c r="IL360"/>
      <c r="IM360"/>
      <c r="IN360"/>
      <c r="IO360"/>
      <c r="IP360"/>
      <c r="IQ360"/>
      <c r="IR360"/>
      <c r="IS360"/>
      <c r="IT360"/>
      <c r="IU360"/>
      <c r="IV360"/>
    </row>
    <row r="361" spans="150:256" s="70" customFormat="1" ht="12.75" x14ac:dyDescent="0.2">
      <c r="EY361" s="194"/>
      <c r="HY361"/>
      <c r="HZ361"/>
      <c r="IA361"/>
      <c r="IB361"/>
      <c r="IC361"/>
      <c r="ID361"/>
      <c r="IE361"/>
      <c r="IF361"/>
      <c r="IG361"/>
      <c r="IH361"/>
      <c r="II361"/>
      <c r="IJ361"/>
      <c r="IK361"/>
      <c r="IL361"/>
      <c r="IM361"/>
      <c r="IN361"/>
      <c r="IO361"/>
      <c r="IP361"/>
      <c r="IQ361"/>
      <c r="IR361"/>
      <c r="IS361"/>
      <c r="IT361"/>
      <c r="IU361"/>
      <c r="IV361"/>
    </row>
    <row r="362" spans="150:256" s="70" customFormat="1" ht="12.75" x14ac:dyDescent="0.2">
      <c r="ET362" s="70" t="s">
        <v>1938</v>
      </c>
      <c r="EU362" s="259">
        <f>RevPAR!AZ674</f>
        <v>-1.2999999999999999E-2</v>
      </c>
      <c r="EV362" s="259">
        <f>RevPAR!BA674</f>
        <v>7.0000000000000007E-2</v>
      </c>
      <c r="EW362" s="259">
        <f>RevPAR!BB674</f>
        <v>8.2000000000000003E-2</v>
      </c>
      <c r="EX362" s="259">
        <f>RevPAR!BC674</f>
        <v>8.1000000000000003E-2</v>
      </c>
      <c r="EY362" s="338" t="s">
        <v>530</v>
      </c>
      <c r="HY362"/>
      <c r="HZ362"/>
      <c r="IA362"/>
      <c r="IB362"/>
      <c r="IC362"/>
      <c r="ID362"/>
      <c r="IE362"/>
      <c r="IF362"/>
      <c r="IG362"/>
      <c r="IH362"/>
      <c r="II362"/>
      <c r="IJ362"/>
      <c r="IK362"/>
      <c r="IL362"/>
      <c r="IM362"/>
      <c r="IN362"/>
      <c r="IO362"/>
      <c r="IP362"/>
      <c r="IQ362"/>
      <c r="IR362"/>
      <c r="IS362"/>
      <c r="IT362"/>
      <c r="IU362"/>
      <c r="IV362"/>
    </row>
    <row r="363" spans="150:256" s="70" customFormat="1" ht="4.5" customHeight="1" x14ac:dyDescent="0.2">
      <c r="EY363" s="196"/>
      <c r="HY363"/>
      <c r="HZ363"/>
      <c r="IA363"/>
      <c r="IB363"/>
      <c r="IC363"/>
      <c r="ID363"/>
      <c r="IE363"/>
      <c r="IF363"/>
      <c r="IG363"/>
      <c r="IH363"/>
      <c r="II363"/>
      <c r="IJ363"/>
      <c r="IK363"/>
      <c r="IL363"/>
      <c r="IM363"/>
      <c r="IN363"/>
      <c r="IO363"/>
      <c r="IP363"/>
      <c r="IQ363"/>
      <c r="IR363"/>
      <c r="IS363"/>
      <c r="IT363"/>
      <c r="IU363"/>
      <c r="IV363"/>
    </row>
    <row r="364" spans="150:256" s="70" customFormat="1" ht="12.75" customHeight="1" x14ac:dyDescent="0.2">
      <c r="EY364" s="212"/>
      <c r="HY364"/>
      <c r="HZ364"/>
      <c r="IA364"/>
      <c r="IB364"/>
      <c r="IC364"/>
      <c r="ID364"/>
      <c r="IE364"/>
      <c r="IF364"/>
      <c r="IG364"/>
      <c r="IH364"/>
      <c r="II364"/>
      <c r="IJ364"/>
      <c r="IK364"/>
      <c r="IL364"/>
      <c r="IM364"/>
      <c r="IN364"/>
      <c r="IO364"/>
      <c r="IP364"/>
      <c r="IQ364"/>
      <c r="IR364"/>
      <c r="IS364"/>
      <c r="IT364"/>
      <c r="IU364"/>
      <c r="IV364"/>
    </row>
    <row r="365" spans="150:256" s="70" customFormat="1" ht="12.75" customHeight="1" x14ac:dyDescent="0.2">
      <c r="EY365" s="212"/>
      <c r="FA365" s="199" t="s">
        <v>1244</v>
      </c>
      <c r="FB365" s="199"/>
      <c r="FC365" s="199"/>
      <c r="FD365" s="199"/>
      <c r="FE365" s="199"/>
      <c r="FF365" s="199"/>
      <c r="FG365" s="199"/>
      <c r="FH365" s="199"/>
      <c r="FI365" s="199"/>
      <c r="FJ365" s="199"/>
      <c r="FK365" s="199"/>
      <c r="FL365" s="199"/>
      <c r="FM365" s="199"/>
      <c r="FN365" s="199"/>
      <c r="FO365" s="199"/>
      <c r="FP365" s="199"/>
      <c r="FQ365" s="199"/>
      <c r="FR365" s="199"/>
      <c r="FS365" s="199"/>
      <c r="FT365" s="199"/>
      <c r="FU365" s="199"/>
      <c r="FV365" s="199"/>
      <c r="FW365" s="199"/>
      <c r="FX365" s="199"/>
      <c r="FY365" s="199"/>
      <c r="HY365"/>
      <c r="HZ365"/>
      <c r="IA365"/>
      <c r="IB365"/>
      <c r="IC365"/>
      <c r="ID365"/>
      <c r="IE365"/>
      <c r="IF365"/>
      <c r="IG365"/>
      <c r="IH365"/>
      <c r="II365"/>
      <c r="IJ365"/>
      <c r="IK365"/>
      <c r="IL365"/>
      <c r="IM365"/>
      <c r="IN365"/>
      <c r="IO365"/>
      <c r="IP365"/>
      <c r="IQ365"/>
      <c r="IR365"/>
      <c r="IS365"/>
      <c r="IT365"/>
      <c r="IU365"/>
      <c r="IV365"/>
    </row>
    <row r="366" spans="150:256" s="70" customFormat="1" ht="12.75" customHeight="1" x14ac:dyDescent="0.2">
      <c r="EY366" s="212"/>
      <c r="HY366"/>
      <c r="HZ366"/>
      <c r="IA366"/>
      <c r="IB366"/>
      <c r="IC366"/>
      <c r="ID366"/>
      <c r="IE366"/>
      <c r="IF366"/>
      <c r="IG366"/>
      <c r="IH366"/>
      <c r="II366"/>
      <c r="IJ366"/>
      <c r="IK366"/>
      <c r="IL366"/>
      <c r="IM366"/>
      <c r="IN366"/>
      <c r="IO366"/>
      <c r="IP366"/>
      <c r="IQ366"/>
      <c r="IR366"/>
      <c r="IS366"/>
      <c r="IT366"/>
      <c r="IU366"/>
      <c r="IV366"/>
    </row>
    <row r="367" spans="150:256" s="70" customFormat="1" ht="12.75" customHeight="1" x14ac:dyDescent="0.2">
      <c r="EY367" s="212"/>
      <c r="FA367" s="247" t="s">
        <v>1168</v>
      </c>
      <c r="FB367" s="247"/>
      <c r="FC367" s="247"/>
      <c r="FD367" s="247"/>
      <c r="FE367" s="247"/>
      <c r="FF367" s="70">
        <f>MAR!N4</f>
        <v>84</v>
      </c>
      <c r="FG367" s="70">
        <f>MAR!O4</f>
        <v>84</v>
      </c>
      <c r="FH367" s="70">
        <f>MAR!P4</f>
        <v>84</v>
      </c>
      <c r="FI367" s="70">
        <f>MAR!Q4</f>
        <v>112</v>
      </c>
      <c r="FJ367" s="70">
        <f>MAR!S4</f>
        <v>84</v>
      </c>
      <c r="FK367" s="70">
        <f>MAR!T4</f>
        <v>84</v>
      </c>
      <c r="FL367" s="70">
        <f>MAR!U4</f>
        <v>84</v>
      </c>
      <c r="FM367" s="70">
        <f>MAR!V4</f>
        <v>119</v>
      </c>
      <c r="FN367" s="70">
        <f>MAR!X4</f>
        <v>84</v>
      </c>
      <c r="FO367" s="70">
        <f>MAR!Y4</f>
        <v>84</v>
      </c>
      <c r="FP367" s="70">
        <f>MAR!Z4</f>
        <v>84</v>
      </c>
      <c r="FQ367" s="70">
        <f>MAR!AA4</f>
        <v>112</v>
      </c>
      <c r="FR367" s="70">
        <f>MAR!AC4</f>
        <v>84</v>
      </c>
      <c r="FS367" s="70">
        <f>MAR!AD4</f>
        <v>84</v>
      </c>
      <c r="FT367" s="70">
        <f>MAR!AE4</f>
        <v>84</v>
      </c>
      <c r="FU367" s="70">
        <f>MAR!AF4</f>
        <v>112</v>
      </c>
      <c r="FV367" s="70">
        <f>MAR!AH4</f>
        <v>84</v>
      </c>
      <c r="FW367" s="70">
        <f>MAR!AI4</f>
        <v>84</v>
      </c>
      <c r="FX367" s="70">
        <f>MAR!AJ4</f>
        <v>84</v>
      </c>
      <c r="FY367" s="70">
        <f>MAR!AK4</f>
        <v>112</v>
      </c>
      <c r="FZ367" s="70">
        <f>MAR!AM4</f>
        <v>84</v>
      </c>
      <c r="GA367" s="70">
        <f>MAR!AN4</f>
        <v>84</v>
      </c>
      <c r="GB367" s="70">
        <f>MAR!AO4</f>
        <v>84</v>
      </c>
      <c r="GC367" s="70">
        <f>MAR!AP4</f>
        <v>113</v>
      </c>
      <c r="GD367" s="70">
        <f>MAR!AR4</f>
        <v>84</v>
      </c>
      <c r="GE367" s="70">
        <f>MAR!AS4</f>
        <v>84</v>
      </c>
      <c r="GF367" s="70">
        <f>MAR!AT4</f>
        <v>84</v>
      </c>
      <c r="GG367" s="70">
        <f>MAR!AU4</f>
        <v>113</v>
      </c>
      <c r="GH367" s="70">
        <f>MAR!AW4</f>
        <v>84</v>
      </c>
      <c r="GI367" s="70">
        <f>MAR!AX4</f>
        <v>84</v>
      </c>
      <c r="GJ367" s="70">
        <f>MAR!AY4</f>
        <v>84</v>
      </c>
      <c r="GK367" s="70">
        <f>MAR!AZ4</f>
        <v>117</v>
      </c>
      <c r="GL367" s="70">
        <f>MAR!BB4</f>
        <v>84</v>
      </c>
      <c r="GM367" s="70">
        <f>MAR!BC4</f>
        <v>84</v>
      </c>
      <c r="GN367" s="70">
        <f>MAR!BD4</f>
        <v>84</v>
      </c>
      <c r="GO367" s="70">
        <f>MAR!BE4</f>
        <v>112</v>
      </c>
      <c r="GP367" s="70">
        <f>MAR!BG4</f>
        <v>84</v>
      </c>
      <c r="GQ367" s="70">
        <f>MAR!BH4</f>
        <v>84</v>
      </c>
      <c r="GR367" s="70">
        <f>MAR!BI4</f>
        <v>84</v>
      </c>
      <c r="GS367" s="70">
        <f>MAR!BJ4</f>
        <v>112</v>
      </c>
      <c r="GT367" s="70">
        <f>MAR!BL4</f>
        <v>84</v>
      </c>
      <c r="GU367" s="70">
        <f>MAR!BM4</f>
        <v>84</v>
      </c>
      <c r="GV367" s="70">
        <f>MAR!BN4</f>
        <v>84</v>
      </c>
      <c r="GW367" s="70">
        <f>MAR!BO4</f>
        <v>112</v>
      </c>
      <c r="GX367" s="70">
        <f>MAR!BP4</f>
        <v>364</v>
      </c>
      <c r="HY367"/>
      <c r="HZ367"/>
      <c r="IA367"/>
      <c r="IB367"/>
      <c r="IC367"/>
      <c r="ID367"/>
      <c r="IE367"/>
      <c r="IF367"/>
      <c r="IG367"/>
      <c r="IH367"/>
      <c r="II367"/>
      <c r="IJ367"/>
      <c r="IK367"/>
      <c r="IL367"/>
      <c r="IM367"/>
      <c r="IN367"/>
      <c r="IO367"/>
      <c r="IP367"/>
      <c r="IQ367"/>
      <c r="IR367"/>
      <c r="IS367"/>
      <c r="IT367"/>
      <c r="IU367"/>
      <c r="IV367"/>
    </row>
    <row r="368" spans="150:256" s="70" customFormat="1" ht="12.75" x14ac:dyDescent="0.2">
      <c r="FA368" s="247" t="s">
        <v>1167</v>
      </c>
      <c r="FB368" s="247"/>
      <c r="FC368" s="247"/>
      <c r="FD368" s="247"/>
      <c r="FE368" s="247"/>
      <c r="FF368" s="70">
        <f>$FI$368</f>
        <v>364</v>
      </c>
      <c r="FG368" s="70">
        <f>$FI$368</f>
        <v>364</v>
      </c>
      <c r="FH368" s="70">
        <f>$FI$368</f>
        <v>364</v>
      </c>
      <c r="FI368" s="70">
        <f>SUM(FF367:FI367)</f>
        <v>364</v>
      </c>
      <c r="FJ368" s="70">
        <f>$FM$368</f>
        <v>371</v>
      </c>
      <c r="FK368" s="70">
        <f>$FM$368</f>
        <v>371</v>
      </c>
      <c r="FL368" s="70">
        <f>$FM$368</f>
        <v>371</v>
      </c>
      <c r="FM368" s="70">
        <f>SUM(FJ367:FM367)</f>
        <v>371</v>
      </c>
      <c r="FN368" s="70">
        <f>$FQ$368</f>
        <v>364</v>
      </c>
      <c r="FO368" s="70">
        <f>$FQ$368</f>
        <v>364</v>
      </c>
      <c r="FP368" s="70">
        <f>$FQ$368</f>
        <v>364</v>
      </c>
      <c r="FQ368" s="70">
        <f>SUM(FN367:FQ367)</f>
        <v>364</v>
      </c>
      <c r="FR368" s="70">
        <f>FU368</f>
        <v>364</v>
      </c>
      <c r="FS368" s="70">
        <f>FV368</f>
        <v>364</v>
      </c>
      <c r="FT368" s="70">
        <f>FW368</f>
        <v>365</v>
      </c>
      <c r="FU368" s="70">
        <f>SUM(FR367:FU367)</f>
        <v>364</v>
      </c>
      <c r="FV368" s="70">
        <f>FY368</f>
        <v>364</v>
      </c>
      <c r="FW368" s="70">
        <f>FZ368</f>
        <v>365</v>
      </c>
      <c r="FX368" s="70">
        <f>GA368</f>
        <v>365</v>
      </c>
      <c r="FY368" s="70">
        <f>SUM(FV367:FY367)</f>
        <v>364</v>
      </c>
      <c r="FZ368" s="70">
        <f>$GC$368</f>
        <v>365</v>
      </c>
      <c r="GA368" s="70">
        <f>$GC$368</f>
        <v>365</v>
      </c>
      <c r="GB368" s="70">
        <f>$GC$368</f>
        <v>365</v>
      </c>
      <c r="GC368" s="70">
        <f>SUM(FZ367:GC367)</f>
        <v>365</v>
      </c>
      <c r="GD368" s="70">
        <f>$GG$368</f>
        <v>365</v>
      </c>
      <c r="GE368" s="70">
        <f>$GG$368</f>
        <v>365</v>
      </c>
      <c r="GF368" s="70">
        <f>$GG$368</f>
        <v>365</v>
      </c>
      <c r="GG368" s="70">
        <f>SUM(GD367:GG367)</f>
        <v>365</v>
      </c>
      <c r="GH368" s="70">
        <f>$GK$368</f>
        <v>369</v>
      </c>
      <c r="GI368" s="70">
        <f>$GK$368</f>
        <v>369</v>
      </c>
      <c r="GJ368" s="70">
        <f>$GK$368</f>
        <v>369</v>
      </c>
      <c r="GK368" s="70">
        <f>SUM(GH367:GK367)</f>
        <v>369</v>
      </c>
      <c r="GL368" s="70">
        <f>$GO$368</f>
        <v>364</v>
      </c>
      <c r="GM368" s="70">
        <f>$GO$368</f>
        <v>364</v>
      </c>
      <c r="GN368" s="70">
        <f>$GO$368</f>
        <v>364</v>
      </c>
      <c r="GO368" s="70">
        <f>SUM(GL367:GO367)</f>
        <v>364</v>
      </c>
      <c r="GP368" s="70">
        <f>$GS$368</f>
        <v>364</v>
      </c>
      <c r="GQ368" s="70">
        <f>$GS$368</f>
        <v>364</v>
      </c>
      <c r="GR368" s="70">
        <f>$GS$368</f>
        <v>364</v>
      </c>
      <c r="GS368" s="70">
        <f>SUM(GP367:GS367)</f>
        <v>364</v>
      </c>
      <c r="GT368" s="70">
        <f>$GW$368</f>
        <v>364</v>
      </c>
      <c r="GU368" s="70">
        <f>$GW$368</f>
        <v>364</v>
      </c>
      <c r="GV368" s="70">
        <f>$GW$368</f>
        <v>364</v>
      </c>
      <c r="GW368" s="70">
        <f>SUM(GT367:GW367)</f>
        <v>364</v>
      </c>
      <c r="GX368" s="70">
        <f>SUM(GU367:GX367)</f>
        <v>644</v>
      </c>
      <c r="HY368"/>
      <c r="HZ368"/>
      <c r="IA368"/>
      <c r="IB368"/>
      <c r="IC368"/>
      <c r="ID368"/>
      <c r="IE368"/>
      <c r="IF368"/>
      <c r="IG368"/>
      <c r="IH368"/>
      <c r="II368"/>
      <c r="IJ368"/>
      <c r="IK368"/>
      <c r="IL368"/>
      <c r="IM368"/>
      <c r="IN368"/>
      <c r="IO368"/>
      <c r="IP368"/>
      <c r="IQ368"/>
      <c r="IR368"/>
      <c r="IS368"/>
      <c r="IT368"/>
      <c r="IU368"/>
      <c r="IV368"/>
    </row>
    <row r="369" spans="157:256" s="70" customFormat="1" ht="12.75" x14ac:dyDescent="0.2">
      <c r="FB369" s="476" t="s">
        <v>499</v>
      </c>
      <c r="FC369" s="476" t="s">
        <v>500</v>
      </c>
      <c r="FD369" s="476" t="s">
        <v>501</v>
      </c>
      <c r="FE369" s="476" t="s">
        <v>502</v>
      </c>
      <c r="FF369" s="476" t="s">
        <v>503</v>
      </c>
      <c r="FG369" s="476" t="s">
        <v>504</v>
      </c>
      <c r="FH369" s="476" t="s">
        <v>505</v>
      </c>
      <c r="FI369" s="476" t="s">
        <v>1951</v>
      </c>
      <c r="FJ369" s="476" t="s">
        <v>1952</v>
      </c>
      <c r="FK369" s="476" t="s">
        <v>1953</v>
      </c>
      <c r="FL369" s="476" t="s">
        <v>1954</v>
      </c>
      <c r="FM369" s="476" t="s">
        <v>1955</v>
      </c>
      <c r="FN369" s="476" t="s">
        <v>1956</v>
      </c>
      <c r="FO369" s="476" t="s">
        <v>1957</v>
      </c>
      <c r="FP369" s="476" t="s">
        <v>1958</v>
      </c>
      <c r="FQ369" s="476" t="s">
        <v>1959</v>
      </c>
      <c r="FR369" s="476" t="s">
        <v>1960</v>
      </c>
      <c r="FS369" s="476" t="s">
        <v>1961</v>
      </c>
      <c r="FT369" s="476" t="s">
        <v>1962</v>
      </c>
      <c r="FU369" s="476" t="s">
        <v>1963</v>
      </c>
      <c r="FV369" s="476" t="s">
        <v>1965</v>
      </c>
      <c r="FW369" s="476" t="s">
        <v>1966</v>
      </c>
      <c r="FX369" s="476" t="s">
        <v>1967</v>
      </c>
      <c r="FY369" s="476" t="s">
        <v>1968</v>
      </c>
      <c r="FZ369" s="476" t="s">
        <v>1970</v>
      </c>
      <c r="GA369" s="476" t="s">
        <v>1971</v>
      </c>
      <c r="GB369" s="476" t="s">
        <v>1972</v>
      </c>
      <c r="GC369" s="476" t="s">
        <v>831</v>
      </c>
      <c r="GD369" s="476" t="s">
        <v>833</v>
      </c>
      <c r="GE369" s="476" t="s">
        <v>834</v>
      </c>
      <c r="GF369" s="476" t="s">
        <v>835</v>
      </c>
      <c r="GG369" s="476" t="s">
        <v>836</v>
      </c>
      <c r="GH369" s="476" t="s">
        <v>838</v>
      </c>
      <c r="GI369" s="476" t="s">
        <v>839</v>
      </c>
      <c r="GJ369" s="476" t="s">
        <v>840</v>
      </c>
      <c r="GK369" s="476" t="s">
        <v>841</v>
      </c>
      <c r="GL369" s="476" t="s">
        <v>843</v>
      </c>
      <c r="GM369" s="476" t="s">
        <v>844</v>
      </c>
      <c r="GN369" s="476" t="s">
        <v>845</v>
      </c>
      <c r="GO369" s="476" t="s">
        <v>846</v>
      </c>
      <c r="GP369" s="476" t="s">
        <v>848</v>
      </c>
      <c r="GQ369" s="476" t="s">
        <v>849</v>
      </c>
      <c r="GR369" s="476" t="s">
        <v>850</v>
      </c>
      <c r="GS369" s="476" t="s">
        <v>851</v>
      </c>
      <c r="GT369" s="476" t="s">
        <v>644</v>
      </c>
      <c r="GU369" s="476" t="s">
        <v>854</v>
      </c>
      <c r="GV369" s="476" t="s">
        <v>855</v>
      </c>
      <c r="GW369" s="476" t="s">
        <v>856</v>
      </c>
      <c r="GX369" s="476" t="s">
        <v>1323</v>
      </c>
      <c r="HY369"/>
      <c r="HZ369"/>
      <c r="IA369"/>
      <c r="IB369"/>
      <c r="IC369"/>
      <c r="ID369"/>
      <c r="IE369"/>
      <c r="IF369"/>
      <c r="IG369"/>
      <c r="IH369"/>
      <c r="II369"/>
      <c r="IJ369"/>
      <c r="IK369"/>
      <c r="IL369"/>
      <c r="IM369"/>
      <c r="IN369"/>
      <c r="IO369"/>
      <c r="IP369"/>
      <c r="IQ369"/>
      <c r="IR369"/>
      <c r="IS369"/>
      <c r="IT369"/>
      <c r="IU369"/>
      <c r="IV369"/>
    </row>
    <row r="370" spans="157:256" s="70" customFormat="1" ht="12.75" x14ac:dyDescent="0.2">
      <c r="HY370"/>
      <c r="HZ370"/>
      <c r="IA370"/>
      <c r="IB370"/>
      <c r="IC370"/>
      <c r="ID370"/>
      <c r="IE370"/>
      <c r="IF370"/>
      <c r="IG370"/>
      <c r="IH370"/>
      <c r="II370"/>
      <c r="IJ370"/>
      <c r="IK370"/>
      <c r="IL370"/>
      <c r="IM370"/>
      <c r="IN370"/>
      <c r="IO370"/>
      <c r="IP370"/>
      <c r="IQ370"/>
      <c r="IR370"/>
      <c r="IS370"/>
      <c r="IT370"/>
      <c r="IU370"/>
      <c r="IV370"/>
    </row>
    <row r="371" spans="157:256" s="70" customFormat="1" ht="12.75" x14ac:dyDescent="0.2">
      <c r="FA371" s="70" t="s">
        <v>1336</v>
      </c>
      <c r="FF371" s="70">
        <f>MAR!N330</f>
        <v>86.160752260160606</v>
      </c>
      <c r="FG371" s="70">
        <f>MAR!O330</f>
        <v>94.452245479134461</v>
      </c>
      <c r="FH371" s="70">
        <f>MAR!P330</f>
        <v>85</v>
      </c>
      <c r="FI371" s="70">
        <f>MAR!Q330</f>
        <v>100</v>
      </c>
      <c r="FJ371" s="70">
        <f>MAR!S330</f>
        <v>85</v>
      </c>
      <c r="FK371" s="70">
        <f>MAR!T330</f>
        <v>91</v>
      </c>
      <c r="FL371" s="70">
        <f>MAR!U330</f>
        <v>82</v>
      </c>
      <c r="FM371" s="70">
        <f>MAR!V330</f>
        <v>121</v>
      </c>
      <c r="FN371" s="70">
        <f>MAR!X330</f>
        <v>92</v>
      </c>
      <c r="FO371" s="70">
        <f>MAR!Y330</f>
        <v>88</v>
      </c>
      <c r="FP371" s="70">
        <f>MAR!Z330</f>
        <v>86</v>
      </c>
      <c r="FQ371" s="70">
        <f>MAR!AA330</f>
        <v>122</v>
      </c>
      <c r="FR371" s="70">
        <f>MAR!AC330</f>
        <v>99</v>
      </c>
      <c r="FS371" s="70">
        <f>MAR!AD330</f>
        <v>106</v>
      </c>
      <c r="FT371" s="70">
        <f>MAR!AE330</f>
        <v>97</v>
      </c>
      <c r="FU371" s="70">
        <f>MAR!AF330</f>
        <v>133</v>
      </c>
      <c r="FV371" s="70">
        <f>MAR!AH330</f>
        <v>111</v>
      </c>
      <c r="FW371" s="70">
        <f>MAR!AI330</f>
        <v>123</v>
      </c>
      <c r="FX371" s="70">
        <f>MAR!AJ330</f>
        <v>108</v>
      </c>
      <c r="FY371" s="70">
        <f>MAR!AK330</f>
        <v>155</v>
      </c>
      <c r="FZ371" s="70">
        <f>MAR!AM330</f>
        <v>127</v>
      </c>
      <c r="GA371" s="70">
        <f>MAR!AN330</f>
        <v>134</v>
      </c>
      <c r="GB371" s="70">
        <f>MAR!AO330</f>
        <v>119</v>
      </c>
      <c r="GC371" s="70">
        <f>MAR!AP330</f>
        <v>173</v>
      </c>
      <c r="GD371" s="70">
        <f>MAR!AR330</f>
        <v>134</v>
      </c>
      <c r="GE371" s="70">
        <f>MAR!AS330</f>
        <v>148</v>
      </c>
      <c r="GF371" s="70">
        <f>MAR!AT330</f>
        <v>135</v>
      </c>
      <c r="GG371" s="70">
        <f>MAR!AU330</f>
        <v>203</v>
      </c>
      <c r="GH371" s="70">
        <f>MAR!AW330</f>
        <v>148</v>
      </c>
      <c r="GI371" s="70">
        <f>MAR!AX330</f>
        <v>161</v>
      </c>
      <c r="GJ371" s="70">
        <f>MAR!AY330</f>
        <v>143</v>
      </c>
      <c r="GK371" s="70">
        <f>MAR!AZ330</f>
        <v>183</v>
      </c>
      <c r="GL371" s="70">
        <f>MAR!BB330</f>
        <v>125</v>
      </c>
      <c r="GM371" s="70">
        <f>MAR!BC330</f>
        <v>126</v>
      </c>
      <c r="GN371" s="70">
        <f>MAR!BD330</f>
        <v>116</v>
      </c>
      <c r="GO371" s="70">
        <f>MAR!BE330</f>
        <v>163</v>
      </c>
      <c r="GP371" s="70">
        <f>MAR!BG330</f>
        <v>111</v>
      </c>
      <c r="GQ371" s="70">
        <f>MAR!BH330</f>
        <v>122</v>
      </c>
      <c r="GR371" s="70">
        <f>MAR!BI330</f>
        <v>109</v>
      </c>
      <c r="GS371" s="70">
        <f>MAR!BJ330</f>
        <v>160</v>
      </c>
      <c r="GT371" s="70">
        <f>MAR!BL330</f>
        <v>120</v>
      </c>
      <c r="GU371" s="70">
        <f>MAR!BM330</f>
        <v>135</v>
      </c>
      <c r="GV371" s="70">
        <f>MAR!BN330</f>
        <v>120</v>
      </c>
      <c r="GW371" s="70">
        <f>MAR!BO330</f>
        <v>171</v>
      </c>
      <c r="GX371" s="70">
        <f>MAR!BU330</f>
        <v>581</v>
      </c>
      <c r="HY371"/>
      <c r="HZ371"/>
      <c r="IA371"/>
      <c r="IB371"/>
      <c r="IC371"/>
      <c r="ID371"/>
      <c r="IE371"/>
      <c r="IF371"/>
      <c r="IG371"/>
      <c r="IH371"/>
      <c r="II371"/>
      <c r="IJ371"/>
      <c r="IK371"/>
      <c r="IL371"/>
      <c r="IM371"/>
      <c r="IN371"/>
      <c r="IO371"/>
      <c r="IP371"/>
      <c r="IQ371"/>
      <c r="IR371"/>
      <c r="IS371"/>
      <c r="IT371"/>
      <c r="IU371"/>
      <c r="IV371"/>
    </row>
    <row r="372" spans="157:256" s="70" customFormat="1" ht="12.75" x14ac:dyDescent="0.2">
      <c r="FA372" s="70" t="s">
        <v>1638</v>
      </c>
      <c r="FJ372" s="259">
        <f t="shared" ref="FJ372:GX372" si="33">FJ371/FF371-1</f>
        <v>-1.3471937392743993E-2</v>
      </c>
      <c r="FK372" s="259">
        <f t="shared" si="33"/>
        <v>-3.6550168411793926E-2</v>
      </c>
      <c r="FL372" s="259">
        <f t="shared" si="33"/>
        <v>-3.5294117647058809E-2</v>
      </c>
      <c r="FM372" s="259">
        <f t="shared" si="33"/>
        <v>0.20999999999999996</v>
      </c>
      <c r="FN372" s="259">
        <f t="shared" si="33"/>
        <v>8.2352941176470518E-2</v>
      </c>
      <c r="FO372" s="259">
        <f t="shared" si="33"/>
        <v>-3.2967032967032961E-2</v>
      </c>
      <c r="FP372" s="259">
        <f t="shared" si="33"/>
        <v>4.8780487804878092E-2</v>
      </c>
      <c r="FQ372" s="259">
        <f t="shared" si="33"/>
        <v>8.2644628099173278E-3</v>
      </c>
      <c r="FR372" s="259">
        <f t="shared" si="33"/>
        <v>7.6086956521739024E-2</v>
      </c>
      <c r="FS372" s="259">
        <f t="shared" si="33"/>
        <v>0.20454545454545459</v>
      </c>
      <c r="FT372" s="259">
        <f t="shared" si="33"/>
        <v>0.12790697674418605</v>
      </c>
      <c r="FU372" s="259">
        <f t="shared" si="33"/>
        <v>9.0163934426229497E-2</v>
      </c>
      <c r="FV372" s="259">
        <f t="shared" si="33"/>
        <v>0.1212121212121211</v>
      </c>
      <c r="FW372" s="259">
        <f t="shared" si="33"/>
        <v>0.16037735849056611</v>
      </c>
      <c r="FX372" s="259">
        <f t="shared" si="33"/>
        <v>0.11340206185567014</v>
      </c>
      <c r="FY372" s="259">
        <f t="shared" si="33"/>
        <v>0.16541353383458657</v>
      </c>
      <c r="FZ372" s="259">
        <f t="shared" si="33"/>
        <v>0.14414414414414423</v>
      </c>
      <c r="GA372" s="259">
        <f t="shared" si="33"/>
        <v>8.9430894308943021E-2</v>
      </c>
      <c r="GB372" s="259">
        <f t="shared" si="33"/>
        <v>0.10185185185185186</v>
      </c>
      <c r="GC372" s="259">
        <f t="shared" si="33"/>
        <v>0.11612903225806459</v>
      </c>
      <c r="GD372" s="259">
        <f t="shared" si="33"/>
        <v>5.5118110236220375E-2</v>
      </c>
      <c r="GE372" s="259">
        <f t="shared" si="33"/>
        <v>0.10447761194029859</v>
      </c>
      <c r="GF372" s="259">
        <f t="shared" si="33"/>
        <v>0.13445378151260501</v>
      </c>
      <c r="GG372" s="259">
        <f t="shared" si="33"/>
        <v>0.17341040462427748</v>
      </c>
      <c r="GH372" s="259">
        <f t="shared" si="33"/>
        <v>0.10447761194029859</v>
      </c>
      <c r="GI372" s="259">
        <f t="shared" si="33"/>
        <v>8.783783783783794E-2</v>
      </c>
      <c r="GJ372" s="259">
        <f t="shared" si="33"/>
        <v>5.9259259259259345E-2</v>
      </c>
      <c r="GK372" s="259">
        <f t="shared" si="33"/>
        <v>-9.852216748768472E-2</v>
      </c>
      <c r="GL372" s="259">
        <f t="shared" si="33"/>
        <v>-0.15540540540540537</v>
      </c>
      <c r="GM372" s="259">
        <f t="shared" si="33"/>
        <v>-0.21739130434782605</v>
      </c>
      <c r="GN372" s="259">
        <f t="shared" si="33"/>
        <v>-0.18881118881118886</v>
      </c>
      <c r="GO372" s="259">
        <f t="shared" si="33"/>
        <v>-0.10928961748633881</v>
      </c>
      <c r="GP372" s="259">
        <f t="shared" si="33"/>
        <v>-0.11199999999999999</v>
      </c>
      <c r="GQ372" s="259">
        <f t="shared" si="33"/>
        <v>-3.1746031746031744E-2</v>
      </c>
      <c r="GR372" s="259">
        <f t="shared" si="33"/>
        <v>-6.0344827586206851E-2</v>
      </c>
      <c r="GS372" s="259">
        <f t="shared" si="33"/>
        <v>-1.8404907975460127E-2</v>
      </c>
      <c r="GT372" s="259">
        <f t="shared" si="33"/>
        <v>8.1081081081081141E-2</v>
      </c>
      <c r="GU372" s="259">
        <f t="shared" si="33"/>
        <v>0.10655737704918034</v>
      </c>
      <c r="GV372" s="259">
        <f t="shared" si="33"/>
        <v>0.10091743119266061</v>
      </c>
      <c r="GW372" s="259">
        <f t="shared" si="33"/>
        <v>6.8750000000000089E-2</v>
      </c>
      <c r="GX372" s="259">
        <f t="shared" si="33"/>
        <v>3.8416666666666668</v>
      </c>
      <c r="HY372"/>
      <c r="HZ372"/>
      <c r="IA372"/>
      <c r="IB372"/>
      <c r="IC372"/>
      <c r="ID372"/>
      <c r="IE372"/>
      <c r="IF372"/>
      <c r="IG372"/>
      <c r="IH372"/>
      <c r="II372"/>
      <c r="IJ372"/>
      <c r="IK372"/>
      <c r="IL372"/>
      <c r="IM372"/>
      <c r="IN372"/>
      <c r="IO372"/>
      <c r="IP372"/>
      <c r="IQ372"/>
      <c r="IR372"/>
      <c r="IS372"/>
      <c r="IT372"/>
      <c r="IU372"/>
      <c r="IV372"/>
    </row>
    <row r="373" spans="157:256" s="70" customFormat="1" ht="12.75" x14ac:dyDescent="0.2">
      <c r="HY373"/>
      <c r="HZ373"/>
      <c r="IA373"/>
      <c r="IB373"/>
      <c r="IC373"/>
      <c r="ID373"/>
      <c r="IE373"/>
      <c r="IF373"/>
      <c r="IG373"/>
      <c r="IH373"/>
      <c r="II373"/>
      <c r="IJ373"/>
      <c r="IK373"/>
      <c r="IL373"/>
      <c r="IM373"/>
      <c r="IN373"/>
      <c r="IO373"/>
      <c r="IP373"/>
      <c r="IQ373"/>
      <c r="IR373"/>
      <c r="IS373"/>
      <c r="IT373"/>
      <c r="IU373"/>
      <c r="IV373"/>
    </row>
    <row r="374" spans="157:256" s="70" customFormat="1" ht="12.75" x14ac:dyDescent="0.2">
      <c r="GW374" s="70">
        <f>SUM(GT375:GW375)</f>
        <v>195</v>
      </c>
      <c r="HY374"/>
      <c r="HZ374"/>
      <c r="IA374"/>
      <c r="IB374"/>
      <c r="IC374"/>
      <c r="ID374"/>
      <c r="IE374"/>
      <c r="IF374"/>
      <c r="IG374"/>
      <c r="IH374"/>
      <c r="II374"/>
      <c r="IJ374"/>
      <c r="IK374"/>
      <c r="IL374"/>
      <c r="IM374"/>
      <c r="IN374"/>
      <c r="IO374"/>
      <c r="IP374"/>
      <c r="IQ374"/>
      <c r="IR374"/>
      <c r="IS374"/>
      <c r="IT374"/>
      <c r="IU374"/>
      <c r="IV374"/>
    </row>
    <row r="375" spans="157:256" s="70" customFormat="1" ht="12.75" x14ac:dyDescent="0.2">
      <c r="FA375" s="70" t="s">
        <v>486</v>
      </c>
      <c r="FE375" s="70">
        <f>MAR!M343</f>
        <v>316</v>
      </c>
      <c r="FF375" s="70">
        <f>MAR!N343</f>
        <v>58</v>
      </c>
      <c r="FG375" s="70">
        <f>MAR!O343</f>
        <v>68</v>
      </c>
      <c r="FH375" s="70">
        <f>MAR!P343</f>
        <v>39</v>
      </c>
      <c r="FI375" s="70">
        <f>MAR!Q343</f>
        <v>37</v>
      </c>
      <c r="FJ375" s="70">
        <f>MAR!S343</f>
        <v>32</v>
      </c>
      <c r="FK375" s="70">
        <f>MAR!T343</f>
        <v>52</v>
      </c>
      <c r="FL375" s="70">
        <f>MAR!U343</f>
        <v>25</v>
      </c>
      <c r="FM375" s="70">
        <f>MAR!V343</f>
        <v>53</v>
      </c>
      <c r="FN375" s="70">
        <f>MAR!X343</f>
        <v>29</v>
      </c>
      <c r="FO375" s="70">
        <f>MAR!Y343</f>
        <v>28</v>
      </c>
      <c r="FP375" s="70">
        <f>MAR!Z343</f>
        <v>18</v>
      </c>
      <c r="FQ375" s="70">
        <f>MAR!AA343</f>
        <v>34</v>
      </c>
      <c r="FR375" s="70">
        <f>MAR!AC343</f>
        <v>33</v>
      </c>
      <c r="FS375" s="70">
        <f>MAR!AD343</f>
        <v>36</v>
      </c>
      <c r="FT375" s="70">
        <f>MAR!AE343</f>
        <v>21</v>
      </c>
      <c r="FU375" s="70">
        <f>MAR!AF343</f>
        <v>52</v>
      </c>
      <c r="FV375" s="70">
        <f>MAR!AH343</f>
        <v>50</v>
      </c>
      <c r="FW375" s="70">
        <f>MAR!AI343</f>
        <v>52</v>
      </c>
      <c r="FX375" s="70">
        <f>MAR!AJ343</f>
        <v>30</v>
      </c>
      <c r="FY375" s="70">
        <f>MAR!AK343</f>
        <v>69</v>
      </c>
      <c r="FZ375" s="70">
        <f>MAR!AM343</f>
        <v>59</v>
      </c>
      <c r="GA375" s="70">
        <f>MAR!AN343</f>
        <v>77</v>
      </c>
      <c r="GB375" s="70">
        <f>MAR!AO343</f>
        <v>49</v>
      </c>
      <c r="GC375" s="70">
        <f>MAR!AP343</f>
        <v>96</v>
      </c>
      <c r="GD375" s="70">
        <f>MAR!AR343</f>
        <v>71</v>
      </c>
      <c r="GE375" s="70">
        <f>MAR!AS343</f>
        <v>116</v>
      </c>
      <c r="GF375" s="70">
        <f>MAR!AT343</f>
        <v>56</v>
      </c>
      <c r="GG375" s="70">
        <f>MAR!AU343</f>
        <v>126</v>
      </c>
      <c r="GH375" s="70">
        <f>MAR!AW343</f>
        <v>74</v>
      </c>
      <c r="GI375" s="70">
        <f>MAR!AX343</f>
        <v>103</v>
      </c>
      <c r="GJ375" s="70">
        <f>MAR!AY343</f>
        <v>52</v>
      </c>
      <c r="GK375" s="70">
        <f>MAR!AZ343</f>
        <v>82</v>
      </c>
      <c r="GL375" s="70">
        <f>MAR!BB343</f>
        <v>43</v>
      </c>
      <c r="GM375" s="70">
        <f>MAR!BC343</f>
        <v>35</v>
      </c>
      <c r="GN375" s="70">
        <f>MAR!BD343</f>
        <v>17</v>
      </c>
      <c r="GO375" s="70">
        <f>MAR!BE343</f>
        <v>59</v>
      </c>
      <c r="GP375" s="70">
        <f>MAR!BG343</f>
        <v>40</v>
      </c>
      <c r="GQ375" s="70">
        <f>MAR!BH343</f>
        <v>46</v>
      </c>
      <c r="GR375" s="70">
        <f>MAR!BI343</f>
        <v>21</v>
      </c>
      <c r="GS375" s="70">
        <f>MAR!BJ343</f>
        <v>75</v>
      </c>
      <c r="GT375" s="70">
        <f>MAR!BL343</f>
        <v>42</v>
      </c>
      <c r="GU375" s="70">
        <f>MAR!BM343</f>
        <v>50</v>
      </c>
      <c r="GV375" s="70">
        <f>MAR!BN343</f>
        <v>29</v>
      </c>
      <c r="GW375" s="70">
        <f>MAR!BO343</f>
        <v>74</v>
      </c>
      <c r="GX375" s="70">
        <f>MAR!BU343</f>
        <v>232</v>
      </c>
      <c r="HY375"/>
      <c r="HZ375"/>
      <c r="IA375"/>
      <c r="IB375"/>
      <c r="IC375"/>
      <c r="ID375"/>
      <c r="IE375"/>
      <c r="IF375"/>
      <c r="IG375"/>
      <c r="IH375"/>
      <c r="II375"/>
      <c r="IJ375"/>
      <c r="IK375"/>
      <c r="IL375"/>
      <c r="IM375"/>
      <c r="IN375"/>
      <c r="IO375"/>
      <c r="IP375"/>
      <c r="IQ375"/>
      <c r="IR375"/>
      <c r="IS375"/>
      <c r="IT375"/>
      <c r="IU375"/>
      <c r="IV375"/>
    </row>
    <row r="376" spans="157:256" s="70" customFormat="1" ht="12.75" x14ac:dyDescent="0.2">
      <c r="FA376" s="70" t="s">
        <v>1638</v>
      </c>
      <c r="GD376" s="259">
        <f>GD375/FZ375-1</f>
        <v>0.20338983050847448</v>
      </c>
      <c r="GE376" s="259">
        <f t="shared" ref="GE376:GW376" si="34">GE375/GA375-1</f>
        <v>0.50649350649350655</v>
      </c>
      <c r="GF376" s="259">
        <f t="shared" si="34"/>
        <v>0.14285714285714279</v>
      </c>
      <c r="GG376" s="259">
        <f t="shared" si="34"/>
        <v>0.3125</v>
      </c>
      <c r="GH376" s="259">
        <f t="shared" si="34"/>
        <v>4.2253521126760507E-2</v>
      </c>
      <c r="GI376" s="259">
        <f t="shared" si="34"/>
        <v>-0.11206896551724133</v>
      </c>
      <c r="GJ376" s="259">
        <f t="shared" si="34"/>
        <v>-7.1428571428571397E-2</v>
      </c>
      <c r="GK376" s="259">
        <f t="shared" si="34"/>
        <v>-0.34920634920634919</v>
      </c>
      <c r="GL376" s="259">
        <f t="shared" si="34"/>
        <v>-0.41891891891891897</v>
      </c>
      <c r="GM376" s="259">
        <f t="shared" si="34"/>
        <v>-0.66019417475728148</v>
      </c>
      <c r="GN376" s="259">
        <f t="shared" si="34"/>
        <v>-0.67307692307692313</v>
      </c>
      <c r="GO376" s="259">
        <f t="shared" si="34"/>
        <v>-0.28048780487804881</v>
      </c>
      <c r="GP376" s="259">
        <f t="shared" si="34"/>
        <v>-6.9767441860465129E-2</v>
      </c>
      <c r="GQ376" s="259">
        <f t="shared" si="34"/>
        <v>0.31428571428571428</v>
      </c>
      <c r="GR376" s="259">
        <f t="shared" si="34"/>
        <v>0.23529411764705888</v>
      </c>
      <c r="GS376" s="259">
        <f t="shared" si="34"/>
        <v>0.27118644067796605</v>
      </c>
      <c r="GT376" s="259">
        <f t="shared" si="34"/>
        <v>5.0000000000000044E-2</v>
      </c>
      <c r="GU376" s="259">
        <f t="shared" si="34"/>
        <v>8.6956521739130377E-2</v>
      </c>
      <c r="GV376" s="259">
        <f t="shared" si="34"/>
        <v>0.38095238095238093</v>
      </c>
      <c r="GW376" s="259">
        <f t="shared" si="34"/>
        <v>-1.3333333333333308E-2</v>
      </c>
      <c r="GX376" s="259">
        <f>GX375/GW374-1</f>
        <v>0.18974358974358974</v>
      </c>
      <c r="HY376"/>
      <c r="HZ376"/>
      <c r="IA376"/>
      <c r="IB376"/>
      <c r="IC376"/>
      <c r="ID376"/>
      <c r="IE376"/>
      <c r="IF376"/>
      <c r="IG376"/>
      <c r="IH376"/>
      <c r="II376"/>
      <c r="IJ376"/>
      <c r="IK376"/>
      <c r="IL376"/>
      <c r="IM376"/>
      <c r="IN376"/>
      <c r="IO376"/>
      <c r="IP376"/>
      <c r="IQ376"/>
      <c r="IR376"/>
      <c r="IS376"/>
      <c r="IT376"/>
      <c r="IU376"/>
      <c r="IV376"/>
    </row>
    <row r="377" spans="157:256" s="70" customFormat="1" ht="12.75" x14ac:dyDescent="0.2">
      <c r="GD377" s="259"/>
      <c r="GE377" s="259"/>
      <c r="GF377" s="259"/>
      <c r="GG377" s="259"/>
      <c r="GH377" s="259"/>
      <c r="GI377" s="259"/>
      <c r="GJ377" s="259"/>
      <c r="GK377" s="259"/>
      <c r="GL377" s="259"/>
      <c r="GM377" s="259"/>
      <c r="GN377" s="259"/>
      <c r="GO377" s="259"/>
      <c r="GP377" s="259"/>
      <c r="GQ377" s="259"/>
      <c r="GR377" s="259"/>
      <c r="GS377" s="259"/>
      <c r="GT377" s="259"/>
      <c r="GU377" s="259"/>
      <c r="GV377" s="259"/>
      <c r="GW377" s="259"/>
      <c r="GX377" s="259"/>
      <c r="HY377"/>
      <c r="HZ377"/>
      <c r="IA377"/>
      <c r="IB377"/>
      <c r="IC377"/>
      <c r="ID377"/>
      <c r="IE377"/>
      <c r="IF377"/>
      <c r="IG377"/>
      <c r="IH377"/>
      <c r="II377"/>
      <c r="IJ377"/>
      <c r="IK377"/>
      <c r="IL377"/>
      <c r="IM377"/>
      <c r="IN377"/>
      <c r="IO377"/>
      <c r="IP377"/>
      <c r="IQ377"/>
      <c r="IR377"/>
      <c r="IS377"/>
      <c r="IT377"/>
      <c r="IU377"/>
      <c r="IV377"/>
    </row>
    <row r="378" spans="157:256" s="70" customFormat="1" ht="12.75" x14ac:dyDescent="0.2">
      <c r="FA378" s="70" t="s">
        <v>1170</v>
      </c>
      <c r="FE378" s="70">
        <f>FE375</f>
        <v>316</v>
      </c>
      <c r="FI378" s="70">
        <f t="shared" ref="FI378:GX378" si="35">SUM(FF375:FI375)</f>
        <v>202</v>
      </c>
      <c r="FJ378" s="70">
        <f t="shared" si="35"/>
        <v>176</v>
      </c>
      <c r="FK378" s="70">
        <f t="shared" si="35"/>
        <v>160</v>
      </c>
      <c r="FL378" s="70">
        <f t="shared" si="35"/>
        <v>146</v>
      </c>
      <c r="FM378" s="70">
        <f t="shared" si="35"/>
        <v>162</v>
      </c>
      <c r="FN378" s="70">
        <f t="shared" si="35"/>
        <v>159</v>
      </c>
      <c r="FO378" s="70">
        <f t="shared" si="35"/>
        <v>135</v>
      </c>
      <c r="FP378" s="70">
        <f t="shared" si="35"/>
        <v>128</v>
      </c>
      <c r="FQ378" s="70">
        <f t="shared" si="35"/>
        <v>109</v>
      </c>
      <c r="FR378" s="70">
        <f t="shared" si="35"/>
        <v>113</v>
      </c>
      <c r="FS378" s="70">
        <f t="shared" si="35"/>
        <v>121</v>
      </c>
      <c r="FT378" s="70">
        <f t="shared" si="35"/>
        <v>124</v>
      </c>
      <c r="FU378" s="70">
        <f t="shared" si="35"/>
        <v>142</v>
      </c>
      <c r="FV378" s="70">
        <f t="shared" si="35"/>
        <v>159</v>
      </c>
      <c r="FW378" s="70">
        <f t="shared" si="35"/>
        <v>175</v>
      </c>
      <c r="FX378" s="70">
        <f t="shared" si="35"/>
        <v>184</v>
      </c>
      <c r="FY378" s="70">
        <f t="shared" si="35"/>
        <v>201</v>
      </c>
      <c r="FZ378" s="70">
        <f t="shared" si="35"/>
        <v>210</v>
      </c>
      <c r="GA378" s="70">
        <f t="shared" si="35"/>
        <v>235</v>
      </c>
      <c r="GB378" s="70">
        <f t="shared" si="35"/>
        <v>254</v>
      </c>
      <c r="GC378" s="70">
        <f t="shared" si="35"/>
        <v>281</v>
      </c>
      <c r="GD378" s="70">
        <f t="shared" si="35"/>
        <v>293</v>
      </c>
      <c r="GE378" s="70">
        <f t="shared" si="35"/>
        <v>332</v>
      </c>
      <c r="GF378" s="70">
        <f t="shared" si="35"/>
        <v>339</v>
      </c>
      <c r="GG378" s="70">
        <f t="shared" si="35"/>
        <v>369</v>
      </c>
      <c r="GH378" s="199">
        <f t="shared" si="35"/>
        <v>372</v>
      </c>
      <c r="GI378" s="70">
        <f t="shared" si="35"/>
        <v>359</v>
      </c>
      <c r="GJ378" s="70">
        <f t="shared" si="35"/>
        <v>355</v>
      </c>
      <c r="GK378" s="70">
        <f t="shared" si="35"/>
        <v>311</v>
      </c>
      <c r="GL378" s="70">
        <f t="shared" si="35"/>
        <v>280</v>
      </c>
      <c r="GM378" s="70">
        <f t="shared" si="35"/>
        <v>212</v>
      </c>
      <c r="GN378" s="70">
        <f t="shared" si="35"/>
        <v>177</v>
      </c>
      <c r="GO378" s="70">
        <f t="shared" si="35"/>
        <v>154</v>
      </c>
      <c r="GP378" s="70">
        <f t="shared" si="35"/>
        <v>151</v>
      </c>
      <c r="GQ378" s="70">
        <f t="shared" si="35"/>
        <v>162</v>
      </c>
      <c r="GR378" s="70">
        <f t="shared" si="35"/>
        <v>166</v>
      </c>
      <c r="GS378" s="70">
        <f t="shared" si="35"/>
        <v>182</v>
      </c>
      <c r="GT378" s="70">
        <f t="shared" si="35"/>
        <v>184</v>
      </c>
      <c r="GU378" s="70">
        <f t="shared" si="35"/>
        <v>188</v>
      </c>
      <c r="GV378" s="70">
        <f t="shared" si="35"/>
        <v>196</v>
      </c>
      <c r="GW378" s="70">
        <f t="shared" si="35"/>
        <v>195</v>
      </c>
      <c r="GX378" s="70">
        <f t="shared" si="35"/>
        <v>385</v>
      </c>
      <c r="HY378"/>
      <c r="HZ378"/>
      <c r="IA378"/>
      <c r="IB378"/>
      <c r="IC378"/>
      <c r="ID378"/>
      <c r="IE378"/>
      <c r="IF378"/>
      <c r="IG378"/>
      <c r="IH378"/>
      <c r="II378"/>
      <c r="IJ378"/>
      <c r="IK378"/>
      <c r="IL378"/>
      <c r="IM378"/>
      <c r="IN378"/>
      <c r="IO378"/>
      <c r="IP378"/>
      <c r="IQ378"/>
      <c r="IR378"/>
      <c r="IS378"/>
      <c r="IT378"/>
      <c r="IU378"/>
      <c r="IV378"/>
    </row>
    <row r="379" spans="157:256" s="70" customFormat="1" ht="12.75" x14ac:dyDescent="0.2">
      <c r="FA379" s="70" t="s">
        <v>1166</v>
      </c>
      <c r="GC379" s="311">
        <f>GC378/$GH$378</f>
        <v>0.7553763440860215</v>
      </c>
      <c r="GD379" s="311">
        <f t="shared" ref="GD379:GX379" si="36">GD378/$GH$378</f>
        <v>0.7876344086021505</v>
      </c>
      <c r="GE379" s="311">
        <f t="shared" si="36"/>
        <v>0.89247311827956988</v>
      </c>
      <c r="GF379" s="311">
        <f t="shared" si="36"/>
        <v>0.91129032258064513</v>
      </c>
      <c r="GG379" s="311">
        <f t="shared" si="36"/>
        <v>0.99193548387096775</v>
      </c>
      <c r="GH379" s="311">
        <f t="shared" si="36"/>
        <v>1</v>
      </c>
      <c r="GI379" s="311">
        <f t="shared" si="36"/>
        <v>0.96505376344086025</v>
      </c>
      <c r="GJ379" s="311">
        <f t="shared" si="36"/>
        <v>0.95430107526881724</v>
      </c>
      <c r="GK379" s="311">
        <f t="shared" si="36"/>
        <v>0.83602150537634412</v>
      </c>
      <c r="GL379" s="311">
        <f t="shared" si="36"/>
        <v>0.75268817204301075</v>
      </c>
      <c r="GM379" s="311">
        <f t="shared" si="36"/>
        <v>0.56989247311827962</v>
      </c>
      <c r="GN379" s="311">
        <f t="shared" si="36"/>
        <v>0.47580645161290325</v>
      </c>
      <c r="GO379" s="311">
        <f t="shared" si="36"/>
        <v>0.41397849462365593</v>
      </c>
      <c r="GP379" s="311">
        <f t="shared" si="36"/>
        <v>0.40591397849462363</v>
      </c>
      <c r="GQ379" s="311">
        <f t="shared" si="36"/>
        <v>0.43548387096774194</v>
      </c>
      <c r="GR379" s="311">
        <f t="shared" si="36"/>
        <v>0.44623655913978494</v>
      </c>
      <c r="GS379" s="311">
        <f t="shared" si="36"/>
        <v>0.489247311827957</v>
      </c>
      <c r="GT379" s="311">
        <f t="shared" si="36"/>
        <v>0.4946236559139785</v>
      </c>
      <c r="GU379" s="311">
        <f t="shared" si="36"/>
        <v>0.5053763440860215</v>
      </c>
      <c r="GV379" s="311">
        <f t="shared" si="36"/>
        <v>0.5268817204301075</v>
      </c>
      <c r="GW379" s="311">
        <f t="shared" si="36"/>
        <v>0.52419354838709675</v>
      </c>
      <c r="GX379" s="311">
        <f t="shared" si="36"/>
        <v>1.0349462365591398</v>
      </c>
      <c r="HY379"/>
      <c r="HZ379"/>
      <c r="IA379"/>
      <c r="IB379"/>
      <c r="IC379"/>
      <c r="ID379"/>
      <c r="IE379"/>
      <c r="IF379"/>
      <c r="IG379"/>
      <c r="IH379"/>
      <c r="II379"/>
      <c r="IJ379"/>
      <c r="IK379"/>
      <c r="IL379"/>
      <c r="IM379"/>
      <c r="IN379"/>
      <c r="IO379"/>
      <c r="IP379"/>
      <c r="IQ379"/>
      <c r="IR379"/>
      <c r="IS379"/>
      <c r="IT379"/>
      <c r="IU379"/>
      <c r="IV379"/>
    </row>
    <row r="380" spans="157:256" s="70" customFormat="1" ht="12.75" x14ac:dyDescent="0.2">
      <c r="FA380" s="70" t="s">
        <v>1638</v>
      </c>
      <c r="GC380" s="311"/>
      <c r="GD380" s="311"/>
      <c r="GE380" s="311"/>
      <c r="GF380" s="311"/>
      <c r="GG380" s="311">
        <f>GG378/GC378-1</f>
        <v>0.31316725978647697</v>
      </c>
      <c r="GH380" s="311">
        <f t="shared" ref="GH380:GX380" si="37">GH378/GD378-1</f>
        <v>0.2696245733788396</v>
      </c>
      <c r="GI380" s="311">
        <f t="shared" si="37"/>
        <v>8.1325301204819178E-2</v>
      </c>
      <c r="GJ380" s="311">
        <f t="shared" si="37"/>
        <v>4.71976401179941E-2</v>
      </c>
      <c r="GK380" s="311">
        <f t="shared" si="37"/>
        <v>-0.15718157181571812</v>
      </c>
      <c r="GL380" s="311">
        <f t="shared" si="37"/>
        <v>-0.24731182795698925</v>
      </c>
      <c r="GM380" s="311">
        <f t="shared" si="37"/>
        <v>-0.40947075208913652</v>
      </c>
      <c r="GN380" s="311">
        <f t="shared" si="37"/>
        <v>-0.50140845070422535</v>
      </c>
      <c r="GO380" s="311">
        <f t="shared" si="37"/>
        <v>-0.50482315112540199</v>
      </c>
      <c r="GP380" s="311">
        <f t="shared" si="37"/>
        <v>-0.46071428571428574</v>
      </c>
      <c r="GQ380" s="311">
        <f t="shared" si="37"/>
        <v>-0.23584905660377353</v>
      </c>
      <c r="GR380" s="311">
        <f t="shared" si="37"/>
        <v>-6.2146892655367214E-2</v>
      </c>
      <c r="GS380" s="311">
        <f t="shared" si="37"/>
        <v>0.18181818181818188</v>
      </c>
      <c r="GT380" s="311">
        <f t="shared" si="37"/>
        <v>0.2185430463576159</v>
      </c>
      <c r="GU380" s="311">
        <f t="shared" si="37"/>
        <v>0.16049382716049387</v>
      </c>
      <c r="GV380" s="311">
        <f t="shared" si="37"/>
        <v>0.18072289156626509</v>
      </c>
      <c r="GW380" s="311">
        <f t="shared" si="37"/>
        <v>7.1428571428571397E-2</v>
      </c>
      <c r="GX380" s="311">
        <f t="shared" si="37"/>
        <v>1.0923913043478262</v>
      </c>
      <c r="HY380"/>
      <c r="HZ380"/>
      <c r="IA380"/>
      <c r="IB380"/>
      <c r="IC380"/>
      <c r="ID380"/>
      <c r="IE380"/>
      <c r="IF380"/>
      <c r="IG380"/>
      <c r="IH380"/>
      <c r="II380"/>
      <c r="IJ380"/>
      <c r="IK380"/>
      <c r="IL380"/>
      <c r="IM380"/>
      <c r="IN380"/>
      <c r="IO380"/>
      <c r="IP380"/>
      <c r="IQ380"/>
      <c r="IR380"/>
      <c r="IS380"/>
      <c r="IT380"/>
      <c r="IU380"/>
      <c r="IV380"/>
    </row>
    <row r="381" spans="157:256" s="70" customFormat="1" ht="12.75" x14ac:dyDescent="0.2">
      <c r="HY381"/>
      <c r="HZ381"/>
      <c r="IA381"/>
      <c r="IB381"/>
      <c r="IC381"/>
      <c r="ID381"/>
      <c r="IE381"/>
      <c r="IF381"/>
      <c r="IG381"/>
      <c r="IH381"/>
      <c r="II381"/>
      <c r="IJ381"/>
      <c r="IK381"/>
      <c r="IL381"/>
      <c r="IM381"/>
      <c r="IN381"/>
      <c r="IO381"/>
      <c r="IP381"/>
      <c r="IQ381"/>
      <c r="IR381"/>
      <c r="IS381"/>
      <c r="IT381"/>
      <c r="IU381"/>
      <c r="IV381"/>
    </row>
    <row r="382" spans="157:256" s="70" customFormat="1" ht="12.75" x14ac:dyDescent="0.2">
      <c r="FA382" s="70" t="s">
        <v>1616</v>
      </c>
      <c r="FF382" s="70">
        <f>MAR!N286</f>
        <v>214965</v>
      </c>
      <c r="FG382" s="70">
        <f>MAR!O286</f>
        <v>218093</v>
      </c>
      <c r="FH382" s="70">
        <f>MAR!P286</f>
        <v>221743</v>
      </c>
      <c r="FI382" s="70">
        <f>MAR!Q286</f>
        <v>216291</v>
      </c>
      <c r="FJ382" s="70">
        <f>MAR!S286</f>
        <v>219691</v>
      </c>
      <c r="FK382" s="70">
        <f>MAR!T286</f>
        <v>221052</v>
      </c>
      <c r="FL382" s="70">
        <f>MAR!U286</f>
        <v>222104</v>
      </c>
      <c r="FM382" s="70">
        <f>MAR!V286</f>
        <v>225993</v>
      </c>
      <c r="FN382" s="70">
        <f>MAR!X286</f>
        <v>227669</v>
      </c>
      <c r="FO382" s="70">
        <f>MAR!Y286</f>
        <v>228713</v>
      </c>
      <c r="FP382" s="70">
        <f>MAR!Z286</f>
        <v>230745</v>
      </c>
      <c r="FQ382" s="70">
        <f>MAR!AA286</f>
        <v>233378</v>
      </c>
      <c r="FR382" s="70">
        <f>MAR!AC286</f>
        <v>232092</v>
      </c>
      <c r="FS382" s="70">
        <f>MAR!AD286</f>
        <v>235119</v>
      </c>
      <c r="FT382" s="70">
        <f>MAR!AE286</f>
        <v>237972</v>
      </c>
      <c r="FU382" s="70">
        <f>MAR!AF286</f>
        <v>239344</v>
      </c>
      <c r="FV382" s="70">
        <f>MAR!AH286</f>
        <v>238630</v>
      </c>
      <c r="FW382" s="70">
        <f>MAR!AI286</f>
        <v>247811</v>
      </c>
      <c r="FX382" s="70">
        <f>MAR!AJ286</f>
        <v>242958</v>
      </c>
      <c r="FY382" s="70">
        <f>MAR!AK286</f>
        <v>243863</v>
      </c>
      <c r="FZ382" s="70">
        <f>MAR!AM286</f>
        <v>244216</v>
      </c>
      <c r="GA382" s="70">
        <f>MAR!AN286</f>
        <v>246576</v>
      </c>
      <c r="GB382" s="70">
        <f>MAR!AO286</f>
        <v>248584</v>
      </c>
      <c r="GC382" s="70">
        <f>MAR!AP286</f>
        <v>247989</v>
      </c>
      <c r="GD382" s="70">
        <f>MAR!AR286</f>
        <v>247989</v>
      </c>
      <c r="GE382" s="70">
        <f>MAR!AS286</f>
        <v>248917</v>
      </c>
      <c r="GF382" s="70">
        <f>MAR!AT286</f>
        <v>251505</v>
      </c>
      <c r="GG382" s="70">
        <f>MAR!AU286</f>
        <v>252859</v>
      </c>
      <c r="GH382" s="70">
        <f>MAR!AW286</f>
        <v>252242</v>
      </c>
      <c r="GI382" s="70">
        <f>MAR!AX286</f>
        <v>252591</v>
      </c>
      <c r="GJ382" s="70">
        <f>MAR!AY286</f>
        <v>254564</v>
      </c>
      <c r="GK382" s="70">
        <f>MAR!AZ286</f>
        <v>255959</v>
      </c>
      <c r="GL382" s="70">
        <f>MAR!BB286</f>
        <v>259280</v>
      </c>
      <c r="GM382" s="70">
        <f>MAR!BC286</f>
        <v>260689</v>
      </c>
      <c r="GN382" s="70">
        <f>MAR!BD286</f>
        <v>261419</v>
      </c>
      <c r="GO382" s="70">
        <f>MAR!BE286</f>
        <v>264533</v>
      </c>
      <c r="GP382" s="70">
        <f>MAR!BG286</f>
        <v>265941</v>
      </c>
      <c r="GQ382" s="70">
        <f>MAR!BH286</f>
        <v>266720</v>
      </c>
      <c r="GR382" s="70">
        <f>MAR!BI286</f>
        <v>267974</v>
      </c>
      <c r="GS382" s="70">
        <f>MAR!BJ286</f>
        <v>268820</v>
      </c>
      <c r="GT382" s="70">
        <f>MAR!BL286</f>
        <v>271480</v>
      </c>
      <c r="GU382" s="70">
        <f>MAR!BM286</f>
        <v>272326</v>
      </c>
      <c r="GV382" s="70">
        <f>MAR!BN286</f>
        <v>272374</v>
      </c>
      <c r="GW382" s="70">
        <f>MAR!BO286</f>
        <v>273688</v>
      </c>
      <c r="GX382" s="70">
        <f>MAR!BU286</f>
        <v>279809</v>
      </c>
      <c r="HY382"/>
      <c r="HZ382"/>
      <c r="IA382"/>
      <c r="IB382"/>
      <c r="IC382"/>
      <c r="ID382"/>
      <c r="IE382"/>
      <c r="IF382"/>
      <c r="IG382"/>
      <c r="IH382"/>
      <c r="II382"/>
      <c r="IJ382"/>
      <c r="IK382"/>
      <c r="IL382"/>
      <c r="IM382"/>
      <c r="IN382"/>
      <c r="IO382"/>
      <c r="IP382"/>
      <c r="IQ382"/>
      <c r="IR382"/>
      <c r="IS382"/>
      <c r="IT382"/>
      <c r="IU382"/>
      <c r="IV382"/>
    </row>
    <row r="383" spans="157:256" s="70" customFormat="1" ht="12.75" x14ac:dyDescent="0.2">
      <c r="FA383" s="70" t="s">
        <v>1638</v>
      </c>
      <c r="FJ383" s="259">
        <f>FJ382/FF382-1</f>
        <v>2.1984974298141502E-2</v>
      </c>
      <c r="FK383" s="259">
        <f t="shared" ref="FK383:GC383" si="38">FK382/FG382-1</f>
        <v>1.3567606479804484E-2</v>
      </c>
      <c r="FL383" s="259">
        <f t="shared" si="38"/>
        <v>1.6280108053017273E-3</v>
      </c>
      <c r="FM383" s="259">
        <f t="shared" si="38"/>
        <v>4.4856235349598483E-2</v>
      </c>
      <c r="FN383" s="259">
        <f t="shared" si="38"/>
        <v>3.6314641928891112E-2</v>
      </c>
      <c r="FO383" s="259">
        <f t="shared" si="38"/>
        <v>3.4657003781915607E-2</v>
      </c>
      <c r="FP383" s="259">
        <f t="shared" si="38"/>
        <v>3.8905197565104688E-2</v>
      </c>
      <c r="FQ383" s="259">
        <f t="shared" si="38"/>
        <v>3.2678003300987246E-2</v>
      </c>
      <c r="FR383" s="259">
        <f t="shared" si="38"/>
        <v>1.9427326513490994E-2</v>
      </c>
      <c r="FS383" s="259">
        <f t="shared" si="38"/>
        <v>2.8008901986332324E-2</v>
      </c>
      <c r="FT383" s="259">
        <f t="shared" si="38"/>
        <v>3.1320288630306115E-2</v>
      </c>
      <c r="FU383" s="259">
        <f t="shared" si="38"/>
        <v>2.5563677810247709E-2</v>
      </c>
      <c r="FV383" s="259">
        <f t="shared" si="38"/>
        <v>2.8169863674749607E-2</v>
      </c>
      <c r="FW383" s="259">
        <f t="shared" si="38"/>
        <v>5.3981175489858257E-2</v>
      </c>
      <c r="FX383" s="259">
        <f t="shared" si="38"/>
        <v>2.095204477837731E-2</v>
      </c>
      <c r="FY383" s="259">
        <f t="shared" si="38"/>
        <v>1.8880774115916932E-2</v>
      </c>
      <c r="FZ383" s="259">
        <f t="shared" si="38"/>
        <v>2.3408624229979358E-2</v>
      </c>
      <c r="GA383" s="259">
        <f t="shared" si="38"/>
        <v>-4.9836367231478329E-3</v>
      </c>
      <c r="GB383" s="259">
        <f t="shared" si="38"/>
        <v>2.3156265692012568E-2</v>
      </c>
      <c r="GC383" s="259">
        <f t="shared" si="38"/>
        <v>1.6919335856607987E-2</v>
      </c>
      <c r="GD383" s="259">
        <f t="shared" ref="GD383:GX383" si="39">GD382/FZ382-1</f>
        <v>1.5449438202247201E-2</v>
      </c>
      <c r="GE383" s="259">
        <f t="shared" si="39"/>
        <v>9.4940302381416597E-3</v>
      </c>
      <c r="GF383" s="259">
        <f t="shared" si="39"/>
        <v>1.1750555144337538E-2</v>
      </c>
      <c r="GG383" s="259">
        <f t="shared" si="39"/>
        <v>1.9637967813088464E-2</v>
      </c>
      <c r="GH383" s="259">
        <f t="shared" si="39"/>
        <v>1.7149954231840958E-2</v>
      </c>
      <c r="GI383" s="259">
        <f t="shared" si="39"/>
        <v>1.4759940060341314E-2</v>
      </c>
      <c r="GJ383" s="259">
        <f t="shared" si="39"/>
        <v>1.2162780064014722E-2</v>
      </c>
      <c r="GK383" s="259">
        <f t="shared" si="39"/>
        <v>1.2259796961943126E-2</v>
      </c>
      <c r="GL383" s="259">
        <f t="shared" si="39"/>
        <v>2.7901776865074002E-2</v>
      </c>
      <c r="GM383" s="259">
        <f t="shared" si="39"/>
        <v>3.2059732927934848E-2</v>
      </c>
      <c r="GN383" s="259">
        <f t="shared" si="39"/>
        <v>2.692839521691992E-2</v>
      </c>
      <c r="GO383" s="259">
        <f t="shared" si="39"/>
        <v>3.3497552342367287E-2</v>
      </c>
      <c r="GP383" s="259">
        <f t="shared" si="39"/>
        <v>2.5690373341561212E-2</v>
      </c>
      <c r="GQ383" s="259">
        <f t="shared" si="39"/>
        <v>2.313484650292108E-2</v>
      </c>
      <c r="GR383" s="259">
        <f t="shared" si="39"/>
        <v>2.5074688526847799E-2</v>
      </c>
      <c r="GS383" s="259">
        <f t="shared" si="39"/>
        <v>1.6205917598182351E-2</v>
      </c>
      <c r="GT383" s="259">
        <f t="shared" si="39"/>
        <v>2.0827927999067519E-2</v>
      </c>
      <c r="GU383" s="259">
        <f t="shared" si="39"/>
        <v>2.1018296340731935E-2</v>
      </c>
      <c r="GV383" s="259">
        <f t="shared" si="39"/>
        <v>1.6419503384656808E-2</v>
      </c>
      <c r="GW383" s="259">
        <f t="shared" si="39"/>
        <v>1.810877166877467E-2</v>
      </c>
      <c r="GX383" s="259">
        <f t="shared" si="39"/>
        <v>3.0679976425519451E-2</v>
      </c>
      <c r="HY383"/>
      <c r="HZ383"/>
      <c r="IA383"/>
      <c r="IB383"/>
      <c r="IC383"/>
      <c r="ID383"/>
      <c r="IE383"/>
      <c r="IF383"/>
      <c r="IG383"/>
      <c r="IH383"/>
      <c r="II383"/>
      <c r="IJ383"/>
      <c r="IK383"/>
      <c r="IL383"/>
      <c r="IM383"/>
      <c r="IN383"/>
      <c r="IO383"/>
      <c r="IP383"/>
      <c r="IQ383"/>
      <c r="IR383"/>
      <c r="IS383"/>
      <c r="IT383"/>
      <c r="IU383"/>
      <c r="IV383"/>
    </row>
    <row r="384" spans="157:256" s="70" customFormat="1" ht="12.75" x14ac:dyDescent="0.2">
      <c r="HA384" s="212"/>
      <c r="HB384" s="212"/>
      <c r="HY384"/>
      <c r="HZ384"/>
      <c r="IA384"/>
      <c r="IB384"/>
      <c r="IC384"/>
      <c r="ID384"/>
      <c r="IE384"/>
      <c r="IF384"/>
      <c r="IG384"/>
      <c r="IH384"/>
      <c r="II384"/>
      <c r="IJ384"/>
      <c r="IK384"/>
      <c r="IL384"/>
      <c r="IM384"/>
      <c r="IN384"/>
      <c r="IO384"/>
      <c r="IP384"/>
      <c r="IQ384"/>
      <c r="IR384"/>
      <c r="IS384"/>
      <c r="IT384"/>
      <c r="IU384"/>
      <c r="IV384"/>
    </row>
    <row r="385" spans="157:256" s="70" customFormat="1" ht="12.75" x14ac:dyDescent="0.2">
      <c r="FA385" s="70" t="s">
        <v>1165</v>
      </c>
      <c r="FF385" s="70">
        <f t="shared" ref="FF385:FZ385" si="40">FF375/FF382*1000000*FF368/FF367</f>
        <v>1169.1825801099403</v>
      </c>
      <c r="FG385" s="70">
        <f t="shared" si="40"/>
        <v>1351.1055681139087</v>
      </c>
      <c r="FH385" s="70">
        <f t="shared" si="40"/>
        <v>762.1435625927312</v>
      </c>
      <c r="FI385" s="70">
        <f t="shared" si="40"/>
        <v>555.96395596673005</v>
      </c>
      <c r="FJ385" s="70">
        <f t="shared" si="40"/>
        <v>643.32782559746795</v>
      </c>
      <c r="FK385" s="70">
        <f t="shared" si="40"/>
        <v>1038.971222457461</v>
      </c>
      <c r="FL385" s="70">
        <f t="shared" si="40"/>
        <v>497.13947820240367</v>
      </c>
      <c r="FM385" s="70">
        <f t="shared" si="40"/>
        <v>731.15226629872188</v>
      </c>
      <c r="FN385" s="70">
        <f t="shared" si="40"/>
        <v>551.97091684272641</v>
      </c>
      <c r="FO385" s="70">
        <f t="shared" si="40"/>
        <v>530.50475195259264</v>
      </c>
      <c r="FP385" s="70">
        <f t="shared" si="40"/>
        <v>338.03549372684131</v>
      </c>
      <c r="FQ385" s="70">
        <f t="shared" si="40"/>
        <v>473.48079082004313</v>
      </c>
      <c r="FR385" s="70">
        <f t="shared" si="40"/>
        <v>616.13498095582781</v>
      </c>
      <c r="FS385" s="70">
        <f t="shared" si="40"/>
        <v>663.49380526456821</v>
      </c>
      <c r="FT385" s="70">
        <f t="shared" si="40"/>
        <v>383.44847292958832</v>
      </c>
      <c r="FU385" s="70">
        <f t="shared" si="40"/>
        <v>706.09666421552254</v>
      </c>
      <c r="FV385" s="70">
        <f t="shared" si="40"/>
        <v>907.96072022238059</v>
      </c>
      <c r="FW385" s="70">
        <f t="shared" si="40"/>
        <v>911.7931849368307</v>
      </c>
      <c r="FX385" s="70">
        <f t="shared" si="40"/>
        <v>536.54188319439106</v>
      </c>
      <c r="FY385" s="70">
        <f t="shared" si="40"/>
        <v>919.57369506649241</v>
      </c>
      <c r="FZ385" s="70">
        <f t="shared" si="40"/>
        <v>1049.7635192577375</v>
      </c>
      <c r="GA385" s="70">
        <f t="shared" ref="GA385:GW385" si="41">GA375/GA382*1000000*GA368/GA367</f>
        <v>1356.9176778491553</v>
      </c>
      <c r="GB385" s="70">
        <f t="shared" si="41"/>
        <v>856.5179845310505</v>
      </c>
      <c r="GC385" s="70">
        <f t="shared" si="41"/>
        <v>1250.4122988326949</v>
      </c>
      <c r="GD385" s="70">
        <f t="shared" si="41"/>
        <v>1244.0547958252373</v>
      </c>
      <c r="GE385" s="199">
        <f t="shared" si="41"/>
        <v>2024.9626142353438</v>
      </c>
      <c r="GF385" s="199">
        <f t="shared" si="41"/>
        <v>967.50892957727808</v>
      </c>
      <c r="GG385" s="199">
        <f t="shared" si="41"/>
        <v>1609.5576999136983</v>
      </c>
      <c r="GH385" s="199">
        <f t="shared" si="41"/>
        <v>1288.7283980123395</v>
      </c>
      <c r="GI385" s="70">
        <f t="shared" si="41"/>
        <v>1791.2921905938285</v>
      </c>
      <c r="GJ385" s="70">
        <f t="shared" si="41"/>
        <v>897.33258209554936</v>
      </c>
      <c r="GK385" s="70">
        <f t="shared" si="41"/>
        <v>1010.3781645317596</v>
      </c>
      <c r="GL385" s="70">
        <f t="shared" si="41"/>
        <v>718.65679317083209</v>
      </c>
      <c r="GM385" s="70">
        <f t="shared" si="41"/>
        <v>581.79158563141016</v>
      </c>
      <c r="GN385" s="70">
        <f t="shared" si="41"/>
        <v>281.79538085092003</v>
      </c>
      <c r="GO385" s="70">
        <f t="shared" si="41"/>
        <v>724.86230451399274</v>
      </c>
      <c r="GP385" s="70">
        <f t="shared" si="41"/>
        <v>651.77363901517015</v>
      </c>
      <c r="GQ385" s="70">
        <f t="shared" si="41"/>
        <v>747.35052989402118</v>
      </c>
      <c r="GR385" s="70">
        <f t="shared" si="41"/>
        <v>339.58518363721851</v>
      </c>
      <c r="GS385" s="70">
        <f t="shared" si="41"/>
        <v>906.74056989807298</v>
      </c>
      <c r="GT385" s="70">
        <f t="shared" si="41"/>
        <v>670.39929276558132</v>
      </c>
      <c r="GU385" s="70">
        <f t="shared" si="41"/>
        <v>795.61505940184429</v>
      </c>
      <c r="GV385" s="70">
        <f t="shared" si="41"/>
        <v>461.37541272906611</v>
      </c>
      <c r="GW385" s="70">
        <f t="shared" si="41"/>
        <v>878.73783286077582</v>
      </c>
      <c r="GX385" s="70">
        <f>GX375/GX382*1000000*GX368/GX367</f>
        <v>1466.9347249786049</v>
      </c>
      <c r="HA385" s="212"/>
      <c r="HB385" s="217"/>
      <c r="HY385"/>
      <c r="HZ385"/>
      <c r="IA385"/>
      <c r="IB385"/>
      <c r="IC385"/>
      <c r="ID385"/>
      <c r="IE385"/>
      <c r="IF385"/>
      <c r="IG385"/>
      <c r="IH385"/>
      <c r="II385"/>
      <c r="IJ385"/>
      <c r="IK385"/>
      <c r="IL385"/>
      <c r="IM385"/>
      <c r="IN385"/>
      <c r="IO385"/>
      <c r="IP385"/>
      <c r="IQ385"/>
      <c r="IR385"/>
      <c r="IS385"/>
      <c r="IT385"/>
      <c r="IU385"/>
      <c r="IV385"/>
    </row>
    <row r="386" spans="157:256" s="70" customFormat="1" ht="12.75" x14ac:dyDescent="0.2">
      <c r="FA386" s="70" t="s">
        <v>1638</v>
      </c>
      <c r="FJ386" s="259">
        <f>FJ385/FF385-1</f>
        <v>-0.44976273463039906</v>
      </c>
      <c r="FK386" s="259">
        <f t="shared" ref="FK386:GC386" si="42">FK385/FG385-1</f>
        <v>-0.23102143387076357</v>
      </c>
      <c r="FL386" s="259">
        <f t="shared" si="42"/>
        <v>-0.34770887979268872</v>
      </c>
      <c r="FM386" s="259">
        <f t="shared" si="42"/>
        <v>0.31510731667373681</v>
      </c>
      <c r="FN386" s="259">
        <f t="shared" si="42"/>
        <v>-0.14200677340498535</v>
      </c>
      <c r="FO386" s="259">
        <f t="shared" si="42"/>
        <v>-0.48939418100744048</v>
      </c>
      <c r="FP386" s="259">
        <f t="shared" si="42"/>
        <v>-0.32003892559662162</v>
      </c>
      <c r="FQ386" s="259">
        <f t="shared" si="42"/>
        <v>-0.35241835026112567</v>
      </c>
      <c r="FR386" s="259">
        <f t="shared" si="42"/>
        <v>0.11624537118752531</v>
      </c>
      <c r="FS386" s="259">
        <f t="shared" si="42"/>
        <v>0.25068400013853198</v>
      </c>
      <c r="FT386" s="259">
        <f t="shared" si="42"/>
        <v>0.13434381905304948</v>
      </c>
      <c r="FU386" s="259">
        <f t="shared" si="42"/>
        <v>0.49128893485330472</v>
      </c>
      <c r="FV386" s="259">
        <f t="shared" si="42"/>
        <v>0.47363929704792151</v>
      </c>
      <c r="FW386" s="259">
        <f t="shared" si="42"/>
        <v>0.37423014005873512</v>
      </c>
      <c r="FX386" s="259">
        <f t="shared" si="42"/>
        <v>0.39925419208258228</v>
      </c>
      <c r="FY386" s="259">
        <f t="shared" si="42"/>
        <v>0.30233400279286693</v>
      </c>
      <c r="FZ386" s="259">
        <f t="shared" si="42"/>
        <v>0.15617723969449493</v>
      </c>
      <c r="GA386" s="259">
        <f t="shared" si="42"/>
        <v>0.488185808213913</v>
      </c>
      <c r="GB386" s="259">
        <f t="shared" si="42"/>
        <v>0.59636742509574203</v>
      </c>
      <c r="GC386" s="259">
        <f t="shared" si="42"/>
        <v>0.35977388820618694</v>
      </c>
      <c r="GD386" s="259">
        <f t="shared" ref="GD386:GX386" si="43">GD385/FZ385-1</f>
        <v>0.18508099491290997</v>
      </c>
      <c r="GE386" s="259">
        <f t="shared" si="43"/>
        <v>0.49232532473532498</v>
      </c>
      <c r="GF386" s="259">
        <f t="shared" si="43"/>
        <v>0.1295839048925469</v>
      </c>
      <c r="GG386" s="259">
        <f t="shared" si="43"/>
        <v>0.28722158396576769</v>
      </c>
      <c r="GH386" s="259">
        <f t="shared" si="43"/>
        <v>3.5909674024823257E-2</v>
      </c>
      <c r="GI386" s="259">
        <f t="shared" si="43"/>
        <v>-0.11539493223175024</v>
      </c>
      <c r="GJ386" s="259">
        <f t="shared" si="43"/>
        <v>-7.2533023041337796E-2</v>
      </c>
      <c r="GK386" s="259">
        <f t="shared" si="43"/>
        <v>-0.37226347052613629</v>
      </c>
      <c r="GL386" s="259">
        <f t="shared" si="43"/>
        <v>-0.44235201592573969</v>
      </c>
      <c r="GM386" s="259">
        <f t="shared" si="43"/>
        <v>-0.67521123092791391</v>
      </c>
      <c r="GN386" s="259">
        <f t="shared" si="43"/>
        <v>-0.68596327997715112</v>
      </c>
      <c r="GO386" s="259">
        <f t="shared" si="43"/>
        <v>-0.28258316543299777</v>
      </c>
      <c r="GP386" s="259">
        <f t="shared" si="43"/>
        <v>-9.3066892000787216E-2</v>
      </c>
      <c r="GQ386" s="259">
        <f t="shared" si="43"/>
        <v>0.28456744365412612</v>
      </c>
      <c r="GR386" s="259">
        <f t="shared" si="43"/>
        <v>0.20507718264151165</v>
      </c>
      <c r="GS386" s="259">
        <f t="shared" si="43"/>
        <v>0.25091422778016637</v>
      </c>
      <c r="GT386" s="259">
        <f t="shared" si="43"/>
        <v>2.8576874907912053E-2</v>
      </c>
      <c r="GU386" s="259">
        <f t="shared" si="43"/>
        <v>6.458084603842762E-2</v>
      </c>
      <c r="GV386" s="259">
        <f t="shared" si="43"/>
        <v>0.35864411923800854</v>
      </c>
      <c r="GW386" s="259">
        <f t="shared" si="43"/>
        <v>-3.088285444252814E-2</v>
      </c>
      <c r="GX386" s="259">
        <f t="shared" si="43"/>
        <v>1.188150764490064</v>
      </c>
      <c r="HY386"/>
      <c r="HZ386"/>
      <c r="IA386"/>
      <c r="IB386"/>
      <c r="IC386"/>
      <c r="ID386"/>
      <c r="IE386"/>
      <c r="IF386"/>
      <c r="IG386"/>
      <c r="IH386"/>
      <c r="II386"/>
      <c r="IJ386"/>
      <c r="IK386"/>
      <c r="IL386"/>
      <c r="IM386"/>
      <c r="IN386"/>
      <c r="IO386"/>
      <c r="IP386"/>
      <c r="IQ386"/>
      <c r="IR386"/>
      <c r="IS386"/>
      <c r="IT386"/>
      <c r="IU386"/>
      <c r="IV386"/>
    </row>
    <row r="387" spans="157:256" s="70" customFormat="1" ht="12.75" x14ac:dyDescent="0.2">
      <c r="FA387" s="70" t="s">
        <v>1245</v>
      </c>
      <c r="FZ387" s="311">
        <f>FZ385/$GH$385</f>
        <v>0.8145731256305303</v>
      </c>
      <c r="GA387" s="311">
        <f>GA385/$GE$385</f>
        <v>0.67009517524428353</v>
      </c>
      <c r="GB387" s="311">
        <f>GB385/$GF$385</f>
        <v>0.88528173575129532</v>
      </c>
      <c r="GC387" s="311">
        <f>GC385/$GG$385</f>
        <v>0.77686702309568634</v>
      </c>
      <c r="GD387" s="311">
        <f>GD385/$GH$385</f>
        <v>0.9653351301515477</v>
      </c>
      <c r="GE387" s="311">
        <f>GE385/$GE$385</f>
        <v>1</v>
      </c>
      <c r="GF387" s="311">
        <f>GF385/$GF$385</f>
        <v>1</v>
      </c>
      <c r="GG387" s="311">
        <f>GG385/$GG$385</f>
        <v>1</v>
      </c>
      <c r="GH387" s="311">
        <f>GH385/$GH$385</f>
        <v>1</v>
      </c>
      <c r="GI387" s="311">
        <f>GI385/$GE$385</f>
        <v>0.88460506776824976</v>
      </c>
      <c r="GJ387" s="311">
        <f>GJ385/$GF$385</f>
        <v>0.9274669769586622</v>
      </c>
      <c r="GK387" s="311">
        <f>GK385/$GG$385</f>
        <v>0.62773652947386371</v>
      </c>
      <c r="GL387" s="311">
        <f>GL385/$GH$385</f>
        <v>0.55764798407426031</v>
      </c>
      <c r="GM387" s="311">
        <f>GM385/$GE$385</f>
        <v>0.28730979107537913</v>
      </c>
      <c r="GN387" s="311">
        <f>GN385/$GF$385</f>
        <v>0.29125868737360538</v>
      </c>
      <c r="GO387" s="311">
        <f>GO385/$GG$385</f>
        <v>0.45034875391721502</v>
      </c>
      <c r="GP387" s="311">
        <f>GP385/$GH$385</f>
        <v>0.5057494193659644</v>
      </c>
      <c r="GQ387" s="311">
        <f>GQ385/$GE$385</f>
        <v>0.36906880385850083</v>
      </c>
      <c r="GR387" s="311">
        <f>GR385/$GF$385</f>
        <v>0.35098919840004922</v>
      </c>
      <c r="GS387" s="311">
        <f>GS385/$GG$385</f>
        <v>0.56334766373811318</v>
      </c>
      <c r="GT387" s="311">
        <f>GT385/$GH$385</f>
        <v>0.52020215725793473</v>
      </c>
      <c r="GU387" s="311">
        <f>GU385/$GE$385</f>
        <v>0.3929035794580733</v>
      </c>
      <c r="GV387" s="311">
        <f>GV385/$GF$385</f>
        <v>0.47686941032228952</v>
      </c>
      <c r="GW387" s="311">
        <f>GW385/$GG$385</f>
        <v>0.54594987983835075</v>
      </c>
      <c r="GX387" s="311">
        <f>GX385/$GG$385</f>
        <v>0.91138995828311054</v>
      </c>
      <c r="HY387"/>
      <c r="HZ387"/>
      <c r="IA387"/>
      <c r="IB387"/>
      <c r="IC387"/>
      <c r="ID387"/>
      <c r="IE387"/>
      <c r="IF387"/>
      <c r="IG387"/>
      <c r="IH387"/>
      <c r="II387"/>
      <c r="IJ387"/>
      <c r="IK387"/>
      <c r="IL387"/>
      <c r="IM387"/>
      <c r="IN387"/>
      <c r="IO387"/>
      <c r="IP387"/>
      <c r="IQ387"/>
      <c r="IR387"/>
      <c r="IS387"/>
      <c r="IT387"/>
      <c r="IU387"/>
      <c r="IV387"/>
    </row>
    <row r="388" spans="157:256" s="70" customFormat="1" ht="12.75" x14ac:dyDescent="0.2">
      <c r="HY388"/>
      <c r="HZ388"/>
      <c r="IA388"/>
      <c r="IB388"/>
      <c r="IC388"/>
      <c r="ID388"/>
      <c r="IE388"/>
      <c r="IF388"/>
      <c r="IG388"/>
      <c r="IH388"/>
      <c r="II388"/>
      <c r="IJ388"/>
      <c r="IK388"/>
      <c r="IL388"/>
      <c r="IM388"/>
      <c r="IN388"/>
      <c r="IO388"/>
      <c r="IP388"/>
      <c r="IQ388"/>
      <c r="IR388"/>
      <c r="IS388"/>
      <c r="IT388"/>
      <c r="IU388"/>
      <c r="IV388"/>
    </row>
    <row r="389" spans="157:256" s="70" customFormat="1" ht="12.75" x14ac:dyDescent="0.2">
      <c r="FA389" s="70" t="s">
        <v>1169</v>
      </c>
      <c r="FI389" s="70">
        <f t="shared" ref="FI389:GX389" si="44">SUM(FF385:FI385)</f>
        <v>3838.3956667833099</v>
      </c>
      <c r="FJ389" s="70">
        <f t="shared" si="44"/>
        <v>3312.5409122708375</v>
      </c>
      <c r="FK389" s="70">
        <f t="shared" si="44"/>
        <v>3000.4065666143902</v>
      </c>
      <c r="FL389" s="70">
        <f t="shared" si="44"/>
        <v>2735.4024822240626</v>
      </c>
      <c r="FM389" s="70">
        <f t="shared" si="44"/>
        <v>2910.5907925560541</v>
      </c>
      <c r="FN389" s="70">
        <f t="shared" si="44"/>
        <v>2819.2338838013129</v>
      </c>
      <c r="FO389" s="70">
        <f t="shared" si="44"/>
        <v>2310.7674132964448</v>
      </c>
      <c r="FP389" s="70">
        <f t="shared" si="44"/>
        <v>2151.6634288208825</v>
      </c>
      <c r="FQ389" s="70">
        <f t="shared" si="44"/>
        <v>1893.9919533422035</v>
      </c>
      <c r="FR389" s="70">
        <f t="shared" si="44"/>
        <v>1958.1560174553049</v>
      </c>
      <c r="FS389" s="70">
        <f t="shared" si="44"/>
        <v>2091.1450707672802</v>
      </c>
      <c r="FT389" s="70">
        <f t="shared" si="44"/>
        <v>2136.5580499700277</v>
      </c>
      <c r="FU389" s="70">
        <f t="shared" si="44"/>
        <v>2369.1739233655071</v>
      </c>
      <c r="FV389" s="70">
        <f t="shared" si="44"/>
        <v>2660.9996626320599</v>
      </c>
      <c r="FW389" s="70">
        <f t="shared" si="44"/>
        <v>2909.299042304322</v>
      </c>
      <c r="FX389" s="70">
        <f t="shared" si="44"/>
        <v>3062.392452569125</v>
      </c>
      <c r="FY389" s="70">
        <f t="shared" si="44"/>
        <v>3275.8694834200946</v>
      </c>
      <c r="FZ389" s="70">
        <f t="shared" si="44"/>
        <v>3417.6722824554518</v>
      </c>
      <c r="GA389" s="70">
        <f t="shared" si="44"/>
        <v>3862.7967753677767</v>
      </c>
      <c r="GB389" s="70">
        <f t="shared" si="44"/>
        <v>4182.7728767044355</v>
      </c>
      <c r="GC389" s="70">
        <f t="shared" si="44"/>
        <v>4513.6114804706376</v>
      </c>
      <c r="GD389" s="70">
        <f t="shared" si="44"/>
        <v>4707.9027570381386</v>
      </c>
      <c r="GE389" s="70">
        <f t="shared" si="44"/>
        <v>5375.9476934243266</v>
      </c>
      <c r="GF389" s="70">
        <f t="shared" si="44"/>
        <v>5486.938638470554</v>
      </c>
      <c r="GG389" s="70">
        <f t="shared" si="44"/>
        <v>5846.084039551557</v>
      </c>
      <c r="GH389" s="199">
        <f t="shared" si="44"/>
        <v>5890.757641738659</v>
      </c>
      <c r="GI389" s="70">
        <f t="shared" si="44"/>
        <v>5657.0872180971446</v>
      </c>
      <c r="GJ389" s="70">
        <f t="shared" si="44"/>
        <v>5586.9108706154157</v>
      </c>
      <c r="GK389" s="70">
        <f t="shared" si="44"/>
        <v>4987.7313352334768</v>
      </c>
      <c r="GL389" s="70">
        <f t="shared" si="44"/>
        <v>4417.6597303919698</v>
      </c>
      <c r="GM389" s="70">
        <f t="shared" si="44"/>
        <v>3208.1591254295513</v>
      </c>
      <c r="GN389" s="70">
        <f t="shared" si="44"/>
        <v>2592.6219241849221</v>
      </c>
      <c r="GO389" s="70">
        <f t="shared" si="44"/>
        <v>2307.1060641671547</v>
      </c>
      <c r="GP389" s="70">
        <f t="shared" si="44"/>
        <v>2240.2229100114928</v>
      </c>
      <c r="GQ389" s="70">
        <f t="shared" si="44"/>
        <v>2405.7818542741043</v>
      </c>
      <c r="GR389" s="70">
        <f t="shared" si="44"/>
        <v>2463.5716570604027</v>
      </c>
      <c r="GS389" s="70">
        <f t="shared" si="44"/>
        <v>2645.4499224444826</v>
      </c>
      <c r="GT389" s="70">
        <f t="shared" si="44"/>
        <v>2664.075576194894</v>
      </c>
      <c r="GU389" s="70">
        <f t="shared" si="44"/>
        <v>2712.3401057027168</v>
      </c>
      <c r="GV389" s="70">
        <f t="shared" si="44"/>
        <v>2834.1303347945645</v>
      </c>
      <c r="GW389" s="70">
        <f t="shared" si="44"/>
        <v>2806.1275977572677</v>
      </c>
      <c r="GX389" s="70">
        <f t="shared" si="44"/>
        <v>3602.6630299702911</v>
      </c>
      <c r="HY389"/>
      <c r="HZ389"/>
      <c r="IA389"/>
      <c r="IB389"/>
      <c r="IC389"/>
      <c r="ID389"/>
      <c r="IE389"/>
      <c r="IF389"/>
      <c r="IG389"/>
      <c r="IH389"/>
      <c r="II389"/>
      <c r="IJ389"/>
      <c r="IK389"/>
      <c r="IL389"/>
      <c r="IM389"/>
      <c r="IN389"/>
      <c r="IO389"/>
      <c r="IP389"/>
      <c r="IQ389"/>
      <c r="IR389"/>
      <c r="IS389"/>
      <c r="IT389"/>
      <c r="IU389"/>
      <c r="IV389"/>
    </row>
    <row r="390" spans="157:256" s="70" customFormat="1" ht="12.75" x14ac:dyDescent="0.2">
      <c r="FA390" s="70" t="s">
        <v>1245</v>
      </c>
      <c r="GC390" s="311">
        <f>GC389/$GH$389</f>
        <v>0.76621917841088494</v>
      </c>
      <c r="GD390" s="311">
        <f t="shared" ref="GD390:GX390" si="45">GD389/$GH$389</f>
        <v>0.79920157021577953</v>
      </c>
      <c r="GE390" s="311">
        <f t="shared" si="45"/>
        <v>0.91260717557506132</v>
      </c>
      <c r="GF390" s="311">
        <f t="shared" si="45"/>
        <v>0.93144871545777641</v>
      </c>
      <c r="GG390" s="311">
        <f t="shared" si="45"/>
        <v>0.99241632317877593</v>
      </c>
      <c r="GH390" s="311">
        <f t="shared" si="45"/>
        <v>1</v>
      </c>
      <c r="GI390" s="311">
        <f t="shared" si="45"/>
        <v>0.960332704576767</v>
      </c>
      <c r="GJ390" s="311">
        <f t="shared" si="45"/>
        <v>0.94841974672827267</v>
      </c>
      <c r="GK390" s="311">
        <f t="shared" si="45"/>
        <v>0.84670455628545371</v>
      </c>
      <c r="GL390" s="311">
        <f t="shared" si="45"/>
        <v>0.74993065392656288</v>
      </c>
      <c r="GM390" s="311">
        <f t="shared" si="45"/>
        <v>0.5446089145984051</v>
      </c>
      <c r="GN390" s="311">
        <f t="shared" si="45"/>
        <v>0.44011688849920311</v>
      </c>
      <c r="GO390" s="311">
        <f t="shared" si="45"/>
        <v>0.39164844396589565</v>
      </c>
      <c r="GP390" s="311">
        <f t="shared" si="45"/>
        <v>0.38029453022112286</v>
      </c>
      <c r="GQ390" s="311">
        <f t="shared" si="45"/>
        <v>0.40839939454104529</v>
      </c>
      <c r="GR390" s="311">
        <f t="shared" si="45"/>
        <v>0.41820964413896322</v>
      </c>
      <c r="GS390" s="311">
        <f t="shared" si="45"/>
        <v>0.44908483480975075</v>
      </c>
      <c r="GT390" s="311">
        <f t="shared" si="45"/>
        <v>0.45224667830818976</v>
      </c>
      <c r="GU390" s="311">
        <f t="shared" si="45"/>
        <v>0.460439941797057</v>
      </c>
      <c r="GV390" s="311">
        <f t="shared" si="45"/>
        <v>0.4811147406088277</v>
      </c>
      <c r="GW390" s="311">
        <f t="shared" si="45"/>
        <v>0.47636106735653078</v>
      </c>
      <c r="GX390" s="311">
        <f t="shared" si="45"/>
        <v>0.61157889172757818</v>
      </c>
      <c r="HY390"/>
      <c r="HZ390"/>
      <c r="IA390"/>
      <c r="IB390"/>
      <c r="IC390"/>
      <c r="ID390"/>
      <c r="IE390"/>
      <c r="IF390"/>
      <c r="IG390"/>
      <c r="IH390"/>
      <c r="II390"/>
      <c r="IJ390"/>
      <c r="IK390"/>
      <c r="IL390"/>
      <c r="IM390"/>
      <c r="IN390"/>
      <c r="IO390"/>
      <c r="IP390"/>
      <c r="IQ390"/>
      <c r="IR390"/>
      <c r="IS390"/>
      <c r="IT390"/>
      <c r="IU390"/>
      <c r="IV390"/>
    </row>
    <row r="391" spans="157:256" s="70" customFormat="1" ht="12.75" x14ac:dyDescent="0.2">
      <c r="GC391" s="311"/>
      <c r="GD391" s="311"/>
      <c r="GE391" s="311"/>
      <c r="GF391" s="311"/>
      <c r="GG391" s="311"/>
      <c r="GH391" s="311"/>
      <c r="GI391" s="311"/>
      <c r="GJ391" s="311"/>
      <c r="GK391" s="311"/>
      <c r="GL391" s="311"/>
      <c r="GM391" s="311"/>
      <c r="GN391" s="311"/>
      <c r="GO391" s="311"/>
      <c r="GP391" s="311"/>
      <c r="GQ391" s="311"/>
      <c r="GR391" s="311"/>
      <c r="GS391" s="311"/>
      <c r="GT391" s="311"/>
      <c r="GU391" s="311"/>
      <c r="GV391" s="311"/>
      <c r="GW391" s="311"/>
      <c r="HY391"/>
      <c r="HZ391"/>
      <c r="IA391"/>
      <c r="IB391"/>
      <c r="IC391"/>
      <c r="ID391"/>
      <c r="IE391"/>
      <c r="IF391"/>
      <c r="IG391"/>
      <c r="IH391"/>
      <c r="II391"/>
      <c r="IJ391"/>
      <c r="IK391"/>
      <c r="IL391"/>
      <c r="IM391"/>
      <c r="IN391"/>
      <c r="IO391"/>
      <c r="IP391"/>
      <c r="IQ391"/>
      <c r="IR391"/>
      <c r="IS391"/>
      <c r="IT391"/>
      <c r="IU391"/>
      <c r="IV391"/>
    </row>
    <row r="392" spans="157:256" s="70" customFormat="1" ht="12.75" x14ac:dyDescent="0.2">
      <c r="GC392" s="311"/>
      <c r="GD392" s="311"/>
      <c r="GE392" s="311"/>
      <c r="GF392" s="311"/>
      <c r="GG392" s="311"/>
      <c r="GH392" s="311"/>
      <c r="GI392" s="311"/>
      <c r="GJ392" s="311"/>
      <c r="GK392" s="311"/>
      <c r="GL392" s="311"/>
      <c r="GM392" s="311"/>
      <c r="GN392" s="311"/>
      <c r="GO392" s="311"/>
      <c r="GP392" s="311"/>
      <c r="GQ392" s="311"/>
      <c r="GR392" s="311"/>
      <c r="GS392" s="311"/>
      <c r="GT392" s="311"/>
      <c r="GU392" s="311"/>
      <c r="GV392" s="311"/>
      <c r="GW392" s="311"/>
      <c r="HY392"/>
      <c r="HZ392"/>
      <c r="IA392"/>
      <c r="IB392"/>
      <c r="IC392"/>
      <c r="ID392"/>
      <c r="IE392"/>
      <c r="IF392"/>
      <c r="IG392"/>
      <c r="IH392"/>
      <c r="II392"/>
      <c r="IJ392"/>
      <c r="IK392"/>
      <c r="IL392"/>
      <c r="IM392"/>
      <c r="IN392"/>
      <c r="IO392"/>
      <c r="IP392"/>
      <c r="IQ392"/>
      <c r="IR392"/>
      <c r="IS392"/>
      <c r="IT392"/>
      <c r="IU392"/>
      <c r="IV392"/>
    </row>
    <row r="393" spans="157:256" s="70" customFormat="1" ht="12.75" x14ac:dyDescent="0.2">
      <c r="GC393" s="311"/>
      <c r="GD393" s="311"/>
      <c r="GE393" s="311"/>
      <c r="GF393" s="311"/>
      <c r="GG393" s="311"/>
      <c r="GH393" s="311"/>
      <c r="GI393" s="311"/>
      <c r="GJ393" s="311"/>
      <c r="GK393" s="311"/>
      <c r="GL393" s="311"/>
      <c r="GM393" s="311"/>
      <c r="GN393" s="311"/>
      <c r="GO393" s="311"/>
      <c r="GP393" s="311"/>
      <c r="GQ393" s="311"/>
      <c r="GR393" s="311"/>
      <c r="GS393" s="311"/>
      <c r="GT393" s="311"/>
      <c r="GU393" s="311"/>
      <c r="GV393" s="311"/>
      <c r="GW393" s="311"/>
      <c r="HY393"/>
      <c r="HZ393"/>
      <c r="IA393"/>
      <c r="IB393"/>
      <c r="IC393"/>
      <c r="ID393"/>
      <c r="IE393"/>
      <c r="IF393"/>
      <c r="IG393"/>
      <c r="IH393"/>
      <c r="II393"/>
      <c r="IJ393"/>
      <c r="IK393"/>
      <c r="IL393"/>
      <c r="IM393"/>
      <c r="IN393"/>
      <c r="IO393"/>
      <c r="IP393"/>
      <c r="IQ393"/>
      <c r="IR393"/>
      <c r="IS393"/>
      <c r="IT393"/>
      <c r="IU393"/>
      <c r="IV393"/>
    </row>
    <row r="394" spans="157:256" s="70" customFormat="1" ht="12.75" x14ac:dyDescent="0.2">
      <c r="GC394" s="311"/>
      <c r="GD394" s="311"/>
      <c r="GE394" s="311"/>
      <c r="GF394" s="311"/>
      <c r="GG394" s="311"/>
      <c r="GH394" s="311"/>
      <c r="GI394" s="311"/>
      <c r="GJ394" s="311"/>
      <c r="GK394" s="311"/>
      <c r="GL394" s="311"/>
      <c r="GM394" s="311"/>
      <c r="GN394" s="311"/>
      <c r="GO394" s="311"/>
      <c r="GP394" s="311"/>
      <c r="GQ394" s="311"/>
      <c r="GR394" s="311"/>
      <c r="GS394" s="311"/>
      <c r="GT394" s="311"/>
      <c r="GU394" s="311"/>
      <c r="GV394" s="311"/>
      <c r="GW394" s="311"/>
      <c r="HY394"/>
      <c r="HZ394"/>
      <c r="IA394"/>
      <c r="IB394"/>
      <c r="IC394"/>
      <c r="ID394"/>
      <c r="IE394"/>
      <c r="IF394"/>
      <c r="IG394"/>
      <c r="IH394"/>
      <c r="II394"/>
      <c r="IJ394"/>
      <c r="IK394"/>
      <c r="IL394"/>
      <c r="IM394"/>
      <c r="IN394"/>
      <c r="IO394"/>
      <c r="IP394"/>
      <c r="IQ394"/>
      <c r="IR394"/>
      <c r="IS394"/>
      <c r="IT394"/>
      <c r="IU394"/>
      <c r="IV394"/>
    </row>
    <row r="395" spans="157:256" s="70" customFormat="1" ht="12.75" x14ac:dyDescent="0.2">
      <c r="FZ395" s="199" t="s">
        <v>787</v>
      </c>
      <c r="GC395" s="311"/>
      <c r="GD395" s="311"/>
      <c r="GE395" s="311"/>
      <c r="GF395" s="311"/>
      <c r="GG395" s="311"/>
      <c r="GH395" s="311"/>
      <c r="GI395" s="311"/>
      <c r="GJ395" s="311"/>
      <c r="GK395" s="311"/>
      <c r="GL395" s="199" t="s">
        <v>1243</v>
      </c>
      <c r="GM395" s="311"/>
      <c r="GN395" s="311"/>
      <c r="GO395" s="311"/>
      <c r="GP395" s="311"/>
      <c r="GQ395" s="311"/>
      <c r="GR395" s="311"/>
      <c r="GS395" s="311"/>
      <c r="GT395" s="311"/>
      <c r="GU395" s="311"/>
      <c r="GV395" s="311"/>
      <c r="GW395" s="311"/>
      <c r="HY395"/>
      <c r="HZ395"/>
      <c r="IA395"/>
      <c r="IB395"/>
      <c r="IC395"/>
      <c r="ID395"/>
      <c r="IE395"/>
      <c r="IF395"/>
      <c r="IG395"/>
      <c r="IH395"/>
      <c r="II395"/>
      <c r="IJ395"/>
      <c r="IK395"/>
      <c r="IL395"/>
      <c r="IM395"/>
      <c r="IN395"/>
      <c r="IO395"/>
      <c r="IP395"/>
      <c r="IQ395"/>
      <c r="IR395"/>
      <c r="IS395"/>
      <c r="IT395"/>
      <c r="IU395"/>
      <c r="IV395"/>
    </row>
    <row r="396" spans="157:256" s="70" customFormat="1" ht="12.75" x14ac:dyDescent="0.2">
      <c r="GC396" s="311"/>
      <c r="GD396" s="311"/>
      <c r="GE396" s="311"/>
      <c r="GF396" s="311"/>
      <c r="GG396" s="311"/>
      <c r="GH396" s="311"/>
      <c r="GI396" s="311"/>
      <c r="GJ396" s="311"/>
      <c r="GK396" s="311"/>
      <c r="GL396" s="311"/>
      <c r="GM396" s="311"/>
      <c r="GN396" s="311"/>
      <c r="GO396" s="311"/>
      <c r="GP396" s="311"/>
      <c r="GQ396" s="311"/>
      <c r="GR396" s="311"/>
      <c r="GS396" s="311"/>
      <c r="GT396" s="311"/>
      <c r="GU396" s="311"/>
      <c r="GV396" s="311"/>
      <c r="GW396" s="311"/>
      <c r="HY396"/>
      <c r="HZ396"/>
      <c r="IA396"/>
      <c r="IB396"/>
      <c r="IC396"/>
      <c r="ID396"/>
      <c r="IE396"/>
      <c r="IF396"/>
      <c r="IG396"/>
      <c r="IH396"/>
      <c r="II396"/>
      <c r="IJ396"/>
      <c r="IK396"/>
      <c r="IL396"/>
      <c r="IM396"/>
      <c r="IN396"/>
      <c r="IO396"/>
      <c r="IP396"/>
      <c r="IQ396"/>
      <c r="IR396"/>
      <c r="IS396"/>
      <c r="IT396"/>
      <c r="IU396"/>
      <c r="IV396"/>
    </row>
    <row r="397" spans="157:256" s="70" customFormat="1" ht="12.75" x14ac:dyDescent="0.2">
      <c r="GC397" s="311"/>
      <c r="GD397" s="311"/>
      <c r="GE397" s="311"/>
      <c r="GF397" s="311"/>
      <c r="GG397" s="311"/>
      <c r="GH397" s="311"/>
      <c r="GI397" s="311"/>
      <c r="GJ397" s="311"/>
      <c r="GK397" s="311"/>
      <c r="GL397" s="311"/>
      <c r="GM397" s="311"/>
      <c r="GN397" s="311"/>
      <c r="GO397" s="311"/>
      <c r="GP397" s="311"/>
      <c r="GQ397" s="311"/>
      <c r="GR397" s="311"/>
      <c r="GS397" s="311"/>
      <c r="GT397" s="311"/>
      <c r="GU397" s="311"/>
      <c r="GV397" s="311"/>
      <c r="GW397" s="311"/>
      <c r="HY397"/>
      <c r="HZ397"/>
      <c r="IA397"/>
      <c r="IB397"/>
      <c r="IC397"/>
      <c r="ID397"/>
      <c r="IE397"/>
      <c r="IF397"/>
      <c r="IG397"/>
      <c r="IH397"/>
      <c r="II397"/>
      <c r="IJ397"/>
      <c r="IK397"/>
      <c r="IL397"/>
      <c r="IM397"/>
      <c r="IN397"/>
      <c r="IO397"/>
      <c r="IP397"/>
      <c r="IQ397"/>
      <c r="IR397"/>
      <c r="IS397"/>
      <c r="IT397"/>
      <c r="IU397"/>
      <c r="IV397"/>
    </row>
    <row r="398" spans="157:256" s="70" customFormat="1" ht="12.75" x14ac:dyDescent="0.2">
      <c r="GC398" s="311"/>
      <c r="GD398" s="311"/>
      <c r="GE398" s="311"/>
      <c r="GF398" s="311"/>
      <c r="GG398" s="311"/>
      <c r="GH398" s="311"/>
      <c r="GI398" s="311"/>
      <c r="GJ398" s="311"/>
      <c r="GK398" s="311"/>
      <c r="GL398" s="311"/>
      <c r="GM398" s="311"/>
      <c r="GN398" s="311"/>
      <c r="GO398" s="311"/>
      <c r="GP398" s="311"/>
      <c r="GQ398" s="311"/>
      <c r="GR398" s="311"/>
      <c r="GS398" s="311"/>
      <c r="GT398" s="311"/>
      <c r="GU398" s="311"/>
      <c r="GV398" s="311"/>
      <c r="GW398" s="311"/>
      <c r="HY398"/>
      <c r="HZ398"/>
      <c r="IA398"/>
      <c r="IB398"/>
      <c r="IC398"/>
      <c r="ID398"/>
      <c r="IE398"/>
      <c r="IF398"/>
      <c r="IG398"/>
      <c r="IH398"/>
      <c r="II398"/>
      <c r="IJ398"/>
      <c r="IK398"/>
      <c r="IL398"/>
      <c r="IM398"/>
      <c r="IN398"/>
      <c r="IO398"/>
      <c r="IP398"/>
      <c r="IQ398"/>
      <c r="IR398"/>
      <c r="IS398"/>
      <c r="IT398"/>
      <c r="IU398"/>
      <c r="IV398"/>
    </row>
    <row r="399" spans="157:256" s="70" customFormat="1" ht="12.75" x14ac:dyDescent="0.2">
      <c r="GC399" s="311"/>
      <c r="GD399" s="311"/>
      <c r="GE399" s="311"/>
      <c r="GF399" s="311"/>
      <c r="GG399" s="311"/>
      <c r="GH399" s="311"/>
      <c r="GI399" s="311"/>
      <c r="GJ399" s="311"/>
      <c r="GK399" s="311"/>
      <c r="GL399" s="311"/>
      <c r="GM399" s="311"/>
      <c r="GN399" s="311"/>
      <c r="GO399" s="311"/>
      <c r="GP399" s="311"/>
      <c r="GQ399" s="311"/>
      <c r="GR399" s="311"/>
      <c r="GS399" s="311"/>
      <c r="GT399" s="311"/>
      <c r="GU399" s="311"/>
      <c r="GV399" s="311"/>
      <c r="GW399" s="311"/>
      <c r="HY399"/>
      <c r="HZ399"/>
      <c r="IA399"/>
      <c r="IB399"/>
      <c r="IC399"/>
      <c r="ID399"/>
      <c r="IE399"/>
      <c r="IF399"/>
      <c r="IG399"/>
      <c r="IH399"/>
      <c r="II399"/>
      <c r="IJ399"/>
      <c r="IK399"/>
      <c r="IL399"/>
      <c r="IM399"/>
      <c r="IN399"/>
      <c r="IO399"/>
      <c r="IP399"/>
      <c r="IQ399"/>
      <c r="IR399"/>
      <c r="IS399"/>
      <c r="IT399"/>
      <c r="IU399"/>
      <c r="IV399"/>
    </row>
    <row r="400" spans="157:256" s="70" customFormat="1" ht="12.75" x14ac:dyDescent="0.2">
      <c r="GC400" s="311"/>
      <c r="GD400" s="311"/>
      <c r="GE400" s="311"/>
      <c r="GF400" s="311"/>
      <c r="GG400" s="311"/>
      <c r="GH400" s="311"/>
      <c r="GI400" s="311"/>
      <c r="GJ400" s="311"/>
      <c r="GK400" s="311"/>
      <c r="GL400" s="311"/>
      <c r="GM400" s="311"/>
      <c r="GN400" s="311"/>
      <c r="GO400" s="311"/>
      <c r="GP400" s="311"/>
      <c r="GQ400" s="311"/>
      <c r="GR400" s="311"/>
      <c r="GS400" s="311"/>
      <c r="GT400" s="311"/>
      <c r="GU400" s="311"/>
      <c r="GV400" s="311"/>
      <c r="GW400" s="311"/>
      <c r="HY400"/>
      <c r="HZ400"/>
      <c r="IA400"/>
      <c r="IB400"/>
      <c r="IC400"/>
      <c r="ID400"/>
      <c r="IE400"/>
      <c r="IF400"/>
      <c r="IG400"/>
      <c r="IH400"/>
      <c r="II400"/>
      <c r="IJ400"/>
      <c r="IK400"/>
      <c r="IL400"/>
      <c r="IM400"/>
      <c r="IN400"/>
      <c r="IO400"/>
      <c r="IP400"/>
      <c r="IQ400"/>
      <c r="IR400"/>
      <c r="IS400"/>
      <c r="IT400"/>
      <c r="IU400"/>
      <c r="IV400"/>
    </row>
    <row r="401" spans="185:256" s="70" customFormat="1" ht="12.75" x14ac:dyDescent="0.2">
      <c r="GC401" s="311"/>
      <c r="GD401" s="311"/>
      <c r="GE401" s="311"/>
      <c r="GF401" s="311"/>
      <c r="GG401" s="311"/>
      <c r="GH401" s="311"/>
      <c r="GI401" s="311"/>
      <c r="GJ401" s="311"/>
      <c r="GK401" s="311"/>
      <c r="GL401" s="311"/>
      <c r="GM401" s="311"/>
      <c r="GN401" s="311"/>
      <c r="GO401" s="311"/>
      <c r="GP401" s="311"/>
      <c r="GQ401" s="311"/>
      <c r="GR401" s="311"/>
      <c r="GS401" s="311"/>
      <c r="GT401" s="311"/>
      <c r="GU401" s="311"/>
      <c r="GV401" s="311"/>
      <c r="GW401" s="311"/>
      <c r="HY401"/>
      <c r="HZ401"/>
      <c r="IA401"/>
      <c r="IB401"/>
      <c r="IC401"/>
      <c r="ID401"/>
      <c r="IE401"/>
      <c r="IF401"/>
      <c r="IG401"/>
      <c r="IH401"/>
      <c r="II401"/>
      <c r="IJ401"/>
      <c r="IK401"/>
      <c r="IL401"/>
      <c r="IM401"/>
      <c r="IN401"/>
      <c r="IO401"/>
      <c r="IP401"/>
      <c r="IQ401"/>
      <c r="IR401"/>
      <c r="IS401"/>
      <c r="IT401"/>
      <c r="IU401"/>
      <c r="IV401"/>
    </row>
    <row r="402" spans="185:256" s="70" customFormat="1" ht="12.75" x14ac:dyDescent="0.2">
      <c r="GC402" s="311"/>
      <c r="GD402" s="311"/>
      <c r="GE402" s="311"/>
      <c r="GF402" s="311"/>
      <c r="GG402" s="311"/>
      <c r="GH402" s="311"/>
      <c r="GI402" s="311"/>
      <c r="GJ402" s="311"/>
      <c r="GK402" s="311"/>
      <c r="GL402" s="311"/>
      <c r="GM402" s="311"/>
      <c r="GN402" s="311"/>
      <c r="GO402" s="311"/>
      <c r="GP402" s="311"/>
      <c r="GQ402" s="311"/>
      <c r="GR402" s="311"/>
      <c r="GS402" s="311"/>
      <c r="GT402" s="311"/>
      <c r="GU402" s="311"/>
      <c r="GV402" s="311"/>
      <c r="GW402" s="311"/>
      <c r="HY402"/>
      <c r="HZ402"/>
      <c r="IA402"/>
      <c r="IB402"/>
      <c r="IC402"/>
      <c r="ID402"/>
      <c r="IE402"/>
      <c r="IF402"/>
      <c r="IG402"/>
      <c r="IH402"/>
      <c r="II402"/>
      <c r="IJ402"/>
      <c r="IK402"/>
      <c r="IL402"/>
      <c r="IM402"/>
      <c r="IN402"/>
      <c r="IO402"/>
      <c r="IP402"/>
      <c r="IQ402"/>
      <c r="IR402"/>
      <c r="IS402"/>
      <c r="IT402"/>
      <c r="IU402"/>
      <c r="IV402"/>
    </row>
    <row r="403" spans="185:256" s="70" customFormat="1" ht="12.75" x14ac:dyDescent="0.2">
      <c r="GC403" s="311"/>
      <c r="GD403" s="311"/>
      <c r="GE403" s="311"/>
      <c r="GF403" s="311"/>
      <c r="GG403" s="311"/>
      <c r="GH403" s="311"/>
      <c r="GI403" s="311"/>
      <c r="GJ403" s="311"/>
      <c r="GK403" s="311"/>
      <c r="GL403" s="311"/>
      <c r="GM403" s="311"/>
      <c r="GN403" s="311"/>
      <c r="GO403" s="311"/>
      <c r="GP403" s="311"/>
      <c r="GQ403" s="311"/>
      <c r="GR403" s="311"/>
      <c r="GS403" s="311"/>
      <c r="GT403" s="311"/>
      <c r="GU403" s="311"/>
      <c r="GV403" s="311"/>
      <c r="GW403" s="311"/>
      <c r="HY403"/>
      <c r="HZ403"/>
      <c r="IA403"/>
      <c r="IB403"/>
      <c r="IC403"/>
      <c r="ID403"/>
      <c r="IE403"/>
      <c r="IF403"/>
      <c r="IG403"/>
      <c r="IH403"/>
      <c r="II403"/>
      <c r="IJ403"/>
      <c r="IK403"/>
      <c r="IL403"/>
      <c r="IM403"/>
      <c r="IN403"/>
      <c r="IO403"/>
      <c r="IP403"/>
      <c r="IQ403"/>
      <c r="IR403"/>
      <c r="IS403"/>
      <c r="IT403"/>
      <c r="IU403"/>
      <c r="IV403"/>
    </row>
    <row r="404" spans="185:256" s="70" customFormat="1" ht="12.75" x14ac:dyDescent="0.2">
      <c r="GC404" s="311"/>
      <c r="GD404" s="311"/>
      <c r="GE404" s="311"/>
      <c r="GF404" s="311"/>
      <c r="GG404" s="311"/>
      <c r="GH404" s="311"/>
      <c r="GI404" s="311"/>
      <c r="GJ404" s="311"/>
      <c r="GK404" s="311"/>
      <c r="GL404" s="311"/>
      <c r="GM404" s="311"/>
      <c r="GN404" s="311"/>
      <c r="GO404" s="311"/>
      <c r="GP404" s="311"/>
      <c r="GQ404" s="311"/>
      <c r="GR404" s="311"/>
      <c r="GS404" s="311"/>
      <c r="GT404" s="311"/>
      <c r="GU404" s="311"/>
      <c r="GV404" s="311"/>
      <c r="GW404" s="311"/>
      <c r="HY404"/>
      <c r="HZ404"/>
      <c r="IA404"/>
      <c r="IB404"/>
      <c r="IC404"/>
      <c r="ID404"/>
      <c r="IE404"/>
      <c r="IF404"/>
      <c r="IG404"/>
      <c r="IH404"/>
      <c r="II404"/>
      <c r="IJ404"/>
      <c r="IK404"/>
      <c r="IL404"/>
      <c r="IM404"/>
      <c r="IN404"/>
      <c r="IO404"/>
      <c r="IP404"/>
      <c r="IQ404"/>
      <c r="IR404"/>
      <c r="IS404"/>
      <c r="IT404"/>
      <c r="IU404"/>
      <c r="IV404"/>
    </row>
    <row r="405" spans="185:256" s="70" customFormat="1" ht="12.75" x14ac:dyDescent="0.2">
      <c r="GC405" s="311"/>
      <c r="GD405" s="311"/>
      <c r="GE405" s="311"/>
      <c r="GF405" s="311"/>
      <c r="GG405" s="311"/>
      <c r="GH405" s="311"/>
      <c r="GI405" s="311"/>
      <c r="GJ405" s="311"/>
      <c r="GK405" s="311"/>
      <c r="GL405" s="311"/>
      <c r="GM405" s="311"/>
      <c r="GN405" s="311"/>
      <c r="GO405" s="311"/>
      <c r="GP405" s="311"/>
      <c r="GQ405" s="311"/>
      <c r="GR405" s="311"/>
      <c r="GS405" s="311"/>
      <c r="GT405" s="311"/>
      <c r="GU405" s="311"/>
      <c r="GV405" s="311"/>
      <c r="GW405" s="311"/>
      <c r="HY405"/>
      <c r="HZ405"/>
      <c r="IA405"/>
      <c r="IB405"/>
      <c r="IC405"/>
      <c r="ID405"/>
      <c r="IE405"/>
      <c r="IF405"/>
      <c r="IG405"/>
      <c r="IH405"/>
      <c r="II405"/>
      <c r="IJ405"/>
      <c r="IK405"/>
      <c r="IL405"/>
      <c r="IM405"/>
      <c r="IN405"/>
      <c r="IO405"/>
      <c r="IP405"/>
      <c r="IQ405"/>
      <c r="IR405"/>
      <c r="IS405"/>
      <c r="IT405"/>
      <c r="IU405"/>
      <c r="IV405"/>
    </row>
    <row r="406" spans="185:256" s="70" customFormat="1" ht="12.75" x14ac:dyDescent="0.2">
      <c r="GC406" s="311"/>
      <c r="GD406" s="311"/>
      <c r="GE406" s="311"/>
      <c r="GF406" s="311"/>
      <c r="GG406" s="311"/>
      <c r="GH406" s="311"/>
      <c r="GI406" s="311"/>
      <c r="GJ406" s="311"/>
      <c r="GK406" s="311"/>
      <c r="GL406" s="311"/>
      <c r="GM406" s="311"/>
      <c r="GN406" s="311"/>
      <c r="GO406" s="311"/>
      <c r="GP406" s="311"/>
      <c r="GQ406" s="311"/>
      <c r="GR406" s="311"/>
      <c r="GS406" s="311"/>
      <c r="GT406" s="311"/>
      <c r="GU406" s="311"/>
      <c r="GV406" s="311"/>
      <c r="GW406" s="311"/>
      <c r="HY406"/>
      <c r="HZ406"/>
      <c r="IA406"/>
      <c r="IB406"/>
      <c r="IC406"/>
      <c r="ID406"/>
      <c r="IE406"/>
      <c r="IF406"/>
      <c r="IG406"/>
      <c r="IH406"/>
      <c r="II406"/>
      <c r="IJ406"/>
      <c r="IK406"/>
      <c r="IL406"/>
      <c r="IM406"/>
      <c r="IN406"/>
      <c r="IO406"/>
      <c r="IP406"/>
      <c r="IQ406"/>
      <c r="IR406"/>
      <c r="IS406"/>
      <c r="IT406"/>
      <c r="IU406"/>
      <c r="IV406"/>
    </row>
    <row r="407" spans="185:256" s="70" customFormat="1" ht="12.75" x14ac:dyDescent="0.2">
      <c r="GC407" s="311"/>
      <c r="GD407" s="311"/>
      <c r="GE407" s="311"/>
      <c r="GF407" s="311"/>
      <c r="GG407" s="311"/>
      <c r="GH407" s="311"/>
      <c r="GI407" s="311"/>
      <c r="GJ407" s="311"/>
      <c r="GK407" s="311"/>
      <c r="GL407" s="311"/>
      <c r="GM407" s="311"/>
      <c r="GN407" s="311"/>
      <c r="GO407" s="311"/>
      <c r="GP407" s="311"/>
      <c r="GQ407" s="311"/>
      <c r="GR407" s="311"/>
      <c r="GS407" s="311"/>
      <c r="GT407" s="311"/>
      <c r="GU407" s="311"/>
      <c r="GV407" s="311"/>
      <c r="GW407" s="311"/>
      <c r="HY407"/>
      <c r="HZ407"/>
      <c r="IA407"/>
      <c r="IB407"/>
      <c r="IC407"/>
      <c r="ID407"/>
      <c r="IE407"/>
      <c r="IF407"/>
      <c r="IG407"/>
      <c r="IH407"/>
      <c r="II407"/>
      <c r="IJ407"/>
      <c r="IK407"/>
      <c r="IL407"/>
      <c r="IM407"/>
      <c r="IN407"/>
      <c r="IO407"/>
      <c r="IP407"/>
      <c r="IQ407"/>
      <c r="IR407"/>
      <c r="IS407"/>
      <c r="IT407"/>
      <c r="IU407"/>
      <c r="IV407"/>
    </row>
    <row r="408" spans="185:256" s="70" customFormat="1" ht="12.75" x14ac:dyDescent="0.2">
      <c r="GC408" s="311"/>
      <c r="GD408" s="311"/>
      <c r="GE408" s="311"/>
      <c r="GF408" s="311"/>
      <c r="GG408" s="311"/>
      <c r="GH408" s="311"/>
      <c r="GI408" s="311"/>
      <c r="GJ408" s="311"/>
      <c r="GK408" s="311"/>
      <c r="GL408" s="311"/>
      <c r="GM408" s="311"/>
      <c r="GN408" s="311"/>
      <c r="GO408" s="311"/>
      <c r="GP408" s="311"/>
      <c r="GQ408" s="311"/>
      <c r="GR408" s="311"/>
      <c r="GS408" s="311"/>
      <c r="GT408" s="311"/>
      <c r="GU408" s="311"/>
      <c r="GV408" s="311"/>
      <c r="GW408" s="311"/>
      <c r="HY408"/>
      <c r="HZ408"/>
      <c r="IA408"/>
      <c r="IB408"/>
      <c r="IC408"/>
      <c r="ID408"/>
      <c r="IE408"/>
      <c r="IF408"/>
      <c r="IG408"/>
      <c r="IH408"/>
      <c r="II408"/>
      <c r="IJ408"/>
      <c r="IK408"/>
      <c r="IL408"/>
      <c r="IM408"/>
      <c r="IN408"/>
      <c r="IO408"/>
      <c r="IP408"/>
      <c r="IQ408"/>
      <c r="IR408"/>
      <c r="IS408"/>
      <c r="IT408"/>
      <c r="IU408"/>
      <c r="IV408"/>
    </row>
    <row r="409" spans="185:256" s="70" customFormat="1" ht="12.75" x14ac:dyDescent="0.2">
      <c r="GC409" s="311"/>
      <c r="GD409" s="311"/>
      <c r="GE409" s="311"/>
      <c r="GF409" s="311"/>
      <c r="GG409" s="311"/>
      <c r="GH409" s="311"/>
      <c r="GI409" s="311"/>
      <c r="GJ409" s="311"/>
      <c r="GK409" s="311"/>
      <c r="GL409" s="311"/>
      <c r="GM409" s="311"/>
      <c r="GN409" s="311"/>
      <c r="GO409" s="311"/>
      <c r="GP409" s="311"/>
      <c r="GQ409" s="311"/>
      <c r="GR409" s="311"/>
      <c r="GS409" s="311"/>
      <c r="GT409" s="311"/>
      <c r="GU409" s="311"/>
      <c r="GV409" s="311"/>
      <c r="GW409" s="311"/>
      <c r="HY409"/>
      <c r="HZ409"/>
      <c r="IA409"/>
      <c r="IB409"/>
      <c r="IC409"/>
      <c r="ID409"/>
      <c r="IE409"/>
      <c r="IF409"/>
      <c r="IG409"/>
      <c r="IH409"/>
      <c r="II409"/>
      <c r="IJ409"/>
      <c r="IK409"/>
      <c r="IL409"/>
      <c r="IM409"/>
      <c r="IN409"/>
      <c r="IO409"/>
      <c r="IP409"/>
      <c r="IQ409"/>
      <c r="IR409"/>
      <c r="IS409"/>
      <c r="IT409"/>
      <c r="IU409"/>
      <c r="IV409"/>
    </row>
    <row r="410" spans="185:256" s="70" customFormat="1" ht="12.75" x14ac:dyDescent="0.2">
      <c r="GC410" s="311"/>
      <c r="GD410" s="311"/>
      <c r="GE410" s="311"/>
      <c r="GF410" s="311"/>
      <c r="GG410" s="311"/>
      <c r="GH410" s="311"/>
      <c r="GI410" s="311"/>
      <c r="GJ410" s="311"/>
      <c r="GK410" s="311"/>
      <c r="GL410" s="311"/>
      <c r="GM410" s="311"/>
      <c r="GN410" s="311"/>
      <c r="GO410" s="311"/>
      <c r="GP410" s="311"/>
      <c r="GQ410" s="311"/>
      <c r="GR410" s="311"/>
      <c r="GS410" s="311"/>
      <c r="GT410" s="311"/>
      <c r="GU410" s="311"/>
      <c r="GV410" s="311"/>
      <c r="GW410" s="311"/>
      <c r="HY410"/>
      <c r="HZ410"/>
      <c r="IA410"/>
      <c r="IB410"/>
      <c r="IC410"/>
      <c r="ID410"/>
      <c r="IE410"/>
      <c r="IF410"/>
      <c r="IG410"/>
      <c r="IH410"/>
      <c r="II410"/>
      <c r="IJ410"/>
      <c r="IK410"/>
      <c r="IL410"/>
      <c r="IM410"/>
      <c r="IN410"/>
      <c r="IO410"/>
      <c r="IP410"/>
      <c r="IQ410"/>
      <c r="IR410"/>
      <c r="IS410"/>
      <c r="IT410"/>
      <c r="IU410"/>
      <c r="IV410"/>
    </row>
    <row r="411" spans="185:256" s="70" customFormat="1" ht="12.75" x14ac:dyDescent="0.2">
      <c r="GC411" s="311"/>
      <c r="GD411" s="311"/>
      <c r="GE411" s="311"/>
      <c r="GF411" s="311"/>
      <c r="GG411" s="311"/>
      <c r="GH411" s="311"/>
      <c r="GI411" s="311"/>
      <c r="GJ411" s="311"/>
      <c r="GK411" s="311"/>
      <c r="GL411" s="311"/>
      <c r="GM411" s="311"/>
      <c r="GN411" s="311"/>
      <c r="GO411" s="311"/>
      <c r="GP411" s="311"/>
      <c r="GQ411" s="311"/>
      <c r="GR411" s="311"/>
      <c r="GS411" s="311"/>
      <c r="GT411" s="311"/>
      <c r="GU411" s="311"/>
      <c r="GV411" s="311"/>
      <c r="GW411" s="311"/>
      <c r="HY411"/>
      <c r="HZ411"/>
      <c r="IA411"/>
      <c r="IB411"/>
      <c r="IC411"/>
      <c r="ID411"/>
      <c r="IE411"/>
      <c r="IF411"/>
      <c r="IG411"/>
      <c r="IH411"/>
      <c r="II411"/>
      <c r="IJ411"/>
      <c r="IK411"/>
      <c r="IL411"/>
      <c r="IM411"/>
      <c r="IN411"/>
      <c r="IO411"/>
      <c r="IP411"/>
      <c r="IQ411"/>
      <c r="IR411"/>
      <c r="IS411"/>
      <c r="IT411"/>
      <c r="IU411"/>
      <c r="IV411"/>
    </row>
    <row r="412" spans="185:256" s="70" customFormat="1" ht="12.75" x14ac:dyDescent="0.2">
      <c r="GC412" s="311"/>
      <c r="GD412" s="311"/>
      <c r="GE412" s="311"/>
      <c r="GF412" s="311"/>
      <c r="GG412" s="311"/>
      <c r="GH412" s="311"/>
      <c r="GI412" s="311"/>
      <c r="GJ412" s="311"/>
      <c r="GK412" s="311"/>
      <c r="GL412" s="311"/>
      <c r="GM412" s="311"/>
      <c r="GN412" s="311"/>
      <c r="GO412" s="311"/>
      <c r="GP412" s="311"/>
      <c r="GQ412" s="311"/>
      <c r="GR412" s="311"/>
      <c r="GS412" s="311"/>
      <c r="GT412" s="311"/>
      <c r="GU412" s="311"/>
      <c r="GV412" s="311"/>
      <c r="GW412" s="311"/>
      <c r="HY412"/>
      <c r="HZ412"/>
      <c r="IA412"/>
      <c r="IB412"/>
      <c r="IC412"/>
      <c r="ID412"/>
      <c r="IE412"/>
      <c r="IF412"/>
      <c r="IG412"/>
      <c r="IH412"/>
      <c r="II412"/>
      <c r="IJ412"/>
      <c r="IK412"/>
      <c r="IL412"/>
      <c r="IM412"/>
      <c r="IN412"/>
      <c r="IO412"/>
      <c r="IP412"/>
      <c r="IQ412"/>
      <c r="IR412"/>
      <c r="IS412"/>
      <c r="IT412"/>
      <c r="IU412"/>
      <c r="IV412"/>
    </row>
    <row r="413" spans="185:256" s="70" customFormat="1" ht="12.75" x14ac:dyDescent="0.2">
      <c r="GC413" s="311"/>
      <c r="GD413" s="311"/>
      <c r="GE413" s="311"/>
      <c r="GF413" s="311"/>
      <c r="GG413" s="311"/>
      <c r="GH413" s="311"/>
      <c r="GI413" s="311"/>
      <c r="GJ413" s="311"/>
      <c r="GK413" s="311"/>
      <c r="GL413" s="311"/>
      <c r="GM413" s="311"/>
      <c r="GN413" s="311"/>
      <c r="GO413" s="311"/>
      <c r="GP413" s="311"/>
      <c r="GQ413" s="311"/>
      <c r="GR413" s="311"/>
      <c r="GS413" s="311"/>
      <c r="GT413" s="311"/>
      <c r="GU413" s="311"/>
      <c r="GV413" s="311"/>
      <c r="GW413" s="311"/>
      <c r="HY413"/>
      <c r="HZ413"/>
      <c r="IA413"/>
      <c r="IB413"/>
      <c r="IC413"/>
      <c r="ID413"/>
      <c r="IE413"/>
      <c r="IF413"/>
      <c r="IG413"/>
      <c r="IH413"/>
      <c r="II413"/>
      <c r="IJ413"/>
      <c r="IK413"/>
      <c r="IL413"/>
      <c r="IM413"/>
      <c r="IN413"/>
      <c r="IO413"/>
      <c r="IP413"/>
      <c r="IQ413"/>
      <c r="IR413"/>
      <c r="IS413"/>
      <c r="IT413"/>
      <c r="IU413"/>
      <c r="IV413"/>
    </row>
    <row r="414" spans="185:256" s="70" customFormat="1" ht="12.75" x14ac:dyDescent="0.2">
      <c r="GC414" s="311"/>
      <c r="GD414" s="311"/>
      <c r="GE414" s="311"/>
      <c r="GF414" s="311"/>
      <c r="GG414" s="311"/>
      <c r="GH414" s="311"/>
      <c r="GI414" s="311"/>
      <c r="GJ414" s="311"/>
      <c r="GK414" s="311"/>
      <c r="GL414" s="311"/>
      <c r="GM414" s="311"/>
      <c r="GN414" s="311"/>
      <c r="GO414" s="311"/>
      <c r="GP414" s="311"/>
      <c r="GQ414" s="311"/>
      <c r="GR414" s="311"/>
      <c r="GS414" s="311"/>
      <c r="GT414" s="311"/>
      <c r="GU414" s="311"/>
      <c r="GV414" s="311"/>
      <c r="GW414" s="311"/>
      <c r="HY414"/>
      <c r="HZ414"/>
      <c r="IA414"/>
      <c r="IB414"/>
      <c r="IC414"/>
      <c r="ID414"/>
      <c r="IE414"/>
      <c r="IF414"/>
      <c r="IG414"/>
      <c r="IH414"/>
      <c r="II414"/>
      <c r="IJ414"/>
      <c r="IK414"/>
      <c r="IL414"/>
      <c r="IM414"/>
      <c r="IN414"/>
      <c r="IO414"/>
      <c r="IP414"/>
      <c r="IQ414"/>
      <c r="IR414"/>
      <c r="IS414"/>
      <c r="IT414"/>
      <c r="IU414"/>
      <c r="IV414"/>
    </row>
    <row r="415" spans="185:256" s="70" customFormat="1" ht="12.75" x14ac:dyDescent="0.2">
      <c r="GC415" s="311"/>
      <c r="GD415" s="311"/>
      <c r="GE415" s="311"/>
      <c r="GF415" s="311"/>
      <c r="GG415" s="311"/>
      <c r="GH415" s="311"/>
      <c r="GI415" s="311"/>
      <c r="GJ415" s="311"/>
      <c r="GK415" s="311"/>
      <c r="GL415" s="311"/>
      <c r="GM415" s="311"/>
      <c r="GN415" s="311"/>
      <c r="GO415" s="311"/>
      <c r="GP415" s="311"/>
      <c r="GQ415" s="311"/>
      <c r="GR415" s="311"/>
      <c r="GS415" s="311"/>
      <c r="GT415" s="311"/>
      <c r="GU415" s="311"/>
      <c r="GV415" s="311"/>
      <c r="GW415" s="311"/>
      <c r="HY415"/>
      <c r="HZ415"/>
      <c r="IA415"/>
      <c r="IB415"/>
      <c r="IC415"/>
      <c r="ID415"/>
      <c r="IE415"/>
      <c r="IF415"/>
      <c r="IG415"/>
      <c r="IH415"/>
      <c r="II415"/>
      <c r="IJ415"/>
      <c r="IK415"/>
      <c r="IL415"/>
      <c r="IM415"/>
      <c r="IN415"/>
      <c r="IO415"/>
      <c r="IP415"/>
      <c r="IQ415"/>
      <c r="IR415"/>
      <c r="IS415"/>
      <c r="IT415"/>
      <c r="IU415"/>
      <c r="IV415"/>
    </row>
    <row r="416" spans="185:256" s="70" customFormat="1" ht="12.75" x14ac:dyDescent="0.2">
      <c r="GC416" s="311"/>
      <c r="GD416" s="311"/>
      <c r="GE416" s="311"/>
      <c r="GF416" s="311"/>
      <c r="GG416" s="311"/>
      <c r="GH416" s="311"/>
      <c r="GI416" s="311"/>
      <c r="GJ416" s="311"/>
      <c r="GK416" s="311"/>
      <c r="GL416" s="311"/>
      <c r="GM416" s="311"/>
      <c r="GN416" s="311"/>
      <c r="GO416" s="311"/>
      <c r="GP416" s="311"/>
      <c r="GQ416" s="311"/>
      <c r="GR416" s="311"/>
      <c r="GS416" s="311"/>
      <c r="GT416" s="311"/>
      <c r="GU416" s="311"/>
      <c r="GV416" s="311"/>
      <c r="GW416" s="311"/>
      <c r="HY416"/>
      <c r="HZ416"/>
      <c r="IA416"/>
      <c r="IB416"/>
      <c r="IC416"/>
      <c r="ID416"/>
      <c r="IE416"/>
      <c r="IF416"/>
      <c r="IG416"/>
      <c r="IH416"/>
      <c r="II416"/>
      <c r="IJ416"/>
      <c r="IK416"/>
      <c r="IL416"/>
      <c r="IM416"/>
      <c r="IN416"/>
      <c r="IO416"/>
      <c r="IP416"/>
      <c r="IQ416"/>
      <c r="IR416"/>
      <c r="IS416"/>
      <c r="IT416"/>
      <c r="IU416"/>
      <c r="IV416"/>
    </row>
    <row r="417" spans="182:256" s="70" customFormat="1" ht="12.75" x14ac:dyDescent="0.2">
      <c r="GC417" s="311"/>
      <c r="GD417" s="311"/>
      <c r="GE417" s="311"/>
      <c r="GF417" s="311"/>
      <c r="GG417" s="311"/>
      <c r="GH417" s="311"/>
      <c r="GI417" s="311"/>
      <c r="GJ417" s="311"/>
      <c r="GK417" s="311"/>
      <c r="GL417" s="311"/>
      <c r="GM417" s="311"/>
      <c r="GN417" s="311"/>
      <c r="GO417" s="311"/>
      <c r="GP417" s="311"/>
      <c r="GQ417" s="311"/>
      <c r="GR417" s="311"/>
      <c r="GS417" s="311"/>
      <c r="GT417" s="311"/>
      <c r="GU417" s="311"/>
      <c r="GV417" s="311"/>
      <c r="GW417" s="311"/>
      <c r="HY417"/>
      <c r="HZ417"/>
      <c r="IA417"/>
      <c r="IB417"/>
      <c r="IC417"/>
      <c r="ID417"/>
      <c r="IE417"/>
      <c r="IF417"/>
      <c r="IG417"/>
      <c r="IH417"/>
      <c r="II417"/>
      <c r="IJ417"/>
      <c r="IK417"/>
      <c r="IL417"/>
      <c r="IM417"/>
      <c r="IN417"/>
      <c r="IO417"/>
      <c r="IP417"/>
      <c r="IQ417"/>
      <c r="IR417"/>
      <c r="IS417"/>
      <c r="IT417"/>
      <c r="IU417"/>
      <c r="IV417"/>
    </row>
    <row r="418" spans="182:256" s="70" customFormat="1" ht="12.75" x14ac:dyDescent="0.2">
      <c r="GC418" s="311"/>
      <c r="GD418" s="311"/>
      <c r="GE418" s="311"/>
      <c r="GF418" s="311"/>
      <c r="GG418" s="311"/>
      <c r="GH418" s="311"/>
      <c r="GI418" s="311"/>
      <c r="GJ418" s="311"/>
      <c r="GK418" s="311"/>
      <c r="GL418" s="311"/>
      <c r="GM418" s="311"/>
      <c r="GN418" s="311"/>
      <c r="GO418" s="311"/>
      <c r="GP418" s="311"/>
      <c r="GQ418" s="311"/>
      <c r="GR418" s="311"/>
      <c r="GS418" s="311"/>
      <c r="GT418" s="311"/>
      <c r="GU418" s="311"/>
      <c r="GV418" s="311"/>
      <c r="GW418" s="311"/>
      <c r="HY418"/>
      <c r="HZ418"/>
      <c r="IA418"/>
      <c r="IB418"/>
      <c r="IC418"/>
      <c r="ID418"/>
      <c r="IE418"/>
      <c r="IF418"/>
      <c r="IG418"/>
      <c r="IH418"/>
      <c r="II418"/>
      <c r="IJ418"/>
      <c r="IK418"/>
      <c r="IL418"/>
      <c r="IM418"/>
      <c r="IN418"/>
      <c r="IO418"/>
      <c r="IP418"/>
      <c r="IQ418"/>
      <c r="IR418"/>
      <c r="IS418"/>
      <c r="IT418"/>
      <c r="IU418"/>
      <c r="IV418"/>
    </row>
    <row r="419" spans="182:256" s="70" customFormat="1" ht="12.75" x14ac:dyDescent="0.2">
      <c r="FZ419" s="199" t="s">
        <v>1246</v>
      </c>
      <c r="GC419" s="311"/>
      <c r="GD419" s="311"/>
      <c r="GE419" s="311"/>
      <c r="GF419" s="311"/>
      <c r="GG419" s="311"/>
      <c r="GH419" s="311"/>
      <c r="GI419" s="311"/>
      <c r="GJ419" s="311"/>
      <c r="GK419" s="311"/>
      <c r="GL419" s="311"/>
      <c r="GM419" s="311"/>
      <c r="GN419" s="311"/>
      <c r="GO419" s="311"/>
      <c r="GP419" s="311"/>
      <c r="GQ419" s="311"/>
      <c r="GR419" s="311"/>
      <c r="GS419" s="311"/>
      <c r="GT419" s="311"/>
      <c r="GU419" s="311"/>
      <c r="GV419" s="311"/>
      <c r="GW419" s="311"/>
      <c r="HY419"/>
      <c r="HZ419"/>
      <c r="IA419"/>
      <c r="IB419"/>
      <c r="IC419"/>
      <c r="ID419"/>
      <c r="IE419"/>
      <c r="IF419"/>
      <c r="IG419"/>
      <c r="IH419"/>
      <c r="II419"/>
      <c r="IJ419"/>
      <c r="IK419"/>
      <c r="IL419"/>
      <c r="IM419"/>
      <c r="IN419"/>
      <c r="IO419"/>
      <c r="IP419"/>
      <c r="IQ419"/>
      <c r="IR419"/>
      <c r="IS419"/>
      <c r="IT419"/>
      <c r="IU419"/>
      <c r="IV419"/>
    </row>
    <row r="420" spans="182:256" s="70" customFormat="1" ht="12.75" x14ac:dyDescent="0.2">
      <c r="FZ420" s="199"/>
      <c r="GC420" s="311"/>
      <c r="GD420" s="311"/>
      <c r="GE420" s="311"/>
      <c r="GF420" s="311"/>
      <c r="GG420" s="311"/>
      <c r="GH420" s="311"/>
      <c r="GI420" s="311"/>
      <c r="GJ420" s="311"/>
      <c r="GK420" s="311"/>
      <c r="GL420" s="311"/>
      <c r="GM420" s="311"/>
      <c r="GN420" s="311"/>
      <c r="GO420" s="311"/>
      <c r="GP420" s="311"/>
      <c r="GQ420" s="311"/>
      <c r="GR420" s="311"/>
      <c r="GS420" s="311"/>
      <c r="GT420" s="311"/>
      <c r="GU420" s="311"/>
      <c r="GV420" s="311"/>
      <c r="GW420" s="311"/>
      <c r="HY420"/>
      <c r="HZ420"/>
      <c r="IA420"/>
      <c r="IB420"/>
      <c r="IC420"/>
      <c r="ID420"/>
      <c r="IE420"/>
      <c r="IF420"/>
      <c r="IG420"/>
      <c r="IH420"/>
      <c r="II420"/>
      <c r="IJ420"/>
      <c r="IK420"/>
      <c r="IL420"/>
      <c r="IM420"/>
      <c r="IN420"/>
      <c r="IO420"/>
      <c r="IP420"/>
      <c r="IQ420"/>
      <c r="IR420"/>
      <c r="IS420"/>
      <c r="IT420"/>
      <c r="IU420"/>
      <c r="IV420"/>
    </row>
    <row r="421" spans="182:256" s="70" customFormat="1" ht="12.75" x14ac:dyDescent="0.2">
      <c r="GC421" s="311"/>
      <c r="GD421" s="311"/>
      <c r="GE421" s="311"/>
      <c r="GF421" s="311"/>
      <c r="GG421" s="311"/>
      <c r="GH421" s="311"/>
      <c r="GI421" s="311"/>
      <c r="GJ421" s="311"/>
      <c r="GK421" s="311"/>
      <c r="GL421" s="311"/>
      <c r="GM421" s="311"/>
      <c r="GN421" s="311"/>
      <c r="GO421" s="311"/>
      <c r="GP421" s="311"/>
      <c r="GQ421" s="311"/>
      <c r="GR421" s="311"/>
      <c r="GS421" s="311"/>
      <c r="GT421" s="311"/>
      <c r="GU421" s="311"/>
      <c r="GV421" s="311"/>
      <c r="GW421" s="311"/>
      <c r="HY421"/>
      <c r="HZ421"/>
      <c r="IA421"/>
      <c r="IB421"/>
      <c r="IC421"/>
      <c r="ID421"/>
      <c r="IE421"/>
      <c r="IF421"/>
      <c r="IG421"/>
      <c r="IH421"/>
      <c r="II421"/>
      <c r="IJ421"/>
      <c r="IK421"/>
      <c r="IL421"/>
      <c r="IM421"/>
      <c r="IN421"/>
      <c r="IO421"/>
      <c r="IP421"/>
      <c r="IQ421"/>
      <c r="IR421"/>
      <c r="IS421"/>
      <c r="IT421"/>
      <c r="IU421"/>
      <c r="IV421"/>
    </row>
    <row r="422" spans="182:256" s="70" customFormat="1" ht="12.75" x14ac:dyDescent="0.2">
      <c r="GC422" s="311"/>
      <c r="GD422" s="311"/>
      <c r="GE422" s="311"/>
      <c r="GF422" s="311"/>
      <c r="GG422" s="311"/>
      <c r="GH422" s="311"/>
      <c r="GI422" s="311"/>
      <c r="GJ422" s="311"/>
      <c r="GK422" s="311"/>
      <c r="GL422" s="311"/>
      <c r="GM422" s="311"/>
      <c r="GN422" s="311"/>
      <c r="GO422" s="311"/>
      <c r="GP422" s="311"/>
      <c r="GQ422" s="311"/>
      <c r="GR422" s="311"/>
      <c r="GS422" s="311"/>
      <c r="GT422" s="311"/>
      <c r="GU422" s="311"/>
      <c r="GV422" s="311"/>
      <c r="GW422" s="311"/>
      <c r="HY422"/>
      <c r="HZ422"/>
      <c r="IA422"/>
      <c r="IB422"/>
      <c r="IC422"/>
      <c r="ID422"/>
      <c r="IE422"/>
      <c r="IF422"/>
      <c r="IG422"/>
      <c r="IH422"/>
      <c r="II422"/>
      <c r="IJ422"/>
      <c r="IK422"/>
      <c r="IL422"/>
      <c r="IM422"/>
      <c r="IN422"/>
      <c r="IO422"/>
      <c r="IP422"/>
      <c r="IQ422"/>
      <c r="IR422"/>
      <c r="IS422"/>
      <c r="IT422"/>
      <c r="IU422"/>
      <c r="IV422"/>
    </row>
    <row r="423" spans="182:256" s="70" customFormat="1" ht="12.75" x14ac:dyDescent="0.2">
      <c r="GC423" s="311"/>
      <c r="GD423" s="311"/>
      <c r="GE423" s="311"/>
      <c r="GF423" s="311"/>
      <c r="GG423" s="311"/>
      <c r="GH423" s="311"/>
      <c r="GI423" s="311"/>
      <c r="GJ423" s="311"/>
      <c r="GK423" s="311"/>
      <c r="GL423" s="311"/>
      <c r="GM423" s="311"/>
      <c r="GN423" s="311"/>
      <c r="GO423" s="311"/>
      <c r="GP423" s="311"/>
      <c r="GQ423" s="311"/>
      <c r="GR423" s="311"/>
      <c r="GS423" s="311"/>
      <c r="GT423" s="311"/>
      <c r="GU423" s="311"/>
      <c r="GV423" s="311"/>
      <c r="GW423" s="311"/>
      <c r="HY423"/>
      <c r="HZ423"/>
      <c r="IA423"/>
      <c r="IB423"/>
      <c r="IC423"/>
      <c r="ID423"/>
      <c r="IE423"/>
      <c r="IF423"/>
      <c r="IG423"/>
      <c r="IH423"/>
      <c r="II423"/>
      <c r="IJ423"/>
      <c r="IK423"/>
      <c r="IL423"/>
      <c r="IM423"/>
      <c r="IN423"/>
      <c r="IO423"/>
      <c r="IP423"/>
      <c r="IQ423"/>
      <c r="IR423"/>
      <c r="IS423"/>
      <c r="IT423"/>
      <c r="IU423"/>
      <c r="IV423"/>
    </row>
    <row r="424" spans="182:256" s="70" customFormat="1" ht="12.75" x14ac:dyDescent="0.2">
      <c r="GC424" s="311"/>
      <c r="GD424" s="311"/>
      <c r="GE424" s="311"/>
      <c r="GF424" s="311"/>
      <c r="GG424" s="311"/>
      <c r="GH424" s="311"/>
      <c r="GI424" s="311"/>
      <c r="GJ424" s="311"/>
      <c r="GK424" s="311"/>
      <c r="GL424" s="311"/>
      <c r="GM424" s="311"/>
      <c r="GN424" s="311"/>
      <c r="GO424" s="311"/>
      <c r="GP424" s="311"/>
      <c r="GQ424" s="311"/>
      <c r="GR424" s="311"/>
      <c r="GS424" s="311"/>
      <c r="GT424" s="311"/>
      <c r="GU424" s="311"/>
      <c r="GV424" s="311"/>
      <c r="GW424" s="311"/>
      <c r="HY424"/>
      <c r="HZ424"/>
      <c r="IA424"/>
      <c r="IB424"/>
      <c r="IC424"/>
      <c r="ID424"/>
      <c r="IE424"/>
      <c r="IF424"/>
      <c r="IG424"/>
      <c r="IH424"/>
      <c r="II424"/>
      <c r="IJ424"/>
      <c r="IK424"/>
      <c r="IL424"/>
      <c r="IM424"/>
      <c r="IN424"/>
      <c r="IO424"/>
      <c r="IP424"/>
      <c r="IQ424"/>
      <c r="IR424"/>
      <c r="IS424"/>
      <c r="IT424"/>
      <c r="IU424"/>
      <c r="IV424"/>
    </row>
    <row r="425" spans="182:256" s="70" customFormat="1" ht="12.75" x14ac:dyDescent="0.2">
      <c r="GC425" s="311"/>
      <c r="GD425" s="311"/>
      <c r="GE425" s="311"/>
      <c r="GF425" s="311"/>
      <c r="GG425" s="311"/>
      <c r="GH425" s="311"/>
      <c r="GI425" s="311"/>
      <c r="GJ425" s="311"/>
      <c r="GK425" s="311"/>
      <c r="GL425" s="311"/>
      <c r="GM425" s="311"/>
      <c r="GN425" s="311"/>
      <c r="GO425" s="311"/>
      <c r="GP425" s="311"/>
      <c r="GQ425" s="311"/>
      <c r="GR425" s="311"/>
      <c r="GS425" s="311"/>
      <c r="GT425" s="311"/>
      <c r="GU425" s="311"/>
      <c r="GV425" s="311"/>
      <c r="GW425" s="311"/>
      <c r="HY425"/>
      <c r="HZ425"/>
      <c r="IA425"/>
      <c r="IB425"/>
      <c r="IC425"/>
      <c r="ID425"/>
      <c r="IE425"/>
      <c r="IF425"/>
      <c r="IG425"/>
      <c r="IH425"/>
      <c r="II425"/>
      <c r="IJ425"/>
      <c r="IK425"/>
      <c r="IL425"/>
      <c r="IM425"/>
      <c r="IN425"/>
      <c r="IO425"/>
      <c r="IP425"/>
      <c r="IQ425"/>
      <c r="IR425"/>
      <c r="IS425"/>
      <c r="IT425"/>
      <c r="IU425"/>
      <c r="IV425"/>
    </row>
    <row r="426" spans="182:256" s="70" customFormat="1" ht="12.75" x14ac:dyDescent="0.2">
      <c r="GC426" s="311"/>
      <c r="GD426" s="311"/>
      <c r="GE426" s="311"/>
      <c r="GF426" s="311"/>
      <c r="GG426" s="311"/>
      <c r="GH426" s="311"/>
      <c r="GI426" s="311"/>
      <c r="GJ426" s="311"/>
      <c r="GK426" s="311"/>
      <c r="GL426" s="311"/>
      <c r="GM426" s="311"/>
      <c r="GN426" s="311"/>
      <c r="GO426" s="311"/>
      <c r="GP426" s="311"/>
      <c r="GQ426" s="311"/>
      <c r="GR426" s="311"/>
      <c r="GS426" s="311"/>
      <c r="GT426" s="311"/>
      <c r="GU426" s="311"/>
      <c r="GV426" s="311"/>
      <c r="GW426" s="311"/>
      <c r="HY426"/>
      <c r="HZ426"/>
      <c r="IA426"/>
      <c r="IB426"/>
      <c r="IC426"/>
      <c r="ID426"/>
      <c r="IE426"/>
      <c r="IF426"/>
      <c r="IG426"/>
      <c r="IH426"/>
      <c r="II426"/>
      <c r="IJ426"/>
      <c r="IK426"/>
      <c r="IL426"/>
      <c r="IM426"/>
      <c r="IN426"/>
      <c r="IO426"/>
      <c r="IP426"/>
      <c r="IQ426"/>
      <c r="IR426"/>
      <c r="IS426"/>
      <c r="IT426"/>
      <c r="IU426"/>
      <c r="IV426"/>
    </row>
    <row r="427" spans="182:256" s="70" customFormat="1" ht="12.75" x14ac:dyDescent="0.2">
      <c r="GC427" s="311"/>
      <c r="GD427" s="311"/>
      <c r="GE427" s="311"/>
      <c r="GF427" s="311"/>
      <c r="GG427" s="311"/>
      <c r="GH427" s="311"/>
      <c r="GI427" s="311"/>
      <c r="GJ427" s="311"/>
      <c r="GK427" s="311"/>
      <c r="GL427" s="311"/>
      <c r="GM427" s="311"/>
      <c r="GN427" s="311"/>
      <c r="GO427" s="311"/>
      <c r="GP427" s="311"/>
      <c r="GQ427" s="311"/>
      <c r="GR427" s="311"/>
      <c r="GS427" s="311"/>
      <c r="GT427" s="311"/>
      <c r="GU427" s="311"/>
      <c r="GV427" s="311"/>
      <c r="GW427" s="311"/>
      <c r="HY427"/>
      <c r="HZ427"/>
      <c r="IA427"/>
      <c r="IB427"/>
      <c r="IC427"/>
      <c r="ID427"/>
      <c r="IE427"/>
      <c r="IF427"/>
      <c r="IG427"/>
      <c r="IH427"/>
      <c r="II427"/>
      <c r="IJ427"/>
      <c r="IK427"/>
      <c r="IL427"/>
      <c r="IM427"/>
      <c r="IN427"/>
      <c r="IO427"/>
      <c r="IP427"/>
      <c r="IQ427"/>
      <c r="IR427"/>
      <c r="IS427"/>
      <c r="IT427"/>
      <c r="IU427"/>
      <c r="IV427"/>
    </row>
    <row r="428" spans="182:256" s="70" customFormat="1" ht="12.75" x14ac:dyDescent="0.2">
      <c r="GC428" s="311"/>
      <c r="GD428" s="311"/>
      <c r="GE428" s="311"/>
      <c r="GF428" s="311"/>
      <c r="GG428" s="311"/>
      <c r="GH428" s="311"/>
      <c r="GI428" s="311"/>
      <c r="GJ428" s="311"/>
      <c r="GK428" s="311"/>
      <c r="GL428" s="311"/>
      <c r="GM428" s="311"/>
      <c r="GN428" s="311"/>
      <c r="GO428" s="311"/>
      <c r="GP428" s="311"/>
      <c r="GQ428" s="311"/>
      <c r="GR428" s="311"/>
      <c r="GS428" s="311"/>
      <c r="GT428" s="311"/>
      <c r="GU428" s="311"/>
      <c r="GV428" s="311"/>
      <c r="GW428" s="311"/>
      <c r="HY428"/>
      <c r="HZ428"/>
      <c r="IA428"/>
      <c r="IB428"/>
      <c r="IC428"/>
      <c r="ID428"/>
      <c r="IE428"/>
      <c r="IF428"/>
      <c r="IG428"/>
      <c r="IH428"/>
      <c r="II428"/>
      <c r="IJ428"/>
      <c r="IK428"/>
      <c r="IL428"/>
      <c r="IM428"/>
      <c r="IN428"/>
      <c r="IO428"/>
      <c r="IP428"/>
      <c r="IQ428"/>
      <c r="IR428"/>
      <c r="IS428"/>
      <c r="IT428"/>
      <c r="IU428"/>
      <c r="IV428"/>
    </row>
    <row r="429" spans="182:256" s="70" customFormat="1" ht="12.75" x14ac:dyDescent="0.2">
      <c r="GC429" s="311"/>
      <c r="GD429" s="311"/>
      <c r="GE429" s="311"/>
      <c r="GF429" s="311"/>
      <c r="GG429" s="311"/>
      <c r="GH429" s="311"/>
      <c r="GI429" s="311"/>
      <c r="GJ429" s="311"/>
      <c r="GK429" s="311"/>
      <c r="GL429" s="311"/>
      <c r="GM429" s="311"/>
      <c r="GN429" s="311"/>
      <c r="GO429" s="311"/>
      <c r="GP429" s="311"/>
      <c r="GQ429" s="311"/>
      <c r="GR429" s="311"/>
      <c r="GS429" s="311"/>
      <c r="GT429" s="311"/>
      <c r="GU429" s="311"/>
      <c r="GV429" s="311"/>
      <c r="GW429" s="311"/>
      <c r="HY429"/>
      <c r="HZ429"/>
      <c r="IA429"/>
      <c r="IB429"/>
      <c r="IC429"/>
      <c r="ID429"/>
      <c r="IE429"/>
      <c r="IF429"/>
      <c r="IG429"/>
      <c r="IH429"/>
      <c r="II429"/>
      <c r="IJ429"/>
      <c r="IK429"/>
      <c r="IL429"/>
      <c r="IM429"/>
      <c r="IN429"/>
      <c r="IO429"/>
      <c r="IP429"/>
      <c r="IQ429"/>
      <c r="IR429"/>
      <c r="IS429"/>
      <c r="IT429"/>
      <c r="IU429"/>
      <c r="IV429"/>
    </row>
    <row r="430" spans="182:256" s="70" customFormat="1" ht="12.75" x14ac:dyDescent="0.2">
      <c r="GC430" s="311"/>
      <c r="GD430" s="311"/>
      <c r="GE430" s="311"/>
      <c r="GF430" s="311"/>
      <c r="GG430" s="311"/>
      <c r="GH430" s="311"/>
      <c r="GI430" s="311"/>
      <c r="GJ430" s="311"/>
      <c r="GK430" s="311"/>
      <c r="GL430" s="311"/>
      <c r="GM430" s="311"/>
      <c r="GN430" s="311"/>
      <c r="GO430" s="311"/>
      <c r="GP430" s="311"/>
      <c r="GQ430" s="311"/>
      <c r="GR430" s="311"/>
      <c r="GS430" s="311"/>
      <c r="GT430" s="311"/>
      <c r="GU430" s="311"/>
      <c r="GV430" s="311"/>
      <c r="GW430" s="311"/>
      <c r="HY430"/>
      <c r="HZ430"/>
      <c r="IA430"/>
      <c r="IB430"/>
      <c r="IC430"/>
      <c r="ID430"/>
      <c r="IE430"/>
      <c r="IF430"/>
      <c r="IG430"/>
      <c r="IH430"/>
      <c r="II430"/>
      <c r="IJ430"/>
      <c r="IK430"/>
      <c r="IL430"/>
      <c r="IM430"/>
      <c r="IN430"/>
      <c r="IO430"/>
      <c r="IP430"/>
      <c r="IQ430"/>
      <c r="IR430"/>
      <c r="IS430"/>
      <c r="IT430"/>
      <c r="IU430"/>
      <c r="IV430"/>
    </row>
    <row r="431" spans="182:256" s="70" customFormat="1" ht="12.75" x14ac:dyDescent="0.2">
      <c r="GC431" s="311"/>
      <c r="GD431" s="311"/>
      <c r="GE431" s="311"/>
      <c r="GF431" s="311"/>
      <c r="GG431" s="311"/>
      <c r="GH431" s="311"/>
      <c r="GI431" s="311"/>
      <c r="GJ431" s="311"/>
      <c r="GK431" s="311"/>
      <c r="GL431" s="311"/>
      <c r="GM431" s="311"/>
      <c r="GN431" s="311"/>
      <c r="GO431" s="311"/>
      <c r="GP431" s="311"/>
      <c r="GQ431" s="311"/>
      <c r="GR431" s="311"/>
      <c r="GS431" s="311"/>
      <c r="GT431" s="311"/>
      <c r="GU431" s="311"/>
      <c r="GV431" s="311"/>
      <c r="GW431" s="311"/>
      <c r="HY431"/>
      <c r="HZ431"/>
      <c r="IA431"/>
      <c r="IB431"/>
      <c r="IC431"/>
      <c r="ID431"/>
      <c r="IE431"/>
      <c r="IF431"/>
      <c r="IG431"/>
      <c r="IH431"/>
      <c r="II431"/>
      <c r="IJ431"/>
      <c r="IK431"/>
      <c r="IL431"/>
      <c r="IM431"/>
      <c r="IN431"/>
      <c r="IO431"/>
      <c r="IP431"/>
      <c r="IQ431"/>
      <c r="IR431"/>
      <c r="IS431"/>
      <c r="IT431"/>
      <c r="IU431"/>
      <c r="IV431"/>
    </row>
    <row r="432" spans="182:256" s="70" customFormat="1" ht="12.75" x14ac:dyDescent="0.2">
      <c r="GC432" s="311"/>
      <c r="GD432" s="311"/>
      <c r="GE432" s="311"/>
      <c r="GF432" s="311"/>
      <c r="GG432" s="311"/>
      <c r="GH432" s="311"/>
      <c r="GI432" s="311"/>
      <c r="GJ432" s="311"/>
      <c r="GK432" s="311"/>
      <c r="GL432" s="311"/>
      <c r="GM432" s="311"/>
      <c r="GN432" s="311"/>
      <c r="GO432" s="311"/>
      <c r="GP432" s="311"/>
      <c r="GQ432" s="311"/>
      <c r="GR432" s="311"/>
      <c r="GS432" s="311"/>
      <c r="GT432" s="311"/>
      <c r="GU432" s="311"/>
      <c r="GV432" s="311"/>
      <c r="GW432" s="311"/>
      <c r="HY432"/>
      <c r="HZ432"/>
      <c r="IA432"/>
      <c r="IB432"/>
      <c r="IC432"/>
      <c r="ID432"/>
      <c r="IE432"/>
      <c r="IF432"/>
      <c r="IG432"/>
      <c r="IH432"/>
      <c r="II432"/>
      <c r="IJ432"/>
      <c r="IK432"/>
      <c r="IL432"/>
      <c r="IM432"/>
      <c r="IN432"/>
      <c r="IO432"/>
      <c r="IP432"/>
      <c r="IQ432"/>
      <c r="IR432"/>
      <c r="IS432"/>
      <c r="IT432"/>
      <c r="IU432"/>
      <c r="IV432"/>
    </row>
    <row r="433" spans="185:256" s="70" customFormat="1" ht="12.75" x14ac:dyDescent="0.2">
      <c r="GC433" s="311"/>
      <c r="GD433" s="311"/>
      <c r="GE433" s="311"/>
      <c r="GF433" s="311"/>
      <c r="GG433" s="311"/>
      <c r="GH433" s="311"/>
      <c r="GI433" s="311"/>
      <c r="GJ433" s="311"/>
      <c r="GK433" s="311"/>
      <c r="GL433" s="311"/>
      <c r="GM433" s="311"/>
      <c r="GN433" s="311"/>
      <c r="GO433" s="311"/>
      <c r="GP433" s="311"/>
      <c r="GQ433" s="311"/>
      <c r="GR433" s="311"/>
      <c r="GS433" s="311"/>
      <c r="GT433" s="311"/>
      <c r="GU433" s="311"/>
      <c r="GV433" s="311"/>
      <c r="GW433" s="311"/>
      <c r="HY433"/>
      <c r="HZ433"/>
      <c r="IA433"/>
      <c r="IB433"/>
      <c r="IC433"/>
      <c r="ID433"/>
      <c r="IE433"/>
      <c r="IF433"/>
      <c r="IG433"/>
      <c r="IH433"/>
      <c r="II433"/>
      <c r="IJ433"/>
      <c r="IK433"/>
      <c r="IL433"/>
      <c r="IM433"/>
      <c r="IN433"/>
      <c r="IO433"/>
      <c r="IP433"/>
      <c r="IQ433"/>
      <c r="IR433"/>
      <c r="IS433"/>
      <c r="IT433"/>
      <c r="IU433"/>
      <c r="IV433"/>
    </row>
    <row r="434" spans="185:256" s="70" customFormat="1" ht="12.75" x14ac:dyDescent="0.2">
      <c r="GC434" s="311"/>
      <c r="GD434" s="311"/>
      <c r="GE434" s="311"/>
      <c r="GF434" s="311"/>
      <c r="GG434" s="311"/>
      <c r="GH434" s="311"/>
      <c r="GI434" s="311"/>
      <c r="GJ434" s="311"/>
      <c r="GK434" s="311"/>
      <c r="GL434" s="311"/>
      <c r="GM434" s="311"/>
      <c r="GN434" s="311"/>
      <c r="GO434" s="311"/>
      <c r="GP434" s="311"/>
      <c r="GQ434" s="311"/>
      <c r="GR434" s="311"/>
      <c r="GS434" s="311"/>
      <c r="GT434" s="311"/>
      <c r="GU434" s="311"/>
      <c r="GV434" s="311"/>
      <c r="GW434" s="311"/>
      <c r="HY434"/>
      <c r="HZ434"/>
      <c r="IA434"/>
      <c r="IB434"/>
      <c r="IC434"/>
      <c r="ID434"/>
      <c r="IE434"/>
      <c r="IF434"/>
      <c r="IG434"/>
      <c r="IH434"/>
      <c r="II434"/>
      <c r="IJ434"/>
      <c r="IK434"/>
      <c r="IL434"/>
      <c r="IM434"/>
      <c r="IN434"/>
      <c r="IO434"/>
      <c r="IP434"/>
      <c r="IQ434"/>
      <c r="IR434"/>
      <c r="IS434"/>
      <c r="IT434"/>
      <c r="IU434"/>
      <c r="IV434"/>
    </row>
    <row r="435" spans="185:256" s="70" customFormat="1" ht="12.75" x14ac:dyDescent="0.2">
      <c r="GC435" s="311"/>
      <c r="GD435" s="311"/>
      <c r="GE435" s="311"/>
      <c r="GF435" s="311"/>
      <c r="GG435" s="311"/>
      <c r="GH435" s="311"/>
      <c r="GI435" s="311"/>
      <c r="GJ435" s="311"/>
      <c r="GK435" s="311"/>
      <c r="GL435" s="311"/>
      <c r="GM435" s="311"/>
      <c r="GN435" s="311"/>
      <c r="GO435" s="311"/>
      <c r="GP435" s="311"/>
      <c r="GQ435" s="311"/>
      <c r="GR435" s="311"/>
      <c r="GS435" s="311"/>
      <c r="GT435" s="311"/>
      <c r="GU435" s="311"/>
      <c r="GV435" s="311"/>
      <c r="GW435" s="311"/>
      <c r="HY435"/>
      <c r="HZ435"/>
      <c r="IA435"/>
      <c r="IB435"/>
      <c r="IC435"/>
      <c r="ID435"/>
      <c r="IE435"/>
      <c r="IF435"/>
      <c r="IG435"/>
      <c r="IH435"/>
      <c r="II435"/>
      <c r="IJ435"/>
      <c r="IK435"/>
      <c r="IL435"/>
      <c r="IM435"/>
      <c r="IN435"/>
      <c r="IO435"/>
      <c r="IP435"/>
      <c r="IQ435"/>
      <c r="IR435"/>
      <c r="IS435"/>
      <c r="IT435"/>
      <c r="IU435"/>
      <c r="IV435"/>
    </row>
    <row r="436" spans="185:256" s="70" customFormat="1" ht="12.75" x14ac:dyDescent="0.2">
      <c r="GC436" s="311"/>
      <c r="GD436" s="311"/>
      <c r="GE436" s="311"/>
      <c r="GF436" s="311"/>
      <c r="GG436" s="311"/>
      <c r="GH436" s="311"/>
      <c r="GI436" s="311"/>
      <c r="GJ436" s="311"/>
      <c r="GK436" s="311"/>
      <c r="GL436" s="311"/>
      <c r="GM436" s="311"/>
      <c r="GN436" s="311"/>
      <c r="GO436" s="311"/>
      <c r="GP436" s="311"/>
      <c r="GQ436" s="311"/>
      <c r="GR436" s="311"/>
      <c r="GS436" s="311"/>
      <c r="GT436" s="311"/>
      <c r="GU436" s="311"/>
      <c r="GV436" s="311"/>
      <c r="GW436" s="311"/>
      <c r="HY436"/>
      <c r="HZ436"/>
      <c r="IA436"/>
      <c r="IB436"/>
      <c r="IC436"/>
      <c r="ID436"/>
      <c r="IE436"/>
      <c r="IF436"/>
      <c r="IG436"/>
      <c r="IH436"/>
      <c r="II436"/>
      <c r="IJ436"/>
      <c r="IK436"/>
      <c r="IL436"/>
      <c r="IM436"/>
      <c r="IN436"/>
      <c r="IO436"/>
      <c r="IP436"/>
      <c r="IQ436"/>
      <c r="IR436"/>
      <c r="IS436"/>
      <c r="IT436"/>
      <c r="IU436"/>
      <c r="IV436"/>
    </row>
    <row r="437" spans="185:256" s="70" customFormat="1" ht="12.75" x14ac:dyDescent="0.2">
      <c r="GC437" s="311"/>
      <c r="GD437" s="311"/>
      <c r="GE437" s="311"/>
      <c r="GF437" s="311"/>
      <c r="GG437" s="311"/>
      <c r="GH437" s="311"/>
      <c r="GI437" s="311"/>
      <c r="GJ437" s="311"/>
      <c r="GK437" s="311"/>
      <c r="GL437" s="311"/>
      <c r="GM437" s="311"/>
      <c r="GN437" s="311"/>
      <c r="GO437" s="311"/>
      <c r="GP437" s="311"/>
      <c r="GQ437" s="311"/>
      <c r="GR437" s="311"/>
      <c r="GS437" s="311"/>
      <c r="GT437" s="311"/>
      <c r="GU437" s="311"/>
      <c r="GV437" s="311"/>
      <c r="GW437" s="311"/>
      <c r="HY437"/>
      <c r="HZ437"/>
      <c r="IA437"/>
      <c r="IB437"/>
      <c r="IC437"/>
      <c r="ID437"/>
      <c r="IE437"/>
      <c r="IF437"/>
      <c r="IG437"/>
      <c r="IH437"/>
      <c r="II437"/>
      <c r="IJ437"/>
      <c r="IK437"/>
      <c r="IL437"/>
      <c r="IM437"/>
      <c r="IN437"/>
      <c r="IO437"/>
      <c r="IP437"/>
      <c r="IQ437"/>
      <c r="IR437"/>
      <c r="IS437"/>
      <c r="IT437"/>
      <c r="IU437"/>
      <c r="IV437"/>
    </row>
    <row r="438" spans="185:256" s="70" customFormat="1" ht="12.75" x14ac:dyDescent="0.2">
      <c r="GC438" s="311"/>
      <c r="GD438" s="311"/>
      <c r="GE438" s="311"/>
      <c r="GF438" s="311"/>
      <c r="GG438" s="311"/>
      <c r="GH438" s="311"/>
      <c r="GI438" s="311"/>
      <c r="GJ438" s="311"/>
      <c r="GK438" s="311"/>
      <c r="GL438" s="311"/>
      <c r="GM438" s="311"/>
      <c r="GN438" s="311"/>
      <c r="GO438" s="311"/>
      <c r="GP438" s="311"/>
      <c r="GQ438" s="311"/>
      <c r="GR438" s="311"/>
      <c r="GS438" s="311"/>
      <c r="GT438" s="311"/>
      <c r="GU438" s="311"/>
      <c r="GV438" s="311"/>
      <c r="GW438" s="311"/>
      <c r="HY438"/>
      <c r="HZ438"/>
      <c r="IA438"/>
      <c r="IB438"/>
      <c r="IC438"/>
      <c r="ID438"/>
      <c r="IE438"/>
      <c r="IF438"/>
      <c r="IG438"/>
      <c r="IH438"/>
      <c r="II438"/>
      <c r="IJ438"/>
      <c r="IK438"/>
      <c r="IL438"/>
      <c r="IM438"/>
      <c r="IN438"/>
      <c r="IO438"/>
      <c r="IP438"/>
      <c r="IQ438"/>
      <c r="IR438"/>
      <c r="IS438"/>
      <c r="IT438"/>
      <c r="IU438"/>
      <c r="IV438"/>
    </row>
    <row r="439" spans="185:256" s="70" customFormat="1" ht="12.75" x14ac:dyDescent="0.2">
      <c r="GC439" s="311"/>
      <c r="GD439" s="311"/>
      <c r="GE439" s="311"/>
      <c r="GF439" s="311"/>
      <c r="GG439" s="311"/>
      <c r="GH439" s="311"/>
      <c r="GI439" s="311"/>
      <c r="GJ439" s="311"/>
      <c r="GK439" s="311"/>
      <c r="GL439" s="311"/>
      <c r="GM439" s="311"/>
      <c r="GN439" s="311"/>
      <c r="GO439" s="311"/>
      <c r="GP439" s="311"/>
      <c r="GQ439" s="311"/>
      <c r="GR439" s="311"/>
      <c r="GS439" s="311"/>
      <c r="GT439" s="311"/>
      <c r="GU439" s="311"/>
      <c r="GV439" s="311"/>
      <c r="GW439" s="311"/>
      <c r="HY439"/>
      <c r="HZ439"/>
      <c r="IA439"/>
      <c r="IB439"/>
      <c r="IC439"/>
      <c r="ID439"/>
      <c r="IE439"/>
      <c r="IF439"/>
      <c r="IG439"/>
      <c r="IH439"/>
      <c r="II439"/>
      <c r="IJ439"/>
      <c r="IK439"/>
      <c r="IL439"/>
      <c r="IM439"/>
      <c r="IN439"/>
      <c r="IO439"/>
      <c r="IP439"/>
      <c r="IQ439"/>
      <c r="IR439"/>
      <c r="IS439"/>
      <c r="IT439"/>
      <c r="IU439"/>
      <c r="IV439"/>
    </row>
    <row r="440" spans="185:256" s="70" customFormat="1" ht="12.75" x14ac:dyDescent="0.2">
      <c r="GC440" s="311"/>
      <c r="GD440" s="311"/>
      <c r="GE440" s="311"/>
      <c r="GF440" s="311"/>
      <c r="GG440" s="311"/>
      <c r="GH440" s="311"/>
      <c r="GI440" s="311"/>
      <c r="GJ440" s="311"/>
      <c r="GK440" s="311"/>
      <c r="GL440" s="311"/>
      <c r="GM440" s="311"/>
      <c r="GN440" s="311"/>
      <c r="GO440" s="311"/>
      <c r="GP440" s="311"/>
      <c r="GQ440" s="311"/>
      <c r="GR440" s="311"/>
      <c r="GS440" s="311"/>
      <c r="GT440" s="311"/>
      <c r="GU440" s="311"/>
      <c r="GV440" s="311"/>
      <c r="GW440" s="311"/>
      <c r="HY440"/>
      <c r="HZ440"/>
      <c r="IA440"/>
      <c r="IB440"/>
      <c r="IC440"/>
      <c r="ID440"/>
      <c r="IE440"/>
      <c r="IF440"/>
      <c r="IG440"/>
      <c r="IH440"/>
      <c r="II440"/>
      <c r="IJ440"/>
      <c r="IK440"/>
      <c r="IL440"/>
      <c r="IM440"/>
      <c r="IN440"/>
      <c r="IO440"/>
      <c r="IP440"/>
      <c r="IQ440"/>
      <c r="IR440"/>
      <c r="IS440"/>
      <c r="IT440"/>
      <c r="IU440"/>
      <c r="IV440"/>
    </row>
    <row r="441" spans="185:256" s="70" customFormat="1" ht="12.75" x14ac:dyDescent="0.2">
      <c r="GC441" s="311"/>
      <c r="GD441" s="311"/>
      <c r="GE441" s="311"/>
      <c r="GF441" s="311"/>
      <c r="GG441" s="311"/>
      <c r="GH441" s="311"/>
      <c r="GI441" s="311"/>
      <c r="GJ441" s="311"/>
      <c r="GK441" s="311"/>
      <c r="GL441" s="311"/>
      <c r="GM441" s="311"/>
      <c r="GN441" s="311"/>
      <c r="GO441" s="311"/>
      <c r="GP441" s="311"/>
      <c r="GQ441" s="311"/>
      <c r="GR441" s="311"/>
      <c r="GS441" s="311"/>
      <c r="GT441" s="311"/>
      <c r="GU441" s="311"/>
      <c r="GV441" s="311"/>
      <c r="GW441" s="311"/>
      <c r="HY441"/>
      <c r="HZ441"/>
      <c r="IA441"/>
      <c r="IB441"/>
      <c r="IC441"/>
      <c r="ID441"/>
      <c r="IE441"/>
      <c r="IF441"/>
      <c r="IG441"/>
      <c r="IH441"/>
      <c r="II441"/>
      <c r="IJ441"/>
      <c r="IK441"/>
      <c r="IL441"/>
      <c r="IM441"/>
      <c r="IN441"/>
      <c r="IO441"/>
      <c r="IP441"/>
      <c r="IQ441"/>
      <c r="IR441"/>
      <c r="IS441"/>
      <c r="IT441"/>
      <c r="IU441"/>
      <c r="IV441"/>
    </row>
    <row r="442" spans="185:256" s="70" customFormat="1" ht="12.75" x14ac:dyDescent="0.2">
      <c r="GC442" s="311"/>
      <c r="GD442" s="311"/>
      <c r="GE442" s="311"/>
      <c r="GF442" s="311"/>
      <c r="GG442" s="311"/>
      <c r="GH442" s="311"/>
      <c r="GI442" s="311"/>
      <c r="GJ442" s="311"/>
      <c r="GK442" s="311"/>
      <c r="GL442" s="311"/>
      <c r="GM442" s="311"/>
      <c r="GN442" s="311"/>
      <c r="GO442" s="311"/>
      <c r="GP442" s="311"/>
      <c r="GQ442" s="311"/>
      <c r="GR442" s="311"/>
      <c r="GS442" s="311"/>
      <c r="GT442" s="311"/>
      <c r="GU442" s="311"/>
      <c r="GV442" s="311"/>
      <c r="GW442" s="311"/>
      <c r="HY442"/>
      <c r="HZ442"/>
      <c r="IA442"/>
      <c r="IB442"/>
      <c r="IC442"/>
      <c r="ID442"/>
      <c r="IE442"/>
      <c r="IF442"/>
      <c r="IG442"/>
      <c r="IH442"/>
      <c r="II442"/>
      <c r="IJ442"/>
      <c r="IK442"/>
      <c r="IL442"/>
      <c r="IM442"/>
      <c r="IN442"/>
      <c r="IO442"/>
      <c r="IP442"/>
      <c r="IQ442"/>
      <c r="IR442"/>
      <c r="IS442"/>
      <c r="IT442"/>
      <c r="IU442"/>
      <c r="IV442"/>
    </row>
    <row r="443" spans="185:256" s="70" customFormat="1" ht="12.75" x14ac:dyDescent="0.2">
      <c r="GC443" s="311"/>
      <c r="GD443" s="311"/>
      <c r="GE443" s="311"/>
      <c r="GF443" s="311"/>
      <c r="GG443" s="311"/>
      <c r="GH443" s="311"/>
      <c r="GI443" s="311"/>
      <c r="GJ443" s="311"/>
      <c r="GK443" s="311"/>
      <c r="GL443" s="311"/>
      <c r="GM443" s="311"/>
      <c r="GN443" s="311"/>
      <c r="GO443" s="311"/>
      <c r="GP443" s="311"/>
      <c r="GQ443" s="311"/>
      <c r="GR443" s="311"/>
      <c r="GS443" s="311"/>
      <c r="GT443" s="311"/>
      <c r="GU443" s="311"/>
      <c r="GV443" s="311"/>
      <c r="GW443" s="311"/>
      <c r="HY443"/>
      <c r="HZ443"/>
      <c r="IA443"/>
      <c r="IB443"/>
      <c r="IC443"/>
      <c r="ID443"/>
      <c r="IE443"/>
      <c r="IF443"/>
      <c r="IG443"/>
      <c r="IH443"/>
      <c r="II443"/>
      <c r="IJ443"/>
      <c r="IK443"/>
      <c r="IL443"/>
      <c r="IM443"/>
      <c r="IN443"/>
      <c r="IO443"/>
      <c r="IP443"/>
      <c r="IQ443"/>
      <c r="IR443"/>
      <c r="IS443"/>
      <c r="IT443"/>
      <c r="IU443"/>
      <c r="IV443"/>
    </row>
    <row r="444" spans="185:256" s="70" customFormat="1" ht="12.75" x14ac:dyDescent="0.2">
      <c r="GC444" s="311"/>
      <c r="GD444" s="311"/>
      <c r="GE444" s="311"/>
      <c r="GF444" s="311"/>
      <c r="GG444" s="311"/>
      <c r="GH444" s="311"/>
      <c r="GI444" s="311"/>
      <c r="GJ444" s="311"/>
      <c r="GK444" s="311"/>
      <c r="GL444" s="311"/>
      <c r="GM444" s="311"/>
      <c r="GN444" s="311"/>
      <c r="GO444" s="311"/>
      <c r="GP444" s="311"/>
      <c r="GQ444" s="311"/>
      <c r="GR444" s="311"/>
      <c r="GS444" s="311"/>
      <c r="GT444" s="311"/>
      <c r="GU444" s="311"/>
      <c r="GV444" s="311"/>
      <c r="GW444" s="311"/>
      <c r="HY444"/>
      <c r="HZ444"/>
      <c r="IA444"/>
      <c r="IB444"/>
      <c r="IC444"/>
      <c r="ID444"/>
      <c r="IE444"/>
      <c r="IF444"/>
      <c r="IG444"/>
      <c r="IH444"/>
      <c r="II444"/>
      <c r="IJ444"/>
      <c r="IK444"/>
      <c r="IL444"/>
      <c r="IM444"/>
      <c r="IN444"/>
      <c r="IO444"/>
      <c r="IP444"/>
      <c r="IQ444"/>
      <c r="IR444"/>
      <c r="IS444"/>
      <c r="IT444"/>
      <c r="IU444"/>
      <c r="IV444"/>
    </row>
    <row r="445" spans="185:256" s="70" customFormat="1" ht="12.75" x14ac:dyDescent="0.2">
      <c r="GC445" s="311"/>
      <c r="GD445" s="311"/>
      <c r="GE445" s="311"/>
      <c r="GF445" s="311"/>
      <c r="GG445" s="311"/>
      <c r="GH445" s="311"/>
      <c r="GI445" s="311"/>
      <c r="GJ445" s="311"/>
      <c r="GK445" s="311"/>
      <c r="GL445" s="311"/>
      <c r="GM445" s="311"/>
      <c r="GN445" s="311"/>
      <c r="GO445" s="311"/>
      <c r="GP445" s="311"/>
      <c r="GQ445" s="311"/>
      <c r="GR445" s="311"/>
      <c r="GS445" s="311"/>
      <c r="GT445" s="311"/>
      <c r="GU445" s="311"/>
      <c r="GV445" s="311"/>
      <c r="GW445" s="311"/>
      <c r="HY445"/>
      <c r="HZ445"/>
      <c r="IA445"/>
      <c r="IB445"/>
      <c r="IC445"/>
      <c r="ID445"/>
      <c r="IE445"/>
      <c r="IF445"/>
      <c r="IG445"/>
      <c r="IH445"/>
      <c r="II445"/>
      <c r="IJ445"/>
      <c r="IK445"/>
      <c r="IL445"/>
      <c r="IM445"/>
      <c r="IN445"/>
      <c r="IO445"/>
      <c r="IP445"/>
      <c r="IQ445"/>
      <c r="IR445"/>
      <c r="IS445"/>
      <c r="IT445"/>
      <c r="IU445"/>
      <c r="IV445"/>
    </row>
    <row r="446" spans="185:256" s="70" customFormat="1" ht="12.75" x14ac:dyDescent="0.2">
      <c r="HY446"/>
      <c r="HZ446"/>
      <c r="IA446"/>
      <c r="IB446"/>
      <c r="IC446"/>
      <c r="ID446"/>
      <c r="IE446"/>
      <c r="IF446"/>
      <c r="IG446"/>
      <c r="IH446"/>
      <c r="II446"/>
      <c r="IJ446"/>
      <c r="IK446"/>
      <c r="IL446"/>
      <c r="IM446"/>
      <c r="IN446"/>
      <c r="IO446"/>
      <c r="IP446"/>
      <c r="IQ446"/>
      <c r="IR446"/>
      <c r="IS446"/>
      <c r="IT446"/>
      <c r="IU446"/>
      <c r="IV446"/>
    </row>
    <row r="447" spans="185:256" s="70" customFormat="1" ht="3.75" customHeight="1" x14ac:dyDescent="0.2">
      <c r="HY447"/>
      <c r="HZ447"/>
      <c r="IA447"/>
      <c r="IB447"/>
      <c r="IC447"/>
      <c r="ID447"/>
      <c r="IE447"/>
      <c r="IF447"/>
      <c r="IG447"/>
      <c r="IH447"/>
      <c r="II447"/>
      <c r="IJ447"/>
      <c r="IK447"/>
      <c r="IL447"/>
      <c r="IM447"/>
      <c r="IN447"/>
      <c r="IO447"/>
      <c r="IP447"/>
      <c r="IQ447"/>
      <c r="IR447"/>
      <c r="IS447"/>
      <c r="IT447"/>
      <c r="IU447"/>
      <c r="IV447"/>
    </row>
    <row r="448" spans="185:256" s="70" customFormat="1" ht="12.75" x14ac:dyDescent="0.2">
      <c r="GZ448" s="248" t="s">
        <v>481</v>
      </c>
      <c r="HA448" s="248"/>
      <c r="HY448"/>
      <c r="HZ448"/>
      <c r="IA448"/>
      <c r="IB448"/>
      <c r="IC448"/>
      <c r="ID448"/>
      <c r="IE448"/>
      <c r="IF448"/>
      <c r="IG448"/>
      <c r="IH448"/>
      <c r="II448"/>
      <c r="IJ448"/>
      <c r="IK448"/>
      <c r="IL448"/>
      <c r="IM448"/>
      <c r="IN448"/>
      <c r="IO448"/>
      <c r="IP448"/>
      <c r="IQ448"/>
      <c r="IR448"/>
      <c r="IS448"/>
      <c r="IT448"/>
      <c r="IU448"/>
      <c r="IV448"/>
    </row>
    <row r="449" spans="208:256" s="70" customFormat="1" ht="12.75" x14ac:dyDescent="0.2">
      <c r="HD449" s="311"/>
      <c r="HE449" s="311"/>
      <c r="HF449" s="311"/>
      <c r="HG449" s="311"/>
      <c r="HH449" s="311"/>
      <c r="HI449" s="311"/>
      <c r="HJ449" s="311"/>
      <c r="HK449" s="311"/>
      <c r="HL449" s="311"/>
      <c r="HM449" s="311"/>
      <c r="HN449" s="311"/>
      <c r="HO449" s="311"/>
      <c r="HP449" s="311"/>
      <c r="HQ449" s="311"/>
      <c r="HR449" s="311"/>
      <c r="HS449" s="311"/>
      <c r="HT449" s="311"/>
      <c r="HU449" s="311"/>
      <c r="HV449" s="311"/>
      <c r="HW449" s="311"/>
      <c r="HX449" s="311"/>
      <c r="HY449"/>
      <c r="HZ449"/>
      <c r="IA449"/>
      <c r="IB449"/>
      <c r="IC449"/>
      <c r="ID449"/>
      <c r="IE449"/>
      <c r="IF449"/>
      <c r="IG449"/>
      <c r="IH449"/>
      <c r="II449"/>
      <c r="IJ449"/>
      <c r="IK449"/>
      <c r="IL449"/>
      <c r="IM449"/>
      <c r="IN449"/>
      <c r="IO449"/>
      <c r="IP449"/>
      <c r="IQ449"/>
      <c r="IR449"/>
      <c r="IS449"/>
      <c r="IT449"/>
      <c r="IU449"/>
      <c r="IV449"/>
    </row>
    <row r="450" spans="208:256" s="70" customFormat="1" ht="12.75" x14ac:dyDescent="0.2">
      <c r="HA450" s="476"/>
      <c r="HB450" s="476"/>
      <c r="HC450" s="476"/>
      <c r="HD450" s="476"/>
      <c r="HE450" s="476"/>
      <c r="HF450" s="476"/>
      <c r="HG450" s="476"/>
      <c r="HH450" s="476"/>
      <c r="HI450" s="476"/>
      <c r="HJ450" s="476"/>
      <c r="HK450" s="476"/>
      <c r="HL450" s="476"/>
      <c r="HM450" s="476"/>
      <c r="HN450" s="476"/>
      <c r="HO450" s="476"/>
      <c r="HP450" s="476"/>
      <c r="HQ450" s="476"/>
      <c r="HR450" s="476"/>
      <c r="HS450" s="476"/>
      <c r="HT450" s="476"/>
      <c r="HU450" s="476"/>
      <c r="HV450" s="476"/>
      <c r="HW450" s="476"/>
      <c r="HX450" s="476"/>
      <c r="HY450"/>
      <c r="HZ450"/>
      <c r="IA450"/>
      <c r="IB450"/>
      <c r="IC450"/>
      <c r="ID450"/>
      <c r="IE450"/>
      <c r="IF450"/>
      <c r="IG450"/>
      <c r="IH450"/>
      <c r="II450"/>
      <c r="IJ450"/>
      <c r="IK450"/>
      <c r="IL450"/>
      <c r="IM450"/>
      <c r="IN450"/>
      <c r="IO450"/>
      <c r="IP450"/>
      <c r="IQ450"/>
      <c r="IR450"/>
      <c r="IS450"/>
      <c r="IT450"/>
      <c r="IU450"/>
      <c r="IV450"/>
    </row>
    <row r="451" spans="208:256" s="70" customFormat="1" ht="12.75" x14ac:dyDescent="0.2">
      <c r="GZ451" s="199" t="s">
        <v>482</v>
      </c>
      <c r="HA451" s="259"/>
      <c r="HB451" s="259"/>
      <c r="HC451" s="259"/>
      <c r="HD451" s="259"/>
      <c r="HE451" s="259"/>
      <c r="HF451" s="259"/>
      <c r="HG451" s="259"/>
      <c r="HH451" s="259"/>
      <c r="HI451" s="259"/>
      <c r="HJ451" s="259"/>
      <c r="HK451" s="259"/>
      <c r="HL451" s="259"/>
      <c r="HM451" s="259"/>
      <c r="HN451" s="259"/>
      <c r="HO451" s="259"/>
      <c r="HP451" s="259"/>
      <c r="HQ451" s="259"/>
      <c r="HR451" s="259"/>
      <c r="HS451" s="259"/>
      <c r="HT451" s="259"/>
      <c r="HU451" s="540"/>
      <c r="HV451" s="540"/>
      <c r="HW451" s="540"/>
      <c r="HX451" s="540"/>
      <c r="HY451"/>
      <c r="HZ451"/>
      <c r="IA451"/>
      <c r="IB451"/>
      <c r="IC451"/>
      <c r="ID451"/>
      <c r="IE451"/>
      <c r="IF451"/>
      <c r="IG451"/>
      <c r="IH451"/>
      <c r="II451"/>
      <c r="IJ451"/>
      <c r="IK451"/>
      <c r="IL451"/>
      <c r="IM451"/>
      <c r="IN451"/>
      <c r="IO451"/>
      <c r="IP451"/>
      <c r="IQ451"/>
      <c r="IR451"/>
      <c r="IS451"/>
      <c r="IT451"/>
      <c r="IU451"/>
      <c r="IV451"/>
    </row>
    <row r="452" spans="208:256" s="70" customFormat="1" ht="12.75" x14ac:dyDescent="0.2">
      <c r="GZ452" s="199" t="s">
        <v>483</v>
      </c>
      <c r="HE452" s="539"/>
      <c r="HF452" s="539"/>
      <c r="HG452" s="539"/>
      <c r="HH452" s="539"/>
      <c r="HI452" s="539"/>
      <c r="HJ452" s="539"/>
      <c r="HK452" s="539"/>
      <c r="HL452" s="539"/>
      <c r="HM452" s="539"/>
      <c r="HN452" s="539"/>
      <c r="HO452" s="539"/>
      <c r="HP452" s="539"/>
      <c r="HQ452" s="539"/>
      <c r="HR452" s="539"/>
      <c r="HS452" s="539"/>
      <c r="HT452" s="539"/>
      <c r="HU452" s="541"/>
      <c r="HV452" s="541"/>
      <c r="HW452" s="541"/>
      <c r="HX452" s="541"/>
      <c r="HY452"/>
      <c r="HZ452"/>
      <c r="IA452"/>
      <c r="IB452"/>
      <c r="IC452"/>
      <c r="ID452"/>
      <c r="IE452"/>
      <c r="IF452"/>
      <c r="IG452"/>
      <c r="IH452"/>
      <c r="II452"/>
      <c r="IJ452"/>
      <c r="IK452"/>
      <c r="IL452"/>
      <c r="IM452"/>
      <c r="IN452"/>
      <c r="IO452"/>
      <c r="IP452"/>
      <c r="IQ452"/>
      <c r="IR452"/>
      <c r="IS452"/>
      <c r="IT452"/>
      <c r="IU452"/>
      <c r="IV452"/>
    </row>
    <row r="453" spans="208:256" s="70" customFormat="1" ht="12.75" x14ac:dyDescent="0.2">
      <c r="HU453" s="247"/>
      <c r="HY453"/>
      <c r="HZ453"/>
      <c r="IA453"/>
      <c r="IB453"/>
      <c r="IC453"/>
      <c r="ID453"/>
      <c r="IE453"/>
      <c r="IF453"/>
      <c r="IG453"/>
      <c r="IH453"/>
      <c r="II453"/>
      <c r="IJ453"/>
      <c r="IK453"/>
      <c r="IL453"/>
      <c r="IM453"/>
      <c r="IN453"/>
      <c r="IO453"/>
      <c r="IP453"/>
      <c r="IQ453"/>
      <c r="IR453"/>
      <c r="IS453"/>
      <c r="IT453"/>
      <c r="IU453"/>
      <c r="IV453"/>
    </row>
  </sheetData>
  <phoneticPr fontId="0" type="noConversion"/>
  <pageMargins left="0.75" right="0.75" top="1" bottom="1" header="0.5" footer="0.5"/>
  <pageSetup orientation="portrait" r:id="rId1"/>
  <headerFooter alignWithMargins="0"/>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D156"/>
  <sheetViews>
    <sheetView workbookViewId="0"/>
  </sheetViews>
  <sheetFormatPr defaultRowHeight="11.25" x14ac:dyDescent="0.2"/>
  <cols>
    <col min="1" max="1" width="20.83203125" customWidth="1"/>
    <col min="17" max="17" width="1.5" customWidth="1"/>
    <col min="18" max="18" width="15.1640625" customWidth="1"/>
    <col min="19" max="23" width="8.83203125" customWidth="1"/>
    <col min="25" max="25" width="0.83203125" customWidth="1"/>
    <col min="26" max="26" width="23.6640625" customWidth="1"/>
    <col min="47" max="47" width="0.83203125" customWidth="1"/>
    <col min="48" max="48" width="22.5" customWidth="1"/>
    <col min="55" max="55" width="2.1640625" customWidth="1"/>
  </cols>
  <sheetData>
    <row r="1" spans="1:24" x14ac:dyDescent="0.2">
      <c r="A1" s="543" t="s">
        <v>487</v>
      </c>
    </row>
    <row r="3" spans="1:24" x14ac:dyDescent="0.2">
      <c r="C3" s="542" t="s">
        <v>838</v>
      </c>
      <c r="D3" s="542" t="s">
        <v>839</v>
      </c>
      <c r="E3" s="542" t="s">
        <v>840</v>
      </c>
      <c r="F3" s="542" t="s">
        <v>841</v>
      </c>
      <c r="G3" s="542" t="s">
        <v>843</v>
      </c>
      <c r="H3" s="542" t="s">
        <v>844</v>
      </c>
      <c r="I3" s="542" t="s">
        <v>845</v>
      </c>
      <c r="J3" s="542" t="s">
        <v>846</v>
      </c>
      <c r="K3" s="542" t="s">
        <v>848</v>
      </c>
      <c r="L3" s="542" t="s">
        <v>849</v>
      </c>
      <c r="M3" s="542" t="s">
        <v>850</v>
      </c>
      <c r="N3" s="542" t="s">
        <v>851</v>
      </c>
      <c r="O3" s="542" t="s">
        <v>644</v>
      </c>
      <c r="P3" s="542" t="s">
        <v>1542</v>
      </c>
    </row>
    <row r="4" spans="1:24" x14ac:dyDescent="0.2">
      <c r="A4" t="s">
        <v>484</v>
      </c>
      <c r="C4" s="544"/>
      <c r="D4" s="544"/>
      <c r="E4" s="544"/>
      <c r="F4" s="544"/>
      <c r="G4" s="544"/>
      <c r="H4" s="544">
        <v>-0.23</v>
      </c>
      <c r="I4" s="544">
        <v>-0.19800000000000001</v>
      </c>
      <c r="J4" s="544">
        <v>-0.11899999999999999</v>
      </c>
      <c r="K4" s="544">
        <v>-1.2E-2</v>
      </c>
      <c r="L4" s="544">
        <v>7.0999999999999994E-2</v>
      </c>
      <c r="M4" s="544">
        <v>7.1999999999999995E-2</v>
      </c>
      <c r="N4" s="545">
        <v>6.5000000000000002E-2</v>
      </c>
      <c r="O4" s="545">
        <v>4.7E-2</v>
      </c>
    </row>
    <row r="5" spans="1:24" x14ac:dyDescent="0.2">
      <c r="A5" t="s">
        <v>485</v>
      </c>
      <c r="C5" s="544"/>
      <c r="D5" s="544"/>
      <c r="E5" s="544"/>
      <c r="F5" s="544"/>
      <c r="G5" s="544"/>
      <c r="H5" s="544">
        <v>-0.19500000000000001</v>
      </c>
      <c r="I5" s="544">
        <v>-0.184</v>
      </c>
      <c r="J5" s="544">
        <v>-0.13</v>
      </c>
      <c r="K5" s="544">
        <v>-2.5999999999999999E-2</v>
      </c>
      <c r="L5" s="544">
        <v>4.4999999999999998E-2</v>
      </c>
      <c r="M5" s="544">
        <v>7.0999999999999994E-2</v>
      </c>
      <c r="N5" s="545">
        <v>0.08</v>
      </c>
      <c r="O5" s="545">
        <v>6.5000000000000002E-2</v>
      </c>
    </row>
    <row r="7" spans="1:24" x14ac:dyDescent="0.2">
      <c r="A7" t="s">
        <v>1493</v>
      </c>
      <c r="B7" s="544"/>
      <c r="C7" s="544"/>
      <c r="D7" s="544"/>
      <c r="E7" s="544"/>
      <c r="F7" s="544"/>
      <c r="G7" s="544"/>
      <c r="H7" s="544"/>
      <c r="I7" s="544">
        <f t="shared" ref="I7:O7" si="0">I4-I5</f>
        <v>-1.4000000000000012E-2</v>
      </c>
      <c r="J7" s="544">
        <f t="shared" si="0"/>
        <v>1.100000000000001E-2</v>
      </c>
      <c r="K7" s="544">
        <f t="shared" si="0"/>
        <v>1.3999999999999999E-2</v>
      </c>
      <c r="L7" s="544">
        <f t="shared" si="0"/>
        <v>2.5999999999999995E-2</v>
      </c>
      <c r="M7" s="544">
        <f t="shared" si="0"/>
        <v>1.0000000000000009E-3</v>
      </c>
      <c r="N7" s="544">
        <f t="shared" si="0"/>
        <v>-1.4999999999999999E-2</v>
      </c>
      <c r="O7" s="544">
        <f t="shared" si="0"/>
        <v>-1.8000000000000002E-2</v>
      </c>
    </row>
    <row r="8" spans="1:24" x14ac:dyDescent="0.2">
      <c r="B8" s="544"/>
      <c r="C8" s="544"/>
      <c r="D8" s="544"/>
      <c r="E8" s="544"/>
      <c r="F8" s="544"/>
      <c r="G8" s="544"/>
      <c r="H8" s="544"/>
      <c r="I8" s="544"/>
      <c r="J8" s="544"/>
      <c r="K8" s="544"/>
      <c r="L8" s="544"/>
      <c r="M8" s="544"/>
      <c r="N8" s="544"/>
      <c r="O8" s="544"/>
    </row>
    <row r="9" spans="1:24" x14ac:dyDescent="0.2">
      <c r="B9" s="544"/>
      <c r="C9" s="544"/>
      <c r="D9" s="544"/>
      <c r="E9" s="544"/>
      <c r="F9" s="544"/>
      <c r="G9" s="544"/>
      <c r="H9" s="544"/>
      <c r="I9" s="544"/>
      <c r="J9" s="544"/>
      <c r="K9" s="544"/>
      <c r="L9" s="544"/>
      <c r="M9" s="544"/>
      <c r="N9" s="544"/>
      <c r="O9" s="544"/>
      <c r="R9" s="546" t="s">
        <v>620</v>
      </c>
      <c r="S9" s="546"/>
      <c r="T9" s="546"/>
      <c r="U9" s="546"/>
      <c r="V9" s="546"/>
      <c r="W9" s="546"/>
    </row>
    <row r="10" spans="1:24" ht="5.0999999999999996" customHeight="1" x14ac:dyDescent="0.2">
      <c r="B10" s="544"/>
      <c r="C10" s="544"/>
      <c r="D10" s="544"/>
      <c r="E10" s="544"/>
      <c r="F10" s="544"/>
      <c r="G10" s="544"/>
      <c r="H10" s="544"/>
      <c r="I10" s="544"/>
      <c r="J10" s="544"/>
      <c r="K10" s="544"/>
      <c r="L10" s="544"/>
      <c r="M10" s="544"/>
      <c r="N10" s="544"/>
      <c r="O10" s="544"/>
      <c r="R10" s="549"/>
      <c r="S10" s="546"/>
      <c r="T10" s="546"/>
      <c r="U10" s="546"/>
      <c r="V10" s="546"/>
      <c r="W10" s="546"/>
    </row>
    <row r="11" spans="1:24" x14ac:dyDescent="0.2">
      <c r="R11" s="552"/>
      <c r="S11" s="553" t="s">
        <v>848</v>
      </c>
      <c r="T11" s="553" t="s">
        <v>849</v>
      </c>
      <c r="U11" s="553" t="s">
        <v>850</v>
      </c>
      <c r="V11" s="553" t="s">
        <v>851</v>
      </c>
      <c r="W11" s="553" t="s">
        <v>644</v>
      </c>
      <c r="X11" s="553" t="s">
        <v>1542</v>
      </c>
    </row>
    <row r="12" spans="1:24" x14ac:dyDescent="0.2">
      <c r="R12" s="546"/>
      <c r="S12" s="542"/>
      <c r="T12" s="542"/>
      <c r="U12" s="542"/>
      <c r="V12" s="542"/>
      <c r="W12" s="542"/>
    </row>
    <row r="13" spans="1:24" x14ac:dyDescent="0.2">
      <c r="R13" s="546" t="s">
        <v>1560</v>
      </c>
      <c r="S13" s="547">
        <f t="shared" ref="S13:X14" si="1">K4</f>
        <v>-1.2E-2</v>
      </c>
      <c r="T13" s="547">
        <f t="shared" si="1"/>
        <v>7.0999999999999994E-2</v>
      </c>
      <c r="U13" s="547">
        <f t="shared" si="1"/>
        <v>7.1999999999999995E-2</v>
      </c>
      <c r="V13" s="547">
        <f t="shared" si="1"/>
        <v>6.5000000000000002E-2</v>
      </c>
      <c r="W13" s="547">
        <f t="shared" si="1"/>
        <v>4.7E-2</v>
      </c>
      <c r="X13" s="547">
        <f t="shared" si="1"/>
        <v>0</v>
      </c>
    </row>
    <row r="14" spans="1:24" x14ac:dyDescent="0.2">
      <c r="R14" s="546" t="s">
        <v>485</v>
      </c>
      <c r="S14" s="547">
        <f t="shared" si="1"/>
        <v>-2.5999999999999999E-2</v>
      </c>
      <c r="T14" s="547">
        <f t="shared" si="1"/>
        <v>4.4999999999999998E-2</v>
      </c>
      <c r="U14" s="547">
        <f t="shared" si="1"/>
        <v>7.0999999999999994E-2</v>
      </c>
      <c r="V14" s="547">
        <f t="shared" si="1"/>
        <v>0.08</v>
      </c>
      <c r="W14" s="547">
        <f t="shared" si="1"/>
        <v>6.5000000000000002E-2</v>
      </c>
      <c r="X14" s="547">
        <f t="shared" si="1"/>
        <v>0</v>
      </c>
    </row>
    <row r="15" spans="1:24" ht="5.0999999999999996" customHeight="1" x14ac:dyDescent="0.2">
      <c r="R15" s="546"/>
      <c r="S15" s="546"/>
      <c r="T15" s="546"/>
      <c r="U15" s="546"/>
      <c r="V15" s="546"/>
      <c r="W15" s="546"/>
    </row>
    <row r="29" spans="1:16" x14ac:dyDescent="0.2">
      <c r="A29" s="543" t="s">
        <v>1263</v>
      </c>
      <c r="C29" s="542" t="str">
        <f>C3</f>
        <v>1Q08</v>
      </c>
      <c r="D29" s="542" t="str">
        <f t="shared" ref="D29:P29" si="2">D3</f>
        <v>2Q08</v>
      </c>
      <c r="E29" s="542" t="str">
        <f t="shared" si="2"/>
        <v>3Q08</v>
      </c>
      <c r="F29" s="542" t="str">
        <f t="shared" si="2"/>
        <v>4Q08</v>
      </c>
      <c r="G29" s="542" t="str">
        <f t="shared" si="2"/>
        <v>1Q09</v>
      </c>
      <c r="H29" s="542" t="str">
        <f t="shared" si="2"/>
        <v>2Q09</v>
      </c>
      <c r="I29" s="542" t="str">
        <f t="shared" si="2"/>
        <v>3Q09</v>
      </c>
      <c r="J29" s="542" t="str">
        <f t="shared" si="2"/>
        <v>4Q09</v>
      </c>
      <c r="K29" s="542" t="str">
        <f t="shared" si="2"/>
        <v>1Q10</v>
      </c>
      <c r="L29" s="542" t="str">
        <f t="shared" si="2"/>
        <v>2Q10</v>
      </c>
      <c r="M29" s="542" t="str">
        <f t="shared" si="2"/>
        <v>3Q10</v>
      </c>
      <c r="N29" s="542" t="str">
        <f t="shared" si="2"/>
        <v>4Q10</v>
      </c>
      <c r="O29" s="542" t="str">
        <f t="shared" si="2"/>
        <v>1Q11</v>
      </c>
      <c r="P29" s="542" t="str">
        <f t="shared" si="2"/>
        <v>2Q11</v>
      </c>
    </row>
    <row r="31" spans="1:16" x14ac:dyDescent="0.2">
      <c r="A31" t="s">
        <v>619</v>
      </c>
      <c r="I31" s="6"/>
    </row>
    <row r="32" spans="1:16" x14ac:dyDescent="0.2">
      <c r="A32" t="s">
        <v>1640</v>
      </c>
    </row>
    <row r="34" spans="1:15" x14ac:dyDescent="0.2">
      <c r="A34" t="s">
        <v>1641</v>
      </c>
    </row>
    <row r="36" spans="1:15" x14ac:dyDescent="0.2">
      <c r="A36" t="s">
        <v>1642</v>
      </c>
      <c r="C36" s="544"/>
      <c r="D36" s="544"/>
      <c r="E36" s="544"/>
      <c r="F36" s="544"/>
      <c r="G36" s="544"/>
      <c r="H36" s="544"/>
      <c r="I36" s="544"/>
      <c r="J36" s="544"/>
      <c r="K36" s="544"/>
      <c r="L36" s="544"/>
      <c r="M36" s="544"/>
      <c r="N36" s="544"/>
      <c r="O36" s="544"/>
    </row>
    <row r="62" spans="1:15" x14ac:dyDescent="0.2">
      <c r="A62" s="542" t="s">
        <v>618</v>
      </c>
      <c r="C62" s="542"/>
      <c r="D62" s="542"/>
      <c r="E62" s="542"/>
      <c r="F62" s="542"/>
      <c r="G62" s="542"/>
      <c r="H62" s="542"/>
      <c r="I62" s="542"/>
      <c r="J62" s="542"/>
      <c r="K62" s="548" t="str">
        <f>K29</f>
        <v>1Q10</v>
      </c>
      <c r="L62" s="548" t="str">
        <f>L29</f>
        <v>2Q10</v>
      </c>
      <c r="M62" s="548" t="str">
        <f>M29</f>
        <v>3Q10</v>
      </c>
      <c r="N62" s="548" t="str">
        <f>N29</f>
        <v>4Q10</v>
      </c>
      <c r="O62" s="548" t="str">
        <f>O29</f>
        <v>1Q11</v>
      </c>
    </row>
    <row r="85" spans="26:46" ht="3" customHeight="1" x14ac:dyDescent="0.2"/>
    <row r="86" spans="26:46" x14ac:dyDescent="0.2">
      <c r="Z86" s="549" t="s">
        <v>1880</v>
      </c>
    </row>
    <row r="87" spans="26:46" x14ac:dyDescent="0.2">
      <c r="AQ87" s="549" t="s">
        <v>807</v>
      </c>
    </row>
    <row r="88" spans="26:46" x14ac:dyDescent="0.2">
      <c r="AA88" s="548" t="str">
        <f>RevPAR!AK5</f>
        <v>1Q07</v>
      </c>
      <c r="AB88" s="548" t="str">
        <f>RevPAR!AL5</f>
        <v>2Q07</v>
      </c>
      <c r="AC88" s="548" t="str">
        <f>RevPAR!AM5</f>
        <v>3Q07</v>
      </c>
      <c r="AD88" s="548" t="str">
        <f>RevPAR!AN5</f>
        <v>4Q07</v>
      </c>
      <c r="AE88" s="548" t="str">
        <f>RevPAR!AP5</f>
        <v>1Q08</v>
      </c>
      <c r="AF88" s="548" t="str">
        <f>RevPAR!AQ5</f>
        <v>2Q08</v>
      </c>
      <c r="AG88" s="548" t="str">
        <f>RevPAR!AR5</f>
        <v>3Q08</v>
      </c>
      <c r="AH88" s="548" t="str">
        <f>RevPAR!AS5</f>
        <v>4Q08</v>
      </c>
      <c r="AI88" s="548" t="str">
        <f>RevPAR!AU5</f>
        <v>1Q09</v>
      </c>
      <c r="AJ88" s="548" t="str">
        <f>RevPAR!AV5</f>
        <v>2Q09</v>
      </c>
      <c r="AK88" s="548" t="str">
        <f>RevPAR!AW5</f>
        <v>3Q09</v>
      </c>
      <c r="AL88" s="548" t="str">
        <f>RevPAR!AX5</f>
        <v>4Q09</v>
      </c>
      <c r="AM88" s="548" t="str">
        <f>RevPAR!AZ5</f>
        <v>1Q10</v>
      </c>
      <c r="AN88" s="548" t="str">
        <f>RevPAR!BA5</f>
        <v>2Q10</v>
      </c>
      <c r="AO88" s="548" t="str">
        <f>RevPAR!BB5</f>
        <v>3Q10</v>
      </c>
      <c r="AP88" s="548" t="str">
        <f>RevPAR!BC5</f>
        <v>4Q10</v>
      </c>
      <c r="AQ88" s="548" t="str">
        <f>RevPAR!BE5</f>
        <v>1Q11</v>
      </c>
      <c r="AR88" s="548" t="str">
        <f>RevPAR!BF5</f>
        <v>2Q11</v>
      </c>
      <c r="AS88" s="548" t="str">
        <f>RevPAR!BG5</f>
        <v>3Q11</v>
      </c>
      <c r="AT88" s="548" t="str">
        <f>RevPAR!BH5</f>
        <v>4Q11</v>
      </c>
    </row>
    <row r="89" spans="26:46" x14ac:dyDescent="0.2">
      <c r="Z89" t="s">
        <v>1881</v>
      </c>
      <c r="AA89" s="544">
        <f>RevPAR!AK578</f>
        <v>5.2999999999999999E-2</v>
      </c>
      <c r="AB89" s="544">
        <f>RevPAR!AL578</f>
        <v>5.7000000000000002E-2</v>
      </c>
      <c r="AC89" s="544">
        <f>RevPAR!AM578</f>
        <v>7.2999999999999995E-2</v>
      </c>
      <c r="AD89" s="544">
        <f>RevPAR!AN578</f>
        <v>6.3E-2</v>
      </c>
      <c r="AE89" s="544">
        <f>RevPAR!AP578</f>
        <v>1.7000000000000001E-2</v>
      </c>
      <c r="AF89" s="544">
        <f>RevPAR!AQ578</f>
        <v>2.1000000000000001E-2</v>
      </c>
      <c r="AG89" s="544">
        <f>RevPAR!AR578</f>
        <v>-2E-3</v>
      </c>
      <c r="AH89" s="544">
        <f>RevPAR!AS578</f>
        <v>-9.1999999999999998E-2</v>
      </c>
      <c r="AI89" s="544">
        <f>RevPAR!AU578</f>
        <v>-0.16</v>
      </c>
      <c r="AJ89" s="544">
        <f>RevPAR!AV578</f>
        <v>-0.218</v>
      </c>
      <c r="AK89" s="544">
        <f>RevPAR!AW578</f>
        <v>-0.19800000000000001</v>
      </c>
      <c r="AL89" s="544">
        <f>RevPAR!AX578</f>
        <v>-0.11899999999999999</v>
      </c>
      <c r="AM89" s="544">
        <f>RevPAR!AZ578</f>
        <v>-1.2E-2</v>
      </c>
      <c r="AN89" s="544">
        <f>RevPAR!BA578</f>
        <v>7.0999999999999994E-2</v>
      </c>
      <c r="AO89" s="544">
        <f>RevPAR!BB578</f>
        <v>7.1999999999999995E-2</v>
      </c>
      <c r="AP89" s="544">
        <f>RevPAR!BC578</f>
        <v>6.5000000000000002E-2</v>
      </c>
      <c r="AQ89" s="544">
        <f>RevPAR!BE578</f>
        <v>4.7E-2</v>
      </c>
      <c r="AR89" s="544">
        <f>RevPAR!BF578</f>
        <v>5.2999999999999999E-2</v>
      </c>
      <c r="AS89" s="8" t="s">
        <v>1809</v>
      </c>
    </row>
    <row r="90" spans="26:46" x14ac:dyDescent="0.2">
      <c r="Z90" s="9" t="s">
        <v>1882</v>
      </c>
      <c r="AA90" s="655">
        <v>5.3100442156201577E-2</v>
      </c>
      <c r="AB90" s="655">
        <v>5.9991321869842906E-2</v>
      </c>
      <c r="AC90" s="655">
        <v>6.2356340531550591E-2</v>
      </c>
      <c r="AD90" s="655">
        <v>5.439690047745227E-2</v>
      </c>
      <c r="AE90" s="655">
        <v>7.3140112194789442E-3</v>
      </c>
      <c r="AF90" s="655">
        <v>1.4023245166927101E-2</v>
      </c>
      <c r="AG90" s="655">
        <v>-1.8879586382468339E-2</v>
      </c>
      <c r="AH90" s="655">
        <v>-0.12210502420431679</v>
      </c>
      <c r="AI90" s="655">
        <v>-0.19722665617137913</v>
      </c>
      <c r="AJ90" s="655">
        <v>-0.22046647271744724</v>
      </c>
      <c r="AK90" s="655">
        <v>-0.18354417044381299</v>
      </c>
      <c r="AL90" s="655">
        <v>-0.10075122694210048</v>
      </c>
      <c r="AM90" s="655">
        <v>-1.1092529411809715E-2</v>
      </c>
      <c r="AN90" s="655">
        <v>8.0619656818658791E-2</v>
      </c>
      <c r="AO90" s="655">
        <v>9.4189430128242657E-2</v>
      </c>
      <c r="AP90" s="655">
        <v>7.8770556751218024E-2</v>
      </c>
      <c r="AQ90" s="829">
        <v>6.4322809761581459E-2</v>
      </c>
      <c r="AR90" s="656">
        <v>7.5633833644620702E-2</v>
      </c>
      <c r="AS90" s="829">
        <v>6.9975802877057888E-2</v>
      </c>
    </row>
    <row r="91" spans="26:46" x14ac:dyDescent="0.2">
      <c r="Z91" s="650" t="s">
        <v>1493</v>
      </c>
      <c r="AA91" s="654">
        <f>AA89-AA90</f>
        <v>-1.0044215620157865E-4</v>
      </c>
      <c r="AB91" s="654">
        <f t="shared" ref="AB91:AR91" si="3">AB89-AB90</f>
        <v>-2.9913218698429042E-3</v>
      </c>
      <c r="AC91" s="654">
        <f t="shared" si="3"/>
        <v>1.0643659468449404E-2</v>
      </c>
      <c r="AD91" s="654">
        <f t="shared" si="3"/>
        <v>8.6030995225477302E-3</v>
      </c>
      <c r="AE91" s="654">
        <f t="shared" si="3"/>
        <v>9.6859887805210571E-3</v>
      </c>
      <c r="AF91" s="654">
        <f t="shared" si="3"/>
        <v>6.9767548330729005E-3</v>
      </c>
      <c r="AG91" s="654">
        <f t="shared" si="3"/>
        <v>1.6879586382468337E-2</v>
      </c>
      <c r="AH91" s="654">
        <f t="shared" si="3"/>
        <v>3.0105024204316794E-2</v>
      </c>
      <c r="AI91" s="654">
        <f t="shared" si="3"/>
        <v>3.722665617137913E-2</v>
      </c>
      <c r="AJ91" s="654">
        <f t="shared" si="3"/>
        <v>2.4664727174472378E-3</v>
      </c>
      <c r="AK91" s="654">
        <f t="shared" si="3"/>
        <v>-1.4455829556187016E-2</v>
      </c>
      <c r="AL91" s="654">
        <f t="shared" si="3"/>
        <v>-1.8248773057899514E-2</v>
      </c>
      <c r="AM91" s="654">
        <f t="shared" si="3"/>
        <v>-9.0747058819028517E-4</v>
      </c>
      <c r="AN91" s="654">
        <f t="shared" si="3"/>
        <v>-9.6196568186587977E-3</v>
      </c>
      <c r="AO91" s="654">
        <f t="shared" si="3"/>
        <v>-2.2189430128242663E-2</v>
      </c>
      <c r="AP91" s="654">
        <f t="shared" si="3"/>
        <v>-1.3770556751218022E-2</v>
      </c>
      <c r="AQ91" s="654">
        <f t="shared" si="3"/>
        <v>-1.7322809761581459E-2</v>
      </c>
      <c r="AR91" s="654">
        <f t="shared" si="3"/>
        <v>-2.2633833644620703E-2</v>
      </c>
    </row>
    <row r="123" spans="48:52" ht="5.25" customHeight="1" x14ac:dyDescent="0.2"/>
    <row r="125" spans="48:52" x14ac:dyDescent="0.2">
      <c r="AW125" s="553" t="s">
        <v>644</v>
      </c>
      <c r="AX125" s="553" t="s">
        <v>1542</v>
      </c>
      <c r="AY125" s="553" t="s">
        <v>855</v>
      </c>
      <c r="AZ125" s="553" t="s">
        <v>856</v>
      </c>
    </row>
    <row r="126" spans="48:52" x14ac:dyDescent="0.2">
      <c r="AV126" t="s">
        <v>1883</v>
      </c>
      <c r="AW126" s="544">
        <v>5.8000000000000003E-2</v>
      </c>
      <c r="AX126" s="544">
        <v>6.6000000000000003E-2</v>
      </c>
      <c r="AY126" s="659">
        <v>0.06</v>
      </c>
      <c r="AZ126" s="660">
        <f>0.07-AW126*AW128+AX126*AX128+AY126*AY128</f>
        <v>8.5692307692307693E-2</v>
      </c>
    </row>
    <row r="128" spans="48:52" x14ac:dyDescent="0.2">
      <c r="AV128" t="s">
        <v>1936</v>
      </c>
      <c r="AW128" s="658">
        <f>12/52</f>
        <v>0.23076923076923078</v>
      </c>
      <c r="AX128" s="658">
        <f>12/52</f>
        <v>0.23076923076923078</v>
      </c>
      <c r="AY128" s="658">
        <f>12/52</f>
        <v>0.23076923076923078</v>
      </c>
      <c r="AZ128" s="657">
        <f>16/52</f>
        <v>0.30769230769230771</v>
      </c>
    </row>
    <row r="130" spans="48:49" x14ac:dyDescent="0.2">
      <c r="AV130" t="s">
        <v>1937</v>
      </c>
      <c r="AW130">
        <v>7</v>
      </c>
    </row>
    <row r="155" spans="56:56" ht="3.75" customHeight="1" x14ac:dyDescent="0.2"/>
    <row r="156" spans="56:56" x14ac:dyDescent="0.2">
      <c r="BD156" t="s">
        <v>1039</v>
      </c>
    </row>
  </sheetData>
  <phoneticPr fontId="0" type="noConversion"/>
  <pageMargins left="0.75" right="0.75" top="1" bottom="1" header="0.5" footer="0.5"/>
  <pageSetup orientation="portrait" r:id="rId1"/>
  <headerFooter alignWithMargins="0"/>
  <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F47"/>
  <sheetViews>
    <sheetView workbookViewId="0"/>
  </sheetViews>
  <sheetFormatPr defaultRowHeight="11.25" x14ac:dyDescent="0.2"/>
  <cols>
    <col min="1" max="1" width="31.5" customWidth="1"/>
    <col min="2" max="2" width="27" customWidth="1"/>
    <col min="3" max="3" width="1.33203125" customWidth="1"/>
    <col min="5" max="5" width="19.6640625" customWidth="1"/>
    <col min="6" max="6" width="18.83203125" customWidth="1"/>
  </cols>
  <sheetData>
    <row r="1" spans="1:4" x14ac:dyDescent="0.2">
      <c r="A1" s="542" t="s">
        <v>2094</v>
      </c>
    </row>
    <row r="2" spans="1:4" x14ac:dyDescent="0.2">
      <c r="A2" s="549" t="s">
        <v>1144</v>
      </c>
    </row>
    <row r="4" spans="1:4" x14ac:dyDescent="0.2">
      <c r="A4" t="s">
        <v>2091</v>
      </c>
    </row>
    <row r="6" spans="1:4" x14ac:dyDescent="0.2">
      <c r="A6" t="s">
        <v>2092</v>
      </c>
      <c r="B6" s="600">
        <v>42544</v>
      </c>
    </row>
    <row r="7" spans="1:4" x14ac:dyDescent="0.2">
      <c r="A7" t="s">
        <v>2093</v>
      </c>
      <c r="B7" s="601">
        <v>1750</v>
      </c>
    </row>
    <row r="8" spans="1:4" x14ac:dyDescent="0.2">
      <c r="B8" s="601"/>
    </row>
    <row r="9" spans="1:4" x14ac:dyDescent="0.2">
      <c r="A9" t="s">
        <v>2215</v>
      </c>
      <c r="B9" s="602" t="s">
        <v>1459</v>
      </c>
    </row>
    <row r="10" spans="1:4" x14ac:dyDescent="0.2">
      <c r="B10" s="602"/>
      <c r="D10" s="546"/>
    </row>
    <row r="11" spans="1:4" x14ac:dyDescent="0.2">
      <c r="A11" s="542" t="s">
        <v>1454</v>
      </c>
      <c r="B11" s="602"/>
    </row>
    <row r="12" spans="1:4" x14ac:dyDescent="0.2">
      <c r="A12" s="604" t="s">
        <v>1455</v>
      </c>
      <c r="B12" s="602" t="s">
        <v>1457</v>
      </c>
    </row>
    <row r="13" spans="1:4" x14ac:dyDescent="0.2">
      <c r="A13" s="604" t="s">
        <v>1456</v>
      </c>
      <c r="B13" s="602" t="s">
        <v>497</v>
      </c>
    </row>
    <row r="14" spans="1:4" x14ac:dyDescent="0.2">
      <c r="B14" s="602"/>
    </row>
    <row r="15" spans="1:4" x14ac:dyDescent="0.2">
      <c r="B15" s="602"/>
    </row>
    <row r="16" spans="1:4" x14ac:dyDescent="0.2">
      <c r="A16" s="542" t="s">
        <v>2216</v>
      </c>
      <c r="B16" s="602"/>
    </row>
    <row r="17" spans="1:6" x14ac:dyDescent="0.2">
      <c r="A17" t="s">
        <v>1429</v>
      </c>
      <c r="B17" s="602"/>
    </row>
    <row r="18" spans="1:6" x14ac:dyDescent="0.2">
      <c r="A18" t="s">
        <v>1430</v>
      </c>
      <c r="B18" s="602"/>
    </row>
    <row r="20" spans="1:6" x14ac:dyDescent="0.2">
      <c r="A20" s="542" t="s">
        <v>1452</v>
      </c>
    </row>
    <row r="22" spans="1:6" x14ac:dyDescent="0.2">
      <c r="A22" s="542" t="s">
        <v>1453</v>
      </c>
    </row>
    <row r="24" spans="1:6" x14ac:dyDescent="0.2">
      <c r="A24" s="546" t="s">
        <v>1458</v>
      </c>
      <c r="B24" t="s">
        <v>1431</v>
      </c>
    </row>
    <row r="26" spans="1:6" x14ac:dyDescent="0.2">
      <c r="D26" s="543" t="s">
        <v>1442</v>
      </c>
    </row>
    <row r="28" spans="1:6" x14ac:dyDescent="0.2">
      <c r="D28" s="542" t="s">
        <v>1432</v>
      </c>
      <c r="E28" s="542" t="s">
        <v>151</v>
      </c>
      <c r="F28" s="542" t="s">
        <v>1433</v>
      </c>
    </row>
    <row r="30" spans="1:6" x14ac:dyDescent="0.2">
      <c r="D30" s="43">
        <v>1</v>
      </c>
      <c r="E30" t="s">
        <v>1437</v>
      </c>
      <c r="F30" s="603">
        <v>6.7499999999999999E-3</v>
      </c>
    </row>
    <row r="31" spans="1:6" x14ac:dyDescent="0.2">
      <c r="D31" s="43">
        <v>2</v>
      </c>
      <c r="E31" t="s">
        <v>1436</v>
      </c>
      <c r="F31" s="603">
        <v>8.5000000000000006E-3</v>
      </c>
    </row>
    <row r="32" spans="1:6" ht="12" thickBot="1" x14ac:dyDescent="0.25">
      <c r="D32" s="43">
        <v>3</v>
      </c>
      <c r="E32" t="s">
        <v>1434</v>
      </c>
      <c r="F32" s="603">
        <v>1.0749999999999999E-2</v>
      </c>
    </row>
    <row r="33" spans="4:6" ht="12" thickBot="1" x14ac:dyDescent="0.25">
      <c r="D33" s="605">
        <v>4</v>
      </c>
      <c r="E33" s="86" t="s">
        <v>1435</v>
      </c>
      <c r="F33" s="606">
        <v>1.175E-2</v>
      </c>
    </row>
    <row r="34" spans="4:6" x14ac:dyDescent="0.2">
      <c r="D34" s="43">
        <v>5</v>
      </c>
      <c r="E34" t="s">
        <v>1438</v>
      </c>
      <c r="F34" s="603">
        <v>1.4250000000000001E-2</v>
      </c>
    </row>
    <row r="35" spans="4:6" x14ac:dyDescent="0.2">
      <c r="D35" s="43">
        <v>6</v>
      </c>
      <c r="E35" t="s">
        <v>1439</v>
      </c>
      <c r="F35" s="603">
        <v>1.7250000000000001E-2</v>
      </c>
    </row>
    <row r="36" spans="4:6" x14ac:dyDescent="0.2">
      <c r="F36" s="603"/>
    </row>
    <row r="37" spans="4:6" x14ac:dyDescent="0.2">
      <c r="F37" s="603"/>
    </row>
    <row r="38" spans="4:6" x14ac:dyDescent="0.2">
      <c r="D38" s="543" t="s">
        <v>1441</v>
      </c>
    </row>
    <row r="40" spans="4:6" x14ac:dyDescent="0.2">
      <c r="D40" s="542" t="s">
        <v>1432</v>
      </c>
      <c r="E40" s="542" t="s">
        <v>151</v>
      </c>
      <c r="F40" s="542" t="s">
        <v>1440</v>
      </c>
    </row>
    <row r="42" spans="4:6" x14ac:dyDescent="0.2">
      <c r="D42" s="43">
        <v>1</v>
      </c>
      <c r="E42" t="s">
        <v>1437</v>
      </c>
      <c r="F42" s="603">
        <v>1.25E-3</v>
      </c>
    </row>
    <row r="43" spans="4:6" x14ac:dyDescent="0.2">
      <c r="D43" s="43">
        <v>2</v>
      </c>
      <c r="E43" t="s">
        <v>1436</v>
      </c>
      <c r="F43" s="603">
        <v>1.5E-3</v>
      </c>
    </row>
    <row r="44" spans="4:6" ht="12" thickBot="1" x14ac:dyDescent="0.25">
      <c r="D44" s="43">
        <v>3</v>
      </c>
      <c r="E44" t="s">
        <v>1434</v>
      </c>
      <c r="F44" s="603">
        <v>1.75E-3</v>
      </c>
    </row>
    <row r="45" spans="4:6" ht="12" thickBot="1" x14ac:dyDescent="0.25">
      <c r="D45" s="605">
        <v>4</v>
      </c>
      <c r="E45" s="86" t="s">
        <v>1435</v>
      </c>
      <c r="F45" s="606">
        <v>2E-3</v>
      </c>
    </row>
    <row r="46" spans="4:6" x14ac:dyDescent="0.2">
      <c r="D46" s="43">
        <v>5</v>
      </c>
      <c r="E46" t="s">
        <v>1438</v>
      </c>
      <c r="F46" s="603">
        <v>2.2499999999999998E-3</v>
      </c>
    </row>
    <row r="47" spans="4:6" x14ac:dyDescent="0.2">
      <c r="D47" s="43">
        <v>6</v>
      </c>
      <c r="E47" t="s">
        <v>1439</v>
      </c>
      <c r="F47" s="603">
        <v>2.7499999999999998E-3</v>
      </c>
    </row>
  </sheetData>
  <phoneticPr fontId="0" type="noConversion"/>
  <pageMargins left="0.75" right="0.75" top="1" bottom="1" header="0.5" footer="0.5"/>
  <pageSetup orientation="portrait" r:id="rId1"/>
  <headerFooter alignWithMargins="0"/>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17"/>
  <sheetViews>
    <sheetView workbookViewId="0"/>
  </sheetViews>
  <sheetFormatPr defaultRowHeight="11.25" x14ac:dyDescent="0.2"/>
  <sheetData>
    <row r="1" spans="1:1" ht="15.75" x14ac:dyDescent="0.25">
      <c r="A1" s="84" t="s">
        <v>1824</v>
      </c>
    </row>
    <row r="2" spans="1:1" ht="15" x14ac:dyDescent="0.2">
      <c r="A2" s="180" t="s">
        <v>193</v>
      </c>
    </row>
    <row r="3" spans="1:1" ht="15" x14ac:dyDescent="0.2">
      <c r="A3" s="80" t="s">
        <v>1545</v>
      </c>
    </row>
    <row r="4" spans="1:1" ht="15" x14ac:dyDescent="0.2">
      <c r="A4" s="80" t="s">
        <v>1559</v>
      </c>
    </row>
    <row r="6" spans="1:1" ht="15" x14ac:dyDescent="0.2">
      <c r="A6" s="80" t="s">
        <v>872</v>
      </c>
    </row>
    <row r="7" spans="1:1" ht="15" x14ac:dyDescent="0.2">
      <c r="A7" s="80" t="s">
        <v>1411</v>
      </c>
    </row>
    <row r="8" spans="1:1" ht="15" x14ac:dyDescent="0.2">
      <c r="A8" s="80" t="s">
        <v>1360</v>
      </c>
    </row>
    <row r="10" spans="1:1" ht="15" x14ac:dyDescent="0.2">
      <c r="A10" s="80" t="s">
        <v>1361</v>
      </c>
    </row>
    <row r="12" spans="1:1" ht="15.75" x14ac:dyDescent="0.25">
      <c r="A12" s="84" t="s">
        <v>1362</v>
      </c>
    </row>
    <row r="13" spans="1:1" ht="15" x14ac:dyDescent="0.2">
      <c r="A13" s="80" t="s">
        <v>1564</v>
      </c>
    </row>
    <row r="14" spans="1:1" ht="15" x14ac:dyDescent="0.2">
      <c r="A14" s="80" t="s">
        <v>1565</v>
      </c>
    </row>
    <row r="15" spans="1:1" ht="15" x14ac:dyDescent="0.2">
      <c r="A15" s="80" t="s">
        <v>1654</v>
      </c>
    </row>
    <row r="16" spans="1:1" ht="15" x14ac:dyDescent="0.2">
      <c r="A16" s="80" t="s">
        <v>343</v>
      </c>
    </row>
    <row r="17" spans="1:1" ht="15" x14ac:dyDescent="0.2">
      <c r="A17" s="80" t="s">
        <v>344</v>
      </c>
    </row>
  </sheetData>
  <phoneticPr fontId="0" type="noConversion"/>
  <pageMargins left="0.75" right="0.75" top="1" bottom="1" header="0.5" footer="0.5"/>
  <pageSetup scale="67"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43"/>
  <sheetViews>
    <sheetView workbookViewId="0">
      <selection activeCell="B42" sqref="B42"/>
    </sheetView>
  </sheetViews>
  <sheetFormatPr defaultRowHeight="12.75" x14ac:dyDescent="0.2"/>
  <cols>
    <col min="1" max="1" width="34.5" style="2685" bestFit="1" customWidth="1"/>
    <col min="2" max="2" width="23.1640625" style="3968" customWidth="1"/>
    <col min="3" max="3" width="14" style="2685" bestFit="1" customWidth="1"/>
    <col min="4" max="256" width="9.33203125" style="2685"/>
    <col min="257" max="257" width="34.5" style="2685" bestFit="1" customWidth="1"/>
    <col min="258" max="258" width="23.1640625" style="2685" customWidth="1"/>
    <col min="259" max="259" width="14" style="2685" bestFit="1" customWidth="1"/>
    <col min="260" max="512" width="9.33203125" style="2685"/>
    <col min="513" max="513" width="34.5" style="2685" bestFit="1" customWidth="1"/>
    <col min="514" max="514" width="23.1640625" style="2685" customWidth="1"/>
    <col min="515" max="515" width="14" style="2685" bestFit="1" customWidth="1"/>
    <col min="516" max="768" width="9.33203125" style="2685"/>
    <col min="769" max="769" width="34.5" style="2685" bestFit="1" customWidth="1"/>
    <col min="770" max="770" width="23.1640625" style="2685" customWidth="1"/>
    <col min="771" max="771" width="14" style="2685" bestFit="1" customWidth="1"/>
    <col min="772" max="1024" width="9.33203125" style="2685"/>
    <col min="1025" max="1025" width="34.5" style="2685" bestFit="1" customWidth="1"/>
    <col min="1026" max="1026" width="23.1640625" style="2685" customWidth="1"/>
    <col min="1027" max="1027" width="14" style="2685" bestFit="1" customWidth="1"/>
    <col min="1028" max="1280" width="9.33203125" style="2685"/>
    <col min="1281" max="1281" width="34.5" style="2685" bestFit="1" customWidth="1"/>
    <col min="1282" max="1282" width="23.1640625" style="2685" customWidth="1"/>
    <col min="1283" max="1283" width="14" style="2685" bestFit="1" customWidth="1"/>
    <col min="1284" max="1536" width="9.33203125" style="2685"/>
    <col min="1537" max="1537" width="34.5" style="2685" bestFit="1" customWidth="1"/>
    <col min="1538" max="1538" width="23.1640625" style="2685" customWidth="1"/>
    <col min="1539" max="1539" width="14" style="2685" bestFit="1" customWidth="1"/>
    <col min="1540" max="1792" width="9.33203125" style="2685"/>
    <col min="1793" max="1793" width="34.5" style="2685" bestFit="1" customWidth="1"/>
    <col min="1794" max="1794" width="23.1640625" style="2685" customWidth="1"/>
    <col min="1795" max="1795" width="14" style="2685" bestFit="1" customWidth="1"/>
    <col min="1796" max="2048" width="9.33203125" style="2685"/>
    <col min="2049" max="2049" width="34.5" style="2685" bestFit="1" customWidth="1"/>
    <col min="2050" max="2050" width="23.1640625" style="2685" customWidth="1"/>
    <col min="2051" max="2051" width="14" style="2685" bestFit="1" customWidth="1"/>
    <col min="2052" max="2304" width="9.33203125" style="2685"/>
    <col min="2305" max="2305" width="34.5" style="2685" bestFit="1" customWidth="1"/>
    <col min="2306" max="2306" width="23.1640625" style="2685" customWidth="1"/>
    <col min="2307" max="2307" width="14" style="2685" bestFit="1" customWidth="1"/>
    <col min="2308" max="2560" width="9.33203125" style="2685"/>
    <col min="2561" max="2561" width="34.5" style="2685" bestFit="1" customWidth="1"/>
    <col min="2562" max="2562" width="23.1640625" style="2685" customWidth="1"/>
    <col min="2563" max="2563" width="14" style="2685" bestFit="1" customWidth="1"/>
    <col min="2564" max="2816" width="9.33203125" style="2685"/>
    <col min="2817" max="2817" width="34.5" style="2685" bestFit="1" customWidth="1"/>
    <col min="2818" max="2818" width="23.1640625" style="2685" customWidth="1"/>
    <col min="2819" max="2819" width="14" style="2685" bestFit="1" customWidth="1"/>
    <col min="2820" max="3072" width="9.33203125" style="2685"/>
    <col min="3073" max="3073" width="34.5" style="2685" bestFit="1" customWidth="1"/>
    <col min="3074" max="3074" width="23.1640625" style="2685" customWidth="1"/>
    <col min="3075" max="3075" width="14" style="2685" bestFit="1" customWidth="1"/>
    <col min="3076" max="3328" width="9.33203125" style="2685"/>
    <col min="3329" max="3329" width="34.5" style="2685" bestFit="1" customWidth="1"/>
    <col min="3330" max="3330" width="23.1640625" style="2685" customWidth="1"/>
    <col min="3331" max="3331" width="14" style="2685" bestFit="1" customWidth="1"/>
    <col min="3332" max="3584" width="9.33203125" style="2685"/>
    <col min="3585" max="3585" width="34.5" style="2685" bestFit="1" customWidth="1"/>
    <col min="3586" max="3586" width="23.1640625" style="2685" customWidth="1"/>
    <col min="3587" max="3587" width="14" style="2685" bestFit="1" customWidth="1"/>
    <col min="3588" max="3840" width="9.33203125" style="2685"/>
    <col min="3841" max="3841" width="34.5" style="2685" bestFit="1" customWidth="1"/>
    <col min="3842" max="3842" width="23.1640625" style="2685" customWidth="1"/>
    <col min="3843" max="3843" width="14" style="2685" bestFit="1" customWidth="1"/>
    <col min="3844" max="4096" width="9.33203125" style="2685"/>
    <col min="4097" max="4097" width="34.5" style="2685" bestFit="1" customWidth="1"/>
    <col min="4098" max="4098" width="23.1640625" style="2685" customWidth="1"/>
    <col min="4099" max="4099" width="14" style="2685" bestFit="1" customWidth="1"/>
    <col min="4100" max="4352" width="9.33203125" style="2685"/>
    <col min="4353" max="4353" width="34.5" style="2685" bestFit="1" customWidth="1"/>
    <col min="4354" max="4354" width="23.1640625" style="2685" customWidth="1"/>
    <col min="4355" max="4355" width="14" style="2685" bestFit="1" customWidth="1"/>
    <col min="4356" max="4608" width="9.33203125" style="2685"/>
    <col min="4609" max="4609" width="34.5" style="2685" bestFit="1" customWidth="1"/>
    <col min="4610" max="4610" width="23.1640625" style="2685" customWidth="1"/>
    <col min="4611" max="4611" width="14" style="2685" bestFit="1" customWidth="1"/>
    <col min="4612" max="4864" width="9.33203125" style="2685"/>
    <col min="4865" max="4865" width="34.5" style="2685" bestFit="1" customWidth="1"/>
    <col min="4866" max="4866" width="23.1640625" style="2685" customWidth="1"/>
    <col min="4867" max="4867" width="14" style="2685" bestFit="1" customWidth="1"/>
    <col min="4868" max="5120" width="9.33203125" style="2685"/>
    <col min="5121" max="5121" width="34.5" style="2685" bestFit="1" customWidth="1"/>
    <col min="5122" max="5122" width="23.1640625" style="2685" customWidth="1"/>
    <col min="5123" max="5123" width="14" style="2685" bestFit="1" customWidth="1"/>
    <col min="5124" max="5376" width="9.33203125" style="2685"/>
    <col min="5377" max="5377" width="34.5" style="2685" bestFit="1" customWidth="1"/>
    <col min="5378" max="5378" width="23.1640625" style="2685" customWidth="1"/>
    <col min="5379" max="5379" width="14" style="2685" bestFit="1" customWidth="1"/>
    <col min="5380" max="5632" width="9.33203125" style="2685"/>
    <col min="5633" max="5633" width="34.5" style="2685" bestFit="1" customWidth="1"/>
    <col min="5634" max="5634" width="23.1640625" style="2685" customWidth="1"/>
    <col min="5635" max="5635" width="14" style="2685" bestFit="1" customWidth="1"/>
    <col min="5636" max="5888" width="9.33203125" style="2685"/>
    <col min="5889" max="5889" width="34.5" style="2685" bestFit="1" customWidth="1"/>
    <col min="5890" max="5890" width="23.1640625" style="2685" customWidth="1"/>
    <col min="5891" max="5891" width="14" style="2685" bestFit="1" customWidth="1"/>
    <col min="5892" max="6144" width="9.33203125" style="2685"/>
    <col min="6145" max="6145" width="34.5" style="2685" bestFit="1" customWidth="1"/>
    <col min="6146" max="6146" width="23.1640625" style="2685" customWidth="1"/>
    <col min="6147" max="6147" width="14" style="2685" bestFit="1" customWidth="1"/>
    <col min="6148" max="6400" width="9.33203125" style="2685"/>
    <col min="6401" max="6401" width="34.5" style="2685" bestFit="1" customWidth="1"/>
    <col min="6402" max="6402" width="23.1640625" style="2685" customWidth="1"/>
    <col min="6403" max="6403" width="14" style="2685" bestFit="1" customWidth="1"/>
    <col min="6404" max="6656" width="9.33203125" style="2685"/>
    <col min="6657" max="6657" width="34.5" style="2685" bestFit="1" customWidth="1"/>
    <col min="6658" max="6658" width="23.1640625" style="2685" customWidth="1"/>
    <col min="6659" max="6659" width="14" style="2685" bestFit="1" customWidth="1"/>
    <col min="6660" max="6912" width="9.33203125" style="2685"/>
    <col min="6913" max="6913" width="34.5" style="2685" bestFit="1" customWidth="1"/>
    <col min="6914" max="6914" width="23.1640625" style="2685" customWidth="1"/>
    <col min="6915" max="6915" width="14" style="2685" bestFit="1" customWidth="1"/>
    <col min="6916" max="7168" width="9.33203125" style="2685"/>
    <col min="7169" max="7169" width="34.5" style="2685" bestFit="1" customWidth="1"/>
    <col min="7170" max="7170" width="23.1640625" style="2685" customWidth="1"/>
    <col min="7171" max="7171" width="14" style="2685" bestFit="1" customWidth="1"/>
    <col min="7172" max="7424" width="9.33203125" style="2685"/>
    <col min="7425" max="7425" width="34.5" style="2685" bestFit="1" customWidth="1"/>
    <col min="7426" max="7426" width="23.1640625" style="2685" customWidth="1"/>
    <col min="7427" max="7427" width="14" style="2685" bestFit="1" customWidth="1"/>
    <col min="7428" max="7680" width="9.33203125" style="2685"/>
    <col min="7681" max="7681" width="34.5" style="2685" bestFit="1" customWidth="1"/>
    <col min="7682" max="7682" width="23.1640625" style="2685" customWidth="1"/>
    <col min="7683" max="7683" width="14" style="2685" bestFit="1" customWidth="1"/>
    <col min="7684" max="7936" width="9.33203125" style="2685"/>
    <col min="7937" max="7937" width="34.5" style="2685" bestFit="1" customWidth="1"/>
    <col min="7938" max="7938" width="23.1640625" style="2685" customWidth="1"/>
    <col min="7939" max="7939" width="14" style="2685" bestFit="1" customWidth="1"/>
    <col min="7940" max="8192" width="9.33203125" style="2685"/>
    <col min="8193" max="8193" width="34.5" style="2685" bestFit="1" customWidth="1"/>
    <col min="8194" max="8194" width="23.1640625" style="2685" customWidth="1"/>
    <col min="8195" max="8195" width="14" style="2685" bestFit="1" customWidth="1"/>
    <col min="8196" max="8448" width="9.33203125" style="2685"/>
    <col min="8449" max="8449" width="34.5" style="2685" bestFit="1" customWidth="1"/>
    <col min="8450" max="8450" width="23.1640625" style="2685" customWidth="1"/>
    <col min="8451" max="8451" width="14" style="2685" bestFit="1" customWidth="1"/>
    <col min="8452" max="8704" width="9.33203125" style="2685"/>
    <col min="8705" max="8705" width="34.5" style="2685" bestFit="1" customWidth="1"/>
    <col min="8706" max="8706" width="23.1640625" style="2685" customWidth="1"/>
    <col min="8707" max="8707" width="14" style="2685" bestFit="1" customWidth="1"/>
    <col min="8708" max="8960" width="9.33203125" style="2685"/>
    <col min="8961" max="8961" width="34.5" style="2685" bestFit="1" customWidth="1"/>
    <col min="8962" max="8962" width="23.1640625" style="2685" customWidth="1"/>
    <col min="8963" max="8963" width="14" style="2685" bestFit="1" customWidth="1"/>
    <col min="8964" max="9216" width="9.33203125" style="2685"/>
    <col min="9217" max="9217" width="34.5" style="2685" bestFit="1" customWidth="1"/>
    <col min="9218" max="9218" width="23.1640625" style="2685" customWidth="1"/>
    <col min="9219" max="9219" width="14" style="2685" bestFit="1" customWidth="1"/>
    <col min="9220" max="9472" width="9.33203125" style="2685"/>
    <col min="9473" max="9473" width="34.5" style="2685" bestFit="1" customWidth="1"/>
    <col min="9474" max="9474" width="23.1640625" style="2685" customWidth="1"/>
    <col min="9475" max="9475" width="14" style="2685" bestFit="1" customWidth="1"/>
    <col min="9476" max="9728" width="9.33203125" style="2685"/>
    <col min="9729" max="9729" width="34.5" style="2685" bestFit="1" customWidth="1"/>
    <col min="9730" max="9730" width="23.1640625" style="2685" customWidth="1"/>
    <col min="9731" max="9731" width="14" style="2685" bestFit="1" customWidth="1"/>
    <col min="9732" max="9984" width="9.33203125" style="2685"/>
    <col min="9985" max="9985" width="34.5" style="2685" bestFit="1" customWidth="1"/>
    <col min="9986" max="9986" width="23.1640625" style="2685" customWidth="1"/>
    <col min="9987" max="9987" width="14" style="2685" bestFit="1" customWidth="1"/>
    <col min="9988" max="10240" width="9.33203125" style="2685"/>
    <col min="10241" max="10241" width="34.5" style="2685" bestFit="1" customWidth="1"/>
    <col min="10242" max="10242" width="23.1640625" style="2685" customWidth="1"/>
    <col min="10243" max="10243" width="14" style="2685" bestFit="1" customWidth="1"/>
    <col min="10244" max="10496" width="9.33203125" style="2685"/>
    <col min="10497" max="10497" width="34.5" style="2685" bestFit="1" customWidth="1"/>
    <col min="10498" max="10498" width="23.1640625" style="2685" customWidth="1"/>
    <col min="10499" max="10499" width="14" style="2685" bestFit="1" customWidth="1"/>
    <col min="10500" max="10752" width="9.33203125" style="2685"/>
    <col min="10753" max="10753" width="34.5" style="2685" bestFit="1" customWidth="1"/>
    <col min="10754" max="10754" width="23.1640625" style="2685" customWidth="1"/>
    <col min="10755" max="10755" width="14" style="2685" bestFit="1" customWidth="1"/>
    <col min="10756" max="11008" width="9.33203125" style="2685"/>
    <col min="11009" max="11009" width="34.5" style="2685" bestFit="1" customWidth="1"/>
    <col min="11010" max="11010" width="23.1640625" style="2685" customWidth="1"/>
    <col min="11011" max="11011" width="14" style="2685" bestFit="1" customWidth="1"/>
    <col min="11012" max="11264" width="9.33203125" style="2685"/>
    <col min="11265" max="11265" width="34.5" style="2685" bestFit="1" customWidth="1"/>
    <col min="11266" max="11266" width="23.1640625" style="2685" customWidth="1"/>
    <col min="11267" max="11267" width="14" style="2685" bestFit="1" customWidth="1"/>
    <col min="11268" max="11520" width="9.33203125" style="2685"/>
    <col min="11521" max="11521" width="34.5" style="2685" bestFit="1" customWidth="1"/>
    <col min="11522" max="11522" width="23.1640625" style="2685" customWidth="1"/>
    <col min="11523" max="11523" width="14" style="2685" bestFit="1" customWidth="1"/>
    <col min="11524" max="11776" width="9.33203125" style="2685"/>
    <col min="11777" max="11777" width="34.5" style="2685" bestFit="1" customWidth="1"/>
    <col min="11778" max="11778" width="23.1640625" style="2685" customWidth="1"/>
    <col min="11779" max="11779" width="14" style="2685" bestFit="1" customWidth="1"/>
    <col min="11780" max="12032" width="9.33203125" style="2685"/>
    <col min="12033" max="12033" width="34.5" style="2685" bestFit="1" customWidth="1"/>
    <col min="12034" max="12034" width="23.1640625" style="2685" customWidth="1"/>
    <col min="12035" max="12035" width="14" style="2685" bestFit="1" customWidth="1"/>
    <col min="12036" max="12288" width="9.33203125" style="2685"/>
    <col min="12289" max="12289" width="34.5" style="2685" bestFit="1" customWidth="1"/>
    <col min="12290" max="12290" width="23.1640625" style="2685" customWidth="1"/>
    <col min="12291" max="12291" width="14" style="2685" bestFit="1" customWidth="1"/>
    <col min="12292" max="12544" width="9.33203125" style="2685"/>
    <col min="12545" max="12545" width="34.5" style="2685" bestFit="1" customWidth="1"/>
    <col min="12546" max="12546" width="23.1640625" style="2685" customWidth="1"/>
    <col min="12547" max="12547" width="14" style="2685" bestFit="1" customWidth="1"/>
    <col min="12548" max="12800" width="9.33203125" style="2685"/>
    <col min="12801" max="12801" width="34.5" style="2685" bestFit="1" customWidth="1"/>
    <col min="12802" max="12802" width="23.1640625" style="2685" customWidth="1"/>
    <col min="12803" max="12803" width="14" style="2685" bestFit="1" customWidth="1"/>
    <col min="12804" max="13056" width="9.33203125" style="2685"/>
    <col min="13057" max="13057" width="34.5" style="2685" bestFit="1" customWidth="1"/>
    <col min="13058" max="13058" width="23.1640625" style="2685" customWidth="1"/>
    <col min="13059" max="13059" width="14" style="2685" bestFit="1" customWidth="1"/>
    <col min="13060" max="13312" width="9.33203125" style="2685"/>
    <col min="13313" max="13313" width="34.5" style="2685" bestFit="1" customWidth="1"/>
    <col min="13314" max="13314" width="23.1640625" style="2685" customWidth="1"/>
    <col min="13315" max="13315" width="14" style="2685" bestFit="1" customWidth="1"/>
    <col min="13316" max="13568" width="9.33203125" style="2685"/>
    <col min="13569" max="13569" width="34.5" style="2685" bestFit="1" customWidth="1"/>
    <col min="13570" max="13570" width="23.1640625" style="2685" customWidth="1"/>
    <col min="13571" max="13571" width="14" style="2685" bestFit="1" customWidth="1"/>
    <col min="13572" max="13824" width="9.33203125" style="2685"/>
    <col min="13825" max="13825" width="34.5" style="2685" bestFit="1" customWidth="1"/>
    <col min="13826" max="13826" width="23.1640625" style="2685" customWidth="1"/>
    <col min="13827" max="13827" width="14" style="2685" bestFit="1" customWidth="1"/>
    <col min="13828" max="14080" width="9.33203125" style="2685"/>
    <col min="14081" max="14081" width="34.5" style="2685" bestFit="1" customWidth="1"/>
    <col min="14082" max="14082" width="23.1640625" style="2685" customWidth="1"/>
    <col min="14083" max="14083" width="14" style="2685" bestFit="1" customWidth="1"/>
    <col min="14084" max="14336" width="9.33203125" style="2685"/>
    <col min="14337" max="14337" width="34.5" style="2685" bestFit="1" customWidth="1"/>
    <col min="14338" max="14338" width="23.1640625" style="2685" customWidth="1"/>
    <col min="14339" max="14339" width="14" style="2685" bestFit="1" customWidth="1"/>
    <col min="14340" max="14592" width="9.33203125" style="2685"/>
    <col min="14593" max="14593" width="34.5" style="2685" bestFit="1" customWidth="1"/>
    <col min="14594" max="14594" width="23.1640625" style="2685" customWidth="1"/>
    <col min="14595" max="14595" width="14" style="2685" bestFit="1" customWidth="1"/>
    <col min="14596" max="14848" width="9.33203125" style="2685"/>
    <col min="14849" max="14849" width="34.5" style="2685" bestFit="1" customWidth="1"/>
    <col min="14850" max="14850" width="23.1640625" style="2685" customWidth="1"/>
    <col min="14851" max="14851" width="14" style="2685" bestFit="1" customWidth="1"/>
    <col min="14852" max="15104" width="9.33203125" style="2685"/>
    <col min="15105" max="15105" width="34.5" style="2685" bestFit="1" customWidth="1"/>
    <col min="15106" max="15106" width="23.1640625" style="2685" customWidth="1"/>
    <col min="15107" max="15107" width="14" style="2685" bestFit="1" customWidth="1"/>
    <col min="15108" max="15360" width="9.33203125" style="2685"/>
    <col min="15361" max="15361" width="34.5" style="2685" bestFit="1" customWidth="1"/>
    <col min="15362" max="15362" width="23.1640625" style="2685" customWidth="1"/>
    <col min="15363" max="15363" width="14" style="2685" bestFit="1" customWidth="1"/>
    <col min="15364" max="15616" width="9.33203125" style="2685"/>
    <col min="15617" max="15617" width="34.5" style="2685" bestFit="1" customWidth="1"/>
    <col min="15618" max="15618" width="23.1640625" style="2685" customWidth="1"/>
    <col min="15619" max="15619" width="14" style="2685" bestFit="1" customWidth="1"/>
    <col min="15620" max="15872" width="9.33203125" style="2685"/>
    <col min="15873" max="15873" width="34.5" style="2685" bestFit="1" customWidth="1"/>
    <col min="15874" max="15874" width="23.1640625" style="2685" customWidth="1"/>
    <col min="15875" max="15875" width="14" style="2685" bestFit="1" customWidth="1"/>
    <col min="15876" max="16128" width="9.33203125" style="2685"/>
    <col min="16129" max="16129" width="34.5" style="2685" bestFit="1" customWidth="1"/>
    <col min="16130" max="16130" width="23.1640625" style="2685" customWidth="1"/>
    <col min="16131" max="16131" width="14" style="2685" bestFit="1" customWidth="1"/>
    <col min="16132" max="16384" width="9.33203125" style="2685"/>
  </cols>
  <sheetData>
    <row r="1" spans="1:2" x14ac:dyDescent="0.2">
      <c r="A1" s="2685" t="s">
        <v>3272</v>
      </c>
      <c r="B1" s="3967">
        <v>6.1</v>
      </c>
    </row>
    <row r="2" spans="1:2" x14ac:dyDescent="0.2">
      <c r="A2" s="2685" t="s">
        <v>3273</v>
      </c>
      <c r="B2" s="3971">
        <v>43146.748310185183</v>
      </c>
    </row>
    <row r="3" spans="1:2" x14ac:dyDescent="0.2">
      <c r="A3" s="2685" t="s">
        <v>3274</v>
      </c>
      <c r="B3" s="3968" t="s">
        <v>2973</v>
      </c>
    </row>
    <row r="4" spans="1:2" x14ac:dyDescent="0.2">
      <c r="A4" s="2685" t="s">
        <v>3275</v>
      </c>
      <c r="B4" s="3968" t="s">
        <v>3276</v>
      </c>
    </row>
    <row r="5" spans="1:2" x14ac:dyDescent="0.2">
      <c r="A5" s="2685" t="s">
        <v>3277</v>
      </c>
      <c r="B5" s="3968" t="s">
        <v>3278</v>
      </c>
    </row>
    <row r="6" spans="1:2" x14ac:dyDescent="0.2">
      <c r="A6" s="2685" t="s">
        <v>3279</v>
      </c>
    </row>
    <row r="7" spans="1:2" x14ac:dyDescent="0.2">
      <c r="A7" s="2685" t="s">
        <v>3280</v>
      </c>
      <c r="B7" s="3968" t="s">
        <v>55</v>
      </c>
    </row>
    <row r="8" spans="1:2" x14ac:dyDescent="0.2">
      <c r="A8" s="2685" t="s">
        <v>3281</v>
      </c>
      <c r="B8" s="3968" t="s">
        <v>3282</v>
      </c>
    </row>
    <row r="9" spans="1:2" x14ac:dyDescent="0.2">
      <c r="A9" s="2685" t="s">
        <v>151</v>
      </c>
      <c r="B9" s="3968" t="s">
        <v>3319</v>
      </c>
    </row>
    <row r="10" spans="1:2" x14ac:dyDescent="0.2">
      <c r="A10" s="2685" t="s">
        <v>3283</v>
      </c>
    </row>
    <row r="11" spans="1:2" x14ac:dyDescent="0.2">
      <c r="A11" s="2685" t="s">
        <v>3284</v>
      </c>
    </row>
    <row r="12" spans="1:2" x14ac:dyDescent="0.2">
      <c r="A12" s="2685" t="s">
        <v>3285</v>
      </c>
    </row>
    <row r="13" spans="1:2" x14ac:dyDescent="0.2">
      <c r="A13" s="2685" t="s">
        <v>3286</v>
      </c>
    </row>
    <row r="14" spans="1:2" x14ac:dyDescent="0.2">
      <c r="A14" s="2685" t="s">
        <v>3287</v>
      </c>
    </row>
    <row r="15" spans="1:2" x14ac:dyDescent="0.2">
      <c r="A15" s="2685" t="s">
        <v>3288</v>
      </c>
    </row>
    <row r="16" spans="1:2" x14ac:dyDescent="0.2">
      <c r="A16" s="2685" t="s">
        <v>3289</v>
      </c>
    </row>
    <row r="17" spans="1:4" x14ac:dyDescent="0.2">
      <c r="A17" s="2685" t="s">
        <v>3290</v>
      </c>
      <c r="B17" s="3968" t="s">
        <v>3320</v>
      </c>
    </row>
    <row r="18" spans="1:4" x14ac:dyDescent="0.2">
      <c r="A18" s="2685" t="s">
        <v>3291</v>
      </c>
      <c r="B18" s="3968" t="s">
        <v>3323</v>
      </c>
    </row>
    <row r="19" spans="1:4" x14ac:dyDescent="0.2">
      <c r="A19" s="2685" t="s">
        <v>3292</v>
      </c>
      <c r="B19" s="3968" t="s">
        <v>54</v>
      </c>
    </row>
    <row r="20" spans="1:4" x14ac:dyDescent="0.2">
      <c r="A20" s="2685" t="s">
        <v>3293</v>
      </c>
      <c r="B20" s="3969">
        <v>571903202</v>
      </c>
    </row>
    <row r="21" spans="1:4" x14ac:dyDescent="0.2">
      <c r="A21" s="2685" t="s">
        <v>3294</v>
      </c>
      <c r="B21" s="3968" t="s">
        <v>54</v>
      </c>
    </row>
    <row r="22" spans="1:4" x14ac:dyDescent="0.2">
      <c r="A22" s="2685" t="s">
        <v>3295</v>
      </c>
      <c r="B22" s="3969">
        <v>2210614</v>
      </c>
    </row>
    <row r="23" spans="1:4" x14ac:dyDescent="0.2">
      <c r="A23" s="2685" t="s">
        <v>506</v>
      </c>
      <c r="B23" s="3967">
        <v>141.29</v>
      </c>
    </row>
    <row r="24" spans="1:4" x14ac:dyDescent="0.2">
      <c r="A24" s="2685" t="s">
        <v>2012</v>
      </c>
      <c r="B24" s="3968" t="s">
        <v>1757</v>
      </c>
      <c r="D24" s="2685" t="s">
        <v>2033</v>
      </c>
    </row>
    <row r="25" spans="1:4" x14ac:dyDescent="0.2">
      <c r="A25" s="2685" t="s">
        <v>3296</v>
      </c>
      <c r="B25" s="3968" t="s">
        <v>3324</v>
      </c>
    </row>
    <row r="26" spans="1:4" x14ac:dyDescent="0.2">
      <c r="A26" s="2685" t="s">
        <v>3297</v>
      </c>
      <c r="B26" s="3968">
        <v>0</v>
      </c>
    </row>
    <row r="27" spans="1:4" x14ac:dyDescent="0.2">
      <c r="A27" s="2685" t="s">
        <v>3298</v>
      </c>
      <c r="B27" s="3968" t="s">
        <v>3299</v>
      </c>
    </row>
    <row r="28" spans="1:4" x14ac:dyDescent="0.2">
      <c r="A28" s="2685" t="s">
        <v>3300</v>
      </c>
      <c r="B28" s="3968" t="s">
        <v>3301</v>
      </c>
    </row>
    <row r="29" spans="1:4" x14ac:dyDescent="0.2">
      <c r="A29" s="2685" t="s">
        <v>3302</v>
      </c>
    </row>
    <row r="30" spans="1:4" x14ac:dyDescent="0.2">
      <c r="A30" s="2685" t="s">
        <v>3303</v>
      </c>
    </row>
    <row r="31" spans="1:4" x14ac:dyDescent="0.2">
      <c r="A31" s="2685" t="s">
        <v>3304</v>
      </c>
    </row>
    <row r="32" spans="1:4" x14ac:dyDescent="0.2">
      <c r="A32" s="2685" t="s">
        <v>3305</v>
      </c>
      <c r="B32" s="3967"/>
    </row>
    <row r="33" spans="1:2" x14ac:dyDescent="0.2">
      <c r="A33" s="2685" t="s">
        <v>3306</v>
      </c>
      <c r="B33" s="3967"/>
    </row>
    <row r="34" spans="1:2" x14ac:dyDescent="0.2">
      <c r="A34" s="2685" t="s">
        <v>3307</v>
      </c>
      <c r="B34" s="3967"/>
    </row>
    <row r="35" spans="1:2" x14ac:dyDescent="0.2">
      <c r="A35" s="2685" t="s">
        <v>3308</v>
      </c>
      <c r="B35" s="3968">
        <v>1000000</v>
      </c>
    </row>
    <row r="36" spans="1:2" x14ac:dyDescent="0.2">
      <c r="A36" s="2685" t="s">
        <v>3309</v>
      </c>
      <c r="B36" s="3968" t="s">
        <v>3321</v>
      </c>
    </row>
    <row r="37" spans="1:2" x14ac:dyDescent="0.2">
      <c r="A37" s="2685" t="s">
        <v>3310</v>
      </c>
      <c r="B37" s="3968" t="s">
        <v>3311</v>
      </c>
    </row>
    <row r="38" spans="1:2" x14ac:dyDescent="0.2">
      <c r="A38" s="2685" t="s">
        <v>3312</v>
      </c>
      <c r="B38" s="3968" t="s">
        <v>3313</v>
      </c>
    </row>
    <row r="39" spans="1:2" x14ac:dyDescent="0.2">
      <c r="A39" s="2685" t="s">
        <v>3314</v>
      </c>
      <c r="B39" s="3968" t="s">
        <v>3322</v>
      </c>
    </row>
    <row r="40" spans="1:2" x14ac:dyDescent="0.2">
      <c r="A40" s="2685" t="s">
        <v>3315</v>
      </c>
      <c r="B40" s="3968">
        <v>1500004839</v>
      </c>
    </row>
    <row r="41" spans="1:2" x14ac:dyDescent="0.2">
      <c r="A41" s="2685" t="s">
        <v>3316</v>
      </c>
      <c r="B41" s="3968">
        <v>1</v>
      </c>
    </row>
    <row r="42" spans="1:2" x14ac:dyDescent="0.2">
      <c r="A42" s="3970" t="s">
        <v>3317</v>
      </c>
    </row>
    <row r="43" spans="1:2" x14ac:dyDescent="0.2">
      <c r="A43" s="2685" t="s">
        <v>3318</v>
      </c>
    </row>
  </sheetData>
  <pageMargins left="0.75" right="0.75" top="1" bottom="1" header="0.5" footer="0.5"/>
  <pageSetup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13"/>
  <sheetViews>
    <sheetView workbookViewId="0">
      <selection activeCell="E11" sqref="E11"/>
    </sheetView>
  </sheetViews>
  <sheetFormatPr defaultRowHeight="12.75" x14ac:dyDescent="0.2"/>
  <cols>
    <col min="1" max="1" width="33.33203125" style="2685" bestFit="1" customWidth="1"/>
    <col min="2" max="256" width="9.33203125" style="2685"/>
    <col min="257" max="257" width="33.33203125" style="2685" bestFit="1" customWidth="1"/>
    <col min="258" max="512" width="9.33203125" style="2685"/>
    <col min="513" max="513" width="33.33203125" style="2685" bestFit="1" customWidth="1"/>
    <col min="514" max="768" width="9.33203125" style="2685"/>
    <col min="769" max="769" width="33.33203125" style="2685" bestFit="1" customWidth="1"/>
    <col min="770" max="1024" width="9.33203125" style="2685"/>
    <col min="1025" max="1025" width="33.33203125" style="2685" bestFit="1" customWidth="1"/>
    <col min="1026" max="1280" width="9.33203125" style="2685"/>
    <col min="1281" max="1281" width="33.33203125" style="2685" bestFit="1" customWidth="1"/>
    <col min="1282" max="1536" width="9.33203125" style="2685"/>
    <col min="1537" max="1537" width="33.33203125" style="2685" bestFit="1" customWidth="1"/>
    <col min="1538" max="1792" width="9.33203125" style="2685"/>
    <col min="1793" max="1793" width="33.33203125" style="2685" bestFit="1" customWidth="1"/>
    <col min="1794" max="2048" width="9.33203125" style="2685"/>
    <col min="2049" max="2049" width="33.33203125" style="2685" bestFit="1" customWidth="1"/>
    <col min="2050" max="2304" width="9.33203125" style="2685"/>
    <col min="2305" max="2305" width="33.33203125" style="2685" bestFit="1" customWidth="1"/>
    <col min="2306" max="2560" width="9.33203125" style="2685"/>
    <col min="2561" max="2561" width="33.33203125" style="2685" bestFit="1" customWidth="1"/>
    <col min="2562" max="2816" width="9.33203125" style="2685"/>
    <col min="2817" max="2817" width="33.33203125" style="2685" bestFit="1" customWidth="1"/>
    <col min="2818" max="3072" width="9.33203125" style="2685"/>
    <col min="3073" max="3073" width="33.33203125" style="2685" bestFit="1" customWidth="1"/>
    <col min="3074" max="3328" width="9.33203125" style="2685"/>
    <col min="3329" max="3329" width="33.33203125" style="2685" bestFit="1" customWidth="1"/>
    <col min="3330" max="3584" width="9.33203125" style="2685"/>
    <col min="3585" max="3585" width="33.33203125" style="2685" bestFit="1" customWidth="1"/>
    <col min="3586" max="3840" width="9.33203125" style="2685"/>
    <col min="3841" max="3841" width="33.33203125" style="2685" bestFit="1" customWidth="1"/>
    <col min="3842" max="4096" width="9.33203125" style="2685"/>
    <col min="4097" max="4097" width="33.33203125" style="2685" bestFit="1" customWidth="1"/>
    <col min="4098" max="4352" width="9.33203125" style="2685"/>
    <col min="4353" max="4353" width="33.33203125" style="2685" bestFit="1" customWidth="1"/>
    <col min="4354" max="4608" width="9.33203125" style="2685"/>
    <col min="4609" max="4609" width="33.33203125" style="2685" bestFit="1" customWidth="1"/>
    <col min="4610" max="4864" width="9.33203125" style="2685"/>
    <col min="4865" max="4865" width="33.33203125" style="2685" bestFit="1" customWidth="1"/>
    <col min="4866" max="5120" width="9.33203125" style="2685"/>
    <col min="5121" max="5121" width="33.33203125" style="2685" bestFit="1" customWidth="1"/>
    <col min="5122" max="5376" width="9.33203125" style="2685"/>
    <col min="5377" max="5377" width="33.33203125" style="2685" bestFit="1" customWidth="1"/>
    <col min="5378" max="5632" width="9.33203125" style="2685"/>
    <col min="5633" max="5633" width="33.33203125" style="2685" bestFit="1" customWidth="1"/>
    <col min="5634" max="5888" width="9.33203125" style="2685"/>
    <col min="5889" max="5889" width="33.33203125" style="2685" bestFit="1" customWidth="1"/>
    <col min="5890" max="6144" width="9.33203125" style="2685"/>
    <col min="6145" max="6145" width="33.33203125" style="2685" bestFit="1" customWidth="1"/>
    <col min="6146" max="6400" width="9.33203125" style="2685"/>
    <col min="6401" max="6401" width="33.33203125" style="2685" bestFit="1" customWidth="1"/>
    <col min="6402" max="6656" width="9.33203125" style="2685"/>
    <col min="6657" max="6657" width="33.33203125" style="2685" bestFit="1" customWidth="1"/>
    <col min="6658" max="6912" width="9.33203125" style="2685"/>
    <col min="6913" max="6913" width="33.33203125" style="2685" bestFit="1" customWidth="1"/>
    <col min="6914" max="7168" width="9.33203125" style="2685"/>
    <col min="7169" max="7169" width="33.33203125" style="2685" bestFit="1" customWidth="1"/>
    <col min="7170" max="7424" width="9.33203125" style="2685"/>
    <col min="7425" max="7425" width="33.33203125" style="2685" bestFit="1" customWidth="1"/>
    <col min="7426" max="7680" width="9.33203125" style="2685"/>
    <col min="7681" max="7681" width="33.33203125" style="2685" bestFit="1" customWidth="1"/>
    <col min="7682" max="7936" width="9.33203125" style="2685"/>
    <col min="7937" max="7937" width="33.33203125" style="2685" bestFit="1" customWidth="1"/>
    <col min="7938" max="8192" width="9.33203125" style="2685"/>
    <col min="8193" max="8193" width="33.33203125" style="2685" bestFit="1" customWidth="1"/>
    <col min="8194" max="8448" width="9.33203125" style="2685"/>
    <col min="8449" max="8449" width="33.33203125" style="2685" bestFit="1" customWidth="1"/>
    <col min="8450" max="8704" width="9.33203125" style="2685"/>
    <col min="8705" max="8705" width="33.33203125" style="2685" bestFit="1" customWidth="1"/>
    <col min="8706" max="8960" width="9.33203125" style="2685"/>
    <col min="8961" max="8961" width="33.33203125" style="2685" bestFit="1" customWidth="1"/>
    <col min="8962" max="9216" width="9.33203125" style="2685"/>
    <col min="9217" max="9217" width="33.33203125" style="2685" bestFit="1" customWidth="1"/>
    <col min="9218" max="9472" width="9.33203125" style="2685"/>
    <col min="9473" max="9473" width="33.33203125" style="2685" bestFit="1" customWidth="1"/>
    <col min="9474" max="9728" width="9.33203125" style="2685"/>
    <col min="9729" max="9729" width="33.33203125" style="2685" bestFit="1" customWidth="1"/>
    <col min="9730" max="9984" width="9.33203125" style="2685"/>
    <col min="9985" max="9985" width="33.33203125" style="2685" bestFit="1" customWidth="1"/>
    <col min="9986" max="10240" width="9.33203125" style="2685"/>
    <col min="10241" max="10241" width="33.33203125" style="2685" bestFit="1" customWidth="1"/>
    <col min="10242" max="10496" width="9.33203125" style="2685"/>
    <col min="10497" max="10497" width="33.33203125" style="2685" bestFit="1" customWidth="1"/>
    <col min="10498" max="10752" width="9.33203125" style="2685"/>
    <col min="10753" max="10753" width="33.33203125" style="2685" bestFit="1" customWidth="1"/>
    <col min="10754" max="11008" width="9.33203125" style="2685"/>
    <col min="11009" max="11009" width="33.33203125" style="2685" bestFit="1" customWidth="1"/>
    <col min="11010" max="11264" width="9.33203125" style="2685"/>
    <col min="11265" max="11265" width="33.33203125" style="2685" bestFit="1" customWidth="1"/>
    <col min="11266" max="11520" width="9.33203125" style="2685"/>
    <col min="11521" max="11521" width="33.33203125" style="2685" bestFit="1" customWidth="1"/>
    <col min="11522" max="11776" width="9.33203125" style="2685"/>
    <col min="11777" max="11777" width="33.33203125" style="2685" bestFit="1" customWidth="1"/>
    <col min="11778" max="12032" width="9.33203125" style="2685"/>
    <col min="12033" max="12033" width="33.33203125" style="2685" bestFit="1" customWidth="1"/>
    <col min="12034" max="12288" width="9.33203125" style="2685"/>
    <col min="12289" max="12289" width="33.33203125" style="2685" bestFit="1" customWidth="1"/>
    <col min="12290" max="12544" width="9.33203125" style="2685"/>
    <col min="12545" max="12545" width="33.33203125" style="2685" bestFit="1" customWidth="1"/>
    <col min="12546" max="12800" width="9.33203125" style="2685"/>
    <col min="12801" max="12801" width="33.33203125" style="2685" bestFit="1" customWidth="1"/>
    <col min="12802" max="13056" width="9.33203125" style="2685"/>
    <col min="13057" max="13057" width="33.33203125" style="2685" bestFit="1" customWidth="1"/>
    <col min="13058" max="13312" width="9.33203125" style="2685"/>
    <col min="13313" max="13313" width="33.33203125" style="2685" bestFit="1" customWidth="1"/>
    <col min="13314" max="13568" width="9.33203125" style="2685"/>
    <col min="13569" max="13569" width="33.33203125" style="2685" bestFit="1" customWidth="1"/>
    <col min="13570" max="13824" width="9.33203125" style="2685"/>
    <col min="13825" max="13825" width="33.33203125" style="2685" bestFit="1" customWidth="1"/>
    <col min="13826" max="14080" width="9.33203125" style="2685"/>
    <col min="14081" max="14081" width="33.33203125" style="2685" bestFit="1" customWidth="1"/>
    <col min="14082" max="14336" width="9.33203125" style="2685"/>
    <col min="14337" max="14337" width="33.33203125" style="2685" bestFit="1" customWidth="1"/>
    <col min="14338" max="14592" width="9.33203125" style="2685"/>
    <col min="14593" max="14593" width="33.33203125" style="2685" bestFit="1" customWidth="1"/>
    <col min="14594" max="14848" width="9.33203125" style="2685"/>
    <col min="14849" max="14849" width="33.33203125" style="2685" bestFit="1" customWidth="1"/>
    <col min="14850" max="15104" width="9.33203125" style="2685"/>
    <col min="15105" max="15105" width="33.33203125" style="2685" bestFit="1" customWidth="1"/>
    <col min="15106" max="15360" width="9.33203125" style="2685"/>
    <col min="15361" max="15361" width="33.33203125" style="2685" bestFit="1" customWidth="1"/>
    <col min="15362" max="15616" width="9.33203125" style="2685"/>
    <col min="15617" max="15617" width="33.33203125" style="2685" bestFit="1" customWidth="1"/>
    <col min="15618" max="15872" width="9.33203125" style="2685"/>
    <col min="15873" max="15873" width="33.33203125" style="2685" bestFit="1" customWidth="1"/>
    <col min="15874" max="16128" width="9.33203125" style="2685"/>
    <col min="16129" max="16129" width="33.33203125" style="2685" bestFit="1" customWidth="1"/>
    <col min="16130" max="16384" width="9.33203125" style="2685"/>
  </cols>
  <sheetData>
    <row r="1" spans="1:1" x14ac:dyDescent="0.2">
      <c r="A1" s="3972" t="s">
        <v>3325</v>
      </c>
    </row>
    <row r="2" spans="1:1" x14ac:dyDescent="0.2">
      <c r="A2" s="3972" t="s">
        <v>3330</v>
      </c>
    </row>
    <row r="3" spans="1:1" x14ac:dyDescent="0.2">
      <c r="A3" s="3972" t="s">
        <v>3331</v>
      </c>
    </row>
    <row r="4" spans="1:1" x14ac:dyDescent="0.2">
      <c r="A4" s="3972" t="s">
        <v>3332</v>
      </c>
    </row>
    <row r="5" spans="1:1" x14ac:dyDescent="0.2">
      <c r="A5" s="3972" t="s">
        <v>3333</v>
      </c>
    </row>
    <row r="6" spans="1:1" x14ac:dyDescent="0.2">
      <c r="A6" s="3972" t="s">
        <v>3326</v>
      </c>
    </row>
    <row r="7" spans="1:1" x14ac:dyDescent="0.2">
      <c r="A7" s="3972" t="s">
        <v>3334</v>
      </c>
    </row>
    <row r="8" spans="1:1" x14ac:dyDescent="0.2">
      <c r="A8" s="3972" t="s">
        <v>3335</v>
      </c>
    </row>
    <row r="9" spans="1:1" x14ac:dyDescent="0.2">
      <c r="A9" s="3972" t="s">
        <v>3336</v>
      </c>
    </row>
    <row r="10" spans="1:1" x14ac:dyDescent="0.2">
      <c r="A10" s="3972" t="s">
        <v>3327</v>
      </c>
    </row>
    <row r="11" spans="1:1" x14ac:dyDescent="0.2">
      <c r="A11" s="3972" t="s">
        <v>3337</v>
      </c>
    </row>
    <row r="12" spans="1:1" x14ac:dyDescent="0.2">
      <c r="A12" s="3972" t="s">
        <v>3328</v>
      </c>
    </row>
    <row r="13" spans="1:1" x14ac:dyDescent="0.2">
      <c r="A13" s="3972" t="s">
        <v>3329</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b2956c53-1499-408d-b2e1-9ee2239d0c0e</GUID>
    <SOURCETYPE>Chart</SOURCETYPE>
    <SOURCE_OBJECTNAME>MWA_Risk_Reward</SOURCE_OBJECTNAME>
    <SOURCE_SHEETCODE>MWRSSData</SOURCE_SHEETCODE>
    <SOURCE_SHEETNAME>MWA RR</SOURCE_SHEETNAME>
    <OBJECTTYPE>Native</OBJECTTYPE>
    <SOURCEAPPLICATION>EXCEL_SOURCE</SOURCEAPPLICATION>
    <UPDATEDAT>5/11/2015 6:41:24 PM</UPDATEDAT>
    <SOURCE_ISOUTOFDATE>False</SOURCE_ISOUTOFDATE>
    <SOURCE_WORKBOOKNAME>MAR WIP.xls</SOURCE_WORKBOOKNAME>
    <SOURCE_WORKBOOKPATH>\\MSAD\ROOT\NA\NY\LIB\ER\GAMING\Lodging\Models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/MSResearch/Content/ExternalAssets/2015-05/Images/82sA_ydqVkapDPhotzvsSQ--.png</TARGET_BINARYFULLNAME>
    <TARGET_STORYFULLNAME>/MSResearch/Content/ExternalAssets/2015-05/Sections/20150511_064122_MWA_Risk_Reward.xml</TARGET_STORYFULLNAME>
    <TARGET_UUID>d94b7058-f82e-11e4-b06e-39cc228b6d15</TARGET_UUID>
  </Link>
  <Link>
    <GUID>f6e9ca84-d773-417e-8eb5-862d05d384ee</GUID>
    <SOURCETYPE>Chart</SOURCETYPE>
    <SOURCE_OBJECTNAME>Bear_to_Bull_Chart</SOURCE_OBJECTNAME>
    <SOURCE_SHEETCODE>Chart23</SOURCE_SHEETCODE>
    <SOURCE_SHEETNAME>Bear_to_Bull_Chart</SOURCE_SHEETNAME>
    <OBJECTTYPE>Native</OBJECTTYPE>
    <SOURCEAPPLICATION>EXCEL_SOURCE</SOURCEAPPLICATION>
    <UPDATEDAT>5/11/2015 6:43:22 PM</UPDATEDAT>
    <SOURCE_ISOUTOFDATE>False</SOURCE_ISOUTOFDATE>
    <SOURCE_WORKBOOKNAME>MAR WIP.xls</SOURCE_WORKBOOKNAME>
    <SOURCE_WORKBOOKPATH>\\MSAD\ROOT\NA\NY\LIB\ER\GAMING\Lodging\Models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/MSResearch/Content/ExternalAssets/2015-05/Images/tiTEfaK480_vjqvpdNRl1Q--.png</TARGET_BINARYFULLNAME>
    <TARGET_STORYFULLNAME>/MSResearch/Content/ExternalAssets/2015-05/Sections/20150511_064320_Bear_to_Bull_Chart.xml</TARGET_STORYFULLNAME>
    <TARGET_UUID>1fcdace4-f82f-11e4-b06e-39cc228b6d15</TARGET_UUID>
  </Link>
  <Link>
    <GUID>d5e9ae0e-daa8-454b-9020-eaa103b4766c</GUID>
    <SOURCE_ALTADDRESS>$Y$38:$AD$42</SOURCE_ALTADDRESS>
    <SOURCETYPE>Table</SOURCETYPE>
    <SOURCE_OBJECTNAME>Linking_Range_54</SOURCE_OBJECTNAME>
    <OBJECTTYPE>Native</OBJECTTYPE>
    <SOURCE_SHEETCODE>Sheet14</SOURCE_SHEETCODE>
    <SOURCE_SHEETNAME>New Exhibits</SOURCE_SHEETNAME>
    <SOURCEAPPLICATION>EXCEL_SOURCE</SOURCEAPPLICATION>
    <UPDATEDAT>5/11/2015 6:45:00 PM</UPDATEDAT>
    <SOURCE_ISOUTOFDATE>False</SOURCE_ISOUTOFDATE>
    <SOURCE_WORKBOOKNAME>MAR WIP.xls</SOURCE_WORKBOOKNAME>
    <SOURCE_WORKBOOKPATH>\\MSAD\ROOT\NA\NY\LIB\ER\GAMING\Lodging\Models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/MSResearch/Content/ExternalAssets/2015-05/Images/tpsvVxmHsEOUV5nLtKUDvA--.png</TARGET_BINARYFULLNAME>
    <TARGET_STORYFULLNAME>/MSResearch/Content/ExternalAssets/2015-05/Sections/20150511_064458_Linking_Range_54.xml</TARGET_STORYFULLNAME>
    <TARGET_UUID>5a1d154c-f82f-11e4-b06e-39cc228b6d15</TARGET_UUID>
  </Link>
  <Link>
    <GUID>88ecb0ae-e106-43dd-9d18-72fe41a11824</GUID>
    <SOURCE_ALTADDRESS>$A$6:$G$21</SOURCE_ALTADDRESS>
    <SOURCETYPE>Table</SOURCETYPE>
    <SOURCE_OBJECTNAME>Linking_Range_46</SOURCE_OBJECTNAME>
    <OBJECTTYPE>Native</OBJECTTYPE>
    <SOURCE_SHEETCODE>Sheet35</SOURCE_SHEETCODE>
    <SOURCE_SHEETNAME>EBITDA Val</SOURCE_SHEETNAME>
    <SOURCEAPPLICATION>EXCEL_SOURCE</SOURCEAPPLICATION>
    <UPDATEDAT>5/11/2015 6:56:09 PM</UPDATEDAT>
    <SOURCE_ISOUTOFDATE>False</SOURCE_ISOUTOFDATE>
    <SOURCE_WORKBOOKNAME>MAR WIP.xls</SOURCE_WORKBOOKNAME>
    <SOURCE_WORKBOOKPATH>\\MSAD\ROOT\NA\NY\LIB\ER\GAMING\Lodging\Models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/MSResearch/Content/ExternalAssets/2015-05/Images/atQrQRIpPU6vS4mNrsjdsw--.png</TARGET_BINARYFULLNAME>
    <TARGET_STORYFULLNAME>/MSResearch/Content/ExternalAssets/2015-05/Sections/20150511_065607_Linking_Range_46.xml</TARGET_STORYFULLNAME>
    <TARGET_UUID>e8d67b9c-f830-11e4-b06e-39cc228b6d15</TARGET_UUID>
  </Link>
  <Link>
    <GUID>1a1a5169-41c3-40c5-a345-4595d44d3030</GUID>
    <SOURCE_ALTADDRESS>$A$5:$CK$55</SOURCE_ALTADDRESS>
    <SOURCETYPE>Table</SOURCETYPE>
    <SOURCE_OBJECTNAME>Linking_Range_47</SOURCE_OBJECTNAME>
    <OBJECTTYPE>Native</OBJECTTYPE>
    <SOURCE_SHEETCODE>Sheet1</SOURCE_SHEETCODE>
    <SOURCE_SHEETNAME>MAR</SOURCE_SHEETNAME>
    <SOURCEAPPLICATION>EXCEL_SOURCE</SOURCEAPPLICATION>
    <UPDATEDAT>5/11/2015 7:05:01 PM</UPDATEDAT>
    <SOURCE_ISOUTOFDATE>False</SOURCE_ISOUTOFDATE>
    <SOURCE_WORKBOOKNAME>MAR WIP.xls</SOURCE_WORKBOOKNAME>
    <SOURCE_WORKBOOKPATH>\\MSAD\ROOT\NA\NY\LIB\ER\GAMING\Lodging\Models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/MSResearch/Content/ExternalAssets/2015-05/Images/wcyMjYLSBEmUqj2ublXNcA--.png</TARGET_BINARYFULLNAME>
    <TARGET_STORYFULLNAME>/MSResearch/Content/ExternalAssets/2015-05/Sections/20150511_070459_Linking_Range_47.xml</TARGET_STORYFULLNAME>
    <TARGET_UUID>260c623c-f832-11e4-b06e-39cc228b6d15</TARGET_UUID>
  </Link>
  <Link>
    <GUID>08731fa8-c6d5-4557-930f-3d9f207d3492</GUID>
    <SOURCE_ALTADDRESS>$A$74:$CK$132</SOURCE_ALTADDRESS>
    <SOURCETYPE>Table</SOURCETYPE>
    <SOURCE_OBJECTNAME>Linking_Range_43</SOURCE_OBJECTNAME>
    <OBJECTTYPE>Native</OBJECTTYPE>
    <SOURCE_SHEETCODE>Sheet1</SOURCE_SHEETCODE>
    <SOURCE_SHEETNAME>MAR</SOURCE_SHEETNAME>
    <SOURCEAPPLICATION>EXCEL_SOURCE</SOURCEAPPLICATION>
    <UPDATEDAT>5/11/2015 7:05:36 PM</UPDATEDAT>
    <SOURCE_ISOUTOFDATE>False</SOURCE_ISOUTOFDATE>
    <SOURCE_WORKBOOKNAME>MAR WIP.xls</SOURCE_WORKBOOKNAME>
    <SOURCE_WORKBOOKPATH>\\MSAD\ROOT\NA\NY\LIB\ER\GAMING\Lodging\Models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/MSResearch/Content/ExternalAssets/2015-05/Images/w2Qb0w45p0KuolwEQHkKlw--.png</TARGET_BINARYFULLNAME>
    <TARGET_STORYFULLNAME>/MSResearch/Content/ExternalAssets/2015-05/Sections/20150511_070534_Linking_Range_43.xml</TARGET_STORYFULLNAME>
    <TARGET_UUID>3a79158a-f832-11e4-b06e-39cc228b6d15</TARGET_UUID>
  </Link>
  <Link>
    <GUID>3d50c01b-bbe0-4b40-9849-88eee86751e7</GUID>
    <SOURCE_ALTADDRESS>$A$603:$CK$635</SOURCE_ALTADDRESS>
    <SOURCETYPE>Table</SOURCETYPE>
    <SOURCE_OBJECTNAME>Linking_Range_44</SOURCE_OBJECTNAME>
    <OBJECTTYPE>Native</OBJECTTYPE>
    <SOURCE_SHEETCODE>Sheet1</SOURCE_SHEETCODE>
    <SOURCE_SHEETNAME>MAR</SOURCE_SHEETNAME>
    <SOURCEAPPLICATION>EXCEL_SOURCE</SOURCEAPPLICATION>
    <UPDATEDAT>5/11/2015 7:06:05 PM</UPDATEDAT>
    <SOURCE_ISOUTOFDATE>False</SOURCE_ISOUTOFDATE>
    <SOURCE_WORKBOOKNAME>MAR WIP.xls</SOURCE_WORKBOOKNAME>
    <SOURCE_WORKBOOKPATH>\\MSAD\ROOT\NA\NY\LIB\ER\GAMING\Lodging\Models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/MSResearch/Content/ExternalAssets/2015-05/Images/-z62-zG4Yketr3WeJ8hPMg--.png</TARGET_BINARYFULLNAME>
    <TARGET_STORYFULLNAME>/MSResearch/Content/ExternalAssets/2015-05/Sections/20150511_070603_Linking_Range_44.xml</TARGET_STORYFULLNAME>
    <TARGET_UUID>4bef4d48-f832-11e4-b06e-39cc228b6d15</TARGET_UUID>
  </Link>
  <Link>
    <GUID>9de614cb-9188-4884-9a6b-b66f2c44795b</GUID>
    <SOURCE_ALTADDRESS>$A$651:$CK$695</SOURCE_ALTADDRESS>
    <SOURCETYPE>Table</SOURCETYPE>
    <SOURCE_OBJECTNAME>Linking_Range_45</SOURCE_OBJECTNAME>
    <OBJECTTYPE>Native</OBJECTTYPE>
    <SOURCE_SHEETCODE>Sheet1</SOURCE_SHEETCODE>
    <SOURCE_SHEETNAME>MAR</SOURCE_SHEETNAME>
    <SOURCEAPPLICATION>EXCEL_SOURCE</SOURCEAPPLICATION>
    <UPDATEDAT>5/11/2015 7:06:35 PM</UPDATEDAT>
    <SOURCE_ISOUTOFDATE>False</SOURCE_ISOUTOFDATE>
    <SOURCE_WORKBOOKNAME>MAR WIP.xls</SOURCE_WORKBOOKNAME>
    <SOURCE_WORKBOOKPATH>\\MSAD\ROOT\NA\NY\LIB\ER\GAMING\Lodging\Models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/MSResearch/Content/ExternalAssets/2015-05/Images/C74RBh81ukC0xyHNINTNfg--.png</TARGET_BINARYFULLNAME>
    <TARGET_STORYFULLNAME>/MSResearch/Content/ExternalAssets/2015-05/Sections/20150511_070632_Linking_Range_45.xml</TARGET_STORYFULLNAME>
    <TARGET_UUID>5d9a3f76-f832-11e4-b06e-39cc228b6d15</TARGET_UUID>
  </Link>
</lk:Links>
</file>

<file path=customXml/item2.xml><?xml version="1.0" encoding="utf-8"?>
<lkmtd:Metadata xmlns:lkmtd="thomsonreuters.linking.metadatachange">
  <MetadataChanged>1</MetadataChanged>
</lkmtd:Metadata>
</file>

<file path=customXml/itemProps1.xml><?xml version="1.0" encoding="utf-8"?>
<ds:datastoreItem xmlns:ds="http://schemas.openxmlformats.org/officeDocument/2006/customXml" ds:itemID="{25EB6B7B-2B52-4D99-8967-0E7007C70895}">
  <ds:schemaRefs>
    <ds:schemaRef ds:uri="thomsonreuters.linking.metadata"/>
  </ds:schemaRefs>
</ds:datastoreItem>
</file>

<file path=customXml/itemProps2.xml><?xml version="1.0" encoding="utf-8"?>
<ds:datastoreItem xmlns:ds="http://schemas.openxmlformats.org/officeDocument/2006/customXml" ds:itemID="{3FD25F2C-E820-4F6A-92F7-2F200ADFB703}">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274</vt:i4>
      </vt:variant>
    </vt:vector>
  </HeadingPairs>
  <TitlesOfParts>
    <vt:vector size="276" baseType="lpstr">
      <vt:lpstr>ImportantDisclosures</vt:lpstr>
      <vt:lpstr>CircularReferenceAlert</vt:lpstr>
      <vt:lpstr>_2017</vt:lpstr>
      <vt:lpstr>_2018</vt:lpstr>
      <vt:lpstr>_2Q16</vt:lpstr>
      <vt:lpstr>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dividend</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'Price per key'!Linking_10</vt:lpstr>
      <vt:lpstr>Linking_19</vt:lpstr>
      <vt:lpstr>Linking_2</vt:lpstr>
      <vt:lpstr>Linking_20</vt:lpstr>
      <vt:lpstr>Linking_22</vt:lpstr>
      <vt:lpstr>Linking_24</vt:lpstr>
      <vt:lpstr>Linking_28</vt:lpstr>
      <vt:lpstr>Linking_29</vt:lpstr>
      <vt:lpstr>Linking_3</vt:lpstr>
      <vt:lpstr>Linking_30</vt:lpstr>
      <vt:lpstr>Linking_31</vt:lpstr>
      <vt:lpstr>Linking_32</vt:lpstr>
      <vt:lpstr>Linking_36</vt:lpstr>
      <vt:lpstr>Linking_37</vt:lpstr>
      <vt:lpstr>Linking_38</vt:lpstr>
      <vt:lpstr>Linking_39</vt:lpstr>
      <vt:lpstr>Linking_4</vt:lpstr>
      <vt:lpstr>Linking_40</vt:lpstr>
      <vt:lpstr>Linking_41</vt:lpstr>
      <vt:lpstr>Linking_42</vt:lpstr>
      <vt:lpstr>Linking_43</vt:lpstr>
      <vt:lpstr>Linking_44</vt:lpstr>
      <vt:lpstr>Linking_45</vt:lpstr>
      <vt:lpstr>Linking_46</vt:lpstr>
      <vt:lpstr>Linking_47</vt:lpstr>
      <vt:lpstr>Linking_48</vt:lpstr>
      <vt:lpstr>Linking_49</vt:lpstr>
      <vt:lpstr>Linking_5</vt:lpstr>
      <vt:lpstr>Linking_50</vt:lpstr>
      <vt:lpstr>Linking_51</vt:lpstr>
      <vt:lpstr>Linking_52</vt:lpstr>
      <vt:lpstr>Linking_53</vt:lpstr>
      <vt:lpstr>Linking_54</vt:lpstr>
      <vt:lpstr>Linking_55</vt:lpstr>
      <vt:lpstr>Linking_6</vt:lpstr>
      <vt:lpstr>Linking_7</vt:lpstr>
      <vt:lpstr>'1Q13'!Linking_Range_1</vt:lpstr>
      <vt:lpstr>'2Q12'!Linking_Range_1</vt:lpstr>
      <vt:lpstr>'2Q13'!Linking_Range_1</vt:lpstr>
      <vt:lpstr>'3Q12'!Linking_Range_1</vt:lpstr>
      <vt:lpstr>'3Q13'!Linking_Range_1</vt:lpstr>
      <vt:lpstr>'4Q12'!Linking_Range_1</vt:lpstr>
      <vt:lpstr>Linking_Range_1</vt:lpstr>
      <vt:lpstr>'1Q12'!Linking_Range_10</vt:lpstr>
      <vt:lpstr>Linking_Range_10</vt:lpstr>
      <vt:lpstr>'1Q13'!Linking_Range_11</vt:lpstr>
      <vt:lpstr>'2Q12'!Linking_Range_11</vt:lpstr>
      <vt:lpstr>'2Q13'!Linking_Range_11</vt:lpstr>
      <vt:lpstr>'3Q12'!Linking_Range_11</vt:lpstr>
      <vt:lpstr>'3Q13'!Linking_Range_11</vt:lpstr>
      <vt:lpstr>'4Q12'!Linking_Range_11</vt:lpstr>
      <vt:lpstr>Linking_Range_11</vt:lpstr>
      <vt:lpstr>'1Q13'!Linking_Range_12</vt:lpstr>
      <vt:lpstr>'2Q12'!Linking_Range_12</vt:lpstr>
      <vt:lpstr>'2Q13'!Linking_Range_12</vt:lpstr>
      <vt:lpstr>'3Q12'!Linking_Range_12</vt:lpstr>
      <vt:lpstr>'3Q13'!Linking_Range_12</vt:lpstr>
      <vt:lpstr>'4Q12'!Linking_Range_12</vt:lpstr>
      <vt:lpstr>Linking_Range_12</vt:lpstr>
      <vt:lpstr>'1Q13'!Linking_Range_13</vt:lpstr>
      <vt:lpstr>'2Q12'!Linking_Range_13</vt:lpstr>
      <vt:lpstr>'2Q13'!Linking_Range_13</vt:lpstr>
      <vt:lpstr>'3Q12'!Linking_Range_13</vt:lpstr>
      <vt:lpstr>'3Q13'!Linking_Range_13</vt:lpstr>
      <vt:lpstr>'4Q12'!Linking_Range_13</vt:lpstr>
      <vt:lpstr>Linking_Range_13</vt:lpstr>
      <vt:lpstr>'1Q13'!Linking_Range_14</vt:lpstr>
      <vt:lpstr>'2Q12'!Linking_Range_14</vt:lpstr>
      <vt:lpstr>'2Q13'!Linking_Range_14</vt:lpstr>
      <vt:lpstr>'3Q12'!Linking_Range_14</vt:lpstr>
      <vt:lpstr>'3Q13'!Linking_Range_14</vt:lpstr>
      <vt:lpstr>'4Q12'!Linking_Range_14</vt:lpstr>
      <vt:lpstr>Linking_Range_14</vt:lpstr>
      <vt:lpstr>'1Q13'!Linking_Range_15</vt:lpstr>
      <vt:lpstr>'2Q13'!Linking_Range_15</vt:lpstr>
      <vt:lpstr>'3Q12'!Linking_Range_15</vt:lpstr>
      <vt:lpstr>'3Q13'!Linking_Range_15</vt:lpstr>
      <vt:lpstr>'4Q12'!Linking_Range_15</vt:lpstr>
      <vt:lpstr>Linking_Range_15</vt:lpstr>
      <vt:lpstr>'1Q13'!Linking_Range_16</vt:lpstr>
      <vt:lpstr>'2Q13'!Linking_Range_16</vt:lpstr>
      <vt:lpstr>'3Q12'!Linking_Range_16</vt:lpstr>
      <vt:lpstr>'3Q13'!Linking_Range_16</vt:lpstr>
      <vt:lpstr>'4Q12'!Linking_Range_16</vt:lpstr>
      <vt:lpstr>Linking_Range_16</vt:lpstr>
      <vt:lpstr>'1Q13'!Linking_Range_17</vt:lpstr>
      <vt:lpstr>'2Q13'!Linking_Range_17</vt:lpstr>
      <vt:lpstr>'3Q12'!Linking_Range_17</vt:lpstr>
      <vt:lpstr>'3Q13'!Linking_Range_17</vt:lpstr>
      <vt:lpstr>'4Q12'!Linking_Range_17</vt:lpstr>
      <vt:lpstr>Linking_Range_17</vt:lpstr>
      <vt:lpstr>Linking_Range_18</vt:lpstr>
      <vt:lpstr>Linking_Range_19</vt:lpstr>
      <vt:lpstr>'1Q12'!Linking_Range_2</vt:lpstr>
      <vt:lpstr>'1Q13'!Linking_Range_2</vt:lpstr>
      <vt:lpstr>'2Q12'!Linking_Range_2</vt:lpstr>
      <vt:lpstr>'2Q13'!Linking_Range_2</vt:lpstr>
      <vt:lpstr>'3Q12'!Linking_Range_2</vt:lpstr>
      <vt:lpstr>'3Q13'!Linking_Range_2</vt:lpstr>
      <vt:lpstr>'4Q12'!Linking_Range_2</vt:lpstr>
      <vt:lpstr>Linking_Range_2</vt:lpstr>
      <vt:lpstr>'1Q13'!Linking_Range_20</vt:lpstr>
      <vt:lpstr>'2Q13'!Linking_Range_20</vt:lpstr>
      <vt:lpstr>'3Q13'!Linking_Range_20</vt:lpstr>
      <vt:lpstr>'4Q12'!Linking_Range_20</vt:lpstr>
      <vt:lpstr>Linking_Range_20</vt:lpstr>
      <vt:lpstr>'1Q13'!Linking_Range_21</vt:lpstr>
      <vt:lpstr>'2Q13'!Linking_Range_21</vt:lpstr>
      <vt:lpstr>'3Q13'!Linking_Range_21</vt:lpstr>
      <vt:lpstr>'4Q12'!Linking_Range_21</vt:lpstr>
      <vt:lpstr>Linking_Range_21</vt:lpstr>
      <vt:lpstr>'1Q13'!Linking_Range_22</vt:lpstr>
      <vt:lpstr>'2Q13'!Linking_Range_22</vt:lpstr>
      <vt:lpstr>'3Q13'!Linking_Range_22</vt:lpstr>
      <vt:lpstr>'4Q12'!Linking_Range_22</vt:lpstr>
      <vt:lpstr>Linking_Range_22</vt:lpstr>
      <vt:lpstr>'1Q13'!Linking_Range_23</vt:lpstr>
      <vt:lpstr>'2Q13'!Linking_Range_23</vt:lpstr>
      <vt:lpstr>'3Q13'!Linking_Range_23</vt:lpstr>
      <vt:lpstr>'4Q12'!Linking_Range_23</vt:lpstr>
      <vt:lpstr>Linking_Range_23</vt:lpstr>
      <vt:lpstr>Linking_Range_24</vt:lpstr>
      <vt:lpstr>Linking_Range_25</vt:lpstr>
      <vt:lpstr>Linking_Range_26</vt:lpstr>
      <vt:lpstr>Linking_Range_27</vt:lpstr>
      <vt:lpstr>Linking_Range_28</vt:lpstr>
      <vt:lpstr>'2Q13'!Linking_Range_29</vt:lpstr>
      <vt:lpstr>'3Q13'!Linking_Range_29</vt:lpstr>
      <vt:lpstr>Linking_Range_29</vt:lpstr>
      <vt:lpstr>'1Q12'!Linking_Range_3</vt:lpstr>
      <vt:lpstr>'1Q13'!Linking_Range_3</vt:lpstr>
      <vt:lpstr>'2Q12'!Linking_Range_3</vt:lpstr>
      <vt:lpstr>'2Q13'!Linking_Range_3</vt:lpstr>
      <vt:lpstr>'3Q12'!Linking_Range_3</vt:lpstr>
      <vt:lpstr>'3Q13'!Linking_Range_3</vt:lpstr>
      <vt:lpstr>'4Q12'!Linking_Range_3</vt:lpstr>
      <vt:lpstr>Linking_Range_3</vt:lpstr>
      <vt:lpstr>'3Q13'!Linking_Range_30</vt:lpstr>
      <vt:lpstr>Linking_Range_30</vt:lpstr>
      <vt:lpstr>'3Q13'!Linking_Range_31</vt:lpstr>
      <vt:lpstr>Linking_Range_31</vt:lpstr>
      <vt:lpstr>'3Q13'!Linking_Range_32</vt:lpstr>
      <vt:lpstr>Linking_Range_32</vt:lpstr>
      <vt:lpstr>Linking_Range_33</vt:lpstr>
      <vt:lpstr>Linking_Range_34</vt:lpstr>
      <vt:lpstr>Linking_Range_35</vt:lpstr>
      <vt:lpstr>Linking_Range_36</vt:lpstr>
      <vt:lpstr>Linking_Range_37</vt:lpstr>
      <vt:lpstr>Linking_Range_38</vt:lpstr>
      <vt:lpstr>Linking_Range_39</vt:lpstr>
      <vt:lpstr>Linking_Range_4</vt:lpstr>
      <vt:lpstr>Linking_Range_40</vt:lpstr>
      <vt:lpstr>Linking_Range_41</vt:lpstr>
      <vt:lpstr>Linking_Range_42</vt:lpstr>
      <vt:lpstr>Linking_Range_43</vt:lpstr>
      <vt:lpstr>Linking_Range_44</vt:lpstr>
      <vt:lpstr>Linking_Range_45</vt:lpstr>
      <vt:lpstr>Linking_Range_46</vt:lpstr>
      <vt:lpstr>Linking_Range_47</vt:lpstr>
      <vt:lpstr>Linking_Range_48</vt:lpstr>
      <vt:lpstr>Linking_Range_49</vt:lpstr>
      <vt:lpstr>'1Q12'!Linking_Range_5</vt:lpstr>
      <vt:lpstr>'1Q13'!Linking_Range_5</vt:lpstr>
      <vt:lpstr>'2Q12'!Linking_Range_5</vt:lpstr>
      <vt:lpstr>'2Q13'!Linking_Range_5</vt:lpstr>
      <vt:lpstr>'3Q12'!Linking_Range_5</vt:lpstr>
      <vt:lpstr>'3Q13'!Linking_Range_5</vt:lpstr>
      <vt:lpstr>'4Q12'!Linking_Range_5</vt:lpstr>
      <vt:lpstr>Linking_Range_5</vt:lpstr>
      <vt:lpstr>Linking_Range_50</vt:lpstr>
      <vt:lpstr>'Price per key'!Linking_Range_51</vt:lpstr>
      <vt:lpstr>Linking_Range_51</vt:lpstr>
      <vt:lpstr>'Price per key'!Linking_Range_52</vt:lpstr>
      <vt:lpstr>Linking_Range_52</vt:lpstr>
      <vt:lpstr>Linking_Range_53</vt:lpstr>
      <vt:lpstr>Linking_Range_54</vt:lpstr>
      <vt:lpstr>Linking_Range_6</vt:lpstr>
      <vt:lpstr>Linking_Range_7</vt:lpstr>
      <vt:lpstr>Linking_Range_8</vt:lpstr>
      <vt:lpstr>Linking_Range_9</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'1Q13'!Print_Area</vt:lpstr>
      <vt:lpstr>'2Q13'!Print_Area</vt:lpstr>
      <vt:lpstr>'3Q13'!Print_Area</vt:lpstr>
      <vt:lpstr>'Exhibits (3)'!Print_Area</vt:lpstr>
      <vt:lpstr>Guidance!Print_Area</vt:lpstr>
      <vt:lpstr>RevPAR!Print_Area</vt:lpstr>
      <vt:lpstr>'1Q11'!Print_Titles</vt:lpstr>
      <vt:lpstr>'1Q12'!Print_Titles</vt:lpstr>
      <vt:lpstr>'1Q13'!Print_Titles</vt:lpstr>
      <vt:lpstr>'2Q11'!Print_Titles</vt:lpstr>
      <vt:lpstr>'2Q12'!Print_Titles</vt:lpstr>
      <vt:lpstr>'2Q13'!Print_Titles</vt:lpstr>
      <vt:lpstr>'3Q11'!Print_Titles</vt:lpstr>
      <vt:lpstr>'3Q12'!Print_Titles</vt:lpstr>
      <vt:lpstr>'3Q13'!Print_Titles</vt:lpstr>
      <vt:lpstr>'4Q11'!Print_Titles</vt:lpstr>
      <vt:lpstr>'4Q12'!Print_Titles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2011-03-24T14:22:41Z</dcterms:created>
  <dc:creator>George T. Lynch</dc:creator>
  <cp:lastModifiedBy>Savino, Mark (Research)</cp:lastModifiedBy>
  <cp:lastPrinted>2018-02-15T21:29:22Z</cp:lastPrinted>
  <dcterms:modified xsi:type="dcterms:W3CDTF">2018-02-15T22:57:40Z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_NewReviewCycle" pid="2">
    <vt:lpwstr/>
  </property>
  <property fmtid="{D5CDD505-2E9C-101B-9397-08002B2CF9AE}" name="LinkingAutoNameNumberLinking_Range_" pid="3">
    <vt:lpwstr>54</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751151</vt:lpwstr>
  </property>
  <property fmtid="{D5CDD505-2E9C-101B-9397-08002B2CF9AE}" name="ERModPubCompanyName" pid="7">
    <vt:lpwstr>Marriott International Inc.</vt:lpwstr>
  </property>
  <property fmtid="{D5CDD505-2E9C-101B-9397-08002B2CF9AE}" name="ERModPubMaxIterations" pid="8">
    <vt:i4>100</vt:i4>
  </property>
  <property fmtid="{D5CDD505-2E9C-101B-9397-08002B2CF9AE}" name="ERModPubMaxChange" pid="9">
    <vt:r8>0.001</vt:r8>
  </property>
  <property fmtid="{D5CDD505-2E9C-101B-9397-08002B2CF9AE}" name="MSDH34TAG" pid="10">
    <vt:lpwstr>.TEZUF76X5TAHATHESADREYAK-00-INB160+*94600-06=a37adf80/-12a3/-11e8/-b486/-4f602178b9fa,MD=20180215180014/-0500,ZZ=000Z-8354.</vt:lpwstr>
  </property>
</Properties>
</file>